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c_s\AppData\Local\Temp\5f52d299-158b-4135-9e1d-e19780f01f16\"/>
    </mc:Choice>
  </mc:AlternateContent>
  <xr:revisionPtr revIDLastSave="0" documentId="8_{B1C25AE7-D7C0-4B41-BB70-319C300F7432}" xr6:coauthVersionLast="45" xr6:coauthVersionMax="45" xr10:uidLastSave="{00000000-0000-0000-0000-000000000000}"/>
  <bookViews>
    <workbookView xWindow="390" yWindow="390" windowWidth="11520" windowHeight="8325" xr2:uid="{00000000-000D-0000-FFFF-FFFF00000000}"/>
  </bookViews>
  <sheets>
    <sheet name="Прайс лист" sheetId="1" r:id="rId1"/>
    <sheet name="Новинки" sheetId="2" r:id="rId2"/>
    <sheet name="Каталог уценённых товаров" sheetId="3" r:id="rId3"/>
    <sheet name="Заказные" sheetId="4" r:id="rId4"/>
    <sheet name="Акция" sheetId="5" r:id="rId5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80" i="5" l="1"/>
  <c r="D80" i="5"/>
  <c r="E79" i="5"/>
  <c r="D79" i="5"/>
  <c r="E77" i="5"/>
  <c r="D77" i="5"/>
  <c r="E76" i="5"/>
  <c r="D76" i="5"/>
  <c r="E74" i="5"/>
  <c r="D74" i="5"/>
  <c r="E72" i="5"/>
  <c r="D72" i="5"/>
  <c r="E70" i="5"/>
  <c r="D70" i="5"/>
  <c r="E69" i="5"/>
  <c r="D69" i="5"/>
  <c r="E68" i="5"/>
  <c r="D68" i="5"/>
  <c r="E67" i="5"/>
  <c r="D67" i="5"/>
  <c r="E65" i="5"/>
  <c r="D65" i="5"/>
  <c r="E64" i="5"/>
  <c r="D64" i="5"/>
  <c r="E63" i="5"/>
  <c r="D63" i="5"/>
  <c r="E62" i="5"/>
  <c r="D62" i="5"/>
  <c r="E61" i="5"/>
  <c r="D61" i="5"/>
  <c r="E60" i="5"/>
  <c r="D60" i="5"/>
  <c r="E59" i="5"/>
  <c r="D59" i="5"/>
  <c r="E58" i="5"/>
  <c r="D58" i="5"/>
  <c r="E57" i="5"/>
  <c r="D57" i="5"/>
  <c r="E56" i="5"/>
  <c r="D56" i="5"/>
  <c r="E54" i="5"/>
  <c r="D54" i="5"/>
  <c r="E53" i="5"/>
  <c r="D53" i="5"/>
  <c r="E52" i="5"/>
  <c r="D52" i="5"/>
  <c r="E51" i="5"/>
  <c r="D51" i="5"/>
  <c r="E50" i="5"/>
  <c r="D50" i="5"/>
  <c r="E49" i="5"/>
  <c r="D49" i="5"/>
  <c r="E48" i="5"/>
  <c r="D48" i="5"/>
  <c r="E46" i="5"/>
  <c r="D46" i="5"/>
  <c r="E45" i="5"/>
  <c r="D45" i="5"/>
  <c r="E44" i="5"/>
  <c r="D44" i="5"/>
  <c r="E43" i="5"/>
  <c r="D43" i="5"/>
  <c r="E42" i="5"/>
  <c r="D42" i="5"/>
  <c r="E41" i="5"/>
  <c r="D41" i="5"/>
  <c r="E40" i="5"/>
  <c r="D40" i="5"/>
  <c r="E39" i="5"/>
  <c r="D39" i="5"/>
  <c r="E38" i="5"/>
  <c r="D38" i="5"/>
  <c r="E37" i="5"/>
  <c r="D37" i="5"/>
  <c r="E35" i="5"/>
  <c r="D35" i="5"/>
  <c r="E34" i="5"/>
  <c r="D34" i="5"/>
  <c r="E33" i="5"/>
  <c r="D33" i="5"/>
  <c r="E32" i="5"/>
  <c r="D32" i="5"/>
  <c r="E31" i="5"/>
  <c r="D31" i="5"/>
  <c r="E29" i="5"/>
  <c r="D29" i="5"/>
  <c r="E28" i="5"/>
  <c r="D28" i="5"/>
  <c r="E26" i="5"/>
  <c r="D26" i="5"/>
  <c r="E25" i="5"/>
  <c r="D25" i="5"/>
  <c r="E24" i="5"/>
  <c r="D24" i="5"/>
  <c r="E23" i="5"/>
  <c r="D23" i="5"/>
  <c r="E2" i="5" s="1"/>
  <c r="E3" i="5" s="1"/>
  <c r="E19" i="5"/>
  <c r="D19" i="5"/>
  <c r="E18" i="5"/>
  <c r="D18" i="5"/>
  <c r="E17" i="5"/>
  <c r="D17" i="5"/>
  <c r="E16" i="5"/>
  <c r="D16" i="5"/>
  <c r="E15" i="5"/>
  <c r="D15" i="5"/>
  <c r="E14" i="5"/>
  <c r="D14" i="5"/>
  <c r="E13" i="5"/>
  <c r="D13" i="5"/>
  <c r="K3" i="5"/>
  <c r="I3" i="5"/>
  <c r="E392" i="4" l="1"/>
  <c r="D392" i="4"/>
  <c r="E391" i="4"/>
  <c r="D391" i="4"/>
  <c r="E390" i="4"/>
  <c r="D390" i="4"/>
  <c r="E389" i="4"/>
  <c r="D389" i="4"/>
  <c r="E388" i="4"/>
  <c r="D388" i="4"/>
  <c r="E386" i="4"/>
  <c r="D386" i="4"/>
  <c r="E385" i="4"/>
  <c r="D385" i="4"/>
  <c r="E384" i="4"/>
  <c r="D384" i="4"/>
  <c r="E383" i="4"/>
  <c r="D383" i="4"/>
  <c r="E382" i="4"/>
  <c r="D382" i="4"/>
  <c r="E381" i="4"/>
  <c r="D381" i="4"/>
  <c r="E380" i="4"/>
  <c r="D380" i="4"/>
  <c r="E379" i="4"/>
  <c r="D379" i="4"/>
  <c r="E378" i="4"/>
  <c r="D378" i="4"/>
  <c r="E377" i="4"/>
  <c r="D377" i="4"/>
  <c r="E373" i="4"/>
  <c r="D373" i="4"/>
  <c r="E372" i="4"/>
  <c r="D372" i="4"/>
  <c r="E371" i="4"/>
  <c r="D371" i="4"/>
  <c r="E370" i="4"/>
  <c r="D370" i="4"/>
  <c r="E369" i="4"/>
  <c r="D369" i="4"/>
  <c r="E368" i="4"/>
  <c r="D368" i="4"/>
  <c r="E367" i="4"/>
  <c r="D367" i="4"/>
  <c r="E366" i="4"/>
  <c r="D366" i="4"/>
  <c r="E365" i="4"/>
  <c r="D365" i="4"/>
  <c r="E364" i="4"/>
  <c r="D364" i="4"/>
  <c r="E363" i="4"/>
  <c r="D363" i="4"/>
  <c r="E362" i="4"/>
  <c r="D362" i="4"/>
  <c r="E361" i="4"/>
  <c r="D361" i="4"/>
  <c r="E360" i="4"/>
  <c r="D360" i="4"/>
  <c r="E359" i="4"/>
  <c r="D359" i="4"/>
  <c r="E355" i="4"/>
  <c r="D355" i="4"/>
  <c r="E351" i="4"/>
  <c r="D351" i="4"/>
  <c r="E349" i="4"/>
  <c r="D349" i="4"/>
  <c r="E348" i="4"/>
  <c r="D348" i="4"/>
  <c r="E346" i="4"/>
  <c r="D346" i="4"/>
  <c r="E344" i="4"/>
  <c r="D344" i="4"/>
  <c r="E343" i="4"/>
  <c r="D343" i="4"/>
  <c r="E340" i="4"/>
  <c r="D340" i="4"/>
  <c r="E338" i="4"/>
  <c r="D338" i="4"/>
  <c r="E335" i="4"/>
  <c r="D335" i="4"/>
  <c r="E334" i="4"/>
  <c r="D334" i="4"/>
  <c r="E333" i="4"/>
  <c r="D333" i="4"/>
  <c r="E332" i="4"/>
  <c r="D332" i="4"/>
  <c r="E331" i="4"/>
  <c r="D331" i="4"/>
  <c r="E330" i="4"/>
  <c r="D330" i="4"/>
  <c r="E328" i="4"/>
  <c r="D328" i="4"/>
  <c r="E327" i="4"/>
  <c r="D327" i="4"/>
  <c r="E326" i="4"/>
  <c r="D326" i="4"/>
  <c r="E325" i="4"/>
  <c r="D325" i="4"/>
  <c r="E324" i="4"/>
  <c r="D324" i="4"/>
  <c r="E323" i="4"/>
  <c r="D323" i="4"/>
  <c r="E322" i="4"/>
  <c r="D322" i="4"/>
  <c r="E321" i="4"/>
  <c r="D321" i="4"/>
  <c r="E320" i="4"/>
  <c r="D320" i="4"/>
  <c r="E319" i="4"/>
  <c r="D319" i="4"/>
  <c r="E318" i="4"/>
  <c r="D318" i="4"/>
  <c r="E317" i="4"/>
  <c r="D317" i="4"/>
  <c r="E316" i="4"/>
  <c r="D316" i="4"/>
  <c r="E315" i="4"/>
  <c r="D315" i="4"/>
  <c r="E314" i="4"/>
  <c r="D314" i="4"/>
  <c r="E313" i="4"/>
  <c r="D313" i="4"/>
  <c r="E312" i="4"/>
  <c r="D312" i="4"/>
  <c r="E311" i="4"/>
  <c r="D311" i="4"/>
  <c r="E310" i="4"/>
  <c r="D310" i="4"/>
  <c r="E305" i="4"/>
  <c r="D305" i="4"/>
  <c r="E303" i="4"/>
  <c r="D303" i="4"/>
  <c r="E298" i="4"/>
  <c r="D298" i="4"/>
  <c r="E296" i="4"/>
  <c r="D296" i="4"/>
  <c r="E294" i="4"/>
  <c r="D294" i="4"/>
  <c r="E292" i="4"/>
  <c r="D292" i="4"/>
  <c r="E289" i="4"/>
  <c r="D289" i="4"/>
  <c r="E287" i="4"/>
  <c r="D287" i="4"/>
  <c r="E286" i="4"/>
  <c r="D286" i="4"/>
  <c r="E281" i="4"/>
  <c r="D281" i="4"/>
  <c r="E280" i="4"/>
  <c r="D280" i="4"/>
  <c r="E279" i="4"/>
  <c r="D279" i="4"/>
  <c r="E278" i="4"/>
  <c r="D278" i="4"/>
  <c r="E277" i="4"/>
  <c r="D277" i="4"/>
  <c r="E276" i="4"/>
  <c r="D276" i="4"/>
  <c r="E275" i="4"/>
  <c r="D275" i="4"/>
  <c r="E274" i="4"/>
  <c r="D274" i="4"/>
  <c r="E273" i="4"/>
  <c r="D273" i="4"/>
  <c r="E272" i="4"/>
  <c r="D272" i="4"/>
  <c r="E271" i="4"/>
  <c r="D271" i="4"/>
  <c r="E270" i="4"/>
  <c r="D270" i="4"/>
  <c r="E269" i="4"/>
  <c r="D269" i="4"/>
  <c r="E268" i="4"/>
  <c r="D268" i="4"/>
  <c r="E267" i="4"/>
  <c r="D267" i="4"/>
  <c r="E266" i="4"/>
  <c r="D266" i="4"/>
  <c r="E264" i="4"/>
  <c r="D264" i="4"/>
  <c r="E261" i="4"/>
  <c r="D261" i="4"/>
  <c r="E260" i="4"/>
  <c r="D260" i="4"/>
  <c r="E259" i="4"/>
  <c r="D259" i="4"/>
  <c r="E258" i="4"/>
  <c r="D258" i="4"/>
  <c r="E255" i="4"/>
  <c r="D255" i="4"/>
  <c r="E252" i="4"/>
  <c r="D252" i="4"/>
  <c r="E251" i="4"/>
  <c r="D251" i="4"/>
  <c r="E250" i="4"/>
  <c r="D250" i="4"/>
  <c r="E249" i="4"/>
  <c r="D249" i="4"/>
  <c r="E247" i="4"/>
  <c r="D247" i="4"/>
  <c r="E246" i="4"/>
  <c r="D246" i="4"/>
  <c r="E245" i="4"/>
  <c r="D245" i="4"/>
  <c r="E244" i="4"/>
  <c r="D244" i="4"/>
  <c r="E242" i="4"/>
  <c r="D242" i="4"/>
  <c r="E241" i="4"/>
  <c r="D241" i="4"/>
  <c r="E238" i="4"/>
  <c r="D238" i="4"/>
  <c r="E237" i="4"/>
  <c r="D237" i="4"/>
  <c r="E236" i="4"/>
  <c r="D236" i="4"/>
  <c r="E234" i="4"/>
  <c r="D234" i="4"/>
  <c r="E233" i="4"/>
  <c r="D233" i="4"/>
  <c r="E232" i="4"/>
  <c r="D232" i="4"/>
  <c r="E231" i="4"/>
  <c r="D231" i="4"/>
  <c r="E230" i="4"/>
  <c r="D230" i="4"/>
  <c r="E228" i="4"/>
  <c r="D228" i="4"/>
  <c r="E227" i="4"/>
  <c r="D227" i="4"/>
  <c r="E226" i="4"/>
  <c r="D226" i="4"/>
  <c r="E225" i="4"/>
  <c r="D225" i="4"/>
  <c r="E221" i="4"/>
  <c r="D221" i="4"/>
  <c r="E220" i="4"/>
  <c r="D220" i="4"/>
  <c r="E219" i="4"/>
  <c r="D219" i="4"/>
  <c r="E218" i="4"/>
  <c r="D218" i="4"/>
  <c r="E216" i="4"/>
  <c r="D216" i="4"/>
  <c r="E215" i="4"/>
  <c r="D215" i="4"/>
  <c r="E214" i="4"/>
  <c r="D214" i="4"/>
  <c r="E212" i="4"/>
  <c r="D212" i="4"/>
  <c r="E211" i="4"/>
  <c r="D211" i="4"/>
  <c r="E210" i="4"/>
  <c r="D210" i="4"/>
  <c r="E209" i="4"/>
  <c r="D209" i="4"/>
  <c r="E208" i="4"/>
  <c r="D208" i="4"/>
  <c r="E207" i="4"/>
  <c r="D207" i="4"/>
  <c r="E206" i="4"/>
  <c r="D206" i="4"/>
  <c r="E204" i="4"/>
  <c r="D204" i="4"/>
  <c r="E203" i="4"/>
  <c r="D203" i="4"/>
  <c r="E202" i="4"/>
  <c r="D202" i="4"/>
  <c r="E201" i="4"/>
  <c r="D201" i="4"/>
  <c r="E200" i="4"/>
  <c r="D200" i="4"/>
  <c r="E198" i="4"/>
  <c r="D198" i="4"/>
  <c r="D197" i="4"/>
  <c r="E196" i="4"/>
  <c r="D196" i="4"/>
  <c r="E195" i="4"/>
  <c r="D195" i="4"/>
  <c r="E193" i="4"/>
  <c r="D193" i="4"/>
  <c r="E192" i="4"/>
  <c r="D192" i="4"/>
  <c r="E190" i="4"/>
  <c r="D190" i="4"/>
  <c r="E188" i="4"/>
  <c r="D188" i="4"/>
  <c r="E187" i="4"/>
  <c r="D187" i="4"/>
  <c r="E185" i="4"/>
  <c r="D185" i="4"/>
  <c r="E183" i="4"/>
  <c r="D183" i="4"/>
  <c r="E181" i="4"/>
  <c r="D181" i="4"/>
  <c r="E180" i="4"/>
  <c r="D180" i="4"/>
  <c r="E179" i="4"/>
  <c r="D179" i="4"/>
  <c r="E177" i="4"/>
  <c r="D177" i="4"/>
  <c r="E176" i="4"/>
  <c r="D176" i="4"/>
  <c r="E175" i="4"/>
  <c r="D175" i="4"/>
  <c r="E173" i="4"/>
  <c r="D173" i="4"/>
  <c r="E172" i="4"/>
  <c r="D172" i="4"/>
  <c r="E171" i="4"/>
  <c r="D171" i="4"/>
  <c r="E169" i="4"/>
  <c r="D169" i="4"/>
  <c r="E167" i="4"/>
  <c r="D167" i="4"/>
  <c r="E166" i="4"/>
  <c r="D166" i="4"/>
  <c r="E164" i="4"/>
  <c r="D164" i="4"/>
  <c r="E162" i="4"/>
  <c r="D162" i="4"/>
  <c r="E161" i="4"/>
  <c r="D161" i="4"/>
  <c r="E159" i="4"/>
  <c r="D159" i="4"/>
  <c r="E157" i="4"/>
  <c r="D157" i="4"/>
  <c r="E155" i="4"/>
  <c r="D155" i="4"/>
  <c r="E154" i="4"/>
  <c r="D154" i="4"/>
  <c r="E152" i="4"/>
  <c r="D152" i="4"/>
  <c r="E149" i="4"/>
  <c r="D149" i="4"/>
  <c r="E148" i="4"/>
  <c r="D148" i="4"/>
  <c r="E147" i="4"/>
  <c r="D147" i="4"/>
  <c r="E145" i="4"/>
  <c r="D145" i="4"/>
  <c r="E144" i="4"/>
  <c r="D144" i="4"/>
  <c r="E142" i="4"/>
  <c r="D142" i="4"/>
  <c r="E141" i="4"/>
  <c r="D141" i="4"/>
  <c r="E139" i="4"/>
  <c r="D139" i="4"/>
  <c r="E138" i="4"/>
  <c r="D138" i="4"/>
  <c r="E136" i="4"/>
  <c r="D136" i="4"/>
  <c r="E134" i="4"/>
  <c r="D134" i="4"/>
  <c r="E130" i="4"/>
  <c r="D130" i="4"/>
  <c r="E128" i="4"/>
  <c r="D128" i="4"/>
  <c r="E125" i="4"/>
  <c r="D125" i="4"/>
  <c r="E120" i="4"/>
  <c r="D120" i="4"/>
  <c r="E119" i="4"/>
  <c r="D119" i="4"/>
  <c r="E118" i="4"/>
  <c r="D118" i="4"/>
  <c r="E114" i="4"/>
  <c r="D114" i="4"/>
  <c r="E113" i="4"/>
  <c r="D113" i="4"/>
  <c r="E109" i="4"/>
  <c r="D109" i="4"/>
  <c r="E108" i="4"/>
  <c r="D108" i="4"/>
  <c r="E104" i="4"/>
  <c r="D104" i="4"/>
  <c r="E103" i="4"/>
  <c r="D103" i="4"/>
  <c r="E102" i="4"/>
  <c r="D102" i="4"/>
  <c r="E101" i="4"/>
  <c r="D101" i="4"/>
  <c r="E100" i="4"/>
  <c r="D100" i="4"/>
  <c r="E96" i="4"/>
  <c r="D96" i="4"/>
  <c r="E95" i="4"/>
  <c r="D95" i="4"/>
  <c r="E94" i="4"/>
  <c r="D94" i="4"/>
  <c r="E93" i="4"/>
  <c r="D93" i="4"/>
  <c r="E92" i="4"/>
  <c r="D92" i="4"/>
  <c r="E91" i="4"/>
  <c r="D91" i="4"/>
  <c r="E89" i="4"/>
  <c r="D89" i="4"/>
  <c r="E88" i="4"/>
  <c r="D88" i="4"/>
  <c r="E87" i="4"/>
  <c r="D87" i="4"/>
  <c r="E86" i="4"/>
  <c r="D86" i="4"/>
  <c r="E85" i="4"/>
  <c r="D85" i="4"/>
  <c r="E84" i="4"/>
  <c r="D84" i="4"/>
  <c r="E82" i="4"/>
  <c r="D82" i="4"/>
  <c r="E81" i="4"/>
  <c r="D81" i="4"/>
  <c r="E80" i="4"/>
  <c r="D80" i="4"/>
  <c r="E78" i="4"/>
  <c r="D78" i="4"/>
  <c r="E77" i="4"/>
  <c r="D77" i="4"/>
  <c r="E76" i="4"/>
  <c r="D76" i="4"/>
  <c r="E75" i="4"/>
  <c r="D75" i="4"/>
  <c r="E74" i="4"/>
  <c r="D74" i="4"/>
  <c r="E73" i="4"/>
  <c r="D73" i="4"/>
  <c r="E72" i="4"/>
  <c r="D72" i="4"/>
  <c r="E70" i="4"/>
  <c r="D70" i="4"/>
  <c r="E69" i="4"/>
  <c r="D69" i="4"/>
  <c r="E68" i="4"/>
  <c r="D68" i="4"/>
  <c r="E67" i="4"/>
  <c r="D67" i="4"/>
  <c r="E66" i="4"/>
  <c r="D66" i="4"/>
  <c r="E64" i="4"/>
  <c r="D64" i="4"/>
  <c r="E63" i="4"/>
  <c r="D63" i="4"/>
  <c r="E62" i="4"/>
  <c r="D62" i="4"/>
  <c r="E61" i="4"/>
  <c r="D61" i="4"/>
  <c r="E57" i="4"/>
  <c r="D57" i="4"/>
  <c r="E56" i="4"/>
  <c r="D56" i="4"/>
  <c r="E53" i="4"/>
  <c r="D53" i="4"/>
  <c r="E52" i="4"/>
  <c r="D52" i="4"/>
  <c r="E51" i="4"/>
  <c r="D51" i="4"/>
  <c r="E50" i="4"/>
  <c r="D50" i="4"/>
  <c r="E49" i="4"/>
  <c r="D49" i="4"/>
  <c r="E48" i="4"/>
  <c r="D48" i="4"/>
  <c r="E47" i="4"/>
  <c r="D47" i="4"/>
  <c r="E46" i="4"/>
  <c r="D46" i="4"/>
  <c r="E45" i="4"/>
  <c r="D45" i="4"/>
  <c r="E44" i="4"/>
  <c r="D44" i="4"/>
  <c r="E43" i="4"/>
  <c r="D43" i="4"/>
  <c r="E40" i="4"/>
  <c r="D40" i="4"/>
  <c r="E37" i="4"/>
  <c r="D37" i="4"/>
  <c r="E33" i="4"/>
  <c r="D33" i="4"/>
  <c r="E32" i="4"/>
  <c r="D32" i="4"/>
  <c r="E30" i="4"/>
  <c r="D30" i="4"/>
  <c r="E29" i="4"/>
  <c r="D29" i="4"/>
  <c r="E28" i="4"/>
  <c r="D28" i="4"/>
  <c r="E25" i="4"/>
  <c r="D25" i="4"/>
  <c r="E24" i="4"/>
  <c r="D24" i="4"/>
  <c r="E23" i="4"/>
  <c r="D23" i="4"/>
  <c r="E22" i="4"/>
  <c r="D22" i="4"/>
  <c r="E21" i="4"/>
  <c r="D21" i="4"/>
  <c r="E20" i="4"/>
  <c r="D20" i="4"/>
  <c r="E19" i="4"/>
  <c r="D19" i="4"/>
  <c r="E17" i="4"/>
  <c r="D17" i="4"/>
  <c r="E16" i="4"/>
  <c r="D16" i="4"/>
  <c r="E15" i="4"/>
  <c r="D15" i="4"/>
  <c r="E14" i="4"/>
  <c r="D14" i="4"/>
  <c r="E13" i="4"/>
  <c r="D13" i="4"/>
  <c r="E2" i="4" s="1"/>
  <c r="E3" i="4" s="1"/>
  <c r="K3" i="4"/>
  <c r="I3" i="4"/>
  <c r="L2633" i="3" l="1"/>
  <c r="D2633" i="3"/>
  <c r="L2631" i="3"/>
  <c r="D2631" i="3"/>
  <c r="L2630" i="3"/>
  <c r="D2630" i="3"/>
  <c r="L2628" i="3"/>
  <c r="D2628" i="3"/>
  <c r="L2627" i="3"/>
  <c r="D2627" i="3"/>
  <c r="L2624" i="3"/>
  <c r="D2624" i="3"/>
  <c r="L2623" i="3"/>
  <c r="D2623" i="3"/>
  <c r="L2622" i="3"/>
  <c r="D2622" i="3"/>
  <c r="L2621" i="3"/>
  <c r="D2621" i="3"/>
  <c r="L2619" i="3"/>
  <c r="D2619" i="3"/>
  <c r="L2618" i="3"/>
  <c r="D2618" i="3"/>
  <c r="L2617" i="3"/>
  <c r="D2617" i="3"/>
  <c r="L2616" i="3"/>
  <c r="D2616" i="3"/>
  <c r="L2615" i="3"/>
  <c r="D2615" i="3"/>
  <c r="L2612" i="3"/>
  <c r="D2612" i="3"/>
  <c r="L2610" i="3"/>
  <c r="D2610" i="3"/>
  <c r="L2609" i="3"/>
  <c r="D2609" i="3"/>
  <c r="L2608" i="3"/>
  <c r="D2608" i="3"/>
  <c r="L2606" i="3"/>
  <c r="D2606" i="3"/>
  <c r="L2605" i="3"/>
  <c r="D2605" i="3"/>
  <c r="L2603" i="3"/>
  <c r="D2603" i="3"/>
  <c r="L2602" i="3"/>
  <c r="D2602" i="3"/>
  <c r="L2600" i="3"/>
  <c r="D2600" i="3"/>
  <c r="L2599" i="3"/>
  <c r="D2599" i="3"/>
  <c r="L2598" i="3"/>
  <c r="D2598" i="3"/>
  <c r="L2596" i="3"/>
  <c r="D2596" i="3"/>
  <c r="L2594" i="3"/>
  <c r="D2594" i="3"/>
  <c r="L2591" i="3"/>
  <c r="D2591" i="3"/>
  <c r="L2590" i="3"/>
  <c r="D2590" i="3"/>
  <c r="L2588" i="3"/>
  <c r="D2588" i="3"/>
  <c r="L2585" i="3"/>
  <c r="D2585" i="3"/>
  <c r="L2583" i="3"/>
  <c r="D2583" i="3"/>
  <c r="L2581" i="3"/>
  <c r="D2581" i="3"/>
  <c r="L2580" i="3"/>
  <c r="D2580" i="3"/>
  <c r="L2579" i="3"/>
  <c r="D2579" i="3"/>
  <c r="L2578" i="3"/>
  <c r="D2578" i="3"/>
  <c r="L2574" i="3"/>
  <c r="D2574" i="3"/>
  <c r="L2572" i="3"/>
  <c r="D2572" i="3"/>
  <c r="L2571" i="3"/>
  <c r="D2571" i="3"/>
  <c r="L2569" i="3"/>
  <c r="D2569" i="3"/>
  <c r="L2568" i="3"/>
  <c r="D2568" i="3"/>
  <c r="L2567" i="3"/>
  <c r="D2567" i="3"/>
  <c r="L2566" i="3"/>
  <c r="D2566" i="3"/>
  <c r="L2564" i="3"/>
  <c r="D2564" i="3"/>
  <c r="L2563" i="3"/>
  <c r="D2563" i="3"/>
  <c r="L2561" i="3"/>
  <c r="D2561" i="3"/>
  <c r="L2560" i="3"/>
  <c r="D2560" i="3"/>
  <c r="L2558" i="3"/>
  <c r="D2558" i="3"/>
  <c r="L2557" i="3"/>
  <c r="D2557" i="3"/>
  <c r="L2556" i="3"/>
  <c r="D2556" i="3"/>
  <c r="L2553" i="3"/>
  <c r="D2553" i="3"/>
  <c r="L2551" i="3"/>
  <c r="D2551" i="3"/>
  <c r="L2550" i="3"/>
  <c r="D2550" i="3"/>
  <c r="L2547" i="3"/>
  <c r="D2547" i="3"/>
  <c r="L2546" i="3"/>
  <c r="D2546" i="3"/>
  <c r="L2544" i="3"/>
  <c r="D2544" i="3"/>
  <c r="L2543" i="3"/>
  <c r="D2543" i="3"/>
  <c r="L2542" i="3"/>
  <c r="D2542" i="3"/>
  <c r="L2541" i="3"/>
  <c r="D2541" i="3"/>
  <c r="L2540" i="3"/>
  <c r="D2540" i="3"/>
  <c r="L2538" i="3"/>
  <c r="D2538" i="3"/>
  <c r="L2537" i="3"/>
  <c r="D2537" i="3"/>
  <c r="L2535" i="3"/>
  <c r="D2535" i="3"/>
  <c r="L2534" i="3"/>
  <c r="D2534" i="3"/>
  <c r="L2533" i="3"/>
  <c r="D2533" i="3"/>
  <c r="L2532" i="3"/>
  <c r="D2532" i="3"/>
  <c r="L2531" i="3"/>
  <c r="D2531" i="3"/>
  <c r="L2529" i="3"/>
  <c r="D2529" i="3"/>
  <c r="L2528" i="3"/>
  <c r="D2528" i="3"/>
  <c r="L2524" i="3"/>
  <c r="D2524" i="3"/>
  <c r="L2523" i="3"/>
  <c r="D2523" i="3"/>
  <c r="L2521" i="3"/>
  <c r="D2521" i="3"/>
  <c r="L2520" i="3"/>
  <c r="D2520" i="3"/>
  <c r="L2517" i="3"/>
  <c r="D2517" i="3"/>
  <c r="L2515" i="3"/>
  <c r="D2515" i="3"/>
  <c r="L2514" i="3"/>
  <c r="D2514" i="3"/>
  <c r="L2513" i="3"/>
  <c r="D2513" i="3"/>
  <c r="L2512" i="3"/>
  <c r="D2512" i="3"/>
  <c r="L2511" i="3"/>
  <c r="D2511" i="3"/>
  <c r="L2510" i="3"/>
  <c r="D2510" i="3"/>
  <c r="L2509" i="3"/>
  <c r="D2509" i="3"/>
  <c r="L2508" i="3"/>
  <c r="D2508" i="3"/>
  <c r="L2507" i="3"/>
  <c r="D2507" i="3"/>
  <c r="L2506" i="3"/>
  <c r="D2506" i="3"/>
  <c r="L2504" i="3"/>
  <c r="D2504" i="3"/>
  <c r="L2500" i="3"/>
  <c r="D2500" i="3"/>
  <c r="L2499" i="3"/>
  <c r="D2499" i="3"/>
  <c r="L2498" i="3"/>
  <c r="D2498" i="3"/>
  <c r="L2496" i="3"/>
  <c r="D2496" i="3"/>
  <c r="L2494" i="3"/>
  <c r="D2494" i="3"/>
  <c r="L2492" i="3"/>
  <c r="D2492" i="3"/>
  <c r="L2491" i="3"/>
  <c r="D2491" i="3"/>
  <c r="L2490" i="3"/>
  <c r="D2490" i="3"/>
  <c r="L2487" i="3"/>
  <c r="D2487" i="3"/>
  <c r="L2485" i="3"/>
  <c r="D2485" i="3"/>
  <c r="L2483" i="3"/>
  <c r="D2483" i="3"/>
  <c r="L2482" i="3"/>
  <c r="D2482" i="3"/>
  <c r="L2481" i="3"/>
  <c r="D2481" i="3"/>
  <c r="L2480" i="3"/>
  <c r="D2480" i="3"/>
  <c r="L2479" i="3"/>
  <c r="D2479" i="3"/>
  <c r="L2478" i="3"/>
  <c r="D2478" i="3"/>
  <c r="L2477" i="3"/>
  <c r="D2477" i="3"/>
  <c r="L2476" i="3"/>
  <c r="D2476" i="3"/>
  <c r="L2475" i="3"/>
  <c r="D2475" i="3"/>
  <c r="L2474" i="3"/>
  <c r="D2474" i="3"/>
  <c r="L2472" i="3"/>
  <c r="D2472" i="3"/>
  <c r="L2471" i="3"/>
  <c r="D2471" i="3"/>
  <c r="L2470" i="3"/>
  <c r="D2470" i="3"/>
  <c r="L2466" i="3"/>
  <c r="D2466" i="3"/>
  <c r="L2465" i="3"/>
  <c r="D2465" i="3"/>
  <c r="L2464" i="3"/>
  <c r="D2464" i="3"/>
  <c r="L2462" i="3"/>
  <c r="D2462" i="3"/>
  <c r="L2460" i="3"/>
  <c r="D2460" i="3"/>
  <c r="L2457" i="3"/>
  <c r="D2457" i="3"/>
  <c r="L2456" i="3"/>
  <c r="D2456" i="3"/>
  <c r="L2455" i="3"/>
  <c r="D2455" i="3"/>
  <c r="L2453" i="3"/>
  <c r="D2453" i="3"/>
  <c r="L2452" i="3"/>
  <c r="D2452" i="3"/>
  <c r="L2450" i="3"/>
  <c r="D2450" i="3"/>
  <c r="L2446" i="3"/>
  <c r="D2446" i="3"/>
  <c r="L2444" i="3"/>
  <c r="D2444" i="3"/>
  <c r="L2443" i="3"/>
  <c r="D2443" i="3"/>
  <c r="L2442" i="3"/>
  <c r="D2442" i="3"/>
  <c r="L2441" i="3"/>
  <c r="D2441" i="3"/>
  <c r="L2440" i="3"/>
  <c r="D2440" i="3"/>
  <c r="L2439" i="3"/>
  <c r="D2439" i="3"/>
  <c r="L2437" i="3"/>
  <c r="D2437" i="3"/>
  <c r="L2435" i="3"/>
  <c r="D2435" i="3"/>
  <c r="L2434" i="3"/>
  <c r="D2434" i="3"/>
  <c r="L2433" i="3"/>
  <c r="D2433" i="3"/>
  <c r="L2432" i="3"/>
  <c r="D2432" i="3"/>
  <c r="L2431" i="3"/>
  <c r="D2431" i="3"/>
  <c r="L2428" i="3"/>
  <c r="D2428" i="3"/>
  <c r="L2427" i="3"/>
  <c r="D2427" i="3"/>
  <c r="L2426" i="3"/>
  <c r="D2426" i="3"/>
  <c r="L2425" i="3"/>
  <c r="D2425" i="3"/>
  <c r="L2424" i="3"/>
  <c r="D2424" i="3"/>
  <c r="L2421" i="3"/>
  <c r="D2421" i="3"/>
  <c r="L2419" i="3"/>
  <c r="D2419" i="3"/>
  <c r="L2418" i="3"/>
  <c r="D2418" i="3"/>
  <c r="L2417" i="3"/>
  <c r="D2417" i="3"/>
  <c r="L2415" i="3"/>
  <c r="D2415" i="3"/>
  <c r="L2414" i="3"/>
  <c r="D2414" i="3"/>
  <c r="L2413" i="3"/>
  <c r="D2413" i="3"/>
  <c r="L2412" i="3"/>
  <c r="D2412" i="3"/>
  <c r="L2410" i="3"/>
  <c r="D2410" i="3"/>
  <c r="L2409" i="3"/>
  <c r="D2409" i="3"/>
  <c r="L2406" i="3"/>
  <c r="D2406" i="3"/>
  <c r="L2405" i="3"/>
  <c r="D2405" i="3"/>
  <c r="L2404" i="3"/>
  <c r="D2404" i="3"/>
  <c r="L2403" i="3"/>
  <c r="D2403" i="3"/>
  <c r="L2402" i="3"/>
  <c r="D2402" i="3"/>
  <c r="L2401" i="3"/>
  <c r="D2401" i="3"/>
  <c r="L2400" i="3"/>
  <c r="D2400" i="3"/>
  <c r="L2399" i="3"/>
  <c r="D2399" i="3"/>
  <c r="L2398" i="3"/>
  <c r="D2398" i="3"/>
  <c r="L2397" i="3"/>
  <c r="D2397" i="3"/>
  <c r="L2395" i="3"/>
  <c r="D2395" i="3"/>
  <c r="L2394" i="3"/>
  <c r="D2394" i="3"/>
  <c r="L2393" i="3"/>
  <c r="D2393" i="3"/>
  <c r="L2391" i="3"/>
  <c r="D2391" i="3"/>
  <c r="L2390" i="3"/>
  <c r="D2390" i="3"/>
  <c r="L2389" i="3"/>
  <c r="D2389" i="3"/>
  <c r="L2387" i="3"/>
  <c r="D2387" i="3"/>
  <c r="L2386" i="3"/>
  <c r="D2386" i="3"/>
  <c r="L2385" i="3"/>
  <c r="D2385" i="3"/>
  <c r="L2384" i="3"/>
  <c r="D2384" i="3"/>
  <c r="L2383" i="3"/>
  <c r="D2383" i="3"/>
  <c r="L2382" i="3"/>
  <c r="D2382" i="3"/>
  <c r="L2381" i="3"/>
  <c r="D2381" i="3"/>
  <c r="L2380" i="3"/>
  <c r="D2380" i="3"/>
  <c r="L2379" i="3"/>
  <c r="D2379" i="3"/>
  <c r="L2377" i="3"/>
  <c r="D2377" i="3"/>
  <c r="L2376" i="3"/>
  <c r="D2376" i="3"/>
  <c r="L2375" i="3"/>
  <c r="D2375" i="3"/>
  <c r="L2374" i="3"/>
  <c r="D2374" i="3"/>
  <c r="L2373" i="3"/>
  <c r="D2373" i="3"/>
  <c r="L2372" i="3"/>
  <c r="D2372" i="3"/>
  <c r="L2370" i="3"/>
  <c r="D2370" i="3"/>
  <c r="L2369" i="3"/>
  <c r="D2369" i="3"/>
  <c r="L2368" i="3"/>
  <c r="D2368" i="3"/>
  <c r="L2367" i="3"/>
  <c r="D2367" i="3"/>
  <c r="L2366" i="3"/>
  <c r="D2366" i="3"/>
  <c r="L2365" i="3"/>
  <c r="D2365" i="3"/>
  <c r="L2364" i="3"/>
  <c r="D2364" i="3"/>
  <c r="L2363" i="3"/>
  <c r="D2363" i="3"/>
  <c r="L2362" i="3"/>
  <c r="D2362" i="3"/>
  <c r="L2361" i="3"/>
  <c r="D2361" i="3"/>
  <c r="L2360" i="3"/>
  <c r="D2360" i="3"/>
  <c r="L2359" i="3"/>
  <c r="D2359" i="3"/>
  <c r="L2358" i="3"/>
  <c r="D2358" i="3"/>
  <c r="L2356" i="3"/>
  <c r="D2356" i="3"/>
  <c r="L2355" i="3"/>
  <c r="D2355" i="3"/>
  <c r="L2354" i="3"/>
  <c r="D2354" i="3"/>
  <c r="L2353" i="3"/>
  <c r="D2353" i="3"/>
  <c r="L2351" i="3"/>
  <c r="D2351" i="3"/>
  <c r="L2350" i="3"/>
  <c r="D2350" i="3"/>
  <c r="L2349" i="3"/>
  <c r="D2349" i="3"/>
  <c r="L2348" i="3"/>
  <c r="D2348" i="3"/>
  <c r="L2347" i="3"/>
  <c r="D2347" i="3"/>
  <c r="L2346" i="3"/>
  <c r="D2346" i="3"/>
  <c r="L2345" i="3"/>
  <c r="D2345" i="3"/>
  <c r="L2344" i="3"/>
  <c r="D2344" i="3"/>
  <c r="L2343" i="3"/>
  <c r="D2343" i="3"/>
  <c r="L2342" i="3"/>
  <c r="D2342" i="3"/>
  <c r="L2341" i="3"/>
  <c r="D2341" i="3"/>
  <c r="L2340" i="3"/>
  <c r="D2340" i="3"/>
  <c r="L2338" i="3"/>
  <c r="D2338" i="3"/>
  <c r="L2337" i="3"/>
  <c r="D2337" i="3"/>
  <c r="L2336" i="3"/>
  <c r="D2336" i="3"/>
  <c r="L2335" i="3"/>
  <c r="D2335" i="3"/>
  <c r="L2334" i="3"/>
  <c r="D2334" i="3"/>
  <c r="L2333" i="3"/>
  <c r="D2333" i="3"/>
  <c r="L2332" i="3"/>
  <c r="D2332" i="3"/>
  <c r="L2329" i="3"/>
  <c r="D2329" i="3"/>
  <c r="L2328" i="3"/>
  <c r="D2328" i="3"/>
  <c r="L2327" i="3"/>
  <c r="D2327" i="3"/>
  <c r="L2325" i="3"/>
  <c r="D2325" i="3"/>
  <c r="L2323" i="3"/>
  <c r="D2323" i="3"/>
  <c r="L2322" i="3"/>
  <c r="D2322" i="3"/>
  <c r="L2321" i="3"/>
  <c r="D2321" i="3"/>
  <c r="L2320" i="3"/>
  <c r="D2320" i="3"/>
  <c r="L2319" i="3"/>
  <c r="D2319" i="3"/>
  <c r="L2318" i="3"/>
  <c r="D2318" i="3"/>
  <c r="L2317" i="3"/>
  <c r="D2317" i="3"/>
  <c r="L2316" i="3"/>
  <c r="D2316" i="3"/>
  <c r="L2315" i="3"/>
  <c r="D2315" i="3"/>
  <c r="L2314" i="3"/>
  <c r="D2314" i="3"/>
  <c r="L2313" i="3"/>
  <c r="D2313" i="3"/>
  <c r="L2312" i="3"/>
  <c r="D2312" i="3"/>
  <c r="L2311" i="3"/>
  <c r="D2311" i="3"/>
  <c r="L2309" i="3"/>
  <c r="D2309" i="3"/>
  <c r="L2308" i="3"/>
  <c r="D2308" i="3"/>
  <c r="L2307" i="3"/>
  <c r="D2307" i="3"/>
  <c r="L2305" i="3"/>
  <c r="D2305" i="3"/>
  <c r="L2304" i="3"/>
  <c r="D2304" i="3"/>
  <c r="L2303" i="3"/>
  <c r="D2303" i="3"/>
  <c r="L2301" i="3"/>
  <c r="D2301" i="3"/>
  <c r="L2300" i="3"/>
  <c r="D2300" i="3"/>
  <c r="L2298" i="3"/>
  <c r="D2298" i="3"/>
  <c r="L2297" i="3"/>
  <c r="D2297" i="3"/>
  <c r="L2296" i="3"/>
  <c r="D2296" i="3"/>
  <c r="L2295" i="3"/>
  <c r="D2295" i="3"/>
  <c r="L2293" i="3"/>
  <c r="D2293" i="3"/>
  <c r="L2291" i="3"/>
  <c r="D2291" i="3"/>
  <c r="L2288" i="3"/>
  <c r="D2288" i="3"/>
  <c r="L2287" i="3"/>
  <c r="D2287" i="3"/>
  <c r="L2285" i="3"/>
  <c r="D2285" i="3"/>
  <c r="L2284" i="3"/>
  <c r="D2284" i="3"/>
  <c r="L2282" i="3"/>
  <c r="D2282" i="3"/>
  <c r="L2280" i="3"/>
  <c r="D2280" i="3"/>
  <c r="L2278" i="3"/>
  <c r="D2278" i="3"/>
  <c r="L2277" i="3"/>
  <c r="D2277" i="3"/>
  <c r="L2276" i="3"/>
  <c r="D2276" i="3"/>
  <c r="L2274" i="3"/>
  <c r="D2274" i="3"/>
  <c r="L2273" i="3"/>
  <c r="D2273" i="3"/>
  <c r="L2272" i="3"/>
  <c r="D2272" i="3"/>
  <c r="L2271" i="3"/>
  <c r="D2271" i="3"/>
  <c r="L2270" i="3"/>
  <c r="D2270" i="3"/>
  <c r="L2269" i="3"/>
  <c r="D2269" i="3"/>
  <c r="L2268" i="3"/>
  <c r="D2268" i="3"/>
  <c r="L2266" i="3"/>
  <c r="D2266" i="3"/>
  <c r="L2265" i="3"/>
  <c r="D2265" i="3"/>
  <c r="L2264" i="3"/>
  <c r="D2264" i="3"/>
  <c r="L2261" i="3"/>
  <c r="D2261" i="3"/>
  <c r="L2260" i="3"/>
  <c r="D2260" i="3"/>
  <c r="L2259" i="3"/>
  <c r="D2259" i="3"/>
  <c r="L2258" i="3"/>
  <c r="D2258" i="3"/>
  <c r="L2256" i="3"/>
  <c r="D2256" i="3"/>
  <c r="L2255" i="3"/>
  <c r="D2255" i="3"/>
  <c r="L2254" i="3"/>
  <c r="D2254" i="3"/>
  <c r="L2253" i="3"/>
  <c r="D2253" i="3"/>
  <c r="L2252" i="3"/>
  <c r="D2252" i="3"/>
  <c r="L2251" i="3"/>
  <c r="D2251" i="3"/>
  <c r="L2250" i="3"/>
  <c r="D2250" i="3"/>
  <c r="L2249" i="3"/>
  <c r="D2249" i="3"/>
  <c r="L2248" i="3"/>
  <c r="D2248" i="3"/>
  <c r="L2247" i="3"/>
  <c r="D2247" i="3"/>
  <c r="L2246" i="3"/>
  <c r="D2246" i="3"/>
  <c r="L2244" i="3"/>
  <c r="D2244" i="3"/>
  <c r="L2243" i="3"/>
  <c r="D2243" i="3"/>
  <c r="L2242" i="3"/>
  <c r="D2242" i="3"/>
  <c r="L2241" i="3"/>
  <c r="D2241" i="3"/>
  <c r="L2240" i="3"/>
  <c r="D2240" i="3"/>
  <c r="L2239" i="3"/>
  <c r="D2239" i="3"/>
  <c r="L2238" i="3"/>
  <c r="D2238" i="3"/>
  <c r="L2237" i="3"/>
  <c r="D2237" i="3"/>
  <c r="L2236" i="3"/>
  <c r="D2236" i="3"/>
  <c r="L2235" i="3"/>
  <c r="D2235" i="3"/>
  <c r="L2234" i="3"/>
  <c r="D2234" i="3"/>
  <c r="L2233" i="3"/>
  <c r="D2233" i="3"/>
  <c r="L2232" i="3"/>
  <c r="D2232" i="3"/>
  <c r="L2230" i="3"/>
  <c r="D2230" i="3"/>
  <c r="L2229" i="3"/>
  <c r="D2229" i="3"/>
  <c r="L2224" i="3"/>
  <c r="D2224" i="3"/>
  <c r="L2221" i="3"/>
  <c r="D2221" i="3"/>
  <c r="L2218" i="3"/>
  <c r="D2218" i="3"/>
  <c r="L2217" i="3"/>
  <c r="D2217" i="3"/>
  <c r="L2216" i="3"/>
  <c r="D2216" i="3"/>
  <c r="L2215" i="3"/>
  <c r="D2215" i="3"/>
  <c r="L2214" i="3"/>
  <c r="D2214" i="3"/>
  <c r="L2213" i="3"/>
  <c r="D2213" i="3"/>
  <c r="L2212" i="3"/>
  <c r="D2212" i="3"/>
  <c r="L2209" i="3"/>
  <c r="D2209" i="3"/>
  <c r="L2208" i="3"/>
  <c r="D2208" i="3"/>
  <c r="L2207" i="3"/>
  <c r="D2207" i="3"/>
  <c r="L2206" i="3"/>
  <c r="D2206" i="3"/>
  <c r="L2205" i="3"/>
  <c r="D2205" i="3"/>
  <c r="L2204" i="3"/>
  <c r="D2204" i="3"/>
  <c r="L2203" i="3"/>
  <c r="D2203" i="3"/>
  <c r="L2202" i="3"/>
  <c r="D2202" i="3"/>
  <c r="L2200" i="3"/>
  <c r="D2200" i="3"/>
  <c r="L2199" i="3"/>
  <c r="D2199" i="3"/>
  <c r="L2198" i="3"/>
  <c r="D2198" i="3"/>
  <c r="L2196" i="3"/>
  <c r="D2196" i="3"/>
  <c r="L2194" i="3"/>
  <c r="D2194" i="3"/>
  <c r="L2193" i="3"/>
  <c r="D2193" i="3"/>
  <c r="L2192" i="3"/>
  <c r="D2192" i="3"/>
  <c r="L2190" i="3"/>
  <c r="D2190" i="3"/>
  <c r="L2189" i="3"/>
  <c r="D2189" i="3"/>
  <c r="L2188" i="3"/>
  <c r="D2188" i="3"/>
  <c r="L2187" i="3"/>
  <c r="D2187" i="3"/>
  <c r="L2186" i="3"/>
  <c r="D2186" i="3"/>
  <c r="L2185" i="3"/>
  <c r="D2185" i="3"/>
  <c r="L2184" i="3"/>
  <c r="D2184" i="3"/>
  <c r="L2181" i="3"/>
  <c r="D2181" i="3"/>
  <c r="L2180" i="3"/>
  <c r="D2180" i="3"/>
  <c r="L2178" i="3"/>
  <c r="D2178" i="3"/>
  <c r="L2177" i="3"/>
  <c r="D2177" i="3"/>
  <c r="L2176" i="3"/>
  <c r="D2176" i="3"/>
  <c r="L2175" i="3"/>
  <c r="D2175" i="3"/>
  <c r="L2174" i="3"/>
  <c r="D2174" i="3"/>
  <c r="L2173" i="3"/>
  <c r="D2173" i="3"/>
  <c r="L2172" i="3"/>
  <c r="D2172" i="3"/>
  <c r="L2171" i="3"/>
  <c r="D2171" i="3"/>
  <c r="L2170" i="3"/>
  <c r="D2170" i="3"/>
  <c r="L2169" i="3"/>
  <c r="D2169" i="3"/>
  <c r="L2167" i="3"/>
  <c r="D2167" i="3"/>
  <c r="L2165" i="3"/>
  <c r="D2165" i="3"/>
  <c r="L2164" i="3"/>
  <c r="D2164" i="3"/>
  <c r="L2163" i="3"/>
  <c r="D2163" i="3"/>
  <c r="L2162" i="3"/>
  <c r="D2162" i="3"/>
  <c r="L2161" i="3"/>
  <c r="D2161" i="3"/>
  <c r="L2160" i="3"/>
  <c r="D2160" i="3"/>
  <c r="L2159" i="3"/>
  <c r="D2159" i="3"/>
  <c r="L2158" i="3"/>
  <c r="D2158" i="3"/>
  <c r="L2157" i="3"/>
  <c r="D2157" i="3"/>
  <c r="L2156" i="3"/>
  <c r="D2156" i="3"/>
  <c r="L2155" i="3"/>
  <c r="D2155" i="3"/>
  <c r="L2154" i="3"/>
  <c r="D2154" i="3"/>
  <c r="L2153" i="3"/>
  <c r="D2153" i="3"/>
  <c r="L2152" i="3"/>
  <c r="D2152" i="3"/>
  <c r="L2151" i="3"/>
  <c r="D2151" i="3"/>
  <c r="L2150" i="3"/>
  <c r="D2150" i="3"/>
  <c r="L2149" i="3"/>
  <c r="D2149" i="3"/>
  <c r="L2148" i="3"/>
  <c r="D2148" i="3"/>
  <c r="L2147" i="3"/>
  <c r="D2147" i="3"/>
  <c r="L2145" i="3"/>
  <c r="D2145" i="3"/>
  <c r="L2144" i="3"/>
  <c r="D2144" i="3"/>
  <c r="L2143" i="3"/>
  <c r="D2143" i="3"/>
  <c r="L2142" i="3"/>
  <c r="D2142" i="3"/>
  <c r="L2141" i="3"/>
  <c r="D2141" i="3"/>
  <c r="L2137" i="3"/>
  <c r="D2137" i="3"/>
  <c r="L2136" i="3"/>
  <c r="D2136" i="3"/>
  <c r="L2135" i="3"/>
  <c r="D2135" i="3"/>
  <c r="L2134" i="3"/>
  <c r="D2134" i="3"/>
  <c r="L2133" i="3"/>
  <c r="D2133" i="3"/>
  <c r="L2132" i="3"/>
  <c r="D2132" i="3"/>
  <c r="L2131" i="3"/>
  <c r="D2131" i="3"/>
  <c r="L2130" i="3"/>
  <c r="D2130" i="3"/>
  <c r="L2129" i="3"/>
  <c r="D2129" i="3"/>
  <c r="L2128" i="3"/>
  <c r="D2128" i="3"/>
  <c r="L2127" i="3"/>
  <c r="D2127" i="3"/>
  <c r="L2126" i="3"/>
  <c r="D2126" i="3"/>
  <c r="L2125" i="3"/>
  <c r="D2125" i="3"/>
  <c r="L2124" i="3"/>
  <c r="D2124" i="3"/>
  <c r="L2123" i="3"/>
  <c r="D2123" i="3"/>
  <c r="L2122" i="3"/>
  <c r="D2122" i="3"/>
  <c r="L2121" i="3"/>
  <c r="D2121" i="3"/>
  <c r="L2120" i="3"/>
  <c r="D2120" i="3"/>
  <c r="L2119" i="3"/>
  <c r="D2119" i="3"/>
  <c r="L2118" i="3"/>
  <c r="D2118" i="3"/>
  <c r="L2117" i="3"/>
  <c r="D2117" i="3"/>
  <c r="L2116" i="3"/>
  <c r="D2116" i="3"/>
  <c r="L2115" i="3"/>
  <c r="D2115" i="3"/>
  <c r="L2114" i="3"/>
  <c r="D2114" i="3"/>
  <c r="L2113" i="3"/>
  <c r="D2113" i="3"/>
  <c r="L2112" i="3"/>
  <c r="D2112" i="3"/>
  <c r="L2111" i="3"/>
  <c r="D2111" i="3"/>
  <c r="L2108" i="3"/>
  <c r="D2108" i="3"/>
  <c r="L2107" i="3"/>
  <c r="D2107" i="3"/>
  <c r="L2106" i="3"/>
  <c r="D2106" i="3"/>
  <c r="L2104" i="3"/>
  <c r="D2104" i="3"/>
  <c r="L2103" i="3"/>
  <c r="D2103" i="3"/>
  <c r="L2101" i="3"/>
  <c r="D2101" i="3"/>
  <c r="L2100" i="3"/>
  <c r="D2100" i="3"/>
  <c r="L2098" i="3"/>
  <c r="D2098" i="3"/>
  <c r="L2096" i="3"/>
  <c r="D2096" i="3"/>
  <c r="L2095" i="3"/>
  <c r="D2095" i="3"/>
  <c r="L2092" i="3"/>
  <c r="D2092" i="3"/>
  <c r="L2089" i="3"/>
  <c r="D2089" i="3"/>
  <c r="L2088" i="3"/>
  <c r="D2088" i="3"/>
  <c r="L2086" i="3"/>
  <c r="D2086" i="3"/>
  <c r="L2083" i="3"/>
  <c r="D2083" i="3"/>
  <c r="L2082" i="3"/>
  <c r="D2082" i="3"/>
  <c r="L2080" i="3"/>
  <c r="D2080" i="3"/>
  <c r="L2079" i="3"/>
  <c r="D2079" i="3"/>
  <c r="L2077" i="3"/>
  <c r="D2077" i="3"/>
  <c r="L2076" i="3"/>
  <c r="D2076" i="3"/>
  <c r="L2073" i="3"/>
  <c r="D2073" i="3"/>
  <c r="L2072" i="3"/>
  <c r="D2072" i="3"/>
  <c r="L2071" i="3"/>
  <c r="D2071" i="3"/>
  <c r="L2070" i="3"/>
  <c r="D2070" i="3"/>
  <c r="L2069" i="3"/>
  <c r="D2069" i="3"/>
  <c r="L2068" i="3"/>
  <c r="D2068" i="3"/>
  <c r="L2067" i="3"/>
  <c r="D2067" i="3"/>
  <c r="L2066" i="3"/>
  <c r="D2066" i="3"/>
  <c r="L2065" i="3"/>
  <c r="D2065" i="3"/>
  <c r="L2064" i="3"/>
  <c r="D2064" i="3"/>
  <c r="L2063" i="3"/>
  <c r="D2063" i="3"/>
  <c r="L2062" i="3"/>
  <c r="D2062" i="3"/>
  <c r="L2060" i="3"/>
  <c r="D2060" i="3"/>
  <c r="L2059" i="3"/>
  <c r="D2059" i="3"/>
  <c r="L2056" i="3"/>
  <c r="D2056" i="3"/>
  <c r="L2055" i="3"/>
  <c r="D2055" i="3"/>
  <c r="L2054" i="3"/>
  <c r="D2054" i="3"/>
  <c r="L2053" i="3"/>
  <c r="D2053" i="3"/>
  <c r="L2052" i="3"/>
  <c r="D2052" i="3"/>
  <c r="L2051" i="3"/>
  <c r="D2051" i="3"/>
  <c r="L2049" i="3"/>
  <c r="D2049" i="3"/>
  <c r="L2048" i="3"/>
  <c r="D2048" i="3"/>
  <c r="L2047" i="3"/>
  <c r="D2047" i="3"/>
  <c r="L2046" i="3"/>
  <c r="D2046" i="3"/>
  <c r="L2045" i="3"/>
  <c r="D2045" i="3"/>
  <c r="L2044" i="3"/>
  <c r="D2044" i="3"/>
  <c r="L2043" i="3"/>
  <c r="D2043" i="3"/>
  <c r="L2042" i="3"/>
  <c r="D2042" i="3"/>
  <c r="L2041" i="3"/>
  <c r="D2041" i="3"/>
  <c r="L2040" i="3"/>
  <c r="D2040" i="3"/>
  <c r="L2039" i="3"/>
  <c r="D2039" i="3"/>
  <c r="L2038" i="3"/>
  <c r="D2038" i="3"/>
  <c r="L2037" i="3"/>
  <c r="D2037" i="3"/>
  <c r="L2036" i="3"/>
  <c r="D2036" i="3"/>
  <c r="L2035" i="3"/>
  <c r="D2035" i="3"/>
  <c r="L2031" i="3"/>
  <c r="D2031" i="3"/>
  <c r="L2029" i="3"/>
  <c r="D2029" i="3"/>
  <c r="L2028" i="3"/>
  <c r="D2028" i="3"/>
  <c r="L2026" i="3"/>
  <c r="D2026" i="3"/>
  <c r="L2025" i="3"/>
  <c r="D2025" i="3"/>
  <c r="L2023" i="3"/>
  <c r="D2023" i="3"/>
  <c r="L2022" i="3"/>
  <c r="D2022" i="3"/>
  <c r="L2021" i="3"/>
  <c r="D2021" i="3"/>
  <c r="L2020" i="3"/>
  <c r="D2020" i="3"/>
  <c r="L2019" i="3"/>
  <c r="D2019" i="3"/>
  <c r="L2018" i="3"/>
  <c r="D2018" i="3"/>
  <c r="L2017" i="3"/>
  <c r="D2017" i="3"/>
  <c r="L2015" i="3"/>
  <c r="D2015" i="3"/>
  <c r="L2014" i="3"/>
  <c r="D2014" i="3"/>
  <c r="L2013" i="3"/>
  <c r="D2013" i="3"/>
  <c r="L2010" i="3"/>
  <c r="D2010" i="3"/>
  <c r="L2009" i="3"/>
  <c r="D2009" i="3"/>
  <c r="L2008" i="3"/>
  <c r="D2008" i="3"/>
  <c r="L2007" i="3"/>
  <c r="D2007" i="3"/>
  <c r="L2006" i="3"/>
  <c r="D2006" i="3"/>
  <c r="L2005" i="3"/>
  <c r="D2005" i="3"/>
  <c r="L2004" i="3"/>
  <c r="D2004" i="3"/>
  <c r="L2003" i="3"/>
  <c r="D2003" i="3"/>
  <c r="L2002" i="3"/>
  <c r="D2002" i="3"/>
  <c r="L2001" i="3"/>
  <c r="D2001" i="3"/>
  <c r="L1999" i="3"/>
  <c r="D1999" i="3"/>
  <c r="L1998" i="3"/>
  <c r="D1998" i="3"/>
  <c r="L1996" i="3"/>
  <c r="D1996" i="3"/>
  <c r="L1995" i="3"/>
  <c r="D1995" i="3"/>
  <c r="L1993" i="3"/>
  <c r="D1993" i="3"/>
  <c r="L1992" i="3"/>
  <c r="D1992" i="3"/>
  <c r="L1990" i="3"/>
  <c r="D1990" i="3"/>
  <c r="L1989" i="3"/>
  <c r="D1989" i="3"/>
  <c r="L1986" i="3"/>
  <c r="D1986" i="3"/>
  <c r="L1985" i="3"/>
  <c r="D1985" i="3"/>
  <c r="L1983" i="3"/>
  <c r="D1983" i="3"/>
  <c r="L1982" i="3"/>
  <c r="D1982" i="3"/>
  <c r="L1981" i="3"/>
  <c r="D1981" i="3"/>
  <c r="L1980" i="3"/>
  <c r="D1980" i="3"/>
  <c r="L1979" i="3"/>
  <c r="D1979" i="3"/>
  <c r="L1978" i="3"/>
  <c r="D1978" i="3"/>
  <c r="L1976" i="3"/>
  <c r="D1976" i="3"/>
  <c r="L1975" i="3"/>
  <c r="D1975" i="3"/>
  <c r="L1973" i="3"/>
  <c r="D1973" i="3"/>
  <c r="L1972" i="3"/>
  <c r="D1972" i="3"/>
  <c r="L1970" i="3"/>
  <c r="D1970" i="3"/>
  <c r="L1969" i="3"/>
  <c r="D1969" i="3"/>
  <c r="L1968" i="3"/>
  <c r="D1968" i="3"/>
  <c r="L1966" i="3"/>
  <c r="D1966" i="3"/>
  <c r="L1964" i="3"/>
  <c r="D1964" i="3"/>
  <c r="L1962" i="3"/>
  <c r="D1962" i="3"/>
  <c r="L1961" i="3"/>
  <c r="D1961" i="3"/>
  <c r="L1960" i="3"/>
  <c r="D1960" i="3"/>
  <c r="L1959" i="3"/>
  <c r="D1959" i="3"/>
  <c r="L1954" i="3"/>
  <c r="D1954" i="3"/>
  <c r="L1953" i="3"/>
  <c r="D1953" i="3"/>
  <c r="L1951" i="3"/>
  <c r="D1951" i="3"/>
  <c r="L1950" i="3"/>
  <c r="D1950" i="3"/>
  <c r="L1948" i="3"/>
  <c r="D1948" i="3"/>
  <c r="L1947" i="3"/>
  <c r="D1947" i="3"/>
  <c r="L1946" i="3"/>
  <c r="D1946" i="3"/>
  <c r="L1944" i="3"/>
  <c r="D1944" i="3"/>
  <c r="L1940" i="3"/>
  <c r="D1940" i="3"/>
  <c r="L1937" i="3"/>
  <c r="D1937" i="3"/>
  <c r="L1935" i="3"/>
  <c r="D1935" i="3"/>
  <c r="L1932" i="3"/>
  <c r="D1932" i="3"/>
  <c r="L1929" i="3"/>
  <c r="D1929" i="3"/>
  <c r="L1928" i="3"/>
  <c r="D1928" i="3"/>
  <c r="L1926" i="3"/>
  <c r="D1926" i="3"/>
  <c r="L1925" i="3"/>
  <c r="D1925" i="3"/>
  <c r="L1924" i="3"/>
  <c r="D1924" i="3"/>
  <c r="L1923" i="3"/>
  <c r="D1923" i="3"/>
  <c r="L1922" i="3"/>
  <c r="D1922" i="3"/>
  <c r="L1920" i="3"/>
  <c r="D1920" i="3"/>
  <c r="L1917" i="3"/>
  <c r="D1917" i="3"/>
  <c r="L1914" i="3"/>
  <c r="D1914" i="3"/>
  <c r="L1913" i="3"/>
  <c r="D1913" i="3"/>
  <c r="L1910" i="3"/>
  <c r="D1910" i="3"/>
  <c r="L1907" i="3"/>
  <c r="D1907" i="3"/>
  <c r="L1905" i="3"/>
  <c r="D1905" i="3"/>
  <c r="L1904" i="3"/>
  <c r="D1904" i="3"/>
  <c r="L1903" i="3"/>
  <c r="D1903" i="3"/>
  <c r="L1902" i="3"/>
  <c r="D1902" i="3"/>
  <c r="L1901" i="3"/>
  <c r="D1901" i="3"/>
  <c r="L1900" i="3"/>
  <c r="D1900" i="3"/>
  <c r="L1899" i="3"/>
  <c r="D1899" i="3"/>
  <c r="L1898" i="3"/>
  <c r="D1898" i="3"/>
  <c r="L1897" i="3"/>
  <c r="D1897" i="3"/>
  <c r="L1896" i="3"/>
  <c r="D1896" i="3"/>
  <c r="L1892" i="3"/>
  <c r="D1892" i="3"/>
  <c r="L1891" i="3"/>
  <c r="D1891" i="3"/>
  <c r="L1889" i="3"/>
  <c r="D1889" i="3"/>
  <c r="L1888" i="3"/>
  <c r="D1888" i="3"/>
  <c r="L1887" i="3"/>
  <c r="D1887" i="3"/>
  <c r="L1886" i="3"/>
  <c r="D1886" i="3"/>
  <c r="L1885" i="3"/>
  <c r="D1885" i="3"/>
  <c r="L1884" i="3"/>
  <c r="D1884" i="3"/>
  <c r="L1883" i="3"/>
  <c r="D1883" i="3"/>
  <c r="L1881" i="3"/>
  <c r="D1881" i="3"/>
  <c r="L1876" i="3"/>
  <c r="D1876" i="3"/>
  <c r="L1875" i="3"/>
  <c r="D1875" i="3"/>
  <c r="L1874" i="3"/>
  <c r="D1874" i="3"/>
  <c r="L1873" i="3"/>
  <c r="D1873" i="3"/>
  <c r="L1872" i="3"/>
  <c r="D1872" i="3"/>
  <c r="L1871" i="3"/>
  <c r="D1871" i="3"/>
  <c r="L1869" i="3"/>
  <c r="D1869" i="3"/>
  <c r="L1868" i="3"/>
  <c r="D1868" i="3"/>
  <c r="L1867" i="3"/>
  <c r="D1867" i="3"/>
  <c r="L1866" i="3"/>
  <c r="D1866" i="3"/>
  <c r="L1865" i="3"/>
  <c r="D1865" i="3"/>
  <c r="L1864" i="3"/>
  <c r="D1864" i="3"/>
  <c r="L1863" i="3"/>
  <c r="D1863" i="3"/>
  <c r="L1862" i="3"/>
  <c r="D1862" i="3"/>
  <c r="L1861" i="3"/>
  <c r="D1861" i="3"/>
  <c r="L1860" i="3"/>
  <c r="D1860" i="3"/>
  <c r="L1859" i="3"/>
  <c r="D1859" i="3"/>
  <c r="L1857" i="3"/>
  <c r="D1857" i="3"/>
  <c r="L1856" i="3"/>
  <c r="D1856" i="3"/>
  <c r="L1855" i="3"/>
  <c r="D1855" i="3"/>
  <c r="L1854" i="3"/>
  <c r="D1854" i="3"/>
  <c r="L1853" i="3"/>
  <c r="D1853" i="3"/>
  <c r="L1852" i="3"/>
  <c r="D1852" i="3"/>
  <c r="L1851" i="3"/>
  <c r="D1851" i="3"/>
  <c r="L1850" i="3"/>
  <c r="D1850" i="3"/>
  <c r="L1849" i="3"/>
  <c r="D1849" i="3"/>
  <c r="L1848" i="3"/>
  <c r="D1848" i="3"/>
  <c r="L1847" i="3"/>
  <c r="D1847" i="3"/>
  <c r="L1845" i="3"/>
  <c r="D1845" i="3"/>
  <c r="L1844" i="3"/>
  <c r="D1844" i="3"/>
  <c r="L1843" i="3"/>
  <c r="D1843" i="3"/>
  <c r="L1842" i="3"/>
  <c r="D1842" i="3"/>
  <c r="L1841" i="3"/>
  <c r="D1841" i="3"/>
  <c r="L1840" i="3"/>
  <c r="D1840" i="3"/>
  <c r="L1838" i="3"/>
  <c r="D1838" i="3"/>
  <c r="L1837" i="3"/>
  <c r="D1837" i="3"/>
  <c r="L1836" i="3"/>
  <c r="D1836" i="3"/>
  <c r="L1835" i="3"/>
  <c r="D1835" i="3"/>
  <c r="L1834" i="3"/>
  <c r="D1834" i="3"/>
  <c r="L1833" i="3"/>
  <c r="D1833" i="3"/>
  <c r="L1832" i="3"/>
  <c r="D1832" i="3"/>
  <c r="L1831" i="3"/>
  <c r="D1831" i="3"/>
  <c r="L1828" i="3"/>
  <c r="D1828" i="3"/>
  <c r="L1826" i="3"/>
  <c r="D1826" i="3"/>
  <c r="L1823" i="3"/>
  <c r="D1823" i="3"/>
  <c r="L1822" i="3"/>
  <c r="D1822" i="3"/>
  <c r="L1821" i="3"/>
  <c r="D1821" i="3"/>
  <c r="L1820" i="3"/>
  <c r="D1820" i="3"/>
  <c r="L1819" i="3"/>
  <c r="D1819" i="3"/>
  <c r="L1818" i="3"/>
  <c r="D1818" i="3"/>
  <c r="L1817" i="3"/>
  <c r="D1817" i="3"/>
  <c r="L1815" i="3"/>
  <c r="D1815" i="3"/>
  <c r="L1814" i="3"/>
  <c r="D1814" i="3"/>
  <c r="L1813" i="3"/>
  <c r="D1813" i="3"/>
  <c r="L1812" i="3"/>
  <c r="D1812" i="3"/>
  <c r="L1811" i="3"/>
  <c r="D1811" i="3"/>
  <c r="L1808" i="3"/>
  <c r="D1808" i="3"/>
  <c r="L1807" i="3"/>
  <c r="D1807" i="3"/>
  <c r="L1806" i="3"/>
  <c r="D1806" i="3"/>
  <c r="L1805" i="3"/>
  <c r="D1805" i="3"/>
  <c r="L1804" i="3"/>
  <c r="D1804" i="3"/>
  <c r="L1803" i="3"/>
  <c r="D1803" i="3"/>
  <c r="L1802" i="3"/>
  <c r="D1802" i="3"/>
  <c r="L1800" i="3"/>
  <c r="D1800" i="3"/>
  <c r="L1799" i="3"/>
  <c r="D1799" i="3"/>
  <c r="L1798" i="3"/>
  <c r="D1798" i="3"/>
  <c r="L1797" i="3"/>
  <c r="D1797" i="3"/>
  <c r="L1796" i="3"/>
  <c r="D1796" i="3"/>
  <c r="L1795" i="3"/>
  <c r="D1795" i="3"/>
  <c r="L1793" i="3"/>
  <c r="D1793" i="3"/>
  <c r="L1792" i="3"/>
  <c r="D1792" i="3"/>
  <c r="L1789" i="3"/>
  <c r="D1789" i="3"/>
  <c r="L1788" i="3"/>
  <c r="D1788" i="3"/>
  <c r="L1786" i="3"/>
  <c r="D1786" i="3"/>
  <c r="L1785" i="3"/>
  <c r="D1785" i="3"/>
  <c r="L1781" i="3"/>
  <c r="D1781" i="3"/>
  <c r="L1779" i="3"/>
  <c r="D1779" i="3"/>
  <c r="L1776" i="3"/>
  <c r="D1776" i="3"/>
  <c r="L1773" i="3"/>
  <c r="D1773" i="3"/>
  <c r="L1771" i="3"/>
  <c r="D1771" i="3"/>
  <c r="L1770" i="3"/>
  <c r="D1770" i="3"/>
  <c r="L1769" i="3"/>
  <c r="D1769" i="3"/>
  <c r="L1767" i="3"/>
  <c r="D1767" i="3"/>
  <c r="L1766" i="3"/>
  <c r="D1766" i="3"/>
  <c r="L1765" i="3"/>
  <c r="D1765" i="3"/>
  <c r="L1764" i="3"/>
  <c r="D1764" i="3"/>
  <c r="L1763" i="3"/>
  <c r="D1763" i="3"/>
  <c r="L1762" i="3"/>
  <c r="D1762" i="3"/>
  <c r="L1761" i="3"/>
  <c r="D1761" i="3"/>
  <c r="L1758" i="3"/>
  <c r="D1758" i="3"/>
  <c r="L1757" i="3"/>
  <c r="D1757" i="3"/>
  <c r="L1756" i="3"/>
  <c r="D1756" i="3"/>
  <c r="L1755" i="3"/>
  <c r="D1755" i="3"/>
  <c r="L1754" i="3"/>
  <c r="D1754" i="3"/>
  <c r="L1752" i="3"/>
  <c r="D1752" i="3"/>
  <c r="L1749" i="3"/>
  <c r="D1749" i="3"/>
  <c r="L1747" i="3"/>
  <c r="D1747" i="3"/>
  <c r="L1746" i="3"/>
  <c r="D1746" i="3"/>
  <c r="L1745" i="3"/>
  <c r="D1745" i="3"/>
  <c r="L1744" i="3"/>
  <c r="D1744" i="3"/>
  <c r="L1740" i="3"/>
  <c r="D1740" i="3"/>
  <c r="L1739" i="3"/>
  <c r="D1739" i="3"/>
  <c r="L1736" i="3"/>
  <c r="D1736" i="3"/>
  <c r="L1733" i="3"/>
  <c r="D1733" i="3"/>
  <c r="L1732" i="3"/>
  <c r="D1732" i="3"/>
  <c r="L1731" i="3"/>
  <c r="D1731" i="3"/>
  <c r="L1730" i="3"/>
  <c r="D1730" i="3"/>
  <c r="L1727" i="3"/>
  <c r="D1727" i="3"/>
  <c r="L1724" i="3"/>
  <c r="D1724" i="3"/>
  <c r="L1723" i="3"/>
  <c r="D1723" i="3"/>
  <c r="L1722" i="3"/>
  <c r="D1722" i="3"/>
  <c r="L1720" i="3"/>
  <c r="D1720" i="3"/>
  <c r="L1719" i="3"/>
  <c r="D1719" i="3"/>
  <c r="L1716" i="3"/>
  <c r="D1716" i="3"/>
  <c r="L1712" i="3"/>
  <c r="D1712" i="3"/>
  <c r="L1711" i="3"/>
  <c r="D1711" i="3"/>
  <c r="L1709" i="3"/>
  <c r="D1709" i="3"/>
  <c r="L1706" i="3"/>
  <c r="D1706" i="3"/>
  <c r="L1704" i="3"/>
  <c r="D1704" i="3"/>
  <c r="L1703" i="3"/>
  <c r="D1703" i="3"/>
  <c r="L1702" i="3"/>
  <c r="D1702" i="3"/>
  <c r="L1699" i="3"/>
  <c r="D1699" i="3"/>
  <c r="L1698" i="3"/>
  <c r="D1698" i="3"/>
  <c r="L1697" i="3"/>
  <c r="D1697" i="3"/>
  <c r="L1696" i="3"/>
  <c r="D1696" i="3"/>
  <c r="L1695" i="3"/>
  <c r="D1695" i="3"/>
  <c r="L1694" i="3"/>
  <c r="D1694" i="3"/>
  <c r="L1693" i="3"/>
  <c r="D1693" i="3"/>
  <c r="L1692" i="3"/>
  <c r="D1692" i="3"/>
  <c r="L1691" i="3"/>
  <c r="D1691" i="3"/>
  <c r="L1689" i="3"/>
  <c r="D1689" i="3"/>
  <c r="L1688" i="3"/>
  <c r="D1688" i="3"/>
  <c r="L1687" i="3"/>
  <c r="D1687" i="3"/>
  <c r="L1686" i="3"/>
  <c r="D1686" i="3"/>
  <c r="L1685" i="3"/>
  <c r="D1685" i="3"/>
  <c r="L1684" i="3"/>
  <c r="D1684" i="3"/>
  <c r="L1681" i="3"/>
  <c r="D1681" i="3"/>
  <c r="L1679" i="3"/>
  <c r="D1679" i="3"/>
  <c r="L1678" i="3"/>
  <c r="D1678" i="3"/>
  <c r="L1677" i="3"/>
  <c r="D1677" i="3"/>
  <c r="L1676" i="3"/>
  <c r="D1676" i="3"/>
  <c r="L1675" i="3"/>
  <c r="D1675" i="3"/>
  <c r="L1674" i="3"/>
  <c r="D1674" i="3"/>
  <c r="L1672" i="3"/>
  <c r="D1672" i="3"/>
  <c r="L1671" i="3"/>
  <c r="D1671" i="3"/>
  <c r="L1670" i="3"/>
  <c r="D1670" i="3"/>
  <c r="L1669" i="3"/>
  <c r="D1669" i="3"/>
  <c r="L1666" i="3"/>
  <c r="D1666" i="3"/>
  <c r="L1664" i="3"/>
  <c r="D1664" i="3"/>
  <c r="L1663" i="3"/>
  <c r="D1663" i="3"/>
  <c r="L1662" i="3"/>
  <c r="D1662" i="3"/>
  <c r="L1661" i="3"/>
  <c r="D1661" i="3"/>
  <c r="L1659" i="3"/>
  <c r="D1659" i="3"/>
  <c r="L1658" i="3"/>
  <c r="D1658" i="3"/>
  <c r="L1657" i="3"/>
  <c r="D1657" i="3"/>
  <c r="L1656" i="3"/>
  <c r="D1656" i="3"/>
  <c r="L1655" i="3"/>
  <c r="D1655" i="3"/>
  <c r="L1654" i="3"/>
  <c r="D1654" i="3"/>
  <c r="L1653" i="3"/>
  <c r="D1653" i="3"/>
  <c r="L1652" i="3"/>
  <c r="D1652" i="3"/>
  <c r="L1651" i="3"/>
  <c r="D1651" i="3"/>
  <c r="L1649" i="3"/>
  <c r="D1649" i="3"/>
  <c r="L1648" i="3"/>
  <c r="D1648" i="3"/>
  <c r="L1647" i="3"/>
  <c r="D1647" i="3"/>
  <c r="L1646" i="3"/>
  <c r="D1646" i="3"/>
  <c r="L1645" i="3"/>
  <c r="D1645" i="3"/>
  <c r="L1644" i="3"/>
  <c r="D1644" i="3"/>
  <c r="L1642" i="3"/>
  <c r="D1642" i="3"/>
  <c r="L1640" i="3"/>
  <c r="D1640" i="3"/>
  <c r="L1639" i="3"/>
  <c r="D1639" i="3"/>
  <c r="L1638" i="3"/>
  <c r="D1638" i="3"/>
  <c r="L1637" i="3"/>
  <c r="D1637" i="3"/>
  <c r="L1636" i="3"/>
  <c r="D1636" i="3"/>
  <c r="L1635" i="3"/>
  <c r="D1635" i="3"/>
  <c r="L1634" i="3"/>
  <c r="D1634" i="3"/>
  <c r="L1633" i="3"/>
  <c r="D1633" i="3"/>
  <c r="L1632" i="3"/>
  <c r="D1632" i="3"/>
  <c r="L1630" i="3"/>
  <c r="D1630" i="3"/>
  <c r="L1629" i="3"/>
  <c r="D1629" i="3"/>
  <c r="L1628" i="3"/>
  <c r="D1628" i="3"/>
  <c r="L1627" i="3"/>
  <c r="D1627" i="3"/>
  <c r="L1626" i="3"/>
  <c r="D1626" i="3"/>
  <c r="L1625" i="3"/>
  <c r="D1625" i="3"/>
  <c r="L1624" i="3"/>
  <c r="D1624" i="3"/>
  <c r="L1620" i="3"/>
  <c r="D1620" i="3"/>
  <c r="L1619" i="3"/>
  <c r="D1619" i="3"/>
  <c r="L1616" i="3"/>
  <c r="D1616" i="3"/>
  <c r="L1615" i="3"/>
  <c r="D1615" i="3"/>
  <c r="L1614" i="3"/>
  <c r="D1614" i="3"/>
  <c r="L1612" i="3"/>
  <c r="D1612" i="3"/>
  <c r="L1611" i="3"/>
  <c r="D1611" i="3"/>
  <c r="L1610" i="3"/>
  <c r="D1610" i="3"/>
  <c r="L1609" i="3"/>
  <c r="D1609" i="3"/>
  <c r="L1608" i="3"/>
  <c r="D1608" i="3"/>
  <c r="L1607" i="3"/>
  <c r="D1607" i="3"/>
  <c r="L1606" i="3"/>
  <c r="D1606" i="3"/>
  <c r="L1605" i="3"/>
  <c r="D1605" i="3"/>
  <c r="L1603" i="3"/>
  <c r="D1603" i="3"/>
  <c r="L1600" i="3"/>
  <c r="D1600" i="3"/>
  <c r="L1599" i="3"/>
  <c r="D1599" i="3"/>
  <c r="L1598" i="3"/>
  <c r="D1598" i="3"/>
  <c r="L1596" i="3"/>
  <c r="D1596" i="3"/>
  <c r="L1595" i="3"/>
  <c r="D1595" i="3"/>
  <c r="L1593" i="3"/>
  <c r="D1593" i="3"/>
  <c r="L1592" i="3"/>
  <c r="D1592" i="3"/>
  <c r="L1591" i="3"/>
  <c r="D1591" i="3"/>
  <c r="L1590" i="3"/>
  <c r="D1590" i="3"/>
  <c r="L1584" i="3"/>
  <c r="D1584" i="3"/>
  <c r="L1581" i="3"/>
  <c r="D1581" i="3"/>
  <c r="L1580" i="3"/>
  <c r="D1580" i="3"/>
  <c r="L1579" i="3"/>
  <c r="D1579" i="3"/>
  <c r="L1578" i="3"/>
  <c r="D1578" i="3"/>
  <c r="L1575" i="3"/>
  <c r="D1575" i="3"/>
  <c r="L1574" i="3"/>
  <c r="D1574" i="3"/>
  <c r="L1572" i="3"/>
  <c r="D1572" i="3"/>
  <c r="L1569" i="3"/>
  <c r="D1569" i="3"/>
  <c r="L1567" i="3"/>
  <c r="D1567" i="3"/>
  <c r="L1566" i="3"/>
  <c r="D1566" i="3"/>
  <c r="L1564" i="3"/>
  <c r="D1564" i="3"/>
  <c r="L1563" i="3"/>
  <c r="D1563" i="3"/>
  <c r="L1562" i="3"/>
  <c r="D1562" i="3"/>
  <c r="L1560" i="3"/>
  <c r="D1560" i="3"/>
  <c r="L1559" i="3"/>
  <c r="D1559" i="3"/>
  <c r="L1557" i="3"/>
  <c r="D1557" i="3"/>
  <c r="L1556" i="3"/>
  <c r="D1556" i="3"/>
  <c r="L1553" i="3"/>
  <c r="D1553" i="3"/>
  <c r="L1549" i="3"/>
  <c r="D1549" i="3"/>
  <c r="L1548" i="3"/>
  <c r="D1548" i="3"/>
  <c r="L1547" i="3"/>
  <c r="D1547" i="3"/>
  <c r="L1545" i="3"/>
  <c r="D1545" i="3"/>
  <c r="L1543" i="3"/>
  <c r="D1543" i="3"/>
  <c r="L1542" i="3"/>
  <c r="D1542" i="3"/>
  <c r="L1540" i="3"/>
  <c r="D1540" i="3"/>
  <c r="L1539" i="3"/>
  <c r="D1539" i="3"/>
  <c r="L1538" i="3"/>
  <c r="D1538" i="3"/>
  <c r="L1537" i="3"/>
  <c r="D1537" i="3"/>
  <c r="L1536" i="3"/>
  <c r="D1536" i="3"/>
  <c r="L1535" i="3"/>
  <c r="D1535" i="3"/>
  <c r="L1534" i="3"/>
  <c r="D1534" i="3"/>
  <c r="L1533" i="3"/>
  <c r="D1533" i="3"/>
  <c r="L1532" i="3"/>
  <c r="D1532" i="3"/>
  <c r="L1531" i="3"/>
  <c r="D1531" i="3"/>
  <c r="L1530" i="3"/>
  <c r="D1530" i="3"/>
  <c r="L1527" i="3"/>
  <c r="D1527" i="3"/>
  <c r="L1526" i="3"/>
  <c r="D1526" i="3"/>
  <c r="L1525" i="3"/>
  <c r="D1525" i="3"/>
  <c r="L1524" i="3"/>
  <c r="D1524" i="3"/>
  <c r="L1522" i="3"/>
  <c r="D1522" i="3"/>
  <c r="D1519" i="3"/>
  <c r="D1518" i="3"/>
  <c r="D1517" i="3"/>
  <c r="L1515" i="3"/>
  <c r="D1515" i="3"/>
  <c r="L1514" i="3"/>
  <c r="D1514" i="3"/>
  <c r="L1513" i="3"/>
  <c r="D1513" i="3"/>
  <c r="L1512" i="3"/>
  <c r="D1512" i="3"/>
  <c r="L1511" i="3"/>
  <c r="D1511" i="3"/>
  <c r="L1510" i="3"/>
  <c r="D1510" i="3"/>
  <c r="L1509" i="3"/>
  <c r="D1509" i="3"/>
  <c r="L1508" i="3"/>
  <c r="D1508" i="3"/>
  <c r="L1507" i="3"/>
  <c r="D1507" i="3"/>
  <c r="L1506" i="3"/>
  <c r="D1506" i="3"/>
  <c r="L1504" i="3"/>
  <c r="D1504" i="3"/>
  <c r="L1503" i="3"/>
  <c r="D1503" i="3"/>
  <c r="L1500" i="3"/>
  <c r="D1500" i="3"/>
  <c r="L1498" i="3"/>
  <c r="D1498" i="3"/>
  <c r="L1494" i="3"/>
  <c r="D1494" i="3"/>
  <c r="L1492" i="3"/>
  <c r="D1492" i="3"/>
  <c r="L1490" i="3"/>
  <c r="D1490" i="3"/>
  <c r="L1487" i="3"/>
  <c r="D1487" i="3"/>
  <c r="L1485" i="3"/>
  <c r="D1485" i="3"/>
  <c r="L1484" i="3"/>
  <c r="D1484" i="3"/>
  <c r="L1483" i="3"/>
  <c r="D1483" i="3"/>
  <c r="L1482" i="3"/>
  <c r="D1482" i="3"/>
  <c r="L1478" i="3"/>
  <c r="D1478" i="3"/>
  <c r="L1475" i="3"/>
  <c r="D1475" i="3"/>
  <c r="L1473" i="3"/>
  <c r="D1473" i="3"/>
  <c r="L1472" i="3"/>
  <c r="D1472" i="3"/>
  <c r="L1470" i="3"/>
  <c r="D1470" i="3"/>
  <c r="L1469" i="3"/>
  <c r="D1469" i="3"/>
  <c r="L1468" i="3"/>
  <c r="D1468" i="3"/>
  <c r="L1467" i="3"/>
  <c r="D1467" i="3"/>
  <c r="L1466" i="3"/>
  <c r="D1466" i="3"/>
  <c r="L1465" i="3"/>
  <c r="D1465" i="3"/>
  <c r="L1464" i="3"/>
  <c r="D1464" i="3"/>
  <c r="L1463" i="3"/>
  <c r="D1463" i="3"/>
  <c r="L1462" i="3"/>
  <c r="D1462" i="3"/>
  <c r="L1461" i="3"/>
  <c r="D1461" i="3"/>
  <c r="L1460" i="3"/>
  <c r="D1460" i="3"/>
  <c r="L1459" i="3"/>
  <c r="D1459" i="3"/>
  <c r="L1457" i="3"/>
  <c r="D1457" i="3"/>
  <c r="L1455" i="3"/>
  <c r="D1455" i="3"/>
  <c r="L1453" i="3"/>
  <c r="D1453" i="3"/>
  <c r="L1449" i="3"/>
  <c r="D1449" i="3"/>
  <c r="L1448" i="3"/>
  <c r="D1448" i="3"/>
  <c r="L1447" i="3"/>
  <c r="D1447" i="3"/>
  <c r="L1446" i="3"/>
  <c r="D1446" i="3"/>
  <c r="L1445" i="3"/>
  <c r="D1445" i="3"/>
  <c r="L1443" i="3"/>
  <c r="D1443" i="3"/>
  <c r="L1442" i="3"/>
  <c r="D1442" i="3"/>
  <c r="L1441" i="3"/>
  <c r="D1441" i="3"/>
  <c r="L1440" i="3"/>
  <c r="D1440" i="3"/>
  <c r="L1436" i="3"/>
  <c r="D1436" i="3"/>
  <c r="L1435" i="3"/>
  <c r="D1435" i="3"/>
  <c r="L1433" i="3"/>
  <c r="D1433" i="3"/>
  <c r="L1432" i="3"/>
  <c r="D1432" i="3"/>
  <c r="L1430" i="3"/>
  <c r="D1430" i="3"/>
  <c r="L1428" i="3"/>
  <c r="D1428" i="3"/>
  <c r="L1425" i="3"/>
  <c r="D1425" i="3"/>
  <c r="L1424" i="3"/>
  <c r="D1424" i="3"/>
  <c r="L1423" i="3"/>
  <c r="D1423" i="3"/>
  <c r="L1421" i="3"/>
  <c r="D1421" i="3"/>
  <c r="L1420" i="3"/>
  <c r="D1420" i="3"/>
  <c r="L1419" i="3"/>
  <c r="D1419" i="3"/>
  <c r="L1418" i="3"/>
  <c r="D1418" i="3"/>
  <c r="L1413" i="3"/>
  <c r="D1413" i="3"/>
  <c r="L1412" i="3"/>
  <c r="D1412" i="3"/>
  <c r="L1410" i="3"/>
  <c r="D1410" i="3"/>
  <c r="L1408" i="3"/>
  <c r="D1408" i="3"/>
  <c r="L1405" i="3"/>
  <c r="D1405" i="3"/>
  <c r="L1404" i="3"/>
  <c r="D1404" i="3"/>
  <c r="L1401" i="3"/>
  <c r="D1401" i="3"/>
  <c r="L1398" i="3"/>
  <c r="D1398" i="3"/>
  <c r="L1397" i="3"/>
  <c r="D1397" i="3"/>
  <c r="L1394" i="3"/>
  <c r="D1394" i="3"/>
  <c r="L1393" i="3"/>
  <c r="D1393" i="3"/>
  <c r="L1392" i="3"/>
  <c r="D1392" i="3"/>
  <c r="L1391" i="3"/>
  <c r="D1391" i="3"/>
  <c r="L1389" i="3"/>
  <c r="D1389" i="3"/>
  <c r="L1388" i="3"/>
  <c r="D1388" i="3"/>
  <c r="L1387" i="3"/>
  <c r="D1387" i="3"/>
  <c r="L1385" i="3"/>
  <c r="D1385" i="3"/>
  <c r="L1384" i="3"/>
  <c r="D1384" i="3"/>
  <c r="L1381" i="3"/>
  <c r="D1381" i="3"/>
  <c r="L1380" i="3"/>
  <c r="D1380" i="3"/>
  <c r="L1379" i="3"/>
  <c r="D1379" i="3"/>
  <c r="L1377" i="3"/>
  <c r="D1377" i="3"/>
  <c r="L1376" i="3"/>
  <c r="D1376" i="3"/>
  <c r="L1375" i="3"/>
  <c r="D1375" i="3"/>
  <c r="L1374" i="3"/>
  <c r="D1374" i="3"/>
  <c r="L1372" i="3"/>
  <c r="D1372" i="3"/>
  <c r="L1371" i="3"/>
  <c r="D1371" i="3"/>
  <c r="L1370" i="3"/>
  <c r="D1370" i="3"/>
  <c r="L1369" i="3"/>
  <c r="D1369" i="3"/>
  <c r="L1365" i="3"/>
  <c r="D1365" i="3"/>
  <c r="L1363" i="3"/>
  <c r="D1363" i="3"/>
  <c r="L1362" i="3"/>
  <c r="D1362" i="3"/>
  <c r="L1360" i="3"/>
  <c r="D1360" i="3"/>
  <c r="L1359" i="3"/>
  <c r="D1359" i="3"/>
  <c r="L1358" i="3"/>
  <c r="D1358" i="3"/>
  <c r="L1356" i="3"/>
  <c r="D1356" i="3"/>
  <c r="L1352" i="3"/>
  <c r="D1352" i="3"/>
  <c r="L1351" i="3"/>
  <c r="D1351" i="3"/>
  <c r="L1350" i="3"/>
  <c r="D1350" i="3"/>
  <c r="L1347" i="3"/>
  <c r="D1347" i="3"/>
  <c r="L1343" i="3"/>
  <c r="D1343" i="3"/>
  <c r="L1342" i="3"/>
  <c r="D1342" i="3"/>
  <c r="L1339" i="3"/>
  <c r="D1339" i="3"/>
  <c r="L1338" i="3"/>
  <c r="D1338" i="3"/>
  <c r="L1336" i="3"/>
  <c r="D1336" i="3"/>
  <c r="L1331" i="3"/>
  <c r="D1331" i="3"/>
  <c r="L1330" i="3"/>
  <c r="D1330" i="3"/>
  <c r="L1329" i="3"/>
  <c r="D1329" i="3"/>
  <c r="L1328" i="3"/>
  <c r="D1328" i="3"/>
  <c r="L1327" i="3"/>
  <c r="D1327" i="3"/>
  <c r="L1326" i="3"/>
  <c r="D1326" i="3"/>
  <c r="L1325" i="3"/>
  <c r="D1325" i="3"/>
  <c r="L1324" i="3"/>
  <c r="D1324" i="3"/>
  <c r="L1323" i="3"/>
  <c r="D1323" i="3"/>
  <c r="L1322" i="3"/>
  <c r="D1322" i="3"/>
  <c r="L1321" i="3"/>
  <c r="D1321" i="3"/>
  <c r="L1320" i="3"/>
  <c r="D1320" i="3"/>
  <c r="L1319" i="3"/>
  <c r="D1319" i="3"/>
  <c r="L1317" i="3"/>
  <c r="D1317" i="3"/>
  <c r="L1316" i="3"/>
  <c r="D1316" i="3"/>
  <c r="L1315" i="3"/>
  <c r="D1315" i="3"/>
  <c r="L1314" i="3"/>
  <c r="D1314" i="3"/>
  <c r="L1313" i="3"/>
  <c r="D1313" i="3"/>
  <c r="L1312" i="3"/>
  <c r="D1312" i="3"/>
  <c r="L1311" i="3"/>
  <c r="D1311" i="3"/>
  <c r="L1310" i="3"/>
  <c r="D1310" i="3"/>
  <c r="L1309" i="3"/>
  <c r="D1309" i="3"/>
  <c r="L1308" i="3"/>
  <c r="D1308" i="3"/>
  <c r="L1307" i="3"/>
  <c r="D1307" i="3"/>
  <c r="L1306" i="3"/>
  <c r="D1306" i="3"/>
  <c r="L1305" i="3"/>
  <c r="D1305" i="3"/>
  <c r="L1304" i="3"/>
  <c r="D1304" i="3"/>
  <c r="L1303" i="3"/>
  <c r="D1303" i="3"/>
  <c r="L1302" i="3"/>
  <c r="D1302" i="3"/>
  <c r="L1301" i="3"/>
  <c r="D1301" i="3"/>
  <c r="L1300" i="3"/>
  <c r="D1300" i="3"/>
  <c r="L1299" i="3"/>
  <c r="D1299" i="3"/>
  <c r="L1298" i="3"/>
  <c r="D1298" i="3"/>
  <c r="L1297" i="3"/>
  <c r="D1297" i="3"/>
  <c r="L1296" i="3"/>
  <c r="D1296" i="3"/>
  <c r="L1295" i="3"/>
  <c r="D1295" i="3"/>
  <c r="L1294" i="3"/>
  <c r="D1294" i="3"/>
  <c r="L1293" i="3"/>
  <c r="D1293" i="3"/>
  <c r="L1290" i="3"/>
  <c r="D1290" i="3"/>
  <c r="L1289" i="3"/>
  <c r="D1289" i="3"/>
  <c r="L1287" i="3"/>
  <c r="D1287" i="3"/>
  <c r="L1286" i="3"/>
  <c r="D1286" i="3"/>
  <c r="L1283" i="3"/>
  <c r="D1283" i="3"/>
  <c r="L1282" i="3"/>
  <c r="D1282" i="3"/>
  <c r="L1281" i="3"/>
  <c r="D1281" i="3"/>
  <c r="L1280" i="3"/>
  <c r="D1280" i="3"/>
  <c r="L1278" i="3"/>
  <c r="D1278" i="3"/>
  <c r="L1276" i="3"/>
  <c r="D1276" i="3"/>
  <c r="L1275" i="3"/>
  <c r="D1275" i="3"/>
  <c r="L1273" i="3"/>
  <c r="D1273" i="3"/>
  <c r="L1271" i="3"/>
  <c r="D1271" i="3"/>
  <c r="L1270" i="3"/>
  <c r="D1270" i="3"/>
  <c r="L1269" i="3"/>
  <c r="D1269" i="3"/>
  <c r="L1268" i="3"/>
  <c r="D1268" i="3"/>
  <c r="L1267" i="3"/>
  <c r="D1267" i="3"/>
  <c r="L1266" i="3"/>
  <c r="D1266" i="3"/>
  <c r="L1265" i="3"/>
  <c r="D1265" i="3"/>
  <c r="L1264" i="3"/>
  <c r="D1264" i="3"/>
  <c r="L1263" i="3"/>
  <c r="D1263" i="3"/>
  <c r="L1262" i="3"/>
  <c r="D1262" i="3"/>
  <c r="L1261" i="3"/>
  <c r="D1261" i="3"/>
  <c r="L1259" i="3"/>
  <c r="D1259" i="3"/>
  <c r="L1258" i="3"/>
  <c r="D1258" i="3"/>
  <c r="L1257" i="3"/>
  <c r="D1257" i="3"/>
  <c r="L1256" i="3"/>
  <c r="D1256" i="3"/>
  <c r="L1253" i="3"/>
  <c r="D1253" i="3"/>
  <c r="L1252" i="3"/>
  <c r="D1252" i="3"/>
  <c r="L1251" i="3"/>
  <c r="D1251" i="3"/>
  <c r="L1250" i="3"/>
  <c r="D1250" i="3"/>
  <c r="L1248" i="3"/>
  <c r="D1248" i="3"/>
  <c r="L1247" i="3"/>
  <c r="D1247" i="3"/>
  <c r="L1245" i="3"/>
  <c r="D1245" i="3"/>
  <c r="L1244" i="3"/>
  <c r="D1244" i="3"/>
  <c r="L1243" i="3"/>
  <c r="D1243" i="3"/>
  <c r="L1241" i="3"/>
  <c r="D1241" i="3"/>
  <c r="L1240" i="3"/>
  <c r="D1240" i="3"/>
  <c r="L1239" i="3"/>
  <c r="D1239" i="3"/>
  <c r="L1237" i="3"/>
  <c r="D1237" i="3"/>
  <c r="L1236" i="3"/>
  <c r="D1236" i="3"/>
  <c r="L1235" i="3"/>
  <c r="D1235" i="3"/>
  <c r="L1234" i="3"/>
  <c r="D1234" i="3"/>
  <c r="L1233" i="3"/>
  <c r="D1233" i="3"/>
  <c r="L1232" i="3"/>
  <c r="D1232" i="3"/>
  <c r="L1231" i="3"/>
  <c r="D1231" i="3"/>
  <c r="L1229" i="3"/>
  <c r="D1229" i="3"/>
  <c r="L1228" i="3"/>
  <c r="D1228" i="3"/>
  <c r="L1227" i="3"/>
  <c r="D1227" i="3"/>
  <c r="L1226" i="3"/>
  <c r="D1226" i="3"/>
  <c r="L1225" i="3"/>
  <c r="D1225" i="3"/>
  <c r="L1224" i="3"/>
  <c r="D1224" i="3"/>
  <c r="L1222" i="3"/>
  <c r="D1222" i="3"/>
  <c r="L1221" i="3"/>
  <c r="D1221" i="3"/>
  <c r="L1220" i="3"/>
  <c r="D1220" i="3"/>
  <c r="L1219" i="3"/>
  <c r="D1219" i="3"/>
  <c r="L1217" i="3"/>
  <c r="D1217" i="3"/>
  <c r="L1216" i="3"/>
  <c r="D1216" i="3"/>
  <c r="L1215" i="3"/>
  <c r="D1215" i="3"/>
  <c r="L1214" i="3"/>
  <c r="D1214" i="3"/>
  <c r="L1213" i="3"/>
  <c r="D1213" i="3"/>
  <c r="L1212" i="3"/>
  <c r="D1212" i="3"/>
  <c r="L1211" i="3"/>
  <c r="D1211" i="3"/>
  <c r="L1210" i="3"/>
  <c r="D1210" i="3"/>
  <c r="L1209" i="3"/>
  <c r="D1209" i="3"/>
  <c r="L1208" i="3"/>
  <c r="D1208" i="3"/>
  <c r="L1207" i="3"/>
  <c r="D1207" i="3"/>
  <c r="L1206" i="3"/>
  <c r="D1206" i="3"/>
  <c r="L1205" i="3"/>
  <c r="D1205" i="3"/>
  <c r="L1204" i="3"/>
  <c r="D1204" i="3"/>
  <c r="L1203" i="3"/>
  <c r="D1203" i="3"/>
  <c r="L1202" i="3"/>
  <c r="D1202" i="3"/>
  <c r="L1201" i="3"/>
  <c r="D1201" i="3"/>
  <c r="L1200" i="3"/>
  <c r="D1200" i="3"/>
  <c r="L1199" i="3"/>
  <c r="D1199" i="3"/>
  <c r="L1198" i="3"/>
  <c r="D1198" i="3"/>
  <c r="L1197" i="3"/>
  <c r="D1197" i="3"/>
  <c r="L1196" i="3"/>
  <c r="D1196" i="3"/>
  <c r="L1194" i="3"/>
  <c r="D1194" i="3"/>
  <c r="L1193" i="3"/>
  <c r="D1193" i="3"/>
  <c r="L1192" i="3"/>
  <c r="D1192" i="3"/>
  <c r="L1191" i="3"/>
  <c r="D1191" i="3"/>
  <c r="L1190" i="3"/>
  <c r="D1190" i="3"/>
  <c r="L1189" i="3"/>
  <c r="D1189" i="3"/>
  <c r="L1188" i="3"/>
  <c r="D1188" i="3"/>
  <c r="L1187" i="3"/>
  <c r="D1187" i="3"/>
  <c r="L1186" i="3"/>
  <c r="D1186" i="3"/>
  <c r="L1185" i="3"/>
  <c r="D1185" i="3"/>
  <c r="L1184" i="3"/>
  <c r="D1184" i="3"/>
  <c r="L1183" i="3"/>
  <c r="D1183" i="3"/>
  <c r="L1182" i="3"/>
  <c r="D1182" i="3"/>
  <c r="L1181" i="3"/>
  <c r="D1181" i="3"/>
  <c r="L1180" i="3"/>
  <c r="D1180" i="3"/>
  <c r="L1179" i="3"/>
  <c r="D1179" i="3"/>
  <c r="L1178" i="3"/>
  <c r="D1178" i="3"/>
  <c r="L1177" i="3"/>
  <c r="D1177" i="3"/>
  <c r="L1176" i="3"/>
  <c r="D1176" i="3"/>
  <c r="L1175" i="3"/>
  <c r="D1175" i="3"/>
  <c r="L1174" i="3"/>
  <c r="D1174" i="3"/>
  <c r="L1173" i="3"/>
  <c r="D1173" i="3"/>
  <c r="L1172" i="3"/>
  <c r="D1172" i="3"/>
  <c r="L1171" i="3"/>
  <c r="D1171" i="3"/>
  <c r="L1170" i="3"/>
  <c r="D1170" i="3"/>
  <c r="L1169" i="3"/>
  <c r="D1169" i="3"/>
  <c r="L1168" i="3"/>
  <c r="D1168" i="3"/>
  <c r="L1167" i="3"/>
  <c r="D1167" i="3"/>
  <c r="L1165" i="3"/>
  <c r="D1165" i="3"/>
  <c r="L1164" i="3"/>
  <c r="D1164" i="3"/>
  <c r="L1163" i="3"/>
  <c r="D1163" i="3"/>
  <c r="L1162" i="3"/>
  <c r="D1162" i="3"/>
  <c r="L1161" i="3"/>
  <c r="D1161" i="3"/>
  <c r="L1159" i="3"/>
  <c r="D1159" i="3"/>
  <c r="L1158" i="3"/>
  <c r="D1158" i="3"/>
  <c r="L1157" i="3"/>
  <c r="D1157" i="3"/>
  <c r="L1156" i="3"/>
  <c r="D1156" i="3"/>
  <c r="L1155" i="3"/>
  <c r="D1155" i="3"/>
  <c r="L1154" i="3"/>
  <c r="D1154" i="3"/>
  <c r="L1153" i="3"/>
  <c r="D1153" i="3"/>
  <c r="L1152" i="3"/>
  <c r="D1152" i="3"/>
  <c r="L1151" i="3"/>
  <c r="D1151" i="3"/>
  <c r="L1150" i="3"/>
  <c r="D1150" i="3"/>
  <c r="L1149" i="3"/>
  <c r="D1149" i="3"/>
  <c r="L1148" i="3"/>
  <c r="D1148" i="3"/>
  <c r="L1147" i="3"/>
  <c r="D1147" i="3"/>
  <c r="L1146" i="3"/>
  <c r="D1146" i="3"/>
  <c r="L1145" i="3"/>
  <c r="D1145" i="3"/>
  <c r="L1144" i="3"/>
  <c r="D1144" i="3"/>
  <c r="L1143" i="3"/>
  <c r="D1143" i="3"/>
  <c r="L1142" i="3"/>
  <c r="D1142" i="3"/>
  <c r="L1141" i="3"/>
  <c r="D1141" i="3"/>
  <c r="L1140" i="3"/>
  <c r="D1140" i="3"/>
  <c r="L1139" i="3"/>
  <c r="D1139" i="3"/>
  <c r="L1138" i="3"/>
  <c r="D1138" i="3"/>
  <c r="L1137" i="3"/>
  <c r="D1137" i="3"/>
  <c r="L1136" i="3"/>
  <c r="D1136" i="3"/>
  <c r="L1135" i="3"/>
  <c r="D1135" i="3"/>
  <c r="L1134" i="3"/>
  <c r="D1134" i="3"/>
  <c r="L1133" i="3"/>
  <c r="D1133" i="3"/>
  <c r="L1132" i="3"/>
  <c r="D1132" i="3"/>
  <c r="L1131" i="3"/>
  <c r="D1131" i="3"/>
  <c r="L1128" i="3"/>
  <c r="D1128" i="3"/>
  <c r="L1127" i="3"/>
  <c r="D1127" i="3"/>
  <c r="L1126" i="3"/>
  <c r="D1126" i="3"/>
  <c r="L1123" i="3"/>
  <c r="D1123" i="3"/>
  <c r="L1122" i="3"/>
  <c r="D1122" i="3"/>
  <c r="L1121" i="3"/>
  <c r="D1121" i="3"/>
  <c r="L1120" i="3"/>
  <c r="D1120" i="3"/>
  <c r="L1119" i="3"/>
  <c r="D1119" i="3"/>
  <c r="L1118" i="3"/>
  <c r="D1118" i="3"/>
  <c r="L1117" i="3"/>
  <c r="D1117" i="3"/>
  <c r="L1116" i="3"/>
  <c r="D1116" i="3"/>
  <c r="L1115" i="3"/>
  <c r="D1115" i="3"/>
  <c r="L1113" i="3"/>
  <c r="D1113" i="3"/>
  <c r="L1110" i="3"/>
  <c r="D1110" i="3"/>
  <c r="L1109" i="3"/>
  <c r="D1109" i="3"/>
  <c r="L1108" i="3"/>
  <c r="D1108" i="3"/>
  <c r="L1107" i="3"/>
  <c r="D1107" i="3"/>
  <c r="L1106" i="3"/>
  <c r="D1106" i="3"/>
  <c r="L1103" i="3"/>
  <c r="D1103" i="3"/>
  <c r="L1099" i="3"/>
  <c r="D1099" i="3"/>
  <c r="L1096" i="3"/>
  <c r="D1096" i="3"/>
  <c r="L1095" i="3"/>
  <c r="D1095" i="3"/>
  <c r="L1094" i="3"/>
  <c r="D1094" i="3"/>
  <c r="L1093" i="3"/>
  <c r="D1093" i="3"/>
  <c r="L1092" i="3"/>
  <c r="D1092" i="3"/>
  <c r="L1091" i="3"/>
  <c r="D1091" i="3"/>
  <c r="L1090" i="3"/>
  <c r="D1090" i="3"/>
  <c r="L1088" i="3"/>
  <c r="D1088" i="3"/>
  <c r="L1087" i="3"/>
  <c r="D1087" i="3"/>
  <c r="L1086" i="3"/>
  <c r="D1086" i="3"/>
  <c r="L1085" i="3"/>
  <c r="D1085" i="3"/>
  <c r="L1084" i="3"/>
  <c r="D1084" i="3"/>
  <c r="L1083" i="3"/>
  <c r="D1083" i="3"/>
  <c r="L1082" i="3"/>
  <c r="D1082" i="3"/>
  <c r="L1081" i="3"/>
  <c r="D1081" i="3"/>
  <c r="L1080" i="3"/>
  <c r="D1080" i="3"/>
  <c r="L1079" i="3"/>
  <c r="D1079" i="3"/>
  <c r="L1078" i="3"/>
  <c r="D1078" i="3"/>
  <c r="L1075" i="3"/>
  <c r="D1075" i="3"/>
  <c r="L1072" i="3"/>
  <c r="D1072" i="3"/>
  <c r="L1070" i="3"/>
  <c r="D1070" i="3"/>
  <c r="L1069" i="3"/>
  <c r="D1069" i="3"/>
  <c r="L1068" i="3"/>
  <c r="D1068" i="3"/>
  <c r="L1067" i="3"/>
  <c r="D1067" i="3"/>
  <c r="L1066" i="3"/>
  <c r="D1066" i="3"/>
  <c r="L1065" i="3"/>
  <c r="D1065" i="3"/>
  <c r="L1064" i="3"/>
  <c r="D1064" i="3"/>
  <c r="L1059" i="3"/>
  <c r="D1059" i="3"/>
  <c r="L1057" i="3"/>
  <c r="D1057" i="3"/>
  <c r="L1056" i="3"/>
  <c r="D1056" i="3"/>
  <c r="L1053" i="3"/>
  <c r="D1053" i="3"/>
  <c r="L1052" i="3"/>
  <c r="D1052" i="3"/>
  <c r="L1051" i="3"/>
  <c r="D1051" i="3"/>
  <c r="L1050" i="3"/>
  <c r="D1050" i="3"/>
  <c r="L1049" i="3"/>
  <c r="D1049" i="3"/>
  <c r="L1048" i="3"/>
  <c r="D1048" i="3"/>
  <c r="L1047" i="3"/>
  <c r="D1047" i="3"/>
  <c r="L1046" i="3"/>
  <c r="D1046" i="3"/>
  <c r="L1045" i="3"/>
  <c r="D1045" i="3"/>
  <c r="L1044" i="3"/>
  <c r="D1044" i="3"/>
  <c r="L1043" i="3"/>
  <c r="D1043" i="3"/>
  <c r="L1042" i="3"/>
  <c r="D1042" i="3"/>
  <c r="L1040" i="3"/>
  <c r="D1040" i="3"/>
  <c r="L1038" i="3"/>
  <c r="D1038" i="3"/>
  <c r="L1037" i="3"/>
  <c r="D1037" i="3"/>
  <c r="L1035" i="3"/>
  <c r="D1035" i="3"/>
  <c r="L1031" i="3"/>
  <c r="D1031" i="3"/>
  <c r="L1030" i="3"/>
  <c r="D1030" i="3"/>
  <c r="L1029" i="3"/>
  <c r="D1029" i="3"/>
  <c r="L1028" i="3"/>
  <c r="D1028" i="3"/>
  <c r="L1027" i="3"/>
  <c r="D1027" i="3"/>
  <c r="L1026" i="3"/>
  <c r="D1026" i="3"/>
  <c r="L1023" i="3"/>
  <c r="D1023" i="3"/>
  <c r="L1022" i="3"/>
  <c r="D1022" i="3"/>
  <c r="L1020" i="3"/>
  <c r="D1020" i="3"/>
  <c r="L1018" i="3"/>
  <c r="D1018" i="3"/>
  <c r="L1017" i="3"/>
  <c r="D1017" i="3"/>
  <c r="L1015" i="3"/>
  <c r="D1015" i="3"/>
  <c r="L1012" i="3"/>
  <c r="D1012" i="3"/>
  <c r="L1009" i="3"/>
  <c r="D1009" i="3"/>
  <c r="L1007" i="3"/>
  <c r="D1007" i="3"/>
  <c r="L1005" i="3"/>
  <c r="D1005" i="3"/>
  <c r="L1004" i="3"/>
  <c r="D1004" i="3"/>
  <c r="L1002" i="3"/>
  <c r="D1002" i="3"/>
  <c r="L1001" i="3"/>
  <c r="D1001" i="3"/>
  <c r="L1000" i="3"/>
  <c r="D1000" i="3"/>
  <c r="L998" i="3"/>
  <c r="D998" i="3"/>
  <c r="L994" i="3"/>
  <c r="D994" i="3"/>
  <c r="L993" i="3"/>
  <c r="D993" i="3"/>
  <c r="L992" i="3"/>
  <c r="D992" i="3"/>
  <c r="L989" i="3"/>
  <c r="D989" i="3"/>
  <c r="L988" i="3"/>
  <c r="D988" i="3"/>
  <c r="L987" i="3"/>
  <c r="D987" i="3"/>
  <c r="L986" i="3"/>
  <c r="D986" i="3"/>
  <c r="L985" i="3"/>
  <c r="D985" i="3"/>
  <c r="L982" i="3"/>
  <c r="D982" i="3"/>
  <c r="L980" i="3"/>
  <c r="D980" i="3"/>
  <c r="L978" i="3"/>
  <c r="D978" i="3"/>
  <c r="L977" i="3"/>
  <c r="D977" i="3"/>
  <c r="L976" i="3"/>
  <c r="D976" i="3"/>
  <c r="L975" i="3"/>
  <c r="D975" i="3"/>
  <c r="L970" i="3"/>
  <c r="D970" i="3"/>
  <c r="L969" i="3"/>
  <c r="D969" i="3"/>
  <c r="L968" i="3"/>
  <c r="D968" i="3"/>
  <c r="L967" i="3"/>
  <c r="D967" i="3"/>
  <c r="L966" i="3"/>
  <c r="D966" i="3"/>
  <c r="L965" i="3"/>
  <c r="D965" i="3"/>
  <c r="L964" i="3"/>
  <c r="D964" i="3"/>
  <c r="L963" i="3"/>
  <c r="D963" i="3"/>
  <c r="L962" i="3"/>
  <c r="D962" i="3"/>
  <c r="L961" i="3"/>
  <c r="D961" i="3"/>
  <c r="L959" i="3"/>
  <c r="D959" i="3"/>
  <c r="L958" i="3"/>
  <c r="D958" i="3"/>
  <c r="L956" i="3"/>
  <c r="D956" i="3"/>
  <c r="L953" i="3"/>
  <c r="D953" i="3"/>
  <c r="L951" i="3"/>
  <c r="D951" i="3"/>
  <c r="L950" i="3"/>
  <c r="D950" i="3"/>
  <c r="L949" i="3"/>
  <c r="D949" i="3"/>
  <c r="L947" i="3"/>
  <c r="D947" i="3"/>
  <c r="L946" i="3"/>
  <c r="D946" i="3"/>
  <c r="L944" i="3"/>
  <c r="D944" i="3"/>
  <c r="L941" i="3"/>
  <c r="D941" i="3"/>
  <c r="L939" i="3"/>
  <c r="D939" i="3"/>
  <c r="L937" i="3"/>
  <c r="D937" i="3"/>
  <c r="L936" i="3"/>
  <c r="D936" i="3"/>
  <c r="L935" i="3"/>
  <c r="D935" i="3"/>
  <c r="L932" i="3"/>
  <c r="D932" i="3"/>
  <c r="L931" i="3"/>
  <c r="D931" i="3"/>
  <c r="L930" i="3"/>
  <c r="D930" i="3"/>
  <c r="L929" i="3"/>
  <c r="D929" i="3"/>
  <c r="L927" i="3"/>
  <c r="D927" i="3"/>
  <c r="L926" i="3"/>
  <c r="D926" i="3"/>
  <c r="L925" i="3"/>
  <c r="D925" i="3"/>
  <c r="L923" i="3"/>
  <c r="D923" i="3"/>
  <c r="L922" i="3"/>
  <c r="D922" i="3"/>
  <c r="L921" i="3"/>
  <c r="D921" i="3"/>
  <c r="L920" i="3"/>
  <c r="D920" i="3"/>
  <c r="L919" i="3"/>
  <c r="D919" i="3"/>
  <c r="L918" i="3"/>
  <c r="D918" i="3"/>
  <c r="L917" i="3"/>
  <c r="D917" i="3"/>
  <c r="L916" i="3"/>
  <c r="D916" i="3"/>
  <c r="L915" i="3"/>
  <c r="D915" i="3"/>
  <c r="L914" i="3"/>
  <c r="D914" i="3"/>
  <c r="L913" i="3"/>
  <c r="D913" i="3"/>
  <c r="L912" i="3"/>
  <c r="D912" i="3"/>
  <c r="L910" i="3"/>
  <c r="D910" i="3"/>
  <c r="L909" i="3"/>
  <c r="D909" i="3"/>
  <c r="L908" i="3"/>
  <c r="D908" i="3"/>
  <c r="L906" i="3"/>
  <c r="D906" i="3"/>
  <c r="L905" i="3"/>
  <c r="D905" i="3"/>
  <c r="L902" i="3"/>
  <c r="D902" i="3"/>
  <c r="L899" i="3"/>
  <c r="D899" i="3"/>
  <c r="L898" i="3"/>
  <c r="D898" i="3"/>
  <c r="L897" i="3"/>
  <c r="D897" i="3"/>
  <c r="L895" i="3"/>
  <c r="D895" i="3"/>
  <c r="L894" i="3"/>
  <c r="D894" i="3"/>
  <c r="L893" i="3"/>
  <c r="D893" i="3"/>
  <c r="L892" i="3"/>
  <c r="D892" i="3"/>
  <c r="L891" i="3"/>
  <c r="D891" i="3"/>
  <c r="L890" i="3"/>
  <c r="D890" i="3"/>
  <c r="L888" i="3"/>
  <c r="D888" i="3"/>
  <c r="L887" i="3"/>
  <c r="D887" i="3"/>
  <c r="L886" i="3"/>
  <c r="D886" i="3"/>
  <c r="L885" i="3"/>
  <c r="D885" i="3"/>
  <c r="L884" i="3"/>
  <c r="D884" i="3"/>
  <c r="L883" i="3"/>
  <c r="D883" i="3"/>
  <c r="L882" i="3"/>
  <c r="D882" i="3"/>
  <c r="L881" i="3"/>
  <c r="D881" i="3"/>
  <c r="L880" i="3"/>
  <c r="D880" i="3"/>
  <c r="L879" i="3"/>
  <c r="D879" i="3"/>
  <c r="L878" i="3"/>
  <c r="D878" i="3"/>
  <c r="L877" i="3"/>
  <c r="D877" i="3"/>
  <c r="L876" i="3"/>
  <c r="D876" i="3"/>
  <c r="L875" i="3"/>
  <c r="D875" i="3"/>
  <c r="L874" i="3"/>
  <c r="D874" i="3"/>
  <c r="L873" i="3"/>
  <c r="D873" i="3"/>
  <c r="L872" i="3"/>
  <c r="D872" i="3"/>
  <c r="L871" i="3"/>
  <c r="D871" i="3"/>
  <c r="L870" i="3"/>
  <c r="D870" i="3"/>
  <c r="L867" i="3"/>
  <c r="D867" i="3"/>
  <c r="L864" i="3"/>
  <c r="D864" i="3"/>
  <c r="L862" i="3"/>
  <c r="D862" i="3"/>
  <c r="L858" i="3"/>
  <c r="D858" i="3"/>
  <c r="L856" i="3"/>
  <c r="D856" i="3"/>
  <c r="L855" i="3"/>
  <c r="D855" i="3"/>
  <c r="L854" i="3"/>
  <c r="D854" i="3"/>
  <c r="L853" i="3"/>
  <c r="D853" i="3"/>
  <c r="L852" i="3"/>
  <c r="D852" i="3"/>
  <c r="L851" i="3"/>
  <c r="D851" i="3"/>
  <c r="L850" i="3"/>
  <c r="D850" i="3"/>
  <c r="L849" i="3"/>
  <c r="D849" i="3"/>
  <c r="L848" i="3"/>
  <c r="D848" i="3"/>
  <c r="L846" i="3"/>
  <c r="D846" i="3"/>
  <c r="L843" i="3"/>
  <c r="D843" i="3"/>
  <c r="L842" i="3"/>
  <c r="D842" i="3"/>
  <c r="L840" i="3"/>
  <c r="D840" i="3"/>
  <c r="L839" i="3"/>
  <c r="D839" i="3"/>
  <c r="L838" i="3"/>
  <c r="D838" i="3"/>
  <c r="L837" i="3"/>
  <c r="D837" i="3"/>
  <c r="L836" i="3"/>
  <c r="D836" i="3"/>
  <c r="L835" i="3"/>
  <c r="D835" i="3"/>
  <c r="L834" i="3"/>
  <c r="D834" i="3"/>
  <c r="L832" i="3"/>
  <c r="D832" i="3"/>
  <c r="L831" i="3"/>
  <c r="D831" i="3"/>
  <c r="L830" i="3"/>
  <c r="D830" i="3"/>
  <c r="L829" i="3"/>
  <c r="D829" i="3"/>
  <c r="L827" i="3"/>
  <c r="D827" i="3"/>
  <c r="L826" i="3"/>
  <c r="D826" i="3"/>
  <c r="L825" i="3"/>
  <c r="D825" i="3"/>
  <c r="L824" i="3"/>
  <c r="D824" i="3"/>
  <c r="L823" i="3"/>
  <c r="D823" i="3"/>
  <c r="L822" i="3"/>
  <c r="D822" i="3"/>
  <c r="L821" i="3"/>
  <c r="D821" i="3"/>
  <c r="L820" i="3"/>
  <c r="D820" i="3"/>
  <c r="L819" i="3"/>
  <c r="D819" i="3"/>
  <c r="L818" i="3"/>
  <c r="D818" i="3"/>
  <c r="L817" i="3"/>
  <c r="D817" i="3"/>
  <c r="L816" i="3"/>
  <c r="D816" i="3"/>
  <c r="L814" i="3"/>
  <c r="D814" i="3"/>
  <c r="L813" i="3"/>
  <c r="D813" i="3"/>
  <c r="L812" i="3"/>
  <c r="D812" i="3"/>
  <c r="L811" i="3"/>
  <c r="D811" i="3"/>
  <c r="L809" i="3"/>
  <c r="D809" i="3"/>
  <c r="L807" i="3"/>
  <c r="D807" i="3"/>
  <c r="L806" i="3"/>
  <c r="D806" i="3"/>
  <c r="L805" i="3"/>
  <c r="D805" i="3"/>
  <c r="L804" i="3"/>
  <c r="D804" i="3"/>
  <c r="L803" i="3"/>
  <c r="D803" i="3"/>
  <c r="L801" i="3"/>
  <c r="D801" i="3"/>
  <c r="L800" i="3"/>
  <c r="D800" i="3"/>
  <c r="L799" i="3"/>
  <c r="D799" i="3"/>
  <c r="L798" i="3"/>
  <c r="D798" i="3"/>
  <c r="L797" i="3"/>
  <c r="D797" i="3"/>
  <c r="L796" i="3"/>
  <c r="D796" i="3"/>
  <c r="L795" i="3"/>
  <c r="D795" i="3"/>
  <c r="L794" i="3"/>
  <c r="D794" i="3"/>
  <c r="L792" i="3"/>
  <c r="D792" i="3"/>
  <c r="L791" i="3"/>
  <c r="D791" i="3"/>
  <c r="L790" i="3"/>
  <c r="D790" i="3"/>
  <c r="L789" i="3"/>
  <c r="D789" i="3"/>
  <c r="L788" i="3"/>
  <c r="D788" i="3"/>
  <c r="L787" i="3"/>
  <c r="D787" i="3"/>
  <c r="L786" i="3"/>
  <c r="D786" i="3"/>
  <c r="L785" i="3"/>
  <c r="D785" i="3"/>
  <c r="L784" i="3"/>
  <c r="D784" i="3"/>
  <c r="L783" i="3"/>
  <c r="D783" i="3"/>
  <c r="L782" i="3"/>
  <c r="D782" i="3"/>
  <c r="L781" i="3"/>
  <c r="D781" i="3"/>
  <c r="L780" i="3"/>
  <c r="D780" i="3"/>
  <c r="L779" i="3"/>
  <c r="D779" i="3"/>
  <c r="L778" i="3"/>
  <c r="D778" i="3"/>
  <c r="L777" i="3"/>
  <c r="D777" i="3"/>
  <c r="L776" i="3"/>
  <c r="D776" i="3"/>
  <c r="L775" i="3"/>
  <c r="D775" i="3"/>
  <c r="L774" i="3"/>
  <c r="D774" i="3"/>
  <c r="L773" i="3"/>
  <c r="D773" i="3"/>
  <c r="L772" i="3"/>
  <c r="D772" i="3"/>
  <c r="L771" i="3"/>
  <c r="D771" i="3"/>
  <c r="L770" i="3"/>
  <c r="D770" i="3"/>
  <c r="L769" i="3"/>
  <c r="D769" i="3"/>
  <c r="L768" i="3"/>
  <c r="D768" i="3"/>
  <c r="L767" i="3"/>
  <c r="D767" i="3"/>
  <c r="L766" i="3"/>
  <c r="D766" i="3"/>
  <c r="L765" i="3"/>
  <c r="D765" i="3"/>
  <c r="L764" i="3"/>
  <c r="D764" i="3"/>
  <c r="L763" i="3"/>
  <c r="D763" i="3"/>
  <c r="L762" i="3"/>
  <c r="D762" i="3"/>
  <c r="L761" i="3"/>
  <c r="D761" i="3"/>
  <c r="L760" i="3"/>
  <c r="D760" i="3"/>
  <c r="L759" i="3"/>
  <c r="D759" i="3"/>
  <c r="L758" i="3"/>
  <c r="D758" i="3"/>
  <c r="L757" i="3"/>
  <c r="D757" i="3"/>
  <c r="L756" i="3"/>
  <c r="D756" i="3"/>
  <c r="L754" i="3"/>
  <c r="D754" i="3"/>
  <c r="L753" i="3"/>
  <c r="D753" i="3"/>
  <c r="L752" i="3"/>
  <c r="D752" i="3"/>
  <c r="L751" i="3"/>
  <c r="D751" i="3"/>
  <c r="L750" i="3"/>
  <c r="D750" i="3"/>
  <c r="L749" i="3"/>
  <c r="D749" i="3"/>
  <c r="L748" i="3"/>
  <c r="D748" i="3"/>
  <c r="L747" i="3"/>
  <c r="D747" i="3"/>
  <c r="L746" i="3"/>
  <c r="D746" i="3"/>
  <c r="L745" i="3"/>
  <c r="D745" i="3"/>
  <c r="L744" i="3"/>
  <c r="D744" i="3"/>
  <c r="L743" i="3"/>
  <c r="D743" i="3"/>
  <c r="L742" i="3"/>
  <c r="D742" i="3"/>
  <c r="L741" i="3"/>
  <c r="D741" i="3"/>
  <c r="L740" i="3"/>
  <c r="D740" i="3"/>
  <c r="L739" i="3"/>
  <c r="D739" i="3"/>
  <c r="L738" i="3"/>
  <c r="D738" i="3"/>
  <c r="L737" i="3"/>
  <c r="D737" i="3"/>
  <c r="L736" i="3"/>
  <c r="D736" i="3"/>
  <c r="L734" i="3"/>
  <c r="D734" i="3"/>
  <c r="L733" i="3"/>
  <c r="D733" i="3"/>
  <c r="L732" i="3"/>
  <c r="D732" i="3"/>
  <c r="L731" i="3"/>
  <c r="D731" i="3"/>
  <c r="L730" i="3"/>
  <c r="D730" i="3"/>
  <c r="L729" i="3"/>
  <c r="D729" i="3"/>
  <c r="L728" i="3"/>
  <c r="D728" i="3"/>
  <c r="L727" i="3"/>
  <c r="D727" i="3"/>
  <c r="L726" i="3"/>
  <c r="D726" i="3"/>
  <c r="L725" i="3"/>
  <c r="D725" i="3"/>
  <c r="L724" i="3"/>
  <c r="D724" i="3"/>
  <c r="L723" i="3"/>
  <c r="D723" i="3"/>
  <c r="L722" i="3"/>
  <c r="D722" i="3"/>
  <c r="L721" i="3"/>
  <c r="D721" i="3"/>
  <c r="L720" i="3"/>
  <c r="D720" i="3"/>
  <c r="L719" i="3"/>
  <c r="D719" i="3"/>
  <c r="L718" i="3"/>
  <c r="D718" i="3"/>
  <c r="L717" i="3"/>
  <c r="D717" i="3"/>
  <c r="L716" i="3"/>
  <c r="D716" i="3"/>
  <c r="L715" i="3"/>
  <c r="D715" i="3"/>
  <c r="L714" i="3"/>
  <c r="D714" i="3"/>
  <c r="L713" i="3"/>
  <c r="D713" i="3"/>
  <c r="L712" i="3"/>
  <c r="D712" i="3"/>
  <c r="L711" i="3"/>
  <c r="D711" i="3"/>
  <c r="L710" i="3"/>
  <c r="D710" i="3"/>
  <c r="L709" i="3"/>
  <c r="D709" i="3"/>
  <c r="L708" i="3"/>
  <c r="D708" i="3"/>
  <c r="L707" i="3"/>
  <c r="D707" i="3"/>
  <c r="L705" i="3"/>
  <c r="D705" i="3"/>
  <c r="L704" i="3"/>
  <c r="D704" i="3"/>
  <c r="L703" i="3"/>
  <c r="D703" i="3"/>
  <c r="L702" i="3"/>
  <c r="D702" i="3"/>
  <c r="L701" i="3"/>
  <c r="D701" i="3"/>
  <c r="L700" i="3"/>
  <c r="D700" i="3"/>
  <c r="L699" i="3"/>
  <c r="D699" i="3"/>
  <c r="L698" i="3"/>
  <c r="D698" i="3"/>
  <c r="L697" i="3"/>
  <c r="D697" i="3"/>
  <c r="L696" i="3"/>
  <c r="D696" i="3"/>
  <c r="L695" i="3"/>
  <c r="D695" i="3"/>
  <c r="L694" i="3"/>
  <c r="D694" i="3"/>
  <c r="L693" i="3"/>
  <c r="D693" i="3"/>
  <c r="L692" i="3"/>
  <c r="D692" i="3"/>
  <c r="L691" i="3"/>
  <c r="D691" i="3"/>
  <c r="L690" i="3"/>
  <c r="D690" i="3"/>
  <c r="L689" i="3"/>
  <c r="D689" i="3"/>
  <c r="L688" i="3"/>
  <c r="D688" i="3"/>
  <c r="L687" i="3"/>
  <c r="D687" i="3"/>
  <c r="L686" i="3"/>
  <c r="D686" i="3"/>
  <c r="L685" i="3"/>
  <c r="D685" i="3"/>
  <c r="L684" i="3"/>
  <c r="D684" i="3"/>
  <c r="L683" i="3"/>
  <c r="D683" i="3"/>
  <c r="L682" i="3"/>
  <c r="D682" i="3"/>
  <c r="L680" i="3"/>
  <c r="D680" i="3"/>
  <c r="L679" i="3"/>
  <c r="D679" i="3"/>
  <c r="L678" i="3"/>
  <c r="D678" i="3"/>
  <c r="L677" i="3"/>
  <c r="D677" i="3"/>
  <c r="L676" i="3"/>
  <c r="D676" i="3"/>
  <c r="L675" i="3"/>
  <c r="D675" i="3"/>
  <c r="L674" i="3"/>
  <c r="D674" i="3"/>
  <c r="L673" i="3"/>
  <c r="D673" i="3"/>
  <c r="L672" i="3"/>
  <c r="D672" i="3"/>
  <c r="L671" i="3"/>
  <c r="D671" i="3"/>
  <c r="L670" i="3"/>
  <c r="D670" i="3"/>
  <c r="L669" i="3"/>
  <c r="D669" i="3"/>
  <c r="L668" i="3"/>
  <c r="D668" i="3"/>
  <c r="L666" i="3"/>
  <c r="D666" i="3"/>
  <c r="L665" i="3"/>
  <c r="D665" i="3"/>
  <c r="L664" i="3"/>
  <c r="D664" i="3"/>
  <c r="L662" i="3"/>
  <c r="D662" i="3"/>
  <c r="L661" i="3"/>
  <c r="D661" i="3"/>
  <c r="L660" i="3"/>
  <c r="D660" i="3"/>
  <c r="L659" i="3"/>
  <c r="D659" i="3"/>
  <c r="L658" i="3"/>
  <c r="D658" i="3"/>
  <c r="L657" i="3"/>
  <c r="D657" i="3"/>
  <c r="L656" i="3"/>
  <c r="D656" i="3"/>
  <c r="L655" i="3"/>
  <c r="D655" i="3"/>
  <c r="L654" i="3"/>
  <c r="D654" i="3"/>
  <c r="L651" i="3"/>
  <c r="D651" i="3"/>
  <c r="L649" i="3"/>
  <c r="D649" i="3"/>
  <c r="L648" i="3"/>
  <c r="D648" i="3"/>
  <c r="L647" i="3"/>
  <c r="D647" i="3"/>
  <c r="L646" i="3"/>
  <c r="D646" i="3"/>
  <c r="L645" i="3"/>
  <c r="D645" i="3"/>
  <c r="L644" i="3"/>
  <c r="D644" i="3"/>
  <c r="L642" i="3"/>
  <c r="D642" i="3"/>
  <c r="L640" i="3"/>
  <c r="D640" i="3"/>
  <c r="L639" i="3"/>
  <c r="D639" i="3"/>
  <c r="L638" i="3"/>
  <c r="D638" i="3"/>
  <c r="L637" i="3"/>
  <c r="D637" i="3"/>
  <c r="L636" i="3"/>
  <c r="D636" i="3"/>
  <c r="L635" i="3"/>
  <c r="D635" i="3"/>
  <c r="L634" i="3"/>
  <c r="D634" i="3"/>
  <c r="L633" i="3"/>
  <c r="D633" i="3"/>
  <c r="L632" i="3"/>
  <c r="D632" i="3"/>
  <c r="L631" i="3"/>
  <c r="D631" i="3"/>
  <c r="L630" i="3"/>
  <c r="D630" i="3"/>
  <c r="L628" i="3"/>
  <c r="D628" i="3"/>
  <c r="L627" i="3"/>
  <c r="D627" i="3"/>
  <c r="L626" i="3"/>
  <c r="D626" i="3"/>
  <c r="L625" i="3"/>
  <c r="D625" i="3"/>
  <c r="L624" i="3"/>
  <c r="D624" i="3"/>
  <c r="L623" i="3"/>
  <c r="D623" i="3"/>
  <c r="L622" i="3"/>
  <c r="D622" i="3"/>
  <c r="L620" i="3"/>
  <c r="D620" i="3"/>
  <c r="L619" i="3"/>
  <c r="D619" i="3"/>
  <c r="L618" i="3"/>
  <c r="D618" i="3"/>
  <c r="L616" i="3"/>
  <c r="D616" i="3"/>
  <c r="L615" i="3"/>
  <c r="D615" i="3"/>
  <c r="L614" i="3"/>
  <c r="D614" i="3"/>
  <c r="L612" i="3"/>
  <c r="D612" i="3"/>
  <c r="L611" i="3"/>
  <c r="D611" i="3"/>
  <c r="L608" i="3"/>
  <c r="D608" i="3"/>
  <c r="L607" i="3"/>
  <c r="D607" i="3"/>
  <c r="L605" i="3"/>
  <c r="D605" i="3"/>
  <c r="L603" i="3"/>
  <c r="D603" i="3"/>
  <c r="L602" i="3"/>
  <c r="D602" i="3"/>
  <c r="L600" i="3"/>
  <c r="D600" i="3"/>
  <c r="L598" i="3"/>
  <c r="D598" i="3"/>
  <c r="L596" i="3"/>
  <c r="D596" i="3"/>
  <c r="L593" i="3"/>
  <c r="D593" i="3"/>
  <c r="L590" i="3"/>
  <c r="D590" i="3"/>
  <c r="L588" i="3"/>
  <c r="D588" i="3"/>
  <c r="L586" i="3"/>
  <c r="D586" i="3"/>
  <c r="L583" i="3"/>
  <c r="D583" i="3"/>
  <c r="L582" i="3"/>
  <c r="D582" i="3"/>
  <c r="L580" i="3"/>
  <c r="D580" i="3"/>
  <c r="L579" i="3"/>
  <c r="D579" i="3"/>
  <c r="L578" i="3"/>
  <c r="D578" i="3"/>
  <c r="L576" i="3"/>
  <c r="D576" i="3"/>
  <c r="L574" i="3"/>
  <c r="D574" i="3"/>
  <c r="L573" i="3"/>
  <c r="D573" i="3"/>
  <c r="L571" i="3"/>
  <c r="D571" i="3"/>
  <c r="L570" i="3"/>
  <c r="D570" i="3"/>
  <c r="L569" i="3"/>
  <c r="D569" i="3"/>
  <c r="L568" i="3"/>
  <c r="D568" i="3"/>
  <c r="L565" i="3"/>
  <c r="D565" i="3"/>
  <c r="L563" i="3"/>
  <c r="D563" i="3"/>
  <c r="L560" i="3"/>
  <c r="D560" i="3"/>
  <c r="L559" i="3"/>
  <c r="D559" i="3"/>
  <c r="L558" i="3"/>
  <c r="D558" i="3"/>
  <c r="L557" i="3"/>
  <c r="D557" i="3"/>
  <c r="L555" i="3"/>
  <c r="D555" i="3"/>
  <c r="L554" i="3"/>
  <c r="D554" i="3"/>
  <c r="L553" i="3"/>
  <c r="D553" i="3"/>
  <c r="L552" i="3"/>
  <c r="D552" i="3"/>
  <c r="L550" i="3"/>
  <c r="D550" i="3"/>
  <c r="L549" i="3"/>
  <c r="D549" i="3"/>
  <c r="L548" i="3"/>
  <c r="D548" i="3"/>
  <c r="L546" i="3"/>
  <c r="D546" i="3"/>
  <c r="L545" i="3"/>
  <c r="D545" i="3"/>
  <c r="L544" i="3"/>
  <c r="D544" i="3"/>
  <c r="L543" i="3"/>
  <c r="D543" i="3"/>
  <c r="L538" i="3"/>
  <c r="D538" i="3"/>
  <c r="L537" i="3"/>
  <c r="D537" i="3"/>
  <c r="L535" i="3"/>
  <c r="D535" i="3"/>
  <c r="L534" i="3"/>
  <c r="D534" i="3"/>
  <c r="L533" i="3"/>
  <c r="D533" i="3"/>
  <c r="L530" i="3"/>
  <c r="D530" i="3"/>
  <c r="L529" i="3"/>
  <c r="D529" i="3"/>
  <c r="L528" i="3"/>
  <c r="D528" i="3"/>
  <c r="L527" i="3"/>
  <c r="D527" i="3"/>
  <c r="L526" i="3"/>
  <c r="D526" i="3"/>
  <c r="L524" i="3"/>
  <c r="D524" i="3"/>
  <c r="L523" i="3"/>
  <c r="D523" i="3"/>
  <c r="L522" i="3"/>
  <c r="D522" i="3"/>
  <c r="L520" i="3"/>
  <c r="D520" i="3"/>
  <c r="L519" i="3"/>
  <c r="D519" i="3"/>
  <c r="L518" i="3"/>
  <c r="D518" i="3"/>
  <c r="L515" i="3"/>
  <c r="D515" i="3"/>
  <c r="L514" i="3"/>
  <c r="D514" i="3"/>
  <c r="L512" i="3"/>
  <c r="D512" i="3"/>
  <c r="L511" i="3"/>
  <c r="D511" i="3"/>
  <c r="L510" i="3"/>
  <c r="D510" i="3"/>
  <c r="L509" i="3"/>
  <c r="D509" i="3"/>
  <c r="L507" i="3"/>
  <c r="D507" i="3"/>
  <c r="L506" i="3"/>
  <c r="D506" i="3"/>
  <c r="D505" i="3"/>
  <c r="L502" i="3"/>
  <c r="D502" i="3"/>
  <c r="L501" i="3"/>
  <c r="D501" i="3"/>
  <c r="L500" i="3"/>
  <c r="D500" i="3"/>
  <c r="L496" i="3"/>
  <c r="D496" i="3"/>
  <c r="L495" i="3"/>
  <c r="D495" i="3"/>
  <c r="L493" i="3"/>
  <c r="D493" i="3"/>
  <c r="L492" i="3"/>
  <c r="D492" i="3"/>
  <c r="L491" i="3"/>
  <c r="D491" i="3"/>
  <c r="L489" i="3"/>
  <c r="D489" i="3"/>
  <c r="L488" i="3"/>
  <c r="D488" i="3"/>
  <c r="L487" i="3"/>
  <c r="D487" i="3"/>
  <c r="L486" i="3"/>
  <c r="D486" i="3"/>
  <c r="L484" i="3"/>
  <c r="D484" i="3"/>
  <c r="L483" i="3"/>
  <c r="D483" i="3"/>
  <c r="L481" i="3"/>
  <c r="D481" i="3"/>
  <c r="L480" i="3"/>
  <c r="D480" i="3"/>
  <c r="L479" i="3"/>
  <c r="D479" i="3"/>
  <c r="L476" i="3"/>
  <c r="D476" i="3"/>
  <c r="L475" i="3"/>
  <c r="D475" i="3"/>
  <c r="L472" i="3"/>
  <c r="D472" i="3"/>
  <c r="L471" i="3"/>
  <c r="D471" i="3"/>
  <c r="L469" i="3"/>
  <c r="D469" i="3"/>
  <c r="L468" i="3"/>
  <c r="D468" i="3"/>
  <c r="L467" i="3"/>
  <c r="D467" i="3"/>
  <c r="L466" i="3"/>
  <c r="D466" i="3"/>
  <c r="L465" i="3"/>
  <c r="D465" i="3"/>
  <c r="L464" i="3"/>
  <c r="D464" i="3"/>
  <c r="L463" i="3"/>
  <c r="D463" i="3"/>
  <c r="L461" i="3"/>
  <c r="D461" i="3"/>
  <c r="L459" i="3"/>
  <c r="D459" i="3"/>
  <c r="L458" i="3"/>
  <c r="D458" i="3"/>
  <c r="L457" i="3"/>
  <c r="D457" i="3"/>
  <c r="L456" i="3"/>
  <c r="D456" i="3"/>
  <c r="L455" i="3"/>
  <c r="D455" i="3"/>
  <c r="L454" i="3"/>
  <c r="D454" i="3"/>
  <c r="L453" i="3"/>
  <c r="D453" i="3"/>
  <c r="L452" i="3"/>
  <c r="D452" i="3"/>
  <c r="L451" i="3"/>
  <c r="D451" i="3"/>
  <c r="L450" i="3"/>
  <c r="D450" i="3"/>
  <c r="L449" i="3"/>
  <c r="D449" i="3"/>
  <c r="L448" i="3"/>
  <c r="D448" i="3"/>
  <c r="L446" i="3"/>
  <c r="D446" i="3"/>
  <c r="L445" i="3"/>
  <c r="D445" i="3"/>
  <c r="L444" i="3"/>
  <c r="D444" i="3"/>
  <c r="L443" i="3"/>
  <c r="D443" i="3"/>
  <c r="L442" i="3"/>
  <c r="D442" i="3"/>
  <c r="L441" i="3"/>
  <c r="D441" i="3"/>
  <c r="L437" i="3"/>
  <c r="D437" i="3"/>
  <c r="L436" i="3"/>
  <c r="D436" i="3"/>
  <c r="L435" i="3"/>
  <c r="D435" i="3"/>
  <c r="L433" i="3"/>
  <c r="D433" i="3"/>
  <c r="L432" i="3"/>
  <c r="D432" i="3"/>
  <c r="L431" i="3"/>
  <c r="D431" i="3"/>
  <c r="L429" i="3"/>
  <c r="D429" i="3"/>
  <c r="L428" i="3"/>
  <c r="D428" i="3"/>
  <c r="L427" i="3"/>
  <c r="D427" i="3"/>
  <c r="L426" i="3"/>
  <c r="D426" i="3"/>
  <c r="L425" i="3"/>
  <c r="D425" i="3"/>
  <c r="L424" i="3"/>
  <c r="D424" i="3"/>
  <c r="L423" i="3"/>
  <c r="D423" i="3"/>
  <c r="L422" i="3"/>
  <c r="D422" i="3"/>
  <c r="L421" i="3"/>
  <c r="D421" i="3"/>
  <c r="L420" i="3"/>
  <c r="D420" i="3"/>
  <c r="L419" i="3"/>
  <c r="D419" i="3"/>
  <c r="L418" i="3"/>
  <c r="D418" i="3"/>
  <c r="L417" i="3"/>
  <c r="D417" i="3"/>
  <c r="L416" i="3"/>
  <c r="D416" i="3"/>
  <c r="L415" i="3"/>
  <c r="D415" i="3"/>
  <c r="L414" i="3"/>
  <c r="D414" i="3"/>
  <c r="L413" i="3"/>
  <c r="D413" i="3"/>
  <c r="L412" i="3"/>
  <c r="D412" i="3"/>
  <c r="L411" i="3"/>
  <c r="D411" i="3"/>
  <c r="L410" i="3"/>
  <c r="D410" i="3"/>
  <c r="L409" i="3"/>
  <c r="D409" i="3"/>
  <c r="L408" i="3"/>
  <c r="D408" i="3"/>
  <c r="L407" i="3"/>
  <c r="D407" i="3"/>
  <c r="L405" i="3"/>
  <c r="D405" i="3"/>
  <c r="L404" i="3"/>
  <c r="D404" i="3"/>
  <c r="L403" i="3"/>
  <c r="D403" i="3"/>
  <c r="L401" i="3"/>
  <c r="D401" i="3"/>
  <c r="L400" i="3"/>
  <c r="D400" i="3"/>
  <c r="L399" i="3"/>
  <c r="D399" i="3"/>
  <c r="L398" i="3"/>
  <c r="D398" i="3"/>
  <c r="L397" i="3"/>
  <c r="D397" i="3"/>
  <c r="L396" i="3"/>
  <c r="D396" i="3"/>
  <c r="L395" i="3"/>
  <c r="D395" i="3"/>
  <c r="L394" i="3"/>
  <c r="D394" i="3"/>
  <c r="L393" i="3"/>
  <c r="D393" i="3"/>
  <c r="L392" i="3"/>
  <c r="D392" i="3"/>
  <c r="L391" i="3"/>
  <c r="D391" i="3"/>
  <c r="L390" i="3"/>
  <c r="D390" i="3"/>
  <c r="L389" i="3"/>
  <c r="D389" i="3"/>
  <c r="L388" i="3"/>
  <c r="D388" i="3"/>
  <c r="L387" i="3"/>
  <c r="D387" i="3"/>
  <c r="L386" i="3"/>
  <c r="D386" i="3"/>
  <c r="L385" i="3"/>
  <c r="D385" i="3"/>
  <c r="L384" i="3"/>
  <c r="D384" i="3"/>
  <c r="L383" i="3"/>
  <c r="D383" i="3"/>
  <c r="L382" i="3"/>
  <c r="D382" i="3"/>
  <c r="L381" i="3"/>
  <c r="D381" i="3"/>
  <c r="L380" i="3"/>
  <c r="D380" i="3"/>
  <c r="L379" i="3"/>
  <c r="D379" i="3"/>
  <c r="L378" i="3"/>
  <c r="D378" i="3"/>
  <c r="L377" i="3"/>
  <c r="D377" i="3"/>
  <c r="L376" i="3"/>
  <c r="D376" i="3"/>
  <c r="L375" i="3"/>
  <c r="D375" i="3"/>
  <c r="L374" i="3"/>
  <c r="D374" i="3"/>
  <c r="L373" i="3"/>
  <c r="D373" i="3"/>
  <c r="L372" i="3"/>
  <c r="D372" i="3"/>
  <c r="L371" i="3"/>
  <c r="D371" i="3"/>
  <c r="L370" i="3"/>
  <c r="D370" i="3"/>
  <c r="L369" i="3"/>
  <c r="D369" i="3"/>
  <c r="L368" i="3"/>
  <c r="D368" i="3"/>
  <c r="L367" i="3"/>
  <c r="D367" i="3"/>
  <c r="L366" i="3"/>
  <c r="D366" i="3"/>
  <c r="L365" i="3"/>
  <c r="D365" i="3"/>
  <c r="L364" i="3"/>
  <c r="D364" i="3"/>
  <c r="L363" i="3"/>
  <c r="D363" i="3"/>
  <c r="L362" i="3"/>
  <c r="D362" i="3"/>
  <c r="L361" i="3"/>
  <c r="D361" i="3"/>
  <c r="L360" i="3"/>
  <c r="D360" i="3"/>
  <c r="L359" i="3"/>
  <c r="D359" i="3"/>
  <c r="L358" i="3"/>
  <c r="D358" i="3"/>
  <c r="L357" i="3"/>
  <c r="D357" i="3"/>
  <c r="L356" i="3"/>
  <c r="D356" i="3"/>
  <c r="L355" i="3"/>
  <c r="D355" i="3"/>
  <c r="L354" i="3"/>
  <c r="D354" i="3"/>
  <c r="L353" i="3"/>
  <c r="D353" i="3"/>
  <c r="L352" i="3"/>
  <c r="D352" i="3"/>
  <c r="L351" i="3"/>
  <c r="D351" i="3"/>
  <c r="L350" i="3"/>
  <c r="D350" i="3"/>
  <c r="L349" i="3"/>
  <c r="D349" i="3"/>
  <c r="L348" i="3"/>
  <c r="D348" i="3"/>
  <c r="L347" i="3"/>
  <c r="D347" i="3"/>
  <c r="L343" i="3"/>
  <c r="D343" i="3"/>
  <c r="L341" i="3"/>
  <c r="D341" i="3"/>
  <c r="L338" i="3"/>
  <c r="D338" i="3"/>
  <c r="L336" i="3"/>
  <c r="D336" i="3"/>
  <c r="L335" i="3"/>
  <c r="D335" i="3"/>
  <c r="L333" i="3"/>
  <c r="D333" i="3"/>
  <c r="L332" i="3"/>
  <c r="D332" i="3"/>
  <c r="L330" i="3"/>
  <c r="D330" i="3"/>
  <c r="L329" i="3"/>
  <c r="D329" i="3"/>
  <c r="L328" i="3"/>
  <c r="D328" i="3"/>
  <c r="L326" i="3"/>
  <c r="D326" i="3"/>
  <c r="L325" i="3"/>
  <c r="D325" i="3"/>
  <c r="L323" i="3"/>
  <c r="D323" i="3"/>
  <c r="L322" i="3"/>
  <c r="D322" i="3"/>
  <c r="L321" i="3"/>
  <c r="D321" i="3"/>
  <c r="L320" i="3"/>
  <c r="D320" i="3"/>
  <c r="L319" i="3"/>
  <c r="D319" i="3"/>
  <c r="L318" i="3"/>
  <c r="D318" i="3"/>
  <c r="L317" i="3"/>
  <c r="D317" i="3"/>
  <c r="L316" i="3"/>
  <c r="D316" i="3"/>
  <c r="L314" i="3"/>
  <c r="D314" i="3"/>
  <c r="L313" i="3"/>
  <c r="D313" i="3"/>
  <c r="L312" i="3"/>
  <c r="D312" i="3"/>
  <c r="L311" i="3"/>
  <c r="D311" i="3"/>
  <c r="L310" i="3"/>
  <c r="D310" i="3"/>
  <c r="L309" i="3"/>
  <c r="D309" i="3"/>
  <c r="L308" i="3"/>
  <c r="D308" i="3"/>
  <c r="L307" i="3"/>
  <c r="D307" i="3"/>
  <c r="L306" i="3"/>
  <c r="D306" i="3"/>
  <c r="L305" i="3"/>
  <c r="D305" i="3"/>
  <c r="L304" i="3"/>
  <c r="D304" i="3"/>
  <c r="L303" i="3"/>
  <c r="D303" i="3"/>
  <c r="L302" i="3"/>
  <c r="D302" i="3"/>
  <c r="L301" i="3"/>
  <c r="D301" i="3"/>
  <c r="L300" i="3"/>
  <c r="D300" i="3"/>
  <c r="L299" i="3"/>
  <c r="D299" i="3"/>
  <c r="L298" i="3"/>
  <c r="D298" i="3"/>
  <c r="L295" i="3"/>
  <c r="D295" i="3"/>
  <c r="L293" i="3"/>
  <c r="D293" i="3"/>
  <c r="L290" i="3"/>
  <c r="D290" i="3"/>
  <c r="L289" i="3"/>
  <c r="D289" i="3"/>
  <c r="L288" i="3"/>
  <c r="D288" i="3"/>
  <c r="L286" i="3"/>
  <c r="D286" i="3"/>
  <c r="L285" i="3"/>
  <c r="D285" i="3"/>
  <c r="L284" i="3"/>
  <c r="D284" i="3"/>
  <c r="L283" i="3"/>
  <c r="D283" i="3"/>
  <c r="L282" i="3"/>
  <c r="D282" i="3"/>
  <c r="L281" i="3"/>
  <c r="D281" i="3"/>
  <c r="L280" i="3"/>
  <c r="D280" i="3"/>
  <c r="L279" i="3"/>
  <c r="D279" i="3"/>
  <c r="L278" i="3"/>
  <c r="D278" i="3"/>
  <c r="L277" i="3"/>
  <c r="D277" i="3"/>
  <c r="L275" i="3"/>
  <c r="D275" i="3"/>
  <c r="L274" i="3"/>
  <c r="D274" i="3"/>
  <c r="L273" i="3"/>
  <c r="D273" i="3"/>
  <c r="L272" i="3"/>
  <c r="D272" i="3"/>
  <c r="L269" i="3"/>
  <c r="D269" i="3"/>
  <c r="L267" i="3"/>
  <c r="D267" i="3"/>
  <c r="L266" i="3"/>
  <c r="D266" i="3"/>
  <c r="L265" i="3"/>
  <c r="D265" i="3"/>
  <c r="L263" i="3"/>
  <c r="D263" i="3"/>
  <c r="L262" i="3"/>
  <c r="D262" i="3"/>
  <c r="L261" i="3"/>
  <c r="D261" i="3"/>
  <c r="L259" i="3"/>
  <c r="D259" i="3"/>
  <c r="L258" i="3"/>
  <c r="D258" i="3"/>
  <c r="L257" i="3"/>
  <c r="D257" i="3"/>
  <c r="L256" i="3"/>
  <c r="D256" i="3"/>
  <c r="L255" i="3"/>
  <c r="D255" i="3"/>
  <c r="L251" i="3"/>
  <c r="D251" i="3"/>
  <c r="L250" i="3"/>
  <c r="D250" i="3"/>
  <c r="L247" i="3"/>
  <c r="D247" i="3"/>
  <c r="L243" i="3"/>
  <c r="D243" i="3"/>
  <c r="L242" i="3"/>
  <c r="D242" i="3"/>
  <c r="L241" i="3"/>
  <c r="D241" i="3"/>
  <c r="L240" i="3"/>
  <c r="D240" i="3"/>
  <c r="L239" i="3"/>
  <c r="D239" i="3"/>
  <c r="L238" i="3"/>
  <c r="D238" i="3"/>
  <c r="L237" i="3"/>
  <c r="D237" i="3"/>
  <c r="L236" i="3"/>
  <c r="D236" i="3"/>
  <c r="L234" i="3"/>
  <c r="D234" i="3"/>
  <c r="L233" i="3"/>
  <c r="D233" i="3"/>
  <c r="L232" i="3"/>
  <c r="D232" i="3"/>
  <c r="L231" i="3"/>
  <c r="D231" i="3"/>
  <c r="L228" i="3"/>
  <c r="D228" i="3"/>
  <c r="L226" i="3"/>
  <c r="D226" i="3"/>
  <c r="L223" i="3"/>
  <c r="D223" i="3"/>
  <c r="L222" i="3"/>
  <c r="D222" i="3"/>
  <c r="L220" i="3"/>
  <c r="D220" i="3"/>
  <c r="L219" i="3"/>
  <c r="D219" i="3"/>
  <c r="L218" i="3"/>
  <c r="D218" i="3"/>
  <c r="L217" i="3"/>
  <c r="D217" i="3"/>
  <c r="L216" i="3"/>
  <c r="D216" i="3"/>
  <c r="L215" i="3"/>
  <c r="D215" i="3"/>
  <c r="L214" i="3"/>
  <c r="D214" i="3"/>
  <c r="L213" i="3"/>
  <c r="D213" i="3"/>
  <c r="L212" i="3"/>
  <c r="D212" i="3"/>
  <c r="L211" i="3"/>
  <c r="D211" i="3"/>
  <c r="L208" i="3"/>
  <c r="D208" i="3"/>
  <c r="L206" i="3"/>
  <c r="D206" i="3"/>
  <c r="L203" i="3"/>
  <c r="D203" i="3"/>
  <c r="L201" i="3"/>
  <c r="D201" i="3"/>
  <c r="L198" i="3"/>
  <c r="D198" i="3"/>
  <c r="L197" i="3"/>
  <c r="D197" i="3"/>
  <c r="L196" i="3"/>
  <c r="D196" i="3"/>
  <c r="L195" i="3"/>
  <c r="D195" i="3"/>
  <c r="L194" i="3"/>
  <c r="D194" i="3"/>
  <c r="L192" i="3"/>
  <c r="D192" i="3"/>
  <c r="L191" i="3"/>
  <c r="D191" i="3"/>
  <c r="L190" i="3"/>
  <c r="D190" i="3"/>
  <c r="L189" i="3"/>
  <c r="D189" i="3"/>
  <c r="L188" i="3"/>
  <c r="D188" i="3"/>
  <c r="L187" i="3"/>
  <c r="D187" i="3"/>
  <c r="L186" i="3"/>
  <c r="D186" i="3"/>
  <c r="L185" i="3"/>
  <c r="D185" i="3"/>
  <c r="L184" i="3"/>
  <c r="D184" i="3"/>
  <c r="L183" i="3"/>
  <c r="D183" i="3"/>
  <c r="L182" i="3"/>
  <c r="D182" i="3"/>
  <c r="L181" i="3"/>
  <c r="D181" i="3"/>
  <c r="L179" i="3"/>
  <c r="D179" i="3"/>
  <c r="L178" i="3"/>
  <c r="D178" i="3"/>
  <c r="L176" i="3"/>
  <c r="D176" i="3"/>
  <c r="L172" i="3"/>
  <c r="D172" i="3"/>
  <c r="L170" i="3"/>
  <c r="D170" i="3"/>
  <c r="L169" i="3"/>
  <c r="D169" i="3"/>
  <c r="L166" i="3"/>
  <c r="D166" i="3"/>
  <c r="L165" i="3"/>
  <c r="D165" i="3"/>
  <c r="L164" i="3"/>
  <c r="D164" i="3"/>
  <c r="L163" i="3"/>
  <c r="D163" i="3"/>
  <c r="L162" i="3"/>
  <c r="D162" i="3"/>
  <c r="L161" i="3"/>
  <c r="D161" i="3"/>
  <c r="L160" i="3"/>
  <c r="D160" i="3"/>
  <c r="L159" i="3"/>
  <c r="D159" i="3"/>
  <c r="L158" i="3"/>
  <c r="D158" i="3"/>
  <c r="L157" i="3"/>
  <c r="D157" i="3"/>
  <c r="L156" i="3"/>
  <c r="D156" i="3"/>
  <c r="L155" i="3"/>
  <c r="D155" i="3"/>
  <c r="L154" i="3"/>
  <c r="D154" i="3"/>
  <c r="L153" i="3"/>
  <c r="D153" i="3"/>
  <c r="L152" i="3"/>
  <c r="D152" i="3"/>
  <c r="L151" i="3"/>
  <c r="D151" i="3"/>
  <c r="L150" i="3"/>
  <c r="D150" i="3"/>
  <c r="L148" i="3"/>
  <c r="D148" i="3"/>
  <c r="L147" i="3"/>
  <c r="D147" i="3"/>
  <c r="L145" i="3"/>
  <c r="D145" i="3"/>
  <c r="L144" i="3"/>
  <c r="D144" i="3"/>
  <c r="L143" i="3"/>
  <c r="D143" i="3"/>
  <c r="L142" i="3"/>
  <c r="D142" i="3"/>
  <c r="L141" i="3"/>
  <c r="D141" i="3"/>
  <c r="L137" i="3"/>
  <c r="D137" i="3"/>
  <c r="L135" i="3"/>
  <c r="D135" i="3"/>
  <c r="L132" i="3"/>
  <c r="D132" i="3"/>
  <c r="L131" i="3"/>
  <c r="D131" i="3"/>
  <c r="L130" i="3"/>
  <c r="D130" i="3"/>
  <c r="L129" i="3"/>
  <c r="D129" i="3"/>
  <c r="L127" i="3"/>
  <c r="D127" i="3"/>
  <c r="L126" i="3"/>
  <c r="D126" i="3"/>
  <c r="L125" i="3"/>
  <c r="D125" i="3"/>
  <c r="L124" i="3"/>
  <c r="D124" i="3"/>
  <c r="L123" i="3"/>
  <c r="D123" i="3"/>
  <c r="L122" i="3"/>
  <c r="D122" i="3"/>
  <c r="L120" i="3"/>
  <c r="D120" i="3"/>
  <c r="L119" i="3"/>
  <c r="D119" i="3"/>
  <c r="L117" i="3"/>
  <c r="D117" i="3"/>
  <c r="L114" i="3"/>
  <c r="D114" i="3"/>
  <c r="L113" i="3"/>
  <c r="D113" i="3"/>
  <c r="L111" i="3"/>
  <c r="D111" i="3"/>
  <c r="L110" i="3"/>
  <c r="D110" i="3"/>
  <c r="L109" i="3"/>
  <c r="D109" i="3"/>
  <c r="L107" i="3"/>
  <c r="D107" i="3"/>
  <c r="L105" i="3"/>
  <c r="D105" i="3"/>
  <c r="L101" i="3"/>
  <c r="D101" i="3"/>
  <c r="L100" i="3"/>
  <c r="D100" i="3"/>
  <c r="L99" i="3"/>
  <c r="D99" i="3"/>
  <c r="L98" i="3"/>
  <c r="D98" i="3"/>
  <c r="L95" i="3"/>
  <c r="D95" i="3"/>
  <c r="L94" i="3"/>
  <c r="D94" i="3"/>
  <c r="L93" i="3"/>
  <c r="D93" i="3"/>
  <c r="L92" i="3"/>
  <c r="D92" i="3"/>
  <c r="L91" i="3"/>
  <c r="D91" i="3"/>
  <c r="L90" i="3"/>
  <c r="D90" i="3"/>
  <c r="L89" i="3"/>
  <c r="D89" i="3"/>
  <c r="L88" i="3"/>
  <c r="D88" i="3"/>
  <c r="L87" i="3"/>
  <c r="D87" i="3"/>
  <c r="L86" i="3"/>
  <c r="D86" i="3"/>
  <c r="L85" i="3"/>
  <c r="D85" i="3"/>
  <c r="L84" i="3"/>
  <c r="D84" i="3"/>
  <c r="L83" i="3"/>
  <c r="D83" i="3"/>
  <c r="L82" i="3"/>
  <c r="D82" i="3"/>
  <c r="L81" i="3"/>
  <c r="D81" i="3"/>
  <c r="L80" i="3"/>
  <c r="D80" i="3"/>
  <c r="L79" i="3"/>
  <c r="D79" i="3"/>
  <c r="L78" i="3"/>
  <c r="D78" i="3"/>
  <c r="L77" i="3"/>
  <c r="D77" i="3"/>
  <c r="L76" i="3"/>
  <c r="D76" i="3"/>
  <c r="L75" i="3"/>
  <c r="D75" i="3"/>
  <c r="L74" i="3"/>
  <c r="D74" i="3"/>
  <c r="L73" i="3"/>
  <c r="D73" i="3"/>
  <c r="L72" i="3"/>
  <c r="D72" i="3"/>
  <c r="L71" i="3"/>
  <c r="D71" i="3"/>
  <c r="L70" i="3"/>
  <c r="D70" i="3"/>
  <c r="L69" i="3"/>
  <c r="D69" i="3"/>
  <c r="L68" i="3"/>
  <c r="D68" i="3"/>
  <c r="L67" i="3"/>
  <c r="D67" i="3"/>
  <c r="L66" i="3"/>
  <c r="D66" i="3"/>
  <c r="L65" i="3"/>
  <c r="D65" i="3"/>
  <c r="L64" i="3"/>
  <c r="D64" i="3"/>
  <c r="L63" i="3"/>
  <c r="D63" i="3"/>
  <c r="L62" i="3"/>
  <c r="D62" i="3"/>
  <c r="L61" i="3"/>
  <c r="D61" i="3"/>
  <c r="L60" i="3"/>
  <c r="D60" i="3"/>
  <c r="L59" i="3"/>
  <c r="D59" i="3"/>
  <c r="L58" i="3"/>
  <c r="D58" i="3"/>
  <c r="L57" i="3"/>
  <c r="D57" i="3"/>
  <c r="L56" i="3"/>
  <c r="D56" i="3"/>
  <c r="L55" i="3"/>
  <c r="D55" i="3"/>
  <c r="L54" i="3"/>
  <c r="D54" i="3"/>
  <c r="L53" i="3"/>
  <c r="D53" i="3"/>
  <c r="L52" i="3"/>
  <c r="D52" i="3"/>
  <c r="L51" i="3"/>
  <c r="D51" i="3"/>
  <c r="L50" i="3"/>
  <c r="D50" i="3"/>
  <c r="L49" i="3"/>
  <c r="D49" i="3"/>
  <c r="L48" i="3"/>
  <c r="D48" i="3"/>
  <c r="L47" i="3"/>
  <c r="D47" i="3"/>
  <c r="L46" i="3"/>
  <c r="D46" i="3"/>
  <c r="L45" i="3"/>
  <c r="D45" i="3"/>
  <c r="L44" i="3"/>
  <c r="D44" i="3"/>
  <c r="L43" i="3"/>
  <c r="D43" i="3"/>
  <c r="L42" i="3"/>
  <c r="D42" i="3"/>
  <c r="L41" i="3"/>
  <c r="D41" i="3"/>
  <c r="L40" i="3"/>
  <c r="D40" i="3"/>
  <c r="L39" i="3"/>
  <c r="D39" i="3"/>
  <c r="L38" i="3"/>
  <c r="D38" i="3"/>
  <c r="L37" i="3"/>
  <c r="D37" i="3"/>
  <c r="L36" i="3"/>
  <c r="D36" i="3"/>
  <c r="L35" i="3"/>
  <c r="D35" i="3"/>
  <c r="L34" i="3"/>
  <c r="D34" i="3"/>
  <c r="L33" i="3"/>
  <c r="D33" i="3"/>
  <c r="L32" i="3"/>
  <c r="D32" i="3"/>
  <c r="L31" i="3"/>
  <c r="D31" i="3"/>
  <c r="L30" i="3"/>
  <c r="D30" i="3"/>
  <c r="L29" i="3"/>
  <c r="D29" i="3"/>
  <c r="L27" i="3"/>
  <c r="D27" i="3"/>
  <c r="L26" i="3"/>
  <c r="D26" i="3"/>
  <c r="L25" i="3"/>
  <c r="D25" i="3"/>
  <c r="L24" i="3"/>
  <c r="D24" i="3"/>
  <c r="L23" i="3"/>
  <c r="D23" i="3"/>
  <c r="L22" i="3"/>
  <c r="D22" i="3"/>
  <c r="L21" i="3"/>
  <c r="D21" i="3"/>
  <c r="L20" i="3"/>
  <c r="D20" i="3"/>
  <c r="L19" i="3"/>
  <c r="D19" i="3"/>
  <c r="L18" i="3"/>
  <c r="D18" i="3"/>
  <c r="L17" i="3"/>
  <c r="D17" i="3"/>
  <c r="L16" i="3"/>
  <c r="D16" i="3"/>
  <c r="L15" i="3"/>
  <c r="D15" i="3"/>
  <c r="E5" i="3"/>
  <c r="D5" i="3"/>
  <c r="E1" i="3" s="1"/>
  <c r="E2" i="3" s="1"/>
  <c r="D825" i="2" l="1"/>
  <c r="E820" i="2"/>
  <c r="D820" i="2"/>
  <c r="E819" i="2"/>
  <c r="D819" i="2"/>
  <c r="E815" i="2"/>
  <c r="D815" i="2"/>
  <c r="E814" i="2"/>
  <c r="D814" i="2"/>
  <c r="E813" i="2"/>
  <c r="D813" i="2"/>
  <c r="D810" i="2"/>
  <c r="E809" i="2"/>
  <c r="D809" i="2"/>
  <c r="D807" i="2"/>
  <c r="E805" i="2"/>
  <c r="D805" i="2"/>
  <c r="E804" i="2"/>
  <c r="D804" i="2"/>
  <c r="E803" i="2"/>
  <c r="D803" i="2"/>
  <c r="E802" i="2"/>
  <c r="D802" i="2"/>
  <c r="E801" i="2"/>
  <c r="D801" i="2"/>
  <c r="E800" i="2"/>
  <c r="D800" i="2"/>
  <c r="D799" i="2"/>
  <c r="D797" i="2"/>
  <c r="E794" i="2"/>
  <c r="D794" i="2"/>
  <c r="E793" i="2"/>
  <c r="D793" i="2"/>
  <c r="E792" i="2"/>
  <c r="D792" i="2"/>
  <c r="E791" i="2"/>
  <c r="D791" i="2"/>
  <c r="E790" i="2"/>
  <c r="D790" i="2"/>
  <c r="E789" i="2"/>
  <c r="D789" i="2"/>
  <c r="E788" i="2"/>
  <c r="D788" i="2"/>
  <c r="E787" i="2"/>
  <c r="D787" i="2"/>
  <c r="E786" i="2"/>
  <c r="D786" i="2"/>
  <c r="E785" i="2"/>
  <c r="D785" i="2"/>
  <c r="E784" i="2"/>
  <c r="D784" i="2"/>
  <c r="D781" i="2"/>
  <c r="D780" i="2"/>
  <c r="D779" i="2"/>
  <c r="D778" i="2"/>
  <c r="D777" i="2"/>
  <c r="D775" i="2"/>
  <c r="D774" i="2"/>
  <c r="D773" i="2"/>
  <c r="E769" i="2"/>
  <c r="D769" i="2"/>
  <c r="E764" i="2"/>
  <c r="D764" i="2"/>
  <c r="E763" i="2"/>
  <c r="D763" i="2"/>
  <c r="E762" i="2"/>
  <c r="D762" i="2"/>
  <c r="E761" i="2"/>
  <c r="D761" i="2"/>
  <c r="E760" i="2"/>
  <c r="D760" i="2"/>
  <c r="E759" i="2"/>
  <c r="D759" i="2"/>
  <c r="D757" i="2"/>
  <c r="D756" i="2"/>
  <c r="D755" i="2"/>
  <c r="D754" i="2"/>
  <c r="D753" i="2"/>
  <c r="D752" i="2"/>
  <c r="D751" i="2"/>
  <c r="D750" i="2"/>
  <c r="E747" i="2"/>
  <c r="D747" i="2"/>
  <c r="E744" i="2"/>
  <c r="D744" i="2"/>
  <c r="D742" i="2"/>
  <c r="E740" i="2"/>
  <c r="D740" i="2"/>
  <c r="E739" i="2"/>
  <c r="D739" i="2"/>
  <c r="E737" i="2"/>
  <c r="D737" i="2"/>
  <c r="E736" i="2"/>
  <c r="D736" i="2"/>
  <c r="E735" i="2"/>
  <c r="D735" i="2"/>
  <c r="E733" i="2"/>
  <c r="D733" i="2"/>
  <c r="E732" i="2"/>
  <c r="D732" i="2"/>
  <c r="E731" i="2"/>
  <c r="D731" i="2"/>
  <c r="E730" i="2"/>
  <c r="D730" i="2"/>
  <c r="E728" i="2"/>
  <c r="D728" i="2"/>
  <c r="E727" i="2"/>
  <c r="D727" i="2"/>
  <c r="E726" i="2"/>
  <c r="D726" i="2"/>
  <c r="E725" i="2"/>
  <c r="D725" i="2"/>
  <c r="E724" i="2"/>
  <c r="D724" i="2"/>
  <c r="E723" i="2"/>
  <c r="D723" i="2"/>
  <c r="E722" i="2"/>
  <c r="D722" i="2"/>
  <c r="E721" i="2"/>
  <c r="D721" i="2"/>
  <c r="E720" i="2"/>
  <c r="D720" i="2"/>
  <c r="D719" i="2"/>
  <c r="E718" i="2"/>
  <c r="D718" i="2"/>
  <c r="E717" i="2"/>
  <c r="D717" i="2"/>
  <c r="E716" i="2"/>
  <c r="D716" i="2"/>
  <c r="E715" i="2"/>
  <c r="D715" i="2"/>
  <c r="E714" i="2"/>
  <c r="D714" i="2"/>
  <c r="E713" i="2"/>
  <c r="D713" i="2"/>
  <c r="E712" i="2"/>
  <c r="D712" i="2"/>
  <c r="E708" i="2"/>
  <c r="D708" i="2"/>
  <c r="E707" i="2"/>
  <c r="D707" i="2"/>
  <c r="E706" i="2"/>
  <c r="D706" i="2"/>
  <c r="E705" i="2"/>
  <c r="D705" i="2"/>
  <c r="E704" i="2"/>
  <c r="D704" i="2"/>
  <c r="E703" i="2"/>
  <c r="D703" i="2"/>
  <c r="E702" i="2"/>
  <c r="D702" i="2"/>
  <c r="E701" i="2"/>
  <c r="D701" i="2"/>
  <c r="E700" i="2"/>
  <c r="D700" i="2"/>
  <c r="E699" i="2"/>
  <c r="D699" i="2"/>
  <c r="E698" i="2"/>
  <c r="D698" i="2"/>
  <c r="E697" i="2"/>
  <c r="D697" i="2"/>
  <c r="E694" i="2"/>
  <c r="D694" i="2"/>
  <c r="E693" i="2"/>
  <c r="D693" i="2"/>
  <c r="D691" i="2"/>
  <c r="E690" i="2"/>
  <c r="D690" i="2"/>
  <c r="E689" i="2"/>
  <c r="D689" i="2"/>
  <c r="E688" i="2"/>
  <c r="D688" i="2"/>
  <c r="E687" i="2"/>
  <c r="D687" i="2"/>
  <c r="E686" i="2"/>
  <c r="D686" i="2"/>
  <c r="E685" i="2"/>
  <c r="D685" i="2"/>
  <c r="D681" i="2"/>
  <c r="D680" i="2"/>
  <c r="D679" i="2"/>
  <c r="D678" i="2"/>
  <c r="D674" i="2"/>
  <c r="E672" i="2"/>
  <c r="D672" i="2"/>
  <c r="E669" i="2"/>
  <c r="D669" i="2"/>
  <c r="D666" i="2"/>
  <c r="D665" i="2"/>
  <c r="D664" i="2"/>
  <c r="D663" i="2"/>
  <c r="D662" i="2"/>
  <c r="E657" i="2"/>
  <c r="D657" i="2"/>
  <c r="E656" i="2"/>
  <c r="D656" i="2"/>
  <c r="E655" i="2"/>
  <c r="D655" i="2"/>
  <c r="E654" i="2"/>
  <c r="D654" i="2"/>
  <c r="E653" i="2"/>
  <c r="D653" i="2"/>
  <c r="E652" i="2"/>
  <c r="D652" i="2"/>
  <c r="E651" i="2"/>
  <c r="D651" i="2"/>
  <c r="E650" i="2"/>
  <c r="D650" i="2"/>
  <c r="E649" i="2"/>
  <c r="D649" i="2"/>
  <c r="E648" i="2"/>
  <c r="D648" i="2"/>
  <c r="E647" i="2"/>
  <c r="D647" i="2"/>
  <c r="E646" i="2"/>
  <c r="D646" i="2"/>
  <c r="E645" i="2"/>
  <c r="D645" i="2"/>
  <c r="E644" i="2"/>
  <c r="D644" i="2"/>
  <c r="E640" i="2"/>
  <c r="D640" i="2"/>
  <c r="E639" i="2"/>
  <c r="D639" i="2"/>
  <c r="E638" i="2"/>
  <c r="D638" i="2"/>
  <c r="E637" i="2"/>
  <c r="D637" i="2"/>
  <c r="E636" i="2"/>
  <c r="D636" i="2"/>
  <c r="E634" i="2"/>
  <c r="D634" i="2"/>
  <c r="E633" i="2"/>
  <c r="D633" i="2"/>
  <c r="E632" i="2"/>
  <c r="D632" i="2"/>
  <c r="E627" i="2"/>
  <c r="D627" i="2"/>
  <c r="D624" i="2"/>
  <c r="D621" i="2"/>
  <c r="D620" i="2"/>
  <c r="D619" i="2"/>
  <c r="D618" i="2"/>
  <c r="D616" i="2"/>
  <c r="D615" i="2"/>
  <c r="D614" i="2"/>
  <c r="D613" i="2"/>
  <c r="D612" i="2"/>
  <c r="D611" i="2"/>
  <c r="D610" i="2"/>
  <c r="D608" i="2"/>
  <c r="D607" i="2"/>
  <c r="D606" i="2"/>
  <c r="D605" i="2"/>
  <c r="D604" i="2"/>
  <c r="D602" i="2"/>
  <c r="D601" i="2"/>
  <c r="D600" i="2"/>
  <c r="D599" i="2"/>
  <c r="D598" i="2"/>
  <c r="D597" i="2"/>
  <c r="D595" i="2"/>
  <c r="D594" i="2"/>
  <c r="D593" i="2"/>
  <c r="D592" i="2"/>
  <c r="D591" i="2"/>
  <c r="D590" i="2"/>
  <c r="D589" i="2"/>
  <c r="D588" i="2"/>
  <c r="D587" i="2"/>
  <c r="D584" i="2"/>
  <c r="D583" i="2"/>
  <c r="D582" i="2"/>
  <c r="D581" i="2"/>
  <c r="D580" i="2"/>
  <c r="D579" i="2"/>
  <c r="D578" i="2"/>
  <c r="D577" i="2"/>
  <c r="D576" i="2"/>
  <c r="D575" i="2"/>
  <c r="D572" i="2"/>
  <c r="D571" i="2"/>
  <c r="D570" i="2"/>
  <c r="D568" i="2"/>
  <c r="D567" i="2"/>
  <c r="D566" i="2"/>
  <c r="D565" i="2"/>
  <c r="D564" i="2"/>
  <c r="D563" i="2"/>
  <c r="D562" i="2"/>
  <c r="D561" i="2"/>
  <c r="D560" i="2"/>
  <c r="D559" i="2"/>
  <c r="D556" i="2"/>
  <c r="D554" i="2"/>
  <c r="D553" i="2"/>
  <c r="D552" i="2"/>
  <c r="D551" i="2"/>
  <c r="D549" i="2"/>
  <c r="D548" i="2"/>
  <c r="D547" i="2"/>
  <c r="D546" i="2"/>
  <c r="D545" i="2"/>
  <c r="D544" i="2"/>
  <c r="D543" i="2"/>
  <c r="D540" i="2"/>
  <c r="D539" i="2"/>
  <c r="D538" i="2"/>
  <c r="D537" i="2"/>
  <c r="D535" i="2"/>
  <c r="D534" i="2"/>
  <c r="D533" i="2"/>
  <c r="D532" i="2"/>
  <c r="D531" i="2"/>
  <c r="D529" i="2"/>
  <c r="D528" i="2"/>
  <c r="D527" i="2"/>
  <c r="D526" i="2"/>
  <c r="D524" i="2"/>
  <c r="D523" i="2"/>
  <c r="D522" i="2"/>
  <c r="D521" i="2"/>
  <c r="D519" i="2"/>
  <c r="D518" i="2"/>
  <c r="D517" i="2"/>
  <c r="D516" i="2"/>
  <c r="D512" i="2"/>
  <c r="E510" i="2"/>
  <c r="D510" i="2"/>
  <c r="E508" i="2"/>
  <c r="D508" i="2"/>
  <c r="E507" i="2"/>
  <c r="D507" i="2"/>
  <c r="E505" i="2"/>
  <c r="D505" i="2"/>
  <c r="D502" i="2"/>
  <c r="E500" i="2"/>
  <c r="D500" i="2"/>
  <c r="E499" i="2"/>
  <c r="D499" i="2"/>
  <c r="D497" i="2"/>
  <c r="D496" i="2"/>
  <c r="D495" i="2"/>
  <c r="D493" i="2"/>
  <c r="D492" i="2"/>
  <c r="E490" i="2"/>
  <c r="D490" i="2"/>
  <c r="E489" i="2"/>
  <c r="D489" i="2"/>
  <c r="E487" i="2"/>
  <c r="D487" i="2"/>
  <c r="E485" i="2"/>
  <c r="D485" i="2"/>
  <c r="E483" i="2"/>
  <c r="D483" i="2"/>
  <c r="E478" i="2"/>
  <c r="D478" i="2"/>
  <c r="E477" i="2"/>
  <c r="D477" i="2"/>
  <c r="E476" i="2"/>
  <c r="D476" i="2"/>
  <c r="E472" i="2"/>
  <c r="D472" i="2"/>
  <c r="E471" i="2"/>
  <c r="D471" i="2"/>
  <c r="E470" i="2"/>
  <c r="D470" i="2"/>
  <c r="E468" i="2"/>
  <c r="D468" i="2"/>
  <c r="E467" i="2"/>
  <c r="D467" i="2"/>
  <c r="E466" i="2"/>
  <c r="D466" i="2"/>
  <c r="D463" i="2"/>
  <c r="D462" i="2"/>
  <c r="D461" i="2"/>
  <c r="D456" i="2"/>
  <c r="D455" i="2"/>
  <c r="D454" i="2"/>
  <c r="D453" i="2"/>
  <c r="D452" i="2"/>
  <c r="D451" i="2"/>
  <c r="D447" i="2"/>
  <c r="E444" i="2"/>
  <c r="D444" i="2"/>
  <c r="E441" i="2"/>
  <c r="D441" i="2"/>
  <c r="E439" i="2"/>
  <c r="D439" i="2"/>
  <c r="E438" i="2"/>
  <c r="D438" i="2"/>
  <c r="E436" i="2"/>
  <c r="D436" i="2"/>
  <c r="E435" i="2"/>
  <c r="D435" i="2"/>
  <c r="E432" i="2"/>
  <c r="D432" i="2"/>
  <c r="E431" i="2"/>
  <c r="D431" i="2"/>
  <c r="E430" i="2"/>
  <c r="D430" i="2"/>
  <c r="E429" i="2"/>
  <c r="D429" i="2"/>
  <c r="E428" i="2"/>
  <c r="D428" i="2"/>
  <c r="E427" i="2"/>
  <c r="D427" i="2"/>
  <c r="E424" i="2"/>
  <c r="D424" i="2"/>
  <c r="E423" i="2"/>
  <c r="D423" i="2"/>
  <c r="E418" i="2"/>
  <c r="D418" i="2"/>
  <c r="E417" i="2"/>
  <c r="D417" i="2"/>
  <c r="E415" i="2"/>
  <c r="D415" i="2"/>
  <c r="E414" i="2"/>
  <c r="D414" i="2"/>
  <c r="E413" i="2"/>
  <c r="D413" i="2"/>
  <c r="E412" i="2"/>
  <c r="D412" i="2"/>
  <c r="E411" i="2"/>
  <c r="D411" i="2"/>
  <c r="E410" i="2"/>
  <c r="D410" i="2"/>
  <c r="E409" i="2"/>
  <c r="D409" i="2"/>
  <c r="E408" i="2"/>
  <c r="D408" i="2"/>
  <c r="E406" i="2"/>
  <c r="D406" i="2"/>
  <c r="E405" i="2"/>
  <c r="D405" i="2"/>
  <c r="E404" i="2"/>
  <c r="D404" i="2"/>
  <c r="E403" i="2"/>
  <c r="D403" i="2"/>
  <c r="E402" i="2"/>
  <c r="D402" i="2"/>
  <c r="E401" i="2"/>
  <c r="D401" i="2"/>
  <c r="E400" i="2"/>
  <c r="D400" i="2"/>
  <c r="E397" i="2"/>
  <c r="D397" i="2"/>
  <c r="E396" i="2"/>
  <c r="D396" i="2"/>
  <c r="E395" i="2"/>
  <c r="D395" i="2"/>
  <c r="E393" i="2"/>
  <c r="D393" i="2"/>
  <c r="E392" i="2"/>
  <c r="D392" i="2"/>
  <c r="E391" i="2"/>
  <c r="D391" i="2"/>
  <c r="E390" i="2"/>
  <c r="D390" i="2"/>
  <c r="E389" i="2"/>
  <c r="D389" i="2"/>
  <c r="E388" i="2"/>
  <c r="D388" i="2"/>
  <c r="E387" i="2"/>
  <c r="D387" i="2"/>
  <c r="E386" i="2"/>
  <c r="D386" i="2"/>
  <c r="E385" i="2"/>
  <c r="D385" i="2"/>
  <c r="E384" i="2"/>
  <c r="D384" i="2"/>
  <c r="E383" i="2"/>
  <c r="D383" i="2"/>
  <c r="E382" i="2"/>
  <c r="D382" i="2"/>
  <c r="E381" i="2"/>
  <c r="D381" i="2"/>
  <c r="E380" i="2"/>
  <c r="D380" i="2"/>
  <c r="E379" i="2"/>
  <c r="D379" i="2"/>
  <c r="E378" i="2"/>
  <c r="D378" i="2"/>
  <c r="E377" i="2"/>
  <c r="D377" i="2"/>
  <c r="E376" i="2"/>
  <c r="D376" i="2"/>
  <c r="E375" i="2"/>
  <c r="D375" i="2"/>
  <c r="E373" i="2"/>
  <c r="D373" i="2"/>
  <c r="E370" i="2"/>
  <c r="D370" i="2"/>
  <c r="E367" i="2"/>
  <c r="D367" i="2"/>
  <c r="E366" i="2"/>
  <c r="D366" i="2"/>
  <c r="E365" i="2"/>
  <c r="D365" i="2"/>
  <c r="E364" i="2"/>
  <c r="D364" i="2"/>
  <c r="E363" i="2"/>
  <c r="D363" i="2"/>
  <c r="E362" i="2"/>
  <c r="D362" i="2"/>
  <c r="E361" i="2"/>
  <c r="D361" i="2"/>
  <c r="E359" i="2"/>
  <c r="D359" i="2"/>
  <c r="E358" i="2"/>
  <c r="D358" i="2"/>
  <c r="E357" i="2"/>
  <c r="D357" i="2"/>
  <c r="E356" i="2"/>
  <c r="D356" i="2"/>
  <c r="E355" i="2"/>
  <c r="D355" i="2"/>
  <c r="E354" i="2"/>
  <c r="D354" i="2"/>
  <c r="D350" i="2"/>
  <c r="D349" i="2"/>
  <c r="D348" i="2"/>
  <c r="D347" i="2"/>
  <c r="D346" i="2"/>
  <c r="E344" i="2"/>
  <c r="D344" i="2"/>
  <c r="E343" i="2"/>
  <c r="D343" i="2"/>
  <c r="D341" i="2"/>
  <c r="D340" i="2"/>
  <c r="E339" i="2"/>
  <c r="D339" i="2"/>
  <c r="E336" i="2"/>
  <c r="D336" i="2"/>
  <c r="E335" i="2"/>
  <c r="D335" i="2"/>
  <c r="E334" i="2"/>
  <c r="D334" i="2"/>
  <c r="E333" i="2"/>
  <c r="D333" i="2"/>
  <c r="E332" i="2"/>
  <c r="D332" i="2"/>
  <c r="E331" i="2"/>
  <c r="D331" i="2"/>
  <c r="E328" i="2"/>
  <c r="D328" i="2"/>
  <c r="E327" i="2"/>
  <c r="D327" i="2"/>
  <c r="E325" i="2"/>
  <c r="D325" i="2"/>
  <c r="E324" i="2"/>
  <c r="D324" i="2"/>
  <c r="D319" i="2"/>
  <c r="E316" i="2"/>
  <c r="D316" i="2"/>
  <c r="E315" i="2"/>
  <c r="D315" i="2"/>
  <c r="E314" i="2"/>
  <c r="D314" i="2"/>
  <c r="E313" i="2"/>
  <c r="D313" i="2"/>
  <c r="E312" i="2"/>
  <c r="D312" i="2"/>
  <c r="E308" i="2"/>
  <c r="D308" i="2"/>
  <c r="E307" i="2"/>
  <c r="D307" i="2"/>
  <c r="E306" i="2"/>
  <c r="D306" i="2"/>
  <c r="E303" i="2"/>
  <c r="D303" i="2"/>
  <c r="E302" i="2"/>
  <c r="D302" i="2"/>
  <c r="E301" i="2"/>
  <c r="D301" i="2"/>
  <c r="E300" i="2"/>
  <c r="D300" i="2"/>
  <c r="E299" i="2"/>
  <c r="D299" i="2"/>
  <c r="E298" i="2"/>
  <c r="D298" i="2"/>
  <c r="E297" i="2"/>
  <c r="D297" i="2"/>
  <c r="E296" i="2"/>
  <c r="D296" i="2"/>
  <c r="E295" i="2"/>
  <c r="D295" i="2"/>
  <c r="E294" i="2"/>
  <c r="D294" i="2"/>
  <c r="E293" i="2"/>
  <c r="D293" i="2"/>
  <c r="E292" i="2"/>
  <c r="D292" i="2"/>
  <c r="E291" i="2"/>
  <c r="D291" i="2"/>
  <c r="E290" i="2"/>
  <c r="D290" i="2"/>
  <c r="E289" i="2"/>
  <c r="D289" i="2"/>
  <c r="E288" i="2"/>
  <c r="D288" i="2"/>
  <c r="E287" i="2"/>
  <c r="D287" i="2"/>
  <c r="E286" i="2"/>
  <c r="D286" i="2"/>
  <c r="E285" i="2"/>
  <c r="D285" i="2"/>
  <c r="E284" i="2"/>
  <c r="D284" i="2"/>
  <c r="E283" i="2"/>
  <c r="D283" i="2"/>
  <c r="E282" i="2"/>
  <c r="D282" i="2"/>
  <c r="E281" i="2"/>
  <c r="D281" i="2"/>
  <c r="E280" i="2"/>
  <c r="D280" i="2"/>
  <c r="E279" i="2"/>
  <c r="D279" i="2"/>
  <c r="E278" i="2"/>
  <c r="D278" i="2"/>
  <c r="E277" i="2"/>
  <c r="D277" i="2"/>
  <c r="E276" i="2"/>
  <c r="D276" i="2"/>
  <c r="E275" i="2"/>
  <c r="D275" i="2"/>
  <c r="E274" i="2"/>
  <c r="D274" i="2"/>
  <c r="E273" i="2"/>
  <c r="D273" i="2"/>
  <c r="E272" i="2"/>
  <c r="D272" i="2"/>
  <c r="E271" i="2"/>
  <c r="D271" i="2"/>
  <c r="E270" i="2"/>
  <c r="D270" i="2"/>
  <c r="E269" i="2"/>
  <c r="D269" i="2"/>
  <c r="E267" i="2"/>
  <c r="D267" i="2"/>
  <c r="E266" i="2"/>
  <c r="D266" i="2"/>
  <c r="E265" i="2"/>
  <c r="D265" i="2"/>
  <c r="E264" i="2"/>
  <c r="D264" i="2"/>
  <c r="E263" i="2"/>
  <c r="D263" i="2"/>
  <c r="E262" i="2"/>
  <c r="D262" i="2"/>
  <c r="E261" i="2"/>
  <c r="D261" i="2"/>
  <c r="E260" i="2"/>
  <c r="D260" i="2"/>
  <c r="E259" i="2"/>
  <c r="D259" i="2"/>
  <c r="E258" i="2"/>
  <c r="D258" i="2"/>
  <c r="E257" i="2"/>
  <c r="D257" i="2"/>
  <c r="E253" i="2"/>
  <c r="D253" i="2"/>
  <c r="E252" i="2"/>
  <c r="D252" i="2"/>
  <c r="D248" i="2"/>
  <c r="D247" i="2"/>
  <c r="E245" i="2"/>
  <c r="D245" i="2"/>
  <c r="E242" i="2"/>
  <c r="D242" i="2"/>
  <c r="E238" i="2"/>
  <c r="D238" i="2"/>
  <c r="E237" i="2"/>
  <c r="D237" i="2"/>
  <c r="E236" i="2"/>
  <c r="D236" i="2"/>
  <c r="E235" i="2"/>
  <c r="D235" i="2"/>
  <c r="E234" i="2"/>
  <c r="D234" i="2"/>
  <c r="E233" i="2"/>
  <c r="D233" i="2"/>
  <c r="E232" i="2"/>
  <c r="D232" i="2"/>
  <c r="E231" i="2"/>
  <c r="D231" i="2"/>
  <c r="E230" i="2"/>
  <c r="D230" i="2"/>
  <c r="E229" i="2"/>
  <c r="D229" i="2"/>
  <c r="E225" i="2"/>
  <c r="D225" i="2"/>
  <c r="E224" i="2"/>
  <c r="D224" i="2"/>
  <c r="E223" i="2"/>
  <c r="D223" i="2"/>
  <c r="E222" i="2"/>
  <c r="D222" i="2"/>
  <c r="D219" i="2"/>
  <c r="D218" i="2"/>
  <c r="D217" i="2"/>
  <c r="D214" i="2"/>
  <c r="D213" i="2"/>
  <c r="D212" i="2"/>
  <c r="D211" i="2"/>
  <c r="D210" i="2"/>
  <c r="D209" i="2"/>
  <c r="D208" i="2"/>
  <c r="D207" i="2"/>
  <c r="D206" i="2"/>
  <c r="D205" i="2"/>
  <c r="D204" i="2"/>
  <c r="D203" i="2"/>
  <c r="D202" i="2"/>
  <c r="D201" i="2"/>
  <c r="D200" i="2"/>
  <c r="D199" i="2"/>
  <c r="D198" i="2"/>
  <c r="D197" i="2"/>
  <c r="D196" i="2"/>
  <c r="D195" i="2"/>
  <c r="D194" i="2"/>
  <c r="D193" i="2"/>
  <c r="D192" i="2"/>
  <c r="D191" i="2"/>
  <c r="D190" i="2"/>
  <c r="D189" i="2"/>
  <c r="D188" i="2"/>
  <c r="D187" i="2"/>
  <c r="D186" i="2"/>
  <c r="D185" i="2"/>
  <c r="D184" i="2"/>
  <c r="D183" i="2"/>
  <c r="D182" i="2"/>
  <c r="D181" i="2"/>
  <c r="D180" i="2"/>
  <c r="D179" i="2"/>
  <c r="D178" i="2"/>
  <c r="D177" i="2"/>
  <c r="D176" i="2"/>
  <c r="D175" i="2"/>
  <c r="D174" i="2"/>
  <c r="D173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4" i="2"/>
  <c r="D143" i="2"/>
  <c r="D142" i="2"/>
  <c r="D141" i="2"/>
  <c r="D140" i="2"/>
  <c r="D139" i="2"/>
  <c r="D138" i="2"/>
  <c r="D137" i="2"/>
  <c r="D136" i="2"/>
  <c r="D135" i="2"/>
  <c r="D134" i="2"/>
  <c r="D133" i="2"/>
  <c r="D132" i="2"/>
  <c r="D131" i="2"/>
  <c r="D130" i="2"/>
  <c r="D129" i="2"/>
  <c r="D128" i="2"/>
  <c r="D127" i="2"/>
  <c r="D126" i="2"/>
  <c r="D125" i="2"/>
  <c r="D124" i="2"/>
  <c r="D123" i="2"/>
  <c r="D122" i="2"/>
  <c r="D121" i="2"/>
  <c r="D120" i="2"/>
  <c r="D119" i="2"/>
  <c r="D118" i="2"/>
  <c r="D117" i="2"/>
  <c r="D116" i="2"/>
  <c r="D115" i="2"/>
  <c r="D114" i="2"/>
  <c r="D113" i="2"/>
  <c r="D112" i="2"/>
  <c r="D111" i="2"/>
  <c r="D110" i="2"/>
  <c r="D109" i="2"/>
  <c r="D108" i="2"/>
  <c r="D107" i="2"/>
  <c r="E105" i="2"/>
  <c r="D105" i="2"/>
  <c r="E104" i="2"/>
  <c r="D104" i="2"/>
  <c r="E103" i="2"/>
  <c r="D103" i="2"/>
  <c r="E102" i="2"/>
  <c r="D102" i="2"/>
  <c r="E101" i="2"/>
  <c r="D101" i="2"/>
  <c r="E100" i="2"/>
  <c r="D100" i="2"/>
  <c r="E99" i="2"/>
  <c r="D99" i="2"/>
  <c r="E98" i="2"/>
  <c r="D98" i="2"/>
  <c r="E97" i="2"/>
  <c r="D97" i="2"/>
  <c r="E96" i="2"/>
  <c r="D96" i="2"/>
  <c r="E95" i="2"/>
  <c r="D95" i="2"/>
  <c r="E94" i="2"/>
  <c r="D94" i="2"/>
  <c r="E93" i="2"/>
  <c r="D93" i="2"/>
  <c r="E92" i="2"/>
  <c r="D92" i="2"/>
  <c r="E91" i="2"/>
  <c r="D91" i="2"/>
  <c r="E90" i="2"/>
  <c r="D90" i="2"/>
  <c r="E89" i="2"/>
  <c r="D89" i="2"/>
  <c r="E88" i="2"/>
  <c r="D88" i="2"/>
  <c r="E87" i="2"/>
  <c r="D87" i="2"/>
  <c r="E86" i="2"/>
  <c r="D86" i="2"/>
  <c r="E85" i="2"/>
  <c r="D85" i="2"/>
  <c r="D84" i="2"/>
  <c r="D83" i="2"/>
  <c r="D82" i="2"/>
  <c r="D81" i="2"/>
  <c r="E80" i="2"/>
  <c r="D80" i="2"/>
  <c r="E79" i="2"/>
  <c r="D79" i="2"/>
  <c r="E78" i="2"/>
  <c r="D78" i="2"/>
  <c r="E77" i="2"/>
  <c r="D77" i="2"/>
  <c r="E76" i="2"/>
  <c r="D76" i="2"/>
  <c r="E75" i="2"/>
  <c r="D75" i="2"/>
  <c r="E74" i="2"/>
  <c r="D74" i="2"/>
  <c r="E73" i="2"/>
  <c r="D73" i="2"/>
  <c r="E72" i="2"/>
  <c r="D72" i="2"/>
  <c r="E71" i="2"/>
  <c r="D71" i="2"/>
  <c r="E70" i="2"/>
  <c r="D70" i="2"/>
  <c r="E69" i="2"/>
  <c r="D69" i="2"/>
  <c r="E68" i="2"/>
  <c r="D68" i="2"/>
  <c r="E67" i="2"/>
  <c r="D67" i="2"/>
  <c r="E66" i="2"/>
  <c r="D66" i="2"/>
  <c r="E65" i="2"/>
  <c r="D65" i="2"/>
  <c r="E64" i="2"/>
  <c r="D64" i="2"/>
  <c r="E63" i="2"/>
  <c r="D63" i="2"/>
  <c r="E62" i="2"/>
  <c r="D62" i="2"/>
  <c r="E61" i="2"/>
  <c r="D61" i="2"/>
  <c r="E60" i="2"/>
  <c r="D60" i="2"/>
  <c r="E59" i="2"/>
  <c r="D59" i="2"/>
  <c r="E57" i="2"/>
  <c r="D57" i="2"/>
  <c r="E56" i="2"/>
  <c r="D56" i="2"/>
  <c r="E55" i="2"/>
  <c r="D55" i="2"/>
  <c r="E54" i="2"/>
  <c r="D54" i="2"/>
  <c r="E53" i="2"/>
  <c r="D53" i="2"/>
  <c r="E52" i="2"/>
  <c r="D52" i="2"/>
  <c r="E51" i="2"/>
  <c r="D51" i="2"/>
  <c r="E50" i="2"/>
  <c r="D50" i="2"/>
  <c r="E49" i="2"/>
  <c r="D49" i="2"/>
  <c r="E48" i="2"/>
  <c r="D48" i="2"/>
  <c r="E47" i="2"/>
  <c r="D47" i="2"/>
  <c r="E46" i="2"/>
  <c r="D46" i="2"/>
  <c r="E45" i="2"/>
  <c r="D45" i="2"/>
  <c r="E44" i="2"/>
  <c r="D44" i="2"/>
  <c r="E43" i="2"/>
  <c r="D43" i="2"/>
  <c r="E42" i="2"/>
  <c r="D42" i="2"/>
  <c r="E41" i="2"/>
  <c r="D41" i="2"/>
  <c r="E40" i="2"/>
  <c r="D40" i="2"/>
  <c r="E39" i="2"/>
  <c r="D39" i="2"/>
  <c r="E38" i="2"/>
  <c r="D38" i="2"/>
  <c r="E37" i="2"/>
  <c r="D37" i="2"/>
  <c r="E36" i="2"/>
  <c r="D36" i="2"/>
  <c r="E35" i="2"/>
  <c r="D35" i="2"/>
  <c r="E34" i="2"/>
  <c r="D34" i="2"/>
  <c r="E33" i="2"/>
  <c r="D33" i="2"/>
  <c r="E32" i="2"/>
  <c r="D32" i="2"/>
  <c r="E31" i="2"/>
  <c r="D31" i="2"/>
  <c r="E30" i="2"/>
  <c r="D30" i="2"/>
  <c r="E29" i="2"/>
  <c r="D29" i="2"/>
  <c r="E28" i="2"/>
  <c r="D28" i="2"/>
  <c r="E27" i="2"/>
  <c r="D27" i="2"/>
  <c r="E26" i="2"/>
  <c r="D26" i="2"/>
  <c r="E25" i="2"/>
  <c r="D25" i="2"/>
  <c r="E24" i="2"/>
  <c r="D24" i="2"/>
  <c r="E23" i="2"/>
  <c r="D23" i="2"/>
  <c r="E22" i="2"/>
  <c r="D22" i="2"/>
  <c r="E21" i="2"/>
  <c r="D21" i="2"/>
  <c r="E20" i="2"/>
  <c r="D20" i="2"/>
  <c r="E19" i="2"/>
  <c r="D19" i="2"/>
  <c r="E18" i="2"/>
  <c r="D18" i="2"/>
  <c r="E17" i="2"/>
  <c r="D17" i="2"/>
  <c r="E16" i="2"/>
  <c r="D16" i="2"/>
  <c r="D15" i="2"/>
  <c r="E14" i="2"/>
  <c r="D14" i="2"/>
  <c r="E2" i="2" s="1"/>
  <c r="E3" i="2" s="1"/>
  <c r="E13" i="2"/>
  <c r="D13" i="2"/>
  <c r="K3" i="2"/>
  <c r="I3" i="2"/>
  <c r="K3" i="1" l="1"/>
  <c r="I3" i="1"/>
  <c r="D13" i="1"/>
  <c r="E2" i="1" s="1"/>
  <c r="E3" i="1" s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61" i="1"/>
  <c r="D262" i="1"/>
  <c r="D263" i="1"/>
  <c r="D264" i="1"/>
  <c r="D265" i="1"/>
  <c r="D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97" i="1"/>
  <c r="D298" i="1"/>
  <c r="D299" i="1"/>
  <c r="D300" i="1"/>
  <c r="D301" i="1"/>
  <c r="D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3" i="1"/>
  <c r="D324" i="1"/>
  <c r="D325" i="1"/>
  <c r="D326" i="1"/>
  <c r="D327" i="1"/>
  <c r="D328" i="1"/>
  <c r="D329" i="1"/>
  <c r="D330" i="1"/>
  <c r="D331" i="1"/>
  <c r="D332" i="1"/>
  <c r="D333" i="1"/>
  <c r="D334" i="1"/>
  <c r="D335" i="1"/>
  <c r="D336" i="1"/>
  <c r="D337" i="1"/>
  <c r="D338" i="1"/>
  <c r="D339" i="1"/>
  <c r="D340" i="1"/>
  <c r="D341" i="1"/>
  <c r="D342" i="1"/>
  <c r="D343" i="1"/>
  <c r="D344" i="1"/>
  <c r="D345" i="1"/>
  <c r="D346" i="1"/>
  <c r="D347" i="1"/>
  <c r="D348" i="1"/>
  <c r="D349" i="1"/>
  <c r="D350" i="1"/>
  <c r="D351" i="1"/>
  <c r="D352" i="1"/>
  <c r="D353" i="1"/>
  <c r="D354" i="1"/>
  <c r="D355" i="1"/>
  <c r="D356" i="1"/>
  <c r="D357" i="1"/>
  <c r="D358" i="1"/>
  <c r="D359" i="1"/>
  <c r="D360" i="1"/>
  <c r="D361" i="1"/>
  <c r="D362" i="1"/>
  <c r="D363" i="1"/>
  <c r="D364" i="1"/>
  <c r="D365" i="1"/>
  <c r="D366" i="1"/>
  <c r="D367" i="1"/>
  <c r="D368" i="1"/>
  <c r="D369" i="1"/>
  <c r="D370" i="1"/>
  <c r="D371" i="1"/>
  <c r="D372" i="1"/>
  <c r="D373" i="1"/>
  <c r="D374" i="1"/>
  <c r="D375" i="1"/>
  <c r="D376" i="1"/>
  <c r="D377" i="1"/>
  <c r="D378" i="1"/>
  <c r="D379" i="1"/>
  <c r="D380" i="1"/>
  <c r="D381" i="1"/>
  <c r="D382" i="1"/>
  <c r="D383" i="1"/>
  <c r="D384" i="1"/>
  <c r="D385" i="1"/>
  <c r="D386" i="1"/>
  <c r="D387" i="1"/>
  <c r="D388" i="1"/>
  <c r="D389" i="1"/>
  <c r="D390" i="1"/>
  <c r="D391" i="1"/>
  <c r="D392" i="1"/>
  <c r="D393" i="1"/>
  <c r="D394" i="1"/>
  <c r="D395" i="1"/>
  <c r="D396" i="1"/>
  <c r="D397" i="1"/>
  <c r="D398" i="1"/>
  <c r="D399" i="1"/>
  <c r="D400" i="1"/>
  <c r="D401" i="1"/>
  <c r="D402" i="1"/>
  <c r="D403" i="1"/>
  <c r="D404" i="1"/>
  <c r="D405" i="1"/>
  <c r="D406" i="1"/>
  <c r="D407" i="1"/>
  <c r="D408" i="1"/>
  <c r="D409" i="1"/>
  <c r="D410" i="1"/>
  <c r="D411" i="1"/>
  <c r="D412" i="1"/>
  <c r="D413" i="1"/>
  <c r="D414" i="1"/>
  <c r="D415" i="1"/>
  <c r="D416" i="1"/>
  <c r="D417" i="1"/>
  <c r="D418" i="1"/>
  <c r="D419" i="1"/>
  <c r="D420" i="1"/>
  <c r="D421" i="1"/>
  <c r="D422" i="1"/>
  <c r="D423" i="1"/>
  <c r="D424" i="1"/>
  <c r="D425" i="1"/>
  <c r="D426" i="1"/>
  <c r="D427" i="1"/>
  <c r="D428" i="1"/>
  <c r="D429" i="1"/>
  <c r="D430" i="1"/>
  <c r="D433" i="1"/>
  <c r="D434" i="1"/>
  <c r="D435" i="1"/>
  <c r="D436" i="1"/>
  <c r="D437" i="1"/>
  <c r="D438" i="1"/>
  <c r="D439" i="1"/>
  <c r="D440" i="1"/>
  <c r="D441" i="1"/>
  <c r="D442" i="1"/>
  <c r="D443" i="1"/>
  <c r="D444" i="1"/>
  <c r="D445" i="1"/>
  <c r="D446" i="1"/>
  <c r="D447" i="1"/>
  <c r="D448" i="1"/>
  <c r="D449" i="1"/>
  <c r="D450" i="1"/>
  <c r="D454" i="1"/>
  <c r="D455" i="1"/>
  <c r="D456" i="1"/>
  <c r="D457" i="1"/>
  <c r="D458" i="1"/>
  <c r="D459" i="1"/>
  <c r="D460" i="1"/>
  <c r="D461" i="1"/>
  <c r="D462" i="1"/>
  <c r="D463" i="1"/>
  <c r="D464" i="1"/>
  <c r="D465" i="1"/>
  <c r="D466" i="1"/>
  <c r="D467" i="1"/>
  <c r="D468" i="1"/>
  <c r="D469" i="1"/>
  <c r="D470" i="1"/>
  <c r="D471" i="1"/>
  <c r="D472" i="1"/>
  <c r="D473" i="1"/>
  <c r="D474" i="1"/>
  <c r="D476" i="1"/>
  <c r="D477" i="1"/>
  <c r="D478" i="1"/>
  <c r="D479" i="1"/>
  <c r="D480" i="1"/>
  <c r="D481" i="1"/>
  <c r="D482" i="1"/>
  <c r="D483" i="1"/>
  <c r="D484" i="1"/>
  <c r="D485" i="1"/>
  <c r="D486" i="1"/>
  <c r="D487" i="1"/>
  <c r="D488" i="1"/>
  <c r="D490" i="1"/>
  <c r="D491" i="1"/>
  <c r="D492" i="1"/>
  <c r="D493" i="1"/>
  <c r="D494" i="1"/>
  <c r="D495" i="1"/>
  <c r="D496" i="1"/>
  <c r="D497" i="1"/>
  <c r="D498" i="1"/>
  <c r="D499" i="1"/>
  <c r="D500" i="1"/>
  <c r="D501" i="1"/>
  <c r="D502" i="1"/>
  <c r="D503" i="1"/>
  <c r="D504" i="1"/>
  <c r="D506" i="1"/>
  <c r="D507" i="1"/>
  <c r="D508" i="1"/>
  <c r="D509" i="1"/>
  <c r="D510" i="1"/>
  <c r="D511" i="1"/>
  <c r="D512" i="1"/>
  <c r="D513" i="1"/>
  <c r="D514" i="1"/>
  <c r="D515" i="1"/>
  <c r="D516" i="1"/>
  <c r="D517" i="1"/>
  <c r="D518" i="1"/>
  <c r="D519" i="1"/>
  <c r="D520" i="1"/>
  <c r="D521" i="1"/>
  <c r="D522" i="1"/>
  <c r="D523" i="1"/>
  <c r="D524" i="1"/>
  <c r="D526" i="1"/>
  <c r="D527" i="1"/>
  <c r="D528" i="1"/>
  <c r="D529" i="1"/>
  <c r="D530" i="1"/>
  <c r="D531" i="1"/>
  <c r="D532" i="1"/>
  <c r="D533" i="1"/>
  <c r="D534" i="1"/>
  <c r="D535" i="1"/>
  <c r="D536" i="1"/>
  <c r="D537" i="1"/>
  <c r="D538" i="1"/>
  <c r="D539" i="1"/>
  <c r="D540" i="1"/>
  <c r="D541" i="1"/>
  <c r="D542" i="1"/>
  <c r="D543" i="1"/>
  <c r="D544" i="1"/>
  <c r="D545" i="1"/>
  <c r="D546" i="1"/>
  <c r="D547" i="1"/>
  <c r="D548" i="1"/>
  <c r="D549" i="1"/>
  <c r="D550" i="1"/>
  <c r="D551" i="1"/>
  <c r="D552" i="1"/>
  <c r="D553" i="1"/>
  <c r="D554" i="1"/>
  <c r="D556" i="1"/>
  <c r="D557" i="1"/>
  <c r="D558" i="1"/>
  <c r="D559" i="1"/>
  <c r="D560" i="1"/>
  <c r="D563" i="1"/>
  <c r="D564" i="1"/>
  <c r="D565" i="1"/>
  <c r="D566" i="1"/>
  <c r="D567" i="1"/>
  <c r="D568" i="1"/>
  <c r="D569" i="1"/>
  <c r="D570" i="1"/>
  <c r="D571" i="1"/>
  <c r="D572" i="1"/>
  <c r="D573" i="1"/>
  <c r="D574" i="1"/>
  <c r="D575" i="1"/>
  <c r="D576" i="1"/>
  <c r="D577" i="1"/>
  <c r="D578" i="1"/>
  <c r="D580" i="1"/>
  <c r="D581" i="1"/>
  <c r="D582" i="1"/>
  <c r="D583" i="1"/>
  <c r="D584" i="1"/>
  <c r="D585" i="1"/>
  <c r="D586" i="1"/>
  <c r="D588" i="1"/>
  <c r="D589" i="1"/>
  <c r="D590" i="1"/>
  <c r="D591" i="1"/>
  <c r="D592" i="1"/>
  <c r="D593" i="1"/>
  <c r="D594" i="1"/>
  <c r="D595" i="1"/>
  <c r="D596" i="1"/>
  <c r="D597" i="1"/>
  <c r="D598" i="1"/>
  <c r="D599" i="1"/>
  <c r="D600" i="1"/>
  <c r="D601" i="1"/>
  <c r="D602" i="1"/>
  <c r="D603" i="1"/>
  <c r="D604" i="1"/>
  <c r="D605" i="1"/>
  <c r="D606" i="1"/>
  <c r="D607" i="1"/>
  <c r="D608" i="1"/>
  <c r="D610" i="1"/>
  <c r="D611" i="1"/>
  <c r="D612" i="1"/>
  <c r="D613" i="1"/>
  <c r="D614" i="1"/>
  <c r="D615" i="1"/>
  <c r="D616" i="1"/>
  <c r="D619" i="1"/>
  <c r="D620" i="1"/>
  <c r="D621" i="1"/>
  <c r="D622" i="1"/>
  <c r="D624" i="1"/>
  <c r="D625" i="1"/>
  <c r="D626" i="1"/>
  <c r="D627" i="1"/>
  <c r="D629" i="1"/>
  <c r="D630" i="1"/>
  <c r="D632" i="1"/>
  <c r="D633" i="1"/>
  <c r="D634" i="1"/>
  <c r="D637" i="1"/>
  <c r="D638" i="1"/>
  <c r="D639" i="1"/>
  <c r="D641" i="1"/>
  <c r="D642" i="1"/>
  <c r="D643" i="1"/>
  <c r="D644" i="1"/>
  <c r="D645" i="1"/>
  <c r="D646" i="1"/>
  <c r="D647" i="1"/>
  <c r="D648" i="1"/>
  <c r="D649" i="1"/>
  <c r="D650" i="1"/>
  <c r="D651" i="1"/>
  <c r="D652" i="1"/>
  <c r="D653" i="1"/>
  <c r="D654" i="1"/>
  <c r="D655" i="1"/>
  <c r="D656" i="1"/>
  <c r="D660" i="1"/>
  <c r="D661" i="1"/>
  <c r="D662" i="1"/>
  <c r="D663" i="1"/>
  <c r="D664" i="1"/>
  <c r="D666" i="1"/>
  <c r="D667" i="1"/>
  <c r="D669" i="1"/>
  <c r="D670" i="1"/>
  <c r="D671" i="1"/>
  <c r="D672" i="1"/>
  <c r="D673" i="1"/>
  <c r="D674" i="1"/>
  <c r="D675" i="1"/>
  <c r="D676" i="1"/>
  <c r="D677" i="1"/>
  <c r="D678" i="1"/>
  <c r="D679" i="1"/>
  <c r="D680" i="1"/>
  <c r="D681" i="1"/>
  <c r="D682" i="1"/>
  <c r="D683" i="1"/>
  <c r="D684" i="1"/>
  <c r="D685" i="1"/>
  <c r="D687" i="1"/>
  <c r="D688" i="1"/>
  <c r="D689" i="1"/>
  <c r="D690" i="1"/>
  <c r="D691" i="1"/>
  <c r="D692" i="1"/>
  <c r="D693" i="1"/>
  <c r="D694" i="1"/>
  <c r="D695" i="1"/>
  <c r="D696" i="1"/>
  <c r="D697" i="1"/>
  <c r="D698" i="1"/>
  <c r="D699" i="1"/>
  <c r="D702" i="1"/>
  <c r="D703" i="1"/>
  <c r="D704" i="1"/>
  <c r="D705" i="1"/>
  <c r="D706" i="1"/>
  <c r="D707" i="1"/>
  <c r="D710" i="1"/>
  <c r="D711" i="1"/>
  <c r="D712" i="1"/>
  <c r="D713" i="1"/>
  <c r="D714" i="1"/>
  <c r="D715" i="1"/>
  <c r="D716" i="1"/>
  <c r="D717" i="1"/>
  <c r="D718" i="1"/>
  <c r="D719" i="1"/>
  <c r="D720" i="1"/>
  <c r="D721" i="1"/>
  <c r="D723" i="1"/>
  <c r="D724" i="1"/>
  <c r="D725" i="1"/>
  <c r="D726" i="1"/>
  <c r="D727" i="1"/>
  <c r="D728" i="1"/>
  <c r="D729" i="1"/>
  <c r="D730" i="1"/>
  <c r="D731" i="1"/>
  <c r="D732" i="1"/>
  <c r="D733" i="1"/>
  <c r="D734" i="1"/>
  <c r="D735" i="1"/>
  <c r="D736" i="1"/>
  <c r="D737" i="1"/>
  <c r="D738" i="1"/>
  <c r="D739" i="1"/>
  <c r="D742" i="1"/>
  <c r="D743" i="1"/>
  <c r="D744" i="1"/>
  <c r="D745" i="1"/>
  <c r="D746" i="1"/>
  <c r="D747" i="1"/>
  <c r="D749" i="1"/>
  <c r="D750" i="1"/>
  <c r="D751" i="1"/>
  <c r="D752" i="1"/>
  <c r="D753" i="1"/>
  <c r="D754" i="1"/>
  <c r="D755" i="1"/>
  <c r="D756" i="1"/>
  <c r="D757" i="1"/>
  <c r="D758" i="1"/>
  <c r="D759" i="1"/>
  <c r="D760" i="1"/>
  <c r="D763" i="1"/>
  <c r="D764" i="1"/>
  <c r="D765" i="1"/>
  <c r="D766" i="1"/>
  <c r="D767" i="1"/>
  <c r="D768" i="1"/>
  <c r="D769" i="1"/>
  <c r="D770" i="1"/>
  <c r="D771" i="1"/>
  <c r="D772" i="1"/>
  <c r="D773" i="1"/>
  <c r="D774" i="1"/>
  <c r="D775" i="1"/>
  <c r="D776" i="1"/>
  <c r="D777" i="1"/>
  <c r="D778" i="1"/>
  <c r="D779" i="1"/>
  <c r="D780" i="1"/>
  <c r="D781" i="1"/>
  <c r="D782" i="1"/>
  <c r="D783" i="1"/>
  <c r="D784" i="1"/>
  <c r="D785" i="1"/>
  <c r="D786" i="1"/>
  <c r="D787" i="1"/>
  <c r="D788" i="1"/>
  <c r="D789" i="1"/>
  <c r="D791" i="1"/>
  <c r="D792" i="1"/>
  <c r="D793" i="1"/>
  <c r="D794" i="1"/>
  <c r="D795" i="1"/>
  <c r="D796" i="1"/>
  <c r="D797" i="1"/>
  <c r="D798" i="1"/>
  <c r="D799" i="1"/>
  <c r="D800" i="1"/>
  <c r="D801" i="1"/>
  <c r="D802" i="1"/>
  <c r="D803" i="1"/>
  <c r="D804" i="1"/>
  <c r="D805" i="1"/>
  <c r="D806" i="1"/>
  <c r="D807" i="1"/>
  <c r="D808" i="1"/>
  <c r="D809" i="1"/>
  <c r="D810" i="1"/>
  <c r="D811" i="1"/>
  <c r="D812" i="1"/>
  <c r="D813" i="1"/>
  <c r="D814" i="1"/>
  <c r="D815" i="1"/>
  <c r="D816" i="1"/>
  <c r="D817" i="1"/>
  <c r="D818" i="1"/>
  <c r="D819" i="1"/>
  <c r="D820" i="1"/>
  <c r="D821" i="1"/>
  <c r="D822" i="1"/>
  <c r="D823" i="1"/>
  <c r="D826" i="1"/>
  <c r="D827" i="1"/>
  <c r="D828" i="1"/>
  <c r="D829" i="1"/>
  <c r="D830" i="1"/>
  <c r="D831" i="1"/>
  <c r="D832" i="1"/>
  <c r="D833" i="1"/>
  <c r="D834" i="1"/>
  <c r="D835" i="1"/>
  <c r="D836" i="1"/>
  <c r="D837" i="1"/>
  <c r="D838" i="1"/>
  <c r="D839" i="1"/>
  <c r="D840" i="1"/>
  <c r="D841" i="1"/>
  <c r="D842" i="1"/>
  <c r="D843" i="1"/>
  <c r="D844" i="1"/>
  <c r="D845" i="1"/>
  <c r="D846" i="1"/>
  <c r="D847" i="1"/>
  <c r="D850" i="1"/>
  <c r="D851" i="1"/>
  <c r="D852" i="1"/>
  <c r="D853" i="1"/>
  <c r="D854" i="1"/>
  <c r="D855" i="1"/>
  <c r="D856" i="1"/>
  <c r="D857" i="1"/>
  <c r="D858" i="1"/>
  <c r="D860" i="1"/>
  <c r="D861" i="1"/>
  <c r="D862" i="1"/>
  <c r="D863" i="1"/>
  <c r="D864" i="1"/>
  <c r="D865" i="1"/>
  <c r="D866" i="1"/>
  <c r="D867" i="1"/>
  <c r="D869" i="1"/>
  <c r="D871" i="1"/>
  <c r="D872" i="1"/>
  <c r="D873" i="1"/>
  <c r="D874" i="1"/>
  <c r="D875" i="1"/>
  <c r="D876" i="1"/>
  <c r="D878" i="1"/>
  <c r="D879" i="1"/>
  <c r="D880" i="1"/>
  <c r="D881" i="1"/>
  <c r="D882" i="1"/>
  <c r="D883" i="1"/>
  <c r="D884" i="1"/>
  <c r="D885" i="1"/>
  <c r="D889" i="1"/>
  <c r="D890" i="1"/>
  <c r="D891" i="1"/>
  <c r="D892" i="1"/>
  <c r="D893" i="1"/>
  <c r="D894" i="1"/>
  <c r="D895" i="1"/>
  <c r="D896" i="1"/>
  <c r="D897" i="1"/>
  <c r="D898" i="1"/>
  <c r="D899" i="1"/>
  <c r="D901" i="1"/>
  <c r="D902" i="1"/>
  <c r="D903" i="1"/>
  <c r="D904" i="1"/>
  <c r="D906" i="1"/>
  <c r="D907" i="1"/>
  <c r="D908" i="1"/>
  <c r="D909" i="1"/>
  <c r="D910" i="1"/>
  <c r="D912" i="1"/>
  <c r="D913" i="1"/>
  <c r="D914" i="1"/>
  <c r="D915" i="1"/>
  <c r="D916" i="1"/>
  <c r="D917" i="1"/>
  <c r="D918" i="1"/>
  <c r="D919" i="1"/>
  <c r="D920" i="1"/>
  <c r="D921" i="1"/>
  <c r="D922" i="1"/>
  <c r="D923" i="1"/>
  <c r="D924" i="1"/>
  <c r="D925" i="1"/>
  <c r="D926" i="1"/>
  <c r="D927" i="1"/>
  <c r="D928" i="1"/>
  <c r="D929" i="1"/>
  <c r="D930" i="1"/>
  <c r="D931" i="1"/>
  <c r="D932" i="1"/>
  <c r="D933" i="1"/>
  <c r="D934" i="1"/>
  <c r="D935" i="1"/>
  <c r="D936" i="1"/>
  <c r="D937" i="1"/>
  <c r="D938" i="1"/>
  <c r="D939" i="1"/>
  <c r="D940" i="1"/>
  <c r="D941" i="1"/>
  <c r="D943" i="1"/>
  <c r="D944" i="1"/>
  <c r="D945" i="1"/>
  <c r="D946" i="1"/>
  <c r="D947" i="1"/>
  <c r="D950" i="1"/>
  <c r="D951" i="1"/>
  <c r="D952" i="1"/>
  <c r="D953" i="1"/>
  <c r="D954" i="1"/>
  <c r="D955" i="1"/>
  <c r="D956" i="1"/>
  <c r="D957" i="1"/>
  <c r="D958" i="1"/>
  <c r="D959" i="1"/>
  <c r="D960" i="1"/>
  <c r="D961" i="1"/>
  <c r="D962" i="1"/>
  <c r="D963" i="1"/>
  <c r="D965" i="1"/>
  <c r="D966" i="1"/>
  <c r="D967" i="1"/>
  <c r="D968" i="1"/>
  <c r="D969" i="1"/>
  <c r="D970" i="1"/>
  <c r="D971" i="1"/>
  <c r="D972" i="1"/>
  <c r="D973" i="1"/>
  <c r="D974" i="1"/>
  <c r="D975" i="1"/>
  <c r="D976" i="1"/>
  <c r="D977" i="1"/>
  <c r="D978" i="1"/>
  <c r="D979" i="1"/>
  <c r="D980" i="1"/>
  <c r="D981" i="1"/>
  <c r="D982" i="1"/>
  <c r="D983" i="1"/>
  <c r="D985" i="1"/>
  <c r="D987" i="1"/>
  <c r="D988" i="1"/>
  <c r="D989" i="1"/>
  <c r="D990" i="1"/>
  <c r="D991" i="1"/>
  <c r="D992" i="1"/>
  <c r="D993" i="1"/>
  <c r="D994" i="1"/>
  <c r="D995" i="1"/>
  <c r="D996" i="1"/>
  <c r="D997" i="1"/>
  <c r="D998" i="1"/>
  <c r="D999" i="1"/>
  <c r="D1000" i="1"/>
  <c r="D1001" i="1"/>
  <c r="D1002" i="1"/>
  <c r="D1003" i="1"/>
  <c r="D1004" i="1"/>
  <c r="D1005" i="1"/>
  <c r="D1006" i="1"/>
  <c r="D1007" i="1"/>
  <c r="D1008" i="1"/>
  <c r="D1009" i="1"/>
  <c r="D1010" i="1"/>
  <c r="D1011" i="1"/>
  <c r="D1012" i="1"/>
  <c r="D1013" i="1"/>
  <c r="D1014" i="1"/>
  <c r="D1015" i="1"/>
  <c r="D1017" i="1"/>
  <c r="D1018" i="1"/>
  <c r="D1019" i="1"/>
  <c r="D1020" i="1"/>
  <c r="D1021" i="1"/>
  <c r="D1022" i="1"/>
  <c r="D1023" i="1"/>
  <c r="D1024" i="1"/>
  <c r="D1027" i="1"/>
  <c r="D1028" i="1"/>
  <c r="D1029" i="1"/>
  <c r="D1030" i="1"/>
  <c r="D1031" i="1"/>
  <c r="D1032" i="1"/>
  <c r="D1035" i="1"/>
  <c r="D1036" i="1"/>
  <c r="D1037" i="1"/>
  <c r="D1038" i="1"/>
  <c r="D1039" i="1"/>
  <c r="D1041" i="1"/>
  <c r="D1042" i="1"/>
  <c r="D1043" i="1"/>
  <c r="D1044" i="1"/>
  <c r="D1045" i="1"/>
  <c r="D1046" i="1"/>
  <c r="D1047" i="1"/>
  <c r="D1048" i="1"/>
  <c r="D1049" i="1"/>
  <c r="D1050" i="1"/>
  <c r="D1051" i="1"/>
  <c r="D1052" i="1"/>
  <c r="D1053" i="1"/>
  <c r="D1054" i="1"/>
  <c r="D1055" i="1"/>
  <c r="D1056" i="1"/>
  <c r="D1057" i="1"/>
  <c r="D1058" i="1"/>
  <c r="D1059" i="1"/>
  <c r="D1062" i="1"/>
  <c r="D1063" i="1"/>
  <c r="D1064" i="1"/>
  <c r="D1065" i="1"/>
  <c r="D1066" i="1"/>
  <c r="D1067" i="1"/>
  <c r="D1068" i="1"/>
  <c r="D1069" i="1"/>
  <c r="D1070" i="1"/>
  <c r="D1071" i="1"/>
  <c r="D1072" i="1"/>
  <c r="D1073" i="1"/>
  <c r="D1074" i="1"/>
  <c r="D1075" i="1"/>
  <c r="D1076" i="1"/>
  <c r="D1077" i="1"/>
  <c r="D1078" i="1"/>
  <c r="D1079" i="1"/>
  <c r="D1080" i="1"/>
  <c r="D1081" i="1"/>
  <c r="D1082" i="1"/>
  <c r="D1084" i="1"/>
  <c r="D1085" i="1"/>
  <c r="D1086" i="1"/>
  <c r="D1087" i="1"/>
  <c r="D1090" i="1"/>
  <c r="D1091" i="1"/>
  <c r="D1092" i="1"/>
  <c r="D1094" i="1"/>
  <c r="D1095" i="1"/>
  <c r="D1096" i="1"/>
  <c r="D1099" i="1"/>
  <c r="D1100" i="1"/>
  <c r="D1101" i="1"/>
  <c r="D1102" i="1"/>
  <c r="D1103" i="1"/>
  <c r="D1104" i="1"/>
  <c r="D1105" i="1"/>
  <c r="D1106" i="1"/>
  <c r="D1107" i="1"/>
  <c r="D1109" i="1"/>
  <c r="D1110" i="1"/>
  <c r="D1111" i="1"/>
  <c r="D1113" i="1"/>
  <c r="D1114" i="1"/>
  <c r="D1115" i="1"/>
  <c r="D1116" i="1"/>
  <c r="D1117" i="1"/>
  <c r="D1119" i="1"/>
  <c r="D1120" i="1"/>
  <c r="D1122" i="1"/>
  <c r="D1123" i="1"/>
  <c r="D1124" i="1"/>
  <c r="D1125" i="1"/>
  <c r="D1126" i="1"/>
  <c r="D1127" i="1"/>
  <c r="D1128" i="1"/>
  <c r="D1130" i="1"/>
  <c r="D1131" i="1"/>
  <c r="D1132" i="1"/>
  <c r="D1133" i="1"/>
  <c r="D1134" i="1"/>
  <c r="D1135" i="1"/>
  <c r="D1136" i="1"/>
  <c r="D1137" i="1"/>
  <c r="D1138" i="1"/>
  <c r="D1139" i="1"/>
  <c r="D1140" i="1"/>
  <c r="D1141" i="1"/>
  <c r="D1142" i="1"/>
  <c r="D1143" i="1"/>
  <c r="D1144" i="1"/>
  <c r="D1145" i="1"/>
  <c r="D1146" i="1"/>
  <c r="D1147" i="1"/>
  <c r="D1148" i="1"/>
  <c r="D1149" i="1"/>
  <c r="D1150" i="1"/>
  <c r="D1151" i="1"/>
  <c r="D1152" i="1"/>
  <c r="D1153" i="1"/>
  <c r="D1154" i="1"/>
  <c r="D1155" i="1"/>
  <c r="D1156" i="1"/>
  <c r="D1157" i="1"/>
  <c r="D1158" i="1"/>
  <c r="D1159" i="1"/>
  <c r="D1163" i="1"/>
  <c r="D1164" i="1"/>
  <c r="D1165" i="1"/>
  <c r="D1166" i="1"/>
  <c r="D1167" i="1"/>
  <c r="D1168" i="1"/>
  <c r="D1169" i="1"/>
  <c r="D1170" i="1"/>
  <c r="D1172" i="1"/>
  <c r="D1173" i="1"/>
  <c r="D1174" i="1"/>
  <c r="D1175" i="1"/>
  <c r="D1176" i="1"/>
  <c r="D1177" i="1"/>
  <c r="D1178" i="1"/>
  <c r="D1179" i="1"/>
  <c r="D1181" i="1"/>
  <c r="D1182" i="1"/>
  <c r="D1183" i="1"/>
  <c r="D1185" i="1"/>
  <c r="D1186" i="1"/>
  <c r="D1187" i="1"/>
  <c r="D1188" i="1"/>
  <c r="D1189" i="1"/>
  <c r="D1190" i="1"/>
  <c r="D1193" i="1"/>
  <c r="D1194" i="1"/>
  <c r="D1195" i="1"/>
  <c r="D1196" i="1"/>
  <c r="D1197" i="1"/>
  <c r="D1198" i="1"/>
  <c r="D1199" i="1"/>
  <c r="D1200" i="1"/>
  <c r="D1201" i="1"/>
  <c r="D1202" i="1"/>
  <c r="D1203" i="1"/>
  <c r="D1204" i="1"/>
  <c r="D1205" i="1"/>
  <c r="D1206" i="1"/>
  <c r="D1207" i="1"/>
  <c r="D1208" i="1"/>
  <c r="D1209" i="1"/>
  <c r="D1210" i="1"/>
  <c r="D1211" i="1"/>
  <c r="D1212" i="1"/>
  <c r="D1213" i="1"/>
  <c r="D1215" i="1"/>
  <c r="D1216" i="1"/>
  <c r="D1217" i="1"/>
  <c r="D1218" i="1"/>
  <c r="D1219" i="1"/>
  <c r="D1222" i="1"/>
  <c r="D1223" i="1"/>
  <c r="D1224" i="1"/>
  <c r="D1226" i="1"/>
  <c r="D1227" i="1"/>
  <c r="D1228" i="1"/>
  <c r="D1229" i="1"/>
  <c r="D1230" i="1"/>
  <c r="D1231" i="1"/>
  <c r="D1232" i="1"/>
  <c r="D1233" i="1"/>
  <c r="D1234" i="1"/>
  <c r="D1235" i="1"/>
  <c r="D1236" i="1"/>
  <c r="D1237" i="1"/>
  <c r="D1238" i="1"/>
  <c r="D1239" i="1"/>
  <c r="D1240" i="1"/>
  <c r="D1241" i="1"/>
  <c r="D1243" i="1"/>
  <c r="D1244" i="1"/>
  <c r="D1245" i="1"/>
  <c r="D1248" i="1"/>
  <c r="D1249" i="1"/>
  <c r="D1250" i="1"/>
  <c r="D1251" i="1"/>
  <c r="D1252" i="1"/>
  <c r="D1253" i="1"/>
  <c r="D1254" i="1"/>
  <c r="D1255" i="1"/>
  <c r="D1256" i="1"/>
  <c r="D1257" i="1"/>
  <c r="D1258" i="1"/>
  <c r="D1259" i="1"/>
  <c r="D1260" i="1"/>
  <c r="D1261" i="1"/>
  <c r="D1262" i="1"/>
  <c r="D1263" i="1"/>
  <c r="D1264" i="1"/>
  <c r="D1265" i="1"/>
  <c r="D1266" i="1"/>
  <c r="D1267" i="1"/>
  <c r="D1268" i="1"/>
  <c r="D1269" i="1"/>
  <c r="D1270" i="1"/>
  <c r="D1271" i="1"/>
  <c r="D1272" i="1"/>
  <c r="D1273" i="1"/>
  <c r="D1274" i="1"/>
  <c r="D1275" i="1"/>
  <c r="D1276" i="1"/>
  <c r="D1277" i="1"/>
  <c r="D1278" i="1"/>
  <c r="D1279" i="1"/>
  <c r="D1280" i="1"/>
  <c r="D1281" i="1"/>
  <c r="D1282" i="1"/>
  <c r="D1283" i="1"/>
  <c r="D1284" i="1"/>
  <c r="D1285" i="1"/>
  <c r="D1286" i="1"/>
  <c r="D1287" i="1"/>
  <c r="D1288" i="1"/>
  <c r="D1289" i="1"/>
  <c r="D1290" i="1"/>
  <c r="D1291" i="1"/>
  <c r="D1292" i="1"/>
  <c r="D1293" i="1"/>
  <c r="D1294" i="1"/>
  <c r="D1295" i="1"/>
  <c r="D1296" i="1"/>
  <c r="D1297" i="1"/>
  <c r="D1299" i="1"/>
  <c r="D1300" i="1"/>
  <c r="D1301" i="1"/>
  <c r="D1302" i="1"/>
  <c r="D1303" i="1"/>
  <c r="D1304" i="1"/>
  <c r="D1305" i="1"/>
  <c r="D1306" i="1"/>
  <c r="D1308" i="1"/>
  <c r="D1309" i="1"/>
  <c r="D1310" i="1"/>
  <c r="D1311" i="1"/>
  <c r="D1312" i="1"/>
  <c r="D1313" i="1"/>
  <c r="D1314" i="1"/>
  <c r="D1315" i="1"/>
  <c r="D1316" i="1"/>
  <c r="D1317" i="1"/>
  <c r="D1318" i="1"/>
  <c r="D1319" i="1"/>
  <c r="D1320" i="1"/>
  <c r="D1321" i="1"/>
  <c r="D1322" i="1"/>
  <c r="D1323" i="1"/>
  <c r="D1324" i="1"/>
  <c r="D1325" i="1"/>
  <c r="D1326" i="1"/>
  <c r="D1327" i="1"/>
  <c r="D1328" i="1"/>
  <c r="D1329" i="1"/>
  <c r="D1330" i="1"/>
  <c r="D1332" i="1"/>
  <c r="D1333" i="1"/>
  <c r="D1334" i="1"/>
  <c r="D1335" i="1"/>
  <c r="D1336" i="1"/>
  <c r="D1338" i="1"/>
  <c r="D1339" i="1"/>
  <c r="D1340" i="1"/>
  <c r="D1341" i="1"/>
  <c r="D1342" i="1"/>
  <c r="D1343" i="1"/>
  <c r="D1344" i="1"/>
  <c r="D1345" i="1"/>
  <c r="D1346" i="1"/>
  <c r="D1347" i="1"/>
  <c r="D1348" i="1"/>
  <c r="D1349" i="1"/>
  <c r="D1350" i="1"/>
  <c r="D1352" i="1"/>
  <c r="D1353" i="1"/>
  <c r="D1355" i="1"/>
  <c r="D1356" i="1"/>
  <c r="D1358" i="1"/>
  <c r="D1362" i="1"/>
  <c r="D1363" i="1"/>
  <c r="D1364" i="1"/>
  <c r="D1365" i="1"/>
  <c r="D1366" i="1"/>
  <c r="D1367" i="1"/>
  <c r="D1368" i="1"/>
  <c r="D1369" i="1"/>
  <c r="D1370" i="1"/>
  <c r="D1371" i="1"/>
  <c r="D1372" i="1"/>
  <c r="D1373" i="1"/>
  <c r="D1374" i="1"/>
  <c r="D1375" i="1"/>
  <c r="D1376" i="1"/>
  <c r="D1377" i="1"/>
  <c r="D1378" i="1"/>
  <c r="D1379" i="1"/>
  <c r="D1380" i="1"/>
  <c r="D1381" i="1"/>
  <c r="D1382" i="1"/>
  <c r="D1383" i="1"/>
  <c r="D1384" i="1"/>
  <c r="D1385" i="1"/>
  <c r="D1386" i="1"/>
  <c r="D1387" i="1"/>
  <c r="D1388" i="1"/>
  <c r="D1389" i="1"/>
  <c r="D1390" i="1"/>
  <c r="D1391" i="1"/>
  <c r="D1392" i="1"/>
  <c r="D1393" i="1"/>
  <c r="D1394" i="1"/>
  <c r="D1395" i="1"/>
  <c r="D1396" i="1"/>
  <c r="D1397" i="1"/>
  <c r="D1398" i="1"/>
  <c r="D1399" i="1"/>
  <c r="D1400" i="1"/>
  <c r="D1401" i="1"/>
  <c r="D1402" i="1"/>
  <c r="D1403" i="1"/>
  <c r="D1404" i="1"/>
  <c r="D1405" i="1"/>
  <c r="D1406" i="1"/>
  <c r="D1407" i="1"/>
  <c r="D1408" i="1"/>
  <c r="D1410" i="1"/>
  <c r="D1411" i="1"/>
  <c r="D1412" i="1"/>
  <c r="D1413" i="1"/>
  <c r="D1414" i="1"/>
  <c r="D1415" i="1"/>
  <c r="D1416" i="1"/>
  <c r="D1417" i="1"/>
  <c r="D1418" i="1"/>
  <c r="D1419" i="1"/>
  <c r="D1420" i="1"/>
  <c r="D1421" i="1"/>
  <c r="D1422" i="1"/>
  <c r="D1424" i="1"/>
  <c r="D1425" i="1"/>
  <c r="D1426" i="1"/>
  <c r="D1427" i="1"/>
  <c r="D1428" i="1"/>
  <c r="D1429" i="1"/>
  <c r="D1430" i="1"/>
  <c r="D1431" i="1"/>
  <c r="D1432" i="1"/>
  <c r="D1433" i="1"/>
  <c r="D1434" i="1"/>
  <c r="D1435" i="1"/>
  <c r="D1436" i="1"/>
  <c r="D1437" i="1"/>
  <c r="D1438" i="1"/>
  <c r="D1439" i="1"/>
  <c r="D1440" i="1"/>
  <c r="D1441" i="1"/>
  <c r="D1442" i="1"/>
  <c r="D1443" i="1"/>
  <c r="D1444" i="1"/>
  <c r="D1445" i="1"/>
  <c r="D1446" i="1"/>
  <c r="D1447" i="1"/>
  <c r="D1448" i="1"/>
  <c r="D1449" i="1"/>
  <c r="D1450" i="1"/>
  <c r="D1451" i="1"/>
  <c r="D1452" i="1"/>
  <c r="D1453" i="1"/>
  <c r="D1454" i="1"/>
  <c r="D1455" i="1"/>
  <c r="D1456" i="1"/>
  <c r="D1457" i="1"/>
  <c r="D1458" i="1"/>
  <c r="D1459" i="1"/>
  <c r="D1460" i="1"/>
  <c r="D1461" i="1"/>
  <c r="D1462" i="1"/>
  <c r="D1463" i="1"/>
  <c r="D1464" i="1"/>
  <c r="D1465" i="1"/>
  <c r="D1466" i="1"/>
  <c r="D1467" i="1"/>
  <c r="D1468" i="1"/>
  <c r="D1469" i="1"/>
  <c r="D1470" i="1"/>
  <c r="D1471" i="1"/>
  <c r="D1472" i="1"/>
  <c r="D1473" i="1"/>
  <c r="D1474" i="1"/>
  <c r="D1475" i="1"/>
  <c r="D1476" i="1"/>
  <c r="D1477" i="1"/>
  <c r="D1478" i="1"/>
  <c r="D1479" i="1"/>
  <c r="D1480" i="1"/>
  <c r="D1481" i="1"/>
  <c r="D1482" i="1"/>
  <c r="D1483" i="1"/>
  <c r="D1484" i="1"/>
  <c r="D1485" i="1"/>
  <c r="D1486" i="1"/>
  <c r="D1487" i="1"/>
  <c r="D1488" i="1"/>
  <c r="D1489" i="1"/>
  <c r="D1490" i="1"/>
  <c r="D1491" i="1"/>
  <c r="D1492" i="1"/>
  <c r="D1493" i="1"/>
  <c r="D1494" i="1"/>
  <c r="D1495" i="1"/>
  <c r="D1496" i="1"/>
  <c r="D1497" i="1"/>
  <c r="D1498" i="1"/>
  <c r="D1499" i="1"/>
  <c r="D1500" i="1"/>
  <c r="D1501" i="1"/>
  <c r="D1503" i="1"/>
  <c r="D1504" i="1"/>
  <c r="D1505" i="1"/>
  <c r="D1506" i="1"/>
  <c r="D1507" i="1"/>
  <c r="D1508" i="1"/>
  <c r="D1509" i="1"/>
  <c r="D1510" i="1"/>
  <c r="D1511" i="1"/>
  <c r="D1512" i="1"/>
  <c r="D1513" i="1"/>
  <c r="D1514" i="1"/>
  <c r="D1515" i="1"/>
  <c r="D1516" i="1"/>
  <c r="D1517" i="1"/>
  <c r="D1518" i="1"/>
  <c r="D1519" i="1"/>
  <c r="D1520" i="1"/>
  <c r="D1521" i="1"/>
  <c r="D1522" i="1"/>
  <c r="D1524" i="1"/>
  <c r="D1525" i="1"/>
  <c r="D1526" i="1"/>
  <c r="D1527" i="1"/>
  <c r="D1528" i="1"/>
  <c r="D1529" i="1"/>
  <c r="D1530" i="1"/>
  <c r="D1531" i="1"/>
  <c r="D1532" i="1"/>
  <c r="D1533" i="1"/>
  <c r="D1534" i="1"/>
  <c r="D1535" i="1"/>
  <c r="D1536" i="1"/>
  <c r="D1537" i="1"/>
  <c r="D1539" i="1"/>
  <c r="D1540" i="1"/>
  <c r="D1541" i="1"/>
  <c r="D1542" i="1"/>
  <c r="D1545" i="1"/>
  <c r="D1546" i="1"/>
  <c r="D1547" i="1"/>
  <c r="D1548" i="1"/>
  <c r="D1549" i="1"/>
  <c r="D1550" i="1"/>
  <c r="D1551" i="1"/>
  <c r="D1552" i="1"/>
  <c r="D1553" i="1"/>
  <c r="D1554" i="1"/>
  <c r="D1555" i="1"/>
  <c r="D1556" i="1"/>
  <c r="D1557" i="1"/>
  <c r="D1558" i="1"/>
  <c r="D1559" i="1"/>
  <c r="D1560" i="1"/>
  <c r="D1561" i="1"/>
  <c r="D1562" i="1"/>
  <c r="D1563" i="1"/>
  <c r="D1564" i="1"/>
  <c r="D1565" i="1"/>
  <c r="D1566" i="1"/>
  <c r="D1567" i="1"/>
  <c r="D1568" i="1"/>
  <c r="D1569" i="1"/>
  <c r="D1570" i="1"/>
  <c r="D1571" i="1"/>
  <c r="D1572" i="1"/>
  <c r="D1573" i="1"/>
  <c r="D1574" i="1"/>
  <c r="D1575" i="1"/>
  <c r="D1576" i="1"/>
  <c r="D1577" i="1"/>
  <c r="D1578" i="1"/>
  <c r="D1579" i="1"/>
  <c r="D1580" i="1"/>
  <c r="D1581" i="1"/>
  <c r="D1582" i="1"/>
  <c r="D1583" i="1"/>
  <c r="D1584" i="1"/>
  <c r="D1585" i="1"/>
  <c r="D1586" i="1"/>
  <c r="D1587" i="1"/>
  <c r="D1588" i="1"/>
  <c r="D1589" i="1"/>
  <c r="D1590" i="1"/>
  <c r="D1591" i="1"/>
  <c r="D1592" i="1"/>
  <c r="D1593" i="1"/>
  <c r="D1594" i="1"/>
  <c r="D1595" i="1"/>
  <c r="D1596" i="1"/>
  <c r="D1597" i="1"/>
  <c r="D1598" i="1"/>
  <c r="D1599" i="1"/>
  <c r="D1600" i="1"/>
  <c r="D1601" i="1"/>
  <c r="D1602" i="1"/>
  <c r="D1603" i="1"/>
  <c r="D1604" i="1"/>
  <c r="D1605" i="1"/>
  <c r="D1606" i="1"/>
  <c r="D1607" i="1"/>
  <c r="D1608" i="1"/>
  <c r="D1609" i="1"/>
  <c r="D1610" i="1"/>
  <c r="D1611" i="1"/>
  <c r="D1612" i="1"/>
  <c r="D1613" i="1"/>
  <c r="D1614" i="1"/>
  <c r="D1615" i="1"/>
  <c r="D1616" i="1"/>
  <c r="D1617" i="1"/>
  <c r="D1618" i="1"/>
  <c r="D1619" i="1"/>
  <c r="D1620" i="1"/>
  <c r="D1621" i="1"/>
  <c r="D1622" i="1"/>
  <c r="D1623" i="1"/>
  <c r="D1624" i="1"/>
  <c r="D1625" i="1"/>
  <c r="D1626" i="1"/>
  <c r="D1628" i="1"/>
  <c r="D1629" i="1"/>
  <c r="D1630" i="1"/>
  <c r="D1631" i="1"/>
  <c r="D1632" i="1"/>
  <c r="D1633" i="1"/>
  <c r="D1634" i="1"/>
  <c r="D1635" i="1"/>
  <c r="D1636" i="1"/>
  <c r="D1637" i="1"/>
  <c r="D1638" i="1"/>
  <c r="D1639" i="1"/>
  <c r="D1640" i="1"/>
  <c r="D1641" i="1"/>
  <c r="D1642" i="1"/>
  <c r="D1643" i="1"/>
  <c r="D1644" i="1"/>
  <c r="D1645" i="1"/>
  <c r="D1646" i="1"/>
  <c r="D1647" i="1"/>
  <c r="D1648" i="1"/>
  <c r="D1649" i="1"/>
  <c r="D1650" i="1"/>
  <c r="D1651" i="1"/>
  <c r="D1652" i="1"/>
  <c r="D1653" i="1"/>
  <c r="D1654" i="1"/>
  <c r="D1655" i="1"/>
  <c r="D1656" i="1"/>
  <c r="D1657" i="1"/>
  <c r="D1658" i="1"/>
  <c r="D1659" i="1"/>
  <c r="D1661" i="1"/>
  <c r="D1662" i="1"/>
  <c r="D1663" i="1"/>
  <c r="D1664" i="1"/>
  <c r="D1665" i="1"/>
  <c r="D1666" i="1"/>
  <c r="D1667" i="1"/>
  <c r="D1668" i="1"/>
  <c r="D1669" i="1"/>
  <c r="D1670" i="1"/>
  <c r="D1671" i="1"/>
  <c r="D1672" i="1"/>
  <c r="D1673" i="1"/>
  <c r="D1674" i="1"/>
  <c r="D1675" i="1"/>
  <c r="D1676" i="1"/>
  <c r="D1677" i="1"/>
  <c r="D1678" i="1"/>
  <c r="D1679" i="1"/>
  <c r="D1680" i="1"/>
  <c r="D1683" i="1"/>
  <c r="D1684" i="1"/>
  <c r="D1685" i="1"/>
  <c r="D1686" i="1"/>
  <c r="D1687" i="1"/>
  <c r="D1688" i="1"/>
  <c r="D1689" i="1"/>
  <c r="D1690" i="1"/>
  <c r="D1691" i="1"/>
  <c r="D1692" i="1"/>
  <c r="D1693" i="1"/>
  <c r="D1694" i="1"/>
  <c r="D1695" i="1"/>
  <c r="D1696" i="1"/>
  <c r="D1697" i="1"/>
  <c r="D1698" i="1"/>
  <c r="D1699" i="1"/>
  <c r="D1700" i="1"/>
  <c r="D1701" i="1"/>
  <c r="D1702" i="1"/>
  <c r="D1703" i="1"/>
  <c r="D1704" i="1"/>
  <c r="D1705" i="1"/>
  <c r="D1706" i="1"/>
  <c r="D1707" i="1"/>
  <c r="D1708" i="1"/>
  <c r="D1709" i="1"/>
  <c r="D1710" i="1"/>
  <c r="D1711" i="1"/>
  <c r="D1712" i="1"/>
  <c r="D1713" i="1"/>
  <c r="D1714" i="1"/>
  <c r="D1715" i="1"/>
  <c r="D1716" i="1"/>
  <c r="D1717" i="1"/>
  <c r="D1718" i="1"/>
  <c r="D1719" i="1"/>
  <c r="D1720" i="1"/>
  <c r="D1721" i="1"/>
  <c r="D1722" i="1"/>
  <c r="D1723" i="1"/>
  <c r="D1724" i="1"/>
  <c r="D1725" i="1"/>
  <c r="D1726" i="1"/>
  <c r="D1727" i="1"/>
  <c r="D1728" i="1"/>
  <c r="D1729" i="1"/>
  <c r="D1730" i="1"/>
  <c r="D1731" i="1"/>
  <c r="D1732" i="1"/>
  <c r="D1733" i="1"/>
  <c r="D1734" i="1"/>
  <c r="D1735" i="1"/>
  <c r="D1736" i="1"/>
  <c r="D1737" i="1"/>
  <c r="D1738" i="1"/>
  <c r="D1739" i="1"/>
  <c r="D1740" i="1"/>
  <c r="D1741" i="1"/>
  <c r="D1742" i="1"/>
  <c r="D1743" i="1"/>
  <c r="D1744" i="1"/>
  <c r="D1745" i="1"/>
  <c r="D1746" i="1"/>
  <c r="D1747" i="1"/>
  <c r="D1748" i="1"/>
  <c r="D1749" i="1"/>
  <c r="D1750" i="1"/>
  <c r="D1751" i="1"/>
  <c r="D1752" i="1"/>
  <c r="D1753" i="1"/>
  <c r="D1754" i="1"/>
  <c r="D1755" i="1"/>
  <c r="D1756" i="1"/>
  <c r="D1757" i="1"/>
  <c r="D1758" i="1"/>
  <c r="D1759" i="1"/>
  <c r="D1761" i="1"/>
  <c r="D1762" i="1"/>
  <c r="D1763" i="1"/>
  <c r="D1764" i="1"/>
  <c r="D1765" i="1"/>
  <c r="D1766" i="1"/>
  <c r="D1767" i="1"/>
  <c r="D1768" i="1"/>
  <c r="D1769" i="1"/>
  <c r="D1770" i="1"/>
  <c r="D1771" i="1"/>
  <c r="D1772" i="1"/>
  <c r="D1773" i="1"/>
  <c r="D1774" i="1"/>
  <c r="D1775" i="1"/>
  <c r="D1776" i="1"/>
  <c r="D1777" i="1"/>
  <c r="D1778" i="1"/>
  <c r="D1779" i="1"/>
  <c r="D1780" i="1"/>
  <c r="D1781" i="1"/>
  <c r="D1782" i="1"/>
  <c r="D1783" i="1"/>
  <c r="D1784" i="1"/>
  <c r="D1785" i="1"/>
  <c r="D1786" i="1"/>
  <c r="D1787" i="1"/>
  <c r="D1788" i="1"/>
  <c r="D1789" i="1"/>
  <c r="D1790" i="1"/>
  <c r="D1791" i="1"/>
  <c r="D1792" i="1"/>
  <c r="D1793" i="1"/>
  <c r="D1794" i="1"/>
  <c r="D1795" i="1"/>
  <c r="D1796" i="1"/>
  <c r="D1798" i="1"/>
  <c r="D1799" i="1"/>
  <c r="D1800" i="1"/>
  <c r="D1801" i="1"/>
  <c r="D1802" i="1"/>
  <c r="D1803" i="1"/>
  <c r="D1804" i="1"/>
  <c r="D1805" i="1"/>
  <c r="D1806" i="1"/>
  <c r="D1807" i="1"/>
  <c r="D1808" i="1"/>
  <c r="D1809" i="1"/>
  <c r="D1810" i="1"/>
  <c r="D1811" i="1"/>
  <c r="D1812" i="1"/>
  <c r="D1814" i="1"/>
  <c r="D1816" i="1"/>
  <c r="D1817" i="1"/>
  <c r="D1818" i="1"/>
  <c r="D1819" i="1"/>
  <c r="D1820" i="1"/>
  <c r="D1821" i="1"/>
  <c r="D1822" i="1"/>
  <c r="D1823" i="1"/>
  <c r="D1825" i="1"/>
  <c r="D1826" i="1"/>
  <c r="D1827" i="1"/>
  <c r="D1828" i="1"/>
  <c r="D1829" i="1"/>
  <c r="D1830" i="1"/>
  <c r="D1831" i="1"/>
  <c r="D1832" i="1"/>
  <c r="D1833" i="1"/>
  <c r="D1834" i="1"/>
  <c r="D1835" i="1"/>
  <c r="D1836" i="1"/>
  <c r="D1837" i="1"/>
  <c r="D1838" i="1"/>
  <c r="D1839" i="1"/>
  <c r="D1840" i="1"/>
  <c r="D1841" i="1"/>
  <c r="D1843" i="1"/>
  <c r="D1844" i="1"/>
  <c r="D1845" i="1"/>
  <c r="D1846" i="1"/>
  <c r="D1847" i="1"/>
  <c r="D1848" i="1"/>
  <c r="D1850" i="1"/>
  <c r="D1851" i="1"/>
  <c r="D1852" i="1"/>
  <c r="D1853" i="1"/>
  <c r="D1854" i="1"/>
  <c r="D1855" i="1"/>
  <c r="D1856" i="1"/>
  <c r="D1857" i="1"/>
  <c r="D1858" i="1"/>
  <c r="D1859" i="1"/>
  <c r="D1860" i="1"/>
  <c r="D1861" i="1"/>
  <c r="D1862" i="1"/>
  <c r="D1863" i="1"/>
  <c r="D1864" i="1"/>
  <c r="D1865" i="1"/>
  <c r="D1866" i="1"/>
  <c r="D1867" i="1"/>
  <c r="D1868" i="1"/>
  <c r="D1870" i="1"/>
  <c r="D1871" i="1"/>
  <c r="D1872" i="1"/>
  <c r="D1873" i="1"/>
  <c r="D1874" i="1"/>
  <c r="D1875" i="1"/>
  <c r="D1876" i="1"/>
  <c r="D1877" i="1"/>
  <c r="D1878" i="1"/>
  <c r="D1879" i="1"/>
  <c r="D1881" i="1"/>
  <c r="D1882" i="1"/>
  <c r="D1883" i="1"/>
  <c r="D1886" i="1"/>
  <c r="D1887" i="1"/>
  <c r="D1888" i="1"/>
  <c r="D1889" i="1"/>
  <c r="D1890" i="1"/>
  <c r="D1891" i="1"/>
  <c r="D1892" i="1"/>
  <c r="D1893" i="1"/>
  <c r="D1894" i="1"/>
  <c r="D1895" i="1"/>
  <c r="D1896" i="1"/>
  <c r="D1897" i="1"/>
  <c r="D1898" i="1"/>
  <c r="D1899" i="1"/>
  <c r="D1900" i="1"/>
  <c r="D1901" i="1"/>
  <c r="D1902" i="1"/>
  <c r="D1903" i="1"/>
  <c r="D1904" i="1"/>
  <c r="D1905" i="1"/>
  <c r="D1906" i="1"/>
  <c r="D1907" i="1"/>
  <c r="D1908" i="1"/>
  <c r="D1909" i="1"/>
  <c r="D1910" i="1"/>
  <c r="D1911" i="1"/>
  <c r="D1912" i="1"/>
  <c r="D1913" i="1"/>
  <c r="D1914" i="1"/>
  <c r="D1915" i="1"/>
  <c r="D1916" i="1"/>
  <c r="D1917" i="1"/>
  <c r="D1918" i="1"/>
  <c r="D1919" i="1"/>
  <c r="D1920" i="1"/>
  <c r="D1921" i="1"/>
  <c r="D1922" i="1"/>
  <c r="D1923" i="1"/>
  <c r="D1924" i="1"/>
  <c r="D1925" i="1"/>
  <c r="D1926" i="1"/>
  <c r="D1927" i="1"/>
  <c r="D1928" i="1"/>
  <c r="D1929" i="1"/>
  <c r="D1930" i="1"/>
  <c r="D1931" i="1"/>
  <c r="D1932" i="1"/>
  <c r="D1933" i="1"/>
  <c r="D1934" i="1"/>
  <c r="D1936" i="1"/>
  <c r="D1937" i="1"/>
  <c r="D1938" i="1"/>
  <c r="D1939" i="1"/>
  <c r="D1940" i="1"/>
  <c r="D1941" i="1"/>
  <c r="D1942" i="1"/>
  <c r="D1943" i="1"/>
  <c r="D1944" i="1"/>
  <c r="D1945" i="1"/>
  <c r="D1946" i="1"/>
  <c r="D1947" i="1"/>
  <c r="D1948" i="1"/>
  <c r="D1950" i="1"/>
  <c r="D1951" i="1"/>
  <c r="D1952" i="1"/>
  <c r="D1953" i="1"/>
  <c r="D1954" i="1"/>
  <c r="D1956" i="1"/>
  <c r="D1957" i="1"/>
  <c r="D1958" i="1"/>
  <c r="D1959" i="1"/>
  <c r="D1960" i="1"/>
  <c r="D1961" i="1"/>
  <c r="D1962" i="1"/>
  <c r="D1963" i="1"/>
  <c r="D1964" i="1"/>
  <c r="D1966" i="1"/>
  <c r="D1967" i="1"/>
  <c r="D1968" i="1"/>
  <c r="D1969" i="1"/>
  <c r="D1970" i="1"/>
  <c r="D1971" i="1"/>
  <c r="D1972" i="1"/>
  <c r="D1973" i="1"/>
  <c r="D1974" i="1"/>
  <c r="D1976" i="1"/>
  <c r="D1977" i="1"/>
  <c r="D1978" i="1"/>
  <c r="D1979" i="1"/>
  <c r="D1981" i="1"/>
  <c r="D1982" i="1"/>
  <c r="D1983" i="1"/>
  <c r="D1984" i="1"/>
  <c r="D1985" i="1"/>
  <c r="D1986" i="1"/>
  <c r="D1987" i="1"/>
  <c r="D1988" i="1"/>
  <c r="D1990" i="1"/>
  <c r="D1991" i="1"/>
  <c r="D1992" i="1"/>
  <c r="D1993" i="1"/>
  <c r="D1994" i="1"/>
  <c r="D1996" i="1"/>
  <c r="D1997" i="1"/>
  <c r="D1998" i="1"/>
  <c r="D1999" i="1"/>
  <c r="D2000" i="1"/>
  <c r="D2001" i="1"/>
  <c r="D2004" i="1"/>
  <c r="D2005" i="1"/>
  <c r="D2006" i="1"/>
  <c r="D2007" i="1"/>
  <c r="D2008" i="1"/>
  <c r="D2010" i="1"/>
  <c r="D2011" i="1"/>
  <c r="D2012" i="1"/>
  <c r="D2013" i="1"/>
  <c r="D2014" i="1"/>
  <c r="D2015" i="1"/>
  <c r="D2016" i="1"/>
  <c r="D2017" i="1"/>
  <c r="D2018" i="1"/>
  <c r="D2020" i="1"/>
  <c r="D2021" i="1"/>
  <c r="D2022" i="1"/>
  <c r="D2023" i="1"/>
  <c r="D2025" i="1"/>
  <c r="D2026" i="1"/>
  <c r="D2027" i="1"/>
  <c r="D2029" i="1"/>
  <c r="D2030" i="1"/>
  <c r="D2031" i="1"/>
  <c r="D2032" i="1"/>
  <c r="D2033" i="1"/>
  <c r="D2037" i="1"/>
  <c r="D2038" i="1"/>
  <c r="D2039" i="1"/>
  <c r="D2040" i="1"/>
  <c r="D2041" i="1"/>
  <c r="D2042" i="1"/>
  <c r="D2043" i="1"/>
  <c r="D2044" i="1"/>
  <c r="D2045" i="1"/>
  <c r="D2046" i="1"/>
  <c r="D2047" i="1"/>
  <c r="D2049" i="1"/>
  <c r="D2050" i="1"/>
  <c r="D2051" i="1"/>
  <c r="D2052" i="1"/>
  <c r="D2053" i="1"/>
  <c r="D2054" i="1"/>
  <c r="D2055" i="1"/>
  <c r="D2056" i="1"/>
  <c r="D2057" i="1"/>
  <c r="D2058" i="1"/>
  <c r="D2059" i="1"/>
  <c r="D2060" i="1"/>
  <c r="D2061" i="1"/>
  <c r="D2062" i="1"/>
  <c r="D2063" i="1"/>
  <c r="D2064" i="1"/>
  <c r="D2065" i="1"/>
  <c r="D2066" i="1"/>
  <c r="D2067" i="1"/>
  <c r="D2068" i="1"/>
  <c r="D2069" i="1"/>
  <c r="D2070" i="1"/>
  <c r="D2071" i="1"/>
  <c r="D2072" i="1"/>
  <c r="D2073" i="1"/>
  <c r="D2074" i="1"/>
  <c r="D2075" i="1"/>
  <c r="D2076" i="1"/>
  <c r="D2077" i="1"/>
  <c r="D2078" i="1"/>
  <c r="D2079" i="1"/>
  <c r="D2080" i="1"/>
  <c r="D2081" i="1"/>
  <c r="D2082" i="1"/>
  <c r="D2083" i="1"/>
  <c r="D2084" i="1"/>
  <c r="D2085" i="1"/>
  <c r="D2086" i="1"/>
  <c r="D2087" i="1"/>
  <c r="D2088" i="1"/>
  <c r="D2089" i="1"/>
  <c r="D2090" i="1"/>
  <c r="D2091" i="1"/>
  <c r="D2092" i="1"/>
  <c r="D2093" i="1"/>
  <c r="D2094" i="1"/>
  <c r="D2095" i="1"/>
  <c r="D2096" i="1"/>
  <c r="D2097" i="1"/>
  <c r="D2098" i="1"/>
  <c r="D2099" i="1"/>
  <c r="D2100" i="1"/>
  <c r="D2101" i="1"/>
  <c r="D2102" i="1"/>
  <c r="D2103" i="1"/>
  <c r="D2105" i="1"/>
  <c r="D2106" i="1"/>
  <c r="D2107" i="1"/>
  <c r="D2108" i="1"/>
  <c r="D2109" i="1"/>
  <c r="D2110" i="1"/>
  <c r="D2111" i="1"/>
  <c r="D2112" i="1"/>
  <c r="D2113" i="1"/>
  <c r="D2114" i="1"/>
  <c r="D2115" i="1"/>
  <c r="D2116" i="1"/>
  <c r="D2117" i="1"/>
  <c r="D2118" i="1"/>
  <c r="D2119" i="1"/>
  <c r="D2120" i="1"/>
  <c r="D2121" i="1"/>
  <c r="D2122" i="1"/>
  <c r="D2123" i="1"/>
  <c r="D2124" i="1"/>
  <c r="D2125" i="1"/>
  <c r="D2126" i="1"/>
  <c r="D2127" i="1"/>
  <c r="D2128" i="1"/>
  <c r="D2129" i="1"/>
  <c r="D2130" i="1"/>
  <c r="D2131" i="1"/>
  <c r="D2132" i="1"/>
  <c r="D2133" i="1"/>
  <c r="D2134" i="1"/>
  <c r="D2135" i="1"/>
  <c r="D2136" i="1"/>
  <c r="D2137" i="1"/>
  <c r="D2138" i="1"/>
  <c r="D2139" i="1"/>
  <c r="D2140" i="1"/>
  <c r="D2141" i="1"/>
  <c r="D2142" i="1"/>
  <c r="D2143" i="1"/>
  <c r="D2144" i="1"/>
  <c r="D2145" i="1"/>
  <c r="D2146" i="1"/>
  <c r="D2147" i="1"/>
  <c r="D2148" i="1"/>
  <c r="D2149" i="1"/>
  <c r="D2150" i="1"/>
  <c r="D2151" i="1"/>
  <c r="D2152" i="1"/>
  <c r="D2153" i="1"/>
  <c r="D2154" i="1"/>
  <c r="D2155" i="1"/>
  <c r="D2156" i="1"/>
  <c r="D2157" i="1"/>
  <c r="D2158" i="1"/>
  <c r="D2159" i="1"/>
  <c r="D2160" i="1"/>
  <c r="D2161" i="1"/>
  <c r="D2162" i="1"/>
  <c r="D2163" i="1"/>
  <c r="D2164" i="1"/>
  <c r="D2165" i="1"/>
  <c r="D2166" i="1"/>
  <c r="D2167" i="1"/>
  <c r="D2168" i="1"/>
  <c r="D2169" i="1"/>
  <c r="D2170" i="1"/>
  <c r="D2171" i="1"/>
  <c r="D2172" i="1"/>
  <c r="D2173" i="1"/>
  <c r="D2174" i="1"/>
  <c r="D2175" i="1"/>
  <c r="D2176" i="1"/>
  <c r="D2177" i="1"/>
  <c r="D2178" i="1"/>
  <c r="D2179" i="1"/>
  <c r="D2180" i="1"/>
  <c r="D2181" i="1"/>
  <c r="D2182" i="1"/>
  <c r="D2183" i="1"/>
  <c r="D2184" i="1"/>
  <c r="D2185" i="1"/>
  <c r="D2186" i="1"/>
  <c r="D2187" i="1"/>
  <c r="D2188" i="1"/>
  <c r="D2189" i="1"/>
  <c r="D2190" i="1"/>
  <c r="D2191" i="1"/>
  <c r="D2192" i="1"/>
  <c r="D2193" i="1"/>
  <c r="D2194" i="1"/>
  <c r="D2195" i="1"/>
  <c r="D2196" i="1"/>
  <c r="D2197" i="1"/>
  <c r="D2198" i="1"/>
  <c r="D2199" i="1"/>
  <c r="D2200" i="1"/>
  <c r="D2201" i="1"/>
  <c r="D2202" i="1"/>
  <c r="D2203" i="1"/>
  <c r="D2204" i="1"/>
  <c r="D2205" i="1"/>
  <c r="D2206" i="1"/>
  <c r="D2207" i="1"/>
  <c r="D2208" i="1"/>
  <c r="D2209" i="1"/>
  <c r="D2210" i="1"/>
  <c r="D2211" i="1"/>
  <c r="D2212" i="1"/>
  <c r="D2213" i="1"/>
  <c r="D2214" i="1"/>
  <c r="D2215" i="1"/>
  <c r="D2216" i="1"/>
  <c r="D2217" i="1"/>
  <c r="D2218" i="1"/>
  <c r="D2219" i="1"/>
  <c r="D2220" i="1"/>
  <c r="D2221" i="1"/>
  <c r="D2222" i="1"/>
  <c r="D2223" i="1"/>
  <c r="D2224" i="1"/>
  <c r="D2225" i="1"/>
  <c r="D2226" i="1"/>
  <c r="D2227" i="1"/>
  <c r="D2228" i="1"/>
  <c r="D2229" i="1"/>
  <c r="D2230" i="1"/>
  <c r="D2231" i="1"/>
  <c r="D2232" i="1"/>
  <c r="D2233" i="1"/>
  <c r="D2234" i="1"/>
  <c r="D2235" i="1"/>
  <c r="D2236" i="1"/>
  <c r="D2237" i="1"/>
  <c r="D2238" i="1"/>
  <c r="D2239" i="1"/>
  <c r="D2240" i="1"/>
  <c r="D2241" i="1"/>
  <c r="D2242" i="1"/>
  <c r="D2243" i="1"/>
  <c r="D2244" i="1"/>
  <c r="D2245" i="1"/>
  <c r="D2246" i="1"/>
  <c r="D2247" i="1"/>
  <c r="D2248" i="1"/>
  <c r="D2249" i="1"/>
  <c r="D2250" i="1"/>
  <c r="D2251" i="1"/>
  <c r="D2252" i="1"/>
  <c r="D2253" i="1"/>
  <c r="D2254" i="1"/>
  <c r="D2255" i="1"/>
  <c r="D2256" i="1"/>
  <c r="D2257" i="1"/>
  <c r="D2258" i="1"/>
  <c r="D2259" i="1"/>
  <c r="D2260" i="1"/>
  <c r="D2261" i="1"/>
  <c r="D2262" i="1"/>
  <c r="D2263" i="1"/>
  <c r="D2264" i="1"/>
  <c r="D2265" i="1"/>
  <c r="D2266" i="1"/>
  <c r="D2267" i="1"/>
  <c r="D2268" i="1"/>
  <c r="D2269" i="1"/>
  <c r="D2270" i="1"/>
  <c r="D2271" i="1"/>
  <c r="D2272" i="1"/>
  <c r="D2273" i="1"/>
  <c r="D2274" i="1"/>
  <c r="D2275" i="1"/>
  <c r="D2276" i="1"/>
  <c r="D2277" i="1"/>
  <c r="D2278" i="1"/>
  <c r="D2279" i="1"/>
  <c r="D2280" i="1"/>
  <c r="D2281" i="1"/>
  <c r="D2282" i="1"/>
  <c r="D2283" i="1"/>
  <c r="D2285" i="1"/>
  <c r="D2286" i="1"/>
  <c r="D2287" i="1"/>
  <c r="D2288" i="1"/>
  <c r="D2289" i="1"/>
  <c r="D2290" i="1"/>
  <c r="D2291" i="1"/>
  <c r="D2292" i="1"/>
  <c r="D2293" i="1"/>
  <c r="D2294" i="1"/>
  <c r="D2295" i="1"/>
  <c r="D2296" i="1"/>
  <c r="D2298" i="1"/>
  <c r="D2299" i="1"/>
  <c r="D2300" i="1"/>
  <c r="D2301" i="1"/>
  <c r="D2302" i="1"/>
  <c r="D2303" i="1"/>
  <c r="D2304" i="1"/>
  <c r="D2305" i="1"/>
  <c r="D2306" i="1"/>
  <c r="D2307" i="1"/>
  <c r="D2309" i="1"/>
  <c r="D2310" i="1"/>
  <c r="D2311" i="1"/>
  <c r="D2312" i="1"/>
  <c r="D2313" i="1"/>
  <c r="D2314" i="1"/>
  <c r="D2315" i="1"/>
  <c r="D2316" i="1"/>
  <c r="D2317" i="1"/>
  <c r="D2318" i="1"/>
  <c r="D2319" i="1"/>
  <c r="D2320" i="1"/>
  <c r="D2321" i="1"/>
  <c r="D2322" i="1"/>
  <c r="D2323" i="1"/>
  <c r="D2324" i="1"/>
  <c r="D2325" i="1"/>
  <c r="D2326" i="1"/>
  <c r="D2327" i="1"/>
  <c r="D2328" i="1"/>
  <c r="D2329" i="1"/>
  <c r="D2330" i="1"/>
  <c r="D2331" i="1"/>
  <c r="D2332" i="1"/>
  <c r="D2333" i="1"/>
  <c r="D2334" i="1"/>
  <c r="D2335" i="1"/>
  <c r="D2336" i="1"/>
  <c r="D2337" i="1"/>
  <c r="D2338" i="1"/>
  <c r="D2339" i="1"/>
  <c r="D2340" i="1"/>
  <c r="D2342" i="1"/>
  <c r="D2343" i="1"/>
  <c r="D2344" i="1"/>
  <c r="D2345" i="1"/>
  <c r="D2346" i="1"/>
  <c r="D2347" i="1"/>
  <c r="D2349" i="1"/>
  <c r="D2350" i="1"/>
  <c r="D2351" i="1"/>
  <c r="D2352" i="1"/>
  <c r="D2353" i="1"/>
  <c r="D2354" i="1"/>
  <c r="D2355" i="1"/>
  <c r="D2356" i="1"/>
  <c r="D2358" i="1"/>
  <c r="D2359" i="1"/>
  <c r="D2360" i="1"/>
  <c r="D2361" i="1"/>
  <c r="D2362" i="1"/>
  <c r="D2363" i="1"/>
  <c r="D2365" i="1"/>
  <c r="D2366" i="1"/>
  <c r="D2367" i="1"/>
  <c r="D2368" i="1"/>
  <c r="D2369" i="1"/>
  <c r="D2370" i="1"/>
  <c r="D2371" i="1"/>
  <c r="D2372" i="1"/>
  <c r="D2373" i="1"/>
  <c r="D2374" i="1"/>
  <c r="D2375" i="1"/>
  <c r="D2376" i="1"/>
  <c r="D2377" i="1"/>
  <c r="D2378" i="1"/>
  <c r="D2379" i="1"/>
  <c r="D2380" i="1"/>
  <c r="D2381" i="1"/>
  <c r="D2382" i="1"/>
  <c r="D2383" i="1"/>
  <c r="D2384" i="1"/>
  <c r="D2385" i="1"/>
  <c r="D2386" i="1"/>
  <c r="D2387" i="1"/>
  <c r="D2389" i="1"/>
  <c r="D2390" i="1"/>
  <c r="D2391" i="1"/>
  <c r="D2392" i="1"/>
  <c r="D2393" i="1"/>
  <c r="D2394" i="1"/>
  <c r="D2395" i="1"/>
  <c r="D2396" i="1"/>
  <c r="D2397" i="1"/>
  <c r="D2398" i="1"/>
  <c r="D2399" i="1"/>
  <c r="D2400" i="1"/>
  <c r="D2401" i="1"/>
  <c r="D2402" i="1"/>
  <c r="D2403" i="1"/>
  <c r="D2404" i="1"/>
  <c r="D2405" i="1"/>
  <c r="D2406" i="1"/>
  <c r="D2407" i="1"/>
  <c r="D2408" i="1"/>
  <c r="D2409" i="1"/>
  <c r="D2410" i="1"/>
  <c r="D2411" i="1"/>
  <c r="D2412" i="1"/>
  <c r="D2413" i="1"/>
  <c r="D2414" i="1"/>
  <c r="D2415" i="1"/>
  <c r="D2416" i="1"/>
  <c r="D2417" i="1"/>
  <c r="D2418" i="1"/>
  <c r="D2419" i="1"/>
  <c r="D2420" i="1"/>
  <c r="D2421" i="1"/>
  <c r="D2422" i="1"/>
  <c r="D2423" i="1"/>
  <c r="D2424" i="1"/>
  <c r="D2425" i="1"/>
  <c r="D2427" i="1"/>
  <c r="D2428" i="1"/>
  <c r="D2429" i="1"/>
  <c r="D2430" i="1"/>
  <c r="D2431" i="1"/>
  <c r="D2432" i="1"/>
  <c r="D2433" i="1"/>
  <c r="D2434" i="1"/>
  <c r="D2435" i="1"/>
  <c r="D2436" i="1"/>
  <c r="D2437" i="1"/>
  <c r="D2438" i="1"/>
  <c r="D2439" i="1"/>
  <c r="D2440" i="1"/>
  <c r="D2441" i="1"/>
  <c r="D2442" i="1"/>
  <c r="D2443" i="1"/>
  <c r="D2444" i="1"/>
  <c r="D2445" i="1"/>
  <c r="D2446" i="1"/>
  <c r="D2447" i="1"/>
  <c r="D2448" i="1"/>
  <c r="D2449" i="1"/>
  <c r="D2450" i="1"/>
  <c r="D2451" i="1"/>
  <c r="D2452" i="1"/>
  <c r="D2453" i="1"/>
  <c r="D2454" i="1"/>
  <c r="D2455" i="1"/>
  <c r="D2456" i="1"/>
  <c r="D2457" i="1"/>
  <c r="D2458" i="1"/>
  <c r="D2459" i="1"/>
  <c r="D2460" i="1"/>
  <c r="D2461" i="1"/>
  <c r="D2463" i="1"/>
  <c r="D2464" i="1"/>
  <c r="D2465" i="1"/>
  <c r="D2466" i="1"/>
  <c r="D2467" i="1"/>
  <c r="D2468" i="1"/>
  <c r="D2469" i="1"/>
  <c r="D2471" i="1"/>
  <c r="D2472" i="1"/>
  <c r="D2473" i="1"/>
  <c r="D2476" i="1"/>
  <c r="D2477" i="1"/>
  <c r="D2478" i="1"/>
  <c r="D2479" i="1"/>
  <c r="D2480" i="1"/>
  <c r="D2481" i="1"/>
  <c r="D2482" i="1"/>
  <c r="D2483" i="1"/>
  <c r="D2484" i="1"/>
  <c r="D2485" i="1"/>
  <c r="D2486" i="1"/>
  <c r="D2487" i="1"/>
  <c r="D2488" i="1"/>
  <c r="D2489" i="1"/>
  <c r="D2490" i="1"/>
  <c r="D2491" i="1"/>
  <c r="D2492" i="1"/>
  <c r="D2493" i="1"/>
  <c r="D2494" i="1"/>
  <c r="D2495" i="1"/>
  <c r="D2496" i="1"/>
  <c r="D2497" i="1"/>
  <c r="D2498" i="1"/>
  <c r="D2499" i="1"/>
  <c r="D2500" i="1"/>
  <c r="D2501" i="1"/>
  <c r="D2502" i="1"/>
  <c r="D2503" i="1"/>
  <c r="D2504" i="1"/>
  <c r="D2505" i="1"/>
  <c r="D2506" i="1"/>
  <c r="D2508" i="1"/>
  <c r="D2509" i="1"/>
  <c r="D2510" i="1"/>
  <c r="D2511" i="1"/>
  <c r="D2512" i="1"/>
  <c r="D2513" i="1"/>
  <c r="D2514" i="1"/>
  <c r="D2515" i="1"/>
  <c r="D2516" i="1"/>
  <c r="D2517" i="1"/>
  <c r="D2518" i="1"/>
  <c r="D2520" i="1"/>
  <c r="D2521" i="1"/>
  <c r="D2522" i="1"/>
  <c r="D2523" i="1"/>
  <c r="D2524" i="1"/>
  <c r="D2525" i="1"/>
  <c r="D2526" i="1"/>
  <c r="D2527" i="1"/>
  <c r="D2528" i="1"/>
  <c r="D2529" i="1"/>
  <c r="D2530" i="1"/>
  <c r="D2533" i="1"/>
  <c r="D2534" i="1"/>
  <c r="D2535" i="1"/>
  <c r="D2536" i="1"/>
  <c r="D2538" i="1"/>
  <c r="D2539" i="1"/>
  <c r="D2540" i="1"/>
  <c r="D2541" i="1"/>
  <c r="D2543" i="1"/>
  <c r="D2544" i="1"/>
  <c r="D2545" i="1"/>
  <c r="D2546" i="1"/>
  <c r="D2547" i="1"/>
  <c r="D2548" i="1"/>
  <c r="D2549" i="1"/>
  <c r="D2550" i="1"/>
  <c r="D2551" i="1"/>
  <c r="D2552" i="1"/>
  <c r="D2553" i="1"/>
  <c r="D2554" i="1"/>
  <c r="D2555" i="1"/>
  <c r="D2556" i="1"/>
  <c r="D2557" i="1"/>
  <c r="D2558" i="1"/>
  <c r="D2559" i="1"/>
  <c r="D2560" i="1"/>
  <c r="D2561" i="1"/>
  <c r="D2562" i="1"/>
  <c r="D2563" i="1"/>
  <c r="D2564" i="1"/>
  <c r="D2566" i="1"/>
  <c r="D2567" i="1"/>
  <c r="D2568" i="1"/>
  <c r="D2569" i="1"/>
  <c r="D2570" i="1"/>
  <c r="D2571" i="1"/>
  <c r="D2572" i="1"/>
  <c r="D2573" i="1"/>
  <c r="D2574" i="1"/>
  <c r="D2575" i="1"/>
  <c r="D2576" i="1"/>
  <c r="D2577" i="1"/>
  <c r="D2578" i="1"/>
  <c r="D2579" i="1"/>
  <c r="D2580" i="1"/>
  <c r="D2581" i="1"/>
  <c r="D2582" i="1"/>
  <c r="D2583" i="1"/>
  <c r="D2584" i="1"/>
  <c r="D2585" i="1"/>
  <c r="D2586" i="1"/>
  <c r="D2587" i="1"/>
  <c r="D2588" i="1"/>
  <c r="D2589" i="1"/>
  <c r="D2590" i="1"/>
  <c r="D2591" i="1"/>
  <c r="D2592" i="1"/>
  <c r="D2593" i="1"/>
  <c r="D2597" i="1"/>
  <c r="D2598" i="1"/>
  <c r="D2599" i="1"/>
  <c r="D2600" i="1"/>
  <c r="D2601" i="1"/>
  <c r="D2602" i="1"/>
  <c r="D2603" i="1"/>
  <c r="D2604" i="1"/>
  <c r="D2605" i="1"/>
  <c r="D2606" i="1"/>
  <c r="D2607" i="1"/>
  <c r="D2608" i="1"/>
  <c r="D2609" i="1"/>
  <c r="D2610" i="1"/>
  <c r="D2611" i="1"/>
  <c r="D2612" i="1"/>
  <c r="D2614" i="1"/>
  <c r="D2616" i="1"/>
  <c r="D2617" i="1"/>
  <c r="D2618" i="1"/>
  <c r="D2619" i="1"/>
  <c r="D2620" i="1"/>
  <c r="D2621" i="1"/>
  <c r="D2622" i="1"/>
  <c r="D2623" i="1"/>
  <c r="D2624" i="1"/>
  <c r="D2625" i="1"/>
  <c r="D2626" i="1"/>
  <c r="D2627" i="1"/>
  <c r="D2628" i="1"/>
  <c r="D2629" i="1"/>
  <c r="D2630" i="1"/>
  <c r="D2631" i="1"/>
  <c r="D2632" i="1"/>
  <c r="D2633" i="1"/>
  <c r="D2634" i="1"/>
  <c r="D2635" i="1"/>
  <c r="D2636" i="1"/>
  <c r="D2637" i="1"/>
  <c r="D2638" i="1"/>
  <c r="D2639" i="1"/>
  <c r="D2640" i="1"/>
  <c r="D2641" i="1"/>
  <c r="D2642" i="1"/>
  <c r="D2643" i="1"/>
  <c r="D2644" i="1"/>
  <c r="D2645" i="1"/>
  <c r="D2646" i="1"/>
  <c r="D2647" i="1"/>
  <c r="D2648" i="1"/>
  <c r="D2649" i="1"/>
  <c r="D2650" i="1"/>
  <c r="D2651" i="1"/>
  <c r="D2652" i="1"/>
  <c r="D2653" i="1"/>
  <c r="D2654" i="1"/>
  <c r="D2655" i="1"/>
  <c r="D2656" i="1"/>
  <c r="D2657" i="1"/>
  <c r="D2658" i="1"/>
  <c r="D2659" i="1"/>
  <c r="D2660" i="1"/>
  <c r="D2661" i="1"/>
  <c r="D2662" i="1"/>
  <c r="D2663" i="1"/>
  <c r="D2664" i="1"/>
  <c r="D2665" i="1"/>
  <c r="D2666" i="1"/>
  <c r="D2667" i="1"/>
  <c r="D2668" i="1"/>
  <c r="D2669" i="1"/>
  <c r="D2670" i="1"/>
  <c r="D2671" i="1"/>
  <c r="D2672" i="1"/>
  <c r="D2673" i="1"/>
  <c r="D2674" i="1"/>
  <c r="D2675" i="1"/>
  <c r="D2676" i="1"/>
  <c r="D2677" i="1"/>
  <c r="D2678" i="1"/>
  <c r="D2679" i="1"/>
  <c r="D2680" i="1"/>
  <c r="D2681" i="1"/>
  <c r="D2682" i="1"/>
  <c r="D2683" i="1"/>
  <c r="D2684" i="1"/>
  <c r="D2685" i="1"/>
  <c r="D2686" i="1"/>
  <c r="D2687" i="1"/>
  <c r="D2688" i="1"/>
  <c r="D2689" i="1"/>
  <c r="D2690" i="1"/>
  <c r="D2691" i="1"/>
  <c r="D2692" i="1"/>
  <c r="D2693" i="1"/>
  <c r="D2694" i="1"/>
  <c r="D2696" i="1"/>
  <c r="D2698" i="1"/>
  <c r="D2699" i="1"/>
  <c r="D2700" i="1"/>
  <c r="D2701" i="1"/>
  <c r="D2702" i="1"/>
  <c r="D2703" i="1"/>
  <c r="D2704" i="1"/>
  <c r="D2705" i="1"/>
  <c r="D2706" i="1"/>
  <c r="D2707" i="1"/>
  <c r="D2708" i="1"/>
  <c r="D2709" i="1"/>
  <c r="D2710" i="1"/>
  <c r="D2711" i="1"/>
  <c r="D2712" i="1"/>
  <c r="D2713" i="1"/>
  <c r="D2714" i="1"/>
  <c r="D2715" i="1"/>
  <c r="D2716" i="1"/>
  <c r="D2717" i="1"/>
  <c r="D2720" i="1"/>
  <c r="D2721" i="1"/>
  <c r="D2722" i="1"/>
  <c r="D2723" i="1"/>
  <c r="D2724" i="1"/>
  <c r="D2725" i="1"/>
  <c r="D2726" i="1"/>
  <c r="D2727" i="1"/>
  <c r="D2728" i="1"/>
  <c r="D2729" i="1"/>
  <c r="D2730" i="1"/>
  <c r="D2731" i="1"/>
  <c r="D2732" i="1"/>
  <c r="D2733" i="1"/>
  <c r="D2734" i="1"/>
  <c r="D2735" i="1"/>
  <c r="D2736" i="1"/>
  <c r="D2737" i="1"/>
  <c r="D2738" i="1"/>
  <c r="D2740" i="1"/>
  <c r="D2741" i="1"/>
  <c r="D2742" i="1"/>
  <c r="D2743" i="1"/>
  <c r="D2744" i="1"/>
  <c r="D2745" i="1"/>
  <c r="D2746" i="1"/>
  <c r="D2747" i="1"/>
  <c r="D2748" i="1"/>
  <c r="D2749" i="1"/>
  <c r="D2751" i="1"/>
  <c r="D2752" i="1"/>
  <c r="D2753" i="1"/>
  <c r="D2754" i="1"/>
  <c r="D2755" i="1"/>
  <c r="D2758" i="1"/>
  <c r="D2759" i="1"/>
  <c r="D2760" i="1"/>
  <c r="D2761" i="1"/>
  <c r="D2762" i="1"/>
  <c r="D2763" i="1"/>
  <c r="D2764" i="1"/>
  <c r="D2765" i="1"/>
  <c r="D2767" i="1"/>
  <c r="D2768" i="1"/>
  <c r="D2770" i="1"/>
  <c r="D2771" i="1"/>
  <c r="D2772" i="1"/>
  <c r="D2773" i="1"/>
  <c r="D2774" i="1"/>
  <c r="D2775" i="1"/>
  <c r="D2776" i="1"/>
  <c r="D2777" i="1"/>
  <c r="D2778" i="1"/>
  <c r="D2779" i="1"/>
  <c r="D2780" i="1"/>
  <c r="D2781" i="1"/>
  <c r="D2782" i="1"/>
  <c r="D2783" i="1"/>
  <c r="D2784" i="1"/>
  <c r="D2785" i="1"/>
  <c r="D2786" i="1"/>
  <c r="D2787" i="1"/>
  <c r="D2788" i="1"/>
  <c r="D2790" i="1"/>
  <c r="D2791" i="1"/>
  <c r="D2792" i="1"/>
  <c r="D2795" i="1"/>
  <c r="D2796" i="1"/>
  <c r="D2797" i="1"/>
  <c r="D2799" i="1"/>
  <c r="D2801" i="1"/>
  <c r="D2802" i="1"/>
  <c r="D2803" i="1"/>
  <c r="D2804" i="1"/>
  <c r="D2805" i="1"/>
  <c r="D2806" i="1"/>
  <c r="D2807" i="1"/>
  <c r="D2809" i="1"/>
  <c r="D2810" i="1"/>
  <c r="D2811" i="1"/>
  <c r="D2812" i="1"/>
  <c r="D2813" i="1"/>
  <c r="D2814" i="1"/>
  <c r="D2815" i="1"/>
  <c r="D2816" i="1"/>
  <c r="D2817" i="1"/>
  <c r="D2818" i="1"/>
  <c r="D2819" i="1"/>
  <c r="D2821" i="1"/>
  <c r="D2822" i="1"/>
  <c r="D2823" i="1"/>
  <c r="D2824" i="1"/>
  <c r="D2825" i="1"/>
  <c r="D2826" i="1"/>
  <c r="D2827" i="1"/>
  <c r="D2829" i="1"/>
  <c r="D2830" i="1"/>
  <c r="D2831" i="1"/>
  <c r="D2832" i="1"/>
  <c r="D2833" i="1"/>
  <c r="D2837" i="1"/>
  <c r="D2838" i="1"/>
  <c r="D2839" i="1"/>
  <c r="D2840" i="1"/>
  <c r="D2841" i="1"/>
  <c r="D2842" i="1"/>
  <c r="D2843" i="1"/>
  <c r="D2844" i="1"/>
  <c r="D2845" i="1"/>
  <c r="D2846" i="1"/>
  <c r="D2847" i="1"/>
  <c r="D2848" i="1"/>
  <c r="D2849" i="1"/>
  <c r="D2850" i="1"/>
  <c r="D2851" i="1"/>
  <c r="D2852" i="1"/>
  <c r="D2853" i="1"/>
  <c r="D2854" i="1"/>
  <c r="D2855" i="1"/>
  <c r="D2856" i="1"/>
  <c r="D2858" i="1"/>
  <c r="D2859" i="1"/>
  <c r="D2860" i="1"/>
  <c r="D2861" i="1"/>
  <c r="D2862" i="1"/>
  <c r="D2863" i="1"/>
  <c r="D2864" i="1"/>
  <c r="D2865" i="1"/>
  <c r="D2867" i="1"/>
  <c r="D2868" i="1"/>
  <c r="D2869" i="1"/>
  <c r="D2870" i="1"/>
  <c r="D2871" i="1"/>
  <c r="D2872" i="1"/>
  <c r="D2873" i="1"/>
  <c r="D2874" i="1"/>
  <c r="D2875" i="1"/>
  <c r="D2876" i="1"/>
  <c r="D2877" i="1"/>
  <c r="D2878" i="1"/>
  <c r="D2879" i="1"/>
  <c r="D2880" i="1"/>
  <c r="D2881" i="1"/>
  <c r="D2882" i="1"/>
  <c r="D2883" i="1"/>
  <c r="D2884" i="1"/>
  <c r="D2885" i="1"/>
  <c r="D2887" i="1"/>
  <c r="D2888" i="1"/>
  <c r="D2889" i="1"/>
  <c r="D2890" i="1"/>
  <c r="D2891" i="1"/>
  <c r="D2892" i="1"/>
  <c r="D2893" i="1"/>
  <c r="D2894" i="1"/>
  <c r="D2895" i="1"/>
  <c r="D2898" i="1"/>
  <c r="D2899" i="1"/>
  <c r="D2900" i="1"/>
  <c r="D2901" i="1"/>
  <c r="D2902" i="1"/>
  <c r="D2903" i="1"/>
  <c r="D2904" i="1"/>
  <c r="D2905" i="1"/>
  <c r="D2906" i="1"/>
  <c r="D2907" i="1"/>
  <c r="D2908" i="1"/>
  <c r="D2909" i="1"/>
  <c r="D2910" i="1"/>
  <c r="D2911" i="1"/>
  <c r="D2912" i="1"/>
  <c r="D2914" i="1"/>
  <c r="D2915" i="1"/>
  <c r="D2916" i="1"/>
  <c r="D2917" i="1"/>
  <c r="D2918" i="1"/>
  <c r="D2919" i="1"/>
  <c r="D2920" i="1"/>
  <c r="D2921" i="1"/>
  <c r="D2922" i="1"/>
  <c r="D2923" i="1"/>
  <c r="D2924" i="1"/>
  <c r="D2925" i="1"/>
  <c r="D2926" i="1"/>
  <c r="D2927" i="1"/>
  <c r="D2928" i="1"/>
  <c r="D2929" i="1"/>
  <c r="D2930" i="1"/>
  <c r="D2931" i="1"/>
  <c r="D2932" i="1"/>
  <c r="D2933" i="1"/>
  <c r="D2934" i="1"/>
  <c r="D2936" i="1"/>
  <c r="D2937" i="1"/>
  <c r="D2938" i="1"/>
  <c r="D2939" i="1"/>
  <c r="D2940" i="1"/>
  <c r="D2941" i="1"/>
  <c r="D2942" i="1"/>
  <c r="D2943" i="1"/>
  <c r="D2944" i="1"/>
  <c r="D2945" i="1"/>
  <c r="D2946" i="1"/>
  <c r="D2947" i="1"/>
  <c r="D2948" i="1"/>
  <c r="D2949" i="1"/>
  <c r="D2950" i="1"/>
  <c r="D2951" i="1"/>
  <c r="D2952" i="1"/>
  <c r="D2953" i="1"/>
  <c r="D2954" i="1"/>
  <c r="D2955" i="1"/>
  <c r="D2956" i="1"/>
  <c r="D2957" i="1"/>
  <c r="D2958" i="1"/>
  <c r="D2959" i="1"/>
  <c r="D2960" i="1"/>
  <c r="D2961" i="1"/>
  <c r="D2962" i="1"/>
  <c r="D2963" i="1"/>
  <c r="D2964" i="1"/>
  <c r="D2965" i="1"/>
  <c r="D2966" i="1"/>
  <c r="D2967" i="1"/>
  <c r="D2968" i="1"/>
  <c r="D2969" i="1"/>
  <c r="D2970" i="1"/>
  <c r="D2971" i="1"/>
  <c r="D2972" i="1"/>
  <c r="D2973" i="1"/>
  <c r="D2974" i="1"/>
  <c r="D2975" i="1"/>
  <c r="D2976" i="1"/>
  <c r="D2977" i="1"/>
  <c r="D2978" i="1"/>
  <c r="D2979" i="1"/>
  <c r="D2980" i="1"/>
  <c r="D2981" i="1"/>
  <c r="D2982" i="1"/>
  <c r="D2983" i="1"/>
  <c r="D2984" i="1"/>
  <c r="D2985" i="1"/>
  <c r="D2986" i="1"/>
  <c r="D2987" i="1"/>
  <c r="D2988" i="1"/>
  <c r="D2989" i="1"/>
  <c r="D2990" i="1"/>
  <c r="D2991" i="1"/>
  <c r="D2992" i="1"/>
  <c r="D2993" i="1"/>
  <c r="D2994" i="1"/>
  <c r="D2995" i="1"/>
  <c r="D2997" i="1"/>
  <c r="D2998" i="1"/>
  <c r="D2999" i="1"/>
  <c r="D3000" i="1"/>
  <c r="D3001" i="1"/>
  <c r="D3002" i="1"/>
  <c r="D3003" i="1"/>
  <c r="D3004" i="1"/>
  <c r="D3005" i="1"/>
  <c r="D3006" i="1"/>
  <c r="D3007" i="1"/>
  <c r="D3008" i="1"/>
  <c r="D3009" i="1"/>
  <c r="D3010" i="1"/>
  <c r="D3011" i="1"/>
  <c r="D3012" i="1"/>
  <c r="D3013" i="1"/>
  <c r="D3014" i="1"/>
  <c r="D3015" i="1"/>
  <c r="D3016" i="1"/>
  <c r="D3019" i="1"/>
  <c r="D3020" i="1"/>
  <c r="D3021" i="1"/>
  <c r="D3022" i="1"/>
  <c r="D3023" i="1"/>
  <c r="D3024" i="1"/>
  <c r="D3025" i="1"/>
  <c r="D3026" i="1"/>
  <c r="D3027" i="1"/>
  <c r="D3028" i="1"/>
  <c r="D3029" i="1"/>
  <c r="D3030" i="1"/>
  <c r="D3031" i="1"/>
  <c r="D3032" i="1"/>
  <c r="D3033" i="1"/>
  <c r="D3034" i="1"/>
  <c r="D3035" i="1"/>
  <c r="D3036" i="1"/>
  <c r="D3037" i="1"/>
  <c r="D3039" i="1"/>
  <c r="D3040" i="1"/>
  <c r="D3041" i="1"/>
  <c r="D3042" i="1"/>
  <c r="D3043" i="1"/>
  <c r="D3044" i="1"/>
  <c r="D3045" i="1"/>
  <c r="D3046" i="1"/>
  <c r="D3047" i="1"/>
  <c r="D3048" i="1"/>
  <c r="D3049" i="1"/>
  <c r="D3050" i="1"/>
  <c r="D3052" i="1"/>
  <c r="D3053" i="1"/>
  <c r="D3054" i="1"/>
  <c r="D3055" i="1"/>
  <c r="D3056" i="1"/>
  <c r="D3058" i="1"/>
  <c r="D3059" i="1"/>
  <c r="D3060" i="1"/>
  <c r="D3061" i="1"/>
  <c r="D3062" i="1"/>
  <c r="D3063" i="1"/>
  <c r="D3064" i="1"/>
  <c r="D3065" i="1"/>
  <c r="D3068" i="1"/>
  <c r="D3069" i="1"/>
  <c r="D3070" i="1"/>
  <c r="D3071" i="1"/>
  <c r="D3072" i="1"/>
  <c r="D3073" i="1"/>
  <c r="D3074" i="1"/>
  <c r="D3075" i="1"/>
  <c r="D3076" i="1"/>
  <c r="D3078" i="1"/>
  <c r="D3079" i="1"/>
  <c r="D3080" i="1"/>
  <c r="D3081" i="1"/>
  <c r="D3082" i="1"/>
  <c r="D3083" i="1"/>
  <c r="D3085" i="1"/>
  <c r="D3086" i="1"/>
  <c r="D3087" i="1"/>
  <c r="D3088" i="1"/>
  <c r="D3089" i="1"/>
  <c r="D3091" i="1"/>
  <c r="D3092" i="1"/>
  <c r="D3094" i="1"/>
  <c r="D3095" i="1"/>
  <c r="D3096" i="1"/>
  <c r="D3098" i="1"/>
  <c r="D3099" i="1"/>
  <c r="D3100" i="1"/>
  <c r="D3101" i="1"/>
  <c r="D3102" i="1"/>
  <c r="D3103" i="1"/>
  <c r="D3105" i="1"/>
  <c r="D3106" i="1"/>
  <c r="D3107" i="1"/>
  <c r="D3108" i="1"/>
  <c r="D3110" i="1"/>
  <c r="D3111" i="1"/>
  <c r="D3112" i="1"/>
  <c r="D3113" i="1"/>
  <c r="D3114" i="1"/>
  <c r="D3115" i="1"/>
  <c r="D3116" i="1"/>
  <c r="D3117" i="1"/>
  <c r="D3118" i="1"/>
  <c r="D3119" i="1"/>
  <c r="D3120" i="1"/>
  <c r="D3121" i="1"/>
  <c r="D3122" i="1"/>
  <c r="D3124" i="1"/>
  <c r="D3125" i="1"/>
  <c r="D3126" i="1"/>
  <c r="D3127" i="1"/>
  <c r="D3128" i="1"/>
  <c r="D3129" i="1"/>
  <c r="D3130" i="1"/>
  <c r="D3131" i="1"/>
  <c r="D3132" i="1"/>
  <c r="D3133" i="1"/>
  <c r="D3134" i="1"/>
  <c r="D3135" i="1"/>
  <c r="D3136" i="1"/>
  <c r="D3137" i="1"/>
  <c r="D3138" i="1"/>
  <c r="D3139" i="1"/>
  <c r="D3140" i="1"/>
  <c r="D3141" i="1"/>
  <c r="D3142" i="1"/>
  <c r="D3145" i="1"/>
  <c r="D3146" i="1"/>
  <c r="D3147" i="1"/>
  <c r="D3149" i="1"/>
  <c r="D3150" i="1"/>
  <c r="D3153" i="1"/>
  <c r="D3154" i="1"/>
  <c r="D3155" i="1"/>
  <c r="D3156" i="1"/>
  <c r="D3157" i="1"/>
  <c r="D3162" i="1"/>
  <c r="D3163" i="1"/>
  <c r="D3164" i="1"/>
  <c r="D3165" i="1"/>
  <c r="D3166" i="1"/>
  <c r="D3167" i="1"/>
  <c r="D3168" i="1"/>
  <c r="D3169" i="1"/>
  <c r="D3170" i="1"/>
  <c r="D3171" i="1"/>
  <c r="D3172" i="1"/>
  <c r="D3173" i="1"/>
  <c r="D3174" i="1"/>
  <c r="D3175" i="1"/>
  <c r="D3176" i="1"/>
  <c r="D3177" i="1"/>
  <c r="D3178" i="1"/>
  <c r="D3179" i="1"/>
  <c r="D3181" i="1"/>
  <c r="D3182" i="1"/>
  <c r="D3183" i="1"/>
  <c r="D3184" i="1"/>
  <c r="D3185" i="1"/>
  <c r="D3186" i="1"/>
  <c r="D3187" i="1"/>
  <c r="D3188" i="1"/>
  <c r="D3189" i="1"/>
  <c r="D3190" i="1"/>
  <c r="D3191" i="1"/>
  <c r="D3192" i="1"/>
  <c r="D3193" i="1"/>
  <c r="D3194" i="1"/>
  <c r="D3195" i="1"/>
  <c r="D3196" i="1"/>
  <c r="D3198" i="1"/>
  <c r="D3199" i="1"/>
  <c r="D3200" i="1"/>
  <c r="D3201" i="1"/>
  <c r="D3202" i="1"/>
  <c r="D3203" i="1"/>
  <c r="D3204" i="1"/>
  <c r="D3205" i="1"/>
  <c r="D3206" i="1"/>
  <c r="D3207" i="1"/>
  <c r="D3208" i="1"/>
  <c r="D3209" i="1"/>
  <c r="D3210" i="1"/>
  <c r="D3212" i="1"/>
  <c r="D3213" i="1"/>
  <c r="D3214" i="1"/>
  <c r="D3215" i="1"/>
  <c r="D3216" i="1"/>
  <c r="D3217" i="1"/>
  <c r="D3218" i="1"/>
  <c r="D3219" i="1"/>
  <c r="D3220" i="1"/>
  <c r="D3221" i="1"/>
  <c r="D3222" i="1"/>
  <c r="D3223" i="1"/>
  <c r="D3224" i="1"/>
  <c r="D3225" i="1"/>
  <c r="D3226" i="1"/>
  <c r="D3227" i="1"/>
  <c r="D3228" i="1"/>
  <c r="D3229" i="1"/>
  <c r="D3230" i="1"/>
  <c r="D3231" i="1"/>
  <c r="D3232" i="1"/>
  <c r="D3233" i="1"/>
  <c r="D3235" i="1"/>
  <c r="D3236" i="1"/>
  <c r="D3237" i="1"/>
  <c r="D3238" i="1"/>
  <c r="D3239" i="1"/>
  <c r="D3240" i="1"/>
  <c r="D3241" i="1"/>
  <c r="D3242" i="1"/>
  <c r="D3243" i="1"/>
  <c r="D3244" i="1"/>
  <c r="D3245" i="1"/>
  <c r="D3246" i="1"/>
  <c r="D3247" i="1"/>
  <c r="D3250" i="1"/>
  <c r="D3251" i="1"/>
  <c r="D3252" i="1"/>
  <c r="D3253" i="1"/>
  <c r="D3254" i="1"/>
  <c r="D3255" i="1"/>
  <c r="D3256" i="1"/>
  <c r="D3257" i="1"/>
  <c r="D3259" i="1"/>
  <c r="D3260" i="1"/>
  <c r="D3261" i="1"/>
  <c r="D3262" i="1"/>
  <c r="D3263" i="1"/>
  <c r="D3264" i="1"/>
  <c r="D3265" i="1"/>
  <c r="D3267" i="1"/>
  <c r="D3268" i="1"/>
  <c r="D3269" i="1"/>
  <c r="D3270" i="1"/>
  <c r="D3271" i="1"/>
  <c r="D3272" i="1"/>
  <c r="D3273" i="1"/>
  <c r="D3274" i="1"/>
  <c r="D3276" i="1"/>
  <c r="D3277" i="1"/>
  <c r="D3278" i="1"/>
  <c r="D3280" i="1"/>
  <c r="D3281" i="1"/>
  <c r="D3282" i="1"/>
  <c r="D3284" i="1"/>
  <c r="D3285" i="1"/>
  <c r="D3286" i="1"/>
  <c r="D3287" i="1"/>
  <c r="D3289" i="1"/>
  <c r="D3290" i="1"/>
  <c r="D3291" i="1"/>
  <c r="D3292" i="1"/>
  <c r="D3293" i="1"/>
  <c r="D3294" i="1"/>
  <c r="D3296" i="1"/>
  <c r="D3297" i="1"/>
  <c r="D3298" i="1"/>
  <c r="D3299" i="1"/>
  <c r="D3300" i="1"/>
  <c r="D3301" i="1"/>
  <c r="D3302" i="1"/>
  <c r="D3303" i="1"/>
  <c r="D3304" i="1"/>
  <c r="D3307" i="1"/>
  <c r="D3308" i="1"/>
  <c r="D3309" i="1"/>
  <c r="D3310" i="1"/>
  <c r="D3311" i="1"/>
  <c r="D3312" i="1"/>
  <c r="D3313" i="1"/>
  <c r="D3314" i="1"/>
  <c r="D3315" i="1"/>
  <c r="D3316" i="1"/>
  <c r="D3317" i="1"/>
  <c r="D3318" i="1"/>
  <c r="D3319" i="1"/>
  <c r="D3320" i="1"/>
  <c r="D3321" i="1"/>
  <c r="D3322" i="1"/>
  <c r="D3323" i="1"/>
  <c r="D3325" i="1"/>
  <c r="D3326" i="1"/>
  <c r="D3327" i="1"/>
  <c r="D3328" i="1"/>
  <c r="D3329" i="1"/>
  <c r="D3330" i="1"/>
  <c r="D3331" i="1"/>
  <c r="D3332" i="1"/>
  <c r="D3333" i="1"/>
  <c r="D3334" i="1"/>
  <c r="D3335" i="1"/>
  <c r="D3336" i="1"/>
  <c r="D3337" i="1"/>
  <c r="D3339" i="1"/>
  <c r="D3340" i="1"/>
  <c r="D3341" i="1"/>
  <c r="D3342" i="1"/>
  <c r="D3343" i="1"/>
  <c r="D3344" i="1"/>
  <c r="D3345" i="1"/>
  <c r="D3346" i="1"/>
  <c r="D3347" i="1"/>
  <c r="D3348" i="1"/>
  <c r="D3349" i="1"/>
  <c r="D3350" i="1"/>
  <c r="D3351" i="1"/>
  <c r="D3352" i="1"/>
  <c r="D3353" i="1"/>
  <c r="D3354" i="1"/>
  <c r="D3356" i="1"/>
  <c r="D3357" i="1"/>
  <c r="D3358" i="1"/>
  <c r="D3359" i="1"/>
  <c r="D3360" i="1"/>
  <c r="D3361" i="1"/>
  <c r="D3362" i="1"/>
  <c r="D3363" i="1"/>
  <c r="D3364" i="1"/>
  <c r="D3365" i="1"/>
  <c r="D3367" i="1"/>
  <c r="D3368" i="1"/>
  <c r="D3369" i="1"/>
  <c r="D3370" i="1"/>
  <c r="D3371" i="1"/>
  <c r="D3372" i="1"/>
  <c r="D3373" i="1"/>
  <c r="D3374" i="1"/>
  <c r="D3375" i="1"/>
  <c r="D3376" i="1"/>
  <c r="D3377" i="1"/>
  <c r="D3378" i="1"/>
  <c r="D3379" i="1"/>
  <c r="D3380" i="1"/>
  <c r="D3382" i="1"/>
  <c r="D3383" i="1"/>
  <c r="D3384" i="1"/>
  <c r="D3385" i="1"/>
  <c r="D3386" i="1"/>
  <c r="D3387" i="1"/>
  <c r="D3389" i="1"/>
  <c r="D3390" i="1"/>
  <c r="D3391" i="1"/>
  <c r="D3392" i="1"/>
  <c r="D3394" i="1"/>
  <c r="D3395" i="1"/>
  <c r="D3397" i="1"/>
  <c r="D3398" i="1"/>
  <c r="D3399" i="1"/>
  <c r="D3400" i="1"/>
  <c r="D3402" i="1"/>
  <c r="D3403" i="1"/>
  <c r="D3404" i="1"/>
  <c r="D3405" i="1"/>
  <c r="D3406" i="1"/>
  <c r="D3407" i="1"/>
  <c r="D3410" i="1"/>
  <c r="D3411" i="1"/>
  <c r="D3412" i="1"/>
  <c r="D3413" i="1"/>
  <c r="D3414" i="1"/>
  <c r="D3415" i="1"/>
  <c r="D3416" i="1"/>
  <c r="D3417" i="1"/>
  <c r="D3418" i="1"/>
  <c r="D3419" i="1"/>
  <c r="D3420" i="1"/>
  <c r="D3421" i="1"/>
  <c r="D3422" i="1"/>
  <c r="D3424" i="1"/>
  <c r="D3425" i="1"/>
  <c r="D3426" i="1"/>
  <c r="D3427" i="1"/>
  <c r="D3428" i="1"/>
  <c r="D3429" i="1"/>
  <c r="D3431" i="1"/>
  <c r="D3432" i="1"/>
  <c r="D3433" i="1"/>
  <c r="D3434" i="1"/>
  <c r="D3435" i="1"/>
  <c r="D3436" i="1"/>
  <c r="D3437" i="1"/>
  <c r="D3439" i="1"/>
  <c r="D3440" i="1"/>
  <c r="D3441" i="1"/>
  <c r="D3442" i="1"/>
  <c r="D3443" i="1"/>
  <c r="D3444" i="1"/>
  <c r="D3445" i="1"/>
  <c r="D3446" i="1"/>
  <c r="D3448" i="1"/>
  <c r="D3449" i="1"/>
  <c r="D3450" i="1"/>
  <c r="D3451" i="1"/>
  <c r="D3454" i="1"/>
  <c r="D3455" i="1"/>
  <c r="D3456" i="1"/>
  <c r="D3457" i="1"/>
  <c r="D3458" i="1"/>
  <c r="D3459" i="1"/>
  <c r="D3460" i="1"/>
  <c r="D3461" i="1"/>
  <c r="D3462" i="1"/>
  <c r="D3463" i="1"/>
  <c r="D3464" i="1"/>
  <c r="D3465" i="1"/>
  <c r="D3466" i="1"/>
  <c r="D3467" i="1"/>
  <c r="D3469" i="1"/>
  <c r="D3471" i="1"/>
  <c r="D3472" i="1"/>
  <c r="D3473" i="1"/>
  <c r="D3474" i="1"/>
  <c r="D3475" i="1"/>
  <c r="D3478" i="1"/>
  <c r="D3479" i="1"/>
  <c r="D3480" i="1"/>
  <c r="D3481" i="1"/>
  <c r="D3482" i="1"/>
  <c r="D3483" i="1"/>
  <c r="D3484" i="1"/>
  <c r="D3485" i="1"/>
  <c r="D3487" i="1"/>
  <c r="D3488" i="1"/>
  <c r="D3489" i="1"/>
  <c r="D3491" i="1"/>
  <c r="D3492" i="1"/>
  <c r="D3493" i="1"/>
  <c r="D3494" i="1"/>
  <c r="D3495" i="1"/>
  <c r="D3497" i="1"/>
  <c r="D3498" i="1"/>
  <c r="D3499" i="1"/>
  <c r="D3500" i="1"/>
  <c r="D3501" i="1"/>
  <c r="D3503" i="1"/>
  <c r="D3504" i="1"/>
  <c r="D3505" i="1"/>
  <c r="D3506" i="1"/>
  <c r="D3507" i="1"/>
  <c r="D3508" i="1"/>
  <c r="D3509" i="1"/>
  <c r="D3512" i="1"/>
  <c r="D3513" i="1"/>
  <c r="D3514" i="1"/>
  <c r="D3515" i="1"/>
  <c r="D3516" i="1"/>
  <c r="D3517" i="1"/>
  <c r="D3519" i="1"/>
  <c r="D3520" i="1"/>
  <c r="D3522" i="1"/>
  <c r="D3523" i="1"/>
  <c r="D3524" i="1"/>
  <c r="D3525" i="1"/>
  <c r="D3526" i="1"/>
  <c r="D3527" i="1"/>
  <c r="D3528" i="1"/>
  <c r="D3529" i="1"/>
  <c r="D3530" i="1"/>
  <c r="D3531" i="1"/>
  <c r="D3532" i="1"/>
  <c r="D3533" i="1"/>
  <c r="D3534" i="1"/>
  <c r="D3535" i="1"/>
  <c r="D3536" i="1"/>
  <c r="D3537" i="1"/>
  <c r="D3538" i="1"/>
  <c r="D3539" i="1"/>
  <c r="D3542" i="1"/>
  <c r="D3543" i="1"/>
  <c r="D3544" i="1"/>
  <c r="D3545" i="1"/>
  <c r="D3546" i="1"/>
  <c r="D3548" i="1"/>
  <c r="D3549" i="1"/>
  <c r="D3550" i="1"/>
  <c r="D3551" i="1"/>
  <c r="D3552" i="1"/>
  <c r="D3553" i="1"/>
  <c r="D3554" i="1"/>
  <c r="D3556" i="1"/>
  <c r="D3557" i="1"/>
  <c r="D3558" i="1"/>
  <c r="D3559" i="1"/>
  <c r="D3560" i="1"/>
  <c r="D3561" i="1"/>
  <c r="D3562" i="1"/>
  <c r="D3564" i="1"/>
  <c r="D3565" i="1"/>
  <c r="D3566" i="1"/>
  <c r="D3568" i="1"/>
  <c r="D3569" i="1"/>
  <c r="D3570" i="1"/>
  <c r="D3571" i="1"/>
  <c r="D3572" i="1"/>
  <c r="D3573" i="1"/>
  <c r="D3574" i="1"/>
  <c r="D3575" i="1"/>
  <c r="D3577" i="1"/>
  <c r="D3578" i="1"/>
  <c r="D3579" i="1"/>
  <c r="D3580" i="1"/>
  <c r="D3581" i="1"/>
  <c r="D3582" i="1"/>
  <c r="D3583" i="1"/>
  <c r="D3584" i="1"/>
  <c r="D3585" i="1"/>
  <c r="D3586" i="1"/>
  <c r="D3587" i="1"/>
  <c r="D3588" i="1"/>
  <c r="D3589" i="1"/>
  <c r="D3590" i="1"/>
  <c r="D3591" i="1"/>
  <c r="D3592" i="1"/>
  <c r="D3593" i="1"/>
  <c r="D3594" i="1"/>
  <c r="D3595" i="1"/>
  <c r="D3597" i="1"/>
  <c r="D3598" i="1"/>
  <c r="D3599" i="1"/>
  <c r="D3600" i="1"/>
  <c r="D3601" i="1"/>
  <c r="D3602" i="1"/>
  <c r="D3603" i="1"/>
  <c r="D3604" i="1"/>
  <c r="D3605" i="1"/>
  <c r="D3607" i="1"/>
  <c r="D3608" i="1"/>
  <c r="D3611" i="1"/>
  <c r="D3612" i="1"/>
  <c r="D3613" i="1"/>
  <c r="D3614" i="1"/>
  <c r="D3615" i="1"/>
  <c r="D3617" i="1"/>
  <c r="D3618" i="1"/>
  <c r="D3619" i="1"/>
  <c r="D3620" i="1"/>
  <c r="D3621" i="1"/>
  <c r="D3622" i="1"/>
  <c r="D3623" i="1"/>
  <c r="D3625" i="1"/>
  <c r="D3626" i="1"/>
  <c r="D3627" i="1"/>
  <c r="D3628" i="1"/>
  <c r="D3629" i="1"/>
  <c r="D3630" i="1"/>
  <c r="D3631" i="1"/>
  <c r="D3633" i="1"/>
  <c r="D3634" i="1"/>
  <c r="D3635" i="1"/>
  <c r="D3636" i="1"/>
  <c r="D3638" i="1"/>
  <c r="D3639" i="1"/>
  <c r="D3640" i="1"/>
  <c r="D3641" i="1"/>
  <c r="D3642" i="1"/>
  <c r="D3643" i="1"/>
  <c r="D3644" i="1"/>
  <c r="D3645" i="1"/>
  <c r="D3646" i="1"/>
  <c r="D3647" i="1"/>
  <c r="D3648" i="1"/>
  <c r="D3649" i="1"/>
  <c r="D3650" i="1"/>
  <c r="D3651" i="1"/>
  <c r="D3652" i="1"/>
  <c r="D3653" i="1"/>
  <c r="D3654" i="1"/>
  <c r="D3655" i="1"/>
  <c r="D3656" i="1"/>
  <c r="D3658" i="1"/>
  <c r="D3659" i="1"/>
  <c r="D3660" i="1"/>
  <c r="D3661" i="1"/>
  <c r="D3663" i="1"/>
  <c r="D3664" i="1"/>
  <c r="D3665" i="1"/>
  <c r="D3666" i="1"/>
  <c r="D3667" i="1"/>
  <c r="D3668" i="1"/>
  <c r="D3669" i="1"/>
  <c r="D3670" i="1"/>
  <c r="D3671" i="1"/>
  <c r="D3672" i="1"/>
  <c r="D3673" i="1"/>
  <c r="D3674" i="1"/>
  <c r="D3675" i="1"/>
  <c r="D3676" i="1"/>
  <c r="D3677" i="1"/>
  <c r="D3678" i="1"/>
  <c r="D3679" i="1"/>
  <c r="D3680" i="1"/>
  <c r="D3682" i="1"/>
  <c r="D3683" i="1"/>
  <c r="D3684" i="1"/>
  <c r="D3685" i="1"/>
  <c r="D3686" i="1"/>
  <c r="D3687" i="1"/>
  <c r="D3688" i="1"/>
  <c r="D3689" i="1"/>
  <c r="D3690" i="1"/>
  <c r="D3691" i="1"/>
  <c r="D3692" i="1"/>
  <c r="D3693" i="1"/>
  <c r="D3694" i="1"/>
  <c r="D3695" i="1"/>
  <c r="D3696" i="1"/>
  <c r="D3697" i="1"/>
  <c r="D3698" i="1"/>
  <c r="D3699" i="1"/>
  <c r="D3701" i="1"/>
  <c r="D3702" i="1"/>
  <c r="D3703" i="1"/>
  <c r="D3704" i="1"/>
  <c r="D3706" i="1"/>
  <c r="D3707" i="1"/>
  <c r="D3708" i="1"/>
  <c r="D3709" i="1"/>
  <c r="D3710" i="1"/>
  <c r="D3712" i="1"/>
  <c r="D3713" i="1"/>
  <c r="D3714" i="1"/>
  <c r="D3715" i="1"/>
  <c r="D3716" i="1"/>
  <c r="D3717" i="1"/>
  <c r="D3718" i="1"/>
  <c r="D3719" i="1"/>
  <c r="D3720" i="1"/>
  <c r="D3721" i="1"/>
  <c r="D3722" i="1"/>
  <c r="D3723" i="1"/>
  <c r="D3724" i="1"/>
  <c r="D3725" i="1"/>
  <c r="D3727" i="1"/>
  <c r="D3728" i="1"/>
  <c r="D3729" i="1"/>
  <c r="D3730" i="1"/>
  <c r="D3731" i="1"/>
  <c r="D3732" i="1"/>
  <c r="D3734" i="1"/>
  <c r="D3735" i="1"/>
  <c r="D3736" i="1"/>
  <c r="D3737" i="1"/>
  <c r="D3738" i="1"/>
  <c r="D3739" i="1"/>
  <c r="D3741" i="1"/>
  <c r="D3742" i="1"/>
  <c r="D3743" i="1"/>
  <c r="D3744" i="1"/>
  <c r="D3745" i="1"/>
  <c r="D3746" i="1"/>
  <c r="D3747" i="1"/>
  <c r="D3748" i="1"/>
  <c r="D3749" i="1"/>
  <c r="D3750" i="1"/>
  <c r="D3751" i="1"/>
  <c r="D3752" i="1"/>
  <c r="D3753" i="1"/>
  <c r="D3754" i="1"/>
  <c r="D3755" i="1"/>
  <c r="D3756" i="1"/>
  <c r="D3757" i="1"/>
  <c r="D3758" i="1"/>
  <c r="D3759" i="1"/>
  <c r="D3760" i="1"/>
  <c r="D3761" i="1"/>
  <c r="D3763" i="1"/>
  <c r="D3764" i="1"/>
  <c r="D3765" i="1"/>
  <c r="D3766" i="1"/>
  <c r="D3767" i="1"/>
  <c r="D3770" i="1"/>
  <c r="D3771" i="1"/>
  <c r="D3772" i="1"/>
  <c r="D3773" i="1"/>
  <c r="D3774" i="1"/>
  <c r="D3775" i="1"/>
  <c r="D3776" i="1"/>
  <c r="D3777" i="1"/>
  <c r="D3778" i="1"/>
  <c r="D3779" i="1"/>
  <c r="D3780" i="1"/>
  <c r="D3781" i="1"/>
  <c r="D3782" i="1"/>
  <c r="D3783" i="1"/>
  <c r="D3784" i="1"/>
  <c r="D3785" i="1"/>
  <c r="D3787" i="1"/>
  <c r="D3788" i="1"/>
  <c r="D3789" i="1"/>
  <c r="D3790" i="1"/>
  <c r="D3791" i="1"/>
  <c r="D3792" i="1"/>
  <c r="D3793" i="1"/>
  <c r="D3795" i="1"/>
  <c r="D3796" i="1"/>
  <c r="D3797" i="1"/>
  <c r="D3798" i="1"/>
  <c r="D3799" i="1"/>
  <c r="D3800" i="1"/>
  <c r="D3801" i="1"/>
  <c r="D3802" i="1"/>
  <c r="D3803" i="1"/>
  <c r="D3804" i="1"/>
  <c r="D3805" i="1"/>
  <c r="D3806" i="1"/>
  <c r="D3807" i="1"/>
  <c r="D3808" i="1"/>
  <c r="D3809" i="1"/>
  <c r="D3810" i="1"/>
  <c r="D3811" i="1"/>
  <c r="D3812" i="1"/>
  <c r="D3813" i="1"/>
  <c r="D3814" i="1"/>
  <c r="D3815" i="1"/>
  <c r="D3816" i="1"/>
  <c r="D3817" i="1"/>
  <c r="D3819" i="1"/>
  <c r="D3820" i="1"/>
  <c r="D3821" i="1"/>
  <c r="D3822" i="1"/>
  <c r="D3823" i="1"/>
  <c r="D3824" i="1"/>
  <c r="D3825" i="1"/>
  <c r="D3826" i="1"/>
  <c r="D3827" i="1"/>
  <c r="D3828" i="1"/>
  <c r="D3829" i="1"/>
  <c r="D3830" i="1"/>
  <c r="D3831" i="1"/>
  <c r="D3832" i="1"/>
  <c r="D3833" i="1"/>
  <c r="D3834" i="1"/>
  <c r="D3835" i="1"/>
  <c r="D3836" i="1"/>
  <c r="D3837" i="1"/>
  <c r="D3838" i="1"/>
  <c r="D3839" i="1"/>
  <c r="D3840" i="1"/>
  <c r="D3841" i="1"/>
  <c r="D3842" i="1"/>
  <c r="D3843" i="1"/>
  <c r="D3844" i="1"/>
  <c r="D3845" i="1"/>
  <c r="D3846" i="1"/>
  <c r="D3847" i="1"/>
  <c r="D3848" i="1"/>
  <c r="D3849" i="1"/>
  <c r="D3850" i="1"/>
  <c r="D3851" i="1"/>
  <c r="D3852" i="1"/>
  <c r="D3853" i="1"/>
  <c r="D3854" i="1"/>
  <c r="D3855" i="1"/>
  <c r="D3857" i="1"/>
  <c r="D3858" i="1"/>
  <c r="D3859" i="1"/>
  <c r="D3860" i="1"/>
  <c r="D3861" i="1"/>
  <c r="D3862" i="1"/>
  <c r="D3863" i="1"/>
  <c r="D3864" i="1"/>
  <c r="D3865" i="1"/>
  <c r="D3866" i="1"/>
  <c r="D3867" i="1"/>
  <c r="D3868" i="1"/>
  <c r="D3869" i="1"/>
  <c r="D3870" i="1"/>
  <c r="D3871" i="1"/>
  <c r="D3872" i="1"/>
  <c r="D3873" i="1"/>
  <c r="D3874" i="1"/>
  <c r="D3875" i="1"/>
  <c r="D3876" i="1"/>
  <c r="D3877" i="1"/>
  <c r="D3878" i="1"/>
  <c r="D3879" i="1"/>
  <c r="D3880" i="1"/>
  <c r="D3881" i="1"/>
  <c r="D3882" i="1"/>
  <c r="D3883" i="1"/>
  <c r="D3884" i="1"/>
  <c r="D3885" i="1"/>
  <c r="D3886" i="1"/>
  <c r="D3887" i="1"/>
  <c r="D3889" i="1"/>
  <c r="D3890" i="1"/>
  <c r="D3891" i="1"/>
  <c r="D3892" i="1"/>
  <c r="D3893" i="1"/>
  <c r="D3894" i="1"/>
  <c r="D3895" i="1"/>
  <c r="D3896" i="1"/>
  <c r="D3897" i="1"/>
  <c r="D3898" i="1"/>
  <c r="D3899" i="1"/>
  <c r="D3900" i="1"/>
  <c r="D3901" i="1"/>
  <c r="D3902" i="1"/>
  <c r="D3903" i="1"/>
  <c r="D3904" i="1"/>
  <c r="D3905" i="1"/>
  <c r="D3906" i="1"/>
  <c r="D3907" i="1"/>
  <c r="D3909" i="1"/>
  <c r="D3910" i="1"/>
  <c r="D3911" i="1"/>
  <c r="D3912" i="1"/>
  <c r="D3913" i="1"/>
  <c r="D3914" i="1"/>
  <c r="D3915" i="1"/>
  <c r="D3916" i="1"/>
  <c r="D3917" i="1"/>
  <c r="D3918" i="1"/>
  <c r="D3919" i="1"/>
  <c r="D3920" i="1"/>
  <c r="D3921" i="1"/>
  <c r="D3922" i="1"/>
  <c r="D3923" i="1"/>
  <c r="D3924" i="1"/>
  <c r="D3925" i="1"/>
  <c r="D3926" i="1"/>
  <c r="D3927" i="1"/>
  <c r="D3928" i="1"/>
  <c r="D3929" i="1"/>
  <c r="D3930" i="1"/>
  <c r="D3931" i="1"/>
  <c r="D3932" i="1"/>
  <c r="D3933" i="1"/>
  <c r="D3934" i="1"/>
  <c r="D3935" i="1"/>
  <c r="D3936" i="1"/>
  <c r="D3937" i="1"/>
  <c r="D3938" i="1"/>
  <c r="D3939" i="1"/>
  <c r="D3940" i="1"/>
  <c r="D3941" i="1"/>
  <c r="D3942" i="1"/>
  <c r="D3943" i="1"/>
  <c r="D3944" i="1"/>
  <c r="D3945" i="1"/>
  <c r="D3946" i="1"/>
  <c r="D3947" i="1"/>
  <c r="D3948" i="1"/>
  <c r="D3949" i="1"/>
  <c r="D3950" i="1"/>
  <c r="D3951" i="1"/>
  <c r="D3952" i="1"/>
  <c r="D3954" i="1"/>
  <c r="D3955" i="1"/>
  <c r="D3956" i="1"/>
  <c r="D3957" i="1"/>
  <c r="D3958" i="1"/>
  <c r="D3959" i="1"/>
  <c r="D3960" i="1"/>
  <c r="D3961" i="1"/>
  <c r="D3962" i="1"/>
  <c r="D3964" i="1"/>
  <c r="D3965" i="1"/>
  <c r="D3966" i="1"/>
  <c r="D3967" i="1"/>
  <c r="D3968" i="1"/>
  <c r="D3970" i="1"/>
  <c r="D3972" i="1"/>
  <c r="D3973" i="1"/>
  <c r="D3974" i="1"/>
  <c r="D3975" i="1"/>
  <c r="D3977" i="1"/>
  <c r="D3978" i="1"/>
  <c r="D3979" i="1"/>
  <c r="D3980" i="1"/>
  <c r="D3981" i="1"/>
  <c r="D3982" i="1"/>
  <c r="D3983" i="1"/>
  <c r="D3984" i="1"/>
  <c r="D3985" i="1"/>
  <c r="D3986" i="1"/>
  <c r="D3987" i="1"/>
  <c r="D3988" i="1"/>
  <c r="D3990" i="1"/>
  <c r="D3991" i="1"/>
  <c r="D3992" i="1"/>
  <c r="D3993" i="1"/>
  <c r="D3994" i="1"/>
  <c r="D3995" i="1"/>
  <c r="D3996" i="1"/>
  <c r="D3997" i="1"/>
  <c r="D3998" i="1"/>
  <c r="D3999" i="1"/>
  <c r="D4000" i="1"/>
  <c r="D4001" i="1"/>
  <c r="D4003" i="1"/>
  <c r="D4004" i="1"/>
  <c r="D4005" i="1"/>
  <c r="D4006" i="1"/>
  <c r="D4007" i="1"/>
  <c r="D4008" i="1"/>
  <c r="D4009" i="1"/>
  <c r="D4011" i="1"/>
  <c r="D4012" i="1"/>
  <c r="D4015" i="1"/>
  <c r="D4016" i="1"/>
  <c r="D4017" i="1"/>
  <c r="D4018" i="1"/>
  <c r="D4019" i="1"/>
  <c r="D4020" i="1"/>
  <c r="D4021" i="1"/>
  <c r="D4022" i="1"/>
  <c r="D4023" i="1"/>
  <c r="D4024" i="1"/>
  <c r="D4025" i="1"/>
  <c r="D4026" i="1"/>
  <c r="D4027" i="1"/>
  <c r="D4028" i="1"/>
  <c r="D4029" i="1"/>
  <c r="D4030" i="1"/>
  <c r="D4031" i="1"/>
  <c r="D4032" i="1"/>
  <c r="D4033" i="1"/>
  <c r="D4034" i="1"/>
  <c r="D4035" i="1"/>
  <c r="D4036" i="1"/>
  <c r="D4037" i="1"/>
  <c r="D4039" i="1"/>
  <c r="D4040" i="1"/>
  <c r="D4041" i="1"/>
  <c r="D4042" i="1"/>
  <c r="D4043" i="1"/>
  <c r="D4044" i="1"/>
  <c r="D4045" i="1"/>
  <c r="D4046" i="1"/>
  <c r="D4047" i="1"/>
  <c r="D4048" i="1"/>
  <c r="D4049" i="1"/>
  <c r="D4050" i="1"/>
  <c r="D4051" i="1"/>
  <c r="D4052" i="1"/>
  <c r="D4053" i="1"/>
  <c r="D4054" i="1"/>
  <c r="D4055" i="1"/>
  <c r="D4056" i="1"/>
  <c r="D4057" i="1"/>
  <c r="D4058" i="1"/>
  <c r="D4059" i="1"/>
  <c r="D4060" i="1"/>
  <c r="D4061" i="1"/>
  <c r="D4062" i="1"/>
  <c r="D4063" i="1"/>
  <c r="D4064" i="1"/>
  <c r="D4065" i="1"/>
  <c r="D4066" i="1"/>
  <c r="D4067" i="1"/>
  <c r="D4068" i="1"/>
  <c r="D4070" i="1"/>
  <c r="D4071" i="1"/>
  <c r="D4072" i="1"/>
  <c r="D4073" i="1"/>
  <c r="D4074" i="1"/>
  <c r="D4075" i="1"/>
  <c r="D4077" i="1"/>
  <c r="D4078" i="1"/>
  <c r="D4080" i="1"/>
  <c r="D4082" i="1"/>
  <c r="D4084" i="1"/>
  <c r="D4085" i="1"/>
  <c r="D4087" i="1"/>
  <c r="D4088" i="1"/>
  <c r="D4092" i="1"/>
  <c r="D4094" i="1"/>
  <c r="D4097" i="1"/>
  <c r="D4100" i="1"/>
  <c r="D4101" i="1"/>
  <c r="D4102" i="1"/>
  <c r="D4103" i="1"/>
  <c r="D4104" i="1"/>
  <c r="D4105" i="1"/>
  <c r="D4106" i="1"/>
  <c r="D4107" i="1"/>
  <c r="D4108" i="1"/>
  <c r="D4109" i="1"/>
  <c r="D4110" i="1"/>
  <c r="D4111" i="1"/>
  <c r="D4112" i="1"/>
  <c r="D4113" i="1"/>
  <c r="D4114" i="1"/>
  <c r="D4115" i="1"/>
  <c r="D4116" i="1"/>
  <c r="D4117" i="1"/>
  <c r="D4118" i="1"/>
  <c r="D4119" i="1"/>
  <c r="D4120" i="1"/>
  <c r="D4121" i="1"/>
  <c r="D4122" i="1"/>
  <c r="D4123" i="1"/>
  <c r="D4124" i="1"/>
  <c r="D4125" i="1"/>
  <c r="D4126" i="1"/>
  <c r="D4127" i="1"/>
  <c r="D4128" i="1"/>
  <c r="D4129" i="1"/>
  <c r="D4130" i="1"/>
  <c r="D4131" i="1"/>
  <c r="D4132" i="1"/>
  <c r="D4133" i="1"/>
  <c r="D4134" i="1"/>
  <c r="D4135" i="1"/>
  <c r="D4136" i="1"/>
  <c r="D4137" i="1"/>
  <c r="D4138" i="1"/>
  <c r="D4139" i="1"/>
  <c r="D4140" i="1"/>
  <c r="D4141" i="1"/>
  <c r="D4142" i="1"/>
  <c r="D4143" i="1"/>
  <c r="D4144" i="1"/>
  <c r="D4145" i="1"/>
  <c r="D4146" i="1"/>
  <c r="D4147" i="1"/>
  <c r="D4148" i="1"/>
  <c r="D4149" i="1"/>
  <c r="D4150" i="1"/>
  <c r="D4151" i="1"/>
  <c r="D4152" i="1"/>
  <c r="D4153" i="1"/>
  <c r="D4154" i="1"/>
  <c r="D4155" i="1"/>
  <c r="D4156" i="1"/>
  <c r="D4157" i="1"/>
  <c r="D4158" i="1"/>
  <c r="D4159" i="1"/>
  <c r="D4160" i="1"/>
  <c r="D4161" i="1"/>
  <c r="D4162" i="1"/>
  <c r="D4163" i="1"/>
  <c r="D4164" i="1"/>
  <c r="D4165" i="1"/>
  <c r="D4166" i="1"/>
  <c r="D4167" i="1"/>
  <c r="D4168" i="1"/>
  <c r="D4169" i="1"/>
  <c r="D4170" i="1"/>
  <c r="D4171" i="1"/>
  <c r="D4172" i="1"/>
  <c r="D4173" i="1"/>
  <c r="D4174" i="1"/>
  <c r="D4175" i="1"/>
  <c r="D4176" i="1"/>
  <c r="D4177" i="1"/>
  <c r="D4178" i="1"/>
  <c r="D4179" i="1"/>
  <c r="D4180" i="1"/>
  <c r="D4181" i="1"/>
  <c r="D4182" i="1"/>
  <c r="D4183" i="1"/>
  <c r="D4184" i="1"/>
  <c r="D4185" i="1"/>
  <c r="D4186" i="1"/>
  <c r="D4187" i="1"/>
  <c r="D4188" i="1"/>
  <c r="D4189" i="1"/>
  <c r="D4190" i="1"/>
  <c r="D4191" i="1"/>
  <c r="D4192" i="1"/>
  <c r="D4193" i="1"/>
  <c r="D4194" i="1"/>
  <c r="D4195" i="1"/>
  <c r="D4196" i="1"/>
  <c r="D4197" i="1"/>
  <c r="D4198" i="1"/>
  <c r="D4199" i="1"/>
  <c r="D4200" i="1"/>
  <c r="D4201" i="1"/>
  <c r="D4202" i="1"/>
  <c r="D4203" i="1"/>
  <c r="D4204" i="1"/>
  <c r="D4205" i="1"/>
  <c r="D4207" i="1"/>
  <c r="D4208" i="1"/>
  <c r="D4209" i="1"/>
  <c r="D4210" i="1"/>
  <c r="D4211" i="1"/>
  <c r="D4213" i="1"/>
  <c r="D4214" i="1"/>
  <c r="D4215" i="1"/>
  <c r="D4216" i="1"/>
  <c r="D4217" i="1"/>
  <c r="D4218" i="1"/>
  <c r="D4219" i="1"/>
  <c r="D4220" i="1"/>
  <c r="D4221" i="1"/>
  <c r="D4222" i="1"/>
  <c r="D4223" i="1"/>
  <c r="D4224" i="1"/>
  <c r="D4225" i="1"/>
  <c r="D4226" i="1"/>
  <c r="D4227" i="1"/>
  <c r="D4228" i="1"/>
  <c r="D4229" i="1"/>
  <c r="D4230" i="1"/>
  <c r="D4231" i="1"/>
  <c r="D4232" i="1"/>
  <c r="D4233" i="1"/>
  <c r="D4234" i="1"/>
  <c r="D4235" i="1"/>
  <c r="D4236" i="1"/>
  <c r="D4237" i="1"/>
  <c r="D4238" i="1"/>
  <c r="D4239" i="1"/>
  <c r="D4240" i="1"/>
  <c r="D4241" i="1"/>
  <c r="D4242" i="1"/>
  <c r="D4243" i="1"/>
  <c r="D4244" i="1"/>
  <c r="D4245" i="1"/>
  <c r="D4246" i="1"/>
  <c r="D4247" i="1"/>
  <c r="D4248" i="1"/>
  <c r="D4250" i="1"/>
  <c r="D4251" i="1"/>
  <c r="D4252" i="1"/>
  <c r="D4253" i="1"/>
  <c r="D4254" i="1"/>
  <c r="D4255" i="1"/>
  <c r="D4256" i="1"/>
  <c r="D4257" i="1"/>
  <c r="D4258" i="1"/>
  <c r="D4259" i="1"/>
  <c r="D4260" i="1"/>
  <c r="D4261" i="1"/>
  <c r="D4262" i="1"/>
  <c r="D4263" i="1"/>
  <c r="D4264" i="1"/>
  <c r="D4266" i="1"/>
  <c r="D4267" i="1"/>
  <c r="D4268" i="1"/>
  <c r="D4269" i="1"/>
  <c r="D4270" i="1"/>
  <c r="D4271" i="1"/>
  <c r="D4272" i="1"/>
  <c r="D4273" i="1"/>
  <c r="D4274" i="1"/>
  <c r="D4275" i="1"/>
  <c r="D4276" i="1"/>
  <c r="D4277" i="1"/>
  <c r="D4278" i="1"/>
  <c r="D4279" i="1"/>
  <c r="D4280" i="1"/>
  <c r="D4281" i="1"/>
  <c r="D4282" i="1"/>
  <c r="D4283" i="1"/>
  <c r="D4284" i="1"/>
  <c r="D4286" i="1"/>
  <c r="D4287" i="1"/>
  <c r="D4288" i="1"/>
  <c r="D4289" i="1"/>
  <c r="D4290" i="1"/>
  <c r="D4291" i="1"/>
  <c r="D4292" i="1"/>
  <c r="D4293" i="1"/>
  <c r="D4294" i="1"/>
  <c r="D4295" i="1"/>
  <c r="D4296" i="1"/>
  <c r="D4297" i="1"/>
  <c r="D4298" i="1"/>
  <c r="D4299" i="1"/>
  <c r="D4300" i="1"/>
  <c r="D4301" i="1"/>
  <c r="D4302" i="1"/>
  <c r="D4305" i="1"/>
  <c r="D4306" i="1"/>
  <c r="D4307" i="1"/>
  <c r="D4308" i="1"/>
  <c r="D4309" i="1"/>
  <c r="D4310" i="1"/>
  <c r="D4311" i="1"/>
  <c r="D4312" i="1"/>
  <c r="D4313" i="1"/>
  <c r="D4314" i="1"/>
  <c r="D4315" i="1"/>
  <c r="D4316" i="1"/>
  <c r="D4317" i="1"/>
  <c r="D4318" i="1"/>
  <c r="D4320" i="1"/>
  <c r="D4321" i="1"/>
  <c r="D4322" i="1"/>
  <c r="D4323" i="1"/>
  <c r="D4324" i="1"/>
  <c r="D4325" i="1"/>
  <c r="D4326" i="1"/>
  <c r="D4327" i="1"/>
  <c r="D4328" i="1"/>
  <c r="D4329" i="1"/>
  <c r="D4330" i="1"/>
  <c r="D4331" i="1"/>
  <c r="D4332" i="1"/>
  <c r="D4333" i="1"/>
  <c r="D4334" i="1"/>
  <c r="D4335" i="1"/>
  <c r="D4336" i="1"/>
  <c r="D4337" i="1"/>
  <c r="D4338" i="1"/>
  <c r="D4339" i="1"/>
  <c r="D4340" i="1"/>
  <c r="D4341" i="1"/>
  <c r="D4342" i="1"/>
  <c r="D4343" i="1"/>
  <c r="D4344" i="1"/>
  <c r="D4345" i="1"/>
  <c r="D4346" i="1"/>
  <c r="D4347" i="1"/>
  <c r="D4348" i="1"/>
  <c r="D4349" i="1"/>
  <c r="D4350" i="1"/>
  <c r="D4351" i="1"/>
  <c r="D4352" i="1"/>
  <c r="D4353" i="1"/>
  <c r="D4354" i="1"/>
  <c r="D4355" i="1"/>
  <c r="D4356" i="1"/>
  <c r="D4357" i="1"/>
  <c r="D4358" i="1"/>
  <c r="D4359" i="1"/>
  <c r="D4360" i="1"/>
  <c r="D4361" i="1"/>
  <c r="D4362" i="1"/>
  <c r="D4363" i="1"/>
  <c r="D4364" i="1"/>
  <c r="D4365" i="1"/>
  <c r="D4366" i="1"/>
  <c r="D4367" i="1"/>
  <c r="D4368" i="1"/>
  <c r="D4369" i="1"/>
  <c r="D4371" i="1"/>
  <c r="D4372" i="1"/>
  <c r="D4373" i="1"/>
  <c r="D4374" i="1"/>
  <c r="D4375" i="1"/>
  <c r="D4376" i="1"/>
  <c r="D4377" i="1"/>
  <c r="D4378" i="1"/>
  <c r="D4379" i="1"/>
  <c r="D4380" i="1"/>
  <c r="D4381" i="1"/>
  <c r="D4382" i="1"/>
  <c r="D4383" i="1"/>
  <c r="D4384" i="1"/>
  <c r="D4385" i="1"/>
  <c r="D4386" i="1"/>
  <c r="D4387" i="1"/>
  <c r="D4388" i="1"/>
  <c r="D4389" i="1"/>
  <c r="D4391" i="1"/>
  <c r="D4392" i="1"/>
  <c r="D4393" i="1"/>
  <c r="D4394" i="1"/>
  <c r="D4395" i="1"/>
  <c r="D4396" i="1"/>
  <c r="D4397" i="1"/>
  <c r="D4398" i="1"/>
  <c r="D4399" i="1"/>
  <c r="D4400" i="1"/>
  <c r="D4401" i="1"/>
  <c r="D4403" i="1"/>
  <c r="D4404" i="1"/>
  <c r="D4405" i="1"/>
  <c r="D4406" i="1"/>
  <c r="D4407" i="1"/>
  <c r="D4408" i="1"/>
  <c r="D4409" i="1"/>
  <c r="D4410" i="1"/>
  <c r="D4411" i="1"/>
  <c r="D4412" i="1"/>
  <c r="D4413" i="1"/>
  <c r="D4414" i="1"/>
  <c r="D4415" i="1"/>
  <c r="D4416" i="1"/>
  <c r="D4417" i="1"/>
  <c r="D4418" i="1"/>
  <c r="D4419" i="1"/>
  <c r="D4420" i="1"/>
  <c r="D4421" i="1"/>
  <c r="D4422" i="1"/>
  <c r="D4423" i="1"/>
  <c r="D4424" i="1"/>
  <c r="D4425" i="1"/>
  <c r="D4426" i="1"/>
  <c r="D4427" i="1"/>
  <c r="D4428" i="1"/>
  <c r="D4429" i="1"/>
  <c r="D4430" i="1"/>
  <c r="D4431" i="1"/>
  <c r="D4433" i="1"/>
  <c r="D4434" i="1"/>
  <c r="D4435" i="1"/>
  <c r="D4436" i="1"/>
  <c r="D4437" i="1"/>
  <c r="D4438" i="1"/>
  <c r="D4439" i="1"/>
  <c r="D4440" i="1"/>
  <c r="D4441" i="1"/>
  <c r="D4442" i="1"/>
  <c r="D4443" i="1"/>
  <c r="D4444" i="1"/>
  <c r="D4445" i="1"/>
  <c r="D4446" i="1"/>
  <c r="D4447" i="1"/>
  <c r="D4448" i="1"/>
  <c r="D4450" i="1"/>
  <c r="D4451" i="1"/>
  <c r="D4452" i="1"/>
  <c r="D4453" i="1"/>
  <c r="D4454" i="1"/>
  <c r="D4455" i="1"/>
  <c r="D4456" i="1"/>
  <c r="D4457" i="1"/>
  <c r="D4458" i="1"/>
  <c r="D4459" i="1"/>
  <c r="D4460" i="1"/>
  <c r="D4461" i="1"/>
  <c r="D4462" i="1"/>
  <c r="D4463" i="1"/>
  <c r="D4464" i="1"/>
  <c r="D4465" i="1"/>
  <c r="D4466" i="1"/>
  <c r="D4467" i="1"/>
  <c r="D4469" i="1"/>
  <c r="D4470" i="1"/>
  <c r="D4471" i="1"/>
  <c r="D4472" i="1"/>
  <c r="D4473" i="1"/>
  <c r="D4474" i="1"/>
  <c r="D4475" i="1"/>
  <c r="D4476" i="1"/>
  <c r="D4477" i="1"/>
  <c r="D4478" i="1"/>
  <c r="D4479" i="1"/>
  <c r="D4480" i="1"/>
  <c r="D4482" i="1"/>
  <c r="D4483" i="1"/>
  <c r="D4484" i="1"/>
  <c r="D4486" i="1"/>
  <c r="D4487" i="1"/>
  <c r="D4488" i="1"/>
  <c r="D4489" i="1"/>
  <c r="D4490" i="1"/>
  <c r="D4491" i="1"/>
  <c r="D4492" i="1"/>
  <c r="D4493" i="1"/>
  <c r="D4494" i="1"/>
  <c r="D4495" i="1"/>
  <c r="D4496" i="1"/>
  <c r="D4497" i="1"/>
  <c r="D4498" i="1"/>
  <c r="D4501" i="1"/>
  <c r="D4502" i="1"/>
  <c r="D4503" i="1"/>
  <c r="D4504" i="1"/>
  <c r="D4505" i="1"/>
  <c r="D4506" i="1"/>
  <c r="D4507" i="1"/>
  <c r="D4508" i="1"/>
  <c r="D4509" i="1"/>
  <c r="D4510" i="1"/>
  <c r="D4511" i="1"/>
  <c r="D4512" i="1"/>
  <c r="D4513" i="1"/>
  <c r="D4514" i="1"/>
  <c r="D4515" i="1"/>
  <c r="D4516" i="1"/>
  <c r="D4517" i="1"/>
  <c r="D4518" i="1"/>
  <c r="D4519" i="1"/>
  <c r="D4520" i="1"/>
  <c r="D4521" i="1"/>
  <c r="D4522" i="1"/>
  <c r="D4524" i="1"/>
  <c r="D4526" i="1"/>
  <c r="D4527" i="1"/>
  <c r="D4528" i="1"/>
  <c r="D4529" i="1"/>
  <c r="D4530" i="1"/>
  <c r="D4531" i="1"/>
  <c r="D4532" i="1"/>
  <c r="D4533" i="1"/>
  <c r="D4534" i="1"/>
  <c r="D4535" i="1"/>
  <c r="D4536" i="1"/>
  <c r="D4537" i="1"/>
  <c r="D4538" i="1"/>
  <c r="D4539" i="1"/>
  <c r="D4540" i="1"/>
  <c r="D4541" i="1"/>
  <c r="D4543" i="1"/>
  <c r="D4544" i="1"/>
  <c r="D4545" i="1"/>
  <c r="D4546" i="1"/>
  <c r="D4547" i="1"/>
  <c r="D4548" i="1"/>
  <c r="D4549" i="1"/>
  <c r="D4550" i="1"/>
  <c r="D4551" i="1"/>
  <c r="D4552" i="1"/>
  <c r="D4553" i="1"/>
  <c r="D4554" i="1"/>
  <c r="D4555" i="1"/>
  <c r="D4556" i="1"/>
  <c r="D4557" i="1"/>
  <c r="D4558" i="1"/>
  <c r="D4560" i="1"/>
  <c r="D4561" i="1"/>
  <c r="D4562" i="1"/>
  <c r="D4563" i="1"/>
  <c r="D4564" i="1"/>
  <c r="D4565" i="1"/>
  <c r="D4566" i="1"/>
  <c r="D4568" i="1"/>
  <c r="D4570" i="1"/>
  <c r="D4571" i="1"/>
  <c r="D4572" i="1"/>
  <c r="D4573" i="1"/>
  <c r="D4574" i="1"/>
  <c r="D4575" i="1"/>
  <c r="D4576" i="1"/>
  <c r="D4577" i="1"/>
  <c r="D4578" i="1"/>
  <c r="D4579" i="1"/>
  <c r="D4580" i="1"/>
  <c r="D4581" i="1"/>
  <c r="D4582" i="1"/>
  <c r="D4583" i="1"/>
  <c r="D4584" i="1"/>
  <c r="D4585" i="1"/>
  <c r="D4586" i="1"/>
  <c r="D4587" i="1"/>
  <c r="D4588" i="1"/>
  <c r="D4589" i="1"/>
  <c r="D4590" i="1"/>
  <c r="D4591" i="1"/>
  <c r="D4592" i="1"/>
  <c r="D4593" i="1"/>
  <c r="D4594" i="1"/>
  <c r="D4595" i="1"/>
  <c r="D4596" i="1"/>
  <c r="D4597" i="1"/>
  <c r="D4598" i="1"/>
  <c r="D4599" i="1"/>
  <c r="D4600" i="1"/>
  <c r="D4601" i="1"/>
  <c r="D4602" i="1"/>
  <c r="D4603" i="1"/>
  <c r="D4604" i="1"/>
  <c r="D4606" i="1"/>
  <c r="D4607" i="1"/>
  <c r="D4608" i="1"/>
  <c r="D4609" i="1"/>
  <c r="D4610" i="1"/>
  <c r="D4611" i="1"/>
  <c r="D4612" i="1"/>
  <c r="D4613" i="1"/>
  <c r="D4614" i="1"/>
  <c r="D4615" i="1"/>
  <c r="D4616" i="1"/>
  <c r="D4617" i="1"/>
  <c r="D4618" i="1"/>
  <c r="D4619" i="1"/>
  <c r="D4620" i="1"/>
  <c r="D4621" i="1"/>
  <c r="D4622" i="1"/>
  <c r="D4623" i="1"/>
  <c r="D4624" i="1"/>
  <c r="D4626" i="1"/>
  <c r="D4627" i="1"/>
  <c r="D4628" i="1"/>
  <c r="D4629" i="1"/>
  <c r="D4631" i="1"/>
  <c r="D4632" i="1"/>
  <c r="D4633" i="1"/>
  <c r="D4634" i="1"/>
  <c r="D4635" i="1"/>
  <c r="D4636" i="1"/>
  <c r="D4637" i="1"/>
  <c r="D4638" i="1"/>
  <c r="D4640" i="1"/>
  <c r="D4641" i="1"/>
  <c r="D4642" i="1"/>
  <c r="D4643" i="1"/>
  <c r="D4644" i="1"/>
  <c r="D4645" i="1"/>
  <c r="D4646" i="1"/>
  <c r="D4647" i="1"/>
  <c r="D4649" i="1"/>
  <c r="D4650" i="1"/>
  <c r="D4651" i="1"/>
  <c r="D4652" i="1"/>
  <c r="D4653" i="1"/>
  <c r="D4654" i="1"/>
  <c r="D4655" i="1"/>
  <c r="D4656" i="1"/>
  <c r="D4657" i="1"/>
  <c r="D4659" i="1"/>
  <c r="D4660" i="1"/>
  <c r="D4663" i="1"/>
  <c r="D4664" i="1"/>
  <c r="D4665" i="1"/>
  <c r="D4666" i="1"/>
  <c r="D4667" i="1"/>
  <c r="D4668" i="1"/>
  <c r="D4669" i="1"/>
  <c r="D4671" i="1"/>
  <c r="D4672" i="1"/>
  <c r="D4673" i="1"/>
  <c r="D4674" i="1"/>
  <c r="D4675" i="1"/>
  <c r="D4676" i="1"/>
  <c r="D4677" i="1"/>
  <c r="D4679" i="1"/>
  <c r="D4680" i="1"/>
  <c r="D4681" i="1"/>
  <c r="D4682" i="1"/>
  <c r="D4683" i="1"/>
  <c r="D4684" i="1"/>
  <c r="D4685" i="1"/>
  <c r="D4686" i="1"/>
  <c r="D4687" i="1"/>
  <c r="D4688" i="1"/>
  <c r="D4689" i="1"/>
  <c r="D4690" i="1"/>
  <c r="D4692" i="1"/>
  <c r="D4695" i="1"/>
  <c r="D4696" i="1"/>
  <c r="D4697" i="1"/>
  <c r="D4698" i="1"/>
  <c r="D4699" i="1"/>
  <c r="D4700" i="1"/>
  <c r="D4701" i="1"/>
  <c r="D4702" i="1"/>
  <c r="D4703" i="1"/>
  <c r="D4704" i="1"/>
  <c r="D4705" i="1"/>
  <c r="D4706" i="1"/>
  <c r="D4707" i="1"/>
  <c r="D4708" i="1"/>
  <c r="D4709" i="1"/>
  <c r="D4710" i="1"/>
  <c r="D4711" i="1"/>
  <c r="D4712" i="1"/>
  <c r="D4713" i="1"/>
  <c r="D4714" i="1"/>
  <c r="D4715" i="1"/>
  <c r="D4717" i="1"/>
  <c r="D4718" i="1"/>
  <c r="D4720" i="1"/>
  <c r="D4721" i="1"/>
  <c r="D4722" i="1"/>
  <c r="D4723" i="1"/>
  <c r="D4724" i="1"/>
  <c r="D4725" i="1"/>
  <c r="D4726" i="1"/>
  <c r="D4727" i="1"/>
  <c r="D4728" i="1"/>
  <c r="D4730" i="1"/>
  <c r="D4731" i="1"/>
  <c r="D4732" i="1"/>
  <c r="D4733" i="1"/>
  <c r="D4734" i="1"/>
  <c r="D4735" i="1"/>
  <c r="D4736" i="1"/>
  <c r="D4737" i="1"/>
  <c r="D4738" i="1"/>
  <c r="D4739" i="1"/>
  <c r="D4741" i="1"/>
  <c r="D4742" i="1"/>
  <c r="D4744" i="1"/>
  <c r="D4745" i="1"/>
  <c r="D4746" i="1"/>
  <c r="D4747" i="1"/>
  <c r="D4748" i="1"/>
  <c r="D4749" i="1"/>
  <c r="D4750" i="1"/>
  <c r="D4751" i="1"/>
  <c r="D4752" i="1"/>
  <c r="D4753" i="1"/>
  <c r="D4754" i="1"/>
  <c r="D4755" i="1"/>
  <c r="D4756" i="1"/>
  <c r="D4757" i="1"/>
  <c r="D4758" i="1"/>
  <c r="D4759" i="1"/>
  <c r="D4760" i="1"/>
  <c r="D4761" i="1"/>
  <c r="D4762" i="1"/>
  <c r="D4763" i="1"/>
  <c r="D4764" i="1"/>
  <c r="D4765" i="1"/>
  <c r="D4766" i="1"/>
  <c r="D4767" i="1"/>
  <c r="D4768" i="1"/>
  <c r="D4769" i="1"/>
  <c r="D4770" i="1"/>
  <c r="D4771" i="1"/>
  <c r="D4772" i="1"/>
  <c r="D4773" i="1"/>
  <c r="D4774" i="1"/>
  <c r="D4775" i="1"/>
  <c r="D4777" i="1"/>
  <c r="D4778" i="1"/>
  <c r="D4779" i="1"/>
  <c r="D4780" i="1"/>
  <c r="D4781" i="1"/>
  <c r="D4784" i="1"/>
  <c r="D4785" i="1"/>
  <c r="D4786" i="1"/>
  <c r="D4787" i="1"/>
  <c r="D4788" i="1"/>
  <c r="D4789" i="1"/>
  <c r="D4790" i="1"/>
  <c r="D4791" i="1"/>
  <c r="D4792" i="1"/>
  <c r="D4794" i="1"/>
  <c r="D4795" i="1"/>
  <c r="D4796" i="1"/>
  <c r="D4797" i="1"/>
  <c r="D4798" i="1"/>
  <c r="D4799" i="1"/>
  <c r="D4800" i="1"/>
  <c r="D4802" i="1"/>
  <c r="D4803" i="1"/>
  <c r="D4804" i="1"/>
  <c r="D4805" i="1"/>
  <c r="D4807" i="1"/>
  <c r="D4808" i="1"/>
  <c r="D4809" i="1"/>
  <c r="D4810" i="1"/>
  <c r="D4812" i="1"/>
  <c r="D4813" i="1"/>
  <c r="D4814" i="1"/>
  <c r="D4815" i="1"/>
  <c r="D4816" i="1"/>
  <c r="D4817" i="1"/>
  <c r="D4819" i="1"/>
  <c r="D4820" i="1"/>
  <c r="D4821" i="1"/>
  <c r="D4822" i="1"/>
  <c r="D4823" i="1"/>
  <c r="D4824" i="1"/>
  <c r="D4826" i="1"/>
  <c r="D4827" i="1"/>
  <c r="D4828" i="1"/>
  <c r="D4829" i="1"/>
  <c r="D4830" i="1"/>
  <c r="D4831" i="1"/>
  <c r="D4832" i="1"/>
  <c r="D4833" i="1"/>
  <c r="D4834" i="1"/>
  <c r="D4835" i="1"/>
  <c r="D4836" i="1"/>
  <c r="D4837" i="1"/>
  <c r="D4838" i="1"/>
  <c r="D4839" i="1"/>
  <c r="D4840" i="1"/>
  <c r="D4841" i="1"/>
  <c r="D4842" i="1"/>
  <c r="D4843" i="1"/>
  <c r="D4844" i="1"/>
  <c r="D4845" i="1"/>
  <c r="D4846" i="1"/>
  <c r="D4847" i="1"/>
  <c r="D4848" i="1"/>
  <c r="D4850" i="1"/>
  <c r="D4851" i="1"/>
  <c r="D4852" i="1"/>
  <c r="D4853" i="1"/>
  <c r="D4854" i="1"/>
  <c r="D4855" i="1"/>
  <c r="D4856" i="1"/>
  <c r="D4857" i="1"/>
  <c r="D4858" i="1"/>
  <c r="D4859" i="1"/>
  <c r="D4860" i="1"/>
  <c r="D4861" i="1"/>
  <c r="D4862" i="1"/>
  <c r="D4863" i="1"/>
  <c r="D4864" i="1"/>
  <c r="D4865" i="1"/>
  <c r="D4866" i="1"/>
  <c r="D4867" i="1"/>
  <c r="D4868" i="1"/>
  <c r="D4869" i="1"/>
  <c r="D4870" i="1"/>
  <c r="D4871" i="1"/>
  <c r="D4872" i="1"/>
  <c r="D4873" i="1"/>
  <c r="D4874" i="1"/>
  <c r="D4875" i="1"/>
  <c r="D4876" i="1"/>
  <c r="D4877" i="1"/>
  <c r="D4878" i="1"/>
  <c r="D4880" i="1"/>
  <c r="D4881" i="1"/>
  <c r="D4882" i="1"/>
  <c r="D4883" i="1"/>
  <c r="D4884" i="1"/>
  <c r="D4885" i="1"/>
  <c r="D4886" i="1"/>
  <c r="D4887" i="1"/>
  <c r="D4888" i="1"/>
  <c r="D4889" i="1"/>
  <c r="D4890" i="1"/>
  <c r="D4891" i="1"/>
  <c r="D4892" i="1"/>
  <c r="D4893" i="1"/>
  <c r="D4894" i="1"/>
  <c r="D4895" i="1"/>
  <c r="D4896" i="1"/>
  <c r="D4897" i="1"/>
  <c r="D4898" i="1"/>
  <c r="D4899" i="1"/>
  <c r="D4901" i="1"/>
  <c r="D4902" i="1"/>
  <c r="D4904" i="1"/>
  <c r="D4905" i="1"/>
  <c r="D4906" i="1"/>
  <c r="D4907" i="1"/>
  <c r="D4908" i="1"/>
  <c r="D4909" i="1"/>
  <c r="D4912" i="1"/>
  <c r="D4913" i="1"/>
  <c r="D4914" i="1"/>
  <c r="D4915" i="1"/>
  <c r="D4916" i="1"/>
  <c r="D4917" i="1"/>
  <c r="D4918" i="1"/>
  <c r="D4919" i="1"/>
  <c r="D4920" i="1"/>
  <c r="D4921" i="1"/>
  <c r="D4922" i="1"/>
  <c r="D4923" i="1"/>
  <c r="D4924" i="1"/>
  <c r="D4925" i="1"/>
  <c r="D4926" i="1"/>
  <c r="D4927" i="1"/>
  <c r="D4928" i="1"/>
  <c r="D4929" i="1"/>
  <c r="D4930" i="1"/>
  <c r="D4931" i="1"/>
  <c r="D4933" i="1"/>
  <c r="D4934" i="1"/>
  <c r="D4935" i="1"/>
  <c r="D4936" i="1"/>
  <c r="D4937" i="1"/>
  <c r="D4938" i="1"/>
  <c r="D4939" i="1"/>
  <c r="D4940" i="1"/>
  <c r="D4941" i="1"/>
  <c r="D4942" i="1"/>
  <c r="D4943" i="1"/>
  <c r="D4944" i="1"/>
  <c r="D4945" i="1"/>
  <c r="D4946" i="1"/>
  <c r="D4948" i="1"/>
  <c r="D4949" i="1"/>
  <c r="D4950" i="1"/>
  <c r="D4951" i="1"/>
  <c r="D4952" i="1"/>
  <c r="D4953" i="1"/>
  <c r="D4954" i="1"/>
  <c r="D4955" i="1"/>
  <c r="D4956" i="1"/>
  <c r="D4957" i="1"/>
  <c r="D4959" i="1"/>
  <c r="D4960" i="1"/>
  <c r="D4961" i="1"/>
  <c r="D4962" i="1"/>
  <c r="D4964" i="1"/>
  <c r="D4965" i="1"/>
  <c r="D4966" i="1"/>
  <c r="D4967" i="1"/>
  <c r="D4968" i="1"/>
  <c r="D4969" i="1"/>
  <c r="D4970" i="1"/>
  <c r="D4971" i="1"/>
  <c r="D4972" i="1"/>
  <c r="D4973" i="1"/>
  <c r="D4974" i="1"/>
  <c r="D4975" i="1"/>
  <c r="D4976" i="1"/>
  <c r="D4977" i="1"/>
  <c r="D4978" i="1"/>
  <c r="D4979" i="1"/>
  <c r="D4980" i="1"/>
  <c r="D4981" i="1"/>
  <c r="D4982" i="1"/>
  <c r="D4983" i="1"/>
  <c r="D4984" i="1"/>
  <c r="D4985" i="1"/>
  <c r="D4986" i="1"/>
  <c r="D4987" i="1"/>
  <c r="D4988" i="1"/>
  <c r="D4989" i="1"/>
  <c r="D4990" i="1"/>
  <c r="D4991" i="1"/>
  <c r="D4992" i="1"/>
  <c r="D4993" i="1"/>
  <c r="D4994" i="1"/>
  <c r="D4995" i="1"/>
  <c r="D4996" i="1"/>
  <c r="D4998" i="1"/>
  <c r="D4999" i="1"/>
  <c r="D5000" i="1"/>
  <c r="D5001" i="1"/>
  <c r="D5002" i="1"/>
  <c r="D5003" i="1"/>
  <c r="D5004" i="1"/>
  <c r="D5005" i="1"/>
  <c r="D5006" i="1"/>
  <c r="D5007" i="1"/>
  <c r="D5008" i="1"/>
  <c r="D5009" i="1"/>
  <c r="D5010" i="1"/>
  <c r="D5011" i="1"/>
  <c r="D5012" i="1"/>
  <c r="D5013" i="1"/>
  <c r="D5014" i="1"/>
  <c r="D5019" i="1"/>
  <c r="D5020" i="1"/>
  <c r="D5021" i="1"/>
  <c r="D5022" i="1"/>
  <c r="D5024" i="1"/>
  <c r="D5025" i="1"/>
  <c r="D5026" i="1"/>
  <c r="D5027" i="1"/>
  <c r="D5029" i="1"/>
  <c r="D5031" i="1"/>
  <c r="D5034" i="1"/>
  <c r="D5035" i="1"/>
  <c r="D5036" i="1"/>
  <c r="D5037" i="1"/>
  <c r="D5038" i="1"/>
  <c r="D5039" i="1"/>
  <c r="D5040" i="1"/>
  <c r="D5041" i="1"/>
  <c r="D5042" i="1"/>
  <c r="D5043" i="1"/>
  <c r="D5044" i="1"/>
  <c r="D5046" i="1"/>
  <c r="D5047" i="1"/>
  <c r="D5048" i="1"/>
  <c r="D5049" i="1"/>
  <c r="D5050" i="1"/>
  <c r="D5051" i="1"/>
  <c r="D5052" i="1"/>
  <c r="D5054" i="1"/>
  <c r="D5055" i="1"/>
  <c r="D5056" i="1"/>
  <c r="D5057" i="1"/>
  <c r="D5058" i="1"/>
  <c r="D5059" i="1"/>
  <c r="D5060" i="1"/>
  <c r="D5062" i="1"/>
  <c r="D5063" i="1"/>
  <c r="D5064" i="1"/>
  <c r="D5065" i="1"/>
  <c r="D5066" i="1"/>
  <c r="D5067" i="1"/>
  <c r="D5069" i="1"/>
  <c r="D5070" i="1"/>
  <c r="D5071" i="1"/>
  <c r="D5072" i="1"/>
  <c r="D5073" i="1"/>
  <c r="D5074" i="1"/>
  <c r="D5075" i="1"/>
  <c r="D5076" i="1"/>
  <c r="D5077" i="1"/>
  <c r="D5078" i="1"/>
  <c r="D5079" i="1"/>
  <c r="D5080" i="1"/>
  <c r="D5083" i="1"/>
  <c r="D5084" i="1"/>
  <c r="D5085" i="1"/>
  <c r="D5086" i="1"/>
  <c r="D5087" i="1"/>
  <c r="D5088" i="1"/>
  <c r="D5089" i="1"/>
  <c r="D5090" i="1"/>
  <c r="D5091" i="1"/>
  <c r="D5092" i="1"/>
  <c r="D5093" i="1"/>
  <c r="D5094" i="1"/>
  <c r="D5097" i="1"/>
  <c r="D5098" i="1"/>
  <c r="D5099" i="1"/>
  <c r="D5100" i="1"/>
  <c r="D5101" i="1"/>
  <c r="D5102" i="1"/>
  <c r="D5103" i="1"/>
  <c r="D5104" i="1"/>
  <c r="D5105" i="1"/>
  <c r="D5106" i="1"/>
  <c r="D5107" i="1"/>
  <c r="D5108" i="1"/>
  <c r="D5110" i="1"/>
  <c r="D5111" i="1"/>
  <c r="D5114" i="1"/>
  <c r="D5115" i="1"/>
  <c r="D5116" i="1"/>
  <c r="D5117" i="1"/>
  <c r="D5120" i="1"/>
  <c r="D5121" i="1"/>
  <c r="D5122" i="1"/>
  <c r="D5124" i="1"/>
  <c r="D5125" i="1"/>
  <c r="D5126" i="1"/>
  <c r="D5127" i="1"/>
  <c r="D5128" i="1"/>
  <c r="D5129" i="1"/>
  <c r="D5132" i="1"/>
  <c r="D5133" i="1"/>
  <c r="D5134" i="1"/>
  <c r="D5135" i="1"/>
  <c r="D5136" i="1"/>
  <c r="D5137" i="1"/>
  <c r="D5139" i="1"/>
  <c r="D5140" i="1"/>
  <c r="D5141" i="1"/>
  <c r="D5142" i="1"/>
  <c r="D5143" i="1"/>
  <c r="D5145" i="1"/>
  <c r="D5148" i="1"/>
  <c r="D5149" i="1"/>
  <c r="D5150" i="1"/>
  <c r="D5151" i="1"/>
  <c r="D5153" i="1"/>
  <c r="D5154" i="1"/>
  <c r="D5155" i="1"/>
  <c r="D5156" i="1"/>
  <c r="D5157" i="1"/>
  <c r="D5158" i="1"/>
  <c r="D5159" i="1"/>
  <c r="D5160" i="1"/>
  <c r="D5162" i="1"/>
  <c r="D5163" i="1"/>
  <c r="D5164" i="1"/>
  <c r="D5165" i="1"/>
  <c r="D5166" i="1"/>
  <c r="D5167" i="1"/>
  <c r="D5170" i="1"/>
  <c r="D5171" i="1"/>
  <c r="D5172" i="1"/>
  <c r="D5173" i="1"/>
  <c r="D5176" i="1"/>
  <c r="D5178" i="1"/>
  <c r="D5179" i="1"/>
  <c r="D5180" i="1"/>
  <c r="D5181" i="1"/>
  <c r="D5182" i="1"/>
  <c r="D5185" i="1"/>
  <c r="D5186" i="1"/>
  <c r="D5187" i="1"/>
  <c r="D5188" i="1"/>
  <c r="D5190" i="1"/>
  <c r="D5191" i="1"/>
  <c r="D5193" i="1"/>
  <c r="D5194" i="1"/>
  <c r="D5195" i="1"/>
  <c r="D5196" i="1"/>
  <c r="D5198" i="1"/>
  <c r="D5199" i="1"/>
  <c r="D5200" i="1"/>
  <c r="D5201" i="1"/>
  <c r="D5205" i="1"/>
  <c r="D5206" i="1"/>
  <c r="D5207" i="1"/>
  <c r="D5208" i="1"/>
  <c r="D5210" i="1"/>
  <c r="D5211" i="1"/>
  <c r="D5212" i="1"/>
  <c r="D5213" i="1"/>
  <c r="D5214" i="1"/>
  <c r="D5215" i="1"/>
  <c r="D5216" i="1"/>
  <c r="D5217" i="1"/>
  <c r="D5218" i="1"/>
  <c r="D5219" i="1"/>
  <c r="D5220" i="1"/>
  <c r="D5222" i="1"/>
  <c r="D5223" i="1"/>
  <c r="D5224" i="1"/>
  <c r="D5225" i="1"/>
  <c r="D5226" i="1"/>
  <c r="D5227" i="1"/>
  <c r="D5228" i="1"/>
  <c r="D5229" i="1"/>
  <c r="D5230" i="1"/>
  <c r="D5231" i="1"/>
  <c r="D5232" i="1"/>
  <c r="D5234" i="1"/>
  <c r="D5235" i="1"/>
  <c r="D5236" i="1"/>
  <c r="D5238" i="1"/>
  <c r="D5239" i="1"/>
  <c r="D5240" i="1"/>
  <c r="D5241" i="1"/>
  <c r="D5242" i="1"/>
  <c r="D5243" i="1"/>
  <c r="D5244" i="1"/>
  <c r="D5245" i="1"/>
  <c r="D5247" i="1"/>
  <c r="D5248" i="1"/>
  <c r="D5249" i="1"/>
  <c r="D5250" i="1"/>
  <c r="D5251" i="1"/>
  <c r="D5252" i="1"/>
  <c r="D5254" i="1"/>
  <c r="D5255" i="1"/>
  <c r="D5256" i="1"/>
  <c r="D5257" i="1"/>
  <c r="D5258" i="1"/>
  <c r="D5259" i="1"/>
  <c r="D5260" i="1"/>
  <c r="D5261" i="1"/>
  <c r="D5262" i="1"/>
  <c r="D5264" i="1"/>
  <c r="D5265" i="1"/>
  <c r="D5266" i="1"/>
  <c r="D5267" i="1"/>
  <c r="D5269" i="1"/>
  <c r="D5273" i="1"/>
  <c r="D5274" i="1"/>
  <c r="D5275" i="1"/>
  <c r="D5276" i="1"/>
  <c r="D5277" i="1"/>
  <c r="D5278" i="1"/>
  <c r="D5279" i="1"/>
  <c r="D5280" i="1"/>
  <c r="D5281" i="1"/>
  <c r="D5282" i="1"/>
  <c r="D5283" i="1"/>
  <c r="D5284" i="1"/>
  <c r="D5285" i="1"/>
  <c r="D5286" i="1"/>
  <c r="D5287" i="1"/>
  <c r="D5289" i="1"/>
  <c r="D5290" i="1"/>
  <c r="D5291" i="1"/>
  <c r="D5292" i="1"/>
  <c r="D5293" i="1"/>
  <c r="D5294" i="1"/>
  <c r="D5295" i="1"/>
  <c r="D5296" i="1"/>
  <c r="D5297" i="1"/>
  <c r="D5298" i="1"/>
  <c r="D5299" i="1"/>
  <c r="D5300" i="1"/>
  <c r="D5301" i="1"/>
  <c r="D5302" i="1"/>
  <c r="D5303" i="1"/>
  <c r="D5304" i="1"/>
  <c r="D5306" i="1"/>
  <c r="D5307" i="1"/>
  <c r="D5308" i="1"/>
  <c r="D5309" i="1"/>
  <c r="D5310" i="1"/>
  <c r="D5311" i="1"/>
  <c r="D5312" i="1"/>
  <c r="D5314" i="1"/>
  <c r="D5315" i="1"/>
  <c r="D5316" i="1"/>
  <c r="D5317" i="1"/>
  <c r="D5318" i="1"/>
  <c r="D5320" i="1"/>
  <c r="D5321" i="1"/>
  <c r="D5322" i="1"/>
  <c r="D5323" i="1"/>
  <c r="D5324" i="1"/>
  <c r="D5325" i="1"/>
  <c r="D5326" i="1"/>
  <c r="D5327" i="1"/>
  <c r="D5328" i="1"/>
  <c r="D5329" i="1"/>
  <c r="D5331" i="1"/>
  <c r="D5332" i="1"/>
  <c r="D5333" i="1"/>
  <c r="D5334" i="1"/>
  <c r="D5335" i="1"/>
  <c r="D5337" i="1"/>
  <c r="D5338" i="1"/>
  <c r="D5339" i="1"/>
  <c r="D5341" i="1"/>
  <c r="D5342" i="1"/>
  <c r="D5343" i="1"/>
  <c r="D5344" i="1"/>
  <c r="D5345" i="1"/>
  <c r="D5346" i="1"/>
  <c r="D5347" i="1"/>
  <c r="D5348" i="1"/>
  <c r="D5349" i="1"/>
  <c r="D5350" i="1"/>
  <c r="D5351" i="1"/>
  <c r="D5352" i="1"/>
  <c r="D5353" i="1"/>
  <c r="D5354" i="1"/>
  <c r="D5355" i="1"/>
  <c r="D5357" i="1"/>
  <c r="D5358" i="1"/>
  <c r="D5359" i="1"/>
  <c r="D5360" i="1"/>
  <c r="D5361" i="1"/>
  <c r="D5362" i="1"/>
  <c r="D5363" i="1"/>
  <c r="D5364" i="1"/>
  <c r="D5365" i="1"/>
  <c r="D5366" i="1"/>
  <c r="D5367" i="1"/>
  <c r="D5368" i="1"/>
  <c r="D5369" i="1"/>
  <c r="D5370" i="1"/>
  <c r="D5371" i="1"/>
  <c r="D5372" i="1"/>
  <c r="D5373" i="1"/>
  <c r="D5375" i="1"/>
  <c r="D5376" i="1"/>
  <c r="D5377" i="1"/>
  <c r="D5378" i="1"/>
  <c r="D5379" i="1"/>
  <c r="D5380" i="1"/>
  <c r="D5381" i="1"/>
  <c r="D5382" i="1"/>
  <c r="D5383" i="1"/>
  <c r="D5384" i="1"/>
  <c r="D5385" i="1"/>
  <c r="D5387" i="1"/>
  <c r="D5388" i="1"/>
  <c r="D5389" i="1"/>
  <c r="D5390" i="1"/>
  <c r="D5391" i="1"/>
  <c r="D5392" i="1"/>
  <c r="D5393" i="1"/>
  <c r="D5395" i="1"/>
  <c r="D5396" i="1"/>
  <c r="D5397" i="1"/>
  <c r="D5398" i="1"/>
  <c r="D5399" i="1"/>
  <c r="D5400" i="1"/>
  <c r="D5402" i="1"/>
  <c r="D5403" i="1"/>
  <c r="D5404" i="1"/>
  <c r="D5405" i="1"/>
  <c r="D5406" i="1"/>
  <c r="D5407" i="1"/>
  <c r="D5408" i="1"/>
  <c r="D5410" i="1"/>
  <c r="D5411" i="1"/>
  <c r="D5412" i="1"/>
  <c r="D5413" i="1"/>
  <c r="D5414" i="1"/>
  <c r="D5415" i="1"/>
  <c r="D5416" i="1"/>
  <c r="D5417" i="1"/>
  <c r="D5418" i="1"/>
  <c r="D5419" i="1"/>
  <c r="D5420" i="1"/>
  <c r="D5421" i="1"/>
  <c r="D5422" i="1"/>
  <c r="D5423" i="1"/>
  <c r="D5424" i="1"/>
  <c r="D5425" i="1"/>
  <c r="D5426" i="1"/>
  <c r="D5429" i="1"/>
  <c r="D5430" i="1"/>
  <c r="D5431" i="1"/>
  <c r="D5432" i="1"/>
  <c r="D5433" i="1"/>
  <c r="D5434" i="1"/>
  <c r="D5435" i="1"/>
  <c r="D5436" i="1"/>
  <c r="D5437" i="1"/>
  <c r="D5438" i="1"/>
  <c r="D5439" i="1"/>
  <c r="D5440" i="1"/>
  <c r="D5441" i="1"/>
  <c r="D5442" i="1"/>
  <c r="D5443" i="1"/>
  <c r="D5444" i="1"/>
  <c r="D5445" i="1"/>
  <c r="D5446" i="1"/>
  <c r="D5447" i="1"/>
  <c r="D5448" i="1"/>
  <c r="D5449" i="1"/>
  <c r="D5450" i="1"/>
  <c r="D5451" i="1"/>
  <c r="D5452" i="1"/>
  <c r="D5453" i="1"/>
  <c r="D5454" i="1"/>
  <c r="D5455" i="1"/>
  <c r="D5456" i="1"/>
  <c r="D5457" i="1"/>
  <c r="D5459" i="1"/>
  <c r="D5460" i="1"/>
  <c r="D5461" i="1"/>
  <c r="D5462" i="1"/>
  <c r="D5463" i="1"/>
  <c r="D5464" i="1"/>
  <c r="D5465" i="1"/>
  <c r="D5466" i="1"/>
  <c r="D5467" i="1"/>
  <c r="D5468" i="1"/>
  <c r="D5469" i="1"/>
  <c r="D5470" i="1"/>
  <c r="D5471" i="1"/>
  <c r="D5472" i="1"/>
  <c r="D5473" i="1"/>
  <c r="D5474" i="1"/>
  <c r="D5475" i="1"/>
  <c r="D5476" i="1"/>
  <c r="D5477" i="1"/>
  <c r="D5478" i="1"/>
  <c r="D5479" i="1"/>
  <c r="D5480" i="1"/>
  <c r="D5483" i="1"/>
  <c r="D5484" i="1"/>
  <c r="D5485" i="1"/>
  <c r="D5486" i="1"/>
  <c r="D5487" i="1"/>
  <c r="D5488" i="1"/>
  <c r="D5489" i="1"/>
  <c r="D5490" i="1"/>
  <c r="D5491" i="1"/>
  <c r="D5492" i="1"/>
  <c r="D5493" i="1"/>
  <c r="D5494" i="1"/>
  <c r="D5495" i="1"/>
  <c r="D5496" i="1"/>
  <c r="D5497" i="1"/>
  <c r="D5498" i="1"/>
  <c r="D5499" i="1"/>
  <c r="D5500" i="1"/>
  <c r="D5501" i="1"/>
  <c r="D5502" i="1"/>
  <c r="D5503" i="1"/>
  <c r="D5504" i="1"/>
  <c r="D5505" i="1"/>
  <c r="D5506" i="1"/>
  <c r="D5507" i="1"/>
  <c r="D5508" i="1"/>
  <c r="D5509" i="1"/>
  <c r="D5510" i="1"/>
  <c r="D5511" i="1"/>
  <c r="D5512" i="1"/>
  <c r="D5513" i="1"/>
  <c r="D5514" i="1"/>
  <c r="D5515" i="1"/>
  <c r="D5516" i="1"/>
  <c r="D5517" i="1"/>
  <c r="D5518" i="1"/>
  <c r="D5520" i="1"/>
  <c r="D5521" i="1"/>
  <c r="D5522" i="1"/>
  <c r="D5523" i="1"/>
  <c r="D5524" i="1"/>
  <c r="D5525" i="1"/>
  <c r="D5526" i="1"/>
  <c r="D5527" i="1"/>
  <c r="D5528" i="1"/>
  <c r="D5529" i="1"/>
  <c r="D5530" i="1"/>
  <c r="D5531" i="1"/>
  <c r="D5532" i="1"/>
  <c r="D5533" i="1"/>
  <c r="D5534" i="1"/>
  <c r="D5535" i="1"/>
  <c r="D5536" i="1"/>
  <c r="D5537" i="1"/>
  <c r="D5540" i="1"/>
  <c r="D5541" i="1"/>
  <c r="D5542" i="1"/>
  <c r="D5543" i="1"/>
  <c r="D5544" i="1"/>
  <c r="D5545" i="1"/>
  <c r="D5546" i="1"/>
  <c r="D5547" i="1"/>
  <c r="D5549" i="1"/>
  <c r="D5550" i="1"/>
  <c r="D5551" i="1"/>
  <c r="D5553" i="1"/>
  <c r="D5554" i="1"/>
  <c r="D5555" i="1"/>
  <c r="D5556" i="1"/>
  <c r="D5557" i="1"/>
  <c r="D5558" i="1"/>
  <c r="D5559" i="1"/>
  <c r="D5560" i="1"/>
  <c r="D5561" i="1"/>
  <c r="D5562" i="1"/>
  <c r="D5563" i="1"/>
  <c r="D5564" i="1"/>
  <c r="D5565" i="1"/>
  <c r="D5566" i="1"/>
  <c r="D5567" i="1"/>
  <c r="D5568" i="1"/>
  <c r="D5569" i="1"/>
  <c r="D5570" i="1"/>
  <c r="D5571" i="1"/>
  <c r="D5572" i="1"/>
  <c r="D5573" i="1"/>
  <c r="D5574" i="1"/>
  <c r="D5575" i="1"/>
  <c r="D5576" i="1"/>
  <c r="D5577" i="1"/>
  <c r="D5578" i="1"/>
  <c r="D5579" i="1"/>
  <c r="D5580" i="1"/>
  <c r="D5581" i="1"/>
  <c r="D5582" i="1"/>
  <c r="D5583" i="1"/>
  <c r="D5584" i="1"/>
  <c r="D5585" i="1"/>
  <c r="D5586" i="1"/>
  <c r="D5587" i="1"/>
  <c r="D5588" i="1"/>
  <c r="D5589" i="1"/>
  <c r="D5590" i="1"/>
  <c r="D5591" i="1"/>
  <c r="D5592" i="1"/>
  <c r="D5593" i="1"/>
  <c r="D5594" i="1"/>
  <c r="D5595" i="1"/>
  <c r="D5596" i="1"/>
  <c r="D5597" i="1"/>
  <c r="D5598" i="1"/>
  <c r="D5599" i="1"/>
  <c r="D5600" i="1"/>
  <c r="D5601" i="1"/>
  <c r="D5602" i="1"/>
  <c r="D5603" i="1"/>
  <c r="D5604" i="1"/>
  <c r="D5605" i="1"/>
  <c r="D5606" i="1"/>
  <c r="D5607" i="1"/>
  <c r="D5609" i="1"/>
  <c r="D5610" i="1"/>
  <c r="D5611" i="1"/>
  <c r="D5612" i="1"/>
  <c r="D5613" i="1"/>
  <c r="D5614" i="1"/>
  <c r="D5615" i="1"/>
  <c r="D5616" i="1"/>
  <c r="D5617" i="1"/>
  <c r="D5618" i="1"/>
  <c r="D5619" i="1"/>
  <c r="D5621" i="1"/>
  <c r="D5622" i="1"/>
  <c r="D5623" i="1"/>
  <c r="D5624" i="1"/>
  <c r="D5627" i="1"/>
  <c r="D5628" i="1"/>
  <c r="D5629" i="1"/>
  <c r="D5630" i="1"/>
  <c r="D5631" i="1"/>
  <c r="D5632" i="1"/>
  <c r="D5633" i="1"/>
  <c r="D5634" i="1"/>
  <c r="D5635" i="1"/>
  <c r="D5636" i="1"/>
  <c r="D5637" i="1"/>
  <c r="D5638" i="1"/>
  <c r="D5639" i="1"/>
  <c r="D5641" i="1"/>
  <c r="D5642" i="1"/>
  <c r="D5643" i="1"/>
  <c r="D5644" i="1"/>
  <c r="D5645" i="1"/>
  <c r="D5646" i="1"/>
  <c r="D5648" i="1"/>
  <c r="D5650" i="1"/>
  <c r="D5651" i="1"/>
  <c r="D5652" i="1"/>
  <c r="D5653" i="1"/>
  <c r="D5654" i="1"/>
  <c r="D5655" i="1"/>
  <c r="D5657" i="1"/>
  <c r="D5658" i="1"/>
  <c r="D5659" i="1"/>
  <c r="D5660" i="1"/>
  <c r="D5662" i="1"/>
  <c r="D5663" i="1"/>
  <c r="D5664" i="1"/>
  <c r="D5666" i="1"/>
  <c r="D5667" i="1"/>
  <c r="D5668" i="1"/>
  <c r="D5669" i="1"/>
  <c r="D5670" i="1"/>
  <c r="D5673" i="1"/>
  <c r="D5674" i="1"/>
  <c r="D5675" i="1"/>
  <c r="D5676" i="1"/>
  <c r="D5677" i="1"/>
  <c r="D5678" i="1"/>
  <c r="D5680" i="1"/>
  <c r="D5681" i="1"/>
  <c r="D5682" i="1"/>
  <c r="D5683" i="1"/>
  <c r="D5684" i="1"/>
  <c r="D5685" i="1"/>
  <c r="D5686" i="1"/>
  <c r="D5687" i="1"/>
  <c r="D5688" i="1"/>
  <c r="D5689" i="1"/>
  <c r="D5690" i="1"/>
  <c r="D5691" i="1"/>
  <c r="D5692" i="1"/>
  <c r="D5693" i="1"/>
  <c r="D5694" i="1"/>
  <c r="D5695" i="1"/>
  <c r="D5696" i="1"/>
  <c r="D5697" i="1"/>
  <c r="D5698" i="1"/>
  <c r="D5699" i="1"/>
  <c r="D5700" i="1"/>
  <c r="D5701" i="1"/>
  <c r="D5702" i="1"/>
  <c r="D5703" i="1"/>
  <c r="D5704" i="1"/>
  <c r="D5705" i="1"/>
  <c r="D5706" i="1"/>
  <c r="D5707" i="1"/>
  <c r="D5708" i="1"/>
  <c r="D5712" i="1"/>
  <c r="D5713" i="1"/>
  <c r="D5714" i="1"/>
  <c r="D5715" i="1"/>
  <c r="D5716" i="1"/>
  <c r="D5719" i="1"/>
  <c r="D5720" i="1"/>
  <c r="D5721" i="1"/>
  <c r="D5722" i="1"/>
  <c r="D5723" i="1"/>
  <c r="D5724" i="1"/>
  <c r="D5725" i="1"/>
  <c r="D5726" i="1"/>
  <c r="D5727" i="1"/>
  <c r="D5729" i="1"/>
  <c r="D5730" i="1"/>
  <c r="D5731" i="1"/>
  <c r="D5733" i="1"/>
  <c r="D5735" i="1"/>
  <c r="D5736" i="1"/>
  <c r="D5738" i="1"/>
  <c r="D5739" i="1"/>
  <c r="D5741" i="1"/>
  <c r="D5742" i="1"/>
  <c r="D5743" i="1"/>
  <c r="D5744" i="1"/>
  <c r="D5745" i="1"/>
  <c r="D5746" i="1"/>
  <c r="D5747" i="1"/>
  <c r="D5748" i="1"/>
  <c r="D5749" i="1"/>
  <c r="D5750" i="1"/>
  <c r="D5751" i="1"/>
  <c r="D5752" i="1"/>
  <c r="D5753" i="1"/>
  <c r="D5754" i="1"/>
  <c r="D5755" i="1"/>
  <c r="D5756" i="1"/>
  <c r="D5757" i="1"/>
  <c r="D5758" i="1"/>
  <c r="D5759" i="1"/>
  <c r="D5760" i="1"/>
  <c r="D5761" i="1"/>
  <c r="D5762" i="1"/>
  <c r="D5764" i="1"/>
  <c r="D5765" i="1"/>
  <c r="D5766" i="1"/>
  <c r="D5767" i="1"/>
  <c r="D5769" i="1"/>
  <c r="D5770" i="1"/>
  <c r="D5772" i="1"/>
  <c r="D5773" i="1"/>
  <c r="D5774" i="1"/>
  <c r="D5775" i="1"/>
  <c r="D5776" i="1"/>
  <c r="D5777" i="1"/>
  <c r="D5778" i="1"/>
  <c r="D5779" i="1"/>
  <c r="D5780" i="1"/>
  <c r="D5781" i="1"/>
  <c r="D5782" i="1"/>
  <c r="D5783" i="1"/>
  <c r="D5784" i="1"/>
  <c r="D5785" i="1"/>
  <c r="D5787" i="1"/>
  <c r="D5788" i="1"/>
  <c r="D5789" i="1"/>
  <c r="D5790" i="1"/>
  <c r="D5791" i="1"/>
  <c r="D5793" i="1"/>
  <c r="D5794" i="1"/>
  <c r="D5795" i="1"/>
  <c r="D5796" i="1"/>
  <c r="D5797" i="1"/>
  <c r="D5798" i="1"/>
  <c r="D5799" i="1"/>
  <c r="D5800" i="1"/>
  <c r="D5801" i="1"/>
  <c r="D5803" i="1"/>
  <c r="D5804" i="1"/>
  <c r="D5805" i="1"/>
  <c r="D5806" i="1"/>
  <c r="D5807" i="1"/>
  <c r="D5809" i="1"/>
  <c r="D5811" i="1"/>
  <c r="D5812" i="1"/>
  <c r="D5813" i="1"/>
  <c r="D5814" i="1"/>
  <c r="D5815" i="1"/>
  <c r="D5816" i="1"/>
  <c r="D5817" i="1"/>
  <c r="D5818" i="1"/>
  <c r="D5821" i="1"/>
  <c r="D5822" i="1"/>
  <c r="D5823" i="1"/>
  <c r="D5824" i="1"/>
  <c r="D5825" i="1"/>
  <c r="D5826" i="1"/>
  <c r="D5828" i="1"/>
  <c r="D5829" i="1"/>
  <c r="D5830" i="1"/>
  <c r="D5831" i="1"/>
  <c r="D5833" i="1"/>
  <c r="D5834" i="1"/>
  <c r="D5835" i="1"/>
  <c r="D5836" i="1"/>
  <c r="D5837" i="1"/>
  <c r="D5838" i="1"/>
  <c r="D5839" i="1"/>
  <c r="D5840" i="1"/>
  <c r="D5841" i="1"/>
  <c r="D5842" i="1"/>
  <c r="D5843" i="1"/>
  <c r="D5846" i="1"/>
  <c r="D5847" i="1"/>
  <c r="D5849" i="1"/>
  <c r="D5850" i="1"/>
  <c r="D5851" i="1"/>
  <c r="D5852" i="1"/>
  <c r="D5853" i="1"/>
  <c r="D5854" i="1"/>
  <c r="D5855" i="1"/>
  <c r="D5856" i="1"/>
  <c r="D5857" i="1"/>
  <c r="D5862" i="1"/>
  <c r="D5863" i="1"/>
  <c r="D5864" i="1"/>
  <c r="D5865" i="1"/>
  <c r="D5866" i="1"/>
  <c r="D5867" i="1"/>
  <c r="D5868" i="1"/>
  <c r="D5869" i="1"/>
  <c r="D5870" i="1"/>
  <c r="D5871" i="1"/>
  <c r="D5872" i="1"/>
  <c r="D5873" i="1"/>
  <c r="D5874" i="1"/>
  <c r="D5875" i="1"/>
  <c r="D5876" i="1"/>
  <c r="D5877" i="1"/>
  <c r="D5878" i="1"/>
  <c r="D5879" i="1"/>
  <c r="D5880" i="1"/>
  <c r="D5881" i="1"/>
  <c r="D5882" i="1"/>
  <c r="D5883" i="1"/>
  <c r="D5884" i="1"/>
  <c r="D5885" i="1"/>
  <c r="D5886" i="1"/>
  <c r="D5887" i="1"/>
  <c r="D5888" i="1"/>
  <c r="D5889" i="1"/>
  <c r="D5890" i="1"/>
  <c r="D5891" i="1"/>
  <c r="D5892" i="1"/>
  <c r="D5893" i="1"/>
  <c r="D5895" i="1"/>
  <c r="D5896" i="1"/>
  <c r="D5897" i="1"/>
  <c r="D5898" i="1"/>
  <c r="D5899" i="1"/>
  <c r="D5900" i="1"/>
  <c r="D5901" i="1"/>
  <c r="D5902" i="1"/>
  <c r="D5903" i="1"/>
  <c r="D5904" i="1"/>
  <c r="D5905" i="1"/>
  <c r="D5906" i="1"/>
  <c r="D5907" i="1"/>
  <c r="D5908" i="1"/>
  <c r="D5909" i="1"/>
  <c r="D5910" i="1"/>
  <c r="D5911" i="1"/>
  <c r="D5912" i="1"/>
  <c r="D5913" i="1"/>
  <c r="D5914" i="1"/>
  <c r="D5915" i="1"/>
  <c r="D5916" i="1"/>
  <c r="D5917" i="1"/>
  <c r="D5918" i="1"/>
  <c r="D5919" i="1"/>
  <c r="D5920" i="1"/>
  <c r="D5921" i="1"/>
  <c r="D5922" i="1"/>
  <c r="D5923" i="1"/>
  <c r="D5924" i="1"/>
  <c r="D5925" i="1"/>
  <c r="D5926" i="1"/>
  <c r="D5927" i="1"/>
  <c r="D5928" i="1"/>
  <c r="D5929" i="1"/>
  <c r="D5930" i="1"/>
  <c r="D5931" i="1"/>
  <c r="D5932" i="1"/>
  <c r="D5933" i="1"/>
  <c r="D5934" i="1"/>
  <c r="D5935" i="1"/>
  <c r="D5936" i="1"/>
  <c r="D5937" i="1"/>
  <c r="D5938" i="1"/>
  <c r="D5939" i="1"/>
  <c r="D5940" i="1"/>
  <c r="D5941" i="1"/>
  <c r="D5942" i="1"/>
  <c r="D5943" i="1"/>
  <c r="D5944" i="1"/>
  <c r="D5945" i="1"/>
  <c r="D5946" i="1"/>
  <c r="D5947" i="1"/>
  <c r="D5948" i="1"/>
  <c r="D5949" i="1"/>
  <c r="D5950" i="1"/>
  <c r="D5951" i="1"/>
  <c r="D5952" i="1"/>
  <c r="D5954" i="1"/>
  <c r="D5955" i="1"/>
  <c r="D5956" i="1"/>
  <c r="D5957" i="1"/>
  <c r="D5958" i="1"/>
  <c r="D5959" i="1"/>
  <c r="D5960" i="1"/>
  <c r="D5961" i="1"/>
  <c r="D5962" i="1"/>
  <c r="D5963" i="1"/>
  <c r="D5964" i="1"/>
  <c r="D5965" i="1"/>
  <c r="D5966" i="1"/>
  <c r="D5967" i="1"/>
  <c r="D5968" i="1"/>
  <c r="D5969" i="1"/>
  <c r="D5970" i="1"/>
  <c r="D5971" i="1"/>
  <c r="D5972" i="1"/>
  <c r="D5973" i="1"/>
  <c r="D5974" i="1"/>
  <c r="D5975" i="1"/>
  <c r="D5976" i="1"/>
  <c r="D5977" i="1"/>
  <c r="D5978" i="1"/>
  <c r="D5979" i="1"/>
  <c r="D5980" i="1"/>
  <c r="D5981" i="1"/>
  <c r="D5982" i="1"/>
  <c r="D5983" i="1"/>
  <c r="D5984" i="1"/>
  <c r="D5985" i="1"/>
  <c r="D5986" i="1"/>
  <c r="D5987" i="1"/>
  <c r="D5988" i="1"/>
  <c r="D5990" i="1"/>
  <c r="D5991" i="1"/>
  <c r="D5992" i="1"/>
  <c r="D5993" i="1"/>
  <c r="D5994" i="1"/>
  <c r="D5995" i="1"/>
  <c r="D5996" i="1"/>
  <c r="D5997" i="1"/>
  <c r="D5998" i="1"/>
  <c r="D5999" i="1"/>
  <c r="D6000" i="1"/>
  <c r="D6001" i="1"/>
  <c r="D6002" i="1"/>
  <c r="D6003" i="1"/>
  <c r="D6004" i="1"/>
  <c r="D6005" i="1"/>
  <c r="D6006" i="1"/>
  <c r="D6007" i="1"/>
  <c r="D6008" i="1"/>
  <c r="D6009" i="1"/>
  <c r="D6010" i="1"/>
  <c r="D6011" i="1"/>
  <c r="D6012" i="1"/>
  <c r="D6013" i="1"/>
  <c r="D6014" i="1"/>
  <c r="D6015" i="1"/>
  <c r="D6016" i="1"/>
  <c r="D6017" i="1"/>
  <c r="D6019" i="1"/>
  <c r="D6020" i="1"/>
  <c r="D6021" i="1"/>
  <c r="D6022" i="1"/>
  <c r="D6023" i="1"/>
  <c r="D6024" i="1"/>
  <c r="D6025" i="1"/>
  <c r="D6026" i="1"/>
  <c r="D6027" i="1"/>
  <c r="D6028" i="1"/>
  <c r="D6029" i="1"/>
  <c r="D6030" i="1"/>
  <c r="D6031" i="1"/>
  <c r="D6032" i="1"/>
  <c r="D6034" i="1"/>
  <c r="D6035" i="1"/>
  <c r="D6036" i="1"/>
  <c r="D6038" i="1"/>
  <c r="D6039" i="1"/>
  <c r="D6040" i="1"/>
  <c r="D6041" i="1"/>
  <c r="D6042" i="1"/>
  <c r="D6043" i="1"/>
  <c r="D6044" i="1"/>
  <c r="D6045" i="1"/>
  <c r="D6046" i="1"/>
  <c r="D6047" i="1"/>
  <c r="D6048" i="1"/>
  <c r="D6051" i="1"/>
  <c r="D6053" i="1"/>
  <c r="D6054" i="1"/>
  <c r="D6055" i="1"/>
  <c r="D6056" i="1"/>
  <c r="D6057" i="1"/>
  <c r="D6058" i="1"/>
  <c r="D6059" i="1"/>
  <c r="D6060" i="1"/>
  <c r="D6061" i="1"/>
  <c r="D6062" i="1"/>
  <c r="D6063" i="1"/>
  <c r="D6064" i="1"/>
  <c r="D6066" i="1"/>
  <c r="D6067" i="1"/>
  <c r="D6068" i="1"/>
  <c r="D6069" i="1"/>
  <c r="D6072" i="1"/>
  <c r="D6073" i="1"/>
  <c r="D6074" i="1"/>
  <c r="D6075" i="1"/>
  <c r="D6076" i="1"/>
  <c r="D6077" i="1"/>
  <c r="D6078" i="1"/>
  <c r="D6079" i="1"/>
  <c r="D6080" i="1"/>
  <c r="D6082" i="1"/>
  <c r="D6083" i="1"/>
  <c r="D6084" i="1"/>
  <c r="D6085" i="1"/>
  <c r="D6086" i="1"/>
  <c r="D6087" i="1"/>
  <c r="D6088" i="1"/>
  <c r="D6089" i="1"/>
  <c r="D6090" i="1"/>
  <c r="D6091" i="1"/>
  <c r="D6092" i="1"/>
  <c r="D6093" i="1"/>
  <c r="D6094" i="1"/>
  <c r="D6095" i="1"/>
  <c r="D6096" i="1"/>
  <c r="D6097" i="1"/>
  <c r="D6098" i="1"/>
  <c r="D6099" i="1"/>
  <c r="D6100" i="1"/>
  <c r="D6101" i="1"/>
  <c r="D6102" i="1"/>
  <c r="D6103" i="1"/>
  <c r="D6105" i="1"/>
  <c r="D6106" i="1"/>
  <c r="D6107" i="1"/>
  <c r="D6108" i="1"/>
  <c r="D6110" i="1"/>
  <c r="D6111" i="1"/>
  <c r="D6112" i="1"/>
  <c r="D6114" i="1"/>
  <c r="D6115" i="1"/>
  <c r="D6116" i="1"/>
  <c r="D6119" i="1"/>
  <c r="D6120" i="1"/>
  <c r="D6121" i="1"/>
  <c r="D6122" i="1"/>
  <c r="D6123" i="1"/>
  <c r="D6124" i="1"/>
  <c r="D6125" i="1"/>
  <c r="D6126" i="1"/>
  <c r="D6127" i="1"/>
  <c r="D6128" i="1"/>
  <c r="D6129" i="1"/>
  <c r="D6130" i="1"/>
  <c r="D6131" i="1"/>
  <c r="D6132" i="1"/>
  <c r="D6133" i="1"/>
  <c r="D6134" i="1"/>
  <c r="D6135" i="1"/>
  <c r="D6136" i="1"/>
  <c r="D6137" i="1"/>
  <c r="D6138" i="1"/>
  <c r="D6139" i="1"/>
  <c r="D6141" i="1"/>
  <c r="D6142" i="1"/>
  <c r="D6143" i="1"/>
  <c r="D6144" i="1"/>
  <c r="D6145" i="1"/>
  <c r="D6146" i="1"/>
  <c r="D6147" i="1"/>
  <c r="D6148" i="1"/>
  <c r="D6149" i="1"/>
  <c r="D6150" i="1"/>
  <c r="D6151" i="1"/>
  <c r="D6152" i="1"/>
  <c r="D6153" i="1"/>
  <c r="D6154" i="1"/>
  <c r="D6155" i="1"/>
  <c r="D6158" i="1"/>
  <c r="D6162" i="1"/>
  <c r="D6163" i="1"/>
  <c r="D6164" i="1"/>
  <c r="D6165" i="1"/>
  <c r="D6166" i="1"/>
  <c r="D6167" i="1"/>
  <c r="D6169" i="1"/>
  <c r="D6170" i="1"/>
  <c r="D6171" i="1"/>
  <c r="D6172" i="1"/>
  <c r="D6173" i="1"/>
  <c r="D6174" i="1"/>
  <c r="D6176" i="1"/>
  <c r="D6177" i="1"/>
  <c r="D6178" i="1"/>
  <c r="D6179" i="1"/>
  <c r="D6180" i="1"/>
  <c r="D6181" i="1"/>
  <c r="D6182" i="1"/>
  <c r="D6183" i="1"/>
  <c r="D6184" i="1"/>
  <c r="D6185" i="1"/>
  <c r="D6186" i="1"/>
  <c r="D6189" i="1"/>
  <c r="D6190" i="1"/>
  <c r="D6191" i="1"/>
  <c r="D6192" i="1"/>
  <c r="D6193" i="1"/>
  <c r="D6194" i="1"/>
  <c r="D6195" i="1"/>
  <c r="D6196" i="1"/>
  <c r="D6197" i="1"/>
  <c r="D6198" i="1"/>
  <c r="D6199" i="1"/>
  <c r="D6200" i="1"/>
  <c r="D6202" i="1"/>
  <c r="D6203" i="1"/>
  <c r="D6204" i="1"/>
  <c r="D6205" i="1"/>
  <c r="D6206" i="1"/>
  <c r="D6207" i="1"/>
  <c r="D6208" i="1"/>
  <c r="D6209" i="1"/>
  <c r="D6210" i="1"/>
  <c r="D6211" i="1"/>
  <c r="D6212" i="1"/>
  <c r="D6213" i="1"/>
  <c r="D6214" i="1"/>
  <c r="D6215" i="1"/>
  <c r="D6216" i="1"/>
  <c r="D6217" i="1"/>
  <c r="D6218" i="1"/>
  <c r="D6219" i="1"/>
  <c r="D6220" i="1"/>
  <c r="D6221" i="1"/>
  <c r="D6223" i="1"/>
  <c r="D6224" i="1"/>
  <c r="D6225" i="1"/>
  <c r="D6226" i="1"/>
  <c r="D6227" i="1"/>
  <c r="D6228" i="1"/>
  <c r="D6229" i="1"/>
  <c r="D6230" i="1"/>
  <c r="D6231" i="1"/>
  <c r="D6232" i="1"/>
  <c r="D6233" i="1"/>
  <c r="D6234" i="1"/>
  <c r="D6235" i="1"/>
  <c r="D6236" i="1"/>
  <c r="D6237" i="1"/>
  <c r="D6238" i="1"/>
  <c r="D6239" i="1"/>
  <c r="D6240" i="1"/>
  <c r="D6241" i="1"/>
  <c r="D6242" i="1"/>
  <c r="D6244" i="1"/>
  <c r="D6245" i="1"/>
  <c r="D6246" i="1"/>
  <c r="D6248" i="1"/>
  <c r="D6249" i="1"/>
  <c r="D6250" i="1"/>
  <c r="D6251" i="1"/>
  <c r="D6252" i="1"/>
  <c r="D6253" i="1"/>
  <c r="D6254" i="1"/>
  <c r="D6256" i="1"/>
  <c r="D6257" i="1"/>
  <c r="D6258" i="1"/>
  <c r="D6259" i="1"/>
  <c r="D6260" i="1"/>
  <c r="D6261" i="1"/>
  <c r="D6262" i="1"/>
  <c r="D6264" i="1"/>
  <c r="D6267" i="1"/>
  <c r="D6268" i="1"/>
  <c r="D6270" i="1"/>
  <c r="D6271" i="1"/>
  <c r="D6272" i="1"/>
  <c r="D6273" i="1"/>
  <c r="D6274" i="1"/>
  <c r="D6275" i="1"/>
  <c r="D6276" i="1"/>
  <c r="D6277" i="1"/>
  <c r="D6278" i="1"/>
  <c r="D6279" i="1"/>
  <c r="D6280" i="1"/>
  <c r="D6281" i="1"/>
  <c r="D6282" i="1"/>
  <c r="D6283" i="1"/>
  <c r="D6284" i="1"/>
  <c r="D6286" i="1"/>
  <c r="D6287" i="1"/>
  <c r="D6288" i="1"/>
  <c r="D6289" i="1"/>
  <c r="D6292" i="1"/>
  <c r="D6293" i="1"/>
  <c r="D6294" i="1"/>
  <c r="D6295" i="1"/>
  <c r="D6296" i="1"/>
  <c r="D6297" i="1"/>
  <c r="D6298" i="1"/>
  <c r="D6299" i="1"/>
  <c r="D6300" i="1"/>
  <c r="D6301" i="1"/>
  <c r="D6302" i="1"/>
  <c r="D6303" i="1"/>
  <c r="D6305" i="1"/>
  <c r="D6306" i="1"/>
  <c r="D6307" i="1"/>
  <c r="D6308" i="1"/>
  <c r="D6309" i="1"/>
  <c r="D6310" i="1"/>
  <c r="D6311" i="1"/>
  <c r="D6312" i="1"/>
  <c r="D6314" i="1"/>
  <c r="D6315" i="1"/>
  <c r="D6316" i="1"/>
  <c r="D6317" i="1"/>
  <c r="D6319" i="1"/>
  <c r="D6320" i="1"/>
  <c r="D6322" i="1"/>
  <c r="D6323" i="1"/>
  <c r="D6324" i="1"/>
  <c r="D6325" i="1"/>
  <c r="D6326" i="1"/>
  <c r="D6328" i="1"/>
  <c r="D6329" i="1"/>
  <c r="D6332" i="1"/>
  <c r="D6334" i="1"/>
  <c r="D6335" i="1"/>
  <c r="D6336" i="1"/>
  <c r="D6337" i="1"/>
  <c r="D6338" i="1"/>
  <c r="D6339" i="1"/>
  <c r="D6340" i="1"/>
  <c r="D6341" i="1"/>
  <c r="D6342" i="1"/>
  <c r="D6345" i="1"/>
  <c r="D6346" i="1"/>
  <c r="D6347" i="1"/>
  <c r="D6348" i="1"/>
  <c r="D6349" i="1"/>
  <c r="D6350" i="1"/>
  <c r="D6351" i="1"/>
  <c r="D6352" i="1"/>
  <c r="D6353" i="1"/>
  <c r="D6354" i="1"/>
  <c r="D6355" i="1"/>
  <c r="D6356" i="1"/>
  <c r="D6357" i="1"/>
  <c r="D6358" i="1"/>
  <c r="D6359" i="1"/>
  <c r="D6360" i="1"/>
  <c r="D6361" i="1"/>
  <c r="D6362" i="1"/>
  <c r="D6363" i="1"/>
  <c r="D6366" i="1"/>
  <c r="D6367" i="1"/>
  <c r="D6368" i="1"/>
  <c r="D6369" i="1"/>
  <c r="D6370" i="1"/>
  <c r="D6371" i="1"/>
  <c r="D6372" i="1"/>
  <c r="D6373" i="1"/>
  <c r="D6374" i="1"/>
  <c r="D6375" i="1"/>
  <c r="D6376" i="1"/>
  <c r="D6377" i="1"/>
  <c r="D6378" i="1"/>
  <c r="D6379" i="1"/>
  <c r="D6380" i="1"/>
  <c r="D6381" i="1"/>
  <c r="D6382" i="1"/>
  <c r="D6383" i="1"/>
  <c r="D6384" i="1"/>
  <c r="D6385" i="1"/>
  <c r="D6386" i="1"/>
  <c r="D6387" i="1"/>
  <c r="D6388" i="1"/>
  <c r="D6389" i="1"/>
  <c r="D6390" i="1"/>
  <c r="D6391" i="1"/>
  <c r="D6392" i="1"/>
  <c r="D6393" i="1"/>
  <c r="D6394" i="1"/>
  <c r="D6396" i="1"/>
  <c r="D6397" i="1"/>
  <c r="D6398" i="1"/>
  <c r="D6399" i="1"/>
  <c r="D6400" i="1"/>
  <c r="D6402" i="1"/>
  <c r="D6403" i="1"/>
  <c r="D6404" i="1"/>
  <c r="D6405" i="1"/>
  <c r="D6406" i="1"/>
  <c r="D6407" i="1"/>
  <c r="D6408" i="1"/>
  <c r="D6409" i="1"/>
  <c r="D6410" i="1"/>
  <c r="D6411" i="1"/>
  <c r="D6412" i="1"/>
  <c r="D6413" i="1"/>
  <c r="D6414" i="1"/>
  <c r="D6415" i="1"/>
  <c r="D6416" i="1"/>
  <c r="D6417" i="1"/>
  <c r="D6418" i="1"/>
  <c r="D6419" i="1"/>
  <c r="D6420" i="1"/>
  <c r="D6421" i="1"/>
  <c r="D6422" i="1"/>
  <c r="D6423" i="1"/>
  <c r="D6424" i="1"/>
  <c r="D6425" i="1"/>
  <c r="D6426" i="1"/>
  <c r="D6427" i="1"/>
  <c r="D6428" i="1"/>
  <c r="D6429" i="1"/>
  <c r="D6430" i="1"/>
  <c r="D6431" i="1"/>
  <c r="D6433" i="1"/>
  <c r="D6434" i="1"/>
  <c r="D6435" i="1"/>
  <c r="D6436" i="1"/>
  <c r="D6437" i="1"/>
  <c r="D6438" i="1"/>
  <c r="D6439" i="1"/>
  <c r="D6440" i="1"/>
  <c r="D6441" i="1"/>
  <c r="D6442" i="1"/>
  <c r="D6443" i="1"/>
  <c r="D6444" i="1"/>
  <c r="D6445" i="1"/>
  <c r="D6446" i="1"/>
  <c r="D6447" i="1"/>
  <c r="D6448" i="1"/>
  <c r="D6449" i="1"/>
  <c r="D6450" i="1"/>
  <c r="D6451" i="1"/>
  <c r="D6452" i="1"/>
  <c r="D6453" i="1"/>
  <c r="D6454" i="1"/>
  <c r="D6455" i="1"/>
  <c r="D6457" i="1"/>
  <c r="D6458" i="1"/>
  <c r="D6459" i="1"/>
  <c r="D6460" i="1"/>
  <c r="D6462" i="1"/>
  <c r="D6463" i="1"/>
  <c r="D6464" i="1"/>
  <c r="D6465" i="1"/>
  <c r="D6466" i="1"/>
  <c r="D6467" i="1"/>
  <c r="D6469" i="1"/>
  <c r="D6470" i="1"/>
  <c r="D6471" i="1"/>
  <c r="D6472" i="1"/>
  <c r="D6473" i="1"/>
  <c r="D6474" i="1"/>
  <c r="D6475" i="1"/>
  <c r="D6477" i="1"/>
  <c r="D6478" i="1"/>
  <c r="D6479" i="1"/>
  <c r="D6481" i="1"/>
  <c r="D6482" i="1"/>
  <c r="D6483" i="1"/>
  <c r="D6485" i="1"/>
  <c r="D6486" i="1"/>
  <c r="D6488" i="1"/>
  <c r="D6489" i="1"/>
  <c r="D6490" i="1"/>
  <c r="D6491" i="1"/>
  <c r="D6494" i="1"/>
  <c r="D6495" i="1"/>
  <c r="D6496" i="1"/>
  <c r="D6497" i="1"/>
  <c r="D6499" i="1"/>
  <c r="D6500" i="1"/>
  <c r="D6501" i="1"/>
  <c r="D6502" i="1"/>
  <c r="D6503" i="1"/>
  <c r="D6504" i="1"/>
  <c r="D6505" i="1"/>
  <c r="D6506" i="1"/>
  <c r="D6507" i="1"/>
  <c r="D6508" i="1"/>
  <c r="D6509" i="1"/>
  <c r="D6511" i="1"/>
  <c r="D6513" i="1"/>
  <c r="D6514" i="1"/>
  <c r="D6516" i="1"/>
  <c r="D6518" i="1"/>
  <c r="D6519" i="1"/>
  <c r="D6520" i="1"/>
  <c r="D6521" i="1"/>
  <c r="D6524" i="1"/>
  <c r="D6525" i="1"/>
  <c r="D6526" i="1"/>
  <c r="D6527" i="1"/>
  <c r="D6528" i="1"/>
  <c r="D6529" i="1"/>
  <c r="D6530" i="1"/>
  <c r="D6531" i="1"/>
  <c r="D6532" i="1"/>
  <c r="D6533" i="1"/>
  <c r="D6534" i="1"/>
  <c r="D6535" i="1"/>
  <c r="D6536" i="1"/>
  <c r="D6537" i="1"/>
  <c r="D6538" i="1"/>
  <c r="D6540" i="1"/>
  <c r="D6541" i="1"/>
  <c r="D6542" i="1"/>
  <c r="D6543" i="1"/>
  <c r="D6545" i="1"/>
  <c r="D6546" i="1"/>
  <c r="D6547" i="1"/>
  <c r="D6548" i="1"/>
  <c r="D6549" i="1"/>
  <c r="D6550" i="1"/>
  <c r="D6552" i="1"/>
  <c r="D6553" i="1"/>
  <c r="D6556" i="1"/>
  <c r="D6557" i="1"/>
  <c r="D6558" i="1"/>
  <c r="D6559" i="1"/>
  <c r="D6560" i="1"/>
  <c r="D6561" i="1"/>
  <c r="D6562" i="1"/>
  <c r="D6563" i="1"/>
  <c r="D6564" i="1"/>
  <c r="D6565" i="1"/>
  <c r="D6566" i="1"/>
  <c r="D6567" i="1"/>
  <c r="D6568" i="1"/>
  <c r="D6569" i="1"/>
  <c r="D6570" i="1"/>
  <c r="D6571" i="1"/>
  <c r="D6572" i="1"/>
  <c r="D6573" i="1"/>
  <c r="D6574" i="1"/>
  <c r="D6575" i="1"/>
  <c r="D6576" i="1"/>
  <c r="D6577" i="1"/>
  <c r="D6578" i="1"/>
  <c r="D6579" i="1"/>
  <c r="D6580" i="1"/>
  <c r="D6582" i="1"/>
  <c r="D6583" i="1"/>
  <c r="D6584" i="1"/>
  <c r="D6585" i="1"/>
  <c r="D6586" i="1"/>
  <c r="D6587" i="1"/>
  <c r="D6588" i="1"/>
  <c r="D6589" i="1"/>
  <c r="D6590" i="1"/>
  <c r="D6591" i="1"/>
  <c r="D6592" i="1"/>
  <c r="D6593" i="1"/>
  <c r="D6594" i="1"/>
  <c r="D6599" i="1"/>
  <c r="D6600" i="1"/>
  <c r="D6601" i="1"/>
  <c r="D6602" i="1"/>
  <c r="D6603" i="1"/>
  <c r="D6604" i="1"/>
  <c r="D6607" i="1"/>
  <c r="D6608" i="1"/>
  <c r="D6609" i="1"/>
  <c r="D6610" i="1"/>
  <c r="D6611" i="1"/>
  <c r="D6612" i="1"/>
  <c r="D6613" i="1"/>
  <c r="D6614" i="1"/>
  <c r="D6616" i="1"/>
  <c r="D6617" i="1"/>
  <c r="D6618" i="1"/>
  <c r="D6619" i="1"/>
  <c r="D6620" i="1"/>
  <c r="D6621" i="1"/>
  <c r="D6622" i="1"/>
  <c r="D6623" i="1"/>
  <c r="D6624" i="1"/>
  <c r="D6625" i="1"/>
  <c r="D6627" i="1"/>
  <c r="D6628" i="1"/>
  <c r="D6629" i="1"/>
  <c r="D6630" i="1"/>
  <c r="D6632" i="1"/>
  <c r="D6633" i="1"/>
  <c r="D6634" i="1"/>
  <c r="D6635" i="1"/>
  <c r="D6636" i="1"/>
  <c r="D6637" i="1"/>
  <c r="D6639" i="1"/>
  <c r="D6640" i="1"/>
  <c r="D6641" i="1"/>
  <c r="D6642" i="1"/>
  <c r="D6643" i="1"/>
  <c r="D6644" i="1"/>
  <c r="D6645" i="1"/>
  <c r="D6646" i="1"/>
  <c r="D6648" i="1"/>
  <c r="D6649" i="1"/>
  <c r="D6652" i="1"/>
  <c r="D6653" i="1"/>
  <c r="D6654" i="1"/>
  <c r="D6655" i="1"/>
  <c r="D6657" i="1"/>
  <c r="D6658" i="1"/>
  <c r="D6659" i="1"/>
  <c r="D6660" i="1"/>
  <c r="D6661" i="1"/>
  <c r="D6662" i="1"/>
  <c r="D6663" i="1"/>
  <c r="D6664" i="1"/>
  <c r="D6665" i="1"/>
  <c r="D6667" i="1"/>
  <c r="D6668" i="1"/>
  <c r="D6669" i="1"/>
  <c r="D6671" i="1"/>
  <c r="D6672" i="1"/>
  <c r="D6675" i="1"/>
  <c r="D6676" i="1"/>
  <c r="D6677" i="1"/>
  <c r="D6678" i="1"/>
  <c r="D6679" i="1"/>
  <c r="D6680" i="1"/>
  <c r="D6682" i="1"/>
  <c r="D6683" i="1"/>
  <c r="D6684" i="1"/>
  <c r="D6685" i="1"/>
  <c r="D6686" i="1"/>
  <c r="D6687" i="1"/>
  <c r="D6688" i="1"/>
  <c r="D6689" i="1"/>
  <c r="D6690" i="1"/>
  <c r="D6693" i="1"/>
  <c r="D6694" i="1"/>
  <c r="D6695" i="1"/>
  <c r="D6696" i="1"/>
  <c r="D6697" i="1"/>
  <c r="D6698" i="1"/>
  <c r="D6699" i="1"/>
  <c r="D6701" i="1"/>
  <c r="D6702" i="1"/>
  <c r="D6703" i="1"/>
  <c r="D6704" i="1"/>
  <c r="D6705" i="1"/>
  <c r="D6708" i="1"/>
  <c r="D6709" i="1"/>
  <c r="D6710" i="1"/>
  <c r="D6711" i="1"/>
  <c r="D6712" i="1"/>
  <c r="D6713" i="1"/>
  <c r="D6714" i="1"/>
  <c r="D6715" i="1"/>
  <c r="D6716" i="1"/>
  <c r="D6717" i="1"/>
  <c r="D6719" i="1"/>
  <c r="D6720" i="1"/>
  <c r="D6721" i="1"/>
  <c r="D6722" i="1"/>
  <c r="D6723" i="1"/>
  <c r="D6724" i="1"/>
  <c r="D6725" i="1"/>
  <c r="D6727" i="1"/>
  <c r="D6728" i="1"/>
  <c r="D6729" i="1"/>
  <c r="D6731" i="1"/>
  <c r="D6732" i="1"/>
  <c r="D6733" i="1"/>
  <c r="D6736" i="1"/>
  <c r="D6737" i="1"/>
  <c r="D6738" i="1"/>
  <c r="D6739" i="1"/>
  <c r="D6741" i="1"/>
  <c r="D6742" i="1"/>
  <c r="D6743" i="1"/>
  <c r="D6745" i="1"/>
  <c r="D6747" i="1"/>
  <c r="D6748" i="1"/>
  <c r="D6749" i="1"/>
  <c r="D6750" i="1"/>
  <c r="D6753" i="1"/>
  <c r="D6754" i="1"/>
  <c r="D6755" i="1"/>
  <c r="D6756" i="1"/>
  <c r="D6757" i="1"/>
  <c r="D6758" i="1"/>
  <c r="D6760" i="1"/>
  <c r="D6761" i="1"/>
  <c r="D6762" i="1"/>
  <c r="D6763" i="1"/>
  <c r="D6764" i="1"/>
  <c r="D6765" i="1"/>
  <c r="D6766" i="1"/>
  <c r="D6767" i="1"/>
  <c r="D6769" i="1"/>
  <c r="D6770" i="1"/>
  <c r="D6772" i="1"/>
  <c r="D6775" i="1"/>
  <c r="D6776" i="1"/>
  <c r="D6778" i="1"/>
  <c r="D6780" i="1"/>
  <c r="D6781" i="1"/>
  <c r="D6782" i="1"/>
  <c r="D6783" i="1"/>
  <c r="D6784" i="1"/>
  <c r="D6786" i="1"/>
  <c r="D6787" i="1"/>
  <c r="D6788" i="1"/>
  <c r="D6789" i="1"/>
  <c r="D6790" i="1"/>
  <c r="D6792" i="1"/>
  <c r="D6793" i="1"/>
  <c r="D6795" i="1"/>
  <c r="D6796" i="1"/>
  <c r="D6797" i="1"/>
  <c r="D6798" i="1"/>
  <c r="D6799" i="1"/>
  <c r="D6800" i="1"/>
  <c r="D6801" i="1"/>
  <c r="D6804" i="1"/>
  <c r="D6805" i="1"/>
  <c r="D6806" i="1"/>
  <c r="D6807" i="1"/>
  <c r="D6809" i="1"/>
  <c r="D6810" i="1"/>
  <c r="D6811" i="1"/>
  <c r="D6812" i="1"/>
  <c r="D6814" i="1"/>
  <c r="D6815" i="1"/>
  <c r="D6816" i="1"/>
  <c r="D6818" i="1"/>
  <c r="D6819" i="1"/>
  <c r="D6820" i="1"/>
  <c r="D6821" i="1"/>
  <c r="D6822" i="1"/>
  <c r="D6823" i="1"/>
  <c r="D6824" i="1"/>
  <c r="D6828" i="1"/>
  <c r="D6829" i="1"/>
  <c r="D6830" i="1"/>
  <c r="D6831" i="1"/>
  <c r="D6832" i="1"/>
  <c r="D6833" i="1"/>
  <c r="D6834" i="1"/>
  <c r="D6835" i="1"/>
  <c r="D6836" i="1"/>
  <c r="D6837" i="1"/>
  <c r="D6838" i="1"/>
  <c r="D6839" i="1"/>
  <c r="D6840" i="1"/>
  <c r="D6841" i="1"/>
  <c r="D6842" i="1"/>
  <c r="D6843" i="1"/>
  <c r="D6844" i="1"/>
  <c r="D6845" i="1"/>
  <c r="D6846" i="1"/>
  <c r="D6847" i="1"/>
  <c r="D6848" i="1"/>
  <c r="D6849" i="1"/>
  <c r="D6850" i="1"/>
  <c r="D6851" i="1"/>
  <c r="D6852" i="1"/>
  <c r="D6853" i="1"/>
  <c r="D6854" i="1"/>
  <c r="D6855" i="1"/>
  <c r="D6856" i="1"/>
  <c r="D6857" i="1"/>
  <c r="D6858" i="1"/>
  <c r="D6859" i="1"/>
  <c r="D6860" i="1"/>
  <c r="D6861" i="1"/>
  <c r="D6862" i="1"/>
  <c r="D6863" i="1"/>
  <c r="D6864" i="1"/>
  <c r="D6865" i="1"/>
  <c r="D6866" i="1"/>
  <c r="D6867" i="1"/>
  <c r="D6868" i="1"/>
  <c r="D6869" i="1"/>
  <c r="D6871" i="1"/>
  <c r="D6872" i="1"/>
  <c r="D6873" i="1"/>
  <c r="D6874" i="1"/>
  <c r="D6875" i="1"/>
  <c r="D6876" i="1"/>
  <c r="D6877" i="1"/>
  <c r="D6879" i="1"/>
  <c r="D6880" i="1"/>
  <c r="D6881" i="1"/>
  <c r="D6882" i="1"/>
  <c r="D6883" i="1"/>
  <c r="D6884" i="1"/>
  <c r="D6885" i="1"/>
  <c r="D6886" i="1"/>
  <c r="D6887" i="1"/>
  <c r="D6888" i="1"/>
  <c r="D6889" i="1"/>
  <c r="D6890" i="1"/>
  <c r="D6891" i="1"/>
  <c r="D6892" i="1"/>
  <c r="D6893" i="1"/>
  <c r="D6894" i="1"/>
  <c r="D6895" i="1"/>
  <c r="D6896" i="1"/>
  <c r="D6897" i="1"/>
  <c r="D6898" i="1"/>
  <c r="D6899" i="1"/>
  <c r="D6900" i="1"/>
  <c r="D6901" i="1"/>
  <c r="D6902" i="1"/>
  <c r="D6903" i="1"/>
  <c r="D6904" i="1"/>
  <c r="D6905" i="1"/>
  <c r="D6906" i="1"/>
  <c r="D6907" i="1"/>
  <c r="D6908" i="1"/>
  <c r="D6909" i="1"/>
  <c r="D6910" i="1"/>
  <c r="D6911" i="1"/>
  <c r="D6912" i="1"/>
  <c r="D6913" i="1"/>
  <c r="D6914" i="1"/>
  <c r="D6915" i="1"/>
  <c r="D6916" i="1"/>
  <c r="D6917" i="1"/>
  <c r="D6918" i="1"/>
  <c r="D6919" i="1"/>
  <c r="D6920" i="1"/>
  <c r="D6922" i="1"/>
  <c r="D6923" i="1"/>
  <c r="D6924" i="1"/>
  <c r="D6925" i="1"/>
  <c r="D6926" i="1"/>
  <c r="D6927" i="1"/>
  <c r="D6928" i="1"/>
  <c r="D6930" i="1"/>
  <c r="D6931" i="1"/>
  <c r="D6932" i="1"/>
  <c r="D6933" i="1"/>
  <c r="D6934" i="1"/>
  <c r="D6936" i="1"/>
  <c r="D6937" i="1"/>
  <c r="D6938" i="1"/>
  <c r="D6939" i="1"/>
  <c r="D6940" i="1"/>
  <c r="D6941" i="1"/>
  <c r="D6942" i="1"/>
  <c r="D6945" i="1"/>
  <c r="D6946" i="1"/>
  <c r="D6947" i="1"/>
  <c r="D6948" i="1"/>
  <c r="D6949" i="1"/>
  <c r="D6950" i="1"/>
  <c r="D6951" i="1"/>
  <c r="D6952" i="1"/>
  <c r="D6953" i="1"/>
  <c r="D6954" i="1"/>
  <c r="D6955" i="1"/>
  <c r="D6957" i="1"/>
  <c r="D6958" i="1"/>
  <c r="D6959" i="1"/>
  <c r="D6960" i="1"/>
  <c r="D6961" i="1"/>
  <c r="D6962" i="1"/>
  <c r="D6964" i="1"/>
  <c r="D6965" i="1"/>
  <c r="D6966" i="1"/>
  <c r="D6967" i="1"/>
  <c r="D6968" i="1"/>
  <c r="D6969" i="1"/>
  <c r="D6971" i="1"/>
  <c r="D6972" i="1"/>
  <c r="D6973" i="1"/>
  <c r="D6977" i="1"/>
  <c r="D6979" i="1"/>
  <c r="D6981" i="1"/>
  <c r="D6982" i="1"/>
  <c r="D6984" i="1"/>
  <c r="D6985" i="1"/>
  <c r="D6987" i="1"/>
  <c r="D6988" i="1"/>
  <c r="D6990" i="1"/>
  <c r="D6991" i="1"/>
  <c r="D6992" i="1"/>
  <c r="D6995" i="1"/>
  <c r="D6997" i="1"/>
  <c r="D6998" i="1"/>
  <c r="D7000" i="1"/>
  <c r="D7002" i="1"/>
  <c r="D7004" i="1"/>
  <c r="D7005" i="1"/>
  <c r="D7007" i="1"/>
  <c r="D7009" i="1"/>
  <c r="D7010" i="1"/>
  <c r="D7012" i="1"/>
  <c r="D7014" i="1"/>
  <c r="D7015" i="1"/>
  <c r="D7016" i="1"/>
  <c r="D7018" i="1"/>
  <c r="D7019" i="1"/>
  <c r="D7020" i="1"/>
  <c r="D7022" i="1"/>
  <c r="D7023" i="1"/>
  <c r="D7024" i="1"/>
  <c r="D7026" i="1"/>
  <c r="D7028" i="1"/>
  <c r="D7030" i="1"/>
  <c r="D7031" i="1"/>
  <c r="D7033" i="1"/>
  <c r="D7035" i="1"/>
  <c r="D7036" i="1"/>
  <c r="D7039" i="1"/>
  <c r="D7040" i="1"/>
  <c r="D7042" i="1"/>
  <c r="D7043" i="1"/>
  <c r="D7045" i="1"/>
  <c r="D7046" i="1"/>
  <c r="D7047" i="1"/>
  <c r="D7049" i="1"/>
  <c r="D7050" i="1"/>
  <c r="D7051" i="1"/>
  <c r="D7052" i="1"/>
  <c r="D7054" i="1"/>
  <c r="D7055" i="1"/>
  <c r="D7057" i="1"/>
  <c r="D7058" i="1"/>
  <c r="D7059" i="1"/>
  <c r="D7061" i="1"/>
  <c r="D7062" i="1"/>
  <c r="D7063" i="1"/>
  <c r="D7064" i="1"/>
  <c r="D7066" i="1"/>
  <c r="D7069" i="1"/>
  <c r="D7070" i="1"/>
  <c r="D7071" i="1"/>
  <c r="D7073" i="1"/>
  <c r="D7074" i="1"/>
  <c r="D7076" i="1"/>
  <c r="D7077" i="1"/>
  <c r="D7079" i="1"/>
  <c r="D7080" i="1"/>
  <c r="D7082" i="1"/>
  <c r="D7083" i="1"/>
  <c r="D7085" i="1"/>
  <c r="D7086" i="1"/>
  <c r="D7088" i="1"/>
  <c r="D7089" i="1"/>
  <c r="D7090" i="1"/>
  <c r="D7091" i="1"/>
  <c r="D7092" i="1"/>
  <c r="D7094" i="1"/>
  <c r="D7095" i="1"/>
  <c r="D7097" i="1"/>
  <c r="D7098" i="1"/>
  <c r="D7099" i="1"/>
  <c r="D7100" i="1"/>
  <c r="D7102" i="1"/>
  <c r="D7103" i="1"/>
  <c r="D7104" i="1"/>
  <c r="D7105" i="1"/>
  <c r="D7106" i="1"/>
  <c r="D7108" i="1"/>
  <c r="D7109" i="1"/>
  <c r="D7110" i="1"/>
  <c r="D7111" i="1"/>
  <c r="D7112" i="1"/>
  <c r="D7113" i="1"/>
  <c r="D7114" i="1"/>
  <c r="D7116" i="1"/>
  <c r="D7117" i="1"/>
  <c r="D7118" i="1"/>
  <c r="D7119" i="1"/>
  <c r="D7120" i="1"/>
  <c r="D7121" i="1"/>
  <c r="D7122" i="1"/>
  <c r="D7123" i="1"/>
  <c r="D7124" i="1"/>
  <c r="D7125" i="1"/>
  <c r="D7126" i="1"/>
  <c r="D7127" i="1"/>
  <c r="D7128" i="1"/>
  <c r="D7129" i="1"/>
  <c r="D7131" i="1"/>
  <c r="D7132" i="1"/>
  <c r="D7133" i="1"/>
  <c r="D7134" i="1"/>
  <c r="D7135" i="1"/>
  <c r="D7136" i="1"/>
  <c r="D7137" i="1"/>
  <c r="D7138" i="1"/>
  <c r="D7139" i="1"/>
  <c r="D7140" i="1"/>
  <c r="D7141" i="1"/>
  <c r="D7142" i="1"/>
  <c r="D7143" i="1"/>
  <c r="D7144" i="1"/>
  <c r="D7145" i="1"/>
  <c r="D7146" i="1"/>
  <c r="D7147" i="1"/>
  <c r="D7148" i="1"/>
  <c r="D7149" i="1"/>
  <c r="D7150" i="1"/>
  <c r="D7151" i="1"/>
  <c r="D7152" i="1"/>
  <c r="D7154" i="1"/>
  <c r="D7155" i="1"/>
  <c r="D7156" i="1"/>
  <c r="D7158" i="1"/>
  <c r="D7159" i="1"/>
  <c r="D7160" i="1"/>
  <c r="D7161" i="1"/>
  <c r="D7165" i="1"/>
  <c r="D7166" i="1"/>
  <c r="D7167" i="1"/>
  <c r="D7168" i="1"/>
  <c r="D7169" i="1"/>
  <c r="D7170" i="1"/>
  <c r="D7171" i="1"/>
  <c r="D7172" i="1"/>
  <c r="D7173" i="1"/>
  <c r="D7174" i="1"/>
  <c r="D7175" i="1"/>
  <c r="D7177" i="1"/>
  <c r="D7178" i="1"/>
  <c r="D7179" i="1"/>
  <c r="D7180" i="1"/>
  <c r="D7181" i="1"/>
  <c r="D7182" i="1"/>
  <c r="D7183" i="1"/>
  <c r="D7185" i="1"/>
  <c r="D7186" i="1"/>
  <c r="D7187" i="1"/>
  <c r="D7188" i="1"/>
  <c r="D7189" i="1"/>
  <c r="D7190" i="1"/>
  <c r="D7191" i="1"/>
  <c r="D7193" i="1"/>
  <c r="D7194" i="1"/>
  <c r="D7195" i="1"/>
  <c r="D7196" i="1"/>
  <c r="D7197" i="1"/>
  <c r="D7198" i="1"/>
  <c r="D7199" i="1"/>
  <c r="D7200" i="1"/>
  <c r="D7201" i="1"/>
  <c r="D7202" i="1"/>
  <c r="D7203" i="1"/>
  <c r="D7204" i="1"/>
  <c r="D7206" i="1"/>
  <c r="D7207" i="1"/>
  <c r="D7208" i="1"/>
  <c r="D7209" i="1"/>
  <c r="D7210" i="1"/>
  <c r="D7211" i="1"/>
  <c r="D7212" i="1"/>
  <c r="D7213" i="1"/>
  <c r="D7214" i="1"/>
  <c r="D7215" i="1"/>
  <c r="D7218" i="1"/>
  <c r="D7219" i="1"/>
  <c r="D7220" i="1"/>
  <c r="D7221" i="1"/>
  <c r="D7222" i="1"/>
  <c r="D7223" i="1"/>
  <c r="D7224" i="1"/>
  <c r="D7225" i="1"/>
  <c r="D7226" i="1"/>
  <c r="D7228" i="1"/>
  <c r="D7229" i="1"/>
  <c r="D7230" i="1"/>
  <c r="D7231" i="1"/>
  <c r="D7232" i="1"/>
  <c r="D7233" i="1"/>
  <c r="D7234" i="1"/>
  <c r="D7235" i="1"/>
  <c r="D7236" i="1"/>
  <c r="D7237" i="1"/>
  <c r="D7238" i="1"/>
  <c r="D7240" i="1"/>
  <c r="D7241" i="1"/>
  <c r="D7242" i="1"/>
  <c r="D7243" i="1"/>
  <c r="D7244" i="1"/>
  <c r="D7245" i="1"/>
  <c r="D7246" i="1"/>
  <c r="D7247" i="1"/>
  <c r="D7248" i="1"/>
  <c r="D7249" i="1"/>
  <c r="D7250" i="1"/>
  <c r="D7253" i="1"/>
  <c r="D7256" i="1"/>
  <c r="D7257" i="1"/>
  <c r="D7258" i="1"/>
  <c r="D7259" i="1"/>
  <c r="D7260" i="1"/>
  <c r="D7261" i="1"/>
  <c r="D7262" i="1"/>
  <c r="D7263" i="1"/>
  <c r="D7264" i="1"/>
  <c r="D7265" i="1"/>
  <c r="D7267" i="1"/>
  <c r="D7268" i="1"/>
  <c r="D7269" i="1"/>
  <c r="D7270" i="1"/>
  <c r="D7271" i="1"/>
  <c r="D7272" i="1"/>
  <c r="D7273" i="1"/>
  <c r="D7275" i="1"/>
  <c r="D7276" i="1"/>
  <c r="D7277" i="1"/>
  <c r="D7278" i="1"/>
  <c r="D7279" i="1"/>
  <c r="D7280" i="1"/>
  <c r="D7283" i="1"/>
  <c r="D7284" i="1"/>
  <c r="D7285" i="1"/>
  <c r="D7286" i="1"/>
  <c r="D7287" i="1"/>
  <c r="D7288" i="1"/>
  <c r="D7289" i="1"/>
  <c r="D7290" i="1"/>
  <c r="D7291" i="1"/>
  <c r="D7292" i="1"/>
  <c r="D7294" i="1"/>
  <c r="D7295" i="1"/>
  <c r="D7296" i="1"/>
  <c r="D7297" i="1"/>
  <c r="D7298" i="1"/>
  <c r="D7300" i="1"/>
  <c r="D7301" i="1"/>
  <c r="D7302" i="1"/>
  <c r="D7304" i="1"/>
  <c r="D7305" i="1"/>
  <c r="D7306" i="1"/>
  <c r="D7307" i="1"/>
  <c r="D7310" i="1"/>
  <c r="D7311" i="1"/>
  <c r="D7312" i="1"/>
  <c r="D7313" i="1"/>
  <c r="D7314" i="1"/>
  <c r="D7315" i="1"/>
  <c r="D7316" i="1"/>
  <c r="D7317" i="1"/>
  <c r="D7318" i="1"/>
  <c r="D7320" i="1"/>
  <c r="D7321" i="1"/>
  <c r="D7322" i="1"/>
  <c r="D7323" i="1"/>
  <c r="D7324" i="1"/>
  <c r="D7325" i="1"/>
  <c r="D7327" i="1"/>
  <c r="D7328" i="1"/>
  <c r="D7329" i="1"/>
  <c r="D7330" i="1"/>
  <c r="D7331" i="1"/>
  <c r="D7333" i="1"/>
  <c r="D7334" i="1"/>
  <c r="D7335" i="1"/>
  <c r="D7336" i="1"/>
  <c r="D7337" i="1"/>
  <c r="D7338" i="1"/>
  <c r="D7339" i="1"/>
  <c r="D7340" i="1"/>
  <c r="D7341" i="1"/>
  <c r="D7343" i="1"/>
  <c r="D7344" i="1"/>
  <c r="D7345" i="1"/>
  <c r="D7346" i="1"/>
  <c r="D7347" i="1"/>
  <c r="D7350" i="1"/>
  <c r="D7351" i="1"/>
  <c r="D7352" i="1"/>
  <c r="D7353" i="1"/>
  <c r="D7354" i="1"/>
  <c r="D7355" i="1"/>
  <c r="D7356" i="1"/>
  <c r="D7357" i="1"/>
  <c r="D7358" i="1"/>
  <c r="D7360" i="1"/>
  <c r="D7361" i="1"/>
  <c r="D7363" i="1"/>
  <c r="D7364" i="1"/>
  <c r="D7365" i="1"/>
  <c r="D7366" i="1"/>
  <c r="D7367" i="1"/>
  <c r="D7368" i="1"/>
  <c r="D7369" i="1"/>
  <c r="D7370" i="1"/>
  <c r="D7371" i="1"/>
  <c r="D7372" i="1"/>
  <c r="D7375" i="1"/>
  <c r="D7376" i="1"/>
  <c r="D7377" i="1"/>
  <c r="D7378" i="1"/>
  <c r="D7379" i="1"/>
  <c r="D7380" i="1"/>
  <c r="D7382" i="1"/>
  <c r="D7383" i="1"/>
  <c r="D7384" i="1"/>
  <c r="D7386" i="1"/>
  <c r="D7387" i="1"/>
  <c r="D7388" i="1"/>
  <c r="D7391" i="1"/>
  <c r="D7392" i="1"/>
  <c r="D7394" i="1"/>
  <c r="D7395" i="1"/>
  <c r="D7396" i="1"/>
  <c r="D7397" i="1"/>
  <c r="D7398" i="1"/>
  <c r="D7399" i="1"/>
  <c r="D7400" i="1"/>
  <c r="D7402" i="1"/>
  <c r="D7403" i="1"/>
  <c r="D7404" i="1"/>
  <c r="D7406" i="1"/>
  <c r="D7407" i="1"/>
  <c r="D7410" i="1"/>
  <c r="D7411" i="1"/>
  <c r="D7412" i="1"/>
  <c r="D7413" i="1"/>
  <c r="D7414" i="1"/>
  <c r="D7416" i="1"/>
  <c r="D7417" i="1"/>
  <c r="D7418" i="1"/>
  <c r="D7419" i="1"/>
  <c r="D7420" i="1"/>
  <c r="D7421" i="1"/>
  <c r="D7422" i="1"/>
  <c r="D7423" i="1"/>
  <c r="D7424" i="1"/>
  <c r="D7425" i="1"/>
  <c r="D7426" i="1"/>
  <c r="D7427" i="1"/>
  <c r="D7428" i="1"/>
  <c r="D7429" i="1"/>
  <c r="D7430" i="1"/>
  <c r="D7431" i="1"/>
  <c r="D7436" i="1"/>
  <c r="D7437" i="1"/>
  <c r="D7438" i="1"/>
  <c r="D7439" i="1"/>
  <c r="D7440" i="1"/>
  <c r="D7441" i="1"/>
  <c r="D7442" i="1"/>
  <c r="D7444" i="1"/>
  <c r="D7445" i="1"/>
  <c r="D7446" i="1"/>
  <c r="D7447" i="1"/>
  <c r="D7448" i="1"/>
  <c r="D7449" i="1"/>
  <c r="D7451" i="1"/>
  <c r="D7452" i="1"/>
  <c r="D7453" i="1"/>
  <c r="D7454" i="1"/>
  <c r="D7455" i="1"/>
  <c r="D7456" i="1"/>
  <c r="D7458" i="1"/>
  <c r="D7459" i="1"/>
  <c r="D7462" i="1"/>
  <c r="D7463" i="1"/>
  <c r="D7464" i="1"/>
  <c r="D7465" i="1"/>
  <c r="D7466" i="1"/>
  <c r="D7467" i="1"/>
  <c r="D7468" i="1"/>
  <c r="D7469" i="1"/>
  <c r="D7470" i="1"/>
  <c r="D7471" i="1"/>
  <c r="D7472" i="1"/>
  <c r="D7473" i="1"/>
  <c r="D7474" i="1"/>
  <c r="D7476" i="1"/>
  <c r="D7477" i="1"/>
  <c r="D7478" i="1"/>
  <c r="D7479" i="1"/>
  <c r="D7480" i="1"/>
  <c r="D7481" i="1"/>
  <c r="D7482" i="1"/>
  <c r="D7483" i="1"/>
  <c r="D7484" i="1"/>
  <c r="D7485" i="1"/>
  <c r="D7486" i="1"/>
  <c r="D7487" i="1"/>
  <c r="D7488" i="1"/>
  <c r="D7489" i="1"/>
  <c r="D7490" i="1"/>
  <c r="D7491" i="1"/>
  <c r="D7493" i="1"/>
  <c r="D7494" i="1"/>
  <c r="D7495" i="1"/>
  <c r="D7496" i="1"/>
  <c r="D7498" i="1"/>
  <c r="D7499" i="1"/>
  <c r="D7500" i="1"/>
  <c r="D7501" i="1"/>
  <c r="D7502" i="1"/>
  <c r="D7503" i="1"/>
  <c r="D7506" i="1"/>
  <c r="D7508" i="1"/>
  <c r="D7510" i="1"/>
  <c r="D7511" i="1"/>
  <c r="D7513" i="1"/>
  <c r="D7514" i="1"/>
  <c r="D7515" i="1"/>
  <c r="D7516" i="1"/>
  <c r="D7517" i="1"/>
  <c r="D7518" i="1"/>
  <c r="D7519" i="1"/>
  <c r="D7520" i="1"/>
  <c r="D7521" i="1"/>
  <c r="D7522" i="1"/>
  <c r="D7523" i="1"/>
  <c r="D7524" i="1"/>
  <c r="D7525" i="1"/>
  <c r="D7526" i="1"/>
  <c r="D7530" i="1"/>
  <c r="D7531" i="1"/>
  <c r="D7532" i="1"/>
  <c r="D7533" i="1"/>
  <c r="D7534" i="1"/>
  <c r="D7535" i="1"/>
  <c r="D7536" i="1"/>
  <c r="D7537" i="1"/>
  <c r="D7538" i="1"/>
  <c r="D7539" i="1"/>
  <c r="D7540" i="1"/>
  <c r="D7541" i="1"/>
  <c r="D7542" i="1"/>
  <c r="D7543" i="1"/>
  <c r="D7544" i="1"/>
  <c r="D7545" i="1"/>
  <c r="D7546" i="1"/>
  <c r="D7547" i="1"/>
  <c r="D7548" i="1"/>
  <c r="D7549" i="1"/>
  <c r="D7550" i="1"/>
  <c r="D7552" i="1"/>
  <c r="D7553" i="1"/>
  <c r="D7554" i="1"/>
  <c r="D7555" i="1"/>
  <c r="D7556" i="1"/>
  <c r="D7557" i="1"/>
  <c r="D7558" i="1"/>
  <c r="D7559" i="1"/>
  <c r="D7560" i="1"/>
  <c r="D7561" i="1"/>
  <c r="D7562" i="1"/>
  <c r="D7563" i="1"/>
  <c r="D7565" i="1"/>
  <c r="D7566" i="1"/>
  <c r="D7567" i="1"/>
  <c r="D7568" i="1"/>
  <c r="D7569" i="1"/>
  <c r="D7572" i="1"/>
  <c r="D7573" i="1"/>
  <c r="D7574" i="1"/>
  <c r="D7575" i="1"/>
  <c r="D7576" i="1"/>
  <c r="D7577" i="1"/>
  <c r="D7578" i="1"/>
  <c r="D7579" i="1"/>
  <c r="D7580" i="1"/>
  <c r="D7581" i="1"/>
  <c r="D7582" i="1"/>
  <c r="D7583" i="1"/>
  <c r="D7584" i="1"/>
  <c r="D7585" i="1"/>
  <c r="D7587" i="1"/>
  <c r="D7588" i="1"/>
  <c r="D7589" i="1"/>
  <c r="D7590" i="1"/>
  <c r="D7591" i="1"/>
  <c r="D7592" i="1"/>
  <c r="D7593" i="1"/>
  <c r="D7594" i="1"/>
  <c r="D7595" i="1"/>
  <c r="D7596" i="1"/>
  <c r="D7598" i="1"/>
  <c r="D7599" i="1"/>
  <c r="D7600" i="1"/>
  <c r="D7601" i="1"/>
  <c r="D7602" i="1"/>
  <c r="D7603" i="1"/>
  <c r="D7604" i="1"/>
  <c r="D7605" i="1"/>
  <c r="D7606" i="1"/>
  <c r="D7607" i="1"/>
  <c r="D7608" i="1"/>
  <c r="D7609" i="1"/>
  <c r="D7610" i="1"/>
  <c r="D7611" i="1"/>
  <c r="D7612" i="1"/>
  <c r="D7613" i="1"/>
  <c r="D7614" i="1"/>
  <c r="D7615" i="1"/>
  <c r="D7617" i="1"/>
  <c r="D7618" i="1"/>
  <c r="D7619" i="1"/>
  <c r="D7620" i="1"/>
  <c r="D7621" i="1"/>
  <c r="D7622" i="1"/>
  <c r="D7623" i="1"/>
  <c r="D7624" i="1"/>
  <c r="D7625" i="1"/>
  <c r="D7626" i="1"/>
  <c r="D7627" i="1"/>
  <c r="D7628" i="1"/>
  <c r="D7630" i="1"/>
  <c r="D7631" i="1"/>
  <c r="D7632" i="1"/>
  <c r="D7633" i="1"/>
  <c r="D7634" i="1"/>
  <c r="D7635" i="1"/>
  <c r="D7636" i="1"/>
  <c r="D7637" i="1"/>
  <c r="D7638" i="1"/>
  <c r="D7639" i="1"/>
  <c r="D7640" i="1"/>
  <c r="D7644" i="1"/>
  <c r="D7646" i="1"/>
  <c r="D7648" i="1"/>
  <c r="D7649" i="1"/>
  <c r="D7650" i="1"/>
  <c r="D7651" i="1"/>
  <c r="D7652" i="1"/>
  <c r="D7653" i="1"/>
  <c r="D7654" i="1"/>
  <c r="D7656" i="1"/>
  <c r="D7657" i="1"/>
  <c r="D7658" i="1"/>
  <c r="D7659" i="1"/>
  <c r="D7660" i="1"/>
  <c r="D7661" i="1"/>
  <c r="D7662" i="1"/>
  <c r="D7663" i="1"/>
  <c r="D7664" i="1"/>
  <c r="D7665" i="1"/>
  <c r="D7666" i="1"/>
  <c r="D7667" i="1"/>
  <c r="D7669" i="1"/>
  <c r="D7670" i="1"/>
  <c r="D7672" i="1"/>
  <c r="D7675" i="1"/>
  <c r="D7677" i="1"/>
  <c r="D7678" i="1"/>
  <c r="D7679" i="1"/>
  <c r="D7683" i="1"/>
  <c r="D7684" i="1"/>
  <c r="D7685" i="1"/>
  <c r="D7686" i="1"/>
  <c r="D7687" i="1"/>
  <c r="D7689" i="1"/>
  <c r="D7690" i="1"/>
  <c r="D7691" i="1"/>
  <c r="D7692" i="1"/>
  <c r="D7693" i="1"/>
  <c r="D7695" i="1"/>
  <c r="D7697" i="1"/>
  <c r="D7698" i="1"/>
  <c r="D7699" i="1"/>
  <c r="D7700" i="1"/>
  <c r="D7702" i="1"/>
  <c r="D7704" i="1"/>
  <c r="D7705" i="1"/>
  <c r="D7708" i="1"/>
  <c r="D7709" i="1"/>
  <c r="D7711" i="1"/>
  <c r="D7713" i="1"/>
  <c r="D7715" i="1"/>
  <c r="D7716" i="1"/>
  <c r="D7720" i="1"/>
  <c r="D7721" i="1"/>
  <c r="D7722" i="1"/>
  <c r="D7723" i="1"/>
  <c r="D7724" i="1"/>
  <c r="D7725" i="1"/>
  <c r="D7727" i="1"/>
  <c r="D7728" i="1"/>
  <c r="D7729" i="1"/>
  <c r="D7730" i="1"/>
  <c r="D7732" i="1"/>
  <c r="D7733" i="1"/>
  <c r="D7734" i="1"/>
  <c r="D7735" i="1"/>
  <c r="D7736" i="1"/>
  <c r="D7737" i="1"/>
  <c r="D7738" i="1"/>
  <c r="D7739" i="1"/>
  <c r="D7740" i="1"/>
  <c r="D7742" i="1"/>
  <c r="D7743" i="1"/>
  <c r="D7744" i="1"/>
  <c r="D7745" i="1"/>
  <c r="D7746" i="1"/>
  <c r="D7747" i="1"/>
  <c r="D7748" i="1"/>
  <c r="D7749" i="1"/>
  <c r="D7750" i="1"/>
  <c r="D7751" i="1"/>
  <c r="D7753" i="1"/>
  <c r="D7754" i="1"/>
  <c r="D7755" i="1"/>
  <c r="D7756" i="1"/>
  <c r="D7757" i="1"/>
  <c r="D7759" i="1"/>
  <c r="D7760" i="1"/>
  <c r="D7761" i="1"/>
  <c r="D7762" i="1"/>
  <c r="D7763" i="1"/>
  <c r="D7764" i="1"/>
  <c r="D7765" i="1"/>
  <c r="D7766" i="1"/>
  <c r="D7767" i="1"/>
  <c r="D7768" i="1"/>
  <c r="D7770" i="1"/>
  <c r="D7771" i="1"/>
  <c r="D7773" i="1"/>
  <c r="D7774" i="1"/>
  <c r="D7776" i="1"/>
  <c r="D7777" i="1"/>
  <c r="D7778" i="1"/>
  <c r="D7779" i="1"/>
  <c r="D7780" i="1"/>
  <c r="D7781" i="1"/>
  <c r="D7783" i="1"/>
  <c r="D7785" i="1"/>
  <c r="D7786" i="1"/>
  <c r="D7789" i="1"/>
  <c r="D7790" i="1"/>
  <c r="D7791" i="1"/>
  <c r="D7792" i="1"/>
  <c r="D7793" i="1"/>
  <c r="D7794" i="1"/>
  <c r="D7795" i="1"/>
  <c r="D7796" i="1"/>
  <c r="D7797" i="1"/>
  <c r="D7798" i="1"/>
  <c r="D7799" i="1"/>
  <c r="D7800" i="1"/>
  <c r="D7801" i="1"/>
  <c r="D7802" i="1"/>
  <c r="D7804" i="1"/>
  <c r="D7805" i="1"/>
  <c r="D7806" i="1"/>
  <c r="D7807" i="1"/>
  <c r="D7808" i="1"/>
  <c r="D7809" i="1"/>
  <c r="D7810" i="1"/>
  <c r="D7811" i="1"/>
  <c r="D7812" i="1"/>
  <c r="D7813" i="1"/>
  <c r="D7814" i="1"/>
  <c r="D7815" i="1"/>
  <c r="D7816" i="1"/>
  <c r="D7817" i="1"/>
  <c r="D7818" i="1"/>
  <c r="D7819" i="1"/>
  <c r="D7820" i="1"/>
  <c r="D7821" i="1"/>
  <c r="D7822" i="1"/>
  <c r="D7824" i="1"/>
  <c r="D7825" i="1"/>
  <c r="D7826" i="1"/>
  <c r="D7827" i="1"/>
  <c r="D7828" i="1"/>
  <c r="D7829" i="1"/>
  <c r="D7831" i="1"/>
  <c r="D7832" i="1"/>
  <c r="D7833" i="1"/>
  <c r="D7834" i="1"/>
  <c r="D7835" i="1"/>
  <c r="D7836" i="1"/>
  <c r="D7837" i="1"/>
  <c r="D7838" i="1"/>
  <c r="D7839" i="1"/>
  <c r="D7840" i="1"/>
  <c r="D7841" i="1"/>
  <c r="D7842" i="1"/>
  <c r="D7843" i="1"/>
  <c r="D7844" i="1"/>
  <c r="D7845" i="1"/>
  <c r="D7846" i="1"/>
  <c r="D7847" i="1"/>
  <c r="D7848" i="1"/>
  <c r="D7849" i="1"/>
  <c r="D7850" i="1"/>
  <c r="D7851" i="1"/>
  <c r="D7853" i="1"/>
  <c r="D7854" i="1"/>
  <c r="D7855" i="1"/>
  <c r="D7856" i="1"/>
  <c r="D7857" i="1"/>
  <c r="D7858" i="1"/>
  <c r="D7859" i="1"/>
  <c r="D7860" i="1"/>
  <c r="D7861" i="1"/>
  <c r="D7862" i="1"/>
  <c r="D7863" i="1"/>
  <c r="D7864" i="1"/>
  <c r="D7865" i="1"/>
  <c r="D7866" i="1"/>
  <c r="D7867" i="1"/>
  <c r="D7868" i="1"/>
  <c r="D7869" i="1"/>
  <c r="D7870" i="1"/>
  <c r="D7871" i="1"/>
  <c r="D7872" i="1"/>
  <c r="D7873" i="1"/>
  <c r="D7874" i="1"/>
  <c r="D7876" i="1"/>
  <c r="D7877" i="1"/>
  <c r="D7879" i="1"/>
  <c r="D7881" i="1"/>
  <c r="D7882" i="1"/>
  <c r="D7883" i="1"/>
  <c r="D7884" i="1"/>
  <c r="D7885" i="1"/>
  <c r="D7886" i="1"/>
  <c r="D7887" i="1"/>
  <c r="D7888" i="1"/>
  <c r="D7889" i="1"/>
  <c r="D7890" i="1"/>
  <c r="D7891" i="1"/>
  <c r="D7892" i="1"/>
  <c r="D7893" i="1"/>
  <c r="D7894" i="1"/>
  <c r="D7897" i="1"/>
  <c r="D7898" i="1"/>
  <c r="D7899" i="1"/>
  <c r="D7900" i="1"/>
  <c r="D7901" i="1"/>
  <c r="D7902" i="1"/>
  <c r="D7903" i="1"/>
  <c r="D7904" i="1"/>
  <c r="D7905" i="1"/>
  <c r="D7906" i="1"/>
  <c r="D7907" i="1"/>
  <c r="D7908" i="1"/>
  <c r="D7909" i="1"/>
  <c r="D7910" i="1"/>
  <c r="D7911" i="1"/>
  <c r="D7912" i="1"/>
  <c r="D7913" i="1"/>
  <c r="D7914" i="1"/>
  <c r="D7915" i="1"/>
  <c r="D7916" i="1"/>
  <c r="D7917" i="1"/>
  <c r="D7918" i="1"/>
  <c r="D7919" i="1"/>
  <c r="D7920" i="1"/>
  <c r="D7921" i="1"/>
  <c r="D7923" i="1"/>
  <c r="D7924" i="1"/>
  <c r="D7925" i="1"/>
  <c r="D7926" i="1"/>
  <c r="D7927" i="1"/>
  <c r="D7928" i="1"/>
  <c r="D7929" i="1"/>
  <c r="D7930" i="1"/>
  <c r="D7931" i="1"/>
  <c r="D7932" i="1"/>
  <c r="D7933" i="1"/>
  <c r="D7934" i="1"/>
  <c r="D7935" i="1"/>
  <c r="D7937" i="1"/>
  <c r="D7938" i="1"/>
  <c r="D7939" i="1"/>
  <c r="D7940" i="1"/>
  <c r="D7941" i="1"/>
  <c r="D7942" i="1"/>
  <c r="D7943" i="1"/>
  <c r="D7944" i="1"/>
  <c r="D7945" i="1"/>
  <c r="D7946" i="1"/>
  <c r="D7948" i="1"/>
  <c r="D7949" i="1"/>
  <c r="D7950" i="1"/>
  <c r="D7951" i="1"/>
  <c r="D7952" i="1"/>
  <c r="D7953" i="1"/>
  <c r="D7954" i="1"/>
  <c r="D7955" i="1"/>
  <c r="D7956" i="1"/>
  <c r="D7957" i="1"/>
  <c r="D7958" i="1"/>
  <c r="D7959" i="1"/>
  <c r="D7960" i="1"/>
  <c r="D7961" i="1"/>
  <c r="D7962" i="1"/>
  <c r="D7965" i="1"/>
  <c r="D7966" i="1"/>
  <c r="D7967" i="1"/>
  <c r="D7968" i="1"/>
  <c r="D7969" i="1"/>
  <c r="D7970" i="1"/>
  <c r="D7971" i="1"/>
  <c r="D7972" i="1"/>
  <c r="D7973" i="1"/>
  <c r="D7974" i="1"/>
  <c r="D7975" i="1"/>
  <c r="D7976" i="1"/>
  <c r="D7977" i="1"/>
  <c r="D7978" i="1"/>
  <c r="D7979" i="1"/>
  <c r="D7980" i="1"/>
  <c r="D7981" i="1"/>
  <c r="D7983" i="1"/>
  <c r="D7984" i="1"/>
  <c r="D7985" i="1"/>
  <c r="D7987" i="1"/>
  <c r="D7988" i="1"/>
  <c r="D7989" i="1"/>
  <c r="D7991" i="1"/>
  <c r="D7992" i="1"/>
  <c r="D7994" i="1"/>
  <c r="D7995" i="1"/>
  <c r="D7996" i="1"/>
  <c r="D7997" i="1"/>
  <c r="D8001" i="1"/>
  <c r="D8002" i="1"/>
  <c r="D8003" i="1"/>
  <c r="D8004" i="1"/>
  <c r="D8005" i="1"/>
  <c r="D8006" i="1"/>
  <c r="D8007" i="1"/>
  <c r="D8008" i="1"/>
  <c r="D8009" i="1"/>
  <c r="D8010" i="1"/>
  <c r="D8011" i="1"/>
  <c r="D8012" i="1"/>
  <c r="D8013" i="1"/>
  <c r="D8014" i="1"/>
  <c r="D8015" i="1"/>
  <c r="D8016" i="1"/>
  <c r="D8017" i="1"/>
  <c r="D8018" i="1"/>
  <c r="D8019" i="1"/>
  <c r="D8020" i="1"/>
  <c r="D8021" i="1"/>
  <c r="D8022" i="1"/>
  <c r="D8023" i="1"/>
  <c r="D8024" i="1"/>
  <c r="D8026" i="1"/>
  <c r="D8027" i="1"/>
  <c r="D8028" i="1"/>
  <c r="D8029" i="1"/>
  <c r="D8030" i="1"/>
  <c r="D8031" i="1"/>
  <c r="D8032" i="1"/>
  <c r="D8033" i="1"/>
  <c r="D8034" i="1"/>
  <c r="D8035" i="1"/>
  <c r="D8036" i="1"/>
  <c r="D8037" i="1"/>
  <c r="D8039" i="1"/>
  <c r="D8040" i="1"/>
  <c r="D8041" i="1"/>
  <c r="D8042" i="1"/>
  <c r="D8044" i="1"/>
  <c r="D8046" i="1"/>
  <c r="D8048" i="1"/>
  <c r="D8049" i="1"/>
  <c r="D8050" i="1"/>
  <c r="D8051" i="1"/>
  <c r="D8054" i="1"/>
  <c r="D8055" i="1"/>
  <c r="D8056" i="1"/>
  <c r="D8057" i="1"/>
  <c r="D8058" i="1"/>
  <c r="D8059" i="1"/>
  <c r="D8061" i="1"/>
  <c r="D8062" i="1"/>
  <c r="D8063" i="1"/>
  <c r="D8064" i="1"/>
  <c r="D8066" i="1"/>
  <c r="D8067" i="1"/>
  <c r="D8068" i="1"/>
  <c r="D8069" i="1"/>
  <c r="D8070" i="1"/>
  <c r="D8071" i="1"/>
  <c r="D8072" i="1"/>
  <c r="D8073" i="1"/>
  <c r="D8074" i="1"/>
  <c r="D8075" i="1"/>
  <c r="D8077" i="1"/>
  <c r="D8078" i="1"/>
  <c r="D8079" i="1"/>
  <c r="D8080" i="1"/>
  <c r="D8081" i="1"/>
  <c r="D8082" i="1"/>
  <c r="D8083" i="1"/>
  <c r="D8084" i="1"/>
  <c r="D8086" i="1"/>
  <c r="D8087" i="1"/>
  <c r="D8089" i="1"/>
  <c r="D8090" i="1"/>
  <c r="D8092" i="1"/>
  <c r="D8093" i="1"/>
  <c r="D8094" i="1"/>
  <c r="D8095" i="1"/>
  <c r="D8096" i="1"/>
  <c r="D8097" i="1"/>
  <c r="D8099" i="1"/>
  <c r="D8100" i="1"/>
  <c r="D8101" i="1"/>
  <c r="D8102" i="1"/>
  <c r="D8103" i="1"/>
  <c r="D8104" i="1"/>
  <c r="D8105" i="1"/>
  <c r="D8106" i="1"/>
  <c r="D8107" i="1"/>
  <c r="D8108" i="1"/>
  <c r="D8109" i="1"/>
  <c r="D8110" i="1"/>
  <c r="D8111" i="1"/>
  <c r="D8112" i="1"/>
  <c r="D8113" i="1"/>
  <c r="D8114" i="1"/>
  <c r="D8115" i="1"/>
  <c r="D8118" i="1"/>
  <c r="D8119" i="1"/>
  <c r="D8120" i="1"/>
  <c r="D8121" i="1"/>
  <c r="D8122" i="1"/>
  <c r="D8123" i="1"/>
  <c r="D8124" i="1"/>
  <c r="D8125" i="1"/>
  <c r="D8126" i="1"/>
  <c r="D8127" i="1"/>
  <c r="D8128" i="1"/>
  <c r="D8129" i="1"/>
  <c r="D8130" i="1"/>
  <c r="D8131" i="1"/>
  <c r="D8132" i="1"/>
  <c r="D8133" i="1"/>
  <c r="D8134" i="1"/>
  <c r="D8135" i="1"/>
  <c r="D8137" i="1"/>
  <c r="D8138" i="1"/>
  <c r="D8139" i="1"/>
  <c r="D8140" i="1"/>
  <c r="D8141" i="1"/>
  <c r="D8142" i="1"/>
  <c r="D8143" i="1"/>
  <c r="D8144" i="1"/>
  <c r="D8145" i="1"/>
  <c r="D8146" i="1"/>
  <c r="D8147" i="1"/>
  <c r="D8148" i="1"/>
  <c r="D8149" i="1"/>
  <c r="D8150" i="1"/>
  <c r="D8151" i="1"/>
  <c r="D8152" i="1"/>
  <c r="D8153" i="1"/>
  <c r="D8154" i="1"/>
  <c r="D8155" i="1"/>
  <c r="D8156" i="1"/>
  <c r="D8157" i="1"/>
  <c r="D8158" i="1"/>
  <c r="D8159" i="1"/>
  <c r="D8161" i="1"/>
  <c r="D8162" i="1"/>
  <c r="D8164" i="1"/>
  <c r="D8165" i="1"/>
  <c r="D8166" i="1"/>
  <c r="D8167" i="1"/>
  <c r="D8168" i="1"/>
  <c r="D8169" i="1"/>
  <c r="D8170" i="1"/>
  <c r="D8171" i="1"/>
  <c r="D8172" i="1"/>
  <c r="D8173" i="1"/>
  <c r="D8174" i="1"/>
  <c r="D8175" i="1"/>
  <c r="D8176" i="1"/>
  <c r="D8177" i="1"/>
  <c r="D8178" i="1"/>
  <c r="D8179" i="1"/>
  <c r="D8180" i="1"/>
  <c r="D8181" i="1"/>
  <c r="D8182" i="1"/>
  <c r="D8183" i="1"/>
  <c r="D8184" i="1"/>
  <c r="D8185" i="1"/>
  <c r="D8186" i="1"/>
  <c r="D8187" i="1"/>
  <c r="D8188" i="1"/>
  <c r="D8189" i="1"/>
  <c r="D8190" i="1"/>
  <c r="D8191" i="1"/>
  <c r="D8192" i="1"/>
  <c r="D8193" i="1"/>
  <c r="D8194" i="1"/>
  <c r="D8195" i="1"/>
  <c r="D8196" i="1"/>
  <c r="D8197" i="1"/>
  <c r="D8198" i="1"/>
  <c r="D8199" i="1"/>
  <c r="D8200" i="1"/>
  <c r="D8201" i="1"/>
  <c r="D8202" i="1"/>
  <c r="D8203" i="1"/>
  <c r="D8204" i="1"/>
  <c r="D8205" i="1"/>
  <c r="D8206" i="1"/>
  <c r="D8207" i="1"/>
  <c r="D8208" i="1"/>
  <c r="D8209" i="1"/>
  <c r="D8210" i="1"/>
  <c r="D8211" i="1"/>
  <c r="D8213" i="1"/>
  <c r="D8214" i="1"/>
  <c r="D8215" i="1"/>
  <c r="D8217" i="1"/>
  <c r="D8218" i="1"/>
  <c r="D8219" i="1"/>
  <c r="D8220" i="1"/>
  <c r="D8221" i="1"/>
  <c r="D8224" i="1"/>
  <c r="D8225" i="1"/>
  <c r="D8226" i="1"/>
  <c r="D8227" i="1"/>
  <c r="D8228" i="1"/>
  <c r="D8229" i="1"/>
  <c r="D8230" i="1"/>
  <c r="D8231" i="1"/>
  <c r="D8232" i="1"/>
  <c r="D8233" i="1"/>
  <c r="D8234" i="1"/>
  <c r="D8235" i="1"/>
  <c r="D8236" i="1"/>
  <c r="D8237" i="1"/>
  <c r="D8238" i="1"/>
  <c r="D8239" i="1"/>
  <c r="D8240" i="1"/>
  <c r="D8241" i="1"/>
  <c r="D8242" i="1"/>
  <c r="D8243" i="1"/>
  <c r="D8244" i="1"/>
  <c r="D8245" i="1"/>
  <c r="D8246" i="1"/>
  <c r="D8247" i="1"/>
  <c r="D8248" i="1"/>
  <c r="D8249" i="1"/>
  <c r="D8250" i="1"/>
  <c r="D8251" i="1"/>
  <c r="D8252" i="1"/>
  <c r="D8253" i="1"/>
  <c r="D8254" i="1"/>
  <c r="D8255" i="1"/>
  <c r="D8256" i="1"/>
  <c r="D8257" i="1"/>
  <c r="D8258" i="1"/>
  <c r="D8259" i="1"/>
  <c r="D8260" i="1"/>
  <c r="D8261" i="1"/>
  <c r="D8262" i="1"/>
  <c r="D8263" i="1"/>
  <c r="D8264" i="1"/>
  <c r="D8265" i="1"/>
  <c r="D8266" i="1"/>
  <c r="D8267" i="1"/>
  <c r="D8268" i="1"/>
  <c r="D8269" i="1"/>
  <c r="D8270" i="1"/>
  <c r="D8271" i="1"/>
  <c r="D8272" i="1"/>
  <c r="D8273" i="1"/>
  <c r="D8274" i="1"/>
  <c r="D8275" i="1"/>
  <c r="D8276" i="1"/>
  <c r="D8277" i="1"/>
  <c r="D8278" i="1"/>
  <c r="D8279" i="1"/>
  <c r="D8280" i="1"/>
  <c r="D8281" i="1"/>
  <c r="D8282" i="1"/>
  <c r="D8283" i="1"/>
  <c r="D8284" i="1"/>
  <c r="D8285" i="1"/>
  <c r="D8286" i="1"/>
  <c r="D8287" i="1"/>
  <c r="D8288" i="1"/>
  <c r="D8289" i="1"/>
  <c r="D8290" i="1"/>
  <c r="D8291" i="1"/>
  <c r="D8292" i="1"/>
  <c r="D8293" i="1"/>
  <c r="D8294" i="1"/>
  <c r="D8295" i="1"/>
  <c r="D8297" i="1"/>
  <c r="D8298" i="1"/>
  <c r="D8299" i="1"/>
  <c r="D8300" i="1"/>
  <c r="D8301" i="1"/>
  <c r="D8302" i="1"/>
  <c r="D8303" i="1"/>
  <c r="D8304" i="1"/>
  <c r="D8306" i="1"/>
  <c r="D8307" i="1"/>
  <c r="D8308" i="1"/>
  <c r="D8309" i="1"/>
  <c r="D8312" i="1"/>
  <c r="D8313" i="1"/>
  <c r="D8314" i="1"/>
  <c r="D8315" i="1"/>
  <c r="D8316" i="1"/>
  <c r="D8317" i="1"/>
  <c r="D8318" i="1"/>
  <c r="D8319" i="1"/>
  <c r="D8320" i="1"/>
  <c r="D8321" i="1"/>
  <c r="D8322" i="1"/>
  <c r="D8323" i="1"/>
  <c r="D8324" i="1"/>
  <c r="D8325" i="1"/>
  <c r="D8326" i="1"/>
  <c r="D8327" i="1"/>
  <c r="D8328" i="1"/>
  <c r="D8329" i="1"/>
  <c r="D8331" i="1"/>
  <c r="D8332" i="1"/>
  <c r="D8334" i="1"/>
  <c r="D8335" i="1"/>
  <c r="D8337" i="1"/>
  <c r="D8338" i="1"/>
  <c r="D8341" i="1"/>
  <c r="D8343" i="1"/>
  <c r="D8344" i="1"/>
  <c r="D8345" i="1"/>
  <c r="D8346" i="1"/>
  <c r="D8347" i="1"/>
  <c r="D8348" i="1"/>
  <c r="D8349" i="1"/>
  <c r="D8350" i="1"/>
  <c r="D8351" i="1"/>
  <c r="D8352" i="1"/>
  <c r="D8353" i="1"/>
  <c r="D8355" i="1"/>
  <c r="D8356" i="1"/>
  <c r="D8357" i="1"/>
  <c r="D8358" i="1"/>
  <c r="D8359" i="1"/>
  <c r="D8360" i="1"/>
  <c r="D8362" i="1"/>
  <c r="D8363" i="1"/>
  <c r="D8364" i="1"/>
  <c r="D8370" i="1"/>
  <c r="D8371" i="1"/>
  <c r="D8372" i="1"/>
  <c r="D8373" i="1"/>
  <c r="D8374" i="1"/>
  <c r="D8375" i="1"/>
  <c r="D8376" i="1"/>
  <c r="D8377" i="1"/>
  <c r="D8378" i="1"/>
  <c r="D8379" i="1"/>
  <c r="D8380" i="1"/>
  <c r="D8381" i="1"/>
  <c r="D8382" i="1"/>
  <c r="D8383" i="1"/>
  <c r="D8384" i="1"/>
  <c r="D8385" i="1"/>
  <c r="D8386" i="1"/>
  <c r="D8387" i="1"/>
  <c r="D8388" i="1"/>
  <c r="D8389" i="1"/>
  <c r="D8390" i="1"/>
  <c r="D8391" i="1"/>
  <c r="D8392" i="1"/>
  <c r="D8393" i="1"/>
  <c r="D8394" i="1"/>
  <c r="D8395" i="1"/>
  <c r="D8396" i="1"/>
  <c r="D8397" i="1"/>
  <c r="D8398" i="1"/>
  <c r="D8399" i="1"/>
  <c r="D8401" i="1"/>
  <c r="D8402" i="1"/>
  <c r="D8403" i="1"/>
  <c r="D8404" i="1"/>
  <c r="D8405" i="1"/>
  <c r="D8406" i="1"/>
  <c r="D8407" i="1"/>
  <c r="D8408" i="1"/>
  <c r="D8409" i="1"/>
  <c r="D8410" i="1"/>
  <c r="D8411" i="1"/>
  <c r="D8412" i="1"/>
  <c r="D8414" i="1"/>
  <c r="D8415" i="1"/>
  <c r="D8416" i="1"/>
  <c r="D8417" i="1"/>
  <c r="D8418" i="1"/>
  <c r="D8420" i="1"/>
  <c r="D8421" i="1"/>
  <c r="D8422" i="1"/>
  <c r="D8423" i="1"/>
  <c r="D8424" i="1"/>
  <c r="D8425" i="1"/>
  <c r="D8427" i="1"/>
  <c r="D8428" i="1"/>
  <c r="D8429" i="1"/>
  <c r="D8430" i="1"/>
  <c r="D8431" i="1"/>
  <c r="D8432" i="1"/>
  <c r="D8433" i="1"/>
  <c r="D8434" i="1"/>
  <c r="D8435" i="1"/>
  <c r="D8436" i="1"/>
  <c r="D8437" i="1"/>
  <c r="D8438" i="1"/>
  <c r="D8439" i="1"/>
  <c r="D8440" i="1"/>
  <c r="D8441" i="1"/>
  <c r="D8443" i="1"/>
  <c r="D8444" i="1"/>
  <c r="D8445" i="1"/>
  <c r="D8446" i="1"/>
  <c r="D8447" i="1"/>
  <c r="D8448" i="1"/>
  <c r="D8449" i="1"/>
  <c r="D8450" i="1"/>
  <c r="D8451" i="1"/>
  <c r="D8452" i="1"/>
  <c r="D8453" i="1"/>
  <c r="D8454" i="1"/>
  <c r="D8455" i="1"/>
  <c r="D8456" i="1"/>
  <c r="D8457" i="1"/>
  <c r="D8458" i="1"/>
  <c r="D8459" i="1"/>
  <c r="D8460" i="1"/>
  <c r="D8461" i="1"/>
  <c r="D8462" i="1"/>
  <c r="D8463" i="1"/>
  <c r="D8464" i="1"/>
  <c r="D8466" i="1"/>
  <c r="D8467" i="1"/>
  <c r="D8468" i="1"/>
  <c r="D8469" i="1"/>
  <c r="D8470" i="1"/>
  <c r="D8471" i="1"/>
  <c r="D8472" i="1"/>
  <c r="D8473" i="1"/>
  <c r="D8474" i="1"/>
  <c r="D8475" i="1"/>
  <c r="D8476" i="1"/>
  <c r="D8477" i="1"/>
  <c r="D8478" i="1"/>
  <c r="D8479" i="1"/>
  <c r="D8480" i="1"/>
  <c r="D8481" i="1"/>
  <c r="D8482" i="1"/>
  <c r="D8483" i="1"/>
  <c r="D8484" i="1"/>
  <c r="D8485" i="1"/>
  <c r="D8486" i="1"/>
  <c r="D8487" i="1"/>
  <c r="D8488" i="1"/>
  <c r="D8491" i="1"/>
  <c r="D8492" i="1"/>
  <c r="D8493" i="1"/>
  <c r="D8494" i="1"/>
  <c r="D8495" i="1"/>
  <c r="D8496" i="1"/>
  <c r="D8497" i="1"/>
  <c r="D8498" i="1"/>
  <c r="D8499" i="1"/>
  <c r="D8500" i="1"/>
  <c r="D8501" i="1"/>
  <c r="D8502" i="1"/>
  <c r="D8503" i="1"/>
  <c r="D8504" i="1"/>
  <c r="D8505" i="1"/>
  <c r="D8506" i="1"/>
  <c r="D8508" i="1"/>
  <c r="D8509" i="1"/>
  <c r="D8510" i="1"/>
  <c r="D8513" i="1"/>
  <c r="D8514" i="1"/>
  <c r="D8515" i="1"/>
  <c r="D8517" i="1"/>
  <c r="D8518" i="1"/>
  <c r="D8519" i="1"/>
  <c r="D8520" i="1"/>
  <c r="D8521" i="1"/>
  <c r="D8522" i="1"/>
  <c r="D8523" i="1"/>
  <c r="D8524" i="1"/>
  <c r="D8525" i="1"/>
  <c r="D8526" i="1"/>
  <c r="D8527" i="1"/>
  <c r="D8528" i="1"/>
  <c r="D8530" i="1"/>
  <c r="D8531" i="1"/>
  <c r="D8532" i="1"/>
  <c r="D8533" i="1"/>
  <c r="D8534" i="1"/>
  <c r="D8535" i="1"/>
  <c r="D8536" i="1"/>
  <c r="D8537" i="1"/>
  <c r="D8538" i="1"/>
  <c r="D8540" i="1"/>
  <c r="D8541" i="1"/>
  <c r="D8542" i="1"/>
  <c r="D8543" i="1"/>
  <c r="D8544" i="1"/>
  <c r="D8545" i="1"/>
  <c r="D8546" i="1"/>
  <c r="D8547" i="1"/>
  <c r="D8548" i="1"/>
  <c r="D8549" i="1"/>
  <c r="D8550" i="1"/>
  <c r="D8552" i="1"/>
  <c r="D8553" i="1"/>
  <c r="D8554" i="1"/>
  <c r="D8555" i="1"/>
  <c r="D8556" i="1"/>
  <c r="D8557" i="1"/>
  <c r="D8559" i="1"/>
  <c r="D8560" i="1"/>
  <c r="D8561" i="1"/>
  <c r="D8562" i="1"/>
  <c r="D8563" i="1"/>
  <c r="D8564" i="1"/>
  <c r="D8565" i="1"/>
  <c r="D8566" i="1"/>
  <c r="D8567" i="1"/>
  <c r="D8568" i="1"/>
  <c r="D8570" i="1"/>
  <c r="D8571" i="1"/>
  <c r="D8572" i="1"/>
  <c r="D8573" i="1"/>
  <c r="D8574" i="1"/>
  <c r="D8575" i="1"/>
  <c r="D8576" i="1"/>
  <c r="D8577" i="1"/>
  <c r="D8579" i="1"/>
  <c r="D8580" i="1"/>
  <c r="D8581" i="1"/>
  <c r="D8582" i="1"/>
  <c r="D8583" i="1"/>
  <c r="D8584" i="1"/>
  <c r="D8585" i="1"/>
  <c r="D8586" i="1"/>
  <c r="D8587" i="1"/>
  <c r="D8588" i="1"/>
  <c r="D8589" i="1"/>
  <c r="D8590" i="1"/>
  <c r="D8591" i="1"/>
  <c r="D8592" i="1"/>
  <c r="D8593" i="1"/>
  <c r="D8594" i="1"/>
  <c r="D8595" i="1"/>
  <c r="D8596" i="1"/>
  <c r="D8597" i="1"/>
  <c r="D8599" i="1"/>
  <c r="D8600" i="1"/>
  <c r="D8601" i="1"/>
  <c r="D8602" i="1"/>
  <c r="D8603" i="1"/>
  <c r="D8604" i="1"/>
  <c r="D8605" i="1"/>
  <c r="D8606" i="1"/>
  <c r="D8607" i="1"/>
  <c r="D8609" i="1"/>
  <c r="D8610" i="1"/>
  <c r="D8613" i="1"/>
  <c r="D8615" i="1"/>
  <c r="D8616" i="1"/>
  <c r="D8617" i="1"/>
  <c r="D8619" i="1"/>
  <c r="D8620" i="1"/>
  <c r="D8621" i="1"/>
  <c r="D8622" i="1"/>
  <c r="D8623" i="1"/>
  <c r="D8624" i="1"/>
  <c r="D8625" i="1"/>
  <c r="D8626" i="1"/>
  <c r="D8627" i="1"/>
  <c r="D8628" i="1"/>
  <c r="D8629" i="1"/>
  <c r="D8630" i="1"/>
  <c r="D8631" i="1"/>
  <c r="D8632" i="1"/>
  <c r="D8633" i="1"/>
  <c r="D8634" i="1"/>
  <c r="D8635" i="1"/>
  <c r="D8636" i="1"/>
  <c r="D8637" i="1"/>
  <c r="D8638" i="1"/>
  <c r="D8639" i="1"/>
  <c r="D8640" i="1"/>
  <c r="D8641" i="1"/>
  <c r="D8642" i="1"/>
  <c r="D8643" i="1"/>
  <c r="D8644" i="1"/>
  <c r="D8645" i="1"/>
  <c r="D8646" i="1"/>
  <c r="D8647" i="1"/>
  <c r="D8648" i="1"/>
  <c r="D8649" i="1"/>
  <c r="D8650" i="1"/>
  <c r="D8652" i="1"/>
  <c r="D8653" i="1"/>
  <c r="D8654" i="1"/>
  <c r="D8655" i="1"/>
  <c r="D8656" i="1"/>
  <c r="D8659" i="1"/>
  <c r="D8660" i="1"/>
  <c r="D8661" i="1"/>
  <c r="D8662" i="1"/>
  <c r="D8663" i="1"/>
  <c r="D8664" i="1"/>
  <c r="D8667" i="1"/>
  <c r="D8668" i="1"/>
  <c r="D8669" i="1"/>
  <c r="D8671" i="1"/>
  <c r="D8672" i="1"/>
  <c r="D8673" i="1"/>
  <c r="D8674" i="1"/>
  <c r="D8675" i="1"/>
  <c r="D8677" i="1"/>
  <c r="D8678" i="1"/>
  <c r="D8679" i="1"/>
  <c r="D8680" i="1"/>
  <c r="D8681" i="1"/>
  <c r="D8682" i="1"/>
  <c r="D8683" i="1"/>
  <c r="D8684" i="1"/>
  <c r="D8685" i="1"/>
  <c r="D8687" i="1"/>
  <c r="D8688" i="1"/>
  <c r="D8691" i="1"/>
  <c r="D8693" i="1"/>
  <c r="D8694" i="1"/>
  <c r="D8695" i="1"/>
  <c r="D8696" i="1"/>
  <c r="D8697" i="1"/>
  <c r="D8698" i="1"/>
  <c r="D8699" i="1"/>
  <c r="D8700" i="1"/>
  <c r="D8701" i="1"/>
  <c r="D8702" i="1"/>
  <c r="D8703" i="1"/>
  <c r="D8704" i="1"/>
  <c r="D8706" i="1"/>
  <c r="D8707" i="1"/>
  <c r="D8710" i="1"/>
  <c r="D8711" i="1"/>
  <c r="D8713" i="1"/>
  <c r="D8714" i="1"/>
  <c r="D8715" i="1"/>
  <c r="D8716" i="1"/>
  <c r="D8717" i="1"/>
  <c r="D8718" i="1"/>
  <c r="D8719" i="1"/>
  <c r="D8720" i="1"/>
  <c r="D8721" i="1"/>
  <c r="D8722" i="1"/>
  <c r="D8723" i="1"/>
  <c r="D8724" i="1"/>
  <c r="D8725" i="1"/>
  <c r="D8726" i="1"/>
  <c r="D8727" i="1"/>
  <c r="D8728" i="1"/>
  <c r="D8729" i="1"/>
  <c r="D8731" i="1"/>
  <c r="D8732" i="1"/>
  <c r="D8734" i="1"/>
  <c r="D8737" i="1"/>
  <c r="D8738" i="1"/>
  <c r="D8739" i="1"/>
  <c r="D8740" i="1"/>
  <c r="D8741" i="1"/>
  <c r="D8742" i="1"/>
  <c r="D8743" i="1"/>
  <c r="D8744" i="1"/>
  <c r="D8745" i="1"/>
  <c r="D8747" i="1"/>
  <c r="D8748" i="1"/>
  <c r="D8749" i="1"/>
  <c r="D8750" i="1"/>
  <c r="D8751" i="1"/>
  <c r="D8752" i="1"/>
  <c r="D8753" i="1"/>
  <c r="D8754" i="1"/>
  <c r="D8755" i="1"/>
  <c r="D8757" i="1"/>
  <c r="D8758" i="1"/>
  <c r="D8759" i="1"/>
  <c r="D8760" i="1"/>
  <c r="D8761" i="1"/>
  <c r="D8762" i="1"/>
  <c r="D8763" i="1"/>
  <c r="D8764" i="1"/>
  <c r="D8765" i="1"/>
  <c r="D8767" i="1"/>
  <c r="D8771" i="1"/>
  <c r="D8772" i="1"/>
  <c r="D8773" i="1"/>
  <c r="D8774" i="1"/>
  <c r="D8775" i="1"/>
  <c r="D8776" i="1"/>
  <c r="D8777" i="1"/>
  <c r="D8778" i="1"/>
  <c r="D8779" i="1"/>
  <c r="D8780" i="1"/>
  <c r="D8781" i="1"/>
  <c r="D8782" i="1"/>
  <c r="D8783" i="1"/>
  <c r="D8784" i="1"/>
  <c r="D8785" i="1"/>
  <c r="D8786" i="1"/>
  <c r="D8787" i="1"/>
  <c r="D8788" i="1"/>
  <c r="D8789" i="1"/>
  <c r="D8790" i="1"/>
  <c r="D8791" i="1"/>
  <c r="D8792" i="1"/>
  <c r="D8793" i="1"/>
  <c r="D8794" i="1"/>
  <c r="D8795" i="1"/>
  <c r="D8796" i="1"/>
  <c r="D8798" i="1"/>
  <c r="D8799" i="1"/>
  <c r="D8800" i="1"/>
  <c r="D8801" i="1"/>
  <c r="D8802" i="1"/>
  <c r="D8803" i="1"/>
  <c r="D8804" i="1"/>
  <c r="D8805" i="1"/>
  <c r="D8806" i="1"/>
  <c r="D8807" i="1"/>
  <c r="D8808" i="1"/>
  <c r="D8809" i="1"/>
  <c r="D8811" i="1"/>
  <c r="D8812" i="1"/>
  <c r="D8813" i="1"/>
  <c r="D8814" i="1"/>
  <c r="D8816" i="1"/>
  <c r="D8817" i="1"/>
  <c r="D8818" i="1"/>
  <c r="D8819" i="1"/>
  <c r="D8820" i="1"/>
  <c r="D8822" i="1"/>
  <c r="D8823" i="1"/>
  <c r="D8825" i="1"/>
  <c r="D8826" i="1"/>
  <c r="D8828" i="1"/>
  <c r="D8829" i="1"/>
  <c r="D8830" i="1"/>
  <c r="D8831" i="1"/>
  <c r="D8832" i="1"/>
  <c r="D8833" i="1"/>
  <c r="D8834" i="1"/>
  <c r="D8835" i="1"/>
  <c r="D8836" i="1"/>
  <c r="D8837" i="1"/>
  <c r="D8838" i="1"/>
  <c r="D8839" i="1"/>
  <c r="D8840" i="1"/>
  <c r="D8841" i="1"/>
  <c r="D8842" i="1"/>
  <c r="D8843" i="1"/>
  <c r="D8844" i="1"/>
  <c r="D8845" i="1"/>
  <c r="D8846" i="1"/>
  <c r="D8847" i="1"/>
  <c r="D8848" i="1"/>
  <c r="D8849" i="1"/>
  <c r="D8850" i="1"/>
  <c r="D8851" i="1"/>
  <c r="D8852" i="1"/>
  <c r="D8853" i="1"/>
  <c r="D8854" i="1"/>
  <c r="D8856" i="1"/>
  <c r="D8857" i="1"/>
  <c r="D8858" i="1"/>
  <c r="D8859" i="1"/>
  <c r="D8860" i="1"/>
  <c r="D8861" i="1"/>
  <c r="D8862" i="1"/>
  <c r="D8863" i="1"/>
  <c r="D8864" i="1"/>
  <c r="D8865" i="1"/>
  <c r="D8866" i="1"/>
  <c r="D8867" i="1"/>
  <c r="D8868" i="1"/>
  <c r="D8870" i="1"/>
  <c r="D8871" i="1"/>
  <c r="D8873" i="1"/>
  <c r="D8874" i="1"/>
  <c r="D8875" i="1"/>
  <c r="D8876" i="1"/>
  <c r="D8877" i="1"/>
  <c r="D8878" i="1"/>
  <c r="D8879" i="1"/>
  <c r="D8880" i="1"/>
  <c r="D8881" i="1"/>
  <c r="D8882" i="1"/>
  <c r="D8883" i="1"/>
  <c r="D8884" i="1"/>
  <c r="D8885" i="1"/>
  <c r="D8887" i="1"/>
  <c r="D8888" i="1"/>
  <c r="D8889" i="1"/>
  <c r="D8890" i="1"/>
  <c r="D8891" i="1"/>
  <c r="D8893" i="1"/>
  <c r="D8894" i="1"/>
  <c r="D8895" i="1"/>
  <c r="D8896" i="1"/>
  <c r="D8897" i="1"/>
  <c r="D8898" i="1"/>
  <c r="D8899" i="1"/>
  <c r="D8900" i="1"/>
  <c r="D8901" i="1"/>
  <c r="D8903" i="1"/>
  <c r="D8904" i="1"/>
  <c r="D8905" i="1"/>
  <c r="D8906" i="1"/>
  <c r="D8907" i="1"/>
  <c r="D8908" i="1"/>
  <c r="D8909" i="1"/>
  <c r="D8910" i="1"/>
  <c r="D8912" i="1"/>
  <c r="D8913" i="1"/>
  <c r="D8914" i="1"/>
  <c r="D8917" i="1"/>
  <c r="D8918" i="1"/>
  <c r="D8919" i="1"/>
  <c r="D8920" i="1"/>
  <c r="D8921" i="1"/>
  <c r="D8922" i="1"/>
  <c r="D8924" i="1"/>
  <c r="D8925" i="1"/>
  <c r="D8926" i="1"/>
  <c r="D8927" i="1"/>
  <c r="D8928" i="1"/>
  <c r="D8929" i="1"/>
  <c r="D8930" i="1"/>
  <c r="D8932" i="1"/>
  <c r="D8935" i="1"/>
  <c r="D8936" i="1"/>
  <c r="D8937" i="1"/>
  <c r="D8938" i="1"/>
  <c r="D8939" i="1"/>
  <c r="D8940" i="1"/>
  <c r="D8941" i="1"/>
  <c r="D8942" i="1"/>
  <c r="D8943" i="1"/>
  <c r="D8944" i="1"/>
  <c r="D8945" i="1"/>
  <c r="D8946" i="1"/>
  <c r="D8947" i="1"/>
  <c r="D8948" i="1"/>
  <c r="D8949" i="1"/>
  <c r="D8950" i="1"/>
  <c r="D8951" i="1"/>
  <c r="D8952" i="1"/>
  <c r="D8953" i="1"/>
  <c r="D8954" i="1"/>
  <c r="D8955" i="1"/>
  <c r="D8956" i="1"/>
  <c r="D8957" i="1"/>
  <c r="D8958" i="1"/>
  <c r="D8959" i="1"/>
  <c r="D8960" i="1"/>
  <c r="D8961" i="1"/>
  <c r="D8962" i="1"/>
  <c r="D8964" i="1"/>
  <c r="D8965" i="1"/>
  <c r="D8966" i="1"/>
  <c r="D8967" i="1"/>
  <c r="D8968" i="1"/>
  <c r="D8969" i="1"/>
  <c r="D8970" i="1"/>
  <c r="D8971" i="1"/>
  <c r="D8972" i="1"/>
  <c r="D8973" i="1"/>
  <c r="D8974" i="1"/>
  <c r="D8975" i="1"/>
  <c r="D8976" i="1"/>
  <c r="D8977" i="1"/>
  <c r="D8978" i="1"/>
  <c r="D8979" i="1"/>
  <c r="D8980" i="1"/>
  <c r="D8981" i="1"/>
  <c r="D8982" i="1"/>
  <c r="D8983" i="1"/>
  <c r="D8984" i="1"/>
  <c r="D8985" i="1"/>
  <c r="D8986" i="1"/>
  <c r="D8987" i="1"/>
  <c r="D8988" i="1"/>
  <c r="D8990" i="1"/>
  <c r="D8991" i="1"/>
  <c r="D8992" i="1"/>
  <c r="D8993" i="1"/>
  <c r="D8994" i="1"/>
  <c r="D8995" i="1"/>
  <c r="D8996" i="1"/>
  <c r="D8997" i="1"/>
  <c r="D9000" i="1"/>
  <c r="D9003" i="1"/>
  <c r="D9004" i="1"/>
  <c r="D9005" i="1"/>
  <c r="D9006" i="1"/>
  <c r="D9007" i="1"/>
  <c r="D9008" i="1"/>
  <c r="D9009" i="1"/>
  <c r="D9010" i="1"/>
  <c r="D9011" i="1"/>
  <c r="D9013" i="1"/>
  <c r="D9014" i="1"/>
  <c r="D9015" i="1"/>
  <c r="D9016" i="1"/>
  <c r="D9017" i="1"/>
  <c r="D9019" i="1"/>
  <c r="D9020" i="1"/>
  <c r="D9021" i="1"/>
  <c r="D9022" i="1"/>
  <c r="D9023" i="1"/>
  <c r="D9024" i="1"/>
  <c r="D9026" i="1"/>
  <c r="D9027" i="1"/>
  <c r="D9030" i="1"/>
  <c r="D9031" i="1"/>
  <c r="D9032" i="1"/>
  <c r="D9033" i="1"/>
  <c r="D9034" i="1"/>
  <c r="D9035" i="1"/>
  <c r="D9036" i="1"/>
  <c r="D9038" i="1"/>
  <c r="D9039" i="1"/>
  <c r="D9043" i="1"/>
  <c r="D9044" i="1"/>
  <c r="D9045" i="1"/>
  <c r="D9046" i="1"/>
  <c r="D9047" i="1"/>
  <c r="D9048" i="1"/>
  <c r="D9049" i="1"/>
  <c r="D9050" i="1"/>
  <c r="D9051" i="1"/>
  <c r="D9052" i="1"/>
  <c r="D9053" i="1"/>
  <c r="D9054" i="1"/>
  <c r="D9055" i="1"/>
  <c r="D9056" i="1"/>
  <c r="D9057" i="1"/>
  <c r="D9058" i="1"/>
  <c r="D9059" i="1"/>
  <c r="D9061" i="1"/>
  <c r="D9062" i="1"/>
  <c r="D9063" i="1"/>
  <c r="D9064" i="1"/>
  <c r="D9065" i="1"/>
  <c r="D9066" i="1"/>
  <c r="D9067" i="1"/>
  <c r="D9068" i="1"/>
  <c r="D9069" i="1"/>
  <c r="D9071" i="1"/>
  <c r="D9074" i="1"/>
  <c r="D9075" i="1"/>
  <c r="D9076" i="1"/>
  <c r="D9077" i="1"/>
  <c r="D9078" i="1"/>
  <c r="D9079" i="1"/>
  <c r="D9080" i="1"/>
  <c r="D9081" i="1"/>
  <c r="D9082" i="1"/>
  <c r="D9083" i="1"/>
  <c r="D9084" i="1"/>
  <c r="D9085" i="1"/>
  <c r="D9086" i="1"/>
  <c r="D9087" i="1"/>
  <c r="D9088" i="1"/>
  <c r="D9089" i="1"/>
  <c r="D9090" i="1"/>
  <c r="D9091" i="1"/>
  <c r="D9093" i="1"/>
  <c r="D9094" i="1"/>
  <c r="D9095" i="1"/>
  <c r="D9096" i="1"/>
  <c r="D9097" i="1"/>
  <c r="D9098" i="1"/>
  <c r="D9100" i="1"/>
  <c r="D9101" i="1"/>
  <c r="D9102" i="1"/>
  <c r="D9103" i="1"/>
  <c r="D9106" i="1"/>
  <c r="D9107" i="1"/>
  <c r="D9109" i="1"/>
  <c r="D9113" i="1"/>
  <c r="D9114" i="1"/>
  <c r="D9115" i="1"/>
  <c r="D9116" i="1"/>
  <c r="D9117" i="1"/>
  <c r="D9119" i="1"/>
  <c r="D9120" i="1"/>
  <c r="D9121" i="1"/>
  <c r="D9123" i="1"/>
  <c r="D9124" i="1"/>
  <c r="D9125" i="1"/>
  <c r="D9126" i="1"/>
  <c r="D9127" i="1"/>
  <c r="D9128" i="1"/>
  <c r="D9130" i="1"/>
  <c r="D9131" i="1"/>
  <c r="D9132" i="1"/>
  <c r="D9133" i="1"/>
  <c r="D9134" i="1"/>
  <c r="D9135" i="1"/>
  <c r="D9136" i="1"/>
  <c r="D9137" i="1"/>
  <c r="D9138" i="1"/>
  <c r="D9139" i="1"/>
  <c r="D9140" i="1"/>
  <c r="D9141" i="1"/>
  <c r="D9142" i="1"/>
  <c r="D9143" i="1"/>
  <c r="D9144" i="1"/>
  <c r="D9145" i="1"/>
  <c r="D9146" i="1"/>
  <c r="D9147" i="1"/>
  <c r="D9148" i="1"/>
  <c r="D9150" i="1"/>
  <c r="D9151" i="1"/>
  <c r="D9152" i="1"/>
  <c r="D9154" i="1"/>
  <c r="D9155" i="1"/>
  <c r="D9156" i="1"/>
  <c r="D9157" i="1"/>
  <c r="D9160" i="1"/>
  <c r="D9161" i="1"/>
  <c r="D9162" i="1"/>
  <c r="D9163" i="1"/>
  <c r="D9164" i="1"/>
  <c r="D9165" i="1"/>
  <c r="D9166" i="1"/>
  <c r="D9167" i="1"/>
  <c r="D9168" i="1"/>
  <c r="D9169" i="1"/>
  <c r="D9170" i="1"/>
  <c r="D9171" i="1"/>
  <c r="D9172" i="1"/>
  <c r="D9173" i="1"/>
  <c r="D9174" i="1"/>
  <c r="D9175" i="1"/>
  <c r="D9176" i="1"/>
  <c r="D9177" i="1"/>
  <c r="D9178" i="1"/>
  <c r="D9179" i="1"/>
  <c r="D9180" i="1"/>
  <c r="D9181" i="1"/>
  <c r="D9182" i="1"/>
  <c r="D9183" i="1"/>
  <c r="D9184" i="1"/>
  <c r="D9185" i="1"/>
  <c r="D9186" i="1"/>
  <c r="D9187" i="1"/>
  <c r="D9188" i="1"/>
  <c r="D9189" i="1"/>
  <c r="D9191" i="1"/>
  <c r="D9192" i="1"/>
  <c r="D9193" i="1"/>
  <c r="D9195" i="1"/>
  <c r="D9196" i="1"/>
  <c r="D9197" i="1"/>
  <c r="D9198" i="1"/>
  <c r="D9199" i="1"/>
  <c r="D9200" i="1"/>
  <c r="D9201" i="1"/>
  <c r="D9202" i="1"/>
  <c r="D9203" i="1"/>
  <c r="D9204" i="1"/>
  <c r="D9205" i="1"/>
  <c r="D9206" i="1"/>
  <c r="D9207" i="1"/>
  <c r="D9208" i="1"/>
  <c r="D9209" i="1"/>
  <c r="D9210" i="1"/>
  <c r="D9211" i="1"/>
  <c r="D9214" i="1"/>
  <c r="D9215" i="1"/>
  <c r="D9216" i="1"/>
  <c r="D9217" i="1"/>
  <c r="D9218" i="1"/>
  <c r="D9219" i="1"/>
  <c r="D9221" i="1"/>
  <c r="D9222" i="1"/>
  <c r="D9223" i="1"/>
  <c r="D9224" i="1"/>
  <c r="D9225" i="1"/>
  <c r="D9226" i="1"/>
  <c r="D9227" i="1"/>
  <c r="D9228" i="1"/>
  <c r="D9229" i="1"/>
  <c r="D9230" i="1"/>
  <c r="D9232" i="1"/>
  <c r="D9233" i="1"/>
  <c r="D9234" i="1"/>
  <c r="D9235" i="1"/>
  <c r="D9237" i="1"/>
  <c r="D9240" i="1"/>
  <c r="D9241" i="1"/>
  <c r="D9242" i="1"/>
  <c r="D9243" i="1"/>
  <c r="D9244" i="1"/>
  <c r="D9245" i="1"/>
  <c r="D9246" i="1"/>
  <c r="D9247" i="1"/>
  <c r="D9248" i="1"/>
  <c r="D9249" i="1"/>
  <c r="D9250" i="1"/>
  <c r="D9251" i="1"/>
  <c r="D9252" i="1"/>
  <c r="D9253" i="1"/>
  <c r="D9254" i="1"/>
  <c r="D9255" i="1"/>
  <c r="D9256" i="1"/>
  <c r="D9257" i="1"/>
  <c r="D9258" i="1"/>
  <c r="D9259" i="1"/>
  <c r="D9261" i="1"/>
  <c r="D9262" i="1"/>
  <c r="D9263" i="1"/>
  <c r="D9264" i="1"/>
  <c r="D9266" i="1"/>
  <c r="D9267" i="1"/>
  <c r="D9268" i="1"/>
  <c r="D9269" i="1"/>
  <c r="D9270" i="1"/>
  <c r="D9271" i="1"/>
  <c r="D9272" i="1"/>
  <c r="D9273" i="1"/>
  <c r="D9274" i="1"/>
  <c r="D9275" i="1"/>
  <c r="D9276" i="1"/>
  <c r="D9277" i="1"/>
  <c r="D9281" i="1"/>
  <c r="D9282" i="1"/>
  <c r="D9283" i="1"/>
  <c r="D9286" i="1"/>
  <c r="D9287" i="1"/>
  <c r="D9288" i="1"/>
  <c r="D9289" i="1"/>
  <c r="D9290" i="1"/>
  <c r="D9291" i="1"/>
  <c r="D9292" i="1"/>
  <c r="D9293" i="1"/>
  <c r="D9294" i="1"/>
  <c r="D9295" i="1"/>
  <c r="D9296" i="1"/>
  <c r="D9297" i="1"/>
  <c r="D9298" i="1"/>
  <c r="D9299" i="1"/>
  <c r="D9300" i="1"/>
  <c r="D9301" i="1"/>
  <c r="D9305" i="1"/>
  <c r="D9306" i="1"/>
  <c r="D9307" i="1"/>
  <c r="D9308" i="1"/>
  <c r="D9309" i="1"/>
  <c r="D9310" i="1"/>
  <c r="D9311" i="1"/>
  <c r="D9312" i="1"/>
  <c r="D9313" i="1"/>
  <c r="D9314" i="1"/>
  <c r="D9315" i="1"/>
  <c r="D9316" i="1"/>
  <c r="D9317" i="1"/>
  <c r="D9318" i="1"/>
  <c r="D9319" i="1"/>
  <c r="D9320" i="1"/>
  <c r="D9321" i="1"/>
  <c r="D9322" i="1"/>
  <c r="D9323" i="1"/>
  <c r="D9324" i="1"/>
  <c r="D9325" i="1"/>
  <c r="D9326" i="1"/>
  <c r="D9327" i="1"/>
  <c r="D9328" i="1"/>
  <c r="D9329" i="1"/>
  <c r="D9330" i="1"/>
  <c r="D9331" i="1"/>
  <c r="D9332" i="1"/>
  <c r="D9333" i="1"/>
  <c r="D9334" i="1"/>
  <c r="D9335" i="1"/>
  <c r="D9336" i="1"/>
  <c r="D9337" i="1"/>
  <c r="D9338" i="1"/>
  <c r="D9339" i="1"/>
  <c r="D9340" i="1"/>
  <c r="D9341" i="1"/>
  <c r="D9342" i="1"/>
  <c r="D9343" i="1"/>
  <c r="D9344" i="1"/>
  <c r="D9345" i="1"/>
  <c r="D9346" i="1"/>
  <c r="D9347" i="1"/>
  <c r="D9348" i="1"/>
  <c r="D9349" i="1"/>
  <c r="D9351" i="1"/>
  <c r="D9352" i="1"/>
  <c r="D9353" i="1"/>
  <c r="D9354" i="1"/>
  <c r="D9355" i="1"/>
  <c r="D9356" i="1"/>
  <c r="D9357" i="1"/>
  <c r="D9358" i="1"/>
  <c r="D9359" i="1"/>
  <c r="D9360" i="1"/>
  <c r="D9361" i="1"/>
  <c r="D9362" i="1"/>
  <c r="D9363" i="1"/>
  <c r="D9364" i="1"/>
  <c r="D9365" i="1"/>
  <c r="D9366" i="1"/>
  <c r="D9367" i="1"/>
  <c r="D9368" i="1"/>
  <c r="D9370" i="1"/>
  <c r="D9371" i="1"/>
  <c r="D9372" i="1"/>
  <c r="D9373" i="1"/>
  <c r="D9374" i="1"/>
  <c r="D9375" i="1"/>
  <c r="D9376" i="1"/>
  <c r="D9377" i="1"/>
  <c r="D9379" i="1"/>
  <c r="D9380" i="1"/>
  <c r="D9381" i="1"/>
  <c r="D9382" i="1"/>
  <c r="D9383" i="1"/>
  <c r="D9384" i="1"/>
  <c r="D9385" i="1"/>
  <c r="D9386" i="1"/>
  <c r="D9388" i="1"/>
  <c r="D9389" i="1"/>
  <c r="D9390" i="1"/>
  <c r="D9392" i="1"/>
  <c r="D9393" i="1"/>
  <c r="D9396" i="1"/>
  <c r="D9397" i="1"/>
  <c r="D9398" i="1"/>
  <c r="D9399" i="1"/>
  <c r="D9400" i="1"/>
  <c r="D9402" i="1"/>
  <c r="D9403" i="1"/>
  <c r="D9404" i="1"/>
  <c r="D9405" i="1"/>
  <c r="D9406" i="1"/>
  <c r="D9408" i="1"/>
  <c r="D9409" i="1"/>
  <c r="D9411" i="1"/>
  <c r="D9412" i="1"/>
  <c r="D9413" i="1"/>
  <c r="D9414" i="1"/>
  <c r="D9415" i="1"/>
  <c r="D9416" i="1"/>
  <c r="D9417" i="1"/>
  <c r="D9418" i="1"/>
  <c r="D9419" i="1"/>
  <c r="D9420" i="1"/>
  <c r="D9421" i="1"/>
  <c r="D9422" i="1"/>
  <c r="D9423" i="1"/>
  <c r="D9424" i="1"/>
  <c r="D9425" i="1"/>
  <c r="D9426" i="1"/>
  <c r="D9427" i="1"/>
  <c r="D9428" i="1"/>
  <c r="D9429" i="1"/>
  <c r="D9430" i="1"/>
  <c r="D9431" i="1"/>
  <c r="D9432" i="1"/>
  <c r="D9435" i="1"/>
  <c r="D9436" i="1"/>
  <c r="D9437" i="1"/>
  <c r="D9438" i="1"/>
  <c r="D9439" i="1"/>
  <c r="D9440" i="1"/>
  <c r="D9441" i="1"/>
  <c r="D9442" i="1"/>
  <c r="D9443" i="1"/>
  <c r="D9444" i="1"/>
  <c r="D9446" i="1"/>
  <c r="D9447" i="1"/>
  <c r="D9448" i="1"/>
  <c r="D9450" i="1"/>
  <c r="D9453" i="1"/>
  <c r="D9454" i="1"/>
  <c r="D9455" i="1"/>
  <c r="D9456" i="1"/>
  <c r="D9457" i="1"/>
  <c r="D9458" i="1"/>
  <c r="D9459" i="1"/>
  <c r="D9460" i="1"/>
  <c r="D9461" i="1"/>
  <c r="D9462" i="1"/>
  <c r="D9463" i="1"/>
  <c r="D9464" i="1"/>
  <c r="D9465" i="1"/>
  <c r="D9466" i="1"/>
  <c r="D9467" i="1"/>
  <c r="D9468" i="1"/>
  <c r="D9469" i="1"/>
  <c r="D9470" i="1"/>
  <c r="D9471" i="1"/>
  <c r="D9472" i="1"/>
  <c r="D9473" i="1"/>
  <c r="D9474" i="1"/>
  <c r="D9475" i="1"/>
  <c r="D9477" i="1"/>
  <c r="D9478" i="1"/>
  <c r="D9479" i="1"/>
  <c r="D9480" i="1"/>
  <c r="D9481" i="1"/>
  <c r="D9482" i="1"/>
  <c r="D9483" i="1"/>
  <c r="D9484" i="1"/>
  <c r="D9486" i="1"/>
  <c r="D9487" i="1"/>
  <c r="D9488" i="1"/>
  <c r="D9489" i="1"/>
  <c r="D9490" i="1"/>
  <c r="D9492" i="1"/>
  <c r="D9493" i="1"/>
  <c r="D9494" i="1"/>
  <c r="D9495" i="1"/>
  <c r="D9496" i="1"/>
  <c r="D9497" i="1"/>
  <c r="D9498" i="1"/>
  <c r="D9499" i="1"/>
  <c r="D9500" i="1"/>
  <c r="D9501" i="1"/>
  <c r="D9502" i="1"/>
  <c r="D9503" i="1"/>
  <c r="D9504" i="1"/>
  <c r="D9505" i="1"/>
  <c r="D9506" i="1"/>
  <c r="D9507" i="1"/>
  <c r="D9508" i="1"/>
  <c r="D9509" i="1"/>
  <c r="D9510" i="1"/>
  <c r="D9511" i="1"/>
  <c r="D9512" i="1"/>
  <c r="D9513" i="1"/>
  <c r="D9514" i="1"/>
  <c r="D9515" i="1"/>
  <c r="D9516" i="1"/>
  <c r="D9517" i="1"/>
  <c r="D9518" i="1"/>
  <c r="D9519" i="1"/>
  <c r="D9520" i="1"/>
  <c r="D9521" i="1"/>
  <c r="D9522" i="1"/>
  <c r="D9523" i="1"/>
  <c r="D9524" i="1"/>
  <c r="D9525" i="1"/>
  <c r="D9526" i="1"/>
  <c r="D9527" i="1"/>
  <c r="D9528" i="1"/>
  <c r="D9529" i="1"/>
  <c r="D9530" i="1"/>
  <c r="D9531" i="1"/>
  <c r="D9532" i="1"/>
  <c r="D9533" i="1"/>
  <c r="D9534" i="1"/>
  <c r="D9535" i="1"/>
  <c r="D9536" i="1"/>
  <c r="D9537" i="1"/>
  <c r="D9538" i="1"/>
  <c r="D9539" i="1"/>
  <c r="D9540" i="1"/>
  <c r="D9541" i="1"/>
  <c r="D9542" i="1"/>
  <c r="D9543" i="1"/>
  <c r="D9545" i="1"/>
  <c r="D9546" i="1"/>
  <c r="D9547" i="1"/>
  <c r="D9548" i="1"/>
  <c r="D9549" i="1"/>
  <c r="D9550" i="1"/>
  <c r="D9551" i="1"/>
  <c r="D9552" i="1"/>
  <c r="D9553" i="1"/>
  <c r="D9554" i="1"/>
  <c r="D9555" i="1"/>
  <c r="D9556" i="1"/>
  <c r="D9557" i="1"/>
  <c r="D9558" i="1"/>
  <c r="D9559" i="1"/>
  <c r="D9560" i="1"/>
  <c r="D9561" i="1"/>
  <c r="D9562" i="1"/>
  <c r="D9563" i="1"/>
  <c r="D9564" i="1"/>
  <c r="D9565" i="1"/>
  <c r="D9566" i="1"/>
  <c r="D9567" i="1"/>
  <c r="D9568" i="1"/>
  <c r="D9569" i="1"/>
  <c r="D9570" i="1"/>
  <c r="D9571" i="1"/>
  <c r="D9572" i="1"/>
  <c r="D9573" i="1"/>
  <c r="D9574" i="1"/>
  <c r="D9575" i="1"/>
  <c r="D9576" i="1"/>
  <c r="D9577" i="1"/>
  <c r="D9579" i="1"/>
  <c r="D9580" i="1"/>
  <c r="D9582" i="1"/>
  <c r="D9583" i="1"/>
  <c r="D9584" i="1"/>
  <c r="D9585" i="1"/>
  <c r="D9586" i="1"/>
  <c r="D9587" i="1"/>
  <c r="D9589" i="1"/>
  <c r="D9590" i="1"/>
  <c r="D9593" i="1"/>
  <c r="D9595" i="1"/>
  <c r="D9599" i="1"/>
  <c r="D9600" i="1"/>
  <c r="D9602" i="1"/>
  <c r="D9603" i="1"/>
  <c r="D9605" i="1"/>
  <c r="D9606" i="1"/>
  <c r="D9609" i="1"/>
  <c r="D9610" i="1"/>
  <c r="D9612" i="1"/>
  <c r="D9613" i="1"/>
  <c r="D9614" i="1"/>
  <c r="D9615" i="1"/>
  <c r="D9616" i="1"/>
  <c r="D9617" i="1"/>
  <c r="D9618" i="1"/>
  <c r="D9619" i="1"/>
  <c r="D9620" i="1"/>
  <c r="D9621" i="1"/>
  <c r="D9623" i="1"/>
  <c r="D9624" i="1"/>
  <c r="D9625" i="1"/>
  <c r="D9626" i="1"/>
  <c r="D9627" i="1"/>
  <c r="D9628" i="1"/>
  <c r="D9629" i="1"/>
  <c r="D9630" i="1"/>
  <c r="D9631" i="1"/>
  <c r="D9632" i="1"/>
  <c r="D9633" i="1"/>
  <c r="D9634" i="1"/>
  <c r="D9635" i="1"/>
  <c r="D9636" i="1"/>
  <c r="D9637" i="1"/>
  <c r="D9638" i="1"/>
  <c r="D9639" i="1"/>
  <c r="D9640" i="1"/>
  <c r="D9641" i="1"/>
  <c r="D9642" i="1"/>
  <c r="D9643" i="1"/>
  <c r="D9644" i="1"/>
  <c r="D9645" i="1"/>
  <c r="D9646" i="1"/>
  <c r="D9647" i="1"/>
  <c r="D9648" i="1"/>
  <c r="D9649" i="1"/>
  <c r="D9650" i="1"/>
  <c r="D9651" i="1"/>
  <c r="D9652" i="1"/>
  <c r="D9653" i="1"/>
  <c r="D9655" i="1"/>
  <c r="D9658" i="1"/>
  <c r="D9659" i="1"/>
  <c r="D9660" i="1"/>
  <c r="D9661" i="1"/>
  <c r="D9662" i="1"/>
  <c r="D9664" i="1"/>
  <c r="D9665" i="1"/>
  <c r="D9666" i="1"/>
  <c r="D9667" i="1"/>
  <c r="D9668" i="1"/>
  <c r="D9669" i="1"/>
  <c r="D9670" i="1"/>
  <c r="D9673" i="1"/>
  <c r="D9675" i="1"/>
  <c r="D9678" i="1"/>
  <c r="D9679" i="1"/>
  <c r="D9680" i="1"/>
  <c r="D9681" i="1"/>
  <c r="D9682" i="1"/>
  <c r="D9683" i="1"/>
  <c r="D9684" i="1"/>
  <c r="D9685" i="1"/>
  <c r="D9687" i="1"/>
  <c r="D9688" i="1"/>
  <c r="D9689" i="1"/>
  <c r="D9690" i="1"/>
  <c r="D9691" i="1"/>
  <c r="D9692" i="1"/>
  <c r="D9693" i="1"/>
  <c r="D9694" i="1"/>
  <c r="D9695" i="1"/>
  <c r="D9697" i="1"/>
  <c r="D9698" i="1"/>
  <c r="D9699" i="1"/>
  <c r="D9700" i="1"/>
  <c r="D9701" i="1"/>
  <c r="D9702" i="1"/>
  <c r="D9703" i="1"/>
  <c r="D9704" i="1"/>
  <c r="D9705" i="1"/>
  <c r="D9706" i="1"/>
  <c r="D9707" i="1"/>
  <c r="D9708" i="1"/>
  <c r="D9710" i="1"/>
  <c r="D9711" i="1"/>
  <c r="D9712" i="1"/>
  <c r="D9713" i="1"/>
  <c r="D9714" i="1"/>
  <c r="D9715" i="1"/>
  <c r="D9716" i="1"/>
  <c r="D9717" i="1"/>
  <c r="D9718" i="1"/>
  <c r="D9719" i="1"/>
  <c r="D9720" i="1"/>
  <c r="D9721" i="1"/>
  <c r="D9723" i="1"/>
  <c r="D9724" i="1"/>
  <c r="D9725" i="1"/>
  <c r="D9726" i="1"/>
  <c r="D9727" i="1"/>
  <c r="D9728" i="1"/>
  <c r="D9733" i="1"/>
  <c r="D9734" i="1"/>
  <c r="D9735" i="1"/>
  <c r="D9736" i="1"/>
  <c r="D9737" i="1"/>
  <c r="D9738" i="1"/>
  <c r="D9739" i="1"/>
  <c r="D9740" i="1"/>
  <c r="D9741" i="1"/>
  <c r="D9742" i="1"/>
  <c r="D9743" i="1"/>
  <c r="D9744" i="1"/>
  <c r="D9745" i="1"/>
  <c r="D9746" i="1"/>
  <c r="D9747" i="1"/>
  <c r="D9748" i="1"/>
  <c r="D9749" i="1"/>
  <c r="D9750" i="1"/>
  <c r="D9751" i="1"/>
  <c r="D9753" i="1"/>
  <c r="D9754" i="1"/>
  <c r="D9755" i="1"/>
  <c r="D9756" i="1"/>
  <c r="D9757" i="1"/>
  <c r="D9758" i="1"/>
  <c r="D9759" i="1"/>
  <c r="D9760" i="1"/>
  <c r="D9761" i="1"/>
  <c r="D9762" i="1"/>
  <c r="D9763" i="1"/>
  <c r="D9764" i="1"/>
  <c r="D9765" i="1"/>
  <c r="D9766" i="1"/>
  <c r="D9767" i="1"/>
  <c r="D9768" i="1"/>
  <c r="D9770" i="1"/>
  <c r="D9771" i="1"/>
  <c r="D9772" i="1"/>
  <c r="D9773" i="1"/>
  <c r="D9774" i="1"/>
  <c r="D9775" i="1"/>
  <c r="D9776" i="1"/>
  <c r="D9778" i="1"/>
  <c r="D9779" i="1"/>
  <c r="D9780" i="1"/>
  <c r="D9781" i="1"/>
  <c r="D9782" i="1"/>
  <c r="D9783" i="1"/>
  <c r="D9784" i="1"/>
  <c r="D9785" i="1"/>
  <c r="D9786" i="1"/>
  <c r="D9787" i="1"/>
  <c r="D9788" i="1"/>
  <c r="D9789" i="1"/>
  <c r="D9790" i="1"/>
  <c r="D9793" i="1"/>
  <c r="D9794" i="1"/>
  <c r="D9795" i="1"/>
  <c r="D9796" i="1"/>
  <c r="D9797" i="1"/>
  <c r="D9798" i="1"/>
  <c r="D9799" i="1"/>
  <c r="D9800" i="1"/>
  <c r="D9801" i="1"/>
  <c r="D9803" i="1"/>
  <c r="D9804" i="1"/>
  <c r="D9805" i="1"/>
  <c r="D9806" i="1"/>
  <c r="D9807" i="1"/>
  <c r="D9808" i="1"/>
  <c r="D9809" i="1"/>
  <c r="D9810" i="1"/>
  <c r="D9811" i="1"/>
  <c r="D9812" i="1"/>
  <c r="D9813" i="1"/>
  <c r="D9814" i="1"/>
  <c r="D9816" i="1"/>
  <c r="D9817" i="1"/>
  <c r="D9820" i="1"/>
  <c r="D9821" i="1"/>
  <c r="D9822" i="1"/>
  <c r="D9823" i="1"/>
  <c r="D9824" i="1"/>
  <c r="D9825" i="1"/>
  <c r="D9826" i="1"/>
  <c r="D9827" i="1"/>
  <c r="D9828" i="1"/>
  <c r="D9829" i="1"/>
  <c r="D9830" i="1"/>
  <c r="D9831" i="1"/>
  <c r="D9832" i="1"/>
  <c r="D9833" i="1"/>
  <c r="D9834" i="1"/>
  <c r="D9836" i="1"/>
  <c r="D9837" i="1"/>
  <c r="D9838" i="1"/>
  <c r="D9839" i="1"/>
  <c r="D9840" i="1"/>
  <c r="D9841" i="1"/>
  <c r="D9842" i="1"/>
  <c r="D9843" i="1"/>
  <c r="D9844" i="1"/>
  <c r="D9845" i="1"/>
  <c r="D9846" i="1"/>
  <c r="D9847" i="1"/>
  <c r="D9848" i="1"/>
  <c r="D9849" i="1"/>
  <c r="D9850" i="1"/>
  <c r="D9852" i="1"/>
  <c r="D9853" i="1"/>
  <c r="D9854" i="1"/>
  <c r="D9855" i="1"/>
  <c r="D9856" i="1"/>
  <c r="D9857" i="1"/>
  <c r="D9859" i="1"/>
  <c r="D9860" i="1"/>
  <c r="D9861" i="1"/>
  <c r="D9862" i="1"/>
  <c r="D9864" i="1"/>
  <c r="D9865" i="1"/>
  <c r="D9866" i="1"/>
  <c r="D9867" i="1"/>
  <c r="D9868" i="1"/>
  <c r="D9870" i="1"/>
  <c r="D9871" i="1"/>
  <c r="D9875" i="1"/>
  <c r="D9876" i="1"/>
  <c r="D9877" i="1"/>
  <c r="D9878" i="1"/>
  <c r="D9879" i="1"/>
  <c r="D9880" i="1"/>
  <c r="D9881" i="1"/>
  <c r="D9882" i="1"/>
  <c r="D9883" i="1"/>
  <c r="D9884" i="1"/>
  <c r="D9885" i="1"/>
  <c r="D9886" i="1"/>
  <c r="D9887" i="1"/>
  <c r="D9888" i="1"/>
  <c r="D9889" i="1"/>
  <c r="D9890" i="1"/>
  <c r="D9891" i="1"/>
  <c r="D9892" i="1"/>
  <c r="D9893" i="1"/>
  <c r="D9895" i="1"/>
  <c r="D9896" i="1"/>
  <c r="D9897" i="1"/>
  <c r="D9898" i="1"/>
  <c r="D9899" i="1"/>
  <c r="D9900" i="1"/>
  <c r="D9901" i="1"/>
  <c r="D9902" i="1"/>
  <c r="D9903" i="1"/>
  <c r="D9904" i="1"/>
  <c r="D9905" i="1"/>
  <c r="D9906" i="1"/>
  <c r="D9907" i="1"/>
  <c r="D9908" i="1"/>
  <c r="D9909" i="1"/>
  <c r="D9910" i="1"/>
  <c r="D9911" i="1"/>
  <c r="D9912" i="1"/>
  <c r="D9913" i="1"/>
  <c r="D9915" i="1"/>
  <c r="D9916" i="1"/>
  <c r="D9917" i="1"/>
  <c r="D9918" i="1"/>
  <c r="D9919" i="1"/>
  <c r="D9920" i="1"/>
  <c r="D9921" i="1"/>
  <c r="D9922" i="1"/>
  <c r="D9923" i="1"/>
  <c r="D9924" i="1"/>
  <c r="D9926" i="1"/>
  <c r="D9927" i="1"/>
  <c r="D9928" i="1"/>
  <c r="D9929" i="1"/>
  <c r="D9930" i="1"/>
  <c r="D9931" i="1"/>
  <c r="D9932" i="1"/>
  <c r="D9933" i="1"/>
  <c r="D9934" i="1"/>
  <c r="D9935" i="1"/>
  <c r="D9938" i="1"/>
  <c r="D9939" i="1"/>
  <c r="D9940" i="1"/>
  <c r="D9941" i="1"/>
  <c r="D9942" i="1"/>
  <c r="D9943" i="1"/>
  <c r="D9944" i="1"/>
  <c r="D9945" i="1"/>
  <c r="D9946" i="1"/>
  <c r="D9947" i="1"/>
  <c r="D9948" i="1"/>
  <c r="D9949" i="1"/>
  <c r="D9950" i="1"/>
  <c r="D9951" i="1"/>
  <c r="D9952" i="1"/>
  <c r="D9953" i="1"/>
  <c r="D9954" i="1"/>
  <c r="D9955" i="1"/>
  <c r="D9956" i="1"/>
  <c r="D9957" i="1"/>
  <c r="D9958" i="1"/>
  <c r="D9959" i="1"/>
  <c r="D9960" i="1"/>
  <c r="D9961" i="1"/>
  <c r="D9962" i="1"/>
  <c r="D9963" i="1"/>
  <c r="D9964" i="1"/>
  <c r="D9965" i="1"/>
  <c r="D9966" i="1"/>
  <c r="D9967" i="1"/>
  <c r="D9968" i="1"/>
  <c r="D9969" i="1"/>
  <c r="D9970" i="1"/>
  <c r="D9971" i="1"/>
  <c r="D9972" i="1"/>
  <c r="D9973" i="1"/>
  <c r="D9974" i="1"/>
  <c r="D9975" i="1"/>
  <c r="D9976" i="1"/>
  <c r="D9977" i="1"/>
  <c r="D9978" i="1"/>
  <c r="D9979" i="1"/>
  <c r="D9980" i="1"/>
  <c r="D9981" i="1"/>
  <c r="D9982" i="1"/>
  <c r="D9983" i="1"/>
  <c r="D9984" i="1"/>
  <c r="D9985" i="1"/>
  <c r="D9986" i="1"/>
  <c r="D9987" i="1"/>
  <c r="D9989" i="1"/>
  <c r="D9990" i="1"/>
  <c r="D9991" i="1"/>
  <c r="D9992" i="1"/>
  <c r="D9993" i="1"/>
  <c r="D9994" i="1"/>
  <c r="D9995" i="1"/>
  <c r="D9996" i="1"/>
  <c r="D9997" i="1"/>
  <c r="D9998" i="1"/>
  <c r="D9999" i="1"/>
  <c r="D10000" i="1"/>
  <c r="D10001" i="1"/>
  <c r="D10002" i="1"/>
  <c r="D10003" i="1"/>
  <c r="D10004" i="1"/>
  <c r="D10005" i="1"/>
  <c r="D10006" i="1"/>
  <c r="D10007" i="1"/>
  <c r="D10008" i="1"/>
  <c r="D10009" i="1"/>
  <c r="D10010" i="1"/>
  <c r="D10013" i="1"/>
  <c r="D10014" i="1"/>
  <c r="D10015" i="1"/>
  <c r="D10016" i="1"/>
  <c r="D10017" i="1"/>
  <c r="D10018" i="1"/>
  <c r="D10019" i="1"/>
  <c r="D10020" i="1"/>
  <c r="D10022" i="1"/>
  <c r="D10023" i="1"/>
  <c r="D10024" i="1"/>
  <c r="D10025" i="1"/>
  <c r="D10026" i="1"/>
  <c r="D10027" i="1"/>
  <c r="D10028" i="1"/>
  <c r="D10029" i="1"/>
  <c r="D10030" i="1"/>
  <c r="D10031" i="1"/>
  <c r="D10032" i="1"/>
  <c r="D10033" i="1"/>
  <c r="D10034" i="1"/>
  <c r="D10035" i="1"/>
  <c r="D10038" i="1"/>
  <c r="D10039" i="1"/>
  <c r="D10040" i="1"/>
  <c r="D10041" i="1"/>
  <c r="D10042" i="1"/>
  <c r="D10043" i="1"/>
  <c r="D10045" i="1"/>
  <c r="D10046" i="1"/>
  <c r="D10048" i="1"/>
  <c r="D10050" i="1"/>
  <c r="D10051" i="1"/>
  <c r="D10052" i="1"/>
  <c r="D10054" i="1"/>
  <c r="D10055" i="1"/>
  <c r="D10056" i="1"/>
  <c r="D10057" i="1"/>
  <c r="D10058" i="1"/>
  <c r="D10059" i="1"/>
  <c r="D10060" i="1"/>
  <c r="D10061" i="1"/>
  <c r="D10062" i="1"/>
  <c r="D10064" i="1"/>
  <c r="D10066" i="1"/>
  <c r="D10067" i="1"/>
  <c r="D10068" i="1"/>
  <c r="D10069" i="1"/>
  <c r="D10070" i="1"/>
  <c r="D10071" i="1"/>
  <c r="D10072" i="1"/>
  <c r="D10073" i="1"/>
  <c r="D10074" i="1"/>
  <c r="D10075" i="1"/>
  <c r="D10076" i="1"/>
  <c r="D10077" i="1"/>
  <c r="D10078" i="1"/>
  <c r="D10079" i="1"/>
  <c r="D10080" i="1"/>
  <c r="D10081" i="1"/>
  <c r="D10082" i="1"/>
  <c r="D10083" i="1"/>
  <c r="D10084" i="1"/>
  <c r="D10085" i="1"/>
  <c r="D10086" i="1"/>
  <c r="D10088" i="1"/>
  <c r="D10089" i="1"/>
  <c r="D10090" i="1"/>
  <c r="D10091" i="1"/>
  <c r="D10092" i="1"/>
  <c r="D10093" i="1"/>
  <c r="D10094" i="1"/>
  <c r="D10095" i="1"/>
  <c r="D10096" i="1"/>
  <c r="D10097" i="1"/>
  <c r="D10098" i="1"/>
  <c r="D10099" i="1"/>
  <c r="D10102" i="1"/>
  <c r="D10103" i="1"/>
  <c r="D10106" i="1"/>
  <c r="D10107" i="1"/>
  <c r="D10110" i="1"/>
  <c r="D10111" i="1"/>
  <c r="D10112" i="1"/>
  <c r="D10113" i="1"/>
  <c r="D10114" i="1"/>
  <c r="D10115" i="1"/>
  <c r="D10116" i="1"/>
  <c r="D10117" i="1"/>
  <c r="D10119" i="1"/>
  <c r="D10120" i="1"/>
  <c r="D10121" i="1"/>
  <c r="D10122" i="1"/>
  <c r="D10123" i="1"/>
  <c r="D10124" i="1"/>
  <c r="D10125" i="1"/>
  <c r="D10126" i="1"/>
  <c r="D10127" i="1"/>
  <c r="D10128" i="1"/>
  <c r="D10129" i="1"/>
  <c r="D10130" i="1"/>
  <c r="D10131" i="1"/>
  <c r="D10133" i="1"/>
  <c r="D10134" i="1"/>
  <c r="D10137" i="1"/>
  <c r="D10138" i="1"/>
  <c r="D10139" i="1"/>
  <c r="D10140" i="1"/>
  <c r="D10141" i="1"/>
  <c r="D10143" i="1"/>
  <c r="D10144" i="1"/>
  <c r="D10145" i="1"/>
  <c r="D10146" i="1"/>
  <c r="D10149" i="1"/>
  <c r="D10150" i="1"/>
  <c r="D10152" i="1"/>
  <c r="D10153" i="1"/>
  <c r="D10154" i="1"/>
  <c r="D10155" i="1"/>
  <c r="D10158" i="1"/>
  <c r="D10159" i="1"/>
  <c r="D10160" i="1"/>
  <c r="D10161" i="1"/>
  <c r="D10162" i="1"/>
  <c r="D10163" i="1"/>
  <c r="D10164" i="1"/>
  <c r="D10165" i="1"/>
  <c r="D10166" i="1"/>
  <c r="D10168" i="1"/>
  <c r="D10169" i="1"/>
  <c r="D10171" i="1"/>
  <c r="D10172" i="1"/>
  <c r="D10174" i="1"/>
  <c r="D10175" i="1"/>
  <c r="D10176" i="1"/>
  <c r="D10180" i="1"/>
  <c r="D10181" i="1"/>
  <c r="D10182" i="1"/>
  <c r="D10183" i="1"/>
  <c r="D10184" i="1"/>
  <c r="D10185" i="1"/>
  <c r="D10186" i="1"/>
  <c r="D10187" i="1"/>
  <c r="D10188" i="1"/>
  <c r="D10189" i="1"/>
  <c r="D10190" i="1"/>
  <c r="D10192" i="1"/>
  <c r="D10193" i="1"/>
  <c r="D10194" i="1"/>
  <c r="D10195" i="1"/>
  <c r="D10196" i="1"/>
  <c r="D10197" i="1"/>
  <c r="D10198" i="1"/>
  <c r="D10199" i="1"/>
  <c r="D10200" i="1"/>
  <c r="D10201" i="1"/>
  <c r="D10202" i="1"/>
  <c r="D10203" i="1"/>
  <c r="D10204" i="1"/>
  <c r="D10206" i="1"/>
  <c r="D10208" i="1"/>
  <c r="D10209" i="1"/>
  <c r="D10210" i="1"/>
  <c r="D10211" i="1"/>
  <c r="D10212" i="1"/>
  <c r="D10214" i="1"/>
  <c r="D10215" i="1"/>
  <c r="D10216" i="1"/>
  <c r="D10217" i="1"/>
  <c r="D10218" i="1"/>
  <c r="D10220" i="1"/>
  <c r="D10221" i="1"/>
  <c r="D10226" i="1"/>
  <c r="D10227" i="1"/>
  <c r="D10228" i="1"/>
  <c r="D10229" i="1"/>
  <c r="D10231" i="1"/>
  <c r="D10233" i="1"/>
  <c r="D10235" i="1"/>
  <c r="D10236" i="1"/>
  <c r="D10237" i="1"/>
  <c r="D10239" i="1"/>
  <c r="D10240" i="1"/>
  <c r="D10242" i="1"/>
  <c r="D10243" i="1"/>
  <c r="D10245" i="1"/>
  <c r="D10246" i="1"/>
  <c r="D10247" i="1"/>
  <c r="D10248" i="1"/>
  <c r="D10249" i="1"/>
  <c r="D10250" i="1"/>
  <c r="D10252" i="1"/>
  <c r="D10253" i="1"/>
  <c r="D10256" i="1"/>
  <c r="D10257" i="1"/>
  <c r="D10258" i="1"/>
  <c r="D10259" i="1"/>
  <c r="D10260" i="1"/>
  <c r="D10261" i="1"/>
  <c r="D10262" i="1"/>
  <c r="D10263" i="1"/>
  <c r="D10264" i="1"/>
  <c r="D10265" i="1"/>
  <c r="D10268" i="1"/>
  <c r="D10269" i="1"/>
  <c r="D10270" i="1"/>
  <c r="D10271" i="1"/>
  <c r="D10272" i="1"/>
  <c r="D10273" i="1"/>
  <c r="D10274" i="1"/>
  <c r="D10275" i="1"/>
  <c r="D10276" i="1"/>
  <c r="D10277" i="1"/>
  <c r="D10278" i="1"/>
  <c r="D10279" i="1"/>
  <c r="D10280" i="1"/>
  <c r="D10282" i="1"/>
  <c r="D10283" i="1"/>
  <c r="D10285" i="1"/>
  <c r="D10286" i="1"/>
  <c r="D10287" i="1"/>
  <c r="D10288" i="1"/>
  <c r="D10290" i="1"/>
  <c r="D10291" i="1"/>
  <c r="D10292" i="1"/>
  <c r="D10293" i="1"/>
  <c r="D10294" i="1"/>
  <c r="D10295" i="1"/>
  <c r="D10296" i="1"/>
  <c r="D10297" i="1"/>
  <c r="D10298" i="1"/>
  <c r="D10299" i="1"/>
  <c r="D10300" i="1"/>
  <c r="D10301" i="1"/>
  <c r="D10302" i="1"/>
  <c r="D10303" i="1"/>
  <c r="D10304" i="1"/>
  <c r="D10305" i="1"/>
  <c r="D10306" i="1"/>
  <c r="D10307" i="1"/>
  <c r="D10308" i="1"/>
  <c r="D10309" i="1"/>
  <c r="D10310" i="1"/>
  <c r="D10311" i="1"/>
  <c r="D10312" i="1"/>
  <c r="D10313" i="1"/>
  <c r="D10314" i="1"/>
  <c r="D10315" i="1"/>
  <c r="D10317" i="1"/>
  <c r="D10318" i="1"/>
  <c r="D10320" i="1"/>
  <c r="D10321" i="1"/>
  <c r="D10323" i="1"/>
  <c r="D10324" i="1"/>
  <c r="D10325" i="1"/>
  <c r="D10326" i="1"/>
  <c r="D10327" i="1"/>
  <c r="D10328" i="1"/>
  <c r="D10329" i="1"/>
  <c r="D10330" i="1"/>
  <c r="D10331" i="1"/>
  <c r="D10332" i="1"/>
  <c r="D10333" i="1"/>
  <c r="D10336" i="1"/>
  <c r="D10337" i="1"/>
  <c r="D10338" i="1"/>
  <c r="D10340" i="1"/>
  <c r="D10341" i="1"/>
  <c r="D10342" i="1"/>
  <c r="D10343" i="1"/>
  <c r="D10344" i="1"/>
  <c r="D10345" i="1"/>
  <c r="D10346" i="1"/>
  <c r="D10348" i="1"/>
  <c r="D10349" i="1"/>
  <c r="D10351" i="1"/>
  <c r="D10352" i="1"/>
  <c r="D10353" i="1"/>
  <c r="D10354" i="1"/>
  <c r="D10356" i="1"/>
  <c r="D10357" i="1"/>
  <c r="D10359" i="1"/>
  <c r="D10363" i="1"/>
  <c r="D10364" i="1"/>
  <c r="D10365" i="1"/>
  <c r="D10366" i="1"/>
  <c r="D10367" i="1"/>
  <c r="D10368" i="1"/>
  <c r="D10369" i="1"/>
  <c r="D10370" i="1"/>
  <c r="D10371" i="1"/>
  <c r="D10372" i="1"/>
  <c r="D10373" i="1"/>
  <c r="D10374" i="1"/>
  <c r="D10375" i="1"/>
  <c r="D10376" i="1"/>
  <c r="D10377" i="1"/>
  <c r="D10379" i="1"/>
  <c r="D10380" i="1"/>
  <c r="D10381" i="1"/>
  <c r="D10382" i="1"/>
  <c r="D10383" i="1"/>
  <c r="D10384" i="1"/>
  <c r="D10385" i="1"/>
  <c r="D10386" i="1"/>
  <c r="D10387" i="1"/>
  <c r="D10388" i="1"/>
  <c r="D10389" i="1"/>
  <c r="D10392" i="1"/>
  <c r="D10393" i="1"/>
  <c r="D10395" i="1"/>
  <c r="D10396" i="1"/>
  <c r="D10397" i="1"/>
  <c r="D10398" i="1"/>
  <c r="D10399" i="1"/>
  <c r="D10400" i="1"/>
  <c r="D10401" i="1"/>
  <c r="D10402" i="1"/>
  <c r="D10403" i="1"/>
  <c r="D10404" i="1"/>
  <c r="D10405" i="1"/>
  <c r="D10406" i="1"/>
  <c r="D10409" i="1"/>
  <c r="D10410" i="1"/>
  <c r="D10412" i="1"/>
  <c r="D10413" i="1"/>
  <c r="D10415" i="1"/>
  <c r="D10416" i="1"/>
  <c r="D10419" i="1"/>
  <c r="D10421" i="1"/>
  <c r="D10422" i="1"/>
  <c r="D10425" i="1"/>
  <c r="D10426" i="1"/>
  <c r="D10427" i="1"/>
  <c r="D10428" i="1"/>
  <c r="D10429" i="1"/>
  <c r="D10430" i="1"/>
  <c r="D10431" i="1"/>
  <c r="D10433" i="1"/>
  <c r="D10434" i="1"/>
  <c r="D10435" i="1"/>
  <c r="D10436" i="1"/>
  <c r="D10437" i="1"/>
  <c r="D10440" i="1"/>
  <c r="D10441" i="1"/>
  <c r="D10442" i="1"/>
  <c r="D10443" i="1"/>
  <c r="D10444" i="1"/>
  <c r="D10445" i="1"/>
  <c r="D10446" i="1"/>
  <c r="D10447" i="1"/>
  <c r="D10449" i="1"/>
  <c r="D10450" i="1"/>
  <c r="D10451" i="1"/>
  <c r="D10452" i="1"/>
  <c r="D10453" i="1"/>
  <c r="D10454" i="1"/>
  <c r="D10455" i="1"/>
  <c r="D10456" i="1"/>
  <c r="D10458" i="1"/>
  <c r="D10459" i="1"/>
  <c r="D10460" i="1"/>
  <c r="D10461" i="1"/>
  <c r="D10462" i="1"/>
  <c r="D10463" i="1"/>
  <c r="D10464" i="1"/>
  <c r="D10465" i="1"/>
  <c r="D10466" i="1"/>
  <c r="D10467" i="1"/>
  <c r="D10468" i="1"/>
  <c r="D10470" i="1"/>
  <c r="D10472" i="1"/>
  <c r="D10473" i="1"/>
  <c r="D10474" i="1"/>
  <c r="D10475" i="1"/>
  <c r="D10476" i="1"/>
  <c r="D10477" i="1"/>
  <c r="D10478" i="1"/>
  <c r="D10479" i="1"/>
  <c r="D10481" i="1"/>
  <c r="D10482" i="1"/>
  <c r="D10483" i="1"/>
  <c r="D10484" i="1"/>
  <c r="D10485" i="1"/>
  <c r="D10486" i="1"/>
  <c r="D10487" i="1"/>
  <c r="D10490" i="1"/>
  <c r="D10491" i="1"/>
  <c r="D10492" i="1"/>
  <c r="D10493" i="1"/>
  <c r="D10494" i="1"/>
  <c r="D10495" i="1"/>
  <c r="D10496" i="1"/>
  <c r="D10497" i="1"/>
  <c r="D10498" i="1"/>
  <c r="D10499" i="1"/>
  <c r="D10500" i="1"/>
  <c r="D10501" i="1"/>
  <c r="D10502" i="1"/>
  <c r="D10503" i="1"/>
  <c r="D10504" i="1"/>
  <c r="D10505" i="1"/>
  <c r="D10506" i="1"/>
  <c r="D10507" i="1"/>
  <c r="D10508" i="1"/>
  <c r="D10509" i="1"/>
  <c r="D10510" i="1"/>
  <c r="D10511" i="1"/>
  <c r="D10512" i="1"/>
  <c r="D10513" i="1"/>
  <c r="D10514" i="1"/>
  <c r="D10515" i="1"/>
  <c r="D10516" i="1"/>
  <c r="D10520" i="1"/>
  <c r="D10521" i="1"/>
  <c r="D10522" i="1"/>
  <c r="D10523" i="1"/>
  <c r="D10524" i="1"/>
  <c r="D10526" i="1"/>
  <c r="D10527" i="1"/>
  <c r="D10528" i="1"/>
  <c r="D10529" i="1"/>
  <c r="D10530" i="1"/>
  <c r="D10531" i="1"/>
  <c r="D10532" i="1"/>
  <c r="D10533" i="1"/>
  <c r="D10534" i="1"/>
  <c r="D10535" i="1"/>
  <c r="D10536" i="1"/>
  <c r="D10537" i="1"/>
  <c r="D10538" i="1"/>
  <c r="D10539" i="1"/>
  <c r="D10540" i="1"/>
  <c r="D10541" i="1"/>
  <c r="D10542" i="1"/>
  <c r="D10543" i="1"/>
  <c r="D10544" i="1"/>
  <c r="D10546" i="1"/>
  <c r="D10548" i="1"/>
  <c r="D10549" i="1"/>
  <c r="D10550" i="1"/>
  <c r="D10551" i="1"/>
  <c r="D10552" i="1"/>
  <c r="D10553" i="1"/>
  <c r="D10554" i="1"/>
  <c r="D10555" i="1"/>
  <c r="D10556" i="1"/>
  <c r="D10557" i="1"/>
  <c r="D10559" i="1"/>
  <c r="D10560" i="1"/>
  <c r="D10563" i="1"/>
  <c r="D10564" i="1"/>
  <c r="D10565" i="1"/>
  <c r="D10566" i="1"/>
  <c r="D10567" i="1"/>
  <c r="D10568" i="1"/>
  <c r="D10569" i="1"/>
  <c r="D10571" i="1"/>
  <c r="D10572" i="1"/>
  <c r="D10573" i="1"/>
  <c r="D10575" i="1"/>
  <c r="D10576" i="1"/>
  <c r="D10577" i="1"/>
  <c r="D10578" i="1"/>
  <c r="D10579" i="1"/>
  <c r="D10580" i="1"/>
  <c r="D10581" i="1"/>
  <c r="D10582" i="1"/>
  <c r="D10583" i="1"/>
  <c r="D10584" i="1"/>
  <c r="D10585" i="1"/>
  <c r="D10586" i="1"/>
  <c r="D10587" i="1"/>
  <c r="D10588" i="1"/>
  <c r="D10590" i="1"/>
  <c r="D10592" i="1"/>
  <c r="D10594" i="1"/>
  <c r="D10596" i="1"/>
  <c r="D10597" i="1"/>
  <c r="D10598" i="1"/>
  <c r="D10600" i="1"/>
  <c r="D10601" i="1"/>
  <c r="D10602" i="1"/>
  <c r="D10603" i="1"/>
  <c r="D10604" i="1"/>
  <c r="D10605" i="1"/>
  <c r="D10606" i="1"/>
  <c r="D10607" i="1"/>
  <c r="D10610" i="1"/>
  <c r="D10611" i="1"/>
  <c r="D10612" i="1"/>
  <c r="D10613" i="1"/>
  <c r="D10614" i="1"/>
  <c r="D10615" i="1"/>
  <c r="D10616" i="1"/>
  <c r="D10617" i="1"/>
  <c r="D10618" i="1"/>
  <c r="D10619" i="1"/>
  <c r="D10620" i="1"/>
  <c r="D10621" i="1"/>
  <c r="D10624" i="1"/>
  <c r="D10625" i="1"/>
  <c r="D10626" i="1"/>
  <c r="D10627" i="1"/>
  <c r="D10628" i="1"/>
  <c r="D10629" i="1"/>
  <c r="D10630" i="1"/>
  <c r="D10631" i="1"/>
  <c r="D10632" i="1"/>
  <c r="D10633" i="1"/>
  <c r="D10634" i="1"/>
  <c r="D10635" i="1"/>
  <c r="D10636" i="1"/>
  <c r="D10637" i="1"/>
  <c r="D10638" i="1"/>
  <c r="D10640" i="1"/>
  <c r="D10641" i="1"/>
  <c r="D10642" i="1"/>
  <c r="D10643" i="1"/>
  <c r="D10644" i="1"/>
  <c r="D10645" i="1"/>
  <c r="D10646" i="1"/>
  <c r="D10647" i="1"/>
  <c r="D10648" i="1"/>
  <c r="D10649" i="1"/>
  <c r="D10650" i="1"/>
  <c r="D10651" i="1"/>
  <c r="D10652" i="1"/>
  <c r="D10653" i="1"/>
  <c r="D10654" i="1"/>
  <c r="D10655" i="1"/>
  <c r="D10657" i="1"/>
  <c r="D10658" i="1"/>
  <c r="D10659" i="1"/>
  <c r="D10660" i="1"/>
  <c r="D10661" i="1"/>
  <c r="D10662" i="1"/>
  <c r="D10663" i="1"/>
  <c r="D10664" i="1"/>
  <c r="D10665" i="1"/>
  <c r="D10668" i="1"/>
  <c r="D10669" i="1"/>
  <c r="D10670" i="1"/>
  <c r="D10671" i="1"/>
  <c r="D10672" i="1"/>
  <c r="D10673" i="1"/>
  <c r="D10674" i="1"/>
  <c r="D10675" i="1"/>
  <c r="D10676" i="1"/>
  <c r="D10677" i="1"/>
  <c r="D10678" i="1"/>
  <c r="D10680" i="1"/>
  <c r="D10681" i="1"/>
  <c r="D10682" i="1"/>
  <c r="D10683" i="1"/>
  <c r="D10685" i="1"/>
  <c r="D10686" i="1"/>
  <c r="D10687" i="1"/>
  <c r="D10690" i="1"/>
  <c r="D10691" i="1"/>
  <c r="D10692" i="1"/>
  <c r="D10693" i="1"/>
  <c r="D10694" i="1"/>
  <c r="D10695" i="1"/>
  <c r="D10696" i="1"/>
  <c r="D10697" i="1"/>
  <c r="D10698" i="1"/>
  <c r="D10699" i="1"/>
  <c r="D10700" i="1"/>
  <c r="D10701" i="1"/>
  <c r="D10702" i="1"/>
  <c r="D10703" i="1"/>
  <c r="D10704" i="1"/>
  <c r="D10705" i="1"/>
  <c r="D10706" i="1"/>
  <c r="D10707" i="1"/>
  <c r="D10708" i="1"/>
  <c r="D10709" i="1"/>
  <c r="D10710" i="1"/>
  <c r="D10711" i="1"/>
  <c r="D10713" i="1"/>
  <c r="D10714" i="1"/>
  <c r="D10716" i="1"/>
  <c r="D10717" i="1"/>
  <c r="D10718" i="1"/>
  <c r="D10719" i="1"/>
  <c r="D10720" i="1"/>
  <c r="D10721" i="1"/>
  <c r="D10722" i="1"/>
  <c r="D10723" i="1"/>
  <c r="D10724" i="1"/>
  <c r="D10726" i="1"/>
  <c r="D10728" i="1"/>
  <c r="D10729" i="1"/>
  <c r="D10734" i="1"/>
  <c r="D10735" i="1"/>
  <c r="D10736" i="1"/>
  <c r="D10737" i="1"/>
  <c r="D10738" i="1"/>
  <c r="D10739" i="1"/>
  <c r="D10740" i="1"/>
  <c r="D10741" i="1"/>
  <c r="D10742" i="1"/>
  <c r="D10743" i="1"/>
  <c r="D10744" i="1"/>
  <c r="D10745" i="1"/>
  <c r="D10746" i="1"/>
  <c r="D10747" i="1"/>
  <c r="D10748" i="1"/>
  <c r="D10749" i="1"/>
  <c r="D10750" i="1"/>
  <c r="D10751" i="1"/>
  <c r="D10752" i="1"/>
  <c r="D10753" i="1"/>
  <c r="D10754" i="1"/>
  <c r="D10755" i="1"/>
  <c r="D10756" i="1"/>
  <c r="D10757" i="1"/>
  <c r="D10758" i="1"/>
  <c r="D10759" i="1"/>
  <c r="D10760" i="1"/>
  <c r="D10761" i="1"/>
  <c r="D10763" i="1"/>
  <c r="D10764" i="1"/>
  <c r="D10765" i="1"/>
  <c r="D10766" i="1"/>
  <c r="D10767" i="1"/>
  <c r="D10768" i="1"/>
  <c r="D10769" i="1"/>
  <c r="D10770" i="1"/>
  <c r="D10771" i="1"/>
  <c r="D10772" i="1"/>
  <c r="D10773" i="1"/>
  <c r="D10774" i="1"/>
  <c r="D10775" i="1"/>
  <c r="D10776" i="1"/>
  <c r="D10777" i="1"/>
  <c r="D10778" i="1"/>
  <c r="D10779" i="1"/>
  <c r="D10780" i="1"/>
  <c r="D10781" i="1"/>
  <c r="D10782" i="1"/>
  <c r="D10783" i="1"/>
  <c r="D10784" i="1"/>
  <c r="D10785" i="1"/>
  <c r="D10786" i="1"/>
  <c r="D10787" i="1"/>
  <c r="D10788" i="1"/>
  <c r="D10789" i="1"/>
  <c r="D10790" i="1"/>
  <c r="D10791" i="1"/>
  <c r="D10792" i="1"/>
  <c r="D10793" i="1"/>
  <c r="D10794" i="1"/>
  <c r="D10795" i="1"/>
  <c r="D10796" i="1"/>
  <c r="D10797" i="1"/>
  <c r="D10799" i="1"/>
  <c r="D10800" i="1"/>
  <c r="D10801" i="1"/>
  <c r="D10802" i="1"/>
  <c r="D10803" i="1"/>
  <c r="D10804" i="1"/>
  <c r="D10805" i="1"/>
  <c r="D10806" i="1"/>
  <c r="D10807" i="1"/>
  <c r="D10808" i="1"/>
  <c r="D10809" i="1"/>
  <c r="D10810" i="1"/>
  <c r="D10811" i="1"/>
  <c r="D10812" i="1"/>
  <c r="D10813" i="1"/>
  <c r="D10814" i="1"/>
  <c r="D10815" i="1"/>
  <c r="D10816" i="1"/>
  <c r="D10817" i="1"/>
  <c r="D10818" i="1"/>
  <c r="D10819" i="1"/>
  <c r="D10820" i="1"/>
  <c r="D10821" i="1"/>
  <c r="D10822" i="1"/>
  <c r="D10823" i="1"/>
  <c r="D10824" i="1"/>
  <c r="D10825" i="1"/>
  <c r="D10826" i="1"/>
  <c r="D10827" i="1"/>
  <c r="D10828" i="1"/>
  <c r="D10829" i="1"/>
  <c r="D10830" i="1"/>
  <c r="D10831" i="1"/>
  <c r="D10832" i="1"/>
  <c r="D10833" i="1"/>
  <c r="D10834" i="1"/>
  <c r="D10835" i="1"/>
  <c r="D10836" i="1"/>
  <c r="D10837" i="1"/>
  <c r="D10838" i="1"/>
  <c r="D10839" i="1"/>
  <c r="D10840" i="1"/>
  <c r="D10841" i="1"/>
  <c r="D10842" i="1"/>
  <c r="D10843" i="1"/>
  <c r="D10844" i="1"/>
  <c r="D10845" i="1"/>
  <c r="D10846" i="1"/>
  <c r="D10847" i="1"/>
  <c r="D10849" i="1"/>
  <c r="D10850" i="1"/>
  <c r="D10851" i="1"/>
  <c r="D10852" i="1"/>
  <c r="D10853" i="1"/>
  <c r="D10856" i="1"/>
  <c r="D10857" i="1"/>
  <c r="D10858" i="1"/>
  <c r="D10859" i="1"/>
  <c r="D10861" i="1"/>
  <c r="D10862" i="1"/>
  <c r="D10863" i="1"/>
  <c r="D10864" i="1"/>
  <c r="D10865" i="1"/>
  <c r="D10866" i="1"/>
  <c r="D10867" i="1"/>
  <c r="D10868" i="1"/>
  <c r="D10869" i="1"/>
  <c r="D10870" i="1"/>
  <c r="D10871" i="1"/>
  <c r="D10872" i="1"/>
  <c r="D10874" i="1"/>
  <c r="D10875" i="1"/>
  <c r="D10876" i="1"/>
  <c r="D10877" i="1"/>
  <c r="D10879" i="1"/>
  <c r="D10880" i="1"/>
  <c r="D10881" i="1"/>
  <c r="D10883" i="1"/>
  <c r="D10884" i="1"/>
  <c r="D10885" i="1"/>
  <c r="D10886" i="1"/>
  <c r="D10888" i="1"/>
  <c r="D10889" i="1"/>
  <c r="D10890" i="1"/>
  <c r="D10891" i="1"/>
  <c r="D10892" i="1"/>
  <c r="D10893" i="1"/>
  <c r="D10894" i="1"/>
  <c r="D10895" i="1"/>
  <c r="D10896" i="1"/>
  <c r="D10897" i="1"/>
  <c r="D10898" i="1"/>
  <c r="D10899" i="1"/>
  <c r="D10900" i="1"/>
  <c r="D10901" i="1"/>
  <c r="D10902" i="1"/>
  <c r="D10904" i="1"/>
  <c r="D10905" i="1"/>
  <c r="D10906" i="1"/>
  <c r="D10907" i="1"/>
  <c r="D10908" i="1"/>
  <c r="D10909" i="1"/>
  <c r="D10910" i="1"/>
  <c r="D10912" i="1"/>
  <c r="D10913" i="1"/>
  <c r="D10914" i="1"/>
  <c r="D10915" i="1"/>
  <c r="D10916" i="1"/>
  <c r="D10917" i="1"/>
  <c r="D10918" i="1"/>
  <c r="D10919" i="1"/>
  <c r="D10920" i="1"/>
  <c r="D10921" i="1"/>
  <c r="D10922" i="1"/>
  <c r="D10925" i="1"/>
  <c r="D10926" i="1"/>
  <c r="D10927" i="1"/>
  <c r="D10928" i="1"/>
  <c r="D10929" i="1"/>
  <c r="D10930" i="1"/>
  <c r="D10931" i="1"/>
  <c r="D10933" i="1"/>
  <c r="D10934" i="1"/>
  <c r="D10935" i="1"/>
  <c r="D10936" i="1"/>
  <c r="D10937" i="1"/>
  <c r="D10938" i="1"/>
  <c r="D10939" i="1"/>
  <c r="D10941" i="1"/>
  <c r="D10942" i="1"/>
  <c r="D10943" i="1"/>
  <c r="D10944" i="1"/>
  <c r="D10945" i="1"/>
  <c r="D10946" i="1"/>
  <c r="D10947" i="1"/>
  <c r="D10948" i="1"/>
  <c r="D10949" i="1"/>
  <c r="D10950" i="1"/>
  <c r="D10951" i="1"/>
  <c r="D10953" i="1"/>
  <c r="D10954" i="1"/>
  <c r="D10955" i="1"/>
  <c r="D10956" i="1"/>
  <c r="D10957" i="1"/>
  <c r="D10958" i="1"/>
  <c r="D10959" i="1"/>
  <c r="D10960" i="1"/>
  <c r="D10962" i="1"/>
  <c r="D10963" i="1"/>
  <c r="D10964" i="1"/>
  <c r="D10965" i="1"/>
  <c r="D10966" i="1"/>
  <c r="D10967" i="1"/>
  <c r="D10968" i="1"/>
  <c r="D10969" i="1"/>
  <c r="D10970" i="1"/>
  <c r="D10972" i="1"/>
  <c r="D10973" i="1"/>
  <c r="D10974" i="1"/>
  <c r="D10975" i="1"/>
  <c r="D10976" i="1"/>
  <c r="D10977" i="1"/>
  <c r="D10978" i="1"/>
  <c r="D10980" i="1"/>
  <c r="D10981" i="1"/>
  <c r="D10982" i="1"/>
  <c r="D10983" i="1"/>
  <c r="D10984" i="1"/>
  <c r="D10985" i="1"/>
  <c r="D10986" i="1"/>
  <c r="D10987" i="1"/>
  <c r="D10988" i="1"/>
  <c r="D10989" i="1"/>
  <c r="D10990" i="1"/>
  <c r="D10991" i="1"/>
  <c r="D10992" i="1"/>
  <c r="D10994" i="1"/>
  <c r="D10995" i="1"/>
  <c r="D10996" i="1"/>
  <c r="D10998" i="1"/>
  <c r="D10999" i="1"/>
  <c r="D11000" i="1"/>
  <c r="D11001" i="1"/>
  <c r="D11002" i="1"/>
  <c r="D11003" i="1"/>
  <c r="D11004" i="1"/>
  <c r="D11006" i="1"/>
  <c r="D11007" i="1"/>
  <c r="D11008" i="1"/>
  <c r="D11009" i="1"/>
  <c r="D11010" i="1"/>
  <c r="D11011" i="1"/>
  <c r="D11012" i="1"/>
  <c r="D11013" i="1"/>
  <c r="D11016" i="1"/>
  <c r="D11017" i="1"/>
  <c r="D11018" i="1"/>
  <c r="D11019" i="1"/>
  <c r="D11020" i="1"/>
  <c r="D11021" i="1"/>
  <c r="D11022" i="1"/>
  <c r="D11023" i="1"/>
  <c r="D11024" i="1"/>
  <c r="D11025" i="1"/>
  <c r="D11026" i="1"/>
  <c r="D11027" i="1"/>
  <c r="D11028" i="1"/>
  <c r="D11029" i="1"/>
  <c r="D11030" i="1"/>
  <c r="D11031" i="1"/>
  <c r="D11032" i="1"/>
  <c r="D11033" i="1"/>
  <c r="D11034" i="1"/>
  <c r="D11035" i="1"/>
  <c r="D11036" i="1"/>
  <c r="D11037" i="1"/>
  <c r="D11038" i="1"/>
  <c r="D11039" i="1"/>
  <c r="D11040" i="1"/>
  <c r="D11041" i="1"/>
  <c r="D11043" i="1"/>
  <c r="D11044" i="1"/>
  <c r="D11045" i="1"/>
  <c r="D11046" i="1"/>
  <c r="D11047" i="1"/>
  <c r="D11048" i="1"/>
  <c r="D11049" i="1"/>
  <c r="D11050" i="1"/>
  <c r="D11051" i="1"/>
  <c r="D11052" i="1"/>
  <c r="D11053" i="1"/>
  <c r="D11054" i="1"/>
  <c r="D11055" i="1"/>
  <c r="D11056" i="1"/>
  <c r="D11057" i="1"/>
  <c r="D11058" i="1"/>
  <c r="D11059" i="1"/>
  <c r="D11060" i="1"/>
  <c r="D11061" i="1"/>
  <c r="D11062" i="1"/>
  <c r="D11063" i="1"/>
  <c r="D11064" i="1"/>
  <c r="D11065" i="1"/>
  <c r="D11066" i="1"/>
  <c r="D11067" i="1"/>
  <c r="D11068" i="1"/>
  <c r="D11069" i="1"/>
  <c r="D11070" i="1"/>
  <c r="D11071" i="1"/>
  <c r="D11072" i="1"/>
  <c r="D11073" i="1"/>
  <c r="D11075" i="1"/>
  <c r="D11076" i="1"/>
  <c r="D11077" i="1"/>
  <c r="D11078" i="1"/>
  <c r="D11079" i="1"/>
  <c r="D11080" i="1"/>
  <c r="D11081" i="1"/>
  <c r="D11082" i="1"/>
  <c r="D11083" i="1"/>
  <c r="D11084" i="1"/>
  <c r="D11085" i="1"/>
  <c r="D11086" i="1"/>
  <c r="D11087" i="1"/>
  <c r="D11088" i="1"/>
  <c r="D11089" i="1"/>
  <c r="D11090" i="1"/>
  <c r="D11091" i="1"/>
  <c r="D11092" i="1"/>
  <c r="D11093" i="1"/>
  <c r="D11094" i="1"/>
  <c r="D11095" i="1"/>
  <c r="D11096" i="1"/>
  <c r="D11097" i="1"/>
  <c r="D11098" i="1"/>
  <c r="D11099" i="1"/>
  <c r="D11101" i="1"/>
  <c r="D11102" i="1"/>
  <c r="D11103" i="1"/>
  <c r="D11104" i="1"/>
  <c r="D11105" i="1"/>
  <c r="D11106" i="1"/>
  <c r="D11107" i="1"/>
  <c r="D11108" i="1"/>
  <c r="D11109" i="1"/>
  <c r="D11110" i="1"/>
  <c r="D11111" i="1"/>
  <c r="D11112" i="1"/>
  <c r="D11113" i="1"/>
  <c r="D11114" i="1"/>
  <c r="D11115" i="1"/>
  <c r="D11116" i="1"/>
  <c r="D11117" i="1"/>
  <c r="D11119" i="1"/>
  <c r="D11120" i="1"/>
  <c r="D11121" i="1"/>
  <c r="D11122" i="1"/>
  <c r="D11123" i="1"/>
  <c r="D11124" i="1"/>
  <c r="D11126" i="1"/>
  <c r="D11127" i="1"/>
  <c r="D11129" i="1"/>
  <c r="D11130" i="1"/>
  <c r="D11131" i="1"/>
  <c r="D11132" i="1"/>
  <c r="D11133" i="1"/>
  <c r="D11134" i="1"/>
  <c r="D11135" i="1"/>
  <c r="D11136" i="1"/>
  <c r="D11137" i="1"/>
  <c r="D11138" i="1"/>
  <c r="D11139" i="1"/>
  <c r="D11140" i="1"/>
  <c r="D11141" i="1"/>
  <c r="D11142" i="1"/>
  <c r="D11143" i="1"/>
  <c r="D11144" i="1"/>
  <c r="D11145" i="1"/>
  <c r="D11146" i="1"/>
  <c r="D11147" i="1"/>
  <c r="D11148" i="1"/>
  <c r="D11149" i="1"/>
  <c r="D11150" i="1"/>
  <c r="D11151" i="1"/>
  <c r="D11152" i="1"/>
  <c r="D11153" i="1"/>
  <c r="D11154" i="1"/>
  <c r="D11155" i="1"/>
  <c r="D11156" i="1"/>
  <c r="D11157" i="1"/>
  <c r="D11158" i="1"/>
  <c r="D11159" i="1"/>
  <c r="D11160" i="1"/>
  <c r="D11161" i="1"/>
  <c r="D11162" i="1"/>
  <c r="D11164" i="1"/>
  <c r="D11165" i="1"/>
  <c r="D11166" i="1"/>
  <c r="D11167" i="1"/>
  <c r="D11168" i="1"/>
  <c r="D11169" i="1"/>
  <c r="D11170" i="1"/>
  <c r="D11171" i="1"/>
  <c r="D11172" i="1"/>
  <c r="D11174" i="1"/>
  <c r="D11175" i="1"/>
  <c r="D11176" i="1"/>
  <c r="D11177" i="1"/>
  <c r="D11178" i="1"/>
  <c r="D11179" i="1"/>
  <c r="D11180" i="1"/>
  <c r="D11182" i="1"/>
  <c r="D11183" i="1"/>
  <c r="D11184" i="1"/>
  <c r="D11186" i="1"/>
  <c r="D11187" i="1"/>
  <c r="D11188" i="1"/>
  <c r="D11190" i="1"/>
  <c r="D11191" i="1"/>
  <c r="D11192" i="1"/>
  <c r="D11193" i="1"/>
  <c r="D11194" i="1"/>
  <c r="D11195" i="1"/>
  <c r="D11196" i="1"/>
  <c r="D11197" i="1"/>
  <c r="D11198" i="1"/>
  <c r="D11199" i="1"/>
  <c r="D11200" i="1"/>
  <c r="D11202" i="1"/>
  <c r="D11203" i="1"/>
  <c r="D11204" i="1"/>
  <c r="D11205" i="1"/>
  <c r="D11206" i="1"/>
  <c r="D11207" i="1"/>
  <c r="D11210" i="1"/>
  <c r="D11211" i="1"/>
  <c r="D11212" i="1"/>
  <c r="D11213" i="1"/>
  <c r="D11214" i="1"/>
  <c r="D11215" i="1"/>
  <c r="D11216" i="1"/>
  <c r="D11218" i="1"/>
  <c r="D11219" i="1"/>
  <c r="D11220" i="1"/>
  <c r="D11221" i="1"/>
  <c r="D11222" i="1"/>
  <c r="D11223" i="1"/>
  <c r="D11224" i="1"/>
  <c r="D11226" i="1"/>
  <c r="D11227" i="1"/>
  <c r="D11228" i="1"/>
  <c r="D11229" i="1"/>
  <c r="D11230" i="1"/>
  <c r="D11232" i="1"/>
  <c r="D11233" i="1"/>
  <c r="D11234" i="1"/>
  <c r="D11235" i="1"/>
  <c r="D11238" i="1"/>
  <c r="D11239" i="1"/>
  <c r="D11240" i="1"/>
  <c r="D11241" i="1"/>
  <c r="D11242" i="1"/>
  <c r="D11243" i="1"/>
  <c r="D11244" i="1"/>
  <c r="D11245" i="1"/>
  <c r="D11246" i="1"/>
  <c r="D11247" i="1"/>
  <c r="D11248" i="1"/>
  <c r="D11249" i="1"/>
  <c r="D11250" i="1"/>
  <c r="D11251" i="1"/>
  <c r="D11252" i="1"/>
  <c r="D11253" i="1"/>
  <c r="D11254" i="1"/>
  <c r="D11255" i="1"/>
  <c r="D11256" i="1"/>
  <c r="D11257" i="1"/>
  <c r="D11259" i="1"/>
  <c r="D11260" i="1"/>
  <c r="D11261" i="1"/>
  <c r="D11262" i="1"/>
  <c r="D11263" i="1"/>
  <c r="D11264" i="1"/>
  <c r="D11265" i="1"/>
  <c r="D11266" i="1"/>
  <c r="D11267" i="1"/>
  <c r="D11268" i="1"/>
  <c r="D11269" i="1"/>
  <c r="D11270" i="1"/>
  <c r="D11271" i="1"/>
  <c r="D11272" i="1"/>
  <c r="D11273" i="1"/>
  <c r="D11274" i="1"/>
  <c r="D11277" i="1"/>
  <c r="D11278" i="1"/>
  <c r="D11279" i="1"/>
  <c r="D11280" i="1"/>
  <c r="D11281" i="1"/>
  <c r="D11282" i="1"/>
  <c r="D11283" i="1"/>
  <c r="D11284" i="1"/>
  <c r="D11285" i="1"/>
  <c r="D11287" i="1"/>
  <c r="D11288" i="1"/>
  <c r="D11289" i="1"/>
  <c r="D11290" i="1"/>
  <c r="D11291" i="1"/>
  <c r="D11293" i="1"/>
  <c r="D11294" i="1"/>
  <c r="D11295" i="1"/>
  <c r="D11296" i="1"/>
  <c r="D11297" i="1"/>
  <c r="D11298" i="1"/>
  <c r="D11299" i="1"/>
  <c r="D11300" i="1"/>
  <c r="D11301" i="1"/>
  <c r="D11302" i="1"/>
  <c r="D11303" i="1"/>
  <c r="D11305" i="1"/>
  <c r="D11306" i="1"/>
  <c r="D11307" i="1"/>
  <c r="D11308" i="1"/>
  <c r="D11309" i="1"/>
  <c r="D11310" i="1"/>
  <c r="D11312" i="1"/>
  <c r="D11313" i="1"/>
  <c r="D11314" i="1"/>
  <c r="D11315" i="1"/>
  <c r="D11316" i="1"/>
  <c r="D11317" i="1"/>
  <c r="D11318" i="1"/>
  <c r="D11319" i="1"/>
  <c r="D11320" i="1"/>
  <c r="D11321" i="1"/>
  <c r="D11322" i="1"/>
  <c r="D11323" i="1"/>
  <c r="D11324" i="1"/>
  <c r="D11325" i="1"/>
  <c r="D11326" i="1"/>
  <c r="D11327" i="1"/>
  <c r="D11328" i="1"/>
  <c r="D11329" i="1"/>
  <c r="D11330" i="1"/>
  <c r="D11331" i="1"/>
  <c r="D11332" i="1"/>
  <c r="D11333" i="1"/>
  <c r="D11334" i="1"/>
  <c r="D11335" i="1"/>
  <c r="D11338" i="1"/>
  <c r="D11340" i="1"/>
  <c r="D11341" i="1"/>
  <c r="D11342" i="1"/>
  <c r="D11344" i="1"/>
  <c r="D11345" i="1"/>
  <c r="D11346" i="1"/>
  <c r="D11347" i="1"/>
  <c r="D11351" i="1"/>
  <c r="D11352" i="1"/>
  <c r="D11353" i="1"/>
  <c r="D11354" i="1"/>
  <c r="D11355" i="1"/>
  <c r="D11356" i="1"/>
  <c r="D11357" i="1"/>
  <c r="D11358" i="1"/>
  <c r="D11359" i="1"/>
  <c r="D11360" i="1"/>
  <c r="D11361" i="1"/>
  <c r="D11362" i="1"/>
  <c r="D11363" i="1"/>
  <c r="D11364" i="1"/>
  <c r="D11365" i="1"/>
  <c r="D11366" i="1"/>
  <c r="D11368" i="1"/>
  <c r="D11369" i="1"/>
  <c r="D11370" i="1"/>
  <c r="D11371" i="1"/>
  <c r="D11372" i="1"/>
  <c r="D11373" i="1"/>
  <c r="D11374" i="1"/>
  <c r="D11375" i="1"/>
  <c r="D11377" i="1"/>
  <c r="D11378" i="1"/>
  <c r="D11379" i="1"/>
  <c r="D11381" i="1"/>
  <c r="D11382" i="1"/>
  <c r="D11383" i="1"/>
  <c r="D11384" i="1"/>
  <c r="D11385" i="1"/>
  <c r="D11386" i="1"/>
  <c r="D11387" i="1"/>
  <c r="D11388" i="1"/>
  <c r="D11389" i="1"/>
  <c r="D11390" i="1"/>
  <c r="D11391" i="1"/>
  <c r="D11392" i="1"/>
  <c r="D11393" i="1"/>
  <c r="D11394" i="1"/>
  <c r="D11395" i="1"/>
  <c r="D11396" i="1"/>
  <c r="D11399" i="1"/>
  <c r="D11401" i="1"/>
  <c r="D11402" i="1"/>
  <c r="D11404" i="1"/>
  <c r="D11405" i="1"/>
  <c r="D11406" i="1"/>
  <c r="D11407" i="1"/>
  <c r="D11408" i="1"/>
  <c r="D11410" i="1"/>
  <c r="D11411" i="1"/>
  <c r="D11412" i="1"/>
  <c r="D11413" i="1"/>
  <c r="D11414" i="1"/>
  <c r="D11415" i="1"/>
  <c r="D11416" i="1"/>
  <c r="D11417" i="1"/>
  <c r="D11418" i="1"/>
  <c r="D11419" i="1"/>
  <c r="D11420" i="1"/>
  <c r="D11421" i="1"/>
  <c r="D11422" i="1"/>
  <c r="D11423" i="1"/>
  <c r="D11425" i="1"/>
  <c r="D11426" i="1"/>
  <c r="D11428" i="1"/>
  <c r="D11430" i="1"/>
  <c r="D11431" i="1"/>
  <c r="D11432" i="1"/>
  <c r="D11433" i="1"/>
  <c r="D11434" i="1"/>
  <c r="D11435" i="1"/>
  <c r="D11436" i="1"/>
  <c r="D11437" i="1"/>
  <c r="D11438" i="1"/>
  <c r="D11439" i="1"/>
  <c r="D11440" i="1"/>
  <c r="D11441" i="1"/>
  <c r="D11442" i="1"/>
  <c r="D11443" i="1"/>
  <c r="D11444" i="1"/>
  <c r="D11445" i="1"/>
  <c r="D11446" i="1"/>
  <c r="D11447" i="1"/>
  <c r="D11448" i="1"/>
  <c r="D11449" i="1"/>
  <c r="D11450" i="1"/>
  <c r="D11451" i="1"/>
  <c r="D11452" i="1"/>
  <c r="D11453" i="1"/>
  <c r="D11454" i="1"/>
  <c r="D11455" i="1"/>
  <c r="D11456" i="1"/>
  <c r="D11457" i="1"/>
  <c r="D11458" i="1"/>
  <c r="D11459" i="1"/>
  <c r="D11460" i="1"/>
  <c r="D11461" i="1"/>
  <c r="D11465" i="1"/>
  <c r="D11466" i="1"/>
  <c r="D11467" i="1"/>
  <c r="D11468" i="1"/>
  <c r="D11469" i="1"/>
  <c r="D11470" i="1"/>
  <c r="D11471" i="1"/>
  <c r="D11473" i="1"/>
  <c r="D11474" i="1"/>
  <c r="D11475" i="1"/>
  <c r="D11476" i="1"/>
  <c r="D11477" i="1"/>
  <c r="D11478" i="1"/>
  <c r="D11479" i="1"/>
  <c r="D11480" i="1"/>
  <c r="D11481" i="1"/>
  <c r="D11482" i="1"/>
  <c r="D11483" i="1"/>
  <c r="D11484" i="1"/>
  <c r="D11485" i="1"/>
  <c r="D11486" i="1"/>
  <c r="D11487" i="1"/>
  <c r="D11488" i="1"/>
  <c r="D11489" i="1"/>
  <c r="D11490" i="1"/>
  <c r="D11491" i="1"/>
  <c r="D11492" i="1"/>
  <c r="D11493" i="1"/>
  <c r="D11494" i="1"/>
  <c r="D11495" i="1"/>
  <c r="D11496" i="1"/>
  <c r="D11497" i="1"/>
  <c r="D11498" i="1"/>
  <c r="D11500" i="1"/>
  <c r="D11501" i="1"/>
  <c r="D11502" i="1"/>
  <c r="D11503" i="1"/>
  <c r="D11504" i="1"/>
  <c r="D11505" i="1"/>
  <c r="D11506" i="1"/>
  <c r="D11507" i="1"/>
  <c r="D11508" i="1"/>
  <c r="D11509" i="1"/>
  <c r="D11510" i="1"/>
  <c r="D11511" i="1"/>
  <c r="D11512" i="1"/>
  <c r="D11513" i="1"/>
  <c r="D11514" i="1"/>
  <c r="D11515" i="1"/>
  <c r="D11516" i="1"/>
  <c r="D11517" i="1"/>
  <c r="D11518" i="1"/>
  <c r="D11520" i="1"/>
  <c r="D11521" i="1"/>
  <c r="D11522" i="1"/>
  <c r="D11524" i="1"/>
  <c r="D11525" i="1"/>
  <c r="D11526" i="1"/>
  <c r="D11527" i="1"/>
  <c r="D11528" i="1"/>
  <c r="D11529" i="1"/>
  <c r="D11530" i="1"/>
  <c r="D11531" i="1"/>
  <c r="D11532" i="1"/>
  <c r="D11534" i="1"/>
  <c r="D11535" i="1"/>
  <c r="D11536" i="1"/>
  <c r="D11537" i="1"/>
  <c r="D11538" i="1"/>
  <c r="D11541" i="1"/>
  <c r="D11542" i="1"/>
  <c r="D11543" i="1"/>
  <c r="D11545" i="1"/>
  <c r="D11547" i="1"/>
  <c r="D11549" i="1"/>
  <c r="D11550" i="1"/>
  <c r="D11551" i="1"/>
  <c r="D11555" i="1"/>
  <c r="D11556" i="1"/>
  <c r="D11557" i="1"/>
  <c r="D11559" i="1"/>
  <c r="D11560" i="1"/>
  <c r="D11561" i="1"/>
  <c r="D11562" i="1"/>
  <c r="D11563" i="1"/>
  <c r="D11564" i="1"/>
  <c r="D11565" i="1"/>
  <c r="D11566" i="1"/>
  <c r="D11567" i="1"/>
  <c r="D11568" i="1"/>
  <c r="D11569" i="1"/>
  <c r="D11570" i="1"/>
  <c r="D11572" i="1"/>
  <c r="D11573" i="1"/>
  <c r="D11574" i="1"/>
  <c r="D11575" i="1"/>
  <c r="D11576" i="1"/>
  <c r="D11577" i="1"/>
  <c r="D11578" i="1"/>
  <c r="D11579" i="1"/>
  <c r="D11580" i="1"/>
  <c r="D11581" i="1"/>
  <c r="D11582" i="1"/>
  <c r="D11583" i="1"/>
  <c r="D11584" i="1"/>
  <c r="D11585" i="1"/>
  <c r="D11586" i="1"/>
  <c r="D11587" i="1"/>
  <c r="D11588" i="1"/>
  <c r="D11589" i="1"/>
  <c r="D11590" i="1"/>
  <c r="D11591" i="1"/>
  <c r="D11592" i="1"/>
  <c r="D11593" i="1"/>
  <c r="D11594" i="1"/>
  <c r="D11595" i="1"/>
  <c r="D11596" i="1"/>
  <c r="D11597" i="1"/>
  <c r="D11598" i="1"/>
  <c r="D11601" i="1"/>
  <c r="D11602" i="1"/>
  <c r="D11604" i="1"/>
  <c r="D11605" i="1"/>
  <c r="D11606" i="1"/>
  <c r="D11607" i="1"/>
  <c r="D11608" i="1"/>
  <c r="D11609" i="1"/>
  <c r="D11610" i="1"/>
  <c r="D11611" i="1"/>
  <c r="D11612" i="1"/>
  <c r="D11613" i="1"/>
  <c r="D11614" i="1"/>
  <c r="D11615" i="1"/>
  <c r="D11616" i="1"/>
  <c r="D11617" i="1"/>
  <c r="D11618" i="1"/>
  <c r="D11619" i="1"/>
  <c r="D11620" i="1"/>
  <c r="D11621" i="1"/>
  <c r="D11622" i="1"/>
  <c r="D11623" i="1"/>
  <c r="D11624" i="1"/>
  <c r="D11626" i="1"/>
  <c r="D11627" i="1"/>
  <c r="D11628" i="1"/>
  <c r="D11629" i="1"/>
  <c r="D11630" i="1"/>
  <c r="D11631" i="1"/>
  <c r="D11633" i="1"/>
  <c r="D11634" i="1"/>
  <c r="D11635" i="1"/>
  <c r="D11636" i="1"/>
  <c r="D11637" i="1"/>
  <c r="D11638" i="1"/>
  <c r="D11639" i="1"/>
  <c r="D11640" i="1"/>
  <c r="D11641" i="1"/>
  <c r="D11642" i="1"/>
  <c r="D11643" i="1"/>
  <c r="D11644" i="1"/>
  <c r="D11645" i="1"/>
  <c r="D11649" i="1"/>
  <c r="D11650" i="1"/>
  <c r="D11652" i="1"/>
  <c r="D11653" i="1"/>
  <c r="D11654" i="1"/>
  <c r="D11655" i="1"/>
  <c r="D11656" i="1"/>
  <c r="D11657" i="1"/>
  <c r="D11658" i="1"/>
  <c r="D11659" i="1"/>
  <c r="D11660" i="1"/>
  <c r="D11662" i="1"/>
  <c r="D11663" i="1"/>
  <c r="D11664" i="1"/>
  <c r="D11666" i="1"/>
  <c r="D11667" i="1"/>
  <c r="D11668" i="1"/>
  <c r="D11669" i="1"/>
  <c r="D11670" i="1"/>
  <c r="D11672" i="1"/>
  <c r="D11673" i="1"/>
  <c r="D11674" i="1"/>
  <c r="D11677" i="1"/>
  <c r="D11678" i="1"/>
  <c r="D11680" i="1"/>
  <c r="D11681" i="1"/>
  <c r="D11682" i="1"/>
  <c r="D11683" i="1"/>
  <c r="D11684" i="1"/>
  <c r="D11686" i="1"/>
  <c r="D11689" i="1"/>
  <c r="D11690" i="1"/>
  <c r="D11691" i="1"/>
  <c r="D11692" i="1"/>
  <c r="D11693" i="1"/>
  <c r="D11694" i="1"/>
  <c r="D11695" i="1"/>
  <c r="D11696" i="1"/>
  <c r="D11697" i="1"/>
  <c r="D11698" i="1"/>
  <c r="D11699" i="1"/>
  <c r="D11700" i="1"/>
  <c r="D11701" i="1"/>
  <c r="D11702" i="1"/>
  <c r="D11703" i="1"/>
  <c r="D11704" i="1"/>
  <c r="D11705" i="1"/>
  <c r="D11706" i="1"/>
  <c r="D11707" i="1"/>
  <c r="D11708" i="1"/>
  <c r="D11709" i="1"/>
  <c r="D11710" i="1"/>
  <c r="D11711" i="1"/>
  <c r="D11712" i="1"/>
  <c r="D11713" i="1"/>
  <c r="D11714" i="1"/>
  <c r="D11715" i="1"/>
  <c r="D11716" i="1"/>
  <c r="D11717" i="1"/>
  <c r="D11718" i="1"/>
  <c r="D11719" i="1"/>
  <c r="D11720" i="1"/>
  <c r="D11721" i="1"/>
  <c r="D11722" i="1"/>
  <c r="D11723" i="1"/>
  <c r="D11724" i="1"/>
  <c r="D11725" i="1"/>
  <c r="D11726" i="1"/>
  <c r="D11727" i="1"/>
  <c r="D11728" i="1"/>
  <c r="D11729" i="1"/>
  <c r="D11730" i="1"/>
  <c r="D11731" i="1"/>
  <c r="D11732" i="1"/>
  <c r="D11733" i="1"/>
  <c r="D11734" i="1"/>
  <c r="D11735" i="1"/>
  <c r="D11736" i="1"/>
  <c r="D11737" i="1"/>
  <c r="D11738" i="1"/>
  <c r="D11739" i="1"/>
  <c r="D11740" i="1"/>
  <c r="D11741" i="1"/>
  <c r="D11742" i="1"/>
  <c r="D11743" i="1"/>
  <c r="D11744" i="1"/>
  <c r="D11745" i="1"/>
  <c r="D11747" i="1"/>
  <c r="D11748" i="1"/>
  <c r="D11749" i="1"/>
  <c r="D11750" i="1"/>
  <c r="D11751" i="1"/>
  <c r="D11752" i="1"/>
  <c r="D11753" i="1"/>
  <c r="D11754" i="1"/>
  <c r="D11755" i="1"/>
  <c r="D11756" i="1"/>
  <c r="D11757" i="1"/>
  <c r="D11758" i="1"/>
  <c r="D11759" i="1"/>
  <c r="D11760" i="1"/>
  <c r="D11761" i="1"/>
  <c r="D11762" i="1"/>
  <c r="D11763" i="1"/>
  <c r="D11764" i="1"/>
  <c r="D11765" i="1"/>
  <c r="D11766" i="1"/>
  <c r="D11767" i="1"/>
  <c r="D11768" i="1"/>
  <c r="D11769" i="1"/>
  <c r="D11770" i="1"/>
  <c r="D11771" i="1"/>
  <c r="D11772" i="1"/>
  <c r="D11773" i="1"/>
  <c r="D11774" i="1"/>
  <c r="D11775" i="1"/>
  <c r="D11777" i="1"/>
  <c r="D11778" i="1"/>
  <c r="D11779" i="1"/>
  <c r="D11780" i="1"/>
  <c r="D11781" i="1"/>
  <c r="D11782" i="1"/>
  <c r="D11783" i="1"/>
  <c r="D11784" i="1"/>
  <c r="D11785" i="1"/>
  <c r="D11786" i="1"/>
  <c r="D11787" i="1"/>
  <c r="D11788" i="1"/>
  <c r="D11789" i="1"/>
  <c r="D11791" i="1"/>
  <c r="D11792" i="1"/>
  <c r="D11793" i="1"/>
  <c r="D11794" i="1"/>
  <c r="D11795" i="1"/>
  <c r="D11797" i="1"/>
  <c r="D11798" i="1"/>
  <c r="D11799" i="1"/>
  <c r="D11800" i="1"/>
  <c r="D11801" i="1"/>
  <c r="D11802" i="1"/>
  <c r="D11803" i="1"/>
  <c r="D11804" i="1"/>
  <c r="D11806" i="1"/>
  <c r="D11807" i="1"/>
  <c r="D11809" i="1"/>
  <c r="D11810" i="1"/>
  <c r="D11811" i="1"/>
  <c r="D11813" i="1"/>
  <c r="D11814" i="1"/>
  <c r="D11818" i="1"/>
  <c r="D11819" i="1"/>
  <c r="D11820" i="1"/>
  <c r="D11821" i="1"/>
  <c r="D11822" i="1"/>
  <c r="D11823" i="1"/>
  <c r="D11824" i="1"/>
  <c r="D11825" i="1"/>
  <c r="D11826" i="1"/>
  <c r="D11827" i="1"/>
  <c r="D11829" i="1"/>
  <c r="D11830" i="1"/>
  <c r="D11831" i="1"/>
  <c r="D11832" i="1"/>
  <c r="D11833" i="1"/>
  <c r="D11834" i="1"/>
  <c r="D11835" i="1"/>
  <c r="D11836" i="1"/>
  <c r="D11837" i="1"/>
  <c r="D11839" i="1"/>
  <c r="D11840" i="1"/>
  <c r="D11841" i="1"/>
  <c r="D11842" i="1"/>
  <c r="D11843" i="1"/>
  <c r="D11844" i="1"/>
  <c r="D11845" i="1"/>
  <c r="D11846" i="1"/>
  <c r="D11847" i="1"/>
  <c r="D11848" i="1"/>
  <c r="D11849" i="1"/>
  <c r="D11851" i="1"/>
  <c r="D11852" i="1"/>
  <c r="D11853" i="1"/>
  <c r="D11854" i="1"/>
  <c r="D11855" i="1"/>
  <c r="D11856" i="1"/>
  <c r="D11857" i="1"/>
  <c r="D11858" i="1"/>
  <c r="D11859" i="1"/>
  <c r="D11862" i="1"/>
  <c r="D11863" i="1"/>
  <c r="D11864" i="1"/>
  <c r="D11865" i="1"/>
  <c r="D11866" i="1"/>
  <c r="D11867" i="1"/>
  <c r="D11868" i="1"/>
  <c r="D11869" i="1"/>
  <c r="D11870" i="1"/>
  <c r="D11871" i="1"/>
  <c r="D11872" i="1"/>
  <c r="D11873" i="1"/>
  <c r="D11874" i="1"/>
  <c r="D11875" i="1"/>
  <c r="D11877" i="1"/>
  <c r="D11879" i="1"/>
  <c r="D11880" i="1"/>
  <c r="D11881" i="1"/>
  <c r="D11882" i="1"/>
  <c r="D11883" i="1"/>
  <c r="D11886" i="1"/>
  <c r="D11888" i="1"/>
  <c r="D11889" i="1"/>
  <c r="D11890" i="1"/>
  <c r="D11891" i="1"/>
  <c r="D11892" i="1"/>
  <c r="D11893" i="1"/>
  <c r="D11894" i="1"/>
  <c r="D11896" i="1"/>
  <c r="D11897" i="1"/>
  <c r="D11898" i="1"/>
  <c r="D11900" i="1"/>
  <c r="D11901" i="1"/>
  <c r="D11902" i="1"/>
  <c r="D11904" i="1"/>
  <c r="D11905" i="1"/>
  <c r="D11906" i="1"/>
  <c r="D11907" i="1"/>
  <c r="D11909" i="1"/>
  <c r="D11910" i="1"/>
  <c r="D11912" i="1"/>
  <c r="D11913" i="1"/>
  <c r="D11914" i="1"/>
  <c r="D11916" i="1"/>
  <c r="D11917" i="1"/>
  <c r="D11918" i="1"/>
  <c r="D11920" i="1"/>
  <c r="D11921" i="1"/>
  <c r="D11922" i="1"/>
  <c r="D11925" i="1"/>
  <c r="D11926" i="1"/>
  <c r="D11927" i="1"/>
  <c r="D11928" i="1"/>
  <c r="D11929" i="1"/>
  <c r="D11930" i="1"/>
  <c r="D11931" i="1"/>
  <c r="D11932" i="1"/>
  <c r="D11933" i="1"/>
  <c r="D11934" i="1"/>
  <c r="D11936" i="1"/>
  <c r="D11937" i="1"/>
  <c r="D11938" i="1"/>
  <c r="D11939" i="1"/>
  <c r="D11940" i="1"/>
  <c r="D11943" i="1"/>
  <c r="D11944" i="1"/>
  <c r="D11945" i="1"/>
  <c r="D11946" i="1"/>
  <c r="D11947" i="1"/>
  <c r="D11948" i="1"/>
  <c r="D11949" i="1"/>
  <c r="D11950" i="1"/>
  <c r="D11951" i="1"/>
  <c r="D11952" i="1"/>
  <c r="D11953" i="1"/>
  <c r="D11954" i="1"/>
  <c r="D11955" i="1"/>
  <c r="D11956" i="1"/>
  <c r="D11957" i="1"/>
  <c r="D11958" i="1"/>
  <c r="D11959" i="1"/>
  <c r="D11960" i="1"/>
  <c r="D11961" i="1"/>
  <c r="D11962" i="1"/>
  <c r="D11963" i="1"/>
  <c r="D11965" i="1"/>
  <c r="D11966" i="1"/>
  <c r="D11967" i="1"/>
  <c r="D11968" i="1"/>
  <c r="D11969" i="1"/>
  <c r="D11971" i="1"/>
  <c r="D11972" i="1"/>
  <c r="D11973" i="1"/>
  <c r="D11974" i="1"/>
  <c r="D11975" i="1"/>
  <c r="D11978" i="1"/>
  <c r="D11979" i="1"/>
  <c r="D11980" i="1"/>
  <c r="D11981" i="1"/>
  <c r="D11982" i="1"/>
  <c r="D11983" i="1"/>
  <c r="D11984" i="1"/>
  <c r="D11985" i="1"/>
  <c r="D11986" i="1"/>
  <c r="D11987" i="1"/>
  <c r="D11988" i="1"/>
  <c r="D11989" i="1"/>
  <c r="D11990" i="1"/>
  <c r="D11991" i="1"/>
  <c r="D11992" i="1"/>
  <c r="D11993" i="1"/>
  <c r="D11994" i="1"/>
  <c r="D11995" i="1"/>
  <c r="D11996" i="1"/>
  <c r="D11998" i="1"/>
  <c r="D11999" i="1"/>
  <c r="D12000" i="1"/>
  <c r="D12001" i="1"/>
  <c r="D12003" i="1"/>
  <c r="D12004" i="1"/>
  <c r="D12006" i="1"/>
  <c r="D12007" i="1"/>
  <c r="D12008" i="1"/>
  <c r="D12009" i="1"/>
  <c r="D12011" i="1"/>
  <c r="D12012" i="1"/>
  <c r="D12013" i="1"/>
  <c r="D12014" i="1"/>
  <c r="D12015" i="1"/>
  <c r="D12018" i="1"/>
  <c r="D12019" i="1"/>
  <c r="D12020" i="1"/>
  <c r="D12021" i="1"/>
  <c r="D12022" i="1"/>
  <c r="D12023" i="1"/>
  <c r="D12024" i="1"/>
  <c r="D12025" i="1"/>
  <c r="D12026" i="1"/>
  <c r="D12027" i="1"/>
  <c r="D12028" i="1"/>
  <c r="D12029" i="1"/>
  <c r="D12030" i="1"/>
  <c r="D12031" i="1"/>
  <c r="D12033" i="1"/>
  <c r="D12034" i="1"/>
  <c r="D12035" i="1"/>
  <c r="D12036" i="1"/>
  <c r="D12037" i="1"/>
  <c r="D12038" i="1"/>
  <c r="D12039" i="1"/>
  <c r="D12040" i="1"/>
  <c r="D12041" i="1"/>
  <c r="D12042" i="1"/>
  <c r="D12043" i="1"/>
  <c r="D12044" i="1"/>
  <c r="D12045" i="1"/>
  <c r="D12046" i="1"/>
  <c r="D12047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5" i="1"/>
  <c r="E96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257" i="1"/>
  <c r="E258" i="1"/>
  <c r="E259" i="1"/>
  <c r="E260" i="1"/>
  <c r="E261" i="1"/>
  <c r="E262" i="1"/>
  <c r="E263" i="1"/>
  <c r="E264" i="1"/>
  <c r="E269" i="1"/>
  <c r="E270" i="1"/>
  <c r="E271" i="1"/>
  <c r="E272" i="1"/>
  <c r="E273" i="1"/>
  <c r="E274" i="1"/>
  <c r="E275" i="1"/>
  <c r="E276" i="1"/>
  <c r="E277" i="1"/>
  <c r="E278" i="1"/>
  <c r="E279" i="1"/>
  <c r="E280" i="1"/>
  <c r="E281" i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97" i="1"/>
  <c r="E298" i="1"/>
  <c r="E299" i="1"/>
  <c r="E300" i="1"/>
  <c r="E301" i="1"/>
  <c r="E302" i="1"/>
  <c r="E303" i="1"/>
  <c r="E304" i="1"/>
  <c r="E305" i="1"/>
  <c r="E306" i="1"/>
  <c r="E307" i="1"/>
  <c r="E308" i="1"/>
  <c r="E309" i="1"/>
  <c r="E310" i="1"/>
  <c r="E311" i="1"/>
  <c r="E312" i="1"/>
  <c r="E313" i="1"/>
  <c r="E314" i="1"/>
  <c r="E315" i="1"/>
  <c r="E316" i="1"/>
  <c r="E317" i="1"/>
  <c r="E318" i="1"/>
  <c r="E319" i="1"/>
  <c r="E320" i="1"/>
  <c r="E321" i="1"/>
  <c r="E433" i="1"/>
  <c r="E434" i="1"/>
  <c r="E435" i="1"/>
  <c r="E436" i="1"/>
  <c r="E437" i="1"/>
  <c r="E438" i="1"/>
  <c r="E439" i="1"/>
  <c r="E440" i="1"/>
  <c r="E441" i="1"/>
  <c r="E442" i="1"/>
  <c r="E443" i="1"/>
  <c r="E444" i="1"/>
  <c r="E445" i="1"/>
  <c r="E446" i="1"/>
  <c r="E447" i="1"/>
  <c r="E448" i="1"/>
  <c r="E449" i="1"/>
  <c r="E450" i="1"/>
  <c r="E454" i="1"/>
  <c r="E455" i="1"/>
  <c r="E456" i="1"/>
  <c r="E457" i="1"/>
  <c r="E458" i="1"/>
  <c r="E459" i="1"/>
  <c r="E460" i="1"/>
  <c r="E461" i="1"/>
  <c r="E462" i="1"/>
  <c r="E463" i="1"/>
  <c r="E464" i="1"/>
  <c r="E465" i="1"/>
  <c r="E466" i="1"/>
  <c r="E467" i="1"/>
  <c r="E468" i="1"/>
  <c r="E469" i="1"/>
  <c r="E470" i="1"/>
  <c r="E471" i="1"/>
  <c r="E472" i="1"/>
  <c r="E473" i="1"/>
  <c r="E474" i="1"/>
  <c r="E476" i="1"/>
  <c r="E477" i="1"/>
  <c r="E478" i="1"/>
  <c r="E479" i="1"/>
  <c r="E483" i="1"/>
  <c r="E484" i="1"/>
  <c r="E485" i="1"/>
  <c r="E486" i="1"/>
  <c r="E487" i="1"/>
  <c r="E488" i="1"/>
  <c r="E490" i="1"/>
  <c r="E491" i="1"/>
  <c r="E492" i="1"/>
  <c r="E493" i="1"/>
  <c r="E494" i="1"/>
  <c r="E495" i="1"/>
  <c r="E496" i="1"/>
  <c r="E497" i="1"/>
  <c r="E498" i="1"/>
  <c r="E499" i="1"/>
  <c r="E500" i="1"/>
  <c r="E501" i="1"/>
  <c r="E502" i="1"/>
  <c r="E503" i="1"/>
  <c r="E504" i="1"/>
  <c r="E506" i="1"/>
  <c r="E507" i="1"/>
  <c r="E508" i="1"/>
  <c r="E509" i="1"/>
  <c r="E510" i="1"/>
  <c r="E511" i="1"/>
  <c r="E512" i="1"/>
  <c r="E513" i="1"/>
  <c r="E514" i="1"/>
  <c r="E515" i="1"/>
  <c r="E516" i="1"/>
  <c r="E517" i="1"/>
  <c r="E518" i="1"/>
  <c r="E519" i="1"/>
  <c r="E520" i="1"/>
  <c r="E521" i="1"/>
  <c r="E522" i="1"/>
  <c r="E523" i="1"/>
  <c r="E524" i="1"/>
  <c r="E526" i="1"/>
  <c r="E527" i="1"/>
  <c r="E528" i="1"/>
  <c r="E529" i="1"/>
  <c r="E530" i="1"/>
  <c r="E531" i="1"/>
  <c r="E532" i="1"/>
  <c r="E533" i="1"/>
  <c r="E534" i="1"/>
  <c r="E535" i="1"/>
  <c r="E536" i="1"/>
  <c r="E537" i="1"/>
  <c r="E538" i="1"/>
  <c r="E539" i="1"/>
  <c r="E540" i="1"/>
  <c r="E541" i="1"/>
  <c r="E542" i="1"/>
  <c r="E543" i="1"/>
  <c r="E544" i="1"/>
  <c r="E545" i="1"/>
  <c r="E546" i="1"/>
  <c r="E547" i="1"/>
  <c r="E548" i="1"/>
  <c r="E549" i="1"/>
  <c r="E550" i="1"/>
  <c r="E551" i="1"/>
  <c r="E552" i="1"/>
  <c r="E553" i="1"/>
  <c r="E554" i="1"/>
  <c r="E556" i="1"/>
  <c r="E557" i="1"/>
  <c r="E558" i="1"/>
  <c r="E559" i="1"/>
  <c r="E560" i="1"/>
  <c r="E563" i="1"/>
  <c r="E564" i="1"/>
  <c r="E565" i="1"/>
  <c r="E566" i="1"/>
  <c r="E567" i="1"/>
  <c r="E568" i="1"/>
  <c r="E569" i="1"/>
  <c r="E570" i="1"/>
  <c r="E571" i="1"/>
  <c r="E572" i="1"/>
  <c r="E573" i="1"/>
  <c r="E574" i="1"/>
  <c r="E575" i="1"/>
  <c r="E576" i="1"/>
  <c r="E577" i="1"/>
  <c r="E578" i="1"/>
  <c r="E580" i="1"/>
  <c r="E581" i="1"/>
  <c r="E582" i="1"/>
  <c r="E583" i="1"/>
  <c r="E584" i="1"/>
  <c r="E585" i="1"/>
  <c r="E586" i="1"/>
  <c r="E588" i="1"/>
  <c r="E589" i="1"/>
  <c r="E590" i="1"/>
  <c r="E591" i="1"/>
  <c r="E592" i="1"/>
  <c r="E593" i="1"/>
  <c r="E594" i="1"/>
  <c r="E595" i="1"/>
  <c r="E596" i="1"/>
  <c r="E597" i="1"/>
  <c r="E598" i="1"/>
  <c r="E599" i="1"/>
  <c r="E600" i="1"/>
  <c r="E601" i="1"/>
  <c r="E602" i="1"/>
  <c r="E603" i="1"/>
  <c r="E604" i="1"/>
  <c r="E605" i="1"/>
  <c r="E606" i="1"/>
  <c r="E607" i="1"/>
  <c r="E608" i="1"/>
  <c r="E610" i="1"/>
  <c r="E611" i="1"/>
  <c r="E612" i="1"/>
  <c r="E613" i="1"/>
  <c r="E614" i="1"/>
  <c r="E615" i="1"/>
  <c r="E616" i="1"/>
  <c r="E619" i="1"/>
  <c r="E620" i="1"/>
  <c r="E621" i="1"/>
  <c r="E622" i="1"/>
  <c r="E624" i="1"/>
  <c r="E625" i="1"/>
  <c r="E626" i="1"/>
  <c r="E627" i="1"/>
  <c r="E629" i="1"/>
  <c r="E630" i="1"/>
  <c r="E632" i="1"/>
  <c r="E633" i="1"/>
  <c r="E634" i="1"/>
  <c r="E637" i="1"/>
  <c r="E638" i="1"/>
  <c r="E639" i="1"/>
  <c r="E641" i="1"/>
  <c r="E642" i="1"/>
  <c r="E643" i="1"/>
  <c r="E644" i="1"/>
  <c r="E645" i="1"/>
  <c r="E646" i="1"/>
  <c r="E647" i="1"/>
  <c r="E648" i="1"/>
  <c r="E649" i="1"/>
  <c r="E650" i="1"/>
  <c r="E651" i="1"/>
  <c r="E652" i="1"/>
  <c r="E653" i="1"/>
  <c r="E654" i="1"/>
  <c r="E655" i="1"/>
  <c r="E656" i="1"/>
  <c r="E660" i="1"/>
  <c r="E661" i="1"/>
  <c r="E662" i="1"/>
  <c r="E663" i="1"/>
  <c r="E664" i="1"/>
  <c r="E666" i="1"/>
  <c r="E667" i="1"/>
  <c r="E669" i="1"/>
  <c r="E670" i="1"/>
  <c r="E671" i="1"/>
  <c r="E672" i="1"/>
  <c r="E673" i="1"/>
  <c r="E674" i="1"/>
  <c r="E675" i="1"/>
  <c r="E676" i="1"/>
  <c r="E677" i="1"/>
  <c r="E678" i="1"/>
  <c r="E679" i="1"/>
  <c r="E680" i="1"/>
  <c r="E681" i="1"/>
  <c r="E682" i="1"/>
  <c r="E683" i="1"/>
  <c r="E684" i="1"/>
  <c r="E685" i="1"/>
  <c r="E687" i="1"/>
  <c r="E688" i="1"/>
  <c r="E689" i="1"/>
  <c r="E690" i="1"/>
  <c r="E691" i="1"/>
  <c r="E692" i="1"/>
  <c r="E693" i="1"/>
  <c r="E694" i="1"/>
  <c r="E695" i="1"/>
  <c r="E696" i="1"/>
  <c r="E697" i="1"/>
  <c r="E698" i="1"/>
  <c r="E699" i="1"/>
  <c r="E702" i="1"/>
  <c r="E703" i="1"/>
  <c r="E704" i="1"/>
  <c r="E705" i="1"/>
  <c r="E706" i="1"/>
  <c r="E707" i="1"/>
  <c r="E710" i="1"/>
  <c r="E711" i="1"/>
  <c r="E712" i="1"/>
  <c r="E713" i="1"/>
  <c r="E714" i="1"/>
  <c r="E715" i="1"/>
  <c r="E716" i="1"/>
  <c r="E717" i="1"/>
  <c r="E718" i="1"/>
  <c r="E719" i="1"/>
  <c r="E720" i="1"/>
  <c r="E721" i="1"/>
  <c r="E723" i="1"/>
  <c r="E724" i="1"/>
  <c r="E725" i="1"/>
  <c r="E726" i="1"/>
  <c r="E727" i="1"/>
  <c r="E728" i="1"/>
  <c r="E729" i="1"/>
  <c r="E730" i="1"/>
  <c r="E731" i="1"/>
  <c r="E732" i="1"/>
  <c r="E733" i="1"/>
  <c r="E734" i="1"/>
  <c r="E735" i="1"/>
  <c r="E736" i="1"/>
  <c r="E737" i="1"/>
  <c r="E738" i="1"/>
  <c r="E739" i="1"/>
  <c r="E742" i="1"/>
  <c r="E743" i="1"/>
  <c r="E744" i="1"/>
  <c r="E745" i="1"/>
  <c r="E746" i="1"/>
  <c r="E747" i="1"/>
  <c r="E749" i="1"/>
  <c r="E750" i="1"/>
  <c r="E751" i="1"/>
  <c r="E752" i="1"/>
  <c r="E753" i="1"/>
  <c r="E754" i="1"/>
  <c r="E755" i="1"/>
  <c r="E756" i="1"/>
  <c r="E757" i="1"/>
  <c r="E758" i="1"/>
  <c r="E759" i="1"/>
  <c r="E760" i="1"/>
  <c r="E763" i="1"/>
  <c r="E764" i="1"/>
  <c r="E765" i="1"/>
  <c r="E766" i="1"/>
  <c r="E767" i="1"/>
  <c r="E768" i="1"/>
  <c r="E769" i="1"/>
  <c r="E770" i="1"/>
  <c r="E771" i="1"/>
  <c r="E772" i="1"/>
  <c r="E773" i="1"/>
  <c r="E774" i="1"/>
  <c r="E775" i="1"/>
  <c r="E776" i="1"/>
  <c r="E777" i="1"/>
  <c r="E778" i="1"/>
  <c r="E779" i="1"/>
  <c r="E780" i="1"/>
  <c r="E781" i="1"/>
  <c r="E782" i="1"/>
  <c r="E783" i="1"/>
  <c r="E784" i="1"/>
  <c r="E785" i="1"/>
  <c r="E786" i="1"/>
  <c r="E787" i="1"/>
  <c r="E788" i="1"/>
  <c r="E789" i="1"/>
  <c r="E791" i="1"/>
  <c r="E792" i="1"/>
  <c r="E793" i="1"/>
  <c r="E794" i="1"/>
  <c r="E795" i="1"/>
  <c r="E796" i="1"/>
  <c r="E797" i="1"/>
  <c r="E798" i="1"/>
  <c r="E799" i="1"/>
  <c r="E800" i="1"/>
  <c r="E801" i="1"/>
  <c r="E802" i="1"/>
  <c r="E803" i="1"/>
  <c r="E804" i="1"/>
  <c r="E805" i="1"/>
  <c r="E806" i="1"/>
  <c r="E807" i="1"/>
  <c r="E808" i="1"/>
  <c r="E809" i="1"/>
  <c r="E810" i="1"/>
  <c r="E811" i="1"/>
  <c r="E812" i="1"/>
  <c r="E813" i="1"/>
  <c r="E814" i="1"/>
  <c r="E815" i="1"/>
  <c r="E816" i="1"/>
  <c r="E817" i="1"/>
  <c r="E818" i="1"/>
  <c r="E819" i="1"/>
  <c r="E820" i="1"/>
  <c r="E821" i="1"/>
  <c r="E822" i="1"/>
  <c r="E823" i="1"/>
  <c r="E826" i="1"/>
  <c r="E827" i="1"/>
  <c r="E828" i="1"/>
  <c r="E829" i="1"/>
  <c r="E830" i="1"/>
  <c r="E831" i="1"/>
  <c r="E832" i="1"/>
  <c r="E833" i="1"/>
  <c r="E834" i="1"/>
  <c r="E835" i="1"/>
  <c r="E836" i="1"/>
  <c r="E837" i="1"/>
  <c r="E838" i="1"/>
  <c r="E839" i="1"/>
  <c r="E840" i="1"/>
  <c r="E841" i="1"/>
  <c r="E842" i="1"/>
  <c r="E843" i="1"/>
  <c r="E844" i="1"/>
  <c r="E845" i="1"/>
  <c r="E846" i="1"/>
  <c r="E847" i="1"/>
  <c r="E850" i="1"/>
  <c r="E851" i="1"/>
  <c r="E852" i="1"/>
  <c r="E853" i="1"/>
  <c r="E854" i="1"/>
  <c r="E855" i="1"/>
  <c r="E856" i="1"/>
  <c r="E857" i="1"/>
  <c r="E858" i="1"/>
  <c r="E860" i="1"/>
  <c r="E861" i="1"/>
  <c r="E862" i="1"/>
  <c r="E863" i="1"/>
  <c r="E864" i="1"/>
  <c r="E865" i="1"/>
  <c r="E866" i="1"/>
  <c r="E867" i="1"/>
  <c r="E869" i="1"/>
  <c r="E871" i="1"/>
  <c r="E872" i="1"/>
  <c r="E873" i="1"/>
  <c r="E874" i="1"/>
  <c r="E875" i="1"/>
  <c r="E876" i="1"/>
  <c r="E878" i="1"/>
  <c r="E879" i="1"/>
  <c r="E880" i="1"/>
  <c r="E881" i="1"/>
  <c r="E882" i="1"/>
  <c r="E883" i="1"/>
  <c r="E884" i="1"/>
  <c r="E885" i="1"/>
  <c r="E889" i="1"/>
  <c r="E890" i="1"/>
  <c r="E891" i="1"/>
  <c r="E892" i="1"/>
  <c r="E893" i="1"/>
  <c r="E894" i="1"/>
  <c r="E895" i="1"/>
  <c r="E896" i="1"/>
  <c r="E897" i="1"/>
  <c r="E898" i="1"/>
  <c r="E899" i="1"/>
  <c r="E901" i="1"/>
  <c r="E902" i="1"/>
  <c r="E903" i="1"/>
  <c r="E904" i="1"/>
  <c r="E906" i="1"/>
  <c r="E907" i="1"/>
  <c r="E908" i="1"/>
  <c r="E909" i="1"/>
  <c r="E910" i="1"/>
  <c r="E912" i="1"/>
  <c r="E913" i="1"/>
  <c r="E914" i="1"/>
  <c r="E915" i="1"/>
  <c r="E916" i="1"/>
  <c r="E917" i="1"/>
  <c r="E918" i="1"/>
  <c r="E919" i="1"/>
  <c r="E920" i="1"/>
  <c r="E921" i="1"/>
  <c r="E922" i="1"/>
  <c r="E923" i="1"/>
  <c r="E924" i="1"/>
  <c r="E925" i="1"/>
  <c r="E926" i="1"/>
  <c r="E927" i="1"/>
  <c r="E928" i="1"/>
  <c r="E929" i="1"/>
  <c r="E930" i="1"/>
  <c r="E931" i="1"/>
  <c r="E932" i="1"/>
  <c r="E933" i="1"/>
  <c r="E934" i="1"/>
  <c r="E935" i="1"/>
  <c r="E936" i="1"/>
  <c r="E937" i="1"/>
  <c r="E938" i="1"/>
  <c r="E939" i="1"/>
  <c r="E940" i="1"/>
  <c r="E941" i="1"/>
  <c r="E943" i="1"/>
  <c r="E944" i="1"/>
  <c r="E945" i="1"/>
  <c r="E946" i="1"/>
  <c r="E947" i="1"/>
  <c r="E950" i="1"/>
  <c r="E951" i="1"/>
  <c r="E952" i="1"/>
  <c r="E953" i="1"/>
  <c r="E954" i="1"/>
  <c r="E955" i="1"/>
  <c r="E956" i="1"/>
  <c r="E957" i="1"/>
  <c r="E958" i="1"/>
  <c r="E959" i="1"/>
  <c r="E960" i="1"/>
  <c r="E961" i="1"/>
  <c r="E962" i="1"/>
  <c r="E963" i="1"/>
  <c r="E965" i="1"/>
  <c r="E966" i="1"/>
  <c r="E967" i="1"/>
  <c r="E968" i="1"/>
  <c r="E969" i="1"/>
  <c r="E970" i="1"/>
  <c r="E971" i="1"/>
  <c r="E972" i="1"/>
  <c r="E973" i="1"/>
  <c r="E974" i="1"/>
  <c r="E975" i="1"/>
  <c r="E976" i="1"/>
  <c r="E977" i="1"/>
  <c r="E978" i="1"/>
  <c r="E979" i="1"/>
  <c r="E980" i="1"/>
  <c r="E981" i="1"/>
  <c r="E982" i="1"/>
  <c r="E983" i="1"/>
  <c r="E985" i="1"/>
  <c r="E987" i="1"/>
  <c r="E988" i="1"/>
  <c r="E989" i="1"/>
  <c r="E990" i="1"/>
  <c r="E991" i="1"/>
  <c r="E992" i="1"/>
  <c r="E993" i="1"/>
  <c r="E994" i="1"/>
  <c r="E995" i="1"/>
  <c r="E996" i="1"/>
  <c r="E997" i="1"/>
  <c r="E998" i="1"/>
  <c r="E999" i="1"/>
  <c r="E1000" i="1"/>
  <c r="E1001" i="1"/>
  <c r="E1002" i="1"/>
  <c r="E1003" i="1"/>
  <c r="E1004" i="1"/>
  <c r="E1005" i="1"/>
  <c r="E1006" i="1"/>
  <c r="E1007" i="1"/>
  <c r="E1008" i="1"/>
  <c r="E1009" i="1"/>
  <c r="E1010" i="1"/>
  <c r="E1011" i="1"/>
  <c r="E1012" i="1"/>
  <c r="E1013" i="1"/>
  <c r="E1014" i="1"/>
  <c r="E1015" i="1"/>
  <c r="E1017" i="1"/>
  <c r="E1018" i="1"/>
  <c r="E1019" i="1"/>
  <c r="E1020" i="1"/>
  <c r="E1021" i="1"/>
  <c r="E1022" i="1"/>
  <c r="E1023" i="1"/>
  <c r="E1024" i="1"/>
  <c r="E1027" i="1"/>
  <c r="E1028" i="1"/>
  <c r="E1029" i="1"/>
  <c r="E1030" i="1"/>
  <c r="E1031" i="1"/>
  <c r="E1032" i="1"/>
  <c r="E1035" i="1"/>
  <c r="E1036" i="1"/>
  <c r="E1037" i="1"/>
  <c r="E1038" i="1"/>
  <c r="E1039" i="1"/>
  <c r="E1041" i="1"/>
  <c r="E1042" i="1"/>
  <c r="E1043" i="1"/>
  <c r="E1044" i="1"/>
  <c r="E1045" i="1"/>
  <c r="E1046" i="1"/>
  <c r="E1047" i="1"/>
  <c r="E1048" i="1"/>
  <c r="E1049" i="1"/>
  <c r="E1050" i="1"/>
  <c r="E1051" i="1"/>
  <c r="E1052" i="1"/>
  <c r="E1053" i="1"/>
  <c r="E1054" i="1"/>
  <c r="E1055" i="1"/>
  <c r="E1056" i="1"/>
  <c r="E1057" i="1"/>
  <c r="E1058" i="1"/>
  <c r="E1059" i="1"/>
  <c r="E1062" i="1"/>
  <c r="E1063" i="1"/>
  <c r="E1064" i="1"/>
  <c r="E1065" i="1"/>
  <c r="E1066" i="1"/>
  <c r="E1067" i="1"/>
  <c r="E1068" i="1"/>
  <c r="E1069" i="1"/>
  <c r="E1070" i="1"/>
  <c r="E1071" i="1"/>
  <c r="E1072" i="1"/>
  <c r="E1073" i="1"/>
  <c r="E1074" i="1"/>
  <c r="E1075" i="1"/>
  <c r="E1076" i="1"/>
  <c r="E1077" i="1"/>
  <c r="E1078" i="1"/>
  <c r="E1079" i="1"/>
  <c r="E1080" i="1"/>
  <c r="E1081" i="1"/>
  <c r="E1082" i="1"/>
  <c r="E1084" i="1"/>
  <c r="E1085" i="1"/>
  <c r="E1086" i="1"/>
  <c r="E1087" i="1"/>
  <c r="E1090" i="1"/>
  <c r="E1091" i="1"/>
  <c r="E1092" i="1"/>
  <c r="E1094" i="1"/>
  <c r="E1095" i="1"/>
  <c r="E1096" i="1"/>
  <c r="E1099" i="1"/>
  <c r="E1100" i="1"/>
  <c r="E1101" i="1"/>
  <c r="E1102" i="1"/>
  <c r="E1103" i="1"/>
  <c r="E1104" i="1"/>
  <c r="E1105" i="1"/>
  <c r="E1106" i="1"/>
  <c r="E1107" i="1"/>
  <c r="E1109" i="1"/>
  <c r="E1110" i="1"/>
  <c r="E1111" i="1"/>
  <c r="E1113" i="1"/>
  <c r="E1114" i="1"/>
  <c r="E1115" i="1"/>
  <c r="E1116" i="1"/>
  <c r="E1117" i="1"/>
  <c r="E1119" i="1"/>
  <c r="E1120" i="1"/>
  <c r="E1122" i="1"/>
  <c r="E1123" i="1"/>
  <c r="E1124" i="1"/>
  <c r="E1125" i="1"/>
  <c r="E1126" i="1"/>
  <c r="E1127" i="1"/>
  <c r="E1128" i="1"/>
  <c r="E1130" i="1"/>
  <c r="E1131" i="1"/>
  <c r="E1132" i="1"/>
  <c r="E1133" i="1"/>
  <c r="E1134" i="1"/>
  <c r="E1135" i="1"/>
  <c r="E1136" i="1"/>
  <c r="E1139" i="1"/>
  <c r="E1140" i="1"/>
  <c r="E1141" i="1"/>
  <c r="E1142" i="1"/>
  <c r="E1143" i="1"/>
  <c r="E1144" i="1"/>
  <c r="E1145" i="1"/>
  <c r="E1146" i="1"/>
  <c r="E1147" i="1"/>
  <c r="E1148" i="1"/>
  <c r="E1149" i="1"/>
  <c r="E1150" i="1"/>
  <c r="E1151" i="1"/>
  <c r="E1152" i="1"/>
  <c r="E1153" i="1"/>
  <c r="E1154" i="1"/>
  <c r="E1155" i="1"/>
  <c r="E1156" i="1"/>
  <c r="E1157" i="1"/>
  <c r="E1158" i="1"/>
  <c r="E1159" i="1"/>
  <c r="E1163" i="1"/>
  <c r="E1164" i="1"/>
  <c r="E1165" i="1"/>
  <c r="E1166" i="1"/>
  <c r="E1167" i="1"/>
  <c r="E1168" i="1"/>
  <c r="E1169" i="1"/>
  <c r="E1170" i="1"/>
  <c r="E1172" i="1"/>
  <c r="E1173" i="1"/>
  <c r="E1174" i="1"/>
  <c r="E1175" i="1"/>
  <c r="E1176" i="1"/>
  <c r="E1177" i="1"/>
  <c r="E1178" i="1"/>
  <c r="E1179" i="1"/>
  <c r="E1181" i="1"/>
  <c r="E1182" i="1"/>
  <c r="E1183" i="1"/>
  <c r="E1185" i="1"/>
  <c r="E1186" i="1"/>
  <c r="E1187" i="1"/>
  <c r="E1188" i="1"/>
  <c r="E1189" i="1"/>
  <c r="E1190" i="1"/>
  <c r="E1193" i="1"/>
  <c r="E1194" i="1"/>
  <c r="E1195" i="1"/>
  <c r="E1196" i="1"/>
  <c r="E1197" i="1"/>
  <c r="E1198" i="1"/>
  <c r="E1199" i="1"/>
  <c r="E1200" i="1"/>
  <c r="E1201" i="1"/>
  <c r="E1202" i="1"/>
  <c r="E1203" i="1"/>
  <c r="E1204" i="1"/>
  <c r="E1205" i="1"/>
  <c r="E1206" i="1"/>
  <c r="E1207" i="1"/>
  <c r="E1208" i="1"/>
  <c r="E1209" i="1"/>
  <c r="E1210" i="1"/>
  <c r="E1211" i="1"/>
  <c r="E1212" i="1"/>
  <c r="E1213" i="1"/>
  <c r="E1215" i="1"/>
  <c r="E1216" i="1"/>
  <c r="E1217" i="1"/>
  <c r="E1218" i="1"/>
  <c r="E1219" i="1"/>
  <c r="E1222" i="1"/>
  <c r="E1223" i="1"/>
  <c r="E1224" i="1"/>
  <c r="E1226" i="1"/>
  <c r="E1227" i="1"/>
  <c r="E1228" i="1"/>
  <c r="E1229" i="1"/>
  <c r="E1230" i="1"/>
  <c r="E1231" i="1"/>
  <c r="E1232" i="1"/>
  <c r="E1233" i="1"/>
  <c r="E1234" i="1"/>
  <c r="E1235" i="1"/>
  <c r="E1236" i="1"/>
  <c r="E1237" i="1"/>
  <c r="E1238" i="1"/>
  <c r="E1239" i="1"/>
  <c r="E1240" i="1"/>
  <c r="E1241" i="1"/>
  <c r="E1243" i="1"/>
  <c r="E1244" i="1"/>
  <c r="E1245" i="1"/>
  <c r="E1248" i="1"/>
  <c r="E1249" i="1"/>
  <c r="E1250" i="1"/>
  <c r="E1251" i="1"/>
  <c r="E1252" i="1"/>
  <c r="E1253" i="1"/>
  <c r="E1254" i="1"/>
  <c r="E1255" i="1"/>
  <c r="E1256" i="1"/>
  <c r="E1257" i="1"/>
  <c r="E1258" i="1"/>
  <c r="E1259" i="1"/>
  <c r="E1260" i="1"/>
  <c r="E1261" i="1"/>
  <c r="E1262" i="1"/>
  <c r="E1263" i="1"/>
  <c r="E1264" i="1"/>
  <c r="E1265" i="1"/>
  <c r="E1266" i="1"/>
  <c r="E1267" i="1"/>
  <c r="E1268" i="1"/>
  <c r="E1269" i="1"/>
  <c r="E1270" i="1"/>
  <c r="E1271" i="1"/>
  <c r="E1272" i="1"/>
  <c r="E1273" i="1"/>
  <c r="E1274" i="1"/>
  <c r="E1275" i="1"/>
  <c r="E1276" i="1"/>
  <c r="E1277" i="1"/>
  <c r="E1278" i="1"/>
  <c r="E1279" i="1"/>
  <c r="E1280" i="1"/>
  <c r="E1281" i="1"/>
  <c r="E1282" i="1"/>
  <c r="E1283" i="1"/>
  <c r="E1284" i="1"/>
  <c r="E1285" i="1"/>
  <c r="E1286" i="1"/>
  <c r="E1287" i="1"/>
  <c r="E1288" i="1"/>
  <c r="E1289" i="1"/>
  <c r="E1290" i="1"/>
  <c r="E1291" i="1"/>
  <c r="E1292" i="1"/>
  <c r="E1293" i="1"/>
  <c r="E1294" i="1"/>
  <c r="E1295" i="1"/>
  <c r="E1296" i="1"/>
  <c r="E1297" i="1"/>
  <c r="E1299" i="1"/>
  <c r="E1300" i="1"/>
  <c r="E1301" i="1"/>
  <c r="E1302" i="1"/>
  <c r="E1303" i="1"/>
  <c r="E1304" i="1"/>
  <c r="E1305" i="1"/>
  <c r="E1306" i="1"/>
  <c r="E1308" i="1"/>
  <c r="E1309" i="1"/>
  <c r="E1310" i="1"/>
  <c r="E1311" i="1"/>
  <c r="E1312" i="1"/>
  <c r="E1313" i="1"/>
  <c r="E1314" i="1"/>
  <c r="E1315" i="1"/>
  <c r="E1316" i="1"/>
  <c r="E1317" i="1"/>
  <c r="E1318" i="1"/>
  <c r="E1319" i="1"/>
  <c r="E1320" i="1"/>
  <c r="E1321" i="1"/>
  <c r="E1322" i="1"/>
  <c r="E1323" i="1"/>
  <c r="E1324" i="1"/>
  <c r="E1325" i="1"/>
  <c r="E1326" i="1"/>
  <c r="E1327" i="1"/>
  <c r="E1328" i="1"/>
  <c r="E1329" i="1"/>
  <c r="E1330" i="1"/>
  <c r="E1332" i="1"/>
  <c r="E1333" i="1"/>
  <c r="E1334" i="1"/>
  <c r="E1335" i="1"/>
  <c r="E1336" i="1"/>
  <c r="E1338" i="1"/>
  <c r="E1339" i="1"/>
  <c r="E1340" i="1"/>
  <c r="E1341" i="1"/>
  <c r="E1342" i="1"/>
  <c r="E1343" i="1"/>
  <c r="E1344" i="1"/>
  <c r="E1345" i="1"/>
  <c r="E1346" i="1"/>
  <c r="E1347" i="1"/>
  <c r="E1348" i="1"/>
  <c r="E1349" i="1"/>
  <c r="E1350" i="1"/>
  <c r="E1352" i="1"/>
  <c r="E1353" i="1"/>
  <c r="E1355" i="1"/>
  <c r="E1356" i="1"/>
  <c r="E1358" i="1"/>
  <c r="E1362" i="1"/>
  <c r="E1363" i="1"/>
  <c r="E1364" i="1"/>
  <c r="E1365" i="1"/>
  <c r="E1366" i="1"/>
  <c r="E1367" i="1"/>
  <c r="E1368" i="1"/>
  <c r="E1369" i="1"/>
  <c r="E1370" i="1"/>
  <c r="E1371" i="1"/>
  <c r="E1372" i="1"/>
  <c r="E1373" i="1"/>
  <c r="E1374" i="1"/>
  <c r="E1375" i="1"/>
  <c r="E1376" i="1"/>
  <c r="E1377" i="1"/>
  <c r="E1378" i="1"/>
  <c r="E1379" i="1"/>
  <c r="E1380" i="1"/>
  <c r="E1381" i="1"/>
  <c r="E1382" i="1"/>
  <c r="E1383" i="1"/>
  <c r="E1384" i="1"/>
  <c r="E1385" i="1"/>
  <c r="E1386" i="1"/>
  <c r="E1387" i="1"/>
  <c r="E1388" i="1"/>
  <c r="E1389" i="1"/>
  <c r="E1390" i="1"/>
  <c r="E1391" i="1"/>
  <c r="E1392" i="1"/>
  <c r="E1393" i="1"/>
  <c r="E1394" i="1"/>
  <c r="E1395" i="1"/>
  <c r="E1396" i="1"/>
  <c r="E1397" i="1"/>
  <c r="E1398" i="1"/>
  <c r="E1399" i="1"/>
  <c r="E1400" i="1"/>
  <c r="E1401" i="1"/>
  <c r="E1402" i="1"/>
  <c r="E1403" i="1"/>
  <c r="E1404" i="1"/>
  <c r="E1405" i="1"/>
  <c r="E1406" i="1"/>
  <c r="E1407" i="1"/>
  <c r="E1408" i="1"/>
  <c r="E1410" i="1"/>
  <c r="E1411" i="1"/>
  <c r="E1412" i="1"/>
  <c r="E1413" i="1"/>
  <c r="E1414" i="1"/>
  <c r="E1415" i="1"/>
  <c r="E1416" i="1"/>
  <c r="E1417" i="1"/>
  <c r="E1418" i="1"/>
  <c r="E1419" i="1"/>
  <c r="E1420" i="1"/>
  <c r="E1421" i="1"/>
  <c r="E1422" i="1"/>
  <c r="E1424" i="1"/>
  <c r="E1425" i="1"/>
  <c r="E1426" i="1"/>
  <c r="E1427" i="1"/>
  <c r="E1428" i="1"/>
  <c r="E1429" i="1"/>
  <c r="E1430" i="1"/>
  <c r="E1431" i="1"/>
  <c r="E1432" i="1"/>
  <c r="E1433" i="1"/>
  <c r="E1434" i="1"/>
  <c r="E1435" i="1"/>
  <c r="E1436" i="1"/>
  <c r="E1437" i="1"/>
  <c r="E1438" i="1"/>
  <c r="E1439" i="1"/>
  <c r="E1440" i="1"/>
  <c r="E1441" i="1"/>
  <c r="E1442" i="1"/>
  <c r="E1443" i="1"/>
  <c r="E1444" i="1"/>
  <c r="E1445" i="1"/>
  <c r="E1446" i="1"/>
  <c r="E1447" i="1"/>
  <c r="E1448" i="1"/>
  <c r="E1449" i="1"/>
  <c r="E1450" i="1"/>
  <c r="E1451" i="1"/>
  <c r="E1452" i="1"/>
  <c r="E1453" i="1"/>
  <c r="E1454" i="1"/>
  <c r="E1455" i="1"/>
  <c r="E1456" i="1"/>
  <c r="E1457" i="1"/>
  <c r="E1458" i="1"/>
  <c r="E1459" i="1"/>
  <c r="E1460" i="1"/>
  <c r="E1461" i="1"/>
  <c r="E1462" i="1"/>
  <c r="E1463" i="1"/>
  <c r="E1464" i="1"/>
  <c r="E1465" i="1"/>
  <c r="E1466" i="1"/>
  <c r="E1467" i="1"/>
  <c r="E1468" i="1"/>
  <c r="E1469" i="1"/>
  <c r="E1470" i="1"/>
  <c r="E1471" i="1"/>
  <c r="E1472" i="1"/>
  <c r="E1473" i="1"/>
  <c r="E1474" i="1"/>
  <c r="E1475" i="1"/>
  <c r="E1476" i="1"/>
  <c r="E1477" i="1"/>
  <c r="E1478" i="1"/>
  <c r="E1479" i="1"/>
  <c r="E1480" i="1"/>
  <c r="E1481" i="1"/>
  <c r="E1482" i="1"/>
  <c r="E1483" i="1"/>
  <c r="E1484" i="1"/>
  <c r="E1485" i="1"/>
  <c r="E1486" i="1"/>
  <c r="E1487" i="1"/>
  <c r="E1488" i="1"/>
  <c r="E1489" i="1"/>
  <c r="E1490" i="1"/>
  <c r="E1491" i="1"/>
  <c r="E1492" i="1"/>
  <c r="E1493" i="1"/>
  <c r="E1494" i="1"/>
  <c r="E1495" i="1"/>
  <c r="E1496" i="1"/>
  <c r="E1497" i="1"/>
  <c r="E1498" i="1"/>
  <c r="E1499" i="1"/>
  <c r="E1500" i="1"/>
  <c r="E1501" i="1"/>
  <c r="E1503" i="1"/>
  <c r="E1504" i="1"/>
  <c r="E1505" i="1"/>
  <c r="E1506" i="1"/>
  <c r="E1507" i="1"/>
  <c r="E1508" i="1"/>
  <c r="E1509" i="1"/>
  <c r="E1510" i="1"/>
  <c r="E1511" i="1"/>
  <c r="E1512" i="1"/>
  <c r="E1513" i="1"/>
  <c r="E1514" i="1"/>
  <c r="E1515" i="1"/>
  <c r="E1516" i="1"/>
  <c r="E1517" i="1"/>
  <c r="E1518" i="1"/>
  <c r="E1519" i="1"/>
  <c r="E1520" i="1"/>
  <c r="E1521" i="1"/>
  <c r="E1522" i="1"/>
  <c r="E1524" i="1"/>
  <c r="E1525" i="1"/>
  <c r="E1526" i="1"/>
  <c r="E1527" i="1"/>
  <c r="E1528" i="1"/>
  <c r="E1529" i="1"/>
  <c r="E1530" i="1"/>
  <c r="E1531" i="1"/>
  <c r="E1532" i="1"/>
  <c r="E1533" i="1"/>
  <c r="E1534" i="1"/>
  <c r="E1535" i="1"/>
  <c r="E1536" i="1"/>
  <c r="E1537" i="1"/>
  <c r="E1539" i="1"/>
  <c r="E1540" i="1"/>
  <c r="E1541" i="1"/>
  <c r="E1542" i="1"/>
  <c r="E1545" i="1"/>
  <c r="E1546" i="1"/>
  <c r="E1547" i="1"/>
  <c r="E1548" i="1"/>
  <c r="E1549" i="1"/>
  <c r="E1550" i="1"/>
  <c r="E1551" i="1"/>
  <c r="E1552" i="1"/>
  <c r="E1553" i="1"/>
  <c r="E1554" i="1"/>
  <c r="E1555" i="1"/>
  <c r="E1556" i="1"/>
  <c r="E1557" i="1"/>
  <c r="E1558" i="1"/>
  <c r="E1559" i="1"/>
  <c r="E1560" i="1"/>
  <c r="E1561" i="1"/>
  <c r="E1562" i="1"/>
  <c r="E1563" i="1"/>
  <c r="E1564" i="1"/>
  <c r="E1565" i="1"/>
  <c r="E1566" i="1"/>
  <c r="E1567" i="1"/>
  <c r="E1568" i="1"/>
  <c r="E1569" i="1"/>
  <c r="E1570" i="1"/>
  <c r="E1571" i="1"/>
  <c r="E1572" i="1"/>
  <c r="E1573" i="1"/>
  <c r="E1574" i="1"/>
  <c r="E1575" i="1"/>
  <c r="E1576" i="1"/>
  <c r="E1577" i="1"/>
  <c r="E1578" i="1"/>
  <c r="E1579" i="1"/>
  <c r="E1580" i="1"/>
  <c r="E1581" i="1"/>
  <c r="E1582" i="1"/>
  <c r="E1583" i="1"/>
  <c r="E1584" i="1"/>
  <c r="E1585" i="1"/>
  <c r="E1586" i="1"/>
  <c r="E1587" i="1"/>
  <c r="E1588" i="1"/>
  <c r="E1589" i="1"/>
  <c r="E1590" i="1"/>
  <c r="E1591" i="1"/>
  <c r="E1592" i="1"/>
  <c r="E1593" i="1"/>
  <c r="E1594" i="1"/>
  <c r="E1595" i="1"/>
  <c r="E1596" i="1"/>
  <c r="E1597" i="1"/>
  <c r="E1598" i="1"/>
  <c r="E1599" i="1"/>
  <c r="E1600" i="1"/>
  <c r="E1601" i="1"/>
  <c r="E1602" i="1"/>
  <c r="E1603" i="1"/>
  <c r="E1604" i="1"/>
  <c r="E1605" i="1"/>
  <c r="E1606" i="1"/>
  <c r="E1607" i="1"/>
  <c r="E1608" i="1"/>
  <c r="E1609" i="1"/>
  <c r="E1610" i="1"/>
  <c r="E1611" i="1"/>
  <c r="E1612" i="1"/>
  <c r="E1613" i="1"/>
  <c r="E1614" i="1"/>
  <c r="E1615" i="1"/>
  <c r="E1616" i="1"/>
  <c r="E1617" i="1"/>
  <c r="E1618" i="1"/>
  <c r="E1619" i="1"/>
  <c r="E1620" i="1"/>
  <c r="E1621" i="1"/>
  <c r="E1622" i="1"/>
  <c r="E1623" i="1"/>
  <c r="E1624" i="1"/>
  <c r="E1625" i="1"/>
  <c r="E1626" i="1"/>
  <c r="E1628" i="1"/>
  <c r="E1629" i="1"/>
  <c r="E1630" i="1"/>
  <c r="E1631" i="1"/>
  <c r="E1632" i="1"/>
  <c r="E1633" i="1"/>
  <c r="E1634" i="1"/>
  <c r="E1635" i="1"/>
  <c r="E1636" i="1"/>
  <c r="E1637" i="1"/>
  <c r="E1638" i="1"/>
  <c r="E1639" i="1"/>
  <c r="E1640" i="1"/>
  <c r="E1641" i="1"/>
  <c r="E1642" i="1"/>
  <c r="E1643" i="1"/>
  <c r="E1644" i="1"/>
  <c r="E1645" i="1"/>
  <c r="E1646" i="1"/>
  <c r="E1647" i="1"/>
  <c r="E1648" i="1"/>
  <c r="E1649" i="1"/>
  <c r="E1650" i="1"/>
  <c r="E1651" i="1"/>
  <c r="E1652" i="1"/>
  <c r="E1653" i="1"/>
  <c r="E1654" i="1"/>
  <c r="E1655" i="1"/>
  <c r="E1656" i="1"/>
  <c r="E1657" i="1"/>
  <c r="E1658" i="1"/>
  <c r="E1659" i="1"/>
  <c r="E1661" i="1"/>
  <c r="E1662" i="1"/>
  <c r="E1663" i="1"/>
  <c r="E1664" i="1"/>
  <c r="E1665" i="1"/>
  <c r="E1666" i="1"/>
  <c r="E1667" i="1"/>
  <c r="E1668" i="1"/>
  <c r="E1669" i="1"/>
  <c r="E1670" i="1"/>
  <c r="E1671" i="1"/>
  <c r="E1672" i="1"/>
  <c r="E1673" i="1"/>
  <c r="E1674" i="1"/>
  <c r="E1675" i="1"/>
  <c r="E1676" i="1"/>
  <c r="E1677" i="1"/>
  <c r="E1678" i="1"/>
  <c r="E1679" i="1"/>
  <c r="E1680" i="1"/>
  <c r="E1683" i="1"/>
  <c r="E1684" i="1"/>
  <c r="E1685" i="1"/>
  <c r="E1686" i="1"/>
  <c r="E1687" i="1"/>
  <c r="E1688" i="1"/>
  <c r="E1689" i="1"/>
  <c r="E1690" i="1"/>
  <c r="E1691" i="1"/>
  <c r="E1692" i="1"/>
  <c r="E1693" i="1"/>
  <c r="E1694" i="1"/>
  <c r="E1695" i="1"/>
  <c r="E1696" i="1"/>
  <c r="E1697" i="1"/>
  <c r="E1698" i="1"/>
  <c r="E1699" i="1"/>
  <c r="E1700" i="1"/>
  <c r="E1701" i="1"/>
  <c r="E1702" i="1"/>
  <c r="E1703" i="1"/>
  <c r="E1704" i="1"/>
  <c r="E1705" i="1"/>
  <c r="E1706" i="1"/>
  <c r="E1707" i="1"/>
  <c r="E1708" i="1"/>
  <c r="E1709" i="1"/>
  <c r="E1710" i="1"/>
  <c r="E1711" i="1"/>
  <c r="E1712" i="1"/>
  <c r="E1713" i="1"/>
  <c r="E1714" i="1"/>
  <c r="E1715" i="1"/>
  <c r="E1716" i="1"/>
  <c r="E1717" i="1"/>
  <c r="E1718" i="1"/>
  <c r="E1719" i="1"/>
  <c r="E1720" i="1"/>
  <c r="E1721" i="1"/>
  <c r="E1722" i="1"/>
  <c r="E1723" i="1"/>
  <c r="E1724" i="1"/>
  <c r="E1725" i="1"/>
  <c r="E1726" i="1"/>
  <c r="E1727" i="1"/>
  <c r="E1728" i="1"/>
  <c r="E1729" i="1"/>
  <c r="E1730" i="1"/>
  <c r="E1731" i="1"/>
  <c r="E1732" i="1"/>
  <c r="E1733" i="1"/>
  <c r="E1734" i="1"/>
  <c r="E1735" i="1"/>
  <c r="E1736" i="1"/>
  <c r="E1737" i="1"/>
  <c r="E1738" i="1"/>
  <c r="E1739" i="1"/>
  <c r="E1740" i="1"/>
  <c r="E1741" i="1"/>
  <c r="E1742" i="1"/>
  <c r="E1743" i="1"/>
  <c r="E1744" i="1"/>
  <c r="E1745" i="1"/>
  <c r="E1746" i="1"/>
  <c r="E1747" i="1"/>
  <c r="E1748" i="1"/>
  <c r="E1749" i="1"/>
  <c r="E1750" i="1"/>
  <c r="E1751" i="1"/>
  <c r="E1752" i="1"/>
  <c r="E1753" i="1"/>
  <c r="E1754" i="1"/>
  <c r="E1755" i="1"/>
  <c r="E1756" i="1"/>
  <c r="E1757" i="1"/>
  <c r="E1758" i="1"/>
  <c r="E1759" i="1"/>
  <c r="E1761" i="1"/>
  <c r="E1762" i="1"/>
  <c r="E1763" i="1"/>
  <c r="E1764" i="1"/>
  <c r="E1765" i="1"/>
  <c r="E1766" i="1"/>
  <c r="E1767" i="1"/>
  <c r="E1768" i="1"/>
  <c r="E1769" i="1"/>
  <c r="E1770" i="1"/>
  <c r="E1771" i="1"/>
  <c r="E1772" i="1"/>
  <c r="E1773" i="1"/>
  <c r="E1774" i="1"/>
  <c r="E1775" i="1"/>
  <c r="E1776" i="1"/>
  <c r="E1777" i="1"/>
  <c r="E1778" i="1"/>
  <c r="E1779" i="1"/>
  <c r="E1780" i="1"/>
  <c r="E1781" i="1"/>
  <c r="E1782" i="1"/>
  <c r="E1783" i="1"/>
  <c r="E1784" i="1"/>
  <c r="E1785" i="1"/>
  <c r="E1786" i="1"/>
  <c r="E1787" i="1"/>
  <c r="E1788" i="1"/>
  <c r="E1789" i="1"/>
  <c r="E1790" i="1"/>
  <c r="E1791" i="1"/>
  <c r="E1792" i="1"/>
  <c r="E1793" i="1"/>
  <c r="E1794" i="1"/>
  <c r="E1795" i="1"/>
  <c r="E1796" i="1"/>
  <c r="E1798" i="1"/>
  <c r="E1799" i="1"/>
  <c r="E1800" i="1"/>
  <c r="E1801" i="1"/>
  <c r="E1802" i="1"/>
  <c r="E1803" i="1"/>
  <c r="E1804" i="1"/>
  <c r="E1805" i="1"/>
  <c r="E1806" i="1"/>
  <c r="E1807" i="1"/>
  <c r="E1808" i="1"/>
  <c r="E1809" i="1"/>
  <c r="E1810" i="1"/>
  <c r="E1811" i="1"/>
  <c r="E1812" i="1"/>
  <c r="E1814" i="1"/>
  <c r="E1816" i="1"/>
  <c r="E1817" i="1"/>
  <c r="E1818" i="1"/>
  <c r="E1819" i="1"/>
  <c r="E1820" i="1"/>
  <c r="E1821" i="1"/>
  <c r="E1822" i="1"/>
  <c r="E1823" i="1"/>
  <c r="E1825" i="1"/>
  <c r="E1826" i="1"/>
  <c r="E1827" i="1"/>
  <c r="E1828" i="1"/>
  <c r="E1829" i="1"/>
  <c r="E1830" i="1"/>
  <c r="E1831" i="1"/>
  <c r="E1832" i="1"/>
  <c r="E1833" i="1"/>
  <c r="E1834" i="1"/>
  <c r="E1835" i="1"/>
  <c r="E1836" i="1"/>
  <c r="E1837" i="1"/>
  <c r="E1838" i="1"/>
  <c r="E1839" i="1"/>
  <c r="E1840" i="1"/>
  <c r="E1841" i="1"/>
  <c r="E1843" i="1"/>
  <c r="E1844" i="1"/>
  <c r="E1845" i="1"/>
  <c r="E1846" i="1"/>
  <c r="E1847" i="1"/>
  <c r="E1848" i="1"/>
  <c r="E1850" i="1"/>
  <c r="E1851" i="1"/>
  <c r="E1852" i="1"/>
  <c r="E1853" i="1"/>
  <c r="E1854" i="1"/>
  <c r="E1855" i="1"/>
  <c r="E1856" i="1"/>
  <c r="E1857" i="1"/>
  <c r="E1858" i="1"/>
  <c r="E1859" i="1"/>
  <c r="E1860" i="1"/>
  <c r="E1861" i="1"/>
  <c r="E1862" i="1"/>
  <c r="E1863" i="1"/>
  <c r="E1864" i="1"/>
  <c r="E1865" i="1"/>
  <c r="E1866" i="1"/>
  <c r="E1867" i="1"/>
  <c r="E1868" i="1"/>
  <c r="E1870" i="1"/>
  <c r="E1871" i="1"/>
  <c r="E1872" i="1"/>
  <c r="E1873" i="1"/>
  <c r="E1874" i="1"/>
  <c r="E1875" i="1"/>
  <c r="E1876" i="1"/>
  <c r="E1877" i="1"/>
  <c r="E1878" i="1"/>
  <c r="E1879" i="1"/>
  <c r="E1881" i="1"/>
  <c r="E1882" i="1"/>
  <c r="E1883" i="1"/>
  <c r="E1886" i="1"/>
  <c r="E1887" i="1"/>
  <c r="E1888" i="1"/>
  <c r="E1889" i="1"/>
  <c r="E1890" i="1"/>
  <c r="E1891" i="1"/>
  <c r="E1892" i="1"/>
  <c r="E1893" i="1"/>
  <c r="E1894" i="1"/>
  <c r="E1895" i="1"/>
  <c r="E1896" i="1"/>
  <c r="E1897" i="1"/>
  <c r="E1898" i="1"/>
  <c r="E1899" i="1"/>
  <c r="E1900" i="1"/>
  <c r="E1901" i="1"/>
  <c r="E1902" i="1"/>
  <c r="E1903" i="1"/>
  <c r="E1904" i="1"/>
  <c r="E1905" i="1"/>
  <c r="E1906" i="1"/>
  <c r="E1907" i="1"/>
  <c r="E1908" i="1"/>
  <c r="E1909" i="1"/>
  <c r="E1910" i="1"/>
  <c r="E1911" i="1"/>
  <c r="E1912" i="1"/>
  <c r="E1913" i="1"/>
  <c r="E1914" i="1"/>
  <c r="E1915" i="1"/>
  <c r="E1916" i="1"/>
  <c r="E1917" i="1"/>
  <c r="E1918" i="1"/>
  <c r="E1919" i="1"/>
  <c r="E1920" i="1"/>
  <c r="E1921" i="1"/>
  <c r="E1922" i="1"/>
  <c r="E1923" i="1"/>
  <c r="E1924" i="1"/>
  <c r="E1925" i="1"/>
  <c r="E1926" i="1"/>
  <c r="E1927" i="1"/>
  <c r="E1928" i="1"/>
  <c r="E1929" i="1"/>
  <c r="E1930" i="1"/>
  <c r="E1931" i="1"/>
  <c r="E1932" i="1"/>
  <c r="E1933" i="1"/>
  <c r="E1934" i="1"/>
  <c r="E1936" i="1"/>
  <c r="E1937" i="1"/>
  <c r="E1938" i="1"/>
  <c r="E1939" i="1"/>
  <c r="E1940" i="1"/>
  <c r="E1941" i="1"/>
  <c r="E1942" i="1"/>
  <c r="E1943" i="1"/>
  <c r="E1944" i="1"/>
  <c r="E1945" i="1"/>
  <c r="E1946" i="1"/>
  <c r="E1947" i="1"/>
  <c r="E1948" i="1"/>
  <c r="E1950" i="1"/>
  <c r="E1951" i="1"/>
  <c r="E1952" i="1"/>
  <c r="E1953" i="1"/>
  <c r="E1954" i="1"/>
  <c r="E1956" i="1"/>
  <c r="E1957" i="1"/>
  <c r="E1958" i="1"/>
  <c r="E1959" i="1"/>
  <c r="E1960" i="1"/>
  <c r="E1961" i="1"/>
  <c r="E1962" i="1"/>
  <c r="E1963" i="1"/>
  <c r="E1964" i="1"/>
  <c r="E1966" i="1"/>
  <c r="E1967" i="1"/>
  <c r="E1968" i="1"/>
  <c r="E1969" i="1"/>
  <c r="E1970" i="1"/>
  <c r="E1971" i="1"/>
  <c r="E1972" i="1"/>
  <c r="E1973" i="1"/>
  <c r="E1974" i="1"/>
  <c r="E1976" i="1"/>
  <c r="E1977" i="1"/>
  <c r="E1978" i="1"/>
  <c r="E1979" i="1"/>
  <c r="E1981" i="1"/>
  <c r="E1982" i="1"/>
  <c r="E1983" i="1"/>
  <c r="E1984" i="1"/>
  <c r="E1985" i="1"/>
  <c r="E1986" i="1"/>
  <c r="E1987" i="1"/>
  <c r="E1988" i="1"/>
  <c r="E1990" i="1"/>
  <c r="E1991" i="1"/>
  <c r="E1992" i="1"/>
  <c r="E1993" i="1"/>
  <c r="E1994" i="1"/>
  <c r="E1996" i="1"/>
  <c r="E1997" i="1"/>
  <c r="E1998" i="1"/>
  <c r="E1999" i="1"/>
  <c r="E2000" i="1"/>
  <c r="E2004" i="1"/>
  <c r="E2005" i="1"/>
  <c r="E2006" i="1"/>
  <c r="E2007" i="1"/>
  <c r="E2008" i="1"/>
  <c r="E2010" i="1"/>
  <c r="E2011" i="1"/>
  <c r="E2012" i="1"/>
  <c r="E2013" i="1"/>
  <c r="E2014" i="1"/>
  <c r="E2015" i="1"/>
  <c r="E2016" i="1"/>
  <c r="E2017" i="1"/>
  <c r="E2018" i="1"/>
  <c r="E2020" i="1"/>
  <c r="E2021" i="1"/>
  <c r="E2022" i="1"/>
  <c r="E2023" i="1"/>
  <c r="E2025" i="1"/>
  <c r="E2026" i="1"/>
  <c r="E2027" i="1"/>
  <c r="E2029" i="1"/>
  <c r="E2030" i="1"/>
  <c r="E2031" i="1"/>
  <c r="E2032" i="1"/>
  <c r="E2033" i="1"/>
  <c r="E2037" i="1"/>
  <c r="E2038" i="1"/>
  <c r="E2039" i="1"/>
  <c r="E2040" i="1"/>
  <c r="E2041" i="1"/>
  <c r="E2042" i="1"/>
  <c r="E2043" i="1"/>
  <c r="E2044" i="1"/>
  <c r="E2045" i="1"/>
  <c r="E2046" i="1"/>
  <c r="E2047" i="1"/>
  <c r="E2049" i="1"/>
  <c r="E2050" i="1"/>
  <c r="E2051" i="1"/>
  <c r="E2052" i="1"/>
  <c r="E2053" i="1"/>
  <c r="E2054" i="1"/>
  <c r="E2055" i="1"/>
  <c r="E2056" i="1"/>
  <c r="E2057" i="1"/>
  <c r="E2058" i="1"/>
  <c r="E2059" i="1"/>
  <c r="E2060" i="1"/>
  <c r="E2061" i="1"/>
  <c r="E2062" i="1"/>
  <c r="E2063" i="1"/>
  <c r="E2064" i="1"/>
  <c r="E2065" i="1"/>
  <c r="E2066" i="1"/>
  <c r="E2067" i="1"/>
  <c r="E2068" i="1"/>
  <c r="E2069" i="1"/>
  <c r="E2070" i="1"/>
  <c r="E2071" i="1"/>
  <c r="E2072" i="1"/>
  <c r="E2073" i="1"/>
  <c r="E2074" i="1"/>
  <c r="E2075" i="1"/>
  <c r="E2076" i="1"/>
  <c r="E2077" i="1"/>
  <c r="E2078" i="1"/>
  <c r="E2079" i="1"/>
  <c r="E2080" i="1"/>
  <c r="E2081" i="1"/>
  <c r="E2082" i="1"/>
  <c r="E2083" i="1"/>
  <c r="E2084" i="1"/>
  <c r="E2085" i="1"/>
  <c r="E2086" i="1"/>
  <c r="E2087" i="1"/>
  <c r="E2088" i="1"/>
  <c r="E2089" i="1"/>
  <c r="E2090" i="1"/>
  <c r="E2091" i="1"/>
  <c r="E2092" i="1"/>
  <c r="E2093" i="1"/>
  <c r="E2094" i="1"/>
  <c r="E2095" i="1"/>
  <c r="E2096" i="1"/>
  <c r="E2097" i="1"/>
  <c r="E2098" i="1"/>
  <c r="E2099" i="1"/>
  <c r="E2100" i="1"/>
  <c r="E2101" i="1"/>
  <c r="E2102" i="1"/>
  <c r="E2103" i="1"/>
  <c r="E2105" i="1"/>
  <c r="E2106" i="1"/>
  <c r="E2107" i="1"/>
  <c r="E2108" i="1"/>
  <c r="E2109" i="1"/>
  <c r="E2110" i="1"/>
  <c r="E2111" i="1"/>
  <c r="E2112" i="1"/>
  <c r="E2113" i="1"/>
  <c r="E2114" i="1"/>
  <c r="E2115" i="1"/>
  <c r="E2116" i="1"/>
  <c r="E2117" i="1"/>
  <c r="E2118" i="1"/>
  <c r="E2119" i="1"/>
  <c r="E2120" i="1"/>
  <c r="E2121" i="1"/>
  <c r="E2122" i="1"/>
  <c r="E2123" i="1"/>
  <c r="E2124" i="1"/>
  <c r="E2125" i="1"/>
  <c r="E2126" i="1"/>
  <c r="E2127" i="1"/>
  <c r="E2128" i="1"/>
  <c r="E2129" i="1"/>
  <c r="E2130" i="1"/>
  <c r="E2131" i="1"/>
  <c r="E2132" i="1"/>
  <c r="E2133" i="1"/>
  <c r="E2134" i="1"/>
  <c r="E2135" i="1"/>
  <c r="E2136" i="1"/>
  <c r="E2137" i="1"/>
  <c r="E2138" i="1"/>
  <c r="E2139" i="1"/>
  <c r="E2140" i="1"/>
  <c r="E2141" i="1"/>
  <c r="E2142" i="1"/>
  <c r="E2143" i="1"/>
  <c r="E2144" i="1"/>
  <c r="E2145" i="1"/>
  <c r="E2146" i="1"/>
  <c r="E2147" i="1"/>
  <c r="E2148" i="1"/>
  <c r="E2149" i="1"/>
  <c r="E2150" i="1"/>
  <c r="E2151" i="1"/>
  <c r="E2152" i="1"/>
  <c r="E2153" i="1"/>
  <c r="E2154" i="1"/>
  <c r="E2155" i="1"/>
  <c r="E2156" i="1"/>
  <c r="E2157" i="1"/>
  <c r="E2158" i="1"/>
  <c r="E2159" i="1"/>
  <c r="E2160" i="1"/>
  <c r="E2161" i="1"/>
  <c r="E2162" i="1"/>
  <c r="E2163" i="1"/>
  <c r="E2164" i="1"/>
  <c r="E2165" i="1"/>
  <c r="E2166" i="1"/>
  <c r="E2167" i="1"/>
  <c r="E2168" i="1"/>
  <c r="E2169" i="1"/>
  <c r="E2170" i="1"/>
  <c r="E2171" i="1"/>
  <c r="E2172" i="1"/>
  <c r="E2173" i="1"/>
  <c r="E2174" i="1"/>
  <c r="E2175" i="1"/>
  <c r="E2176" i="1"/>
  <c r="E2177" i="1"/>
  <c r="E2178" i="1"/>
  <c r="E2179" i="1"/>
  <c r="E2180" i="1"/>
  <c r="E2181" i="1"/>
  <c r="E2182" i="1"/>
  <c r="E2183" i="1"/>
  <c r="E2184" i="1"/>
  <c r="E2185" i="1"/>
  <c r="E2186" i="1"/>
  <c r="E2187" i="1"/>
  <c r="E2188" i="1"/>
  <c r="E2189" i="1"/>
  <c r="E2190" i="1"/>
  <c r="E2191" i="1"/>
  <c r="E2192" i="1"/>
  <c r="E2193" i="1"/>
  <c r="E2194" i="1"/>
  <c r="E2195" i="1"/>
  <c r="E2196" i="1"/>
  <c r="E2197" i="1"/>
  <c r="E2198" i="1"/>
  <c r="E2199" i="1"/>
  <c r="E2200" i="1"/>
  <c r="E2201" i="1"/>
  <c r="E2202" i="1"/>
  <c r="E2203" i="1"/>
  <c r="E2204" i="1"/>
  <c r="E2205" i="1"/>
  <c r="E2206" i="1"/>
  <c r="E2207" i="1"/>
  <c r="E2208" i="1"/>
  <c r="E2209" i="1"/>
  <c r="E2210" i="1"/>
  <c r="E2211" i="1"/>
  <c r="E2212" i="1"/>
  <c r="E2213" i="1"/>
  <c r="E2214" i="1"/>
  <c r="E2215" i="1"/>
  <c r="E2216" i="1"/>
  <c r="E2217" i="1"/>
  <c r="E2218" i="1"/>
  <c r="E2219" i="1"/>
  <c r="E2220" i="1"/>
  <c r="E2221" i="1"/>
  <c r="E2222" i="1"/>
  <c r="E2223" i="1"/>
  <c r="E2224" i="1"/>
  <c r="E2225" i="1"/>
  <c r="E2226" i="1"/>
  <c r="E2227" i="1"/>
  <c r="E2228" i="1"/>
  <c r="E2229" i="1"/>
  <c r="E2230" i="1"/>
  <c r="E2231" i="1"/>
  <c r="E2232" i="1"/>
  <c r="E2233" i="1"/>
  <c r="E2234" i="1"/>
  <c r="E2235" i="1"/>
  <c r="E2236" i="1"/>
  <c r="E2237" i="1"/>
  <c r="E2238" i="1"/>
  <c r="E2239" i="1"/>
  <c r="E2240" i="1"/>
  <c r="E2241" i="1"/>
  <c r="E2242" i="1"/>
  <c r="E2243" i="1"/>
  <c r="E2244" i="1"/>
  <c r="E2245" i="1"/>
  <c r="E2246" i="1"/>
  <c r="E2247" i="1"/>
  <c r="E2248" i="1"/>
  <c r="E2249" i="1"/>
  <c r="E2250" i="1"/>
  <c r="E2251" i="1"/>
  <c r="E2252" i="1"/>
  <c r="E2253" i="1"/>
  <c r="E2254" i="1"/>
  <c r="E2255" i="1"/>
  <c r="E2256" i="1"/>
  <c r="E2257" i="1"/>
  <c r="E2258" i="1"/>
  <c r="E2259" i="1"/>
  <c r="E2260" i="1"/>
  <c r="E2261" i="1"/>
  <c r="E2262" i="1"/>
  <c r="E2263" i="1"/>
  <c r="E2264" i="1"/>
  <c r="E2265" i="1"/>
  <c r="E2266" i="1"/>
  <c r="E2267" i="1"/>
  <c r="E2268" i="1"/>
  <c r="E2269" i="1"/>
  <c r="E2270" i="1"/>
  <c r="E2271" i="1"/>
  <c r="E2272" i="1"/>
  <c r="E2273" i="1"/>
  <c r="E2274" i="1"/>
  <c r="E2275" i="1"/>
  <c r="E2276" i="1"/>
  <c r="E2277" i="1"/>
  <c r="E2278" i="1"/>
  <c r="E2279" i="1"/>
  <c r="E2280" i="1"/>
  <c r="E2281" i="1"/>
  <c r="E2282" i="1"/>
  <c r="E2283" i="1"/>
  <c r="E2285" i="1"/>
  <c r="E2286" i="1"/>
  <c r="E2287" i="1"/>
  <c r="E2288" i="1"/>
  <c r="E2289" i="1"/>
  <c r="E2290" i="1"/>
  <c r="E2291" i="1"/>
  <c r="E2292" i="1"/>
  <c r="E2293" i="1"/>
  <c r="E2294" i="1"/>
  <c r="E2295" i="1"/>
  <c r="E2296" i="1"/>
  <c r="E2298" i="1"/>
  <c r="E2299" i="1"/>
  <c r="E2300" i="1"/>
  <c r="E2301" i="1"/>
  <c r="E2302" i="1"/>
  <c r="E2303" i="1"/>
  <c r="E2304" i="1"/>
  <c r="E2305" i="1"/>
  <c r="E2306" i="1"/>
  <c r="E2307" i="1"/>
  <c r="E2309" i="1"/>
  <c r="E2310" i="1"/>
  <c r="E2311" i="1"/>
  <c r="E2312" i="1"/>
  <c r="E2313" i="1"/>
  <c r="E2314" i="1"/>
  <c r="E2315" i="1"/>
  <c r="E2316" i="1"/>
  <c r="E2317" i="1"/>
  <c r="E2318" i="1"/>
  <c r="E2319" i="1"/>
  <c r="E2320" i="1"/>
  <c r="E2321" i="1"/>
  <c r="E2322" i="1"/>
  <c r="E2323" i="1"/>
  <c r="E2324" i="1"/>
  <c r="E2325" i="1"/>
  <c r="E2326" i="1"/>
  <c r="E2327" i="1"/>
  <c r="E2328" i="1"/>
  <c r="E2329" i="1"/>
  <c r="E2330" i="1"/>
  <c r="E2331" i="1"/>
  <c r="E2332" i="1"/>
  <c r="E2333" i="1"/>
  <c r="E2334" i="1"/>
  <c r="E2335" i="1"/>
  <c r="E2336" i="1"/>
  <c r="E2337" i="1"/>
  <c r="E2338" i="1"/>
  <c r="E2339" i="1"/>
  <c r="E2340" i="1"/>
  <c r="E2342" i="1"/>
  <c r="E2343" i="1"/>
  <c r="E2344" i="1"/>
  <c r="E2345" i="1"/>
  <c r="E2346" i="1"/>
  <c r="E2347" i="1"/>
  <c r="E2349" i="1"/>
  <c r="E2350" i="1"/>
  <c r="E2351" i="1"/>
  <c r="E2352" i="1"/>
  <c r="E2353" i="1"/>
  <c r="E2354" i="1"/>
  <c r="E2355" i="1"/>
  <c r="E2356" i="1"/>
  <c r="E2358" i="1"/>
  <c r="E2359" i="1"/>
  <c r="E2360" i="1"/>
  <c r="E2361" i="1"/>
  <c r="E2362" i="1"/>
  <c r="E2363" i="1"/>
  <c r="E2365" i="1"/>
  <c r="E2366" i="1"/>
  <c r="E2367" i="1"/>
  <c r="E2368" i="1"/>
  <c r="E2369" i="1"/>
  <c r="E2370" i="1"/>
  <c r="E2371" i="1"/>
  <c r="E2372" i="1"/>
  <c r="E2373" i="1"/>
  <c r="E2374" i="1"/>
  <c r="E2375" i="1"/>
  <c r="E2376" i="1"/>
  <c r="E2377" i="1"/>
  <c r="E2378" i="1"/>
  <c r="E2379" i="1"/>
  <c r="E2380" i="1"/>
  <c r="E2381" i="1"/>
  <c r="E2382" i="1"/>
  <c r="E2383" i="1"/>
  <c r="E2384" i="1"/>
  <c r="E2385" i="1"/>
  <c r="E2386" i="1"/>
  <c r="E2387" i="1"/>
  <c r="E2389" i="1"/>
  <c r="E2390" i="1"/>
  <c r="E2391" i="1"/>
  <c r="E2392" i="1"/>
  <c r="E2393" i="1"/>
  <c r="E2394" i="1"/>
  <c r="E2395" i="1"/>
  <c r="E2396" i="1"/>
  <c r="E2397" i="1"/>
  <c r="E2398" i="1"/>
  <c r="E2399" i="1"/>
  <c r="E2400" i="1"/>
  <c r="E2401" i="1"/>
  <c r="E2402" i="1"/>
  <c r="E2403" i="1"/>
  <c r="E2404" i="1"/>
  <c r="E2405" i="1"/>
  <c r="E2406" i="1"/>
  <c r="E2407" i="1"/>
  <c r="E2408" i="1"/>
  <c r="E2409" i="1"/>
  <c r="E2410" i="1"/>
  <c r="E2411" i="1"/>
  <c r="E2412" i="1"/>
  <c r="E2413" i="1"/>
  <c r="E2414" i="1"/>
  <c r="E2415" i="1"/>
  <c r="E2416" i="1"/>
  <c r="E2417" i="1"/>
  <c r="E2418" i="1"/>
  <c r="E2419" i="1"/>
  <c r="E2420" i="1"/>
  <c r="E2421" i="1"/>
  <c r="E2422" i="1"/>
  <c r="E2423" i="1"/>
  <c r="E2424" i="1"/>
  <c r="E2425" i="1"/>
  <c r="E2427" i="1"/>
  <c r="E2428" i="1"/>
  <c r="E2429" i="1"/>
  <c r="E2430" i="1"/>
  <c r="E2431" i="1"/>
  <c r="E2432" i="1"/>
  <c r="E2433" i="1"/>
  <c r="E2434" i="1"/>
  <c r="E2435" i="1"/>
  <c r="E2436" i="1"/>
  <c r="E2437" i="1"/>
  <c r="E2438" i="1"/>
  <c r="E2439" i="1"/>
  <c r="E2440" i="1"/>
  <c r="E2441" i="1"/>
  <c r="E2442" i="1"/>
  <c r="E2443" i="1"/>
  <c r="E2444" i="1"/>
  <c r="E2445" i="1"/>
  <c r="E2446" i="1"/>
  <c r="E2447" i="1"/>
  <c r="E2448" i="1"/>
  <c r="E2449" i="1"/>
  <c r="E2450" i="1"/>
  <c r="E2451" i="1"/>
  <c r="E2452" i="1"/>
  <c r="E2453" i="1"/>
  <c r="E2454" i="1"/>
  <c r="E2455" i="1"/>
  <c r="E2456" i="1"/>
  <c r="E2457" i="1"/>
  <c r="E2458" i="1"/>
  <c r="E2459" i="1"/>
  <c r="E2460" i="1"/>
  <c r="E2461" i="1"/>
  <c r="E2463" i="1"/>
  <c r="E2464" i="1"/>
  <c r="E2465" i="1"/>
  <c r="E2466" i="1"/>
  <c r="E2467" i="1"/>
  <c r="E2468" i="1"/>
  <c r="E2469" i="1"/>
  <c r="E2471" i="1"/>
  <c r="E2472" i="1"/>
  <c r="E2473" i="1"/>
  <c r="E2476" i="1"/>
  <c r="E2477" i="1"/>
  <c r="E2478" i="1"/>
  <c r="E2479" i="1"/>
  <c r="E2480" i="1"/>
  <c r="E2481" i="1"/>
  <c r="E2482" i="1"/>
  <c r="E2483" i="1"/>
  <c r="E2484" i="1"/>
  <c r="E2485" i="1"/>
  <c r="E2486" i="1"/>
  <c r="E2487" i="1"/>
  <c r="E2488" i="1"/>
  <c r="E2489" i="1"/>
  <c r="E2490" i="1"/>
  <c r="E2491" i="1"/>
  <c r="E2492" i="1"/>
  <c r="E2493" i="1"/>
  <c r="E2494" i="1"/>
  <c r="E2495" i="1"/>
  <c r="E2496" i="1"/>
  <c r="E2497" i="1"/>
  <c r="E2498" i="1"/>
  <c r="E2499" i="1"/>
  <c r="E2500" i="1"/>
  <c r="E2501" i="1"/>
  <c r="E2502" i="1"/>
  <c r="E2503" i="1"/>
  <c r="E2504" i="1"/>
  <c r="E2505" i="1"/>
  <c r="E2506" i="1"/>
  <c r="E2508" i="1"/>
  <c r="E2509" i="1"/>
  <c r="E2510" i="1"/>
  <c r="E2511" i="1"/>
  <c r="E2512" i="1"/>
  <c r="E2513" i="1"/>
  <c r="E2514" i="1"/>
  <c r="E2515" i="1"/>
  <c r="E2516" i="1"/>
  <c r="E2517" i="1"/>
  <c r="E2518" i="1"/>
  <c r="E2520" i="1"/>
  <c r="E2521" i="1"/>
  <c r="E2522" i="1"/>
  <c r="E2523" i="1"/>
  <c r="E2524" i="1"/>
  <c r="E2525" i="1"/>
  <c r="E2526" i="1"/>
  <c r="E2527" i="1"/>
  <c r="E2528" i="1"/>
  <c r="E2529" i="1"/>
  <c r="E2530" i="1"/>
  <c r="E2533" i="1"/>
  <c r="E2534" i="1"/>
  <c r="E2535" i="1"/>
  <c r="E2536" i="1"/>
  <c r="E2538" i="1"/>
  <c r="E2539" i="1"/>
  <c r="E2540" i="1"/>
  <c r="E2541" i="1"/>
  <c r="E2543" i="1"/>
  <c r="E2544" i="1"/>
  <c r="E2545" i="1"/>
  <c r="E2546" i="1"/>
  <c r="E2547" i="1"/>
  <c r="E2548" i="1"/>
  <c r="E2549" i="1"/>
  <c r="E2550" i="1"/>
  <c r="E2551" i="1"/>
  <c r="E2552" i="1"/>
  <c r="E2553" i="1"/>
  <c r="E2554" i="1"/>
  <c r="E2555" i="1"/>
  <c r="E2556" i="1"/>
  <c r="E2557" i="1"/>
  <c r="E2558" i="1"/>
  <c r="E2559" i="1"/>
  <c r="E2560" i="1"/>
  <c r="E2561" i="1"/>
  <c r="E2562" i="1"/>
  <c r="E2563" i="1"/>
  <c r="E2564" i="1"/>
  <c r="E2566" i="1"/>
  <c r="E2567" i="1"/>
  <c r="E2568" i="1"/>
  <c r="E2569" i="1"/>
  <c r="E2570" i="1"/>
  <c r="E2571" i="1"/>
  <c r="E2572" i="1"/>
  <c r="E2573" i="1"/>
  <c r="E2574" i="1"/>
  <c r="E2575" i="1"/>
  <c r="E2576" i="1"/>
  <c r="E2577" i="1"/>
  <c r="E2578" i="1"/>
  <c r="E2579" i="1"/>
  <c r="E2580" i="1"/>
  <c r="E2581" i="1"/>
  <c r="E2582" i="1"/>
  <c r="E2583" i="1"/>
  <c r="E2584" i="1"/>
  <c r="E2585" i="1"/>
  <c r="E2586" i="1"/>
  <c r="E2587" i="1"/>
  <c r="E2588" i="1"/>
  <c r="E2589" i="1"/>
  <c r="E2590" i="1"/>
  <c r="E2591" i="1"/>
  <c r="E2592" i="1"/>
  <c r="E2593" i="1"/>
  <c r="E2597" i="1"/>
  <c r="E2598" i="1"/>
  <c r="E2599" i="1"/>
  <c r="E2600" i="1"/>
  <c r="E2601" i="1"/>
  <c r="E2602" i="1"/>
  <c r="E2603" i="1"/>
  <c r="E2604" i="1"/>
  <c r="E2605" i="1"/>
  <c r="E2606" i="1"/>
  <c r="E2607" i="1"/>
  <c r="E2608" i="1"/>
  <c r="E2609" i="1"/>
  <c r="E2610" i="1"/>
  <c r="E2611" i="1"/>
  <c r="E2612" i="1"/>
  <c r="E2614" i="1"/>
  <c r="E2616" i="1"/>
  <c r="E2617" i="1"/>
  <c r="E2618" i="1"/>
  <c r="E2619" i="1"/>
  <c r="E2620" i="1"/>
  <c r="E2621" i="1"/>
  <c r="E2622" i="1"/>
  <c r="E2623" i="1"/>
  <c r="E2624" i="1"/>
  <c r="E2625" i="1"/>
  <c r="E2626" i="1"/>
  <c r="E2627" i="1"/>
  <c r="E2628" i="1"/>
  <c r="E2629" i="1"/>
  <c r="E2630" i="1"/>
  <c r="E2631" i="1"/>
  <c r="E2632" i="1"/>
  <c r="E2633" i="1"/>
  <c r="E2634" i="1"/>
  <c r="E2635" i="1"/>
  <c r="E2636" i="1"/>
  <c r="E2637" i="1"/>
  <c r="E2638" i="1"/>
  <c r="E2639" i="1"/>
  <c r="E2640" i="1"/>
  <c r="E2641" i="1"/>
  <c r="E2642" i="1"/>
  <c r="E2643" i="1"/>
  <c r="E2644" i="1"/>
  <c r="E2645" i="1"/>
  <c r="E2646" i="1"/>
  <c r="E2647" i="1"/>
  <c r="E2648" i="1"/>
  <c r="E2649" i="1"/>
  <c r="E2650" i="1"/>
  <c r="E2651" i="1"/>
  <c r="E2652" i="1"/>
  <c r="E2653" i="1"/>
  <c r="E2654" i="1"/>
  <c r="E2655" i="1"/>
  <c r="E2656" i="1"/>
  <c r="E2657" i="1"/>
  <c r="E2658" i="1"/>
  <c r="E2659" i="1"/>
  <c r="E2660" i="1"/>
  <c r="E2661" i="1"/>
  <c r="E2662" i="1"/>
  <c r="E2663" i="1"/>
  <c r="E2664" i="1"/>
  <c r="E2665" i="1"/>
  <c r="E2666" i="1"/>
  <c r="E2667" i="1"/>
  <c r="E2668" i="1"/>
  <c r="E2669" i="1"/>
  <c r="E2670" i="1"/>
  <c r="E2671" i="1"/>
  <c r="E2672" i="1"/>
  <c r="E2673" i="1"/>
  <c r="E2674" i="1"/>
  <c r="E2675" i="1"/>
  <c r="E2676" i="1"/>
  <c r="E2677" i="1"/>
  <c r="E2678" i="1"/>
  <c r="E2679" i="1"/>
  <c r="E2680" i="1"/>
  <c r="E2681" i="1"/>
  <c r="E2682" i="1"/>
  <c r="E2683" i="1"/>
  <c r="E2684" i="1"/>
  <c r="E2685" i="1"/>
  <c r="E2686" i="1"/>
  <c r="E2687" i="1"/>
  <c r="E2688" i="1"/>
  <c r="E2689" i="1"/>
  <c r="E2690" i="1"/>
  <c r="E2691" i="1"/>
  <c r="E2692" i="1"/>
  <c r="E2693" i="1"/>
  <c r="E2694" i="1"/>
  <c r="E2696" i="1"/>
  <c r="E2698" i="1"/>
  <c r="E2699" i="1"/>
  <c r="E2700" i="1"/>
  <c r="E2701" i="1"/>
  <c r="E2702" i="1"/>
  <c r="E2703" i="1"/>
  <c r="E2704" i="1"/>
  <c r="E2705" i="1"/>
  <c r="E2706" i="1"/>
  <c r="E2707" i="1"/>
  <c r="E2708" i="1"/>
  <c r="E2709" i="1"/>
  <c r="E2710" i="1"/>
  <c r="E2711" i="1"/>
  <c r="E2712" i="1"/>
  <c r="E2713" i="1"/>
  <c r="E2714" i="1"/>
  <c r="E2715" i="1"/>
  <c r="E2716" i="1"/>
  <c r="E2717" i="1"/>
  <c r="E2720" i="1"/>
  <c r="E2721" i="1"/>
  <c r="E2722" i="1"/>
  <c r="E2723" i="1"/>
  <c r="E2724" i="1"/>
  <c r="E2725" i="1"/>
  <c r="E2726" i="1"/>
  <c r="E2727" i="1"/>
  <c r="E2728" i="1"/>
  <c r="E2729" i="1"/>
  <c r="E2730" i="1"/>
  <c r="E2731" i="1"/>
  <c r="E2732" i="1"/>
  <c r="E2733" i="1"/>
  <c r="E2734" i="1"/>
  <c r="E2735" i="1"/>
  <c r="E2736" i="1"/>
  <c r="E2737" i="1"/>
  <c r="E2738" i="1"/>
  <c r="E2740" i="1"/>
  <c r="E2741" i="1"/>
  <c r="E2742" i="1"/>
  <c r="E2743" i="1"/>
  <c r="E2744" i="1"/>
  <c r="E2745" i="1"/>
  <c r="E2746" i="1"/>
  <c r="E2747" i="1"/>
  <c r="E2748" i="1"/>
  <c r="E2749" i="1"/>
  <c r="E2751" i="1"/>
  <c r="E2752" i="1"/>
  <c r="E2753" i="1"/>
  <c r="E2754" i="1"/>
  <c r="E2755" i="1"/>
  <c r="E2758" i="1"/>
  <c r="E2759" i="1"/>
  <c r="E2760" i="1"/>
  <c r="E2761" i="1"/>
  <c r="E2762" i="1"/>
  <c r="E2763" i="1"/>
  <c r="E2764" i="1"/>
  <c r="E2765" i="1"/>
  <c r="E2767" i="1"/>
  <c r="E2768" i="1"/>
  <c r="E2770" i="1"/>
  <c r="E2771" i="1"/>
  <c r="E2772" i="1"/>
  <c r="E2773" i="1"/>
  <c r="E2774" i="1"/>
  <c r="E2775" i="1"/>
  <c r="E2776" i="1"/>
  <c r="E2777" i="1"/>
  <c r="E2778" i="1"/>
  <c r="E2779" i="1"/>
  <c r="E2780" i="1"/>
  <c r="E2781" i="1"/>
  <c r="E2782" i="1"/>
  <c r="E2783" i="1"/>
  <c r="E2784" i="1"/>
  <c r="E2785" i="1"/>
  <c r="E2786" i="1"/>
  <c r="E2787" i="1"/>
  <c r="E2788" i="1"/>
  <c r="E2790" i="1"/>
  <c r="E2791" i="1"/>
  <c r="E2792" i="1"/>
  <c r="E2795" i="1"/>
  <c r="E2796" i="1"/>
  <c r="E2797" i="1"/>
  <c r="E2799" i="1"/>
  <c r="E2801" i="1"/>
  <c r="E2802" i="1"/>
  <c r="E2803" i="1"/>
  <c r="E2804" i="1"/>
  <c r="E2805" i="1"/>
  <c r="E2806" i="1"/>
  <c r="E2807" i="1"/>
  <c r="E2809" i="1"/>
  <c r="E2810" i="1"/>
  <c r="E2811" i="1"/>
  <c r="E2812" i="1"/>
  <c r="E2813" i="1"/>
  <c r="E2814" i="1"/>
  <c r="E2815" i="1"/>
  <c r="E2816" i="1"/>
  <c r="E2817" i="1"/>
  <c r="E2818" i="1"/>
  <c r="E2819" i="1"/>
  <c r="E2821" i="1"/>
  <c r="E2822" i="1"/>
  <c r="E2823" i="1"/>
  <c r="E2824" i="1"/>
  <c r="E2825" i="1"/>
  <c r="E2826" i="1"/>
  <c r="E2827" i="1"/>
  <c r="E2829" i="1"/>
  <c r="E2830" i="1"/>
  <c r="E2831" i="1"/>
  <c r="E2832" i="1"/>
  <c r="E2833" i="1"/>
  <c r="E2837" i="1"/>
  <c r="E2838" i="1"/>
  <c r="E2839" i="1"/>
  <c r="E2840" i="1"/>
  <c r="E2841" i="1"/>
  <c r="E2842" i="1"/>
  <c r="E2843" i="1"/>
  <c r="E2844" i="1"/>
  <c r="E2845" i="1"/>
  <c r="E2846" i="1"/>
  <c r="E2847" i="1"/>
  <c r="E2848" i="1"/>
  <c r="E2849" i="1"/>
  <c r="E2850" i="1"/>
  <c r="E2851" i="1"/>
  <c r="E2852" i="1"/>
  <c r="E2853" i="1"/>
  <c r="E2854" i="1"/>
  <c r="E2855" i="1"/>
  <c r="E2856" i="1"/>
  <c r="E2858" i="1"/>
  <c r="E2859" i="1"/>
  <c r="E2860" i="1"/>
  <c r="E2862" i="1"/>
  <c r="E2863" i="1"/>
  <c r="E2864" i="1"/>
  <c r="E2865" i="1"/>
  <c r="E2867" i="1"/>
  <c r="E2868" i="1"/>
  <c r="E2869" i="1"/>
  <c r="E2870" i="1"/>
  <c r="E2871" i="1"/>
  <c r="E2872" i="1"/>
  <c r="E2873" i="1"/>
  <c r="E2874" i="1"/>
  <c r="E2875" i="1"/>
  <c r="E2876" i="1"/>
  <c r="E2877" i="1"/>
  <c r="E2878" i="1"/>
  <c r="E2879" i="1"/>
  <c r="E2880" i="1"/>
  <c r="E2881" i="1"/>
  <c r="E2882" i="1"/>
  <c r="E2883" i="1"/>
  <c r="E2884" i="1"/>
  <c r="E2885" i="1"/>
  <c r="E2887" i="1"/>
  <c r="E2888" i="1"/>
  <c r="E2889" i="1"/>
  <c r="E2890" i="1"/>
  <c r="E2891" i="1"/>
  <c r="E2892" i="1"/>
  <c r="E2893" i="1"/>
  <c r="E2894" i="1"/>
  <c r="E2895" i="1"/>
  <c r="E2898" i="1"/>
  <c r="E2899" i="1"/>
  <c r="E2900" i="1"/>
  <c r="E2901" i="1"/>
  <c r="E2902" i="1"/>
  <c r="E2903" i="1"/>
  <c r="E2904" i="1"/>
  <c r="E2905" i="1"/>
  <c r="E2906" i="1"/>
  <c r="E2907" i="1"/>
  <c r="E2908" i="1"/>
  <c r="E2909" i="1"/>
  <c r="E2910" i="1"/>
  <c r="E2911" i="1"/>
  <c r="E2912" i="1"/>
  <c r="E2914" i="1"/>
  <c r="E2916" i="1"/>
  <c r="E2917" i="1"/>
  <c r="E2918" i="1"/>
  <c r="E2919" i="1"/>
  <c r="E2920" i="1"/>
  <c r="E2921" i="1"/>
  <c r="E2922" i="1"/>
  <c r="E2923" i="1"/>
  <c r="E2924" i="1"/>
  <c r="E2925" i="1"/>
  <c r="E2926" i="1"/>
  <c r="E2927" i="1"/>
  <c r="E2928" i="1"/>
  <c r="E2929" i="1"/>
  <c r="E2930" i="1"/>
  <c r="E2931" i="1"/>
  <c r="E2932" i="1"/>
  <c r="E2933" i="1"/>
  <c r="E2934" i="1"/>
  <c r="E2936" i="1"/>
  <c r="E2937" i="1"/>
  <c r="E2938" i="1"/>
  <c r="E2939" i="1"/>
  <c r="E2940" i="1"/>
  <c r="E2941" i="1"/>
  <c r="E2942" i="1"/>
  <c r="E2943" i="1"/>
  <c r="E2944" i="1"/>
  <c r="E2945" i="1"/>
  <c r="E2946" i="1"/>
  <c r="E2947" i="1"/>
  <c r="E2948" i="1"/>
  <c r="E2949" i="1"/>
  <c r="E2950" i="1"/>
  <c r="E2951" i="1"/>
  <c r="E2952" i="1"/>
  <c r="E2953" i="1"/>
  <c r="E2954" i="1"/>
  <c r="E2955" i="1"/>
  <c r="E2956" i="1"/>
  <c r="E2957" i="1"/>
  <c r="E2958" i="1"/>
  <c r="E2959" i="1"/>
  <c r="E2960" i="1"/>
  <c r="E2961" i="1"/>
  <c r="E2962" i="1"/>
  <c r="E2963" i="1"/>
  <c r="E2964" i="1"/>
  <c r="E2965" i="1"/>
  <c r="E2966" i="1"/>
  <c r="E2967" i="1"/>
  <c r="E2968" i="1"/>
  <c r="E2969" i="1"/>
  <c r="E2970" i="1"/>
  <c r="E2971" i="1"/>
  <c r="E2972" i="1"/>
  <c r="E2973" i="1"/>
  <c r="E2974" i="1"/>
  <c r="E2975" i="1"/>
  <c r="E2976" i="1"/>
  <c r="E2977" i="1"/>
  <c r="E2978" i="1"/>
  <c r="E2979" i="1"/>
  <c r="E2980" i="1"/>
  <c r="E2981" i="1"/>
  <c r="E2982" i="1"/>
  <c r="E2983" i="1"/>
  <c r="E2984" i="1"/>
  <c r="E2985" i="1"/>
  <c r="E2986" i="1"/>
  <c r="E2987" i="1"/>
  <c r="E2988" i="1"/>
  <c r="E2989" i="1"/>
  <c r="E2990" i="1"/>
  <c r="E2991" i="1"/>
  <c r="E2992" i="1"/>
  <c r="E2993" i="1"/>
  <c r="E2994" i="1"/>
  <c r="E2995" i="1"/>
  <c r="E2997" i="1"/>
  <c r="E2998" i="1"/>
  <c r="E2999" i="1"/>
  <c r="E3000" i="1"/>
  <c r="E3001" i="1"/>
  <c r="E3002" i="1"/>
  <c r="E3003" i="1"/>
  <c r="E3004" i="1"/>
  <c r="E3005" i="1"/>
  <c r="E3006" i="1"/>
  <c r="E3007" i="1"/>
  <c r="E3008" i="1"/>
  <c r="E3009" i="1"/>
  <c r="E3010" i="1"/>
  <c r="E3011" i="1"/>
  <c r="E3012" i="1"/>
  <c r="E3013" i="1"/>
  <c r="E3014" i="1"/>
  <c r="E3015" i="1"/>
  <c r="E3016" i="1"/>
  <c r="E3019" i="1"/>
  <c r="E3020" i="1"/>
  <c r="E3021" i="1"/>
  <c r="E3022" i="1"/>
  <c r="E3023" i="1"/>
  <c r="E3024" i="1"/>
  <c r="E3025" i="1"/>
  <c r="E3026" i="1"/>
  <c r="E3027" i="1"/>
  <c r="E3028" i="1"/>
  <c r="E3029" i="1"/>
  <c r="E3030" i="1"/>
  <c r="E3031" i="1"/>
  <c r="E3032" i="1"/>
  <c r="E3033" i="1"/>
  <c r="E3034" i="1"/>
  <c r="E3035" i="1"/>
  <c r="E3036" i="1"/>
  <c r="E3037" i="1"/>
  <c r="E3039" i="1"/>
  <c r="E3040" i="1"/>
  <c r="E3041" i="1"/>
  <c r="E3042" i="1"/>
  <c r="E3043" i="1"/>
  <c r="E3044" i="1"/>
  <c r="E3045" i="1"/>
  <c r="E3046" i="1"/>
  <c r="E3047" i="1"/>
  <c r="E3048" i="1"/>
  <c r="E3049" i="1"/>
  <c r="E3050" i="1"/>
  <c r="E3052" i="1"/>
  <c r="E3053" i="1"/>
  <c r="E3054" i="1"/>
  <c r="E3055" i="1"/>
  <c r="E3056" i="1"/>
  <c r="E3058" i="1"/>
  <c r="E3059" i="1"/>
  <c r="E3060" i="1"/>
  <c r="E3061" i="1"/>
  <c r="E3062" i="1"/>
  <c r="E3063" i="1"/>
  <c r="E3064" i="1"/>
  <c r="E3065" i="1"/>
  <c r="E3068" i="1"/>
  <c r="E3069" i="1"/>
  <c r="E3070" i="1"/>
  <c r="E3071" i="1"/>
  <c r="E3072" i="1"/>
  <c r="E3073" i="1"/>
  <c r="E3074" i="1"/>
  <c r="E3075" i="1"/>
  <c r="E3076" i="1"/>
  <c r="E3078" i="1"/>
  <c r="E3079" i="1"/>
  <c r="E3080" i="1"/>
  <c r="E3081" i="1"/>
  <c r="E3082" i="1"/>
  <c r="E3083" i="1"/>
  <c r="E3085" i="1"/>
  <c r="E3086" i="1"/>
  <c r="E3087" i="1"/>
  <c r="E3088" i="1"/>
  <c r="E3089" i="1"/>
  <c r="E3091" i="1"/>
  <c r="E3092" i="1"/>
  <c r="E3094" i="1"/>
  <c r="E3095" i="1"/>
  <c r="E3096" i="1"/>
  <c r="E3098" i="1"/>
  <c r="E3099" i="1"/>
  <c r="E3100" i="1"/>
  <c r="E3101" i="1"/>
  <c r="E3102" i="1"/>
  <c r="E3103" i="1"/>
  <c r="E3105" i="1"/>
  <c r="E3106" i="1"/>
  <c r="E3107" i="1"/>
  <c r="E3108" i="1"/>
  <c r="E3110" i="1"/>
  <c r="E3111" i="1"/>
  <c r="E3112" i="1"/>
  <c r="E3113" i="1"/>
  <c r="E3114" i="1"/>
  <c r="E3115" i="1"/>
  <c r="E3116" i="1"/>
  <c r="E3117" i="1"/>
  <c r="E3118" i="1"/>
  <c r="E3119" i="1"/>
  <c r="E3121" i="1"/>
  <c r="E3124" i="1"/>
  <c r="E3125" i="1"/>
  <c r="E3126" i="1"/>
  <c r="E3127" i="1"/>
  <c r="E3128" i="1"/>
  <c r="E3129" i="1"/>
  <c r="E3130" i="1"/>
  <c r="E3131" i="1"/>
  <c r="E3132" i="1"/>
  <c r="E3133" i="1"/>
  <c r="E3134" i="1"/>
  <c r="E3135" i="1"/>
  <c r="E3136" i="1"/>
  <c r="E3137" i="1"/>
  <c r="E3138" i="1"/>
  <c r="E3139" i="1"/>
  <c r="E3140" i="1"/>
  <c r="E3141" i="1"/>
  <c r="E3142" i="1"/>
  <c r="E3145" i="1"/>
  <c r="E3146" i="1"/>
  <c r="E3147" i="1"/>
  <c r="E3149" i="1"/>
  <c r="E3150" i="1"/>
  <c r="E3153" i="1"/>
  <c r="E3154" i="1"/>
  <c r="E3155" i="1"/>
  <c r="E3156" i="1"/>
  <c r="E3157" i="1"/>
  <c r="E3162" i="1"/>
  <c r="E3163" i="1"/>
  <c r="E3164" i="1"/>
  <c r="E3165" i="1"/>
  <c r="E3166" i="1"/>
  <c r="E3167" i="1"/>
  <c r="E3168" i="1"/>
  <c r="E3169" i="1"/>
  <c r="E3170" i="1"/>
  <c r="E3171" i="1"/>
  <c r="E3172" i="1"/>
  <c r="E3173" i="1"/>
  <c r="E3174" i="1"/>
  <c r="E3175" i="1"/>
  <c r="E3176" i="1"/>
  <c r="E3177" i="1"/>
  <c r="E3178" i="1"/>
  <c r="E3179" i="1"/>
  <c r="E3181" i="1"/>
  <c r="E3182" i="1"/>
  <c r="E3183" i="1"/>
  <c r="E3184" i="1"/>
  <c r="E3185" i="1"/>
  <c r="E3186" i="1"/>
  <c r="E3187" i="1"/>
  <c r="E3188" i="1"/>
  <c r="E3189" i="1"/>
  <c r="E3190" i="1"/>
  <c r="E3191" i="1"/>
  <c r="E3192" i="1"/>
  <c r="E3193" i="1"/>
  <c r="E3194" i="1"/>
  <c r="E3195" i="1"/>
  <c r="E3196" i="1"/>
  <c r="E3198" i="1"/>
  <c r="E3199" i="1"/>
  <c r="E3200" i="1"/>
  <c r="E3201" i="1"/>
  <c r="E3202" i="1"/>
  <c r="E3203" i="1"/>
  <c r="E3204" i="1"/>
  <c r="E3205" i="1"/>
  <c r="E3206" i="1"/>
  <c r="E3207" i="1"/>
  <c r="E3208" i="1"/>
  <c r="E3209" i="1"/>
  <c r="E3210" i="1"/>
  <c r="E3212" i="1"/>
  <c r="E3213" i="1"/>
  <c r="E3214" i="1"/>
  <c r="E3215" i="1"/>
  <c r="E3216" i="1"/>
  <c r="E3217" i="1"/>
  <c r="E3218" i="1"/>
  <c r="E3219" i="1"/>
  <c r="E3220" i="1"/>
  <c r="E3221" i="1"/>
  <c r="E3222" i="1"/>
  <c r="E3223" i="1"/>
  <c r="E3224" i="1"/>
  <c r="E3225" i="1"/>
  <c r="E3226" i="1"/>
  <c r="E3227" i="1"/>
  <c r="E3228" i="1"/>
  <c r="E3229" i="1"/>
  <c r="E3230" i="1"/>
  <c r="E3231" i="1"/>
  <c r="E3232" i="1"/>
  <c r="E3233" i="1"/>
  <c r="E3235" i="1"/>
  <c r="E3236" i="1"/>
  <c r="E3237" i="1"/>
  <c r="E3238" i="1"/>
  <c r="E3239" i="1"/>
  <c r="E3240" i="1"/>
  <c r="E3241" i="1"/>
  <c r="E3242" i="1"/>
  <c r="E3243" i="1"/>
  <c r="E3244" i="1"/>
  <c r="E3245" i="1"/>
  <c r="E3246" i="1"/>
  <c r="E3247" i="1"/>
  <c r="E3250" i="1"/>
  <c r="E3251" i="1"/>
  <c r="E3252" i="1"/>
  <c r="E3253" i="1"/>
  <c r="E3254" i="1"/>
  <c r="E3255" i="1"/>
  <c r="E3256" i="1"/>
  <c r="E3257" i="1"/>
  <c r="E3259" i="1"/>
  <c r="E3260" i="1"/>
  <c r="E3261" i="1"/>
  <c r="E3262" i="1"/>
  <c r="E3263" i="1"/>
  <c r="E3264" i="1"/>
  <c r="E3265" i="1"/>
  <c r="E3267" i="1"/>
  <c r="E3268" i="1"/>
  <c r="E3269" i="1"/>
  <c r="E3270" i="1"/>
  <c r="E3271" i="1"/>
  <c r="E3272" i="1"/>
  <c r="E3273" i="1"/>
  <c r="E3274" i="1"/>
  <c r="E3276" i="1"/>
  <c r="E3277" i="1"/>
  <c r="E3278" i="1"/>
  <c r="E3280" i="1"/>
  <c r="E3281" i="1"/>
  <c r="E3282" i="1"/>
  <c r="E3284" i="1"/>
  <c r="E3285" i="1"/>
  <c r="E3286" i="1"/>
  <c r="E3287" i="1"/>
  <c r="E3289" i="1"/>
  <c r="E3290" i="1"/>
  <c r="E3291" i="1"/>
  <c r="E3292" i="1"/>
  <c r="E3293" i="1"/>
  <c r="E3294" i="1"/>
  <c r="E3296" i="1"/>
  <c r="E3297" i="1"/>
  <c r="E3298" i="1"/>
  <c r="E3299" i="1"/>
  <c r="E3300" i="1"/>
  <c r="E3301" i="1"/>
  <c r="E3302" i="1"/>
  <c r="E3303" i="1"/>
  <c r="E3304" i="1"/>
  <c r="E3307" i="1"/>
  <c r="E3308" i="1"/>
  <c r="E3309" i="1"/>
  <c r="E3310" i="1"/>
  <c r="E3311" i="1"/>
  <c r="E3312" i="1"/>
  <c r="E3313" i="1"/>
  <c r="E3314" i="1"/>
  <c r="E3315" i="1"/>
  <c r="E3316" i="1"/>
  <c r="E3317" i="1"/>
  <c r="E3318" i="1"/>
  <c r="E3319" i="1"/>
  <c r="E3320" i="1"/>
  <c r="E3321" i="1"/>
  <c r="E3322" i="1"/>
  <c r="E3323" i="1"/>
  <c r="E3325" i="1"/>
  <c r="E3326" i="1"/>
  <c r="E3327" i="1"/>
  <c r="E3328" i="1"/>
  <c r="E3329" i="1"/>
  <c r="E3330" i="1"/>
  <c r="E3331" i="1"/>
  <c r="E3332" i="1"/>
  <c r="E3333" i="1"/>
  <c r="E3334" i="1"/>
  <c r="E3335" i="1"/>
  <c r="E3336" i="1"/>
  <c r="E3337" i="1"/>
  <c r="E3339" i="1"/>
  <c r="E3340" i="1"/>
  <c r="E3341" i="1"/>
  <c r="E3342" i="1"/>
  <c r="E3343" i="1"/>
  <c r="E3344" i="1"/>
  <c r="E3345" i="1"/>
  <c r="E3346" i="1"/>
  <c r="E3347" i="1"/>
  <c r="E3348" i="1"/>
  <c r="E3349" i="1"/>
  <c r="E3350" i="1"/>
  <c r="E3351" i="1"/>
  <c r="E3352" i="1"/>
  <c r="E3353" i="1"/>
  <c r="E3354" i="1"/>
  <c r="E3356" i="1"/>
  <c r="E3357" i="1"/>
  <c r="E3358" i="1"/>
  <c r="E3359" i="1"/>
  <c r="E3360" i="1"/>
  <c r="E3361" i="1"/>
  <c r="E3362" i="1"/>
  <c r="E3363" i="1"/>
  <c r="E3364" i="1"/>
  <c r="E3365" i="1"/>
  <c r="E3367" i="1"/>
  <c r="E3368" i="1"/>
  <c r="E3369" i="1"/>
  <c r="E3370" i="1"/>
  <c r="E3371" i="1"/>
  <c r="E3372" i="1"/>
  <c r="E3373" i="1"/>
  <c r="E3374" i="1"/>
  <c r="E3375" i="1"/>
  <c r="E3376" i="1"/>
  <c r="E3377" i="1"/>
  <c r="E3378" i="1"/>
  <c r="E3379" i="1"/>
  <c r="E3380" i="1"/>
  <c r="E3382" i="1"/>
  <c r="E3383" i="1"/>
  <c r="E3384" i="1"/>
  <c r="E3385" i="1"/>
  <c r="E3386" i="1"/>
  <c r="E3387" i="1"/>
  <c r="E3389" i="1"/>
  <c r="E3390" i="1"/>
  <c r="E3391" i="1"/>
  <c r="E3392" i="1"/>
  <c r="E3394" i="1"/>
  <c r="E3395" i="1"/>
  <c r="E3397" i="1"/>
  <c r="E3398" i="1"/>
  <c r="E3399" i="1"/>
  <c r="E3400" i="1"/>
  <c r="E3402" i="1"/>
  <c r="E3403" i="1"/>
  <c r="E3404" i="1"/>
  <c r="E3405" i="1"/>
  <c r="E3406" i="1"/>
  <c r="E3407" i="1"/>
  <c r="E3410" i="1"/>
  <c r="E3411" i="1"/>
  <c r="E3412" i="1"/>
  <c r="E3413" i="1"/>
  <c r="E3414" i="1"/>
  <c r="E3415" i="1"/>
  <c r="E3416" i="1"/>
  <c r="E3417" i="1"/>
  <c r="E3418" i="1"/>
  <c r="E3419" i="1"/>
  <c r="E3420" i="1"/>
  <c r="E3421" i="1"/>
  <c r="E3422" i="1"/>
  <c r="E3424" i="1"/>
  <c r="E3425" i="1"/>
  <c r="E3426" i="1"/>
  <c r="E3427" i="1"/>
  <c r="E3428" i="1"/>
  <c r="E3429" i="1"/>
  <c r="E3431" i="1"/>
  <c r="E3432" i="1"/>
  <c r="E3433" i="1"/>
  <c r="E3434" i="1"/>
  <c r="E3435" i="1"/>
  <c r="E3436" i="1"/>
  <c r="E3437" i="1"/>
  <c r="E3439" i="1"/>
  <c r="E3440" i="1"/>
  <c r="E3441" i="1"/>
  <c r="E3442" i="1"/>
  <c r="E3443" i="1"/>
  <c r="E3444" i="1"/>
  <c r="E3445" i="1"/>
  <c r="E3446" i="1"/>
  <c r="E3448" i="1"/>
  <c r="E3449" i="1"/>
  <c r="E3450" i="1"/>
  <c r="E3451" i="1"/>
  <c r="E3454" i="1"/>
  <c r="E3455" i="1"/>
  <c r="E3456" i="1"/>
  <c r="E3457" i="1"/>
  <c r="E3458" i="1"/>
  <c r="E3459" i="1"/>
  <c r="E3460" i="1"/>
  <c r="E3461" i="1"/>
  <c r="E3462" i="1"/>
  <c r="E3463" i="1"/>
  <c r="E3464" i="1"/>
  <c r="E3465" i="1"/>
  <c r="E3466" i="1"/>
  <c r="E3467" i="1"/>
  <c r="E3469" i="1"/>
  <c r="E3471" i="1"/>
  <c r="E3472" i="1"/>
  <c r="E3473" i="1"/>
  <c r="E3474" i="1"/>
  <c r="E3475" i="1"/>
  <c r="E3478" i="1"/>
  <c r="E3479" i="1"/>
  <c r="E3480" i="1"/>
  <c r="E3481" i="1"/>
  <c r="E3482" i="1"/>
  <c r="E3483" i="1"/>
  <c r="E3484" i="1"/>
  <c r="E3485" i="1"/>
  <c r="E3487" i="1"/>
  <c r="E3488" i="1"/>
  <c r="E3489" i="1"/>
  <c r="E3491" i="1"/>
  <c r="E3492" i="1"/>
  <c r="E3493" i="1"/>
  <c r="E3494" i="1"/>
  <c r="E3495" i="1"/>
  <c r="E3497" i="1"/>
  <c r="E3498" i="1"/>
  <c r="E3499" i="1"/>
  <c r="E3500" i="1"/>
  <c r="E3501" i="1"/>
  <c r="E3503" i="1"/>
  <c r="E3504" i="1"/>
  <c r="E3505" i="1"/>
  <c r="E3506" i="1"/>
  <c r="E3507" i="1"/>
  <c r="E3508" i="1"/>
  <c r="E3509" i="1"/>
  <c r="E3512" i="1"/>
  <c r="E3513" i="1"/>
  <c r="E3514" i="1"/>
  <c r="E3515" i="1"/>
  <c r="E3516" i="1"/>
  <c r="E3517" i="1"/>
  <c r="E3519" i="1"/>
  <c r="E3520" i="1"/>
  <c r="E3522" i="1"/>
  <c r="E3523" i="1"/>
  <c r="E3524" i="1"/>
  <c r="E3525" i="1"/>
  <c r="E3526" i="1"/>
  <c r="E3527" i="1"/>
  <c r="E3528" i="1"/>
  <c r="E3529" i="1"/>
  <c r="E3530" i="1"/>
  <c r="E3531" i="1"/>
  <c r="E3532" i="1"/>
  <c r="E3533" i="1"/>
  <c r="E3534" i="1"/>
  <c r="E3535" i="1"/>
  <c r="E3536" i="1"/>
  <c r="E3537" i="1"/>
  <c r="E3538" i="1"/>
  <c r="E3539" i="1"/>
  <c r="E3542" i="1"/>
  <c r="E3543" i="1"/>
  <c r="E3544" i="1"/>
  <c r="E3545" i="1"/>
  <c r="E3546" i="1"/>
  <c r="E3548" i="1"/>
  <c r="E3549" i="1"/>
  <c r="E3550" i="1"/>
  <c r="E3551" i="1"/>
  <c r="E3552" i="1"/>
  <c r="E3553" i="1"/>
  <c r="E3554" i="1"/>
  <c r="E3556" i="1"/>
  <c r="E3557" i="1"/>
  <c r="E3558" i="1"/>
  <c r="E3559" i="1"/>
  <c r="E3560" i="1"/>
  <c r="E3561" i="1"/>
  <c r="E3562" i="1"/>
  <c r="E3564" i="1"/>
  <c r="E3565" i="1"/>
  <c r="E3566" i="1"/>
  <c r="E3568" i="1"/>
  <c r="E3569" i="1"/>
  <c r="E3570" i="1"/>
  <c r="E3571" i="1"/>
  <c r="E3572" i="1"/>
  <c r="E3573" i="1"/>
  <c r="E3574" i="1"/>
  <c r="E3575" i="1"/>
  <c r="E3577" i="1"/>
  <c r="E3578" i="1"/>
  <c r="E3579" i="1"/>
  <c r="E3580" i="1"/>
  <c r="E3581" i="1"/>
  <c r="E3582" i="1"/>
  <c r="E3583" i="1"/>
  <c r="E3584" i="1"/>
  <c r="E3585" i="1"/>
  <c r="E3586" i="1"/>
  <c r="E3587" i="1"/>
  <c r="E3588" i="1"/>
  <c r="E3589" i="1"/>
  <c r="E3590" i="1"/>
  <c r="E3591" i="1"/>
  <c r="E3592" i="1"/>
  <c r="E3593" i="1"/>
  <c r="E3594" i="1"/>
  <c r="E3595" i="1"/>
  <c r="E3597" i="1"/>
  <c r="E3598" i="1"/>
  <c r="E3599" i="1"/>
  <c r="E3600" i="1"/>
  <c r="E3601" i="1"/>
  <c r="E3602" i="1"/>
  <c r="E3603" i="1"/>
  <c r="E3604" i="1"/>
  <c r="E3605" i="1"/>
  <c r="E3607" i="1"/>
  <c r="E3608" i="1"/>
  <c r="E3611" i="1"/>
  <c r="E3612" i="1"/>
  <c r="E3613" i="1"/>
  <c r="E3614" i="1"/>
  <c r="E3615" i="1"/>
  <c r="E3617" i="1"/>
  <c r="E3618" i="1"/>
  <c r="E3619" i="1"/>
  <c r="E3620" i="1"/>
  <c r="E3621" i="1"/>
  <c r="E3622" i="1"/>
  <c r="E3623" i="1"/>
  <c r="E3625" i="1"/>
  <c r="E3626" i="1"/>
  <c r="E3627" i="1"/>
  <c r="E3628" i="1"/>
  <c r="E3629" i="1"/>
  <c r="E3630" i="1"/>
  <c r="E3631" i="1"/>
  <c r="E3633" i="1"/>
  <c r="E3634" i="1"/>
  <c r="E3635" i="1"/>
  <c r="E3636" i="1"/>
  <c r="E3638" i="1"/>
  <c r="E3639" i="1"/>
  <c r="E3641" i="1"/>
  <c r="E3643" i="1"/>
  <c r="E3644" i="1"/>
  <c r="E3645" i="1"/>
  <c r="E3646" i="1"/>
  <c r="E3647" i="1"/>
  <c r="E3648" i="1"/>
  <c r="E3649" i="1"/>
  <c r="E3650" i="1"/>
  <c r="E3651" i="1"/>
  <c r="E3652" i="1"/>
  <c r="E3653" i="1"/>
  <c r="E3654" i="1"/>
  <c r="E3655" i="1"/>
  <c r="E3656" i="1"/>
  <c r="E3658" i="1"/>
  <c r="E3659" i="1"/>
  <c r="E3660" i="1"/>
  <c r="E3661" i="1"/>
  <c r="E3663" i="1"/>
  <c r="E3664" i="1"/>
  <c r="E3665" i="1"/>
  <c r="E3666" i="1"/>
  <c r="E3667" i="1"/>
  <c r="E3668" i="1"/>
  <c r="E3669" i="1"/>
  <c r="E3670" i="1"/>
  <c r="E3671" i="1"/>
  <c r="E3672" i="1"/>
  <c r="E3673" i="1"/>
  <c r="E3674" i="1"/>
  <c r="E3675" i="1"/>
  <c r="E3676" i="1"/>
  <c r="E3677" i="1"/>
  <c r="E3678" i="1"/>
  <c r="E3679" i="1"/>
  <c r="E3680" i="1"/>
  <c r="E3682" i="1"/>
  <c r="E3683" i="1"/>
  <c r="E3684" i="1"/>
  <c r="E3685" i="1"/>
  <c r="E3686" i="1"/>
  <c r="E3687" i="1"/>
  <c r="E3688" i="1"/>
  <c r="E3689" i="1"/>
  <c r="E3690" i="1"/>
  <c r="E3691" i="1"/>
  <c r="E3692" i="1"/>
  <c r="E3693" i="1"/>
  <c r="E3694" i="1"/>
  <c r="E3695" i="1"/>
  <c r="E3696" i="1"/>
  <c r="E3697" i="1"/>
  <c r="E3698" i="1"/>
  <c r="E3699" i="1"/>
  <c r="E3701" i="1"/>
  <c r="E3702" i="1"/>
  <c r="E3703" i="1"/>
  <c r="E3704" i="1"/>
  <c r="E3706" i="1"/>
  <c r="E3707" i="1"/>
  <c r="E3708" i="1"/>
  <c r="E3709" i="1"/>
  <c r="E3710" i="1"/>
  <c r="E3712" i="1"/>
  <c r="E3713" i="1"/>
  <c r="E3714" i="1"/>
  <c r="E3715" i="1"/>
  <c r="E3716" i="1"/>
  <c r="E3717" i="1"/>
  <c r="E3718" i="1"/>
  <c r="E3719" i="1"/>
  <c r="E3720" i="1"/>
  <c r="E3721" i="1"/>
  <c r="E3722" i="1"/>
  <c r="E3723" i="1"/>
  <c r="E3724" i="1"/>
  <c r="E3725" i="1"/>
  <c r="E3727" i="1"/>
  <c r="E3728" i="1"/>
  <c r="E3729" i="1"/>
  <c r="E3730" i="1"/>
  <c r="E3731" i="1"/>
  <c r="E3732" i="1"/>
  <c r="E3734" i="1"/>
  <c r="E3735" i="1"/>
  <c r="E3736" i="1"/>
  <c r="E3737" i="1"/>
  <c r="E3738" i="1"/>
  <c r="E3739" i="1"/>
  <c r="E3741" i="1"/>
  <c r="E3742" i="1"/>
  <c r="E3743" i="1"/>
  <c r="E3744" i="1"/>
  <c r="E3745" i="1"/>
  <c r="E3746" i="1"/>
  <c r="E3747" i="1"/>
  <c r="E3748" i="1"/>
  <c r="E3749" i="1"/>
  <c r="E3750" i="1"/>
  <c r="E3751" i="1"/>
  <c r="E3752" i="1"/>
  <c r="E3753" i="1"/>
  <c r="E3754" i="1"/>
  <c r="E3755" i="1"/>
  <c r="E3756" i="1"/>
  <c r="E3757" i="1"/>
  <c r="E3758" i="1"/>
  <c r="E3759" i="1"/>
  <c r="E3760" i="1"/>
  <c r="E3761" i="1"/>
  <c r="E3770" i="1"/>
  <c r="E3771" i="1"/>
  <c r="E3772" i="1"/>
  <c r="E3773" i="1"/>
  <c r="E3774" i="1"/>
  <c r="E3775" i="1"/>
  <c r="E3776" i="1"/>
  <c r="E3777" i="1"/>
  <c r="E3778" i="1"/>
  <c r="E3779" i="1"/>
  <c r="E3780" i="1"/>
  <c r="E3781" i="1"/>
  <c r="E3782" i="1"/>
  <c r="E3783" i="1"/>
  <c r="E3784" i="1"/>
  <c r="E3785" i="1"/>
  <c r="E3787" i="1"/>
  <c r="E3788" i="1"/>
  <c r="E3789" i="1"/>
  <c r="E3790" i="1"/>
  <c r="E3791" i="1"/>
  <c r="E3792" i="1"/>
  <c r="E3793" i="1"/>
  <c r="E3795" i="1"/>
  <c r="E3796" i="1"/>
  <c r="E3797" i="1"/>
  <c r="E3798" i="1"/>
  <c r="E3799" i="1"/>
  <c r="E3800" i="1"/>
  <c r="E3801" i="1"/>
  <c r="E3802" i="1"/>
  <c r="E3803" i="1"/>
  <c r="E3804" i="1"/>
  <c r="E3805" i="1"/>
  <c r="E3806" i="1"/>
  <c r="E3807" i="1"/>
  <c r="E3808" i="1"/>
  <c r="E3809" i="1"/>
  <c r="E3810" i="1"/>
  <c r="E3811" i="1"/>
  <c r="E3812" i="1"/>
  <c r="E3813" i="1"/>
  <c r="E3814" i="1"/>
  <c r="E3815" i="1"/>
  <c r="E3816" i="1"/>
  <c r="E3817" i="1"/>
  <c r="E3819" i="1"/>
  <c r="E3820" i="1"/>
  <c r="E3821" i="1"/>
  <c r="E3822" i="1"/>
  <c r="E3823" i="1"/>
  <c r="E3824" i="1"/>
  <c r="E3825" i="1"/>
  <c r="E3826" i="1"/>
  <c r="E3827" i="1"/>
  <c r="E3828" i="1"/>
  <c r="E3829" i="1"/>
  <c r="E3830" i="1"/>
  <c r="E3831" i="1"/>
  <c r="E3832" i="1"/>
  <c r="E3833" i="1"/>
  <c r="E3834" i="1"/>
  <c r="E3835" i="1"/>
  <c r="E3836" i="1"/>
  <c r="E3837" i="1"/>
  <c r="E3838" i="1"/>
  <c r="E3839" i="1"/>
  <c r="E3840" i="1"/>
  <c r="E3841" i="1"/>
  <c r="E3842" i="1"/>
  <c r="E3843" i="1"/>
  <c r="E3844" i="1"/>
  <c r="E3845" i="1"/>
  <c r="E3846" i="1"/>
  <c r="E3847" i="1"/>
  <c r="E3848" i="1"/>
  <c r="E3849" i="1"/>
  <c r="E3850" i="1"/>
  <c r="E3851" i="1"/>
  <c r="E3852" i="1"/>
  <c r="E3853" i="1"/>
  <c r="E3854" i="1"/>
  <c r="E3855" i="1"/>
  <c r="E3857" i="1"/>
  <c r="E3858" i="1"/>
  <c r="E3859" i="1"/>
  <c r="E3860" i="1"/>
  <c r="E3861" i="1"/>
  <c r="E3862" i="1"/>
  <c r="E3863" i="1"/>
  <c r="E3864" i="1"/>
  <c r="E3865" i="1"/>
  <c r="E3866" i="1"/>
  <c r="E3867" i="1"/>
  <c r="E3868" i="1"/>
  <c r="E3869" i="1"/>
  <c r="E3870" i="1"/>
  <c r="E3871" i="1"/>
  <c r="E3872" i="1"/>
  <c r="E3873" i="1"/>
  <c r="E3874" i="1"/>
  <c r="E3875" i="1"/>
  <c r="E3876" i="1"/>
  <c r="E3877" i="1"/>
  <c r="E3878" i="1"/>
  <c r="E3879" i="1"/>
  <c r="E3880" i="1"/>
  <c r="E3881" i="1"/>
  <c r="E3882" i="1"/>
  <c r="E3883" i="1"/>
  <c r="E3884" i="1"/>
  <c r="E3885" i="1"/>
  <c r="E3886" i="1"/>
  <c r="E3887" i="1"/>
  <c r="E3889" i="1"/>
  <c r="E3890" i="1"/>
  <c r="E3891" i="1"/>
  <c r="E3892" i="1"/>
  <c r="E3893" i="1"/>
  <c r="E3894" i="1"/>
  <c r="E3895" i="1"/>
  <c r="E3896" i="1"/>
  <c r="E3897" i="1"/>
  <c r="E3898" i="1"/>
  <c r="E3899" i="1"/>
  <c r="E3900" i="1"/>
  <c r="E3901" i="1"/>
  <c r="E3902" i="1"/>
  <c r="E3903" i="1"/>
  <c r="E3904" i="1"/>
  <c r="E3905" i="1"/>
  <c r="E3906" i="1"/>
  <c r="E3907" i="1"/>
  <c r="E3909" i="1"/>
  <c r="E3910" i="1"/>
  <c r="E3911" i="1"/>
  <c r="E3912" i="1"/>
  <c r="E3913" i="1"/>
  <c r="E3914" i="1"/>
  <c r="E3915" i="1"/>
  <c r="E3916" i="1"/>
  <c r="E3917" i="1"/>
  <c r="E3918" i="1"/>
  <c r="E3919" i="1"/>
  <c r="E3920" i="1"/>
  <c r="E3921" i="1"/>
  <c r="E3922" i="1"/>
  <c r="E3923" i="1"/>
  <c r="E3924" i="1"/>
  <c r="E3925" i="1"/>
  <c r="E3926" i="1"/>
  <c r="E3927" i="1"/>
  <c r="E3928" i="1"/>
  <c r="E3929" i="1"/>
  <c r="E3930" i="1"/>
  <c r="E3931" i="1"/>
  <c r="E3932" i="1"/>
  <c r="E3933" i="1"/>
  <c r="E3934" i="1"/>
  <c r="E3935" i="1"/>
  <c r="E3936" i="1"/>
  <c r="E3937" i="1"/>
  <c r="E3938" i="1"/>
  <c r="E3939" i="1"/>
  <c r="E3940" i="1"/>
  <c r="E3941" i="1"/>
  <c r="E3942" i="1"/>
  <c r="E3943" i="1"/>
  <c r="E3944" i="1"/>
  <c r="E3945" i="1"/>
  <c r="E3946" i="1"/>
  <c r="E3947" i="1"/>
  <c r="E3948" i="1"/>
  <c r="E3949" i="1"/>
  <c r="E3950" i="1"/>
  <c r="E3951" i="1"/>
  <c r="E3952" i="1"/>
  <c r="E3954" i="1"/>
  <c r="E3955" i="1"/>
  <c r="E3956" i="1"/>
  <c r="E3957" i="1"/>
  <c r="E3958" i="1"/>
  <c r="E3959" i="1"/>
  <c r="E3960" i="1"/>
  <c r="E3961" i="1"/>
  <c r="E3962" i="1"/>
  <c r="E3964" i="1"/>
  <c r="E3965" i="1"/>
  <c r="E3966" i="1"/>
  <c r="E3967" i="1"/>
  <c r="E3968" i="1"/>
  <c r="E3970" i="1"/>
  <c r="E3972" i="1"/>
  <c r="E3973" i="1"/>
  <c r="E3974" i="1"/>
  <c r="E3975" i="1"/>
  <c r="E3977" i="1"/>
  <c r="E3978" i="1"/>
  <c r="E3979" i="1"/>
  <c r="E3980" i="1"/>
  <c r="E3981" i="1"/>
  <c r="E3982" i="1"/>
  <c r="E3983" i="1"/>
  <c r="E3984" i="1"/>
  <c r="E3985" i="1"/>
  <c r="E3986" i="1"/>
  <c r="E3987" i="1"/>
  <c r="E3988" i="1"/>
  <c r="E3990" i="1"/>
  <c r="E3991" i="1"/>
  <c r="E3992" i="1"/>
  <c r="E3993" i="1"/>
  <c r="E3994" i="1"/>
  <c r="E3995" i="1"/>
  <c r="E3996" i="1"/>
  <c r="E3997" i="1"/>
  <c r="E3998" i="1"/>
  <c r="E3999" i="1"/>
  <c r="E4000" i="1"/>
  <c r="E4001" i="1"/>
  <c r="E4003" i="1"/>
  <c r="E4004" i="1"/>
  <c r="E4005" i="1"/>
  <c r="E4006" i="1"/>
  <c r="E4007" i="1"/>
  <c r="E4008" i="1"/>
  <c r="E4009" i="1"/>
  <c r="E4011" i="1"/>
  <c r="E4012" i="1"/>
  <c r="E4015" i="1"/>
  <c r="E4016" i="1"/>
  <c r="E4017" i="1"/>
  <c r="E4018" i="1"/>
  <c r="E4019" i="1"/>
  <c r="E4020" i="1"/>
  <c r="E4021" i="1"/>
  <c r="E4022" i="1"/>
  <c r="E4023" i="1"/>
  <c r="E4024" i="1"/>
  <c r="E4025" i="1"/>
  <c r="E4026" i="1"/>
  <c r="E4027" i="1"/>
  <c r="E4028" i="1"/>
  <c r="E4029" i="1"/>
  <c r="E4030" i="1"/>
  <c r="E4031" i="1"/>
  <c r="E4032" i="1"/>
  <c r="E4033" i="1"/>
  <c r="E4034" i="1"/>
  <c r="E4035" i="1"/>
  <c r="E4036" i="1"/>
  <c r="E4037" i="1"/>
  <c r="E4039" i="1"/>
  <c r="E4040" i="1"/>
  <c r="E4041" i="1"/>
  <c r="E4042" i="1"/>
  <c r="E4043" i="1"/>
  <c r="E4044" i="1"/>
  <c r="E4045" i="1"/>
  <c r="E4046" i="1"/>
  <c r="E4047" i="1"/>
  <c r="E4048" i="1"/>
  <c r="E4049" i="1"/>
  <c r="E4050" i="1"/>
  <c r="E4051" i="1"/>
  <c r="E4052" i="1"/>
  <c r="E4053" i="1"/>
  <c r="E4054" i="1"/>
  <c r="E4055" i="1"/>
  <c r="E4056" i="1"/>
  <c r="E4057" i="1"/>
  <c r="E4058" i="1"/>
  <c r="E4059" i="1"/>
  <c r="E4060" i="1"/>
  <c r="E4061" i="1"/>
  <c r="E4062" i="1"/>
  <c r="E4063" i="1"/>
  <c r="E4064" i="1"/>
  <c r="E4065" i="1"/>
  <c r="E4066" i="1"/>
  <c r="E4067" i="1"/>
  <c r="E4068" i="1"/>
  <c r="E4070" i="1"/>
  <c r="E4071" i="1"/>
  <c r="E4072" i="1"/>
  <c r="E4073" i="1"/>
  <c r="E4074" i="1"/>
  <c r="E4075" i="1"/>
  <c r="E4077" i="1"/>
  <c r="E4078" i="1"/>
  <c r="E4080" i="1"/>
  <c r="E4082" i="1"/>
  <c r="E4084" i="1"/>
  <c r="E4085" i="1"/>
  <c r="E4087" i="1"/>
  <c r="E4088" i="1"/>
  <c r="E4092" i="1"/>
  <c r="E4094" i="1"/>
  <c r="E4097" i="1"/>
  <c r="E4100" i="1"/>
  <c r="E4101" i="1"/>
  <c r="E4102" i="1"/>
  <c r="E4103" i="1"/>
  <c r="E4104" i="1"/>
  <c r="E4105" i="1"/>
  <c r="E4106" i="1"/>
  <c r="E4107" i="1"/>
  <c r="E4108" i="1"/>
  <c r="E4109" i="1"/>
  <c r="E4110" i="1"/>
  <c r="E4111" i="1"/>
  <c r="E4112" i="1"/>
  <c r="E4113" i="1"/>
  <c r="E4114" i="1"/>
  <c r="E4115" i="1"/>
  <c r="E4116" i="1"/>
  <c r="E4117" i="1"/>
  <c r="E4118" i="1"/>
  <c r="E4119" i="1"/>
  <c r="E4120" i="1"/>
  <c r="E4121" i="1"/>
  <c r="E4122" i="1"/>
  <c r="E4123" i="1"/>
  <c r="E4124" i="1"/>
  <c r="E4125" i="1"/>
  <c r="E4126" i="1"/>
  <c r="E4127" i="1"/>
  <c r="E4128" i="1"/>
  <c r="E4129" i="1"/>
  <c r="E4130" i="1"/>
  <c r="E4131" i="1"/>
  <c r="E4132" i="1"/>
  <c r="E4133" i="1"/>
  <c r="E4134" i="1"/>
  <c r="E4135" i="1"/>
  <c r="E4136" i="1"/>
  <c r="E4137" i="1"/>
  <c r="E4138" i="1"/>
  <c r="E4139" i="1"/>
  <c r="E4140" i="1"/>
  <c r="E4141" i="1"/>
  <c r="E4142" i="1"/>
  <c r="E4143" i="1"/>
  <c r="E4144" i="1"/>
  <c r="E4145" i="1"/>
  <c r="E4146" i="1"/>
  <c r="E4147" i="1"/>
  <c r="E4148" i="1"/>
  <c r="E4149" i="1"/>
  <c r="E4150" i="1"/>
  <c r="E4151" i="1"/>
  <c r="E4152" i="1"/>
  <c r="E4153" i="1"/>
  <c r="E4154" i="1"/>
  <c r="E4155" i="1"/>
  <c r="E4156" i="1"/>
  <c r="E4157" i="1"/>
  <c r="E4158" i="1"/>
  <c r="E4159" i="1"/>
  <c r="E4160" i="1"/>
  <c r="E4161" i="1"/>
  <c r="E4162" i="1"/>
  <c r="E4163" i="1"/>
  <c r="E4164" i="1"/>
  <c r="E4165" i="1"/>
  <c r="E4166" i="1"/>
  <c r="E4167" i="1"/>
  <c r="E4168" i="1"/>
  <c r="E4169" i="1"/>
  <c r="E4170" i="1"/>
  <c r="E4171" i="1"/>
  <c r="E4172" i="1"/>
  <c r="E4173" i="1"/>
  <c r="E4174" i="1"/>
  <c r="E4175" i="1"/>
  <c r="E4176" i="1"/>
  <c r="E4177" i="1"/>
  <c r="E4178" i="1"/>
  <c r="E4179" i="1"/>
  <c r="E4180" i="1"/>
  <c r="E4181" i="1"/>
  <c r="E4182" i="1"/>
  <c r="E4183" i="1"/>
  <c r="E4184" i="1"/>
  <c r="E4185" i="1"/>
  <c r="E4186" i="1"/>
  <c r="E4187" i="1"/>
  <c r="E4188" i="1"/>
  <c r="E4189" i="1"/>
  <c r="E4190" i="1"/>
  <c r="E4191" i="1"/>
  <c r="E4192" i="1"/>
  <c r="E4193" i="1"/>
  <c r="E4194" i="1"/>
  <c r="E4195" i="1"/>
  <c r="E4196" i="1"/>
  <c r="E4197" i="1"/>
  <c r="E4198" i="1"/>
  <c r="E4199" i="1"/>
  <c r="E4200" i="1"/>
  <c r="E4201" i="1"/>
  <c r="E4202" i="1"/>
  <c r="E4203" i="1"/>
  <c r="E4204" i="1"/>
  <c r="E4205" i="1"/>
  <c r="E4207" i="1"/>
  <c r="E4208" i="1"/>
  <c r="E4209" i="1"/>
  <c r="E4210" i="1"/>
  <c r="E4211" i="1"/>
  <c r="E4213" i="1"/>
  <c r="E4214" i="1"/>
  <c r="E4215" i="1"/>
  <c r="E4216" i="1"/>
  <c r="E4217" i="1"/>
  <c r="E4218" i="1"/>
  <c r="E4219" i="1"/>
  <c r="E4220" i="1"/>
  <c r="E4221" i="1"/>
  <c r="E4222" i="1"/>
  <c r="E4223" i="1"/>
  <c r="E4224" i="1"/>
  <c r="E4225" i="1"/>
  <c r="E4226" i="1"/>
  <c r="E4227" i="1"/>
  <c r="E4228" i="1"/>
  <c r="E4229" i="1"/>
  <c r="E4230" i="1"/>
  <c r="E4231" i="1"/>
  <c r="E4232" i="1"/>
  <c r="E4233" i="1"/>
  <c r="E4234" i="1"/>
  <c r="E4235" i="1"/>
  <c r="E4236" i="1"/>
  <c r="E4237" i="1"/>
  <c r="E4238" i="1"/>
  <c r="E4239" i="1"/>
  <c r="E4240" i="1"/>
  <c r="E4241" i="1"/>
  <c r="E4242" i="1"/>
  <c r="E4243" i="1"/>
  <c r="E4244" i="1"/>
  <c r="E4245" i="1"/>
  <c r="E4246" i="1"/>
  <c r="E4247" i="1"/>
  <c r="E4248" i="1"/>
  <c r="E4250" i="1"/>
  <c r="E4251" i="1"/>
  <c r="E4252" i="1"/>
  <c r="E4253" i="1"/>
  <c r="E4254" i="1"/>
  <c r="E4255" i="1"/>
  <c r="E4256" i="1"/>
  <c r="E4257" i="1"/>
  <c r="E4258" i="1"/>
  <c r="E4259" i="1"/>
  <c r="E4260" i="1"/>
  <c r="E4261" i="1"/>
  <c r="E4262" i="1"/>
  <c r="E4263" i="1"/>
  <c r="E4264" i="1"/>
  <c r="E4266" i="1"/>
  <c r="E4267" i="1"/>
  <c r="E4268" i="1"/>
  <c r="E4269" i="1"/>
  <c r="E4270" i="1"/>
  <c r="E4271" i="1"/>
  <c r="E4272" i="1"/>
  <c r="E4273" i="1"/>
  <c r="E4274" i="1"/>
  <c r="E4275" i="1"/>
  <c r="E4276" i="1"/>
  <c r="E4277" i="1"/>
  <c r="E4278" i="1"/>
  <c r="E4279" i="1"/>
  <c r="E4280" i="1"/>
  <c r="E4281" i="1"/>
  <c r="E4282" i="1"/>
  <c r="E4283" i="1"/>
  <c r="E4284" i="1"/>
  <c r="E4286" i="1"/>
  <c r="E4287" i="1"/>
  <c r="E4288" i="1"/>
  <c r="E4289" i="1"/>
  <c r="E4290" i="1"/>
  <c r="E4291" i="1"/>
  <c r="E4292" i="1"/>
  <c r="E4293" i="1"/>
  <c r="E4294" i="1"/>
  <c r="E4295" i="1"/>
  <c r="E4296" i="1"/>
  <c r="E4297" i="1"/>
  <c r="E4298" i="1"/>
  <c r="E4299" i="1"/>
  <c r="E4300" i="1"/>
  <c r="E4301" i="1"/>
  <c r="E4302" i="1"/>
  <c r="E4305" i="1"/>
  <c r="E4306" i="1"/>
  <c r="E4307" i="1"/>
  <c r="E4308" i="1"/>
  <c r="E4309" i="1"/>
  <c r="E4310" i="1"/>
  <c r="E4311" i="1"/>
  <c r="E4312" i="1"/>
  <c r="E4313" i="1"/>
  <c r="E4314" i="1"/>
  <c r="E4315" i="1"/>
  <c r="E4316" i="1"/>
  <c r="E4317" i="1"/>
  <c r="E4318" i="1"/>
  <c r="E4320" i="1"/>
  <c r="E4321" i="1"/>
  <c r="E4322" i="1"/>
  <c r="E4323" i="1"/>
  <c r="E4324" i="1"/>
  <c r="E4325" i="1"/>
  <c r="E4326" i="1"/>
  <c r="E4327" i="1"/>
  <c r="E4328" i="1"/>
  <c r="E4329" i="1"/>
  <c r="E4330" i="1"/>
  <c r="E4331" i="1"/>
  <c r="E4332" i="1"/>
  <c r="E4333" i="1"/>
  <c r="E4334" i="1"/>
  <c r="E4335" i="1"/>
  <c r="E4336" i="1"/>
  <c r="E4337" i="1"/>
  <c r="E4338" i="1"/>
  <c r="E4339" i="1"/>
  <c r="E4340" i="1"/>
  <c r="E4341" i="1"/>
  <c r="E4342" i="1"/>
  <c r="E4343" i="1"/>
  <c r="E4344" i="1"/>
  <c r="E4345" i="1"/>
  <c r="E4346" i="1"/>
  <c r="E4347" i="1"/>
  <c r="E4348" i="1"/>
  <c r="E4349" i="1"/>
  <c r="E4350" i="1"/>
  <c r="E4351" i="1"/>
  <c r="E4352" i="1"/>
  <c r="E4353" i="1"/>
  <c r="E4354" i="1"/>
  <c r="E4355" i="1"/>
  <c r="E4356" i="1"/>
  <c r="E4357" i="1"/>
  <c r="E4358" i="1"/>
  <c r="E4359" i="1"/>
  <c r="E4360" i="1"/>
  <c r="E4361" i="1"/>
  <c r="E4362" i="1"/>
  <c r="E4363" i="1"/>
  <c r="E4364" i="1"/>
  <c r="E4365" i="1"/>
  <c r="E4366" i="1"/>
  <c r="E4367" i="1"/>
  <c r="E4368" i="1"/>
  <c r="E4369" i="1"/>
  <c r="E4371" i="1"/>
  <c r="E4372" i="1"/>
  <c r="E4373" i="1"/>
  <c r="E4374" i="1"/>
  <c r="E4375" i="1"/>
  <c r="E4376" i="1"/>
  <c r="E4377" i="1"/>
  <c r="E4378" i="1"/>
  <c r="E4379" i="1"/>
  <c r="E4380" i="1"/>
  <c r="E4381" i="1"/>
  <c r="E4382" i="1"/>
  <c r="E4383" i="1"/>
  <c r="E4384" i="1"/>
  <c r="E4385" i="1"/>
  <c r="E4386" i="1"/>
  <c r="E4387" i="1"/>
  <c r="E4388" i="1"/>
  <c r="E4389" i="1"/>
  <c r="E4391" i="1"/>
  <c r="E4392" i="1"/>
  <c r="E4393" i="1"/>
  <c r="E4394" i="1"/>
  <c r="E4395" i="1"/>
  <c r="E4396" i="1"/>
  <c r="E4397" i="1"/>
  <c r="E4398" i="1"/>
  <c r="E4399" i="1"/>
  <c r="E4400" i="1"/>
  <c r="E4401" i="1"/>
  <c r="E4403" i="1"/>
  <c r="E4404" i="1"/>
  <c r="E4405" i="1"/>
  <c r="E4406" i="1"/>
  <c r="E4407" i="1"/>
  <c r="E4408" i="1"/>
  <c r="E4409" i="1"/>
  <c r="E4410" i="1"/>
  <c r="E4411" i="1"/>
  <c r="E4412" i="1"/>
  <c r="E4413" i="1"/>
  <c r="E4414" i="1"/>
  <c r="E4415" i="1"/>
  <c r="E4416" i="1"/>
  <c r="E4417" i="1"/>
  <c r="E4418" i="1"/>
  <c r="E4419" i="1"/>
  <c r="E4420" i="1"/>
  <c r="E4421" i="1"/>
  <c r="E4422" i="1"/>
  <c r="E4423" i="1"/>
  <c r="E4424" i="1"/>
  <c r="E4425" i="1"/>
  <c r="E4426" i="1"/>
  <c r="E4427" i="1"/>
  <c r="E4428" i="1"/>
  <c r="E4429" i="1"/>
  <c r="E4430" i="1"/>
  <c r="E4431" i="1"/>
  <c r="E4433" i="1"/>
  <c r="E4434" i="1"/>
  <c r="E4435" i="1"/>
  <c r="E4436" i="1"/>
  <c r="E4437" i="1"/>
  <c r="E4438" i="1"/>
  <c r="E4439" i="1"/>
  <c r="E4440" i="1"/>
  <c r="E4441" i="1"/>
  <c r="E4442" i="1"/>
  <c r="E4443" i="1"/>
  <c r="E4444" i="1"/>
  <c r="E4445" i="1"/>
  <c r="E4446" i="1"/>
  <c r="E4447" i="1"/>
  <c r="E4448" i="1"/>
  <c r="E4450" i="1"/>
  <c r="E4451" i="1"/>
  <c r="E4452" i="1"/>
  <c r="E4453" i="1"/>
  <c r="E4454" i="1"/>
  <c r="E4455" i="1"/>
  <c r="E4456" i="1"/>
  <c r="E4457" i="1"/>
  <c r="E4458" i="1"/>
  <c r="E4459" i="1"/>
  <c r="E4460" i="1"/>
  <c r="E4461" i="1"/>
  <c r="E4462" i="1"/>
  <c r="E4463" i="1"/>
  <c r="E4464" i="1"/>
  <c r="E4465" i="1"/>
  <c r="E4466" i="1"/>
  <c r="E4467" i="1"/>
  <c r="E4469" i="1"/>
  <c r="E4470" i="1"/>
  <c r="E4471" i="1"/>
  <c r="E4472" i="1"/>
  <c r="E4473" i="1"/>
  <c r="E4474" i="1"/>
  <c r="E4475" i="1"/>
  <c r="E4476" i="1"/>
  <c r="E4477" i="1"/>
  <c r="E4478" i="1"/>
  <c r="E4479" i="1"/>
  <c r="E4480" i="1"/>
  <c r="E4482" i="1"/>
  <c r="E4483" i="1"/>
  <c r="E4484" i="1"/>
  <c r="E4486" i="1"/>
  <c r="E4487" i="1"/>
  <c r="E4488" i="1"/>
  <c r="E4489" i="1"/>
  <c r="E4490" i="1"/>
  <c r="E4491" i="1"/>
  <c r="E4492" i="1"/>
  <c r="E4493" i="1"/>
  <c r="E4494" i="1"/>
  <c r="E4495" i="1"/>
  <c r="E4496" i="1"/>
  <c r="E4497" i="1"/>
  <c r="E4498" i="1"/>
  <c r="E4501" i="1"/>
  <c r="E4502" i="1"/>
  <c r="E4503" i="1"/>
  <c r="E4504" i="1"/>
  <c r="E4505" i="1"/>
  <c r="E4506" i="1"/>
  <c r="E4507" i="1"/>
  <c r="E4508" i="1"/>
  <c r="E4509" i="1"/>
  <c r="E4510" i="1"/>
  <c r="E4511" i="1"/>
  <c r="E4512" i="1"/>
  <c r="E4513" i="1"/>
  <c r="E4514" i="1"/>
  <c r="E4515" i="1"/>
  <c r="E4516" i="1"/>
  <c r="E4517" i="1"/>
  <c r="E4518" i="1"/>
  <c r="E4519" i="1"/>
  <c r="E4520" i="1"/>
  <c r="E4521" i="1"/>
  <c r="E4522" i="1"/>
  <c r="E4524" i="1"/>
  <c r="E4526" i="1"/>
  <c r="E4527" i="1"/>
  <c r="E4528" i="1"/>
  <c r="E4529" i="1"/>
  <c r="E4530" i="1"/>
  <c r="E4531" i="1"/>
  <c r="E4532" i="1"/>
  <c r="E4533" i="1"/>
  <c r="E4534" i="1"/>
  <c r="E4535" i="1"/>
  <c r="E4536" i="1"/>
  <c r="E4537" i="1"/>
  <c r="E4538" i="1"/>
  <c r="E4539" i="1"/>
  <c r="E4540" i="1"/>
  <c r="E4541" i="1"/>
  <c r="E4543" i="1"/>
  <c r="E4544" i="1"/>
  <c r="E4545" i="1"/>
  <c r="E4546" i="1"/>
  <c r="E4547" i="1"/>
  <c r="E4548" i="1"/>
  <c r="E4549" i="1"/>
  <c r="E4550" i="1"/>
  <c r="E4551" i="1"/>
  <c r="E4552" i="1"/>
  <c r="E4553" i="1"/>
  <c r="E4554" i="1"/>
  <c r="E4555" i="1"/>
  <c r="E4556" i="1"/>
  <c r="E4557" i="1"/>
  <c r="E4558" i="1"/>
  <c r="E4560" i="1"/>
  <c r="E4561" i="1"/>
  <c r="E4562" i="1"/>
  <c r="E4563" i="1"/>
  <c r="E4564" i="1"/>
  <c r="E4565" i="1"/>
  <c r="E4566" i="1"/>
  <c r="E4568" i="1"/>
  <c r="E4570" i="1"/>
  <c r="E4571" i="1"/>
  <c r="E4572" i="1"/>
  <c r="E4573" i="1"/>
  <c r="E4574" i="1"/>
  <c r="E4575" i="1"/>
  <c r="E4576" i="1"/>
  <c r="E4577" i="1"/>
  <c r="E4578" i="1"/>
  <c r="E4579" i="1"/>
  <c r="E4580" i="1"/>
  <c r="E4581" i="1"/>
  <c r="E4582" i="1"/>
  <c r="E4583" i="1"/>
  <c r="E4584" i="1"/>
  <c r="E4585" i="1"/>
  <c r="E4586" i="1"/>
  <c r="E4587" i="1"/>
  <c r="E4588" i="1"/>
  <c r="E4589" i="1"/>
  <c r="E4590" i="1"/>
  <c r="E4591" i="1"/>
  <c r="E4592" i="1"/>
  <c r="E4593" i="1"/>
  <c r="E4594" i="1"/>
  <c r="E4595" i="1"/>
  <c r="E4596" i="1"/>
  <c r="E4597" i="1"/>
  <c r="E4598" i="1"/>
  <c r="E4599" i="1"/>
  <c r="E4600" i="1"/>
  <c r="E4601" i="1"/>
  <c r="E4602" i="1"/>
  <c r="E4603" i="1"/>
  <c r="E4604" i="1"/>
  <c r="E4606" i="1"/>
  <c r="E4607" i="1"/>
  <c r="E4608" i="1"/>
  <c r="E4609" i="1"/>
  <c r="E4610" i="1"/>
  <c r="E4611" i="1"/>
  <c r="E4612" i="1"/>
  <c r="E4613" i="1"/>
  <c r="E4614" i="1"/>
  <c r="E4615" i="1"/>
  <c r="E4616" i="1"/>
  <c r="E4617" i="1"/>
  <c r="E4618" i="1"/>
  <c r="E4619" i="1"/>
  <c r="E4620" i="1"/>
  <c r="E4621" i="1"/>
  <c r="E4622" i="1"/>
  <c r="E4623" i="1"/>
  <c r="E4624" i="1"/>
  <c r="E4626" i="1"/>
  <c r="E4627" i="1"/>
  <c r="E4628" i="1"/>
  <c r="E4629" i="1"/>
  <c r="E4631" i="1"/>
  <c r="E4632" i="1"/>
  <c r="E4633" i="1"/>
  <c r="E4634" i="1"/>
  <c r="E4635" i="1"/>
  <c r="E4636" i="1"/>
  <c r="E4637" i="1"/>
  <c r="E4638" i="1"/>
  <c r="E4640" i="1"/>
  <c r="E4641" i="1"/>
  <c r="E4642" i="1"/>
  <c r="E4643" i="1"/>
  <c r="E4644" i="1"/>
  <c r="E4645" i="1"/>
  <c r="E4646" i="1"/>
  <c r="E4647" i="1"/>
  <c r="E4649" i="1"/>
  <c r="E4650" i="1"/>
  <c r="E4651" i="1"/>
  <c r="E4652" i="1"/>
  <c r="E4653" i="1"/>
  <c r="E4654" i="1"/>
  <c r="E4655" i="1"/>
  <c r="E4656" i="1"/>
  <c r="E4657" i="1"/>
  <c r="E4659" i="1"/>
  <c r="E4660" i="1"/>
  <c r="E4663" i="1"/>
  <c r="E4664" i="1"/>
  <c r="E4665" i="1"/>
  <c r="E4666" i="1"/>
  <c r="E4667" i="1"/>
  <c r="E4668" i="1"/>
  <c r="E4669" i="1"/>
  <c r="E4671" i="1"/>
  <c r="E4672" i="1"/>
  <c r="E4673" i="1"/>
  <c r="E4674" i="1"/>
  <c r="E4675" i="1"/>
  <c r="E4676" i="1"/>
  <c r="E4677" i="1"/>
  <c r="E4679" i="1"/>
  <c r="E4680" i="1"/>
  <c r="E4681" i="1"/>
  <c r="E4682" i="1"/>
  <c r="E4683" i="1"/>
  <c r="E4684" i="1"/>
  <c r="E4685" i="1"/>
  <c r="E4686" i="1"/>
  <c r="E4687" i="1"/>
  <c r="E4688" i="1"/>
  <c r="E4689" i="1"/>
  <c r="E4690" i="1"/>
  <c r="E4692" i="1"/>
  <c r="E4695" i="1"/>
  <c r="E4696" i="1"/>
  <c r="E4697" i="1"/>
  <c r="E4698" i="1"/>
  <c r="E4699" i="1"/>
  <c r="E4700" i="1"/>
  <c r="E4701" i="1"/>
  <c r="E4702" i="1"/>
  <c r="E4703" i="1"/>
  <c r="E4704" i="1"/>
  <c r="E4705" i="1"/>
  <c r="E4706" i="1"/>
  <c r="E4707" i="1"/>
  <c r="E4708" i="1"/>
  <c r="E4709" i="1"/>
  <c r="E4710" i="1"/>
  <c r="E4711" i="1"/>
  <c r="E4712" i="1"/>
  <c r="E4713" i="1"/>
  <c r="E4714" i="1"/>
  <c r="E4715" i="1"/>
  <c r="E4717" i="1"/>
  <c r="E4718" i="1"/>
  <c r="E4720" i="1"/>
  <c r="E4721" i="1"/>
  <c r="E4722" i="1"/>
  <c r="E4723" i="1"/>
  <c r="E4724" i="1"/>
  <c r="E4725" i="1"/>
  <c r="E4726" i="1"/>
  <c r="E4727" i="1"/>
  <c r="E4728" i="1"/>
  <c r="E4730" i="1"/>
  <c r="E4731" i="1"/>
  <c r="E4732" i="1"/>
  <c r="E4733" i="1"/>
  <c r="E4734" i="1"/>
  <c r="E4735" i="1"/>
  <c r="E4736" i="1"/>
  <c r="E4737" i="1"/>
  <c r="E4738" i="1"/>
  <c r="E4739" i="1"/>
  <c r="E4741" i="1"/>
  <c r="E4742" i="1"/>
  <c r="E4744" i="1"/>
  <c r="E4745" i="1"/>
  <c r="E4746" i="1"/>
  <c r="E4747" i="1"/>
  <c r="E4748" i="1"/>
  <c r="E4749" i="1"/>
  <c r="E4750" i="1"/>
  <c r="E4751" i="1"/>
  <c r="E4752" i="1"/>
  <c r="E4753" i="1"/>
  <c r="E4754" i="1"/>
  <c r="E4755" i="1"/>
  <c r="E4756" i="1"/>
  <c r="E4757" i="1"/>
  <c r="E4758" i="1"/>
  <c r="E4759" i="1"/>
  <c r="E4760" i="1"/>
  <c r="E4761" i="1"/>
  <c r="E4762" i="1"/>
  <c r="E4763" i="1"/>
  <c r="E4764" i="1"/>
  <c r="E4765" i="1"/>
  <c r="E4766" i="1"/>
  <c r="E4767" i="1"/>
  <c r="E4768" i="1"/>
  <c r="E4769" i="1"/>
  <c r="E4770" i="1"/>
  <c r="E4771" i="1"/>
  <c r="E4772" i="1"/>
  <c r="E4773" i="1"/>
  <c r="E4774" i="1"/>
  <c r="E4775" i="1"/>
  <c r="E4777" i="1"/>
  <c r="E4778" i="1"/>
  <c r="E4779" i="1"/>
  <c r="E4780" i="1"/>
  <c r="E4781" i="1"/>
  <c r="E4784" i="1"/>
  <c r="E4785" i="1"/>
  <c r="E4786" i="1"/>
  <c r="E4787" i="1"/>
  <c r="E4788" i="1"/>
  <c r="E4789" i="1"/>
  <c r="E4790" i="1"/>
  <c r="E4791" i="1"/>
  <c r="E4792" i="1"/>
  <c r="E4794" i="1"/>
  <c r="E4795" i="1"/>
  <c r="E4796" i="1"/>
  <c r="E4797" i="1"/>
  <c r="E4798" i="1"/>
  <c r="E4799" i="1"/>
  <c r="E4800" i="1"/>
  <c r="E4802" i="1"/>
  <c r="E4803" i="1"/>
  <c r="E4804" i="1"/>
  <c r="E4805" i="1"/>
  <c r="E4807" i="1"/>
  <c r="E4808" i="1"/>
  <c r="E4809" i="1"/>
  <c r="E4810" i="1"/>
  <c r="E4812" i="1"/>
  <c r="E4813" i="1"/>
  <c r="E4814" i="1"/>
  <c r="E4815" i="1"/>
  <c r="E4816" i="1"/>
  <c r="E4817" i="1"/>
  <c r="E4819" i="1"/>
  <c r="E4820" i="1"/>
  <c r="E4821" i="1"/>
  <c r="E4822" i="1"/>
  <c r="E4823" i="1"/>
  <c r="E4824" i="1"/>
  <c r="E4826" i="1"/>
  <c r="E4827" i="1"/>
  <c r="E4828" i="1"/>
  <c r="E4829" i="1"/>
  <c r="E4830" i="1"/>
  <c r="E4831" i="1"/>
  <c r="E4832" i="1"/>
  <c r="E4833" i="1"/>
  <c r="E4834" i="1"/>
  <c r="E4835" i="1"/>
  <c r="E4836" i="1"/>
  <c r="E4837" i="1"/>
  <c r="E4838" i="1"/>
  <c r="E4839" i="1"/>
  <c r="E4840" i="1"/>
  <c r="E4841" i="1"/>
  <c r="E4842" i="1"/>
  <c r="E4843" i="1"/>
  <c r="E4844" i="1"/>
  <c r="E4845" i="1"/>
  <c r="E4846" i="1"/>
  <c r="E4847" i="1"/>
  <c r="E4848" i="1"/>
  <c r="E4850" i="1"/>
  <c r="E4851" i="1"/>
  <c r="E4852" i="1"/>
  <c r="E4853" i="1"/>
  <c r="E4854" i="1"/>
  <c r="E4855" i="1"/>
  <c r="E4856" i="1"/>
  <c r="E4857" i="1"/>
  <c r="E4858" i="1"/>
  <c r="E4859" i="1"/>
  <c r="E4860" i="1"/>
  <c r="E4861" i="1"/>
  <c r="E4862" i="1"/>
  <c r="E4863" i="1"/>
  <c r="E4864" i="1"/>
  <c r="E4865" i="1"/>
  <c r="E4866" i="1"/>
  <c r="E4867" i="1"/>
  <c r="E4868" i="1"/>
  <c r="E4869" i="1"/>
  <c r="E4870" i="1"/>
  <c r="E4871" i="1"/>
  <c r="E4872" i="1"/>
  <c r="E4873" i="1"/>
  <c r="E4874" i="1"/>
  <c r="E4875" i="1"/>
  <c r="E4876" i="1"/>
  <c r="E4877" i="1"/>
  <c r="E4878" i="1"/>
  <c r="E4880" i="1"/>
  <c r="E4881" i="1"/>
  <c r="E4882" i="1"/>
  <c r="E4883" i="1"/>
  <c r="E4884" i="1"/>
  <c r="E4885" i="1"/>
  <c r="E4886" i="1"/>
  <c r="E4887" i="1"/>
  <c r="E4888" i="1"/>
  <c r="E4889" i="1"/>
  <c r="E4890" i="1"/>
  <c r="E4891" i="1"/>
  <c r="E4892" i="1"/>
  <c r="E4893" i="1"/>
  <c r="E4894" i="1"/>
  <c r="E4895" i="1"/>
  <c r="E4896" i="1"/>
  <c r="E4897" i="1"/>
  <c r="E4898" i="1"/>
  <c r="E4899" i="1"/>
  <c r="E4901" i="1"/>
  <c r="E4902" i="1"/>
  <c r="E4904" i="1"/>
  <c r="E4905" i="1"/>
  <c r="E4906" i="1"/>
  <c r="E4907" i="1"/>
  <c r="E4908" i="1"/>
  <c r="E4909" i="1"/>
  <c r="E4912" i="1"/>
  <c r="E4913" i="1"/>
  <c r="E4914" i="1"/>
  <c r="E4915" i="1"/>
  <c r="E4916" i="1"/>
  <c r="E4917" i="1"/>
  <c r="E4918" i="1"/>
  <c r="E4919" i="1"/>
  <c r="E4920" i="1"/>
  <c r="E4921" i="1"/>
  <c r="E4922" i="1"/>
  <c r="E4923" i="1"/>
  <c r="E4924" i="1"/>
  <c r="E4925" i="1"/>
  <c r="E4926" i="1"/>
  <c r="E4927" i="1"/>
  <c r="E4928" i="1"/>
  <c r="E4929" i="1"/>
  <c r="E4930" i="1"/>
  <c r="E4931" i="1"/>
  <c r="E4933" i="1"/>
  <c r="E4934" i="1"/>
  <c r="E4935" i="1"/>
  <c r="E4936" i="1"/>
  <c r="E4937" i="1"/>
  <c r="E4938" i="1"/>
  <c r="E4939" i="1"/>
  <c r="E4940" i="1"/>
  <c r="E4941" i="1"/>
  <c r="E4942" i="1"/>
  <c r="E4943" i="1"/>
  <c r="E4944" i="1"/>
  <c r="E4945" i="1"/>
  <c r="E4946" i="1"/>
  <c r="E4948" i="1"/>
  <c r="E4949" i="1"/>
  <c r="E4950" i="1"/>
  <c r="E4951" i="1"/>
  <c r="E4952" i="1"/>
  <c r="E4953" i="1"/>
  <c r="E4954" i="1"/>
  <c r="E4955" i="1"/>
  <c r="E4956" i="1"/>
  <c r="E4957" i="1"/>
  <c r="E4959" i="1"/>
  <c r="E4960" i="1"/>
  <c r="E4961" i="1"/>
  <c r="E4962" i="1"/>
  <c r="E4964" i="1"/>
  <c r="E4965" i="1"/>
  <c r="E4966" i="1"/>
  <c r="E4967" i="1"/>
  <c r="E4968" i="1"/>
  <c r="E4969" i="1"/>
  <c r="E4970" i="1"/>
  <c r="E4971" i="1"/>
  <c r="E4972" i="1"/>
  <c r="E4973" i="1"/>
  <c r="E4974" i="1"/>
  <c r="E4975" i="1"/>
  <c r="E4976" i="1"/>
  <c r="E4977" i="1"/>
  <c r="E4978" i="1"/>
  <c r="E4979" i="1"/>
  <c r="E4980" i="1"/>
  <c r="E4981" i="1"/>
  <c r="E4982" i="1"/>
  <c r="E4983" i="1"/>
  <c r="E4984" i="1"/>
  <c r="E4985" i="1"/>
  <c r="E4986" i="1"/>
  <c r="E4987" i="1"/>
  <c r="E4988" i="1"/>
  <c r="E4989" i="1"/>
  <c r="E4990" i="1"/>
  <c r="E4991" i="1"/>
  <c r="E4992" i="1"/>
  <c r="E4993" i="1"/>
  <c r="E4994" i="1"/>
  <c r="E4995" i="1"/>
  <c r="E4996" i="1"/>
  <c r="E4998" i="1"/>
  <c r="E4999" i="1"/>
  <c r="E5000" i="1"/>
  <c r="E5001" i="1"/>
  <c r="E5002" i="1"/>
  <c r="E5003" i="1"/>
  <c r="E5004" i="1"/>
  <c r="E5005" i="1"/>
  <c r="E5006" i="1"/>
  <c r="E5007" i="1"/>
  <c r="E5008" i="1"/>
  <c r="E5009" i="1"/>
  <c r="E5010" i="1"/>
  <c r="E5011" i="1"/>
  <c r="E5012" i="1"/>
  <c r="E5013" i="1"/>
  <c r="E5014" i="1"/>
  <c r="E5019" i="1"/>
  <c r="E5020" i="1"/>
  <c r="E5021" i="1"/>
  <c r="E5022" i="1"/>
  <c r="E5024" i="1"/>
  <c r="E5025" i="1"/>
  <c r="E5026" i="1"/>
  <c r="E5027" i="1"/>
  <c r="E5029" i="1"/>
  <c r="E5031" i="1"/>
  <c r="E5034" i="1"/>
  <c r="E5035" i="1"/>
  <c r="E5036" i="1"/>
  <c r="E5037" i="1"/>
  <c r="E5038" i="1"/>
  <c r="E5039" i="1"/>
  <c r="E5040" i="1"/>
  <c r="E5041" i="1"/>
  <c r="E5042" i="1"/>
  <c r="E5043" i="1"/>
  <c r="E5044" i="1"/>
  <c r="E5046" i="1"/>
  <c r="E5047" i="1"/>
  <c r="E5048" i="1"/>
  <c r="E5049" i="1"/>
  <c r="E5050" i="1"/>
  <c r="E5051" i="1"/>
  <c r="E5052" i="1"/>
  <c r="E5054" i="1"/>
  <c r="E5055" i="1"/>
  <c r="E5056" i="1"/>
  <c r="E5057" i="1"/>
  <c r="E5058" i="1"/>
  <c r="E5059" i="1"/>
  <c r="E5060" i="1"/>
  <c r="E5062" i="1"/>
  <c r="E5063" i="1"/>
  <c r="E5064" i="1"/>
  <c r="E5065" i="1"/>
  <c r="E5066" i="1"/>
  <c r="E5067" i="1"/>
  <c r="E5069" i="1"/>
  <c r="E5070" i="1"/>
  <c r="E5071" i="1"/>
  <c r="E5072" i="1"/>
  <c r="E5073" i="1"/>
  <c r="E5074" i="1"/>
  <c r="E5075" i="1"/>
  <c r="E5076" i="1"/>
  <c r="E5077" i="1"/>
  <c r="E5078" i="1"/>
  <c r="E5079" i="1"/>
  <c r="E5080" i="1"/>
  <c r="E5083" i="1"/>
  <c r="E5084" i="1"/>
  <c r="E5085" i="1"/>
  <c r="E5086" i="1"/>
  <c r="E5087" i="1"/>
  <c r="E5088" i="1"/>
  <c r="E5089" i="1"/>
  <c r="E5090" i="1"/>
  <c r="E5091" i="1"/>
  <c r="E5092" i="1"/>
  <c r="E5093" i="1"/>
  <c r="E5094" i="1"/>
  <c r="E5097" i="1"/>
  <c r="E5098" i="1"/>
  <c r="E5099" i="1"/>
  <c r="E5100" i="1"/>
  <c r="E5101" i="1"/>
  <c r="E5102" i="1"/>
  <c r="E5103" i="1"/>
  <c r="E5104" i="1"/>
  <c r="E5105" i="1"/>
  <c r="E5106" i="1"/>
  <c r="E5107" i="1"/>
  <c r="E5108" i="1"/>
  <c r="E5110" i="1"/>
  <c r="E5111" i="1"/>
  <c r="E5114" i="1"/>
  <c r="E5115" i="1"/>
  <c r="E5116" i="1"/>
  <c r="E5117" i="1"/>
  <c r="E5120" i="1"/>
  <c r="E5121" i="1"/>
  <c r="E5122" i="1"/>
  <c r="E5124" i="1"/>
  <c r="E5125" i="1"/>
  <c r="E5126" i="1"/>
  <c r="E5127" i="1"/>
  <c r="E5128" i="1"/>
  <c r="E5129" i="1"/>
  <c r="E5132" i="1"/>
  <c r="E5133" i="1"/>
  <c r="E5134" i="1"/>
  <c r="E5135" i="1"/>
  <c r="E5136" i="1"/>
  <c r="E5137" i="1"/>
  <c r="E5139" i="1"/>
  <c r="E5140" i="1"/>
  <c r="E5141" i="1"/>
  <c r="E5142" i="1"/>
  <c r="E5143" i="1"/>
  <c r="E5145" i="1"/>
  <c r="E5148" i="1"/>
  <c r="E5149" i="1"/>
  <c r="E5150" i="1"/>
  <c r="E5151" i="1"/>
  <c r="E5153" i="1"/>
  <c r="E5154" i="1"/>
  <c r="E5155" i="1"/>
  <c r="E5156" i="1"/>
  <c r="E5157" i="1"/>
  <c r="E5158" i="1"/>
  <c r="E5159" i="1"/>
  <c r="E5160" i="1"/>
  <c r="E5162" i="1"/>
  <c r="E5163" i="1"/>
  <c r="E5164" i="1"/>
  <c r="E5165" i="1"/>
  <c r="E5166" i="1"/>
  <c r="E5167" i="1"/>
  <c r="E5170" i="1"/>
  <c r="E5171" i="1"/>
  <c r="E5172" i="1"/>
  <c r="E5173" i="1"/>
  <c r="E5176" i="1"/>
  <c r="E5178" i="1"/>
  <c r="E5179" i="1"/>
  <c r="E5180" i="1"/>
  <c r="E5181" i="1"/>
  <c r="E5182" i="1"/>
  <c r="E5185" i="1"/>
  <c r="E5186" i="1"/>
  <c r="E5187" i="1"/>
  <c r="E5188" i="1"/>
  <c r="E5190" i="1"/>
  <c r="E5191" i="1"/>
  <c r="E5193" i="1"/>
  <c r="E5194" i="1"/>
  <c r="E5195" i="1"/>
  <c r="E5196" i="1"/>
  <c r="E5199" i="1"/>
  <c r="E5200" i="1"/>
  <c r="E5201" i="1"/>
  <c r="E5205" i="1"/>
  <c r="E5206" i="1"/>
  <c r="E5207" i="1"/>
  <c r="E5208" i="1"/>
  <c r="E5210" i="1"/>
  <c r="E5211" i="1"/>
  <c r="E5212" i="1"/>
  <c r="E5213" i="1"/>
  <c r="E5214" i="1"/>
  <c r="E5215" i="1"/>
  <c r="E5216" i="1"/>
  <c r="E5217" i="1"/>
  <c r="E5218" i="1"/>
  <c r="E5219" i="1"/>
  <c r="E5220" i="1"/>
  <c r="E5222" i="1"/>
  <c r="E5223" i="1"/>
  <c r="E5224" i="1"/>
  <c r="E5225" i="1"/>
  <c r="E5226" i="1"/>
  <c r="E5227" i="1"/>
  <c r="E5228" i="1"/>
  <c r="E5229" i="1"/>
  <c r="E5230" i="1"/>
  <c r="E5231" i="1"/>
  <c r="E5232" i="1"/>
  <c r="E5234" i="1"/>
  <c r="E5235" i="1"/>
  <c r="E5236" i="1"/>
  <c r="E5238" i="1"/>
  <c r="E5239" i="1"/>
  <c r="E5240" i="1"/>
  <c r="E5241" i="1"/>
  <c r="E5242" i="1"/>
  <c r="E5243" i="1"/>
  <c r="E5244" i="1"/>
  <c r="E5245" i="1"/>
  <c r="E5254" i="1"/>
  <c r="E5255" i="1"/>
  <c r="E5256" i="1"/>
  <c r="E5257" i="1"/>
  <c r="E5258" i="1"/>
  <c r="E5259" i="1"/>
  <c r="E5260" i="1"/>
  <c r="E5261" i="1"/>
  <c r="E5262" i="1"/>
  <c r="E5264" i="1"/>
  <c r="E5265" i="1"/>
  <c r="E5266" i="1"/>
  <c r="E5267" i="1"/>
  <c r="E5269" i="1"/>
  <c r="E5273" i="1"/>
  <c r="E5274" i="1"/>
  <c r="E5275" i="1"/>
  <c r="E5276" i="1"/>
  <c r="E5277" i="1"/>
  <c r="E5278" i="1"/>
  <c r="E5279" i="1"/>
  <c r="E5280" i="1"/>
  <c r="E5281" i="1"/>
  <c r="E5282" i="1"/>
  <c r="E5283" i="1"/>
  <c r="E5284" i="1"/>
  <c r="E5285" i="1"/>
  <c r="E5286" i="1"/>
  <c r="E5287" i="1"/>
  <c r="E5289" i="1"/>
  <c r="E5290" i="1"/>
  <c r="E5291" i="1"/>
  <c r="E5292" i="1"/>
  <c r="E5293" i="1"/>
  <c r="E5294" i="1"/>
  <c r="E5295" i="1"/>
  <c r="E5296" i="1"/>
  <c r="E5297" i="1"/>
  <c r="E5298" i="1"/>
  <c r="E5299" i="1"/>
  <c r="E5300" i="1"/>
  <c r="E5301" i="1"/>
  <c r="E5302" i="1"/>
  <c r="E5303" i="1"/>
  <c r="E5304" i="1"/>
  <c r="E5306" i="1"/>
  <c r="E5307" i="1"/>
  <c r="E5308" i="1"/>
  <c r="E5309" i="1"/>
  <c r="E5310" i="1"/>
  <c r="E5311" i="1"/>
  <c r="E5312" i="1"/>
  <c r="E5314" i="1"/>
  <c r="E5315" i="1"/>
  <c r="E5316" i="1"/>
  <c r="E5317" i="1"/>
  <c r="E5318" i="1"/>
  <c r="E5320" i="1"/>
  <c r="E5321" i="1"/>
  <c r="E5322" i="1"/>
  <c r="E5323" i="1"/>
  <c r="E5324" i="1"/>
  <c r="E5325" i="1"/>
  <c r="E5326" i="1"/>
  <c r="E5327" i="1"/>
  <c r="E5328" i="1"/>
  <c r="E5329" i="1"/>
  <c r="E5331" i="1"/>
  <c r="E5332" i="1"/>
  <c r="E5333" i="1"/>
  <c r="E5334" i="1"/>
  <c r="E5335" i="1"/>
  <c r="E5337" i="1"/>
  <c r="E5338" i="1"/>
  <c r="E5339" i="1"/>
  <c r="E5341" i="1"/>
  <c r="E5342" i="1"/>
  <c r="E5343" i="1"/>
  <c r="E5344" i="1"/>
  <c r="E5345" i="1"/>
  <c r="E5346" i="1"/>
  <c r="E5347" i="1"/>
  <c r="E5348" i="1"/>
  <c r="E5349" i="1"/>
  <c r="E5350" i="1"/>
  <c r="E5351" i="1"/>
  <c r="E5352" i="1"/>
  <c r="E5353" i="1"/>
  <c r="E5354" i="1"/>
  <c r="E5355" i="1"/>
  <c r="E5357" i="1"/>
  <c r="E5358" i="1"/>
  <c r="E5359" i="1"/>
  <c r="E5360" i="1"/>
  <c r="E5361" i="1"/>
  <c r="E5362" i="1"/>
  <c r="E5363" i="1"/>
  <c r="E5364" i="1"/>
  <c r="E5365" i="1"/>
  <c r="E5366" i="1"/>
  <c r="E5367" i="1"/>
  <c r="E5368" i="1"/>
  <c r="E5369" i="1"/>
  <c r="E5370" i="1"/>
  <c r="E5371" i="1"/>
  <c r="E5372" i="1"/>
  <c r="E5373" i="1"/>
  <c r="E5375" i="1"/>
  <c r="E5376" i="1"/>
  <c r="E5377" i="1"/>
  <c r="E5378" i="1"/>
  <c r="E5379" i="1"/>
  <c r="E5380" i="1"/>
  <c r="E5381" i="1"/>
  <c r="E5382" i="1"/>
  <c r="E5383" i="1"/>
  <c r="E5384" i="1"/>
  <c r="E5385" i="1"/>
  <c r="E5387" i="1"/>
  <c r="E5388" i="1"/>
  <c r="E5389" i="1"/>
  <c r="E5390" i="1"/>
  <c r="E5391" i="1"/>
  <c r="E5392" i="1"/>
  <c r="E5393" i="1"/>
  <c r="E5395" i="1"/>
  <c r="E5396" i="1"/>
  <c r="E5397" i="1"/>
  <c r="E5398" i="1"/>
  <c r="E5399" i="1"/>
  <c r="E5400" i="1"/>
  <c r="E5402" i="1"/>
  <c r="E5403" i="1"/>
  <c r="E5404" i="1"/>
  <c r="E5405" i="1"/>
  <c r="E5406" i="1"/>
  <c r="E5407" i="1"/>
  <c r="E5408" i="1"/>
  <c r="E5410" i="1"/>
  <c r="E5411" i="1"/>
  <c r="E5412" i="1"/>
  <c r="E5413" i="1"/>
  <c r="E5414" i="1"/>
  <c r="E5415" i="1"/>
  <c r="E5416" i="1"/>
  <c r="E5417" i="1"/>
  <c r="E5418" i="1"/>
  <c r="E5419" i="1"/>
  <c r="E5420" i="1"/>
  <c r="E5421" i="1"/>
  <c r="E5422" i="1"/>
  <c r="E5423" i="1"/>
  <c r="E5424" i="1"/>
  <c r="E5425" i="1"/>
  <c r="E5426" i="1"/>
  <c r="E5429" i="1"/>
  <c r="E5430" i="1"/>
  <c r="E5431" i="1"/>
  <c r="E5432" i="1"/>
  <c r="E5433" i="1"/>
  <c r="E5434" i="1"/>
  <c r="E5435" i="1"/>
  <c r="E5436" i="1"/>
  <c r="E5437" i="1"/>
  <c r="E5438" i="1"/>
  <c r="E5439" i="1"/>
  <c r="E5440" i="1"/>
  <c r="E5441" i="1"/>
  <c r="E5442" i="1"/>
  <c r="E5443" i="1"/>
  <c r="E5444" i="1"/>
  <c r="E5445" i="1"/>
  <c r="E5446" i="1"/>
  <c r="E5447" i="1"/>
  <c r="E5448" i="1"/>
  <c r="E5449" i="1"/>
  <c r="E5450" i="1"/>
  <c r="E5451" i="1"/>
  <c r="E5452" i="1"/>
  <c r="E5453" i="1"/>
  <c r="E5454" i="1"/>
  <c r="E5455" i="1"/>
  <c r="E5456" i="1"/>
  <c r="E5457" i="1"/>
  <c r="E5459" i="1"/>
  <c r="E5460" i="1"/>
  <c r="E5461" i="1"/>
  <c r="E5462" i="1"/>
  <c r="E5463" i="1"/>
  <c r="E5464" i="1"/>
  <c r="E5465" i="1"/>
  <c r="E5466" i="1"/>
  <c r="E5467" i="1"/>
  <c r="E5468" i="1"/>
  <c r="E5469" i="1"/>
  <c r="E5470" i="1"/>
  <c r="E5471" i="1"/>
  <c r="E5472" i="1"/>
  <c r="E5473" i="1"/>
  <c r="E5474" i="1"/>
  <c r="E5475" i="1"/>
  <c r="E5476" i="1"/>
  <c r="E5477" i="1"/>
  <c r="E5478" i="1"/>
  <c r="E5479" i="1"/>
  <c r="E5480" i="1"/>
  <c r="E5483" i="1"/>
  <c r="E5484" i="1"/>
  <c r="E5485" i="1"/>
  <c r="E5486" i="1"/>
  <c r="E5487" i="1"/>
  <c r="E5488" i="1"/>
  <c r="E5489" i="1"/>
  <c r="E5490" i="1"/>
  <c r="E5491" i="1"/>
  <c r="E5492" i="1"/>
  <c r="E5493" i="1"/>
  <c r="E5494" i="1"/>
  <c r="E5495" i="1"/>
  <c r="E5496" i="1"/>
  <c r="E5497" i="1"/>
  <c r="E5498" i="1"/>
  <c r="E5499" i="1"/>
  <c r="E5500" i="1"/>
  <c r="E5501" i="1"/>
  <c r="E5502" i="1"/>
  <c r="E5503" i="1"/>
  <c r="E5504" i="1"/>
  <c r="E5505" i="1"/>
  <c r="E5506" i="1"/>
  <c r="E5507" i="1"/>
  <c r="E5508" i="1"/>
  <c r="E5509" i="1"/>
  <c r="E5510" i="1"/>
  <c r="E5511" i="1"/>
  <c r="E5512" i="1"/>
  <c r="E5513" i="1"/>
  <c r="E5514" i="1"/>
  <c r="E5515" i="1"/>
  <c r="E5516" i="1"/>
  <c r="E5517" i="1"/>
  <c r="E5518" i="1"/>
  <c r="E5520" i="1"/>
  <c r="E5521" i="1"/>
  <c r="E5522" i="1"/>
  <c r="E5523" i="1"/>
  <c r="E5524" i="1"/>
  <c r="E5525" i="1"/>
  <c r="E5526" i="1"/>
  <c r="E5527" i="1"/>
  <c r="E5528" i="1"/>
  <c r="E5529" i="1"/>
  <c r="E5530" i="1"/>
  <c r="E5531" i="1"/>
  <c r="E5532" i="1"/>
  <c r="E5533" i="1"/>
  <c r="E5534" i="1"/>
  <c r="E5535" i="1"/>
  <c r="E5536" i="1"/>
  <c r="E5537" i="1"/>
  <c r="E5540" i="1"/>
  <c r="E5541" i="1"/>
  <c r="E5542" i="1"/>
  <c r="E5543" i="1"/>
  <c r="E5544" i="1"/>
  <c r="E5545" i="1"/>
  <c r="E5546" i="1"/>
  <c r="E5547" i="1"/>
  <c r="E5549" i="1"/>
  <c r="E5550" i="1"/>
  <c r="E5551" i="1"/>
  <c r="E5553" i="1"/>
  <c r="E5554" i="1"/>
  <c r="E5555" i="1"/>
  <c r="E5556" i="1"/>
  <c r="E5557" i="1"/>
  <c r="E5558" i="1"/>
  <c r="E5559" i="1"/>
  <c r="E5560" i="1"/>
  <c r="E5561" i="1"/>
  <c r="E5562" i="1"/>
  <c r="E5563" i="1"/>
  <c r="E5564" i="1"/>
  <c r="E5565" i="1"/>
  <c r="E5566" i="1"/>
  <c r="E5567" i="1"/>
  <c r="E5568" i="1"/>
  <c r="E5569" i="1"/>
  <c r="E5570" i="1"/>
  <c r="E5571" i="1"/>
  <c r="E5572" i="1"/>
  <c r="E5573" i="1"/>
  <c r="E5574" i="1"/>
  <c r="E5575" i="1"/>
  <c r="E5576" i="1"/>
  <c r="E5577" i="1"/>
  <c r="E5578" i="1"/>
  <c r="E5579" i="1"/>
  <c r="E5580" i="1"/>
  <c r="E5581" i="1"/>
  <c r="E5582" i="1"/>
  <c r="E5583" i="1"/>
  <c r="E5584" i="1"/>
  <c r="E5585" i="1"/>
  <c r="E5586" i="1"/>
  <c r="E5587" i="1"/>
  <c r="E5588" i="1"/>
  <c r="E5589" i="1"/>
  <c r="E5590" i="1"/>
  <c r="E5591" i="1"/>
  <c r="E5592" i="1"/>
  <c r="E5593" i="1"/>
  <c r="E5594" i="1"/>
  <c r="E5595" i="1"/>
  <c r="E5596" i="1"/>
  <c r="E5597" i="1"/>
  <c r="E5598" i="1"/>
  <c r="E5599" i="1"/>
  <c r="E5600" i="1"/>
  <c r="E5601" i="1"/>
  <c r="E5602" i="1"/>
  <c r="E5603" i="1"/>
  <c r="E5604" i="1"/>
  <c r="E5605" i="1"/>
  <c r="E5606" i="1"/>
  <c r="E5607" i="1"/>
  <c r="E5609" i="1"/>
  <c r="E5610" i="1"/>
  <c r="E5611" i="1"/>
  <c r="E5612" i="1"/>
  <c r="E5613" i="1"/>
  <c r="E5614" i="1"/>
  <c r="E5615" i="1"/>
  <c r="E5616" i="1"/>
  <c r="E5617" i="1"/>
  <c r="E5618" i="1"/>
  <c r="E5619" i="1"/>
  <c r="E5621" i="1"/>
  <c r="E5622" i="1"/>
  <c r="E5623" i="1"/>
  <c r="E5624" i="1"/>
  <c r="E5627" i="1"/>
  <c r="E5628" i="1"/>
  <c r="E5629" i="1"/>
  <c r="E5630" i="1"/>
  <c r="E5631" i="1"/>
  <c r="E5632" i="1"/>
  <c r="E5633" i="1"/>
  <c r="E5634" i="1"/>
  <c r="E5635" i="1"/>
  <c r="E5636" i="1"/>
  <c r="E5637" i="1"/>
  <c r="E5638" i="1"/>
  <c r="E5639" i="1"/>
  <c r="E5641" i="1"/>
  <c r="E5642" i="1"/>
  <c r="E5643" i="1"/>
  <c r="E5644" i="1"/>
  <c r="E5645" i="1"/>
  <c r="E5646" i="1"/>
  <c r="E5648" i="1"/>
  <c r="E5650" i="1"/>
  <c r="E5651" i="1"/>
  <c r="E5652" i="1"/>
  <c r="E5653" i="1"/>
  <c r="E5654" i="1"/>
  <c r="E5655" i="1"/>
  <c r="E5657" i="1"/>
  <c r="E5658" i="1"/>
  <c r="E5659" i="1"/>
  <c r="E5660" i="1"/>
  <c r="E5662" i="1"/>
  <c r="E5663" i="1"/>
  <c r="E5664" i="1"/>
  <c r="E5666" i="1"/>
  <c r="E5667" i="1"/>
  <c r="E5668" i="1"/>
  <c r="E5669" i="1"/>
  <c r="E5670" i="1"/>
  <c r="E5673" i="1"/>
  <c r="E5674" i="1"/>
  <c r="E5675" i="1"/>
  <c r="E5676" i="1"/>
  <c r="E5677" i="1"/>
  <c r="E5678" i="1"/>
  <c r="E5680" i="1"/>
  <c r="E5681" i="1"/>
  <c r="E5682" i="1"/>
  <c r="E5683" i="1"/>
  <c r="E5684" i="1"/>
  <c r="E5685" i="1"/>
  <c r="E5686" i="1"/>
  <c r="E5687" i="1"/>
  <c r="E5688" i="1"/>
  <c r="E5689" i="1"/>
  <c r="E5690" i="1"/>
  <c r="E5691" i="1"/>
  <c r="E5692" i="1"/>
  <c r="E5693" i="1"/>
  <c r="E5694" i="1"/>
  <c r="E5695" i="1"/>
  <c r="E5696" i="1"/>
  <c r="E5697" i="1"/>
  <c r="E5698" i="1"/>
  <c r="E5699" i="1"/>
  <c r="E5700" i="1"/>
  <c r="E5701" i="1"/>
  <c r="E5702" i="1"/>
  <c r="E5703" i="1"/>
  <c r="E5704" i="1"/>
  <c r="E5705" i="1"/>
  <c r="E5706" i="1"/>
  <c r="E5707" i="1"/>
  <c r="E5708" i="1"/>
  <c r="E5712" i="1"/>
  <c r="E5713" i="1"/>
  <c r="E5714" i="1"/>
  <c r="E5715" i="1"/>
  <c r="E5716" i="1"/>
  <c r="E5719" i="1"/>
  <c r="E5720" i="1"/>
  <c r="E5721" i="1"/>
  <c r="E5722" i="1"/>
  <c r="E5723" i="1"/>
  <c r="E5724" i="1"/>
  <c r="E5725" i="1"/>
  <c r="E5726" i="1"/>
  <c r="E5727" i="1"/>
  <c r="E5729" i="1"/>
  <c r="E5730" i="1"/>
  <c r="E5731" i="1"/>
  <c r="E5733" i="1"/>
  <c r="E5735" i="1"/>
  <c r="E5736" i="1"/>
  <c r="E5738" i="1"/>
  <c r="E5739" i="1"/>
  <c r="E5741" i="1"/>
  <c r="E5742" i="1"/>
  <c r="E5743" i="1"/>
  <c r="E5744" i="1"/>
  <c r="E5745" i="1"/>
  <c r="E5746" i="1"/>
  <c r="E5747" i="1"/>
  <c r="E5748" i="1"/>
  <c r="E5749" i="1"/>
  <c r="E5750" i="1"/>
  <c r="E5751" i="1"/>
  <c r="E5752" i="1"/>
  <c r="E5753" i="1"/>
  <c r="E5754" i="1"/>
  <c r="E5755" i="1"/>
  <c r="E5756" i="1"/>
  <c r="E5757" i="1"/>
  <c r="E5758" i="1"/>
  <c r="E5759" i="1"/>
  <c r="E5760" i="1"/>
  <c r="E5761" i="1"/>
  <c r="E5762" i="1"/>
  <c r="E5764" i="1"/>
  <c r="E5765" i="1"/>
  <c r="E5766" i="1"/>
  <c r="E5767" i="1"/>
  <c r="E5769" i="1"/>
  <c r="E5770" i="1"/>
  <c r="E5772" i="1"/>
  <c r="E5773" i="1"/>
  <c r="E5774" i="1"/>
  <c r="E5775" i="1"/>
  <c r="E5776" i="1"/>
  <c r="E5777" i="1"/>
  <c r="E5778" i="1"/>
  <c r="E5779" i="1"/>
  <c r="E5780" i="1"/>
  <c r="E5781" i="1"/>
  <c r="E5782" i="1"/>
  <c r="E5783" i="1"/>
  <c r="E5784" i="1"/>
  <c r="E5785" i="1"/>
  <c r="E5787" i="1"/>
  <c r="E5788" i="1"/>
  <c r="E5789" i="1"/>
  <c r="E5790" i="1"/>
  <c r="E5791" i="1"/>
  <c r="E5793" i="1"/>
  <c r="E5794" i="1"/>
  <c r="E5795" i="1"/>
  <c r="E5796" i="1"/>
  <c r="E5797" i="1"/>
  <c r="E5798" i="1"/>
  <c r="E5799" i="1"/>
  <c r="E5800" i="1"/>
  <c r="E5801" i="1"/>
  <c r="E5803" i="1"/>
  <c r="E5804" i="1"/>
  <c r="E5805" i="1"/>
  <c r="E5806" i="1"/>
  <c r="E5807" i="1"/>
  <c r="E5809" i="1"/>
  <c r="E5811" i="1"/>
  <c r="E5812" i="1"/>
  <c r="E5813" i="1"/>
  <c r="E5814" i="1"/>
  <c r="E5815" i="1"/>
  <c r="E5816" i="1"/>
  <c r="E5817" i="1"/>
  <c r="E5818" i="1"/>
  <c r="E5821" i="1"/>
  <c r="E5822" i="1"/>
  <c r="E5823" i="1"/>
  <c r="E5824" i="1"/>
  <c r="E5825" i="1"/>
  <c r="E5826" i="1"/>
  <c r="E5828" i="1"/>
  <c r="E5829" i="1"/>
  <c r="E5830" i="1"/>
  <c r="E5831" i="1"/>
  <c r="E5833" i="1"/>
  <c r="E5834" i="1"/>
  <c r="E5835" i="1"/>
  <c r="E5836" i="1"/>
  <c r="E5837" i="1"/>
  <c r="E5838" i="1"/>
  <c r="E5839" i="1"/>
  <c r="E5840" i="1"/>
  <c r="E5841" i="1"/>
  <c r="E5842" i="1"/>
  <c r="E5843" i="1"/>
  <c r="E5846" i="1"/>
  <c r="E5847" i="1"/>
  <c r="E5849" i="1"/>
  <c r="E5850" i="1"/>
  <c r="E5851" i="1"/>
  <c r="E5852" i="1"/>
  <c r="E5853" i="1"/>
  <c r="E5854" i="1"/>
  <c r="E5855" i="1"/>
  <c r="E5856" i="1"/>
  <c r="E5857" i="1"/>
  <c r="E5862" i="1"/>
  <c r="E5863" i="1"/>
  <c r="E5864" i="1"/>
  <c r="E5865" i="1"/>
  <c r="E5866" i="1"/>
  <c r="E5867" i="1"/>
  <c r="E5868" i="1"/>
  <c r="E5869" i="1"/>
  <c r="E5870" i="1"/>
  <c r="E5871" i="1"/>
  <c r="E5872" i="1"/>
  <c r="E5873" i="1"/>
  <c r="E5874" i="1"/>
  <c r="E5875" i="1"/>
  <c r="E5876" i="1"/>
  <c r="E5877" i="1"/>
  <c r="E5878" i="1"/>
  <c r="E5879" i="1"/>
  <c r="E5880" i="1"/>
  <c r="E5881" i="1"/>
  <c r="E5882" i="1"/>
  <c r="E5883" i="1"/>
  <c r="E5884" i="1"/>
  <c r="E5885" i="1"/>
  <c r="E5886" i="1"/>
  <c r="E5887" i="1"/>
  <c r="E5888" i="1"/>
  <c r="E5889" i="1"/>
  <c r="E5890" i="1"/>
  <c r="E5891" i="1"/>
  <c r="E5892" i="1"/>
  <c r="E5893" i="1"/>
  <c r="E5895" i="1"/>
  <c r="E5896" i="1"/>
  <c r="E5897" i="1"/>
  <c r="E5898" i="1"/>
  <c r="E5899" i="1"/>
  <c r="E5900" i="1"/>
  <c r="E5901" i="1"/>
  <c r="E5902" i="1"/>
  <c r="E5903" i="1"/>
  <c r="E5904" i="1"/>
  <c r="E5905" i="1"/>
  <c r="E5906" i="1"/>
  <c r="E5907" i="1"/>
  <c r="E5908" i="1"/>
  <c r="E5909" i="1"/>
  <c r="E5910" i="1"/>
  <c r="E5911" i="1"/>
  <c r="E5912" i="1"/>
  <c r="E5913" i="1"/>
  <c r="E5914" i="1"/>
  <c r="E5915" i="1"/>
  <c r="E5916" i="1"/>
  <c r="E5917" i="1"/>
  <c r="E5918" i="1"/>
  <c r="E5919" i="1"/>
  <c r="E5920" i="1"/>
  <c r="E5921" i="1"/>
  <c r="E5922" i="1"/>
  <c r="E5923" i="1"/>
  <c r="E5924" i="1"/>
  <c r="E5925" i="1"/>
  <c r="E5926" i="1"/>
  <c r="E5927" i="1"/>
  <c r="E5928" i="1"/>
  <c r="E5929" i="1"/>
  <c r="E5930" i="1"/>
  <c r="E5931" i="1"/>
  <c r="E5932" i="1"/>
  <c r="E5933" i="1"/>
  <c r="E5934" i="1"/>
  <c r="E5935" i="1"/>
  <c r="E5936" i="1"/>
  <c r="E5937" i="1"/>
  <c r="E5938" i="1"/>
  <c r="E5939" i="1"/>
  <c r="E5940" i="1"/>
  <c r="E5941" i="1"/>
  <c r="E5942" i="1"/>
  <c r="E5943" i="1"/>
  <c r="E5944" i="1"/>
  <c r="E5945" i="1"/>
  <c r="E5946" i="1"/>
  <c r="E5947" i="1"/>
  <c r="E5948" i="1"/>
  <c r="E5949" i="1"/>
  <c r="E5950" i="1"/>
  <c r="E5951" i="1"/>
  <c r="E5952" i="1"/>
  <c r="E5954" i="1"/>
  <c r="E5955" i="1"/>
  <c r="E5956" i="1"/>
  <c r="E5957" i="1"/>
  <c r="E5958" i="1"/>
  <c r="E5959" i="1"/>
  <c r="E5960" i="1"/>
  <c r="E5961" i="1"/>
  <c r="E5962" i="1"/>
  <c r="E5963" i="1"/>
  <c r="E5964" i="1"/>
  <c r="E5965" i="1"/>
  <c r="E5966" i="1"/>
  <c r="E5967" i="1"/>
  <c r="E5968" i="1"/>
  <c r="E5969" i="1"/>
  <c r="E5970" i="1"/>
  <c r="E5971" i="1"/>
  <c r="E5972" i="1"/>
  <c r="E5973" i="1"/>
  <c r="E5974" i="1"/>
  <c r="E5975" i="1"/>
  <c r="E5976" i="1"/>
  <c r="E5977" i="1"/>
  <c r="E5978" i="1"/>
  <c r="E5979" i="1"/>
  <c r="E5980" i="1"/>
  <c r="E5981" i="1"/>
  <c r="E5982" i="1"/>
  <c r="E5983" i="1"/>
  <c r="E5984" i="1"/>
  <c r="E5985" i="1"/>
  <c r="E5986" i="1"/>
  <c r="E5987" i="1"/>
  <c r="E5988" i="1"/>
  <c r="E5990" i="1"/>
  <c r="E5991" i="1"/>
  <c r="E5992" i="1"/>
  <c r="E5993" i="1"/>
  <c r="E5994" i="1"/>
  <c r="E5995" i="1"/>
  <c r="E5996" i="1"/>
  <c r="E5997" i="1"/>
  <c r="E5998" i="1"/>
  <c r="E5999" i="1"/>
  <c r="E6000" i="1"/>
  <c r="E6001" i="1"/>
  <c r="E6002" i="1"/>
  <c r="E6003" i="1"/>
  <c r="E6004" i="1"/>
  <c r="E6005" i="1"/>
  <c r="E6006" i="1"/>
  <c r="E6007" i="1"/>
  <c r="E6008" i="1"/>
  <c r="E6009" i="1"/>
  <c r="E6010" i="1"/>
  <c r="E6011" i="1"/>
  <c r="E6012" i="1"/>
  <c r="E6013" i="1"/>
  <c r="E6014" i="1"/>
  <c r="E6015" i="1"/>
  <c r="E6016" i="1"/>
  <c r="E6017" i="1"/>
  <c r="E6019" i="1"/>
  <c r="E6020" i="1"/>
  <c r="E6021" i="1"/>
  <c r="E6022" i="1"/>
  <c r="E6023" i="1"/>
  <c r="E6024" i="1"/>
  <c r="E6025" i="1"/>
  <c r="E6026" i="1"/>
  <c r="E6027" i="1"/>
  <c r="E6028" i="1"/>
  <c r="E6029" i="1"/>
  <c r="E6030" i="1"/>
  <c r="E6031" i="1"/>
  <c r="E6032" i="1"/>
  <c r="E6034" i="1"/>
  <c r="E6035" i="1"/>
  <c r="E6036" i="1"/>
  <c r="E6038" i="1"/>
  <c r="E6039" i="1"/>
  <c r="E6040" i="1"/>
  <c r="E6041" i="1"/>
  <c r="E6042" i="1"/>
  <c r="E6043" i="1"/>
  <c r="E6044" i="1"/>
  <c r="E6045" i="1"/>
  <c r="E6051" i="1"/>
  <c r="E6053" i="1"/>
  <c r="E6054" i="1"/>
  <c r="E6055" i="1"/>
  <c r="E6056" i="1"/>
  <c r="E6057" i="1"/>
  <c r="E6058" i="1"/>
  <c r="E6059" i="1"/>
  <c r="E6060" i="1"/>
  <c r="E6061" i="1"/>
  <c r="E6062" i="1"/>
  <c r="E6063" i="1"/>
  <c r="E6064" i="1"/>
  <c r="E6066" i="1"/>
  <c r="E6067" i="1"/>
  <c r="E6068" i="1"/>
  <c r="E6069" i="1"/>
  <c r="E6072" i="1"/>
  <c r="E6073" i="1"/>
  <c r="E6074" i="1"/>
  <c r="E6075" i="1"/>
  <c r="E6076" i="1"/>
  <c r="E6077" i="1"/>
  <c r="E6078" i="1"/>
  <c r="E6079" i="1"/>
  <c r="E6080" i="1"/>
  <c r="E6082" i="1"/>
  <c r="E6083" i="1"/>
  <c r="E6084" i="1"/>
  <c r="E6085" i="1"/>
  <c r="E6086" i="1"/>
  <c r="E6087" i="1"/>
  <c r="E6088" i="1"/>
  <c r="E6089" i="1"/>
  <c r="E6090" i="1"/>
  <c r="E6091" i="1"/>
  <c r="E6092" i="1"/>
  <c r="E6093" i="1"/>
  <c r="E6094" i="1"/>
  <c r="E6095" i="1"/>
  <c r="E6096" i="1"/>
  <c r="E6097" i="1"/>
  <c r="E6098" i="1"/>
  <c r="E6099" i="1"/>
  <c r="E6100" i="1"/>
  <c r="E6101" i="1"/>
  <c r="E6102" i="1"/>
  <c r="E6103" i="1"/>
  <c r="E6105" i="1"/>
  <c r="E6106" i="1"/>
  <c r="E6107" i="1"/>
  <c r="E6108" i="1"/>
  <c r="E6110" i="1"/>
  <c r="E6111" i="1"/>
  <c r="E6112" i="1"/>
  <c r="E6114" i="1"/>
  <c r="E6115" i="1"/>
  <c r="E6116" i="1"/>
  <c r="E6119" i="1"/>
  <c r="E6120" i="1"/>
  <c r="E6121" i="1"/>
  <c r="E6122" i="1"/>
  <c r="E6123" i="1"/>
  <c r="E6124" i="1"/>
  <c r="E6125" i="1"/>
  <c r="E6126" i="1"/>
  <c r="E6127" i="1"/>
  <c r="E6128" i="1"/>
  <c r="E6129" i="1"/>
  <c r="E6130" i="1"/>
  <c r="E6131" i="1"/>
  <c r="E6132" i="1"/>
  <c r="E6133" i="1"/>
  <c r="E6134" i="1"/>
  <c r="E6135" i="1"/>
  <c r="E6136" i="1"/>
  <c r="E6137" i="1"/>
  <c r="E6138" i="1"/>
  <c r="E6139" i="1"/>
  <c r="E6141" i="1"/>
  <c r="E6142" i="1"/>
  <c r="E6143" i="1"/>
  <c r="E6144" i="1"/>
  <c r="E6145" i="1"/>
  <c r="E6146" i="1"/>
  <c r="E6147" i="1"/>
  <c r="E6148" i="1"/>
  <c r="E6149" i="1"/>
  <c r="E6150" i="1"/>
  <c r="E6151" i="1"/>
  <c r="E6152" i="1"/>
  <c r="E6153" i="1"/>
  <c r="E6154" i="1"/>
  <c r="E6155" i="1"/>
  <c r="E6158" i="1"/>
  <c r="E6162" i="1"/>
  <c r="E6163" i="1"/>
  <c r="E6164" i="1"/>
  <c r="E6165" i="1"/>
  <c r="E6166" i="1"/>
  <c r="E6167" i="1"/>
  <c r="E6169" i="1"/>
  <c r="E6170" i="1"/>
  <c r="E6171" i="1"/>
  <c r="E6172" i="1"/>
  <c r="E6173" i="1"/>
  <c r="E6174" i="1"/>
  <c r="E6176" i="1"/>
  <c r="E6177" i="1"/>
  <c r="E6178" i="1"/>
  <c r="E6179" i="1"/>
  <c r="E6180" i="1"/>
  <c r="E6181" i="1"/>
  <c r="E6182" i="1"/>
  <c r="E6183" i="1"/>
  <c r="E6184" i="1"/>
  <c r="E6185" i="1"/>
  <c r="E6186" i="1"/>
  <c r="E6189" i="1"/>
  <c r="E6190" i="1"/>
  <c r="E6191" i="1"/>
  <c r="E6192" i="1"/>
  <c r="E6193" i="1"/>
  <c r="E6194" i="1"/>
  <c r="E6195" i="1"/>
  <c r="E6196" i="1"/>
  <c r="E6197" i="1"/>
  <c r="E6198" i="1"/>
  <c r="E6199" i="1"/>
  <c r="E6200" i="1"/>
  <c r="E6202" i="1"/>
  <c r="E6203" i="1"/>
  <c r="E6204" i="1"/>
  <c r="E6205" i="1"/>
  <c r="E6206" i="1"/>
  <c r="E6207" i="1"/>
  <c r="E6208" i="1"/>
  <c r="E6209" i="1"/>
  <c r="E6210" i="1"/>
  <c r="E6211" i="1"/>
  <c r="E6212" i="1"/>
  <c r="E6213" i="1"/>
  <c r="E6214" i="1"/>
  <c r="E6215" i="1"/>
  <c r="E6216" i="1"/>
  <c r="E6217" i="1"/>
  <c r="E6218" i="1"/>
  <c r="E6219" i="1"/>
  <c r="E6220" i="1"/>
  <c r="E6221" i="1"/>
  <c r="E6223" i="1"/>
  <c r="E6224" i="1"/>
  <c r="E6225" i="1"/>
  <c r="E6226" i="1"/>
  <c r="E6227" i="1"/>
  <c r="E6228" i="1"/>
  <c r="E6229" i="1"/>
  <c r="E6230" i="1"/>
  <c r="E6231" i="1"/>
  <c r="E6232" i="1"/>
  <c r="E6233" i="1"/>
  <c r="E6234" i="1"/>
  <c r="E6235" i="1"/>
  <c r="E6236" i="1"/>
  <c r="E6237" i="1"/>
  <c r="E6238" i="1"/>
  <c r="E6239" i="1"/>
  <c r="E6240" i="1"/>
  <c r="E6241" i="1"/>
  <c r="E6242" i="1"/>
  <c r="E6244" i="1"/>
  <c r="E6245" i="1"/>
  <c r="E6246" i="1"/>
  <c r="E6248" i="1"/>
  <c r="E6249" i="1"/>
  <c r="E6250" i="1"/>
  <c r="E6251" i="1"/>
  <c r="E6252" i="1"/>
  <c r="E6253" i="1"/>
  <c r="E6254" i="1"/>
  <c r="E6256" i="1"/>
  <c r="E6257" i="1"/>
  <c r="E6258" i="1"/>
  <c r="E6259" i="1"/>
  <c r="E6260" i="1"/>
  <c r="E6261" i="1"/>
  <c r="E6262" i="1"/>
  <c r="E6264" i="1"/>
  <c r="E6267" i="1"/>
  <c r="E6268" i="1"/>
  <c r="E6270" i="1"/>
  <c r="E6271" i="1"/>
  <c r="E6272" i="1"/>
  <c r="E6273" i="1"/>
  <c r="E6274" i="1"/>
  <c r="E6275" i="1"/>
  <c r="E6276" i="1"/>
  <c r="E6277" i="1"/>
  <c r="E6278" i="1"/>
  <c r="E6279" i="1"/>
  <c r="E6280" i="1"/>
  <c r="E6281" i="1"/>
  <c r="E6282" i="1"/>
  <c r="E6283" i="1"/>
  <c r="E6284" i="1"/>
  <c r="E6286" i="1"/>
  <c r="E6287" i="1"/>
  <c r="E6288" i="1"/>
  <c r="E6289" i="1"/>
  <c r="E6292" i="1"/>
  <c r="E6293" i="1"/>
  <c r="E6294" i="1"/>
  <c r="E6295" i="1"/>
  <c r="E6296" i="1"/>
  <c r="E6297" i="1"/>
  <c r="E6298" i="1"/>
  <c r="E6299" i="1"/>
  <c r="E6300" i="1"/>
  <c r="E6301" i="1"/>
  <c r="E6302" i="1"/>
  <c r="E6303" i="1"/>
  <c r="E6305" i="1"/>
  <c r="E6306" i="1"/>
  <c r="E6307" i="1"/>
  <c r="E6308" i="1"/>
  <c r="E6309" i="1"/>
  <c r="E6310" i="1"/>
  <c r="E6311" i="1"/>
  <c r="E6312" i="1"/>
  <c r="E6314" i="1"/>
  <c r="E6315" i="1"/>
  <c r="E6316" i="1"/>
  <c r="E6317" i="1"/>
  <c r="E6319" i="1"/>
  <c r="E6320" i="1"/>
  <c r="E6322" i="1"/>
  <c r="E6323" i="1"/>
  <c r="E6324" i="1"/>
  <c r="E6325" i="1"/>
  <c r="E6326" i="1"/>
  <c r="E6328" i="1"/>
  <c r="E6329" i="1"/>
  <c r="E6332" i="1"/>
  <c r="E6334" i="1"/>
  <c r="E6335" i="1"/>
  <c r="E6336" i="1"/>
  <c r="E6337" i="1"/>
  <c r="E6338" i="1"/>
  <c r="E6339" i="1"/>
  <c r="E6340" i="1"/>
  <c r="E6341" i="1"/>
  <c r="E6342" i="1"/>
  <c r="E6345" i="1"/>
  <c r="E6346" i="1"/>
  <c r="E6347" i="1"/>
  <c r="E6348" i="1"/>
  <c r="E6349" i="1"/>
  <c r="E6350" i="1"/>
  <c r="E6351" i="1"/>
  <c r="E6352" i="1"/>
  <c r="E6353" i="1"/>
  <c r="E6354" i="1"/>
  <c r="E6355" i="1"/>
  <c r="E6356" i="1"/>
  <c r="E6357" i="1"/>
  <c r="E6358" i="1"/>
  <c r="E6359" i="1"/>
  <c r="E6360" i="1"/>
  <c r="E6361" i="1"/>
  <c r="E6362" i="1"/>
  <c r="E6363" i="1"/>
  <c r="E6366" i="1"/>
  <c r="E6367" i="1"/>
  <c r="E6368" i="1"/>
  <c r="E6369" i="1"/>
  <c r="E6370" i="1"/>
  <c r="E6371" i="1"/>
  <c r="E6372" i="1"/>
  <c r="E6373" i="1"/>
  <c r="E6374" i="1"/>
  <c r="E6375" i="1"/>
  <c r="E6376" i="1"/>
  <c r="E6377" i="1"/>
  <c r="E6378" i="1"/>
  <c r="E6379" i="1"/>
  <c r="E6380" i="1"/>
  <c r="E6381" i="1"/>
  <c r="E6382" i="1"/>
  <c r="E6383" i="1"/>
  <c r="E6384" i="1"/>
  <c r="E6385" i="1"/>
  <c r="E6386" i="1"/>
  <c r="E6387" i="1"/>
  <c r="E6388" i="1"/>
  <c r="E6389" i="1"/>
  <c r="E6390" i="1"/>
  <c r="E6391" i="1"/>
  <c r="E6392" i="1"/>
  <c r="E6393" i="1"/>
  <c r="E6394" i="1"/>
  <c r="E6396" i="1"/>
  <c r="E6397" i="1"/>
  <c r="E6398" i="1"/>
  <c r="E6399" i="1"/>
  <c r="E6400" i="1"/>
  <c r="E6402" i="1"/>
  <c r="E6403" i="1"/>
  <c r="E6404" i="1"/>
  <c r="E6405" i="1"/>
  <c r="E6406" i="1"/>
  <c r="E6407" i="1"/>
  <c r="E6408" i="1"/>
  <c r="E6409" i="1"/>
  <c r="E6410" i="1"/>
  <c r="E6411" i="1"/>
  <c r="E6412" i="1"/>
  <c r="E6413" i="1"/>
  <c r="E6414" i="1"/>
  <c r="E6415" i="1"/>
  <c r="E6416" i="1"/>
  <c r="E6417" i="1"/>
  <c r="E6418" i="1"/>
  <c r="E6419" i="1"/>
  <c r="E6420" i="1"/>
  <c r="E6421" i="1"/>
  <c r="E6422" i="1"/>
  <c r="E6423" i="1"/>
  <c r="E6424" i="1"/>
  <c r="E6425" i="1"/>
  <c r="E6426" i="1"/>
  <c r="E6427" i="1"/>
  <c r="E6428" i="1"/>
  <c r="E6429" i="1"/>
  <c r="E6430" i="1"/>
  <c r="E6431" i="1"/>
  <c r="E6433" i="1"/>
  <c r="E6434" i="1"/>
  <c r="E6435" i="1"/>
  <c r="E6436" i="1"/>
  <c r="E6437" i="1"/>
  <c r="E6438" i="1"/>
  <c r="E6439" i="1"/>
  <c r="E6440" i="1"/>
  <c r="E6441" i="1"/>
  <c r="E6442" i="1"/>
  <c r="E6443" i="1"/>
  <c r="E6444" i="1"/>
  <c r="E6445" i="1"/>
  <c r="E6446" i="1"/>
  <c r="E6447" i="1"/>
  <c r="E6448" i="1"/>
  <c r="E6449" i="1"/>
  <c r="E6450" i="1"/>
  <c r="E6451" i="1"/>
  <c r="E6452" i="1"/>
  <c r="E6453" i="1"/>
  <c r="E6454" i="1"/>
  <c r="E6455" i="1"/>
  <c r="E6457" i="1"/>
  <c r="E6458" i="1"/>
  <c r="E6459" i="1"/>
  <c r="E6460" i="1"/>
  <c r="E6462" i="1"/>
  <c r="E6463" i="1"/>
  <c r="E6464" i="1"/>
  <c r="E6465" i="1"/>
  <c r="E6466" i="1"/>
  <c r="E6467" i="1"/>
  <c r="E6469" i="1"/>
  <c r="E6470" i="1"/>
  <c r="E6471" i="1"/>
  <c r="E6472" i="1"/>
  <c r="E6473" i="1"/>
  <c r="E6474" i="1"/>
  <c r="E6475" i="1"/>
  <c r="E6477" i="1"/>
  <c r="E6478" i="1"/>
  <c r="E6479" i="1"/>
  <c r="E6481" i="1"/>
  <c r="E6482" i="1"/>
  <c r="E6483" i="1"/>
  <c r="E6485" i="1"/>
  <c r="E6486" i="1"/>
  <c r="E6488" i="1"/>
  <c r="E6489" i="1"/>
  <c r="E6490" i="1"/>
  <c r="E6491" i="1"/>
  <c r="E6494" i="1"/>
  <c r="E6495" i="1"/>
  <c r="E6496" i="1"/>
  <c r="E6497" i="1"/>
  <c r="E6499" i="1"/>
  <c r="E6500" i="1"/>
  <c r="E6501" i="1"/>
  <c r="E6502" i="1"/>
  <c r="E6503" i="1"/>
  <c r="E6504" i="1"/>
  <c r="E6505" i="1"/>
  <c r="E6506" i="1"/>
  <c r="E6507" i="1"/>
  <c r="E6508" i="1"/>
  <c r="E6509" i="1"/>
  <c r="E6511" i="1"/>
  <c r="E6513" i="1"/>
  <c r="E6514" i="1"/>
  <c r="E6516" i="1"/>
  <c r="E6518" i="1"/>
  <c r="E6519" i="1"/>
  <c r="E6520" i="1"/>
  <c r="E6521" i="1"/>
  <c r="E6524" i="1"/>
  <c r="E6525" i="1"/>
  <c r="E6526" i="1"/>
  <c r="E6527" i="1"/>
  <c r="E6528" i="1"/>
  <c r="E6529" i="1"/>
  <c r="E6530" i="1"/>
  <c r="E6531" i="1"/>
  <c r="E6532" i="1"/>
  <c r="E6533" i="1"/>
  <c r="E6534" i="1"/>
  <c r="E6535" i="1"/>
  <c r="E6536" i="1"/>
  <c r="E6537" i="1"/>
  <c r="E6538" i="1"/>
  <c r="E6540" i="1"/>
  <c r="E6541" i="1"/>
  <c r="E6542" i="1"/>
  <c r="E6543" i="1"/>
  <c r="E6545" i="1"/>
  <c r="E6546" i="1"/>
  <c r="E6547" i="1"/>
  <c r="E6548" i="1"/>
  <c r="E6549" i="1"/>
  <c r="E6550" i="1"/>
  <c r="E6552" i="1"/>
  <c r="E6553" i="1"/>
  <c r="E6556" i="1"/>
  <c r="E6557" i="1"/>
  <c r="E6558" i="1"/>
  <c r="E6559" i="1"/>
  <c r="E6560" i="1"/>
  <c r="E6561" i="1"/>
  <c r="E6562" i="1"/>
  <c r="E6563" i="1"/>
  <c r="E6564" i="1"/>
  <c r="E6565" i="1"/>
  <c r="E6566" i="1"/>
  <c r="E6567" i="1"/>
  <c r="E6568" i="1"/>
  <c r="E6569" i="1"/>
  <c r="E6570" i="1"/>
  <c r="E6571" i="1"/>
  <c r="E6572" i="1"/>
  <c r="E6573" i="1"/>
  <c r="E6574" i="1"/>
  <c r="E6575" i="1"/>
  <c r="E6576" i="1"/>
  <c r="E6577" i="1"/>
  <c r="E6578" i="1"/>
  <c r="E6579" i="1"/>
  <c r="E6580" i="1"/>
  <c r="E6582" i="1"/>
  <c r="E6583" i="1"/>
  <c r="E6584" i="1"/>
  <c r="E6585" i="1"/>
  <c r="E6586" i="1"/>
  <c r="E6587" i="1"/>
  <c r="E6588" i="1"/>
  <c r="E6589" i="1"/>
  <c r="E6590" i="1"/>
  <c r="E6591" i="1"/>
  <c r="E6592" i="1"/>
  <c r="E6593" i="1"/>
  <c r="E6594" i="1"/>
  <c r="E6599" i="1"/>
  <c r="E6600" i="1"/>
  <c r="E6601" i="1"/>
  <c r="E6602" i="1"/>
  <c r="E6603" i="1"/>
  <c r="E6604" i="1"/>
  <c r="E6607" i="1"/>
  <c r="E6608" i="1"/>
  <c r="E6609" i="1"/>
  <c r="E6610" i="1"/>
  <c r="E6611" i="1"/>
  <c r="E6612" i="1"/>
  <c r="E6613" i="1"/>
  <c r="E6614" i="1"/>
  <c r="E6616" i="1"/>
  <c r="E6617" i="1"/>
  <c r="E6618" i="1"/>
  <c r="E6619" i="1"/>
  <c r="E6620" i="1"/>
  <c r="E6621" i="1"/>
  <c r="E6622" i="1"/>
  <c r="E6623" i="1"/>
  <c r="E6624" i="1"/>
  <c r="E6625" i="1"/>
  <c r="E6627" i="1"/>
  <c r="E6628" i="1"/>
  <c r="E6629" i="1"/>
  <c r="E6630" i="1"/>
  <c r="E6632" i="1"/>
  <c r="E6633" i="1"/>
  <c r="E6634" i="1"/>
  <c r="E6635" i="1"/>
  <c r="E6636" i="1"/>
  <c r="E6637" i="1"/>
  <c r="E6639" i="1"/>
  <c r="E6640" i="1"/>
  <c r="E6641" i="1"/>
  <c r="E6642" i="1"/>
  <c r="E6643" i="1"/>
  <c r="E6644" i="1"/>
  <c r="E6645" i="1"/>
  <c r="E6646" i="1"/>
  <c r="E6648" i="1"/>
  <c r="E6649" i="1"/>
  <c r="E6652" i="1"/>
  <c r="E6653" i="1"/>
  <c r="E6654" i="1"/>
  <c r="E6655" i="1"/>
  <c r="E6657" i="1"/>
  <c r="E6658" i="1"/>
  <c r="E6659" i="1"/>
  <c r="E6660" i="1"/>
  <c r="E6661" i="1"/>
  <c r="E6662" i="1"/>
  <c r="E6663" i="1"/>
  <c r="E6664" i="1"/>
  <c r="E6665" i="1"/>
  <c r="E6667" i="1"/>
  <c r="E6668" i="1"/>
  <c r="E6669" i="1"/>
  <c r="E6671" i="1"/>
  <c r="E6672" i="1"/>
  <c r="E6675" i="1"/>
  <c r="E6676" i="1"/>
  <c r="E6677" i="1"/>
  <c r="E6678" i="1"/>
  <c r="E6679" i="1"/>
  <c r="E6680" i="1"/>
  <c r="E6682" i="1"/>
  <c r="E6683" i="1"/>
  <c r="E6684" i="1"/>
  <c r="E6685" i="1"/>
  <c r="E6686" i="1"/>
  <c r="E6687" i="1"/>
  <c r="E6688" i="1"/>
  <c r="E6689" i="1"/>
  <c r="E6690" i="1"/>
  <c r="E6693" i="1"/>
  <c r="E6694" i="1"/>
  <c r="E6695" i="1"/>
  <c r="E6696" i="1"/>
  <c r="E6697" i="1"/>
  <c r="E6698" i="1"/>
  <c r="E6699" i="1"/>
  <c r="E6701" i="1"/>
  <c r="E6702" i="1"/>
  <c r="E6703" i="1"/>
  <c r="E6704" i="1"/>
  <c r="E6705" i="1"/>
  <c r="E6708" i="1"/>
  <c r="E6709" i="1"/>
  <c r="E6710" i="1"/>
  <c r="E6711" i="1"/>
  <c r="E6712" i="1"/>
  <c r="E6713" i="1"/>
  <c r="E6714" i="1"/>
  <c r="E6715" i="1"/>
  <c r="E6716" i="1"/>
  <c r="E6717" i="1"/>
  <c r="E6719" i="1"/>
  <c r="E6720" i="1"/>
  <c r="E6721" i="1"/>
  <c r="E6722" i="1"/>
  <c r="E6723" i="1"/>
  <c r="E6724" i="1"/>
  <c r="E6725" i="1"/>
  <c r="E6727" i="1"/>
  <c r="E6728" i="1"/>
  <c r="E6729" i="1"/>
  <c r="E6731" i="1"/>
  <c r="E6732" i="1"/>
  <c r="E6733" i="1"/>
  <c r="E6736" i="1"/>
  <c r="E6737" i="1"/>
  <c r="E6738" i="1"/>
  <c r="E6739" i="1"/>
  <c r="E6741" i="1"/>
  <c r="E6742" i="1"/>
  <c r="E6743" i="1"/>
  <c r="E6745" i="1"/>
  <c r="E6747" i="1"/>
  <c r="E6748" i="1"/>
  <c r="E6749" i="1"/>
  <c r="E6750" i="1"/>
  <c r="E6753" i="1"/>
  <c r="E6754" i="1"/>
  <c r="E6755" i="1"/>
  <c r="E6756" i="1"/>
  <c r="E6757" i="1"/>
  <c r="E6758" i="1"/>
  <c r="E6760" i="1"/>
  <c r="E6761" i="1"/>
  <c r="E6762" i="1"/>
  <c r="E6763" i="1"/>
  <c r="E6764" i="1"/>
  <c r="E6765" i="1"/>
  <c r="E6766" i="1"/>
  <c r="E6767" i="1"/>
  <c r="E6769" i="1"/>
  <c r="E6770" i="1"/>
  <c r="E6772" i="1"/>
  <c r="E6775" i="1"/>
  <c r="E6776" i="1"/>
  <c r="E6778" i="1"/>
  <c r="E6780" i="1"/>
  <c r="E6781" i="1"/>
  <c r="E6782" i="1"/>
  <c r="E6783" i="1"/>
  <c r="E6784" i="1"/>
  <c r="E6786" i="1"/>
  <c r="E6787" i="1"/>
  <c r="E6788" i="1"/>
  <c r="E6789" i="1"/>
  <c r="E6790" i="1"/>
  <c r="E6792" i="1"/>
  <c r="E6793" i="1"/>
  <c r="E6795" i="1"/>
  <c r="E6796" i="1"/>
  <c r="E6797" i="1"/>
  <c r="E6798" i="1"/>
  <c r="E6799" i="1"/>
  <c r="E6800" i="1"/>
  <c r="E6801" i="1"/>
  <c r="E6804" i="1"/>
  <c r="E6805" i="1"/>
  <c r="E6806" i="1"/>
  <c r="E6807" i="1"/>
  <c r="E6809" i="1"/>
  <c r="E6810" i="1"/>
  <c r="E6811" i="1"/>
  <c r="E6812" i="1"/>
  <c r="E6814" i="1"/>
  <c r="E6815" i="1"/>
  <c r="E6816" i="1"/>
  <c r="E6818" i="1"/>
  <c r="E6819" i="1"/>
  <c r="E6820" i="1"/>
  <c r="E6821" i="1"/>
  <c r="E6822" i="1"/>
  <c r="E6823" i="1"/>
  <c r="E6824" i="1"/>
  <c r="E6828" i="1"/>
  <c r="E6829" i="1"/>
  <c r="E6830" i="1"/>
  <c r="E6831" i="1"/>
  <c r="E6832" i="1"/>
  <c r="E6833" i="1"/>
  <c r="E6834" i="1"/>
  <c r="E6835" i="1"/>
  <c r="E6836" i="1"/>
  <c r="E6837" i="1"/>
  <c r="E6838" i="1"/>
  <c r="E6839" i="1"/>
  <c r="E6840" i="1"/>
  <c r="E6841" i="1"/>
  <c r="E6842" i="1"/>
  <c r="E6843" i="1"/>
  <c r="E6844" i="1"/>
  <c r="E6845" i="1"/>
  <c r="E6846" i="1"/>
  <c r="E6847" i="1"/>
  <c r="E6848" i="1"/>
  <c r="E6849" i="1"/>
  <c r="E6850" i="1"/>
  <c r="E6851" i="1"/>
  <c r="E6852" i="1"/>
  <c r="E6853" i="1"/>
  <c r="E6854" i="1"/>
  <c r="E6855" i="1"/>
  <c r="E6856" i="1"/>
  <c r="E6857" i="1"/>
  <c r="E6858" i="1"/>
  <c r="E6859" i="1"/>
  <c r="E6860" i="1"/>
  <c r="E6861" i="1"/>
  <c r="E6862" i="1"/>
  <c r="E6863" i="1"/>
  <c r="E6864" i="1"/>
  <c r="E6865" i="1"/>
  <c r="E6866" i="1"/>
  <c r="E6867" i="1"/>
  <c r="E6868" i="1"/>
  <c r="E6869" i="1"/>
  <c r="E6871" i="1"/>
  <c r="E6872" i="1"/>
  <c r="E6873" i="1"/>
  <c r="E6874" i="1"/>
  <c r="E6875" i="1"/>
  <c r="E6876" i="1"/>
  <c r="E6877" i="1"/>
  <c r="E6879" i="1"/>
  <c r="E6880" i="1"/>
  <c r="E6881" i="1"/>
  <c r="E6882" i="1"/>
  <c r="E6883" i="1"/>
  <c r="E6884" i="1"/>
  <c r="E6885" i="1"/>
  <c r="E6886" i="1"/>
  <c r="E6887" i="1"/>
  <c r="E6888" i="1"/>
  <c r="E6889" i="1"/>
  <c r="E6890" i="1"/>
  <c r="E6891" i="1"/>
  <c r="E6892" i="1"/>
  <c r="E6893" i="1"/>
  <c r="E6894" i="1"/>
  <c r="E6895" i="1"/>
  <c r="E6896" i="1"/>
  <c r="E6897" i="1"/>
  <c r="E6898" i="1"/>
  <c r="E6899" i="1"/>
  <c r="E6900" i="1"/>
  <c r="E6901" i="1"/>
  <c r="E6902" i="1"/>
  <c r="E6903" i="1"/>
  <c r="E6904" i="1"/>
  <c r="E6905" i="1"/>
  <c r="E6906" i="1"/>
  <c r="E6907" i="1"/>
  <c r="E6908" i="1"/>
  <c r="E6909" i="1"/>
  <c r="E6910" i="1"/>
  <c r="E6911" i="1"/>
  <c r="E6912" i="1"/>
  <c r="E6913" i="1"/>
  <c r="E6914" i="1"/>
  <c r="E6915" i="1"/>
  <c r="E6916" i="1"/>
  <c r="E6917" i="1"/>
  <c r="E6918" i="1"/>
  <c r="E6919" i="1"/>
  <c r="E6920" i="1"/>
  <c r="E6922" i="1"/>
  <c r="E6923" i="1"/>
  <c r="E6924" i="1"/>
  <c r="E6925" i="1"/>
  <c r="E6926" i="1"/>
  <c r="E6927" i="1"/>
  <c r="E6928" i="1"/>
  <c r="E6930" i="1"/>
  <c r="E6931" i="1"/>
  <c r="E6932" i="1"/>
  <c r="E6933" i="1"/>
  <c r="E6934" i="1"/>
  <c r="E6936" i="1"/>
  <c r="E6937" i="1"/>
  <c r="E6938" i="1"/>
  <c r="E6939" i="1"/>
  <c r="E6940" i="1"/>
  <c r="E6941" i="1"/>
  <c r="E6942" i="1"/>
  <c r="E6945" i="1"/>
  <c r="E6946" i="1"/>
  <c r="E6947" i="1"/>
  <c r="E6948" i="1"/>
  <c r="E6949" i="1"/>
  <c r="E6950" i="1"/>
  <c r="E6951" i="1"/>
  <c r="E6952" i="1"/>
  <c r="E6953" i="1"/>
  <c r="E6954" i="1"/>
  <c r="E6955" i="1"/>
  <c r="E6957" i="1"/>
  <c r="E6958" i="1"/>
  <c r="E6959" i="1"/>
  <c r="E6960" i="1"/>
  <c r="E6961" i="1"/>
  <c r="E6962" i="1"/>
  <c r="E6964" i="1"/>
  <c r="E6965" i="1"/>
  <c r="E6966" i="1"/>
  <c r="E6967" i="1"/>
  <c r="E6968" i="1"/>
  <c r="E6969" i="1"/>
  <c r="E6971" i="1"/>
  <c r="E6972" i="1"/>
  <c r="E6973" i="1"/>
  <c r="E6977" i="1"/>
  <c r="E6979" i="1"/>
  <c r="E6981" i="1"/>
  <c r="E6982" i="1"/>
  <c r="E6984" i="1"/>
  <c r="E6985" i="1"/>
  <c r="E6987" i="1"/>
  <c r="E6988" i="1"/>
  <c r="E6990" i="1"/>
  <c r="E6991" i="1"/>
  <c r="E6992" i="1"/>
  <c r="E6995" i="1"/>
  <c r="E6997" i="1"/>
  <c r="E6998" i="1"/>
  <c r="E7000" i="1"/>
  <c r="E7002" i="1"/>
  <c r="E7004" i="1"/>
  <c r="E7005" i="1"/>
  <c r="E7007" i="1"/>
  <c r="E7009" i="1"/>
  <c r="E7010" i="1"/>
  <c r="E7012" i="1"/>
  <c r="E7014" i="1"/>
  <c r="E7015" i="1"/>
  <c r="E7016" i="1"/>
  <c r="E7018" i="1"/>
  <c r="E7019" i="1"/>
  <c r="E7020" i="1"/>
  <c r="E7022" i="1"/>
  <c r="E7023" i="1"/>
  <c r="E7024" i="1"/>
  <c r="E7026" i="1"/>
  <c r="E7028" i="1"/>
  <c r="E7030" i="1"/>
  <c r="E7031" i="1"/>
  <c r="E7033" i="1"/>
  <c r="E7035" i="1"/>
  <c r="E7036" i="1"/>
  <c r="E7039" i="1"/>
  <c r="E7040" i="1"/>
  <c r="E7042" i="1"/>
  <c r="E7043" i="1"/>
  <c r="E7045" i="1"/>
  <c r="E7046" i="1"/>
  <c r="E7047" i="1"/>
  <c r="E7049" i="1"/>
  <c r="E7050" i="1"/>
  <c r="E7051" i="1"/>
  <c r="E7052" i="1"/>
  <c r="E7061" i="1"/>
  <c r="E7062" i="1"/>
  <c r="E7063" i="1"/>
  <c r="E7064" i="1"/>
  <c r="E7069" i="1"/>
  <c r="E7070" i="1"/>
  <c r="E7071" i="1"/>
  <c r="E7073" i="1"/>
  <c r="E7074" i="1"/>
  <c r="E7076" i="1"/>
  <c r="E7077" i="1"/>
  <c r="E7079" i="1"/>
  <c r="E7080" i="1"/>
  <c r="E7082" i="1"/>
  <c r="E7083" i="1"/>
  <c r="E7085" i="1"/>
  <c r="E7086" i="1"/>
  <c r="E7088" i="1"/>
  <c r="E7089" i="1"/>
  <c r="E7090" i="1"/>
  <c r="E7091" i="1"/>
  <c r="E7092" i="1"/>
  <c r="E7094" i="1"/>
  <c r="E7095" i="1"/>
  <c r="E7097" i="1"/>
  <c r="E7098" i="1"/>
  <c r="E7100" i="1"/>
  <c r="E7102" i="1"/>
  <c r="E7103" i="1"/>
  <c r="E7104" i="1"/>
  <c r="E7105" i="1"/>
  <c r="E7106" i="1"/>
  <c r="E7108" i="1"/>
  <c r="E7109" i="1"/>
  <c r="E7110" i="1"/>
  <c r="E7111" i="1"/>
  <c r="E7112" i="1"/>
  <c r="E7113" i="1"/>
  <c r="E7114" i="1"/>
  <c r="E7116" i="1"/>
  <c r="E7117" i="1"/>
  <c r="E7118" i="1"/>
  <c r="E7119" i="1"/>
  <c r="E7120" i="1"/>
  <c r="E7121" i="1"/>
  <c r="E7122" i="1"/>
  <c r="E7123" i="1"/>
  <c r="E7124" i="1"/>
  <c r="E7125" i="1"/>
  <c r="E7126" i="1"/>
  <c r="E7127" i="1"/>
  <c r="E7128" i="1"/>
  <c r="E7129" i="1"/>
  <c r="E7131" i="1"/>
  <c r="E7132" i="1"/>
  <c r="E7133" i="1"/>
  <c r="E7134" i="1"/>
  <c r="E7135" i="1"/>
  <c r="E7136" i="1"/>
  <c r="E7137" i="1"/>
  <c r="E7138" i="1"/>
  <c r="E7139" i="1"/>
  <c r="E7140" i="1"/>
  <c r="E7141" i="1"/>
  <c r="E7142" i="1"/>
  <c r="E7143" i="1"/>
  <c r="E7144" i="1"/>
  <c r="E7145" i="1"/>
  <c r="E7146" i="1"/>
  <c r="E7147" i="1"/>
  <c r="E7148" i="1"/>
  <c r="E7149" i="1"/>
  <c r="E7150" i="1"/>
  <c r="E7151" i="1"/>
  <c r="E7152" i="1"/>
  <c r="E7154" i="1"/>
  <c r="E7155" i="1"/>
  <c r="E7156" i="1"/>
  <c r="E7158" i="1"/>
  <c r="E7159" i="1"/>
  <c r="E7160" i="1"/>
  <c r="E7161" i="1"/>
  <c r="E7172" i="1"/>
  <c r="E7173" i="1"/>
  <c r="E7174" i="1"/>
  <c r="E7175" i="1"/>
  <c r="E7200" i="1"/>
  <c r="E7201" i="1"/>
  <c r="E7202" i="1"/>
  <c r="E7203" i="1"/>
  <c r="E7204" i="1"/>
  <c r="E7213" i="1"/>
  <c r="E7214" i="1"/>
  <c r="E7215" i="1"/>
  <c r="E7225" i="1"/>
  <c r="E7226" i="1"/>
  <c r="E7235" i="1"/>
  <c r="E7236" i="1"/>
  <c r="E7237" i="1"/>
  <c r="E7238" i="1"/>
  <c r="E7247" i="1"/>
  <c r="E7248" i="1"/>
  <c r="E7249" i="1"/>
  <c r="E7250" i="1"/>
  <c r="E7253" i="1"/>
  <c r="E7304" i="1"/>
  <c r="E7305" i="1"/>
  <c r="E7306" i="1"/>
  <c r="E7307" i="1"/>
  <c r="E7350" i="1"/>
  <c r="E7351" i="1"/>
  <c r="E7352" i="1"/>
  <c r="E7353" i="1"/>
  <c r="E7354" i="1"/>
  <c r="E7355" i="1"/>
  <c r="E7356" i="1"/>
  <c r="E7357" i="1"/>
  <c r="E7358" i="1"/>
  <c r="E7360" i="1"/>
  <c r="E7361" i="1"/>
  <c r="E7363" i="1"/>
  <c r="E7364" i="1"/>
  <c r="E7365" i="1"/>
  <c r="E7366" i="1"/>
  <c r="E7367" i="1"/>
  <c r="E7368" i="1"/>
  <c r="E7369" i="1"/>
  <c r="E7370" i="1"/>
  <c r="E7371" i="1"/>
  <c r="E7372" i="1"/>
  <c r="E7375" i="1"/>
  <c r="E7376" i="1"/>
  <c r="E7377" i="1"/>
  <c r="E7378" i="1"/>
  <c r="E7379" i="1"/>
  <c r="E7380" i="1"/>
  <c r="E7382" i="1"/>
  <c r="E7383" i="1"/>
  <c r="E7384" i="1"/>
  <c r="E7386" i="1"/>
  <c r="E7387" i="1"/>
  <c r="E7388" i="1"/>
  <c r="E7391" i="1"/>
  <c r="E7392" i="1"/>
  <c r="E7394" i="1"/>
  <c r="E7395" i="1"/>
  <c r="E7397" i="1"/>
  <c r="E7398" i="1"/>
  <c r="E7399" i="1"/>
  <c r="E7400" i="1"/>
  <c r="E7402" i="1"/>
  <c r="E7403" i="1"/>
  <c r="E7404" i="1"/>
  <c r="E7406" i="1"/>
  <c r="E7407" i="1"/>
  <c r="E7410" i="1"/>
  <c r="E7411" i="1"/>
  <c r="E7412" i="1"/>
  <c r="E7413" i="1"/>
  <c r="E7414" i="1"/>
  <c r="E7416" i="1"/>
  <c r="E7417" i="1"/>
  <c r="E7418" i="1"/>
  <c r="E7419" i="1"/>
  <c r="E7420" i="1"/>
  <c r="E7421" i="1"/>
  <c r="E7422" i="1"/>
  <c r="E7423" i="1"/>
  <c r="E7424" i="1"/>
  <c r="E7425" i="1"/>
  <c r="E7426" i="1"/>
  <c r="E7427" i="1"/>
  <c r="E7428" i="1"/>
  <c r="E7429" i="1"/>
  <c r="E7430" i="1"/>
  <c r="E7431" i="1"/>
  <c r="E7436" i="1"/>
  <c r="E7437" i="1"/>
  <c r="E7438" i="1"/>
  <c r="E7439" i="1"/>
  <c r="E7440" i="1"/>
  <c r="E7441" i="1"/>
  <c r="E7442" i="1"/>
  <c r="E7444" i="1"/>
  <c r="E7445" i="1"/>
  <c r="E7446" i="1"/>
  <c r="E7447" i="1"/>
  <c r="E7448" i="1"/>
  <c r="E7449" i="1"/>
  <c r="E7451" i="1"/>
  <c r="E7452" i="1"/>
  <c r="E7453" i="1"/>
  <c r="E7454" i="1"/>
  <c r="E7455" i="1"/>
  <c r="E7456" i="1"/>
  <c r="E7458" i="1"/>
  <c r="E7459" i="1"/>
  <c r="E7462" i="1"/>
  <c r="E7463" i="1"/>
  <c r="E7464" i="1"/>
  <c r="E7465" i="1"/>
  <c r="E7466" i="1"/>
  <c r="E7467" i="1"/>
  <c r="E7468" i="1"/>
  <c r="E7469" i="1"/>
  <c r="E7470" i="1"/>
  <c r="E7471" i="1"/>
  <c r="E7472" i="1"/>
  <c r="E7473" i="1"/>
  <c r="E7474" i="1"/>
  <c r="E7476" i="1"/>
  <c r="E7477" i="1"/>
  <c r="E7478" i="1"/>
  <c r="E7479" i="1"/>
  <c r="E7480" i="1"/>
  <c r="E7481" i="1"/>
  <c r="E7482" i="1"/>
  <c r="E7483" i="1"/>
  <c r="E7484" i="1"/>
  <c r="E7485" i="1"/>
  <c r="E7486" i="1"/>
  <c r="E7487" i="1"/>
  <c r="E7488" i="1"/>
  <c r="E7489" i="1"/>
  <c r="E7490" i="1"/>
  <c r="E7491" i="1"/>
  <c r="E7493" i="1"/>
  <c r="E7494" i="1"/>
  <c r="E7495" i="1"/>
  <c r="E7496" i="1"/>
  <c r="E7498" i="1"/>
  <c r="E7499" i="1"/>
  <c r="E7500" i="1"/>
  <c r="E7501" i="1"/>
  <c r="E7502" i="1"/>
  <c r="E7503" i="1"/>
  <c r="E7506" i="1"/>
  <c r="E7508" i="1"/>
  <c r="E7510" i="1"/>
  <c r="E7511" i="1"/>
  <c r="E7513" i="1"/>
  <c r="E7514" i="1"/>
  <c r="E7515" i="1"/>
  <c r="E7516" i="1"/>
  <c r="E7517" i="1"/>
  <c r="E7518" i="1"/>
  <c r="E7519" i="1"/>
  <c r="E7520" i="1"/>
  <c r="E7521" i="1"/>
  <c r="E7522" i="1"/>
  <c r="E7523" i="1"/>
  <c r="E7524" i="1"/>
  <c r="E7525" i="1"/>
  <c r="E7526" i="1"/>
  <c r="E7530" i="1"/>
  <c r="E7531" i="1"/>
  <c r="E7532" i="1"/>
  <c r="E7533" i="1"/>
  <c r="E7534" i="1"/>
  <c r="E7535" i="1"/>
  <c r="E7536" i="1"/>
  <c r="E7537" i="1"/>
  <c r="E7538" i="1"/>
  <c r="E7539" i="1"/>
  <c r="E7540" i="1"/>
  <c r="E7541" i="1"/>
  <c r="E7542" i="1"/>
  <c r="E7543" i="1"/>
  <c r="E7544" i="1"/>
  <c r="E7545" i="1"/>
  <c r="E7546" i="1"/>
  <c r="E7547" i="1"/>
  <c r="E7548" i="1"/>
  <c r="E7549" i="1"/>
  <c r="E7550" i="1"/>
  <c r="E7552" i="1"/>
  <c r="E7553" i="1"/>
  <c r="E7554" i="1"/>
  <c r="E7555" i="1"/>
  <c r="E7556" i="1"/>
  <c r="E7557" i="1"/>
  <c r="E7558" i="1"/>
  <c r="E7559" i="1"/>
  <c r="E7560" i="1"/>
  <c r="E7561" i="1"/>
  <c r="E7562" i="1"/>
  <c r="E7563" i="1"/>
  <c r="E7565" i="1"/>
  <c r="E7566" i="1"/>
  <c r="E7567" i="1"/>
  <c r="E7568" i="1"/>
  <c r="E7569" i="1"/>
  <c r="E7572" i="1"/>
  <c r="E7573" i="1"/>
  <c r="E7574" i="1"/>
  <c r="E7575" i="1"/>
  <c r="E7576" i="1"/>
  <c r="E7577" i="1"/>
  <c r="E7578" i="1"/>
  <c r="E7579" i="1"/>
  <c r="E7580" i="1"/>
  <c r="E7581" i="1"/>
  <c r="E7582" i="1"/>
  <c r="E7583" i="1"/>
  <c r="E7584" i="1"/>
  <c r="E7585" i="1"/>
  <c r="E7587" i="1"/>
  <c r="E7588" i="1"/>
  <c r="E7589" i="1"/>
  <c r="E7590" i="1"/>
  <c r="E7591" i="1"/>
  <c r="E7592" i="1"/>
  <c r="E7593" i="1"/>
  <c r="E7594" i="1"/>
  <c r="E7595" i="1"/>
  <c r="E7596" i="1"/>
  <c r="E7598" i="1"/>
  <c r="E7599" i="1"/>
  <c r="E7600" i="1"/>
  <c r="E7601" i="1"/>
  <c r="E7602" i="1"/>
  <c r="E7603" i="1"/>
  <c r="E7604" i="1"/>
  <c r="E7605" i="1"/>
  <c r="E7606" i="1"/>
  <c r="E7607" i="1"/>
  <c r="E7608" i="1"/>
  <c r="E7609" i="1"/>
  <c r="E7610" i="1"/>
  <c r="E7611" i="1"/>
  <c r="E7612" i="1"/>
  <c r="E7613" i="1"/>
  <c r="E7614" i="1"/>
  <c r="E7615" i="1"/>
  <c r="E7617" i="1"/>
  <c r="E7618" i="1"/>
  <c r="E7619" i="1"/>
  <c r="E7620" i="1"/>
  <c r="E7621" i="1"/>
  <c r="E7622" i="1"/>
  <c r="E7623" i="1"/>
  <c r="E7624" i="1"/>
  <c r="E7625" i="1"/>
  <c r="E7626" i="1"/>
  <c r="E7627" i="1"/>
  <c r="E7628" i="1"/>
  <c r="E7630" i="1"/>
  <c r="E7631" i="1"/>
  <c r="E7632" i="1"/>
  <c r="E7633" i="1"/>
  <c r="E7634" i="1"/>
  <c r="E7635" i="1"/>
  <c r="E7636" i="1"/>
  <c r="E7637" i="1"/>
  <c r="E7638" i="1"/>
  <c r="E7639" i="1"/>
  <c r="E7640" i="1"/>
  <c r="E7644" i="1"/>
  <c r="E7646" i="1"/>
  <c r="E7648" i="1"/>
  <c r="E7649" i="1"/>
  <c r="E7650" i="1"/>
  <c r="E7651" i="1"/>
  <c r="E7652" i="1"/>
  <c r="E7653" i="1"/>
  <c r="E7654" i="1"/>
  <c r="E7656" i="1"/>
  <c r="E7657" i="1"/>
  <c r="E7658" i="1"/>
  <c r="E7659" i="1"/>
  <c r="E7660" i="1"/>
  <c r="E7661" i="1"/>
  <c r="E7662" i="1"/>
  <c r="E7663" i="1"/>
  <c r="E7664" i="1"/>
  <c r="E7665" i="1"/>
  <c r="E7666" i="1"/>
  <c r="E7667" i="1"/>
  <c r="E7669" i="1"/>
  <c r="E7670" i="1"/>
  <c r="E7672" i="1"/>
  <c r="E7675" i="1"/>
  <c r="E7677" i="1"/>
  <c r="E7678" i="1"/>
  <c r="E7679" i="1"/>
  <c r="E7683" i="1"/>
  <c r="E7684" i="1"/>
  <c r="E7685" i="1"/>
  <c r="E7686" i="1"/>
  <c r="E7687" i="1"/>
  <c r="E7689" i="1"/>
  <c r="E7690" i="1"/>
  <c r="E7691" i="1"/>
  <c r="E7692" i="1"/>
  <c r="E7693" i="1"/>
  <c r="E7695" i="1"/>
  <c r="E7697" i="1"/>
  <c r="E7698" i="1"/>
  <c r="E7699" i="1"/>
  <c r="E7700" i="1"/>
  <c r="E7702" i="1"/>
  <c r="E7704" i="1"/>
  <c r="E7705" i="1"/>
  <c r="E7708" i="1"/>
  <c r="E7709" i="1"/>
  <c r="E7711" i="1"/>
  <c r="E7713" i="1"/>
  <c r="E7715" i="1"/>
  <c r="E7716" i="1"/>
  <c r="E7720" i="1"/>
  <c r="E7721" i="1"/>
  <c r="E7722" i="1"/>
  <c r="E7723" i="1"/>
  <c r="E7724" i="1"/>
  <c r="E7725" i="1"/>
  <c r="E7727" i="1"/>
  <c r="E7728" i="1"/>
  <c r="E7729" i="1"/>
  <c r="E7730" i="1"/>
  <c r="E7732" i="1"/>
  <c r="E7733" i="1"/>
  <c r="E7734" i="1"/>
  <c r="E7735" i="1"/>
  <c r="E7736" i="1"/>
  <c r="E7737" i="1"/>
  <c r="E7738" i="1"/>
  <c r="E7739" i="1"/>
  <c r="E7740" i="1"/>
  <c r="E7742" i="1"/>
  <c r="E7743" i="1"/>
  <c r="E7744" i="1"/>
  <c r="E7745" i="1"/>
  <c r="E7746" i="1"/>
  <c r="E7747" i="1"/>
  <c r="E7748" i="1"/>
  <c r="E7749" i="1"/>
  <c r="E7750" i="1"/>
  <c r="E7751" i="1"/>
  <c r="E7753" i="1"/>
  <c r="E7754" i="1"/>
  <c r="E7755" i="1"/>
  <c r="E7756" i="1"/>
  <c r="E7757" i="1"/>
  <c r="E7759" i="1"/>
  <c r="E7760" i="1"/>
  <c r="E7761" i="1"/>
  <c r="E7762" i="1"/>
  <c r="E7763" i="1"/>
  <c r="E7764" i="1"/>
  <c r="E7765" i="1"/>
  <c r="E7766" i="1"/>
  <c r="E7767" i="1"/>
  <c r="E7768" i="1"/>
  <c r="E7770" i="1"/>
  <c r="E7771" i="1"/>
  <c r="E7773" i="1"/>
  <c r="E7774" i="1"/>
  <c r="E7776" i="1"/>
  <c r="E7777" i="1"/>
  <c r="E7778" i="1"/>
  <c r="E7779" i="1"/>
  <c r="E7780" i="1"/>
  <c r="E7781" i="1"/>
  <c r="E7783" i="1"/>
  <c r="E7785" i="1"/>
  <c r="E7786" i="1"/>
  <c r="E7789" i="1"/>
  <c r="E7790" i="1"/>
  <c r="E7791" i="1"/>
  <c r="E7792" i="1"/>
  <c r="E7793" i="1"/>
  <c r="E7794" i="1"/>
  <c r="E7795" i="1"/>
  <c r="E7796" i="1"/>
  <c r="E7797" i="1"/>
  <c r="E7798" i="1"/>
  <c r="E7799" i="1"/>
  <c r="E7800" i="1"/>
  <c r="E7801" i="1"/>
  <c r="E7802" i="1"/>
  <c r="E7804" i="1"/>
  <c r="E7805" i="1"/>
  <c r="E7806" i="1"/>
  <c r="E7807" i="1"/>
  <c r="E7808" i="1"/>
  <c r="E7809" i="1"/>
  <c r="E7810" i="1"/>
  <c r="E7811" i="1"/>
  <c r="E7812" i="1"/>
  <c r="E7813" i="1"/>
  <c r="E7814" i="1"/>
  <c r="E7815" i="1"/>
  <c r="E7816" i="1"/>
  <c r="E7817" i="1"/>
  <c r="E7818" i="1"/>
  <c r="E7819" i="1"/>
  <c r="E7820" i="1"/>
  <c r="E7821" i="1"/>
  <c r="E7822" i="1"/>
  <c r="E7824" i="1"/>
  <c r="E7825" i="1"/>
  <c r="E7826" i="1"/>
  <c r="E7827" i="1"/>
  <c r="E7828" i="1"/>
  <c r="E7829" i="1"/>
  <c r="E7831" i="1"/>
  <c r="E7832" i="1"/>
  <c r="E7833" i="1"/>
  <c r="E7834" i="1"/>
  <c r="E7835" i="1"/>
  <c r="E7836" i="1"/>
  <c r="E7837" i="1"/>
  <c r="E7838" i="1"/>
  <c r="E7839" i="1"/>
  <c r="E7840" i="1"/>
  <c r="E7841" i="1"/>
  <c r="E7842" i="1"/>
  <c r="E7843" i="1"/>
  <c r="E7844" i="1"/>
  <c r="E7845" i="1"/>
  <c r="E7846" i="1"/>
  <c r="E7847" i="1"/>
  <c r="E7848" i="1"/>
  <c r="E7849" i="1"/>
  <c r="E7850" i="1"/>
  <c r="E7851" i="1"/>
  <c r="E7853" i="1"/>
  <c r="E7854" i="1"/>
  <c r="E7855" i="1"/>
  <c r="E7856" i="1"/>
  <c r="E7857" i="1"/>
  <c r="E7858" i="1"/>
  <c r="E7859" i="1"/>
  <c r="E7860" i="1"/>
  <c r="E7861" i="1"/>
  <c r="E7862" i="1"/>
  <c r="E7863" i="1"/>
  <c r="E7864" i="1"/>
  <c r="E7865" i="1"/>
  <c r="E7866" i="1"/>
  <c r="E7867" i="1"/>
  <c r="E7868" i="1"/>
  <c r="E7869" i="1"/>
  <c r="E7870" i="1"/>
  <c r="E7871" i="1"/>
  <c r="E7872" i="1"/>
  <c r="E7873" i="1"/>
  <c r="E7874" i="1"/>
  <c r="E7876" i="1"/>
  <c r="E7877" i="1"/>
  <c r="E7879" i="1"/>
  <c r="E7897" i="1"/>
  <c r="E7898" i="1"/>
  <c r="E7899" i="1"/>
  <c r="E7900" i="1"/>
  <c r="E7901" i="1"/>
  <c r="E7902" i="1"/>
  <c r="E7903" i="1"/>
  <c r="E7904" i="1"/>
  <c r="E7905" i="1"/>
  <c r="E7906" i="1"/>
  <c r="E7907" i="1"/>
  <c r="E7908" i="1"/>
  <c r="E7909" i="1"/>
  <c r="E7910" i="1"/>
  <c r="E7911" i="1"/>
  <c r="E7912" i="1"/>
  <c r="E7913" i="1"/>
  <c r="E7914" i="1"/>
  <c r="E7915" i="1"/>
  <c r="E7916" i="1"/>
  <c r="E7917" i="1"/>
  <c r="E7918" i="1"/>
  <c r="E7919" i="1"/>
  <c r="E7920" i="1"/>
  <c r="E7921" i="1"/>
  <c r="E7923" i="1"/>
  <c r="E7924" i="1"/>
  <c r="E7925" i="1"/>
  <c r="E7926" i="1"/>
  <c r="E7927" i="1"/>
  <c r="E7928" i="1"/>
  <c r="E7929" i="1"/>
  <c r="E7930" i="1"/>
  <c r="E7931" i="1"/>
  <c r="E7932" i="1"/>
  <c r="E7933" i="1"/>
  <c r="E7934" i="1"/>
  <c r="E7935" i="1"/>
  <c r="E7937" i="1"/>
  <c r="E7938" i="1"/>
  <c r="E7939" i="1"/>
  <c r="E7940" i="1"/>
  <c r="E7941" i="1"/>
  <c r="E7942" i="1"/>
  <c r="E7943" i="1"/>
  <c r="E7944" i="1"/>
  <c r="E7945" i="1"/>
  <c r="E7946" i="1"/>
  <c r="E7948" i="1"/>
  <c r="E7949" i="1"/>
  <c r="E7950" i="1"/>
  <c r="E7951" i="1"/>
  <c r="E7952" i="1"/>
  <c r="E7953" i="1"/>
  <c r="E7954" i="1"/>
  <c r="E7955" i="1"/>
  <c r="E7956" i="1"/>
  <c r="E7957" i="1"/>
  <c r="E7958" i="1"/>
  <c r="E7959" i="1"/>
  <c r="E7960" i="1"/>
  <c r="E7961" i="1"/>
  <c r="E7962" i="1"/>
  <c r="E7965" i="1"/>
  <c r="E7966" i="1"/>
  <c r="E7967" i="1"/>
  <c r="E7968" i="1"/>
  <c r="E7969" i="1"/>
  <c r="E7970" i="1"/>
  <c r="E7971" i="1"/>
  <c r="E7972" i="1"/>
  <c r="E7973" i="1"/>
  <c r="E7974" i="1"/>
  <c r="E7975" i="1"/>
  <c r="E7976" i="1"/>
  <c r="E7977" i="1"/>
  <c r="E7978" i="1"/>
  <c r="E7979" i="1"/>
  <c r="E7980" i="1"/>
  <c r="E7981" i="1"/>
  <c r="E7983" i="1"/>
  <c r="E7984" i="1"/>
  <c r="E7985" i="1"/>
  <c r="E7987" i="1"/>
  <c r="E7988" i="1"/>
  <c r="E7989" i="1"/>
  <c r="E7991" i="1"/>
  <c r="E7992" i="1"/>
  <c r="E7994" i="1"/>
  <c r="E7995" i="1"/>
  <c r="E7996" i="1"/>
  <c r="E7997" i="1"/>
  <c r="E8001" i="1"/>
  <c r="E8002" i="1"/>
  <c r="E8003" i="1"/>
  <c r="E8004" i="1"/>
  <c r="E8005" i="1"/>
  <c r="E8006" i="1"/>
  <c r="E8007" i="1"/>
  <c r="E8008" i="1"/>
  <c r="E8009" i="1"/>
  <c r="E8010" i="1"/>
  <c r="E8011" i="1"/>
  <c r="E8012" i="1"/>
  <c r="E8013" i="1"/>
  <c r="E8014" i="1"/>
  <c r="E8015" i="1"/>
  <c r="E8016" i="1"/>
  <c r="E8017" i="1"/>
  <c r="E8018" i="1"/>
  <c r="E8019" i="1"/>
  <c r="E8020" i="1"/>
  <c r="E8021" i="1"/>
  <c r="E8022" i="1"/>
  <c r="E8023" i="1"/>
  <c r="E8024" i="1"/>
  <c r="E8026" i="1"/>
  <c r="E8027" i="1"/>
  <c r="E8028" i="1"/>
  <c r="E8029" i="1"/>
  <c r="E8030" i="1"/>
  <c r="E8031" i="1"/>
  <c r="E8032" i="1"/>
  <c r="E8033" i="1"/>
  <c r="E8034" i="1"/>
  <c r="E8035" i="1"/>
  <c r="E8036" i="1"/>
  <c r="E8037" i="1"/>
  <c r="E8039" i="1"/>
  <c r="E8040" i="1"/>
  <c r="E8041" i="1"/>
  <c r="E8042" i="1"/>
  <c r="E8044" i="1"/>
  <c r="E8046" i="1"/>
  <c r="E8048" i="1"/>
  <c r="E8049" i="1"/>
  <c r="E8050" i="1"/>
  <c r="E8051" i="1"/>
  <c r="E8054" i="1"/>
  <c r="E8055" i="1"/>
  <c r="E8056" i="1"/>
  <c r="E8057" i="1"/>
  <c r="E8058" i="1"/>
  <c r="E8059" i="1"/>
  <c r="E8061" i="1"/>
  <c r="E8062" i="1"/>
  <c r="E8063" i="1"/>
  <c r="E8064" i="1"/>
  <c r="E8066" i="1"/>
  <c r="E8067" i="1"/>
  <c r="E8068" i="1"/>
  <c r="E8069" i="1"/>
  <c r="E8070" i="1"/>
  <c r="E8071" i="1"/>
  <c r="E8072" i="1"/>
  <c r="E8073" i="1"/>
  <c r="E8074" i="1"/>
  <c r="E8075" i="1"/>
  <c r="E8077" i="1"/>
  <c r="E8078" i="1"/>
  <c r="E8079" i="1"/>
  <c r="E8080" i="1"/>
  <c r="E8081" i="1"/>
  <c r="E8082" i="1"/>
  <c r="E8083" i="1"/>
  <c r="E8084" i="1"/>
  <c r="E8086" i="1"/>
  <c r="E8087" i="1"/>
  <c r="E8089" i="1"/>
  <c r="E8090" i="1"/>
  <c r="E8092" i="1"/>
  <c r="E8093" i="1"/>
  <c r="E8094" i="1"/>
  <c r="E8095" i="1"/>
  <c r="E8096" i="1"/>
  <c r="E8097" i="1"/>
  <c r="E8099" i="1"/>
  <c r="E8100" i="1"/>
  <c r="E8101" i="1"/>
  <c r="E8102" i="1"/>
  <c r="E8103" i="1"/>
  <c r="E8104" i="1"/>
  <c r="E8105" i="1"/>
  <c r="E8106" i="1"/>
  <c r="E8107" i="1"/>
  <c r="E8108" i="1"/>
  <c r="E8109" i="1"/>
  <c r="E8110" i="1"/>
  <c r="E8111" i="1"/>
  <c r="E8112" i="1"/>
  <c r="E8113" i="1"/>
  <c r="E8114" i="1"/>
  <c r="E8115" i="1"/>
  <c r="E8118" i="1"/>
  <c r="E8119" i="1"/>
  <c r="E8120" i="1"/>
  <c r="E8121" i="1"/>
  <c r="E8122" i="1"/>
  <c r="E8123" i="1"/>
  <c r="E8124" i="1"/>
  <c r="E8125" i="1"/>
  <c r="E8126" i="1"/>
  <c r="E8127" i="1"/>
  <c r="E8128" i="1"/>
  <c r="E8129" i="1"/>
  <c r="E8130" i="1"/>
  <c r="E8131" i="1"/>
  <c r="E8132" i="1"/>
  <c r="E8133" i="1"/>
  <c r="E8134" i="1"/>
  <c r="E8135" i="1"/>
  <c r="E8137" i="1"/>
  <c r="E8138" i="1"/>
  <c r="E8139" i="1"/>
  <c r="E8140" i="1"/>
  <c r="E8141" i="1"/>
  <c r="E8142" i="1"/>
  <c r="E8143" i="1"/>
  <c r="E8144" i="1"/>
  <c r="E8145" i="1"/>
  <c r="E8146" i="1"/>
  <c r="E8147" i="1"/>
  <c r="E8148" i="1"/>
  <c r="E8149" i="1"/>
  <c r="E8150" i="1"/>
  <c r="E8151" i="1"/>
  <c r="E8152" i="1"/>
  <c r="E8153" i="1"/>
  <c r="E8154" i="1"/>
  <c r="E8155" i="1"/>
  <c r="E8156" i="1"/>
  <c r="E8157" i="1"/>
  <c r="E8158" i="1"/>
  <c r="E8159" i="1"/>
  <c r="E8161" i="1"/>
  <c r="E8162" i="1"/>
  <c r="E8164" i="1"/>
  <c r="E8165" i="1"/>
  <c r="E8166" i="1"/>
  <c r="E8167" i="1"/>
  <c r="E8168" i="1"/>
  <c r="E8169" i="1"/>
  <c r="E8170" i="1"/>
  <c r="E8171" i="1"/>
  <c r="E8172" i="1"/>
  <c r="E8173" i="1"/>
  <c r="E8174" i="1"/>
  <c r="E8175" i="1"/>
  <c r="E8176" i="1"/>
  <c r="E8177" i="1"/>
  <c r="E8178" i="1"/>
  <c r="E8179" i="1"/>
  <c r="E8180" i="1"/>
  <c r="E8181" i="1"/>
  <c r="E8182" i="1"/>
  <c r="E8183" i="1"/>
  <c r="E8184" i="1"/>
  <c r="E8185" i="1"/>
  <c r="E8186" i="1"/>
  <c r="E8187" i="1"/>
  <c r="E8188" i="1"/>
  <c r="E8189" i="1"/>
  <c r="E8190" i="1"/>
  <c r="E8191" i="1"/>
  <c r="E8192" i="1"/>
  <c r="E8193" i="1"/>
  <c r="E8194" i="1"/>
  <c r="E8195" i="1"/>
  <c r="E8196" i="1"/>
  <c r="E8197" i="1"/>
  <c r="E8198" i="1"/>
  <c r="E8199" i="1"/>
  <c r="E8200" i="1"/>
  <c r="E8201" i="1"/>
  <c r="E8202" i="1"/>
  <c r="E8203" i="1"/>
  <c r="E8204" i="1"/>
  <c r="E8205" i="1"/>
  <c r="E8206" i="1"/>
  <c r="E8207" i="1"/>
  <c r="E8208" i="1"/>
  <c r="E8209" i="1"/>
  <c r="E8210" i="1"/>
  <c r="E8211" i="1"/>
  <c r="E8213" i="1"/>
  <c r="E8214" i="1"/>
  <c r="E8215" i="1"/>
  <c r="E8217" i="1"/>
  <c r="E8218" i="1"/>
  <c r="E8219" i="1"/>
  <c r="E8220" i="1"/>
  <c r="E8221" i="1"/>
  <c r="E8224" i="1"/>
  <c r="E8225" i="1"/>
  <c r="E8226" i="1"/>
  <c r="E8227" i="1"/>
  <c r="E8228" i="1"/>
  <c r="E8229" i="1"/>
  <c r="E8230" i="1"/>
  <c r="E8231" i="1"/>
  <c r="E8232" i="1"/>
  <c r="E8233" i="1"/>
  <c r="E8234" i="1"/>
  <c r="E8235" i="1"/>
  <c r="E8236" i="1"/>
  <c r="E8237" i="1"/>
  <c r="E8238" i="1"/>
  <c r="E8239" i="1"/>
  <c r="E8240" i="1"/>
  <c r="E8241" i="1"/>
  <c r="E8242" i="1"/>
  <c r="E8243" i="1"/>
  <c r="E8244" i="1"/>
  <c r="E8245" i="1"/>
  <c r="E8246" i="1"/>
  <c r="E8247" i="1"/>
  <c r="E8248" i="1"/>
  <c r="E8249" i="1"/>
  <c r="E8250" i="1"/>
  <c r="E8251" i="1"/>
  <c r="E8252" i="1"/>
  <c r="E8253" i="1"/>
  <c r="E8254" i="1"/>
  <c r="E8255" i="1"/>
  <c r="E8256" i="1"/>
  <c r="E8257" i="1"/>
  <c r="E8258" i="1"/>
  <c r="E8259" i="1"/>
  <c r="E8260" i="1"/>
  <c r="E8261" i="1"/>
  <c r="E8262" i="1"/>
  <c r="E8263" i="1"/>
  <c r="E8264" i="1"/>
  <c r="E8265" i="1"/>
  <c r="E8266" i="1"/>
  <c r="E8267" i="1"/>
  <c r="E8268" i="1"/>
  <c r="E8269" i="1"/>
  <c r="E8270" i="1"/>
  <c r="E8271" i="1"/>
  <c r="E8272" i="1"/>
  <c r="E8273" i="1"/>
  <c r="E8274" i="1"/>
  <c r="E8275" i="1"/>
  <c r="E8276" i="1"/>
  <c r="E8277" i="1"/>
  <c r="E8278" i="1"/>
  <c r="E8279" i="1"/>
  <c r="E8280" i="1"/>
  <c r="E8281" i="1"/>
  <c r="E8282" i="1"/>
  <c r="E8283" i="1"/>
  <c r="E8284" i="1"/>
  <c r="E8285" i="1"/>
  <c r="E8286" i="1"/>
  <c r="E8287" i="1"/>
  <c r="E8288" i="1"/>
  <c r="E8289" i="1"/>
  <c r="E8290" i="1"/>
  <c r="E8291" i="1"/>
  <c r="E8292" i="1"/>
  <c r="E8293" i="1"/>
  <c r="E8294" i="1"/>
  <c r="E8295" i="1"/>
  <c r="E8297" i="1"/>
  <c r="E8298" i="1"/>
  <c r="E8299" i="1"/>
  <c r="E8300" i="1"/>
  <c r="E8301" i="1"/>
  <c r="E8302" i="1"/>
  <c r="E8303" i="1"/>
  <c r="E8304" i="1"/>
  <c r="E8306" i="1"/>
  <c r="E8307" i="1"/>
  <c r="E8308" i="1"/>
  <c r="E8309" i="1"/>
  <c r="E8312" i="1"/>
  <c r="E8313" i="1"/>
  <c r="E8314" i="1"/>
  <c r="E8315" i="1"/>
  <c r="E8316" i="1"/>
  <c r="E8317" i="1"/>
  <c r="E8318" i="1"/>
  <c r="E8319" i="1"/>
  <c r="E8320" i="1"/>
  <c r="E8321" i="1"/>
  <c r="E8322" i="1"/>
  <c r="E8323" i="1"/>
  <c r="E8324" i="1"/>
  <c r="E8325" i="1"/>
  <c r="E8326" i="1"/>
  <c r="E8327" i="1"/>
  <c r="E8328" i="1"/>
  <c r="E8329" i="1"/>
  <c r="E8331" i="1"/>
  <c r="E8332" i="1"/>
  <c r="E8334" i="1"/>
  <c r="E8335" i="1"/>
  <c r="E8337" i="1"/>
  <c r="E8338" i="1"/>
  <c r="E8341" i="1"/>
  <c r="E8343" i="1"/>
  <c r="E8344" i="1"/>
  <c r="E8345" i="1"/>
  <c r="E8346" i="1"/>
  <c r="E8347" i="1"/>
  <c r="E8348" i="1"/>
  <c r="E8349" i="1"/>
  <c r="E8350" i="1"/>
  <c r="E8351" i="1"/>
  <c r="E8352" i="1"/>
  <c r="E8353" i="1"/>
  <c r="E8355" i="1"/>
  <c r="E8356" i="1"/>
  <c r="E8357" i="1"/>
  <c r="E8358" i="1"/>
  <c r="E8359" i="1"/>
  <c r="E8360" i="1"/>
  <c r="E8362" i="1"/>
  <c r="E8363" i="1"/>
  <c r="E8364" i="1"/>
  <c r="E8370" i="1"/>
  <c r="E8371" i="1"/>
  <c r="E8372" i="1"/>
  <c r="E8373" i="1"/>
  <c r="E8374" i="1"/>
  <c r="E8375" i="1"/>
  <c r="E8376" i="1"/>
  <c r="E8377" i="1"/>
  <c r="E8378" i="1"/>
  <c r="E8379" i="1"/>
  <c r="E8380" i="1"/>
  <c r="E8381" i="1"/>
  <c r="E8382" i="1"/>
  <c r="E8383" i="1"/>
  <c r="E8384" i="1"/>
  <c r="E8385" i="1"/>
  <c r="E8386" i="1"/>
  <c r="E8387" i="1"/>
  <c r="E8388" i="1"/>
  <c r="E8389" i="1"/>
  <c r="E8390" i="1"/>
  <c r="E8391" i="1"/>
  <c r="E8392" i="1"/>
  <c r="E8393" i="1"/>
  <c r="E8394" i="1"/>
  <c r="E8395" i="1"/>
  <c r="E8396" i="1"/>
  <c r="E8397" i="1"/>
  <c r="E8398" i="1"/>
  <c r="E8399" i="1"/>
  <c r="E8401" i="1"/>
  <c r="E8402" i="1"/>
  <c r="E8403" i="1"/>
  <c r="E8404" i="1"/>
  <c r="E8405" i="1"/>
  <c r="E8406" i="1"/>
  <c r="E8407" i="1"/>
  <c r="E8408" i="1"/>
  <c r="E8409" i="1"/>
  <c r="E8410" i="1"/>
  <c r="E8411" i="1"/>
  <c r="E8412" i="1"/>
  <c r="E8414" i="1"/>
  <c r="E8415" i="1"/>
  <c r="E8416" i="1"/>
  <c r="E8417" i="1"/>
  <c r="E8418" i="1"/>
  <c r="E8420" i="1"/>
  <c r="E8421" i="1"/>
  <c r="E8422" i="1"/>
  <c r="E8423" i="1"/>
  <c r="E8424" i="1"/>
  <c r="E8425" i="1"/>
  <c r="E8427" i="1"/>
  <c r="E8428" i="1"/>
  <c r="E8429" i="1"/>
  <c r="E8430" i="1"/>
  <c r="E8431" i="1"/>
  <c r="E8432" i="1"/>
  <c r="E8433" i="1"/>
  <c r="E8434" i="1"/>
  <c r="E8435" i="1"/>
  <c r="E8436" i="1"/>
  <c r="E8437" i="1"/>
  <c r="E8438" i="1"/>
  <c r="E8439" i="1"/>
  <c r="E8440" i="1"/>
  <c r="E8441" i="1"/>
  <c r="E8443" i="1"/>
  <c r="E8444" i="1"/>
  <c r="E8445" i="1"/>
  <c r="E8446" i="1"/>
  <c r="E8447" i="1"/>
  <c r="E8448" i="1"/>
  <c r="E8449" i="1"/>
  <c r="E8450" i="1"/>
  <c r="E8451" i="1"/>
  <c r="E8452" i="1"/>
  <c r="E8453" i="1"/>
  <c r="E8454" i="1"/>
  <c r="E8455" i="1"/>
  <c r="E8456" i="1"/>
  <c r="E8457" i="1"/>
  <c r="E8458" i="1"/>
  <c r="E8459" i="1"/>
  <c r="E8460" i="1"/>
  <c r="E8461" i="1"/>
  <c r="E8462" i="1"/>
  <c r="E8463" i="1"/>
  <c r="E8464" i="1"/>
  <c r="E8466" i="1"/>
  <c r="E8467" i="1"/>
  <c r="E8468" i="1"/>
  <c r="E8469" i="1"/>
  <c r="E8470" i="1"/>
  <c r="E8471" i="1"/>
  <c r="E8472" i="1"/>
  <c r="E8473" i="1"/>
  <c r="E8474" i="1"/>
  <c r="E8475" i="1"/>
  <c r="E8476" i="1"/>
  <c r="E8477" i="1"/>
  <c r="E8478" i="1"/>
  <c r="E8479" i="1"/>
  <c r="E8480" i="1"/>
  <c r="E8481" i="1"/>
  <c r="E8482" i="1"/>
  <c r="E8483" i="1"/>
  <c r="E8484" i="1"/>
  <c r="E8485" i="1"/>
  <c r="E8486" i="1"/>
  <c r="E8487" i="1"/>
  <c r="E8488" i="1"/>
  <c r="E8491" i="1"/>
  <c r="E8492" i="1"/>
  <c r="E8493" i="1"/>
  <c r="E8494" i="1"/>
  <c r="E8495" i="1"/>
  <c r="E8496" i="1"/>
  <c r="E8497" i="1"/>
  <c r="E8498" i="1"/>
  <c r="E8499" i="1"/>
  <c r="E8500" i="1"/>
  <c r="E8501" i="1"/>
  <c r="E8502" i="1"/>
  <c r="E8503" i="1"/>
  <c r="E8504" i="1"/>
  <c r="E8505" i="1"/>
  <c r="E8506" i="1"/>
  <c r="E8508" i="1"/>
  <c r="E8509" i="1"/>
  <c r="E8510" i="1"/>
  <c r="E8513" i="1"/>
  <c r="E8514" i="1"/>
  <c r="E8515" i="1"/>
  <c r="E8517" i="1"/>
  <c r="E8518" i="1"/>
  <c r="E8519" i="1"/>
  <c r="E8520" i="1"/>
  <c r="E8521" i="1"/>
  <c r="E8522" i="1"/>
  <c r="E8523" i="1"/>
  <c r="E8524" i="1"/>
  <c r="E8525" i="1"/>
  <c r="E8526" i="1"/>
  <c r="E8527" i="1"/>
  <c r="E8528" i="1"/>
  <c r="E8530" i="1"/>
  <c r="E8531" i="1"/>
  <c r="E8532" i="1"/>
  <c r="E8533" i="1"/>
  <c r="E8534" i="1"/>
  <c r="E8535" i="1"/>
  <c r="E8536" i="1"/>
  <c r="E8537" i="1"/>
  <c r="E8538" i="1"/>
  <c r="E8540" i="1"/>
  <c r="E8541" i="1"/>
  <c r="E8542" i="1"/>
  <c r="E8543" i="1"/>
  <c r="E8544" i="1"/>
  <c r="E8545" i="1"/>
  <c r="E8546" i="1"/>
  <c r="E8547" i="1"/>
  <c r="E8548" i="1"/>
  <c r="E8549" i="1"/>
  <c r="E8550" i="1"/>
  <c r="E8552" i="1"/>
  <c r="E8553" i="1"/>
  <c r="E8554" i="1"/>
  <c r="E8555" i="1"/>
  <c r="E8556" i="1"/>
  <c r="E8557" i="1"/>
  <c r="E8559" i="1"/>
  <c r="E8560" i="1"/>
  <c r="E8561" i="1"/>
  <c r="E8562" i="1"/>
  <c r="E8563" i="1"/>
  <c r="E8564" i="1"/>
  <c r="E8565" i="1"/>
  <c r="E8566" i="1"/>
  <c r="E8567" i="1"/>
  <c r="E8568" i="1"/>
  <c r="E8570" i="1"/>
  <c r="E8571" i="1"/>
  <c r="E8572" i="1"/>
  <c r="E8573" i="1"/>
  <c r="E8574" i="1"/>
  <c r="E8575" i="1"/>
  <c r="E8576" i="1"/>
  <c r="E8577" i="1"/>
  <c r="E8579" i="1"/>
  <c r="E8580" i="1"/>
  <c r="E8581" i="1"/>
  <c r="E8582" i="1"/>
  <c r="E8583" i="1"/>
  <c r="E8584" i="1"/>
  <c r="E8585" i="1"/>
  <c r="E8586" i="1"/>
  <c r="E8587" i="1"/>
  <c r="E8588" i="1"/>
  <c r="E8589" i="1"/>
  <c r="E8590" i="1"/>
  <c r="E8591" i="1"/>
  <c r="E8592" i="1"/>
  <c r="E8593" i="1"/>
  <c r="E8594" i="1"/>
  <c r="E8595" i="1"/>
  <c r="E8596" i="1"/>
  <c r="E8597" i="1"/>
  <c r="E8599" i="1"/>
  <c r="E8600" i="1"/>
  <c r="E8601" i="1"/>
  <c r="E8602" i="1"/>
  <c r="E8603" i="1"/>
  <c r="E8604" i="1"/>
  <c r="E8605" i="1"/>
  <c r="E8606" i="1"/>
  <c r="E8607" i="1"/>
  <c r="E8609" i="1"/>
  <c r="E8610" i="1"/>
  <c r="E8613" i="1"/>
  <c r="E8615" i="1"/>
  <c r="E8616" i="1"/>
  <c r="E8617" i="1"/>
  <c r="E8619" i="1"/>
  <c r="E8620" i="1"/>
  <c r="E8621" i="1"/>
  <c r="E8622" i="1"/>
  <c r="E8623" i="1"/>
  <c r="E8624" i="1"/>
  <c r="E8625" i="1"/>
  <c r="E8626" i="1"/>
  <c r="E8627" i="1"/>
  <c r="E8628" i="1"/>
  <c r="E8629" i="1"/>
  <c r="E8630" i="1"/>
  <c r="E8631" i="1"/>
  <c r="E8632" i="1"/>
  <c r="E8633" i="1"/>
  <c r="E8634" i="1"/>
  <c r="E8635" i="1"/>
  <c r="E8636" i="1"/>
  <c r="E8637" i="1"/>
  <c r="E8638" i="1"/>
  <c r="E8639" i="1"/>
  <c r="E8640" i="1"/>
  <c r="E8641" i="1"/>
  <c r="E8642" i="1"/>
  <c r="E8643" i="1"/>
  <c r="E8644" i="1"/>
  <c r="E8645" i="1"/>
  <c r="E8646" i="1"/>
  <c r="E8647" i="1"/>
  <c r="E8648" i="1"/>
  <c r="E8649" i="1"/>
  <c r="E8650" i="1"/>
  <c r="E8659" i="1"/>
  <c r="E8660" i="1"/>
  <c r="E8661" i="1"/>
  <c r="E8662" i="1"/>
  <c r="E8663" i="1"/>
  <c r="E8664" i="1"/>
  <c r="E8667" i="1"/>
  <c r="E8668" i="1"/>
  <c r="E8669" i="1"/>
  <c r="E8671" i="1"/>
  <c r="E8672" i="1"/>
  <c r="E8673" i="1"/>
  <c r="E8674" i="1"/>
  <c r="E8675" i="1"/>
  <c r="E8677" i="1"/>
  <c r="E8678" i="1"/>
  <c r="E8679" i="1"/>
  <c r="E8680" i="1"/>
  <c r="E8681" i="1"/>
  <c r="E8682" i="1"/>
  <c r="E8683" i="1"/>
  <c r="E8684" i="1"/>
  <c r="E8685" i="1"/>
  <c r="E8687" i="1"/>
  <c r="E8688" i="1"/>
  <c r="E8691" i="1"/>
  <c r="E8693" i="1"/>
  <c r="E8694" i="1"/>
  <c r="E8695" i="1"/>
  <c r="E8696" i="1"/>
  <c r="E8697" i="1"/>
  <c r="E8698" i="1"/>
  <c r="E8699" i="1"/>
  <c r="E8700" i="1"/>
  <c r="E8701" i="1"/>
  <c r="E8702" i="1"/>
  <c r="E8703" i="1"/>
  <c r="E8704" i="1"/>
  <c r="E8706" i="1"/>
  <c r="E8707" i="1"/>
  <c r="E8710" i="1"/>
  <c r="E8711" i="1"/>
  <c r="E8713" i="1"/>
  <c r="E8714" i="1"/>
  <c r="E8715" i="1"/>
  <c r="E8716" i="1"/>
  <c r="E8717" i="1"/>
  <c r="E8718" i="1"/>
  <c r="E8719" i="1"/>
  <c r="E8720" i="1"/>
  <c r="E8721" i="1"/>
  <c r="E8722" i="1"/>
  <c r="E8723" i="1"/>
  <c r="E8724" i="1"/>
  <c r="E8725" i="1"/>
  <c r="E8726" i="1"/>
  <c r="E8728" i="1"/>
  <c r="E8729" i="1"/>
  <c r="E8731" i="1"/>
  <c r="E8732" i="1"/>
  <c r="E8734" i="1"/>
  <c r="E8737" i="1"/>
  <c r="E8738" i="1"/>
  <c r="E8739" i="1"/>
  <c r="E8740" i="1"/>
  <c r="E8741" i="1"/>
  <c r="E8742" i="1"/>
  <c r="E8743" i="1"/>
  <c r="E8744" i="1"/>
  <c r="E8745" i="1"/>
  <c r="E8747" i="1"/>
  <c r="E8748" i="1"/>
  <c r="E8749" i="1"/>
  <c r="E8750" i="1"/>
  <c r="E8751" i="1"/>
  <c r="E8752" i="1"/>
  <c r="E8753" i="1"/>
  <c r="E8754" i="1"/>
  <c r="E8755" i="1"/>
  <c r="E8757" i="1"/>
  <c r="E8758" i="1"/>
  <c r="E8759" i="1"/>
  <c r="E8760" i="1"/>
  <c r="E8761" i="1"/>
  <c r="E8762" i="1"/>
  <c r="E8763" i="1"/>
  <c r="E8764" i="1"/>
  <c r="E8765" i="1"/>
  <c r="E8767" i="1"/>
  <c r="E8771" i="1"/>
  <c r="E8772" i="1"/>
  <c r="E8773" i="1"/>
  <c r="E8774" i="1"/>
  <c r="E8775" i="1"/>
  <c r="E8776" i="1"/>
  <c r="E8777" i="1"/>
  <c r="E8778" i="1"/>
  <c r="E8779" i="1"/>
  <c r="E8780" i="1"/>
  <c r="E8781" i="1"/>
  <c r="E8782" i="1"/>
  <c r="E8783" i="1"/>
  <c r="E8784" i="1"/>
  <c r="E8785" i="1"/>
  <c r="E8786" i="1"/>
  <c r="E8787" i="1"/>
  <c r="E8788" i="1"/>
  <c r="E8789" i="1"/>
  <c r="E8790" i="1"/>
  <c r="E8791" i="1"/>
  <c r="E8792" i="1"/>
  <c r="E8793" i="1"/>
  <c r="E8794" i="1"/>
  <c r="E8795" i="1"/>
  <c r="E8796" i="1"/>
  <c r="E8798" i="1"/>
  <c r="E8799" i="1"/>
  <c r="E8800" i="1"/>
  <c r="E8801" i="1"/>
  <c r="E8802" i="1"/>
  <c r="E8803" i="1"/>
  <c r="E8804" i="1"/>
  <c r="E8805" i="1"/>
  <c r="E8806" i="1"/>
  <c r="E8807" i="1"/>
  <c r="E8808" i="1"/>
  <c r="E8809" i="1"/>
  <c r="E8811" i="1"/>
  <c r="E8812" i="1"/>
  <c r="E8813" i="1"/>
  <c r="E8814" i="1"/>
  <c r="E8816" i="1"/>
  <c r="E8817" i="1"/>
  <c r="E8818" i="1"/>
  <c r="E8819" i="1"/>
  <c r="E8820" i="1"/>
  <c r="E8822" i="1"/>
  <c r="E8823" i="1"/>
  <c r="E8825" i="1"/>
  <c r="E8826" i="1"/>
  <c r="E8828" i="1"/>
  <c r="E8829" i="1"/>
  <c r="E8830" i="1"/>
  <c r="E8831" i="1"/>
  <c r="E8832" i="1"/>
  <c r="E8833" i="1"/>
  <c r="E8834" i="1"/>
  <c r="E8835" i="1"/>
  <c r="E8836" i="1"/>
  <c r="E8837" i="1"/>
  <c r="E8838" i="1"/>
  <c r="E8839" i="1"/>
  <c r="E8840" i="1"/>
  <c r="E8841" i="1"/>
  <c r="E8842" i="1"/>
  <c r="E8843" i="1"/>
  <c r="E8844" i="1"/>
  <c r="E8845" i="1"/>
  <c r="E8846" i="1"/>
  <c r="E8847" i="1"/>
  <c r="E8848" i="1"/>
  <c r="E8849" i="1"/>
  <c r="E8850" i="1"/>
  <c r="E8851" i="1"/>
  <c r="E8852" i="1"/>
  <c r="E8853" i="1"/>
  <c r="E8854" i="1"/>
  <c r="E8856" i="1"/>
  <c r="E8857" i="1"/>
  <c r="E8858" i="1"/>
  <c r="E8859" i="1"/>
  <c r="E8860" i="1"/>
  <c r="E8861" i="1"/>
  <c r="E8862" i="1"/>
  <c r="E8863" i="1"/>
  <c r="E8864" i="1"/>
  <c r="E8865" i="1"/>
  <c r="E8866" i="1"/>
  <c r="E8867" i="1"/>
  <c r="E8868" i="1"/>
  <c r="E8870" i="1"/>
  <c r="E8871" i="1"/>
  <c r="E8873" i="1"/>
  <c r="E8874" i="1"/>
  <c r="E8875" i="1"/>
  <c r="E8876" i="1"/>
  <c r="E8877" i="1"/>
  <c r="E8878" i="1"/>
  <c r="E8879" i="1"/>
  <c r="E8880" i="1"/>
  <c r="E8881" i="1"/>
  <c r="E8882" i="1"/>
  <c r="E8883" i="1"/>
  <c r="E8884" i="1"/>
  <c r="E8885" i="1"/>
  <c r="E8887" i="1"/>
  <c r="E8888" i="1"/>
  <c r="E8889" i="1"/>
  <c r="E8890" i="1"/>
  <c r="E8891" i="1"/>
  <c r="E8893" i="1"/>
  <c r="E8894" i="1"/>
  <c r="E8895" i="1"/>
  <c r="E8896" i="1"/>
  <c r="E8897" i="1"/>
  <c r="E8898" i="1"/>
  <c r="E8899" i="1"/>
  <c r="E8900" i="1"/>
  <c r="E8901" i="1"/>
  <c r="E8903" i="1"/>
  <c r="E8904" i="1"/>
  <c r="E8905" i="1"/>
  <c r="E8906" i="1"/>
  <c r="E8907" i="1"/>
  <c r="E8908" i="1"/>
  <c r="E8909" i="1"/>
  <c r="E8910" i="1"/>
  <c r="E8912" i="1"/>
  <c r="E8913" i="1"/>
  <c r="E8914" i="1"/>
  <c r="E8917" i="1"/>
  <c r="E8918" i="1"/>
  <c r="E8919" i="1"/>
  <c r="E8920" i="1"/>
  <c r="E8921" i="1"/>
  <c r="E8922" i="1"/>
  <c r="E8924" i="1"/>
  <c r="E8925" i="1"/>
  <c r="E8926" i="1"/>
  <c r="E8927" i="1"/>
  <c r="E8928" i="1"/>
  <c r="E8929" i="1"/>
  <c r="E8930" i="1"/>
  <c r="E8932" i="1"/>
  <c r="E8935" i="1"/>
  <c r="E8936" i="1"/>
  <c r="E8937" i="1"/>
  <c r="E8938" i="1"/>
  <c r="E8939" i="1"/>
  <c r="E8940" i="1"/>
  <c r="E8941" i="1"/>
  <c r="E8942" i="1"/>
  <c r="E8943" i="1"/>
  <c r="E8944" i="1"/>
  <c r="E8945" i="1"/>
  <c r="E8946" i="1"/>
  <c r="E8947" i="1"/>
  <c r="E8948" i="1"/>
  <c r="E8949" i="1"/>
  <c r="E8950" i="1"/>
  <c r="E8951" i="1"/>
  <c r="E8952" i="1"/>
  <c r="E8953" i="1"/>
  <c r="E8954" i="1"/>
  <c r="E8955" i="1"/>
  <c r="E8956" i="1"/>
  <c r="E8957" i="1"/>
  <c r="E8958" i="1"/>
  <c r="E8959" i="1"/>
  <c r="E8960" i="1"/>
  <c r="E8961" i="1"/>
  <c r="E8962" i="1"/>
  <c r="E8964" i="1"/>
  <c r="E8965" i="1"/>
  <c r="E8966" i="1"/>
  <c r="E8967" i="1"/>
  <c r="E8968" i="1"/>
  <c r="E8969" i="1"/>
  <c r="E8970" i="1"/>
  <c r="E8971" i="1"/>
  <c r="E8972" i="1"/>
  <c r="E8973" i="1"/>
  <c r="E8974" i="1"/>
  <c r="E8975" i="1"/>
  <c r="E8976" i="1"/>
  <c r="E8977" i="1"/>
  <c r="E8978" i="1"/>
  <c r="E8979" i="1"/>
  <c r="E8980" i="1"/>
  <c r="E8981" i="1"/>
  <c r="E8982" i="1"/>
  <c r="E8983" i="1"/>
  <c r="E8984" i="1"/>
  <c r="E8985" i="1"/>
  <c r="E8986" i="1"/>
  <c r="E8987" i="1"/>
  <c r="E8988" i="1"/>
  <c r="E8993" i="1"/>
  <c r="E8994" i="1"/>
  <c r="E8996" i="1"/>
  <c r="E8997" i="1"/>
  <c r="E9000" i="1"/>
  <c r="E9003" i="1"/>
  <c r="E9004" i="1"/>
  <c r="E9005" i="1"/>
  <c r="E9006" i="1"/>
  <c r="E9007" i="1"/>
  <c r="E9008" i="1"/>
  <c r="E9009" i="1"/>
  <c r="E9010" i="1"/>
  <c r="E9011" i="1"/>
  <c r="E9013" i="1"/>
  <c r="E9014" i="1"/>
  <c r="E9015" i="1"/>
  <c r="E9016" i="1"/>
  <c r="E9017" i="1"/>
  <c r="E9019" i="1"/>
  <c r="E9020" i="1"/>
  <c r="E9021" i="1"/>
  <c r="E9022" i="1"/>
  <c r="E9023" i="1"/>
  <c r="E9024" i="1"/>
  <c r="E9026" i="1"/>
  <c r="E9027" i="1"/>
  <c r="E9030" i="1"/>
  <c r="E9031" i="1"/>
  <c r="E9032" i="1"/>
  <c r="E9033" i="1"/>
  <c r="E9034" i="1"/>
  <c r="E9035" i="1"/>
  <c r="E9036" i="1"/>
  <c r="E9038" i="1"/>
  <c r="E9039" i="1"/>
  <c r="E9043" i="1"/>
  <c r="E9044" i="1"/>
  <c r="E9045" i="1"/>
  <c r="E9046" i="1"/>
  <c r="E9047" i="1"/>
  <c r="E9048" i="1"/>
  <c r="E9049" i="1"/>
  <c r="E9050" i="1"/>
  <c r="E9051" i="1"/>
  <c r="E9052" i="1"/>
  <c r="E9053" i="1"/>
  <c r="E9054" i="1"/>
  <c r="E9055" i="1"/>
  <c r="E9056" i="1"/>
  <c r="E9057" i="1"/>
  <c r="E9058" i="1"/>
  <c r="E9061" i="1"/>
  <c r="E9062" i="1"/>
  <c r="E9063" i="1"/>
  <c r="E9064" i="1"/>
  <c r="E9065" i="1"/>
  <c r="E9066" i="1"/>
  <c r="E9067" i="1"/>
  <c r="E9068" i="1"/>
  <c r="E9069" i="1"/>
  <c r="E9071" i="1"/>
  <c r="E9074" i="1"/>
  <c r="E9075" i="1"/>
  <c r="E9076" i="1"/>
  <c r="E9077" i="1"/>
  <c r="E9078" i="1"/>
  <c r="E9079" i="1"/>
  <c r="E9080" i="1"/>
  <c r="E9081" i="1"/>
  <c r="E9082" i="1"/>
  <c r="E9083" i="1"/>
  <c r="E9084" i="1"/>
  <c r="E9085" i="1"/>
  <c r="E9086" i="1"/>
  <c r="E9087" i="1"/>
  <c r="E9088" i="1"/>
  <c r="E9089" i="1"/>
  <c r="E9090" i="1"/>
  <c r="E9091" i="1"/>
  <c r="E9093" i="1"/>
  <c r="E9094" i="1"/>
  <c r="E9095" i="1"/>
  <c r="E9096" i="1"/>
  <c r="E9097" i="1"/>
  <c r="E9098" i="1"/>
  <c r="E9100" i="1"/>
  <c r="E9101" i="1"/>
  <c r="E9102" i="1"/>
  <c r="E9103" i="1"/>
  <c r="E9106" i="1"/>
  <c r="E9107" i="1"/>
  <c r="E9109" i="1"/>
  <c r="E9113" i="1"/>
  <c r="E9114" i="1"/>
  <c r="E9115" i="1"/>
  <c r="E9116" i="1"/>
  <c r="E9117" i="1"/>
  <c r="E9119" i="1"/>
  <c r="E9120" i="1"/>
  <c r="E9121" i="1"/>
  <c r="E9123" i="1"/>
  <c r="E9124" i="1"/>
  <c r="E9125" i="1"/>
  <c r="E9126" i="1"/>
  <c r="E9127" i="1"/>
  <c r="E9128" i="1"/>
  <c r="E9130" i="1"/>
  <c r="E9131" i="1"/>
  <c r="E9132" i="1"/>
  <c r="E9133" i="1"/>
  <c r="E9134" i="1"/>
  <c r="E9135" i="1"/>
  <c r="E9136" i="1"/>
  <c r="E9137" i="1"/>
  <c r="E9138" i="1"/>
  <c r="E9139" i="1"/>
  <c r="E9140" i="1"/>
  <c r="E9141" i="1"/>
  <c r="E9142" i="1"/>
  <c r="E9143" i="1"/>
  <c r="E9144" i="1"/>
  <c r="E9145" i="1"/>
  <c r="E9146" i="1"/>
  <c r="E9147" i="1"/>
  <c r="E9148" i="1"/>
  <c r="E9150" i="1"/>
  <c r="E9151" i="1"/>
  <c r="E9152" i="1"/>
  <c r="E9154" i="1"/>
  <c r="E9155" i="1"/>
  <c r="E9156" i="1"/>
  <c r="E9157" i="1"/>
  <c r="E9160" i="1"/>
  <c r="E9161" i="1"/>
  <c r="E9162" i="1"/>
  <c r="E9163" i="1"/>
  <c r="E9164" i="1"/>
  <c r="E9165" i="1"/>
  <c r="E9166" i="1"/>
  <c r="E9167" i="1"/>
  <c r="E9168" i="1"/>
  <c r="E9169" i="1"/>
  <c r="E9170" i="1"/>
  <c r="E9171" i="1"/>
  <c r="E9172" i="1"/>
  <c r="E9173" i="1"/>
  <c r="E9174" i="1"/>
  <c r="E9175" i="1"/>
  <c r="E9176" i="1"/>
  <c r="E9177" i="1"/>
  <c r="E9178" i="1"/>
  <c r="E9179" i="1"/>
  <c r="E9180" i="1"/>
  <c r="E9181" i="1"/>
  <c r="E9182" i="1"/>
  <c r="E9183" i="1"/>
  <c r="E9184" i="1"/>
  <c r="E9185" i="1"/>
  <c r="E9186" i="1"/>
  <c r="E9187" i="1"/>
  <c r="E9188" i="1"/>
  <c r="E9189" i="1"/>
  <c r="E9191" i="1"/>
  <c r="E9192" i="1"/>
  <c r="E9193" i="1"/>
  <c r="E9195" i="1"/>
  <c r="E9196" i="1"/>
  <c r="E9197" i="1"/>
  <c r="E9198" i="1"/>
  <c r="E9199" i="1"/>
  <c r="E9200" i="1"/>
  <c r="E9201" i="1"/>
  <c r="E9202" i="1"/>
  <c r="E9203" i="1"/>
  <c r="E9204" i="1"/>
  <c r="E9205" i="1"/>
  <c r="E9206" i="1"/>
  <c r="E9207" i="1"/>
  <c r="E9208" i="1"/>
  <c r="E9209" i="1"/>
  <c r="E9210" i="1"/>
  <c r="E9211" i="1"/>
  <c r="E9214" i="1"/>
  <c r="E9215" i="1"/>
  <c r="E9216" i="1"/>
  <c r="E9217" i="1"/>
  <c r="E9218" i="1"/>
  <c r="E9219" i="1"/>
  <c r="E9221" i="1"/>
  <c r="E9222" i="1"/>
  <c r="E9223" i="1"/>
  <c r="E9224" i="1"/>
  <c r="E9225" i="1"/>
  <c r="E9226" i="1"/>
  <c r="E9227" i="1"/>
  <c r="E9228" i="1"/>
  <c r="E9229" i="1"/>
  <c r="E9230" i="1"/>
  <c r="E9232" i="1"/>
  <c r="E9233" i="1"/>
  <c r="E9234" i="1"/>
  <c r="E9235" i="1"/>
  <c r="E9237" i="1"/>
  <c r="E9240" i="1"/>
  <c r="E9241" i="1"/>
  <c r="E9242" i="1"/>
  <c r="E9243" i="1"/>
  <c r="E9244" i="1"/>
  <c r="E9245" i="1"/>
  <c r="E9246" i="1"/>
  <c r="E9247" i="1"/>
  <c r="E9248" i="1"/>
  <c r="E9249" i="1"/>
  <c r="E9250" i="1"/>
  <c r="E9251" i="1"/>
  <c r="E9252" i="1"/>
  <c r="E9253" i="1"/>
  <c r="E9254" i="1"/>
  <c r="E9255" i="1"/>
  <c r="E9256" i="1"/>
  <c r="E9257" i="1"/>
  <c r="E9258" i="1"/>
  <c r="E9259" i="1"/>
  <c r="E9261" i="1"/>
  <c r="E9262" i="1"/>
  <c r="E9263" i="1"/>
  <c r="E9264" i="1"/>
  <c r="E9266" i="1"/>
  <c r="E9267" i="1"/>
  <c r="E9268" i="1"/>
  <c r="E9269" i="1"/>
  <c r="E9270" i="1"/>
  <c r="E9271" i="1"/>
  <c r="E9272" i="1"/>
  <c r="E9273" i="1"/>
  <c r="E9274" i="1"/>
  <c r="E9275" i="1"/>
  <c r="E9276" i="1"/>
  <c r="E9277" i="1"/>
  <c r="E9281" i="1"/>
  <c r="E9282" i="1"/>
  <c r="E9283" i="1"/>
  <c r="E9286" i="1"/>
  <c r="E9287" i="1"/>
  <c r="E9288" i="1"/>
  <c r="E9289" i="1"/>
  <c r="E9290" i="1"/>
  <c r="E9291" i="1"/>
  <c r="E9292" i="1"/>
  <c r="E9293" i="1"/>
  <c r="E9294" i="1"/>
  <c r="E9295" i="1"/>
  <c r="E9296" i="1"/>
  <c r="E9297" i="1"/>
  <c r="E9298" i="1"/>
  <c r="E9299" i="1"/>
  <c r="E9300" i="1"/>
  <c r="E9301" i="1"/>
  <c r="E9305" i="1"/>
  <c r="E9306" i="1"/>
  <c r="E9307" i="1"/>
  <c r="E9308" i="1"/>
  <c r="E9309" i="1"/>
  <c r="E9310" i="1"/>
  <c r="E9311" i="1"/>
  <c r="E9312" i="1"/>
  <c r="E9313" i="1"/>
  <c r="E9314" i="1"/>
  <c r="E9315" i="1"/>
  <c r="E9316" i="1"/>
  <c r="E9317" i="1"/>
  <c r="E9318" i="1"/>
  <c r="E9319" i="1"/>
  <c r="E9320" i="1"/>
  <c r="E9321" i="1"/>
  <c r="E9322" i="1"/>
  <c r="E9323" i="1"/>
  <c r="E9324" i="1"/>
  <c r="E9326" i="1"/>
  <c r="E9327" i="1"/>
  <c r="E9328" i="1"/>
  <c r="E9329" i="1"/>
  <c r="E9330" i="1"/>
  <c r="E9331" i="1"/>
  <c r="E9332" i="1"/>
  <c r="E9333" i="1"/>
  <c r="E9334" i="1"/>
  <c r="E9335" i="1"/>
  <c r="E9336" i="1"/>
  <c r="E9337" i="1"/>
  <c r="E9338" i="1"/>
  <c r="E9339" i="1"/>
  <c r="E9340" i="1"/>
  <c r="E9341" i="1"/>
  <c r="E9342" i="1"/>
  <c r="E9343" i="1"/>
  <c r="E9344" i="1"/>
  <c r="E9345" i="1"/>
  <c r="E9346" i="1"/>
  <c r="E9347" i="1"/>
  <c r="E9348" i="1"/>
  <c r="E9349" i="1"/>
  <c r="E9351" i="1"/>
  <c r="E9352" i="1"/>
  <c r="E9353" i="1"/>
  <c r="E9354" i="1"/>
  <c r="E9355" i="1"/>
  <c r="E9356" i="1"/>
  <c r="E9357" i="1"/>
  <c r="E9358" i="1"/>
  <c r="E9359" i="1"/>
  <c r="E9360" i="1"/>
  <c r="E9361" i="1"/>
  <c r="E9362" i="1"/>
  <c r="E9363" i="1"/>
  <c r="E9364" i="1"/>
  <c r="E9365" i="1"/>
  <c r="E9366" i="1"/>
  <c r="E9367" i="1"/>
  <c r="E9368" i="1"/>
  <c r="E9370" i="1"/>
  <c r="E9371" i="1"/>
  <c r="E9372" i="1"/>
  <c r="E9373" i="1"/>
  <c r="E9374" i="1"/>
  <c r="E9375" i="1"/>
  <c r="E9376" i="1"/>
  <c r="E9377" i="1"/>
  <c r="E9379" i="1"/>
  <c r="E9380" i="1"/>
  <c r="E9381" i="1"/>
  <c r="E9382" i="1"/>
  <c r="E9383" i="1"/>
  <c r="E9384" i="1"/>
  <c r="E9385" i="1"/>
  <c r="E9386" i="1"/>
  <c r="E9389" i="1"/>
  <c r="E9390" i="1"/>
  <c r="E9392" i="1"/>
  <c r="E9393" i="1"/>
  <c r="E9396" i="1"/>
  <c r="E9397" i="1"/>
  <c r="E9398" i="1"/>
  <c r="E9399" i="1"/>
  <c r="E9400" i="1"/>
  <c r="E9402" i="1"/>
  <c r="E9403" i="1"/>
  <c r="E9404" i="1"/>
  <c r="E9405" i="1"/>
  <c r="E9406" i="1"/>
  <c r="E9408" i="1"/>
  <c r="E9409" i="1"/>
  <c r="E9411" i="1"/>
  <c r="E9412" i="1"/>
  <c r="E9413" i="1"/>
  <c r="E9414" i="1"/>
  <c r="E9415" i="1"/>
  <c r="E9416" i="1"/>
  <c r="E9417" i="1"/>
  <c r="E9418" i="1"/>
  <c r="E9419" i="1"/>
  <c r="E9420" i="1"/>
  <c r="E9421" i="1"/>
  <c r="E9422" i="1"/>
  <c r="E9423" i="1"/>
  <c r="E9424" i="1"/>
  <c r="E9425" i="1"/>
  <c r="E9426" i="1"/>
  <c r="E9427" i="1"/>
  <c r="E9428" i="1"/>
  <c r="E9429" i="1"/>
  <c r="E9430" i="1"/>
  <c r="E9431" i="1"/>
  <c r="E9432" i="1"/>
  <c r="E9435" i="1"/>
  <c r="E9436" i="1"/>
  <c r="E9437" i="1"/>
  <c r="E9438" i="1"/>
  <c r="E9439" i="1"/>
  <c r="E9440" i="1"/>
  <c r="E9441" i="1"/>
  <c r="E9442" i="1"/>
  <c r="E9443" i="1"/>
  <c r="E9444" i="1"/>
  <c r="E9446" i="1"/>
  <c r="E9447" i="1"/>
  <c r="E9448" i="1"/>
  <c r="E9450" i="1"/>
  <c r="E9453" i="1"/>
  <c r="E9454" i="1"/>
  <c r="E9455" i="1"/>
  <c r="E9456" i="1"/>
  <c r="E9457" i="1"/>
  <c r="E9458" i="1"/>
  <c r="E9462" i="1"/>
  <c r="E9463" i="1"/>
  <c r="E9464" i="1"/>
  <c r="E9465" i="1"/>
  <c r="E9466" i="1"/>
  <c r="E9467" i="1"/>
  <c r="E9468" i="1"/>
  <c r="E9469" i="1"/>
  <c r="E9470" i="1"/>
  <c r="E9477" i="1"/>
  <c r="E9478" i="1"/>
  <c r="E9479" i="1"/>
  <c r="E9480" i="1"/>
  <c r="E9481" i="1"/>
  <c r="E9482" i="1"/>
  <c r="E9483" i="1"/>
  <c r="E9484" i="1"/>
  <c r="E9486" i="1"/>
  <c r="E9487" i="1"/>
  <c r="E9488" i="1"/>
  <c r="E9489" i="1"/>
  <c r="E9490" i="1"/>
  <c r="E9492" i="1"/>
  <c r="E9493" i="1"/>
  <c r="E9494" i="1"/>
  <c r="E9495" i="1"/>
  <c r="E9496" i="1"/>
  <c r="E9497" i="1"/>
  <c r="E9498" i="1"/>
  <c r="E9499" i="1"/>
  <c r="E9500" i="1"/>
  <c r="E9501" i="1"/>
  <c r="E9502" i="1"/>
  <c r="E9503" i="1"/>
  <c r="E9504" i="1"/>
  <c r="E9505" i="1"/>
  <c r="E9506" i="1"/>
  <c r="E9507" i="1"/>
  <c r="E9508" i="1"/>
  <c r="E9509" i="1"/>
  <c r="E9510" i="1"/>
  <c r="E9511" i="1"/>
  <c r="E9512" i="1"/>
  <c r="E9513" i="1"/>
  <c r="E9514" i="1"/>
  <c r="E9515" i="1"/>
  <c r="E9516" i="1"/>
  <c r="E9517" i="1"/>
  <c r="E9518" i="1"/>
  <c r="E9519" i="1"/>
  <c r="E9520" i="1"/>
  <c r="E9521" i="1"/>
  <c r="E9522" i="1"/>
  <c r="E9523" i="1"/>
  <c r="E9524" i="1"/>
  <c r="E9525" i="1"/>
  <c r="E9526" i="1"/>
  <c r="E9527" i="1"/>
  <c r="E9528" i="1"/>
  <c r="E9529" i="1"/>
  <c r="E9530" i="1"/>
  <c r="E9531" i="1"/>
  <c r="E9532" i="1"/>
  <c r="E9533" i="1"/>
  <c r="E9534" i="1"/>
  <c r="E9535" i="1"/>
  <c r="E9536" i="1"/>
  <c r="E9537" i="1"/>
  <c r="E9538" i="1"/>
  <c r="E9539" i="1"/>
  <c r="E9540" i="1"/>
  <c r="E9541" i="1"/>
  <c r="E9542" i="1"/>
  <c r="E9543" i="1"/>
  <c r="E9545" i="1"/>
  <c r="E9546" i="1"/>
  <c r="E9547" i="1"/>
  <c r="E9548" i="1"/>
  <c r="E9549" i="1"/>
  <c r="E9550" i="1"/>
  <c r="E9551" i="1"/>
  <c r="E9552" i="1"/>
  <c r="E9553" i="1"/>
  <c r="E9554" i="1"/>
  <c r="E9555" i="1"/>
  <c r="E9556" i="1"/>
  <c r="E9557" i="1"/>
  <c r="E9558" i="1"/>
  <c r="E9559" i="1"/>
  <c r="E9560" i="1"/>
  <c r="E9561" i="1"/>
  <c r="E9562" i="1"/>
  <c r="E9563" i="1"/>
  <c r="E9564" i="1"/>
  <c r="E9565" i="1"/>
  <c r="E9566" i="1"/>
  <c r="E9567" i="1"/>
  <c r="E9568" i="1"/>
  <c r="E9569" i="1"/>
  <c r="E9570" i="1"/>
  <c r="E9571" i="1"/>
  <c r="E9572" i="1"/>
  <c r="E9573" i="1"/>
  <c r="E9574" i="1"/>
  <c r="E9575" i="1"/>
  <c r="E9576" i="1"/>
  <c r="E9577" i="1"/>
  <c r="E9579" i="1"/>
  <c r="E9580" i="1"/>
  <c r="E9582" i="1"/>
  <c r="E9583" i="1"/>
  <c r="E9584" i="1"/>
  <c r="E9585" i="1"/>
  <c r="E9586" i="1"/>
  <c r="E9587" i="1"/>
  <c r="E9589" i="1"/>
  <c r="E9590" i="1"/>
  <c r="E9593" i="1"/>
  <c r="E9595" i="1"/>
  <c r="E9599" i="1"/>
  <c r="E9600" i="1"/>
  <c r="E9602" i="1"/>
  <c r="E9603" i="1"/>
  <c r="E9605" i="1"/>
  <c r="E9606" i="1"/>
  <c r="E9609" i="1"/>
  <c r="E9610" i="1"/>
  <c r="E9612" i="1"/>
  <c r="E9613" i="1"/>
  <c r="E9614" i="1"/>
  <c r="E9615" i="1"/>
  <c r="E9616" i="1"/>
  <c r="E9617" i="1"/>
  <c r="E9618" i="1"/>
  <c r="E9619" i="1"/>
  <c r="E9620" i="1"/>
  <c r="E9621" i="1"/>
  <c r="E9623" i="1"/>
  <c r="E9624" i="1"/>
  <c r="E9625" i="1"/>
  <c r="E9626" i="1"/>
  <c r="E9627" i="1"/>
  <c r="E9628" i="1"/>
  <c r="E9629" i="1"/>
  <c r="E9630" i="1"/>
  <c r="E9631" i="1"/>
  <c r="E9632" i="1"/>
  <c r="E9633" i="1"/>
  <c r="E9634" i="1"/>
  <c r="E9635" i="1"/>
  <c r="E9636" i="1"/>
  <c r="E9637" i="1"/>
  <c r="E9638" i="1"/>
  <c r="E9639" i="1"/>
  <c r="E9640" i="1"/>
  <c r="E9641" i="1"/>
  <c r="E9642" i="1"/>
  <c r="E9643" i="1"/>
  <c r="E9644" i="1"/>
  <c r="E9645" i="1"/>
  <c r="E9646" i="1"/>
  <c r="E9647" i="1"/>
  <c r="E9648" i="1"/>
  <c r="E9649" i="1"/>
  <c r="E9650" i="1"/>
  <c r="E9651" i="1"/>
  <c r="E9652" i="1"/>
  <c r="E9653" i="1"/>
  <c r="E9655" i="1"/>
  <c r="E9658" i="1"/>
  <c r="E9659" i="1"/>
  <c r="E9660" i="1"/>
  <c r="E9661" i="1"/>
  <c r="E9662" i="1"/>
  <c r="E9664" i="1"/>
  <c r="E9665" i="1"/>
  <c r="E9666" i="1"/>
  <c r="E9667" i="1"/>
  <c r="E9668" i="1"/>
  <c r="E9669" i="1"/>
  <c r="E9670" i="1"/>
  <c r="E9673" i="1"/>
  <c r="E9675" i="1"/>
  <c r="E9678" i="1"/>
  <c r="E9679" i="1"/>
  <c r="E9680" i="1"/>
  <c r="E9681" i="1"/>
  <c r="E9682" i="1"/>
  <c r="E9683" i="1"/>
  <c r="E9684" i="1"/>
  <c r="E9685" i="1"/>
  <c r="E9687" i="1"/>
  <c r="E9688" i="1"/>
  <c r="E9689" i="1"/>
  <c r="E9690" i="1"/>
  <c r="E9691" i="1"/>
  <c r="E9692" i="1"/>
  <c r="E9693" i="1"/>
  <c r="E9694" i="1"/>
  <c r="E9695" i="1"/>
  <c r="E9697" i="1"/>
  <c r="E9698" i="1"/>
  <c r="E9699" i="1"/>
  <c r="E9700" i="1"/>
  <c r="E9701" i="1"/>
  <c r="E9702" i="1"/>
  <c r="E9703" i="1"/>
  <c r="E9704" i="1"/>
  <c r="E9705" i="1"/>
  <c r="E9706" i="1"/>
  <c r="E9707" i="1"/>
  <c r="E9708" i="1"/>
  <c r="E9710" i="1"/>
  <c r="E9711" i="1"/>
  <c r="E9712" i="1"/>
  <c r="E9713" i="1"/>
  <c r="E9714" i="1"/>
  <c r="E9715" i="1"/>
  <c r="E9716" i="1"/>
  <c r="E9717" i="1"/>
  <c r="E9718" i="1"/>
  <c r="E9719" i="1"/>
  <c r="E9720" i="1"/>
  <c r="E9721" i="1"/>
  <c r="E9723" i="1"/>
  <c r="E9724" i="1"/>
  <c r="E9725" i="1"/>
  <c r="E9726" i="1"/>
  <c r="E9727" i="1"/>
  <c r="E9728" i="1"/>
  <c r="E9733" i="1"/>
  <c r="E9734" i="1"/>
  <c r="E9735" i="1"/>
  <c r="E9736" i="1"/>
  <c r="E9737" i="1"/>
  <c r="E9738" i="1"/>
  <c r="E9739" i="1"/>
  <c r="E9740" i="1"/>
  <c r="E9741" i="1"/>
  <c r="E9742" i="1"/>
  <c r="E9743" i="1"/>
  <c r="E9744" i="1"/>
  <c r="E9745" i="1"/>
  <c r="E9746" i="1"/>
  <c r="E9747" i="1"/>
  <c r="E9748" i="1"/>
  <c r="E9749" i="1"/>
  <c r="E9750" i="1"/>
  <c r="E9751" i="1"/>
  <c r="E9753" i="1"/>
  <c r="E9754" i="1"/>
  <c r="E9755" i="1"/>
  <c r="E9756" i="1"/>
  <c r="E9757" i="1"/>
  <c r="E9758" i="1"/>
  <c r="E9759" i="1"/>
  <c r="E9760" i="1"/>
  <c r="E9761" i="1"/>
  <c r="E9762" i="1"/>
  <c r="E9763" i="1"/>
  <c r="E9764" i="1"/>
  <c r="E9765" i="1"/>
  <c r="E9766" i="1"/>
  <c r="E9767" i="1"/>
  <c r="E9768" i="1"/>
  <c r="E9770" i="1"/>
  <c r="E9771" i="1"/>
  <c r="E9772" i="1"/>
  <c r="E9773" i="1"/>
  <c r="E9774" i="1"/>
  <c r="E9775" i="1"/>
  <c r="E9776" i="1"/>
  <c r="E9793" i="1"/>
  <c r="E9794" i="1"/>
  <c r="E9795" i="1"/>
  <c r="E9796" i="1"/>
  <c r="E9797" i="1"/>
  <c r="E9798" i="1"/>
  <c r="E9799" i="1"/>
  <c r="E9800" i="1"/>
  <c r="E9801" i="1"/>
  <c r="E9803" i="1"/>
  <c r="E9804" i="1"/>
  <c r="E9805" i="1"/>
  <c r="E9806" i="1"/>
  <c r="E9807" i="1"/>
  <c r="E9808" i="1"/>
  <c r="E9809" i="1"/>
  <c r="E9810" i="1"/>
  <c r="E9811" i="1"/>
  <c r="E9812" i="1"/>
  <c r="E9813" i="1"/>
  <c r="E9814" i="1"/>
  <c r="E9816" i="1"/>
  <c r="E9817" i="1"/>
  <c r="E9820" i="1"/>
  <c r="E9821" i="1"/>
  <c r="E9822" i="1"/>
  <c r="E9823" i="1"/>
  <c r="E9824" i="1"/>
  <c r="E9825" i="1"/>
  <c r="E9826" i="1"/>
  <c r="E9827" i="1"/>
  <c r="E9828" i="1"/>
  <c r="E9829" i="1"/>
  <c r="E9830" i="1"/>
  <c r="E9831" i="1"/>
  <c r="E9832" i="1"/>
  <c r="E9833" i="1"/>
  <c r="E9834" i="1"/>
  <c r="E9836" i="1"/>
  <c r="E9837" i="1"/>
  <c r="E9838" i="1"/>
  <c r="E9839" i="1"/>
  <c r="E9840" i="1"/>
  <c r="E9841" i="1"/>
  <c r="E9842" i="1"/>
  <c r="E9843" i="1"/>
  <c r="E9844" i="1"/>
  <c r="E9845" i="1"/>
  <c r="E9846" i="1"/>
  <c r="E9847" i="1"/>
  <c r="E9848" i="1"/>
  <c r="E9849" i="1"/>
  <c r="E9850" i="1"/>
  <c r="E9852" i="1"/>
  <c r="E9853" i="1"/>
  <c r="E9854" i="1"/>
  <c r="E9855" i="1"/>
  <c r="E9856" i="1"/>
  <c r="E9857" i="1"/>
  <c r="E9859" i="1"/>
  <c r="E9860" i="1"/>
  <c r="E9861" i="1"/>
  <c r="E9862" i="1"/>
  <c r="E9864" i="1"/>
  <c r="E9865" i="1"/>
  <c r="E9866" i="1"/>
  <c r="E9867" i="1"/>
  <c r="E9868" i="1"/>
  <c r="E9870" i="1"/>
  <c r="E9871" i="1"/>
  <c r="E9875" i="1"/>
  <c r="E9876" i="1"/>
  <c r="E9877" i="1"/>
  <c r="E9878" i="1"/>
  <c r="E9879" i="1"/>
  <c r="E9881" i="1"/>
  <c r="E9883" i="1"/>
  <c r="E9885" i="1"/>
  <c r="E9886" i="1"/>
  <c r="E9887" i="1"/>
  <c r="E9888" i="1"/>
  <c r="E9889" i="1"/>
  <c r="E9890" i="1"/>
  <c r="E9891" i="1"/>
  <c r="E9892" i="1"/>
  <c r="E9893" i="1"/>
  <c r="E9895" i="1"/>
  <c r="E9896" i="1"/>
  <c r="E9899" i="1"/>
  <c r="E9902" i="1"/>
  <c r="E9904" i="1"/>
  <c r="E9906" i="1"/>
  <c r="E9907" i="1"/>
  <c r="E9908" i="1"/>
  <c r="E9909" i="1"/>
  <c r="E9910" i="1"/>
  <c r="E9911" i="1"/>
  <c r="E9912" i="1"/>
  <c r="E9913" i="1"/>
  <c r="E9915" i="1"/>
  <c r="E9916" i="1"/>
  <c r="E9917" i="1"/>
  <c r="E9918" i="1"/>
  <c r="E9919" i="1"/>
  <c r="E9920" i="1"/>
  <c r="E9921" i="1"/>
  <c r="E9922" i="1"/>
  <c r="E9923" i="1"/>
  <c r="E9924" i="1"/>
  <c r="E9926" i="1"/>
  <c r="E9927" i="1"/>
  <c r="E9928" i="1"/>
  <c r="E9929" i="1"/>
  <c r="E9930" i="1"/>
  <c r="E9931" i="1"/>
  <c r="E9932" i="1"/>
  <c r="E9933" i="1"/>
  <c r="E9934" i="1"/>
  <c r="E9935" i="1"/>
  <c r="E9938" i="1"/>
  <c r="E9939" i="1"/>
  <c r="E9940" i="1"/>
  <c r="E9941" i="1"/>
  <c r="E9942" i="1"/>
  <c r="E9943" i="1"/>
  <c r="E9944" i="1"/>
  <c r="E9945" i="1"/>
  <c r="E9946" i="1"/>
  <c r="E9947" i="1"/>
  <c r="E9948" i="1"/>
  <c r="E9949" i="1"/>
  <c r="E9950" i="1"/>
  <c r="E9951" i="1"/>
  <c r="E9952" i="1"/>
  <c r="E9953" i="1"/>
  <c r="E9954" i="1"/>
  <c r="E9955" i="1"/>
  <c r="E9956" i="1"/>
  <c r="E9957" i="1"/>
  <c r="E9958" i="1"/>
  <c r="E9959" i="1"/>
  <c r="E9960" i="1"/>
  <c r="E9961" i="1"/>
  <c r="E9962" i="1"/>
  <c r="E9963" i="1"/>
  <c r="E9964" i="1"/>
  <c r="E9965" i="1"/>
  <c r="E9966" i="1"/>
  <c r="E9967" i="1"/>
  <c r="E9968" i="1"/>
  <c r="E9969" i="1"/>
  <c r="E9970" i="1"/>
  <c r="E9971" i="1"/>
  <c r="E9972" i="1"/>
  <c r="E9973" i="1"/>
  <c r="E9974" i="1"/>
  <c r="E9975" i="1"/>
  <c r="E9976" i="1"/>
  <c r="E9977" i="1"/>
  <c r="E9978" i="1"/>
  <c r="E9979" i="1"/>
  <c r="E9980" i="1"/>
  <c r="E9981" i="1"/>
  <c r="E9982" i="1"/>
  <c r="E9983" i="1"/>
  <c r="E9984" i="1"/>
  <c r="E9985" i="1"/>
  <c r="E9986" i="1"/>
  <c r="E9987" i="1"/>
  <c r="E9989" i="1"/>
  <c r="E9990" i="1"/>
  <c r="E9991" i="1"/>
  <c r="E9992" i="1"/>
  <c r="E9993" i="1"/>
  <c r="E9994" i="1"/>
  <c r="E9995" i="1"/>
  <c r="E9996" i="1"/>
  <c r="E9997" i="1"/>
  <c r="E9998" i="1"/>
  <c r="E9999" i="1"/>
  <c r="E10000" i="1"/>
  <c r="E10001" i="1"/>
  <c r="E10002" i="1"/>
  <c r="E10003" i="1"/>
  <c r="E10004" i="1"/>
  <c r="E10005" i="1"/>
  <c r="E10006" i="1"/>
  <c r="E10007" i="1"/>
  <c r="E10008" i="1"/>
  <c r="E10009" i="1"/>
  <c r="E10010" i="1"/>
  <c r="E10013" i="1"/>
  <c r="E10014" i="1"/>
  <c r="E10015" i="1"/>
  <c r="E10016" i="1"/>
  <c r="E10017" i="1"/>
  <c r="E10018" i="1"/>
  <c r="E10019" i="1"/>
  <c r="E10020" i="1"/>
  <c r="E10022" i="1"/>
  <c r="E10023" i="1"/>
  <c r="E10024" i="1"/>
  <c r="E10025" i="1"/>
  <c r="E10026" i="1"/>
  <c r="E10027" i="1"/>
  <c r="E10028" i="1"/>
  <c r="E10029" i="1"/>
  <c r="E10030" i="1"/>
  <c r="E10031" i="1"/>
  <c r="E10032" i="1"/>
  <c r="E10033" i="1"/>
  <c r="E10034" i="1"/>
  <c r="E10035" i="1"/>
  <c r="E10039" i="1"/>
  <c r="E10040" i="1"/>
  <c r="E10041" i="1"/>
  <c r="E10042" i="1"/>
  <c r="E10043" i="1"/>
  <c r="E10045" i="1"/>
  <c r="E10046" i="1"/>
  <c r="E10048" i="1"/>
  <c r="E10050" i="1"/>
  <c r="E10051" i="1"/>
  <c r="E10052" i="1"/>
  <c r="E10054" i="1"/>
  <c r="E10055" i="1"/>
  <c r="E10057" i="1"/>
  <c r="E10058" i="1"/>
  <c r="E10059" i="1"/>
  <c r="E10060" i="1"/>
  <c r="E10061" i="1"/>
  <c r="E10062" i="1"/>
  <c r="E10064" i="1"/>
  <c r="E10066" i="1"/>
  <c r="E10067" i="1"/>
  <c r="E10068" i="1"/>
  <c r="E10069" i="1"/>
  <c r="E10070" i="1"/>
  <c r="E10071" i="1"/>
  <c r="E10072" i="1"/>
  <c r="E10073" i="1"/>
  <c r="E10074" i="1"/>
  <c r="E10075" i="1"/>
  <c r="E10076" i="1"/>
  <c r="E10077" i="1"/>
  <c r="E10078" i="1"/>
  <c r="E10079" i="1"/>
  <c r="E10080" i="1"/>
  <c r="E10081" i="1"/>
  <c r="E10083" i="1"/>
  <c r="E10084" i="1"/>
  <c r="E10085" i="1"/>
  <c r="E10086" i="1"/>
  <c r="E10088" i="1"/>
  <c r="E10089" i="1"/>
  <c r="E10092" i="1"/>
  <c r="E10093" i="1"/>
  <c r="E10094" i="1"/>
  <c r="E10095" i="1"/>
  <c r="E10096" i="1"/>
  <c r="E10098" i="1"/>
  <c r="E10099" i="1"/>
  <c r="E10102" i="1"/>
  <c r="E10103" i="1"/>
  <c r="E10106" i="1"/>
  <c r="E10107" i="1"/>
  <c r="E10110" i="1"/>
  <c r="E10111" i="1"/>
  <c r="E10112" i="1"/>
  <c r="E10113" i="1"/>
  <c r="E10114" i="1"/>
  <c r="E10115" i="1"/>
  <c r="E10116" i="1"/>
  <c r="E10117" i="1"/>
  <c r="E10119" i="1"/>
  <c r="E10120" i="1"/>
  <c r="E10121" i="1"/>
  <c r="E10122" i="1"/>
  <c r="E10123" i="1"/>
  <c r="E10124" i="1"/>
  <c r="E10125" i="1"/>
  <c r="E10126" i="1"/>
  <c r="E10127" i="1"/>
  <c r="E10128" i="1"/>
  <c r="E10129" i="1"/>
  <c r="E10130" i="1"/>
  <c r="E10131" i="1"/>
  <c r="E10133" i="1"/>
  <c r="E10134" i="1"/>
  <c r="E10137" i="1"/>
  <c r="E10138" i="1"/>
  <c r="E10139" i="1"/>
  <c r="E10140" i="1"/>
  <c r="E10141" i="1"/>
  <c r="E10143" i="1"/>
  <c r="E10144" i="1"/>
  <c r="E10145" i="1"/>
  <c r="E10146" i="1"/>
  <c r="E10149" i="1"/>
  <c r="E10150" i="1"/>
  <c r="E10152" i="1"/>
  <c r="E10153" i="1"/>
  <c r="E10154" i="1"/>
  <c r="E10155" i="1"/>
  <c r="E10158" i="1"/>
  <c r="E10159" i="1"/>
  <c r="E10160" i="1"/>
  <c r="E10161" i="1"/>
  <c r="E10162" i="1"/>
  <c r="E10163" i="1"/>
  <c r="E10164" i="1"/>
  <c r="E10165" i="1"/>
  <c r="E10166" i="1"/>
  <c r="E10168" i="1"/>
  <c r="E10169" i="1"/>
  <c r="E10171" i="1"/>
  <c r="E10172" i="1"/>
  <c r="E10174" i="1"/>
  <c r="E10175" i="1"/>
  <c r="E10176" i="1"/>
  <c r="E10180" i="1"/>
  <c r="E10181" i="1"/>
  <c r="E10182" i="1"/>
  <c r="E10183" i="1"/>
  <c r="E10184" i="1"/>
  <c r="E10185" i="1"/>
  <c r="E10186" i="1"/>
  <c r="E10187" i="1"/>
  <c r="E10188" i="1"/>
  <c r="E10189" i="1"/>
  <c r="E10190" i="1"/>
  <c r="E10192" i="1"/>
  <c r="E10193" i="1"/>
  <c r="E10194" i="1"/>
  <c r="E10195" i="1"/>
  <c r="E10196" i="1"/>
  <c r="E10197" i="1"/>
  <c r="E10198" i="1"/>
  <c r="E10199" i="1"/>
  <c r="E10200" i="1"/>
  <c r="E10201" i="1"/>
  <c r="E10202" i="1"/>
  <c r="E10203" i="1"/>
  <c r="E10204" i="1"/>
  <c r="E10206" i="1"/>
  <c r="E10208" i="1"/>
  <c r="E10209" i="1"/>
  <c r="E10210" i="1"/>
  <c r="E10211" i="1"/>
  <c r="E10212" i="1"/>
  <c r="E10214" i="1"/>
  <c r="E10215" i="1"/>
  <c r="E10216" i="1"/>
  <c r="E10218" i="1"/>
  <c r="E10220" i="1"/>
  <c r="E10226" i="1"/>
  <c r="E10227" i="1"/>
  <c r="E10228" i="1"/>
  <c r="E10229" i="1"/>
  <c r="E10231" i="1"/>
  <c r="E10233" i="1"/>
  <c r="E10235" i="1"/>
  <c r="E10236" i="1"/>
  <c r="E10237" i="1"/>
  <c r="E10239" i="1"/>
  <c r="E10240" i="1"/>
  <c r="E10242" i="1"/>
  <c r="E10243" i="1"/>
  <c r="E10245" i="1"/>
  <c r="E10246" i="1"/>
  <c r="E10247" i="1"/>
  <c r="E10248" i="1"/>
  <c r="E10249" i="1"/>
  <c r="E10250" i="1"/>
  <c r="E10252" i="1"/>
  <c r="E10253" i="1"/>
  <c r="E10256" i="1"/>
  <c r="E10257" i="1"/>
  <c r="E10258" i="1"/>
  <c r="E10259" i="1"/>
  <c r="E10260" i="1"/>
  <c r="E10261" i="1"/>
  <c r="E10262" i="1"/>
  <c r="E10263" i="1"/>
  <c r="E10264" i="1"/>
  <c r="E10265" i="1"/>
  <c r="E10268" i="1"/>
  <c r="E10269" i="1"/>
  <c r="E10270" i="1"/>
  <c r="E10271" i="1"/>
  <c r="E10272" i="1"/>
  <c r="E10273" i="1"/>
  <c r="E10274" i="1"/>
  <c r="E10275" i="1"/>
  <c r="E10276" i="1"/>
  <c r="E10277" i="1"/>
  <c r="E10278" i="1"/>
  <c r="E10279" i="1"/>
  <c r="E10280" i="1"/>
  <c r="E10282" i="1"/>
  <c r="E10283" i="1"/>
  <c r="E10285" i="1"/>
  <c r="E10286" i="1"/>
  <c r="E10287" i="1"/>
  <c r="E10288" i="1"/>
  <c r="E10290" i="1"/>
  <c r="E10291" i="1"/>
  <c r="E10292" i="1"/>
  <c r="E10293" i="1"/>
  <c r="E10294" i="1"/>
  <c r="E10295" i="1"/>
  <c r="E10296" i="1"/>
  <c r="E10297" i="1"/>
  <c r="E10298" i="1"/>
  <c r="E10299" i="1"/>
  <c r="E10300" i="1"/>
  <c r="E10301" i="1"/>
  <c r="E10302" i="1"/>
  <c r="E10303" i="1"/>
  <c r="E10304" i="1"/>
  <c r="E10305" i="1"/>
  <c r="E10306" i="1"/>
  <c r="E10307" i="1"/>
  <c r="E10308" i="1"/>
  <c r="E10309" i="1"/>
  <c r="E10310" i="1"/>
  <c r="E10311" i="1"/>
  <c r="E10312" i="1"/>
  <c r="E10313" i="1"/>
  <c r="E10314" i="1"/>
  <c r="E10315" i="1"/>
  <c r="E10317" i="1"/>
  <c r="E10318" i="1"/>
  <c r="E10320" i="1"/>
  <c r="E10321" i="1"/>
  <c r="E10323" i="1"/>
  <c r="E10324" i="1"/>
  <c r="E10325" i="1"/>
  <c r="E10326" i="1"/>
  <c r="E10327" i="1"/>
  <c r="E10328" i="1"/>
  <c r="E10329" i="1"/>
  <c r="E10330" i="1"/>
  <c r="E10331" i="1"/>
  <c r="E10332" i="1"/>
  <c r="E10333" i="1"/>
  <c r="E10336" i="1"/>
  <c r="E10337" i="1"/>
  <c r="E10338" i="1"/>
  <c r="E10340" i="1"/>
  <c r="E10341" i="1"/>
  <c r="E10342" i="1"/>
  <c r="E10343" i="1"/>
  <c r="E10344" i="1"/>
  <c r="E10345" i="1"/>
  <c r="E10346" i="1"/>
  <c r="E10348" i="1"/>
  <c r="E10349" i="1"/>
  <c r="E10351" i="1"/>
  <c r="E10352" i="1"/>
  <c r="E10353" i="1"/>
  <c r="E10354" i="1"/>
  <c r="E10356" i="1"/>
  <c r="E10357" i="1"/>
  <c r="E10359" i="1"/>
  <c r="E10363" i="1"/>
  <c r="E10364" i="1"/>
  <c r="E10365" i="1"/>
  <c r="E10366" i="1"/>
  <c r="E10367" i="1"/>
  <c r="E10368" i="1"/>
  <c r="E10369" i="1"/>
  <c r="E10370" i="1"/>
  <c r="E10371" i="1"/>
  <c r="E10372" i="1"/>
  <c r="E10373" i="1"/>
  <c r="E10374" i="1"/>
  <c r="E10375" i="1"/>
  <c r="E10376" i="1"/>
  <c r="E10377" i="1"/>
  <c r="E10379" i="1"/>
  <c r="E10380" i="1"/>
  <c r="E10381" i="1"/>
  <c r="E10382" i="1"/>
  <c r="E10383" i="1"/>
  <c r="E10384" i="1"/>
  <c r="E10385" i="1"/>
  <c r="E10386" i="1"/>
  <c r="E10387" i="1"/>
  <c r="E10388" i="1"/>
  <c r="E10389" i="1"/>
  <c r="E10392" i="1"/>
  <c r="E10393" i="1"/>
  <c r="E10395" i="1"/>
  <c r="E10396" i="1"/>
  <c r="E10397" i="1"/>
  <c r="E10398" i="1"/>
  <c r="E10399" i="1"/>
  <c r="E10400" i="1"/>
  <c r="E10401" i="1"/>
  <c r="E10402" i="1"/>
  <c r="E10403" i="1"/>
  <c r="E10404" i="1"/>
  <c r="E10405" i="1"/>
  <c r="E10406" i="1"/>
  <c r="E10409" i="1"/>
  <c r="E10410" i="1"/>
  <c r="E10412" i="1"/>
  <c r="E10413" i="1"/>
  <c r="E10415" i="1"/>
  <c r="E10416" i="1"/>
  <c r="E10419" i="1"/>
  <c r="E10421" i="1"/>
  <c r="E10422" i="1"/>
  <c r="E10425" i="1"/>
  <c r="E10426" i="1"/>
  <c r="E10427" i="1"/>
  <c r="E10428" i="1"/>
  <c r="E10429" i="1"/>
  <c r="E10430" i="1"/>
  <c r="E10431" i="1"/>
  <c r="E10433" i="1"/>
  <c r="E10434" i="1"/>
  <c r="E10435" i="1"/>
  <c r="E10436" i="1"/>
  <c r="E10437" i="1"/>
  <c r="E10440" i="1"/>
  <c r="E10441" i="1"/>
  <c r="E10442" i="1"/>
  <c r="E10443" i="1"/>
  <c r="E10444" i="1"/>
  <c r="E10445" i="1"/>
  <c r="E10446" i="1"/>
  <c r="E10447" i="1"/>
  <c r="E10449" i="1"/>
  <c r="E10450" i="1"/>
  <c r="E10451" i="1"/>
  <c r="E10452" i="1"/>
  <c r="E10453" i="1"/>
  <c r="E10454" i="1"/>
  <c r="E10455" i="1"/>
  <c r="E10456" i="1"/>
  <c r="E10458" i="1"/>
  <c r="E10459" i="1"/>
  <c r="E10460" i="1"/>
  <c r="E10461" i="1"/>
  <c r="E10462" i="1"/>
  <c r="E10463" i="1"/>
  <c r="E10464" i="1"/>
  <c r="E10465" i="1"/>
  <c r="E10466" i="1"/>
  <c r="E10467" i="1"/>
  <c r="E10468" i="1"/>
  <c r="E10470" i="1"/>
  <c r="E10472" i="1"/>
  <c r="E10473" i="1"/>
  <c r="E10474" i="1"/>
  <c r="E10475" i="1"/>
  <c r="E10476" i="1"/>
  <c r="E10477" i="1"/>
  <c r="E10478" i="1"/>
  <c r="E10479" i="1"/>
  <c r="E10481" i="1"/>
  <c r="E10482" i="1"/>
  <c r="E10483" i="1"/>
  <c r="E10484" i="1"/>
  <c r="E10485" i="1"/>
  <c r="E10486" i="1"/>
  <c r="E10487" i="1"/>
  <c r="E10490" i="1"/>
  <c r="E10491" i="1"/>
  <c r="E10492" i="1"/>
  <c r="E10493" i="1"/>
  <c r="E10494" i="1"/>
  <c r="E10495" i="1"/>
  <c r="E10496" i="1"/>
  <c r="E10497" i="1"/>
  <c r="E10498" i="1"/>
  <c r="E10499" i="1"/>
  <c r="E10500" i="1"/>
  <c r="E10501" i="1"/>
  <c r="E10502" i="1"/>
  <c r="E10503" i="1"/>
  <c r="E10504" i="1"/>
  <c r="E10505" i="1"/>
  <c r="E10506" i="1"/>
  <c r="E10507" i="1"/>
  <c r="E10508" i="1"/>
  <c r="E10509" i="1"/>
  <c r="E10510" i="1"/>
  <c r="E10511" i="1"/>
  <c r="E10512" i="1"/>
  <c r="E10513" i="1"/>
  <c r="E10514" i="1"/>
  <c r="E10515" i="1"/>
  <c r="E10516" i="1"/>
  <c r="E10520" i="1"/>
  <c r="E10521" i="1"/>
  <c r="E10522" i="1"/>
  <c r="E10523" i="1"/>
  <c r="E10524" i="1"/>
  <c r="E10526" i="1"/>
  <c r="E10527" i="1"/>
  <c r="E10528" i="1"/>
  <c r="E10529" i="1"/>
  <c r="E10530" i="1"/>
  <c r="E10531" i="1"/>
  <c r="E10532" i="1"/>
  <c r="E10533" i="1"/>
  <c r="E10534" i="1"/>
  <c r="E10535" i="1"/>
  <c r="E10536" i="1"/>
  <c r="E10537" i="1"/>
  <c r="E10538" i="1"/>
  <c r="E10539" i="1"/>
  <c r="E10540" i="1"/>
  <c r="E10541" i="1"/>
  <c r="E10542" i="1"/>
  <c r="E10543" i="1"/>
  <c r="E10544" i="1"/>
  <c r="E10546" i="1"/>
  <c r="E10548" i="1"/>
  <c r="E10549" i="1"/>
  <c r="E10550" i="1"/>
  <c r="E10551" i="1"/>
  <c r="E10552" i="1"/>
  <c r="E10553" i="1"/>
  <c r="E10554" i="1"/>
  <c r="E10555" i="1"/>
  <c r="E10556" i="1"/>
  <c r="E10557" i="1"/>
  <c r="E10559" i="1"/>
  <c r="E10560" i="1"/>
  <c r="E10563" i="1"/>
  <c r="E10564" i="1"/>
  <c r="E10565" i="1"/>
  <c r="E10566" i="1"/>
  <c r="E10567" i="1"/>
  <c r="E10568" i="1"/>
  <c r="E10569" i="1"/>
  <c r="E10571" i="1"/>
  <c r="E10572" i="1"/>
  <c r="E10573" i="1"/>
  <c r="E10575" i="1"/>
  <c r="E10576" i="1"/>
  <c r="E10577" i="1"/>
  <c r="E10578" i="1"/>
  <c r="E10579" i="1"/>
  <c r="E10580" i="1"/>
  <c r="E10581" i="1"/>
  <c r="E10582" i="1"/>
  <c r="E10583" i="1"/>
  <c r="E10584" i="1"/>
  <c r="E10585" i="1"/>
  <c r="E10586" i="1"/>
  <c r="E10587" i="1"/>
  <c r="E10588" i="1"/>
  <c r="E10590" i="1"/>
  <c r="E10592" i="1"/>
  <c r="E10594" i="1"/>
  <c r="E10596" i="1"/>
  <c r="E10597" i="1"/>
  <c r="E10598" i="1"/>
  <c r="E10600" i="1"/>
  <c r="E10601" i="1"/>
  <c r="E10602" i="1"/>
  <c r="E10603" i="1"/>
  <c r="E10604" i="1"/>
  <c r="E10605" i="1"/>
  <c r="E10606" i="1"/>
  <c r="E10607" i="1"/>
  <c r="E10610" i="1"/>
  <c r="E10611" i="1"/>
  <c r="E10612" i="1"/>
  <c r="E10613" i="1"/>
  <c r="E10614" i="1"/>
  <c r="E10615" i="1"/>
  <c r="E10616" i="1"/>
  <c r="E10617" i="1"/>
  <c r="E10618" i="1"/>
  <c r="E10619" i="1"/>
  <c r="E10620" i="1"/>
  <c r="E10621" i="1"/>
  <c r="E10624" i="1"/>
  <c r="E10625" i="1"/>
  <c r="E10626" i="1"/>
  <c r="E10627" i="1"/>
  <c r="E10628" i="1"/>
  <c r="E10629" i="1"/>
  <c r="E10630" i="1"/>
  <c r="E10631" i="1"/>
  <c r="E10632" i="1"/>
  <c r="E10633" i="1"/>
  <c r="E10634" i="1"/>
  <c r="E10635" i="1"/>
  <c r="E10636" i="1"/>
  <c r="E10637" i="1"/>
  <c r="E10638" i="1"/>
  <c r="E10640" i="1"/>
  <c r="E10641" i="1"/>
  <c r="E10642" i="1"/>
  <c r="E10643" i="1"/>
  <c r="E10644" i="1"/>
  <c r="E10645" i="1"/>
  <c r="E10646" i="1"/>
  <c r="E10647" i="1"/>
  <c r="E10648" i="1"/>
  <c r="E10649" i="1"/>
  <c r="E10650" i="1"/>
  <c r="E10651" i="1"/>
  <c r="E10652" i="1"/>
  <c r="E10653" i="1"/>
  <c r="E10654" i="1"/>
  <c r="E10655" i="1"/>
  <c r="E10657" i="1"/>
  <c r="E10658" i="1"/>
  <c r="E10659" i="1"/>
  <c r="E10660" i="1"/>
  <c r="E10661" i="1"/>
  <c r="E10662" i="1"/>
  <c r="E10663" i="1"/>
  <c r="E10664" i="1"/>
  <c r="E10665" i="1"/>
  <c r="E10668" i="1"/>
  <c r="E10669" i="1"/>
  <c r="E10670" i="1"/>
  <c r="E10671" i="1"/>
  <c r="E10672" i="1"/>
  <c r="E10673" i="1"/>
  <c r="E10674" i="1"/>
  <c r="E10675" i="1"/>
  <c r="E10676" i="1"/>
  <c r="E10677" i="1"/>
  <c r="E10678" i="1"/>
  <c r="E10680" i="1"/>
  <c r="E10681" i="1"/>
  <c r="E10682" i="1"/>
  <c r="E10683" i="1"/>
  <c r="E10685" i="1"/>
  <c r="E10686" i="1"/>
  <c r="E10687" i="1"/>
  <c r="E10690" i="1"/>
  <c r="E10691" i="1"/>
  <c r="E10692" i="1"/>
  <c r="E10693" i="1"/>
  <c r="E10694" i="1"/>
  <c r="E10695" i="1"/>
  <c r="E10696" i="1"/>
  <c r="E10697" i="1"/>
  <c r="E10698" i="1"/>
  <c r="E10699" i="1"/>
  <c r="E10700" i="1"/>
  <c r="E10701" i="1"/>
  <c r="E10702" i="1"/>
  <c r="E10703" i="1"/>
  <c r="E10704" i="1"/>
  <c r="E10705" i="1"/>
  <c r="E10706" i="1"/>
  <c r="E10707" i="1"/>
  <c r="E10708" i="1"/>
  <c r="E10709" i="1"/>
  <c r="E10710" i="1"/>
  <c r="E10711" i="1"/>
  <c r="E10713" i="1"/>
  <c r="E10714" i="1"/>
  <c r="E10716" i="1"/>
  <c r="E10717" i="1"/>
  <c r="E10718" i="1"/>
  <c r="E10719" i="1"/>
  <c r="E10720" i="1"/>
  <c r="E10721" i="1"/>
  <c r="E10722" i="1"/>
  <c r="E10723" i="1"/>
  <c r="E10724" i="1"/>
  <c r="E10726" i="1"/>
  <c r="E10728" i="1"/>
  <c r="E10729" i="1"/>
  <c r="E10734" i="1"/>
  <c r="E10735" i="1"/>
  <c r="E10736" i="1"/>
  <c r="E10737" i="1"/>
  <c r="E10738" i="1"/>
  <c r="E10739" i="1"/>
  <c r="E10740" i="1"/>
  <c r="E10741" i="1"/>
  <c r="E10742" i="1"/>
  <c r="E10743" i="1"/>
  <c r="E10744" i="1"/>
  <c r="E10745" i="1"/>
  <c r="E10746" i="1"/>
  <c r="E10747" i="1"/>
  <c r="E10748" i="1"/>
  <c r="E10749" i="1"/>
  <c r="E10750" i="1"/>
  <c r="E10751" i="1"/>
  <c r="E10752" i="1"/>
  <c r="E10753" i="1"/>
  <c r="E10754" i="1"/>
  <c r="E10755" i="1"/>
  <c r="E10756" i="1"/>
  <c r="E10757" i="1"/>
  <c r="E10758" i="1"/>
  <c r="E10759" i="1"/>
  <c r="E10760" i="1"/>
  <c r="E10761" i="1"/>
  <c r="E10763" i="1"/>
  <c r="E10764" i="1"/>
  <c r="E10765" i="1"/>
  <c r="E10766" i="1"/>
  <c r="E10767" i="1"/>
  <c r="E10768" i="1"/>
  <c r="E10769" i="1"/>
  <c r="E10770" i="1"/>
  <c r="E10771" i="1"/>
  <c r="E10772" i="1"/>
  <c r="E10773" i="1"/>
  <c r="E10774" i="1"/>
  <c r="E10775" i="1"/>
  <c r="E10776" i="1"/>
  <c r="E10777" i="1"/>
  <c r="E10778" i="1"/>
  <c r="E10779" i="1"/>
  <c r="E10780" i="1"/>
  <c r="E10781" i="1"/>
  <c r="E10782" i="1"/>
  <c r="E10783" i="1"/>
  <c r="E10784" i="1"/>
  <c r="E10785" i="1"/>
  <c r="E10786" i="1"/>
  <c r="E10787" i="1"/>
  <c r="E10788" i="1"/>
  <c r="E10789" i="1"/>
  <c r="E10790" i="1"/>
  <c r="E10791" i="1"/>
  <c r="E10792" i="1"/>
  <c r="E10793" i="1"/>
  <c r="E10794" i="1"/>
  <c r="E10795" i="1"/>
  <c r="E10796" i="1"/>
  <c r="E10797" i="1"/>
  <c r="E10799" i="1"/>
  <c r="E10800" i="1"/>
  <c r="E10801" i="1"/>
  <c r="E10802" i="1"/>
  <c r="E10803" i="1"/>
  <c r="E10804" i="1"/>
  <c r="E10805" i="1"/>
  <c r="E10806" i="1"/>
  <c r="E10807" i="1"/>
  <c r="E10808" i="1"/>
  <c r="E10809" i="1"/>
  <c r="E10810" i="1"/>
  <c r="E10811" i="1"/>
  <c r="E10812" i="1"/>
  <c r="E10813" i="1"/>
  <c r="E10814" i="1"/>
  <c r="E10815" i="1"/>
  <c r="E10816" i="1"/>
  <c r="E10817" i="1"/>
  <c r="E10818" i="1"/>
  <c r="E10819" i="1"/>
  <c r="E10820" i="1"/>
  <c r="E10821" i="1"/>
  <c r="E10822" i="1"/>
  <c r="E10823" i="1"/>
  <c r="E10824" i="1"/>
  <c r="E10825" i="1"/>
  <c r="E10826" i="1"/>
  <c r="E10827" i="1"/>
  <c r="E10828" i="1"/>
  <c r="E10829" i="1"/>
  <c r="E10830" i="1"/>
  <c r="E10831" i="1"/>
  <c r="E10832" i="1"/>
  <c r="E10833" i="1"/>
  <c r="E10834" i="1"/>
  <c r="E10835" i="1"/>
  <c r="E10836" i="1"/>
  <c r="E10837" i="1"/>
  <c r="E10838" i="1"/>
  <c r="E10839" i="1"/>
  <c r="E10840" i="1"/>
  <c r="E10841" i="1"/>
  <c r="E10842" i="1"/>
  <c r="E10843" i="1"/>
  <c r="E10844" i="1"/>
  <c r="E10845" i="1"/>
  <c r="E10846" i="1"/>
  <c r="E10847" i="1"/>
  <c r="E10849" i="1"/>
  <c r="E10850" i="1"/>
  <c r="E10851" i="1"/>
  <c r="E10852" i="1"/>
  <c r="E10853" i="1"/>
  <c r="E10856" i="1"/>
  <c r="E10857" i="1"/>
  <c r="E10858" i="1"/>
  <c r="E10859" i="1"/>
  <c r="E10861" i="1"/>
  <c r="E10862" i="1"/>
  <c r="E10863" i="1"/>
  <c r="E10864" i="1"/>
  <c r="E10865" i="1"/>
  <c r="E10866" i="1"/>
  <c r="E10867" i="1"/>
  <c r="E10868" i="1"/>
  <c r="E10869" i="1"/>
  <c r="E10874" i="1"/>
  <c r="E10875" i="1"/>
  <c r="E10876" i="1"/>
  <c r="E10877" i="1"/>
  <c r="E10879" i="1"/>
  <c r="E10880" i="1"/>
  <c r="E10881" i="1"/>
  <c r="E10883" i="1"/>
  <c r="E10884" i="1"/>
  <c r="E10885" i="1"/>
  <c r="E10886" i="1"/>
  <c r="E10888" i="1"/>
  <c r="E10889" i="1"/>
  <c r="E10890" i="1"/>
  <c r="E10891" i="1"/>
  <c r="E10892" i="1"/>
  <c r="E10893" i="1"/>
  <c r="E10894" i="1"/>
  <c r="E10895" i="1"/>
  <c r="E10896" i="1"/>
  <c r="E10897" i="1"/>
  <c r="E10898" i="1"/>
  <c r="E10899" i="1"/>
  <c r="E10900" i="1"/>
  <c r="E10901" i="1"/>
  <c r="E10902" i="1"/>
  <c r="E10904" i="1"/>
  <c r="E10905" i="1"/>
  <c r="E10906" i="1"/>
  <c r="E10907" i="1"/>
  <c r="E10908" i="1"/>
  <c r="E10909" i="1"/>
  <c r="E10910" i="1"/>
  <c r="E10912" i="1"/>
  <c r="E10913" i="1"/>
  <c r="E10914" i="1"/>
  <c r="E10915" i="1"/>
  <c r="E10916" i="1"/>
  <c r="E10917" i="1"/>
  <c r="E10918" i="1"/>
  <c r="E10919" i="1"/>
  <c r="E10920" i="1"/>
  <c r="E10921" i="1"/>
  <c r="E10922" i="1"/>
  <c r="E10925" i="1"/>
  <c r="E10926" i="1"/>
  <c r="E10927" i="1"/>
  <c r="E10928" i="1"/>
  <c r="E10929" i="1"/>
  <c r="E10930" i="1"/>
  <c r="E10931" i="1"/>
  <c r="E10933" i="1"/>
  <c r="E10934" i="1"/>
  <c r="E10935" i="1"/>
  <c r="E10936" i="1"/>
  <c r="E10937" i="1"/>
  <c r="E10938" i="1"/>
  <c r="E10939" i="1"/>
  <c r="E10941" i="1"/>
  <c r="E10942" i="1"/>
  <c r="E10943" i="1"/>
  <c r="E10944" i="1"/>
  <c r="E10945" i="1"/>
  <c r="E10946" i="1"/>
  <c r="E10947" i="1"/>
  <c r="E10948" i="1"/>
  <c r="E10949" i="1"/>
  <c r="E10950" i="1"/>
  <c r="E10951" i="1"/>
  <c r="E10953" i="1"/>
  <c r="E10954" i="1"/>
  <c r="E10955" i="1"/>
  <c r="E10956" i="1"/>
  <c r="E10957" i="1"/>
  <c r="E10958" i="1"/>
  <c r="E10959" i="1"/>
  <c r="E10960" i="1"/>
  <c r="E10962" i="1"/>
  <c r="E10963" i="1"/>
  <c r="E10964" i="1"/>
  <c r="E10965" i="1"/>
  <c r="E10966" i="1"/>
  <c r="E10967" i="1"/>
  <c r="E10968" i="1"/>
  <c r="E10969" i="1"/>
  <c r="E10970" i="1"/>
  <c r="E10972" i="1"/>
  <c r="E10973" i="1"/>
  <c r="E10974" i="1"/>
  <c r="E10975" i="1"/>
  <c r="E10976" i="1"/>
  <c r="E10977" i="1"/>
  <c r="E10978" i="1"/>
  <c r="E10980" i="1"/>
  <c r="E10981" i="1"/>
  <c r="E10982" i="1"/>
  <c r="E10983" i="1"/>
  <c r="E10984" i="1"/>
  <c r="E10985" i="1"/>
  <c r="E10986" i="1"/>
  <c r="E10987" i="1"/>
  <c r="E10988" i="1"/>
  <c r="E10989" i="1"/>
  <c r="E10990" i="1"/>
  <c r="E10991" i="1"/>
  <c r="E10992" i="1"/>
  <c r="E10994" i="1"/>
  <c r="E10995" i="1"/>
  <c r="E10996" i="1"/>
  <c r="E10998" i="1"/>
  <c r="E10999" i="1"/>
  <c r="E11000" i="1"/>
  <c r="E11001" i="1"/>
  <c r="E11002" i="1"/>
  <c r="E11003" i="1"/>
  <c r="E11004" i="1"/>
  <c r="E11006" i="1"/>
  <c r="E11008" i="1"/>
  <c r="E11017" i="1"/>
  <c r="E11018" i="1"/>
  <c r="E11021" i="1"/>
  <c r="E11022" i="1"/>
  <c r="E11023" i="1"/>
  <c r="E11025" i="1"/>
  <c r="E11027" i="1"/>
  <c r="E11028" i="1"/>
  <c r="E11029" i="1"/>
  <c r="E11030" i="1"/>
  <c r="E11031" i="1"/>
  <c r="E11032" i="1"/>
  <c r="E11034" i="1"/>
  <c r="E11035" i="1"/>
  <c r="E11036" i="1"/>
  <c r="E11037" i="1"/>
  <c r="E11038" i="1"/>
  <c r="E11039" i="1"/>
  <c r="E11040" i="1"/>
  <c r="E11041" i="1"/>
  <c r="E11043" i="1"/>
  <c r="E11044" i="1"/>
  <c r="E11045" i="1"/>
  <c r="E11046" i="1"/>
  <c r="E11047" i="1"/>
  <c r="E11048" i="1"/>
  <c r="E11049" i="1"/>
  <c r="E11050" i="1"/>
  <c r="E11051" i="1"/>
  <c r="E11052" i="1"/>
  <c r="E11053" i="1"/>
  <c r="E11054" i="1"/>
  <c r="E11055" i="1"/>
  <c r="E11056" i="1"/>
  <c r="E11057" i="1"/>
  <c r="E11058" i="1"/>
  <c r="E11059" i="1"/>
  <c r="E11060" i="1"/>
  <c r="E11061" i="1"/>
  <c r="E11062" i="1"/>
  <c r="E11063" i="1"/>
  <c r="E11064" i="1"/>
  <c r="E11065" i="1"/>
  <c r="E11066" i="1"/>
  <c r="E11067" i="1"/>
  <c r="E11068" i="1"/>
  <c r="E11069" i="1"/>
  <c r="E11070" i="1"/>
  <c r="E11071" i="1"/>
  <c r="E11072" i="1"/>
  <c r="E11073" i="1"/>
  <c r="E11075" i="1"/>
  <c r="E11076" i="1"/>
  <c r="E11077" i="1"/>
  <c r="E11078" i="1"/>
  <c r="E11079" i="1"/>
  <c r="E11080" i="1"/>
  <c r="E11081" i="1"/>
  <c r="E11082" i="1"/>
  <c r="E11083" i="1"/>
  <c r="E11084" i="1"/>
  <c r="E11085" i="1"/>
  <c r="E11086" i="1"/>
  <c r="E11087" i="1"/>
  <c r="E11088" i="1"/>
  <c r="E11090" i="1"/>
  <c r="E11091" i="1"/>
  <c r="E11092" i="1"/>
  <c r="E11093" i="1"/>
  <c r="E11094" i="1"/>
  <c r="E11095" i="1"/>
  <c r="E11096" i="1"/>
  <c r="E11097" i="1"/>
  <c r="E11098" i="1"/>
  <c r="E11099" i="1"/>
  <c r="E11101" i="1"/>
  <c r="E11102" i="1"/>
  <c r="E11103" i="1"/>
  <c r="E11104" i="1"/>
  <c r="E11105" i="1"/>
  <c r="E11106" i="1"/>
  <c r="E11107" i="1"/>
  <c r="E11108" i="1"/>
  <c r="E11109" i="1"/>
  <c r="E11110" i="1"/>
  <c r="E11111" i="1"/>
  <c r="E11112" i="1"/>
  <c r="E11113" i="1"/>
  <c r="E11114" i="1"/>
  <c r="E11115" i="1"/>
  <c r="E11116" i="1"/>
  <c r="E11117" i="1"/>
  <c r="E11119" i="1"/>
  <c r="E11120" i="1"/>
  <c r="E11121" i="1"/>
  <c r="E11122" i="1"/>
  <c r="E11123" i="1"/>
  <c r="E11124" i="1"/>
  <c r="E11126" i="1"/>
  <c r="E11127" i="1"/>
  <c r="E11129" i="1"/>
  <c r="E11130" i="1"/>
  <c r="E11131" i="1"/>
  <c r="E11132" i="1"/>
  <c r="E11133" i="1"/>
  <c r="E11134" i="1"/>
  <c r="E11135" i="1"/>
  <c r="E11136" i="1"/>
  <c r="E11138" i="1"/>
  <c r="E11139" i="1"/>
  <c r="E11140" i="1"/>
  <c r="E11141" i="1"/>
  <c r="E11142" i="1"/>
  <c r="E11143" i="1"/>
  <c r="E11144" i="1"/>
  <c r="E11145" i="1"/>
  <c r="E11146" i="1"/>
  <c r="E11149" i="1"/>
  <c r="E11153" i="1"/>
  <c r="E11154" i="1"/>
  <c r="E11155" i="1"/>
  <c r="E11156" i="1"/>
  <c r="E11157" i="1"/>
  <c r="E11158" i="1"/>
  <c r="E11159" i="1"/>
  <c r="E11160" i="1"/>
  <c r="E11161" i="1"/>
  <c r="E11162" i="1"/>
  <c r="E11164" i="1"/>
  <c r="E11165" i="1"/>
  <c r="E11166" i="1"/>
  <c r="E11167" i="1"/>
  <c r="E11168" i="1"/>
  <c r="E11169" i="1"/>
  <c r="E11170" i="1"/>
  <c r="E11171" i="1"/>
  <c r="E11172" i="1"/>
  <c r="E11174" i="1"/>
  <c r="E11175" i="1"/>
  <c r="E11176" i="1"/>
  <c r="E11177" i="1"/>
  <c r="E11178" i="1"/>
  <c r="E11179" i="1"/>
  <c r="E11180" i="1"/>
  <c r="E11182" i="1"/>
  <c r="E11183" i="1"/>
  <c r="E11184" i="1"/>
  <c r="E11186" i="1"/>
  <c r="E11187" i="1"/>
  <c r="E11188" i="1"/>
  <c r="E11190" i="1"/>
  <c r="E11191" i="1"/>
  <c r="E11192" i="1"/>
  <c r="E11193" i="1"/>
  <c r="E11194" i="1"/>
  <c r="E11195" i="1"/>
  <c r="E11196" i="1"/>
  <c r="E11197" i="1"/>
  <c r="E11198" i="1"/>
  <c r="E11199" i="1"/>
  <c r="E11200" i="1"/>
  <c r="E11202" i="1"/>
  <c r="E11203" i="1"/>
  <c r="E11205" i="1"/>
  <c r="E11206" i="1"/>
  <c r="E11207" i="1"/>
  <c r="E11210" i="1"/>
  <c r="E11211" i="1"/>
  <c r="E11212" i="1"/>
  <c r="E11213" i="1"/>
  <c r="E11214" i="1"/>
  <c r="E11215" i="1"/>
  <c r="E11216" i="1"/>
  <c r="E11218" i="1"/>
  <c r="E11219" i="1"/>
  <c r="E11220" i="1"/>
  <c r="E11221" i="1"/>
  <c r="E11222" i="1"/>
  <c r="E11223" i="1"/>
  <c r="E11224" i="1"/>
  <c r="E11226" i="1"/>
  <c r="E11227" i="1"/>
  <c r="E11228" i="1"/>
  <c r="E11229" i="1"/>
  <c r="E11230" i="1"/>
  <c r="E11232" i="1"/>
  <c r="E11233" i="1"/>
  <c r="E11234" i="1"/>
  <c r="E11235" i="1"/>
  <c r="E11238" i="1"/>
  <c r="E11239" i="1"/>
  <c r="E11240" i="1"/>
  <c r="E11241" i="1"/>
  <c r="E11242" i="1"/>
  <c r="E11243" i="1"/>
  <c r="E11244" i="1"/>
  <c r="E11245" i="1"/>
  <c r="E11246" i="1"/>
  <c r="E11247" i="1"/>
  <c r="E11248" i="1"/>
  <c r="E11253" i="1"/>
  <c r="E11254" i="1"/>
  <c r="E11255" i="1"/>
  <c r="E11256" i="1"/>
  <c r="E11257" i="1"/>
  <c r="E11259" i="1"/>
  <c r="E11260" i="1"/>
  <c r="E11261" i="1"/>
  <c r="E11262" i="1"/>
  <c r="E11263" i="1"/>
  <c r="E11264" i="1"/>
  <c r="E11265" i="1"/>
  <c r="E11266" i="1"/>
  <c r="E11267" i="1"/>
  <c r="E11271" i="1"/>
  <c r="E11274" i="1"/>
  <c r="E11277" i="1"/>
  <c r="E11278" i="1"/>
  <c r="E11279" i="1"/>
  <c r="E11280" i="1"/>
  <c r="E11281" i="1"/>
  <c r="E11282" i="1"/>
  <c r="E11283" i="1"/>
  <c r="E11284" i="1"/>
  <c r="E11285" i="1"/>
  <c r="E11287" i="1"/>
  <c r="E11288" i="1"/>
  <c r="E11289" i="1"/>
  <c r="E11290" i="1"/>
  <c r="E11291" i="1"/>
  <c r="E11293" i="1"/>
  <c r="E11294" i="1"/>
  <c r="E11295" i="1"/>
  <c r="E11296" i="1"/>
  <c r="E11297" i="1"/>
  <c r="E11298" i="1"/>
  <c r="E11299" i="1"/>
  <c r="E11300" i="1"/>
  <c r="E11301" i="1"/>
  <c r="E11302" i="1"/>
  <c r="E11303" i="1"/>
  <c r="E11305" i="1"/>
  <c r="E11306" i="1"/>
  <c r="E11307" i="1"/>
  <c r="E11308" i="1"/>
  <c r="E11309" i="1"/>
  <c r="E11310" i="1"/>
  <c r="E11312" i="1"/>
  <c r="E11313" i="1"/>
  <c r="E11314" i="1"/>
  <c r="E11315" i="1"/>
  <c r="E11316" i="1"/>
  <c r="E11317" i="1"/>
  <c r="E11318" i="1"/>
  <c r="E11319" i="1"/>
  <c r="E11320" i="1"/>
  <c r="E11321" i="1"/>
  <c r="E11322" i="1"/>
  <c r="E11323" i="1"/>
  <c r="E11324" i="1"/>
  <c r="E11325" i="1"/>
  <c r="E11326" i="1"/>
  <c r="E11327" i="1"/>
  <c r="E11328" i="1"/>
  <c r="E11329" i="1"/>
  <c r="E11330" i="1"/>
  <c r="E11331" i="1"/>
  <c r="E11332" i="1"/>
  <c r="E11333" i="1"/>
  <c r="E11334" i="1"/>
  <c r="E11335" i="1"/>
  <c r="E11338" i="1"/>
  <c r="E11340" i="1"/>
  <c r="E11341" i="1"/>
  <c r="E11342" i="1"/>
  <c r="E11344" i="1"/>
  <c r="E11345" i="1"/>
  <c r="E11346" i="1"/>
  <c r="E11347" i="1"/>
  <c r="E11351" i="1"/>
  <c r="E11352" i="1"/>
  <c r="E11353" i="1"/>
  <c r="E11354" i="1"/>
  <c r="E11355" i="1"/>
  <c r="E11356" i="1"/>
  <c r="E11357" i="1"/>
  <c r="E11358" i="1"/>
  <c r="E11359" i="1"/>
  <c r="E11360" i="1"/>
  <c r="E11361" i="1"/>
  <c r="E11362" i="1"/>
  <c r="E11363" i="1"/>
  <c r="E11364" i="1"/>
  <c r="E11365" i="1"/>
  <c r="E11366" i="1"/>
  <c r="E11368" i="1"/>
  <c r="E11369" i="1"/>
  <c r="E11370" i="1"/>
  <c r="E11371" i="1"/>
  <c r="E11372" i="1"/>
  <c r="E11373" i="1"/>
  <c r="E11374" i="1"/>
  <c r="E11375" i="1"/>
  <c r="E11377" i="1"/>
  <c r="E11378" i="1"/>
  <c r="E11379" i="1"/>
  <c r="E11381" i="1"/>
  <c r="E11382" i="1"/>
  <c r="E11383" i="1"/>
  <c r="E11384" i="1"/>
  <c r="E11385" i="1"/>
  <c r="E11386" i="1"/>
  <c r="E11387" i="1"/>
  <c r="E11388" i="1"/>
  <c r="E11389" i="1"/>
  <c r="E11390" i="1"/>
  <c r="E11391" i="1"/>
  <c r="E11392" i="1"/>
  <c r="E11393" i="1"/>
  <c r="E11394" i="1"/>
  <c r="E11395" i="1"/>
  <c r="E11396" i="1"/>
  <c r="E11399" i="1"/>
  <c r="E11401" i="1"/>
  <c r="E11402" i="1"/>
  <c r="E11404" i="1"/>
  <c r="E11405" i="1"/>
  <c r="E11406" i="1"/>
  <c r="E11407" i="1"/>
  <c r="E11408" i="1"/>
  <c r="E11410" i="1"/>
  <c r="E11411" i="1"/>
  <c r="E11412" i="1"/>
  <c r="E11413" i="1"/>
  <c r="E11414" i="1"/>
  <c r="E11415" i="1"/>
  <c r="E11416" i="1"/>
  <c r="E11417" i="1"/>
  <c r="E11418" i="1"/>
  <c r="E11419" i="1"/>
  <c r="E11420" i="1"/>
  <c r="E11421" i="1"/>
  <c r="E11422" i="1"/>
  <c r="E11423" i="1"/>
  <c r="E11425" i="1"/>
  <c r="E11426" i="1"/>
  <c r="E11428" i="1"/>
  <c r="E11430" i="1"/>
  <c r="E11431" i="1"/>
  <c r="E11432" i="1"/>
  <c r="E11433" i="1"/>
  <c r="E11434" i="1"/>
  <c r="E11435" i="1"/>
  <c r="E11436" i="1"/>
  <c r="E11437" i="1"/>
  <c r="E11438" i="1"/>
  <c r="E11439" i="1"/>
  <c r="E11440" i="1"/>
  <c r="E11441" i="1"/>
  <c r="E11442" i="1"/>
  <c r="E11443" i="1"/>
  <c r="E11444" i="1"/>
  <c r="E11445" i="1"/>
  <c r="E11446" i="1"/>
  <c r="E11447" i="1"/>
  <c r="E11448" i="1"/>
  <c r="E11449" i="1"/>
  <c r="E11450" i="1"/>
  <c r="E11451" i="1"/>
  <c r="E11452" i="1"/>
  <c r="E11453" i="1"/>
  <c r="E11454" i="1"/>
  <c r="E11455" i="1"/>
  <c r="E11456" i="1"/>
  <c r="E11457" i="1"/>
  <c r="E11458" i="1"/>
  <c r="E11459" i="1"/>
  <c r="E11460" i="1"/>
  <c r="E11461" i="1"/>
  <c r="E11465" i="1"/>
  <c r="E11466" i="1"/>
  <c r="E11467" i="1"/>
  <c r="E11468" i="1"/>
  <c r="E11469" i="1"/>
  <c r="E11470" i="1"/>
  <c r="E11471" i="1"/>
  <c r="E11473" i="1"/>
  <c r="E11474" i="1"/>
  <c r="E11475" i="1"/>
  <c r="E11476" i="1"/>
  <c r="E11477" i="1"/>
  <c r="E11478" i="1"/>
  <c r="E11479" i="1"/>
  <c r="E11480" i="1"/>
  <c r="E11481" i="1"/>
  <c r="E11482" i="1"/>
  <c r="E11483" i="1"/>
  <c r="E11484" i="1"/>
  <c r="E11485" i="1"/>
  <c r="E11486" i="1"/>
  <c r="E11487" i="1"/>
  <c r="E11488" i="1"/>
  <c r="E11489" i="1"/>
  <c r="E11490" i="1"/>
  <c r="E11491" i="1"/>
  <c r="E11492" i="1"/>
  <c r="E11493" i="1"/>
  <c r="E11494" i="1"/>
  <c r="E11495" i="1"/>
  <c r="E11496" i="1"/>
  <c r="E11497" i="1"/>
  <c r="E11498" i="1"/>
  <c r="E11500" i="1"/>
  <c r="E11501" i="1"/>
  <c r="E11502" i="1"/>
  <c r="E11503" i="1"/>
  <c r="E11504" i="1"/>
  <c r="E11505" i="1"/>
  <c r="E11506" i="1"/>
  <c r="E11507" i="1"/>
  <c r="E11508" i="1"/>
  <c r="E11509" i="1"/>
  <c r="E11510" i="1"/>
  <c r="E11511" i="1"/>
  <c r="E11512" i="1"/>
  <c r="E11513" i="1"/>
  <c r="E11514" i="1"/>
  <c r="E11515" i="1"/>
  <c r="E11516" i="1"/>
  <c r="E11517" i="1"/>
  <c r="E11518" i="1"/>
  <c r="E11520" i="1"/>
  <c r="E11521" i="1"/>
  <c r="E11522" i="1"/>
  <c r="E11524" i="1"/>
  <c r="E11525" i="1"/>
  <c r="E11526" i="1"/>
  <c r="E11527" i="1"/>
  <c r="E11528" i="1"/>
  <c r="E11529" i="1"/>
  <c r="E11530" i="1"/>
  <c r="E11531" i="1"/>
  <c r="E11532" i="1"/>
  <c r="E11534" i="1"/>
  <c r="E11535" i="1"/>
  <c r="E11536" i="1"/>
  <c r="E11537" i="1"/>
  <c r="E11538" i="1"/>
  <c r="E11541" i="1"/>
  <c r="E11542" i="1"/>
  <c r="E11543" i="1"/>
  <c r="E11545" i="1"/>
  <c r="E11547" i="1"/>
  <c r="E11549" i="1"/>
  <c r="E11550" i="1"/>
  <c r="E11551" i="1"/>
  <c r="E11555" i="1"/>
  <c r="E11556" i="1"/>
  <c r="E11557" i="1"/>
  <c r="E11559" i="1"/>
  <c r="E11560" i="1"/>
  <c r="E11561" i="1"/>
  <c r="E11562" i="1"/>
  <c r="E11563" i="1"/>
  <c r="E11564" i="1"/>
  <c r="E11565" i="1"/>
  <c r="E11566" i="1"/>
  <c r="E11567" i="1"/>
  <c r="E11568" i="1"/>
  <c r="E11569" i="1"/>
  <c r="E11570" i="1"/>
  <c r="E11572" i="1"/>
  <c r="E11573" i="1"/>
  <c r="E11574" i="1"/>
  <c r="E11575" i="1"/>
  <c r="E11576" i="1"/>
  <c r="E11577" i="1"/>
  <c r="E11578" i="1"/>
  <c r="E11579" i="1"/>
  <c r="E11580" i="1"/>
  <c r="E11581" i="1"/>
  <c r="E11582" i="1"/>
  <c r="E11583" i="1"/>
  <c r="E11584" i="1"/>
  <c r="E11585" i="1"/>
  <c r="E11586" i="1"/>
  <c r="E11587" i="1"/>
  <c r="E11588" i="1"/>
  <c r="E11589" i="1"/>
  <c r="E11590" i="1"/>
  <c r="E11591" i="1"/>
  <c r="E11592" i="1"/>
  <c r="E11593" i="1"/>
  <c r="E11594" i="1"/>
  <c r="E11595" i="1"/>
  <c r="E11596" i="1"/>
  <c r="E11597" i="1"/>
  <c r="E11598" i="1"/>
  <c r="E11601" i="1"/>
  <c r="E11602" i="1"/>
  <c r="E11604" i="1"/>
  <c r="E11605" i="1"/>
  <c r="E11606" i="1"/>
  <c r="E11607" i="1"/>
  <c r="E11608" i="1"/>
  <c r="E11609" i="1"/>
  <c r="E11610" i="1"/>
  <c r="E11611" i="1"/>
  <c r="E11612" i="1"/>
  <c r="E11613" i="1"/>
  <c r="E11614" i="1"/>
  <c r="E11615" i="1"/>
  <c r="E11616" i="1"/>
  <c r="E11617" i="1"/>
  <c r="E11618" i="1"/>
  <c r="E11619" i="1"/>
  <c r="E11620" i="1"/>
  <c r="E11621" i="1"/>
  <c r="E11622" i="1"/>
  <c r="E11623" i="1"/>
  <c r="E11624" i="1"/>
  <c r="E11626" i="1"/>
  <c r="E11627" i="1"/>
  <c r="E11628" i="1"/>
  <c r="E11629" i="1"/>
  <c r="E11630" i="1"/>
  <c r="E11631" i="1"/>
  <c r="E11633" i="1"/>
  <c r="E11634" i="1"/>
  <c r="E11635" i="1"/>
  <c r="E11636" i="1"/>
  <c r="E11637" i="1"/>
  <c r="E11638" i="1"/>
  <c r="E11639" i="1"/>
  <c r="E11640" i="1"/>
  <c r="E11641" i="1"/>
  <c r="E11642" i="1"/>
  <c r="E11643" i="1"/>
  <c r="E11644" i="1"/>
  <c r="E11645" i="1"/>
  <c r="E11649" i="1"/>
  <c r="E11650" i="1"/>
  <c r="E11652" i="1"/>
  <c r="E11653" i="1"/>
  <c r="E11654" i="1"/>
  <c r="E11655" i="1"/>
  <c r="E11656" i="1"/>
  <c r="E11657" i="1"/>
  <c r="E11658" i="1"/>
  <c r="E11659" i="1"/>
  <c r="E11660" i="1"/>
  <c r="E11662" i="1"/>
  <c r="E11663" i="1"/>
  <c r="E11664" i="1"/>
  <c r="E11666" i="1"/>
  <c r="E11667" i="1"/>
  <c r="E11668" i="1"/>
  <c r="E11669" i="1"/>
  <c r="E11670" i="1"/>
  <c r="E11672" i="1"/>
  <c r="E11673" i="1"/>
  <c r="E11674" i="1"/>
  <c r="E11677" i="1"/>
  <c r="E11678" i="1"/>
  <c r="E11680" i="1"/>
  <c r="E11681" i="1"/>
  <c r="E11682" i="1"/>
  <c r="E11683" i="1"/>
  <c r="E11684" i="1"/>
  <c r="E11686" i="1"/>
  <c r="E11689" i="1"/>
  <c r="E11690" i="1"/>
  <c r="E11691" i="1"/>
  <c r="E11692" i="1"/>
  <c r="E11693" i="1"/>
  <c r="E11694" i="1"/>
  <c r="E11695" i="1"/>
  <c r="E11696" i="1"/>
  <c r="E11697" i="1"/>
  <c r="E11698" i="1"/>
  <c r="E11699" i="1"/>
  <c r="E11700" i="1"/>
  <c r="E11701" i="1"/>
  <c r="E11702" i="1"/>
  <c r="E11703" i="1"/>
  <c r="E11704" i="1"/>
  <c r="E11705" i="1"/>
  <c r="E11706" i="1"/>
  <c r="E11707" i="1"/>
  <c r="E11708" i="1"/>
  <c r="E11709" i="1"/>
  <c r="E11710" i="1"/>
  <c r="E11711" i="1"/>
  <c r="E11712" i="1"/>
  <c r="E11713" i="1"/>
  <c r="E11714" i="1"/>
  <c r="E11715" i="1"/>
  <c r="E11716" i="1"/>
  <c r="E11717" i="1"/>
  <c r="E11718" i="1"/>
  <c r="E11719" i="1"/>
  <c r="E11720" i="1"/>
  <c r="E11721" i="1"/>
  <c r="E11722" i="1"/>
  <c r="E11723" i="1"/>
  <c r="E11724" i="1"/>
  <c r="E11725" i="1"/>
  <c r="E11726" i="1"/>
  <c r="E11727" i="1"/>
  <c r="E11728" i="1"/>
  <c r="E11729" i="1"/>
  <c r="E11730" i="1"/>
  <c r="E11731" i="1"/>
  <c r="E11732" i="1"/>
  <c r="E11733" i="1"/>
  <c r="E11734" i="1"/>
  <c r="E11735" i="1"/>
  <c r="E11736" i="1"/>
  <c r="E11737" i="1"/>
  <c r="E11738" i="1"/>
  <c r="E11739" i="1"/>
  <c r="E11740" i="1"/>
  <c r="E11741" i="1"/>
  <c r="E11742" i="1"/>
  <c r="E11743" i="1"/>
  <c r="E11744" i="1"/>
  <c r="E11745" i="1"/>
  <c r="E11747" i="1"/>
  <c r="E11748" i="1"/>
  <c r="E11749" i="1"/>
  <c r="E11750" i="1"/>
  <c r="E11751" i="1"/>
  <c r="E11752" i="1"/>
  <c r="E11753" i="1"/>
  <c r="E11754" i="1"/>
  <c r="E11755" i="1"/>
  <c r="E11756" i="1"/>
  <c r="E11757" i="1"/>
  <c r="E11758" i="1"/>
  <c r="E11760" i="1"/>
  <c r="E11761" i="1"/>
  <c r="E11762" i="1"/>
  <c r="E11763" i="1"/>
  <c r="E11764" i="1"/>
  <c r="E11765" i="1"/>
  <c r="E11766" i="1"/>
  <c r="E11767" i="1"/>
  <c r="E11768" i="1"/>
  <c r="E11769" i="1"/>
  <c r="E11770" i="1"/>
  <c r="E11771" i="1"/>
  <c r="E11772" i="1"/>
  <c r="E11773" i="1"/>
  <c r="E11774" i="1"/>
  <c r="E11775" i="1"/>
  <c r="E11777" i="1"/>
  <c r="E11778" i="1"/>
  <c r="E11779" i="1"/>
  <c r="E11780" i="1"/>
  <c r="E11781" i="1"/>
  <c r="E11782" i="1"/>
  <c r="E11783" i="1"/>
  <c r="E11784" i="1"/>
  <c r="E11785" i="1"/>
  <c r="E11786" i="1"/>
  <c r="E11787" i="1"/>
  <c r="E11788" i="1"/>
  <c r="E11789" i="1"/>
  <c r="E11791" i="1"/>
  <c r="E11792" i="1"/>
  <c r="E11793" i="1"/>
  <c r="E11794" i="1"/>
  <c r="E11795" i="1"/>
  <c r="E11797" i="1"/>
  <c r="E11798" i="1"/>
  <c r="E11799" i="1"/>
  <c r="E11800" i="1"/>
  <c r="E11801" i="1"/>
  <c r="E11802" i="1"/>
  <c r="E11803" i="1"/>
  <c r="E11804" i="1"/>
  <c r="E11806" i="1"/>
  <c r="E11807" i="1"/>
  <c r="E11809" i="1"/>
  <c r="E11810" i="1"/>
  <c r="E11811" i="1"/>
  <c r="E11813" i="1"/>
  <c r="E11814" i="1"/>
  <c r="E11818" i="1"/>
  <c r="E11819" i="1"/>
  <c r="E11820" i="1"/>
  <c r="E11821" i="1"/>
  <c r="E11822" i="1"/>
  <c r="E11823" i="1"/>
  <c r="E11824" i="1"/>
  <c r="E11825" i="1"/>
  <c r="E11826" i="1"/>
  <c r="E11827" i="1"/>
  <c r="E11829" i="1"/>
  <c r="E11830" i="1"/>
  <c r="E11831" i="1"/>
  <c r="E11832" i="1"/>
  <c r="E11833" i="1"/>
  <c r="E11834" i="1"/>
  <c r="E11835" i="1"/>
  <c r="E11836" i="1"/>
  <c r="E11837" i="1"/>
  <c r="E11839" i="1"/>
  <c r="E11840" i="1"/>
  <c r="E11841" i="1"/>
  <c r="E11842" i="1"/>
  <c r="E11843" i="1"/>
  <c r="E11844" i="1"/>
  <c r="E11845" i="1"/>
  <c r="E11846" i="1"/>
  <c r="E11847" i="1"/>
  <c r="E11848" i="1"/>
  <c r="E11849" i="1"/>
  <c r="E11851" i="1"/>
  <c r="E11852" i="1"/>
  <c r="E11853" i="1"/>
  <c r="E11854" i="1"/>
  <c r="E11855" i="1"/>
  <c r="E11856" i="1"/>
  <c r="E11857" i="1"/>
  <c r="E11858" i="1"/>
  <c r="E11859" i="1"/>
  <c r="E11862" i="1"/>
  <c r="E11863" i="1"/>
  <c r="E11864" i="1"/>
  <c r="E11865" i="1"/>
  <c r="E11866" i="1"/>
  <c r="E11867" i="1"/>
  <c r="E11868" i="1"/>
  <c r="E11869" i="1"/>
  <c r="E11870" i="1"/>
  <c r="E11871" i="1"/>
  <c r="E11872" i="1"/>
  <c r="E11873" i="1"/>
  <c r="E11874" i="1"/>
  <c r="E11875" i="1"/>
  <c r="E11877" i="1"/>
  <c r="E11879" i="1"/>
  <c r="E11880" i="1"/>
  <c r="E11881" i="1"/>
  <c r="E11882" i="1"/>
  <c r="E11883" i="1"/>
  <c r="E11886" i="1"/>
  <c r="E11888" i="1"/>
  <c r="E11889" i="1"/>
  <c r="E11890" i="1"/>
  <c r="E11891" i="1"/>
  <c r="E11892" i="1"/>
  <c r="E11893" i="1"/>
  <c r="E11894" i="1"/>
  <c r="E11896" i="1"/>
  <c r="E11897" i="1"/>
  <c r="E11898" i="1"/>
  <c r="E11900" i="1"/>
  <c r="E11901" i="1"/>
  <c r="E11902" i="1"/>
  <c r="E11904" i="1"/>
  <c r="E11905" i="1"/>
  <c r="E11906" i="1"/>
  <c r="E11907" i="1"/>
  <c r="E11909" i="1"/>
  <c r="E11910" i="1"/>
  <c r="E11912" i="1"/>
  <c r="E11913" i="1"/>
  <c r="E11914" i="1"/>
  <c r="E11917" i="1"/>
  <c r="E11918" i="1"/>
  <c r="E11920" i="1"/>
  <c r="E11921" i="1"/>
  <c r="E11922" i="1"/>
  <c r="E11925" i="1"/>
  <c r="E11926" i="1"/>
  <c r="E11927" i="1"/>
  <c r="E11928" i="1"/>
  <c r="E11929" i="1"/>
  <c r="E11930" i="1"/>
  <c r="E11931" i="1"/>
  <c r="E11932" i="1"/>
  <c r="E11933" i="1"/>
  <c r="E11934" i="1"/>
  <c r="E11936" i="1"/>
  <c r="E11937" i="1"/>
  <c r="E11938" i="1"/>
  <c r="E11939" i="1"/>
  <c r="E11940" i="1"/>
  <c r="E11943" i="1"/>
  <c r="E11944" i="1"/>
  <c r="E11945" i="1"/>
  <c r="E11946" i="1"/>
  <c r="E11947" i="1"/>
  <c r="E11948" i="1"/>
  <c r="E11949" i="1"/>
  <c r="E11950" i="1"/>
  <c r="E11951" i="1"/>
  <c r="E11952" i="1"/>
  <c r="E11953" i="1"/>
  <c r="E11954" i="1"/>
  <c r="E11955" i="1"/>
  <c r="E11956" i="1"/>
  <c r="E11957" i="1"/>
  <c r="E11958" i="1"/>
  <c r="E11959" i="1"/>
  <c r="E11960" i="1"/>
  <c r="E11961" i="1"/>
  <c r="E11962" i="1"/>
  <c r="E11963" i="1"/>
  <c r="E11965" i="1"/>
  <c r="E11966" i="1"/>
  <c r="E11967" i="1"/>
  <c r="E11968" i="1"/>
  <c r="E11969" i="1"/>
  <c r="E11971" i="1"/>
  <c r="E11972" i="1"/>
  <c r="E11973" i="1"/>
  <c r="E11974" i="1"/>
  <c r="E11975" i="1"/>
  <c r="E11978" i="1"/>
  <c r="E11979" i="1"/>
  <c r="E11980" i="1"/>
  <c r="E11981" i="1"/>
  <c r="E11982" i="1"/>
  <c r="E11983" i="1"/>
  <c r="E11984" i="1"/>
  <c r="E11985" i="1"/>
  <c r="E11986" i="1"/>
  <c r="E11987" i="1"/>
  <c r="E11988" i="1"/>
  <c r="E11989" i="1"/>
  <c r="E11990" i="1"/>
  <c r="E11991" i="1"/>
  <c r="E11992" i="1"/>
  <c r="E11993" i="1"/>
  <c r="E11994" i="1"/>
  <c r="E11995" i="1"/>
  <c r="E11996" i="1"/>
  <c r="E11998" i="1"/>
  <c r="E11999" i="1"/>
  <c r="E12000" i="1"/>
  <c r="E12001" i="1"/>
  <c r="E12003" i="1"/>
  <c r="E12004" i="1"/>
  <c r="E12006" i="1"/>
  <c r="E12007" i="1"/>
  <c r="E12008" i="1"/>
  <c r="E12009" i="1"/>
  <c r="E12011" i="1"/>
  <c r="E12012" i="1"/>
  <c r="E12013" i="1"/>
  <c r="E12014" i="1"/>
  <c r="E12015" i="1"/>
  <c r="E12018" i="1"/>
  <c r="E12019" i="1"/>
  <c r="E12020" i="1"/>
  <c r="E12021" i="1"/>
  <c r="E12022" i="1"/>
  <c r="E12023" i="1"/>
  <c r="E12024" i="1"/>
  <c r="E12025" i="1"/>
  <c r="E12026" i="1"/>
  <c r="E12027" i="1"/>
  <c r="E12028" i="1"/>
  <c r="E12029" i="1"/>
  <c r="E12030" i="1"/>
  <c r="E12031" i="1"/>
  <c r="E12033" i="1"/>
  <c r="E12034" i="1"/>
  <c r="E12035" i="1"/>
  <c r="E12036" i="1"/>
  <c r="E12037" i="1"/>
  <c r="E12038" i="1"/>
  <c r="E12039" i="1"/>
  <c r="E12040" i="1"/>
  <c r="E12041" i="1"/>
  <c r="E12042" i="1"/>
  <c r="E12043" i="1"/>
  <c r="E12044" i="1"/>
  <c r="E12046" i="1"/>
  <c r="E12047" i="1"/>
</calcChain>
</file>

<file path=xl/sharedStrings.xml><?xml version="1.0" encoding="utf-8"?>
<sst xmlns="http://schemas.openxmlformats.org/spreadsheetml/2006/main" count="65958" uniqueCount="22884">
  <si>
    <t>8 (495) 225 – 25 – 20</t>
  </si>
  <si>
    <t>Сумма заказа по Вашей цене [С НДС]</t>
  </si>
  <si>
    <t>ВАША СКИДКА:</t>
  </si>
  <si>
    <t>Вес (кг)</t>
  </si>
  <si>
    <t>Объем (м³)</t>
  </si>
  <si>
    <t>[БЕЗ НДС]</t>
  </si>
  <si>
    <t>www.sds-group.ru</t>
  </si>
  <si>
    <t>Прайс-лист от 11.09.2026</t>
  </si>
  <si>
    <t>Группа индивидуального ценообразования</t>
  </si>
  <si>
    <t>Артикул</t>
  </si>
  <si>
    <t>Наименование</t>
  </si>
  <si>
    <t>Сформировать заказ 
по Вашей цене</t>
  </si>
  <si>
    <t>Цена с Вашей скидкой</t>
  </si>
  <si>
    <t>Ссылка</t>
  </si>
  <si>
    <t>Ед.</t>
  </si>
  <si>
    <t>Новинка</t>
  </si>
  <si>
    <t>Распродажа</t>
  </si>
  <si>
    <t>Заказная (мин. партия)</t>
  </si>
  <si>
    <t>Наличие</t>
  </si>
  <si>
    <t>Дата поставки</t>
  </si>
  <si>
    <t>В упак</t>
  </si>
  <si>
    <t>Упк трансп</t>
  </si>
  <si>
    <t>Мин отгрузка</t>
  </si>
  <si>
    <t>РРЦ
С НДС</t>
  </si>
  <si>
    <t>РРЦ
БЕЗ НДС</t>
  </si>
  <si>
    <t>МИЦ 
С НДС</t>
  </si>
  <si>
    <t>МИЦ 
БЕЗ НДС</t>
  </si>
  <si>
    <t>РОЦ 
С НДС</t>
  </si>
  <si>
    <t>РОЦ 
БЕЗ НДС</t>
  </si>
  <si>
    <t>Акция</t>
  </si>
  <si>
    <t>Дата окончания акции</t>
  </si>
  <si>
    <t>Регулируемый ассортимент</t>
  </si>
  <si>
    <t>Штрих код</t>
  </si>
  <si>
    <t>1. ЭЛЕКТРОТЕХНИКА (ELECTRO)</t>
  </si>
  <si>
    <t>1. 1 Электроустановочные изделия</t>
  </si>
  <si>
    <t>1. 1. 1 Выключатели и розетки скрытой установки</t>
  </si>
  <si>
    <t>1. 1. 1. 1 Выключатели и розетки скрытой установки серия Happy</t>
  </si>
  <si>
    <t>KR-78-0621</t>
  </si>
  <si>
    <t>Выключатель двухклавишный Ромашка с/у, желтый/белый KRANZ</t>
  </si>
  <si>
    <t>шт</t>
  </si>
  <si>
    <t>Да</t>
  </si>
  <si>
    <t>KR-78-0618</t>
  </si>
  <si>
    <t>Выключатель двухклавишный Солнце с/у, желтый KRANZ</t>
  </si>
  <si>
    <t>KR-78-0627</t>
  </si>
  <si>
    <t>Выключатель двухклавишный Цветок с/у, белый/голубой KRANZ</t>
  </si>
  <si>
    <t>KR-78-0624</t>
  </si>
  <si>
    <t>Выключатель двухклавишный Цветок с/у, белый/розовый KRANZ</t>
  </si>
  <si>
    <t>KR-78-0630</t>
  </si>
  <si>
    <t>Выключатель двухклавишный Яичница с/у, желтый/белый KRANZ</t>
  </si>
  <si>
    <t>KR-78-0620</t>
  </si>
  <si>
    <t>Выключатель одноклавишный Ромашка с/у, желтый/белый KRANZ</t>
  </si>
  <si>
    <t>KR-78-0617</t>
  </si>
  <si>
    <t>Выключатель одноклавишный Солнце с/у, желтый KRANZ</t>
  </si>
  <si>
    <t>KR-78-0626</t>
  </si>
  <si>
    <t>Выключатель одноклавишный Цветок с/у, белый/голубой KRANZ</t>
  </si>
  <si>
    <t>KR-78-0629</t>
  </si>
  <si>
    <t>Выключатель одноклавишный Яичница с/у, желтый/белый KRANZ</t>
  </si>
  <si>
    <t>KR-78-0632</t>
  </si>
  <si>
    <t>Розетка двойная Яичница с/у, с/з, со шторками, желтая/белая KRANZ</t>
  </si>
  <si>
    <t>KR-78-0813</t>
  </si>
  <si>
    <t>Розетка одноместная Солнце с/у, с/з, со шторками, желтая KRANZ</t>
  </si>
  <si>
    <t>KR-78-0628</t>
  </si>
  <si>
    <t>Розетка одноместная Цветок с/у, с/з, со шторками, белая/голубая KRANZ</t>
  </si>
  <si>
    <t>KR-78-0625</t>
  </si>
  <si>
    <t>Розетка одноместная Цветок с/у, с/з, со шторками, белая/розовая KRANZ</t>
  </si>
  <si>
    <t>1. 1. 1. 2 Выключатели и розетки скрытой установки серия DEA</t>
  </si>
  <si>
    <t>KR-78-0238</t>
  </si>
  <si>
    <t>Выключатель (переключатель) 1кл перекрест. с/у 10А мех. бежевый KRANZ</t>
  </si>
  <si>
    <t>KR-78-0208</t>
  </si>
  <si>
    <t>Выключатель (переключатель) 1кл перекрест. с/у 10А мех. белый KRANZ</t>
  </si>
  <si>
    <t>KR-78-0236</t>
  </si>
  <si>
    <t>Выключатель (переключатель) 1кл прох. (инд) с/у 10А мех. бежевый KRANZ</t>
  </si>
  <si>
    <t>KR-78-0206</t>
  </si>
  <si>
    <t>Выключатель (переключатель) 1кл прох. (инд) с/у 10А мех. белый KRANZ</t>
  </si>
  <si>
    <t>KR-78-0235</t>
  </si>
  <si>
    <t>Выключатель (переключатель) 1кл прох. с/у 10А мех. бежевый KRANZ</t>
  </si>
  <si>
    <t>KR-78-0207</t>
  </si>
  <si>
    <t>Выключатель (переключатель) 2кл прох. с/у 10А мех. белый KRANZ</t>
  </si>
  <si>
    <t>KR-78-0231</t>
  </si>
  <si>
    <t>Выключатель 1кл (инд) с/у 10А мех. Беж KRANZ</t>
  </si>
  <si>
    <t>KR-78-0201</t>
  </si>
  <si>
    <t>Выключатель 1кл (инд) с/у 10А мех. Бел KRANZ</t>
  </si>
  <si>
    <t>KR-78-0230</t>
  </si>
  <si>
    <t>Выключатель 1кл с/у 10А мех. Беж KRANZ</t>
  </si>
  <si>
    <t>KR-78-0200</t>
  </si>
  <si>
    <t>Выключатель 1кл с/у 10А мех. Бел KRANZ</t>
  </si>
  <si>
    <t>KR-78-0260</t>
  </si>
  <si>
    <t>Выключатель 1кл с/у 10А мех. Серебряный металлик KRANZ</t>
  </si>
  <si>
    <t>KR-78-0320</t>
  </si>
  <si>
    <t>Выключатель 1кл с/у 10А мех. Черный Металлик KRANZ</t>
  </si>
  <si>
    <t>KR-78-0233</t>
  </si>
  <si>
    <t>Выключатель 2кл (инд) с/у 10А мех. Беж KRANZ</t>
  </si>
  <si>
    <t>KR-78-0203</t>
  </si>
  <si>
    <t>Выключатель 2кл (инд) с/у 10А мех. Бел KRANZ</t>
  </si>
  <si>
    <t>KR-78-0232</t>
  </si>
  <si>
    <t>Выключатель 2кл с/у 10А мех. Беж KRANZ</t>
  </si>
  <si>
    <t>KR-78-0234</t>
  </si>
  <si>
    <t>Выключатель 3кл с/у 10А мех. Беж KRANZ</t>
  </si>
  <si>
    <t>KR-78-0204</t>
  </si>
  <si>
    <t>Выключатель 3кл с/у 10А мех. Бел KRANZ</t>
  </si>
  <si>
    <t>-</t>
  </si>
  <si>
    <t>KR-78-0239</t>
  </si>
  <si>
    <t>Выключатель для жалюзи 2кл с/у 10А мех. Беж KRANZ</t>
  </si>
  <si>
    <t>KR-78-0209</t>
  </si>
  <si>
    <t>Выключатель для жалюзи 2кл с/у 10А мех. Бел KRANZ</t>
  </si>
  <si>
    <t>KR-78-0255</t>
  </si>
  <si>
    <t>Рамка 1-я горизонтальная Беж KRANZ</t>
  </si>
  <si>
    <t>KR-78-0225</t>
  </si>
  <si>
    <t>Рамка 1-я горизонтальная Бел KRANZ</t>
  </si>
  <si>
    <t>KR-78-0315</t>
  </si>
  <si>
    <t>Рамка 1-я горизонтальная Золотой Металлик KRANZ</t>
  </si>
  <si>
    <t>KR-78-0285</t>
  </si>
  <si>
    <t>Рамка 1-я горизонтальная Серебряный металлик KRANZ</t>
  </si>
  <si>
    <t>KR-78-0345</t>
  </si>
  <si>
    <t>Рамка 1-я горизонтальная Черный Металлик KRANZ</t>
  </si>
  <si>
    <t>KR-78-0256</t>
  </si>
  <si>
    <t>Рамка 2-я горизонтальная Беж KRANZ</t>
  </si>
  <si>
    <t>KR-78-0316</t>
  </si>
  <si>
    <t>Рамка 2-я горизонтальная Золотой Металлик KRANZ</t>
  </si>
  <si>
    <t>KR-78-0286</t>
  </si>
  <si>
    <t>Рамка 2-я горизонтальная Серебряный металлик KRANZ</t>
  </si>
  <si>
    <t>KR-78-0346</t>
  </si>
  <si>
    <t>Рамка 2-я горизонтальная Черный Металлик KRANZ</t>
  </si>
  <si>
    <t>KR-78-0257</t>
  </si>
  <si>
    <t>Рамка 3-я горизонтальная Беж KRANZ</t>
  </si>
  <si>
    <t>KR-78-0227</t>
  </si>
  <si>
    <t>Рамка 3-я горизонтальная Бел KRANZ</t>
  </si>
  <si>
    <t>KR-78-0317</t>
  </si>
  <si>
    <t>Рамка 3-я горизонтальная Золотой Металлик KRANZ</t>
  </si>
  <si>
    <t>KR-78-0287</t>
  </si>
  <si>
    <t>Рамка 3-я горизонтальная Серебряный металлик KRANZ</t>
  </si>
  <si>
    <t>KR-78-0347</t>
  </si>
  <si>
    <t>Рамка 3-я горизонтальная Черный Металлик KRANZ</t>
  </si>
  <si>
    <t>KR-78-0258</t>
  </si>
  <si>
    <t>Рамка 4-я горизонтальная Беж KRANZ</t>
  </si>
  <si>
    <t>KR-78-0228</t>
  </si>
  <si>
    <t>Рамка 4-я горизонтальная Бел KRANZ</t>
  </si>
  <si>
    <t>KR-78-0318</t>
  </si>
  <si>
    <t>Рамка 4-я горизонтальная Золотой Металлик KRANZ</t>
  </si>
  <si>
    <t>KR-78-0288</t>
  </si>
  <si>
    <t>Рамка 4-я горизонтальная Серебряный металлик KRANZ</t>
  </si>
  <si>
    <t>KR-78-0348</t>
  </si>
  <si>
    <t>Рамка 4-я горизонтальная Черный Металлик KRANZ</t>
  </si>
  <si>
    <t>KR-78-0259</t>
  </si>
  <si>
    <t>Рамка 5-я горизонтальная Беж KRANZ</t>
  </si>
  <si>
    <t>KR-78-0229</t>
  </si>
  <si>
    <t>Рамка 5-я горизонтальная Бел KRANZ</t>
  </si>
  <si>
    <t>KR-78-0289</t>
  </si>
  <si>
    <t>Рамка 5-я горизонтальная Серебряный металлик KRANZ</t>
  </si>
  <si>
    <t>KR-78-0349</t>
  </si>
  <si>
    <t>Рамка 5-я горизонтальная Черный Металлик KRANZ</t>
  </si>
  <si>
    <t>KR-78-0210</t>
  </si>
  <si>
    <t>Розетка 1-ая б/з с/у 10А мех. Бел KRANZ</t>
  </si>
  <si>
    <t>KR-78-0246</t>
  </si>
  <si>
    <t>Розетка 1-ая керамика с/з с крышкой с/у 16А мех. Беж KRANZ</t>
  </si>
  <si>
    <t>KR-78-0216</t>
  </si>
  <si>
    <t>Розетка 1-ая керамика с/з с крышкой с/у 16А мех. Бел KRANZ</t>
  </si>
  <si>
    <t>KR-78-0215</t>
  </si>
  <si>
    <t>Розетка 1-ая керамика с/з с/у 16А мех. Бел KRANZ</t>
  </si>
  <si>
    <t>KR-78-0242</t>
  </si>
  <si>
    <t>Розетка 1-ая с/з з/ш с/у 16А мех. Беж KRANZ</t>
  </si>
  <si>
    <t>KR-78-0212</t>
  </si>
  <si>
    <t>Розетка 1-ая с/з з/ш с/у 16А мех. Бел KRANZ</t>
  </si>
  <si>
    <t>KR-78-0213</t>
  </si>
  <si>
    <t>Розетка 1-ая с/з с крышкой с/у 16А мех. Бел KRANZ</t>
  </si>
  <si>
    <t>KR-78-0241</t>
  </si>
  <si>
    <t>Розетка 1-ая с/з с/у 16А мех. Беж KRANZ</t>
  </si>
  <si>
    <t>KR-78-0211</t>
  </si>
  <si>
    <t>Розетка 1-ая с/з с/у 16А мех. Бел KRANZ</t>
  </si>
  <si>
    <t>KR-78-0271</t>
  </si>
  <si>
    <t>Розетка 1-ая с/з с/у 16А мех. Серебряный металлик KRANZ</t>
  </si>
  <si>
    <t>KR-78-0331</t>
  </si>
  <si>
    <t>Розетка 1-ая с/з с/у 16А мех. Черный Металлик KRANZ</t>
  </si>
  <si>
    <t>KR-78-0247</t>
  </si>
  <si>
    <t>Розетка 2-ая б/з с/у 10А Беж KRANZ</t>
  </si>
  <si>
    <t>KR-78-0217</t>
  </si>
  <si>
    <t>Розетка 2-ая б/з с/у 10А Бел KRANZ</t>
  </si>
  <si>
    <t>KR-78-0249</t>
  </si>
  <si>
    <t>Розетка 2-ая керамика б/з с/у 10А Беж KRANZ</t>
  </si>
  <si>
    <t>KR-78-0220</t>
  </si>
  <si>
    <t>Розетка 2-ая керамика с/з с/у 16А Бел KRANZ</t>
  </si>
  <si>
    <t>KR-78-0248</t>
  </si>
  <si>
    <t>Розетка 2-ая с/з с/у 16А Беж KRANZ</t>
  </si>
  <si>
    <t>KR-78-0218</t>
  </si>
  <si>
    <t>Розетка 2-ая с/з с/у 16А Бел KRANZ</t>
  </si>
  <si>
    <t>KR-78-0253</t>
  </si>
  <si>
    <t>Розетка Компьютер RJ45 с/у мех. Беж KRANZ</t>
  </si>
  <si>
    <t>KR-78-0223</t>
  </si>
  <si>
    <t>Розетка Компьютер RJ45 с/у мех. Бел KRANZ</t>
  </si>
  <si>
    <t>KR-78-0251</t>
  </si>
  <si>
    <t>Розетка ТВ Проходная с/у мех. Беж KRANZ</t>
  </si>
  <si>
    <t>KR-78-0221</t>
  </si>
  <si>
    <t>Розетка ТВ Проходная с/у мех. Бел KRANZ</t>
  </si>
  <si>
    <t>KR-78-0252</t>
  </si>
  <si>
    <t>Розетка Телефон RJ11 с/у мех. Беж KRANZ</t>
  </si>
  <si>
    <t>KR-78-0222</t>
  </si>
  <si>
    <t>Розетка Телефон RJ11 с/у мех. Бел KRANZ</t>
  </si>
  <si>
    <t>KR-78-0254</t>
  </si>
  <si>
    <t>Светорегулятор 300Вт с/у мех. Беж KRANZ</t>
  </si>
  <si>
    <t>KR-78-0224</t>
  </si>
  <si>
    <t>Светорегулятор 300Вт с/у мех. Бел KRANZ</t>
  </si>
  <si>
    <t>1. 1. 1. 3 Выключатели и розетки серия ROUND со скругленным углом</t>
  </si>
  <si>
    <t>KR-78-0736-3</t>
  </si>
  <si>
    <t>Вывод кабеля ROUND оникс KRANZ</t>
  </si>
  <si>
    <t>KR-78-0736-1</t>
  </si>
  <si>
    <t>Вывод кабеля ROUND перламутр KRANZ</t>
  </si>
  <si>
    <t>KR-78-0736-2</t>
  </si>
  <si>
    <t>Вывод кабеля ROUND титан KRANZ</t>
  </si>
  <si>
    <t>KR-78-0736-7</t>
  </si>
  <si>
    <t>Вывод кабеля ROUND шелк KRANZ</t>
  </si>
  <si>
    <t>12.12.2026</t>
  </si>
  <si>
    <t>KR-78-0705-3</t>
  </si>
  <si>
    <t>Выключатель ROUND 1 кл 10А с/у оникс KRANZ</t>
  </si>
  <si>
    <t>KR-78-0705-1</t>
  </si>
  <si>
    <t>Выключатель ROUND 1 кл 10А с/у перламутр KRANZ</t>
  </si>
  <si>
    <t>KR-78-0705-2</t>
  </si>
  <si>
    <t>Выключатель ROUND 1 кл 10А с/у титан KRANZ</t>
  </si>
  <si>
    <t>KR-78-0705-7</t>
  </si>
  <si>
    <t>Выключатель ROUND 1 кл 10А с/у шелк KRANZ</t>
  </si>
  <si>
    <t>KR-78-0712-3</t>
  </si>
  <si>
    <t>Выключатель ROUND 1 кл возвратный 10А с/у оникс KRANZ</t>
  </si>
  <si>
    <t>KR-78-0712-1</t>
  </si>
  <si>
    <t>Выключатель ROUND 1 кл возвратный 10А с/у перламутр KRANZ</t>
  </si>
  <si>
    <t>KR-78-0712-2</t>
  </si>
  <si>
    <t>Выключатель ROUND 1 кл возвратный 10А с/у титан KRANZ</t>
  </si>
  <si>
    <t>KR-78-0712-7</t>
  </si>
  <si>
    <t>Выключатель ROUND 1 кл возвратный 10А с/у шелк KRANZ</t>
  </si>
  <si>
    <t>KR-78-0710-3</t>
  </si>
  <si>
    <t>Выключатель ROUND 1 кл перекрестный (переключатель) 10А с/у оникс KRANZ</t>
  </si>
  <si>
    <t>KR-78-0710-1</t>
  </si>
  <si>
    <t>Выключатель ROUND 1 кл перекрестный (переключатель) 10А с/у перламутр KRANZ</t>
  </si>
  <si>
    <t>KR-78-0710-2</t>
  </si>
  <si>
    <t>Выключатель ROUND 1 кл перекрестный (переключатель) 10А с/у титан KRANZ</t>
  </si>
  <si>
    <t>KR-78-0710-7</t>
  </si>
  <si>
    <t>Выключатель ROUND 1 кл перекрестный (переключатель) 10А с/у шелк KRANZ</t>
  </si>
  <si>
    <t>KR-78-0718-3</t>
  </si>
  <si>
    <t>Выключатель ROUND 1 кл перекрестный (переключатель) с подсветкой 10А с/у оникс KRANZ</t>
  </si>
  <si>
    <t>KR-78-0718-1</t>
  </si>
  <si>
    <t>Выключатель ROUND 1 кл перекрестный (переключатель) с подсветкой 10А с/у перламутр KRANZ</t>
  </si>
  <si>
    <t>KR-78-0718-2</t>
  </si>
  <si>
    <t>Выключатель ROUND 1 кл перекрестный (переключатель) с подсветкой 10А с/у титан KRANZ</t>
  </si>
  <si>
    <t>KR-78-0708-3</t>
  </si>
  <si>
    <t>Выключатель ROUND 1 кл проходной (переключатель) 10А с/у оникс KRANZ</t>
  </si>
  <si>
    <t>KR-78-0708-1</t>
  </si>
  <si>
    <t>Выключатель ROUND 1 кл проходной (переключатель) 10А с/у перламутр KRANZ</t>
  </si>
  <si>
    <t>KR-78-0708-2</t>
  </si>
  <si>
    <t>Выключатель ROUND 1 кл проходной (переключатель) 10А с/у титан KRANZ</t>
  </si>
  <si>
    <t>KR-78-0708-7</t>
  </si>
  <si>
    <t>Выключатель ROUND 1 кл проходной (переключатель) 10А с/у шелк KRANZ</t>
  </si>
  <si>
    <t>KR-78-0716-3</t>
  </si>
  <si>
    <t>Выключатель ROUND 1 кл проходной (переключатель) с подсветкой 10А с/у оникс KRANZ</t>
  </si>
  <si>
    <t>KR-78-0716-1</t>
  </si>
  <si>
    <t>Выключатель ROUND 1 кл проходной (переключатель) с подсветкой 10А с/у перламутр KRANZ</t>
  </si>
  <si>
    <t>KR-78-0716-2</t>
  </si>
  <si>
    <t>Выключатель ROUND 1 кл проходной (переключатель) с подсветкой 10А с/у титан KRANZ</t>
  </si>
  <si>
    <t>KR-78-0716-7</t>
  </si>
  <si>
    <t>Выключатель ROUND 1 кл проходной (переключатель) с подсветкой 10А с/у шелк KRANZ</t>
  </si>
  <si>
    <t>KR-78-0713-3</t>
  </si>
  <si>
    <t>Выключатель ROUND 1 кл с подсветкой 10А с/у оникс KRANZ</t>
  </si>
  <si>
    <t>KR-78-0713-1</t>
  </si>
  <si>
    <t>Выключатель ROUND 1 кл с подсветкой 10А с/у перламутр KRANZ</t>
  </si>
  <si>
    <t>KR-78-0713-2</t>
  </si>
  <si>
    <t>Выключатель ROUND 1 кл с подсветкой 10А с/у титан KRANZ</t>
  </si>
  <si>
    <t>KR-78-0713-7</t>
  </si>
  <si>
    <t>Выключатель ROUND 1 кл с подсветкой 10А с/у шелк KRANZ</t>
  </si>
  <si>
    <t>KR-78-0706-3</t>
  </si>
  <si>
    <t>Выключатель ROUND 2 кл 10А с/у оникс KRANZ</t>
  </si>
  <si>
    <t>KR-78-0706-1</t>
  </si>
  <si>
    <t>Выключатель ROUND 2 кл 10А с/у перламутр KRANZ</t>
  </si>
  <si>
    <t>KR-78-0706-2</t>
  </si>
  <si>
    <t>Выключатель ROUND 2 кл 10А с/у титан KRANZ</t>
  </si>
  <si>
    <t>KR-78-0706-7</t>
  </si>
  <si>
    <t>Выключатель ROUND 2 кл 10А с/у шелк KRANZ</t>
  </si>
  <si>
    <t>KR-78-0711-3</t>
  </si>
  <si>
    <t>Выключатель ROUND 2 кл для жалюзи возвратный 10А с/у оникс KRANZ</t>
  </si>
  <si>
    <t>KR-78-0711-1</t>
  </si>
  <si>
    <t>Выключатель ROUND 2 кл для жалюзи возвратный 10А с/у перламутр KRANZ</t>
  </si>
  <si>
    <t>KR-78-0711-2</t>
  </si>
  <si>
    <t>Выключатель ROUND 2 кл для жалюзи возвратный 10А с/у титан KRANZ</t>
  </si>
  <si>
    <t>KR-78-0711-7</t>
  </si>
  <si>
    <t>Выключатель ROUND 2 кл для жалюзи возвратный 10А с/у шелк KRANZ</t>
  </si>
  <si>
    <t>KR-78-0733-3</t>
  </si>
  <si>
    <t>Выключатель ROUND 2 кл перекрестный (переключатель) 10А с/у оникс KRANZ</t>
  </si>
  <si>
    <t>KR-78-0733-1</t>
  </si>
  <si>
    <t>Выключатель ROUND 2 кл перекрестный (переключатель) 10А с/у перламутр KRANZ</t>
  </si>
  <si>
    <t>KR-78-0733-2</t>
  </si>
  <si>
    <t>Выключатель ROUND 2 кл перекрестный (переключатель) 10А с/у титан KRANZ</t>
  </si>
  <si>
    <t>KR-78-0733-7</t>
  </si>
  <si>
    <t>Выключатель ROUND 2 кл перекрестный (переключатель) 10А с/у шелк KRANZ</t>
  </si>
  <si>
    <t>KR-78-0709-3</t>
  </si>
  <si>
    <t>Выключатель ROUND 2 кл проходной (переключатель) 10А с/у оникс KRANZ</t>
  </si>
  <si>
    <t>KR-78-0709-1</t>
  </si>
  <si>
    <t>Выключатель ROUND 2 кл проходной (переключатель) 10А с/у перламутр KRANZ</t>
  </si>
  <si>
    <t>KR-78-0709-2</t>
  </si>
  <si>
    <t>Выключатель ROUND 2 кл проходной (переключатель) 10А с/у титан KRANZ</t>
  </si>
  <si>
    <t>KR-78-0709-7</t>
  </si>
  <si>
    <t>Выключатель ROUND 2 кл проходной (переключатель) 10А с/у шелк KRANZ</t>
  </si>
  <si>
    <t>KR-78-0717-7</t>
  </si>
  <si>
    <t>Выключатель ROUND 2 кл проходной (переключатель) с подсветкой 10А с/у шелк KRANZ</t>
  </si>
  <si>
    <t>KR-78-0714-3</t>
  </si>
  <si>
    <t>Выключатель ROUND 2 кл с подсветкой 10А с/у оникс KRANZ</t>
  </si>
  <si>
    <t>KR-78-0714-1</t>
  </si>
  <si>
    <t>Выключатель ROUND 2 кл с подсветкой 10А с/у перламутр KRANZ</t>
  </si>
  <si>
    <t>KR-78-0714-2</t>
  </si>
  <si>
    <t>Выключатель ROUND 2 кл с подсветкой 10А с/у титан KRANZ</t>
  </si>
  <si>
    <t>KR-78-0714-7</t>
  </si>
  <si>
    <t>Выключатель ROUND 2 кл с подсветкой 10А с/у шелк KRANZ</t>
  </si>
  <si>
    <t>KR-78-0707-3</t>
  </si>
  <si>
    <t>Выключатель ROUND 3 кл 10А с/у оникс KRANZ</t>
  </si>
  <si>
    <t>KR-78-0707-1</t>
  </si>
  <si>
    <t>Выключатель ROUND 3 кл 10А с/у перламутр KRANZ</t>
  </si>
  <si>
    <t>KR-78-0707-2</t>
  </si>
  <si>
    <t>Выключатель ROUND 3 кл 10А с/у титан KRANZ</t>
  </si>
  <si>
    <t>KR-78-0707-7</t>
  </si>
  <si>
    <t>Выключатель ROUND 3 кл 10А с/у шелк KRANZ</t>
  </si>
  <si>
    <t>KR-78-0735-3</t>
  </si>
  <si>
    <t>Заглушка ROUND декоративная с суппортом оникс KRANZ</t>
  </si>
  <si>
    <t>KR-78-0735-1</t>
  </si>
  <si>
    <t>Заглушка ROUND декоративная с суппортом перламутр KRANZ</t>
  </si>
  <si>
    <t>KR-78-0735-2</t>
  </si>
  <si>
    <t>Заглушка ROUND декоративная с суппортом титан KRANZ</t>
  </si>
  <si>
    <t>KR-78-0735-7</t>
  </si>
  <si>
    <t>Заглушка ROUND декоративная с суппортом шелк KRANZ</t>
  </si>
  <si>
    <t>KR-78-0727-3</t>
  </si>
  <si>
    <t>Подсветка настенная ROUND для ног с/у оникс KRANZ</t>
  </si>
  <si>
    <t>KR-78-0727-2</t>
  </si>
  <si>
    <t>Подсветка настенная ROUND для ног с/у титан KRANZ</t>
  </si>
  <si>
    <t>KR-78-0727-7</t>
  </si>
  <si>
    <t>Подсветка настенная ROUND для ног с/у шелк KRANZ</t>
  </si>
  <si>
    <t>KR-78-0752-3</t>
  </si>
  <si>
    <t>Рамка ROUND 2-постовая оникс KRANZ</t>
  </si>
  <si>
    <t>KR-78-0752-1</t>
  </si>
  <si>
    <t>Рамка ROUND 2-постовая перламутр KRANZ</t>
  </si>
  <si>
    <t>KR-78-0752-2</t>
  </si>
  <si>
    <t>Рамка ROUND 2-постовая титан KRANZ</t>
  </si>
  <si>
    <t>KR-78-0752-7</t>
  </si>
  <si>
    <t>Рамка ROUND 2-постовая шелк KRANZ</t>
  </si>
  <si>
    <t>KR-78-0753-3</t>
  </si>
  <si>
    <t>Рамка ROUND 3-постовая оникс KRANZ</t>
  </si>
  <si>
    <t>KR-78-0753-1</t>
  </si>
  <si>
    <t>Рамка ROUND 3-постовая перламутр KRANZ</t>
  </si>
  <si>
    <t>KR-78-0753-2</t>
  </si>
  <si>
    <t>Рамка ROUND 3-постовая титан KRANZ</t>
  </si>
  <si>
    <t>KR-78-0753-7</t>
  </si>
  <si>
    <t>Рамка ROUND 3-постовая шелк KRANZ</t>
  </si>
  <si>
    <t>KR-78-0754-3</t>
  </si>
  <si>
    <t>Рамка ROUND 4-постовая оникс KRANZ</t>
  </si>
  <si>
    <t>KR-78-0754-1</t>
  </si>
  <si>
    <t>Рамка ROUND 4-постовая перламутр KRANZ</t>
  </si>
  <si>
    <t>KR-78-0754-2</t>
  </si>
  <si>
    <t>Рамка ROUND 4-постовая титан KRANZ</t>
  </si>
  <si>
    <t>KR-78-0754-7</t>
  </si>
  <si>
    <t>Рамка ROUND 4-постовая шелк KRANZ</t>
  </si>
  <si>
    <t>KR-78-0755-3</t>
  </si>
  <si>
    <t>Рамка ROUND 5-постовая оникс KRANZ</t>
  </si>
  <si>
    <t>KR-78-0755-1</t>
  </si>
  <si>
    <t>Рамка ROUND 5-постовая перламутр KRANZ</t>
  </si>
  <si>
    <t>KR-78-0755-2</t>
  </si>
  <si>
    <t>Рамка ROUND 5-постовая титан KRANZ</t>
  </si>
  <si>
    <t>KR-78-0755-7</t>
  </si>
  <si>
    <t>Рамка ROUND 5-постовая шелк KRANZ</t>
  </si>
  <si>
    <t>KR-78-0704-3</t>
  </si>
  <si>
    <t>Розетка ROUND 1-ая с/з с/у з/ш 16А с USB A+C быстрой зарядки 5В/3А оникс KRANZ</t>
  </si>
  <si>
    <t>KR-78-0704-1</t>
  </si>
  <si>
    <t>Розетка ROUND 1-ая с/з с/у з/ш 16А с USB A+C быстрой зарядки 5В/3А перламутр KRANZ</t>
  </si>
  <si>
    <t>KR-78-0704-2</t>
  </si>
  <si>
    <t>Розетка ROUND 1-ая с/з с/у з/ш 16А с USB A+C быстрой зарядки 5В/3А титан KRANZ</t>
  </si>
  <si>
    <t>KR-78-0704-7</t>
  </si>
  <si>
    <t>Розетка ROUND 1-ая с/з с/у з/ш 16А с USB A+C быстрой зарядки 5В/3А шелк KRANZ</t>
  </si>
  <si>
    <t>KR-78-0701-3</t>
  </si>
  <si>
    <t>Розетка ROUND 1-ая с/з с/у, со шторками 16А оникс KRANZ</t>
  </si>
  <si>
    <t>KR-78-0701-1</t>
  </si>
  <si>
    <t>Розетка ROUND 1-ая с/з с/у, со шторками 16А перламутр KRANZ</t>
  </si>
  <si>
    <t>KR-78-0701-2</t>
  </si>
  <si>
    <t>Розетка ROUND 1-ая с/з с/у, со шторками 16А титан KRANZ</t>
  </si>
  <si>
    <t>KR-78-0701-7</t>
  </si>
  <si>
    <t>Розетка ROUND 1-ая с/з с/у, со шторками 16А шелк KRANZ</t>
  </si>
  <si>
    <t>KR-78-0702-3</t>
  </si>
  <si>
    <t>Розетка ROUND 1-ая с/з с/у, со шторками и крышкой 16А оникс KRANZ</t>
  </si>
  <si>
    <t>KR-78-0702-1</t>
  </si>
  <si>
    <t>Розетка ROUND 1-ая с/з с/у, со шторками и крышкой 16А перламутр KRANZ</t>
  </si>
  <si>
    <t>KR-78-0702-2</t>
  </si>
  <si>
    <t>Розетка ROUND 1-ая с/з с/у, со шторками и крышкой 16А титан KRANZ</t>
  </si>
  <si>
    <t>KR-78-0702-7</t>
  </si>
  <si>
    <t>Розетка ROUND 1-ая с/з с/у, со шторками и крышкой 16А шелк KRANZ</t>
  </si>
  <si>
    <t>KR-78-0723-3</t>
  </si>
  <si>
    <t>Розетка ROUND TV с/у оникс KRANZ</t>
  </si>
  <si>
    <t>KR-78-0723-1</t>
  </si>
  <si>
    <t>Розетка ROUND TV с/у перламутр KRANZ</t>
  </si>
  <si>
    <t>KR-78-0723-2</t>
  </si>
  <si>
    <t>Розетка ROUND TV с/у титан KRANZ</t>
  </si>
  <si>
    <t>KR-78-0723-7</t>
  </si>
  <si>
    <t>Розетка ROUND TV с/у шелк KRANZ</t>
  </si>
  <si>
    <t>KR-78-0734-3</t>
  </si>
  <si>
    <t>Розетка ROUND USB-A+Type-C 3А с функцией быстрой зарядки оникс KRANZ</t>
  </si>
  <si>
    <t>KR-78-0734-1</t>
  </si>
  <si>
    <t>Розетка ROUND USB-A+Type-C 3А с функцией быстрой зарядки перламутр KRANZ</t>
  </si>
  <si>
    <t>KR-78-0734-7</t>
  </si>
  <si>
    <t>Розетка ROUND USB-A+Type-C 3А с функцией быстрой зарядки шелк KRANZ</t>
  </si>
  <si>
    <t>KR-78-0722-1</t>
  </si>
  <si>
    <t>Розетка ROUND компьютерная RJ45 кат6 + TV с/у перламутр KRANZ</t>
  </si>
  <si>
    <t>KR-78-0722-7</t>
  </si>
  <si>
    <t>Розетка ROUND компьютерная RJ45 кат6 + TV с/у шелк KRANZ</t>
  </si>
  <si>
    <t>KR-78-0724-3</t>
  </si>
  <si>
    <t>Розетка ROUND компьютерная RJ45 кат6 с/у оникс KRANZ</t>
  </si>
  <si>
    <t>KR-78-0724-1</t>
  </si>
  <si>
    <t>Розетка ROUND компьютерная RJ45 кат6 с/у перламутр KRANZ</t>
  </si>
  <si>
    <t>KR-78-0724-2</t>
  </si>
  <si>
    <t>Розетка ROUND компьютерная RJ45 кат6 с/у титан KRANZ</t>
  </si>
  <si>
    <t>KR-78-0724-7</t>
  </si>
  <si>
    <t>Розетка ROUND компьютерная RJ45 кат6 с/у шелк KRANZ</t>
  </si>
  <si>
    <t>KR-78-0725-3</t>
  </si>
  <si>
    <t>Розетка ROUND компьютерная двойная RJ45+RJ45 кат6 с/у оникс KRANZ</t>
  </si>
  <si>
    <t>KR-78-0725-1</t>
  </si>
  <si>
    <t>Розетка ROUND компьютерная двойная RJ45+RJ45 кат6 с/у перламутр KRANZ</t>
  </si>
  <si>
    <t>KR-78-0732-3</t>
  </si>
  <si>
    <t>Светорегулятор ROUND (диммер) 300Вт с/у оникс KRANZ</t>
  </si>
  <si>
    <t>KR-78-0732-1</t>
  </si>
  <si>
    <t>Светорегулятор ROUND (диммер) 300Вт с/у перламутр KRANZ</t>
  </si>
  <si>
    <t>KR-78-0732-2</t>
  </si>
  <si>
    <t>Светорегулятор ROUND (диммер) 300Вт с/у титан KRANZ</t>
  </si>
  <si>
    <t>KR-78-0732-7</t>
  </si>
  <si>
    <t>Светорегулятор ROUND (диммер) 300Вт с/у шелк KRANZ</t>
  </si>
  <si>
    <t>KR-78-0728-3</t>
  </si>
  <si>
    <t>Терморегулятор ROUND Wi-Fi с/у оникс KRANZ</t>
  </si>
  <si>
    <t>KR-78-0728-1</t>
  </si>
  <si>
    <t>Терморегулятор ROUND Wi-Fi с/у перламутр KRANZ</t>
  </si>
  <si>
    <t>KR-78-0728-2</t>
  </si>
  <si>
    <t>Терморегулятор ROUND Wi-Fi с/у титан KRANZ</t>
  </si>
  <si>
    <t>KR-78-0728-7</t>
  </si>
  <si>
    <t>Терморегулятор ROUND Wi-Fi с/у шелк KRANZ</t>
  </si>
  <si>
    <t>1. 1. 1. 4 Выключатели и розетки серия STRONG с прямым углом</t>
  </si>
  <si>
    <t>KR-78-0736-6</t>
  </si>
  <si>
    <t>Вывод кабеля STRONG графит KRANZ</t>
  </si>
  <si>
    <t>KR-78-0736-4</t>
  </si>
  <si>
    <t>Вывод кабеля STRONG жемчуг KRANZ</t>
  </si>
  <si>
    <t>KR-78-0736-8</t>
  </si>
  <si>
    <t>Вывод кабеля STRONG шелк KRANZ</t>
  </si>
  <si>
    <t>KR-78-0705-5</t>
  </si>
  <si>
    <t>Выключатель STRONG 1 кл 10А с/у антрацит KRANZ</t>
  </si>
  <si>
    <t>KR-78-0705-6</t>
  </si>
  <si>
    <t>Выключатель STRONG 1 кл 10А с/у графит KRANZ</t>
  </si>
  <si>
    <t>KR-78-0705-4</t>
  </si>
  <si>
    <t>Выключатель STRONG 1 кл 10А с/у жемчуг KRANZ</t>
  </si>
  <si>
    <t>KR-78-0705-8</t>
  </si>
  <si>
    <t>Выключатель STRONG 1 кл 10А с/у шелк KRANZ</t>
  </si>
  <si>
    <t>KR-78-0712-5</t>
  </si>
  <si>
    <t>Выключатель STRONG 1 кл возвратный 10А с/у антрацит KRANZ</t>
  </si>
  <si>
    <t>KR-78-0712-6</t>
  </si>
  <si>
    <t>Выключатель STRONG 1 кл возвратный 10А с/у графит KRANZ</t>
  </si>
  <si>
    <t>KR-78-0712-4</t>
  </si>
  <si>
    <t>Выключатель STRONG 1 кл возвратный 10А с/у жемчуг KRANZ</t>
  </si>
  <si>
    <t>KR-78-0712-8</t>
  </si>
  <si>
    <t>Выключатель STRONG 1 кл возвратный 10А с/у шелк KRANZ</t>
  </si>
  <si>
    <t>KR-78-0710-5</t>
  </si>
  <si>
    <t>Выключатель STRONG 1 кл перекрестный (переключатель) 10А с/у антрацит KRANZ</t>
  </si>
  <si>
    <t>KR-78-0710-6</t>
  </si>
  <si>
    <t>Выключатель STRONG 1 кл перекрестный (переключатель) 10А с/у графит KRANZ</t>
  </si>
  <si>
    <t>KR-78-0710-4</t>
  </si>
  <si>
    <t>Выключатель STRONG 1 кл перекрестный (переключатель) 10А с/у жемчуг KRANZ</t>
  </si>
  <si>
    <t>KR-78-0710-8</t>
  </si>
  <si>
    <t>Выключатель STRONG 1 кл перекрестный (переключатель) 10А с/у шелк KRANZ</t>
  </si>
  <si>
    <t>KR-78-0718-5</t>
  </si>
  <si>
    <t>Выключатель STRONG 1 кл перекрестный (переключатель) с подсветкой 10А с/у антрацит KRANZ</t>
  </si>
  <si>
    <t>KR-78-0718-6</t>
  </si>
  <si>
    <t>Выключатель STRONG 1 кл перекрестный (переключатель) с подсветкой 10А с/у графит KRANZ</t>
  </si>
  <si>
    <t>KR-78-0718-4</t>
  </si>
  <si>
    <t>Выключатель STRONG 1 кл перекрестный (переключатель) с подсветкой 10А с/у жемчуг KRANZ</t>
  </si>
  <si>
    <t>KR-78-0708-5</t>
  </si>
  <si>
    <t>Выключатель STRONG 1 кл проходной (переключатель) 10А с/у антрацит KRANZ</t>
  </si>
  <si>
    <t>KR-78-0708-6</t>
  </si>
  <si>
    <t>Выключатель STRONG 1 кл проходной (переключатель) 10А с/у графит KRANZ</t>
  </si>
  <si>
    <t>KR-78-0708-4</t>
  </si>
  <si>
    <t>Выключатель STRONG 1 кл проходной (переключатель) 10А с/у жемчуг KRANZ</t>
  </si>
  <si>
    <t>KR-78-0708-8</t>
  </si>
  <si>
    <t>Выключатель STRONG 1 кл проходной (переключатель) 10А с/у шелк KRANZ</t>
  </si>
  <si>
    <t>26.12.2026</t>
  </si>
  <si>
    <t>KR-78-0716-5</t>
  </si>
  <si>
    <t>Выключатель STRONG 1 кл проходной (переключатель) с подсветкой 10А с/у антрацит KRANZ</t>
  </si>
  <si>
    <t>KR-78-0716-6</t>
  </si>
  <si>
    <t>Выключатель STRONG 1 кл проходной (переключатель) с подсветкой 10А с/у графит KRANZ</t>
  </si>
  <si>
    <t>KR-78-0716-4</t>
  </si>
  <si>
    <t>Выключатель STRONG 1 кл проходной (переключатель) с подсветкой 10А с/у жемчуг KRANZ</t>
  </si>
  <si>
    <t>KR-78-0716-8</t>
  </si>
  <si>
    <t>Выключатель STRONG 1 кл проходной (переключатель) с подсветкой 10А с/у шелк KRANZ</t>
  </si>
  <si>
    <t>KR-78-0713-5</t>
  </si>
  <si>
    <t>Выключатель STRONG 1 кл с подсветкой 10А с/у антрацит KRANZ</t>
  </si>
  <si>
    <t>KR-78-0713-6</t>
  </si>
  <si>
    <t>Выключатель STRONG 1 кл с подсветкой 10А с/у графит KRANZ</t>
  </si>
  <si>
    <t>KR-78-0713-4</t>
  </si>
  <si>
    <t>Выключатель STRONG 1 кл с подсветкой 10А с/у жемчуг KRANZ</t>
  </si>
  <si>
    <t>KR-78-0713-8</t>
  </si>
  <si>
    <t>Выключатель STRONG 1 кл с подсветкой 10А с/у шелк KRANZ</t>
  </si>
  <si>
    <t>KR-78-0706-5</t>
  </si>
  <si>
    <t>Выключатель STRONG 2 кл 10А с/у антрацит KRANZ</t>
  </si>
  <si>
    <t>KR-78-0706-6</t>
  </si>
  <si>
    <t>Выключатель STRONG 2 кл 10А с/у графит KRANZ</t>
  </si>
  <si>
    <t>KR-78-0706-4</t>
  </si>
  <si>
    <t>Выключатель STRONG 2 кл 10А с/у жемчуг KRANZ</t>
  </si>
  <si>
    <t>KR-78-0706-8</t>
  </si>
  <si>
    <t>Выключатель STRONG 2 кл 10А с/у шелк KRANZ</t>
  </si>
  <si>
    <t>KR-78-0711-5</t>
  </si>
  <si>
    <t>Выключатель STRONG 2 кл для жалюзи возвратный 10А с/у антрацит KRANZ</t>
  </si>
  <si>
    <t>KR-78-0711-6</t>
  </si>
  <si>
    <t>Выключатель STRONG 2 кл для жалюзи возвратный 10А с/у графит KRANZ</t>
  </si>
  <si>
    <t>KR-78-0711-4</t>
  </si>
  <si>
    <t>Выключатель STRONG 2 кл для жалюзи возвратный 10А с/у жемчуг KRANZ</t>
  </si>
  <si>
    <t>KR-78-0711-8</t>
  </si>
  <si>
    <t>Выключатель STRONG 2 кл для жалюзи возвратный 10А с/у шелк KRANZ</t>
  </si>
  <si>
    <t>KR-78-0733-5</t>
  </si>
  <si>
    <t>Выключатель STRONG 2 кл перекрестный (переключатель) 10А с/у антрацит KRANZ</t>
  </si>
  <si>
    <t>KR-78-0733-6</t>
  </si>
  <si>
    <t>Выключатель STRONG 2 кл перекрестный (переключатель) 10А с/у графит KRANZ</t>
  </si>
  <si>
    <t>KR-78-0733-4</t>
  </si>
  <si>
    <t>Выключатель STRONG 2 кл перекрестный (переключатель) 10А с/у жемчуг KRANZ</t>
  </si>
  <si>
    <t>KR-78-0733-8</t>
  </si>
  <si>
    <t>Выключатель STRONG 2 кл перекрестный (переключатель) 10А с/у шелк KRANZ</t>
  </si>
  <si>
    <t>KR-78-0709-5</t>
  </si>
  <si>
    <t>Выключатель STRONG 2 кл проходной (переключатель) 10А с/у антрацит KRANZ</t>
  </si>
  <si>
    <t>KR-78-0709-6</t>
  </si>
  <si>
    <t>Выключатель STRONG 2 кл проходной (переключатель) 10А с/у графит KRANZ</t>
  </si>
  <si>
    <t>KR-78-0709-4</t>
  </si>
  <si>
    <t>Выключатель STRONG 2 кл проходной (переключатель) 10А с/у жемчуг KRANZ</t>
  </si>
  <si>
    <t>KR-78-0709-8</t>
  </si>
  <si>
    <t>Выключатель STRONG 2 кл проходной (переключатель) 10А с/у шелк KRANZ</t>
  </si>
  <si>
    <t>KR-78-0717-8</t>
  </si>
  <si>
    <t>Выключатель STRONG 2 кл проходной (переключатель) с подсветкой 10А с/у шелк KRANZ</t>
  </si>
  <si>
    <t>KR-78-0714-5</t>
  </si>
  <si>
    <t>Выключатель STRONG 2 кл с подсветкой 10А с/у антрацит KRANZ</t>
  </si>
  <si>
    <t>KR-78-0714-6</t>
  </si>
  <si>
    <t>Выключатель STRONG 2 кл с подсветкой 10А с/у графит KRANZ</t>
  </si>
  <si>
    <t>KR-78-0714-4</t>
  </si>
  <si>
    <t>Выключатель STRONG 2 кл с подсветкой 10А с/у жемчуг KRANZ</t>
  </si>
  <si>
    <t>KR-78-0714-8</t>
  </si>
  <si>
    <t>Выключатель STRONG 2 кл с подсветкой 10А с/у шелк KRANZ</t>
  </si>
  <si>
    <t>KR-78-0707-5</t>
  </si>
  <si>
    <t>Выключатель STRONG 3 кл 10А с/у антрацит KRANZ</t>
  </si>
  <si>
    <t>KR-78-0707-6</t>
  </si>
  <si>
    <t>Выключатель STRONG 3 кл 10А с/у графит KRANZ</t>
  </si>
  <si>
    <t>KR-78-0707-4</t>
  </si>
  <si>
    <t>Выключатель STRONG 3 кл 10А с/у жемчуг KRANZ</t>
  </si>
  <si>
    <t>KR-78-0707-8</t>
  </si>
  <si>
    <t>Выключатель STRONG 3 кл 10А с/у шелк KRANZ</t>
  </si>
  <si>
    <t>KR-78-0738-5</t>
  </si>
  <si>
    <t>Выключатель карточный STRONG 30А с/у антрацит KRANZ</t>
  </si>
  <si>
    <t>KR-78-0738-6</t>
  </si>
  <si>
    <t>Выключатель карточный STRONG 30А с/у графит KRANZ</t>
  </si>
  <si>
    <t>KR-78-0738-4</t>
  </si>
  <si>
    <t>Выключатель карточный STRONG 30А с/у жемчуг KRANZ</t>
  </si>
  <si>
    <t>KR-78-0738-8</t>
  </si>
  <si>
    <t>Выключатель карточный STRONG 30А с/у шелк KRANZ</t>
  </si>
  <si>
    <t>KR-78-0735-5</t>
  </si>
  <si>
    <t>Заглушка STRONG декоративная с суппортом антрацит KRANZ</t>
  </si>
  <si>
    <t>KR-78-0735-6</t>
  </si>
  <si>
    <t>Заглушка STRONG декоративная с суппортом графит KRANZ</t>
  </si>
  <si>
    <t>KR-78-0735-4</t>
  </si>
  <si>
    <t>Заглушка STRONG декоративная с суппортом жемчуг KRANZ</t>
  </si>
  <si>
    <t>KR-78-0735-8</t>
  </si>
  <si>
    <t>Заглушка STRONG декоративная с суппортом шелк KRANZ</t>
  </si>
  <si>
    <t>KR-78-0727-5</t>
  </si>
  <si>
    <t>Подсветка настенная STRONG для ног с/у антрацит KRANZ</t>
  </si>
  <si>
    <t>KR-78-0727-8</t>
  </si>
  <si>
    <t>Подсветка настенная STRONG для ног с/у шелк KRANZ</t>
  </si>
  <si>
    <t>KR-78-0752-5</t>
  </si>
  <si>
    <t>Рамка STRONG 2-постовая антрацит KRANZ</t>
  </si>
  <si>
    <t>KR-78-0752-6</t>
  </si>
  <si>
    <t>Рамка STRONG 2-постовая графит KRANZ</t>
  </si>
  <si>
    <t>KR-78-0752-4</t>
  </si>
  <si>
    <t>Рамка STRONG 2-постовая жемчуг KRANZ</t>
  </si>
  <si>
    <t>KR-78-0752-8</t>
  </si>
  <si>
    <t>Рамка STRONG 2-постовая шелк KRANZ</t>
  </si>
  <si>
    <t>KR-78-0753-5</t>
  </si>
  <si>
    <t>Рамка STRONG 3-постовая антрацит KRANZ</t>
  </si>
  <si>
    <t>KR-78-0753-6</t>
  </si>
  <si>
    <t>Рамка STRONG 3-постовая графит KRANZ</t>
  </si>
  <si>
    <t>KR-78-0753-4</t>
  </si>
  <si>
    <t>Рамка STRONG 3-постовая жемчуг KRANZ</t>
  </si>
  <si>
    <t>KR-78-0753-8</t>
  </si>
  <si>
    <t>Рамка STRONG 3-постовая шелк KRANZ</t>
  </si>
  <si>
    <t>KR-78-0754-5</t>
  </si>
  <si>
    <t>Рамка STRONG 4-постовая антрацит KRANZ</t>
  </si>
  <si>
    <t>KR-78-0754-6</t>
  </si>
  <si>
    <t>Рамка STRONG 4-постовая графит KRANZ</t>
  </si>
  <si>
    <t>KR-78-0754-4</t>
  </si>
  <si>
    <t>Рамка STRONG 4-постовая жемчуг KRANZ</t>
  </si>
  <si>
    <t>KR-78-0754-8</t>
  </si>
  <si>
    <t>Рамка STRONG 4-постовая шелк KRANZ</t>
  </si>
  <si>
    <t>KR-78-0755-5</t>
  </si>
  <si>
    <t>Рамка STRONG 5-постовая антрацит KRANZ</t>
  </si>
  <si>
    <t>KR-78-0755-6</t>
  </si>
  <si>
    <t>Рамка STRONG 5-постовая графит KRANZ</t>
  </si>
  <si>
    <t>KR-78-0755-4</t>
  </si>
  <si>
    <t>Рамка STRONG 5-постовая жемчуг KRANZ</t>
  </si>
  <si>
    <t>KR-78-0755-8</t>
  </si>
  <si>
    <t>Рамка STRONG 5-постовая шелк KRANZ</t>
  </si>
  <si>
    <t>KR-78-0704-5</t>
  </si>
  <si>
    <t>Розетка STRONG 1-ая с/з с/у з/ш 16А с USB A+C быстрой зарядки 5В/3А антрацит KRANZ</t>
  </si>
  <si>
    <t>KR-78-0704-4</t>
  </si>
  <si>
    <t>Розетка STRONG 1-ая с/з с/у з/ш 16А с USB A+C быстрой зарядки 5В/3А жемчуг KRANZ</t>
  </si>
  <si>
    <t>KR-78-0704-8</t>
  </si>
  <si>
    <t>Розетка STRONG 1-ая с/з с/у з/ш 16А с USB A+C быстрой зарядки 5В/3А шелк KRANZ</t>
  </si>
  <si>
    <t>KR-78-0701-5</t>
  </si>
  <si>
    <t>Розетка STRONG 1-ая с/з с/у, со шторками 16А антрацит KRANZ</t>
  </si>
  <si>
    <t>KR-78-0701-6</t>
  </si>
  <si>
    <t>Розетка STRONG 1-ая с/з с/у, со шторками 16А графит KRANZ</t>
  </si>
  <si>
    <t>KR-78-0701-4</t>
  </si>
  <si>
    <t>Розетка STRONG 1-ая с/з с/у, со шторками 16А жемчуг KRANZ</t>
  </si>
  <si>
    <t>KR-78-0701-8</t>
  </si>
  <si>
    <t>Розетка STRONG 1-ая с/з с/у, со шторками 16А шелк KRANZ</t>
  </si>
  <si>
    <t>KR-78-0702-5</t>
  </si>
  <si>
    <t>Розетка STRONG 1-ая с/з с/у, со шторками и крышкой 16А антрацит KRANZ</t>
  </si>
  <si>
    <t>KR-78-0702-4</t>
  </si>
  <si>
    <t>Розетка STRONG 1-ая с/з с/у, со шторками и крышкой 16А жемчуг KRANZ</t>
  </si>
  <si>
    <t>KR-78-0702-8</t>
  </si>
  <si>
    <t>Розетка STRONG 1-ая с/з с/у, со шторками и крышкой 16А шелк KRANZ</t>
  </si>
  <si>
    <t>KR-78-0730-8</t>
  </si>
  <si>
    <t>Розетка STRONG HDMI с/у шелк KRANZ</t>
  </si>
  <si>
    <t>KR-78-0723-5</t>
  </si>
  <si>
    <t>Розетка STRONG TV с/у антрацит KRANZ</t>
  </si>
  <si>
    <t>KR-78-0723-6</t>
  </si>
  <si>
    <t>Розетка STRONG TV с/у графит KRANZ</t>
  </si>
  <si>
    <t>KR-78-0723-4</t>
  </si>
  <si>
    <t>Розетка STRONG TV с/у жемчуг KRANZ</t>
  </si>
  <si>
    <t>KR-78-0723-8</t>
  </si>
  <si>
    <t>Розетка STRONG TV с/у шелк KRANZ</t>
  </si>
  <si>
    <t>KR-78-0734-5</t>
  </si>
  <si>
    <t>Розетка STRONG USB-A+Type-C 3А с функцией быстрой зарядки антрацит KRANZ</t>
  </si>
  <si>
    <t>KR-78-0734-6</t>
  </si>
  <si>
    <t>Розетка STRONG USB-A+Type-C 3А с функцией быстрой зарядки графит KRANZ</t>
  </si>
  <si>
    <t>KR-78-0722-4</t>
  </si>
  <si>
    <t>Розетка STRONG компьютерная RJ45 кат6 + TV с/у жемчуг KRANZ</t>
  </si>
  <si>
    <t>KR-78-0724-5</t>
  </si>
  <si>
    <t>Розетка STRONG компьютерная RJ45 кат6 с/у антрацит KRANZ</t>
  </si>
  <si>
    <t>KR-78-0724-4</t>
  </si>
  <si>
    <t>Розетка STRONG компьютерная RJ45 кат6 с/у жемчуг KRANZ</t>
  </si>
  <si>
    <t>KR-78-0724-8</t>
  </si>
  <si>
    <t>Розетка STRONG компьютерная RJ45 кат6 с/у шелк KRANZ</t>
  </si>
  <si>
    <t>KR-78-0725-5</t>
  </si>
  <si>
    <t>Розетка STRONG компьютерная двойная RJ45+RJ45 кат6 с/у антрацит KRANZ</t>
  </si>
  <si>
    <t>KR-78-0725-4</t>
  </si>
  <si>
    <t>Розетка STRONG компьютерная двойная RJ45+RJ45 кат6 с/у жемчуг KRANZ</t>
  </si>
  <si>
    <t>KR-78-0732-5</t>
  </si>
  <si>
    <t>Светорегулятор STRONG (диммер) 300Вт с/у антрацит KRANZ</t>
  </si>
  <si>
    <t>KR-78-0732-6</t>
  </si>
  <si>
    <t>Светорегулятор STRONG (диммер) 300Вт с/у графит KRANZ</t>
  </si>
  <si>
    <t>KR-78-0732-4</t>
  </si>
  <si>
    <t>Светорегулятор STRONG (диммер) 300Вт с/у жемчуг KRANZ</t>
  </si>
  <si>
    <t>KR-78-0732-8</t>
  </si>
  <si>
    <t>Светорегулятор STRONG (диммер) 300Вт с/у шелк KRANZ</t>
  </si>
  <si>
    <t>KR-78-0728-5</t>
  </si>
  <si>
    <t>Терморегулятор STRONG Wi-Fi с/у антрацит KRANZ</t>
  </si>
  <si>
    <t>KR-78-0728-6</t>
  </si>
  <si>
    <t>Терморегулятор STRONG Wi-Fi с/у графит KRANZ</t>
  </si>
  <si>
    <t>KR-78-0728-4</t>
  </si>
  <si>
    <t>Терморегулятор STRONG Wi-Fi с/у жемчуг KRANZ</t>
  </si>
  <si>
    <t>KR-78-0728-8</t>
  </si>
  <si>
    <t>Терморегулятор STRONG Wi-Fi с/у шелк KRANZ</t>
  </si>
  <si>
    <t>1. 1. 1. 5 Выключатели и розетки серия SETE</t>
  </si>
  <si>
    <t>KR-79-0726-4</t>
  </si>
  <si>
    <t>Вывод кабеля SETE антрацит KRANZ</t>
  </si>
  <si>
    <t>KR-79-0726-3</t>
  </si>
  <si>
    <t>Вывод кабеля SETE графит KRANZ</t>
  </si>
  <si>
    <t>29.12.2026</t>
  </si>
  <si>
    <t>KR-79-0726-1</t>
  </si>
  <si>
    <t>Вывод кабеля SETE жемчуг KRANZ</t>
  </si>
  <si>
    <t>KR-79-0726-2</t>
  </si>
  <si>
    <t>Вывод кабеля SETE кашемир KRANZ</t>
  </si>
  <si>
    <t>KR-79-0705-4</t>
  </si>
  <si>
    <t>Выключатель SETE 1 кл 10А с/у антрацит IP20/IP44 KRANZ</t>
  </si>
  <si>
    <t>KR-79-0705-3</t>
  </si>
  <si>
    <t>Выключатель SETE 1 кл 10А с/у графит IP20/IP44 KRANZ</t>
  </si>
  <si>
    <t>KR-79-0705-1</t>
  </si>
  <si>
    <t>Выключатель SETE 1 кл 10А с/у жемчуг IP20/IP44 KRANZ</t>
  </si>
  <si>
    <t>KR-79-0705-2</t>
  </si>
  <si>
    <t>Выключатель SETE 1 кл 10А с/у кашемир IP20/IP44 KRANZ</t>
  </si>
  <si>
    <t>KR-79-0712-4</t>
  </si>
  <si>
    <t>Выключатель SETE 1 кл возвратный 10А с/у антрацит IP20/IP44 KRANZ</t>
  </si>
  <si>
    <t>KR-79-0712-3</t>
  </si>
  <si>
    <t>Выключатель SETE 1 кл возвратный 10А с/у графит IP20/IP44 KRANZ</t>
  </si>
  <si>
    <t>KR-79-0712-1</t>
  </si>
  <si>
    <t>Выключатель SETE 1 кл возвратный 10А с/у жемчуг IP20/IP44 KRANZ</t>
  </si>
  <si>
    <t>KR-79-0712-2</t>
  </si>
  <si>
    <t>Выключатель SETE 1 кл возвратный 10А с/у кашемир IP20/IP44 KRANZ</t>
  </si>
  <si>
    <t>KR-79-0710-4</t>
  </si>
  <si>
    <t>Выключатель SETE 1 кл перекрестный (переключатель) 10А с/у антрацит IP20/IP44 KRANZ</t>
  </si>
  <si>
    <t>KR-79-0710-3</t>
  </si>
  <si>
    <t>Выключатель SETE 1 кл перекрестный (переключатель) 10А с/у графит IP20/IP44 KRANZ</t>
  </si>
  <si>
    <t>KR-79-0710-1</t>
  </si>
  <si>
    <t>Выключатель SETE 1 кл перекрестный (переключатель) 10А с/у жемчуг IP20/IP44 KRANZ</t>
  </si>
  <si>
    <t>KR-79-0710-2</t>
  </si>
  <si>
    <t>Выключатель SETE 1 кл перекрестный (переключатель) 10А с/у кашемир IP20/IP44 KRANZ</t>
  </si>
  <si>
    <t>KR-79-0708-4</t>
  </si>
  <si>
    <t>Выключатель SETE 1 кл проходной (переключатель) 10А с/у антрацит IP20/IP44 KRANZ</t>
  </si>
  <si>
    <t>KR-79-0708-3</t>
  </si>
  <si>
    <t>Выключатель SETE 1 кл проходной (переключатель) 10А с/у графит IP20/IP44 KRANZ</t>
  </si>
  <si>
    <t>KR-79-0708-1</t>
  </si>
  <si>
    <t>Выключатель SETE 1 кл проходной (переключатель) 10А с/у жемчуг IP20/IP44 KRANZ</t>
  </si>
  <si>
    <t>KR-79-0708-2</t>
  </si>
  <si>
    <t>Выключатель SETE 1 кл проходной (переключатель) 10А с/у кашемир IP20/IP44 KRANZ</t>
  </si>
  <si>
    <t>KR-79-0716-4</t>
  </si>
  <si>
    <t>Выключатель SETE 1 кл проходной (переключатель) с подсветкой 10А с/у антрацит IP20/IP44 KRANZ</t>
  </si>
  <si>
    <t>KR-79-0716-3</t>
  </si>
  <si>
    <t>Выключатель SETE 1 кл проходной (переключатель) с подсветкой 10А с/у графит IP20/IP44 KRANZ</t>
  </si>
  <si>
    <t>KR-79-0716-1</t>
  </si>
  <si>
    <t>Выключатель SETE 1 кл проходной (переключатель) с подсветкой 10А с/у жемчуг IP20/IP44 KRANZ</t>
  </si>
  <si>
    <t>KR-79-0716-2</t>
  </si>
  <si>
    <t>Выключатель SETE 1 кл проходной (переключатель) с подсветкой 10А с/у кашемир IP20/IP44 KRANZ</t>
  </si>
  <si>
    <t>KR-79-0714-4</t>
  </si>
  <si>
    <t>Выключатель SETE 1 кл с подсветкой 10А с/у антрацит IP20/IP44 KRANZ</t>
  </si>
  <si>
    <t>KR-79-0714-3</t>
  </si>
  <si>
    <t>Выключатель SETE 1 кл с подсветкой 10А с/у графит IP20/IP44 KRANZ</t>
  </si>
  <si>
    <t>KR-79-0714-1</t>
  </si>
  <si>
    <t>Выключатель SETE 1 кл с подсветкой 10А с/у жемчуг IP20/IP44 KRANZ</t>
  </si>
  <si>
    <t>KR-79-0714-2</t>
  </si>
  <si>
    <t>Выключатель SETE 1 кл с подсветкой 10А с/у кашемир IP20/IP44 KRANZ</t>
  </si>
  <si>
    <t>KR-79-0706-4</t>
  </si>
  <si>
    <t>Выключатель SETE 2 кл 10А с/у антрацит IP20/IP44 KRANZ</t>
  </si>
  <si>
    <t>KR-79-0706-3</t>
  </si>
  <si>
    <t>Выключатель SETE 2 кл 10А с/у графит IP20/IP44 KRANZ</t>
  </si>
  <si>
    <t>KR-79-0706-1</t>
  </si>
  <si>
    <t>Выключатель SETE 2 кл 10А с/у жемчуг IP20/IP44 KRANZ</t>
  </si>
  <si>
    <t>KR-79-0706-2</t>
  </si>
  <si>
    <t>Выключатель SETE 2 кл 10А с/у кашемир IP20/IP44 KRANZ</t>
  </si>
  <si>
    <t>KR-79-0713-4</t>
  </si>
  <si>
    <t>Выключатель SETE 2 кл для жалюзи возвратный 10А с/у антрацит IP20/IP44 KRANZ</t>
  </si>
  <si>
    <t>KR-79-0713-3</t>
  </si>
  <si>
    <t>Выключатель SETE 2 кл для жалюзи возвратный 10А с/у графит IP20/IP44 KRANZ</t>
  </si>
  <si>
    <t>KR-79-0713-1</t>
  </si>
  <si>
    <t>Выключатель SETE 2 кл для жалюзи возвратный 10А с/у жемчуг IP20/IP44 KRANZ</t>
  </si>
  <si>
    <t>KR-79-0713-2</t>
  </si>
  <si>
    <t>Выключатель SETE 2 кл для жалюзи возвратный 10А с/у кашемир IP20/IP44 KRANZ</t>
  </si>
  <si>
    <t>KR-79-0711-4</t>
  </si>
  <si>
    <t>Выключатель SETE 2 кл перекрестный (переключатель) 10А с/у антрацит IP20/IP44 KRANZ</t>
  </si>
  <si>
    <t>KR-79-0711-3</t>
  </si>
  <si>
    <t>Выключатель SETE 2 кл перекрестный (переключатель) 10А с/у графит IP20/IP44 KRANZ</t>
  </si>
  <si>
    <t>KR-79-0711-1</t>
  </si>
  <si>
    <t>Выключатель SETE 2 кл перекрестный (переключатель) 10А с/у жемчуг IP20/IP44 KRANZ</t>
  </si>
  <si>
    <t>KR-79-0711-2</t>
  </si>
  <si>
    <t>Выключатель SETE 2 кл перекрестный (переключатель) 10А с/у кашемир IP20/IP44 KRANZ</t>
  </si>
  <si>
    <t>KR-79-0709-4</t>
  </si>
  <si>
    <t>Выключатель SETE 2 кл проходной (переключатель) 10А с/у антрацит IP20/IP44 KRANZ</t>
  </si>
  <si>
    <t>KR-79-0709-3</t>
  </si>
  <si>
    <t>Выключатель SETE 2 кл проходной (переключатель) 10А с/у графит IP20/IP44 KRANZ</t>
  </si>
  <si>
    <t>KR-79-0709-1</t>
  </si>
  <si>
    <t>Выключатель SETE 2 кл проходной (переключатель) 10А с/у жемчуг IP20/IP44 KRANZ</t>
  </si>
  <si>
    <t>KR-79-0709-2</t>
  </si>
  <si>
    <t>Выключатель SETE 2 кл проходной (переключатель) 10А с/у кашемир IP20/IP44 KRANZ</t>
  </si>
  <si>
    <t>KR-79-0715-4</t>
  </si>
  <si>
    <t>Выключатель SETE 2 кл с подсветкой 10А с/у антрацит IP20/IP44 KRANZ</t>
  </si>
  <si>
    <t>KR-79-0715-3</t>
  </si>
  <si>
    <t>Выключатель SETE 2 кл с подсветкой 10А с/у графит IP20/IP44 KRANZ</t>
  </si>
  <si>
    <t>KR-79-0715-1</t>
  </si>
  <si>
    <t>Выключатель SETE 2 кл с подсветкой 10А с/у жемчуг IP20/IP44 KRANZ</t>
  </si>
  <si>
    <t>KR-79-0715-2</t>
  </si>
  <si>
    <t>Выключатель SETE 2 кл с подсветкой 10А с/у кашемир IP20/IP44 KRANZ</t>
  </si>
  <si>
    <t>KR-79-0707-4</t>
  </si>
  <si>
    <t>Выключатель SETE 3 кл 10А с/у антрацит IP20/IP44 KRANZ</t>
  </si>
  <si>
    <t>KR-79-0707-3</t>
  </si>
  <si>
    <t>Выключатель SETE 3 кл 10А с/у графит IP20/IP44 KRANZ</t>
  </si>
  <si>
    <t>KR-79-0707-1</t>
  </si>
  <si>
    <t>Выключатель SETE 3 кл 10А с/у жемчуг IP20/IP44 KRANZ</t>
  </si>
  <si>
    <t>KR-79-0707-2</t>
  </si>
  <si>
    <t>Выключатель SETE 3 кл 10А с/у кашемир IP20/IP44 KRANZ</t>
  </si>
  <si>
    <t>KR-79-0752-4</t>
  </si>
  <si>
    <t>Рамка SETE 2-постовая универсальная антрацит KRANZ</t>
  </si>
  <si>
    <t>KR-79-0752-3</t>
  </si>
  <si>
    <t>Рамка SETE 2-постовая универсальная графит KRANZ</t>
  </si>
  <si>
    <t>KR-79-0752-1</t>
  </si>
  <si>
    <t>Рамка SETE 2-постовая универсальная жемчуг KRANZ</t>
  </si>
  <si>
    <t>KR-79-0752-2</t>
  </si>
  <si>
    <t>Рамка SETE 2-постовая универсальная кашемир KRANZ</t>
  </si>
  <si>
    <t>KR-79-0753-4</t>
  </si>
  <si>
    <t>Рамка SETE 3-постовая универсальная антрацит KRANZ</t>
  </si>
  <si>
    <t>KR-79-0753-3</t>
  </si>
  <si>
    <t>Рамка SETE 3-постовая универсальная графит KRANZ</t>
  </si>
  <si>
    <t>KR-79-0753-1</t>
  </si>
  <si>
    <t>Рамка SETE 3-постовая универсальная жемчуг KRANZ</t>
  </si>
  <si>
    <t>KR-79-0753-2</t>
  </si>
  <si>
    <t>Рамка SETE 3-постовая универсальная кашемир KRANZ</t>
  </si>
  <si>
    <t>KR-79-0754-4</t>
  </si>
  <si>
    <t>Рамка SETE 4-постовая универсальная антрацит KRANZ</t>
  </si>
  <si>
    <t>KR-79-0754-3</t>
  </si>
  <si>
    <t>Рамка SETE 4-постовая универсальная графит KRANZ</t>
  </si>
  <si>
    <t>KR-79-0754-1</t>
  </si>
  <si>
    <t>Рамка SETE 4-постовая универсальная жемчуг KRANZ</t>
  </si>
  <si>
    <t>KR-79-0754-2</t>
  </si>
  <si>
    <t>Рамка SETE 4-постовая универсальная кашемир KRANZ</t>
  </si>
  <si>
    <t>KR-79-0755-4</t>
  </si>
  <si>
    <t>Рамка SETE 5-постовая универсальная антрацит KRANZ</t>
  </si>
  <si>
    <t>KR-79-0755-3</t>
  </si>
  <si>
    <t>Рамка SETE 5-постовая универсальная графит KRANZ</t>
  </si>
  <si>
    <t>KR-79-0755-1</t>
  </si>
  <si>
    <t>Рамка SETE 5-постовая универсальная жемчуг KRANZ</t>
  </si>
  <si>
    <t>KR-79-0755-2</t>
  </si>
  <si>
    <t>Рамка SETE 5-постовая универсальная кашемир KRANZ</t>
  </si>
  <si>
    <t>KR-79-0704-4</t>
  </si>
  <si>
    <t>Розетка SETE 1-ая с/з с/у з/ш 16А с USB A+C быстрой зарядки 5В/3А антрацит IP20/IP44 KRANZ</t>
  </si>
  <si>
    <t>KR-79-0704-3</t>
  </si>
  <si>
    <t>Розетка SETE 1-ая с/з с/у з/ш 16А с USB A+C быстрой зарядки 5В/3А графит IP20/IP44 KRANZ</t>
  </si>
  <si>
    <t>KR-79-0704-1</t>
  </si>
  <si>
    <t>Розетка SETE 1-ая с/з с/у з/ш 16А с USB A+C быстрой зарядки 5В/3А жемчуг IP20/IP44 KRANZ</t>
  </si>
  <si>
    <t>KR-79-0704-2</t>
  </si>
  <si>
    <t>Розетка SETE 1-ая с/з с/у з/ш 16А с USB A+C быстрой зарядки 5В/3А кашемир IP20/IP44 KRANZ</t>
  </si>
  <si>
    <t>KR-79-0701-4</t>
  </si>
  <si>
    <t>Розетка SETE 1-ая с/з с/у, со шторками 16А антрацит IP20/IP44 KRANZ</t>
  </si>
  <si>
    <t>KR-79-0701-3</t>
  </si>
  <si>
    <t>Розетка SETE 1-ая с/з с/у, со шторками 16А графит IP20/IP44 KRANZ</t>
  </si>
  <si>
    <t>KR-79-0701-1</t>
  </si>
  <si>
    <t>Розетка SETE 1-ая с/з с/у, со шторками 16А жемчуг IP20/IP44 KRANZ</t>
  </si>
  <si>
    <t>KR-79-0701-2</t>
  </si>
  <si>
    <t>Розетка SETE 1-ая с/з с/у, со шторками 16А кашемир IP20/IP44 KRANZ</t>
  </si>
  <si>
    <t>KR-79-0728-4</t>
  </si>
  <si>
    <t>Розетка SETE 1-ая с/з с/у, со шторками и крышкой 16А антрацит IP20/IP44 KRANZ</t>
  </si>
  <si>
    <t>KR-79-0728-3</t>
  </si>
  <si>
    <t>Розетка SETE 1-ая с/з с/у, со шторками и крышкой 16А графит IP20/IP44 KRANZ</t>
  </si>
  <si>
    <t>KR-79-0728-1</t>
  </si>
  <si>
    <t>Розетка SETE 1-ая с/з с/у, со шторками и крышкой 16А жемчуг IP20/IP44 KRANZ</t>
  </si>
  <si>
    <t>KR-79-0728-2</t>
  </si>
  <si>
    <t>Розетка SETE 1-ая с/з с/у, со шторками и крышкой 16А кашемир IP20/IP44 KRANZ</t>
  </si>
  <si>
    <t>KR-79-0703-4</t>
  </si>
  <si>
    <t>Розетка SETE 2-ая с/з с/у, со шторками 16А антрацит IP20/IP44 KRANZ</t>
  </si>
  <si>
    <t>KR-79-0703-3</t>
  </si>
  <si>
    <t>Розетка SETE 2-ая с/з с/у, со шторками 16А графит IP20/IP44 KRANZ</t>
  </si>
  <si>
    <t>KR-79-0703-1</t>
  </si>
  <si>
    <t>Розетка SETE 2-ая с/з с/у, со шторками 16А жемчуг IP20/IP44 KRANZ</t>
  </si>
  <si>
    <t>KR-79-0703-2</t>
  </si>
  <si>
    <t>Розетка SETE 2-ая с/з с/у, со шторками 16А кашемир IP20/IP44 KRANZ</t>
  </si>
  <si>
    <t>KR-79-0725-4</t>
  </si>
  <si>
    <t>Розетка SETE HDMI с/у антрацит IP20/IP44 KRANZ</t>
  </si>
  <si>
    <t>KR-79-0725-3</t>
  </si>
  <si>
    <t>Розетка SETE HDMI с/у графит IP20/IP44 KRANZ</t>
  </si>
  <si>
    <t>KR-79-0725-1</t>
  </si>
  <si>
    <t>Розетка SETE HDMI с/у жемчуг IP20/IP44 KRANZ</t>
  </si>
  <si>
    <t>KR-79-0725-2</t>
  </si>
  <si>
    <t>Розетка SETE HDMI с/у кашемир IP20/IP44 KRANZ</t>
  </si>
  <si>
    <t>KR-79-0722-4</t>
  </si>
  <si>
    <t>Розетка SETE TV с/у антрацит IP20/IP44 KRANZ</t>
  </si>
  <si>
    <t>KR-79-0722-3</t>
  </si>
  <si>
    <t>Розетка SETE TV с/у графит IP20/IP44 KRANZ</t>
  </si>
  <si>
    <t>KR-79-0722-1</t>
  </si>
  <si>
    <t>Розетка SETE TV с/у жемчуг IP20/IP44 KRANZ</t>
  </si>
  <si>
    <t>KR-79-0722-2</t>
  </si>
  <si>
    <t>Розетка SETE TV с/у кашемир IP20/IP44 KRANZ</t>
  </si>
  <si>
    <t>KR-79-0721-4</t>
  </si>
  <si>
    <t>Розетка SETE компьютерная RJ45 кат6 + TV с/у антрацит IP20/IP44 KRANZ</t>
  </si>
  <si>
    <t>KR-79-0721-3</t>
  </si>
  <si>
    <t>Розетка SETE компьютерная RJ45 кат6 + TV с/у графит IP20/IP44 KRANZ</t>
  </si>
  <si>
    <t>KR-79-0721-1</t>
  </si>
  <si>
    <t>Розетка SETE компьютерная RJ45 кат6 + TV с/у жемчуг IP20/IP44 KRANZ</t>
  </si>
  <si>
    <t>KR-79-0721-2</t>
  </si>
  <si>
    <t>Розетка SETE компьютерная RJ45 кат6 + TV с/у кашемир IP20/IP44 KRANZ</t>
  </si>
  <si>
    <t>KR-79-0723-4</t>
  </si>
  <si>
    <t>Розетка SETE компьютерная RJ45 кат6 с/у антрацит IP20/IP44 KRANZ</t>
  </si>
  <si>
    <t>KR-79-0723-3</t>
  </si>
  <si>
    <t>Розетка SETE компьютерная RJ45 кат6 с/у графит IP20/IP44 KRANZ</t>
  </si>
  <si>
    <t>KR-79-0723-1</t>
  </si>
  <si>
    <t>Розетка SETE компьютерная RJ45 кат6 с/у жемчуг IP20/IP44 KRANZ</t>
  </si>
  <si>
    <t>KR-79-0723-2</t>
  </si>
  <si>
    <t>Розетка SETE компьютерная RJ45 кат6 с/у кашемир IP20/IP44 KRANZ</t>
  </si>
  <si>
    <t>KR-79-0724-4</t>
  </si>
  <si>
    <t>Розетка SETE компьютерная двойная RJ45+RJ45 кат6 с/у антрацит IP20/IP44 KRANZ</t>
  </si>
  <si>
    <t>KR-79-0724-3</t>
  </si>
  <si>
    <t>Розетка SETE компьютерная двойная RJ45+RJ45 кат6 с/у графит IP20/IP44 KRANZ</t>
  </si>
  <si>
    <t>KR-79-0724-1</t>
  </si>
  <si>
    <t>Розетка SETE компьютерная двойная RJ45+RJ45 кат6 с/у жемчуг IP20/IP44 KRANZ</t>
  </si>
  <si>
    <t>KR-79-0724-2</t>
  </si>
  <si>
    <t>Розетка SETE компьютерная двойная RJ45+RJ45 кат6 с/у кашемир IP20/IP44 KRANZ</t>
  </si>
  <si>
    <t>KR-79-0720-4</t>
  </si>
  <si>
    <t>Светорегулятор SETE (диммер) 600Вт универсальный с/у антрацит IP20/IP44 KRANZ</t>
  </si>
  <si>
    <t>KR-79-0720-3</t>
  </si>
  <si>
    <t>Светорегулятор SETE (диммер) 600Вт универсальный с/у графит IP20/IP44 KRANZ</t>
  </si>
  <si>
    <t>KR-79-0720-1</t>
  </si>
  <si>
    <t>Светорегулятор SETE (диммер) 600Вт универсальный с/у жемчуг IP20/IP44 KRANZ</t>
  </si>
  <si>
    <t>KR-79-0720-2</t>
  </si>
  <si>
    <t>Светорегулятор SETE (диммер) 600Вт универсальный с/у кашемир IP20/IP44 KRANZ</t>
  </si>
  <si>
    <t>1. 1. 3 Выключатели и розетки открытой установки влагозащищенные</t>
  </si>
  <si>
    <t>1. 1. 3. 1 Выключатели и розетки открытой установки серия KRANZ</t>
  </si>
  <si>
    <t>KR-78-0615</t>
  </si>
  <si>
    <t>Блок вертикальный 2 розетки IP54 с/з, о/у, серый индастриал KRANZ</t>
  </si>
  <si>
    <t>KR-78-0805</t>
  </si>
  <si>
    <t>Блок горизонтальный 2 розетки IP54 с/з, о/у, белый индастриал KRANZ</t>
  </si>
  <si>
    <t>KR-78-0606</t>
  </si>
  <si>
    <t>Блок горизонтальный 2 розетки IP54 с/з, о/у, белый мини KRANZ</t>
  </si>
  <si>
    <t>03.01.2027</t>
  </si>
  <si>
    <t>KR-78-0613</t>
  </si>
  <si>
    <t>Блок горизонтальный 2 розетки IP54 с/з, о/у, серый индастриал KRANZ</t>
  </si>
  <si>
    <t>27.10.2026</t>
  </si>
  <si>
    <t>KR-78-0806</t>
  </si>
  <si>
    <t>Блок горизонтальный 2 розетки IP54 с/з, о/у, серый мини KRANZ</t>
  </si>
  <si>
    <t>KR-78-0832</t>
  </si>
  <si>
    <t>Выключатель двухклавишный IP54 о/у, белый индастриал KRANZ</t>
  </si>
  <si>
    <t>KR-78-0602</t>
  </si>
  <si>
    <t>Выключатель двухклавишный IP54 о/у, белый мини KRANZ</t>
  </si>
  <si>
    <t>KR-78-0609</t>
  </si>
  <si>
    <t>Выключатель двухклавишный IP54 о/у, серый индастриал KRANZ</t>
  </si>
  <si>
    <t>KR-78-0833</t>
  </si>
  <si>
    <t>Выключатель двухклавишный IP54 о/у, серый мини KRANZ</t>
  </si>
  <si>
    <t>KR-78-0601</t>
  </si>
  <si>
    <t>Выключатель одноклавишный IP54 о/у, белый мини KRANZ</t>
  </si>
  <si>
    <t>KR-78-0608</t>
  </si>
  <si>
    <t>Выключатель одноклавишный IP54 о/у, серый индастриал KRANZ</t>
  </si>
  <si>
    <t>KR-78-0603</t>
  </si>
  <si>
    <t>Переключатель проходной IP54 о/у, белый мини KRANZ</t>
  </si>
  <si>
    <t>KR-78-0610</t>
  </si>
  <si>
    <t>Переключатель проходной IP54 о/у, серый индастриал KRANZ</t>
  </si>
  <si>
    <t>KR-78-0837</t>
  </si>
  <si>
    <t>Переключатель проходной IP54 о/у, серый мини KRANZ</t>
  </si>
  <si>
    <t>KR-78-0611</t>
  </si>
  <si>
    <t>Розетка одноместная IP54 с/з, о/у серая индастриал KRANZ</t>
  </si>
  <si>
    <t>KR-78-0816</t>
  </si>
  <si>
    <t>Розетка одноместная IP54 с/з, о/у, белая индастриал KRANZ</t>
  </si>
  <si>
    <t>KR-78-0604</t>
  </si>
  <si>
    <t>Розетка одноместная IP54 с/з, о/у, белая мини KRANZ</t>
  </si>
  <si>
    <t>KR-78-0817</t>
  </si>
  <si>
    <t>Розетка одноместная IP54 с/з, о/у, серая мини KRANZ</t>
  </si>
  <si>
    <t>1. 2 Электроаксессуары</t>
  </si>
  <si>
    <t>1. 2. 1 Сетевые вилки и кабельные розетки</t>
  </si>
  <si>
    <t>1. 2. 1. 1 Сетевые вилки и кабельные розетки REXANT</t>
  </si>
  <si>
    <t>16-0732</t>
  </si>
  <si>
    <t>Вилка Евро прямая с з/к 16А белая REXANT</t>
  </si>
  <si>
    <t>11-8948</t>
  </si>
  <si>
    <t>Вилка Евро прямая с з/к 16А усиленная белая REXANT</t>
  </si>
  <si>
    <t>07.12.2026</t>
  </si>
  <si>
    <t>11-8949</t>
  </si>
  <si>
    <t>Вилка Евро прямая с з/к 16А усиленная черная REXANT</t>
  </si>
  <si>
    <t>28.09.2026</t>
  </si>
  <si>
    <t>11-8950</t>
  </si>
  <si>
    <t>Вилка Евро прямая с з/к 16А черная REXANT</t>
  </si>
  <si>
    <t>16-0734</t>
  </si>
  <si>
    <t>Вилка Евро угловая с з/к 16 А плоская за шкаф белая REXANT</t>
  </si>
  <si>
    <t>16-0736</t>
  </si>
  <si>
    <t>Вилка Евро угловая с з/к 16 А плоская за шкаф черная REXANT</t>
  </si>
  <si>
    <t>16-0728</t>
  </si>
  <si>
    <t>Вилка Евро угловая с з/к 16А белая IP20 REXANT</t>
  </si>
  <si>
    <t>11-8954</t>
  </si>
  <si>
    <t>Вилка Евро угловая с з/к 16А белая REXANT</t>
  </si>
  <si>
    <t>16-0730</t>
  </si>
  <si>
    <t>Вилка Евро угловая с з/к 16А белая с кнопкой REXANT</t>
  </si>
  <si>
    <t>11-8951</t>
  </si>
  <si>
    <t>Вилка Евро угловая с з/к 16А с кольцом белая REXANT</t>
  </si>
  <si>
    <t>11.12.2026</t>
  </si>
  <si>
    <t>11-8952</t>
  </si>
  <si>
    <t>Вилка Евро угловая с з/к 16А с кольцом бело-черная REXANT</t>
  </si>
  <si>
    <t>11-8953</t>
  </si>
  <si>
    <t>Вилка Евро угловая с з/к 16А с кольцом черная REXANT</t>
  </si>
  <si>
    <t>16-0726</t>
  </si>
  <si>
    <t>Вилка Евро угловая с з/к 16А черная REXANT</t>
  </si>
  <si>
    <t>11-8933</t>
  </si>
  <si>
    <t>Вилка прямая без з/к 6А белая REXANT</t>
  </si>
  <si>
    <t>11-8946</t>
  </si>
  <si>
    <t>Вилка прямая без з/к 6А плоская белая REXANT</t>
  </si>
  <si>
    <t>11-8947</t>
  </si>
  <si>
    <t>Вилка прямая без з/к 6А плоская черная REXANT</t>
  </si>
  <si>
    <t>11-8934</t>
  </si>
  <si>
    <t>Вилка прямая без з/к 6А черная REXANT</t>
  </si>
  <si>
    <t>11-8540</t>
  </si>
  <si>
    <t>Розетка разборная без з/к 10А черная REXANT</t>
  </si>
  <si>
    <t>11-8526</t>
  </si>
  <si>
    <t>Розетка разборная без з/к 6А плоская белая REXANT</t>
  </si>
  <si>
    <t>11-8528</t>
  </si>
  <si>
    <t>Розетка разборная Евро с з/к 16А белая REXANT</t>
  </si>
  <si>
    <t>11-8529</t>
  </si>
  <si>
    <t>Розетка разборная Евро с з/к 16А черная REXANT</t>
  </si>
  <si>
    <t>1. 2. 2 Разъемы РШ-ВШ</t>
  </si>
  <si>
    <t>11-8931</t>
  </si>
  <si>
    <t>Вилка ВШ для электрической плиты 32А, 250В, 2Р+РЕ (ОУ) белая REXANT</t>
  </si>
  <si>
    <t>11-8930</t>
  </si>
  <si>
    <t>Вилка ВШ для электрической плиты 32А, 250В, 2Р+РЕ (ОУ) черная REXANT</t>
  </si>
  <si>
    <t>11-8927</t>
  </si>
  <si>
    <t>Вилка ВШ для электрической плиты 32А, 380В, 3Р+РЕ (ОУ) черная REXANT</t>
  </si>
  <si>
    <t>11-8519</t>
  </si>
  <si>
    <t>Вилка ВШ для электрической плиты 40А, 250В 2Р+РЕ (ОУ) белая REXANT</t>
  </si>
  <si>
    <t>11-8942</t>
  </si>
  <si>
    <t>Разъем РШ-ВШ 32А, 250В, 2Р+РЕ (ОУ) белая REXANT</t>
  </si>
  <si>
    <t>комплект</t>
  </si>
  <si>
    <t>11-8941</t>
  </si>
  <si>
    <t>Разъем РШ-ВШ 32А, 250В, 2Р+РЕ (ОУ) черная REXANT</t>
  </si>
  <si>
    <t>11-8940</t>
  </si>
  <si>
    <t>Разъем РШ-ВШ 32А, 380В, 3Р+РЕ (ОУ) черная REXANT</t>
  </si>
  <si>
    <t>14.12.2026</t>
  </si>
  <si>
    <t>11-8984</t>
  </si>
  <si>
    <t>Розетка РШ для электрической плиты 32А, 250В, 2Р+РЕ (ОУ) белая REXANT</t>
  </si>
  <si>
    <t>11-8983</t>
  </si>
  <si>
    <t>Розетка РШ для электрической плиты 32А, 250В, 2Р+РЕ (ОУ) черная REXANT</t>
  </si>
  <si>
    <t>11-8985</t>
  </si>
  <si>
    <t>Розетка РШ для электрической плиты 32А, 250В, 2Р+РЕ (СУ) белая REXANT</t>
  </si>
  <si>
    <t>11-8525</t>
  </si>
  <si>
    <t>Розетка РШ для электрической плиты 32А, 380В, 3Р+РЕ (ОУ) черная REXANT</t>
  </si>
  <si>
    <t>11-8520</t>
  </si>
  <si>
    <t>Розетка РШ для электрической плиты 40А, 250В 2Р+РЕ (ОУ) белая REXANT</t>
  </si>
  <si>
    <t>11-8982</t>
  </si>
  <si>
    <t>Розетка РШ/Евро двойная для электрической плиты 32А/16A, 250В, 2Р+РЕ (ОУ) белая REXANT</t>
  </si>
  <si>
    <t>1. 2. 3 Сетевые переходники и адаптеры</t>
  </si>
  <si>
    <t>11-1052</t>
  </si>
  <si>
    <t>Адаптер сетевой «Путешественник» REXANT</t>
  </si>
  <si>
    <t>25.11.2026</t>
  </si>
  <si>
    <t>11-1051</t>
  </si>
  <si>
    <t>Адаптер сетевой «Путешественник» с USB REXANT</t>
  </si>
  <si>
    <t>23.12.2026</t>
  </si>
  <si>
    <t>11-1031-9</t>
  </si>
  <si>
    <t>Адаптер сетевой (переходник) с Евро А/F на вилку С1 CEE 7/2 «Питер» 10А б/з белый PROconnect (пакет БОПП 1 шт/уп.)</t>
  </si>
  <si>
    <t>упак</t>
  </si>
  <si>
    <t>11-1031</t>
  </si>
  <si>
    <t>Адаптер сетевой (переходник) с Евро А/F на вилку С1 CEE 7/2 «Питер» 10А б/з белый REXANT</t>
  </si>
  <si>
    <t>23.09.2026</t>
  </si>
  <si>
    <t>11-1067</t>
  </si>
  <si>
    <t>Адаптер сетевой (переходник) с Евро А/F на вилку С1 CEE 7/2 «Питер» 6А б/з черный REXANT</t>
  </si>
  <si>
    <t>11-1065</t>
  </si>
  <si>
    <t>Адаптер сетевой (переходник) с Евро А/F на тонкую вилку С1 «Козья ножка» 10А б/з REXANT</t>
  </si>
  <si>
    <t>11-1021</t>
  </si>
  <si>
    <t>Адаптер сетевой (переходник) с Евро А/F на тонкую вилку С1 «Стакан» с бортами 6 А б/з REXANT</t>
  </si>
  <si>
    <t>11-1041-9</t>
  </si>
  <si>
    <t>Адаптер сетевой (переходник) с Евро А/F на тонкую вилку С1 плоский «Тефаль» 6А б/з белый PROCONNECT (пакет БОПП 1 шт/уп.)</t>
  </si>
  <si>
    <t>11-1041</t>
  </si>
  <si>
    <t>Адаптер сетевой (переходник) с Евро А/F на тонкую вилку С1 плоский «Тефаль» 6А б/з белый REXANT</t>
  </si>
  <si>
    <t>11-1041-01</t>
  </si>
  <si>
    <t>Адаптер сетевой (переходник) с Евро А/F на тонкую вилку С1 плоский «Тефаль» 6А б/з белый REXANT (блистер 1шт/уп.)</t>
  </si>
  <si>
    <t>11-1042-9</t>
  </si>
  <si>
    <t>Адаптер сетевой (переходник) с Евро А/F на тонкую вилку С1 плоский «Тефаль» 6А б/з черный PROCONNECT (пакет БОПП 1 шт/уп.)</t>
  </si>
  <si>
    <t>11-1042</t>
  </si>
  <si>
    <t>Адаптер сетевой (переходник) с Евро А/F на тонкую вилку С1 плоский «Тефаль» 6А б/з черный REXANT</t>
  </si>
  <si>
    <t>11-1042-01</t>
  </si>
  <si>
    <t>Адаптер сетевой (переходник) с Евро А/F на тонкую вилку С1 плоский «Тефаль» 6А б/з черный REXANT (блистер 1шт/уп.)</t>
  </si>
  <si>
    <t>11-1011</t>
  </si>
  <si>
    <t>Адаптер сетевой (переходник) универсальный на Евро вилку F/C2 «Квадрат» 10А б/з белый REXANT</t>
  </si>
  <si>
    <t>11-1096</t>
  </si>
  <si>
    <t>Адаптер универсальный (переходник) 16А с заземлением, серо-белый REXANT</t>
  </si>
  <si>
    <t>1. 2. 4 Выключатели для светильников</t>
  </si>
  <si>
    <t>32-0106</t>
  </si>
  <si>
    <t>Выключатель для настенного светильника c деревянным наконечником, золото REXANT</t>
  </si>
  <si>
    <t>32-0106-1</t>
  </si>
  <si>
    <t>06-0245-A</t>
  </si>
  <si>
    <t>Выключатель для настенного светильника c деревянным наконечником, золотой, 1 шт. REXANT</t>
  </si>
  <si>
    <t>32-0105</t>
  </si>
  <si>
    <t>Выключатель для настенного светильника c деревянным наконечником, серебро REXANT</t>
  </si>
  <si>
    <t>24.12.2026</t>
  </si>
  <si>
    <t>32-0105-1</t>
  </si>
  <si>
    <t>06-0244-A</t>
  </si>
  <si>
    <t>Выключатель для настенного светильника c деревянным наконечником, серебряный, 1 шт. REXANT</t>
  </si>
  <si>
    <t>32-0104</t>
  </si>
  <si>
    <t>Выключатель для настенного светильника c проводом и деревянным наконечником, золото REXANT</t>
  </si>
  <si>
    <t>32-0104-1</t>
  </si>
  <si>
    <t>06-0243-A</t>
  </si>
  <si>
    <t>Выключатель для настенного светильника c проводом и деревянным наконечником, золотой, 1 шт. REXANT</t>
  </si>
  <si>
    <t>32-0103</t>
  </si>
  <si>
    <t>Выключатель для настенного светильника c проводом и деревянным наконечником, серебро REXANT</t>
  </si>
  <si>
    <t>32-0103-1</t>
  </si>
  <si>
    <t>32-0102</t>
  </si>
  <si>
    <t>Выключатель для настенного светильника с цепочкой 270мм, золото REXANT</t>
  </si>
  <si>
    <t>32-0102-1</t>
  </si>
  <si>
    <t>32-0101</t>
  </si>
  <si>
    <t>Выключатель для настенного светильника с цепочкой 270мм, серебро REXANT</t>
  </si>
  <si>
    <t>32-0101-1</t>
  </si>
  <si>
    <t>36-3015</t>
  </si>
  <si>
    <t>Выключатель-кнопка 250В 2А вкл-выкл белый (напольный - для лампы) REXANT</t>
  </si>
  <si>
    <t>16.09.2026</t>
  </si>
  <si>
    <t>36-3025</t>
  </si>
  <si>
    <t>Выключатель-кнопка 250В 2А вкл-выкл черный (напольный - для лампы) REXANT</t>
  </si>
  <si>
    <t>20.10.2026</t>
  </si>
  <si>
    <t>36-3018</t>
  </si>
  <si>
    <t>Выключатель-кнопка 250В 2А вкл-выкл черный на электропровод (для настольной лампы) REXANT</t>
  </si>
  <si>
    <t>36-3016</t>
  </si>
  <si>
    <t>Выключатель-кнопка 250В 6А вкл-выкл белый на электропровод (для настольной лампы, бра) REXANT</t>
  </si>
  <si>
    <t>1. 2. 5 Удлинительные шнуры</t>
  </si>
  <si>
    <t>06-3251</t>
  </si>
  <si>
    <t>Шнур сетевой 1,8м с выключателем без розетки белый REXANT</t>
  </si>
  <si>
    <t>11-1147</t>
  </si>
  <si>
    <t>Шнур сетевой 2х0,75 мм² 1,8м белый REXANT</t>
  </si>
  <si>
    <t>11-1142</t>
  </si>
  <si>
    <t>Шнур сетевой 2х0,75 мм² 1,8м черный REXANT</t>
  </si>
  <si>
    <t>11-1133</t>
  </si>
  <si>
    <t>Шнур сетевой с выключателем 2х0,75 мм² 1,8м белый REXANT</t>
  </si>
  <si>
    <t>11-1134</t>
  </si>
  <si>
    <t>Шнур сетевой с выключателем 2х0,75 мм² 1,8м черный REXANT</t>
  </si>
  <si>
    <t>11-1139</t>
  </si>
  <si>
    <t>Шнур сетевой с диммером, 2х0,75 мм² 2м белый REXANT</t>
  </si>
  <si>
    <t>11-1137</t>
  </si>
  <si>
    <t>Шнур сетевой с диммером, 2х0,75 мм² 2м черный REXANT</t>
  </si>
  <si>
    <t>11-1145</t>
  </si>
  <si>
    <t>Шнур сетевой с напольным переключателем 2х0,75 мм² 2,5м белый REXANT</t>
  </si>
  <si>
    <t>11-1144</t>
  </si>
  <si>
    <t>Шнур сетевой с напольным переключателем 2х0,75 мм² 2,5м черный REXANT</t>
  </si>
  <si>
    <t>11-1111</t>
  </si>
  <si>
    <t>Шнур сетевой, вилка плоская без розетки, кабель 2x0,5 мм² 1,5м белый REXANT</t>
  </si>
  <si>
    <t>11-1112</t>
  </si>
  <si>
    <t>Шнур сетевой, вилка плоская без розетки, кабель 2x0,5 мм² 1,8м белый REXANT</t>
  </si>
  <si>
    <t>11-1115</t>
  </si>
  <si>
    <t>Шнур сетевой, вилка плоская с выключателем, без розетки, кабель 2x0,5 мм² 1,8м 2,5A белый REXANT</t>
  </si>
  <si>
    <t>11-1305</t>
  </si>
  <si>
    <t>Шнур электрический с вилкой ПВС 2х0,75 мм² 1,5м черный REXANT</t>
  </si>
  <si>
    <t>11-1306</t>
  </si>
  <si>
    <t>Шнур электрический с вилкой ПВС 2х0,75 мм² 2м белый REXANT</t>
  </si>
  <si>
    <t>11-1313</t>
  </si>
  <si>
    <t>Шнур электрический с вилкой ПВС 3х0,75 мм² 1,5м черный REXANT</t>
  </si>
  <si>
    <t>02.10.2026</t>
  </si>
  <si>
    <t>11-1314</t>
  </si>
  <si>
    <t>Шнур электрический с вилкой ПВС 3х0,75 мм² 2м белый REXANT</t>
  </si>
  <si>
    <t>11-1315</t>
  </si>
  <si>
    <t>Шнур электрический с вилкой ПВС 3х0,75 мм² 2м черный REXANT</t>
  </si>
  <si>
    <t>11-1311</t>
  </si>
  <si>
    <t>Шнур электрический с вилкой ПВС 3х0,75 мм² 3м черный REXANT</t>
  </si>
  <si>
    <t>11-1309</t>
  </si>
  <si>
    <t>Шнур электрический с вилкой ПВС 3х0,75 мм² 5м черный REXANT</t>
  </si>
  <si>
    <t>11-1320</t>
  </si>
  <si>
    <t>Шнур электрический с вилкой ПВС 3х1,0 мм² 3м черный REXANT</t>
  </si>
  <si>
    <t>11-1322</t>
  </si>
  <si>
    <t>Шнур электрический с вилкой ПВС 3х1,0 мм² 5м черный REXANT</t>
  </si>
  <si>
    <t>11-1323</t>
  </si>
  <si>
    <t>Шнур электрический с вилкой ПВС 3х1,5 мм² 1,5м белый REXANT</t>
  </si>
  <si>
    <t>11-1324</t>
  </si>
  <si>
    <t>Шнур электрический с вилкой ПВС 3х1,5 мм² 1,5м черный REXANT</t>
  </si>
  <si>
    <t>11-1327</t>
  </si>
  <si>
    <t>Шнур электрический с вилкой ПВС 3х1,5 мм² 2м белый REXANT</t>
  </si>
  <si>
    <t>11-1328</t>
  </si>
  <si>
    <t>Шнур электрический с вилкой ПВС 3х1,5 мм² 2м черный REXANT</t>
  </si>
  <si>
    <t>11-1325</t>
  </si>
  <si>
    <t>Шнур электрический с вилкой ПВС 3х1,5 мм² 3м белый REXANT</t>
  </si>
  <si>
    <t>11-1326</t>
  </si>
  <si>
    <t>Шнур электрический с вилкой ПВС 3х1,5 мм² 3м черный REXANT</t>
  </si>
  <si>
    <t>11-1329</t>
  </si>
  <si>
    <t>Шнур электрический с вилкой ПВС 3х1,5 мм² 5м белый REXANT</t>
  </si>
  <si>
    <t>11-1330</t>
  </si>
  <si>
    <t>Шнур электрический с вилкой ПВС 3х1,5 мм² 5м черный REXANT</t>
  </si>
  <si>
    <t>1. 2. 7 Сетевые штекеры и гнезда</t>
  </si>
  <si>
    <t>36-2282</t>
  </si>
  <si>
    <t>Выключатель клавишный 250В 6А (4с) вкл-выкл красный с подсветкой и штекером C14 3PIN  REXANT</t>
  </si>
  <si>
    <t>29.11.2026</t>
  </si>
  <si>
    <t>11-0001</t>
  </si>
  <si>
    <t>Сетевое гнездо на корпус ("папа" контакт) REXANT</t>
  </si>
  <si>
    <t>11-0004</t>
  </si>
  <si>
    <t>Сетевой штекер на шнур ("мама" контакт) REXANT</t>
  </si>
  <si>
    <t>13.01.2027</t>
  </si>
  <si>
    <t>11-0003</t>
  </si>
  <si>
    <t>Сетевой штекер на шнур ("папа" контакт) REXANT</t>
  </si>
  <si>
    <t>11-0004-9</t>
  </si>
  <si>
    <t>Сетевой штекер на шнур (1 шт.) (пакет БОПП) REXANT</t>
  </si>
  <si>
    <t>1. 2. 9 Электропатроны</t>
  </si>
  <si>
    <t>1. 2. 9. 1 Патроны карболитовые и пластиковые</t>
  </si>
  <si>
    <t>11-8875</t>
  </si>
  <si>
    <t>Патрон E27 с проводом 20см бело-бежевый REXANT</t>
  </si>
  <si>
    <t>11-8876</t>
  </si>
  <si>
    <t>Патрон E27 с проводом 20см черный REXANT</t>
  </si>
  <si>
    <t>11-8817</t>
  </si>
  <si>
    <t>Патрон карболитовый настенный Е27 черный, c этикеткой, наклонный REXANT</t>
  </si>
  <si>
    <t>11-8815</t>
  </si>
  <si>
    <t>Патрон карболитовый подвесной Е27 черный, c этикеткой REXANT</t>
  </si>
  <si>
    <t>11-8818</t>
  </si>
  <si>
    <t>Патрон карболитовый потолочный Е27 черный, c этикеткой REXANT</t>
  </si>
  <si>
    <t>11-8816</t>
  </si>
  <si>
    <t>Патрон карболитовый с кольцом Е27 черный, c этикеткой REXANT</t>
  </si>
  <si>
    <t>18.12.2026</t>
  </si>
  <si>
    <t>11-8872</t>
  </si>
  <si>
    <t>Патрон пластиковый настенный Е27 наклонный, белый, c этикеткой REXANT</t>
  </si>
  <si>
    <t>11-8870</t>
  </si>
  <si>
    <t>Патрон пластиковый настенный Е27 прямой, белый REXANT</t>
  </si>
  <si>
    <t>11-8843-4</t>
  </si>
  <si>
    <t>Патрон пластиковый термостойкий подвесной Е14 черный REXANT</t>
  </si>
  <si>
    <t>11-8819</t>
  </si>
  <si>
    <t>Патрон пластиковый термостойкий подвесной Е27 белый, c этикеткой REXANT</t>
  </si>
  <si>
    <t>11-8828</t>
  </si>
  <si>
    <t>Патрон пластиковый термостойкий подвесной Е27 черный REXANT</t>
  </si>
  <si>
    <t>11-8826</t>
  </si>
  <si>
    <t>Патрон пластиковый термостойкий подвесной с кольцом Е27 черный REXANT</t>
  </si>
  <si>
    <t>11-8823</t>
  </si>
  <si>
    <t>Патрон пластиковый термостойкий с кольцом Е14 белый, c этикеткой REXANT</t>
  </si>
  <si>
    <t>11-8801</t>
  </si>
  <si>
    <t>Патрон подвесной с клеммной колодкой E27 белый, с этикеткой, индивидуальный пакет REXANT</t>
  </si>
  <si>
    <t>11-8825</t>
  </si>
  <si>
    <t>Патрон подвесной с клеммной колодкой E27 черный, с этикеткой, индивидуальный пакет REXANT</t>
  </si>
  <si>
    <t>11-8855</t>
  </si>
  <si>
    <t>Патрон-розетка карболитовый Е27 черный, с этикеткой REXANT</t>
  </si>
  <si>
    <t>1. 2. 9. 2 Патроны керамические</t>
  </si>
  <si>
    <t>11-8893</t>
  </si>
  <si>
    <t>Патрон керамический E14 с этикеткой REXANT</t>
  </si>
  <si>
    <t>11-8867</t>
  </si>
  <si>
    <t>Патрон керамический E27 с держателем REXANT</t>
  </si>
  <si>
    <t>11-8891</t>
  </si>
  <si>
    <t>Патрон керамический E27 с этикеткой REXANT</t>
  </si>
  <si>
    <t>11-8866</t>
  </si>
  <si>
    <t>Патрон керамический E40 REXANT</t>
  </si>
  <si>
    <t>11-8879</t>
  </si>
  <si>
    <t>Цоколь «патрон» G9 с проводом 15см, белый, c этикеткой REXANT</t>
  </si>
  <si>
    <t>11-8804</t>
  </si>
  <si>
    <t>Цоколь «патрон» GU-10 с проводом REXANT</t>
  </si>
  <si>
    <t>11-8805</t>
  </si>
  <si>
    <t>Цоколь «патрон» GU-5.3 с проводом REXANT</t>
  </si>
  <si>
    <t>1. 2. 9. 3 Разветвители цокольные и переходники</t>
  </si>
  <si>
    <t>11-8868</t>
  </si>
  <si>
    <t>Переходник Е27-Е27 гибкий 150 мм REXANT</t>
  </si>
  <si>
    <t>11-8869</t>
  </si>
  <si>
    <t>Переходник Е27-Е27 гибкий 300 мм REXANT</t>
  </si>
  <si>
    <t>11-8871</t>
  </si>
  <si>
    <t>Переходник цокольный E14-E27 черный REXANT</t>
  </si>
  <si>
    <t>11-8834</t>
  </si>
  <si>
    <t>Переходник цокольный E14-GU10 белый REXANT</t>
  </si>
  <si>
    <t>11-8813</t>
  </si>
  <si>
    <t>Переходник цокольный E27-E14 белый REXANT</t>
  </si>
  <si>
    <t>11-8821</t>
  </si>
  <si>
    <t>Переходник цокольный E40-E27 белый REXANT</t>
  </si>
  <si>
    <t>11-8843</t>
  </si>
  <si>
    <t>Переходник цокольный GU10-Е14 REXANT</t>
  </si>
  <si>
    <t>11-8854-9</t>
  </si>
  <si>
    <t>Переходник цокольный GU5,3- GU10 (пакет БОПП) 1 шт. REXANT</t>
  </si>
  <si>
    <t>11-8854</t>
  </si>
  <si>
    <t>Переходник цокольный GU5.3- GU10 REXANT</t>
  </si>
  <si>
    <t>11-8831</t>
  </si>
  <si>
    <t>Переходник цокольный Е14-Е27 белый REXANT</t>
  </si>
  <si>
    <t>11-8812</t>
  </si>
  <si>
    <t>Переходник цокольный Е27-Е40 REXANT</t>
  </si>
  <si>
    <t>11-8883</t>
  </si>
  <si>
    <t>Переходник-светильник для крепления в штепсельной сетевой розетке переходник цокольный AC 220В-Е14 с выключателем REXANT</t>
  </si>
  <si>
    <t>11-8881</t>
  </si>
  <si>
    <t>Переходник-светильник для крепления в штепсельной сетевой розетке переходник цокольный AC 220В-Е27 с выключателем REXANT</t>
  </si>
  <si>
    <t>80-1194</t>
  </si>
  <si>
    <t>Переходник-светильник для крепления в штепсельной сетевой розетке переходник цокольный гибкий 220В-Е27 150 мм с выключателем REXANT</t>
  </si>
  <si>
    <t>11-8811</t>
  </si>
  <si>
    <t>Разветвитель цокольный Е27-2хЕ27 белый REXANT</t>
  </si>
  <si>
    <t>11-8860</t>
  </si>
  <si>
    <t>Разветвитель цокольный Е27-2хЕ27 черный REXANT</t>
  </si>
  <si>
    <t>11-8863</t>
  </si>
  <si>
    <t>Разветвитель цокольный Е27-3хЕ27 (поворотный цоколь) белый REXANT</t>
  </si>
  <si>
    <t>11-8861</t>
  </si>
  <si>
    <t>Разветвитель цокольный Е27-3хЕ27 белый REXANT</t>
  </si>
  <si>
    <t>11-8864</t>
  </si>
  <si>
    <t>Разветвитель цокольный Е27-4хЕ27 (поворотный цоколь) белый REXANT</t>
  </si>
  <si>
    <t>11-8862</t>
  </si>
  <si>
    <t>Разветвитель цокольный Е27-4хЕ27 белый REXANT</t>
  </si>
  <si>
    <t>11-8865</t>
  </si>
  <si>
    <t>Разветвитель цокольный Е27-5хЕ27 белый REXANT</t>
  </si>
  <si>
    <t>1. 2. 9. 4 Патроны со шнуром</t>
  </si>
  <si>
    <t>11-8884</t>
  </si>
  <si>
    <t>Патрон E27 силиконовый со шнуром 1м белый REXANT</t>
  </si>
  <si>
    <t>11-8889</t>
  </si>
  <si>
    <t>Патрон E27 силиконовый со шнуром 1м желтый REXANT</t>
  </si>
  <si>
    <t>11-8886</t>
  </si>
  <si>
    <t>Патрон E27 силиконовый со шнуром 1м зеленый REXANT</t>
  </si>
  <si>
    <t>11-8888</t>
  </si>
  <si>
    <t>Патрон E27 силиконовый со шнуром 1м красный REXANT</t>
  </si>
  <si>
    <t>11-8885</t>
  </si>
  <si>
    <t>Патрон E27 силиконовый со шнуром 1м синий REXANT</t>
  </si>
  <si>
    <t>11-8887</t>
  </si>
  <si>
    <t>Патрон E27 силиконовый со шнуром 1м фиолетовый REXANT</t>
  </si>
  <si>
    <t>11-8890</t>
  </si>
  <si>
    <t>Патрон E27 силиконовый со шнуром 1м черный REXANT</t>
  </si>
  <si>
    <t>1. 2.10 Умные розетки</t>
  </si>
  <si>
    <t>1. 2.10. 1 Розетки таймеры</t>
  </si>
  <si>
    <t>11-6005</t>
  </si>
  <si>
    <t>Розетка с механическим таймером суточный 15мин/24ч 96 ON/OFF REXANT RX-28</t>
  </si>
  <si>
    <t>11-6001</t>
  </si>
  <si>
    <t>Розетка с механическим таймером суточный 30мин/24ч 48 ON/OFF REXANT RX-21</t>
  </si>
  <si>
    <t>11-6003</t>
  </si>
  <si>
    <t>Розетка с механическим таймером суточный 30мин/24ч 48 ON/OFF в защитном корпусе IP44 REXANT RX-23</t>
  </si>
  <si>
    <t>11-6010</t>
  </si>
  <si>
    <t>Розетка с электронным таймером недельный 1мин/7дн 20 программ ON/OFF REXANT RX-31А</t>
  </si>
  <si>
    <t>1. 2.10. 2 Радиоуправляемые розетки</t>
  </si>
  <si>
    <t>10-6020</t>
  </si>
  <si>
    <t>Радиоуправляемая  розетка c пультом RX-001 (один пульт, одна розетка) 10А/30м REXANT</t>
  </si>
  <si>
    <t>10-6025</t>
  </si>
  <si>
    <t>Радиоуправляемая  розетка c пультом RX-002 (один пульт, две розетки) 10А/30м REXANT</t>
  </si>
  <si>
    <t>10-6030</t>
  </si>
  <si>
    <t>Радиоуправляемая  розетка c пультом RX-003 (один пульт, три розетки) 10А/30м REXANT</t>
  </si>
  <si>
    <t>11-6008</t>
  </si>
  <si>
    <t>Умная Wi-Fi розетка/дистанционное управление бытовыми приборами 10 А</t>
  </si>
  <si>
    <t>1. 2.10. 3 Реле напряжения</t>
  </si>
  <si>
    <t>10-6045</t>
  </si>
  <si>
    <t>Реле напряжения «вилка-розетка» 16А</t>
  </si>
  <si>
    <t>22.09.2026</t>
  </si>
  <si>
    <t>10-6040</t>
  </si>
  <si>
    <t>Реле напряжения «вилка-розетка» c дисплеем 16А</t>
  </si>
  <si>
    <t>1. 2.10. 4 Ваттметры</t>
  </si>
  <si>
    <t>10-6103</t>
  </si>
  <si>
    <t>Ваттметр PC-7 вертикальный 1-тарифный 16А PROconnect</t>
  </si>
  <si>
    <t>19.12.2026</t>
  </si>
  <si>
    <t>10-6102</t>
  </si>
  <si>
    <t>Ваттметр RX-8 горизонтальный 2х тарифный 16А REXANT</t>
  </si>
  <si>
    <t>10-6100</t>
  </si>
  <si>
    <t>Ваттметр с подсветкой RX-11 вертикальный 2х тарифный 16А REXANT</t>
  </si>
  <si>
    <t>21.09.2026</t>
  </si>
  <si>
    <t>1. 2.11 Звонки дверные</t>
  </si>
  <si>
    <t>1. 2.11. 1 Звонки проводные</t>
  </si>
  <si>
    <t>73-0080</t>
  </si>
  <si>
    <t>Звонок электрический RX-8 с проводом и кнопкой 36 мелодий REXANT</t>
  </si>
  <si>
    <t>73-0100</t>
  </si>
  <si>
    <t>Звонок электрический без кнопки 1 мелодия 220В REXANT</t>
  </si>
  <si>
    <t>73-0110</t>
  </si>
  <si>
    <t>Звонок электрический без кнопки 1 мелодия 220В с регулятором громкости REXANT</t>
  </si>
  <si>
    <t>1. 2.11. 2 Звонки беспроводные</t>
  </si>
  <si>
    <t>73-0018</t>
  </si>
  <si>
    <t>Беспроводной дверной звонок c цифровым кодированием 52 мелодии 150м IP56 (белый) REXANT</t>
  </si>
  <si>
    <t>73-0017</t>
  </si>
  <si>
    <t>Беспроводной дверной звонок c цифровым кодированием 52 мелодии 150м IP56 (черный) REXANT</t>
  </si>
  <si>
    <t>73-0016</t>
  </si>
  <si>
    <t>Беспроводной дверной звонок c цифровым кодированием переливающийся 38 мелодий 150м IP44 (белый/красный) REXANT</t>
  </si>
  <si>
    <t>73-0010</t>
  </si>
  <si>
    <t>Беспроводной дверной звонок RX-1 с цифровым кодированием 32 мелодии 100м (белый) REXANT</t>
  </si>
  <si>
    <t>73-0020</t>
  </si>
  <si>
    <t>Беспроводной дверной звонок RX-2 с цифровым кодированием 32 мелодии 100м кнопка IP44 (белый/синий) REXANT</t>
  </si>
  <si>
    <t>73-0030</t>
  </si>
  <si>
    <t>Беспроводной дверной звонок RX-3 с цифровым кодированием 32 мелодии 100м кнопка IP44 (белый/синий) REXANT</t>
  </si>
  <si>
    <t>73-0015</t>
  </si>
  <si>
    <t>Беспроводной дверной звонок RX-30 c цифровым кодированием 25 мелодий 150м кнопка IP44 (черный) REXANT</t>
  </si>
  <si>
    <t>73-0040</t>
  </si>
  <si>
    <t>Беспроводной дверной звонок RX-4 с цифровым кодированием и двумя кнопками вызова 32 мелодии 100м IP44 (белый/синий) REXANT</t>
  </si>
  <si>
    <t>73-0050</t>
  </si>
  <si>
    <t>Беспроводной дверной звонок RX-5 с двумя вызывными панелями 32 мелодии 100м кнопка IP44 (белый/синий) REXANT</t>
  </si>
  <si>
    <t>73-0060</t>
  </si>
  <si>
    <t>Беспроводной дверной звонок RX-6 с цифровым кодированием и подключением в розетку 32 мелодии 100м кнопка IP44 (белый/синий) REXANT</t>
  </si>
  <si>
    <t>73-0070</t>
  </si>
  <si>
    <t>Беспроводной дверной звонок RX-7 в розетку с ночной подсветкой и индикацией 36 мелодий 80м IP44 (белый/серый) REXANT</t>
  </si>
  <si>
    <t>73-0090</t>
  </si>
  <si>
    <t>Беспроводной дверной звонок в розетку c цифровым кодированием мигающий 36 мелодий 150м IP44 (белый/серый) REXANT</t>
  </si>
  <si>
    <t>73-0003</t>
  </si>
  <si>
    <t>Беспроводной дверной звонок кинетический 38 мелодий 150м IP68 белый REXANT</t>
  </si>
  <si>
    <t>73-0004</t>
  </si>
  <si>
    <t>Беспроводной дверной звонок кинетический 38 мелодий 150м IP68 черный REXANT</t>
  </si>
  <si>
    <t>73-0001</t>
  </si>
  <si>
    <t>Беспроводной дверной звонок с цифровым кодированием 38 мелодий 200м IP44 белый REXANT</t>
  </si>
  <si>
    <t>73-0002</t>
  </si>
  <si>
    <t>Беспроводной дверной звонок с цифровым кодированием 38 мелодий 200м IP44 черный REXANT</t>
  </si>
  <si>
    <t>1. 3 Удлинители, колодки, сетевые фильтры, шнуры</t>
  </si>
  <si>
    <t>1. 3. 1 Удлинители бытовые</t>
  </si>
  <si>
    <t>1. 3. 1. 1. Удлинители бытовые REXANT СТАНДАРТ</t>
  </si>
  <si>
    <t>11-8731</t>
  </si>
  <si>
    <t>Удлинитель 3 гнезда, 1,5м, 2х0,75мм², б/з, белый REXANT</t>
  </si>
  <si>
    <t>11-8733</t>
  </si>
  <si>
    <t>Удлинитель 3 гнезда, 3м, 2х0,75мм², б/з, белый REXANT</t>
  </si>
  <si>
    <t>13-4007</t>
  </si>
  <si>
    <t>Удлинитель СТАНДАРТ 3 гнезда, 3м, 2х1,0мм², б/з, белый REXANT</t>
  </si>
  <si>
    <t>13-4008</t>
  </si>
  <si>
    <t>Удлинитель СТАНДАРТ 3 гнезда, 5м, 2х1,0мм², б/з, белый REXANT</t>
  </si>
  <si>
    <t>13-4017</t>
  </si>
  <si>
    <t>Удлинитель СТАНДАРТ 3 гнезда, 5м, 3х1,0мм², с/з, с выключателем, 2 USB-разъема, белый REXANT</t>
  </si>
  <si>
    <t>1. 3. 1. 2 Удлинители бытовые REXANT ПРЕМИУМ</t>
  </si>
  <si>
    <t>13-4111</t>
  </si>
  <si>
    <t>Удлинитель ПРЕМИУМ 3 гнезда, 5м, 3х1,5мм², с/з, 2 USB-разъема, белый REXANT</t>
  </si>
  <si>
    <t>13-4114</t>
  </si>
  <si>
    <t>Удлинитель ПРЕМИУМ 6 гнезд, 5м, 3х1,5мм², с/з, белый REXANT</t>
  </si>
  <si>
    <t>1. 3. 1. 3 Удлинители бытовые PROconnect</t>
  </si>
  <si>
    <t>13-4202</t>
  </si>
  <si>
    <t>Удлинитель 2 гнезда, 1,5м, 3х0,75мм², с/з, белый PROconnect</t>
  </si>
  <si>
    <t>13-4201</t>
  </si>
  <si>
    <t>Удлинитель 2 гнезда, 3м, 2х0,75мм², б/з, белый PROconnect</t>
  </si>
  <si>
    <t>13-4203</t>
  </si>
  <si>
    <t>Удлинитель 2 гнезда, 3м, 3х0,75мм², с/з, белый PROconnect</t>
  </si>
  <si>
    <t>13-4204</t>
  </si>
  <si>
    <t>Удлинитель 2 гнезда, 5м, 3х0,75мм², с/з, белый PROconnect</t>
  </si>
  <si>
    <t>13-4205</t>
  </si>
  <si>
    <t>Удлинитель 3 гнезда, 1,5м, 2х0,75мм², б/з, белый PROconnect</t>
  </si>
  <si>
    <t>13-4208</t>
  </si>
  <si>
    <t>Удлинитель 3 гнезда, 1,5м, 3х0,75мм², с/з, белый PROconnect</t>
  </si>
  <si>
    <t>11-7205</t>
  </si>
  <si>
    <t>Удлинитель 3 гнезда, 1,5м, 3х0,75мм², с/з, с кнопкой, белый PROconnect</t>
  </si>
  <si>
    <t>13-4206</t>
  </si>
  <si>
    <t>Удлинитель 3 гнезда, 3м, 2х0,75мм², б/з, белый PROconnect</t>
  </si>
  <si>
    <t>13-4209</t>
  </si>
  <si>
    <t>Удлинитель 3 гнезда, 3м, 3х0,75мм², с/з, белый PROconnect</t>
  </si>
  <si>
    <t>13-4207</t>
  </si>
  <si>
    <t>Удлинитель 3 гнезда, 5м, 2х0,75мм², б/з, белый PROconnect</t>
  </si>
  <si>
    <t>13-4211</t>
  </si>
  <si>
    <t>Удлинитель 5 гнезд, 1,5м, 3х0,75мм², с/з, белый PROconnect</t>
  </si>
  <si>
    <t>13-4212</t>
  </si>
  <si>
    <t>Удлинитель 5 гнезд, 3м, 3х0,75мм², с/з, белый PROconnect</t>
  </si>
  <si>
    <t>13-4213</t>
  </si>
  <si>
    <t>Удлинитель 5 гнезд, 5м, 3х0,75мм², с/з, белый PROconnect</t>
  </si>
  <si>
    <t>11-7222</t>
  </si>
  <si>
    <t>Удлинитель ОПТИМА 4 гнезда, 5м, 2х0,75мм², б/з, белый PROconnect</t>
  </si>
  <si>
    <t>11-7223</t>
  </si>
  <si>
    <t>Удлинитель ОПТИМА 4 гнезда, 7м, 2х0,75мм², б/з, белый PROconnect</t>
  </si>
  <si>
    <t>11-7211</t>
  </si>
  <si>
    <t>Удлинитель СТАНДАРТ 3 гнезда, 3м, 2х0,75мм², б/з, белый PROconnect</t>
  </si>
  <si>
    <t>11-7225</t>
  </si>
  <si>
    <t>Удлинитель-рулетка СТАНДАРТ 3 гнезда, 5м, 2х0,75мм², б/з, белый PROconnect</t>
  </si>
  <si>
    <t>1. 3. 2 Колодки розеточные</t>
  </si>
  <si>
    <t>11-8701</t>
  </si>
  <si>
    <t>Колодка 2 гнезда без заземления REXANT</t>
  </si>
  <si>
    <t>11-8981</t>
  </si>
  <si>
    <t>Колодка 2 гнезда карболитовая б/з 16А, черная REXANT</t>
  </si>
  <si>
    <t>11-8702</t>
  </si>
  <si>
    <t>Колодка 2 гнезда с заземлением REXANT</t>
  </si>
  <si>
    <t>11-8703</t>
  </si>
  <si>
    <t>Колодка 3 гнезда без заземления REXANT</t>
  </si>
  <si>
    <t>18.09.2026</t>
  </si>
  <si>
    <t>11-8979</t>
  </si>
  <si>
    <t>Колодка 3 гнезда карболитовая б/з 16А, черная REXANT</t>
  </si>
  <si>
    <t>11-8704</t>
  </si>
  <si>
    <t>Колодка 3 гнезда с заземлением REXANT</t>
  </si>
  <si>
    <t>11-8706</t>
  </si>
  <si>
    <t>Колодка 3 гнезда с кнопкой c заземлением REXANT</t>
  </si>
  <si>
    <t>11-8705</t>
  </si>
  <si>
    <t>Колодка 3 гнезда с кнопкой без заземления REXANT</t>
  </si>
  <si>
    <t>11-8707</t>
  </si>
  <si>
    <t>Колодка 4 гнезда c заземлением REXANT</t>
  </si>
  <si>
    <t>11-8714</t>
  </si>
  <si>
    <t>Колодка 4 гнезда б/з Эконом PROconnect</t>
  </si>
  <si>
    <t>11-8715</t>
  </si>
  <si>
    <t>Колодка 4 гнезда без заземления REXANT</t>
  </si>
  <si>
    <t>11-8716</t>
  </si>
  <si>
    <t>Колодка 4 гнезда с кнопкой c заземлением REXANT</t>
  </si>
  <si>
    <t>11-8980</t>
  </si>
  <si>
    <t>Розетка штепсельная карболитовая открытой установки б/з 16А, черная REXANT</t>
  </si>
  <si>
    <t>1. 3. 3 Сетевые фильтры</t>
  </si>
  <si>
    <t>1. 3. 3. 2 Сетевые фильтры PROconnect</t>
  </si>
  <si>
    <t>11-7226</t>
  </si>
  <si>
    <t>Сетевой фильтр STANDARD 4 гнезда, 1,5м, 3х0,75мм², с/з + автовыкл., белый PROconnect</t>
  </si>
  <si>
    <t>11-7227</t>
  </si>
  <si>
    <t>Сетевой фильтр STANDARD 4 гнезда, 1,5м, 3х0,75мм², с/з, белый PROconnect</t>
  </si>
  <si>
    <t>11-7228</t>
  </si>
  <si>
    <t>Сетевой фильтр STANDARD 4 гнезда, 3м, 3х0,75мм², с/з + автовыкл., белый PROconnect</t>
  </si>
  <si>
    <t>25.09.2026</t>
  </si>
  <si>
    <t>11-7229</t>
  </si>
  <si>
    <t>Сетевой фильтр СТАНДАРТ 4 гнезда, 3м, 3х0,75мм², с/з, белый PROconnect</t>
  </si>
  <si>
    <t>11-7231</t>
  </si>
  <si>
    <t>Сетевой фильтр СТАНДАРТ 4 гнезда, 5м, 3х0,75мм², с/з + автовыкл, белый PROconnect</t>
  </si>
  <si>
    <t>11-7232</t>
  </si>
  <si>
    <t>Сетевой фильтр СТАНДАРТ 4 гнезда, 5м, 3х0,75мм², с/з, белый PROconnect</t>
  </si>
  <si>
    <t>1. 3. 4 Шнуры удлинительные</t>
  </si>
  <si>
    <t>1. 3. 4. 1 Шнуры удлинительные REXANT</t>
  </si>
  <si>
    <t>11-7074</t>
  </si>
  <si>
    <t>Удлинитель-шнур КГ 3х1,5, 10м, 3 гнезда, морозостойкий, с/з, 16А, 3500Вт, IP44 (Сделано в России) REXANT</t>
  </si>
  <si>
    <t>11-7071</t>
  </si>
  <si>
    <t>Удлинитель-шнур КГ 3х1,5, 10м, морозостойкий, с/з, 16А, 3500Вт, IP44 (Сделано в России) REXANT</t>
  </si>
  <si>
    <t>11-7075</t>
  </si>
  <si>
    <t>Удлинитель-шнур КГ 3х1,5, 20м, 3 гнезда, морозостойкий, с/з, 16А, 3500Вт, IP44 (Сделано в России) REXANT</t>
  </si>
  <si>
    <t>11-7072</t>
  </si>
  <si>
    <t>Удлинитель-шнур КГ 3х1,5, 20м, морозостойкий, с/з, 16А, 3500Вт, IP44 (Сделано в России) REXANT</t>
  </si>
  <si>
    <t>11-7076</t>
  </si>
  <si>
    <t>Удлинитель-шнур КГ 3х1,5, 30м, 3 гнезда, морозостойкий, с/з, 16А, 3500Вт, IP44 (Сделано в России) REXANT</t>
  </si>
  <si>
    <t>11-7073</t>
  </si>
  <si>
    <t>Удлинитель-шнур КГ 3х1,5, 30м, морозостойкий, с/з, 16А, 3500Вт, IP44 (Сделано в России) REXANT</t>
  </si>
  <si>
    <t>11-7080</t>
  </si>
  <si>
    <t>Удлинитель-шнур на рамке КГ 3х1,5, 10м, 3 гнезда, морозостойкий, с/з, 16А, 3500Вт, IP44 (Сделано в России) REXANT</t>
  </si>
  <si>
    <t>11-7077</t>
  </si>
  <si>
    <t>Удлинитель-шнур на рамке КГ 3х1,5, 10м, морозостойкий, с/з, 16А, 3500Вт, IP44 (Сделано в России) REXANT</t>
  </si>
  <si>
    <t>11-7081</t>
  </si>
  <si>
    <t>Удлинитель-шнур на рамке КГ 3х1,5, 20м, 3 гнезда, морозостойкий, с/з, 16А, 3500Вт, IP44 (Сделано в России) REXANT</t>
  </si>
  <si>
    <t>11-7078</t>
  </si>
  <si>
    <t>Удлинитель-шнур на рамке КГ 3х1,5, 20м, морозостойкий, с/з, 16А, 3500Вт, IP44 (Сделано в России) REXANT</t>
  </si>
  <si>
    <t>11-7082</t>
  </si>
  <si>
    <t>Удлинитель-шнур на рамке КГ 3х1,5, 30м, 3 гнезда, морозостойкий, с/з, 16А, 3500Вт, IP44 (Сделано в России) REXANT</t>
  </si>
  <si>
    <t>11-7079</t>
  </si>
  <si>
    <t>Удлинитель-шнур на рамке КГ 3х1,5, 30м, морозостойкий, с/з, 16А, 3500Вт, IP44 (Сделано в России) REXANT</t>
  </si>
  <si>
    <t>1. 3. 4. 2 Шнуры удлинительные PROconnect</t>
  </si>
  <si>
    <t>11-7111</t>
  </si>
  <si>
    <t>Удлинитель-шнур на рамке ПВС 2х0,75, 10м, б/з, 6А, 1300Вт, IP20, оранжевый (Сделано в России) PROconnect</t>
  </si>
  <si>
    <t>11-7112</t>
  </si>
  <si>
    <t>Удлинитель-шнур на рамке ПВС 2х0,75, 20м, б/з, 6А, 1300Вт, IP20, оранжевый (Сделано в России) PROconnect</t>
  </si>
  <si>
    <t>11-7102</t>
  </si>
  <si>
    <t>Удлинитель-шнур на рамке ПВС 2х0,75, 20м, б/з, 6А, 1300Вт, IP20, черный (Сделано в России) PROconnect</t>
  </si>
  <si>
    <t>11-7113</t>
  </si>
  <si>
    <t>Удлинитель-шнур на рамке ПВС 2х0,75, 30м, б/з, 6А, 1300Вт, IP20, оранжевый (Сделано в России) PROconnect</t>
  </si>
  <si>
    <t>11-7103</t>
  </si>
  <si>
    <t>Удлинитель-шнур на рамке ПВС 2х0,75, 30м, б/з, 6А, 1300Вт, IP20, черный (Сделано в России) PROconnect</t>
  </si>
  <si>
    <t>11-7104</t>
  </si>
  <si>
    <t>Удлинитель-шнур на рамке ПВС 2х0,75, 40м, б/з, 6А, 1300Вт, IP20, черный (Сделано в России) PROconnect</t>
  </si>
  <si>
    <t>13-4913</t>
  </si>
  <si>
    <t>Удлинитель-шнур на рамке ПВС 3х0,75мм², 10м, с/з, 6А, 1300Вт, IP20, черный PROconnect</t>
  </si>
  <si>
    <t>13-4914</t>
  </si>
  <si>
    <t>Удлинитель-шнур на рамке ПВС 3х0,75мм², 20м, с/з, 6А, 1300Вт, IP20, черный PROconnect</t>
  </si>
  <si>
    <t>13-4915</t>
  </si>
  <si>
    <t>Удлинитель-шнур на рамке ПВС 3х0,75мм², 30м, с/з, 6А, 1300Вт, IP20, черный PROconnect</t>
  </si>
  <si>
    <t>11-7105</t>
  </si>
  <si>
    <t>Удлинитель-шнур ПВС 2х0,75, 10м, б/з, 6А, 1300Вт, IP20, оранжевый (Сделано в России) PROconnect</t>
  </si>
  <si>
    <t>11-7114</t>
  </si>
  <si>
    <t>Удлинитель-шнур ПВС 2х0,75, 10м, б/з, 6А, 1300Вт, IP20, черный (Сделано в России) PROconnect</t>
  </si>
  <si>
    <t>11-7106</t>
  </si>
  <si>
    <t>Удлинитель-шнур ПВС 2х0,75, 20м, б/з, 6А, 1300Вт, IP20, оранжевый (Сделано в России) PROconnect</t>
  </si>
  <si>
    <t>11-7115</t>
  </si>
  <si>
    <t>Удлинитель-шнур ПВС 2х0,75, 20м, б/з, 6А, 1300Вт, IP20, черный (Сделано в России) PROconnect</t>
  </si>
  <si>
    <t>11-7107</t>
  </si>
  <si>
    <t>Удлинитель-шнур ПВС 2х0,75, 30м, б/з, 6А, 1300Вт, IP20, оранжевый (Сделано в России) PROconnect</t>
  </si>
  <si>
    <t>11-7116</t>
  </si>
  <si>
    <t>Удлинитель-шнур ПВС 2х0,75, 30м, б/з, 6А, 1300Вт, IP20, черный (Сделано в России) PROconnect</t>
  </si>
  <si>
    <t>13-4909</t>
  </si>
  <si>
    <t>Удлинитель-шнур ПВС 3х0,75мм², 10м, с/з, 6А, 1300Вт, IP20, черный PROconnect</t>
  </si>
  <si>
    <t>13-4910</t>
  </si>
  <si>
    <t>Удлинитель-шнур ПВС 3х0,75мм², 20м, с/з, 6А, 1300Вт, IP20, черный PROconnect</t>
  </si>
  <si>
    <t>1. 3. 5 Удлинители силовые на катушке</t>
  </si>
  <si>
    <t>1. 3. 5. 1 Удлинитель на катушке REXANT</t>
  </si>
  <si>
    <t>13-5011</t>
  </si>
  <si>
    <t>Удлинитель силовой КГ на катушке 4 гнезда, с/з, 30м, 3х1,5мм², IP44 c защитными крышками, металлическая катушка REXANT</t>
  </si>
  <si>
    <t>13-5014</t>
  </si>
  <si>
    <t>Удлинитель силовой КГ на катушке 4 гнезда, с/з, 30м, 3х2,5мм², IP44 с термозащитой, c защитными крышками, металлическая катушка REXANT</t>
  </si>
  <si>
    <t>13-5012</t>
  </si>
  <si>
    <t>Удлинитель силовой КГ на катушке 4 гнезда, с/з, 40м, 3х1,5мм², IP44 c защитными крышками, металлическая катушка REXANT</t>
  </si>
  <si>
    <t>13-5015</t>
  </si>
  <si>
    <t>Удлинитель силовой КГ на катушке 4 гнезда, с/з, 40м, 3х2,5мм², IP44 с термозащитой, c защитными крышками, металлическая катушка REXANT</t>
  </si>
  <si>
    <t>13-5013</t>
  </si>
  <si>
    <t>Удлинитель силовой КГ на катушке 4 гнезда, с/з, 50м, 3х1,5мм², IP44 c защитными крышками, металлическая катушка REXANT</t>
  </si>
  <si>
    <t>13-5016</t>
  </si>
  <si>
    <t>Удлинитель силовой КГ на катушке 4 гнезда, с/з, 50м, 3х2,5мм², IP44 с термозащитой, c защитными крышками, металлическая катушка REXANT</t>
  </si>
  <si>
    <t>1. 3. 5. 2 Удлинитель на катушке PROconnect</t>
  </si>
  <si>
    <t>11-7608</t>
  </si>
  <si>
    <t>Удлинитель силовой на катушке 4 гнезда с/з 20м 3х1,5мм² PROconnect</t>
  </si>
  <si>
    <t>11-7604</t>
  </si>
  <si>
    <t>Удлинитель силовой на катушке 4 гнезда с/з 20м 3х1мм² PROconnect</t>
  </si>
  <si>
    <t>11-7612</t>
  </si>
  <si>
    <t>Удлинитель силовой на катушке 4 гнезда с/з 20м 3х2,5мм² PROconnect</t>
  </si>
  <si>
    <t>11-7609</t>
  </si>
  <si>
    <t>Удлинитель силовой на катушке 4 гнезда с/з 30м 3х1,5мм² PROconnect</t>
  </si>
  <si>
    <t>11-7605</t>
  </si>
  <si>
    <t>Удлинитель силовой на катушке 4 гнезда с/з 30м 3х1мм² PROconnect</t>
  </si>
  <si>
    <t>11-7613</t>
  </si>
  <si>
    <t>Удлинитель силовой на катушке 4 гнезда с/з 30м 3х2,5мм² PROconnect</t>
  </si>
  <si>
    <t>11-7610</t>
  </si>
  <si>
    <t>Удлинитель силовой на катушке 4 гнезда с/з 40м 3х1,5мм² PROconnect</t>
  </si>
  <si>
    <t>11-7606</t>
  </si>
  <si>
    <t>Удлинитель силовой на катушке 4 гнезда с/з 40м 3х1мм² PROconnect</t>
  </si>
  <si>
    <t>11-7614</t>
  </si>
  <si>
    <t>Удлинитель силовой на катушке 4 гнезда с/з 40м 3х2,5мм² PROconnect</t>
  </si>
  <si>
    <t>11-7611</t>
  </si>
  <si>
    <t>Удлинитель силовой на катушке 4 гнезда с/з 50м 3х1,5мм² PROconnect</t>
  </si>
  <si>
    <t>11-7607</t>
  </si>
  <si>
    <t>Удлинитель силовой на катушке 4 гнезда с/з 50м 3х1мм² PROconnect</t>
  </si>
  <si>
    <t>11-7615</t>
  </si>
  <si>
    <t>Удлинитель силовой на катушке 4 гнезда с/з 50м 3х2,5мм² PROconnect</t>
  </si>
  <si>
    <t>1. 3. 6 Вилки и колодки из каучука</t>
  </si>
  <si>
    <t>1. 3. 6. 1 Вилки и колодки из каучука REXANT</t>
  </si>
  <si>
    <t>111-200</t>
  </si>
  <si>
    <t>Вилка влагозащищенная прямая КОМПАКТ, с/з, 16А, IP44 каучук, черная REXANT</t>
  </si>
  <si>
    <t>09.11.2026</t>
  </si>
  <si>
    <t>111-202</t>
  </si>
  <si>
    <t>Вилка влагозащищенная прямая КОМПАКТ, с/з, 16А, IP44, каучук, оранжевая REXANT</t>
  </si>
  <si>
    <t>111-014</t>
  </si>
  <si>
    <t>Вилка влагозащищенная прямая, c/з, 16А, IP44, каучук, желтая REXANT</t>
  </si>
  <si>
    <t>14.09.2026</t>
  </si>
  <si>
    <t>111-015</t>
  </si>
  <si>
    <t>Вилка влагозащищенная прямая, c/з, 16А, IP44, каучук, оранжевая REXANT</t>
  </si>
  <si>
    <t>111-001</t>
  </si>
  <si>
    <t>Вилка влагозащищенная прямая, с/з, 16А, IP44, каучук, черная REXANT</t>
  </si>
  <si>
    <t>111-002</t>
  </si>
  <si>
    <t>Вилка влагозащищенная угловая с кольцом, с/з, 16А, IP44 каучук, черная REXANT</t>
  </si>
  <si>
    <t>111-003</t>
  </si>
  <si>
    <t>Вилка влагозащищенная угловая, с/з, 16А, IP44 каучук, черная REXANT</t>
  </si>
  <si>
    <t>111-225</t>
  </si>
  <si>
    <t>Розетка (колодка) влагозащищенная с крышкой 1 гнездо КОМПАКТ, с/3, 16А, IP54, каучук, оранжевая REXANT</t>
  </si>
  <si>
    <t>111-221</t>
  </si>
  <si>
    <t>Розетка (колодка) влагозащищенная с крышкой 1 гнездо КОМПАКТ, с/3, 16А, IP54, каучук, черная REXANT</t>
  </si>
  <si>
    <t>111-226</t>
  </si>
  <si>
    <t>Розетка (колодка) влагозащищенная с крышкой 2 гнезда КОМПАКТ, с/з, 16А, IP54, каучук, оранжевая REXANT</t>
  </si>
  <si>
    <t>111-222</t>
  </si>
  <si>
    <t>Розетка (колодка) влагозащищенная с крышкой 2 гнезда КОМПАКТ, с/з, 16А, IP54, каучук, черная REXANT</t>
  </si>
  <si>
    <t>111-112</t>
  </si>
  <si>
    <t>Розетка (колодка) влагозащищенная с крышкой 2 гнезда, с/з, 16А, IP54, каучук, черная REXANT</t>
  </si>
  <si>
    <t>111-227</t>
  </si>
  <si>
    <t>Розетка (колодка) влагозащищенная с крышкой 3 гнезда КОМПАКТ, с/з, 16А, IP54, каучук, оранжевая REXANT</t>
  </si>
  <si>
    <t>111-223</t>
  </si>
  <si>
    <t>Розетка (колодка) влагозащищенная с крышкой 3 гнезда КОМПАКТ, с/з, 16А, IP54, каучук, черная REXANT</t>
  </si>
  <si>
    <t>03.10.2026</t>
  </si>
  <si>
    <t>111-126</t>
  </si>
  <si>
    <t>Розетка (колодка) влагозащищенная с крышкой 3 гнезда, с/з, 16А, IP54, каучук, желтая REXANT</t>
  </si>
  <si>
    <t>21.10.2026</t>
  </si>
  <si>
    <t>111-113</t>
  </si>
  <si>
    <t>Розетка (колодка) влагозащищенная с крышкой 3 гнезда, с/з, 16А, IP54, каучук, черная REXANT</t>
  </si>
  <si>
    <t>111-228</t>
  </si>
  <si>
    <t>Розетка (колодка) влагозащищенная с крышкой 4 гнезда КОМПАКТ, с/з, 16А, IP54, каучук, оранжевая REXANT</t>
  </si>
  <si>
    <t>111-224</t>
  </si>
  <si>
    <t>Розетка (колодка) влагозащищенная с крышкой 4 гнезда КОМПАКТ, с/з, 16А, IP54, каучук, черная REXANT</t>
  </si>
  <si>
    <t>111-114</t>
  </si>
  <si>
    <t>Розетка (колодка) влагозащищенная с крышкой 4 гнезда, с/з, 16А, IP54, каучук, черная REXANT</t>
  </si>
  <si>
    <t>111-007</t>
  </si>
  <si>
    <t>Розетка влагозащищенная настенная с крышкой 1 гнездо, 3Р+РЕ, 32А, IP44, каучук, черная REXANT</t>
  </si>
  <si>
    <t>111-008</t>
  </si>
  <si>
    <t>Розетка влагозащищенная панельная с крышкой 1 гнездо, 2Р+РЕ, с/з, с/у, 16А, IP54, серая REXANT</t>
  </si>
  <si>
    <t>111-005</t>
  </si>
  <si>
    <t>Розетка влагозащищенная переносная 1 гнездо, с/з, 16А, IP20/44 каучук, черная REXANT</t>
  </si>
  <si>
    <t>111-012</t>
  </si>
  <si>
    <t>Розетка влагозащищенная переносная с крышкой 1 гнездо, 3Р+РЕ, 32А, IP44, каучук, черная REXANT</t>
  </si>
  <si>
    <t>111-004</t>
  </si>
  <si>
    <t>Розетка влагозащищенная переносная с крышкой 1 гнездо, с/з, 16А, IP44 каучук, черная REXANT</t>
  </si>
  <si>
    <t>111-122</t>
  </si>
  <si>
    <t>Розетка влагозащищенная переносная с крышкой 1 гнездо, с/з, 16А, IP54, каучук, желтая REXANT</t>
  </si>
  <si>
    <t>111-123</t>
  </si>
  <si>
    <t>Розетка влагозащищенная переносная с крышкой 1 гнездо, с/з, 16А, IP54, каучук, оранжевая REXANT</t>
  </si>
  <si>
    <t>111-111</t>
  </si>
  <si>
    <t>Розетка влагозащищенная с крышкой 1 гнездо, с/з, 16А, IP54, каучук, черная REXANT</t>
  </si>
  <si>
    <t>1. 3. 7 Разветвители электрические (тройники)</t>
  </si>
  <si>
    <t>11-6017</t>
  </si>
  <si>
    <t>Адаптер питания 220В, 2 USB-разъема RX-17 REXANT</t>
  </si>
  <si>
    <t>11-1084</t>
  </si>
  <si>
    <t>Адаптер сетевой 16А с выключателем, заземлением и защитными шторками, белый REXANT</t>
  </si>
  <si>
    <t>04.11.2026</t>
  </si>
  <si>
    <t>11-1253</t>
  </si>
  <si>
    <t>Двойник электрический (разветвитель) 16А с/з, разъемы USB-A и USB-C с защитными шторками, белый REXANT</t>
  </si>
  <si>
    <t>11-1074</t>
  </si>
  <si>
    <t>Двойник электрический 10А б/з вертикальный белый REXANT</t>
  </si>
  <si>
    <t>11-1075</t>
  </si>
  <si>
    <t>Двойник электрический 16А с/з вертикальный белый REXANT</t>
  </si>
  <si>
    <t>15.09.2026</t>
  </si>
  <si>
    <t>11-1085</t>
  </si>
  <si>
    <t>Двойник электрический 16А с/з с выключателем и защитными шторками, белый REXANT</t>
  </si>
  <si>
    <t>12.10.2026</t>
  </si>
  <si>
    <t>11-1089</t>
  </si>
  <si>
    <t>Двойник электрический 16А с/з и защитными шторками и 2 USB-разъема, 2,4 А, белый REXANT</t>
  </si>
  <si>
    <t>11-1087</t>
  </si>
  <si>
    <t>Двойник электрический 16А с/з и защитными шторками, белый REXANT</t>
  </si>
  <si>
    <t>11-1251</t>
  </si>
  <si>
    <t>Двойник электрический Куб 16А с/з, 2 разъема USB-A 2,4А, 1 разъем USB-C 3А, с ночной подсветкой, белый REXANT</t>
  </si>
  <si>
    <t>11-1252</t>
  </si>
  <si>
    <t>Двойник электрический Куб 16А с/з, 2 разъема USB-A 2,4А, 1 разъем USB-C 3А, с ночной подсветкой, черный REXANT</t>
  </si>
  <si>
    <t>11-1090</t>
  </si>
  <si>
    <t>Двойник электрический линейный 16А с/з, 2 USB-разъема, 2,4А, белый REXANT</t>
  </si>
  <si>
    <t>11-1068</t>
  </si>
  <si>
    <t>Тройник электрический 6A б/з белый 220 В REXANT</t>
  </si>
  <si>
    <t>11-1075-2</t>
  </si>
  <si>
    <t>Набор двойников электрических 16А с/з вертикальные, белый (2 шт./уп.) REXANT</t>
  </si>
  <si>
    <t>11-1079-2</t>
  </si>
  <si>
    <t>Набор тройников электрических линейных 16А с/з вертикальные, белый (2 шт/уп) REXANT</t>
  </si>
  <si>
    <t>11-1080-2</t>
  </si>
  <si>
    <t>Набор тройников электрических универсальных 16А с/з, одно гнездо, белый (2 шт./уп.) REXANT</t>
  </si>
  <si>
    <t>11-1063</t>
  </si>
  <si>
    <t>Тройник электрический «Шар» 6А б/з белый 220 В REXANT</t>
  </si>
  <si>
    <t>11-1063-1</t>
  </si>
  <si>
    <t>Тройник электрический «Шар» 6А б/з черный 220 В REXANT</t>
  </si>
  <si>
    <t>11-1076</t>
  </si>
  <si>
    <t>Тройник электрический 10А б/з, черный REXANT</t>
  </si>
  <si>
    <t>11-1088</t>
  </si>
  <si>
    <t>Тройник электрический 16А с/з с защитными шторками, белый REXANT</t>
  </si>
  <si>
    <t>11-1086</t>
  </si>
  <si>
    <t>Тройник электрический 16А с/з, 2,5Ах2 с выключателем и защитными шторками, белый REXANT</t>
  </si>
  <si>
    <t>11-1250</t>
  </si>
  <si>
    <t>Тройник электрический 16А с/з,  2х2,5А, 3 разъема USB-A 2,4А, 1 разъем USB-C 3А, белый REXANT</t>
  </si>
  <si>
    <t>11-1081</t>
  </si>
  <si>
    <t>Тройник электрический 6А б/з белый 220 В REXANT</t>
  </si>
  <si>
    <t>11-1064</t>
  </si>
  <si>
    <t>11-1064-1</t>
  </si>
  <si>
    <t>Тройник электрический 6А б/з черный 220 В REXANT</t>
  </si>
  <si>
    <t>11-1078</t>
  </si>
  <si>
    <t>Тройник электрический линейный 10А б/з вертикальный, белый REXANT</t>
  </si>
  <si>
    <t>11-1079</t>
  </si>
  <si>
    <t>Тройник электрический линейный 16А с/з вертикальный, белый REXANT</t>
  </si>
  <si>
    <t>11-1069</t>
  </si>
  <si>
    <t>Тройник электрический пирамида 16А с/з белый REXANT</t>
  </si>
  <si>
    <t>11-1082</t>
  </si>
  <si>
    <t>Тройник электрический РЕТРО 16А б/з черный (карболит) REXANT</t>
  </si>
  <si>
    <t>11-1083</t>
  </si>
  <si>
    <t>Тройник электрический универсальный 16А одно гнездо с/з черный REXANT</t>
  </si>
  <si>
    <t>11-1080</t>
  </si>
  <si>
    <t>Тройник электрический универсальный 16А одно гнездо с/з белый REXANT</t>
  </si>
  <si>
    <t>11-1077</t>
  </si>
  <si>
    <t>Тройник электрический 10А б/з белый REXANT</t>
  </si>
  <si>
    <t>11-1073</t>
  </si>
  <si>
    <t>Четверник электрический 16А с/з белый REXANT</t>
  </si>
  <si>
    <t>11-1072</t>
  </si>
  <si>
    <t>Четверник электрический 6А б/з белый</t>
  </si>
  <si>
    <t>1. 4 Силовые разъемы</t>
  </si>
  <si>
    <t>1. 4. 2 Силовые разъемы CEE</t>
  </si>
  <si>
    <t>11-8900</t>
  </si>
  <si>
    <t>Вилка 013 переносная 2Р+РЕ 16А 220В IP44 REXANT</t>
  </si>
  <si>
    <t>11-8901</t>
  </si>
  <si>
    <t>Вилка 014 переносная 3Р+РЕ 16А 380В IP44 REXANT</t>
  </si>
  <si>
    <t>14.10.2026</t>
  </si>
  <si>
    <t>11-8902</t>
  </si>
  <si>
    <t>Вилка 015 переносная 3Р+РЕ+N 16А 380В IP44 REXANT</t>
  </si>
  <si>
    <t>11-8903</t>
  </si>
  <si>
    <t>Вилка 023 переносная 2Р+РЕ 32А 220В IP44 REXANT</t>
  </si>
  <si>
    <t>11-8904</t>
  </si>
  <si>
    <t>Вилка 024 переносная 3Р+РЕ 32А 380В IP44 REXANT</t>
  </si>
  <si>
    <t>11-8905</t>
  </si>
  <si>
    <t>Вилка 025 переносная 3Р+РЕ+N 32А 380В IP44 REXANT</t>
  </si>
  <si>
    <t>111-013</t>
  </si>
  <si>
    <t>Вилка влагозащищенная прямая 2P+РE, 16А, IP68, серая REXANT</t>
  </si>
  <si>
    <t>11-8909</t>
  </si>
  <si>
    <t>Розетка 113 стационарная 2Р+РЕ 16А 220В IP44 REXANT</t>
  </si>
  <si>
    <t>11-8910</t>
  </si>
  <si>
    <t>Розетка 114 стационарная 3Р+РЕ 16А 380В IP44 REXANT</t>
  </si>
  <si>
    <t>20.12.2026</t>
  </si>
  <si>
    <t>11-8911</t>
  </si>
  <si>
    <t>Розетка 115 стационарная 3Р+РЕ+N 16А 380В IP44 REXANT</t>
  </si>
  <si>
    <t>11-8912</t>
  </si>
  <si>
    <t>Розетка 123 стационарная 2Р+РЕ 32А 220В IP44 REXANT</t>
  </si>
  <si>
    <t>11-8913</t>
  </si>
  <si>
    <t>Розетка 124 стационарная 3Р+РЕ 32А 380В IP44 REXANT</t>
  </si>
  <si>
    <t>11-8914</t>
  </si>
  <si>
    <t>Розетка 125 стационарная 3Р+РЕ+N 32А 380В IP44 REXANT</t>
  </si>
  <si>
    <t>11-8918</t>
  </si>
  <si>
    <t>Розетка 213 переносная 2Р+РЕ 16А 220В IP44 REXANT</t>
  </si>
  <si>
    <t>11-8919</t>
  </si>
  <si>
    <t>Розетка 214 переносная 3Р+РЕ 16А 380В IP44 REXANT</t>
  </si>
  <si>
    <t>11-8920</t>
  </si>
  <si>
    <t>Розетка 215 переносная 3Р+РЕ+N 16А 380В IP44 REXANT</t>
  </si>
  <si>
    <t>11-8921</t>
  </si>
  <si>
    <t>Розетка 223 переносная 2Р+РЕ 32А 220В IP44 REXANT</t>
  </si>
  <si>
    <t>11-8922</t>
  </si>
  <si>
    <t>Розетка 224 переносная 3Р+РЕ 32А 380В IP44 REXANT</t>
  </si>
  <si>
    <t>11-8923</t>
  </si>
  <si>
    <t>Розетка 225 переносная 3Р+РЕ+N 32А 380В IP44 REXANT</t>
  </si>
  <si>
    <t>111-121</t>
  </si>
  <si>
    <t>Розетка влагозащищенная кабельная переносная 1 гнездо, 2Р+РЕ, 16А, IP68, серая REXANT</t>
  </si>
  <si>
    <t>111-125</t>
  </si>
  <si>
    <t>Розетка влагозащищенная настенная с крышкой 1 гнездо, 2Р+РЕ, 16А, IP68, серая REXANT</t>
  </si>
  <si>
    <t>111-124</t>
  </si>
  <si>
    <t>Розетка влагозащищенная настенная фланцевая с крышкой 1 гнездо, 2Р+РЕ, 16А, IP68, серая REXANT</t>
  </si>
  <si>
    <t>1. 5 Стабилизаторы напряжения</t>
  </si>
  <si>
    <t>1. 5. 1 Стабилизаторы напольные [Группа индивидуального ценообразования]</t>
  </si>
  <si>
    <t>11-5001</t>
  </si>
  <si>
    <t>Стабилизатор напряжения AСН-1000/1-Ц REXANT</t>
  </si>
  <si>
    <t>11-5002</t>
  </si>
  <si>
    <t>Стабилизатор напряжения AСН-1500/1-Ц REXANT</t>
  </si>
  <si>
    <t>11-5003</t>
  </si>
  <si>
    <t>Стабилизатор напряжения AСН-2000/1-Ц REXANT</t>
  </si>
  <si>
    <t>11-5004</t>
  </si>
  <si>
    <t>Стабилизатор напряжения AСН-3000/1-Ц REXANT</t>
  </si>
  <si>
    <t>11-5000</t>
  </si>
  <si>
    <t>Стабилизатор напряжения AСН-500/1-Ц REXANT</t>
  </si>
  <si>
    <t>11-5005</t>
  </si>
  <si>
    <t>Стабилизатор напряжения AСН-5000/1-Ц REXANT</t>
  </si>
  <si>
    <t>11-5006</t>
  </si>
  <si>
    <t>Стабилизатор напряжения AСН-8000/1-Ц REXANT</t>
  </si>
  <si>
    <t>11-5007</t>
  </si>
  <si>
    <t>Стабилизатор напряжения АСН-10000/1-Ц REXANT</t>
  </si>
  <si>
    <t>11-5008</t>
  </si>
  <si>
    <t>Стабилизатор напряжения АСН-12000/1-Ц REXANT</t>
  </si>
  <si>
    <t>1. 5. 2 Стабилизаторы настенные [Группа индивидуального ценообразования]</t>
  </si>
  <si>
    <t>11-5017</t>
  </si>
  <si>
    <t>Стабилизатор напряжения настенный АСНN-1000/1-Ц REXANT</t>
  </si>
  <si>
    <t>11-5011</t>
  </si>
  <si>
    <t>Стабилизатор напряжения настенный АСНN-10000/1-Ц REXANT</t>
  </si>
  <si>
    <t>11-5016</t>
  </si>
  <si>
    <t>Стабилизатор напряжения настенный АСНN-1500/1-Ц REXANT</t>
  </si>
  <si>
    <t>11-5015</t>
  </si>
  <si>
    <t>Стабилизатор напряжения настенный АСНN-2000/1-Ц REXANT</t>
  </si>
  <si>
    <t>11-5014</t>
  </si>
  <si>
    <t>Стабилизатор напряжения настенный АСНN-3000/1-Ц REXANT</t>
  </si>
  <si>
    <t>11-5018</t>
  </si>
  <si>
    <t>Стабилизатор напряжения настенный АСНN-500/1-Ц REXANT</t>
  </si>
  <si>
    <t>11-5013</t>
  </si>
  <si>
    <t>Стабилизатор напряжения настенный АСНN-5000/1-Ц REXANT</t>
  </si>
  <si>
    <t>11-5012</t>
  </si>
  <si>
    <t>Стабилизатор напряжения настенный АСНN-8000/1-Ц REXANT</t>
  </si>
  <si>
    <t>1. 5. 3 Стабилизаторы переносные [Группа индивидуального ценообразования]</t>
  </si>
  <si>
    <t>11-5029</t>
  </si>
  <si>
    <t>Стабилизатор напряжения портативный REX-PR-1000 REXANT</t>
  </si>
  <si>
    <t>1. 5. 4 Стабилизаторы напольные пониженного напряжения [Группа индивидуального ценообразования]</t>
  </si>
  <si>
    <t>11-5021</t>
  </si>
  <si>
    <t>Стабилизатор пониженного напряжения REX-FR-1000 REXANT</t>
  </si>
  <si>
    <t>11-5027</t>
  </si>
  <si>
    <t>Стабилизатор пониженного напряжения REX-FR-10000 REXANT</t>
  </si>
  <si>
    <t>11-5024</t>
  </si>
  <si>
    <t>Стабилизатор пониженного напряжения REX-FR-3000 REXANT</t>
  </si>
  <si>
    <t>11-5019</t>
  </si>
  <si>
    <t>Стабилизатор пониженного напряжения REX-FR-500 REXANT</t>
  </si>
  <si>
    <t>11-5025</t>
  </si>
  <si>
    <t>Стабилизатор пониженного напряжения REX-FR-5000 REXANT</t>
  </si>
  <si>
    <t>11-5026</t>
  </si>
  <si>
    <t>Стабилизатор пониженного напряжения REX-FR-8000 REXANT</t>
  </si>
  <si>
    <t>1. 5. 5 Стабилизаторы настенные пониженного напряжения [Группа индивидуального ценообразования]</t>
  </si>
  <si>
    <t>11-5042</t>
  </si>
  <si>
    <t>Стабилизатор пониженного напряжения настенный REX-WR-1000 REXANT</t>
  </si>
  <si>
    <t>11-5048</t>
  </si>
  <si>
    <t>Стабилизатор пониженного напряжения настенный REX-WR-10000 REXANT</t>
  </si>
  <si>
    <t>11-5043</t>
  </si>
  <si>
    <t>Стабилизатор пониженного напряжения настенный REX-WR-1500 REXANT</t>
  </si>
  <si>
    <t>11-5044</t>
  </si>
  <si>
    <t>Стабилизатор пониженного напряжения настенный REX-WR-2000 REXANT</t>
  </si>
  <si>
    <t>11-5045</t>
  </si>
  <si>
    <t>Стабилизатор пониженного напряжения настенный REX-WR-3000 REXANT</t>
  </si>
  <si>
    <t>11-5041</t>
  </si>
  <si>
    <t>Стабилизатор пониженного напряжения настенный REX-WR-500 REXANT</t>
  </si>
  <si>
    <t>11-5046</t>
  </si>
  <si>
    <t>Стабилизатор пониженного напряжения настенный REX-WR-5000 REXANT</t>
  </si>
  <si>
    <t>11-5047</t>
  </si>
  <si>
    <t>Стабилизатор пониженного напряжения настенный REX-WR-8000 REXANT</t>
  </si>
  <si>
    <t>1. 6 Системы для прокладки кабеля</t>
  </si>
  <si>
    <t>1. 6. 1 Кабель-канал</t>
  </si>
  <si>
    <t>1. 6. 1. 1 Кабель-канал REXANT (белый)</t>
  </si>
  <si>
    <t>28-0040-2</t>
  </si>
  <si>
    <t>Кабель-канал 100х40мм, белый REXANT</t>
  </si>
  <si>
    <t>метр</t>
  </si>
  <si>
    <t>28-0060-2</t>
  </si>
  <si>
    <t>Кабель-канал 100х60мм, белый REXANT</t>
  </si>
  <si>
    <t>28-1212-2</t>
  </si>
  <si>
    <t>Кабель-канал 12х12мм, белый REXANT</t>
  </si>
  <si>
    <t>28-1510-2</t>
  </si>
  <si>
    <t>Кабель-канал 15х10мм, белый REXANT</t>
  </si>
  <si>
    <t>28-2525-2</t>
  </si>
  <si>
    <t>Кабель-канал 25х25мм, белый REXANT</t>
  </si>
  <si>
    <t>28-4016-2</t>
  </si>
  <si>
    <t>Кабель-канал 40х16мм, белый REXANT</t>
  </si>
  <si>
    <t>28-4040-2</t>
  </si>
  <si>
    <t>Кабель-канал 40х40мм, белый REXANT</t>
  </si>
  <si>
    <t>28-6040-2</t>
  </si>
  <si>
    <t>Кабель-канал 60х40мм, белый REXANT</t>
  </si>
  <si>
    <t>28-6060-2</t>
  </si>
  <si>
    <t>Кабель-канал 60х60мм, белый REXANT</t>
  </si>
  <si>
    <t>28-8040-2</t>
  </si>
  <si>
    <t>Кабель-канал 80х40мм, белый REXANT</t>
  </si>
  <si>
    <t>28-8060-2</t>
  </si>
  <si>
    <t>Кабель-канал 80х60мм, белый REXANT</t>
  </si>
  <si>
    <t>1. 6. 1. 3 Коробки распаячные для кабель-канала</t>
  </si>
  <si>
    <t>28-3075</t>
  </si>
  <si>
    <t>Коробка распаячная ОУ для кабель-канала, 100х100х29мм, белая, IP40 REXANT</t>
  </si>
  <si>
    <t>28-3074</t>
  </si>
  <si>
    <t>Коробка распаячная ОУ для кабель-канала, 100х100х50мм, белая, IP40 REXANT</t>
  </si>
  <si>
    <t>28-3073</t>
  </si>
  <si>
    <t>Коробка распаячная ОУ для кабель-канала, 50х50х20мм, белая, IP40 REXANT</t>
  </si>
  <si>
    <t>28-3072</t>
  </si>
  <si>
    <t>Коробка распаячная ОУ для кабель-канала, 80х80х23мм, белая, IP40 REXANT</t>
  </si>
  <si>
    <t>1. 6. 1. 4 Кабель-канал перфорированный Rexant</t>
  </si>
  <si>
    <t>28-5012</t>
  </si>
  <si>
    <t>Кабель-канал перфорированный самоклеящийся 25х25мм, серый (паз 4мм, зуб 6мм) REXANT</t>
  </si>
  <si>
    <t>15.03.2027</t>
  </si>
  <si>
    <t>28-5013</t>
  </si>
  <si>
    <t>Кабель-канал перфорированный самоклеящийся 25х40мм, серый (паз 4мм, зуб 6мм) REXANT</t>
  </si>
  <si>
    <t>28-5014</t>
  </si>
  <si>
    <t>Кабель-канал перфорированный самоклеящийся 25х60мм, серый (паз 5мм, зуб 7мм) REXANT</t>
  </si>
  <si>
    <t>28-5015</t>
  </si>
  <si>
    <t>Кабель-канал перфорированный самоклеящийся 40х40мм, серый (паз 4мм, зуб 6мм) REXANT</t>
  </si>
  <si>
    <t>28-5017</t>
  </si>
  <si>
    <t>Кабель-канал перфорированный самоклеящийся 60х60мм, серый (паз 5мм, зуб 7мм с отв.) REXANT</t>
  </si>
  <si>
    <t>1. 6. 1. 6 Кабель-канал REXANT (цветной)</t>
  </si>
  <si>
    <t>28-1212-4</t>
  </si>
  <si>
    <t>Кабель-канал 12х12мм, Дуб REXANT</t>
  </si>
  <si>
    <t>28-1212-9</t>
  </si>
  <si>
    <t>Кабель-канал 12х12мм, Серый REXANT</t>
  </si>
  <si>
    <t>28-1212-5</t>
  </si>
  <si>
    <t>Кабель-канал 12х12мм, Сосна 3D REXANT</t>
  </si>
  <si>
    <t>28-1212-8</t>
  </si>
  <si>
    <t>Кабель-канал 12х12мм, Черный REXANT</t>
  </si>
  <si>
    <t>28-1510-4</t>
  </si>
  <si>
    <t>Кабель-канал 15х10мм, Дуб REXANT</t>
  </si>
  <si>
    <t>28-1510-9</t>
  </si>
  <si>
    <t>Кабель-канал 15х10мм, Серый REXANT</t>
  </si>
  <si>
    <t>28-1510-5</t>
  </si>
  <si>
    <t>Кабель-канал 15х10мм, Сосна 3D REXANT</t>
  </si>
  <si>
    <t>28-1616-4</t>
  </si>
  <si>
    <t>Кабель-канал 16х16мм, Дуб REXANT</t>
  </si>
  <si>
    <t>28-1616-9</t>
  </si>
  <si>
    <t>Кабель-канал 16х16мм, Серый REXANT</t>
  </si>
  <si>
    <t>28-1616-5</t>
  </si>
  <si>
    <t>Кабель-канал 16х16мм, Сосна 3D REXANT</t>
  </si>
  <si>
    <t>28-1616-8</t>
  </si>
  <si>
    <t>Кабель-канал 16х16мм, Черный REXANT</t>
  </si>
  <si>
    <t>28-2010-4</t>
  </si>
  <si>
    <t>Кабель-канал 20х10мм, Дуб REXANT</t>
  </si>
  <si>
    <t>28-2010-9</t>
  </si>
  <si>
    <t>Кабель-канал 20х10мм, Серый REXANT</t>
  </si>
  <si>
    <t>28-2010-5</t>
  </si>
  <si>
    <t>Кабель-канал 20х10мм, Сосна 3D REXANT</t>
  </si>
  <si>
    <t>28-2516-85</t>
  </si>
  <si>
    <t>Кабель-канал 25x16мм, Канадский клен REXANT</t>
  </si>
  <si>
    <t>28-2525-4</t>
  </si>
  <si>
    <t>Кабель-канал 25x25мм, Дуб REXANT</t>
  </si>
  <si>
    <t>28-2525-85</t>
  </si>
  <si>
    <t>Кабель-канал 25x25мм, Канадский клен REXANT</t>
  </si>
  <si>
    <t>28-2525-9</t>
  </si>
  <si>
    <t>Кабель-канал 25x25мм, Серый REXANT</t>
  </si>
  <si>
    <t>28-2525-5</t>
  </si>
  <si>
    <t>Кабель-канал 25x25мм, Сосна 3D REXANT</t>
  </si>
  <si>
    <t>28-2525-8</t>
  </si>
  <si>
    <t>Кабель-канал 25x25мм, Черный REXANT</t>
  </si>
  <si>
    <t>28-2516-4</t>
  </si>
  <si>
    <t>Кабель-канал 25х16мм, Дуб REXANT</t>
  </si>
  <si>
    <t>28-2516-9</t>
  </si>
  <si>
    <t>Кабель-канал 25х16мм, Серый REXANT</t>
  </si>
  <si>
    <t>28-2516-5</t>
  </si>
  <si>
    <t>Кабель-канал 25х16мм, Сосна 3D REXANT</t>
  </si>
  <si>
    <t>28-2516-8</t>
  </si>
  <si>
    <t>Кабель-канал 25х16мм, Черный REXANT</t>
  </si>
  <si>
    <t>28-4025-85</t>
  </si>
  <si>
    <t>Кабель-канал 40x25мм, Канадский клен REXANT</t>
  </si>
  <si>
    <t>28-4016-4</t>
  </si>
  <si>
    <t>Кабель-канал 40х16мм, Дуб REXANT</t>
  </si>
  <si>
    <t>28-4025-4</t>
  </si>
  <si>
    <t>Кабель-канал 40х25мм, Дуб REXANT</t>
  </si>
  <si>
    <t>28-4025-9</t>
  </si>
  <si>
    <t>Кабель-канал 40х25мм, Серый REXANT</t>
  </si>
  <si>
    <t>28-4025-5</t>
  </si>
  <si>
    <t>Кабель-канал 40х25мм, Сосна 3D REXANT</t>
  </si>
  <si>
    <t>28-4025-8</t>
  </si>
  <si>
    <t>Кабель-канал 40х25мм, Черный REXANT</t>
  </si>
  <si>
    <t>1. 6. 1. 8 Кабель канал полукруглый</t>
  </si>
  <si>
    <t>28-1625-13</t>
  </si>
  <si>
    <t>Кабель-канал быстрой укладки 16х25мм, белый (80 м/уп) REXANT</t>
  </si>
  <si>
    <t>28-4025-13</t>
  </si>
  <si>
    <t>Кабель-канал быстрой укладки 40х25мм, белый (20 м/уп) REXANT</t>
  </si>
  <si>
    <t>28-6040-13</t>
  </si>
  <si>
    <t>Кабель-канал быстрой укладки 60х40мм, белый (10 м/уп) REXANT</t>
  </si>
  <si>
    <t>28-2012-14</t>
  </si>
  <si>
    <t>Кабель-канал полукруглый 20х12мм, белый (60 м/уп) REXANT</t>
  </si>
  <si>
    <t>28-1330-1</t>
  </si>
  <si>
    <t>Кабель-канал полукруглый усиленный 13х30мм, белый (40 м/уп) REXANT</t>
  </si>
  <si>
    <t>1. 6. 2 Трубы пластиковые гофрированные</t>
  </si>
  <si>
    <t>1. 6. 2. 1 Трубы гофрированные ПВХ [Группа индивидуального ценообразования]</t>
  </si>
  <si>
    <t>28-0016-2</t>
  </si>
  <si>
    <t>Труба гофрированная из ПВХ, с зондом, Ø16мм (бухта 100 м/уп) REXANT</t>
  </si>
  <si>
    <t>28-0161-25</t>
  </si>
  <si>
    <t>Труба гофрированная из ПВХ, с зондом, Ø16мм (бухта 25 м/уп) REXANT</t>
  </si>
  <si>
    <t>бухта</t>
  </si>
  <si>
    <t>Уточняйте</t>
  </si>
  <si>
    <t>28-0161-50</t>
  </si>
  <si>
    <t>Труба гофрированная из ПВХ, с зондом, Ø16мм (бухта 50 м/уп) REXANT</t>
  </si>
  <si>
    <t>28-0016-10</t>
  </si>
  <si>
    <t>Труба гофрированная из ПВХ, с зондом, Ø16мм (бухта 10 м/уп) REXANT</t>
  </si>
  <si>
    <t>28-0020-2</t>
  </si>
  <si>
    <t>Труба гофрированная из ПВХ, с зондом, Ø20мм (бухта 100 м/уп) REXANT</t>
  </si>
  <si>
    <t>28-0201-25</t>
  </si>
  <si>
    <t>Труба гофрированная из ПВХ, с зондом, Ø20мм (бухта 25 м/уп) REXANT</t>
  </si>
  <si>
    <t>28-0201-50</t>
  </si>
  <si>
    <t>Труба гофрированная из ПВХ, с зондом, Ø20мм (бухта 50 м/уп) REXANT</t>
  </si>
  <si>
    <t>28-0020-10</t>
  </si>
  <si>
    <t>Труба гофрированная из ПВХ, с зондом, Ø20мм (бухта 10 м/уп) REXANT</t>
  </si>
  <si>
    <t>28-0251-25</t>
  </si>
  <si>
    <t>Труба гофрированная из ПВХ, с зондом, Ø25мм (бухта 25 м/уп) REXANT</t>
  </si>
  <si>
    <t>28-0025-2</t>
  </si>
  <si>
    <t>Труба гофрированная из ПВХ, с зондом, Ø25мм (бухта 50 м/уп) REXANT</t>
  </si>
  <si>
    <t>28-0025-10</t>
  </si>
  <si>
    <t>Труба гофрированная из ПВХ, с зондом, Ø25мм (бухта 10 м/уп) REXANT</t>
  </si>
  <si>
    <t>28-0032-2</t>
  </si>
  <si>
    <t>Труба гофрированная из ПВХ, с зондом, Ø32мм (бухта 25 м/уп) REXANT</t>
  </si>
  <si>
    <t>28-0400-2</t>
  </si>
  <si>
    <t>Труба гофрированная из ПВХ, с зондом, Ø40мм (бухта 15 м/уп) REXANT</t>
  </si>
  <si>
    <t>28-0500-2</t>
  </si>
  <si>
    <t>Труба гофрированная из ПВХ, с зондом, Ø50мм (бухта 15 м/уп) REXANT</t>
  </si>
  <si>
    <t>1. 6. 2. 2 Трубы Гофрированные ПНД REXANT</t>
  </si>
  <si>
    <t>28-0016-5</t>
  </si>
  <si>
    <t>Труба гофрированная из ПНД безгалогенная HF, с зондом, ø16мм, оранжевая (100 м/уп) REXANT</t>
  </si>
  <si>
    <t>28-0160-10</t>
  </si>
  <si>
    <t>Труба гофрированная из ПНД безгалогенная HF, с зондом, ø16мм, черная (бухта 10 м/уп) REXANT</t>
  </si>
  <si>
    <t>28-0016-3</t>
  </si>
  <si>
    <t>Труба гофрированная из ПНД безгалогенная HF, с зондом, ø16мм, черная (бухта 100 м/уп) REXANT</t>
  </si>
  <si>
    <t>28-0016-25</t>
  </si>
  <si>
    <t>Труба гофрированная из ПНД безгалогенная HF, с зондом, ø16мм, черная (бухта 25 м/уп) REXANT</t>
  </si>
  <si>
    <t>28-0016-50</t>
  </si>
  <si>
    <t>Труба гофрированная из ПНД безгалогенная HF, с зондом, ø16мм, черная (бухта 50 м/уп) REXANT</t>
  </si>
  <si>
    <t>28-0020-5</t>
  </si>
  <si>
    <t>Труба гофрированная из ПНД безгалогенная HF, с зондом, ø20мм, оранжевая (100 м/уп) REXANT</t>
  </si>
  <si>
    <t>28-0200-10</t>
  </si>
  <si>
    <t>Труба гофрированная из ПНД безгалогенная HF, с зондом, ø20мм, черная (бухтa 10 м/уп) REXANT</t>
  </si>
  <si>
    <t>28-0020-3</t>
  </si>
  <si>
    <t>Труба гофрированная из ПНД безгалогенная HF, с зондом, ø20мм, черная (бухта 100 м/уп) REXANT</t>
  </si>
  <si>
    <t>28-0025-5</t>
  </si>
  <si>
    <t>Труба гофрированная из ПНД безгалогенная HF, с зондом, ø25мм, оранжевая (50 м/уп) REXANT</t>
  </si>
  <si>
    <t>28-0250-10</t>
  </si>
  <si>
    <t>Труба гофрированная из ПНД безгалогенная HF, с зондом, ø25мм, черная (бухта 10 м/уп) REXANT</t>
  </si>
  <si>
    <t>28-0025-25</t>
  </si>
  <si>
    <t>Труба гофрированная из ПНД безгалогенная HF, с зондом, ø25мм, черная (бухта 25 м/уп) REXANT</t>
  </si>
  <si>
    <t>28-0025-3</t>
  </si>
  <si>
    <t>Труба гофрированная из ПНД безгалогенная HF, с зондом, ø25мм, черная (бухта 50 м/уп) REXANT</t>
  </si>
  <si>
    <t>28-0032-5</t>
  </si>
  <si>
    <t>Труба гофрированная из ПНД безгалогенная HF, с зондом, ø32мм, оранжевая (25 м/уп) REXANT</t>
  </si>
  <si>
    <t>28-0032-3</t>
  </si>
  <si>
    <t>Труба гофрированная из ПНД безгалогенная HF, с зондом, ø32мм, черная (бухта 25 м/уп) REXANT</t>
  </si>
  <si>
    <t>28-0040-3</t>
  </si>
  <si>
    <t>Труба гофрированная из ПНД безгалогенная HF, с зондом, ø40мм, черная (бухта 15 м/уп) REXANT</t>
  </si>
  <si>
    <t>28-0050-3</t>
  </si>
  <si>
    <t>Труба гофрированная из ПНД безгалогенная HF, с зондом, ø50мм, черная (бухта 15 м/уп) REXANT</t>
  </si>
  <si>
    <t>28-0020-25</t>
  </si>
  <si>
    <t>Труба гофрированная из ПНД безгалогенная HF, с зондом, черная, ø20мм (бухта 25 м/уп) REXANT</t>
  </si>
  <si>
    <t>28-0020-50</t>
  </si>
  <si>
    <t>Труба гофрированная из ПНД безгалогенная HF, с зондом, черная, ø20мм (бухта 50 м/уп) REXANT</t>
  </si>
  <si>
    <t>28-0040-5</t>
  </si>
  <si>
    <t>Труба гофрированная из ПНД с зондом, ø40мм, оранжевая (15 м/уп) REXANT</t>
  </si>
  <si>
    <t>1. 6. 2. 3 Трубы гофрированные автомобильные</t>
  </si>
  <si>
    <t>15-2350</t>
  </si>
  <si>
    <t>Труба автомобильная гофрированная ПП, Ø23,5мм, разрезная (бухта 50 м/уп)</t>
  </si>
  <si>
    <t>1. 6. 2. 4 Трубы гофрированные автомобильные REXANT</t>
  </si>
  <si>
    <t>16-1059</t>
  </si>
  <si>
    <t>Труба автомобильная гофрированная ПП Ø11,5мм, разрезная (бухта 50 м/уп) REXANT</t>
  </si>
  <si>
    <t>16-1060</t>
  </si>
  <si>
    <t>Труба автомобильная гофрированная ПП Ø12,4мм, разрезная (бухта 50 м/уп) REXANT</t>
  </si>
  <si>
    <t>16-1076</t>
  </si>
  <si>
    <t>Труба автомобильная гофрированная ПП Ø13,4мм, неразрезная (бухта 50 м/уп) REXANT</t>
  </si>
  <si>
    <t>16-1062</t>
  </si>
  <si>
    <t>Труба автомобильная гофрированная ПП Ø13,4мм, разрезная (бухта 50 м/уп) REXANT</t>
  </si>
  <si>
    <t>16-1063</t>
  </si>
  <si>
    <t>Труба автомобильная гофрированная ПП Ø14,7мм, разрезная (бухта 50 м/уп) REXANT</t>
  </si>
  <si>
    <t>16-1077</t>
  </si>
  <si>
    <t>Труба автомобильная гофрированная ПП Ø16,5мм, неразрезная (бухта 50 м/уп) REXANT</t>
  </si>
  <si>
    <t>16-1064</t>
  </si>
  <si>
    <t>Труба автомобильная гофрированная ПП Ø16,5мм, разрезная (бухта 50 м/уп) REXANT</t>
  </si>
  <si>
    <t>16-1065</t>
  </si>
  <si>
    <t>Труба автомобильная гофрированная ПП Ø18,5мм, разрезная (бухта 50 м/уп) REXANT</t>
  </si>
  <si>
    <t>16-1066</t>
  </si>
  <si>
    <t>Труба автомобильная гофрированная ПП Ø19,2мм, разрезная (бухта 50 м/уп) REXANT</t>
  </si>
  <si>
    <t>16-1067</t>
  </si>
  <si>
    <t>Труба автомобильная гофрированная ПП Ø19,9мм, разрезная (бухта 50 м/уп) REXANT</t>
  </si>
  <si>
    <t>16-1068</t>
  </si>
  <si>
    <t>Труба автомобильная гофрированная ПП Ø22,6мм, разрезная (бухта 60 м/уп) REXANT</t>
  </si>
  <si>
    <t>16-1069</t>
  </si>
  <si>
    <t>Труба автомобильная гофрированная ПП Ø25,0мм, разрезная (бухта 50 м/уп) REXANT</t>
  </si>
  <si>
    <t>16-1070</t>
  </si>
  <si>
    <t>Труба автомобильная гофрированная ПП Ø26,0мм, разрезная (бухта 30 м/уп) REXANT</t>
  </si>
  <si>
    <t>16-1047</t>
  </si>
  <si>
    <t>Труба автомобильная гофрированная ПП Ø4,7мм, разрезная (бухта 100 м/уп) REXANT</t>
  </si>
  <si>
    <t>16-1048</t>
  </si>
  <si>
    <t>Трубa автомобильная гофрированная ПП Ø4,7мм, разрезная (бухта 50 м/уп) REXANT</t>
  </si>
  <si>
    <t>16-1050</t>
  </si>
  <si>
    <t>Труба автомобильная гофрированная ПП Ø6,0мм, разрезная (бухта 50 м/уп) REXANT</t>
  </si>
  <si>
    <t>16-1052</t>
  </si>
  <si>
    <t>Труба автомобильная гофрированная ПП Ø6,8мм, неразрезная (бухта 50 м/уп) REXANT</t>
  </si>
  <si>
    <t>16-1051</t>
  </si>
  <si>
    <t>Трубa автомобильная гофрированная ПП Ø6,8мм, разрезная (бухта 50 м/уп) REXANT</t>
  </si>
  <si>
    <t>16-1054</t>
  </si>
  <si>
    <t>Труба автомобильная гофрированная ПП Ø7,5мм, разрезная (бухта 50 м/уп) REXANT</t>
  </si>
  <si>
    <t>16-1083</t>
  </si>
  <si>
    <t>Трубa автомобильная гофрированная ПП Ø8,5мм, разрезная (бухта 50 м/уп) REXANT</t>
  </si>
  <si>
    <t>16-1055</t>
  </si>
  <si>
    <t>Труба автомобильная гофрированная ПП Ø9,0мм, разрезная (бухта 50 м/уп) REXANT</t>
  </si>
  <si>
    <t>16-1057</t>
  </si>
  <si>
    <t>Труба автомобильная гофрированная ПП Ø9,8мм, неразрезная (бухта 50 м/уп) REXANT</t>
  </si>
  <si>
    <t>16-1056</t>
  </si>
  <si>
    <t>Труба автомобильная гофрированная ПП Ø9,8мм, разрезная (бухта 50 м/уп) REXANT</t>
  </si>
  <si>
    <t>16-1075</t>
  </si>
  <si>
    <t>Труба автомобильная гофрированная ППНг Ø11,5мм, разрезная, негорючая (бухта 50 м/уп) REXANT</t>
  </si>
  <si>
    <t>16-1061</t>
  </si>
  <si>
    <t>Труба автомобильная гофрированная ППНг Ø12,4мм, разрезная, негорючая (бухта 50 м/уп) REXANT</t>
  </si>
  <si>
    <t>16-1078</t>
  </si>
  <si>
    <t>Труба автомобильная гофрированная ППНг Ø16,5мм, разрезная, негорючая (бухта 50 м/уп) REXANT</t>
  </si>
  <si>
    <t>16-1049</t>
  </si>
  <si>
    <t>Труба автомобильная гофрированная ППНг Ø4,7мм, разрезная, негорючая (бухта 100 м/уп) REXANT</t>
  </si>
  <si>
    <t>16-1053</t>
  </si>
  <si>
    <t>Труба автомобильная гофрированная ППНг Ø6,8мм, разрезная, негорючая (бухта 50 м/уп) REXANT</t>
  </si>
  <si>
    <t>16-1058</t>
  </si>
  <si>
    <t>Труба автомобильная гофрированная ППНг Ø9,8мм, разрезная, негорючая (бухта 50 м/уп) REXANT</t>
  </si>
  <si>
    <t>1. 6. 2. 5 Трубы гофрированные автомобильные REXANT малые бухты</t>
  </si>
  <si>
    <t>15-1310</t>
  </si>
  <si>
    <t>Труба автомобильная гофрированная ПП, Ø12,7мм, разрезная (бухта 10 м/уп) REXANT</t>
  </si>
  <si>
    <t>15-1305</t>
  </si>
  <si>
    <t>Труба автомобильная гофрированная ПП, Ø12,7мм, разрезная (бухта 5 м/уп) REXANT</t>
  </si>
  <si>
    <t>15-0510</t>
  </si>
  <si>
    <t>Труба автомобильная гофрированная ПП, Ø4,7мм, разрезная (бухта 10 м/уп) REXANT</t>
  </si>
  <si>
    <t>15-0505</t>
  </si>
  <si>
    <t>Труба автомобильная гофрированная ПП, Ø4,7мм, разрезная (бухта 5 м/уп) REXANT</t>
  </si>
  <si>
    <t>15-0710</t>
  </si>
  <si>
    <t>Труба автомобильная гофрированная ПП, Ø6,8мм, разрезная (бухта 10 м/уп) REXANT</t>
  </si>
  <si>
    <t>15-0705</t>
  </si>
  <si>
    <t>Труба автомобильная гофрированная ПП, Ø6,8мм, разрезная (бухта 5 м/уп) REXANT</t>
  </si>
  <si>
    <t>15-1010</t>
  </si>
  <si>
    <t>Труба автомобильная гофрированная ПП, Ø9,8мм, разрезная (бухта 10 м/уп) REXANT</t>
  </si>
  <si>
    <t>15-1005</t>
  </si>
  <si>
    <t>Труба автомобильная гофрированная ПП, Ø9,8мм, разрезная (бухта 5 м/уп) REXANT</t>
  </si>
  <si>
    <t>1. 6. 3 Трубы пластиковые жесткие</t>
  </si>
  <si>
    <t>1. 6. 3. 1 Трубы пластиковые жесткие ПВХ</t>
  </si>
  <si>
    <t>28-0160-1</t>
  </si>
  <si>
    <t>Труба гладкая жесткая ПВХ Ø16 мм, 3-метровая серая REXANT</t>
  </si>
  <si>
    <t>28-0200-1</t>
  </si>
  <si>
    <t>Труба гладкая жесткая ПВХ Ø20 мм, 3-метровая серая REXANT</t>
  </si>
  <si>
    <t>28-0250-1</t>
  </si>
  <si>
    <t>Труба гладкая жесткая ПВХ Ø25 мм, 3-метровая серая REXANT</t>
  </si>
  <si>
    <t>28-3200-1</t>
  </si>
  <si>
    <t>Труба гладкая жесткая ПВХ Ø32 мм, 3-метровая серая REXANT</t>
  </si>
  <si>
    <t>28-0040-1</t>
  </si>
  <si>
    <t>Труба гладкая жесткая ПВХ Ø40 мм, 3-метровая серая REXANT</t>
  </si>
  <si>
    <t>28-0050-1</t>
  </si>
  <si>
    <t>Труба гладкая жесткая ПВХ Ø50 мм, 3-метровая серая REXANT</t>
  </si>
  <si>
    <t>1. 6. 4 Металлорукав</t>
  </si>
  <si>
    <t>1. 6. 4. 1 Металлорукав</t>
  </si>
  <si>
    <t>28-1008-00</t>
  </si>
  <si>
    <t>Металлорукав Р3-ЦХ- 8 REXANT</t>
  </si>
  <si>
    <t>100 - 20 дней</t>
  </si>
  <si>
    <t>28-1012-50</t>
  </si>
  <si>
    <t>Металлорукав Р3-ЦХ-12 REXANT</t>
  </si>
  <si>
    <t>50 - 20 дней</t>
  </si>
  <si>
    <t>28-1018-50</t>
  </si>
  <si>
    <t>Металлорукав Р3-ЦХ-18 REXANT</t>
  </si>
  <si>
    <t>28-1032-20</t>
  </si>
  <si>
    <t>Металлорукав Р3-ЦХ-32 REXANT</t>
  </si>
  <si>
    <t>20 - 20 дней</t>
  </si>
  <si>
    <t>28-1050-20</t>
  </si>
  <si>
    <t>Металлорукав Р3-ЦХ-50 REXANT</t>
  </si>
  <si>
    <t>1. 6. 4. 2 Металлорукав в ПВХ оболочке</t>
  </si>
  <si>
    <t>28-0006-00</t>
  </si>
  <si>
    <t>Металлорукав в ПВХ изоляции МРПИнг- 6 (РЗ-Ц-ПВХнг), черный REXANT</t>
  </si>
  <si>
    <t>28-0008-00</t>
  </si>
  <si>
    <t>Металлорукав в ПВХ изоляции МРПИнг- 8 (РЗ-Ц-ПВХнг), черный REXANT</t>
  </si>
  <si>
    <t>28-0010-50</t>
  </si>
  <si>
    <t>Металлорукав в ПВХ изоляции МРПИнг-10 (РЗ-Ц-ПВХнг), черный REXANT</t>
  </si>
  <si>
    <t>28-0112-50</t>
  </si>
  <si>
    <t>Металлорукав в ПВХ изоляции МРПИнг-12 (РЗ-Ц-ПВХнг), с зондом, черный REXANT</t>
  </si>
  <si>
    <t>28-0012-50</t>
  </si>
  <si>
    <t>Металлорукав в ПВХ изоляции МРПИнг-12 (РЗ-Ц-ПВХнг), черный REXANT</t>
  </si>
  <si>
    <t>28-0015-50</t>
  </si>
  <si>
    <t>Металлорукав в ПВХ изоляции МРПИнг-15 (РЗ-Ц-ПВХнг), черный REXANT</t>
  </si>
  <si>
    <t>28-0118-50</t>
  </si>
  <si>
    <t>Металлорукав в ПВХ изоляции МРПИнг-18 (РЗ-Ц-ПВХнг), с зондом, черный REXANT</t>
  </si>
  <si>
    <t>28-0018-50</t>
  </si>
  <si>
    <t>Металлорукав в ПВХ изоляции МРПИнг-18 (РЗ-Ц-ПВХнг), черный REXANT</t>
  </si>
  <si>
    <t>28-0120-50</t>
  </si>
  <si>
    <t>Металлорукав в ПВХ изоляции МРПИнг-20  (РЗ-Ц-ПВХнг), с зондом, черный REXANT</t>
  </si>
  <si>
    <t>28-2020-50</t>
  </si>
  <si>
    <t>Металлорукав в ПВХ изоляции МРПИнг-20 (РЗ-Ц-ПВХнг), черный REXANT</t>
  </si>
  <si>
    <t>28-0122-50</t>
  </si>
  <si>
    <t>Металлорукав в ПВХ изоляции МРПИнг-22 (РЗ-Ц-ПВХнг), с зондом, черный REXANT</t>
  </si>
  <si>
    <t>28-0022-50</t>
  </si>
  <si>
    <t>Металлорукав в ПВХ изоляции МРПИнг-22 (РЗ-Ц-ПВХнг), черный REXANT</t>
  </si>
  <si>
    <t>28-0125-50</t>
  </si>
  <si>
    <t>Металлорукав в ПВХ изоляции МРПИнг-25 (РЗ-Ц-ПВХнг), с зондом, черный REXANT</t>
  </si>
  <si>
    <t>28-0025-50</t>
  </si>
  <si>
    <t>Металлорукав в ПВХ изоляции МРПИнг-25 (РЗ-Ц-ПВХнг), черный REXANT</t>
  </si>
  <si>
    <t>28-0132-20</t>
  </si>
  <si>
    <t>Металлорукав в ПВХ изоляции МРПИнг-32 (РЗ-Ц-ПВХнг), с зондом, черный REXANT</t>
  </si>
  <si>
    <t>28-0138-20</t>
  </si>
  <si>
    <t>Металлорукав в ПВХ изоляции МРПИнг-38 (РЗ-Ц-ПВХнг), с зондом, черный REXANT</t>
  </si>
  <si>
    <t>28-0038-20</t>
  </si>
  <si>
    <t>Металлорукав в ПВХ изоляции МРПИнг-38 (РЗ-Ц-ПВХнг), черный REXANT</t>
  </si>
  <si>
    <t>28-0150-20</t>
  </si>
  <si>
    <t>Металлорукав в ПВХ изоляции МРПИнг-50 (РЗ-Ц-ПВХнг), с зондом, черный REXANT</t>
  </si>
  <si>
    <t>28-0050-20</t>
  </si>
  <si>
    <t>Металлорукав в ПВХ изоляции МРПИнг-50 (РЗ-Ц-ПВХнг), черный REXANT</t>
  </si>
  <si>
    <t>1. 6. 5 Аксессуары для труб</t>
  </si>
  <si>
    <t>1. 6. 5. 1 Аксессуары для пластиковых труб REXANT</t>
  </si>
  <si>
    <t>28-0116-4</t>
  </si>
  <si>
    <t>Крепеж-клипса для труб ø16мм серая (10 шт/уп) REXANT</t>
  </si>
  <si>
    <t>28-0116-5</t>
  </si>
  <si>
    <t>Крепеж-клипса для труб ø16мм черная (10 шт/уп) REXANT</t>
  </si>
  <si>
    <t>28-0116-2</t>
  </si>
  <si>
    <t>Крепеж-клипса для труб ø16мм, серая (100 шт/уп) REXANT</t>
  </si>
  <si>
    <t>28-0116-3</t>
  </si>
  <si>
    <t>Крепеж-клипса для труб ø16мм, черная (100 шт/уп) REXANT</t>
  </si>
  <si>
    <t>28-0120-4</t>
  </si>
  <si>
    <t>Крепеж-клипса для труб ø20мм серая (10 шт/уп) REXANT</t>
  </si>
  <si>
    <t>28-0120-6</t>
  </si>
  <si>
    <t>Крепеж-клипса для труб ø20мм, белая (100 шт/уп) REXANT</t>
  </si>
  <si>
    <t>28-0120-2</t>
  </si>
  <si>
    <t>Крепеж-клипса для труб ø20мм, серая (100 шт/уп) REXANT</t>
  </si>
  <si>
    <t>28-0120-3</t>
  </si>
  <si>
    <t>Крепеж-клипса для труб ø20мм, черная (100 шт/уп) REXANT</t>
  </si>
  <si>
    <t>28-0125-4</t>
  </si>
  <si>
    <t>Крепеж-клипса для труб ø25мм серая (10 шт/уп) REXANT</t>
  </si>
  <si>
    <t>28-0125-2</t>
  </si>
  <si>
    <t>Крепеж-клипса для труб ø25мм, серая (100 шт/уп) REXANT</t>
  </si>
  <si>
    <t>28-0125-3</t>
  </si>
  <si>
    <t>Крепеж-клипса для труб ø25мм, черная (100 шт/уп) REXANT</t>
  </si>
  <si>
    <t>28-0132-4</t>
  </si>
  <si>
    <t>Крепеж-клипса для труб ø32мм серая (10 шт/уп) REXANT</t>
  </si>
  <si>
    <t>28-0132-2</t>
  </si>
  <si>
    <t>Крепеж-клипса для труб ø32мм, серая (100 шт/уп) REXANT</t>
  </si>
  <si>
    <t>28-0132-3</t>
  </si>
  <si>
    <t>Крепеж-клипса для труб ø32мм, черная (100 шт/уп) REXANT</t>
  </si>
  <si>
    <t>28-0140-4</t>
  </si>
  <si>
    <t>Крепеж-клипса для труб ø40мм серая (5 шт/уп) REXANT</t>
  </si>
  <si>
    <t>28-0140-2</t>
  </si>
  <si>
    <t>Крепеж-клипса для труб ø40мм, серая (30 шт/уп) REXANT</t>
  </si>
  <si>
    <t>28-0318-1</t>
  </si>
  <si>
    <t>Муфта соединительная для труб ø25мм, серая IP44 (50 шт/уп) REXANT</t>
  </si>
  <si>
    <t>1 - 30 дней</t>
  </si>
  <si>
    <t>28-0319-1</t>
  </si>
  <si>
    <t>Муфта соединительная для труб ø32мм, серая IP44 (25 шт/уп) REXANT</t>
  </si>
  <si>
    <t>28-0320-67</t>
  </si>
  <si>
    <t>Муфта соединительная труба-труба ø40мм, серая, IP67, тип 50140 (4 шт/уп)</t>
  </si>
  <si>
    <t>28-0316-5</t>
  </si>
  <si>
    <t>Поворот гибкий гофрированный ø16мм, серый REXANT</t>
  </si>
  <si>
    <t>28-0525</t>
  </si>
  <si>
    <t>Угол 90 соединительный для труб ø25мм (50 шт/уп) REXANT</t>
  </si>
  <si>
    <t>1. 6. 5. 3 Аксессуары для металлорукава</t>
  </si>
  <si>
    <t>28-1023-1</t>
  </si>
  <si>
    <t>Скоба СМД 19-20 двухлапковая для металлорукава ø 15 мм (100 шт/уп) REXANT</t>
  </si>
  <si>
    <t>28-1063-1</t>
  </si>
  <si>
    <t>Скоба СМД 60-63 двухлапковая для металлорукава ø 50 мм (50 шт/уп) REXANT</t>
  </si>
  <si>
    <t>4 - 20 дней</t>
  </si>
  <si>
    <t>28-1016-2</t>
  </si>
  <si>
    <t>Скоба СМО 19-20 однолапковая для металлорукава, ø 15 мм REXANT</t>
  </si>
  <si>
    <t>10 - 10 дней</t>
  </si>
  <si>
    <t>28-1016-1</t>
  </si>
  <si>
    <t>Скоба СМО 19-20 однолапковая для металлорукава ø 15 мм (100 шт/уп) REXANT</t>
  </si>
  <si>
    <t>1. 6. 6 СИП-арматура</t>
  </si>
  <si>
    <t>1. 6. 6. 1 Зажимы, кронштейны, комплекты крепления</t>
  </si>
  <si>
    <t>07-9302</t>
  </si>
  <si>
    <t>Анкерный зажим PA 25-TE 2х16-4х25 мм² 3,5 кН</t>
  </si>
  <si>
    <t>07-9313</t>
  </si>
  <si>
    <t>Крюк с резьбой BT 16-TE диаметр 16 мм, 6,6 кН</t>
  </si>
  <si>
    <t>07-9312</t>
  </si>
  <si>
    <t>Крюк с резьбой BT 8-TE диаметр 8 мм, 2,3 кН</t>
  </si>
  <si>
    <t>1. 6. 6. 3 Расходные материалы</t>
  </si>
  <si>
    <t>07-9314</t>
  </si>
  <si>
    <t>Бугель для ленты NB 20-TE ширина 20 мм</t>
  </si>
  <si>
    <t>07-9307</t>
  </si>
  <si>
    <t>Монтажная лента в пластиковой упаковке F 207-TE</t>
  </si>
  <si>
    <t>07-9308</t>
  </si>
  <si>
    <t>Скрепа для ленты NC 20-TE ширина 20 мм</t>
  </si>
  <si>
    <t>1. 6. 7 Монтажные коробки</t>
  </si>
  <si>
    <t>1. 6. 7. 1 Коробки распаячные открытой установки</t>
  </si>
  <si>
    <t>28-3056</t>
  </si>
  <si>
    <t>Коробка распаячная ОУ 100x100x50 мм, IP55 REXANT</t>
  </si>
  <si>
    <t>28-3057</t>
  </si>
  <si>
    <t>Коробка распаячная ОУ 150x110x70 мм, винт IP55 REXANT</t>
  </si>
  <si>
    <t>28-3052</t>
  </si>
  <si>
    <t>Коробка распаячная ОУ 85х85х40 мм, IP44 REXANT</t>
  </si>
  <si>
    <t>28-3058</t>
  </si>
  <si>
    <t>Коробка распаячная ОУ, 100x100x50, винт IP44 REXANT</t>
  </si>
  <si>
    <t>28-3055</t>
  </si>
  <si>
    <t>Коробка распаячная ОУ, 65x65x50, IP54 (УПрк 65*65/45.2.3) REXANT</t>
  </si>
  <si>
    <t>28-3009</t>
  </si>
  <si>
    <t>Коробка распаячная ОУ, D 85х40мм, IP54 (УПр 85/40.1.3) REXANT</t>
  </si>
  <si>
    <t>28-3008</t>
  </si>
  <si>
    <t>Коробка распаячная ОУ, Ø 65х40 мм, IP54 (УПр 65/40.1.3) REXANT</t>
  </si>
  <si>
    <t>28-3059</t>
  </si>
  <si>
    <t>Коробка распределительная наружного монтажа с откидной крышкой 100х100х50 мм, IP54 REXANT</t>
  </si>
  <si>
    <t>28-3064</t>
  </si>
  <si>
    <t>Коробка распределительная наружного монтажа с откидной крышкой 80х80х50 мм, IP54 REXANT</t>
  </si>
  <si>
    <t>1. 6. 7. 2 Коробки распаячные скрытой установки</t>
  </si>
  <si>
    <t>28-3027</t>
  </si>
  <si>
    <t>Коробка распаячная СУ D 80х40 мм REXANT</t>
  </si>
  <si>
    <t>28-3045</t>
  </si>
  <si>
    <t>Коробка распаячная СУ для полых стен 120х92х45 мм REXANT</t>
  </si>
  <si>
    <t>28-3044</t>
  </si>
  <si>
    <t>Коробка распаячная СУ для полых стен D 80х40 мм REXANT</t>
  </si>
  <si>
    <t>1. 6. 7. 3 Коробки установочные (подрозетники)</t>
  </si>
  <si>
    <t>28-3038</t>
  </si>
  <si>
    <t>Коробка установочная бетон/кирпич, 68х45 мм С3М2 REXANT</t>
  </si>
  <si>
    <t>28-3046</t>
  </si>
  <si>
    <t>Коробка установочная бетон/кирпич, блочная 68х45 мм С3М3 REXANT</t>
  </si>
  <si>
    <t>28-3039</t>
  </si>
  <si>
    <t>Коробка установочная для полых стен, 68х45 мм С3Е3 REXANT</t>
  </si>
  <si>
    <t>28-3047</t>
  </si>
  <si>
    <t>Коробка установочная, бетон/кирпич, глубокая, блочная 68х60 мм С3М4 REXANT</t>
  </si>
  <si>
    <t>28-3049</t>
  </si>
  <si>
    <t>Крышка для установочных коробок (подрозетника) белая Ø 74 мм REXANT</t>
  </si>
  <si>
    <t>1. 6. 7. 4 Коробки монтажные специальные</t>
  </si>
  <si>
    <t>28-3051</t>
  </si>
  <si>
    <t>Коробка уравнивания потенциалов ОУ 100×100×50 мм, винт IP55 REXANT</t>
  </si>
  <si>
    <t>28-3050</t>
  </si>
  <si>
    <t>Коробка уравнивания потенциалов ОУ 85×85×40 мм, IP44 REXANT</t>
  </si>
  <si>
    <t>1. 6. 7. 5 Коробки монтажные для видеокамер</t>
  </si>
  <si>
    <t>28-4003</t>
  </si>
  <si>
    <t>Коробка монтажная для камер видеонаблюдения 131х46,5 мм IP55 REXANT</t>
  </si>
  <si>
    <t>28-4010</t>
  </si>
  <si>
    <t>Коробка монтажная для камер видеонаблюдения 140х140х66 мм IP56 REXANT</t>
  </si>
  <si>
    <t>28-4001</t>
  </si>
  <si>
    <t>Коробка монтажная для камер видеонаблюдения130х130х50 мм REXANT</t>
  </si>
  <si>
    <t>28-4007</t>
  </si>
  <si>
    <t>Крестовина кронштейна для камер видеонаблюдения REXANT</t>
  </si>
  <si>
    <t>28-4008</t>
  </si>
  <si>
    <t>Платформа кронштейна глухая для камер видеонаблюдения REXANT</t>
  </si>
  <si>
    <t>28-4004</t>
  </si>
  <si>
    <t>Платформа кронштейна сквозная для камер видеонаблюдения REXANT</t>
  </si>
  <si>
    <t>28-4006</t>
  </si>
  <si>
    <t>Платформа под камеру для кронштейна REXANT</t>
  </si>
  <si>
    <t>1. 6. 8 Изделия для прямого монтажа</t>
  </si>
  <si>
    <t>28-4022</t>
  </si>
  <si>
    <t>Держатель кабеля для прямого монтажа двухсторонний белый, 240мм (20шт/уп) REXANT</t>
  </si>
  <si>
    <t>28-4019</t>
  </si>
  <si>
    <t>Держатель кабеля для прямого монтажа двухсторонний серый, 240мм (20шт/уп) REXANT</t>
  </si>
  <si>
    <t>28-4021</t>
  </si>
  <si>
    <t>Держатель кабеля для прямого монтажа односторонний белый, 140мм (20шт/уп) REXANT</t>
  </si>
  <si>
    <t>28-4020</t>
  </si>
  <si>
    <t>Держатель кабеля для прямого монтажа односторонний белый, 67мм (20шт/уп) REXANT</t>
  </si>
  <si>
    <t>28-4018</t>
  </si>
  <si>
    <t>Держатель кабеля для прямого монтажа односторонний серый, 140мм (20шт/уп) REXANT</t>
  </si>
  <si>
    <t>28-4017</t>
  </si>
  <si>
    <t>Держатель кабеля для прямого монтажа односторонний серый, 67мм (20шт/уп) REXANT</t>
  </si>
  <si>
    <t>28-4015</t>
  </si>
  <si>
    <t>Держатель кабеля для прямого монтажа односторонний черный, 140мм (20шт/уп) REXANT</t>
  </si>
  <si>
    <t>28-3092</t>
  </si>
  <si>
    <t>Коробка распаячная для прямого монтажа ОУ, HF, 100х100х45мм, IP65 (мембранные вводы) REXANT</t>
  </si>
  <si>
    <t>28-3090</t>
  </si>
  <si>
    <t>Коробка распаячная для прямого монтажа ОУ, HF, 80х80х40мм, IP65 (мембранные вводы) REXANT</t>
  </si>
  <si>
    <t>28-3079</t>
  </si>
  <si>
    <t>Коробка распаячная для прямого монтажа ОУ, HF, 100х100х50мм, IP67 (мембранные вводы) REXANT</t>
  </si>
  <si>
    <t>28-3080</t>
  </si>
  <si>
    <t>Коробка распаячная для прямого монтажа ОУ, HF, 150х110х70мм, IP67 (мембранные вводы) REXANT</t>
  </si>
  <si>
    <t>28-3078</t>
  </si>
  <si>
    <t>Коробка распаячная для прямого монтажа ОУ, HF, 80х80х40мм, IP67 (мембранные вводы) REXANT</t>
  </si>
  <si>
    <t>28-0416-1</t>
  </si>
  <si>
    <t>Крепеж-клипса для монтажного пистолета Ø 16 мм, серый (100 шт/уп) REXANT</t>
  </si>
  <si>
    <t>28-0416-2</t>
  </si>
  <si>
    <t>Крепеж-клипса для монтажного пистолета Ø 16 мм, черный (100 шт/уп) REXANT</t>
  </si>
  <si>
    <t>28-0420-3</t>
  </si>
  <si>
    <t>Крепеж-клипса для монтажного пистолета Ø 20 мм, белый (100 шт/уп) REXANT</t>
  </si>
  <si>
    <t>28-0420-1</t>
  </si>
  <si>
    <t>Крепеж-клипса для монтажного пистолета Ø 20 мм, серый (100 шт/уп) REXANT</t>
  </si>
  <si>
    <t>28-0420-2</t>
  </si>
  <si>
    <t>Крепеж-клипса для монтажного пистолета Ø 20 мм, черный (100 шт/уп) REXANT</t>
  </si>
  <si>
    <t>28-0425-3</t>
  </si>
  <si>
    <t>Крепеж-клипса для монтажного пистолета Ø 25 мм, белый (50 шт/уп) REXANT</t>
  </si>
  <si>
    <t>28-0425-1</t>
  </si>
  <si>
    <t>Крепеж-клипса для монтажного пистолета Ø 25 мм, серый (50 шт/уп) REXANT</t>
  </si>
  <si>
    <t>28-0425-2</t>
  </si>
  <si>
    <t>Крепеж-клипса для монтажного пистолета Ø 25 мм, черный (50 шт/уп) REXANT</t>
  </si>
  <si>
    <t>28-0432-1</t>
  </si>
  <si>
    <t>Крепеж-клипса для монтажного пистолета Ø 32 мм, серый (50 шт/уп) REXANT</t>
  </si>
  <si>
    <t>28-0432-2</t>
  </si>
  <si>
    <t>Крепеж-клипса для монтажного пистолета Ø 32 мм, черный (50 шт/уп) REXANT</t>
  </si>
  <si>
    <t>28-0440-3</t>
  </si>
  <si>
    <t>Крепеж-клипса для монтажного пистолета Ø 40 мм, белый (25 шт/уп) REXANT</t>
  </si>
  <si>
    <t>28-0440-1</t>
  </si>
  <si>
    <t>Крепеж-клипса для монтажного пистолета Ø 40 мм, серый (25 шт/уп) REXANT</t>
  </si>
  <si>
    <t>28-0450-3</t>
  </si>
  <si>
    <t>Крепеж-клипса для монтажного пистолета Ø 50 мм, белый (25 шт/уп) REXANT</t>
  </si>
  <si>
    <t>28-0450-1</t>
  </si>
  <si>
    <t>Крепеж-клипса для монтажного пистолета Ø 50 мм, серый (25 шт/уп) REXANT</t>
  </si>
  <si>
    <t>28-0450-2</t>
  </si>
  <si>
    <t>Крепеж-клипса для монтажного пистолета Ø 50 мм, черный (25 шт/уп) REXANT</t>
  </si>
  <si>
    <t>28-1011-3</t>
  </si>
  <si>
    <t>Скоба СМО 16-17 (ДМП) однолапковая для монтажного пистолета (100 шт/уп) REXANT</t>
  </si>
  <si>
    <t>28-1016-3</t>
  </si>
  <si>
    <t>Скоба СМО 19-20 (ДМП) однолапковая для монтажного пистолета (100 шт/уп) REXANT</t>
  </si>
  <si>
    <t>28-1027-3</t>
  </si>
  <si>
    <t>Скоба СМО 21-22 (ДМП) однолапковая для монтажного пистолета (100 шт/уп) REXANT</t>
  </si>
  <si>
    <t>1. 7 Кабельно-проводниковая продукция (кабель силовой)</t>
  </si>
  <si>
    <t>1. 7. 1 Кабель силовой</t>
  </si>
  <si>
    <t>1. 7. 1. 1 Кабель ВВГ [Группа индивидуального ценообразования]</t>
  </si>
  <si>
    <t>01-8201-3</t>
  </si>
  <si>
    <t>Кабель силовой медный ВВГ-Пнг(А) 2x1,5 мм² 100 м, ГОСТ 31996-2012, ТУ 16-705.499-2010</t>
  </si>
  <si>
    <t>01-8202-3</t>
  </si>
  <si>
    <t>Кабель силовой медный ВВГ-Пнг(А) 2x2,5 мм² 100 м, ГОСТ 31996-2012, ТУ 16-705.499-2010</t>
  </si>
  <si>
    <t>01-8211-3</t>
  </si>
  <si>
    <t>Кабель силовой медный ВВГ-Пнг(А) 3x1,5 мм² 100 м, ГОСТ 31996-2012, ТУ 16-705.499-2010</t>
  </si>
  <si>
    <t>01-8212-3</t>
  </si>
  <si>
    <t>Кабель силовой медный ВВГ-Пнг(А) 3x2,5 мм² 100 м, ГОСТ 31996-2012, ТУ 16-705.499-2010</t>
  </si>
  <si>
    <t>01-8292</t>
  </si>
  <si>
    <t>Кабель силовой медный ВВГ-Пнг(А)-LS 2x1,5 мм² 100 м, ГОСТ 31996-2012, ТУ 16.К71-310-2001</t>
  </si>
  <si>
    <t>100 - 7 дней</t>
  </si>
  <si>
    <t>01-8289</t>
  </si>
  <si>
    <t>Кабель силовой медный ВВГ-Пнг(А)-LS 3x1,5 мм² 100 м, ГОСТ 31996-2012, ТУ 16.К71-310-2001</t>
  </si>
  <si>
    <t>01-8290</t>
  </si>
  <si>
    <t>Кабель силовой медный ВВГ-Пнг(А)-LS 3x2,5 мм² 100 м, ГОСТ 31996-2012, ТУ 16.К71-310-2001</t>
  </si>
  <si>
    <t>01-8273-2</t>
  </si>
  <si>
    <t>Кабель силовой медный ВВГ-Пнг(А)-LS 3x4 мм² 100 м, ГОСТ 31996-2012, ТУ 16.К71-310-2001</t>
  </si>
  <si>
    <t>1. 7. 1. 4 Кабель КГ [Группа индивидуального ценообразования]</t>
  </si>
  <si>
    <t>01-8410</t>
  </si>
  <si>
    <t>Кабель силовой гибкий КГтп-ХЛ 1х10 мм² 100 м ГОСТ 24334-80, ТУ 3544-016-22901100-2015</t>
  </si>
  <si>
    <t>01-8411</t>
  </si>
  <si>
    <t>Кабель силовой гибкий КГтп-ХЛ 1х16 мм² 100 м ГОСТ 24334-80, ТУ 3544-016-22901100-2015</t>
  </si>
  <si>
    <t>01-8412</t>
  </si>
  <si>
    <t>Кабель силовой гибкий КГтп-ХЛ 1х25 мм² 100 м ГОСТ 24334-80, ТУ 3544-016-22901100-2015</t>
  </si>
  <si>
    <t>01-8415</t>
  </si>
  <si>
    <t>Кабель силовой гибкий КГтп-ХЛ 2х0,75 мм² 300 м ГОСТ 24334-80, ТУ 3544-016-22901100-2015</t>
  </si>
  <si>
    <t>01-8417</t>
  </si>
  <si>
    <t>Кабель силовой гибкий КГтп-ХЛ 2х1,5 мм² 150 м ГОСТ 24334-80, ТУ 3544-016-22901100-2015</t>
  </si>
  <si>
    <t>01-8418</t>
  </si>
  <si>
    <t>Кабель силовой гибкий КГтп-ХЛ 2х2,5 мм² 100 м ГОСТ 24334-80, ТУ 3544-016-22901100-2015</t>
  </si>
  <si>
    <t>01-8420</t>
  </si>
  <si>
    <t>Кабель силовой гибкий КГтп-ХЛ 3х1,5 мм² 150 м ГОСТ 24334-80, ТУ 3544-016-22901100-2015</t>
  </si>
  <si>
    <t>01-8421</t>
  </si>
  <si>
    <t>Кабель силовой гибкий КГтп-ХЛ 3х2,5 мм² 100 м ГОСТ 24334-80, ТУ 3544-016-22901100-2015</t>
  </si>
  <si>
    <t>1. 7. 1. 5 Кабель NYM/ NUM [Группа индивидуального ценообразования]</t>
  </si>
  <si>
    <t>01-8704</t>
  </si>
  <si>
    <t>Кабель силовой медный NUM-J 3x1,5 мм² 100 м ГОСТ 31996-2012, ТУ 3520-015-38229892-2015</t>
  </si>
  <si>
    <t>01-8705</t>
  </si>
  <si>
    <t>Кабель силовой медный NUM-J 3x2,5 мм² 100 м ГОСТ 31996-2012, ТУ 3520-015-38229892-2015</t>
  </si>
  <si>
    <t>01-8701</t>
  </si>
  <si>
    <t>Кабель силовой медный NUM-O 2x1,5 мм² 100 м ГОСТ 31996-2012, ТУ 3520-015-38229892-2015</t>
  </si>
  <si>
    <t>1. 7. 1. 6 Термостойкий провод РКГМ [Группа индивидуального ценообразования]</t>
  </si>
  <si>
    <t>01-8091</t>
  </si>
  <si>
    <t>Термостойкий провод РКГМ 0,75 мм² 200 м ГОСТ 31565-2012, ТУ 16.К80-09-90</t>
  </si>
  <si>
    <t>01-8092</t>
  </si>
  <si>
    <t>Термостойкий провод РКГМ 1,0 мм² 200 м ГОСТ 31565-2012, ТУ 16.К80-09-90</t>
  </si>
  <si>
    <t>01-8093</t>
  </si>
  <si>
    <t>Термостойкий провод РКГМ 1,5 мм² 200 м ГОСТ 31565-2012, ТУ 16.К80-09-90</t>
  </si>
  <si>
    <t>01-8094</t>
  </si>
  <si>
    <t>Термостойкий провод РКГМ 2,5 мм² 200 м ГОСТ 31565-2012, ТУ 16.К80-09-90</t>
  </si>
  <si>
    <t>01-8095</t>
  </si>
  <si>
    <t>Термостойкий провод РКГМ 4,0 мм² 200 м ГОСТ 31565-2012, ТУ 16.К80-09-90</t>
  </si>
  <si>
    <t>01-8096</t>
  </si>
  <si>
    <t>Термостойкий провод РКГМ 6,0 мм² 200 м ГОСТ 31565-2012, ТУ 16.К80-09-90</t>
  </si>
  <si>
    <t>1. 7. 2 Провода соединительные</t>
  </si>
  <si>
    <t>1. 7. 2. 1 Провод ПВС [Группа индивидуального ценообразования]</t>
  </si>
  <si>
    <t>01-8030-4</t>
  </si>
  <si>
    <t>Провод соединительный ПВС 2х0,75 мм² 200 м белый ГОСТ 7399-97</t>
  </si>
  <si>
    <t>01-8031-4</t>
  </si>
  <si>
    <t>Провод соединительный ПВС 2х0,75 мм² 200 м черный ГОСТ 7399-97</t>
  </si>
  <si>
    <t>01-8032-3</t>
  </si>
  <si>
    <t>Провод соединительный ПВС 2х1,0 мм² 200 м белый ГОСТ 7399-97</t>
  </si>
  <si>
    <t>01-8032-4</t>
  </si>
  <si>
    <t>Провод соединительный ПВС 2х1,0 мм² 200 м черный ГОСТ 7399-97</t>
  </si>
  <si>
    <t>01-8034-5</t>
  </si>
  <si>
    <t>Провод соединительный ПВС 2х1,5 мм² 150 м белый ГОСТ 7399-97</t>
  </si>
  <si>
    <t>01-8035-4</t>
  </si>
  <si>
    <t>Провод соединительный ПВС 2х1,5 мм² 150 м черный ГОСТ 7399-97</t>
  </si>
  <si>
    <t>01-8036-3</t>
  </si>
  <si>
    <t>Провод соединительный ПВС 2x2,5 мм² 100 м белый ГОСТ 7399-97</t>
  </si>
  <si>
    <t>01-8037-4</t>
  </si>
  <si>
    <t>Провод соединительный ПВС 2х2,5 мм² 100 м черный ГОСТ 7399-97</t>
  </si>
  <si>
    <t>01-8042-4</t>
  </si>
  <si>
    <t>Провод соединительный ПВС 3x0,75 мм² 200 м белый ГОСТ 7399-97</t>
  </si>
  <si>
    <t>01-8043-4</t>
  </si>
  <si>
    <t>Провод соединительный ПВС 3х0,75 мм² 200 м черный ГОСТ 7399-97</t>
  </si>
  <si>
    <t>01-8044-4</t>
  </si>
  <si>
    <t>Провод соединительный ПВС 3x1,0 мм² 200 м белый ГОСТ 7399-97</t>
  </si>
  <si>
    <t>01-8045-4</t>
  </si>
  <si>
    <t>Провод соединительный ПВС 3x1,0 мм² 200 м черный ГОСТ 7399-97</t>
  </si>
  <si>
    <t>01-8046-4</t>
  </si>
  <si>
    <t>Провод соединительный ПВС 3x1,5 мм² 150 м белый ГОСТ 7399-97</t>
  </si>
  <si>
    <t>01-8047-4</t>
  </si>
  <si>
    <t>Провод соединительный ПВС 3x1,5 мм² 150 м черный ГОСТ 7399-97</t>
  </si>
  <si>
    <t>01-8048-4</t>
  </si>
  <si>
    <t>Провод соединительный ПВС 3х2,5 мм² 100 м белый ГОСТ 7399-97</t>
  </si>
  <si>
    <t>01-8049-4</t>
  </si>
  <si>
    <t>Провод соединительный ПВС 3x2,5 мм² 100 м черный ГОСТ 7399-97</t>
  </si>
  <si>
    <t>01-8050-4</t>
  </si>
  <si>
    <t>Провод соединительный ПВС 3х4,0 мм² 100 м белый ГОСТ 7399-97</t>
  </si>
  <si>
    <t>01-8204-1</t>
  </si>
  <si>
    <t>Провод соединительный ПВС 4x0,75 мм² 200 м белый ГОСТ 7399-97</t>
  </si>
  <si>
    <t>01-8206-1</t>
  </si>
  <si>
    <t>Провод соединительный ПВС 4х1,5 мм² 100 м белый ГОСТ 7399-97</t>
  </si>
  <si>
    <t>01-8207-1</t>
  </si>
  <si>
    <t>Провод соединительный ПВС 4х2,5 мм² 100 м белый ГОСТ 7399-97</t>
  </si>
  <si>
    <t>01-8070</t>
  </si>
  <si>
    <t>Провод соединительный ПВС 5х1,5 мм² 100 м белый ГОСТ 7399-97</t>
  </si>
  <si>
    <t>1. 7. 2. 2 Провод ШВВП [Группа индивидуального ценообразования]</t>
  </si>
  <si>
    <t>01-8082-6</t>
  </si>
  <si>
    <t>Провод ШВВП 2х0,5 мм² 300 м белый ГОСТ 7399-97</t>
  </si>
  <si>
    <t>01-8083-6</t>
  </si>
  <si>
    <t>Провод ШВВП 2х0,5 мм² 300 м черный ГОСТ 7399-97</t>
  </si>
  <si>
    <t>01-8086-6</t>
  </si>
  <si>
    <t>Провод ШВВП 2х0,75 мм² 200 м белый ГОСТ 7399-97</t>
  </si>
  <si>
    <t>01-8087-6</t>
  </si>
  <si>
    <t>Провод ШВВП 2х0,75 мм² 200 м черный ГОСТ 7399-97</t>
  </si>
  <si>
    <t>01-8088-2</t>
  </si>
  <si>
    <t>Провод ШВВП 3х0,75 мм² 200 м белый ГОСТ 7399-97</t>
  </si>
  <si>
    <t>1. 7. 3 Провода установочные</t>
  </si>
  <si>
    <t>1. 7. 3. 1 Провода ПБВВ/ПБПП/ПУСП (ПуВВ) [Группа индивидуального ценообразования]</t>
  </si>
  <si>
    <t>01-8351-2</t>
  </si>
  <si>
    <t>Провод ПБВВ/ПУСП 2x1,5 мм² 100 м ГОСТ 26445-85, ТУ 3551-021-38229892-2017</t>
  </si>
  <si>
    <t>01-8352-2</t>
  </si>
  <si>
    <t>Провод ПБВВ/ПУСП 2x2,5 мм² 100 м ГОСТ 26445-85, ТУ 3551-021-38229892-2017</t>
  </si>
  <si>
    <t>01-8355-2</t>
  </si>
  <si>
    <t>Провод ПБВВ/ПУСП 3x2,5 мм² 100 м ГОСТ 26445-85, ТУ 3551-021-38229892-2017</t>
  </si>
  <si>
    <t>1. 7. 3. 2 Провод ПуГВ (ПВ-3) [Группа индивидуального ценообразования]</t>
  </si>
  <si>
    <t>01-8615-1</t>
  </si>
  <si>
    <t>Провод ПуГВ (ПВ-3) 0,5 мм² 1000 м белый ГОСТ 31947-2012,ТУ 16-705. 501-2010</t>
  </si>
  <si>
    <t>01-8615-3</t>
  </si>
  <si>
    <t>Провод ПуГВ (ПВ-3) 0,5 мм² 1000 м ж/з ГОСТ 31947-2012,ТУ 16-705. 501-2010</t>
  </si>
  <si>
    <t>1 000 - 7 дней</t>
  </si>
  <si>
    <t>01-8615-2</t>
  </si>
  <si>
    <t>Провод ПуГВ (ПВ-3) 0,5 мм² 1000 м синий ГОСТ 31947-2012,ТУ 16-705. 501-2010</t>
  </si>
  <si>
    <t>01-8616-1</t>
  </si>
  <si>
    <t>Провод ПуГВ (ПВ-3) 0,75 мм² 1000 м белый ГОСТ 31947-2012,ТУ 16-705. 501-2010</t>
  </si>
  <si>
    <t>01-8618-1</t>
  </si>
  <si>
    <t>Провод ПуГВ (ПВ-3) 1,5 мм² 500 м белый ГОСТ 31947-2012,ТУ 16-705. 501-2010</t>
  </si>
  <si>
    <t>500 - 7 дней</t>
  </si>
  <si>
    <t>01-8618-3</t>
  </si>
  <si>
    <t>Провод ПуГВ (ПВ-3) 1,5 мм² 500 м ж/з ГОСТ 31947-2012,ТУ 16-705. 501-2010</t>
  </si>
  <si>
    <t>01-8618-4</t>
  </si>
  <si>
    <t>Провод ПуГВ (ПВ-3) 1,5 мм² 500 м красный ГОСТ 31947-2012,ТУ 16-705. 501-2010</t>
  </si>
  <si>
    <t>01-8618-2</t>
  </si>
  <si>
    <t>Провод ПуГВ (ПВ-3) 1,5 мм² 500 м синий ГОСТ 31947-2012,ТУ 16-705. 501-2010</t>
  </si>
  <si>
    <t>01-8618-5</t>
  </si>
  <si>
    <t>Провод ПуГВ (ПВ-3) 1,5 мм² 500 м черный ГОСТ 31947-2012,ТУ 16-705. 501-2010</t>
  </si>
  <si>
    <t>500 - 3 дней</t>
  </si>
  <si>
    <t>01-8619-1</t>
  </si>
  <si>
    <t>Провод ПуГВ (ПВ-3) 2,5 мм² 500 м белый ГОСТ 31947-2012,ТУ 16-705. 501-2010</t>
  </si>
  <si>
    <t>01-8619-3</t>
  </si>
  <si>
    <t>Провод ПуГВ (ПВ-3) 2,5 мм² 500 м ж/з ГОСТ 31947-2012,ТУ 16-705. 501-2010</t>
  </si>
  <si>
    <t>01-8619-2</t>
  </si>
  <si>
    <t>Провод ПуГВ (ПВ-3) 2,5 мм² 500 м синий ГОСТ 31947-2012,ТУ 16-705. 501-2010</t>
  </si>
  <si>
    <t>01-8620-3</t>
  </si>
  <si>
    <t>Провод ПуГВ (ПВ-3) 4 мм² 300 м ж/з ГОСТ 31947-2012,ТУ 16-705. 501-2010</t>
  </si>
  <si>
    <t>01-8621-1</t>
  </si>
  <si>
    <t>Провод ПуГВ (ПВ-3) 6 мм² 200 м белый ГОСТ 31947-2012,ТУ 16-705. 501-2010</t>
  </si>
  <si>
    <t>200 - 7 дней</t>
  </si>
  <si>
    <t>01-8621-3</t>
  </si>
  <si>
    <t>Провод ПуГВ (ПВ-3) 6 мм² 200 м ж/з ГОСТ 31947-2012,ТУ 16-705. 501-2010</t>
  </si>
  <si>
    <t>01-8621-2</t>
  </si>
  <si>
    <t>Провод ПуГВ (ПВ-3) 6 мм² 200 м синий ГОСТ 31947-2012,ТУ 16-705. 501-2010</t>
  </si>
  <si>
    <t>1. 7. 3. 3 Провод ПБГВВ ПБППГ/ПУГСП (ПуГВВ) [Группа индивидуального ценообразования]</t>
  </si>
  <si>
    <t>01-8350-1</t>
  </si>
  <si>
    <t>Провод ПБГВВ/ПУГСП 2x1,5 мм² 100 м ГОСТ 26445-85, ТУ 3551-021-38229892-2017</t>
  </si>
  <si>
    <t>01-8352-1</t>
  </si>
  <si>
    <t>Провод ПБГВВ/ПУГСП 3x1,5 мм² 100 м ГОСТ 26445-85, ТУ 3551-021-38229892-2017</t>
  </si>
  <si>
    <t>01-8353-1</t>
  </si>
  <si>
    <t>Провод ПБГВВ/ПУГСП 3x2,5 мм² 100 м ГОСТ 26445-85, ТУ 3551-021-38229892-2017</t>
  </si>
  <si>
    <t>1. 7. 4 Мини-бухты REXANT (бухты 5, 10, 20, 50 м)</t>
  </si>
  <si>
    <t>1. 7. 4. 1 Провод ПВС [Группа индивидуального ценообразования]</t>
  </si>
  <si>
    <t>01-8030-10</t>
  </si>
  <si>
    <t>Провод соединительный ПВС 2x0,75 мм², белый, длина 10 метров, ГОСТ 7399-97 REXANT</t>
  </si>
  <si>
    <t>01-8030-20</t>
  </si>
  <si>
    <t>Провод соединительный ПВС 2x0,75 мм², белый, длина 20 метров, ГОСТ 7399-97 REXANT</t>
  </si>
  <si>
    <t>01-8030-5</t>
  </si>
  <si>
    <t>Провод соединительный ПВС 2x0,75 мм², белый, длина 5 метров, ГОСТ 7399-97 REXANT</t>
  </si>
  <si>
    <t>01-8030-50</t>
  </si>
  <si>
    <t>Провод соединительный ПВС 2x0,75 мм², белый, длина 50 метров, ГОСТ 7399-97 REXANT</t>
  </si>
  <si>
    <t>01-8031-10</t>
  </si>
  <si>
    <t>Провод соединительный ПВС 2x0,75 мм², черный, длина 10 метров, ГОСТ 7399-97 REXANT</t>
  </si>
  <si>
    <t>01-8031-20</t>
  </si>
  <si>
    <t>Провод соединительный ПВС 2x0,75 мм², черный, длина 20 метров, ГОСТ 7399-97 REXANT</t>
  </si>
  <si>
    <t>01-8031-5</t>
  </si>
  <si>
    <t>Провод соединительный ПВС 2x0,75 мм², черный, длина 5 метров, ГОСТ 7399-97 REXANT</t>
  </si>
  <si>
    <t>01-8031-50</t>
  </si>
  <si>
    <t>Провод соединительный ПВС 2x0,75 мм², черный, длина 50 метров, ГОСТ 7399-97 REXANT</t>
  </si>
  <si>
    <t>01-8032-10</t>
  </si>
  <si>
    <t>Провод соединительный ПВС 2x1,0 мм², белый, длина 10 метров, ГОСТ 7399-97 REXANT</t>
  </si>
  <si>
    <t>01-8032-20</t>
  </si>
  <si>
    <t>Провод соединительный ПВС 2x1,0 мм², белый, длина 20 метров, ГОСТ 7399-97 REXANT</t>
  </si>
  <si>
    <t>01-8032-5</t>
  </si>
  <si>
    <t>Провод соединительный ПВС 2x1,0 мм², белый, длина 5 метров, ГОСТ 7399-97 REXANT</t>
  </si>
  <si>
    <t>01-8032-50</t>
  </si>
  <si>
    <t>Провод соединительный ПВС 2x1,0 мм², белый, длина 50 метров, ГОСТ 7399-97 REXANT</t>
  </si>
  <si>
    <t>01-8035-10</t>
  </si>
  <si>
    <t>Провод соединительный ПВС 2x1,5 мм², белый, длина 10 метров, ГОСТ 7399-97 REXANT</t>
  </si>
  <si>
    <t>01-8035-20</t>
  </si>
  <si>
    <t>Провод соединительный ПВС 2x1,5 мм², белый, длина 20 метров, ГОСТ 7399-97 REXANT</t>
  </si>
  <si>
    <t>01-8035-5</t>
  </si>
  <si>
    <t>Провод соединительный ПВС 2x1,5 мм², белый, длина 5 метров, ГОСТ 7399-97 REXANT</t>
  </si>
  <si>
    <t>01-8035-50</t>
  </si>
  <si>
    <t>Провод соединительный ПВС 2x1,5 мм², белый, длина 50 метров, ГОСТ 7399-97 REXANT</t>
  </si>
  <si>
    <t>01-8033-10</t>
  </si>
  <si>
    <t>Провод соединительный ПВС 2x1,5 мм², черный, длина 10 метров, ГОСТ 7399-97 REXANT</t>
  </si>
  <si>
    <t>01-8033-20</t>
  </si>
  <si>
    <t>Провод соединительный ПВС 2x1,5 мм², черный, длина 20 метров, ГОСТ 7399-97 REXANT</t>
  </si>
  <si>
    <t>01-8033-5</t>
  </si>
  <si>
    <t>Провод соединительный ПВС 2x1,5 мм², черный, длина 5 метров, ГОСТ 7399-97 REXANT</t>
  </si>
  <si>
    <t>01-8033-50</t>
  </si>
  <si>
    <t>Провод соединительный ПВС 2x1,5 мм², черный, длина 50 метров, ГОСТ 7399-97 REXANT</t>
  </si>
  <si>
    <t>01-8036-10</t>
  </si>
  <si>
    <t>Провод соединительный ПВС 2x2,5 мм², длина 10 метров, ГОСТ 7399-97 REXANT</t>
  </si>
  <si>
    <t>01-8036-20</t>
  </si>
  <si>
    <t>Провод соединительный ПВС 2x2,5 мм², длина 20 метров, ГОСТ 7399-97 REXANT</t>
  </si>
  <si>
    <t>01-8036-5</t>
  </si>
  <si>
    <t>Провод соединительный ПВС 2x2,5 мм², длина 5 метров, ГОСТ 7399-97 REXANT</t>
  </si>
  <si>
    <t>01-8036-50</t>
  </si>
  <si>
    <t>Провод соединительный ПВС 2x2,5 мм², длина 50 метров, ГОСТ 7399-97 REXANT</t>
  </si>
  <si>
    <t>01-8042-10</t>
  </si>
  <si>
    <t>Провод соединительный ПВС 3x0,75 мм², белый, длина 10 метров, ГОСТ 7399-97 REXANT</t>
  </si>
  <si>
    <t>01-8042-20</t>
  </si>
  <si>
    <t>Провод соединительный ПВС 3x0,75 мм², белый, длина 20 метров, ГОСТ 7399-97 REXANT</t>
  </si>
  <si>
    <t>01-8042-5</t>
  </si>
  <si>
    <t>Провод соединительный ПВС 3x0,75 мм², белый, длина 5 метров, ГОСТ 7399-97 REXANT</t>
  </si>
  <si>
    <t>01-8042-50</t>
  </si>
  <si>
    <t>Провод соединительный ПВС 3x0,75 мм², белый, длина 50 метров, ГОСТ 7399-97 REXANT</t>
  </si>
  <si>
    <t>01-8043-10</t>
  </si>
  <si>
    <t>Провод соединительный ПВС 3x0,75 мм², черный, длина 10 метров, ГОСТ 7399-97 REXANT</t>
  </si>
  <si>
    <t>01-8043-20</t>
  </si>
  <si>
    <t>Провод соединительный ПВС 3x0,75 мм², черный, длина 20 метров, ГОСТ 7399-97 REXANT</t>
  </si>
  <si>
    <t>01-8043-5</t>
  </si>
  <si>
    <t>Провод соединительный ПВС 3x0,75 мм², черный, длина 5 метров, ГОСТ 7399-97 REXANT</t>
  </si>
  <si>
    <t>01-8043-50</t>
  </si>
  <si>
    <t>Провод соединительный ПВС 3x0,75 мм², черный, длина 50 метров, ГОСТ 7399-97 REXANT</t>
  </si>
  <si>
    <t>01-8044-10</t>
  </si>
  <si>
    <t>Провод соединительный ПВС 3x1,0 мм², белый, длина 10 метров, ГОСТ 7399-97 REXANT</t>
  </si>
  <si>
    <t>01-8044-20</t>
  </si>
  <si>
    <t>Провод соединительный ПВС 3x1,0 мм², белый, длина 20 метров, ГОСТ 7399-97 REXANT</t>
  </si>
  <si>
    <t>01-8044-5</t>
  </si>
  <si>
    <t>Провод соединительный ПВС 3x1,0 мм², белый, длина 5 метров, ГОСТ 7399-97 REXANT</t>
  </si>
  <si>
    <t>01-8044-50</t>
  </si>
  <si>
    <t>Провод соединительный ПВС 3x1,0 мм², белый, длина 50 метров, ГОСТ 7399-97 REXANT</t>
  </si>
  <si>
    <t>01-8046-10</t>
  </si>
  <si>
    <t>Провод соединительный ПВС 3x1,5 мм², белый, длина 10 метров, ГОСТ 7399-97 REXANT</t>
  </si>
  <si>
    <t>01-8046-20</t>
  </si>
  <si>
    <t>Провод соединительный ПВС 3x1,5 мм², белый, длина 20 метров, ГОСТ 7399-97 REXANT</t>
  </si>
  <si>
    <t>01-8046-5</t>
  </si>
  <si>
    <t>Провод соединительный ПВС 3x1,5 мм², белый, длина 5 метров, ГОСТ 7399-97 REXANT</t>
  </si>
  <si>
    <t>01-8046-50</t>
  </si>
  <si>
    <t>Провод соединительный ПВС 3x1,5 мм², белый, длина 50 метров, ГОСТ 7399-97 REXANT</t>
  </si>
  <si>
    <t>01-8047-10</t>
  </si>
  <si>
    <t>Провод соединительный ПВС 3x1,5 мм², черный, длина 10 метров, ГОСТ 7399-97 REXANT</t>
  </si>
  <si>
    <t>01-8047-20</t>
  </si>
  <si>
    <t>Провод соединительный ПВС 3x1,5 мм², черный, длина 20 метров, ГОСТ 7399-97 REXANT</t>
  </si>
  <si>
    <t>01-8047-5</t>
  </si>
  <si>
    <t>Провод соединительный ПВС 3x1,5 мм², черный, длина 5 метров, ГОСТ 7399-97 REXANT</t>
  </si>
  <si>
    <t>01-8047-50</t>
  </si>
  <si>
    <t>Провод соединительный ПВС 3x1,5 мм², черный, длина 50 метров, ГОСТ 7399-97 REXANT</t>
  </si>
  <si>
    <t>01-8048-10</t>
  </si>
  <si>
    <t>Провод соединительный ПВС 3x2,5 мм², длина 10 метров, ГОСТ 7399-97 REXANT</t>
  </si>
  <si>
    <t>01-8048-20</t>
  </si>
  <si>
    <t>Провод соединительный ПВС 3x2,5 мм², длина 20 метров, ГОСТ 7399-97 REXANT</t>
  </si>
  <si>
    <t>01-8048-5</t>
  </si>
  <si>
    <t>Провод соединительный ПВС 3x2,5 мм², длина 5 метров, ГОСТ 7399-97 REXANT</t>
  </si>
  <si>
    <t>01-8048-50</t>
  </si>
  <si>
    <t>Провод соединительный ПВС 3x2,5 мм², длина 50 метров, ГОСТ 7399-97 REXANT</t>
  </si>
  <si>
    <t>01-8050-20</t>
  </si>
  <si>
    <t>Провод соединительный ПВС 3x4,0 мм², длина 20 метров, ГОСТ 7399-97 REXANT</t>
  </si>
  <si>
    <t>01-8050-5</t>
  </si>
  <si>
    <t>Провод соединительный ПВС 3x4,0 мм², длина 5 метров, ГОСТ 7399-97 REXANT</t>
  </si>
  <si>
    <t>1. 7. 4. 2 Провод ШВВП [Группа индивидуального ценообразования]</t>
  </si>
  <si>
    <t>01-8082-10</t>
  </si>
  <si>
    <t>Провод ШВВП 2х0,5 мм², длина 10 метров, ГОСТ 7399-97 REXANT</t>
  </si>
  <si>
    <t>01-8082-20</t>
  </si>
  <si>
    <t>Провод ШВВП 2х0,5 мм², длина 20 метров, ГОСТ 7399-97 REXANT</t>
  </si>
  <si>
    <t>01-8082-5</t>
  </si>
  <si>
    <t>Провод ШВВП 2х0,5 мм², длина 5 метров, ГОСТ 7399-97 REXANT</t>
  </si>
  <si>
    <t>01-8082-50</t>
  </si>
  <si>
    <t>Провод ШВВП 2х0,5 мм², длина 50 метров, ГОСТ 7399-97 REXANT</t>
  </si>
  <si>
    <t>01-8086-10</t>
  </si>
  <si>
    <t>Провод ШВВП 2х0,75 мм², длина 10 метров, ГОСТ 7399-97 REXANT</t>
  </si>
  <si>
    <t>01-8086-20</t>
  </si>
  <si>
    <t>Провод ШВВП 2х0,75 мм², длина 20 метров, ГОСТ 7399-97 REXANT</t>
  </si>
  <si>
    <t>01-8086-5</t>
  </si>
  <si>
    <t>Провод ШВВП 2х0,75 мм², длина 5 метров, ГОСТ 7399-97 REXANT</t>
  </si>
  <si>
    <t>01-8086-50</t>
  </si>
  <si>
    <t>Провод ШВВП 2х0,75 мм², длина 50 метров, ГОСТ 7399-97 REXANT</t>
  </si>
  <si>
    <t>1. 7. 4. 3 Кабель ВВГ [Группа индивидуального ценообразования]</t>
  </si>
  <si>
    <t>01-8201-10</t>
  </si>
  <si>
    <t>Кабель силовой медный ВВГ-Пнг(А) 2x1,5 мм², длина 10 метров, ГОСТ 31996-2012, ТУ 16-705.499-2010 REXANT</t>
  </si>
  <si>
    <t>01-8201-20</t>
  </si>
  <si>
    <t>Кабель силовой медный ВВГ-Пнг(А) 2x1,5 мм², длина 20 метров, ГОСТ 31996-2012, ТУ 16-705.499-2010 REXANT</t>
  </si>
  <si>
    <t>01-8201-5</t>
  </si>
  <si>
    <t>Кабель силовой медный ВВГ-Пнг(А) 2x1,5 мм², длина 5 метров, ГОСТ 31996-2012, ТУ 16-705.499-2010 REXANT</t>
  </si>
  <si>
    <t>01-8201-50</t>
  </si>
  <si>
    <t>Кабель силовой медный ВВГ-Пнг(А) 2x1,5 мм², длина 50 метров, ГОСТ 31996-2012, ТУ 16-705.499-2010 REXANT</t>
  </si>
  <si>
    <t>01-8202-10</t>
  </si>
  <si>
    <t>Кабель силовой медный ВВГ-Пнг(А) 2x2,5 мм², длина 10 метров, ГОСТ 31996-2012, ТУ 16-705.499-2010 REXANT</t>
  </si>
  <si>
    <t>01-8202-20</t>
  </si>
  <si>
    <t>Кабель силовой медный ВВГ-Пнг(А) 2x2,5 мм², длина 20 метров, ГОСТ 31996-2012, ТУ 16-705.499-2010 REXANT</t>
  </si>
  <si>
    <t>01-8202-5</t>
  </si>
  <si>
    <t>Кабель силовой медный ВВГ-Пнг(А) 2x2,5 мм², длина 5 метров, ГОСТ 31996-2012, ТУ 16-705.499-2010 REXANT</t>
  </si>
  <si>
    <t>01-8202-50</t>
  </si>
  <si>
    <t>Кабель силовой медный ВВГ-Пнг(А) 2x2,5 мм², длина 50 метров, ГОСТ 31996-2012, ТУ 16-705.499-2010 REXANT</t>
  </si>
  <si>
    <t>01-8215-10</t>
  </si>
  <si>
    <t>Кабель силовой медный ВВГ-Пнг(А) 3x1,5 мм², длина 10 метров, ГОСТ 31996-2012, ТУ 16-705.499-2010 REXANT</t>
  </si>
  <si>
    <t>01-8215-20</t>
  </si>
  <si>
    <t>Кабель силовой медный ВВГ-Пнг(А) 3x1,5 мм², длина 20 метров, ГОСТ 31996-2012, ТУ 16-705.499-2010 REXANT</t>
  </si>
  <si>
    <t>01-8215-5</t>
  </si>
  <si>
    <t>Кабель силовой медный ВВГ-Пнг(А) 3x1,5 мм², длина 5 метров, ГОСТ 31996-2012, ТУ 16-705.499-2010 REXANT</t>
  </si>
  <si>
    <t>01-8215-50</t>
  </si>
  <si>
    <t>Кабель силовой медный ВВГ-Пнг(А) 3x1,5 мм², длина 50 метров, ГОСТ 31996-2012, ТУ 16-705.499-2010 REXANT</t>
  </si>
  <si>
    <t>01-8212-10</t>
  </si>
  <si>
    <t>Кабель силовой медный ВВГ-Пнг(А) 3x2,5 мм², длина 10 метров, ГОСТ 31996-2012, ТУ 16-705.499-2010 REXANT</t>
  </si>
  <si>
    <t>01-8212-20</t>
  </si>
  <si>
    <t>Кабель силовой медный ВВГ-Пнг(А) 3x2,5 мм², длина 20 метров, ГОСТ 31996-2012, ТУ 16-705.499-2010 REXANT</t>
  </si>
  <si>
    <t>01-8212-5</t>
  </si>
  <si>
    <t>Кабель силовой медный ВВГ-Пнг(А) 3x2,5 мм², длина 5 метров, ГОСТ 31996-2012, ТУ 16-705.499-2010 REXANT</t>
  </si>
  <si>
    <t>01-8212-50</t>
  </si>
  <si>
    <t>Кабель силовой медный ВВГ-Пнг(А) 3x2,5 мм², длина 50 метров, ГОСТ 31996-2012, ТУ 16-705.499-2010 REXANT</t>
  </si>
  <si>
    <t>01-8271-10</t>
  </si>
  <si>
    <t>Кабель силовой медный ВВГ-Пнг(А)-LS 3x1,5 мм², длина 10 метров, ГОСТ 31996-2012, ТУ 16.К71-310-2001 REXANT</t>
  </si>
  <si>
    <t>01-8271-5</t>
  </si>
  <si>
    <t>Кабель силовой медный ВВГ-Пнг(А)-LS 3x1,5 мм², длина 5 метров, ГОСТ 31996-2012, ТУ 16.К71-310-2001 REXANT</t>
  </si>
  <si>
    <t>01-8271-50</t>
  </si>
  <si>
    <t>Кабель силовой медный ВВГ-Пнг(А)-LS 3x1,5 мм², длина 50 метров, ГОСТ 31996-2012, ТУ 16.К71-310-2001 REXANT</t>
  </si>
  <si>
    <t>01-8272-10</t>
  </si>
  <si>
    <t>Кабель силовой медный ВВГ-Пнг(А)-LS 3x2,5 мм², длина 10 метров, ГОСТ 31996-2012, ТУ 16.К71-310-2001 REXANT</t>
  </si>
  <si>
    <t>01-8272-20</t>
  </si>
  <si>
    <t>Кабель силовой медный ВВГ-Пнг(А)-LS 3x2,5 мм², длина 20 метров, ГОСТ 31996-2012, ТУ 16.К71-310-2001 REXANT</t>
  </si>
  <si>
    <t>01-8272-5</t>
  </si>
  <si>
    <t>Кабель силовой медный ВВГ-Пнг(А)-LS 3x2,5 мм², длина 5 метров, ГОСТ 31996-2012, ТУ 16.К71-310-2001 REXANT</t>
  </si>
  <si>
    <t>01-8272-50</t>
  </si>
  <si>
    <t>Кабель силовой медный ВВГ-Пнг(А)-LS 3x2,5 мм², длина 50 метров, ГОСТ 31996-2012, ТУ 16.К71-310-2001 REXANT</t>
  </si>
  <si>
    <t>1. 7. 4. 4 Кабель КГ [Группа индивидуального ценообразования]</t>
  </si>
  <si>
    <t>01-8420-5</t>
  </si>
  <si>
    <t>Кабель силовой гибкий КГтп-ХЛ 3х1,5 мм², длина 5 метров, ГОСТ REXANT</t>
  </si>
  <si>
    <t>01-8420-10</t>
  </si>
  <si>
    <t>Кабель силовой гибкий КГтп-ХЛ 3х1,5 мм², длина 10 метров, ГОСТ REXANT</t>
  </si>
  <si>
    <t>01-8420-20</t>
  </si>
  <si>
    <t>Кабель силовой гибкий КГтп-ХЛ 3х1,5 мм², длина 20 метров, ГОСТ REXANT</t>
  </si>
  <si>
    <t>01-8420-50</t>
  </si>
  <si>
    <t>Кабель силовой гибкий КГтп-ХЛ 3х1,5 мм², длина 50 метров, ГОСТ REXANT</t>
  </si>
  <si>
    <t>01-8421-20</t>
  </si>
  <si>
    <t>Кабель силовой гибкий КГтп-ХЛ 3х2,5 мм², длина 20 метров, ГОСТ REXANT</t>
  </si>
  <si>
    <t>1. 7. 4. 5 Кабель NYM/NUM [Группа индивидуального ценообразования]</t>
  </si>
  <si>
    <t>01-8704-10</t>
  </si>
  <si>
    <t>Кабель силовой медный NUM-J 3x1,5 мм², длина 10 метров, ГОСТ 31996-2012, ТУ 3520-015-38229892-2015 REXANT</t>
  </si>
  <si>
    <t>01-8704-20</t>
  </si>
  <si>
    <t>Кабель силовой медный NUM-J 3x1,5 мм², длина 20 метров, ГОСТ 31996-2012, ТУ 3520-015-38229892-2015 REXANT</t>
  </si>
  <si>
    <t>01-8704-5</t>
  </si>
  <si>
    <t>Кабель силовой медный NUM-J 3x1,5 мм², длина 5 метров, ГОСТ 31996-2012, ТУ 3520-015-38229892-2015 REXANT</t>
  </si>
  <si>
    <t>01-8704-50</t>
  </si>
  <si>
    <t>Кабель силовой медный NUM-J 3x1,5 мм², длина 50 метров, ГОСТ 31996-2012, ТУ 3520-015-38229892-2015 REXANT</t>
  </si>
  <si>
    <t>01-8705-10</t>
  </si>
  <si>
    <t>Кабель силовой медный NUM-J 3x2,5 мм², длина 10 метров, ГОСТ 31996-2012, ТУ 3520-015-38229892-2015 REXANT</t>
  </si>
  <si>
    <t>01-8705-20</t>
  </si>
  <si>
    <t>Кабель силовой медный NUM-J 3x2,5 мм², длина 20 метров, ГОСТ 31996-2012, ТУ 3520-015-38229892-2015 REXANT</t>
  </si>
  <si>
    <t>01-8705-5</t>
  </si>
  <si>
    <t>Кабель силовой медный NUM-J 3x2,5 мм², длина 5 метров, ГОСТ 31996-2012, ТУ 3520-015-38229892-2015 REXANT</t>
  </si>
  <si>
    <t>01-8705-50</t>
  </si>
  <si>
    <t>Кабель силовой медный NUM-J 3x2,5 мм², длина 50 метров, ГОСТ 31996-2012, ТУ 3520-015-38229892-2015 REXANT</t>
  </si>
  <si>
    <t>01-8709-20</t>
  </si>
  <si>
    <t>Кабель силовой медный NUM-J 4x2,5 мм², длина 20 метров, ГОСТ 31996-2012, ТУ 3520-015-38229892-2015 REXANT</t>
  </si>
  <si>
    <t>5 - 14 дней</t>
  </si>
  <si>
    <t>01-8709-50</t>
  </si>
  <si>
    <t>Кабель силовой медный NUM-J 4x2,5 мм², длина 50 метров, ГОСТ 31996-2012, ТУ 3520-015-38229892-2015 REXANT</t>
  </si>
  <si>
    <t>2 - 14 дней</t>
  </si>
  <si>
    <t>01-8701-10</t>
  </si>
  <si>
    <t>Кабель силовой медный NUM-O 2x1,5 мм², длина 10 метров, ГОСТ 31996-2012, ТУ 3520-015-38229892-2015 REXANT</t>
  </si>
  <si>
    <t>01-8701-20</t>
  </si>
  <si>
    <t>Кабель силовой медный NUM-O 2x1,5 мм², длина 20 метров, ГОСТ 31996-2012, ТУ 3520-015-38229892-2015 REXANT</t>
  </si>
  <si>
    <t>01-8701-5</t>
  </si>
  <si>
    <t>Кабель силовой медный NUM-O 2x1,5 мм², длина 5 метров, ГОСТ 31996-2012, ТУ 3520-015-38229892-2015 REXANT</t>
  </si>
  <si>
    <t>1. 7. 4. 6 Кабель СИП в Провод СИП [Группа индивидуального ценообразования]</t>
  </si>
  <si>
    <t>01-8890-25</t>
  </si>
  <si>
    <t>Провод СИП-4 2x16,0 мм², длина 25 метров, ГОСТ REXANT</t>
  </si>
  <si>
    <t>01-8892-25</t>
  </si>
  <si>
    <t>Провод СИП-4 4x16,0 мм², длина 25 метров, ГОСТ REXANT</t>
  </si>
  <si>
    <t>1. 7. 5 Провода СИП [Группа индивидуального ценообразования]</t>
  </si>
  <si>
    <t>01-8890-2</t>
  </si>
  <si>
    <t>Провод самонесущий СИП-4 2x16,0 мм² 100 м ГОСТ</t>
  </si>
  <si>
    <t>01-8892-2</t>
  </si>
  <si>
    <t>Провод самонесущий СИП-4 4x16,0 мм² 100 м ГОСТ</t>
  </si>
  <si>
    <t>1. 7. 6 Провод ПНСВ для прогрева бетона [Группа индивидуального ценообразования]</t>
  </si>
  <si>
    <t>01-9090-1</t>
  </si>
  <si>
    <t>Провод нагревательный ПНСВ 1,2 мм, 20 Вт/м, полиэтилен (бухта 1000 м)</t>
  </si>
  <si>
    <t>м</t>
  </si>
  <si>
    <t>1. 8 Изделия для электромонтажа</t>
  </si>
  <si>
    <t>1. 8. 1 Наконечники и гильзы кабельные слаботочные</t>
  </si>
  <si>
    <t>1. 8. 1. 1 Разъемы изолированные</t>
  </si>
  <si>
    <t>08-0411</t>
  </si>
  <si>
    <t>Клемма плоская изолированная РПи-м 1.5-(2.8)/РпИм 1,25-250 гнездо 3.8 мм 0.5-1.5 мм² REXANT</t>
  </si>
  <si>
    <t>06-0385-A</t>
  </si>
  <si>
    <t>Клемма плоская изолированная РПи-м 1.5-(2.8)/РпИм 1,25-250 гнездо 3.8 мм, 0.5-1.5 мм², в упак. 10 шт. REXANT</t>
  </si>
  <si>
    <t>08-0412</t>
  </si>
  <si>
    <t>Клемма плоская изолированная РПи-м 1.5-(4.8)/РпИм 1,25-5 гнездо 5.6 мм 0.5-1.5 мм² REXANT</t>
  </si>
  <si>
    <t>08-0413</t>
  </si>
  <si>
    <t>Клемма плоская изолированная РПи-м 1.5-(6.3)/РпИм 1,25-250 гнездо 6.6 мм 0.5-1.5 мм² REXANT</t>
  </si>
  <si>
    <t>08-0431</t>
  </si>
  <si>
    <t>Клемма плоская изолированная РПи-м 2.5-(2.8)/РпИм 2-250 гнездо 3.8 мм 1.5-2.5 мм² REXANT</t>
  </si>
  <si>
    <t>08-0432</t>
  </si>
  <si>
    <t>Клемма плоская изолированная РПи-м 2.5-(4.8)/РпИм 2-5 гнездо 5.6 мм 1.5-2.5 мм² REXANT</t>
  </si>
  <si>
    <t>06-0389-A</t>
  </si>
  <si>
    <t>Клемма плоская изолированная РПи-м 2.5-(4.8)/РпИм 2-5-0,8 гнездо - 5.6 мм, 1.5-2.5 мм², в упак. 10 шт.REXANT</t>
  </si>
  <si>
    <t>08-0433</t>
  </si>
  <si>
    <t>Клемма плоская изолированная РПи-м 2.5-(6.3)/РпИм 2-250 гнездо 6.6 мм 1.5-2.5 мм² REXANT</t>
  </si>
  <si>
    <t>06-0390-A</t>
  </si>
  <si>
    <t>Клемма плоская изолированная РПи-м 2.5-(6.3)/РпИм 2-250 гнездо 6.6 мм, 1.5-2.5 мм², в упак. 10 шт. REXANT</t>
  </si>
  <si>
    <t>08-0434</t>
  </si>
  <si>
    <t>Клемма плоская изолированная РПи-м 2.5-(9.0)/РпИм 2.5-9.0 гнездо 9 мм 1.5-2.5 мм² REXANT</t>
  </si>
  <si>
    <t>08-0451</t>
  </si>
  <si>
    <t>Клемма плоская изолированная РПи-м 6.0-(6.3)/РпИм 5,5-6-0,5 гнездо 6.6 мм 4-6 мм² REXANT</t>
  </si>
  <si>
    <t>06-0391-A</t>
  </si>
  <si>
    <t>Клемма плоская изолированная РПи-м 6.0-(6.3)/РпИм 5,5-6-0,5 гнездо 6.6 мм, 4-6 мм², в упак. 10 шт. REXANT</t>
  </si>
  <si>
    <t>08-0414</t>
  </si>
  <si>
    <t>Клемма плоская изолированная РПи-О 1.5-(6.3)/РпИо 1.5-7.5 гнездо 6.6 мм + штекер - 6.3 мм 0.5-1.5 мм² REXANT</t>
  </si>
  <si>
    <t>08-0424</t>
  </si>
  <si>
    <t>Клемма плоская изолированная РПи-О 2.5-(6.3)/РпИо 2.5-7.5 гнездо 6.6 мм + штекер - 6.3 мм 1.5-2.5 мм² REXANT</t>
  </si>
  <si>
    <t>08-0452</t>
  </si>
  <si>
    <t>Клемма плоская изолированная РПи-О 6.0-(6.3)/РпИо 6.0-7.5 гнездо 6.6 мм + штекер - 6.3 мм 4-6 мм² REXANT</t>
  </si>
  <si>
    <t>25.12.2026</t>
  </si>
  <si>
    <t>08-0311-10</t>
  </si>
  <si>
    <t>Клемма плоская изолированная РПи-п 1.5-(2.8)/РпИп 1,25-3-0,8 штекер 2.8 мм 0.5-1.5 мм² красная (10шт./уп.) REXANT</t>
  </si>
  <si>
    <t>блистер</t>
  </si>
  <si>
    <t>08-0311</t>
  </si>
  <si>
    <t>Клемма плоская изолированная РПи-п 1.5-(2.8)/РпИп 1,25-3-0,8 штекер 2.8 мм 0.5-1.5 мм² красная REXANT</t>
  </si>
  <si>
    <t>08-0312</t>
  </si>
  <si>
    <t>Клемма плоская изолированная РПи-п 1.5-(4.8)/РПИп 1,25-5 штекер 4.8 мм 0.5-1.5 мм² красная REXANT</t>
  </si>
  <si>
    <t>08-0313</t>
  </si>
  <si>
    <t>Клемма плоская изолированная РПи-п 1.5-(6.3)/РпИп 1,25-6-0,8 штекер 6.3 мм 0.5-1.5 мм² красная REXANT</t>
  </si>
  <si>
    <t>08-0331</t>
  </si>
  <si>
    <t>Клемма плоская изолированная РПи-п 2.5-(2.8)/РпИп 2-3-0,8 штекер 2.8 мм 1.5-2.5 мм² синяя REXANT</t>
  </si>
  <si>
    <t>08-0332</t>
  </si>
  <si>
    <t>Клемма плоская изолированная РПи-п 2.5-(4.8)/РПИп 2-5-0,8 штекер 4.8 мм 1.5-2.5 мм² синяя REXANT</t>
  </si>
  <si>
    <t>08-0333</t>
  </si>
  <si>
    <t>Клемма плоская изолированная РПи-п 2.5-(6.3)/РпИп 2-6-0,8 штекер 6.3 мм 1.5-2.5 мм² синяя REXANT</t>
  </si>
  <si>
    <t>06-0384-A</t>
  </si>
  <si>
    <t>Клемма плоская изолированная РПи-п 2.5-(6.3)/РпИп 2-6-0,8 штекер 6.3 мм 1.5-2.5 мм², синий, в упак. 10 шт. REXANT</t>
  </si>
  <si>
    <t>08-0351-10</t>
  </si>
  <si>
    <t>Клемма плоская изолированная РПи-п 6.0-(6.3)/РпИп 5-6-0,8 штекер 6.3 мм 4-6 мм² желтая (10шт./уп.) REXANT</t>
  </si>
  <si>
    <t>08-0351</t>
  </si>
  <si>
    <t>Клемма плоская изолированная РПи-п 6.0-(6.3)/РпИп 5-6-0,8 штекер 6.3 мм 4-6 мм² желтая REXANT</t>
  </si>
  <si>
    <t>08-0354</t>
  </si>
  <si>
    <t>Клемма плоская изолированная термоусаживаемая РПи-п-т 6.0-(6.3)/РпИп-т 6-7-0,8 штекер 6.35 мм 4-6 мм² желтый REXANT</t>
  </si>
  <si>
    <t>08-0613</t>
  </si>
  <si>
    <t>Клемма плоская полностью изолированная в нейлоне РПи-м(н) 1.5-(6.3)/РпИм-н 1,25-7-0,8 гнездо 6.6 мм, 0.5-1.5 мм², красный REXANT</t>
  </si>
  <si>
    <t>08-0633</t>
  </si>
  <si>
    <t>Клемма плоская полностью изолированная в нейлоне РПи-м(н) 2.5-(6.3)/РпИм-н 2-7-0,8 гнездо 6.6 мм, 1.5-2.5 мм², синий REXANT</t>
  </si>
  <si>
    <t>08-0611</t>
  </si>
  <si>
    <t>Клемма плоская полностью изолированная РППи-м 1.5-(4.8)/РпИмп 1,25-5-0,8 гнездо 5.6 мм 0.5-1.5 мм² REXANT</t>
  </si>
  <si>
    <t>06-0392-A</t>
  </si>
  <si>
    <t>Клемма плоская полностью изолированная РППи-м 1.5-(4.8)/РпИмп 1,25-5-0,8 гнездо 5.6 мм 0.5-1.5 мм², в упак. 10 шт. REXANT</t>
  </si>
  <si>
    <t>08-0612</t>
  </si>
  <si>
    <t>Клемма плоская полностью изолированная РППи-м 1.5-(6.3)/РпИмп 1,25-250 гнездо 6.6 мм 0.5-1.5 мм² REXANT</t>
  </si>
  <si>
    <t>08-0631</t>
  </si>
  <si>
    <t>Клемма плоская полностью изолированная РППи-м 2.5-(4.8)/РпИмп 2-5-0,8 гнездо 5.6 мм 1.5-2.5 мм² REXANT</t>
  </si>
  <si>
    <t>06-0394-A</t>
  </si>
  <si>
    <t>Клемма плоская полностью изолированная РППи-м 2.5-(4.8)/РпИмп 2-5-0,8 гнездо 5.6 мм 1.5-2.5 мм², в упак. 10 шт. REXANT</t>
  </si>
  <si>
    <t>08-0632</t>
  </si>
  <si>
    <t>Клемма плоская полностью изолированная РППи-м 2.5-(6.3)/РпИмп 2-250 гнездо 6.6 мм 1.5-2.5 мм² REXANT</t>
  </si>
  <si>
    <t>06-0395-A</t>
  </si>
  <si>
    <t>Клемма плоская полностью изолированная РППи-м 2.5-(6.3)/РпИмп 2-250 гнездо 6.6 мм 1.5-2.5 мм², в упак. 10 шт. REXANT</t>
  </si>
  <si>
    <t>08-0651</t>
  </si>
  <si>
    <t>Клемма плоская полностью изолированная РППи-м 6.0-(6.3)/РпИмп 5,5-6-0,5 гнездо 6.6 мм 4-6 мм² REXANT</t>
  </si>
  <si>
    <t>21.12.2026</t>
  </si>
  <si>
    <t>08-0614</t>
  </si>
  <si>
    <t>Клемма плоская полностью изолированная термоусаживаемая РПи-м-т 1.5-(6.3)/РпИм-т 1,25-7-0,8 гнездо 6.6 мм 0.5-1.5 мм² красный REXANT</t>
  </si>
  <si>
    <t>08-0634</t>
  </si>
  <si>
    <t>Клемма плоская полностью изолированная термоусаживаемая РПи-м-т 2.5-(6.3)/РпИм-т 2-7-0,8 гнездо 6.6 мм 1.5-2.5 мм² синий REXANT</t>
  </si>
  <si>
    <t>08-0654</t>
  </si>
  <si>
    <t>Клемма плоская полностью изолированная термоусаживаемая РПи-м-т 6.0-(6.3)/РпИм-т 6-7-0,8 гнездо 6.6 мм 4-6 мм² желтый REXANT</t>
  </si>
  <si>
    <t>08-0951</t>
  </si>
  <si>
    <t>Клемма плоская штекер 6.3 мм 1-1.5 мм² (РП-п 1.5-(6.3)) + колодка REXANT</t>
  </si>
  <si>
    <t>08-0211</t>
  </si>
  <si>
    <t>Разъем штекерный изолированный гнездо 4 мм 0.5-1.5 мм² (РШи-м 1.5-4/РШИм 1,25-5-4) красный REXANT</t>
  </si>
  <si>
    <t>08-0221</t>
  </si>
  <si>
    <t>Разъем штекерный изолированный гнездо 4 мм 1.5-2.5 мм² (РШи-м 2.5-4/РШИм 2-5-4 ) синий REXANT</t>
  </si>
  <si>
    <t>08-0511</t>
  </si>
  <si>
    <t>Разъем штекерный изолированный штекер 4 мм 0.5-1.5 мм² (РШи-п 1.5-4/РШИп 1,25-4) красный REXANT</t>
  </si>
  <si>
    <t>08-0521</t>
  </si>
  <si>
    <t>Разъем штекерный изолированный штекер 4 мм 1.5-2.5 мм² (РШи-п 2.5-4/РШИп 2-5-4) синий REXANT</t>
  </si>
  <si>
    <t>08-0531</t>
  </si>
  <si>
    <t>Разъем штекерный изолированный штекер 5 мм 4-6 мм² (РШи-п 6.0-5/РшИп5.5-4) желтый REXANT</t>
  </si>
  <si>
    <t>08-0261</t>
  </si>
  <si>
    <t>Разъем штекерный полностью изолированный гнездо 4 мм 0.5-1.5 мм² (РШПи-м 1.5-4/РшИмп 1,25-5-4) красный REXANT</t>
  </si>
  <si>
    <t>08-0561</t>
  </si>
  <si>
    <t>Разъем штекерный полностью изолированный штекер 4 мм 0.5-1.5 мм² (РШПи-п 1.5-4/РшИпп 1,25-4) красный REXANT</t>
  </si>
  <si>
    <t>1. 8. 1. 2 Разъемы неизолированные</t>
  </si>
  <si>
    <t>08-0900</t>
  </si>
  <si>
    <t>Изолятор для плоской клеммы (длина 26 мм) REXANT</t>
  </si>
  <si>
    <t>08-0919</t>
  </si>
  <si>
    <t>Клемма плоская гнездо 3.6 мм 0.75-1.5 мм² (РП-м 1.5-(2.8)) REXANT</t>
  </si>
  <si>
    <t>06-0399-A</t>
  </si>
  <si>
    <t>Клемма плоская гнездо 3.6 мм 0.75-1.5 мм² (РП-м 1.5-(2.8)), в упак. 10 шт. REXANT</t>
  </si>
  <si>
    <t>08-0920</t>
  </si>
  <si>
    <t>Клемма плоская гнездо 5,6 мм 0.75-1.5 мм² (РП-м 1.5-(4.8)) REXANT</t>
  </si>
  <si>
    <t>08-0921</t>
  </si>
  <si>
    <t>Клемма плоская гнездо 7.5 мм 1-2.5 мм² (РП-м 2.5-(6.3)) REXANT</t>
  </si>
  <si>
    <t>06-0401-A</t>
  </si>
  <si>
    <t>Клемма плоская гнездо 7.5 мм 1-2.5 мм² (РП-м 2.5-(6.3)) в упак. 10 шт. REXANT</t>
  </si>
  <si>
    <t>08-0912</t>
  </si>
  <si>
    <t>Клемма плоская гнездо 7.7 мм 0.75-1.5 мм² (РП-м 1.5-(6.3)) REXANT</t>
  </si>
  <si>
    <t>08-0909</t>
  </si>
  <si>
    <t>Клемма плоская штекер 2.8 мм 0.75-1.5 мм² (РП-п 1.5-(2.8)) REXANT</t>
  </si>
  <si>
    <t>08-0910</t>
  </si>
  <si>
    <t>Клемма плоская штекер 4.8 мм 0.75-1.5 мм² (РП-п 1.5-(4.8)) REXANT</t>
  </si>
  <si>
    <t>08-0913</t>
  </si>
  <si>
    <t>Клемма плоская штекер 6.3 мм 0.75-1.5 мм² (РП-п 1.5-(6.3) длина 20 мм) REXANT</t>
  </si>
  <si>
    <t>06-0398-A</t>
  </si>
  <si>
    <t>Клемма плоская штекер 6.3 мм 0.75-1.5 мм² (РП-п 1.5-(6.3) длина 20 мм) в упак. 10 шт. REXANT</t>
  </si>
  <si>
    <t>08-0911</t>
  </si>
  <si>
    <t>Клемма плоская штекер 6.3 мм 0.75-1.5 мм² (РП-п 1.5-(6.3) длина 25,5 мм) REXANT</t>
  </si>
  <si>
    <t>13.12.2026</t>
  </si>
  <si>
    <t>06-0396-A</t>
  </si>
  <si>
    <t>Клемма плоская штекер 6.3 мм, 0.75-1.5 мм² (РП-п 1.5-(6.3) длина 25,5 мм) в упак. 10 шт. REXANT</t>
  </si>
  <si>
    <t>1. 8. 1. 3 Наконечники изолированные</t>
  </si>
  <si>
    <t>08-0111</t>
  </si>
  <si>
    <t>Наконечник вилочный изолированный 3.2 мм 0.5-1.5 мм² (НВи 1.5-3/НВи 1,25-3) красный REXANT</t>
  </si>
  <si>
    <t>06-0402-A</t>
  </si>
  <si>
    <t>Наконечник вилочный изолированный 3.2 мм 0.5-1.5 мм² (НВи 1.5-3/НВи 1,25-3) красный, в упак. 10 шт. REXANT</t>
  </si>
  <si>
    <t>08-0131</t>
  </si>
  <si>
    <t>Наконечник вилочный изолированный 3.2 мм 1.5-2.5 мм² (НВи 2.5-3) синий REXANT</t>
  </si>
  <si>
    <t>08-0112</t>
  </si>
  <si>
    <t>Наконечник вилочный изолированный 4.3 мм 0.5-1.5 мм² (НВи 1.5-4/НВи 1,25-4) красный REXANT</t>
  </si>
  <si>
    <t>08-0132</t>
  </si>
  <si>
    <t>Наконечник вилочный изолированный 4.3 мм 1.5-2.5 мм² (НВи 2.5-4/НВи 2-4) синий REXANT</t>
  </si>
  <si>
    <t>08-0151</t>
  </si>
  <si>
    <t>Наконечник вилочный изолированный 4.3 мм 4-6 мм² (НВи 6.0-4/НВи 5,5-4) желтый REXANT</t>
  </si>
  <si>
    <t>08-0113</t>
  </si>
  <si>
    <t>Наконечник вилочный изолированный 5.3 мм 0.5-1.5 мм² (НВи 1.5-5/НВи 1,25-5) красный REXANT</t>
  </si>
  <si>
    <t>08-0133</t>
  </si>
  <si>
    <t>Наконечник вилочный изолированный 5.3 мм 1.5-2.5 мм² (НВи 2.5-5/НВи 2-5) синий REXANT</t>
  </si>
  <si>
    <t>08-0152</t>
  </si>
  <si>
    <t>Наконечник вилочный изолированный 5.3 мм 4-6 мм² (НВи 6.0-5/НВи 5,5-5) желтый REXANT</t>
  </si>
  <si>
    <t>08-0114</t>
  </si>
  <si>
    <t>Наконечник вилочный изолированный 6.5 мм 0.5-1.5 мм² (НВи 1.5-6) красный REXANT</t>
  </si>
  <si>
    <t>08-0134</t>
  </si>
  <si>
    <t>Наконечник вилочный изолированный 6.5 мм 1.5-2.5 мм² (НВи 2.5-6/НВи 2-6) синий REXANT</t>
  </si>
  <si>
    <t>08-0153</t>
  </si>
  <si>
    <t>Наконечник вилочный изолированный 6.5 мм 4-6 мм ² (НВи 6.0-6 / НВи 5,5-6) желтый REXANT</t>
  </si>
  <si>
    <t>08-0154</t>
  </si>
  <si>
    <t>Наконечник вилочный изолированный 8.4 мм 4-6 мм² (НВи 6.0-8) желтый REXANT</t>
  </si>
  <si>
    <t>08-0017</t>
  </si>
  <si>
    <t>Наконечник кольцевой изолированный ø 10.5 мм 0.5-1.5 мм² (НКи 1.5-10) красный REXANT</t>
  </si>
  <si>
    <t>08-0037</t>
  </si>
  <si>
    <t>Наконечник кольцевой изолированный ø 10.5 мм 1.5-2.5 мм² (НКи 2.5-10) синий REXANT</t>
  </si>
  <si>
    <t>08-0055</t>
  </si>
  <si>
    <t>Наконечник кольцевой изолированный ø 10.5 мм 4-6 мм² (НКи 6.0-10/НКи5,5-10) желтый REXANT</t>
  </si>
  <si>
    <t>08-0011</t>
  </si>
  <si>
    <t>Наконечник кольцевой изолированный ø 3.2 мм 0.5-1.5 мм² (НКи 1.5-3/НКи 1,25-3) красный REXANT</t>
  </si>
  <si>
    <t>08-0031</t>
  </si>
  <si>
    <t>Наконечник кольцевой изолированный ø 3.2 мм 1.5-2.5 мм² (НКи 2.5-3/НКи2-3) синий REXANT</t>
  </si>
  <si>
    <t>08-0012</t>
  </si>
  <si>
    <t>Наконечник кольцевой изолированный ø 3.7 мм 0.5-1.5 мм² (НКи 1.5-3.5) красный REXANT</t>
  </si>
  <si>
    <t>08-0013</t>
  </si>
  <si>
    <t>Наконечник кольцевой изолированный ø 4.3 мм 0.5-1.5 мм² (НКи 1.5-4/НКи 1,25-4) красный REXANT</t>
  </si>
  <si>
    <t>06-0414-A</t>
  </si>
  <si>
    <t>Наконечник кольцевой изолированный ø 4.3 мм 0.5-1.5мм² (НКи 1.5-4/НКи 1,25-4) красный, в упак. 10 шт. REXANT</t>
  </si>
  <si>
    <t>08-0032</t>
  </si>
  <si>
    <t>Наконечник кольцевой изолированный ø 4.3 мм 1.5-2.5 мм² (НКи 2.5-4/НКи2-4) синий REXANT</t>
  </si>
  <si>
    <t>06-0418-A</t>
  </si>
  <si>
    <t>Наконечник кольцевой изолированный ø 4.3 мм 1.5-2.5мм² (НКи 2.5-4/НКи2-4), синий, в упак. 10 шт. REXANT</t>
  </si>
  <si>
    <t>08-0051</t>
  </si>
  <si>
    <t>Наконечник кольцевой изолированный ø 4.3 мм 4-6 мм² (НКи 6.0-4/НКи5,5-4) желтый REXANT</t>
  </si>
  <si>
    <t>08-0014</t>
  </si>
  <si>
    <t>Наконечник кольцевой изолированный ø 5.3 мм 0.5-1.5 мм² (НКи 1.5-5/НКи 1,25-5) красный REXANT</t>
  </si>
  <si>
    <t>08-0034</t>
  </si>
  <si>
    <t>Наконечник кольцевой изолированный ø 5.3 мм 1.5-2.5 мм² (НКи 2.5-5/НКи2-5) синий REXANT</t>
  </si>
  <si>
    <t>06-0419-A</t>
  </si>
  <si>
    <t>Наконечник кольцевой изолированный ø 5.3 мм 1.5-2.5мм² (НКи 2.5-5/НКи2-5) синий, в упак. 10 шт. REXANT</t>
  </si>
  <si>
    <t>08-0052</t>
  </si>
  <si>
    <t>Наконечник кольцевой изолированный ø 5.3 мм 4-6 мм² (НКи 6.0-5/НКи5,5-5) желтый REXANT</t>
  </si>
  <si>
    <t>08-0015</t>
  </si>
  <si>
    <t>Наконечник кольцевой изолированный ø 6.5 мм 0.5-1.5 мм² (НКи 1.5-6/НКи 1,25-6) красный REXANT</t>
  </si>
  <si>
    <t>06-0415-A</t>
  </si>
  <si>
    <t>Наконечник кольцевой изолированный ø 6.5 мм 0.5-1.5 мм² (НКи 1.5-6/НКи 1,25-6) красный, в упак. 10 шт. REXANT</t>
  </si>
  <si>
    <t>08-0035</t>
  </si>
  <si>
    <t>Наконечник кольцевой изолированный ø 6.5 мм 1.5-2.5 мм² (НКи 2.5-6/НКи2-6) синий REXANT</t>
  </si>
  <si>
    <t>08-0053</t>
  </si>
  <si>
    <t>Наконечник кольцевой изолированный ø 6.5 мм 4-6 мм² (НКи 6.0-6/НКи5,5-6) желтый REXANT</t>
  </si>
  <si>
    <t>06-0422-A</t>
  </si>
  <si>
    <t>Наконечник кольцевой изолированный ø 6.5 мм 4-6 мм² (НКи 6.0-6/НКи5,5-6) желтый, в упак. 10 шт. REXANT</t>
  </si>
  <si>
    <t>06-0420-A</t>
  </si>
  <si>
    <t>Наконечник кольцевой изолированный ø 6.5мм 1.5-2.5мм² (НКи 2.5-6/НКи2-6) синий, в упак. 10 шт. REXANT</t>
  </si>
  <si>
    <t>08-0016</t>
  </si>
  <si>
    <t>Наконечник кольцевой изолированный ø 8.4 мм 0.5-1.5 мм² (НКи 1.5-8/НКи 1,25-8) красный REXANT</t>
  </si>
  <si>
    <t>06-0416-A</t>
  </si>
  <si>
    <t>Наконечник кольцевой изолированный ø 8.4 мм 0.5-1.5мм² (НКи 1.5-8/НКи 1,25-8) красный, в упак. 10 шт. REXANT</t>
  </si>
  <si>
    <t>08-0036</t>
  </si>
  <si>
    <t>Наконечник кольцевой изолированный ø 8.4 мм 1.5-2.5 мм² (НКи 2.5-8/НКи2-8) синий REXANT</t>
  </si>
  <si>
    <t>06-0421-A</t>
  </si>
  <si>
    <t>Наконечник кольцевой изолированный ø 8.4 мм 1.5-2.5мм² (НКи 2.5-8/НКи2-8) синий, в упак. 10 шт. REXANT</t>
  </si>
  <si>
    <t>08-0054</t>
  </si>
  <si>
    <t>Наконечник кольцевой изолированный ø 8.4 мм 4-6 мм² (НКи 6.0-8/НКи5,5-8) желтый REXANT</t>
  </si>
  <si>
    <t>08-0039</t>
  </si>
  <si>
    <t>Наконечник кольцевой изолированный термоусаживаемый ø 6.5 мм 1.5-2.5 мм² (НКи-т 2.5-6/НКи-т2-6) синий REXANT</t>
  </si>
  <si>
    <t>08-0058</t>
  </si>
  <si>
    <t>Наконечник кольцевой изолированный термоусаживаемый ø 6.5 мм 4-6 мм² (НКи-т 6.0-6/НКи-т5,5-6) желтый REXANT</t>
  </si>
  <si>
    <t>08-2808</t>
  </si>
  <si>
    <t>Наконечник штыревой втулочный изолированный F-10 мм 2х2.5 мм² (НШВи(2) 2.5-10/НГи2 2,5-10) серый REXANT</t>
  </si>
  <si>
    <t>08-0831</t>
  </si>
  <si>
    <t>Наконечник штыревой втулочный изолированный F-12 мм 10 мм² (НШВи 10-12) красный REXANT</t>
  </si>
  <si>
    <t>06-0410-A</t>
  </si>
  <si>
    <t>Наконечник штыревой втулочный изолированный F-12 мм 10 мм² (НШВи 10-12) красный, в упак. 10 шт. REXANT</t>
  </si>
  <si>
    <t>08-0832</t>
  </si>
  <si>
    <t>Наконечник штыревой втулочный изолированный F-12 мм 16 мм² (НШВи 16-12) слоновая кость REXANT</t>
  </si>
  <si>
    <t>08-0816</t>
  </si>
  <si>
    <t>Наконечник штыревой втулочный изолированный F-12 мм 2.5 мм² (НШВи 2.5-12) синий REXANT</t>
  </si>
  <si>
    <t>08-2810</t>
  </si>
  <si>
    <t>Наконечник штыревой втулочный изолированный F-12 мм 2х4 мм² (НШВи(2) 4.0-12/НГи2 4,0-12) оранжевый REXANT</t>
  </si>
  <si>
    <t>06-0411-A</t>
  </si>
  <si>
    <t>Наконечник штыревой втулочный изолированный F-12 мм 2х4мм² (НШВи(2) 4.0-12/НГи2 4,0-12) оранжевый REXANT</t>
  </si>
  <si>
    <t>06-0409-A</t>
  </si>
  <si>
    <t>Наконечник штыревой втулочный изолированный F-12 мм 6 мм² (НШВи 6.0-12 / Е 6,0-12 / E6012) зеленый, в упак. 10 шт. REXANT</t>
  </si>
  <si>
    <t>08-0823</t>
  </si>
  <si>
    <t>Наконечник штыревой втулочный изолированный F-12 мм 6 мм² (НШВи 6.0-12 / Е 6,0-12/E6012) зеленый REXANT</t>
  </si>
  <si>
    <t>06-0413-A</t>
  </si>
  <si>
    <t>Наконечник штыревой втулочный изолированный F-14 мм 2х10 мм² (НШВи(2) 10-14/ Ги2 10-14) красный REXANT</t>
  </si>
  <si>
    <t>08-2812</t>
  </si>
  <si>
    <t>Наконечник штыревой втулочный изолированный F-14 мм 2х10 мм² (НШВи(2) 10-14/НГи2 10-14) красный REXANT</t>
  </si>
  <si>
    <t>08-2813</t>
  </si>
  <si>
    <t>Наконечник штыревой втулочный изолированный F-14 мм 2х16 мм² (НШВи(2) 16-14/НГи2 16-14) слоновая кость REXANT</t>
  </si>
  <si>
    <t>08-2811</t>
  </si>
  <si>
    <t>Наконечник штыревой втулочный изолированный F-14 мм 2х6 мм² (НШВи(2) 6.0-14/НГи2 6,0-14) зеленый REXANT</t>
  </si>
  <si>
    <t>06-0412-A</t>
  </si>
  <si>
    <t>Наконечник штыревой втулочный изолированный F-14 мм 2х6 мм² (НШВи(2) 6.0-14/НГи2 6,0-14) зеленый упак.10 шт REXANT</t>
  </si>
  <si>
    <t>08-0833</t>
  </si>
  <si>
    <t>Наконечник штыревой втулочный изолированный F-16 мм 25 мм² (НШВи 25-16) черный  REXANT</t>
  </si>
  <si>
    <t>08-0834</t>
  </si>
  <si>
    <t>Наконечник штыревой втулочный изолированный F-16 мм 35 мм² (НШВи 35-16)  красный REXANT</t>
  </si>
  <si>
    <t>08-1809</t>
  </si>
  <si>
    <t>Наконечник штыревой втулочный изолированный F-18 мм 0.75 мм² (НШВи 0.75-18) синий REXANT</t>
  </si>
  <si>
    <t>08-1816</t>
  </si>
  <si>
    <t>Наконечник штыревой втулочный изолированный F-18 мм 1.5 мм² (НШВи 1.5-18) черный REXANT</t>
  </si>
  <si>
    <t>08-1826</t>
  </si>
  <si>
    <t>Наконечник штыревой втулочный изолированный F-18 мм 10 мм² (НШВи 10-18) слоновая кость REXANT</t>
  </si>
  <si>
    <t>08-1828</t>
  </si>
  <si>
    <t>Наконечник штыревой втулочный изолированный F-18 мм 16 мм² (НШВи 16-18) слоновая кость REXANT</t>
  </si>
  <si>
    <t>09.01.2027</t>
  </si>
  <si>
    <t>08-0818</t>
  </si>
  <si>
    <t>Наконечник штыревой втулочный изолированный F-18 мм 2.5 мм² (НШВи 2.5-18) синий REXANT</t>
  </si>
  <si>
    <t>08-0822</t>
  </si>
  <si>
    <t>Наконечник штыревой втулочный изолированный F-18 мм 4 мм² (НШВи 4.0-18) серый REXANT</t>
  </si>
  <si>
    <t>08-1824</t>
  </si>
  <si>
    <t>Наконечник штыревой втулочный изолированный F-18 мм 6 мм² (НШВи 6.0-18) зеленый REXANT</t>
  </si>
  <si>
    <t>08-0836</t>
  </si>
  <si>
    <t>Наконечник штыревой втулочный изолированный F-20 мм 50 мм² (НШВи 50-20) оливковый REXANT</t>
  </si>
  <si>
    <t>08-0811</t>
  </si>
  <si>
    <t>Наконечник штыревой втулочный изолированный F-8 мм 0.5 мм² (НШВи 0.5-8) белый REXANT</t>
  </si>
  <si>
    <t>06-0404-A</t>
  </si>
  <si>
    <t>Наконечник штыревой втулочный изолированный F-8 мм 0.75 мм² (НШВи 0.75-8 / E7508) синий, в упак. 10 шт. REXANT</t>
  </si>
  <si>
    <t>08-0812</t>
  </si>
  <si>
    <t>Наконечник штыревой втулочный изолированный F-8 мм 0.75 мм² (НШВи 0.75-8) синий REXANT</t>
  </si>
  <si>
    <t>08-0813</t>
  </si>
  <si>
    <t>Наконечник штыревой втулочный изолированный F-8 мм 1 мм² (НШВи 1.0-8) желтый REXANT</t>
  </si>
  <si>
    <t>06-0406-A</t>
  </si>
  <si>
    <t>Наконечник штыревой втулочный изолированный F-8 мм 1.5 мм² (НШВи 1.5-8 / Е 1,5-8 / E1508) черный, в упак. 10 шт. REXANT</t>
  </si>
  <si>
    <t>08-0814</t>
  </si>
  <si>
    <t>Наконечник штыревой втулочный изолированный F-8 мм 1.5 мм² (НШВи 1.5-8) черный REXANT</t>
  </si>
  <si>
    <t>06-0407-A</t>
  </si>
  <si>
    <t>Наконечник штыревой втулочный изолированный F-8 мм 2.5 мм² (НШВи 2.5-8 / Е 2,5-8 / E2508) синий, в упак. 10 шт. REXANT</t>
  </si>
  <si>
    <t>08-0815</t>
  </si>
  <si>
    <t>Наконечник штыревой втулочный изолированный F-8 мм 2.5 мм² (НШВи 2.5-8) синий REXANT</t>
  </si>
  <si>
    <t>08-2801</t>
  </si>
  <si>
    <t>Наконечник штыревой втулочный изолированный F-8 мм 2х0.5 мм² (НШВи(2) 0.5-8/НГи2 0,5-8) белый REXANT</t>
  </si>
  <si>
    <t>08-2802</t>
  </si>
  <si>
    <t>Наконечник штыревой втулочный изолированный F-8 мм 2х0.75 мм² (НШВи(2) 0.75-8/НГи2 0,75-8) синий REXANT</t>
  </si>
  <si>
    <t>08-2803</t>
  </si>
  <si>
    <t>Наконечник штыревой втулочный изолированный F-8 мм 2х1 мм² (НШВи(2) 1.0-8/НГи2 1,0-8) красный REXANT</t>
  </si>
  <si>
    <t>08-2806</t>
  </si>
  <si>
    <t>Наконечник штыревой втулочный изолированный F-8 мм 2х1.5 мм² (НШВи(2) 1.5-8/НГи2 1,5-8) черный REXANT</t>
  </si>
  <si>
    <t>08-0821</t>
  </si>
  <si>
    <t>Наконечник штыревой втулочный изолированный F-9 мм 4 мм² (НШВи 4.0-9) серый REXANT</t>
  </si>
  <si>
    <t>1. 8. 1. 4 Наконечники неизолированные</t>
  </si>
  <si>
    <t>08-0171</t>
  </si>
  <si>
    <t>Наконечник вилочный REXANT 4.5 мм, 1-1.5 мм² (НВ 1.5-4)</t>
  </si>
  <si>
    <t>08-0172</t>
  </si>
  <si>
    <t>Наконечник вилочный REXANT 5.5 мм, 1-1.5 мм² (НВ 1.5-5)</t>
  </si>
  <si>
    <t>08-0173</t>
  </si>
  <si>
    <t>Наконечник вилочный REXANT 6.5 мм, 1-1.5 мм² (НВ 1.5-6)</t>
  </si>
  <si>
    <t>06-0423-A</t>
  </si>
  <si>
    <t>Наконечник кольцевой REXANT ø 5.2 мм, 0.5-0.8мм², НК 5-0,5-0,8, в упаковке 10 шт.</t>
  </si>
  <si>
    <t>06-0424-A</t>
  </si>
  <si>
    <t>Наконечник кольцевой REXANT ø6.2 мм, 0.5-0.8мм², НК 6-0,5-0,8, в упак. 10 шт.</t>
  </si>
  <si>
    <t>08-0072</t>
  </si>
  <si>
    <t>Наконечник кольцевой REXANT, ø3.5 мм, 0.5-0.8 мм² (НК 3-0,5-0,8)</t>
  </si>
  <si>
    <t>08-0076</t>
  </si>
  <si>
    <t>Наконечник кольцевой REXANT, ø4.3 мм, 0.5-0.8 мм² (НК 4-0,5-0,8)</t>
  </si>
  <si>
    <t>08-0073</t>
  </si>
  <si>
    <t>Наконечник кольцевой REXANT, ø5.2 мм, 0.5-0.8 мм² (НК 5-0,5-0,8)</t>
  </si>
  <si>
    <t>08-0074</t>
  </si>
  <si>
    <t>Наконечник кольцевой REXANT, ø6.2 мм, 0.5-0.8 мм² (НК 6-0,5-0,8)</t>
  </si>
  <si>
    <t>08-0075</t>
  </si>
  <si>
    <t>Наконечник кольцевой REXANT, ø8.2 мм, 1.0-1.5 мм² (НК 8-1,0-1,5)</t>
  </si>
  <si>
    <t>08-1718</t>
  </si>
  <si>
    <t>Наконечник штифтовой плоский кабельный (НШП) 10–12 REXANT</t>
  </si>
  <si>
    <t>08-1725</t>
  </si>
  <si>
    <t>Наконечник штифтовой плоский кабельный (НШП) 16–13 REXANT</t>
  </si>
  <si>
    <t>08-1708</t>
  </si>
  <si>
    <t>Наконечник штифтовой плоский кабельный (НШП) 2.5–12 REXANT</t>
  </si>
  <si>
    <t>08-1730</t>
  </si>
  <si>
    <t>Наконечник штифтовой плоский кабельный (НШП) 25–15 REXANT</t>
  </si>
  <si>
    <t>08-1735</t>
  </si>
  <si>
    <t>Наконечник штифтовой плоский кабельный (НШП) 35–20 REXANT</t>
  </si>
  <si>
    <t>08-1740</t>
  </si>
  <si>
    <t>Наконечник штифтовой плоский кабельный (НШП) 50–20 REXANT</t>
  </si>
  <si>
    <t>08-1713</t>
  </si>
  <si>
    <t>Наконечник штифтовой плоский кабельный (НШП) 6.0–12 REXANT</t>
  </si>
  <si>
    <t>08-1745</t>
  </si>
  <si>
    <t>Наконечник штифтовой плоский кабельный (НШП) 70–25 REXANT</t>
  </si>
  <si>
    <t>08-1750</t>
  </si>
  <si>
    <t>Наконечник штифтовой плоский кабельный (НШП) 95–25 REXANT</t>
  </si>
  <si>
    <t>08-0802</t>
  </si>
  <si>
    <t>Наконечник штыревой втулочный L-6 мм 0.75 мм² (НШВ 0.75-6/НГ 0.75-6) REXANT</t>
  </si>
  <si>
    <t>1. 8. 1. 5 Гильзы изолированные</t>
  </si>
  <si>
    <t>08-0711</t>
  </si>
  <si>
    <t>Соединительная гильза изолированная L-26 мм 0.5-1.5 мм² (ГСИ 1.5/ГСИ 0,5-1,5) красная REXANT</t>
  </si>
  <si>
    <t>06-0428-A</t>
  </si>
  <si>
    <t>Соединительная гильза изолированная L-26 мм 0.5-1.5 мм² (ГСИ 1.5/ГСИ 0,5-1,5) красная, в упак. 5 шт. REXANT</t>
  </si>
  <si>
    <t>08-0721</t>
  </si>
  <si>
    <t>Соединительная гильза изолированная L-26 мм 1.5-2.5 мм² (ГСИ 2.5/ГСИ 1,5-2,5) синяя REXANT</t>
  </si>
  <si>
    <t>06-0431-A</t>
  </si>
  <si>
    <t>Соединительная гильза изолированная L-26 мм 1.5-2.5 мм² (ГСИ 2.5/ГСИ 1,5-2,5) синяя, в упак. 10 шт. REXANT</t>
  </si>
  <si>
    <t>08-0725</t>
  </si>
  <si>
    <t>Соединительная гильза изолированная L-26 мм 2.5-4 мм² (ГСИ 4.0/ГСИ 2,5-4,0) черная REXANT</t>
  </si>
  <si>
    <t>08-0731</t>
  </si>
  <si>
    <t>Соединительная гильза изолированная L-26 мм 4-6 мм² (ГСИ 6.0/ГСИ 4,0-6,0) желтая REXANT</t>
  </si>
  <si>
    <t>08-0717</t>
  </si>
  <si>
    <t>Соединительная гильза изолированная L-27.3 мм нейлон 0.5-1.5 мм² (ГСИ(н) 1.5/ГСИ-н 0,5-1,5) красная REXANT</t>
  </si>
  <si>
    <t>08-0723</t>
  </si>
  <si>
    <t>Соединительная гильза изолированная L-27.3 мм нейлон 1.5-2.5 мм² (ГСИ(н) 2.5/ГСИ-н 1,5-2,5) синяя REXANT</t>
  </si>
  <si>
    <t>08-0732</t>
  </si>
  <si>
    <t>Соединительная гильза изолированная L-27.3 мм нейлон 4-6 мм² (ГСИ(н) 6.0/ГСИ-н 4,0-6,0) желтая REXANT</t>
  </si>
  <si>
    <t>08-0735</t>
  </si>
  <si>
    <t>Соединительная гильза изолированная L-32 мм 6-10 мм² (ГСИ 10/ГСИ 6,0-10,0) красная REXANT</t>
  </si>
  <si>
    <t>08-0718</t>
  </si>
  <si>
    <t>Соединительная гильза изолированная термоусаживаемая L-37 мм 0.5-1 мм² (ГСИ-т 1.0/ГСИ-т 0,5-1,0) красная REXANT</t>
  </si>
  <si>
    <t>06-0430-A</t>
  </si>
  <si>
    <t>Соединительная гильза изолированная термоусаживаемая L-37 мм 0.5-1 мм² (ГСИ-т 1.0/ГСИ-т 0,5-1,0) красная, в упак. 10 шт. REXANT</t>
  </si>
  <si>
    <t>08-0724</t>
  </si>
  <si>
    <t>Соединительная гильза изолированная термоусаживаемая L-37 мм 1.5-2.5 мм² (ГСИ-т 2.5/ГСИ-т 1,5-2,5) синяя REXANT</t>
  </si>
  <si>
    <t>08-0733</t>
  </si>
  <si>
    <t>Соединительная гильза изолированная термоусаживаемая L-52 мм 4-6 мм² (ГСИ-т 6.0 / ГСИ-т 6,0-4,0) желтая REXANT</t>
  </si>
  <si>
    <t>1. 8. 1. 6 Термоусаживаемые гильзы под пайку</t>
  </si>
  <si>
    <t>08-0751</t>
  </si>
  <si>
    <t>Гильза кабельная изолированная ПК-т 0.34 термоусаживаемая под пайку L-26 мм 0.25-0.34 мм² белая REXANT</t>
  </si>
  <si>
    <t>08-0752</t>
  </si>
  <si>
    <t>Гильза кабельная изолированная ПК-т 1.5 термоусаживаемая под пайку L-40 мм 0.5-1.5 мм² красная REXANT</t>
  </si>
  <si>
    <t>08-0753</t>
  </si>
  <si>
    <t>Гильза кабельная изолированная ПК-т 2.5 термоусаживаемая под пайку L-40 мм 1.5-2.5 мм² синяя REXANT</t>
  </si>
  <si>
    <t>08-0754</t>
  </si>
  <si>
    <t>Гильза кабельная изолированная ПК-т 6.0 термоусаживаемая под пайку L-40 мм 4.0-6.0 мм² желтая REXANT</t>
  </si>
  <si>
    <t>1. 8. 2 Строительно-монтажные клеммы СМК</t>
  </si>
  <si>
    <t>1. 8. 2. 1 Рычажковые клеммы СМК</t>
  </si>
  <si>
    <t>07-5240-05</t>
  </si>
  <si>
    <t>Клемма СМК 222-421 проходная 1 полюс (0,08-4 мм²), серая (5 шт./уп.) REXANT</t>
  </si>
  <si>
    <t>07-5240</t>
  </si>
  <si>
    <t>Клемма СМК 222-421 проходная 1 полюс (0,08-4 мм²), серая (50 шт./уп.) REXANT</t>
  </si>
  <si>
    <t>07-6261-05</t>
  </si>
  <si>
    <t>Клемма СМК 222-421P проходная 1 полюс, с монтажной площадкой (0,08-4 мм²), серая (5 шт./уп.) REXANT</t>
  </si>
  <si>
    <t>07-6261</t>
  </si>
  <si>
    <t>Клемма СМК 222-421P проходная 1 полюс, с монтажной площадкой (0,08-4 мм²), серая (50 шт./уп.) REXANT</t>
  </si>
  <si>
    <t>07-5261</t>
  </si>
  <si>
    <t>Клемма СМК 222-421R проходная разъемная 1 полюс серая 0,2-2,5/4мм² (50 шт/уп) REXANT</t>
  </si>
  <si>
    <t>07-5261-5</t>
  </si>
  <si>
    <t>Клемма СМК 222-421R проходная разъемная 1 полюс серая 0,2-2,5/4мм² (блистер 5 шт/уп) REXANT</t>
  </si>
  <si>
    <t>07-6263-2</t>
  </si>
  <si>
    <t>Клемма СМК 222-422 проходная 2 полюса (0,08-4 мм²), серая (25 шт./уп.) REXANT</t>
  </si>
  <si>
    <t>07-6263-2-05</t>
  </si>
  <si>
    <t>Клемма СМК 222-422 проходная 2 полюса (0,08-4 мм²), серая (5 шт./уп.) REXANT</t>
  </si>
  <si>
    <t>07-6262</t>
  </si>
  <si>
    <t>Клемма СМК 222-422P проходная 2 полюса, с монтажной площадкой (0,08-4 мм²), серая (50 шт./уп.) REXANT</t>
  </si>
  <si>
    <t>07-6262-5</t>
  </si>
  <si>
    <t>Клемма СМК 222-422P проходная 2 полюса, с монтажной площадкой (0,08-4 мм²), серая (блистер 5 шт./уп.) REXANT</t>
  </si>
  <si>
    <t>07-5262</t>
  </si>
  <si>
    <t>Клемма СМК 222-422R проходная разъемная 2 полюса серая 0,2-2,5/4мм² (50 шт/уп) REXANT</t>
  </si>
  <si>
    <t>07-5262-5</t>
  </si>
  <si>
    <t>Клемма СМК 222-422R проходная разъемная 2 полюса серая 0,2-2,5/4мм² (блистер 5 шт/уп) REXANT</t>
  </si>
  <si>
    <t>07-6263-3</t>
  </si>
  <si>
    <t>Клемма СМК 222-423 проходная 3 полюса (0,08-4 мм²), серая (25 шт./уп.) REXANT</t>
  </si>
  <si>
    <t>07-6263-3-05</t>
  </si>
  <si>
    <t>Клемма СМК 222-423 проходная 3 полюса (0,08-4 мм²), серая (5 шт./уп.) REXANT</t>
  </si>
  <si>
    <t>07-6263</t>
  </si>
  <si>
    <t>Клемма СМК 222-423P проходная 3 полюса, с монтажной площадкой (0,08-4 мм²), серая (25 шт./уп.) REXANT</t>
  </si>
  <si>
    <t>07-6263-5</t>
  </si>
  <si>
    <t>Клемма СМК 222-423P проходная 3 полюса, с монтажной площадкой (0,08-4 мм²), серая (блистер 5 шт./уп.) REXANT</t>
  </si>
  <si>
    <t>07-5263</t>
  </si>
  <si>
    <t>Клемма СМК 222-423R проходная разъемная 3 полюса серая 0,2-2,5/4мм² (40 шт/уп) REXANT</t>
  </si>
  <si>
    <t>07-5263-5</t>
  </si>
  <si>
    <t>Клемма СМК 222-423R проходная разъемная 3 полюса серая 0,2-2,5/4мм² (блистер 5 шт/уп) REXANT</t>
  </si>
  <si>
    <t>07-5246</t>
  </si>
  <si>
    <t>Клемма СМК 222-424 проходная 4 полюса (0,08-4мм²), серая (25 шт/уп) REXANT</t>
  </si>
  <si>
    <t>07-6264</t>
  </si>
  <si>
    <t>Клемма СМК 222-424P проходная 4 полюса, с монтажной площадкой (0,08-4 мм²), серая (25 шт./уп.) REXANT</t>
  </si>
  <si>
    <t>07-6264-5</t>
  </si>
  <si>
    <t>Клемма СМК 222-424P проходная 4 полюса, с монтажной площадкой (0,08-4 мм²), серая (блистер 5 шт./уп.) REXANT</t>
  </si>
  <si>
    <t>07-5264</t>
  </si>
  <si>
    <t>Клемма СМК 222-424R проходная разъемная 4 полюса серая 0,2-2,5/4мм² (20 шт/уп) REXANT</t>
  </si>
  <si>
    <t>07-5245</t>
  </si>
  <si>
    <t>Клемма СМК 222-425 проходная 5 полюсов (0,08-4мм²), серая (30 шт/уп) REXANT</t>
  </si>
  <si>
    <t>07-6265</t>
  </si>
  <si>
    <t>Клемма СМК 222-425P проходная 5 полюсов, с монтажной площадкой (0,08-4 мм²), серая (20 шт./уп.) REXANT</t>
  </si>
  <si>
    <t>07-6265-4</t>
  </si>
  <si>
    <t>Клемма СМК 222-425P проходная 5 полюсов, с монтажной площадкой (0,08-4 мм²), серая (блистер 4 шт./уп.) REXANT</t>
  </si>
  <si>
    <t>07-5265</t>
  </si>
  <si>
    <t>Клемма СМК 222-425R проходная разъемная 5 полюсов серая 0,2-2,5/4мм² (20 шт/уп) REXANT</t>
  </si>
  <si>
    <t>07-5235</t>
  </si>
  <si>
    <t>Клемма СМК 2х2 проходная разветвительная 2 полюса, с монтажной площадкой (1 ввод, 2 вывода на полюс) (50 шт./уп.) REXANT</t>
  </si>
  <si>
    <t>07-5235-05</t>
  </si>
  <si>
    <t>Клемма СМК 2х2 проходная разветвительная 2 полюса, с монтажной площадкой (1 ввод, 2 вывода на полюс), (5 шт./уп.) REXANT</t>
  </si>
  <si>
    <t>07-5234</t>
  </si>
  <si>
    <t>Клемма СМК 2х3 проходная разветвительная 2 полюса, с монтажной площадкой (1 ввод, 3 вывода на полюс) REXANT</t>
  </si>
  <si>
    <t>07-5234-05</t>
  </si>
  <si>
    <t>Клемма СМК 2х3 проходная разветвительная 2 полюса, с монтажной площадкой (1 ввод, 3 вывода на полюс), (5 шт./уп.) REXANT</t>
  </si>
  <si>
    <t>07-5231</t>
  </si>
  <si>
    <t>Клемма СМК 2х4 проходная разветвительная 2 полюса, с монтажной площадкой (1 ввод, 4 вывода на полюс) (25 шт/уп) REXANT</t>
  </si>
  <si>
    <t>07-5233</t>
  </si>
  <si>
    <t>Клемма СМК 3х2 проходная разветвительная 3 полюса, с монтажной площадкой (1 ввод, 2 вывода на полюс) (50 шт./уп.) REXANT</t>
  </si>
  <si>
    <t>07-5233-05</t>
  </si>
  <si>
    <t>Клемма СМК 3х2 проходная разветвительная 3 полюса, с монтажной площадкой (1 ввод, 2 вывода на полюс), (5 шт./уп.) REXANT</t>
  </si>
  <si>
    <t>07-5232</t>
  </si>
  <si>
    <t>Клемма СМК 3х3 проходная разветвительная 3 полюса, с монтажной площадкой (1 ввод, 3 вывода на полюс) (50 шт./уп.) REXANT</t>
  </si>
  <si>
    <t>07-5232-04</t>
  </si>
  <si>
    <t>Клемма СМК 3х3 проходная разветвительная 3 полюса, с монтажной площадкой (1 ввод, 3 вывода на полюс), (4 шт/уп) REXANT</t>
  </si>
  <si>
    <t>07-5248</t>
  </si>
  <si>
    <t>Клемма СМК 3х4 проходная разветвительная 3 полюса, с монтажной площадкой (1 ввод, 4 вывода на полюс) (10 шт/уп) REXANT</t>
  </si>
  <si>
    <t>07-5248-4</t>
  </si>
  <si>
    <t>Клемма СМК 3х4 проходная разветвительная 3 полюса, с монтажной площадкой (1 ввод, 4 вывода на полюс) (блистер 4 шт/уп) REXANT</t>
  </si>
  <si>
    <t>07-5247</t>
  </si>
  <si>
    <t>Клемма СМК 4х2 проходная разветвительная 4 полюса, с монтажной площадкой (1 ввод, 2 вывода на полюс) (20 шт/уп) REXANT</t>
  </si>
  <si>
    <t>07-5247-4</t>
  </si>
  <si>
    <t>Клемма СМК 4х2 проходная разветвительная 4 полюса, с монтажной площадкой (1 ввод, 2 вывода на полюс) (блистер 4 шт/уп) REXANT</t>
  </si>
  <si>
    <t>07-5000-1</t>
  </si>
  <si>
    <t>Коробка влагозащитная гелевая для клемм СМК 2-проводных REXANT</t>
  </si>
  <si>
    <t>07-5000-2</t>
  </si>
  <si>
    <t>Коробка влагозащитная гелевая для клемм СМК 3-проводных REXANT</t>
  </si>
  <si>
    <t>07-5000-3</t>
  </si>
  <si>
    <t>Коробка влагозащитная гелевая для клемм СМК 5-проводных REXANT</t>
  </si>
  <si>
    <t>07-5252-1</t>
  </si>
  <si>
    <t>Универсальная клемма СМК 222-412, 2-проводная прозрачная 0,08-2,5/4 мм² (50 шт./уп.) REXANT</t>
  </si>
  <si>
    <t>06-0203-B10</t>
  </si>
  <si>
    <t>Универсальная клемма СМК 222-412, 2-проводная прозрачная 0,08-2,5/4 мм² (блистер 10 шт/уп) REXANT</t>
  </si>
  <si>
    <t>06-0203-A5</t>
  </si>
  <si>
    <t>Универсальная клемма СМК 222-412, 2-проводная прозрачная 0,08-2,5/4 мм² (блистер 5 шт./уп.) REXANT</t>
  </si>
  <si>
    <t>07-5252-4-20</t>
  </si>
  <si>
    <t>Универсальная клемма СМК 222-412, 2-проводная серая 0,08-2,5/4 мм² (20 шт./уп.) REXANT</t>
  </si>
  <si>
    <t>06-0200-B10</t>
  </si>
  <si>
    <t>Универсальная клемма СМК 222-412, 2-проводная серая 0,08-2,5/4 мм² (блистер 10 шт./уп.) REXANT</t>
  </si>
  <si>
    <t>06-0200-A5</t>
  </si>
  <si>
    <t>Универсальная клемма СМК 222-412, 2-проводная серая 0,08-2,5/4 мм² (блистер 5 шт./уп.) REXANT</t>
  </si>
  <si>
    <t>07-5252-4</t>
  </si>
  <si>
    <t>Универсальная клемма СМК 222-412, 2-проводная серая 0,08-2,5/4 мм² (50 шт/уп) REXANT</t>
  </si>
  <si>
    <t>07-5253-1</t>
  </si>
  <si>
    <t>Универсальная клемма СМК 222-413, 3-проводная прозрачная 0,08-2,5/4 мм² (50 шт./уп.) REXANT</t>
  </si>
  <si>
    <t>06-0204-B10</t>
  </si>
  <si>
    <t>Универсальная клемма СМК 222-413, 3-проводная прозрачная 0,08-2,5/4 мм² (блистер 10 шт/уп) REXANT</t>
  </si>
  <si>
    <t>06-0204-B5</t>
  </si>
  <si>
    <t>Универсальная клемма СМК 222-413, 3-проводная прозрачная 0,08-2,5/4 мм² (блистер 5 шт./уп.) REXANT</t>
  </si>
  <si>
    <t>07-5253-4-20</t>
  </si>
  <si>
    <t>Универсальная клемма СМК 222-413, 3-проводная серая 0,08-2,5/4 мм² (20 шт./уп.) REXANT</t>
  </si>
  <si>
    <t>07-5253-4</t>
  </si>
  <si>
    <t>Универсальная клемма СМК 222-413, 3-проводная серая 0,08-2,5/4 мм² (50 шт/уп) REXANT</t>
  </si>
  <si>
    <t>06-0201-B10</t>
  </si>
  <si>
    <t>Универсальная клемма СМК 222-413, 3-проводная серая 0,08-2,5/4 мм² (блистер 10 шт./уп.) REXANT</t>
  </si>
  <si>
    <t>06-0201-B5</t>
  </si>
  <si>
    <t>Универсальная клемма СМК 222-413, 3-проводная серая 0,08-2,5/4 мм² (блистер 5 шт./уп.) REXANT</t>
  </si>
  <si>
    <t>07-5254-4</t>
  </si>
  <si>
    <t>Универсальная клемма СМК 222-414, 4-проводная серая 0,08-2,5/4 мм² (50 шт/уп) REXANT</t>
  </si>
  <si>
    <t>07-5254-4-10</t>
  </si>
  <si>
    <t>Универсальная клемма СМК 222-414, 4-проводная серая 0,08-2,5/4 мм² (блистер 10 шт/уп) REXANT</t>
  </si>
  <si>
    <t>07-5254-4-05</t>
  </si>
  <si>
    <t>Универсальная клемма СМК 222-414, 4-проводная серая 0,08-2,5/4 мм² (блистер 5 шт/уп) REXANT</t>
  </si>
  <si>
    <t>07-5255-1</t>
  </si>
  <si>
    <t>Универсальная клемма СМК 222-415, 5-проводная прозрачная 0,08-2,5/4 мм² (40 шт./уп.) REXANT</t>
  </si>
  <si>
    <t>06-0205-C10</t>
  </si>
  <si>
    <t>Универсальная клемма СМК 222-415, 5-проводная прозрачная 0,08-2,5/4 мм² (блистер 10 шт/уп) REXANT</t>
  </si>
  <si>
    <t>06-0205-B5</t>
  </si>
  <si>
    <t>Универсальная клемма СМК 222-415, 5-проводная прозрачная 0,08-2,5/4 мм² (блистер 5 шт./уп.) REXANT</t>
  </si>
  <si>
    <t>07-5255-4</t>
  </si>
  <si>
    <t>Универсальная клемма СМК 222-415, 5-проводная серая 0,08-2,5/4 мм² (40 шт/уп) REXANT</t>
  </si>
  <si>
    <t>06-0202-C10</t>
  </si>
  <si>
    <t>Универсальная клемма СМК 222-415, 5-проводная серая 0,08-2,5/4 мм² (блистер 10 шт./уп.) REXANT</t>
  </si>
  <si>
    <t>06-0202-B5</t>
  </si>
  <si>
    <t>Универсальная клемма СМК 222-415, 5-проводная серая 0,08-2,5/4 мм² (блистер 5 шт./уп.) REXANT</t>
  </si>
  <si>
    <t>07-5258-4</t>
  </si>
  <si>
    <t>Универсальная клемма СМК 222-418, 8-проводная серая 0,08-2,5/4мм² (20 шт/уп) REXANT</t>
  </si>
  <si>
    <t>07-5270</t>
  </si>
  <si>
    <t>Универсальная клемма СМК 222-612/221-612, 2-проводная серая 0,5-4/6 мм² (50 шт/уп) REXANT</t>
  </si>
  <si>
    <t>07-5270-5</t>
  </si>
  <si>
    <t>Универсальная клемма СМК 222-612/221-612, 2-проводная серая 0,5-4/6 мм² (блистер 5 шт/уп) REXANT</t>
  </si>
  <si>
    <t>07-5271</t>
  </si>
  <si>
    <t>Универсальная клемма СМК 222-613/221-613, 3-проводная серая 0,5-4/6 мм² (25 шт/уп) REXANT</t>
  </si>
  <si>
    <t>07-5271-5</t>
  </si>
  <si>
    <t>Универсальная клемма СМК 222-613/221-613, 3-проводная серая 0,5-4/6 мм² (блистер 5 шт/уп) REXANT</t>
  </si>
  <si>
    <t>07-5273</t>
  </si>
  <si>
    <t>Универсальная клемма СМК 222-615/221-615, 5-проводная серая 0,5-4/6 мм² (15 шт/уп) REXANT</t>
  </si>
  <si>
    <t>07-5273-5</t>
  </si>
  <si>
    <t>Универсальная клемма СМК 222-615/221-615, 5-проводная серая 0,5-4/6 мм² (блистер 5 шт/уп) REXANT</t>
  </si>
  <si>
    <t>07-5202-20</t>
  </si>
  <si>
    <t>Универсальная компактная клемма СМК 221-412, 2-проводная до 4,0 мм² (20 шт./уп.) REXANT</t>
  </si>
  <si>
    <t>07-5202</t>
  </si>
  <si>
    <t>Универсальная компактная клемма СМК 221-412, 2-проводная до 4,0 мм² (50 шт/уп) REXANT</t>
  </si>
  <si>
    <t>06-0216-A10</t>
  </si>
  <si>
    <t>Универсальная компактная клемма СМК 221-412, 2-проводная до 4,0 мм² (блистер 10 шт./уп.) REXANT</t>
  </si>
  <si>
    <t>06-0216-A5</t>
  </si>
  <si>
    <t>Универсальная компактная клемма СМК 221-412, 2-проводная до 4,0 мм² (блистер 5 шт./уп.) REXANT</t>
  </si>
  <si>
    <t>07-5203-20</t>
  </si>
  <si>
    <t>Универсальная компактная клемма СМК 221-413, 3-проводная до 4,0 мм² (20 шт./уп.) REXANT</t>
  </si>
  <si>
    <t>07-5203</t>
  </si>
  <si>
    <t>Универсальная компактная клемма СМК 221-413, 3-проводная до 4,0 мм² (50 шт./уп.) REXANT</t>
  </si>
  <si>
    <t>06-0217-A10</t>
  </si>
  <si>
    <t>Универсальная компактная клемма СМК 221-413, 3-проводная до 4,0 мм² (блистер 10 шт./уп.) REXANT</t>
  </si>
  <si>
    <t>06-0217-A5</t>
  </si>
  <si>
    <t>Универсальная компактная клемма СМК 221-413, 3-проводная до 4,0 мм² (блистер 5 шт./уп.) REXANT</t>
  </si>
  <si>
    <t>06-0215-A5</t>
  </si>
  <si>
    <t>Универсальная компактная клемма СМК 221-415, 5-прoводная до 4,0 мм² (блистер 5 шт./уп.) REXANT</t>
  </si>
  <si>
    <t>07-5205</t>
  </si>
  <si>
    <t>Универсальная компактная клемма СМК 221-415, 5-проводная до 4,0 мм² (40 шт./уп.) REXANT</t>
  </si>
  <si>
    <t>1. 8. 2. 2 Экспресс клеммы СМК</t>
  </si>
  <si>
    <t>07-3211</t>
  </si>
  <si>
    <t>Экспресс-клемма REXANT СМК 2273-202, 2-проводная 0.5-2.5 мм², прозрачная (100 шт./уп.)</t>
  </si>
  <si>
    <t>07-3212</t>
  </si>
  <si>
    <t>Экспресс-клемма REXANT СМК 2273-203, 3-проводная 0.5-2.5 мм², прозрачная (100 шт./уп.)</t>
  </si>
  <si>
    <t>07-3213</t>
  </si>
  <si>
    <t>Экспресс-клемма REXANT СМК 2273-204, 4-проводная 0.5-2.5 мм², прозрачная (100 шт./уп.)</t>
  </si>
  <si>
    <t>07-3214</t>
  </si>
  <si>
    <t>Экспресс-клемма REXANT СМК 2273-205, 5-проводная 0.5-2.5 мм², прозрачная (100 шт./уп.)</t>
  </si>
  <si>
    <t>07-3214-5</t>
  </si>
  <si>
    <t>Экспресс-клемма REXANT СМК 2273-205, 5-проводная 0.5-2.5 мм², прозрачная, блистер (5 шт./уп.)</t>
  </si>
  <si>
    <t>07-3209</t>
  </si>
  <si>
    <t>Экспресс-клемма REXANT СМК 2273-206, 6-проводная 0.5-2.5 мм², прозрачная (100 шт./уп.)</t>
  </si>
  <si>
    <t>07-3216</t>
  </si>
  <si>
    <t>Экспресс-клемма с пастой REXANT СМК 2273-242, 2-проводная 0.5-2.5 мм², прозрачная (100 шт./уп.)</t>
  </si>
  <si>
    <t>07-3216-5</t>
  </si>
  <si>
    <t>Экспресс-клемма с пастой REXANT СМК 2273-242, 2-проводная 0.5-2.5 мм², прозрачная, блистер (5 шт./уп.)</t>
  </si>
  <si>
    <t>07-3217</t>
  </si>
  <si>
    <t>Экспресс-клемма с пастой REXANT СМК 2273-243, 3-проводная 0.5-2.5 мм², прозрачная (100 шт./уп.)</t>
  </si>
  <si>
    <t>07-3217-5</t>
  </si>
  <si>
    <t>Экспресс-клемма с пастой REXANT СМК 2273-243, 3-проводная 0.5-2.5 мм², прозрачная, блистер (5 шт./уп.)</t>
  </si>
  <si>
    <t>07-3218</t>
  </si>
  <si>
    <t>Экспресс-клемма с пастой REXANT СМК 2273-244, 4-проводная 0.5-2.5 мм², прозрачная (100 шт./уп.)</t>
  </si>
  <si>
    <t>07-3219</t>
  </si>
  <si>
    <t>Экспресс-клемма с пастой REXANT СМК 2273-245, 5-проводная 0.5-2.5 мм², прозрачная (100 шт./уп.)</t>
  </si>
  <si>
    <t>07-3210</t>
  </si>
  <si>
    <t>Экспресс-клемма с пастой REXANT СМК 2273-246, 6-проводная 0.5-2.5 мм², прозрачная (100 шт./уп.)</t>
  </si>
  <si>
    <t>07-5230</t>
  </si>
  <si>
    <t>Экспресс-клемма с пастой REXANT СМК 2273-248, 8-проводная 0.5-2.5 мм², прозрачная (50 шт./уп.)</t>
  </si>
  <si>
    <t>07-5230-6</t>
  </si>
  <si>
    <t>Экспресс-клемма с пастой REXANT СМК 2273-248, 8-проводная 0.5-2.5 мм², прозрачная, блистер (6 шт./уп.)</t>
  </si>
  <si>
    <t>07-3020</t>
  </si>
  <si>
    <t>Экспресс-клемма с пастой СМК 773-302, 2-проводная до 2,5 мм², серая (100 шт/уп) REXANT</t>
  </si>
  <si>
    <t>28.12.2026</t>
  </si>
  <si>
    <t>07-3040</t>
  </si>
  <si>
    <t>Экспресс-клемма с пастой СМК 773-304, 4-проводная до 2,5 мм², серая (100 шт/уп) REXANT</t>
  </si>
  <si>
    <t>06-0208-B5</t>
  </si>
  <si>
    <t>Экспресс-клемма с пастой СМК 773-306, 6-проводная до 2,5 мм² серая, (блистер 5шт.)  REXANT</t>
  </si>
  <si>
    <t>07-3060</t>
  </si>
  <si>
    <t>Экспресс-клемма с пастой СМК 773-306, 6-проводная до 2,5 мм², серая (50 шт/уп) REXANT</t>
  </si>
  <si>
    <t>06-0209-B10</t>
  </si>
  <si>
    <t>Экспресс-клемма с пастой СМК 773-308, 8-проводная до 2,5 мм² серая, (блистер 10шт) REXANT</t>
  </si>
  <si>
    <t>07-3080</t>
  </si>
  <si>
    <t>Экспресс-клемма с пастой СМК 773-308, 8-проводная до 2,5 мм², серая (50 шт/уп) REXANT</t>
  </si>
  <si>
    <t>07-5241</t>
  </si>
  <si>
    <t>Экспресс-клемма СМК 2273-202R проходная разъемная 2 полюса 0,5-2,5мм² (50 шт/уп) REXANT</t>
  </si>
  <si>
    <t>07-5242</t>
  </si>
  <si>
    <t>Экспресс-клемма СМК 2273-203R проходная разъемная 3 полюса 0,5-2,5мм² (50 шт/уп) REXANT</t>
  </si>
  <si>
    <t>07-5242-5</t>
  </si>
  <si>
    <t>Экспресс-клемма СМК 2273-203R проходная разъемная 3 полюса 0,5-2,5мм² (блистер 5 шт/уп) REXANT</t>
  </si>
  <si>
    <t>07-3215</t>
  </si>
  <si>
    <t>Экспресс-клемма СМК 2273-208, 8-проводная 0,5-2,5 мм², прозрачная (50 шт/уп) REXANT</t>
  </si>
  <si>
    <t>07-5243</t>
  </si>
  <si>
    <t>Экспресс-клемма СМК 2273-2x2R проходная разъемная 2 полюса 2х2-проводная 0,5-2,5мм² (50 шт/уп) REXANT</t>
  </si>
  <si>
    <t>07-5243-5</t>
  </si>
  <si>
    <t>Экспресс-клемма СМК 2273-2x2R проходная разъемная 2 полюса 2х2-проводная 0,5-2,5мм² (блистер 5 шт/уп) REXANT</t>
  </si>
  <si>
    <t>07-5244</t>
  </si>
  <si>
    <t>Экспресс-клемма СМК 2273-2x3R проходная разъемная 3 полюса 3х2-проводная 0,5-2,5мм² (50 шт/уп) REXANT</t>
  </si>
  <si>
    <t>07-5279</t>
  </si>
  <si>
    <t>Экспресс-клемма СМК 773-174 с пастой, 4-проводная 0,75-6 мм² (50 шт/уп) REXANT</t>
  </si>
  <si>
    <t>07-5274</t>
  </si>
  <si>
    <t>Экспресс-клемма СМК 773-602 с пастой, 2-проводная 0,75-4 мм² (50 шт/уп) REXANT</t>
  </si>
  <si>
    <t>07-5275</t>
  </si>
  <si>
    <t>Экспресс-клемма СМК 773-604 с пастой, 4-проводная 0,75-4 мм² (50 шт/уп) REXANT</t>
  </si>
  <si>
    <t>07-5276</t>
  </si>
  <si>
    <t>Экспресс-клемма СМК 773-606 с пастой, 6-проводная 0,75-4 мм² (50 шт/уп) REXANT</t>
  </si>
  <si>
    <t>1. 8. 2. 3 Клеммы СМК на DIN- рейку</t>
  </si>
  <si>
    <t>07-5289</t>
  </si>
  <si>
    <t>Клемма СМК 222-221D/222-2411 (аналог 222-4111D) проходная 1-полюсная на DIN-рейку (0,2-2,5 мм²) серая (60 шт./уп.) REXANT</t>
  </si>
  <si>
    <t>07-5292</t>
  </si>
  <si>
    <t>Клемма СМК 222-2521D проходная 1-полюсная на DIN-рейку (6-25 мм²) серая (30 шт/уп) REXANT</t>
  </si>
  <si>
    <t>07-5293</t>
  </si>
  <si>
    <t>Клемма СМК 222-421-PT-4 3 вывода рычаг-пружина на DIN-рейку (0,5-4 мм²) серая (40 шт/уп) REXANT</t>
  </si>
  <si>
    <t>07-6263-1</t>
  </si>
  <si>
    <t>Клемма СМК 222-421D проходная 1-полюсная, с креплением на DIN-рейку (0,08-4 мм²) серая (25 шт./уп.) REXANT</t>
  </si>
  <si>
    <t>07-6263-1-05</t>
  </si>
  <si>
    <t>Клемма СМК 222-421D проходная 1-полюсная, с креплением на DIN-рейку (0,08-4 мм²), серая (5 шт./уп.) REXANT</t>
  </si>
  <si>
    <t>07-5239</t>
  </si>
  <si>
    <t>Клемма СМК 222-422D проходная 2-полюсная, с креплением на DIN-рейку (0,08-4 мм²) серая (50 шт./уп.) REXANT</t>
  </si>
  <si>
    <t>07-5239-05</t>
  </si>
  <si>
    <t>Клемма СМК 222-422D проходная 2-полюсная, с креплением на DIN-рейку (0,08-4 мм²), серая (5 шт./уп.) REXANT</t>
  </si>
  <si>
    <t>07-5238</t>
  </si>
  <si>
    <t>Клемма СМК 222-423D проходная 3-полюсная, с креплением на DIN-рейку (0,08-4 мм²) серая (50 шт./уп.) REXANT</t>
  </si>
  <si>
    <t>07-5238-05</t>
  </si>
  <si>
    <t>Клемма СМК 222-423D проходная 3-полюсная, с креплением на DIN-рейку (0,08-4 мм²), серая (5 шт./уп.) REXANT</t>
  </si>
  <si>
    <t>07-5237</t>
  </si>
  <si>
    <t>Клемма СМК 222-424D проходная 4-полюсная, с креплением на DIN-рейку (0,08-4 мм²) серая (50 шт./уп.) REXANT</t>
  </si>
  <si>
    <t>07-5236</t>
  </si>
  <si>
    <t>Клемма СМК 222-425D проходная 5-полюсная, с креплением на DIN-рейку (0,08-4 мм²) серая (20 шт./уп.) REXANT</t>
  </si>
  <si>
    <t>07-5236-04</t>
  </si>
  <si>
    <t>Клемма СМК 222-425D проходная 5-полюсная, с креплением на DIN-рейку (0,08-4 мм²), серая (4 шт./уп.) REXANT</t>
  </si>
  <si>
    <t>07-5294</t>
  </si>
  <si>
    <t>Клемма СМК 222-621-PT-6 3 вывода рычаг-пружина на DIN-рейку (1-6 мм²) серая (50 шт/уп) REXANT</t>
  </si>
  <si>
    <t>07-5291</t>
  </si>
  <si>
    <t>Клемма СМК 222-621D проходная 1-полюсная на DIN-рейку (1-6 мм²) серая (60 шт/уп) REXANT</t>
  </si>
  <si>
    <t>07-5281</t>
  </si>
  <si>
    <t>Клемма СМК 2х3D проходная разветвительная 2 полюса на DIN-рейку (0,08-4 мм²) (1 ввод, 3 вывода на полюс) серая (25 шт/уп) REXANT</t>
  </si>
  <si>
    <t>07-5283</t>
  </si>
  <si>
    <t>Клемма СМК 3х2D проходная разветвительная 3 полюса на DIN-рейку (0,08-4 мм²) (1 ввод, 2 вывода на полюс) серая (20 шт/уп) REXANT</t>
  </si>
  <si>
    <t>07-5284</t>
  </si>
  <si>
    <t>Клемма СМК 3х3D проходная разветвительная 3 полюса на DIN-рейку (0,08-4 мм²) (1 ввод, 3 вывода на полюс) серая (15 шт/уп) REXANT</t>
  </si>
  <si>
    <t>07-5299</t>
  </si>
  <si>
    <t>Маркеры для клемм СМК 222-221D без символов 2,5-4 мм² REXANT</t>
  </si>
  <si>
    <t>07-5227</t>
  </si>
  <si>
    <t>Маркеры для клемм СМК без символов 6-10 мм² REXANT</t>
  </si>
  <si>
    <t>07-5250</t>
  </si>
  <si>
    <t>Перемычка для клемм СМК 222-421D 10PIN REXANT</t>
  </si>
  <si>
    <t>1. 8. 4 Наконечники и гильзы кабельные силовые</t>
  </si>
  <si>
    <t>1. 8. 4. 1 Наконечники кабельные медные луженые под опрессовку (ТМЛ/ТМЛ-Р/ТМЛо) РФ</t>
  </si>
  <si>
    <t>07-5307-5</t>
  </si>
  <si>
    <t>Наконечник медный луженый ТМЛ 10-5-5 (10мм² - Ø 5мм) ГОСТ 7386-80 (в упак. 100 шт.) REXANT</t>
  </si>
  <si>
    <t>07-5308-5</t>
  </si>
  <si>
    <t>Наконечник медный луженый ТМЛ 10-6-5 (10мм² - Ø6мм) ГОСТ 7386-80 (в упак. 100 шт.) REXANT</t>
  </si>
  <si>
    <t>07-5309-5</t>
  </si>
  <si>
    <t>Наконечник медный луженый ТМЛ 10-8-5 (10мм² - Ø8мм) ГОСТ 7386-80 (в упак. 100 шт.) REXANT</t>
  </si>
  <si>
    <t>20.11.2026</t>
  </si>
  <si>
    <t>07-5308</t>
  </si>
  <si>
    <t>Наконечник медный луженый ТМЛ 10–6–5 (10мм² - Ø6мм) ГОСТ 7386-80 (в упак. 5 шт.) REXANT</t>
  </si>
  <si>
    <t>07-5309</t>
  </si>
  <si>
    <t>Наконечник медный луженый ТМЛ 10–8–5 (10мм² - Ø8мм) ГОСТ 7386-80 (в упак. 5 шт.) REXANT</t>
  </si>
  <si>
    <t>07-5331</t>
  </si>
  <si>
    <t>Наконечник медный луженый ТМЛ 120–12–17 (120мм² - Ø12мм) ГОСТ 7386-80 (в упак. 2 шт.) REXANT</t>
  </si>
  <si>
    <t>07-5331-5</t>
  </si>
  <si>
    <t>Наконечник медный луженый ТМЛ 120–12–17 (120мм² - Ø12мм) ГОСТ 7386-80 (в упак. 20шт) REXANT</t>
  </si>
  <si>
    <t>120 - 60 дней</t>
  </si>
  <si>
    <t>07-5332-5</t>
  </si>
  <si>
    <t>Наконечник медный луженый ТМЛ 120–16–17 (120мм² - Ø16мм) ГОСТ 7386-80 (в упак. 25 шт) REXANT</t>
  </si>
  <si>
    <t>07-5310-5</t>
  </si>
  <si>
    <t>Наконечник медный луженый ТМЛ 16-6-6 (16мм² - Ø6мм) ГОСТ 7386-80 (в упак. 100 шт.) REXANT</t>
  </si>
  <si>
    <t>07-5311-5</t>
  </si>
  <si>
    <t>Наконечник медный луженый ТМЛ 16-8-6 (16мм² - Ø8мм) ГОСТ 7386-80 (в упак. 100 шт.) REXANT</t>
  </si>
  <si>
    <t>07-5310</t>
  </si>
  <si>
    <t>Наконечник медный луженый ТМЛ 16–6–6 (16мм² - Ø6мм) ГОСТ 7386-80 (в упак. 5 шт.) REXANT</t>
  </si>
  <si>
    <t>07-5311</t>
  </si>
  <si>
    <t>Наконечник медный луженый ТМЛ 16–8–6 (16мм² - Ø8мм) ГОСТ 7386-80 (в упак. 5 шт.) REXANT</t>
  </si>
  <si>
    <t>07-5300-3</t>
  </si>
  <si>
    <t>Наконечник медный луженый ТМЛ 2,5–4–2,6 (2,5мм² - Ø4мм) ГОСТ 7386-80 (в упак. 10 шт.) REXANT</t>
  </si>
  <si>
    <t>07-5300</t>
  </si>
  <si>
    <t>Наконечник медный луженый ТМЛ 2,5–4–2,6 (2,5мм² - Ø4мм) ГОСТ 7386-80 (в упак. 100 шт.) REXANT</t>
  </si>
  <si>
    <t>07-5301</t>
  </si>
  <si>
    <t>Наконечник медный луженый ТМЛ 2,5–5–2,6 (2,5мм² - Ø5мм) ГОСТ 7386-80 (в упак. 10 шт.) REXANT</t>
  </si>
  <si>
    <t>07-5301-5</t>
  </si>
  <si>
    <t>Наконечник медный луженый ТМЛ 2,5–5–2,6 (2,5мм² - Ø5мм) ГОСТ 7386-80 (в упак. 100 шт.) REXANT</t>
  </si>
  <si>
    <t>07-5302</t>
  </si>
  <si>
    <t>Наконечник медный луженый ТМЛ 2,5–6–2,6 (2,5мм² - Ø6мм) ГОСТ 7386-80 (в упак. 10 шт.) REXANT</t>
  </si>
  <si>
    <t>07-5302-5</t>
  </si>
  <si>
    <t>Наконечник медный луженый ТМЛ 2,5–6–2,6 (2,5мм² - Ø6мм) ГОСТ 7386-80 (в упак. 100 шт.) REXANT</t>
  </si>
  <si>
    <t>07-5315-5</t>
  </si>
  <si>
    <t>Наконечник медный луженый ТМЛ 25–10–8 (25мм² - Ø10мм) ГОСТ 7386-80 (в упак. 100шт) REXANT</t>
  </si>
  <si>
    <t>07-5315</t>
  </si>
  <si>
    <t>Наконечник медный луженый ТМЛ 25–10–8 (25мм² - Ø10мм) ГОСТ 7386-80 (в упак. 5 шт.) REXANT</t>
  </si>
  <si>
    <t>07-5312-5</t>
  </si>
  <si>
    <t>Наконечник медный луженый ТМЛ 25–6–8 (25мм² - Ø6мм) ГОСТ 7386-80 (в упак. 100 шт.) REXANT</t>
  </si>
  <si>
    <t>07-5313-3</t>
  </si>
  <si>
    <t>Наконечник медный луженый ТМЛ 25–8–7 (25мм² - Ø8мм) ГОСТ 7386-80 (в упак. 10 шт.) REXANT</t>
  </si>
  <si>
    <t>07-5313-5</t>
  </si>
  <si>
    <t>Наконечник медный луженый ТМЛ 25–8–7 (25мм² - Ø8мм) ГОСТ 7386-80 (в упак. 100 шт.) REXANT</t>
  </si>
  <si>
    <t>07-5314-5</t>
  </si>
  <si>
    <t>Наконечник медный луженый ТМЛ 25–8–8 (25мм² - Ø8мм) ГОСТ 7386-80 (в упак. 100 шт.) REXANT</t>
  </si>
  <si>
    <t>07-5314</t>
  </si>
  <si>
    <t>Наконечник медный луженый ТМЛ 25–8–8 (25мм² - Ø8мм) ГОСТ 7386-80 (в упак. 5 шт.) REXANT</t>
  </si>
  <si>
    <t>07-5320-5</t>
  </si>
  <si>
    <t>Наконечник медный луженый ТМЛ 35–10–10 (35мм² - Ø10мм) ГОСТ 7386-80 (в упак. 50 шт.) REXANT</t>
  </si>
  <si>
    <t>07-5317</t>
  </si>
  <si>
    <t>Наконечник медный луженый ТМЛ 35–10–9 (35мм² - Ø10мм) ГОСТ 7386-80 (в упак. 5 шт.) REXANT</t>
  </si>
  <si>
    <t>07-5317-3</t>
  </si>
  <si>
    <t>Наконечник медный луженый ТМЛ 35–10–9 (35мм² - Ø10мм) ГОСТ 7386-80 (в упак. 50шт) REXANT</t>
  </si>
  <si>
    <t>07-5321</t>
  </si>
  <si>
    <t>Наконечник медный луженый ТМЛ 35–12–10 (35мм² - Ø12мм) ГОСТ 7386-80 (в упак. 5 шт.) REXANT</t>
  </si>
  <si>
    <t>07-5321-5</t>
  </si>
  <si>
    <t>Наконечник медный луженый ТМЛ 35–12–10 (35мм² - Ø12мм) ГОСТ 7386-80 (в упак. 50 шт.) REXANT</t>
  </si>
  <si>
    <t>07-5319</t>
  </si>
  <si>
    <t>Наконечник медный луженый ТМЛ 35–8–10 (35мм² - Ø8мм) ГОСТ 7386-80 (в упак. 5 шт.) REXANT</t>
  </si>
  <si>
    <t>07-5319-5</t>
  </si>
  <si>
    <t>Наконечник медный луженый ТМЛ 35–8–10 (35мм² - Ø8мм) ГОСТ 7386-80 (в упак. 50 шт.) REXANT</t>
  </si>
  <si>
    <t>07-5316-5</t>
  </si>
  <si>
    <t>Наконечник медный луженый ТМЛ 35–8–9 (35мм² - Ø8мм) ГОСТ 7386-80 (в упак. 100 шт.) REXANT</t>
  </si>
  <si>
    <t>07-5316</t>
  </si>
  <si>
    <t>Наконечник медный луженый ТМЛ 35–8–9 (35мм² - Ø8мм) ГОСТ 7386-80 (в упак. 5 шт.) REXANT</t>
  </si>
  <si>
    <t>07-5304</t>
  </si>
  <si>
    <t>Наконечник медный луженый ТМЛ 4–6–3 (4мм² - Ø6мм) ГОСТ 7386-80 (в упак. 10 шт.) REXANT</t>
  </si>
  <si>
    <t>07-5304-5</t>
  </si>
  <si>
    <t>Наконечник медный луженый ТМЛ 4–6–3 (4мм² - Ø6мм) ГОСТ 7386-80 (в упак. 100 шт.) REXANT</t>
  </si>
  <si>
    <t>07-5323</t>
  </si>
  <si>
    <t>Наконечник медный луженый ТМЛ 50–10–11 (50мм² - Ø10мм) ГОСТ 7386-80 (в упак. 5 шт.) REXANT</t>
  </si>
  <si>
    <t>07-5323-5</t>
  </si>
  <si>
    <t>Наконечник медный луженый ТМЛ 50–10–11 (50мм² - Ø10мм) ГОСТ 7386-80 (в упак. 50 шт.) REXANT</t>
  </si>
  <si>
    <t>07-5324</t>
  </si>
  <si>
    <t>Наконечник медный луженый ТМЛ 50–12–11 (50мм² - Ø12мм) ГОСТ 7386-80 (в упак. 5 шт.) REXANT</t>
  </si>
  <si>
    <t>07-5324-5</t>
  </si>
  <si>
    <t>Наконечник медный луженый ТМЛ 50–12–11 (50мм² - Ø12мм) ГОСТ 7386-80 (в упак. 50 шт.) REXANT</t>
  </si>
  <si>
    <t>07-5322-4</t>
  </si>
  <si>
    <t>Наконечник медный луженый ТМЛ 50–8–11 (50мм² - Ø8мм) ГОСТ 7386-80 (в упак. 5 шт.) REXANT</t>
  </si>
  <si>
    <t>07-5322-5</t>
  </si>
  <si>
    <t>Наконечник медный луженый ТМЛ 50–8–11 (50мм² - Ø8мм) ГОСТ 7386-80 (в упак. 50 шт.) REXANT</t>
  </si>
  <si>
    <t>07-5306-5</t>
  </si>
  <si>
    <t>Наконечник медный луженый ТМЛ 6-6-4 (6мм² - Ø6мм) ГОСТ 7386-80 (в упак. 100шт) REXANT</t>
  </si>
  <si>
    <t>07-5305-5</t>
  </si>
  <si>
    <t>Наконечник медный луженый ТМЛ 6–5–4 (6мм² - Ø5мм) ГОСТ 7386-80 (в упак. 100 шт.) REXANT</t>
  </si>
  <si>
    <t>07-5306</t>
  </si>
  <si>
    <t>Наконечник медный луженый ТМЛ 6–6–4 (6мм² - Ø6мм) ГОСТ 7386-80 (в упак. 10 шт.) REXANT</t>
  </si>
  <si>
    <t>07-5325</t>
  </si>
  <si>
    <t>Наконечник медный луженый ТМЛ 70–10–13 (70мм² - Ø10мм) ГОСТ 7386-80 (в упак. 2 шт.) REXANT</t>
  </si>
  <si>
    <t>07-5325-5</t>
  </si>
  <si>
    <t>Наконечник медный луженый ТМЛ 70–10–13 (70мм² - Ø10мм) ГОСТ 7386-80 (в упак. 25 шт.) REXANT</t>
  </si>
  <si>
    <t>07-5326</t>
  </si>
  <si>
    <t>Наконечник медный луженый ТМЛ 70–12–13 (70мм² - Ø12мм) ГОСТ 7386-80 (в упак. 2 шт.) REXANT</t>
  </si>
  <si>
    <t>07-5326-5</t>
  </si>
  <si>
    <t>Наконечник медный луженый ТМЛ 70–12–13 (70мм² - Ø12мм) ГОСТ 7386-80 (в упак. 25 шт.) REXANT</t>
  </si>
  <si>
    <t>07-5327-5</t>
  </si>
  <si>
    <t>Наконечник медный луженый ТМЛ 95–10–15 (95мм² - Ø10мм) ГОСТ 7386-80 (в упак. 25 шт.) REXANT</t>
  </si>
  <si>
    <t>200 - 60 дней</t>
  </si>
  <si>
    <t>07-5328</t>
  </si>
  <si>
    <t>Наконечник медный луженый ТМЛ 95–12–15 (95мм² - Ø12мм) ГОСТ 7386-80 (в упак. 2 шт.) REXANT</t>
  </si>
  <si>
    <t>07-5328-3</t>
  </si>
  <si>
    <t>Наконечник медный луженый ТМЛ 95–12–15 (95мм² - Ø12мм) ГОСТ 7386-80 (в упак. 25 шт.) REXANT</t>
  </si>
  <si>
    <t>07-5308-6</t>
  </si>
  <si>
    <t>Наконечник медный луженый ТМЛ-Р 10–6 (10мм² - Ø6мм) (в упак. 100 шт.) REXANT</t>
  </si>
  <si>
    <t>07-5308-2</t>
  </si>
  <si>
    <t>Наконечник медный луженый ТМЛ-Р 10–6 (10мм² - Ø6мм) (в упак. 5 шт.) REXANT</t>
  </si>
  <si>
    <t>07-5309-6</t>
  </si>
  <si>
    <t>Наконечник медный луженый ТМЛ-Р 10–8 (10мм² - Ø8мм) (в упак. 100 шт.) REXANT</t>
  </si>
  <si>
    <t>07-5309-2</t>
  </si>
  <si>
    <t>Наконечник медный луженый ТМЛ-Р 10–8 (10мм² - Ø8мм) (в упак. 5 шт.) REXANT</t>
  </si>
  <si>
    <t>07-5310-6</t>
  </si>
  <si>
    <t>Наконечник медный луженый ТМЛ-Р 16–6 (16мм² - Ø6мм) (в упак. 100 шт.) REXANT</t>
  </si>
  <si>
    <t>07-5310-3</t>
  </si>
  <si>
    <t>Наконечник медный луженый ТМЛ-Р 16–6 (16мм² - Ø6мм) (в упак. 5 шт.) REXANT</t>
  </si>
  <si>
    <t>07-5311-6</t>
  </si>
  <si>
    <t>Наконечник медный луженый ТМЛ-Р 16–8 (16мм² - Ø8мм) (в упак. 100 шт.) REXANT</t>
  </si>
  <si>
    <t>07-5311-2</t>
  </si>
  <si>
    <t>Наконечник медный луженый ТМЛ-Р 16–8 (16мм² - Ø8мм) (в упак. 5 шт.) REXANT</t>
  </si>
  <si>
    <t>07-5300-4</t>
  </si>
  <si>
    <t>Наконечник медный луженый ТМЛ-Р 2,5–4 (2,5мм² - Ø4мм) ГОСТ 7386-80 (в упак. 100 шт.) REXANT</t>
  </si>
  <si>
    <t>07-5315-6</t>
  </si>
  <si>
    <t>Наконечник медный луженый ТМЛ-Р 25–10 (25мм² - Ø10мм) (в упак. 100 шт.) REXANT</t>
  </si>
  <si>
    <t>07-5315-2</t>
  </si>
  <si>
    <t>Наконечник медный луженый ТМЛ-Р 25–10 (25мм² - Ø10мм) (в упак. 5 шт.) REXANT</t>
  </si>
  <si>
    <t>07-5312-6</t>
  </si>
  <si>
    <t>Наконечник медный луженый ТМЛ-Р 25–6 (25мм² - Ø6мм) (в упак. 100 шт.) REXANT</t>
  </si>
  <si>
    <t>07-5312-2</t>
  </si>
  <si>
    <t>Наконечник медный луженый ТМЛ-Р 25–6 (25мм² - Ø6мм) (в упак. 5 шт.) REXANT</t>
  </si>
  <si>
    <t>07-5314-6</t>
  </si>
  <si>
    <t>Наконечник медный луженый ТМЛ-Р 25–8 (25мм² - Ø8мм) (в упак. 100 шт.) REXANT</t>
  </si>
  <si>
    <t>07-5314-2</t>
  </si>
  <si>
    <t>Наконечник медный луженый ТМЛ-Р 25–8 (25мм² - Ø8мм) (в упак. 5 шт.) REXANT</t>
  </si>
  <si>
    <t>07-5317-6</t>
  </si>
  <si>
    <t>Наконечник медный луженый ТМЛ-Р 35–10 (35мм² - Ø10мм) (в упак. 100 шт.) REXANT</t>
  </si>
  <si>
    <t>07-5316-3</t>
  </si>
  <si>
    <t>Наконечник медный луженый ТМЛ-Р 35–8 (35мм² - Ø8мм) (в упак. 5 шт.) REXANT</t>
  </si>
  <si>
    <t>07-5303-6</t>
  </si>
  <si>
    <t>Наконечник медный луженый ТМЛ-Р 4–5 (4мм² - Ø5мм) (в упак. 100 шт.) REXANT</t>
  </si>
  <si>
    <t>07-5304-2</t>
  </si>
  <si>
    <t>Наконечник медный луженый ТМЛ-Р 4–6 (4мм² - Ø6мм) (в упак. 10 шт.) REXANT</t>
  </si>
  <si>
    <t>07-5304-6</t>
  </si>
  <si>
    <t>Наконечник медный луженый ТМЛ-Р 4–6 (4мм² - Ø6мм) (в упак. 100 шт.) REXANT</t>
  </si>
  <si>
    <t>07-5323-3</t>
  </si>
  <si>
    <t>Наконечник медный луженый ТМЛ-Р 50–10 (50мм² - Ø10мм) (в упак. 5 шт.) REXANT</t>
  </si>
  <si>
    <t>07-5323-6</t>
  </si>
  <si>
    <t>Наконечник медный луженый ТМЛ-Р 50–10 (50мм² - Ø10мм) (в упак. 50 шт.) REXANT</t>
  </si>
  <si>
    <t>07-5305-6</t>
  </si>
  <si>
    <t>Наконечник медный луженый ТМЛ-Р 6–5 (6мм² - Ø5мм) (в упак. 100 шт.) REXANT</t>
  </si>
  <si>
    <t>07-5306-2</t>
  </si>
  <si>
    <t>Наконечник медный луженый ТМЛ-Р 6–6 (6мм² - Ø6мм) (в упак. 10 шт.) REXANT</t>
  </si>
  <si>
    <t>07-5306-6</t>
  </si>
  <si>
    <t>Наконечник медный луженый ТМЛ-Р 6–6 (6мм² - Ø6мм) (в упак. 100 шт.) REXANT</t>
  </si>
  <si>
    <t>1. 8. 4. 3 Наконечники кабельные медные под опрессовку (ТМ/ТМо)</t>
  </si>
  <si>
    <t>07-5308-3</t>
  </si>
  <si>
    <t>Наконечник медный ТМ 10-6-5 (10мм² - Ø6мм) (в упак 100 шт.) REXANT</t>
  </si>
  <si>
    <t>07-5309-3</t>
  </si>
  <si>
    <t>Наконечник медный ТМ 10-8-5 (10мм² - Ø8мм) (в упак 100 шт.) REXANT</t>
  </si>
  <si>
    <t>07-5308-1</t>
  </si>
  <si>
    <t>Наконечник медный ТМ 10–6–5 (10мм² - Ø 6мм) (в упак. 5 шт.) REXANT</t>
  </si>
  <si>
    <t>07-5309-1</t>
  </si>
  <si>
    <t>Наконечник медный ТМ 10–8–5 (10мм² - Ø 8мм) (в упак. 5 шт.) REXANT</t>
  </si>
  <si>
    <t>07-5310-2</t>
  </si>
  <si>
    <t>Наконечник медный ТМ 16-6-6 (16мм² - Ø6мм) (в упак. 100 шт.) REXANT</t>
  </si>
  <si>
    <t>07-5311-3</t>
  </si>
  <si>
    <t>Наконечник медный ТМ 16-8-6 (16мм² - Ø8мм) (в упак 100 шт.) REXANT</t>
  </si>
  <si>
    <t>07-5311-1</t>
  </si>
  <si>
    <t>Наконечник медный ТМ 16–8–6 (16мм² - Ø 8мм) (в упак. 5 шт.) REXANT</t>
  </si>
  <si>
    <t>07-5300-2</t>
  </si>
  <si>
    <t>Наконечник медный ТМ 2,5-4-2,6 (2,5мм² - Ø4мм) (в упак. 100 шт.) REXANT</t>
  </si>
  <si>
    <t>07-5315-3</t>
  </si>
  <si>
    <t>Наконечник медный ТМ 25-10-8 (25мм² - Ø10мм) (в упак 100 шт.) REXANT</t>
  </si>
  <si>
    <t>07-5313-2</t>
  </si>
  <si>
    <t>Наконечник медный ТМ 25-8-7 (25мм² - Ø8мм) (в упак. 100 шт.) REXANT</t>
  </si>
  <si>
    <t>07-5313-1</t>
  </si>
  <si>
    <t>Наконечник медный ТМ 25-8-7 (25мм² - Ø8мм) (в упак. 5 шт.) REXANT</t>
  </si>
  <si>
    <t>07-5314-3</t>
  </si>
  <si>
    <t>Наконечник медный ТМ 25-8-8 (25мм² - Ø8мм) (в упак 100 шт.) REXANT</t>
  </si>
  <si>
    <t>07-5315-1</t>
  </si>
  <si>
    <t>Наконечник медный ТМ 25–10–8 (25мм² - Ø 10мм) (в упак. 5 шт.) REXANT</t>
  </si>
  <si>
    <t>07-5314-1</t>
  </si>
  <si>
    <t>Наконечник медный ТМ 25–8–8 (25мм² - Ø 8мм) (в упак. 5 шт.) REXANT</t>
  </si>
  <si>
    <t>07-5320-1</t>
  </si>
  <si>
    <t>Наконечник медный ТМ 35-10-10 (35мм² - Ø10мм) (в упак. 5 шт.) REXANT</t>
  </si>
  <si>
    <t>07-5320-2</t>
  </si>
  <si>
    <t>Наконечник медный ТМ 35-10-10 (35мм² - Ø10мм) (в упак. 50 шт.) REXANT</t>
  </si>
  <si>
    <t>07-5317-1</t>
  </si>
  <si>
    <t>Наконечник медный ТМ 35-10-9 (35мм² - Ø10мм) (в упак. 5 шт.) REXANT</t>
  </si>
  <si>
    <t>07-5317-2</t>
  </si>
  <si>
    <t>Наконечник медный ТМ 35-10-9 (35мм² - Ø10мм) (в упак. 50 шт.) REXANT</t>
  </si>
  <si>
    <t>07-5319-3</t>
  </si>
  <si>
    <t>Наконечник медный ТМ 35-8-10 (35мм² - Ø8мм) (в упак 50 шт.) REXANT</t>
  </si>
  <si>
    <t>07-5316-1</t>
  </si>
  <si>
    <t>Наконечник медный ТМ 35-8-9 (35мм² - Ø8мм) (в упак. 5 шт.) REXANT</t>
  </si>
  <si>
    <t>07-5316-2</t>
  </si>
  <si>
    <t>Наконечник медный ТМ 35-8-9 (35мм² - Ø8мм) (в упак. 50 шт.) REXANT</t>
  </si>
  <si>
    <t>07-5303-2</t>
  </si>
  <si>
    <t>Наконечник медный ТМ 4-5-3 (4мм² - Ø5мм) (в упак. 100 шт.) REXANT</t>
  </si>
  <si>
    <t>07-5323-2</t>
  </si>
  <si>
    <t>Наконечник медный ТМ 50-10-11 (50мм² - Ø11мм) (в упак. 50 шт.) REXANT</t>
  </si>
  <si>
    <t>07-5324-2</t>
  </si>
  <si>
    <t>Наконечник медный ТМ 50-12-11 (50мм² - Ø11мм) (в упак. 50 шт.) REXANT</t>
  </si>
  <si>
    <t>07-5322-1</t>
  </si>
  <si>
    <t>Наконечник медный ТМ 50-8-11 (50мм² - Ø8мм) (в упак. 5 шт.) REXANT</t>
  </si>
  <si>
    <t>07-5322-2</t>
  </si>
  <si>
    <t>Наконечник медный ТМ 50-8-11 (50мм² - Ø8мм) (в упак. 50 шт.) REXANT</t>
  </si>
  <si>
    <t>07-5305-3</t>
  </si>
  <si>
    <t>Наконечник медный ТМ 6-5-4 (6мм² - Ø5мм) (в упак 100шт), REXANT</t>
  </si>
  <si>
    <t>07-5306-3</t>
  </si>
  <si>
    <t>Наконечник медный ТМ 6-6-4 (6мм² - Ø6мм) (в упак 100шт), REXANT</t>
  </si>
  <si>
    <t>07-5325-2</t>
  </si>
  <si>
    <t>Наконечник медный ТМ 70-10-13 (70мм² - Ø13мм) (в упак. 25 шт.) REXANT</t>
  </si>
  <si>
    <t>07-5326-2</t>
  </si>
  <si>
    <t>Наконечник медный ТМ 70-12-13 (70мм² - Ø12мм) (в упак. 25 шт.) REXANT</t>
  </si>
  <si>
    <t>07-5326-1</t>
  </si>
  <si>
    <t>Наконечник медный ТМ 70-12-13 (70мм² - Ø12мм) (в упак. 5 шт.) REXANT</t>
  </si>
  <si>
    <t>07-5327-2</t>
  </si>
  <si>
    <t>Наконечник медный ТМ 95-10-15 (95мм² - Ø10мм) (в упак. 25 шт.) REXANT</t>
  </si>
  <si>
    <t>25 - 60 дней</t>
  </si>
  <si>
    <t>07-5331-2</t>
  </si>
  <si>
    <t>Наконечник медный ТМ 120-12-17 (120мм² - Ø12мм) (в упак. 10 шт.) REXANT</t>
  </si>
  <si>
    <t>10 - 60 дней</t>
  </si>
  <si>
    <t>07-5336-2</t>
  </si>
  <si>
    <t>Наконечник медный ТМ 150-16-19 (150мм² - Ø16мм) (в упак. 10 шт.) REXANT</t>
  </si>
  <si>
    <t>07-5339-2</t>
  </si>
  <si>
    <t>Наконечник медный ТМ 185-16-21 (185мм² - Ø16мм) (в упак. 10 шт.) REXANT (под заказ)</t>
  </si>
  <si>
    <t>100 - 60 дней</t>
  </si>
  <si>
    <t>07-5343-2</t>
  </si>
  <si>
    <t>Наконечник медный ТМ 240-16-24 (240мм² - Ø16мм) (в упак. 5 шт.) REXANT (под заказ)</t>
  </si>
  <si>
    <t>1. 8. 4. 4 Наконечники кабельные алюминиевые под опрессовку</t>
  </si>
  <si>
    <t>07-4417</t>
  </si>
  <si>
    <t>Наконечник алюминиевый ТА  120-12-14 (в упак. 25шт)  REXANT</t>
  </si>
  <si>
    <t>07-4407</t>
  </si>
  <si>
    <t>Наконечник алюминиевый ТА 150-16-17 (в упак. 10 шт.) REXANT</t>
  </si>
  <si>
    <t>07-4400</t>
  </si>
  <si>
    <t>Наконечник алюминиевый ТА 16-8-5,4 (в упак. 100 шт.) REXANT</t>
  </si>
  <si>
    <t>07-4408</t>
  </si>
  <si>
    <t>Наконечник алюминиевый ТА 185-16-19 (в упак.10 шт.) REXANT (под заказ)</t>
  </si>
  <si>
    <t>100 - 30 дней</t>
  </si>
  <si>
    <t>07-4410</t>
  </si>
  <si>
    <t>Наконечник алюминиевый ТА 240-20-20 (в упак. 10 шт.) REXANT (под заказ)</t>
  </si>
  <si>
    <t>07-4401</t>
  </si>
  <si>
    <t>Наконечник алюминиевый ТА 25-8-7 (в упак. 100 шт.) REXANT</t>
  </si>
  <si>
    <t>07-4402</t>
  </si>
  <si>
    <t>Наконечник алюминиевый ТА 35-10-8 (в упак. 50 шт.) REXANT</t>
  </si>
  <si>
    <t>50 - 21 дней</t>
  </si>
  <si>
    <t>07-4403</t>
  </si>
  <si>
    <t>Наконечник алюминиевый ТА 50-10-9 (в упак. 50 шт.) REXANT</t>
  </si>
  <si>
    <t>07-4404</t>
  </si>
  <si>
    <t>Наконечник алюминиевый ТА 70-10-12 (в упак. 25 шт.) REXANT</t>
  </si>
  <si>
    <t>25 - 21 дней</t>
  </si>
  <si>
    <t>07-4415</t>
  </si>
  <si>
    <t>Наконечник алюминиевый ТА 95-12-13 (в упак. 25 шт.) REXANT</t>
  </si>
  <si>
    <t>07-4411-1</t>
  </si>
  <si>
    <t>Наконечник штифтовой алюминиевый луженый НШАЛ 16-14 (в упак. 50 шт.) REXANT</t>
  </si>
  <si>
    <t>1 000 - 60 дней</t>
  </si>
  <si>
    <t>07-4413-1</t>
  </si>
  <si>
    <t>Наконечник штифтовой алюминиевый луженый НШАЛ 25-15 (в упак. 50 шт.) REXANT</t>
  </si>
  <si>
    <t>07-4414-1</t>
  </si>
  <si>
    <t>Наконечник штифтовой алюминиевый луженый НШАЛ 35-20 (в упак. 30 шт.) REXANT</t>
  </si>
  <si>
    <t>07-4411</t>
  </si>
  <si>
    <t>Наконечник штифтовой алюминиевый НША 16-14 (в упак. 50 шт.) REXANT</t>
  </si>
  <si>
    <t>07-4414</t>
  </si>
  <si>
    <t>Наконечник штифтовой алюминиевый НША 35-20 (в упак. 30 шт.) REXANT</t>
  </si>
  <si>
    <t>1. 8. 4. 5 Наконечники кабельные алюмо-медные под опрессовку.</t>
  </si>
  <si>
    <t>07-8453</t>
  </si>
  <si>
    <t>Наконечник алюмомедный ТАМ 50-10-9 (в упак. 50 шт.) REXANT</t>
  </si>
  <si>
    <t>1. 8. 4. 6 Наконечники кабельные медные штифтовые плоские луженые под опрессовку</t>
  </si>
  <si>
    <t>07-8461</t>
  </si>
  <si>
    <t>Наконечник штифтовой медный луженый НШМЛ 10-5,5х13 (10мм² - Ø5,5мм) (в упак. 50 шт.) REXANT</t>
  </si>
  <si>
    <t>07-8462</t>
  </si>
  <si>
    <t>Наконечник штифтовой медный луженый НШМЛ 10-7х13 (10мм² - Ø7мм) (в упак. 50 шт.) REXANT</t>
  </si>
  <si>
    <t>07-8463</t>
  </si>
  <si>
    <t>Наконечник штифтовой медный луженый НШМЛ 16-5,5х14 (16мм² - Ø5,5мм) (в упак. 50 шт.) REXANT</t>
  </si>
  <si>
    <t>07-8464</t>
  </si>
  <si>
    <t>Наконечник штифтовой медный луженый НШМЛ 16-7х14 (16мм² - Ø7мм) (в упак. 50 шт.) REXANT</t>
  </si>
  <si>
    <t>07-8465</t>
  </si>
  <si>
    <t>Наконечник штифтовой медный луженый НШМЛ 25-7х15 (25мм² - Ø7мм) (в упак. 25 шт.) REXANT</t>
  </si>
  <si>
    <t>07-8466</t>
  </si>
  <si>
    <t>Наконечник штифтовой медный луженый НШМЛ 35-7х20 (35мм² - Ø7мм) (в упак. 25 шт.) REXANT</t>
  </si>
  <si>
    <t>07-8467</t>
  </si>
  <si>
    <t>Наконечник штифтовой медный луженый НШМЛ 50-7х20 (50мм² - Ø7мм) (в упак. 10 шт.) REXANT</t>
  </si>
  <si>
    <t>07-8460</t>
  </si>
  <si>
    <t>Наконечник штифтовой медный луженый НШМЛ 6-5,5х12 (6мм² - Ø5,5мм) (в упак.50 шт.) REXANT</t>
  </si>
  <si>
    <t>1. 8. 4. 7 Гильзы кабельные медные луженые под опрессовку (ГМЛ) РФ</t>
  </si>
  <si>
    <t>07-5360-2</t>
  </si>
  <si>
    <t>Гильза кабельная ГМЛ 95-15  (95мм² - Ø15мм) ГОСТ 23469.3-79 (в упак. 25шт), REXANT</t>
  </si>
  <si>
    <t>07-5354-2</t>
  </si>
  <si>
    <t>Гильза медная луженая ГМЛ 10-5 (10мм² - Ø5мм) ГОСТ 23469.3-79 (в упак. 100 шт.) REXANT</t>
  </si>
  <si>
    <t>07-5354</t>
  </si>
  <si>
    <t>Гильза медная луженая ГМЛ 10-5 (10мм² - Ø5мм) ГОСТ 23469.3-79 (в упак. 5 шт.) REXANT</t>
  </si>
  <si>
    <t>07-5355-2</t>
  </si>
  <si>
    <t>Гильза медная луженая ГМЛ 16-6 (16мм² - Ø6мм) ГОСТ 23469.3-79 (в упак. 100 шт.) REXANT</t>
  </si>
  <si>
    <t>07-5351-2</t>
  </si>
  <si>
    <t>Гильза медная луженая ГМЛ 2,5-2,6 (2,5мм² - Ø2,6мм) ГОСТ 23469.3-79 (в упак. 100 шт.) REXANT</t>
  </si>
  <si>
    <t>07-5365</t>
  </si>
  <si>
    <t>Гильза медная луженая ГМЛ 25-7 (25мм² - Ø7мм) ГОСТ 23469.3-79 (в упак. 100 шт.) REXANT</t>
  </si>
  <si>
    <t>07-5356-2</t>
  </si>
  <si>
    <t>Гильза медная луженая ГМЛ 25-8 (25мм² - Ø8мм) ГОСТ 23469.3-79 (в упак. 100 шт.) REXANT</t>
  </si>
  <si>
    <t>07-5356</t>
  </si>
  <si>
    <t>Гильза медная луженая ГМЛ 25-8 (25мм² - Ø8мм) ГОСТ 23469.3-79 (в упак. 5 шт.) REXANT</t>
  </si>
  <si>
    <t>07-5357</t>
  </si>
  <si>
    <t>Гильза медная луженая ГМЛ 35-10 (35мм² - Ø 10мм) ГОСТ 23469.3-79 (в упак. 5 шт.) REXANT</t>
  </si>
  <si>
    <t>07-5357-2</t>
  </si>
  <si>
    <t>Гильза медная луженая ГМЛ 35-10 (35мм² - Ø10мм) ГОСТ 23469.3-79 (в упак. 50 шт.) REXANT</t>
  </si>
  <si>
    <t>07-5366</t>
  </si>
  <si>
    <t>Гильза медная луженая ГМЛ 35-9 (35мм² - Ø9мм) ГОСТ 23469.3-79 (в упак. 50 шт.) REXANT</t>
  </si>
  <si>
    <t>07-5352</t>
  </si>
  <si>
    <t>Гильза медная луженая ГМЛ 4-3 (4мм² - Ø3мм) ГОСТ 23469.3-79 (в упак. 10 шт.) REXANT</t>
  </si>
  <si>
    <t>07-5352-2</t>
  </si>
  <si>
    <t>Гильза медная луженая ГМЛ 4-3 (4мм² - Ø3мм) ГОСТ 23469.3-79 (в упак. 100 шт.) REXANT</t>
  </si>
  <si>
    <t>07-5358-2</t>
  </si>
  <si>
    <t>Гильза медная луженая ГМЛ 50-11 (50мм² - Ø11мм) ГОСТ 23469.3-79 (в упак. 50 шт.) REXANT</t>
  </si>
  <si>
    <t>07-5353</t>
  </si>
  <si>
    <t>Гильза медная луженая ГМЛ 6-4 (6мм² - Ø4мм) ГОСТ 23469.3-79 (в упак. 10 шт.) REXANT</t>
  </si>
  <si>
    <t>07-5353-2</t>
  </si>
  <si>
    <t>Гильза медная луженая ГМЛ 6-4 (6мм² - Ø4мм) ГОСТ 23469.3-79 (в упак. 100 шт.) REXANT</t>
  </si>
  <si>
    <t>07-5359-2</t>
  </si>
  <si>
    <t>Гильза медная луженая ГМЛ 70-13 (70мм² - Ø13мм) ГОСТ 23469.3-79 (в упак. 25 шт.) REXANT</t>
  </si>
  <si>
    <t>25 - 30 дней</t>
  </si>
  <si>
    <t>1. 8. 4. 8 Гильзы кабельные медные луженые под опрессовку</t>
  </si>
  <si>
    <t>08-0712</t>
  </si>
  <si>
    <t>Соединительная гильза L-15мм, 0,5-1,5мм² (ГМЛ (DIN) 1,5) REXANT</t>
  </si>
  <si>
    <t>08-0722</t>
  </si>
  <si>
    <t>Соединительная гильза L-15мм, 1,5-2,5мм² (ГМЛ (DIN) 2,5) REXANT</t>
  </si>
  <si>
    <t>08-0728</t>
  </si>
  <si>
    <t>Соединительная гильза L-15мм, 2,5-4мм² (ГМЛ (DIN) 4) REXANT</t>
  </si>
  <si>
    <t>08-0742</t>
  </si>
  <si>
    <t>Соединительная гильза L-15мм, 4-6мм² (ГМЛ (DIN) 6) REXANT</t>
  </si>
  <si>
    <t>08-0713</t>
  </si>
  <si>
    <t>Соединительная гильза L-21мм, 10мм² (ГМЛ (DIN) 10) REXANT</t>
  </si>
  <si>
    <t>08-0714</t>
  </si>
  <si>
    <t>Соединительная гильза L-26мм, 16мм² (ГМЛ (DIN) 16) REXANT</t>
  </si>
  <si>
    <t>1. 8. 4.10 Гильзы кабельные медные под опрессовку (ГМ)</t>
  </si>
  <si>
    <t>07-5361-4</t>
  </si>
  <si>
    <t>Гильза кабельная медная ГМ 120-17 (120мм² - Ø17мм) (в упак. 10 шт.) REXANT</t>
  </si>
  <si>
    <t>07-5362-4</t>
  </si>
  <si>
    <t>Гильза кабельная медная ГМ 150-19 (150мм² - Ø19мм) (в упак. 10 шт.) REXANT</t>
  </si>
  <si>
    <t>07-5363-4</t>
  </si>
  <si>
    <t>Гильза кабельная медная ГМ 185-21 (185мм² - Ø21мм) (в упак. 10 шт.) REXANT (под заказ)</t>
  </si>
  <si>
    <t>07-5367-4</t>
  </si>
  <si>
    <t>Гильза кабельная медная ГМ 240-24 (240мм² - Ø24мм) (в упак. 5 шт.) REXANT (под заказ)</t>
  </si>
  <si>
    <t>07-5354-1</t>
  </si>
  <si>
    <t>Гильза медная ГМ 10-5 (10мм² - Ø5мм) (в упак. 5 шт.) REXANT</t>
  </si>
  <si>
    <t>07-5354-3</t>
  </si>
  <si>
    <t>Гильза медная ГМ 10-5 (10мм² - Ø5мм) (в упак.100 шт.) REXANT</t>
  </si>
  <si>
    <t>07-5355-3</t>
  </si>
  <si>
    <t>Гильза медная ГМ 16-6 (16мм² - Ø6мм) (в упак. 100 шт.) REXANT</t>
  </si>
  <si>
    <t>07-5355-1</t>
  </si>
  <si>
    <t>Гильза медная ГМ 16-6 (16мм² - Ø6мм) (в упак. 5 шт.) REXANT</t>
  </si>
  <si>
    <t>07-5351-3</t>
  </si>
  <si>
    <t>Гильза медная ГМ 2,5-2,6 (2,5мм² - Ø2,6мм) (в упак. 100 шт.) REXANT</t>
  </si>
  <si>
    <t>07-5356-3</t>
  </si>
  <si>
    <t>Гильза медная ГМ 25-8 (25мм² - Ø8мм) (в упак. 100 шт.) REXANT</t>
  </si>
  <si>
    <t>07-5356-1</t>
  </si>
  <si>
    <t>Гильза медная ГМ 25-8 (25мм² - Ø8мм) (в упак. 5 шт.) REXANT</t>
  </si>
  <si>
    <t>07-5357-3</t>
  </si>
  <si>
    <t>Гильза медная ГМ 35-10 (35мм² - Ø10мм) (в упак. 50 шт.) REXANT</t>
  </si>
  <si>
    <t>07-5352-1</t>
  </si>
  <si>
    <t>Гильза медная ГМ 4-3 (4мм² - Ø3мм) (в упак. 10 шт.) REXANT</t>
  </si>
  <si>
    <t>07-5352-3</t>
  </si>
  <si>
    <t>Гильза медная ГМ 4-3 (4мм² - Ø3мм) (в упак. 100 шт.) REXANT</t>
  </si>
  <si>
    <t>07-5358-4</t>
  </si>
  <si>
    <t>Гильза медная ГМ 50-11 (50мм² - Ø11мм) (в упак. 50 шт.) REXANT</t>
  </si>
  <si>
    <t>50 - 30 дней</t>
  </si>
  <si>
    <t>07-5353-1</t>
  </si>
  <si>
    <t>Гильза медная ГМ 6-4 (6мм² - Ø4мм) (в упак. 10 шт.) REXANT</t>
  </si>
  <si>
    <t>07-5353-3</t>
  </si>
  <si>
    <t>Гильза медная ГМ 6-4 (6мм² - Ø4мм) (в упак. 100 шт.) REXANT</t>
  </si>
  <si>
    <t>07-5359-4</t>
  </si>
  <si>
    <t>Гильза медная ГМ 70-13 (70мм² - Ø13мм) (в упак. 25 шт.) REXANT</t>
  </si>
  <si>
    <t>07-5360-4</t>
  </si>
  <si>
    <t>Гильза медная ГМ 95-15 (25мм² - Ø7мм) (в упак. 25 шт.) REXANT</t>
  </si>
  <si>
    <t>1. 8. 4.13 Гильзы кабельные алюминиевые под опрессовку (ГА)</t>
  </si>
  <si>
    <t>07-5355-7</t>
  </si>
  <si>
    <t>Гильза кабельная алюминиевая ГА 16-5,4 (16мм² - Ø5,4мм) (в упак. 100 шт.) REXANT</t>
  </si>
  <si>
    <t>07-5361-7</t>
  </si>
  <si>
    <t>Гильза кабельная алюминиевая ГА 120-14 (120мм² - Ø14мм) (в упак. 25 шт.) REXANT</t>
  </si>
  <si>
    <t>07-5362-7</t>
  </si>
  <si>
    <t>Гильза кабельная алюминиевая ГА 150-17 (150мм² - Ø17мм) (в упак. 10 шт.) REXANT</t>
  </si>
  <si>
    <t>07-5367-7</t>
  </si>
  <si>
    <t>Гильза кабельная алюминиевая ГА 185-19 (185мм² - Ø19мм) (в упак. 10 шт.) REXANT (под заказ)</t>
  </si>
  <si>
    <t>07-5368-7</t>
  </si>
  <si>
    <t>Гильза кабельная алюминиевая ГА 240-20 (240мм² - Ø20мм) (в упак. 10 шт.) REXANT (под заказ)</t>
  </si>
  <si>
    <t>07-5356-7</t>
  </si>
  <si>
    <t>Гильза кабельная алюминиевая ГА 25-7 (25мм² - Ø7мм) (в упак. 50 шт.) REXANT</t>
  </si>
  <si>
    <t>07-5357-7</t>
  </si>
  <si>
    <t>Гильза кабельная алюминиевая ГА 35-8 (35мм² - Ø8мм) (в упак. 50 шт.) REXANT</t>
  </si>
  <si>
    <t>07-5358-7</t>
  </si>
  <si>
    <t>Гильза кабельная алюминиевая ГА 50-9 (50мм² - Ø9мм) (в упак. 50 шт.) REXANT</t>
  </si>
  <si>
    <t>07-5359-7</t>
  </si>
  <si>
    <t>Гильза кабельная алюминиевая ГА 70-12 (70мм² - Ø12мм) (в упак. 25 шт.) REXANT</t>
  </si>
  <si>
    <t>07-5360-7</t>
  </si>
  <si>
    <t>Гильза кабельная алюминиевая ГА 95-13 (95мм² - Ø13мм) (в упак. 25 шт.) REXANT</t>
  </si>
  <si>
    <t>1. 8. 4.15 Шайбы медно-алюминиевые</t>
  </si>
  <si>
    <t>07-4151</t>
  </si>
  <si>
    <t>Шайба алюмомедная ШАМ 24/11 (в упак. 100 шт.) REXANT</t>
  </si>
  <si>
    <t>07-4152</t>
  </si>
  <si>
    <t>Шайба алюмомедная ШАМ 28/13 (в упак. 100 шт.) REXANT</t>
  </si>
  <si>
    <t>07-4153</t>
  </si>
  <si>
    <t>Шайба алюмомедная ШАМ 40/17 (в упак. 100 шт.) REXANT</t>
  </si>
  <si>
    <t>1. 8. 5 Соединители кабельные</t>
  </si>
  <si>
    <t>1. 8. 5. 1 Клеммные колодки винтовые</t>
  </si>
  <si>
    <t>07-5010-3</t>
  </si>
  <si>
    <t>Клеммная винтовая колодка KВ-10 4-10, ток 10 A, полипропилен желтый REXANT (10 шт./уп.)</t>
  </si>
  <si>
    <t>07-5010-4</t>
  </si>
  <si>
    <t>Клеммная винтовая колодка KВ-10 4-10, ток 10 A, полипропилен синий REXANT (10 шт./уп.)</t>
  </si>
  <si>
    <t>07-5012-3</t>
  </si>
  <si>
    <t>Клеммная винтовая колодка KВ-12 4-12, ток 16 A, полипропилен желтый REXANT (10 шт./уп.)</t>
  </si>
  <si>
    <t>07-5012-4</t>
  </si>
  <si>
    <t>Клеммная винтовая колодка KВ-12 4-12, ток 16 A, полипропилен синий REXANT (10 шт./уп.)</t>
  </si>
  <si>
    <t>07-5014-3</t>
  </si>
  <si>
    <t>Клеммная винтовая колодка KВ-14 6-14, ток 20 A, полипропилен желтый REXANT (10 шт./уп.)</t>
  </si>
  <si>
    <t>07-5014-4</t>
  </si>
  <si>
    <t>Клеммная винтовая колодка KВ-14 6-14, ток 20 A, полипропилен синий REXANT (10 шт./уп.)</t>
  </si>
  <si>
    <t>07-5016-3</t>
  </si>
  <si>
    <t>Клеммная винтовая колодка KВ-16 6-16, ток 30 A, полипропилен желтый REXANT (10 шт./уп.)</t>
  </si>
  <si>
    <t>07-5016-4</t>
  </si>
  <si>
    <t>Клеммная винтовая колодка KВ-16 6-16, ток 30 A, полипропилен синий REXANT (10 шт./уп.)</t>
  </si>
  <si>
    <t>07-5025-3</t>
  </si>
  <si>
    <t>Клеммная винтовая колодка KВ-25 10-25, ток 60 A, полипропилен желтый REXANT (10 шт./уп.)</t>
  </si>
  <si>
    <t>07-5025-4</t>
  </si>
  <si>
    <t>Клеммная винтовая колодка KВ-25 10-25, ток 60 A, полипропилен синий REXANT (10 шт./уп.)</t>
  </si>
  <si>
    <t>07-5035-2</t>
  </si>
  <si>
    <t>Клеммная винтовая колодка KВ-35 10-35, ток 80 A, полипропилен черный REXANT (10 шт./уп.)</t>
  </si>
  <si>
    <t>07-5035</t>
  </si>
  <si>
    <t>Клеммная винтовая колодка KВ-35 10-35, ток 80 A, полиэтилен белый REXANT (10 шт./уп.)</t>
  </si>
  <si>
    <t>07-5035-3</t>
  </si>
  <si>
    <t>Клеммная винтовая колодка KВ-35 10-35, ток 80 A, полипропилен желтый REXANT (10 шт./уп.)</t>
  </si>
  <si>
    <t>07-5035-4</t>
  </si>
  <si>
    <t>Клеммная винтовая колодка KВ-35 10-35, ток 80 A, полипропилен синий REXANT (10 шт./уп.)</t>
  </si>
  <si>
    <t>07-5004-3</t>
  </si>
  <si>
    <t>Клеммная винтовая колодка KВ-4 1,5-4, ток 3 A, полипропилен желтый REXANT (10 шт./уп.)</t>
  </si>
  <si>
    <t>07-5004-4</t>
  </si>
  <si>
    <t>Клеммная винтовая колодка KВ-4 1,5-4, ток 3 A, полипропилен синий REXANT (10 шт./уп.)</t>
  </si>
  <si>
    <t>07-5040-3</t>
  </si>
  <si>
    <t>Клеммная винтовая колодка KВ-40 25-40, ток 100 A, полипропилен желтый REXANT (10 шт./уп.)</t>
  </si>
  <si>
    <t>07-5040-4</t>
  </si>
  <si>
    <t>Клеммная винтовая колодка KВ-40 25-40, ток 100 A, полипропилен синий REXANT (10 шт./уп.)</t>
  </si>
  <si>
    <t>07-5006-3</t>
  </si>
  <si>
    <t>Клеммная винтовая колодка KВ-6 2,5-6, ток 6 A, полипропилен желтый REXANT (10 шт./уп.)</t>
  </si>
  <si>
    <t>07-5004-5</t>
  </si>
  <si>
    <t>Клеммная колодка винтовая KВ-4 (1,5-4 мм²), ток 3 A, полиэтилен белый (ЗВИ) СМАРТКИП</t>
  </si>
  <si>
    <t>07-5004</t>
  </si>
  <si>
    <t>Клеммная колодка винтовая KВ-4 (1,5-4 мм²), ток 3 A, полиэтилен белый (ЗВИ) REXANT</t>
  </si>
  <si>
    <t>31.10.2026</t>
  </si>
  <si>
    <t>07-5004-2</t>
  </si>
  <si>
    <t>Клеммная колодка винтовая KВ-4 (1,5-4 мм²), ток 3 A, полипропилен черный (ЗВИ) REXANT</t>
  </si>
  <si>
    <t>07-5006-5</t>
  </si>
  <si>
    <t>Клеммная колодка винтовая KВ-6 (2,5-6 мм²), ток 6 A, полиэтилен белый (ЗВИ) СМАРТКИП</t>
  </si>
  <si>
    <t>07-5006</t>
  </si>
  <si>
    <t>Клеммная колодка винтовая KВ-6 (2,5-6 мм²), ток 6 A, полиэтилен белый (ЗВИ) REXANT</t>
  </si>
  <si>
    <t>07-5006-2</t>
  </si>
  <si>
    <t>Клеммная колодка винтовая KВ-6 (2,5-6 мм²), ток 6 A, полипропилен черный (ЗВИ) REXANT</t>
  </si>
  <si>
    <t>07-5010-2-7</t>
  </si>
  <si>
    <t>Клеммная колодка винтовая KВ-10 (4-10 мм²), ток 10 A, полипропилен черный, индивидуальная упаковка, 1 шт. REXANT</t>
  </si>
  <si>
    <t>07-5010-1</t>
  </si>
  <si>
    <t>Клеммная колодка винтовая KВ-10 (4-10 мм²), ток 10 A, полиэтилен белый (ЗВИ), индивидуальная упаковка, 1 шт. REXANT</t>
  </si>
  <si>
    <t>07-5010-5</t>
  </si>
  <si>
    <t>Клеммная колодка винтовая KВ-10 (4-10 мм²), ток 10 A, полиэтилен белый (ЗВИ) СМАРТКИП</t>
  </si>
  <si>
    <t>07-5010</t>
  </si>
  <si>
    <t>Клеммная колодка винтовая KВ-10 (4-10 мм²), ток 10 A, полиэтилен белый (ЗВИ) REXANT</t>
  </si>
  <si>
    <t>07-5010-2</t>
  </si>
  <si>
    <t>Клеммная колодка винтовая KВ-10 (4-10 мм²), ток 10 A, полипропилен черный (ЗВИ) REXANT</t>
  </si>
  <si>
    <t>07-5012-01</t>
  </si>
  <si>
    <t>Клеммная колодка винтовая KВ-12 (4-12 мм²), ток 16 A, полиэтилен белый (ЗВИ), индивидуальная упаковка, 1 шт. REXANT</t>
  </si>
  <si>
    <t>07-5012-5</t>
  </si>
  <si>
    <t>Клеммная колодка винтовая KВ-12 (4-12 мм²), ток 16 A, полиэтилен белый (ЗВИ) СМАРТКИП</t>
  </si>
  <si>
    <t>07-5012</t>
  </si>
  <si>
    <t>Клеммная колодка винтовая KВ-12 (4-12 мм²), ток 16 A, полиэтилен белый (ЗВИ) REXANT</t>
  </si>
  <si>
    <t>07-5012-2</t>
  </si>
  <si>
    <t>Клеммная колодка винтовая KВ-12 (4-12 мм²), ток 16 A, полипропилен черный (ЗВИ) REXANT</t>
  </si>
  <si>
    <t>07-5014-2-7</t>
  </si>
  <si>
    <t>Клеммная колодка винтовая KВ-14 (6-14 мм²), ток 20 A, полипропилен черный, индивидуальная упаковка, 1 шт. REXANT</t>
  </si>
  <si>
    <t>07-5014</t>
  </si>
  <si>
    <t>Клеммная колодка винтовая KВ-14 (6-14 мм²), ток 20 A, полиэтилен белый (ЗВИ) REXANT</t>
  </si>
  <si>
    <t>07-5016-5</t>
  </si>
  <si>
    <t>Клеммная колодка винтовая KВ-16 (6-16 мм²), ток 30 A полиэтилен белый (ЗВИ) СМАРТКИП</t>
  </si>
  <si>
    <t>07-5016</t>
  </si>
  <si>
    <t>Клеммная колодка винтовая KВ-16 (6-16 мм²), ток 30 A, полиэтилен белый (ЗВИ) REXANT</t>
  </si>
  <si>
    <t>07-5016-2</t>
  </si>
  <si>
    <t>Клеммная колодка винтовая KВ-16 (6-16 мм²), ток 30 A, полипропилен черный (ЗВИ) REXANT</t>
  </si>
  <si>
    <t>07-5025-1</t>
  </si>
  <si>
    <t>Клеммная колодка винтовая KВ-25 (10-25 мм²), ток 60 A, полиэтилен белый, индивидуальная упаковка, 1 шт. (ЗВИ) REXANT</t>
  </si>
  <si>
    <t>07-5025</t>
  </si>
  <si>
    <t>Клеммная колодка винтовая KВ-25 (10-25 мм²), ток 60 A, полиэтилен белый (ЗВИ) REXANT</t>
  </si>
  <si>
    <t>07-5025-2</t>
  </si>
  <si>
    <t>Клеммная колодка винтовая KВ-25 (10-25 мм²), ток 60 A, полипропилен черный (ЗВИ) REXANT</t>
  </si>
  <si>
    <t>07-5004-2-01</t>
  </si>
  <si>
    <t>Клеммная колодка винтовая KВ-4 (1,5-4 мм²), ток 3 A, полипропилен черный (ЗВИ), индивидуальная упаковка, 1 шт. REXANT</t>
  </si>
  <si>
    <t>07-5004-1</t>
  </si>
  <si>
    <t>Клеммная колодка винтовая KВ-4 (1,5-4 мм²), ток 3 A, полиэтилен белый (ЗВИ), индивидуальная упаковка, 1 шт. REXANT</t>
  </si>
  <si>
    <t>07-5006-2-01</t>
  </si>
  <si>
    <t>Клеммная колодка винтовая KВ-6 (2,5-6 мм²), ток 6 A, полипропилен черный (ЗВИ), индивидуальная упаковка, 1 шт. REXANT</t>
  </si>
  <si>
    <t>07-5006-1</t>
  </si>
  <si>
    <t>Клеммная колодка винтовая KВ-6 (2,5-6 мм²), ток 6 A, полиэтилен белый (ЗВИ), индивидуальная упаковка, 1 шт. REXANT</t>
  </si>
  <si>
    <t>07-5006-4</t>
  </si>
  <si>
    <t>Колодка клеммная винтовая KВ-6, 6А, 2,5-6мм² полипропилен синий ЗВИ (10 шт/уп) REXANT</t>
  </si>
  <si>
    <t>07-5010-9</t>
  </si>
  <si>
    <t>Колодка клеммная КВ-10, 10А, 10 мм², индивидуальная упаковка, (1 шт/уп) PROconnect</t>
  </si>
  <si>
    <t>07-5012-9</t>
  </si>
  <si>
    <t>Колодка клеммная КВ-12, 16А, 12 мм², индивидуальная упаковка, (1 шт/уп) PROconnect</t>
  </si>
  <si>
    <t>1. 8. 5. 2 Соединительные изолирующие зажимы СИЗ</t>
  </si>
  <si>
    <t>06-0232-B10</t>
  </si>
  <si>
    <t>Соединительный изолирующий зажим REXANT "СИЗ-3", 1,5-6 мм², оранжевый, 10 шт.</t>
  </si>
  <si>
    <t>06-0233-B10</t>
  </si>
  <si>
    <t>Соединительный изолирующий зажим REXANT "СИЗ-4", 1,5-9,5 мм², желтый, 10 шт.</t>
  </si>
  <si>
    <t>08-0750</t>
  </si>
  <si>
    <t>Соединительный изолирующий зажим REXANT с лепестками СИЗ-11 ø 9,8 мм (1-8,5 мм²), желтый (100 шт./уп.)</t>
  </si>
  <si>
    <t>08-0756</t>
  </si>
  <si>
    <t>Соединительный изолирующий зажим REXANT с лепестками СИЗ-12 ø 11,2 мм (1-12,75 мм²), коричневый (100 шт./уп.)</t>
  </si>
  <si>
    <t>08-0758</t>
  </si>
  <si>
    <t>Соединительный изолирующий зажим REXANT с лепестками СИЗ-13 ø 13 мм (1,5-16 мм²), красный (100 шт./уп.)</t>
  </si>
  <si>
    <t>08-0759</t>
  </si>
  <si>
    <t>Соединительный изолирующий зажим REXANT с лепестками СИЗ-15 ø 14,9 мм (4-16 мм²), серый (50 шт./уп.)</t>
  </si>
  <si>
    <t>08-0782</t>
  </si>
  <si>
    <t>Соединительный изолирующий зажим REXANT с лепестками СИЗ-17 ø 17,8 мм (5-32 мм²), синий (50 шт./уп.)</t>
  </si>
  <si>
    <t>07-5216</t>
  </si>
  <si>
    <t>Соединительный изолирующий зажим СИЗ-1, ø 2,7 мм (1,0-2,75 мм²) серый REXANT</t>
  </si>
  <si>
    <t>07-5217</t>
  </si>
  <si>
    <t>Соединительный изолирующий зажим СИЗ-2, ø 3,0 мм (1,0-3,75 мм²) синий REXANT</t>
  </si>
  <si>
    <t>07-5218</t>
  </si>
  <si>
    <t>Соединительный изолирующий зажим СИЗ-3, ø 3,3 мм (1,5-5,75 мм²) оранжевый REXANT</t>
  </si>
  <si>
    <t>07-5219</t>
  </si>
  <si>
    <t>Соединительный изолирующий зажим СИЗ-4, ø 4,8 мм (1,5-10,5 мм²) желтый REXANT</t>
  </si>
  <si>
    <t>07-5220-10</t>
  </si>
  <si>
    <t>Соединительный изолирующий зажим СИЗ-5, ø 5,4 мм (4,0-13,0 мм²), красный (10 шт./уп.) REXANT</t>
  </si>
  <si>
    <t>07-5220</t>
  </si>
  <si>
    <t>Соединительный изолирующий зажим СИЗ-5, ø 5,4 мм (3,0-17,0 мм²) красный REXANT</t>
  </si>
  <si>
    <t>1. 8. 5. 3 Концевые изолированные заглушки КИЗ</t>
  </si>
  <si>
    <t>08-0701</t>
  </si>
  <si>
    <t>Концевая изолированная заглушка КИЗ-1, ø 2,8 мм (1,0-2,5 мм²) REXANT</t>
  </si>
  <si>
    <t>08-0702</t>
  </si>
  <si>
    <t>Концевая изолированная заглушка КИЗ-2, ø 3,0 мм (1,5-4,0 мм²) REXANT</t>
  </si>
  <si>
    <t>08-0703</t>
  </si>
  <si>
    <t>Концевая изолированная заглушка КИЗ-5, ø 4,0 мм (2,5-5,5 мм²) REXANT</t>
  </si>
  <si>
    <t>08-0704</t>
  </si>
  <si>
    <t>Концевая изолированная заглушка КИЗ-6, ø 4,8 мм (3,0-8,0 мм²) REXANT</t>
  </si>
  <si>
    <t>08-0705</t>
  </si>
  <si>
    <t>Концевая изолированная заглушка КИЗ-7, ø 5,5 мм (8,0-10,0 мм²) REXANT</t>
  </si>
  <si>
    <t>1. 8. 5. 7 Клеммники концевые изолированные</t>
  </si>
  <si>
    <t>07-5700</t>
  </si>
  <si>
    <t>Концевой зажим винтовой изолированный КЗВИ 1,5 мм² (5х1) (20 шт./уп.) REXANT</t>
  </si>
  <si>
    <t>07-5710</t>
  </si>
  <si>
    <t>Концевой зажим винтовой изолированный КЗВИ 10 мм² (10х1) (10 шт./уп.) REXANT</t>
  </si>
  <si>
    <t>07-5704</t>
  </si>
  <si>
    <t>Концевой зажим винтовой изолированный КЗВИ 10 мм² (5х1) (10 шт./уп.) REXANT</t>
  </si>
  <si>
    <t>07-5711</t>
  </si>
  <si>
    <t>Концевой зажим винтовой изолированный КЗВИ 16 мм² (10х1) (10 шт./уп.) REXANT</t>
  </si>
  <si>
    <t>07-5705</t>
  </si>
  <si>
    <t>Концевой зажим винтовой изолированный КЗВИ 16 мм² (5х1) (10 шт./уп.) REXANT</t>
  </si>
  <si>
    <t>07-5707</t>
  </si>
  <si>
    <t>Концевой зажим винтовой изолированный КЗВИ 2,5 мм² (10х1) (10 шт./уп.) REXANT</t>
  </si>
  <si>
    <t>07-5708</t>
  </si>
  <si>
    <t>Концевой зажим винтовой изолированный КЗВИ 4 мм²  (10х1) (10 шт./уп.)REXANT</t>
  </si>
  <si>
    <t>07-5709</t>
  </si>
  <si>
    <t>Концевой зажим винтовой изолированный КЗВИ 6 мм² (10х1) (10 шт./уп.) REXANT</t>
  </si>
  <si>
    <t>07-5703</t>
  </si>
  <si>
    <t>Концевой зажим винтовой изолированный КЗВИ 6 мм² (5х1) (10 шт./уп.) REXANT</t>
  </si>
  <si>
    <t>1. 8. 5. 8 Клеммы пружинные соединительные</t>
  </si>
  <si>
    <t>07-6214</t>
  </si>
  <si>
    <t>Клемма пружинная соединительная КСП 2-полюсная (100 шт./уп.) REXANT</t>
  </si>
  <si>
    <t>07-6214-1</t>
  </si>
  <si>
    <t>Клемма пружинная соединительная КСП 2-полюсная с монтажными ножками (100 шт./уп.) REXANT</t>
  </si>
  <si>
    <t>07-6215</t>
  </si>
  <si>
    <t>Клемма пружинная соединительная КСП 3-полюсная (100 шт./уп.) REXANT</t>
  </si>
  <si>
    <t>07-6215-1</t>
  </si>
  <si>
    <t>Клемма пружинная соединительная КСП 3-полюсная с монтажными ножками (100 шт./уп.) REXANT</t>
  </si>
  <si>
    <t>07-6215-2</t>
  </si>
  <si>
    <t>Клемма пружинная соединительная КСП 3-полюсная с заземлением и с монтажными ножками (100 шт./уп.) REXANT</t>
  </si>
  <si>
    <t>07-6216-1</t>
  </si>
  <si>
    <t>Клемма пружинная соединительная КСП 4-полюсная с монтажными ножками (50 шт./уп.) REXANT</t>
  </si>
  <si>
    <t>07-6216-2</t>
  </si>
  <si>
    <t>Клемма пружинная соединительная КСП 4-полюсная с заземлением и с монтажными ножками (50 шт./уп.) REXANT</t>
  </si>
  <si>
    <t>07-6217</t>
  </si>
  <si>
    <t>Клемма пружинная соединительная КСП 5-полюсная (50 шт./уп.) REXANT</t>
  </si>
  <si>
    <t>07-6217-2</t>
  </si>
  <si>
    <t>Клемма пружинная соединительная КСП 5-полюсная с заземлением и с монтажными ножками (50 шт./уп.) REXANT</t>
  </si>
  <si>
    <t>1. 8. 5. 9 Клеммы для осветительных систем</t>
  </si>
  <si>
    <t>07-2401</t>
  </si>
  <si>
    <t>Строительно-монтажная клемма СМК 224-101 для светильника на 1 проводник (0,2-2,5)/(0,14-2,5) мм², серая (100 шт./уп.) REXANT</t>
  </si>
  <si>
    <t>07-2411</t>
  </si>
  <si>
    <t>Строительно-монтажная клемма СМК 224-112 для светильника на 2 проводника (0,2-2,5)/(0,14-2,5) мм², белая (100 шт./уп.) REXANT</t>
  </si>
  <si>
    <t>07-2402-05</t>
  </si>
  <si>
    <t>Строительно-монтажная клемма СМК 224-201 для светильника на 2 проводника (1,0-2,5)/(0,5-2,5) мм² (5 шт./уп.) REXANT</t>
  </si>
  <si>
    <t>07-2402</t>
  </si>
  <si>
    <t>Строительно-монтажная клемма СМК 224-201 для светильника на гибкие проводники (0,2-2,5)/(0,14-2,5) мм² серая (50 шт./уп.) REXANT</t>
  </si>
  <si>
    <t>1. 8. 5.10 Клеммы керамические</t>
  </si>
  <si>
    <t>07-6222</t>
  </si>
  <si>
    <t>Клемма керамическая винтовая КВ 10 мм² 2 пары контактов с крепежным отверстием (100 шт./уп.) REXANT</t>
  </si>
  <si>
    <t>07-6226</t>
  </si>
  <si>
    <t>Клемма керамическая винтовая КВ 10 мм² 3 пары контактов с крепежным отверстием (84 шт./уп.) REXANT</t>
  </si>
  <si>
    <t>07-6223</t>
  </si>
  <si>
    <t>Клемма керамическая винтовая КВ 12 мм² 2 пары контактов с крепежным отверстием (50 шт./уп.) REXANT</t>
  </si>
  <si>
    <t>07-6227</t>
  </si>
  <si>
    <t>Клемма керамическая винтовая КВ 12 мм² 3 пары контактов с крепежным отверстием (45 шт./уп.) REXANT</t>
  </si>
  <si>
    <t>07-6224</t>
  </si>
  <si>
    <t>Клемма керамическая винтовая КВ 16 мм² 2 пары контактов с крепежным отверстием (50 шт./уп.) REXANT</t>
  </si>
  <si>
    <t>07-6228</t>
  </si>
  <si>
    <t>Клемма керамическая винтовая КВ 16 мм² 3 пары контактов с крепежным отверстием REXANT (45 шт./уп.)</t>
  </si>
  <si>
    <t>07-6221</t>
  </si>
  <si>
    <t>Клемма керамическая винтовая КВ 4 мм² 2 пары контактов с крепежным отверстием (100 шт./уп.) REXANT</t>
  </si>
  <si>
    <t>07-6225</t>
  </si>
  <si>
    <t>Клемма керамическая винтовая КВ 4 мм² 3 пары контактов с крепежным отверстием (100 шт./уп.) REXANT</t>
  </si>
  <si>
    <t>1. 8. 5.11 Ответвители прокалывающие</t>
  </si>
  <si>
    <t>08-0791</t>
  </si>
  <si>
    <t>Ответвитель питания 0.5-0.75 мм² (ОВ) красный REXANT</t>
  </si>
  <si>
    <t>08-0761</t>
  </si>
  <si>
    <t>Ответвитель питания 0.5-1.0 мм² (ОВ-1/ЗПО-1 0,5-1,5) красный REXANT</t>
  </si>
  <si>
    <t>08-0771</t>
  </si>
  <si>
    <t>Ответвитель питания 1.0-2.5 мм² (ОВ-2/ЗПо-1 1,0-2,5) синий REXANT</t>
  </si>
  <si>
    <t>06-0427-A</t>
  </si>
  <si>
    <t>Ответвитель питания 1.0-2.5 мм² (ОВ-2/ЗПо-1 1,0-2,5) синий, в упак. 5 шт. REXANT</t>
  </si>
  <si>
    <t>08-0781</t>
  </si>
  <si>
    <t>Ответвитель питания 4.0-6.0 мм² (ОВ-3/ЗПо-1 4,0-6,0) желтый REXANT</t>
  </si>
  <si>
    <t>1. 8. 5.12 Сжимы ответвительные (Орехи)</t>
  </si>
  <si>
    <t>07-0731</t>
  </si>
  <si>
    <t>Зажим ответвительный У-731М (4-10/1,5-10 мм²) IP20 (сжим, орех) REXANT</t>
  </si>
  <si>
    <t>07-0733</t>
  </si>
  <si>
    <t>Зажим ответвительный У-733М (16-35/1,5-10 мм²) IP20 (сжим, орех) REXANT</t>
  </si>
  <si>
    <t>07-0734</t>
  </si>
  <si>
    <t>Зажим ответвительный У-734М (16-35/16-25 мм²) IP20 (сжим, орех) REXANT</t>
  </si>
  <si>
    <t>07-0739</t>
  </si>
  <si>
    <t>Зажим ответвительный У-739М (4-10/1,5-2,5 мм²) IP20 (сжим, орех) REXANT</t>
  </si>
  <si>
    <t>07-0859</t>
  </si>
  <si>
    <t>Зажим ответвительный У-859М (50-70/4-35 мм²) IP20 (сжим, орех) REXANT</t>
  </si>
  <si>
    <t>07-0870</t>
  </si>
  <si>
    <t>Зажим ответвительный У-870М (95-150/16-50 мм²) IP20 (сжим, орех) REXANT</t>
  </si>
  <si>
    <t>1. 8. 6 Клеммы WAGO</t>
  </si>
  <si>
    <t>1. 8. 6. 1 Клеммы WAGO групповая упаковка</t>
  </si>
  <si>
    <t>07-5161</t>
  </si>
  <si>
    <t>221-412 Универсальная компактная клемма 2-контактная до 4,0 мм² (100 шт./уп.) WAGO</t>
  </si>
  <si>
    <t>07-5165</t>
  </si>
  <si>
    <t>221-415 Универсальная компактная клемма 5-контактная до 4,0 мм² (25 шт./уп.) WAGO</t>
  </si>
  <si>
    <t>07-5153</t>
  </si>
  <si>
    <t>222-413 Универсальная клемма, 3-проводная, серая (0,08-2,5/4 мм²) (50 шт/уп) WAGO</t>
  </si>
  <si>
    <t>07-5155</t>
  </si>
  <si>
    <t>222-415 Универсальная клемма, 5-проводная, серая (0,08-2,5/4 мм²) (40 шт/уп) WAGO</t>
  </si>
  <si>
    <t>07-5135</t>
  </si>
  <si>
    <t>2273-208 Экспресс-клемма 8-проводная до 2,5 мм², (50 шт./уп.) WAGO</t>
  </si>
  <si>
    <t>1. 8. 6. 2 Клеммы WAGO розничная фасовка</t>
  </si>
  <si>
    <t>07-5161-20</t>
  </si>
  <si>
    <t>221-412 Универсальная компактная клемма 2-контактная до 4,0 мм² (20 шт/уп) WAGO</t>
  </si>
  <si>
    <t>07-5161-05</t>
  </si>
  <si>
    <t>221-412 Универсальная компактная клемма 2-контактная до 4,0 мм² (5 шт/уп) WAGO</t>
  </si>
  <si>
    <t>07-5163-05</t>
  </si>
  <si>
    <t>221-413 Универсальная компактная клемма 3-контактная до 4,0 мм² (5 шт/уп) WAGO</t>
  </si>
  <si>
    <t>07-5165-05</t>
  </si>
  <si>
    <t>221-415 Универсальная компактная клемма 5-контактная до 4,0 мм² (5 шт/уп) WAGO</t>
  </si>
  <si>
    <t>07-5152-20</t>
  </si>
  <si>
    <t>222-412 Универсальная клемма, 2-проводная, серая (0,08-2,5/4 мм²) (20 шт/уп) WAGO</t>
  </si>
  <si>
    <t>07-5132-20</t>
  </si>
  <si>
    <t>2273-203 Экcпресс-клемма, 3-проводная до 2,5 мм², (20 шт/уп) WAGO</t>
  </si>
  <si>
    <t>07-5132-05</t>
  </si>
  <si>
    <t>2273-203 Экcпресс-клемма, 3-проводная до 2,5 мм², (5 шт/уп) WAGO</t>
  </si>
  <si>
    <t>07-5134-20</t>
  </si>
  <si>
    <t>2273-205 Экcпресс-клемма, 5-проводная до 2,5 мм², (20 шт/уп) WAGO</t>
  </si>
  <si>
    <t>07-5145-06</t>
  </si>
  <si>
    <t>2273-248 Экcпресс-клемма с пастой, 8-проводная до 2,5 мм², (6 шт/уп)  WAGO</t>
  </si>
  <si>
    <t>1. 8. 7 Герметичные кабельные соединители IP68</t>
  </si>
  <si>
    <t>07-5960</t>
  </si>
  <si>
    <t>Кабельный коннектор I-образный (3PIN  0,5-1,5мм2) IP68 REXANT</t>
  </si>
  <si>
    <t>07-5961</t>
  </si>
  <si>
    <t>Кабельный коннектор I-образный (3PIN 0,5-2,5мм2) IP68 REXANT</t>
  </si>
  <si>
    <t>07-5963</t>
  </si>
  <si>
    <t>Кабельный коннектор I-образный (5PIN) IP68 REXANT</t>
  </si>
  <si>
    <t>07-5962</t>
  </si>
  <si>
    <t>Кабельный коннектор T-образный (3PIN 0,5-2,5мм2) IP68 REXANT</t>
  </si>
  <si>
    <t>1. 8. 8 Наборы розничные</t>
  </si>
  <si>
    <t>08-1930</t>
  </si>
  <si>
    <t>Набор втулочных наконечников двойных НШВи(2) (2х0.75 мм²; 2х1 мм²; 2х1.5 мм²; 2х2.5 мм²) в боксе (ТE-200) REXANT</t>
  </si>
  <si>
    <t>08-1910</t>
  </si>
  <si>
    <t>Набор втулочных наконечников НШВИ (0.5 мм²; 0.75 мм²; 1 мм²; 1.5 мм²; 2.5 мм²) в боксе (E-400) REXANT</t>
  </si>
  <si>
    <t>08-1950</t>
  </si>
  <si>
    <t>Набор наконечников и клемм универсальный (НКИ, НВИ, РпИп, РпИм IT-300) REXANT</t>
  </si>
  <si>
    <t>1. 8. 9 Коннекторы с кабелем</t>
  </si>
  <si>
    <t>11-9320</t>
  </si>
  <si>
    <t>Соединительный кабель 2-контактный (2pin) герметичный (IP67) 2х0.35 мм² белый REXANT</t>
  </si>
  <si>
    <t>11-9820</t>
  </si>
  <si>
    <t>Соединительный кабель 2-контактный (2pin) герметичный (IP67) 2х1,0мм² белый REXANT</t>
  </si>
  <si>
    <t>11-9530</t>
  </si>
  <si>
    <t>Соединительный кабель 3-контактный (3pin) герметичный (IP67) 3х0.5мм² белый REXANT</t>
  </si>
  <si>
    <t>11-9440</t>
  </si>
  <si>
    <t>Соединительный кабель 4-контактный (4pin) герметичный (IP67) 4х0.75мм² белый REXANT</t>
  </si>
  <si>
    <t>11-9450</t>
  </si>
  <si>
    <t>Соединительный кабель 5-контактный (5pin) герметичный (IP67) 5х0.5мм² белый REXANT</t>
  </si>
  <si>
    <t>1. 9 Изоляционные материалы</t>
  </si>
  <si>
    <t>1. 9. 1 Термоусаживаемые трубки</t>
  </si>
  <si>
    <t>1. 9. 1. 1 Термоусаживаемые трубки 2:1 без подавления горения</t>
  </si>
  <si>
    <t>21-0009</t>
  </si>
  <si>
    <t>Трубка термоусаживаемая ТУТ-HF(2:1)-10/5 прозрачная REXANT</t>
  </si>
  <si>
    <t>16.11.2026</t>
  </si>
  <si>
    <t>21-3009</t>
  </si>
  <si>
    <t>Трубка термоусаживаемая ТУТ-HF(2:1)-13/6,5 прозрачная REXANT</t>
  </si>
  <si>
    <t>21-5009</t>
  </si>
  <si>
    <t>Трубка термоусаживаемая ТУТ-HF(2:1)-15/7,5 прозрачная REXANT</t>
  </si>
  <si>
    <t>05.10.2026</t>
  </si>
  <si>
    <t>22-0009</t>
  </si>
  <si>
    <t>Трубка термоусаживаемая ТУТ-HF(2:1)-20/10 прозрачная REXANT</t>
  </si>
  <si>
    <t>22-5009</t>
  </si>
  <si>
    <t>Трубка термоусаживаемая ТУТ-HF(2:1)-25/12,5 прозрачная REXANT</t>
  </si>
  <si>
    <t>20-3509</t>
  </si>
  <si>
    <t>Трубка термоусаживаемая ТУТ-HF(2:1)-3,5/1,75 прозрачная REXANT</t>
  </si>
  <si>
    <t>04.12.2026</t>
  </si>
  <si>
    <t>20-3009</t>
  </si>
  <si>
    <t>Трубка термоусаживаемая ТУТ-HF(2:1)-3/1,5 прозрачная REXANT</t>
  </si>
  <si>
    <t>20-4009</t>
  </si>
  <si>
    <t>Трубка термоусаживаемая ТУТ-HF(2:1)-4/2 прозрачная REXANT</t>
  </si>
  <si>
    <t>20-5009</t>
  </si>
  <si>
    <t>Трубка термоусаживаемая ТУТ-HF(2:1)-5/2,5 прозрачная REXANT</t>
  </si>
  <si>
    <t>20-6009</t>
  </si>
  <si>
    <t>Трубка термоусаживаемая ТУТ-HF(2:1)-6/3 прозрачная REXANT</t>
  </si>
  <si>
    <t>18.11.2026</t>
  </si>
  <si>
    <t>20-8009</t>
  </si>
  <si>
    <t>Трубка термоусаживаемая ТУТ-HF(2:1)-8/4 прозрачная REXANT</t>
  </si>
  <si>
    <t>1. 9. 1. 2 Термоусаживаемые трубки 2:1 тонкостенные без подавления горения</t>
  </si>
  <si>
    <t>55-1001</t>
  </si>
  <si>
    <t>Трубка термоусаживаемая ТУТ-HF (2:1)-10/5 белая PROconnect</t>
  </si>
  <si>
    <t>55-1002</t>
  </si>
  <si>
    <t>Трубка термоусаживаемая ТУТ-HF (2:1)-10/5 желтая PROconnect</t>
  </si>
  <si>
    <t>55-1003</t>
  </si>
  <si>
    <t>Трубка термоусаживаемая ТУТ-HF (2:1)-10/5 зеленая PROconnect</t>
  </si>
  <si>
    <t>55-1004</t>
  </si>
  <si>
    <t>Трубка термоусаживаемая ТУТ-HF (2:1)-10/5 красная PROconnect</t>
  </si>
  <si>
    <t>55-1005</t>
  </si>
  <si>
    <t>Трубка термоусаживаемая ТУТ-HF (2:1)-10/5 синяя PROconnect</t>
  </si>
  <si>
    <t>55-1006</t>
  </si>
  <si>
    <t>Трубка термоусаживаемая ТУТ-HF (2:1)-10/5 черная PROconnect</t>
  </si>
  <si>
    <t>55-1201</t>
  </si>
  <si>
    <t>Трубка термоусаживаемая ТУТ-HF (2:1)-12/6 белая PROconnect</t>
  </si>
  <si>
    <t>55-1202</t>
  </si>
  <si>
    <t>Трубка термоусаживаемая ТУТ-HF (2:1)-12/6 желтая PROconnect</t>
  </si>
  <si>
    <t>55-1203</t>
  </si>
  <si>
    <t>Трубка термоусаживаемая ТУТ-HF (2:1)-12/6 зеленая PROconnect</t>
  </si>
  <si>
    <t>55-1204</t>
  </si>
  <si>
    <t>Трубка термоусаживаемая ТУТ-HF (2:1)-12/6 красная PROconnect</t>
  </si>
  <si>
    <t>55-1205</t>
  </si>
  <si>
    <t>Трубка термоусаживаемая ТУТ-HF (2:1)-12/6 синяя PROconnect</t>
  </si>
  <si>
    <t>55-1206</t>
  </si>
  <si>
    <t>Трубка термоусаживаемая ТУТ-HF (2:1)-12/6 черная PROconnect</t>
  </si>
  <si>
    <t>55-1501</t>
  </si>
  <si>
    <t>Трубка термоусаживаемая ТУТ-HF (2:1)-15/7,5 белая PROconnect</t>
  </si>
  <si>
    <t>55-1502</t>
  </si>
  <si>
    <t>Трубка термоусаживаемая ТУТ-HF (2:1)-15/7,5 желтая PROconnect</t>
  </si>
  <si>
    <t>55-1504</t>
  </si>
  <si>
    <t>Трубка термоусаживаемая ТУТ-HF (2:1)-15/7,5 красная PROconnect</t>
  </si>
  <si>
    <t>55-1505</t>
  </si>
  <si>
    <t>Трубка термоусаживаемая ТУТ-HF (2:1)-15/7,5 синяя PROconnect</t>
  </si>
  <si>
    <t>55-1506</t>
  </si>
  <si>
    <t>Трубка термоусаживаемая ТУТ-HF (2:1)-15/7,5 черная PROconnect</t>
  </si>
  <si>
    <t>55-1801</t>
  </si>
  <si>
    <t>Трубка термоусаживаемая ТУТ-HF (2:1)-18/9 белая PROconnect</t>
  </si>
  <si>
    <t>55-1802</t>
  </si>
  <si>
    <t>Трубка термоусаживаемая ТУТ-HF (2:1)-18/9 желтая PROconnect</t>
  </si>
  <si>
    <t>55-1803</t>
  </si>
  <si>
    <t>Трубка термоусаживаемая ТУТ-HF (2:1)-18/9 зеленая PROconnect</t>
  </si>
  <si>
    <t>55-1804</t>
  </si>
  <si>
    <t>Трубка термоусаживаемая ТУТ-HF (2:1)-18/9 красная PROconnect</t>
  </si>
  <si>
    <t>55-1805</t>
  </si>
  <si>
    <t>Трубка термоусаживаемая ТУТ-HF (2:1)-18/9 синяя PROconnect</t>
  </si>
  <si>
    <t>55-1806</t>
  </si>
  <si>
    <t>Трубка термоусаживаемая ТУТ-HF (2:1)-18/9 черная PROconnect</t>
  </si>
  <si>
    <t>55-0203</t>
  </si>
  <si>
    <t>Трубка термоусаживаемая ТУТ-HF (2:1)-2/1 зеленая PROconnect</t>
  </si>
  <si>
    <t>55-0204</t>
  </si>
  <si>
    <t>Трубка термоусаживаемая ТУТ-HF (2:1)-2/1 красная PROconnect</t>
  </si>
  <si>
    <t>55-0206</t>
  </si>
  <si>
    <t>Трубка термоусаживаемая ТУТ-HF (2:1)-2/1 черная PROconnect</t>
  </si>
  <si>
    <t>55-2002</t>
  </si>
  <si>
    <t>Трубка термоусаживаемая ТУТ-HF (2:1)-20/10 желтая PROconnect</t>
  </si>
  <si>
    <t>55-2005</t>
  </si>
  <si>
    <t>Трубка термоусаживаемая ТУТ-HF (2:1)-20/10 синяя PROconnect</t>
  </si>
  <si>
    <t>55-2006</t>
  </si>
  <si>
    <t>Трубка термоусаживаемая ТУТ-HF (2:1)-20/10 черная PROconnect</t>
  </si>
  <si>
    <t>55-2503</t>
  </si>
  <si>
    <t>Трубка термоусаживаемая ТУТ-HF (2:1)-25/12,5 зеленая PROconnect</t>
  </si>
  <si>
    <t>55-0301</t>
  </si>
  <si>
    <t>Трубка термоусаживаемая ТУТ-HF (2:1)-3/1,5 белая PROconnect</t>
  </si>
  <si>
    <t>55-3001</t>
  </si>
  <si>
    <t>Трубка термоусаживаемая ТУТ-HF (2:1)-30/15 белая PROconnect</t>
  </si>
  <si>
    <t>55-3004</t>
  </si>
  <si>
    <t>Трубка термоусаживаемая ТУТ-HF (2:1)-30/15 красная PROconnect</t>
  </si>
  <si>
    <t>55-0403</t>
  </si>
  <si>
    <t>Трубка термоусаживаемая ТУТ-HF (2:1)-4/2 зеленая PROconnect</t>
  </si>
  <si>
    <t>55-0406</t>
  </si>
  <si>
    <t>Трубка термоусаживаемая ТУТ-HF (2:1)-4/2 черная PROconnect</t>
  </si>
  <si>
    <t>55-4001</t>
  </si>
  <si>
    <t>Трубка термоусаживаемая ТУТ-HF (2:1)-40/20 белая PROconnect</t>
  </si>
  <si>
    <t>55-4006</t>
  </si>
  <si>
    <t>Трубка термоусаживаемая ТУТ-HF (2:1)-40/20 черная PROconnect</t>
  </si>
  <si>
    <t>55-5001</t>
  </si>
  <si>
    <t>Трубка термоусаживаемая ТУТ-HF (2:1)-50/25 белая PROconnect</t>
  </si>
  <si>
    <t>55-5004</t>
  </si>
  <si>
    <t>Трубка термоусаживаемая ТУТ-HF (2:1)-50/25 красная PROconnect</t>
  </si>
  <si>
    <t>55-5006</t>
  </si>
  <si>
    <t>Трубка термоусаживаемая ТУТ-HF (2:1)-50/25 черная PROconnect</t>
  </si>
  <si>
    <t>55-0601</t>
  </si>
  <si>
    <t>Трубка термоусаживаемая ТУТ-HF (2:1)-6/3 белая PROconnect</t>
  </si>
  <si>
    <t>55-0603</t>
  </si>
  <si>
    <t>Трубка термоусаживаемая ТУТ-HF (2:1)-6/3 зеленая PROconnect</t>
  </si>
  <si>
    <t>55-0604</t>
  </si>
  <si>
    <t>Трубка термоусаживаемая ТУТ-HF (2:1)-6/3 красная PROconnect</t>
  </si>
  <si>
    <t>55-0605</t>
  </si>
  <si>
    <t>Трубка термоусаживаемая ТУТ-HF (2:1)-6/3 синяя PROconnect</t>
  </si>
  <si>
    <t>55-0606</t>
  </si>
  <si>
    <t>Трубка термоусаживаемая ТУТ-HF (2:1)-6/3 черная PROconnect</t>
  </si>
  <si>
    <t>55-6001</t>
  </si>
  <si>
    <t>Трубка термоусаживаемая ТУТ-HF (2:1)-60/30 белая PROconnect</t>
  </si>
  <si>
    <t>55-6002</t>
  </si>
  <si>
    <t>Трубка термоусаживаемая ТУТ-HF (2:1)-60/30 желтая PROconnect</t>
  </si>
  <si>
    <t>55-6007</t>
  </si>
  <si>
    <t>Трубка термоусаживаемая ТУТ-HF (2:1)-60/30 желто-зеленая PROconnect</t>
  </si>
  <si>
    <t>55-6004</t>
  </si>
  <si>
    <t>Трубка термоусаживаемая ТУТ-HF (2:1)-60/30 красная PROconnect</t>
  </si>
  <si>
    <t>55-6005</t>
  </si>
  <si>
    <t>Трубка термоусаживаемая ТУТ-HF (2:1)-60/30 синяя PROconnect</t>
  </si>
  <si>
    <t>55-0801</t>
  </si>
  <si>
    <t>Трубка термоусаживаемая ТУТ-HF (2:1)-8/4 белая PROconnect</t>
  </si>
  <si>
    <t>55-0802</t>
  </si>
  <si>
    <t>Трубка термоусаживаемая ТУТ-HF (2:1)-8/4 желтая PROconnect</t>
  </si>
  <si>
    <t>55-0803</t>
  </si>
  <si>
    <t>Трубка термоусаживаемая ТУТ-HF (2:1)-8/4 зеленая PROconnect</t>
  </si>
  <si>
    <t>55-0804</t>
  </si>
  <si>
    <t>Трубка термоусаживаемая ТУТ-HF (2:1)-8/4 красная PROconnect</t>
  </si>
  <si>
    <t>55-0805</t>
  </si>
  <si>
    <t>Трубка термоусаживаемая ТУТ-HF (2:1)-8/4 синяя PROconnect</t>
  </si>
  <si>
    <t>1. 9. 1. 3 Термоусаживаемые трубки 2:1 с подавлением горения</t>
  </si>
  <si>
    <t>20-1501</t>
  </si>
  <si>
    <t>Трубка термоусаживаемая ТУТнг-LS (2:1)-1,5/0,75 белая REXANT</t>
  </si>
  <si>
    <t>20-1502</t>
  </si>
  <si>
    <t>Трубка термоусаживаемая ТУТнг-LS (2:1)-1,5/0,75 желтая REXANT</t>
  </si>
  <si>
    <t>20-1507</t>
  </si>
  <si>
    <t>Трубка термоусаживаемая ТУТнг-LS (2:1)-1,5/0,75 желто-зеленая REXANT</t>
  </si>
  <si>
    <t>27.11.2026</t>
  </si>
  <si>
    <t>20-1503</t>
  </si>
  <si>
    <t>Трубка термоусаживаемая ТУТнг-LS (2:1)-1,5/0,75 зеленая REXANT</t>
  </si>
  <si>
    <t>20-1504</t>
  </si>
  <si>
    <t>Трубка термоусаживаемая ТУТнг-LS (2:1)-1,5/0,75 красная REXANT</t>
  </si>
  <si>
    <t>20-1505</t>
  </si>
  <si>
    <t>Трубка термоусаживаемая ТУТнг-LS (2:1)-1,5/0,75 синяя REXANT</t>
  </si>
  <si>
    <t>20-1506</t>
  </si>
  <si>
    <t>Трубка термоусаживаемая ТУТнг-LS (2:1)-1,5/0,75 черная REXANT</t>
  </si>
  <si>
    <t>20-1001</t>
  </si>
  <si>
    <t>Трубка термоусаживаемая ТУТнг-LS (2:1)-1/0,5 белая REXANT</t>
  </si>
  <si>
    <t>20-1002</t>
  </si>
  <si>
    <t>Трубка термоусаживаемая ТУТнг-LS (2:1)-1/0,5 желтая REXANT</t>
  </si>
  <si>
    <t>20-1003</t>
  </si>
  <si>
    <t>Трубка термоусаживаемая ТУТнг-LS (2:1)-1/0,5 зеленая REXANT</t>
  </si>
  <si>
    <t>20-1004</t>
  </si>
  <si>
    <t>Трубка термоусаживаемая ТУТнг-LS (2:1)-1/0,5 красная REXANT</t>
  </si>
  <si>
    <t>20-1005</t>
  </si>
  <si>
    <t>Трубка термоусаживаемая ТУТнг-LS (2:1)-1/0,5 синяя REXANT</t>
  </si>
  <si>
    <t>20-1006</t>
  </si>
  <si>
    <t>Трубка термоусаживаемая ТУТнг-LS (2:1)-1/0,5 черная REXANT</t>
  </si>
  <si>
    <t>21-0001</t>
  </si>
  <si>
    <t>Трубка термоусаживаемая ТУТнг-LS (2:1)-10/5 белая REXANT</t>
  </si>
  <si>
    <t>21-0002</t>
  </si>
  <si>
    <t>Трубка термоусаживаемая ТУТнг-LS (2:1)-10/5 желтая REXANT</t>
  </si>
  <si>
    <t>21-0007</t>
  </si>
  <si>
    <t>Трубка термоусаживаемая ТУТнг-LS (2:1)-10/5 желто-зеленая REXANT</t>
  </si>
  <si>
    <t>21-0003</t>
  </si>
  <si>
    <t>Трубка термоусаживаемая ТУТнг-LS (2:1)-10/5 зеленая REXANT</t>
  </si>
  <si>
    <t>21-0004</t>
  </si>
  <si>
    <t>Трубка термоусаживаемая ТУТнг-LS (2:1)-10/5 красная REXANT</t>
  </si>
  <si>
    <t>21-0010</t>
  </si>
  <si>
    <t>Трубка термоусаживаемая ТУТнг-LS (2:1)-10/5 серая REXANT</t>
  </si>
  <si>
    <t>13.10.2026</t>
  </si>
  <si>
    <t>21-0006</t>
  </si>
  <si>
    <t>Трубка термоусаживаемая ТУТнг-LS (2:1)-10/5 синяя REXANT</t>
  </si>
  <si>
    <t>21-0008</t>
  </si>
  <si>
    <t>Трубка термоусаживаемая ТУТнг-LS (2:1)-10/5 черная REXANT</t>
  </si>
  <si>
    <t>25-0100</t>
  </si>
  <si>
    <t>Трубка термоусаживаемая ТУТнг-LS (2:1)-100/50 черная REXANT</t>
  </si>
  <si>
    <t>21-2001</t>
  </si>
  <si>
    <t>Трубка термоусаживаемая ТУТнг-LS (2:1)-12/6 белая REXANT</t>
  </si>
  <si>
    <t>21-2002</t>
  </si>
  <si>
    <t>Трубка термоусаживаемая ТУТнг-LS (2:1)-12/6 желтая REXANT</t>
  </si>
  <si>
    <t>21-2007</t>
  </si>
  <si>
    <t>Трубка термоусаживаемая ТУТнг-LS (2:1)-12/6 желто-зеленая REXANT</t>
  </si>
  <si>
    <t>21-2003</t>
  </si>
  <si>
    <t>Трубка термоусаживаемая ТУТнг-LS (2:1)-12/6 зеленая REXANT</t>
  </si>
  <si>
    <t>21-2004</t>
  </si>
  <si>
    <t>Трубка термоусаживаемая ТУТнг-LS (2:1)-12/6 красная REXANT</t>
  </si>
  <si>
    <t>21-2010</t>
  </si>
  <si>
    <t>Трубка термоусаживаемая ТУТнг-LS (2:1)-12/6 серая REXANT</t>
  </si>
  <si>
    <t>21-2005</t>
  </si>
  <si>
    <t>Трубка термоусаживаемая ТУТнг-LS (2:1)-12/6 синяя REXANT</t>
  </si>
  <si>
    <t>21-2006</t>
  </si>
  <si>
    <t>Трубка термоусаживаемая ТУТнг-LS (2:1)-12/6 черная REXANT</t>
  </si>
  <si>
    <t>25-0120</t>
  </si>
  <si>
    <t>Трубка термоусаживаемая ТУТнг-LS (2:1)-120/60 черная REXANT</t>
  </si>
  <si>
    <t>21-3001</t>
  </si>
  <si>
    <t>Трубка термоусаживаемая ТУТнг-LS (2:1)-13/6,5 белая REXANT</t>
  </si>
  <si>
    <t>21-3002</t>
  </si>
  <si>
    <t>Трубка термоусаживаемая ТУТнг-LS (2:1)-13/6,5 желтая REXANT</t>
  </si>
  <si>
    <t>21-3003</t>
  </si>
  <si>
    <t>Трубка термоусаживаемая ТУТнг-LS (2:1)-13/6,5 зеленая REXANT</t>
  </si>
  <si>
    <t>21-3004</t>
  </si>
  <si>
    <t>Трубка термоусаживаемая ТУТнг-LS (2:1)-13/6,5 красная REXANT</t>
  </si>
  <si>
    <t>21-3006</t>
  </si>
  <si>
    <t>Трубка термоусаживаемая ТУТнг-LS (2:1)-13/6,5 синяя REXANT</t>
  </si>
  <si>
    <t>21-3008</t>
  </si>
  <si>
    <t>Трубка термоусаживаемая ТУТнг-LS (2:1)-13/6,5 черная REXANT</t>
  </si>
  <si>
    <t>21-5001</t>
  </si>
  <si>
    <t>Трубка термоусаживаемая ТУТнг-LS (2:1)-15/7,5 белая REXANT</t>
  </si>
  <si>
    <t>21-5002</t>
  </si>
  <si>
    <t>Трубка термоусаживаемая ТУТнг-LS (2:1)-15/7,5 желтая REXANT</t>
  </si>
  <si>
    <t>21-5007</t>
  </si>
  <si>
    <t>Трубка термоусаживаемая ТУТнг-LS (2:1)-15/7,5 желто-зеленая REXANT</t>
  </si>
  <si>
    <t>21-5003</t>
  </si>
  <si>
    <t>Трубка термоусаживаемая ТУТнг-LS (2:1)-15/7,5 зеленая REXANT</t>
  </si>
  <si>
    <t>21-5004</t>
  </si>
  <si>
    <t>Трубка термоусаживаемая ТУТнг-LS (2:1)-15/7,5 красная REXANT</t>
  </si>
  <si>
    <t>21-5010</t>
  </si>
  <si>
    <t>Трубка термоусаживаемая ТУТнг-LS (2:1)-15/7,5 серая REXANT</t>
  </si>
  <si>
    <t>21-5005</t>
  </si>
  <si>
    <t>Трубка термоусаживаемая ТУТнг-LS (2:1)-15/7,5 синяя REXANT</t>
  </si>
  <si>
    <t>21-5006</t>
  </si>
  <si>
    <t>Трубка термоусаживаемая ТУТнг-LS (2:1)-15/7,5 черная REXANT</t>
  </si>
  <si>
    <t>21-8004</t>
  </si>
  <si>
    <t>Трубка термоусаживаемая ТУТнг-LS (2:1)-18/9 красная REXANT</t>
  </si>
  <si>
    <t>21-8006</t>
  </si>
  <si>
    <t>Трубка термоусаживаемая ТУТнг-LS (2:1)-18/9 черная REXANT</t>
  </si>
  <si>
    <t>21-9001</t>
  </si>
  <si>
    <t>Трубка термоусаживаемая ТУТнг-LS (2:1)-19/9,5 белая REXANT</t>
  </si>
  <si>
    <t>21-9002</t>
  </si>
  <si>
    <t>Трубка термоусаживаемая ТУТнг-LS (2:1)-19/9,5 желтая REXANT</t>
  </si>
  <si>
    <t>21-9003</t>
  </si>
  <si>
    <t>Трубка термоусаживаемая ТУТнг-LS (2:1)-19/9,5 зеленая REXANT</t>
  </si>
  <si>
    <t>21-9004</t>
  </si>
  <si>
    <t>Трубка термоусаживаемая ТУТнг-LS (2:1)-19/9,5 красная REXANT</t>
  </si>
  <si>
    <t>21-9006</t>
  </si>
  <si>
    <t>Трубка термоусаживаемая ТУТнг-LS (2:1)-19/9,5 черная REXANT</t>
  </si>
  <si>
    <t>20-2501</t>
  </si>
  <si>
    <t>Трубка термоусаживаемая ТУТнг-LS (2:1)-2,5/1,25 белая REXANT</t>
  </si>
  <si>
    <t>20-2502</t>
  </si>
  <si>
    <t>Трубка термоусаживаемая ТУТнг-LS (2:1)-2,5/1,25 желтая REXANT</t>
  </si>
  <si>
    <t>20-2503</t>
  </si>
  <si>
    <t>Трубка термоусаживаемая ТУТнг-LS (2:1)-2,5/1,25 зеленая REXANT</t>
  </si>
  <si>
    <t>20-2504</t>
  </si>
  <si>
    <t>Трубка термоусаживаемая ТУТнг-LS (2:1)-2,5/1,25 красная REXANT</t>
  </si>
  <si>
    <t>20-2505</t>
  </si>
  <si>
    <t>Трубка термоусаживаемая ТУТнг-LS (2:1)-2,5/1,25 синяя REXANT</t>
  </si>
  <si>
    <t>20-2506</t>
  </si>
  <si>
    <t>Трубка термоусаживаемая ТУТнг-LS (2:1)-2,5/1,25 черная REXANT</t>
  </si>
  <si>
    <t>20-2001</t>
  </si>
  <si>
    <t>Трубка термоусаживаемая ТУТнг-LS (2:1)-2/1 белая REXANT</t>
  </si>
  <si>
    <t>20-2002</t>
  </si>
  <si>
    <t>Трубка термоусаживаемая ТУТнг-LS (2:1)-2/1 желтая REXANT</t>
  </si>
  <si>
    <t>20-2007</t>
  </si>
  <si>
    <t>Трубка термоусаживаемая ТУТнг-LS (2:1)-2/1 желто-зеленая REXANT</t>
  </si>
  <si>
    <t>20-2003</t>
  </si>
  <si>
    <t>Трубка термоусаживаемая ТУТнг-LS (2:1)-2/1 зеленая REXANT</t>
  </si>
  <si>
    <t>20-2004</t>
  </si>
  <si>
    <t>Трубка термоусаживаемая ТУТнг-LS (2:1)-2/1 красная REXANT</t>
  </si>
  <si>
    <t>20-2010</t>
  </si>
  <si>
    <t>Трубка термоусаживаемая ТУТнг-LS (2:1)-2/1 серая REXANT</t>
  </si>
  <si>
    <t>20-2005</t>
  </si>
  <si>
    <t>Трубка термоусаживаемая ТУТнг-LS (2:1)-2/1 синяя REXANT</t>
  </si>
  <si>
    <t>20-2006</t>
  </si>
  <si>
    <t>Трубка термоусаживаемая ТУТнг-LS (2:1)-2/1 черная REXANT</t>
  </si>
  <si>
    <t>22-0001</t>
  </si>
  <si>
    <t>Трубка термоусаживаемая ТУТнг-LS (2:1)-20/10 белая REXANT</t>
  </si>
  <si>
    <t>22-0002</t>
  </si>
  <si>
    <t>Трубка термоусаживаемая ТУТнг-LS (2:1)-20/10 желтая REXANT</t>
  </si>
  <si>
    <t>22-0007</t>
  </si>
  <si>
    <t>Трубка термоусаживаемая ТУТнг-LS (2:1)-20/10 желто-зеленая REXANT</t>
  </si>
  <si>
    <t>22-0003</t>
  </si>
  <si>
    <t>Трубка термоусаживаемая ТУТнг-LS (2:1)-20/10 зеленая REXANT</t>
  </si>
  <si>
    <t>22-0004</t>
  </si>
  <si>
    <t>Трубка термоусаживаемая ТУТнг-LS (2:1)-20/10 красная REXANT</t>
  </si>
  <si>
    <t>22-0010</t>
  </si>
  <si>
    <t>Трубка термоусаживаемая ТУТнг-LS (2:1)-20/10 серая REXANT</t>
  </si>
  <si>
    <t>22-0006</t>
  </si>
  <si>
    <t>Трубка термоусаживаемая ТУТнг-LS (2:1)-20/10 синяя REXANT</t>
  </si>
  <si>
    <t>22-0008</t>
  </si>
  <si>
    <t>Трубка термоусаживаемая ТУТнг-LS (2:1)-20/10 черный REXANT</t>
  </si>
  <si>
    <t>22-2001</t>
  </si>
  <si>
    <t>Трубка термоусаживаемая ТУТнг-LS (2:1)-22/11 белая REXANT</t>
  </si>
  <si>
    <t>22-2002</t>
  </si>
  <si>
    <t>Трубка термоусаживаемая ТУТнг-LS (2:1)-22/11 желтая REXANT</t>
  </si>
  <si>
    <t>22-2003</t>
  </si>
  <si>
    <t>Трубка термоусаживаемая ТУТнг-LS (2:1)-22/11 зеленая REXANT</t>
  </si>
  <si>
    <t>22-2004</t>
  </si>
  <si>
    <t>Трубка термоусаживаемая ТУТнг-LS (2:1)-22/11 красная REXANT</t>
  </si>
  <si>
    <t>22-2006</t>
  </si>
  <si>
    <t>Трубка термоусаживаемая ТУТнг-LS (2:1)-22/11 черная REXANT</t>
  </si>
  <si>
    <t>22-5001</t>
  </si>
  <si>
    <t>Трубка термоусаживаемая ТУТнг-LS (2:1)-25/12,5 белая REXANT</t>
  </si>
  <si>
    <t>22-5002</t>
  </si>
  <si>
    <t>Трубка термоусаживаемая ТУТнг-LS (2:1)-25/12,5 желтая REXANT</t>
  </si>
  <si>
    <t>22-5007</t>
  </si>
  <si>
    <t>Трубка термоусаживаемая ТУТнг-LS (2:1)-25/12,5 желто-зеленая REXANT</t>
  </si>
  <si>
    <t>22-5003</t>
  </si>
  <si>
    <t>Трубка термоусаживаемая ТУТнг-LS (2:1)-25/12,5 зеленая REXANT</t>
  </si>
  <si>
    <t>22-5004</t>
  </si>
  <si>
    <t>Трубка термоусаживаемая ТУТнг-LS (2:1)-25/12,5 красная REXANT</t>
  </si>
  <si>
    <t>22-5010</t>
  </si>
  <si>
    <t>Трубка термоусаживаемая ТУТнг-LS (2:1)-25/12,5 серая REXANT</t>
  </si>
  <si>
    <t>22-5006</t>
  </si>
  <si>
    <t>Трубка термоусаживаемая ТУТнг-LS (2:1)-25/12,5 синяя REXANT</t>
  </si>
  <si>
    <t>22-5008</t>
  </si>
  <si>
    <t>Трубка термоусаживаемая ТУТнг-LS (2:1)-25/12,5 черная REXANT</t>
  </si>
  <si>
    <t>20-3501</t>
  </si>
  <si>
    <t>Трубка термоусаживаемая ТУТнг-LS (2:1)-3,5/1,75 белая REXANT</t>
  </si>
  <si>
    <t>20-3502</t>
  </si>
  <si>
    <t>Трубка термоусаживаемая ТУТнг-LS (2:1)-3,5/1,75 желтая REXANT</t>
  </si>
  <si>
    <t>20-3503</t>
  </si>
  <si>
    <t>Трубка термоусаживаемая ТУТнг-LS (2:1)-3,5/1,75 зеленая REXANT</t>
  </si>
  <si>
    <t>20-3504</t>
  </si>
  <si>
    <t>Трубка термоусаживаемая ТУТнг-LS (2:1)-3,5/1,75 красная REXANT</t>
  </si>
  <si>
    <t>20-3505</t>
  </si>
  <si>
    <t>Трубка термоусаживаемая ТУТнг-LS (2:1)-3,5/1,75 синяя REXANT</t>
  </si>
  <si>
    <t>20-3506</t>
  </si>
  <si>
    <t>Трубка термоусаживаемая ТУТнг-LS (2:1)-3,5/1,75 черная REXANT</t>
  </si>
  <si>
    <t>20-3001</t>
  </si>
  <si>
    <t>Трубка термоусаживаемая ТУТнг-LS (2:1)-3/1,5 белая REXANT</t>
  </si>
  <si>
    <t>20-3002</t>
  </si>
  <si>
    <t>Трубка термоусаживаемая ТУТнг-LS (2:1)-3/1,5 желтая REXANT</t>
  </si>
  <si>
    <t>20-3007</t>
  </si>
  <si>
    <t>Трубка термоусаживаемая ТУТнг-LS (2:1)-3/1,5 желто-зеленая REXANT</t>
  </si>
  <si>
    <t>20-3003</t>
  </si>
  <si>
    <t>Трубка термоусаживаемая ТУТнг-LS (2:1)-3/1,5 зеленая REXANT</t>
  </si>
  <si>
    <t>20-3004</t>
  </si>
  <si>
    <t>Трубка термоусаживаемая ТУТнг-LS (2:1)-3/1,5 красная REXANT</t>
  </si>
  <si>
    <t>20-3010</t>
  </si>
  <si>
    <t>Трубка термоусаживаемая ТУТнг-LS (2:1)-3/1,5 серая REXANT</t>
  </si>
  <si>
    <t>20-3005</t>
  </si>
  <si>
    <t>Трубка термоусаживаемая ТУТнг-LS (2:1)-3/1,5 синяя REXANT</t>
  </si>
  <si>
    <t>20-3006</t>
  </si>
  <si>
    <t>Трубка термоусаживаемая ТУТнг-LS (2:1)-3/1,5 черная REXANT</t>
  </si>
  <si>
    <t>23-0001</t>
  </si>
  <si>
    <t>Трубка термоусаживаемая ТУТнг-LS (2:1)-30/15 белая REXANT</t>
  </si>
  <si>
    <t>23-0002</t>
  </si>
  <si>
    <t>Трубка термоусаживаемая ТУТнг-LS (2:1)-30/15 желтая REXANT</t>
  </si>
  <si>
    <t>23-0007</t>
  </si>
  <si>
    <t>Трубка термоусаживаемая ТУТнг-LS (2:1)-30/15 желто-зеленая REXANT</t>
  </si>
  <si>
    <t>23-0003</t>
  </si>
  <si>
    <t>Трубка термоусаживаемая ТУТнг-LS (2:1)-30/15 зеленая REXANT</t>
  </si>
  <si>
    <t>23-0004</t>
  </si>
  <si>
    <t>Трубка термоусаживаемая ТУТнг-LS (2:1)-30/15 красная REXANT</t>
  </si>
  <si>
    <t>23-0005</t>
  </si>
  <si>
    <t>Трубка термоусаживаемая ТУТнг-LS (2:1)-30/15 синяя REXANT</t>
  </si>
  <si>
    <t>23-0006</t>
  </si>
  <si>
    <t>Трубка термоусаживаемая ТУТнг-LS (2:1)-30/15 черная REXANT</t>
  </si>
  <si>
    <t>23-5001</t>
  </si>
  <si>
    <t>Трубка термоусаживаемая ТУТнг-LS (2:1)-35/17,5 белая REXANT</t>
  </si>
  <si>
    <t>23-5002</t>
  </si>
  <si>
    <t>Трубка термоусаживаемая ТУТнг-LS (2:1)-35/17,5 желтая REXANT</t>
  </si>
  <si>
    <t>23-5008</t>
  </si>
  <si>
    <t>Трубка термоусаживаемая ТУТнг-LS (2:1)-35/17,5 желто-зеленая REXANT</t>
  </si>
  <si>
    <t>23-5003</t>
  </si>
  <si>
    <t>Трубка термоусаживаемая ТУТнг-LS (2:1)-35/17,5 зеленая REXANT</t>
  </si>
  <si>
    <t>23-5004</t>
  </si>
  <si>
    <t>Трубка термоусаживаемая ТУТнг-LS (2:1)-35/17,5 красная REXANT</t>
  </si>
  <si>
    <t>23-5007</t>
  </si>
  <si>
    <t>Трубка термоусаживаемая ТУТнг-LS (2:1)-35/17,5 синяя REXANT</t>
  </si>
  <si>
    <t>23-5006</t>
  </si>
  <si>
    <t>Трубка термоусаживаемая ТУТнг-LS (2:1)-35/17,5 черная REXANT</t>
  </si>
  <si>
    <t>20-4001</t>
  </si>
  <si>
    <t>Трубка термоусаживаемая ТУТнг-LS (2:1)-4/2 белая REXANT</t>
  </si>
  <si>
    <t>20-4002</t>
  </si>
  <si>
    <t>Трубка термоусаживаемая ТУТнг-LS (2:1)-4/2 желтая REXANT</t>
  </si>
  <si>
    <t>20-4007</t>
  </si>
  <si>
    <t>Трубка термоусаживаемая ТУТнг-LS (2:1)-4/2 желто-зеленая REXANT</t>
  </si>
  <si>
    <t>20-4003</t>
  </si>
  <si>
    <t>Трубка термоусаживаемая ТУТнг-LS (2:1)-4/2 зеленый REXANT</t>
  </si>
  <si>
    <t>20-4004</t>
  </si>
  <si>
    <t>Трубка термоусаживаемая ТУТнг-LS (2:1)-4/2 красная REXANT</t>
  </si>
  <si>
    <t>20-4010</t>
  </si>
  <si>
    <t>Трубка термоусаживаемая ТУТнг-LS (2:1)-4/2 серая REXANT</t>
  </si>
  <si>
    <t>20-4005</t>
  </si>
  <si>
    <t>Трубка термоусаживаемая ТУТнг-LS (2:1)-4/2 синяя REXANT</t>
  </si>
  <si>
    <t>20-4006</t>
  </si>
  <si>
    <t>Трубка термоусаживаемая ТУТнг-LS (2:1)-4/2 черная REXANT</t>
  </si>
  <si>
    <t>24-0001</t>
  </si>
  <si>
    <t>Трубка термоусаживаемая ТУТнг-LS (2:1)-40/20 белая REXANT</t>
  </si>
  <si>
    <t>24-0002</t>
  </si>
  <si>
    <t>Трубка термоусаживаемая ТУТнг-LS (2:1)-40/20 желтая REXANT</t>
  </si>
  <si>
    <t>24-0008</t>
  </si>
  <si>
    <t>Трубка термоусаживаемая ТУТнг-LS (2:1)-40/20 желто-зеленая REXANT</t>
  </si>
  <si>
    <t>24-0003</t>
  </si>
  <si>
    <t>Трубка термоусаживаемая ТУТнг-LS (2:1)-40/20 зеленый REXANT</t>
  </si>
  <si>
    <t>24-0004</t>
  </si>
  <si>
    <t>Трубка термоусаживаемая ТУТнг-LS (2:1)-40/20 красная REXANT</t>
  </si>
  <si>
    <t>24-0006</t>
  </si>
  <si>
    <t>Трубка термоусаживаемая ТУТнг-LS (2:1)-40/20 синяя REXANT</t>
  </si>
  <si>
    <t>24-0007</t>
  </si>
  <si>
    <t>Трубка термоусаживаемая ТУТнг-LS (2:1)-40/20 черная REXANT</t>
  </si>
  <si>
    <t>20-5001</t>
  </si>
  <si>
    <t>Трубка термоусаживаемая ТУТнг-LS (2:1)-5/2,5 белая REXANT</t>
  </si>
  <si>
    <t>20-5002</t>
  </si>
  <si>
    <t>Трубка термоусаживаемая ТУТнг-LS (2:1)-5/2,5 желтая REXANT</t>
  </si>
  <si>
    <t>20-5003</t>
  </si>
  <si>
    <t>Трубка термоусаживаемая ТУТнг-LS (2:1)-5/2,5 зеленая REXANT</t>
  </si>
  <si>
    <t>20-5004</t>
  </si>
  <si>
    <t>Трубка термоусаживаемая ТУТнг-LS (2:1)-5/2,5 красная REXANT</t>
  </si>
  <si>
    <t>20-5010</t>
  </si>
  <si>
    <t>Трубка термоусаживаемая ТУТнг-LS (2:1)-5/2,5 серая REXANT</t>
  </si>
  <si>
    <t>20-5005</t>
  </si>
  <si>
    <t>Трубка термоусаживаемая ТУТнг-LS (2:1)-5/2,5 синяя REXANT</t>
  </si>
  <si>
    <t>20-5006</t>
  </si>
  <si>
    <t>Трубка термоусаживаемая ТУТнг-LS (2:1)-5/2,5 черная REXANT</t>
  </si>
  <si>
    <t>25-0001</t>
  </si>
  <si>
    <t>Трубка термоусаживаемая ТУТнг-LS (2:1)-50/25 белая REXANT</t>
  </si>
  <si>
    <t>25-0002</t>
  </si>
  <si>
    <t>Трубка термоусаживаемая ТУТнг-LS (2:1)-50/25 желтая REXANT</t>
  </si>
  <si>
    <t>25-0007</t>
  </si>
  <si>
    <t>Трубка термоусаживаемая ТУТнг-LS (2:1)-50/25 желто-зеленая REXANT</t>
  </si>
  <si>
    <t>25-0003</t>
  </si>
  <si>
    <t>Трубка термоусаживаемая ТУТнг-LS (2:1)-50/25 зеленая REXANT</t>
  </si>
  <si>
    <t>25-0004</t>
  </si>
  <si>
    <t>Трубка термоусаживаемая ТУТнг-LS (2:1)-50/25 красная REXANT</t>
  </si>
  <si>
    <t>25-0005</t>
  </si>
  <si>
    <t>Трубка термоусаживаемая ТУТнг-LS (2:1)-50/25 синяя REXANT</t>
  </si>
  <si>
    <t>25-0006</t>
  </si>
  <si>
    <t>Трубка термоусаживаемая ТУТнг-LS (2:1)-50/25 черная REXANT</t>
  </si>
  <si>
    <t>20-6001</t>
  </si>
  <si>
    <t>Трубка термоусаживаемая ТУТнг-LS (2:1)-6/3 белая REXANT</t>
  </si>
  <si>
    <t>20-6002</t>
  </si>
  <si>
    <t>Трубка термоусаживаемая ТУТнг-LS (2:1)-6/3 желтая REXANT</t>
  </si>
  <si>
    <t>20-6007</t>
  </si>
  <si>
    <t>Трубка термоусаживаемая ТУТнг-LS (2:1)-6/3 желто-зеленая REXANT</t>
  </si>
  <si>
    <t>20-6003</t>
  </si>
  <si>
    <t>Трубка термоусаживаемая ТУТнг-LS (2:1)-6/3 зеленая REXANT</t>
  </si>
  <si>
    <t>20-6004</t>
  </si>
  <si>
    <t>Трубка термоусаживаемая ТУТнг-LS (2:1)-6/3 красная REXANT</t>
  </si>
  <si>
    <t>20-6010</t>
  </si>
  <si>
    <t>Трубка термоусаживаемая ТУТнг-LS (2:1)-6/3 серая REXANT</t>
  </si>
  <si>
    <t>20-6005</t>
  </si>
  <si>
    <t>Трубка термоусаживаемая ТУТнг-LS (2:1)-6/3 синяя REXANT</t>
  </si>
  <si>
    <t>20-6006</t>
  </si>
  <si>
    <t>Трубка термоусаживаемая ТУТнг-LS (2:1)-6/3 черная REXANT</t>
  </si>
  <si>
    <t>25-0061</t>
  </si>
  <si>
    <t>Трубка термоусаживаемая ТУТнг-LS (2:1)-60/30 белая REXANT</t>
  </si>
  <si>
    <t>25-0062</t>
  </si>
  <si>
    <t>Трубка термоусаживаемая ТУТнг-LS (2:1)-60/30 желтая REXANT</t>
  </si>
  <si>
    <t>25-0063</t>
  </si>
  <si>
    <t>Трубка термоусаживаемая ТУТнг-LS (2:1)-60/30 зеленая REXANT</t>
  </si>
  <si>
    <t>25-0064</t>
  </si>
  <si>
    <t>Трубка термоусаживаемая ТУТнг-LS (2:1)-60/30 красная REXANT</t>
  </si>
  <si>
    <t>25-0060</t>
  </si>
  <si>
    <t>Трубка термоусаживаемая ТУТнг-LS (2:1)-60/30 черная REXANT</t>
  </si>
  <si>
    <t>20-7001</t>
  </si>
  <si>
    <t>Трубка термоусаживаемая ТУТнг-LS (2:1)-7/3,5 белая REXANT</t>
  </si>
  <si>
    <t>20-7002</t>
  </si>
  <si>
    <t>Трубка термоусаживаемая ТУТнг-LS (2:1)-7/3,5 желтая REXANT</t>
  </si>
  <si>
    <t>20-7003</t>
  </si>
  <si>
    <t>Трубка термоусаживаемая ТУТнг-LS (2:1)-7/3,5 зеленая REXANT</t>
  </si>
  <si>
    <t>20-7004</t>
  </si>
  <si>
    <t>Трубка термоусаживаемая ТУТнг-LS (2:1)-7/3,5 красная REXANT</t>
  </si>
  <si>
    <t>20-7010</t>
  </si>
  <si>
    <t>Трубка термоусаживаемая ТУТнг-LS (2:1)-7/3,5 серая REXANT</t>
  </si>
  <si>
    <t>20-7005</t>
  </si>
  <si>
    <t>Трубка термоусаживаемая ТУТнг-LS (2:1)-7/3,5 синяя REXANT</t>
  </si>
  <si>
    <t>20-7006</t>
  </si>
  <si>
    <t>Трубка термоусаживаемая ТУТнг-LS (2:1)-7/3,5 черная REXANT</t>
  </si>
  <si>
    <t>20-8001</t>
  </si>
  <si>
    <t>Трубка термоусаживаемая ТУТнг-LS (2:1)-8/4 белая REXANT</t>
  </si>
  <si>
    <t>20-8002</t>
  </si>
  <si>
    <t>Трубка термоусаживаемая ТУТнг-LS (2:1)-8/4 желтая REXANT</t>
  </si>
  <si>
    <t>20-8007</t>
  </si>
  <si>
    <t>Трубка термоусаживаемая ТУТнг-LS (2:1)-8/4 желто-зеленая REXANT</t>
  </si>
  <si>
    <t>20-8003</t>
  </si>
  <si>
    <t>Трубка термоусаживаемая ТУТнг-LS (2:1)-8/4 зеленая REXANT</t>
  </si>
  <si>
    <t>20-8004</t>
  </si>
  <si>
    <t>Трубка термоусаживаемая ТУТнг-LS (2:1)-8/4 красная REXANT</t>
  </si>
  <si>
    <t>20-8010</t>
  </si>
  <si>
    <t>Трубка термоусаживаемая ТУТнг-LS (2:1)-8/4 серая REXANT</t>
  </si>
  <si>
    <t>20-8005</t>
  </si>
  <si>
    <t>Трубка термоусаживаемая ТУТнг-LS (2:1)-8/4 синяя REXANT</t>
  </si>
  <si>
    <t>20-8006</t>
  </si>
  <si>
    <t>Трубка термоусаживаемая ТУТнг-LS (2:1)-8/4 черная REXANT</t>
  </si>
  <si>
    <t>25-0080</t>
  </si>
  <si>
    <t>Трубка термоусаживаемая ТУТнг-LS (2:1)-80/40 черная REXANT</t>
  </si>
  <si>
    <t>20-9001</t>
  </si>
  <si>
    <t>Трубка термоусаживаемая ТУТнг-LS (2:1)-9/4,5 белая REXANT</t>
  </si>
  <si>
    <t>20-9002</t>
  </si>
  <si>
    <t>Трубка термоусаживаемая ТУТнг-LS (2:1)-9/4,5 желтая REXANT</t>
  </si>
  <si>
    <t>20-9003</t>
  </si>
  <si>
    <t>Трубка термоусаживаемая ТУТнг-LS (2:1)-9/4,5 зеленая REXANT</t>
  </si>
  <si>
    <t>20-9004</t>
  </si>
  <si>
    <t>Трубка термоусаживаемая ТУТнг-LS (2:1)-9/4,5 красная REXANT</t>
  </si>
  <si>
    <t>20-9005</t>
  </si>
  <si>
    <t>Трубка термоусаживаемая ТУТнг-LS (2:1)-9/4,5 синяя REXANT</t>
  </si>
  <si>
    <t>20-9006</t>
  </si>
  <si>
    <t>Трубка термоусаживаемая ТУТнг-LS (2:1)-9/4,5 черная REXANT</t>
  </si>
  <si>
    <t>1. 9. 1. 4 Термоусаживаемые трубки 2:1 с подавлением горения в бухте</t>
  </si>
  <si>
    <t>49-1004</t>
  </si>
  <si>
    <t>49-1006</t>
  </si>
  <si>
    <t>49-1206</t>
  </si>
  <si>
    <t>49-1506</t>
  </si>
  <si>
    <t>49-0206</t>
  </si>
  <si>
    <t>49-0306</t>
  </si>
  <si>
    <t>49-0406</t>
  </si>
  <si>
    <t>49-0504</t>
  </si>
  <si>
    <t>49-0506</t>
  </si>
  <si>
    <t>49-0606</t>
  </si>
  <si>
    <t>49-0804</t>
  </si>
  <si>
    <t>49-0806</t>
  </si>
  <si>
    <t>1. 9. 1. 5 Термоусаживаемые трубки 2:1 двустенные с клеевым слоем</t>
  </si>
  <si>
    <t>26-2105</t>
  </si>
  <si>
    <t>Трубка термоусаживаемая клеевая ТТК (2:1)-12,7/6,4 черная REXANT</t>
  </si>
  <si>
    <t>26-2106</t>
  </si>
  <si>
    <t>Трубка термоусаживаемая клеевая ТТК (2:1)-15,9/7,9 черная REXANT</t>
  </si>
  <si>
    <t>26-2107</t>
  </si>
  <si>
    <t>Трубка термоусаживаемая клеевая ТТК (2:1)-19,1/9,5 черная REXANT</t>
  </si>
  <si>
    <t>26-2108</t>
  </si>
  <si>
    <t>Трубка термоусаживаемая клеевая ТТК (2:1)-25,4/12,7 черная REXANT</t>
  </si>
  <si>
    <t>26-2101</t>
  </si>
  <si>
    <t>Трубка термоусаживаемая клеевая ТТК (2:1)-3,2/1,6 черная REXANT</t>
  </si>
  <si>
    <t>26-2109</t>
  </si>
  <si>
    <t>Трубка термоусаживаемая клеевая ТТК (2:1)-38,1/19,5 черная REXANT</t>
  </si>
  <si>
    <t>26-2102</t>
  </si>
  <si>
    <t>Трубка термоусаживаемая клеевая ТТК (2:1)-4,8/2,4 черная REXANT</t>
  </si>
  <si>
    <t>26-2110</t>
  </si>
  <si>
    <t>Трубка термоусаживаемая клеевая ТТК (2:1)-50,8/25,4 черная REXANT</t>
  </si>
  <si>
    <t>26-2103</t>
  </si>
  <si>
    <t>Трубка термоусаживаемая клеевая ТТК (2:1)-6,4/3,2 черная REXANT</t>
  </si>
  <si>
    <t>26-2104</t>
  </si>
  <si>
    <t>Трубка термоусаживаемая клеевая ТТК (2:1)-9,5/4,8 черная REXANT</t>
  </si>
  <si>
    <t>1. 9. 1. 6 Термоусаживаемые трубки 3:1 двустенные с клеевым слоем</t>
  </si>
  <si>
    <t>26-1204</t>
  </si>
  <si>
    <t>Трубка термоусаживаемая клеевая ТТК (3:1)-12/4 красная REXANT</t>
  </si>
  <si>
    <t>26-1209</t>
  </si>
  <si>
    <t>Трубка термоусаживаемая клеевая ТТК (3:1)-12/4 прозрачная REXANT</t>
  </si>
  <si>
    <t>26-0012-1</t>
  </si>
  <si>
    <t>Трубка термоусаживаемая клеевая ТТК (3:1)-12/4 черная REXANT</t>
  </si>
  <si>
    <t>21-2008</t>
  </si>
  <si>
    <t>26-1804</t>
  </si>
  <si>
    <t>Трубка термоусаживаемая клеевая ТТК (3:1)-18/6 красная REXANT</t>
  </si>
  <si>
    <t>26-1809</t>
  </si>
  <si>
    <t>Трубка термоусаживаемая клеевая ТТК (3:1)-18/6 прозрачная REXANT</t>
  </si>
  <si>
    <t>26-0018-1</t>
  </si>
  <si>
    <t>Трубка термоусаживаемая клеевая ТТК (3:1)-18/6 черная REXANT</t>
  </si>
  <si>
    <t>21-9008</t>
  </si>
  <si>
    <t>26-0020-1</t>
  </si>
  <si>
    <t>Трубка термоусаживаемая клеевая ТТК (3:1)-20/6 черная REXANT</t>
  </si>
  <si>
    <t>26-2404</t>
  </si>
  <si>
    <t>Трубка термоусаживаемая клеевая ТТК (3:1)-24/8 красная REXANT</t>
  </si>
  <si>
    <t>26-2409</t>
  </si>
  <si>
    <t>Трубка термоусаживаемая клеевая ТТК (3:1)-24/8 прозрачная REXANT</t>
  </si>
  <si>
    <t>26-0024</t>
  </si>
  <si>
    <t>Трубка термоусаживаемая клеевая ТТК (3:1)-24/8 черная REXANT</t>
  </si>
  <si>
    <t>26-0025-1</t>
  </si>
  <si>
    <t>Трубка термоусаживаемая клеевая ТТК (3:1)-25/8 черная REXANT</t>
  </si>
  <si>
    <t>26-3004</t>
  </si>
  <si>
    <t>Трубка термоусаживаемая клеевая ТТК (3:1)-3/1 красная REXANT</t>
  </si>
  <si>
    <t>26-3009</t>
  </si>
  <si>
    <t>Трубка термоусаживаемая клеевая ТТК (3:1)-3/1 прозрачная REXANT</t>
  </si>
  <si>
    <t>26-0003-1</t>
  </si>
  <si>
    <t>Трубка термоусаживаемая клеевая ТТК (3:1)-3/1 черная REXANT</t>
  </si>
  <si>
    <t>26-0003</t>
  </si>
  <si>
    <t>26-0030-1</t>
  </si>
  <si>
    <t>Трубка термоусаживаемая клеевая ТТК (3:1)-30/10 черная REXANT</t>
  </si>
  <si>
    <t>26-4804</t>
  </si>
  <si>
    <t>Трубка термоусаживаемая клеевая ТТК (3:1)-4,8/1,6 красная REXANT</t>
  </si>
  <si>
    <t>26-4809</t>
  </si>
  <si>
    <t>Трубка термоусаживаемая клеевая ТТК (3:1)-4,8/1,6 прозрачная REXANT</t>
  </si>
  <si>
    <t>26-0004-1</t>
  </si>
  <si>
    <t>Трубка термоусаживаемая клеевая ТТК (3:1)-4,8/1,6 черная REXANT</t>
  </si>
  <si>
    <t>20-4808</t>
  </si>
  <si>
    <t>26-0040-1</t>
  </si>
  <si>
    <t>Трубка термоусаживаемая клеевая ТТК (3:1)-40/13 черная REXANT</t>
  </si>
  <si>
    <t>26-0050-1</t>
  </si>
  <si>
    <t>Трубка термоусаживаемая клеевая ТТК (3:1)-50/17 черная REXANT</t>
  </si>
  <si>
    <t>26-6004</t>
  </si>
  <si>
    <t>Трубка термоусаживаемая клеевая ТТК (3:1)-6/2 красная REXANT</t>
  </si>
  <si>
    <t>26-6009</t>
  </si>
  <si>
    <t>Трубка термоусаживаемая клеевая ТТК (3:1)-6/2 прозрачная REXANT</t>
  </si>
  <si>
    <t>26-0006-1</t>
  </si>
  <si>
    <t>Трубка термоусаживаемая клеевая ТТК (3:1)-6/2 черная REXANT</t>
  </si>
  <si>
    <t>20-6008</t>
  </si>
  <si>
    <t>26-9004</t>
  </si>
  <si>
    <t>Трубка термоусаживаемая клеевая ТТК (3:1)-9/3 красная REXANT</t>
  </si>
  <si>
    <t>26-9009</t>
  </si>
  <si>
    <t>Трубка термоусаживаемая клеевая ТТК (3:1)-9/3 прозрачная REXANT</t>
  </si>
  <si>
    <t>26-0009-1</t>
  </si>
  <si>
    <t>Трубка термоусаживаемая клеевая ТТК (3:1)-9/3 черная REXANT</t>
  </si>
  <si>
    <t>26-0009</t>
  </si>
  <si>
    <t>1. 9. 1. 7 Термоусаживаемые трубки 3-4:1 среднестенные с клеевым слоем</t>
  </si>
  <si>
    <t>26-0160</t>
  </si>
  <si>
    <t>Трубка термоусаживаемая среднестенная клеевая СТТК (3-4:1)-160/50 черная REXANT</t>
  </si>
  <si>
    <t>26-0180</t>
  </si>
  <si>
    <t>Трубка термоусаживаемая среднестенная клеевая СТТК (3-4:1)-180/58 черная REXANT</t>
  </si>
  <si>
    <t>26-0033</t>
  </si>
  <si>
    <t>Трубка термоусаживаемая среднестенная клеевая СТТК (3-4:1)-33/8 черная REXANT</t>
  </si>
  <si>
    <t>26-0055</t>
  </si>
  <si>
    <t>Трубка термоусаживаемая среднестенная клеевая СТТК (3-4:1)-55/16 черная REXANT</t>
  </si>
  <si>
    <t>26-0075</t>
  </si>
  <si>
    <t>Трубка термоусаживаемая среднестенная клеевая СТТК (3-4:1)-75/22 черная REXANT</t>
  </si>
  <si>
    <t>26-0095</t>
  </si>
  <si>
    <t>Трубка термоусаживаемая среднестенная клеевая СТТК (3-4:1)-95/29 черная REXANT</t>
  </si>
  <si>
    <t>1. 9. 1. 8 Термоусаживаемые трубки 4:1 двустенные с клеевым слоем</t>
  </si>
  <si>
    <t>23-1206</t>
  </si>
  <si>
    <t>Трубка термоусаживаемая клеевая ТТК (4:1)-12/3 черная REXANT</t>
  </si>
  <si>
    <t>23-1606</t>
  </si>
  <si>
    <t>Трубка термоусаживаемая клеевая ТТК (4:1)-16/4 черная REXANT</t>
  </si>
  <si>
    <t>23-2406</t>
  </si>
  <si>
    <t>Трубка термоусаживаемая клеевая ТТК (4:1)-24/6 черная REXANT</t>
  </si>
  <si>
    <t>23-3206</t>
  </si>
  <si>
    <t>Трубка термоусаживаемая клеевая ТТК (4:1)-32/8 черная REXANT</t>
  </si>
  <si>
    <t>23-4006</t>
  </si>
  <si>
    <t>Трубка термоусаживаемая клеевая ТТК (4:1)-4/1 черная REXANT</t>
  </si>
  <si>
    <t>23-5206</t>
  </si>
  <si>
    <t>Трубка термоусаживаемая клеевая ТТК (4:1)-52/13 черная REXANT</t>
  </si>
  <si>
    <t>23-6006</t>
  </si>
  <si>
    <t>Трубка термоусаживаемая клеевая ТТК (4:1)-6/1,5 черная REXANT</t>
  </si>
  <si>
    <t>23-9006</t>
  </si>
  <si>
    <t>Трубка термоусаживаемая клеевая ТТК (4:1)-8/2 черная REXANT</t>
  </si>
  <si>
    <t>1. 9. 1. 9 Термоусаживаемые трубки 6:1 с клеевым слоем</t>
  </si>
  <si>
    <t>23-0115</t>
  </si>
  <si>
    <t>Трубка термоусаживаемая клеевая ТТК (6:1)-115/19 черная REXANT</t>
  </si>
  <si>
    <t>23-0130</t>
  </si>
  <si>
    <t>Трубка термоусаживаемая клеевая ТТК (6:1)-130/22 черная REXANT</t>
  </si>
  <si>
    <t>23-0019</t>
  </si>
  <si>
    <t>Трубка термоусаживаемая клеевая ТТК (6:1)-19/3,2 черная REXANT</t>
  </si>
  <si>
    <t>23-0033</t>
  </si>
  <si>
    <t>Трубка термоусаживаемая клеевая ТТК (6:1)-33/5,5 черная REXANT</t>
  </si>
  <si>
    <t>23-0051</t>
  </si>
  <si>
    <t>Трубка термоусаживаемая клеевая ТТК (6:1)-51/8,5 черная REXANT</t>
  </si>
  <si>
    <t>23-0070</t>
  </si>
  <si>
    <t>Трубка термоусаживаемая клеевая ТТК (6:1)-70/12 черная REXANT</t>
  </si>
  <si>
    <t>1. 9. 1.10 Термоусаживаемые трубки 2:1 ролик 2,44 м.</t>
  </si>
  <si>
    <t>29-0051</t>
  </si>
  <si>
    <t>Трубка термоусаживаемая ТУТ нг-LS (2:1)-10/5 белая (ролик 2,44м) REXANT</t>
  </si>
  <si>
    <t>29-0054</t>
  </si>
  <si>
    <t>Трубка термоусаживаемая ТУТ нг-LS (2:1)-10/5 красная (ролик 2,44м) REXANT</t>
  </si>
  <si>
    <t>29-0055</t>
  </si>
  <si>
    <t>Трубка термоусаживаемая ТУТ нг-LS (2:1)-10/5 синяя (ролик 2,44м) REXANT</t>
  </si>
  <si>
    <t>29-0001</t>
  </si>
  <si>
    <t>Трубка термоусаживаемая ТУТ нг-LS (2:1)-3/1,5 белая (ролик 2,44м) REXANT</t>
  </si>
  <si>
    <t>29-0004</t>
  </si>
  <si>
    <t>Трубка термоусаживаемая ТУТ нг-LS (2:1)-3/1,5 красная (ролик 2,44м) REXANT</t>
  </si>
  <si>
    <t>29-0005</t>
  </si>
  <si>
    <t>Трубка термоусаживаемая ТУТ нг-LS (2:1)-3/1,5 синяя (ролик 2,44м) REXANT</t>
  </si>
  <si>
    <t>29-0006</t>
  </si>
  <si>
    <t>Трубка термоусаживаемая ТУТ нг-LS (2:1)-3/1,5 черная (ролик 2,44м) REXANT</t>
  </si>
  <si>
    <t>29-0011</t>
  </si>
  <si>
    <t>Трубка термоусаживаемая ТУТ нг-LS (2:1)-4/2 белая (ролик 2,44м) REXANT</t>
  </si>
  <si>
    <t>29-0014</t>
  </si>
  <si>
    <t>Трубка термоусаживаемая ТУТ нг-LS (2:1)-4/2 красная (ролик 2,44м) REXANT</t>
  </si>
  <si>
    <t>29-0015</t>
  </si>
  <si>
    <t>Трубка термоусаживаемая ТУТ нг-LS (2:1)-4/2 синяя (ролик 2,44м) REXANT</t>
  </si>
  <si>
    <t>29-0016</t>
  </si>
  <si>
    <t>Трубка термоусаживаемая ТУТ нг-LS (2:1)-4/2 черная (ролик 2,44м) REXANT</t>
  </si>
  <si>
    <t>29-0021</t>
  </si>
  <si>
    <t>Трубка термоусаживаемая ТУТ нг-LS (2:1)-5/2,5 белая (ролик 2,44м) REXANT</t>
  </si>
  <si>
    <t>29-0024</t>
  </si>
  <si>
    <t>Трубка термоусаживаемая ТУТ нг-LS (2:1)-5/2,5 красная (ролик 2,44м) REXANT</t>
  </si>
  <si>
    <t>29-0025</t>
  </si>
  <si>
    <t>Трубка термоусаживаемая ТУТ нг-LS (2:1)-5/2,5 синяя (ролик 2,44м) REXANT</t>
  </si>
  <si>
    <t>29-0026</t>
  </si>
  <si>
    <t>Трубка термоусаживаемая ТУТ нг-LS (2:1)-5/2,5 черная (ролик 2,44м) REXANT</t>
  </si>
  <si>
    <t>29-0031</t>
  </si>
  <si>
    <t>Трубка термоусаживаемая ТУТ нг-LS (2:1)-6/3 белая (ролик 2,44м) REXANT</t>
  </si>
  <si>
    <t>29-0034</t>
  </si>
  <si>
    <t>Трубка термоусаживаемая ТУТ нг-LS (2:1)-6/3 красная (ролик 2,44м) REXANT</t>
  </si>
  <si>
    <t>29-0035</t>
  </si>
  <si>
    <t>Трубка термоусаживаемая ТУТ нг-LS (2:1)-6/3 синяя (ролик 2,44м) REXANT</t>
  </si>
  <si>
    <t>29-0036</t>
  </si>
  <si>
    <t>Трубка термоусаживаемая ТУТ нг-LS (2:1)-6/3 черная (ролик 2,44м) REXANT</t>
  </si>
  <si>
    <t>29-0041</t>
  </si>
  <si>
    <t>Трубка термоусаживаемая ТУТ нг-LS (2:1)-8/4 белая (ролик 2,44м) REXANT</t>
  </si>
  <si>
    <t>29-0044</t>
  </si>
  <si>
    <t>Трубка термоусаживаемая ТУТ нг-LS (2:1)-8/4 красная (ролик 2,44м) REXANT</t>
  </si>
  <si>
    <t>29-0045</t>
  </si>
  <si>
    <t>Трубка термоусаживаемая ТУТ нг-LS (2:1)-8/4 синяя (ролик 2,44м) REXANT</t>
  </si>
  <si>
    <t>29-0046</t>
  </si>
  <si>
    <t>Трубка термоусаживаемая ТУТ нг-LS (2:1)-8/4 черная (ролик 2,44м) REXANT</t>
  </si>
  <si>
    <t>1. 9. 1.11 Набор термоусаживаемых трубок с подавлением горения</t>
  </si>
  <si>
    <t>29-0134</t>
  </si>
  <si>
    <t>Набор клеевых термоусаживаемых трубок №4 ТТК (3:1) ( упак. 126 шт.) REXANT</t>
  </si>
  <si>
    <t>29-0107</t>
  </si>
  <si>
    <t>Набор клеевых термоусаживаемых трубок №7 ТТК (3:1) (упак. 7 шт. по 10 см) REXANT</t>
  </si>
  <si>
    <t>29-0101</t>
  </si>
  <si>
    <t>Набор термоусаживаемых трубок №1 АВТО, ТУТ нг-LS (2:1) (упак. 10 шт. по 10см) REXANT</t>
  </si>
  <si>
    <t>29-0131</t>
  </si>
  <si>
    <t>Набор термоусаживаемых трубок №1 ТУТ нг-LS (2:1) черный (упак. 305шт) REXANT</t>
  </si>
  <si>
    <t>29-0111</t>
  </si>
  <si>
    <t>Набор термоусаживаемых трубок №11 ТУТ нг-LS (2:1)-2/1 (упак. 21шт) REXANT</t>
  </si>
  <si>
    <t>наб.</t>
  </si>
  <si>
    <t>29-0112</t>
  </si>
  <si>
    <t>Набор термоусаживаемых трубок №12 ТУТ нг-LS (2:1)-3/1,5 (упак. 21шт) REXANT</t>
  </si>
  <si>
    <t>13.11.2026</t>
  </si>
  <si>
    <t>29-0113</t>
  </si>
  <si>
    <t>Набор термоусаживаемых трубок №13 ТУТ нг-LS (2:1)-4/2 (упак. 21шт) REXANT</t>
  </si>
  <si>
    <t>29-0114</t>
  </si>
  <si>
    <t>Набор термоусаживаемых трубок №14 ТУТ нг-LS (2:1)-5/2,5 (упак. 21шт) REXANT</t>
  </si>
  <si>
    <t>29-0115</t>
  </si>
  <si>
    <t>Набор термоусаживаемых трубок №15 ТУТ нг-LS (2:1)-6/3 (упак. 21шт) REXANT</t>
  </si>
  <si>
    <t>29-0116</t>
  </si>
  <si>
    <t>Набор термоусаживаемых трубок №16 ТУТ нг-LS (2:1)-8/4 (упак. 21шт) REXANT</t>
  </si>
  <si>
    <t>29-0117</t>
  </si>
  <si>
    <t>Набор термоусаживаемых трубок №17 ТУТ нг-LS (2:1)-10/5 (упак. 21шт) REXANT</t>
  </si>
  <si>
    <t>29-0118</t>
  </si>
  <si>
    <t>Набор термоусаживаемых трубок №18 ТУТ нг-LS (2:1)-12/6 (упак. 21шт) REXANT</t>
  </si>
  <si>
    <t>29-0119</t>
  </si>
  <si>
    <t>Набор термоусаживаемых трубок №19 ТУТ нг-LS (2:1)-15/7,5 (упак. 21шт) REXANT</t>
  </si>
  <si>
    <t>29-0102</t>
  </si>
  <si>
    <t>Набор термоусаживаемых трубок №2 АВТО ПЛЮС, ТУТ нг-LS (2:1) (упак. 20 шт. по 10 см) REXANT</t>
  </si>
  <si>
    <t>29-0132</t>
  </si>
  <si>
    <t>Набор термоусаживаемых трубок №2 ТУТ нг-LS (2:1) черный (упак. 260шт) REXANT</t>
  </si>
  <si>
    <t>16.12.2026</t>
  </si>
  <si>
    <t>29-0120</t>
  </si>
  <si>
    <t>Набор термоусаживаемых трубок №20 ТУТ нг-LS (2:1)-20/10 (упак. 21шт) REXANT</t>
  </si>
  <si>
    <t>29-0121</t>
  </si>
  <si>
    <t>Набор термоусаживаемых трубок №21 ТУТ нг-LS (2:1)-25/12,5 (упак. 21шт) REXANT</t>
  </si>
  <si>
    <t>29-0122</t>
  </si>
  <si>
    <t>Набор термоусаживаемых трубок №22 ТУТ нг-LS (2:1)-35/17,5 (упак. 21шт) REXANT</t>
  </si>
  <si>
    <t>29-0123</t>
  </si>
  <si>
    <t>Набор термоусаживаемых трубок №23 ТУТ нг-LS (2:1)-40/20 (упак. 21шт) REXANT</t>
  </si>
  <si>
    <t>29-0124</t>
  </si>
  <si>
    <t>Набор термоусаживаемых трубок №24 ТУТ нг-LS (2:1)-50/25 (упак. 21шт) REXANT</t>
  </si>
  <si>
    <t>29-0133</t>
  </si>
  <si>
    <t>Набор термоусаживаемых трубок №3 ТУТ нг-LS (2:1) 4 цвета (упак. 288шт) REXANT</t>
  </si>
  <si>
    <t>29-0103</t>
  </si>
  <si>
    <t>Набор термоусаживаемых трубок №3 ЭЛЕКТРО ПЛЮС, ТУТ нг-LS (2:1) (упак. 13 шт. по 10 см) REXANT</t>
  </si>
  <si>
    <t>29-0104</t>
  </si>
  <si>
    <t>Набор термоусаживаемых трубок №4 ЭЛЕКТРО, ТУТ нг-LS (2:1) (упак. 20 шт. по 10см) REXANT</t>
  </si>
  <si>
    <t>29-0105</t>
  </si>
  <si>
    <t>Набор термоусаживаемых трубок №5 СТАНДАРТ, ТУТ нг-LS (2:1) (упак. 18 шт. по 10 см) REXANT</t>
  </si>
  <si>
    <t>29-0106</t>
  </si>
  <si>
    <t>Набор термоусаживаемых трубок №6 МАКСИМУМ, ТУТ нг-LS (2:1) (упак. 14 шт. по 10 см) REXANT</t>
  </si>
  <si>
    <t>29-0160</t>
  </si>
  <si>
    <t>Набор термоусаживаемых трубок ТУТ нг-LS (2:1)-10/5, пять цветов REXANT</t>
  </si>
  <si>
    <t>29-0162</t>
  </si>
  <si>
    <t>Набор термоусаживаемых трубок ТУТ нг-LS (2:1)-12/6, пять цветов REXANT</t>
  </si>
  <si>
    <t>29-0165</t>
  </si>
  <si>
    <t>Набор термоусаживаемых трубок ТУТ нг-LS (2:1)-15/7,5, пять цветов REXANT</t>
  </si>
  <si>
    <t>29-0151</t>
  </si>
  <si>
    <t>Набор термоусаживаемых трубок ТУТ нг-LS (2:1)-2/1, пять цветов REXANT</t>
  </si>
  <si>
    <t>29-0170</t>
  </si>
  <si>
    <t>Набор термоусаживаемых трубок ТУТ нг-LS (2:1)-20/10, пять цветов REXANT</t>
  </si>
  <si>
    <t>29-0175</t>
  </si>
  <si>
    <t>Набор термоусаживаемых трубок ТУТ нг-LS (2:1)-25/12,5, пять цветов REXANT</t>
  </si>
  <si>
    <t>29-0153</t>
  </si>
  <si>
    <t>Набор термоусаживаемых трубок ТУТ нг-LS (2:1)-3,5/1,75, пять цветов REXANT</t>
  </si>
  <si>
    <t>29-0152</t>
  </si>
  <si>
    <t>Набор термоусаживаемых трубок ТУТ нг-LS (2:1)-3/1,5, пять цветов REXANT</t>
  </si>
  <si>
    <t>29-0154</t>
  </si>
  <si>
    <t>Набор термоусаживаемых трубок ТУТ нг-LS (2:1)-4/2, пять цветов REXANT</t>
  </si>
  <si>
    <t>29-0155</t>
  </si>
  <si>
    <t>Набор термоусаживаемых трубок ТУТ нг-LS (2:1)-5/2,5, пять цветов REXANT</t>
  </si>
  <si>
    <t>29-0156</t>
  </si>
  <si>
    <t>Набор термоусаживаемых трубок ТУТ нг-LS (2:1)-6/3, пять цветов REXANT</t>
  </si>
  <si>
    <t>29-0158</t>
  </si>
  <si>
    <t>Набор термоусаживаемых трубок ТУТ нг-LS (2:1)-8/4, пять цветов REXANT</t>
  </si>
  <si>
    <t>1. 9. 1.12 Термоусаживаемые трубки 2:1 (HF) Безгалогеновая в бухте</t>
  </si>
  <si>
    <t>21-0001-1</t>
  </si>
  <si>
    <t>Трубка термоусаживаемая ТУТ-HF(2:1)-10/5 белая REXANT</t>
  </si>
  <si>
    <t>21-0004-1</t>
  </si>
  <si>
    <t>Трубка термоусаживаемая ТУТ-HF(2:1)-10/5 красная REXANT</t>
  </si>
  <si>
    <t>21-0008-1</t>
  </si>
  <si>
    <t>Трубка термоусаживаемая ТУТ-HF(2:1)-10/5 черная REXANT</t>
  </si>
  <si>
    <t>21-2001-1</t>
  </si>
  <si>
    <t>Трубка термоусаживаемая ТУТ-HF(2:1)-12/6 белая REXANT</t>
  </si>
  <si>
    <t>21-2004-1</t>
  </si>
  <si>
    <t>Трубка термоусаживаемая ТУТ-HF(2:1)-12/6 красная REXANT</t>
  </si>
  <si>
    <t>21-2006-1</t>
  </si>
  <si>
    <t>Трубка термоусаживаемая ТУТ-HF(2:1)-12/6 черная REXANT</t>
  </si>
  <si>
    <t>21-6001-1</t>
  </si>
  <si>
    <t>Трубка термоусаживаемая ТУТ-HF(2:1)-16/8 белая REXANT</t>
  </si>
  <si>
    <t>21-6004-1</t>
  </si>
  <si>
    <t>Трубка термоусаживаемая ТУТ-HF(2:1)-16/8 красная REXANT</t>
  </si>
  <si>
    <t>21-6006-1</t>
  </si>
  <si>
    <t>Трубка термоусаживаемая ТУТ-HF(2:1)-16/8 черная REXANT</t>
  </si>
  <si>
    <t>20-2001-1</t>
  </si>
  <si>
    <t>Трубка термоусаживаемая ТУТ-HF(2:1)-2/1 белая REXANT</t>
  </si>
  <si>
    <t>20-2004-1</t>
  </si>
  <si>
    <t>Трубка термоусаживаемая ТУТ-HF(2:1)-2/1 красная REXANT</t>
  </si>
  <si>
    <t>20-2006-1</t>
  </si>
  <si>
    <t>Трубка термоусаживаемая ТУТ-HF(2:1)-2/1 черная REXANT</t>
  </si>
  <si>
    <t>22-0001-1</t>
  </si>
  <si>
    <t>Трубка термоусаживаемая ТУТ-HF(2:1)-20/10 белая REXANT</t>
  </si>
  <si>
    <t>22-0004-1</t>
  </si>
  <si>
    <t>Трубка термоусаживаемая ТУТ-HF(2:1)-20/10 красная REXANT</t>
  </si>
  <si>
    <t>22-0008-1</t>
  </si>
  <si>
    <t>Трубка термоусаживаемая ТУТ-HF(2:1)-20/10 черная REXANT</t>
  </si>
  <si>
    <t>22-5001-1</t>
  </si>
  <si>
    <t>Трубка термоусаживаемая ТУТ-HF(2:1)-25/12,5 белая REXANT</t>
  </si>
  <si>
    <t>22-5004-1</t>
  </si>
  <si>
    <t>Трубка термоусаживаемая ТУТ-HF(2:1)-25/12,5 красная REXANT</t>
  </si>
  <si>
    <t>22-5008-1</t>
  </si>
  <si>
    <t>Трубка термоусаживаемая ТУТ-HF(2:1)-25/12,5 черная REXANT</t>
  </si>
  <si>
    <t>20-3001-1</t>
  </si>
  <si>
    <t>Трубка термоусаживаемая ТУТ-HF(2:1)-3/1,5 белая REXANT</t>
  </si>
  <si>
    <t>20-3004-1</t>
  </si>
  <si>
    <t>Трубка термоусаживаемая ТУТ-HF(2:1)-3/1,5 красная REXANT</t>
  </si>
  <si>
    <t>20-3006-1</t>
  </si>
  <si>
    <t>Трубка термоусаживаемая ТУТ-HF(2:1)-3/1,5 черная REXANT</t>
  </si>
  <si>
    <t>23-0001-1</t>
  </si>
  <si>
    <t>Трубка термоусаживаемая ТУТ-HF(2:1)-30/15 белая REXANT</t>
  </si>
  <si>
    <t>23-0004-1</t>
  </si>
  <si>
    <t>Трубка термоусаживаемая ТУТ-HF(2:1)-30/15 красная REXANT</t>
  </si>
  <si>
    <t>23-0006-1</t>
  </si>
  <si>
    <t>Трубка термоусаживаемая ТУТ-HF(2:1)-30/15 черная REXANT</t>
  </si>
  <si>
    <t>20-4001-1</t>
  </si>
  <si>
    <t>Трубка термоусаживаемая ТУТ-HF(2:1)-4/2 белая REXANT</t>
  </si>
  <si>
    <t>20-4004-1</t>
  </si>
  <si>
    <t>Трубка термоусаживаемая ТУТ-HF(2:1)-4/2 красная REXANT</t>
  </si>
  <si>
    <t>20-4006-1</t>
  </si>
  <si>
    <t>Трубка термоусаживаемая ТУТ-HF(2:1)-4/2 черная REXANT</t>
  </si>
  <si>
    <t>24-0004-1</t>
  </si>
  <si>
    <t>Трубка термоусаживаемая ТУТ-HF(2:1)-40/20 красная REXANT</t>
  </si>
  <si>
    <t>24-0007-1</t>
  </si>
  <si>
    <t>Трубка термоусаживаемая ТУТ-HF(2:1)-40/20 черная REXANT</t>
  </si>
  <si>
    <t>20-6001-1</t>
  </si>
  <si>
    <t>Трубка термоусаживаемая ТУТ-HF(2:1)-6/3 белая REXANT</t>
  </si>
  <si>
    <t>20-6004-1</t>
  </si>
  <si>
    <t>Трубка термоусаживаемая ТУТ-HF(2:1)-6/3 красная REXANT</t>
  </si>
  <si>
    <t>20-6006-1</t>
  </si>
  <si>
    <t>Трубка термоусаживаемая ТУТ-HF(2:1)-6/3 черная REXANT</t>
  </si>
  <si>
    <t>20-8001-1</t>
  </si>
  <si>
    <t>Трубка термоусаживаемая ТУТ-HF(2:1)-8/4 белая REXANT</t>
  </si>
  <si>
    <t>20-8004-1</t>
  </si>
  <si>
    <t>Трубка термоусаживаемая ТУТ-HF(2:1)-8/4 красная REXANT</t>
  </si>
  <si>
    <t>20-8006-1</t>
  </si>
  <si>
    <t>Трубка термоусаживаемая ТУТ-HF(2:1)-8/4 черная REXANT</t>
  </si>
  <si>
    <t>1. 9. 2 Термоусаживаемые ленты</t>
  </si>
  <si>
    <t>48-9004</t>
  </si>
  <si>
    <t>Термоусаживаемая лента клеевая ТЛК 25х0,8 красная (5м) REXANT</t>
  </si>
  <si>
    <t>рулон</t>
  </si>
  <si>
    <t>48-9006</t>
  </si>
  <si>
    <t>Термоусаживаемая лента клеевая ТЛК 25х0,8 черная (5м) REXANT</t>
  </si>
  <si>
    <t>48-9026</t>
  </si>
  <si>
    <t>Термоусаживаемая лента клеевая ТЛК 25х1 черная (5м) REXANT</t>
  </si>
  <si>
    <t>48-9012</t>
  </si>
  <si>
    <t>Термоусаживаемая лента клеевая ТЛК 50х0,8 желтая (5м) REXANT</t>
  </si>
  <si>
    <t>48-9013</t>
  </si>
  <si>
    <t>Термоусаживаемая лента клеевая ТЛК 50х0,8 зеленая (5м) REXANT</t>
  </si>
  <si>
    <t>48-9014</t>
  </si>
  <si>
    <t>Термоусаживаемая лента клеевая ТЛК 50х0,8 красная (5м) REXANT</t>
  </si>
  <si>
    <t>48-9016</t>
  </si>
  <si>
    <t>Термоусаживаемая лента клеевая ТЛК 50х0,8 черная (5м) REXANT</t>
  </si>
  <si>
    <t>1. 9. 3 Термоусаживаемые перчатки и капы</t>
  </si>
  <si>
    <t>48-3087</t>
  </si>
  <si>
    <t>Термоусаживаемая перчатка на 3 жилы 87,0/46,0 мм черная REXANT</t>
  </si>
  <si>
    <t>48-4090</t>
  </si>
  <si>
    <t>Термоусаживаемая перчатка на 4 жилы 90,0/45,0 мм черная REXANT</t>
  </si>
  <si>
    <t>48-1120</t>
  </si>
  <si>
    <t>Термоусаживаемый колпак, (капа) 120,0/57,0 мм черный REXANT</t>
  </si>
  <si>
    <t>1. 9. 4 Изолента ПВХ</t>
  </si>
  <si>
    <t>1. 9. 4. 4 Изолента KRANZ</t>
  </si>
  <si>
    <t>KR-09-2001</t>
  </si>
  <si>
    <t>Изолента ПВХ 0,13х15мм, 10м, белая KRANZ</t>
  </si>
  <si>
    <t>03.11.2026</t>
  </si>
  <si>
    <t>KR-09-2002</t>
  </si>
  <si>
    <t>Изолента ПВХ 0,13х15мм, 10м, желтая KRANZ</t>
  </si>
  <si>
    <t>10.11.2026</t>
  </si>
  <si>
    <t>KR-09-2007</t>
  </si>
  <si>
    <t>Изолента ПВХ 0,13х15мм, 10м, желто-зеленая KRANZ</t>
  </si>
  <si>
    <t>KR-09-2003</t>
  </si>
  <si>
    <t>Изолента ПВХ 0,13х15мм, 10м, зеленая KRANZ</t>
  </si>
  <si>
    <t>KR-09-2004</t>
  </si>
  <si>
    <t>Изолента ПВХ 0,13х15мм, 10м, красная KRANZ</t>
  </si>
  <si>
    <t>KR-09-2005</t>
  </si>
  <si>
    <t>Изолента ПВХ 0,13х15мм, 10м, синяя KRANZ</t>
  </si>
  <si>
    <t>KR-09-2006</t>
  </si>
  <si>
    <t>Изолента ПВХ 0,13х15мм, 10м, черная KRANZ</t>
  </si>
  <si>
    <t>KR-09-2601</t>
  </si>
  <si>
    <t>Изолента ПВХ 0,13х15мм, 20м, белая KRANZ</t>
  </si>
  <si>
    <t>KR-09-2602</t>
  </si>
  <si>
    <t>Изолента ПВХ 0,13х15мм, 20м, желтая KRANZ</t>
  </si>
  <si>
    <t>KR-09-2603</t>
  </si>
  <si>
    <t>Изолента ПВХ 0,13х15мм, 20м, зеленая KRANZ</t>
  </si>
  <si>
    <t>KR-09-2604</t>
  </si>
  <si>
    <t>Изолента ПВХ 0,13х15мм, 20м, красная KRANZ</t>
  </si>
  <si>
    <t>KR-09-2605</t>
  </si>
  <si>
    <t>Изолента ПВХ 0,13х15мм, 20м, синяя KRANZ</t>
  </si>
  <si>
    <t>KR-09-2606</t>
  </si>
  <si>
    <t>Изолента ПВХ 0,13х15мм, 20м, черная KRANZ</t>
  </si>
  <si>
    <t>KR-09-2101</t>
  </si>
  <si>
    <t>Изолента ПВХ 0,13х15мм, 25м, белая KRANZ</t>
  </si>
  <si>
    <t>KR-09-2102</t>
  </si>
  <si>
    <t>Изолента ПВХ 0,13х15 мм, 25 м, желтая KRANZ</t>
  </si>
  <si>
    <t>KR-09-2107</t>
  </si>
  <si>
    <t>Изолента ПВХ 0,13х15мм, 25м, желто-зеленая KRANZ</t>
  </si>
  <si>
    <t>KR-09-2103</t>
  </si>
  <si>
    <t>Изолента ПВХ 0,13х15мм, 25м, зеленая KRANZ</t>
  </si>
  <si>
    <t>KR-09-2104</t>
  </si>
  <si>
    <t>Изолента ПВХ 0,13х15мм, 25м, красная KRANZ</t>
  </si>
  <si>
    <t>03.12.2026</t>
  </si>
  <si>
    <t>KR-09-2108</t>
  </si>
  <si>
    <t>Изолента ПВХ 0,13х15мм, 25м, серая KRANZ</t>
  </si>
  <si>
    <t>KR-09-2105</t>
  </si>
  <si>
    <t>Изолента ПВХ 0,13х15мм, 25м, синяя KRANZ</t>
  </si>
  <si>
    <t>KR-09-2106</t>
  </si>
  <si>
    <t>Изолента ПВХ 0,13х15мм, 25м, черная KRANZ</t>
  </si>
  <si>
    <t>KR-09-2201</t>
  </si>
  <si>
    <t>Изолента ПВХ 0,13х19мм, 25м, белая KRANZ</t>
  </si>
  <si>
    <t>KR-09-2202</t>
  </si>
  <si>
    <t>Изолента ПВХ 0,13х19мм, 25м, желтая KRANZ</t>
  </si>
  <si>
    <t>KR-09-2207</t>
  </si>
  <si>
    <t>Изолента ПВХ 0,13х19мм, 25м, желто-зеленая KRANZ</t>
  </si>
  <si>
    <t>KR-09-2203</t>
  </si>
  <si>
    <t>Изолента ПВХ 0,13х19мм, 25м, зеленая KRANZ</t>
  </si>
  <si>
    <t>KR-09-2204</t>
  </si>
  <si>
    <t>Изолента ПВХ 0,13х19мм, 25м, красная KRANZ</t>
  </si>
  <si>
    <t>KR-09-2208</t>
  </si>
  <si>
    <t>Изолента ПВХ 0,13х19мм, 25м, серая KRANZ</t>
  </si>
  <si>
    <t>KR-09-2205</t>
  </si>
  <si>
    <t>Изолента ПВХ 0,13х19мм, 25м, синяя KRANZ</t>
  </si>
  <si>
    <t>KR-09-2206</t>
  </si>
  <si>
    <t>Изолента ПВХ 0,13х19мм, 25м, черная KRANZ</t>
  </si>
  <si>
    <t>KR-09-2011</t>
  </si>
  <si>
    <t>Набор изоляционных лент «АВТО» 4 цвета KRANZ</t>
  </si>
  <si>
    <t>KR-09-2010-E</t>
  </si>
  <si>
    <t>Набор изоляционных лент 0,13х15мм, 10м, 7 цветов KRANZ</t>
  </si>
  <si>
    <t>28.11.2026</t>
  </si>
  <si>
    <t>1. 9. 4. 5 Изолента профессиональная KRANZ</t>
  </si>
  <si>
    <t>KR-09-2806</t>
  </si>
  <si>
    <t>Изолента ПВХ профессиональная, 0,18х19мм, 20м, черная KRANZ</t>
  </si>
  <si>
    <t>KR-09-2801</t>
  </si>
  <si>
    <t>Изолента ПВХ профессиональная, 0,18х19мм, 20м, белая KRANZ</t>
  </si>
  <si>
    <t>KR-09-2802</t>
  </si>
  <si>
    <t>Изолента ПВХ профессиональная, 0,18х19мм, 20м, желтая KRANZ</t>
  </si>
  <si>
    <t>KR-09-2807</t>
  </si>
  <si>
    <t>Изолента ПВХ профессиональная, 0,18х19мм, 20м, желто-зеленая KRANZ</t>
  </si>
  <si>
    <t>KR-09-2803</t>
  </si>
  <si>
    <t>Изолента ПВХ профессиональная, 0,18х19мм, 20м, зеленая KRANZ</t>
  </si>
  <si>
    <t>KR-09-2804</t>
  </si>
  <si>
    <t>Изолента ПВХ профессиональная, 0,18х19мм х 20м, красная KRANZ</t>
  </si>
  <si>
    <t>KR-09-2808</t>
  </si>
  <si>
    <t>Изолента ПВХ профессиональная, 0,18х19мм, 20м, серая KRANZ</t>
  </si>
  <si>
    <t>KR-09-2805</t>
  </si>
  <si>
    <t>Изолента ПВХ профессиональная, 0,18х19мм, 20м, синяя KRANZ</t>
  </si>
  <si>
    <t>KR-09-2850</t>
  </si>
  <si>
    <t>Изолента ПВХ профессиональная, 0,18х50мм, 10м, черная KRANZ</t>
  </si>
  <si>
    <t>KR-09-2826</t>
  </si>
  <si>
    <t>Изолента ПВХ профессиональная, морозостойкая 0,18х19мм, 20м, черная KRANZ</t>
  </si>
  <si>
    <t>KR-09-2816</t>
  </si>
  <si>
    <t>Изолента ПВХ профессиональная, термостойкая 0,18х19мм, 20м, черная KRANZ</t>
  </si>
  <si>
    <t>1. 9. 5 Изолента х/б</t>
  </si>
  <si>
    <t>09-2405</t>
  </si>
  <si>
    <t>Изолента х/б 15х0,35 мм (ролик 10 м/100 г) (1-ПОЛ) REXANT</t>
  </si>
  <si>
    <t>09-2406</t>
  </si>
  <si>
    <t>Изолента х/б 15х0,35 мм (ролик 20 м/200 г) (1-ПОЛ) REXANT</t>
  </si>
  <si>
    <t>09-2407</t>
  </si>
  <si>
    <t>Изолента х/б 15х0,35 мм (ролик 30 м/300 г) (1-ПОЛ) REXANT</t>
  </si>
  <si>
    <t>09-2412</t>
  </si>
  <si>
    <t>Изолента х/б 15х0,35 мм (ролик 50 м/500 г) (1-ПОЛ) REXANT</t>
  </si>
  <si>
    <t>09-2401</t>
  </si>
  <si>
    <t>Изолента х/б 18х0,35 мм (ролик 15 м/180 г) (1-ПОЛ) REXANT</t>
  </si>
  <si>
    <t>09-2402</t>
  </si>
  <si>
    <t>Изолента х/б 20х0,35 мм (ролик 16,7 м/200 г) (1-ПОЛ) REXANT</t>
  </si>
  <si>
    <t>09-2403</t>
  </si>
  <si>
    <t>Изолента х/б 20х0,35 мм (ролик 6,7 м/80 г) (1-ПОЛ) REXANT</t>
  </si>
  <si>
    <t>09-2404</t>
  </si>
  <si>
    <t>Изолента х/б 20х0,35 мм (ролик 8,3 м/110 г) (1-ПОЛ) REXANT</t>
  </si>
  <si>
    <t>09-2409-4</t>
  </si>
  <si>
    <t>Изолента ХБ 18х0,35 мм (ролик 11,3 м/80 г) (2-ПОЛ) PROconnect</t>
  </si>
  <si>
    <t>09-2411-4</t>
  </si>
  <si>
    <t>Изолента ХБ 18х0,35 мм (ролик 16,4 м/110 г) (2-ПОЛ) PROconnect</t>
  </si>
  <si>
    <t>09-2421-4</t>
  </si>
  <si>
    <t>Изолента ХБ 18х0,35 мм (ролик 31,9 м/200 г) (2-ПОЛ) PROconnect</t>
  </si>
  <si>
    <t>1. 9. 6 Ленты специальные</t>
  </si>
  <si>
    <t>1. 9. 6. 1 Изолента высоковольтная, самослипающаяся (вулканизирующая)</t>
  </si>
  <si>
    <t>KR-09-2510</t>
  </si>
  <si>
    <t>Изолента высоковольтная самослипающаяся, до 10кВ, 0.76х25 мм, 5 м  KRANZ</t>
  </si>
  <si>
    <t>KR-09-2512</t>
  </si>
  <si>
    <t>Изолента высоковольтная KRANZ самослипающаяся, до 25кВ, 0.8х15 мм, 5 м</t>
  </si>
  <si>
    <t>KR-09-2513</t>
  </si>
  <si>
    <t>Изолента высоковольтная KRANZ самослипающаяся, до 25кВ, 0.8х20 мм, 10 м</t>
  </si>
  <si>
    <t>KR-09-2511</t>
  </si>
  <si>
    <t>Изолента высоковольтная самослипающаяся, до 1кВ, 0.76х25 мм, 5 м KRANZ</t>
  </si>
  <si>
    <t>1. 9. 6. 2 Изолента автомобильная</t>
  </si>
  <si>
    <t>KR-09-2916</t>
  </si>
  <si>
    <t>Изолента автомобильная KRANZ полиэстер, 0.17х19 мм, 25 м</t>
  </si>
  <si>
    <t>KR-09-2916-1</t>
  </si>
  <si>
    <t>Изолента автомобильная KRANZ полиэстер, 0.17х25 мм, 25 м</t>
  </si>
  <si>
    <t>KR-09-2906</t>
  </si>
  <si>
    <t>Изолента автомобильная флис, 0,3х19 мм, 15 м KRANZ</t>
  </si>
  <si>
    <t>KR-09-2906-1</t>
  </si>
  <si>
    <t>Изолента автомобильная флис, 0.3х25 мм, 15 м KRANZ</t>
  </si>
  <si>
    <t>1. 9. 6. 3 Ленты сигнальные, оградительные</t>
  </si>
  <si>
    <t>19-3027</t>
  </si>
  <si>
    <t>Лента оградительная «Опасная зона» 75 мм х 250 м, бело-красная REXANT</t>
  </si>
  <si>
    <t>19-3026</t>
  </si>
  <si>
    <t>Лента оградительная «Проход запрещен» 75 мм х 250 м, бело-красная REXANT</t>
  </si>
  <si>
    <t>19-3135</t>
  </si>
  <si>
    <t>Лента оградительная 75 мм х 100 м, бело-красная PROconnect</t>
  </si>
  <si>
    <t>19-3150</t>
  </si>
  <si>
    <t>Лента оградительная 75 мм х 100 м, бело-красная REXANT</t>
  </si>
  <si>
    <t>19-3235</t>
  </si>
  <si>
    <t>Лента оградительная 75 мм х 250 м, бело-красная PROconnect</t>
  </si>
  <si>
    <t>19-3250</t>
  </si>
  <si>
    <t>Лента оградительная 75 мм х 250 м, бело-красная REXANT</t>
  </si>
  <si>
    <t>19-3136</t>
  </si>
  <si>
    <t>Лента оградительная 75 мм х 50 м, бело-красная PROconnect</t>
  </si>
  <si>
    <t>19-3022</t>
  </si>
  <si>
    <t>Лента сигнальная «Внимание! Водопровод» 200 мм х 250 м, бело-синяя REXANT</t>
  </si>
  <si>
    <t>19-3024</t>
  </si>
  <si>
    <t>Лента сигнальная «Внимание! Канализация» 200 мм х 250 м, бело-черная REXANT</t>
  </si>
  <si>
    <t>19-3023</t>
  </si>
  <si>
    <t>Лента сигнальная «Внимание! Теплосеть» 200 мм х 250 м, бело-красная REXANT</t>
  </si>
  <si>
    <t>19-3019</t>
  </si>
  <si>
    <t>Лента сигнальная «Не копать, ниже кабель!» 100 мм х 250 м, оранжево-черная REXANT</t>
  </si>
  <si>
    <t>19-3016</t>
  </si>
  <si>
    <t>Лента сигнальная «Не копать, ниже кабель!» 40 мм х 250 м, оранжево-черная REXANT</t>
  </si>
  <si>
    <t>19-3017</t>
  </si>
  <si>
    <t>Лента сигнальная «Не копать, ниже кабель!» 50 мм х 250 м, оранжево-черная REXANT</t>
  </si>
  <si>
    <t>19-3018</t>
  </si>
  <si>
    <t>Лента сигнальная «Не копать, ниже кабель!» 75 мм х 250 м, оранжево-черная REXANT</t>
  </si>
  <si>
    <t>19-3040</t>
  </si>
  <si>
    <t>Лента сигнальная «Опасно ГАЗ» 200 мм х 100 м, желто-красная REXANT</t>
  </si>
  <si>
    <t>19-3015</t>
  </si>
  <si>
    <t>Лента сигнальная «Осторожно кабель» 150 мм х 100 м, красно-черная REXANT</t>
  </si>
  <si>
    <t>19-3025</t>
  </si>
  <si>
    <t>Лента сигнальная «Осторожно кабель» 250 мм х 100 м, красно-черная REXANT</t>
  </si>
  <si>
    <t>19-3030</t>
  </si>
  <si>
    <t>Лента сигнальная «Осторожно кабель» 300 мм х 100 м, красно-черная REXANT</t>
  </si>
  <si>
    <t>19-3045</t>
  </si>
  <si>
    <t>Лента сигнальная «Осторожно кабель» 450 мм х 100 м, красно-черная REXANT</t>
  </si>
  <si>
    <t>19-3060</t>
  </si>
  <si>
    <t>Лента сигнальная «Осторожно кабель» 600 мм х 100 м, красно-черная REXANT</t>
  </si>
  <si>
    <t>19-3020</t>
  </si>
  <si>
    <t>Лента сигнальная «Осторожно оптический кабель» 40 мм х 500 м, желто-черная REXANT</t>
  </si>
  <si>
    <t>19-3021</t>
  </si>
  <si>
    <t>Лента сигнальная «Осторожно оптический кабель» 70 мм х 500 м, желто-черная REXANT</t>
  </si>
  <si>
    <t>1. 9. 7 Трубка ТВ-40 (кембрик) ПВХ</t>
  </si>
  <si>
    <t>49-5010</t>
  </si>
  <si>
    <t>Трубка кембрик ТВ-40 ПВХ белый, Ø10 мм REXANT</t>
  </si>
  <si>
    <t>49-5011</t>
  </si>
  <si>
    <t>Трубка кембрик ТВ-40 ПВХ белый, Ø12 мм REXANT</t>
  </si>
  <si>
    <t>49-5012</t>
  </si>
  <si>
    <t>Трубка кембрик ТВ-40 ПВХ белый, Ø14 мм REXANT</t>
  </si>
  <si>
    <t>49-5013</t>
  </si>
  <si>
    <t>Трубка кембрик ТВ-40 ПВХ белый, Ø16 мм REXANT</t>
  </si>
  <si>
    <t>49-5014</t>
  </si>
  <si>
    <t>Трубка кембрик ТВ-40 ПВХ белый, Ø18 мм REXANT</t>
  </si>
  <si>
    <t>49-5015</t>
  </si>
  <si>
    <t>Трубка кембрик ТВ-40 ПВХ белый, Ø20 мм REXANT</t>
  </si>
  <si>
    <t>49-5016</t>
  </si>
  <si>
    <t>Трубка кембрик ТВ-40 ПВХ белый, Ø22 мм REXANT</t>
  </si>
  <si>
    <t>49-5017</t>
  </si>
  <si>
    <t>Трубка кембрик ТВ-40 ПВХ белый, Ø25 мм REXANT</t>
  </si>
  <si>
    <t>49-5018</t>
  </si>
  <si>
    <t>Трубка кембрик ТВ-40 ПВХ белый, Ø30 мм REXANT</t>
  </si>
  <si>
    <t>49-5004</t>
  </si>
  <si>
    <t>Трубка кембрик ТВ-40 ПВХ белый, Ø4 мм REXANT</t>
  </si>
  <si>
    <t>49-5005</t>
  </si>
  <si>
    <t>Трубка кембрик ТВ-40 ПВХ белый, Ø5 мм REXANT</t>
  </si>
  <si>
    <t>49-5006</t>
  </si>
  <si>
    <t>Трубка кембрик ТВ-40 ПВХ белый, Ø6 мм REXANT</t>
  </si>
  <si>
    <t>49-5007</t>
  </si>
  <si>
    <t>Трубка кембрик ТВ-40 ПВХ белый, Ø7 мм REXANT</t>
  </si>
  <si>
    <t>49-5008</t>
  </si>
  <si>
    <t>Трубка кембрик ТВ-40 ПВХ белый, Ø8 мм REXANT</t>
  </si>
  <si>
    <t>49-5009</t>
  </si>
  <si>
    <t>Трубка кембрик ТВ-40 ПВХ белый, Ø9 мм REXANT</t>
  </si>
  <si>
    <t>49-5001-1</t>
  </si>
  <si>
    <t>Трубка кембрик ТВ-40 ПВХ черный, Ø 1,5 мм REXANT</t>
  </si>
  <si>
    <t>49-5010-1</t>
  </si>
  <si>
    <t>Трубка кембрик ТВ-40 ПВХ черный, Ø 10 мм REXANT</t>
  </si>
  <si>
    <t>49-5011-1</t>
  </si>
  <si>
    <t>Трубка кембрик ТВ-40 ПВХ черный, Ø 12 мм REXANT</t>
  </si>
  <si>
    <t>49-5012-1</t>
  </si>
  <si>
    <t>Трубка кембрик ТВ-40 ПВХ черный, Ø 14 мм REXANT</t>
  </si>
  <si>
    <t>49-5002-1</t>
  </si>
  <si>
    <t>Трубка кембрик ТВ-40 ПВХ черный, Ø 2 мм REXANT</t>
  </si>
  <si>
    <t>49-5003-1</t>
  </si>
  <si>
    <t>Трубка кембрик ТВ-40 ПВХ черный, Ø 3 мм REXANT</t>
  </si>
  <si>
    <t>49-5004-1</t>
  </si>
  <si>
    <t>Трубка кембрик ТВ-40 ПВХ черный, Ø 4 мм REXANT</t>
  </si>
  <si>
    <t>49-5005-1</t>
  </si>
  <si>
    <t>Трубка кембрик ТВ-40 ПВХ черный, Ø 5 мм REXANT</t>
  </si>
  <si>
    <t>49-5006-1</t>
  </si>
  <si>
    <t>Трубка кембрик ТВ-40 ПВХ черный, Ø 6 мм REXANT</t>
  </si>
  <si>
    <t>49-5007-1</t>
  </si>
  <si>
    <t>Трубка кембрик ТВ-40 ПВХ черный, Ø 7 мм REXANT</t>
  </si>
  <si>
    <t>49-5008-1</t>
  </si>
  <si>
    <t>Трубка кембрик ТВ-40 ПВХ черный, Ø 8 мм REXANT</t>
  </si>
  <si>
    <t>49-5002</t>
  </si>
  <si>
    <t>Трубка, кембрик ТВ-40 ПВХ белый, Ø2 мм,  REXANT</t>
  </si>
  <si>
    <t>49-5003</t>
  </si>
  <si>
    <t>Трубка, кембрик ТВ-40 ПВХ белый, Ø3 мм, REXANT</t>
  </si>
  <si>
    <t>1.10 Кнопки, выключатели, тумблеры, светосигнальная арматура</t>
  </si>
  <si>
    <t>1.10. 1 Клавишные выключатели</t>
  </si>
  <si>
    <t>1.10. 1. 1 Клавишные выключатели 12В</t>
  </si>
  <si>
    <t>36-2173</t>
  </si>
  <si>
    <t>Выключатель клавишный 12В 15А (3с) вкл-выкл зеленый с подсветкой мини REXANT</t>
  </si>
  <si>
    <t>36-2170</t>
  </si>
  <si>
    <t>Выключатель клавишный 12В 15А (3с) вкл-выкл красный с подсветкой мини REXANT</t>
  </si>
  <si>
    <t>36-2171</t>
  </si>
  <si>
    <t>Выключатель клавишный 12В 15А (3с) вкл-выкл синий с подсветкой мини REXANT</t>
  </si>
  <si>
    <t>36-4442</t>
  </si>
  <si>
    <t>Выключатель клавишный 12В 35А (4с) вкл-выкл с желтой подсветкой REXANT</t>
  </si>
  <si>
    <t>36-4441</t>
  </si>
  <si>
    <t>Выключатель клавишный 12В 35А (4с) вкл-выкл с зеленой подсветкой REXANT</t>
  </si>
  <si>
    <t>36-4443</t>
  </si>
  <si>
    <t>Выключатель клавишный 12В 35А (4с) вкл-выкл с синей подсветкой REXANT</t>
  </si>
  <si>
    <t>36-2587</t>
  </si>
  <si>
    <t>Выключатель клавишный круглый 12В 20А (3с) вкл-выкл желтый с подсветкой REXANT</t>
  </si>
  <si>
    <t>36-2588</t>
  </si>
  <si>
    <t>Выключатель клавишный круглый 12В 20А (3с) вкл-выкл зеленый с подсветкой REXANT</t>
  </si>
  <si>
    <t>36-2585</t>
  </si>
  <si>
    <t>Выключатель клавишный круглый 12В 20А (3с) вкл-выкл красный с подсветкой REXANT</t>
  </si>
  <si>
    <t>36-2583</t>
  </si>
  <si>
    <t>Выключатель клавишный круглый 12В 20А (3с) вкл-выкл черный с зеленой подсветкой REXANT</t>
  </si>
  <si>
    <t>36-2580</t>
  </si>
  <si>
    <t>Выключатель клавишный круглый 12В 20А (3с) вкл-выкл черный с красной подсветкой REXANT</t>
  </si>
  <si>
    <t>36-2581</t>
  </si>
  <si>
    <t>Выключатель клавишный круглый 12В 20А (3с) вкл-выкл черный с синей подсветкой REXANT</t>
  </si>
  <si>
    <t>36-2670</t>
  </si>
  <si>
    <t>Выключатель клавишный овальный 12В 30А (3с) вкл-выкл черный с красной подсветкой REXANT</t>
  </si>
  <si>
    <t>36-2671</t>
  </si>
  <si>
    <t>Выключатель клавишный овальный 12В 30А (3с) вкл-выкл черный с синей подсветкой REXANT</t>
  </si>
  <si>
    <t>36-4410</t>
  </si>
  <si>
    <t>Переключатель (стеклоподъемника) клавишный 12В 20А (5с) (вкл)-выкл-(вкл) черный REXANT</t>
  </si>
  <si>
    <t>36-4430</t>
  </si>
  <si>
    <t>Переключатель (стеклоподъемника) клавишный 12В 20А (6с) (вкл)-выкл-(вкл) черный с подсветкой и проводом REXANT</t>
  </si>
  <si>
    <t>1.10. 1. 2 Клавишные выключатели 24В</t>
  </si>
  <si>
    <t>36-2165</t>
  </si>
  <si>
    <t>Выключатель клавишный 24В 15А (3с) вкл-выкл красный с подсветкой мини REXANT</t>
  </si>
  <si>
    <t>1.10. 1. 3 Клавишные выключатели 250В</t>
  </si>
  <si>
    <t>36-2212</t>
  </si>
  <si>
    <t>Выключатель клавишный 250В 15А (3с) вкл-выкл желтый с подсветкой REXANT</t>
  </si>
  <si>
    <t>36-2213</t>
  </si>
  <si>
    <t>Выключатель клавишный 250В 15А (3с) вкл-выкл зеленый с подсветкой REXANT</t>
  </si>
  <si>
    <t>36-2226</t>
  </si>
  <si>
    <t>36-2210</t>
  </si>
  <si>
    <t>Выключатель клавишный 250В 15А (3с) вкл-выкл красный с подсветкой REXANT</t>
  </si>
  <si>
    <t>36-2225</t>
  </si>
  <si>
    <t>36-2211</t>
  </si>
  <si>
    <t>Выключатель клавишный 250В 15А (3с) вкл-выкл синий с подсветкой REXANT</t>
  </si>
  <si>
    <t>36-2363</t>
  </si>
  <si>
    <t>Выключатель клавишный 250В 15А (4с) вкл-выкл желтый с подсветкой и влагозащитой REXANT</t>
  </si>
  <si>
    <t>36-2362</t>
  </si>
  <si>
    <t>Выключатель клавишный 250В 15А (4с) вкл-выкл зеленый с подсветкой и влагозащитой REXANT</t>
  </si>
  <si>
    <t>36-2360-1</t>
  </si>
  <si>
    <t>Выключатель клавишный 250В 15А (4с) вкл-выкл красный с подсветкой и влагозащитой (1 шт/уп) REXANT</t>
  </si>
  <si>
    <t>06-0307-C</t>
  </si>
  <si>
    <t>36-2360</t>
  </si>
  <si>
    <t>Выключатель клавишный 250В 15А (4с) вкл-выкл красный с подсветкой и влагозащитой REXANT</t>
  </si>
  <si>
    <t>36-2361</t>
  </si>
  <si>
    <t>Выключатель клавишный 250В 15А (4с) вкл-выкл синий с подсветкой и влагозащитой REXANT</t>
  </si>
  <si>
    <t>36-2310</t>
  </si>
  <si>
    <t>Выключатель клавишный 250В 15А (4с) вкл-выкл черный REXANT</t>
  </si>
  <si>
    <t>36-2380</t>
  </si>
  <si>
    <t>Выключатель клавишный 250В 15А (4с) выкл-(вкл) черный без фиксации REXANT</t>
  </si>
  <si>
    <t>36-2412</t>
  </si>
  <si>
    <t>Выключатель клавишный 250В 15А (6с) вкл-выкл зеленый с подсветкой, двойной REXANT</t>
  </si>
  <si>
    <t>36-2410</t>
  </si>
  <si>
    <t>Выключатель клавишный 250В 15А (6с) вкл-выкл красный с подсветкой, двойной REXANT</t>
  </si>
  <si>
    <t>36-2450</t>
  </si>
  <si>
    <t>Выключатель клавишный 250В 15А (6с) вкл-выкл красный/зеленый с подсветкой, двойной REXANT</t>
  </si>
  <si>
    <t>36-2411</t>
  </si>
  <si>
    <t>Выключатель клавишный 250В 15А (6с) вкл-выкл синий с подсветкой, двойной REXANT</t>
  </si>
  <si>
    <t>36-2430</t>
  </si>
  <si>
    <t>Выключатель клавишный 250В 15А (6с) вкл-выкл черный с подсветкой, двойной REXANT</t>
  </si>
  <si>
    <t>36-2370-1</t>
  </si>
  <si>
    <t>Выключатель клавишный 250В 15А (6с) вкл-выкл-вкл черный с нейтралью (1 шт/уп) REXANT</t>
  </si>
  <si>
    <t>36-2333</t>
  </si>
  <si>
    <t>Выключатель клавишный 250В 16А (4с) вкл-выкл желтый с подсветкой REXANT</t>
  </si>
  <si>
    <t>36-2332-1</t>
  </si>
  <si>
    <t>Выключатель клавишный 250В 16А (4с) вкл-выкл зеленый с подсветкой (1 шт/уп) REXANT</t>
  </si>
  <si>
    <t>06-0304-B</t>
  </si>
  <si>
    <t>36-2332</t>
  </si>
  <si>
    <t>Выключатель клавишный 250В 16А (4с) вкл-выкл зеленый с подсветкой REXANT</t>
  </si>
  <si>
    <t>36-2330-1</t>
  </si>
  <si>
    <t>Выключатель клавишный 250В 16А (4с) вкл-выкл красный с подсветкой (1 шт/уп) REXANT</t>
  </si>
  <si>
    <t>06-0303-B</t>
  </si>
  <si>
    <t>36-2330</t>
  </si>
  <si>
    <t>Выключатель клавишный 250В 16А (4с) вкл-выкл красный с подсветкой REXANT</t>
  </si>
  <si>
    <t>36-2331-1</t>
  </si>
  <si>
    <t>Выключатель клавишный 250В 16А (4с) вкл-выкл синий с подсветкой (1 шт/уп) REXANT</t>
  </si>
  <si>
    <t>06-0306-B</t>
  </si>
  <si>
    <t>36-2331</t>
  </si>
  <si>
    <t>Выключатель клавишный 250В 16А (4с) вкл-выкл синий с подсветкой REXANT</t>
  </si>
  <si>
    <t>36-2340</t>
  </si>
  <si>
    <t>Выключатель клавишный 250В 20А (4с) вкл-выкл красный с подсветкой REXANT</t>
  </si>
  <si>
    <t>36-2343</t>
  </si>
  <si>
    <t>Выключатель клавишный 250В 25А (4с) вкл-выкл красный с подсветкой REXANT</t>
  </si>
  <si>
    <t>36-2346</t>
  </si>
  <si>
    <t>Выключатель клавишный 250В 30А (4с) вкл-выкл красный с подсветкой REXANT</t>
  </si>
  <si>
    <t>36-2011</t>
  </si>
  <si>
    <t>Выключатель клавишный 250В 3А (2с) вкл-выкл красный микро REXANT</t>
  </si>
  <si>
    <t>36-2010</t>
  </si>
  <si>
    <t>Выключатель клавишный 250В 3А (2с) вкл-выкл черный микро REXANT</t>
  </si>
  <si>
    <t>36-2051</t>
  </si>
  <si>
    <t>Выключатель клавишный 250В 6А (2с) вкл-выкл красный мини REXANT</t>
  </si>
  <si>
    <t>36-2111</t>
  </si>
  <si>
    <t>36-2050</t>
  </si>
  <si>
    <t>Выключатель клавишный 250В 6А (2с) вкл-выкл черный мини REXANT</t>
  </si>
  <si>
    <t>36-2110</t>
  </si>
  <si>
    <t>36-2153</t>
  </si>
  <si>
    <t>Выключатель клавишный 250В 6А (3с) вкл-выкл зеленый с подсветкой мини REXANT</t>
  </si>
  <si>
    <t>36-2150</t>
  </si>
  <si>
    <t>Выключатель клавишный 250В 6А (3с) вкл-выкл красный с подсветкой мини REXANT</t>
  </si>
  <si>
    <t>36-2192</t>
  </si>
  <si>
    <t>Выключатель клавишный 250В 6А (4с) вкл-выкл желтый с подсветкой мини REXANT</t>
  </si>
  <si>
    <t>36-2190-1</t>
  </si>
  <si>
    <t>Выключатель клавишный 250В 6А (4с) вкл-выкл красный с подсветкой мини (1 шт/уп) REXANT</t>
  </si>
  <si>
    <t>06-0300-A</t>
  </si>
  <si>
    <t>36-2190</t>
  </si>
  <si>
    <t>Выключатель клавишный 250В 6А (4с) вкл-выкл красный с подсветкой мини REXANT</t>
  </si>
  <si>
    <t>36-2191</t>
  </si>
  <si>
    <t>Выключатель клавишный 250В 6А (4с) вкл-выкл синий с подсветкой мини REXANT</t>
  </si>
  <si>
    <t>36-2146</t>
  </si>
  <si>
    <t>Выключатель клавишный 250В 6А (4с) вкл-выкл черный мини REXANT</t>
  </si>
  <si>
    <t>36-2160</t>
  </si>
  <si>
    <t>Выключатель клавишный 250В 6А (6с) вкл-выкл красный с подсветкой, двойной мини REXANT</t>
  </si>
  <si>
    <t>36-2511</t>
  </si>
  <si>
    <t>Выключатель клавишный круглый 250В 3А (2с) вкл-выкл красный микро REXANT</t>
  </si>
  <si>
    <t>36-2510</t>
  </si>
  <si>
    <t>Выключатель клавишный круглый 250В 3А (2с) вкл-выкл черный микро REXANT</t>
  </si>
  <si>
    <t>36-2532</t>
  </si>
  <si>
    <t>Выключатель клавишный круглый 250В 3А (3с) вкл-выкл желтый с подсветкой микро REXANT</t>
  </si>
  <si>
    <t>36-2533</t>
  </si>
  <si>
    <t>Выключатель клавишный круглый 250В 3А (3с) вкл-выкл зеленый с подсветкой микро REXANT</t>
  </si>
  <si>
    <t>36-2530-1</t>
  </si>
  <si>
    <t>Выключатель клавишный круглый 250В 3А (3с) вкл-выкл красный с подсветкой микро (1 шт/уп) REXANT</t>
  </si>
  <si>
    <t>36-2530</t>
  </si>
  <si>
    <t>Выключатель клавишный круглый 250В 3А (3с) вкл-выкл красный с подсветкой микро REXANT</t>
  </si>
  <si>
    <t>36-2531</t>
  </si>
  <si>
    <t>Выключатель клавишный круглый 250В 3А (3с) вкл-выкл синий с подсветкой микро REXANT</t>
  </si>
  <si>
    <t>36-2560</t>
  </si>
  <si>
    <t>Выключатель клавишный круглый 250В 6А (2с) вкл-выкл красный REXANT</t>
  </si>
  <si>
    <t>36-2550</t>
  </si>
  <si>
    <t>Выключатель клавишный круглый 250В 6А (2с) вкл-выкл черный REXANT</t>
  </si>
  <si>
    <t>36-2596</t>
  </si>
  <si>
    <t>Выключатель клавишный круглый 250В 6А (3c) вкл-выкл синий с подсветкой и влагозащитой REXANT</t>
  </si>
  <si>
    <t>36-2572</t>
  </si>
  <si>
    <t>Выключатель клавишный круглый 250В 6А (3с) вкл-выкл желтый с подсветкой REXANT</t>
  </si>
  <si>
    <t>36-2573</t>
  </si>
  <si>
    <t>Выключатель клавишный круглый 250В 6А (3с) вкл-выкл зеленый с подсветкой REXANT</t>
  </si>
  <si>
    <t>36-2570</t>
  </si>
  <si>
    <t>Выключатель клавишный круглый 250В 6А (3с) вкл-выкл красный с подсветкой REXANT</t>
  </si>
  <si>
    <t>36-2595</t>
  </si>
  <si>
    <t>Выключатель клавишный круглый 250В 6А (3с) вкл-выкл красный с подсветкой и влагозащитой REXANT</t>
  </si>
  <si>
    <t>36-2571</t>
  </si>
  <si>
    <t>Выключатель клавишный круглый 250В 6А (3с) вкл-выкл синий с подсветкой REXANT</t>
  </si>
  <si>
    <t>36-2601</t>
  </si>
  <si>
    <t>36-2220</t>
  </si>
  <si>
    <t>Переключатель клавишный 250В 15А (3с) вкл-выкл-вкл черный с нейтралью REXANT</t>
  </si>
  <si>
    <t>36-2375</t>
  </si>
  <si>
    <t>Переключатель клавишный 250В 15А (6с) (вкл)-выкл-(вкл) черный с нейтралью без фиксации REXANT</t>
  </si>
  <si>
    <t>36-2352</t>
  </si>
  <si>
    <t>Переключатель клавишный 250В 15А (6с) вкл-вкл зеленый с подсветкой REXANT</t>
  </si>
  <si>
    <t>36-2350-1</t>
  </si>
  <si>
    <t>Переключатель клавишный 250В 15А (6с) вкл-вкл красный с подсветкой (1 шт/уп) REXANT</t>
  </si>
  <si>
    <t>36-2350</t>
  </si>
  <si>
    <t>Переключатель клавишный 250В 15А (6с) вкл-вкл красный с подсветкой REXANT</t>
  </si>
  <si>
    <t>36-2351</t>
  </si>
  <si>
    <t>Переключатель клавишный 250В 15А (6с) вкл-вкл синий с подсветкой REXANT</t>
  </si>
  <si>
    <t>36-2392</t>
  </si>
  <si>
    <t>Переключатель клавишный 250В 15А (6с) вкл-выкл-вкл зеленый с подсветкой и нейтралью REXANT</t>
  </si>
  <si>
    <t>36-2390</t>
  </si>
  <si>
    <t>Переключатель клавишный 250В 15А (6с) вкл-выкл-вкл красный с подсветкой и нейтралью REXANT</t>
  </si>
  <si>
    <t>06-0308-B</t>
  </si>
  <si>
    <t>Переключатель клавишный 250В 15А (6с) вкл-выкл-вкл черный с нейтралью (1 шт/уп) REXANT</t>
  </si>
  <si>
    <t>36-2370</t>
  </si>
  <si>
    <t>Переключатель клавишный 250В 15А (6с) вкл-выкл-вкл черный с нейтралью REXANT</t>
  </si>
  <si>
    <t>36-2031</t>
  </si>
  <si>
    <t>Переключатель клавишный 250В 3А (3с) вкл-вкл красный микро REXANT</t>
  </si>
  <si>
    <t>36-2030</t>
  </si>
  <si>
    <t>Переключатель клавишный 250В 3А (3с) вкл-вкл черный микро REXANT</t>
  </si>
  <si>
    <t>36-2131</t>
  </si>
  <si>
    <t>Переключатель клавишный 250В 6А (3с) вкл-вкл красный мини REXANT</t>
  </si>
  <si>
    <t>36-2130</t>
  </si>
  <si>
    <t>Переключатель клавишный 250В 6А (3с) вкл-вкл черный мини REXANT</t>
  </si>
  <si>
    <t>36-2145</t>
  </si>
  <si>
    <t>Переключатель клавишный 250В 6А (3с) вкл-выкл-вкл черный с нейтралью мини REXANT</t>
  </si>
  <si>
    <t>1.10. 1. 4 Аксессуары для клавишных выключателей</t>
  </si>
  <si>
    <t>36-2490</t>
  </si>
  <si>
    <t>Влагозащитный колпачок для клавишных выключателей REXANT</t>
  </si>
  <si>
    <t>1.10. 2 Кнопочные выключатели</t>
  </si>
  <si>
    <t>36-3042</t>
  </si>
  <si>
    <t>Выключатель-кнопка 250В 1 А (2с) выкл-(вкл) без фиксации зеленая (PBS-11В) REXANT</t>
  </si>
  <si>
    <t>36-3040</t>
  </si>
  <si>
    <t>Выключатель-кнопка 250В 1 А (2с) выкл-(вкл) без фиксации красная (PBS-11В) REXANT</t>
  </si>
  <si>
    <t>36-3010</t>
  </si>
  <si>
    <t>Выключатель-кнопка 250В 1А (2с) вкл-выкл белый (PBS-17A2) (для настольной лампы) REXANT</t>
  </si>
  <si>
    <t>36-3032</t>
  </si>
  <si>
    <t>Выключатель-кнопка 250В 1А (2с) вкл-выкл зеленая (PBS-11А) REXANT</t>
  </si>
  <si>
    <t>36-3030</t>
  </si>
  <si>
    <t>Выключатель-кнопка 250В 1А (2с) вкл-выкл красная (PBS-11А) REXANT</t>
  </si>
  <si>
    <t>36-3060</t>
  </si>
  <si>
    <t>Выключатель-кнопка 250В 1А (2с) вкл-выкл красная (PBS-16А) REXANT</t>
  </si>
  <si>
    <t>36-3052</t>
  </si>
  <si>
    <t>Выключатель-кнопка 250В 1А (2с) выкл-(вкл) без фиксации желтая микро (PBS-33В) REXANT</t>
  </si>
  <si>
    <t>36-3053</t>
  </si>
  <si>
    <t>Выключатель-кнопка 250В 1А (2с) выкл-(вкл) без фиксации зеленая микро (PBS-33В) REXANT</t>
  </si>
  <si>
    <t>36-3050</t>
  </si>
  <si>
    <t>Выключатель-кнопка 250В 1А (2с) выкл-(вкл) без фиксации красная микро (PBS-33В) REXANT</t>
  </si>
  <si>
    <t>36-3051</t>
  </si>
  <si>
    <t>Выключатель-кнопка 250В 1А (2с) выкл-(вкл) без фиксации синяя микро (PBS-33В) REXANT</t>
  </si>
  <si>
    <t>36-3020</t>
  </si>
  <si>
    <t>Выключатель-кнопка 250В 2.5А (2с) вкл-(выкл) без фиксации белый (PBS-19С) (мебельная) REXANT</t>
  </si>
  <si>
    <t>36-3012</t>
  </si>
  <si>
    <t>Выключатель-кнопка 250В 2А (2с) вкл-выкл белый (PBS-17A) (для настольной лампы) REXANT</t>
  </si>
  <si>
    <t>36-3073</t>
  </si>
  <si>
    <t>Выключатель-кнопка 250В 2А (2с) вкл-выкл зеленая микро (PBS-20А) REXANT</t>
  </si>
  <si>
    <t>36-3070</t>
  </si>
  <si>
    <t>Выключатель-кнопка 250В 2А (2с) вкл-выкл красная микро (PBS-20А) REXANT</t>
  </si>
  <si>
    <t>36-3331</t>
  </si>
  <si>
    <t>Выключатель-кнопка металл 220В 2А (2с) выкл-(вкл) ø10.2 красная мини (RWD-213) REXANT</t>
  </si>
  <si>
    <t>36-3330</t>
  </si>
  <si>
    <t>Выключатель-кнопка металл 220В 2А (2с) выкл-(вкл) ø10.2 черная мини (RWD-213) REXANT</t>
  </si>
  <si>
    <t>36-3310</t>
  </si>
  <si>
    <t>Выключатель-кнопка металл 220В 2А (2с) выкл-(вкл) ø7.2 красная микро (RWD-301, PBS-10B) REXANT</t>
  </si>
  <si>
    <t>36-3354</t>
  </si>
  <si>
    <t>Выключатель-кнопка металл 250В 2А (2с) выкл-(вкл) ø16.2 желтая (RWD-306) REXANT</t>
  </si>
  <si>
    <t>36-3351</t>
  </si>
  <si>
    <t>Выключатель-кнопка металл 250В 2А (2с) выкл-(вкл) ø16.2 красная (RWD-306) REXANT</t>
  </si>
  <si>
    <t>36-3350</t>
  </si>
  <si>
    <t>Выключатель-кнопка металл 250В 2А (2с) выкл-(вкл) ø16.2 черная (RWD-306) REXANT</t>
  </si>
  <si>
    <t>1.10. 3 Антивандальные кнопки (металлические)</t>
  </si>
  <si>
    <t>1.10. 3. 1 Антивандальные кнопки (металлические) 250В</t>
  </si>
  <si>
    <t>36-3150</t>
  </si>
  <si>
    <t>Кнопка антивандальная ø12 без фиксации (2с винт) выкл-(вкл) сфера (A12-A3) REXANT</t>
  </si>
  <si>
    <t>09.12.2026</t>
  </si>
  <si>
    <t>36-3151</t>
  </si>
  <si>
    <t>Кнопка антивандальная ø12 без фиксации (2с) выкл-(вкл) выпуклая (A12-B2) REXANT</t>
  </si>
  <si>
    <t>06-0339-A</t>
  </si>
  <si>
    <t>Кнопка антивандальная ø12 без фиксации (2с) выкл-(вкл) выпуклая (A12-B2) REXANT (в упак. 1шт.)</t>
  </si>
  <si>
    <t>36-3152</t>
  </si>
  <si>
    <t>Кнопка антивандальная ø12 с фиксацией (2с) выкл-вкл выпуклая (A12-B2) REXANT</t>
  </si>
  <si>
    <t>06-0340-A</t>
  </si>
  <si>
    <t>Кнопка антивандальная ø12 с фиксацией (2с) выкл-вкл выпуклая (A12-B2) REXANT (в упак. 1шт.)</t>
  </si>
  <si>
    <t>36-3243</t>
  </si>
  <si>
    <t>Кнопка антивандальная ø16 250В без фиксации (5с) выкл-(вкл), вкл-(выкл) плоская красная с подсветкой (A-16-F5) REXANT</t>
  </si>
  <si>
    <t>36-3230</t>
  </si>
  <si>
    <t>Кнопка антивандальная ø16 без фиксации (2c винт) выкл-(вкл) сфера (A16-A2) REXANT</t>
  </si>
  <si>
    <t>06-0347-A</t>
  </si>
  <si>
    <t>Кнопка антивандальная ø16 без фиксации (2c винт) выкл-(вкл) сфера (A16-A2) REXANT (в упак. 1шт.)</t>
  </si>
  <si>
    <t>36-3231</t>
  </si>
  <si>
    <t>Кнопка антивандальная ø16 без фиксации (2с винт) выкл-(вкл) выпуклая (A16-A3) REXAN</t>
  </si>
  <si>
    <t>06-0348-A</t>
  </si>
  <si>
    <t>Кнопка антивандальная ø16 без фиксации (2с винт) выкл-(вкл) выпуклая (A16-A3) REXANT (в упак. 1шт.)</t>
  </si>
  <si>
    <t>36-3440</t>
  </si>
  <si>
    <t>Кнопка антивандальная ø19 250В с фиксацией (5с) вкл-выкл, выкл-вкл красная с подсветкой REXANT</t>
  </si>
  <si>
    <t>36-3443</t>
  </si>
  <si>
    <t>Кнопка антивандальная ø19 250В с фиксацией (5с) выкл-вкл, вкл-выкл зеленая с подсветкой REXANT</t>
  </si>
  <si>
    <t>36-3441</t>
  </si>
  <si>
    <t>Кнопка антивандальная ø19 250В с фиксацией (5с) выкл-вкл, вкл-выкл синяя с подсветкой REXANT</t>
  </si>
  <si>
    <t>36-3411</t>
  </si>
  <si>
    <t>Кнопка антивандальная ø19 без фиксации (2с винт) выкл-(вкл) плоская (PBS-28В-2) REXANT</t>
  </si>
  <si>
    <t>36-3410</t>
  </si>
  <si>
    <t>Кнопка антивандальная ø19 без фиксации (2с винт) выкл-(вкл) сфера (PBS-28В, A19-A2) REXANT</t>
  </si>
  <si>
    <t>06-0357-B</t>
  </si>
  <si>
    <t>Кнопка антивандальная ø19 без фиксации (2с винт) выкл-(вкл) сфера (PBS-28В, A19-A2) REXANT (в упак. 1шт.)</t>
  </si>
  <si>
    <t>36-3412</t>
  </si>
  <si>
    <t>Кнопка антивандальная ø19 без фиксации (2с) выкл-(вкл) выпуклая (PBS-28В-4) REXANT</t>
  </si>
  <si>
    <t>06-0358-B</t>
  </si>
  <si>
    <t>Кнопка антивандальная ø19 без фиксации (2с) выкл-(вкл) выпуклая (PBS-28В-4) REXANT (в упак. 1шт.)</t>
  </si>
  <si>
    <t>36-3533</t>
  </si>
  <si>
    <t>Кнопка антивандальная ø22 250В без фиксации (5с) выкл-(вкл), вкл-(выкл) зеленая с подсветкой REXANT</t>
  </si>
  <si>
    <t>1.10. 3. 2 Антивандальные кнопки (металлические) 12В</t>
  </si>
  <si>
    <t>36-3513</t>
  </si>
  <si>
    <t>Кнопка антивандальная ø 22 12В без фиксации (5с) выкл-(вкл), вкл-(выкл) зеленая с подсветкой REXANT</t>
  </si>
  <si>
    <t>14.11.2026</t>
  </si>
  <si>
    <t>06-0342-A</t>
  </si>
  <si>
    <t>Кнопка антивандальная ø12 12В без фиксации (4с) выкл-(вкл) красная (A-12-C2) REXANT (в упак. 1шт.)</t>
  </si>
  <si>
    <t>36-3210</t>
  </si>
  <si>
    <t>Кнопка антивандальная ø12 12В без фиксации (4с) выкл-(вкл) красная с подсветкой (A-12-C2) REXANT</t>
  </si>
  <si>
    <t>36-3221</t>
  </si>
  <si>
    <t>Кнопка антивандальная ø12 12В с фиксацией (4с) выкл-вкл синяя с подсветкой (A-12-C2) REXANT</t>
  </si>
  <si>
    <t>36-3211</t>
  </si>
  <si>
    <t>Кнопка антивандальная ø12 36В без фиксации (4с) выкл-(вкл) синяя с подсветкой (A-12-C2) REXANT</t>
  </si>
  <si>
    <t>36-3423</t>
  </si>
  <si>
    <t>Кнопка антивандальная ø19 12В с фиксацией (5с) выкл-вкл, вкл-выкл зеленая с подсветкой REXANT</t>
  </si>
  <si>
    <t>36-3420</t>
  </si>
  <si>
    <t>Кнопка антивандальная ø19 12В с фиксацией (5с) выкл-вкл, вкл-выкл красная с подсветкой REXANT</t>
  </si>
  <si>
    <t>36-3421</t>
  </si>
  <si>
    <t>Кнопка антивандальная ø19 12В с фиксацией (5с) выкл-вкл, вкл-выкл синяя с подсветкой REXANT</t>
  </si>
  <si>
    <t>36-3510</t>
  </si>
  <si>
    <t>Кнопка антивандальная ø22 12В без фиксации (5с) выкл-(вкл), вкл-(выкл) красная с подсветкой REXANT</t>
  </si>
  <si>
    <t>36-3511</t>
  </si>
  <si>
    <t>Кнопка антивандальная ø22 12В без фиксации (5с) выкл-(вкл), вкл-(выкл) синяя с подсветкой REXANT</t>
  </si>
  <si>
    <t>1.10. 4 Переключатели</t>
  </si>
  <si>
    <t>36-4470</t>
  </si>
  <si>
    <t>Выключатель ключ ø12 250В 0.5А (2с) вкл-выкл (K12-01) REXANT</t>
  </si>
  <si>
    <t>36-5550</t>
  </si>
  <si>
    <t>Переключатель BD21 2-полюса (2P), короткая ручка, НО (размыкающий)</t>
  </si>
  <si>
    <t>36-5552</t>
  </si>
  <si>
    <t>Переключатель BD21 2-полюса (2P), с замком, НО (размыкающий)</t>
  </si>
  <si>
    <t>36-5551</t>
  </si>
  <si>
    <t>Переключатель BD32 4-полюса (4P), короткая ручка, НО (размыкающий)</t>
  </si>
  <si>
    <t>36-5553</t>
  </si>
  <si>
    <t>Переключатель BD32 4-полюса (4P), с замком, НО (размыкающий)</t>
  </si>
  <si>
    <t>1.10. 5 Тумблеры и аксессуары</t>
  </si>
  <si>
    <t>1.10. 5. 1 Тумблер 12В</t>
  </si>
  <si>
    <t>36-4372</t>
  </si>
  <si>
    <t>Тумблер 12В 20А (3c) вкл-выкл однополюсный с желтой подсветкой (ASW-13D) REXANT</t>
  </si>
  <si>
    <t>36-4373</t>
  </si>
  <si>
    <t>Тумблер 12В 20А (3c) вкл-выкл однополюсный с зеленой подсветкой (ASW-13D) REXANT</t>
  </si>
  <si>
    <t>36-4330</t>
  </si>
  <si>
    <t>Тумблер 12В 20А (3c) вкл-выкл однополюсный с красной подсветкой (ASW-07D) REXANT</t>
  </si>
  <si>
    <t>36-4331</t>
  </si>
  <si>
    <t>Тумблер 12В 20А (3c) вкл-выкл однополюсный с синей подсветкой (ASW-07D) REXANT</t>
  </si>
  <si>
    <t>36-4353</t>
  </si>
  <si>
    <t>Тумблер 12В 30А (3c) вкл-выкл однополюсный с зеленой подсветкой (ASW-07D-2) REXANT</t>
  </si>
  <si>
    <t>36-4350</t>
  </si>
  <si>
    <t>Тумблер 12В 30А (3c) вкл-выкл однополюсный с красной подсветкой (ASW-07D-2) REXANT</t>
  </si>
  <si>
    <t>06-0334-B</t>
  </si>
  <si>
    <t>Тумблер 12В 30А (3c) вкл-выкл однополюсный с красной подсветкой (ASW-07D-2) REXANT (в упак. 1шт.)</t>
  </si>
  <si>
    <t>36-4351</t>
  </si>
  <si>
    <t>Тумблер 12В 30А (3c) вкл-выкл однополюсный с синей подсветкой (ASW-07D-2) REXANT</t>
  </si>
  <si>
    <t>1.10. 5. 2 Тумблер 24В</t>
  </si>
  <si>
    <t>36-4360</t>
  </si>
  <si>
    <t>Тумблер 24В 20А (3c) вкл-выкл однополюсный с красной подсветкой (ASW-07D) REXANT</t>
  </si>
  <si>
    <t>36-4390</t>
  </si>
  <si>
    <t>Тумблер 24В 20А (3c) вкл-выкл однополюсный с красной подсветкой (ASW-13D) REXANT</t>
  </si>
  <si>
    <t>1.10. 5. 3 Тумблер 250В</t>
  </si>
  <si>
    <t>36-4310</t>
  </si>
  <si>
    <t>Тумблер 250В 10А (2c) вкл-выкл однополюсный мини (ASW-23) REXANT</t>
  </si>
  <si>
    <t>36-4310-1</t>
  </si>
  <si>
    <t>Тумблер 250В 10А (2c) вкл-выкл однополюсный мини (ASW-23) REXANT (в упак. 1шт.)</t>
  </si>
  <si>
    <t>36-4151</t>
  </si>
  <si>
    <t>Тумблер 250В 10А (3c) вкл-выкл-(вкл) однополюсной (KN-113) REXANT</t>
  </si>
  <si>
    <t>36-4110</t>
  </si>
  <si>
    <t>Тумблер 250В 15А (2c) вкл-выкл однополюсный (KN-101) REXANT</t>
  </si>
  <si>
    <t>06-0324-A</t>
  </si>
  <si>
    <t>Тумблер 250В 15А (2c) вкл-выкл однополюсный (KN-101) REXANT (в упак. 1шт.)</t>
  </si>
  <si>
    <t>36-4152</t>
  </si>
  <si>
    <t>Тумблер 250В 15А (3c) (вкл)-выкл-(вкл) однополюсной (KN-123) REXANT</t>
  </si>
  <si>
    <t>36-4111</t>
  </si>
  <si>
    <t>Тумблер 250В 15А (3c) вкл-вкл однополюсный (KN-102) REXANT</t>
  </si>
  <si>
    <t>36-4112</t>
  </si>
  <si>
    <t>Тумблер 250В 15А (3c) вкл-выкл-вкл однополюсный (KN-103) REXANT</t>
  </si>
  <si>
    <t>36-4130</t>
  </si>
  <si>
    <t>Тумблер 250В 15А (4c) вкл-выкл двухполюсный (KN-201) REXANT</t>
  </si>
  <si>
    <t>06-0326-B</t>
  </si>
  <si>
    <t>Тумблер 250В 15А (4c) вкл-выкл двухполюсный (KN-201) REXANT (в упак. 1шт.)</t>
  </si>
  <si>
    <t>36-4172</t>
  </si>
  <si>
    <t>Тумблер 250В 15А (6c) (вкл)-выкл-(вкл) двухполюсный (KN-223) REXANT</t>
  </si>
  <si>
    <t>36-4131</t>
  </si>
  <si>
    <t>Тумблер 250В 15А (6c) вкл-вкл двухполюсный (KN-202) REXANT</t>
  </si>
  <si>
    <t>06-0327-B</t>
  </si>
  <si>
    <t>Тумблер 250В 15А (6c) вкл-вкл двухполюсный (KN-202) REXANT (в упак. 1шт.)</t>
  </si>
  <si>
    <t>36-4132</t>
  </si>
  <si>
    <t>Тумблер 250В 15А (6c) вкл-выкл-вкл двухполюсный (KN-203) REXANT</t>
  </si>
  <si>
    <t>06-0328-B</t>
  </si>
  <si>
    <t>Тумблер 250В 15А (6c) вкл-выкл-вкл двухполюсный (KN-203) REXANT (в упак. 1шт.)</t>
  </si>
  <si>
    <t>36-4010</t>
  </si>
  <si>
    <t>Тумблер 250В 3А (3c) вкл-вкл однополюсный микро (MTS-102) REXANT</t>
  </si>
  <si>
    <t>36-4011</t>
  </si>
  <si>
    <t>Тумблер 250В 3А (3c) вкл-выкл-вкл однополюсный микро (MTS-103) REXANT</t>
  </si>
  <si>
    <t>36-4020</t>
  </si>
  <si>
    <t>Тумблер 250В 3А (6c) вкл-вкл двухполюсный микро (MTS-202) REXANT</t>
  </si>
  <si>
    <t>36-4021</t>
  </si>
  <si>
    <t>Тумблер 250В 3А (6c) вкл-выкл-вкл двухполюсный микро (MTS-203) REXANT</t>
  </si>
  <si>
    <t>1.10. 5. 4 Аксессуары для тумблеров</t>
  </si>
  <si>
    <t>36-4611</t>
  </si>
  <si>
    <t>Защита для тумблеров типа KN силикон REXANT</t>
  </si>
  <si>
    <t>36-4650</t>
  </si>
  <si>
    <t>Защитная крышка для тумблеров типа KN и ASW красная (SAC-01) REXANT</t>
  </si>
  <si>
    <t>36-4651</t>
  </si>
  <si>
    <t>Защитная крышка для тумблеров типа KN и ASW черная (SAC-01) REXANT</t>
  </si>
  <si>
    <t>1.10. 6 Световые индикаторы</t>
  </si>
  <si>
    <t>1.10. 6. 1 Световые индикаторы 220В</t>
  </si>
  <si>
    <t>36-4792</t>
  </si>
  <si>
    <t>Индикатор ø16 220В желтый с подсветкой (RWE-510) REXANT</t>
  </si>
  <si>
    <t>36-4731</t>
  </si>
  <si>
    <t>Индикатор ГРАНЕНЫЙ ø10.2 220В зеленый с подсветкой (RWE-205) REXANT</t>
  </si>
  <si>
    <t>36-4730</t>
  </si>
  <si>
    <t>Индикатор ГРАНЕНЫЙ ø10.2 220В красный с подсветкой (RWE-205) REXANT</t>
  </si>
  <si>
    <t>1.10. 6. 2 Световые индикаторы 12В</t>
  </si>
  <si>
    <t>36-4710</t>
  </si>
  <si>
    <t>Индикатор ø8 12В с проводом красный с подсветкой (WL-04) REXANT</t>
  </si>
  <si>
    <t>1.10. 7 Светосигнальная арматура</t>
  </si>
  <si>
    <t>36-5002</t>
  </si>
  <si>
    <t>Индикатор значения напряжения желтый VD22 70-500 В</t>
  </si>
  <si>
    <t>36-5001</t>
  </si>
  <si>
    <t>Индикатор значения напряжения зеленый VD22 70-500 В</t>
  </si>
  <si>
    <t>36-5000</t>
  </si>
  <si>
    <t>Индикатор значения напряжения красный VD22 70-500 В</t>
  </si>
  <si>
    <t>36-4743</t>
  </si>
  <si>
    <t>Матрица светодиодная AD22-230 В белая</t>
  </si>
  <si>
    <t>36-4742</t>
  </si>
  <si>
    <t>Матрица светодиодная AD22-230 В желтая</t>
  </si>
  <si>
    <t>36-4741</t>
  </si>
  <si>
    <t>Матрица светодиодная AD22-230 В зеленая</t>
  </si>
  <si>
    <t>36-4740</t>
  </si>
  <si>
    <t>Матрица светодиодная AD22-230 В красная</t>
  </si>
  <si>
    <t>1.10. 8 Кнопки управления</t>
  </si>
  <si>
    <t>36-3553</t>
  </si>
  <si>
    <t>Выключатель-кнопка 10А ø22 красная Аварийная остановка (Y090-11ZS) REXANT</t>
  </si>
  <si>
    <t>36-5540</t>
  </si>
  <si>
    <t>Кнопка APBB-22 Пуск-Стоп овальная 230В НР + НЗ</t>
  </si>
  <si>
    <t>36-5532</t>
  </si>
  <si>
    <t>Кнопка EB22 возвратная желтая 300В НР + НЗ</t>
  </si>
  <si>
    <t>36-5531</t>
  </si>
  <si>
    <t>Кнопка EB22 возвратная зеленая 300В НР + НЗ</t>
  </si>
  <si>
    <t>36-5530</t>
  </si>
  <si>
    <t>Кнопка EB22 возвратная красная 300В НР + НЗ</t>
  </si>
  <si>
    <t>36-5542</t>
  </si>
  <si>
    <t>Кнопка LA32 красно-зеленая Пуск-Стоп с подсветкой НР + НЗ</t>
  </si>
  <si>
    <t>36-5541</t>
  </si>
  <si>
    <t>Кнопка LAY5 вкл-выкл прямоугольная 230В НР + НЗ</t>
  </si>
  <si>
    <t>36-5521</t>
  </si>
  <si>
    <t>Кнопка XB2 желтая НР</t>
  </si>
  <si>
    <t>36-5522</t>
  </si>
  <si>
    <t>Кнопка XB2 зеленая НР</t>
  </si>
  <si>
    <t>36-5520</t>
  </si>
  <si>
    <t>Кнопка XB2 красная НЗ</t>
  </si>
  <si>
    <t>36-5544</t>
  </si>
  <si>
    <t>Кнопка XB2-BS поворотная красная грибок НЗ</t>
  </si>
  <si>
    <t>1.10. 9 Корпуса постов для кнопок управления и пульты кнопочные</t>
  </si>
  <si>
    <t>36-9221</t>
  </si>
  <si>
    <t>Корпус пластиковый КП 1 кнопка 22 мм</t>
  </si>
  <si>
    <t>36-9222</t>
  </si>
  <si>
    <t>Корпус пластиковый КП 2 кнопки 22 мм</t>
  </si>
  <si>
    <t>36-9223</t>
  </si>
  <si>
    <t>Корпус пластиковый КП 3 кнопки 22 мм</t>
  </si>
  <si>
    <t>36-9224</t>
  </si>
  <si>
    <t>Корпус пластиковый КП 4 кнопки 22 мм</t>
  </si>
  <si>
    <t>36-9212</t>
  </si>
  <si>
    <t>Пульт кнопочный ПK-6 на 6 кнопок IP54</t>
  </si>
  <si>
    <t>36-9210</t>
  </si>
  <si>
    <t>Пульт кнопочный ПК-2 на 2 кнопки IP54</t>
  </si>
  <si>
    <t>36-9211</t>
  </si>
  <si>
    <t>Пульт кнопочный ПК-4 на 4 кнопки IP54</t>
  </si>
  <si>
    <t>1.10.10 Дополнительные устройства для кнопок и переключателей</t>
  </si>
  <si>
    <t>36-9011</t>
  </si>
  <si>
    <t>Адаптер для установки на DIN-рейку</t>
  </si>
  <si>
    <t>36-9010</t>
  </si>
  <si>
    <t>Держатель маркировки LH (10x25 мм)</t>
  </si>
  <si>
    <t>36-9013</t>
  </si>
  <si>
    <t>Заглушка для отверcтия 22 мм</t>
  </si>
  <si>
    <t>36-9014</t>
  </si>
  <si>
    <t>Силиконовый колпачок для кнопок APBB</t>
  </si>
  <si>
    <t>36-9015</t>
  </si>
  <si>
    <t>Силиконовый колпачок для кнопок EB22</t>
  </si>
  <si>
    <t>1.11 Щиты распределительные (металл, пластик)</t>
  </si>
  <si>
    <t>1.11. 2 Пластиковые корпуса и боксы</t>
  </si>
  <si>
    <t>1.11. 2. 1 Пластиковые боксы для автоматических выключателей</t>
  </si>
  <si>
    <t>11-0212</t>
  </si>
  <si>
    <t>Бокс пластиковый ЩРВ-П-12 IP41 белый REXANT</t>
  </si>
  <si>
    <t>11-0218</t>
  </si>
  <si>
    <t>Бокс пластиковый ЩРВ-П-18 IP41 белый REXANT</t>
  </si>
  <si>
    <t>11-0225</t>
  </si>
  <si>
    <t>Бокс пластиковый ЩРВ-П-24 IP41 белый (белая дверца) REXANT</t>
  </si>
  <si>
    <t>KR-11-0224</t>
  </si>
  <si>
    <t>Бокс пластиковый ЩРВ-П-24 IP41 белый KRANZ</t>
  </si>
  <si>
    <t>11-0224</t>
  </si>
  <si>
    <t>Бокс пластиковый ЩРВ-П-24 IP41 белый REXANT</t>
  </si>
  <si>
    <t>11-0236</t>
  </si>
  <si>
    <t>Бокс пластиковый ЩРВ-П-36 IP41 белый REXANT</t>
  </si>
  <si>
    <t>KR-11-0204</t>
  </si>
  <si>
    <t>Бокс пластиковый ЩРВ-П-4 IP41 белый KRANZ</t>
  </si>
  <si>
    <t>11-0204</t>
  </si>
  <si>
    <t>Бокс пластиковый ЩРВ-П-4 IP41 белый REXANT</t>
  </si>
  <si>
    <t>11-0206</t>
  </si>
  <si>
    <t>Бокс пластиковый ЩРВ-П-6 IP41 белый REXANT</t>
  </si>
  <si>
    <t>11-0208</t>
  </si>
  <si>
    <t>Бокс пластиковый ЩРВ-П-8 IP41 белый REXANT</t>
  </si>
  <si>
    <t>11-0313</t>
  </si>
  <si>
    <t>Бокс пластиковый ЩРН-П-12 IP41 белый (белая дверца) REXANT</t>
  </si>
  <si>
    <t>11-0312</t>
  </si>
  <si>
    <t>Бокс пластиковый ЩРН-П-12 IP41 белый REXANT</t>
  </si>
  <si>
    <t>11-0318</t>
  </si>
  <si>
    <t>Бокс пластиковый ЩРН-П-18 IP41 белый REXANT</t>
  </si>
  <si>
    <t>11-0325</t>
  </si>
  <si>
    <t>Бокс пластиковый ЩРН-П-24 IP41 белый (белая дверца) REXANT</t>
  </si>
  <si>
    <t>11-0324</t>
  </si>
  <si>
    <t>Бокс пластиковый ЩРН-П-24 IP41 белый REXANT</t>
  </si>
  <si>
    <t>11-0336</t>
  </si>
  <si>
    <t>Бокс пластиковый ЩРН-П-36 IP41 белый REXANT</t>
  </si>
  <si>
    <t>KR-11-0304</t>
  </si>
  <si>
    <t>Бокс пластиковый ЩРН-П-4 IP41 белый KRANZ</t>
  </si>
  <si>
    <t>11-0304</t>
  </si>
  <si>
    <t>Бокс пластиковый ЩРН-П-4 IP41 белый REXANT</t>
  </si>
  <si>
    <t>11-0306</t>
  </si>
  <si>
    <t>Бокс пластиковый ЩРН-П-6 IP41 белый REXANT</t>
  </si>
  <si>
    <t>11-0308</t>
  </si>
  <si>
    <t>Бокс пластиковый ЩРН-П-8 IP41 белый REXANT</t>
  </si>
  <si>
    <t>1.11. 2. 2 КМПн</t>
  </si>
  <si>
    <t>11-0112</t>
  </si>
  <si>
    <t>Бокс пластиковый КМПн 1/2 IP20 белый с инд. упак. REXANT</t>
  </si>
  <si>
    <t>Скидка 10% (КМПн)</t>
  </si>
  <si>
    <t>18.10.26</t>
  </si>
  <si>
    <t>11-0114</t>
  </si>
  <si>
    <t>Бокс пластиковый КМПн 1/4 IP20 белый с инд. упак. REXANT</t>
  </si>
  <si>
    <t>11-0512</t>
  </si>
  <si>
    <t>Корпус пластиковый КМПн-12 IP65 REXANT</t>
  </si>
  <si>
    <t>11-0505</t>
  </si>
  <si>
    <t>Корпус пластиковый КМПн-5 IP65 REXANT</t>
  </si>
  <si>
    <t>11-0508</t>
  </si>
  <si>
    <t>Корпус пластиковый КМПн-8 IP65 REXANT</t>
  </si>
  <si>
    <t>11-0122</t>
  </si>
  <si>
    <t>Корпус пластиковый с крышкой КМПн 2/2 IP30 на 1-2 модуля белый REXANT</t>
  </si>
  <si>
    <t>11-0124</t>
  </si>
  <si>
    <t>Корпус пластиковый с крышкой КМПн 2/4 IP30 на 2-4 модуля белый REXANT</t>
  </si>
  <si>
    <t>11-0128</t>
  </si>
  <si>
    <t>Корпус пластиковый с крышкой КМПн 2/6-8 IP30 на 6-8 модулей белый REXANT</t>
  </si>
  <si>
    <t>1.11. 2. 3 Корпус пластиковый навесной ЩМПп IP65</t>
  </si>
  <si>
    <t>11-0400</t>
  </si>
  <si>
    <t>Корпус пластиковый ЩМПп с монтажной панелью 300х200х130мм, АБС, УХЛ1, IP65 REXANT</t>
  </si>
  <si>
    <t>11-0401</t>
  </si>
  <si>
    <t>Корпус пластиковый ЩМПп с монтажной панелью 350х250х150мм, АБС, УХЛ1, IP65 REXANT</t>
  </si>
  <si>
    <t>11-0402</t>
  </si>
  <si>
    <t>Корпус пластиковый ЩМПп с монтажной панелью 400х300х170мм, АБС, УХЛ1, IP65 REXANT</t>
  </si>
  <si>
    <t>11-0403</t>
  </si>
  <si>
    <t>Корпус пластиковый ЩМПп с монтажной панелью 400х300х220мм, АБС, УХЛ1, IP65 REXANT</t>
  </si>
  <si>
    <t>11-0405</t>
  </si>
  <si>
    <t>Корпус пластиковый ЩМПп с монтажной панелью 500х350х190мм, АБС, УХЛ1, IP65 REXANT</t>
  </si>
  <si>
    <t>11-0404</t>
  </si>
  <si>
    <t>Корпус пластиковый ЩМПп с монтажной панелью 500х400х180мм, АБС, УХЛ1, IP65 REXANT</t>
  </si>
  <si>
    <t>11-0406</t>
  </si>
  <si>
    <t>Корпус пластиковый ЩМПп с монтажной панелью 500х400х240мм, АБС, УХЛ1, IP65 REXANT</t>
  </si>
  <si>
    <t>11-0407</t>
  </si>
  <si>
    <t>Корпус пластиковый ЩМПп с монтажной панелью 600х400х200мм, АБС, УХЛ1, IP65 REXANT</t>
  </si>
  <si>
    <t>11-0408</t>
  </si>
  <si>
    <t>Корпус пластиковый ЩМПп с монтажной панелью 700х500х250мм, АБС, УХЛ1, IP65 REXANT</t>
  </si>
  <si>
    <t>11-0409</t>
  </si>
  <si>
    <t>Корпус пластиковый ЩМПп с монтажной панелью 800х600х260мм, АБС, УХЛ1, IP65 REXANT</t>
  </si>
  <si>
    <t>11-0410</t>
  </si>
  <si>
    <t>Корпус пластиковый ЩМПп с прозрачной дверцей и монтажной панелью 300х200х130мм, АБС, УХЛ1, IP65 REXANT</t>
  </si>
  <si>
    <t>11-0411</t>
  </si>
  <si>
    <t>Корпус пластиковый ЩМПп с прозрачной дверцей и монтажной панелью 350х250х150мм, АБС, УХЛ1, IP65 REXANT</t>
  </si>
  <si>
    <t>11-0412</t>
  </si>
  <si>
    <t>Корпус пластиковый ЩМПп с прозрачной дверцей и монтажной панелью 400х300х170мм, АБС, УХЛ1, IP65 REXANT</t>
  </si>
  <si>
    <t>11-0413</t>
  </si>
  <si>
    <t>Корпус пластиковый ЩМПп с прозрачной дверцей и монтажной панелью 400х300х220мм, АБС, УХЛ1, IP65 REXANT</t>
  </si>
  <si>
    <t>11-0415</t>
  </si>
  <si>
    <t>Корпус пластиковый ЩМПп с прозрачной дверцей и монтажной панелью 500х350х190мм, АБС, УХЛ1, IP65 REXANT</t>
  </si>
  <si>
    <t>11-0414</t>
  </si>
  <si>
    <t>Корпус пластиковый ЩМПп с прозрачной дверцей и монтажной панелью 500х400х180мм, АБС, УХЛ1, IP65 REXANT</t>
  </si>
  <si>
    <t>11-0416</t>
  </si>
  <si>
    <t>Корпус пластиковый ЩМПп с прозрачной дверцей и монтажной панелью 500х400х240мм, АБС, УХЛ1, IP65 REXANT</t>
  </si>
  <si>
    <t>11-0417</t>
  </si>
  <si>
    <t>Корпус пластиковый ЩМПп с прозрачной дверцей и монтажной панелью 600х400х200мм, АБС, УХЛ1, IP65 REXANT</t>
  </si>
  <si>
    <t>11-0418</t>
  </si>
  <si>
    <t>Корпус пластиковый ЩМПп с прозрачной дверцей и монтажной панелью 700х500х250мм, АБС, УХЛ1, IP65 REXANT</t>
  </si>
  <si>
    <t>1.11. 2. 4 Корпус пластиковый навесной ЩМПп (пр-во Россия)</t>
  </si>
  <si>
    <t>11-0451</t>
  </si>
  <si>
    <t>Корпус пластиковый ЩМПп 200х175х150мм IP55 REXANT</t>
  </si>
  <si>
    <t>11-0453</t>
  </si>
  <si>
    <t>Корпус пластиковый ЩМПп 320х220х130мм IP65 REXANT</t>
  </si>
  <si>
    <t>11-0456</t>
  </si>
  <si>
    <t>Корпус пластиковый ЩМПп 370х325х150мм IP65 REXANT</t>
  </si>
  <si>
    <t>11-0458</t>
  </si>
  <si>
    <t>Корпус пластиковый ЩМПп 450х300х160мм IP65 REXANT</t>
  </si>
  <si>
    <t>11-0454</t>
  </si>
  <si>
    <t>Корпус пластиковый ЩМПп с окном 360х225х155мм IP55 REXANT</t>
  </si>
  <si>
    <t>11-0450</t>
  </si>
  <si>
    <t>Корпус пластиковый ЩМПп с прозрачной дверцей 200х175х150мм IP55 REXANT</t>
  </si>
  <si>
    <t>11-0452</t>
  </si>
  <si>
    <t>Корпус пластиковый ЩМПп с прозрачной дверцей 320х220х130мм IP65 REXANT</t>
  </si>
  <si>
    <t>11-0455</t>
  </si>
  <si>
    <t>Корпус пластиковый ЩМПп с прозрачной дверцей 370х325х150мм IP65 REXANT</t>
  </si>
  <si>
    <t>11-0457</t>
  </si>
  <si>
    <t>Корпус пластиковый ЩМПп с прозрачной дверцей 450х300х160мм IP65 REXANT</t>
  </si>
  <si>
    <t>1.12 Аксессуары для шкафов и щитов</t>
  </si>
  <si>
    <t>1.12. 1 DIN-рейки и аксессуары</t>
  </si>
  <si>
    <t>12-8100</t>
  </si>
  <si>
    <t>DIN-рейка 100см перфорированная оцинкованная REXANT</t>
  </si>
  <si>
    <t>12-8010</t>
  </si>
  <si>
    <t>DIN-рейка 10см перфорированная оцинкованная REXANT</t>
  </si>
  <si>
    <t>12-8011</t>
  </si>
  <si>
    <t>DIN-рейка 11см перфорированная оцинкованная REXANT</t>
  </si>
  <si>
    <t>12-8125</t>
  </si>
  <si>
    <t>DIN-рейка 125см перфорированная оцинкованная REXANT</t>
  </si>
  <si>
    <t>12-8013</t>
  </si>
  <si>
    <t>DIN-рейка 13см перфорированная оцинкованная REXANT</t>
  </si>
  <si>
    <t>12-8140</t>
  </si>
  <si>
    <t>DIN-рейка 140см перфорированная оцинкованная REXANT</t>
  </si>
  <si>
    <t>12-8200</t>
  </si>
  <si>
    <t>DIN-рейка 200см перфорированная оцинкованная REXANT</t>
  </si>
  <si>
    <t>12-8020</t>
  </si>
  <si>
    <t>DIN-рейка 20см перфорированная оцинкованная REXANT</t>
  </si>
  <si>
    <t>12-8022</t>
  </si>
  <si>
    <t>DIN-рейка 22,5см перфорированная оцинкованная REXANT</t>
  </si>
  <si>
    <t>12-8025</t>
  </si>
  <si>
    <t>DIN-рейка 25см перфорированная оцинкованная REXANT</t>
  </si>
  <si>
    <t>12-8030</t>
  </si>
  <si>
    <t>DIN-рейка 30см перфорированная оцинкованная REXANT</t>
  </si>
  <si>
    <t>12-8045</t>
  </si>
  <si>
    <t>DIN-рейка 45см перфорированная оцинкованная REXANT</t>
  </si>
  <si>
    <t>12-8060</t>
  </si>
  <si>
    <t>DIN-рейка 60см перфорированная оцинкованная REXANT</t>
  </si>
  <si>
    <t>12-8007</t>
  </si>
  <si>
    <t>DIN-рейка 7,5см перфорированная оцинкованная REXANT</t>
  </si>
  <si>
    <t>12-8080</t>
  </si>
  <si>
    <t>DIN-рейка 80см перфорированная оцинкованная REXANT</t>
  </si>
  <si>
    <t>1.12. 2 Шины соединительные</t>
  </si>
  <si>
    <t>11-2254</t>
  </si>
  <si>
    <t>Клемма вводная КВМ 4-25мм² для модульного оборудования, ввод сбоку REXANT</t>
  </si>
  <si>
    <t>11-2251-2</t>
  </si>
  <si>
    <t>Клемма вводная КВМ 4-25мм² для модульного оборудования, прямой ввод (2 шт/уп) REXANT</t>
  </si>
  <si>
    <t>11-2251</t>
  </si>
  <si>
    <t>Клемма вводная КВМ 4-25мм² для модульного оборудования, прямой ввод REXANT</t>
  </si>
  <si>
    <t>11-2258</t>
  </si>
  <si>
    <t>Клемма вводная КВМ 4-25мм² удлиненная для модульного оборудования, прямой ввод REXANT</t>
  </si>
  <si>
    <t>11-2230</t>
  </si>
  <si>
    <t>Шина соединительная типа FORK (вилка) 1Р 100А 1м REXANT</t>
  </si>
  <si>
    <t>11-2231</t>
  </si>
  <si>
    <t>Шина соединительная типа FORK (вилка) 1Р 63А 1м REXANT</t>
  </si>
  <si>
    <t>11-2233</t>
  </si>
  <si>
    <t>Шина соединительная типа FORK (вилка) 2Р 63А 1м REXANT</t>
  </si>
  <si>
    <t>11-2234</t>
  </si>
  <si>
    <t>Шина соединительная типа FORK (вилка) 3Р 100А 1м REXANT</t>
  </si>
  <si>
    <t>11-2235</t>
  </si>
  <si>
    <t>Шина соединительная типа FORK (вилка) 3Р 63А 1 м REXANT</t>
  </si>
  <si>
    <t>11-2240</t>
  </si>
  <si>
    <t>Шина соединительная типа PIN (штырь) 1Р 100А 1м REXANT</t>
  </si>
  <si>
    <t>11-2241</t>
  </si>
  <si>
    <t>Шина соединительная типа PIN (штырь) 1Р 63А 1 м REXANT</t>
  </si>
  <si>
    <t>11-2242</t>
  </si>
  <si>
    <t>Шина соединительная типа PIN (штырь) 2Р 100А 1м REXANT</t>
  </si>
  <si>
    <t>11-2243</t>
  </si>
  <si>
    <t>Шина соединительная типа PIN (штырь) 2Р 63А 1 м REXANT</t>
  </si>
  <si>
    <t>11-2244</t>
  </si>
  <si>
    <t>Шина соединительная типа PIN (штырь) 3Р 100А 1м REXANT</t>
  </si>
  <si>
    <t>11-2245</t>
  </si>
  <si>
    <t>Шина соединительная типа PIN (штырь) 3Р 63А 1 м REXANT</t>
  </si>
  <si>
    <t>11-2246</t>
  </si>
  <si>
    <t>Шина соединительная типа PIN (штырь) 4Р 100А 1м REXANT</t>
  </si>
  <si>
    <t>11-2247</t>
  </si>
  <si>
    <t>Шина соединительная типа PIN (штырь) 4Р 63А 1м REXANT</t>
  </si>
  <si>
    <t>11-2252</t>
  </si>
  <si>
    <t>Шина соединительная типа PIN (штырь 12) 1Р 100 А (22см) REXANT</t>
  </si>
  <si>
    <t>11-2241-1</t>
  </si>
  <si>
    <t>Шина соединительная типа PIN (штырь 12) 1Р 63А 22см REXANT</t>
  </si>
  <si>
    <t>11-2256</t>
  </si>
  <si>
    <t>Шина соединительная типа PIN (штырь 12) 3Р 100 А (22см) REXANT</t>
  </si>
  <si>
    <t>11-2244-1</t>
  </si>
  <si>
    <t>Шина соединительная типа PIN (штырь 12) 3Р 63А 22см REXANT</t>
  </si>
  <si>
    <t>1.12. 3 Шины N, PE, PEN, L, кросс-модули</t>
  </si>
  <si>
    <t>11-2327</t>
  </si>
  <si>
    <t>Шина «N» нулевая 6х9мм на двух угловых синих изоляторах 10 групп REXANT</t>
  </si>
  <si>
    <t>11-2328</t>
  </si>
  <si>
    <t>Шина «N» нулевая 6х9мм на двух угловых синих изоляторах 12 групп REXANT</t>
  </si>
  <si>
    <t>11-2329</t>
  </si>
  <si>
    <t>Шина «N» нулевая 6х9мм на двух угловых синих изоляторах 14 групп REXANT</t>
  </si>
  <si>
    <t>11-2330</t>
  </si>
  <si>
    <t>Шина «N» нулевая 6х9мм на двух угловых синих изоляторах 16 групп REXANT</t>
  </si>
  <si>
    <t>11-2324</t>
  </si>
  <si>
    <t>Шина «N» нулевая 6х9мм на двух угловых синих изоляторах 4 группы REXANT</t>
  </si>
  <si>
    <t>11-2325</t>
  </si>
  <si>
    <t>Шина «N» нулевая 6х9мм на двух угловых синих изоляторах 6 групп REXANT</t>
  </si>
  <si>
    <t>11-2326</t>
  </si>
  <si>
    <t>Шина «N» нулевая 6х9мм на двух угловых синих изоляторах 8 групп REXANT</t>
  </si>
  <si>
    <t>11-2335</t>
  </si>
  <si>
    <t>Шина «N» нулевая 8х12мм на двух угловых синих изоляторах 12 групп REXANT</t>
  </si>
  <si>
    <t>11-2337</t>
  </si>
  <si>
    <t>Шина «N» нулевая 8х12мм на двух угловых синих изоляторах 16 групп REXANT</t>
  </si>
  <si>
    <t>11-2316</t>
  </si>
  <si>
    <t>Шина «N» нулевая в комбинированном синем изоляторе на DIN-рейку 8x12мм 10 групп REXANT</t>
  </si>
  <si>
    <t>11-2318</t>
  </si>
  <si>
    <t>Шина «N» нулевая в комбинированном синем изоляторе на DIN-рейку 8x12мм 12 групп REXANT</t>
  </si>
  <si>
    <t>11-2319</t>
  </si>
  <si>
    <t>Шина «N» нулевая в комбинированном синем изоляторе на DIN-рейку 8x12мм 14 групп REXANT</t>
  </si>
  <si>
    <t>11-2320</t>
  </si>
  <si>
    <t>Шина «N» нулевая в комбинированном синем изоляторе на DIN-рейку 8x12мм 16 групп REXANT</t>
  </si>
  <si>
    <t>11-2312</t>
  </si>
  <si>
    <t>Шина «N» нулевая в комбинированном синем изоляторе на DIN-рейку 8x12мм 6 групп REXANT</t>
  </si>
  <si>
    <t>11-2314</t>
  </si>
  <si>
    <t>Шина «N» нулевая в комбинированном синем изоляторе на DIN-рейку 8x12мм 8 групп REXANT</t>
  </si>
  <si>
    <t>11-2341</t>
  </si>
  <si>
    <t>Шина «N» нулевая с синим изолятором на DIN-рейку 6x9мм стойка бол. 10 групп REXANT</t>
  </si>
  <si>
    <t>11-2342</t>
  </si>
  <si>
    <t>Шина «N» нулевая с синим изолятором на DIN-рейку 6x9мм стойка бол. 12 групп REXANT</t>
  </si>
  <si>
    <t>11-2343</t>
  </si>
  <si>
    <t>Шина «N» нулевая с синим изолятором на DIN-рейку 6x9мм стойка бол. 14 групп REXANT</t>
  </si>
  <si>
    <t>11-2344</t>
  </si>
  <si>
    <t>Шина «N» нулевая с синим изолятором на DIN-рейку 6x9мм стойка бол. 16 групп REXANT</t>
  </si>
  <si>
    <t>11-2338</t>
  </si>
  <si>
    <t>Шина «N» нулевая с синим изолятором на DIN-рейку 6x9мм стойка бол. 4 группы REXANT</t>
  </si>
  <si>
    <t>11-2339</t>
  </si>
  <si>
    <t>Шина «N» нулевая с синим изолятором на DIN-рейку 6x9мм стойка бол. 6 групп REXANT</t>
  </si>
  <si>
    <t>11-2340</t>
  </si>
  <si>
    <t>Шина «N» нулевая с синим изолятором на DIN-рейку 6x9мм стойка бол. 8 групп REXANT</t>
  </si>
  <si>
    <t>11-2349</t>
  </si>
  <si>
    <t>Шина «N» нулевая с синим изолятором на DIN-рейку 8x12мм стойка бол. 12 групп REXANT</t>
  </si>
  <si>
    <t>11-2350</t>
  </si>
  <si>
    <t>Шина «N» нулевая с синим изолятором на DIN-рейку 8x12мм стойка бол. 14 групп REXANT</t>
  </si>
  <si>
    <t>11-2351</t>
  </si>
  <si>
    <t>Шина «N» нулевая с синим изолятором на DIN-рейку 8x12мм стойка бол. 16 групп REXANT</t>
  </si>
  <si>
    <t>11-2345</t>
  </si>
  <si>
    <t>Шина «N» нулевая с синим изолятором на DIN-рейку 8x12мм стойка бол. 4 группы REXANT</t>
  </si>
  <si>
    <t>11-2347</t>
  </si>
  <si>
    <t>Шина «N» нулевая с синим изолятором на DIN-рейку 8x12мм стойка бол. 8 групп REXANT</t>
  </si>
  <si>
    <t>11-2348</t>
  </si>
  <si>
    <t>Шина «N» нулевая с синим изолятором на DIN-рейку 8х12мм стойка бол. 10 групп REXANT</t>
  </si>
  <si>
    <t>11-2354</t>
  </si>
  <si>
    <t>Шина «N» нулевая с синим изолятором тип «Стойка» на DIN-рейку 6x9мм 10 групп REXANT</t>
  </si>
  <si>
    <t>11-2355</t>
  </si>
  <si>
    <t>Шина «N» нулевая с синим изолятором тип «Стойка» на DIN-рейку 6x9мм 12 групп REXANT</t>
  </si>
  <si>
    <t>11-2352</t>
  </si>
  <si>
    <t>Шина «N» нулевая с синим изолятором тип «Стойка» на DIN-рейку 6x9мм 7 групп REXANT</t>
  </si>
  <si>
    <t>11-2353</t>
  </si>
  <si>
    <t>Шина «N» нулевая с синим изолятором тип «Стойка» на DIN-рейку 6x9мм 8 групп REXANT</t>
  </si>
  <si>
    <t>11-2305</t>
  </si>
  <si>
    <t>Шина PE «земля» в комбинированном зеленом изоляторе на DIN-рейку 6x9мм 4 группы REXANT</t>
  </si>
  <si>
    <t>11-2308</t>
  </si>
  <si>
    <t>Шина PE «земля» в комбинированном зеленом изоляторе на DIN-рейку 6x9мм 10 групп REXANT</t>
  </si>
  <si>
    <t>11-2309</t>
  </si>
  <si>
    <t>Шина PE «земля» в комбинированном зеленом изоляторе на DIN-рейку 6x9мм 12 групп REXANT</t>
  </si>
  <si>
    <t>11-2306</t>
  </si>
  <si>
    <t>Шина PE «земля» в комбинированном зеленом изоляторе на DIN-рейку 6x9мм 6 групп REXANT</t>
  </si>
  <si>
    <t>11-2307</t>
  </si>
  <si>
    <t>Шина PE «земля» в комбинированном зеленом изоляторе на DIN-рейку 6x9мм 8 групп REXANT</t>
  </si>
  <si>
    <t>11-2322</t>
  </si>
  <si>
    <t>Шина PE «земля» в корпусном зеленом изоляторе на DIN-рейку 6x9мм 12 групп REXANT</t>
  </si>
  <si>
    <t>11-2323</t>
  </si>
  <si>
    <t>Шина PE «земля» в корпусном зеленом изоляторе на DIN-рейку 6x9мм 15 групп REXANT</t>
  </si>
  <si>
    <t>11-2321</t>
  </si>
  <si>
    <t>Шина PE «земля» в корпусном зеленом изоляторе на DIN-рейку 6x9мм 7 групп REXANT</t>
  </si>
  <si>
    <t>11-2359</t>
  </si>
  <si>
    <t>Шина PEN «земля-ноль» 6х9мм 10/1 (10 групп/крепеж по центру) REXANT</t>
  </si>
  <si>
    <t>11-2367</t>
  </si>
  <si>
    <t>Шина PEN «земля-ноль» 6х9мм 10/2 (10 групп/крепеж по краям) REXANT</t>
  </si>
  <si>
    <t>11-2360</t>
  </si>
  <si>
    <t>Шина PEN «земля-ноль» 6х9мм 12/1 (12 групп/крепеж по центру) REXANT</t>
  </si>
  <si>
    <t>11-2368</t>
  </si>
  <si>
    <t>Шина PEN «земля-ноль» 6х9мм 12/2 (12 групп/крепеж по краям) REXANT</t>
  </si>
  <si>
    <t>11-2361</t>
  </si>
  <si>
    <t>Шина PEN «земля-ноль» 6х9мм 14/1 (14 групп/крепеж по центру) REXANT</t>
  </si>
  <si>
    <t>11-2369</t>
  </si>
  <si>
    <t>Шина PEN «земля-ноль» 6х9мм 14/2 (14 групп/крепеж по краям) REXANT</t>
  </si>
  <si>
    <t>11-2362</t>
  </si>
  <si>
    <t>Шина PEN «земля-ноль» 6х9мм 20/1 (20 групп/крепеж по центру) REXANT</t>
  </si>
  <si>
    <t>11-2370</t>
  </si>
  <si>
    <t>Шина PEN «земля-ноль» 6х9мм 20/2 (20 групп/крепеж по краям) REXANT</t>
  </si>
  <si>
    <t>11-2363</t>
  </si>
  <si>
    <t>Шина PEN «земля-ноль» 6х9мм 22/1 (22 группы/крепеж по центру) REXANT</t>
  </si>
  <si>
    <t>11.11.2026</t>
  </si>
  <si>
    <t>11-2364</t>
  </si>
  <si>
    <t>Шина PEN «земля-ноль» 6х9мм 24/1 (24 группы/крепеж по центру) REXANT</t>
  </si>
  <si>
    <t>11-2371</t>
  </si>
  <si>
    <t>Шина PEN «земля-ноль» 6х9мм 24/2 (24 группы/крепеж по краям) REXANT</t>
  </si>
  <si>
    <t>11-2357</t>
  </si>
  <si>
    <t>Шина PEN «земля-ноль» 6х9мм 6/1 (6 групп/крепеж по центру) REXANT</t>
  </si>
  <si>
    <t>11-2365</t>
  </si>
  <si>
    <t>Шина PEN «земля-ноль» 6х9мм 6/2 (6 групп/крепеж по краям) REXANT</t>
  </si>
  <si>
    <t>11-2372</t>
  </si>
  <si>
    <t>Шина PEN «земля-ноль» 6х9мм 8/1 (8 групп/крепеж по центру) REXANT</t>
  </si>
  <si>
    <t>11-2366</t>
  </si>
  <si>
    <t>Шина PEN «земля-ноль» 6х9мм 8/2 (8 групп/крепеж по краям) REXANT</t>
  </si>
  <si>
    <t>11-2302-15</t>
  </si>
  <si>
    <t>Шина на DIN-рейку в корпусе (кросс-модуль) 2х15 REXANT</t>
  </si>
  <si>
    <t>11-2302-7</t>
  </si>
  <si>
    <t>Шина на DIN-рейку в корпусе (кросс-модуль) 2х7 REXANT</t>
  </si>
  <si>
    <t>11-2304-11</t>
  </si>
  <si>
    <t>Шина на DIN-рейку в корпусе (кросс-модуль) 4х11 REXANT</t>
  </si>
  <si>
    <t>11-2304-15</t>
  </si>
  <si>
    <t>Шина на DIN-рейку в корпусе (кросс-модуль) 4х15 REXANT</t>
  </si>
  <si>
    <t>11-2304-7</t>
  </si>
  <si>
    <t>Шина на DIN-рейку в корпусе (кросс-модуль) 4х7 REXANT</t>
  </si>
  <si>
    <t>1.12. 4 Знаки электробезопасности</t>
  </si>
  <si>
    <t>56-0007</t>
  </si>
  <si>
    <t>Наклейка знак электробезопасности «220 В» 10х30мм (42 шт. на листе, 5 листов) REXANT</t>
  </si>
  <si>
    <t>56-0008</t>
  </si>
  <si>
    <t>Наклейка знак электробезопасности «380 В»10х30мм (42 шт. на листе, 5 листов) REXANT</t>
  </si>
  <si>
    <t>56-0082</t>
  </si>
  <si>
    <t>Набор модульных наклеек «Маркировка электрощитов» малый 100х100мм (120 наклеек) REXANT</t>
  </si>
  <si>
    <t>56-0081</t>
  </si>
  <si>
    <t>Набор наклеек «Маркировка электрощитов М-1» 85х150мм (надписи для ВА, 10 листов) REXANT</t>
  </si>
  <si>
    <t>56-0080</t>
  </si>
  <si>
    <t>Набор наклеек «Маркировка электрощитов М-2» 100х100мм (цифры, знаки электробезопасности, 10 листов) REXANT</t>
  </si>
  <si>
    <t>56-0007-1</t>
  </si>
  <si>
    <t>Наклейка знак электробезопасности «220 В» 15х50мм (20 шт. на листе) REXANT</t>
  </si>
  <si>
    <t>56-0008-1</t>
  </si>
  <si>
    <t>Наклейка знак электробезопасности «380 В» 15х50мм (20 шт. на листе) REXANT</t>
  </si>
  <si>
    <t>56-0008-2</t>
  </si>
  <si>
    <t>Наклейка знак электробезопасности «380 В» 35х100мм (7 шт. на листе) REXANT</t>
  </si>
  <si>
    <t>56-0059</t>
  </si>
  <si>
    <t>Наклейка знак электробезопасности «N», диаметр 20мм (20 шт. на листе) REXANT</t>
  </si>
  <si>
    <t>56-0010-02</t>
  </si>
  <si>
    <t>Наклейка знак электробезопасности «Заземление» диаметр 10мм, 200 наклеек (5 листов) REXANT</t>
  </si>
  <si>
    <t>56-0010-01</t>
  </si>
  <si>
    <t>Наклейка знак электробезопасности «Заземление» диаметр 20мм (с хедером, 20 шт. на листе) REXANT</t>
  </si>
  <si>
    <t>56-0010</t>
  </si>
  <si>
    <t>Наклейка знак электробезопасности «Заземление», диаметр 20мм (20 шт. на листе) REXANT</t>
  </si>
  <si>
    <t>56-0006</t>
  </si>
  <si>
    <t>Наклейка знак электробезопасности «Опасность поражения электротоком» 200х200х200мм REXANT</t>
  </si>
  <si>
    <t>56-0006-1</t>
  </si>
  <si>
    <t>Наклейка знак электробезопасности «Опасность поражения электротоком» 25х25х25мм 100 шт. REXANT</t>
  </si>
  <si>
    <t>56-0006-2</t>
  </si>
  <si>
    <t>Наклейка знак электробезопасности «Опасность поражения электротоком» 50х50х50мм 50 шт. REXANT</t>
  </si>
  <si>
    <t>56-0006-4</t>
  </si>
  <si>
    <t>Наклейка знак электробезопасности «Опасность поражения электротоком» 85х85х85мм 20 шт. REXANT</t>
  </si>
  <si>
    <t>56-0005</t>
  </si>
  <si>
    <t>Наклейка знак электробезопасности «Опасность поражения электротоком» 100х100х100мм REXANT</t>
  </si>
  <si>
    <t>55-0015</t>
  </si>
  <si>
    <t>Наклейка знак электробезопасности «Стой! Напряжение» 100х200мм REXANT</t>
  </si>
  <si>
    <t>56-0004</t>
  </si>
  <si>
    <t>Наклейка знак электробезопасности «Электрощитовая»150х300мм REXANT</t>
  </si>
  <si>
    <t>55-0010</t>
  </si>
  <si>
    <t>Наклейка маркировочная таблица 12 модулей (50х216мм) REXANT</t>
  </si>
  <si>
    <t>1.12. 5 Кабельные вводы и сальники</t>
  </si>
  <si>
    <t>1.12. 5. 1 Кабельные вводы серии PG</t>
  </si>
  <si>
    <t>07-8007-1</t>
  </si>
  <si>
    <t>Кабельный ввод с резьбой PG-7 (3,5-6мм) черный REXANT</t>
  </si>
  <si>
    <t>07-8009-1</t>
  </si>
  <si>
    <t>Кабельный ввод с резьбой PG-9 (4-8мм) черный REXANT</t>
  </si>
  <si>
    <t>07-8011</t>
  </si>
  <si>
    <t>Кабельный ввод с резьбой PG-11 (5-10мм) серый REXANT</t>
  </si>
  <si>
    <t>07-8011-1</t>
  </si>
  <si>
    <t>Кабельный ввод с резьбой PG-11 (5-10мм) черный REXANT</t>
  </si>
  <si>
    <t>07-8013</t>
  </si>
  <si>
    <t>Кабельный ввод с резьбой PG-13,5 (6-12мм) серый REXANT</t>
  </si>
  <si>
    <t>07-8013-1</t>
  </si>
  <si>
    <t>Кабельный ввод с резьбой PG-13,5 (6-12мм) черный REXANT</t>
  </si>
  <si>
    <t>07-8016</t>
  </si>
  <si>
    <t>Кабельный ввод с резьбой PG-16 (10-14мм) серый REXANT</t>
  </si>
  <si>
    <t>07-8016-1</t>
  </si>
  <si>
    <t>Кабельный ввод с резьбой PG-16 (10-14мм) черный REXANT</t>
  </si>
  <si>
    <t>07-8021</t>
  </si>
  <si>
    <t>Кабельный ввод с резьбой PG-21 (13-18мм) серый REXANT</t>
  </si>
  <si>
    <t>07-8021-1</t>
  </si>
  <si>
    <t>Кабельный ввод с резьбой PG-21 (13-18мм) черный REXANT</t>
  </si>
  <si>
    <t>07-8029</t>
  </si>
  <si>
    <t>Кабельный ввод с резьбой PG-29 (18-25мм) серый REXANT</t>
  </si>
  <si>
    <t>07-8029-1</t>
  </si>
  <si>
    <t>Кабельный ввод с резьбой PG-29 (18-25мм) черный REXANT</t>
  </si>
  <si>
    <t>07-8036</t>
  </si>
  <si>
    <t>Кабельный ввод с резьбой PG-36 (22-32мм) серый REXANT</t>
  </si>
  <si>
    <t>07-8036-1</t>
  </si>
  <si>
    <t>Кабельный ввод с резьбой PG-36 (22-32мм) черный REXANT</t>
  </si>
  <si>
    <t>07-8042</t>
  </si>
  <si>
    <t>Кабельный ввод с резьбой PG-42 (30-38мм) серый REXANT</t>
  </si>
  <si>
    <t>07-8048-1</t>
  </si>
  <si>
    <t>Кабельный ввод с резьбой PG-48 (34-44 мм) черный REXANT</t>
  </si>
  <si>
    <t>07-8048</t>
  </si>
  <si>
    <t>Кабельный ввод с резьбой PG-48 (34-44мм) серый REXANT</t>
  </si>
  <si>
    <t>07-8007</t>
  </si>
  <si>
    <t>Кабельный ввод с резьбой PG-7 (3,5-6мм) серый REXANT</t>
  </si>
  <si>
    <t>07-8009</t>
  </si>
  <si>
    <t>Кабельный ввод с резьбой PG-9 (4-8мм) серый REXANT</t>
  </si>
  <si>
    <t>1.12. 5. 2 Кабельные вводы серии MG</t>
  </si>
  <si>
    <t>07-8112</t>
  </si>
  <si>
    <t>Кабельный ввод с резьбой MG-12 (7,6-4,6мм) серый REXANT</t>
  </si>
  <si>
    <t>07-8112-1</t>
  </si>
  <si>
    <t>Кабельный ввод с резьбой MG-12 (7,6-4,6мм) черный REXANT</t>
  </si>
  <si>
    <t>07-8116</t>
  </si>
  <si>
    <t>Кабельный ввод с резьбой MG-16 (10-6мм) серый REXANT</t>
  </si>
  <si>
    <t>07-8116-1</t>
  </si>
  <si>
    <t>Кабельный ввод с резьбой MG-16 (10-6мм) черный REXANT</t>
  </si>
  <si>
    <t>07-8120</t>
  </si>
  <si>
    <t>Кабельный ввод с резьбой MG-20 (14-9мм) серый REXANT</t>
  </si>
  <si>
    <t>07-8120-1</t>
  </si>
  <si>
    <t>Кабельный ввод с резьбой MG-20 (14-9мм) черный REXANT</t>
  </si>
  <si>
    <t>07-8125</t>
  </si>
  <si>
    <t>Кабельный ввод с резьбой MG-25 (18-13мм) серый REXANT</t>
  </si>
  <si>
    <t>07-8125-1</t>
  </si>
  <si>
    <t>Кабельный ввод с резьбой MG-25 (18-13мм) черный REXANT</t>
  </si>
  <si>
    <t>07-8132</t>
  </si>
  <si>
    <t>Кабельный ввод с резьбой MG-32 (25-18мм) серый REXANT</t>
  </si>
  <si>
    <t>07-8132-1</t>
  </si>
  <si>
    <t>Кабельный ввод с резьбой MG-32 (25-18мм) черный REXANT</t>
  </si>
  <si>
    <t>07-8140-1</t>
  </si>
  <si>
    <t>Кабельный ввод с резьбой MG-40 (30-24мм) черный REXANT</t>
  </si>
  <si>
    <t>07-8150-1</t>
  </si>
  <si>
    <t>Кабельный ввод с резьбой MG-50 (39-30 мм) черный REXANT</t>
  </si>
  <si>
    <t>1.12. 5. 3 Кабельные вводы серии PG-M</t>
  </si>
  <si>
    <t>07-8211</t>
  </si>
  <si>
    <t>Кабельный ввод металлический с резьбой PGM-11 (10-5мм) REXANT</t>
  </si>
  <si>
    <t>07-8213</t>
  </si>
  <si>
    <t>Кабельный ввод металлический с резьбой PGM-13 (12-6мм) REXANT</t>
  </si>
  <si>
    <t>07-8216</t>
  </si>
  <si>
    <t>Кабельный ввод металлический с резьбой PGM-16 (14-10мм) REXANT</t>
  </si>
  <si>
    <t>07-8221</t>
  </si>
  <si>
    <t>Кабельный ввод металлический с резьбой PGM-21 (18-13мм) REXANT</t>
  </si>
  <si>
    <t>07-8209</t>
  </si>
  <si>
    <t>Кабельный ввод металлический с резьбой PGM-9 (8-4мм) REXANT</t>
  </si>
  <si>
    <t>1.12. 5. 5 Кабельные вводы по 2-3 шт.</t>
  </si>
  <si>
    <t>07-8112-2</t>
  </si>
  <si>
    <t>Кабельный ввод с резьбой MG-12 (7,6-4,6мм) серый, уп. 2 шт REXANT</t>
  </si>
  <si>
    <t>50 - 4 дней</t>
  </si>
  <si>
    <t>07-8116-2</t>
  </si>
  <si>
    <t>Кабельный ввод с резьбой MG-16 (10-6мм) серый, уп. 2 шт REXANT</t>
  </si>
  <si>
    <t>07-8120-2</t>
  </si>
  <si>
    <t>Кабельный ввод с резьбой MG-20 (14-9мм) серый, уп. 2 шт REXANT</t>
  </si>
  <si>
    <t>07-8125-2</t>
  </si>
  <si>
    <t>Кабельный ввод с резьбой MG-25 (18-13мм) серый, уп. 2 шт REXANT</t>
  </si>
  <si>
    <t>07-8132-1-2</t>
  </si>
  <si>
    <t>Кабельный ввод с резьбой MG-32 (25-18 мм) черный, уп. 2 шт REXANT</t>
  </si>
  <si>
    <t>07-8013-A2</t>
  </si>
  <si>
    <t>Кабельный ввод с резьбой PG-13,5 (6-12мм) серый, комплект (2 шт/уп) REXANT</t>
  </si>
  <si>
    <t>07-8021-A2</t>
  </si>
  <si>
    <t>Кабельный ввод с резьбой PG-21 (13-18мм) серый, комплект (2 шт/уп) REXANT</t>
  </si>
  <si>
    <t>07-8029-A2</t>
  </si>
  <si>
    <t>Кабельный ввод с резьбой PG-29 (18-25мм) серый, комплект (2 шт/уп) REXANT</t>
  </si>
  <si>
    <t>1.12. 6 Маркировка кабеля</t>
  </si>
  <si>
    <t>1.12. 6. 1 Пломбы пластиковые номерные</t>
  </si>
  <si>
    <t>07-6132</t>
  </si>
  <si>
    <t>Пломба пластиковая номерная 350мм желтая REXANT</t>
  </si>
  <si>
    <t>07-6133</t>
  </si>
  <si>
    <t>Пломба пластиковая номерная 350мм зеленая REXANT</t>
  </si>
  <si>
    <t>07-6131</t>
  </si>
  <si>
    <t>Пломба пластиковая номерная 350мм красная REXANT</t>
  </si>
  <si>
    <t>07-6112</t>
  </si>
  <si>
    <t>Пломба пластиковая номерная 220мм желтая REXANT</t>
  </si>
  <si>
    <t>07-6113</t>
  </si>
  <si>
    <t>Пломба пластиковая номерная 220мм зеленая REXANT</t>
  </si>
  <si>
    <t>07-6111</t>
  </si>
  <si>
    <t>Пломба пластиковая номерная 220мм красная REXANT</t>
  </si>
  <si>
    <t>07-6122</t>
  </si>
  <si>
    <t>Пломба пластиковая номерная 255мм желтая REXANT</t>
  </si>
  <si>
    <t>07-6123</t>
  </si>
  <si>
    <t>Пломба пластиковая номерная 255мм зеленая REXANT</t>
  </si>
  <si>
    <t>07-6121</t>
  </si>
  <si>
    <t>Пломба пластиковая номерная 255мм красная REXANT</t>
  </si>
  <si>
    <t>1.12. 6. 2 Бирки кабельные</t>
  </si>
  <si>
    <t>07-6231</t>
  </si>
  <si>
    <t>Бирка кабельная «Домик прямоугольный» белая (100 шт/уп) REXANT</t>
  </si>
  <si>
    <t>07-6230</t>
  </si>
  <si>
    <t>Бирка кабельная «Овал» белая (100 шт/уп) REXANT</t>
  </si>
  <si>
    <t>28.02.2027</t>
  </si>
  <si>
    <t>07-6234</t>
  </si>
  <si>
    <t>Бирка кабельная «У-134» (Большой квадрат) белая (100 шт/уп) REXANT</t>
  </si>
  <si>
    <t>07-6235</t>
  </si>
  <si>
    <t>Бирка кабельная «У-135» (Круг) белая (100 шт/уп) REXANT</t>
  </si>
  <si>
    <t>07-6236</t>
  </si>
  <si>
    <t>Бирка кабельная «У-136» (Треугольник) белая (100 шт/уп) REXANT</t>
  </si>
  <si>
    <t>07-6253</t>
  </si>
  <si>
    <t>Бирка кабельная «У-153» (Маленький квадрат) белая (250 шт/уп) REXANT</t>
  </si>
  <si>
    <t>1.12. 6. 3 Самоклеящиеся маркеры для проводов</t>
  </si>
  <si>
    <t>07-6201</t>
  </si>
  <si>
    <t>Маркеры самоклеящиеся МС-1 (цифры от 0 до 9) REXANT</t>
  </si>
  <si>
    <t>07-6202</t>
  </si>
  <si>
    <t>Маркеры самоклеящиеся МС-2 (цифры от 0 до 15, буквы A-Z, знаки +, -, /) REXANT</t>
  </si>
  <si>
    <t>07-6203</t>
  </si>
  <si>
    <t>Маркеры самоклеящиеся МС-3 (цифры от 1 до 45) REXANT</t>
  </si>
  <si>
    <t>07-6204</t>
  </si>
  <si>
    <t>Маркеры самоклеящиеся МС-4 белые под маркер REXANT</t>
  </si>
  <si>
    <t>07-6205</t>
  </si>
  <si>
    <t>Маркеры самоклеящиеся МС-5 цветные REXANT</t>
  </si>
  <si>
    <t>1.12. 6. 4 Маркер кабельный</t>
  </si>
  <si>
    <t>12-6062</t>
  </si>
  <si>
    <t>Маркер кабельный (клипса), ø4-6 мм, цифры 0-9, 10 цветов, блистер (MR-55) REXANT</t>
  </si>
  <si>
    <t>08.11.2026</t>
  </si>
  <si>
    <t>12-6061</t>
  </si>
  <si>
    <t>Маркеры на кабель, ø3,6-7,4 мм, цифры 0-9, комплект 10 роликов (EC-2) REXANT</t>
  </si>
  <si>
    <t>1.12. 6. 5 Стяжка под маркер</t>
  </si>
  <si>
    <t>07-0106</t>
  </si>
  <si>
    <t>Хомут под маркер нейлоновый 100x2,5мм белый (100 шт/уп) REXANT</t>
  </si>
  <si>
    <t>07-0206</t>
  </si>
  <si>
    <t>Хомут под маркер нейлоновый 200x2,5мм белый (100 шт/уп) REXANT</t>
  </si>
  <si>
    <t>07-0106-2</t>
  </si>
  <si>
    <t>Хомут с площадкой под маркер нейлоновый 100x2,5мм белый (100 шт/уп) REXANT</t>
  </si>
  <si>
    <t>1.12. 7 Распределительные блоки РБД</t>
  </si>
  <si>
    <t>11-2001</t>
  </si>
  <si>
    <t>Блок распределительный РБД-125А на DIN-рейку REXANT</t>
  </si>
  <si>
    <t>11-2002</t>
  </si>
  <si>
    <t>Блок распределительный РБД-160А на DIN-рейку REXANT</t>
  </si>
  <si>
    <t>11-2003</t>
  </si>
  <si>
    <t>Блок распределительный РБД-250А на DIN-рейку REXANT</t>
  </si>
  <si>
    <t>11-2004</t>
  </si>
  <si>
    <t>Блок распределительный РБД-400А на DIN-рейку REXANT</t>
  </si>
  <si>
    <t>11-2005</t>
  </si>
  <si>
    <t>Блок распределительный РБД-500А на DIN-рейку REXANT</t>
  </si>
  <si>
    <t>11-2000</t>
  </si>
  <si>
    <t>Блок распределительный РБД-80А на DIN-рейку REXANT</t>
  </si>
  <si>
    <t>1.12. 9 Принадлежности прочие</t>
  </si>
  <si>
    <t>12-2902</t>
  </si>
  <si>
    <t>Ограничитель на DIN-рейку (металл) 1 винт REXANT</t>
  </si>
  <si>
    <t>12-2901-10</t>
  </si>
  <si>
    <t>Ограничитель на DIN-рейку (металл) 2 винта (пакет 10 шт/уп) REXANT</t>
  </si>
  <si>
    <t>12-2901</t>
  </si>
  <si>
    <t>Ограничитель на DIN-рейку (металл) 2 винта REXANT</t>
  </si>
  <si>
    <t>12-2903</t>
  </si>
  <si>
    <t>Ограничитель на DIN-рейку (пластик) REXANT</t>
  </si>
  <si>
    <t>1.12.10 Клеммы и зажимы</t>
  </si>
  <si>
    <t>11-2117</t>
  </si>
  <si>
    <t>Клемма вводная силовая КВС 16-95мм² 2-рядная желто-зеленая распределительная REXANT</t>
  </si>
  <si>
    <t>11-2115</t>
  </si>
  <si>
    <t>Клемма вводная силовая КВС 16-95мм² 2-рядная серая распределительная REXANT</t>
  </si>
  <si>
    <t>11-2116</t>
  </si>
  <si>
    <t>Клемма вводная силовая КВС 16-95мм² 2-рядная синяя распределительная REXANT</t>
  </si>
  <si>
    <t>11-2105</t>
  </si>
  <si>
    <t>Клемма вводная силовая КВС 16-95мм² желто-зеленая REXANT</t>
  </si>
  <si>
    <t>11-2103</t>
  </si>
  <si>
    <t>Клемма вводная силовая КВС 16-95мм² серая REXANT</t>
  </si>
  <si>
    <t>11-2104</t>
  </si>
  <si>
    <t>Клемма вводная силовая КВС 16-95мм² синяя REXANT</t>
  </si>
  <si>
    <t>11-2114</t>
  </si>
  <si>
    <t>Клемма вводная силовая КВС 6-50мм² 2-рядная желто-зеленая распределительная REXANT</t>
  </si>
  <si>
    <t>11-2112</t>
  </si>
  <si>
    <t>Клемма вводная силовая КВС 6-50мм² 2-рядная серая распределительная REXANT</t>
  </si>
  <si>
    <t>11-2113</t>
  </si>
  <si>
    <t>Клемма вводная силовая КВС 6-50мм² 2-рядная синяя распределительная REXANT</t>
  </si>
  <si>
    <t>11-2121</t>
  </si>
  <si>
    <t>Клемма вводная силовая КВС 6-50мм² 3-рядная серая REXANT</t>
  </si>
  <si>
    <t>11-2102</t>
  </si>
  <si>
    <t>Клемма вводная силовая КВС 6-50мм² желто-зеленая REXANT</t>
  </si>
  <si>
    <t>11-2100</t>
  </si>
  <si>
    <t>Клемма вводная силовая КВС 6-50мм² серая REXANT</t>
  </si>
  <si>
    <t>11-2101</t>
  </si>
  <si>
    <t>Клемма вводная силовая КВС 6-50мм² синяя REXANT</t>
  </si>
  <si>
    <t>1.12.10.1 Блоки зажимов ТВ, ТС, БЗД</t>
  </si>
  <si>
    <t>11-2163</t>
  </si>
  <si>
    <t>Блок зажимов клеммный БЗД 1-полюсный 16 мм2 60A на DIN-рейку REXANT</t>
  </si>
  <si>
    <t>11-2164</t>
  </si>
  <si>
    <t>Блок зажимов клеммный БЗД 1-полюсный 25 мм2 90A на DIN-рейку REXANT</t>
  </si>
  <si>
    <t>11-2165</t>
  </si>
  <si>
    <t>Блок зажимов клеммный БЗД 2х-полюсный 2,5 мм2 20A на DIN-рейку REXANT</t>
  </si>
  <si>
    <t>11-2166</t>
  </si>
  <si>
    <t>Блок зажимов клеммный БЗД 3х-полюсный 10,0 мм2 50A на DIN-рейку REXANT</t>
  </si>
  <si>
    <t>11-2167</t>
  </si>
  <si>
    <t>Блок зажимов клеммный БЗД 3х-полюсный 2,5 мм2 20A на DIN-рейку REXANT</t>
  </si>
  <si>
    <t>11-2168</t>
  </si>
  <si>
    <t>Блок зажимов клеммный БЗД 3х-полюсный 4,0 мм2 30A на DIN-рейку REXANT</t>
  </si>
  <si>
    <t>11-2150</t>
  </si>
  <si>
    <t>Блок зажимов клеммный БЗН ТВ-1504 1,5мм2 15A 4 пары REXANT</t>
  </si>
  <si>
    <t>11-2153</t>
  </si>
  <si>
    <t>Блок зажимов клеммный БЗН ТВ-1506 1,5мм2 15A 6 пар REXANT</t>
  </si>
  <si>
    <t>11-2156</t>
  </si>
  <si>
    <t>Блок зажимов клеммный БЗН ТВ-1512 1,5мм2 15A 12 пар REXANT</t>
  </si>
  <si>
    <t>11-2151</t>
  </si>
  <si>
    <t>Блок зажимов клеммный БЗН ТВ-2504 2,5мм2 25A 4 пары REXANT</t>
  </si>
  <si>
    <t>11-2154</t>
  </si>
  <si>
    <t>Блок зажимов клеммный БЗН ТВ-2506 2,5мм2 25A 6 пар REXANT</t>
  </si>
  <si>
    <t>11-2157</t>
  </si>
  <si>
    <t>Блок зажимов клеммный БЗН ТВ-2512 2,5мм2 25A 12 пар REXANT</t>
  </si>
  <si>
    <t>11-2152</t>
  </si>
  <si>
    <t>Блок зажимов клеммный БЗН ТВ-4504 4,0мм2 45A 4 пары REXANT</t>
  </si>
  <si>
    <t>11-2155</t>
  </si>
  <si>
    <t>Блок зажимов клеммный БЗН ТВ-4506 4,0мм2 45A 6 пар REXANT</t>
  </si>
  <si>
    <t>11-2158</t>
  </si>
  <si>
    <t>Блок зажимов клеммный БЗН ТВ-4512 4,0мм2 45A 12 пар REXANT</t>
  </si>
  <si>
    <t>11-2160</t>
  </si>
  <si>
    <t>Блок зажимов клеммный БЗН ТС-1003 35мм2 100A 3 пары REXANT</t>
  </si>
  <si>
    <t>11-2162</t>
  </si>
  <si>
    <t>Блок зажимов клеммный БЗН ТС-1004 35мм2 100A 4 пары REXANT</t>
  </si>
  <si>
    <t>11-2159</t>
  </si>
  <si>
    <t>Блок зажимов клеммный БЗН ТС-603 16мм2 60A 3 пары REXANT</t>
  </si>
  <si>
    <t>11-2161</t>
  </si>
  <si>
    <t>Блок зажимов клеммный БЗН ТС-604 16мм2 60A 4 пары REXANT</t>
  </si>
  <si>
    <t>1.13 Умный дом</t>
  </si>
  <si>
    <t>1.13. 4 Реле и контроллеры</t>
  </si>
  <si>
    <t>SEC-T-101W</t>
  </si>
  <si>
    <t>Wi-Fi терморегулятор сенсорный SECURIC</t>
  </si>
  <si>
    <t>SEC-GT-101</t>
  </si>
  <si>
    <t>Умный Wi-Fi/Zigbee/Bluetooth шлюз SECURIC</t>
  </si>
  <si>
    <t>SEC-HV-301W</t>
  </si>
  <si>
    <t>Умный беспроводной Wi-Fi контроллер управления питанием SECURIC</t>
  </si>
  <si>
    <t>1.13. 5 Умные электроустановочные изделия</t>
  </si>
  <si>
    <t>SEC-HV-802W2</t>
  </si>
  <si>
    <t>Умный Wi-Fi выключатель двухкнопочный белый SECURIC</t>
  </si>
  <si>
    <t>SEC-HV-802B2</t>
  </si>
  <si>
    <t>Умный Wi-Fi выключатель двухкнопочный черный SECURIC</t>
  </si>
  <si>
    <t>1.16 Заземление и молниезащита</t>
  </si>
  <si>
    <t>1.16. 1 Комплекты заземления</t>
  </si>
  <si>
    <t>11-3001-03</t>
  </si>
  <si>
    <t>Комплект заземления безмуфтовый 3м, ø20 REXANT</t>
  </si>
  <si>
    <t>11-3001-06</t>
  </si>
  <si>
    <t>Комплект заземления безмуфтовый 6м, ø20 REXANT</t>
  </si>
  <si>
    <t>11-3000-03</t>
  </si>
  <si>
    <t>Комплект заземления с заострением 3м, ø16 REXANT</t>
  </si>
  <si>
    <t>11-3000-09</t>
  </si>
  <si>
    <t>Комплект заземления с заострением 3х3м REXANT</t>
  </si>
  <si>
    <t>11-3000-06</t>
  </si>
  <si>
    <t>Комплект заземления с заострением 6м, ø16 REXANT</t>
  </si>
  <si>
    <t>2. ИНСТРУМЕНТ (TOOLS)</t>
  </si>
  <si>
    <t>2. 1 Ручной инструмент</t>
  </si>
  <si>
    <t>2. 1. 1 Отвертки</t>
  </si>
  <si>
    <t>2. 1. 1. 1 Отвертки крестовые (PH,PZ)</t>
  </si>
  <si>
    <t>12-6403</t>
  </si>
  <si>
    <t>Отвертка крестовая PH0х150мм, двухкомпонентная рукоятка REXANT</t>
  </si>
  <si>
    <t>12-4726</t>
  </si>
  <si>
    <t>Отвертка крестовая PH0х75мм, двухкомпонентная рукоятка REXANT</t>
  </si>
  <si>
    <t>06.10.2026</t>
  </si>
  <si>
    <t>12-4726-1</t>
  </si>
  <si>
    <t>Отвертка крестовая PH0х75мм, трехкомпонентная рукоятка, сталь S2 REXANT</t>
  </si>
  <si>
    <t>12-4727</t>
  </si>
  <si>
    <t>Отвертка крестовая PH1х100мм, двухкомпонентная рукоятка REXANT</t>
  </si>
  <si>
    <t>12-4727-1</t>
  </si>
  <si>
    <t>Отвертка крестовая PH1х100мм, трехкомпонентная рукоятка, сталь S2 REXANT</t>
  </si>
  <si>
    <t>01.12.2026</t>
  </si>
  <si>
    <t>12-6406</t>
  </si>
  <si>
    <t>Отвертка крестовая PH1х200мм, двухкомпонентная рукоятка REXANT</t>
  </si>
  <si>
    <t>12-6407</t>
  </si>
  <si>
    <t>Отвертка крестовая PH2х100мм, двухкомпонентная рукоятка REXANT</t>
  </si>
  <si>
    <t>12-4728</t>
  </si>
  <si>
    <t>Отвертка крестовая PH2х125мм, двухкомпонентная рукоятка REXANT</t>
  </si>
  <si>
    <t>12-4728-1</t>
  </si>
  <si>
    <t>Отвертка крестовая PH2х125мм, трехкомпонентная рукоятка, сталь S2 REXANT</t>
  </si>
  <si>
    <t>12-6408</t>
  </si>
  <si>
    <t>Отвертка крестовая PH2х150мм, двухкомпонентная рукоятка REXANT</t>
  </si>
  <si>
    <t>12-6409</t>
  </si>
  <si>
    <t>Отвертка крестовая PH2х200мм, двухкомпонентная рукоятка REXANT</t>
  </si>
  <si>
    <t>12-4730</t>
  </si>
  <si>
    <t>Отвертка крестовая PH2х40мм, двухкомпонентная рукоятка REXANT</t>
  </si>
  <si>
    <t>12-4729</t>
  </si>
  <si>
    <t>Отвертка крестовая PH3х150мм, двухкомпонентная рукоятка REXANT</t>
  </si>
  <si>
    <t>12-6411</t>
  </si>
  <si>
    <t>Отвертка крестовая PH3х250мм, двухкомпонентная рукоятка REXANT</t>
  </si>
  <si>
    <t>12-6414</t>
  </si>
  <si>
    <t>Отвертка крестовая PZ1х75мм, двухкомпонентная рукоятка REXANT</t>
  </si>
  <si>
    <t>12-6414-1</t>
  </si>
  <si>
    <t>Отвертка крестовая PZ1х75мм, трехкомпонентная рукоятка, сталь S2 REXANT</t>
  </si>
  <si>
    <t>12-6415</t>
  </si>
  <si>
    <t>Отвертка крестовая PZ2х100мм, двухкомпонентная рукоятка REXANT</t>
  </si>
  <si>
    <t>12-6415-1</t>
  </si>
  <si>
    <t>Отвертка крестовая PZ2х100мм, трехкомпонентная рукоятка, сталь S2 REXANT</t>
  </si>
  <si>
    <t>2. 1. 1. 2 Отвертки шлицевые (SL)</t>
  </si>
  <si>
    <t>12-6421</t>
  </si>
  <si>
    <t>Отвертка шлицевая SL3х100мм, двухкомпонентная рукоятка REXANT</t>
  </si>
  <si>
    <t>12-6422</t>
  </si>
  <si>
    <t>Отвертка шлицевая SL3х150мм, двухкомпонентная рукоятка REXANT</t>
  </si>
  <si>
    <t>12-6423</t>
  </si>
  <si>
    <t>Отвертка шлицевая SL3х200мм, двухкомпонентная рукоятка REXANT</t>
  </si>
  <si>
    <t>12-4721</t>
  </si>
  <si>
    <t>Отвертка шлицевая SL3х75мм, двухкомпонентная рукоятка REXANT</t>
  </si>
  <si>
    <t>12-4721-1</t>
  </si>
  <si>
    <t>Отвертка шлицевая SL3х75мм, трехкомпонентная рукоятка сталь, S2 REXANT</t>
  </si>
  <si>
    <t>12-6424</t>
  </si>
  <si>
    <t>Отвертка шлицевая SL4х100мм, двухкомпонентная рукоятка REXANT</t>
  </si>
  <si>
    <t>12-6424-1</t>
  </si>
  <si>
    <t>Отвертка шлицевая SL4х100мм, трехкомпонентная рукоятка, сталь S2 REXANT</t>
  </si>
  <si>
    <t>12-6425</t>
  </si>
  <si>
    <t>Отвертка шлицевая SL4х150мм, двухкомпонентная рукоятка REXANT</t>
  </si>
  <si>
    <t>12-6426</t>
  </si>
  <si>
    <t>Отвертка шлицевая SL4х200мм, двухкомпонентная рукоятка REXANT</t>
  </si>
  <si>
    <t>12-4722</t>
  </si>
  <si>
    <t>Отвертка шлицевая SL5х100мм, двухкомпонентная рукоятка REXANT</t>
  </si>
  <si>
    <t>12-4722-1</t>
  </si>
  <si>
    <t>Отвертка шлицевая SL5х100мм, трехкомпонентная рукоятка, сталь S2 REXANT</t>
  </si>
  <si>
    <t>12-6429</t>
  </si>
  <si>
    <t>Отвертка шлицевая SL5х200мм, двухкомпонентная рукоятка REXANT</t>
  </si>
  <si>
    <t>12-4723</t>
  </si>
  <si>
    <t>Отвертка шлицевая SL6х125мм, двухкомпонентная рукоятка REXANT</t>
  </si>
  <si>
    <t>12-4723-1</t>
  </si>
  <si>
    <t>Отвертка шлицевая SL6х125мм, трехкомпонентная рукоятка, сталь S2 REXANT</t>
  </si>
  <si>
    <t>12-4725</t>
  </si>
  <si>
    <t>Отвертка шлицевая SL6х40мм, двухкомпонентная рукоятка REXANT</t>
  </si>
  <si>
    <t>12-4724</t>
  </si>
  <si>
    <t>Отвертка шлицевая SL8х150мм, двухкомпонентная рукоятка REXANT</t>
  </si>
  <si>
    <t>2. 1. 1. 3 Набор отвертки с насадками</t>
  </si>
  <si>
    <t>12-4779</t>
  </si>
  <si>
    <t>Набор 8 предметов с реверсивной отверткой REXANT</t>
  </si>
  <si>
    <t>12-6075</t>
  </si>
  <si>
    <t>Набор головок и бит с реверсивной отверткой, 21 предмет REXANT</t>
  </si>
  <si>
    <t>12-4777</t>
  </si>
  <si>
    <t>Набор отверток 10 предметов REXANT</t>
  </si>
  <si>
    <t>12-4775</t>
  </si>
  <si>
    <t>Набор отверток 18 предметов REXANT</t>
  </si>
  <si>
    <t>KR-12-4791</t>
  </si>
  <si>
    <t>Набор отверток 31 предмет KRANZ</t>
  </si>
  <si>
    <t>12-4776</t>
  </si>
  <si>
    <t>Набор отверток 33 предмета REXANT</t>
  </si>
  <si>
    <t>KR-12-4792</t>
  </si>
  <si>
    <t>Набор отверток 38 предметов в кейсе KRANZ</t>
  </si>
  <si>
    <t>12-4703</t>
  </si>
  <si>
    <t>Набор отверток 7 предметов (крестовые и шлицевые) REXANT</t>
  </si>
  <si>
    <t>12-4774</t>
  </si>
  <si>
    <t>Набор отверток 8 предметов REXANT</t>
  </si>
  <si>
    <t>12-4741</t>
  </si>
  <si>
    <t>Отвертка комбинированная, двухкомпонентная рукоятка, двухсторонний стержень 120мм (крестовая PH2, шлицевая SL6) REXANT</t>
  </si>
  <si>
    <t>12-4742</t>
  </si>
  <si>
    <t>Отвертка комбинированная, прозрачная рукоятка, двухсторонний стержень 120мм (крестовая PH2, шлицевая SL6) REXANT</t>
  </si>
  <si>
    <t>12-4743</t>
  </si>
  <si>
    <t>Отвертка комбинированная, прозрачная рукоятка, двухсторонний стержень 40мм (крестовая PH2, шлицевая SL6) REXANT</t>
  </si>
  <si>
    <t>12-4745</t>
  </si>
  <si>
    <t>Отвертка реверсивная комбинированная, трехкомпонентная рукоятка, двухсторонний стержень 120мм (крестовая PH2, шлицевая SL6) REXANT</t>
  </si>
  <si>
    <t>2. 1. 1. 4 Наборы отверток для точных работ</t>
  </si>
  <si>
    <t>12-4762</t>
  </si>
  <si>
    <t>Набор для точных работ 25 предметов в чехле REXANT</t>
  </si>
  <si>
    <t>12-4764</t>
  </si>
  <si>
    <t>Набор для точных работ 6 предметов REXANT</t>
  </si>
  <si>
    <t>12-4763</t>
  </si>
  <si>
    <t>Набор для точных работ 8 предметов REXANT</t>
  </si>
  <si>
    <t>12-4765</t>
  </si>
  <si>
    <t>Набор для точных работ 9 предметов в пластиковом боксе REXANT</t>
  </si>
  <si>
    <t>12-4771</t>
  </si>
  <si>
    <t>Набор отверток 19 предметов REXANT</t>
  </si>
  <si>
    <t>12-4704</t>
  </si>
  <si>
    <t>Набор отверток для точных работ 16 предметов REXANT</t>
  </si>
  <si>
    <t>KR-12-4778</t>
  </si>
  <si>
    <t>Набор отверток для точных работ 31 предмет KRANZ</t>
  </si>
  <si>
    <t>12-4701</t>
  </si>
  <si>
    <t>Набор отверток для точных работ 32 предмета REXANT</t>
  </si>
  <si>
    <t>KR-12-4776</t>
  </si>
  <si>
    <t>Набор отверток для точных работ 37 предметов KRANZ</t>
  </si>
  <si>
    <t>12-4702</t>
  </si>
  <si>
    <t>Набор отверток для точных работ 37 предметов REXANT</t>
  </si>
  <si>
    <t>12-4706</t>
  </si>
  <si>
    <t>Набор отверток для точных работ 45 предметов REXANT</t>
  </si>
  <si>
    <t>KR-12-4751</t>
  </si>
  <si>
    <t>Набор отверток для точных работ RA-01, 25 предметов KRANZ</t>
  </si>
  <si>
    <t>KR-12-4752</t>
  </si>
  <si>
    <t>Набор отверток для точных работ RA-02, 30 предметов KRANZ</t>
  </si>
  <si>
    <t>KR-12-4753</t>
  </si>
  <si>
    <t>Набор отверток для точных работ RA-03, 25 предметов KRANZ</t>
  </si>
  <si>
    <t>KR-12-4754</t>
  </si>
  <si>
    <t>Набор отверток для точных работ RA-04, 24 предмета KRANZ</t>
  </si>
  <si>
    <t>KR-12-4755</t>
  </si>
  <si>
    <t>Набор отверток для точных работ RA-05, 106 предметов KRANZ</t>
  </si>
  <si>
    <t>KR-12-4770</t>
  </si>
  <si>
    <t>Набор отверток и роликов для ремонта мобильных устройств 9 предметов KRANZ</t>
  </si>
  <si>
    <t>12-6050</t>
  </si>
  <si>
    <t>Набор часовых отверток (6 предметов) REXANT</t>
  </si>
  <si>
    <t>12-6051</t>
  </si>
  <si>
    <t>Набор часовых отверток 16 предметов REXANT</t>
  </si>
  <si>
    <t>12-6041</t>
  </si>
  <si>
    <t>Набор часовых отверток TORX 7 предметов REXANT</t>
  </si>
  <si>
    <t>12-4766</t>
  </si>
  <si>
    <t>Отвертка для телефонов пятилучевая звезда (Pentalobe 0,8) REXANT</t>
  </si>
  <si>
    <t>12-4705</t>
  </si>
  <si>
    <t>Отвертка с насадками 6 шт. REXANT</t>
  </si>
  <si>
    <t>2. 1. 1. 5 Диэлектрические отвертки</t>
  </si>
  <si>
    <t>12-4773</t>
  </si>
  <si>
    <t>Набор отверток (8 предметов) PROconnect</t>
  </si>
  <si>
    <t>12-4772-3</t>
  </si>
  <si>
    <t>Набор отверток диэлектрических, 123 предмета REXANT</t>
  </si>
  <si>
    <t>12-4773-3</t>
  </si>
  <si>
    <t>Набор отверток диэлектрических, 14 предметов REXANT</t>
  </si>
  <si>
    <t>12-4771-3</t>
  </si>
  <si>
    <t>Набор отверток диэлектрических, 76 предметов REXANT</t>
  </si>
  <si>
    <t>12-4719</t>
  </si>
  <si>
    <t>Отвертка крестовая диэлектрическая PH/SL2х150мм, до 1000В, двухкомпонентная рукоятка REXANT</t>
  </si>
  <si>
    <t>12-4716</t>
  </si>
  <si>
    <t>Отвертка крестовая диэлектрическая PH0х100мм, до 1000В, двухкомпонентная рукоятка REXANT</t>
  </si>
  <si>
    <t>12-4715</t>
  </si>
  <si>
    <t>Отвертка крестовая диэлектрическая PH0х75мм, до 1000В, двухкомпонентная рукоятка REXANT</t>
  </si>
  <si>
    <t>12-4717</t>
  </si>
  <si>
    <t>Отвертка крестовая диэлектрическая PH1х125мм, до 1000В, двухкомпонентная рукоятка REXANT</t>
  </si>
  <si>
    <t>12-4718</t>
  </si>
  <si>
    <t>Отвертка крестовая диэлектрическая PH2х150мм, до 1000В, двухкомпонентная рукоятка REXANT</t>
  </si>
  <si>
    <t>12-4711</t>
  </si>
  <si>
    <t>Отвертка шлицевая диэлектрическая SL3х75мм, до 1000В, двухкомпонентная рукоятка REXANT</t>
  </si>
  <si>
    <t>12-4712</t>
  </si>
  <si>
    <t>Отвертка шлицевая диэлектрическая SL4х100мм, до 1000В, двухкомпонентная рукоятка REXANT</t>
  </si>
  <si>
    <t>12-4713</t>
  </si>
  <si>
    <t>Отвертка шлицевая диэлектрическая SL5х125мм, до 1000В, двухкомпонентная рукоятка REXANT</t>
  </si>
  <si>
    <t>12-4714</t>
  </si>
  <si>
    <t>Отвертка шлицевая диэлектрическая SL6х150мм, до 1000В, двухкомпонентная рукоятка REXANT</t>
  </si>
  <si>
    <t>2. 1. 2 Шарнирно-губцевый инструмент</t>
  </si>
  <si>
    <t>2. 1. 2. 1 Бокорезы и кусачки</t>
  </si>
  <si>
    <t>12-4614</t>
  </si>
  <si>
    <t>Бокорезы 160мм никелированные, двухкомпонентные рукоятки REXANT</t>
  </si>
  <si>
    <t>26.09.2026</t>
  </si>
  <si>
    <t>12-4615</t>
  </si>
  <si>
    <t>Бокорезы 180мм никелированные, двухкомпонентные рукоятки REXANT</t>
  </si>
  <si>
    <t>KR-12-4614-2</t>
  </si>
  <si>
    <t>Бокорезы комбинированные 150мм, технология легкого нажима KRANZ</t>
  </si>
  <si>
    <t>KR-12-4616-2</t>
  </si>
  <si>
    <t>Бокорезы комбинированные 200мм, технология легкого нажима KRANZ</t>
  </si>
  <si>
    <t>12-4602</t>
  </si>
  <si>
    <t>Бокорезы мини 110мм никелированные, авторазжим, обливные рукоятки REXANT</t>
  </si>
  <si>
    <t>12-4602-1</t>
  </si>
  <si>
    <t>Бокорезы мини 120мм REXANT</t>
  </si>
  <si>
    <t>12-4607</t>
  </si>
  <si>
    <t>Кусачки для точных работ 115мм никелированные, авторазжим, обливные рукоятки REXANT</t>
  </si>
  <si>
    <t>12-4605</t>
  </si>
  <si>
    <t>Кусачки торцевые мини 100мм никелированные, авторазжим, обливные рукоятки REXANT</t>
  </si>
  <si>
    <t>26.11.2026</t>
  </si>
  <si>
    <t>2. 1. 2. 2 Пассатижи и плоскогубцы</t>
  </si>
  <si>
    <t>12-4611</t>
  </si>
  <si>
    <t>Плоскогубцы комбинированные 160мм никелированные, двухкомпонентные рукоятки REXANT</t>
  </si>
  <si>
    <t>12-4611-1</t>
  </si>
  <si>
    <t>Плоскогубцы комбинированные 160мм, обливные рукоятки REXANT</t>
  </si>
  <si>
    <t>KR-12-4611-2</t>
  </si>
  <si>
    <t>Плоскогубцы комбинированные 175мм, технология легкого нажима KRANZ</t>
  </si>
  <si>
    <t>12-4612</t>
  </si>
  <si>
    <t>Плоскогубцы комбинированные 180мм никелированные, двухкомпонентные рукоятки REXANT</t>
  </si>
  <si>
    <t>12-4613</t>
  </si>
  <si>
    <t>Плоскогубцы комбинированные 200мм никелированные, двухкомпонентные рукоятки REXANT</t>
  </si>
  <si>
    <t>KR-12-4613-2</t>
  </si>
  <si>
    <t>Плоскогубцы комбинированные 200мм, технология легкого нажима KRANZ</t>
  </si>
  <si>
    <t>12-4601</t>
  </si>
  <si>
    <t>Плоскогубцы мини 120мм никелированные, авторазжим, обливные рукоятки REXANT</t>
  </si>
  <si>
    <t>2. 1. 2. 3 Круглогубцы, тонкогубцы и длинногубцы</t>
  </si>
  <si>
    <t>12-4623</t>
  </si>
  <si>
    <t>Круглогубцы 160мм никелированные, двухкомпонентные рукоятки REXANT</t>
  </si>
  <si>
    <t>12-4606</t>
  </si>
  <si>
    <t>Круглогубцы Мини 120мм никелированные, авторазжим, обливные рукоятки REXANT</t>
  </si>
  <si>
    <t>12-4617</t>
  </si>
  <si>
    <t>Тонкогубцы 160мм никелированные, двухкомпонентные рукоятки REXANT</t>
  </si>
  <si>
    <t>12-4618</t>
  </si>
  <si>
    <t>Тонкогубцы 200мм никелированные, двухкомпонентные рукоятки REXANT</t>
  </si>
  <si>
    <t>12-4620</t>
  </si>
  <si>
    <t>Тонкогубцы изогнутые 160мм никелированные, двухкомпонентные рукоятки REXANT</t>
  </si>
  <si>
    <t>12-4621</t>
  </si>
  <si>
    <t>Тонкогубцы изогнутые 200мм никелированные, двухкомпонентные рукоятки REXANT</t>
  </si>
  <si>
    <t>12-4603</t>
  </si>
  <si>
    <t>Тонкогубцы изогнутые мини 120мм никелированные, авторазжим, обливные рукоятки REXANT</t>
  </si>
  <si>
    <t>12-4604</t>
  </si>
  <si>
    <t>Тонкогубцы мини 120мм никелированные, авторазжим, обливные рукоятки REXANT</t>
  </si>
  <si>
    <t>2. 1. 2. 4 Ручные ножницы по металлу</t>
  </si>
  <si>
    <t>12-4631</t>
  </si>
  <si>
    <t>Ножницы по металлу левые 260мм никелированные, двухкомпонентные рукоятки REXANT</t>
  </si>
  <si>
    <t>12-4629</t>
  </si>
  <si>
    <t>Ножницы по металлу правые 260мм никелированные, двухкомпонентные рукоятки REXANT</t>
  </si>
  <si>
    <t>12-4630</t>
  </si>
  <si>
    <t>Ножницы по металлу прямые 260мм никелированные, двухкомпонентные рукоятки REXANT</t>
  </si>
  <si>
    <t>2. 1. 2. 5 Строительные клещи и щипцы</t>
  </si>
  <si>
    <t>12-4634</t>
  </si>
  <si>
    <t>Клещи переставные 200мм никелированные, обливные рукоятки REXANT</t>
  </si>
  <si>
    <t>19.01.2027</t>
  </si>
  <si>
    <t>12-4635</t>
  </si>
  <si>
    <t>Клещи переставные 250мм никелированные, обливные рукоятки REXANT</t>
  </si>
  <si>
    <t>12-4636</t>
  </si>
  <si>
    <t>Клещи переставные 300мм никелированные, обливные рукоятки REXANT</t>
  </si>
  <si>
    <t>2. 1. 2. 6 Съемники стопорных колец</t>
  </si>
  <si>
    <t>12-4637</t>
  </si>
  <si>
    <t>Щипцы для стопорных колец загнутый сжим 160мм, обливные рукоятки REXANT</t>
  </si>
  <si>
    <t>12-4639</t>
  </si>
  <si>
    <t>Щипцы для стопорных колец разжим 160мм, обливные рукоятки REXANT</t>
  </si>
  <si>
    <t>12-4640</t>
  </si>
  <si>
    <t>Щипцы для стопорных колец разжим загнутый 160мм, обливные рукоятки REXANT</t>
  </si>
  <si>
    <t>12-4638</t>
  </si>
  <si>
    <t>Щипцы для стопорных колец сжим 160мм, обливные рукоятки REXANT</t>
  </si>
  <si>
    <t>2. 1. 2. 7 Диэлектрический инструмент</t>
  </si>
  <si>
    <t>12-4614-3</t>
  </si>
  <si>
    <t>Бокорезы 160мм, диэлектрические до 1000В REXANT</t>
  </si>
  <si>
    <t>12-4615-3</t>
  </si>
  <si>
    <t>Бокорезы 180мм, диэлектрические до 1000В REXANT</t>
  </si>
  <si>
    <t>12-4616-3</t>
  </si>
  <si>
    <t>Бокорезы 200мм, диэлектрические до 1000В REXANT</t>
  </si>
  <si>
    <t>12-4611-3</t>
  </si>
  <si>
    <t>Плоскогубцы комбинированные 160мм, диэлектрические до 1000В REXANT</t>
  </si>
  <si>
    <t>12-4612-3</t>
  </si>
  <si>
    <t>Плоскогубцы комбинированные 180мм, диэлектрические до 1000В REXANT</t>
  </si>
  <si>
    <t>12-4613-3</t>
  </si>
  <si>
    <t>Плоскогубцы комбинированные 200мм, диэлектрические до 1000В REXANT</t>
  </si>
  <si>
    <t>2. 1. 2. 9 Многофункциональный инструмент</t>
  </si>
  <si>
    <t>KR-12-4652-3</t>
  </si>
  <si>
    <t>Бокорезы многофункциональные диэлектрические 206мм KRANZ</t>
  </si>
  <si>
    <t>KR-12-4652-5</t>
  </si>
  <si>
    <t>Бокорезы многофункциональные универсальные 190мм KRANZ</t>
  </si>
  <si>
    <t>05.12.2026</t>
  </si>
  <si>
    <t>KR-12-4024-5</t>
  </si>
  <si>
    <t>Многофункциональный инструмент для зачистки проводов 7в1 KRANZ</t>
  </si>
  <si>
    <t>KR-12-4651-3</t>
  </si>
  <si>
    <t>Плоскогубцы многофункциональные диэлектрические 230мм KRANZ</t>
  </si>
  <si>
    <t>KR-12-4656-3</t>
  </si>
  <si>
    <t>Плоскогубцы многофункциональные диэлектрические с тестером 210мм KRANZ</t>
  </si>
  <si>
    <t>KR-12-4657-3</t>
  </si>
  <si>
    <t>Плоскогубцы многофункциональные диэлектрические со съемником 238мм KRANZ</t>
  </si>
  <si>
    <t>KR-12-4651-5</t>
  </si>
  <si>
    <t>Плоскогубцы многофункциональные универсальные 200мм KRANZ</t>
  </si>
  <si>
    <t>KR-12-4655-5</t>
  </si>
  <si>
    <t>Плоскогубцы профессиональные многофункциональные 200мм KRANZ</t>
  </si>
  <si>
    <t>KR-12-4653-5</t>
  </si>
  <si>
    <t>Тонкогубцы многофункциональные универсальные 200мм KRANZ</t>
  </si>
  <si>
    <t>2. 1. 3 Ключи</t>
  </si>
  <si>
    <t>2. 1. 3. 1 Ключи комбинированные</t>
  </si>
  <si>
    <t>12-5805-2</t>
  </si>
  <si>
    <t>Ключ комбинированный 10мм, желтый цинк REXANT</t>
  </si>
  <si>
    <t>12-5806-2</t>
  </si>
  <si>
    <t>Ключ комбинированный 11мм, желтый цинк REXANT</t>
  </si>
  <si>
    <t>12-5807-2</t>
  </si>
  <si>
    <t>Ключ комбинированный 12мм, желтый цинк REXANT</t>
  </si>
  <si>
    <t>12-5808-2</t>
  </si>
  <si>
    <t>Ключ комбинированный 13мм, желтый цинк REXANT</t>
  </si>
  <si>
    <t>12-5809-2</t>
  </si>
  <si>
    <t>Ключ комбинированный 14мм, желтый цинк REXANT</t>
  </si>
  <si>
    <t>12-5810-2</t>
  </si>
  <si>
    <t>Ключ комбинированный 15мм, желтый цинк REXANT</t>
  </si>
  <si>
    <t>12-5812-2</t>
  </si>
  <si>
    <t>Ключ комбинированный 17мм, желтый цинк REXANT</t>
  </si>
  <si>
    <t>12-5819-2</t>
  </si>
  <si>
    <t>Ключ комбинированный 18мм, желтый цинк REXANT</t>
  </si>
  <si>
    <t>12-5813-2</t>
  </si>
  <si>
    <t>Ключ комбинированный 19мм, желтый цинк REXANT</t>
  </si>
  <si>
    <t>12-5814-2</t>
  </si>
  <si>
    <t>Ключ комбинированный 22мм, желтый цинк REXANT</t>
  </si>
  <si>
    <t>12-5815-2</t>
  </si>
  <si>
    <t>Ключ комбинированный 24мм, желтый цинк REXANT</t>
  </si>
  <si>
    <t>12-5816-2</t>
  </si>
  <si>
    <t>Ключ комбинированный 27мм, желтый цинк REXANT</t>
  </si>
  <si>
    <t>12-5817-2</t>
  </si>
  <si>
    <t>Ключ комбинированный 30мм, желтый цинк REXANT</t>
  </si>
  <si>
    <t>12-5818-2</t>
  </si>
  <si>
    <t>Ключ комбинированный 32мм, желтый цинк REXANT</t>
  </si>
  <si>
    <t>12-5801-2</t>
  </si>
  <si>
    <t>Ключ комбинированный 6мм, желтый цинк REXANT</t>
  </si>
  <si>
    <t>12-5803-2</t>
  </si>
  <si>
    <t>Ключ комбинированный 8мм, желтый цинк REXANT</t>
  </si>
  <si>
    <t>12-5804-2</t>
  </si>
  <si>
    <t>Ключ комбинированный 9мм, желтый цинк REXANT</t>
  </si>
  <si>
    <t>2. 1. 3. 2 Ключи рожковые</t>
  </si>
  <si>
    <t>12-5824-2</t>
  </si>
  <si>
    <t>Ключ рожковый 10х11мм, желтый цинк REXANT</t>
  </si>
  <si>
    <t>12-5826-2</t>
  </si>
  <si>
    <t>Ключ рожковый 12х13мм, желтый цинк REXANT</t>
  </si>
  <si>
    <t>12-5827-2</t>
  </si>
  <si>
    <t>Ключ рожковый 13х14мм, желтый цинк REXANT</t>
  </si>
  <si>
    <t>12-5828-2</t>
  </si>
  <si>
    <t>Ключ рожковый 13х17мм, желтый цинк REXANT</t>
  </si>
  <si>
    <t>12-5825-2</t>
  </si>
  <si>
    <t>Ключ рожковый 14х15мм, желтый цинк REXANT</t>
  </si>
  <si>
    <t>12-5829-2</t>
  </si>
  <si>
    <t>Ключ рожковый 14х17мм, желтый цинк REXANT</t>
  </si>
  <si>
    <t>12-5830-2</t>
  </si>
  <si>
    <t>Ключ рожковый 17х19мм, желтый цинк REXANT</t>
  </si>
  <si>
    <t>12-5831-2</t>
  </si>
  <si>
    <t>Ключ рожковый 19х22мм, желтый цинк REXANT</t>
  </si>
  <si>
    <t>12-5832-2</t>
  </si>
  <si>
    <t>Ключ рожковый 20х22мм, желтый цинк REXANT</t>
  </si>
  <si>
    <t>12-5833-2</t>
  </si>
  <si>
    <t>Ключ рожковый 24х27мм, желтый цинк REXANT</t>
  </si>
  <si>
    <t>12-5835-2</t>
  </si>
  <si>
    <t>Ключ рожковый 30х32мм, желтый цинк REXANT</t>
  </si>
  <si>
    <t>12-5823-2</t>
  </si>
  <si>
    <t>Ключ рожковый 8х10мм, желтый цинк REXANT</t>
  </si>
  <si>
    <t>12-5822-2</t>
  </si>
  <si>
    <t>Ключ рожковый 8х9мм, желтый цинк REXANT</t>
  </si>
  <si>
    <t>2. 1. 3. 3 Ключи-трещотки и наборы</t>
  </si>
  <si>
    <t>KR-12-8411</t>
  </si>
  <si>
    <t>Ключ телескопический трещоточный 1/2, 307-434мм, хромованадиевая сталь CrV, двухкомпонентная рукоятка KRANZ</t>
  </si>
  <si>
    <t>KR-12-8413</t>
  </si>
  <si>
    <t>Ключ телескопический трещоточный 1/4, 162-210мм, хромованадиевая сталь CrV, двухкомпонентная рукоятка KRANZ</t>
  </si>
  <si>
    <t>12-6080</t>
  </si>
  <si>
    <t>Ключ торцевой с трещоткой универсальный 7-19мм REXANT</t>
  </si>
  <si>
    <t>KR-12-8401</t>
  </si>
  <si>
    <t>Ключ-трещотка для торцовых головок 1/2, хромованадиевая сталь CrV, 72 зубца KRANZ</t>
  </si>
  <si>
    <t>29.01.2027</t>
  </si>
  <si>
    <t>KR-12-8403</t>
  </si>
  <si>
    <t>Ключ-трещотка для торцовых головок 1/4, хромованадиевая сталь CrV, 72 зубца KRANZ</t>
  </si>
  <si>
    <t>12-8301</t>
  </si>
  <si>
    <t>Набор торцевых головок 1/2, головки 10-24 мм, с трещоточным ключом, 12 предметов REXANT</t>
  </si>
  <si>
    <t>08.01.2027</t>
  </si>
  <si>
    <t>12-8304</t>
  </si>
  <si>
    <t>Набор торцевых головок 1/2, двенадцатигранные, хромованадиевая сталь CrV, 10 шт., 10-24мм REXANT</t>
  </si>
  <si>
    <t>12-8316</t>
  </si>
  <si>
    <t>Набор торцевых головок 1/4, шестигранные, хромованадиевая сталь CrV, 10 шт., 4-13мм REXANT</t>
  </si>
  <si>
    <t>12-8308</t>
  </si>
  <si>
    <t>Набор удлиненных торцевых головок 1/2, шестигранные, хромованадиевая сталь CrV, 10 шт., 10-22мм REXANT</t>
  </si>
  <si>
    <t>12-8318</t>
  </si>
  <si>
    <t>Набор удлиненных торцевых головок 1/4, шестигранные, хромованадиевая сталь CrV, 10 шт., 4-13мм REXANT</t>
  </si>
  <si>
    <t>KR-12-8422</t>
  </si>
  <si>
    <t>Набор шестигранных ударных торцевых головок, 1/2", 38мм, 10 предметов (10-24мм) металлический кейс KRANZ</t>
  </si>
  <si>
    <t>KR-12-8421</t>
  </si>
  <si>
    <t>Набор шестигранных ударных торцевых головок, 1/2", 78мм, 12 предметов (10-24мм) металлический кейс KRANZ</t>
  </si>
  <si>
    <t>KR-12-8420</t>
  </si>
  <si>
    <t>Набор шестигранных ударных торцевых головок, 1/2", 78мм, 20 предметов (8-32мм) пластиковый кейс KRANZ</t>
  </si>
  <si>
    <t>KR-12-8423</t>
  </si>
  <si>
    <t>Набор шестигранных ударных удлиненных торцевых головок для колесных дисков, 1/2", 3 предмета (17, 19, 21мм) пластиковый кейс KRANZ</t>
  </si>
  <si>
    <t>KR-12-8430</t>
  </si>
  <si>
    <t>Переходник ударный F3/4" х M1/2" KRANZ</t>
  </si>
  <si>
    <t>KR-12-8431</t>
  </si>
  <si>
    <t>Шарнир карданный ударный 1/2"DR KRANZ</t>
  </si>
  <si>
    <t>2. 1. 3. 4 Ключи накидные</t>
  </si>
  <si>
    <t>12-5854-2</t>
  </si>
  <si>
    <t>Ключ накидной коленчатый 10х11мм, цинк REXANT</t>
  </si>
  <si>
    <t>12-5857-2</t>
  </si>
  <si>
    <t>Ключ накидной коленчатый 10х13мм, цинк REXANT</t>
  </si>
  <si>
    <t>12-5858-2</t>
  </si>
  <si>
    <t>Ключ накидной коленчатый 13х17мм, цинк REXANT</t>
  </si>
  <si>
    <t>12-5860-2</t>
  </si>
  <si>
    <t>Ключ накидной коленчатый 17х19мм, цинк REXANT</t>
  </si>
  <si>
    <t>30.10.2026</t>
  </si>
  <si>
    <t>12-5861-2</t>
  </si>
  <si>
    <t>Ключ накидной коленчатый 19х22мм, цинк REXANT</t>
  </si>
  <si>
    <t>24.01.2027</t>
  </si>
  <si>
    <t>12-5863-2</t>
  </si>
  <si>
    <t>Ключ накидной коленчатый 22х24мм, цинк REXANT</t>
  </si>
  <si>
    <t>12-5864-2</t>
  </si>
  <si>
    <t>Ключ накидной коленчатый 24х27мм, цинк REXANT</t>
  </si>
  <si>
    <t>12-5865-2</t>
  </si>
  <si>
    <t>Ключ накидной коленчатый 27х32мм, цинк REXANT</t>
  </si>
  <si>
    <t>12-5866-2</t>
  </si>
  <si>
    <t>Ключ накидной коленчатый 30х32мм, цинк REXANT</t>
  </si>
  <si>
    <t>12-5853-2</t>
  </si>
  <si>
    <t>Ключ накидной коленчатый 8х10мм, цинк REXANT</t>
  </si>
  <si>
    <t>2. 1. 3. 5 Наборы ключей</t>
  </si>
  <si>
    <t>12-5842</t>
  </si>
  <si>
    <t>Набор ключей комбинированных (6-14, 17, 19, 22мм) 12 шт, хромованадиевая сталь CrV, зеркальное хромирование REXANT</t>
  </si>
  <si>
    <t>12-5842-2</t>
  </si>
  <si>
    <t>Набор ключей комбинированных (8-11, 13, 14, 17, 19мм), 8 шт, желтый цинк REXANT</t>
  </si>
  <si>
    <t>12-5841</t>
  </si>
  <si>
    <t>Набор ключей комбинированных (8-19мм), 8 шт, хромованадиевая сталь CrV, зеркальное хромирование REXANT</t>
  </si>
  <si>
    <t>12-5841-2</t>
  </si>
  <si>
    <t>Набор ключей комбинированных (8, 10, 12, 13, 14, 17мм), 6 шт, желтый цинк REXANT</t>
  </si>
  <si>
    <t>12-5848</t>
  </si>
  <si>
    <t>Набор ключей комбинированных 6х32мм, 26 шт, хромованадиевая сталь CrV, полированный хром REXANT</t>
  </si>
  <si>
    <t>12-4841-1</t>
  </si>
  <si>
    <t>Набор ключей комбинированных трещоточных (8, 10, 13, 17, 19мм), 5 шт, хромованадиевая сталь CrV, зеркальное хромирование REXANT</t>
  </si>
  <si>
    <t>12-5845</t>
  </si>
  <si>
    <t>Набор ключей рожковых (6-32мм) 12 шт. хромованадиевая сталь CrV, зеркальное хромирование REXANT</t>
  </si>
  <si>
    <t>12-5843-2</t>
  </si>
  <si>
    <t>Набор ключей рожковых (6х7-16х17мм), 6 шт, желтый цинк REXANT</t>
  </si>
  <si>
    <t>12-5844-2</t>
  </si>
  <si>
    <t>Набор ключей рожковых (6х7-20х22мм), 8 шт, желтый цинк REXANT</t>
  </si>
  <si>
    <t>12-5845-2</t>
  </si>
  <si>
    <t>Набор ключей рожковых (6х7-30х32мм), 12 шт, желтый цинк REXANT</t>
  </si>
  <si>
    <t>12-5843</t>
  </si>
  <si>
    <t>Набор ключей рожковых (8-19мм), 6 шт, хромованадиевая сталь CrV, зеркальное хромирование REXANT</t>
  </si>
  <si>
    <t>12-5844</t>
  </si>
  <si>
    <t>Набор ключей рожковых (8-24мм), 8 шт, хромованадиевая сталь CrV, зеркальное хромирование REXANT</t>
  </si>
  <si>
    <t>12-5872-2</t>
  </si>
  <si>
    <t>Набор ключей-трубок торцевых 6х22мм, вороток, оцинкованные, 10 шт REXANT</t>
  </si>
  <si>
    <t>12-5874-2</t>
  </si>
  <si>
    <t>Набор ключей-трубок торцевых 8х17мм, вороток, оцинкованные, 6 шт REXANT</t>
  </si>
  <si>
    <t>2. 1. 3. 6 Комбинированные трещеточные ключи</t>
  </si>
  <si>
    <t>12-5805-1</t>
  </si>
  <si>
    <t>Ключ комбинированный трещоточный 10мм, хромованадиевая сталь CrV, зеркальный хром REXANT</t>
  </si>
  <si>
    <t>12-5808-1</t>
  </si>
  <si>
    <t>Ключ комбинированный трещоточный 13мм, хромованадиевая сталь CrV, зеркальный хром REXANT</t>
  </si>
  <si>
    <t>12-5811-1</t>
  </si>
  <si>
    <t>Ключ комбинированный трещоточный 16мм, хромованадиевая сталь CrV, зеркальный хром REXANT</t>
  </si>
  <si>
    <t>12-5812-1</t>
  </si>
  <si>
    <t>Ключ комбинированный трещоточный 17мм, хромованадиевая сталь CrV, зеркальный хром REXANT</t>
  </si>
  <si>
    <t>12-5813-1</t>
  </si>
  <si>
    <t>Ключ комбинированный трещоточный 19мм, хромованадиевая сталь CrV, зеркальный хром REXANT</t>
  </si>
  <si>
    <t>12-5804-1</t>
  </si>
  <si>
    <t>Ключ комбинированный трещоточный 9мм, хромованадиевая сталь CrV, зеркальный хром REXANT</t>
  </si>
  <si>
    <t>2. 1. 3. 7 Ключи разводные</t>
  </si>
  <si>
    <t>12-4672</t>
  </si>
  <si>
    <t>Разводной ключ 150мм никелированный, двухкомпонентная рукоятка REXANT</t>
  </si>
  <si>
    <t>12-4673</t>
  </si>
  <si>
    <t>Разводной ключ 200мм никелированный, двухкомпонентная рукоятка REXANT</t>
  </si>
  <si>
    <t>12-4674</t>
  </si>
  <si>
    <t>Разводной ключ 250мм никелированный, двухкомпонентная рукоятка REXANT</t>
  </si>
  <si>
    <t>12-4675</t>
  </si>
  <si>
    <t>Разводной ключ 300мм никелированный, двухкомпонентная рукоятка REXANT</t>
  </si>
  <si>
    <t>2. 1. 3. 9 Ключи баллонные</t>
  </si>
  <si>
    <t>12-5881</t>
  </si>
  <si>
    <t>Ключ-крест баллонный 17х19х21мм, под квадрат 1/2, усиленный, толщина 16мм REXANT</t>
  </si>
  <si>
    <t>12-5883</t>
  </si>
  <si>
    <t>Ключ-крест баллонный 17х19х21х22мм, усиленный, толщина 16мм REXANT</t>
  </si>
  <si>
    <t>2. 1. 3.10 Ключи трубные (газовые)</t>
  </si>
  <si>
    <t>KR-12-5901</t>
  </si>
  <si>
    <t>Ключ трубный рычажный №0, литой, 250мм KRANZ</t>
  </si>
  <si>
    <t>KR-12-5902</t>
  </si>
  <si>
    <t>Ключ трубный рычажный №1, литой, 300мм KRANZ</t>
  </si>
  <si>
    <t>KR-12-5903</t>
  </si>
  <si>
    <t>Ключ трубный рычажный №2, литой, 400мм KRANZ</t>
  </si>
  <si>
    <t>15.11.2026</t>
  </si>
  <si>
    <t>KR-12-5904</t>
  </si>
  <si>
    <t>Ключ трубный рычажный №3, литой, 500мм KRANZ</t>
  </si>
  <si>
    <t>2. 1. 3.11 Набор ключей имбусовых</t>
  </si>
  <si>
    <t>KR-12-5203</t>
  </si>
  <si>
    <t>Набор ключей имбусовых Torx T10-T50, хромованадиевая сталь CrV, оксидированные, на кольце, 9 шт. KRANZ</t>
  </si>
  <si>
    <t>KR-12-5221</t>
  </si>
  <si>
    <t>Набор ключей имбусовых антивандальный Torx, ТТ10-ТТ50, закаленные, удлиненные, никель, 9 шт. KRANZ</t>
  </si>
  <si>
    <t>KR-12-5201</t>
  </si>
  <si>
    <t>Набор ключей имбусовых шестигранных 1,5-10 мм, хромованадиевая сталь CrV, 10 шт., оксидированные, на кольце KRANZ</t>
  </si>
  <si>
    <t>KR-12-5215</t>
  </si>
  <si>
    <t>Набор ключей имбусовых шестигранных 1,5-10 мм, хромованадиевая сталь CrV, 9 шт. KRANZ</t>
  </si>
  <si>
    <t>KR-12-5211</t>
  </si>
  <si>
    <t>Набор ключей имбусовых шестигранных 1,5-10 мм, хромованадиевая сталь CrV, 9 шт., удлиненные, с шаром KRANZ</t>
  </si>
  <si>
    <t>KR-12-5213</t>
  </si>
  <si>
    <t>Набор ключей имбусовых шестигранных 2,0-12 мм, хромованадиевая сталь CrV, 9 шт., удлиненные KRANZ</t>
  </si>
  <si>
    <t>2. 1. 4 Ножи, ножницы, скальпели и скребки</t>
  </si>
  <si>
    <t>2. 1. 4. 1 Ножи с сегментированными лезвиями</t>
  </si>
  <si>
    <t>12-4901</t>
  </si>
  <si>
    <t>Нож с сегментированным лезвием 18мм, корпус АБС-пластик обрезиненный REXANT</t>
  </si>
  <si>
    <t>12-4903</t>
  </si>
  <si>
    <t>Нож с сегментированным лезвием 18мм корпус пластик REXANT</t>
  </si>
  <si>
    <t>12-4900</t>
  </si>
  <si>
    <t>Нож с сегментированным лезвием 18мм, металлический обрезиненный корпус REXANT</t>
  </si>
  <si>
    <t>12-4919</t>
  </si>
  <si>
    <t>Нож с сегментированным лезвием 25мм, корпус АБС-пластик обрезиненный REXANT</t>
  </si>
  <si>
    <t>12-4918</t>
  </si>
  <si>
    <t>Нож с сегментированным лезвием 25мм, металлический обрезиненный корпус, с дополнительным замком на лезвии REXANT</t>
  </si>
  <si>
    <t>12-4906</t>
  </si>
  <si>
    <t>Нож с сегментированным лезвием 9мм, корпус металлический, c клипсой REXANT</t>
  </si>
  <si>
    <t>12-4905</t>
  </si>
  <si>
    <t>Нож с сегментированным лезвием 9мм, корпус пластик, c клипсой REXANT</t>
  </si>
  <si>
    <t>12-4907</t>
  </si>
  <si>
    <t>Нож с трапециевидным выдвижным лезвием REXANT</t>
  </si>
  <si>
    <t>12-4908</t>
  </si>
  <si>
    <t>Нож с трапециевидным выдвижным лезвием, винтовой фиксатор лезвия REXANT</t>
  </si>
  <si>
    <t>12-4912</t>
  </si>
  <si>
    <t>Сегментированное лезвие 18мм 10 шт. REXANT</t>
  </si>
  <si>
    <t>12-4912-1</t>
  </si>
  <si>
    <t>Сегментированное лезвие 18мм Профи 10 шт. REXANT</t>
  </si>
  <si>
    <t>12-4915</t>
  </si>
  <si>
    <t>Сегментированное лезвие 25мм 10 шт. REXANT</t>
  </si>
  <si>
    <t>12-4913</t>
  </si>
  <si>
    <t>Сегментированное лезвие 9мм 10 шт. REXANT</t>
  </si>
  <si>
    <t>2. 1. 4. 2 Ножи строительные</t>
  </si>
  <si>
    <t>12-4928</t>
  </si>
  <si>
    <t>Нож для резки теплоизоляционных панелей лезвие 280мм REXANT</t>
  </si>
  <si>
    <t>12-4926</t>
  </si>
  <si>
    <t>Нож для резки теплоизоляционных панелей лезвие 340мм REXANT</t>
  </si>
  <si>
    <t>12-4939</t>
  </si>
  <si>
    <t>Нож монтажника с чехлом лезвие 67мм REXANT</t>
  </si>
  <si>
    <t>12-4923</t>
  </si>
  <si>
    <t>Нож строительный нержавеющая сталь лезвие 100мм REXANT</t>
  </si>
  <si>
    <t>12-4921</t>
  </si>
  <si>
    <t>Нож строительный нержавеющая сталь лезвие 95мм REXANT</t>
  </si>
  <si>
    <t>12-4934</t>
  </si>
  <si>
    <t>Нож-стамеска, нержавеющая сталь, лезвие 75х22мм REXANT</t>
  </si>
  <si>
    <t>2. 1. 4. 3 Скальпели</t>
  </si>
  <si>
    <t>12-4911</t>
  </si>
  <si>
    <t>Лезвия перовые 5 шт. REXANT</t>
  </si>
  <si>
    <t>12-4917</t>
  </si>
  <si>
    <t>Набор скальпель со сменными лезвиями 7 предметов REXANT</t>
  </si>
  <si>
    <t>12-4301-8</t>
  </si>
  <si>
    <t>Нож монтажный тип Скальпель остроконечный СО-01 130мм</t>
  </si>
  <si>
    <t>12-4303-8</t>
  </si>
  <si>
    <t>Нож монтажный тип Скальпель остроконечный СО-03 150мм</t>
  </si>
  <si>
    <t>12-4308-8</t>
  </si>
  <si>
    <t>Нож монтажный тип Скальпель СК-03 150мм</t>
  </si>
  <si>
    <t>12-4909</t>
  </si>
  <si>
    <t>Нож с перовым лезвием (скальпель) REXANT</t>
  </si>
  <si>
    <t>12-4910</t>
  </si>
  <si>
    <t>Нож с перовым лезвием 5 запасных лезвий (скальпель) REXANT</t>
  </si>
  <si>
    <t>2. 1. 4. 4 Скребки</t>
  </si>
  <si>
    <t>12-4969</t>
  </si>
  <si>
    <t>Лезвия сменные для скребка 14х100х0,4мм 10 шт. REXANT</t>
  </si>
  <si>
    <t>12-4968</t>
  </si>
  <si>
    <t>Лезвия сменные для скребка 19х39х0,25мм 10 шт. REXANT</t>
  </si>
  <si>
    <t>12-4963</t>
  </si>
  <si>
    <t>Скребок с выдвижным лезвием, обрезиненный корпус, 5 запасных лезвий в комплекте REXANT</t>
  </si>
  <si>
    <t>12-4966</t>
  </si>
  <si>
    <t>Скребок с выдвижным лезвием пластик REXANT</t>
  </si>
  <si>
    <t>12-4965</t>
  </si>
  <si>
    <t>Скребок с фиксированным лезвием пластик REXANT</t>
  </si>
  <si>
    <t>12-4961</t>
  </si>
  <si>
    <t>Скребок строительный универсальный 140мм металл REXANT</t>
  </si>
  <si>
    <t>12-4962</t>
  </si>
  <si>
    <t>Скребок строительный универсальный 400мм металл REXANT</t>
  </si>
  <si>
    <t>12-4914</t>
  </si>
  <si>
    <t>Трапециевидные лезвия 19мм 10 шт. REXANT</t>
  </si>
  <si>
    <t>2. 1. 4. 5 Ножницы</t>
  </si>
  <si>
    <t>12-4929-9</t>
  </si>
  <si>
    <t>Ножницы остроконечные прямые 165мм</t>
  </si>
  <si>
    <t>12-4925-9</t>
  </si>
  <si>
    <t>Ножницы с двумя острыми концами прямые 145 мм</t>
  </si>
  <si>
    <t>12-4926-9</t>
  </si>
  <si>
    <t>Ножницы тупоконечные прямые 140 мм</t>
  </si>
  <si>
    <t>12-4927-9</t>
  </si>
  <si>
    <t>Ножницы тупоконечные прямые 165 мм</t>
  </si>
  <si>
    <t>2. 1. 5 Измерительный инструмент</t>
  </si>
  <si>
    <t>2. 1. 5. 1 Рулетки</t>
  </si>
  <si>
    <t>KR-12-9024</t>
  </si>
  <si>
    <t>Рулетка c автостопом, 10м x 25мм, магнитный двухсторонний зацеп, нейлон, двухсторонняя шкала KRANZ</t>
  </si>
  <si>
    <t>KR-12-9023</t>
  </si>
  <si>
    <t>Рулетка c автостопом, 5м x 25мм, магнитный двухсторонний зацеп, нейлон, двухсторонняя шкала KRANZ</t>
  </si>
  <si>
    <t>12-9007</t>
  </si>
  <si>
    <t>Рулетка измерительная Профи прорезиненный корпус, 10м х 25мм REXANT</t>
  </si>
  <si>
    <t>12-9004</t>
  </si>
  <si>
    <t>Рулетка измерительная Профи прорезиненный корпус, 3м х 16мм REXANT</t>
  </si>
  <si>
    <t>08.12.2026</t>
  </si>
  <si>
    <t>12-9005</t>
  </si>
  <si>
    <t>Рулетка измерительная Профи прорезиненный корпус, 5м х 19мм REXANT</t>
  </si>
  <si>
    <t>02.12.2026</t>
  </si>
  <si>
    <t>12-9006</t>
  </si>
  <si>
    <t>Рулетка измерительная Профи прорезиненный корпус, 5м х 25мм REXANT</t>
  </si>
  <si>
    <t>12-9017</t>
  </si>
  <si>
    <t>Рулетка измерительная Профи прорезиненный корпус, магнитная, 10м х 25мм REXANT</t>
  </si>
  <si>
    <t>12-9012</t>
  </si>
  <si>
    <t>Рулетка измерительная Профи прорезиненный корпус, магнитная, 3м х 16мм REXANT</t>
  </si>
  <si>
    <t>12-9014</t>
  </si>
  <si>
    <t>Рулетка измерительная Профи прорезиненный корпус, магнитная, 5м х 19мм REXANT</t>
  </si>
  <si>
    <t>12-9016</t>
  </si>
  <si>
    <t>Рулетка измерительная Профи прорезиненный корпус, магнитная, 7,5м х 25мм REXANT</t>
  </si>
  <si>
    <t>12-9003</t>
  </si>
  <si>
    <t>Рулетка измерительная Стандарт, 10м х 25мм REXANT</t>
  </si>
  <si>
    <t>12-9000</t>
  </si>
  <si>
    <t>Рулетка измерительная Стандарт, 3м х 16мм REXANT</t>
  </si>
  <si>
    <t>12-9002</t>
  </si>
  <si>
    <t>Рулетка измерительная Стандарт, 5м х 25мм REXANT</t>
  </si>
  <si>
    <t>12-9008</t>
  </si>
  <si>
    <t>Рулетка измерительная Стандарт, 7,5м х 25мм REXANT</t>
  </si>
  <si>
    <t>2. 1. 5. 2 Уровни измерительные</t>
  </si>
  <si>
    <t>12-9212</t>
  </si>
  <si>
    <t>Уровень алюминиевый Рельс, 800мм, 3 глазка (1 поворотный) REXANT</t>
  </si>
  <si>
    <t>2. 1. 5. 3 Штангенциркули и микрометры</t>
  </si>
  <si>
    <t>12-9110-2</t>
  </si>
  <si>
    <t>Микрометр МК 0-25мм REXANT</t>
  </si>
  <si>
    <t>12-9106</t>
  </si>
  <si>
    <t>Штангенциркуль стрелочный 150мм REXANT</t>
  </si>
  <si>
    <t>12-9101-2</t>
  </si>
  <si>
    <t>Штангенциркуль ШЦ - 150мм REXANT</t>
  </si>
  <si>
    <t>12-9102</t>
  </si>
  <si>
    <t>Штангенциркуль ШЦ - 250мм REXANT</t>
  </si>
  <si>
    <t>12-9100</t>
  </si>
  <si>
    <t>Электронный штангенциркуль 150мм REXANT</t>
  </si>
  <si>
    <t>2. 1. 6 Крепежный инструмент</t>
  </si>
  <si>
    <t>2. 1. 6. 1 Заклепочники и заклепки</t>
  </si>
  <si>
    <t>12-5343</t>
  </si>
  <si>
    <t>Заклепки, 3,2x10мм, 50 шт. REXANT</t>
  </si>
  <si>
    <t>12-5341</t>
  </si>
  <si>
    <t>Заклепки, 3,2x6мм, 50 шт. REXANT</t>
  </si>
  <si>
    <t>12-5342</t>
  </si>
  <si>
    <t>Заклепки, 3,2x8мм, 50 шт. REXANT</t>
  </si>
  <si>
    <t>12-5353</t>
  </si>
  <si>
    <t>Заклепки, 4,0x10мм, 50 шт. REXANT</t>
  </si>
  <si>
    <t>12-5354</t>
  </si>
  <si>
    <t>Заклепки, 4,0x12мм, 50 шт. REXANT</t>
  </si>
  <si>
    <t>12-5356</t>
  </si>
  <si>
    <t>Заклепки, 4,0x16мм, 50 шт. REXANT</t>
  </si>
  <si>
    <t>12-5363</t>
  </si>
  <si>
    <t>Заклепки, 4,8x10мм, 50 шт. REXANT</t>
  </si>
  <si>
    <t>12-5364</t>
  </si>
  <si>
    <t>Заклепки, 4,8x12мм, 50 шт. REXANT</t>
  </si>
  <si>
    <t>2. 1. 6. 2 Степлеры и скобы</t>
  </si>
  <si>
    <t>12-5402</t>
  </si>
  <si>
    <t>Степлер мебельный металлический REXANT</t>
  </si>
  <si>
    <t>30.11.2026</t>
  </si>
  <si>
    <t>12-5403</t>
  </si>
  <si>
    <t>Степлер мебельный металлический со вставками 3в1 REXANT</t>
  </si>
  <si>
    <t>12-5401</t>
  </si>
  <si>
    <t>Степлер мебельный с металлической ручкой REXANT</t>
  </si>
  <si>
    <t>2. 1. 6. 3 Пистолеты для пены и герметика</t>
  </si>
  <si>
    <t>12-7202</t>
  </si>
  <si>
    <t>Пистолет для герметика, 310мл, полуоткрытый, круглый шток 7 мм, утолщенные стенки REXANT</t>
  </si>
  <si>
    <t>12-7201</t>
  </si>
  <si>
    <t>Пистолет для герметика, 310мл, скелетный, с фиксатором, шестигранный шток 7 мм REXANT</t>
  </si>
  <si>
    <t>12-7305</t>
  </si>
  <si>
    <t>Пистолет для монтажной пены металлический с конфузором и регулировкой REXANT</t>
  </si>
  <si>
    <t>12-7303</t>
  </si>
  <si>
    <t>Пистолет для монтажной пены пластиковый усиленный с конфузором и регулировкой-трещоткой REXANT</t>
  </si>
  <si>
    <t>12-7301</t>
  </si>
  <si>
    <t>Пистолет для монтажной пены, пластмассовый корпус REXANT</t>
  </si>
  <si>
    <t>2. 1. 7 Наборы инструментов</t>
  </si>
  <si>
    <t>12-4691-3</t>
  </si>
  <si>
    <t>Набор диэлектрического инструмента RI-01, тканевый пенал, 7 предметов, до 1000В REXANT</t>
  </si>
  <si>
    <t>12-4692-3</t>
  </si>
  <si>
    <t>Набор диэлектрического инструмента RI-02, тканевый пенал, 11 предметов, до 1000В REXANT</t>
  </si>
  <si>
    <t>12-4694-2</t>
  </si>
  <si>
    <t>Набор инструментов электрика, 29 предметов REXANT</t>
  </si>
  <si>
    <t>KR-66-6682</t>
  </si>
  <si>
    <t>Набор инструментов, 1/2, 1/4, хромованадиевая сталь CrV, пластиковый кейс, 82 предмета KRANZ</t>
  </si>
  <si>
    <t>KR-66-6694</t>
  </si>
  <si>
    <t>Набор инструментов, 1/2, 1/4, хромованадиевая сталь CrV, пластиковый кейс, 94 предмета KRANZ</t>
  </si>
  <si>
    <t>2. 1. 8 Мультитулы и складные ножи</t>
  </si>
  <si>
    <t>KR-12-4945-2</t>
  </si>
  <si>
    <t>Мультитул 10 в 1, 155мм KRANZ</t>
  </si>
  <si>
    <t>KR-12-4902-2</t>
  </si>
  <si>
    <t>Мультитул 10 функций, 113мм KRANZ</t>
  </si>
  <si>
    <t>31.01.2027</t>
  </si>
  <si>
    <t>KR-12-4944-2</t>
  </si>
  <si>
    <t>Мультитул 11 в 1, 154мм KRANZ</t>
  </si>
  <si>
    <t>KR-12-4947-2</t>
  </si>
  <si>
    <t>Мультитул 14 в 1, 155мм KRANZ</t>
  </si>
  <si>
    <t>KR-12-4942-2</t>
  </si>
  <si>
    <t>Мультитул 15 в 1, 158мм KRANZ</t>
  </si>
  <si>
    <t>22.11.2026</t>
  </si>
  <si>
    <t>12-4906-2</t>
  </si>
  <si>
    <t>Нож складной Коготь полуавтоматический Титан REXANT</t>
  </si>
  <si>
    <t>12-4911-2</t>
  </si>
  <si>
    <t>Нож складной полуавтоматический Охотник REXANT</t>
  </si>
  <si>
    <t>2. 1. 9 Монтажный инструмент</t>
  </si>
  <si>
    <t>2. 1. 9. 1 Спуджеры, шило, лопатки</t>
  </si>
  <si>
    <t>12-4333-8</t>
  </si>
  <si>
    <t>Инструмент монтажный ЛП-03 160мм REXANT</t>
  </si>
  <si>
    <t>12-4334</t>
  </si>
  <si>
    <t>Спуджер металлический (лопатка двухсторонняя) 170мм REXANT</t>
  </si>
  <si>
    <t>12-4335</t>
  </si>
  <si>
    <t>Спуджер металлический узкий (лопатка двухсторонняя) 170мм REXANT</t>
  </si>
  <si>
    <t>12-4336</t>
  </si>
  <si>
    <t>Спуджер металлический широкий (лопатка двухсторонняя) 170мм REXANT</t>
  </si>
  <si>
    <t>12-4324-8</t>
  </si>
  <si>
    <t>Шило монтажное изогнутое ШМ-04 155мм</t>
  </si>
  <si>
    <t>12-4322-8</t>
  </si>
  <si>
    <t>Шило монтажное прямое ШМ-02 160мм</t>
  </si>
  <si>
    <t>2. 1. 9. 2 Зажимы</t>
  </si>
  <si>
    <t>12-4354-8</t>
  </si>
  <si>
    <t>Зажим монтажный изогнутый 270мм</t>
  </si>
  <si>
    <t>12-4344-8</t>
  </si>
  <si>
    <t>Зажим монтажный прямой 270мм</t>
  </si>
  <si>
    <t>2. 1. 9. 3 Пинцеты</t>
  </si>
  <si>
    <t>12-0385</t>
  </si>
  <si>
    <t>Пинцет изогнутый узкий 120мм легкий REXANT</t>
  </si>
  <si>
    <t>12-0378</t>
  </si>
  <si>
    <t>Пинцет изогнутый, узкий 125мм REXANT</t>
  </si>
  <si>
    <t>12-0355</t>
  </si>
  <si>
    <t>Пинцет изогнутый, узкий, фиксатор, рифленый 155мм ПРОФИ</t>
  </si>
  <si>
    <t>12-0370</t>
  </si>
  <si>
    <t>Пинцет прямой 120мм REXANT</t>
  </si>
  <si>
    <t>12-0372</t>
  </si>
  <si>
    <t>Пинцет прямой 120мм (блистер) REXANT</t>
  </si>
  <si>
    <t>12-0373</t>
  </si>
  <si>
    <t>Пинцет прямой 130мм REXANT</t>
  </si>
  <si>
    <t>12-0371</t>
  </si>
  <si>
    <t>Пинцет прямой 140мм REXANT</t>
  </si>
  <si>
    <t>12-0381</t>
  </si>
  <si>
    <t>Пинцет прямой 160мм REXANT</t>
  </si>
  <si>
    <t>12-0369</t>
  </si>
  <si>
    <t>Пинцет прямой рифленый 250мм ПРОФИ</t>
  </si>
  <si>
    <t>12-0377</t>
  </si>
  <si>
    <t>Пинцет прямой с закругленными кончиками 125мм REXANT</t>
  </si>
  <si>
    <t>12-0376</t>
  </si>
  <si>
    <t>Пинцет прямой с острыми кончиками 125мм REXANT</t>
  </si>
  <si>
    <t>12-0360</t>
  </si>
  <si>
    <t>Пинцет прямой, рифленый 125мм REXANT</t>
  </si>
  <si>
    <t>12-0365</t>
  </si>
  <si>
    <t>Пинцет прямой, рифленый 155мм ПРОФИ</t>
  </si>
  <si>
    <t>12-0366</t>
  </si>
  <si>
    <t>Пинцет прямой, рифленый 160мм REXANT</t>
  </si>
  <si>
    <t>12-0368</t>
  </si>
  <si>
    <t>Пинцет прямой, рифленый 200мм REXANT</t>
  </si>
  <si>
    <t>12-0380</t>
  </si>
  <si>
    <t>Пинцет прямой узкий 140мм легкий REXANT</t>
  </si>
  <si>
    <t>12-0346</t>
  </si>
  <si>
    <t>Пинцет прямой, узкий, рифленый 145мм ПРОФИ</t>
  </si>
  <si>
    <t>12-0340</t>
  </si>
  <si>
    <t>Пинцет прямой, узкий, фиксатор, рифленый 100мм ПРОФИ</t>
  </si>
  <si>
    <t>2. 1.10 Инструмент для маркировки</t>
  </si>
  <si>
    <t>2. 1.10. 2 Маркер-краска</t>
  </si>
  <si>
    <t>09-3991</t>
  </si>
  <si>
    <t>Маркер эмаль 1-2мм (для печатных плат) чёрный Edding-791</t>
  </si>
  <si>
    <t>08-7605</t>
  </si>
  <si>
    <t>Маркер-краска 4мм, нитрооснова, белый MunHwa</t>
  </si>
  <si>
    <t>08-7601</t>
  </si>
  <si>
    <t>Маркер-краска 4мм, нитрооснова, черный MunHwa</t>
  </si>
  <si>
    <t>08-7205</t>
  </si>
  <si>
    <t>Маркер-краска Extra Fine Paint Marker 1мм, нитрооснова, белый MunHwa</t>
  </si>
  <si>
    <t>08-7405</t>
  </si>
  <si>
    <t>Маркер-краска Slim 2мм, нитрооснова, белый MunHwa</t>
  </si>
  <si>
    <t>2. 1.10. 3 Маркеры перманентные</t>
  </si>
  <si>
    <t>09-3993</t>
  </si>
  <si>
    <t>Маркер перманентный 0,75мм (для рисунка печатных плат) черный Edding-404</t>
  </si>
  <si>
    <t>08-8601</t>
  </si>
  <si>
    <t>Маркер перманентный Multi Marker 3мм, черный, пулевидный Crown</t>
  </si>
  <si>
    <t>08-8801</t>
  </si>
  <si>
    <t>Маркер перманентный Multi Marker Chisel 5мм, черный, скошенный Crown</t>
  </si>
  <si>
    <t>08-8201</t>
  </si>
  <si>
    <t>Маркер перманентный Multi Marker Slim 2мм, черный, пулевидный Crown</t>
  </si>
  <si>
    <t>08-8001</t>
  </si>
  <si>
    <t>Маркер перманентный Multi Marker Super Slim 1мм, черный, пулевидный Crown</t>
  </si>
  <si>
    <t>09-3995</t>
  </si>
  <si>
    <t>Маркер перманентный S 0,3мм (для пленок и ПВХ) черный Edding-140</t>
  </si>
  <si>
    <t>09-3997</t>
  </si>
  <si>
    <t>Набор маркеров 4S 0,3мм (для маркировки кабелей) набор:черный,красный,зеленый,синий Edding-8407</t>
  </si>
  <si>
    <t>2. 1.11 Телескопический инструмент</t>
  </si>
  <si>
    <t>12-4814</t>
  </si>
  <si>
    <t>Захват магнитный гибкий, 465мм (удержание 1кг) REXANT</t>
  </si>
  <si>
    <t>12-4816</t>
  </si>
  <si>
    <t>Захват магнитный цанговый 4 лапки, 610мм, (удержание 2кг) REXANT</t>
  </si>
  <si>
    <t>21.11.2026</t>
  </si>
  <si>
    <t>12-4813</t>
  </si>
  <si>
    <t>Магнит на шарнире телескопический 280-430мм (удержание 450г) REXANT</t>
  </si>
  <si>
    <t>12-4811</t>
  </si>
  <si>
    <t>Магнит телескопический 130-640мм (удержание 1600г) REXANT</t>
  </si>
  <si>
    <t>12-4812</t>
  </si>
  <si>
    <t>Магнит телескопический 160-850мм (удержание 2300г) REXANT</t>
  </si>
  <si>
    <t>12-4822</t>
  </si>
  <si>
    <t>Магнит телескопический и зеркало в наборе (2 пр.) REXANT</t>
  </si>
  <si>
    <t>06.12.2026</t>
  </si>
  <si>
    <t>12-4801</t>
  </si>
  <si>
    <t>Зеркало телескопическое диаметром 57мм на (240-920мм) REXANT</t>
  </si>
  <si>
    <t>2. 1.12 Инструмент для ремонта мобильной техники</t>
  </si>
  <si>
    <t>12-4786</t>
  </si>
  <si>
    <t>Инструмент для вскрытия корпусов мобильной техники RA-06 REXANT</t>
  </si>
  <si>
    <t>12-4784</t>
  </si>
  <si>
    <t>Набор инструментов для вскрытия корпусов мобильной техники 10 предметов RA-04 REXANT</t>
  </si>
  <si>
    <t>12-4785</t>
  </si>
  <si>
    <t>Набор инструментов для вскрытия корпусов мобильной техники 6 предметов RA-05 REXANT</t>
  </si>
  <si>
    <t>2. 1.13 Тиски, струбцины, зажимы</t>
  </si>
  <si>
    <t>12-4664</t>
  </si>
  <si>
    <t>Зажим ручной 125мм REXANT</t>
  </si>
  <si>
    <t>12-4665</t>
  </si>
  <si>
    <t>Зажим ручной 175мм REXANT</t>
  </si>
  <si>
    <t>12-5703</t>
  </si>
  <si>
    <t>Струбцина G-образная 100мм REXANT</t>
  </si>
  <si>
    <t>12-5705</t>
  </si>
  <si>
    <t>Струбцина G-образная 125мм REXANT</t>
  </si>
  <si>
    <t>12-5706</t>
  </si>
  <si>
    <t>Струбцина G-образная 150мм REXANT</t>
  </si>
  <si>
    <t>12-5701</t>
  </si>
  <si>
    <t>Струбцина G-образная 50мм REXANT</t>
  </si>
  <si>
    <t>12-5702</t>
  </si>
  <si>
    <t>Струбцина G-образная 75мм REXANT</t>
  </si>
  <si>
    <t>KR-12-5101</t>
  </si>
  <si>
    <t>Тиски слесарные 100мм, поворотные, с наковальней KRANZ</t>
  </si>
  <si>
    <t>2. 1.14 Ударно-забивной инструмент</t>
  </si>
  <si>
    <t>KR-12-8152</t>
  </si>
  <si>
    <t>Киянка резиновая 225 г, черно-белая резина, фибергласовая рукоятка KRANZ</t>
  </si>
  <si>
    <t>KR-12-8153</t>
  </si>
  <si>
    <t>Киянка резиновая 450 г, черно-белая резина, фибергласовая рукоятка KRANZ</t>
  </si>
  <si>
    <t>KR-12-8144</t>
  </si>
  <si>
    <t>Киянка резиновая 680 г, черная резина, деревянная рукоятка KRANZ</t>
  </si>
  <si>
    <t>KR-12-8154</t>
  </si>
  <si>
    <t>Киянка резиновая 680 г, черно-белая резина, фибергласовая рукоятка KRANZ</t>
  </si>
  <si>
    <t>12-8131</t>
  </si>
  <si>
    <t>Кувалда с фибергласовой обрезиненной рукояткой 1500г REXANT</t>
  </si>
  <si>
    <t>12-8133</t>
  </si>
  <si>
    <t>Кувалда с фибергласовой обрезиненной рукояткой 3000г REXANT</t>
  </si>
  <si>
    <t>12-8134</t>
  </si>
  <si>
    <t>Кувалда с фибергласовой обрезиненной рукояткой 4000г REXANT</t>
  </si>
  <si>
    <t>12-8135</t>
  </si>
  <si>
    <t>Кувалда с фибергласовой обрезиненной рукояткой 5000г REXANT</t>
  </si>
  <si>
    <t>12-8113</t>
  </si>
  <si>
    <t>Молоток 300г фибергласовая рукоятка REXANT</t>
  </si>
  <si>
    <t>12-8114</t>
  </si>
  <si>
    <t>Молоток 400г фибергласовая рукоятка REXANT</t>
  </si>
  <si>
    <t>12-8115</t>
  </si>
  <si>
    <t>Молоток 500г фибергласовая рукоятка REXANT</t>
  </si>
  <si>
    <t>12-8116</t>
  </si>
  <si>
    <t>Молоток 600г фибергласовая рукоятка REXANT</t>
  </si>
  <si>
    <t>12-8118</t>
  </si>
  <si>
    <t>Молоток 800г фибергласовая рукоятка REXANT</t>
  </si>
  <si>
    <t>12-8103</t>
  </si>
  <si>
    <t>Молоток слесарный с деревянной рукояткой 300г REXANT</t>
  </si>
  <si>
    <t>12-8104</t>
  </si>
  <si>
    <t>Молоток слесарный с деревянной рукояткой 400г REXANT</t>
  </si>
  <si>
    <t>12-8105</t>
  </si>
  <si>
    <t>Молоток слесарный с деревянной рукояткой 500г REXANT</t>
  </si>
  <si>
    <t>12-8106</t>
  </si>
  <si>
    <t>Молоток слесарный с деревянной рукояткой 600г REXANT</t>
  </si>
  <si>
    <t>12-8108</t>
  </si>
  <si>
    <t>Молоток слесарный с деревянной рукояткой 800г REXANT</t>
  </si>
  <si>
    <t>12-8121</t>
  </si>
  <si>
    <t>Молоток-гвоздодер 450г фибергласовая рукоятка REXANT</t>
  </si>
  <si>
    <t>2. 1.15 Пилы и ножовки</t>
  </si>
  <si>
    <t>12-8201</t>
  </si>
  <si>
    <t>Лобзик 200мм REXANT</t>
  </si>
  <si>
    <t>12-8221</t>
  </si>
  <si>
    <t>Ножовка по гипсокартону 180мм, двухкомпонентная рукоятка REXANT</t>
  </si>
  <si>
    <t>12-8212</t>
  </si>
  <si>
    <t>Ножовка по дереву Зубец 350мм, 7-8 зубьев на дюйм, каленый зуб 2D, двухкомпонентная рукоятка REXANT</t>
  </si>
  <si>
    <t>12-8213</t>
  </si>
  <si>
    <t>Ножовка по дереву Зубец 400мм, 7-8 зубьев на дюйм, каленый зуб 2D, двухкомпонентная рукоятка REXANT</t>
  </si>
  <si>
    <t>12-8214</t>
  </si>
  <si>
    <t>Ножовка по дереву Зубец 450мм, 7-8 зубьев на дюйм, каленый зуб 2D, двухкомпонентная рукоятка REXANT</t>
  </si>
  <si>
    <t>12-8215</t>
  </si>
  <si>
    <t>Ножовка по дереву Зубец 500мм, 7-8 зубьев на дюйм, каленый зуб 2D, двухкомпонентная рукоятка REXANT</t>
  </si>
  <si>
    <t>12-8225</t>
  </si>
  <si>
    <t>Ножовка по пенобетону 500мм, защитное покрытие, твердосплавные напайки на зубья, двухкомпонентная рукоятка REXANT</t>
  </si>
  <si>
    <t>12-8227</t>
  </si>
  <si>
    <t>Ножовка по пенобетону 700мм, защитное покрытие, твердосплавные напайки на зубья, двухкомпонентная рукоятка REXANT</t>
  </si>
  <si>
    <t>12-8229</t>
  </si>
  <si>
    <t>Пила для фанеры с запилом 330мм, двухкомпонентная рукоятка REXANT</t>
  </si>
  <si>
    <t>2. 1.16 Надфили и напильники</t>
  </si>
  <si>
    <t>KR-12-4115</t>
  </si>
  <si>
    <t>Набор надфилей алмазных 140х70х3мм, 10 шт. KRANZ</t>
  </si>
  <si>
    <t>KR-12-4111</t>
  </si>
  <si>
    <t>Набор надфилей алмазных KRANZ 140х50х3 мм, 5 шт.</t>
  </si>
  <si>
    <t>2. 2 Электромонтажный инструмент</t>
  </si>
  <si>
    <t>2. 2. 1 Обжим изолированных клемм (НКи, НВи, РПи, РППи, РШПи, ГСи)</t>
  </si>
  <si>
    <t>12-3014-4</t>
  </si>
  <si>
    <t>Кримпер для обжима изолированных автоклемм 0,5-6,0мм² PROconnect</t>
  </si>
  <si>
    <t>12-3014</t>
  </si>
  <si>
    <t>Кримпер для обжима изолированных автоклемм 0,5-6,0мм² REXANT</t>
  </si>
  <si>
    <t>12-3016-4</t>
  </si>
  <si>
    <t>Кримпер для обжима изолированных и неизолированных гильз 0,5-10,0мм² PROconnect</t>
  </si>
  <si>
    <t>12-3016</t>
  </si>
  <si>
    <t>Кримпер для обжима изолированных и неизолированных гильз 0,5-10,0мм² REXANT</t>
  </si>
  <si>
    <t>12-3021</t>
  </si>
  <si>
    <t>Кримпер для обжима изолированных клемм 0,5-6,0мм² REXANT</t>
  </si>
  <si>
    <t>2. 2. 2 Обжим неизолированных клемм (НК, НВ, РП, РПП, РШП, ГС)</t>
  </si>
  <si>
    <t>12-3032-4</t>
  </si>
  <si>
    <t>Кримпер для обжима автоклемм 0,10-6,0мм² PROconnect</t>
  </si>
  <si>
    <t>12-3032</t>
  </si>
  <si>
    <t>Кримпер для обжима автоклемм 0,10-6,0мм² REXANT</t>
  </si>
  <si>
    <t>12-3031-4</t>
  </si>
  <si>
    <t>Кримпер для обжима автоклемм 0,35-6,0мм² PROconnect</t>
  </si>
  <si>
    <t>12-3033</t>
  </si>
  <si>
    <t>Кримпер для обжима наконечников и зачистки проводов REXANT</t>
  </si>
  <si>
    <t>12-3001-4</t>
  </si>
  <si>
    <t>Кримпер для обжима неизолированных автоклемм 0,5-6,0мм² PROconnect</t>
  </si>
  <si>
    <t>12-3001</t>
  </si>
  <si>
    <t>Кримпер для обжима неизолированных автоклемм 0,5-6,0мм² REXANT</t>
  </si>
  <si>
    <t>12-3031</t>
  </si>
  <si>
    <t>Кримпер для обжима неизолированных клемм 0,35-6,0мм² REXANT</t>
  </si>
  <si>
    <t>2. 2. 3 Прессы механические для опрессовки силовых наконечников и гильз ТМ, ТМЛ, ГМ, ГМЛ</t>
  </si>
  <si>
    <t>12-3041</t>
  </si>
  <si>
    <t>Кримпер для обжима неизолированных наконечников и гильз 1,5-16,0мм² REXANT</t>
  </si>
  <si>
    <t>12-3051</t>
  </si>
  <si>
    <t>Кримпер для обжима неизолированных наконечников и гильз 6,0-26,0мм² REXANT</t>
  </si>
  <si>
    <t>12-3057</t>
  </si>
  <si>
    <t>Кримпер для обжима силовых наконечников и гильз 16-120мм² REXANT</t>
  </si>
  <si>
    <t>12-3055</t>
  </si>
  <si>
    <t>Кримпер для обжима силовых наконечников и гильз 6,0-50,0мм² REXANT</t>
  </si>
  <si>
    <t>12-3058</t>
  </si>
  <si>
    <t>Пресс механический универсальный для клиновидной опрессовки наконечников 10-120мм² REXANT</t>
  </si>
  <si>
    <t>12-3059</t>
  </si>
  <si>
    <t>Пресс механический универсальный для клиновидной опрессовки наконечников 10-300 мм² REXANT</t>
  </si>
  <si>
    <t>12-3071</t>
  </si>
  <si>
    <t>Пресс-клещи для обжима металлопластиковых труб REXANT</t>
  </si>
  <si>
    <t>2. 2. 4 Прессы гидравлические для опрессовки силовых наконечников и гильз ТМ, ТМЛ, ГМ, ГМЛ</t>
  </si>
  <si>
    <t>12-3062</t>
  </si>
  <si>
    <t>Пресс гидравлический CT-120 для наконечников 10-120мм² REXANT</t>
  </si>
  <si>
    <t>12-3063</t>
  </si>
  <si>
    <t>Пресс гидравлический CT-240 для наконечников 16-240мм² REXANT</t>
  </si>
  <si>
    <t>12-3064</t>
  </si>
  <si>
    <t>Пресс гидравлический CT-300 для наконечников 10-300мм² REXANT</t>
  </si>
  <si>
    <t>12-3061</t>
  </si>
  <si>
    <t>Пресс гидравлический CT-70 для наконечников 4-70мм² REXANT</t>
  </si>
  <si>
    <t>2. 2. 5 Обжим штыревых наконечников НШВ, НШВи, НШВи (2)</t>
  </si>
  <si>
    <t>12-3222</t>
  </si>
  <si>
    <t>Кримпер для обжима двойных штыревых наконечников 2x(0,5-6,0)мм² REXANT</t>
  </si>
  <si>
    <t>12-3303</t>
  </si>
  <si>
    <t>Кримпер для обжима штыревых наконечников 0,08-10 мм² REXANT</t>
  </si>
  <si>
    <t>12-3304</t>
  </si>
  <si>
    <t>Кримпер для обжима штыревых наконечников 0,08-10,0 мм², шестисегментная матрица REXANT</t>
  </si>
  <si>
    <t>12-3210-1</t>
  </si>
  <si>
    <t>Кримпер для обжима штыревых наконечников 0,08-10,0мм² с регулятором прижимного усилия, шестисегментная матрица REXANT</t>
  </si>
  <si>
    <t>12-3306</t>
  </si>
  <si>
    <t>Кримпер для обжима штыревых наконечников 0,08-16,0 мм², шестисегментная матрица REXANT</t>
  </si>
  <si>
    <t>12-3216-1</t>
  </si>
  <si>
    <t>Кримпер для обжима штыревых наконечников 0,08-16,0мм² с регулятором прижимного усилия REXANT</t>
  </si>
  <si>
    <t>12-3202-4</t>
  </si>
  <si>
    <t>Кримпер для обжима штыревых наконечников 0,25-10,0мм² PROconnect</t>
  </si>
  <si>
    <t>12-3202</t>
  </si>
  <si>
    <t>Кримпер для обжима штыревых наконечников 0,25-6,0мм² REXANT</t>
  </si>
  <si>
    <t>12-3013-4</t>
  </si>
  <si>
    <t>Кримпер для обжима штыревых наконечников 0,5-4,0мм² PROconnect</t>
  </si>
  <si>
    <t>12-3013</t>
  </si>
  <si>
    <t>Кримпер для обжима штыревых наконечников 0,5-4,0мм² REXANT</t>
  </si>
  <si>
    <t>12-3019-4</t>
  </si>
  <si>
    <t>Кримпер для обжима штыревых наконечников 4,0-16,0мм² PROconnect</t>
  </si>
  <si>
    <t>12-3019</t>
  </si>
  <si>
    <t>Кримпер для обжима штыревых наконечников 4,0-16,0мм² REXANT</t>
  </si>
  <si>
    <t>12-3206</t>
  </si>
  <si>
    <t>Кримпер для обжима штыревых наконечников 6,0-16,0мм² REXANT</t>
  </si>
  <si>
    <t>12-3205-4</t>
  </si>
  <si>
    <t>Кримпер для обжима штыревых наконечников, шестисегментная матрица, 0,25-6,0мм² PROconnect</t>
  </si>
  <si>
    <t>12-3205</t>
  </si>
  <si>
    <t>Кримпер для обжима штыревых наконечников, шестисегментная матрица, 0,25-6,0мм² REXANT</t>
  </si>
  <si>
    <t>12-3219</t>
  </si>
  <si>
    <t>Кримпер комбинированный для обжима изолированных и штыревых наконечников 0,5 - 2,5мм² REXANT</t>
  </si>
  <si>
    <t>12-3220</t>
  </si>
  <si>
    <t>Пресс механический для обжима втулочных наконечников 10-50мм² REXANT</t>
  </si>
  <si>
    <t>12-3208</t>
  </si>
  <si>
    <t>Пресс-клещи для обжима втулочных наконечников 0,5-16мм² REXANT</t>
  </si>
  <si>
    <t>12-3209</t>
  </si>
  <si>
    <t>Пресс-клещи для обжима втулочных наконечников 10-35мм² REXANT</t>
  </si>
  <si>
    <t>2. 2. 6 Обжим коаксиальных разъемов F и BNC</t>
  </si>
  <si>
    <t>12-3214</t>
  </si>
  <si>
    <t>Кримпер для обжима F и BNC разъемов типа RG-58, RG-59, RG-62 с размером обжимного профиля: 6.5, 5.4, 1.72 мм² REXANT</t>
  </si>
  <si>
    <t>12-3015</t>
  </si>
  <si>
    <t>Кримпер для обжима F и BNC разъемов типа RG-58, RG-59, RG-62, RG-8X, RG-174 с размером обжимного профиля: 8.1, 6.5, 5.4, 2.6, 1.72 мм² REXANT</t>
  </si>
  <si>
    <t>12-3204</t>
  </si>
  <si>
    <t>Кримпер для обжима F и BNC разъемов типа RG-58, RG-6, RG-11, RG-213 REXANT</t>
  </si>
  <si>
    <t>12-3213</t>
  </si>
  <si>
    <t>Кримпер для обжима F и BNC разъемов типа RG-6, RG-58, RG-59, RG-62 с размером обжимного профиля: 6.5, 5.4, 3.2, 1.72, 1.0 мм² REXANT</t>
  </si>
  <si>
    <t>2. 2. 7 Обжим компьютерных и телефонных разъемов RJ</t>
  </si>
  <si>
    <t>12-3442</t>
  </si>
  <si>
    <t>Кримпер для обжима 10P10C, 8P8C, 6P6C, 4P4C REXANT</t>
  </si>
  <si>
    <t>12-3451-4</t>
  </si>
  <si>
    <t>Кримпер для обжима 8P8C PROconnect</t>
  </si>
  <si>
    <t>12-3451</t>
  </si>
  <si>
    <t>Кримпер для обжима 8P8C REXANT</t>
  </si>
  <si>
    <t>12-3434-4</t>
  </si>
  <si>
    <t>Кримпер для обжима 8P8C, 6P4C PROconnect</t>
  </si>
  <si>
    <t>12-3434</t>
  </si>
  <si>
    <t>Кримпер для обжима 8P8C, 6P4C REXANT</t>
  </si>
  <si>
    <t>12-3432-4</t>
  </si>
  <si>
    <t>Кримпер для обжима 8P8C, 6P6C PROconnect</t>
  </si>
  <si>
    <t>12-3432-6</t>
  </si>
  <si>
    <t>12-3432</t>
  </si>
  <si>
    <t>Кримпер для обжима 8P8C, 6P6C REXANT</t>
  </si>
  <si>
    <t>12-3442-4</t>
  </si>
  <si>
    <t>Кримпер для обжима 8P8C, 6P6C, 4P4C PROconnect</t>
  </si>
  <si>
    <t>12-3441-4</t>
  </si>
  <si>
    <t>Кримпер для обжима 8P8C, 6P6C, 4P4C PROconnect</t>
  </si>
  <si>
    <t>12-3443</t>
  </si>
  <si>
    <t>Кримпер для обжима 8P8C, 6P6C, 4P4C REXANT</t>
  </si>
  <si>
    <t>12-3441</t>
  </si>
  <si>
    <t>Кримпер для обжима 8P8C, 6P6C, 4P4C, заделка витой пары REXANT</t>
  </si>
  <si>
    <t>12-3435</t>
  </si>
  <si>
    <t>Кримпер для обжима 8P8C, 6P6C, 6P4C, 6P2C REXANT</t>
  </si>
  <si>
    <t>12-3450-4</t>
  </si>
  <si>
    <t>Кримпер для обжима 8P8C/6P6C REXANT</t>
  </si>
  <si>
    <t>12-3453</t>
  </si>
  <si>
    <t>Кримпер ПРОФИ для обжима торцевой 8P8C REXANT</t>
  </si>
  <si>
    <t>12-3442-1</t>
  </si>
  <si>
    <t>Кримпер ТАЙВАНЬ для обжима 10P10C, 8P8C, 6P6C, 4P4C REXANT</t>
  </si>
  <si>
    <t>12-3434-1</t>
  </si>
  <si>
    <t>Кримпер ТАЙВАНЬ для обжима 8P8C, 6P4C REXANT</t>
  </si>
  <si>
    <t>12-3432-1</t>
  </si>
  <si>
    <t>Кримпер ТАЙВАНЬ для обжима 8P8C, 6P6C REXANT</t>
  </si>
  <si>
    <t>2. 2. 8 Инструмент для зачистки кабеля (стрипперы)</t>
  </si>
  <si>
    <t>12-4005-6</t>
  </si>
  <si>
    <t>Инструмент для зачистки кабеля 0,2-6,0 мм² и обжима наконечников PROconnect</t>
  </si>
  <si>
    <t>12-4005</t>
  </si>
  <si>
    <t>Инструмент для зачистки кабеля 0,2-6,0мм² и обжима наконечников REXANT</t>
  </si>
  <si>
    <t>12-4015-4</t>
  </si>
  <si>
    <t>Инструмент для зачистки кабеля 0,2-6мм² PROconnect</t>
  </si>
  <si>
    <t>12-4025</t>
  </si>
  <si>
    <t>Инструмент для зачистки кабеля 0,20-1,25мм² REXANT</t>
  </si>
  <si>
    <t>12-4026</t>
  </si>
  <si>
    <t>Инструмент для зачистки кабеля 0,25-0,65мм² REXANT</t>
  </si>
  <si>
    <t>12-4004</t>
  </si>
  <si>
    <t>Инструмент для зачистки кабеля 0,3-6мм² REXANT</t>
  </si>
  <si>
    <t>12-4022</t>
  </si>
  <si>
    <t>Инструмент для зачистки кабеля 0,5-1,6мм² REXANT</t>
  </si>
  <si>
    <t>12-4002</t>
  </si>
  <si>
    <t>Инструмент для зачистки кабеля 0,5-2,0мм² REXANT</t>
  </si>
  <si>
    <t>12-4031</t>
  </si>
  <si>
    <t>Инструмент для зачистки кабеля 0,5-4,0мм² REXANT</t>
  </si>
  <si>
    <t>12-4021</t>
  </si>
  <si>
    <t>Инструмент для зачистки кабеля 0,6-2,6мм² REXANT</t>
  </si>
  <si>
    <t>12-4024</t>
  </si>
  <si>
    <t>Инструмент для зачистки кабеля 0,9-6,0мм² REXANT</t>
  </si>
  <si>
    <t>12-4003</t>
  </si>
  <si>
    <t>Инструмент для зачистки кабеля 1,0-3,2мм² REXANT</t>
  </si>
  <si>
    <t>12-4005-4</t>
  </si>
  <si>
    <t>Инструмент для зачистки кабеля и обжима наконечников PROconnect</t>
  </si>
  <si>
    <t>12-4001-4</t>
  </si>
  <si>
    <t>Инструмент для зачистки многожильного кабеля PROconnect</t>
  </si>
  <si>
    <t>12-4001</t>
  </si>
  <si>
    <t>Инструмент для зачистки многожильного кабеля REXANT</t>
  </si>
  <si>
    <t>12-4052</t>
  </si>
  <si>
    <t>Инструмент для продольной зачистки кабеля 4,5-25,0мм² REXANT</t>
  </si>
  <si>
    <t>12-4054</t>
  </si>
  <si>
    <t>Инструмент для продольной и поперечной зачистки кабеля от 25мм REXANT</t>
  </si>
  <si>
    <t>12-4646</t>
  </si>
  <si>
    <t>Плоскогубцы для зачистки проводов 160мм никелированные, двухкомпонентные рукоятки REXANT</t>
  </si>
  <si>
    <t>2. 2. 9 Зачистка витой пары и коаксиального кабеля</t>
  </si>
  <si>
    <t>12-4042-4</t>
  </si>
  <si>
    <t>Инструмент для зачистки и обрезки витой пары PROconnect</t>
  </si>
  <si>
    <t>12-4042</t>
  </si>
  <si>
    <t>Инструмент для зачистки и обрезки витой пары REXANT</t>
  </si>
  <si>
    <t>12-4016-4</t>
  </si>
  <si>
    <t>Инструмент для зачистки и обрезки кабелей RG-58, RG-59, RG-6, RG-11 REXANT</t>
  </si>
  <si>
    <t>12-4011</t>
  </si>
  <si>
    <t>Инструмент для зачистки коаксиального кабеля RG-58, RG-59, RG-6 REXANT</t>
  </si>
  <si>
    <t>2. 2.10 Инструмент для заделки кабеля</t>
  </si>
  <si>
    <t>12-4201-4</t>
  </si>
  <si>
    <t>Инструмент для заделки витой пары, 110 типа контактов  PROconnect</t>
  </si>
  <si>
    <t>12-4221</t>
  </si>
  <si>
    <t>Инструмент для заделки витой пары, 110 типа контактов REXANT</t>
  </si>
  <si>
    <t>12-4201</t>
  </si>
  <si>
    <t>Инструмент для заделки и обрезки витой пары, 110 типа контактов REXANT</t>
  </si>
  <si>
    <t>12-4231</t>
  </si>
  <si>
    <t>Инструмент для заделки и обрезки витой пары, 110 типа контактов мини REXANT</t>
  </si>
  <si>
    <t>12-4222</t>
  </si>
  <si>
    <t>Инструмент для заделки и обрезки витой пары, 110-го типа контактов REXANT</t>
  </si>
  <si>
    <t>2. 2.11 Кабелерезы, троссорезы, кабельные ножницы</t>
  </si>
  <si>
    <t>12-4972</t>
  </si>
  <si>
    <t>Болторез с двойным рычагом, 450мм, 18" REXANT</t>
  </si>
  <si>
    <t>12-4973</t>
  </si>
  <si>
    <t>Болторез с двойным рычагом, 600мм, 24" REXANT</t>
  </si>
  <si>
    <t>12-4974</t>
  </si>
  <si>
    <t>Болторез с двойным рычагом, 760мм, 30" REXANT</t>
  </si>
  <si>
    <t>12-4975</t>
  </si>
  <si>
    <t>Болторез с двойным рычагом, 900мм, 36" REXANT</t>
  </si>
  <si>
    <t>12-4947</t>
  </si>
  <si>
    <t>Гидравлические ножницы, диаметр до 50мм REXANT</t>
  </si>
  <si>
    <t>12-4402</t>
  </si>
  <si>
    <t>Инструмент для обрезки кабеля 32,0-240мм² REXANT</t>
  </si>
  <si>
    <t>12-4626</t>
  </si>
  <si>
    <t>Кабелерез 180мм никелированный, двухкомпонентные рукоятки REXANT</t>
  </si>
  <si>
    <t>12-4627</t>
  </si>
  <si>
    <t>Кабелерез 200мм никелированный, обливные рукоятки REXANT</t>
  </si>
  <si>
    <t>12-4628</t>
  </si>
  <si>
    <t>Кабелерез 250мм никелированный, обливные рукоятки REXANT</t>
  </si>
  <si>
    <t>12-5420</t>
  </si>
  <si>
    <t>Кабелерез диаметр до 25мм REXANT</t>
  </si>
  <si>
    <t>12-5421</t>
  </si>
  <si>
    <t>Кабелерез диаметр до 35мм REXANT</t>
  </si>
  <si>
    <t>12-5412</t>
  </si>
  <si>
    <t>Кабелерез МАСТЕР диаметр до 13,5мм, с функцией зачистки кабеля 0,5-6мм² REXANT</t>
  </si>
  <si>
    <t>12-4948</t>
  </si>
  <si>
    <t>Ножницы секторные, диаметр до 75мм REXANT</t>
  </si>
  <si>
    <t>12-4945</t>
  </si>
  <si>
    <t>Ножницы универсальные 140мм REXANT</t>
  </si>
  <si>
    <t>2. 2.12 Ножи монтажные</t>
  </si>
  <si>
    <t>12-4931</t>
  </si>
  <si>
    <t>Нож монтажный, нержавеющая сталь, двухсторонняя заточка, лезвие 33мм REXANT</t>
  </si>
  <si>
    <t>12-4932</t>
  </si>
  <si>
    <t>Нож монтажный, нержавеющая сталь, лезвие 42мм REXANT</t>
  </si>
  <si>
    <t>12-4933</t>
  </si>
  <si>
    <t>Нож монтажный, нержавеющая сталь, лезвие 50мм REXANT</t>
  </si>
  <si>
    <t>12-4936</t>
  </si>
  <si>
    <t>Нож монтажный, нержавеющая сталь, прямое лезвие REXANT</t>
  </si>
  <si>
    <t>12-4935</t>
  </si>
  <si>
    <t>Нож монтажный, нержавеющая сталь, с пяткой REXANT</t>
  </si>
  <si>
    <t>12-4937</t>
  </si>
  <si>
    <t>Нож монтажный, нержавеющая сталь, изогнутое лезвие, до 1000В REXANT</t>
  </si>
  <si>
    <t>2. 2.13 Инструмент для стяжек</t>
  </si>
  <si>
    <t>12-4522</t>
  </si>
  <si>
    <t>Инструмент для монтажа стальных стяжек 4,6-7,9мм REXANT</t>
  </si>
  <si>
    <t>12-4524</t>
  </si>
  <si>
    <t>Инструмент для монтажа стяжек 2,4-10мм REXANT</t>
  </si>
  <si>
    <t>07-1601</t>
  </si>
  <si>
    <t>Инструмент для натяжения стальной ленты REXANT</t>
  </si>
  <si>
    <t>07-1600</t>
  </si>
  <si>
    <t>Инструмент с храповым механизмом для натяжения стальной ленты REXANT</t>
  </si>
  <si>
    <t>12-4541</t>
  </si>
  <si>
    <t>Монтажный инструмент ПС-100 для стяжек REXANT</t>
  </si>
  <si>
    <t>12-4521</t>
  </si>
  <si>
    <t>Монтажный инструмент ПС-600А для стяжек REXANT</t>
  </si>
  <si>
    <t>2. 2.14 Устройство закладки кабеля (протяжки кабельные)</t>
  </si>
  <si>
    <t>47-1010-6</t>
  </si>
  <si>
    <t>Протяжка кабельная (мини-УЗК в бухте), стеклопруток, ø3,0мм, 10м PROconnect</t>
  </si>
  <si>
    <t>47-1015-6</t>
  </si>
  <si>
    <t>Протяжка кабельная (мини-УЗК в бухте), стеклопруток, ø3,0мм, 15м PROconnect</t>
  </si>
  <si>
    <t>47-1005-6</t>
  </si>
  <si>
    <t>Протяжка кабельная (мини-УЗК в бухте), стеклопруток, ø3,0мм, 5м PROconnect</t>
  </si>
  <si>
    <t>47-1100</t>
  </si>
  <si>
    <t>Протяжка кабельная (мини-УЗК в бухте), стеклопруток, ø3,5мм, 100м, красная REXANT</t>
  </si>
  <si>
    <t>47-1010</t>
  </si>
  <si>
    <t>Протяжка кабельная (мини-УЗК в бухте), стеклопруток, ø3,5мм, 10м, красная REXANT</t>
  </si>
  <si>
    <t>47-1015</t>
  </si>
  <si>
    <t>Протяжка кабельная (мини-УЗК в бухте), стеклопруток, ø3,5мм, 15м, красная REXANT</t>
  </si>
  <si>
    <t>47-1020</t>
  </si>
  <si>
    <t>Протяжка кабельная (мини-УЗК в бухте), стеклопруток, ø3,5мм, 20м, красная REXANT</t>
  </si>
  <si>
    <t>47-1025</t>
  </si>
  <si>
    <t>Протяжка кабельная (мини-УЗК в бухте), стеклопруток, ø3,5мм, 25м, красная REXANT</t>
  </si>
  <si>
    <t>47-1030</t>
  </si>
  <si>
    <t>Протяжка кабельная (мини-УЗК в бухте), стеклопруток, ø3,5мм, 30м, красная REXANT</t>
  </si>
  <si>
    <t>47-1003</t>
  </si>
  <si>
    <t>Протяжка кабельная (мини-УЗК в бухте), стеклопруток, ø3,5мм, 3м, красная REXANT</t>
  </si>
  <si>
    <t>47-1050</t>
  </si>
  <si>
    <t>Протяжка кабельная (мини-УЗК в бухте), стеклопруток, ø3,5мм, 50м, красная REXANT</t>
  </si>
  <si>
    <t>47-1005</t>
  </si>
  <si>
    <t>Протяжка кабельная (мини-УЗК в бухте), стеклопруток, ø3,5мм, 5м, красная REXANT</t>
  </si>
  <si>
    <t>47-1070</t>
  </si>
  <si>
    <t>Протяжка кабельная (мини-УЗК в бухте), стеклопруток, ø3,5мм, 70м, красная REXANT</t>
  </si>
  <si>
    <t>47-1007</t>
  </si>
  <si>
    <t>Протяжка кабельная (мини-УЗК в бухте), стеклопруток, ø3,5мм, 7м, красная REXANT</t>
  </si>
  <si>
    <t>47-2030</t>
  </si>
  <si>
    <t>Протяжка кабельная (УЗК в напольной катушке), стеклопруток, ø6,0мм, 30м, красная REXANT</t>
  </si>
  <si>
    <t>47-1110</t>
  </si>
  <si>
    <t>Протяжка кабельная (УЗК в тележке), стеклопруток, ø11,0мм, 100м, красная REXANT</t>
  </si>
  <si>
    <t>47-1115</t>
  </si>
  <si>
    <t>Протяжка кабельная (УЗК в тележке), стеклопруток, ø11,0мм, 150м, красная REXANT</t>
  </si>
  <si>
    <t>47-1200</t>
  </si>
  <si>
    <t>Протяжка кабельная (УЗК в тележке), стеклопруток, ø11,0мм, 200м, красная REXANT</t>
  </si>
  <si>
    <t>47-1250</t>
  </si>
  <si>
    <t>Протяжка кабельная (УЗК в тележке), стеклопруток, ø11,0мм, 250м, красная REXANT</t>
  </si>
  <si>
    <t>47-1300</t>
  </si>
  <si>
    <t>Протяжка кабельная (УЗК в тележке), стеклопруток, ø11,0мм, 300м, красная REXANT</t>
  </si>
  <si>
    <t>47-1150</t>
  </si>
  <si>
    <t>Протяжка кабельная (УЗК в тележке), стеклопруток, ø11,0мм, 50м, красная REXANT</t>
  </si>
  <si>
    <t>2. 2.15 Наборы электромонтажного инструмента</t>
  </si>
  <si>
    <t>12-4006-2</t>
  </si>
  <si>
    <t>Инструмент для зачистки кабеля с набором наконечников 170 шт. и кабельных стяжек 40 шт. REXANT</t>
  </si>
  <si>
    <t>12-3011-2</t>
  </si>
  <si>
    <t>Кримпер для обжима наконечников и разъемов с набором быстросъемных матриц 6 шт. REXANT</t>
  </si>
  <si>
    <t>12-3310-2</t>
  </si>
  <si>
    <t>Кримпер для обжима штыревых наконечников 0,08-10,0 мм² с набором наконечников НШВИ и кабельных стяжек REXANT</t>
  </si>
  <si>
    <t>12-3002-2</t>
  </si>
  <si>
    <t>Кримпер для обжима штыревых наконечников 0,25-10,0 мм² с набором наконечников НШВИ 1200 шт. REXANT</t>
  </si>
  <si>
    <t>12-3205-2</t>
  </si>
  <si>
    <t>Кримпер для обжима штыревых наконечников 0,25-6,0 мм², шестисегментная матрица, с набором наконечников НШВИ 1200 шт. REXANT</t>
  </si>
  <si>
    <t>2. 3 Измерительные приборы и инструмент</t>
  </si>
  <si>
    <t>2. 3. 1 Тестеры состояния кабелей и трассоискатели</t>
  </si>
  <si>
    <t>13-1211</t>
  </si>
  <si>
    <t>Кабельный локатор MS-6818 MASTECH</t>
  </si>
  <si>
    <t>12-1024</t>
  </si>
  <si>
    <t>Кабельный локатор R6818 REXANT</t>
  </si>
  <si>
    <t>17.11.2026</t>
  </si>
  <si>
    <t>13-1093</t>
  </si>
  <si>
    <t>Кабельный тестер-локатор UNI-T UT685KIT TDR</t>
  </si>
  <si>
    <t>12-1009</t>
  </si>
  <si>
    <t>Тестер кабеля многофункциональный RJ-45 828 REXANT</t>
  </si>
  <si>
    <t>10% (31.08 - 13.09) (Измерительные приборы)</t>
  </si>
  <si>
    <t>13.09.26</t>
  </si>
  <si>
    <t>12-1003</t>
  </si>
  <si>
    <t>Тестер кабеля универсальный 5 в 1 RJ-45+RJ-11/RJ-12+1394+USB+BNC 3468 REXANT</t>
  </si>
  <si>
    <t>12-1001</t>
  </si>
  <si>
    <t>Тестер кабеля RJ-45/RJ-12/ RJ-11/BNC  5248 REXANT</t>
  </si>
  <si>
    <t>12-1006-4</t>
  </si>
  <si>
    <t>Тестер кабеля RJ-45+RJ-11/RJ-12 468 PROconnect</t>
  </si>
  <si>
    <t>12-1006</t>
  </si>
  <si>
    <t>Тестер кабеля RJ-45+RJ-11/RJ-12 468 REXANT</t>
  </si>
  <si>
    <t>13-1222</t>
  </si>
  <si>
    <t>Тестер с генератором сигнала MS6810 MASTECH</t>
  </si>
  <si>
    <t>13-1220</t>
  </si>
  <si>
    <t>Тестер-трассоискатель MS6812A с генератором сигнала MASTECH</t>
  </si>
  <si>
    <t>13-1221</t>
  </si>
  <si>
    <t>Тестер трассоискатель с генератором сигнала MS6813 MASTECH</t>
  </si>
  <si>
    <t>13-1091</t>
  </si>
  <si>
    <t>Тестер трассоискатель с генератором сигнала UNI-T UT682</t>
  </si>
  <si>
    <t>13-1090</t>
  </si>
  <si>
    <t>Тестер трассоискатель с генератором сигнала UNI-T UT682D</t>
  </si>
  <si>
    <t>13-1092</t>
  </si>
  <si>
    <t>Тестер трассоискатель с генератором сигнала UNI-T UT683KIT</t>
  </si>
  <si>
    <t>12-1020</t>
  </si>
  <si>
    <t>Тестер-трассоискатель R6812 REXANT</t>
  </si>
  <si>
    <t>12-1016</t>
  </si>
  <si>
    <t>Тестер-трассоискатель R6816 REXANT</t>
  </si>
  <si>
    <t>2. 3. 2 Автотестеры</t>
  </si>
  <si>
    <t>13-2089</t>
  </si>
  <si>
    <t>Автомобильный мультиметр MASTECH MS8239D</t>
  </si>
  <si>
    <t>13-0060</t>
  </si>
  <si>
    <t>Автомобильный мультиметр UNI-T UT107+</t>
  </si>
  <si>
    <t>16-0103</t>
  </si>
  <si>
    <t>Автотестер универсальный металлический REXANT</t>
  </si>
  <si>
    <t>16-0101</t>
  </si>
  <si>
    <t>Автотестер универсальный REXANT</t>
  </si>
  <si>
    <t>16-0102-1</t>
  </si>
  <si>
    <t>Автотестер универсальный черный (ИГЛА) REXANT</t>
  </si>
  <si>
    <t>16-0102</t>
  </si>
  <si>
    <t>Автотестер универсальный со звуковой и световой индикацией 6-24 В REXANT</t>
  </si>
  <si>
    <t>13-1098</t>
  </si>
  <si>
    <t>Толщиномер лакокрасочных покрытий UNI-T UT343D</t>
  </si>
  <si>
    <t>2. 3. 3 Тестеры напряжения</t>
  </si>
  <si>
    <t>13-1251</t>
  </si>
  <si>
    <t>Детектор последовательности фаз MS5900 MASTECH</t>
  </si>
  <si>
    <t>13-1124</t>
  </si>
  <si>
    <t>Детектор последовательности фаз UNI-T UT261B</t>
  </si>
  <si>
    <t>13-1204</t>
  </si>
  <si>
    <t>Индикатор напряжения MS8922A MASTECH</t>
  </si>
  <si>
    <t>13-1018</t>
  </si>
  <si>
    <t>Индикатор напряжения UNI-T UT15C</t>
  </si>
  <si>
    <t>13-1041</t>
  </si>
  <si>
    <t>Индикатор напряжения UNI-T UT18С</t>
  </si>
  <si>
    <t>13-1019</t>
  </si>
  <si>
    <t>Индикатор напряжения UNI-T UT22B-EU</t>
  </si>
  <si>
    <t>12-2050</t>
  </si>
  <si>
    <t>Индикатор напряжения цифровой R-30 REXANT</t>
  </si>
  <si>
    <t>13-1260</t>
  </si>
  <si>
    <t>Тестер розеток MS6860D MASTECH</t>
  </si>
  <si>
    <t>13-1121</t>
  </si>
  <si>
    <t>Тестер розеток UNI-T UT07B-EU</t>
  </si>
  <si>
    <t>13-1262</t>
  </si>
  <si>
    <t>Тестер розеток, детектор автоматов MS5902RTD MASTECH</t>
  </si>
  <si>
    <t>13-1265</t>
  </si>
  <si>
    <t>Тестер розеток, детектор автоматов MS5905RTD MASTECH</t>
  </si>
  <si>
    <t>13-1202</t>
  </si>
  <si>
    <t>Тестер-пробник MS8902A MASTECH</t>
  </si>
  <si>
    <t>12-2031</t>
  </si>
  <si>
    <t>Тестер-пробник P-01 140 мм PROconnect</t>
  </si>
  <si>
    <t>12-2032</t>
  </si>
  <si>
    <t>Тестер-пробник P-02 190 мм PROconnect</t>
  </si>
  <si>
    <t>12-2033</t>
  </si>
  <si>
    <t>Тестер-пробник R-15 190 мм REXANT</t>
  </si>
  <si>
    <t>12-2036</t>
  </si>
  <si>
    <t>Тестер-пробник R-18 REXANT</t>
  </si>
  <si>
    <t>12-2038</t>
  </si>
  <si>
    <t>Тестер-пробник R-20 REXANT</t>
  </si>
  <si>
    <t>12-2035</t>
  </si>
  <si>
    <t>Тестер-пробник R-48 REXANT</t>
  </si>
  <si>
    <t>13-1031</t>
  </si>
  <si>
    <t>Тестер-пробник UNI-T UT12D</t>
  </si>
  <si>
    <t>13-1033</t>
  </si>
  <si>
    <t>Тестер-пробник UNI-T UT12M</t>
  </si>
  <si>
    <t>12-2043</t>
  </si>
  <si>
    <t>Тестер-пробник с комбинированным жалом R-13 REXANT</t>
  </si>
  <si>
    <t>12-2044</t>
  </si>
  <si>
    <t>Тестер-пробник с комбинированным жалом R-14 REXANT</t>
  </si>
  <si>
    <t>12-2042</t>
  </si>
  <si>
    <t>Тестер-пробник с комбинированным жалом R-16 REXANT</t>
  </si>
  <si>
    <t>2. 3. 4 Портативные мультиметры</t>
  </si>
  <si>
    <t>13-3100</t>
  </si>
  <si>
    <t>Мультиметр портативный R109L REXANT</t>
  </si>
  <si>
    <t>13-3109</t>
  </si>
  <si>
    <t>Мультиметр портативный R113A REXANT</t>
  </si>
  <si>
    <t>13-3112</t>
  </si>
  <si>
    <t>Мультиметр портативный R113C REXANT</t>
  </si>
  <si>
    <t>13-3120</t>
  </si>
  <si>
    <t>Мультиметр портативный R124B REXANT</t>
  </si>
  <si>
    <t>13-3115</t>
  </si>
  <si>
    <t>Мультиметр портативный R131A REXANT</t>
  </si>
  <si>
    <t>13-3106</t>
  </si>
  <si>
    <t>Мультиметр портативный R830L REXANT</t>
  </si>
  <si>
    <t>13-0020</t>
  </si>
  <si>
    <t>Мультиметр портативный UNI-T UT123</t>
  </si>
  <si>
    <t>13-0083</t>
  </si>
  <si>
    <t>Мультиметр портативный СМАРТ UNI-T UT118B</t>
  </si>
  <si>
    <t>13-0051</t>
  </si>
  <si>
    <t>Мультиметр портативный СМАРТ UNI-T UT121B</t>
  </si>
  <si>
    <t>13-0052</t>
  </si>
  <si>
    <t>Мультиметр портативный СМАРТ UNI-T UT122</t>
  </si>
  <si>
    <t>13-0063</t>
  </si>
  <si>
    <t>Мультиметр универсальный UNI-T UT133B</t>
  </si>
  <si>
    <t>13-3125</t>
  </si>
  <si>
    <t>Мультиметр-пробник цифровой R8211 REXANT</t>
  </si>
  <si>
    <t>13-2006</t>
  </si>
  <si>
    <t>Портативный мультиметр M300 MASTECH</t>
  </si>
  <si>
    <t>13-2009</t>
  </si>
  <si>
    <t>Портативный мультиметр M320 MASTECH</t>
  </si>
  <si>
    <t>13-3011</t>
  </si>
  <si>
    <t>Портативный мультиметр M830B (DT830B) PROconnect</t>
  </si>
  <si>
    <t>13-2001</t>
  </si>
  <si>
    <t>Портативный мультиметр M830B MASTECH</t>
  </si>
  <si>
    <t>13-2002</t>
  </si>
  <si>
    <t>Портативный мультиметр M830BZ MASTECH</t>
  </si>
  <si>
    <t>13-3012</t>
  </si>
  <si>
    <t>Портативный мультиметр M832 (DT832) PROconnect</t>
  </si>
  <si>
    <t>13-2003</t>
  </si>
  <si>
    <t>Портативный мультиметр M832 MASTECH</t>
  </si>
  <si>
    <t>13-3013</t>
  </si>
  <si>
    <t>Портативный мультиметр M838 (DT838) PROconnect</t>
  </si>
  <si>
    <t>13-2004</t>
  </si>
  <si>
    <t>Портативный мультиметр M838 MASTECH</t>
  </si>
  <si>
    <t>13-2011</t>
  </si>
  <si>
    <t>Портативный мультиметр MAS830 MASTECH</t>
  </si>
  <si>
    <t>13-2010</t>
  </si>
  <si>
    <t>Портативный мультиметр MAS830B MASTECH</t>
  </si>
  <si>
    <t>13-3021</t>
  </si>
  <si>
    <t>Портативный мультиметр MAS830L (DT850L) PROconnect</t>
  </si>
  <si>
    <t>13-2007</t>
  </si>
  <si>
    <t>Портативный мультиметр MAS830L MASTECH</t>
  </si>
  <si>
    <t>13-2008</t>
  </si>
  <si>
    <t>Портативный мультиметр MAS838 в кожухе с прозвонкой и измерением температуры MASTECH</t>
  </si>
  <si>
    <t>13-3022</t>
  </si>
  <si>
    <t>Портативный мультиметр MAS838L (DT858L) PROconnect</t>
  </si>
  <si>
    <t>13-2026</t>
  </si>
  <si>
    <t>Портативный мультиметр MS8238 MASTECH</t>
  </si>
  <si>
    <t>13-0019</t>
  </si>
  <si>
    <t>Портативный мультиметр UNI-T UT120C</t>
  </si>
  <si>
    <t>13-0055</t>
  </si>
  <si>
    <t>Портативный мультиметр UNI-T UT33A+</t>
  </si>
  <si>
    <t>13-0056</t>
  </si>
  <si>
    <t>Портативный мультиметр UNI-T UT33B+</t>
  </si>
  <si>
    <t>13-0057</t>
  </si>
  <si>
    <t>Портативный мультиметр UNI-T UT33C+</t>
  </si>
  <si>
    <t>13-0058</t>
  </si>
  <si>
    <t>Портативный мультиметр UNI-T UT33D+</t>
  </si>
  <si>
    <t>13-3014</t>
  </si>
  <si>
    <t>Портативный мультиметр М-182 (DT-182) PROconnect</t>
  </si>
  <si>
    <t>13-2044</t>
  </si>
  <si>
    <t>Цифровой мультиметр-пробник MS8211 MASTECH</t>
  </si>
  <si>
    <t>13-2045</t>
  </si>
  <si>
    <t>Цифровой мультиметр-пробник MS8211D MASTECH</t>
  </si>
  <si>
    <t>13-2046</t>
  </si>
  <si>
    <t>Цифровой мультиметр-пробник MS8223A MASTECH</t>
  </si>
  <si>
    <t>2. 3. 5 Универсальные мультиметры</t>
  </si>
  <si>
    <t>13-3026</t>
  </si>
  <si>
    <t>Мультиметр универсальный P9205М PROconnect</t>
  </si>
  <si>
    <t>13-3154</t>
  </si>
  <si>
    <t>Мультиметр универсальный R132С REXANT</t>
  </si>
  <si>
    <t>13-3151</t>
  </si>
  <si>
    <t>Мультиметр универсальный R135D REXANT</t>
  </si>
  <si>
    <t>13-0069</t>
  </si>
  <si>
    <t>Мультиметр универсальный UNI-T UT136C+</t>
  </si>
  <si>
    <t>13-0066</t>
  </si>
  <si>
    <t>Мультиметр универсальный UNI-T UT39A+</t>
  </si>
  <si>
    <t>13-0068</t>
  </si>
  <si>
    <t>Мультиметр универсальный UNI-T UT39E+</t>
  </si>
  <si>
    <t>13-0067</t>
  </si>
  <si>
    <t>Мультиметр универсальный UNI-T UT39С+</t>
  </si>
  <si>
    <t>13-0070</t>
  </si>
  <si>
    <t>Мультиметр универсальный UNI-T UT890C</t>
  </si>
  <si>
    <t>13-0071</t>
  </si>
  <si>
    <t>Мультиметр универсальный UNI-T UT890D+</t>
  </si>
  <si>
    <t>13-0075</t>
  </si>
  <si>
    <t>Мультиметр универсальный UNI-T UT89X</t>
  </si>
  <si>
    <t>13-0076</t>
  </si>
  <si>
    <t>Мультиметр универсальный UNI-T UT89XD</t>
  </si>
  <si>
    <t>13-0077</t>
  </si>
  <si>
    <t>Мультиметр универсальный UNI-T UT89XE</t>
  </si>
  <si>
    <t>13-2056</t>
  </si>
  <si>
    <t>Универсальный мультиметр MS8221С MASTECH</t>
  </si>
  <si>
    <t>13-2014</t>
  </si>
  <si>
    <t>Универсальный мультиметр MS8233A MASTECH</t>
  </si>
  <si>
    <t>13-2016</t>
  </si>
  <si>
    <t>Универсальный мультиметр MS8233B MASTECH</t>
  </si>
  <si>
    <t>13-2015</t>
  </si>
  <si>
    <t>Универсальный мультиметр MS8233C MASTECH</t>
  </si>
  <si>
    <t>13-2070</t>
  </si>
  <si>
    <t>Универсальный мультиметр MS8233D MASTECH</t>
  </si>
  <si>
    <t>13-2013</t>
  </si>
  <si>
    <t>Универсальный мультиметр MS8233E MASTECH</t>
  </si>
  <si>
    <t>13-2053</t>
  </si>
  <si>
    <t>Универсальный мультиметр MY61N MASTECH</t>
  </si>
  <si>
    <t>13-2019</t>
  </si>
  <si>
    <t>Универсальный мультиметр MY62N MASTECH</t>
  </si>
  <si>
    <t>13-2051</t>
  </si>
  <si>
    <t>Универсальный мультиметр MY63N MASTECH</t>
  </si>
  <si>
    <t>13-2054</t>
  </si>
  <si>
    <t>Универсальный мультиметр MY64N MASTECH</t>
  </si>
  <si>
    <t>13-2052</t>
  </si>
  <si>
    <t>Универсальный мультиметр MY65N MASTECH</t>
  </si>
  <si>
    <t>13-2058</t>
  </si>
  <si>
    <t>Универсальный мультиметр MY68 MASTECH</t>
  </si>
  <si>
    <t>13-1029</t>
  </si>
  <si>
    <t>Универсальный мультиметр UNI-T UT 139S</t>
  </si>
  <si>
    <t>13-1028</t>
  </si>
  <si>
    <t>Универсальный мультиметр UNI-T UT 139С</t>
  </si>
  <si>
    <t>13-1020</t>
  </si>
  <si>
    <t>Универсальный мультиметр UNI-T UT 58A</t>
  </si>
  <si>
    <t>13-1022</t>
  </si>
  <si>
    <t>Универсальный мультиметр UNI-T UT 58B</t>
  </si>
  <si>
    <t>13-1023</t>
  </si>
  <si>
    <t>Универсальный мультиметр UNI-T UT 58C</t>
  </si>
  <si>
    <t>13-1024</t>
  </si>
  <si>
    <t>Универсальный мультиметр UNI-T UT 58D</t>
  </si>
  <si>
    <t>13-1025</t>
  </si>
  <si>
    <t>Универсальный мультиметр UNI-T UT 58E</t>
  </si>
  <si>
    <t>2. 3. 6 Профессиональные мультиметры</t>
  </si>
  <si>
    <t>13-0087</t>
  </si>
  <si>
    <t>Мультиметр профессиональный UNI-T UT15B PRO</t>
  </si>
  <si>
    <t>13-0086</t>
  </si>
  <si>
    <t>Мультиметр профессиональный UNI-T UT191T</t>
  </si>
  <si>
    <t>13-2029</t>
  </si>
  <si>
    <t>Профессиональный мультиметр 5 в 1 MS8229 MASTECH</t>
  </si>
  <si>
    <t>13-2087</t>
  </si>
  <si>
    <t>Профессиональный мультиметр MS8209 MASTECH</t>
  </si>
  <si>
    <t>13-2021</t>
  </si>
  <si>
    <t>Профессиональный мультиметр MS8217 MASTECH</t>
  </si>
  <si>
    <t>13-2020</t>
  </si>
  <si>
    <t>Профессиональный мультиметр MS8239C MASTECH</t>
  </si>
  <si>
    <t>13-2101</t>
  </si>
  <si>
    <t>Профессиональный мультиметр MS8250A MASTECH</t>
  </si>
  <si>
    <t>13-2102</t>
  </si>
  <si>
    <t>Профессиональный мультиметр MS8251B MASTECH</t>
  </si>
  <si>
    <t>13-2060</t>
  </si>
  <si>
    <t>Профессиональный мультиметр MS8265 MASTECH</t>
  </si>
  <si>
    <t>13-2068</t>
  </si>
  <si>
    <t>Профессиональный мультиметр MS8268 MASTECH</t>
  </si>
  <si>
    <t>13-2022</t>
  </si>
  <si>
    <t>Профессиональный мультиметр MS8269 MASTECH</t>
  </si>
  <si>
    <t>13-2027</t>
  </si>
  <si>
    <t>Профессиональный мультиметр MS8360C MASTECH</t>
  </si>
  <si>
    <t>13-2069</t>
  </si>
  <si>
    <t>Профессиональный мультиметр MS8361D MASTECH</t>
  </si>
  <si>
    <t>13-0090</t>
  </si>
  <si>
    <t>Профессиональный мультиметр UNI-T 60BT</t>
  </si>
  <si>
    <t>13-0091</t>
  </si>
  <si>
    <t>Профессиональный мультиметр UNI-T 60S</t>
  </si>
  <si>
    <t>13-0092</t>
  </si>
  <si>
    <t>Профессиональный мультиметр UNI-T UT61B+</t>
  </si>
  <si>
    <t>13-0093</t>
  </si>
  <si>
    <t>Профессиональный мультиметр UNI-T UT61D+</t>
  </si>
  <si>
    <t>13-0094</t>
  </si>
  <si>
    <t>Профессиональный мультиметр UNI-T UT61E+</t>
  </si>
  <si>
    <t>13-1223</t>
  </si>
  <si>
    <t>Профессиональный мультиметр-трассоискатель MS8236 MASCTECH</t>
  </si>
  <si>
    <t>2. 3. 7 Токовые клещи</t>
  </si>
  <si>
    <t>13-1340</t>
  </si>
  <si>
    <t>Приставка для токовых клещей MS922D MASTECH</t>
  </si>
  <si>
    <t>13-1306</t>
  </si>
  <si>
    <t>Токовые клещи M266 MASTECH</t>
  </si>
  <si>
    <t>13-1303</t>
  </si>
  <si>
    <t>Токовые клещи M266C MASTECH</t>
  </si>
  <si>
    <t>13-1304</t>
  </si>
  <si>
    <t>Токовые клещи M266F MASTECH</t>
  </si>
  <si>
    <t>13-1301</t>
  </si>
  <si>
    <t>Токовые клещи MS2000G MASTECH</t>
  </si>
  <si>
    <t>13-1307</t>
  </si>
  <si>
    <t>Токовые клещи MS2001 MASTECH</t>
  </si>
  <si>
    <t>13-1310</t>
  </si>
  <si>
    <t>Токовые клещи MS2001C MASTECH</t>
  </si>
  <si>
    <t>13-1313</t>
  </si>
  <si>
    <t>Токовые клещи MS2008B MASTECH</t>
  </si>
  <si>
    <t>13-1321</t>
  </si>
  <si>
    <t>Токовые клещи MS2025C MASTECH</t>
  </si>
  <si>
    <t>13-1316</t>
  </si>
  <si>
    <t>Токовые клещи MS2028A MASTECH</t>
  </si>
  <si>
    <t>13-1305</t>
  </si>
  <si>
    <t>Токовые клещи MS2030 MASTECH</t>
  </si>
  <si>
    <t>13-1320</t>
  </si>
  <si>
    <t>Токовые клещи MS2033A (SMART) MASTECH</t>
  </si>
  <si>
    <t>13-1308</t>
  </si>
  <si>
    <t>Токовые клещи MS2101 MASTECH</t>
  </si>
  <si>
    <t>13-1309</t>
  </si>
  <si>
    <t>Токовые клещи MS2109A MASTECH</t>
  </si>
  <si>
    <t>13-1323</t>
  </si>
  <si>
    <t>Токовые клещи MS2125A MASTECH</t>
  </si>
  <si>
    <t>13-1317</t>
  </si>
  <si>
    <t>Токовые клещи MS2128 MASTECH</t>
  </si>
  <si>
    <t>13-1311</t>
  </si>
  <si>
    <t>Токовые клещи MS2138 MASTECH</t>
  </si>
  <si>
    <t>13-1315</t>
  </si>
  <si>
    <t>Токовые клещи MS2601 MASTECH</t>
  </si>
  <si>
    <t>13-3050</t>
  </si>
  <si>
    <t>Токовые клещи P266 PROconnect</t>
  </si>
  <si>
    <t>13-3052</t>
  </si>
  <si>
    <t>Токовые клещи P266C PROconnect</t>
  </si>
  <si>
    <t>13-3051</t>
  </si>
  <si>
    <t>Токовые клещи P266F PROconnect</t>
  </si>
  <si>
    <t>13-3201</t>
  </si>
  <si>
    <t>Токовые клещи R200A REXANT</t>
  </si>
  <si>
    <t>13-3220</t>
  </si>
  <si>
    <t>Токовые клещи R200D REXANT</t>
  </si>
  <si>
    <t>13-3213</t>
  </si>
  <si>
    <t>Токовые клещи R207B REXANT</t>
  </si>
  <si>
    <t>13-3203</t>
  </si>
  <si>
    <t>Токовые клещи R266C REXANT</t>
  </si>
  <si>
    <t>13-1080</t>
  </si>
  <si>
    <t>Токовые клещи UNI-T UT200A+</t>
  </si>
  <si>
    <t>13-1060</t>
  </si>
  <si>
    <t>Токовые клещи UNI-T UT201+</t>
  </si>
  <si>
    <t>13-1061</t>
  </si>
  <si>
    <t>Токовые клещи UNI-T UT202+</t>
  </si>
  <si>
    <t>13-1062</t>
  </si>
  <si>
    <t>Токовые клещи UNI-T UT202A+</t>
  </si>
  <si>
    <t>13-1084</t>
  </si>
  <si>
    <t>Токовые клещи UNI-T UT202T</t>
  </si>
  <si>
    <t>13-1063</t>
  </si>
  <si>
    <t>Токовые клещи UNI-T UT203+</t>
  </si>
  <si>
    <t>13-1064</t>
  </si>
  <si>
    <t>Токовые клещи UNI-T UT204+</t>
  </si>
  <si>
    <t>13-1067</t>
  </si>
  <si>
    <t>Токовые клещи UNI-T UT205B</t>
  </si>
  <si>
    <t>13-1065</t>
  </si>
  <si>
    <t>Токовые клещи UNI-T UT205А+</t>
  </si>
  <si>
    <t>13-1066</t>
  </si>
  <si>
    <t>Токовые клещи UNI-T UT206A+</t>
  </si>
  <si>
    <t>13-1069</t>
  </si>
  <si>
    <t>Токовые клещи UNI-T UT206B</t>
  </si>
  <si>
    <t>13-1068</t>
  </si>
  <si>
    <t>Токовые клещи UNI-T UT208B</t>
  </si>
  <si>
    <t>13-0007</t>
  </si>
  <si>
    <t>Токовые клещи UNI-T UT210B с функцией измерения среднеквадратичного значения</t>
  </si>
  <si>
    <t>13-0006</t>
  </si>
  <si>
    <t>Токовые клещи UNI-T UT210C</t>
  </si>
  <si>
    <t>13-0008</t>
  </si>
  <si>
    <t>Токовые клещи UNI-T UT210D</t>
  </si>
  <si>
    <t>13-0009</t>
  </si>
  <si>
    <t>Токовые клещи UNI-T UT210E</t>
  </si>
  <si>
    <t>13-1082</t>
  </si>
  <si>
    <t>Токовые клещи UNI-T UT2117R</t>
  </si>
  <si>
    <t>13-1077</t>
  </si>
  <si>
    <t>Токовые клещи UNI-T UT216C</t>
  </si>
  <si>
    <t>13-1086</t>
  </si>
  <si>
    <t>Токовые клещи UNI-T UT256</t>
  </si>
  <si>
    <t>2. 3. 8 Пирометры</t>
  </si>
  <si>
    <t>13-1233</t>
  </si>
  <si>
    <t>Пирометр MS6522А MASTECH</t>
  </si>
  <si>
    <t>13-1231</t>
  </si>
  <si>
    <t>Пирометр MS6522B MASTECH</t>
  </si>
  <si>
    <t>13-1235</t>
  </si>
  <si>
    <t>Пирометр MS6541 MASTECH</t>
  </si>
  <si>
    <t>13-3060</t>
  </si>
  <si>
    <t>Пирометр R-400 REXANT</t>
  </si>
  <si>
    <t>13-0030</t>
  </si>
  <si>
    <t>Пирометр UNI-T UT300A+</t>
  </si>
  <si>
    <t>13-0025</t>
  </si>
  <si>
    <t>Пирометр UNI-T UT300S</t>
  </si>
  <si>
    <t>13-0039</t>
  </si>
  <si>
    <t>Пирометр UNI-T UT301A+</t>
  </si>
  <si>
    <t>13-0029</t>
  </si>
  <si>
    <t>Пирометр UNI-T UT301C+</t>
  </si>
  <si>
    <t>13-0026</t>
  </si>
  <si>
    <t>Пирометр карманный UNI-T UT306A</t>
  </si>
  <si>
    <t>2. 3. 9 Измерители сопротивления (мегаомметры)</t>
  </si>
  <si>
    <t>13-1346</t>
  </si>
  <si>
    <t>Измеритель сопротивления изоляции MS5201 MASTECH</t>
  </si>
  <si>
    <t>13-0043</t>
  </si>
  <si>
    <t>Измеритель сопротивления изоляции UNI-T UT501A</t>
  </si>
  <si>
    <t>13-0045</t>
  </si>
  <si>
    <t>Измеритель сопротивления изоляции UNI-T UT501B</t>
  </si>
  <si>
    <t>13-0044</t>
  </si>
  <si>
    <t>Измеритель сопротивления изоляции UNI-T UT502A</t>
  </si>
  <si>
    <t>13-0042</t>
  </si>
  <si>
    <t>Измеритель сопротивления изоляции UNI-T UT511</t>
  </si>
  <si>
    <t>2. 3.10 Детекторы металла</t>
  </si>
  <si>
    <t>13-1210</t>
  </si>
  <si>
    <t>Детектор металла MS6906 MASTECH</t>
  </si>
  <si>
    <t>2. 3.11 Дальномеры</t>
  </si>
  <si>
    <t>13-1162</t>
  </si>
  <si>
    <t>Лазерный дальномер UNI-T LM100A</t>
  </si>
  <si>
    <t>13-1163</t>
  </si>
  <si>
    <t>Лазерный дальномер UNI-T LM120A</t>
  </si>
  <si>
    <t>13-1160</t>
  </si>
  <si>
    <t>Лазерный дальномер UNI-T LM50A</t>
  </si>
  <si>
    <t>13-1161</t>
  </si>
  <si>
    <t>Лазерный дальномер UNI-T LM70A</t>
  </si>
  <si>
    <t>2. 3.12 Специализированные измерительные приборы</t>
  </si>
  <si>
    <t>13-1142</t>
  </si>
  <si>
    <t>Анемометр компактный UNI-T UT363</t>
  </si>
  <si>
    <t>13-1147</t>
  </si>
  <si>
    <t>Измеритель влажности материалов цифровой UNI-T UT377A</t>
  </si>
  <si>
    <t>13-1134</t>
  </si>
  <si>
    <t>Измеритель уровня шума компактный UNI-T UT353</t>
  </si>
  <si>
    <t>13-1215</t>
  </si>
  <si>
    <t>Люксметр MS6610 MASTECH</t>
  </si>
  <si>
    <t>13-1216</t>
  </si>
  <si>
    <t>Люксметр MS6612 MASTECH</t>
  </si>
  <si>
    <t>13-1250</t>
  </si>
  <si>
    <t>Многофункциональный тестер окружающей среды MS6300 MASTECH</t>
  </si>
  <si>
    <t>13-1127</t>
  </si>
  <si>
    <t>Угломер цифровой LM320A UNI-T</t>
  </si>
  <si>
    <t>13-1272</t>
  </si>
  <si>
    <t>Цифровой анемометр MS6252B MASTECH</t>
  </si>
  <si>
    <t>13-1246</t>
  </si>
  <si>
    <t>Цифровой детектор утечки газа MS6310 MASTECH</t>
  </si>
  <si>
    <t>13-1275</t>
  </si>
  <si>
    <t>Цифровой измеритель влажности материалов MS6900 MASTECH</t>
  </si>
  <si>
    <t>13-1252</t>
  </si>
  <si>
    <t>Цифровой измеритель уровня шума MS6701 MASTECH</t>
  </si>
  <si>
    <t>13-1240</t>
  </si>
  <si>
    <t>Цифровой термометр MS6500 MASTECH</t>
  </si>
  <si>
    <t>2. 3.13 Щупы и аксессуары</t>
  </si>
  <si>
    <t>13-3048</t>
  </si>
  <si>
    <t>Датчик температуры K-1 для измерительных приборов REXANT</t>
  </si>
  <si>
    <t>13-3035</t>
  </si>
  <si>
    <t>Набор щупов со сменными насадками REXANT</t>
  </si>
  <si>
    <t>13-2033</t>
  </si>
  <si>
    <t>Щупы T3030U MASTECH</t>
  </si>
  <si>
    <t>13-2034</t>
  </si>
  <si>
    <t>Щупы T3033U MASTECH</t>
  </si>
  <si>
    <t>13-3031</t>
  </si>
  <si>
    <t>Щупы тестера REX04 REXANT</t>
  </si>
  <si>
    <t>13-3041</t>
  </si>
  <si>
    <t>Щупы тестера REX05 REXANT</t>
  </si>
  <si>
    <t>13-3032</t>
  </si>
  <si>
    <t>Щупы тестера REX07 REXANT</t>
  </si>
  <si>
    <t>13-3033</t>
  </si>
  <si>
    <t>Щупы тестера REX08 REXANT</t>
  </si>
  <si>
    <t>13-0031</t>
  </si>
  <si>
    <t>Щупы тестера UNI-T UT-L13</t>
  </si>
  <si>
    <t>13-0034</t>
  </si>
  <si>
    <t>Щупы тестера UNI-T UT-L27</t>
  </si>
  <si>
    <t>13-3040</t>
  </si>
  <si>
    <t>Щупы тестера с зажимом типа «крокодил» REX10 REXANT</t>
  </si>
  <si>
    <t>13-3042</t>
  </si>
  <si>
    <t>Щупы тестера с зажимом типа «крокодил» REX11 REXANT</t>
  </si>
  <si>
    <t>2. 3.14 Измерители LCR (индуктивности, емкости, сопротивления)</t>
  </si>
  <si>
    <t>13-2078</t>
  </si>
  <si>
    <t>Измеритель емкости и индуктивности (LC-метр) MY6243 MASTECH</t>
  </si>
  <si>
    <t>13-2028</t>
  </si>
  <si>
    <t>Измеритель емкости и индуктивности (RLC-метр) MS8360E MASTECH</t>
  </si>
  <si>
    <t>13-2079</t>
  </si>
  <si>
    <t>Измеритель емкости конденсаторов (C-метр) MS6013 MASTECH</t>
  </si>
  <si>
    <t>13-2039</t>
  </si>
  <si>
    <t>Мостовой высокоточный измеритель MS5308 (RLC-метр) MASTECH</t>
  </si>
  <si>
    <t>13-2048</t>
  </si>
  <si>
    <t>Мультиметр для чип-компонентов (SMD-тестер)  MS8910 MASTECH</t>
  </si>
  <si>
    <t>13-2049</t>
  </si>
  <si>
    <t>Мультиметр (SMD-тестер) MS8911 MASTECH</t>
  </si>
  <si>
    <t>13-0085</t>
  </si>
  <si>
    <t>Мультиметр для чип-компонентов (SMD-тестер) UNI-T UT116C</t>
  </si>
  <si>
    <t>2. 3.15 Тепловизионные приборы</t>
  </si>
  <si>
    <t>13-1182</t>
  </si>
  <si>
    <t>Тепловизор UNI-T UTi120B</t>
  </si>
  <si>
    <t>13-1172</t>
  </si>
  <si>
    <t>Тепловизор компактный UNI-T UTI120P</t>
  </si>
  <si>
    <t>2. 4 Электроинструмент</t>
  </si>
  <si>
    <t>2. 4. 1 Пистолеты клеевые</t>
  </si>
  <si>
    <t>12-1701</t>
  </si>
  <si>
    <t>Набор ПК01 для творчества (пистолет 15Вт, стержни 7мм)</t>
  </si>
  <si>
    <t>12-1703</t>
  </si>
  <si>
    <t>Набор ПК03 для творчества (пистолет 60Вт, стержни 11мм)</t>
  </si>
  <si>
    <t>12-1680</t>
  </si>
  <si>
    <t>Насадка для клеевых пистолетов, удлиненная, 70мм, силиконовая защита REXANT</t>
  </si>
  <si>
    <t>12-0105</t>
  </si>
  <si>
    <t>Пистолет клеевой, 100Вт, Ø11мм, без кнопки, блистер REXANT</t>
  </si>
  <si>
    <t>12-0115</t>
  </si>
  <si>
    <t>Пистолет клеевой, 100Вт, Ø11мм, с кнопкой, блистер REXANT</t>
  </si>
  <si>
    <t>12-0118</t>
  </si>
  <si>
    <t>Пистолет клеевой, 100Вт, ø11мм, ЭКСПЕРТ, блистер REXANT</t>
  </si>
  <si>
    <t>12-1530</t>
  </si>
  <si>
    <t>Пистолет клеевой, 100Вт, Ø11мм, ЭКСПЕРТ, блистер REXANT</t>
  </si>
  <si>
    <t>12-1501</t>
  </si>
  <si>
    <t>Пистолет клеевой, 10Вт, Ø7мм, ЭКСПЕРТ, аккумуляторный, блистер REXANT</t>
  </si>
  <si>
    <t>12-0112</t>
  </si>
  <si>
    <t>Пистолет клеевой, 15Вт, Ø7мм + набор цветных стержней 12 шт, блистер REXANT</t>
  </si>
  <si>
    <t>12-0113</t>
  </si>
  <si>
    <t>Пистолет клеевой, 15Вт, Ø7мм, без кнопки, блистер REXANT</t>
  </si>
  <si>
    <t>12-0102</t>
  </si>
  <si>
    <t>Пистолет клеевой, 15Вт, Ø7мм, блистер PROconnect</t>
  </si>
  <si>
    <t>12-1533</t>
  </si>
  <si>
    <t>Пистолет клеевой, 200Вт, Ø11мм, ЭКСПЕРТ, блистер REXANT</t>
  </si>
  <si>
    <t>12-1510</t>
  </si>
  <si>
    <t>Пистолет клеевой, 20Вт, Ø7мм, ЭКСПЕРТ, блистер REXANT</t>
  </si>
  <si>
    <t>12-0119</t>
  </si>
  <si>
    <t>Пистолет клеевой, 280Вт, Ø11мм, ProfiMax, блистер REXANT</t>
  </si>
  <si>
    <t>12-1550</t>
  </si>
  <si>
    <t>Пистолет клеевой, 300Вт, Ø11мм, ЭКСПЕРТ, настройка температуры 100…220℃, блистер REXANT</t>
  </si>
  <si>
    <t>12-0103</t>
  </si>
  <si>
    <t>Пистолет клеевой, 40Вт, Ø11мм, блистер PROconnect</t>
  </si>
  <si>
    <t>12-1511</t>
  </si>
  <si>
    <t>Пистолет клеевой, 40Вт, Ø7мм, ЭКСПЕРТ, блистер REXANT</t>
  </si>
  <si>
    <t>12-0104</t>
  </si>
  <si>
    <t>Пистолет клеевой, 60Вт, Ø11мм, блистер PROconnect</t>
  </si>
  <si>
    <t>12-0111</t>
  </si>
  <si>
    <t>Пистолет клеевой, 60Вт, Ø11мм, настройка температуры 120..240℃, кейс REXANT</t>
  </si>
  <si>
    <t>12-0107</t>
  </si>
  <si>
    <t>Пистолет клеевой, 60Вт, Ø11мм, ПРОЗРАЧНЫЙ корпус, с кнопкой, блистер REXANT</t>
  </si>
  <si>
    <t>12-0114</t>
  </si>
  <si>
    <t>Пистолет клеевой, 60Вт, Ø11мм, с кнопкой, блистер REXANT</t>
  </si>
  <si>
    <t>12-1553</t>
  </si>
  <si>
    <t>Пистолет клеевой, 60Вт, Ø11мм, ЭКСПЕРТ, аккумуляторный, коробка REXANT</t>
  </si>
  <si>
    <t>12-0116</t>
  </si>
  <si>
    <t>Пистолет клеевой, 60Вт/100Вт два режима, Ø11мм, блистер REXANT</t>
  </si>
  <si>
    <t>2. 4. 2 Стержни для клеевых пистолетов</t>
  </si>
  <si>
    <t>09-1229</t>
  </si>
  <si>
    <t>Стержни клеевые Ø11мм, 100мм, красные (6 шт/уп), блистер REXANT</t>
  </si>
  <si>
    <t>09-1220</t>
  </si>
  <si>
    <t>Стержни клеевые Ø11мм, 100мм, прозрачные (12 шт/уп), блистер REXANT</t>
  </si>
  <si>
    <t>09-1225</t>
  </si>
  <si>
    <t>Стержни клеевые Ø11мм, 100мм, прозрачные (6 шт/уп), блистер REXANT</t>
  </si>
  <si>
    <t>09-1260</t>
  </si>
  <si>
    <t>Стержни клеевые Ø11мм, 100мм, прозрачные светящиеся (12 шт/уп), блистер REXANT</t>
  </si>
  <si>
    <t>09-1227</t>
  </si>
  <si>
    <t>Стержни клеевые Ø11мм, 100мм, синие (6 шт/уп), блистер REXANT</t>
  </si>
  <si>
    <t>09-1230</t>
  </si>
  <si>
    <t>Стержни клеевые Ø11мм, 100мм, цветные (12 шт/уп), блистер REXANT</t>
  </si>
  <si>
    <t>09-1235</t>
  </si>
  <si>
    <t>Стержни клеевые Ø11мм, 100мм, цветные с блестками (12 шт/уп), блистер REXANT</t>
  </si>
  <si>
    <t>09-1277</t>
  </si>
  <si>
    <t>Стержни клеевые Ø11мм, 270мм, белые (10 шт/уп), хедер REXANT</t>
  </si>
  <si>
    <t>09-1273</t>
  </si>
  <si>
    <t>Стержни клеевые Ø11мм, 270мм, зеленые (10 шт/уп), хедер REXANT</t>
  </si>
  <si>
    <t>09-1274</t>
  </si>
  <si>
    <t>Стержни клеевые Ø11мм, 270мм, красные (10 шт/уп), хедер REXANT</t>
  </si>
  <si>
    <t>09-1270</t>
  </si>
  <si>
    <t>Стержни клеевые Ø11мм, 270мм, прозрачные (10 шт/уп),хедер REXANT</t>
  </si>
  <si>
    <t>09-1857-1</t>
  </si>
  <si>
    <t>Стержни клеевые Ø11мм, 270мм, прозрачные, 1кг (0,5кг + 0,5кг), пакет REXANT</t>
  </si>
  <si>
    <t>кг</t>
  </si>
  <si>
    <t>09-1272</t>
  </si>
  <si>
    <t>Стержни клеевые Ø11мм, 270мм, синие (10 шт/уп), хедер REXANT</t>
  </si>
  <si>
    <t>09-1280</t>
  </si>
  <si>
    <t>Стержни клеевые Ø11мм, 270мм, цветные (10 шт/уп), хедер REXANT</t>
  </si>
  <si>
    <t>09-1285</t>
  </si>
  <si>
    <t>Стержни клеевые Ø11мм, 270мм, цветные с блестками (10 шт/уп), хедер REXANT</t>
  </si>
  <si>
    <t>09-1271</t>
  </si>
  <si>
    <t>Стержни клеевые Ø11мм, 270мм, черные (10 шт/уп), хедер REXANT</t>
  </si>
  <si>
    <t>09-1271-1</t>
  </si>
  <si>
    <t>Стержни клеевые Ø11мм, 270мм, черные, 1кг (0,5кг + 0,5кг), пакет REXANT</t>
  </si>
  <si>
    <t>09-1018</t>
  </si>
  <si>
    <t>Стержни клеевые Ø7мм, 100мм, зеленые (6 шт/уп), блистер REXANT</t>
  </si>
  <si>
    <t>09-1019</t>
  </si>
  <si>
    <t>Стержни клеевые Ø7мм, 100мм, красные (6 шт/уп), блистер REXANT</t>
  </si>
  <si>
    <t>09-1010</t>
  </si>
  <si>
    <t>Стержни клеевые Ø7мм, 100мм, прозрачные (12 шт/уп), блистер REXANT</t>
  </si>
  <si>
    <t>09-1015</t>
  </si>
  <si>
    <t>Стержни клеевые Ø7мм, 100мм, прозрачные (6 шт/уп), блистер REXANT</t>
  </si>
  <si>
    <t>09-1060</t>
  </si>
  <si>
    <t>Стержни клеевые Ø7мм, 100мм, прозрачные светящиеся (12 шт/уп), блистер REXANT</t>
  </si>
  <si>
    <t>09-1017</t>
  </si>
  <si>
    <t>Стержни клеевые Ø7мм, 100мм, синие (6 шт/уп), блистер REXANT</t>
  </si>
  <si>
    <t>09-1020</t>
  </si>
  <si>
    <t>Стержни клеевые Ø7мм, 100мм, цветные (12 шт/уп), блистер REXANT</t>
  </si>
  <si>
    <t>09-1025</t>
  </si>
  <si>
    <t>Стержни клеевые Ø7мм, 100мм, цветные с блестками (12 шт/уп), блистер REXANT</t>
  </si>
  <si>
    <t>09-1105</t>
  </si>
  <si>
    <t>Стержни клеевые Ø7мм, 200мм, белые (10 шт/уп), хедер REXANT</t>
  </si>
  <si>
    <t>09-1103</t>
  </si>
  <si>
    <t>Стержни клеевые Ø7мм, 200мм, прозрачные (10 шт/уп), хедер REXANT</t>
  </si>
  <si>
    <t>09-1103-1</t>
  </si>
  <si>
    <t>Стержни клеевые Ø7мм, 200мм, прозрачные, 1кг (0,5кг + 0,5кг), пакет REXANT</t>
  </si>
  <si>
    <t>09-1104</t>
  </si>
  <si>
    <t>Стержни клеевые Ø7мм, 200мм, черные (10 шт/уп), хедер REXANT</t>
  </si>
  <si>
    <t>09-1104-1</t>
  </si>
  <si>
    <t>Стержни клеевые Ø7мм, 200мм, черные, 1кг (0,5кг + 0,5кг), пакет REXANT</t>
  </si>
  <si>
    <t>2. 4. 3 Фены строительные</t>
  </si>
  <si>
    <t>12-0051</t>
  </si>
  <si>
    <t>Фен строительный Компакт, 230 В/1800 Вт REXANT</t>
  </si>
  <si>
    <t>12-0056</t>
  </si>
  <si>
    <t>Фен строительный Мастер, 230 В/1800 Вт с терморегулятором REXANT</t>
  </si>
  <si>
    <t>12-0057</t>
  </si>
  <si>
    <t>Фен строительный Мастер, 230 В/1800 Вт с терморегулятором и ЖК-дисплеем REXANT</t>
  </si>
  <si>
    <t>12-0054</t>
  </si>
  <si>
    <t>Фен строительный Стандарт, 230 В/1600 Вт REXANT</t>
  </si>
  <si>
    <t>12-0052</t>
  </si>
  <si>
    <t>Фен строительный Стандарт, 230 В/1800 Вт с терморегулятором REXANT</t>
  </si>
  <si>
    <t>12-0053</t>
  </si>
  <si>
    <t>Фен строительный Стандарт, 230 В/2000 Вт с терморегулятором и дисплеем REXANT</t>
  </si>
  <si>
    <t>2. 4. 4 Микродрели, граверы, аксессуары</t>
  </si>
  <si>
    <t>12-4451</t>
  </si>
  <si>
    <t>Дрель (гравер) 12000 об/мин, 12Вт, 10 насадок, в кейсе REXANT</t>
  </si>
  <si>
    <t>23.02.2027</t>
  </si>
  <si>
    <t>12-4453</t>
  </si>
  <si>
    <t>Дрель (гравер) REXANT 5000 - 18000 об/мин, 20 Вт, 26 насадок, блистер</t>
  </si>
  <si>
    <t>2. 4. 5 Устройства для запаивания пакетов</t>
  </si>
  <si>
    <t>12-0055</t>
  </si>
  <si>
    <t>Устройство для запаивания пакетов 150Вт 100-200°С REXANT</t>
  </si>
  <si>
    <t>2. 4. 6 Дрели, Шуруповерты, Винтоверты, Электротвертки, Гайковерты</t>
  </si>
  <si>
    <t>KR-PT-055</t>
  </si>
  <si>
    <t>Дрель-шуруповерт бесщеточная аккумуляторная, 20В, 55Нм, 2 акк. х 2Ач, в кейсе KRANZ</t>
  </si>
  <si>
    <t>2. 4. 7 Перфораторы</t>
  </si>
  <si>
    <t>KR-PT-120</t>
  </si>
  <si>
    <t>Перфоратор аккумуляторный, патрон SDS-plus, 2,2Дж, 1х4Ач, в кейсе KRANZ</t>
  </si>
  <si>
    <t>KR-PT-110</t>
  </si>
  <si>
    <t>Перфоратор сетевой, патрон SDS-plus, 1050Вт, 3,2Дж, в кейсе KRANZ</t>
  </si>
  <si>
    <t>2. 4. 8 УШМ, Шлифмашины</t>
  </si>
  <si>
    <t>KR-PT-250</t>
  </si>
  <si>
    <t>Угловая шлифовальная машина (УШМ, болгарка) аккумуляторная, 1х4Ач, в кейсе KRANZ</t>
  </si>
  <si>
    <t>KR-PT-212</t>
  </si>
  <si>
    <t>Угловая шлифовальная машина (УШМ, болгарка), 125мм, 900Вт KRANZ</t>
  </si>
  <si>
    <t>2. 5 Оснастка для электроинструмента</t>
  </si>
  <si>
    <t>2. 5. 1 Оснастка по бетону</t>
  </si>
  <si>
    <t>2. 5. 1. 1 Буры sds plus 2 грани</t>
  </si>
  <si>
    <t>91-0019-4</t>
  </si>
  <si>
    <t>Бур по бетону 10x210мм, хвостовик SDS-plus (10 шт.) REXANT</t>
  </si>
  <si>
    <t>2. 5. 1. 3 Буры sds plus 4 грани</t>
  </si>
  <si>
    <t>91-0826</t>
  </si>
  <si>
    <t>Бур по бетону 10х460мм, крестовая пластина, хвостовик SDS-plus REXANT</t>
  </si>
  <si>
    <t>2. 5. 7 Алмазный инструмент</t>
  </si>
  <si>
    <t>2. 5. 7. 5 Диски алмазные ультратонкие</t>
  </si>
  <si>
    <t>90-0145</t>
  </si>
  <si>
    <t>Диск алмазный отрезной ультратонкий 230x22,23х2x10мм REXANT</t>
  </si>
  <si>
    <t>2. 5.10 Оснастка по бетону Kranz</t>
  </si>
  <si>
    <t>2. 5.10. 1 Буры sds plus 2 грани Kranz</t>
  </si>
  <si>
    <t>KR-91-0086</t>
  </si>
  <si>
    <t>Бур по бетону 10x1000x940мм, хвостовик SDS-plus KRANZ</t>
  </si>
  <si>
    <t>KR-91-0029</t>
  </si>
  <si>
    <t>Бур по бетону 10x110x50мм, хвостовик SDS-plus KRANZ</t>
  </si>
  <si>
    <t>KR-91-0013</t>
  </si>
  <si>
    <t>Бур по бетону 10x160x100мм, хвостовик SDS-plus KRANZ</t>
  </si>
  <si>
    <t>KR-91-0019-4</t>
  </si>
  <si>
    <t>Бур по бетону 10x210x150мм, хвостовик SDS-plus (10 шт.) KRANZ</t>
  </si>
  <si>
    <t>KR-91-0019</t>
  </si>
  <si>
    <t>Бур по бетону 10x210x150мм, хвостовик SDS-plus KRANZ</t>
  </si>
  <si>
    <t>KR-91-0815</t>
  </si>
  <si>
    <t>Бур по бетону 10x260x200мм, хвостовик SDS-plus KRANZ</t>
  </si>
  <si>
    <t>KR-91-0026</t>
  </si>
  <si>
    <t>Бур по бетону 10x310x250мм, хвостовик SDS-plus KRANZ</t>
  </si>
  <si>
    <t>KR-91-0817</t>
  </si>
  <si>
    <t>Бур по бетону 10x350x290мм, хвостовик SDS-plus KRANZ</t>
  </si>
  <si>
    <t>KR-91-0851</t>
  </si>
  <si>
    <t>Бур по бетону 10x400x340мм, хвостовик SDS-plus KRANZ</t>
  </si>
  <si>
    <t>KR-91-0818</t>
  </si>
  <si>
    <t>Бур по бетону 10x460x400мм, хвостовик SDS-plus KRANZ</t>
  </si>
  <si>
    <t>KR-91-0062</t>
  </si>
  <si>
    <t>Бур по бетону 10x600x540мм, хвостовик SDS-plus KRANZ</t>
  </si>
  <si>
    <t>KR-91-0074</t>
  </si>
  <si>
    <t>Бур по бетону 10x800x740мм, хвостовик SDS-plus KRANZ</t>
  </si>
  <si>
    <t>KR-91-0087</t>
  </si>
  <si>
    <t>Бур по бетону 12x1000x940мм, хвостовик SDS-plus KRANZ</t>
  </si>
  <si>
    <t>KR-91-0030</t>
  </si>
  <si>
    <t>Бур по бетону 12x110x50мм, хвостовик SDS-plus KRANZ</t>
  </si>
  <si>
    <t>KR-91-0014</t>
  </si>
  <si>
    <t>Бур по бетону 12x160x100мм, хвостовик SDS-plus KRANZ</t>
  </si>
  <si>
    <t>KR-91-0020</t>
  </si>
  <si>
    <t>Бур по бетону 12x210x150мм, хвостовик SDS-plus KRANZ</t>
  </si>
  <si>
    <t>KR-91-0816</t>
  </si>
  <si>
    <t>Бур по бетону 12x260x200мм, хвостовик SDS-plus KRANZ</t>
  </si>
  <si>
    <t>KR-91-0027</t>
  </si>
  <si>
    <t>Бур по бетону 12x310x250мм, хвостовик SDS-plus KRANZ</t>
  </si>
  <si>
    <t>KR-91-0834</t>
  </si>
  <si>
    <t>Бур по бетону 12x350x290мм, хвостовик SDS-plus KRANZ</t>
  </si>
  <si>
    <t>KR-91-0852</t>
  </si>
  <si>
    <t>Бур по бетону 12x400x340мм, хвостовик SDS-plus KRANZ</t>
  </si>
  <si>
    <t>KR-91-0050</t>
  </si>
  <si>
    <t>Бур по бетону 12x460x400мм, хвостовик SDS-plus KRANZ</t>
  </si>
  <si>
    <t>KR-91-0063</t>
  </si>
  <si>
    <t>Бур по бетону 12x600x540мм, хвостовик SDS-plus KRANZ</t>
  </si>
  <si>
    <t>KR-91-0075</t>
  </si>
  <si>
    <t>Бур по бетону 12x800x740мм, хвостовик SDS-plus KRANZ</t>
  </si>
  <si>
    <t>KR-91-0088</t>
  </si>
  <si>
    <t>Бур по бетону 14x1000x940мм, хвостовик SDS-plus KRANZ</t>
  </si>
  <si>
    <t>KR-91-0032</t>
  </si>
  <si>
    <t>Бур по бетону 14x160x100мм, хвостовик SDS-plus KRANZ</t>
  </si>
  <si>
    <t>KR-91-0034</t>
  </si>
  <si>
    <t>Бур по бетону 14x210x150мм, хвостовик SDS-plus KRANZ</t>
  </si>
  <si>
    <t>KR-91-0038</t>
  </si>
  <si>
    <t>Бур по бетону 14x310x240мм, хвостовик SDS-plus KRANZ</t>
  </si>
  <si>
    <t>KR-91-0853</t>
  </si>
  <si>
    <t>Бур по бетону 14x400x340мм, хвостовик SDS-plus KRANZ</t>
  </si>
  <si>
    <t>KR-91-0051</t>
  </si>
  <si>
    <t>Бур по бетону 14x460x400мм, хвостовик SDS-plus KRANZ</t>
  </si>
  <si>
    <t>KR-91-0064</t>
  </si>
  <si>
    <t>Бур по бетону 14x600x540мм, хвостовик SDS-plus KRANZ</t>
  </si>
  <si>
    <t>KR-91-0076</t>
  </si>
  <si>
    <t>Бур по бетону 14x800x740мм, хвостовик SDS-plus KRANZ</t>
  </si>
  <si>
    <t>KR-91-0089</t>
  </si>
  <si>
    <t>Бур по бетону 16x1000x940мм, хвостовик SDS-plus KRANZ</t>
  </si>
  <si>
    <t>KR-91-0033</t>
  </si>
  <si>
    <t>Бур по бетону 16x160x100мм, хвостовик SDS-plus KRANZ</t>
  </si>
  <si>
    <t>KR-91-0035</t>
  </si>
  <si>
    <t>Бур по бетону 16x210x150мм, хвостовик SDS-plus KRANZ</t>
  </si>
  <si>
    <t>KR-91-0832</t>
  </si>
  <si>
    <t>Бур по бетону 16x260x200мм, хвостовик SDS-plus KRANZ</t>
  </si>
  <si>
    <t>KR-91-0039</t>
  </si>
  <si>
    <t>Бур по бетону 16x310x250мм, хвостовик SDS-plus KRANZ</t>
  </si>
  <si>
    <t>KR-91-0854</t>
  </si>
  <si>
    <t>Бур по бетону 16x400x340мм, хвостовик SDS-plus KRANZ</t>
  </si>
  <si>
    <t>KR-91-0052</t>
  </si>
  <si>
    <t>Бур по бетону 16x460x400мм, хвостовик SDS-plus KRANZ</t>
  </si>
  <si>
    <t>KR-91-0065</t>
  </si>
  <si>
    <t>Бур по бетону 16x600x540мм, хвостовик SDS-plus KRANZ</t>
  </si>
  <si>
    <t>KR-91-0077</t>
  </si>
  <si>
    <t>Бур по бетону 16x800x740мм, хвостовик SDS-plus KRANZ</t>
  </si>
  <si>
    <t>KR-91-0036</t>
  </si>
  <si>
    <t>Бур по бетону 18x210x150мм, хвостовик SDS-plus KRANZ</t>
  </si>
  <si>
    <t>KR-91-0040</t>
  </si>
  <si>
    <t>Бур по бетону 18x310x250мм, хвостовик SDS-plus KRANZ</t>
  </si>
  <si>
    <t>KR-91-0845</t>
  </si>
  <si>
    <t>Бур по бетону 18x400x340мм, хвостовик SDS-plus KRANZ</t>
  </si>
  <si>
    <t>KR-91-0053</t>
  </si>
  <si>
    <t>Бур по бетону 18x460x400мм, хвостовик SDS-plus KRANZ</t>
  </si>
  <si>
    <t>KR-91-0066</t>
  </si>
  <si>
    <t>Бур по бетону 18x600x540мм, хвостовик SDS-plus KRANZ</t>
  </si>
  <si>
    <t>KR-91-0078</t>
  </si>
  <si>
    <t>Бур по бетону 18x800x740мм, хвостовик SDS-plus KRANZ</t>
  </si>
  <si>
    <t>KR-91-0090</t>
  </si>
  <si>
    <t>Бур по бетону 20x1000x940мм, хвостовик SDS-plus KRANZ</t>
  </si>
  <si>
    <t>KR-91-0041</t>
  </si>
  <si>
    <t>Бур по бетону 20x310x250мм, хвостовик SDS-plus KRANZ</t>
  </si>
  <si>
    <t>KR-91-0846</t>
  </si>
  <si>
    <t>Бур по бетону 20x400x340мм, хвостовик SDS-plus KRANZ</t>
  </si>
  <si>
    <t>KR-91-0054</t>
  </si>
  <si>
    <t>Бур по бетону 20x460x400мм, хвостовик SDS-plus KRANZ</t>
  </si>
  <si>
    <t>KR-91-0067</t>
  </si>
  <si>
    <t>Бур по бетону 20x600x540мм, хвостовик SDS-plus KRANZ</t>
  </si>
  <si>
    <t>KR-91-0079</t>
  </si>
  <si>
    <t>Бур по бетону 20x800x740мм, хвостовик SDS-plus KRANZ</t>
  </si>
  <si>
    <t>KR-91-0091</t>
  </si>
  <si>
    <t>Бур по бетону 22x1000x940мм, хвостовик SDS-plus KRANZ</t>
  </si>
  <si>
    <t>KR-91-0042</t>
  </si>
  <si>
    <t>Бур по бетону 22x310x250мм, хвостовик SDS-plus KRANZ</t>
  </si>
  <si>
    <t>KR-91-0055</t>
  </si>
  <si>
    <t>Бур по бетону 22x460x400мм, хвостовик SDS-plus KRANZ</t>
  </si>
  <si>
    <t>KR-91-0068</t>
  </si>
  <si>
    <t>Бур по бетону 22x600x540мм, хвостовик SDS-plus KRANZ</t>
  </si>
  <si>
    <t>KR-91-0080</t>
  </si>
  <si>
    <t>Бур по бетону 22x800x740мм, хвостовик SDS-plus KRANZ</t>
  </si>
  <si>
    <t>KR-91-0043</t>
  </si>
  <si>
    <t>Бур по бетону 24x310x250мм, хвостовик SDS-plus KRANZ</t>
  </si>
  <si>
    <t>KR-91-0056</t>
  </si>
  <si>
    <t>Бур по бетону 24x460x400мм, хвостовик SDS-plus KRANZ</t>
  </si>
  <si>
    <t>KR-91-0069</t>
  </si>
  <si>
    <t>Бур по бетону 24x600x540мм, хвостовик SDS-plus KRANZ</t>
  </si>
  <si>
    <t>KR-91-0081</t>
  </si>
  <si>
    <t>Бур по бетону 24x800x740мм, хвостовик SDS-plus KRANZ</t>
  </si>
  <si>
    <t>KR-91-0092</t>
  </si>
  <si>
    <t>Бур по бетону 26x1000x940мм, хвостовик SDS-plus KRANZ</t>
  </si>
  <si>
    <t>KR-91-0841</t>
  </si>
  <si>
    <t>Бур по бетону 26x400x340мм, хвостовик SDS-plus KRANZ</t>
  </si>
  <si>
    <t>KR-91-0057</t>
  </si>
  <si>
    <t>Бур по бетону 26x460x400мм, хвостовик SDS-plus KRANZ</t>
  </si>
  <si>
    <t>KR-91-0070</t>
  </si>
  <si>
    <t>Бур по бетону 26x600x540мм, хвостовик SDS-plus KRANZ</t>
  </si>
  <si>
    <t>KR-91-0082</t>
  </si>
  <si>
    <t>Бур по бетону 26x800x740мм, хвостовик SDS-plus KRANZ</t>
  </si>
  <si>
    <t>KR-91-0045</t>
  </si>
  <si>
    <t>Бур по бетону 28x310x250мм, хвостовик SDS-plus KRANZ</t>
  </si>
  <si>
    <t>KR-91-0842</t>
  </si>
  <si>
    <t>Бур по бетону 28x400x340мм, хвостовик SDS-plus KRANZ</t>
  </si>
  <si>
    <t>KR-91-0058</t>
  </si>
  <si>
    <t>Бур по бетону 28x460x400мм, хвостовик SDS-plus KRANZ</t>
  </si>
  <si>
    <t>KR-91-0071</t>
  </si>
  <si>
    <t>Бур по бетону 28x600x540мм, хвостовик SDS-plus KRANZ</t>
  </si>
  <si>
    <t>KR-91-0083</t>
  </si>
  <si>
    <t>Бур по бетону 28x800x740мм, хвостовик SDS-plus KRANZ</t>
  </si>
  <si>
    <t>KR-91-0046</t>
  </si>
  <si>
    <t>Бур по бетону 30x310x250мм, хвостовик SDS-plus KRANZ</t>
  </si>
  <si>
    <t>KR-91-0843</t>
  </si>
  <si>
    <t>Бур по бетону 30x400x340мм, хвостовик SDS-plus KRANZ</t>
  </si>
  <si>
    <t>KR-91-0059</t>
  </si>
  <si>
    <t>Бур по бетону 30x460x400мм, хвостовик SDS-plus KRANZ</t>
  </si>
  <si>
    <t>KR-91-0072</t>
  </si>
  <si>
    <t>Бур по бетону 30x600x540мм, хвостовик SDS-plus KRANZ</t>
  </si>
  <si>
    <t>KR-91-0084</t>
  </si>
  <si>
    <t>Бур по бетону 30x800x740мм, хвостовик SDS-plus KRANZ</t>
  </si>
  <si>
    <t>KR-91-0093</t>
  </si>
  <si>
    <t>Бур по бетону 32x1000x940мм, хвостовик SDS-plus KRANZ</t>
  </si>
  <si>
    <t>KR-91-0047</t>
  </si>
  <si>
    <t>Бур по бетону 32x310x250мм, хвостовик SDS-plus KRANZ</t>
  </si>
  <si>
    <t>KR-91-0844</t>
  </si>
  <si>
    <t>Бур по бетону 32x400x340мм, хвостовик SDS-plus KRANZ</t>
  </si>
  <si>
    <t>KR-91-0060</t>
  </si>
  <si>
    <t>Бур по бетону 32x460x400мм, хвостовик SDS-plus KRANZ</t>
  </si>
  <si>
    <t>KR-91-0073</t>
  </si>
  <si>
    <t>Бур по бетону 32x600x540мм, хвостовик SDS-plus KRANZ</t>
  </si>
  <si>
    <t>KR-91-0085</t>
  </si>
  <si>
    <t>Бур по бетону 32x800x740мм, хвостовик SDS-plus KRANZ</t>
  </si>
  <si>
    <t>KR-91-0028</t>
  </si>
  <si>
    <t>Бур по бетону 4x110x50мм, хвостовик SDS-plus KRANZ</t>
  </si>
  <si>
    <t>KR-91-0003</t>
  </si>
  <si>
    <t>Бур по бетону 5,5x110x50мм, хвостовик SDS-plus KRANZ</t>
  </si>
  <si>
    <t>KR-91-0008</t>
  </si>
  <si>
    <t>Бур по бетону 5,5x160x100мм, хвостовик SDS-plus KRANZ</t>
  </si>
  <si>
    <t>KR-91-0005</t>
  </si>
  <si>
    <t>Бур по бетону 5x110x50мм, хвостовик SDS-plus KRANZ</t>
  </si>
  <si>
    <t>KR-91-0031</t>
  </si>
  <si>
    <t>Бур по бетону 5x160x100xмм, хвостовик SDS-plus KRANZ</t>
  </si>
  <si>
    <t>KR-91-0830</t>
  </si>
  <si>
    <t>Бур по бетону 5x210x150мм, хвостовик SDS-plus KRANZ</t>
  </si>
  <si>
    <t>KR-91-0004</t>
  </si>
  <si>
    <t>Бур по бетону 6,5x110x50мм, хвостовик SDS-plus KRANZ</t>
  </si>
  <si>
    <t>KR-91-0009</t>
  </si>
  <si>
    <t>Бур по бетону 6,5x160x100мм, хвостовик SDS-plus KRANZ</t>
  </si>
  <si>
    <t>KR-91-0006-4</t>
  </si>
  <si>
    <t>Бур по бетону 6x110x50мм, хвостовик SDS-plus (10 шт.) KRANZ</t>
  </si>
  <si>
    <t>KR-91-0006</t>
  </si>
  <si>
    <t>Бур по бетону 6x110x50мм, хвостовик SDS-plus KRANZ</t>
  </si>
  <si>
    <t>KR-91-0011-4</t>
  </si>
  <si>
    <t>Бур по бетону 6x160x100мм, хвостовик SDS-plus (10 шт.) KRANZ</t>
  </si>
  <si>
    <t>KR-91-0011</t>
  </si>
  <si>
    <t>Бур по бетону 6x160x100мм, хвостовик SDS-plus KRANZ</t>
  </si>
  <si>
    <t>KR-91-0017</t>
  </si>
  <si>
    <t>Бур по бетону 6x210x150мм, хвостовик SDS-plus KRANZ</t>
  </si>
  <si>
    <t>KR-91-0813</t>
  </si>
  <si>
    <t>Бур по бетону 6x260x200мм, хвостовик SDS-plus KRANZ</t>
  </si>
  <si>
    <t>KR-91-0037</t>
  </si>
  <si>
    <t>Бур по бетону 6x310x250мм, хвостовик SDS-plus KRANZ</t>
  </si>
  <si>
    <t>KR-91-0007</t>
  </si>
  <si>
    <t>Бур по бетону 8x110x50мм, хвостовик SDS-plus KRANZ</t>
  </si>
  <si>
    <t>KR-91-0012-4</t>
  </si>
  <si>
    <t>Бур по бетону 8x160x100мм, хвостовик SDS-plus (10 шт.) KRANZ</t>
  </si>
  <si>
    <t>KR-91-0012</t>
  </si>
  <si>
    <t>Бур по бетону 8x160x100мм, хвостовик SDS-plus KRANZ</t>
  </si>
  <si>
    <t>KR-91-0018</t>
  </si>
  <si>
    <t>Бур по бетону 8x210x150мм, хвостовик SDS-plus KRANZ</t>
  </si>
  <si>
    <t>KR-91-0814</t>
  </si>
  <si>
    <t>Бур по бетону 8x260x200мм, хвостовик SDS-plus KRANZ</t>
  </si>
  <si>
    <t>KR-91-0025</t>
  </si>
  <si>
    <t>Бур по бетону 8x310x250мм, хвостовик SDS-plus KRANZ</t>
  </si>
  <si>
    <t>KR-91-0833</t>
  </si>
  <si>
    <t>Бур по бетону 8x350x290мм, хвостовик SDS-plus KRANZ</t>
  </si>
  <si>
    <t>KR-91-0048</t>
  </si>
  <si>
    <t>Бур по бетону 8x460x400мм, хвостовик SDS-plus KRANZ</t>
  </si>
  <si>
    <t>KR-91-0061</t>
  </si>
  <si>
    <t>Бур по бетону 8x600x540мм, хвостовик SDS-plus KRANZ</t>
  </si>
  <si>
    <t>2. 5.10. 2 Буры sds plus наборы Kranz</t>
  </si>
  <si>
    <t>KR-91-0409</t>
  </si>
  <si>
    <t>Набор буров и долот хвостовик SDS-plus, 13 предметов KRANZ</t>
  </si>
  <si>
    <t>KR-91-0405</t>
  </si>
  <si>
    <t>Набор буров по бетону 5-6-8-10х160х100мм, 4 шт, в пластиковой коробке, хвостовик SDS-plus KRANZ</t>
  </si>
  <si>
    <t>KR-91-0406</t>
  </si>
  <si>
    <t>Набор буров по бетону 5-6х110х50, 6-8-10х160х100мм, 5 шт, в пластиковой коробке, хвостовик SDS-plus KRANZ</t>
  </si>
  <si>
    <t>KR-91-0404</t>
  </si>
  <si>
    <t>Набор буров по бетону 5х110х50, 6х110х50, 8х160х100мм, 3 шт, в пластиковой коробке, хвостовик SDS-plus KRANZ</t>
  </si>
  <si>
    <t>KR-91-0431</t>
  </si>
  <si>
    <t>Набор для установки подрозетников хвостовик SDS-plus, 5 предметов KRANZ</t>
  </si>
  <si>
    <t>2. 5.10. 3 Буры sds plus 4 грани Kranz</t>
  </si>
  <si>
    <t>KR-91-0819</t>
  </si>
  <si>
    <t>Бур по бетону 10x110x50мм, крестовая пластина, хвостовик SDS-plus KRANZ</t>
  </si>
  <si>
    <t>KR-91-0809</t>
  </si>
  <si>
    <t>Бур по бетону 10x160x100мм, крестовая пластина, хвостовик SDS-plus KRANZ</t>
  </si>
  <si>
    <t>KR-91-0810</t>
  </si>
  <si>
    <t>Бур по бетону 10x210x150мм, крестовая пластина, хвостовик SDS-plus KRANZ</t>
  </si>
  <si>
    <t>KR-91-0811</t>
  </si>
  <si>
    <t>Бур по бетону 10x260x200мм, крестовая пластина, хвостовик SDS-plus KRANZ</t>
  </si>
  <si>
    <t>KR-91-0812</t>
  </si>
  <si>
    <t>Бур по бетону 10x310x250мм, крестовая пластина, хвостовик SDS-plus KRANZ</t>
  </si>
  <si>
    <t>KR-91-0825</t>
  </si>
  <si>
    <t>Бур по бетону 10x350x290мм, крестовая пластина, хвостовик SDS-plus KRANZ</t>
  </si>
  <si>
    <t>KR-91-0826</t>
  </si>
  <si>
    <t>Бур по бетону 10x460x400мм, крестовая пластина, хвостовик SDS-plus KRANZ</t>
  </si>
  <si>
    <t>KR-91-0821</t>
  </si>
  <si>
    <t>Бур по бетону 12x160x100мм, крестовая пластина, хвостовик SDS-plus KRANZ</t>
  </si>
  <si>
    <t>KR-91-0822</t>
  </si>
  <si>
    <t>Бур по бетону 12x210x150мм, крестовая пластина, хвостовик SDS-plus KRANZ</t>
  </si>
  <si>
    <t>KR-91-0823</t>
  </si>
  <si>
    <t>Бур по бетону 12x260x200мм, крестовая пластина, хвостовик SDS-plus KRANZ</t>
  </si>
  <si>
    <t>KR-91-0103</t>
  </si>
  <si>
    <t>Бур по бетону 12x460x400мм, крестовая пластина, хвостовик SDS-plus KRANZ</t>
  </si>
  <si>
    <t>KR-91-0835</t>
  </si>
  <si>
    <t>Бур по бетону 14x210x150мм, крестовая пластина, хвостовик SDS-plus KRANZ</t>
  </si>
  <si>
    <t>KR-91-0837</t>
  </si>
  <si>
    <t>Бур по бетону 14x260x200мм, крестовая пластина, хвостовик SDS-plus KRANZ</t>
  </si>
  <si>
    <t>KR-91-0101</t>
  </si>
  <si>
    <t>Бур по бетону 14x310x250мм, крестовая пластина, хвостовик SDS-plus KRANZ</t>
  </si>
  <si>
    <t>KR-91-0836</t>
  </si>
  <si>
    <t>Бур по бетону 16x210x150мм, крестовая пластина, хвостовик SDS-plus KRANZ</t>
  </si>
  <si>
    <t>KR-91-0102</t>
  </si>
  <si>
    <t>Бур по бетону 16x310x250мм, крестовая пластина, хвостовик SDS-plus KRANZ</t>
  </si>
  <si>
    <t>KR-91-0800</t>
  </si>
  <si>
    <t>Бур по бетону 5x110x50мм, крестовая пластина, хвостовик SDS-plus KRANZ</t>
  </si>
  <si>
    <t>KR-91-0820</t>
  </si>
  <si>
    <t>Бур по бетону 5x160x100мм, крестовая пластина, хвостовик SDS-plus KRANZ</t>
  </si>
  <si>
    <t>KR-91-0801</t>
  </si>
  <si>
    <t>Бур по бетону 6x110x50мм, крестовая пластина, хвостовик SDS-plus KRANZ</t>
  </si>
  <si>
    <t>KR-91-0802</t>
  </si>
  <si>
    <t>Бур по бетону 6x160x100мм, крестовая пластина, хвостовик SDS-plus KRANZ</t>
  </si>
  <si>
    <t>KR-91-0803</t>
  </si>
  <si>
    <t>Бур по бетону 6x210x150мм, крестовая пластина, хвостовик SDS-plus KRANZ</t>
  </si>
  <si>
    <t>KR-91-0804</t>
  </si>
  <si>
    <t>Бур по бетону 6x260x200мм, крестовая пластина, хвостовик SDS-plus KRANZ</t>
  </si>
  <si>
    <t>KR-91-0805</t>
  </si>
  <si>
    <t>Бур по бетону 8x110x50мм, крестовая пластина, хвостовик SDS-plus KRANZ</t>
  </si>
  <si>
    <t>KR-91-0806</t>
  </si>
  <si>
    <t>Бур по бетону 8x160x100мм, крестовая пластина, хвостовик SDS-plus KRANZ</t>
  </si>
  <si>
    <t>KR-91-0807</t>
  </si>
  <si>
    <t>Бур по бетону 8x210x150мм, крестовая пластина, хвостовик SDS-plus KRANZ</t>
  </si>
  <si>
    <t>KR-91-0808</t>
  </si>
  <si>
    <t>Бур по бетону 8x260x200мм, крестовая пластина, хвостовик SDS-plus KRANZ</t>
  </si>
  <si>
    <t>KR-91-0838</t>
  </si>
  <si>
    <t>Бур по бетону 8x310x250мм, крестовая пластина, хвостовик SDS-plus KRANZ</t>
  </si>
  <si>
    <t>KR-91-0839</t>
  </si>
  <si>
    <t>Бур по бетону 8x350x290мм, крестовая пластина, хвостовик SDS-plus KRANZ</t>
  </si>
  <si>
    <t>KR-91-0827</t>
  </si>
  <si>
    <t>Бур по бетону 8x460x400мм, крестовая пластина, хвостовик SDS-plus KRANZ</t>
  </si>
  <si>
    <t>KR-91-0461</t>
  </si>
  <si>
    <t>Бур по бетону Супер 10x160мм, профессиональный, цельная крестовая пластина, хвостовик SDS-plus KRANZ</t>
  </si>
  <si>
    <t>KR-91-0465</t>
  </si>
  <si>
    <t>Бур по бетону Супер 12x210мм, профессиональный, цельная крестовая пластина, хвостовик SDS-plus KRANZ</t>
  </si>
  <si>
    <t>KR-91-0452</t>
  </si>
  <si>
    <t>Бур по бетону Супер 6x110мм, профессиональный, цельная крестовая пластина, хвостовик SDS-plus KRANZ</t>
  </si>
  <si>
    <t>KR-91-0453</t>
  </si>
  <si>
    <t>Бур по бетону Супер 6x160мм, профессиональный, цельная крестовая пластина, хвостовик SDS-plus KRANZ</t>
  </si>
  <si>
    <t>KR-91-0456</t>
  </si>
  <si>
    <t>Бур по бетону Супер 8x110мм, профессиональный, цельная крестовая пластина, хвостовик SDS-plus KRANZ</t>
  </si>
  <si>
    <t>KR-91-0457</t>
  </si>
  <si>
    <t>Бур по бетону Супер 8x160мм, профессиональный, цельная крестовая пластина, хвостовик SDS-plus KRANZ</t>
  </si>
  <si>
    <t>KR-91-0458</t>
  </si>
  <si>
    <t>Бур по бетону Супер 8x210мм, профессиональный, цельная крестовая пластина, хвостовик SDS-plus KRANZ</t>
  </si>
  <si>
    <t>2. 5.10. 4 Сверла по бетону Kranz</t>
  </si>
  <si>
    <t>KR-91-0411</t>
  </si>
  <si>
    <t>Набор сверл по бетону 4-5-6-8-10мм, пластиковый кейс KRANZ</t>
  </si>
  <si>
    <t>KR-91-0308</t>
  </si>
  <si>
    <t>Сверло по бетону 10х120мм, цилиндрический хвостовик KRANZ</t>
  </si>
  <si>
    <t>KR-91-0312</t>
  </si>
  <si>
    <t>Сверло по бетону 10х200мм, цилиндрический хвостовик KRANZ</t>
  </si>
  <si>
    <t>KR-91-0309</t>
  </si>
  <si>
    <t>Сверло по бетону 12х150мм, цилиндрический хвостовик KRANZ</t>
  </si>
  <si>
    <t>KR-91-0304</t>
  </si>
  <si>
    <t>Сверло по бетону 4х75мм, цилиндрический хвостовик KRANZ</t>
  </si>
  <si>
    <t>KR-91-0305</t>
  </si>
  <si>
    <t>Сверло по бетону 5х85мм, цилиндрический хвостовик KRANZ</t>
  </si>
  <si>
    <t>KR-91-0306</t>
  </si>
  <si>
    <t>Сверло по бетону 6х100мм, цилиндрический хвостовик KRANZ</t>
  </si>
  <si>
    <t>KR-91-0310</t>
  </si>
  <si>
    <t>Сверло по бетону 6х200мм, цилиндрический хвостовик KRANZ</t>
  </si>
  <si>
    <t>KR-91-0307</t>
  </si>
  <si>
    <t>Сверло по бетону 8х120мм, цилиндрический хвостовик KRANZ</t>
  </si>
  <si>
    <t>KR-91-0311</t>
  </si>
  <si>
    <t>Сверло по бетону 8х200мм, цилиндрический хвостовик KRANZ</t>
  </si>
  <si>
    <t>KR-91-0323</t>
  </si>
  <si>
    <t>Сверло универсальное твердосплавное, 10мм KRANZ</t>
  </si>
  <si>
    <t>KR-91-0324</t>
  </si>
  <si>
    <t>Сверло универсальное твердосплавное, 12мм KRANZ</t>
  </si>
  <si>
    <t>KR-91-0320</t>
  </si>
  <si>
    <t>Сверло универсальное твердосплавное, 5мм KRANZ</t>
  </si>
  <si>
    <t>KR-91-0321</t>
  </si>
  <si>
    <t>Сверло универсальное твердосплавное, 6мм KRANZ</t>
  </si>
  <si>
    <t>KR-91-0322</t>
  </si>
  <si>
    <t>Сверло универсальное твердосплавное, 8мм KRANZ</t>
  </si>
  <si>
    <t>2. 5.10. 5 Пики и зубила Kranz</t>
  </si>
  <si>
    <t>KR-91-0201</t>
  </si>
  <si>
    <t>Зубило канальное 14х22х250мм, хвостовик SDS-plus KRANZ</t>
  </si>
  <si>
    <t>KR-91-0207</t>
  </si>
  <si>
    <t>Зубило плоское 14х20х250мм, хвостовик SDS-plus KRANZ</t>
  </si>
  <si>
    <t>KR-91-0210</t>
  </si>
  <si>
    <t>Зубило плоское 14х20х400мм, хвостовик SDS-plus KRANZ</t>
  </si>
  <si>
    <t>KR-91-0211</t>
  </si>
  <si>
    <t>Зубило плоское 14х20х600мм, хвостовик SDS-plus KRANZ</t>
  </si>
  <si>
    <t>KR-91-0209</t>
  </si>
  <si>
    <t>Зубило плоское 14х40х250мм, хвостовик SDS-plus, отогнутое для снятия плитки KRANZ</t>
  </si>
  <si>
    <t>KR-91-0221</t>
  </si>
  <si>
    <t>Зубило плоское 18х25х280мм, хвостовик SDS-max KRANZ</t>
  </si>
  <si>
    <t>KR-91-0222</t>
  </si>
  <si>
    <t>Зубило плоское 18х25х400мм, хвостовик SDS-max KRANZ</t>
  </si>
  <si>
    <t>KR-91-0223</t>
  </si>
  <si>
    <t>Зубило плоское 18х25х600мм, хвостовик SDS-max KRANZ</t>
  </si>
  <si>
    <t>KR-91-0203</t>
  </si>
  <si>
    <t>Зубило плоское широкое, 14х40х250мм, хвостовик SDS-plus KRANZ</t>
  </si>
  <si>
    <t>KR-91-0205</t>
  </si>
  <si>
    <t>Зубило плоское широкое, 14х40х400мм, хвостовик SDS-plus KRANZ</t>
  </si>
  <si>
    <t>KR-91-0206</t>
  </si>
  <si>
    <t>Зубило плоское широкое, 14х40х600мм, хвостовик SDS-plus KRANZ</t>
  </si>
  <si>
    <t>KR-91-0227</t>
  </si>
  <si>
    <t>Зубило плоское широкое, 25х50х360мм, хвостовик SDS-max KRANZ</t>
  </si>
  <si>
    <t>KR-91-0430</t>
  </si>
  <si>
    <t>Набор зубил для перфоратора, хвостовик SDS-plus, 3 предмета KRANZ</t>
  </si>
  <si>
    <t>KR-91-0212</t>
  </si>
  <si>
    <t>Пика 14х250мм, хвостовик SDS-plus KRANZ</t>
  </si>
  <si>
    <t>KR-91-0213</t>
  </si>
  <si>
    <t>Пика 14х400мм, хвостовик SDS-plus KRANZ</t>
  </si>
  <si>
    <t>KR-91-0214</t>
  </si>
  <si>
    <t>Пика 14х600мм, хвостовик SDS-plus KRANZ</t>
  </si>
  <si>
    <t>KR-91-0224</t>
  </si>
  <si>
    <t>Пика 18х280мм, хвостовик SDS-max KRANZ</t>
  </si>
  <si>
    <t>KR-91-0225</t>
  </si>
  <si>
    <t>Пика 18х400мм, хвостовик SDS-max KRANZ</t>
  </si>
  <si>
    <t>KR-91-0226</t>
  </si>
  <si>
    <t>Пика 18х600мм, хвостовик SDS-max KRANZ</t>
  </si>
  <si>
    <t>2. 5.10. 6 Коронки по бетону Kranz</t>
  </si>
  <si>
    <t>KR-91-0441</t>
  </si>
  <si>
    <t>Буровая коронка M22х150мм KRANZ</t>
  </si>
  <si>
    <t>KR-91-0440</t>
  </si>
  <si>
    <t>Буровая коронка M22х68мм KRANZ</t>
  </si>
  <si>
    <t>KR-91-0413</t>
  </si>
  <si>
    <t>Коронка по бетону в сборе М22х65мм, хвостовик SDS-plus KRANZ</t>
  </si>
  <si>
    <t>KR-91-0412</t>
  </si>
  <si>
    <t>Коронка по бетону в сборе М22х68мм, хвостовик SDS-plus KRANZ</t>
  </si>
  <si>
    <t>KR-91-0415</t>
  </si>
  <si>
    <t>Коронка по бетону в сборе М22х73мм, хвостовик SDS-plus KRANZ</t>
  </si>
  <si>
    <t>KR-91-0414</t>
  </si>
  <si>
    <t>Коронка по бетону в сборе М22х80мм, хвостовик SDS-plus KRANZ</t>
  </si>
  <si>
    <t>KR-91-0418</t>
  </si>
  <si>
    <t>Коронка по бетону М22х100мм KRANZ</t>
  </si>
  <si>
    <t>KR-91-0419</t>
  </si>
  <si>
    <t>Коронка по бетону М22х110мм KRANZ</t>
  </si>
  <si>
    <t>KR-91-0420</t>
  </si>
  <si>
    <t>Коронка по бетону М22х120мм KRANZ</t>
  </si>
  <si>
    <t>KR-91-0417</t>
  </si>
  <si>
    <t>Коронка по бетону М22х35мм KRANZ</t>
  </si>
  <si>
    <t>KR-91-0230</t>
  </si>
  <si>
    <t>Переходник для перфоратора SDS MAX на SDS PLUS KRANZ</t>
  </si>
  <si>
    <t>KR-91-0231</t>
  </si>
  <si>
    <t>Переходник для перфоратора, пластиковый кожух, хвостовик SDS-max на хвостовик SDS-plus KRANZ</t>
  </si>
  <si>
    <t>KR-91-0401</t>
  </si>
  <si>
    <t>Хвостовик для коронки М16х120мм, хвостовик SDS-plus KRANZ</t>
  </si>
  <si>
    <t>KR-91-0421</t>
  </si>
  <si>
    <t>Хвостовик для коронки М22х120мм, хвостовик SDS-plus KRANZ</t>
  </si>
  <si>
    <t>KR-91-0422</t>
  </si>
  <si>
    <t>Хвостовик для коронки М22х250мм, хвостовик SDS-plus KRANZ</t>
  </si>
  <si>
    <t>KR-91-0423</t>
  </si>
  <si>
    <t>Хвостовик для коронки М22х400мм, хвостовик SDS-plus KRANZ</t>
  </si>
  <si>
    <t>KR-91-0426</t>
  </si>
  <si>
    <t>Хвостовик для коронки М22х600мм, хвостовик SDS-max KRANZ</t>
  </si>
  <si>
    <t>2. 5.11 Оснастка по металлу Kranz</t>
  </si>
  <si>
    <t>2. 5.11. 1 Диски отрезные по металлу Kranz [Группа индивидуального ценообразования]</t>
  </si>
  <si>
    <t>KR-90-0902</t>
  </si>
  <si>
    <t>Диск отрезной по металлу 115х1,0х22,23мм KRANZ</t>
  </si>
  <si>
    <t>KR-90-0912</t>
  </si>
  <si>
    <t>Диск отрезной по металлу 125х1,0х22,23мм KRANZ</t>
  </si>
  <si>
    <t>KR-90-0912-4</t>
  </si>
  <si>
    <t>Диск отрезной по металлу 125х1,0х22,23мм, металлический бокс, 10 шт. KRANZ</t>
  </si>
  <si>
    <t>KR-90-0913</t>
  </si>
  <si>
    <t>Диск отрезной по металлу 125х1,2х22,23мм KRANZ</t>
  </si>
  <si>
    <t>KR-90-0913-4</t>
  </si>
  <si>
    <t>Диск отрезной по металлу 125х1,2х22,23мм, металлический бокс, 10 шт. KRANZ</t>
  </si>
  <si>
    <t>KR-90-0914</t>
  </si>
  <si>
    <t>Диск отрезной по металлу 125х1,6х22,23мм KRANZ</t>
  </si>
  <si>
    <t>KR-90-0914-4</t>
  </si>
  <si>
    <t>Диск отрезной по металлу 125х1,6х22,23мм, металлический бокс, 10 шт. KRANZ</t>
  </si>
  <si>
    <t>KR-90-0923</t>
  </si>
  <si>
    <t>Диск отрезной по металлу 150х1,2х22,23мм KRANZ</t>
  </si>
  <si>
    <t>KR-90-0932</t>
  </si>
  <si>
    <t>Диск отрезной по металлу 180х1,6х22,23мм KRANZ</t>
  </si>
  <si>
    <t>KR-90-0943</t>
  </si>
  <si>
    <t>Диск отрезной по металлу 230х1,8х22,23мм KRANZ</t>
  </si>
  <si>
    <t>KR-90-0944</t>
  </si>
  <si>
    <t>Диск отрезной по металлу 230х2,0х22,23мм KRANZ</t>
  </si>
  <si>
    <t>KR-90-0945</t>
  </si>
  <si>
    <t>Диск отрезной по металлу 230х2,5х22,23мм KRANZ</t>
  </si>
  <si>
    <t>KR-90-0946</t>
  </si>
  <si>
    <t>Диск отрезной по металлу 230х3,0х22,23мм KRANZ</t>
  </si>
  <si>
    <t>KR-90-0947</t>
  </si>
  <si>
    <t>Диск отрезной по металлу 230х6,0х22,23мм KRANZ</t>
  </si>
  <si>
    <t>2. 5.11. 2 Коронки по металлу Kranz</t>
  </si>
  <si>
    <t>KR-92-0243</t>
  </si>
  <si>
    <t>Коронка по металлу биметаллическая (Bimetal) 100мм KRANZ</t>
  </si>
  <si>
    <t>KR-92-0244</t>
  </si>
  <si>
    <t>Коронка по металлу биметаллическая (Bimetal) 102мм KRANZ</t>
  </si>
  <si>
    <t>KR-92-0245</t>
  </si>
  <si>
    <t>Коронка по металлу биметаллическая (Bimetal) 105мм KRANZ</t>
  </si>
  <si>
    <t>KR-92-0246</t>
  </si>
  <si>
    <t>Коронка по металлу биметаллическая (Bimetal) 111мм KRANZ</t>
  </si>
  <si>
    <t>KR-92-0247</t>
  </si>
  <si>
    <t>Коронка по металлу биметаллическая (Bimetal) 114мм KRANZ</t>
  </si>
  <si>
    <t>KR-92-0248</t>
  </si>
  <si>
    <t>Коронка по металлу биметаллическая (Bimetal) 121мм KRANZ</t>
  </si>
  <si>
    <t>KR-92-0249</t>
  </si>
  <si>
    <t>Коронка по металлу биметаллическая (Bimetal) 127мм KRANZ</t>
  </si>
  <si>
    <t>KR-92-0250</t>
  </si>
  <si>
    <t>Коронка по металлу биметаллическая (Bimetal) 140мм KRANZ</t>
  </si>
  <si>
    <t>KR-92-0205</t>
  </si>
  <si>
    <t>Коронка по металлу биметаллическая (Bimetal) 14мм KRANZ</t>
  </si>
  <si>
    <t>KR-92-0206</t>
  </si>
  <si>
    <t>Коронка по металлу биметаллическая (Bimetal) 16мм KRANZ</t>
  </si>
  <si>
    <t>KR-92-0207</t>
  </si>
  <si>
    <t>Коронка по металлу биметаллическая (Bimetal) 20мм KRANZ</t>
  </si>
  <si>
    <t>KR-92-0209</t>
  </si>
  <si>
    <t>Коронка по металлу биметаллическая (Bimetal) 22мм KRANZ</t>
  </si>
  <si>
    <t>KR-92-0211</t>
  </si>
  <si>
    <t>Коронка по металлу биметаллическая (Bimetal) 25мм KRANZ</t>
  </si>
  <si>
    <t>KR-92-0212</t>
  </si>
  <si>
    <t>Коронка по металлу биметаллическая (Bimetal) 27мм KRANZ</t>
  </si>
  <si>
    <t>KR-92-0213</t>
  </si>
  <si>
    <t>Коронка по металлу биметаллическая (Bimetal) 29мм KRANZ</t>
  </si>
  <si>
    <t>KR-92-0214</t>
  </si>
  <si>
    <t>Коронка по металлу биметаллическая (Bimetal) 30мм KRANZ</t>
  </si>
  <si>
    <t>KR-92-0215</t>
  </si>
  <si>
    <t>Коронка по металлу биметаллическая (Bimetal) 32мм KRANZ</t>
  </si>
  <si>
    <t>KR-92-0216</t>
  </si>
  <si>
    <t>Коронка по металлу биметаллическая (Bimetal) 35мм KRANZ</t>
  </si>
  <si>
    <t>KR-92-0217</t>
  </si>
  <si>
    <t>Коронка по металлу биметаллическая (Bimetal) 37мм KRANZ</t>
  </si>
  <si>
    <t>KR-92-0218</t>
  </si>
  <si>
    <t>Коронка по металлу биметаллическая (Bimetal) 38мм KRANZ</t>
  </si>
  <si>
    <t>KR-92-0219</t>
  </si>
  <si>
    <t>Коронка по металлу биметаллическая (Bimetal) 40мм KRANZ</t>
  </si>
  <si>
    <t>KR-92-0220</t>
  </si>
  <si>
    <t>Коронка по металлу биметаллическая (Bimetal) 41мм KRANZ</t>
  </si>
  <si>
    <t>KR-92-0221</t>
  </si>
  <si>
    <t>Коронка по металлу биметаллическая (Bimetal) 44мм KRANZ</t>
  </si>
  <si>
    <t>KR-92-0222</t>
  </si>
  <si>
    <t>Коронка по металлу биметаллическая (Bimetal) 45мм KRANZ</t>
  </si>
  <si>
    <t>KR-92-0223</t>
  </si>
  <si>
    <t>Коронка по металлу биметаллическая (Bimetal) 46мм KRANZ</t>
  </si>
  <si>
    <t>KR-92-0224</t>
  </si>
  <si>
    <t>Коронка по металлу биметаллическая (Bimetal) 48мм KRANZ</t>
  </si>
  <si>
    <t>KR-92-0225</t>
  </si>
  <si>
    <t>Коронка по металлу биметаллическая (Bimetal) 50мм KRANZ</t>
  </si>
  <si>
    <t>KR-92-0226</t>
  </si>
  <si>
    <t>Коронка по металлу биметаллическая (Bimetal) 51мм KRANZ</t>
  </si>
  <si>
    <t>KR-92-0227</t>
  </si>
  <si>
    <t>Коронка по металлу биметаллическая (Bimetal) 52мм KRANZ</t>
  </si>
  <si>
    <t>KR-92-0229</t>
  </si>
  <si>
    <t>Коронка по металлу биметаллическая (Bimetal) 55мм KRANZ</t>
  </si>
  <si>
    <t>KR-92-0231</t>
  </si>
  <si>
    <t>Коронка по металлу биметаллическая (Bimetal) 60мм KRANZ</t>
  </si>
  <si>
    <t>KR-92-0232</t>
  </si>
  <si>
    <t>Коронка по металлу биметаллическая (Bimetal) 64мм KRANZ</t>
  </si>
  <si>
    <t>KR-92-0233</t>
  </si>
  <si>
    <t>Коронка по металлу биметаллическая (Bimetal) 65мм KRANZ</t>
  </si>
  <si>
    <t>KR-92-0234</t>
  </si>
  <si>
    <t>Коронка по металлу биметаллическая (Bimetal) 67мм KRANZ</t>
  </si>
  <si>
    <t>KR-92-0235</t>
  </si>
  <si>
    <t>Коронка по металлу биметаллическая (Bimetal) 68мм KRANZ</t>
  </si>
  <si>
    <t>KR-92-0236</t>
  </si>
  <si>
    <t>Коронка по металлу биметаллическая (Bimetal) 70мм KRANZ</t>
  </si>
  <si>
    <t>KR-92-0261</t>
  </si>
  <si>
    <t>Коронка по металлу биметаллическая (Bimetal) 73мм KRANZ</t>
  </si>
  <si>
    <t>KR-92-0237</t>
  </si>
  <si>
    <t>Коронка по металлу биметаллическая (Bimetal) 75мм KRANZ</t>
  </si>
  <si>
    <t>KR-92-0238</t>
  </si>
  <si>
    <t>Коронка по металлу биметаллическая (Bimetal) 76мм KRANZ</t>
  </si>
  <si>
    <t>KR-92-0239</t>
  </si>
  <si>
    <t>Коронка по металлу биметаллическая (Bimetal) 79мм KRANZ</t>
  </si>
  <si>
    <t>KR-92-0240</t>
  </si>
  <si>
    <t>Коронка по металлу биметаллическая (Bimetal) 83мм KRANZ</t>
  </si>
  <si>
    <t>KR-92-0241</t>
  </si>
  <si>
    <t>Коронка по металлу биметаллическая (Bimetal) 86мм KRANZ</t>
  </si>
  <si>
    <t>KR-92-0242</t>
  </si>
  <si>
    <t>Коронка по металлу биметаллическая (Bimetal) 95мм KRANZ</t>
  </si>
  <si>
    <t>KR-92-0203-1</t>
  </si>
  <si>
    <t>Набор биметаллических коронок (Bimetal) (14, 20, 22, 25, 30, 35, 40, 51, 60, 64, 67), 16 предметов, металлический кейс KRANZ</t>
  </si>
  <si>
    <t>KR-92-0201-1</t>
  </si>
  <si>
    <t>Набор биметаллических коронок (Bimetal) (20, 22, 25, 30, 35, 60), 11 предметов, металлический кейс KRANZ</t>
  </si>
  <si>
    <t>KR-92-0202-1</t>
  </si>
  <si>
    <t>Набор биметаллических коронок (Bimetal) (22, 25, 35, 40, 51, 67), 11 предметов, металлический кейс KRANZ</t>
  </si>
  <si>
    <t>KR-92-0201</t>
  </si>
  <si>
    <t>Хвостовик SDS-plus для биметаллических коронок (Bimetal) 14-30мм KRANZ</t>
  </si>
  <si>
    <t>KR-92-0202</t>
  </si>
  <si>
    <t>Хвостовик SDS-plus для биметаллических коронок (Bimetal) 32-152мм KRANZ</t>
  </si>
  <si>
    <t>KR-92-0203</t>
  </si>
  <si>
    <t>Хвостовик шестигранный для биметаллических коронок (Bimeta) 14-30мм KRANZ</t>
  </si>
  <si>
    <t>KR-92-0204</t>
  </si>
  <si>
    <t>Хвостовик шестигранный для биметаллических коронок (Bimetal) 32-152мм KRANZ</t>
  </si>
  <si>
    <t>2. 5.11. 3 Сверла по металлу кобальт Kranz</t>
  </si>
  <si>
    <t>KR-91-0511</t>
  </si>
  <si>
    <t>Сверло по металлу 10х133х87мм Кобальт 5% P6M5K5 (М35) DIN 338, 1 шт. KRANZ</t>
  </si>
  <si>
    <t>KR-91-0513</t>
  </si>
  <si>
    <t>Сверло по металлу 12х151х101мм Кобальт 5% P6M5K5 (М35) DIN 338, 1 шт. KRANZ</t>
  </si>
  <si>
    <t>KR-91-0501</t>
  </si>
  <si>
    <t>Сверло по металлу 2,5х57х30мм Кобальт 5% P6M5K5 (М35) DIN 338, 2 шт. KRANZ</t>
  </si>
  <si>
    <t>KR-91-0512</t>
  </si>
  <si>
    <t>Сверло по металлу 2х49х24мм Кобальт 5% P6M5K5 (М35) DIN 338, 2 шт. KRANZ</t>
  </si>
  <si>
    <t>KR-91-0503</t>
  </si>
  <si>
    <t>Сверло по металлу 3,2х65х36мм Кобальт 5% P6M5K5 (М35) DIN 338, 2 шт. KRANZ</t>
  </si>
  <si>
    <t>KR-91-0504</t>
  </si>
  <si>
    <t>Сверло по металлу 3,5х70х39мм Кобальт 5% P6M5K5 (М35) DIN 338, 2 шт. KRANZ</t>
  </si>
  <si>
    <t>KR-91-0502</t>
  </si>
  <si>
    <t>Сверло по металлу 3х61х33мм Кобальт 5% P6M5K5 (М35) DIN 338, 2 шт. KRANZ</t>
  </si>
  <si>
    <t>KR-91-0506</t>
  </si>
  <si>
    <t>Сверло по металлу 4,5х80х47мм Кобальт 5% P6M5K5 (М35) DIN 338, 1 шт. KRANZ</t>
  </si>
  <si>
    <t>KR-91-0505</t>
  </si>
  <si>
    <t>Сверло по металлу 4х75х43мм Кобальт 5% P6M5K5 (М35) DIN 338, 1 шт. KRANZ</t>
  </si>
  <si>
    <t>KR-91-0507</t>
  </si>
  <si>
    <t>Сверло по металлу 5х86х52мм Кобальт 5% P6M5K5 (М35) DIN 338, 1 шт. KRANZ</t>
  </si>
  <si>
    <t>KR-91-0508</t>
  </si>
  <si>
    <t>Сверло по металлу 6х93х57мм Кобальт 5% P6M5K5 (М35) DIN 338, 1 шт. KRANZ</t>
  </si>
  <si>
    <t>KR-91-0509</t>
  </si>
  <si>
    <t>Сверло по металлу 7х109х69мм Кобальт 5% P6M5K5 (М35) DIN 338, 1 шт. KRANZ</t>
  </si>
  <si>
    <t>KR-91-0510</t>
  </si>
  <si>
    <t>Сверло по металлу 8х117х75мм Кобальт 5% P6M5K5 (М35) DIN 338, 1 шт. KRANZ</t>
  </si>
  <si>
    <t>KR-91-0543</t>
  </si>
  <si>
    <t>Сверло по металлу ударное 3мм Кобальт P6M5K8 DIN 338, шестигранный хвостовик, 1 шт. KRANZ</t>
  </si>
  <si>
    <t>KR-91-0544</t>
  </si>
  <si>
    <t>Сверло по металлу ударное 4мм Кобальт P6M5K8 DIN 338, шестигранный хвостовик, 1 шт. KRANZ</t>
  </si>
  <si>
    <t>KR-91-0545</t>
  </si>
  <si>
    <t>Сверло по металлу ударное 5мм Кобальт P6M5K8 DIN 338, шестигранный хвостовик, 1 шт. KRANZ</t>
  </si>
  <si>
    <t>KR-91-0546</t>
  </si>
  <si>
    <t>Сверло по металлу ударное 6мм Кобальт P6M5K8 DIN 338, шестигранный хвостовик, 1 шт. KRANZ</t>
  </si>
  <si>
    <t>KR-91-0547</t>
  </si>
  <si>
    <t>Сверло по металлу ударное 7мм Кобальт P6M5K8 DIN 338, шестигранный хвостовик, 1 шт. KRANZ</t>
  </si>
  <si>
    <t>KR-91-0548</t>
  </si>
  <si>
    <t>Сверло по металлу ударное 8мм Кобальт P6M5K8 DIN 338, шестигранный хвостовик, 1 шт. KRANZ</t>
  </si>
  <si>
    <t>2. 5.11. 4 Сверла по металлу ступенчатые Kranz</t>
  </si>
  <si>
    <t>KR-12-6620</t>
  </si>
  <si>
    <t>Набор ступенчатых сверл ТИТАН 4-12мм, 4-20мм, 4-32мм, сталь HSS-TiN, 3 шт. KRANZ</t>
  </si>
  <si>
    <t>KR-12-6601</t>
  </si>
  <si>
    <t>Сверло по металлу ступенчатое 4,0-20,0мм, 76мм, 62 HRC KRANZ</t>
  </si>
  <si>
    <t>KR-12-6602</t>
  </si>
  <si>
    <t>Сверло по металлу ступенчатое 4,0-30,0мм, 98мм, 62 HRC KRANZ</t>
  </si>
  <si>
    <t>KR-12-6603</t>
  </si>
  <si>
    <t>Сверло по металлу ступенчатое 4,0-32,0мм, 102мм, 62 HRC KRANZ</t>
  </si>
  <si>
    <t>KR-12-6604</t>
  </si>
  <si>
    <t>Сверло по металлу ступенчатое 9,0-36,0мм, 110мм, 62 HRC KRANZ</t>
  </si>
  <si>
    <t>KR-12-6611</t>
  </si>
  <si>
    <t>Сверло по металлу ступенчатое ТИТАН 4,0-20,0мм, 76мм, 65 HRC, Р6М5 TiN KRANZ</t>
  </si>
  <si>
    <t>KR-12-6612</t>
  </si>
  <si>
    <t>Сверло по металлу ступенчатое ТИТАН 4,0-30,0мм, 98мм, 65 HRC, Р6М5 TiN KRANZ</t>
  </si>
  <si>
    <t>KR-12-6613</t>
  </si>
  <si>
    <t>Сверло по металлу ступенчатое ТИТАН 4,0-32,0мм, 102мм, 65 HRC, Р6М5 TiN KRANZ</t>
  </si>
  <si>
    <t>KR-12-6614</t>
  </si>
  <si>
    <t>Сверло по металлу ступенчатое ТИТАН 9,0-36,0мм, 110мм, 65 HRC, Р6М5 TiN KRANZ</t>
  </si>
  <si>
    <t>KR-12-6615</t>
  </si>
  <si>
    <t>Сверло ступенчатое ТИТАН, 4-5-6-7-8-9-10-11-12мм, Р6М5, шестигранный хвостовик KRANZ</t>
  </si>
  <si>
    <t>KR-12-6616</t>
  </si>
  <si>
    <t>Сверло ступенчатое ТИТАН, 6-8-10-12-14-16-18-20-22-24-26-28-30мм, Р6М5, трехгранный хвостовик KRANZ</t>
  </si>
  <si>
    <t>2. 5.11. 5 Сверла по металлу Р6М5 Kranz</t>
  </si>
  <si>
    <t>KR-91-0534</t>
  </si>
  <si>
    <t>Сверло по металлу 10х133х87мм Стандарт+ (P6M5 M-2) DIN 338, 1 шт. KRANZ</t>
  </si>
  <si>
    <t>KR-91-0537</t>
  </si>
  <si>
    <t>Сверло по металлу 12х151х101мм Стандарт+ (P6M5 M-2) DIN 338, 1 шт. KRANZ</t>
  </si>
  <si>
    <t>KR-91-0522</t>
  </si>
  <si>
    <t>Сверло по металлу 2,5х57х30мм Стандарт+ (P6M5 M-2) DIN 338, 2 шт. KRANZ</t>
  </si>
  <si>
    <t>KR-91-0521</t>
  </si>
  <si>
    <t>Сверло по металлу 2х49х24мм Стандарт+ (P6M5 M-2) DIN 338, 2 шт. KRANZ</t>
  </si>
  <si>
    <t>KR-91-0524</t>
  </si>
  <si>
    <t>Сверло по металлу 3,2х65х36мм Стандарт+ (P6M5 M-2) DIN 338, 2 шт. KRANZ</t>
  </si>
  <si>
    <t>KR-91-0523</t>
  </si>
  <si>
    <t>Сверло по металлу 3х61х33мм Стандарт+ (P6M5 M-2) DIN 338, 2 шт. KRANZ</t>
  </si>
  <si>
    <t>KR-91-0529</t>
  </si>
  <si>
    <t>Сверло по металлу 4,5х80х47мм Стандарт+ (P6M5 M-2) DIN 338, 1 шт. KRANZ</t>
  </si>
  <si>
    <t>KR-91-0525</t>
  </si>
  <si>
    <t>Сверло по металлу 4х75х43мм Стандарт+ (P6M5 M-2) DIN 338, 1 шт. KRANZ</t>
  </si>
  <si>
    <t>KR-91-0531</t>
  </si>
  <si>
    <t>Сверло по металлу 5,5х93х57мм Стандарт+ (P6M5 M-2) DIN 338, 1 шт. KRANZ</t>
  </si>
  <si>
    <t>KR-91-0526</t>
  </si>
  <si>
    <t>Сверло по металлу 5х86х52мм Стандарт+ (P6M5 M-2) DIN 338, 1 шт. KRANZ</t>
  </si>
  <si>
    <t>KR-91-0532</t>
  </si>
  <si>
    <t>Сверло по металлу 6,5х101х63мм Стандарт+ (P6M5 M-2) DIN 338, 1 шт. KRANZ</t>
  </si>
  <si>
    <t>KR-91-0528</t>
  </si>
  <si>
    <t>Сверло по металлу 6х93х57мм Стандарт+ (P6M5 M-2) DIN 338, 1 шт. KRANZ</t>
  </si>
  <si>
    <t>KR-91-0535</t>
  </si>
  <si>
    <t>Сверло по металлу 7,5х109х69мм Стандарт+ (P6M5 M-2) DIN 338, 1 шт. KRANZ</t>
  </si>
  <si>
    <t>KR-91-0530</t>
  </si>
  <si>
    <t>Сверло по металлу 7х109х96мм Стандарт+ (P6M5 M-2) DIN 338, 1 шт. KRANZ</t>
  </si>
  <si>
    <t>KR-91-0536</t>
  </si>
  <si>
    <t>Сверло по металлу 8х117х75мм Стандарт+ (P6M5 M-2) DIN 338, 1 шт. KRANZ</t>
  </si>
  <si>
    <t>KR-91-0533</t>
  </si>
  <si>
    <t>Сверло по металлу 9х125х81мм Стандарт+ (P6M5 M-2) DIN 338, 1 шт. KRANZ</t>
  </si>
  <si>
    <t>KR-91-5511</t>
  </si>
  <si>
    <t>Сверло по металлу, 10мм, Р6М5, ТИТАН, шестигранный хвостовик DIN 338 1 шт. KRANZ</t>
  </si>
  <si>
    <t>KR-91-5512</t>
  </si>
  <si>
    <t>Сверло по металлу, 12мм, Р6М5, ТИТАН, шестигранный хвостовик DIN 338 1 шт. KRANZ</t>
  </si>
  <si>
    <t>KR-91-5501</t>
  </si>
  <si>
    <t>Сверло по металлу, 2,5мм, Р6М5, ТИТАН, шестигранный хвостовик DIN 338 1 шт. KRANZ</t>
  </si>
  <si>
    <t>KR-91-5500</t>
  </si>
  <si>
    <t>Сверло по металлу, 2мм, Р6М5, ТИТАН, шестигранный хвостовик DIN 338 1 шт. KRANZ</t>
  </si>
  <si>
    <t>KR-91-5502</t>
  </si>
  <si>
    <t>Сверло по металлу, 3мм, Р6М5, ТИТАН, шестигранный хвостовик DIN 338 1 шт. KRANZ</t>
  </si>
  <si>
    <t>KR-91-5504</t>
  </si>
  <si>
    <t>Сверло по металлу, 4,2мм, Р6М5, ТИТАН, шестигранный хвостовик DIN 338 1 шт. KRANZ</t>
  </si>
  <si>
    <t>KR-91-5505</t>
  </si>
  <si>
    <t>Сверло по металлу, 4,5мм, Р6М5, ТИТАН, шестигранный хвостовик DIN 338 1 шт. KRANZ</t>
  </si>
  <si>
    <t>KR-91-5503</t>
  </si>
  <si>
    <t>Сверло по металлу, 4мм, Р6М5, ТИТАН, шестигранный хвостовик DIN 338 1 шт. KRANZ</t>
  </si>
  <si>
    <t>KR-91-5506</t>
  </si>
  <si>
    <t>Сверло по металлу, 5мм, Р6М5, ТИТАН, шестигранный хвостовик DIN 338 1 шт. KRANZ</t>
  </si>
  <si>
    <t>KR-91-5507</t>
  </si>
  <si>
    <t>Сверло по металлу, 6мм, Р6М5, ТИТАН, шестигранный хвостовик DIN 338 1 шт. KRANZ</t>
  </si>
  <si>
    <t>KR-91-5508</t>
  </si>
  <si>
    <t>Сверло по металлу, 7мм, Р6М5, ТИТАН, шестигранный хвостовик DIN 338 1 шт. KRANZ</t>
  </si>
  <si>
    <t>KR-91-5509</t>
  </si>
  <si>
    <t>Сверло по металлу, 8мм, Р6М5, ТИТАН, шестигранный хвостовик DIN 338 1 шт. KRANZ</t>
  </si>
  <si>
    <t>KR-91-5510</t>
  </si>
  <si>
    <t>Сверло по металлу, 9мм, Р6М5, ТИТАН, шестигранный хвостовик DIN 338 1 шт. KRANZ</t>
  </si>
  <si>
    <t>2. 5.11. 6 Сверла по металлу HSS - по 2 (1) шт Kranz</t>
  </si>
  <si>
    <t>KR-91-0551</t>
  </si>
  <si>
    <t>Сверло по металлу 1,0х34х12мм, сталь HSS, DIN 338, 2 шт. KRANZ</t>
  </si>
  <si>
    <t>KR-91-0552</t>
  </si>
  <si>
    <t>Сверло по металлу 1,5х40х18мм, сталь HSS, DIN 338, 2 шт. KRANZ</t>
  </si>
  <si>
    <t>KR-91-0574</t>
  </si>
  <si>
    <t>Сверло по металлу 10х133х87мм, сталь HSS, DIN 338, 1 шт. KRANZ</t>
  </si>
  <si>
    <t>KR-91-0554</t>
  </si>
  <si>
    <t>Сверло по металлу 2,5х57х30мм, сталь HSS, DIN 338, 2 шт. KRANZ</t>
  </si>
  <si>
    <t>KR-91-0553</t>
  </si>
  <si>
    <t>Сверло по металлу 2х49х24мм, сталь HSS, DIN 338, 2 шт. KRANZ</t>
  </si>
  <si>
    <t>KR-91-0556</t>
  </si>
  <si>
    <t>Сверло по металлу 3,0х61х33мм, сталь HSS, DIN 338, 2 шт. KRANZ</t>
  </si>
  <si>
    <t>KR-91-0557</t>
  </si>
  <si>
    <t>Сверло по металлу 3,2х65х35мм, сталь HSS, DIN 338, 2 шт. KRANZ</t>
  </si>
  <si>
    <t>KR-91-0558</t>
  </si>
  <si>
    <t>Сверло по металлу 3,5х70х39мм, сталь HSS, DIN 338, 2 шт. KRANZ</t>
  </si>
  <si>
    <t>KR-91-0560</t>
  </si>
  <si>
    <t>Сверло по металлу 4,0х75х43мм, сталь HSS, DIN 338, 1 шт. KRANZ</t>
  </si>
  <si>
    <t>KR-91-0559</t>
  </si>
  <si>
    <t>Сверло по металлу 4,2х75х43мм, сталь HSS, DIN 338, 1 шт. KRANZ</t>
  </si>
  <si>
    <t>KR-91-0562</t>
  </si>
  <si>
    <t>Сверло по металлу 4,5х80х47мм, сталь HSS, DIN 338, 1 шт. KRANZ</t>
  </si>
  <si>
    <t>KR-91-0564</t>
  </si>
  <si>
    <t>Сверло по металлу 5,0х86х52мм, сталь HSS, DIN 338, 1 шт. KRANZ</t>
  </si>
  <si>
    <t>KR-91-0566</t>
  </si>
  <si>
    <t>Сверло по металлу 6,0х93х57мм, сталь HSS, DIN 338, 1 шт. KRANZ</t>
  </si>
  <si>
    <t>KR-91-0568</t>
  </si>
  <si>
    <t>Сверло по металлу 7,0х109х69мм, сталь HSS, DIN 338, 1 шт. KRANZ</t>
  </si>
  <si>
    <t>KR-91-0570</t>
  </si>
  <si>
    <t>Сверло по металлу 8,0х117х75мм, сталь HSS, DIN 338, 1 шт. KRANZ</t>
  </si>
  <si>
    <t>KR-91-0572</t>
  </si>
  <si>
    <t>Сверло по металлу 9,0х125х81мм, сталь HSS, DIN 338, 1 шт. KRANZ</t>
  </si>
  <si>
    <t>2. 5.11. 7 Сверла по металлу HSS - по 10 (5) шт Kranz</t>
  </si>
  <si>
    <t>KR-91-0603</t>
  </si>
  <si>
    <t>Сверло по металлу 1,0х34х12мм, сталь HSS, DIN 338, 10 шт. KRANZ</t>
  </si>
  <si>
    <t>KR-91-0604</t>
  </si>
  <si>
    <t>Сверло по металлу 1,5х40х18мм, сталь HSS, DIN 338, 10 шт. KRANZ</t>
  </si>
  <si>
    <t>KR-91-0629</t>
  </si>
  <si>
    <t>Сверло по металлу 10,0х133х87мм, сталь HSS, DIN 338, 5 шт. KRANZ</t>
  </si>
  <si>
    <t>KR-91-0605</t>
  </si>
  <si>
    <t>Сверло по металлу 2,0х49х24мм, сталь HSS, DIN 338, 10 шт. KRANZ</t>
  </si>
  <si>
    <t>KR-91-0608</t>
  </si>
  <si>
    <t>Сверло по металлу 2,5х57х30мм, сталь HSS, DIN 338, 10 шт. KRANZ</t>
  </si>
  <si>
    <t>KR-91-0610</t>
  </si>
  <si>
    <t>Сверло по металлу 3,0х61х33мм, сталь HSS, DIN 338, 10 шт. KRANZ</t>
  </si>
  <si>
    <t>KR-91-0611</t>
  </si>
  <si>
    <t>Сверло по металлу 3,2х65х36мм, сталь HSS, DIN 338, 10 шт. KRANZ</t>
  </si>
  <si>
    <t>KR-91-0612</t>
  </si>
  <si>
    <t>Сверло по металлу 3,5х70х39мм, сталь HSS, DIN 338, 10 шт. KRANZ</t>
  </si>
  <si>
    <t>KR-91-0614</t>
  </si>
  <si>
    <t>Сверло по металлу 4,0х75х43мм, сталь HSS, DIN 338, 10 шт. KRANZ</t>
  </si>
  <si>
    <t>KR-91-0616</t>
  </si>
  <si>
    <t>Сверло по металлу 4,2х75х43мм, сталь HSS, DIN 338, 10 шт. KRANZ</t>
  </si>
  <si>
    <t>KR-91-0617</t>
  </si>
  <si>
    <t>Сверло по металлу 4,5х80х47мм, сталь HSS, DIN 338, 10 шт. KRANZ</t>
  </si>
  <si>
    <t>KR-91-0840</t>
  </si>
  <si>
    <t>Сверло по металлу 4,8х86х52мм, сталь HSS, DIN 338, 10 шт. KRANZ</t>
  </si>
  <si>
    <t>KR-91-0618</t>
  </si>
  <si>
    <t>Сверло по металлу 5,0х86х52мм, сталь HSS, DIN 338, 10 шт. KRANZ</t>
  </si>
  <si>
    <t>KR-91-0620</t>
  </si>
  <si>
    <t>Сверло по металлу 5,5х93х57мм, сталь HSS, DIN 338, 10 шт. KRANZ</t>
  </si>
  <si>
    <t>KR-91-0621</t>
  </si>
  <si>
    <t>Сверло по металлу 6,0х93х57мм, сталь HSS, DIN 338, 10 шт. KRANZ</t>
  </si>
  <si>
    <t>KR-91-0623</t>
  </si>
  <si>
    <t>Сверло по металлу 7,0х109х69мм, сталь HSS, DIN 338, 10 шт. KRANZ</t>
  </si>
  <si>
    <t>KR-91-0625</t>
  </si>
  <si>
    <t>Сверло по металлу 8,0х117х75мм, сталь HSS, DIN 338, 5 шт. KRANZ</t>
  </si>
  <si>
    <t>KR-91-0627</t>
  </si>
  <si>
    <t>Сверло по металлу 9,0х125х81мм, сталь HSS, DIN 338, 5 шт. KRANZ</t>
  </si>
  <si>
    <t>2. 5.11. 8 Сверла по металлу HSS/Р6М5 - наборы Kranz</t>
  </si>
  <si>
    <t>KR-91-0634-1</t>
  </si>
  <si>
    <t>Набор сверл по металлу Кобальт, 1,5-10 мм, Р6М5К5, шестигранный хвостовик, 10 шт. KRANZ</t>
  </si>
  <si>
    <t>KR-91-0634</t>
  </si>
  <si>
    <t>Набор сверл по металлу Кобальт, 3-8 мм, Р6М5К5, шестигранный хвостовик, 5 шт. KRANZ</t>
  </si>
  <si>
    <t>KR-91-0622</t>
  </si>
  <si>
    <t>Набор сверл по металлу ТИТАН, 1,5-6,5мм (через 0,5мм, 3,2мм, 4,8мм), сталь HSS, шестигранный хвостовик, 13 шт. KRANZ</t>
  </si>
  <si>
    <t>KR-91-0633</t>
  </si>
  <si>
    <t>Набор сверл по металлу ТИТАН, 1,5-6,5мм (через 0,5мм, 3,2мм, 4,8мм), сталь НSS, цилиндрический хвостовик, металлический кейс, 13 шт. KRANZ</t>
  </si>
  <si>
    <t>KR-91-0638</t>
  </si>
  <si>
    <t>Набор сверл по металлу, 1-10мм (через 0,5мм, 3,2мм, 4,8мм), сталь HSS, цилиндрический хвостовик, металлический кейс, 21 шт. KRANZ</t>
  </si>
  <si>
    <t>KR-91-0635</t>
  </si>
  <si>
    <t>Набор сверл по металлу, 1-10мм (через 0,5мм), Р6М5, цилиндрический хвостовик, 19 шт. KRANZ</t>
  </si>
  <si>
    <t>KR-91-0636</t>
  </si>
  <si>
    <t>Набор сверл по металлу, 1-10мм (через 0,5мм), сталь HSS 4241, цилиндрический хвостовик, 19 шт. KRANZ</t>
  </si>
  <si>
    <t>KR-91-0630</t>
  </si>
  <si>
    <t>Набор сверл по металлу, 1-10мм (через 0,5мм), сталь HSS, цилиндрический хвостовик, металлический кейс, 19 шт. KRANZ</t>
  </si>
  <si>
    <t>KR-91-0637</t>
  </si>
  <si>
    <t>Набор сверл по металлу, 1-13мм (через 0,5мм), сталь HSS, цилиндрический хвостовик, металлический кейс, 25 шт. KRANZ</t>
  </si>
  <si>
    <t>KR-91-0639</t>
  </si>
  <si>
    <t>Набор сверл по металлу, 2-8мм (через 0,5мм), сталь HSS, цилиндрический хвостовик, металлический кейс, 13 шт. KRANZ</t>
  </si>
  <si>
    <t>KR-91-0631</t>
  </si>
  <si>
    <t>Набор сверл по металлу, сталь HSS диаметр 1,5-6,5мм, 13 шт. KRANZ</t>
  </si>
  <si>
    <t>KR-91-0632</t>
  </si>
  <si>
    <t>Набор сверл по металлу, сталь HSS диаметр 4,0-10,0мм, 5 шт. KRANZ</t>
  </si>
  <si>
    <t>2. 5.11. 9 Экстракторы Kranz</t>
  </si>
  <si>
    <t>KR-12-6701</t>
  </si>
  <si>
    <t>Набор экстракторов для шурупов № 1 KRANZ</t>
  </si>
  <si>
    <t>KR-12-6702</t>
  </si>
  <si>
    <t>Набор экстракторов для шурупов № 2 KRANZ</t>
  </si>
  <si>
    <t>KR-12-6703</t>
  </si>
  <si>
    <t>Набор экстракторов для шурупов Профи KRANZ</t>
  </si>
  <si>
    <t>2. 5.11.10 Фрезы, шарошки по металлу Kranz</t>
  </si>
  <si>
    <t>KR-91-0585</t>
  </si>
  <si>
    <t>Набор cверл-фрез по металлу 3-4-5-6-8мм, сталь HSS, ТИТАН, цилиндрический хвостовик, 5 шт. KRANZ</t>
  </si>
  <si>
    <t>KR-91-0699</t>
  </si>
  <si>
    <t>Набор сверл-метчиков (M3x1, M4x1, M5x2, M6x2, M8x2, M10x2) Р6М5, ТИТАН, 10 шт. KRANZ</t>
  </si>
  <si>
    <t>KR-91-0698</t>
  </si>
  <si>
    <t>Сверло-метчик М10, Р6М5 ТИТАН KRANZ</t>
  </si>
  <si>
    <t>KR-91-0693</t>
  </si>
  <si>
    <t>Сверло-метчик М3, Р6М5 ТИТАН KRANZ</t>
  </si>
  <si>
    <t>KR-91-0694</t>
  </si>
  <si>
    <t>Сверло-метчик М4, Р6М5 ТИТАН KRANZ</t>
  </si>
  <si>
    <t>KR-91-0695</t>
  </si>
  <si>
    <t>Сверло-метчик М5, Р6М5 ТИТАН KRANZ</t>
  </si>
  <si>
    <t>KR-91-0696</t>
  </si>
  <si>
    <t>Сверло-метчик М6, Р6М5 ТИТАН KRANZ</t>
  </si>
  <si>
    <t>KR-91-0697</t>
  </si>
  <si>
    <t>Сверло-метчик М8, Р6М5 ТИТАН KRANZ</t>
  </si>
  <si>
    <t>KR-91-0580</t>
  </si>
  <si>
    <t>Сверло-фреза по металлу 3мм, сталь HSS, ТИТАН, цилиндрический хвостовик (1 шт/уп) KRANZ</t>
  </si>
  <si>
    <t>KR-91-0581</t>
  </si>
  <si>
    <t>Сверло-фреза по металлу 4мм, сталь HSS, ТИТАН, цилиндрический хвостовик (1 шт/уп) KRANZ</t>
  </si>
  <si>
    <t>KR-91-0582</t>
  </si>
  <si>
    <t>Сверло-фреза по металлу 5мм, сталь HSS, ТИТАН, цилиндрический хвостовик (1 шт/уп) KRANZ</t>
  </si>
  <si>
    <t>KR-91-0583</t>
  </si>
  <si>
    <t>Сверло-фреза по металлу 6мм, сталь HSS, ТИТАН, цилиндрический хвостовик (1 шт/уп) KRANZ</t>
  </si>
  <si>
    <t>KR-91-0584</t>
  </si>
  <si>
    <t>Сверло-фреза по металлу 8мм, сталь HSS, ТИТАН, цилиндрический хвостовик (1 шт/уп) KRANZ</t>
  </si>
  <si>
    <t>2. 5.12 Оснастка по дереву Kranz</t>
  </si>
  <si>
    <t>2. 5.12. 1 Сверла по дереву перовые 152мм Kranz</t>
  </si>
  <si>
    <t>KR-91-0662</t>
  </si>
  <si>
    <t>Сверло перовое по дереву 10х152 мм шестигранный хвостовик KRANZ</t>
  </si>
  <si>
    <t>KR-91-0663</t>
  </si>
  <si>
    <t>Сверло перовое по дереву 12х152 мм шестигранный хвостовик KRANZ</t>
  </si>
  <si>
    <t>KR-91-0664</t>
  </si>
  <si>
    <t>Сверло перовое по дереву 14х152 мм шестигранный хвостовик KRANZ</t>
  </si>
  <si>
    <t>KR-91-0665</t>
  </si>
  <si>
    <t>Сверло перовое по дереву 16х152 мм шестигранный хвостовик KRANZ</t>
  </si>
  <si>
    <t>KR-91-0666</t>
  </si>
  <si>
    <t>Сверло перовое по дереву 18х152 мм шестигранный хвостовик KRANZ</t>
  </si>
  <si>
    <t>KR-91-0667</t>
  </si>
  <si>
    <t>Сверло перовое по дереву 20х152 мм шестигранный хвостовик KRANZ</t>
  </si>
  <si>
    <t>KR-91-0668</t>
  </si>
  <si>
    <t>Сверло перовое по дереву 22х152 мм шестигранный хвостовик KRANZ</t>
  </si>
  <si>
    <t>KR-91-0669</t>
  </si>
  <si>
    <t>Сверло перовое по дереву 24х152 мм шестигранный хвостовик KRANZ</t>
  </si>
  <si>
    <t>KR-91-0670</t>
  </si>
  <si>
    <t>Сверло перовое по дереву 25х152 мм шестигранный хвостовик KRANZ</t>
  </si>
  <si>
    <t>KR-91-0671</t>
  </si>
  <si>
    <t>Сверло перовое по дереву 28х152 мм шестигранный хвостовик KRANZ</t>
  </si>
  <si>
    <t>KR-91-0672</t>
  </si>
  <si>
    <t>Сверло перовое по дереву 30х152 мм шестигранный хвостовик KRANZ</t>
  </si>
  <si>
    <t>KR-91-0673</t>
  </si>
  <si>
    <t>Сверло перовое по дереву 32х152 мм шестигранный хвостовик KRANZ</t>
  </si>
  <si>
    <t>KR-91-0674</t>
  </si>
  <si>
    <t>Сверло перовое по дереву 35х152 мм шестигранный хвостовик KRANZ</t>
  </si>
  <si>
    <t>KR-91-0675</t>
  </si>
  <si>
    <t>Сверло перовое по дереву 36х152 мм шестигранный хвостовик KRANZ</t>
  </si>
  <si>
    <t>KR-91-0676</t>
  </si>
  <si>
    <t>Сверло перовое по дереву 38х152 мм шестигранный хвостовик KRANZ</t>
  </si>
  <si>
    <t>KR-91-0677</t>
  </si>
  <si>
    <t>Сверло перовое по дереву 40х152 мм шестигранный хвостовик KRANZ</t>
  </si>
  <si>
    <t>KR-91-0678</t>
  </si>
  <si>
    <t>Сверло перовое по дереву 45х152 мм шестигранный хвостовик KRANZ</t>
  </si>
  <si>
    <t>KR-91-0679</t>
  </si>
  <si>
    <t>Сверло перовое по дереву 50х152 мм шестигранный хвостовик KRANZ</t>
  </si>
  <si>
    <t>KR-91-0680</t>
  </si>
  <si>
    <t>Сверло перовое по дереву 55х152 мм шестигранный хвостовик KRANZ</t>
  </si>
  <si>
    <t>KR-91-0660</t>
  </si>
  <si>
    <t>Сверло перовое по дереву 6х152 мм шестигранный хвостовик KRANZ</t>
  </si>
  <si>
    <t>KR-91-0661</t>
  </si>
  <si>
    <t>Сверло перовое по дереву 8х152 мм шестигранный хвостовик KRANZ</t>
  </si>
  <si>
    <t>KR-91-0761</t>
  </si>
  <si>
    <t>Удлинитель сверла перового по дереву 300 мм E 6,3 KRANZ</t>
  </si>
  <si>
    <t>2. 5.12. 2 Наборы перовых сверл по дереву Kranz</t>
  </si>
  <si>
    <t>KR-91-0762</t>
  </si>
  <si>
    <t>Набор сверл перовых по дереву 9 предметов: 14-16-18-20-22-25-30х152 мм, удлинитель, ключ угловой KRANZ</t>
  </si>
  <si>
    <t>2. 5.12. 3 Сверла по дереву винтовые 230 мм Kranz</t>
  </si>
  <si>
    <t>KR-91-0692</t>
  </si>
  <si>
    <t>Сверло винтовое по дереву 10х230мм, шестигранный хвостовик KRANZ</t>
  </si>
  <si>
    <t>KR-91-0702</t>
  </si>
  <si>
    <t>Сверло винтовое по дереву 12х230мм, шестигранный хвостовик KRANZ</t>
  </si>
  <si>
    <t>KR-91-0705</t>
  </si>
  <si>
    <t>Сверло винтовое по дереву 14х230мм, шестигранный хвостовик KRANZ</t>
  </si>
  <si>
    <t>KR-91-0707</t>
  </si>
  <si>
    <t>Сверло винтовое по дереву 16х230мм, шестигранный хвостовик KRANZ</t>
  </si>
  <si>
    <t>KR-91-0709</t>
  </si>
  <si>
    <t>Сверло винтовое по дереву 18х230мм, шестигранный хвостовик KRANZ</t>
  </si>
  <si>
    <t>KR-91-0711</t>
  </si>
  <si>
    <t>Сверло винтовое по дереву 20х230мм, шестигранный хвостовик KRANZ</t>
  </si>
  <si>
    <t>KR-91-0713</t>
  </si>
  <si>
    <t>Сверло винтовое по дереву 22х230мм, шестигранный хвостовик KRANZ</t>
  </si>
  <si>
    <t>KR-91-0715</t>
  </si>
  <si>
    <t>Сверло винтовое по дереву 25х230мм, шестигранный хвостовик KRANZ</t>
  </si>
  <si>
    <t>KR-91-0781</t>
  </si>
  <si>
    <t>Сверло винтовое по дереву 28х230мм, шестигранный хвостовик KRANZ</t>
  </si>
  <si>
    <t>KR-91-0718</t>
  </si>
  <si>
    <t>Сверло винтовое по дереву 30х230мм, шестигранный хвостовик KRANZ</t>
  </si>
  <si>
    <t>KR-91-0721</t>
  </si>
  <si>
    <t>Сверло винтовое по дереву 32х230мм, шестигранный хвостовик KRANZ</t>
  </si>
  <si>
    <t>KR-91-0724</t>
  </si>
  <si>
    <t>Сверло винтовое по дереву 35х230мм, шестигранный хвостовик KRANZ</t>
  </si>
  <si>
    <t>KR-91-0729</t>
  </si>
  <si>
    <t>Сверло винтовое по дереву 40х230мм, шестигранный хвостовик KRANZ</t>
  </si>
  <si>
    <t>KR-91-0778</t>
  </si>
  <si>
    <t>Сверло винтовое по дереву 6х230мм, шестигранный хвостовик KRANZ</t>
  </si>
  <si>
    <t>KR-91-0733</t>
  </si>
  <si>
    <t>Сверло винтовое по дереву 8х230мм, шестигранный хвостовик KRANZ</t>
  </si>
  <si>
    <t>KR-91-0783</t>
  </si>
  <si>
    <t>Удлинитель сверла винтового по дереву 140мм, шестигранный хвостовик KRANZ</t>
  </si>
  <si>
    <t>2. 5.12. 4 Сверла по дереву винтовые 460 мм Kranz</t>
  </si>
  <si>
    <t>KR-91-0701</t>
  </si>
  <si>
    <t>Сверло винтовое по дереву 10х460мм, шестигранный хвостовик KRANZ</t>
  </si>
  <si>
    <t>KR-91-0703</t>
  </si>
  <si>
    <t>Сверло винтовое по дереву 12х460мм, шестигранный хвостовик KRANZ</t>
  </si>
  <si>
    <t>KR-91-0706</t>
  </si>
  <si>
    <t>Сверло винтовое по дереву 14х460мм, шестигранный хвостовик KRANZ</t>
  </si>
  <si>
    <t>KR-91-0708</t>
  </si>
  <si>
    <t>Сверло винтовое по дереву 16х460мм, шестигранный хвостовик KRANZ</t>
  </si>
  <si>
    <t>KR-91-0710</t>
  </si>
  <si>
    <t>Сверло винтовое по дереву 18х460мм, шестигранный хвостовик KRANZ</t>
  </si>
  <si>
    <t>KR-91-0712</t>
  </si>
  <si>
    <t>Сверло винтовое по дереву 20х460мм, шестигранный хвостовик KRANZ</t>
  </si>
  <si>
    <t>KR-91-0714</t>
  </si>
  <si>
    <t>Сверло винтовое по дереву 22х460мм, шестигранный хвостовик KRANZ</t>
  </si>
  <si>
    <t>KR-91-0780</t>
  </si>
  <si>
    <t>Сверло винтовое по дереву 24х460мм, шестигранный хвостовик KRANZ</t>
  </si>
  <si>
    <t>KR-91-0716</t>
  </si>
  <si>
    <t>Сверло винтовое по дереву 25х460мм, шестигранный хвостовик KRANZ</t>
  </si>
  <si>
    <t>KR-91-0782</t>
  </si>
  <si>
    <t>Сверло винтовое по дереву 26х460мм, шестигранный хвостовик KRANZ</t>
  </si>
  <si>
    <t>KR-91-0760</t>
  </si>
  <si>
    <t>Сверло винтовое по дереву 28х460мм, шестигранный хвостовик KRANZ</t>
  </si>
  <si>
    <t>KR-91-0719</t>
  </si>
  <si>
    <t>Сверло винтовое по дереву 30х460мм, шестигранный хвостовик KRANZ</t>
  </si>
  <si>
    <t>KR-91-0722</t>
  </si>
  <si>
    <t>Сверло винтовое по дереву 32х460мм, шестигранный хвостовик KRANZ</t>
  </si>
  <si>
    <t>KR-91-0725</t>
  </si>
  <si>
    <t>Сверло винтовое по дереву 35х460мм, шестигранный хвостовик KRANZ</t>
  </si>
  <si>
    <t>KR-91-0730</t>
  </si>
  <si>
    <t>Сверло винтовое по дереву 40х460мм, шестигранный хвостовик KRANZ</t>
  </si>
  <si>
    <t>KR-91-0779</t>
  </si>
  <si>
    <t>Сверло винтовое по дереву 8х460мм, шестигранный хвостовик KRANZ</t>
  </si>
  <si>
    <t>2. 5.12. 5 Сверла по дереву до 230 мм ц/х Kranz</t>
  </si>
  <si>
    <t>KR-91-0739</t>
  </si>
  <si>
    <t>Сверло по дереву 10х130 мм, цилиндрический хвостовик KRANZ</t>
  </si>
  <si>
    <t>KR-91-0740</t>
  </si>
  <si>
    <t>Сверло по дереву 12х150 мм, цилиндрический хвостовик KRANZ</t>
  </si>
  <si>
    <t>KR-91-0734</t>
  </si>
  <si>
    <t>Сверло по дереву 5х85 мм, цилиндрический хвостовик KRANZ</t>
  </si>
  <si>
    <t>KR-91-0735</t>
  </si>
  <si>
    <t>Сверло по дереву 6х90 мм, цилиндрический хвостовик KRANZ</t>
  </si>
  <si>
    <t>KR-91-0736</t>
  </si>
  <si>
    <t>Сверло по дереву 7х105 мм, цилиндрический хвостовик KRANZ</t>
  </si>
  <si>
    <t>KR-91-0737</t>
  </si>
  <si>
    <t>Сверло по дереву 8х115 мм, цилиндрический хвостовик KRANZ</t>
  </si>
  <si>
    <t>KR-91-0738</t>
  </si>
  <si>
    <t>Сверло по дереву 9х125 мм, цилиндрический хвостовик KRANZ</t>
  </si>
  <si>
    <t>2. 5.12. 6 Наборы сверл по дереву до 230 мм ц/х Kranz</t>
  </si>
  <si>
    <t>KR-91-0750</t>
  </si>
  <si>
    <t>Набор сверл по дереву 4-10 мм, 5 шт. KRANZ</t>
  </si>
  <si>
    <t>2. 5.12. 7 Диски по дереву Kranz</t>
  </si>
  <si>
    <t>KR-92-0122</t>
  </si>
  <si>
    <t>Диск пильный  210 мм х 40 зуб х 30 мм KRANZ</t>
  </si>
  <si>
    <t>KR-92-0102</t>
  </si>
  <si>
    <t>Диск пильный 125 мм х 12 зуб х 22.23 мм KRANZ</t>
  </si>
  <si>
    <t>KR-92-0100</t>
  </si>
  <si>
    <t>Диск пильный 125 мм х 3 зуб х 22,23 мм KRANZ</t>
  </si>
  <si>
    <t>KR-92-0103</t>
  </si>
  <si>
    <t>Диск пильный 125 мм х 48 зуб х 22,23 мм  KRANZ</t>
  </si>
  <si>
    <t>24.11.2026</t>
  </si>
  <si>
    <t>KR-92-0101</t>
  </si>
  <si>
    <t>Диск пильный 125 мм х 6 зуб х 22,23 мм KRANZ</t>
  </si>
  <si>
    <t>KR-92-0107</t>
  </si>
  <si>
    <t>Диск пильный 160 мм х 32 зуб х 20/16 мм KRANZ</t>
  </si>
  <si>
    <t>KR-92-0108</t>
  </si>
  <si>
    <t>Диск пильный 160 мм х 48 зуб х 20/16 мм KRANZ</t>
  </si>
  <si>
    <t>KR-92-0105</t>
  </si>
  <si>
    <t>Диск пильный 165 мм х 24 зуб х 20/16 мм KRANZ</t>
  </si>
  <si>
    <t>KR-92-0106</t>
  </si>
  <si>
    <t>Диск пильный 165 мм х 30 зуб х 20/16 мм KRANZ</t>
  </si>
  <si>
    <t>KR-92-0109</t>
  </si>
  <si>
    <t>Диск пильный 184 мм х 30 зуб х 20/16 мм KRANZ</t>
  </si>
  <si>
    <t>KR-92-0110</t>
  </si>
  <si>
    <t>Диск пильный 184 мм х 40 зуб х 20/16 мм KRANZ</t>
  </si>
  <si>
    <t>KR-92-0111</t>
  </si>
  <si>
    <t>Диск пильный 185 мм х 40 зуб х 30/20 мм KRANZ</t>
  </si>
  <si>
    <t>KR-92-0112</t>
  </si>
  <si>
    <t>Диск пильный 190 мм х 18 зуб х 30/20 мм KRANZ</t>
  </si>
  <si>
    <t>KR-92-0113</t>
  </si>
  <si>
    <t>Диск пильный 190 мм х 24 зуб х 30/20 мм KRANZ</t>
  </si>
  <si>
    <t>KR-92-0114</t>
  </si>
  <si>
    <t>Диск пильный 190 мм х 32 зуб х 30/20 мм KRANZ</t>
  </si>
  <si>
    <t>KR-92-0115</t>
  </si>
  <si>
    <t>Диск пильный 190 мм х 48 зуб х 30/20 мм KRANZ</t>
  </si>
  <si>
    <t>KR-92-0117</t>
  </si>
  <si>
    <t>Диск пильный 200 мм х 36 зуб х 30/20 мм KRANZ</t>
  </si>
  <si>
    <t>KR-92-0118</t>
  </si>
  <si>
    <t>Диск пильный 200 мм х 48 зуб х 30/20 мм KRANZ</t>
  </si>
  <si>
    <t>KR-92-0119</t>
  </si>
  <si>
    <t>Диск пильный 200 мм х 56 зуб х 30/20 мм KRANZ</t>
  </si>
  <si>
    <t>KR-92-0120</t>
  </si>
  <si>
    <t>Диск пильный 210 мм х 24 зуб х 30 мм KRANZ</t>
  </si>
  <si>
    <t>KR-92-0121</t>
  </si>
  <si>
    <t>Диск пильный 210 мм х 36 зуб х 30 мм KRANZ</t>
  </si>
  <si>
    <t>KR-92-0123</t>
  </si>
  <si>
    <t>Диск пильный 210 мм х 56 зуб х 30 мм KRANZ</t>
  </si>
  <si>
    <t>KR-92-0124</t>
  </si>
  <si>
    <t>Диск пильный 235 мм х 40 зуб х 30 мм KRANZ</t>
  </si>
  <si>
    <t>KR-92-0125</t>
  </si>
  <si>
    <t>Диск пильный 235 мм х 48 зуб х 30 мм KRANZ</t>
  </si>
  <si>
    <t>KR-92-0126</t>
  </si>
  <si>
    <t>Диск пильный 250 мм х 24 зуб х 30 мм KRANZ</t>
  </si>
  <si>
    <t>KR-92-0127</t>
  </si>
  <si>
    <t>Диск пильный 250 мм х 36 зуб х 32/30 мм KRANZ</t>
  </si>
  <si>
    <t>KR-92-0128</t>
  </si>
  <si>
    <t>Диск пильный 250 мм х 48 зуб х 32/30 мм KRANZ</t>
  </si>
  <si>
    <t>KR-92-0129</t>
  </si>
  <si>
    <t>Диск пильный 250 мм х 60 зуб х 32/30 мм KRANZ</t>
  </si>
  <si>
    <t>KR-92-0130</t>
  </si>
  <si>
    <t>Диск пильный 254 мм х 48 зуб х 32/30 мм KRANZ</t>
  </si>
  <si>
    <t>KR-92-0131</t>
  </si>
  <si>
    <t>Диск пильный 255 мм х 60 зуб х 32/30 мм KRANZ</t>
  </si>
  <si>
    <t>KR-92-0132</t>
  </si>
  <si>
    <t>Диск пильный 300 мм х 36 зуб х 32/30 мм KRANZ</t>
  </si>
  <si>
    <t>KR-92-0133</t>
  </si>
  <si>
    <t>Диск пильный 300 мм х 48 зуб х 32/30 мм KRANZ</t>
  </si>
  <si>
    <t>KR-92-0136</t>
  </si>
  <si>
    <t>Диск пильный 305 мм х 100 зуб х 32/30 мм KRANZ</t>
  </si>
  <si>
    <t>KR-92-0134</t>
  </si>
  <si>
    <t>Диск пильный 305 мм х 24 зуб х 32/30 мм KRANZ</t>
  </si>
  <si>
    <t>KR-92-0135</t>
  </si>
  <si>
    <t>Диск пильный 305 мм х 60 зуб х 32/30 мм KRANZ</t>
  </si>
  <si>
    <t>2. 5.12. 8 Пилки для электролобзика Kranz</t>
  </si>
  <si>
    <t>KR-92-0303</t>
  </si>
  <si>
    <t>Пилка для электролобзика 100 мм 10 з/д 4-30 мм T101B (2 шт./уп.) (дерево) KRANZ</t>
  </si>
  <si>
    <t>KR-92-0301</t>
  </si>
  <si>
    <t>Пилка для электролобзика 100 мм 10 з/д 4-30 мм обр. зуб. T101BR (2 шт./уп.) (дерево) KRANZ</t>
  </si>
  <si>
    <t>KR-92-0304</t>
  </si>
  <si>
    <t>Пилка для электролобзика 100 мм 6 з/д 6-60 мм T101D (2 шт./уп.) (дерево) KRANZ</t>
  </si>
  <si>
    <t>KR-92-0308</t>
  </si>
  <si>
    <t>Пилка для электролобзика 100 мм 6 з/д 8-60 мм T144D (2 шт./уп.) (дерево) KRANZ</t>
  </si>
  <si>
    <t>KR-92-0305</t>
  </si>
  <si>
    <t>Пилка для электролобзика 100 мм 8 з/д 5-60 мм T111C (2 шт./уп.) (дерево) KRANZ</t>
  </si>
  <si>
    <t>KR-92-0307</t>
  </si>
  <si>
    <t>Пилка для электролобзика 115 мм 8 з/д 6-60 мм T301CD (2 шт./уп.) (дерево) KRANZ</t>
  </si>
  <si>
    <t>KR-92-0302</t>
  </si>
  <si>
    <t>Пилка для электролобзика 75 мм 20 з/д 2-20 мм фигурный рез T101AO (2 шт./уп.) (дерево) KRANZ</t>
  </si>
  <si>
    <t>KR-92-0306</t>
  </si>
  <si>
    <t>Пилка для электролобзика 75 мм 21 з/д 1,5-3 мм T118A (2 шт./уп.) (металл) KRANZ</t>
  </si>
  <si>
    <t>KR-92-0319</t>
  </si>
  <si>
    <t>Пилка для электролобзика по дереву T111D 100 мм 6 зубьев на дюйм 6-60 мм (2 шт./уп.) KRANZ</t>
  </si>
  <si>
    <t>KR-92-0310</t>
  </si>
  <si>
    <t>Пилка для электролобзика по дереву T119B 76 мм 12 зубьев на дюйм 4-30 мм (2 шт./уп.) KRANZ</t>
  </si>
  <si>
    <t>KR-92-0316</t>
  </si>
  <si>
    <t>Пилка для электролобзика по дереву T119BL 132 мм 12 зубьев на дюйм 4-100 мм (2 шт./уп.) KRANZ</t>
  </si>
  <si>
    <t>KR-92-0317</t>
  </si>
  <si>
    <t>Пилка для электролобзика по дереву T144DP 100 мм 6 зубьев на дюйм 8-60 мм (2 шт./уп.) KRANZ</t>
  </si>
  <si>
    <t>KR-92-0312</t>
  </si>
  <si>
    <t>Пилка для электролобзика по дереву T244D 100 мм 6 зубьев на дюйм 8-60 мм фигурный рез (2 шт./уп.) KRANZ</t>
  </si>
  <si>
    <t>KR-92-0314</t>
  </si>
  <si>
    <t>Пилка для электролобзика по дереву T301DL 132 мм 6 зубьев на дюйм 6-85 мм (2 шт./уп.) KRANZ</t>
  </si>
  <si>
    <t>KR-92-0309</t>
  </si>
  <si>
    <t>Пилка для электролобзика по дереву T344D 152 мм 6 зубьев на дюйм 8-100 мм (2 шт./уп.) KRANZ</t>
  </si>
  <si>
    <t>KR-92-0313</t>
  </si>
  <si>
    <t>Пилка для электролобзика по металлу T118B 76 мм 12 зубьев на дюйм 3-6 мм (2 шт./уп.) KRANZ</t>
  </si>
  <si>
    <t>KR-92-0315</t>
  </si>
  <si>
    <t>Пилка для электролобзика по металлу T118G 76 мм 25 зубьев на дюйм 0,9-1,2 мм (2 шт./уп.) KRANZ</t>
  </si>
  <si>
    <t>KR-92-0318</t>
  </si>
  <si>
    <t>Пилка для электролобзика по мягкому металлу T127D 100 мм 8 зубьев на дюйм 4-20 мм (2 шт./уп.) KRANZ</t>
  </si>
  <si>
    <t>KR-92-0311</t>
  </si>
  <si>
    <t>Пилка для электролобзика по оргстеклу T119BO 76 мм 12 зубьев на дюйм 4-20 мм фигурный рез (2 шт./уп.) KRANZ</t>
  </si>
  <si>
    <t>2. 5.12. 9 Наборы пилок для электролобзика Kranz</t>
  </si>
  <si>
    <t>KR-92-0321</t>
  </si>
  <si>
    <t>Набор полотен для электролобзика № 1 T101B/T111C/T119BO (3 шт./уп.) KRANZ</t>
  </si>
  <si>
    <t>KR-92-0320</t>
  </si>
  <si>
    <t>Набор полотен для электролобзика № 2 T101B/T118A/T244D (3 шт./уп.) KRANZ</t>
  </si>
  <si>
    <t>KR-92-0322</t>
  </si>
  <si>
    <t>Набор полотен для электролобзика № 3 T144D/T101BR/T119BO (3 шт./уп.) KRANZ</t>
  </si>
  <si>
    <t>KR-92-0323</t>
  </si>
  <si>
    <t>Набор полотен для электролобзика № 4 T101D/T111C/T244D (3 шт./уп.) KRANZ</t>
  </si>
  <si>
    <t>2. 5.12.10 Коронки по дереву Kranz</t>
  </si>
  <si>
    <t>KR-92-0262</t>
  </si>
  <si>
    <t>Набор для установки врезных замков, 22 мм/48 мм (перовое сверло/кольцевая пила) KRANZ</t>
  </si>
  <si>
    <t>KR-92-0263</t>
  </si>
  <si>
    <t>Набор для установки врезных замков, 22 мм/54 мм (перовое сверло/кольцевая пила) KRANZ</t>
  </si>
  <si>
    <t>KR-92-0253</t>
  </si>
  <si>
    <t>Набор кольцевых пил по дереву, 19-127 мм, 16 предметов KRANZ</t>
  </si>
  <si>
    <t>KR-92-0252</t>
  </si>
  <si>
    <t>Набор кольцевых пил по дереву, 64-127 мм, 9 предметов KRANZ</t>
  </si>
  <si>
    <t>KR-92-0251</t>
  </si>
  <si>
    <t>Набор коронок по дереву (19, 22, 28, 32, 38, 44, 54, 64 мм) 2 держателя с ключом KRANZ</t>
  </si>
  <si>
    <t>KR-92-0256</t>
  </si>
  <si>
    <t>Пила кольцевая, 26, 32, 38, 45, 50, 56, 63 мм, глубина пропила 1" KRANZ</t>
  </si>
  <si>
    <t>KR-92-0257</t>
  </si>
  <si>
    <t>Пила кольцевая, 26, 32, 38, 45, 50, 56, 63 мм, глубина пропила 2" KRANZ</t>
  </si>
  <si>
    <t>KR-92-0255</t>
  </si>
  <si>
    <t>Пила кольцевая, 60, 67, 74, 81, 95 мм, глубина пропила 1,5" KRANZ</t>
  </si>
  <si>
    <t>2. 5.12.11 Сверла по дереву перовые 300мм Kranz</t>
  </si>
  <si>
    <t>KR-91-0770</t>
  </si>
  <si>
    <t>Сверло перовое по дереву 12х300 мм, шестигранный хвостовик KRANZ</t>
  </si>
  <si>
    <t>KR-91-0771</t>
  </si>
  <si>
    <t>Сверло перовое по дереву 16х300 мм, шестигранный хвостовик KRANZ</t>
  </si>
  <si>
    <t>KR-91-0772</t>
  </si>
  <si>
    <t>Сверло перовое по дереву 20х300 мм, шестигранный хвостовик KRANZ</t>
  </si>
  <si>
    <t>KR-91-0773</t>
  </si>
  <si>
    <t>Сверло перовое по дереву 22х300 мм, шестигранный хвостовик KRANZ</t>
  </si>
  <si>
    <t>KR-91-0774</t>
  </si>
  <si>
    <t>Сверло перовое по дереву 25х300 мм, шестигранный хвостовик KRANZ</t>
  </si>
  <si>
    <t>KR-91-0775</t>
  </si>
  <si>
    <t>Сверло перовое по дереву 30х300 мм, шестигранный хвостовик KRANZ</t>
  </si>
  <si>
    <t>KR-91-0776</t>
  </si>
  <si>
    <t>Сверло перовое по дереву 32х300 мм, шестигранный хвостовик KRANZ</t>
  </si>
  <si>
    <t>KR-91-0777</t>
  </si>
  <si>
    <t>Сверло перовое по дереву 35х300 мм, шестигранный хвостовик KRANZ</t>
  </si>
  <si>
    <t>2. 5.12.12 Сверла форстнера Kranz</t>
  </si>
  <si>
    <t>KR-91-0792</t>
  </si>
  <si>
    <t>Набор сверл Форстнера (петельных) по дереву, 10-15-20-25-35 х 73мм, 5 шт, цилиндрический хвостовик KRANZ</t>
  </si>
  <si>
    <t>KR-91-0786</t>
  </si>
  <si>
    <t>Сверло Форстнера по дереву, 15мм, цилиндрический хвостовик KRANZ</t>
  </si>
  <si>
    <t>KR-91-0787</t>
  </si>
  <si>
    <t>Сверло Форстнера по дереву, 20мм, цилиндрический хвостовик KRANZ</t>
  </si>
  <si>
    <t>KR-91-0788</t>
  </si>
  <si>
    <t>Сверло Форстнера по дереву, 22мм, цилиндрический хвостовик KRANZ</t>
  </si>
  <si>
    <t>KR-91-0790</t>
  </si>
  <si>
    <t>Сверло Форстнера по дереву, 30мм, цилиндрический хвостовик KRANZ</t>
  </si>
  <si>
    <t>KR-91-0791</t>
  </si>
  <si>
    <t>Сверло Форстнера по дереву, 35мм, цилиндрический хвостовик KRANZ</t>
  </si>
  <si>
    <t>KR-91-0793</t>
  </si>
  <si>
    <t>Сверло Форстнера по дереву, 40мм, цилиндрический хвостовик KRANZ</t>
  </si>
  <si>
    <t>KR-91-0794</t>
  </si>
  <si>
    <t>Сверло Форстнера по дереву, 50мм, цилиндрический хвостовик KRANZ</t>
  </si>
  <si>
    <t>KR-91-0795</t>
  </si>
  <si>
    <t>Сверло Форстнера по дереву, 60мм, цилиндрический хвостовик KRANZ</t>
  </si>
  <si>
    <t>2. 5.12.13 Регулируемые сверла по дереву и наборы</t>
  </si>
  <si>
    <t>KR-91-0798</t>
  </si>
  <si>
    <t>Набор борфрез (шарошек) по дереву, 5 шт KRANZ</t>
  </si>
  <si>
    <t>KR-91-0799</t>
  </si>
  <si>
    <t>Сверло по дереву Балеринка, регулируемое, 30-120мм KRANZ</t>
  </si>
  <si>
    <t>2. 5.13 Оснастка по керамике Kranz</t>
  </si>
  <si>
    <t>2. 5.13. 1 Сверла по керамике Ц/Х (цилиндрический хвостовик) Kranz</t>
  </si>
  <si>
    <t>KR-12-6806</t>
  </si>
  <si>
    <t>Сверло по стеклу и керамике 10 мм, 2 грани, цилиндр. хвостовик KRANZ</t>
  </si>
  <si>
    <t>KR-12-6807</t>
  </si>
  <si>
    <t>Сверло по стеклу и керамике 12 мм, 2 грани, цилиндр. хвостовик KRANZ</t>
  </si>
  <si>
    <t>KR-12-6801</t>
  </si>
  <si>
    <t>Сверло по стеклу и керамике 3 мм, 2 грани, цилиндр. хвостовик KRANZ</t>
  </si>
  <si>
    <t>KR-12-6802</t>
  </si>
  <si>
    <t>Сверло по стеклу и керамике 4 мм, 2 грани, цилиндр. хвостовик KRANZ</t>
  </si>
  <si>
    <t>KR-12-6803</t>
  </si>
  <si>
    <t>Сверло по стеклу и керамике 5 мм, 2 грани, цилиндр. хвостовик KRANZ</t>
  </si>
  <si>
    <t>KR-12-6804</t>
  </si>
  <si>
    <t>Сверло по стеклу и керамике 6 мм, 2 грани, цилиндр. хвостовик KRANZ</t>
  </si>
  <si>
    <t>KR-12-6805</t>
  </si>
  <si>
    <t>Сверло по стеклу и керамике 8 мм, 2 грани, цилиндр. хвостовик KRANZ</t>
  </si>
  <si>
    <t>2. 5.13. 2 Сверла по керамике шестигранный хвостовик 2 грани Kranz</t>
  </si>
  <si>
    <t>KR-91-0655</t>
  </si>
  <si>
    <t>Набор сверл по керамической плитке, 5-6-8мм, шестигранный хвостовик KRANZ</t>
  </si>
  <si>
    <t>KR-91-0645</t>
  </si>
  <si>
    <t>Сверло по стеклу и керамике 12 мм, 2 грани, шестигранный хвостовик KRANZ</t>
  </si>
  <si>
    <t>KR-91-0640</t>
  </si>
  <si>
    <t>Сверло по стеклу и керамике 4 мм, 2 грани, шестигранный хвостовик KRANZ</t>
  </si>
  <si>
    <t>KR-91-0641</t>
  </si>
  <si>
    <t>Сверло по стеклу и керамике 5 мм, 2 грани, шестигранный хвостовик KRANZ</t>
  </si>
  <si>
    <t>KR-91-0642</t>
  </si>
  <si>
    <t>Сверло по стеклу и керамике 6 мм, 2 грани, шестигранный хвостовик KRANZ</t>
  </si>
  <si>
    <t>KR-91-0643</t>
  </si>
  <si>
    <t>Сверло по стеклу и керамике 8 мм, 2 грани, шестигранный хвостовик KRANZ</t>
  </si>
  <si>
    <t>KR-91-0644</t>
  </si>
  <si>
    <t>Сверло по стеклу и керамике10 мм, 2 грани, шестигранный хвостовик KRANZ</t>
  </si>
  <si>
    <t>2. 5.13. 3 Cверла по керамике шестигранный хвостовик 4 грани Kranz</t>
  </si>
  <si>
    <t>KR-91-0653</t>
  </si>
  <si>
    <t>Набор сверл по стеклу и керамике, сухое сверление, 4-10 мм, 5 шт, пластиковый кейс KRANZ</t>
  </si>
  <si>
    <t>KR-91-0648</t>
  </si>
  <si>
    <t>Сверло по стеклу и керамике  5 мм, 4 грани, шестигранный хвостовик KRANZ</t>
  </si>
  <si>
    <t>KR-91-0649</t>
  </si>
  <si>
    <t>Сверло по стеклу и керамике  6 мм, 4 грани, шестигранный хвостовик KRANZ</t>
  </si>
  <si>
    <t>KR-91-0650</t>
  </si>
  <si>
    <t>Сверло по стеклу и керамике  8 мм, 4 грани, шестигранный хвостовик KRANZ</t>
  </si>
  <si>
    <t>KR-91-0652</t>
  </si>
  <si>
    <t>Сверло по стеклу и керамике 12 мм, 4 грани, шестигранный хвостовик KRANZ</t>
  </si>
  <si>
    <t>KR-91-0646</t>
  </si>
  <si>
    <t>Сверло по стеклу и керамике 3 мм, 4 грани, шестигранный хвостовик KRANZ</t>
  </si>
  <si>
    <t>KR-91-0647</t>
  </si>
  <si>
    <t>Сверло по стеклу и керамике 4 мм, 4 грани, шестигранный хвостовик KRANZ</t>
  </si>
  <si>
    <t>KR-91-0769</t>
  </si>
  <si>
    <t>Сверло по стеклу и керамике, сухое сверление, 10мм, шестигранный хвостовик KRANZ</t>
  </si>
  <si>
    <t>KR-91-0765</t>
  </si>
  <si>
    <t>Сверло по стеклу и керамике, сухое сверление, 5мм, шестигранный хвостовик KRANZ</t>
  </si>
  <si>
    <t>KR-91-0766</t>
  </si>
  <si>
    <t>Сверло по стеклу и керамике, сухое сверление, 6мм, шестигранный хвостовик KRANZ</t>
  </si>
  <si>
    <t>KR-91-0768</t>
  </si>
  <si>
    <t>Сверло по стеклу и керамике, сухое сверление, 8мм, шестигранный хвостовик KRANZ</t>
  </si>
  <si>
    <t>KR-91-0651</t>
  </si>
  <si>
    <t>Сверло по стеклу и керамике10 мм, 4 грани, шестигранный хвостовик KRANZ</t>
  </si>
  <si>
    <t>2. 5.13. 4 Регулируемые сверла по плитке и наборы Kranz</t>
  </si>
  <si>
    <t>KR-91-0656</t>
  </si>
  <si>
    <t>Сверло по кафелю и плитке Балеринка, регулируемое, 30-130мм KRANZ</t>
  </si>
  <si>
    <t>2. 5.14 Насадки для шуруповерта Kranz</t>
  </si>
  <si>
    <t>2. 5.14. 1 Биты по 5 (10) шт. Kranz</t>
  </si>
  <si>
    <t>KR-12-6212</t>
  </si>
  <si>
    <t>Бита PH 1x50 мм для шуруповерта сталь S2 5 шт. (лента) KRANZ</t>
  </si>
  <si>
    <t>KR-12-6222</t>
  </si>
  <si>
    <t>Бита PH 2x50 мм для шуруповерта сталь S2 5 шт. (лента) KRANZ</t>
  </si>
  <si>
    <t>KR-92-0413</t>
  </si>
  <si>
    <t>Бита PH1х50 мм для шуруповерта (упак. 10 шт.) KRANZ</t>
  </si>
  <si>
    <t>KR-92-0409</t>
  </si>
  <si>
    <t>Бита PH2х110 мм для шуруповерта (упак. 5 шт.) KRANZ</t>
  </si>
  <si>
    <t>KR-92-0410</t>
  </si>
  <si>
    <t>Бита PH2х127 мм для шуруповерта (упак. 5 шт.) KRANZ</t>
  </si>
  <si>
    <t>KR-92-0411</t>
  </si>
  <si>
    <t>Бита PH2х150 мм для шуруповерта (упак. 10 шт.) KRANZ</t>
  </si>
  <si>
    <t>KR-92-0414</t>
  </si>
  <si>
    <t>Бита PH2х25 мм для шуруповерта (упак. 25 шт.) KRANZ</t>
  </si>
  <si>
    <t>KR-92-0415</t>
  </si>
  <si>
    <t>Бита PH2х50 мм для шуруповерта (упак. 10 шт.) KRANZ</t>
  </si>
  <si>
    <t>KR-92-0416</t>
  </si>
  <si>
    <t>Бита PH2х70 мм для шуруповерта  (упак. 10 шт.) KRANZ</t>
  </si>
  <si>
    <t>KR-92-0412</t>
  </si>
  <si>
    <t>Бита PH2х90 мм для шуруповерта (упак. 5 шт.) KRANZ</t>
  </si>
  <si>
    <t>KR-12-6312</t>
  </si>
  <si>
    <t>Бита PZ 1x50 мм для шуруповерта сталь S2 5 шт. (лента) KRANZ</t>
  </si>
  <si>
    <t>KR-12-6322</t>
  </si>
  <si>
    <t>Бита PZ 2x50 мм для шуруповерта сталь S2 5 шт. (лента) KRANZ</t>
  </si>
  <si>
    <t>KR-92-0418</t>
  </si>
  <si>
    <t>Бита PZ1х50 мм для шуруповерта (упак. 10 шт.) KRANZ</t>
  </si>
  <si>
    <t>KR-92-0425</t>
  </si>
  <si>
    <t>Бита Torx T-10х50 мм для шуруповерта (упак. 10 шт.) KRANZ</t>
  </si>
  <si>
    <t>KR-92-0426</t>
  </si>
  <si>
    <t>Бита Torx T-15х50 мм для шуруповерта (упак. 10 шт.) KRANZ</t>
  </si>
  <si>
    <t>KR-92-0427</t>
  </si>
  <si>
    <t>Бита Torx T-20х50 мм для шуруповерта (упак. 10 шт.) KRANZ</t>
  </si>
  <si>
    <t>KR-92-0428</t>
  </si>
  <si>
    <t>Бита Torx T-25х50 мм для шуруповерта (упак. 10 шт.) KRANZ</t>
  </si>
  <si>
    <t>KR-92-0429</t>
  </si>
  <si>
    <t>Бита Torx T-27х50 мм для шуруповерта (упак. 10 шт.) KRANZ</t>
  </si>
  <si>
    <t>KR-92-0421</t>
  </si>
  <si>
    <t>Бита шестигранная HEX-3х50 мм для шуруповерта (упак. 10 шт.) KRANZ</t>
  </si>
  <si>
    <t>KR-92-0422</t>
  </si>
  <si>
    <t>Бита шестигранная HEX-4х50 мм для шуруповерта (упак. 10 шт.) KRANZ</t>
  </si>
  <si>
    <t>KR-92-0424</t>
  </si>
  <si>
    <t>Бита шестигранная HEX-6х50 мм для шуруповерта (упак. 10 шт.) KRANZ</t>
  </si>
  <si>
    <t>2. 5.14. 2 Комбинированные наборы Kranz</t>
  </si>
  <si>
    <t>KR-92-0460-1</t>
  </si>
  <si>
    <t>Набор для зачистки проводов, мягкий чехол, 6 предметов KRANZ</t>
  </si>
  <si>
    <t>KR-92-0470</t>
  </si>
  <si>
    <t>Набор сверл комбинированный, 10 предметов KRANZ</t>
  </si>
  <si>
    <t>2. 5.14. 3 Наборы бит Kranz</t>
  </si>
  <si>
    <t>KR-92-0452</t>
  </si>
  <si>
    <t>Мини-набор бит двухсторонних PH2xPH2, PH1xPH3-50 мм (2 биты на блистере) KRANZ</t>
  </si>
  <si>
    <t>KR-92-0453</t>
  </si>
  <si>
    <t>Мини-набор бит двухсторонних PZ2xPZ2, PZ1xPZ3-50 мм (2 биты на блистере) KRANZ</t>
  </si>
  <si>
    <t>KR-92-0433</t>
  </si>
  <si>
    <t>Набор бит 25 мм PH1, PH2, PZ1, PZ2, SL5.5, T30 с магнитным держателем (7 шт./уп.) Kranz</t>
  </si>
  <si>
    <t>KR-92-0462</t>
  </si>
  <si>
    <t>Набор бит с магнитным держателем 25-50 мм, 49 шт. (50 шт./уп.) KRANZ</t>
  </si>
  <si>
    <t>KR-92-0466</t>
  </si>
  <si>
    <t>Набор бит с магнитным держателем, пластиковый кейс, 10 шт KRANZ</t>
  </si>
  <si>
    <t>KR-92-0465</t>
  </si>
  <si>
    <t>Набор бит с магнитным держателем, пластиковый кейс, 19 шт KRANZ</t>
  </si>
  <si>
    <t>KR-92-0464</t>
  </si>
  <si>
    <t>Набор бит с магнитным держателем, пластиковый кейс, 32 шт KRANZ</t>
  </si>
  <si>
    <t>KR-92-0461</t>
  </si>
  <si>
    <t>Набор насадок на шуруповерт PH2, PZ2 с магнитным держателем 50 мм, головка 8 мм, 10 мм KRANZ</t>
  </si>
  <si>
    <t>KR-92-0463</t>
  </si>
  <si>
    <t>Набор торсионных бит с магнитным держателем и торцевыми головками, пластиковый кейс, 41 шт KRANZ</t>
  </si>
  <si>
    <t>2. 5.14. 4 Ключи-насадки Kranz</t>
  </si>
  <si>
    <t>KR-92-0402-1</t>
  </si>
  <si>
    <t>Ключ-насадка магнитный 1/4" 10х48мм (1 шт/уп) KRANZ</t>
  </si>
  <si>
    <t>KR-92-0403-1</t>
  </si>
  <si>
    <t>Ключ-насадка магнитный 1/4" 12х48мм (1 шт/уп) KRANZ</t>
  </si>
  <si>
    <t>KR-92-0404-1</t>
  </si>
  <si>
    <t>Ключ-насадка магнитный 1/4" 13х48мм (1 шт/уп) KRANZ</t>
  </si>
  <si>
    <t>KR-92-0404</t>
  </si>
  <si>
    <t>Ключ-насадка магнитный 1/4" 13х48мм (20 шт/уп) KRANZ</t>
  </si>
  <si>
    <t>KR-92-0405-1</t>
  </si>
  <si>
    <t>Ключ-насадка магнитный 1/4" 17х65мм (1 шт/уп) KRANZ</t>
  </si>
  <si>
    <t>KR-92-0405</t>
  </si>
  <si>
    <t>Ключ-насадка магнитный 1/4" 17х65мм (5 шт/уп) KRANZ</t>
  </si>
  <si>
    <t>KR-92-0401-1</t>
  </si>
  <si>
    <t>Ключ-насадка магнитный 1/4" 8х48мм (1 шт/уп) KRANZ</t>
  </si>
  <si>
    <t>KR-92-0401</t>
  </si>
  <si>
    <t>Ключ-насадка магнитный 1/4" 8х48мм (20 шт/уп) KRANZ</t>
  </si>
  <si>
    <t>KR-92-0402-2</t>
  </si>
  <si>
    <t>Ключ-насадка магнитный 1/4" 8х48мм + 10х48 мм (2 шт/уп) KRANZ</t>
  </si>
  <si>
    <t>KR-92-0408</t>
  </si>
  <si>
    <t>Набор ключей-насадок магнитных 6/8/10/13х48 мм с шестигранной головкой KRANZ</t>
  </si>
  <si>
    <t>2. 5.14. 5 Магнитные держатели Kranz</t>
  </si>
  <si>
    <t>KR-92-0432-1</t>
  </si>
  <si>
    <t>Магнитный держатель для бит 60 мм (1 шт./уп.) KRANZ</t>
  </si>
  <si>
    <t>KR-92-0467</t>
  </si>
  <si>
    <t>Магнитный держатель для бит, быстросъемный, 60мм KRANZ</t>
  </si>
  <si>
    <t>2. 5.14. 6 Биты по 1 (2 ) шт. KRANZ</t>
  </si>
  <si>
    <t>KR-92-0451-1</t>
  </si>
  <si>
    <t>Бита для шуруповерта PH/SL1 x PH/SL2х65 мм (2 шт/уп) KRANZ</t>
  </si>
  <si>
    <t>KR-92-0413-3</t>
  </si>
  <si>
    <t>Бита для шуруповерта PH/SL1х50 мм (2 шт/уп) KRANZ</t>
  </si>
  <si>
    <t>KR-92-0415-3</t>
  </si>
  <si>
    <t>Бита для шуруповерта PH/SL2х50 мм (2 шт/уп) KRANZ</t>
  </si>
  <si>
    <t>KR-92-0413-1</t>
  </si>
  <si>
    <t>Бита для шуруповерта PH1х50 мм (2 шт./уп.) KRANZ</t>
  </si>
  <si>
    <t>KR-92-0451</t>
  </si>
  <si>
    <t>Бита для шуруповерта PH2-PH2х50 мм (2 шт./уп.) KRANZ</t>
  </si>
  <si>
    <t>KR-92-0409-1</t>
  </si>
  <si>
    <t>Бита для шуруповерта PH2х110 мм (1 шт./уп.) KRANZ</t>
  </si>
  <si>
    <t>KR-92-0410-1</t>
  </si>
  <si>
    <t>Бита для шуруповерта PH2х127 мм (1 шт./уп.) KRANZ</t>
  </si>
  <si>
    <t>KR-92-0411-1</t>
  </si>
  <si>
    <t>Бита для шуруповерта PH2х150 мм (1 шт./уп.) KRANZ</t>
  </si>
  <si>
    <t>KR-92-0414-1</t>
  </si>
  <si>
    <t>Бита для шуруповерта PH2х25 мм (2 шт./уп.) KRANZ</t>
  </si>
  <si>
    <t>KR-92-0415-1</t>
  </si>
  <si>
    <t>Бита для шуруповерта PH2х50 мм (2 шт./уп.) KRANZ</t>
  </si>
  <si>
    <t>KR-92-0415-2</t>
  </si>
  <si>
    <t>Бита для шуруповерта PH2х50 мм под гипсокартон (2 шт./уп.) KRANZ</t>
  </si>
  <si>
    <t>KR-92-0416-1</t>
  </si>
  <si>
    <t>Бита для шуруповерта PH2х70 мм (1 шт./уп.) KRANZ</t>
  </si>
  <si>
    <t>KR-92-0412-1</t>
  </si>
  <si>
    <t>Бита для шуруповерта PH2х90 мм (1 шт./уп.) KRANZ</t>
  </si>
  <si>
    <t>KR-92-0417-1</t>
  </si>
  <si>
    <t>Бита для шуруповерта PH3х50 мм (2 шт./уп.) KRANZ</t>
  </si>
  <si>
    <t>KR-92-0451-2</t>
  </si>
  <si>
    <t>Бита для шуруповерта PZ/FL1 x PZ/FL2х65 мм (2 шт/уп) KRANZ</t>
  </si>
  <si>
    <t>KR-92-0418-2</t>
  </si>
  <si>
    <t>Бита для шуруповерта PZ/FL1х50 мм (2 шт/уп) KRANZ</t>
  </si>
  <si>
    <t>KR-92-0419-2</t>
  </si>
  <si>
    <t>Бита для шуруповерта PZ/FL2х50 мм (2 шт/уп) KRANZ</t>
  </si>
  <si>
    <t>KR-92-0418-1</t>
  </si>
  <si>
    <t>Бита для шуруповерта PZ1х50 мм (2 шт./уп.) KRANZ</t>
  </si>
  <si>
    <t>KR-92-0419-1</t>
  </si>
  <si>
    <t>Бита для шуруповерта PZ2х50 мм (2 шт./уп.) KRANZ</t>
  </si>
  <si>
    <t>KR-92-0420-1</t>
  </si>
  <si>
    <t>Бита для шуруповерта PZ3х50 мм (2 шт./уп.) KRANZ</t>
  </si>
  <si>
    <t>KR-92-0425-1</t>
  </si>
  <si>
    <t>Бита для шуруповерта Torx T10х50 мм (2 шт./уп.) KRANZ</t>
  </si>
  <si>
    <t>KR-92-0426-1</t>
  </si>
  <si>
    <t>Бита для шуруповерта Torx T15х50 мм (2 шт./уп.) KRANZ</t>
  </si>
  <si>
    <t>KR-92-0427-1</t>
  </si>
  <si>
    <t>Бита для шуруповерта Torx T20х50 мм (2 шт./уп.) KRANZ</t>
  </si>
  <si>
    <t>KR-92-0428-1</t>
  </si>
  <si>
    <t>Бита для шуруповерта Torx T25х50 мм (2 шт./уп.) KRANZ</t>
  </si>
  <si>
    <t>KR-92-0429-1</t>
  </si>
  <si>
    <t>Бита для шуруповерта Torx T27х50 мм (2 шт./уп.) KRANZ</t>
  </si>
  <si>
    <t>KR-92-0430-1</t>
  </si>
  <si>
    <t>Бита для шуруповерта Torx T30х50 мм (2 шт./уп.) KRANZ</t>
  </si>
  <si>
    <t>KR-92-0431-1</t>
  </si>
  <si>
    <t>Бита для шуруповерта Torx T40х50 мм (2 шт./уп.) KRANZ</t>
  </si>
  <si>
    <t>KR-92-0441</t>
  </si>
  <si>
    <t>Бита для шуруповерта ударная PH 2x50 для шуруповерта (2 шт/уп) KRANZ</t>
  </si>
  <si>
    <t>KR-92-0421-1</t>
  </si>
  <si>
    <t>Бита шестигранная для шуруповерта HEX3х50 мм (2 шт./уп.) KRANZ</t>
  </si>
  <si>
    <t>KR-92-0422-1</t>
  </si>
  <si>
    <t>Бита шестигранная для шуруповерта HEX4х50 мм (2 шт./уп.) KRANZ</t>
  </si>
  <si>
    <t>KR-92-0423-1</t>
  </si>
  <si>
    <t>Бита шестигранная для шуруповерта HEX5х50 мм (2 шт./уп.) KRANZ</t>
  </si>
  <si>
    <t>KR-92-0424-1</t>
  </si>
  <si>
    <t>Бита шестигранная для шуруповерта HEX6х50 мм (2 шт./уп.) KRANZ</t>
  </si>
  <si>
    <t>2. 5.15 Насадки-миксеры Kranz</t>
  </si>
  <si>
    <t>KR-92-0562</t>
  </si>
  <si>
    <t>Насадка-миксер 100х400мм, шестигранный хвостовик KRANZ</t>
  </si>
  <si>
    <t>KR-92-0552</t>
  </si>
  <si>
    <t>Насадка-миксер 100х450мм, хвостовик SDS-plus KRANZ</t>
  </si>
  <si>
    <t>KR-92-0560</t>
  </si>
  <si>
    <t>Насадка-миксер 60х400мм, шестигранный хвостовик KRANZ</t>
  </si>
  <si>
    <t>KR-92-0551</t>
  </si>
  <si>
    <t>Насадка-миксер 80х400мм, хвостовик SDS-plus KRANZ</t>
  </si>
  <si>
    <t>KR-92-0561</t>
  </si>
  <si>
    <t>Насадка-миксер 80х400мм, шестигранный хвостовик KRANZ</t>
  </si>
  <si>
    <t>2. 5.16 Алмазный инструмент Kranz</t>
  </si>
  <si>
    <t>2. 5.16. 1 Диски алмазные сегментные Kranz</t>
  </si>
  <si>
    <t>KR-90-0101-2</t>
  </si>
  <si>
    <t>Диск алмазный двойной, сегментный, 125х22,2мм, сухая резка KRANZ</t>
  </si>
  <si>
    <t>KR-90-0100</t>
  </si>
  <si>
    <t>Диск алмазный отрезной сегментный 115x22,2x2x10мм KRANZ</t>
  </si>
  <si>
    <t>KR-90-0101</t>
  </si>
  <si>
    <t>Диск алмазный отрезной сегментный 125x22,2x1,8x10мм KRANZ</t>
  </si>
  <si>
    <t>KR-90-0102</t>
  </si>
  <si>
    <t>Диск алмазный отрезной сегментный 150x22,2x2x10мм KRANZ</t>
  </si>
  <si>
    <t>KR-90-0103</t>
  </si>
  <si>
    <t>Диск алмазный отрезной сегментный 180x22,2x2,2x10мм KRANZ</t>
  </si>
  <si>
    <t>KR-90-0105</t>
  </si>
  <si>
    <t>Диск алмазный отрезной сегментный 230x22,2x2,4x10мм KRANZ</t>
  </si>
  <si>
    <t>KR-90-0106</t>
  </si>
  <si>
    <t>Диск алмазный отрезной Турбо сегментный с защитными секторами, 125х22,2мм KRANZ</t>
  </si>
  <si>
    <t>KR-90-0108</t>
  </si>
  <si>
    <t>Диск алмазный отрезной Турбо сегментный с защитными секторами, 230х22,2мм KRANZ</t>
  </si>
  <si>
    <t>KR-90-0101-3</t>
  </si>
  <si>
    <t>Диск алмазный тройной сегментный 125х22,2мм, сухая резка KRANZ</t>
  </si>
  <si>
    <t>2. 5.16. 2 Диски алмазные сплошные Kranz</t>
  </si>
  <si>
    <t>KR-90-0110</t>
  </si>
  <si>
    <t>Диск алмазный отрезной сплошной 115x22,2x1,8x10мм KRANZ</t>
  </si>
  <si>
    <t>KR-90-0111</t>
  </si>
  <si>
    <t>Диск алмазный отрезной сплошной 125x22,2x1,8x10мм KRANZ</t>
  </si>
  <si>
    <t>KR-90-0113</t>
  </si>
  <si>
    <t>Диск алмазный отрезной сплошной 180x25,4/22,2x1,8x10мм KRANZ</t>
  </si>
  <si>
    <t>KR-90-0114</t>
  </si>
  <si>
    <t>Диск алмазный отрезной сплошной 200x25,4/22,2x2x10мм KRANZ</t>
  </si>
  <si>
    <t>KR-90-0115</t>
  </si>
  <si>
    <t>Диск алмазный отрезной сплошной 230x22,2x2,4x10мм KRANZ</t>
  </si>
  <si>
    <t>KR-90-0116</t>
  </si>
  <si>
    <t>Диск алмазный отрезной сплошной, 125х22,2мм, сухой/мокрый рез KRANZ</t>
  </si>
  <si>
    <t>KR-90-0118</t>
  </si>
  <si>
    <t>Диск алмазный отрезной сплошной, 230х22,2мм, сухой/мокрый рез KRANZ</t>
  </si>
  <si>
    <t>2. 5.16. 3 Диски алмазные турбо Kranz</t>
  </si>
  <si>
    <t>KR-90-0121</t>
  </si>
  <si>
    <t>Диск алмазный отрезной Турбо 125x22,2x2,2x10мм KRANZ</t>
  </si>
  <si>
    <t>KR-90-0122</t>
  </si>
  <si>
    <t>Диск алмазный отрезной Турбо 150x22,2x2,4x10мм KRANZ</t>
  </si>
  <si>
    <t>KR-90-0123</t>
  </si>
  <si>
    <t>Диск алмазный отрезной Турбо 180x22,2x2,4x10мм KRANZ</t>
  </si>
  <si>
    <t>KR-90-0125</t>
  </si>
  <si>
    <t>Диск алмазный отрезной Турбо 230x22,2x2,8x10мм KRANZ</t>
  </si>
  <si>
    <t>2. 5.16. 4 Диски алмазные Turbo волна Kranz</t>
  </si>
  <si>
    <t>KR-90-0131</t>
  </si>
  <si>
    <t>Диск алмазный отрезной Турбо волна 125x22,2x2x10мм KRANZ</t>
  </si>
  <si>
    <t>KR-90-0132</t>
  </si>
  <si>
    <t>Диск алмазный отрезной Турбо волна 150x22,2x2,2x10мм KRANZ</t>
  </si>
  <si>
    <t>KR-90-0133</t>
  </si>
  <si>
    <t>Диск алмазный отрезной Турбо волна 180x22,2x2,2x10мм KRANZ</t>
  </si>
  <si>
    <t>KR-90-0135</t>
  </si>
  <si>
    <t>Диск алмазный отрезной Турбо волна 230x22,2x2,4x10мм KRANZ</t>
  </si>
  <si>
    <t>2. 5.16. 5 Диски алмазные ультратонкие Kranz</t>
  </si>
  <si>
    <t>KR-90-0140</t>
  </si>
  <si>
    <t>Диск алмазный отрезной ультратонкий 115x22,2x1,4x10 мм KRANZ</t>
  </si>
  <si>
    <t>KR-90-0141</t>
  </si>
  <si>
    <t>Диск алмазный отрезной ультратонкий 125x22,2x1,4x10 мм KRANZ</t>
  </si>
  <si>
    <t>KR-90-0142</t>
  </si>
  <si>
    <t>Диск алмазный отрезной ультратонкий 150x22,2x1,6x10 мм KRANZ</t>
  </si>
  <si>
    <t>KR-90-0143</t>
  </si>
  <si>
    <t>Диск алмазный отрезной ультратонкий 180x25,4/22,2x1,8x10 мм KRANZ</t>
  </si>
  <si>
    <t>KR-90-0144</t>
  </si>
  <si>
    <t>Диск алмазный отрезной ультратонкий 200x25,4/22,2x1,8x10 мм KRANZ</t>
  </si>
  <si>
    <t>KR-90-0145</t>
  </si>
  <si>
    <t>Диск алмазный отрезной ультратонкий 230x25,4/22,2x2x10 мм KRANZ</t>
  </si>
  <si>
    <t>2. 5.16. 6 Алмазные сверла по керамограниту Kranz</t>
  </si>
  <si>
    <t>KR-92-0003</t>
  </si>
  <si>
    <t>Сверло алмазное 10 мм по керамограниту, керамике и стеклу KRANZ</t>
  </si>
  <si>
    <t>KR-92-0004</t>
  </si>
  <si>
    <t>Сверло алмазное 12 мм по керамограниту, керамике и стеклу KRANZ</t>
  </si>
  <si>
    <t>KR-92-0025</t>
  </si>
  <si>
    <t>Сверло алмазное 14 мм по керамограниту, керамике и стеклу KRANZ</t>
  </si>
  <si>
    <t>KR-92-0000</t>
  </si>
  <si>
    <t>Сверло алмазное 5 мм по керамограниту, керамике и стеклу KRANZ</t>
  </si>
  <si>
    <t>KR-92-0001</t>
  </si>
  <si>
    <t>Сверло алмазное 6 мм по керамограниту, керамике и стеклу KRANZ</t>
  </si>
  <si>
    <t>KR-92-0002</t>
  </si>
  <si>
    <t>Сверло алмазное 8 мм по керамограниту, керамике и стеклу KRANZ</t>
  </si>
  <si>
    <t>2. 5.16. 7 Алмазные коронки по керамограниту Kranz</t>
  </si>
  <si>
    <t>KR-92-0030</t>
  </si>
  <si>
    <t>Кондуктор для алмазных сверл 14-82мм KRANZ</t>
  </si>
  <si>
    <t>KR-92-0021</t>
  </si>
  <si>
    <t>Коронка алмазная 100мм по керамограниту с центровочным сверлом KRANZ</t>
  </si>
  <si>
    <t>KR-92-0022</t>
  </si>
  <si>
    <t>Коронка алмазная 110мм по керамограниту с центровочным сверлом KRANZ</t>
  </si>
  <si>
    <t>KR-92-0023</t>
  </si>
  <si>
    <t>Коронка алмазная 120мм по керамограниту с центровочным сверлом KRANZ</t>
  </si>
  <si>
    <t>KR-92-0005</t>
  </si>
  <si>
    <t>Коронка алмазная 16мм по керамограниту с центровочным сверлом KRANZ</t>
  </si>
  <si>
    <t>KR-92-0006</t>
  </si>
  <si>
    <t>Коронка алмазная 20мм по керамограниту с центровочным сверлом KRANZ</t>
  </si>
  <si>
    <t>KR-92-0007</t>
  </si>
  <si>
    <t>Коронка алмазная 22мм по керамограниту с центровочным сверлом KRANZ</t>
  </si>
  <si>
    <t>KR-92-0008</t>
  </si>
  <si>
    <t>Коронка алмазная 25мм по керамограниту с центровочным сверлом KRANZ</t>
  </si>
  <si>
    <t>KR-92-0009</t>
  </si>
  <si>
    <t>Коронка алмазная 28мм по керамограниту с центровочным сверлом KRANZ</t>
  </si>
  <si>
    <t>KR-92-0010</t>
  </si>
  <si>
    <t>Коронка алмазная 30мм по керамограниту с центровочным сверлом KRANZ</t>
  </si>
  <si>
    <t>KR-92-0026</t>
  </si>
  <si>
    <t>Коронка алмазная 32мм по керамограниту с центровочным сверлом KRANZ</t>
  </si>
  <si>
    <t>KR-92-0011</t>
  </si>
  <si>
    <t>Коронка алмазная 35мм по керамограниту с центровочным сверлом KRANZ</t>
  </si>
  <si>
    <t>KR-92-0027</t>
  </si>
  <si>
    <t>Коронка алмазная 38мм по керамограниту с центровочным сверлом KRANZ</t>
  </si>
  <si>
    <t>KR-92-0012</t>
  </si>
  <si>
    <t>Коронка алмазная 40мм по керамограниту с центровочным сверлом KRANZ</t>
  </si>
  <si>
    <t>KR-92-0013</t>
  </si>
  <si>
    <t>Коронка алмазная 45мм по керамограниту с центровочным сверлом KRANZ</t>
  </si>
  <si>
    <t>KR-92-0014</t>
  </si>
  <si>
    <t>Коронка алмазная 50мм по керамограниту с центровочным сверлом KRANZ</t>
  </si>
  <si>
    <t>KR-92-0015</t>
  </si>
  <si>
    <t>Коронка алмазная 55мм по керамограниту с центровочным сверлом KRANZ</t>
  </si>
  <si>
    <t>KR-92-0016</t>
  </si>
  <si>
    <t>Коронка алмазная 60мм по керамограниту с центровочным сверлом KRANZ</t>
  </si>
  <si>
    <t>KR-92-0017</t>
  </si>
  <si>
    <t>Коронка алмазная 65мм по керамограниту с центровочным сверлом KRANZ</t>
  </si>
  <si>
    <t>KR-92-0018</t>
  </si>
  <si>
    <t>Коронка алмазная 68мм по керамограниту с центровочным сверлом KRANZ</t>
  </si>
  <si>
    <t>KR-92-0019</t>
  </si>
  <si>
    <t>Коронка алмазная 70мм по керамограниту с центровочным сверлом KRANZ</t>
  </si>
  <si>
    <t>KR-92-0020</t>
  </si>
  <si>
    <t>Коронка алмазная 80мм по керамограниту с центровочным сверлом KRANZ</t>
  </si>
  <si>
    <t>KR-92-0024</t>
  </si>
  <si>
    <t>Сверло направляющее 7мм для алмазной коронки по керамограниту KRANZ</t>
  </si>
  <si>
    <t>2. 5.16. 8 Алмазный инструмент для шлифования: чашки и гибкие круги Kranz</t>
  </si>
  <si>
    <t>KR-90-0322</t>
  </si>
  <si>
    <t>Круг алмазный гибкий шлифовальный Черепашка 100мм, P100, сухое шлифование KRANZ</t>
  </si>
  <si>
    <t>KR-90-0302</t>
  </si>
  <si>
    <t>Круг алмазный гибкий шлифовальный Черепашка 100мм, P100, сухое/мокрое шлифование KRANZ</t>
  </si>
  <si>
    <t>KR-90-0326</t>
  </si>
  <si>
    <t>Круг алмазный гибкий шлифовальный Черепашка 100мм, P1500, сухое шлифование KRANZ</t>
  </si>
  <si>
    <t>KR-90-0306</t>
  </si>
  <si>
    <t>Круг алмазный гибкий шлифовальный Черепашка 100мм, P1500, сухое/мокрое шлифование KRANZ</t>
  </si>
  <si>
    <t>KR-90-0323</t>
  </si>
  <si>
    <t>Круг алмазный гибкий шлифовальный Черепашка 100мм, P200, сухое шлифование KRANZ</t>
  </si>
  <si>
    <t>KR-90-0303</t>
  </si>
  <si>
    <t>Круг алмазный гибкий шлифовальный Черепашка 100мм, P200, сухое/мокрое шлифование KRANZ</t>
  </si>
  <si>
    <t>KR-90-0327</t>
  </si>
  <si>
    <t>Круг алмазный гибкий шлифовальный Черепашка 100мм, P3000, сухое шлифование KRANZ</t>
  </si>
  <si>
    <t>KR-90-0307</t>
  </si>
  <si>
    <t>Круг алмазный гибкий шлифовальный Черепашка 100мм, P3000, сухое/мокрое шлифование KRANZ</t>
  </si>
  <si>
    <t>KR-90-0304</t>
  </si>
  <si>
    <t>Круг алмазный гибкий шлифовальный Черепашка 100мм, P400, сухое/мокрое шлифование KRANZ</t>
  </si>
  <si>
    <t>KR-90-0321</t>
  </si>
  <si>
    <t>Круг алмазный гибкий шлифовальный Черепашка 100мм, P50, сухое шлифование KRANZ</t>
  </si>
  <si>
    <t>KR-90-0301</t>
  </si>
  <si>
    <t>Круг алмазный гибкий шлифовальный Черепашка 100мм, P50, сухое/мокрое шлифование KRANZ</t>
  </si>
  <si>
    <t>KR-90-0305</t>
  </si>
  <si>
    <t>Круг алмазный гибкий шлифовальный Черепашка 100мм, P800, сухое/мокрое шлифование KRANZ</t>
  </si>
  <si>
    <t>KR-90-0309</t>
  </si>
  <si>
    <t>Круг алмазный гибкий шлифовальный Черепашка 125мм, P100, сухое/мокрое шлифование KRANZ</t>
  </si>
  <si>
    <t>KR-90-0313</t>
  </si>
  <si>
    <t>Круг алмазный гибкий шлифовальный Черепашка 125мм, P1500, сухое/мокрое шлифование KRANZ</t>
  </si>
  <si>
    <t>KR-90-0310</t>
  </si>
  <si>
    <t>Круг алмазный гибкий шлифовальный Черепашка 125мм, P200, сухое/мокрое шлифование KRANZ</t>
  </si>
  <si>
    <t>KR-90-0314</t>
  </si>
  <si>
    <t>Круг алмазный гибкий шлифовальный Черепашка 125мм, P3000, сухое/мокрое шлифование KRANZ</t>
  </si>
  <si>
    <t>KR-90-0311</t>
  </si>
  <si>
    <t>Круг алмазный гибкий шлифовальный Черепашка 125мм, P400, сухое/мокрое шлифование KRANZ</t>
  </si>
  <si>
    <t>KR-90-0308</t>
  </si>
  <si>
    <t>Круг алмазный гибкий шлифовальный Черепашка 125мм, P50, сухое/мокрое шлифование KRANZ</t>
  </si>
  <si>
    <t>KR-90-0312</t>
  </si>
  <si>
    <t>Круг алмазный гибкий шлифовальный Черепашка 125мм, P800, сухое/мокрое шлифование KRANZ</t>
  </si>
  <si>
    <t>KR-90-0150</t>
  </si>
  <si>
    <t>Чашка алмазная шлифовальная, однорядная, 125х22,2мм KRANZ</t>
  </si>
  <si>
    <t>KR-90-0151</t>
  </si>
  <si>
    <t>Чашка алмазная шлифовальная, двухрядная,125х22,2мм KRANZ</t>
  </si>
  <si>
    <t>KR-90-0152</t>
  </si>
  <si>
    <t>Чашка алмазная шлифовальная Турбо 125х22,2мм KRANZ</t>
  </si>
  <si>
    <t>KR-90-0256</t>
  </si>
  <si>
    <t>Чашка алмазная шлифовальная Турбо, 180х22,2мм KRANZ</t>
  </si>
  <si>
    <t>KR-90-0257</t>
  </si>
  <si>
    <t>Чашка алмазная шлифовальная Турбо, 230х22,2мм KRANZ</t>
  </si>
  <si>
    <t>KR-90-0251</t>
  </si>
  <si>
    <t>Чашка алмазная шлифовальная, двухрядная, 115х22,2мм KRANZ</t>
  </si>
  <si>
    <t>KR-90-0252</t>
  </si>
  <si>
    <t>Чашка алмазная шлифовальная, двухрядная, 150х22,2мм KRANZ</t>
  </si>
  <si>
    <t>KR-90-0253</t>
  </si>
  <si>
    <t>Чашка алмазная шлифовальная, двухрядная, 180х22,2мм KRANZ</t>
  </si>
  <si>
    <t>KR-90-0254</t>
  </si>
  <si>
    <t>Чашка алмазная шлифовальная, двухрядная, 230х22,2мм KRANZ</t>
  </si>
  <si>
    <t>KR-90-0258</t>
  </si>
  <si>
    <t>Чашка алмазная шлифовальная, Турбо-сегмент, 125х22,2мм KRANZ</t>
  </si>
  <si>
    <t>2. 5.16. 9 Алмазные коронки по бетону (в т. ч. арм. ) Kranz</t>
  </si>
  <si>
    <t>KR-90-0163</t>
  </si>
  <si>
    <t>Коронка алмазная по бетону 68 мм, длина 90мм, М16, сегмент, хвостовик SDS-plus KRANZ</t>
  </si>
  <si>
    <t>KR-90-0164</t>
  </si>
  <si>
    <t>Коронка алмазная по бетону 70 мм, длина 90мм, М16, сегмент, хвостовик SDS-plus KRANZ</t>
  </si>
  <si>
    <t>KR-90-0165</t>
  </si>
  <si>
    <t>Коронка алмазная по бетону 72 мм, длина 90мм, М16, сегмент, хвостовик SDS-plus KRANZ</t>
  </si>
  <si>
    <t>KR-90-0173</t>
  </si>
  <si>
    <t>Коронка алмазная по бетону с пылеудалением 68мм, М16, турбо-сегмент, хвостовик SDS-plus KRANZ</t>
  </si>
  <si>
    <t>KR-90-0175</t>
  </si>
  <si>
    <t>Коронка алмазная по бетону с пылеудалением 72мм, М16, турбо-сегмент, хвостовик SDS-plus KRANZ</t>
  </si>
  <si>
    <t>KR-92-1003</t>
  </si>
  <si>
    <t>Коронка алмазная профессиональная по керамограниту и железобетону М14, вакуумное спекание, 10мм, для УШМ KRANZ</t>
  </si>
  <si>
    <t>KR-92-1010</t>
  </si>
  <si>
    <t>Коронка алмазная профессиональная по керамограниту и железобетону М14, вакуумное спекание, 20мм, для УШМ KRANZ</t>
  </si>
  <si>
    <t>KR-92-1012</t>
  </si>
  <si>
    <t>Коронка алмазная профессиональная по керамограниту и железобетону М14, вакуумное спекание, 25мм, для УШМ KRANZ</t>
  </si>
  <si>
    <t>KR-92-1014</t>
  </si>
  <si>
    <t>Коронка алмазная профессиональная по керамограниту и железобетону М14, вакуумное спекание, 30мм, для УШМ KRANZ</t>
  </si>
  <si>
    <t>KR-92-1015</t>
  </si>
  <si>
    <t>Коронка алмазная профессиональная по керамограниту и железобетону М14, вакуумное спекание, 32мм, для УШМ KRANZ</t>
  </si>
  <si>
    <t>KR-92-1017</t>
  </si>
  <si>
    <t>Коронка алмазная профессиональная по керамограниту и железобетону М14, вакуумное спекание, 35мм, для УШМ KRANZ</t>
  </si>
  <si>
    <t>KR-92-1018</t>
  </si>
  <si>
    <t>Коронка алмазная профессиональная по керамограниту и железобетону М14, вакуумное спекание, 38мм, для УШМ KRANZ</t>
  </si>
  <si>
    <t>KR-92-1019</t>
  </si>
  <si>
    <t>Коронка алмазная профессиональная по керамограниту и железобетону М14, вакуумное спекание, 40мм, для УШМ KRANZ</t>
  </si>
  <si>
    <t>KR-92-1021</t>
  </si>
  <si>
    <t>Коронка алмазная профессиональная по керамограниту и железобетону М14, вакуумное спекание, 50мм, для УШМ KRANZ</t>
  </si>
  <si>
    <t>KR-92-1025</t>
  </si>
  <si>
    <t>Коронка алмазная профессиональная по керамограниту и железобетону М14, вакуумное спекание, 68мм, для УШМ KRANZ</t>
  </si>
  <si>
    <t>KR-92-1001</t>
  </si>
  <si>
    <t>Коронка алмазная профессиональная по керамограниту и железобетону М14, вакуумное спекание, 6мм, для УШМ KRANZ</t>
  </si>
  <si>
    <t>KR-92-1026</t>
  </si>
  <si>
    <t>Коронка алмазная профессиональная по керамограниту и железобетону М14, вакуумное спекание, 70мм, для УШМ KRANZ</t>
  </si>
  <si>
    <t>KR-92-1002</t>
  </si>
  <si>
    <t>Коронка алмазная профессиональная по керамограниту и железобетону М14, вакуумное спекание, 8мм, для УШМ KRANZ</t>
  </si>
  <si>
    <t>KR-90-0170-1</t>
  </si>
  <si>
    <t>Система пылеудаления для алмазных коронок по бетону с резьбой М16, для дрелей и перфораторов KRANZ</t>
  </si>
  <si>
    <t>KR-90-0170</t>
  </si>
  <si>
    <t>Хвостовик SDS-plus для коронки М16х120мм KRANZ</t>
  </si>
  <si>
    <t>2. 5.16.10 Диски универсальные</t>
  </si>
  <si>
    <t>KR-90-0100-2</t>
  </si>
  <si>
    <t>Диск алмазный универсальный, мультирез, вакуумное спекание, профессиональный, 125х22,2мм KRANZ</t>
  </si>
  <si>
    <t>KR-90-0105-2</t>
  </si>
  <si>
    <t>Диск алмазный универсальный, мультирез, вакуумное спекание, профессиональный, 230х22,2мм KRANZ</t>
  </si>
  <si>
    <t>2. 5.17 Патроны и переходники Kranz</t>
  </si>
  <si>
    <t>KR-92-0502</t>
  </si>
  <si>
    <t>Адаптер с хвостовиком SDS-plus на патрон сверлильный 1/2-20 UNF KRANZ</t>
  </si>
  <si>
    <t>KR-92-0503</t>
  </si>
  <si>
    <t>Ключ для патрона 13мм KRANZ</t>
  </si>
  <si>
    <t>KR-92-0506</t>
  </si>
  <si>
    <t>Насадка для углового сверления для дрели, 90 градусов, шестигранный хвостовик KRANZ</t>
  </si>
  <si>
    <t>KR-92-0501</t>
  </si>
  <si>
    <t>Патрон сверлильный быстрозажимный двухмуфтовый 2,0-13,0мм 1/2-20UNF KRANZ</t>
  </si>
  <si>
    <t>KR-92-0500</t>
  </si>
  <si>
    <t>Патрон сверлильный с ключом для сверл 1,5-13,0мм 1/2-20UNF KRANZ</t>
  </si>
  <si>
    <t>KR-92-0505</t>
  </si>
  <si>
    <t>Редуктор для бит угловой, 90 градусов, шестигранный хвостовик KRANZ</t>
  </si>
  <si>
    <t>2. 5.18 Абразивный инструмент Kranz</t>
  </si>
  <si>
    <t>2. 5.18. 1 Круги лепестковые торцевые Kranz</t>
  </si>
  <si>
    <t>KR-90-0030</t>
  </si>
  <si>
    <t>Круг зачистной коралловый 125x22,2мм KRANZ</t>
  </si>
  <si>
    <t>KR-90-0030-1</t>
  </si>
  <si>
    <t>Круг зачистной коралловый КЕРАМИК зерно из керамики, 125xМ14, быстрая установка, адаптер KRANZ</t>
  </si>
  <si>
    <t>KR-90-0016</t>
  </si>
  <si>
    <t>Круг лепестковый торцевой P100, 125х22,2мм KRANZ</t>
  </si>
  <si>
    <t>KR-90-0012</t>
  </si>
  <si>
    <t>Круг лепестковый торцевой P40, 125х22,2мм KRANZ</t>
  </si>
  <si>
    <t>KR-90-0013</t>
  </si>
  <si>
    <t>Круг лепестковый торцевой P60, 125х22,2мм KRANZ</t>
  </si>
  <si>
    <t>KR-90-0014</t>
  </si>
  <si>
    <t>Круг лепестковый торцевой P80, 125х22,2 мм KRANZ</t>
  </si>
  <si>
    <t>KR-90-0009</t>
  </si>
  <si>
    <t>Круг лепестковый торцевой, P120, 115х22,2мм KRANZ</t>
  </si>
  <si>
    <t>KR-90-0017</t>
  </si>
  <si>
    <t>Круг лепестковый торцевой, P120, 125х22,2мм KRANZ</t>
  </si>
  <si>
    <t>KR-90-0010</t>
  </si>
  <si>
    <t>Круг лепестковый торцевой, P24, 125х22,2мм KRANZ</t>
  </si>
  <si>
    <t>KR-90-0005</t>
  </si>
  <si>
    <t>Круг лепестковый торцевой, P40, 115х22,2мм KRANZ</t>
  </si>
  <si>
    <t>KR-90-0021</t>
  </si>
  <si>
    <t>Круг лепестковый торцевой, P40, 180х22,2мм KRANZ</t>
  </si>
  <si>
    <t>KR-90-0006</t>
  </si>
  <si>
    <t>Круг лепестковый торцевой, P60, 115х22,2мм KRANZ</t>
  </si>
  <si>
    <t>KR-90-0007</t>
  </si>
  <si>
    <t>Круг лепестковый торцевой, P80, 115х22,2мм KRANZ</t>
  </si>
  <si>
    <t>KR-90-0020</t>
  </si>
  <si>
    <t>Круг лепестковый торцевой, P80, 150х22,2мм KRANZ</t>
  </si>
  <si>
    <t>KR-90-0023</t>
  </si>
  <si>
    <t>Круг лепестковый торцевой, P80, 180х22,2мм KRANZ</t>
  </si>
  <si>
    <t>KR-90-0016-1</t>
  </si>
  <si>
    <t>Круг лепестковый торцевой, циркониевый, P100, 125х22,2мм KRANZ</t>
  </si>
  <si>
    <t>KR-90-0017-1</t>
  </si>
  <si>
    <t>Круг лепестковый торцевой, циркониевый, P120, 125х22,2мм KRANZ</t>
  </si>
  <si>
    <t>KR-90-0012-1</t>
  </si>
  <si>
    <t>Круг лепестковый торцевой, циркониевый, P40, 125х22,2мм KRANZ</t>
  </si>
  <si>
    <t>KR-90-0013-1</t>
  </si>
  <si>
    <t>Круг лепестковый торцевой, циркониевый, P60, 125х22,2мм KRANZ</t>
  </si>
  <si>
    <t>KR-90-0014-1</t>
  </si>
  <si>
    <t>Круг лепестковый торцевой, циркониевый, P80, 125х22,2мм KRANZ</t>
  </si>
  <si>
    <t>2. 5.18. 2 Абразивные круги с отверстиями Kranz</t>
  </si>
  <si>
    <t>KR-91-1167</t>
  </si>
  <si>
    <t>Диск абразивный на ворсовой основе, на липучке, перфорированный, P100, 125мм, 10 шт. KRANZ</t>
  </si>
  <si>
    <t>KR-91-1168</t>
  </si>
  <si>
    <t>Диск абразивный на ворсовой основе, на липучке, перфорированный, P120, 125мм, 10 шт. KRANZ</t>
  </si>
  <si>
    <t>KR-91-1169</t>
  </si>
  <si>
    <t>Диск абразивный на ворсовой основе, на липучке, перфорированный, P180, 125мм, 10 шт. KRANZ</t>
  </si>
  <si>
    <t>KR-91-1164</t>
  </si>
  <si>
    <t>Диск абразивный на ворсовой основе, на липучке, перфорированный, P40, 125мм, 10 шт. KRANZ</t>
  </si>
  <si>
    <t>KR-91-1165</t>
  </si>
  <si>
    <t>Диск абразивный на ворсовой основе, на липучке, перфорированный, P60, 125мм, 10 шт. KRANZ</t>
  </si>
  <si>
    <t>KR-91-1166</t>
  </si>
  <si>
    <t>Диск абразивный на ворсовой основе, на липучке, перфорированный, P80, 125мм, 10 шт. KRANZ</t>
  </si>
  <si>
    <t>KR-90-0042</t>
  </si>
  <si>
    <t>Диск шлифовальный на сетчатой основе 125 мм, Р100, 5 шт KRANZ</t>
  </si>
  <si>
    <t>KR-90-0043</t>
  </si>
  <si>
    <t>Диск шлифовальный на сетчатой основе 125 мм, Р120, 5 шт KRANZ</t>
  </si>
  <si>
    <t>KR-90-0044</t>
  </si>
  <si>
    <t>Диск шлифовальный на сетчатой основе 125 мм, Р180, 5 шт KRANZ</t>
  </si>
  <si>
    <t>KR-90-0045</t>
  </si>
  <si>
    <t>Диск шлифовальный на сетчатой основе 125 мм, Р240, 5 шт KRANZ</t>
  </si>
  <si>
    <t>KR-90-0046</t>
  </si>
  <si>
    <t>Диск шлифовальный на сетчатой основе 125 мм, Р320, 5 шт KRANZ</t>
  </si>
  <si>
    <t>KR-90-0047</t>
  </si>
  <si>
    <t>Диск шлифовальный на сетчатой основе 125 мм, Р400, 5 шт KRANZ</t>
  </si>
  <si>
    <t>KR-90-0040</t>
  </si>
  <si>
    <t>Диск шлифовальный на сетчатой основе 125 мм, Р60, 5 шт KRANZ</t>
  </si>
  <si>
    <t>KR-90-0041</t>
  </si>
  <si>
    <t>Диск шлифовальный на сетчатой основе 125 мм, Р80, 5 шт KRANZ</t>
  </si>
  <si>
    <t>2. 5.18. 3 Абразивные круги без отверстий Kranz</t>
  </si>
  <si>
    <t>KR-91-1147</t>
  </si>
  <si>
    <t>Диск абразивный на ворсовой основе, на липучке, без отверстий, P100, 125мм, 10 шт. KRANZ</t>
  </si>
  <si>
    <t>KR-91-1148</t>
  </si>
  <si>
    <t>Диск абразивный на ворсовой основе, на липучке, без отверстий, P120, 125мм, 10 шт. KRANZ</t>
  </si>
  <si>
    <t>KR-91-1149</t>
  </si>
  <si>
    <t>Диск абразивный на ворсовой основе, на липучке, без отверстий, P150, 125мм, 10 шт. KRANZ</t>
  </si>
  <si>
    <t>KR-91-1154</t>
  </si>
  <si>
    <t>Диск абразивный на ворсовой основе, на липучке, без отверстий, P220, 125мм, 10 шт. KRANZ</t>
  </si>
  <si>
    <t>KR-91-1142</t>
  </si>
  <si>
    <t>Диск абразивный на ворсовой основе, на липучке, без отверстий, P24, 125мм, 10 шт. KRANZ</t>
  </si>
  <si>
    <t>KR-91-1143</t>
  </si>
  <si>
    <t>Диск абразивный на ворсовой основе, на липучке, без отверстий, P36, 125мм, 10 шт. KRANZ</t>
  </si>
  <si>
    <t>KR-91-1144</t>
  </si>
  <si>
    <t>Диск абразивный на ворсовой основе, на липучке, без отверстий, P40, 125мм, 10 шт. KRANZ</t>
  </si>
  <si>
    <t>KR-91-1153</t>
  </si>
  <si>
    <t>Диск абразивный на ворсовой основе, на липучке, без отверстий, P400, 125мм, 10 шт. KRANZ</t>
  </si>
  <si>
    <t>KR-91-1145</t>
  </si>
  <si>
    <t>Диск абразивный на ворсовой основе, на липучке, без отверстий, P60, 125мм, 10 шт. KRANZ</t>
  </si>
  <si>
    <t>KR-91-1146</t>
  </si>
  <si>
    <t>Диск абразивный на ворсовой основе, на липучке, без отверстий, P80, 125мм, 10 шт. KRANZ</t>
  </si>
  <si>
    <t>2. 5.18. 4 Насадки для абразивных кругов Kranz</t>
  </si>
  <si>
    <t>KR-90-0328</t>
  </si>
  <si>
    <t>Насадка для дрели и УШМ с липучкой и адаптером 100мм, М14 KRANZ</t>
  </si>
  <si>
    <t>KR-91-1181</t>
  </si>
  <si>
    <t>Насадка для дрели и УШМ с липучкой и адаптером, 125мм, 5мм, мягкая KRANZ</t>
  </si>
  <si>
    <t>KR-91-1180</t>
  </si>
  <si>
    <t>Насадка для дрели и УШМ с липучкой и адаптером, 125мм,10мм, мягкая KRANZ</t>
  </si>
  <si>
    <t>KR-91-1183</t>
  </si>
  <si>
    <t>Тарелка опорная для эксцентриковой шлифовальной машины, 125мм, 10мм, мягкая KRANZ</t>
  </si>
  <si>
    <t>2. 5.18. 7 Щетки-насадки Kranz</t>
  </si>
  <si>
    <t>KR-91-1248</t>
  </si>
  <si>
    <t>Щетка дисковая для дрели, витая латунированная проволока, 50мм KRANZ</t>
  </si>
  <si>
    <t>KR-91-1249</t>
  </si>
  <si>
    <t>Щетка дисковая для дрели, витая латунированная проволока, 75мм KRANZ</t>
  </si>
  <si>
    <t>KR-91-1231</t>
  </si>
  <si>
    <t>Щетка дисковая для дрели, витая латунированная проволока, 100мм KRANZ</t>
  </si>
  <si>
    <t>KR-91-1246</t>
  </si>
  <si>
    <t>Щетка дисковая для дрели, витая стальная проволока, 100мм KRANZ</t>
  </si>
  <si>
    <t>KR-91-1244</t>
  </si>
  <si>
    <t>Щетка дисковая для дрели, витая стальная проволока, 50мм KRANZ</t>
  </si>
  <si>
    <t>KR-91-1245</t>
  </si>
  <si>
    <t>Щетка дисковая для дрели, витая стальная проволока, 75мм KRANZ</t>
  </si>
  <si>
    <t>KR-91-1233</t>
  </si>
  <si>
    <t>Щетка дисковая для дрели, нейлоновая проволока с абразивным покрытием, 100мм KRANZ</t>
  </si>
  <si>
    <t>KR-91-1241</t>
  </si>
  <si>
    <t>Щетка дисковая для УШМ, витая латунированная проволока, 100мм, отв. 22,23мм KRANZ</t>
  </si>
  <si>
    <t>KR-91-1242</t>
  </si>
  <si>
    <t>Щетка дисковая для УШМ, витая латунированная проволока, 125мм, отв. 22,23мм KRANZ</t>
  </si>
  <si>
    <t>KR-91-1232</t>
  </si>
  <si>
    <t>Щетка дисковая для УШМ, витая латунированная проволока, 150мм, отв. 22,23мм KRANZ</t>
  </si>
  <si>
    <t>KR-91-1238</t>
  </si>
  <si>
    <t>Щетка дисковая для УШМ, крученая стальная проволока, 125мм, отв. 22,23мм KRANZ</t>
  </si>
  <si>
    <t>KR-91-1240</t>
  </si>
  <si>
    <t>Щетка дисковая для УШМ, крученая стальная проволока, 175мм, отв. 22,23мм KRANZ</t>
  </si>
  <si>
    <t>KR-91-1247</t>
  </si>
  <si>
    <t>Щетка дисковая для УШМ, крученая стальная проволока, 200мм, отв. 22,23мм KRANZ</t>
  </si>
  <si>
    <t>KR-91-1205</t>
  </si>
  <si>
    <t>Щетка коническая для УШМ, витая латунированная проволока, 100мм, М14 KRANZ</t>
  </si>
  <si>
    <t>KR-91-1207</t>
  </si>
  <si>
    <t>Щетка коническая для УШМ, витая латунированная проволока, 125мм, М14 KRANZ</t>
  </si>
  <si>
    <t>KR-91-1201</t>
  </si>
  <si>
    <t>Щетка коническая для УШМ, крученая стальная проволока, 100мм, М14 KRANZ</t>
  </si>
  <si>
    <t>KR-91-1202</t>
  </si>
  <si>
    <t>Щетка коническая для УШМ, крученая стальная проволока, 115мм, М14 KRANZ</t>
  </si>
  <si>
    <t>KR-91-1203</t>
  </si>
  <si>
    <t>Щетка коническая для УШМ, крученая стальная проволока, 125мм, М14 KRANZ</t>
  </si>
  <si>
    <t>KR-91-1354</t>
  </si>
  <si>
    <t>Щетка металлическая с пластиковой ручкой, витая латунированная проволока KRANZ</t>
  </si>
  <si>
    <t>KR-91-1243</t>
  </si>
  <si>
    <t>Щетка по металлу с деревянной ручкой 6 ряд. 280 мм KRANZ</t>
  </si>
  <si>
    <t>KR-91-1257</t>
  </si>
  <si>
    <t>Щетка по металлу с деревянной ручкой, 4 ряда, 280мм KRANZ</t>
  </si>
  <si>
    <t>KR-91-1258</t>
  </si>
  <si>
    <t>Щетка по металлу с деревянной ручкой, 5 рядов, 280мм KRANZ</t>
  </si>
  <si>
    <t>KR-91-1236</t>
  </si>
  <si>
    <t>Щетка по металлу с пластиковой ручкой 4 ряд. 260 мм KRANZ</t>
  </si>
  <si>
    <t>KR-91-1237</t>
  </si>
  <si>
    <t>Щетка по металлу с пластиковой ручкой 6 ряд. 260 мм KRANZ</t>
  </si>
  <si>
    <t>KR-91-1256</t>
  </si>
  <si>
    <t>Щетка по металлу с пластиковой ручкой, 5 рядов, 260мм KRANZ</t>
  </si>
  <si>
    <t>KR-91-1253</t>
  </si>
  <si>
    <t>Щетка чашечная для дрели, витая латунированная проволока, 50мм KRANZ</t>
  </si>
  <si>
    <t>KR-91-1254</t>
  </si>
  <si>
    <t>Щетка чашечная для дрели, витая латунированная проволока, 65мм KRANZ</t>
  </si>
  <si>
    <t>KR-91-1209</t>
  </si>
  <si>
    <t>Щетка чашечная для УШМ, витая латунированная проволока, 100мм, М14 KRANZ</t>
  </si>
  <si>
    <t>KR-91-1210</t>
  </si>
  <si>
    <t>Щетка чашечная для УШМ, витая латунированная проволока, 125мм, М14 KRANZ</t>
  </si>
  <si>
    <t>KR-91-1211</t>
  </si>
  <si>
    <t>Щетка чашечная для УШМ, витая латунированная проволока, 65мм, М14 KRANZ</t>
  </si>
  <si>
    <t>KR-91-1212</t>
  </si>
  <si>
    <t>Щетка чашечная для УШМ, витая латунированная проволока, 75мм, М14 KRANZ</t>
  </si>
  <si>
    <t>KR-91-1234</t>
  </si>
  <si>
    <t>Щетка чашечная для УШМ, крученая стальная проволока, 100мм, М14 KRANZ</t>
  </si>
  <si>
    <t>KR-91-1235</t>
  </si>
  <si>
    <t>Щетка чашечная для УШМ, крученая стальная проволока, 125мм, М14 KRANZ</t>
  </si>
  <si>
    <t>2. 5.18. 9 Шкурки шлифовальные в листах</t>
  </si>
  <si>
    <t>KR-91-1333</t>
  </si>
  <si>
    <t>Лента шлифовальная бесконечная, 75х457мм, P100 (5 шт/уп) KRANZ</t>
  </si>
  <si>
    <t>KR-91-1330</t>
  </si>
  <si>
    <t>Лента шлифовальная бесконечная, 75х457мм, P40 (5 шт/уп) KRANZ</t>
  </si>
  <si>
    <t>KR-91-1331</t>
  </si>
  <si>
    <t>Лента шлифовальная бесконечная, 75х457мм, P60 (5 шт/уп) KRANZ</t>
  </si>
  <si>
    <t>KR-91-1332</t>
  </si>
  <si>
    <t>Лента шлифовальная бесконечная, 75х457мм, P80 (5 шт/уп) KRANZ</t>
  </si>
  <si>
    <t>KR-91-1337</t>
  </si>
  <si>
    <t>Лента шлифовальная бесконечная, 75х533мм, P100 (5 шт/уп) KRANZ</t>
  </si>
  <si>
    <t>KR-91-1334</t>
  </si>
  <si>
    <t>Лента шлифовальная бесконечная, 75х533мм, P40 (5 шт/уп) KRANZ</t>
  </si>
  <si>
    <t>KR-91-1335</t>
  </si>
  <si>
    <t>Лента шлифовальная бесконечная, 75х533мм, P60 (5 шт/уп) KRANZ</t>
  </si>
  <si>
    <t>KR-91-1336</t>
  </si>
  <si>
    <t>Лента шлифовальная бесконечная, 75х533мм, P80 (5 шт/уп) KRANZ</t>
  </si>
  <si>
    <t>KR-91-1304</t>
  </si>
  <si>
    <t>Шкурки шлифовальные в листах на тканевой основе, водостойкие 230х280мм, Р100 (10 шт/уп) KRANZ</t>
  </si>
  <si>
    <t>KR-91-1305</t>
  </si>
  <si>
    <t>Шкурки шлифовальные в листах на тканевой основе, водостойкие 230х280мм, Р120 (10 шт/уп) KRANZ</t>
  </si>
  <si>
    <t>KR-91-1306</t>
  </si>
  <si>
    <t>Шкурки шлифовальные в листах на тканевой основе, водостойкие 230х280мм, Р150 (10 шт/уп) KRANZ</t>
  </si>
  <si>
    <t>KR-91-1307</t>
  </si>
  <si>
    <t>Шкурки шлифовальные в листах на тканевой основе, водостойкие 230х280мм, Р180 (10 шт/уп) KRANZ</t>
  </si>
  <si>
    <t>KR-91-1308</t>
  </si>
  <si>
    <t>Шкурки шлифовальные в листах на тканевой основе, водостойкие 230х280мм, Р240 (10 шт/уп) KRANZ</t>
  </si>
  <si>
    <t>KR-91-1309</t>
  </si>
  <si>
    <t>Шкурки шлифовальные в листах на тканевой основе, водостойкие 230х280мм, Р320 (10 шт/уп) KRANZ</t>
  </si>
  <si>
    <t>KR-91-1302</t>
  </si>
  <si>
    <t>Шкурки шлифовальные в листах на тканевой основе, водостойкие 230х280мм, Р60 (10 шт/уп) KRANZ</t>
  </si>
  <si>
    <t>KR-91-1303</t>
  </si>
  <si>
    <t>Шкурки шлифовальные в листах на тканевой основе, водостойкие 230х280мм, Р80 (10 шт/уп) KRANZ</t>
  </si>
  <si>
    <t>KR-91-1310</t>
  </si>
  <si>
    <t>Шкурки шлифовальные в листах на тканевой основе, водостойкие, 230х280мм, Р400 (10 шт/уп) KRANZ</t>
  </si>
  <si>
    <t>2. 6 Силовое оборудование</t>
  </si>
  <si>
    <t>2. 6. 1 Сварочное оборудование</t>
  </si>
  <si>
    <t>2. 6. 1. 1 Сварочные аппараты</t>
  </si>
  <si>
    <t>2. 6. 1. 1. 1 Аппараты для сварки труб [Группа индивидуального ценообразования]</t>
  </si>
  <si>
    <t>11-1001</t>
  </si>
  <si>
    <t>Сварочный аппарат для труб 1000 Вт REXANT RX-1000</t>
  </si>
  <si>
    <t>11-1003</t>
  </si>
  <si>
    <t>Сварочный аппарат для труб 700 Вт REXANT RX-700</t>
  </si>
  <si>
    <t>11-1002</t>
  </si>
  <si>
    <t>Сварочный аппарат для труб 800 Вт REXANT RX-800</t>
  </si>
  <si>
    <t>11-1000</t>
  </si>
  <si>
    <t>Сварочный аппарат для труб 900 Вт RX-900, японский тефлон REXANT</t>
  </si>
  <si>
    <t>2. 6. 1. 1. 2 Сварочные аппараты MMA [Группа индивидуального ценообразования]</t>
  </si>
  <si>
    <t>11-0910</t>
  </si>
  <si>
    <t>Сварочный аппарат инверторный REXANT АС-160А</t>
  </si>
  <si>
    <t>11-0911</t>
  </si>
  <si>
    <t>Сварочный аппарат инверторный REXANT АС-180А</t>
  </si>
  <si>
    <t>11-0912</t>
  </si>
  <si>
    <t>Сварочный аппарат инверторный REXANT АС-200А</t>
  </si>
  <si>
    <t>11-0913</t>
  </si>
  <si>
    <t>Сварочный аппарат инверторный REXANT АС-220А</t>
  </si>
  <si>
    <t>2. 6. 1. 1. 3 Полуавтоматические сварочные аппараты инверторного типа MIG/MAG</t>
  </si>
  <si>
    <t>11-0926</t>
  </si>
  <si>
    <t>Сварочный аппарат инверторный полуавтоматический MIG-160 KRANZ</t>
  </si>
  <si>
    <t>2. 6. 1. 1. 4 Сварочные аппараты MINI</t>
  </si>
  <si>
    <t>11-0916</t>
  </si>
  <si>
    <t>Сварочный аппарат инверторный Мини-190 REXANT</t>
  </si>
  <si>
    <t>2. 6. 1. 2 Аксессуары для сварочных аппаратов</t>
  </si>
  <si>
    <t>2. 6. 1. 2. 1 Провода и кабель для сварочных аппаратов [Группа индивидуального ценообразования]</t>
  </si>
  <si>
    <t>01-8410-10</t>
  </si>
  <si>
    <t>Кабель гибкий сварочный КГтп-ХЛ 1х10 мм², длина 10 метров REXANT</t>
  </si>
  <si>
    <t>01-8411-10</t>
  </si>
  <si>
    <t>Кабель гибкий сварочный КГтп-ХЛ 1х16 мм², длина 10 метров REXANT</t>
  </si>
  <si>
    <t>01-8411-5</t>
  </si>
  <si>
    <t>Кабель гибкий сварочный КГтп-ХЛ 1х16 мм², длина 5 метров REXANT</t>
  </si>
  <si>
    <t>01-8412-10</t>
  </si>
  <si>
    <t>Кабель гибкий сварочный КГтп-ХЛ 1х25 мм², длина 10 метров REXANT</t>
  </si>
  <si>
    <t>01-8412-3</t>
  </si>
  <si>
    <t>Кабель гибкий сварочный КГтп-ХЛ 1х25 мм², длина 3 метра REXANT</t>
  </si>
  <si>
    <t>01-8412-5</t>
  </si>
  <si>
    <t>Кабель гибкий сварочный КГтп-ХЛ 1х25 мм², длина 5 метров REXANT</t>
  </si>
  <si>
    <t>01-8413-10</t>
  </si>
  <si>
    <t>Кабель гибкий сварочный КГтп-ХЛ 1х35 мм², длина 10 метров REXANT</t>
  </si>
  <si>
    <t>01-8413-3</t>
  </si>
  <si>
    <t>Кабель гибкий сварочный КГтп-ХЛ 1х35 мм², длина 3 метра REXANT</t>
  </si>
  <si>
    <t>01-8413-5</t>
  </si>
  <si>
    <t>Кабель гибкий сварочный КГтп-ХЛ 1х35 мм², длина 5 метров REXANT</t>
  </si>
  <si>
    <t>01-8414-10</t>
  </si>
  <si>
    <t>Кабель гибкий сварочный КГтп-ХЛ 1х50 мм², длина 10 метров REXANT</t>
  </si>
  <si>
    <t>01-8414-5</t>
  </si>
  <si>
    <t>Кабель гибкий сварочный КГтп-ХЛ 1х50 мм², длина 5 метров REXANT</t>
  </si>
  <si>
    <t>2. 6. 1. 2. 2 Клеммы заземления</t>
  </si>
  <si>
    <t>16-0052-9</t>
  </si>
  <si>
    <t>Зажим «крокодил» 200А 140 мм для сварки (латунь) САТУРН Профи РОССИЯ</t>
  </si>
  <si>
    <t>16-0053-9</t>
  </si>
  <si>
    <t>Зажим «крокодил» 315А 170 мм для сварки (латунь) САТУРН Профи РОССИЯ</t>
  </si>
  <si>
    <t>16-0054-9</t>
  </si>
  <si>
    <t>Зажим «крокодил» 400А 170 мм для сварки (латунь) САТУРН Профи РОССИЯ</t>
  </si>
  <si>
    <t>12-4861</t>
  </si>
  <si>
    <t>Клемма заземления магнитная 200A REXANT</t>
  </si>
  <si>
    <t>12-4863</t>
  </si>
  <si>
    <t>Клемма заземления магнитная 500A REXANT</t>
  </si>
  <si>
    <t>16-0053</t>
  </si>
  <si>
    <t>Клемма заземления типа «крокодил» 300А 170мм для сварки REXANT</t>
  </si>
  <si>
    <t>16-0055</t>
  </si>
  <si>
    <t>Клемма заземления типа «крокодил» 500А 200мм для сварки REXANT</t>
  </si>
  <si>
    <t>2. 6. 1. 2. 3 Электрододержатели</t>
  </si>
  <si>
    <t>16-0850</t>
  </si>
  <si>
    <t>Держатель электрода 300А тип С REXANT</t>
  </si>
  <si>
    <t>16-0851</t>
  </si>
  <si>
    <t>Держатель электрода 500А тип С REXANT</t>
  </si>
  <si>
    <t>16-0853</t>
  </si>
  <si>
    <t>Держатель электрода 300А американский тип REXANT</t>
  </si>
  <si>
    <t>16-0855</t>
  </si>
  <si>
    <t>Держатель электрода 300А итальянский тип REXANT</t>
  </si>
  <si>
    <t>16-0857-6</t>
  </si>
  <si>
    <t>Держатель электрода 300А тип Е REXANT</t>
  </si>
  <si>
    <t>16-0854</t>
  </si>
  <si>
    <t>Держатель электрода 500А американский тип REXANT</t>
  </si>
  <si>
    <t>16-0856</t>
  </si>
  <si>
    <t>Держатель электрода 500А итальянский тип REXANT</t>
  </si>
  <si>
    <t>2. 6. 1. 2. 4 Вилки и разъемы для сварочного кабеля</t>
  </si>
  <si>
    <t>16-0880</t>
  </si>
  <si>
    <t>Розетка панельная (гнездо) СКРП 10-25 REXANT</t>
  </si>
  <si>
    <t>16-0882</t>
  </si>
  <si>
    <t>Вилка кабельная (вставка) СКР 10-25 REXANT</t>
  </si>
  <si>
    <t>16-0881</t>
  </si>
  <si>
    <t>Розетка панельная (гнездо) СКРП 35-50 REXANT</t>
  </si>
  <si>
    <t>16-0885</t>
  </si>
  <si>
    <t>Вилка кабельная (вставка) СКР 35-50 REXANT</t>
  </si>
  <si>
    <t>16-0883</t>
  </si>
  <si>
    <t>Розетка кабельная (гнездо) СКР 10-25 REXANT</t>
  </si>
  <si>
    <t>16-0884</t>
  </si>
  <si>
    <t>Розетка кабельная (гнездо) СКР 35-50 REXANT</t>
  </si>
  <si>
    <t>2. 6. 1. 2. 5 Комплекты сварочных проводов [Группа индивидуального ценообразования]</t>
  </si>
  <si>
    <t>16-0772</t>
  </si>
  <si>
    <t>Комплект сварочных проводов СКР 10-25 16мм² 3м REXANT</t>
  </si>
  <si>
    <t>16-0773</t>
  </si>
  <si>
    <t>Комплект сварочных проводов СКР 10-25 16мм² 5м REXANT</t>
  </si>
  <si>
    <t>16-0775</t>
  </si>
  <si>
    <t>Комплект сварочных проводов СКР 10-25 25мм² 3м REXANT</t>
  </si>
  <si>
    <t>16-0776</t>
  </si>
  <si>
    <t>Комплект сварочных проводов СКР 10-25 25мм² 5м REXANT</t>
  </si>
  <si>
    <t>16-0777</t>
  </si>
  <si>
    <t>Комплект сварочных проводов СКР 35-50 25мм² 3м REXANT</t>
  </si>
  <si>
    <t>16-0778</t>
  </si>
  <si>
    <t>Комплект сварочных проводов СКР 35-50 25мм² 5м REXANT</t>
  </si>
  <si>
    <t>16-0763</t>
  </si>
  <si>
    <t>Сварочный кабель с клеммой заземления 16мм² 200А СКР 10-25 3м REXANT</t>
  </si>
  <si>
    <t>16-0753</t>
  </si>
  <si>
    <t>Сварочный кабель с электрододержателем 16мм² 200А СКР 10-25 3м REXANT</t>
  </si>
  <si>
    <t>16-0754</t>
  </si>
  <si>
    <t>Сварочный кабель с электрододержателем 25мм² 300А СКР 10-25 3м REXANT</t>
  </si>
  <si>
    <t>16-0781</t>
  </si>
  <si>
    <t>Удлинитель сварочного кабеля шт.-гн. СКР 10-25 16мм² 3м REXANT</t>
  </si>
  <si>
    <t>16-0783</t>
  </si>
  <si>
    <t>Удлинитель сварочного кабеля шт.-гн. СКР 10-25 25мм² 3м REXANT</t>
  </si>
  <si>
    <t>16-0799</t>
  </si>
  <si>
    <t>Удлинитель сварочного кабеля шт.-гн. СКР 35-50, 25мм², 3м REXANT</t>
  </si>
  <si>
    <t>2. 6. 1. 3 Расходные материалы для сварочных работ</t>
  </si>
  <si>
    <t>2. 6. 1. 3. 1 Электроды [Группа индивидуального ценообразования]</t>
  </si>
  <si>
    <t>11-0960</t>
  </si>
  <si>
    <t>Электрод REXANT ОЗС-12, 350 мм/3 мм, пачка 1 кг</t>
  </si>
  <si>
    <t>11-0950</t>
  </si>
  <si>
    <t>Электрод MP-3C, 350мм/3мм, пачка 1кг REXANT</t>
  </si>
  <si>
    <t>11-0951</t>
  </si>
  <si>
    <t>Электрод MP-3C, 350мм/3мм, пачка 5кг REXANT</t>
  </si>
  <si>
    <t>11-0957</t>
  </si>
  <si>
    <t>Электрод 350мм АНО-21 3мм 1кг REXANT</t>
  </si>
  <si>
    <t>11-0961</t>
  </si>
  <si>
    <t>Электрод ОК-46, 350мм/3мм, пачка 1кг REXANT</t>
  </si>
  <si>
    <t>11-0969</t>
  </si>
  <si>
    <t>Электрод 350мм ОК-46 3мм пачка 3кг REXANT</t>
  </si>
  <si>
    <t>11-0970</t>
  </si>
  <si>
    <t>Электрод 350мм ОК-46 3мм пачка 5кг REXANT</t>
  </si>
  <si>
    <t>11-0962</t>
  </si>
  <si>
    <t>Электрод УОНИ-13/55, 350мм/3мм, пачка 1кг REXANT</t>
  </si>
  <si>
    <t>11-0956</t>
  </si>
  <si>
    <t>Электрод 450 мм MP-3C 4 мм пачка 1 кг</t>
  </si>
  <si>
    <t>11-0952</t>
  </si>
  <si>
    <t>Электрод 450 мм MP-3C 4 мм пачка 3 кг</t>
  </si>
  <si>
    <t>11-0953</t>
  </si>
  <si>
    <t>Электрод 450 мм MP-3C 4 мм пачка 5 кг</t>
  </si>
  <si>
    <t>11-0958</t>
  </si>
  <si>
    <t>Электрод 450 мм АНО-21 4 мм 1 кг</t>
  </si>
  <si>
    <t>2. 6. 1. 4 Сварочный инструмент</t>
  </si>
  <si>
    <t>2. 6. 1. 4. 1 Магнитные угольники для сварки</t>
  </si>
  <si>
    <t>12-4831</t>
  </si>
  <si>
    <t>Магнитный угольник-держатель для сварки на 6 углов усилие 11,3 кг REXANT</t>
  </si>
  <si>
    <t>12-4832</t>
  </si>
  <si>
    <t>Магнитный угольник-держатель для сварки на 6 углов усилие 22,6 кг REXANT</t>
  </si>
  <si>
    <t>12-4833</t>
  </si>
  <si>
    <t>Магнитный угольник-держатель для сварки на 6 углов усилие 34 кг REXANT</t>
  </si>
  <si>
    <t>12-4830</t>
  </si>
  <si>
    <t>Магнитный угольник-держатель для сварки набор 4 шт. на 4 кг REXANT</t>
  </si>
  <si>
    <t>12-4824</t>
  </si>
  <si>
    <t>Магнитный угольник-держатель для сварки 3 угла, усилие до 11,3 кг REXANT</t>
  </si>
  <si>
    <t>12-4825</t>
  </si>
  <si>
    <t>Магнитный угольник-держатель для сварки 3 угла, усилие до 22,6 кг REXANT</t>
  </si>
  <si>
    <t>12-4826</t>
  </si>
  <si>
    <t>Магнитный угольник-держатель для сварки 3 угла, усилие до 34 кг REXANT</t>
  </si>
  <si>
    <t>12-4827</t>
  </si>
  <si>
    <t>Магнитный угольник-держатель для сварки 3 угла, усилие до 45 кг REXANT</t>
  </si>
  <si>
    <t>12-4839</t>
  </si>
  <si>
    <t>Магнитный угольник-держатель для сварки на 4 угла, усилие 11,3 кг REXANT</t>
  </si>
  <si>
    <t>12-4835</t>
  </si>
  <si>
    <t>Магнитный угольник-держатель для сварки, отключаемый на 3 угла, усилие 11,3 кг REXANT</t>
  </si>
  <si>
    <t>12-4836</t>
  </si>
  <si>
    <t>Магнитный угольник-держатель для сварки, отключаемый на 3 угла, усилие 23 кг REXANT</t>
  </si>
  <si>
    <t>12-4837</t>
  </si>
  <si>
    <t>Шарнирный держатель для сварки усилие 34 кг REXANT</t>
  </si>
  <si>
    <t>2. 6. 1. 4. 3 Труборезы для пластиковых труб</t>
  </si>
  <si>
    <t>11-1017</t>
  </si>
  <si>
    <t>Труборез для пластиковых труб 42 мм RA-65Mn REXANT</t>
  </si>
  <si>
    <t>11-1019</t>
  </si>
  <si>
    <t>Труборез для пластиковых труб 42 мм RS-65Mn REXANT</t>
  </si>
  <si>
    <t>2. 6. 1. 5 Защита и спецодежда для сварки</t>
  </si>
  <si>
    <t>2. 6. 1. 5. 1 Сварочные маски и щитки</t>
  </si>
  <si>
    <t>KR-16-0795</t>
  </si>
  <si>
    <t>Маска сварщика с автоматическим светофильтром «Хамелеон» АСФ 100 / KR100-1C KRANZ</t>
  </si>
  <si>
    <t>KR-16-0796</t>
  </si>
  <si>
    <t>Маска сварщика с автоматическим светофильтром «Хамелеон» АСФ 400 / KR400-1C KRANZ</t>
  </si>
  <si>
    <t>KR-16-0797</t>
  </si>
  <si>
    <t>Маска сварщика с автоматическим светофильтром «Хамелеон» АСФ 777 / KR777-1C KRANZ</t>
  </si>
  <si>
    <t>KR-16-0798</t>
  </si>
  <si>
    <t>Маска сварщика с черным минеральным стеклом DIN 9 KRANZ</t>
  </si>
  <si>
    <t>2. 6. 2 Строительное оборудование</t>
  </si>
  <si>
    <t>2. 6. 2. 1 Бетоносмесители</t>
  </si>
  <si>
    <t>KR-16-1104</t>
  </si>
  <si>
    <t>Бетоносмеситель KR-160, 700Вт, 160л, чугунный венец KRANZ</t>
  </si>
  <si>
    <t>KR-16-1105</t>
  </si>
  <si>
    <t>Бетоносмеситель KR-180, 700Вт, 180л, чугунный венец KRANZ</t>
  </si>
  <si>
    <t>KR-16-1106</t>
  </si>
  <si>
    <t>Бетоносмеситель KR-200, 1000Вт, 200л, чугунный венец KRANZ</t>
  </si>
  <si>
    <t>2. 6. 2. 2 Строительные пылесосы и аксессуары</t>
  </si>
  <si>
    <t>KR-16-0002</t>
  </si>
  <si>
    <t>Комплект одноразовых мешков для строительного пылесоса KR15, 15л KRANZ</t>
  </si>
  <si>
    <t>15.10.2026</t>
  </si>
  <si>
    <t>KR-16-0003</t>
  </si>
  <si>
    <t>Комплект одноразовых мешков для строительного пылесоса KR30, 30л KRANZ</t>
  </si>
  <si>
    <t>KR-16-0004</t>
  </si>
  <si>
    <t>Мешок тканевый многоразовый для строительных пылесосов KR1530 15-30л  KRANZ</t>
  </si>
  <si>
    <t>KR-16-0001</t>
  </si>
  <si>
    <t>Насадка для сбора пыли при сверлении для пылесоса, диаметр 15мм KRANZ</t>
  </si>
  <si>
    <t>KR-16-1115</t>
  </si>
  <si>
    <t>Пылесос строительный KR15, 1200Вт, 15л, 4м KRANZ</t>
  </si>
  <si>
    <t>KR-16-1117</t>
  </si>
  <si>
    <t>Пылесос строительный KR30, 1400Вт, 30л, 4м KRANZ</t>
  </si>
  <si>
    <t>2. 6. 3 Генераторы</t>
  </si>
  <si>
    <t>2. 6. 3. 1 Бензиновые генераторы</t>
  </si>
  <si>
    <t>KR-16-1133</t>
  </si>
  <si>
    <t>Генератор бензиновый KR3300, 3,3кВт, 230В, 15л, ручной стартер KRANZ</t>
  </si>
  <si>
    <t>25.03.2027</t>
  </si>
  <si>
    <t>KR-16-1135</t>
  </si>
  <si>
    <t>Генератор бензиновый KR5500EA, 5,5кВт, 230В, 25л, коннектор автоматики, электростартер KRANZ</t>
  </si>
  <si>
    <t>06.11.2026</t>
  </si>
  <si>
    <t>KR-16-1137</t>
  </si>
  <si>
    <t>Генератор бензиновый KR8000, 8кВт, 230В, 25л, ручной старт KRANZ</t>
  </si>
  <si>
    <t>KR-16-1139</t>
  </si>
  <si>
    <t>Генератор бензиновый KR8000EA, 8кВт, 25л, коннектор автоматики, электростартер KRANZ</t>
  </si>
  <si>
    <t>KR-16-1140</t>
  </si>
  <si>
    <t>Генератор бензиновый KR9000EA-3, 9кВт, 230В/380В, 25л, коннектор автоматики, электростартер KRANZ</t>
  </si>
  <si>
    <t>KR-16-1138</t>
  </si>
  <si>
    <t>Генератор бензиновый KR9000EA, 9,0кВт, 230В, 25л, коннектор автоматики, электростартер KRANZ</t>
  </si>
  <si>
    <t>2. 6. 3. 2 Инверторные генераторы</t>
  </si>
  <si>
    <t>KR-16-1145</t>
  </si>
  <si>
    <t>Генератор инверторный KR1200I, 1,2кВт, 230В, 2л, закрытый корпус, ручной старт KRANZ</t>
  </si>
  <si>
    <t>KR-16-1141</t>
  </si>
  <si>
    <t>Генератор инверторный KR2200I, 2,2кВт, 230В, 4л, закрытый корпус, ручной старт KRANZ</t>
  </si>
  <si>
    <t>KR-16-1142</t>
  </si>
  <si>
    <t>Генератор инверторный KR2500IO, 2,5кВт, 230В, 7л, открытый корпус, ручной старт KRANZ</t>
  </si>
  <si>
    <t>KR-16-1143</t>
  </si>
  <si>
    <t>Генератор инверторный KR3500IO, 3,5кВт, 230В, 7л, открытый корпус, ручной старт KRANZ</t>
  </si>
  <si>
    <t>KR-16-1146</t>
  </si>
  <si>
    <t>Генератор инверторный KR5500IE, 5,5кВт, 230В, 10л, закрытый корпус, электростартер KRANZ</t>
  </si>
  <si>
    <t>2. 6. 3. 3 Дизельные генераторы</t>
  </si>
  <si>
    <t>KR-16-1315</t>
  </si>
  <si>
    <t>Генератор дизельный KR8500DEA, 8,5кВт, 230В, 16л, коннектор автоматики, электростартер KRANZ</t>
  </si>
  <si>
    <t>2. 6. 4 Компрессоры и пневмоинструмент</t>
  </si>
  <si>
    <t>2. 6. 4. 1 Компрессоры</t>
  </si>
  <si>
    <t>KR-16-1151</t>
  </si>
  <si>
    <t>Компрессор воздушный KR-1500/24, 1500Вт, 230 л/мин, 24л KRANZ</t>
  </si>
  <si>
    <t>KR-16-1152</t>
  </si>
  <si>
    <t>Компрессор воздушный KR-1500/50, 1500Вт, 280 л/мин, 50л KRANZ</t>
  </si>
  <si>
    <t>KR-16-1153</t>
  </si>
  <si>
    <t>Компрессор воздушный KR-2200/50, 2200Вт, 400 л/мин, 50л KRANZ</t>
  </si>
  <si>
    <t>KR-16-1161</t>
  </si>
  <si>
    <t>Компрессор воздушный безмасляный KR-850/10, 850Вт, 140 л/мин, 10л KRANZ</t>
  </si>
  <si>
    <t>2. 6. 4. 2 Аксессуары для компрессоров</t>
  </si>
  <si>
    <t>KR-16-1400</t>
  </si>
  <si>
    <t>Набор пневмоинструментов KRANZ</t>
  </si>
  <si>
    <t>23.10.2026</t>
  </si>
  <si>
    <t>KR-16-1403</t>
  </si>
  <si>
    <t>Пистолет для антигравийных и антикоррозийных составов с гибким и прямым соплом + регулятор давления KRANZ</t>
  </si>
  <si>
    <t>KR-16-1406</t>
  </si>
  <si>
    <t>Пистолет для накачки шин ПРО KRANZ</t>
  </si>
  <si>
    <t>KR-16-1410</t>
  </si>
  <si>
    <t>Пистолет моечный (мовильный), металлический бачок, 900мл KRANZ</t>
  </si>
  <si>
    <t>KR-16-1415</t>
  </si>
  <si>
    <t>Пистолет продувочный пневматический, металлический, с удлиненным соплом (135мм) KRANZ</t>
  </si>
  <si>
    <t>KR-16-1172</t>
  </si>
  <si>
    <t>Шланг спиральный для компрессора, с быстросъемным соединением, 10м KRANZ</t>
  </si>
  <si>
    <t>KR-16-1173</t>
  </si>
  <si>
    <t>Шланг спиральный для компрессора, с быстросъемным соединением, 15м KRANZ</t>
  </si>
  <si>
    <t>KR-16-1171</t>
  </si>
  <si>
    <t>Шланг спиральный для компрессора, с быстросъемным соединением, 5м KRANZ</t>
  </si>
  <si>
    <t>2. 6. 4. 3 Пневматический инструмент</t>
  </si>
  <si>
    <t>KR-80-0704</t>
  </si>
  <si>
    <t>Гайковерт пневматический 1/2", 1490 Нм KRANZ</t>
  </si>
  <si>
    <t>KR-80-0701</t>
  </si>
  <si>
    <t>Гайковерт пневматический 1/2", 330 Нм KRANZ</t>
  </si>
  <si>
    <t>KR-80-0702</t>
  </si>
  <si>
    <t>Гайковерт пневматический 1/2", 680 Нм KRANZ</t>
  </si>
  <si>
    <t>KR-80-0703</t>
  </si>
  <si>
    <t>Гайковерт пневматический 1/2", 868 Нм KRANZ</t>
  </si>
  <si>
    <t>KR-80-0705</t>
  </si>
  <si>
    <t>Трещотка пневматическая 1/2", 70 Нм KRANZ</t>
  </si>
  <si>
    <t>KR-80-0706</t>
  </si>
  <si>
    <t>Трещотка пневматическая 1/4", 70 Нм KRANZ</t>
  </si>
  <si>
    <t>2. 6. 5 Садовая и уборочная техника</t>
  </si>
  <si>
    <t>2. 6. 5. 4 Триммеры и аксессуары</t>
  </si>
  <si>
    <t>KR-16-1222</t>
  </si>
  <si>
    <t>Катушка для триммера полуавтоматическая KR-115PA, гайка M10x1,25, винт M10-M10 KRANZ</t>
  </si>
  <si>
    <t>KR-16-1223</t>
  </si>
  <si>
    <t>Катушка для триммера полуавтоматическая KR-130PP, гайка M10x1,25, винт M10-M10 KRANZ</t>
  </si>
  <si>
    <t>KR-16-1225</t>
  </si>
  <si>
    <t>Ранцевый ремень с защитой бедра для бензиновых триммеров KRANZ</t>
  </si>
  <si>
    <t>KR-16-1202</t>
  </si>
  <si>
    <t>Триммер бензиновый KR-52, 52см3, 3 л.с, разборная штанга KRANZ</t>
  </si>
  <si>
    <t>2. 6. 5. 5 Газонокосилки и аксессуары</t>
  </si>
  <si>
    <t>2. 6. 5. 5. 1 Газонокосилки бензиновые</t>
  </si>
  <si>
    <t>KR-16-1231</t>
  </si>
  <si>
    <t>Газонокосилка бензиновая KR-460SP самоходная, 150см3, 46см KRANZ</t>
  </si>
  <si>
    <t>2. 6. 5. 6 Пилы и аксессуары</t>
  </si>
  <si>
    <t>KR-16-1011</t>
  </si>
  <si>
    <t>Пила цепная аккумуляторная KR-4040 бесщеточная, шина 40см, 2 АКБ 20Вх2 (40В) 4Ач KRANZ</t>
  </si>
  <si>
    <t>KR-16-1182</t>
  </si>
  <si>
    <t>Пила цепная бензиновая KR-5245, шина 45см, 3,5 л.с, шаг 0,325, 72 звена KRANZ</t>
  </si>
  <si>
    <t>KR-16-1183</t>
  </si>
  <si>
    <t>Пила цепная бензиновая KR-5850, шина 50см, 4,1 л.с, шаг 0,325, 76 звеньев KRANZ</t>
  </si>
  <si>
    <t>KR-16-1192</t>
  </si>
  <si>
    <t>Цепь для бензопилы KR-4572, шина 45см, шаг 0,325, 72 звена KRANZ</t>
  </si>
  <si>
    <t>KR-16-1193</t>
  </si>
  <si>
    <t>Цепь для бензопилы KR-5076, шина 50см, шаг 0,325, 76 звеньев KRANZ</t>
  </si>
  <si>
    <t>2. 6. 6 Моечное и насосное оборудование</t>
  </si>
  <si>
    <t>2. 6. 6. 1 Мойки высокого давления</t>
  </si>
  <si>
    <t>KR-16-1261</t>
  </si>
  <si>
    <t>Мойка высокого давления KR-110 KRANZ</t>
  </si>
  <si>
    <t>KR-16-1262</t>
  </si>
  <si>
    <t>Мойка высокого давления KR-170 KRANZ</t>
  </si>
  <si>
    <t>KR-16-1269</t>
  </si>
  <si>
    <t>Мойка высокого давления KR-171, 2200Вт, 450 л/ч, 170 Бар KRANZ</t>
  </si>
  <si>
    <t>KR-16-1263</t>
  </si>
  <si>
    <t>Мойка высокого давления KR-210 KRANZ</t>
  </si>
  <si>
    <t>2. 6. 7 Аксессуары для силовой техники</t>
  </si>
  <si>
    <t>KR-16-1299</t>
  </si>
  <si>
    <t>Моторное масло полусинтетическое для 4-хтактных двигателей SAE 5W30, 1л KRANZ</t>
  </si>
  <si>
    <t>KR-16-1301</t>
  </si>
  <si>
    <t>Чехол для снегоуборщика и садово-уборочной техники, черный KRANZ</t>
  </si>
  <si>
    <t>2. 6. 8 Нейлеры</t>
  </si>
  <si>
    <t>KR-16-1655</t>
  </si>
  <si>
    <t>Пистолет гвоздезабивной газовый монтажный GN100, 100Дж, длина гвоздей 15-40мм, диаметр 2,7-3мм KRANZ</t>
  </si>
  <si>
    <t>KR-16-1650</t>
  </si>
  <si>
    <t>Пистолет гвоздезабивной газовый монтажный GN95, 95Дж, длина гвоздей 15-40мм, диаметр 2,7-3мм KRANZ</t>
  </si>
  <si>
    <t>KR-16-1610</t>
  </si>
  <si>
    <t>Пневмопистолет гвоздезабивной (нейлер) 2в1 N50/S40 KRANZ</t>
  </si>
  <si>
    <t>KR-16-1620</t>
  </si>
  <si>
    <t>Пневмопистолет гвоздезабивной (нейлер) N90/D21, наклон 21 градус KRANZ</t>
  </si>
  <si>
    <t>2. 6. 8. 1 Крепеж и аксессуары для нейлеров</t>
  </si>
  <si>
    <t>16-1790</t>
  </si>
  <si>
    <t>Баллон газовый NS 1000/165 REXANT</t>
  </si>
  <si>
    <t>KR-16-1714</t>
  </si>
  <si>
    <t>Гвозди по бетону 3х19мм, 1000 шт. KRANZ</t>
  </si>
  <si>
    <t>KR-16-1716</t>
  </si>
  <si>
    <t>Гвозди по бетону 3х22мм, 1000 шт. KRANZ</t>
  </si>
  <si>
    <t>KR-16-1718</t>
  </si>
  <si>
    <t>Гвозди по бетону 3х25мм, 1000 шт. KRANZ</t>
  </si>
  <si>
    <t>2. 7 Газовый инструмент</t>
  </si>
  <si>
    <t>2. 7. 1 Газовые горелки</t>
  </si>
  <si>
    <t>2. 7. 1. 1 Горелки без поджига</t>
  </si>
  <si>
    <t>12-0016</t>
  </si>
  <si>
    <t>Газовая горелка-насадка GT-16 (механическая с регулятором) REXANT</t>
  </si>
  <si>
    <t>12-0017</t>
  </si>
  <si>
    <t>Газовая горелка-насадка GT-17 (механическая с регулятором) REXANT</t>
  </si>
  <si>
    <t>12-0018</t>
  </si>
  <si>
    <t>Газовая горелка-насадка GT-18 (механическая с регулятором) паяльного типа REXANT</t>
  </si>
  <si>
    <t>12-0021</t>
  </si>
  <si>
    <t>Газовая горелка-насадка GT-21 (механическая с регулятором) удлиненного типа REXANT</t>
  </si>
  <si>
    <t>2. 7. 1. 2 Горелки с пьезоподжигом</t>
  </si>
  <si>
    <t>12-0019</t>
  </si>
  <si>
    <t>Газовая горелка-насадка GT-19 с пьезоподжигом REXANT</t>
  </si>
  <si>
    <t>12-0020</t>
  </si>
  <si>
    <t>Газовая горелка-насадка GT-20 с пьезоподжигом REXANT</t>
  </si>
  <si>
    <t>12-0022</t>
  </si>
  <si>
    <t>Газовая горелка-насадка GT-22 удлиненного типа с пьезоподжигом REXANT</t>
  </si>
  <si>
    <t>12-0023</t>
  </si>
  <si>
    <t>Газовая горелка-насадка GT-23 с пьезоподжигом REXANT</t>
  </si>
  <si>
    <t>12-0024</t>
  </si>
  <si>
    <t>Газовая горелка-насадка GT-24 с пьезоподжигом REXANT</t>
  </si>
  <si>
    <t>12-0026</t>
  </si>
  <si>
    <t>Газовая горелка-насадка GT-26 с пьезоподжигом REXANT</t>
  </si>
  <si>
    <t>12-0030</t>
  </si>
  <si>
    <t>Газовая горелка-насадка GT-30 с пьезоподжигом паяльного типа REXANT</t>
  </si>
  <si>
    <t>12-0031</t>
  </si>
  <si>
    <t>Газовая горелка-насадка GT-31 360° с пьезоподжигом REXANT</t>
  </si>
  <si>
    <t>12-0032</t>
  </si>
  <si>
    <t>Газовая горелка-насадка GT-32 360° с пьезоподжигом REXANT</t>
  </si>
  <si>
    <t>12-0033</t>
  </si>
  <si>
    <t>Газовая горелка-насадка GT-33 360° с пьезоподжигом REXANT</t>
  </si>
  <si>
    <t>12-0034</t>
  </si>
  <si>
    <t>Газовая горелка-насадка GT-34 360° с пьезоподжигом REXANT</t>
  </si>
  <si>
    <t>2. 7. 1. 3 Горелки заправляемые</t>
  </si>
  <si>
    <t>12-0025</t>
  </si>
  <si>
    <t>Газовая горелка настольная GT-25, с пьезоподжигом и керамическим ободом REXANT</t>
  </si>
  <si>
    <t>12-0029</t>
  </si>
  <si>
    <t>Газовая горелка настольная GT-29, 2 режима REXANT</t>
  </si>
  <si>
    <t>12-0036</t>
  </si>
  <si>
    <t>Мини-горелка GT-36, заправляемая REXANT</t>
  </si>
  <si>
    <t>12-0037</t>
  </si>
  <si>
    <t>Мини-горелка GT-37, заправляемая, 2 режима работы REXANT</t>
  </si>
  <si>
    <t>12-0038</t>
  </si>
  <si>
    <t>Мини-горелка GT-38, заправляемая, 2 режима работы REXANT</t>
  </si>
  <si>
    <t>12-0010-1</t>
  </si>
  <si>
    <t>Турбо горелка GT-10 заправляемая, красная REXANT</t>
  </si>
  <si>
    <t>12-0010-2</t>
  </si>
  <si>
    <t>Турбо горелка GT-10, заправляемая, красная REXANT</t>
  </si>
  <si>
    <t>12-0010</t>
  </si>
  <si>
    <t>Турбо горелка GT-10, заправляемая, синяя REXANT</t>
  </si>
  <si>
    <t>12-0011-1</t>
  </si>
  <si>
    <t>Турбо горелка GT-11 заправляемая, красная REXANT</t>
  </si>
  <si>
    <t>12-0011-2</t>
  </si>
  <si>
    <t>Турбо горелка GT-11, заправляемая, красная REXANT</t>
  </si>
  <si>
    <t>12-0011</t>
  </si>
  <si>
    <t>Турбо горелка GT-11, заправляемая, синяя REXANT</t>
  </si>
  <si>
    <t>2. 7. 1. 4 Паяльные лампы</t>
  </si>
  <si>
    <t>12-0007</t>
  </si>
  <si>
    <t>Паяльная лампа ПЛ-1 REXANT</t>
  </si>
  <si>
    <t>12-0008</t>
  </si>
  <si>
    <t>Паяльная лампа ПЛ-1,5 REXANT</t>
  </si>
  <si>
    <t>12-0009</t>
  </si>
  <si>
    <t>Паяльная лампа ПЛ-2,0 REXANT</t>
  </si>
  <si>
    <t>2. 7. 1. 5 Горелки кровельные</t>
  </si>
  <si>
    <t>11-0998</t>
  </si>
  <si>
    <t>Горелка кровельная в наборе ГВП-450КР REXANT</t>
  </si>
  <si>
    <t>11-0991</t>
  </si>
  <si>
    <t>Горелка кровельная ГВ-1000Р REXANT</t>
  </si>
  <si>
    <t>11-0975</t>
  </si>
  <si>
    <t>Горелка кровельная ГВ-500Р REXANT</t>
  </si>
  <si>
    <t>11-0972</t>
  </si>
  <si>
    <t>Горелка кровельная ГВ-600В REXANT</t>
  </si>
  <si>
    <t>11-0995</t>
  </si>
  <si>
    <t>Горелка кровельная ГВ-600П с пьезоподжигом REXANT</t>
  </si>
  <si>
    <t>11-0977</t>
  </si>
  <si>
    <t>Горелка кровельная ГВ-700Р REXANT</t>
  </si>
  <si>
    <t>11-0992</t>
  </si>
  <si>
    <t>Горелка кровельная ГВ2-1000Р 2 сопла REXANT</t>
  </si>
  <si>
    <t>15.12.2026</t>
  </si>
  <si>
    <t>11-0997</t>
  </si>
  <si>
    <t>Горелка пропановая в наборе ГВП-400К REXANT</t>
  </si>
  <si>
    <t>2. 7. 1. 6 Горелки MAPP высокотемпературные</t>
  </si>
  <si>
    <t>12-0070</t>
  </si>
  <si>
    <t>Газовая горелка для МАПП газа 03 REXANT</t>
  </si>
  <si>
    <t>12-0073</t>
  </si>
  <si>
    <t>Газовая горелка для МАПП газа 05 REXANT</t>
  </si>
  <si>
    <t>12-0078</t>
  </si>
  <si>
    <t>Газовая горелка для МАПП газа 08 REXANT</t>
  </si>
  <si>
    <t>12-0080</t>
  </si>
  <si>
    <t>Газовая горелка для МАПП газа 15 REXANT</t>
  </si>
  <si>
    <t>12-0085</t>
  </si>
  <si>
    <t>Газовая горелка для МАПП газа 20 со шлангом REXANT</t>
  </si>
  <si>
    <t>12-0082</t>
  </si>
  <si>
    <t>Газовая горелка для МАПП газа 25 с гибким соплом REXANT</t>
  </si>
  <si>
    <t>2. 7. 2 Газовые баллоны [Группа индивидуального ценообразования]</t>
  </si>
  <si>
    <t>09-1404</t>
  </si>
  <si>
    <t>Газ для зажигалок, металлический баллон 140 мл (55 гр) (5 переходников)</t>
  </si>
  <si>
    <t>09-1424</t>
  </si>
  <si>
    <t>Газ для зажигалок, металлический баллон 200 мл (с универсальным штоком для большинства газовых устройств)</t>
  </si>
  <si>
    <t>09-1429</t>
  </si>
  <si>
    <t>Газ для зажигалок, метал.баллон, 210 см3 (140 мл) 80 гр. с универсальным переходником</t>
  </si>
  <si>
    <t>09-1405</t>
  </si>
  <si>
    <t>Газ для зажигалок, метал.баллон, 210мл (80 гр). (5 переходников)</t>
  </si>
  <si>
    <t>09-1430</t>
  </si>
  <si>
    <t>Газ для зажигалок, метал.баллон, 260 см3 (180 мл) 100 гр. с универсальным переходником</t>
  </si>
  <si>
    <t>09-1406</t>
  </si>
  <si>
    <t>Газ для зажигалок, металлический баллон 270 мл (110 гр) (5 переходников)</t>
  </si>
  <si>
    <t>09-1428</t>
  </si>
  <si>
    <t>Газ для зажигалок, металлический баллон 300 мл (с универсальным штоком для большинства газовых устройств)</t>
  </si>
  <si>
    <t>09-1414</t>
  </si>
  <si>
    <t>Газовый баллон всесезонный 520 см³ REXANT</t>
  </si>
  <si>
    <t>09-1413</t>
  </si>
  <si>
    <t>Газовый баллон Зимняя смесь 520 мл REXANT</t>
  </si>
  <si>
    <t>2. 7. 3 Газовые горелки туристические</t>
  </si>
  <si>
    <t>12-4131</t>
  </si>
  <si>
    <t>Газовая плитка туристическая компактная «Кочевник» REXANT</t>
  </si>
  <si>
    <t>12-4139</t>
  </si>
  <si>
    <t>Компактная туристическая газовая плитка Ясон REXANT</t>
  </si>
  <si>
    <t>20 - 150 дней</t>
  </si>
  <si>
    <t>12-4148</t>
  </si>
  <si>
    <t>Плитка газовая туристическая Медея REXANT</t>
  </si>
  <si>
    <t>1 000 - 180 дней</t>
  </si>
  <si>
    <t>12-4160</t>
  </si>
  <si>
    <t>Экран для защиты газовых плит от ветра «Щит» REXANT</t>
  </si>
  <si>
    <t>2. 7. 4 Наборы</t>
  </si>
  <si>
    <t>12-0019-14</t>
  </si>
  <si>
    <t>Набор горелка газовая GT-19 с пьезоподжигом + газовый баллон REXANT</t>
  </si>
  <si>
    <t>2. 8 Инструмент для ручной пайки</t>
  </si>
  <si>
    <t>2. 8. 1. Паяльники</t>
  </si>
  <si>
    <t>2. 8. 1. 1 Паяльники с пластиковой ручкой, серия "МАСТЕР", "Classic", "Профи"</t>
  </si>
  <si>
    <t>12-0126-4</t>
  </si>
  <si>
    <t>Паяльник долговечное жало, серия Классик, 100Вт, 230В, блистер PROconnect</t>
  </si>
  <si>
    <t>12-0121-4</t>
  </si>
  <si>
    <t>Паяльник долговечное жало, серия Классик, 25Вт, 230В, блистер PROconnect</t>
  </si>
  <si>
    <t>12-0122-4</t>
  </si>
  <si>
    <t>Паяльник долговечное жало, серия Классик, 30Вт, 230В, блистер PROconnect</t>
  </si>
  <si>
    <t>12-0123-4</t>
  </si>
  <si>
    <t>Паяльник долговечное жало, серия Классик, 40Вт, 230В, блистер PROconnect</t>
  </si>
  <si>
    <t>12-0124-4</t>
  </si>
  <si>
    <t>Паяльник долговечное жало, серия Классик, 60Вт, 230В, блистер PROconnect</t>
  </si>
  <si>
    <t>12-0125-4</t>
  </si>
  <si>
    <t>Паяльник долговечное жало, серия Классик, 80Вт, 230В, блистер PROconnect</t>
  </si>
  <si>
    <t>12-0126</t>
  </si>
  <si>
    <t>Паяльник долговечное жало, серия МАСТЕР, 100Вт, 230В, блистер REXANT</t>
  </si>
  <si>
    <t>12-0121</t>
  </si>
  <si>
    <t>Паяльник долговечное жало, серия МАСТЕР, 25Вт, 230В, блистер REXANT</t>
  </si>
  <si>
    <t>12-0122</t>
  </si>
  <si>
    <t>Паяльник долговечное жало, серия МАСТЕР, 30Вт, 230В, блистер REXANT</t>
  </si>
  <si>
    <t>12-0123</t>
  </si>
  <si>
    <t>Паяльник долговечное жало, серия МАСТЕР, 40Вт, 230В, блистер REXANT</t>
  </si>
  <si>
    <t>12-0124</t>
  </si>
  <si>
    <t>Паяльник долговечное жало, серия МАСТЕР, 60Вт, 230В, блистер REXANT</t>
  </si>
  <si>
    <t>12-0125</t>
  </si>
  <si>
    <t>Паяльник долговечное жало, серия МАСТЕР, 80Вт, 230В, блистер REXANT</t>
  </si>
  <si>
    <t>12-0121-1</t>
  </si>
  <si>
    <t>Паяльник с керам. нагревателем, серия Комфорт, 25Вт, 230В, блистер REXANT</t>
  </si>
  <si>
    <t>12-0122-1</t>
  </si>
  <si>
    <t>Паяльник с керам. нагревателем, серия Комфорт, 30Вт, 230В, блистер REXANT</t>
  </si>
  <si>
    <t>12-0123-1</t>
  </si>
  <si>
    <t>Паяльник с керам. нагревателем, серия Комфорт, 40Вт, 230В, блистер REXANT</t>
  </si>
  <si>
    <t>2. 8. 1. 2 Паяльники специальные</t>
  </si>
  <si>
    <t>12-0138</t>
  </si>
  <si>
    <t>Паяльник долговечное жало, LED подсветка, 40Вт, 220В, блистер REXANT</t>
  </si>
  <si>
    <t>12-0130</t>
  </si>
  <si>
    <t>Паяльник долговечное жало, серия Точная Пайка, 30Вт, 230В, блистер REXANT</t>
  </si>
  <si>
    <t>12-0189</t>
  </si>
  <si>
    <t>Паяльник с зажимами КРОКОДИЛ, 40Вт, 12В, блистер REXANT</t>
  </si>
  <si>
    <t>12-0611</t>
  </si>
  <si>
    <t>Паяльник с керам. нагревателем, 60Вт, 230В, запасное жало, блистер REXANT</t>
  </si>
  <si>
    <t>12-0613</t>
  </si>
  <si>
    <t>Паяльник с керам. нагревателем, 60Вт, 230В, регул. темп. 250-500°C, запасное жало, блистер REXANT</t>
  </si>
  <si>
    <t>12-0120</t>
  </si>
  <si>
    <t>Паяльник с керам. нагревателем, серия МИНИ, 12В, 8Вт, без БП, блистер REXANT</t>
  </si>
  <si>
    <t>12-0181</t>
  </si>
  <si>
    <t>Паяльник с керам. нагревателем, серия МИНИ, 8Вт, 4,5В, питание от 3 бат. АА, блистер REXANT</t>
  </si>
  <si>
    <t>12-0180</t>
  </si>
  <si>
    <t>Паяльник с керам. нагревателем, серия МИНИ, 8Вт, 5В, питание от USB, блистер REXANT</t>
  </si>
  <si>
    <t>12-0170</t>
  </si>
  <si>
    <t>Паяльник с регулировкой температуры, 30-50Вт, 230В, блистер REXANT</t>
  </si>
  <si>
    <t>12-0171</t>
  </si>
  <si>
    <t>Паяльник с экстрактором припоя, 40Вт, 230В, блистер REXANT</t>
  </si>
  <si>
    <t>12-0184</t>
  </si>
  <si>
    <t>Паяльник со штекером прикуривателя, 12В, 40Вт, блистер REXANT</t>
  </si>
  <si>
    <t>12-0620</t>
  </si>
  <si>
    <t>Паяльник цифровой, с керам. нагревателем, 65Вт, 220В, темп. 200-500 °C REXANT</t>
  </si>
  <si>
    <t>12-0501</t>
  </si>
  <si>
    <t>Паяльник-горелка с пьезоподжигом, газовый, 17мл, 2 насадки, блистер REXANT</t>
  </si>
  <si>
    <t>12-0505</t>
  </si>
  <si>
    <t>Паяльник-горелка с пьезоподжигом, газовый, 17мл, 6 насадок + припой + губка, коробка REXANT</t>
  </si>
  <si>
    <t>12-0185</t>
  </si>
  <si>
    <t>Паяльник-горелка, газовый, 15мл, с регул. пламени, 2 насадки, блистер REXANT</t>
  </si>
  <si>
    <t>12-0139</t>
  </si>
  <si>
    <t>Паяльник-пинцет с керам. нагревателем, 48Вт, 220В, коробка REXANT</t>
  </si>
  <si>
    <t>2. 8. 1. 3 Паяльники импульсные</t>
  </si>
  <si>
    <t>12-0133</t>
  </si>
  <si>
    <t>Паяльник двухрежимный с керам. нагревателем, 30/70Вт, 230В, блистер REXANT</t>
  </si>
  <si>
    <t>12-0162-4</t>
  </si>
  <si>
    <t>Паяльник-пистолет двухрежимный с керам. нагревателем, серия Классик, 30/130Вт, 230В PROconnect</t>
  </si>
  <si>
    <t>12-0162</t>
  </si>
  <si>
    <t>Паяльник-пистолет двухрежимный с керам. нагревателем, серия МАСТЕР, 30/130Вт, 230В REXANT</t>
  </si>
  <si>
    <t>12-0162-1</t>
  </si>
  <si>
    <t>Паяльник-пистолет двухрежимный с керам. нагревателем, серия ПРОФИ, 25/130Вт, 230В REXANT</t>
  </si>
  <si>
    <t>12-0161-4</t>
  </si>
  <si>
    <t>Паяльник-пистолет двухрежимный, серия Классик, 30/70Вт, 230В, блистер PROconnect</t>
  </si>
  <si>
    <t>12-0161</t>
  </si>
  <si>
    <t>Паяльник-пистолет двухрежимный, серия МАСТЕР, 30/70Вт, 230В, блистер REXANT</t>
  </si>
  <si>
    <t>12-0161-1</t>
  </si>
  <si>
    <t>Паяльник-пистолет двухрежимный, серия ПРОФИ, 30/70Вт, 230В, блистер REXANT</t>
  </si>
  <si>
    <t>2. 8. 1. 4 Паяльники высокомощные</t>
  </si>
  <si>
    <t>12-0188</t>
  </si>
  <si>
    <t>Паяльник высокомощный, 300Вт, 230В, Топор, с кнопкой, подставка, коробка REXANT</t>
  </si>
  <si>
    <t>12-0211</t>
  </si>
  <si>
    <t>Паяльник высокомощный, серия ЭПСН, керам. тэн, 200Вт, 230В, с дерев. ручкой, коробка REXANT</t>
  </si>
  <si>
    <t>12-0213</t>
  </si>
  <si>
    <t>Паяльник высокомощный, серия ЭПСН, керам. тэн, 300Вт, 230В, с дерев. ручкой, коробка REXANT</t>
  </si>
  <si>
    <t>12-0215</t>
  </si>
  <si>
    <t>Паяльник-пистолет высокомощный, керам. тэн, 500Вт, 230В, с карболитовой ручкой, коробка REXANT</t>
  </si>
  <si>
    <t>12-0292</t>
  </si>
  <si>
    <t>Паяльник-топор высокомощный, серия ЭПСН, 200Вт, 230В, с деревянной ручкой, пакет REXANT</t>
  </si>
  <si>
    <t>2. 8. 1. 5 Паяльники с деревянной ручкой</t>
  </si>
  <si>
    <t>12-0178-4</t>
  </si>
  <si>
    <t>Паяльник с деревянной ручкой, 100Вт, 230В PROconnect</t>
  </si>
  <si>
    <t>12-0174-4</t>
  </si>
  <si>
    <t>Паяльник с деревянной ручкой, 25Вт, 230В PROconnect</t>
  </si>
  <si>
    <t>12-0175-4</t>
  </si>
  <si>
    <t>Паяльник с деревянной ручкой, 40Вт, 230В PROconnect</t>
  </si>
  <si>
    <t>12-0176-4</t>
  </si>
  <si>
    <t>Паяльник с деревянной ручкой, 65Вт, 230В PROconnect</t>
  </si>
  <si>
    <t>12-0177-4</t>
  </si>
  <si>
    <t>Паяльник с деревянной ручкой, 85Вт, 230В PROconnect</t>
  </si>
  <si>
    <t>12-0291</t>
  </si>
  <si>
    <t>Паяльник с деревянной ручкой, серия ЭПСН, 100Вт, 230В, пакет REXANT</t>
  </si>
  <si>
    <t>12-0225</t>
  </si>
  <si>
    <t>Паяльник с деревянной ручкой, серия ЭПСН, 25Вт, 230В, пакет REXANT</t>
  </si>
  <si>
    <t>12-0240</t>
  </si>
  <si>
    <t>Паяльник с деревянной ручкой, серия ЭПСН, 40Вт, 230В, пакет REXANT</t>
  </si>
  <si>
    <t>12-0265</t>
  </si>
  <si>
    <t>Паяльник с деревянной ручкой, серия ЭПСН, 65Вт, 230В, пакет REXANT</t>
  </si>
  <si>
    <t>12-0280</t>
  </si>
  <si>
    <t>Паяльник с деревянной ручкой, серия ЭПСН, 80Вт, 230В, пакет REXANT</t>
  </si>
  <si>
    <t>2. 8. 1. 6 Паяльники ЭПСН с пластмассовой ручкой (Россия)</t>
  </si>
  <si>
    <t>12-0291-1</t>
  </si>
  <si>
    <t>Паяльник с пластиковой ручкой, серия ЭПСН, 100Вт, 230В, пакет REXANT</t>
  </si>
  <si>
    <t>12-0225-1</t>
  </si>
  <si>
    <t>Паяльник с пластиковой ручкой, серия ЭПСН, 25Вт, 230В, пакет REXANT</t>
  </si>
  <si>
    <t>12-0240-1</t>
  </si>
  <si>
    <t>Паяльник с пластиковой ручкой, серия ЭПСН, 40Вт, 230В, пакет REXANT</t>
  </si>
  <si>
    <t>12-0265-1</t>
  </si>
  <si>
    <t>Паяльник с пластиковой ручкой, серия ЭПСН, 65Вт, 230В, пакет REXANT</t>
  </si>
  <si>
    <t>12-0280-1</t>
  </si>
  <si>
    <t>Паяльник с пластиковой ручкой, серия ЭПСН, 80Вт, 230В, пакет REXANT</t>
  </si>
  <si>
    <t>2. 8. 1. 7 Паяльники ЭПСН с керамическим нагревателем (Россия)</t>
  </si>
  <si>
    <t>12-0425</t>
  </si>
  <si>
    <t>Паяльник с керам. нагревателем, серия ЭПСН, 25Вт, 230В, блистер REXANT</t>
  </si>
  <si>
    <t>12-0440</t>
  </si>
  <si>
    <t>Паяльник с керам. нагревателем, серия ЭПСН, 40Вт, 230В, блистер REXANT</t>
  </si>
  <si>
    <t>12-0465</t>
  </si>
  <si>
    <t>Паяльник с керам. нагревателем, серия ЭПСН, 65Вт, 230В, блистер REXANT</t>
  </si>
  <si>
    <t>2. 8. 2 Держатели для паяльников (подставка / "третья рука")</t>
  </si>
  <si>
    <t>12-0256</t>
  </si>
  <si>
    <t>Держатель для плат, захват до 200х140мм REXANT</t>
  </si>
  <si>
    <t>12-0251-4</t>
  </si>
  <si>
    <t>Держатель Третья рука, 2 зажима, лупа 60мм (2.5х), основание чугун REXANT</t>
  </si>
  <si>
    <t>12-0252</t>
  </si>
  <si>
    <t>Держатель Третья рука, 2 зажима, лупа 60мм (2.5х), подставка паяльника, ниша, губка, чугун REXANT</t>
  </si>
  <si>
    <t>12-0251</t>
  </si>
  <si>
    <t>Держатель Третья рука, 2 зажима, лупа 60мм (3х), основание чугун REXANT</t>
  </si>
  <si>
    <t>12-0253</t>
  </si>
  <si>
    <t>Держатель Третья рука, 2 зажима, лупа 85мм (2.5х), подставка паяльника, LED-подсветка, чугун REXANT</t>
  </si>
  <si>
    <t>12-0250</t>
  </si>
  <si>
    <t>Держатель Третья рука, 2 зажима, лупа 90мм (2.5х) + 2х34мм, подставка паяльника, LED-подсветка REXANT</t>
  </si>
  <si>
    <t>12-0254</t>
  </si>
  <si>
    <t>Держатель Третья рука, 2 зажима, лупа 90мм (3х), чугун REXANT</t>
  </si>
  <si>
    <t>12-0258</t>
  </si>
  <si>
    <t>Держатель Третья рука, Мастер, 3 зажима, лупа 90мм (3х), подставка паяльника, стенд припоя, LED-подсветка REXANT</t>
  </si>
  <si>
    <t>12-0316</t>
  </si>
  <si>
    <t>Подставка для паяльника, держатель припоя, ниша, губка, металл REXANT</t>
  </si>
  <si>
    <t>12-0307</t>
  </si>
  <si>
    <t>Подставка для паяльника, круглая 42мм, серия Мини, карболит REXANT</t>
  </si>
  <si>
    <t>12-0304</t>
  </si>
  <si>
    <t>Подставка для паяльника, листовая, серия Мини, металл REXANT</t>
  </si>
  <si>
    <t>12-0306</t>
  </si>
  <si>
    <t>Подставка для паяльника, ниша квадратная, губка, металл REXANT</t>
  </si>
  <si>
    <t>12-0308</t>
  </si>
  <si>
    <t>Подставка для паяльника, ниша квадратная, губка, чугун REXANT</t>
  </si>
  <si>
    <t>12-0309</t>
  </si>
  <si>
    <t>Подставка для паяльника, стружка для очистки жала, металл REXANT</t>
  </si>
  <si>
    <t>12-0302</t>
  </si>
  <si>
    <t>Подставка под паяльник, ниша круглая, губка, чугун REXANT</t>
  </si>
  <si>
    <t>2. 8. 3 Паяльные станции</t>
  </si>
  <si>
    <t>12-0143</t>
  </si>
  <si>
    <t>Многофункциональная цифровая паяльная станция с мультиметром и ЖК дисплеем 220В/48Вт (ZD-8901) REXANT</t>
  </si>
  <si>
    <t>12-0736</t>
  </si>
  <si>
    <t>Паяльная станция (паяльник + фен + демонт. паяльник), модель R048K, цифровая, 200-480°C, LED-дисплей REXANT</t>
  </si>
  <si>
    <t>12-0729</t>
  </si>
  <si>
    <t>Паяльная станция (паяльник + фен + источн. питания), модель R5000, цифровая, 100-480°C, LED-дисплей REXANT</t>
  </si>
  <si>
    <t>12-0723</t>
  </si>
  <si>
    <t>Паяльная станция (паяльник + фен), модель R852, компрессорная, 100-480°C REXANT</t>
  </si>
  <si>
    <t>12-0724</t>
  </si>
  <si>
    <t>Паяльная станция (паяльник + фен), модель R852AD+, 100-500°C, LED-дисплей REXANT</t>
  </si>
  <si>
    <t>12-0727</t>
  </si>
  <si>
    <t>Паяльная станция (паяльник + фен), модель R887D, цифровая, 100-480°C, LED-дисплей REXANT</t>
  </si>
  <si>
    <t>12-0721</t>
  </si>
  <si>
    <t>Паяльная станция (паяльник + фен), модель R898D, цифровая, 100-480°C, LED-дисплей REXANT</t>
  </si>
  <si>
    <t>12-0151</t>
  </si>
  <si>
    <t>Паяльная станция (паяльник), модель R098, 48Вт, 230В, 160-480°C REXANT</t>
  </si>
  <si>
    <t>12-0152</t>
  </si>
  <si>
    <t>Паяльная станция (паяльник), модель R099, 48Вт, 230В, 160-480°C REXANT</t>
  </si>
  <si>
    <t>12-0150</t>
  </si>
  <si>
    <t>Паяльная станция (паяльник), модель R8906, с цифровым управлением, 48Вт, 230В, 160-480°C, ЖК дисплей REXANT</t>
  </si>
  <si>
    <t>12-0710</t>
  </si>
  <si>
    <t>Паяльная станция (паяльник), модель R936A, 200-480°C REXANT</t>
  </si>
  <si>
    <t>12-0711</t>
  </si>
  <si>
    <t>Паяльная станция (паяльник), модель R936D, 200-480°C, LED-дисплей REXANT</t>
  </si>
  <si>
    <t>12-0159</t>
  </si>
  <si>
    <t>Паяльная станция (паяльник), серия МИНИ - Mi08, 8Вт, 230В, 100-450°C, (ZD-927) REXANT</t>
  </si>
  <si>
    <t>12-0135</t>
  </si>
  <si>
    <t>Паяльная станция (паяльник), серия МИНИ - Mi10, 10Вт, 230В, 100-450°C REXANT</t>
  </si>
  <si>
    <t>12-0716</t>
  </si>
  <si>
    <t>Паяльная станция (термофен), модель R850A, термовоздушная, компрессорная, 100-450°C REXANT</t>
  </si>
  <si>
    <t>12-0714</t>
  </si>
  <si>
    <t>Паяльная станция (термофен), модель R858D, термовоздушная, цифровая, 100-500°C, LED-дисплей REXANT</t>
  </si>
  <si>
    <t>12-0144</t>
  </si>
  <si>
    <t>Цифровая термовоздушная паяльная станция 220В/160-480°С (ZD-939L) REXANT</t>
  </si>
  <si>
    <t>2. 8. 4 Наборы для пайки</t>
  </si>
  <si>
    <t>12-0614</t>
  </si>
  <si>
    <t>Набор для пайки (паяльник с керамическим нагревателем 60Вт, 220-480°C, подставка с губкой, набор из 5 жал) REXANT</t>
  </si>
  <si>
    <t>12-0621</t>
  </si>
  <si>
    <t>Набор для пайки (паяльник цифровой с керамическим нагревателем 65Вт, 200-500°C, подставка с губкой, набор из 5 жал) REXANT</t>
  </si>
  <si>
    <t>12-0165</t>
  </si>
  <si>
    <t>Набор для пайки №11 (паяльник 30Вт, подставка, губка для удаления припоя, канифоль, припой) REXANT</t>
  </si>
  <si>
    <t>12-0166</t>
  </si>
  <si>
    <t>Набор для пайки №13 (паяльник 30Вт, подставка, канифоль, припой, бокорезы, тонкогубцы) REXANT</t>
  </si>
  <si>
    <t>12-0167</t>
  </si>
  <si>
    <t>Набор для пайки №15 (паяльник 8Вт, оловоотсос, подставка, припой, отвертка, инструмент для монтажа) REXANT</t>
  </si>
  <si>
    <t>12-0168</t>
  </si>
  <si>
    <t>Набор для пайки №16 (паяльник с USB-разъемом 8Вт, кусачки, тонкогубцы, подставка, припой, отвертка) REXANT</t>
  </si>
  <si>
    <t>12-0163</t>
  </si>
  <si>
    <t>Набор для пайки №4 (паяльник 30Вт, оловоотсос, подставка, припой, губка) REXANT</t>
  </si>
  <si>
    <t>12-0164</t>
  </si>
  <si>
    <t>Набор для пайки №5 (паяльник импульсный 30/70Вт, оловоотсос, подставка, припой) REXANT</t>
  </si>
  <si>
    <t>09-3762</t>
  </si>
  <si>
    <t>Набор К22 для пайки вспомогательный (держатель Третья рука, подставка, экстрактор) REXANT</t>
  </si>
  <si>
    <t>09-3744</t>
  </si>
  <si>
    <t>Набор К4 для пайки универсальный (припой, канифоль, паяльный жир, флюс СКФ) REXANT</t>
  </si>
  <si>
    <t>09-3745</t>
  </si>
  <si>
    <t>Набор К5 для пайки универсальный (припой, губка, канифоль, флюс СКФ, флюс ОК) REXANT</t>
  </si>
  <si>
    <t>2. 8. 5 Паяльники-выжигатели</t>
  </si>
  <si>
    <t>12-0187</t>
  </si>
  <si>
    <t>Выжигатель (набор паяльник - выжигатель), пирограф, 30/50Вт, 230В, 420-500°C, 21 насадка + подставка, коробка REXANT</t>
  </si>
  <si>
    <t>12-0183-1</t>
  </si>
  <si>
    <t>Выжигатель (набор паяльник - выжигатель), пирограф, 30Вт, 230В, 420-450°C, 21 насадка + подставка, коробка REXANT</t>
  </si>
  <si>
    <t>12-0183</t>
  </si>
  <si>
    <t>Выжигатель (набор паяльник - выжигатель), пирограф, 30Вт, 230В, 420-450°C, 6 насадок, блистер REXANT</t>
  </si>
  <si>
    <t>12-0186</t>
  </si>
  <si>
    <t>Выжигатель (набор паяльник - выжигатель), пирограф, 30Вт, 230В, 7 насадок + подставка + кисточка + краски, блистер REXANT</t>
  </si>
  <si>
    <t>12-0142</t>
  </si>
  <si>
    <t>Выжигатель (прибор для выжигания), пирограф, 40Вт, 230В, 250-750°C, коробка REXANT</t>
  </si>
  <si>
    <t>12-0929-2</t>
  </si>
  <si>
    <t>Набор для выжигания «Для мальчиков», выжигатель + 5 досок, 150х150мм, пакет REXANT</t>
  </si>
  <si>
    <t>12-0934-2</t>
  </si>
  <si>
    <t>Набор для выжигания «Кормушка для птиц», выжигатель + 3D модель, 150х150мм, пакет REXANT</t>
  </si>
  <si>
    <t>2. 8. 7 Паяльные ванны</t>
  </si>
  <si>
    <t>09-9070</t>
  </si>
  <si>
    <t>Паяльная ванна, модель R100, 300Вт, ø100мм, 200-480 °C REXANT</t>
  </si>
  <si>
    <t>09-9071</t>
  </si>
  <si>
    <t>Паяльная ванна, модель R150, 900Вт, 150х100х45мм, 0-400 °C, цифровая REXANT</t>
  </si>
  <si>
    <t>09-9010</t>
  </si>
  <si>
    <t>Паяльная ванна, модель R38, 100Вт, ø38мм, 200-480 °C REXANT</t>
  </si>
  <si>
    <t>09-9210</t>
  </si>
  <si>
    <t>Паяльная ванна, модель R38F, 100Вт, ø38мм, 200-480 °C, бессвинцовая REXANT</t>
  </si>
  <si>
    <t>09-9030</t>
  </si>
  <si>
    <t>Паяльная ванна, модель R50, 150Вт, ø50мм, 200-480 °C REXANT</t>
  </si>
  <si>
    <t>09-9050</t>
  </si>
  <si>
    <t>Паяльная ванна, модель R80, 250Вт, ø80мм, 200-480 °C REXANT</t>
  </si>
  <si>
    <t>2. 8. 8 Вспомогательное оборудование</t>
  </si>
  <si>
    <t>12-0255</t>
  </si>
  <si>
    <t>Антистатический браслет REXANT</t>
  </si>
  <si>
    <t>12-0205</t>
  </si>
  <si>
    <t>Вакуумный экстрактор припоя (оловоотсос), металл REXANT</t>
  </si>
  <si>
    <t>12-0202</t>
  </si>
  <si>
    <t>Вакуумный экстрактор припоя (оловоотсос), металл/пластик REXANT</t>
  </si>
  <si>
    <t>12-0201</t>
  </si>
  <si>
    <t>Вакуумный экстрактор припоя (оловоотсос), пластик  REXANT</t>
  </si>
  <si>
    <t>12-0204</t>
  </si>
  <si>
    <t>Вакуумный экстрактор припоя (оловоотсос), пластик, прозрачно-красный REXANT</t>
  </si>
  <si>
    <t>09-3601</t>
  </si>
  <si>
    <t>Кисточка стекловолоконная для нанесения флюсов 3 мм REXANT</t>
  </si>
  <si>
    <t>12-6031</t>
  </si>
  <si>
    <t>Набор монтажного инструмента для пайки REXANT, 6 предметов</t>
  </si>
  <si>
    <t>2. 8. 9 Запасные части для паяльного оборудования</t>
  </si>
  <si>
    <t>12-9810</t>
  </si>
  <si>
    <t>Жало выжигательное «игла», (для 12-0142) REXANT</t>
  </si>
  <si>
    <t>12-9961</t>
  </si>
  <si>
    <t>Жало для импульсного паяльника долговечное Ø3,8мм, тип конус, блистер REXANT</t>
  </si>
  <si>
    <t>12-9962</t>
  </si>
  <si>
    <t>Жало для импульсного паяльника долговечное Ø7,1мм, тип конус, блистер REXANT</t>
  </si>
  <si>
    <t>12-9926</t>
  </si>
  <si>
    <t>Жало для паяльника долговечное 100Вт, Ø7,8мм, тип конус, блистер REXANT</t>
  </si>
  <si>
    <t>12-9921</t>
  </si>
  <si>
    <t>Жало для паяльника долговечное 25, 30 и 40Вт, Ø4,8мм, тип конус, блистер REXANT</t>
  </si>
  <si>
    <t>12-9924</t>
  </si>
  <si>
    <t>Жало для паяльника долговечное 60Вт, Ø5,8мм, тип конус, блистер REXANT</t>
  </si>
  <si>
    <t>12-9715</t>
  </si>
  <si>
    <t>Жало для паяльника серии 900М, Ø4,3мм, тип конус большой 0,5мм, блистер REXANT</t>
  </si>
  <si>
    <t>27.12.2026</t>
  </si>
  <si>
    <t>12-9710</t>
  </si>
  <si>
    <t>Жало для паяльника серии 900М, Ø4,3мм, тип конус малый 0,2мм, блистер REXANT</t>
  </si>
  <si>
    <t>12-9745</t>
  </si>
  <si>
    <t>Жало для паяльника серии 900М, Ø4,3мм, тип плоский большой 4,0мм, блистер REXANT</t>
  </si>
  <si>
    <t>12-9740</t>
  </si>
  <si>
    <t>Жало для паяльника серии 900М, Ø4,3мм, тип плоский малый 1,6мм, блистер REXANT</t>
  </si>
  <si>
    <t>12-9725</t>
  </si>
  <si>
    <t>Жало для паяльника серии 900М, Ø4,3мм, тип скошенный большой 4,0мм, блистер REXANT</t>
  </si>
  <si>
    <t>12-9720</t>
  </si>
  <si>
    <t>Жало для паяльника серии 900М, Ø4,3мм, тип скошенный малый 2,0мм, блистер REXANT</t>
  </si>
  <si>
    <t>12-9941</t>
  </si>
  <si>
    <t>Жало для паяльника медное ЭПСН, Ø3,8мм, тип плоский, блистер REXANT</t>
  </si>
  <si>
    <t>12-9942</t>
  </si>
  <si>
    <t>Жало для паяльника медное ЭПСН, Ø4,8мм, тип плоский, блистер REXANT</t>
  </si>
  <si>
    <t>12-9943</t>
  </si>
  <si>
    <t>Жало для паяльника медное ЭПСН, Ø5,8мм, тип плоский, блистер REXANT</t>
  </si>
  <si>
    <t>12-9944</t>
  </si>
  <si>
    <t>Жало для паяльника медное ЭПСН, Ø6,8мм, тип плоский, блистер REXANT</t>
  </si>
  <si>
    <t>12-9945</t>
  </si>
  <si>
    <t>Жало для паяльника медное ЭПСН, Ø7,8мм, тип плоский, блистер REXANT</t>
  </si>
  <si>
    <t>2. 8.10 Припой</t>
  </si>
  <si>
    <t>2. 8.10. 1 Припой с канифолью</t>
  </si>
  <si>
    <t>09-3099</t>
  </si>
  <si>
    <t>Припой с канифолью ПОС-30, 10г, Ø1мм, (олово 30%, свинец 70%), колба REXANT</t>
  </si>
  <si>
    <t>09-3100</t>
  </si>
  <si>
    <t>Припой с канифолью ПОС-40, 10г, Ø1мм, (олово 40%, свинец 60%), колба REXANT</t>
  </si>
  <si>
    <t>09-3170</t>
  </si>
  <si>
    <t>Припой с канифолью ПОС-61, 100г, Ø0,8мм, (олово 61%, свинец 39%), катушка REXANT</t>
  </si>
  <si>
    <t>09-3172</t>
  </si>
  <si>
    <t>Припой с канифолью ПОС-61, 100г, Ø1,5мм, (олово 61%, свинец 39%), катушка REXANT</t>
  </si>
  <si>
    <t>09-3171</t>
  </si>
  <si>
    <t>Припой с канифолью ПОС-61, 100г, Ø1мм, (олово 61%, свинец 39%), катушка REXANT</t>
  </si>
  <si>
    <t>09-3173</t>
  </si>
  <si>
    <t>Припой с канифолью ПОС-61, 100г, Ø2мм, (олово 61%, свинец 39%), катушка REXANT</t>
  </si>
  <si>
    <t>09-3174</t>
  </si>
  <si>
    <t>Припой с канифолью ПОС-61, 100г, Ø3мм, (олово 61%, свинец 39%), катушка REXANT</t>
  </si>
  <si>
    <t>09-3101</t>
  </si>
  <si>
    <t>Припой с канифолью ПОС-61, 10г, Ø1мм, (олово 61%, свинец 39%), колба REXANT</t>
  </si>
  <si>
    <t>09-3108</t>
  </si>
  <si>
    <t>Припой с канифолью ПОС-61, 1м, Ø0,8мм, (олово 61%, свинец 39%), спираль, конверт REXANT</t>
  </si>
  <si>
    <t>09-3115</t>
  </si>
  <si>
    <t>Припой с канифолью ПОС-61, 1м, Ø1,5мм, (олово 61%, свинец 39%), спираль, конверт REXANT</t>
  </si>
  <si>
    <t>09-3110</t>
  </si>
  <si>
    <t>Припой с канифолью ПОС-61, 1м, Ø1мм, (олово 61%, свинец 39%), спираль, конверт REXANT</t>
  </si>
  <si>
    <t>09-3102</t>
  </si>
  <si>
    <t>Припой с канифолью ПОС-90, 10г, Ø1мм, (олово 90%, свинец 10%), колба REXANT</t>
  </si>
  <si>
    <t>09-3413</t>
  </si>
  <si>
    <t>Припой с канифолью, 1000г, Ø1мм, (олово 60%, свинец 40%), катушка REXANT</t>
  </si>
  <si>
    <t>09-3201</t>
  </si>
  <si>
    <t>Припой с канифолью, 100г, Ø0,5мм, (олово 60%, свинец 40%), катушка, блистер REXANT</t>
  </si>
  <si>
    <t>09-3203</t>
  </si>
  <si>
    <t>Припой с канифолью, 100г, Ø1мм, (олово 60%, свинец 40%), катушка, блистер REXANT</t>
  </si>
  <si>
    <t>09-3223</t>
  </si>
  <si>
    <t>Припой с канифолью, 100г, Ø2мм, (олово 60%, свинец 40%), катушка, блистер REXANT</t>
  </si>
  <si>
    <t>09-3130</t>
  </si>
  <si>
    <t>Припой с канифолью, 1м, Ø0,8мм, (олово 60%, свинец 40%), спираль, блистер REXANT</t>
  </si>
  <si>
    <t>09-3140</t>
  </si>
  <si>
    <t>Припой с канифолью, 1м, Ø1мм, (олово 60%, свинец 40%), спираль, блистер REXANT</t>
  </si>
  <si>
    <t>09-3150</t>
  </si>
  <si>
    <t>Припой с канифолью, 1м, Ø2мм, (олово 60%, свинец 40%), спираль, блистер REXANT</t>
  </si>
  <si>
    <t>09-3103</t>
  </si>
  <si>
    <t>Припой с канифолью, 20г, Ø1мм, (олово 60%, свинец 40%), колба-карандаш REXANT</t>
  </si>
  <si>
    <t>09-3104</t>
  </si>
  <si>
    <t>Припой с канифолью, 20г, Ø2мм, (олово 60%, свинец 40%), колба-карандаш REXANT</t>
  </si>
  <si>
    <t>09-3311</t>
  </si>
  <si>
    <t>Припой с канифолью, 250г, Ø0,6мм, (олово 60%, свинец 40%), катушка REXANT</t>
  </si>
  <si>
    <t>09-3312</t>
  </si>
  <si>
    <t>Припой с канифолью, 250г, Ø0,8мм, (олово 60%, свинец 40%), катушка REXANT</t>
  </si>
  <si>
    <t>09-3313</t>
  </si>
  <si>
    <t>Припой с канифолью, 250г, Ø1мм, (олово 60%, свинец 40%), катушка REXANT</t>
  </si>
  <si>
    <t>09-3323</t>
  </si>
  <si>
    <t>Припой с канифолью, 250г, Ø2мм, (олово 60%, свинец 40%), катушка REXANT</t>
  </si>
  <si>
    <t>09-3361</t>
  </si>
  <si>
    <t>Припой с канифолью, 500г, Ø0,8мм, (олово 60%, свинец 40%), катушка REXANT</t>
  </si>
  <si>
    <t>09-3363</t>
  </si>
  <si>
    <t>Припой с канифолью, 500г, Ø1мм, (олово 60%, свинец 40%), катушка REXANT</t>
  </si>
  <si>
    <t>09-3383</t>
  </si>
  <si>
    <t>Припой с канифолью, 500г, Ø2мм, (олово 60%, свинец 40%), катушка REXANT</t>
  </si>
  <si>
    <t>09-3393</t>
  </si>
  <si>
    <t>Припой с канифолью, 500г, Ø3мм, (олово 60%, свинец 40%), катушка REXANT</t>
  </si>
  <si>
    <t>2. 8.10. 2 Припой без канифоли</t>
  </si>
  <si>
    <t>09-3493</t>
  </si>
  <si>
    <t>Припой «Сплав Вуда», 50г, (олово 12,5%, свинец 25%, висмут 50%, кадмий 12,5%), баночка REXANT</t>
  </si>
  <si>
    <t>09-3091</t>
  </si>
  <si>
    <t>Припой без канифоли ПОС-30, 10г, Ø1мм, (олово 30%, свинец 70%), колба REXANT</t>
  </si>
  <si>
    <t>09-3092</t>
  </si>
  <si>
    <t>Припой без канифоли ПОС-40, 10г, Ø1мм, (олово 40%, свинец 60%), колба REXANT</t>
  </si>
  <si>
    <t>09-3120</t>
  </si>
  <si>
    <t>Припой без канифоли ПОС-61, 100г, Ø0,8мм, (олово 61%, свинец 39%), катушка REXANT</t>
  </si>
  <si>
    <t>09-3121</t>
  </si>
  <si>
    <t>Припой без канифоли ПОС-61, 100г, Ø1мм, (олово 61%, свинец 39%), катушка REXANT</t>
  </si>
  <si>
    <t>09-3123</t>
  </si>
  <si>
    <t>Припой без канифоли ПОС-61, 100г, Ø2мм, (олово 61%, свинец 39%), катушка REXANT</t>
  </si>
  <si>
    <t>09-3124</t>
  </si>
  <si>
    <t>Припой без канифоли ПОС-61, 100г, Ø3мм, (олово 61%, свинец 39%), катушка REXANT</t>
  </si>
  <si>
    <t>09-3093</t>
  </si>
  <si>
    <t>Припой без канифоли ПОС-61, 10г, Ø1мм, (олово 61%, свинец 39%), колба REXANT</t>
  </si>
  <si>
    <t>09-3094</t>
  </si>
  <si>
    <t>Припой без канифоли ПОС-90, 10г, Ø1мм, (олово 90%, свинец 10%), колба REXANT</t>
  </si>
  <si>
    <t>09-3503</t>
  </si>
  <si>
    <t>Припой ПОМ-3, 100г, Ø2мм, (олово 97%, медь 3%), бессвинцовый, ГОСТ 21931-76, катушка REXANT</t>
  </si>
  <si>
    <t>09-3507</t>
  </si>
  <si>
    <t>Припой ПОМ-3, 500г, Ø2мм, (олово 97%, медь 3%), бессвинцовый, ГОСТ 21931-76, катушка REXANT</t>
  </si>
  <si>
    <t>09-3511</t>
  </si>
  <si>
    <t>Припой ПОСу 95-5, 100г, Ø1мм, (олово 95%, сурьма 5%), бессвинцовый, ГОСТ 21931-76, катушка REXANT</t>
  </si>
  <si>
    <t>09-3513</t>
  </si>
  <si>
    <t>Припой ПОСу 95-5, 100г, Ø2мм, (олово 95%, сурьма 5%), бессвинцовый, ГОСТ 21931-76, катушка REXANT</t>
  </si>
  <si>
    <t>09-3531</t>
  </si>
  <si>
    <t>Припой пруток ПОС-30, Ø8мм, длина 400мм, ГОСТ 21931-76, олово 30%, свинец 70% (упак. 1 шт) REXANT</t>
  </si>
  <si>
    <t>09-3533</t>
  </si>
  <si>
    <t>Припой пруток ПОС-30, Ø8мм, длина 400мм, ГОСТ 21931-76, олово 30%, свинец 70% (упак. 5 кг) REXANT</t>
  </si>
  <si>
    <t>09-3541</t>
  </si>
  <si>
    <t>Припой пруток ПОС-40, Ø8мм, длина 400мм, ГОСТ 21931-76, олово 40%, свинец 60% (упак. 1 шт) REXANT</t>
  </si>
  <si>
    <t>09-3543</t>
  </si>
  <si>
    <t>Припой пруток ПОС-40, Ø8мм, длина 400мм, ГОСТ 21931-76, олово 40%, свинец 60% (упак. 5 кг) REXANT</t>
  </si>
  <si>
    <t>09-3561</t>
  </si>
  <si>
    <t>Припой пруток ПОС-61, Ø8мм, длина 400мм, ГОСТ 21931-76, олово 61%, свинец 39% (упак. 1 шт) REXANT</t>
  </si>
  <si>
    <t>09-3563</t>
  </si>
  <si>
    <t>Припой пруток ПОС-61, Ø8мм, длина 400мм, ГОСТ 21931-76, олово 61%, свинец 39% (упак. 5 кг) REXANT</t>
  </si>
  <si>
    <t>09-3591</t>
  </si>
  <si>
    <t>Припой пруток ПОС-90, Ø8мм, длина 400мм, ГОСТ 21931-76, олово 90%, свинец 10% (упак. 1 шт) REXANT</t>
  </si>
  <si>
    <t>125 - 30 дней</t>
  </si>
  <si>
    <t>09-3593</t>
  </si>
  <si>
    <t>Припой пруток ПОС-90, Ø8мм, длина 400мм, ГОСТ 21931-76, олово 90%, свинец 10% (упак. 5 кг) REXANT</t>
  </si>
  <si>
    <t>10 - 21 дней</t>
  </si>
  <si>
    <t>09-3815</t>
  </si>
  <si>
    <t>Припой-паста (паяльная паста), 35гр, (олово 63%, свинец 37%), баночка</t>
  </si>
  <si>
    <t>2. 8.11 Флюсы для пайки</t>
  </si>
  <si>
    <t>2. 8.11. 1 Флюсы</t>
  </si>
  <si>
    <t>09-3711</t>
  </si>
  <si>
    <t>Канифоль сосновая, флюс НЕЙТРАЛЬНЫЙ, марка А, 100г, банка REXANT</t>
  </si>
  <si>
    <t>09-3709</t>
  </si>
  <si>
    <t>Канифоль сосновая, флюс НЕЙТРАЛЬНЫЙ, марка А, 10г, банка REXANT</t>
  </si>
  <si>
    <t>09-3710</t>
  </si>
  <si>
    <t>Канифоль сосновая, флюс НЕЙТРАЛЬНЫЙ, марка А, 20г, банка REXANT</t>
  </si>
  <si>
    <t>09-3712</t>
  </si>
  <si>
    <t>Канифоль сосновая, флюс НЕЙТРАЛЬНЫЙ, марка А, 500г, банка REXANT</t>
  </si>
  <si>
    <t>09-3740</t>
  </si>
  <si>
    <t>Набор К1 для пайки, универсальный (припой, флюс ПК, флюс СКФ, канифоль, медная оплетка) REXANT</t>
  </si>
  <si>
    <t>09-3741</t>
  </si>
  <si>
    <t>Набор К2 для пайки, «жидкий флюс» (флюс ПК, флюс СКФ, флюс ЛТИ-120) REXANT</t>
  </si>
  <si>
    <t>09-3742</t>
  </si>
  <si>
    <t>Набор К3 для пайки, «твердый флюс» (канифоль, флюс БУРА, паяльный жир) REXANT</t>
  </si>
  <si>
    <t>09-3730</t>
  </si>
  <si>
    <t>Флюс для высокотемпературной пайки, ПВ-209, 20г, банка REXANT</t>
  </si>
  <si>
    <t>09-3657</t>
  </si>
  <si>
    <t>Флюс для пайки, БУРА, 100г, банка REXANT</t>
  </si>
  <si>
    <t>09-3655</t>
  </si>
  <si>
    <t>Флюс для пайки, БУРА, 20г, банка REXANT</t>
  </si>
  <si>
    <t>09-3630</t>
  </si>
  <si>
    <t>Флюс для пайки, ЗИЛ-2, 30мл, флакон REXANT</t>
  </si>
  <si>
    <t>09-3637</t>
  </si>
  <si>
    <t>Флюс для пайки, КИСЛОТА ОРТОФОСФОРНАЯ 75%, 100мл, флакон REXANT</t>
  </si>
  <si>
    <t>09-3635</t>
  </si>
  <si>
    <t>Флюс для пайки, КИСЛОТА ОРТОФОСФОРНАЯ 75%, 30мл, флакон REXANT</t>
  </si>
  <si>
    <t>09-3638</t>
  </si>
  <si>
    <t>Флюс для пайки, КИСЛОТА ОРТОФОСФОРНАЯ 75%, 500мл, флакон REXANT</t>
  </si>
  <si>
    <t>09-3627</t>
  </si>
  <si>
    <t>Флюс для пайки, ЛТИ-120, 100мл, флакон REXANT</t>
  </si>
  <si>
    <t>09-3626</t>
  </si>
  <si>
    <t>Флюс для пайки, ЛТИ-120, 30мл, с кисточкой, флакон REXANT</t>
  </si>
  <si>
    <t>09-3625</t>
  </si>
  <si>
    <t>Флюс для пайки, ЛТИ-120, 30мл, флакон REXANT</t>
  </si>
  <si>
    <t>09-3628</t>
  </si>
  <si>
    <t>Флюс для пайки, ЛТИ-120, 500мл, флакон REXANT</t>
  </si>
  <si>
    <t>09-3690</t>
  </si>
  <si>
    <t>Флюс для пайки, паста TR-RM KELLER, 20мл, банка REXANT</t>
  </si>
  <si>
    <t>09-3611</t>
  </si>
  <si>
    <t>Флюс для пайки, ПАЯЛЬНАЯ КИСЛОТА, 100мл, флакон REXANT</t>
  </si>
  <si>
    <t>09-3613</t>
  </si>
  <si>
    <t>Флюс для пайки, ПАЯЛЬНАЯ КИСЛОТА, 30мл, с кисточкой, флакон REXANT</t>
  </si>
  <si>
    <t>09-3610</t>
  </si>
  <si>
    <t>Флюс для пайки, ПАЯЛЬНАЯ КИСЛОТА, 30мл, флакон REXANT</t>
  </si>
  <si>
    <t>09-3612</t>
  </si>
  <si>
    <t>Флюс для пайки, ПАЯЛЬНАЯ КИСЛОТА, 500мл, флакон REXANT</t>
  </si>
  <si>
    <t>09-3672</t>
  </si>
  <si>
    <t>Флюс для пайки, паяльный жир АКТИВНЫЙ, 100мл, банка REXANT</t>
  </si>
  <si>
    <t>09-3670</t>
  </si>
  <si>
    <t>Флюс для пайки, паяльный жир АКТИВНЫЙ, 20мл, банка REXANT</t>
  </si>
  <si>
    <t>09-3667</t>
  </si>
  <si>
    <t>Флюс для пайки, паяльный жир НЕЙТРАЛЬНЫЙ, 100мл, банка REXANT</t>
  </si>
  <si>
    <t>09-3665</t>
  </si>
  <si>
    <t>Флюс для пайки, паяльный жир НЕЙТРАЛЬНЫЙ, 20мл, банка REXANT</t>
  </si>
  <si>
    <t>09-3643</t>
  </si>
  <si>
    <t>Флюс для пайки, СКФ (спирто-канифольный), 100мл, флакон REXANT</t>
  </si>
  <si>
    <t>09-3641</t>
  </si>
  <si>
    <t>Флюс для пайки, СКФ (спирто-канифольный), 30мл, с кисточкой, флакон REXANT</t>
  </si>
  <si>
    <t>09-3640</t>
  </si>
  <si>
    <t>Флюс для пайки, СКФ (спирто-канифольный), 30мл, флакон REXANT</t>
  </si>
  <si>
    <t>09-3645</t>
  </si>
  <si>
    <t>Флюс для пайки, СКФ (спирто-канифольный), 500мл, флакон REXANT</t>
  </si>
  <si>
    <t>09-3660</t>
  </si>
  <si>
    <t>Флюс для пайки, ТАГС, 30мл, флакон REXANT</t>
  </si>
  <si>
    <t>09-3650</t>
  </si>
  <si>
    <t>Флюс для пайки, Ф-38Н, 30мл, флакон REXANT</t>
  </si>
  <si>
    <t>09-3615</t>
  </si>
  <si>
    <t>Флюс для пайки, Ф-61А (пайка алюминия), 30мл, флакон REXANT</t>
  </si>
  <si>
    <t>09-3620</t>
  </si>
  <si>
    <t>Флюс для пайки, ФИМ, 30мл, флакон REXANT</t>
  </si>
  <si>
    <t>09-3692</t>
  </si>
  <si>
    <t>Флюс-гель для пайки, индикаторный, 20мл, банка REXANT</t>
  </si>
  <si>
    <t>2. 8.11. 2 Флюсы в индивидуальной упаковке</t>
  </si>
  <si>
    <t>09-3710-1</t>
  </si>
  <si>
    <t>Канифоль сосновая, флюс НЕЙТРАЛЬНЫЙ, марка А, 20г, блистер REXANT</t>
  </si>
  <si>
    <t>09-3655-1</t>
  </si>
  <si>
    <t>Флюс для пайки, БУРА, 20г, банка, блистер REXANT</t>
  </si>
  <si>
    <t>09-3635-1</t>
  </si>
  <si>
    <t>Флюс для пайки, КИСЛОТА ОРТОФОСФОРНАЯ, 30мл, пакет REXANT</t>
  </si>
  <si>
    <t>09-3625-1</t>
  </si>
  <si>
    <t>Флюс для пайки, ЛТИ-120, 30мл, блистер REXANT</t>
  </si>
  <si>
    <t>09-3626-1</t>
  </si>
  <si>
    <t>Флюс для пайки, ЛТИ-120, 30мл, с кисточкой, флакон, блистер REXANT</t>
  </si>
  <si>
    <t>09-3691-1</t>
  </si>
  <si>
    <t>Флюс для пайки, паста с активаторами, 20мл, банка, блистер REXANT</t>
  </si>
  <si>
    <t>09-3610-1</t>
  </si>
  <si>
    <t>Флюс для пайки, ПАЯЛЬНАЯ КИСЛОТА, 30мл, блистер REXANT</t>
  </si>
  <si>
    <t>09-3613-1</t>
  </si>
  <si>
    <t>Флюс для пайки, ПАЯЛЬНАЯ КИСЛОТА, 30мл, с кисточкой, флакон, блистер REXANT</t>
  </si>
  <si>
    <t>09-3665-1</t>
  </si>
  <si>
    <t>Флюс для пайки, паяльный жир НЕЙТРАЛЬНЫЙ, 20мл, банка, блистер REXANT</t>
  </si>
  <si>
    <t>09-3640-1</t>
  </si>
  <si>
    <t>Флюс для пайки, СКФ (спирто-канифольный), 30мл, блистер REXANT</t>
  </si>
  <si>
    <t>09-3641-1</t>
  </si>
  <si>
    <t>Флюс для пайки, СКФ (спирто-канифольный), 30мл, с кисточкой, флакон, блистер REXANT</t>
  </si>
  <si>
    <t>09-3615-1</t>
  </si>
  <si>
    <t>Флюс для пайки, Ф-61А (пайка алюминия), 30мл, флакон, блистер REXANT</t>
  </si>
  <si>
    <t>09-3684</t>
  </si>
  <si>
    <t>Флюс-гель для пайки BGA-компонентов и SMD-чипов, 12мл, техно-шприц, блистер REXANT</t>
  </si>
  <si>
    <t>09-3680</t>
  </si>
  <si>
    <t>Флюс-гель для пайки, АКТИВНЫЙ, 12мл, техно-шприц, блистер REXANT</t>
  </si>
  <si>
    <t>09-3692-1</t>
  </si>
  <si>
    <t>Флюс-гель для пайки, индикаторный, 20мл, банка, блистер REXANT</t>
  </si>
  <si>
    <t>09-3686</t>
  </si>
  <si>
    <t>Флюс-гель для пайки, КАНИФОЛЬ-ГЕЛЬ АКТИВ, 12мл, техно-шприц, блистер REXANT</t>
  </si>
  <si>
    <t>09-3682</t>
  </si>
  <si>
    <t>Флюс-гель для пайки, пайка алюминия, 12мл, техно-шприц, блистер REXANT</t>
  </si>
  <si>
    <t>09-3688</t>
  </si>
  <si>
    <t>Флюс-гель для пайки, ПАЯЛЬНАЯ КИСЛОТА, 12мл, техно-шприц, блистер REXANT</t>
  </si>
  <si>
    <t>2. 8.12 Расходные материалы для пайки</t>
  </si>
  <si>
    <t>2. 8.12. 1 Медная лента для удаления припоя</t>
  </si>
  <si>
    <t>09-3001</t>
  </si>
  <si>
    <t>Оплетка для удаления припоя, медная, 1,0мм x 1,5м REXANT</t>
  </si>
  <si>
    <t>09-3031</t>
  </si>
  <si>
    <t>Оплетка для удаления припоя, медная, 1,0мм x 1,5м, диспенсер REXANT</t>
  </si>
  <si>
    <t>09-3002</t>
  </si>
  <si>
    <t>Оплетка для удаления припоя, медная, 1,5мм x 1,5м REXANT</t>
  </si>
  <si>
    <t>09-3032</t>
  </si>
  <si>
    <t>Оплетка для удаления припоя, медная, 1,5мм x 1,5м, диспенсер REXANT</t>
  </si>
  <si>
    <t>09-3003</t>
  </si>
  <si>
    <t>Оплетка для удаления припоя, медная, 2,5мм x 1,5м REXANT</t>
  </si>
  <si>
    <t>09-3033</t>
  </si>
  <si>
    <t>Оплетка для удаления припоя, медная, 2,5мм x 1,5м, диспенсер REXANT</t>
  </si>
  <si>
    <t>09-3004</t>
  </si>
  <si>
    <t>Оплетка для удаления припоя, медная, 3,0мм x 1,5м REXANT</t>
  </si>
  <si>
    <t>09-3034</t>
  </si>
  <si>
    <t>Оплетка для удаления припоя, медная, 3,0мм x 1,5м, диспенсер REXANT</t>
  </si>
  <si>
    <t>2. 8.12. 2 Губки для очистки жал</t>
  </si>
  <si>
    <t>12-0192</t>
  </si>
  <si>
    <t>Губка для очистки паяльного жала 70x40 мм REXANT</t>
  </si>
  <si>
    <t>12-0193</t>
  </si>
  <si>
    <t>Губка для очистки паяльного жала 56x36 мм REXANT</t>
  </si>
  <si>
    <t>12-0191</t>
  </si>
  <si>
    <t>Губка для очистки паяльного жала 93x50 мм REXANT</t>
  </si>
  <si>
    <t>2. 8.12. 3 Химия и смазочные материалы</t>
  </si>
  <si>
    <t>09-3972</t>
  </si>
  <si>
    <t>Вазелин технический, ВТВ-1, 100мл, банка REXANT</t>
  </si>
  <si>
    <t>09-3970</t>
  </si>
  <si>
    <t>Вазелин технический, ВТВ-1, 20мл, банка REXANT</t>
  </si>
  <si>
    <t>09-3721</t>
  </si>
  <si>
    <t>Глицерин, 100мл, флакон REXANT</t>
  </si>
  <si>
    <t>09-3722</t>
  </si>
  <si>
    <t>Глицерин, 500мл, флакон REXANT</t>
  </si>
  <si>
    <t>09-3495</t>
  </si>
  <si>
    <t>Жидкое олово (химическое лужение плат), 100мл, флакон REXANT</t>
  </si>
  <si>
    <t>09-3985</t>
  </si>
  <si>
    <t>Компаунд силиконовый, ПК-68, 100г, двухкомпонентный, прозрачный REXANT</t>
  </si>
  <si>
    <t>09-3789</t>
  </si>
  <si>
    <t>Лак электроизоляционный, KO-921, 100мл, флакон REXANT</t>
  </si>
  <si>
    <t>09-3788</t>
  </si>
  <si>
    <t>Лак электроизоляционный, KO-921, 30мл, флакон REXANT</t>
  </si>
  <si>
    <t>09-3941</t>
  </si>
  <si>
    <t>Масло бытовое смазочное, 100мл, масленка REXANT</t>
  </si>
  <si>
    <t>09-3770</t>
  </si>
  <si>
    <t>Набор П1 полировальный (паста ГОИ №1, №2, №3, №4) REXANT</t>
  </si>
  <si>
    <t>09-4101</t>
  </si>
  <si>
    <t>Очиститель универсальный, 100мл, флакон (абсолютированный 99,7%) REXANT</t>
  </si>
  <si>
    <t>09-4110</t>
  </si>
  <si>
    <t>Очиститель универсальный, 1л, флакон (абсолютированный 99,7%) REXANT</t>
  </si>
  <si>
    <t>09-4105</t>
  </si>
  <si>
    <t>Очиститель универсальный, 200мл, флакон с распылителем (абсолютированный 99,7%) REXANT</t>
  </si>
  <si>
    <t>09-4112</t>
  </si>
  <si>
    <t>Очиститель универсальный, 5л, канистра (абсолютированный 99,7%) REXANT</t>
  </si>
  <si>
    <t>09-3796</t>
  </si>
  <si>
    <t>Паста ГОИ полировальная № 1, 100г, баночка REXANT</t>
  </si>
  <si>
    <t>09-3795</t>
  </si>
  <si>
    <t>Паста ГОИ полировальная № 1, 30г, баночка REXANT</t>
  </si>
  <si>
    <t>09-3791</t>
  </si>
  <si>
    <t>Паста ГОИ полировальная № 2, 100г, баночка REXANT</t>
  </si>
  <si>
    <t>09-3790</t>
  </si>
  <si>
    <t>Паста ГОИ полировальная № 2, 30г, баночка REXANT</t>
  </si>
  <si>
    <t>09-3802</t>
  </si>
  <si>
    <t>Паста ГОИ полировальная № 3, 100г, баночка REXANT</t>
  </si>
  <si>
    <t>09-3801</t>
  </si>
  <si>
    <t>Паста ГОИ полировальная № 3, 30г, баночка REXANT</t>
  </si>
  <si>
    <t>09-3751</t>
  </si>
  <si>
    <t>Паста теплопроводная, КПТ-8, 2мл, шприц REXANT</t>
  </si>
  <si>
    <t>09-3750</t>
  </si>
  <si>
    <t>Паста теплопроводная, КПТ-8, 5мл, шприц REXANT</t>
  </si>
  <si>
    <t>09-3921</t>
  </si>
  <si>
    <t>Силиконовое масло, ПМС-100 (Полиметилсилоксан), 100мл, флакон REXANT</t>
  </si>
  <si>
    <t>09-3901</t>
  </si>
  <si>
    <t>Силиконовое масло, ПМС-100 (Полиметилсилоксан), 15мл, носик-капельница REXANT</t>
  </si>
  <si>
    <t>09-3922</t>
  </si>
  <si>
    <t>Силиконовое масло, ПМС-100 (Полиметилсилоксан), 500мл, флакон REXANT</t>
  </si>
  <si>
    <t>09-3907</t>
  </si>
  <si>
    <t>Силиконовое масло, ПМС-1000 (Полиметилсилоксан), 100мл, флакон REXANT</t>
  </si>
  <si>
    <t>09-3909</t>
  </si>
  <si>
    <t>Силиконовое масло, ПМС-1000 (Полиметилсилоксан), 15мл, носик-капельница REXANT</t>
  </si>
  <si>
    <t>09-3908</t>
  </si>
  <si>
    <t>Силиконовое масло, ПМС-1000 (Полиметилсилоксан), 500мл, флакон REXANT</t>
  </si>
  <si>
    <t>09-3935</t>
  </si>
  <si>
    <t>Силиконовое масло, ПМС-10000 (Полиметилсилоксан), 100мл, флакон REXANT</t>
  </si>
  <si>
    <t>09-3936</t>
  </si>
  <si>
    <t>Силиконовое масло, ПМС-10000 (Полиметилсилоксан), 500мл, флакон REXANT</t>
  </si>
  <si>
    <t>09-3931</t>
  </si>
  <si>
    <t>Силиконовое масло, ПМС-200 (Полиметилсилоксан), 100мл, флакон REXANT</t>
  </si>
  <si>
    <t>09-3930</t>
  </si>
  <si>
    <t>Силиконовое масло, ПМС-200 (Полиметилсилоксан), 15мл, носик-капельница REXANT</t>
  </si>
  <si>
    <t>09-3932</t>
  </si>
  <si>
    <t>Силиконовое масло, ПМС-200 (Полиметилсилоксан), 500мл, флакон REXANT</t>
  </si>
  <si>
    <t>09-3905</t>
  </si>
  <si>
    <t>Силиконовое масло, ПМС-400 (Полиметилсилоксан), 15мл, носик-капельница REXANT</t>
  </si>
  <si>
    <t>09-3911</t>
  </si>
  <si>
    <t>Силиконовое масло, ПМС-5 (Полиметилсилоксан), 100мл, флакон REXANT</t>
  </si>
  <si>
    <t>09-3910</t>
  </si>
  <si>
    <t>Силиконовое масло, ПМС-5 (Полиметилсилоксан), 15мл, носик-капельница REXANT</t>
  </si>
  <si>
    <t>09-3945</t>
  </si>
  <si>
    <t>Силиконовое масло, ПМС-60000 (Полиметилсилоксан), 100мл, флакон REXANT</t>
  </si>
  <si>
    <t>09-3944</t>
  </si>
  <si>
    <t>Силиконовое масло, ПМС-60000 (Полиметилсилоксан), 2мл, шприц, «Демпферное» REXANT</t>
  </si>
  <si>
    <t>09-3946</t>
  </si>
  <si>
    <t>Силиконовое масло, ПМС-60000 (Полиметилсилоксан), 500мл, флакон REXANT</t>
  </si>
  <si>
    <t>09-3957</t>
  </si>
  <si>
    <t>Смазка антифрикционная, ЦИАТИМ-201, 20мл, банка REXANT</t>
  </si>
  <si>
    <t>09-3950</t>
  </si>
  <si>
    <t>Смазка графитовая, 20мл, банка REXANT</t>
  </si>
  <si>
    <t>09-3981</t>
  </si>
  <si>
    <t>Смазка для кулеров (вентиляторов) SX-1, 2мл, (шприц, салфетки, наклейки), блистер REXANT</t>
  </si>
  <si>
    <t>09-3982</t>
  </si>
  <si>
    <t>Смазка для кулеров (вентиляторов) SX-2, 2мл, (шприц, салфетки, наклейки), блистер REXANT</t>
  </si>
  <si>
    <t>09-3983</t>
  </si>
  <si>
    <t>Смазка для кулеров (вентиляторов) SX-3, 2мл, (шприц, салфетки, наклейки), блистер REXANT</t>
  </si>
  <si>
    <t>09-3948</t>
  </si>
  <si>
    <t>Смазка силиконовая многоцелевая, 400мл, аэрозоль</t>
  </si>
  <si>
    <t>09-3955</t>
  </si>
  <si>
    <t>Смазка силиконовая термостойкая, модель 221, до +350°C, 2мл, шприц REXANT</t>
  </si>
  <si>
    <t>09-3967</t>
  </si>
  <si>
    <t>Средство для ремонта пластика (холодная сварка), 30мл, флакон REXANT</t>
  </si>
  <si>
    <t>09-4121</t>
  </si>
  <si>
    <t>Универсальный растворитель-очиститель «Калоша», 100мл, (Нефрас-с2-80/120), флакон REXANT</t>
  </si>
  <si>
    <t>09-4130</t>
  </si>
  <si>
    <t>Универсальный растворитель-очиститель «Калоша», 1л, (Нефрас-с2-80/120), флакон REXANT</t>
  </si>
  <si>
    <t>09-4125</t>
  </si>
  <si>
    <t>Универсальный растворитель-очиститель «Калоша», 500мл, (Нефрас-с2-80/120), флакон REXANT</t>
  </si>
  <si>
    <t>09-3882</t>
  </si>
  <si>
    <t>Хлорное железо 6-ти водное, 1000г, банка REXANT</t>
  </si>
  <si>
    <t>09-3881</t>
  </si>
  <si>
    <t>Хлорное железо 6-ти водное, 250г, банка REXANT</t>
  </si>
  <si>
    <t>09-3782</t>
  </si>
  <si>
    <t>Хлорное железо безводное, 1000г, банка REXANT</t>
  </si>
  <si>
    <t>09-3780</t>
  </si>
  <si>
    <t>Хлорное железо безводное, 100г, банка REXANT</t>
  </si>
  <si>
    <t>09-3781</t>
  </si>
  <si>
    <t>Хлорное железо безводное, 250г, банка REXANT</t>
  </si>
  <si>
    <t>2. 8.12. 4 Аэрозоли для электроники</t>
  </si>
  <si>
    <t>KR-181-005</t>
  </si>
  <si>
    <t>Аэрозоль-охладитель, 520мл (400мл) KRANZ</t>
  </si>
  <si>
    <t>85-0005</t>
  </si>
  <si>
    <t>Аэрозоль-охладитель, 520мл (400мл) REXANT</t>
  </si>
  <si>
    <t>85-0006</t>
  </si>
  <si>
    <t>Очиститель обезжириватель, 520мл (400мл), аэрозоль REXANT</t>
  </si>
  <si>
    <t>85-0003</t>
  </si>
  <si>
    <t>Очиститель печатных плат от флюса, 520 мл (400мл), аэрозоль REXANT</t>
  </si>
  <si>
    <t>KR-181-002</t>
  </si>
  <si>
    <t>Очиститель универсальный, 520мл (400мл), аэрозоль KRANZ</t>
  </si>
  <si>
    <t>85-0002</t>
  </si>
  <si>
    <t>Очиститель универсальный, 520мл (400мл), аэрозоль REXANT</t>
  </si>
  <si>
    <t>85-0001-2</t>
  </si>
  <si>
    <t>Пневматический очиститель (сжатый воздух), 1000мл (720мл), аэрозоль REXANT</t>
  </si>
  <si>
    <t>85-0001-1</t>
  </si>
  <si>
    <t>Пневматический очиститель (сжатый воздух), 520мл (230мл), аэрозоль, инверторный REXANT</t>
  </si>
  <si>
    <t>85-0001</t>
  </si>
  <si>
    <t>Пневматический очиститель (сжатый воздух), 520мл (400мл), аэрозоль REXANT</t>
  </si>
  <si>
    <t>85-0007</t>
  </si>
  <si>
    <t>Смазка контактов Контакт 61, 520мл (400мл), аэрозоль REXANT</t>
  </si>
  <si>
    <t>85-0004</t>
  </si>
  <si>
    <t>Средство для удаления наклеек, 210мл (150мл), аэрозоль REXANT</t>
  </si>
  <si>
    <t>2. 8.12. 5 Стеклотекстолит</t>
  </si>
  <si>
    <t>09-4035</t>
  </si>
  <si>
    <t>Стеклотекстолит 1-сторонний 100x100x1.5 мм 35/00 (35 мкм) REXANT</t>
  </si>
  <si>
    <t>09-4045</t>
  </si>
  <si>
    <t>Стеклотекстолит 1-сторонний 100x200x1.5 мм 35/00 (35 мкм) REXANT</t>
  </si>
  <si>
    <t>09-4055</t>
  </si>
  <si>
    <t>Стеклотекстолит 1-сторонний 200x200x1.5 мм 35/00 (35 мкм) REXANT</t>
  </si>
  <si>
    <t>09-4065</t>
  </si>
  <si>
    <t>Стеклотекстолит 1-сторонний 200x300x1.5 мм 35/00 (35 мкм) REXANT</t>
  </si>
  <si>
    <t>2. 9 Лупы и лампы</t>
  </si>
  <si>
    <t>2. 9. 1 Лупы на струбцине ПРОФЕССИОНАЛЬНЫЕ</t>
  </si>
  <si>
    <t>31-0101</t>
  </si>
  <si>
    <t>Лупа на струбцине квадратная 3D с подсветкой, 150х180мм, белая REXANT</t>
  </si>
  <si>
    <t>31-0565</t>
  </si>
  <si>
    <t>Лупа на струбцине квадратная 3D+20D с подсветкой 6LED, серия Эксперт, белая REXANT</t>
  </si>
  <si>
    <t>31-0513</t>
  </si>
  <si>
    <t>Лупа на струбцине квадратная 5D с подсветкой 60 SMD LED, сенсорный регулятор яркости, 190х157мм, белая REXANT</t>
  </si>
  <si>
    <t>31-0111</t>
  </si>
  <si>
    <t>Лупа на струбцине квадратная 5D с подсветкой, 150х180мм, белая REXANT</t>
  </si>
  <si>
    <t>31-0531</t>
  </si>
  <si>
    <t>Лупа на струбцине круглая 3D с подсветкой 60 SMD LED, сенсорный регулятор яркости, ø127мм, белая REXANT</t>
  </si>
  <si>
    <t>31-0001</t>
  </si>
  <si>
    <t>Лупа на струбцине круглая 3D с подсветкой, ø127мм, белая REXANT</t>
  </si>
  <si>
    <t>31-0403</t>
  </si>
  <si>
    <t>Лупа на струбцине круглая 5D с подсветкой 56 SMD LED, ø127мм, белая REXANT</t>
  </si>
  <si>
    <t>31-0406</t>
  </si>
  <si>
    <t>Лупа на струбцине круглая 5D с подсветкой 56 SMD LED, ø127мм, черная REXANT</t>
  </si>
  <si>
    <t>31-0532</t>
  </si>
  <si>
    <t>Лупа на струбцине круглая 5D с подсветкой 72 SMD, сенсорный регулятор яркости, ø152мм, белая REXANT</t>
  </si>
  <si>
    <t>31-0503</t>
  </si>
  <si>
    <t>Лупа на струбцине круглая 5D с подсветкой 84 SMD LED, ø178мм, белая REXANT</t>
  </si>
  <si>
    <t>31-0535</t>
  </si>
  <si>
    <t>Лупа на струбцине круглая 5D с подсветкой 96 SMD LED, теплый и холодный свет, ø127мм, белая REXANT</t>
  </si>
  <si>
    <t>31-0011</t>
  </si>
  <si>
    <t>Лупа на струбцине круглая 5D с подсветкой, ø127мм, белая REXANT</t>
  </si>
  <si>
    <t>31-0021</t>
  </si>
  <si>
    <t>Лупа на струбцине круглая 8D с подсветкой, ø127мм, белая REXANT</t>
  </si>
  <si>
    <t>2. 9. 2 Лупы настольные ПРОФЕССИОНАЛЬНЫЕ</t>
  </si>
  <si>
    <t>31-0560</t>
  </si>
  <si>
    <t>Лупа настольная 3D с подсветкой 3 LED, сенсорная регулировка яркости, Эксперт, ø125мм, белая REXANT</t>
  </si>
  <si>
    <t>31-0245</t>
  </si>
  <si>
    <t>Лупа настольная 3D с подсветкой 30 SMD LED, ø100мм, белая REXANT</t>
  </si>
  <si>
    <t>31-0247</t>
  </si>
  <si>
    <t>Лупа настольная 3D с подсветкой 30 SMD LED, подставка+прищепка, ø95мм, белая REXANT</t>
  </si>
  <si>
    <t>31-0244</t>
  </si>
  <si>
    <t>Лупа настольная 3D+12D с подсветкой 40 LED, прищепка, ø100мм, белая REXANT</t>
  </si>
  <si>
    <t>31-0243</t>
  </si>
  <si>
    <t>Лупа настольная 3D+12D с подсветкой 40 SMD LED, ø100мм, белая REXANT</t>
  </si>
  <si>
    <t>31-0242</t>
  </si>
  <si>
    <t>Лупа настольная 3D+12D с подсветкой, ø90мм, белая REXANT</t>
  </si>
  <si>
    <t>2. 9. 3 Лупы напольные ПРОФЕССИОНАЛЬНЫЕ</t>
  </si>
  <si>
    <t>31-0512</t>
  </si>
  <si>
    <t>Лупа напольная 3D с подсветкой 42 SMD LED, 174х108мм, белая REXANT</t>
  </si>
  <si>
    <t>2. 9. 4 Лампы настольные БЕСТЕНЕВЫЕ</t>
  </si>
  <si>
    <t>31-0409</t>
  </si>
  <si>
    <t>Лампа настольная бестеневая, струбцина, 117 SMD LED, диммер (4 уровня), белая REXANT</t>
  </si>
  <si>
    <t>31-0407</t>
  </si>
  <si>
    <t>Лампа настольная бестеневая, струбцина, 60 SMD LED, белая REXANT</t>
  </si>
  <si>
    <t>31-0410</t>
  </si>
  <si>
    <t>Лампа настольная бестеневая, струбцина, ЭКО-свет, 324 SMD LED, диммер, теплый/холодный свет, белая REXANT</t>
  </si>
  <si>
    <t>31-0401</t>
  </si>
  <si>
    <t>Лампа настольная бестеневая, струбцина, ЭКО-свет, 84 SMD LED, сенсорный диммер, белая REXANT</t>
  </si>
  <si>
    <t>31-0411</t>
  </si>
  <si>
    <t>Лампа настольная бестеневая, струбцина, ЭКО-свет, 84 SMD LED, сенсорный диммер, черная REXANT</t>
  </si>
  <si>
    <t>31-0408</t>
  </si>
  <si>
    <t>Лампа настольная бестеневая, струбцина, ЭКО-свет, 90 SMD LED, сенсорный диммер, белая REXANT</t>
  </si>
  <si>
    <t>2. 9. 5 Лупы ручные</t>
  </si>
  <si>
    <t>12-0408</t>
  </si>
  <si>
    <t>Лупа ручная безрамочная, увеличение 2х/6х, ø90мм, с подсветкой LED, трансформер-подставка REXANT</t>
  </si>
  <si>
    <t>12-0407</t>
  </si>
  <si>
    <t>Лупа ручная, увеличение 2х/6х, ø90мм, с подсветкой, черная REXANT</t>
  </si>
  <si>
    <t>12-0406</t>
  </si>
  <si>
    <t>Лупа ручная, увеличение 4х, квадратная 50х40мм, с подсветкой 6LED, черная REXANT</t>
  </si>
  <si>
    <t>12-0411</t>
  </si>
  <si>
    <t>Лупа ручная, увеличение 8х, ø24мм, с пинцетом REXANT</t>
  </si>
  <si>
    <t>2. 9. 6 Бинокуляры монтажные</t>
  </si>
  <si>
    <t>12-0402</t>
  </si>
  <si>
    <t>Бинокуляр монтажный, увеличение 1,2х/1,8х/2,5х/3,5х, с подсветкой 2LED REXANT</t>
  </si>
  <si>
    <t>12-0410</t>
  </si>
  <si>
    <t>Бинокуляр монтажный, увеличение 1.8x/2.3x, диагональ 91мм REXANT</t>
  </si>
  <si>
    <t>12-0401</t>
  </si>
  <si>
    <t>Бинокуляр монтажный, увеличение 1,8x/2,3x/3,7x/4,8x, с подсветкой 2LED REXANT</t>
  </si>
  <si>
    <t>2. 9. 7 Аксессуары для луп с подсветкой</t>
  </si>
  <si>
    <t>31-0808</t>
  </si>
  <si>
    <t>Лампа кольцевая люминесцентная 12Вт для 31-0242 REXANT</t>
  </si>
  <si>
    <t>31-0801</t>
  </si>
  <si>
    <t>Лампа кольцевая люминесцентная 22Вт для 31-0001, 31-0011, 31-0021 REXANT</t>
  </si>
  <si>
    <t>31-0806</t>
  </si>
  <si>
    <t>Настенное крепление для луп с пантографическим держателем REXANT</t>
  </si>
  <si>
    <t>31-0830</t>
  </si>
  <si>
    <t>Стойка (штатив) напольная мобильная для луп с подсветкой, четырехлучевая, белая REXANT</t>
  </si>
  <si>
    <t>31-0805</t>
  </si>
  <si>
    <t>Струбцинное крепление для луп с пантографическим держателем REXANT</t>
  </si>
  <si>
    <t>2. 10 Магнитный инструмент</t>
  </si>
  <si>
    <t>2.10. 1 Магнитный инструмент</t>
  </si>
  <si>
    <t>12-4856</t>
  </si>
  <si>
    <t>Магнитный браслет 58х20мм REXANT</t>
  </si>
  <si>
    <t>12-4841</t>
  </si>
  <si>
    <t>Магнитный держатель для инструмента настенный 305x23x12,5мм REXANT</t>
  </si>
  <si>
    <t>12-4842</t>
  </si>
  <si>
    <t>Магнитный держатель для инструмента настенный 455x23x12,5мм REXANT</t>
  </si>
  <si>
    <t>12-4843</t>
  </si>
  <si>
    <t>Магнитный держатель для инструмента настенный 605x23x12,5мм REXANT</t>
  </si>
  <si>
    <t>12-4852</t>
  </si>
  <si>
    <t>Магнитный поддон 150х25мм REXANT</t>
  </si>
  <si>
    <t>12-4853</t>
  </si>
  <si>
    <t>Магнитный поддон 90х60х25мм REXANT</t>
  </si>
  <si>
    <t>2.10. 2 Неодимовые магниты</t>
  </si>
  <si>
    <t>72-3115</t>
  </si>
  <si>
    <t>Неодимовый магнит диск 10х10мм, сцепление 3,7кг (2 шт/уп) REXANT</t>
  </si>
  <si>
    <t>72-3111-1</t>
  </si>
  <si>
    <t>Неодимовый магнит диск 10х1мм с клеем, сцепление 0,5кг (20 шт/уп) REXANT</t>
  </si>
  <si>
    <t>72-3112</t>
  </si>
  <si>
    <t>Неодимовый магнит диск 10х2мм, сцепление 1кг (14 шт/уп) REXANT</t>
  </si>
  <si>
    <t>72-3114</t>
  </si>
  <si>
    <t>Неодимовый магнит диск 10х5мм, сцепление 2,5кг (5 шт/уп) REXANT</t>
  </si>
  <si>
    <t>72-3135</t>
  </si>
  <si>
    <t>Неодимовый магнит диск 15х10мм, сцепление 8кг (1 шт/уп) REXANT</t>
  </si>
  <si>
    <t>72-3132</t>
  </si>
  <si>
    <t>Неодимовый магнит диск 15х2мм, сцепление 2,3кг (5 шт/уп) REXANT</t>
  </si>
  <si>
    <t>72-3145</t>
  </si>
  <si>
    <t>Неодимовый магнит диск 20х10мм, сцепление 11,2кг (1 шт/уп) REXANT</t>
  </si>
  <si>
    <t>72-3003</t>
  </si>
  <si>
    <t>Неодимовый магнит диск 30х10мм, сцепление 21кг REXANT</t>
  </si>
  <si>
    <t>72-3006</t>
  </si>
  <si>
    <t>Неодимовый магнит диск 40х10мм, сцепление 41кг REXANT</t>
  </si>
  <si>
    <t>72-3007</t>
  </si>
  <si>
    <t>Неодимовый магнит диск 40х15мм, сцепление 58кг REXANT</t>
  </si>
  <si>
    <t>72-3010</t>
  </si>
  <si>
    <t>Неодимовый магнит диск 45х15мм, сцепление 65кг REXANT</t>
  </si>
  <si>
    <t>72-3013</t>
  </si>
  <si>
    <t>Неодимовый магнит диск 45х30мм, сцепление 100кг REXANT</t>
  </si>
  <si>
    <t>72-3021</t>
  </si>
  <si>
    <t>Неодимовый магнит диск 50х20мм, сцепление 89кг REXANT</t>
  </si>
  <si>
    <t>72-3192</t>
  </si>
  <si>
    <t>Неодимовый магнит диск 5х2мм, сцепление 0,32кг (44 шт/уп) REXANT</t>
  </si>
  <si>
    <t>72-3043</t>
  </si>
  <si>
    <t>Неодимовый магнит диск 60х30мм, сцепление 160кг REXANT</t>
  </si>
  <si>
    <t>72-3210</t>
  </si>
  <si>
    <t>Неодимовый магнит куб 10х10х10мм, сцепление 4,5кг (2 шт/уп) REXANT</t>
  </si>
  <si>
    <t>72-3205</t>
  </si>
  <si>
    <t>Неодимовый магнит куб 5х5х5мм, сцепление 0,95кг (16 шт/уп) REXANT</t>
  </si>
  <si>
    <t>72-3208</t>
  </si>
  <si>
    <t>Неодимовый магнит куб 8х8х8мм, сцепление 3,7кг (4 шт/уп) REXANT</t>
  </si>
  <si>
    <t>72-3402</t>
  </si>
  <si>
    <t>Неодимовый магнит прямоугольник 10х10х1мм, сцепление 0,6кг (10 шт/уп) REXANT</t>
  </si>
  <si>
    <t>72-3403</t>
  </si>
  <si>
    <t>Неодимовый магнит прямоугольник 15х8х2мм, сцепление 1,1кг (8 шт/уп) REXANT</t>
  </si>
  <si>
    <t>72-3404</t>
  </si>
  <si>
    <t>Неодимовый магнит прямоугольник 20х10х2мм, сцепление 2,4кг (5 шт/уп) REXANT</t>
  </si>
  <si>
    <t>72-3401</t>
  </si>
  <si>
    <t>Неодимовый магнит прямоугольник 40х40х4мм, сцепление 15,5кг REXANT</t>
  </si>
  <si>
    <t>72-3601</t>
  </si>
  <si>
    <t>Неодимовый магнитный диск 10х3мм, с зенковкой 7х3,5мм (6 шт/уп) REXANT</t>
  </si>
  <si>
    <t>72-3602</t>
  </si>
  <si>
    <t>Неодимовый магнитный диск 15х5мм, с зенковкой 10х4,5мм (2 шт/уп) REXANT</t>
  </si>
  <si>
    <t>72-3603</t>
  </si>
  <si>
    <t>Неодимовый магнитный диск 20х5мм, с зенковкой 10х4,5мм (2 шт/уп) REXANT</t>
  </si>
  <si>
    <t>72-3604</t>
  </si>
  <si>
    <t>Неодимовый магнитный диск 30х5мм, с зенковкой 10х5,5мм (1 шт/уп) REXANT</t>
  </si>
  <si>
    <t>72-3700</t>
  </si>
  <si>
    <t>Неодимовый магнитный прямоугольник 10х10х3мм, с зенковкой 6х3,5мм (3 шт/уп) REXANT</t>
  </si>
  <si>
    <t>72-3702</t>
  </si>
  <si>
    <t>Неодимовый магнитный прямоугольник 20х10х3мм, с зенковкой 6,5х3мм (2 шт/уп) REXANT</t>
  </si>
  <si>
    <t>72-3703</t>
  </si>
  <si>
    <t>Неодимовый магнитный прямоугольник 35х15х3мм, с 2 зенковками 8х4мм (1 шт/уп) REXANT</t>
  </si>
  <si>
    <t>2. 11 Штукатурно-малярный инструмент</t>
  </si>
  <si>
    <t>2.11. 1 Расходные материалы</t>
  </si>
  <si>
    <t>2.11. 1. 1 Малярная лента</t>
  </si>
  <si>
    <t>09-4422</t>
  </si>
  <si>
    <t>Малярная лента (крепп) 25 мм (рулон 20 м)</t>
  </si>
  <si>
    <t>09-4432</t>
  </si>
  <si>
    <t>Малярная лента (крепп) 38 мм (рулон 20 м)</t>
  </si>
  <si>
    <t>09-4442</t>
  </si>
  <si>
    <t>Малярная лента (крепп) 48 мм (рулон 20 м)</t>
  </si>
  <si>
    <t>09-4443</t>
  </si>
  <si>
    <t>Малярная лента (крепп) 48 мм (рулон 30 м)</t>
  </si>
  <si>
    <t>09-4445</t>
  </si>
  <si>
    <t>Малярная лента (крепп) 48 мм (рулон 50 м)</t>
  </si>
  <si>
    <t>2.11. 2 Валики, ролики малярные и аксессуары</t>
  </si>
  <si>
    <t>2.11. 2. 1 Валики малярные [Группа индивидуального ценообразования]</t>
  </si>
  <si>
    <t>89-0023</t>
  </si>
  <si>
    <t>Валик  полиакрил зеленый, ворс 18 мм, ширина ролика 180 мм, Ø 42 мм, бюгель 6мм, d 42 мм REXANT</t>
  </si>
  <si>
    <t>89-0035</t>
  </si>
  <si>
    <t>Валик «Натуральный мех» бесшовный, ворс 12 мм, ширина ролика 180 мм, Ø 42 мм, бюгель 6 мм REXANT</t>
  </si>
  <si>
    <t>89-0029</t>
  </si>
  <si>
    <t>Валик велюр, ворс 5 мм, ширина ролика 180 мм, Ø 42 мм, бюгель 6 мм REXANT</t>
  </si>
  <si>
    <t>89-0033</t>
  </si>
  <si>
    <t>Валик вспененный пенополиуретан, ширина ролика 240 мм,  Ø 42 мм, бюгель 6 мм REXANT</t>
  </si>
  <si>
    <t>89-0027</t>
  </si>
  <si>
    <t>Валик микрофибра, ворс 9 мм, ширина ролика 180 мм, бюгель 6 мм, Ø 42 мм REXANT</t>
  </si>
  <si>
    <t>89-0001</t>
  </si>
  <si>
    <t>Валик полиакрил зеленый, ворс 18 мм, ширина ролика 180 мм, Ø 42 мм, бюгель 8 мм серия «Мастер» REXANT</t>
  </si>
  <si>
    <t>89-0024</t>
  </si>
  <si>
    <t>Валик полиакрил зеленый, ворс 18 мм, ширина ролика 240 мм, Ø 42 мм, бюгель 6 мм REXANT</t>
  </si>
  <si>
    <t>89-0002</t>
  </si>
  <si>
    <t>Валик полиакрил зеленый, ворс 18 мм. ширина ролика 240 мм, Ø 42 мм, бюгель 8 мм серия «Мастер» REXANT</t>
  </si>
  <si>
    <t>89-0010</t>
  </si>
  <si>
    <t>Валик полиамид белый с желтой полосой, ворс 11 мм, ширина ролика 240 мм, Ø 42 мм, бюгель 8 мм, серия «Мастер» REXANT</t>
  </si>
  <si>
    <t>2.11. 2. 2 Валики малярные серии "Мини" [Группа индивидуального ценообразования]</t>
  </si>
  <si>
    <t>89-0055</t>
  </si>
  <si>
    <t>Валик-мини полиамид, ворс 10.5 мм, ширина ролика 100 мм, Ø 15 REXANT</t>
  </si>
  <si>
    <t>89-0056</t>
  </si>
  <si>
    <t>Валик-мини полиамид, ворс 10.5 мм, ширина ролика 150 мм, Ø 15 мм REXANT</t>
  </si>
  <si>
    <t>89-0054</t>
  </si>
  <si>
    <t>Валик-мини полиамид, ворс 10.5 мм, ширина ролика 60 мм,Ø 15 REXANT</t>
  </si>
  <si>
    <t>2.11. 2. 4 Валики для прикатки обоев [Группа индивидуального ценообразования]</t>
  </si>
  <si>
    <t>89-0094</t>
  </si>
  <si>
    <t>Валик для прикатки обоев резиновый, ширина ролика 150 мм, ручка 6 мм REXANT</t>
  </si>
  <si>
    <t>2.11. 2. 6 Малярные ванночки для красок [Группа индивидуального ценообразования]</t>
  </si>
  <si>
    <t>89-0143</t>
  </si>
  <si>
    <t>Кюветка (ванночка) малярная 33х26 см, красная REXANT</t>
  </si>
  <si>
    <t>89-0145</t>
  </si>
  <si>
    <t>Кюветка (ванночка) малярная 33х35см, красная REXANT</t>
  </si>
  <si>
    <t>2.11. 2. 7 Ручки для малярных роликов [Группа индивидуального ценообразования]</t>
  </si>
  <si>
    <t>89-0131</t>
  </si>
  <si>
    <t>Ручка для валика, ширина под ролик 180 мм, бюгель 8 мм, серия «Мастер» REXANT</t>
  </si>
  <si>
    <t>89-0134</t>
  </si>
  <si>
    <t>Ручка для валика, ширина под ролик 240 мм, бюгель 6 мм REXANT</t>
  </si>
  <si>
    <t>2.11. 3 Шпатели [Группа индивидуального ценообразования]</t>
  </si>
  <si>
    <t>89-2201</t>
  </si>
  <si>
    <t>Кельма бетонщика, нержавеющая сталь, 200мм, пластиковая ручка REXANT</t>
  </si>
  <si>
    <t>09.10.2026</t>
  </si>
  <si>
    <t>89-2202</t>
  </si>
  <si>
    <t>Кельма отделочника, нержавеющая сталь, 180мм, пластиковая ручка REXANT</t>
  </si>
  <si>
    <t>89-2203</t>
  </si>
  <si>
    <t>Кельма печника, нержавеющая сталь, 175мм, пластиковая ручка REXANT</t>
  </si>
  <si>
    <t>89-2204</t>
  </si>
  <si>
    <t>Кельма штукатура, нержавеющая сталь, 175мм, пластиковая ручка REXANT</t>
  </si>
  <si>
    <t>89-0204</t>
  </si>
  <si>
    <t>Шпатель 100 мм нержавеющая сталь, пластмассовая ручка REXANT</t>
  </si>
  <si>
    <t>89-0201</t>
  </si>
  <si>
    <t>Шпатель 40 мм нержавеющая сталь, пластмассовая ручка REXANT</t>
  </si>
  <si>
    <t>89-0202</t>
  </si>
  <si>
    <t>Шпатель 60 мм нержавеющая сталь, пластмассовая ручка REXANT</t>
  </si>
  <si>
    <t>89-0203</t>
  </si>
  <si>
    <t>Шпатель 80 мм нержавеющая сталь, пластмассовая ручка REXANT</t>
  </si>
  <si>
    <t>89-0240</t>
  </si>
  <si>
    <t>Шпатель обойный пластмассовый 280 мм «СТАНДАРТ» REXANT</t>
  </si>
  <si>
    <t>89-0221</t>
  </si>
  <si>
    <t>Шпатель фасадный 150 мм зуб 6х6 нержавеющая сталь, пластмассовая ручка REXANT</t>
  </si>
  <si>
    <t>89-0205</t>
  </si>
  <si>
    <t>Шпатель фасадный 150 мм нержавеющая сталь, пластмассовая ручка REXANT</t>
  </si>
  <si>
    <t>89-0206</t>
  </si>
  <si>
    <t>Шпатель фасадный 200 мм нержавеющая сталь, пластмассовая ручка REXANT</t>
  </si>
  <si>
    <t>89-0207</t>
  </si>
  <si>
    <t>Шпатель фасадный 250 мм нержавеющая сталь, пластмассовая ручка REXANT</t>
  </si>
  <si>
    <t>89-0208</t>
  </si>
  <si>
    <t>Шпатель фасадный 300 мм нержавеющая сталь, пластмассовая ручка REXANT</t>
  </si>
  <si>
    <t>89-0209</t>
  </si>
  <si>
    <t>Шпатель фасадный 350 мм нержавеющая сталь, пластмассовая ручка REXANT</t>
  </si>
  <si>
    <t>89-0210</t>
  </si>
  <si>
    <t>Шпатель фасадный 450 мм нержавеющая сталь, пластмассовая ручка REXANT</t>
  </si>
  <si>
    <t>89-0211</t>
  </si>
  <si>
    <t>Шпатель фасадный 600 мм нержавеющая сталь пластмассовая ручка REXANT</t>
  </si>
  <si>
    <t>89-0214</t>
  </si>
  <si>
    <t>Шпатель фасадный, нержавеющая сталь, 250 мм, 2-компонентная ручка REXANT</t>
  </si>
  <si>
    <t>89-0215</t>
  </si>
  <si>
    <t>Шпатель фасадный, нержавеющая сталь, 300мм, 2-компонентная ручка REXANT</t>
  </si>
  <si>
    <t>89-0216</t>
  </si>
  <si>
    <t>Шпатель фасадный, нержавеющая сталь, 350мм, 2-компонентная ручка REXANT</t>
  </si>
  <si>
    <t>89-0217</t>
  </si>
  <si>
    <t>Шпатель фасадный, нержавеющая сталь, 450мм, 2-компонентная ручка REXANT</t>
  </si>
  <si>
    <t>89-0218</t>
  </si>
  <si>
    <t>Шпатель фасадный, нержавеющая сталь, 600мм, 2-компонентная ручка REXANT</t>
  </si>
  <si>
    <t>2.11. 4 Гладилки штукатурные [Группа индивидуального ценообразования]</t>
  </si>
  <si>
    <t>89-0255</t>
  </si>
  <si>
    <t>Гладилка нержавеющая 130х270 мм, зуб 10х10 мм, пластиковая ручка REXANT</t>
  </si>
  <si>
    <t>89-0254</t>
  </si>
  <si>
    <t>Гладилка нержавеющая 130х270 мм, зуб 8х8 мм, пластиковая ручка REXANT</t>
  </si>
  <si>
    <t>89-0251</t>
  </si>
  <si>
    <t>Гладилка нержавеющая 130х270 мм, пластиковая ручка REXANT</t>
  </si>
  <si>
    <t>89-0256</t>
  </si>
  <si>
    <t>Гладилка пластиковая для декоративных работ 140х280 мм, пластиковая ручка REXANT</t>
  </si>
  <si>
    <t>2.11. 5 Шлифовальные бруски и блоки</t>
  </si>
  <si>
    <t>89-0258</t>
  </si>
  <si>
    <t>Брус для шлифования 210х105 мм REXANT</t>
  </si>
  <si>
    <t>89-0257</t>
  </si>
  <si>
    <t>Сеткодержатель на винтах 230х105 мм REXANT</t>
  </si>
  <si>
    <t>2.11. 7 Малярные кисти [Группа индивидуального ценообразования]</t>
  </si>
  <si>
    <t>89-0401</t>
  </si>
  <si>
    <t>Кисть макловица REXANT 140x50 мм искусственная щетина, деревянный корпус</t>
  </si>
  <si>
    <t>89-0402</t>
  </si>
  <si>
    <t>Кисть макловица REXANT 180x80 мм искусственная щетина, деревянный корпус</t>
  </si>
  <si>
    <t>89-0325</t>
  </si>
  <si>
    <t>Кисть плоская «Водные краски» 100х12 мм REXANT</t>
  </si>
  <si>
    <t>89-0321</t>
  </si>
  <si>
    <t>Кисть плоская «Водные краски» 25х10 мм REXANT</t>
  </si>
  <si>
    <t>89-0322</t>
  </si>
  <si>
    <t>Кисть плоская «Водные краски» 35х10 мм REXANT</t>
  </si>
  <si>
    <t>89-0324</t>
  </si>
  <si>
    <t>Кисть плоская «Водные краски» 70х12 мм REXANT</t>
  </si>
  <si>
    <t>89-0305</t>
  </si>
  <si>
    <t>Кисть плоская «Лаки» 100х12 мм REXANT</t>
  </si>
  <si>
    <t>89-0303</t>
  </si>
  <si>
    <t>Кисть плоская «Лаки» 50х12 мм REXANT</t>
  </si>
  <si>
    <t>89-0336</t>
  </si>
  <si>
    <t>Кисть плоская «Работы по дереву» 120х25 мм REXANT</t>
  </si>
  <si>
    <t>89-0337</t>
  </si>
  <si>
    <t>Кисть плоская «Работы по дереву» 120х35 мм REXANT</t>
  </si>
  <si>
    <t>89-0332</t>
  </si>
  <si>
    <t>Кисть плоская «Работы по дереву» 35х10 мм REXANT</t>
  </si>
  <si>
    <t>89-0334</t>
  </si>
  <si>
    <t>Кисть плоская «Работы по дереву» 70х12 мм REXANT</t>
  </si>
  <si>
    <t>89-0362</t>
  </si>
  <si>
    <t>Кисть плоская «Универсальная» 35х8 мм REXANT</t>
  </si>
  <si>
    <t>89-0315</t>
  </si>
  <si>
    <t>Кисть плоская «Эмали» 100х12 мм REXANT</t>
  </si>
  <si>
    <t>2.11. 8 СВП (система выравнивания плитки)</t>
  </si>
  <si>
    <t>89-0951</t>
  </si>
  <si>
    <t>Система выравнивания плитки СВП (клин 80 шт.) REXANT</t>
  </si>
  <si>
    <t>89-0950</t>
  </si>
  <si>
    <t>Клипса-ворота для системы выравнивания плитки, шов 1 мм (СВП) (80 шт.) REXANT</t>
  </si>
  <si>
    <t>89-0953</t>
  </si>
  <si>
    <t>Клипса-ворота для системы выравнивания плитки, шов 1,5 мм (СВП) (80 шт.) REXANT</t>
  </si>
  <si>
    <t>89-0952</t>
  </si>
  <si>
    <t>Набор клипс и клиньев – система выравнивания плитки, шов 1 мм (СВП) (40 комплектов) REXANT</t>
  </si>
  <si>
    <t>89-0954</t>
  </si>
  <si>
    <t>Набор клипс и клиньев – система выравнивания плитки, шов 1,5 мм (СВП) (40 комплектов) REXANT</t>
  </si>
  <si>
    <t>2.11. 9 Монтажная пена [Группа индивидуального ценообразования]</t>
  </si>
  <si>
    <t>89-0909</t>
  </si>
  <si>
    <t>Очиститель монтажной пены 500 мл REXANT</t>
  </si>
  <si>
    <t>89-0905</t>
  </si>
  <si>
    <t>Пена монтажная всесезонная  с трубочкой 50 л REXANT</t>
  </si>
  <si>
    <t>89-0903</t>
  </si>
  <si>
    <t>Пена монтажная всесезонная для пистолета 40 л eco REXANT</t>
  </si>
  <si>
    <t>89-0902</t>
  </si>
  <si>
    <t>Пена монтажная всесезонная для пистолета 50 л REXANT</t>
  </si>
  <si>
    <t>89-0901</t>
  </si>
  <si>
    <t>Пена монтажная всесезонная для пистолета 65 л max REXANT</t>
  </si>
  <si>
    <t>89-0911</t>
  </si>
  <si>
    <t>Пена монтажная всесезонная для пистолета 70+ PRO 980 г REXANT</t>
  </si>
  <si>
    <t>89-0906</t>
  </si>
  <si>
    <t>Пена монтажная всесезонная с трубочкой 40 л eco REXANT</t>
  </si>
  <si>
    <t>89-0904</t>
  </si>
  <si>
    <t>Пена монтажная всесезонная с трубочкой 65 л max REXANT</t>
  </si>
  <si>
    <t>89-0912</t>
  </si>
  <si>
    <t>Пена монтажная огнестойкая для пистолета 65 л 780г REXANT</t>
  </si>
  <si>
    <t>2.11.10 Герметики [Группа индивидуального ценообразования]</t>
  </si>
  <si>
    <t>89-0921</t>
  </si>
  <si>
    <t>Герметик силиконовый санитарный REXANT 280 мл белый</t>
  </si>
  <si>
    <t>89-0920</t>
  </si>
  <si>
    <t>Герметик силиконовый санитарный REXANT 280 мл прозрачный</t>
  </si>
  <si>
    <t>89-0923</t>
  </si>
  <si>
    <t>Герметик силиконовый универсальный REXANT 280 мл белый</t>
  </si>
  <si>
    <t>89-0922</t>
  </si>
  <si>
    <t>Герметик силиконовый универсальный REXANT 280 мл прозрачный</t>
  </si>
  <si>
    <t>89-0924</t>
  </si>
  <si>
    <t>Клей-герметик жидкие гвозди REXANT акриловый универсальный 280 мл белый</t>
  </si>
  <si>
    <t>2.11.11 Наборы</t>
  </si>
  <si>
    <t>89-0251-4</t>
  </si>
  <si>
    <t>Набор для штукатура</t>
  </si>
  <si>
    <t>2.11.12 Строительные емкости</t>
  </si>
  <si>
    <t>89-0281</t>
  </si>
  <si>
    <t>Ведро строительное мерное пластмассовое 12 л REXANT</t>
  </si>
  <si>
    <t>89-0282</t>
  </si>
  <si>
    <t>Ведро строительное мерное пластмассовое 16 л REXANT</t>
  </si>
  <si>
    <t>89-0283</t>
  </si>
  <si>
    <t>Ведро строительное мерное пластмассовое 20 л REXANT</t>
  </si>
  <si>
    <t>89-0284</t>
  </si>
  <si>
    <t>Таз строительный круглый 45 л REXANT</t>
  </si>
  <si>
    <t>89-0285</t>
  </si>
  <si>
    <t>Таз строительный круглый 65 л REXANT</t>
  </si>
  <si>
    <t>89-0286</t>
  </si>
  <si>
    <t>Таз строительный круглый 90 л REXANT</t>
  </si>
  <si>
    <t>89-0287</t>
  </si>
  <si>
    <t>Таз строительный прямоугольный пластмассовый 45 л REXANT</t>
  </si>
  <si>
    <t>89-0289</t>
  </si>
  <si>
    <t>Таз строительный прямоугольный пластмассовый 90 л REXANT</t>
  </si>
  <si>
    <t>2.13 Средства защиты</t>
  </si>
  <si>
    <t>2.13. 1 Спецодежда</t>
  </si>
  <si>
    <t>09-0302</t>
  </si>
  <si>
    <t>Бахилы полиэтиленовые 2,3 г (100 шт., 50 пар)</t>
  </si>
  <si>
    <t>09-0211</t>
  </si>
  <si>
    <t>Перчатки полушерстяные с покрытием ПВХ «Зима», 7 нитей, 75-77 г, черные</t>
  </si>
  <si>
    <t>пар</t>
  </si>
  <si>
    <t>09-0214</t>
  </si>
  <si>
    <t>Перчатки х/б с покрытием ПВХ «Волна», 10 класс вязки, 5 нитей, 55-56 г</t>
  </si>
  <si>
    <t>09-0201</t>
  </si>
  <si>
    <t>Перчатки х/б с покрытием ПВХ «Волна», 5 нитей, 7,5 класс вязки, 54-56 г</t>
  </si>
  <si>
    <t>09-0202-1</t>
  </si>
  <si>
    <t>Перчатки х/б с покрытием ПВХ «Точка», 5 нитей, 48-50 г, белые REXANT</t>
  </si>
  <si>
    <t>09-0209</t>
  </si>
  <si>
    <t>Перчатки х/б стандарт с покрытием ПВХ, размер M, 10 класс вязки, 5 нитей, черные</t>
  </si>
  <si>
    <t>2.13. 2 Средства индивидуальной защиты</t>
  </si>
  <si>
    <t>09-0909</t>
  </si>
  <si>
    <t>Очки защитные закрытого типа "ИСТОК" с непрямой вентиляцией ПАНОРАМА (40012)</t>
  </si>
  <si>
    <t>09-0901</t>
  </si>
  <si>
    <t>Очки защитные открытого типа "ИСТОК ПРО КЛАССИК ультралайт" (прозрачные) (40030)</t>
  </si>
  <si>
    <t>09-0902</t>
  </si>
  <si>
    <t>Очки защитные открытого типа "ИСТОК" (прозрачные) (40001)</t>
  </si>
  <si>
    <t>09-0911</t>
  </si>
  <si>
    <t>Щиток защитный лицевой "ИСТОК" поликарбонат экран, съемный реечный механизм (30016)</t>
  </si>
  <si>
    <t>2.14 Лестницы, стремянки</t>
  </si>
  <si>
    <t>12-5073</t>
  </si>
  <si>
    <t>Лестница-трансформер 4x3 REXANT</t>
  </si>
  <si>
    <t>12-5074</t>
  </si>
  <si>
    <t>Лестница-трансформер 4x4 REXANT</t>
  </si>
  <si>
    <t>12-5053</t>
  </si>
  <si>
    <t>Стремянка металлическая 3 ступеньки, усиленный профиль REXANT</t>
  </si>
  <si>
    <t>12-5054</t>
  </si>
  <si>
    <t>Стремянка металлическая 4 ступеньки, усиленный профиль REXANT</t>
  </si>
  <si>
    <t>12-5055</t>
  </si>
  <si>
    <t>Стремянка металлическая 5 ступенек, усиленный профиль REXANT</t>
  </si>
  <si>
    <t>12-5056</t>
  </si>
  <si>
    <t>Стремянка металлическая 6 ступенек, усиленный профиль REXANT</t>
  </si>
  <si>
    <t>12-5057</t>
  </si>
  <si>
    <t>Стремянка металлическая 7 ступенек, усиленный профиль REXANT</t>
  </si>
  <si>
    <t>12-5058</t>
  </si>
  <si>
    <t>Стремянка металлическая 8 ступенек, усиленный профиль REXANT</t>
  </si>
  <si>
    <t>12-5068</t>
  </si>
  <si>
    <t>Трехсекционная промышленная лестница 3x10 REXANT</t>
  </si>
  <si>
    <t>12-5066</t>
  </si>
  <si>
    <t>Трехсекционная промышленная лестница 3x8 REXANT</t>
  </si>
  <si>
    <t>12-5067</t>
  </si>
  <si>
    <t>Трехсекционная промышленная лестница 3x9 REXANT</t>
  </si>
  <si>
    <t>2.15 Хранение инструмента</t>
  </si>
  <si>
    <t>2.15. 1 Ящики для инструмента</t>
  </si>
  <si>
    <t>12-5012-4</t>
  </si>
  <si>
    <t>Ящик пластиковый для инструмента PROconnect, 245х258х45 мм</t>
  </si>
  <si>
    <t>12-5014-4</t>
  </si>
  <si>
    <t>Ящик универсальный пластиковый для инструмента PROconnect, 325х280х60 мм</t>
  </si>
  <si>
    <t>2.15. 2 Сумки для инструмента</t>
  </si>
  <si>
    <t>12-5604</t>
  </si>
  <si>
    <t>Кобура для инструмента 2 отделения RE-2U REXANT</t>
  </si>
  <si>
    <t>12-5610</t>
  </si>
  <si>
    <t>Нейлоновый пояс RE-PB REXANT</t>
  </si>
  <si>
    <t>12-5614</t>
  </si>
  <si>
    <t>Рюкзак монтажника с резиновым дном RE-12 REXANT</t>
  </si>
  <si>
    <t>12-5617</t>
  </si>
  <si>
    <t>Сумка монтажника RE-25 REXANT</t>
  </si>
  <si>
    <t>12-5603</t>
  </si>
  <si>
    <t>Сумка монтажника поясная с 3 отделениями RE-3 REXANT</t>
  </si>
  <si>
    <t>12-5601</t>
  </si>
  <si>
    <t>Сумка монтажника поясная с 5 отделениями RE-5 REXANT</t>
  </si>
  <si>
    <t>12-5602</t>
  </si>
  <si>
    <t>Сумка монтажника поясная с 7 отделениями RE-7 REXANT</t>
  </si>
  <si>
    <t>12-5609</t>
  </si>
  <si>
    <t>Сумка монтажника съемная поясная RE-CH REXANT</t>
  </si>
  <si>
    <t>12-5611</t>
  </si>
  <si>
    <t>Сумка-пояс монтажника двойная RE-15 REXANT</t>
  </si>
  <si>
    <t>3. КРЕПЕЖ И МЕТИЗЫ (FIX)</t>
  </si>
  <si>
    <t>3. 1. Стяжки и хомуты</t>
  </si>
  <si>
    <t>3. 1. 1. Нейлоновые стяжки</t>
  </si>
  <si>
    <t>3. 1. 1. 1. Cтяжки нейлоновые PROconnect</t>
  </si>
  <si>
    <t>57-0100</t>
  </si>
  <si>
    <t>Стяжка кабельная нейлоновая 100x2,5мм, белая (100 шт/уп) PROconnect</t>
  </si>
  <si>
    <t>57-0101</t>
  </si>
  <si>
    <t>Стяжка кабельная нейлоновая 100x2,5мм, черная (100 шт/уп) PROconnect</t>
  </si>
  <si>
    <t>57-0150</t>
  </si>
  <si>
    <t>Стяжка кабельная нейлоновая 150x2,5мм, белая (100 шт/уп) PROconnect</t>
  </si>
  <si>
    <t>57-0151</t>
  </si>
  <si>
    <t>Стяжка кабельная нейлоновая 150x2,5мм, черная (100 шт/уп) PROconnect</t>
  </si>
  <si>
    <t>57-0150-4</t>
  </si>
  <si>
    <t>Стяжка кабельная нейлоновая 150x3,6мм, белая (100 шт/уп) PROconnect</t>
  </si>
  <si>
    <t>57-0151-4</t>
  </si>
  <si>
    <t>Стяжка кабельная нейлоновая 150x3,6мм, черная (100 шт/уп) PROconnect</t>
  </si>
  <si>
    <t>57-0200-4</t>
  </si>
  <si>
    <t>Стяжка кабельная нейлоновая 200x2,5мм, белая (100 шт/уп) PROconnect</t>
  </si>
  <si>
    <t>57-0201-4</t>
  </si>
  <si>
    <t>Стяжка кабельная нейлоновая 200x2,5мм, черная (100 шт/уп) PROconnect</t>
  </si>
  <si>
    <t>57-0200</t>
  </si>
  <si>
    <t>Стяжка кабельная нейлоновая 200x3,6мм, белая (100 шт/уп) PROconnect</t>
  </si>
  <si>
    <t>57-0201</t>
  </si>
  <si>
    <t>Стяжка кабельная нейлоновая 200x3,6мм, черная (100 шт/уп) PROconnect</t>
  </si>
  <si>
    <t>57-0200-5</t>
  </si>
  <si>
    <t>Стяжка кабельная нейлоновая 200x4,8мм, белая (100 шт/уп) PROconnect</t>
  </si>
  <si>
    <t>57-0201-5</t>
  </si>
  <si>
    <t>Стяжка кабельная нейлоновая 200x4,8мм, черная (100 шт/уп) PROconnect</t>
  </si>
  <si>
    <t>57-0250</t>
  </si>
  <si>
    <t>Стяжка кабельная нейлоновая 250x3,6мм, белая (100 шт/уп) PROconnect</t>
  </si>
  <si>
    <t>57-0251</t>
  </si>
  <si>
    <t>Стяжка кабельная нейлоновая 250x3,6мм, черная (100 шт/уп) PROconnect</t>
  </si>
  <si>
    <t>57-0250-5</t>
  </si>
  <si>
    <t>Стяжка кабельная нейлоновая 250x4,8мм, белая (100 шт/уп) PROconnect</t>
  </si>
  <si>
    <t>57-0251-5</t>
  </si>
  <si>
    <t>Стяжка кабельная нейлоновая 250x4,8мм, черная (100 шт/уп) PROconnect</t>
  </si>
  <si>
    <t>57-0300</t>
  </si>
  <si>
    <t>Стяжка кабельная нейлоновая 300x3,6мм, белая (100 шт/уп) PROconnect</t>
  </si>
  <si>
    <t>57-0301</t>
  </si>
  <si>
    <t>Стяжка кабельная нейлоновая 300x3,6мм, черная (100 шт/уп) PROconnect</t>
  </si>
  <si>
    <t>57-1302</t>
  </si>
  <si>
    <t>Стяжка кабельная нейлоновая 300x4,8мм, белая (100 шт/уп) PROconnect</t>
  </si>
  <si>
    <t>57-1303</t>
  </si>
  <si>
    <t>Стяжка кабельная нейлоновая 300x4,8мм, черная (100 шт/уп) PROconnect</t>
  </si>
  <si>
    <t>57-0302</t>
  </si>
  <si>
    <t>Стяжка кабельная нейлоновая 300x7,6мм, белая (100 шт/уп) PROconnect</t>
  </si>
  <si>
    <t>57-0303</t>
  </si>
  <si>
    <t>Стяжка кабельная нейлоновая 300x7,6мм, черная (100 шт/уп) PROconnect</t>
  </si>
  <si>
    <t>57-0350</t>
  </si>
  <si>
    <t>Стяжка кабельная нейлоновая 350x4,8мм, белая (100 шт/уп) PROconnect</t>
  </si>
  <si>
    <t>57-0351</t>
  </si>
  <si>
    <t>Стяжка кабельная нейлоновая 350x4,8мм, черная (100 шт/уп) PROconnect</t>
  </si>
  <si>
    <t>57-0400</t>
  </si>
  <si>
    <t>Стяжка кабельная нейлоновая 400x4,8мм, белая (100 шт/уп) PROconnect</t>
  </si>
  <si>
    <t>57-0401</t>
  </si>
  <si>
    <t>Стяжка кабельная нейлоновая 400x4,8мм, черная (100 шт/уп) PROconnect</t>
  </si>
  <si>
    <t>57-0400-8</t>
  </si>
  <si>
    <t>Стяжка кабельная нейлоновая 400x7,6мм, белая (100 шт/уп) PROconnect</t>
  </si>
  <si>
    <t>57-0401-8</t>
  </si>
  <si>
    <t>Стяжка кабельная нейлоновая 400x7,6мм, черная (100 шт/уп) PROconnect</t>
  </si>
  <si>
    <t>57-0500</t>
  </si>
  <si>
    <t>Стяжка кабельная нейлоновая 500x4,8мм, белая (100 шт/уп) PROconnect</t>
  </si>
  <si>
    <t>57-0501</t>
  </si>
  <si>
    <t>Стяжка кабельная нейлоновая 500x4,8мм, черная (100 шт/уп) PROconnect</t>
  </si>
  <si>
    <t>57-0502</t>
  </si>
  <si>
    <t>Стяжка кабельная нейлоновая 500x7,6мм, белая (100 шт/уп) PROconnect</t>
  </si>
  <si>
    <t>57-0503</t>
  </si>
  <si>
    <t>Стяжка кабельная нейлоновая 500x7,6мм, черная (100 шт/уп) PROconnect</t>
  </si>
  <si>
    <t>3. 1. 1. 2. Cтяжки нейлоновые REXANT</t>
  </si>
  <si>
    <t>07-0100</t>
  </si>
  <si>
    <t>Стяжка кабельная нейлоновая 100x2,5мм, белая (100 шт/уп) REXANT</t>
  </si>
  <si>
    <t>07-0101</t>
  </si>
  <si>
    <t>Стяжка кабельная нейлоновая 100x2,5мм, черная (100 шт/уп) REXANT</t>
  </si>
  <si>
    <t>07-0100-4</t>
  </si>
  <si>
    <t>Стяжка кабельная нейлоновая 100x3,6мм, белая (100 шт/уп) REXANT</t>
  </si>
  <si>
    <t>07-0101-4</t>
  </si>
  <si>
    <t>Стяжка кабельная нейлоновая 100x3,6мм, черная (100 шт/уп) REXANT</t>
  </si>
  <si>
    <t>07-1020</t>
  </si>
  <si>
    <t>Стяжка кабельная нейлоновая 1020x9,0мм, белая (100 шт/уп) REXANT</t>
  </si>
  <si>
    <t>07-1021</t>
  </si>
  <si>
    <t>Стяжка кабельная нейлоновая 1020x9,0мм, черная (100 шт/уп) REXANT</t>
  </si>
  <si>
    <t>07-0120</t>
  </si>
  <si>
    <t>Стяжка кабельная нейлоновая 120x2,5мм, белая (100 шт/уп) REXANT</t>
  </si>
  <si>
    <t>07-0121</t>
  </si>
  <si>
    <t>Стяжка кабельная нейлоновая 120x2,5мм, черная (100 шт/уп) REXANT</t>
  </si>
  <si>
    <t>07-0150</t>
  </si>
  <si>
    <t>Стяжка кабельная нейлоновая 150x2,5мм, белая (100 шт/уп) REXANT</t>
  </si>
  <si>
    <t>07-0151</t>
  </si>
  <si>
    <t>Стяжка кабельная нейлоновая 150x2,5мм, черная (100 шт/уп) REXANT</t>
  </si>
  <si>
    <t>07-0150-4</t>
  </si>
  <si>
    <t>Стяжка кабельная нейлоновая 150x3,6мм, белая (100 шт/уп) REXANT</t>
  </si>
  <si>
    <t>07-0151-4</t>
  </si>
  <si>
    <t>Стяжка кабельная нейлоновая 150x3,6мм, черная (100 шт/уп) REXANT</t>
  </si>
  <si>
    <t>07-0200-4</t>
  </si>
  <si>
    <t>Стяжка кабельная нейлоновая 200x2,5мм, белая (100 шт/уп) REXANT</t>
  </si>
  <si>
    <t>07-0201-4</t>
  </si>
  <si>
    <t>Стяжка кабельная нейлоновая 200x2,5мм, черная (100 шт/уп) REXANT</t>
  </si>
  <si>
    <t>07-0200</t>
  </si>
  <si>
    <t>Стяжка кабельная нейлоновая 200x3,6мм, белая (100 шт/уп) REXANT</t>
  </si>
  <si>
    <t>07-0201</t>
  </si>
  <si>
    <t>Стяжка кабельная нейлоновая 200x3,6мм, черная (100 шт/уп) REXANT</t>
  </si>
  <si>
    <t>07-0200-5</t>
  </si>
  <si>
    <t>Стяжка кабельная нейлоновая 200x4,8мм, белая (100 шт/уп) REXANT</t>
  </si>
  <si>
    <t>07-0201-5</t>
  </si>
  <si>
    <t>Стяжка кабельная нейлоновая 200x4,8мм, черная (100 шт/уп) REXANT</t>
  </si>
  <si>
    <t>07-0202</t>
  </si>
  <si>
    <t>Стяжка кабельная нейлоновая 200x7,6мм, белая (100 шт/уп) REXANT</t>
  </si>
  <si>
    <t>07-0203</t>
  </si>
  <si>
    <t>Стяжка кабельная нейлоновая 200x7,6мм, черная (100 шт/уп) REXANT</t>
  </si>
  <si>
    <t>07-0250</t>
  </si>
  <si>
    <t>Стяжка кабельная нейлоновая 250x3,6мм, белая (100 шт/уп) REXANT</t>
  </si>
  <si>
    <t>07-0251</t>
  </si>
  <si>
    <t>Стяжка кабельная нейлоновая 250x3,6мм, черная (100 шт/уп) REXANT</t>
  </si>
  <si>
    <t>07-0250-5</t>
  </si>
  <si>
    <t>Стяжка кабельная нейлоновая 250x4,8мм, белая (100 шт/уп) REXANT</t>
  </si>
  <si>
    <t>07-0251-5</t>
  </si>
  <si>
    <t>Стяжка кабельная нейлоновая 250x4,8мм, черная (100 шт/уп) REXANT</t>
  </si>
  <si>
    <t>07-0252</t>
  </si>
  <si>
    <t>Стяжка кабельная нейлоновая 250x7,6мм, белая (100 шт/уп) REXANT</t>
  </si>
  <si>
    <t>07-0253</t>
  </si>
  <si>
    <t>Стяжка кабельная нейлоновая 250x7,6мм, черная (100 шт/уп) REXANT</t>
  </si>
  <si>
    <t>07-0300</t>
  </si>
  <si>
    <t>Стяжка кабельная нейлоновая 300x3,6мм, белая (100 шт/уп) REXANT</t>
  </si>
  <si>
    <t>07-0301</t>
  </si>
  <si>
    <t>Стяжка кабельная нейлоновая 300x3,6мм, черная (100 шт/уп) REXANT</t>
  </si>
  <si>
    <t>07-1302</t>
  </si>
  <si>
    <t>Стяжка кабельная нейлоновая 300x4,8мм, белая (100 шт/уп) REXANT</t>
  </si>
  <si>
    <t>07-1303</t>
  </si>
  <si>
    <t>Стяжка кабельная нейлоновая 300x4,8мм, черная (100 шт/уп) REXANT</t>
  </si>
  <si>
    <t>07-0302</t>
  </si>
  <si>
    <t>Стяжка кабельная нейлоновая 300x7,6мм, белая (100 шт/уп) REXANT</t>
  </si>
  <si>
    <t>07-0303</t>
  </si>
  <si>
    <t>Стяжка кабельная нейлоновая 300x7,6мм, черная (100 шт/уп) REXANT</t>
  </si>
  <si>
    <t>07-0350</t>
  </si>
  <si>
    <t>Стяжка кабельная нейлоновая 350x4,8мм, белая (100 шт/уп) REXANT</t>
  </si>
  <si>
    <t>07-0351</t>
  </si>
  <si>
    <t>Стяжка кабельная нейлоновая 350x4,8мм, черная (100 шт/уп) REXANT</t>
  </si>
  <si>
    <t>07-0352</t>
  </si>
  <si>
    <t>Стяжка кабельная нейлоновая 350x7,6мм, белая (100 шт/уп) REXANT</t>
  </si>
  <si>
    <t>07-0353</t>
  </si>
  <si>
    <t>Стяжка кабельная нейлоновая 350x7,6мм, черная (100 шт/уп) REXANT</t>
  </si>
  <si>
    <t>07-0400</t>
  </si>
  <si>
    <t>Стяжка кабельная нейлоновая 400x4,8мм, белая (100 шт/уп) REXANT</t>
  </si>
  <si>
    <t>07-0401</t>
  </si>
  <si>
    <t>Стяжка кабельная нейлоновая 400x4,8мм, черная (100 шт/уп) REXANT</t>
  </si>
  <si>
    <t>07-0400-8</t>
  </si>
  <si>
    <t>Стяжка кабельная нейлоновая 400x7,6мм, белая (100 шт/уп) REXANT</t>
  </si>
  <si>
    <t>07-0401-8</t>
  </si>
  <si>
    <t>Стяжка кабельная нейлоновая 400x7,6мм, черная (100 шт/уп) REXANT</t>
  </si>
  <si>
    <t>07-0450-5</t>
  </si>
  <si>
    <t>Стяжка кабельная нейлоновая 450x4,8мм, белая (100 шт/уп) REXANT</t>
  </si>
  <si>
    <t>07-0451-5</t>
  </si>
  <si>
    <t>Стяжка кабельная нейлоновая 450x4,8мм, черная (100 шт/уп) REXANT</t>
  </si>
  <si>
    <t>07-0450-8</t>
  </si>
  <si>
    <t>Стяжка кабельная нейлоновая 450x7,6мм, белая (100 шт/уп) REXANT</t>
  </si>
  <si>
    <t>07-0451-8</t>
  </si>
  <si>
    <t>Стяжка кабельная нейлоновая 450x7,6мм, черная (100 шт/уп) REXANT</t>
  </si>
  <si>
    <t>07-0500</t>
  </si>
  <si>
    <t>Стяжка кабельная нейлоновая 500x4,8мм, белая (100 шт/уп) REXANT</t>
  </si>
  <si>
    <t>07-0501</t>
  </si>
  <si>
    <t>Стяжка кабельная нейлоновая 500x4,8мм, черная (100 шт/уп) REXANT</t>
  </si>
  <si>
    <t>07-0502</t>
  </si>
  <si>
    <t>Стяжка кабельная нейлоновая 500x7,6мм, белая (100 шт/уп) REXANT</t>
  </si>
  <si>
    <t>07-0503</t>
  </si>
  <si>
    <t>Стяжка кабельная нейлоновая 500x7,6мм, черная (100 шт/уп) REXANT</t>
  </si>
  <si>
    <t>07-0600-9</t>
  </si>
  <si>
    <t>Стяжка кабельная нейлоновая 600x7,6мм, белая (100 шт/уп) REXANT</t>
  </si>
  <si>
    <t>07-0601-9</t>
  </si>
  <si>
    <t>Стяжка кабельная нейлоновая 600x7,6мм, черная (100 шт/уп) REXANT</t>
  </si>
  <si>
    <t>07-0060</t>
  </si>
  <si>
    <t>Стяжка кабельная нейлоновая 60x2,5мм, белая (100 шт/уп) REXANT</t>
  </si>
  <si>
    <t>07-0061</t>
  </si>
  <si>
    <t>Стяжка кабельная нейлоновая 60x2,5мм, черная (100 шт/уп) REXANT</t>
  </si>
  <si>
    <t>07-0700-9</t>
  </si>
  <si>
    <t>Стяжка кабельная нейлоновая 700x9,0мм, белая (100 шт/уп) REXANT</t>
  </si>
  <si>
    <t>07-0701-9</t>
  </si>
  <si>
    <t>Стяжка кабельная нейлоновая 700x9,0мм, черная (100 шт/уп) REXANT</t>
  </si>
  <si>
    <t>07-0080</t>
  </si>
  <si>
    <t>Стяжка кабельная нейлоновая 80x2,5мм, белая (100 шт/уп) REXANT</t>
  </si>
  <si>
    <t>07-0081</t>
  </si>
  <si>
    <t>Стяжка кабельная нейлоновая 80x2,5мм, черная (100 шт/уп) REXANT</t>
  </si>
  <si>
    <t>07-0900</t>
  </si>
  <si>
    <t>Стяжка кабельная нейлоновая 920x9,0мм, белая (100 шт/уп) REXANT</t>
  </si>
  <si>
    <t>07-0901</t>
  </si>
  <si>
    <t>Стяжка кабельная нейлоновая 920x9,0мм, черная (100 шт/уп) REXANT</t>
  </si>
  <si>
    <t>3. 1. 1. 3. Стяжки нейлоновые REXANT 25 шт/уп и цветные</t>
  </si>
  <si>
    <t>07-7201</t>
  </si>
  <si>
    <t>Набор стяжек нейлоновых 100, 150, 200 мм, цветные, НХ-1, тубус 200 шт. REXANT</t>
  </si>
  <si>
    <t>07-7202</t>
  </si>
  <si>
    <t>Набор стяжек нейлоновых 100, 200 мм, цветные, НХ-2, тубус 300 шт. REXANT</t>
  </si>
  <si>
    <t>07-0100-25</t>
  </si>
  <si>
    <t>Стяжка кабельная нейлоновая 100x2,5мм, белая (25 шт/уп) REXANT</t>
  </si>
  <si>
    <t>07-0103-25</t>
  </si>
  <si>
    <t>Стяжка кабельная нейлоновая 100x2,5мм, зеленая (25 шт/уп) REXANT</t>
  </si>
  <si>
    <t>07-0108-25</t>
  </si>
  <si>
    <t>Стяжка кабельная нейлоновая 100x2,5мм, набор 5 цветов (25 шт/уп) REXANT</t>
  </si>
  <si>
    <t>07-0101-25</t>
  </si>
  <si>
    <t>Стяжка кабельная нейлоновая 100x2,5мм, черная (25 шт/уп) REXANT</t>
  </si>
  <si>
    <t>07-1020-25</t>
  </si>
  <si>
    <t>Стяжка кабельная нейлоновая 1020x9,0мм, белая (25 шт/уп) REXANT</t>
  </si>
  <si>
    <t>07-1021-25</t>
  </si>
  <si>
    <t>Стяжка кабельная нейлоновая 1020x9,0мм, черная (25 шт/уп) REXANT</t>
  </si>
  <si>
    <t>07-0150-25</t>
  </si>
  <si>
    <t>Стяжка кабельная нейлоновая 150x2,5мм, белая (25 шт/уп) REXANT</t>
  </si>
  <si>
    <t>07-0153-25</t>
  </si>
  <si>
    <t>Стяжка кабельная нейлоновая 150x2,5мм, зеленая (25 шт/уп) REXANT</t>
  </si>
  <si>
    <t>07-0158-25</t>
  </si>
  <si>
    <t>Стяжка кабельная нейлоновая 150x2,5мм, набор 5 цветов (25 шт/уп) REXANT</t>
  </si>
  <si>
    <t>07-0151-25</t>
  </si>
  <si>
    <t>Стяжка кабельная нейлоновая 150x2,5мм, черная (25 шт/уп) REXANT</t>
  </si>
  <si>
    <t>07-0150-6</t>
  </si>
  <si>
    <t>Стяжка кабельная нейлоновая 150x3,6мм, коричнево-золотая (RAL8001) (100 шт/уп) REXANT</t>
  </si>
  <si>
    <t>07-0200-25</t>
  </si>
  <si>
    <t>Стяжка кабельная нейлоновая 200x3,6мм, белая (25 шт/уп) REXANT</t>
  </si>
  <si>
    <t>07-0203-25</t>
  </si>
  <si>
    <t>Стяжка кабельная нейлоновая 200x3,6мм, зеленая (25 шт/уп) REXANT</t>
  </si>
  <si>
    <t>07-0208-25</t>
  </si>
  <si>
    <t>Стяжка кабельная нейлоновая 200x3,6мм, набор 5 цветов (25 шт/уп) REXANT</t>
  </si>
  <si>
    <t>07-0201-25</t>
  </si>
  <si>
    <t>Стяжка кабельная нейлоновая 200x3,6мм, черная (25 шт/уп) REXANT</t>
  </si>
  <si>
    <t>07-0201-6</t>
  </si>
  <si>
    <t>Стяжка кабельная нейлоновая 200x4,8мм, коричнево-золотая (RAL8001) (100 шт/уп) REXANT</t>
  </si>
  <si>
    <t>07-0250-25</t>
  </si>
  <si>
    <t>Стяжка кабельная нейлоновая 250x3,6мм, белая (25 шт/уп) REXANT</t>
  </si>
  <si>
    <t>07-0258-25</t>
  </si>
  <si>
    <t>Стяжка кабельная нейлоновая 250x3,6мм, набор 5 цветов (25 шт/уп) REXANT</t>
  </si>
  <si>
    <t>07-0251-25</t>
  </si>
  <si>
    <t>Стяжка кабельная нейлоновая 250x3,6мм, черная (25 шт/уп) REXANT</t>
  </si>
  <si>
    <t>07-0250-6</t>
  </si>
  <si>
    <t>Стяжка кабельная нейлоновая 250x4,8мм, коричнево-золотая (RAL8001) (100 шт/уп) REXANT</t>
  </si>
  <si>
    <t>07-0300-25</t>
  </si>
  <si>
    <t>Стяжка кабельная нейлоновая 300x4,8мм, белая (25 шт/уп) REXANT</t>
  </si>
  <si>
    <t>07-0303-25</t>
  </si>
  <si>
    <t>Стяжка кабельная нейлоновая 300x4,8мм, зеленая (25 шт/уп) REXANT</t>
  </si>
  <si>
    <t>07-0300-6</t>
  </si>
  <si>
    <t>Стяжка кабельная нейлоновая 300x4,8мм, коричнево-золотая (RAL8001) (100 шт/уп) REXANT</t>
  </si>
  <si>
    <t>07-0308-25</t>
  </si>
  <si>
    <t>Стяжка кабельная нейлоновая 300x4,8мм, набор 5 цветов (25 шт/уп) REXANT</t>
  </si>
  <si>
    <t>07-0301-25</t>
  </si>
  <si>
    <t>Стяжка кабельная нейлоновая 300x4,8мм, черная (25 шт/уп) REXANT</t>
  </si>
  <si>
    <t>07-0400-25</t>
  </si>
  <si>
    <t>Стяжка кабельная нейлоновая 400x4,8мм, белая (25 шт/уп) REXANT</t>
  </si>
  <si>
    <t>07-0403-25</t>
  </si>
  <si>
    <t>Стяжка кабельная нейлоновая 400x4,8мм, зеленая (25 шт/уп) REXANT</t>
  </si>
  <si>
    <t>07-0408-25</t>
  </si>
  <si>
    <t>Стяжка кабельная нейлоновая 400x4,8мм, набор 5 цветов (25 шт/уп) REXANT</t>
  </si>
  <si>
    <t>07-0401-25</t>
  </si>
  <si>
    <t>Стяжка кабельная нейлоновая 400x4,8мм, черная (25 шт/уп) REXANT</t>
  </si>
  <si>
    <t>07-0700-9-25</t>
  </si>
  <si>
    <t>Стяжка кабельная нейлоновая 700x9,0мм, белая (25 шт/уп) REXANT</t>
  </si>
  <si>
    <t>07-0701-9-25</t>
  </si>
  <si>
    <t>Стяжка кабельная нейлоновая 700x9,0мм, черная (25 шт/уп) REXANT</t>
  </si>
  <si>
    <t>07-0900-25</t>
  </si>
  <si>
    <t>Стяжка кабельная нейлоновая 920x9,0мм, белая (25 шт/уп) REXANT</t>
  </si>
  <si>
    <t>07-0901-25</t>
  </si>
  <si>
    <t>Стяжка кабельная нейлоновая 920x9,0мм, черная (25 шт/уп) REXANT</t>
  </si>
  <si>
    <t>3. 1. 1. 4. Cтяжки нейлоновые Профессиональные REXANT PRO</t>
  </si>
  <si>
    <t>67-0150-4</t>
  </si>
  <si>
    <t>Стяжка нейлоновая Профессиональная 150x3,6мм, белая (100 шт/уп) REXANT</t>
  </si>
  <si>
    <t>67-0151-4</t>
  </si>
  <si>
    <t>Стяжка нейлоновая Профессиональная 150x3,6мм, черная (100 шт/уп) REXANT</t>
  </si>
  <si>
    <t>67-0200</t>
  </si>
  <si>
    <t>Стяжка нейлоновая Профессиональная 200x3,6мм, белая (100 шт/уп) REXANT</t>
  </si>
  <si>
    <t>67-0201</t>
  </si>
  <si>
    <t>Стяжка нейлоновая Профессиональная 200x3,6мм, черная (100 шт/уп) REXANT</t>
  </si>
  <si>
    <t>67-0200-5</t>
  </si>
  <si>
    <t>Стяжка нейлоновая Профессиональная 200x4,8мм, белая (100 шт/уп) REXANT</t>
  </si>
  <si>
    <t>67-0201-5</t>
  </si>
  <si>
    <t>Стяжка нейлоновая Профессиональная 200x4,8мм, черная (100 шт/уп) REXANT</t>
  </si>
  <si>
    <t>67-0202</t>
  </si>
  <si>
    <t>Стяжка нейлоновая Профессиональная 200x7,5мм, белая (100 шт/уп) REXANT</t>
  </si>
  <si>
    <t>67-0203</t>
  </si>
  <si>
    <t>Стяжка нейлоновая Профессиональная 200x7,5мм, черная (100 шт/уп) REXANT</t>
  </si>
  <si>
    <t>67-0250</t>
  </si>
  <si>
    <t>Стяжка нейлоновая Профессиональная 250x3,6мм, белая (100 шт/уп) REXANT</t>
  </si>
  <si>
    <t>67-0251</t>
  </si>
  <si>
    <t>Стяжка нейлоновая Профессиональная 250x3,6мм, черная (100 шт/уп) REXANT</t>
  </si>
  <si>
    <t>67-0250-5</t>
  </si>
  <si>
    <t>Стяжка нейлоновая Профессиональная 250x4,8мм, белая (100 шт/уп) REXANT</t>
  </si>
  <si>
    <t>67-0251-5</t>
  </si>
  <si>
    <t>Стяжка нейлоновая Профессиональная 250x4,8мм, черная (100 шт/уп) REXANT</t>
  </si>
  <si>
    <t>67-0300</t>
  </si>
  <si>
    <t>Стяжка нейлоновая Профессиональная 300x3,6мм, белая (100 шт/уп) REXANT</t>
  </si>
  <si>
    <t>67-0301</t>
  </si>
  <si>
    <t>Стяжка нейлоновая Профессиональная 300x3,6мм, черная (100 шт/уп) REXANT</t>
  </si>
  <si>
    <t>30.01.2027</t>
  </si>
  <si>
    <t>67-1301</t>
  </si>
  <si>
    <t>Стяжка нейлоновая Профессиональная 300x4,8мм, белая (100 шт/уп) REXANT</t>
  </si>
  <si>
    <t>67-1302</t>
  </si>
  <si>
    <t>Стяжка нейлоновая Профессиональная 300x4,8мм, черная (100 шт/уп) REXANT</t>
  </si>
  <si>
    <t>67-0302</t>
  </si>
  <si>
    <t>Стяжка нейлоновая Профессиональная 300x7,6мм, белая (100 шт/уп) REXANT</t>
  </si>
  <si>
    <t>67-0303</t>
  </si>
  <si>
    <t>Стяжка нейлоновая Профессиональная 300x7,6мм, черная (100 шт/уп) REXANT</t>
  </si>
  <si>
    <t>67-0350</t>
  </si>
  <si>
    <t>Стяжка нейлоновая Профессиональная 350x4,8мм, белая (100 шт/уп) REXANT</t>
  </si>
  <si>
    <t>67-0351</t>
  </si>
  <si>
    <t>Стяжка нейлоновая Профессиональная 350x4,8мм, черная (100 шт/уп) REXANT</t>
  </si>
  <si>
    <t>67-0400</t>
  </si>
  <si>
    <t>Стяжка нейлоновая Профессиональная 400x4,8мм, белая (100 шт/уп) REXANT</t>
  </si>
  <si>
    <t>67-0401</t>
  </si>
  <si>
    <t>Стяжка нейлоновая Профессиональная 400x4,8мм, черная (100 шт/уп) REXANT</t>
  </si>
  <si>
    <t>67-0400-8</t>
  </si>
  <si>
    <t>Стяжка нейлоновая Профессиональная 400x7,6мм, белая (100 шт/уп) REXANT</t>
  </si>
  <si>
    <t>67-0401-8</t>
  </si>
  <si>
    <t>Стяжка нейлоновая Профессиональная 400x7,6мм, черная (100 шт/уп) REXANT</t>
  </si>
  <si>
    <t>67-0500</t>
  </si>
  <si>
    <t>Стяжка нейлоновая Профессиональная 500x4,8мм, белая (100 шт/уп) REXANT</t>
  </si>
  <si>
    <t>67-0501</t>
  </si>
  <si>
    <t>Стяжка нейлоновая Профессиональная 500x4,8мм, черная (100 шт/уп) REXANT</t>
  </si>
  <si>
    <t>67-0502</t>
  </si>
  <si>
    <t>Стяжка нейлоновая Профессиональная 500x7,6мм, белая (100 шт/уп) REXANT</t>
  </si>
  <si>
    <t>67-0503</t>
  </si>
  <si>
    <t>Стяжка нейлоновая Профессиональная 500x7,6мм, черная (100 шт/уп) REXANT</t>
  </si>
  <si>
    <t>3. 1. 1. 6. Стяжки нейлоновые REXANT PRO морозостойкие</t>
  </si>
  <si>
    <t>87-0150</t>
  </si>
  <si>
    <t>Стяжка нейлоновая морозостойкая 150x2,5мм, белая (100 шт/уп) REXANT</t>
  </si>
  <si>
    <t>87-0151</t>
  </si>
  <si>
    <t>Стяжка нейлоновая морозостойкая 150x2,5мм, черная (100 шт/уп) REXANT</t>
  </si>
  <si>
    <t>87-0200</t>
  </si>
  <si>
    <t>Стяжка нейлоновая морозостойкая 200x3,6мм, белая (100 шт/уп) REXANT</t>
  </si>
  <si>
    <t>87-0201</t>
  </si>
  <si>
    <t>Стяжка нейлоновая морозостойкая 200x3,6мм, черная (100 шт/уп) REXANT</t>
  </si>
  <si>
    <t>87-0250</t>
  </si>
  <si>
    <t>Стяжка нейлоновая морозостойкая 250x3,6мм, белая (100 шт/уп) REXANT</t>
  </si>
  <si>
    <t>87-0251</t>
  </si>
  <si>
    <t>Стяжка нейлоновая морозостойкая 250x3,6мм, черная (100 шт/уп) REXANT</t>
  </si>
  <si>
    <t>87-0300</t>
  </si>
  <si>
    <t>Стяжка нейлоновая морозостойкая 300x3,6мм, белая (100 шт/уп) REXANT</t>
  </si>
  <si>
    <t>87-0301</t>
  </si>
  <si>
    <t>Стяжка нейлоновая морозостойкая 300x3,6мм, черная (100 шт/уп) REXANT</t>
  </si>
  <si>
    <t>87-1301</t>
  </si>
  <si>
    <t>Стяжка нейлоновая морозостойкая 300x4,8мм, белая (100 шт/уп) REXANT</t>
  </si>
  <si>
    <t>87-1302</t>
  </si>
  <si>
    <t>Стяжка нейлоновая морозостойкая 300x4,8мм, черная (100 шт/уп) REXANT</t>
  </si>
  <si>
    <t>87-0400</t>
  </si>
  <si>
    <t>Стяжка нейлоновая морозостойкая 400x4,8мм, белая (100 шт/уп) REXANT</t>
  </si>
  <si>
    <t>87-0401</t>
  </si>
  <si>
    <t>Стяжка нейлоновая морозостойкая 400x4,8мм, черная (100 шт/уп) REXANT</t>
  </si>
  <si>
    <t>87-0502</t>
  </si>
  <si>
    <t>Стяжка нейлоновая морозостойкая 500x7,6мм, белая (100 шт/уп) REXANT</t>
  </si>
  <si>
    <t>87-0503</t>
  </si>
  <si>
    <t>Стяжка нейлоновая морозостойкая 500x7,6мм, черная (100 шт/уп) REXANT</t>
  </si>
  <si>
    <t>3. 1. 1. 7. Стяжки нейлон-12 REXANT PRO для СИП</t>
  </si>
  <si>
    <t>07-0186</t>
  </si>
  <si>
    <t>Стяжка нейлоновая для СИП с горизонтальным замком 180x6,0мм, черная (100 шт/уп) REXANT</t>
  </si>
  <si>
    <t>07-0269</t>
  </si>
  <si>
    <t>Стяжка нейлоновая для СИП с горизонтальным замком 260x9,0мм, черная (100 шт/уп) REXANT</t>
  </si>
  <si>
    <t>07-0359</t>
  </si>
  <si>
    <t>Стяжка нейлоновая для СИП с горизонтальным замком 350x9,0мм, черная (100 шт/уп) REXANT</t>
  </si>
  <si>
    <t>3. 1. 1. 8. Стяжки нейлоновые REXANT с крепежным элементом</t>
  </si>
  <si>
    <t>07-0104</t>
  </si>
  <si>
    <t>Стяжка нейлоновая под винт 100x3,6мм, белая (100 шт/уп) REXANT</t>
  </si>
  <si>
    <t>07-0105</t>
  </si>
  <si>
    <t>Стяжка нейлоновая под винт 100x3,6мм, черная (100 шт/уп) REXANT</t>
  </si>
  <si>
    <t>07-0154</t>
  </si>
  <si>
    <t>Стяжка нейлоновая под винт 150x3,6мм, белая (100 шт/уп) REXANT</t>
  </si>
  <si>
    <t>07-0155</t>
  </si>
  <si>
    <t>Стяжка нейлоновая под винт 150x3,6мм, черная (100 шт/уп) REXANT</t>
  </si>
  <si>
    <t>07-0204</t>
  </si>
  <si>
    <t>Стяжка нейлоновая под винт 200x4,3мм, белая (100 шт/уп) REXANT</t>
  </si>
  <si>
    <t>07-0205</t>
  </si>
  <si>
    <t>Стяжка нейлоновая под винт 200x4,3мм, черная (100 шт/уп) REXANT</t>
  </si>
  <si>
    <t>07-0107</t>
  </si>
  <si>
    <t>Стяжка нейлоновая с крепежным пистоном 100x2,5мм, ø 2,4мм, белая (100 шт/уп) REXANT</t>
  </si>
  <si>
    <t>07-0197</t>
  </si>
  <si>
    <t>Стяжка нейлоновая с крепежным пистоном 190x4,8мм, ø 3,2мм, белая (100 шт/уп) REXANT</t>
  </si>
  <si>
    <t>07-1000-10</t>
  </si>
  <si>
    <t>Стяжка нейлоновая с фиксатором 90х5мм, черная (10 шт/уп) REXANT</t>
  </si>
  <si>
    <t>07-1000-100</t>
  </si>
  <si>
    <t>Стяжка нейлоновая с фиксатором 90х5мм, черная (100 шт/уп) REXANT</t>
  </si>
  <si>
    <t>07-1000</t>
  </si>
  <si>
    <t>Стяжка нейлоновая с фиксатором 90х5мм, черная (50 шт/уп) REXANT</t>
  </si>
  <si>
    <t>3. 1. 2. Многоразовые стяжки</t>
  </si>
  <si>
    <t>3. 1. 2. 1. Стяжки полимерные многоразовые</t>
  </si>
  <si>
    <t>07-7309</t>
  </si>
  <si>
    <t>Стяжка полимерная многоразовая 300х10мм, прозрачная (20 шт/уп) REXANT</t>
  </si>
  <si>
    <t>3. 1. 2. 2. Хомуты на липучке</t>
  </si>
  <si>
    <t>07-7521</t>
  </si>
  <si>
    <t>Лента-липучка многоразовая 5 м х 20мм, белая (1 шт/уп)REXANT</t>
  </si>
  <si>
    <t>07-7522</t>
  </si>
  <si>
    <t>Лента-липучка многоразовая 5 м х 20мм, желтая (1 шт/уп) REXANT</t>
  </si>
  <si>
    <t>07-7523</t>
  </si>
  <si>
    <t>Лента-липучка многоразовая 5 м х 20мм, зеленая (1 шт/уп) REXANT</t>
  </si>
  <si>
    <t>07-7524</t>
  </si>
  <si>
    <t>Лента-липучка многоразовая 5 м х 20мм, красная (1 шт/уп) REXANT</t>
  </si>
  <si>
    <t>07-7525</t>
  </si>
  <si>
    <t>Лента-липучка многоразовая 5 м х 20мм, синяя (1 шт/уп) REXANT</t>
  </si>
  <si>
    <t>07-7526</t>
  </si>
  <si>
    <t>Лента-липучка многоразовая 5 м х 20мм, черная (1 шт/уп) REXANT</t>
  </si>
  <si>
    <t>07-7150</t>
  </si>
  <si>
    <t>Набор хомутов многоразовых на липучке 150х12мм, цветные (12 шт/уп) REXANT</t>
  </si>
  <si>
    <t>07-7210</t>
  </si>
  <si>
    <t>Набор хомутов многоразовых на липучке 210х16мм, цветные (12 шт/уп) REXANT</t>
  </si>
  <si>
    <t>07-7310</t>
  </si>
  <si>
    <t>Набор хомутов многоразовых на липучке 310х16мм, цветные (12 шт/уп) REXANT</t>
  </si>
  <si>
    <t>07-7156</t>
  </si>
  <si>
    <t>Хомут–липучка многоразовый 150х12мм, черный (12 шт/уп) REXANT</t>
  </si>
  <si>
    <t>07-7216</t>
  </si>
  <si>
    <t>Хомут–липучка многоразовый 230х13мм, черный (12 шт/уп) REXANT</t>
  </si>
  <si>
    <t>07-7316</t>
  </si>
  <si>
    <t>Хомут–липучка многоразовый 320х14мм, черный (12 шт/уп) REXANT</t>
  </si>
  <si>
    <t>3. 1. 2. 3. Стяжки нейлоновые многоразовые</t>
  </si>
  <si>
    <t>07-0109</t>
  </si>
  <si>
    <t>Стяжка нейлоновая многоразовая 100x2,5мм, белая (100 шт/уп) REXANT</t>
  </si>
  <si>
    <t>07-0159</t>
  </si>
  <si>
    <t>Стяжка нейлоновая многоразовая 150x3,5мм, белая (100 шт/уп) REXANT</t>
  </si>
  <si>
    <t>18.02.2027</t>
  </si>
  <si>
    <t>07-0209</t>
  </si>
  <si>
    <t>Стяжка нейлоновая многоразовая 200x7,5мм, белая (100 шт/уп) REXANT</t>
  </si>
  <si>
    <t>07-0309</t>
  </si>
  <si>
    <t>Стяжка нейлоновая многоразовая 300x7,5мм, белая (100 шт/уп) REXANT</t>
  </si>
  <si>
    <t>3. 1. 3. Стальные стяжки</t>
  </si>
  <si>
    <t>3. 1. 3. 1. Cтяжки стальные AISI-304 (100шт. )</t>
  </si>
  <si>
    <t>07-0118-100</t>
  </si>
  <si>
    <t>Стяжка кабельная стальная (304) 100x4,6мм (100 шт/уп) REXANT</t>
  </si>
  <si>
    <t>07-0158-100</t>
  </si>
  <si>
    <t>Стяжка кабельная стальная (304) 152x4,6мм (100 шт/уп) REXANT</t>
  </si>
  <si>
    <t>07-0208-100</t>
  </si>
  <si>
    <t>Стяжка кабельная стальная (304) 200x4,6мм (100 шт/уп) REXANT</t>
  </si>
  <si>
    <t>07-0210-100</t>
  </si>
  <si>
    <t>Стяжка кабельная стальная (304) 200x7,9мм (100 шт/уп) REXANT</t>
  </si>
  <si>
    <t>07-0258-100</t>
  </si>
  <si>
    <t>Стяжка кабельная стальная (304) 250x4,6мм (100 шт/уп) REXANT</t>
  </si>
  <si>
    <t>07-0308-100</t>
  </si>
  <si>
    <t>Стяжка кабельная стальная (304) 300x4,6мм (100 шт/уп) REXANT</t>
  </si>
  <si>
    <t>07-0310-100</t>
  </si>
  <si>
    <t>Стяжка кабельная стальная (304) 300x7,9мм (100 шт/уп) REXANT</t>
  </si>
  <si>
    <t>07-0368-100</t>
  </si>
  <si>
    <t>Стяжка кабельная стальная (304) 360x4,6мм (100 шт/уп) REXANT</t>
  </si>
  <si>
    <t>07-0410-100</t>
  </si>
  <si>
    <t>Стяжка кабельная стальная (304) 400x7,9мм (100 шт/уп) REXANT</t>
  </si>
  <si>
    <t>3. 1. 3. 2. Cтяжки стальные AISI-304 (10/50шт. )</t>
  </si>
  <si>
    <t>07-0118-10</t>
  </si>
  <si>
    <t>Стяжка кабельная стальная (304) 100x4,6мм (10 шт/уп) REXANT</t>
  </si>
  <si>
    <t>07-0118</t>
  </si>
  <si>
    <t>Стяжка кабельная стальная (304) 100x4,6мм (50 шт/уп) REXANT</t>
  </si>
  <si>
    <t>07-0158-10</t>
  </si>
  <si>
    <t>Стяжка кабельная стальная (304) 152x4,6мм (10 шт/уп) REXANT</t>
  </si>
  <si>
    <t>07-0158</t>
  </si>
  <si>
    <t>Стяжка кабельная стальная (304) 152x4,6мм (50 шт/уп) REXANT</t>
  </si>
  <si>
    <t>07-0160</t>
  </si>
  <si>
    <t>Стяжка кабельная стальная (304) 152x7,9мм (50 шт/уп) REXANT</t>
  </si>
  <si>
    <t>07-0208-10</t>
  </si>
  <si>
    <t>Стяжка кабельная стальная (304) 200x4,6мм (10 шт/уп) REXANT</t>
  </si>
  <si>
    <t>07-0208</t>
  </si>
  <si>
    <t>Стяжка кабельная стальная (304) 200x4,6мм (50 шт/уп) REXANT</t>
  </si>
  <si>
    <t>07-0210</t>
  </si>
  <si>
    <t>Стяжка кабельная стальная (304) 200x7,9мм (50 шт/уп) REXANT</t>
  </si>
  <si>
    <t>07-0258-10</t>
  </si>
  <si>
    <t>Стяжка кабельная стальная (304) 250x4,6мм (10 шт/уп) REXANT</t>
  </si>
  <si>
    <t>07-0258</t>
  </si>
  <si>
    <t>Стяжка кабельная стальная (304) 250x4,6мм (50 шт/уп) REXANT</t>
  </si>
  <si>
    <t>07-0260-10</t>
  </si>
  <si>
    <t>Стяжка кабельная стальная (304) 250x7,9мм (10 шт/уп) REXANT</t>
  </si>
  <si>
    <t>07-0260</t>
  </si>
  <si>
    <t>Стяжка кабельная стальная (304) 250x7,9мм (50 шт/уп) REXANT</t>
  </si>
  <si>
    <t>07-0308-10</t>
  </si>
  <si>
    <t>Стяжка кабельная стальная (304) 300x4,6мм (10 шт/уп) REXANT</t>
  </si>
  <si>
    <t>07-0308</t>
  </si>
  <si>
    <t>Стяжка кабельная стальная (304) 300x4,6мм (50 шт/уп) REXANT</t>
  </si>
  <si>
    <t>07-0310-10</t>
  </si>
  <si>
    <t>Стяжка кабельная стальная (304) 300x7,9мм (10 шт/уп) REXANT</t>
  </si>
  <si>
    <t>07-0310</t>
  </si>
  <si>
    <t>Стяжка кабельная стальная (304) 300x7,9мм (50 шт/уп) REXANT</t>
  </si>
  <si>
    <t>07-0368</t>
  </si>
  <si>
    <t>Стяжка кабельная стальная (304) 360x4,6мм (50 шт/уп) REXANT</t>
  </si>
  <si>
    <t>07-0408</t>
  </si>
  <si>
    <t>Стяжка кабельная стальная (304) 400x4,6мм (50 шт/уп) REXANT</t>
  </si>
  <si>
    <t>07-0410</t>
  </si>
  <si>
    <t>Стяжка кабельная стальная (304) 400x7,9мм (50 шт/уп) REXANT</t>
  </si>
  <si>
    <t>07-0510</t>
  </si>
  <si>
    <t>Стяжка кабельная стальная (304) 500x7,9мм (50 шт/уп) REXANT</t>
  </si>
  <si>
    <t>07-0528</t>
  </si>
  <si>
    <t>Стяжка кабельная стальная (304) 520x4,6мм (50 шт/уп) REXANT</t>
  </si>
  <si>
    <t>07-0609</t>
  </si>
  <si>
    <t>Стяжка кабельная стальная (304) 600x7,9мм (50 шт/уп) REXANT</t>
  </si>
  <si>
    <t>3. 1. 3. 3. Cтяжки стальные AISI-304 с полимерным покрытием</t>
  </si>
  <si>
    <t>07-0158-5</t>
  </si>
  <si>
    <t>Стяжка кабельная стальная (304) с полимерным покрытием 152x4,6мм (50 шт/уп) REXANT</t>
  </si>
  <si>
    <t>07-0208-5</t>
  </si>
  <si>
    <t>Стяжка кабельная стальная (304) с полимерным покрытием 200x4,6мм (50 шт/уп) REXANT</t>
  </si>
  <si>
    <t>07-0308-5</t>
  </si>
  <si>
    <t>Стяжка кабельная стальная (304) с полимерным покрытием 300x4,6мм (50 шт/уп) REXANT</t>
  </si>
  <si>
    <t>07-0428-5</t>
  </si>
  <si>
    <t>Стяжка кабельная стальная (304) с полимерным покрытием 400x4,6мм (50 шт/уп) REXANT</t>
  </si>
  <si>
    <t>3. 1. 3 .4. Лента в пластиковой кассете</t>
  </si>
  <si>
    <t>07-1401</t>
  </si>
  <si>
    <t>Лента стальная рулонная AISI 201 в кассете 25м REXANT</t>
  </si>
  <si>
    <t>07-1400</t>
  </si>
  <si>
    <t>Лента стальная рулонная AISI 201 в кассете 50м REXANT</t>
  </si>
  <si>
    <t>07-1403</t>
  </si>
  <si>
    <t>Лента стальная рулонная AISI 304 в кассете 25м REXANT</t>
  </si>
  <si>
    <t>3. 1. 3. 5. Скрепа и бугель</t>
  </si>
  <si>
    <t>07-1501</t>
  </si>
  <si>
    <t>Бугель AISI 201/20 (100 шт/уп) REXANT</t>
  </si>
  <si>
    <t>07-1503</t>
  </si>
  <si>
    <t>Бугель AISI 304/20 (100 шт/уп) REXANT</t>
  </si>
  <si>
    <t>07-1502</t>
  </si>
  <si>
    <t>Скрепа бандажная AISI 304/20 (100 шт/уп) REXANT</t>
  </si>
  <si>
    <t>3. 1. 4. Червячные хомуты</t>
  </si>
  <si>
    <t>3. 1. 4. 1. Хомуты стальные червячные</t>
  </si>
  <si>
    <t>07-0608</t>
  </si>
  <si>
    <t>Хомут червячный  8-12-0,7 мм, (упак. 50 шт)  REXANT</t>
  </si>
  <si>
    <t>07-0610-8</t>
  </si>
  <si>
    <t>Хомут червячный 10-16-0,7 мм, (упак. 2 шт)  PROconnect</t>
  </si>
  <si>
    <t>07-0610</t>
  </si>
  <si>
    <t>Хомут червячный 10-16-0,7 мм, (упак. 50 шт)  REXANT</t>
  </si>
  <si>
    <t>07-0610-1</t>
  </si>
  <si>
    <t>Хомут червячный 10-16-0,7 мм, с ключом W (упак. 50 шт)  REXANT</t>
  </si>
  <si>
    <t>07-0612</t>
  </si>
  <si>
    <t>Хомут червячный 12-20-0,7 мм, (упак. 50 шт)  REXANT</t>
  </si>
  <si>
    <t>07-0616-8</t>
  </si>
  <si>
    <t>Хомут червячный 16-27-0,7 мм, (упак. 2 шт)  PROconnect</t>
  </si>
  <si>
    <t>07-0616</t>
  </si>
  <si>
    <t>Хомут червячный 16-27-0,7 мм, (упак. 50 шт)  REXANT</t>
  </si>
  <si>
    <t>07-0616-1</t>
  </si>
  <si>
    <t>Хомут червячный 16-27-0,7 мм, с ключом W (упак. 50 шт)  REXANT</t>
  </si>
  <si>
    <t>07-0620</t>
  </si>
  <si>
    <t>Хомут червячный 20-32-0,7 мм, (упак. 50 шт)  REXANT</t>
  </si>
  <si>
    <t>07-0620-1</t>
  </si>
  <si>
    <t>Хомут червячный 20-32-0,7 мм, с ключом W (упак. 50 шт)  REXANT</t>
  </si>
  <si>
    <t>07-0620-12</t>
  </si>
  <si>
    <t>Хомут червячный 20-32/12-0,8мм, (50 шт/уп) REXANT</t>
  </si>
  <si>
    <t>07-0625-12</t>
  </si>
  <si>
    <t>Хомут червячный 25-40/12-0,8мм, (50 шт/уп) REXANT</t>
  </si>
  <si>
    <t>07-0632</t>
  </si>
  <si>
    <t>Хомут червячный 32-50-0,7 мм, (упак. 50 шт)  REXANT</t>
  </si>
  <si>
    <t>07-0632-12</t>
  </si>
  <si>
    <t>Хомут червячный 32-50/12-0,8мм, (25 шт/уп) REXANT</t>
  </si>
  <si>
    <t>07-0632-1</t>
  </si>
  <si>
    <t>Хомут червячный 32-50-0,7 мм, с ключом W (упак. 50 шт)  REXANT</t>
  </si>
  <si>
    <t>07-0640</t>
  </si>
  <si>
    <t>Хомут червячный 40-60-0,7 мм, (уп. 50 шт)  REXANT</t>
  </si>
  <si>
    <t>07-0640-8</t>
  </si>
  <si>
    <t>Хомут червячный 40-60-0,7 мм, (упак. 2 шт)  PROconnect</t>
  </si>
  <si>
    <t>07-0650</t>
  </si>
  <si>
    <t>Хомут червячный 50-70-0,7 мм, (упак. 25 шт)  REXANT</t>
  </si>
  <si>
    <t>07-0650-12</t>
  </si>
  <si>
    <t>Хомут червячный 50-70/12-0,8мм, (25 шт/уп) REXANT</t>
  </si>
  <si>
    <t>07-0660</t>
  </si>
  <si>
    <t>Хомут червячный 60-80-0,7 мм, (упак. 25 шт)  REXANT</t>
  </si>
  <si>
    <t>07-0670</t>
  </si>
  <si>
    <t>Хомут червячный 70-90-0,7 мм, (упак. 25 шт)  REXANT</t>
  </si>
  <si>
    <t>3. 1. 4. 2. Хомуты червячные из нержавеющей стали</t>
  </si>
  <si>
    <t>07-0712</t>
  </si>
  <si>
    <t>Хомут червячный 12-20/9-0,6мм, нержавеющая сталь W2, (50 шт/уп) REXANT</t>
  </si>
  <si>
    <t>07-0712-1</t>
  </si>
  <si>
    <t>Хомут червячный 12-20/9-0,7мм, с ключом, нержавеющая сталь W2, (50 шт/уп) REXANT</t>
  </si>
  <si>
    <t>07-0716</t>
  </si>
  <si>
    <t>Хомут червячный 16-25/9-0,6мм, нержавеющая сталь W2, (50 шт/уп) REXANT</t>
  </si>
  <si>
    <t>07-0716-1</t>
  </si>
  <si>
    <t>Хомут червячный 16-25/9-0,7мм, с ключом, нержавеющая сталь W2, (50 шт/уп) REXANT</t>
  </si>
  <si>
    <t>07-0716-12</t>
  </si>
  <si>
    <t>Хомут червячный 16-27/12-0,8мм, нержавеющая сталь W2, (50 шт/уп) REXANT</t>
  </si>
  <si>
    <t>07-0720-12</t>
  </si>
  <si>
    <t>Хомут червячный 20-32/12-0,8мм, нержавеющая сталь W2, (50 шт/уп) REXANT</t>
  </si>
  <si>
    <t>07-0720</t>
  </si>
  <si>
    <t>Хомут червячный 20-32/9-0,6мм, нержавеющая сталь W2, (50 шт/уп) REXANT</t>
  </si>
  <si>
    <t>07-0725-12</t>
  </si>
  <si>
    <t>Хомут червячный 25-40/12-0,8мм, нержавеющая сталь W2, (50 шт/уп) REXANT</t>
  </si>
  <si>
    <t>07-0725</t>
  </si>
  <si>
    <t>Хомут червячный 25-40/9-0,6мм, нержавеющая сталь W2, (50 шт/уп) REXANT</t>
  </si>
  <si>
    <t>07-0725-1</t>
  </si>
  <si>
    <t>Хомут червячный 25-40/9-0,7мм, с ключом, нержавеющая сталь W2, (50 шт/уп) REXANT</t>
  </si>
  <si>
    <t>07-0750-12</t>
  </si>
  <si>
    <t>Хомут червячный 50-70/12-0,8мм, нержавеющая сталь W2, (25 шт/уп) REXANT</t>
  </si>
  <si>
    <t>07-0760-12</t>
  </si>
  <si>
    <t>Хомут червячный 60-80/12-0,8мм, нержавеющая сталь W2, (25 шт/уп) REXANT</t>
  </si>
  <si>
    <t>07-0770</t>
  </si>
  <si>
    <t>Хомут червячный 70-90/9-0,6мм, нержавеющая сталь W2, (25 шт/уп) REXANT</t>
  </si>
  <si>
    <t>07-0708-1</t>
  </si>
  <si>
    <t>Хомут червячный 8-12/9-0,7мм, с ключом, нержавеющая сталь W2, (50 шт/уп) REXANT</t>
  </si>
  <si>
    <t>07-0790-12</t>
  </si>
  <si>
    <t>Хомут червячный 90-110/12-0,8мм, нержавеющая сталь W2, (10 шт/уп) REXANT</t>
  </si>
  <si>
    <t>3. 1. 5. Силовые хомуты</t>
  </si>
  <si>
    <t>3. 1. 5. 2. Хомуты стяжные mini</t>
  </si>
  <si>
    <t>07-1110</t>
  </si>
  <si>
    <t>Хомут стяжной Мини 10-12-0,5мм, (20 шт/уп) REXANT</t>
  </si>
  <si>
    <t>3. 2. Крепеж</t>
  </si>
  <si>
    <t>3. 2. 1. Крепеж для стяжек</t>
  </si>
  <si>
    <t>3. 2. 1. 2. Площадки с монтажным отверстием</t>
  </si>
  <si>
    <t>07-2102-10</t>
  </si>
  <si>
    <t>Площадка для крепления стяжки 22x16х4 мм, белая (10 шт/уп) REXANT</t>
  </si>
  <si>
    <t>07-2102</t>
  </si>
  <si>
    <t>Площадка для крепления стяжки 22x16х4 мм, белая (100 шт/уп) REXANT</t>
  </si>
  <si>
    <t>07-2103-10</t>
  </si>
  <si>
    <t>Площадка для крепления стяжки 22x16х4 мм, черная (10 шт/уп) REXANT</t>
  </si>
  <si>
    <t>07-2103</t>
  </si>
  <si>
    <t>Площадка для крепления стяжки 22x16х4 мм, черная (100 шт/уп) REXANT</t>
  </si>
  <si>
    <t>07-2104</t>
  </si>
  <si>
    <t>Площадка для крепления стяжки 29x15х5 мм, белая (100 шт/уп) REXANT</t>
  </si>
  <si>
    <t>07-2105</t>
  </si>
  <si>
    <t>Площадка для крепления стяжки 29x15х5 мм, черная (100 шт/уп) REXANT</t>
  </si>
  <si>
    <t>3. 2. 1. 3. Площадки для прямого монтажа</t>
  </si>
  <si>
    <t>07-2110</t>
  </si>
  <si>
    <t>Площадка под стяжку для прямого монтажа 22x16мм, белая (100 шт/уп) REXANT</t>
  </si>
  <si>
    <t>07-2111</t>
  </si>
  <si>
    <t>Площадка под стяжку для прямого монтажа 22x16мм, черная (100 шт/уп) REXANT</t>
  </si>
  <si>
    <t>07-2107</t>
  </si>
  <si>
    <t>Площадка под стяжку для прямого монтажа 30х20мм, белая (100 шт/уп) REXANT</t>
  </si>
  <si>
    <t>07-2108</t>
  </si>
  <si>
    <t>Площадка под стяжку для прямого монтажа 30х20мм, серая (100 шт/уп) REXANT</t>
  </si>
  <si>
    <t>07-2106</t>
  </si>
  <si>
    <t>Площадка под стяжку для прямого монтажа 30х20мм, черная (100 шт/уп) REXANT</t>
  </si>
  <si>
    <t>07-2109</t>
  </si>
  <si>
    <t>Площадка под стяжку усиленная для прямого монтажа 35х35мм, черная (50 шт/уп) REXANT</t>
  </si>
  <si>
    <t>3. 2. 1. 4. Площадки самоклеящиеся</t>
  </si>
  <si>
    <t>07-2228</t>
  </si>
  <si>
    <t>Площадка под винт самоклеящаяся 28х28 мм, белая (100 шт/уп) REXANT</t>
  </si>
  <si>
    <t>07-2020-1</t>
  </si>
  <si>
    <t>Площадка самоклеящаяся 20х20 мм, белая (10 шт/уп) REXANT</t>
  </si>
  <si>
    <t>07-2020</t>
  </si>
  <si>
    <t>Площадка самоклеящаяся 20х20 мм, белая (100 шт/уп) REXANT</t>
  </si>
  <si>
    <t>07-2021-10</t>
  </si>
  <si>
    <t>Площадка самоклеящаяся 20х20 мм, черная (10 шт/уп) REXANT</t>
  </si>
  <si>
    <t>07-2021</t>
  </si>
  <si>
    <t>Площадка самоклеящаяся 20х20 мм, черная (100 шт/уп) REXANT</t>
  </si>
  <si>
    <t>07-2025-1</t>
  </si>
  <si>
    <t>Площадка самоклеящаяся 25х25 мм, белая (10 шт/уп) REXANT</t>
  </si>
  <si>
    <t>07-2025</t>
  </si>
  <si>
    <t>Площадка самоклеящаяся 25х25 мм, белая (100 шт/уп) REXANT</t>
  </si>
  <si>
    <t>07-2026-10</t>
  </si>
  <si>
    <t>Площадка самоклеящаяся 25х25 мм, черная (10 шт/уп) REXANT</t>
  </si>
  <si>
    <t>07-2026</t>
  </si>
  <si>
    <t>Площадка самоклеящаяся 25х25 мм, черная (100 шт/уп) REXANT</t>
  </si>
  <si>
    <t>07-2030</t>
  </si>
  <si>
    <t>Площадка самоклеящаяся 30х30 мм, белая (100 шт/уп) REXANT</t>
  </si>
  <si>
    <t>07-2031</t>
  </si>
  <si>
    <t>Площадка самоклеящаяся 30х30 мм, черная (100 шт/уп) REXANT</t>
  </si>
  <si>
    <t>3. 2. 2. Крепеж для кабеля</t>
  </si>
  <si>
    <t>3. 2. 2. 1. Скоба под винт</t>
  </si>
  <si>
    <t>07-4412</t>
  </si>
  <si>
    <t>Скоба под винт 12мм, белая (50 шт/уп) REXANT</t>
  </si>
  <si>
    <t>07-4412-1</t>
  </si>
  <si>
    <t>Скоба под винт 12мм, черная (50 шт/уп) REXANT</t>
  </si>
  <si>
    <t>07-4416</t>
  </si>
  <si>
    <t>Скоба под винт 16мм, белая (50 шт/уп) REXANT</t>
  </si>
  <si>
    <t>07-4416-1</t>
  </si>
  <si>
    <t>Скоба под винт 16мм, черная (50 шт/уп) REXANT</t>
  </si>
  <si>
    <t>07-4420</t>
  </si>
  <si>
    <t>Скоба под винт 20мм, белая (50 шт/уп) REXANT</t>
  </si>
  <si>
    <t>07-4420-1</t>
  </si>
  <si>
    <t>Скоба под винт 20мм, черная (50 шт/уп) REXANT</t>
  </si>
  <si>
    <t>14.01.2027</t>
  </si>
  <si>
    <t>07-4405</t>
  </si>
  <si>
    <t>Скоба под винт 5мм, белая (50 шт/уп) REXANT</t>
  </si>
  <si>
    <t>07-4405-1</t>
  </si>
  <si>
    <t>Скоба под винт 5мм, черная (50 шт/уп) REXANT</t>
  </si>
  <si>
    <t>07-4406</t>
  </si>
  <si>
    <t>Скоба под винт 6мм, белая (50 шт/уп) REXANT</t>
  </si>
  <si>
    <t>07-4406-1</t>
  </si>
  <si>
    <t>Скоба под винт 6мм, черная (50 шт/уп) REXANT</t>
  </si>
  <si>
    <t>07-4409</t>
  </si>
  <si>
    <t>Скоба под винт 9мм, белая (50 шт/уп) REXANT</t>
  </si>
  <si>
    <t>07-4409-1</t>
  </si>
  <si>
    <t>Скоба под винт 9мм, черная (50 шт/уп) REXANT</t>
  </si>
  <si>
    <t>3. 2. 2. 2. Скоба с гвоздём</t>
  </si>
  <si>
    <t>07-4010</t>
  </si>
  <si>
    <t>Крепеж кабеля круглый 10мм, белый (50 шт/уп) REXANT</t>
  </si>
  <si>
    <t>07-4012</t>
  </si>
  <si>
    <t>Крепеж кабеля круглый 12мм, белый (50 шт/уп) REXANT</t>
  </si>
  <si>
    <t>07-4014</t>
  </si>
  <si>
    <t>Крепеж кабеля круглый 14мм, белый (50 шт/уп) REXANT</t>
  </si>
  <si>
    <t>07-4016</t>
  </si>
  <si>
    <t>Крепеж кабеля круглый 16мм, белый (50 шт/уп) REXANT</t>
  </si>
  <si>
    <t>07-4020</t>
  </si>
  <si>
    <t>Крепеж кабеля круглый 20мм, белый (50 шт/уп) REXANT</t>
  </si>
  <si>
    <t>07-4003</t>
  </si>
  <si>
    <t>Крепеж кабеля круглый 3мм, белый (50 шт/уп) REXANT</t>
  </si>
  <si>
    <t>07-4004</t>
  </si>
  <si>
    <t>Крепеж кабеля круглый 4мм, белый (50 шт/уп) REXANT</t>
  </si>
  <si>
    <t>07-4005</t>
  </si>
  <si>
    <t>Крепеж кабеля круглый 5мм, белый (50 шт/уп) REXANT</t>
  </si>
  <si>
    <t>07-4006</t>
  </si>
  <si>
    <t>Крепеж кабеля круглый 6мм, белый (50 шт/уп) REXANT</t>
  </si>
  <si>
    <t>07-4007</t>
  </si>
  <si>
    <t>Крепеж кабеля круглый 7мм, белый (50 шт/уп) REXANT</t>
  </si>
  <si>
    <t>15.01.2027</t>
  </si>
  <si>
    <t>07-4008</t>
  </si>
  <si>
    <t>Крепеж кабеля круглый 8мм, белый (50 шт/уп) REXANT</t>
  </si>
  <si>
    <t>07-4009</t>
  </si>
  <si>
    <t>Крепеж кабеля круглый 9мм, белый (50 шт/уп) REXANT</t>
  </si>
  <si>
    <t>07-4209</t>
  </si>
  <si>
    <t>Крепеж кабеля плоский 10х3 мм, белый (50 шт/уп) REXANT</t>
  </si>
  <si>
    <t>07-4210</t>
  </si>
  <si>
    <t>Крепеж кабеля плоский 10х4 мм, белый (50 шт/уп) REXANT</t>
  </si>
  <si>
    <t>07-4212</t>
  </si>
  <si>
    <t>Крепеж кабеля плоский 12х6 мм, белый (50 шт/уп) REXANT</t>
  </si>
  <si>
    <t>07-4214</t>
  </si>
  <si>
    <t>Крепеж кабеля плоский 14х7 мм, белый (50 шт/уп) REXANT</t>
  </si>
  <si>
    <t>07-4204</t>
  </si>
  <si>
    <t>Крепеж кабеля плоский 4х2 мм, белый (50 шт/уп) REXANT</t>
  </si>
  <si>
    <t>07-4205</t>
  </si>
  <si>
    <t>Крепеж кабеля плоский 5х2 мм, белый (50 шт/уп) REXANT</t>
  </si>
  <si>
    <t>07-4206</t>
  </si>
  <si>
    <t>Крепеж кабеля плоский 6х4 мм, белый (50 шт/уп) REXANT</t>
  </si>
  <si>
    <t>07-4207</t>
  </si>
  <si>
    <t>Крепеж кабеля плоский 8х3 мм, белый (50 шт/уп) REXANT</t>
  </si>
  <si>
    <t>3. 2. 2. 3. Дюбель-хомуты</t>
  </si>
  <si>
    <t>07-4502-2</t>
  </si>
  <si>
    <t>Дюбель-хомут 11-18мм, круглый, белый (100 шт/уп) PROconnect</t>
  </si>
  <si>
    <t>07-4502</t>
  </si>
  <si>
    <t>Дюбель-хомут 11-18мм, круглый, белый (100 шт/уп) REXANT</t>
  </si>
  <si>
    <t>07-4502-3</t>
  </si>
  <si>
    <t>Дюбель-хомут 11-18мм, круглый, серый (100 шт/уп) PROconnect</t>
  </si>
  <si>
    <t>07-4522</t>
  </si>
  <si>
    <t>Дюбель-хомут 11-18мм, круглый, черный (100 шт/уп) PROconnect</t>
  </si>
  <si>
    <t>07-4503-2</t>
  </si>
  <si>
    <t>Дюбель-хомут 19-25мм, круглый, белый (100 шт/уп) PROconnect</t>
  </si>
  <si>
    <t>07-4503</t>
  </si>
  <si>
    <t>Дюбель-хомут 19-25мм, круглый, белый (100 шт/уп) REXANT</t>
  </si>
  <si>
    <t>07-4503-3</t>
  </si>
  <si>
    <t>Дюбель-хомут 19-25мм, круглый, серый (100 шт/уп) PROconnect</t>
  </si>
  <si>
    <t>07-4523</t>
  </si>
  <si>
    <t>Дюбель-хомут 19-25мм, круглый, черный (100 шт/уп) PROconnect</t>
  </si>
  <si>
    <t>07-4501-2</t>
  </si>
  <si>
    <t>Дюбель-хомут 5-10мм, круглый, белый (100 шт/уп) PROconnect</t>
  </si>
  <si>
    <t>07-4501</t>
  </si>
  <si>
    <t>Дюбель-хомут 5-10мм, круглый, белый (100 шт/уп) REXANT</t>
  </si>
  <si>
    <t>07-4501-3</t>
  </si>
  <si>
    <t>Дюбель-хомут 5-10мм, круглый, серый (100 шт/уп) PROconnect</t>
  </si>
  <si>
    <t>07-4521</t>
  </si>
  <si>
    <t>Дюбель-хомут 5-10мм, круглый, черный (100 шт/уп) PROconnect</t>
  </si>
  <si>
    <t>07-4611</t>
  </si>
  <si>
    <t>Дюбель-хомут 5-10мм, прямоугольный, белый (100 шт/уп) PROconnect</t>
  </si>
  <si>
    <t>07-4610</t>
  </si>
  <si>
    <t>Дюбель-хомут 5-10мм, прямоугольный, белый (100 шт/уп) REXANT</t>
  </si>
  <si>
    <t>07-4621</t>
  </si>
  <si>
    <t>Дюбель-хомут 5-10мм, прямоугольный, черный (100 шт/уп) PROconnect</t>
  </si>
  <si>
    <t>07-4608</t>
  </si>
  <si>
    <t>Дюбель-хомут 5-8мм, прямоугольный, белый (100 шт/уп) REXANT</t>
  </si>
  <si>
    <t>07-4609</t>
  </si>
  <si>
    <t>Дюбель-хомут 5-8мм, прямоугольный, черный (100 шт/уп) REXANT</t>
  </si>
  <si>
    <t>07-4612</t>
  </si>
  <si>
    <t>Дюбель-хомут 6-12мм, прямоугольный, белый (100 шт/уп) REXANT</t>
  </si>
  <si>
    <t>07-4614</t>
  </si>
  <si>
    <t>Дюбель-хомут 6-12мм, прямоугольный, черный (100 шт/уп) REXANT</t>
  </si>
  <si>
    <t>07-4615</t>
  </si>
  <si>
    <t>Дюбель-хомут Т-образный для двух кабелей 2х12мм, белый (100 шт/уп) REXANT</t>
  </si>
  <si>
    <t>3. 2. 2. 4. Кабельный бандаж</t>
  </si>
  <si>
    <t>07-7012</t>
  </si>
  <si>
    <t>Кабельный спиральный бандаж, диаметр 12мм, длина 2м, прозрачный REXANT</t>
  </si>
  <si>
    <t>07-7015</t>
  </si>
  <si>
    <t>Кабельный спиральный бандаж, диаметр 15мм, длина 2м, прозрачный REXANT</t>
  </si>
  <si>
    <t>07-7006</t>
  </si>
  <si>
    <t>Кабельный спиральный бандаж, диаметр 6мм, длина 2м, прозрачный REXANT</t>
  </si>
  <si>
    <t>3. 2. 2. 5. Лента полоса монтажная</t>
  </si>
  <si>
    <t>07-7123-4</t>
  </si>
  <si>
    <t>Лента-полоса монтажная оцинкованная прямая, перфорированная тарная 20х0,55 мм (рулон 25м) REXANT</t>
  </si>
  <si>
    <t>07-7122-4</t>
  </si>
  <si>
    <t>Лента-полоса монтажная оцинкованная прямая, упаковочная 20х0,55 мм (рулон 25м) REXANT</t>
  </si>
  <si>
    <t>07-7212-4</t>
  </si>
  <si>
    <t>Лента-полоса монтажная оцинкованная, перфорированная волна 12х0,55 мм (рулон 25м) REXANT</t>
  </si>
  <si>
    <t>07-7220-4</t>
  </si>
  <si>
    <t>Лента-полоса монтажная оцинкованная, перфорированная волна 17х0,55 мм (рулон 25м) REXANT</t>
  </si>
  <si>
    <t>07-7112-4</t>
  </si>
  <si>
    <t>Лента-полоса монтажная оцинкованная, перфорированная прямая 12х0,55 мм (рулон 25м) REXANT</t>
  </si>
  <si>
    <t>07-7120-4</t>
  </si>
  <si>
    <t>Лента-полоса монтажная оцинкованная, перфорированная прямая 20х0,55 мм (рулон 25м) REXANT</t>
  </si>
  <si>
    <t>07-7107-4</t>
  </si>
  <si>
    <t>Лента-полоса монтажная оцинкованная, перфорированная прямая 20х0,70 мм (рулон 25м) REXANT</t>
  </si>
  <si>
    <t>3. 2. 2. 6. Площадки самоклеящиеся c клипсой</t>
  </si>
  <si>
    <t>07-2317-10</t>
  </si>
  <si>
    <t>Площадка самоклеящаяся c клипсой под шлейф 17х12 мм (10 шт/уп) REXANT</t>
  </si>
  <si>
    <t>07-2317</t>
  </si>
  <si>
    <t>Площадка самоклеящаяся c клипсой под шлейф 17х12 мм (100 шт/уп) REXANT</t>
  </si>
  <si>
    <t>071-2317-10</t>
  </si>
  <si>
    <t>Площадка самоклеящаяся c клипсой 17х12 мм для крепления новогодней гирлянды (10 шт/уп) NEON-NIGHT</t>
  </si>
  <si>
    <t>07-2320</t>
  </si>
  <si>
    <t>Площадка самоклеящаяся c клипсой под шлейф 20х14 мм (100 шт/уп) REXANT</t>
  </si>
  <si>
    <t>071-2320-10</t>
  </si>
  <si>
    <t>Площадка самоклеящаяся c клипсой 20х14 мм для крепления новогодней гирлянды (10 шт/уп) NEON-NIGHT</t>
  </si>
  <si>
    <t>07-2420</t>
  </si>
  <si>
    <t>Площадка самоклеящаяся металлическая с клипсой под шлейф 20x10 мм (100 шт/уп) REXANT</t>
  </si>
  <si>
    <t>07-2430</t>
  </si>
  <si>
    <t>Площадка самоклеящаяся металлическая с клипсой под шлейф 30x20 мм (100 шт/уп) REXANT</t>
  </si>
  <si>
    <t>3. 2. 2. 8. Подвес для крепления кабеля к тросу</t>
  </si>
  <si>
    <t>07-2160</t>
  </si>
  <si>
    <t>Подвес для крепления кабеля к тросу 160х12 мм, черный (100 шт/уп) REXANT</t>
  </si>
  <si>
    <t>3. 2. 3. Трос</t>
  </si>
  <si>
    <t>3. 2. 3. 1. Трос стальной DIN</t>
  </si>
  <si>
    <t>09-5520</t>
  </si>
  <si>
    <t>Трос стальной DIN 3055 (6x7) М2 (бобина 200м) REXANT</t>
  </si>
  <si>
    <t>09-5530</t>
  </si>
  <si>
    <t>Трос стальной DIN 3055 (6x7) М3 (бобина 200м) REXANT</t>
  </si>
  <si>
    <t>3. 2. 3. 2. Трос стальной в ПВХ оплетке</t>
  </si>
  <si>
    <t>09-5300</t>
  </si>
  <si>
    <t>Трос стальной в ПВХ оплетке диаметр 10,0мм, прозрачный (катушка 50м) REXANT</t>
  </si>
  <si>
    <t>09-5120-1</t>
  </si>
  <si>
    <t>Трос стальной в ПВХ оплетке диаметр 2,0мм, красный (моток 20м) REXANT</t>
  </si>
  <si>
    <t>09-5320</t>
  </si>
  <si>
    <t>Трос стальной в ПВХ оплетке диаметр 2,0мм, прозрачный (бухта 200м) REXANT</t>
  </si>
  <si>
    <t>09-5120</t>
  </si>
  <si>
    <t>Трос стальной в ПВХ оплетке диаметр 2,0мм, прозрачный (моток 20м) REXANT</t>
  </si>
  <si>
    <t>09-5125-1</t>
  </si>
  <si>
    <t>Трос стальной в ПВХ оплетке диаметр 2,5мм, красный (моток 20м) REXANT</t>
  </si>
  <si>
    <t>09-5325</t>
  </si>
  <si>
    <t>Трос стальной в ПВХ оплетке диаметр 2,5мм, прозрачный (бухта 200м) REXANT</t>
  </si>
  <si>
    <t>09-5125</t>
  </si>
  <si>
    <t>Трос стальной в ПВХ оплетке диаметр 2,5мм, прозрачный (моток 20м) REXANT</t>
  </si>
  <si>
    <t>09-5125-3</t>
  </si>
  <si>
    <t>Трос стальной в ПВХ оплетке диаметр 2,5мм, черный (моток 20м) REXANT</t>
  </si>
  <si>
    <t>09-5330</t>
  </si>
  <si>
    <t>Трос стальной в ПВХ оплетке диаметр 3,0мм, прозрачный (бухта 200м) REXANT</t>
  </si>
  <si>
    <t>09-5130</t>
  </si>
  <si>
    <t>Трос стальной в ПВХ оплетке диаметр 3,0мм, прозрачный (моток 20м) REXANT</t>
  </si>
  <si>
    <t>09-5335</t>
  </si>
  <si>
    <t>Трос стальной в ПВХ оплетке диаметр 3,5мм, прозрачный (бухта 200м) REXANT</t>
  </si>
  <si>
    <t>09-5240</t>
  </si>
  <si>
    <t>Трос стальной в ПВХ оплетке диаметр 4,0мм, прозрачный (бухта 100м) REXANT</t>
  </si>
  <si>
    <t>09-5140</t>
  </si>
  <si>
    <t>Трос стальной в ПВХ оплетке диаметр 4,0мм, прозрачный (моток 20м) REXANT</t>
  </si>
  <si>
    <t>09-5250</t>
  </si>
  <si>
    <t>Трос стальной в ПВХ оплетке диаметр 5,0мм, прозрачный (бухта 100м) REXANT</t>
  </si>
  <si>
    <t>09-5260</t>
  </si>
  <si>
    <t>Трос стальной в ПВХ оплетке диаметр 6,0мм, прозрачный (бухта 150м) REXANT</t>
  </si>
  <si>
    <t>3. 2. 3. 3. Трос нержавеющий</t>
  </si>
  <si>
    <t>09-5502</t>
  </si>
  <si>
    <t>Трос нержавеющий диаметр 2мм (моток 20м) REXANT</t>
  </si>
  <si>
    <t>09-5503</t>
  </si>
  <si>
    <t>Трос нержавеющий диаметр 3мм (моток 20м) REXANT</t>
  </si>
  <si>
    <t>09-5504</t>
  </si>
  <si>
    <t>Трос нержавеющий диаметр 4мм (моток 20м) REXANT</t>
  </si>
  <si>
    <t>09-5505</t>
  </si>
  <si>
    <t>Трос нержавеющий диаметр 5мм (моток 20м) REXANT</t>
  </si>
  <si>
    <t>3. 2. 4. Такелаж</t>
  </si>
  <si>
    <t>3. 2. 4. 1. Зажим для троса</t>
  </si>
  <si>
    <t>09-5600</t>
  </si>
  <si>
    <t>Зажим для троса DIN 741, диаметр 10мм REXANT</t>
  </si>
  <si>
    <t>09-5603</t>
  </si>
  <si>
    <t>Зажим для троса DIN 741, диаметр 3/4мм REXANT</t>
  </si>
  <si>
    <t>09-5606</t>
  </si>
  <si>
    <t>Зажим для троса DIN 741, диаметр 6мм REXANT</t>
  </si>
  <si>
    <t>09-5691</t>
  </si>
  <si>
    <t>Зажим для троса двусторонний 2мм</t>
  </si>
  <si>
    <t>09-5692</t>
  </si>
  <si>
    <t>Зажим для троса двусторонний 3мм</t>
  </si>
  <si>
    <t>09-5693</t>
  </si>
  <si>
    <t>Зажим для троса двусторонний 4мм</t>
  </si>
  <si>
    <t>09-5694</t>
  </si>
  <si>
    <t>Зажим для троса двусторонний 5мм</t>
  </si>
  <si>
    <t>09-5695</t>
  </si>
  <si>
    <t>Зажим для троса двусторонний 6мм</t>
  </si>
  <si>
    <t>09-5681</t>
  </si>
  <si>
    <t>Зажим для троса односторонний 2мм</t>
  </si>
  <si>
    <t>09-5682</t>
  </si>
  <si>
    <t>Зажим для троса односторонний 3мм</t>
  </si>
  <si>
    <t>09-5683</t>
  </si>
  <si>
    <t>Зажим для троса односторонний 4мм</t>
  </si>
  <si>
    <t>09-5685</t>
  </si>
  <si>
    <t>Зажим для троса односторонний 6мм</t>
  </si>
  <si>
    <t>3. 2. 4. 2. Карабин</t>
  </si>
  <si>
    <t>09-5610</t>
  </si>
  <si>
    <t>Карабин пожарный DIN 5299С, 10,0мм REXANT</t>
  </si>
  <si>
    <t>09-5615</t>
  </si>
  <si>
    <t>Карабин пожарный DIN 5299С, 5,0мм REXANT</t>
  </si>
  <si>
    <t>09-5616</t>
  </si>
  <si>
    <t>Карабин пожарный DIN 5299С, 6,0мм REXANT</t>
  </si>
  <si>
    <t>09-5619</t>
  </si>
  <si>
    <t>Карабин пожарный DIN 5299С, 9,0мм REXANT</t>
  </si>
  <si>
    <t>09-5675</t>
  </si>
  <si>
    <t>Карабин с гайкой DIN 5299D, 10,0мм</t>
  </si>
  <si>
    <t>09-5671</t>
  </si>
  <si>
    <t>Карабин с гайкой DIN 5299D, 5,0мм</t>
  </si>
  <si>
    <t>09-5672</t>
  </si>
  <si>
    <t>Карабин с гайкой DIN 5299D, 6,0мм</t>
  </si>
  <si>
    <t>09-5674</t>
  </si>
  <si>
    <t>Карабин с гайкой DIN 5299D, 8,0мм</t>
  </si>
  <si>
    <t>3. 2. 4. 3. Коуш DIN</t>
  </si>
  <si>
    <t>09-5653</t>
  </si>
  <si>
    <t>Коуш DIN 6899, диаметр 3 REXANT</t>
  </si>
  <si>
    <t>09-5655</t>
  </si>
  <si>
    <t>Коуш DIN 6899, диаметр 5 REXANT</t>
  </si>
  <si>
    <t>09-5656</t>
  </si>
  <si>
    <t>Коуш DIN 6899, диаметр 6 REXANT</t>
  </si>
  <si>
    <t>09-5658</t>
  </si>
  <si>
    <t>Коуш DIN 6899, диаметр 8 REXANT</t>
  </si>
  <si>
    <t>3. 2. 4. 4. Крюки</t>
  </si>
  <si>
    <t>09-5663</t>
  </si>
  <si>
    <t>Крюк типа S, диаметр 3 REXANT</t>
  </si>
  <si>
    <t>09-5666</t>
  </si>
  <si>
    <t>Крюк типа S, диаметр 6 REXANT</t>
  </si>
  <si>
    <t>3. 2. 4. 5. Рым-болты/гайки</t>
  </si>
  <si>
    <t>09-5626</t>
  </si>
  <si>
    <t>Рым-болт DIN 580, М6 REXANT</t>
  </si>
  <si>
    <t>09-5628</t>
  </si>
  <si>
    <t>Рым-болт DIN 580, М8 REXANT</t>
  </si>
  <si>
    <t>09-5630</t>
  </si>
  <si>
    <t>Рым-гайка DIN 582, М10 REXANT</t>
  </si>
  <si>
    <t>09-5636</t>
  </si>
  <si>
    <t>Рым-гайка DIN 582, М6 REXANT</t>
  </si>
  <si>
    <t>09-5638</t>
  </si>
  <si>
    <t>Рым-гайка DIN 582, М8 REXANT</t>
  </si>
  <si>
    <t>3. 2. 4. 6. Талреп крюк-кольцо</t>
  </si>
  <si>
    <t>09-5640</t>
  </si>
  <si>
    <t>Талреп крюк-кольцо DIN 1480 М10</t>
  </si>
  <si>
    <t>09-5648</t>
  </si>
  <si>
    <t>Талреп крюк-кольцо DIN 1480 М8</t>
  </si>
  <si>
    <t>3. 3. Скобяные изделия</t>
  </si>
  <si>
    <t>3. 3. 1. Петли для окон, дверей и мебели</t>
  </si>
  <si>
    <t>79-1046</t>
  </si>
  <si>
    <t>Петля карточная 40х50 цинк ЧЕТЫРЕ СЕЗОНА</t>
  </si>
  <si>
    <t>3. 3. 2. Задвижки, крючки, накладки</t>
  </si>
  <si>
    <t>79-1086</t>
  </si>
  <si>
    <t>Задвижка накладная ЗТ-60 Цинк ЧЕТЫРЕ СЕЗОНА</t>
  </si>
  <si>
    <t>79-1082</t>
  </si>
  <si>
    <t>Задвижка накладная 80 цинк ЧЕТЫРЕ СЕЗОНА</t>
  </si>
  <si>
    <t>79-1089</t>
  </si>
  <si>
    <t>Задвижка накладная ШП-40 Полимер ЧЕТЫРЕ СЕЗОНА</t>
  </si>
  <si>
    <t>79-1091</t>
  </si>
  <si>
    <t>Задвижка накладная ШП-60 Полимер ЧЕТЫРЕ СЕЗОНА</t>
  </si>
  <si>
    <t>79-1090</t>
  </si>
  <si>
    <t>Задвижка накладная ШП-60 Цинк ЧЕТЫРЕ СЕЗОНА</t>
  </si>
  <si>
    <t>79-1003</t>
  </si>
  <si>
    <t>Накладка для замка 18х50 цинк ЧЕТЫРЕ СЕЗОНА</t>
  </si>
  <si>
    <t>79-1007</t>
  </si>
  <si>
    <t>Накладка для замка 30х70 цинк ЧЕТЫРЕ СЕЗОНА</t>
  </si>
  <si>
    <t>79-1009</t>
  </si>
  <si>
    <t>Накладка для замка 40х90 гнутая ЧЕТЫРЕ СЕЗОНА</t>
  </si>
  <si>
    <t>79-1010</t>
  </si>
  <si>
    <t>Накладка для замка 40х90 цинк гнутая  ЧЕТЫРЕ СЕЗОНА</t>
  </si>
  <si>
    <t>3. 4 Наборы и органайзеры</t>
  </si>
  <si>
    <t>3. 4. 1. Наборы крепежа</t>
  </si>
  <si>
    <t>KR-01-3101-18</t>
  </si>
  <si>
    <t>Набор болтов, гаек и шайб (450 шт/уп) KRANZ</t>
  </si>
  <si>
    <t>KR-01-3101-13</t>
  </si>
  <si>
    <t>Набор быстросъемных стопорных колец 1,5-22мм (300 шт/уп) KRANZ</t>
  </si>
  <si>
    <t>KR-01-3101-19</t>
  </si>
  <si>
    <t>Набор вытяжных заклепок (320 шт/уп) KRANZ</t>
  </si>
  <si>
    <t>KR-01-3101-12</t>
  </si>
  <si>
    <t>Набор гвоздей (1260 шт/уп) KRANZ</t>
  </si>
  <si>
    <t>KR-01-3101-15</t>
  </si>
  <si>
    <t>Набор игольчатых пружинных шплинтов (150 шт/уп) KRANZ</t>
  </si>
  <si>
    <t>KR-01-3101-04</t>
  </si>
  <si>
    <t>Набор картинного крепежа (116 шт/уп) KRANZ</t>
  </si>
  <si>
    <t>KR-01-3101-14</t>
  </si>
  <si>
    <t>Набор наружных стопорных колец 3-32мм (300 шт/уп) KRANZ</t>
  </si>
  <si>
    <t>KR-01-3101-21</t>
  </si>
  <si>
    <t>Набор плоских и гроверных шайб (200 шт/уп) KRANZ</t>
  </si>
  <si>
    <t>KR-01-3101-20</t>
  </si>
  <si>
    <t>Набор пружин (200 шт/уп) KRANZ</t>
  </si>
  <si>
    <t>KR-01-3101-16</t>
  </si>
  <si>
    <t>Набор прямых шплинтов (555 шт/уп) KRANZ</t>
  </si>
  <si>
    <t>KR-01-3101-17</t>
  </si>
  <si>
    <t>Набор резиновых уплотнительных колец 3-22мм (225 шт/уп) KRANZ</t>
  </si>
  <si>
    <t>KR-01-3101-05</t>
  </si>
  <si>
    <t>Набор саморезов для ДСП (255 шт/уп) KRANZ</t>
  </si>
  <si>
    <t>KR-01-3101-02</t>
  </si>
  <si>
    <t>Набор саморезов для ДСП (510 шт/уп) KRANZ</t>
  </si>
  <si>
    <t>KR-01-3101-11</t>
  </si>
  <si>
    <t>Набор саморезов для ДСП (76 шт/уп) KRANZ</t>
  </si>
  <si>
    <t>KR-01-3101-01</t>
  </si>
  <si>
    <t>Набор саморезов и дюбелей (260 шт/уп) KRANZ</t>
  </si>
  <si>
    <t>KR-01-3101-03</t>
  </si>
  <si>
    <t>Набор саморезов и дюбелей (590 шт/уп) KRANZ</t>
  </si>
  <si>
    <t>KR-01-3101-06</t>
  </si>
  <si>
    <t>Набор саморезов и дюбелей для ДСП (170 шт/уп) KRANZ</t>
  </si>
  <si>
    <t>KR-01-3101-10</t>
  </si>
  <si>
    <t>Набор саморезов по дереву (60 шт/уп) KRANZ</t>
  </si>
  <si>
    <t>KR-01-3101-22</t>
  </si>
  <si>
    <t>Набор шестигранных гаек (120 шт/уп) KRANZ</t>
  </si>
  <si>
    <t>3. 5. Саморезы и шурупы</t>
  </si>
  <si>
    <t>3. 5. 1. Саморез универсальный</t>
  </si>
  <si>
    <t>KR-01-3311-010</t>
  </si>
  <si>
    <t>Саморез универсальный 3,0х16 мм, желтый цинк, короб (500 шт/уп) KRANZ</t>
  </si>
  <si>
    <t>KR-01-3311-011</t>
  </si>
  <si>
    <t>Саморез универсальный 3,0х20 мм, желтый цинк, короб (200 шт/уп) KRANZ</t>
  </si>
  <si>
    <t>1111-0325-2</t>
  </si>
  <si>
    <t>Саморез универсальный 3,0х25 мм, желтый цинк, пакет (1000 шт/уп) KRANZ</t>
  </si>
  <si>
    <t>KR-01-3311-013</t>
  </si>
  <si>
    <t>Саморез универсальный 3,0х30 мм, желтый цинк, короб (200 шт/уп) KRANZ</t>
  </si>
  <si>
    <t>1111-0330-2</t>
  </si>
  <si>
    <t>Саморез универсальный 3,0х30 мм, желтый цинк, пакет (1000 шт/уп) KRANZ</t>
  </si>
  <si>
    <t>KR-01-3311-014</t>
  </si>
  <si>
    <t>Саморез универсальный 3,0х35 мм, желтый цинк, короб (200 шт/уп) KRANZ</t>
  </si>
  <si>
    <t>1111-0335-2</t>
  </si>
  <si>
    <t>Саморез универсальный 3,0х35 мм, желтый цинк, пакет (800 шт/уп) KRANZ</t>
  </si>
  <si>
    <t>KR-01-3311-015</t>
  </si>
  <si>
    <t>Саморез универсальный 3,0х40 мм, желтый цинк, короб (200 шт/уп) KRANZ</t>
  </si>
  <si>
    <t>KR-01-3311-001</t>
  </si>
  <si>
    <t>Саморез универсальный 3,5х16 мм, желтый цинк, короб (200 шт/уп) KRANZ</t>
  </si>
  <si>
    <t>1111-3516-2</t>
  </si>
  <si>
    <t>Саморез универсальный 3,5х16 мм, желтый цинк, пакет (1000 шт/уп) KRANZ</t>
  </si>
  <si>
    <t>KR-01-3311-004</t>
  </si>
  <si>
    <t>Саморез универсальный 3,5х30 мм, желтый цинк, короб (200 шт/уп) KRANZ</t>
  </si>
  <si>
    <t>1111-3530-2</t>
  </si>
  <si>
    <t>Саморез универсальный 3,5х30 мм, желтый цинк, пакет (1000 шт/уп) KRANZ</t>
  </si>
  <si>
    <t>KR-01-3311-005</t>
  </si>
  <si>
    <t>Саморез универсальный 3,5х35 мм, желтый цинк, короб (200 шт/уп) KRANZ</t>
  </si>
  <si>
    <t>1111-3535-5</t>
  </si>
  <si>
    <t>Саморез универсальный 3,5х35 мм, желтый цинк, пакет (25 шт/уп) KRANZ</t>
  </si>
  <si>
    <t>1111-3535-4</t>
  </si>
  <si>
    <t>Саморез универсальный 3,5х35 мм, желтый цинк, пакет (50 шт/уп) KRANZ</t>
  </si>
  <si>
    <t>KR-01-3311-006</t>
  </si>
  <si>
    <t>Саморез универсальный 3,5х40 мм, желтый цинк, короб (200 шт/уп) KRANZ</t>
  </si>
  <si>
    <t>KR-01-3311-024</t>
  </si>
  <si>
    <t>Саморез универсальный 4,0х16 мм, желтый цинк, короб (200 шт/уп) KRANZ</t>
  </si>
  <si>
    <t>1111-0416-2</t>
  </si>
  <si>
    <t>Саморез универсальный 4,0х16 мм, желтый цинк, пакет (1000 шт/уп) KRANZ</t>
  </si>
  <si>
    <t>KR-01-3311-027</t>
  </si>
  <si>
    <t>Саморез универсальный 4,0х30 мм, желтый цинк, короб (250 шт/уп) KRANZ</t>
  </si>
  <si>
    <t>KR-01-3311-028</t>
  </si>
  <si>
    <t>Саморез универсальный 4,0х35 мм, желтый цинк, короб (200 шт/уп) KRANZ</t>
  </si>
  <si>
    <t>1111-0435-2</t>
  </si>
  <si>
    <t>Саморез универсальный 4,0х35 мм, желтый цинк, пакет (800 шт/уп) KRANZ</t>
  </si>
  <si>
    <t>KR-01-3311-029</t>
  </si>
  <si>
    <t>Саморез универсальный 4,0х40 мм, желтый цинк, короб (200 шт/уп) KRANZ</t>
  </si>
  <si>
    <t>KR-01-3311-031</t>
  </si>
  <si>
    <t>Саморез универсальный 4,0х50 мм, желтый цинк, короб (200 шт/уп) KRANZ</t>
  </si>
  <si>
    <t>KR-01-3311-020</t>
  </si>
  <si>
    <t>Саморез универсальный 4,5х50 мм, желтый цинк, короб (200 шт/уп) KRANZ</t>
  </si>
  <si>
    <t>KR-01-3311-039</t>
  </si>
  <si>
    <t>Саморез универсальный 5,0х40 мм, желтый цинк, короб (200 шт/уп) KRANZ</t>
  </si>
  <si>
    <t>1111-0540-4</t>
  </si>
  <si>
    <t>Саморез универсальный 5,0х40 мм, желтый цинк, пакет (20 шт/уп) KRANZ</t>
  </si>
  <si>
    <t>KR-01-3311-041</t>
  </si>
  <si>
    <t>Саморез универсальный 5,0х50 мм, желтый цинк, короб (100 шт/уп) KRANZ</t>
  </si>
  <si>
    <t>KR-01-3311-042</t>
  </si>
  <si>
    <t>Саморез универсальный 5,0х60 мм, желтый цинк, короб (100 шт/уп) KRANZ</t>
  </si>
  <si>
    <t>KR-01-3311-043</t>
  </si>
  <si>
    <t>Саморез универсальный 5,0х70 мм, желтый цинк, короб (100 шт/уп) KRANZ</t>
  </si>
  <si>
    <t>3. 5. 2. Саморез ГВЛ</t>
  </si>
  <si>
    <t>KR-01-3321-002</t>
  </si>
  <si>
    <t>Саморез для гипсоволокнистых плит 3,9х25 мм, короб (200 шт/уп) KRANZ</t>
  </si>
  <si>
    <t>KR-01-3321-003</t>
  </si>
  <si>
    <t>Саморез для гипсоволокнистых плит 3,9х30 мм, короб (200 шт/уп) KRANZ</t>
  </si>
  <si>
    <t>KR-01-3321-004</t>
  </si>
  <si>
    <t>Саморез для гипсоволокнистых плит 3,9х35 мм, короб (200 шт/уп) KRANZ</t>
  </si>
  <si>
    <t>1123-3935-2</t>
  </si>
  <si>
    <t>Саморез для гипсоволокнистых плит 3,9х35 мм, пакет (800 шт/уп) KRANZ</t>
  </si>
  <si>
    <t>KR-01-3321-005</t>
  </si>
  <si>
    <t>Саморез для гипсоволокнистых плит 3,9х45 мм, короб (200 шт/уп) KRANZ</t>
  </si>
  <si>
    <t>3. 5. 3. Саморез гипсокартон-дерево</t>
  </si>
  <si>
    <t>KR-01-3331-002</t>
  </si>
  <si>
    <t>Саморез гипсокартон-дерево 3,5х19 мм, короб (200 шт/уп) KRANZ</t>
  </si>
  <si>
    <t>1133-3519-5</t>
  </si>
  <si>
    <t>Саморез гипсокартон-дерево 3,5х19 мм, пакет (20 шт/уп) KRANZ</t>
  </si>
  <si>
    <t>KR-01-3331-003</t>
  </si>
  <si>
    <t>Саморез гипсокартон-дерево 3,5х25 мм, короб (200 шт/уп) KRANZ</t>
  </si>
  <si>
    <t>1133-3525-5</t>
  </si>
  <si>
    <t>Саморез гипсокартон-дерево 3,5х25 мм, пакет (20 шт/уп) KRANZ</t>
  </si>
  <si>
    <t>1133-3525-4</t>
  </si>
  <si>
    <t>Саморез гипсокартон-дерево 3,5х25 мм, пакет (50 шт/уп) KRANZ</t>
  </si>
  <si>
    <t>KR-01-3331-004</t>
  </si>
  <si>
    <t>Саморез гипсокартон-дерево 3,5х32 мм, короб (200 шт/уп) KRANZ</t>
  </si>
  <si>
    <t>1133-3532-5</t>
  </si>
  <si>
    <t>Саморез гипсокартон-дерево 3,5х32 мм, пакет (25 шт/уп) KRANZ</t>
  </si>
  <si>
    <t>KR-01-3331-005</t>
  </si>
  <si>
    <t>Саморез гипсокартон-дерево 3,5х35 мм, короб (200 шт/уп) KRANZ</t>
  </si>
  <si>
    <t>1133-3535-5</t>
  </si>
  <si>
    <t>Саморез гипсокартон-дерево 3,5х35 мм, пакет (25 шт/уп) KRANZ</t>
  </si>
  <si>
    <t>1133-3535-4</t>
  </si>
  <si>
    <t>Саморез гипсокартон-дерево 3,5х35 мм, пакет (50 шт/уп) KRANZ</t>
  </si>
  <si>
    <t>KR-01-3331-006</t>
  </si>
  <si>
    <t>Саморез гипсокартон-дерево 3,5х41 мм, короб (200 шт/уп) KRANZ</t>
  </si>
  <si>
    <t>1133-3541-4</t>
  </si>
  <si>
    <t>Саморез гипсокартон-дерево 3,5х41 мм, пакет (50 шт/уп) KRANZ</t>
  </si>
  <si>
    <t>KR-01-3331-007</t>
  </si>
  <si>
    <t>Саморез гипсокартон-дерево 3,5х45 мм, короб (200 шт/уп) KRANZ</t>
  </si>
  <si>
    <t>1133-3545-5</t>
  </si>
  <si>
    <t>Саморез гипсокартон-дерево 3,5х45 мм, пакет (25 шт/уп) KRANZ</t>
  </si>
  <si>
    <t>KR-01-3331-008</t>
  </si>
  <si>
    <t>Саморез гипсокартон-дерево 3,5х51 мм, короб (200 шт/уп) KRANZ</t>
  </si>
  <si>
    <t>1133-3551-5</t>
  </si>
  <si>
    <t>Саморез гипсокартон-дерево 3,5х51 мм, пакет (20 шт/уп) KRANZ</t>
  </si>
  <si>
    <t>1133-3551-4</t>
  </si>
  <si>
    <t>Саморез гипсокартон-дерево 3,5х51 мм, пакет (50 шт/уп) KRANZ</t>
  </si>
  <si>
    <t>KR-01-3331-009</t>
  </si>
  <si>
    <t>Саморез гипсокартон-дерево 3,5х55 мм, короб (200 шт/уп) KRANZ</t>
  </si>
  <si>
    <t>1133-3555-5</t>
  </si>
  <si>
    <t>Саморез гипсокартон-дерево 3,5х55 мм, пакет (20 шт/уп) KRANZ</t>
  </si>
  <si>
    <t>1133-3555-4</t>
  </si>
  <si>
    <t>Саморез гипсокартон-дерево 3,5х55 мм, пакет (50 шт/уп) KRANZ</t>
  </si>
  <si>
    <t>1133-3555-2</t>
  </si>
  <si>
    <t>Саморез гипсокартон-дерево 3,5х55 мм, пакет (500 шт/уп) KRANZ</t>
  </si>
  <si>
    <t>KR-01-3331-010</t>
  </si>
  <si>
    <t>Саморез гипсокартон-дерево 3,8х65 мм, короб (200 шт/уп) KRANZ</t>
  </si>
  <si>
    <t>1133-3865-4</t>
  </si>
  <si>
    <t>Саморез гипсокартон-дерево 3,8х65 мм, пакет (10 шт/уп) KRANZ</t>
  </si>
  <si>
    <t>1133-3865-2</t>
  </si>
  <si>
    <t>Саморез гипсокартон-дерево 3,8х65 мм, пакет (500 шт/уп) KRANZ</t>
  </si>
  <si>
    <t>KR-01-3331-011</t>
  </si>
  <si>
    <t>Саморез гипсокартон-дерево 4,2х70 мм, короб (100 шт/уп) KRANZ</t>
  </si>
  <si>
    <t>1133-4270-4</t>
  </si>
  <si>
    <t>Саморез гипсокартон-дерево 4,2х70 мм, пакет (10 шт/уп) KRANZ</t>
  </si>
  <si>
    <t>KR-01-3331-012</t>
  </si>
  <si>
    <t>Саморез гипсокартон-дерево 4,2х75 мм, короб (100 шт/уп) KRANZ</t>
  </si>
  <si>
    <t>1133-4275-4</t>
  </si>
  <si>
    <t>Саморез гипсокартон-дерево 4,2х75 мм, пакет (10 шт/уп) KRANZ</t>
  </si>
  <si>
    <t>KR-01-3331-013</t>
  </si>
  <si>
    <t>Саморез гипсокартон-дерево 4,2х90 мм, короб (100 шт/уп) KRANZ</t>
  </si>
  <si>
    <t>1133-4290-4</t>
  </si>
  <si>
    <t>Саморез гипсокартон-дерево 4,2х90 мм, пакет (4 шт/уп) KRANZ</t>
  </si>
  <si>
    <t>3. 5. 4. Саморез гипсокартон-металл</t>
  </si>
  <si>
    <t>KR-01-3341-002</t>
  </si>
  <si>
    <t>Саморез гипсокартон-металл 3,5х19 мм, короб (200 шт/уп) KRANZ</t>
  </si>
  <si>
    <t>1143-3519-2</t>
  </si>
  <si>
    <t>Саморез гипсокартон-металл 3,5х19 мм, пакет (1000 шт/уп) KRANZ</t>
  </si>
  <si>
    <t>KR-01-3341-003</t>
  </si>
  <si>
    <t>Саморез гипсокартон-металл 3,5х25 мм, короб (200 шт/уп) KRANZ</t>
  </si>
  <si>
    <t>1143-3525-5</t>
  </si>
  <si>
    <t>Саморез гипсокартон-металл 3,5х25 мм, пакет (20 шт/уп) KRANZ</t>
  </si>
  <si>
    <t>1143-3525-4</t>
  </si>
  <si>
    <t>Саморез гипсокартон-металл 3,5х25 мм, пакет (50 шт/уп) KRANZ</t>
  </si>
  <si>
    <t>KR-01-3341-004</t>
  </si>
  <si>
    <t>Саморез гипсокартон-металл 3,5х32 мм, короб (200 шт/уп) KRANZ</t>
  </si>
  <si>
    <t>1143-3532-2</t>
  </si>
  <si>
    <t>Саморез гипсокартон-металл 3,5х32 мм, пакет (1000 шт/уп) KRANZ</t>
  </si>
  <si>
    <t>1143-3532-5</t>
  </si>
  <si>
    <t>Саморез гипсокартон-металл 3,5х32 мм, пакет (25 шт/уп) KRANZ</t>
  </si>
  <si>
    <t>1143-3532-4</t>
  </si>
  <si>
    <t>Саморез гипсокартон-металл 3,5х32 мм, пакет (50 шт/уп) KRANZ</t>
  </si>
  <si>
    <t>KR-01-3341-005</t>
  </si>
  <si>
    <t>Саморез гипсокартон-металл 3,5х35 мм, короб (200 шт/уп) KRANZ</t>
  </si>
  <si>
    <t>1143-3535-5</t>
  </si>
  <si>
    <t>Саморез гипсокартон-металл 3,5х35 мм, пакет (25 шт/уп) KRANZ</t>
  </si>
  <si>
    <t>1143-3535-4</t>
  </si>
  <si>
    <t>Саморез гипсокартон-металл 3,5х35 мм, пакет (50 шт/уп) KRANZ</t>
  </si>
  <si>
    <t>KR-01-3341-006</t>
  </si>
  <si>
    <t>Саморез гипсокартон-металл 3,5х41 мм, короб (200 шт/уп) KRANZ</t>
  </si>
  <si>
    <t>1143-3541-4</t>
  </si>
  <si>
    <t>Саморез гипсокартон-металл 3,5х41 мм, пакет (50 шт/уп) KRANZ</t>
  </si>
  <si>
    <t>KR-01-3341-007</t>
  </si>
  <si>
    <t>Саморез гипсокартон-металл 3,5х45 мм, короб (200 шт/уп) KRANZ</t>
  </si>
  <si>
    <t>1143-3545-4</t>
  </si>
  <si>
    <t>Саморез гипсокартон-металл 3,5х45 мм, пакет (50 шт/уп) KRANZ</t>
  </si>
  <si>
    <t>1143-3545-2</t>
  </si>
  <si>
    <t>Саморез гипсокартон-металл 3,5х45 мм, пакет (500 шт/уп) KRANZ</t>
  </si>
  <si>
    <t>KR-01-3341-008</t>
  </si>
  <si>
    <t>Саморез гипсокартон-металл 3,5х51 мм, короб (200 шт/уп) KRANZ</t>
  </si>
  <si>
    <t>1143-3551-4</t>
  </si>
  <si>
    <t>Саморез гипсокартон-металл 3,5х51 мм, пакет (50 шт/уп) KRANZ</t>
  </si>
  <si>
    <t>KR-01-3341-009</t>
  </si>
  <si>
    <t>Саморез гипсокартон-металл 3,5х55 мм, короб (200 шт/уп) KRANZ</t>
  </si>
  <si>
    <t>1143-3555-4</t>
  </si>
  <si>
    <t>Саморез гипсокартон-металл 3,5х55 мм, пакет (50 шт/уп) KRANZ</t>
  </si>
  <si>
    <t>KR-01-3341-012</t>
  </si>
  <si>
    <t>Саморез гипсокартон-металл 4,2х75 мм, короб (100 шт/уп) KRANZ</t>
  </si>
  <si>
    <t>1143-4275-2</t>
  </si>
  <si>
    <t>Саморез гипсокартон-металл 4,2х75 мм, пакет (300 шт/уп) KRANZ</t>
  </si>
  <si>
    <t>3. 5. 5. Саморез для металлических конструкций</t>
  </si>
  <si>
    <t>KR-01-3351-006</t>
  </si>
  <si>
    <t>Саморез для металлических конструкций острый 3,5х11 мм, короб (500 шт/уп) KRANZ</t>
  </si>
  <si>
    <t>KR-01-3351-005</t>
  </si>
  <si>
    <t>Саморез для металлических конструкций острый 3,5х9,5 мм, короб (500 шт/уп) KRANZ</t>
  </si>
  <si>
    <t>KR-01-3351-001</t>
  </si>
  <si>
    <t>Саморез для металлических конструкций сверло 3,5х9,5 мм, короб (500 шт/уп) KRANZ</t>
  </si>
  <si>
    <t>1163-3595-2</t>
  </si>
  <si>
    <t>Саморез для металлических конструкций сверло 3,5х9,5 мм, пакет (1000 шт/уп) KRANZ</t>
  </si>
  <si>
    <t>3. 5. 6. Саморез с прессшайбой острый</t>
  </si>
  <si>
    <t>KR-01-3361-001</t>
  </si>
  <si>
    <t>Саморез с прессшайбой ПШС острый 4,2х13мм, короб (200 шт/уп) KRANZ</t>
  </si>
  <si>
    <t>KR-01-3361-003</t>
  </si>
  <si>
    <t>Саморез с прессшайбой ПШС острый 4,2х16мм, короб (200 шт/уп) KRANZ</t>
  </si>
  <si>
    <t>KR-01-3361-004</t>
  </si>
  <si>
    <t>Саморез с прессшайбой ПШС острый 4,2х19мм, короб (250 шт/уп) KRANZ</t>
  </si>
  <si>
    <t>KR-01-3361-005</t>
  </si>
  <si>
    <t>Саморез с прессшайбой ПШС острый 4,2х25мм, короб (200 шт/уп) KRANZ</t>
  </si>
  <si>
    <t>KR-01-3361-006</t>
  </si>
  <si>
    <t>Саморез с прессшайбой ПШС острый 4,2х32мм, короб (200 шт/уп) KRANZ</t>
  </si>
  <si>
    <t>KR-01-3361-009</t>
  </si>
  <si>
    <t>Саморез с прессшайбой ПШС острый 4,2х50мм, короб (200 шт/уп) KRANZ</t>
  </si>
  <si>
    <t>3. 5. 7. Саморез с прессшайбой сверло</t>
  </si>
  <si>
    <t>KR-01-3362-001</t>
  </si>
  <si>
    <t>Саморез с прессшайбой ПШС сверло 4,2х13мм, короб (200 шт/уп) KRANZ</t>
  </si>
  <si>
    <t>KR-01-3362-003</t>
  </si>
  <si>
    <t>Саморез с прессшайбой ПШС сверло 4,2х16мм, короб (200 шт/уп) KRANZ</t>
  </si>
  <si>
    <t>KR-01-3362-004</t>
  </si>
  <si>
    <t>Саморез с прессшайбой ПШС сверло 4,2х19мм, короб (250 шт/уп) KRANZ</t>
  </si>
  <si>
    <t>1182-4219-2</t>
  </si>
  <si>
    <t>Саморез с прессшайбой ПШС сверло 4,2х19мм, пакет (1000 шт/уп) KRANZ</t>
  </si>
  <si>
    <t>KR-01-3362-005</t>
  </si>
  <si>
    <t>Саморез с прессшайбой ПШС сверло 4,2х25мм, короб (200 шт/уп) KRANZ</t>
  </si>
  <si>
    <t>KR-01-3362-006</t>
  </si>
  <si>
    <t>Саморез с прессшайбой ПШС сверло 4,2х32мм, короб (200 шт/уп) KRANZ</t>
  </si>
  <si>
    <t>1182-4250-2</t>
  </si>
  <si>
    <t>Саморез с прессшайбой ПШС сверло 4,2х50мм, пакет (400 шт/уп) KRANZ</t>
  </si>
  <si>
    <t>3. 5. 8. Кровельные саморезы</t>
  </si>
  <si>
    <t>1203-4829-3</t>
  </si>
  <si>
    <t>Саморез кровельный 4,8х29мм, окрашенный красный RAL 3005, короб (250 шт/уп) KRANZ</t>
  </si>
  <si>
    <t>1204-4835-3</t>
  </si>
  <si>
    <t>Саморез кровельный 4,8х35мм, окрашенный зеленый RAL 6005, короб (250 шт/уп) KRANZ</t>
  </si>
  <si>
    <t>1204-4850-3</t>
  </si>
  <si>
    <t>Саморез кровельный 4,8х50мм, окрашенный зеленый RAL 6005, короб (150 шт/уп) KRANZ</t>
  </si>
  <si>
    <t>3. 5. 9. Саморез оконный острый</t>
  </si>
  <si>
    <t>KR-01-3721-002</t>
  </si>
  <si>
    <t>Саморез оконный острый 4,1х25мм, белый цинк, короб (500 шт/уп) KRANZ</t>
  </si>
  <si>
    <t>KR-01-3721-004</t>
  </si>
  <si>
    <t>Саморез оконный острый 4,1х35мм, белый цинк, короб (500 шт/уп) KRANZ</t>
  </si>
  <si>
    <t>KR-01-3721-005</t>
  </si>
  <si>
    <t>Саморез оконный острый 4,1х40мм, белый цинк, короб (500 шт/уп) KRANZ</t>
  </si>
  <si>
    <t>3. 5.10. Саморез оконный сверло</t>
  </si>
  <si>
    <t>1504-3935-4</t>
  </si>
  <si>
    <t>Саморез оконный сверло 3,9х35мм, белый цинк, пакет (20 шт/уп) KRANZ</t>
  </si>
  <si>
    <t>KR-01-3722-0014</t>
  </si>
  <si>
    <t>Саморез оконный сверло 3,9х38мм, белый цинк, короб (500 шт/уп) KRANZ</t>
  </si>
  <si>
    <t>3. 5.11. Шурупы по бетону</t>
  </si>
  <si>
    <t>KR-01-3731-005</t>
  </si>
  <si>
    <t>Шуруп по бетону 7,5х112мм, короб (100 шт/уп) KRANZ</t>
  </si>
  <si>
    <t>KR-01-3731-008</t>
  </si>
  <si>
    <t>Шуруп по бетону 7,5х182мм, короб (50 шт/уп) KRANZ</t>
  </si>
  <si>
    <t>KR-01-3731-003</t>
  </si>
  <si>
    <t>Шуруп по бетону 7,5х72мм, короб (100 шт/уп) KRANZ</t>
  </si>
  <si>
    <t>KR-01-3731-004</t>
  </si>
  <si>
    <t>Шуруп по бетону 7,5х92мм, короб (100 шт/уп) KRANZ</t>
  </si>
  <si>
    <t>3. 6. Метрический Крепеж</t>
  </si>
  <si>
    <t>3. 6. 1. Болт мебельный DIN 603</t>
  </si>
  <si>
    <t>1301-1070-4</t>
  </si>
  <si>
    <t>Болт мебельный DIN 603, 10х70мм, пакет (2 шт/уп) KRANZ</t>
  </si>
  <si>
    <t>KR-01-3511-008</t>
  </si>
  <si>
    <t>Болт мебельный DIN 603, 6,0х25мм, короб (50 шт/уп) KRANZ</t>
  </si>
  <si>
    <t>1301-0880-4</t>
  </si>
  <si>
    <t>Болт мебельный DIN 603, 8,0х80мм, пакет (2 шт/уп) KRANZ</t>
  </si>
  <si>
    <t>1301-0890-4</t>
  </si>
  <si>
    <t>Болт мебельный DIN 603, 8,0х90мм, пакет (2 шт/уп) KRANZ</t>
  </si>
  <si>
    <t>3. 6. 2. Болт шестигранный DIN 933</t>
  </si>
  <si>
    <t>KR-01-3512-055</t>
  </si>
  <si>
    <t>Болт шестигранный DIN 933, 10х80мм, короб (10 шт/уп) KRANZ</t>
  </si>
  <si>
    <t>KR-01-3512-056</t>
  </si>
  <si>
    <t>Болт шестигранный DIN 933, 10х90мм, короб (10 шт/уп) KRANZ</t>
  </si>
  <si>
    <t>KR-01-3512-099</t>
  </si>
  <si>
    <t>Болт шестигранный DIN 933, 16х90мм, короб (10 шт/уп) KRANZ</t>
  </si>
  <si>
    <t>1302-0640-4</t>
  </si>
  <si>
    <t>Болт шестигранный DIN 933, 6,0х40мм, пакет (10 шт/уп) KRANZ</t>
  </si>
  <si>
    <t>1302-0650-4</t>
  </si>
  <si>
    <t>Болт шестигранный DIN 933, 6,0х50мм, пакет (4 шт/уп) KRANZ</t>
  </si>
  <si>
    <t>KR-01-3512-039</t>
  </si>
  <si>
    <t>Болт шестигранный DIN 933, 8,0х120мм, короб (10 шт/уп) KRANZ</t>
  </si>
  <si>
    <t>1302-0840-4</t>
  </si>
  <si>
    <t>Болт шестигранный DIN 933, 8,0х40мм, пакет (2 шт/уп) KRANZ</t>
  </si>
  <si>
    <t>KR-01-3512-031</t>
  </si>
  <si>
    <t>Болт шестигранный DIN 933, 8,0х55мм, короб (20 шт/уп) KRANZ</t>
  </si>
  <si>
    <t>KR-01-3512-032</t>
  </si>
  <si>
    <t>Болт шестигранный DIN 933, 8,0х60мм, короб (20 шт/уп) KRANZ</t>
  </si>
  <si>
    <t>KR-01-3512-036</t>
  </si>
  <si>
    <t>Болт шестигранный DIN 933, 8,0х90мм, короб (20 шт/уп) KRANZ</t>
  </si>
  <si>
    <t>1302-0890-4</t>
  </si>
  <si>
    <t>Болт шестигранный DIN 933, 8,0х90мм, пакет (2 шт/уп) KRANZ</t>
  </si>
  <si>
    <t>3. 6. 4. Гайка шестигранная DIN 934</t>
  </si>
  <si>
    <t>KR-01-3522-009</t>
  </si>
  <si>
    <t>Гайка шестигранная DIN 934, M16, короб (25 шт/уп) KRANZ</t>
  </si>
  <si>
    <t>3. 6. 6. Шайба DIN 125</t>
  </si>
  <si>
    <t>KR-01-3531-007</t>
  </si>
  <si>
    <t>Шайба плоская DIN 125, M12, короб (50 шт/уп) KRANZ</t>
  </si>
  <si>
    <t>KR-01-3531-005</t>
  </si>
  <si>
    <t>Шайба плоская DIN 125, M8, короб (200 шт/уп) KRANZ</t>
  </si>
  <si>
    <t>3. 6. 8. Шайба DIN 9021</t>
  </si>
  <si>
    <t>KR-01-3533-005</t>
  </si>
  <si>
    <t>Шайба увеличенная DIN 9021, M8, короб (100 шт/уп) KRANZ</t>
  </si>
  <si>
    <t>3. 6.10. Шпилька резьбовая DIN 975</t>
  </si>
  <si>
    <t>KR-01-3542-008</t>
  </si>
  <si>
    <t>Шпилька резьбовая DIN 975, M10х1000, (10 шт/уп) KRANZ</t>
  </si>
  <si>
    <t>KR-01-3542-009</t>
  </si>
  <si>
    <t>Шпилька резьбовая DIN 975, M10х2000, (10 шт/уп) KRANZ</t>
  </si>
  <si>
    <t>KR-01-3542-005</t>
  </si>
  <si>
    <t>Шпилька резьбовая DIN 975, M6х2000, (10 шт/уп) KRANZ</t>
  </si>
  <si>
    <t>KR-01-3542-006</t>
  </si>
  <si>
    <t>Шпилька резьбовая DIN 975, M8х1000, (10 шт/уп) KRANZ</t>
  </si>
  <si>
    <t>3. 7. Дюбельная Техника</t>
  </si>
  <si>
    <t>3. 7. 5. Дюбель распорный полипропилен</t>
  </si>
  <si>
    <t>KR-01-3618-015</t>
  </si>
  <si>
    <t>Дюбель распорный 10х50мм, синий, полипропилен, пакет (50 шт/уп) KRANZ</t>
  </si>
  <si>
    <t>KR-01-3618-016</t>
  </si>
  <si>
    <t>Дюбель распорный 10х60мм, синий, полипропилен, пакет (50 шт/уп) KRANZ</t>
  </si>
  <si>
    <t>KR-01-3618-018</t>
  </si>
  <si>
    <t>Дюбель распорный 12х60мм, синий, полипропилен, пакет (50 шт/уп) KRANZ</t>
  </si>
  <si>
    <t>KR-01-3618-019</t>
  </si>
  <si>
    <t>Дюбель распорный 12х70мм, синий, полипропилен, пакет (50 шт/уп) KRANZ</t>
  </si>
  <si>
    <t>KR-01-3618-004</t>
  </si>
  <si>
    <t>Дюбель распорный 6х25мм, синий, полипропилен, пакет (50 шт/уп) KRANZ</t>
  </si>
  <si>
    <t>KR-01-3618-005</t>
  </si>
  <si>
    <t>Дюбель распорный 6х30мм, синий, полипропилен, пакет (50 шт/уп) KRANZ</t>
  </si>
  <si>
    <t>KR-01-3618-006</t>
  </si>
  <si>
    <t>Дюбель распорный 6х35мм, синий, полипропилен, пакет (50 шт/уп) KRANZ</t>
  </si>
  <si>
    <t>KR-01-3618-007</t>
  </si>
  <si>
    <t>Дюбель распорный 6х40мм, синий, полипропилен, пакет (100 шт/уп) KRANZ</t>
  </si>
  <si>
    <t>KR-01-3618-008</t>
  </si>
  <si>
    <t>Дюбель распорный 6х50мм, синий, полипропилен, пакет (50 шт/уп) KRANZ</t>
  </si>
  <si>
    <t>KR-01-3618-009</t>
  </si>
  <si>
    <t>Дюбель распорный 6х60мм, синий, полипропилен, пакет (100 шт/уп) KRANZ</t>
  </si>
  <si>
    <t>KR-01-3618-010</t>
  </si>
  <si>
    <t>Дюбель распорный 8х30мм, синий, полипропилен, пакет (50 шт/уп) KRANZ</t>
  </si>
  <si>
    <t>KR-01-3618-011</t>
  </si>
  <si>
    <t>Дюбель распорный 8х40мм, синий, полипропилен, пакет (50 шт/уп) KRANZ</t>
  </si>
  <si>
    <t>KR-01-3618-012</t>
  </si>
  <si>
    <t>Дюбель распорный 8х50мм, синий, полипропилен, пакет (50 шт/уп) KRANZ</t>
  </si>
  <si>
    <t>KR-01-3618-013</t>
  </si>
  <si>
    <t>Дюбель распорный 8х60мм, синий, полипропилен, пакет (50 шт/уп) KRANZ</t>
  </si>
  <si>
    <t>KR-01-3618-014</t>
  </si>
  <si>
    <t>Дюбель распорный 8х80мм, синий, полипропилен, пакет (50 шт/уп) KRANZ</t>
  </si>
  <si>
    <t>3. 7. 6. Дюбель распорный нейлон</t>
  </si>
  <si>
    <t>KR-01-3619-016</t>
  </si>
  <si>
    <t>Дюбель распорный 10х60мм, серый, нейлон, пакет (100 шт/уп) KRANZ</t>
  </si>
  <si>
    <t>KR-01-3619-005</t>
  </si>
  <si>
    <t>Дюбель распорный 6х30мм, серый, нейлон, пакет (100 шт/уп) KRANZ</t>
  </si>
  <si>
    <t>KR-01-3619-011</t>
  </si>
  <si>
    <t>Дюбель распорный 8х40мм, серый, нейлон, пакет (100 шт/уп) KRANZ</t>
  </si>
  <si>
    <t>KR-01-3619-012</t>
  </si>
  <si>
    <t>Дюбель распорный 8х50мм, серый, нейлон, пакет (100 шт/уп) KRANZ</t>
  </si>
  <si>
    <t>3. 7. 7. Дюбель-гвоздь</t>
  </si>
  <si>
    <t>KR-02-3621-001</t>
  </si>
  <si>
    <t>Дюбель-гвоздь грибовидный бортик, полипропилен 6х40мм, пакет (100 шт/уп) KRANZ</t>
  </si>
  <si>
    <t>KR-01-3621-0016</t>
  </si>
  <si>
    <t>Дюбель-гвоздь потайной бортик, полипропилен 10х100мм, короб (50 шт/уп) KRANZ</t>
  </si>
  <si>
    <t>KR-01-3621-007</t>
  </si>
  <si>
    <t>Дюбель-гвоздь потайной бортик, полипропилен 6х40мм, пакет (100 шт/уп) KRANZ</t>
  </si>
  <si>
    <t>KR-01-3621-008</t>
  </si>
  <si>
    <t>Дюбель-гвоздь потайной бортик, полипропилен 6х60мм, пакет (100 шт/уп) KRANZ</t>
  </si>
  <si>
    <t>KR-01-3621-0012</t>
  </si>
  <si>
    <t>Дюбель-гвоздь потайной бортик, полипропилен 8х100мм, короб (100 шт/уп) KRANZ</t>
  </si>
  <si>
    <t>KR-01-3621-0013</t>
  </si>
  <si>
    <t>Дюбель-гвоздь потайной бортик, полипропилен 8х120мм, короб (100 шт/уп) KRANZ</t>
  </si>
  <si>
    <t>3. 7. 8. Крюк с дюбелем</t>
  </si>
  <si>
    <t>KR-01-3641-006</t>
  </si>
  <si>
    <t>Дюбель с полукольцом 10мм, короб (50 шт/уп) KRANZ</t>
  </si>
  <si>
    <t>KR-01-3641-004</t>
  </si>
  <si>
    <t>Дюбель с полукольцом 8мм, короб (100 шт/уп) KRANZ</t>
  </si>
  <si>
    <t>3. 9. Метизы, промышленная упаковка</t>
  </si>
  <si>
    <t>3. 9. 1. Саморезы</t>
  </si>
  <si>
    <t>1111-0340-1</t>
  </si>
  <si>
    <t>Саморез универсальный 3х40 мм, желтый цинк, упаковка поставщика (12000 шт/уп) KRANZ</t>
  </si>
  <si>
    <t>1133-3519-1</t>
  </si>
  <si>
    <t>Саморез гипсокартон-дерево 3,5х19 мм, упаковка поставщика (18000 шт/уп) KRANZ</t>
  </si>
  <si>
    <t>558 000 - 212 дней</t>
  </si>
  <si>
    <t>1133-3551-1</t>
  </si>
  <si>
    <t>Саморез гипсокартон-дерево 3,5х51 мм, упаковка поставщика (5000 шт/уп) KRANZ</t>
  </si>
  <si>
    <t>1133-3555-1</t>
  </si>
  <si>
    <t>Саморез гипсокартон-дерево 3,5х55 мм, упаковка поставщика (4000 шт/уп) KRANZ</t>
  </si>
  <si>
    <t>1133-3865-1</t>
  </si>
  <si>
    <t>Саморез гипсокартон-дерево 3,8х65 мм, упаковка поставщика (3000 шт/уп) KRANZ</t>
  </si>
  <si>
    <t>1133-4270-1</t>
  </si>
  <si>
    <t>Саморез гипсокартон-дерево 4,2х70 мм, упаковка поставщика (2500 шт/уп) KRANZ</t>
  </si>
  <si>
    <t>1133-4290-1</t>
  </si>
  <si>
    <t>Саморез гипсокартон-дерево 4,2х90 мм, упаковка поставщика (2000 шт/уп) KRANZ</t>
  </si>
  <si>
    <t>1143-3525-1</t>
  </si>
  <si>
    <t>Саморез гипсокартон-металл 3,5х25 мм, упаковка поставщика (18000 шт/уп) KRANZ</t>
  </si>
  <si>
    <t>1143-3532-1</t>
  </si>
  <si>
    <t>Саморез гипсокартон-металл 3,5х32 мм, упаковка поставщика (12000/10000 шт/уп) KRANZ</t>
  </si>
  <si>
    <t>1143-3535-1</t>
  </si>
  <si>
    <t>Саморез гипсокартон-металл 3,5х35 мм, упаковка поставщика (11000 шт/уп) KRANZ</t>
  </si>
  <si>
    <t>1143-3545-1</t>
  </si>
  <si>
    <t>Саморез гипсокартон-металл 3,5х45 мм, упаковка поставщика (8000 шт/уп) KRANZ</t>
  </si>
  <si>
    <t>1143-3551-1</t>
  </si>
  <si>
    <t>Саморез гипсокартон-металл 3,5х51 мм, упаковка поставщика (5000 шт/уп) KRANZ</t>
  </si>
  <si>
    <t>1143-3555-1</t>
  </si>
  <si>
    <t>Саморез гипсокартон-металл 3,5х55 мм, упаковка поставщика (4000 шт/уп) KRANZ</t>
  </si>
  <si>
    <t>1143-4275-1</t>
  </si>
  <si>
    <t>Саморез гипсокартон-металл 4,2х75 мм, упаковка поставщика (2000 шт/уп) KRANZ</t>
  </si>
  <si>
    <t>1182-4232-1</t>
  </si>
  <si>
    <t>Саморез с прессшайбой KRANZ ПШС сверло 4.2х32, упаковка поставщика ( 6 000 шт. )</t>
  </si>
  <si>
    <t>1182-4250-1</t>
  </si>
  <si>
    <t>Саморез с прессшайбой KRANZ ПШС сверло 4.2х50, упаковка поставщика ( 3 000 шт. )</t>
  </si>
  <si>
    <t>1111-3540-1</t>
  </si>
  <si>
    <t>Саморез универсальный 3,5х40 мм, желтый цинк, упаковка поставщика (12000 шт/уп) KRANZ</t>
  </si>
  <si>
    <t>1111-0320-1</t>
  </si>
  <si>
    <t>Саморез универсальный 3х20 мм, желтый цинк, упаковка поставщика (32000 шт/уп) KRANZ</t>
  </si>
  <si>
    <t>1111-0325-1</t>
  </si>
  <si>
    <t>Саморез универсальный 3х25 мм, желтый цинк, упаковка поставщика (24000 шт/уп) KRANZ</t>
  </si>
  <si>
    <t>1111-0330-1</t>
  </si>
  <si>
    <t>Саморез универсальный 3х30 мм, желтый цинк, упаковка поставщика (16000 шт/уп) KRANZ</t>
  </si>
  <si>
    <t>1111-0335-1</t>
  </si>
  <si>
    <t>Саморез универсальный 3х35 мм, желтый цинк, упаковка поставщика (16000 шт/уп) KRANZ</t>
  </si>
  <si>
    <t>1111-0435-1</t>
  </si>
  <si>
    <t>Саморез универсальный 4х35 мм, желтый цинк, упаковка поставщика (12000 шт/уп) KRANZ</t>
  </si>
  <si>
    <t>1111-0450-1</t>
  </si>
  <si>
    <t>Саморез универсальный 4х50 мм, желтый цинк, упаковка поставщика (6000 шт/уп) KRANZ</t>
  </si>
  <si>
    <t>1111-0540-1</t>
  </si>
  <si>
    <t>Саморез универсальный 5х40 мм, желтый цинк, упаковка поставщика (6000 шт/уп) KRANZ</t>
  </si>
  <si>
    <t>162 000 - 212 дней</t>
  </si>
  <si>
    <t>1111-0560-1</t>
  </si>
  <si>
    <t>Саморез универсальный 5х60 мм, желтый цинк, упаковка поставщика (4800 шт/уп) KRANZ</t>
  </si>
  <si>
    <t>115 200 - 212 дней</t>
  </si>
  <si>
    <t>3. 9. 2. Метрический Крепеж</t>
  </si>
  <si>
    <t>1301-1060-1</t>
  </si>
  <si>
    <t>Болт мебельный DIN 603, 10х60, упаковка поставщика (20 кг/452 шт.) KRANZ</t>
  </si>
  <si>
    <t>1302-1045-1</t>
  </si>
  <si>
    <t>Болт шестигранный DIN 933, 10х45, упаковка поставщика (24 кг/700 шт.) KRANZ</t>
  </si>
  <si>
    <t>1302-1690-1</t>
  </si>
  <si>
    <t>Болт шестигранный DIN 933, 16х90, упаковка поставщика (24 кг/150 шт.) KRANZ</t>
  </si>
  <si>
    <t>1302-0640-1</t>
  </si>
  <si>
    <t>Болт шестигранный DIN 933, 6х40, упаковка поставщика (24 кг/2500 шт.) KRANZ</t>
  </si>
  <si>
    <t>1302-0650-1</t>
  </si>
  <si>
    <t>Болт шестигранный DIN 933, 6х50, упаковка поставщика (24 кг/2100 шт.) KRANZ</t>
  </si>
  <si>
    <t>1302-0891-1</t>
  </si>
  <si>
    <t>Болт шестигранный DIN 933, 8х110, упаковка поставщика (24 кг/500 шт.) KRANZ</t>
  </si>
  <si>
    <t>1302-0893-1</t>
  </si>
  <si>
    <t>Болт шестигранный DIN 933, 8х200, упаковка поставщика (24 кг/350 шт.) KRANZ</t>
  </si>
  <si>
    <t>1302-0845-1</t>
  </si>
  <si>
    <t>Болт шестигранный DIN 933, 8х45, упаковка поставщика (24 кг/1100 шт.) KRANZ</t>
  </si>
  <si>
    <t>1302-0850-1</t>
  </si>
  <si>
    <t>Болт шестигранный DIN 933, 8х50, упаковка поставщика (24 кг/1100 шт.) KRANZ</t>
  </si>
  <si>
    <t>1302-0855-1</t>
  </si>
  <si>
    <t>Болт шестигранный DIN 933, 8х55, упаковка поставщика (24 кг/900 шт.) KRANZ</t>
  </si>
  <si>
    <t>1302-0890-1</t>
  </si>
  <si>
    <t>Болт шестигранный DIN 933, 8х90, упаковка поставщика (24 кг/600 шт.) KRANZ</t>
  </si>
  <si>
    <t>1304-0012-1</t>
  </si>
  <si>
    <t>Гайка шестигранная DIN 934, M12, упаковка поставщика (20 кг/1600 шт.) KRANZ</t>
  </si>
  <si>
    <t>1308-0012-1</t>
  </si>
  <si>
    <t>Шайба увеличенная DIN 9021, M12, упаковка поставщика (20,5 кг/ 1000 шт) KRANZ</t>
  </si>
  <si>
    <t>4. СТРУКТУРИРОВАННАЯ КАБЕЛЬНАЯ СИСТЕМА (СКС)</t>
  </si>
  <si>
    <t>4. 1 LAN-кабель</t>
  </si>
  <si>
    <t>4. 1. 1 Кабель витая пара REXANT PRO</t>
  </si>
  <si>
    <t>4. 1. 1. 1 Кабель внутренний 5е UTP / FTP [Группа индивидуального ценообразования]</t>
  </si>
  <si>
    <t>02-0022</t>
  </si>
  <si>
    <t>Кабель витая пара F/UTP, CAT 5e, LSZH нг(А)-HF, 2PR, 24AWG, внутренний, однопроволочный, серый, 305м REXANT</t>
  </si>
  <si>
    <t>02-0021</t>
  </si>
  <si>
    <t>Кабель витая пара F/UTP, CAT 5e, LSZH нг(А)-HF, 4PR, 24AWG, внутренний, однопроволочный, серый, 305м REXANT</t>
  </si>
  <si>
    <t>02-0025</t>
  </si>
  <si>
    <t>Кабель витая пара F/UTP, CAT 5e, PVC, 4х2х0,52 мм, 24AWG, внутренний, однопроволочный, серый, 305м REXANT</t>
  </si>
  <si>
    <t>02-0002</t>
  </si>
  <si>
    <t>Кабель витая пара U/UTP, CAT 5e, LSZH нг(А)-HF, 2PR, 24AWG, внутренний, однопроволочный, серый, 305м REXANT</t>
  </si>
  <si>
    <t>02-0004</t>
  </si>
  <si>
    <t>Кабель витая пара U/UTP, CAT 5e, LSZH нг(А)-HF, 4PR, 24AWG, внутренний, однопроволочный, серый, 305м REXANT</t>
  </si>
  <si>
    <t>02-0005</t>
  </si>
  <si>
    <t>Кабель витая пара U/UTP, CAT 5e, PVC, 4х2х0,52 мм, 24AWG, внутренний, однопроволочный, серый, 305м REXANT</t>
  </si>
  <si>
    <t>4. 1. 2 Кабель витая пара REXANT</t>
  </si>
  <si>
    <t>4. 1. 2. 1 Кабель внутренний 5е UTP [Группа индивидуального ценообразования]</t>
  </si>
  <si>
    <t>01-0059</t>
  </si>
  <si>
    <t>01-0049</t>
  </si>
  <si>
    <t>Кабель витая пара U/UTP, CAT 5e, LSZH нг(А)-HF, 4PR, 24AWG, внутренний, однопроволочный, оранжевый, 305м REXANT</t>
  </si>
  <si>
    <t>01-0069</t>
  </si>
  <si>
    <t>01-0002</t>
  </si>
  <si>
    <t>Кабель витая пара U/UTP, CAT 5e, PVC, 1PR, 24AWG, внутренний, однопроволочный, серый, 305м REXANT</t>
  </si>
  <si>
    <t>01-0026</t>
  </si>
  <si>
    <t>Кабель витая пара U/UTP, CAT 5e, PVC, 2PR, 24AWG, внутренний, многопроволочный, серый, 305м REXANT</t>
  </si>
  <si>
    <t>01-0043</t>
  </si>
  <si>
    <t>Кабель витая пара U/UTP, CAT 5e, PVC, 4PR, 24AWG, внутренний, однопроволочный, серый, 305м REXANT</t>
  </si>
  <si>
    <t>23.11.2026</t>
  </si>
  <si>
    <t>01-0044</t>
  </si>
  <si>
    <t>Кабель витая пара U/UTP, CAT 5e, PVC, 4PR, 24AWG, внутренний, многопроволочный, серый, 305м REXANT</t>
  </si>
  <si>
    <t>01-0061</t>
  </si>
  <si>
    <t>Кабель витая пара U/UTP, CAT 5e, нг(А)-LSLTx, 4х2х0,52мм, 24AWG, внутренний, однопроволочный, зеленый, 305м REXANT</t>
  </si>
  <si>
    <t>4. 1. 2. 2 Кабель внутренний 5е FTP</t>
  </si>
  <si>
    <t>01-0150</t>
  </si>
  <si>
    <t>Кабель витая пара F/UTP, CAT 5e, LSZH нг(А)-HF, 4PR, 24AWG, внутренний, однопроволочный, оранжевый, 305м REXANT</t>
  </si>
  <si>
    <t>01-0169</t>
  </si>
  <si>
    <t>01-0120</t>
  </si>
  <si>
    <t>Кабель витая пара F/UTP, CAT 5e, PVC, 1PR, 24AWG, внутренний, однопроволочный, серый, 305м REXANT</t>
  </si>
  <si>
    <t>01-0122</t>
  </si>
  <si>
    <t>Кабель витая пара F/UTP, CAT 5e, PVC, 2PR, 24AWG, внутренний, однопроволочный, серый, 305м REXANT</t>
  </si>
  <si>
    <t>01-0125</t>
  </si>
  <si>
    <t>Кабель витая пара F/UTP, CAT 5e, PVC, 2PR, 24AWG, внутренний, многопроволочный, серый, 305м REXANT</t>
  </si>
  <si>
    <t>01-0143</t>
  </si>
  <si>
    <t>Кабель витая пара F/UTP, CAT 5e, PVC, 4PR, 24AWG, внутренний, однопроволочный, серый, 305м REXANT</t>
  </si>
  <si>
    <t>01-0145</t>
  </si>
  <si>
    <t>Кабель витая пара F/UTP, CAT 5e, PVC, 4PR, 24AWG, внутренний, многопроволочный, серый, 305м REXANT</t>
  </si>
  <si>
    <t>01-0161</t>
  </si>
  <si>
    <t>Кабель витая пара F/UTP, CAT 5e, нг(А)-LSLTx, 4х2х0,52мм, 24AWG, внутренний, однопроволочный, зеленый, 305м REXANT</t>
  </si>
  <si>
    <t>01-0342</t>
  </si>
  <si>
    <t>Кабель витая пара SF/UTP, CAT 5e, PVC, 4PR, 24AWG, внутренний, однопроволочный, серый, 305м REXANT</t>
  </si>
  <si>
    <t>01-0343</t>
  </si>
  <si>
    <t>Кабель витая пара SF/UTP, CAT 5e, PVC, 4PR, 24AWG, внутренний, многопроволочный, серый, 305м REXANT</t>
  </si>
  <si>
    <t>4. 1. 2. 3 Кабель внешний 5е UTP</t>
  </si>
  <si>
    <t>01-0065</t>
  </si>
  <si>
    <t>Кабель витая пара U/UTP, CAT 5e, LSZH нг(А)-HF, 4PR, 24AWG, внешний, однопроволочный, черный, 305м REXANT</t>
  </si>
  <si>
    <t>01-0025</t>
  </si>
  <si>
    <t>Кабель витая пара U/UTP, CAT 5e, PE, 2PR, 24AWG, внешний, однопроволочный, черный, 305м REXANT</t>
  </si>
  <si>
    <t>01-0045</t>
  </si>
  <si>
    <t>Кабель витая пара U/UTP, CAT 5e, PE, 4PR, 24AWG, внешний, однопроволочный, черный, 305м REXANT</t>
  </si>
  <si>
    <t>01-0046</t>
  </si>
  <si>
    <t>Кабель витая пара U/UTP, CAT 5e, PE, 4PR, 24AWG, внешний, однопроволочный, черный, с тросом, 305м REXANT</t>
  </si>
  <si>
    <t>4. 1. 2. 4 Кабель внешний 5е FTP</t>
  </si>
  <si>
    <t>01-0165</t>
  </si>
  <si>
    <t>Кабель витая пара F/UTP, CAT 5e, LSZH нг(А)-HF, 4PR, 24AWG, внешний, однопроволочный, черный, 305м REXANT</t>
  </si>
  <si>
    <t>01-0146-1</t>
  </si>
  <si>
    <t>Кабель витая пара F/UTP, CAT 5e, PE, 4PR, 24AWG, внешний, однопроволочный, черный, 305м (коробка) REXANT</t>
  </si>
  <si>
    <t>01-0144</t>
  </si>
  <si>
    <t>Кабель витая пара F/UTP, CAT 5e, PE, 4PR, 24AWG, внешний, однопроволочный, черный, с тросом, 305м REXANT</t>
  </si>
  <si>
    <t>01-0124</t>
  </si>
  <si>
    <t>Кабель витая пара F/UTP, CAT 5e, PE, 2PR, 24AWG, внешний, однопроволочный, черный, 305м REXANT</t>
  </si>
  <si>
    <t>01-0146</t>
  </si>
  <si>
    <t>Кабель витая пара F/UTP, CAT 5e, PE, 4PR, 24AWG, внешний, однопроволочный, черный, 305м (барабан) REXANT</t>
  </si>
  <si>
    <t>01-0344</t>
  </si>
  <si>
    <t>Кабель витая пара SF/UTP, CAT 5e, PE, 4PR, 24AWG, внешний, однопроволочный, черный, 305м REXANT</t>
  </si>
  <si>
    <t>4. 1. 2. 5 Кабель внутренний 6 UTP / FTP</t>
  </si>
  <si>
    <t>01-0151</t>
  </si>
  <si>
    <t>Кабель витая пара F/UTP, CAT 6, LSZH нг(А)-HF, 4PR, 23AWG, внутренний, однопроволочный, оранжевый, 305 м REXANT</t>
  </si>
  <si>
    <t>01-0167</t>
  </si>
  <si>
    <t>Кабель витая пара F/UTP, CAT 6, LSZH нг(А)-HF, 4PR, 23AWG, внутренний, однопроволочный, серый, 305м REXANT</t>
  </si>
  <si>
    <t>01-0147</t>
  </si>
  <si>
    <t>Кабель витая пара F/UTP, CAT 6, PVC, 4PR, 23AWG, внутренний, однопроволочный, синий, 305 м REXANT</t>
  </si>
  <si>
    <t>01-0171</t>
  </si>
  <si>
    <t>Кабель витая пара F/UTP, CAT 6, нг(А)-LSLTx, 4х2х0,575мм, 23AWG, внутренний, однопроволочный, зеленый, 305м REXANT</t>
  </si>
  <si>
    <t>01-0050</t>
  </si>
  <si>
    <t>Кабель витая пара U/UTP, CAT 6, LSZH нг(А)-HF, 4PR, 23AWG, внутренний, однопроволочный, оранжевый, 305 м REXANT</t>
  </si>
  <si>
    <t>01-0067</t>
  </si>
  <si>
    <t>Кабель витая пара U/UTP, CAT 6, LSZH нг(А)-HF, 4PR, 23AWG, внутренний, однопроволочный, серый, 305 м REXANT</t>
  </si>
  <si>
    <t>01-0047</t>
  </si>
  <si>
    <t>Кабель витая пара U/UTP, CAT 6, PVC, 23AWG, внутренний, однопроволочный, синий, 305 м REXANT</t>
  </si>
  <si>
    <t>01-0071</t>
  </si>
  <si>
    <t>Кабель витая пара U/UTP, CAT 6, нг(А)-LSLTx, 4х2х0,575мм, 23AWG, внутренний, однопроволочный, зеленый, 305м REXANT</t>
  </si>
  <si>
    <t>4. 1. 2. 6 Кабель внешний 6 UTP / FTP</t>
  </si>
  <si>
    <t>01-0158</t>
  </si>
  <si>
    <t>Кабель витая пара F/UTP, CAT 6, PE, 4PR, 23AWG, внешний, однопроволочный, черный, 305м REXANT</t>
  </si>
  <si>
    <t>01-0058</t>
  </si>
  <si>
    <t>Кабель витая пара U/UTP, CAT 6, PE, 4PR, 23AWG, внешний, однопроволочный, черный, 305м REXANT</t>
  </si>
  <si>
    <t>4. 1. 3 Кабель витая пара PROconnect</t>
  </si>
  <si>
    <t>4. 1. 3. 1 Кабель внутренний медный 5е, 6 UTP / FTP [Группа индивидуального ценообразования]</t>
  </si>
  <si>
    <t>01-0148</t>
  </si>
  <si>
    <t>Кабель витая пара F/UTP, CAT 5, PVC, 4PR, 26AWG, внутренний, однопроволочный, серый, 305м PROconnect</t>
  </si>
  <si>
    <t>01-0027</t>
  </si>
  <si>
    <t>Кабель витая пара U/UTP, CAT 5e, PVC, 2PR, 24AWG, внутренний, однопроволочный, серый, 305м PROconnect</t>
  </si>
  <si>
    <t>01-0052</t>
  </si>
  <si>
    <t>Кабель витая пара U/UTP, CAT 5e, PVC, 4PR, 24AWG, внутренний, однопроволочный, серый, 305м PROconnect</t>
  </si>
  <si>
    <t>01-0152</t>
  </si>
  <si>
    <t>Кабель витая пара, F/UTP, CAT 5е, PVC, 4PR, 24AWG, внутренний, однопроволочный, серый, 305м PROconnect</t>
  </si>
  <si>
    <t>4. 1. 3. 2 Кабель внутренний омедненный 5е, 6 UTP / FTP</t>
  </si>
  <si>
    <t>01-0148-3</t>
  </si>
  <si>
    <t>Кабель витая пара омедненный F/UTP, CCA, CAT 5, PVC, 4PR, 26AWG, внутренний, однопроволочный, серый, 305м PROconnect</t>
  </si>
  <si>
    <t>01-0121-3</t>
  </si>
  <si>
    <t>Кабель витая пара омедненный F/UTP, CCA, CAT 5e, PVC, 2PR, 24AWG, внутренний, однопроволочный, серый, 305м PROconnect</t>
  </si>
  <si>
    <t>01-0142-3</t>
  </si>
  <si>
    <t>Кабель витая пара омедненный F/UTP, CCA, CAT 5e, PVC, 4PR, 24AWG, внутренний, однопроволочный, серый, 305м PROconnect</t>
  </si>
  <si>
    <t>01-0147-3</t>
  </si>
  <si>
    <t>Кабель витая пара омедненный F/UTP, CCA, CAT 6, PVC, 4PR, 23AWG, внутренний, однопроволочный, серый, 305м PROconnect</t>
  </si>
  <si>
    <t>01-0048-3</t>
  </si>
  <si>
    <t>Кабель витая пара омедненный U/UTP, CCA, CAT 5, PVC, 4PR, 26AWG, внутренний, однопроволочный, серый, 305м PROconnect</t>
  </si>
  <si>
    <t>01-0022-3</t>
  </si>
  <si>
    <t>Кабель витая пара омедненный U/UTP, CCA, CAT 5e, PVC, 2PR, 24AWG, внутренний, однопроволочный, серый, 305м PROconnect</t>
  </si>
  <si>
    <t>01-0043-2</t>
  </si>
  <si>
    <t>Кабель витая пара омедненный U/UTP, CCA, CAT 5e, PVC, 4PR, 24AWG, внутренний, однопроволочный, серый, 305м PROconnect</t>
  </si>
  <si>
    <t>01-0043-3</t>
  </si>
  <si>
    <t>Кабель витая пара омедненный U/UTP, CCA, CAT 5e, PVC, 4PR 24AWG, внутренний, однопроволочный, серый, 305м PROconnect</t>
  </si>
  <si>
    <t>01-0047-3</t>
  </si>
  <si>
    <t>Кабель витая пара омедненный U/UTP, CCA, CAT 6, PVC, 4PR, 23AWG, внутренний, однопроволочный, серый, 305м PROconnect</t>
  </si>
  <si>
    <t>4. 1. 3. 3 Кабель внешний медный 5е UTP / FTP</t>
  </si>
  <si>
    <t>01-0155</t>
  </si>
  <si>
    <t>Кабель витая пара F/UTP, CAT 5e, PE, 4PR, 24AWG, внешний, однопроволочный, черный, с тросом, 305м PROconnect</t>
  </si>
  <si>
    <t>01-0154</t>
  </si>
  <si>
    <t>Кабель витая пара F/UTP, CAT 5e, PE, 4PR, 24AWG, внешний, однопроволочный, черный, 305м PROconnect</t>
  </si>
  <si>
    <t>01-0054</t>
  </si>
  <si>
    <t>Кабель витая пара U/UTP, CAT 5e, PE, 4PR, 24AWG, внешний, однопроволочный, черный, 305м PROconnect</t>
  </si>
  <si>
    <t>4. 1. 3. 4 Кабель внешний омедненный 5е UTP / FTP</t>
  </si>
  <si>
    <t>01-0146-3</t>
  </si>
  <si>
    <t>Кабель витая пара омедненный, F/UTP, CCA, CAT 5e, PE, 4PR, 24AWG, внешний, однопроволочный, черный, 305м PROconnect</t>
  </si>
  <si>
    <t>01-0045-3</t>
  </si>
  <si>
    <t>Кабель витая пара омедненный, U/UTP, CCA, CAT 5e, PE, 4PR, 24AWG, внешний, однопроволочный, черный, 305м PROconnect</t>
  </si>
  <si>
    <t>4. 1. 4 Мини бухты</t>
  </si>
  <si>
    <t>4. 1. 4. 1 Мини бухты REXANT [Группа индивидуального ценообразования]</t>
  </si>
  <si>
    <t>01-0045-100</t>
  </si>
  <si>
    <t>Кабель витая пара U/UTP, CAT 5e, PE, 4PR, 24AWG, внешний, однопроволочный, черный, 100м REXANT</t>
  </si>
  <si>
    <t>01-0045-25</t>
  </si>
  <si>
    <t>Кабель витая пара U/UTP, CAT 5e, PE, 4PR, 24AWG, внешний, однопроволочный, черный, 25м REXANT</t>
  </si>
  <si>
    <t>01-0045-50</t>
  </si>
  <si>
    <t>Кабель витая пара U/UTP, CAT 5e, PE, 4PR, 24AWG, внешний, однопроволочный, черный, 50м REXANT</t>
  </si>
  <si>
    <t>01-0043-100</t>
  </si>
  <si>
    <t>Кабель витая пара U/UTP, CAT 5e, PVC, 4PR, 24AWG, внутренний, однопроволочный, серый, 100м REXANT</t>
  </si>
  <si>
    <t>01-0043-25</t>
  </si>
  <si>
    <t>Кабель витая пара U/UTP, CAT 5e, PVC, 4PR, 24AWG, внутренний, однопроволочный, серый, 25м REXANT</t>
  </si>
  <si>
    <t>01-0043-50</t>
  </si>
  <si>
    <t>Кабель витая пара U/UTP, CAT 5e, PVC, 4PR, 24AWG, внутренний, однопроволочный, серый, 50м REXANT</t>
  </si>
  <si>
    <t>4. 1. 4. 2 Мини бухты PROconnect</t>
  </si>
  <si>
    <t>01-0142-3-25</t>
  </si>
  <si>
    <t>Кабель витая пара омедненный, F/UTP, CCA, CAT 5e, PVC, 4PR, 24AWG, внутренний, однопроволочный, серый, 25м PROconnect</t>
  </si>
  <si>
    <t>01-0142-3-50</t>
  </si>
  <si>
    <t>Кабель витая пара омедненный, F/UTP, CCA, CAT 5e, PVC, 4PR, 24AWG, внутренний, однопроволочный, серый, 50м PROconnect</t>
  </si>
  <si>
    <t>01-0043-3-100</t>
  </si>
  <si>
    <t>Кабель витая пара омедненный, U/UTP, CCA, CAT 5e, PVC, 4PR, 24AWG, внутренний, однопроволочный, серый, 100м PROconnect</t>
  </si>
  <si>
    <t>01-0043-3-25</t>
  </si>
  <si>
    <t>Кабель витая пара омедненный, U/UTP, CCA, CAT 5e, PVC, 4PR, 24AWG, внутренний, однопроволочный, серый, 25м PROconnect</t>
  </si>
  <si>
    <t>01-0043-3-50</t>
  </si>
  <si>
    <t>Кабель витая пара омедненный, U/UTP, CCA, CAT 5e, PVC, 4PR, 24AWG, внутренний, однопроволочный, серый, 50м PROconnect</t>
  </si>
  <si>
    <t>01-0152-100</t>
  </si>
  <si>
    <t>Кабель витая пара F/UTP, CAT 5е, PVC, 4PR, 24AWG, внутренний, однопроволочный, серый, 100м PROconnect</t>
  </si>
  <si>
    <t>01-0052-100</t>
  </si>
  <si>
    <t>Кабель витая пара U/UTP, CAT 5e, PVC, 4PR, 24AWG, внутренний, однопроволочный, серый, 100м PROconnect</t>
  </si>
  <si>
    <t>01-0052-25</t>
  </si>
  <si>
    <t>Кабель витая пара U/UTP, CAT 5e, PVC, 4PR, 24AWG, внутренний, однопроволочный, серый, 25м PROconnect</t>
  </si>
  <si>
    <t>01-0052-50</t>
  </si>
  <si>
    <t>Кабель витая пара U/UTP, CAT 5e, PVC, 4PR, 24AWG, внутренний, однопроволочный, серый, 50м PROconnect</t>
  </si>
  <si>
    <t>4. 1. 5 Многопарный кабель</t>
  </si>
  <si>
    <t>4. 1. 5. 1 Внутренний многопарный кабель UTP / FTP</t>
  </si>
  <si>
    <t>01-1206-R</t>
  </si>
  <si>
    <t>Кабель витая пара F/UTP, CAT 5е, LSZH нг(А)-HF, 25PR, 24AWG, внутренний, однопроволочный, серый, 305м, РФ REXANT</t>
  </si>
  <si>
    <t>01-1202-R</t>
  </si>
  <si>
    <t>Кабель витая пара F/UTP, CAT 5е, PVC, 10PR, 24AWG, внутренний, однопроволочный, серый, 305м, РФ REXANT</t>
  </si>
  <si>
    <t>01-1201-R</t>
  </si>
  <si>
    <t>Кабель витая пара F/UTP, CAT 5е, PVC, 25PR, 24AWG, внутренний, однопроволочный, серый, 305м, РФ REXANT</t>
  </si>
  <si>
    <t>01-1016-R</t>
  </si>
  <si>
    <t>Кабель витая пара U/UTP, CAT 5е, LSZH нг(А)-HF, 25PR, 24AWG, внутренний, однопроволочный, серый, 305м, РФ REXANT</t>
  </si>
  <si>
    <t>01-1011-R</t>
  </si>
  <si>
    <t>Кабель витая пара U/UTP, CAT 5е, PVC, 10PR, 24AWG, внутренний, однопроволочный, серый, 305м, РФ REXANT</t>
  </si>
  <si>
    <t>01-1012-R</t>
  </si>
  <si>
    <t>Кабель витая пара U/UTP, CAT 5е, PVC, 16PR, 24AWG, внутренний, однопроволочный, серый, 305м, РФ REXANT</t>
  </si>
  <si>
    <t>01-1013-R</t>
  </si>
  <si>
    <t>Кабель витая пара U/UTP, CAT 5е, PVC, 25PR, 24AWG, внутренний, однопроволочный, серый, 305м, РФ REXANT</t>
  </si>
  <si>
    <t>4. 1. 5. 2 Внешний многопарный кабель UTP / FTP</t>
  </si>
  <si>
    <t>01-1204-R</t>
  </si>
  <si>
    <t>Кабель витая пара F/UTP, CAT 5е, PE, 10PR, 24AWG, внешний, однопроволочный, черный, 305м, РФ REXANT</t>
  </si>
  <si>
    <t>01-1121</t>
  </si>
  <si>
    <t>Кабель витая пара U/UTP, CAT 5, PE, 10PR, 24AWG, OUTDOOR, SOLID, черный, 305м, REXANT</t>
  </si>
  <si>
    <t>01-1121-R</t>
  </si>
  <si>
    <t>Кабель витая пара U/UTP, CAT 5е, PE, 10PR, 24AWG, внешний, однопроволочный, черный, 305м, РФ REXANT</t>
  </si>
  <si>
    <t>01-1123-R</t>
  </si>
  <si>
    <t>Кабель витая пара U/UTP, CAT 5е, PE, 16PR, 24AWG, внешний, однопроволочный, черный, 305м, РФ REXANT</t>
  </si>
  <si>
    <t>01-1122-R</t>
  </si>
  <si>
    <t>Кабель витая пара U/UTP, CAT 5е, PE, 25PR, 24AWG, внешний, однопроволочный, черный, 305м, РФ REXANT</t>
  </si>
  <si>
    <t>4. 1. 6 Кабель витая пара REXANT РФ</t>
  </si>
  <si>
    <t>4. 1. 6. 1 Кабель внутренний 5е UTP</t>
  </si>
  <si>
    <t>01-0049-R</t>
  </si>
  <si>
    <t>Кабель витая пара U/UTP, CAT 5e, LSZH нг(А)-HF, 4PR, 24AWG, внутренний, однопроволочный, оранжевый, 305м, РФ REXANT</t>
  </si>
  <si>
    <t>01-0069-R</t>
  </si>
  <si>
    <t>Кабель витая пара U/UTP, CAT 5e, LSZH нг(А)-HF, 4PR, 24AWG, внутренний, однопроволочный, серый, 305м, РФ REXANT</t>
  </si>
  <si>
    <t>01-0059-R</t>
  </si>
  <si>
    <t>01-0023-R</t>
  </si>
  <si>
    <t>Кабель витая пара U/UTP, CAT 5e, PVC, 2PR, 24AWG, внутренний, однопроволочный, серый, 305м, РФ REXANT</t>
  </si>
  <si>
    <t>01-0041-R</t>
  </si>
  <si>
    <t>Кабель витая пара U/UTP, CAT 5e, PVC нг(А)-LS, 4х2х0,52мм, 4PR, 24AWG, внутренний, однопроволочный, серый, 305м, РФ REXANT</t>
  </si>
  <si>
    <t>01-0043-R</t>
  </si>
  <si>
    <t>Кабель витая пара U/UTP, CAT 5e, PVC, 4PR, 24AWG, внутренний, однопроволочный, серый, 305м, РФ REXANT</t>
  </si>
  <si>
    <t>01-0052-R</t>
  </si>
  <si>
    <t>02-0004-R</t>
  </si>
  <si>
    <t>Кабель витая пара U/UTP, CAT 5е, LSZH нг(А)-HF, 4PR, 24AWG, внутренний, однопроволочный, серый, 305м, РФ REXANT</t>
  </si>
  <si>
    <t>02-0005-R</t>
  </si>
  <si>
    <t>Кабель витая пара U/UTP, CAT 5е, PVC, 4x2x0,52 мм, 24AWG, внутренний, однопроволочный, серый, 305м, РФ REXANT</t>
  </si>
  <si>
    <t>01-0061-R</t>
  </si>
  <si>
    <t>Кабель витая пара U/UTP, CAT 5e, PVC, нг(А)-LSLTx, 4х2х0,52мм, 24AWG, внутренний, однопроволочный, зеленый, 305м, РФ REXANT</t>
  </si>
  <si>
    <t>4. 1. 6. 2 Кабель внутренний 5е FTP</t>
  </si>
  <si>
    <t>01-0150-R</t>
  </si>
  <si>
    <t>Кабель витая пара F/UTP, CAT 5e, LSZH нг(А)-HF, 4PR, 24AWG, внутренний, однопроволочный, оранжевый, 305м, РФ REXANT</t>
  </si>
  <si>
    <t>01-0169-R</t>
  </si>
  <si>
    <t>Кабель витая пара F/UTP, CAT 5e, LSZH нг(А)-HF, 4PR, 24AWG, внутренний, однопроволочный, серый, 305м, РФ REXANT</t>
  </si>
  <si>
    <t>02-0021-R</t>
  </si>
  <si>
    <t>01-0141-R</t>
  </si>
  <si>
    <t>Кабель витая пара F/UTP, CAT 5e, PVC нг(А)-LS, 4х2х0,52мм, 24AWG, внутренний, однопроволочный, серый, 305м, РФ REXANT</t>
  </si>
  <si>
    <t>01-0143-R</t>
  </si>
  <si>
    <t>Кабель витая пара F/UTP, CAT 5e, PVC, 4PR, 24AWG, внутренний, однопроволочный, серый, 305м, РФ REXANT</t>
  </si>
  <si>
    <t>02-0025-R</t>
  </si>
  <si>
    <t>Кабель витая пара F/UTP, CAT 5e, PVC, 4x2x0,52 мм, 24AWG, внутренний, однопроволочный, серый, 305м, РФ REXANT</t>
  </si>
  <si>
    <t>01-0152-R</t>
  </si>
  <si>
    <t>Кабель витая пара F/UTP, CAT 5е, PVC, 4PR, 24AWG, внутренний, однопроволочный, серый, 305м, РФ REXANT</t>
  </si>
  <si>
    <t>4. 1. 6. 3 Кабель внешний 5е UTP</t>
  </si>
  <si>
    <t>01-0054-R</t>
  </si>
  <si>
    <t>Кабель витая пара U/UTP, CAT 5e, PE, 4PR, 24AWG, внешний, однопроволочный, черный, 305м, РФ REXANT</t>
  </si>
  <si>
    <t>01-0045-R</t>
  </si>
  <si>
    <t>02-0006-R</t>
  </si>
  <si>
    <t>Кабель витая пара U/UTP, CAT 5e, PE, 4х2х0,52 мм, 24AWG, внешний, однопроволочный, черный, 305м, РФ REXANT</t>
  </si>
  <si>
    <t>4. 1. 6. 4 Кабель внешний 5е FTP</t>
  </si>
  <si>
    <t>01-0146-R</t>
  </si>
  <si>
    <t>Кабель витая пара F/UTP, CAT 5e, PE, 4PR, 24AWG, внешний, однопроволочный, черный, 305м, РФ REXANT</t>
  </si>
  <si>
    <t>01-0154-R</t>
  </si>
  <si>
    <t>02-0027-R</t>
  </si>
  <si>
    <t>Кабель витая пара F/UTP, CAT 5e, PE, 4х2х0,52 мм, 24AWG, внешний, однопроволочный, черный, 305м, РФ REXANT</t>
  </si>
  <si>
    <t>4. 2 Патч-панели</t>
  </si>
  <si>
    <t>4. 2. 1 Патч-панели REXANT PRO 5е UTP / STP</t>
  </si>
  <si>
    <t>02-0041</t>
  </si>
  <si>
    <t>Патч-панель 19" 1U, CAT 5e, 24 порта RJ-45, экранированная, Dual IDC REXANT</t>
  </si>
  <si>
    <t>02-0033</t>
  </si>
  <si>
    <t>Патч-панель 19" высокой плотности с кабельными органайзерами 1U, CAT 5e, 48 портов RJ-45, неэкранированная, Dual IDC REXANT</t>
  </si>
  <si>
    <t>02-0031</t>
  </si>
  <si>
    <t>Патч-панель 19" с кабельным органайзером 1U, CAT 5e, 24 порта RJ-45, неэкранированная, Dual IDC REXANT</t>
  </si>
  <si>
    <t>02-0032</t>
  </si>
  <si>
    <t>Патч-панель 19" с кабельным органайзером 2U, CAT 5e, 48 портов RJ-45, неэкранированная, Dual IDC REXANT</t>
  </si>
  <si>
    <t>4. 2. 2 Патч-панели REXANT PRO 6 UTP / STP</t>
  </si>
  <si>
    <t>02-0234</t>
  </si>
  <si>
    <t>Патч-панель 19" 1U, CAT 6, 24 порта RJ-45, неэкранированная, Dual IDC REXANT</t>
  </si>
  <si>
    <t>02-0231</t>
  </si>
  <si>
    <t>Патч-панель 19" с кабельным органайзером 1U, CAT 6, 24 порта RJ-45, неэкранированная, Dual IDC REXANT</t>
  </si>
  <si>
    <t>02-0232</t>
  </si>
  <si>
    <t>Патч-панель 19" с кабельным органайзером 2U, CAT 6, 48 портов RJ-45, неэкранированная, Dual IDC REXANT</t>
  </si>
  <si>
    <t>4. 2. 4 Патч-панели наборные</t>
  </si>
  <si>
    <t>02-0053</t>
  </si>
  <si>
    <t>Патч-панель 19" наборная с кабельным органайзером 1U, 24 порта RJ-45, неэкранированная REXANT</t>
  </si>
  <si>
    <t>4. 2. 5 Патч-панели REXANT 5е UTP / STP</t>
  </si>
  <si>
    <t>04-0025</t>
  </si>
  <si>
    <t>Патч-панель 10" 1U, CAT 5e, 12 портов RJ-45, неэкранированная, Dual IDC REXANT</t>
  </si>
  <si>
    <t>04-0021</t>
  </si>
  <si>
    <t>Патч-панель 19" 1U, CAT 5e, 24 порта RJ-45, неэкранированная, Dual IDC REXANT</t>
  </si>
  <si>
    <t>04-0022</t>
  </si>
  <si>
    <t>Патч-панель 19" 2U, CAT 5e, 48 портов RJ-45, неэкранированная, Dual IDC REXANT</t>
  </si>
  <si>
    <t>04-0020</t>
  </si>
  <si>
    <t>Патч-панель настенная, CAT 5e, 12 портов RJ-45, неэкранированная, Dual IDC REXANT</t>
  </si>
  <si>
    <t>4. 3 Модули Keystone Jack</t>
  </si>
  <si>
    <t>4. 3. 1 Модули KJ RexantPRO 5Е UTP / STP</t>
  </si>
  <si>
    <t>02-0101</t>
  </si>
  <si>
    <t>Адаптер проходной формата Keystone Jack RJ-45 CAT 5e неэкранированный REXANT</t>
  </si>
  <si>
    <t>02-0102</t>
  </si>
  <si>
    <t>Адаптер проходной формата Keystone Jack RJ-45 CAT 5e экранированный REXANT</t>
  </si>
  <si>
    <t>02-0060</t>
  </si>
  <si>
    <t>Модуль Keystone Jack RJ-45 CAT 5e неэкранированный 110 IDC тип 180 градусов, белый REXANT</t>
  </si>
  <si>
    <t>02-0064</t>
  </si>
  <si>
    <t>Модуль Keystone Jack RJ-45 CAT 5e неэкранированный 110 IDC тип 90 градусов, белый REXANT</t>
  </si>
  <si>
    <t>02-0071</t>
  </si>
  <si>
    <t>Модуль Keystone Jack RJ-45 CAT 5e экранированный 110 IDC тип 180 градусов, самозажимной REXANT</t>
  </si>
  <si>
    <t>02-0072</t>
  </si>
  <si>
    <t>Модуль Keystone Jack RJ-45 CAT 5e экранированный 110 IDC тип 90 градусов REXANT</t>
  </si>
  <si>
    <t>4. 3. 2 Модули KJ RexantPRO 6 UTP / STP</t>
  </si>
  <si>
    <t>02-0108</t>
  </si>
  <si>
    <t>Адаптер проходной формата Keystone Jack RJ-45 CAT 6 неэкранированный REXANT</t>
  </si>
  <si>
    <t>02-0109</t>
  </si>
  <si>
    <t>Адаптер проходной формата Keystone Jack RJ-45 CAT 6 экранированный REXANT</t>
  </si>
  <si>
    <t>02-0250</t>
  </si>
  <si>
    <t>Модуль Keystone Jack RJ-45 CAT 6 неэкранированный 110 IDC тип 180 градусов, белый REXANT</t>
  </si>
  <si>
    <t>02-0254-1</t>
  </si>
  <si>
    <t>Модуль Keystone Jack RJ-45 CAT 6 неэкранированный 110 IDC тип 180 градусов, с пылезащитной шторкой, белый REXANT</t>
  </si>
  <si>
    <t>02-0254</t>
  </si>
  <si>
    <t>Модуль Keystone Jack RJ-45 CAT 6 неэкранированный 110 IDC тип 90 градусов, белый REXANT</t>
  </si>
  <si>
    <t>02-0255</t>
  </si>
  <si>
    <t>Модуль Keystone Jack RJ-45 CAT 6 неэкранированный 110 IDC тип 90 градусов, черный REXANT</t>
  </si>
  <si>
    <t>02-0261</t>
  </si>
  <si>
    <t>Модуль Keystone Jack RJ-45 CAT 6 экранированный 110 IDC тип 180 градусов, самозажимной REXANT</t>
  </si>
  <si>
    <t>02-0272</t>
  </si>
  <si>
    <t>Модуль Keystone Jack RJ-45 CAT 6 экранированный 110 IDC тип 90 градусов REXANT</t>
  </si>
  <si>
    <t>4. 3. 4 Модули KJ Rexant 5Е UTP / STP</t>
  </si>
  <si>
    <t>03-1012</t>
  </si>
  <si>
    <t>Модуль Keystone Jack RJ-45(8P8C) розеточный, CAT 5e неэкранированный самозажимной, белый REXANT</t>
  </si>
  <si>
    <t>03-1011</t>
  </si>
  <si>
    <t>Модуль Keystone Jack RJ-45(8P8C) розеточный, CAT 5e неэкранированный, белый REXANT</t>
  </si>
  <si>
    <t>4. 3. 5 Модули KJ Rexant 6 UTP / STP</t>
  </si>
  <si>
    <t>05-1052</t>
  </si>
  <si>
    <t>Модуль Keystone Jack RJ-45 CAT 6 неэкранированный 110 IDC тип 180 градусов, самозажимной REXANT, белый REXANT</t>
  </si>
  <si>
    <t>4. 4 Разъемы</t>
  </si>
  <si>
    <t>4. 4. 2 Разъемы REXANT PRO 6 UTP / STP</t>
  </si>
  <si>
    <t>02-0381</t>
  </si>
  <si>
    <t>Разъем RJ-45(8P8C) полевой заделки под витую пару, FTP, CAT 6 (50 µ"/ 50 микродюймов) REXANT</t>
  </si>
  <si>
    <t>02-0281</t>
  </si>
  <si>
    <t>Разъем RJ-45(8P8C) полевой заделки под витую пару, UTP, CAT 6 (50 µ"/ 50 микродюймов) REXANT</t>
  </si>
  <si>
    <t>4. 4. 3 Разъемы REXANT PRO 6A UTP / STP</t>
  </si>
  <si>
    <t>02-0373</t>
  </si>
  <si>
    <t>Разъем RJ-45(8P8C) полевой заделки под витую пару, FTP, CAT 6А (50 µ"/ 50 микродюймов) REXANT</t>
  </si>
  <si>
    <t>4. 4. 4 Разъемы REXANT 5Е UTP / STP</t>
  </si>
  <si>
    <t>05-1019</t>
  </si>
  <si>
    <t>Разъем cквозной FTP RJ-45(8P8C), CAT 5e REXANT</t>
  </si>
  <si>
    <t>05-1020</t>
  </si>
  <si>
    <t>Разъем cквозной RJ-45(8P8C) под витую пару, UTP, CAT 5e REXANT</t>
  </si>
  <si>
    <t>05-1023</t>
  </si>
  <si>
    <t>Разъем RJ-45(8P8C), FTP, CAT 5e REXANT</t>
  </si>
  <si>
    <t>05-1021</t>
  </si>
  <si>
    <t>Разъем UTP RJ-45(8P8C), CAT 5e REXANT</t>
  </si>
  <si>
    <t>05-1051</t>
  </si>
  <si>
    <t>Разъем UTP RJ-45(8P8C), CAT 5e, самозажимной REXANT</t>
  </si>
  <si>
    <t>4. 4. 5 Разъемы REXANT 6, 6А UTP / STP</t>
  </si>
  <si>
    <t>05-1029</t>
  </si>
  <si>
    <t>Разъем cквозной FTP RJ-45(8P8C), CAT 6 REXANT</t>
  </si>
  <si>
    <t>05-1039</t>
  </si>
  <si>
    <t>Разъем cквозной FTP RJ-45(8P8C), CAT 6a REXANT</t>
  </si>
  <si>
    <t>05-1030</t>
  </si>
  <si>
    <t>Разъем cквозной UTP RJ-45(8P8C), CAT 6 REXANT</t>
  </si>
  <si>
    <t>05-1031-4</t>
  </si>
  <si>
    <t>Разъем RJ-45(8P8C) под витую пару, UTP, CAT 6 REXANT</t>
  </si>
  <si>
    <t>05-1031</t>
  </si>
  <si>
    <t>Разъем RJ-45(8P8C) под витую пару, UTP, CAT 6, с вставкой REXANT</t>
  </si>
  <si>
    <t>4. 4. 6 Разъемы PROconnect 5Е UTP / STP</t>
  </si>
  <si>
    <t>05-1021-6</t>
  </si>
  <si>
    <t>Разъем UTP RJ-45 (8P8C), CAT 5e PROconnect</t>
  </si>
  <si>
    <t>05-1021-3</t>
  </si>
  <si>
    <t>4. 4. 7 Колпачки REXANT</t>
  </si>
  <si>
    <t>05-1201</t>
  </si>
  <si>
    <t>Колпачок изолирующий для разъемов RJ-45, белый REXANT</t>
  </si>
  <si>
    <t>05-1203</t>
  </si>
  <si>
    <t>Колпачок изолирующий для разъемов RJ-45, желтый REXANT</t>
  </si>
  <si>
    <t>05-1204</t>
  </si>
  <si>
    <t>Колпачок изолирующий для разъемов RJ-45, зеленый REXANT</t>
  </si>
  <si>
    <t>05-1205</t>
  </si>
  <si>
    <t>Колпачок изолирующий для разъемов RJ-45, красный REXANT</t>
  </si>
  <si>
    <t>05-1208</t>
  </si>
  <si>
    <t>Колпачок изолирующий для разъемов RJ-45, серый REXANT</t>
  </si>
  <si>
    <t>05-1209</t>
  </si>
  <si>
    <t>Колпачок изолирующий для разъемов RJ-45, синий REXANT</t>
  </si>
  <si>
    <t>05-1210</t>
  </si>
  <si>
    <t>Колпачок изолирующий для разъемов RJ-45, черный REXANT</t>
  </si>
  <si>
    <t>4. 5 Розетки</t>
  </si>
  <si>
    <t>4. 5. 1 Розетки 5Е UTP / FTP</t>
  </si>
  <si>
    <t>03-0120</t>
  </si>
  <si>
    <t>Розетка комбинированная внешняя, UTP RJ-45(8P8C) + RJ-11(6P-4C) REXANT</t>
  </si>
  <si>
    <t>03-0122</t>
  </si>
  <si>
    <t>Розетка компьютерная внешняя, 1-порт RJ-45 (8P8C), STP, CAT 5e REXANT</t>
  </si>
  <si>
    <t>03-0121</t>
  </si>
  <si>
    <t>Рoзетка компьютерная внешняя 1-порт, UTP RJ-45 (8P8C), CAT 5e REXANT</t>
  </si>
  <si>
    <t>03-0151</t>
  </si>
  <si>
    <t>Розетка компьютерная внешняя 2-порта, UTP RJ-45 (8P8C), CAT 5e REXANT</t>
  </si>
  <si>
    <t>4. 5. 2 Розетки 6 UTP / FTP</t>
  </si>
  <si>
    <t>03-0142</t>
  </si>
  <si>
    <t>Розетка компьютерная внешняя, 1-порт RJ-45 (8P8C), STP, CAT 6 REXANT</t>
  </si>
  <si>
    <t>03-0132</t>
  </si>
  <si>
    <t>Розетка компьютерная внешняя, 1-порт RJ-45 (8P8C), UTP CAT 6 REXANT</t>
  </si>
  <si>
    <t>03-0146</t>
  </si>
  <si>
    <t>Розетка компьютерная внешняя, 2-порта RJ-45 (8P8C), STP, CAT 6 REXANT</t>
  </si>
  <si>
    <t>03-0136</t>
  </si>
  <si>
    <t>Розетка компьютерная внешняя, 2-порта RJ-45 (8P8C), UTP CAT 6 REXANT</t>
  </si>
  <si>
    <t>4. 5. 3 Розетки наборные</t>
  </si>
  <si>
    <t>03-0259</t>
  </si>
  <si>
    <t>Адаптер на DIN-рейку для модулей Keystone REXANT</t>
  </si>
  <si>
    <t>03-0221</t>
  </si>
  <si>
    <t>Корпус настенной розетки под 1 модуль Keystone Jack белый</t>
  </si>
  <si>
    <t>03-0251</t>
  </si>
  <si>
    <t>Корпус настенной розетки под 2 модуля Keystone Jack белый</t>
  </si>
  <si>
    <t>4. 5. 4 Рамки, розетки и лицевые панели 45х45 (Mosaic )</t>
  </si>
  <si>
    <t>03-0260</t>
  </si>
  <si>
    <t>Вставка 22,5x45, на 1 порт со шторкой</t>
  </si>
  <si>
    <t>03-0162</t>
  </si>
  <si>
    <t>Вставка 45x45, на 2 порта с прозрачной шторкой и увеличенным окном маркировки, белая</t>
  </si>
  <si>
    <t>03-0126</t>
  </si>
  <si>
    <t>Короб накладной для лицевых панелей 80х80 под 2 модуля 45х22,5</t>
  </si>
  <si>
    <t>03-0130</t>
  </si>
  <si>
    <t>Панель лицевая 80х80 для модуля, металлический суппорт</t>
  </si>
  <si>
    <t>03-0131</t>
  </si>
  <si>
    <t>Панель лицевая 80х80 для модуля, пластиковый суппорт</t>
  </si>
  <si>
    <t>11-8977</t>
  </si>
  <si>
    <t>Розетка электрическая 45x45, CEE 7/4, 2K+3, 16A, белая REXANT</t>
  </si>
  <si>
    <t>11-8978</t>
  </si>
  <si>
    <t>Розетка электрическая 45x45, CEE 7/4, 2K+3, 16A, красная REXANT</t>
  </si>
  <si>
    <t>4. 6 Патч-корды</t>
  </si>
  <si>
    <t>4. 6. 1 Патч-корды REXANT PRO медные</t>
  </si>
  <si>
    <t>4. 6. 1. 3 Патч-корды медные LSZH 5е UTP</t>
  </si>
  <si>
    <t>02-0100-105</t>
  </si>
  <si>
    <t>Шнур коммутационный патч-корд U/UTP CAT 5e, RJ45-RJ45, 26AWG, LSZH, серый, 1,5м REXANT</t>
  </si>
  <si>
    <t>02-0105-03</t>
  </si>
  <si>
    <t>Шнур коммутационный патч-корд U/UTP, CAT 5e, RJ45-RJ45, 26AWG, LSZH, желтый, 0,3м REXANT</t>
  </si>
  <si>
    <t>02-0105-05</t>
  </si>
  <si>
    <t>Шнур коммутационный патч-корд U/UTP, CAT 5e, RJ45-RJ45, 26AWG, LSZH, желтый, 0,5м REXANT</t>
  </si>
  <si>
    <t>02-0105-105</t>
  </si>
  <si>
    <t>Шнур коммутационный патч-корд U/UTP, CAT 5e, RJ45-RJ45, 26AWG, LSZH, желтый, 1,5м REXANT</t>
  </si>
  <si>
    <t>02-0105-1</t>
  </si>
  <si>
    <t>Шнур коммутационный патч-корд U/UTP, CAT 5e, RJ45-RJ45, 26AWG, LSZH, желтый, 1м REXANT</t>
  </si>
  <si>
    <t>02-0105-2</t>
  </si>
  <si>
    <t>Шнур коммутационный патч-корд U/UTP, CAT 5e, RJ45-RJ45, 26AWG, LSZH, желтый, 2м REXANT</t>
  </si>
  <si>
    <t>02-0105-3</t>
  </si>
  <si>
    <t>Шнур коммутационный патч-корд U/UTP, CAT 5e, RJ45-RJ45, 26AWG, LSZH, желтый, 3м REXANT</t>
  </si>
  <si>
    <t>02-0105-5</t>
  </si>
  <si>
    <t>Шнур коммутационный патч-корд U/UTP, CAT 5e, RJ45-RJ45, 26AWG, LSZH, желтый, 5м REXANT</t>
  </si>
  <si>
    <t>02-0106-03</t>
  </si>
  <si>
    <t>Шнур коммутационный патч-корд U/UTP, CAT 5e, RJ45-RJ45, 26AWG, LSZH, зеленый, 0,3м REXANT</t>
  </si>
  <si>
    <t>02-0106-05</t>
  </si>
  <si>
    <t>Шнур коммутационный патч-корд U/UTP, CAT 5e, RJ45-RJ45, 26AWG, LSZH, зеленый, 0,5м REXANT</t>
  </si>
  <si>
    <t>02-0106-105</t>
  </si>
  <si>
    <t>Шнур коммутационный патч-корд U/UTP, CAT 5e, RJ45-RJ45, 26AWG, LSZH, зеленый, 1,5м REXANT</t>
  </si>
  <si>
    <t>02-0106-1</t>
  </si>
  <si>
    <t>Шнур коммутационный патч-корд U/UTP, CAT 5e, RJ45-RJ45, 26AWG, LSZH, зеленый, 1м REXANT</t>
  </si>
  <si>
    <t>02-0106-2</t>
  </si>
  <si>
    <t>Шнур коммутационный патч-корд U/UTP, CAT 5e, RJ45-RJ45, 26AWG, LSZH, зеленый, 2м REXANT</t>
  </si>
  <si>
    <t>02-0106-3</t>
  </si>
  <si>
    <t>Шнур коммутационный патч-корд U/UTP, CAT 5e, RJ45-RJ45, 26AWG, LSZH, зеленый, 3м REXANT</t>
  </si>
  <si>
    <t>02-0106-5</t>
  </si>
  <si>
    <t>Шнур коммутационный патч-корд U/UTP, CAT 5e, RJ45-RJ45, 26AWG, LSZH, зеленый, 5м REXANT</t>
  </si>
  <si>
    <t>02-0103-03</t>
  </si>
  <si>
    <t>Шнур коммутационный патч-корд U/UTP, CAT 5e, RJ45-RJ45, 26AWG, LSZH, красный, 0,3м REXANT</t>
  </si>
  <si>
    <t>02-0103-05</t>
  </si>
  <si>
    <t>Шнур коммутационный патч-корд U/UTP, CAT 5e, RJ45-RJ45, 26AWG, LSZH, красный, 0,5м REXANT</t>
  </si>
  <si>
    <t>02-0103-105</t>
  </si>
  <si>
    <t>Шнур коммутационный патч-корд U/UTP, CAT 5e, RJ45-RJ45, 26AWG, LSZH, красный, 1,5м REXANT</t>
  </si>
  <si>
    <t>02-0103-1</t>
  </si>
  <si>
    <t>Шнур коммутационный патч-корд U/UTP, CAT 5e, RJ45-RJ45, 26AWG, LSZH, красный, 1м REXANT</t>
  </si>
  <si>
    <t>02-0103-2</t>
  </si>
  <si>
    <t>Шнур коммутационный патч-корд U/UTP, CAT 5e, RJ45-RJ45, 26AWG, LSZH, красный, 2м REXANT</t>
  </si>
  <si>
    <t>02-0103-3</t>
  </si>
  <si>
    <t>Шнур коммутационный патч-корд U/UTP, CAT 5e, RJ45-RJ45, 26AWG, LSZH, красный, 3м REXANT</t>
  </si>
  <si>
    <t>02-0103-5</t>
  </si>
  <si>
    <t>Шнур коммутационный патч-корд U/UTP, CAT 5e, RJ45-RJ45, 26AWG, LSZH, красный, 5м REXANT</t>
  </si>
  <si>
    <t>02-0100-03</t>
  </si>
  <si>
    <t>Шнур коммутационный патч-корд U/UTP, CAT 5e, RJ45-RJ45, 26AWG, LSZH, серый, 0,3м REXANT</t>
  </si>
  <si>
    <t>02-0100-05</t>
  </si>
  <si>
    <t>Шнур коммутационный патч-корд U/UTP, CAT 5e, RJ45-RJ45, 26AWG, LSZH, серый, 0,5м REXANT</t>
  </si>
  <si>
    <t>02-0100-1</t>
  </si>
  <si>
    <t>Шнур коммутационный патч-корд U/UTP, CAT 5e, RJ45-RJ45, 26AWG, LSZH, серый, 1м REXANT</t>
  </si>
  <si>
    <t>02-0100-2</t>
  </si>
  <si>
    <t>Шнур коммутационный патч-корд U/UTP, CAT 5e, RJ45-RJ45, 26AWG, LSZH, серый, 2м REXANT</t>
  </si>
  <si>
    <t>02-0100-3</t>
  </si>
  <si>
    <t>Шнур коммутационный патч-корд U/UTP, CAT 5e, RJ45-RJ45, 26AWG, LSZH, серый, 3м REXANT</t>
  </si>
  <si>
    <t>02-0100-5</t>
  </si>
  <si>
    <t>Шнур коммутационный патч-корд U/UTP, CAT 5e, RJ45-RJ45, 26AWG, LSZH, серый, 5м REXANT</t>
  </si>
  <si>
    <t>02-0104-03</t>
  </si>
  <si>
    <t>Шнур коммутационный патч-корд U/UTP, CAT 5e, RJ45-RJ45, 26AWG, LSZH, синий, 0,3м REXANT</t>
  </si>
  <si>
    <t>02-0104-05</t>
  </si>
  <si>
    <t>Шнур коммутационный патч-корд U/UTP, CAT 5e, RJ45-RJ45, 26AWG, LSZH, синий, 0,5м REXANT</t>
  </si>
  <si>
    <t>02-0104-105</t>
  </si>
  <si>
    <t>Шнур коммутационный патч-корд U/UTP, CAT 5e, RJ45-RJ45, 26AWG, LSZH, синий, 1,5м REXANT</t>
  </si>
  <si>
    <t>02-0104-1</t>
  </si>
  <si>
    <t>Шнур коммутационный патч-корд U/UTP, CAT 5e, RJ45-RJ45, 26AWG, LSZH, синий, 1м REXANT</t>
  </si>
  <si>
    <t>02-0104-2</t>
  </si>
  <si>
    <t>Шнур коммутационный патч-корд U/UTP, CAT 5e, RJ45-RJ45, 26AWG, LSZH, синий, 2м REXANT</t>
  </si>
  <si>
    <t>02-0104-3</t>
  </si>
  <si>
    <t>Шнур коммутационный патч-корд U/UTP, CAT 5e, RJ45-RJ45, 26AWG, LSZH, синий, 3м REXANT</t>
  </si>
  <si>
    <t>02-0104-5</t>
  </si>
  <si>
    <t>Шнур коммутационный патч-корд U/UTP, CAT 5e, RJ45-RJ45, 26AWG, LSZH, синий, 5м REXANT</t>
  </si>
  <si>
    <t>02-0102-03</t>
  </si>
  <si>
    <t>Шнур коммутационный патч-корд U/UTP, CAT 5e, RJ45-RJ45, 26AWG, LSZH, черный, 0,3м REXANT</t>
  </si>
  <si>
    <t>02-0102-05</t>
  </si>
  <si>
    <t>Шнур коммутационный патч-корд U/UTP, CAT 5e, RJ45-RJ45, 26AWG, LSZH, черный, 0,5м REXANT</t>
  </si>
  <si>
    <t>02-0102-105</t>
  </si>
  <si>
    <t>Шнур коммутационный патч-корд U/UTP, CAT 5e, RJ45-RJ45, 26AWG, LSZH, черный, 1,5м REXANT</t>
  </si>
  <si>
    <t>02-0102-1</t>
  </si>
  <si>
    <t>Шнур коммутационный патч-корд U/UTP, CAT 5e, RJ45-RJ45, 26AWG, LSZH, черный, 1м REXANT</t>
  </si>
  <si>
    <t>02-0102-2</t>
  </si>
  <si>
    <t>Шнур коммутационный патч-корд U/UTP, CAT 5e, RJ45-RJ45, 26AWG, LSZH, черный, 2м REXANT</t>
  </si>
  <si>
    <t>02-0102-3</t>
  </si>
  <si>
    <t>Шнур коммутационный патч-корд U/UTP, CAT 5e, RJ45-RJ45, 26AWG, LSZH, черный, 3м REXANT</t>
  </si>
  <si>
    <t>02-0102-5</t>
  </si>
  <si>
    <t>Шнур коммутационный патч-корд U/UTP, CAT 5e, RJ45-RJ45, 26AWG, LSZH, черный, 5м REXANT</t>
  </si>
  <si>
    <t>4. 6. 1. 4 Патч-корды медные LSZH 5е FTP</t>
  </si>
  <si>
    <t>02-0110-03</t>
  </si>
  <si>
    <t>Шнур коммутационный патч-корд F/UTP, CAT 5e, RJ45-RJ45, 26AWG, LSZH, серый, 0,3м REXANT</t>
  </si>
  <si>
    <t>02-0110-05</t>
  </si>
  <si>
    <t>Шнур коммутационный патч-корд F/UTP, CAT 5e, RJ45-RJ45, 26AWG, LSZH, серый, 0,5м REXANT</t>
  </si>
  <si>
    <t>02-0110-105</t>
  </si>
  <si>
    <t>Шнур коммутационный патч-корд F/UTP, CAT 5e, RJ45-RJ45, 26AWG, LSZH, серый, 1,5м REXANT</t>
  </si>
  <si>
    <t>02-0110-1</t>
  </si>
  <si>
    <t>Шнур коммутационный патч-корд F/UTP, CAT 5e, RJ45-RJ45, 26AWG, LSZH, серый, 1м REXANT</t>
  </si>
  <si>
    <t>02-0110-2</t>
  </si>
  <si>
    <t>Шнур коммутационный патч-корд F/UTP, CAT 5e, RJ45-RJ45, 26AWG, LSZH, серый, 2м REXANT</t>
  </si>
  <si>
    <t>02-0110-3</t>
  </si>
  <si>
    <t>Шнур коммутационный патч-корд F/UTP, CAT 5e, RJ45-RJ45, 26AWG, LSZH, серый, 3м REXANT</t>
  </si>
  <si>
    <t>02-0110-5</t>
  </si>
  <si>
    <t>Шнур коммутационный патч-корд F/UTP, CAT 5e, RJ45-RJ45, 26AWG, LSZH, серый, 5м REXANT</t>
  </si>
  <si>
    <t>4. 6. 1. 5 Патч-корды медные LSZH 6 UTP</t>
  </si>
  <si>
    <t>02-0295-03</t>
  </si>
  <si>
    <t>Шнур коммутационный патч-корд U/UTP, CAT 6, RJ45-RJ45, 26AWG, LSZH, желтый, 0,3м REXANT</t>
  </si>
  <si>
    <t>02-0295-05</t>
  </si>
  <si>
    <t>Шнур коммутационный патч-корд U/UTP, CAT 6, RJ45-RJ45, 26AWG, LSZH, желтый, 0,5м REXANT</t>
  </si>
  <si>
    <t>02-0295-105</t>
  </si>
  <si>
    <t>Шнур коммутационный патч-корд U/UTP, CAT 6, RJ45-RJ45, 26AWG, LSZH, желтый, 1,5м REXANT</t>
  </si>
  <si>
    <t>02-0295-1</t>
  </si>
  <si>
    <t>Шнур коммутационный патч-корд U/UTP, CAT 6, RJ45-RJ45, 26AWG, LSZH, желтый, 1м REXANT</t>
  </si>
  <si>
    <t>02-0295-2</t>
  </si>
  <si>
    <t>Шнур коммутационный патч-корд U/UTP, CAT 6, RJ45-RJ45, 26AWG, LSZH, желтый, 2м REXANT</t>
  </si>
  <si>
    <t>02-0295-3</t>
  </si>
  <si>
    <t>Шнур коммутационный патч-корд U/UTP, CAT 6, RJ45-RJ45, 26AWG, LSZH, желтый, 3м REXANT</t>
  </si>
  <si>
    <t>02-0295-5</t>
  </si>
  <si>
    <t>Шнур коммутационный патч-корд U/UTP, CAT 6, RJ45-RJ45, 26AWG, LSZH, желтый, 5м REXANT</t>
  </si>
  <si>
    <t>02-0296-03</t>
  </si>
  <si>
    <t>Шнур коммутационный патч-корд U/UTP, CAT 6, RJ45-RJ45, 26AWG, LSZH, зеленый, 0,3м REXANT</t>
  </si>
  <si>
    <t>02-0296-05</t>
  </si>
  <si>
    <t>Шнур коммутационный патч-корд U/UTP, CAT 6, RJ45-RJ45, 26AWG, LSZH, зеленый, 0,5м REXANT</t>
  </si>
  <si>
    <t>02-0296-105</t>
  </si>
  <si>
    <t>Шнур коммутационный патч-корд U/UTP, CAT 6, RJ45-RJ45, 26AWG, LSZH, зеленый, 1,5м REXANT</t>
  </si>
  <si>
    <t>02-0296-1</t>
  </si>
  <si>
    <t>Шнур коммутационный патч-корд U/UTP, CAT 6, RJ45-RJ45, 26AWG, LSZH, зеленый, 1м REXANT</t>
  </si>
  <si>
    <t>02-0296-2</t>
  </si>
  <si>
    <t>Шнур коммутационный патч-корд U/UTP, CAT 6, RJ45-RJ45, 26AWG, LSZH, зеленый, 2м REXANT</t>
  </si>
  <si>
    <t>02-0296-3</t>
  </si>
  <si>
    <t>Шнур коммутационный патч-корд U/UTP, CAT 6, RJ45-RJ45, 26AWG, LSZH, зеленый, 3м REXANT</t>
  </si>
  <si>
    <t>02-0296-5</t>
  </si>
  <si>
    <t>Шнур коммутационный патч-корд U/UTP, CAT 6, RJ45-RJ45, 26AWG, LSZH, зеленый, 5м REXANT</t>
  </si>
  <si>
    <t>02-0293-03</t>
  </si>
  <si>
    <t>Шнур коммутационный патч-корд U/UTP, CAT 6, RJ45-RJ45, 26AWG, LSZH, красный, 0,3м REXANT</t>
  </si>
  <si>
    <t>02-0293-05</t>
  </si>
  <si>
    <t>Шнур коммутационный патч-корд U/UTP, CAT 6, RJ45-RJ45, 26AWG, LSZH, красный, 0,5м REXANT</t>
  </si>
  <si>
    <t>02-0293-105</t>
  </si>
  <si>
    <t>Шнур коммутационный патч-корд U/UTP, CAT 6, RJ45-RJ45, 26AWG, LSZH, красный, 1,5м REXANT</t>
  </si>
  <si>
    <t>02-0293-1</t>
  </si>
  <si>
    <t>Шнур коммутационный патч-корд U/UTP, CAT 6, RJ45-RJ45, 26AWG, LSZH, красный, 1м REXANT</t>
  </si>
  <si>
    <t>02-0293-2</t>
  </si>
  <si>
    <t>Шнур коммутационный патч-корд U/UTP, CAT 6, RJ45-RJ45, 26AWG, LSZH, красный, 2м REXANT</t>
  </si>
  <si>
    <t>02-0293-3</t>
  </si>
  <si>
    <t>Шнур коммутационный патч-корд U/UTP, CAT 6, RJ45-RJ45, 26AWG, LSZH, красный, 3м REXANT</t>
  </si>
  <si>
    <t>02-0293-5</t>
  </si>
  <si>
    <t>Шнур коммутационный патч-корд U/UTP, CAT 6, RJ45-RJ45, 26AWG, LSZH, красный, 5м REXANT</t>
  </si>
  <si>
    <t>02-0290-03</t>
  </si>
  <si>
    <t>Шнур коммутационный патч-корд U/UTP, CAT 6, RJ45-RJ45, 26AWG, LSZH, серый, 0,3м REXANT</t>
  </si>
  <si>
    <t>02-0290-05</t>
  </si>
  <si>
    <t>Шнур коммутационный патч-корд U/UTP, CAT 6, RJ45-RJ45, 26AWG, LSZH, серый, 0,5м REXANT</t>
  </si>
  <si>
    <t>02-0290-105</t>
  </si>
  <si>
    <t>Шнур коммутационный патч-корд U/UTP, CAT 6, RJ45-RJ45, 26AWG, LSZH, серый, 1,5м REXANT</t>
  </si>
  <si>
    <t>02-0290-1</t>
  </si>
  <si>
    <t>Шнур коммутационный патч-корд U/UTP, CAT 6, RJ45-RJ45, 26AWG, LSZH, серый, 1м REXANT</t>
  </si>
  <si>
    <t>02-0290-2</t>
  </si>
  <si>
    <t>Шнур коммутационный патч-корд U/UTP, CAT 6, RJ45-RJ45, 26AWG, LSZH, серый, 2м REXANT</t>
  </si>
  <si>
    <t>02-0290-3</t>
  </si>
  <si>
    <t>Шнур коммутационный патч-корд U/UTP, CAT 6, RJ45-RJ45, 26AWG, LSZH, серый, 3м REXANT</t>
  </si>
  <si>
    <t>02-0290-5</t>
  </si>
  <si>
    <t>Шнур коммутационный патч-корд U/UTP, CAT 6, RJ45-RJ45, 26AWG, LSZH, серый, 5м REXANT</t>
  </si>
  <si>
    <t>02-0294-03</t>
  </si>
  <si>
    <t>Шнур коммутационный патч-корд U/UTP, CAT 6, RJ45-RJ45, 26AWG, LSZH, синий, 0,3м REXANT</t>
  </si>
  <si>
    <t>02-0294-05</t>
  </si>
  <si>
    <t>Шнур коммутационный патч-корд U/UTP, CAT 6, RJ45-RJ45, 26AWG, LSZH, синий, 0,5м REXANT</t>
  </si>
  <si>
    <t>02-0294-105</t>
  </si>
  <si>
    <t>Шнур коммутационный патч-корд U/UTP, CAT 6, RJ45-RJ45, 26AWG, LSZH, синий, 1,5м REXANT</t>
  </si>
  <si>
    <t>02-0294-1</t>
  </si>
  <si>
    <t>Шнур коммутационный патч-корд U/UTP, CAT 6, RJ45-RJ45, 26AWG, LSZH, синий, 1м REXANT</t>
  </si>
  <si>
    <t>02-0294-2</t>
  </si>
  <si>
    <t>Шнур коммутационный патч-корд U/UTP, CAT 6, RJ45-RJ45, 26AWG, LSZH, синий, 2м REXANT</t>
  </si>
  <si>
    <t>02-0294-3</t>
  </si>
  <si>
    <t>Шнур коммутационный патч-корд U/UTP, CAT 6, RJ45-RJ45, 26AWG, LSZH, синий, 3м REXANT</t>
  </si>
  <si>
    <t>02-0294-5</t>
  </si>
  <si>
    <t>Шнур коммутационный патч-корд U/UTP, CAT 6, RJ45-RJ45, 26AWG, LSZH, синий, 5м REXANT</t>
  </si>
  <si>
    <t>02-0292-03</t>
  </si>
  <si>
    <t>Шнур коммутационный патч-корд U/UTP, CAT 6, RJ45-RJ45, 26AWG, LSZH, черный, 0,3м REXANT</t>
  </si>
  <si>
    <t>02-0292-05</t>
  </si>
  <si>
    <t>Шнур коммутационный патч-корд U/UTP, CAT 6, RJ45-RJ45, 26AWG, LSZH, черный, 0,5м REXANT</t>
  </si>
  <si>
    <t>02-0292-105</t>
  </si>
  <si>
    <t>Шнур коммутационный патч-корд U/UTP, CAT 6, RJ45-RJ45, 26AWG, LSZH, черный, 1,5м REXANT</t>
  </si>
  <si>
    <t>02-0292-1</t>
  </si>
  <si>
    <t>Шнур коммутационный патч-корд U/UTP, CAT 6, RJ45-RJ45, 26AWG, LSZH, черный, 1м REXANT</t>
  </si>
  <si>
    <t>02-0292-2</t>
  </si>
  <si>
    <t>Шнур коммутационный патч-корд U/UTP, CAT 6, RJ45-RJ45, 26AWG, LSZH, черный, 2м REXANT</t>
  </si>
  <si>
    <t>02-0292-3</t>
  </si>
  <si>
    <t>Шнур коммутационный патч-корд U/UTP, CAT 6, RJ45-RJ45, 26AWG, LSZH, черный, 3м REXANT</t>
  </si>
  <si>
    <t>02-0292-5</t>
  </si>
  <si>
    <t>Шнур коммутационный патч-корд U/UTP, CAT 6, RJ45-RJ45, 26AWG, LSZH, черный, 5м REXANT</t>
  </si>
  <si>
    <t>4. 6. 1. 6 Патч-корды медные LSZH 6 FTP</t>
  </si>
  <si>
    <t>02-0210-03</t>
  </si>
  <si>
    <t>Шнур коммутационный патч-корд F/UTP, CAT 6, RJ45-RJ45, 26AWG, LSZH, серый, 0,3м REXANT</t>
  </si>
  <si>
    <t>02-0210-05</t>
  </si>
  <si>
    <t>Шнур коммутационный патч-корд F/UTP, CAT 6, RJ45-RJ45, 26AWG, LSZH, серый, 0,5м REXANT</t>
  </si>
  <si>
    <t>02-0210-105</t>
  </si>
  <si>
    <t>Шнур коммутационный патч-корд F/UTP, CAT 6, RJ45-RJ45, 26AWG, LSZH, серый, 1,5м REXANT</t>
  </si>
  <si>
    <t>02-0210-1</t>
  </si>
  <si>
    <t>Шнур коммутационный патч-корд F/UTP, CAT 6, RJ45-RJ45, 26AWG, LSZH, серый, 1м REXANT</t>
  </si>
  <si>
    <t>02-0210-2</t>
  </si>
  <si>
    <t>Шнур коммутационный патч-корд F/UTP, CAT 6, RJ45-RJ45, 26AWG, LSZH, серый, 2м REXANT</t>
  </si>
  <si>
    <t>02-0210-3</t>
  </si>
  <si>
    <t>Шнур коммутационный патч-корд F/UTP, CAT 6, RJ45-RJ45, 26AWG, LSZH, серый, 3м REXANT</t>
  </si>
  <si>
    <t>02-0210-5</t>
  </si>
  <si>
    <t>Шнур коммутационный патч-корд F/UTP, CAT 6, RJ45-RJ45, 26AWG, LSZH, серый, 5м REXANT</t>
  </si>
  <si>
    <t>4. 6. 1. 7 Патч-корды медные LSZH 6A UTP</t>
  </si>
  <si>
    <t>02-0380-05</t>
  </si>
  <si>
    <t>Шнур коммутационный патч-корд U/UTP, CAT 6A (10G), RJ45-RJ45, 28AWG, LSZH, серый, 0,5м REXANT</t>
  </si>
  <si>
    <t>02-0380-1</t>
  </si>
  <si>
    <t>Шнур коммутационный патч-корд U/UTP, CAT 6A (10G), RJ45-RJ45, 28AWG, LSZH, серый, 1м REXANT</t>
  </si>
  <si>
    <t>02-0380-2</t>
  </si>
  <si>
    <t>Шнур коммутационный патч-корд U/UTP, CAT 6A (10G), RJ45-RJ45, 28AWG, LSZH, серый, 2м REXANT</t>
  </si>
  <si>
    <t>02-0380-3</t>
  </si>
  <si>
    <t>Шнур коммутационный патч-корд U/UTP, CAT 6A (10G), RJ45-RJ45, 28AWG, LSZH, серый, 3м REXANT</t>
  </si>
  <si>
    <t>02-0380-5</t>
  </si>
  <si>
    <t>Шнур коммутационный патч-корд U/UTP, CAT 6A (10G), RJ45-RJ45, 28AWG, LSZH, серый, 5м REXANT</t>
  </si>
  <si>
    <t>4. 6. 1. 8 Патч-корды медные LSZH 6A FTP</t>
  </si>
  <si>
    <t>02-0390-05</t>
  </si>
  <si>
    <t>Шнур коммутационный патч-корд S/FTP, CAT 6A (10G), RJ45-RJ45, 28AWG, LSZH, серый, 0,5м REXANT</t>
  </si>
  <si>
    <t>02-0390-10</t>
  </si>
  <si>
    <t>Шнур коммутационный патч-корд S/FTP, CAT 6A (10G), RJ45-RJ45, 28AWG, LSZH, серый, 10м REXANT</t>
  </si>
  <si>
    <t>02-0390-1</t>
  </si>
  <si>
    <t>Шнур коммутационный патч-корд S/FTP, CAT 6A (10G), RJ45-RJ45, 28AWG, LSZH, серый, 1м REXANT</t>
  </si>
  <si>
    <t>02-0390-2</t>
  </si>
  <si>
    <t>Шнур коммутационный патч-корд S/FTP, CAT 6A (10G), RJ45-RJ45, 28AWG, LSZH, серый, 2м REXANT</t>
  </si>
  <si>
    <t>02-0390-3</t>
  </si>
  <si>
    <t>Шнур коммутационный патч-корд S/FTP, CAT 6A (10G), RJ45-RJ45, 28AWG, LSZH, серый, 3м REXANT</t>
  </si>
  <si>
    <t>02-0390-5</t>
  </si>
  <si>
    <t>Шнур коммутационный патч-корд S/FTP, CAT 6A (10G), RJ45-RJ45, 28AWG, LSZH, серый, 5м REXANT</t>
  </si>
  <si>
    <t>02-0390-7</t>
  </si>
  <si>
    <t>Шнур коммутационный патч-корд S/FTP, CAT 6A (10G), RJ45-RJ45, 28AWG, LSZH, серый, 7м REXANT</t>
  </si>
  <si>
    <t>4. 6. 2 Патч-корды REXANT омедненные</t>
  </si>
  <si>
    <t>4. 6. 2. 1 Патч-корды омедненные PVC 5е UTP</t>
  </si>
  <si>
    <t>18-1001</t>
  </si>
  <si>
    <t>Шнур коммутационный патч-корд U/UTP RJ45-RJ45 CAT 5e, PVC, серый, 0,5м REXANT</t>
  </si>
  <si>
    <t>18-1004</t>
  </si>
  <si>
    <t>Шнур коммутационный патч-корд U/UTP RJ45-RJ45 CAT 5e, PVC, серый, 1,5м REXANT</t>
  </si>
  <si>
    <t>18-1009</t>
  </si>
  <si>
    <t>Шнур коммутационный, патч-корд U/UTP RJ45-RJ45, CAT 5e, PVC серый, 10м REXANT</t>
  </si>
  <si>
    <t>18-1010</t>
  </si>
  <si>
    <t>Шнур коммутационный патч-корд U/UTP RJ45-RJ45 CAT 5e, PVC, серый, 15м REXANT</t>
  </si>
  <si>
    <t>18-1002</t>
  </si>
  <si>
    <t>Шнур коммутационный патч-корд U/UTP RJ45-RJ45 CAT 5e, PVC, серый, 1м REXANT</t>
  </si>
  <si>
    <t>18-1011</t>
  </si>
  <si>
    <t>Шнур коммутационный, патч-корд U/UTP RJ45-RJ45, CAT 5e, PVC серый, 20м REXANT</t>
  </si>
  <si>
    <t>18-1012</t>
  </si>
  <si>
    <t>Шнур коммутационный, патч-корд U/UTP RJ45-RJ45, CAT 5e, PVC, серый, 25м REXANT</t>
  </si>
  <si>
    <t>18-1005</t>
  </si>
  <si>
    <t>Шнур коммутационный патч-корд U/UTP RJ45-RJ45 CAT 5e, PVC, серый, 2м REXANT</t>
  </si>
  <si>
    <t>18-1006</t>
  </si>
  <si>
    <t>Шнур коммутационный, патч-корд U/UTP RJ45-RJ45, CAT 5e, PVC серый, 3м REXANT</t>
  </si>
  <si>
    <t>18-1007</t>
  </si>
  <si>
    <t>Шнур коммутационный, патч-корд U/UTP RJ45-RJ45, CAT 5e, PVC серый, 5м REXANT</t>
  </si>
  <si>
    <t>18-1008</t>
  </si>
  <si>
    <t>Шнур коммутационный, патч-корд U/UTP RJ45-RJ45, CAT 5e, PVC серый, 7м REXANT</t>
  </si>
  <si>
    <t>4. 6. 2. 2 Патч-корды омедненные LSZH 5е UTP</t>
  </si>
  <si>
    <t>18-8001</t>
  </si>
  <si>
    <t>Шнур коммутационный патч-корд U/UTP RJ45-RJ45, CAT 5e, LSZH серый, 0,5м REXANT</t>
  </si>
  <si>
    <t>18-8004</t>
  </si>
  <si>
    <t>Шнур коммутационный патч-корд U/UTP RJ45-RJ45, CAT 5e, LSZH серый, 1,5м REXANT</t>
  </si>
  <si>
    <t>18-8002</t>
  </si>
  <si>
    <t>Шнур коммутационный патч-корд U/UTP RJ45-RJ45, CAT 5e, LSZH серый, 1м REXANT</t>
  </si>
  <si>
    <t>18-8005</t>
  </si>
  <si>
    <t>Шнур коммутационный патч-корд U/UTP RJ45-RJ45, CAT 5e, LSZH серый, 2м REXANT</t>
  </si>
  <si>
    <t>18-8006</t>
  </si>
  <si>
    <t>Шнур коммутационный патч-корд U/UTP RJ45-RJ45, CAT 5e, LSZH серый, 3м REXANT</t>
  </si>
  <si>
    <t>18-8007</t>
  </si>
  <si>
    <t>Шнур коммутационный патч-корд U/UTP RJ45-RJ45, CAT 5e, LSZH серый, 5м REXANT</t>
  </si>
  <si>
    <t>4. 6. 2. 3 Патч-корды омедненные LSZH 5е FTP</t>
  </si>
  <si>
    <t>18-8001-1</t>
  </si>
  <si>
    <t>Шнур коммутационный патч-корд F/UTP RJ45-RJ45, CAT 5e, LSZH серый, 0,5м REXANT</t>
  </si>
  <si>
    <t>18-8004-1</t>
  </si>
  <si>
    <t>Шнур коммутационный патч-корд F/UTP RJ45-RJ45, CAT 5e, LSZH серый, 1,5м REXANT</t>
  </si>
  <si>
    <t>18-8002-1</t>
  </si>
  <si>
    <t>Шнур коммутационный патч-корд F/UTP RJ45-RJ45, CAT 5e, LSZH серый, 1м REXANT</t>
  </si>
  <si>
    <t>18-8005-1</t>
  </si>
  <si>
    <t>Шнур коммутационный патч-корд F/UTP RJ45-RJ45, CAT 5e, LSZH серый, 2м REXANT</t>
  </si>
  <si>
    <t>18-8006-1</t>
  </si>
  <si>
    <t>Шнур коммутационный патч-корд F/UTP RJ45-RJ45, CAT 5e, LSZH серый, 3м REXANT</t>
  </si>
  <si>
    <t>18-8007-1</t>
  </si>
  <si>
    <t>Шнур коммутационный патч-корд F/UTP RJ45-RJ45, CAT 5e, LSZH серый, 5м REXANT</t>
  </si>
  <si>
    <t>4. 6. 2. 4 Патч-корды омедненные LSZH 6 FTP</t>
  </si>
  <si>
    <t>18-8102-1</t>
  </si>
  <si>
    <t>Шнур коммутационный патч-корд F/UTP RJ45-RJ45, CAT 6, LSZH серый, 1м REXANT</t>
  </si>
  <si>
    <t>18-8106-1</t>
  </si>
  <si>
    <t>Шнур коммутационный патч-корд F/UTP RJ45-RJ45, CAT 6, LSZH серый, 3м REXANT</t>
  </si>
  <si>
    <t>18-8107-1</t>
  </si>
  <si>
    <t>Шнур коммутационный патч-корд F/UTP RJ45-RJ45, CAT 6, LSZH серый, 5м REXANT</t>
  </si>
  <si>
    <t>4. 7 Шкафы и стойки</t>
  </si>
  <si>
    <t>4. 7. 1 Настенные шкафы РФ</t>
  </si>
  <si>
    <t>4. 7. 1. 1 Настенные шкафы 6U 600х600</t>
  </si>
  <si>
    <t>04-2230</t>
  </si>
  <si>
    <t>Шкаф телекоммуникационный настенный 19" 6U 600×600×370мм, дверь металл, с задней стенкой, разборный, серый RAL 7035 REXANT</t>
  </si>
  <si>
    <t>10 - 40 дней</t>
  </si>
  <si>
    <t>4. 7. 1. 2 Настенные шкафы 6U 600х450</t>
  </si>
  <si>
    <t>04-2210</t>
  </si>
  <si>
    <t>Шкаф телекоммуникационный настенный 19" 6U 600×450×370мм, дверь металл, с задней стенкой, разборный, серый RAL 7035 REXANT</t>
  </si>
  <si>
    <t>10 - 50 дней</t>
  </si>
  <si>
    <t>4. 7. 1. 6 Настенные шкафы 12U 600х450</t>
  </si>
  <si>
    <t>04-2212</t>
  </si>
  <si>
    <t>Шкаф телекоммуникационный настенный 19" 12U 600×450×635мм, дверь металл, с задней стенкой, разборный, серый RAL 7035 REXANT</t>
  </si>
  <si>
    <t>04-2202</t>
  </si>
  <si>
    <t>Шкаф телекоммуникационный настенный 19" 12U 600×450×635мм, дверь стекло, с задней стенкой, разборный, серый RAL 7035 REXANT</t>
  </si>
  <si>
    <t>4. 7. 1. 7 Настенные шкафы 15U 600х600</t>
  </si>
  <si>
    <t>04-2233</t>
  </si>
  <si>
    <t>Шкаф телекоммуникационный настенный 19" 15U 600×600×770мм, дверь металл, с задней стенкой, разборный серый RAL 7035 REXANT</t>
  </si>
  <si>
    <t>04-2223</t>
  </si>
  <si>
    <t>Шкаф телекоммуникационный настенный 19" 15U 600×600×770мм, дверь стекло, с задней стенкой, разборный серый RAL 7035 REXANT</t>
  </si>
  <si>
    <t>4. 7. 1. 8 Настенные шкафы 15U 600х450</t>
  </si>
  <si>
    <t>04-2213</t>
  </si>
  <si>
    <t>Шкаф телекоммуникационный настенный 19" 15U 600×450×770мм, дверь металл, с задней стенкой, разборный, серый RAL 7035 REXANT</t>
  </si>
  <si>
    <t>04-2203</t>
  </si>
  <si>
    <t>Шкаф телекоммуникационный настенный 19" 15U 600×450×770мм, дверь стекло, с задней стенкой, разборный, серый RAL 7035 REXANT</t>
  </si>
  <si>
    <t>4. 7. 1. 9 Настенные шкафы 18U 600х600</t>
  </si>
  <si>
    <t>04-2214</t>
  </si>
  <si>
    <t>Шкаф телекоммуникационный настенный 19" 18U 600×450×964мм, дверь металл, с задней стенкой, разборный, серый RAL 7035 REXANT</t>
  </si>
  <si>
    <t>04-2204</t>
  </si>
  <si>
    <t>Шкаф телекоммуникационный настенный 19" 18U 600×450×964мм, дверь стекло, с задней стенкой, разборный, серый RAL 7035 REXANT</t>
  </si>
  <si>
    <t>04-2224</t>
  </si>
  <si>
    <t>Шкаф телекоммуникационный настенный 19" 18U 600×600×964мм, дверь стекло, с задней стенкой, разборный, серый RAL 7035 REXANT</t>
  </si>
  <si>
    <t>4. 7. 2 Напольные шкафы РФ</t>
  </si>
  <si>
    <t>4. 7. 2. 3 Напольные шкафы 22U 600x600</t>
  </si>
  <si>
    <t>04-2339</t>
  </si>
  <si>
    <t>Шкаф телекоммуникационный напольный 19" 22U 600х600мм, передняя и задняя дверь перфорация, разборный, серый (RAL 7035) REXANT</t>
  </si>
  <si>
    <t>5 - 50 дней</t>
  </si>
  <si>
    <t>4. 7. 2. 4 Напольные шкафы 22U 600x800</t>
  </si>
  <si>
    <t>04-2314</t>
  </si>
  <si>
    <t>Шкаф телекоммуникационный напольный 19" 22U 600х800мм, дверь стекло, задняя дверь металл, разборный, серый (RAL 7035) REXANT</t>
  </si>
  <si>
    <t>5 - 40 дней</t>
  </si>
  <si>
    <t>04-2340</t>
  </si>
  <si>
    <t>Шкаф телекоммуникационный напольный 19" 22U 600х800мм, передняя и задняя дверь перфорация, разборный, серый (RAL 7035) REXANT</t>
  </si>
  <si>
    <t>4. 7. 2. 5 Напольные шкафы 22U 600x1000</t>
  </si>
  <si>
    <t>04-2315</t>
  </si>
  <si>
    <t>Шкаф телекоммуникационный напольный 19" 22U 600х1000мм, дверь стекло, задняя дверь металл, разборный, серый (RAL 7035) REXANT</t>
  </si>
  <si>
    <t>4. 7. 2. 6 Напольные шкафы 32U 600x600</t>
  </si>
  <si>
    <t>04-2701</t>
  </si>
  <si>
    <t>Стойка открытая 19" 33U однорамная (состоит из 2 коробок) REXANT</t>
  </si>
  <si>
    <t>4. 7. 2. 7 Напольные шкафы 32U 600x800</t>
  </si>
  <si>
    <t>04-2311</t>
  </si>
  <si>
    <t>Шкаф телекоммуникационный напольный 19" 32U 600х800мм, дверь стекло, задняя дверь металл, разборный, серый (RAL 7035) REXANT</t>
  </si>
  <si>
    <t>04-2338</t>
  </si>
  <si>
    <t>Шкаф телекоммуникационный напольный 19" 32U 600х800мм, передняя и задняя дверь перфорация, разборный, серый (RAL 7035) REXANT</t>
  </si>
  <si>
    <t>4. 7. 2. 8 Напольные шкафы 32U 600x1000</t>
  </si>
  <si>
    <t>04-2312</t>
  </si>
  <si>
    <t>Шкаф телекоммуникационный напольный 19" 32U 600х1000мм, дверь стекло, задняя дверь металл, разборный, серый (RAL 7035) REXANT</t>
  </si>
  <si>
    <t>4. 7. 2. 9 Напольные шкафы 42U 600x600</t>
  </si>
  <si>
    <t>04-2333</t>
  </si>
  <si>
    <t>Шкаф телекоммуникационный напольный 19" 42U 600х600мм, передняя и задняя дверь перфорация, разборный, серый (RAL 7035) REXANT</t>
  </si>
  <si>
    <t>04-2360</t>
  </si>
  <si>
    <t>Шкаф телекоммуникационный напольный 19" 42U 600х600мм, передняя и задняя распашные перфорированные двери, разборный, серый (RAL 7035) REXANT</t>
  </si>
  <si>
    <t>4. 7. 2.10 Напольные шкафы 42U 600x800</t>
  </si>
  <si>
    <t>04-2361</t>
  </si>
  <si>
    <t>Шкаф телекоммуникационный напольный 19" 42U 600х800мм, передняя и задняя распашные перфорированные двери, разборный, серый (RAL 7035) REXANT</t>
  </si>
  <si>
    <t>4. 7. 2.11 Напольные шкафы 42U 600x1000</t>
  </si>
  <si>
    <t>04-2307</t>
  </si>
  <si>
    <t>Шкаф телекоммуникационный напольный 19" 42U 600х1000мм, дверь стекло, задняя дверь металл, разборный, серый (RAL 7035) REXANT</t>
  </si>
  <si>
    <t>04-2332</t>
  </si>
  <si>
    <t>Шкаф телекоммуникационный напольный 19" 42U 600х1000мм, передняя и задняя дверь перфорация, разборный, серый (RAL 7035) REXANT</t>
  </si>
  <si>
    <t>04-2362</t>
  </si>
  <si>
    <t>Шкаф телекоммуникационный напольный 19" 42U 600х1000мм, передняя и задняя распашные перфорированные двери, разборный, серый (RAL 7035) REXANT</t>
  </si>
  <si>
    <t>4. 7. 2.12 Напольные шкафы 42U 800x800</t>
  </si>
  <si>
    <t>04-2336</t>
  </si>
  <si>
    <t>Шкаф телекоммуникационный напольный 19" 42U 800х1000мм, передняя и задняя дверь перфорация, разборный, серый (RAL 7035) REXANT</t>
  </si>
  <si>
    <t>04-2335</t>
  </si>
  <si>
    <t>Шкаф телекоммуникационный напольный 19" 42U 800х800мм, передняя и задняя дверь перфорация, разборный, серый (RAL 7035) REXANT</t>
  </si>
  <si>
    <t>04-2363</t>
  </si>
  <si>
    <t>Шкаф телекоммуникационный напольный 19" 42U 800х800мм, передняя и задняя распашные перфорированные двери, разборный, серый (RAL 7035) REXANT</t>
  </si>
  <si>
    <t>4. 7. 2.13 Напольные шкафы 42U 800x1000</t>
  </si>
  <si>
    <t>04-2309</t>
  </si>
  <si>
    <t>Шкаф телекоммуникационный напольный 19" 42U 800х1000мм, дверь стекло, задняя дверь металл, разборный, серый (RAL 7035) REXANT</t>
  </si>
  <si>
    <t>04-2364-1</t>
  </si>
  <si>
    <t>Шкаф телекоммуникационный напольный 19" 42U 800х1000мм, передняя и задняя дверь с перфорацией, разборный, черный (RAL 9005) REXANT</t>
  </si>
  <si>
    <t>1 - 40 дней</t>
  </si>
  <si>
    <t>04-2364</t>
  </si>
  <si>
    <t>Шкаф телекоммуникационный напольный 19" 42U 800х1000мм, передняя и задняя распашные перфорированные двери, разборный, серый (RAL 7035) REXANT</t>
  </si>
  <si>
    <t>4. 7. 2.14 Напольные шкафы 47U 600х600</t>
  </si>
  <si>
    <t>04-2304</t>
  </si>
  <si>
    <t>Шкаф телекоммуникационный напольный 19" 47U 600х600мм, дверь стекло, задняя дверь металл, разборный, серый (RAL 7035) REXANT</t>
  </si>
  <si>
    <t>4. 7. 2.15 Напольные шкафы 47U 600х800</t>
  </si>
  <si>
    <t>04-2303</t>
  </si>
  <si>
    <t>Шкаф телекоммуникационный напольный 19" 47U 600х800мм, дверь стекло, задняя дверь металл, разборный, серый (RAL 7035) REXANT</t>
  </si>
  <si>
    <t>4. 7. 2.16 Напольные шкафы 47U 600х1000</t>
  </si>
  <si>
    <t>04-2300</t>
  </si>
  <si>
    <t>Шкаф телекоммуникационный напольный 19" 47U 600х1000мм, дверь стекло, задняя дверь металл, разборный, серый (RAL 7035) REXANT</t>
  </si>
  <si>
    <t>04-2330</t>
  </si>
  <si>
    <t>Шкаф телекоммуникационный напольный 19" 47U 600х1000мм, передняя и задняя дверь перфорация, разборный, серый (RAL 7035) REXANT</t>
  </si>
  <si>
    <t>4. 7. 2.17 Напольные шкафы 47U 800х800</t>
  </si>
  <si>
    <t>04-2302</t>
  </si>
  <si>
    <t>Шкаф телекоммуникационный напольный 19" 47U 800х800мм, дверь стекло, задняя дверь металл, разборный, серый (RAL 7035) REXANT</t>
  </si>
  <si>
    <t>4. 7. 2.18 Напольные шкафы 47U 800х1000</t>
  </si>
  <si>
    <t>04-2301</t>
  </si>
  <si>
    <t>Шкаф телекоммуникационный напольный 19" 47U 800х1000мм, дверь стекло, задняя дверь металл, разборный, серый (RAL 7035) REXANT</t>
  </si>
  <si>
    <t>04-2331</t>
  </si>
  <si>
    <t>Шкаф телекоммуникационный напольный 19" 47U 800х1000мм, передняя и задняя дверь перфорация, разборный, серый (RAL 7035) REXANT</t>
  </si>
  <si>
    <t>4. 7. 3 Настенные шкафы REXANT</t>
  </si>
  <si>
    <t>4. 7. 3. 1 Настенные шкафы 6U 600х450</t>
  </si>
  <si>
    <t>04-0664-111</t>
  </si>
  <si>
    <t>Шкаф телекоммуникационный настенный 19" 6U 600×450мм, дверь стекло, с задней стенкой, разборный, серый RAL 7035 REXANT</t>
  </si>
  <si>
    <t>04-0664-112</t>
  </si>
  <si>
    <t>Шкаф телекоммуникационный настенный 19" 6U 600×450мм, дверь стекло, с задней стенкой, разборный, черный RAL 9005 REXANT</t>
  </si>
  <si>
    <t>4. 7. 3. 2 Настенные шкафы 6U 600х600</t>
  </si>
  <si>
    <t>04-0666-111</t>
  </si>
  <si>
    <t>Шкаф телекоммуникационный настенный 19" 6U 600×600мм, дверь стекло, с задней стенкой, разборный, серый RAL 7035 REXANT</t>
  </si>
  <si>
    <t>04-0666-112</t>
  </si>
  <si>
    <t>Шкаф телекоммуникационный настенный 19" 6U 600×600мм, дверь стекло, с задней стенкой, разборный, черный RAL 9005 REXANT</t>
  </si>
  <si>
    <t>4. 7. 3. 3 Настенные шкафы 9U 600х450</t>
  </si>
  <si>
    <t>04-0964-121</t>
  </si>
  <si>
    <t>Шкаф телекоммуникационный настенный 19" 9U 600×450мм, дверь металл, с задней стенкой, разборный, серый RAL 7035 REXANT</t>
  </si>
  <si>
    <t>04-0964-111</t>
  </si>
  <si>
    <t>Шкаф телекоммуникационный настенный 19" 9U 600×450мм, дверь стекло, с задней стенкой, разборный, серый RAL 7035 REXANT</t>
  </si>
  <si>
    <t>04-0964-112</t>
  </si>
  <si>
    <t>Шкаф телекоммуникационный настенный 19" 9U 600×450мм, дверь стекло, с задней стенкой, разборный, черный RAL 9005 REXANT</t>
  </si>
  <si>
    <t>4. 7. 3. 4 Настенные шкафы 12U 600х600</t>
  </si>
  <si>
    <t>04-1266-121</t>
  </si>
  <si>
    <t>Шкаф телекоммуникационный настенный 19" 12U 600×600мм, дверь металл, с задней стенкой, разборный, серый RAL 7035 REXANT</t>
  </si>
  <si>
    <t>04-1266-122</t>
  </si>
  <si>
    <t>Шкаф телекоммуникационный настенный 19" 12U 600×600мм, дверь металл, с задней стенкой, разборный, черный RAL 9005 REXANT</t>
  </si>
  <si>
    <t>04-1266-111</t>
  </si>
  <si>
    <t>Шкаф телекоммуникационный настенный 19" 12U 600×600мм, дверь стекло, с задней стенкой, разборный, серый RAL 7035 REXANT</t>
  </si>
  <si>
    <t>04-1266-112</t>
  </si>
  <si>
    <t>Шкаф телекоммуникационный настенный 19" 12U 600×600мм, дверь стекло, с задней стенкой, разборный, черный RAL 9005 REXANT</t>
  </si>
  <si>
    <t>4. 7. 3. 6 Настенные шкафы 6U 550х450</t>
  </si>
  <si>
    <t>04-0654-111</t>
  </si>
  <si>
    <t>Шкаф телекоммуникационный настенный 19" 6U 550×400мм, дверь стекло, с задней стенкой, разборный, серый RAL 7035 REXANT</t>
  </si>
  <si>
    <t>04-0654-112</t>
  </si>
  <si>
    <t>Шкаф телекоммуникационный настенный 19" 6U 550×400мм, дверь стекло, с задней стенкой, разборный, черный RAL 9005 REXANT</t>
  </si>
  <si>
    <t>4. 7. 3. 7 Настенные шкафы 9U 550х450</t>
  </si>
  <si>
    <t>04-0954-122</t>
  </si>
  <si>
    <t>Шкаф телекоммуникационный настенный 19" 9U 550×400мм, дверь металл, с задней стенкой, разборный, черный RAL 9005 REXANT</t>
  </si>
  <si>
    <t>04-0954-111</t>
  </si>
  <si>
    <t>Шкаф телекоммуникационный настенный 19" 9U 550×400мм, дверь стекло, с задней стенкой, разборный, серый RAL 7035 REXANT</t>
  </si>
  <si>
    <t>04-0954-112</t>
  </si>
  <si>
    <t>Шкаф телекоммуникационный настенный 19" 9U 550×400мм, дверь стекло, с задней стенкой, разборный, черный RAL 9005 REXANT</t>
  </si>
  <si>
    <t>4. 7. 3. 8 Настенные шкафы 9U 600х600</t>
  </si>
  <si>
    <t>04-0966-121</t>
  </si>
  <si>
    <t>Шкаф телекоммуникационный настенный 19" 9U 600×600мм, дверь металл, с задней стенкой, разборный, серый RAL 7035 REXANT</t>
  </si>
  <si>
    <t>04-0966-122</t>
  </si>
  <si>
    <t>Шкаф телекоммуникационный настенный 19" 9U 600×600мм, дверь металл, с задней стенкой, разборный, черный RAL 9005 REXANT</t>
  </si>
  <si>
    <t>04-0966-111</t>
  </si>
  <si>
    <t>Шкаф телекоммуникационный настенный 19" 9U 600×600мм, дверь стекло, с задней стенкой, разборный, серый RAL 7035 REXANT</t>
  </si>
  <si>
    <t>04-0966-112</t>
  </si>
  <si>
    <t>Шкаф телекоммуникационный настенный 19" 9U 600×600мм, дверь стекло, с задней стенкой, разборный, черный RAL 9005 REXANT</t>
  </si>
  <si>
    <t>4. 7. 3.12 Настенные шкафы 18U 600х600</t>
  </si>
  <si>
    <t>04-1866-121</t>
  </si>
  <si>
    <t>Шкаф телекоммуникационный настенный 19" 18U 600×600мм, дверь металл, с задней стенкой, разборный, серый RAL 7035 REXANT</t>
  </si>
  <si>
    <t>4. 7. 4 Напольные шкафы REXANT</t>
  </si>
  <si>
    <t>4. 7. 4. 1 Напольные шкафы 18U 600х600</t>
  </si>
  <si>
    <t>04-1866-211</t>
  </si>
  <si>
    <t>Шкаф телекоммуникационный напольный 19" 18U 600×600×987мм, дверь стекло, задняя дверь металл, разборный, серый (RAL 7035) REXANT</t>
  </si>
  <si>
    <t>04-1866-212</t>
  </si>
  <si>
    <t>Шкаф телекоммуникационный напольный 19" 18U 600×600×987мм, дверь стекло, задняя дверь металл, разборный, черный (RAL 9005) REXANT</t>
  </si>
  <si>
    <t>04-1866-232</t>
  </si>
  <si>
    <t>Шкаф телекоммуникационный напольный 19" 18U 600×600мм, дверь перфорация, разборный, черный (RAL 9005) REXANT</t>
  </si>
  <si>
    <t>4. 7. 4. 2 Напольные шкафы 22U 600х600</t>
  </si>
  <si>
    <t>04-2266-211</t>
  </si>
  <si>
    <t>Шкаф телекоммуникационный напольный 19" 22U 600×600×1164мм, дверь стекло, задняя дверь металл, разборный, серый (RAL 7035) REXANT</t>
  </si>
  <si>
    <t>04-2266-212</t>
  </si>
  <si>
    <t>Шкаф телекоммуникационный напольный 19" 22U 600×600×1164мм, дверь стекло, задняя дверь металл, разборный, черный (RAL 9005) REXANT</t>
  </si>
  <si>
    <t>4. 7. 4. 3 Напольные шкафы 27U 600х600</t>
  </si>
  <si>
    <t>04-2766-211</t>
  </si>
  <si>
    <t>Шкаф телекоммуникационный напольный 19" 27U 600×600×1387мм, дверь стекло, задняя дверь металл, разборный, серый (RAL 7035) REXANT</t>
  </si>
  <si>
    <t>04-2766-212</t>
  </si>
  <si>
    <t>Шкаф телекоммуникационный напольный 19" 27U 600×600×1387мм, дверь стекло, задняя дверь металл, разборный, черный (RAL 9005) REXANT</t>
  </si>
  <si>
    <t>4. 7. 4. 4 Напольные шкафы 32U 600x600</t>
  </si>
  <si>
    <t>04-3266-211</t>
  </si>
  <si>
    <t>Шкаф телекоммуникационный напольный 19" 32U 600×600×1609мм, дверь стекло, задняя дверь металл, разборный, серый (RAL 7035) REXANT</t>
  </si>
  <si>
    <t>04-3266-212</t>
  </si>
  <si>
    <t>Шкаф телекоммуникационный напольный 19" 32U 600×600×1609мм, дверь стекло, задняя дверь металл, разборный, черный (RAL 9005) REXANT</t>
  </si>
  <si>
    <t>4. 7. 4. 5 Напольные шкафы 37U 600x600</t>
  </si>
  <si>
    <t>04-3766-211</t>
  </si>
  <si>
    <t>Шкаф телекоммуникационный напольный 19" 37U 600×600×1832мм, дверь стекло, задняя дверь металл, разборный, серый (RAL 7035) REXANT</t>
  </si>
  <si>
    <t>04-3766-212</t>
  </si>
  <si>
    <t>Шкаф телекоммуникационный напольный 19" 37U 600×600×1832мм, дверь стекло, задняя дверь металл, разборный, черный (RAL 9005) REXANT</t>
  </si>
  <si>
    <t>4. 7. 4. 6 Напольные шкафы 42U 600x600</t>
  </si>
  <si>
    <t>04-4266-211</t>
  </si>
  <si>
    <t>Шкаф телекоммуникационный напольный 19" 42U 600×600×2054мм, дверь стекло, задняя дверь металл, разборный, серый (RAL 7035) REXANT</t>
  </si>
  <si>
    <t>04-4266-212</t>
  </si>
  <si>
    <t>Шкаф телекоммуникационный напольный 19" 42U 600×600×2054мм, дверь стекло, задняя дверь металл, разборный, черный (RAL 9005) REXANT</t>
  </si>
  <si>
    <t>4. 7. 4. 7 Напольные шкафы 42U 600x800</t>
  </si>
  <si>
    <t>04-4266-232</t>
  </si>
  <si>
    <t>Шкаф телекоммуникационный напольный 19" 42U 600×800×2054мм, дверь перфорация, перфорированная задняя дверь, разборный, черный (RAL 9005) REXANT</t>
  </si>
  <si>
    <t>04-4268-211</t>
  </si>
  <si>
    <t>Шкаф телекоммуникационный напольный 19" 42U 600×800×2054мм, дверь стекло, задняя дверь металл, разборный, серый (RAL 7035) REXANT</t>
  </si>
  <si>
    <t>04-4268-212</t>
  </si>
  <si>
    <t>Шкаф телекоммуникационный напольный 19" 42U 600×800×2054мм, дверь стекло, задняя дверь металл, разборный, черный (RAL 9005) REXANT</t>
  </si>
  <si>
    <t>04-4268-231</t>
  </si>
  <si>
    <t>Шкаф телекоммуникационный напольный 19" 42U 600×800мм, дверь перфорация, разборный, серый (RAL 7035) REXANT</t>
  </si>
  <si>
    <t>04-4268-232</t>
  </si>
  <si>
    <t>Шкаф телекоммуникационный напольный 19" 42U 600×800х2054мм, дверь перфорация, перфорированная задняя дверь, разборный, черный (RAL 9005) REXANT</t>
  </si>
  <si>
    <t>4. 7. 4. 8 Напольные шкафы 42U 800x800</t>
  </si>
  <si>
    <t>04-4288-212</t>
  </si>
  <si>
    <t>Шкаф телекоммуникационный напольный 19" 42U 800×800×2054мм, дверь стекло, задняя дверь металл, разборный, черный (RAL 9005) REXANT</t>
  </si>
  <si>
    <t>04-4288-211</t>
  </si>
  <si>
    <t>Шкаф телекоммуникационный напольный 19" 42U 800×800мм, дверь стекло, разборный, серый (RAL 7035) REXANT</t>
  </si>
  <si>
    <t>4. 7. 5 Антивандальные настенные шкафы</t>
  </si>
  <si>
    <t>04-2253</t>
  </si>
  <si>
    <t>Шкаф настенный 19" антивандальный распашной 10U 600×500×500мм, серый RAL 7035 REXANT</t>
  </si>
  <si>
    <t>04-2254</t>
  </si>
  <si>
    <t>Шкаф настенный 19" антивандальный распашной 14U 600×500×700мм, серый RAL 7035 REXANT</t>
  </si>
  <si>
    <t>04-0654-720</t>
  </si>
  <si>
    <t>Шкаф настенный 19" антивандальный распашной 6U 550×400×280мм, серый REXANT</t>
  </si>
  <si>
    <t>04-2252</t>
  </si>
  <si>
    <t>Шкаф настенный 19" антивандальный распашной 8U 600×400×450мм, серый RAL 7035 REXANT</t>
  </si>
  <si>
    <t>4. 7. 6 Полки для шкафов и стоек</t>
  </si>
  <si>
    <t>04-2629</t>
  </si>
  <si>
    <t>Полка выдвижная для клавиатуры 19" 1U, глубина 450мм REXANT</t>
  </si>
  <si>
    <t>04-2626</t>
  </si>
  <si>
    <t>Полка переднего крепления, стационарная, 19" 1U глубиной 250мм REXANT</t>
  </si>
  <si>
    <t>04-2628</t>
  </si>
  <si>
    <t>Полка переднего крепления, стационарная, 19" 2U глубиной 450мм REXANT</t>
  </si>
  <si>
    <t>04-2625</t>
  </si>
  <si>
    <t>Полка стационарная усиленная 19" 1U, полезная глубина 700мм, для шкафов глубиной 1000мм REXANT</t>
  </si>
  <si>
    <t>04-2620</t>
  </si>
  <si>
    <t>Полка стационарная 19" 1U, полезная глубина 350мм, для шкафов глубиной 600мм REXANT</t>
  </si>
  <si>
    <t>4. 7. 7 Организация кабеля</t>
  </si>
  <si>
    <t>04-2641</t>
  </si>
  <si>
    <t>Органайзер кабельный вертикальный 42U без крышки ширина 100мм REXANT</t>
  </si>
  <si>
    <t>04-2640</t>
  </si>
  <si>
    <t>Органайзер кабельный вертикальный 42U с крышкой, ширина 100мм REXANT</t>
  </si>
  <si>
    <t>04-2650</t>
  </si>
  <si>
    <t>Органайзер кабельный вертикальный 47U без крышки, ширина 100мм REXANT</t>
  </si>
  <si>
    <t>04-2651</t>
  </si>
  <si>
    <t>Органайзер кабельный вертикальный 47U с крышкой, ширина 100мм REXANT</t>
  </si>
  <si>
    <t>04-0305</t>
  </si>
  <si>
    <t>Органайзер кабельный горизонтальный, 19", 1U, 5 колец глубиной 45 мм, металл, RAL 7035</t>
  </si>
  <si>
    <t>04-2660</t>
  </si>
  <si>
    <t>Панель заглушка 19" 1U REXANT</t>
  </si>
  <si>
    <t>04-2661</t>
  </si>
  <si>
    <t>Панель заглушка 19" 2U REXANT</t>
  </si>
  <si>
    <t>4. 7. 8 Распределение питания PDU</t>
  </si>
  <si>
    <t>04-0202-2</t>
  </si>
  <si>
    <t>Блок распределения питания PDU вертикальный 10 розеток СЕЕ 7/4 Schuko 10 розеток C13 16А авт защит алюм корп шнур 2м вилка СЕЕ 7/7 Schuko черн REXANT</t>
  </si>
  <si>
    <t>04-0204-2</t>
  </si>
  <si>
    <t>Блок распределения питания PDU вертикальный 12 розеток СЕЕ 7/4 Schuko 16A выкл алюм корп шнур 2м вилка СЕЕ 7/7 Schuko черный REXANT</t>
  </si>
  <si>
    <t>04-0205-2</t>
  </si>
  <si>
    <t>Блок распределения питания PDU вертикальный 13 розеток СЕЕ 7/4 Schuko 16A фильтр без выкл алюм корп шнур 2м вилка СЕЕ 7/7 Schuko черный REXANT</t>
  </si>
  <si>
    <t>04-0201-2</t>
  </si>
  <si>
    <t>Блок распределения питания PDU вертикальный 20 розеток СЕЕ 7/4 Schuko 16А автомат защиты алюм корп шнур 2м вилка СЕЕ 7/7 Schuko черный REXANT</t>
  </si>
  <si>
    <t>04-0301-1</t>
  </si>
  <si>
    <t>Блок распределения питания PDU горизонтальный 1U 6 розеток СЕЕ 7/4 Schuko 10A без выкл алюм корп шнур 2м вилка C14 черный REXANT</t>
  </si>
  <si>
    <t>04-0103-1</t>
  </si>
  <si>
    <t>Блок распределения питания PDU горизонтальный 1U 6 розеток СЕЕ 7/4 Schuko 16A автомат защиты алюм корп шнур 2м вилка СЕЕ 7/7 Schuko черный REXANT</t>
  </si>
  <si>
    <t>04-0101-1</t>
  </si>
  <si>
    <t>Блок распределения питания PDU горизонтальный 1U 6 розеток СЕЕ 7/4 Schuko 16A без выкл алюм корп шнур 2м вилка СЕЕ 7/7 Schuko черный REXANT</t>
  </si>
  <si>
    <t>04-0102-1</t>
  </si>
  <si>
    <t>Блок распределения питания PDU горизонтальный 1U 6 розеток СЕЕ 7/4 Schuko 16A фильтр выкл алюм корп шнур 2м вилка СЕЕ 7/7 Schuko черный REXANT</t>
  </si>
  <si>
    <t>04-0304-1</t>
  </si>
  <si>
    <t>Блок распределения питания PDU горизонтальный 1U 8 розеток C13 10A без выкл алюм корп шнур 2м вилка C14 черный REXANT</t>
  </si>
  <si>
    <t>04-0303-1</t>
  </si>
  <si>
    <t>Блок распределения питания PDU горизонтальный 1U 8 розеток СЕЕ 7/4 Schuko 10A выкл алюм корп гнездо C14 черный REXANT</t>
  </si>
  <si>
    <t>04-0302-1</t>
  </si>
  <si>
    <t>Блок распределения питания PDU горизонтальный 1U 8 розеток СЕЕ 7/4 Schuko 10A выкл алюм корп шнур 2м вилка C14 черный REXANT</t>
  </si>
  <si>
    <t>04-0104-1</t>
  </si>
  <si>
    <t>Блок распределения питания PDU горизонтальный 1U 8 розеток СЕЕ 7/4 Schuko 16A выкл алюм корп шнур 2м вилка СЕЕ 7/7 Schuko черный REXANT</t>
  </si>
  <si>
    <t>04-0305-1</t>
  </si>
  <si>
    <t>Блок распределения питания PDU горизонтальный 1U 9 розеток СЕЕ 7/4 Schuko 10A без выкл алюм корп шнур 2м вилка C14 черный REXANT</t>
  </si>
  <si>
    <t>04-0105-1</t>
  </si>
  <si>
    <t>Блок распределения питания PDU горизонтальный 1U 9 розеток СЕЕ 7/4 Schuko 16A без выкл алюм корп шнур 2м вилка СЕЕ 7/7 Schuko черный REXANT</t>
  </si>
  <si>
    <t>4. 7. 9 Кабели питания для PDU</t>
  </si>
  <si>
    <t>04-2721</t>
  </si>
  <si>
    <t>Шнур сетевой IEC 320 C13 – IEC 320 C14 3x0,75мм², 6А, длина 0,6м REXANT</t>
  </si>
  <si>
    <t>04-2722</t>
  </si>
  <si>
    <t>Шнур сетевой IEC 320 C13 – IEC 320 C14 3x0,75мм², 6А, длина 1,2м REXANT</t>
  </si>
  <si>
    <t>04-2723</t>
  </si>
  <si>
    <t>Шнур сетевой IEC 320 C13 – IEC 320 C14 3x0,75мм², 6А, длина 1,8м REXANT</t>
  </si>
  <si>
    <t>04-2725</t>
  </si>
  <si>
    <t>Шнур сетевой IEC 320 C13 – IEC 320 C14 3x0,75мм², 6А, длина 5м REXANT</t>
  </si>
  <si>
    <t>04-2726</t>
  </si>
  <si>
    <t>Шнур сетевой IEC 320 C13 – IEC 320 C14 3x1,0мм², 10A, длина 0,6м REXANT</t>
  </si>
  <si>
    <t>04-2727</t>
  </si>
  <si>
    <t>Шнур сетевой IEC 320 C13 – IEC 320 C14 3x1,0мм², 10A, длина 1,2м REXANT</t>
  </si>
  <si>
    <t>04-2728</t>
  </si>
  <si>
    <t>Шнур сетевой IEC 320 C13 – IEC 320 C14 3x1,0мм², 10A, длина 1,8м REXANT</t>
  </si>
  <si>
    <t>04-2729</t>
  </si>
  <si>
    <t>Шнур сетевой IEC 320 C13 – IEC 320 C14 3x1,0мм², 10A, длина 3м REXANT</t>
  </si>
  <si>
    <t>04-2730</t>
  </si>
  <si>
    <t>Шнур сетевой IEC 320 C13 – IEC 320 C14 3x1,0мм², 10A, длина 5м REXANT</t>
  </si>
  <si>
    <t>04-2741</t>
  </si>
  <si>
    <t>Шнур сетевой IEC 320 C19 – IEC 320 C20 3x1,5мм², 16A, длина 1,8м REXANT</t>
  </si>
  <si>
    <t>04-2742</t>
  </si>
  <si>
    <t>Шнур сетевой IEC 320 C19 – IEC 320 C20 3x1,5мм², 16A, длина 3м REXANT</t>
  </si>
  <si>
    <t>04-2743</t>
  </si>
  <si>
    <t>Шнур сетевой IEC 320 C19 – IEC 320 C20 3x1,5мм², 16A, длина 5м REXANT</t>
  </si>
  <si>
    <t>04-2731</t>
  </si>
  <si>
    <t>Шнур сетевой СЕЕ 7/7 (Schuko) – IEC 320 C13 3x0,75мм², 6A, длина 0,6м REXANT</t>
  </si>
  <si>
    <t>04-2732</t>
  </si>
  <si>
    <t>Шнур сетевой СЕЕ 7/7 (Schuko) – IEC 320 C13 3x0,75мм², 6A, длина 1,2м REXANT</t>
  </si>
  <si>
    <t>04-2733</t>
  </si>
  <si>
    <t>Шнур сетевой СЕЕ 7/7 (Schuko) – IEC 320 C13 3x0,75мм², 6A, длина 1,8м REXANT</t>
  </si>
  <si>
    <t>04-2734</t>
  </si>
  <si>
    <t>Шнур сетевой СЕЕ 7/7 (Schuko) – IEC 320 C13 3x0,75мм², 6A, длина 3м REXANT</t>
  </si>
  <si>
    <t>04-2735</t>
  </si>
  <si>
    <t>Шнур сетевой СЕЕ 7/7 (Schuko) – IEC 320 C13 3x0,75мм², 6A, длина 5м REXANT</t>
  </si>
  <si>
    <t>04-2736</t>
  </si>
  <si>
    <t>Шнур сетевой СЕЕ 7/7 (Schuko) – IEC 320 C13 3x1,0мм², 10A, длина 0,6м REXANT</t>
  </si>
  <si>
    <t>04-2737</t>
  </si>
  <si>
    <t>Шнур сетевой СЕЕ 7/7 (Schuko) – IEC 320 C13 3x1,0мм², 10A, длина 1,2м REXANT</t>
  </si>
  <si>
    <t>04-2738</t>
  </si>
  <si>
    <t>Шнур сетевой СЕЕ 7/7 (Schuko) – IEC 320 C13 3x1,0мм², 10A, длина 1,8м REXANT</t>
  </si>
  <si>
    <t>04-2739</t>
  </si>
  <si>
    <t>Шнур сетевой СЕЕ 7/7 (Schuko) – IEC 320 C13 3x1,0мм², 10A, длина 3м REXANT</t>
  </si>
  <si>
    <t>04-2740</t>
  </si>
  <si>
    <t>Шнур сетевой СЕЕ 7/7 (Schuko) – IEC 320 C13 3x1,0мм², 10A, длина 5м REXANT</t>
  </si>
  <si>
    <t>4. 7.10 Вентиляторные модули</t>
  </si>
  <si>
    <t>04-2602</t>
  </si>
  <si>
    <t>Модуль вентиляторный потолочный с 4 вентиляторами, без термостата, для шкафов с глубиной 1000мм REXANT</t>
  </si>
  <si>
    <t>04-2601</t>
  </si>
  <si>
    <t>Модуль вентиляторный потолочный с 4 вентиляторами, без термостата, для шкафов с глубиной 800мм REXANT</t>
  </si>
  <si>
    <t>04-2603</t>
  </si>
  <si>
    <t>Модуль вентиляторный потолочный с 6 вентиляторами, без термостата, для шкафов с глубиной 1000мм REXANT</t>
  </si>
  <si>
    <t>4. 7.11 Монтажные аксессуары</t>
  </si>
  <si>
    <t>04-2688</t>
  </si>
  <si>
    <t>Замок для боковых дверей (напольный, настенный) REXANT</t>
  </si>
  <si>
    <t>04-2686</t>
  </si>
  <si>
    <t>Комплект крепежа винт+шайба+гайка M6x16 REXANT</t>
  </si>
  <si>
    <t>04-2687</t>
  </si>
  <si>
    <t>Набор кабелей заземления REXANT</t>
  </si>
  <si>
    <t>04-2690</t>
  </si>
  <si>
    <t>Шина заземления медная 19" 12 точек подключения REXANT</t>
  </si>
  <si>
    <t>4. 8 Патч-корды волоконно-оптические</t>
  </si>
  <si>
    <t>4. 8. 1 Патч-корды волоконно-оптические OS2 Simplex</t>
  </si>
  <si>
    <t>4. 8. 1. 1 Патч-корды волоконно-оптические OS2 Simplex LC/UPC-LC/UPC</t>
  </si>
  <si>
    <t>50-1111-10</t>
  </si>
  <si>
    <t>Патч-корд оптический одномодовый (SM) 9/125 OS2 разъемы LC/UPC-LC/UPC 3мм симплекс LSZH 10м желтый REXANT</t>
  </si>
  <si>
    <t>50-1111-15</t>
  </si>
  <si>
    <t>Патч-корд оптический одномодовый (SM) 9/125 OS2 разъемы LC/UPC-LC/UPC 3мм симплекс LSZH 15м желтый REXANT</t>
  </si>
  <si>
    <t>50-1111-1</t>
  </si>
  <si>
    <t>Патч-корд оптический одномодовый (SM) 9/125 OS2 разъемы LC/UPC-LC/UPC 3мм симплекс LSZH 1м желтый REXANT</t>
  </si>
  <si>
    <t>50-1111-2</t>
  </si>
  <si>
    <t>Патч-корд оптический одномодовый (SM) 9/125 OS2 разъемы LC/UPC-LC/UPC 3мм симплекс LSZH 2м желтый REXANT</t>
  </si>
  <si>
    <t>50-1111-3</t>
  </si>
  <si>
    <t>Патч-корд оптический одномодовый (SM) 9/125 OS2 разъемы LC/UPC-LC/UPC 3мм симплекс LSZH 3м желтый REXANT</t>
  </si>
  <si>
    <t>50-1111-5</t>
  </si>
  <si>
    <t>Патч-корд оптический одномодовый (SM) 9/125 OS2 разъемы LC/UPC-LC/UPC 3мм симплекс LSZH 5м желтый REXANT</t>
  </si>
  <si>
    <t>50-1111-7</t>
  </si>
  <si>
    <t>Патч-корд оптический одномодовый (SM) 9/125 OS2 разъемы LC/UPC-LC/UPC 3мм симплекс LSZH 7м желтый REXANT</t>
  </si>
  <si>
    <t>50-2100</t>
  </si>
  <si>
    <t>Шнур коммутационный патч-корд оптический соединительный (SM), 9/125 (OS2), LC/UPC–LC/UPC, симплекс, LSZH, 1м</t>
  </si>
  <si>
    <t>10 - 14 дней</t>
  </si>
  <si>
    <t>50-2101</t>
  </si>
  <si>
    <t>Шнур коммутационный патч-корд оптический соединительный (SM), 9/125 (OS2), LC/UPC–LC/UPC, симплекс, LSZH, 2м</t>
  </si>
  <si>
    <t>50-2102</t>
  </si>
  <si>
    <t>Шнур коммутационный патч-корд оптический соединительный (SM), 9/125 (OS2), LC/UPC–LC/UPC, симплекс, LSZH, 3м REXANT</t>
  </si>
  <si>
    <t>50-2103</t>
  </si>
  <si>
    <t>Шнур коммутационный патч-корд оптический соединительный (SM), 9/125 (OS2), LC/UPC–LC/UPC, симплекс, LSZH, 5м</t>
  </si>
  <si>
    <t>4. 8. 1. 4  Патч-корды волоконно-оптические OS2 Simplex LC/UPC-SC/UPC</t>
  </si>
  <si>
    <t>50-1114-10</t>
  </si>
  <si>
    <t>Шнур коммутационный патч-корд оптический одномодовый (SM) 9/125 OS2 разъемы zip-cord LC/UPC-SC/UPC 3мм симплекс LSZH 10м желтый REXANT</t>
  </si>
  <si>
    <t>50-1114-15</t>
  </si>
  <si>
    <t>Шнур коммутационный патч-корд оптический одномодовый (SM) 9/125 OS2 разъемы zip-cord LC/UPC-SC/UPC 3мм симплекс LSZH 15м желтый REXANT</t>
  </si>
  <si>
    <t>50-1114-1</t>
  </si>
  <si>
    <t>Шнур коммутационный патч-корд оптический одномодовый (SM) 9/125 OS2 разъемы zip-cord LC/UPC-SC/UPC 3мм симплекс LSZH 1м желтый REXANT</t>
  </si>
  <si>
    <t>50-1114-2</t>
  </si>
  <si>
    <t>Шнур коммутационный патч-корд оптический одномодовый (SM) 9/125 OS2 разъемы zip-cord LC/UPC-SC/UPC 3мм симплекс LSZH 2м желтый REXANT</t>
  </si>
  <si>
    <t>50-1114-3</t>
  </si>
  <si>
    <t>Шнур коммутационный патч-корд оптический одномодовый (SM) 9/125 OS2 разъемы zip-cord LC/UPC-SC/UPC 3мм симплекс LSZH 3м желтый REXANT</t>
  </si>
  <si>
    <t>50-1114-5</t>
  </si>
  <si>
    <t>Шнур коммутационный патч-корд оптический одномодовый (SM) 9/125 OS2 разъемы zip-cord LC/UPC-SC/UPC 3мм симплекс LSZH 5м желтый REXANT</t>
  </si>
  <si>
    <t>50-1114-7</t>
  </si>
  <si>
    <t>Шнур коммутационный патч-корд оптический одномодовый (SM) 9/125 OS2 разъемы zip-cord LC/UPC-SC/UPC 3мм симплекс LSZH 7м желтый REXANT</t>
  </si>
  <si>
    <t>4. 8. 1. 9 Патч-корды волоконно-оптические OS2 Simplex SC/UPC-SC/UPC</t>
  </si>
  <si>
    <t>50-1110-10</t>
  </si>
  <si>
    <t>Патч-корд оптический одномодовый (SM) 9/125 OS2 разъемы SC/UPC-SC/UPC 3мм симплекс LSZH 10м желтый REXANT</t>
  </si>
  <si>
    <t>50-1110-15</t>
  </si>
  <si>
    <t>Патч-корд оптический одномодовый (SM) 9/125 OS2 разъемы SC/UPC-SC/UPC 3мм симплекс LSZH 15м желтый REXANT</t>
  </si>
  <si>
    <t>50-1110-1</t>
  </si>
  <si>
    <t>Патч-корд оптический одномодовый (SM) 9/125 OS2 разъемы SC/UPC-SC/UPC 3мм симплекс LSZH 1м желтый REXANT</t>
  </si>
  <si>
    <t>50-1110-2</t>
  </si>
  <si>
    <t>Патч-корд оптический одномодовый (SM) 9/125 OS2 разъемы SC/UPC-SC/UPC 3мм симплекс LSZH 2м желтый REXANT</t>
  </si>
  <si>
    <t>50-1110-3</t>
  </si>
  <si>
    <t>Патч-корд оптический одномодовый (SM) 9/125 OS2 разъемы SC/UPC-SC/UPC 3мм симплекс LSZH 3м желтый REXANT</t>
  </si>
  <si>
    <t>50-1110-5</t>
  </si>
  <si>
    <t>Патч-корд оптический одномодовый (SM) 9/125 OS2 разъемы SC/UPC-SC/UPC 3мм симплекс LSZH 5м желтый REXANT</t>
  </si>
  <si>
    <t>50-1110-7</t>
  </si>
  <si>
    <t>Патч-корд оптический одномодовый (SM) 9/125 OS2 разъемы SC/UPC-SC/UPC 3мм симплекс LSZH 7м желтый REXANT</t>
  </si>
  <si>
    <t>4. 8. 1.10 Патч-корды волоконно-оптические OS2 Simplex SC/APC-SC/APC</t>
  </si>
  <si>
    <t>50-1120-10</t>
  </si>
  <si>
    <t>Патч-корд оптический одномодовый (SM) 9/125 OS2 разъемы SC/APC-SC/APC 3мм симплекс LSZH 10м желтый REXANT</t>
  </si>
  <si>
    <t>50-1120-15</t>
  </si>
  <si>
    <t>Патч-корд оптический одномодовый (SM) 9/125 OS2 разъемы SC/APC-SC/APC 3мм симплекс LSZH 15м желтый REXANT</t>
  </si>
  <si>
    <t>50-1120-1</t>
  </si>
  <si>
    <t>Патч-корд оптический одномодовый (SM) 9/125 OS2 разъемы SC/APC-SC/APC 3мм симплекс LSZH 1м желтый REXANT</t>
  </si>
  <si>
    <t>50-1120-2</t>
  </si>
  <si>
    <t>Патч-корд оптический одномодовый (SM) 9/125 OS2 разъемы SC/APC-SC/APC 3мм симплекс LSZH 2м желтый REXANT</t>
  </si>
  <si>
    <t>50-1120-3</t>
  </si>
  <si>
    <t>Патч-корд оптический одномодовый (SM) 9/125 OS2 разъемы SC/APC-SC/APC 3мм симплекс LSZH 3м желтый REXANT</t>
  </si>
  <si>
    <t>50-1120-5</t>
  </si>
  <si>
    <t>Патч-корд оптический одномодовый (SM) 9/125 OS2 разъемы SC/APC-SC/APC 3мм симплекс LSZH 5м желтый REXANT</t>
  </si>
  <si>
    <t>50-1120-7</t>
  </si>
  <si>
    <t>Патч-корд оптический одномодовый (SM) 9/125 OS2 разъемы SC/APC-SC/APC 3мм симплекс LSZH 7м желтый REXANT</t>
  </si>
  <si>
    <t>50-2026</t>
  </si>
  <si>
    <t>Шнур коммутационный патч-корд оптический соединительный (SM), 9/125 (OS2), SC/APC–SC/APC, симплекс, LSZH, 10м REXANT</t>
  </si>
  <si>
    <t>50-2024</t>
  </si>
  <si>
    <t>Шнур коммутационный патч-корд оптический соединительный (SM), 9/125 (OS2), SC/APC-SC/APC, симплекс, LSZH, 3м REXANT ПРОЕКТ</t>
  </si>
  <si>
    <t>50-2025</t>
  </si>
  <si>
    <t>Шнур коммутационный патч-корд оптический соединительный (SM), 9/125 (OS2), SC/APC–SC/APC, симплекс, LSZH, 5м REXANT</t>
  </si>
  <si>
    <t>50-2060</t>
  </si>
  <si>
    <t>Шнур коммутационный патч-корд оптический соединительный (SM), 9/125 (OS2) SC/APC–SC/APC, симплекс, LSZH, 7м REXANT</t>
  </si>
  <si>
    <t>50-2028</t>
  </si>
  <si>
    <t>Шнур коммутационный патч-корд оптический соединительный (SM), 9/125 (OS2), SC/APC–SC/APC, симплекс, LSZH, 20м REXANT</t>
  </si>
  <si>
    <t>4. 8. 1.11 Патч-корды волоконно-оптические OS2 Simplex SC/APC-SC/UPC</t>
  </si>
  <si>
    <t>50-1130-10</t>
  </si>
  <si>
    <t>Патч-корд оптический одномодовый (SM) 9/125 OS2 разъемы SC/UPC-SC/APC 3мм симплекс LSZH 10м желтый REXANT</t>
  </si>
  <si>
    <t>50-1130-15</t>
  </si>
  <si>
    <t>Патч-корд оптический одномодовый (SM) 9/125 OS2 разъемы SC/UPC-SC/APC 3мм симплекс LSZH 15м желтый REXANT</t>
  </si>
  <si>
    <t>50-1130-1</t>
  </si>
  <si>
    <t>Патч-корд оптический одномодовый (SM) 9/125 OS2 разъемы SC/UPC-SC/APC 3мм симплекс LSZH 1м желтый REXANT</t>
  </si>
  <si>
    <t>50-1130-2</t>
  </si>
  <si>
    <t>Патч-корд оптический одномодовый (SM) 9/125 OS2 разъемы SC/UPC-SC/APC 3мм симплекс LSZH 2м желтый REXANT</t>
  </si>
  <si>
    <t>50-1130-3</t>
  </si>
  <si>
    <t>Патч-корд оптический одномодовый (SM) 9/125 OS2 разъемы SC/UPC-SC/APC 3мм симплекс LSZH 3м желтый REXANT</t>
  </si>
  <si>
    <t>50-1130-5</t>
  </si>
  <si>
    <t>Патч-корд оптический одномодовый (SM) 9/125 OS2 разъемы SC/UPC-SC/APC 3мм симплекс LSZH 5м желтый REXANT</t>
  </si>
  <si>
    <t>50-1130-7</t>
  </si>
  <si>
    <t>Патч-корд оптический одномодовый (SM) 9/125 OS2 разъемы SC/UPC-SC/APC 3мм симплекс LSZH 7м желтый REXANT</t>
  </si>
  <si>
    <t>50-2062</t>
  </si>
  <si>
    <t>Шнур коммутационный патч-корд оптический переходной (SM), 9/125 (OS2), SC/APC–SC/UPC, симплекс, LSZH, 10м REXANT</t>
  </si>
  <si>
    <t>50-2063</t>
  </si>
  <si>
    <t>Шнур коммутационный патч-корд оптический переходной (SM), 9/125 (OS2), SC/APC–SC/UPC, симплекс, LSZH, 15м REXANT</t>
  </si>
  <si>
    <t>50-2061</t>
  </si>
  <si>
    <t>Шнур коммутационный патч-корд оптический переходной (SM), 9/125 (OS2) SC/APC–SC/UPC, симплекс, LSZH, 7м REXANT</t>
  </si>
  <si>
    <t>4. 8. 2 Патч-корды волоконно-оптические OS2 duplex</t>
  </si>
  <si>
    <t>4. 8. 2. 1 Патч-корды волоконно-оптические OS2 duplex LC/UPC-LC/UPC</t>
  </si>
  <si>
    <t>50-2111-10</t>
  </si>
  <si>
    <t>Патч-корд оптический одномодовый (SM) 9/125 OS2 разъемы LC/UPC-LC/UPC 3мм дуплекс LSZH 10м желтый  REXANT</t>
  </si>
  <si>
    <t>50-2111-15</t>
  </si>
  <si>
    <t>Патч-корд оптический одномодовый (SM) 9/125 OS2 разъемы LC/UPC-LC/UPC 3мм дуплекс LSZH 15м желтый REXANT</t>
  </si>
  <si>
    <t>50-2111-1</t>
  </si>
  <si>
    <t>Патч-корд оптический одномодовый (SM) 9/125 OS2 разъемы LC/UPC-LC/UPC 3мм дуплекс LSZH 1м желтый REXANT</t>
  </si>
  <si>
    <t>50-2111-2</t>
  </si>
  <si>
    <t>Патч-корд оптический одномодовый (SM) 9/125 OS2 разъемы LC/UPC-LC/UPC 3мм дуплекс LSZH 2м желтый REXANT</t>
  </si>
  <si>
    <t>50-2111-3</t>
  </si>
  <si>
    <t>Патч-корд оптический одномодовый (SM) 9/125 OS2 разъемы LC/UPC-LC/UPC 3мм дуплекс LSZH 3м желтый REXANT</t>
  </si>
  <si>
    <t>50-2111-5</t>
  </si>
  <si>
    <t>Патч-корд оптический одномодовый (SM) 9/125 OS2 разъемы LC/UPC-LC/UPC 3мм дуплекс LSZH 5м желтый REXANT</t>
  </si>
  <si>
    <t>50-2111-7</t>
  </si>
  <si>
    <t>Патч-корд оптический одномодовый (SM) 9/125 OS2 разъемы LC/UPC-LC/UPC 3мм дуплекс LSZH 7м желтый REXANT</t>
  </si>
  <si>
    <t>50-2117</t>
  </si>
  <si>
    <t>Шнур коммутационный патч-корд оптический соединительный (SM), 9/125 (OS2), LC/UPC–LC/UPC, дуплекс, LSZH, 3м</t>
  </si>
  <si>
    <t>50-2118</t>
  </si>
  <si>
    <t>Шнур коммутационный патч-корд оптический соединительный (SM), 9/125 (OS2), LC/UPC–LC/UPC, дуплекс, LSZH, 5м REXANT</t>
  </si>
  <si>
    <t>4. 8. 2. 4 Патч-корды волоконно-оптические OS2 duplex LC/UPC-SC/UPC</t>
  </si>
  <si>
    <t>50-2114-10</t>
  </si>
  <si>
    <t>Патч-корд оптический одномодовый (SM) 9/125 OS2 разъемы LC/UPC-SC/UPC 3мм дуплекс LSZH 10м желтый REXANT</t>
  </si>
  <si>
    <t>50-2114-15</t>
  </si>
  <si>
    <t>Патч-корд оптический одномодовый (SM) 9/125 OS2 разъемы LC/UPC-SC/UPC 3мм дуплекс LSZH 15м желтый REXANT</t>
  </si>
  <si>
    <t>50-2114-1</t>
  </si>
  <si>
    <t>Патч-корд оптический одномодовый (SM) 9/125 OS2 разъемы LC/UPC-SC/UPC 3мм дуплекс LSZH 1м желтый REXANT</t>
  </si>
  <si>
    <t>50-2114-2</t>
  </si>
  <si>
    <t>Патч-корд оптический одномодовый (SM) 9/125 OS2 разъемы LC/UPC-SC/UPC 3мм дуплекс LSZH 2м желтый REXANT</t>
  </si>
  <si>
    <t>50-2114-3</t>
  </si>
  <si>
    <t>Патч-корд оптический одномодовый (SM) 9/125 OS2 разъемы LC/UPC-SC/UPC 3мм дуплекс LSZH 3м желтый REXANT</t>
  </si>
  <si>
    <t>50-2114-5</t>
  </si>
  <si>
    <t>Патч-корд оптический одномодовый (SM) 9/125 OS2 разъемы LC/UPC-SC/UPC 3мм дуплекс LSZH 5м желтый REXANT</t>
  </si>
  <si>
    <t>50-2114-7</t>
  </si>
  <si>
    <t>Патч-корд оптический одномодовый (SM) 9/125 OS2 разъемы LC/UPC-SC/UPC 3мм дуплекс LSZH 7м желтый REXANT</t>
  </si>
  <si>
    <t>50-2409</t>
  </si>
  <si>
    <t>Шнур коммутационный патч-корд оптический переходной (SM), 9/125 (OS2), LC/UPC–SC/UPC, дуплекс, LSZH, 1м REXANT</t>
  </si>
  <si>
    <t>50-2477-1</t>
  </si>
  <si>
    <t>Шнур коммутационный патч-корд оптический (SM), 9/125 (OS2), LC/UPC–SC/UPC, 3мм дуплекс, LSZH, 2м</t>
  </si>
  <si>
    <t>50-2410</t>
  </si>
  <si>
    <t>Шнур коммутационный патч-корд оптический переходной (SM), 9/125 (OS2), LC/UPC–SC/UPC, дуплекс, LSZH, 2м REXANT</t>
  </si>
  <si>
    <t>50-2411</t>
  </si>
  <si>
    <t>Шнур коммутационный патч-корд оптический переходной (SM), 9/125 (OS2), LC/UPC–SC/UPC, дуплекс, LSZH, 3м REXANT</t>
  </si>
  <si>
    <t>4. 8. 2.10 Патч-корды волоконно-оптические OS2 duplex SC/UPC-SC/UPC</t>
  </si>
  <si>
    <t>50-2110-10</t>
  </si>
  <si>
    <t>Патч-корд оптический одномодовый (SM) 9/125 OS2 разъемы SC/UPC-SC/UPC 3мм дуплекс LSZH 10м желтый REXANT</t>
  </si>
  <si>
    <t>50-2110-15</t>
  </si>
  <si>
    <t>Патч-корд оптический одномодовый (SM) 9/125 OS2 разъемы SC/UPC-SC/UPC 3мм дуплекс LSZH 15м желтый REXANT</t>
  </si>
  <si>
    <t>50-2110-1</t>
  </si>
  <si>
    <t>Патч-корд оптический одномодовый (SM) 9/125 OS2 разъемы SC/UPC-SC/UPC 3мм дуплекс LSZH 1м желтый REXANT</t>
  </si>
  <si>
    <t>50-2110-2</t>
  </si>
  <si>
    <t>Патч-корд оптический одномодовый (SM) 9/125 OS2 разъемы SC/UPC-SC/UPC 3мм дуплекс LSZH 2м желтый REXANT</t>
  </si>
  <si>
    <t>50-2110-3</t>
  </si>
  <si>
    <t>Патч-корд оптический одномодовый (SM) 9/125 OS2 разъемы SC/UPC-SC/UPC 3мм дуплекс LSZH 3м желтый REXANT</t>
  </si>
  <si>
    <t>50-2110-5</t>
  </si>
  <si>
    <t>Патч-корд оптический одномодовый (SM) 9/125 OS2 разъемы SC/UPC-SC/UPC 3мм дуплекс LSZH 5м желтый REXANT</t>
  </si>
  <si>
    <t>50-2110-7</t>
  </si>
  <si>
    <t>Патч-корд оптический одномодовый (SM) 9/125 OS2 разъемы SC/UPC-SC/UPC 3мм дуплекс LSZH 7м желтый REXANT</t>
  </si>
  <si>
    <t>50-2011</t>
  </si>
  <si>
    <t>Шнур коммутационный патч-корд оптический соединительный (SM), 9/125 (OS2), SC/UPC–SC/UPC, дуплекс, LSZH, 1м</t>
  </si>
  <si>
    <t>50-2012</t>
  </si>
  <si>
    <t>Шнур коммутационный патч-корд оптический соединительный (SM), 9/125 (OS2), SC/UPC–SC/UPC, дуплекс, LSZH, 2м REXANT</t>
  </si>
  <si>
    <t>50-2013</t>
  </si>
  <si>
    <t>Шнур коммутационный патч-корд оптический соединительный (SM), 9/125 (OS2), SC/UPC–SC/UPC, дуплекс, LSZH, 3м</t>
  </si>
  <si>
    <t>50-2014</t>
  </si>
  <si>
    <t>Шнур коммутационный патч-корд оптический соединительный (SM), 9/125 (OS2), SC/UPC–SC/UPC, дуплекс, LSZH, 5м REXANT</t>
  </si>
  <si>
    <t>4. 8. 3 Патч-корды волоконно-оптические OM2 duplex</t>
  </si>
  <si>
    <t>4. 8. 3. 3 Патч-корды волоконно-оптические OM2 duplex 50/125 LC/PC -FC/PC</t>
  </si>
  <si>
    <t>50-3267</t>
  </si>
  <si>
    <t>Шнур коммутационный патч-корд оптический переходной (MM), 50/125 (OM2), LC/UPC–FC/UPC, дуплекс, LSZH, 1м</t>
  </si>
  <si>
    <t>4. 8. 4 Патч-корды волоконно-оптические OM3 duplex</t>
  </si>
  <si>
    <t>4. 8. 4. 1 Патч-корды волоконно-оптические OM3 duplex 50/125 LC/PC-LC/PC</t>
  </si>
  <si>
    <t>50-2511-105</t>
  </si>
  <si>
    <t>Патч-корд оптический многомодовый (MM) 50/125 OM3 разъемы LC/UPC-LC/UPC 3мм дуплекс LSZH 1,5м бирюзовый (аква) REXANT</t>
  </si>
  <si>
    <t>50-2511-10</t>
  </si>
  <si>
    <t>Патч-корд оптический многомодовый (MM) 50/125 OM3 разъемы LC/UPC-LC/UPC 3мм дуплекс LSZH 10м бирюзовый (аква) REXANT</t>
  </si>
  <si>
    <t>50-2511-15</t>
  </si>
  <si>
    <t>Патч-корд оптический многомодовый (MM) 50/125 OM3 разъемы LC/UPC-LC/UPC 3мм дуплекс LSZH 15м бирюзовый (аква) REXANT</t>
  </si>
  <si>
    <t>50-2511-1</t>
  </si>
  <si>
    <t>Патч-корд оптический многомодовый (MM) 50/125 OM3 разъемы LC/UPC-LC/UPC 3мм дуплекс LSZH 1м бирюзовый (аква) REXANT</t>
  </si>
  <si>
    <t>50-2511-20</t>
  </si>
  <si>
    <t>Патч-корд оптический многомодовый (MM) 50/125 OM3 разъемы LC/UPC-LC/UPC 3мм дуплекс LSZH 20м бирюзовый (аква) REXANT</t>
  </si>
  <si>
    <t>50-2511-25</t>
  </si>
  <si>
    <t>Патч-корд оптический многомодовый (MM) 50/125 OM3 разъемы LC/UPC-LC/UPC 3мм дуплекс LSZH 25м бирюзовый (аква) REXANT</t>
  </si>
  <si>
    <t>50-2511-2</t>
  </si>
  <si>
    <t>Патч-корд оптический многомодовый (MM) 50/125 OM3 разъемы LC/UPC-LC/UPC 3мм дуплекс LSZH 2м бирюзовый (аква) REXANT</t>
  </si>
  <si>
    <t>50-2511-3</t>
  </si>
  <si>
    <t>Патч-корд оптический многомодовый (MM) 50/125 OM3 разъемы LC/UPC-LC/UPC 3мм дуплекс LSZH 3м бирюзовый (аква) REXANT</t>
  </si>
  <si>
    <t>50-2511-5</t>
  </si>
  <si>
    <t>Патч-корд оптический многомодовый (MM) 50/125 OM3 разъемы LC/UPC-LC/UPC 3мм дуплекс LSZH 5м бирюзовый (аква) REXANT</t>
  </si>
  <si>
    <t>50-2511-7</t>
  </si>
  <si>
    <t>Патч-корд оптический многомодовый (MM) 50/125 OM3 разъемы LC/UPC-LC/UPC 3мм дуплекс LSZH 7м бирюзовый (аква) REXANT</t>
  </si>
  <si>
    <t>4. 8. 4. 2 Патч-корды волоконно-оптические OM3 duplex 50/125 LC/PC-SC/PC</t>
  </si>
  <si>
    <t>50-2514-10</t>
  </si>
  <si>
    <t>Патч-корд оптический многомодовый (MM) 50/125 OM3 разъемы LC/UPC-SC/UPC 3мм дуплекс LSZH 10м бирюзовый (аква) REXANT</t>
  </si>
  <si>
    <t>50-2514-15</t>
  </si>
  <si>
    <t>Патч-корд оптический многомодовый (MM) 50/125 OM3 разъемы LC/UPC-SC/UPC 3мм дуплекс LSZH 15м бирюзовый (аква) REXANT</t>
  </si>
  <si>
    <t>50-2514-1</t>
  </si>
  <si>
    <t>Патч-корд оптический многомодовый (MM) 50/125 OM3 разъемы LC/UPC-SC/UPC 3мм дуплекс LSZH 1м бирюзовый (аква) REXANT</t>
  </si>
  <si>
    <t>50-2514-2</t>
  </si>
  <si>
    <t>Патч-корд оптический многомодовый (MM) 50/125 OM3 разъемы LC/UPC-SC/UPC 3мм дуплекс LSZH 2м бирюзовый (аква) REXANT</t>
  </si>
  <si>
    <t>50-2514-3</t>
  </si>
  <si>
    <t>Патч-корд оптический многомодовый (MM) 50/125 OM3 разъемы LC/UPC-SC/UPC 3мм дуплекс LSZH 3м бирюзовый (аква) REXANT</t>
  </si>
  <si>
    <t>50-2514-5</t>
  </si>
  <si>
    <t>Патч-корд оптический многомодовый (MM) 50/125 OM3 разъемы LC/UPC-SC/UPC 3мм дуплекс LSZH 5м бирюзовый (аква) REXANT</t>
  </si>
  <si>
    <t>50-2514-7</t>
  </si>
  <si>
    <t>Патч-корд оптический многомодовый (MM) 50/125 OM3 разъемы LC/UPC-SC/UPC 3мм дуплекс LSZH 7м бирюзовый (аква) REXANT</t>
  </si>
  <si>
    <t>4. 8. 4. 5 Патч-корды волоконно-оптические OM3 duplex 50/125 SC/PC-SC/PC</t>
  </si>
  <si>
    <t>50-2510-10</t>
  </si>
  <si>
    <t>Патч-корд оптический многомодовый (MM) 50/125 OM3 разъемы SC/UPC-SC/UPC 3мм дуплекс LSZH 10м бирюзовый (аква) REXANT</t>
  </si>
  <si>
    <t>50-2510-15</t>
  </si>
  <si>
    <t>Патч-корд оптический многомодовый (MM) 50/125 OM3 разъемы SC/UPC-SC/UPC 3мм дуплекс LSZH 15м бирюзовый (аква) REXANT</t>
  </si>
  <si>
    <t>50-2510-1</t>
  </si>
  <si>
    <t>Патч-корд оптический многомодовый (MM) 50/125 OM3 разъемы SC/UPC-SC/UPC 3мм дуплекс LSZH 1м бирюзовый (аква) REXANT</t>
  </si>
  <si>
    <t>50-2510-2</t>
  </si>
  <si>
    <t>Патч-корд оптический многомодовый (MM) 50/125 OM3 разъемы SC/UPC-SC/UPC 3мм дуплекс LSZH 2м бирюзовый (аква) REXANT</t>
  </si>
  <si>
    <t>50-2510-3</t>
  </si>
  <si>
    <t>Патч-корд оптический многомодовый (MM) 50/125 OM3 разъемы SC/UPC-SC/UPC 3мм дуплекс LSZH 3м бирюзовый (аква) REXANT</t>
  </si>
  <si>
    <t>50-2510-5</t>
  </si>
  <si>
    <t>Патч-корд оптический многомодовый (MM) 50/125 OM3 разъемы SC/UPC-SC/UPC 3мм дуплекс LSZH 5м бирюзовый (аква) REXANT</t>
  </si>
  <si>
    <t>4. 8. 5 Патч-корды волоконно-оптические OM4 duplex</t>
  </si>
  <si>
    <t>4. 8. 5. 1 Патч-корды волоконно-оптические OM4 duplex 50/125 LC/PC-LC/PC</t>
  </si>
  <si>
    <t>50-2611-105</t>
  </si>
  <si>
    <t>Патч-корд оптический многомодовый (MM) 50/125 OM4 разъемы LC/UPC-LC/UPC 3мм дуплекс LSZH 1,5м малиновый (маджента) REXANT</t>
  </si>
  <si>
    <t>50-2611-10</t>
  </si>
  <si>
    <t>Патч-корд оптический многомодовый (MM) 50/125 OM4 разъемы LC/UPC-LC/UPC 3мм дуплекс LSZH 10м малиновый (маджента) REXANT</t>
  </si>
  <si>
    <t>50-2611-15</t>
  </si>
  <si>
    <t>Патч-корд оптический многомодовый (MM) 50/125 OM4 разъемы LC/UPC-LC/UPC 3мм дуплекс LSZH 15м малиновый (маджента) REXANT</t>
  </si>
  <si>
    <t>50-2611-1</t>
  </si>
  <si>
    <t>Патч-корд оптический многомодовый (MM) 50/125 OM4 разъемы LC/UPC-LC/UPC 3мм дуплекс LSZH 1м малиновый (маджента) REXANT</t>
  </si>
  <si>
    <t>50-2611-20</t>
  </si>
  <si>
    <t>Патч-корд оптический многомодовый (MM) 50/125 OM4 разъемы LC/UPC-LC/UPC 3мм дуплекс LSZH 20м малиновый (маджента) REXANT</t>
  </si>
  <si>
    <t>50-2611-25</t>
  </si>
  <si>
    <t>Патч-корд оптический многомодовый (MM) 50/125 OM4 разъемы LC/UPC-LC/UPC 3мм дуплекс LSZH 25м малиновый (маджента) REXANT</t>
  </si>
  <si>
    <t>50-2611-2</t>
  </si>
  <si>
    <t>Патч-корд оптический многомодовый (MM) 50/125 OM4 разъемы LC/UPC-LC/UPC 3мм дуплекс LSZH 2м малиновый (маджента) REXANT</t>
  </si>
  <si>
    <t>50-2611-3</t>
  </si>
  <si>
    <t>Патч-корд оптический многомодовый (MM) 50/125 OM4 разъемы LC/UPC-LC/UPC 3мм дуплекс LSZH 3м малиновый (маджента) REXANT</t>
  </si>
  <si>
    <t>50-2611-5</t>
  </si>
  <si>
    <t>Патч-корд оптический многомодовый (MM) 50/125 OM4 разъемы LC/UPC-LC/UPC 3мм дуплекс LSZH 5м малиновый (маджента) REXANT</t>
  </si>
  <si>
    <t>50-2611-7</t>
  </si>
  <si>
    <t>Патч-корд оптический многомодовый (MM) 50/125 OM4 разъемы LC/UPC-LC/UPC 3мм дуплекс LSZH 7м малиновый (маджента) REXANT</t>
  </si>
  <si>
    <t>4. 8. 5. 2 Патч-корды волоконно-оптические OM4 duplex 50/125 LC/PC-SC/PC</t>
  </si>
  <si>
    <t>50-2614-10</t>
  </si>
  <si>
    <t>Патч-корд оптический многомодовый (MM) 50/125 OM4 разъемы LC/UPC-SC/UPC 3мм дуплекс LSZH 10м малиновый (маджента) REXANT</t>
  </si>
  <si>
    <t>50-2614-1</t>
  </si>
  <si>
    <t>Патч-корд оптический многомодовый (MM) 50/125 OM4 разъемы LC/UPC-SC/UPC 3мм дуплекс LSZH 1м малиновый (маджента) REXANT</t>
  </si>
  <si>
    <t>50-2614-2</t>
  </si>
  <si>
    <t>Патч-корд оптический многомодовый (MM) 50/125 OM4 разъемы LC/UPC-SC/UPC 3мм дуплекс LSZH 2м малиновый (маджента) REXANT</t>
  </si>
  <si>
    <t>50-2614-3</t>
  </si>
  <si>
    <t>Патч-корд оптический многомодовый (MM) 50/125 OM4 разъемы LC/UPC-SC/UPC 3мм дуплекс LSZH 3м малиновый (маджента) REXANT</t>
  </si>
  <si>
    <t>50-2614-5</t>
  </si>
  <si>
    <t>Патч-корд оптический многомодовый (MM) 50/125 OM4 разъемы LC/UPC-SC/UPC 3мм дуплекс LSZH 5м малиновый (маджента) REXANT</t>
  </si>
  <si>
    <t>4. 8. 5. 5 Патч-корды волоконно-оптические OM4 duplex 50/125 SC/PC-SC/PC</t>
  </si>
  <si>
    <t>50-2610-1</t>
  </si>
  <si>
    <t>Патч-корд оптический многомодовый (MM) 50/125 OM4 разъемы SC/UPC-SC/UPC 3мм дуплекс LSZH 1м малиновый (маджента) REXANT</t>
  </si>
  <si>
    <t>50-2610-2</t>
  </si>
  <si>
    <t>Патч-корд оптический многомодовый (MM) 50/125 OM4 разъемы SC/UPC-SC/UPC 3мм дуплекс LSZH 2м малиновый (маджента) REXANT</t>
  </si>
  <si>
    <t>50-2610-3</t>
  </si>
  <si>
    <t>Патч-корд оптический многомодовый (MM) 50/125 OM4 разъемы SC/UPC-SC/UPC 3мм дуплекс LSZH 3м малиновый (маджента) REXANT</t>
  </si>
  <si>
    <t>4. 8. 5. 8 Патч-корды волоконно-оптические SC-FC</t>
  </si>
  <si>
    <t>50-2857-1</t>
  </si>
  <si>
    <t>Шнур коммутационный патч-корд оптический переходной (SM), 9/125 (OS2), SC/APC–FC/UPC, дуплекс, PVC, 5м REXANT</t>
  </si>
  <si>
    <t>50-2857-2</t>
  </si>
  <si>
    <t>Шнур коммутационный патч-корд оптический (SM), 9/125 (OS2), SC/UPC–FC/UPC, дуплекс, 3мм, LSZH, 10м</t>
  </si>
  <si>
    <t>50-2802</t>
  </si>
  <si>
    <t>Шнур коммутационный патч-корд оптический переходной (SM), 9/125 (OS2), SC/UPC–FC/UPC, симплекс, LSZH, 3м REXANT</t>
  </si>
  <si>
    <t>50-2530</t>
  </si>
  <si>
    <t>Шнур коммутационный патч-корд оптический переходной (SM), 9/125 (OS2), LC/UPC–FC/UPC, дуплекс, LSZH, 15м REXANT</t>
  </si>
  <si>
    <t>4. 9 Оптический кабель</t>
  </si>
  <si>
    <t>4. 9. 1 Оптический кабель абонентский</t>
  </si>
  <si>
    <t>50-0212-16-2000</t>
  </si>
  <si>
    <t>Кабель волоконно-оптический распределительный 16 волокон ОS2 9/125 SM (-40...+70) в буферном покрытии внешн/внутр LSZH черный, 2000м REXANT</t>
  </si>
  <si>
    <t>50-0210-4-2000</t>
  </si>
  <si>
    <t>Кабель волоконно-оптический распределительный 4 волокна ОS2 9/125 SM (-30... +50) в буферном покрытии внутренний LSZH желтый, 2000м REXANT</t>
  </si>
  <si>
    <t>50-0212-4-2000</t>
  </si>
  <si>
    <t>Кабель волоконно-оптический распределительный 4 волокна ОS2 9/125 SM (-40…+70) в буферном покрытии внешн/внутр LSZH черный, 2000м REXANT</t>
  </si>
  <si>
    <t>50-0211-4-2000</t>
  </si>
  <si>
    <t>Кабель волоконно-оптический распределительный 4 волокна ОМ3 50/125 MM (-30...+50) в буферном покрытии внутренний LSZH голубой, 2000м REXANT</t>
  </si>
  <si>
    <t>50-0213-4-2000</t>
  </si>
  <si>
    <t>Кабель волоконно-оптический распределительный 4 волокна ОМ3 50/125 MM (-40...+70) в буферном покрытии внешн/внутр LSZH черный, 2000м REXANT</t>
  </si>
  <si>
    <t>50-0210-8-2000</t>
  </si>
  <si>
    <t>Кабель волоконно-оптический распределительный 8 волокон ОS2 9/125 SM (-30... +50) в буферном покрытии внутренний LSZH желтый, 2000м REXANT</t>
  </si>
  <si>
    <t>50-0212-8-2000</t>
  </si>
  <si>
    <t>Кабель волоконно-оптический распределительный 8 волокон ОS2 9/125 SM (-40...+70) в буферном покрытии внешн/внутр LSZH черный, 2000м REXANT</t>
  </si>
  <si>
    <t>50-0211-8-2000</t>
  </si>
  <si>
    <t>Кабель волоконно-оптический распределительный 8 волокон ОМ3 50/125 MM (-30...+50) в буферном покрытии внутренний LSZH голубой, 2000м REXANT</t>
  </si>
  <si>
    <t>50-0213-8-2000</t>
  </si>
  <si>
    <t>Кабель волоконно-оптический распределительный 8 волокон ОМ3 50/125 MM (-40...+70) в буферном покрытии внешн/внутр LSZH черный, 2000м REXANT</t>
  </si>
  <si>
    <t>4.10 Пигтейлы одномодовые OS2</t>
  </si>
  <si>
    <t>50-0814</t>
  </si>
  <si>
    <t>Пигтейл волоконно-оптический SM FC/UPC 0,9мм LSZH 1,5м REXANT</t>
  </si>
  <si>
    <t>50-0813-1</t>
  </si>
  <si>
    <t>Пигтейл волоконно-оптический SM LC/APC 0,9мм LSZH 1,5м REXANT</t>
  </si>
  <si>
    <t>50-0813</t>
  </si>
  <si>
    <t>Пигтейл волоконно-оптический SM LC/UPC 0,9мм LSZH 1,5м REXANT</t>
  </si>
  <si>
    <t>50-0812-1</t>
  </si>
  <si>
    <t>Пигтейл волоконно-оптический SM SC/APC 0,9мм LSZH 1,5м REXANT</t>
  </si>
  <si>
    <t>50-0812</t>
  </si>
  <si>
    <t>Пигтейл волоконно-оптический SM SC/UPC 0,9мм LSZH 1,5м REXANT</t>
  </si>
  <si>
    <t>50-0815</t>
  </si>
  <si>
    <t>Пигтейл волоконно-оптический SM ST/UPC 0,9мм LSZH 1,5м REXANT</t>
  </si>
  <si>
    <t>4.11 Пигтейлы многомодовые OM2, OM3</t>
  </si>
  <si>
    <t>50-5021</t>
  </si>
  <si>
    <t>Пигтейл волоконно-оптический MM 50/125 (OM3) FC/UPC 0,9мм LSZH 1,5м REXANT</t>
  </si>
  <si>
    <t>50-5017</t>
  </si>
  <si>
    <t>Пигтейл волоконно-оптический MM 50/125 (OM3) LC/UPC 0,9мм LSZH 1,5м REXANT</t>
  </si>
  <si>
    <t>50-5019</t>
  </si>
  <si>
    <t>Пигтейл волоконно-оптический MM 50/125 (OM3) SC/UPC 0,9мм LSZH 1,5м REXANT</t>
  </si>
  <si>
    <t>50-5018</t>
  </si>
  <si>
    <t>Пигтейл волоконно-оптический MM 50/125 (OM4) LC/UPC 0,9мм LSZH 1,5м REXANT</t>
  </si>
  <si>
    <t>50-5022</t>
  </si>
  <si>
    <t>Пигтейл волоконно-оптический MM 50/125 (OM4) SC/UPC 0,9мм LSZH 1,5м REXANT</t>
  </si>
  <si>
    <t>4.12 Оптические розетки, адаптеры</t>
  </si>
  <si>
    <t>50-6082</t>
  </si>
  <si>
    <t>Адаптер оптический проходной LC-LC дуплекс MM (OM3) UPC пластиковый корпус бирюзовый (аква) REXANT</t>
  </si>
  <si>
    <t>50-6083</t>
  </si>
  <si>
    <t>Адаптер оптический проходной LC-LC дуплекс MM (OM4) UPC пластиковый корпус малиновый (маджента) REXANT</t>
  </si>
  <si>
    <t>50-6084</t>
  </si>
  <si>
    <t>Адаптер оптический проходной LC-LC дуплекс MM UPC пластиковый корпус бежевый REXANT</t>
  </si>
  <si>
    <t>50-6085</t>
  </si>
  <si>
    <t>Адаптер оптический проходной LC-LC дуплекс SM APC пластиковый корпус зеленый REXANT</t>
  </si>
  <si>
    <t>50-6081</t>
  </si>
  <si>
    <t>Адаптер оптический проходной LC-LC дуплекс SM UPC пластиковый корпус синий REXANT</t>
  </si>
  <si>
    <t>50-6074</t>
  </si>
  <si>
    <t>Адаптер оптический проходной SC-SC дуплекс SM APC пластиковый корпус зеленый REXANT</t>
  </si>
  <si>
    <t>50-6073</t>
  </si>
  <si>
    <t>Адаптер оптический проходной SC-SC дуплекс SM UPC пластиковый корпус синий REXANT</t>
  </si>
  <si>
    <t>50-6072</t>
  </si>
  <si>
    <t>Адаптер оптический проходной SC-SC симплекс SM APC пластиковый корпус зеленый REXANT</t>
  </si>
  <si>
    <t>50-6071</t>
  </si>
  <si>
    <t>Адаптер оптический проходной SC-SC симплекс SM UPC пластиковый корпус синий REXANT</t>
  </si>
  <si>
    <t>4.14 Аксессуары</t>
  </si>
  <si>
    <t>50-0340</t>
  </si>
  <si>
    <t>Комплект для защиты сварки 40 мм, 100 шт/уп REXANT</t>
  </si>
  <si>
    <t>50-0360</t>
  </si>
  <si>
    <t>Комплект для защиты сварки 60 мм, 100 шт/уп REXANT</t>
  </si>
  <si>
    <t>50-5311</t>
  </si>
  <si>
    <t>Крышка для сплайс-кассеты черная REXANT</t>
  </si>
  <si>
    <t>50-5312</t>
  </si>
  <si>
    <t>Сплайс-кассета универсальная с двумя ложементами на 24 КДЗС черная REXANT</t>
  </si>
  <si>
    <t>50-5313</t>
  </si>
  <si>
    <t>Сплайс-кассета универсальная с двумя ложементами на 32 КДЗС черная REXANT</t>
  </si>
  <si>
    <t>4.15 Оборудование для телефонии</t>
  </si>
  <si>
    <t>4.15. 1 Телефонный кабель связи</t>
  </si>
  <si>
    <t>01-8080</t>
  </si>
  <si>
    <t>Провод для полевой связи П-274-М, 500 м REXANT</t>
  </si>
  <si>
    <t>01-5514-1</t>
  </si>
  <si>
    <t>Провод ПРППМ 2х0,90мм, 500м REXANT</t>
  </si>
  <si>
    <t>01-5515-1</t>
  </si>
  <si>
    <t>Провод ПРППМ 2х1,20мм, 500м REXANT</t>
  </si>
  <si>
    <t>01-5001-3</t>
  </si>
  <si>
    <t>Кабель телефонный ШТЛП 2 жилы CCA, белый, 100м REXANT</t>
  </si>
  <si>
    <t>01-5001</t>
  </si>
  <si>
    <t>Кабель телефонный ШТЛП 2 жилы Cu, белый, 100м REXANT</t>
  </si>
  <si>
    <t>01-5002</t>
  </si>
  <si>
    <t>Кабель телефонный ШТЛП 2 жилы Cu, черный, 100м REXANT</t>
  </si>
  <si>
    <t>01-5101-3</t>
  </si>
  <si>
    <t>Кабель телефонный ШТЛП 4 жилы CCA, белый, 100м REXANT</t>
  </si>
  <si>
    <t>01-5101</t>
  </si>
  <si>
    <t>Кабель телефонный ШТЛП 4 жилы Cu, белый, 100м REXANT</t>
  </si>
  <si>
    <t>01-5109</t>
  </si>
  <si>
    <t>Кабель телефонный ШТЛП 4 жилы Cu, черный, 100м REXANT</t>
  </si>
  <si>
    <t>4.15. 2 Плинты,коробки распределительные</t>
  </si>
  <si>
    <t>04-0102</t>
  </si>
  <si>
    <t>Плинт на 10 пар размыкаемый, маркировка 0-9 (монтаж на хомут) REXANT</t>
  </si>
  <si>
    <t>04-0121</t>
  </si>
  <si>
    <t>Плинт на 10 пар размыкаемый, маркировка 0-9, универсальный (монтаж на рейку+ хомут) REXANT</t>
  </si>
  <si>
    <t>4.15. 3 Разъемы, розетки ,адаптеры</t>
  </si>
  <si>
    <t>03-0022</t>
  </si>
  <si>
    <t>Адаптер телефонный проходной UTP RJ-14 (6P4C), CAT 3 REXANT</t>
  </si>
  <si>
    <t>03-0032</t>
  </si>
  <si>
    <t>Двойник телефонный UTP, RJ-14 (6P4C) (гнездо - 2 гнезда) REXANT</t>
  </si>
  <si>
    <t>03-0001-4</t>
  </si>
  <si>
    <t>Розетка телефонная внешняя, 1 порт UTP, RJ-11 (6P2C), CAT 3 PROconnect</t>
  </si>
  <si>
    <t>03-0001</t>
  </si>
  <si>
    <t>Розетка телефонная внешняя, 1 порт UTP RJ-14 (6P4C), CAT 3 REXANT</t>
  </si>
  <si>
    <t>03-0002</t>
  </si>
  <si>
    <t>Розетка телефонная внешняя, 2 порта UTP, RJ-14 (6P4C), CAT 3 REXANT</t>
  </si>
  <si>
    <t>05-1013</t>
  </si>
  <si>
    <t>Разъем телефонный UTP, RJ-12 (6P6C), CAT 3 REXANT</t>
  </si>
  <si>
    <t>05-1012-3</t>
  </si>
  <si>
    <t>Разъем телефонный UTP, RJ-14 (6P4C), CAT 3 PROconnect</t>
  </si>
  <si>
    <t>05-1012</t>
  </si>
  <si>
    <t>Разъем телефонный UTP, RJ-14 (6P4C), CAT 3 REXANT</t>
  </si>
  <si>
    <t>05-1001-3</t>
  </si>
  <si>
    <t>Разъем телефонный UTP RJ-9 (4P4C), CAT 3 PROconnect</t>
  </si>
  <si>
    <t>05-1001</t>
  </si>
  <si>
    <t>Разъем телефонный UTP, RJ-9 (4P4C), CAT 3 REXANT</t>
  </si>
  <si>
    <t>4.16 Кроссы, проходники, соединители колпачковые</t>
  </si>
  <si>
    <t>4.16. 1 Кроссы, адаптеры, проходники, соединители колпачковые</t>
  </si>
  <si>
    <t>03-0101</t>
  </si>
  <si>
    <t>Адаптер проходной UTP RJ-45(8P8C), CAT 5e, 50 шт. REXANT</t>
  </si>
  <si>
    <t>03-0101-4</t>
  </si>
  <si>
    <t>Адаптер проходной UTP RJ-45, CAT 5e PROconnect</t>
  </si>
  <si>
    <t>03-0109</t>
  </si>
  <si>
    <t>Адаптер проходной FTP RJ-45(8P8C), CAT 6 REXANT</t>
  </si>
  <si>
    <t>03-0108</t>
  </si>
  <si>
    <t>Адаптер проходной UTP RJ-45(8P8C), CAT 6 REXANT</t>
  </si>
  <si>
    <t>03-0103</t>
  </si>
  <si>
    <t>Двойник компьютерный UTP RJ-45(8P8C) (гнездо - 2 гнезда) REXANT</t>
  </si>
  <si>
    <t>03-0104</t>
  </si>
  <si>
    <t>Кросс соединительный, CAT 5e REXANT</t>
  </si>
  <si>
    <t>4.16. 2 Колпачковые соединители</t>
  </si>
  <si>
    <t>07-5401</t>
  </si>
  <si>
    <t>Соединитель изолированный К-1 для жил диаметром 0,4-0,7мм, диаметр 1,52мм REXANT</t>
  </si>
  <si>
    <t>07-5402</t>
  </si>
  <si>
    <t>Соединитель изолированный К-2 для жил диаметром 0,4-0,9мм, диаметр 2,08мм REXANT</t>
  </si>
  <si>
    <t>07-5403</t>
  </si>
  <si>
    <t>Соединитель изолированный К-3 для жил диаметром 0,4-0,9мм, диаметр 1,67мм REXANT</t>
  </si>
  <si>
    <t>4.16. 3 Индустриальные соединительные модули</t>
  </si>
  <si>
    <t>02-0283</t>
  </si>
  <si>
    <t>Индустриальный проходной адаптер уличный, RJ-45(8P8C), STP, CAT 6, IP68 REXANT</t>
  </si>
  <si>
    <t>02-0285</t>
  </si>
  <si>
    <t>Индустриальный соединительный модуль, RJ-45(8P8C), STP, CAT 6, IP68 с защитным колпачком для кабеля REXANT</t>
  </si>
  <si>
    <t>02-0284</t>
  </si>
  <si>
    <t>Индустриальный соединительный модуль, RJ-45(8P8C), STP, CAT 6, IP68 REXANT</t>
  </si>
  <si>
    <t>4.17 Продукция в розничной упаковке</t>
  </si>
  <si>
    <t>4.17. 1 Розетки RJ-11,RJ-45</t>
  </si>
  <si>
    <t>06-0104-B</t>
  </si>
  <si>
    <t>Розетка сетевая LAN, на стену, 1 гнездо 8Р8С (RJ-45), CAT 5e REXANT</t>
  </si>
  <si>
    <t>06-0105-C</t>
  </si>
  <si>
    <t>Розетка сетевая LAN, на стену, 2 гнездо 8Р8С (RJ-45), CAT 5е REXANT</t>
  </si>
  <si>
    <t>4.17. 2 Разъемы RJ-10, 11, 12, 45</t>
  </si>
  <si>
    <t>06-0084-A5</t>
  </si>
  <si>
    <t>Колпачок защитный для штекера 8Р8С (RJ-45), серый, 5шт. REXANT</t>
  </si>
  <si>
    <t>05-1023-9</t>
  </si>
  <si>
    <t>Разъем RJ-45(8P8C) под витую пару, FTP, CAT 5e, пакет, 5шт. PROconnect</t>
  </si>
  <si>
    <t>05-1039-9</t>
  </si>
  <si>
    <t>Разъем RJ-45(8P8C) под витую пару, FTP, CAT 6А, блистер 2шт. REXANT</t>
  </si>
  <si>
    <t>05-1021-3-9</t>
  </si>
  <si>
    <t>Разъем RJ-45(8P8C) под витую пару, UTP, CAT 5e (15 µ"/ 15 микродюймов), пакет, 5шт. PROconnect</t>
  </si>
  <si>
    <t>06-0081-A2</t>
  </si>
  <si>
    <t>Разъем сетевой LAN на кабель, штекер 8Р8С (RJ-45), под обжим, 2шт.REXANT</t>
  </si>
  <si>
    <t>06-0082-A10</t>
  </si>
  <si>
    <t>Разъем сетевой LAN на кабель, штекер 8Р8С (RJ-45), под обжим, в экране, 10шт. REXANT</t>
  </si>
  <si>
    <t>06-0088-A5</t>
  </si>
  <si>
    <t>Соединитель изолированный К-2 для жил диаметром 0,4-0,9 мм, диаметр 2,08мм (5 шт/уп) REXANT</t>
  </si>
  <si>
    <t>4.17. 3 Переходники LAN</t>
  </si>
  <si>
    <t>03-0101-9</t>
  </si>
  <si>
    <t>Адаптер проходной, RJ-45 (8P8C), UTP, CAT 5e PROconnect</t>
  </si>
  <si>
    <t>06-0111-A</t>
  </si>
  <si>
    <t>Переходник сетевой LAN, гнездо 8Р8С (RJ-45) - гнездо 8Р8С (RJ-45) REXANT</t>
  </si>
  <si>
    <t>06-0113-B</t>
  </si>
  <si>
    <t>Переходник сетевой LAN, штекер 8Р8С (RJ-45) -2 гнезда 8Р8С (RJ-45) REXANT</t>
  </si>
  <si>
    <t>4.17. 4 Патч-корды</t>
  </si>
  <si>
    <t>06-3202</t>
  </si>
  <si>
    <t>Шнур коммутационный патч-корд U/UTP RJ45-RJ45, CAT 5e, PVC, серый, 1,5м REXANT</t>
  </si>
  <si>
    <t>06-3204</t>
  </si>
  <si>
    <t>Шнур коммутационный патч-корд U/UTP RJ45-RJ45, CAT 5e, PVC, серый, 5м REXANT</t>
  </si>
  <si>
    <t>4.19 Проектный ассортимент</t>
  </si>
  <si>
    <t>4.19. 1 LAN-кабель</t>
  </si>
  <si>
    <t>01-0542</t>
  </si>
  <si>
    <t>Кабель витая пара S/FTP, CAT 7, PVC, 4PR, 23AWG, внутренний, однопроволочный, серый, 305 м REXANT ПРОЕКТ</t>
  </si>
  <si>
    <t>02-0325</t>
  </si>
  <si>
    <t>Кабель витая пара S/FTP, CAT 6A, LSZH нг(А)-HF, 4PR, 23AWG, внутренний, однопроволочный, серый, 305м REXANT ПРОЕКТ</t>
  </si>
  <si>
    <t>02-0326</t>
  </si>
  <si>
    <t>Кабель витая пара S/FTP, CAT 6A, PVC LS нг(А)-LSLTx, 4х2х0,575 мм, 23AWG, внутренний, однопроволочный, зеленый, 305м REXANT ПРОЕКТ</t>
  </si>
  <si>
    <t>1 - 120 дней</t>
  </si>
  <si>
    <t>02-0321</t>
  </si>
  <si>
    <t>Кабель витая пара U/FTP, CAT 6A, LSZH нг(А)-HF, 4PR, 23AWG, внутренний, однопроволочный, серый, 305м REXANT ПРОЕКТ</t>
  </si>
  <si>
    <t>02-0302</t>
  </si>
  <si>
    <t>Кабель витая пара U/UTP, CAT 6A, LSZH нг(А)-HF, 4PR, 23AWG, внутренний, однопроволочный, серый, 305м REXANT ПРОЕКТ</t>
  </si>
  <si>
    <t>4.19. 3 Шкафы и стойки</t>
  </si>
  <si>
    <t>04-2201</t>
  </si>
  <si>
    <t>Шкаф телекоммуникационный настенный 19" 9U 600×450×500мм, дверь стекло, с задней стенкой, разборный, серый RAL 7035 REXANT</t>
  </si>
  <si>
    <t>04-2200</t>
  </si>
  <si>
    <t>Шкаф телекоммуникационный настенный 19" 6U 600×450×370мм, дверь стекло, с задней стенкой, разборный, серый RAL 7035 REXANT</t>
  </si>
  <si>
    <t>04-2222</t>
  </si>
  <si>
    <t>Шкаф телекоммуникационный настенный 19" 12U 600×600×635мм, дверь стекло, с задней стенкой, разборный, серый RAL 7035 REXANT</t>
  </si>
  <si>
    <t>04-2221</t>
  </si>
  <si>
    <t>Шкаф телекоммуникационный настенный 19" 9U 600×600×500мм, дверь стекло, с задней стенкой, разборный, серый RAL 7035 REXANT</t>
  </si>
  <si>
    <t>04-2220</t>
  </si>
  <si>
    <t>Шкаф телекоммуникационный настенный 19" 6U 600×600×370мм, дверь стекло, с задней стенкой, разборный, серый RAL 7035 REXANT</t>
  </si>
  <si>
    <t>04-2211</t>
  </si>
  <si>
    <t>Шкаф телекоммуникационный настенный 19" 9U 600×450×500мм, дверь металл, с задней стенкой, разборный, серый RAL 7035 REXANT</t>
  </si>
  <si>
    <t>04-2232</t>
  </si>
  <si>
    <t>Шкаф телекоммуникационный настенный 19" 12U 600×600×635мм, дверь металл, с задней стенкой, разборный серый RAL 7035 REXANT</t>
  </si>
  <si>
    <t>04-2231</t>
  </si>
  <si>
    <t>Шкаф телекоммуникационный настенный 19" 9U 600×600×500мм, дверь металл, с задней стенкой, разборный серый RAL 7035 REXANT</t>
  </si>
  <si>
    <t>04-2234</t>
  </si>
  <si>
    <t>Шкаф телекоммуникационный настенный 19" 18U 600×600×964мм, дверь металл, с задней стенкой, разборный серый RAL 7035 REXANT</t>
  </si>
  <si>
    <t>04-2313</t>
  </si>
  <si>
    <t>Шкаф телекоммуникационный напольный 19" 22U 600х600мм, дверь стекло, задняя дверь металл, разборный, серый (RAL 7035) REXANT</t>
  </si>
  <si>
    <t>04-2310</t>
  </si>
  <si>
    <t>Шкаф телекоммуникационный напольный 19" 32U 600х600мм, дверь стекло, задняя дверь металл, разборный, серый (RAL 7035) REXANT</t>
  </si>
  <si>
    <t>04-2305</t>
  </si>
  <si>
    <t>Шкаф телекоммуникационный напольный 19" 42U 600х600мм, дверь стекло, задняя дверь металл, разборный, серый (RAL 7035) REXANT</t>
  </si>
  <si>
    <t>04-2306</t>
  </si>
  <si>
    <t>Шкаф телекоммуникационный напольный 19" 42U 600х800мм, дверь стекло, задняя дверь металл, разборный, серый (RAL 7035) REXANT</t>
  </si>
  <si>
    <t>04-2334</t>
  </si>
  <si>
    <t>Шкаф телекоммуникационный напольный 19" 42U 600х800мм, передняя и задняя дверь перфорация, разборный, серый (RAL 7035) REXANT</t>
  </si>
  <si>
    <t>04-2308</t>
  </si>
  <si>
    <t>Шкаф телекоммуникационный напольный 19" 42U 800х800мм, дверь стекло, задняя дверь металл, разборный, серый (RAL 7035) REXANT</t>
  </si>
  <si>
    <t>04-2337</t>
  </si>
  <si>
    <t>Шкаф телекоммуникационный напольный 19" 32U 600х600мм, передняя и задняя дверь перфорация, разборный, серый (RAL 7035) REXANT</t>
  </si>
  <si>
    <t>5. БЕЗОПАСНОСТЬ (SECURITY)</t>
  </si>
  <si>
    <t>5. 1 Видеонаблюдение</t>
  </si>
  <si>
    <t>5. 1. 1 Кабель для видеонаблюдения</t>
  </si>
  <si>
    <t>5. 1. 1. 1 Кабель КВК с питанием 2*0,75 мм2 [Группа индивидуального ценообразования]</t>
  </si>
  <si>
    <t>01-4014</t>
  </si>
  <si>
    <t>Кабель КВК-В-1,5+2x0,75 мм² (Cu/Cu) белый, 200 м, REXANT</t>
  </si>
  <si>
    <t>01-4108</t>
  </si>
  <si>
    <t>Кабель КВК-В-2+2x0,75 мм² (Cu/CCA) (96) белый, 200 м, PROconnect</t>
  </si>
  <si>
    <t>01-4101-1</t>
  </si>
  <si>
    <t>Кабель КВК-В-2+2x0,75 мм² (Cu/Cu) белый, 200 м, REXANT</t>
  </si>
  <si>
    <t>01-4015</t>
  </si>
  <si>
    <t>Кабель КВК-П-1,5+2x0,75 мм² (Cu/Cu) черный, 200 м, REXANT</t>
  </si>
  <si>
    <t>01-4109</t>
  </si>
  <si>
    <t>Кабель КВК-П-2 +2x0,75 мм² (Cu/CCA) (96) черный, 200 м, PROconnect</t>
  </si>
  <si>
    <t>01-4105</t>
  </si>
  <si>
    <t>Кабель КВК-П-2 +2x0,75 мм² (Cu/Cu) черный, 200 м, REXANT</t>
  </si>
  <si>
    <t>01-4107</t>
  </si>
  <si>
    <t>Кабель КВК-П-2+2x0,75 мм², +ТРОС (Cu/Cu) черный, 305 м, REXANT</t>
  </si>
  <si>
    <t>5. 1. 1. 2 Кабель КВК с питанием 2*0,5 мм2 [Группа индивидуального ценообразования]</t>
  </si>
  <si>
    <t>01-4012</t>
  </si>
  <si>
    <t>Кабель КВК-В-1,5+2x0,50 мм² (Cu/Cu) белый, 200 м, REXANT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</si>
  <si>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</si>
  <si>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</si>
  <si>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</si>
  <si>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</si>
  <si>
    <t>01-4013</t>
  </si>
  <si>
    <t>Кабель КВК-П-1,5+2x0,50 мм² (Cu/Cu) черный, 200 м, REXANT</t>
  </si>
  <si>
    <t>01-4215</t>
  </si>
  <si>
    <t>Кабель КВК-П-2 +2x0,50 мм² (Cu/CCA) (96) черный, 200 м, PROconnect</t>
  </si>
  <si>
    <t>01-4214</t>
  </si>
  <si>
    <t>Кабель КВК-П-2 +2x0,50 мм² (Cu/Cu) черный, 200 м, PROconnect</t>
  </si>
  <si>
    <t>5. 1. 1. 3 Кабель ККСВ, ККСП [Группа индивидуального ценообразования]</t>
  </si>
  <si>
    <t>01-4001</t>
  </si>
  <si>
    <t>Кабель ККСВ-В+2х0,5 мм, 100 м, белый, REXANT</t>
  </si>
  <si>
    <t>01-4003</t>
  </si>
  <si>
    <t>Кабель ККСВ-В+2х0,5 мм, 305 м, белый, REXANT</t>
  </si>
  <si>
    <t>01-4021</t>
  </si>
  <si>
    <t>Кабель ККСВ-В+4х0,5 мм, 100 м, белый, REXANT</t>
  </si>
  <si>
    <t>01-4002</t>
  </si>
  <si>
    <t>Кабель ККСВ-П+2х0,5 мм, 100 м, черный, REXANT</t>
  </si>
  <si>
    <t>01-4004</t>
  </si>
  <si>
    <t>Кабель ККСВ-П+2х0,5 мм, 305 м, черный, REXANT</t>
  </si>
  <si>
    <t>01-4022</t>
  </si>
  <si>
    <t>Кабель ККСВ-П+4х0,5 мм, 100 м, черный, REXANT</t>
  </si>
  <si>
    <t>5. 1. 1. 4 Кабель ШВЭВ, ШВЭП, ШСМ [Группа индивидуального ценообразования]</t>
  </si>
  <si>
    <t>01-4033</t>
  </si>
  <si>
    <t>Кабель ШВЭВ (ШСм, 3x0,12 мм², 200 м, белый, REXANT</t>
  </si>
  <si>
    <t>01-4034</t>
  </si>
  <si>
    <t>Кабель ШВЭП (ШСм, 4x0,12 мм², 200 м, черный, REXANT</t>
  </si>
  <si>
    <t>5. 1. 2 Разъемы и аксессуары</t>
  </si>
  <si>
    <t>5. 1. 2. 1 Разъемы BNC</t>
  </si>
  <si>
    <t>05-3082</t>
  </si>
  <si>
    <t>Разъем BNC гнездо под винт с колпачком REXANT</t>
  </si>
  <si>
    <t>05-3081</t>
  </si>
  <si>
    <t>Разъем BNC гнездо с клеммной колодкой REXANT</t>
  </si>
  <si>
    <t>05-3001</t>
  </si>
  <si>
    <t>Разъем BNC штекер RG-58 обжим REXANT</t>
  </si>
  <si>
    <t>05-3002</t>
  </si>
  <si>
    <t>Разъем BNC штекер RG-59 обжим REXANT</t>
  </si>
  <si>
    <t>05-3003</t>
  </si>
  <si>
    <t>Разъем BNC штекер RG-6 обжим REXANT</t>
  </si>
  <si>
    <t>05-3071</t>
  </si>
  <si>
    <t>Разъем BNC штекер под винт с колпачком REXANT</t>
  </si>
  <si>
    <t>05-3073-4</t>
  </si>
  <si>
    <t>Разъем BNC штекер под винт с пружиной металл PROconnect</t>
  </si>
  <si>
    <t>05-3073</t>
  </si>
  <si>
    <t>Разъем BNC штекер под винт с пружиной металл REXANT</t>
  </si>
  <si>
    <t>05-3075-4</t>
  </si>
  <si>
    <t>Разъем BNC штекер под пайку с пружиной металл (универсальный) PROconnect</t>
  </si>
  <si>
    <t>05-3076-2</t>
  </si>
  <si>
    <t>Разъем BNC штекер с быстрозажимной колодкой REXANT</t>
  </si>
  <si>
    <t>05-3076-4</t>
  </si>
  <si>
    <t>Разъем BNC штекер с клеммной колодкой PROconnect</t>
  </si>
  <si>
    <t>05-3076</t>
  </si>
  <si>
    <t>Разъем BNC штекер с клеммной колодкой REXANT</t>
  </si>
  <si>
    <t>05-3120</t>
  </si>
  <si>
    <t>Разъем BNC гнездо с проводом 20 см REXANT</t>
  </si>
  <si>
    <t>5. 1. 2. 2 Разъемы питания DC</t>
  </si>
  <si>
    <t>14-0320</t>
  </si>
  <si>
    <t>Разветвитель питания DC на 2 разъема 2,1х5,5мм REXANT</t>
  </si>
  <si>
    <t>14-0318</t>
  </si>
  <si>
    <t>Разветвитель питания DC на 5 разъемов 2,1х5,5мм REXANT</t>
  </si>
  <si>
    <t>14-0317</t>
  </si>
  <si>
    <t>Разветвитель питания DC на 9 разъемов 2,1х5,5мм REXANT</t>
  </si>
  <si>
    <t>14-0315-2</t>
  </si>
  <si>
    <t>Разъем питания DC гнездо 2,1х5,5 с быстрозажимной колодкой REXANT</t>
  </si>
  <si>
    <t>14-0315</t>
  </si>
  <si>
    <t>Разъем питания DC гнездо 2,1х5,5 с клеммной колодкой REXANT</t>
  </si>
  <si>
    <t>14-0314-2</t>
  </si>
  <si>
    <t>Разъем питания DC штекер 2,1х5,5мм с быстрозажимной колодкой REXANT</t>
  </si>
  <si>
    <t>14-0314-4</t>
  </si>
  <si>
    <t>Разъем питания DC штекер 2,1х5,5мм с клеммной колодкой PROconnect</t>
  </si>
  <si>
    <t>14-0314</t>
  </si>
  <si>
    <t>Разъем питания DC штекер 2,1х5,5мм с клеммной колодкой REXANT</t>
  </si>
  <si>
    <t>14-0311</t>
  </si>
  <si>
    <t>Разъем питания DC штекер 2,1х5,5мм REXANT</t>
  </si>
  <si>
    <t>14-0313</t>
  </si>
  <si>
    <t>Разъем питания DC штекер 2,1х5,5мм с проводом 20 см REXANT</t>
  </si>
  <si>
    <t>14-0312</t>
  </si>
  <si>
    <t>Разъем питания DC штекер 2,1х5,5мм угловой REXANT</t>
  </si>
  <si>
    <t>14-0310</t>
  </si>
  <si>
    <t>Разъем питания DC гнездо 2,1х5,5 с проводом 20 см REXANT</t>
  </si>
  <si>
    <t>14-0332</t>
  </si>
  <si>
    <t>Разъем питания DC гнездо 2,5х5,5мм с проводом 20см REXANT</t>
  </si>
  <si>
    <t>14-0324</t>
  </si>
  <si>
    <t>Разъем питания DC штекер 2,5х5,5мм с проводом 20 см REXANT</t>
  </si>
  <si>
    <t>14-0360</t>
  </si>
  <si>
    <t>Удлинитель кабеля питания DC гнездо-штекер (2,1х5,5мм) 3м REXANT</t>
  </si>
  <si>
    <t>14-0350</t>
  </si>
  <si>
    <t>Удлинитель кабеля питания DC гнездо-штекер (2,1х5,5мм) 1,5м REXANT</t>
  </si>
  <si>
    <t>5. 1. 2. 5 Грозозащита</t>
  </si>
  <si>
    <t>05-3079</t>
  </si>
  <si>
    <t>Грозозащита витой пары RJ45 разъем REXANT</t>
  </si>
  <si>
    <t>05-3079-1</t>
  </si>
  <si>
    <t>Грозозащита витой пары разъем RJ45 с PoE REXANT</t>
  </si>
  <si>
    <t>05-3078</t>
  </si>
  <si>
    <t>Грозозащита коаксиального кабеля BNC разъем REXANT</t>
  </si>
  <si>
    <t>05-4000-1</t>
  </si>
  <si>
    <t>Грозозащита на F-разъем 5-2400 МГц REXANT</t>
  </si>
  <si>
    <t>5. 1. 3 Муляжи видеокамер</t>
  </si>
  <si>
    <t>45-0303</t>
  </si>
  <si>
    <t>Муляж видеокамеры внутренней установки RX-303 REXANT</t>
  </si>
  <si>
    <t>45-0307</t>
  </si>
  <si>
    <t>Муляж видеокамеры уличной установки RX-307 REXANT</t>
  </si>
  <si>
    <t>45-0210</t>
  </si>
  <si>
    <t>Муляж камеры внутренний, купольный, белый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</si>
  <si>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</si>
  <si>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</si>
  <si>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</si>
  <si>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</si>
  <si>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45-0230</t>
  </si>
  <si>
    <t>Муляж камеры, внутренний, купольный, черный REXANT</t>
  </si>
  <si>
    <t>5. 1. 6 Камеры AHD</t>
  </si>
  <si>
    <t>5. 1. 6. 1 Уличной установки AHD</t>
  </si>
  <si>
    <t>45-0143</t>
  </si>
  <si>
    <t>Купольная уличная камера стандарта AHD 1.3Мп (960P), объектив 2.8-12 мм., ИК до 30 м.</t>
  </si>
  <si>
    <t>5. 1. 6. 2 Внутренней установки AHD</t>
  </si>
  <si>
    <t>45-0135</t>
  </si>
  <si>
    <t>Купольная камера стандарта AHD 1.0Мп (720P), объектив 2.8-12 мм., ИК до 30 м.</t>
  </si>
  <si>
    <t>5. 1. 8 Блоки питания</t>
  </si>
  <si>
    <t>34-0496</t>
  </si>
  <si>
    <t>Блок питания резервированный 12В, 2А, под АКБ 7А/ ч DC-496</t>
  </si>
  <si>
    <t>34-0493</t>
  </si>
  <si>
    <t>Блок питания стабилизированный 12В, 1,5А, уличная установка DC-493</t>
  </si>
  <si>
    <t>5. 1.11 Кронштейны для камер видеонаблюдения</t>
  </si>
  <si>
    <t>34-0894</t>
  </si>
  <si>
    <t>Кронштейн для камер видеонаблюдения на столб, 14х14 см, под хомуты REXANT</t>
  </si>
  <si>
    <t>34-0893</t>
  </si>
  <si>
    <t>Кронштейн для камер видеонаблюдения на столб, 18х14см, под хомуты REXANT</t>
  </si>
  <si>
    <t>34-0872</t>
  </si>
  <si>
    <t>Кронштейн для камер видеонаблюдения с поворотной площадкой, труба 5,1 см, 30 см REXANT</t>
  </si>
  <si>
    <t>34-0878</t>
  </si>
  <si>
    <t>Кронштейн для камер видеонаблюдения телескопический, 70-130 см REXANT</t>
  </si>
  <si>
    <t>34-0616</t>
  </si>
  <si>
    <t>Кронштейн для камер видеонаблюдения телескопический, 60-110см боковой REXANT</t>
  </si>
  <si>
    <t>34-0617</t>
  </si>
  <si>
    <t>Кронштейн для камер видеонаблюдения телескопический, 60-110см торцевой REXANT</t>
  </si>
  <si>
    <t>34-0879</t>
  </si>
  <si>
    <t>Кронштейн для камер видеонаблюдения телескопический, 70-130см, боковой REXANT</t>
  </si>
  <si>
    <t>34-0870</t>
  </si>
  <si>
    <t>Кронштейн для камер видеонаблюдения, труба 5,1 см, 30 см REXANT</t>
  </si>
  <si>
    <t>34-0885</t>
  </si>
  <si>
    <t>Кронштейн для камер видеонаблюдения, 30см, торцевой REXANT</t>
  </si>
  <si>
    <t>34-0880</t>
  </si>
  <si>
    <t>Кронштейн для камер видеонаблюдения, 30см, угловой REXANT</t>
  </si>
  <si>
    <t>34-0886</t>
  </si>
  <si>
    <t>Кронштейн для камер видеонаблюдения, 45см, боковой REXANT</t>
  </si>
  <si>
    <t>34-0881</t>
  </si>
  <si>
    <t>Кронштейн для камер видеонаблюдения, 50см, угловой REXANT</t>
  </si>
  <si>
    <t>28-4011</t>
  </si>
  <si>
    <t>Кронштейн универсальный для видеокамер на столб/угол, серый REXANT</t>
  </si>
  <si>
    <t>28-4012</t>
  </si>
  <si>
    <t>Кронштейн универсальный для видеокамер на столб/угол, черный REXANT</t>
  </si>
  <si>
    <t>5. 2 Противопожарная безопасность</t>
  </si>
  <si>
    <t>5. 2. 1 Кабель для монтажа систем связи и сигнализации</t>
  </si>
  <si>
    <t>5. 2. 1. 1 Кабель КСПВ / КСПЭВ [Группа индивидуального ценообразования]</t>
  </si>
  <si>
    <t>01-4704</t>
  </si>
  <si>
    <t>Кабель сигнальный КСПВ 10х0,4мм, бухта 200м REXANT</t>
  </si>
  <si>
    <t>01-4714</t>
  </si>
  <si>
    <t>Кабель сигнальный КСПВ 10х0,5мм, бухта 200м REXANT</t>
  </si>
  <si>
    <t>01-4705</t>
  </si>
  <si>
    <t>Кабель сигнальный КСПВ 12х0,4мм, бухта 200м REXANT</t>
  </si>
  <si>
    <t>01-4715</t>
  </si>
  <si>
    <t>Кабель сигнальный КСПВ 12х0,5мм, бухта 200м REXANT</t>
  </si>
  <si>
    <t>01-4706</t>
  </si>
  <si>
    <t>Кабель сигнальный КСПВ 14х0,4мм, бухта 200м REXANT</t>
  </si>
  <si>
    <t>3 000 - 14 дней</t>
  </si>
  <si>
    <t>01-4716</t>
  </si>
  <si>
    <t>Кабель сигнальный КСПВ 14х0,5мм, бухта 200м REXANT</t>
  </si>
  <si>
    <t>01-4719</t>
  </si>
  <si>
    <t>Кабель сигнальный КСПВ 20х0,5мм, бухта 200м REXANT</t>
  </si>
  <si>
    <t>01-4700</t>
  </si>
  <si>
    <t>Кабель сигнальный КСПВ 2х0,4мм, бухта 500м REXANT</t>
  </si>
  <si>
    <t>01-4710</t>
  </si>
  <si>
    <t>Кабель сигнальный КСПВ 2х0,5мм, бухта 500м REXANT</t>
  </si>
  <si>
    <t>01-4701</t>
  </si>
  <si>
    <t>Кабель сигнальный КСПВ 4х0,4мм, бухта 200м REXANT</t>
  </si>
  <si>
    <t>01-4711</t>
  </si>
  <si>
    <t>Кабель сигнальный КСПВ 4х0,5мм, бухта 200м REXANT</t>
  </si>
  <si>
    <t>01-4702</t>
  </si>
  <si>
    <t>Кабель сигнальный КСПВ 6х0,4мм, бухта 200м REXANT</t>
  </si>
  <si>
    <t>01-4712</t>
  </si>
  <si>
    <t>Кабель сигнальный КСПВ 6х0,5мм, бухта 200м REXANT</t>
  </si>
  <si>
    <t>01-4703</t>
  </si>
  <si>
    <t>Кабель сигнальный КСПВ 8х0,4мм, бухта 200м REXANT</t>
  </si>
  <si>
    <t>01-4713</t>
  </si>
  <si>
    <t>Кабель сигнальный КСПВ 8х0,5мм, бухта 200м REXANT</t>
  </si>
  <si>
    <t>01-4700-1</t>
  </si>
  <si>
    <t>Кабель сигнальный КСПЭВ 2х0,4мм, бухта 200м REXANT</t>
  </si>
  <si>
    <t>01-4710-1</t>
  </si>
  <si>
    <t>Кабель сигнальный КСПЭВ 2х0,5мм, бухта 200м REXANT</t>
  </si>
  <si>
    <t>01-4711-1</t>
  </si>
  <si>
    <t>Кабель сигнальный КСПЭВ 4х0,5мм, бухта 200м REXANT</t>
  </si>
  <si>
    <t>01-4712-5</t>
  </si>
  <si>
    <t>Кабель сигнальный КСПВ 6х0,5мм ССА, бухта 200м REXANT</t>
  </si>
  <si>
    <t>01-4713-5</t>
  </si>
  <si>
    <t>Кабель сигнальный КСПВ 8х0,5мм ССА, бухта 200м REXANT</t>
  </si>
  <si>
    <t>01-4710-6</t>
  </si>
  <si>
    <t>Кабель сигнальный КСПЭВ 2х0,5мм ССА, бухта 200м REXANT</t>
  </si>
  <si>
    <t>5. 2. 1. 2 Кабель КСВВ / КСВЭВ [Группа индивидуального ценообразования]</t>
  </si>
  <si>
    <t>01-4751</t>
  </si>
  <si>
    <t>Кабель сигнальный КСВВ 10х0,5мм, бухта 200м REXANT</t>
  </si>
  <si>
    <t>3 000 - 7 дней</t>
  </si>
  <si>
    <t>01-4747</t>
  </si>
  <si>
    <t>Кабель сигнальный КСВВ 2х0,5мм, бухта 500м REXANT</t>
  </si>
  <si>
    <t>01-4748</t>
  </si>
  <si>
    <t>Кабель сигнальный КСВВ 4х0,5мм, бухта 200м REXANT</t>
  </si>
  <si>
    <t>01-4749</t>
  </si>
  <si>
    <t>Кабель сигнальный КСВВ 6х0,5мм, бухта 200м REXANT</t>
  </si>
  <si>
    <t>01-4750</t>
  </si>
  <si>
    <t>Кабель сигнальный КСВВ 8х0,5мм, бухта 200м REXANT</t>
  </si>
  <si>
    <t>01-4747-1</t>
  </si>
  <si>
    <t>Кабель сигнальный КСВЭВ 2х0,5мм, бухта 200м REXANT</t>
  </si>
  <si>
    <t>01-4748-1</t>
  </si>
  <si>
    <t>Кабель сигнальный КСВЭВ 4х0,5мм, бухта 200м REXANT</t>
  </si>
  <si>
    <t>01-4747-5</t>
  </si>
  <si>
    <t>Кабель сигнальный КСВВ 2х0,5мм ССА, бухта 500м REXANT</t>
  </si>
  <si>
    <t>01-4748-5</t>
  </si>
  <si>
    <t>Кабель сигнальный КСВВ 4х0,5мм ССА, бухта 200м REXANT</t>
  </si>
  <si>
    <t>01-4785-5</t>
  </si>
  <si>
    <t>Кабель сигнальный КСВВнг(А)-LS 4х0,5мм ССА, бухта 200м REXANT</t>
  </si>
  <si>
    <t>01-4747-6</t>
  </si>
  <si>
    <t>Кабель сигнальный КСВЭВ 2х0,5мм ССА, бухта 200м REXANT</t>
  </si>
  <si>
    <t>01-4748-6</t>
  </si>
  <si>
    <t>Кабель сигнальный КСВЭВ 4х0,5мм ССА, бухта 200м REXANT</t>
  </si>
  <si>
    <t>5. 2. 1. 3 Кабель КСВВнг-LS / КСВЭВнг-LS [Группа индивидуального ценообразования]</t>
  </si>
  <si>
    <t>01-4793</t>
  </si>
  <si>
    <t>Кабель сигнальный КСВВнг(А)-LS 20х0,5мм, бухта 200м REXANT</t>
  </si>
  <si>
    <t>01-4784</t>
  </si>
  <si>
    <t>Кабель сигнальный КСВВнг(А)-LS 2х0,5мм, бухта 500м REXANT</t>
  </si>
  <si>
    <t>01-4785</t>
  </si>
  <si>
    <t>Кабель сигнальный КСВВнг(А)-LS 4х0,5мм, бухта 200м REXANT</t>
  </si>
  <si>
    <t>01-4786</t>
  </si>
  <si>
    <t>Кабель сигнальный КСВВнг(А)-LS 6х0,5мм, бухта 200м REXANT</t>
  </si>
  <si>
    <t>01-4787</t>
  </si>
  <si>
    <t>Кабель сигнальный КСВВнг(А)-LS 8х0,5мм, бухта 200м REXANT</t>
  </si>
  <si>
    <t>5. 2. 2 Кабель для монтажа систем охранной и пожарной сигнализации</t>
  </si>
  <si>
    <t>5. 2. 2. 2 Кабель КПСВВнг-LS / КПСВЭВнг-LS [Группа индивидуального ценообразования]</t>
  </si>
  <si>
    <t>01-4860</t>
  </si>
  <si>
    <t>Кабель для пожарной сигнализации КПСВВнг(А)-LS 1x2x0,50мм², бухта 200м REXANT</t>
  </si>
  <si>
    <t>01-4861</t>
  </si>
  <si>
    <t>Кабель для пожарной сигнализации КПСВВнг(А)-LS 1x2x0,75мм², бухта 200м REXANT</t>
  </si>
  <si>
    <t>01-4862</t>
  </si>
  <si>
    <t>Кабель для пожарной сигнализации КПСВВнг(А)-LS 1x2x1,00мм², бухта 200м REXANT</t>
  </si>
  <si>
    <t>01-4863</t>
  </si>
  <si>
    <t>Кабель для пожарной сигнализации КПСВВнг(А)-LS 1x2x1,50мм², бухта 200м REXANT</t>
  </si>
  <si>
    <t>01-4865</t>
  </si>
  <si>
    <t>Кабель для пожарной сигнализации КПСВВнг(А)-LS 2x2x0,50мм², бухта 200м REXANT</t>
  </si>
  <si>
    <t>01-4866</t>
  </si>
  <si>
    <t>Кабель для пожарной сигнализации КПСВВнг(А)-LS 2x2x0,75мм², бухта 200м REXANT</t>
  </si>
  <si>
    <t>01-4860-1</t>
  </si>
  <si>
    <t>Кабель для пожарной сигнализации КПСВЭВнг(А)-LS 1x2x0,50мм², бухта 200м REXANT</t>
  </si>
  <si>
    <t>01-4861-1</t>
  </si>
  <si>
    <t>Кабель для пожарной сигнализации КПСВЭВнг(А)-LS 1x2x0,75мм², бухта 200м REXANT</t>
  </si>
  <si>
    <t>01-4862-1</t>
  </si>
  <si>
    <t>Кабель для пожарной сигнализации КПСВЭВнг(А)-LS 1x2x1,00мм², бухта 200м REXANT</t>
  </si>
  <si>
    <t>01-4863-1</t>
  </si>
  <si>
    <t>Кабель для пожарной сигнализации КПСВЭВнг(А)-LS 1x2x1,50мм², бухта 200м REXANT</t>
  </si>
  <si>
    <t>01-4865-1</t>
  </si>
  <si>
    <t>Кабель для пожарной сигнализации КПСВЭВнг(А)-LS 2x2x0,50мм², бухта 200м REXANT</t>
  </si>
  <si>
    <t>01-4866-1</t>
  </si>
  <si>
    <t>Кабель для пожарной сигнализации КПСВЭВнг(А)-LS 2x2x0,75мм², бухта 200м REXANT</t>
  </si>
  <si>
    <t>01-4867-1</t>
  </si>
  <si>
    <t>Кабель для пожарной сигнализации КПСВЭВнг(А)-LS 2x2x1,00мм², бухта 200м REXANT</t>
  </si>
  <si>
    <t>01-4868-1</t>
  </si>
  <si>
    <t>Кабель для пожарной сигнализации КПСВЭВнг(А)-LS 2x2x1,50мм², бухта 200м REXANT</t>
  </si>
  <si>
    <t>5. 2. 2. 3 Кабель КПСВВнг-LSLTx / КПСВЭВнг-LSLTx [Группа индивидуального ценообразования]</t>
  </si>
  <si>
    <t>01-4870</t>
  </si>
  <si>
    <t>Кабель для пожарной сигнализации КПСВВнг(А)-LSLTx 1x2x0,50мм², бухта 200м REXANT</t>
  </si>
  <si>
    <t>01-4871</t>
  </si>
  <si>
    <t>Кабель для пожарной сигнализации КПСВВнг(А)-LSLTx 1x2x0,75мм², бухта 200м REXANT</t>
  </si>
  <si>
    <t>01-4872</t>
  </si>
  <si>
    <t>Кабель для пожарной сигнализации КПСВВнг(А)-LSLTx 1x2x1,00мм², бухта 200м REXANT</t>
  </si>
  <si>
    <t>01-4873</t>
  </si>
  <si>
    <t>Кабель для пожарной сигнализации КПСВВнг(А)-LSLTx 1x2x1,50мм², бухта 200м REXANT</t>
  </si>
  <si>
    <t>01-4875</t>
  </si>
  <si>
    <t>Кабель для пожарной сигнализации КПСВВнг(А)-LSLTx 2x2x0,50мм², бухта 200м REXANT</t>
  </si>
  <si>
    <t>01-4876</t>
  </si>
  <si>
    <t>Кабель для пожарной сигнализации КПСВВнг(А)-LSLTx 2x2x0,75мм², бухта 200м REXANT</t>
  </si>
  <si>
    <t>01-4870-1</t>
  </si>
  <si>
    <t>Кабель для пожарной сигнализации КПСВЭВнг(А)-LSLTx 1x2x0,50мм², бухта 200м REXANT</t>
  </si>
  <si>
    <t>01-4871-1</t>
  </si>
  <si>
    <t>Кабель для пожарной сигнализации КПСВЭВнг(А)-LSLTx 1x2x0,75мм², бухта 200м REXANT</t>
  </si>
  <si>
    <t>01-4875-1</t>
  </si>
  <si>
    <t>Кабель для пожарной сигнализации КПСВЭВнг(А)-LSLTx 2x2x0,50мм², бухта 200м REXANT</t>
  </si>
  <si>
    <t>01-4876-1</t>
  </si>
  <si>
    <t>Кабель для пожарной сигнализации КПСВЭВнг(А)-LSLTx 2x2x0,75мм², бухта 200м REXANT</t>
  </si>
  <si>
    <t>5. 2. 2. 4 Кабель КПСнг(А)-FRLS / КПСЭнг(А)-FRLS [Группа индивидуального ценообразования]</t>
  </si>
  <si>
    <t>01-4900</t>
  </si>
  <si>
    <t>Кабель огнестойкий КПСнг(А)-FRLS 1x2x0,20мм², бухта 200м REXANT</t>
  </si>
  <si>
    <t>01-4901</t>
  </si>
  <si>
    <t>Кабель огнестойкий КПСнг(А)-FRLS 1x2x0,35мм², бухта 200м REXANT</t>
  </si>
  <si>
    <t>01-4902</t>
  </si>
  <si>
    <t>Кабель огнестойкий КПСнг(А)-FRLS 1x2x0,50мм², бухта 200м REXANT</t>
  </si>
  <si>
    <t>01-4904</t>
  </si>
  <si>
    <t>Кабель огнестойкий КПСнг(А)-FRLS 1x2x1,00мм², бухта 200м REXANT</t>
  </si>
  <si>
    <t>01-4905</t>
  </si>
  <si>
    <t>Кабель огнестойкий КПСнг(А)-FRLS 1x2x1,50мм², бухта 200м REXANT</t>
  </si>
  <si>
    <t>01-4903</t>
  </si>
  <si>
    <t>Кабель огнестойкий КПСнг(А)-FRLS 1х2х0,75мм², бухта 200м REXANT</t>
  </si>
  <si>
    <t>01-4907</t>
  </si>
  <si>
    <t>Кабель огнестойкий КПСнг(А)-FRLS 2x2x0,20мм², бухта 200м REXANT</t>
  </si>
  <si>
    <t>01-4909</t>
  </si>
  <si>
    <t>Кабель огнестойкий КПСнг(А)-FRLS 2x2x0,50мм², бухта 200м REXANT</t>
  </si>
  <si>
    <t>01-4910</t>
  </si>
  <si>
    <t>Кабель огнестойкий КПСнг(А)-FRLS 2x2x0,75мм², бухта 200м REXANT</t>
  </si>
  <si>
    <t>01-4911</t>
  </si>
  <si>
    <t>Кабель огнестойкий КПСнг(А)-FRLS 2x2x1,00мм², бухта 200м REXANT</t>
  </si>
  <si>
    <t>01-4900-1</t>
  </si>
  <si>
    <t>Кабель огнестойкий КПСЭнг(А)-FRLS 1x2x0,20мм², бухта 200м REXANT</t>
  </si>
  <si>
    <t>01-4902-1</t>
  </si>
  <si>
    <t>Кабель огнестойкий КПСЭнг(А)-FRLS 1x2x0,50мм², бухта 200м REXANT</t>
  </si>
  <si>
    <t>01-4903-1</t>
  </si>
  <si>
    <t>Кабель огнестойкий КПСЭнг(А)-FRLS 1x2x0,75мм², бухта 200м REXANT</t>
  </si>
  <si>
    <t>01-4904-1</t>
  </si>
  <si>
    <t>Кабель огнестойкий КПСЭнг(А)-FRLS 1x2x1,00мм², бухта 200м REXANT</t>
  </si>
  <si>
    <t>01-4905-1</t>
  </si>
  <si>
    <t>Кабель огнестойкий КПСЭнг(А)-FRLS 1x2x1,50мм², бухта 200м REXANT</t>
  </si>
  <si>
    <t>01-4909-1</t>
  </si>
  <si>
    <t>Кабель огнестойкий КПСЭнг(А)-FRLS 2x2x0,50мм², бухта 200м REXANT</t>
  </si>
  <si>
    <t>01-4910-1</t>
  </si>
  <si>
    <t>Кабель огнестойкий КПСЭнг(А)-FRLS 2x2x0,75мм², бухта 200м REXANT</t>
  </si>
  <si>
    <t>01-4911-1</t>
  </si>
  <si>
    <t>Кабель огнестойкий КПСЭнг(А)-FRLS 2x2x1,00мм², бухта 200м REXANT</t>
  </si>
  <si>
    <t>5. 2. 2. 5 Кабель КПСнг(А)-FRHF / КПСЭнг(А)-FRHF [Группа индивидуального ценообразования]</t>
  </si>
  <si>
    <t>01-4916</t>
  </si>
  <si>
    <t>Кабель огнестойкий КПСнг(А)-FRHF 1x2x0,50мм², бухта 200м REXANT</t>
  </si>
  <si>
    <t>01-4917</t>
  </si>
  <si>
    <t>Кабель огнестойкий КПСнг(А)-FRHF 1x2x0,75мм², бухта 200м REXANT</t>
  </si>
  <si>
    <t>01-4918</t>
  </si>
  <si>
    <t>Кабель огнестойкий КПСнг(А)-FRHF 1x2x1,00мм², бухта 200м REXANT</t>
  </si>
  <si>
    <t>01-4919</t>
  </si>
  <si>
    <t>Кабель огнестойкий КПСнг(А)-FRHF 1x2x1,50мм², бухта 200м REXANT</t>
  </si>
  <si>
    <t>01-4923</t>
  </si>
  <si>
    <t>Кабель огнестойкий КПСнг(А)-FRHF 2x2x0,50мм², бухта 200м REXANT</t>
  </si>
  <si>
    <t>01-4924</t>
  </si>
  <si>
    <t>Кабель огнестойкий КПСнг(А)-FRHF 2x2x0,75мм², бухта 200м REXANT</t>
  </si>
  <si>
    <t>01-4916-1</t>
  </si>
  <si>
    <t>Кабель огнестойкий КПСЭнг(А)-FRHF 1x2x0,50мм², бухта 200м REXANT</t>
  </si>
  <si>
    <t>200 - 14 дней</t>
  </si>
  <si>
    <t>01-4917-1</t>
  </si>
  <si>
    <t>Кабель огнестойкий КПСЭнг(А)-FRHF 1x2x0,75мм², бухта 200м REXANT</t>
  </si>
  <si>
    <t>01-4918-1</t>
  </si>
  <si>
    <t>Кабель огнестойкий КПСЭнг(А)-FRHF 1x2x1,00мм², бухта 200м REXANT</t>
  </si>
  <si>
    <t>01-4919-1</t>
  </si>
  <si>
    <t>Кабель огнестойкий КПСЭнг(А)-FRHF 1x2x1,50мм², бухта 200м REXANT</t>
  </si>
  <si>
    <t>01-4923-1</t>
  </si>
  <si>
    <t>Кабель огнестойкий КПСЭнг(А)-FRHF 2x2x0,50мм², бухта 200м REXANT</t>
  </si>
  <si>
    <t>01-4924-1</t>
  </si>
  <si>
    <t>Кабель огнестойкий КПСЭнг(А)-FRHF 2x2x0,75мм², бухта 200м REXANT</t>
  </si>
  <si>
    <t>5. 2. 2. 6 Кабель КПСнг(А)-FRLSLTx / КПСЭнг(А)-FRLSLTx [Группа индивидуального ценообразования]</t>
  </si>
  <si>
    <t>01-4930</t>
  </si>
  <si>
    <t>Кабель огнестойкий КПСнг(А)-FRLSLTx 1x2x0,50мм², бухта 200м REXANT</t>
  </si>
  <si>
    <t>01-4931</t>
  </si>
  <si>
    <t>Кабель огнестойкий КПСнг(А)-FRLSLTx 1x2x0,75мм², бухта 200м REXANT</t>
  </si>
  <si>
    <t>01-4932</t>
  </si>
  <si>
    <t>Кабель огнестойкий КПСнг(А)-FRLSLTx 1x2x1,00мм², бухта 200м REXANT</t>
  </si>
  <si>
    <t>01-4933</t>
  </si>
  <si>
    <t>Кабель огнестойкий КПСнг(А)-FRLSLTx 1x2x1,50мм², бухта 200м REXANT</t>
  </si>
  <si>
    <t>01-4937</t>
  </si>
  <si>
    <t>Кабель огнестойкий КПСнг(А)-FRLSLTx 2x2x0,50мм², бухта 200м REXANT</t>
  </si>
  <si>
    <t>01-4938</t>
  </si>
  <si>
    <t>Кабель огнестойкий КПСнг(А)-FRLSLTx 2x2x0,75мм², бухта 200м REXANT</t>
  </si>
  <si>
    <t>01-4930-1</t>
  </si>
  <si>
    <t>Кабель огнестойкий КПСЭнг(А)-FRLSLTx 1x2x0,50мм², бухта 200м REXANT</t>
  </si>
  <si>
    <t>01-4931-1</t>
  </si>
  <si>
    <t>Кабель огнестойкий КПСЭнг(А)-FRLSLTx 1x2x0,75мм², бухта 200м REXANT</t>
  </si>
  <si>
    <t>01-4932-1</t>
  </si>
  <si>
    <t>Кабель огнестойкий КПСЭнг(А)-FRLSLTx 1x2x1,00мм², бухта 200м REXANT</t>
  </si>
  <si>
    <t>01-4937-1</t>
  </si>
  <si>
    <t>Кабель огнестойкий КПСЭнг(А)-FRLSLTx 2x2x0,50мм², бухта 200м REXANT</t>
  </si>
  <si>
    <t>01-4938-1</t>
  </si>
  <si>
    <t>Кабель огнестойкий КПСЭнг(А)-FRLSLTx 2x2x0,75мм², бухта 200м REXANT</t>
  </si>
  <si>
    <t>5. 3 СКУД</t>
  </si>
  <si>
    <t>5. 3. 1 Видеодомофоны</t>
  </si>
  <si>
    <t>5. 3. 1. 1 Мониторы видеодомофона</t>
  </si>
  <si>
    <t>45-0332-1</t>
  </si>
  <si>
    <t>Цветной монитор видеодомофона 4,3" формата AHD (модель AC-332) в комплекте с вызывной видеопанелью с кнопкой SECURIC</t>
  </si>
  <si>
    <t>5. 3. 1. 2 Вызывные панели</t>
  </si>
  <si>
    <t>45-0317</t>
  </si>
  <si>
    <t>Вызывная видеопанель стандарта AHD (модель AC-317)</t>
  </si>
  <si>
    <t>5. 3. 2 Аудиотрубки (трубки многоквартирного домофона)</t>
  </si>
  <si>
    <t>45-0349</t>
  </si>
  <si>
    <t>Трубка домофона RX-349, белая REXANT</t>
  </si>
  <si>
    <t>45-0346</t>
  </si>
  <si>
    <t>Трубка домофона с индикатором и отключением звука RX-346, белая REXANT</t>
  </si>
  <si>
    <t>45-0347</t>
  </si>
  <si>
    <t>Трубка домофона с индикатором и отключением звука RX-347, белая REXANT</t>
  </si>
  <si>
    <t>45-0320</t>
  </si>
  <si>
    <t>Трубка домофона с индикатором и регулировкой звука RX-320, черная REXANT</t>
  </si>
  <si>
    <t>45-0321</t>
  </si>
  <si>
    <t>Трубка домофона с индикатором и регулировкой звука RX-321, серая REXANT</t>
  </si>
  <si>
    <t>45-0322</t>
  </si>
  <si>
    <t>Трубка домофона с индикатором и регулировкой звука RX-322, желтая REXANT</t>
  </si>
  <si>
    <t>45-0348</t>
  </si>
  <si>
    <t>Трубка домофона с индикатором и регулировкой звука RX-348, белая REXANT</t>
  </si>
  <si>
    <t>5. 3. 3 Идентификаторы (Электронные ключи / карты)</t>
  </si>
  <si>
    <t>46-0253</t>
  </si>
  <si>
    <t>Дубликатор электронных ключей 125KHz формат EM Marin</t>
  </si>
  <si>
    <t>46-0220</t>
  </si>
  <si>
    <t>Компактный электронный ключ (карта) 125KHz, формат EM Marin, белый REXANT</t>
  </si>
  <si>
    <t>46-0257</t>
  </si>
  <si>
    <t>Электронный ключ (браслет) 125 KHz формат EM-Marin</t>
  </si>
  <si>
    <t>46-0257-1</t>
  </si>
  <si>
    <t>Электронный ключ (браслет) 125 KHz формат EM-Marin 1 шт</t>
  </si>
  <si>
    <t>46-0221</t>
  </si>
  <si>
    <t>Электронный ключ (брелок) 125KHz формат EM Marin</t>
  </si>
  <si>
    <t>46-0221-1</t>
  </si>
  <si>
    <t>Электронный ключ (брелок) 125KHz формат EM Marin 1 шт</t>
  </si>
  <si>
    <t>46-0223</t>
  </si>
  <si>
    <t>Электронный ключ (брелок) 13,56 MHz формат Mifare</t>
  </si>
  <si>
    <t>46-0223-1</t>
  </si>
  <si>
    <t>Электронный ключ (брелок) 13,56 MHz формат Mifare 1 шт</t>
  </si>
  <si>
    <t>46-0227</t>
  </si>
  <si>
    <t>Электронный ключ (карта с прорезью) 125KHz формат EM Marin</t>
  </si>
  <si>
    <t>46-0227-1</t>
  </si>
  <si>
    <t>Электронный ключ (карта с прорезью) 125KHz формат EM Marin 1 шт</t>
  </si>
  <si>
    <t>46-0225</t>
  </si>
  <si>
    <t>Электронный ключ (карта) 125KHz формат EM Marin</t>
  </si>
  <si>
    <t>46-0225-1</t>
  </si>
  <si>
    <t>Электронный ключ (карта) 125KHz формат EM Marin 1 шт</t>
  </si>
  <si>
    <t>5. 3. 6 Замки и крепления [Группа индивидуального ценообразования]</t>
  </si>
  <si>
    <t>45-0907</t>
  </si>
  <si>
    <t>Замок электромеханический накладной универсальный SC-10</t>
  </si>
  <si>
    <t>45-0909</t>
  </si>
  <si>
    <t>Замок электромеханический накладной универсальный  SC-20, с возможностью блокировки кнопки открывания</t>
  </si>
  <si>
    <t>5. 3. 7 Кнопки "ВЫХОД"</t>
  </si>
  <si>
    <t>45-0955</t>
  </si>
  <si>
    <t>Кнопка «Выход» металлическая SB-30</t>
  </si>
  <si>
    <t>5. 4 Беспроводные сигнализации</t>
  </si>
  <si>
    <t>5. 4. 1 GSM сигнализации [Группа индивидуального ценообразования]</t>
  </si>
  <si>
    <t>46-0241</t>
  </si>
  <si>
    <t>Беспроводной датчик открытия для GS-115, с отключаемой индикацией, геркон REXANT</t>
  </si>
  <si>
    <t>5. 4. 2 Автономные сигнализации</t>
  </si>
  <si>
    <t>46-0207</t>
  </si>
  <si>
    <t>Автономная сигнализация геркон (в упаковке 4шт.) (модель RX-207)  REXANT</t>
  </si>
  <si>
    <t>46-0215</t>
  </si>
  <si>
    <t>Беспроводной звонок с выносным датчиком движения (модель GS-215)  REXANT</t>
  </si>
  <si>
    <t>46-0205</t>
  </si>
  <si>
    <t>Беспроводной звонок с датчиком движения (модель GS-205)  REXANT</t>
  </si>
  <si>
    <t>5. 5 Знаки безопасности</t>
  </si>
  <si>
    <t>5. 5. 1 Наклейки</t>
  </si>
  <si>
    <t>5. 5. 1. 1 Наклейки пожарной безопасности</t>
  </si>
  <si>
    <t>56-0050</t>
  </si>
  <si>
    <t>Наклейка знак пожарной безопасности "Огнетушитель"100*100 мм REXANT</t>
  </si>
  <si>
    <t>56-0051</t>
  </si>
  <si>
    <t>Наклейка знак пожарной безопасности "Огнетушитель"200*200 мм REXANT</t>
  </si>
  <si>
    <t>56-0054</t>
  </si>
  <si>
    <t>Наклейка знак пожарной безопасности "Пожарный кран"100*100 мм REXANT</t>
  </si>
  <si>
    <t>56-0055</t>
  </si>
  <si>
    <t>Наклейка знак пожарной безопасности "Пожарный кран"200*200 мм REXANT</t>
  </si>
  <si>
    <t>56-0051-1</t>
  </si>
  <si>
    <t>Наклейка знак пожарной безопасности «Огнетушитель» 150х150 мм REXANT</t>
  </si>
  <si>
    <t>5. 5. 1. 3 Наклейки запрещающие</t>
  </si>
  <si>
    <t>56-0040</t>
  </si>
  <si>
    <t>Наклейка запрещающий знак "С животными вход запрещен" 300*150 мм REXANT</t>
  </si>
  <si>
    <t>56-0043</t>
  </si>
  <si>
    <t>Наклейка запрещающий знак "Фотосъемка запрещена" 150*150 мм REXANT</t>
  </si>
  <si>
    <t>56-0013</t>
  </si>
  <si>
    <t>Наклейка запрещающий знак «Не мусорить» Ø150 мм REXANT</t>
  </si>
  <si>
    <t>56-0035</t>
  </si>
  <si>
    <t>Наклейка информационный знак "Курить запрещено" 200х200 REXANT</t>
  </si>
  <si>
    <t>56-0040-10</t>
  </si>
  <si>
    <t>Наклейки запрещающие знаки «Набор наклеек 4 шт. мини Ø9 см» с хедером; 200х200 мм REXANT</t>
  </si>
  <si>
    <t>5. 5. 1. 4 Наклейки предупреждающие</t>
  </si>
  <si>
    <t>55-0021</t>
  </si>
  <si>
    <t>Наклейка знак безопасности «Внимание. Опасность» 150х150х150 мм REXANT</t>
  </si>
  <si>
    <t>5. 5. 1. 6 Наклейки информационные</t>
  </si>
  <si>
    <t>56-0031</t>
  </si>
  <si>
    <t>Наклейка информационный знак "Внимание, ведётся видеонаблюдение" 100*100 мм REXANT</t>
  </si>
  <si>
    <t>56-0024</t>
  </si>
  <si>
    <t>Наклейка информационный знак "Внимание, ведётся видеонаблюдение" 200*200 мм REXANT</t>
  </si>
  <si>
    <t>56-0014</t>
  </si>
  <si>
    <t>Наклейка информационный знак «Желтый круг» Ø150 мм REXANT</t>
  </si>
  <si>
    <t>56-0012</t>
  </si>
  <si>
    <t>Наклейка информационный знак «Ответственный за пожарную безопасность» 100х200 мм REXANT</t>
  </si>
  <si>
    <t>5. 5. 1. 7 Наклейки медицинского назначения</t>
  </si>
  <si>
    <t>56-0070</t>
  </si>
  <si>
    <t>Наклейка знак медицинского  назначения "Аптечка первой медицинской помощи"100*100 мм REXANT</t>
  </si>
  <si>
    <t>5. 5. 1. 8 Наклейки автомобильные</t>
  </si>
  <si>
    <t>56-0072</t>
  </si>
  <si>
    <t>Наклейка  автомобильная "Инвалид " 150*150 мм</t>
  </si>
  <si>
    <t>56-0034</t>
  </si>
  <si>
    <t>Наклейка информационный знак "Начинающий водитель" 150х150 REXANT</t>
  </si>
  <si>
    <t>5. 5. 2 Таблички ПВХ</t>
  </si>
  <si>
    <t>5. 5. 2. 1 Таблички пожарной безопасности</t>
  </si>
  <si>
    <t>56-0051-2</t>
  </si>
  <si>
    <t>Табличка ПВХ знак пожарной безопасности «Огнетушитель» 200х200 мм REXANT</t>
  </si>
  <si>
    <t>56-0053-2</t>
  </si>
  <si>
    <t>Табличка ПВХ знак пожарной безопасности «Пожарный гидрант» 200х200 мм REXANT</t>
  </si>
  <si>
    <t>5. 5. 2. 2 Таблички эвакуационные</t>
  </si>
  <si>
    <t>56-0020-2</t>
  </si>
  <si>
    <t>Табличка ПВХ эвакуационный знак «Указатель запасного выхода» 100х300 мм REXANT</t>
  </si>
  <si>
    <t>5. 5. 2. 3 Таблички запрещающие</t>
  </si>
  <si>
    <t>56-0043-2</t>
  </si>
  <si>
    <t>Табличка ПВХ запрещающий знак «Фотосъемка запрещена» 150х150 мм REXANT</t>
  </si>
  <si>
    <t>5. 5. 2. 5 Таблички информационные</t>
  </si>
  <si>
    <t>56-0017-2</t>
  </si>
  <si>
    <t>Табличка ПВХ «Зона Wi-Fi» 200х150 мм REXANT</t>
  </si>
  <si>
    <t>56-0024-2</t>
  </si>
  <si>
    <t>Табличка ПВХ информационный знак «Внимание, ведется видеонаблюдение» 200х200 мм REXANT</t>
  </si>
  <si>
    <t>6. АУДИО - ВИДЕО - ТВ (AV/TV)</t>
  </si>
  <si>
    <t>6. 1 Коаксиальный кабель</t>
  </si>
  <si>
    <t>6. 1. 1 Кабель SAT-703 B [Группа индивидуального ценообразования]</t>
  </si>
  <si>
    <t>01-2431-2</t>
  </si>
  <si>
    <t>Кабель коаксиальный SAT 703 B, CCS/Al/Al, 75%, 75Ом, 100м, внутренний, белый PROconnect</t>
  </si>
  <si>
    <t>01-2436-1</t>
  </si>
  <si>
    <t>Кабель коаксиальный SAT 703 B, Cu/Al/Al, 75%, 75Ом, 100м, внешний, черный PROconnect</t>
  </si>
  <si>
    <t>01-2424</t>
  </si>
  <si>
    <t>Кабель коаксиальный SAT 703 B, Cu/Al/Cu, 48%, 75Ом, 100м, внутренний, белый СМАРТКИП</t>
  </si>
  <si>
    <t>01-2431-6</t>
  </si>
  <si>
    <t>Кабель коаксиальный SAT 703 B, Cu/Al/Cu, 64%, 75Ом, 100м, внутренний, белый PROconnect</t>
  </si>
  <si>
    <t>01-2431</t>
  </si>
  <si>
    <t>Кабель коаксиальный SAT 703 B, Cu/Al/Cu, 75%, 75Ом, 100м, внутренний, белый REXANT</t>
  </si>
  <si>
    <t>01-2432</t>
  </si>
  <si>
    <t>Кабель коаксиальный SAT 703 B, Cu/Al/CuSn, 75%, 75Ом, 100м, внутренний, белый CAVEL</t>
  </si>
  <si>
    <t>6. 1. 2 Кабель SAT-50 M [Группа индивидуального ценообразования]</t>
  </si>
  <si>
    <t>01-2401-2</t>
  </si>
  <si>
    <t>Кабель коаксиальный SAT 50 M, CCS/Al/Al, 75%, 75Ом, 100м, внутренний, белый PROconnect</t>
  </si>
  <si>
    <t>01-2401-6</t>
  </si>
  <si>
    <t>Кабель коаксиальный SAT 50 M, Cu/Al/Cu, 64%, 75Ом, 100м, внутренний, белый PROconnect</t>
  </si>
  <si>
    <t>01-2401</t>
  </si>
  <si>
    <t>Кабель коаксиальный SAT 50 M, Cu/Al/Cu, 75%, 75Ом, 100м, внутренний, белый REXANT</t>
  </si>
  <si>
    <t>01-2402</t>
  </si>
  <si>
    <t>Кабель коаксиальный SAT 50 M, Cu/Al/CuSn, 64%, 75Ом, 100м, внутренний, белый CAVEL</t>
  </si>
  <si>
    <t>6. 1. 3 Кабель 75 Ом - CCS [Группа индивидуального ценообразования]</t>
  </si>
  <si>
    <t>01-2611</t>
  </si>
  <si>
    <t>Кабель коаксиальный 3С-2V, 75Ом, CCS/Al/Al, 48%, 100м, внутренний, белый REXANT</t>
  </si>
  <si>
    <t>01-2621</t>
  </si>
  <si>
    <t>Кабель коаксиальный RG-59U, 75Ом, CCS/Al/Al, 48%, 100м, внутренний, белый PROconnect</t>
  </si>
  <si>
    <t>01-2251</t>
  </si>
  <si>
    <t>Кабель коаксиальный RG-6U, 75Ом, CCS/Al/Al, 32%, 100м, внутренний, белый PROconnect Light</t>
  </si>
  <si>
    <t>01-2205</t>
  </si>
  <si>
    <t>Кабель коаксиальный RG-6U, 75Ом, CCS/Al/Al, 48%, 100м, внутренний, белый PROconnect</t>
  </si>
  <si>
    <t>01-2205-1</t>
  </si>
  <si>
    <t>Кабель коаксиальный RG-6U, 75Ом, CCS/Al/Al, 48%, 100м, внешний, черный PROconnect</t>
  </si>
  <si>
    <t>01-2201</t>
  </si>
  <si>
    <t>Кабель коаксиальный RG-6U, 75Ом, CCS/Al/Al, 64%, 100м, внутренний, белый REXANT</t>
  </si>
  <si>
    <t>01-2202</t>
  </si>
  <si>
    <t>Кабель коаксиальный RG-6U, 75Ом, CCS/Al/Al, 64%, 100м, внешний, черный REXANT</t>
  </si>
  <si>
    <t>01-2203</t>
  </si>
  <si>
    <t>Кабель коаксиальный RG-6U, 75Ом, CCS/Al/Al, 64%, 305м, внутренний, белый REXANT</t>
  </si>
  <si>
    <t>01-2204</t>
  </si>
  <si>
    <t>Кабель коаксиальный RG-6U, 75Ом, CCS/Al/Al, 64%, 305м, внешний, черный REXANT</t>
  </si>
  <si>
    <t>6. 1. 4 Кабель 75 Ом - CU [Группа индивидуального ценообразования]</t>
  </si>
  <si>
    <t>01-2641</t>
  </si>
  <si>
    <t>Кабель коаксиальный RG-59U, 75Ом, Cu/Al/Cu, 64%, 100м, внутренний, белый REXANT</t>
  </si>
  <si>
    <t>01-2651</t>
  </si>
  <si>
    <t>Кабель коаксиальный RG-59U, 75Ом, Cu/Al/Cu, 64%, 305м, внутренний, белый REXANT</t>
  </si>
  <si>
    <t>01-2206</t>
  </si>
  <si>
    <t>Кабель коаксиальный RG-6U, 75Ом, Cu/Al/Cu, 48%, 100м, внутренний, белый PROconnect</t>
  </si>
  <si>
    <t>01-2221</t>
  </si>
  <si>
    <t>Кабель коаксиальный RG-6U, 75Ом, Cu/Al/Cu, 64%, 100м, внутренний, белый REXANT</t>
  </si>
  <si>
    <t>01-2222</t>
  </si>
  <si>
    <t>Кабель коаксиальный RG-6U, 75Ом, Cu/Al/Cu, 64%, 100м, внешний, черный REXANT</t>
  </si>
  <si>
    <t>01-2231</t>
  </si>
  <si>
    <t>Кабель коаксиальный RG-6U, 75Ом, Cu/Al/Cu, 64%, 305м, внутренний, белый REXANT</t>
  </si>
  <si>
    <t>01-2232</t>
  </si>
  <si>
    <t>Кабель коаксиальный RG-6U, 75Ом, Cu/Al/Cu, 64%, 305м, внешний, черный REXANT</t>
  </si>
  <si>
    <t>01-2223</t>
  </si>
  <si>
    <t>Кабель коаксиальный RG-6U, 75Ом, Cu/Al/Cu, 75%, 100м, внутренний, белый REXANT</t>
  </si>
  <si>
    <t>01-2233</t>
  </si>
  <si>
    <t>Кабель коаксиальный RG-6U, 75Ом, Cu/Al/Cu, 75%, 305м, внутренний, белый REXANT</t>
  </si>
  <si>
    <t>01-2241</t>
  </si>
  <si>
    <t>Кабель коаксиальный RG-6U, 75Ом, Cu/Al/Cu/Al, 90%, две фольги, 100м, внутренний, белый REXANT</t>
  </si>
  <si>
    <t>6. 1. 5 Кабель 50 Ом [Группа индивидуального ценообразования]</t>
  </si>
  <si>
    <t>01-2041</t>
  </si>
  <si>
    <t>Кабель коаксиальный RG-213, 50 Ом, Cu/Cu, 96%, 100м, внешний, черный REXANT</t>
  </si>
  <si>
    <t>01-2001</t>
  </si>
  <si>
    <t>Кабель коаксиальный RG-58 A/U, 50 Ом, Cu/Al/Cu, 64%, 100м, внутренний, белый REXANT</t>
  </si>
  <si>
    <t>01-2003</t>
  </si>
  <si>
    <t>Кабель коаксиальный RG-58 A/U, 50 Ом, Cu/Al/Cu, 64%, 100м, внешний, черный REXANT</t>
  </si>
  <si>
    <t>01-2002</t>
  </si>
  <si>
    <t>Кабель коаксиальный RG-58 A/U, 50 Ом, Cu/Al/Cu, 64%, 100м, внутренний, серый REXANT</t>
  </si>
  <si>
    <t>01-2021</t>
  </si>
  <si>
    <t>Кабель коаксиальный RG-8X, 50 Ом, CCS/Al/Al, 75%, 100м, внутренний, серый REXANT</t>
  </si>
  <si>
    <t>6. 1. 6 Мини бухты "Коаксиальный кабель" [Группа индивидуального ценообразования]</t>
  </si>
  <si>
    <t>01-2205-10</t>
  </si>
  <si>
    <t>Кабель коаксиальный RG-6U, 75Ом, CCS/Al/Al, 48%, 10м, внутренний, белый PROconnect</t>
  </si>
  <si>
    <t>01-2205-20</t>
  </si>
  <si>
    <t>Кабель коаксиальный RG-6U, 75Ом, CCS/Al/Al, 48%, 20м, внутренний, белый PROconnect</t>
  </si>
  <si>
    <t>01-2205-50</t>
  </si>
  <si>
    <t>Кабель коаксиальный RG-6U, 75Ом, CCS/Al/Al, 48%, 50м, внутренний, белый PROconnect</t>
  </si>
  <si>
    <t>01-2401-2-20</t>
  </si>
  <si>
    <t>Кабель коаксиальный SAT 50M, 75Ом, CCS/Al/Al, 75%, 20м, внутренний, белый PROconnect</t>
  </si>
  <si>
    <t>01-2401-2-50</t>
  </si>
  <si>
    <t>Кабель коаксиальный SAT 50M, 75Ом, CCS/Al/Al, 75%, 50м, внутренний, белый PROconnect</t>
  </si>
  <si>
    <t>01-2431-2-20</t>
  </si>
  <si>
    <t>Кабель коаксиальный SAT 703B, 75Ом, CCS/Al/Al, 75%, 20м, внутренний, белый PROconnect</t>
  </si>
  <si>
    <t>01-2431-2-50</t>
  </si>
  <si>
    <t>Кабель коаксиальный SAT 703B, 75Ом, CCS/Al/Al, 75%, 50м, внутренний, белый PROconnect</t>
  </si>
  <si>
    <t>01-2431-10</t>
  </si>
  <si>
    <t>Кабель коаксиальный SAT 703B, 75Ом, Cu/Al/Cu, 75%, 10м, внутренний, белый REXANT</t>
  </si>
  <si>
    <t>01-2431-20</t>
  </si>
  <si>
    <t>Кабель коаксиальный SAT 703B, 75Ом, Cu/Al/Cu, 75%, 20м, внутренний, белый REXANT</t>
  </si>
  <si>
    <t>01-2431-50</t>
  </si>
  <si>
    <t>Кабель коаксиальный SAT 703B, 75Ом, Cu/Al/Cu, 75%, 50м, внутренний, белый REXANT</t>
  </si>
  <si>
    <t>6. 1. 7 Кабель MARS [Группа индивидуального ценообразования]</t>
  </si>
  <si>
    <t>01-2501</t>
  </si>
  <si>
    <t>Кабель коаксиальный серия МАРС 4K, Cu/Al/CuSn, 96%, 75Ом, 100м, внутренний, белый REXANT</t>
  </si>
  <si>
    <t>01-2502</t>
  </si>
  <si>
    <t>Кабель коаксиальный серия МАРС HD, Cu/Al/CuSn, 96%, 75Ом, 100м, внутренний, белый REXANT</t>
  </si>
  <si>
    <t>6. 1. 8 Коаксиальный магистральный кабель [Группа индивидуального ценообразования]</t>
  </si>
  <si>
    <t>01-3001</t>
  </si>
  <si>
    <t>Кабель коаксиальный магистральный RG-11U, 75Ом, CCS/Al/Al, 83%, 305м, внутренний, белый REXANT</t>
  </si>
  <si>
    <t>01-3011</t>
  </si>
  <si>
    <t>Кабель коаксиальный магистральный RG-11U, 75Ом, CCS/Al/Al, 83%, 305м, внешний, черный REXANT</t>
  </si>
  <si>
    <t>6. 1. 9 Кабель РК 75- [Группа индивидуального ценообразования]</t>
  </si>
  <si>
    <t>01-2681</t>
  </si>
  <si>
    <t>Кабель коаксиальный РК 75-2-11А, 400м, черный REXANT</t>
  </si>
  <si>
    <t>01-2680</t>
  </si>
  <si>
    <t>Кабель коаксиальный РК 75-2-11АИТ, 400м, черный REXANT</t>
  </si>
  <si>
    <t>01-2697</t>
  </si>
  <si>
    <t>Кабель коаксиальный РК 75-4-11, 200м, черный REXANT</t>
  </si>
  <si>
    <t>01-2693</t>
  </si>
  <si>
    <t>Кабель коаксиальный РК 75-4-11А, 200м, черный REXANT</t>
  </si>
  <si>
    <t>01-2692</t>
  </si>
  <si>
    <t>Кабель коаксиальный РК 75-4-11АИТ, 200м, черный REXANT</t>
  </si>
  <si>
    <t>01-2690</t>
  </si>
  <si>
    <t>Кабель коаксиальный РК 75-4-15, 200м, черный REXANT</t>
  </si>
  <si>
    <t>6. 1.10 Кабель 75 Ом - нг(А)-HF [Группа индивидуального ценообразования]</t>
  </si>
  <si>
    <t>01-2654</t>
  </si>
  <si>
    <t>Кабель коаксиальный RG-6U нг(А)-HF, Cu/Al/Cu, 64%, 75Ом, 100м, внутренний, оранжевый REXANT</t>
  </si>
  <si>
    <t>6. 1.11 Кабель DG-113 / TS-703 [Группа индивидуального ценообразования]</t>
  </si>
  <si>
    <t>01-2471</t>
  </si>
  <si>
    <t>Кабель коаксиальный DG-113, Cu/Al/Cu, 75%, 75Ом, 100м, внутренний, белый REXANT</t>
  </si>
  <si>
    <t>01-2472</t>
  </si>
  <si>
    <t>Кабель коаксиальный DG-113, Cu/Al/CuSn, 75%, 75Ом, 100м, внутренний, белый CAVEL</t>
  </si>
  <si>
    <t>6. 2 Акустический кабель</t>
  </si>
  <si>
    <t>6. 2. 1 Кабель акустический Красно-черный</t>
  </si>
  <si>
    <t>01-6101-6</t>
  </si>
  <si>
    <t>Кабель акустический 2х0,25мм², красно-черный, 100м PROconnect</t>
  </si>
  <si>
    <t>01-6101-3</t>
  </si>
  <si>
    <t>Кабель акустический 2х0,25мм², красно-черный, 100м REXANT</t>
  </si>
  <si>
    <t>01-6102-6</t>
  </si>
  <si>
    <t>Кабель акустический 2х0,35мм², красно-черный, 100м PROconnect</t>
  </si>
  <si>
    <t>01-6102-3</t>
  </si>
  <si>
    <t>Кабель акустический 2х0,35мм², красно-черный, 100м REXANT</t>
  </si>
  <si>
    <t>01-6103-6</t>
  </si>
  <si>
    <t>Кабель акустический 2х0,50мм², красно-черный, 100м PROconnect</t>
  </si>
  <si>
    <t>01-6103-3</t>
  </si>
  <si>
    <t>Кабель акустический 2х0,50мм², красно-черный, 100м REXANT</t>
  </si>
  <si>
    <t>01-6104-6</t>
  </si>
  <si>
    <t>Кабель акустический 2х0,75мм², красно-черный, 100м PROconnect</t>
  </si>
  <si>
    <t>01-6104-3</t>
  </si>
  <si>
    <t>Кабель акустический 2х0,75мм², красно-черный, 100м REXANT</t>
  </si>
  <si>
    <t>01-6105-6</t>
  </si>
  <si>
    <t>Кабель акустический 2х1,00мм², красно-черный, 100м PROconnect</t>
  </si>
  <si>
    <t>01-6105-3</t>
  </si>
  <si>
    <t>Кабель акустический 2х1,00мм², красно-черный, 100м REXANT</t>
  </si>
  <si>
    <t>01-6106-6</t>
  </si>
  <si>
    <t>Кабель акустический 2х1,50мм², красно-черный, 100м PROconnect</t>
  </si>
  <si>
    <t>01-6106-3</t>
  </si>
  <si>
    <t>Кабель акустический 2х1,50мм², красно-черный, 100м REXANT</t>
  </si>
  <si>
    <t>01-6108-6</t>
  </si>
  <si>
    <t>Кабель акустический 2х2,50мм², красно-черный, 100м PROconnect</t>
  </si>
  <si>
    <t>01-6108-3</t>
  </si>
  <si>
    <t>Кабель акустический 2х2,50мм², красно-черный, 100м REXANT</t>
  </si>
  <si>
    <t>17.12.2026</t>
  </si>
  <si>
    <t>6. 2. 2 Кабель акустический прозрачный BLUELINE</t>
  </si>
  <si>
    <t>01-6201-6</t>
  </si>
  <si>
    <t>Кабель акустический 2х0,25мм², прозрачный, с синей полосой, 100м PROconnect</t>
  </si>
  <si>
    <t>01-6201-3</t>
  </si>
  <si>
    <t>Кабель акустический 2х0,25мм², прозрачный, с синей полосой, 100м REXANT</t>
  </si>
  <si>
    <t>01-6202-6</t>
  </si>
  <si>
    <t>Кабель акустический 2х0,35мм², прозрачный, с синей полосой, 100м PROconnect</t>
  </si>
  <si>
    <t>01-6202-3</t>
  </si>
  <si>
    <t>Кабель акустический 2х0,35мм², прозрачный, с синей полосой, 100м REXANT</t>
  </si>
  <si>
    <t>01-6203-6</t>
  </si>
  <si>
    <t>Кабель акустический 2х0,50мм², прозрачный, с синей полосой, 100м PROconnect</t>
  </si>
  <si>
    <t>01-6203-3</t>
  </si>
  <si>
    <t>Кабель акустический 2х0,50мм², прозрачный, с синей полосой, 100м REXANT</t>
  </si>
  <si>
    <t>01-6204-6</t>
  </si>
  <si>
    <t>Кабель акустический 2х0,75мм², прозрачный, с синей полосой, 100м PROconnect</t>
  </si>
  <si>
    <t>01-6204-3</t>
  </si>
  <si>
    <t>Кабель акустический 2х0,75мм², прозрачный, с синей полосой, 100м REXANT</t>
  </si>
  <si>
    <t>01-6205-6</t>
  </si>
  <si>
    <t>Кабель акустический 2х1,00мм², прозрачный, с синей полосой, 100м PROconnect</t>
  </si>
  <si>
    <t>01-6205-3</t>
  </si>
  <si>
    <t>Кабель акустический 2х1,00мм², прозрачный, с синей полосой, 100м REXANT</t>
  </si>
  <si>
    <t>01-6206-6</t>
  </si>
  <si>
    <t>Кабель акустический 2х1,50мм², прозрачный, с синей полосой, 100м PROconnect</t>
  </si>
  <si>
    <t>01-6206-3</t>
  </si>
  <si>
    <t>Кабель акустический 2х1,50мм², прозрачный, с синей полосой, 100м REXANT</t>
  </si>
  <si>
    <t>01-6207-6</t>
  </si>
  <si>
    <t>Кабель акустический 2х2,00мм², прозрачный, с синей полосой, 100м PROconnect</t>
  </si>
  <si>
    <t>01-6207-3</t>
  </si>
  <si>
    <t>Кабель акустический 2х2,00мм², прозрачный, с синей полосой, 100м REXANT</t>
  </si>
  <si>
    <t>01-6208-6</t>
  </si>
  <si>
    <t>Кабель акустический 2х2,50мм², прозрачный, с синей полосой, 100м PROconnect</t>
  </si>
  <si>
    <t>01-6208-3</t>
  </si>
  <si>
    <t>Кабель акустический 2х2,50мм², прозрачный, с синей полосой, 100м REXANT</t>
  </si>
  <si>
    <t>01-6209-6</t>
  </si>
  <si>
    <t>Кабель акустический 2х4,00мм², прозрачный, с синей полосой, 100м PROconnect</t>
  </si>
  <si>
    <t>01-6209-3</t>
  </si>
  <si>
    <t>Кабель акустический 2х4,00мм², прозрачный, с синей полосой, 100м REXANT</t>
  </si>
  <si>
    <t>01-6210-6</t>
  </si>
  <si>
    <t>Кабель акустический 2х6,00мм², прозрачный, с синей полосой, 100м PROconnect</t>
  </si>
  <si>
    <t>6. 2. 3 Кабель акустический прозрачный SILICON</t>
  </si>
  <si>
    <t>01-6303</t>
  </si>
  <si>
    <t>Кабель акустический 2х0,50мм², прозрачный, серия силикон, 100м REXANT</t>
  </si>
  <si>
    <t>01-6304</t>
  </si>
  <si>
    <t>Кабель акустический 2х0,75мм², прозрачный, серия силикон, 100м REXANT</t>
  </si>
  <si>
    <t>01-6305</t>
  </si>
  <si>
    <t>Кабель акустический 2х1,00мм², прозрачный, серия силикон, 100м REXANT</t>
  </si>
  <si>
    <t>01-6306</t>
  </si>
  <si>
    <t>Кабель акустический 2х1,50мм², прозрачный, серия силикон, 100м REXANT</t>
  </si>
  <si>
    <t>01-6308</t>
  </si>
  <si>
    <t>Кабель акустический 2х2,50мм², прозрачный, серия силикон, 100м REXANT</t>
  </si>
  <si>
    <t>01-6309</t>
  </si>
  <si>
    <t>Кабель акустический 2х4,00мм², прозрачный, серия силикон, 100м REXANT</t>
  </si>
  <si>
    <t>6. 2. 4 Кабель акустический Красно-черный "минибухта"</t>
  </si>
  <si>
    <t>01-6101-3-10</t>
  </si>
  <si>
    <t>Кабель акустический 2х0,25мм², красно-черный, мини-бухта 10м REXANT</t>
  </si>
  <si>
    <t>01-6101-3-20</t>
  </si>
  <si>
    <t>Кабель акустический 2х0,25мм², красно-черный, мини-бухта 20м REXANT</t>
  </si>
  <si>
    <t>01-6101-3-05</t>
  </si>
  <si>
    <t>Кабель акустический 2х0,25мм², красно-черный, мини-бухта 5м REXANT</t>
  </si>
  <si>
    <t>01-6102-3-10</t>
  </si>
  <si>
    <t>Кабель акустический 2х0,35мм², красно-черный, мини-бухта 10м REXANT</t>
  </si>
  <si>
    <t>01-6102-3-20</t>
  </si>
  <si>
    <t>Кабель акустический 2х0,35мм², красно-черный, мини-бухта 20м REXANT</t>
  </si>
  <si>
    <t>01-6102-3-05</t>
  </si>
  <si>
    <t>Кабель акустический 2х0,35мм², красно-черный, мини-бухта 5м REXANT</t>
  </si>
  <si>
    <t>01-6103-3-10</t>
  </si>
  <si>
    <t>Кабель акустический 2х0,50мм², красно-черный, мини-бухта 10м REXANT</t>
  </si>
  <si>
    <t>01-6103-3-20</t>
  </si>
  <si>
    <t>Кабель акустический 2х0,50мм², красно-черный, мини-бухта 20м REXANT</t>
  </si>
  <si>
    <t>01-6103-3-05</t>
  </si>
  <si>
    <t>Кабель акустический 2х0,50мм², красно-черный, мини-бухта 5м REXANT</t>
  </si>
  <si>
    <t>01-6104-3-10</t>
  </si>
  <si>
    <t>Кабель акустический 2х0,75мм², красно-черный, мини-бухта 10м REXANT</t>
  </si>
  <si>
    <t>01-6104-3-20</t>
  </si>
  <si>
    <t>Кабель акустический 2х0,75мм², красно-черный, мини-бухта 20м REXANT</t>
  </si>
  <si>
    <t>01-6104-3-05</t>
  </si>
  <si>
    <t>Кабель акустический 2х0,75мм², красно-черный, мини-бухта 5м REXANT</t>
  </si>
  <si>
    <t>01-6105-3-10</t>
  </si>
  <si>
    <t>Кабель акустический 2х1,00мм², красно-черный, мини-бухта 10м REXANT</t>
  </si>
  <si>
    <t>01-6105-3-20</t>
  </si>
  <si>
    <t>Кабель акустический 2х1,00мм², красно-черный, мини-бухта 20м REXANT</t>
  </si>
  <si>
    <t>01-6105-3-05</t>
  </si>
  <si>
    <t>Кабель акустический 2х1,00мм², красно-черный, мини-бухта 5м REXANT</t>
  </si>
  <si>
    <t>01-6106-3-10</t>
  </si>
  <si>
    <t>Кабель акустический 2х1,50мм², красно-черный, мини-бухта 10м REXANT</t>
  </si>
  <si>
    <t>01-6106-3-20</t>
  </si>
  <si>
    <t>Кабель акустический 2х1,50мм², красно-черный, мини-бухта 20м REXANT</t>
  </si>
  <si>
    <t>01-6106-3-05</t>
  </si>
  <si>
    <t>Кабель акустический 2х1,50мм², красно-черный, мини-бухта 5м REXANT</t>
  </si>
  <si>
    <t>01-6108-3-10</t>
  </si>
  <si>
    <t>Кабель акустический 2х2,50мм², красно-черный, мини-бухта 10м REXANT</t>
  </si>
  <si>
    <t>01-6108-3-20</t>
  </si>
  <si>
    <t>Кабель акустический 2х2,50мм², красно-черный, мини-бухта 20м REXANT</t>
  </si>
  <si>
    <t>01-6108-3-05</t>
  </si>
  <si>
    <t>Кабель акустический 2х2,50мм², красно-черный, мини-бухта 5м REXANT</t>
  </si>
  <si>
    <t>6. 2. 5 Кабель акустический BLUELINE "минибухта"</t>
  </si>
  <si>
    <t>01-6202-3-20</t>
  </si>
  <si>
    <t>Кабель акустический 2х0,35мм², прозрачный, с синей полосой, мини-бухта 20м REXANT</t>
  </si>
  <si>
    <t>01-6202-3-05</t>
  </si>
  <si>
    <t>Кабель акустический 2х0,35мм², прозрачный, с синей полосой, мини-бухта 5м REXANT</t>
  </si>
  <si>
    <t>01-6203-3-10</t>
  </si>
  <si>
    <t>Кабель акустический 2х0,50мм², прозрачный, с синей полосой, мини-бухта 10м REXANT</t>
  </si>
  <si>
    <t>01-6203-3-20</t>
  </si>
  <si>
    <t>Кабель акустический 2х0,50мм², прозрачный, с синей полосой, мини-бухта 20м REXANT</t>
  </si>
  <si>
    <t>01-6204-3-10</t>
  </si>
  <si>
    <t>Кабель акустический 2х0,75мм², прозрачный, с синей полосой, мини-бухта 10м REXANT</t>
  </si>
  <si>
    <t>01-6204-3-20</t>
  </si>
  <si>
    <t>Кабель акустический 2х0,75мм², прозрачный, с синей полосой, мини-бухта 20м REXANT</t>
  </si>
  <si>
    <t>01-6204-3-05</t>
  </si>
  <si>
    <t>Кабель акустический 2х0,75мм², прозрачный, с синей полосой, мини-бухта 5м REXANT</t>
  </si>
  <si>
    <t>01-6304-10</t>
  </si>
  <si>
    <t>Кабель акустический 2х0,75мм², прозрачный, серия силикон, мини-бухта 10м REXANT</t>
  </si>
  <si>
    <t>01-6304-05</t>
  </si>
  <si>
    <t>Кабель акустический 2х0,75мм², прозрачный, серия силикон, мини-бухта 5м REXANT</t>
  </si>
  <si>
    <t>01-6205-3-10</t>
  </si>
  <si>
    <t>Кабель акустический 2х1,00мм², прозрачный, с синей полосой, мини-бухта 10м REXANT</t>
  </si>
  <si>
    <t>01-6305-05</t>
  </si>
  <si>
    <t>Кабель акустический 2х1,00мм², прозрачный, серия силикон, мини-бухта 5м REXANT</t>
  </si>
  <si>
    <t>01-6206-3-10</t>
  </si>
  <si>
    <t>Кабель акустический 2х1,50мм², прозрачный, с синей полосой, мини-бухта 10м REXANT</t>
  </si>
  <si>
    <t>01-6206-3-20</t>
  </si>
  <si>
    <t>Кабель акустический 2х1,50мм², прозрачный, с синей полосой, мини-бухта 20м REXANT</t>
  </si>
  <si>
    <t>01-6206-3-05</t>
  </si>
  <si>
    <t>Кабель акустический 2х1,50мм², прозрачный, с синей полосой, мини-бухта 5м REXANT</t>
  </si>
  <si>
    <t>01-6306-10</t>
  </si>
  <si>
    <t>Кабель акустический 2х1,50мм², прозрачный, серия силикон, мини-бухта 10м REXANT</t>
  </si>
  <si>
    <t>01-6306-05</t>
  </si>
  <si>
    <t>Кабель акустический 2х1,50мм², прозрачный, серия силикон, мини-бухта 5м REXANT</t>
  </si>
  <si>
    <t>01-6207-3-20</t>
  </si>
  <si>
    <t>Кабель акустический 2х2,00мм², прозрачный, с синей полосой, мини-бухта 20м REXANT</t>
  </si>
  <si>
    <t>01-6208-3-10</t>
  </si>
  <si>
    <t>Кабель акустический 2х2,50мм², прозрачный, с синей полосой, мини-бухта 10м REXANT</t>
  </si>
  <si>
    <t>01-6208-3-20</t>
  </si>
  <si>
    <t>Кабель акустический 2х2,50мм², прозрачный, с синей полосой, мини-бухта 20м REXANT</t>
  </si>
  <si>
    <t>01-6208-3-05</t>
  </si>
  <si>
    <t>Кабель акустический 2х2,50мм², прозрачный, с синей полосой, мини-бухта 5м REXANT</t>
  </si>
  <si>
    <t>01-6308-10</t>
  </si>
  <si>
    <t>Кабель акустический 2х2,50мм², прозрачный, серия силикон, мини-бухта 10м REXANT</t>
  </si>
  <si>
    <t>01-6308-05</t>
  </si>
  <si>
    <t>Кабель акустический 2х2,50мм², прозрачный, серия силикон, мини-бухта 5м REXANT</t>
  </si>
  <si>
    <t>6. 2. 6 Кабель микрофонный</t>
  </si>
  <si>
    <t>01-6028</t>
  </si>
  <si>
    <t>Кабель микрофонный 2х0,25мм², ø6,8мм, синий, 100м REXANT</t>
  </si>
  <si>
    <t>01-6029</t>
  </si>
  <si>
    <t>Кабель микрофонный 2х0,25мм², ø6,8мм, черный, 100м REXANT</t>
  </si>
  <si>
    <t>6. 2. 7 Кабель ШГЭС</t>
  </si>
  <si>
    <t>01-6001-6</t>
  </si>
  <si>
    <t>Кабель ШГЭС 2, черный, 100м PROconnect</t>
  </si>
  <si>
    <t>6. 2. 8 Кабель для продажи за наличный расчет</t>
  </si>
  <si>
    <t>06-0901</t>
  </si>
  <si>
    <t>Кабель акустический 2х0,25мм², красно-черный, бухта 100м CVK</t>
  </si>
  <si>
    <t>06-0909</t>
  </si>
  <si>
    <t>Кабель акустический 2х0,25мм², прозрачный, бухта 100м CVK</t>
  </si>
  <si>
    <t>06-0902</t>
  </si>
  <si>
    <t>Кабель акустический 2х0,35мм², красно-черный, бухта 100м CVK</t>
  </si>
  <si>
    <t>06-0910</t>
  </si>
  <si>
    <t>Кабель акустический 2х0,35мм², прозрачный, бухта 100м CVK</t>
  </si>
  <si>
    <t>06-0903</t>
  </si>
  <si>
    <t>Кабель акустический 2х0,50мм², красно-черный, бухта 100м CVK</t>
  </si>
  <si>
    <t>06-0911</t>
  </si>
  <si>
    <t>Кабель акустический 2х0,50мм², прозрачный, бухта 100м CVK</t>
  </si>
  <si>
    <t>06-0904</t>
  </si>
  <si>
    <t>Кабель акустический 2х0,75мм², красно-черный, бухта 100м CVK</t>
  </si>
  <si>
    <t>06-0912</t>
  </si>
  <si>
    <t>Кабель акустический 2х0,75мм², прозрачный, бухта 100м CVK</t>
  </si>
  <si>
    <t>06-0905</t>
  </si>
  <si>
    <t>Кабель акустический 2х1,00мм², красно-черный, бухта 100м CVK</t>
  </si>
  <si>
    <t>06-0913</t>
  </si>
  <si>
    <t>Кабель акустический 2х1,00мм², прозрачный, бухта 100м CVK</t>
  </si>
  <si>
    <t>06-0906</t>
  </si>
  <si>
    <t>Кабель акустический 2х1,50мм², красно-черный, бухта 100м CVK</t>
  </si>
  <si>
    <t>06-0914</t>
  </si>
  <si>
    <t>Кабель акустический 2х1,50мм², прозрачный, бухта 100м CVK</t>
  </si>
  <si>
    <t>06-0908</t>
  </si>
  <si>
    <t>Кабель акустический 2х2,50мм², красно-черный, бухта 100м CVK</t>
  </si>
  <si>
    <t>06-0916</t>
  </si>
  <si>
    <t>Кабель акустический 2х2,50мм², прозрачный, бухта 100м CVK</t>
  </si>
  <si>
    <t>6. 3 Разъемы/переходники/делители ТВ</t>
  </si>
  <si>
    <t>6. 3. 1 Делители ТВ</t>
  </si>
  <si>
    <t>05-6101</t>
  </si>
  <si>
    <t>Делитель ТВx2 под F-разъем, 5-1000МГц, серия серебро REXANT</t>
  </si>
  <si>
    <t>05-6021</t>
  </si>
  <si>
    <t>Делитель ТВх2 под F-разъем, 5-1000МГц PROconnect</t>
  </si>
  <si>
    <t>05-6001</t>
  </si>
  <si>
    <t>Делитель ТВх2 под F-разъем, 5-1000МГц REXANT</t>
  </si>
  <si>
    <t>05-6201-4</t>
  </si>
  <si>
    <t>Делитель ТВх2 под F-разъем, 5-2500МГц СПУТНИК PROconnect</t>
  </si>
  <si>
    <t>05-6201</t>
  </si>
  <si>
    <t>Делитель ТВх2 под F-разъем, 5-2500МГц СПУТНИК REXANT</t>
  </si>
  <si>
    <t>05-6031</t>
  </si>
  <si>
    <t>Делитель ТВх2 под F-разъем, 5-900МГц PROconnect</t>
  </si>
  <si>
    <t>05-6022</t>
  </si>
  <si>
    <t>Делитель ТВх3 под F-разъем, 5-1000МГц PROconnect</t>
  </si>
  <si>
    <t>05-6002</t>
  </si>
  <si>
    <t>Делитель ТВх3 под F-разъем, 5-1000МГц REXANT</t>
  </si>
  <si>
    <t>05-6102</t>
  </si>
  <si>
    <t>Делитель ТВх3 под F-разъем, 5-1000МГц, серия серебро REXANT</t>
  </si>
  <si>
    <t>05-6202-4</t>
  </si>
  <si>
    <t>Делитель ТВх3 под F-разъем, 5-2500МГц СПУТНИК PROconnect</t>
  </si>
  <si>
    <t>05-6202</t>
  </si>
  <si>
    <t>Делитель ТВх3 под F-разъем, 5-2500МГц СПУТНИК REXANT</t>
  </si>
  <si>
    <t>05-6032</t>
  </si>
  <si>
    <t>Делитель ТВх3 под F-разъем, 5-900МГц PROconnect</t>
  </si>
  <si>
    <t>05-6023</t>
  </si>
  <si>
    <t>Делитель ТВх4 под F-разъем, 5-1000МГц PROconnect</t>
  </si>
  <si>
    <t>05-6003</t>
  </si>
  <si>
    <t>Делитель ТВх4 под F-разъем, 5-1000МГц REXANT</t>
  </si>
  <si>
    <t>05-6103</t>
  </si>
  <si>
    <t>Делитель ТВх4 под F-разъем, 5-1000МГц, серия серебро REXANT</t>
  </si>
  <si>
    <t>05-6203</t>
  </si>
  <si>
    <t>Делитель ТВх4 под F-разъем, 5-2500МГц СПУТНИК REXANT</t>
  </si>
  <si>
    <t>05-6024</t>
  </si>
  <si>
    <t>Делитель ТВх6 под F-разъем, 5-1000МГц PROconnect</t>
  </si>
  <si>
    <t>05-6004</t>
  </si>
  <si>
    <t>Делитель ТВх6 под F-разъем, 5-1000МГц REXANT</t>
  </si>
  <si>
    <t>05-6104</t>
  </si>
  <si>
    <t>Делитель ТВх6 под F-разъем, 5-1000МГц, серия серебро REXANT</t>
  </si>
  <si>
    <t>05-6204</t>
  </si>
  <si>
    <t>Делитель ТВх6 под F-разъем, 5-2500МГц СПУТНИК REXANT</t>
  </si>
  <si>
    <t>05-6025</t>
  </si>
  <si>
    <t>Делитель ТВх8 под F-разъем, 5-1000МГц PROconnect</t>
  </si>
  <si>
    <t>05-6005</t>
  </si>
  <si>
    <t>Делитель ТВх8 под F-разъем, 5-1000МГц REXANT</t>
  </si>
  <si>
    <t>05-6105</t>
  </si>
  <si>
    <t>Делитель ТВх8 под F-разъем, 5-1000МГц, серия серебро REXANT</t>
  </si>
  <si>
    <t>05-6205</t>
  </si>
  <si>
    <t>Делитель ТВх8 под F-разъем, 5-2500МГц СПУТНИК REXANT</t>
  </si>
  <si>
    <t>05-8000</t>
  </si>
  <si>
    <t>Диплексор (сумматор-делитель) SAT+ТВ REXANT</t>
  </si>
  <si>
    <t>6. 3. 2 Разъемы F</t>
  </si>
  <si>
    <t>05-4001</t>
  </si>
  <si>
    <t>F-разъем RG-58 REXANT</t>
  </si>
  <si>
    <t>05-4001-4</t>
  </si>
  <si>
    <t>F-разъем RG-58 PROconnect</t>
  </si>
  <si>
    <t>05-4002</t>
  </si>
  <si>
    <t>F-разъем RG-59 REXANT</t>
  </si>
  <si>
    <t>05-4002-4</t>
  </si>
  <si>
    <t>F-разъем RG-59 PROconnect</t>
  </si>
  <si>
    <t>05-4003-6</t>
  </si>
  <si>
    <t>F-разъем RG-6, длина 17,8мм PROconnect</t>
  </si>
  <si>
    <t>05-4003</t>
  </si>
  <si>
    <t>F-разъем RG-6 REXANT</t>
  </si>
  <si>
    <t>05-4003-4</t>
  </si>
  <si>
    <t>F-разъем RG-6, длина 19мм PROconnect</t>
  </si>
  <si>
    <t>05-4031</t>
  </si>
  <si>
    <t>F-разъем RG-6, обжим REXANT</t>
  </si>
  <si>
    <t>05-4007</t>
  </si>
  <si>
    <t>F-разъем для RG-11, с пином REXANT</t>
  </si>
  <si>
    <t>05-4007-4</t>
  </si>
  <si>
    <t>F-разъем для RG-11, с пином PROconnect</t>
  </si>
  <si>
    <t>05-4005</t>
  </si>
  <si>
    <t>F-разъем для SAT, с резиновым уплотнителем REXANT</t>
  </si>
  <si>
    <t>05-4005-4</t>
  </si>
  <si>
    <t>F-разъем для SAT, с резиновым уплотнителем PROconnect</t>
  </si>
  <si>
    <t>05-4103-4</t>
  </si>
  <si>
    <t>F-разъем на корпус с контактом PROconnect</t>
  </si>
  <si>
    <t>6. 3. 3 Разъемы TV</t>
  </si>
  <si>
    <t>05-2032</t>
  </si>
  <si>
    <t>ТВ-разъем гнездо без пайки Орех REXANT</t>
  </si>
  <si>
    <t>05-2043-2</t>
  </si>
  <si>
    <t>ТВ-разъем гнездо без пайки белый PROconnect</t>
  </si>
  <si>
    <t>05-2043</t>
  </si>
  <si>
    <t>ТВ-разъем гнездо без пайки белый REXANT</t>
  </si>
  <si>
    <t>05-2044</t>
  </si>
  <si>
    <t>ТВ-разъем гнездо без пайки черный REXANT</t>
  </si>
  <si>
    <t>05-2014-4</t>
  </si>
  <si>
    <t>ТВ-разъем гнездо никелированный c пружиной PROconnect</t>
  </si>
  <si>
    <t>05-2041-2</t>
  </si>
  <si>
    <t>ТВ-разъем штекер без пайки белый PROconnect</t>
  </si>
  <si>
    <t>05-2061</t>
  </si>
  <si>
    <t>ТВ-разъем штекер без пайки белый угловой REXANT</t>
  </si>
  <si>
    <t>05-2042-2</t>
  </si>
  <si>
    <t>ТВ-разъем штекер без пайки черный PROconnect</t>
  </si>
  <si>
    <t>05-2011</t>
  </si>
  <si>
    <t>ТВ-разъем штекер никелированный c пружиной REXANT</t>
  </si>
  <si>
    <t>05-2011-4</t>
  </si>
  <si>
    <t>ТВ-разъем штекер никелированный c пружиной PROconnect</t>
  </si>
  <si>
    <t>6. 3. 4 Переходники F - TV</t>
  </si>
  <si>
    <t>05-4201-6</t>
  </si>
  <si>
    <t>Переходник гнездо F – гнездо F, бочка без кольца PROconnect</t>
  </si>
  <si>
    <t>05-4201-4</t>
  </si>
  <si>
    <t>Переходник гнездо F – гнездо F, бочка с кольцом PROconnect</t>
  </si>
  <si>
    <t>05-4201</t>
  </si>
  <si>
    <t>Переходник гнездо F – гнездо F, бочка с кольцом REXANT</t>
  </si>
  <si>
    <t>05-4204-4</t>
  </si>
  <si>
    <t>Переходник соединитель, x3 гнезда F PROconnect</t>
  </si>
  <si>
    <t>05-4302-4</t>
  </si>
  <si>
    <t>Переходник гнездо F – гнездо ТВ PROconnect</t>
  </si>
  <si>
    <t>05-4301</t>
  </si>
  <si>
    <t>Переходник гнездо F – гнездо ТВ REXANT</t>
  </si>
  <si>
    <t>05-4301-4</t>
  </si>
  <si>
    <t>Переходник гнездо F – гнездо ТВ с кольцом PROconnect</t>
  </si>
  <si>
    <t>05-4312-4</t>
  </si>
  <si>
    <t>Переходник гнездо F – гнездо ТВ, угловой PROconnect</t>
  </si>
  <si>
    <t>05-4312</t>
  </si>
  <si>
    <t>Переходник гнездо F – гнездо ТВ, угловой REXANT</t>
  </si>
  <si>
    <t>05-4303</t>
  </si>
  <si>
    <t>Переходник гнездо F – штекер ТВ REXANT</t>
  </si>
  <si>
    <t>05-4303-6</t>
  </si>
  <si>
    <t>Переходник гнездо F – штекер ТВ Zn PROconnect</t>
  </si>
  <si>
    <t>05-4303-4</t>
  </si>
  <si>
    <t>Переходник гнездо F – штекер ТВ ZnNi PROconnect</t>
  </si>
  <si>
    <t>05-4311-4</t>
  </si>
  <si>
    <t>Переходник гнездо F – штекер ТВ, угловой PROconnect</t>
  </si>
  <si>
    <t>05-4311</t>
  </si>
  <si>
    <t>Переходник гнездо F – штекер ТВ, угловой REXANT</t>
  </si>
  <si>
    <t>05-4362-4</t>
  </si>
  <si>
    <t>Переходник штекер F – гнездо ТВ PROconnect</t>
  </si>
  <si>
    <t>6. 4 Разъемы/переходники/делители Аудио-Видео</t>
  </si>
  <si>
    <t>6. 4. 1 Переходники HDMI, VGA, DVI</t>
  </si>
  <si>
    <t>17-6971</t>
  </si>
  <si>
    <t>HDMI-удлинитель по витой паре RJ-45(8P8C) до 200м (1080p) REXANT</t>
  </si>
  <si>
    <t>17-6906</t>
  </si>
  <si>
    <t>HDMI-удлинитель по витой паре RJ-45(8P8C) до 60м (1080p) REXANT</t>
  </si>
  <si>
    <t>17-6916</t>
  </si>
  <si>
    <t>HDMI-удлинитель по витой паре RJ-45(8P8C) до 30м (1080p) REXANT</t>
  </si>
  <si>
    <t>17-6806</t>
  </si>
  <si>
    <t>Переходник гнездо HDMI - гнездо HDMI REXANT</t>
  </si>
  <si>
    <t>17-6811</t>
  </si>
  <si>
    <t>Переходник штекер DVI-D - гнездо HDMI REXANT</t>
  </si>
  <si>
    <t>17-6812</t>
  </si>
  <si>
    <t>Переходник поворотный, штекер DVI-D - гнездо HDMI REXANT</t>
  </si>
  <si>
    <t>17-6821</t>
  </si>
  <si>
    <t>Переходник штекер DVI-I - гнездо VGA REXANT</t>
  </si>
  <si>
    <t>17-6832</t>
  </si>
  <si>
    <t>Переходник штекер HDMI - 2 гнезда HDMI с проводом, черный REXANT</t>
  </si>
  <si>
    <t>17-6807</t>
  </si>
  <si>
    <t>Переходник штекер HDMI - гнездо DVI-I REXANT</t>
  </si>
  <si>
    <t>17-6813</t>
  </si>
  <si>
    <t>Переходник штекер HDMI - гнездо HDMI, поворотный REXANT</t>
  </si>
  <si>
    <t>17-6805</t>
  </si>
  <si>
    <t>Переходник штекер HDMI - гнездо HDMI, угловой REXANT</t>
  </si>
  <si>
    <t>17-6934</t>
  </si>
  <si>
    <t>Переходник штекер HDMI - гнездо VGA, провод + шнур стерео 3,5мм с питанием REXANT</t>
  </si>
  <si>
    <t>17-6936</t>
  </si>
  <si>
    <t>Переходник штекер HDMI - гнездо VGA, провод + шнур стерео 3,5мм REXANT</t>
  </si>
  <si>
    <t>17-6835</t>
  </si>
  <si>
    <t>Переходник штекер HDMI - гнездо VGA, провод REXANT</t>
  </si>
  <si>
    <t>17-6834</t>
  </si>
  <si>
    <t>Переходник штекер VGA - 2 гнезда VGA, провод REXANT</t>
  </si>
  <si>
    <t>17-6808</t>
  </si>
  <si>
    <t>Переходник штекер VGA - гнездо DVI-I REXANT</t>
  </si>
  <si>
    <t>17-6815</t>
  </si>
  <si>
    <t>Переходник штекер микро HDMI – гнездо HDMI REXANT</t>
  </si>
  <si>
    <t>6. 4. 2 Конвертеры VGA, HDMI, RCA</t>
  </si>
  <si>
    <t>17-6939</t>
  </si>
  <si>
    <t>Конвертер 3 RCA на HDMI, пластик REXANT</t>
  </si>
  <si>
    <t>17-6932</t>
  </si>
  <si>
    <t>Конвертер BNC/RCA + S-video на VGA + переходник (гн. BNC – шт. RCA), пластик REXANT</t>
  </si>
  <si>
    <t>17-6931</t>
  </si>
  <si>
    <t>Конвертер HDMI на 3 RCA, пластик, белый REXANT</t>
  </si>
  <si>
    <t>6. 4. 3 Разъёмы RCA</t>
  </si>
  <si>
    <t>14-0405-4</t>
  </si>
  <si>
    <t>Разъем штекер RCA металл пайка черный/красный PROconnect</t>
  </si>
  <si>
    <t>14-0410-4</t>
  </si>
  <si>
    <t>Разъем штекер RCA металл под винт черный/красный PROconnect</t>
  </si>
  <si>
    <t>14-0413</t>
  </si>
  <si>
    <t>Разъем штекер RCA с клеммной колодкой REXANT</t>
  </si>
  <si>
    <t>6. 4. 4 Переходники стерео 3,5 мм - 6,3 мм</t>
  </si>
  <si>
    <t>14-0203</t>
  </si>
  <si>
    <t>Переходник 3,5мм стерео гнездо - 3,5мм стерео гнездо, пластик REXANT</t>
  </si>
  <si>
    <t>14-0440</t>
  </si>
  <si>
    <t>Разъем 3,5мм стерео штекер с клеммной колодкой под винт REXANT</t>
  </si>
  <si>
    <t>6. 4. 8 Делители HDMI, VGA</t>
  </si>
  <si>
    <t>17-6901</t>
  </si>
  <si>
    <t>Делитель гнездо HDMI на 2 гнезда HDMI, металл REXANT</t>
  </si>
  <si>
    <t>17-6922</t>
  </si>
  <si>
    <t>Делитель гнездо VGA на 2 гнезда VGA, металл REXANT</t>
  </si>
  <si>
    <t>17-6924</t>
  </si>
  <si>
    <t>Делитель гнездо VGA на 4 гнезда VGA, металл REXANT</t>
  </si>
  <si>
    <t>17-6928</t>
  </si>
  <si>
    <t>Делитель гнездо VGA на 8 гнезд VGA, металл REXANT</t>
  </si>
  <si>
    <t>6. 5 Шнуры Аудио-Видео</t>
  </si>
  <si>
    <t>6. 5. 1 Шнуры HDMI</t>
  </si>
  <si>
    <t>6. 5. 1. 1 Шнуры HDMI - HDMI версии 1. 4</t>
  </si>
  <si>
    <t>17-6203-8</t>
  </si>
  <si>
    <t>Кабель HDMI – HDMI 1.4, 1,5м PROconnect</t>
  </si>
  <si>
    <t>17-6203-6</t>
  </si>
  <si>
    <t>Кабель HDMI – HDMI 1.4, 1,5м, позолоченный PROconnect</t>
  </si>
  <si>
    <t>17-6203</t>
  </si>
  <si>
    <t>Кабель HDMI – HDMI 1.4, 1,5м, позолоченный REXANT</t>
  </si>
  <si>
    <t>17-6203-1</t>
  </si>
  <si>
    <t>Кабель HDMI – HDMI 1.4, 1,5м, позолоченный, белый REXANT</t>
  </si>
  <si>
    <t>17-6203-4</t>
  </si>
  <si>
    <t>Кабель HDMI – HDMI 1.4, 1,5м, позолоченный, угловой PROconnect</t>
  </si>
  <si>
    <t>17-6208-6</t>
  </si>
  <si>
    <t>Кабель HDMI – HDMI 1.4, 10м, позолоченный PROconnect</t>
  </si>
  <si>
    <t>17-6208</t>
  </si>
  <si>
    <t>Кабель HDMI – HDMI 1.4, 10м, позолоченный REXANT</t>
  </si>
  <si>
    <t>17-6209-6</t>
  </si>
  <si>
    <t>Кабель HDMI – HDMI 1.4, 15м, позолоченный PROconnect</t>
  </si>
  <si>
    <t>17-6209</t>
  </si>
  <si>
    <t>Кабель HDMI – HDMI 1.4, 15м, позолоченный REXANT</t>
  </si>
  <si>
    <t>17-6202-8</t>
  </si>
  <si>
    <t>Кабель HDMI – HDMI 1.4, 1м PROconnect</t>
  </si>
  <si>
    <t>17-6202-6</t>
  </si>
  <si>
    <t>Кабель HDMI – HDMI 1.4, 1м, позолоченный PROconnect</t>
  </si>
  <si>
    <t>17-6202</t>
  </si>
  <si>
    <t>Кабель HDMI – HDMI 1.4, 1м, позолоченный REXANT</t>
  </si>
  <si>
    <t>17-6210-6</t>
  </si>
  <si>
    <t>Кабель HDMI – HDMI 1.4, 20м, позолоченный PROconnect</t>
  </si>
  <si>
    <t>17-6210</t>
  </si>
  <si>
    <t>Кабель HDMI – HDMI 1.4, 20м, позолоченный REXANT</t>
  </si>
  <si>
    <t>17-6204-8</t>
  </si>
  <si>
    <t>Кабель HDMI – HDMI 1.4, 2м PROconnect</t>
  </si>
  <si>
    <t>17-6204-6</t>
  </si>
  <si>
    <t>Кабель HDMI – HDMI 1.4, 2м, позолоченный PROconnect</t>
  </si>
  <si>
    <t>17-6204</t>
  </si>
  <si>
    <t>Кабель HDMI – HDMI 1.4, 2м, позолоченный REXANT</t>
  </si>
  <si>
    <t>17-6204-1</t>
  </si>
  <si>
    <t>Кабель HDMI – HDMI 1.4, 2м, позолоченный, белый REXANT</t>
  </si>
  <si>
    <t>17-6205</t>
  </si>
  <si>
    <t>Кабель HDMI – HDMI 1.4, 3м, позолоченный REXANT</t>
  </si>
  <si>
    <t>17-6205-6</t>
  </si>
  <si>
    <t>Кабель HDMI – HDMI 1.4, 3м, позолоченный PROconnect</t>
  </si>
  <si>
    <t>17-6205-4</t>
  </si>
  <si>
    <t>Кабель HDMI – HDMI 1.4, 3м, позолоченный, угловой PROconnect</t>
  </si>
  <si>
    <t>17-6206</t>
  </si>
  <si>
    <t>Кабель HDMI – HDMI 1.4, 5м, позолоченный REXANT</t>
  </si>
  <si>
    <t>17-6206-6</t>
  </si>
  <si>
    <t>Кабель HDMI – HDMI 1.4, 5м, позолоченный PROconnect</t>
  </si>
  <si>
    <t>17-6204-3</t>
  </si>
  <si>
    <t>Шнур HDMI – HDMI 1.4, 2м, позолоченный, с фильтрами, угловой 360° REXANT</t>
  </si>
  <si>
    <t>6. 5. 1. 2 Шнуры HDMI - HDMI версии 2. 0</t>
  </si>
  <si>
    <t>17-6102</t>
  </si>
  <si>
    <t>Кабель HDMI - HDMI 2.0, 1м, позолоченный REXANT</t>
  </si>
  <si>
    <t>17-6103</t>
  </si>
  <si>
    <t>Кабель HDMI – HDMI 2.0, 1,5м, позолоченный REXANT</t>
  </si>
  <si>
    <t>17-6103-6</t>
  </si>
  <si>
    <t>Кабель HDMI – HDMI 2.0, 1,5м, позолоченный PROconnect</t>
  </si>
  <si>
    <t>17-6108-6</t>
  </si>
  <si>
    <t>Кабель HDMI – HDMI 2.0, 10м, позолоченный PROconnect</t>
  </si>
  <si>
    <t>17-6109-6</t>
  </si>
  <si>
    <t>Кабель HDMI – HDMI 2.0, 15м, позолоченный PROconnect</t>
  </si>
  <si>
    <t>17-6102-6</t>
  </si>
  <si>
    <t>Кабель HDMI – HDMI 2.0, 1м, позолоченный PROconnect</t>
  </si>
  <si>
    <t>17-6110-6</t>
  </si>
  <si>
    <t>Кабель HDMI – HDMI 2.0, 20м, позолоченный PROconnect</t>
  </si>
  <si>
    <t>17-6104</t>
  </si>
  <si>
    <t>Кабель HDMI – HDMI 2.0, 2м, позолоченный REXANT</t>
  </si>
  <si>
    <t>17-6104-6</t>
  </si>
  <si>
    <t>Кабель HDMI – HDMI 2.0, 2м, позолоченный PROconnect</t>
  </si>
  <si>
    <t>17-6105</t>
  </si>
  <si>
    <t>Кабель HDMI – HDMI 2.0, 3м, позолоченный REXANT</t>
  </si>
  <si>
    <t>17-6105-6</t>
  </si>
  <si>
    <t>Кабель HDMI – HDMI 2.0, 3м, позолоченный PROconnect</t>
  </si>
  <si>
    <t>17-6106-6</t>
  </si>
  <si>
    <t>Кабель HDMI – HDMI 2.0, 5м, позолоченный PROconnect</t>
  </si>
  <si>
    <t>6. 5. 1. 3 Шнуры HDMI - HDMI версии 2. 1</t>
  </si>
  <si>
    <t>17-6003</t>
  </si>
  <si>
    <t>Кабель HDMI – HDMI 2.1, длина 1,5м, позолоченный REXANT</t>
  </si>
  <si>
    <t>17-6002</t>
  </si>
  <si>
    <t>Кабель HDMI – HDMI 2.1, длина 1м, позолоченный REXANT</t>
  </si>
  <si>
    <t>17-6004</t>
  </si>
  <si>
    <t>Кабель HDMI – HDMI 2.1, длина 2м, позолоченный REXANT</t>
  </si>
  <si>
    <t>17-6005</t>
  </si>
  <si>
    <t>Кабель HDMI – HDMI 2.1, длина 3м, позолоченный REXANT</t>
  </si>
  <si>
    <t>6. 5. 1. 4 Шнуры DisplayPort - HDMI</t>
  </si>
  <si>
    <t>17-6502</t>
  </si>
  <si>
    <t>Кабель DisplayPort - HDMI, 1,8м REXANT</t>
  </si>
  <si>
    <t>6. 5. 1. 5 Шнуры USB Type-C - HDMI</t>
  </si>
  <si>
    <t>17-6402</t>
  </si>
  <si>
    <t>Кабель USB-C – HDMI, 2м REXANT</t>
  </si>
  <si>
    <t>6. 5. 1. 6 Шнуры HDMI - DVI</t>
  </si>
  <si>
    <t>17-6303</t>
  </si>
  <si>
    <t>Шнур HDMI – DVI-D, 1,5м, позолоченный, с фильтрами REXANT</t>
  </si>
  <si>
    <t>17-6304</t>
  </si>
  <si>
    <t>Шнур HDMI – DVI-D, 2м, позолоченный, с фильтрами REXANT</t>
  </si>
  <si>
    <t>17-6305</t>
  </si>
  <si>
    <t>Шнур HDMI – DVI-D, 3м, позолоченный, с фильтрами REXANT</t>
  </si>
  <si>
    <t>17-6307</t>
  </si>
  <si>
    <t>Шнур HDMI – DVI-D, 7м, позолоченный, с фильтрами REXANT</t>
  </si>
  <si>
    <t>6. 5. 2 Шнуры RCA</t>
  </si>
  <si>
    <t>6. 5. 2. 1 Шнуры 2 RCA - 2 RCA</t>
  </si>
  <si>
    <t>17-0103</t>
  </si>
  <si>
    <t>Шнур 2 RCA - 2 RCA, 1,5м, черный REXANT</t>
  </si>
  <si>
    <t>17-0143</t>
  </si>
  <si>
    <t>17-0148</t>
  </si>
  <si>
    <t>Шнур 2 RCA - 2 RCA, 10м, черный REXANT</t>
  </si>
  <si>
    <t>17-0105</t>
  </si>
  <si>
    <t>Шнур 2 RCA - 2 RCA, 3м, черный REXANT</t>
  </si>
  <si>
    <t>17-0145</t>
  </si>
  <si>
    <t>17-0146</t>
  </si>
  <si>
    <t>Шнур 2 RCA - 2 RCA, 5м, черный REXANT</t>
  </si>
  <si>
    <t>6. 5. 2. 2 Шнуры 3 RCA - 3 RCA</t>
  </si>
  <si>
    <t>17-0202</t>
  </si>
  <si>
    <t>Шнур 3 RCA - 3 RCA, 1,5м, черный REXANT</t>
  </si>
  <si>
    <t>17-0205</t>
  </si>
  <si>
    <t>Шнур 3 RCA - 3 RCA, 5м, черный REXANT</t>
  </si>
  <si>
    <t>17-0212</t>
  </si>
  <si>
    <t>Шнур 3 RCA – 3 RCA, 1,5м, черный, позолоченный REXANT</t>
  </si>
  <si>
    <t>17-0214</t>
  </si>
  <si>
    <t>Шнур 3 RCA – 3 RCA, 3м, черный, позолоченный REXANT</t>
  </si>
  <si>
    <t>6. 5. 2. 4 Шнуры Стерео 3,5 мм - RCA</t>
  </si>
  <si>
    <t>17-4202</t>
  </si>
  <si>
    <t>Шнур Стерео 3,5мм - 2 RCA, 1,5м REXANT</t>
  </si>
  <si>
    <t>17-4202-8</t>
  </si>
  <si>
    <t>Шнур Стерео 3,5мм - 2 RCA, 1,2м СМАРТКИП</t>
  </si>
  <si>
    <t>17-4204</t>
  </si>
  <si>
    <t>Шнур Стерео 3,5мм - 2 RCA, 3м REXANT</t>
  </si>
  <si>
    <t>17-4206</t>
  </si>
  <si>
    <t>Шнур Стерео 3,5мм - 2 RCA, 7м REXANT</t>
  </si>
  <si>
    <t>17-4232</t>
  </si>
  <si>
    <t>Шнур стерео 3,5мм – 2 RCA, 1,5м, позолоченный REXANT</t>
  </si>
  <si>
    <t>17-4222</t>
  </si>
  <si>
    <t>Шнур стерео 3,5мм – 2 RCA, 1,5м, позолоченный-металл REXANT</t>
  </si>
  <si>
    <t>17-4234</t>
  </si>
  <si>
    <t>Шнур стерео 3,5мм – 2 RCA, 3м, позолоченный REXANT</t>
  </si>
  <si>
    <t>17-4224</t>
  </si>
  <si>
    <t>Шнур стерео 3,5мм – 2 RCA, 3м, позолоченный-металл REXANT</t>
  </si>
  <si>
    <t>17-4412</t>
  </si>
  <si>
    <t>Шнур стерео 3,5мм 4C – 3 RCA, 1,5м, двухцветный штекер позолоченный REXANT</t>
  </si>
  <si>
    <t>17-4412-4</t>
  </si>
  <si>
    <t>Шнур стерео 3,5мм 4C – 3 RCA, 1,5м, позолоченный REXANT</t>
  </si>
  <si>
    <t>6. 5. 3 Шнуры AUX Стерео 3,5 мм - Стерео 3,5 мм</t>
  </si>
  <si>
    <t>17-4003</t>
  </si>
  <si>
    <t>Шнур Стерео 3,5мм гнездо - Стерео 3,5мм штекер, 1,5м REXANT</t>
  </si>
  <si>
    <t>17-4008</t>
  </si>
  <si>
    <t>Шнур Стерео 3,5мм гнездо - Стерео 3,5мм штекер, 10м REXANT</t>
  </si>
  <si>
    <t>17-4005</t>
  </si>
  <si>
    <t>Шнур Стерео 3,5мм гнездо - Стерео 3,5мм штекер, 3м REXANT</t>
  </si>
  <si>
    <t>17-4007</t>
  </si>
  <si>
    <t>Шнур Стерео 3,5мм гнездо - Стерео 3,5мм штекер, 7м REXANT</t>
  </si>
  <si>
    <t>17-4100</t>
  </si>
  <si>
    <t>Шнур Стерео 3,5мм штекер - Стерео 3,5мм штекер, 0,5м REXANT</t>
  </si>
  <si>
    <t>17-4102</t>
  </si>
  <si>
    <t>Шнур Стерео 3,5мм штекер - Стерео 3,5мм штекер, 1,5м REXANT</t>
  </si>
  <si>
    <t>17-4104</t>
  </si>
  <si>
    <t>Шнур Стерео 3,5мм штекер - Стерео 3,5мм штекер, 3м REXANT</t>
  </si>
  <si>
    <t>17-4105</t>
  </si>
  <si>
    <t>Шнур Стерео 3,5мм штекер - Стерео 3,5мм штекер, 5м REXANT</t>
  </si>
  <si>
    <t>6. 5. 4 Шнуры VGA</t>
  </si>
  <si>
    <t>17-5503-6</t>
  </si>
  <si>
    <t>Шнур VGA - VGA с ферритами, 1,8м, черный PROconnect</t>
  </si>
  <si>
    <t>17-5505-6</t>
  </si>
  <si>
    <t>Шнур VGA - VGA с ферритами, 3м, черный PROconnect</t>
  </si>
  <si>
    <t>6. 5. 5 Шнуры TOSLINK</t>
  </si>
  <si>
    <t>17-0802</t>
  </si>
  <si>
    <t>Шнур Toslink - Toslink, 1,5м REXANT</t>
  </si>
  <si>
    <t>17-0804</t>
  </si>
  <si>
    <t>Шнур Toslink - Toslink, 3м REXANT</t>
  </si>
  <si>
    <t>6. 5. 6 Шнуры DIN 5 PIN</t>
  </si>
  <si>
    <t>17-2512-4</t>
  </si>
  <si>
    <t>Шнур DIN 5 Pin - 2 RCA, 1,2м REXANT</t>
  </si>
  <si>
    <t>17-2522-4</t>
  </si>
  <si>
    <t>Шнур DIN 5 Pin - DIN 5 Pin, 1,2м REXANT</t>
  </si>
  <si>
    <t>17-2502-4</t>
  </si>
  <si>
    <t>Шнур DIN 5 Pin - Стерео 3,5мм, 1,2м REXANT</t>
  </si>
  <si>
    <t>17-2512</t>
  </si>
  <si>
    <t>Шнур DIN 5 Pin – 2 RCA, 1,5м, позолоченный REXANT</t>
  </si>
  <si>
    <t>17-2522</t>
  </si>
  <si>
    <t>Шнур DIN 5 Pin – DIN 5 Pin, 1,5м, позолоченный REXANT</t>
  </si>
  <si>
    <t>17-2502</t>
  </si>
  <si>
    <t>Шнур DIN 5 Pin – Стерео 3,5мм, 1,5м, позолоченный REXANT</t>
  </si>
  <si>
    <t>6. 5. 7 Шнуры ТВ</t>
  </si>
  <si>
    <t>17-5011</t>
  </si>
  <si>
    <t>ВЧ-кабель, ТВ-гнездо - ТВ-штекер, 1,5м, черный REXANT</t>
  </si>
  <si>
    <t>17-5013</t>
  </si>
  <si>
    <t>ВЧ-кабель, ТВ-гнездо - ТВ-штекер, 3м, черный REXANT</t>
  </si>
  <si>
    <t>17-5014</t>
  </si>
  <si>
    <t>ВЧ-кабель, ТВ-гнездо - ТВ-штекер, 5м, черный REXANT</t>
  </si>
  <si>
    <t>18-0002</t>
  </si>
  <si>
    <t>Шнур ТВ гнездо - ТВ штекер, 1,5м, белый REXANT</t>
  </si>
  <si>
    <t>17-5002</t>
  </si>
  <si>
    <t>Шнур ТВ гнездо - ТВ штекер, 1,5м, черный REXANT</t>
  </si>
  <si>
    <t>18-0007</t>
  </si>
  <si>
    <t>Шнур ТВ гнездо - ТВ штекер, 10м, белый REXANT</t>
  </si>
  <si>
    <t>18-0008</t>
  </si>
  <si>
    <t>Шнур ТВ гнездо - ТВ штекер, 15м, белый REXANT</t>
  </si>
  <si>
    <t>18-0004</t>
  </si>
  <si>
    <t>Шнур ТВ гнездо - ТВ штекер, 3м, белый REXANT</t>
  </si>
  <si>
    <t>18-0005</t>
  </si>
  <si>
    <t>Шнур ТВ гнездо - ТВ штекер, 5м, белый REXANT</t>
  </si>
  <si>
    <t>18-0006</t>
  </si>
  <si>
    <t>Шнур ТВ гнездо - ТВ штекер, 7м, белый REXANT</t>
  </si>
  <si>
    <t>18-0022</t>
  </si>
  <si>
    <t>Шнур ТВ гнездо - ТВ штекер, угловой, 1,5м, белый REXANT</t>
  </si>
  <si>
    <t>18-0012</t>
  </si>
  <si>
    <t>Шнур ТВ гнездо - ТВ штекер, угловой, 1,5м, черный REXANT</t>
  </si>
  <si>
    <t>18-0024</t>
  </si>
  <si>
    <t>Шнур ТВ гнездо - ТВ штекер, угловой, 3м, белый REXANT</t>
  </si>
  <si>
    <t>18-0014</t>
  </si>
  <si>
    <t>Шнур ТВ гнездо - ТВ штекер, угловой, 3м, черный REXANT</t>
  </si>
  <si>
    <t>18-0025</t>
  </si>
  <si>
    <t>Шнур ТВ гнездо - ТВ штекер, угловой, 5м, белый REXANT</t>
  </si>
  <si>
    <t>18-0102</t>
  </si>
  <si>
    <t>Шнур ТВ штекер - ТВ штекер, 1,5м, белый REXANT</t>
  </si>
  <si>
    <t>18-0112</t>
  </si>
  <si>
    <t>Шнур ТВ штекер - ТВ штекер, угловой, 1,5м, белый REXANT</t>
  </si>
  <si>
    <t>6. 6 Антенны</t>
  </si>
  <si>
    <t>6. 6. 1 Антенны комнатные для ТВ, DVB-T, DVB-T2</t>
  </si>
  <si>
    <t>34-0721</t>
  </si>
  <si>
    <t>Антенна комнатная «Активная» для цифрового телевидения DVB-T2, Ring-50 REXANT</t>
  </si>
  <si>
    <t>34-0701</t>
  </si>
  <si>
    <t>Антенна комнатная «Активная» для цифрового телевидения DVB-T2, Ag-701 REXANT</t>
  </si>
  <si>
    <t>34-0717</t>
  </si>
  <si>
    <t>Антенна комнатная «Активная» для цифрового телевидения DVB-T2, Ag-717 REXANT</t>
  </si>
  <si>
    <t>34-0267</t>
  </si>
  <si>
    <t>Антенна комнатная «Активная» для цифрового телевидения DVB-T2, RX-267 REXANT</t>
  </si>
  <si>
    <t>34-0257</t>
  </si>
  <si>
    <t>Антенна комнатная «Активная» для цифрового телевидения DVB-T2 на присоске, RX-257 REXANT</t>
  </si>
  <si>
    <t>34-0705</t>
  </si>
  <si>
    <t>Антенна комнатная «Активная» для цифрового телевидения DVB-T2, Ag-705 REXANT</t>
  </si>
  <si>
    <t>34-0723</t>
  </si>
  <si>
    <t>Антенна комнатная «Активная», питание через разъем USB, для цифрового телевидения DVB-T2, Ring-51 REXANT</t>
  </si>
  <si>
    <t>34-0715</t>
  </si>
  <si>
    <t>Антенна комнатная «Активная», питание через разъем USB, для цифрового телевидения DVB-T2, Ag-715 REXANT</t>
  </si>
  <si>
    <t>34-0703</t>
  </si>
  <si>
    <t>Антенна комнатная «Активная», питание через разъем USB, для цифрового телевидения DVB-T2, Ag-703 REXANT</t>
  </si>
  <si>
    <t>34-0719</t>
  </si>
  <si>
    <t>Антенна комнатная «Активная», питание через разъем USB, для цифрового телевидения DVB-T2, Ag-719 REXANT</t>
  </si>
  <si>
    <t>34-0269</t>
  </si>
  <si>
    <t>Антенна комнатная «Активная», питание через разъем USB, для цифрового телевидения DVB-T2, RX-269 REXANT</t>
  </si>
  <si>
    <t>34-0707</t>
  </si>
  <si>
    <t>Антенна комнатная «Активная», питание через разъем USB, для цифрового телевидения DVB-T2, Ag-707 REXANT</t>
  </si>
  <si>
    <t>34-0711</t>
  </si>
  <si>
    <t>Антенна комнатная «Активная», питание через разъем USB, для цифрового телевидения DVB-T2, Ag-711 REXANT</t>
  </si>
  <si>
    <t>34-0252</t>
  </si>
  <si>
    <t>Антенна комнатная для цифрового телевидения DVB-T2, RX-252 REXANT</t>
  </si>
  <si>
    <t>34-0265</t>
  </si>
  <si>
    <t>Антенна комнатная для цифрового телевидения DVB-T2, RX-265 REXANT</t>
  </si>
  <si>
    <t>34-0255</t>
  </si>
  <si>
    <t>Антенна комнатная для цифрового телевидения DVB-T2 на присоске, RX-255 REXANT</t>
  </si>
  <si>
    <t>34-0100</t>
  </si>
  <si>
    <t>Антенна комнатная телескопическая на подставке «Усы+кольцо», RX-100 REXANT</t>
  </si>
  <si>
    <t>34-0105</t>
  </si>
  <si>
    <t>Антенна комнатная телескопическая на подставке «Усы», RX-105 REXANT</t>
  </si>
  <si>
    <t>6. 6. 3 Антенны уличные для ТВ, DVB-T, DVB-T2</t>
  </si>
  <si>
    <t>34-0408</t>
  </si>
  <si>
    <t>ТВ антенна наружная «Активная» для цифрового ТВ DVB-T2, RX-408 REXANT</t>
  </si>
  <si>
    <t>34-0415</t>
  </si>
  <si>
    <t>ТВ антенна наружная «Активная» для цифрового ТВ DVB-T2, RX-415 REXANT</t>
  </si>
  <si>
    <t>34-0415-1</t>
  </si>
  <si>
    <t>ТВ антенна наружная «Активная» для цифрового ТВ DVB-T2, RX-415-1 REXANT</t>
  </si>
  <si>
    <t>34-0422</t>
  </si>
  <si>
    <t>ТВ антенна наружная «Активная» для цифрового ТВ DVB-T2, RX-422 REXANT</t>
  </si>
  <si>
    <t>34-0424</t>
  </si>
  <si>
    <t>ТВ антенна наружная «Активная» для цифрового ТВ DVB-T2, RX-424 REXANT</t>
  </si>
  <si>
    <t>34-0411</t>
  </si>
  <si>
    <t>ТВ антенна наружная «Активная» для цифрового ТВ DVB-T2, RX-411 REXANT</t>
  </si>
  <si>
    <t>34-0411-1</t>
  </si>
  <si>
    <t>ТВ антенна наружная «Активная» для цифрового ТВ DVB-T2, RX-411-1 REXANT</t>
  </si>
  <si>
    <t>34-0401</t>
  </si>
  <si>
    <t>ТВ антенна наружная «Активная» для цифрового ТВ DVB-T2, RX-401 REXANT</t>
  </si>
  <si>
    <t>34-0413</t>
  </si>
  <si>
    <t>ТВ антенна наружная «Активная» для цифрового ТВ DVB-T2, RX-413 REXANT</t>
  </si>
  <si>
    <t>34-0413-1</t>
  </si>
  <si>
    <t>ТВ антенна наружная «Активная» для цифрового ТВ DVB-T2, RX-413-1 REXANT</t>
  </si>
  <si>
    <t>34-0773</t>
  </si>
  <si>
    <t>ТВ антенна наружная «Активная» для цифрового ТВ DVB-T2, RX-406-DEF REXANT</t>
  </si>
  <si>
    <t>34-0777</t>
  </si>
  <si>
    <t>ТВ антенна наружная «Активная» для цифрового ТВ DVB-T2, RX-417 REXANT</t>
  </si>
  <si>
    <t>34-0414</t>
  </si>
  <si>
    <t>ТB антенна наружная для цифрового телевидения DVB-T2, RX-414 REXANT</t>
  </si>
  <si>
    <t>34-0414-1</t>
  </si>
  <si>
    <t>ТB антенна наружная для цифрового телевидения DVB-T2, RX-414-1 REXANT</t>
  </si>
  <si>
    <t>34-0421</t>
  </si>
  <si>
    <t>ТB антенна наружная для цифрового телевидения DVB-T2, RX-421 REXANT</t>
  </si>
  <si>
    <t>34-0410</t>
  </si>
  <si>
    <t>ТB антенна наружная для цифрового телевидения DVB-T2, RX-410 REXANT</t>
  </si>
  <si>
    <t>34-0410-1</t>
  </si>
  <si>
    <t>ТB антенна наружная для цифрового телевидения DVB-T2, RX-410-1 REXANT</t>
  </si>
  <si>
    <t>34-0423</t>
  </si>
  <si>
    <t>ТB антенна наружная для цифрового телевидения DVB-T2, RX-423 REXANT</t>
  </si>
  <si>
    <t>34-0402</t>
  </si>
  <si>
    <t>ТB антенна наружная для цифрового телевидения DVB-T2, RX-402 REXANT</t>
  </si>
  <si>
    <t>34-0412</t>
  </si>
  <si>
    <t>ТB антенна наружная для цифрового телевидения DVB-T2, RX-412 REXANT</t>
  </si>
  <si>
    <t>34-0412-1</t>
  </si>
  <si>
    <t>ТB антенна наружная для цифрового телевидения DVB-T2, RX-412-1 REXANT</t>
  </si>
  <si>
    <t>34-0775</t>
  </si>
  <si>
    <t>ТВ антенна наружная для цифрового телевидения DVB-T2, RX-416 REXANT</t>
  </si>
  <si>
    <t>34-0407</t>
  </si>
  <si>
    <t>ТB антенна наружная для цифрового телевидения DVB-T2, RX-407 REXANT</t>
  </si>
  <si>
    <t>6. 6. 4 Антенны уличные для радио УКВ, FM</t>
  </si>
  <si>
    <t>34-0555</t>
  </si>
  <si>
    <t>FM антенна наружная для дальнего приема радиостанций FM/УКВ диапазона, RX-555 REXANT</t>
  </si>
  <si>
    <t>34-0553</t>
  </si>
  <si>
    <t>FM антенна наружная для приема радиостанций FM/УКВ диапазона, RX-553 REXANT</t>
  </si>
  <si>
    <t>6. 6. 5 Кронштейны и мачты для антенн</t>
  </si>
  <si>
    <t>34-0488</t>
  </si>
  <si>
    <t>Кольцо под растяжку для мачт REXANT</t>
  </si>
  <si>
    <t>34-0583</t>
  </si>
  <si>
    <t>Кронштейн для эфирных и Wi-Fi антенн, Москва-1, облегченный, 10см REXANT</t>
  </si>
  <si>
    <t>34-0615</t>
  </si>
  <si>
    <t>Кронштейн 22см Г-образный (для эфирных, WiFi и GSM антенн) REXANT</t>
  </si>
  <si>
    <t>34-0614</t>
  </si>
  <si>
    <t>Кронштейн 28см Гнутый (для эфирных, WiFi и GSM антенн) REXANT</t>
  </si>
  <si>
    <t>34-0605</t>
  </si>
  <si>
    <t>Кронштейн Г-образный, 30-50см телескопический REXANT</t>
  </si>
  <si>
    <t>34-0606</t>
  </si>
  <si>
    <t>Кронштейн Г-образный, 50-90см телескопический REXANT</t>
  </si>
  <si>
    <t>34-0591</t>
  </si>
  <si>
    <t>Кронштейн для мачт КРЫМ телескопический, 30-50см REXANT</t>
  </si>
  <si>
    <t>34-0592</t>
  </si>
  <si>
    <t>Кронштейн для мачт КРЫМ телескопический, 40-70см REXANT</t>
  </si>
  <si>
    <t>34-0594</t>
  </si>
  <si>
    <t>Кронштейн для мачт плоский П-образный, 10см REXANT</t>
  </si>
  <si>
    <t>34-0595</t>
  </si>
  <si>
    <t>Кронштейн для мачт плоский П-образный, 20см REXANT</t>
  </si>
  <si>
    <t>34-0607</t>
  </si>
  <si>
    <t>Кронштейн для мачт телескопический, 20-30см REXANT</t>
  </si>
  <si>
    <t>34-0608</t>
  </si>
  <si>
    <t>Кронштейн для мачт телескопический, 50-90см REXANT</t>
  </si>
  <si>
    <t>34-0482</t>
  </si>
  <si>
    <t>Кронштейн для мачты КРЫМ-1 REXANT</t>
  </si>
  <si>
    <t>34-0860</t>
  </si>
  <si>
    <t>Кронштейн для спутниковой антенны Г-образный (55-60см), 32см REXANT</t>
  </si>
  <si>
    <t>34-0861</t>
  </si>
  <si>
    <t>Кронштейн для спутниковой антенны Г-образный (60см), 34см REXANT</t>
  </si>
  <si>
    <t>34-0597</t>
  </si>
  <si>
    <t>Кронштейн поворотный Севастополь-1, 50см REXANT</t>
  </si>
  <si>
    <t>34-0598</t>
  </si>
  <si>
    <t>Кронштейн поворотный Севастополь-2, 100см REXANT</t>
  </si>
  <si>
    <t>34-0865</t>
  </si>
  <si>
    <t>Кронштейн для спутниковой антенны Г-образный, усиленный (75см), 50см REXANT</t>
  </si>
  <si>
    <t>34-0580</t>
  </si>
  <si>
    <t>Кронштейн эфирный Г-образный, 14,5см REXANT</t>
  </si>
  <si>
    <t>34-0570</t>
  </si>
  <si>
    <t>Кронштейн эфирный Полоса, 14,5см REXANT</t>
  </si>
  <si>
    <t>34-0602</t>
  </si>
  <si>
    <t>Кронштейн эфирный 20см, треугольная площадка REXANT</t>
  </si>
  <si>
    <t>34-0601</t>
  </si>
  <si>
    <t>Кронштейн эфирный 20смх14,5см REXANT</t>
  </si>
  <si>
    <t>34-0571</t>
  </si>
  <si>
    <t>Кронштейн эфирный Г-образный, поворотный, 25см REXANT</t>
  </si>
  <si>
    <t>34-0480</t>
  </si>
  <si>
    <t>Кронштейн эфирный Г-образный, 30см REXANT</t>
  </si>
  <si>
    <t>34-0574</t>
  </si>
  <si>
    <t>Кронштейн эфирный 30см, белый REXANT</t>
  </si>
  <si>
    <t>34-0573</t>
  </si>
  <si>
    <t>Кронштейн эфирный 30см, серый REXANT</t>
  </si>
  <si>
    <t>34-0581</t>
  </si>
  <si>
    <t>Кронштейн эфирный Г-образный, 45см REXANT</t>
  </si>
  <si>
    <t>34-0582</t>
  </si>
  <si>
    <t>Кронштейн эфирный телескопический, 60-110см REXANT</t>
  </si>
  <si>
    <t>34-0481</t>
  </si>
  <si>
    <t>Кронштейн эфирный Г-образный, 60см REXANT</t>
  </si>
  <si>
    <t>34-0604</t>
  </si>
  <si>
    <t>Кронштейн эфирный 70-130см телескопический REXANT</t>
  </si>
  <si>
    <t>34-0862</t>
  </si>
  <si>
    <t>Кронштейн эфирный СОЮЗ-1, 14,5х14,5см REXANT</t>
  </si>
  <si>
    <t>34-0863</t>
  </si>
  <si>
    <t>Кронштейн эфирный СОЮЗ-2, 30х14,5см REXANT</t>
  </si>
  <si>
    <t>34-0864</t>
  </si>
  <si>
    <t>Кронштейн эфирный СОЮЗ-3, 30х14,5см REXANT</t>
  </si>
  <si>
    <t>34-0866</t>
  </si>
  <si>
    <t>Кронштейн Эфирный СОЮЗ-4 20см REXANT</t>
  </si>
  <si>
    <t>34-0579</t>
  </si>
  <si>
    <t>Мачта для антенн телескопическая, 1000см REXANT</t>
  </si>
  <si>
    <t>34-0577</t>
  </si>
  <si>
    <t>Мачта для антенн телескопическая, 600см REXANT</t>
  </si>
  <si>
    <t>34-0578</t>
  </si>
  <si>
    <t>Мачта для антенн телескопическая, 800см REXANT</t>
  </si>
  <si>
    <t>34-0485-1</t>
  </si>
  <si>
    <t>Мачта для антенн алюминиевая, 300см REXANT</t>
  </si>
  <si>
    <t>34-0487-1</t>
  </si>
  <si>
    <t>Мачта для антенн алюминиевая, 450см REXANT</t>
  </si>
  <si>
    <t>34-0566</t>
  </si>
  <si>
    <t>Мачта для антенн алюминиевая, 600см, 3 секции REXANT</t>
  </si>
  <si>
    <t>34-0483</t>
  </si>
  <si>
    <t>Мачта для антенн КРЫМ-1, 150см REXANT</t>
  </si>
  <si>
    <t>34-0485</t>
  </si>
  <si>
    <t>Мачта для антенн КРЫМ-3 телескопическая, 300см REXANT</t>
  </si>
  <si>
    <t>34-0487</t>
  </si>
  <si>
    <t>Мачта для антенн КРЫМ-5 телескопическая, 450см REXANT</t>
  </si>
  <si>
    <t>34-0609</t>
  </si>
  <si>
    <t>Мачта для антенн телескопическая, облегченная, 300см, 2 колена REXANT</t>
  </si>
  <si>
    <t>34-0610</t>
  </si>
  <si>
    <t>Мачта для антенн телескопическая, облегченная, 450см, 3 колена REXANT</t>
  </si>
  <si>
    <t>34-0613</t>
  </si>
  <si>
    <t>Мачта для антенн телескопическая, 600см, 3 колена REXANT</t>
  </si>
  <si>
    <t>34-0611</t>
  </si>
  <si>
    <t>Мачта для антенн телескопическая, облегченная, 600см, 4 колена REXANT</t>
  </si>
  <si>
    <t>34-0489</t>
  </si>
  <si>
    <t>Пятка для мачт малая REXANT</t>
  </si>
  <si>
    <t>6. 6. 6 Усилители ТВ сигнала</t>
  </si>
  <si>
    <t>34-0772</t>
  </si>
  <si>
    <t>Антенный усилитель ТВ сигнала на 2 выхода, RX-200 REXANT</t>
  </si>
  <si>
    <t>34-0455</t>
  </si>
  <si>
    <t>Инжектор питания с разъемом USB для активных антенн, RX-455 REXANT</t>
  </si>
  <si>
    <t>34-0450</t>
  </si>
  <si>
    <t>Усилитель ТВ сигнала с питанием от разъема USB, RX-450 REXANT</t>
  </si>
  <si>
    <t>6. 6. 7 Антенны 4G</t>
  </si>
  <si>
    <t>34-0901</t>
  </si>
  <si>
    <t>Антенна 4G MIMO Альтаир REXANT</t>
  </si>
  <si>
    <t>34-0904</t>
  </si>
  <si>
    <t>Антенна 4G MIMO Андромеда REXANT</t>
  </si>
  <si>
    <t>34-0902</t>
  </si>
  <si>
    <t>Антенна 4G MIMO Вега REXANT</t>
  </si>
  <si>
    <t>34-0903</t>
  </si>
  <si>
    <t>Антенна 4G MIMO Сириус REXANT</t>
  </si>
  <si>
    <t>34-0431</t>
  </si>
  <si>
    <t>Антенна комнатная для усиления интернет-сигнала 4G (LTE)  REXANT</t>
  </si>
  <si>
    <t>6. 7 Кронштейны</t>
  </si>
  <si>
    <t>6. 7. 1 Кронштейны для ТВ</t>
  </si>
  <si>
    <t>38-0401-1</t>
  </si>
  <si>
    <t>Кронштейн для крепления Саундбара макс. 10 кг REXANT</t>
  </si>
  <si>
    <t>38-0401</t>
  </si>
  <si>
    <t>Кронштейн для крепления Саундбара макс. 15 кг REXANT</t>
  </si>
  <si>
    <t>38-0300</t>
  </si>
  <si>
    <t>Кронштейн для телевизора 10"-27", фиксированный REXANT</t>
  </si>
  <si>
    <t>38-0050</t>
  </si>
  <si>
    <t>Кронштейн для телевизора 13"-37", наклонно-поворотный REXANT</t>
  </si>
  <si>
    <t>38-0053-1</t>
  </si>
  <si>
    <t>Кронштейн для телевизора 13"-37", наклонно-поворотный одно колено REXANT</t>
  </si>
  <si>
    <t>38-0053</t>
  </si>
  <si>
    <t>Кронштейн для телевизора 13"-37", наклонно-поворотный одно колено REXANT</t>
  </si>
  <si>
    <t>38-0051</t>
  </si>
  <si>
    <t>Кронштейн для телевизора 13"-37", наклонно-поворотный, 2 колена REXANT</t>
  </si>
  <si>
    <t>38-0305</t>
  </si>
  <si>
    <t>Кронштейн для телевизора 13"-37", наклонный REXANT</t>
  </si>
  <si>
    <t>38-0061</t>
  </si>
  <si>
    <t>Кронштейн для телевизора 13"-43", наклонно-поворотный REXANT</t>
  </si>
  <si>
    <t>38-0070</t>
  </si>
  <si>
    <t>Кронштейн для телевизора 13"-43", наклонно-поворотный, 2 колена REXANT</t>
  </si>
  <si>
    <t>38-0320</t>
  </si>
  <si>
    <t>Кронштейн для телевизора 13"-43", наклонный REXANT</t>
  </si>
  <si>
    <t>38-0309</t>
  </si>
  <si>
    <t>Кронштейн для телевизора 13"-43", потолочный подвесной REXANT</t>
  </si>
  <si>
    <t>38-0301</t>
  </si>
  <si>
    <t>38-0309-1</t>
  </si>
  <si>
    <t>38-0310</t>
  </si>
  <si>
    <t>Кронштейн для телевизора 13"-43", фиксированный REXANT</t>
  </si>
  <si>
    <t>38-0332</t>
  </si>
  <si>
    <t>Кронштейн для телевизора 13"-65", наклонно-поворотный REXANT</t>
  </si>
  <si>
    <t>38-0080</t>
  </si>
  <si>
    <t>Кронштейн для телевизора 13"-65", наклонно-поворотный, 2 колена REXANT</t>
  </si>
  <si>
    <t>38-0060</t>
  </si>
  <si>
    <t>Кронштейн для телевизора 17"-43", наклонно-поворотный, 1 колено REXANT</t>
  </si>
  <si>
    <t>38-0310-1</t>
  </si>
  <si>
    <t>Кронштейн для телевизора 17"-43", фиксированный с быстрой фиксацией, REXANT</t>
  </si>
  <si>
    <t>38-0062</t>
  </si>
  <si>
    <t>Кронштейн для телевизора 19"-42", наклонно-поворотный REXANT</t>
  </si>
  <si>
    <t>38-0070-1</t>
  </si>
  <si>
    <t>Кронштейн для телевизора 23"-43", наклонно-поворотный REXANT</t>
  </si>
  <si>
    <t>38-0060-1</t>
  </si>
  <si>
    <t>Кронштейн для телевизора 23"-43", наклонно-поворотный, 1 колено REXANT</t>
  </si>
  <si>
    <t>38-0063</t>
  </si>
  <si>
    <t>Кронштейн для телевизора 26"-55", наклонно-поворотный REXANT</t>
  </si>
  <si>
    <t>38-0330</t>
  </si>
  <si>
    <t>Кронштейн наклонный для телевизора и монитора 26"-55" REXANT</t>
  </si>
  <si>
    <t>38-0095</t>
  </si>
  <si>
    <t>Кронштейн для телевизора 30"-65", наклонно-поворотный, 2 колена REXANT</t>
  </si>
  <si>
    <t>38-0090</t>
  </si>
  <si>
    <t>Кронштейн для телевизора 30"-70", наклонный REXANT</t>
  </si>
  <si>
    <t>38-0312</t>
  </si>
  <si>
    <t>Кронштейн для телевизора 32"- 65", наклонный с быстрой фиксацией REXANT</t>
  </si>
  <si>
    <t>38-0330-1</t>
  </si>
  <si>
    <t>Кронштейн для телевизора 32"-55", наклонный с быстрой фиксацией REXANT</t>
  </si>
  <si>
    <t>38-0333</t>
  </si>
  <si>
    <t>Кронштейн для телевизора 32"-55", фиксированный REXANT</t>
  </si>
  <si>
    <t>38-0311</t>
  </si>
  <si>
    <t>Кронштейн для телевизора 32"-60", потолочный подвесной REXANT</t>
  </si>
  <si>
    <t>38-0331</t>
  </si>
  <si>
    <t>Кронштейн для телевизора 32"-60", фиксированный REXANT</t>
  </si>
  <si>
    <t>38-0081</t>
  </si>
  <si>
    <t>Кронштейн для телевизора 32"-65", наклонно-поворотный, 2 колена REXANT</t>
  </si>
  <si>
    <t>38-0334</t>
  </si>
  <si>
    <t>Кронштейн для телевизора 32"-65", наклонно-поворотный, двойное колено REXANT</t>
  </si>
  <si>
    <t>38-0339-1</t>
  </si>
  <si>
    <t>Кронштейн для телевизора 32"-65", наклонный с быстрой фиксацией REXANT</t>
  </si>
  <si>
    <t>38-0311-1</t>
  </si>
  <si>
    <t>Кронштейн для телевизора 32"-65", потолочный подвесной REXANT</t>
  </si>
  <si>
    <t>38-0335</t>
  </si>
  <si>
    <t>Кронштейн для телевизора 32"-65", фиксированный REXANT</t>
  </si>
  <si>
    <t>38-0081-1</t>
  </si>
  <si>
    <t>Кронштейн для телевизора 32"-70", наклонно-поворотный, 2 колена REXANT</t>
  </si>
  <si>
    <t>38-0096</t>
  </si>
  <si>
    <t>Кронштейн для телевизора 32"-70", наклонно-поворотный, двойное колено REXANT</t>
  </si>
  <si>
    <t>38-0334-1</t>
  </si>
  <si>
    <t>38-0336</t>
  </si>
  <si>
    <t>Кронштейн для телевизора 32"-70", наклонный REXANT</t>
  </si>
  <si>
    <t>38-0336-1</t>
  </si>
  <si>
    <t>38-0340</t>
  </si>
  <si>
    <t>Кронштейн для телевизора 32"-70", фиксированный REXANT</t>
  </si>
  <si>
    <t>38-0337-1</t>
  </si>
  <si>
    <t>Кронштейн для телевизора 32"-70", фиксированный с быстрой фиксацией REXANT</t>
  </si>
  <si>
    <t>38-0385</t>
  </si>
  <si>
    <t>Кронштейн для телевизора 32"-75", моторизированный REXANT</t>
  </si>
  <si>
    <t>38-0370</t>
  </si>
  <si>
    <t>Кронштейн для телевизора 32"-75", наклонно-поворотный, двойное колено REXANT</t>
  </si>
  <si>
    <t>38-0090-1</t>
  </si>
  <si>
    <t>Кронштейн для телевизора 32"-75", наклонный REXANT</t>
  </si>
  <si>
    <t>38-0350</t>
  </si>
  <si>
    <t>Кронштейн для телевизора 32"-80", наклонно-поворотный, двойное колено REXANT</t>
  </si>
  <si>
    <t>38-0344-1</t>
  </si>
  <si>
    <t>Кронштейн для телевизора 32"-85", наклонный REXANT</t>
  </si>
  <si>
    <t>38-0324</t>
  </si>
  <si>
    <t>Кронштейн для телевизора 32"-85", потолочный подвесной REXANT</t>
  </si>
  <si>
    <t>38-0313</t>
  </si>
  <si>
    <t>Кронштейн для телевизора 37"- 75", наклонный с быстрой фиксацией REXANT</t>
  </si>
  <si>
    <t>38-0374</t>
  </si>
  <si>
    <t>Кронштейн для телевизора 37"-70", наклонно-поворотный, 2 колена REXANT</t>
  </si>
  <si>
    <t>38-0371</t>
  </si>
  <si>
    <t>Кронштейн для телевизора 37"-70", наклонно-поворотный, два двойных колена раздельно REXANT</t>
  </si>
  <si>
    <t>38-0373</t>
  </si>
  <si>
    <t>Кронштейн для телевизора 37"-70", наклонный с быстрой фиксацией REXANT</t>
  </si>
  <si>
    <t>38-0372</t>
  </si>
  <si>
    <t>Кронштейн для телевизора 37"-75", фиксированный с быстрой фиксацией REXANT</t>
  </si>
  <si>
    <t>38-0344</t>
  </si>
  <si>
    <t>Кронштейн для телевизора 37"-80", наклонный с быстрой фиксацией REXANT</t>
  </si>
  <si>
    <t>38-0343</t>
  </si>
  <si>
    <t>Кронштейн для телевизора 37"-80", фиксированный с быстрой фиксацией REXANT</t>
  </si>
  <si>
    <t>38-0384</t>
  </si>
  <si>
    <t>Кронштейн для телевизора 37"-85", наклонно-поворотный, двойное колено REXANT</t>
  </si>
  <si>
    <t>38-0347</t>
  </si>
  <si>
    <t>Кронштейн для телевизора 37"-90", наклонно-поворотный, двойное колено REXANT</t>
  </si>
  <si>
    <t>38-0351</t>
  </si>
  <si>
    <t>38-0346-1</t>
  </si>
  <si>
    <t>Кронштейн для телевизора 40"-100", наклонный REXANT</t>
  </si>
  <si>
    <t>38-0341-1</t>
  </si>
  <si>
    <t>Кронштейн для телевизора 40"-75", наклонный с быстрой фиксацией REXANT</t>
  </si>
  <si>
    <t>38-0338-1</t>
  </si>
  <si>
    <t>Кронштейн для телевизора 40"-80", фиксированный с быстрой фиксацией REXANT</t>
  </si>
  <si>
    <t>38-0342</t>
  </si>
  <si>
    <t>Кронштейн для телевизора 42"-100" фиксированный с быстрой фиксацией REXANT</t>
  </si>
  <si>
    <t>38-0346</t>
  </si>
  <si>
    <t>Кронштейн для телевизора 43"-90", наклонный с быстрой фиксацией REXANT</t>
  </si>
  <si>
    <t>38-0345</t>
  </si>
  <si>
    <t>Кронштейн для телевизора 43"-90", фиксированный с быстрой фиксацией REXANT</t>
  </si>
  <si>
    <t>38-0352</t>
  </si>
  <si>
    <t>Кронштейн для телевизора 55"-120", наклонный REXANT</t>
  </si>
  <si>
    <t>38-0348</t>
  </si>
  <si>
    <t>Кронштейн для телевизора 60"-100", наклонно-поворотный, двойное колено REXANT</t>
  </si>
  <si>
    <t>38-0349</t>
  </si>
  <si>
    <t>Кронштейн для телевизора 60"-100", наклонный с быстрой фиксацией REXANT</t>
  </si>
  <si>
    <t>38-0319</t>
  </si>
  <si>
    <t>Напольная стойка с кронштейном для телевизора 19"-42", на колесах REXANT</t>
  </si>
  <si>
    <t>38-0317</t>
  </si>
  <si>
    <t>Напольная стойка с кронштейном для телевизора 32"-55", с дополнительной полкой для медиаоборудования REXANT</t>
  </si>
  <si>
    <t>38-0318</t>
  </si>
  <si>
    <t>Напольная стойка с кронштейном для телевизора 37"-70", с дополнительной полкой для медиаоборудования REXANT</t>
  </si>
  <si>
    <t>34-0589</t>
  </si>
  <si>
    <t>Полка для аудио- и видеоаппаратуры, 200х175мм REXANT</t>
  </si>
  <si>
    <t>6. 7. 2 Кронштейны для Мониторов</t>
  </si>
  <si>
    <t>38-0360</t>
  </si>
  <si>
    <t>Кронштейн для POS-терминала REXANT</t>
  </si>
  <si>
    <t>38-0357</t>
  </si>
  <si>
    <t>Кронштейн для двух мониторов 13"-32", настольный с газлифтом REXANT</t>
  </si>
  <si>
    <t>38-0356</t>
  </si>
  <si>
    <t>Кронштейн для двух мониторов 13"-32", одно колено настольный REXANT</t>
  </si>
  <si>
    <t>38-0361</t>
  </si>
  <si>
    <t>Кронштейн для кассового оборудования REXANT</t>
  </si>
  <si>
    <t>38-0303</t>
  </si>
  <si>
    <t>Кронштейн для монитора 13"-32", настольный REXANT</t>
  </si>
  <si>
    <t>38-0307</t>
  </si>
  <si>
    <t>Кронштейн для монитора 13"-32", настольный с газлифтом REXANT</t>
  </si>
  <si>
    <t>38-0308</t>
  </si>
  <si>
    <t>Кронштейн для монитора 13"-32", настольный с подставкой REXANT</t>
  </si>
  <si>
    <t>38-0306</t>
  </si>
  <si>
    <t>Кронштейн для монитора 13"-32", одно колено настольный REXANT</t>
  </si>
  <si>
    <t>6. 7. 3 Кронштейны для Проекторов</t>
  </si>
  <si>
    <t>38-0322</t>
  </si>
  <si>
    <t>Кронштейн для проектора настенно-потолочный с регулировкой расстояния (350-650мм) макс. 20 кг серия ПРОФИ REXANT</t>
  </si>
  <si>
    <t>38-0321</t>
  </si>
  <si>
    <t>Кронштейн для проектора потолочный с регулировкой расстояния (380-580 мм) макс. 13,5 кг серия ПРОФИ REXANT</t>
  </si>
  <si>
    <t>38-0302</t>
  </si>
  <si>
    <t>Кронштейн для проектора потолочный с регулировкой расстояния (428-683мм) REXANT</t>
  </si>
  <si>
    <t>38-0323</t>
  </si>
  <si>
    <t>Кронштейн для проектора потолочный с регулировкой расстояния (430-650 мм) макс. 15кг, белый REXANT</t>
  </si>
  <si>
    <t>6. 8 Пульты управления</t>
  </si>
  <si>
    <t>6. 8. 1 Пульты управления для ТВ</t>
  </si>
  <si>
    <t>38-0104</t>
  </si>
  <si>
    <t>Пульт универсальный для телевизора Haier REXANT</t>
  </si>
  <si>
    <t>38-0002</t>
  </si>
  <si>
    <t>Пульт универсальный для телевизора LG с функцией Смарт-ТВ (ST-03) REXANT</t>
  </si>
  <si>
    <t>38-0004</t>
  </si>
  <si>
    <t>Пульт универсальный для телевизора LG с функцией Смарт-ТВ (ST-04) REXANT</t>
  </si>
  <si>
    <t>38-0008</t>
  </si>
  <si>
    <t>Пульт универсальный для телевизора Panasonic REXANT</t>
  </si>
  <si>
    <t>38-0025</t>
  </si>
  <si>
    <t>Пульт универсальный для телевизора RX-188 REXANT</t>
  </si>
  <si>
    <t>38-0011</t>
  </si>
  <si>
    <t>Пульт универсальный для телевизора RX-707E REXANT</t>
  </si>
  <si>
    <t>38-0001</t>
  </si>
  <si>
    <t>Пульт универсальный для телевизора RX-951 REXANT</t>
  </si>
  <si>
    <t>38-0005</t>
  </si>
  <si>
    <t>Пульт универсальный для телевизора RX-952 REXANT</t>
  </si>
  <si>
    <t>38-0015</t>
  </si>
  <si>
    <t>Пульт универсальный для телевизора RX-E877 REXANT</t>
  </si>
  <si>
    <t>38-0200</t>
  </si>
  <si>
    <t>Пульт универсальный для телевизора Samsung с функцией Смарт-ТВ (ST-02) REXANT</t>
  </si>
  <si>
    <t>38-0006</t>
  </si>
  <si>
    <t>Пульт универсальный для телевизора Samsung с функцией Смарт-ТВ (ST-05) REXANT</t>
  </si>
  <si>
    <t>38-0007</t>
  </si>
  <si>
    <t>Пульт универсальный для телевизора Sony REXANT</t>
  </si>
  <si>
    <t>38-0030</t>
  </si>
  <si>
    <t>Пульт универсальный для телевизора с функцией Смарт-ТВ (ST-01) REXANT</t>
  </si>
  <si>
    <t>38-0013</t>
  </si>
  <si>
    <t>Пульт универсальный для телевизоров TELEFUNKEN/VESTEL/BEKO REXANT</t>
  </si>
  <si>
    <t>38-0102</t>
  </si>
  <si>
    <t>Пульт универсальный на 8 устройств REXANT</t>
  </si>
  <si>
    <t>38-0018</t>
  </si>
  <si>
    <t>Пульт универсальный для телевизора LG REXANT</t>
  </si>
  <si>
    <t>38-0019</t>
  </si>
  <si>
    <t>Пульт универсальный для телевизора PHILIPS REXANT</t>
  </si>
  <si>
    <t>38-0020</t>
  </si>
  <si>
    <t>Пульт универсальный для телевизора Samsung REXANT</t>
  </si>
  <si>
    <t>6. 8. 2 Пульты управления для Кондиционеров</t>
  </si>
  <si>
    <t>38-0101</t>
  </si>
  <si>
    <t>Пульт универсальный для кондиционеров (RX-100AII) REXANT</t>
  </si>
  <si>
    <t>38-0103</t>
  </si>
  <si>
    <t>Пульт универсальный для кондиционеров RX-101AII REXANT</t>
  </si>
  <si>
    <t>6. 8. 3 Пульты управления для Приставок DVB-T2</t>
  </si>
  <si>
    <t>38-0012</t>
  </si>
  <si>
    <t>Пульт универсальный для приставки DVB-T2 REXANT</t>
  </si>
  <si>
    <t>38-0014</t>
  </si>
  <si>
    <t>Пульт универсальный для приставки DVB-T2 с функцией управления телевизором REXANT</t>
  </si>
  <si>
    <t>6. 8. 4 Пульты управления для Ресиверов</t>
  </si>
  <si>
    <t>38-0009</t>
  </si>
  <si>
    <t>Пульт универсальный для ресивера REXANT</t>
  </si>
  <si>
    <t>38-0035</t>
  </si>
  <si>
    <t>Пульт универсальный для ресивера Триколор ТВ REXANT</t>
  </si>
  <si>
    <t>6. 9 Продукция в розничной упаковке</t>
  </si>
  <si>
    <t>6. 9. 1 Делители ТВ в розничной упаковке</t>
  </si>
  <si>
    <t>06-0041-C</t>
  </si>
  <si>
    <t>Делитель антенный, 3 ТВ, 5-1000 МГц REXANT</t>
  </si>
  <si>
    <t>6. 9. 2 Антенные переходники в розничной упаковке</t>
  </si>
  <si>
    <t>06-0022-A</t>
  </si>
  <si>
    <t>Переходник антенный, (3 гнезда F), тройник, 1 шт. REXANT</t>
  </si>
  <si>
    <t>06-0020-A</t>
  </si>
  <si>
    <t>Переходник антенный, (гнездо F - гнездо F), бочка, 1 шт. REXANT</t>
  </si>
  <si>
    <t>05-4201-6-7</t>
  </si>
  <si>
    <t>Переходник антенный, (гнездо F - гнездо F), бочка, 1 шт. PROconnect</t>
  </si>
  <si>
    <t>06-0021-A</t>
  </si>
  <si>
    <t>Переходник антенный, (гнездо F - штекер F), угловой, 1 шт. REXANT</t>
  </si>
  <si>
    <t>06-0024-A</t>
  </si>
  <si>
    <t>Переходник антенный, гнездо F – гнездо ТВ, 1 шт. REXANT</t>
  </si>
  <si>
    <t>06-0026-A</t>
  </si>
  <si>
    <t>Переходник антенный, гнездо F – гнездо ТВ, угловой, 1 шт. REXANT</t>
  </si>
  <si>
    <t>06-0025-A</t>
  </si>
  <si>
    <t>Переходник антенный, гнездо F – штекер ТВ, 1 шт. REXANT</t>
  </si>
  <si>
    <t>05-4303-4-7</t>
  </si>
  <si>
    <t>Переходник антенный, гнездо F – штекер ТВ, 1 шт. PROconnect</t>
  </si>
  <si>
    <t>06-0027-A</t>
  </si>
  <si>
    <t>Переходник антенный, гнездо F – штекер ТВ, угловой, 1 шт. REXANT</t>
  </si>
  <si>
    <t>05-4311-4-7</t>
  </si>
  <si>
    <t>Переходник антенный, гнездо F – штекер ТВ, угловой, 1 шт. PROconnect</t>
  </si>
  <si>
    <t>06-0028-A</t>
  </si>
  <si>
    <t>Переходник антенный, гнездо ТВ – штекер F, 1 шт. REXANT</t>
  </si>
  <si>
    <t>6. 9. 3 Антенные разъемы в розничной упаковке</t>
  </si>
  <si>
    <t>05-4003-4-7</t>
  </si>
  <si>
    <t>Разъем антенный, штекер F, RG-6, 1 шт. PROconnect</t>
  </si>
  <si>
    <t>05-4003-6-7</t>
  </si>
  <si>
    <t>06-0004-A2</t>
  </si>
  <si>
    <t>Разъем антенный, штекер F, RG-6, 2 шт. REXANT</t>
  </si>
  <si>
    <t>06-0004-A5</t>
  </si>
  <si>
    <t>Разъем антенный, штекер F, RG-6, 5 шт. REXANT</t>
  </si>
  <si>
    <t>05-4003-4-9</t>
  </si>
  <si>
    <t>Разъем антенный, штекер F, RG-6, 5 шт. PROconnect</t>
  </si>
  <si>
    <t>06-0005-A2</t>
  </si>
  <si>
    <t>Разъем антенный, штекер F, SAT, с резиновым уплотнителем, 2 шт. REXANT</t>
  </si>
  <si>
    <t>6. 9. 4 Шнуры ТВ в розничной упаковке</t>
  </si>
  <si>
    <t>06-3090</t>
  </si>
  <si>
    <t>Набор антенный №11 кабель RG-6U 10м, штекер F (4шт), бочка (1шт), переходник гн F – шт ТВ (2шт), переходник гн F – гн ТВ (1шт) REXANT</t>
  </si>
  <si>
    <t>06-3092</t>
  </si>
  <si>
    <t>Набор антенный №13 кабель RG-6U 20м, штекер F (4шт), бочка (1шт), переходник гн F – шт ТВ (2шт), переходник гн F – гн ТВ (1шт) REXANT</t>
  </si>
  <si>
    <t>06-3093</t>
  </si>
  <si>
    <t>Набор антенный №14 кабель RG-6U 30м, штекер F (4шт), бочка (1шт), переходник гн F – шт ТВ (2шт), переходник гн F – гн ТВ (1шт) REXANT</t>
  </si>
  <si>
    <t>7. ВСЕ ДЛЯ ЖИЗНИ (LIFE)</t>
  </si>
  <si>
    <t>7. 1 Авто</t>
  </si>
  <si>
    <t>7. 1. 1 Автоэлектрика</t>
  </si>
  <si>
    <t>7. 1. 1. 1 Провода</t>
  </si>
  <si>
    <t>7. 1. 1. 1. 1 Провод ПГВА / ПВАМ - CCA -</t>
  </si>
  <si>
    <t>01-6511</t>
  </si>
  <si>
    <t>Провод ПГВА 1х0,50мм², белый, бухта 100м REXANT</t>
  </si>
  <si>
    <t>01-6512</t>
  </si>
  <si>
    <t>Провод ПГВА 1х0,50мм², желтый, бухта 100м REXANT</t>
  </si>
  <si>
    <t>01-6513</t>
  </si>
  <si>
    <t>Провод ПГВА 1х0,50мм², зеленый, бухта 100м REXANT</t>
  </si>
  <si>
    <t>01-6514</t>
  </si>
  <si>
    <t>Провод ПГВА 1х0,50мм², красный, бухта 100м REXANT</t>
  </si>
  <si>
    <t>01-6515</t>
  </si>
  <si>
    <t>Провод ПГВА 1х0,50мм², синий, бухта 100м REXANT</t>
  </si>
  <si>
    <t>01-6516</t>
  </si>
  <si>
    <t>Провод ПГВА 1х0,50мм², черный, бухта 100м REXANT</t>
  </si>
  <si>
    <t>01-6501</t>
  </si>
  <si>
    <t>Провод ПГВА 1х0,75мм², белый, бухта 100м REXANT</t>
  </si>
  <si>
    <t>01-6502</t>
  </si>
  <si>
    <t>Провод ПГВА 1х0,75мм², желтый, бухта 100м REXANT</t>
  </si>
  <si>
    <t>01-6503</t>
  </si>
  <si>
    <t>Провод ПГВА 1х0,75мм², зеленый, бухта 100м REXANT</t>
  </si>
  <si>
    <t>01-6504</t>
  </si>
  <si>
    <t>Провод ПГВА 1х0,75мм², красный, бухта 100м REXANT</t>
  </si>
  <si>
    <t>01-6505</t>
  </si>
  <si>
    <t>Провод ПГВА 1х0,75мм², синий, бухта 100м REXANT</t>
  </si>
  <si>
    <t>01-6506</t>
  </si>
  <si>
    <t>Провод ПГВА 1х0,75мм², черный, бухта 100м REXANT</t>
  </si>
  <si>
    <t>01-6521</t>
  </si>
  <si>
    <t>Провод ПГВА 1х1,00мм², белый, бухта 100м REXANT</t>
  </si>
  <si>
    <t>01-6522</t>
  </si>
  <si>
    <t>Провод ПГВА 1х1,00мм², желтый, бухта 100м REXANT</t>
  </si>
  <si>
    <t>01-6523</t>
  </si>
  <si>
    <t>Провод ПГВА 1х1,00мм², зеленый, бухта 100м REXANT</t>
  </si>
  <si>
    <t>01-6524</t>
  </si>
  <si>
    <t>Провод ПГВА 1х1,00мм², красный, бухта 100м REXANT</t>
  </si>
  <si>
    <t>01-6525</t>
  </si>
  <si>
    <t>Провод ПГВА 1х1,00мм², синий, бухта 100м REXANT</t>
  </si>
  <si>
    <t>01-6526</t>
  </si>
  <si>
    <t>Провод ПГВА 1х1,00мм², черный, бухта 100м REXANT</t>
  </si>
  <si>
    <t>01-6531</t>
  </si>
  <si>
    <t>Провод ПГВА 1х1,50мм², белый, бухта 100м REXANT</t>
  </si>
  <si>
    <t>01-6532</t>
  </si>
  <si>
    <t>Провод ПГВА 1х1,50мм², желтый, бухта 100м REXANT</t>
  </si>
  <si>
    <t>01-6533</t>
  </si>
  <si>
    <t>Провод ПГВА 1х1,50мм², зеленый, бухта 100м REXANT</t>
  </si>
  <si>
    <t>01-6534</t>
  </si>
  <si>
    <t>Провод ПГВА 1х1,50мм², красный, бухта 100м REXANT</t>
  </si>
  <si>
    <t>01-6535</t>
  </si>
  <si>
    <t>Провод ПГВА 1х1,50мм², синий, бухта 100м REXANT</t>
  </si>
  <si>
    <t>01-6536</t>
  </si>
  <si>
    <t>Провод ПГВА 1х1,50мм², черный, бухта 100м REXANT</t>
  </si>
  <si>
    <t>01-6541</t>
  </si>
  <si>
    <t>Провод ПГВА 1х2,50мм², белый, бухта 100м REXANT</t>
  </si>
  <si>
    <t>01-6542</t>
  </si>
  <si>
    <t>Провод ПГВА 1х2,50мм², желтый, бухта 100м REXANT</t>
  </si>
  <si>
    <t>01-6543</t>
  </si>
  <si>
    <t>Провод ПГВА 1х2,50мм², зеленый, бухта 100м REXANT</t>
  </si>
  <si>
    <t>01-6544</t>
  </si>
  <si>
    <t>Провод ПГВА 1х2,50мм², красный, бухта 100м REXANT</t>
  </si>
  <si>
    <t>01-6545</t>
  </si>
  <si>
    <t>Провод ПГВА 1х2,50мм², синий, бухта 100м REXANT</t>
  </si>
  <si>
    <t>01-6546</t>
  </si>
  <si>
    <t>Провод ПГВА 1х2,50мм², черный, бухта 100м REXANT</t>
  </si>
  <si>
    <t>7. 1. 1. 1. 2 Провод ПГВА / ПВАМ - МЕДЬ - [Группа индивидуального ценообразования]</t>
  </si>
  <si>
    <t>01-6511-1</t>
  </si>
  <si>
    <t>Провод ПГВА 1х0,50мм², Cu, белый, бухта 500м REXANT</t>
  </si>
  <si>
    <t>01-6512-1</t>
  </si>
  <si>
    <t>Провод ПГВА 1х0,50мм², Cu, желтый, бухта 500м REXANT</t>
  </si>
  <si>
    <t>01-6513-1</t>
  </si>
  <si>
    <t>Провод ПГВА 1х0,50мм², Cu, зеленый, бухта 500м REXANT</t>
  </si>
  <si>
    <t>01-6514-1</t>
  </si>
  <si>
    <t>Провод ПГВА 1х0,50мм², Cu, красный, бухта 500м REXANT</t>
  </si>
  <si>
    <t>01-6516-1</t>
  </si>
  <si>
    <t>Провод ПГВА 1х0,50мм², Cu, черный, бухта 500м REXANT</t>
  </si>
  <si>
    <t>01-6501-1</t>
  </si>
  <si>
    <t>Провод ПГВА 1х0,75мм², Cu, белый, бухта 200м REXANT</t>
  </si>
  <si>
    <t>01-6504-1</t>
  </si>
  <si>
    <t>Провод ПГВА 1х0,75мм², Cu, красный, бухта 200м REXANT</t>
  </si>
  <si>
    <t>01-6505-1</t>
  </si>
  <si>
    <t>Провод ПГВА 1х0,75мм², Cu, синий, бухта 200м REXANT</t>
  </si>
  <si>
    <t>01-6506-1</t>
  </si>
  <si>
    <t>Провод ПГВА 1х0,75мм², Cu, черный, бухта 200м REXANT</t>
  </si>
  <si>
    <t>01-6524-1</t>
  </si>
  <si>
    <t>Провод ПГВА 1х1,00мм², Cu, красный, бухта 200м REXANT</t>
  </si>
  <si>
    <t>01-6525-1</t>
  </si>
  <si>
    <t>Провод ПГВА 1х1,00мм², Cu, синий, бухта 200м REXANT</t>
  </si>
  <si>
    <t>01-6526-1</t>
  </si>
  <si>
    <t>Провод ПГВА 1х1,00мм², Cu, черный, бухта 200м REXANT</t>
  </si>
  <si>
    <t>7. 1. 1. 1. 3 Провод ПГВА/ПВАМ - CCA - наборы</t>
  </si>
  <si>
    <t>01-6547</t>
  </si>
  <si>
    <t>Набор автопровода «Радуга» 1х0,50мм, 6 цветов (белый, желтый, зеленый, красный, синий, черный) по 3м REXANT</t>
  </si>
  <si>
    <t>01-6548</t>
  </si>
  <si>
    <t>Набор автопровода «Радуга» 1х0,75мм, 6 цветов (белый, желтый, зеленый, красный, синий, черный) по 3м REXANT</t>
  </si>
  <si>
    <t>01-6549</t>
  </si>
  <si>
    <t>Набор автопровода «Радуга» 1х1,00мм, 6 цветов (белый, желтый, зеленый, красный, синий, черный) по 3м REXANT</t>
  </si>
  <si>
    <t>01-6550</t>
  </si>
  <si>
    <t>Набор автопровода «Радуга» 1х1,50мм, 6 цветов (белый, желтый, зеленый, красный, синий, черный) по 3м REXANT</t>
  </si>
  <si>
    <t>01-6551</t>
  </si>
  <si>
    <t>Набор автопровода «Радуга» 1х2,50мм, 6 цветов (белый, желтый, зеленый, красный, синий, черный) по 3м REXANT</t>
  </si>
  <si>
    <t>7. 1. 1. 1. 4 Провод ПГВА / ПВАМ - CCA - мини-бухта</t>
  </si>
  <si>
    <t>01-6534-2-10</t>
  </si>
  <si>
    <t>Провод автомобильный ПГВА/ПВАМ 1х1,50мм, красный, мини-бухта 10м REXANT</t>
  </si>
  <si>
    <t>01-6534-2-5</t>
  </si>
  <si>
    <t>Провод автомобильный ПГВА/ПВАМ 1х1,50мм, красный, мини-бухта 5м REXANT</t>
  </si>
  <si>
    <t>01-6536-2-10</t>
  </si>
  <si>
    <t>Провод автомобильный ПГВА/ПВАМ 1х1,50мм, черный, мини-бухта 10м REXANT</t>
  </si>
  <si>
    <t>01-6536-2-5</t>
  </si>
  <si>
    <t>Провод автомобильный ПГВА/ПВАМ 1х1,50мм, черный, мини-бухта 5м REXANT</t>
  </si>
  <si>
    <t>01-6544-2-5</t>
  </si>
  <si>
    <t>Провод автомобильный ПГВА/ПВАМ 1х2,50мм, красный, мини-бухта 5м REXANT</t>
  </si>
  <si>
    <t>01-6546-2-5</t>
  </si>
  <si>
    <t>Провод автомобильный ПГВА/ПВАМ 1х2,50мм, черный, мини-бухта 5м REXANT</t>
  </si>
  <si>
    <t>7. 1. 1. 2 Разъёмы</t>
  </si>
  <si>
    <t>16-0302-9</t>
  </si>
  <si>
    <t>DJ7021-1.5-11 автомобильный разъем штекер с проводом 20см</t>
  </si>
  <si>
    <t>16-0312-9</t>
  </si>
  <si>
    <t>DJ7021-1.5-21 автомобильный разъем гнездо с проводом 20см</t>
  </si>
  <si>
    <t>16-0303-9</t>
  </si>
  <si>
    <t>DJ7031-1.5-11 автомобильный разъем штекер с проводом 20см (3-х контактный)</t>
  </si>
  <si>
    <t>16-0313-9</t>
  </si>
  <si>
    <t>DJ7031-1.5-21 автомобильный разъем гнездо с проводом 20см (3-х контактный)</t>
  </si>
  <si>
    <t>16-0322</t>
  </si>
  <si>
    <t>Вилка прицепа 12В, 7 контактов, металл REXANT</t>
  </si>
  <si>
    <t>22.12.2026</t>
  </si>
  <si>
    <t>16-0323</t>
  </si>
  <si>
    <t>Вилка прицепа 12В, 7 контактов, пластик REXANT</t>
  </si>
  <si>
    <t>16-0324</t>
  </si>
  <si>
    <t>Набор подключения фаркопа универсальный, 7 контактов REXANT</t>
  </si>
  <si>
    <t>16-0412</t>
  </si>
  <si>
    <t>Разъем гнездо антенны для автомагнитолы на шнур REXANT</t>
  </si>
  <si>
    <t>16-0401</t>
  </si>
  <si>
    <t>Разъем штекер антенны для автомагнитолы, тип-1 REXANT</t>
  </si>
  <si>
    <t>16-0403</t>
  </si>
  <si>
    <t>Разъем штекер антенны для автомагнитолы, тип-3 REXANT</t>
  </si>
  <si>
    <t>16-0501</t>
  </si>
  <si>
    <t>Разъемы для автомагнитол Евро ISO, 2 гнезда акустика+питание REXANT</t>
  </si>
  <si>
    <t>16-0502</t>
  </si>
  <si>
    <t>Разъемы для автомагнитол Евро ISO, сдвоенное гнездо акустика+питание REXANT</t>
  </si>
  <si>
    <t>16-0503</t>
  </si>
  <si>
    <t>Разъемы для автомагнитол Евро ISO, сдвоенный штекер акустика+питание REXANT</t>
  </si>
  <si>
    <t>16-0320</t>
  </si>
  <si>
    <t>Розетка фаркопа 12В, 7 контактов, металл REXANT</t>
  </si>
  <si>
    <t>16-0321</t>
  </si>
  <si>
    <t>Розетка фаркопа 12В, 7 контактов, пластик REXANT</t>
  </si>
  <si>
    <t>7. 1. 1. 3 Предохранители</t>
  </si>
  <si>
    <t>16-0423</t>
  </si>
  <si>
    <t>Держатель предохранителя тип Мини, на проводе REXANT</t>
  </si>
  <si>
    <t>16-0425</t>
  </si>
  <si>
    <t>Держатель предохранителя типа AGU, колба REXANT</t>
  </si>
  <si>
    <t>16-0424</t>
  </si>
  <si>
    <t>Держатель предохранителя типа Мини, влагозащищенный, на проводе REXANT</t>
  </si>
  <si>
    <t>16-0421-4</t>
  </si>
  <si>
    <t>Держатель предохранителя типа Стандарт, прямоугольный, красный REXANT</t>
  </si>
  <si>
    <t>16-0421</t>
  </si>
  <si>
    <t>Держатель предохранителя типа Стандарт, прямоугольный, черный REXANT</t>
  </si>
  <si>
    <t>16-0422</t>
  </si>
  <si>
    <t>Держатель предохранителя, круглый REXANT</t>
  </si>
  <si>
    <t>80-7125</t>
  </si>
  <si>
    <t>Набор автомобильных предохранителей Микро Korea REXANT</t>
  </si>
  <si>
    <t>80-7021</t>
  </si>
  <si>
    <t>Набор автомобильных предохранителей Мини, в блистере REXANT</t>
  </si>
  <si>
    <t>80-7023</t>
  </si>
  <si>
    <t>Набор автомобильных предохранителей Мини, в пластиковой коробке (100 шт) REXANT</t>
  </si>
  <si>
    <t>80-7022</t>
  </si>
  <si>
    <t>Набор автомобильных предохранителей Стандарт, в блистере REXANT</t>
  </si>
  <si>
    <t>80-7024</t>
  </si>
  <si>
    <t>Набор автомобильных предохранителей Стандарт, в пластиковой коробке (100 шт) REXANT</t>
  </si>
  <si>
    <t>80-7132</t>
  </si>
  <si>
    <t>Набор плавких предохранителей типа AGU, 40А REXANT</t>
  </si>
  <si>
    <t>80-7135</t>
  </si>
  <si>
    <t>Набор плавких предохранителей типа AGU, 80А REXANT</t>
  </si>
  <si>
    <t>80-7110</t>
  </si>
  <si>
    <t>Предохранитель автомобильный Мини, 10А REXANT</t>
  </si>
  <si>
    <t>80-7111</t>
  </si>
  <si>
    <t>Предохранитель автомобильный Мини, 15А REXANT</t>
  </si>
  <si>
    <t>80-7112</t>
  </si>
  <si>
    <t>Предохранитель автомобильный Мини, 20А REXANT</t>
  </si>
  <si>
    <t>03.02.2027</t>
  </si>
  <si>
    <t>80-7113</t>
  </si>
  <si>
    <t>Предохранитель автомобильный Мини, 25А REXANT</t>
  </si>
  <si>
    <t>80-7100</t>
  </si>
  <si>
    <t>Предохранитель автомобильный Стандарт, 10А REXANT</t>
  </si>
  <si>
    <t>80-7101</t>
  </si>
  <si>
    <t>Предохранитель автомобильный Стандарт, 15А REXANT</t>
  </si>
  <si>
    <t>80-7102</t>
  </si>
  <si>
    <t>Предохранитель автомобильный Стандарт, 20А REXANT</t>
  </si>
  <si>
    <t>80-7103</t>
  </si>
  <si>
    <t>Предохранитель автомобильный Стандарт, 25А REXANT</t>
  </si>
  <si>
    <t>07.11.2026</t>
  </si>
  <si>
    <t>80-7104</t>
  </si>
  <si>
    <t>Предохранитель автомобильный Стандарт, 30А REXANT</t>
  </si>
  <si>
    <t>7. 1. 1. 5 Устройства автозапуска и зарядки</t>
  </si>
  <si>
    <t>16-0001</t>
  </si>
  <si>
    <t>Зажим «Крокодил» 5А, 40мм, в изоляторе REXANT</t>
  </si>
  <si>
    <t>16-0002</t>
  </si>
  <si>
    <t>Зажим «Крокодил» 5А, 46мм, в изоляторе REXANT</t>
  </si>
  <si>
    <t>16-0003</t>
  </si>
  <si>
    <t>Зажим «Крокодил» 5А, 56мм, в изоляторе REXANT</t>
  </si>
  <si>
    <t>16-0004</t>
  </si>
  <si>
    <t>Зажим «Крокодил» 5А, 52мм REXANT</t>
  </si>
  <si>
    <t>16-0006</t>
  </si>
  <si>
    <t>Зажим «Крокодил» 5А, 55мм REXANT</t>
  </si>
  <si>
    <t>16-0009</t>
  </si>
  <si>
    <t>Зажим «Крокодил» 15А 53мм REXANT</t>
  </si>
  <si>
    <t>16-0012</t>
  </si>
  <si>
    <t>Зажим «Крокодил» 10А 50мм REXANT</t>
  </si>
  <si>
    <t>16-0013</t>
  </si>
  <si>
    <t>Зажим «Крокодил» 15А, 75мм REXANT</t>
  </si>
  <si>
    <t>16-0015</t>
  </si>
  <si>
    <t>Зажим «Крокодил» 30А, 75мм REXANT</t>
  </si>
  <si>
    <t>16-0016</t>
  </si>
  <si>
    <t>Зажим «Крокодил» 30А, 75мм, в изоляторе REXANT</t>
  </si>
  <si>
    <t>16-0018</t>
  </si>
  <si>
    <t>Зажим «Крокодил» 50А, 98мм REXANT</t>
  </si>
  <si>
    <t>16-0019-1</t>
  </si>
  <si>
    <t>Зажим «Крокодил» 100А, 105мм REXANT</t>
  </si>
  <si>
    <t>16-0020</t>
  </si>
  <si>
    <t>Зажим «Крокодил» 250А, 150мм REXANT</t>
  </si>
  <si>
    <t>16-0036</t>
  </si>
  <si>
    <t>Зажимы «Крокодил» 5А, 40мм, с проводом, 10 пар REXANT</t>
  </si>
  <si>
    <t>80-2036</t>
  </si>
  <si>
    <t>Автоматическое зарядное устройство 0,4-7А (PWS-265) REXANT</t>
  </si>
  <si>
    <t>80-2035</t>
  </si>
  <si>
    <t>Автоматическое зарядное устройство 7А (PWS-150) REXANT</t>
  </si>
  <si>
    <t>16-0025</t>
  </si>
  <si>
    <t>Зажим «Крокодил» 500А, 200мм REXANT</t>
  </si>
  <si>
    <t>16-0033</t>
  </si>
  <si>
    <t>Зажим «Крокодил» для тестера 15А, 53мм, гнездо Banana REXANT</t>
  </si>
  <si>
    <t>16-0031</t>
  </si>
  <si>
    <t>Зажим для тестера Крючок, 40мм REXANT</t>
  </si>
  <si>
    <t>80-2026</t>
  </si>
  <si>
    <t>Провода прикуривания 100А, в чехле на молнии REXANT</t>
  </si>
  <si>
    <t>80-2027</t>
  </si>
  <si>
    <t>Провода прикуривания 200А, в чехле на молнии REXANT</t>
  </si>
  <si>
    <t>80-2028</t>
  </si>
  <si>
    <t>Провода прикуривания 500А, в чехле на молнии REXANT</t>
  </si>
  <si>
    <t>80-2029</t>
  </si>
  <si>
    <t>Провода прикуривания 700А, в чехле на молнии REXANT</t>
  </si>
  <si>
    <t>7. 1. 2 Аксессуары в салон</t>
  </si>
  <si>
    <t>7. 1. 2. 1 Для прикуривателя</t>
  </si>
  <si>
    <t>16-0211</t>
  </si>
  <si>
    <t>Гнездо автоприкуривателя REXANT</t>
  </si>
  <si>
    <t>16-0238</t>
  </si>
  <si>
    <t>Разветвитель автоприкуривателя, 2 гнезда, 1хUSB (5В, 1000мА) REXANT</t>
  </si>
  <si>
    <t>16-0222</t>
  </si>
  <si>
    <t>Разветвитель автоприкуривателя, 2 гнезда, шнур REXANT</t>
  </si>
  <si>
    <t>16-0221</t>
  </si>
  <si>
    <t>Разветвитель автоприкуривателя, 3 гнезда, шнур REXANT</t>
  </si>
  <si>
    <t>16-0215</t>
  </si>
  <si>
    <t>Удлинитель автоприкуривателя от аккумулятора 1,5м REXANT</t>
  </si>
  <si>
    <t>16-0216</t>
  </si>
  <si>
    <t>Удлинитель автоприкуривателя от аккумулятора 3м REXANT</t>
  </si>
  <si>
    <t>16-0217</t>
  </si>
  <si>
    <t>Удлинитель автоприкуривателя от аккумулятора 5м REXANT</t>
  </si>
  <si>
    <t>16-0218</t>
  </si>
  <si>
    <t>Удлинитель автоприкуривателя штекер – гнездо 1,5м REXANT</t>
  </si>
  <si>
    <t>16-0219</t>
  </si>
  <si>
    <t>Удлинитель автоприкуривателя штекер – гнездо 3м REXANT</t>
  </si>
  <si>
    <t>16-0220</t>
  </si>
  <si>
    <t>Удлинитель автоприкуривателя штекер – гнездо 5м REXANT</t>
  </si>
  <si>
    <t>16-0201</t>
  </si>
  <si>
    <t>Штекер автоприкуривателя REXANT</t>
  </si>
  <si>
    <t>16-0203</t>
  </si>
  <si>
    <t>Штекер автоприкуривателя с индикатором REXANT</t>
  </si>
  <si>
    <t>16-0205</t>
  </si>
  <si>
    <t>Штекер автоприкуривателя с кнопкой REXANT</t>
  </si>
  <si>
    <t>16-0202</t>
  </si>
  <si>
    <t>16-0204</t>
  </si>
  <si>
    <t>Штекер автоприкуривателя под винт REXANT</t>
  </si>
  <si>
    <t>16-0203-9</t>
  </si>
  <si>
    <t>Штекер автоприкуривателя с индикатором (1 шт), пакет PROconnect</t>
  </si>
  <si>
    <t>7. 1. 2. 2 Антенны автомобильные</t>
  </si>
  <si>
    <t>34-0502</t>
  </si>
  <si>
    <t>Антенна автомобильная внутрисалонная (радио + ТВ), активная, модель RX-502 REXANT</t>
  </si>
  <si>
    <t>34-0504</t>
  </si>
  <si>
    <t>Антенна автомобильная внутрисалонная (радио + ТВ), активная, модель RX-504 REXANT</t>
  </si>
  <si>
    <t>34-0501</t>
  </si>
  <si>
    <t>Антенна автомобильная внутрисалонная (радио), пассивная, модель RX-501 REXANT</t>
  </si>
  <si>
    <t>7. 1. 3 Доп оборудование</t>
  </si>
  <si>
    <t>7. 1. 3. 1 Концевики</t>
  </si>
  <si>
    <t>16-0511</t>
  </si>
  <si>
    <t>Концевик АВТО-1 пластик REXANT</t>
  </si>
  <si>
    <t>16-0512</t>
  </si>
  <si>
    <t>Концевик АВТО-2 металл REXANT</t>
  </si>
  <si>
    <t>16-0513</t>
  </si>
  <si>
    <t>Концевик АВТО-3 угловой REXANT</t>
  </si>
  <si>
    <t>7. 1. 3. 2 Системы противоскольжения [Группа индивидуального ценообразования]</t>
  </si>
  <si>
    <t>07-7023</t>
  </si>
  <si>
    <t>Цепи (браслеты) противоскольжения для внедорожников (колеса 235-285 мм), усиленные, 4 шт. REXANT</t>
  </si>
  <si>
    <t>07-7023-1</t>
  </si>
  <si>
    <t>Цепи (браслеты) противоскольжения для внедорожников (колеса 235-285 мм), усиленные, 6 шт. REXANT</t>
  </si>
  <si>
    <t>07-7022</t>
  </si>
  <si>
    <t>Цепи (браслеты) противоскольжения для кроссоверов (колеса 205-225 мм), 4 шт. REXANT</t>
  </si>
  <si>
    <t>07-7022-1</t>
  </si>
  <si>
    <t>Цепи (браслеты) противоскольжения для кроссоверов (колеса 205-225 мм), 6 шт. REXANT</t>
  </si>
  <si>
    <t>07-7025</t>
  </si>
  <si>
    <t>Цепи (браслеты) противоскольжения для кроссоверов, однорядные, 4 шт. REXANT</t>
  </si>
  <si>
    <t>07-7025-1</t>
  </si>
  <si>
    <t>Цепи (браслеты) противоскольжения для кроссоверов, однорядные, 6 шт. REXANT</t>
  </si>
  <si>
    <t>07-7021</t>
  </si>
  <si>
    <t>Цепи (браслеты) противоскольжения для легковых автомобилей (колеса 165-205 мм), 2 шт. REXANT</t>
  </si>
  <si>
    <t>07-7021-1</t>
  </si>
  <si>
    <t>Цепи (браслеты) противоскольжения для легковых автомобилей (колеса 165-205 мм), 4 шт. REXANT</t>
  </si>
  <si>
    <t>07-7021-2</t>
  </si>
  <si>
    <t>Цепи (браслеты) противоскольжения для легковых автомобилей (колеса 165-205 мм), 6 шт. REXANT</t>
  </si>
  <si>
    <t>07-7024</t>
  </si>
  <si>
    <t>Цепи (браслеты) противоскольжения для легковых автомобилей, однорядные, 2 шт. REXANT</t>
  </si>
  <si>
    <t>07-7024-1</t>
  </si>
  <si>
    <t>Цепи (браслеты) противоскольжения для легковых автомобилей, однорядные, 4 шт. REXANT</t>
  </si>
  <si>
    <t>07-7024-2</t>
  </si>
  <si>
    <t>Цепи (браслеты) противоскольжения для легковых автомобилей, однорядные, 6 шт. REXANT</t>
  </si>
  <si>
    <t>7. 1. 3. 3 Буксировочные тросы</t>
  </si>
  <si>
    <t>80-0225</t>
  </si>
  <si>
    <t>Трос буксировочный 10т, 5м, с двумя крюками REXANT</t>
  </si>
  <si>
    <t>80-0230</t>
  </si>
  <si>
    <t>Трос буксировочный 10т, 5м, с двумя крюками, в чехле REXANT</t>
  </si>
  <si>
    <t>80-0226</t>
  </si>
  <si>
    <t>Трос буксировочный 2,5т, 5м, с двумя крюками, в чехле REXANT</t>
  </si>
  <si>
    <t>80-0221</t>
  </si>
  <si>
    <t>Трос буксировочный 2,5т, 5м, с двумя петлями REXANT</t>
  </si>
  <si>
    <t>80-0223</t>
  </si>
  <si>
    <t>Трос буксировочный 3,5т, 5м, с двумя крюками REXANT</t>
  </si>
  <si>
    <t>80-0229</t>
  </si>
  <si>
    <t>Трос буксировочный 7т, 5м, с двумя крюками, в чехле REXANT</t>
  </si>
  <si>
    <t>80-0228</t>
  </si>
  <si>
    <t>Трос буксировочный со светоотражающей лентой, 5т, 4м, с двумя крюками, в чехле REXANT</t>
  </si>
  <si>
    <t>80-0240</t>
  </si>
  <si>
    <t>Трос динамический (стропа) 10т, 9м, в чехле REXANT</t>
  </si>
  <si>
    <t>80-0238</t>
  </si>
  <si>
    <t>Трос динамический (стропа) 5т, 6м, в чехле REXANT</t>
  </si>
  <si>
    <t>7. 1. 3. 4 Заправочное оборудование</t>
  </si>
  <si>
    <t>80-0210</t>
  </si>
  <si>
    <t>Воронка техническая для ГСМ, 135мм REXANT</t>
  </si>
  <si>
    <t>80-0217</t>
  </si>
  <si>
    <t>Канистра для топлива, металлическая, 10л REXANT</t>
  </si>
  <si>
    <t>80-0218</t>
  </si>
  <si>
    <t>Канистра для топлива, металлическая, 20л REXANT</t>
  </si>
  <si>
    <t>80-0216</t>
  </si>
  <si>
    <t>Канистра для топлива, металлическая, 5л REXANT</t>
  </si>
  <si>
    <t>80-0201</t>
  </si>
  <si>
    <t>Канистра Классик для ГСМ и технических жидкостей, пластиковая, 5л REXANT</t>
  </si>
  <si>
    <t>80-0199</t>
  </si>
  <si>
    <t>Канистра металлическая горизонтальная 10л REXANT</t>
  </si>
  <si>
    <t>80-0200</t>
  </si>
  <si>
    <t>Канистра металлическая горизонтальная 20л REXANT</t>
  </si>
  <si>
    <t>80-0198</t>
  </si>
  <si>
    <t>Канистра металлическая горизонтальная 5л REXANT</t>
  </si>
  <si>
    <t>80-0213</t>
  </si>
  <si>
    <t>Насос перекачки топлива погружной 12В, 12,5л/мин, без фильтра, 38мм REXANT</t>
  </si>
  <si>
    <t>80-0215</t>
  </si>
  <si>
    <t>Насос перекачки топлива погружной 12В, 35л/мин, без фильтра, 51мм REXANT</t>
  </si>
  <si>
    <t>80-0214</t>
  </si>
  <si>
    <t>Насос перекачки топлива погружной 12В, 35л/мин, с фильтром, 51мм REXANT</t>
  </si>
  <si>
    <t>7. 1. 3. 6 Ремни для крепления груза</t>
  </si>
  <si>
    <t>80-0244</t>
  </si>
  <si>
    <t>Ремень для крепления груза, с фиксатором, 2,5м REXANT</t>
  </si>
  <si>
    <t>80-0245</t>
  </si>
  <si>
    <t>Ремень для крепления груза, с фиксатором, 3,5м REXANT</t>
  </si>
  <si>
    <t>80-0246</t>
  </si>
  <si>
    <t>Ремень для крепления груза, с фиксатором, 5м REXANT</t>
  </si>
  <si>
    <t>80-0243</t>
  </si>
  <si>
    <t>Ремень стяжной для груза, багажный, с крюками и храповым механизмом, 10х0,038м REXANT</t>
  </si>
  <si>
    <t>80-0241</t>
  </si>
  <si>
    <t>Ремень стяжной для груза, багажный, с крюками и храповым механизмом, 5х0,038м REXANT</t>
  </si>
  <si>
    <t>80-0242</t>
  </si>
  <si>
    <t>Ремень стяжной для груза, багажный, с крюками и храповым механизмом, 8х0,038м REXANT</t>
  </si>
  <si>
    <t>7. 1. 3. 7 Хранение и порядок</t>
  </si>
  <si>
    <t>80-0264</t>
  </si>
  <si>
    <t>Карман в багажник на липучке, универсальный, 25х20см REXANT</t>
  </si>
  <si>
    <t>80-0270</t>
  </si>
  <si>
    <t>Накидка защитная на бампер, 100х75см REXANT</t>
  </si>
  <si>
    <t>80-0268</t>
  </si>
  <si>
    <t>Накидка защитная на спинку переднего сиденья, 60х50см, ПВХ, прозрачная REXANT</t>
  </si>
  <si>
    <t>80-0269</t>
  </si>
  <si>
    <t>Накидка защитная на спинку переднего сиденья, 60х50см, ткань Оксфорд, черная REXANT</t>
  </si>
  <si>
    <t>80-0267</t>
  </si>
  <si>
    <t>Накидка защитная под детское автокресло с карманом REXANT</t>
  </si>
  <si>
    <t>80-0266</t>
  </si>
  <si>
    <t>Накидка защитная под детское автокресло со спинкой и карманом REXANT</t>
  </si>
  <si>
    <t>80-0261</t>
  </si>
  <si>
    <t>Органайзер в багажник, 1 отделение, 23 литра REXANT</t>
  </si>
  <si>
    <t>80-0260</t>
  </si>
  <si>
    <t>Органайзер в багажник, 3 отделения, 65 литров REXANT</t>
  </si>
  <si>
    <t>80-0262</t>
  </si>
  <si>
    <t>Органайзер на спинку заднего сиденья, большой REXANT</t>
  </si>
  <si>
    <t>80-0263</t>
  </si>
  <si>
    <t>Органайзер на спинку заднего сиденья, малый REXANT</t>
  </si>
  <si>
    <t>7. 1. 3. 8 Изотермические сумки</t>
  </si>
  <si>
    <t>80-0282</t>
  </si>
  <si>
    <t>Сумка-холодильник (термосумка) 10л, 2 слоя утепления, с карманами ЧЕТЫРЕ СЕЗОНА</t>
  </si>
  <si>
    <t>80-0286</t>
  </si>
  <si>
    <t>Сумка-холодильник (термосумка) 15л ЧЕТЫРЕ СЕЗОНА</t>
  </si>
  <si>
    <t>80-0283</t>
  </si>
  <si>
    <t>Сумка-холодильник (термосумка) 15л, 2 слоя утепления ЧЕТЫРЕ СЕЗОНА</t>
  </si>
  <si>
    <t>80-0287</t>
  </si>
  <si>
    <t>Сумка-холодильник (термосумка) 20л ЧЕТЫРЕ СЕЗОНА</t>
  </si>
  <si>
    <t>80-0284</t>
  </si>
  <si>
    <t>Сумка-холодильник (термосумка) 20л, 2 слоя утепления ЧЕТЫРЕ СЕЗОНА</t>
  </si>
  <si>
    <t>80-0288</t>
  </si>
  <si>
    <t>Сумка-холодильник (термосумка) 40л, ЧЕТЫРЕ СЕЗОНА</t>
  </si>
  <si>
    <t>80-0285</t>
  </si>
  <si>
    <t>Сумка-холодильник (термосумка) 45л, 2 слоя утепления ЧЕТЫРЕ СЕЗОНА</t>
  </si>
  <si>
    <t>80-0281</t>
  </si>
  <si>
    <t>Сумка-холодильник (термосумка) 6л, 2 слоя утепления ЧЕТЫРЕ СЕЗОНА</t>
  </si>
  <si>
    <t>7. 1. 3. 9 Уход за автомобилем</t>
  </si>
  <si>
    <t>80-0299</t>
  </si>
  <si>
    <t>Водосгон 270мм REXANT</t>
  </si>
  <si>
    <t>80-0809</t>
  </si>
  <si>
    <t>Замша искусственная в тубе, 43х32см REXANT</t>
  </si>
  <si>
    <t>80-0810</t>
  </si>
  <si>
    <t>Замша искусственная в тубе, 64х43см REXANT</t>
  </si>
  <si>
    <t>80-0402</t>
  </si>
  <si>
    <t>Лопата автомобильная REXANT</t>
  </si>
  <si>
    <t>80-0801</t>
  </si>
  <si>
    <t>Микрофибра автомобильная, 30х30см, 200 гр/м2, 10 шт. REXANT</t>
  </si>
  <si>
    <t>80-0802</t>
  </si>
  <si>
    <t>Микрофибра автомобильная, 30х30см, 250 гр/м2, 2 шт. REXANT</t>
  </si>
  <si>
    <t>80-0803</t>
  </si>
  <si>
    <t>Микрофибра автомобильная, 35х40 см, 250гр/м2, 1 шт. REXANT</t>
  </si>
  <si>
    <t>80-0804</t>
  </si>
  <si>
    <t>Микрофибра автомобильная, 35х40см, 300 гр/м2, 1 шт. REXANT</t>
  </si>
  <si>
    <t>80-0805</t>
  </si>
  <si>
    <t>Микрофибра автомобильная, 40х40см, 600 гр/м2, 1 шт. REXANT</t>
  </si>
  <si>
    <t>80-0806</t>
  </si>
  <si>
    <t>Микрофибра автомобильная, 40х60см, 600 гр/м2, 1 шт. REXANT</t>
  </si>
  <si>
    <t>80-0800</t>
  </si>
  <si>
    <t>Микрофибра автомобильная, плотность  25х25см, 200 гр/м2, 6 шт. REXANT</t>
  </si>
  <si>
    <t>80-0808</t>
  </si>
  <si>
    <t>Микрофибра в картонной коробке, 25х25см, 200 гр/м2, 30 шт. в коробке REXANT</t>
  </si>
  <si>
    <t>80-0807</t>
  </si>
  <si>
    <t>Микрофибра отрывная, 25х25см, 200 гр/м2, 30 шт. в рулоне REXANT</t>
  </si>
  <si>
    <t>80-0400</t>
  </si>
  <si>
    <t>Разборная автомобильная лопата, оранжевая REXANT</t>
  </si>
  <si>
    <t>80-0297</t>
  </si>
  <si>
    <t>Распылитель (опрыскиватель) 1,5л REXANT</t>
  </si>
  <si>
    <t>80-0298</t>
  </si>
  <si>
    <t>Распылитель (опрыскиватель) 2л REXANT</t>
  </si>
  <si>
    <t>80-0290</t>
  </si>
  <si>
    <t>Щетка со скребком, 500мм REXANT</t>
  </si>
  <si>
    <t>80-0291</t>
  </si>
  <si>
    <t>Щетка со скребком, 540мм, мягкая ручка REXANT</t>
  </si>
  <si>
    <t>80-0292</t>
  </si>
  <si>
    <t>Щетка со скребком, 635мм, мягкая ручка REXANT</t>
  </si>
  <si>
    <t>7. 1. 3.10 Чехлы-тенты на авто/мото</t>
  </si>
  <si>
    <t>80-0317</t>
  </si>
  <si>
    <t>Чехол-тент на автомобиль, размер L REXANT</t>
  </si>
  <si>
    <t>80-0316</t>
  </si>
  <si>
    <t>Чехол-тент на автомобиль, размер M REXANT</t>
  </si>
  <si>
    <t>80-0318</t>
  </si>
  <si>
    <t>Чехол-тент на автомобиль, размер XL REXANT</t>
  </si>
  <si>
    <t>80-0314</t>
  </si>
  <si>
    <t>Чехол-тент на квадроцикл, размер L REXANT</t>
  </si>
  <si>
    <t>80-0313</t>
  </si>
  <si>
    <t>Чехол-тент на квадроцикл, размер M REXANT</t>
  </si>
  <si>
    <t>80-0315</t>
  </si>
  <si>
    <t>Чехол-тент на квадроцикл, размер XL REXANT</t>
  </si>
  <si>
    <t>80-0311</t>
  </si>
  <si>
    <t>Чехол-тент на мотоцикл, размер L REXANT</t>
  </si>
  <si>
    <t>80-0310</t>
  </si>
  <si>
    <t>Чехол-тент на мотоцикл, размер M REXANT</t>
  </si>
  <si>
    <t>80-0312</t>
  </si>
  <si>
    <t>Чехол-тент на мотоцикл, размер XL REXANT</t>
  </si>
  <si>
    <t>7. 1. 3.11 Утеплители двигателя</t>
  </si>
  <si>
    <t>80-0331</t>
  </si>
  <si>
    <t>Утеплитель двигателя Премиум, двойной слой, размер L, 160х90см REXANT</t>
  </si>
  <si>
    <t>80-0330</t>
  </si>
  <si>
    <t>Утеплитель двигателя Премиум, двойной слой, размер M, 140х90см REXANT</t>
  </si>
  <si>
    <t>7. 1. 4 Автохимия</t>
  </si>
  <si>
    <t>7. 1. 4. 2 Химчистка салона</t>
  </si>
  <si>
    <t>NPXS0035</t>
  </si>
  <si>
    <t>Химчистка салона автомобиля 650мл NANOPROTECH</t>
  </si>
  <si>
    <t>7. 1. 4. 4 Обслуживание устройств</t>
  </si>
  <si>
    <t>NPOE0031</t>
  </si>
  <si>
    <t>Очиститель электроконтактов 210мл NANOPROTECH</t>
  </si>
  <si>
    <t>NPVS0010</t>
  </si>
  <si>
    <t>Смазка подвижных деталей для велосипеда 210мл NANOPROTECH</t>
  </si>
  <si>
    <t>NPSS0001</t>
  </si>
  <si>
    <t>Супер Смазка 210мл NANOPROTECH</t>
  </si>
  <si>
    <t>7. 1. 4. 5 Автохимия REXANT</t>
  </si>
  <si>
    <t>85-0064</t>
  </si>
  <si>
    <t>Антидождь 250мл, триггер REXANT</t>
  </si>
  <si>
    <t>85-0064-1</t>
  </si>
  <si>
    <t>Антидождь 500мл, триггер REXANT</t>
  </si>
  <si>
    <t>85-0065</t>
  </si>
  <si>
    <t>Антизапотеватель, 250мл, триггер REXANT</t>
  </si>
  <si>
    <t>85-0052</t>
  </si>
  <si>
    <t>Антискотч 210мл REXANT</t>
  </si>
  <si>
    <t>85-0057</t>
  </si>
  <si>
    <t>Быстрый старт 520мл REXANT</t>
  </si>
  <si>
    <t>85-0053</t>
  </si>
  <si>
    <t>Мастер-ключ 210мл REXANT</t>
  </si>
  <si>
    <t>85-0053-2</t>
  </si>
  <si>
    <t>Мастер-ключ 335мл, аэрозоль REXANT</t>
  </si>
  <si>
    <t>85-0053-1</t>
  </si>
  <si>
    <t>Мастер-ключ 520мл REXANT</t>
  </si>
  <si>
    <t>85-0060</t>
  </si>
  <si>
    <t>Медная смазка 520мл REXANT</t>
  </si>
  <si>
    <t>85-0063</t>
  </si>
  <si>
    <t>Мовиль Автоконсервант 520 мл REXANT</t>
  </si>
  <si>
    <t>85-0062</t>
  </si>
  <si>
    <t>Очиститель битумных пятен и следов насекомых 520мл REXANT</t>
  </si>
  <si>
    <t>85-0051</t>
  </si>
  <si>
    <t>Очиститель карбюратора аэро 520мл REXANT</t>
  </si>
  <si>
    <t>85-0059</t>
  </si>
  <si>
    <t>Очиститель контактов 520мл REXANT</t>
  </si>
  <si>
    <t>85-0068</t>
  </si>
  <si>
    <t>Очиститель стекол универсальный, 500мл, триггер REXANT</t>
  </si>
  <si>
    <t>85-0050</t>
  </si>
  <si>
    <t>Очиститель тормозов 520мл REXANT</t>
  </si>
  <si>
    <t>85-0072</t>
  </si>
  <si>
    <t>Паста для рук очищающая 550мл REXANT</t>
  </si>
  <si>
    <t>85-0070</t>
  </si>
  <si>
    <t>Паста для удаления царапин (антицарапин) 100мл, туба REXANT</t>
  </si>
  <si>
    <t>85-0071</t>
  </si>
  <si>
    <t>Полироль фар 100мл, туба REXANT</t>
  </si>
  <si>
    <t>85-0056</t>
  </si>
  <si>
    <t>Преобразователь ржавчины 500мл с триггером REXANT</t>
  </si>
  <si>
    <t>85-0054</t>
  </si>
  <si>
    <t>Силиконовая смазка 210мл REXANT</t>
  </si>
  <si>
    <t>85-0054-1</t>
  </si>
  <si>
    <t>Силиконовая смазка 520мл REXANT</t>
  </si>
  <si>
    <t>85-0075</t>
  </si>
  <si>
    <t>Смазка алюминиевая 210мл, аэрозоль REXANT</t>
  </si>
  <si>
    <t>85-0060-1</t>
  </si>
  <si>
    <t>Смазка высокотемпературная медная 335мл, аэрозоль REXANT</t>
  </si>
  <si>
    <t>85-0058</t>
  </si>
  <si>
    <t>Смазка для контактов 210мл REXANT</t>
  </si>
  <si>
    <t>85-0073</t>
  </si>
  <si>
    <t>Смазка силиконовая 50мл, флакон с роликом REXANT</t>
  </si>
  <si>
    <t>85-0076</t>
  </si>
  <si>
    <t>Смазка универсальная литиевая 520мл, аэрозоль REXANT</t>
  </si>
  <si>
    <t>85-0054-2</t>
  </si>
  <si>
    <t>Смазка универсальная силиконовая 335мл, аэрозоль REXANT</t>
  </si>
  <si>
    <t>85-0077</t>
  </si>
  <si>
    <t>Смывка краски 520мл, аэрозоль REXANT</t>
  </si>
  <si>
    <t>85-0079</t>
  </si>
  <si>
    <t>Термоключ с эффектом заморозки 335мл, аэрозоль REXANT</t>
  </si>
  <si>
    <t>85-0052-1</t>
  </si>
  <si>
    <t>Удалитель следов наклеек и тонировочной пленки (антискотч), аэрозоль 335мл REXANT</t>
  </si>
  <si>
    <t>85-0066</t>
  </si>
  <si>
    <t>Чернитель шин 250мл, триггер REXANT</t>
  </si>
  <si>
    <t>85-0055</t>
  </si>
  <si>
    <t>Чернитель шин 520мл REXANT</t>
  </si>
  <si>
    <t>7. 1. 4. 6 Смазки пластичные REXANT</t>
  </si>
  <si>
    <t>85-0092</t>
  </si>
  <si>
    <t>Смазка высокотемпературная синяя литиевый комплекс 200мл, туба с европодвесом REXANT</t>
  </si>
  <si>
    <t>85-0093</t>
  </si>
  <si>
    <t>Смазка высокотемпературная синяя литиевый комплекс 400мл, картридж под пистолет REXANT</t>
  </si>
  <si>
    <t>85-0094</t>
  </si>
  <si>
    <t>Смазка универсальная силиконовая с фторопластом 30г REXANT</t>
  </si>
  <si>
    <t>85-0090</t>
  </si>
  <si>
    <t>Смазка-карандаш "Керамическая" 16г, флакон-карандаш REXANT</t>
  </si>
  <si>
    <t>85-0091</t>
  </si>
  <si>
    <t>Смазка-карандаш "Медная" 16г, флакон-карандаш REXANT</t>
  </si>
  <si>
    <t>7. 1. 5 Компрессоры и насосы</t>
  </si>
  <si>
    <t>7. 1. 5. 1 Компрессоры автомобильные</t>
  </si>
  <si>
    <t>80-0525</t>
  </si>
  <si>
    <t>Компрессор автомобильный 35 л/мин, 9,4 АТМ, 220В REXANT</t>
  </si>
  <si>
    <t>80-0520</t>
  </si>
  <si>
    <t>Компрессор автомобильный 40 л/мин, 7 АТМ REXANT</t>
  </si>
  <si>
    <t>80-0524</t>
  </si>
  <si>
    <t>Компрессор автомобильный усиленный двухпоршневой в кейсе с набором инструментов, 60 л/мин, 10 АТМ REXANT</t>
  </si>
  <si>
    <t>80-0522</t>
  </si>
  <si>
    <t>Компрессор автомобильный усиленный двухпоршневой с цифровым манометром и функцией автостоп, 60 л/мин, 10 АТМ REXANT</t>
  </si>
  <si>
    <t>80-0521</t>
  </si>
  <si>
    <t>Компрессор автомобильный усиленный двухпоршневой, 60 л/мин, 10 АТМ REXANT</t>
  </si>
  <si>
    <t>80-0523</t>
  </si>
  <si>
    <t>Компрессор автомобильный усиленный двухпоршневой, 75 л/мин, 10 АТМ REXANT</t>
  </si>
  <si>
    <t>7. 1. 6 Домкраты и подставки</t>
  </si>
  <si>
    <t>7. 1. 6. 1 Домкраты механические</t>
  </si>
  <si>
    <t>80-0602</t>
  </si>
  <si>
    <t>Домкрат ромбический 1,5т REXANT</t>
  </si>
  <si>
    <t>80-0601</t>
  </si>
  <si>
    <t>Домкрат ромбический 1т REXANT</t>
  </si>
  <si>
    <t>80-0603</t>
  </si>
  <si>
    <t>Домкрат ромбический 2т REXANT</t>
  </si>
  <si>
    <t>7. 1. 6. 2 Домкраты гидравлические подкатные</t>
  </si>
  <si>
    <t>80-0605</t>
  </si>
  <si>
    <t>Домкрат гидравлический подкатной 2,5т с фиксатором REXANT</t>
  </si>
  <si>
    <t>80-0604</t>
  </si>
  <si>
    <t>Домкрат гидравлический подкатной 2т в кейсе REXANT</t>
  </si>
  <si>
    <t>80-0608</t>
  </si>
  <si>
    <t>Домкрат гидравлический подкатной 3т профессиональный REXANT</t>
  </si>
  <si>
    <t>80-0606</t>
  </si>
  <si>
    <t>Домкрат гидравлический подкатной 3т с высоким подъемом, SUV REXANT</t>
  </si>
  <si>
    <t>80-0607</t>
  </si>
  <si>
    <t>Домкрат гидравлический подкатной 3т шиномонтажный REXANT</t>
  </si>
  <si>
    <t>7. 1. 6. 3 Домкраты гидравлические бутылочные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</si>
  <si>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</si>
  <si>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</si>
  <si>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</si>
  <si>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</si>
  <si>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80-0615</t>
  </si>
  <si>
    <t>Домкрат гидравлический бутылочный 15т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</si>
  <si>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</si>
  <si>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</si>
  <si>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</si>
  <si>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</si>
  <si>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80-0609</t>
  </si>
  <si>
    <t>Домкрат гидравлический бутылочный 3т REXANT</t>
  </si>
  <si>
    <t>80-0618</t>
  </si>
  <si>
    <t>Домкрат гидравлический бутылочный 50т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</si>
  <si>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</si>
  <si>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</si>
  <si>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</si>
  <si>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</si>
  <si>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7. 1. 6. 4 Подставки страховочные</t>
  </si>
  <si>
    <t>80-0619</t>
  </si>
  <si>
    <t>Подставки под машину регулируемые 2т, 2 шт. REXANT</t>
  </si>
  <si>
    <t>80-0620</t>
  </si>
  <si>
    <t>Подставки под машину регулируемые 3т, 2 шт. REXANT</t>
  </si>
  <si>
    <t>7. 1. 7 Автомобильные аксессуары в розничной упаковке</t>
  </si>
  <si>
    <t>7. 1. 7. 3 Дeржатель предохранителя (Роз. уп. )</t>
  </si>
  <si>
    <t>16-0421-4-9</t>
  </si>
  <si>
    <t>Держатель предохранителя, тип вилочный, красный, 1 шт. PROconnect</t>
  </si>
  <si>
    <t>7. 1. 7. 4 Зажим Крокодил (Роз. уп. )</t>
  </si>
  <si>
    <t>16-0001-9</t>
  </si>
  <si>
    <t>Зажим крокодил в изоляторе, длина 40мм, ток 5A, 2 шт. REXANT</t>
  </si>
  <si>
    <t>16-0002-9</t>
  </si>
  <si>
    <t>Зажим крокодил в изоляторе, длина 46мм, ток 5A, 2 шт. REXANT</t>
  </si>
  <si>
    <t>16-0016-9</t>
  </si>
  <si>
    <t>Зажим крокодил в изоляторе, длина 75мм, ток 30A, 2 шт. REXANT</t>
  </si>
  <si>
    <t>16-0015-9</t>
  </si>
  <si>
    <t>Зажим крокодил, длина 75мм, ток 30A, 2 шт. REXANT</t>
  </si>
  <si>
    <t>16-0018-9</t>
  </si>
  <si>
    <t>Зажим крокодил, длина 98мм, ток 50A, 2 шт. REXANT</t>
  </si>
  <si>
    <t>16-0019-1-9</t>
  </si>
  <si>
    <t>Зажим крокодил, длина 105мм, ток 100A, 2 шт. REXANT</t>
  </si>
  <si>
    <t>16-0020-9</t>
  </si>
  <si>
    <t>Зажим крокодил, длина 150мм, ток 250A, 2 шт. REXANT</t>
  </si>
  <si>
    <t>06-0145-B2</t>
  </si>
  <si>
    <t>Зажим крокодил, длина 50мм, ток 10A, 2 шт. REXANT</t>
  </si>
  <si>
    <t>16-0012-9</t>
  </si>
  <si>
    <t>06-0142-A2</t>
  </si>
  <si>
    <t>Зажим крокодил, длина 52мм, ток 5A, 2 шт. REXANT</t>
  </si>
  <si>
    <t>06-0144-A2</t>
  </si>
  <si>
    <t>Зажим крокодил, длина 53мм, ток 15A, 2 шт. REXANT</t>
  </si>
  <si>
    <t>16-0009-9</t>
  </si>
  <si>
    <t>7. 1. 7. 6 Разъём ЕВРО (Роз. уп. )</t>
  </si>
  <si>
    <t>06-0127-C</t>
  </si>
  <si>
    <t>Разъем для автомагнитолы "Евро" ISO, 2 гнезда, 1шт. REXANT</t>
  </si>
  <si>
    <t>06-0126-C</t>
  </si>
  <si>
    <t>Разъем для автомагнитолы "Евро" ISO, гнездо сдвоенное, 1шт. REXANT</t>
  </si>
  <si>
    <t>7. 1. 8 Гаражное оборудование</t>
  </si>
  <si>
    <t>7. 1. 8. 1 Подкатные лежаки и сидения</t>
  </si>
  <si>
    <t>80-0660</t>
  </si>
  <si>
    <t>Лежак подкатной ремонтный REXANT</t>
  </si>
  <si>
    <t>80-0661</t>
  </si>
  <si>
    <t>Сиденье механика REXANT</t>
  </si>
  <si>
    <t>7. 1. 8. 3 Специальный инструмент</t>
  </si>
  <si>
    <t>80-0731</t>
  </si>
  <si>
    <t>Ключ динамометрический 1/2" 28-210 Нм REXANT</t>
  </si>
  <si>
    <t>80-0730</t>
  </si>
  <si>
    <t>Ключ динамометрический 1/4" 2-24 Нм REXANT</t>
  </si>
  <si>
    <t>80-0726</t>
  </si>
  <si>
    <t>Ключ свечной Т-образный с карданным шарниром, 16х250мм REXANT</t>
  </si>
  <si>
    <t>80-0727</t>
  </si>
  <si>
    <t>Ключ свечной Т-образный с карданным шарниром, 21х250мм REXANT</t>
  </si>
  <si>
    <t>80-0725</t>
  </si>
  <si>
    <t>Ключ свечной Т-образный, 250мм, с головками 16мм и 21мм REXANT</t>
  </si>
  <si>
    <t>80-0710</t>
  </si>
  <si>
    <t>Набор пластиковых съемников, 11 предметов REXANT</t>
  </si>
  <si>
    <t>80-0716</t>
  </si>
  <si>
    <t>Приспособление для утапливания тормозных цилиндров (AUDI, VW, SKODA) REXANT</t>
  </si>
  <si>
    <t>80-0715</t>
  </si>
  <si>
    <t>Приспособление для утапливания тормозных цилиндров REXANT</t>
  </si>
  <si>
    <t>80-0719</t>
  </si>
  <si>
    <t>Стяжки пружин, 270 мм, 2 шт. REXANT</t>
  </si>
  <si>
    <t>80-0720</t>
  </si>
  <si>
    <t>Стяжки пружин, 380 мм, 2 шт. REXANT</t>
  </si>
  <si>
    <t>80-0702</t>
  </si>
  <si>
    <t>Съемник масляного фильтра Краб, 43-102мм, изогнутые захваты REXANT</t>
  </si>
  <si>
    <t>80-0700</t>
  </si>
  <si>
    <t>Съемник масляного фильтра Краб, 56-110мм, плоские захваты REXANT</t>
  </si>
  <si>
    <t>80-0701</t>
  </si>
  <si>
    <t>Съемник масляного фильтра Краб, 65-110мм, прямые захваты REXANT</t>
  </si>
  <si>
    <t>80-0705</t>
  </si>
  <si>
    <t>Съемник масляного фильтра, ленточный, 55-110мм REXANT</t>
  </si>
  <si>
    <t>80-0703</t>
  </si>
  <si>
    <t>Съемник масляного фильтра, ременной, 60-140мм REXANT</t>
  </si>
  <si>
    <t>80-0704</t>
  </si>
  <si>
    <t>Съемник масляного фильтра, цепной, 120мм REXANT</t>
  </si>
  <si>
    <t>80-0711</t>
  </si>
  <si>
    <t>Съемник пистонов 9мм REXANT</t>
  </si>
  <si>
    <t>7. 1. 8. 4 Лебедки и тали</t>
  </si>
  <si>
    <t>80-0740</t>
  </si>
  <si>
    <t>Лебедка ручная 2т REXANT</t>
  </si>
  <si>
    <t>80-0741</t>
  </si>
  <si>
    <t>Лебедка ручная 4т REXANT</t>
  </si>
  <si>
    <t>7. 1. 8.10 Расходные материалы</t>
  </si>
  <si>
    <t>80-0780</t>
  </si>
  <si>
    <t>Набор резиновых колец, 419 предметов REXANT</t>
  </si>
  <si>
    <t>7. 1. 9 Щетки стеклоочистителей</t>
  </si>
  <si>
    <t>7. 1. 9. 1 Щетки стеклоочистителя каркасные Rexant Classic</t>
  </si>
  <si>
    <t>80-0900</t>
  </si>
  <si>
    <t>Щетка стеклоочистителя каркасная Классик, 330мм REXANT</t>
  </si>
  <si>
    <t>80-0901</t>
  </si>
  <si>
    <t>Щетка стеклоочистителя каркасная Классик, 350мм REXANT</t>
  </si>
  <si>
    <t>80-0902</t>
  </si>
  <si>
    <t>Щетка стеклоочистителя каркасная Классик, 400мм REXANT</t>
  </si>
  <si>
    <t>80-0903</t>
  </si>
  <si>
    <t>Щетка стеклоочистителя каркасная Классик, 450мм REXANT</t>
  </si>
  <si>
    <t>80-0904</t>
  </si>
  <si>
    <t>Щетка стеклоочистителя каркасная Классик, 500мм REXANT</t>
  </si>
  <si>
    <t>80-0905</t>
  </si>
  <si>
    <t>Щетка стеклоочистителя каркасная Классик, 530мм REXANT</t>
  </si>
  <si>
    <t>80-0906</t>
  </si>
  <si>
    <t>Щетка стеклоочистителя каркасная Классик, 550мм REXANT</t>
  </si>
  <si>
    <t>80-0907</t>
  </si>
  <si>
    <t>Щетка стеклоочистителя каркасная Классик, 600мм REXANT</t>
  </si>
  <si>
    <t>80-0908</t>
  </si>
  <si>
    <t>Щетка стеклоочистителя каркасная Классик, 650мм REXANT</t>
  </si>
  <si>
    <t>7. 1. 9. 2 Щетки стеклоочистителя бескаркасные Rexant Optimal</t>
  </si>
  <si>
    <t>80-0910</t>
  </si>
  <si>
    <t>Щетка стеклоочистителя бескаркасная Оптима, 330мм REXANT</t>
  </si>
  <si>
    <t>80-0911</t>
  </si>
  <si>
    <t>Щетка стеклоочистителя бескаркасная Оптима, 350мм REXANT</t>
  </si>
  <si>
    <t>80-0912</t>
  </si>
  <si>
    <t>Щетка стеклоочистителя бескаркасная Оптима, 400мм REXANT</t>
  </si>
  <si>
    <t>80-0913</t>
  </si>
  <si>
    <t>Щетка стеклоочистителя бескаркасная Оптима, 450мм REXANT</t>
  </si>
  <si>
    <t>80-0914</t>
  </si>
  <si>
    <t>Щетка стеклоочистителя бескаркасная Оптима, 500мм REXANT</t>
  </si>
  <si>
    <t>80-0915</t>
  </si>
  <si>
    <t>Щетка стеклоочистителя бескаркасная Оптима, 530мм REXANT</t>
  </si>
  <si>
    <t>80-0916</t>
  </si>
  <si>
    <t>Щетка стеклоочистителя бескаркасная Оптима, 550мм REXANT</t>
  </si>
  <si>
    <t>80-0917</t>
  </si>
  <si>
    <t>Щетка стеклоочистителя бескаркасная Оптима, 600мм REXANT</t>
  </si>
  <si>
    <t>80-0918</t>
  </si>
  <si>
    <t>Щетка стеклоочистителя бескаркасная Оптима, 650мм REXANT</t>
  </si>
  <si>
    <t>7. 1. 9. 3 Щетки стеклоочистителя бескаркасные Rexant Multi Clamp</t>
  </si>
  <si>
    <t>80-0920</t>
  </si>
  <si>
    <t>Щетка стеклоочистителя бескаркасная с универсальным креплением, 330мм REXANT</t>
  </si>
  <si>
    <t>80-0921</t>
  </si>
  <si>
    <t>Щетка стеклоочистителя бескаркасная с универсальным креплением, 350мм REXANT</t>
  </si>
  <si>
    <t>80-0922</t>
  </si>
  <si>
    <t>Щетка стеклоочистителя бескаркасная с универсальным креплением, 400мм REXANT</t>
  </si>
  <si>
    <t>80-0923</t>
  </si>
  <si>
    <t>Щетка стеклоочистителя бескаркасная с универсальным креплением, 450мм REXANT</t>
  </si>
  <si>
    <t>80-0924</t>
  </si>
  <si>
    <t>Щетка стеклоочистителя бескаркасная с универсальным креплением, 500мм REXANT</t>
  </si>
  <si>
    <t>80-0925</t>
  </si>
  <si>
    <t>Щетка стеклоочистителя бескаркасная с универсальным креплением, 530мм REXANT</t>
  </si>
  <si>
    <t>80-0926</t>
  </si>
  <si>
    <t>Щетка стеклоочистителя бескаркасная с универсальным креплением, 550мм REXANT</t>
  </si>
  <si>
    <t>80-0927</t>
  </si>
  <si>
    <t>Щетка стеклоочистителя бескаркасная с универсальным креплением, 600мм REXANT</t>
  </si>
  <si>
    <t>80-0928</t>
  </si>
  <si>
    <t>Щетка стеклоочистителя бескаркасная с универсальным креплением, 650мм REXANT</t>
  </si>
  <si>
    <t>7. 1.10 Аксессуары</t>
  </si>
  <si>
    <t>80-1001</t>
  </si>
  <si>
    <t>Автовизитка парковочная с номером телефона REXANT</t>
  </si>
  <si>
    <t>7. 2 Мобильные устройства/аксессуары</t>
  </si>
  <si>
    <t>7. 2. 1 Кабель</t>
  </si>
  <si>
    <t>7. 2. 1. 1 Lightning</t>
  </si>
  <si>
    <t>18-1128</t>
  </si>
  <si>
    <t>Кабель 4в1 USB-А – Type-C, Lightning – Type-C, 60Вт, 1м, в черной оплетке REXANT</t>
  </si>
  <si>
    <t>18-1129</t>
  </si>
  <si>
    <t>Кабель Lightning – Type-C 3A, 1м, ПВХ, белый REXANT</t>
  </si>
  <si>
    <t>18-7054</t>
  </si>
  <si>
    <t>Кабель Type-C – Lightning, 2,4A 1м, в нейлоновой графитовой оплетке, Power Delivery REXANT</t>
  </si>
  <si>
    <t>18-1898</t>
  </si>
  <si>
    <t>Кабель Type-C – Lightning, 2,4A, 1м, ПВХ, белый REXANT</t>
  </si>
  <si>
    <t>18-1827</t>
  </si>
  <si>
    <t>Кабель Type-C – Lightning, 3A, 1м, ПВХ, черный REXANT</t>
  </si>
  <si>
    <t>18-1826</t>
  </si>
  <si>
    <t>Кабель Type-C – Lightning, 3А, 1м, в нейлоновой серой оплетке, Power Delivery REXANT</t>
  </si>
  <si>
    <t>18-7068</t>
  </si>
  <si>
    <t>Кабель Type-C – Lightning, 3А, 1м, в черной нейлоновой  оплетке, с LED-дисплеем REXANT</t>
  </si>
  <si>
    <t>18-7069</t>
  </si>
  <si>
    <t>Кабель Type-C – Lightning, 3А, 1м, в черной нейлоновой оплетке, со световой индикацией REXANT</t>
  </si>
  <si>
    <t>18-1127</t>
  </si>
  <si>
    <t>Кабель USB 3в1 Type-С (3A), Lightning (2,4A), micro USB (2A) 1.2м, ПВХ REXANT</t>
  </si>
  <si>
    <t>18-7075</t>
  </si>
  <si>
    <t>Кабель USB 3в1 Type-С (6A), Lightning (2,4A), micro USB (3A) 1,2м, в черной оплетке REXANT</t>
  </si>
  <si>
    <t>18-7076</t>
  </si>
  <si>
    <t>Кабель USB 3в1 со съемными магнитными портами, Type-С (2A), Lightning (2,4A), Micro USB (2A), 1,2м, в черной оплетке, с LED подсветкой REXANT</t>
  </si>
  <si>
    <t>18-7056</t>
  </si>
  <si>
    <t>Кабель USB-A – Lightning, 2,4A, 1м, в белой нейлоновой оплетке, плоский REXANT</t>
  </si>
  <si>
    <t>18-7053</t>
  </si>
  <si>
    <t>Кабель USB-A – Lightning, 2,4A, 1м, в синей нейлоновой оплетке, плоский REXANT</t>
  </si>
  <si>
    <t>18-7061</t>
  </si>
  <si>
    <t>Кабель USB-A – Lightning, 2,4А, 1м, в белой нейлоновой оплетке REXANT</t>
  </si>
  <si>
    <t>18-4252</t>
  </si>
  <si>
    <t>Кабель USB-A – Lightning, 2,4А, 1м, в золотой металлической оплетке REXANT</t>
  </si>
  <si>
    <t>18-4247</t>
  </si>
  <si>
    <t>Кабель USB-A – Lightning, 2,4А, 1м, в металлической оплетке REXANT</t>
  </si>
  <si>
    <t>18-7051</t>
  </si>
  <si>
    <t>Кабель USB-A – Lightning, 2,4А, 1м, в серебристой нейлоновой оплетке REXANT</t>
  </si>
  <si>
    <t>18-7060</t>
  </si>
  <si>
    <t>Кабель USB-A – Lightning, 2,4А, 1м, в черной нейлоновой оплетке REXANT</t>
  </si>
  <si>
    <t>18-7062</t>
  </si>
  <si>
    <t>Кабель USB-A – Lightning, 2,4А, 1м, в черной нейлоновой оплетке, c LED-дисплеем REXANT</t>
  </si>
  <si>
    <t>18-7059</t>
  </si>
  <si>
    <t>Кабель USB-A – Lightning, 2,4А, 1м, в черной нейлоновой оплетке, с LED-подсветкой REXANT</t>
  </si>
  <si>
    <t>18-7058</t>
  </si>
  <si>
    <t>Кабель USB-A – Lightning, 2,4А, 1м, в черной нейлоновой оплетке, со световой индикацией REXANT</t>
  </si>
  <si>
    <t>18-1121</t>
  </si>
  <si>
    <t>Кабель USB-A – Lightning, 2,4А, 1м, ПВХ, белый, REXANT</t>
  </si>
  <si>
    <t>18-0000</t>
  </si>
  <si>
    <t>Кабель USB-A – Lightning, 2,4А, 1м, ПВХ, белый, оригинал (чип MFI) REXANT</t>
  </si>
  <si>
    <t>18-7050</t>
  </si>
  <si>
    <t>Кабель USB-A – Lightning, 2,4А, 1м, ПВХ, черный REXANT</t>
  </si>
  <si>
    <t>18-1122</t>
  </si>
  <si>
    <t>18-1125</t>
  </si>
  <si>
    <t>Кабель USB-A – Lightning, 2,4А, 2м, ПВХ, белый REXANT</t>
  </si>
  <si>
    <t>7. 2. 1. 2 USB-Micro</t>
  </si>
  <si>
    <t>18-1164</t>
  </si>
  <si>
    <t>Кабель USB-A – micro USB, 1А, 1,8м, ПВХ, белый REXANT</t>
  </si>
  <si>
    <t>18-1164-2</t>
  </si>
  <si>
    <t>Кабель USB-A – micro USB, 1А, 1,8м, ПВХ, черный REXANT</t>
  </si>
  <si>
    <t>18-4269-20</t>
  </si>
  <si>
    <t>Кабель USB-A – micro USB, 1А, 1м, белый, длинный штекер REXANT</t>
  </si>
  <si>
    <t>18-4269</t>
  </si>
  <si>
    <t>Кабель USB-A – micro USB, 1А, 1м, ПВХ, белый REXANT</t>
  </si>
  <si>
    <t>18-4268</t>
  </si>
  <si>
    <t>Кабель USB-A – micro USB, 1А, 1м, ПВХ, черный REXANT</t>
  </si>
  <si>
    <t>18-4268-20</t>
  </si>
  <si>
    <t>Кабель USB-A – micro USB, 1А, 1м, черный, длинный штекер, REXANT</t>
  </si>
  <si>
    <t>18-1166</t>
  </si>
  <si>
    <t>Кабель USB-A – micro USB, 1А, 3м, серый REXANT</t>
  </si>
  <si>
    <t>18-4301</t>
  </si>
  <si>
    <t>Кабель USB-A – micro USB, 2,4А,  1м, белый, витой REXANT</t>
  </si>
  <si>
    <t>18-1162</t>
  </si>
  <si>
    <t>Кабель USB-A – micro USB, 2,4А, 0,2м, серый REXANT</t>
  </si>
  <si>
    <t>18-4242</t>
  </si>
  <si>
    <t>Кабель USB-A – micro USB, 2,4А, 1м, в джинсовой тканевой оплетке REXANT</t>
  </si>
  <si>
    <t>18-4270</t>
  </si>
  <si>
    <t>Кабель USB-A – micro USB, 2,4А, 1м, ПВХ, черный REXANT</t>
  </si>
  <si>
    <t>18-1163</t>
  </si>
  <si>
    <t>Кабель USB-A – micro USB, 2А, 1м, в джинсовой тканевой оплетке, плоский REXANT</t>
  </si>
  <si>
    <t>7. 2. 1. 3 USB-Mini</t>
  </si>
  <si>
    <t>18-1131-2</t>
  </si>
  <si>
    <t>Кабель USB-A – mini USB, 1А, 0,2м, ПВХ, черный REXANT</t>
  </si>
  <si>
    <t>18-1134</t>
  </si>
  <si>
    <t>Кабель USB-A – mini USB, 1А, 1,8м, ПВХ, белый REXANT</t>
  </si>
  <si>
    <t>18-4402</t>
  </si>
  <si>
    <t>Кабель USB-A – mini USB, 1А, 1м, ПВХ, черный REXANT</t>
  </si>
  <si>
    <t>18-1136</t>
  </si>
  <si>
    <t>Кабель USB-A – mini USB, 2,4А, 3м, ПВХ, серый REXANT</t>
  </si>
  <si>
    <t>7. 2. 1. 4 USB-USB</t>
  </si>
  <si>
    <t>18-1114</t>
  </si>
  <si>
    <t>Кабель шт. USB-A – гн. USB-A, 2,4А, 1,8м, ПВХ, серый REXANT</t>
  </si>
  <si>
    <t>18-1116</t>
  </si>
  <si>
    <t>Кабель шт. USB-A – гн. USB-A, 2,4А, 3м, ПВХ, серый REXANT</t>
  </si>
  <si>
    <t>18-1117</t>
  </si>
  <si>
    <t>Кабель шт. USB-A – гн. USB-A, 2,4А, 5м, ПВХ, серый REXANT</t>
  </si>
  <si>
    <t>18-1144</t>
  </si>
  <si>
    <t>Кабель шт. USB-A – шт. USB-A, 2,4А, 1,8м, ПВХ, серый REXANT</t>
  </si>
  <si>
    <t>18-1146</t>
  </si>
  <si>
    <t>Кабель шт. USB-A – шт. USB-A, 2,4А, 3м, ПВХ, серый REXANT</t>
  </si>
  <si>
    <t>7. 2. 1. 5 Универсальный</t>
  </si>
  <si>
    <t>18-7095</t>
  </si>
  <si>
    <t>Кабель 2в1 Type-C, Type-C, Lightning 65Вт, 1м, в черной нейлоновой оплетке REXANT</t>
  </si>
  <si>
    <t>18-7094</t>
  </si>
  <si>
    <t>Кабель 4в1 USB-A, Type-C, Type-C, Lightning 65Вт, 1м, в черной нейлоновой оплетке REXANT</t>
  </si>
  <si>
    <t>7. 2. 1. 6 USB A-B (принтер)</t>
  </si>
  <si>
    <t>18-1104</t>
  </si>
  <si>
    <t>Кабель USB-А– USB-B, 2,4А, 1,8м, ПВХ, серый REXANT</t>
  </si>
  <si>
    <t>18-1106</t>
  </si>
  <si>
    <t>Кабель USB-А– USB-B, 2,4А, 3м, ПВХ, серый REXANT</t>
  </si>
  <si>
    <t>7. 2. 1. 7 Type C</t>
  </si>
  <si>
    <t>18-1835</t>
  </si>
  <si>
    <t>Кабель Type-C - Type-C, 2,4A, 1м, нейлон, белый REXANT</t>
  </si>
  <si>
    <t>18-1833</t>
  </si>
  <si>
    <t>Кабель Type-C - Type-C, 2A, 1м, ПВХ, белый REXANT</t>
  </si>
  <si>
    <t>18-1828</t>
  </si>
  <si>
    <t>Кабель Type-C - Type-C, 3A, 1м, ПВХ, белый REXANT</t>
  </si>
  <si>
    <t>18-1832</t>
  </si>
  <si>
    <t>Кабель Type-C - Type-C, 3А, 100Вт, 1м, ПВХ, белый, Power Delivery REXANT</t>
  </si>
  <si>
    <t>18-1830</t>
  </si>
  <si>
    <t>Кабель Type-C - Type-C, 3А, 45Вт, 1м, ПВХ, белый, Power Delivery REXANT</t>
  </si>
  <si>
    <t>18-1831</t>
  </si>
  <si>
    <t>Кабель Type-C - Type-C, 3А, 60Вт, 1м, ПВХ, белый, Power Delivery REXANT</t>
  </si>
  <si>
    <t>18-7071</t>
  </si>
  <si>
    <t>Кабель Type-C – Type-C, 3A, 60Вт, 1м, в черной нейлоновой оплетке REXANT</t>
  </si>
  <si>
    <t>18-7072</t>
  </si>
  <si>
    <t>Кабель Type-C – Type-C, 5A, 100Вт, 1м, в черной нейлоновой оплетке REXANT</t>
  </si>
  <si>
    <t>18-7073</t>
  </si>
  <si>
    <t>Кабель Type-C – Type-C, 5A, 100Вт, 2м, в черной нейлоновой оплетке REXANT</t>
  </si>
  <si>
    <t>18-7092</t>
  </si>
  <si>
    <t>Кабель Type-C – Type-C, 5А, 100Вт, 1м, в черной нейлоновой оплетке со световой индикацией REXANT</t>
  </si>
  <si>
    <t>18-7070</t>
  </si>
  <si>
    <t>Кабель Type-C – Type-C, 5А, 100Вт, 1м, в черной нейлоновой оплетке, с угловым штекером и световой индикацией REXANT</t>
  </si>
  <si>
    <t>18-7074</t>
  </si>
  <si>
    <t>Кабель Type-C – Type-С, 5A, 100Вт, 1м, в черной нейлоновой оплетке, с LED дисплеем REXANT</t>
  </si>
  <si>
    <t>18-1897</t>
  </si>
  <si>
    <t>Кабель USB-A – Type-C, 2,1A, 1м, эко-кожа, коричневый REXANT</t>
  </si>
  <si>
    <t>18-1899</t>
  </si>
  <si>
    <t>Кабель USB-A – Type-C, 2,4A, 1м, в серебрянной нейлоновой оплетке REXANT</t>
  </si>
  <si>
    <t>18-1884</t>
  </si>
  <si>
    <t>18-1888</t>
  </si>
  <si>
    <t>Кабель USB-A – Type-C, 2,4A, 1м, ПВХ, черный, плоский REXANT</t>
  </si>
  <si>
    <t>18-1881</t>
  </si>
  <si>
    <t>Кабель USB-A – Type-C, 2А, 1м, ПВХ, черный REXANT</t>
  </si>
  <si>
    <t>18-1895</t>
  </si>
  <si>
    <t>Кабель USB-A – Type-C, 3 А, 1м, ПВХ, белый REXANT</t>
  </si>
  <si>
    <t>18-1896</t>
  </si>
  <si>
    <t>Кабель USB-A – Type-C, 3A, 1м, в темно-серой нейлоновой оплетке REXANT</t>
  </si>
  <si>
    <t>18-1882</t>
  </si>
  <si>
    <t>Кабель USB-A – Type-C, 3A, 2м, ПВХ, белый REXANT</t>
  </si>
  <si>
    <t>18-7065</t>
  </si>
  <si>
    <t>Кабель USB-A – Type-C, 3А, 18Вт, 1м, в черной нейлоновой оплетке, с LED подсветкой REXANT</t>
  </si>
  <si>
    <t>18-7067</t>
  </si>
  <si>
    <t>Кабель USB-A – Type-C, 5А, 100Вт, 1м, в белой нейлоновой оплетке REXANT</t>
  </si>
  <si>
    <t>18-7066</t>
  </si>
  <si>
    <t>Кабель USB-A – Type-C, 5А, 50Вт, 1м, в черной нейлоновой оплетке REXANT</t>
  </si>
  <si>
    <t>18-7063</t>
  </si>
  <si>
    <t>Кабель USB-A – Type-C, 6А, 120Вт, 1м, в черной нейлоновой оплетке REXANT</t>
  </si>
  <si>
    <t>18-7064</t>
  </si>
  <si>
    <t>Кабель USB-A – Type-C, 6А, 66Вт, 1м, в черной нейлоновой оплетке, со световой индикацией REXANT</t>
  </si>
  <si>
    <t>18-1881-1</t>
  </si>
  <si>
    <t>Кабель USB-A 2.0 – Type-C 3.1, 3А, 1м, ПВХ, белый REXANT</t>
  </si>
  <si>
    <t>18-1880</t>
  </si>
  <si>
    <t>Кабель USB-A 3.0 – Type-C 3.1, 3А, 1м, ПВХ, черный REXANT</t>
  </si>
  <si>
    <t>7. 2. 1. 8 AUX</t>
  </si>
  <si>
    <t>18-7078</t>
  </si>
  <si>
    <t>Адаптер Bluetooth 5.0 – AUX 3.5 мм REXANT</t>
  </si>
  <si>
    <t>18-1105</t>
  </si>
  <si>
    <t>Аудиокабель AUX 3,5мм, 0,5м, белый REXANT</t>
  </si>
  <si>
    <t>18-4014</t>
  </si>
  <si>
    <t>Аудиокабель AUX 3,5мм, 1м белый, шнур спираль REXANT</t>
  </si>
  <si>
    <t>18-4083</t>
  </si>
  <si>
    <t>Аудиокабель AUX 3,5мм, 1м, белый, гелевый REXANT</t>
  </si>
  <si>
    <t>18-4076</t>
  </si>
  <si>
    <t>Аудиокабель AUX 3,5мм, 1м, красный, в тканевой оплетке REXANT</t>
  </si>
  <si>
    <t>18-4072</t>
  </si>
  <si>
    <t>Аудиокабель AUX 3,5мм, 1м, синий, в тканевой оплетке REXANT</t>
  </si>
  <si>
    <t>18-4000</t>
  </si>
  <si>
    <t>Аудиокабель AUX 3,5мм, 1м, черный REXANT</t>
  </si>
  <si>
    <t>18-4071</t>
  </si>
  <si>
    <t>Аудиокабель AUX 3,5мм, 1м, черный, в тканевой оплетке REXANT</t>
  </si>
  <si>
    <t>18-4080</t>
  </si>
  <si>
    <t>Аудиокабель AUX 3,5мм, 1м, черный, гелевый REXANT</t>
  </si>
  <si>
    <t>18-1120</t>
  </si>
  <si>
    <t>Аудиокабель AUX 3,5мм, 1м, черный, угловой REXANT</t>
  </si>
  <si>
    <t>18-4010</t>
  </si>
  <si>
    <t>Аудиокабель AUX 3,5мм, 1м, черный, шнур спираль REXANT</t>
  </si>
  <si>
    <t>18-1102</t>
  </si>
  <si>
    <t>Аудиоразветвитель штекер 3,5мм на 2 по 3,5мм, 0,15м, белый REXANT</t>
  </si>
  <si>
    <t>18-1100</t>
  </si>
  <si>
    <t>Аудиоразветвитель штекер 3,5мм на 2 по 3,5мм, 0,3м, белый REXANT</t>
  </si>
  <si>
    <t>7. 2. 1.10 OTG</t>
  </si>
  <si>
    <t>18-1181</t>
  </si>
  <si>
    <t>Кабель USB OTG, шт. mini USB – гн. USB-A, 2,4A, 0,15м, ПВХ, черный REXANT</t>
  </si>
  <si>
    <t>18-1180</t>
  </si>
  <si>
    <t>Кабель USB OTG, шт. Type-C – гн. USB-А, 2,4A, 0,15м, ПВХ, белый REXANT</t>
  </si>
  <si>
    <t>7. 2. 1.11 Телефонный шнур RJ</t>
  </si>
  <si>
    <t>18-3101</t>
  </si>
  <si>
    <t>Удлинитель телефонный, плоский, RJ-11 (6P-4C), 10м, белый REXANT</t>
  </si>
  <si>
    <t>18-3151</t>
  </si>
  <si>
    <t>Удлинитель телефонный, плоский, RJ-11 (6P-4C), 15м, белый REXANT</t>
  </si>
  <si>
    <t>18-3201</t>
  </si>
  <si>
    <t>Удлинитель телефонный, плоский, RJ-11 (6P-4C), 20м, белый REXANT</t>
  </si>
  <si>
    <t>18-3021</t>
  </si>
  <si>
    <t>Удлинитель телефонный, плоский, RJ-11 (6P-4C), 2м, белый REXANT</t>
  </si>
  <si>
    <t>18-3031</t>
  </si>
  <si>
    <t>Удлинитель телефонный, плоский, RJ-11 (6P-4C), 3м, белый REXANT</t>
  </si>
  <si>
    <t>18-3051</t>
  </si>
  <si>
    <t>Удлинитель телефонный, плоский, RJ-11 (6P-4C), 5м, белый REXANT</t>
  </si>
  <si>
    <t>18-3071</t>
  </si>
  <si>
    <t>Удлинитель телефонный, плоский, RJ-11 (6P-4C), 7м, белый REXANT</t>
  </si>
  <si>
    <t>18-2021</t>
  </si>
  <si>
    <t>Шнур для телефонной трубки, витой RJ-10 (4P-4C), 2м, белый REXANT</t>
  </si>
  <si>
    <t>18-2023</t>
  </si>
  <si>
    <t>Шнур для телефонной трубки, витой RJ-10 (4P-4C), 2м, черный REXANT</t>
  </si>
  <si>
    <t>18-2041</t>
  </si>
  <si>
    <t>Шнур для телефонной трубки, витой RJ-10 (4P-4C), 4м, белый REXANT</t>
  </si>
  <si>
    <t>18-2043</t>
  </si>
  <si>
    <t>Шнур для телефонной трубки, витой RJ-10 (4P-4C), 4м, черный REXANT</t>
  </si>
  <si>
    <t>18-2071</t>
  </si>
  <si>
    <t>Шнур для телефонной трубки, витой RJ-10 (4P-4C), 7м, белый REXANT</t>
  </si>
  <si>
    <t>18-2073</t>
  </si>
  <si>
    <t>Шнур для телефонной трубки, витой RJ-10 (4P-4C), 7м, черный REXANT</t>
  </si>
  <si>
    <t>7. 2. 1.12 Шнур сетевой, евро-разъём C5/C6</t>
  </si>
  <si>
    <t>11-1151</t>
  </si>
  <si>
    <t>Шнур сетевой, вилка СЕЕ 7/7(Schuko) – разъем IEC 320 C5, кабель 3x0,75мм², 1,8м, для питания ноутбука REXANT</t>
  </si>
  <si>
    <t>11-1153</t>
  </si>
  <si>
    <t>Шнур сетевой, евровилка–евроразъем С5, кабель 3x0,5мм², 0,75м, для питания ноутбука REXANT</t>
  </si>
  <si>
    <t>11-1154</t>
  </si>
  <si>
    <t>Шнур сетевой, евровилка–евроразъем С5, кабель 3x0,5мм², 1,8м, для питания ноутбука REXANT</t>
  </si>
  <si>
    <t>11-1155</t>
  </si>
  <si>
    <t>Шнур сетевой, евровилка–евроразъем С5, кабель 3x0,5мм², 3м, для питания ноутбука REXANT</t>
  </si>
  <si>
    <t>11-1152</t>
  </si>
  <si>
    <t>Шнур сетевой, евровилка–евроразъем С5, кабель 3x0,75мм², 3м, для питания ноутбука REXANT</t>
  </si>
  <si>
    <t>7. 2. 1.13 Шнур сетевой, евро-разъём C7/C8</t>
  </si>
  <si>
    <t>11-1101-8</t>
  </si>
  <si>
    <t>Шнур сетевой, вилка СЕЕ 7/16 – разъем IEC 320 C7, кабель 2x0,5 мм², длина 1,5м СМАРТКИП</t>
  </si>
  <si>
    <t>11-1101</t>
  </si>
  <si>
    <t>Шнур сетевой, вилка СЕЕ 7/16 – разъем IEC 320 C7, кабель 2x0,5 мм², длина 1,8м REXANT</t>
  </si>
  <si>
    <t>11-1105</t>
  </si>
  <si>
    <t>Шнур сетевой, вилка СЕЕ 7/16 – разъем IEC 320 C7, кабель 2x0,5 мм², длина 3м REXANT</t>
  </si>
  <si>
    <t>11-1106</t>
  </si>
  <si>
    <t>Шнур сетевой, вилка СЕЕ 7/16 – разъем IEC 320 C7, кабель 2x0,5 мм², длина 5м REXANT</t>
  </si>
  <si>
    <t>11-1102</t>
  </si>
  <si>
    <t>Шнур сетевой, вилка СЕЕ 7/16 – разъем IEC 320 C7, кабель 2x0,75 мм², длина 1,8м REXANT</t>
  </si>
  <si>
    <t>11-1107</t>
  </si>
  <si>
    <t>Шнур сетевой, вилка СЕЕ 7/16 – разъем IEC 320 C7, кабель 2x0,75 мм², длина 3м REXANT</t>
  </si>
  <si>
    <t>11-1108</t>
  </si>
  <si>
    <t>Шнур сетевой, вилка СЕЕ 7/16 – разъем IEC 320 C7, кабель 2x0,75 мм², длина 5м REXANT</t>
  </si>
  <si>
    <t>11-1103</t>
  </si>
  <si>
    <t>Шнур сетевой, вилка угловая СЕЕ 7/16 – разъем IEC 320 C7, кабель 2x0,5 мм², длина 1,5м REXANT</t>
  </si>
  <si>
    <t>11-1104</t>
  </si>
  <si>
    <t>Шнур сетевой, вилка угловая СЕЕ 7/16 – разъем IEC 320 C7, кабель 2x0,75 мм², длина 1,5м REXANT</t>
  </si>
  <si>
    <t>7. 2. 1.14 Шнур сетевой, евро-разъём С13/C14</t>
  </si>
  <si>
    <t>11-1121</t>
  </si>
  <si>
    <t>Шнур сетевой, вилка угловая СЕЕ 7/7(Schuko) – разъем IEC 320 C13, кабель 3x0,75 мм², длина 1,8м REXANT</t>
  </si>
  <si>
    <t>11-1131</t>
  </si>
  <si>
    <t>11-1122</t>
  </si>
  <si>
    <t>Шнур сетевой, вилка угловая СЕЕ 7/7(Schuko) – разъем IEC 320 C13, кабель 3x0,75 мм², длина 3м REXANT</t>
  </si>
  <si>
    <t>11-1132</t>
  </si>
  <si>
    <t>11-1136</t>
  </si>
  <si>
    <t>Шнур сетевой, вилка угловая СЕЕ 7/7(Schuko) – разъем IEC 320 C13, кабель 3x1,5 мм², длина 0,5м, черный REXANT</t>
  </si>
  <si>
    <t>11-1138</t>
  </si>
  <si>
    <t>Шнур сетевой, вилка угловая СЕЕ 7/7(Schuko) – разъем IEC 320 C13, кабель 3x1,5 мм², длина 1,5м, черный REXANT</t>
  </si>
  <si>
    <t>11-1156</t>
  </si>
  <si>
    <t>Шнур сетевой, евровилка угловая - евроразъем С13, кабель 3x0,75мм², 0,5м, черный REXANT</t>
  </si>
  <si>
    <t>11-1161</t>
  </si>
  <si>
    <t>Шнур сетевой, разъем IEC 320 C13 – разъем IEC 320 C14, кабель 3x0,75 мм², длина 1,5м REXANT</t>
  </si>
  <si>
    <t>7. 2. 1.15 USB-DC</t>
  </si>
  <si>
    <t>18-0235</t>
  </si>
  <si>
    <t>Кабель USB штекер - DC разъем питание 1,4х3,4 мм, спираль 1,5 метра REXANT</t>
  </si>
  <si>
    <t>18-1155</t>
  </si>
  <si>
    <t>Кабель USB-штекер - DC-разъем питание 0,7х2,5 мм, длина 1 метр REXANT</t>
  </si>
  <si>
    <t>18-0231</t>
  </si>
  <si>
    <t>Кабель USB штекер - DC разъем питание 2,1х5,5 мм, длина 1,5 метра REXANT</t>
  </si>
  <si>
    <t>7. 2. 2 USB разветвители/переходники</t>
  </si>
  <si>
    <t>7. 2. 2. 1 USB HUB</t>
  </si>
  <si>
    <t>18-4105</t>
  </si>
  <si>
    <t>Разветвитель USB 2.0 на 4 порта REXANT</t>
  </si>
  <si>
    <t>18-4105-1</t>
  </si>
  <si>
    <t>Разветвитель USB 2.0 на 4 порта белый REXANT</t>
  </si>
  <si>
    <t>18-4121</t>
  </si>
  <si>
    <t>Разветвитель USB на 3 порта + картридер (все в одном) черный REXANT</t>
  </si>
  <si>
    <t>18-4103-1</t>
  </si>
  <si>
    <t>Разветвитель USB на 4 порта белый REXANT</t>
  </si>
  <si>
    <t>18-4106</t>
  </si>
  <si>
    <t>Разветвитель USB на 4 порта серебристый REXANT</t>
  </si>
  <si>
    <t>18-4103</t>
  </si>
  <si>
    <t>Разветвитель USB на 4 порта черный REXANT</t>
  </si>
  <si>
    <t>7. 2. 2. 3 Переходники</t>
  </si>
  <si>
    <t>18-1176</t>
  </si>
  <si>
    <t>USB удлинитель по витой паре (8p8c) REXANT</t>
  </si>
  <si>
    <t>16-0601</t>
  </si>
  <si>
    <t>Адаптер 12В DC – гнездо USB-A 5В 3A REXANT</t>
  </si>
  <si>
    <t>18-7080</t>
  </si>
  <si>
    <t>Кабель-переходник c USB-C на AUX 3,5 мм REXANT</t>
  </si>
  <si>
    <t>18-0175</t>
  </si>
  <si>
    <t>Кабель-переходник Lightning на AUX гн. 3,5 мм REXANT</t>
  </si>
  <si>
    <t>18-7081</t>
  </si>
  <si>
    <t>Переходник USB универсальный OTG – Type-C REXANT</t>
  </si>
  <si>
    <t>18-4152</t>
  </si>
  <si>
    <t>Переходник штекер Lightning – гнездо HDMI REXANT</t>
  </si>
  <si>
    <t>18-4150</t>
  </si>
  <si>
    <t>Переходник штекер Type-C – гнездо HDMI REXANT</t>
  </si>
  <si>
    <t>7. 2. 2. 4 Картридер</t>
  </si>
  <si>
    <t>18-4118</t>
  </si>
  <si>
    <t>Картридер Type-C для SDXC/SDHC/SD/MMC REXANT</t>
  </si>
  <si>
    <t>7. 2. 3 Зарядные устройства</t>
  </si>
  <si>
    <t>7. 2. 3. 1 Сетевые</t>
  </si>
  <si>
    <t>18-7079</t>
  </si>
  <si>
    <t>Беспроводное зарядное устройство Fast charge, Qi 15Вт, серебро REXANT</t>
  </si>
  <si>
    <t>16-0283</t>
  </si>
  <si>
    <t>Сетевое зарядное устройство 2xUSB, 5В, 2,4А, черное REXANT</t>
  </si>
  <si>
    <t>18-1194</t>
  </si>
  <si>
    <t>Сетевое зарядное устройство USB белое (СЗУ) (5В, 1000мА) REXANT</t>
  </si>
  <si>
    <t>16-0260-1</t>
  </si>
  <si>
    <t>Сетевое зарядное устройство microUSB 220 В (СЗУ) (5 V, max: 1500 mA) шнур 1.2 м черное REXANT</t>
  </si>
  <si>
    <t>16-0297</t>
  </si>
  <si>
    <t>Сетевое зарядное устройство USB + Type-C, 5В, 2,4A, черное REXANT</t>
  </si>
  <si>
    <t>16-0285</t>
  </si>
  <si>
    <t>Сетевое зарядное устройство USB 5В, 3А с Quick Charge, белое REXANT</t>
  </si>
  <si>
    <t>18-2209</t>
  </si>
  <si>
    <t>Сетевое зарядное устройство USB-A и 2 USB-C, 65Вт REXANT</t>
  </si>
  <si>
    <t>16-0234-4</t>
  </si>
  <si>
    <t>Сетевое зарядное устройство USB-C, 20Вт в комплекте с кабелем USB-C – Lightning REXANT</t>
  </si>
  <si>
    <t>16-0233-4</t>
  </si>
  <si>
    <t>Сетевое зарядное устройство USB-C, 20Вт в комплекте с кабелем USB-C – USB-C REXANT</t>
  </si>
  <si>
    <t>16-0274</t>
  </si>
  <si>
    <t>Сетевое зарядное устройство USB, 5В, 2,1А, черное REXANT</t>
  </si>
  <si>
    <t>16-0276</t>
  </si>
  <si>
    <t>Сетевое зарядное устройство 2xUSB, 5В, 2,4А, белое REXANT</t>
  </si>
  <si>
    <t>16-0277</t>
  </si>
  <si>
    <t>Сетевое зарядное устройство 3xUSB, 5В, 3А + 1А + 1А, белое REXANT</t>
  </si>
  <si>
    <t>16-0278</t>
  </si>
  <si>
    <t>Сетевое зарядное устройство Type-C + USB 3.0 с Quick charge, белое REXANT</t>
  </si>
  <si>
    <t>16-0273</t>
  </si>
  <si>
    <t>Сетевое зарядное устройство USB, 5В, 1А, белое REXANT</t>
  </si>
  <si>
    <t>16-0272</t>
  </si>
  <si>
    <t>Сетевое зарядное устройство USB, 5В, 1А, черное REXANT</t>
  </si>
  <si>
    <t>18-2207</t>
  </si>
  <si>
    <t>Сетевое зарядное устройство с двумя портами USB-A + USB-C, 20Вт REXANT</t>
  </si>
  <si>
    <t>18-2202</t>
  </si>
  <si>
    <t>Сетевое зарядное устройство с двумя портами USB-A и Type-C, 20Вт GaN REXANT</t>
  </si>
  <si>
    <t>18-2203</t>
  </si>
  <si>
    <t>Сетевое зарядное устройство с двумя портами USB-A и Type-C, 25Вт GaN REXANT</t>
  </si>
  <si>
    <t>18-2204</t>
  </si>
  <si>
    <t>Сетевое зарядное устройство с двумя портами USB-A и Type-C, 30Вт GaN REXANT</t>
  </si>
  <si>
    <t>18-2208</t>
  </si>
  <si>
    <t>Сетевое зарядное устройство с двумя портами USB-A и USB-C, 35Вт REXANT</t>
  </si>
  <si>
    <t>18-2213</t>
  </si>
  <si>
    <t>Сетевое зарядное устройство с двумя портами USB-A и одним портом USB-C, 10Вт REXANT</t>
  </si>
  <si>
    <t>18-2210</t>
  </si>
  <si>
    <t>Сетевое зарядное устройство с двумя портами USB-C + USB-C, 20Вт REXANT</t>
  </si>
  <si>
    <t>18-2201</t>
  </si>
  <si>
    <t>Сетевое зарядное устройство с одним портом Type-C, 20Вт, GaN REXANT</t>
  </si>
  <si>
    <t>18-2205</t>
  </si>
  <si>
    <t>Сетевое зарядное устройство с одним портом Type-C, 30Вт GaN REXANT</t>
  </si>
  <si>
    <t>18-2218</t>
  </si>
  <si>
    <t>Сетевое зарядное устройство с одним портом USB-A, 18Вт REXANT</t>
  </si>
  <si>
    <t>18-2206</t>
  </si>
  <si>
    <t>Сетевое зарядное устройство с одним портом USB-C, 20Вт REXANT</t>
  </si>
  <si>
    <t>18-2219</t>
  </si>
  <si>
    <t>Сетевое зарядное устройство с портами USB-A и USB-C, 30Вт, черное REXANT</t>
  </si>
  <si>
    <t>18-2215</t>
  </si>
  <si>
    <t>Сетевое зарядное устройство-переходник 3xUSB адаптер, 30Вт черное REXANT</t>
  </si>
  <si>
    <t>7. 2. 3. 2 Автомобильные</t>
  </si>
  <si>
    <t>18-1199</t>
  </si>
  <si>
    <t>Автозарядка в прикуриватель 2хUSB (АЗУ) (1000+2100 мА) REXANT</t>
  </si>
  <si>
    <t>16-0250</t>
  </si>
  <si>
    <t>Автозарядка в прикуриватель micro USB (АЗУ) (5В, 1000мА) шнур прямой 1,2 м черная REXANT</t>
  </si>
  <si>
    <t>16-0236</t>
  </si>
  <si>
    <t>Автозарядка в прикуриватель USB (АЗУ) (5В, 1000мА) REXANT</t>
  </si>
  <si>
    <t>16-0299</t>
  </si>
  <si>
    <t>Автозарядка в прикуриватель АЗУ 2хUSB 5В, 1000мА, гнездо прикуривателя 12-24В REXANT</t>
  </si>
  <si>
    <t>18-1200</t>
  </si>
  <si>
    <t>Автозарядка в прикуриватель АЗУ USB-A (QC 3.0)+USB-C (PD), 38Вт черная REXANT</t>
  </si>
  <si>
    <t>18-2227</t>
  </si>
  <si>
    <t>Автозарядка в прикуриватель АЗУ USB-A+USB-C, 3,1A белая REXANT</t>
  </si>
  <si>
    <t>16-0235-4</t>
  </si>
  <si>
    <t>Автозарядка с индикатором (разъем 1.4х3.4) (АЗУ) шнур прямой 1.5 м REXANT</t>
  </si>
  <si>
    <t>16-0235</t>
  </si>
  <si>
    <t>Автозарядка с индикатором (разъем 1.4х3.4) (АЗУ) шнур спираль 1.5 м REXANT</t>
  </si>
  <si>
    <t>16-0231</t>
  </si>
  <si>
    <t>Автозарядка с индикатором (разъем 2.1х5.5) (АЗУ) шнур прямой 1.5 м REXANT</t>
  </si>
  <si>
    <t>16-0233</t>
  </si>
  <si>
    <t>Автозарядка с индикатором (разъем 2.1х5.5) (АЗУ) шнур спираль 1.5 м  REXANT</t>
  </si>
  <si>
    <t>16-0234</t>
  </si>
  <si>
    <t>Автозарядка с индикатором (разъем 2.5х5.5) (АЗУ) шнур спираль 1.5 м REXANT</t>
  </si>
  <si>
    <t>18-2243-5</t>
  </si>
  <si>
    <t>Автомобильное зарядное устройство c двумя портами (USB-A + USB-C) c LED-подсветкой, 20Вт</t>
  </si>
  <si>
    <t>16-0240</t>
  </si>
  <si>
    <t>Автомобильное зарядное устройство c двумя портами (USB-A QC 3.0 + USB-A 3,1A) со световой индикацией, 18Вт, черное REXANT</t>
  </si>
  <si>
    <t>16-0241</t>
  </si>
  <si>
    <t>Автомобильное зарядное устройство c двумя портами (USB-A QC 3.0 + USB-C PD) cо световой индикацией, 20Вт, черное REXANT</t>
  </si>
  <si>
    <t>18-2230-5</t>
  </si>
  <si>
    <t>Автомобильное зарядное устройство c двумя портами (USB-C + USB-A) c LED-подсветкой, 48Вт REXANT</t>
  </si>
  <si>
    <t>18-2231-5</t>
  </si>
  <si>
    <t>Автомобильное зарядное устройство c двумя портами (USB-C + USB-A) c LED-подсветкой, 68Вт REXANT</t>
  </si>
  <si>
    <t>18-2232-5</t>
  </si>
  <si>
    <t>Автомобильное зарядное устройство c двумя портами (USB-C + USB-С) c LED-подсветкой, 75Вт REXANT</t>
  </si>
  <si>
    <t>18-2220</t>
  </si>
  <si>
    <t>Автомобильное зарядное устройство c двумя портами (USB-А + USB-A) со световой индикацией, 12Вт, черное REXANT</t>
  </si>
  <si>
    <t>18-2228</t>
  </si>
  <si>
    <t>Автомобильное зарядное устройство c двумя портами USB-A+Type-С 12Вт REXANT</t>
  </si>
  <si>
    <t>16-0242</t>
  </si>
  <si>
    <t>Автомобильное зарядное устройство с двумя портами (USB-A QC 3.0 + USB-C PD) со световой индикацией, 38Вт, черное REXANT</t>
  </si>
  <si>
    <t>16-0246</t>
  </si>
  <si>
    <t>Автомобильное зарядное устройство с двумя портами (USB-A QC 3.0 + USB-C PD) со световой индикацией, 51Вт, черное REXANT</t>
  </si>
  <si>
    <t>16-0244</t>
  </si>
  <si>
    <t>Автомобильное зарядное устройство с двумя портами (USB-C PD + USB-C PD) со световой индикацией, 40Вт, черное REXANT</t>
  </si>
  <si>
    <t>16-0293</t>
  </si>
  <si>
    <t>Беспроводное зарядное устройство 10Вт, черное REXANT</t>
  </si>
  <si>
    <t>16-0291</t>
  </si>
  <si>
    <t>Зарядное устройство в прикуриватель 3xUSB, 1000мА, черное REXANT</t>
  </si>
  <si>
    <t>16-0282</t>
  </si>
  <si>
    <t>Зарядное устройство в прикуриватель USB, 5В, 2,4A, черное REXANT</t>
  </si>
  <si>
    <t>7. 2. 3. 3 Внешние аккумуляторы</t>
  </si>
  <si>
    <t>19-0000</t>
  </si>
  <si>
    <t>Портативное беспроводное зарядное устройство Power Bank 3 в 1 (аккумуляторная батарея) 5 000 mAh, MagSafe, черное REXANT</t>
  </si>
  <si>
    <t>04.01.2027</t>
  </si>
  <si>
    <t>19-0001</t>
  </si>
  <si>
    <t>Портативное беспроводное зарядное устройство Power Bank 5 в1 (аккумуляторная батарея) 10 000 mAh, MagSafe, черное REXANT</t>
  </si>
  <si>
    <t>19-0002</t>
  </si>
  <si>
    <t>Портативное зарядное устройство Power Bank (аккумуляторная батарея) 10000мАч с Quick Charge и Power Delivery, черное REXANT</t>
  </si>
  <si>
    <t>30-2051</t>
  </si>
  <si>
    <t>30-2038</t>
  </si>
  <si>
    <t>Портативное зарядное устройство Power Bank (аккумуляторная батарея) 10000мАч, черное REXANT</t>
  </si>
  <si>
    <t>19-0003</t>
  </si>
  <si>
    <t>Портативное зарядное устройство Power Bank (аккумуляторная батарея) 20000мАч с Quick Charge и Power Delivery, черное REXANT</t>
  </si>
  <si>
    <t>30-2052</t>
  </si>
  <si>
    <t>30-2039</t>
  </si>
  <si>
    <t>Портативное зарядное устройство Power Bank (аккумуляторная батарея) 20000мАч, черное REXANT</t>
  </si>
  <si>
    <t>7. 2. 6 Средства связи</t>
  </si>
  <si>
    <t>7. 2. 6. 1 Радиостанции</t>
  </si>
  <si>
    <t>46-0871</t>
  </si>
  <si>
    <t>Радиостанция портативная профессиональная R-1 REXANT</t>
  </si>
  <si>
    <t>7. 2. 7 Осевые вентиляторы и аксессуары</t>
  </si>
  <si>
    <t>7. 2. 7. 1 Осевой вентилятор 12VDC</t>
  </si>
  <si>
    <t>72-5041</t>
  </si>
  <si>
    <t>Вентилятор RQD 4020MS, DC 12В REXANT</t>
  </si>
  <si>
    <t>72-5080</t>
  </si>
  <si>
    <t>Вентилятор RQD 8025MS, DC 12В REXANT</t>
  </si>
  <si>
    <t>72-5090</t>
  </si>
  <si>
    <t>Вентилятор RQD 9225MS, DC 12В REXANT</t>
  </si>
  <si>
    <t>72-5051</t>
  </si>
  <si>
    <t>Вентилятор RX 5010MS, DC 12В REXANT</t>
  </si>
  <si>
    <t>72-5060</t>
  </si>
  <si>
    <t>Вентилятор RX 6010MS, DC 12В REXANT</t>
  </si>
  <si>
    <t>72-5061</t>
  </si>
  <si>
    <t>Вентилятор RX 6020MS, DC 12В REXANT</t>
  </si>
  <si>
    <t>72-5062</t>
  </si>
  <si>
    <t>Вентилятор RX 6025MS, DC 12В REXANT</t>
  </si>
  <si>
    <t>72-5120</t>
  </si>
  <si>
    <t>Вентилятор RХ 12025MS, DC 12В REXANT</t>
  </si>
  <si>
    <t>72-5121</t>
  </si>
  <si>
    <t>Вентилятор RХ 12038MS, DC 12В REXANT</t>
  </si>
  <si>
    <t>7. 2. 7. 2 Осевой вентилятор 24VDC</t>
  </si>
  <si>
    <t>72-4120</t>
  </si>
  <si>
    <t>Вентилятор RX 12025MS, DC 24В REXANT</t>
  </si>
  <si>
    <t>72-4040</t>
  </si>
  <si>
    <t>Вентилятор RX 4010MS, DC 24В REXANT</t>
  </si>
  <si>
    <t>72-4080</t>
  </si>
  <si>
    <t>Вентилятор RX 8025MS, DC 24В REXANT</t>
  </si>
  <si>
    <t>72-4090</t>
  </si>
  <si>
    <t>Вентилятор RX 9225MS, DC 24В REXANT</t>
  </si>
  <si>
    <t>72-4121</t>
  </si>
  <si>
    <t>Вентилятор RХ 12038HS, DC 24В REXANT</t>
  </si>
  <si>
    <t>7. 2. 7. 3 Осевой вентилятор 220VAC</t>
  </si>
  <si>
    <t>72-6120</t>
  </si>
  <si>
    <t>Вентилятор RQA 12025HSL, AC 220В REXANT</t>
  </si>
  <si>
    <t>72-6122</t>
  </si>
  <si>
    <t>Вентилятор RQA 12038HSL, AC 220В REXANT</t>
  </si>
  <si>
    <t>72-6121</t>
  </si>
  <si>
    <t>Вентилятор RQA 12038HST, AC 220В REXANT</t>
  </si>
  <si>
    <t>72-6170</t>
  </si>
  <si>
    <t>Вентилятор RQA 172x163x51HBL, AC 220В REXANT</t>
  </si>
  <si>
    <t>72-6080</t>
  </si>
  <si>
    <t>Вентилятор RX 8025HS, AC 220В REXANT</t>
  </si>
  <si>
    <t>72-6090</t>
  </si>
  <si>
    <t>Вентилятор RX 9225HS, AC 220В REXANT</t>
  </si>
  <si>
    <t>7. 2. 7. 4 Аксессуары для вентиляторов</t>
  </si>
  <si>
    <t>72-7120</t>
  </si>
  <si>
    <t>Решетка для вентилятора 120мм REXANT</t>
  </si>
  <si>
    <t>72-7060</t>
  </si>
  <si>
    <t>Решетка для вентилятора 60мм REXANT</t>
  </si>
  <si>
    <t>7. 2. 8 Аксессуары к смартфонам</t>
  </si>
  <si>
    <t>7. 2. 8. 3 Автомобильный держатель</t>
  </si>
  <si>
    <t>40-0607</t>
  </si>
  <si>
    <t>Автомобильный держатель с беспроводной зарядкой MagSafe 15Вт REXANT</t>
  </si>
  <si>
    <t>40-0609</t>
  </si>
  <si>
    <t>Автомобильный держатель телефона в дефлектор D1 размер 64-86 мм REXANT</t>
  </si>
  <si>
    <t>40-0622</t>
  </si>
  <si>
    <t>Держатель автомобильный для телефона D-10 REXANT</t>
  </si>
  <si>
    <t>40-0615</t>
  </si>
  <si>
    <t>Держатель автомобильный для телефона D-4 черный REXANT</t>
  </si>
  <si>
    <t>40-0616</t>
  </si>
  <si>
    <t>Держатель автомобильный для телефона D-5 черный REXANT</t>
  </si>
  <si>
    <t>40-0617</t>
  </si>
  <si>
    <t>Держатель автомобильный для телефона D-6 черный REXANT</t>
  </si>
  <si>
    <t>40-0611</t>
  </si>
  <si>
    <t>Держатель автомобильный с беспроводной зарядкой MagSafe усиленный 15Вт REXANT</t>
  </si>
  <si>
    <t>7. 2. 8. 4 Наушники</t>
  </si>
  <si>
    <t>18-2005</t>
  </si>
  <si>
    <t>Наушники беспроводные R1 REXANT</t>
  </si>
  <si>
    <t>18-0150</t>
  </si>
  <si>
    <t>Наушники с микрофоном белые</t>
  </si>
  <si>
    <t>7. 3 Элементы питания</t>
  </si>
  <si>
    <t>7. 3. 1 Батарейки</t>
  </si>
  <si>
    <t>7. 3. 1. 1 Алкалиновые батарейки</t>
  </si>
  <si>
    <t>39-1061</t>
  </si>
  <si>
    <t>Батарейка алкалиновая 6LR61 Крона 9В, 1 шт. REXANT</t>
  </si>
  <si>
    <t>39-1026</t>
  </si>
  <si>
    <t>Батарейка алкалиновая AA/LR6 пальчиковая 1,5В, 12 шт. REXANT</t>
  </si>
  <si>
    <t>39-1050</t>
  </si>
  <si>
    <t>Батарейка алкалиновая AA/LR6 пальчиковая 1,5В, 2 шт. REXANT</t>
  </si>
  <si>
    <t>39-1024</t>
  </si>
  <si>
    <t>Батарейка алкалиновая AA/LR6 пальчиковая 1,5В, 24 шт. REXANT</t>
  </si>
  <si>
    <t>39-1027</t>
  </si>
  <si>
    <t>Батарейка алкалиновая AA/LR6 пальчиковая 1,5В, 4 шт. REXANT</t>
  </si>
  <si>
    <t>39-1052</t>
  </si>
  <si>
    <t>Батарейка алкалиновая AAA/LR03 мизинчиковая 1,5В, 2 шт. REXANT</t>
  </si>
  <si>
    <t>39-1011</t>
  </si>
  <si>
    <t>Батарейка алкалиновая AAA/LR03 мизинчиковая 1,5В блистер 12 шт. REXANT</t>
  </si>
  <si>
    <t>39-1013</t>
  </si>
  <si>
    <t>Батарейка алкалиновая AAA/LR03 мизинчиковая 1,5В, 24 шт. REXANT</t>
  </si>
  <si>
    <t>39-1012</t>
  </si>
  <si>
    <t>Батарейка алкалиновая AAA/LR03 мизинчиковая 1,5В блистер 4 шт. REXANT</t>
  </si>
  <si>
    <t>39-1020</t>
  </si>
  <si>
    <t>Батарейка алкалиновая D/LR20 1,5В, 2 шт. REXANT</t>
  </si>
  <si>
    <t>39-1014</t>
  </si>
  <si>
    <t>Батарейка алкалиновая С/LR14 1,5В, 2 шт. REXANT</t>
  </si>
  <si>
    <t>39-1025</t>
  </si>
  <si>
    <t>Батарейка алкалиновая ультра AA/LR6 пальчиковая 1,5В, 2 шт. REXANT</t>
  </si>
  <si>
    <t>39-1010</t>
  </si>
  <si>
    <t>Батарейка алкалиновая ультра AAA/LR03 мизинчиковая 1,5В блистер 2 шт. REXANT</t>
  </si>
  <si>
    <t>39-1240</t>
  </si>
  <si>
    <t>Батарейка высоковольтная A23 12В, 1 шт. REXANT</t>
  </si>
  <si>
    <t>39-1241</t>
  </si>
  <si>
    <t>Батарейка высоковольтная A23 12В, 5 шт. REXANT</t>
  </si>
  <si>
    <t>39-1242</t>
  </si>
  <si>
    <t>Батарейка высоковольтная A27 12В, 1 шт. REXANT</t>
  </si>
  <si>
    <t>39-1243</t>
  </si>
  <si>
    <t>Батарейка высоковольтная A27 12В, 5 шт. REXANT</t>
  </si>
  <si>
    <t>7. 3. 1. 2 Литиевые батарейки</t>
  </si>
  <si>
    <t>39-1102</t>
  </si>
  <si>
    <t>Батарейка литиевая CR1220 3В, 5 шт. REXANT</t>
  </si>
  <si>
    <t>39-1111</t>
  </si>
  <si>
    <t>Батарейка литиевая CR123 3В, 1 шт. REXANT</t>
  </si>
  <si>
    <t>39-1112</t>
  </si>
  <si>
    <t>Батарейка литиевая CR2 3В, 1 шт. REXANT</t>
  </si>
  <si>
    <t>39-1106</t>
  </si>
  <si>
    <t>Батарейка литиевая CR2016 3В, 5 шт. REXANT</t>
  </si>
  <si>
    <t>39-1107</t>
  </si>
  <si>
    <t>Батарейка литиевая CR2025 3В, 5 шт. REXANT</t>
  </si>
  <si>
    <t>39-1114</t>
  </si>
  <si>
    <t>Батарейка литиевая CR2032 3В, 1 шт. REXANT</t>
  </si>
  <si>
    <t>39-1108</t>
  </si>
  <si>
    <t>Батарейка литиевая CR2032 3В, 5 шт. REXANT</t>
  </si>
  <si>
    <t>39-1109</t>
  </si>
  <si>
    <t>Батарейка литиевая CR2430 3В, 5 шт. REXANT</t>
  </si>
  <si>
    <t>39-1110</t>
  </si>
  <si>
    <t>Батарейка литиевая CR2450 3В, 5 шт. REXANT</t>
  </si>
  <si>
    <t>7. 3. 1. 3 Солевые батарейки</t>
  </si>
  <si>
    <t>30-0010</t>
  </si>
  <si>
    <t>Батарейка солевая АА/R6, 1,5В, 4 шт. PROconnect</t>
  </si>
  <si>
    <t>7. 3. 2 Аккумуляторы</t>
  </si>
  <si>
    <t>7. 3. 2. 1 Литий-ионные (Li-ion)</t>
  </si>
  <si>
    <t>30-2036</t>
  </si>
  <si>
    <t>Аккумулятор Li-ion (литий-ион) 16340, 3,7В, 700мАч, без платы защиты, 4 шт. REXANT</t>
  </si>
  <si>
    <t>30-2034</t>
  </si>
  <si>
    <t>Аккумулятор Li-ion (литий-ион) 18650, 3,7В, 2400мАч, с платой защиты, 2 шт. REXANT</t>
  </si>
  <si>
    <t>30-2037</t>
  </si>
  <si>
    <t>Аккумулятор Li-ion (литий-ион) 18650, 3,7В, 3000мАч, без платы защиты, 2 шт. REXANT</t>
  </si>
  <si>
    <t>30-2065</t>
  </si>
  <si>
    <t>Аккумулятор Li-ion (литий-ион) 10440, 3,7В, 320мАч, без платы защиты, плоский контакт, 10 шт. REXANT</t>
  </si>
  <si>
    <t>30-2050</t>
  </si>
  <si>
    <t>Аккумулятор Li-ion (литий-ион) 14500, 3,7В, 750мАч, без платы защиты, высокий контакт, 10 шт. REXANT</t>
  </si>
  <si>
    <t>30-2040</t>
  </si>
  <si>
    <t>Аккумулятор Li-ion (литий-ион) 16340, 3,7В, 700мАч, без платы защиты, плоский контакт, 10 шт. REXANT</t>
  </si>
  <si>
    <t>30-2085</t>
  </si>
  <si>
    <t>Аккумулятор Li-ion (литий-ион) 18350, 3,7В, 900мАч, без платы защиты, плоский контакт, 10 шт. REXANT</t>
  </si>
  <si>
    <t>30-2060</t>
  </si>
  <si>
    <t>Аккумулятор Li-ion (литий-ион) 18500, 3,7В, 1400мАч, без платы защиты, плоский контакт, 10 шт. REXANT</t>
  </si>
  <si>
    <t>30-2000-01</t>
  </si>
  <si>
    <t>Аккумулятор Li-ion (литий-ион) 18650, 3,7В, 2000мАч, без платы защиты, плоский контакт, 1 шт. PROconnect</t>
  </si>
  <si>
    <t>30-2000</t>
  </si>
  <si>
    <t>Аккумулятор Li-ion (литий-ион) 18650, 3,7В, 2000мАч, без платы защиты, плоский контакт, 10 шт. PROconnect</t>
  </si>
  <si>
    <t>30-2010</t>
  </si>
  <si>
    <t>Аккумулятор Li-ion (литий-ион) 18650, 3,7В, 2400мАч, без платы защиты, плоский контакт, 10 шт. REXANT</t>
  </si>
  <si>
    <t>30-2010-05</t>
  </si>
  <si>
    <t>Аккумулятор Li-ion (литий-ион) 18650, 3,7В, 2400мАч, без платы защиты, плоский контакт, 2 шт. REXANT</t>
  </si>
  <si>
    <t>30-2020</t>
  </si>
  <si>
    <t>Аккумулятор Li-ion (литий-ион) 18650, 3,7В, 2600мАч, без платы защиты, высокий контакт, 10 шт. REXANT</t>
  </si>
  <si>
    <t>30-2030-05</t>
  </si>
  <si>
    <t>Аккумулятор Li-ion (литий-ион) 18650, 3,7В, 2800мАч, с платой защиты, высокий контакт, 1 шт. REXANT</t>
  </si>
  <si>
    <t>30-2030</t>
  </si>
  <si>
    <t>Аккумулятор Li-ion (литий-ион)18650, 3,7В, 2800мАч, с платой защиты, высокий контакт, 10 шт. REXANT</t>
  </si>
  <si>
    <t>30-2035</t>
  </si>
  <si>
    <t>Аккумулятор Li-ion (литий-ион) 18650, 3,7В, 3000мАч, без платы защиты, плоский контакт, 10 шт. REXANT</t>
  </si>
  <si>
    <t>30-2035-05</t>
  </si>
  <si>
    <t>Аккумулятор Li-ion (литий-ион) 18650, 3,7В, 3000мАч, без платы защиты, плоский контакт, 2 шт. REXANT</t>
  </si>
  <si>
    <t>30-2080</t>
  </si>
  <si>
    <t>Аккумулятор Li-ion (литий-ион) 26650, 3,7В, 4800мАч, без платы защиты, плоский контакт, 10 шт. REXANT</t>
  </si>
  <si>
    <t>7. 3. 2. 2 Никель-металлогидридные (Ni-Mh)</t>
  </si>
  <si>
    <t>30-1419</t>
  </si>
  <si>
    <t>Аккумулятор Ni-MH AA/HR6, 1,2В, 1900мАч, 2 шт. REXANT</t>
  </si>
  <si>
    <t>30-1423</t>
  </si>
  <si>
    <t>Аккумулятор Ni-MH AA/HR6, 1,2В, 2300мАч, 2 шт. REXANT</t>
  </si>
  <si>
    <t>30-1428</t>
  </si>
  <si>
    <t>Аккумулятор Ni-MH AA/HR6, 1,2В, 2800мАч, 2 шт. REXANT</t>
  </si>
  <si>
    <t>30-1411</t>
  </si>
  <si>
    <t>Аккумулятор Ni-MH AAA/HR03, 1,2В, 1100мАч, 2 шт. REXANT</t>
  </si>
  <si>
    <t>30-1406</t>
  </si>
  <si>
    <t>Аккумулятор Ni-MH AAA/HR03, 1,2В, 600мАч, 2 шт. REXANT</t>
  </si>
  <si>
    <t>30-1409</t>
  </si>
  <si>
    <t>Аккумулятор Ni-MH AAA/HR03, 1,2В, 900мАч, 2 шт. REXANT</t>
  </si>
  <si>
    <t>7. 3. 2. 3 Свинцово-кислотные (AGM)</t>
  </si>
  <si>
    <t>30-2045-4</t>
  </si>
  <si>
    <t>Аккумулятор свинцово-кислотный BT 12045, 12В, 4,5Ач</t>
  </si>
  <si>
    <t>30-2070-4</t>
  </si>
  <si>
    <t>Аккумулятор свинцово-кислотный BT 1207, 12В, 7Ач</t>
  </si>
  <si>
    <t>30-2120-4</t>
  </si>
  <si>
    <t>Аккумулятор свинцово-кислотный BT 1212, 12В, 12Ач</t>
  </si>
  <si>
    <t>30-2090-4</t>
  </si>
  <si>
    <t>Батарея аккумуляторная 12В, 9Ач, 1 штука</t>
  </si>
  <si>
    <t>7. 3. 3 Аксессуары</t>
  </si>
  <si>
    <t>7. 3. 3. 1 Клемма на крону</t>
  </si>
  <si>
    <t>14-0322</t>
  </si>
  <si>
    <t>Клемма на крону FD-2221, 9В REXANT</t>
  </si>
  <si>
    <t>14-0323</t>
  </si>
  <si>
    <t>Клемма на крону FD-2222, 9В (угловая) REXANT</t>
  </si>
  <si>
    <t>7. 3. 4 Зарядные устройства для аккумуляторов</t>
  </si>
  <si>
    <t>18-2237</t>
  </si>
  <si>
    <t>Устройство зарядное для Li-ion аккумуляторов 18650 универсальное PROconnect</t>
  </si>
  <si>
    <t>7. 4 Хозтовары</t>
  </si>
  <si>
    <t>7. 4. 1 Ленты на клеевой основе (скотч, двусторонний скотч) и материалы для упаковки</t>
  </si>
  <si>
    <t>7. 4. 1. 1 Пакет с замком Zip Lock</t>
  </si>
  <si>
    <t>09-7010</t>
  </si>
  <si>
    <t>Пакеты с замком, ПВД, размер 10х15см, 35мкм, 100 шт/уп REXANT</t>
  </si>
  <si>
    <t>09-7012</t>
  </si>
  <si>
    <t>Пакеты с замком, ПВД, размер 12х17см, 35мкм, 100 шт/уп REXANT</t>
  </si>
  <si>
    <t>09-7015</t>
  </si>
  <si>
    <t>Пакеты с замком, ПВД, размер 15х22см, 35мкм, 100 шт/уп REXANT</t>
  </si>
  <si>
    <t>09-7007</t>
  </si>
  <si>
    <t>Пакеты с замком, ПВД, размер 7х10см, 35мкм, 100 шт/уп REXANT</t>
  </si>
  <si>
    <t>09-7008</t>
  </si>
  <si>
    <t>Пакеты с замком, ПВД, размер 8х12см, 35мкм, 100 шт/уп REXANT</t>
  </si>
  <si>
    <t>7. 4. 1. 8 Проволока упаковочная</t>
  </si>
  <si>
    <t>09-0104-2</t>
  </si>
  <si>
    <t>Проволока упаковочная в ПВХ, зеленая, катушка 20м REXANT</t>
  </si>
  <si>
    <t>09-0103</t>
  </si>
  <si>
    <t>Проволока упаковочная в ПВХ, прозрачная, бухта 250м REXANT</t>
  </si>
  <si>
    <t>09-0102</t>
  </si>
  <si>
    <t>Проволока упаковочная в ПВХ, черная, бухта 250м REXANT</t>
  </si>
  <si>
    <t>7. 4. 1. 9 Клейкая лента (Скотч)</t>
  </si>
  <si>
    <t>09-4310</t>
  </si>
  <si>
    <t>Армированная клейкая лента 48мм, серая, рулон 40м REXANT</t>
  </si>
  <si>
    <t>09-4214</t>
  </si>
  <si>
    <t>Скотч упаковочный 48 мм х 50 мкм, коричневый, рулон 150м REXANT</t>
  </si>
  <si>
    <t>09-4212</t>
  </si>
  <si>
    <t>Скотч упаковочный 48 мм х 50 мкм, коричневый, рулон 66м REXANT</t>
  </si>
  <si>
    <t>09-4201</t>
  </si>
  <si>
    <t>Скотч упаковочный 48 мм х 50 мкм, прозрачный, (рулон 36 м) REXANT</t>
  </si>
  <si>
    <t>09-4202</t>
  </si>
  <si>
    <t>Скотч упаковочный 48 мм х 50 мкм, прозрачный, рулон 66м REXANT</t>
  </si>
  <si>
    <t>09-4204</t>
  </si>
  <si>
    <t>Скотч упаковочный 48мм х 50мкм, прозрачный, рулон 150м REXANT</t>
  </si>
  <si>
    <t>7. 4. 1.10 Клейкая лента двухсторонняя (двухсторонний скотч)</t>
  </si>
  <si>
    <t>09-6012</t>
  </si>
  <si>
    <t>Двухсторонний скотч, акриловая HBA-основа, серый, 12мм, ролик 5м REXANT</t>
  </si>
  <si>
    <t>09-6020</t>
  </si>
  <si>
    <t>Двухсторонний скотч, акриловая HBA-основа, серый, 20мм, ролик 5м REXANT</t>
  </si>
  <si>
    <t>09-6006</t>
  </si>
  <si>
    <t>Двухсторонний скотч, акриловая HBA-основа, серый, 6мм, ролик 5м REXANT</t>
  </si>
  <si>
    <t>09-6009</t>
  </si>
  <si>
    <t>Двухсторонний скотч, акриловая HBA-основа, серый, 9мм, ролик 5м REXANT</t>
  </si>
  <si>
    <t>09-6512</t>
  </si>
  <si>
    <t>Двухсторонний скотч, акриловая основа, прозрачный, 12мм, ролик 5м REXANT</t>
  </si>
  <si>
    <t>09-6520</t>
  </si>
  <si>
    <t>Двухсторонний скотч, акриловая основа, прозрачный, 20мм, ролик 5м REXANT</t>
  </si>
  <si>
    <t>09-6509</t>
  </si>
  <si>
    <t>Двухсторонний скотч, акриловая основа, прозрачный, 9мм, ролик 5м REXANT</t>
  </si>
  <si>
    <t>09-6125</t>
  </si>
  <si>
    <t>Двухсторонний скотч, вспененная ЭВА-основа, черный, 25мм, ролик 5м REXANT</t>
  </si>
  <si>
    <t>09-6130</t>
  </si>
  <si>
    <t>Двухсторонний скотч, вспененная ЭВА-основа, черный, 30мм, ролик 5м REXANT</t>
  </si>
  <si>
    <t>09-6140</t>
  </si>
  <si>
    <t>Двухсторонний скотч, вспененная ЭВА-основа, черный, 40мм, ролик 5м REXANT</t>
  </si>
  <si>
    <t>09-6238</t>
  </si>
  <si>
    <t>Двухсторонний скотч, полипропиленовая основа, 38мм, ролик 5м REXANT</t>
  </si>
  <si>
    <t>09-6248</t>
  </si>
  <si>
    <t>Двухсторонний скотч, полипропиленовая основа, 48мм, ролик 5м REXANT</t>
  </si>
  <si>
    <t>09-6057</t>
  </si>
  <si>
    <t>Лента клейкая двухсторонняя прозрачная, на VHB акриловой основе, 10 мм х 5 м REXANT</t>
  </si>
  <si>
    <t>09-6058</t>
  </si>
  <si>
    <t>Лента клейкая двухсторонняя прозрачная, на VHB акриловой основе, 12 мм х 5 м REXANT</t>
  </si>
  <si>
    <t>09-6059</t>
  </si>
  <si>
    <t>Лента клейкая двухсторонняя прозрачная, на VHB акриловой основе, 20 мм х 5 м REXANT</t>
  </si>
  <si>
    <t>09-6055</t>
  </si>
  <si>
    <t>Лента клейкая двухсторонняя прозрачная, на VHB акриловой основе, 6 мм х 5 м REXANT</t>
  </si>
  <si>
    <t>09-6047</t>
  </si>
  <si>
    <t>Лента клейкая двухсторонняя черная, на VHB акриловой основе, 12 мм х 5 м REXANT</t>
  </si>
  <si>
    <t>09-6045</t>
  </si>
  <si>
    <t>Лента клейкая двухсторонняя черная, на VHB акриловой основе, 6 мм х 5 м REXANT</t>
  </si>
  <si>
    <t>09-6030</t>
  </si>
  <si>
    <t>Нано-лента клейкая двухсторонняя многоразовая, 25 мм х 3 м REXANT</t>
  </si>
  <si>
    <t>7. 4. 1.11 Пленка</t>
  </si>
  <si>
    <t>19-2070-1</t>
  </si>
  <si>
    <t>Стретч-пленка, первичное сырье, прозрачная, 100 мм х 20 мкм, 0,23кг REXANT</t>
  </si>
  <si>
    <t>19-4520</t>
  </si>
  <si>
    <t>Стретч-пленка, первичное сырье, прозрачная, 500 мм х 20 мкм, 1,9кг REXANT</t>
  </si>
  <si>
    <t>19-5020</t>
  </si>
  <si>
    <t>Стретч-пленка, первичное сырье, черная, 500 мм х 20 мкм, вес 2,0кг REXANT</t>
  </si>
  <si>
    <t>7. 4. 1.12 Специальные клейкие ленты</t>
  </si>
  <si>
    <t>09-4322</t>
  </si>
  <si>
    <t>Лента противоскользящая самоклеящаяся, 25 мм х 5 м, черная REXANT</t>
  </si>
  <si>
    <t>09-4320</t>
  </si>
  <si>
    <t>Лента противоскользящая самоклеящаяся, 50 мм х 18 м, черная REXANT</t>
  </si>
  <si>
    <t>09-4321</t>
  </si>
  <si>
    <t>Лента противоскользящая самоклеящаяся, 50 мм х 5 м, черная REXANT</t>
  </si>
  <si>
    <t>09-4331</t>
  </si>
  <si>
    <t>Лента светоотражающая самоклеящаяся, 50 мм х 10 м, красно-белая REXANT</t>
  </si>
  <si>
    <t>7. 4. 2 Замки</t>
  </si>
  <si>
    <t>7. 4. 2. 1 Навесные замки</t>
  </si>
  <si>
    <t>79-0155</t>
  </si>
  <si>
    <t>Замок навесной БР-50 ДД ЧЕТЫРЕ СЕЗОНА</t>
  </si>
  <si>
    <t>79-0145</t>
  </si>
  <si>
    <t>Замок навесной БР-55 ЧЕТЫРЕ СЕЗОНА</t>
  </si>
  <si>
    <t>02.01.2027</t>
  </si>
  <si>
    <t>79-0123</t>
  </si>
  <si>
    <t>Замок навесной ВЗ-30 ДД ЧЕТЫРЕ СЕЗОНА</t>
  </si>
  <si>
    <t>79-0113</t>
  </si>
  <si>
    <t>Замок навесной ВЗ-30 ЧЕТЫРЕ СЕЗОНА</t>
  </si>
  <si>
    <t>79-0124</t>
  </si>
  <si>
    <t>Замок навесной ВЗ-40 ДД ЧЕТЫРЕ СЕЗОНА</t>
  </si>
  <si>
    <t>79-0114</t>
  </si>
  <si>
    <t>Замок навесной ВЗ-40 ЧЕТЫРЕ СЕЗОНА</t>
  </si>
  <si>
    <t>79-0115</t>
  </si>
  <si>
    <t>Замок навесной ВЗ-50 ЧЕТЫРЕ СЕЗОНА</t>
  </si>
  <si>
    <t>79-0043</t>
  </si>
  <si>
    <t>Замок навесной серия Сталь 30мм длинная дужка ЧЕТЫРЕ СЕЗОНА</t>
  </si>
  <si>
    <t>79-0033</t>
  </si>
  <si>
    <t>Замок навесной серия Сталь 30мм ЧЕТЫРЕ СЕЗОНА</t>
  </si>
  <si>
    <t>79-0044</t>
  </si>
  <si>
    <t>Замок навесной серия Сталь 40мм длинная дужка ЧЕТЫРЕ СЕЗОНА</t>
  </si>
  <si>
    <t>79-0034</t>
  </si>
  <si>
    <t>Замок навесной серия Сталь 40мм ЧЕТЫРЕ СЕЗОНА</t>
  </si>
  <si>
    <t>79-0045</t>
  </si>
  <si>
    <t>Замок навесной серия Сталь 50мм длинная дужка ЧЕТЫРЕ СЕЗОНА</t>
  </si>
  <si>
    <t>79-0035</t>
  </si>
  <si>
    <t>Замок навесной серия Сталь 50мм ЧЕТЫРЕ СЕЗОНА</t>
  </si>
  <si>
    <t>79-0046</t>
  </si>
  <si>
    <t>Замок навесной серия Сталь 60мм длинная дужка ЧЕТЫРЕ СЕЗОНА</t>
  </si>
  <si>
    <t>79-0036</t>
  </si>
  <si>
    <t>Замок навесной серия Сталь 60мм ЧЕТЫРЕ СЕЗОНА</t>
  </si>
  <si>
    <t>79-0047</t>
  </si>
  <si>
    <t>Замок навесной серия Сталь 70мм длинная дужка ЧЕТЫРЕ СЕЗОНА</t>
  </si>
  <si>
    <t>79-0037</t>
  </si>
  <si>
    <t>Замок навесной серия Сталь 70мм ЧЕТЫРЕ СЕЗОНА</t>
  </si>
  <si>
    <t>79-0133</t>
  </si>
  <si>
    <t>Замок навесной ССН-30 ЧЕТЫРЕ СЕЗОНА</t>
  </si>
  <si>
    <t>79-0134</t>
  </si>
  <si>
    <t>Замок навесной ССН-40 ЧЕТЫРЕ СЕЗОНА</t>
  </si>
  <si>
    <t>79-0023</t>
  </si>
  <si>
    <t>Замок навесной серия Чугун 32мм длинная дужка ЧЕТЫРЕ СЕЗОНА</t>
  </si>
  <si>
    <t>79-0003</t>
  </si>
  <si>
    <t>Замок навесной серия Чугун 32мм ЧЕТЫРЕ СЕЗОНА</t>
  </si>
  <si>
    <t>79-0024</t>
  </si>
  <si>
    <t>Замок навесной серия Чугун 40мм длинная дужка ЧЕТЫРЕ СЕЗОНА</t>
  </si>
  <si>
    <t>79-0004</t>
  </si>
  <si>
    <t>Замок навесной серия Чугун 40мм ЧЕТЫРЕ СЕЗОНА</t>
  </si>
  <si>
    <t>79-0025</t>
  </si>
  <si>
    <t>Замок навесной серия Чугун 50мм длинная дужка ЧЕТЫРЕ СЕЗОНА</t>
  </si>
  <si>
    <t>79-0005</t>
  </si>
  <si>
    <t>Замок навесной серия Чугун 50мм ЧЕТЫРЕ СЕЗОНА</t>
  </si>
  <si>
    <t>79-0026</t>
  </si>
  <si>
    <t>Замок навесной серия Чугун 60мм длинная дужка ЧЕТЫРЕ СЕЗОНА</t>
  </si>
  <si>
    <t>79-0006</t>
  </si>
  <si>
    <t>Замок навесной серия Чугун 60мм ЧЕТЫРЕ СЕЗОНА</t>
  </si>
  <si>
    <t>79-0027</t>
  </si>
  <si>
    <t>Замок навесной серия Чугун 75мм длинная дужка ЧЕТЫРЕ СЕЗОНА</t>
  </si>
  <si>
    <t>79-0007</t>
  </si>
  <si>
    <t>Замок навесной серия Чугун 75мм ЧЕТЫРЕ СЕЗОНА</t>
  </si>
  <si>
    <t>79-0002</t>
  </si>
  <si>
    <t>Замок навесной серия Чугун СЧ-25 Багажный ЧЕТЫРЕ СЕЗОНА</t>
  </si>
  <si>
    <t>7. 4. 2. 2 Почтовые замки</t>
  </si>
  <si>
    <t>79-1110</t>
  </si>
  <si>
    <t>Замок почтовый 18-18/40 ЧЕТЫРЕ СЕЗОНА</t>
  </si>
  <si>
    <t>79-1111</t>
  </si>
  <si>
    <t>Замок почтовый 18-20/40 ЧЕТЫРЕ СЕЗОНА</t>
  </si>
  <si>
    <t>79-1113</t>
  </si>
  <si>
    <t>Замок почтовый 18-30/40 ЧЕТЫРЕ СЕЗОНА</t>
  </si>
  <si>
    <t>7. 4. 2. 3 Тросовые замки</t>
  </si>
  <si>
    <t>79-0303</t>
  </si>
  <si>
    <t>Замок тросовый взломостойкий для велосипедов и колясок с ключом 100см зеленый ЧЕТЫРЕ СЕЗОНА</t>
  </si>
  <si>
    <t>79-0304</t>
  </si>
  <si>
    <t>Замок тросовый взломостойкий для велосипедов и колясок с ключом 100см розовый ЧЕТЫРЕ СЕЗОНА</t>
  </si>
  <si>
    <t>79-0306</t>
  </si>
  <si>
    <t>Замок тросовый взломостойкий для велосипедов и колясок с ключом 100см черный ЧЕТЫРЕ СЕЗОНА</t>
  </si>
  <si>
    <t>79-0313</t>
  </si>
  <si>
    <t>Замок тросовый взломостойкий для велосипедов и колясок с ключом 150см зеленый ЧЕТЫРЕ СЕЗОНА</t>
  </si>
  <si>
    <t>79-0314</t>
  </si>
  <si>
    <t>Замок тросовый взломостойкий для велосипедов и колясок с ключом 150см розовый ЧЕТЫРЕ СЕЗОНА</t>
  </si>
  <si>
    <t>79-0316</t>
  </si>
  <si>
    <t>Замок тросовый взломостойкий для велосипедов и колясок с ключом 150см черный ЧЕТЫРЕ СЕЗОНА</t>
  </si>
  <si>
    <t>79-0363</t>
  </si>
  <si>
    <t>Замок тросовый взломостойкий для велосипедов и колясок с ключом 65см зеленый ЧЕТЫРЕ СЕЗОНА</t>
  </si>
  <si>
    <t>79-0364</t>
  </si>
  <si>
    <t>Замок тросовый взломостойкий для велосипедов и колясок с ключом 65см розовый ЧЕТЫРЕ СЕЗОНА</t>
  </si>
  <si>
    <t>79-0366</t>
  </si>
  <si>
    <t>Замок тросовый взломостойкий для велосипедов и колясок с ключом 65см черный ЧЕТЫРЕ СЕЗОНА</t>
  </si>
  <si>
    <t>79-0203</t>
  </si>
  <si>
    <t>Замок тросовый кодовый взломостойкий для велосипедов и колясок 100см зеленый ЧЕТЫРЕ СЕЗОНА</t>
  </si>
  <si>
    <t>79-0204</t>
  </si>
  <si>
    <t>Замок тросовый кодовый взломостойкий для велосипедов и колясок 100см розовый ЧЕТЫРЕ СЕЗОНА</t>
  </si>
  <si>
    <t>79-0206</t>
  </si>
  <si>
    <t>Замок тросовый кодовый взломостойкий для велосипедов и колясок 100см черный ЧЕТЫРЕ СЕЗОНА</t>
  </si>
  <si>
    <t>79-0216</t>
  </si>
  <si>
    <t>Замок тросовый кодовый взломостойкий для велосипедов и колясок 150см черный ЧЕТЫРЕ СЕЗОНА</t>
  </si>
  <si>
    <t>79-0263</t>
  </si>
  <si>
    <t>Замок тросовый кодовый взломостойкий для велосипедов и колясок 65см зеленый ЧЕТЫРЕ СЕЗОНА</t>
  </si>
  <si>
    <t>79-0264</t>
  </si>
  <si>
    <t>Замок тросовый кодовый взломостойкий для велосипедов и колясок 65см розовый ЧЕТЫРЕ СЕЗОНА</t>
  </si>
  <si>
    <t>79-0266</t>
  </si>
  <si>
    <t>Замок тросовый кодовый взломостойкий для велосипедов и колясок 65см черный ЧЕТЫРЕ СЕЗОНА</t>
  </si>
  <si>
    <t>79-0400</t>
  </si>
  <si>
    <t>Замок-скоба U-образный 15х21см черный ЧЕТЫРЕ СЕЗОНА</t>
  </si>
  <si>
    <t>7. 4. 3 Клей и смазки</t>
  </si>
  <si>
    <t>7. 4. 3. 1 Смазка</t>
  </si>
  <si>
    <t>85-0026</t>
  </si>
  <si>
    <t>Размораживатель замков 210 мл REXANT, аэрозоль</t>
  </si>
  <si>
    <t>24.09.2026</t>
  </si>
  <si>
    <t>85-0024</t>
  </si>
  <si>
    <t>Смазка для беговых дорожек 210 мл REXANT</t>
  </si>
  <si>
    <t>85-0011</t>
  </si>
  <si>
    <t>Смазка для петель и замков с тефлоном 210 мл REXANT</t>
  </si>
  <si>
    <t>85-0009</t>
  </si>
  <si>
    <t>Смазка проникающая «Жидкий ключ» 210 мл REXANT</t>
  </si>
  <si>
    <t>85-0008</t>
  </si>
  <si>
    <t>Смазка силиконовая многоцелевая 210 мл, аэрозоль REXANT</t>
  </si>
  <si>
    <t>85-0010</t>
  </si>
  <si>
    <t>Смазка универсальная RX-40 210 мл REXANT</t>
  </si>
  <si>
    <t>7. 4. 3. 2 Клей</t>
  </si>
  <si>
    <t>61-0922</t>
  </si>
  <si>
    <t>Антиклей универсальный (3гр) PROconnect</t>
  </si>
  <si>
    <t>61-0918</t>
  </si>
  <si>
    <t>Клей влагостойкий для резины (30мл) PROconnect</t>
  </si>
  <si>
    <t>61-0917</t>
  </si>
  <si>
    <t>Клей для обуви (3гр) PROconnect</t>
  </si>
  <si>
    <t>09-3968</t>
  </si>
  <si>
    <t>Клей эпоксидный универсальный (смола+отвердитель) 110мл REXANT</t>
  </si>
  <si>
    <t>09-3969</t>
  </si>
  <si>
    <t>Клей эпоксидный универсальный (смола+отвердитель) шприц 17мл REXANT</t>
  </si>
  <si>
    <t>61-0919</t>
  </si>
  <si>
    <t>Клей эпоксидный, шприц (6мл) PROconnect</t>
  </si>
  <si>
    <t>61-0912</t>
  </si>
  <si>
    <t>Универсальный секундный клей (3гр) PROconnect</t>
  </si>
  <si>
    <t>61-0900</t>
  </si>
  <si>
    <t>Универсальный секундный клей на мультикарте, 3г PROconnect</t>
  </si>
  <si>
    <t>61-0913</t>
  </si>
  <si>
    <t>Универсальный секундный клей-гель (3гр) PROconnect</t>
  </si>
  <si>
    <t>61-0910</t>
  </si>
  <si>
    <t>Универсальный секундный клей-гель на мультикарте, 3г PROconnect</t>
  </si>
  <si>
    <t>7. 4. 4 Зажигалки для газовых плит</t>
  </si>
  <si>
    <t>61-0964</t>
  </si>
  <si>
    <t>Бытовая газовая пьезозажигалка с классическим пламенем многоразовая (1 шт.) желтая  СК-302W с гибким стержнем  СОКОЛ</t>
  </si>
  <si>
    <t>61-0965</t>
  </si>
  <si>
    <t>Бытовая газовая пьезозажигалка с классическим пламенем многоразовая (1 шт.) зеленая СК-302W с гибким стержнем СОКОЛ</t>
  </si>
  <si>
    <t>61-0963</t>
  </si>
  <si>
    <t>Бытовая газовая пьезозажигалка с классическим пламенем многоразовая (1 шт.) оранжевая СК-302W с гибким стержнем СОКОЛ</t>
  </si>
  <si>
    <t>61-0960</t>
  </si>
  <si>
    <t>Бытовая газовая пьезозажигалка с классическим пламенем, многоразовая (1 шт.) синяя СК-302L СОКОЛ</t>
  </si>
  <si>
    <t>7. 4. 7 Подставки антивибрационные</t>
  </si>
  <si>
    <t>88-0401</t>
  </si>
  <si>
    <t>Антивибрационные подставки 4 шт. PROconnect</t>
  </si>
  <si>
    <t>7. 4. 8 ТЭН / Кипятильник</t>
  </si>
  <si>
    <t>7. 4. 8. 1 ТЭН для водонагревателей</t>
  </si>
  <si>
    <t>70-0358</t>
  </si>
  <si>
    <t>Нагревательный элемент для бойлера ТЭН RCA 2,0 кВт, фланец  48 мм (длинные контакты), место плод анод М5 REXANT</t>
  </si>
  <si>
    <t>70-0359</t>
  </si>
  <si>
    <t>Нагревательный элемент для бойлера ТЭН RCF 2,0 кВт, фланец 48 мм, место под анод М6  REXANT</t>
  </si>
  <si>
    <t>70-0355</t>
  </si>
  <si>
    <t>Нагревательный элемент для бойлера ТЭН RCT 2,0 кВт, фланец 42 мм, резьбовой, термостат 15 A REXANT</t>
  </si>
  <si>
    <t>70-0349</t>
  </si>
  <si>
    <t>Нагревательный элемент для бойлера ТЭН RDT 1,2 кВт,резьбовой фланец  42 мм, термостат 15 A, кольцо уплотнительное D 42 мм REXANT</t>
  </si>
  <si>
    <t>70-0352</t>
  </si>
  <si>
    <t>Нагревательный элемент для бойлера ТЭН RDT 2,5 кВт,резьбовой фланец 42 мм, термостат 15 A, кольцо уплотнительное D 42 мм REXANT</t>
  </si>
  <si>
    <t>70-0353</t>
  </si>
  <si>
    <t>Нагревательный элемент для бойлера ТЭН RDT 3,0 кВт, термостат 15 A, кольцо уплотнительное, фланец D 42 мм REXANT</t>
  </si>
  <si>
    <t>70-0313-1</t>
  </si>
  <si>
    <t>Нагревательный элемент для бойлера, ТЭН, RCA-1500 Вт, фланец М5, 48 мм</t>
  </si>
  <si>
    <t>70-0315-1</t>
  </si>
  <si>
    <t>Нагревательный элемент для бойлера, ТЭН, RCF-1500 Вт, фланец М6, 48 мм</t>
  </si>
  <si>
    <t>70-0326</t>
  </si>
  <si>
    <t>Нагревательный элемент для бойлера, ТЭН, RCT - 3000 Вт, фланец резьбовой  42 мм, место под анод М6</t>
  </si>
  <si>
    <t>70-0319-1</t>
  </si>
  <si>
    <t>Нагревательный элемент для бойлера, ТЭН, RCT-2500 Вт, фланец М6, 42 мм, с терморегулятором 70 градусов</t>
  </si>
  <si>
    <t>70-0327</t>
  </si>
  <si>
    <t>Нагревательный элемент для бойлера, ТЭН, RDT - 2500 Вт, фланец 42 мм, место под анод М 6</t>
  </si>
  <si>
    <t>70-0324</t>
  </si>
  <si>
    <t>Нагревательный элемент для бойлера, ТЭН, RDT TWC - 1500 Вт, диаметр фланца  42 мм</t>
  </si>
  <si>
    <t>70-0317-1</t>
  </si>
  <si>
    <t>Нагревательный элемент для бойлера, ТЭН, RDT-1500 Вт, фланец М6, 42 мм, с терморегулятором 80 градусов и прокладкой</t>
  </si>
  <si>
    <t>70-0325-1</t>
  </si>
  <si>
    <t>Нагревательный элемент для бойлера, ТЭН, RDT-2000 Вт, фланец М6, 42 мм, с терморегулятором 70 градусов</t>
  </si>
  <si>
    <t>70-0311-1</t>
  </si>
  <si>
    <t>Нагревательный элемент для бойлера, ТЭН, RF64-1300 Вт, фланец М4, 64 мм</t>
  </si>
  <si>
    <t>70-0321-1</t>
  </si>
  <si>
    <t>Нагревательный элемент для бойлера, ТЭН, RF64-2000 Вт (700 Вт + 1300 Вт), с анодом М4, 64 мм</t>
  </si>
  <si>
    <t>70-0312-1</t>
  </si>
  <si>
    <t>Нагревательный элемент для бойлера, ТЭН, RF64-2000 Вт (700 Вт + 1300 Вт), фланец М4, 64 мм</t>
  </si>
  <si>
    <t>70-0328</t>
  </si>
  <si>
    <t>Термостат стержневой RTM, 15A, 70 градусов</t>
  </si>
  <si>
    <t>70-0331</t>
  </si>
  <si>
    <t>Термостат стержневой RTR, 20А, 80 градусов</t>
  </si>
  <si>
    <t>70-0330</t>
  </si>
  <si>
    <t>Термостат стержневой RTS-3, 16A, 70/83 градуса</t>
  </si>
  <si>
    <t>7. 4. 8. 2 Кипятильник</t>
  </si>
  <si>
    <t>70-0340</t>
  </si>
  <si>
    <t>Кипятильник 0,5кВт REXANT</t>
  </si>
  <si>
    <t>70-0342</t>
  </si>
  <si>
    <t>Кипятильник 1,5кВт REXANT</t>
  </si>
  <si>
    <t>70-0341</t>
  </si>
  <si>
    <t>Кипятильник 1кВт REXANT</t>
  </si>
  <si>
    <t>70-0343</t>
  </si>
  <si>
    <t>Кипятильник 2кВт REXANT</t>
  </si>
  <si>
    <t>7. 4.12 Уплотнители для дверей и окон</t>
  </si>
  <si>
    <t>70-0623</t>
  </si>
  <si>
    <t>Уплотнитель самоклеящийся, белый, D-профиль 9х7,5мм, для зазоров 3-5мм, бухта 100м PROconnect</t>
  </si>
  <si>
    <t>70-0633</t>
  </si>
  <si>
    <t>Уплотнитель самоклеящийся, белый, D-профиль 9х7,5мм, для зазоров 3-5мм, упаковка по 6м PROconnect</t>
  </si>
  <si>
    <t>70-0620</t>
  </si>
  <si>
    <t>Уплотнитель самоклеящийся, белый, Е-профиль 9х4мм, для зазоров 1-3мм, бухта 150м PROconnect</t>
  </si>
  <si>
    <t>70-0630</t>
  </si>
  <si>
    <t>Уплотнитель самоклеящийся, белый, Е-профиль 9х4мм, для зазоров 1-3мм, упаковка по 6м PROconnect</t>
  </si>
  <si>
    <t>70-0621</t>
  </si>
  <si>
    <t>Уплотнитель самоклеящийся, коричневый, Р-профиль 9х5,5мм, для зазоров 2,5-4мм, бухта 100м PROconnect</t>
  </si>
  <si>
    <t>70-0631</t>
  </si>
  <si>
    <t>Уплотнитель самоклеящийся, коричневый, Р-профиль 9х5,5мм, для зазоров 2,5-4мм, упаковка по 6м PROconnect</t>
  </si>
  <si>
    <t>70-0624</t>
  </si>
  <si>
    <t>Уплотнитель самоклеящийся, черный, D-профиль 12х10мм, для зазоров 6-9,5мм, бухта 50м PROconnect</t>
  </si>
  <si>
    <t>70-0634</t>
  </si>
  <si>
    <t>Уплотнитель самоклеящийся, черный, D-профиль 12х10мм, для зазоров 6-9,5мм, упаковка по 6м PROconnect</t>
  </si>
  <si>
    <t>70-0625</t>
  </si>
  <si>
    <t>Уплотнитель самоклеящийся, черный, D-профиль 14х12мм, для зазоров 8-11мм, бухта 40м PROconnect</t>
  </si>
  <si>
    <t>70-0635</t>
  </si>
  <si>
    <t>Уплотнитель самоклеящийся, черный, D-профиль 14х12мм, для зазоров 8-11мм, упаковка по 6м PROconnect</t>
  </si>
  <si>
    <t>70-0622</t>
  </si>
  <si>
    <t>Уплотнитель самоклеящийся, черный, D-профиль 9х7,5мм, для зазоров 3-5мм, бухта 100м PROconnect</t>
  </si>
  <si>
    <t>70-0632</t>
  </si>
  <si>
    <t>Уплотнитель самоклеящийся, черный, D-профиль 9х7,5мм, для зазоров 3-5мм, упаковка по 6м PROconnect</t>
  </si>
  <si>
    <t>7. 5 МБТ</t>
  </si>
  <si>
    <t>7. 5. 2 Для дома [Группа индивидуального ценообразования]</t>
  </si>
  <si>
    <t>7. 5. 2. 1 Весы [Группа индивидуального ценообразования]</t>
  </si>
  <si>
    <t>72-1000</t>
  </si>
  <si>
    <t>Весы карманные электронные от 0,01 до 100 грамм  REXANT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</si>
  <si>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</si>
  <si>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</si>
  <si>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</si>
  <si>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</si>
  <si>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7. 7 Электроника для дома</t>
  </si>
  <si>
    <t>7. 7. 1 Погодные станции/термометры [Группа индивидуального ценообразования]</t>
  </si>
  <si>
    <t>70-0597</t>
  </si>
  <si>
    <t>Метеостанция S637B с ЖК-экраном и беспроводным датчиком REXANT</t>
  </si>
  <si>
    <t>70-0520</t>
  </si>
  <si>
    <t>Метеостанция комнатная RX-108 REXANT</t>
  </si>
  <si>
    <t>70-0514</t>
  </si>
  <si>
    <t>Метеостанция комнатная S5023 REXANT</t>
  </si>
  <si>
    <t>70-0518</t>
  </si>
  <si>
    <t>Метеостанция комнатно-уличная с проводным выносным датчиком REXANT</t>
  </si>
  <si>
    <t>70-0513</t>
  </si>
  <si>
    <t>Метеостанция комнатно-уличная S3331SC с проводным датчиком REXANT</t>
  </si>
  <si>
    <t>70-0595</t>
  </si>
  <si>
    <t>Метеостанция с беспроводным выносным датчиком REXANT</t>
  </si>
  <si>
    <t>70-0515</t>
  </si>
  <si>
    <t>Термогигрометр комнатно-уличный REXANT</t>
  </si>
  <si>
    <t>70-0511</t>
  </si>
  <si>
    <t>Термогигрометр комнатный с часами и функцией будильника REXANT</t>
  </si>
  <si>
    <t>70-0582</t>
  </si>
  <si>
    <t>Термометр наружный бытовой ТБ-202 PROconnect</t>
  </si>
  <si>
    <t>70-0581</t>
  </si>
  <si>
    <t>Термометр наружный оконный на клейкой ленте ТБ-223 PROconnect</t>
  </si>
  <si>
    <t>70-0512</t>
  </si>
  <si>
    <t>Термометр цифровой (термощуп) RX-512 REXANT</t>
  </si>
  <si>
    <t>70-0509</t>
  </si>
  <si>
    <t>Термометр электронный RX-509 REXANT</t>
  </si>
  <si>
    <t>70-0596</t>
  </si>
  <si>
    <t>Термометр электронный S3341BF с беспроводным выносным датчиком REXANT</t>
  </si>
  <si>
    <t>70-0505</t>
  </si>
  <si>
    <t>Термометр электронный комнатно-уличный с часами REXANT</t>
  </si>
  <si>
    <t>70-0501</t>
  </si>
  <si>
    <t>Термометр электронный с дистанционным датчиком измерения температуры REXANT</t>
  </si>
  <si>
    <t>70-0592</t>
  </si>
  <si>
    <t>Термометр электронный с часами и беспроводным выносным датчиком REXANT</t>
  </si>
  <si>
    <t>7. 8 Сад Огород Дача</t>
  </si>
  <si>
    <t>7. 8. 1 Средства от вредителей</t>
  </si>
  <si>
    <t>7. 8. 1. 1 От комаров и прочих летающих насекомых</t>
  </si>
  <si>
    <t>71-0016</t>
  </si>
  <si>
    <t>Антимоскитная инсектицидная лампа S 30м² 1Вт/220В REXANT</t>
  </si>
  <si>
    <t>71-0656</t>
  </si>
  <si>
    <t>Антимоскитная инсектицидная лампа S 35м², 4Вт/220В REXANT</t>
  </si>
  <si>
    <t>71-0036</t>
  </si>
  <si>
    <t>Антимоскитная инсектицидная лампа, 2х6Вт, 220В, S 60м² REXANT</t>
  </si>
  <si>
    <t>71-0056-F</t>
  </si>
  <si>
    <t>Антимоскитная лампа S 100м², 2х15Вт, 220В ЧЕТЫРЕ СЕЗОНА</t>
  </si>
  <si>
    <t>71-0656-F</t>
  </si>
  <si>
    <t>Антимоскитная лампа S 35м², 4Вт/220В ЧЕТЫРЕ СЕЗОНА</t>
  </si>
  <si>
    <t>71-0046-F</t>
  </si>
  <si>
    <t>Антимоскитная лампа S 80м², 2х10Вт, 220В ЧЕТЫРЕ СЕЗОНА</t>
  </si>
  <si>
    <t>71-0096-F</t>
  </si>
  <si>
    <t>Антимоскитная лампа вертикальная S 60м², 2х6Вт/220В ЧЕТЫРЕ СЕЗОНА</t>
  </si>
  <si>
    <t>71-0186-F</t>
  </si>
  <si>
    <t>Антимоскитная лампа вертикальная S 80м², 2х10Вт/220В ЧЕТЫРЕ СЕЗОНА</t>
  </si>
  <si>
    <t>71-0036-F</t>
  </si>
  <si>
    <t>Антимоскитная лампа, 2х6Вт, 220В, S 60м² ЧЕТЫРЕ СЕЗОНА</t>
  </si>
  <si>
    <t>71-0076</t>
  </si>
  <si>
    <t>Антимоскитный инсектицидный кемпинговый фонарь трехрежимный, УФ-подсветка, с аккумулятором, USB REXANT</t>
  </si>
  <si>
    <t>71-0021</t>
  </si>
  <si>
    <t>Брелок отпугиватель комаров ультразвуковой, R 3м REXANT</t>
  </si>
  <si>
    <t>71-0223-F</t>
  </si>
  <si>
    <t>Дверная антимоскитная сетка 210х100см, с магнитами по всей длине, белая ЧЕТЫРЕ СЕЗОНА</t>
  </si>
  <si>
    <t>71-0226</t>
  </si>
  <si>
    <t>Дверная антимоскитная сетка 210х100см, с магнитами по всей длине, зеленая REXANT</t>
  </si>
  <si>
    <t>71-0226-F</t>
  </si>
  <si>
    <t>Дверная антимоскитная сетка 210х100см, с магнитами по всей длине, зеленая ЧЕТЫРЕ СЕЗОНА</t>
  </si>
  <si>
    <t>71-0220</t>
  </si>
  <si>
    <t>Дверная антимоскитная сетка 210х100см, с магнитами по всей длине, коричневая REXANT</t>
  </si>
  <si>
    <t>71-0225</t>
  </si>
  <si>
    <t>Дверная антимоскитная сетка 210х100см, с магнитами по всей длине, розовая с цветами REXANT</t>
  </si>
  <si>
    <t>71-0224</t>
  </si>
  <si>
    <t>Дверная антимоскитная сетка 210х100см, с магнитами по всей длине, с цветами REXANT</t>
  </si>
  <si>
    <t>71-0221</t>
  </si>
  <si>
    <t>Дверная антимоскитная сетка 210х100см, с магнитами по всей длине, черная REXANT</t>
  </si>
  <si>
    <t>71-0221-F</t>
  </si>
  <si>
    <t>Дверная антимоскитная сетка 210х100см, с магнитами по всей длине, черная ЧЕТЫРЕ СЕЗОНА</t>
  </si>
  <si>
    <t>71-0228</t>
  </si>
  <si>
    <t>Детская антимоскитная сетка для коляски 70х130см REXANT</t>
  </si>
  <si>
    <t>71-0044-F</t>
  </si>
  <si>
    <t>Комплект фумигаторов USB, S 30м²х2, белый ЧЕТЫРЕ СЕЗОНА</t>
  </si>
  <si>
    <t>71-0035</t>
  </si>
  <si>
    <t>Лампа антимоскитная для отпугивания насекомых REXANT</t>
  </si>
  <si>
    <t>71-0156-F</t>
  </si>
  <si>
    <t>Лампа Т8 для уничтожителя, S 100м², 15Вт ЧЕТЫРЕ СЕЗОНА</t>
  </si>
  <si>
    <t>71-0146-F</t>
  </si>
  <si>
    <t>Лампа Т8 для уничтожителя, S 80м², 10Вт ЧЕТЫРЕ СЕЗОНА</t>
  </si>
  <si>
    <t>71-0091-F</t>
  </si>
  <si>
    <t>Ловушка для ос R 30м ЧЕТЫРЕ СЕЗОНА</t>
  </si>
  <si>
    <t>70-0410-F</t>
  </si>
  <si>
    <t>Мухобойка электрическая 0410 800В ЧЕТЫРЕ СЕЗОНА</t>
  </si>
  <si>
    <t>70-0420</t>
  </si>
  <si>
    <t>Мухобойка электрическая 0420 ПРОФИ, 1000В, с фонариком и аккумулятором REXANT</t>
  </si>
  <si>
    <t>70-0420-F</t>
  </si>
  <si>
    <t>Мухобойка электрическая 0420 ПРОФИ, 1000В, с фонариком и аккумулятором ЧЕТЫРЕ СЕЗОНА</t>
  </si>
  <si>
    <t>70-0430</t>
  </si>
  <si>
    <t>Мухобойка электрическая 0430 мини, 800В REXANT</t>
  </si>
  <si>
    <t>70-0440-F</t>
  </si>
  <si>
    <t>Мухобойка электрическая 0440 1000В, с подставкой ЧЕТЫРЕ СЕЗОНА</t>
  </si>
  <si>
    <t>70-0470</t>
  </si>
  <si>
    <t>Мухобойка электрическая со счетчиком уничтоженных насекомых REXANT</t>
  </si>
  <si>
    <t>70-0481-F</t>
  </si>
  <si>
    <t>Мухобойка-антимоскитная лампа электрическая, складная  сетка ЧЕТЫРЕ СЕЗОНА</t>
  </si>
  <si>
    <t>70-0480</t>
  </si>
  <si>
    <t>Мухобойка-антимоскитная лампа электрическая складная REXANT</t>
  </si>
  <si>
    <t>70-0491</t>
  </si>
  <si>
    <t>Набор мухобоек электрических 800В (RX-450x2) REXANT</t>
  </si>
  <si>
    <t>71-0044</t>
  </si>
  <si>
    <t>Ночник-фумигатор USB, S 30м², белый REXANT</t>
  </si>
  <si>
    <t>71-0227</t>
  </si>
  <si>
    <t>Оконная антимоскитная сетка 1,5х1,5м, с клейкой лентой, белая REXANT</t>
  </si>
  <si>
    <t>71-0227-F</t>
  </si>
  <si>
    <t>Оконная антимоскитная сетка 1,5х1,5м, с клейкой лентой, белая ЧЕТЫРЕ СЕЗОНА</t>
  </si>
  <si>
    <t>71-0051</t>
  </si>
  <si>
    <t>Отпугиватель мух и других насекомых, настольный/подвесной REXANT</t>
  </si>
  <si>
    <t>71-0071-F</t>
  </si>
  <si>
    <t>Отпугиватель мух с ночником R 13, настольный/подвесной ЧЕТЫРЕ СЕЗОНА</t>
  </si>
  <si>
    <t>71-0225-F</t>
  </si>
  <si>
    <t>Сетка антимоскитная на дверь 210х100см, с магнитами по всей длине, розовая с цветами ЧЕТЫРЕ СЕЗОНА</t>
  </si>
  <si>
    <t>71-0224-F</t>
  </si>
  <si>
    <t>Сетка антимоскитная на дверь 210х100см, с магнитами по всей длине, с цветами ЧЕТЫРЕ СЕЗОНА</t>
  </si>
  <si>
    <t>71-0014</t>
  </si>
  <si>
    <t>Ультразвуковой отпугиватель комаров S 30м², 220В REXANT</t>
  </si>
  <si>
    <t>71-0014-F</t>
  </si>
  <si>
    <t>Ультразвуковой отпугиватель комаров S 30м², 220В ЧЕТЫРЕ СЕЗОНА</t>
  </si>
  <si>
    <t>71-0006</t>
  </si>
  <si>
    <t>Уничтожитель насекомых инсектицидный с ультрафиолетовой лампой, S 20м², 220В REXANT</t>
  </si>
  <si>
    <t>71-0034</t>
  </si>
  <si>
    <t>Фумигатор USB, S 30м², белый REXANT</t>
  </si>
  <si>
    <t>7. 8. 1. 2 От кротов и прочих земляных вредителей</t>
  </si>
  <si>
    <t>71-0087</t>
  </si>
  <si>
    <t>Набор отпугивателей кротов с садовым фонариком (R 20м х2) камень REXANT</t>
  </si>
  <si>
    <t>71-0077</t>
  </si>
  <si>
    <t>Набор отпугивателей кротов с садовым фонариком (R 20м х2) кристалл REXANT</t>
  </si>
  <si>
    <t>71-0037</t>
  </si>
  <si>
    <t>Набор ультразвуковых отпугивателей кротов (R 20м х2) на солнечной батарее REXANT</t>
  </si>
  <si>
    <t>71-0117</t>
  </si>
  <si>
    <t>Набор ультразвуковых отпугивателей кротов (R 20м х4) на солнечной батарее REXANT</t>
  </si>
  <si>
    <t>71-0067</t>
  </si>
  <si>
    <t>Набор ультразвуковых отпугивателей кротов (R 30м х2 черный) на солнечной батарее REXANT</t>
  </si>
  <si>
    <t>71-0107</t>
  </si>
  <si>
    <t>Набор ультразвуковых отпугивателей кротов (R-20м x8) на солнечной батарее REXANT</t>
  </si>
  <si>
    <t>71-0037-F</t>
  </si>
  <si>
    <t>Набор ультразвуковых отпугивателей кротов на солнечной батарее R 20м, 2 шт. ЧЕТЫРЕ СЕЗОНА</t>
  </si>
  <si>
    <t>71-0052</t>
  </si>
  <si>
    <t>Отпугиватель кротов ультразвуковой R25 СИЛА на солнечной батарее REXANT</t>
  </si>
  <si>
    <t>71-0027-F</t>
  </si>
  <si>
    <t>Ультразвуковой отпугиватель змей R 30м, на солнечной батарее, с подсветкой ЧЕТЫРЕ СЕЗОНА</t>
  </si>
  <si>
    <t>71-0027</t>
  </si>
  <si>
    <t>Ультразвуковой отпугиватель змей R 30м, на солнечной батарее, с подсветкой, REXANT</t>
  </si>
  <si>
    <t>71-0017</t>
  </si>
  <si>
    <t>Ультразвуковой отпугиватель кротов R 20м, на солнечной батарее REXANT</t>
  </si>
  <si>
    <t>71-0012</t>
  </si>
  <si>
    <t>Ультразвуковой отпугиватель кротов R 20м, пластик REXANT</t>
  </si>
  <si>
    <t>71-0097-F</t>
  </si>
  <si>
    <t>Ультразвуковой отпугиватель кротов R 25м, на 2 солнечных панелях с садовым фонариком ЧЕТЫРЕ СЕЗОНА</t>
  </si>
  <si>
    <t>71-0007</t>
  </si>
  <si>
    <t>Ультразвуковой отпугиватель кротов R 30м на солнечной батарее REXANT</t>
  </si>
  <si>
    <t>71-0007-F</t>
  </si>
  <si>
    <t>Ультразвуковой отпугиватель кротов R 30м на солнечной батарее ЧЕТЫРЕ СЕЗОНА</t>
  </si>
  <si>
    <t>71-0047</t>
  </si>
  <si>
    <t>Ультразвуковой отпугиватель кротов R 30м, на солнечной батарее, с подсветкой REXANT</t>
  </si>
  <si>
    <t>71-0022</t>
  </si>
  <si>
    <t>Ультразвуковой отпугиватель кротов R 35м, металл REXANT</t>
  </si>
  <si>
    <t>71-0022-F</t>
  </si>
  <si>
    <t>Ультразвуковой отпугиватель кротов R 35м, металл ЧЕТЫРЕ СЕЗОНА</t>
  </si>
  <si>
    <t>7. 8. 1. 3 От мышей, крыс и прочих грызунов</t>
  </si>
  <si>
    <t>71-0666-F</t>
  </si>
  <si>
    <t>Ловушка-уничтожитель крыс и мышей 6Вт, 23,5х10,2х11,3см ЧЕТЫРЕ СЕЗОНА</t>
  </si>
  <si>
    <t>71-0101</t>
  </si>
  <si>
    <t>Набор живоловок-мышеловок, зеленый АБС-пластик REXANT</t>
  </si>
  <si>
    <t>71-0068</t>
  </si>
  <si>
    <t>Набор ультразвуковых отпугивателей грызунов S 90м², 220В, 3 шт. REXANT</t>
  </si>
  <si>
    <t>71-0028-F</t>
  </si>
  <si>
    <t>Отпугиватель грызунов ультразвуковой S 30м², 220В ЧЕТЫРЕ СЕЗОНА</t>
  </si>
  <si>
    <t>71-0017-F</t>
  </si>
  <si>
    <t>Отпугиватель кротов ультразвуковой R 20м на солнечной батарее ЧЕТЫРЕ СЕЗОНА</t>
  </si>
  <si>
    <t>71-0048</t>
  </si>
  <si>
    <t>Ультразвуковой отпугиватель грызунов S 15м², 12В, автомобильный REXANT</t>
  </si>
  <si>
    <t>71-0028</t>
  </si>
  <si>
    <t>Ультразвуковой отпугиватель грызунов S 30м², 220В REXANT</t>
  </si>
  <si>
    <t>71-0078-F</t>
  </si>
  <si>
    <t>Ультразвуковой отпугиватель грызунов S 40м² с ночником, 220В ЧЕТЫРЕ СЕЗОНА</t>
  </si>
  <si>
    <t>7. 8. 1. 4 Универсальные устройства от насекомых, грызунов, птиц и прочих</t>
  </si>
  <si>
    <t>71-0019</t>
  </si>
  <si>
    <t>Отпугиватель вредителей ПРОФИ с изменяемой частотой излучения, R 90м, 220В REXANT</t>
  </si>
  <si>
    <t>71-0009</t>
  </si>
  <si>
    <t>Отпугиватель вредителей с изменяемой частотой излучения, R 9м, 220В REXANT</t>
  </si>
  <si>
    <t>71-0009-F</t>
  </si>
  <si>
    <t>Отпугиватель вредителей с изменяемой частотой излучения, S 250м², 220В ЧЕТЫРЕ СЕЗОНА</t>
  </si>
  <si>
    <t>71-0018-F</t>
  </si>
  <si>
    <t>Отпугиватель вредителей ультразвуковой с LED-индикатором S 60м², 220В ЧЕТЫРЕ СЕЗОНА</t>
  </si>
  <si>
    <t>71-0089</t>
  </si>
  <si>
    <t>Отпугиватель птиц и других животных на солнечной батарее, бабочка REXANT</t>
  </si>
  <si>
    <t>71-0018</t>
  </si>
  <si>
    <t>Ультразвуковой отпугиватель вредителей S 60м², 220В, с LED-индикатором REXANT</t>
  </si>
  <si>
    <t>71-0038</t>
  </si>
  <si>
    <t>Ультразвуковой отпугиватель вредителей S 90м², с LED-индикатором REXANT</t>
  </si>
  <si>
    <t>71-0039</t>
  </si>
  <si>
    <t>Универсальный ультразвуковой отпугиватель R 15м, 3Вт REXANT</t>
  </si>
  <si>
    <t>7. 8. 1. 6 Для отпугивания и дрессировки собак</t>
  </si>
  <si>
    <t>71-0069-F</t>
  </si>
  <si>
    <t>Отпугиватель-тренер собак ультразвуковой S 8м² ЧЕТЫРЕ СЕЗОНА</t>
  </si>
  <si>
    <t>71-0099</t>
  </si>
  <si>
    <t>Ультразвуковой Антилай для собак со встроенным микрофоном, S 4м² REXANT</t>
  </si>
  <si>
    <t>71-0069</t>
  </si>
  <si>
    <t>Ультразвуковой отпугиватель, тренер собак, S 8м.кв REXANT</t>
  </si>
  <si>
    <t>7. 8. 1. 7 От ползающих насекомых</t>
  </si>
  <si>
    <t>71-0025-F</t>
  </si>
  <si>
    <t>Отпугиватель тараканов ультразвуковой S 30м², 220В ЧЕТЫРЕ СЕЗОНА</t>
  </si>
  <si>
    <t>71-0025</t>
  </si>
  <si>
    <t>Ультразвуковой отпугиватель тараканов S 30м², 220В REXANT</t>
  </si>
  <si>
    <t>7. 8. 2 Пикник и отдых</t>
  </si>
  <si>
    <t>7. 8. 2. 1 Мангалы</t>
  </si>
  <si>
    <t>62-0005</t>
  </si>
  <si>
    <t>Мангал сборный походный 350х250х350мм, с 6 шампурами, в пленке СОКОЛ</t>
  </si>
  <si>
    <t>62-0003</t>
  </si>
  <si>
    <t>Мангал сборный походный, 350х250х350мм, в пленке СОКОЛ</t>
  </si>
  <si>
    <t>62-0001</t>
  </si>
  <si>
    <t>Мангал сборный со складным дном, 230х230х335мм, в пленке СОКОЛ</t>
  </si>
  <si>
    <t>62-0002</t>
  </si>
  <si>
    <t>Мангал сборный со складным дном, 230х230х335мм, с 4 шампурами, в пленке СОКОЛ</t>
  </si>
  <si>
    <t>62-0007</t>
  </si>
  <si>
    <t>Мангал сборный Эконом 400х250х400мм, с 6 шампурами, в пленке СОКОЛ</t>
  </si>
  <si>
    <t>7. 8. 2. 2 Коптильни</t>
  </si>
  <si>
    <t>61-0140</t>
  </si>
  <si>
    <t>Гриль угольный 510х445х740мм, черный СОКОЛ</t>
  </si>
  <si>
    <t>62-0010</t>
  </si>
  <si>
    <t>Коптильня Гурман-1 350х250х100мм, одноуровневая, в гофрокартонной коробке СОКОЛ</t>
  </si>
  <si>
    <t>62-0011</t>
  </si>
  <si>
    <t>Коптильня Гурман-2 400х280х180мм, двухуровневая, в гофрокартонной коробке СОКОЛ</t>
  </si>
  <si>
    <t>62-0011-1</t>
  </si>
  <si>
    <t>Набор для копчения (коптильня двухуровневая Гурман-2, щепа) СОКОЛ</t>
  </si>
  <si>
    <t>62-0010-1</t>
  </si>
  <si>
    <t>Набор для копчения (коптильня одноуровневая Гурман-1, щепа) СОКОЛ</t>
  </si>
  <si>
    <t>7. 8. 2. 4 Шампуры</t>
  </si>
  <si>
    <t>62-0013</t>
  </si>
  <si>
    <t>Набор шампуров угловых 6х500мм, в чехле СОКОЛ</t>
  </si>
  <si>
    <t>62-0015</t>
  </si>
  <si>
    <t>Шампур угловой 450х10мм, толщина 1мм СОКОЛ</t>
  </si>
  <si>
    <t>7. 8. 2. 5. Аксеcсуары</t>
  </si>
  <si>
    <t>62-0076</t>
  </si>
  <si>
    <t>Держатель для хранения шампуров и аксессуаров для барбекю, настенный, нержавеющая сталь СОКОЛ</t>
  </si>
  <si>
    <t>62-0059</t>
  </si>
  <si>
    <t>Держатель для хранения шампуров и аксессуаров для барбекю, настенный, черный СОКОЛ</t>
  </si>
  <si>
    <t>62-0078</t>
  </si>
  <si>
    <t>Держатель для хранения шампуров, настенный, нержавеющая сталь СОКОЛ</t>
  </si>
  <si>
    <t>62-0077</t>
  </si>
  <si>
    <t>Держатель для хранения шампуров, настенный, черный СОКОЛ</t>
  </si>
  <si>
    <t>62-0041</t>
  </si>
  <si>
    <t>Лопатка для гриля 44см СОКОЛ</t>
  </si>
  <si>
    <t>62-0047</t>
  </si>
  <si>
    <t>Набор лопатка и щипцы для гриля Комфорт, термопластичная рукоятка СОКОЛ</t>
  </si>
  <si>
    <t>62-0053</t>
  </si>
  <si>
    <t>Набор щипцы, вилка и лопатка для гриля Стандарт СОКОЛ</t>
  </si>
  <si>
    <t>62-0048</t>
  </si>
  <si>
    <t>Набор щипцы, щетка и лопатка для гриля Комфорт, термопластичная рукоятка СОКОЛ</t>
  </si>
  <si>
    <t>62-0069</t>
  </si>
  <si>
    <t>Опахало для мангала, 32х21см СОКОЛ</t>
  </si>
  <si>
    <t>62-0220</t>
  </si>
  <si>
    <t>Портативный душ с аккумулятором, USB REXANT</t>
  </si>
  <si>
    <t>62-0296</t>
  </si>
  <si>
    <t>Садовый душ на штативе, регулируемый ЧЕТЫРЕ СЕЗОНА</t>
  </si>
  <si>
    <t>62-0071</t>
  </si>
  <si>
    <t>Стартер для розжига, нержавеющая сталь, высота 300мм, объем 6л СОКОЛ</t>
  </si>
  <si>
    <t>62-0070</t>
  </si>
  <si>
    <t>Стартер для розжига, сталь, высота 300мм, объем 6л СОКОЛ</t>
  </si>
  <si>
    <t>62-0009</t>
  </si>
  <si>
    <t>Тренога костровая с цепью в чехле, 1000мм, толщина 0,8мм СОКОЛ</t>
  </si>
  <si>
    <t>62-0058</t>
  </si>
  <si>
    <t>Щепа для копчения, ольха, 200г СОКОЛ</t>
  </si>
  <si>
    <t>62-0046</t>
  </si>
  <si>
    <t>Щетка для гриля Комфорт 34см СОКОЛ</t>
  </si>
  <si>
    <t>62-0045</t>
  </si>
  <si>
    <t>Щетка для гриля Комфорт, длинная, 43см СОКОЛ</t>
  </si>
  <si>
    <t>62-0042</t>
  </si>
  <si>
    <t>Щетка для гриля средняя, 44см СОКОЛ</t>
  </si>
  <si>
    <t>62-0030</t>
  </si>
  <si>
    <t>Щетка-скребок для чистки гриля 50см, в блистере СОКОЛ</t>
  </si>
  <si>
    <t>62-0029</t>
  </si>
  <si>
    <t>Щипцы для барбекю 34см, в блистере СОКОЛ</t>
  </si>
  <si>
    <t>62-0027</t>
  </si>
  <si>
    <t>Щипцы для гриля 34см, в блистере СОКОЛ</t>
  </si>
  <si>
    <t>62-0052</t>
  </si>
  <si>
    <t>Щипцы для гриля Стандарт, 44см СОКОЛ</t>
  </si>
  <si>
    <t>7. 8. 3 Садовый инструмент и инвентарь</t>
  </si>
  <si>
    <t>7. 8. 3. 1 Грабли, совки и мотыжки</t>
  </si>
  <si>
    <t>64-0003</t>
  </si>
  <si>
    <t>Грабельки садовые с прорезиненной ручкой, 31х8,5см ЧЕТЫРЕ СЕЗОНА</t>
  </si>
  <si>
    <t>64-0012</t>
  </si>
  <si>
    <t>Грабельки садовые с цветочным рисунком, 23х7,3см ЧЕТЫРЕ СЕЗОНА</t>
  </si>
  <si>
    <t>64-0017</t>
  </si>
  <si>
    <t>Грабли 6 прямых зубьев с цельнометаллической ручкой, покрытой пластиком ЧЕТЫРЕ СЕЗОНА</t>
  </si>
  <si>
    <t>64-0015</t>
  </si>
  <si>
    <t>Мотыжка комбинированная 3 прямых зубца с цельнометаллической ручкой, покрытой пластиком ЧЕТЫРЕ СЕЗОНА</t>
  </si>
  <si>
    <t>64-0005</t>
  </si>
  <si>
    <t>Набор садовых инструментов с прорезиненной ручкой (2 совка, мотыжка, грабельки) ЧЕТЫРЕ СЕЗОНА</t>
  </si>
  <si>
    <t>64-0010</t>
  </si>
  <si>
    <t>Набор садовых инструментов с цветочным рисунком (совок, грабельки) ЧЕТЫРЕ СЕЗОНА</t>
  </si>
  <si>
    <t>64-0001</t>
  </si>
  <si>
    <t>Совок садовый с прорезиненной ручкой, 34х5,3см ЧЕТЫРЕ СЕЗОНА</t>
  </si>
  <si>
    <t>64-0011</t>
  </si>
  <si>
    <t>Совок садовый с цветочным рисунком, 27х8,5см ЧЕТЫРЕ СЕЗОНА</t>
  </si>
  <si>
    <t>64-0002</t>
  </si>
  <si>
    <t>Совок садовый широкий с прорезиненной ручкой, 35х8,5см ЧЕТЫРЕ СЕЗОНА</t>
  </si>
  <si>
    <t>64-0014</t>
  </si>
  <si>
    <t>Совок садовый широкий с цельнометаллической ручкой покрытой пластиком ЧЕТЫРЕ СЕЗОНА</t>
  </si>
  <si>
    <t>7. 8. 3. 2 Топоры</t>
  </si>
  <si>
    <t>12-6902</t>
  </si>
  <si>
    <t>Топор универсальный Викинг 350мм REXANT</t>
  </si>
  <si>
    <t>12-6903</t>
  </si>
  <si>
    <t>Топор универсальный Викинг 440мм REXANT</t>
  </si>
  <si>
    <t>12-6901</t>
  </si>
  <si>
    <t>Топор универсальный малый Викинг 225мм REXANT</t>
  </si>
  <si>
    <t>7. 8. 3. 3 Пилы и секаторы</t>
  </si>
  <si>
    <t>64-0070</t>
  </si>
  <si>
    <t>Пила складная садовая, нержавеющая сталь, 18см ЧЕТЫРЕ СЕЗОНА</t>
  </si>
  <si>
    <t>7. 8. 4 Садовый полив</t>
  </si>
  <si>
    <t>7. 8. 4. 1 Шланги садовые</t>
  </si>
  <si>
    <t>62-0228-1-FC</t>
  </si>
  <si>
    <t>Комплект для полива Профи Плюс (шланг ПВХ 3-слойный армированный 1/2" 25м, коннекторы, адаптер, распылитель) ЧЕТЫРЕ СЕЗОНА</t>
  </si>
  <si>
    <t>62-0229-1-FC</t>
  </si>
  <si>
    <t>Комплект для полива Профи Плюс (шланг ПВХ 3-слойный армированный 3/4" 25м, коннекторы, адаптер, распылитель) ЧЕТЫРЕ СЕЗОНА</t>
  </si>
  <si>
    <t>62-0224-1-FC</t>
  </si>
  <si>
    <t>Комплект для полива Стандарт Плюс (шланг ПВХ 3-слойный армированный 1/2" 25м, коннекторы, адаптер, распылитель) ЧЕТЫРЕ СЕЗОНА</t>
  </si>
  <si>
    <t>62-0226-1-FC</t>
  </si>
  <si>
    <t>Комплект для полива Стандарт Плюс (шланг ПВХ 3-слойный армированный 3/4" 25м, коннекторы, адаптер, распылитель) ЧЕТЫРЕ СЕЗОНА</t>
  </si>
  <si>
    <t>62-0227-1-FC</t>
  </si>
  <si>
    <t>Комплект для полива Стандарт Плюс (шланг ПВХ 3-слойный армированный 3/4" 50м, коннекторы, адаптер, распылитель) ЧЕТЫРЕ СЕЗОНА</t>
  </si>
  <si>
    <t>62-0317-F</t>
  </si>
  <si>
    <t>Шланг для капельного орошения, сочащийся 1/2 ", бухта 10м Профи ЧЕТЫРЕ СЕЗОНА</t>
  </si>
  <si>
    <t>62-0340</t>
  </si>
  <si>
    <t>Шланг поливочный ПВХ 3-слойный армированный 1/2" 25м Стандарт ЧЕТЫРЕ СЕЗОНА</t>
  </si>
  <si>
    <t>62-0342</t>
  </si>
  <si>
    <t>Шланг поливочный ПВХ 3-слойный армированный 3/4" 25м Стандарт ЧЕТЫРЕ СЕЗОНА</t>
  </si>
  <si>
    <t>62-0343</t>
  </si>
  <si>
    <t>Шланг поливочный ПВХ 3-слойный армированный 3/4" 50м Стандарт ЧЕТЫРЕ СЕЗОНА</t>
  </si>
  <si>
    <t>62-0224-1</t>
  </si>
  <si>
    <t>Шланг поливочный ПВХ 3-х слойный армированный 1/2" 25м Стандарт Плюс ЧЕТЫРЕ СЕЗОНА</t>
  </si>
  <si>
    <t>62-0224</t>
  </si>
  <si>
    <t>Шланг поливочный ПВХ 3-х слойный армированный 1/2" 25м Стандарт ЧЕТЫРЕ СЕЗОНА</t>
  </si>
  <si>
    <t>62-0228-1</t>
  </si>
  <si>
    <t>Шланг поливочный ПВХ 3-х слойный армированный 1/2" 25м Профи Плюс ЧЕТЫРЕ СЕЗОНА</t>
  </si>
  <si>
    <t>62-0228</t>
  </si>
  <si>
    <t>Шланг поливочный ПВХ 3-х слойный армированный 1/2" 25м Профи ЧЕТЫРЕ СЕЗОНА</t>
  </si>
  <si>
    <t>62-0226-1</t>
  </si>
  <si>
    <t>Шланг поливочный ПВХ 3-х слойный армированный 3/4" 25м Стандарт Плюс ЧЕТЫРЕ СЕЗОНА</t>
  </si>
  <si>
    <t>62-0226</t>
  </si>
  <si>
    <t>Шланг поливочный ПВХ 3-х слойный армированный 3/4" 25м Стандарт ЧЕТЫРЕ СЕЗОНА</t>
  </si>
  <si>
    <t>62-0229-1</t>
  </si>
  <si>
    <t>Шланг поливочный ПВХ 3-х слойный армированный 3/4" 25м Профи Плюс ЧЕТЫРЕ СЕЗОНА</t>
  </si>
  <si>
    <t>62-0229</t>
  </si>
  <si>
    <t>Шланг поливочный ПВХ 3-х слойный армированный 3/4" 25м Профи ЧЕТЫРЕ СЕЗОНА</t>
  </si>
  <si>
    <t>62-0230-1</t>
  </si>
  <si>
    <t>Шланг поливочный ПВХ 3-х слойный армированный 3/4" 50м Профи Плюс ЧЕТЫРЕ СЕЗОНА</t>
  </si>
  <si>
    <t>62-0356</t>
  </si>
  <si>
    <t>Шланг поливочный ТЭП 3-слойный армированный 1/2" 25м Эластик Про ЧЕТЫРЕ СЕЗОНА</t>
  </si>
  <si>
    <t>62-0353</t>
  </si>
  <si>
    <t>Шланг поливочный ТЭП 3-слойный армированный 1/2" 25м Эластик ЧЕТЫРЕ СЕЗОНА</t>
  </si>
  <si>
    <t>62-0357</t>
  </si>
  <si>
    <t>Шланг поливочный ТЭП 3-слойный армированный 3/4" 25м Эластик Про ЧЕТЫРЕ СЕЗОНА</t>
  </si>
  <si>
    <t>62-0354</t>
  </si>
  <si>
    <t>Шланг поливочный ТЭП 3-слойный армированный 3/4" 25м Эластик ЧЕТЫРЕ СЕЗОНА</t>
  </si>
  <si>
    <t>62-0355</t>
  </si>
  <si>
    <t>Шланг поливочный ТЭП 3-слойный армированный 3/4" 50м Эластик ЧЕТЫРЕ СЕЗОНА</t>
  </si>
  <si>
    <t>7. 8. 4. 2 Катушки, тележки и держатели для шлангов</t>
  </si>
  <si>
    <t>62-0262</t>
  </si>
  <si>
    <t>Держатель для садового шланга (Катушка с креплением на стену) ЧЕТЫРЕ СЕЗОНА</t>
  </si>
  <si>
    <t>62-0327-F</t>
  </si>
  <si>
    <t>Катушка для шланга 1/2" 35м или 3/4" 25м Профи ЧЕТЫРЕ СЕЗОНА</t>
  </si>
  <si>
    <t>62-0260</t>
  </si>
  <si>
    <t>Катушка для шланга мини 30м, 1/2" или 25м 3/4" ЧЕТЫРЕ СЕЗОНА</t>
  </si>
  <si>
    <t>62-0268</t>
  </si>
  <si>
    <t>Катушка мини со шлангом, 10мм, 10м, пистолет-распылитель ЧЕТЫРЕ СЕЗОНА</t>
  </si>
  <si>
    <t>62-0267</t>
  </si>
  <si>
    <t>Катушка со шлангом 1/2" 15м, 3 коннектора, 1 распылитель ЧЕТЫРЕ СЕЗОНА</t>
  </si>
  <si>
    <t>62-0328-F</t>
  </si>
  <si>
    <t>Направляющая для шланга 25см Профи ЧЕТЫРЕ СЕЗОНА</t>
  </si>
  <si>
    <t>62-0261</t>
  </si>
  <si>
    <t>Тележка для шланга 1/2" 60 м или 3/4" 30 м, ЧЕТЫРЕ СЕЗОНА</t>
  </si>
  <si>
    <t>62-0316-F</t>
  </si>
  <si>
    <t>Тележка для шланга 1/2" 60м или 3/4" 30м Профи ЧЕТЫРЕ СЕЗОНА</t>
  </si>
  <si>
    <t>7. 8. 4. 3 Комплекты садовых шлангов</t>
  </si>
  <si>
    <t>62-0319-F</t>
  </si>
  <si>
    <t>Набор поливочный Профи (растягивающийся шланг 20м, пистолет 7 режимов, латунные соединители) ЧЕТЫРЕ СЕЗОНА</t>
  </si>
  <si>
    <t>62-0318-F</t>
  </si>
  <si>
    <t>Набор поливочный Профи (растягивающийся шланг 45м, пистолет 7 режимов, латунные соединители) ЧЕТЫРЕ СЕЗОНА</t>
  </si>
  <si>
    <t>62-0258</t>
  </si>
  <si>
    <t>Набор поливочный, растягивающийся шланг 20 м, пистолет 7 режимов, соединитель ЧЕТЫРЕ СЕЗОНА</t>
  </si>
  <si>
    <t>62-0259</t>
  </si>
  <si>
    <t>Набор поливочный, растягивающийся шланг 45 м, пистолет 7 режимов, соединитель ЧЕТЫРЕ СЕЗОНА</t>
  </si>
  <si>
    <t>62-0270</t>
  </si>
  <si>
    <t>Шланг спиральный, 15 м х 8 мм, пистолет-распылитель, 2 коннектора, адаптер ЧЕТЫРЕ СЕЗОНА</t>
  </si>
  <si>
    <t>7. 8. 4. 4 Соединители, муфты, переходники, тройники для садовых шлангов</t>
  </si>
  <si>
    <t>62-0278</t>
  </si>
  <si>
    <t>Адаптер латунный, 1"-3/4", внутренняя резьба, с переходником ЧЕТЫРЕ СЕЗОНА</t>
  </si>
  <si>
    <t>62-0308-F</t>
  </si>
  <si>
    <t>Адаптер латунный, 1", внутренняя резьба Профи ЧЕТЫРЕ СЕЗОНА</t>
  </si>
  <si>
    <t>62-0276</t>
  </si>
  <si>
    <t>Адаптер латунный, 1/2", внешняя резьба ЧЕТЫРЕ СЕЗОНА</t>
  </si>
  <si>
    <t>62-0277</t>
  </si>
  <si>
    <t>Адаптер латунный, 1/2", внутренняя резьба ЧЕТЫРЕ СЕЗОНА</t>
  </si>
  <si>
    <t>62-0275</t>
  </si>
  <si>
    <t>Адаптер латунный, 3/4", внешняя резьба ЧЕТЫРЕ СЕЗОНА</t>
  </si>
  <si>
    <t>62-0213</t>
  </si>
  <si>
    <t>Адаптер латунный, 3/4", внутренняя резьба ЧЕТЫРЕ СЕЗОНА</t>
  </si>
  <si>
    <t>62-0212</t>
  </si>
  <si>
    <t>Адаптер на кран быстрого соединения 1/2"-3/4" ЧЕТЫРЕ СЕЗОНА</t>
  </si>
  <si>
    <t>62-0211-F</t>
  </si>
  <si>
    <t>Адаптер на кран быстрого соединения 3/4" Профи ЧЕТЫРЕ СЕЗОНА</t>
  </si>
  <si>
    <t>62-0211</t>
  </si>
  <si>
    <t>Адаптер на кран быстрого соединения 3/4" ЧЕТЫРЕ СЕЗОНА</t>
  </si>
  <si>
    <t>62-0272</t>
  </si>
  <si>
    <t>Адаптер пластмассовый, 1"-1/2"-3/4", внутренняя резьба ЧЕТЫРЕ СЕЗОНА</t>
  </si>
  <si>
    <t>62-0280</t>
  </si>
  <si>
    <t>Адаптер универсальный пластмассовый, 1/2"-3/4", с внешним хомутом ЧЕТЫРЕ СЕЗОНА</t>
  </si>
  <si>
    <t>62-0240</t>
  </si>
  <si>
    <t>62-0222</t>
  </si>
  <si>
    <t>Двойник для быстросъемного соединения ЧЕТЫРЕ СЕЗОНА</t>
  </si>
  <si>
    <t>62-0281</t>
  </si>
  <si>
    <t>Двойник латунный ЧЕТЫРЕ СЕЗОНА</t>
  </si>
  <si>
    <t>62-0309-F</t>
  </si>
  <si>
    <t>Коннектор для шланга латунный, быстросъемный, 1/2" Профи ЧЕТЫРЕ СЕЗОНА</t>
  </si>
  <si>
    <t>62-0333-F</t>
  </si>
  <si>
    <t>Коннектор для шланга латунный, быстросъемный, 1/2", с аквастопом и термопластичной резиной ЧЕТЫРЕ СЕЗОНА</t>
  </si>
  <si>
    <t>62-0279</t>
  </si>
  <si>
    <t>Коннектор для шланга латунный, быстросъемный, 1/2", с аквастопом ЧЕТЫРЕ СЕЗОНА</t>
  </si>
  <si>
    <t>62-0332-F</t>
  </si>
  <si>
    <t>Коннектор для шланга латунный, быстросъемный, 1/2", с термопластичной резиной ЧЕТЫРЕ СЕЗОНА</t>
  </si>
  <si>
    <t>62-0214</t>
  </si>
  <si>
    <t>Коннектор для шланга латунный, быстросъемный, 3/4" ЧЕТЫРЕ СЕЗОНА</t>
  </si>
  <si>
    <t>62-0335-F</t>
  </si>
  <si>
    <t>Коннектор для шланга латунный, быстросъемный, 3/4", с аквастопом и термопластичной резиной ЧЕТЫРЕ СЕЗОНА</t>
  </si>
  <si>
    <t>62-0310-F</t>
  </si>
  <si>
    <t>Коннектор для шланга латунный, быстросъемный, 3/4", с аквастопом Профи ЧЕТЫРЕ СЕЗОНА</t>
  </si>
  <si>
    <t>62-0334-F</t>
  </si>
  <si>
    <t>Коннектор для шланга латунный, быстросъемный, 3/4", с термопластичной резиной ЧЕТЫРЕ СЕЗОНА</t>
  </si>
  <si>
    <t>62-0218-F</t>
  </si>
  <si>
    <t>Коннектор для шланга, быстросъемный 1/2" с аквастопом и термопластичной резиной Профи ЧЕТЫРЕ СЕЗОНА</t>
  </si>
  <si>
    <t>62-0305-F</t>
  </si>
  <si>
    <t>Коннектор для шланга, быстросъемный 1/2" с аквастопом, термопластичной резиной и зажимной гайкой из цинка Профи ЧЕТЫРЕ СЕЗОНА</t>
  </si>
  <si>
    <t>62-0301-F</t>
  </si>
  <si>
    <t>Коннектор для шланга, быстросъемный 1/2" с аквастопом, термопластичной резиной и защитой от перегибов Профи ЧЕТЫРЕ СЕЗОНА</t>
  </si>
  <si>
    <t>62-0304-F</t>
  </si>
  <si>
    <t>Коннектор для шланга, быстросъемный 1/2" с термопластичной резиной и зажимной гайкой из цинка Профи ЧЕТЫРЕ СЕЗОНА</t>
  </si>
  <si>
    <t>62-0300-F</t>
  </si>
  <si>
    <t>Коннектор для шланга, быстросъемный 1/2" с термопластичной резиной и защитой от перегибов Профи ЧЕТЫРЕ СЕЗОНА</t>
  </si>
  <si>
    <t>62-0216-F</t>
  </si>
  <si>
    <t>Коннектор для шланга, быстросъемный 1/2" с термопластичной резиной Профи ЧЕТЫРЕ СЕЗОНА</t>
  </si>
  <si>
    <t>62-0217-1</t>
  </si>
  <si>
    <t>Коннектор для шланга, быстросъемный 3/4" с аквастопом ЧЕТЫРЕ СЕЗОНА</t>
  </si>
  <si>
    <t>62-0303-F</t>
  </si>
  <si>
    <t>Коннектор для шланга, быстросъемный 3/4" с аквастопом, термопластичной резиной и защитой от перегибов Профи ЧЕТЫРЕ СЕЗОНА</t>
  </si>
  <si>
    <t>62-0306-F</t>
  </si>
  <si>
    <t>Коннектор для шланга, быстросъемный 3/4" с термопластичной резиной и зажимной гайкой из цинка Профи ЧЕТЫРЕ СЕЗОНА</t>
  </si>
  <si>
    <t>62-0302-F</t>
  </si>
  <si>
    <t>Коннектор для шланга, быстросъемный 3/4" с термопластичной резиной и защитой от перегибов Профи ЧЕТЫРЕ СЕЗОНА</t>
  </si>
  <si>
    <t>62-0215-1</t>
  </si>
  <si>
    <t>Коннектор для шланга, быстросъемный 3/4" ЧЕТЫРЕ СЕЗОНА</t>
  </si>
  <si>
    <t>62-0216</t>
  </si>
  <si>
    <t>Коннектор для шланга, быстросъемный, 1/2"  ЧЕТЫРЕ СЕЗОНА</t>
  </si>
  <si>
    <t>62-0218</t>
  </si>
  <si>
    <t>Коннектор для шланга, быстросъемный, 1/2", с аквастопом ЧЕТЫРЕ СЕЗОНА</t>
  </si>
  <si>
    <t>62-0215</t>
  </si>
  <si>
    <t>Коннектор для шланга, быстросъемный, 3/4" Профи ЧЕТЫРЕ СЕЗОНА</t>
  </si>
  <si>
    <t>62-0217</t>
  </si>
  <si>
    <t>Коннектор для шланга, быстросъемный, 3/4", с аквастопом Профи ЧЕТЫРЕ СЕЗОНА</t>
  </si>
  <si>
    <t>62-0219-F</t>
  </si>
  <si>
    <t>Муфта переходная для шланга 1/2"-3/4" с термопластичной резиной Профи ЧЕТЫРЕ СЕЗОНА</t>
  </si>
  <si>
    <t>62-0219</t>
  </si>
  <si>
    <t>Муфта переходная для шланга 1/2"-3/4" ЧЕТЫРЕ СЕЗОНА</t>
  </si>
  <si>
    <t>62-0221-F</t>
  </si>
  <si>
    <t>Муфта ремонтная для шланга 1/2" с термопластичной резиной Профи ЧЕТЫРЕ СЕЗОНА</t>
  </si>
  <si>
    <t>62-0221</t>
  </si>
  <si>
    <t>Муфта ремонтная для шланга 1/2" ЧЕТЫРЕ СЕЗОНА</t>
  </si>
  <si>
    <t>62-0219-1</t>
  </si>
  <si>
    <t>Муфта ремонтная для шланга 3/4" ЧЕТЫРЕ СЕЗОНА</t>
  </si>
  <si>
    <t>62-0336-F</t>
  </si>
  <si>
    <t>Муфта ремонтная латунная для шланга 1/2" с термопластичной резиной Профи ЧЕТЫРЕ СЕЗОНА</t>
  </si>
  <si>
    <t>62-0337-F</t>
  </si>
  <si>
    <t>Муфта ремонтная латунная для шланга 3/4" с термопластичной резиной Профи ЧЕТЫРЕ СЕЗОНА</t>
  </si>
  <si>
    <t>62-0274</t>
  </si>
  <si>
    <t>Муфта соединительная латунная, ремонтная, для шланга, 3/4" ЧЕТЫРЕ СЕЗОНА</t>
  </si>
  <si>
    <t>62-0223</t>
  </si>
  <si>
    <t>Разветвитель 2-канальный на кран 1/2"-3/4" ЧЕТЫРЕ СЕЗОНА</t>
  </si>
  <si>
    <t>62-0225-F</t>
  </si>
  <si>
    <t>Разветвитель 4-канальный на кран 1/2"-3/4" Профи ЧЕТЫРЕ СЕЗОНА</t>
  </si>
  <si>
    <t>62-0225</t>
  </si>
  <si>
    <t>Разветвитель для шланга на 4 канала 1/2"-3/4" ЧЕТЫРЕ СЕЗОНА</t>
  </si>
  <si>
    <t>62-0311-F</t>
  </si>
  <si>
    <t>Распылитель-насадка, регулируемый латунный Профи ЧЕТЫРЕ СЕЗОНА</t>
  </si>
  <si>
    <t>62-0222-3-F</t>
  </si>
  <si>
    <t>Тройник Y для быстросъемного соединения с термопластичной резиной Профи ЧЕТЫРЕ СЕЗОНА</t>
  </si>
  <si>
    <t>62-0222-3</t>
  </si>
  <si>
    <t>Тройник Y для быстросъемного соединения ЧЕТЫРЕ СЕЗОНА</t>
  </si>
  <si>
    <t>62-0281-3-F</t>
  </si>
  <si>
    <t>Тройник Y для быстросъемного соединения, латунный Профи ЧЕТЫРЕ СЕЗОНА</t>
  </si>
  <si>
    <t>7. 8. 4. 5 Распылители, дождеватели и капельный полив</t>
  </si>
  <si>
    <t>62-0257</t>
  </si>
  <si>
    <t>Дождеватель для полива круговой 100м², 8 режимов ЧЕТЫРЕ СЕЗОНА</t>
  </si>
  <si>
    <t>62-0254</t>
  </si>
  <si>
    <t>Дождеватель для полива круговой 154м² ЧЕТЫРЕ СЕЗОНА</t>
  </si>
  <si>
    <t>62-0312-F</t>
  </si>
  <si>
    <t>Дождеватель для полива круговой с регулировкой угла полива по горизонту Профи ЧЕТЫРЕ СЕЗОНА</t>
  </si>
  <si>
    <t>62-0323-F</t>
  </si>
  <si>
    <t>Дождеватель для полива круговой, 9 режимов Профи ЧЕТЫРЕ СЕЗОНА</t>
  </si>
  <si>
    <t>62-0295</t>
  </si>
  <si>
    <t>Дождеватель для полива на колесах, круговой, регулируемый ЧЕТЫРЕ СЕЗОНА</t>
  </si>
  <si>
    <t>62-0256</t>
  </si>
  <si>
    <t>Дождеватель для полива осциллирующий 190м² ЧЕТЫРЕ СЕЗОНА</t>
  </si>
  <si>
    <t>62-0289</t>
  </si>
  <si>
    <t>Дождеватель кольцевого типа, пластиковый ЧЕТЫРЕ СЕЗОНА</t>
  </si>
  <si>
    <t>62-0314-F</t>
  </si>
  <si>
    <t>Дождеватель латунный импульсный на металлической подставке Профи ЧЕТЫРЕ СЕЗОНА</t>
  </si>
  <si>
    <t>62-0290</t>
  </si>
  <si>
    <t>Дождеватель мини ЧЕТЫРЕ СЕЗОНА</t>
  </si>
  <si>
    <t>62-0291</t>
  </si>
  <si>
    <t>Дождеватель осциллирующий для прямоугольных площадей ЧЕТЫРЕ СЕЗОНА</t>
  </si>
  <si>
    <t>62-0292</t>
  </si>
  <si>
    <t>Дождеватель осциллирующий универсальный, 21 отверстие ЧЕТЫРЕ СЕЗОНА</t>
  </si>
  <si>
    <t>62-0301</t>
  </si>
  <si>
    <t>Дождеватель с садовым фонариком, работает от давления воды ЧЕТЫРЕ СЕЗОНА</t>
  </si>
  <si>
    <t>62-0265</t>
  </si>
  <si>
    <t>Комплект для капельного полива 3х4 метра площадь ЧЕТЫРЕ СЕЗОНА</t>
  </si>
  <si>
    <t>62-0313-F</t>
  </si>
  <si>
    <t>Комплект для капельного полива площади 4х5м Профи ЧЕТЫРЕ СЕЗОНА</t>
  </si>
  <si>
    <t>62-0252</t>
  </si>
  <si>
    <t>Пистолет для полива 2 режима ЧЕТЫРЕ СЕЗОНА</t>
  </si>
  <si>
    <t>62-0251</t>
  </si>
  <si>
    <t>Пистолет-лейка и коннекторы 3/4 ЧЕТЫРЕ СЕЗОНА</t>
  </si>
  <si>
    <t>62-0250</t>
  </si>
  <si>
    <t>Пистолет-распылитель для полива, 10 режимов ЧЕТЫРЕ СЕЗОНА</t>
  </si>
  <si>
    <t>62-0325-F</t>
  </si>
  <si>
    <t>Пистолет-распылитель душевого типа КАРБОН, 6 режимов Профи ЧЕТЫРЕ СЕЗОНА</t>
  </si>
  <si>
    <t>62-0324-F</t>
  </si>
  <si>
    <t>Пистолет-распылитель многофункциональный CARBON, 7 режимов Профи ЧЕТЫРЕ СЕЗОНА</t>
  </si>
  <si>
    <t>62-0285</t>
  </si>
  <si>
    <t>Пистолет-распылитель с регулировкой давления, ручкой и курком, 7 режимов ЧЕТЫРЕ СЕЗОНА</t>
  </si>
  <si>
    <t>62-0282</t>
  </si>
  <si>
    <t>Пистолет-распылитель с резиновой ручкой, 7 режимов ЧЕТЫРЕ СЕЗОНА</t>
  </si>
  <si>
    <t>62-0283</t>
  </si>
  <si>
    <t>Пистолет-распылитель, 7 режимов ЧЕТЫРЕ СЕЗОНА</t>
  </si>
  <si>
    <t>62-0284</t>
  </si>
  <si>
    <t>Пистолет-распылитель, регулируемый ЧЕТЫРЕ СЕЗОНА</t>
  </si>
  <si>
    <t>62-0255</t>
  </si>
  <si>
    <t>Разбрызгиватель латунный, импульсный, с регулировкой угла горизонта распыления до16м ЧЕТЫРЕ СЕЗОНА</t>
  </si>
  <si>
    <t>62-0326-F</t>
  </si>
  <si>
    <t>Распылитель на гибкой штанге, 10 режимов Профи ЧЕТЫРЕ СЕЗОНА</t>
  </si>
  <si>
    <t>62-0294</t>
  </si>
  <si>
    <t>Распылитель на телескопической штанге ЧЕТЫРЕ СЕЗОНА</t>
  </si>
  <si>
    <t>62-0293</t>
  </si>
  <si>
    <t>Распылитель на штанге ЧЕТЫРЕ СЕЗОНА</t>
  </si>
  <si>
    <t>62-0287</t>
  </si>
  <si>
    <t>Распылитель-насадка, регулируемый ЧЕТЫРЕ СЕЗОНА</t>
  </si>
  <si>
    <t>62-0231</t>
  </si>
  <si>
    <t>Распыляющая головка помповая, подходит к стандартной пластиковой бутылке ЧЕТЫРЕ СЕЗОНА</t>
  </si>
  <si>
    <t>62-0253</t>
  </si>
  <si>
    <t>Распыляющая головка, подходит к стандартной пластиковой бутылке ЧЕТЫРЕ СЕЗОНА</t>
  </si>
  <si>
    <t>62-0303</t>
  </si>
  <si>
    <t>Увлажнитель почвы для растений 100мл Грибочек ЧЕТЫРЕ СЕЗОНА</t>
  </si>
  <si>
    <t>62-0302</t>
  </si>
  <si>
    <t>Увлажнитель почвы для растений 60мл Птичка ЧЕТЫРЕ СЕЗОНА</t>
  </si>
  <si>
    <t>62-0304</t>
  </si>
  <si>
    <t>Щетка для очистки листьев растений ЧЕТЫРЕ СЕЗОНА</t>
  </si>
  <si>
    <t>7. 8. 4. 6 Таймеры полива</t>
  </si>
  <si>
    <t>62-0264</t>
  </si>
  <si>
    <t>Таймер воды на 120 мин ЧЕТЫРЕ СЕЗОНА</t>
  </si>
  <si>
    <t>62-0263</t>
  </si>
  <si>
    <t>Таймер полива электронный ЧЕТЫРЕ СЕЗОНА</t>
  </si>
  <si>
    <t>7. 8. 4. 7 Опрыскиватели</t>
  </si>
  <si>
    <t>62-0266</t>
  </si>
  <si>
    <t>Опрыскиватель комнатный 0,75 л ЧЕТЫРЕ СЕЗОНА</t>
  </si>
  <si>
    <t>62-0242</t>
  </si>
  <si>
    <t>Опрыскиватель комнатный 1л ЧЕТЫРЕ СЕЗОНА</t>
  </si>
  <si>
    <t>62-0269</t>
  </si>
  <si>
    <t>Опрыскиватель садовый аккумуляторный для растений и цветов 2 л ЧЕТЫРЕ СЕЗОНА</t>
  </si>
  <si>
    <t>62-0246</t>
  </si>
  <si>
    <t>Опрыскиватель садовый гидравлический для растений и цветов 18л ЧЕТЫРЕ СЕЗОНА</t>
  </si>
  <si>
    <t>62-0247</t>
  </si>
  <si>
    <t>Опрыскиватель садовый помповый для растений и цветов 3л ЧЕТЫРЕ СЕЗОНА</t>
  </si>
  <si>
    <t>62-0244</t>
  </si>
  <si>
    <t>Опрыскиватель садовый помповый для растений и цветов 5л ЧЕТЫРЕ СЕЗОНА</t>
  </si>
  <si>
    <t>7. 8. 4. 9 Щетки и товары для влажной уборки садовых дорожек, участков</t>
  </si>
  <si>
    <t>62-0320-F</t>
  </si>
  <si>
    <t>Набор для чистки поверхностей Профи (щетка, распылитель, коннекторы на шланг 1/2" и 3/4", адаптер на кран) ЧЕТЫРЕ СЕЗОНА</t>
  </si>
  <si>
    <t>62-0322-F</t>
  </si>
  <si>
    <t>Щетка на шланг длинная 150см под быстросъемный коннектор Профи ЧЕТЫРЕ СЕЗОНА</t>
  </si>
  <si>
    <t>7. 8. 5 Химия для загородных участков</t>
  </si>
  <si>
    <t>7. 8. 5. 2 Для биотуалетов</t>
  </si>
  <si>
    <t>63-0007</t>
  </si>
  <si>
    <t>Средство для биотуалетов верхний бачок, 1 литр ЧЕТЫРЕ СЕЗОНА</t>
  </si>
  <si>
    <t>150 - 30 дней</t>
  </si>
  <si>
    <t>7. 8. 5. 3 Для выгребных ям</t>
  </si>
  <si>
    <t>63-0001</t>
  </si>
  <si>
    <t>Средство для выгребных ям и дачных туалетов, 1 литр ЧЕТЫРЕ СЕЗОНА</t>
  </si>
  <si>
    <t>7.11 HALSA</t>
  </si>
  <si>
    <t>7.11. 1 Здоровье</t>
  </si>
  <si>
    <t>7.11. 1. 1 Весы</t>
  </si>
  <si>
    <t>HSL-H-221W</t>
  </si>
  <si>
    <t>Умные весы белые HALSA</t>
  </si>
  <si>
    <t>HSL-H-212W</t>
  </si>
  <si>
    <t>Умные весы диагностические HALSA</t>
  </si>
  <si>
    <t>7.11. 1. 2 Чайники</t>
  </si>
  <si>
    <t>HLS-K-104</t>
  </si>
  <si>
    <t>Умный Wi-Fi чайник пластиковый, белый HALSA</t>
  </si>
  <si>
    <t>HLS-K-103</t>
  </si>
  <si>
    <t>Умный Wi-Fi чайник пластиковый, черный HALSA</t>
  </si>
  <si>
    <t>7.11. 1. 3 Термометры</t>
  </si>
  <si>
    <t>HLS-T-104</t>
  </si>
  <si>
    <t>Термометр водный, оранжевый, птичка HALSA</t>
  </si>
  <si>
    <t>HLS-T-101</t>
  </si>
  <si>
    <t>Термометр водный, розовый HALSA</t>
  </si>
  <si>
    <t>7.11. 2 Безопасность</t>
  </si>
  <si>
    <t>7.11. 2. 1 Камеры слежения</t>
  </si>
  <si>
    <t>HSL-S-102W</t>
  </si>
  <si>
    <t>Умная Wi-Fi камера 5в1 с часами, термометром и ночником HALSA</t>
  </si>
  <si>
    <t>HLS-S-103W</t>
  </si>
  <si>
    <t>Умная Wi-Fi камера Медвежонок HALSA</t>
  </si>
  <si>
    <t>7.11. 2. 2 Накладки на мебель</t>
  </si>
  <si>
    <t>HLS-S-111</t>
  </si>
  <si>
    <t>Кромка защитная прозрачная 30х4х2000мм HALSA</t>
  </si>
  <si>
    <t>HLS-S-110W</t>
  </si>
  <si>
    <t>Набор для детской безопасности (мягкая универсальная лента на острые края + 4 мягкие насадки-протекторы уголовые) бежевый HALSA</t>
  </si>
  <si>
    <t>HLS-S-110B</t>
  </si>
  <si>
    <t>Набор для детской безопасности (мягкая универсальная лента на острые края + 4 мягкие насадки-протекторы уголовые) черный HALSA</t>
  </si>
  <si>
    <t>HLS-S-110</t>
  </si>
  <si>
    <t>Накладки защитные на углы (4 шт/уп) HALSA</t>
  </si>
  <si>
    <t>HLS-S-102</t>
  </si>
  <si>
    <t>Накладки-протекторы для мебели круглые прозрачные 43x43x24мм (4 шт/уп) HALSA</t>
  </si>
  <si>
    <t>HLS-S-107W</t>
  </si>
  <si>
    <t>Накладки-протекторы для мебели мягкие 23,9х7,5х51,5 мм (4 шт/уп) HALSA</t>
  </si>
  <si>
    <t>HLS-S-106W</t>
  </si>
  <si>
    <t>Накладки-протекторы для мебели мягкие 32,8х10х52,5 мм (4 шт/уп) HALSA</t>
  </si>
  <si>
    <t>HLS-S-103</t>
  </si>
  <si>
    <t>Накладки-протекторы для мебели треугольные прозрачные 24x34x19мм (8 шт/уп) HALSA</t>
  </si>
  <si>
    <t>HLS-S-101</t>
  </si>
  <si>
    <t>Накладки-протекторы для мебели треугольные прозрачные 42,7х42,7х19,5 мм (4 шт/уп) HALSA</t>
  </si>
  <si>
    <t>HLS-S-109W</t>
  </si>
  <si>
    <t>Универсальная самоклеящаяся лента на острые края 24х8х2000мм (1 шт/уп) HALSA</t>
  </si>
  <si>
    <t>7.11. 2. 3 Блокираторы доступа</t>
  </si>
  <si>
    <t>HLS-S-404</t>
  </si>
  <si>
    <t>Блокиратор дверной ручки HALSA</t>
  </si>
  <si>
    <t>HLS-S-403</t>
  </si>
  <si>
    <t>Блокиратор для дверной ручки поворотный HALSA</t>
  </si>
  <si>
    <t>HLS-S-203G</t>
  </si>
  <si>
    <t>Блокировка для мебели универсальная с регулируемой длиной (1 шт/уп) HALSA</t>
  </si>
  <si>
    <t>HLS-S-201</t>
  </si>
  <si>
    <t>Блокировка для мебели универсальная, длинная (2 шт/уп) HALSA</t>
  </si>
  <si>
    <t>HLS-S-202</t>
  </si>
  <si>
    <t>Блокировка для мебели универсальная, короткая (2 шт/уп) HALSA</t>
  </si>
  <si>
    <t>HLS-S-211</t>
  </si>
  <si>
    <t>Внешний замок-блокиратор для выдвижных ящиков Premium (2 шт/уп) HALSA</t>
  </si>
  <si>
    <t>HLS-S-209</t>
  </si>
  <si>
    <t>Внешний замок-блокиратор для выдвижных ящиков квадратный (1 шт/уп) HALSA</t>
  </si>
  <si>
    <t>HLS-S-210</t>
  </si>
  <si>
    <t>Внешний замок-блокиратор для выдвижных ящиков скругленный (1 шт/уп)  HALSA</t>
  </si>
  <si>
    <t>HLS-S-214</t>
  </si>
  <si>
    <t>Внешний замок-блокиратор для створок шкафов, 3,5х9,7см (2 шт/уп) HALSA</t>
  </si>
  <si>
    <t>HLS-S-213</t>
  </si>
  <si>
    <t>Внутренний магнитный замок-блокиратор для выдвижных ящиков (4 шт/уп) HALSA</t>
  </si>
  <si>
    <t>HLS-S-602</t>
  </si>
  <si>
    <t>Заглушки для розеток, 3,7х3,3х0,3см, АБС-пластик (6 шт/уп) HALSA</t>
  </si>
  <si>
    <t>HLS-S-601</t>
  </si>
  <si>
    <t>Заглушки для розеток, 3,7х3,3х2,5см, полипропилен (6 шт/уп) HALSA</t>
  </si>
  <si>
    <t>HLS-S-603</t>
  </si>
  <si>
    <t>Заглушки для розеток, 3,7х3,6х1,4см, АБС-пластик (6 шт/уп) HALSA</t>
  </si>
  <si>
    <t>HLS-S-303</t>
  </si>
  <si>
    <t>Замок защитный оконный HALSA</t>
  </si>
  <si>
    <t>HLS-S-206</t>
  </si>
  <si>
    <t>Замок-блокиратор для духовки (1 шт/уп) HALSA</t>
  </si>
  <si>
    <t>HLS-S-219</t>
  </si>
  <si>
    <t>Замок-блокиратор для духового шкафа клеевой HALSA</t>
  </si>
  <si>
    <t>HLS-S-217W</t>
  </si>
  <si>
    <t>Замок-блокиратор для духового шкафа Премиум, белый HALSA</t>
  </si>
  <si>
    <t>HLS-S-217B</t>
  </si>
  <si>
    <t>Замок-блокиратор для духового шкафа Премиум, черный HALSA</t>
  </si>
  <si>
    <t>HLS-S-901</t>
  </si>
  <si>
    <t>Замок-блокиратор для крышки унитаза Premium HALSA</t>
  </si>
  <si>
    <t>HLS-S-207-1</t>
  </si>
  <si>
    <t>Замок-блокиратор для холодильника Премиум, белый (1 шт/уп) HALSA</t>
  </si>
  <si>
    <t>HLS-S-207</t>
  </si>
  <si>
    <t>Замок-блокиратор для холодильника, белый (1 шт/уп) HALSA</t>
  </si>
  <si>
    <t>HLS-S-208</t>
  </si>
  <si>
    <t>Замок-блокиратор для холодильника, черный (1 шт/уп) HALSA</t>
  </si>
  <si>
    <t>HLS-S-218</t>
  </si>
  <si>
    <t>Замок-блокиратор для шкафов и холодильников клеевой HALSA</t>
  </si>
  <si>
    <t>HLS-S-220</t>
  </si>
  <si>
    <t>Кожух защитный для кухонной плиты (2 шт/уп) HALSA</t>
  </si>
  <si>
    <t>HLS-S-302</t>
  </si>
  <si>
    <t>Ограничитель для раздвижного окна (1 шт/уп) HALSA</t>
  </si>
  <si>
    <t>HLS-S-301</t>
  </si>
  <si>
    <t>Ограничитель-бабочка для раздвижного окна (1 шт/уп) HALSA</t>
  </si>
  <si>
    <t>HLS-S-506</t>
  </si>
  <si>
    <t>Ограничитель-стоппер для двери, с держателем (2 шт/уп)  HALSA</t>
  </si>
  <si>
    <t>HLS-S-504</t>
  </si>
  <si>
    <t>Ограничитель-стоппер для двери, термопластичная резина (1 шт/уп) HALSA</t>
  </si>
  <si>
    <t>HLS-S-502</t>
  </si>
  <si>
    <t>Ограничитель-стоппер для двери, ЭВА (1 шт/уп) HALSA</t>
  </si>
  <si>
    <t>HLS-S-507</t>
  </si>
  <si>
    <t>Пробка дверная предохранительная для защиты пальцев HALSA</t>
  </si>
  <si>
    <t>HLS-S-508</t>
  </si>
  <si>
    <t>Пробка-стоппер для двери поворотная HALSA</t>
  </si>
  <si>
    <t>7.11. 2. 4 Защита от падения</t>
  </si>
  <si>
    <t>HLS-S-701</t>
  </si>
  <si>
    <t>Ремни для крепления телевизора и мебели (2 шт/уп) HALSA</t>
  </si>
  <si>
    <t>7.11. 4 Чистота</t>
  </si>
  <si>
    <t>7.11. 4. 1 Мусорные ведра</t>
  </si>
  <si>
    <t>HSL-C-102</t>
  </si>
  <si>
    <t>Мусорное ведро с датчиком движения круглое, 10л HALSA</t>
  </si>
  <si>
    <t>HSL-C-104</t>
  </si>
  <si>
    <t>Мусорное ведро с датчиком движения круглое, 12л HALSA</t>
  </si>
  <si>
    <t>HSL-C-101</t>
  </si>
  <si>
    <t>Мусорное ведро с датчиком движения, 10л HALSA</t>
  </si>
  <si>
    <t>HSL-C-107</t>
  </si>
  <si>
    <t>Мусорное ведро с датчиком движения, 12л HALSA</t>
  </si>
  <si>
    <t>HSL-C-105</t>
  </si>
  <si>
    <t>Мусорное ведро с датчиком движения, 15л HALSA</t>
  </si>
  <si>
    <t>7.11. 4. 3 Держатели для Ванной/Кухни</t>
  </si>
  <si>
    <t>HLS-F-105W</t>
  </si>
  <si>
    <t>Вешалка для полотенец настенная на вакуумной присоске, 5 крючков HALSA</t>
  </si>
  <si>
    <t>HLS-F-112W</t>
  </si>
  <si>
    <t>Держатель для бритвенного станка на вакуумной присоске HALSA</t>
  </si>
  <si>
    <t>HLS-F-108W</t>
  </si>
  <si>
    <t>Держатель для бумажных полотенец настенный на вакуумной присоске HALSA</t>
  </si>
  <si>
    <t>HLS-F-111W</t>
  </si>
  <si>
    <t>Держатель для зубных щеток на вакуумной присоске HALSA</t>
  </si>
  <si>
    <t>HLS-F-109W</t>
  </si>
  <si>
    <t>Держатель для туалетной бумаги настенный на вакуумной присоске HALSA</t>
  </si>
  <si>
    <t>HLS-F-114W</t>
  </si>
  <si>
    <t>Стакан для зубных щеток двойной на вакуумной присоске HALSA</t>
  </si>
  <si>
    <t>HLS-F-113W</t>
  </si>
  <si>
    <t>Стакан для зубных щеток и пасты на вакуумной присоске HALSA</t>
  </si>
  <si>
    <t>7.11. 5 Уход</t>
  </si>
  <si>
    <t>7.11. 5. 1 Козырьки</t>
  </si>
  <si>
    <t>HLS-HY-101</t>
  </si>
  <si>
    <t>Козырек для купания детей голубой (бегемотик) HALSA</t>
  </si>
  <si>
    <t>7.11. 5. 2 Фартуки</t>
  </si>
  <si>
    <t>HLS-BI-101</t>
  </si>
  <si>
    <t>Фартук нагрудный для кормления с жестким карманом, зеленый с розовым HALSA</t>
  </si>
  <si>
    <t>7.12 Системы хранения</t>
  </si>
  <si>
    <t>7.12. 1 Цифровая техника</t>
  </si>
  <si>
    <t>38-0717</t>
  </si>
  <si>
    <t>Держатель для смартфонов и планшетов, настольный, черный REXANT</t>
  </si>
  <si>
    <t>38-0625</t>
  </si>
  <si>
    <t>Кронштейн для PlayStation5, настенный, белый REXANT</t>
  </si>
  <si>
    <t>38-0628</t>
  </si>
  <si>
    <t>Кронштейн для игровых джойстиков универсальный, настенный, белый REXANT</t>
  </si>
  <si>
    <t>38-0627</t>
  </si>
  <si>
    <t>Кронштейн для игровых джойстиков универсальный, настенный, черный REXANT</t>
  </si>
  <si>
    <t>38-0633</t>
  </si>
  <si>
    <t>Кронштейн для колонок, настенный, белый REXANT</t>
  </si>
  <si>
    <t>38-0632</t>
  </si>
  <si>
    <t>Кронштейн для колонок, настенный, черный REXANT</t>
  </si>
  <si>
    <t>38-0689</t>
  </si>
  <si>
    <t>Кронштейн для хранения дисков настенный, белый REXANT</t>
  </si>
  <si>
    <t>38-0631</t>
  </si>
  <si>
    <t>Подставка для наушников настольная, черная REXANT</t>
  </si>
  <si>
    <t>7.12. 2 Спортинвентарь</t>
  </si>
  <si>
    <t>38-0659</t>
  </si>
  <si>
    <t>Держатель для шлемов и экипировки, настенный, черный REXANT</t>
  </si>
  <si>
    <t>38-0660</t>
  </si>
  <si>
    <t>Кронштейн для боксерской груши, гамаков для йоги, до 200кг, черный REXANT</t>
  </si>
  <si>
    <t>38-0601</t>
  </si>
  <si>
    <t>Кронштейн для велосипеда настенный В-1 REXANT</t>
  </si>
  <si>
    <t>38-0602</t>
  </si>
  <si>
    <t>Кронштейн для велосипеда настенный В-2 REXANT</t>
  </si>
  <si>
    <t>38-0603</t>
  </si>
  <si>
    <t>Кронштейн для велосипеда настенный В-3 REXANT</t>
  </si>
  <si>
    <t>38-0604</t>
  </si>
  <si>
    <t>Кронштейн для велосипеда настенный В-4 REXANT</t>
  </si>
  <si>
    <t>38-0605</t>
  </si>
  <si>
    <t>Кронштейн для велосипеда настенный В-5 REXANT</t>
  </si>
  <si>
    <t>38-0612</t>
  </si>
  <si>
    <t>Кронштейн для велосипеда универсальный, 2 шт. REXANT</t>
  </si>
  <si>
    <t>38-0616</t>
  </si>
  <si>
    <t>Кронштейн для настенного хранения, с протектором, вылет 340мм REXANT</t>
  </si>
  <si>
    <t>7.12. 3 Ванная и Кухня</t>
  </si>
  <si>
    <t>38-0637</t>
  </si>
  <si>
    <t>Держатель для бумажных полотенец, настенный, монтаж без сверления, черный REXANT</t>
  </si>
  <si>
    <t>38-0694</t>
  </si>
  <si>
    <t>Держатель для хранения губки и кухонной утвари, монтаж без сверления, белый REXANT</t>
  </si>
  <si>
    <t>38-0693</t>
  </si>
  <si>
    <t>Держатель для хранения губки и кухонной утвари, монтаж без сверления, черный REXANT</t>
  </si>
  <si>
    <t>38-0704</t>
  </si>
  <si>
    <t>Держатель для хранения зубных щеток и аксессуаров для ванны, белый REXANT</t>
  </si>
  <si>
    <t>38-0696</t>
  </si>
  <si>
    <t>Держатель для хранения зубных щеток и насадок, монтаж без сверления, белый REXANT</t>
  </si>
  <si>
    <t>38-0695</t>
  </si>
  <si>
    <t>Держатель для хранения зубных щеток и насадок, монтаж без сверления, черный REXANT</t>
  </si>
  <si>
    <t>38-0705</t>
  </si>
  <si>
    <t>Держатель для хранения фена с креплением для сетевого кабеля, черный REXANT</t>
  </si>
  <si>
    <t>38-0716</t>
  </si>
  <si>
    <t>Держатель для хранения электрических зубных щеток и насадок, монтаж без сверления, белый REXANT</t>
  </si>
  <si>
    <t>38-0642</t>
  </si>
  <si>
    <t>Кухонный органайзер, настенный, монтаж без сверления, белый REXANT</t>
  </si>
  <si>
    <t>38-0100</t>
  </si>
  <si>
    <t>Кронштейн настенный для СВЧ печей REXANT</t>
  </si>
  <si>
    <t>38-0679</t>
  </si>
  <si>
    <t>Полка-органайзер для кухни, дуб Вотан, черная REXANT</t>
  </si>
  <si>
    <t>38-0678</t>
  </si>
  <si>
    <t>Полка-органайзер для кухни, дуб Харбор, белая REXANT</t>
  </si>
  <si>
    <t>7.12. 4 Инструмент</t>
  </si>
  <si>
    <t>38-0657</t>
  </si>
  <si>
    <t>Держатель для угловых шлифмашинок до 125мм, настенный, с крючками, черный REXANT</t>
  </si>
  <si>
    <t>38-0655</t>
  </si>
  <si>
    <t>Держатель для угловых шлифмашинок до 125мм, настенный, черный REXANT</t>
  </si>
  <si>
    <t>38-0658</t>
  </si>
  <si>
    <t>Держатель для угловых шлифмашинок до 230мм, настенный, с крючками, черный REXANT</t>
  </si>
  <si>
    <t>38-0656</t>
  </si>
  <si>
    <t>Держатель для угловых шлифмашинок до 230мм, настенный, черный REXANT</t>
  </si>
  <si>
    <t>38-0669</t>
  </si>
  <si>
    <t>Держатель для электролобзика настенный, черный REXANT</t>
  </si>
  <si>
    <t>38-0683</t>
  </si>
  <si>
    <t>Держатель-органайзер для F-образных струбцин настенный, черный REXANT</t>
  </si>
  <si>
    <t>38-0654</t>
  </si>
  <si>
    <t>Держатель-органайзер для покрасочных работ, настенный, черный REXANT</t>
  </si>
  <si>
    <t>38-0617</t>
  </si>
  <si>
    <t>Кронштейн для настенного хранения двойной, с протектором, вылет 185мм REXANT</t>
  </si>
  <si>
    <t>38-0618</t>
  </si>
  <si>
    <t>Кронштейн для настенного хранения, вылет 270мм REXANT</t>
  </si>
  <si>
    <t>38-0613</t>
  </si>
  <si>
    <t>Набор кронштейнов вкручивающихся, 10 шт. REXANT</t>
  </si>
  <si>
    <t>38-0615</t>
  </si>
  <si>
    <t>Набор кронштейнов настенных, 10 шт. REXANT</t>
  </si>
  <si>
    <t>38-0674</t>
  </si>
  <si>
    <t>Полка для хранения 490x70мм, металлическая, настенная, черная REXANT</t>
  </si>
  <si>
    <t>7.12. 5 Домашний уют</t>
  </si>
  <si>
    <t>38-0720</t>
  </si>
  <si>
    <t>Держатель для венка на межкомнатную дверь, регулируемый, черный REXANT</t>
  </si>
  <si>
    <t>38-0692</t>
  </si>
  <si>
    <t>Держатель для обувных ложек и зонтов настенный, белый REXANT</t>
  </si>
  <si>
    <t>38-0639</t>
  </si>
  <si>
    <t>Держатель для обувных ложек и зонтов, настенный, черный REXANT</t>
  </si>
  <si>
    <t>38-0711</t>
  </si>
  <si>
    <t>Держатель для хранения одежды в стиле лофт, крепление на дверь, 3 штуки, черный REXANT</t>
  </si>
  <si>
    <t>38-0681</t>
  </si>
  <si>
    <t>Кронштейн в стиле лофт для крепления полок, настенный, белый REXANT</t>
  </si>
  <si>
    <t>38-0680</t>
  </si>
  <si>
    <t>Кронштейн в стиле лофт для крепления полок, настенный, черный REXANT</t>
  </si>
  <si>
    <t>8. КЛИМАТИЧЕСКОЕ ОБОРУДОВАНИЕ (CLIMATE)</t>
  </si>
  <si>
    <t>8. 1. Теплый пол</t>
  </si>
  <si>
    <t>8. 1. 1 Нагревательный мат REXANT</t>
  </si>
  <si>
    <t>8. 1. 1. 1 Classic</t>
  </si>
  <si>
    <t>51-0501-2</t>
  </si>
  <si>
    <t>Теплый пол, нагревательный мат Classic RNX-0,5-75 0,5м², 0,5х1м, 75Вт двухжильный, с экраном REXANT</t>
  </si>
  <si>
    <t>51-0502-2</t>
  </si>
  <si>
    <t>Теплый пол, нагревательный мат Classic RNX-1-150 1м², 0,5х2м, 150Вт, двухжильный, с экраном REXANT</t>
  </si>
  <si>
    <t>51-0503-2</t>
  </si>
  <si>
    <t>Теплый пол, нагревательный мат Classic RNX-1,5-225 1,5м², 0,5х3м, 225Вт двухжильный, с экраном REXANT</t>
  </si>
  <si>
    <t>51-0504-2</t>
  </si>
  <si>
    <t>Теплый пол, нагревательный мат Classic RNX-2-300 2м², 0,5х4м, 300Вт двухжильный, с экраном REXANT</t>
  </si>
  <si>
    <t>51-0505-2</t>
  </si>
  <si>
    <t>Теплый пол, нагревательный мат Classic RNX-2,5-375 2,5м², 0,5х5м, 375Вт двухжильный, с экраном REXANT</t>
  </si>
  <si>
    <t>51-0506-2</t>
  </si>
  <si>
    <t>Теплый пол, нагревательный мат Classic RNX-3-450 3м², 0,5х6м, 450Вт двухжильный, с экраном REXANT</t>
  </si>
  <si>
    <t>51-0507-2</t>
  </si>
  <si>
    <t>Теплый пол, нагревательный мат Classic RNX-3,5-525 3,5м², 0,5х7м, 525Вт двухжильный, с экраном REXANT</t>
  </si>
  <si>
    <t>51-0508-2</t>
  </si>
  <si>
    <t>Теплый пол, нагревательный мат Classic RNX-4-600 4м², 0,5х8м, 600Вт двухжильный, с экраном, REXANT</t>
  </si>
  <si>
    <t>51-0509-2</t>
  </si>
  <si>
    <t>Теплый пол, нагревательный мат Classic RNX-5-750 5м², 0,5х10м, 750Вт двухжильный, с экраном REXANT</t>
  </si>
  <si>
    <t>51-0510-2</t>
  </si>
  <si>
    <t>Теплый пол, нагревательный мат Classic RNX-6-900 6м², 0,5х12м, 900Вт двухжильный, с экраном REXANT</t>
  </si>
  <si>
    <t>51-0512-2</t>
  </si>
  <si>
    <t>Теплый пол, нагревательный мат Classic RNX-7-1050 7м², 0,5х14м, 1050Вт двухжильный, с экраном REXANT</t>
  </si>
  <si>
    <t>51-0514-2</t>
  </si>
  <si>
    <t>Теплый пол, нагревательный мат Classic RNX-8-1200 8м², 0,5х16м, 1200Вт двухжильный, с экраном REXANT</t>
  </si>
  <si>
    <t>51-0516-2</t>
  </si>
  <si>
    <t>Теплый пол, нагревательный мат Classic RNX-9-1350 9м², 0,5х18м, 1350Вт двухжильный, с экраном REXANT</t>
  </si>
  <si>
    <t>51-0519-2</t>
  </si>
  <si>
    <t>Теплый пол, нагревательный мат Classic RNX-10-1500 10м², 0,5х20м, 1500Вт двухжильный, с экраном REXANT</t>
  </si>
  <si>
    <t>51-0520-2</t>
  </si>
  <si>
    <t>Теплый пол, нагревательный мат Classic RNX-11-1650 11м², 0,5х22м, 1650Вт двухжильный, с экраном REXANT</t>
  </si>
  <si>
    <t>51-0524-2</t>
  </si>
  <si>
    <t>Теплый пол, нагревательный мат Classic RNX-12-1800 12м², 0,5х24м, 1800Вт двухжильный, с экраном REXANT</t>
  </si>
  <si>
    <t>51-0525-2</t>
  </si>
  <si>
    <t>Теплый пол, нагревательный мат Classic RNX-13-1950 13м², 0,5х26м, 1950Вт двухжильный, с экраном REXANT</t>
  </si>
  <si>
    <t>51-0526-2</t>
  </si>
  <si>
    <t>Теплый пол, нагревательный мат Classic RNX-14-2100 14м², 0,5х28 м, 2100Вт двухжильный, с экраном REXANT</t>
  </si>
  <si>
    <t>51-0527-2</t>
  </si>
  <si>
    <t>Теплый пол, нагревательный мат Classic RNX-15-2250 15м², 0,5х30м, 2250Вт двухжильный, с экраном REXANT</t>
  </si>
  <si>
    <t>8. 1. 1. 2 Extra</t>
  </si>
  <si>
    <t>51-0501</t>
  </si>
  <si>
    <t>Теплый пол, нагревательный самоклеящийся мат Extra 0,7м², 0,5х1,4м, 112Вт двухжильный REXANT</t>
  </si>
  <si>
    <t>51-0502</t>
  </si>
  <si>
    <t>Теплый пол, нагревательный самоклеящийся мат Extra 1м², 0,5х2м, 160Вт двухжильный REXANT</t>
  </si>
  <si>
    <t>51-0503</t>
  </si>
  <si>
    <t>Теплый пол, нагревательный самоклеящийся мат Extra 1,5м², 0,5х3м, 240Вт двухжильный REXANT</t>
  </si>
  <si>
    <t>51-0504</t>
  </si>
  <si>
    <t>Теплый пол, нагревательный самоклеящийся мат Extra 2м², 0,5х4м, 320Вт двухжильный REXANT</t>
  </si>
  <si>
    <t>51-0505</t>
  </si>
  <si>
    <t>Теплый пол, нагревательный самоклеящийся мат Extra 2,5м², 0,5х5м, 400Вт двухжильный REXANT</t>
  </si>
  <si>
    <t>51-0506</t>
  </si>
  <si>
    <t>Теплый пол, нагревательный самоклеящийся мат Extra 3м², 0,5х6м, 480Вт двухжильный REXANT</t>
  </si>
  <si>
    <t>51-0507</t>
  </si>
  <si>
    <t>Теплый пол, нагревательный самоклеящийся мат Extra 3,5м², 0,5х7м, 560Вт двухжильный REXANT</t>
  </si>
  <si>
    <t>51-0508</t>
  </si>
  <si>
    <t>Теплый пол, нагревательный самоклеящийся мат Extra 4м², 0,5х8м, 640Вт двухжильный, REXANT</t>
  </si>
  <si>
    <t>51-0509</t>
  </si>
  <si>
    <t>Теплый пол, нагревательный самоклеящийся мат Extra 4,5м², 0,5х9м, 720Вт двухжильный REXANT</t>
  </si>
  <si>
    <t>51-0510</t>
  </si>
  <si>
    <t>Теплый пол, нагревательный самоклеящийся мат Extra 5м², 0,5х10м, 800Вт двухжильный REXANT</t>
  </si>
  <si>
    <t>51-0512</t>
  </si>
  <si>
    <t>Теплый пол, нагревательный самоклеящийся мат Extra 6м², 0,5х12м, 960Вт двухжильный REXANT</t>
  </si>
  <si>
    <t>51-0514</t>
  </si>
  <si>
    <t>Теплый пол, нагревательный самоклеящийся мат Extra 7м², 0,5х14м, 1120Вт двухжильный REXANT</t>
  </si>
  <si>
    <t>51-0516</t>
  </si>
  <si>
    <t>Теплый пол, нагревательный самоклеящийся мат Extra 8м², 0,5х16м, 1280Вт двухжильный REXANT</t>
  </si>
  <si>
    <t>51-0519</t>
  </si>
  <si>
    <t>Теплый пол, нагревательный самоклеящийся мат Extra 9м², 0,5х18м, 1440Вт двухжильный REXANT</t>
  </si>
  <si>
    <t>51-0520</t>
  </si>
  <si>
    <t>Теплый пол, нагревательный самоклеящийся мат Extra 10 м², 0,5х20 м, 1600 Вт двухжильный REXANT</t>
  </si>
  <si>
    <t>51-0524</t>
  </si>
  <si>
    <t>Теплый пол, нагревательный самоклеящийся мат Extra 12 м², 0,5х24 м, 1920 Вт двухжильный REXANT</t>
  </si>
  <si>
    <t>8. 1. 1. 3 PRO</t>
  </si>
  <si>
    <t>51-0010</t>
  </si>
  <si>
    <t>Теплый пол, нагревательный мат PRO RNX-1-220 1м², 0,5х2,0м, 220Вт двухжильный, с экраном REXANT</t>
  </si>
  <si>
    <t>51-0011</t>
  </si>
  <si>
    <t>Теплый пол, нагревательный мат PRO RNX-1,5-330 1,5м², 0,5х3м, 330Вт двухжильный, с экраном REXANT</t>
  </si>
  <si>
    <t>51-0012</t>
  </si>
  <si>
    <t>Теплый пол, нагревательный мат PRO RNX-2-440 2м², 0,5х4м, 440Вт двухжильный, с экраном REXANT</t>
  </si>
  <si>
    <t>51-0013</t>
  </si>
  <si>
    <t>Теплый пол, нагревательный мат PRO RNX-2,5-550 2,5 м², 0,5х5 м, 550 Вт двухжильный, с экраном REXANT</t>
  </si>
  <si>
    <t>51-0014</t>
  </si>
  <si>
    <t>Теплый пол, нагревательный мат PRO RNX-3-660 3м², 0,5х6м, 660Вт двухжильный, с экраном REXANT</t>
  </si>
  <si>
    <t>51-0016</t>
  </si>
  <si>
    <t>Тёплый пол, нагревательный мат PRO RNX-4-880 4м², 0,5х8м, 880Вт двухжильный, с экраном REXANT</t>
  </si>
  <si>
    <t>51-0018</t>
  </si>
  <si>
    <t>Теплый пол, нагревательный мат PRO RNX-5-1100 5м², 0,5х10м, 1100Вт двухжильный, с экраном REXANT</t>
  </si>
  <si>
    <t>8. 1. 1. 4 ЭКО</t>
  </si>
  <si>
    <t>51-0500-05</t>
  </si>
  <si>
    <t>Теплый пол, нагревательный мат ЭКО 2НМ-0,5-75 0,5м², 0,5х1м, 75Вт двухжильный, с экраном PROconnect</t>
  </si>
  <si>
    <t>51-0500-1</t>
  </si>
  <si>
    <t>Теплый пол, нагревательный мат ЭКО 2НМ-1,0-150 1м², 0,5х2м, 150Вт двухжильный, с экраном PROconnect</t>
  </si>
  <si>
    <t>51-0500-105</t>
  </si>
  <si>
    <t>Теплый пол, нагревательный мат ЭКО 2НМ-1,5-225 1,5м², 0,5х3м, 225Вт двухжильный, с экраном PROconnect</t>
  </si>
  <si>
    <t>51-0500-10</t>
  </si>
  <si>
    <t>Теплый пол, нагревательный мат ЭКО 2НМ-10,0-1500 10м², 0,5х20м, 1500Вт двухжильный, с экраном PROconnect</t>
  </si>
  <si>
    <t>51-0500-12</t>
  </si>
  <si>
    <t>Теплый пол, нагревательный мат ЭКО 2НМ-12,0-1800 12м², 0,5х24м, 1800Вт двухжильный, с экраном PROconnect</t>
  </si>
  <si>
    <t>51-0500-2</t>
  </si>
  <si>
    <t>Теплый пол, нагревательный мат ЭКО 2НМ-2,0-300 2м², 0,5х4м, 300Вт двухжильный, с экраном PROconnect</t>
  </si>
  <si>
    <t>51-0500-3</t>
  </si>
  <si>
    <t>Теплый пол, нагревательный мат ЭКО 2НМ-3,0-450 3м², 0,5х6м, 150Вт двухжильный, с экраном PROconnect</t>
  </si>
  <si>
    <t>51-0500-4</t>
  </si>
  <si>
    <t>Теплый пол, нагревательный мат ЭКО 2НМ-4,0-600 4м², 0,5х8м, 600Вт двухжильный, с экраном PROconnect</t>
  </si>
  <si>
    <t>51-0500-5</t>
  </si>
  <si>
    <t>Теплый пол, нагревательный мат ЭКО 2НМ-5,0-750 5м², 0,5х10м, 750Вт двухжильный, с экраном PROconnect</t>
  </si>
  <si>
    <t>51-0500-6</t>
  </si>
  <si>
    <t>Теплый пол, нагревательный мат ЭКО 2НМ-6,0-900 6м², 0,5х12м, 900Вт двухжильный, с экраном PROconnect</t>
  </si>
  <si>
    <t>51-0500-7</t>
  </si>
  <si>
    <t>Теплый пол, нагревательный мат ЭКО 2НМ-7,0-1050 7м², 0,5х14м, 1050Вт двухжильный, с экраном PROconnect</t>
  </si>
  <si>
    <t>51-0500-8</t>
  </si>
  <si>
    <t>Теплый пол, нагревательный мат ЭКО 2НМ-8,0-1200 8м², 0,5х16м, 1200Вт двухжильный, с экраном PROconnect</t>
  </si>
  <si>
    <t>51-0500-9</t>
  </si>
  <si>
    <t>Теплый пол, нагревательный мат ЭКО 2НМ-9,0-1350 9м², 0,5х18м, 1350Вт двухжильный, с экраном PROconnect</t>
  </si>
  <si>
    <t>8. 1. 2 Кабельный теплый пол REXANT</t>
  </si>
  <si>
    <t>8. 1. 2. 1 Slim (без стяжки)</t>
  </si>
  <si>
    <t>51-0501-3</t>
  </si>
  <si>
    <t>Теплый пол, кабельная секция Slim RNB-15-270 270Вт,15м, 1,2-1,8м² двухжильный REXANT</t>
  </si>
  <si>
    <t>51-0502-3</t>
  </si>
  <si>
    <t>Теплый пол, кабельная секция Slim RNB-21-370 370Вт, 21м,1,8-2,5м² двухжильный REXANT</t>
  </si>
  <si>
    <t>51-0503-3</t>
  </si>
  <si>
    <t>Теплый пол, кабельная секция Slim RNB-30-550 550Вт, 30м, 2,5-3,6м² двухжильный REXANT</t>
  </si>
  <si>
    <t>51-0504-3</t>
  </si>
  <si>
    <t>Теплый пол, кабельная секция Slim RNB-39-700 700Вт, 39м, 3,6-4,5м² двухжильный REXANT</t>
  </si>
  <si>
    <t>51-0505-3</t>
  </si>
  <si>
    <t>Теплый пол, кабельная секция Slim RNB-55-1000 1000Вт, 55м, 4,5-6,5м² двухжильный REXANT</t>
  </si>
  <si>
    <t>51-0506-3</t>
  </si>
  <si>
    <t>Теплый пол, кабельная секция Slim RNB-70-1250 1250Вт, 70м, 6,5-8,5м² двухжильный REXANT</t>
  </si>
  <si>
    <t>51-0507-3</t>
  </si>
  <si>
    <t>Теплый пол, кабельная секция Slim RNB-105-1900 1900Вт, 105м, 8,5-12,5м² двухжильный REXANT</t>
  </si>
  <si>
    <t>51-0508-3</t>
  </si>
  <si>
    <t>Теплый пол, кабельная секция Slim RNB-128-2300 2300Вт, 128м 12,5-14,5м² двухжильный REXANT</t>
  </si>
  <si>
    <t>51-0509-3</t>
  </si>
  <si>
    <t>Теплый пол, кабельная секция Slim RNB-145-2600 2600Вт, 145м, 14,5-16,5м² двухжильный REXANT</t>
  </si>
  <si>
    <t>8. 1. 2. 2 Standard (в стяжку)</t>
  </si>
  <si>
    <t>51-0512-3</t>
  </si>
  <si>
    <t>Теплый пол, кабельная секция Standard RND-10-150 150Вт, 10м, 0,9-1,2м² двухжильный REXANT</t>
  </si>
  <si>
    <t>51-0513-3</t>
  </si>
  <si>
    <t>Теплый пол, кабельная секция Standard RND-20-300 300Вт, 20м, 1,3-2,6м² двухжильный REXANT</t>
  </si>
  <si>
    <t>51-0514-3</t>
  </si>
  <si>
    <t>Теплый пол, кабельная секция Standard RND-30-450 450Вт, 30м, 2,7-3,8м² двухжильный REXANT</t>
  </si>
  <si>
    <t>51-0515-3</t>
  </si>
  <si>
    <t>Теплый пол, кабельная секция Standard RND-40-600 600Вт, 40м, 3,7-5,0м² двухжильный REXANT</t>
  </si>
  <si>
    <t>51-0516-3</t>
  </si>
  <si>
    <t>Теплый пол, кабельная секция Standard RND-50-750 750Вт, 50м, 4,7-6,3м² двухжильный REXANT</t>
  </si>
  <si>
    <t>51-0517-3</t>
  </si>
  <si>
    <t>Теплый пол, кабельная секция Standard RND-60-900 900Вт, 60м, 5,6-7,5м² двухжильный REXANT</t>
  </si>
  <si>
    <t>51-0518-3</t>
  </si>
  <si>
    <t>Теплый пол, кабельная секция Standard RND-80-1200 1200Вт, 80м, 7,5-10,0м² двухжильный REXANT</t>
  </si>
  <si>
    <t>51-0519-3</t>
  </si>
  <si>
    <t>Теплый пол, кабельная секция Standard RND-100-1500 1500Вт, 100м, 9,4-12,5м² двухжильный REXANT</t>
  </si>
  <si>
    <t>51-0520-3</t>
  </si>
  <si>
    <t>Теплый пол, кабельная секция Standard RND-120-1800 1800Вт, 120м, 11,2-15,0м² двухжильный REXANT</t>
  </si>
  <si>
    <t>51-0521-3</t>
  </si>
  <si>
    <t>Теплый пол, кабельная секция Standard RND-140-2100 2100Вт, 140м, 13,0-17,5м² двухжильный REXANT</t>
  </si>
  <si>
    <t>51-0522-3</t>
  </si>
  <si>
    <t>Теплый пол, кабельная секция Standard RND-160-2400 2400Вт, 160м, 15,0-20,0м² двухжильный REXANT</t>
  </si>
  <si>
    <t>51-0523-3</t>
  </si>
  <si>
    <t>Теплый пол, кабельная секция Standard RND-180-2700 2700Вт, 180м, 17,0-22,5м² двухжильный REXANT</t>
  </si>
  <si>
    <t>8. 1. 2. 3 Монтажная перфорированная лента</t>
  </si>
  <si>
    <t>07-7110-4</t>
  </si>
  <si>
    <t>Монтажная перфорированная лента для теплого пола 20х0,55 мм, 10 м REXANT</t>
  </si>
  <si>
    <t>07-7121-4</t>
  </si>
  <si>
    <t>Монтажная перфорированная лента для теплого пола 20х0,55 мм, 20 м REXANT</t>
  </si>
  <si>
    <t>8. 1. 3 Пленочный теплый пол REXANT</t>
  </si>
  <si>
    <t>8. 1. 3. 1 Optima</t>
  </si>
  <si>
    <t>51-0501-7</t>
  </si>
  <si>
    <t>Пленочный теплый пол Optima 150 1м², 0,5х2м, 150Вт REXANT</t>
  </si>
  <si>
    <t>51-0502-7</t>
  </si>
  <si>
    <t>Пленочный теплый пол Optima 150 1,5м², 0,5х3м, 225Вт REXANT</t>
  </si>
  <si>
    <t>51-0503-7</t>
  </si>
  <si>
    <t>Пленочный теплый пол Optima 150 2м², 0,5х4м, 300Вт REXANT</t>
  </si>
  <si>
    <t>51-0504-7</t>
  </si>
  <si>
    <t>Пленочный теплый пол Optima 150 2,5м², 0,5х5м, 375Вт REXANT</t>
  </si>
  <si>
    <t>51-0505-7</t>
  </si>
  <si>
    <t>Пленочный теплый пол Optima 150 3м², 0,5х6м, 450Вт REXANT</t>
  </si>
  <si>
    <t>51-0507-7</t>
  </si>
  <si>
    <t>Пленочный теплый пол Optima 150 4м², 0,5х8м, 600Вт REXANT</t>
  </si>
  <si>
    <t>51-0508-7</t>
  </si>
  <si>
    <t>Пленочный теплый пол Optima 150 5м², 0,5х10м, 750Вт REXANT</t>
  </si>
  <si>
    <t>51-0509-7</t>
  </si>
  <si>
    <t>Пленочный теплый пол Optima 150 6 м², 0,5х12м, 900Вт REXANT</t>
  </si>
  <si>
    <t>51-0510-7</t>
  </si>
  <si>
    <t>Пленочный теплый пол Optima 150 7м², 0,5х14м, 1050Вт REXANT</t>
  </si>
  <si>
    <t>51-0511-7</t>
  </si>
  <si>
    <t>Пленочный теплый пол Optima 150 8м², 0,5х16м, 1200Вт REXANT</t>
  </si>
  <si>
    <t>51-0512-7</t>
  </si>
  <si>
    <t>Пленочный теплый пол Optima 150 9м², 0,5х18м, 1350Вт REXANT</t>
  </si>
  <si>
    <t>51-0513-7</t>
  </si>
  <si>
    <t>Пленочный теплый пол Optima 150 10м², 0,5х20м, 1500Вт REXANT</t>
  </si>
  <si>
    <t>51-0515-7</t>
  </si>
  <si>
    <t>Пленочный теплый пол Optima 150 12м², 0,5х24м, 1800Вт REXANT</t>
  </si>
  <si>
    <t>51-0516-7</t>
  </si>
  <si>
    <t>Пленочный теплый пол Optima 150 13м², 0,5х26м, 1950Вт REXANT</t>
  </si>
  <si>
    <t>51-0518-7</t>
  </si>
  <si>
    <t>Пленочный теплый пол Optima 150 15м², 0,5х30м, 2250Вт REXANT</t>
  </si>
  <si>
    <t>8. 1. 3. 2 Ultra</t>
  </si>
  <si>
    <t>51-0501-4</t>
  </si>
  <si>
    <t>Пленочный теплый пол Ultra RXM 220 1м², 0,5х2м, 220Вт REXANT</t>
  </si>
  <si>
    <t>51-0502-4</t>
  </si>
  <si>
    <t>Пленочный теплый пол Ultra RXM 220 1,5м², 0,5х3м, 330Вт REXANT</t>
  </si>
  <si>
    <t>51-0503-4</t>
  </si>
  <si>
    <t>Пленочный теплый пол Ultra RXM 220 2м², 0,5х4м, 440Вт REXANT</t>
  </si>
  <si>
    <t>51-0504-4</t>
  </si>
  <si>
    <t>Пленочный теплый пол Ultra RXM 220 2,5м², 0,5х5м, 550Вт REXANT</t>
  </si>
  <si>
    <t>51-0505-4</t>
  </si>
  <si>
    <t>Пленочный теплый пол Ultra RXM 220 3м², 0,5х6м, 660Вт REXANT</t>
  </si>
  <si>
    <t>51-0506-4</t>
  </si>
  <si>
    <t>Пленочный теплый пол Ultra RXM 220 3,5м², 0,5х7м, 770Вт REXANT</t>
  </si>
  <si>
    <t>51-0507-4</t>
  </si>
  <si>
    <t>Пленочный теплый пол Ultra RXM 220 4м², 0,5х8м, 880Вт REXANT</t>
  </si>
  <si>
    <t>51-0508-4</t>
  </si>
  <si>
    <t>Пленочный теплый пол Ultra RXM 220 5 м², 0,5х10м, 1100Вт REXANT</t>
  </si>
  <si>
    <t>51-0509-4</t>
  </si>
  <si>
    <t>Пленочный теплый пол Ultra RXM 220 6м², 0,5х12м, 1320Вт REXANT</t>
  </si>
  <si>
    <t>51-0510-4</t>
  </si>
  <si>
    <t>Пленочный теплый пол Ultra RXM 220 7м², 0,5х14м, 1540Вт REXANT</t>
  </si>
  <si>
    <t>51-0511-4</t>
  </si>
  <si>
    <t>Пленочный теплый пол Ultra RXM 220 8м², 0,5х16м, 1760Вт REXANT</t>
  </si>
  <si>
    <t>51-0512-4</t>
  </si>
  <si>
    <t>Пленочный теплый пол Ultra RXM 220 9м², 0,5х18м, 1980Вт REXANT</t>
  </si>
  <si>
    <t>51-0513-4</t>
  </si>
  <si>
    <t>Пленочный теплый пол Ultra RXM 220 10м², 0,5х20м, 2200Вт REXANT</t>
  </si>
  <si>
    <t>51-0515-4</t>
  </si>
  <si>
    <t>Пленочный теплый пол Ultra RXM 220 12м², 0,5х24м, 2640Вт REXANT</t>
  </si>
  <si>
    <t>51-0518-4</t>
  </si>
  <si>
    <t>Пленочный теплый пол Ultra RXM 220 15м², 0,5х30м, 3300Вт REXANT</t>
  </si>
  <si>
    <t>8. 1. 3. 3 Рулоны</t>
  </si>
  <si>
    <t>51-0509-5</t>
  </si>
  <si>
    <t>Пленочный теплый пол RXM 310 220Вт/м2, ширина100 см, толщина 0,338, (Рулон100м) REXANT</t>
  </si>
  <si>
    <t>пог. м</t>
  </si>
  <si>
    <t>51-0507-5</t>
  </si>
  <si>
    <t>Пленочный теплый пол RXM 305 220Вт/м2, ширина 50 см, толщина 0,338, (Рулон 150м) REXANT</t>
  </si>
  <si>
    <t>51-0508-5</t>
  </si>
  <si>
    <t>Пленочный теплый пол RXM 308 220Вт/м2, ширина 80 см, толщина 0,338, (Рулон 100 м) REXANT</t>
  </si>
  <si>
    <t>51-0550-5</t>
  </si>
  <si>
    <t>Пленочный теплый пол RXT 305 150 Вт/м², ширина 50см, толщина 0,338мм (рулон 150м)  REXANT</t>
  </si>
  <si>
    <t>51-0552-5</t>
  </si>
  <si>
    <t>Пленочный теплый пол RXT 310 150 Вт/м², ширина 100см, толщина 0,338мм (Рулон 100м) REXANT</t>
  </si>
  <si>
    <t>51-0560-5</t>
  </si>
  <si>
    <t>Пленочный теплый пол PTC 305 220Вт/м², ширина 50см, толщина 0,338мм (Рулон 150м) REXANT</t>
  </si>
  <si>
    <t>8. 1. 3. 4 Комплектующие для пленочного пола</t>
  </si>
  <si>
    <t>51-0505-5</t>
  </si>
  <si>
    <t>Бутил-каучуковая лента 20м ширина 5см, толщина 0,05см REXANT</t>
  </si>
  <si>
    <t>51-0504-5</t>
  </si>
  <si>
    <t>Монтажный зажим для пленочного пола (мин 50 шт/уп) REXANT</t>
  </si>
  <si>
    <t>51-0506-5</t>
  </si>
  <si>
    <t>Монтажный комплект для пленочного пола (2 монтажных зажима, винил-мастика 5х5см) REXANT</t>
  </si>
  <si>
    <t>51-0077-2</t>
  </si>
  <si>
    <t>Монтажный комплект для пленочного пола ИК-ТП-02 с проводами серия PRO REXANT</t>
  </si>
  <si>
    <t>8. 1. 3. 5 Extrema Gold</t>
  </si>
  <si>
    <t>51-0520-7</t>
  </si>
  <si>
    <t>Саморегулирующийся пленочный теплый пол Extrema 220 1м², 0,5х2м, 220Вт REXANT</t>
  </si>
  <si>
    <t>51-0522-7</t>
  </si>
  <si>
    <t>Саморегулирующийся пленочный теплый пол Extrema 220 2м², 0,5х4м, 440Вт REXANT</t>
  </si>
  <si>
    <t>51-0524-7</t>
  </si>
  <si>
    <t>Саморегулирующийся пленочный теплый пол Extrema 220 3м², 0,5х6м, 660Вт REXANT</t>
  </si>
  <si>
    <t>51-0526-7</t>
  </si>
  <si>
    <t>Саморегулирующийся пленочный теплый пол Extrema 220 4м², 0,5х8м, 880Вт REXANT</t>
  </si>
  <si>
    <t>51-0527-7</t>
  </si>
  <si>
    <t>Саморегулирующийся пленочный теплый пол Extrema 220 5м², 0,5х10м, 1100Вт REXANT</t>
  </si>
  <si>
    <t>8. 1. 5 Коврики с подогревом REXANT</t>
  </si>
  <si>
    <t>51-0052</t>
  </si>
  <si>
    <t>Коврик с подогревом 500х350мм REXANT</t>
  </si>
  <si>
    <t>51-0053</t>
  </si>
  <si>
    <t>Коврик с подогревом 500х700мм REXANT</t>
  </si>
  <si>
    <t>8. 2. Системы антиобледенения</t>
  </si>
  <si>
    <t>8. 2. 1 Саморегулирующийся греющий кабель Комплекты</t>
  </si>
  <si>
    <t>8. 2. 1. 1 ECO Line 10 Вт/м (в трубу)</t>
  </si>
  <si>
    <t>51-0605-4</t>
  </si>
  <si>
    <t>Кабель греющий саморегулирующийся пищевой SRP 10-2CR (10 ККНС 2ЛПп-ЭЛ) 65/85, готовый комплект в трубу, 10м/100Вт PROconnect</t>
  </si>
  <si>
    <t>51-0606-4</t>
  </si>
  <si>
    <t>Кабель греющий саморегулирующийся пищевой SRP 10-2CR (10 ККНС 2ЛПп-ЭЛ) 65/85, готовый комплект в трубу, 15м/150Вт PROconnect</t>
  </si>
  <si>
    <t>51-0607-4</t>
  </si>
  <si>
    <t>Кабель греющий саморегулирующийся пищевой SRP 10-2CR (10 ККНС 2ЛПп-ЭЛ) 65/85, готовый комплект в трубу, 20м/200Вт PROconnect</t>
  </si>
  <si>
    <t>51-0608-4</t>
  </si>
  <si>
    <t>Кабель греющий саморегулирующийся пищевой SRP 10-2CR (10 ККНС 2ЛПп-ЭЛ) 65/85, готовый комплект в трубу, 25м/250Вт PROconnect</t>
  </si>
  <si>
    <t>51-0601-4</t>
  </si>
  <si>
    <t>Кабель греющий саморегулирующийся пищевой SRP 10-2CR (10 ККНС 2ЛПп-ЭЛ) 65/85, готовый комплект в трубу, 2м/20Вт PROconnect</t>
  </si>
  <si>
    <t>51-0609-4</t>
  </si>
  <si>
    <t>Кабель греющий саморегулирующийся пищевой SRP 10-2CR (10 ККНС 2ЛПп-ЭЛ) 65/85, готовый комплект в трубу, 3м/30Вт PROconnect</t>
  </si>
  <si>
    <t>51-0602-4</t>
  </si>
  <si>
    <t>Кабель греющий саморегулирующийся пищевой SRP 10-2CR (10 ККНС 2ЛПп-ЭЛ) 65/85, готовый комплект в трубу, 4м/40Вт PROconnect</t>
  </si>
  <si>
    <t>51-0611-4</t>
  </si>
  <si>
    <t>Кабель греющий саморегулирующийся пищевой SRP 10-2CR (10 ККНС 2ЛПп-ЭЛ) 65/85, готовый комплект в трубу, 5м/50Вт PROconnect</t>
  </si>
  <si>
    <t>51-0603-4</t>
  </si>
  <si>
    <t>Кабель греющий саморегулирующийся пищевой SRP 10-2CR (10 ККНС 2ЛПп-ЭЛ) 65/85, готовый комплект в трубу, 6м/60Вт PROconnect</t>
  </si>
  <si>
    <t>51-0612-4</t>
  </si>
  <si>
    <t>Кабель греющий саморегулирующийся пищевой SRP 10-2CR (10 ККНС 2ЛПп-ЭЛ) 65/85, готовый комплект в трубу, 7м/70Вт PROconnect</t>
  </si>
  <si>
    <t>51-0604-4</t>
  </si>
  <si>
    <t>Кабель греющий саморегулирующийся пищевой SRP 10-2CR (10 ККНС 2ЛПп-ЭЛ) 65/85, готовый комплект в трубу, 8м/80Вт PROconnect</t>
  </si>
  <si>
    <t>51-0605</t>
  </si>
  <si>
    <t>Кабель греющий саморегулирующийся пищевой модель SRP 10HTM2-CT, готовый комплект в трубу, 10м/100Вт REXANT</t>
  </si>
  <si>
    <t>51-0606</t>
  </si>
  <si>
    <t>Кабель греющий саморегулирующийся пищевой модель SRP 10HTM2-CT, готовый комплект в трубу, 15м/150Вт REXANT</t>
  </si>
  <si>
    <t>51-0607</t>
  </si>
  <si>
    <t>Кабель греющий саморегулирующийся пищевой модель SRP 10HTM2-CT, готовый комплект в трубу, 20м/200Вт REXANT</t>
  </si>
  <si>
    <t>51-0608</t>
  </si>
  <si>
    <t>Кабель греющий саморегулирующийся пищевой модель SRP 10HTM2-CT, готовый комплект в трубу, 25м/250Вт REXANT</t>
  </si>
  <si>
    <t>51-0601</t>
  </si>
  <si>
    <t>Кабель греющий саморегулирующийся пищевой модель SRP 10HTM2-CT, готовый комплект в трубу, 2м/20Вт REXANT</t>
  </si>
  <si>
    <t>51-0602</t>
  </si>
  <si>
    <t>Кабель греющий саморегулирующийся пищевой модель SRP 10HTM2-CT, готовый комплект в трубу, 4м/40Вт REXANT</t>
  </si>
  <si>
    <t>51-0603</t>
  </si>
  <si>
    <t>Кабель греющий саморегулирующийся пищевой модель SRP 10HTM2-CT, готовый комплект в трубу, 6м/60Вт REXANT</t>
  </si>
  <si>
    <t>51-0604</t>
  </si>
  <si>
    <t>Кабель греющий саморегулирующийся пищевой модель SRP 10HTM2-CT, готовый комплект в трубу, 8м/80Вт REXANT</t>
  </si>
  <si>
    <t>8. 2. 1. 2 EXTRA Line 15-16 Вт/м (на трубу)</t>
  </si>
  <si>
    <t>51-0243</t>
  </si>
  <si>
    <t>Кабель греющий саморегулирующийся модель SRL 16Вт/м, на трубу, 10м/160Вт PROconnect</t>
  </si>
  <si>
    <t>51-0244</t>
  </si>
  <si>
    <t>Кабель греющий саморегулирующийся модель SRL 16Вт/м, на трубу, 15м/240Вт PROconnect</t>
  </si>
  <si>
    <t>51-0245-20</t>
  </si>
  <si>
    <t>Кабель греющий саморегулирующийся модель SRL 16Вт/м, на трубу, 20м/320Вт PROconnect</t>
  </si>
  <si>
    <t>51-0245-25</t>
  </si>
  <si>
    <t>Кабель греющий саморегулирующийся модель SRL 16Вт/м, на трубу, 25м/400Вт PROconnect</t>
  </si>
  <si>
    <t>51-0240</t>
  </si>
  <si>
    <t>Кабель греющий саморегулирующийся модель SRL 16Вт/м, на трубу, 2м/32Вт PROconnect</t>
  </si>
  <si>
    <t>51-0245-30</t>
  </si>
  <si>
    <t>Кабель греющий саморегулирующийся модель SRL 16Вт/м, на трубу, 30м/480Вт PROconnect</t>
  </si>
  <si>
    <t>51-0246</t>
  </si>
  <si>
    <t>Кабель греющий саморегулирующийся модель SRL 16Вт/м, на трубу, 3м/48Вт PROconnect</t>
  </si>
  <si>
    <t>51-0241</t>
  </si>
  <si>
    <t>Кабель греющий саморегулирующийся модель SRL 16Вт/м, на трубу, 4м/64Вт PROconnect</t>
  </si>
  <si>
    <t>51-0247</t>
  </si>
  <si>
    <t>Кабель греющий саморегулирующийся модель SRL 16Вт/м, на трубу, 5м/80Вт PROconnect</t>
  </si>
  <si>
    <t>51-0242</t>
  </si>
  <si>
    <t>Кабель греющий саморегулирующийся модель SRL 16Вт/м, на трубу, 6м/96Вт PROconnect</t>
  </si>
  <si>
    <t>51-0245</t>
  </si>
  <si>
    <t>Кабель греющий саморегулирующийся модель SRL 16Вт/м, на трубу, 8м/128Вт (без экрана) PROconnect</t>
  </si>
  <si>
    <t>51-0620</t>
  </si>
  <si>
    <t>Кабель греющий саморегулирующийся модель SRL 15MSR-PB, на трубу, 10м/150Вт REXANT</t>
  </si>
  <si>
    <t>51-0621</t>
  </si>
  <si>
    <t>Кабель греющий саморегулирующийся модель SRL 15MSR-PB, на трубу, 15м/225Вт REXANT</t>
  </si>
  <si>
    <t>51-0622</t>
  </si>
  <si>
    <t>Кабель греющий саморегулирующийся модель SRL 15MSR-PB, на трубу, 20м/300Вт REXANT</t>
  </si>
  <si>
    <t>51-0623</t>
  </si>
  <si>
    <t>Кабель греющий саморегулирующийся модель SRL 15MSR-PB, на трубу, 25м/375Вт REXANT</t>
  </si>
  <si>
    <t>51-0616</t>
  </si>
  <si>
    <t>Кабель греющий саморегулирующийся модель SRL 15MSR-PB, на трубу, 2м/30Вт REXANT</t>
  </si>
  <si>
    <t>51-0617</t>
  </si>
  <si>
    <t>Кабель греющий саморегулирующийся модель SRL 15MSR-PB, на трубу, 4м/60Вт REXANT</t>
  </si>
  <si>
    <t>51-0618</t>
  </si>
  <si>
    <t>Кабель греющий саморегулирующийся модель SRL 15MSR-PB, на трубу, 6м/90Вт REXANT</t>
  </si>
  <si>
    <t>51-0619</t>
  </si>
  <si>
    <t>Кабель греющий саморегулирующийся модель SRL 15MSR-PB, на трубу, 8м/120Вт REXANT</t>
  </si>
  <si>
    <t>8. 2. 1. 3 EXTRA Line 25 Вт/м (для труб, водостоков и кровли)</t>
  </si>
  <si>
    <t>51-0645</t>
  </si>
  <si>
    <t>Кабель греющий саморегулирующийся модель SRL Extra Line 25MSR-PB, на трубу, 10м/250Вт REXANT</t>
  </si>
  <si>
    <t>51-0646</t>
  </si>
  <si>
    <t>Кабель греющий саморегулирующийся модель SRL Extra Line 25MSR-PB, на трубу, 15м/375Вт REXANT</t>
  </si>
  <si>
    <t>51-0647</t>
  </si>
  <si>
    <t>Кабель греющий саморегулирующийся модель SRL Extra Line 25MSR-PB, на трубу, 20м/500Вт REXANT</t>
  </si>
  <si>
    <t>51-0648</t>
  </si>
  <si>
    <t>Кабель греющий саморегулирующийся модель SRL Extra Line 25MSR-PB, на трубу, 25м/625Вт REXANT</t>
  </si>
  <si>
    <t>51-0637</t>
  </si>
  <si>
    <t>Кабель греющий саморегулирующийся модель SRL Extra Line 25MSR-PB, на трубу, 2м/50Вт REXANT</t>
  </si>
  <si>
    <t>51-0638</t>
  </si>
  <si>
    <t>Кабель греющий саморегулирующийся модель SRL Extra Line 25MSR-PB, на трубу, 3м/75Вт REXANT</t>
  </si>
  <si>
    <t>51-0639</t>
  </si>
  <si>
    <t>Кабель греющий саморегулирующийся модель SRL Extra Line 25MSR-PB, на трубу, 4м/100Вт REXANT</t>
  </si>
  <si>
    <t>51-0640</t>
  </si>
  <si>
    <t>Кабель греющий саморегулирующийся модель SRL Extra Line 25MSR-PB, на трубу, 5м/125Вт REXANT</t>
  </si>
  <si>
    <t>51-0641</t>
  </si>
  <si>
    <t>Кабель греющий саморегулирующийся модель SRL Extra Line 25MSR-PB, на трубу, 6м/150Вт REXANT</t>
  </si>
  <si>
    <t>51-0643</t>
  </si>
  <si>
    <t>Кабель греющий саморегулирующийся модель SRL Extra Line 25MSR-PB, на трубу, 8м/200Вт REXANT</t>
  </si>
  <si>
    <t>8. 2. 1. 4 POWER Line 30 Вт/м (для труб, водостоков и кровли)</t>
  </si>
  <si>
    <t>51-0657</t>
  </si>
  <si>
    <t>Кабель греющий саморегулирующийся модель SRL POWER Line 30SRL-2CR, 10м/300Вт REXANT</t>
  </si>
  <si>
    <t>51-0658</t>
  </si>
  <si>
    <t>Кабель греющий саморегулирующийся модель SRL POWER Line 30SRL-2CR, 15м/450Вт REXANT</t>
  </si>
  <si>
    <t>51-0659</t>
  </si>
  <si>
    <t>Кабель греющий саморегулирующийся модель SRL POWER Line 30SRL-2CR, 20м/600Вт REXANT</t>
  </si>
  <si>
    <t>51-0660</t>
  </si>
  <si>
    <t>Кабель греющий саморегулирующийся модель SRL POWER Line 30SRL-2CR, 25м/750Вт REXANT</t>
  </si>
  <si>
    <t>51-0649</t>
  </si>
  <si>
    <t>Кабель греющий саморегулирующийся модель SRL POWER Line 30SRL-2CR, 2м/60Вт REXANT</t>
  </si>
  <si>
    <t>51-0650</t>
  </si>
  <si>
    <t>Кабель греющий саморегулирующийся модель SRL POWER Line 30SRL-2CR, 3м/90Вт REXANT</t>
  </si>
  <si>
    <t>51-0651</t>
  </si>
  <si>
    <t>Кабель греющий саморегулирующийся модель SRL POWER Line 30SRL-2CR, 4м/120Вт REXANT</t>
  </si>
  <si>
    <t>51-0652</t>
  </si>
  <si>
    <t>Кабель греющий саморегулирующийся модель SRL POWER Line 30SRL-2CR, 5м/150Вт REXANT</t>
  </si>
  <si>
    <t>51-0653</t>
  </si>
  <si>
    <t>Кабель греющий саморегулирующийся модель SRL POWER Line 30SRL-2CR, 6м/180Вт REXANT</t>
  </si>
  <si>
    <t>51-0655</t>
  </si>
  <si>
    <t>Кабель греющий саморегулирующийся модель SRL POWER Line 30SRL-2CR, 8м/240Вт REXANT</t>
  </si>
  <si>
    <t>8. 2. 2 Саморегулирующийся греющий кабель Бухты</t>
  </si>
  <si>
    <t>8. 2. 2. 1 Бухты Экранированный</t>
  </si>
  <si>
    <t>51-0250</t>
  </si>
  <si>
    <t>Кабель греющий саморегулирующийся 16КНС 2ЛТГ-ЭЛ-65/85, экранированный, взрывозащищенный, Ex, UV, 16Вт/м, 1,0мм2/115м, бухта 200м REXANT</t>
  </si>
  <si>
    <t>51-0330</t>
  </si>
  <si>
    <t>Кабель греющий (нагревательный) саморегулирующийся RSH-15F 200/240 °C, экранированный, взрывозащищенный, Ex, UV, 15Вт/м, 1,37мм2/160м 250м REXANT</t>
  </si>
  <si>
    <t>51-0331</t>
  </si>
  <si>
    <t>Кабель греющий (нагревательный) саморегулирующийся RSH-30F 200/240 °C, экранированный, взрывозащищенный, Ex, UV, 30Вт/м, 1,37мм2/110м 250м REXANT</t>
  </si>
  <si>
    <t>51-0332</t>
  </si>
  <si>
    <t>Кабель греющий (нагревательный) саморегулирующийся RSH-45F 200/240 °C, экранированный, взрывозащищенный, Ex, UV, 45Вт/м, 1,37мм2/82м 250м REXANT</t>
  </si>
  <si>
    <t>51-0333</t>
  </si>
  <si>
    <t>Кабель греющий (нагревательный) саморегулирующийся RSH-60F 200/240 °C, экранированный, взрывозащищенный, Ex, UV, 60Вт/м, 1,37мм2/64м 250м REXANT</t>
  </si>
  <si>
    <t>1 - 60 дней</t>
  </si>
  <si>
    <t>51-0334</t>
  </si>
  <si>
    <t>Кабель греющий (нагревательный) саморегулирующийся RSHT-80F 205/250 °C, экранированный, взрывозащищенный, Ex, UV, 80Вт/м, 2,0мм2/85м 250м REXANT</t>
  </si>
  <si>
    <t>51-0335</t>
  </si>
  <si>
    <t>Кабель греющий (нагревательный) саморегулирующийся RSHT-90F 205/250 °C, экранированный, взрывозащищенный, Ex, UV, 90Вт/м, 2,0мм2/70м 250м REXANT</t>
  </si>
  <si>
    <t>51-0301</t>
  </si>
  <si>
    <t>Кабель греющий (нагревательный) саморегулирующийся RSL-16F 65/85 °C фторполимер, экранированный взрывозащищенный Ex UV 16Вт/м 1,0мм2/115м 200м REXANT</t>
  </si>
  <si>
    <t>51-0303</t>
  </si>
  <si>
    <t>Кабель греющий (нагревательный) саморегулирующийся RSL-24F 65/85 °C фторполимер, экранированный взрывозащищенный Ex UV 24Вт/м 1,0мм2/75м 200м REXANT</t>
  </si>
  <si>
    <t>51-0251</t>
  </si>
  <si>
    <t>Кабель греющий (нагревательный) саморегулирующийся RSL-24HF 65/85 С°, экранированный, взрывозащищенный, Ex, UV, 24Вт/м, 1,0мм2/75м REXANT</t>
  </si>
  <si>
    <t>51-0305</t>
  </si>
  <si>
    <t>Кабель греющий (нагревательный) саморегулирующийся RSL-30F 65/85 °C фторполимер, экранированный взрывозащищенный Ex UV 30Вт/м 1,0мм2/60м 200м REXANT</t>
  </si>
  <si>
    <t>51-0252</t>
  </si>
  <si>
    <t>Кабель греющий (нагревательный) саморегулирующийся RSL-30HF 65/85 С°, экранированный, взрывозащищенный, Ex, UV, 30Вт/м, 1,0мм2/60м REXANT</t>
  </si>
  <si>
    <t>51-0307</t>
  </si>
  <si>
    <t>Кабель греющий (нагревательный) саморегулирующийся RSL-40F 65/85 °C фторполимер, экранированный взрывозащищенный Ex UV 40Вт/м 1,0мм2/45м 200м REXANT</t>
  </si>
  <si>
    <t>51-0253</t>
  </si>
  <si>
    <t>Кабель греющий (нагревательный) саморегулирующийся RSL-40HF 65/85 С°, экранированный, взрывозащищенный, Ex, UV, 40Вт/м, 1,0мм2/45м REXANT</t>
  </si>
  <si>
    <t>51-0310</t>
  </si>
  <si>
    <t>Кабель греющий (нагревательный) саморегулирующийся RSM-15F 120/200 °C, экранированный, взрывозащищенный, Ex, UV, 15Вт/м, 1,37мм2/189м 250м REXANT</t>
  </si>
  <si>
    <t>51-0312</t>
  </si>
  <si>
    <t>Кабель греющий (нагревательный) саморегулирующийся RSM-30F 120/200 °C, экранированный, взрывозащищенный, Ex, UV, 30Вт/м, 1,37мм2/140м 250м REXANT</t>
  </si>
  <si>
    <t>51-0313</t>
  </si>
  <si>
    <t>Кабель греющий (нагревательный) саморегулирующийся RSM-45F 120/200 °C, экранированный, взрывозащищенный, Ex, UV, 45Вт/м, 1,37мм2/82м 250м REXANT</t>
  </si>
  <si>
    <t>51-0314</t>
  </si>
  <si>
    <t>Кабель греющий (нагревательный) саморегулирующийся RSM-60F 120/200 °C, экранированный, взрывозащищенный, Ex, UV, 60Вт/м, 1,37мм2/64м 250м REXANT</t>
  </si>
  <si>
    <t>51-0219</t>
  </si>
  <si>
    <t>Кабель греющий (нагревательный) саморегулирующийся SRL16-2CR, экранированный, 16Вт/м, 0,93мм2/56м, бытовой, бухта 100м PROconnect</t>
  </si>
  <si>
    <t>51-0283</t>
  </si>
  <si>
    <t>Кабель греющий (нагревательный) саморегулирующийся SRL16-2CR, экранированный, 16Вт/м, 0,93мм2/56м, бытовой, бухта 200м PROconnect</t>
  </si>
  <si>
    <t>51-0214</t>
  </si>
  <si>
    <t>Кабель греющий (нагревательный) саморегулирующийся SRL16-2CR, экранированный, 16Вт/м, 0,93мм2/56м, бытовой, бухта 50м PROconnect</t>
  </si>
  <si>
    <t>51-0204</t>
  </si>
  <si>
    <t>Кабель греющий (нагревательный) саморегулирующийся SRL16-2CR, экранированный, 16Вт/м, 0,9мм2/105м, бухта 100м REXANT</t>
  </si>
  <si>
    <t>2 000 - 10 дней</t>
  </si>
  <si>
    <t>51-0275</t>
  </si>
  <si>
    <t>Кабель греющий (нагревательный) саморегулирующийся SRL16-2CR, экранированный, 16Вт/м, 0,9мм2/105м, бухта 200м REXANT</t>
  </si>
  <si>
    <t>51-0201</t>
  </si>
  <si>
    <t>Кабель греющий (нагревательный) саморегулирующийся SRL16-2CR, экранированный, 16Вт/м, 0,9мм2/105м, бухта 50м REXANT</t>
  </si>
  <si>
    <t>51-0220</t>
  </si>
  <si>
    <t>Кабель греющий (нагревательный) саморегулирующийся SRL24-2CR, экранированный, 24Вт/м, 0,93мм2/49м, бытовой, бухта 100м PROconnect</t>
  </si>
  <si>
    <t>51-0285</t>
  </si>
  <si>
    <t>Кабель греющий (нагревательный) саморегулирующийся SRL24-2CR, экранированный, 24Вт/м, 0,93мм2/49м, бытовой, бухта 200м PROconnect</t>
  </si>
  <si>
    <t>51-0215</t>
  </si>
  <si>
    <t>Кабель греющий (нагревательный) саморегулирующийся SRL24-2CR, экранированный, 24Вт/м, 0,93мм2/49м, бытовой, бухта 50м PROconnect</t>
  </si>
  <si>
    <t>51-0205</t>
  </si>
  <si>
    <t>Кабель греющий (нагревательный) саморегулирующийся SRL24-2CR, экранированный, 24Вт/м, 0,9мм2/70м, бухта 100м REXANT</t>
  </si>
  <si>
    <t>51-0278</t>
  </si>
  <si>
    <t>Кабель греющий (нагревательный) саморегулирующийся SRL24-2CR, экранированный, 24Вт/м, 0,9мм2/70м, бухта 200м REXANT</t>
  </si>
  <si>
    <t>51-0202</t>
  </si>
  <si>
    <t>Кабель греющий (нагревательный) саморегулирующийся SRL24-2CR, экранированный, 24Вт/м, 0,9мм2/70м, бухта 50м REXANT</t>
  </si>
  <si>
    <t>51-0221</t>
  </si>
  <si>
    <t>Кабель греющий (нагревательный) саморегулирующийся SRL30-2CR, экранированный, 30Вт/м, 0,93мм2/40м, бытовой, бухта 100м PROconnect</t>
  </si>
  <si>
    <t>51-0287</t>
  </si>
  <si>
    <t>Кабель греющий (нагревательный) саморегулирующийся SRL30-2CR, экранированный, 30Вт/м, 0,93мм2/40м, бытовой, бухта 200м PROconnect</t>
  </si>
  <si>
    <t>51-0216</t>
  </si>
  <si>
    <t>Кабель греющий (нагревательный) саморегулирующийся SRL30-2CR, экранированный, 30Вт/м, 0,93мм2/40м, бытовой, бухта 50м PROconnect</t>
  </si>
  <si>
    <t>51-0206</t>
  </si>
  <si>
    <t>Кабель греющий (нагревательный) саморегулирующийся SRL30-2CR, экранированный, 30Вт/м, 0,9мм2/55м, бухта 100м REXANT</t>
  </si>
  <si>
    <t>51-0279</t>
  </si>
  <si>
    <t>Кабель греющий (нагревательный) саморегулирующийся SRL30-2CR, экранированный, 30Вт/м, 0,9мм2/55м, бухта 200м REXANT</t>
  </si>
  <si>
    <t>51-0203</t>
  </si>
  <si>
    <t>Кабель греющий (нагревательный) саморегулирующийся SRL30-2CR, экранированный, 30Вт/м, 0,9мм2/55м, бухта 50м REXANT</t>
  </si>
  <si>
    <t>51-0632-4</t>
  </si>
  <si>
    <t>Кабель греющий (нагревательный) саморегулирующийся пищевой SRP10-2CR, экранированный, 10Вт/м, 0,5мм2/100м, бухта 100м PROconnect</t>
  </si>
  <si>
    <t>51-0198</t>
  </si>
  <si>
    <t>Кабель греющий (нагревательный) саморегулирующийся пищевой SRP10-2CR, экранированный, 10Вт/м, 0,5мм2/100м, бухта 50м PROconnect</t>
  </si>
  <si>
    <t>51-0634-4</t>
  </si>
  <si>
    <t>Кабель греющий (нагревательный) саморегулирующийся пищевой SRP16-2CR, экранированный, 16Вт/м, 0,5мм2/100м, бухта 100м PROconnect</t>
  </si>
  <si>
    <t>51-0199</t>
  </si>
  <si>
    <t>Кабель греющий (нагревательный) саморегулирующийся пищевой SRP16-2CR, экранированный, 16Вт/м, 0,5мм2/100м, бухта 50м PROconnect</t>
  </si>
  <si>
    <t>50 - 10 дней</t>
  </si>
  <si>
    <t>51-0632</t>
  </si>
  <si>
    <t>Кабель греющий (нагревательный) саморегулирующийся RSL-10F 65/85 °C, экранированный, взрывозащищенный, Ex, UV, 10Вт/м, 0,56мм2/100м бухта 100м REXANT</t>
  </si>
  <si>
    <t>51-0227</t>
  </si>
  <si>
    <t>Кабель греющий (нагревательный) саморегулирующийся с УФ-защитой SRL24-2CR UV, экранированный, 24Вт/м, 1,3мм2/85м, бухта 200м, серия PRO REXANT</t>
  </si>
  <si>
    <t>51-0235</t>
  </si>
  <si>
    <t>Кабель греющий (нагревательный) саморегулирующийся с УФ-защитой SRL30-2CR UV, экранированный, 30Вт/м, 1,0мм2/60м, бухта 100м REXANT</t>
  </si>
  <si>
    <t>100 - 10 дней</t>
  </si>
  <si>
    <t>51-0254</t>
  </si>
  <si>
    <t>Кабель греющий (нагревательный) саморегулирующийся с УФ-защитой SRL30-2CR UV, экранированный, 30Вт/м, 1,0мм2/60м, бухта 200м REXANT</t>
  </si>
  <si>
    <t>51-0234</t>
  </si>
  <si>
    <t>Кабель греющий (нагревательный) саморегулирующийся с УФ-защитой SRL30-2CR UV, экранированный, 30Вт/м, 1,0мм2/60м, бухта 50м REXANT</t>
  </si>
  <si>
    <t>51-0228</t>
  </si>
  <si>
    <t>Кабель греющий (нагревательный) саморегулирующийся с УФ-защитой SRL30-2CR UV, экранированный, 30Вт/м, 1,3мм2/65м, бухта 200м серия PRO REXANT</t>
  </si>
  <si>
    <t>51-0237</t>
  </si>
  <si>
    <t>Кабель греющий (нагревательный) саморегулирующийся с УФ-защитой SRL40-2CR UV, экранированный, 40Вт/м, 1,0мм2/45м, бухта 100м REXANT</t>
  </si>
  <si>
    <t>51-0255</t>
  </si>
  <si>
    <t>Кабель греющий (нагревательный) саморегулирующийся с УФ-защитой SRL40-2CR UV, экранированный, 40Вт/м, 1,0мм2/45м, бухта 200м REXANT</t>
  </si>
  <si>
    <t>51-0236</t>
  </si>
  <si>
    <t>Кабель греющий (нагревательный) саморегулирующийся с УФ-защитой SRL40-2CR UV, экранированный, 40Вт/м, 1,0мм2/45м, бухта 50м REXANT</t>
  </si>
  <si>
    <t>51-0229</t>
  </si>
  <si>
    <t>Кабель греющий (нагревательный) саморегулирующийся с УФ-защитой SRL40-2CR UV, экранированный, 40Вт/м, 1,3мм2/50м, бухта 200м серия PRO REXANT</t>
  </si>
  <si>
    <t>8. 2. 2. 2 Бухты Неэкранированный</t>
  </si>
  <si>
    <t>51-0624-4</t>
  </si>
  <si>
    <t>Кабель греющий (нагревательный) саморегулирующийся SRL16-2, неэкранированный, 16Вт/м, 0,5мм2/70м, бухта 300м PROconnect</t>
  </si>
  <si>
    <t>30.09.2026</t>
  </si>
  <si>
    <t>51-0211</t>
  </si>
  <si>
    <t>Кабель греющий (нагревательный) саморегулирующийся SRL16-2, неэкранированный, 16Вт/м, 0,93мм2/56м, бытовой, бухта 100м PROconnect</t>
  </si>
  <si>
    <t>51-0282</t>
  </si>
  <si>
    <t>Кабель греющий (нагревательный) саморегулирующийся SRL16-2, неэкранированный, 16Вт/м, 0,93мм2/56м, бытовой, бухта 300м PROconnect</t>
  </si>
  <si>
    <t>51-0208</t>
  </si>
  <si>
    <t>Кабель греющий (нагревательный) саморегулирующийся SRL16-2, неэкранированный, 16Вт/м, 0,93мм2/56м, бытовой, бухта 50м PROconnect</t>
  </si>
  <si>
    <t>51-0274</t>
  </si>
  <si>
    <t>Кабель греющий (нагревательный) саморегулирующийся SRL16-2, неэкранированный, 16Вт/м, 0,9мм2/105м, бухта 300м REXANT</t>
  </si>
  <si>
    <t>51-0212</t>
  </si>
  <si>
    <t>Кабель греющий (нагревательный) саморегулирующийся SRL24-2, неэкранированный, 24Вт/м, 0,93мм2/49м, бытовой, бухта 100м PROconnect</t>
  </si>
  <si>
    <t>51-0284</t>
  </si>
  <si>
    <t>Кабель греющий (нагревательный) саморегулирующийся SRL24-2, неэкранированный, 24Вт/м, 0,93мм2/49м, бытовой, бухта 300м PROconnect</t>
  </si>
  <si>
    <t>51-0209</t>
  </si>
  <si>
    <t>Кабель греющий (нагревательный) саморегулирующийся SRL24-2, неэкранированный, 24Вт/м, 0,93мм2/49м, бытовой, бухта 50м PROconnect</t>
  </si>
  <si>
    <t>51-0183</t>
  </si>
  <si>
    <t>Кабель греющий (нагревательный) саморегулирующийся SRL24-2, неэкранированный, 24Вт/м, 0,9мм2/70м, бухта 100м REXANT</t>
  </si>
  <si>
    <t>51-0276</t>
  </si>
  <si>
    <t>Кабель греющий (нагревательный) саморегулирующийся SRL24-2, неэкранированный, 24Вт/м, 0,9мм2/70м, бухта 300м REXANT</t>
  </si>
  <si>
    <t>51-0182</t>
  </si>
  <si>
    <t>Кабель греющий (нагревательный) саморегулирующийся SRL24-2, неэкранированный, 24Вт/м, 0,9мм2/70м, бухта 50м REXANT</t>
  </si>
  <si>
    <t>51-0213</t>
  </si>
  <si>
    <t>Кабель греющий (нагревательный) саморегулирующийся SRL30-2, неэкранированный, 30Вт/м, 0,93мм2/40м, бытовой, бухта 100м PROconnect</t>
  </si>
  <si>
    <t>51-0286</t>
  </si>
  <si>
    <t>Кабель греющий (нагревательный) саморегулирующийся SRL30-2, неэкранированный, 30Вт/м, 0,93мм2/40м, бытовой, бухта 300м PROconnect</t>
  </si>
  <si>
    <t>51-0210</t>
  </si>
  <si>
    <t>Кабель греющий (нагревательный) саморегулирующийся SRL30-2, неэкранированный, 30Вт/м, 0,93мм2/40м, бытовой, бухта 50м PROconnect</t>
  </si>
  <si>
    <t>51-0277</t>
  </si>
  <si>
    <t>Кабель греющий (нагревательный) саморегулирующийся SRL30-2, неэкранированный, 30Вт/м, 0,9мм2/55м, бухта 300м REXANT</t>
  </si>
  <si>
    <t>51-0184</t>
  </si>
  <si>
    <t>Кабель греющий (нагревательный) саморегулирующийся SRL30-2, неэкранированный, 30Вт/м, 0,9мм2/55м, бухта 50м REXANT</t>
  </si>
  <si>
    <t>51-0231</t>
  </si>
  <si>
    <t>Кабель греющий (нагревательный) саморегулирующийся с УФ-защитой SRL30-2 UV, неэкранированный, 30Вт/м, 0,9мм2/55м, бухта 100м PROconnect</t>
  </si>
  <si>
    <t>51-0254-4</t>
  </si>
  <si>
    <t>Кабель греющий (нагревательный) саморегулирующийся с УФ-защитой SRL30-2 UV, неэкранированный, 30Вт/м, 0,9мм2/55м, бухта 200м PROconnect</t>
  </si>
  <si>
    <t>51-0230</t>
  </si>
  <si>
    <t>Кабель греющий (нагревательный) саморегулирующийся с УФ-защитой SRL30-2 UV, неэкранированный, 30Вт/м, 0,9мм2/55м, бухта 50м PROconnect</t>
  </si>
  <si>
    <t>51-0233</t>
  </si>
  <si>
    <t>Кабель греющий (нагревательный) саморегулирующийся с УФ-защитой SRL40-2 UV, неэкранированный, 40Вт/м, 0,9мм2/40м, бухта 100м PROconnect</t>
  </si>
  <si>
    <t>51-0255-4</t>
  </si>
  <si>
    <t>Кабель греющий (нагревательный) саморегулирующийся с УФ-защитой SRL40-2 UV, неэкранированный, 40Вт/м, 0,9мм2/40м, бухта 200м PROconnect</t>
  </si>
  <si>
    <t>51-0232</t>
  </si>
  <si>
    <t>Кабель греющий (нагревательный) саморегулирующийся с УФ-защитой SRL40-2 UV, неэкранированный, 40Вт/м, 0,9мм2/40м, бухта 50м PROconnect</t>
  </si>
  <si>
    <t>8. 2. 3 Резистивный греющий кабель</t>
  </si>
  <si>
    <t>8. 2. 3. 1 Кабель 40Вт/м для прогрева бетона</t>
  </si>
  <si>
    <t>51-0086</t>
  </si>
  <si>
    <t>Кабель греющий для прогрева бетона 40Вт/м, 100м REXANT</t>
  </si>
  <si>
    <t>51-0087</t>
  </si>
  <si>
    <t>Кабель греющий для прогрева бетона 40Вт/м, 150м REXANT</t>
  </si>
  <si>
    <t>51-0082</t>
  </si>
  <si>
    <t>Кабель греющий для прогрева бетона 40Вт/м, 19м REXANT</t>
  </si>
  <si>
    <t>51-0080</t>
  </si>
  <si>
    <t>Кабель греющий для прогрева бетона 40Вт/м, 3,1м REXANT</t>
  </si>
  <si>
    <t>51-0083</t>
  </si>
  <si>
    <t>Кабель греющий для прогрева бетона 40Вт/м, 37м REXANT</t>
  </si>
  <si>
    <t>51-0084</t>
  </si>
  <si>
    <t>Кабель греющий для прогрева бетона 40Вт/м, 50м REXANT</t>
  </si>
  <si>
    <t>51-0085</t>
  </si>
  <si>
    <t>Кабель греющий для прогрева бетона 40Вт/м, 75м REXANT</t>
  </si>
  <si>
    <t>51-0081</t>
  </si>
  <si>
    <t>Кабель греющий для прогрева бетона 40Вт/м, 9,3м REXANT</t>
  </si>
  <si>
    <t>8. 2. 3. 2 Кабель 30Вт/м для обогрева кровли, водостоков, площадок, ступеней</t>
  </si>
  <si>
    <t>51-0065</t>
  </si>
  <si>
    <t>Кабель греющий для обогрева кровли, водостоков, площадок, ступеней ГРК-30-1080-36/36м REXANT</t>
  </si>
  <si>
    <t>51-0066</t>
  </si>
  <si>
    <t>Кабель греющий для обогрева кровли, водостоков, площадок, ступеней ГРК-30-1500-50/50м REXANT</t>
  </si>
  <si>
    <t>51-0067</t>
  </si>
  <si>
    <t>Кабель греющий для обогрева кровли, водостоков, площадок, ступеней ГРК-30-1920-64/64м REXANT</t>
  </si>
  <si>
    <t>51-0060</t>
  </si>
  <si>
    <t>Кабель греющий для обогрева кровли, водостоков, площадок, ступеней ГРК-30-210-7/7м REXANT</t>
  </si>
  <si>
    <t>51-0068</t>
  </si>
  <si>
    <t>Кабель греющий для обогрева кровли, водостоков, площадок, ступеней ГРК-30-2160-72/72м REXANT</t>
  </si>
  <si>
    <t>51-0069</t>
  </si>
  <si>
    <t>Кабель греющий для обогрева кровли, водостоков, площадок, ступеней ГРК-30-2580-86/86м REXANT</t>
  </si>
  <si>
    <t>51-0061</t>
  </si>
  <si>
    <t>Кабель греющий для обогрева кровли, водостоков, площадок, ступеней ГРК-30-330-11/11м REXANT</t>
  </si>
  <si>
    <t>51-0070</t>
  </si>
  <si>
    <t>Кабель греющий для обогрева кровли, водостоков, площадок, ступеней ГРК-30-3450-115/115м REXANT</t>
  </si>
  <si>
    <t>51-0071</t>
  </si>
  <si>
    <t>Кабель греющий для обогрева кровли, водостоков, площадок, ступеней ГРК-30-3900-130/130м REXANT</t>
  </si>
  <si>
    <t>51-0062</t>
  </si>
  <si>
    <t>Кабель греющий для обогрева кровли, водостоков, площадок, ступеней ГРК-30-435-14,5/14,5м REXANT</t>
  </si>
  <si>
    <t>51-0072</t>
  </si>
  <si>
    <t>Кабель греющий для обогрева кровли, водостоков, площадок, ступеней ГРК-30-4500-150/150м REXANT</t>
  </si>
  <si>
    <t>51-0063</t>
  </si>
  <si>
    <t>Кабель греющий для обогрева кровли, водостоков, площадок, ступеней ГРК-30-660-22/22м REXANT</t>
  </si>
  <si>
    <t>51-0064</t>
  </si>
  <si>
    <t>Кабель греющий для обогрева кровли, водостоков, площадок, ступеней ГРК-30-885-29,5/29,5м REXANT</t>
  </si>
  <si>
    <t>51-0100</t>
  </si>
  <si>
    <t>Кабель греющий для обогрева открытых площадок 20Вт/м, 175м REXANT</t>
  </si>
  <si>
    <t>20 - 45 дней</t>
  </si>
  <si>
    <t>8. 2. 4 Управляющая автоматика для систем Антиобледенения</t>
  </si>
  <si>
    <t>8. 2. 4. 1 Терморегуляторы на DIN-рейку</t>
  </si>
  <si>
    <t>51-2000</t>
  </si>
  <si>
    <t>Метеостанция (терморегулятор) на 4 канала ТЕРМ-2000 REXANT</t>
  </si>
  <si>
    <t>51-0829</t>
  </si>
  <si>
    <t>Терморегулятор (метеостанция) TermoStat 16A-04 (на DIN-рейку) REXANT</t>
  </si>
  <si>
    <t>1 - 15 дней</t>
  </si>
  <si>
    <t>51-0827</t>
  </si>
  <si>
    <t>Терморегулятор TermoStat 16A-01 (на DIN-рейку) REXANT</t>
  </si>
  <si>
    <t>51-0828</t>
  </si>
  <si>
    <t>Терморегулятор TermoStat 16A-03 (на DIN-рейку) REXANT</t>
  </si>
  <si>
    <t>51-0830</t>
  </si>
  <si>
    <t>Терморегулятор TermoStat 16A-05 (на DIN-рейку) REXANT</t>
  </si>
  <si>
    <t>51-0821</t>
  </si>
  <si>
    <t>Терморегулятор цифровой RX-257 программируемый, c диапазонами работы (на DIN-рейку) REXANT</t>
  </si>
  <si>
    <t>8. 2. 4. 2 Терморегуляторы наружной установки</t>
  </si>
  <si>
    <t>51-0841</t>
  </si>
  <si>
    <t>Терморегулятор TermoStat Pipe 40A IP65 REXANT</t>
  </si>
  <si>
    <t>51-0842</t>
  </si>
  <si>
    <t>Терморегулятор TermoStat Road 40A IP65 REXANT</t>
  </si>
  <si>
    <t>1 - 21 дней</t>
  </si>
  <si>
    <t>8. 2. 4. 3 Терморегуляторы встраиваемые</t>
  </si>
  <si>
    <t>51-0822</t>
  </si>
  <si>
    <t>Терморегулятор механический RX-514 для систем антиобледенения REXANT</t>
  </si>
  <si>
    <t>8. 2. 4. 5 Датчики</t>
  </si>
  <si>
    <t>51-1008</t>
  </si>
  <si>
    <t>Датчик воды WatSen 3м REXANT</t>
  </si>
  <si>
    <t>51-1009</t>
  </si>
  <si>
    <t>Датчик осадков WatSen Sky с блоком питания REXANT</t>
  </si>
  <si>
    <t>51-1006</t>
  </si>
  <si>
    <t>Датчик температуры аналоговый Temp A-7 6,8кОм 2м REXANT</t>
  </si>
  <si>
    <t>1 - 8 дней</t>
  </si>
  <si>
    <t>8. 2. 4. 6 Соединительные коробки</t>
  </si>
  <si>
    <t>51-1051</t>
  </si>
  <si>
    <t>Бокс всепогодный защитный RexBox 100х100х55 IP65 с клеммным набором REXANT</t>
  </si>
  <si>
    <t>51-1052</t>
  </si>
  <si>
    <t>Бокс всепогодный защитный RexBox 200х150х75 IP65 с клеммным набором REXANT</t>
  </si>
  <si>
    <t>51-1072</t>
  </si>
  <si>
    <t>Кабельный ввод BM-X5S REXANT</t>
  </si>
  <si>
    <t>51-1061</t>
  </si>
  <si>
    <t>Коробка индикаторная TERMBOX Ex 120SLN для саморегулирующихся и резистивных кабелей с вводом под теплоизоляцию REXANT</t>
  </si>
  <si>
    <t>51-1056</t>
  </si>
  <si>
    <t>Коробка соединительная TERMBOX Ex 120 для саморегулирующегося кабеля REXANT</t>
  </si>
  <si>
    <t>51-1057</t>
  </si>
  <si>
    <t>Коробка соединительная TERMBOX Ex 120N для саморегулирующегося кабеля с вводом под теплоизоляцию REXANT</t>
  </si>
  <si>
    <t>51-1059</t>
  </si>
  <si>
    <t>Коробка соединительная TERMBOX Ex 120SN для подключения датчиков и систем управления с вводом под теплоизоляцию REXANT</t>
  </si>
  <si>
    <t>51-1062</t>
  </si>
  <si>
    <t>Коробка соединительная TERMBOX Ex 160 для саморегулирующегося кабеля REXANT</t>
  </si>
  <si>
    <t>51-1063</t>
  </si>
  <si>
    <t>Коробка соединительная TERMBOX Ex 160N для саморегулирующегося кабеля с вводом под теплоизоляцию REXANT</t>
  </si>
  <si>
    <t>8. 2. 4. 7 Устройства плавного пуска</t>
  </si>
  <si>
    <t>51-0890</t>
  </si>
  <si>
    <t>Устройство плавного пуска 25А-01 для саморегулирующегося кабеля REXANT</t>
  </si>
  <si>
    <t>8. 2. 5 Крепеж для греющего кабеля</t>
  </si>
  <si>
    <t>51-1016</t>
  </si>
  <si>
    <t>Зажим RX/3T для крепления греющего кабеля на одиночные водоприемные воронки, выходы кабеля из водосточной трубы, 25 шт. REXANT</t>
  </si>
  <si>
    <t>51-1015</t>
  </si>
  <si>
    <t>Зажим RX/3В для крепления греющего кабеля на водосборные лотки, 25 шт. REXANT</t>
  </si>
  <si>
    <t>51-1011</t>
  </si>
  <si>
    <t>Зажим RX/B1-6 для крепления греющего кабеля на водосточный желоб 25 шт. REXANT</t>
  </si>
  <si>
    <t>51-1010</t>
  </si>
  <si>
    <t>Зажим RX/K-2 для крепления греющего кабеля на карниз скатной кровли, ендова, 25 шт. REXANT</t>
  </si>
  <si>
    <t>51-1013</t>
  </si>
  <si>
    <t>Зажим RX/T для крепления греющего кабеля, 25 шт. REXANT</t>
  </si>
  <si>
    <t>51-1014</t>
  </si>
  <si>
    <t>Зажим RX/Y для крепления греющего кабеля на капельник, ендова, резервуар, 25 шт. REXANT</t>
  </si>
  <si>
    <t>51-1017</t>
  </si>
  <si>
    <t>Зажим RX/Y1-6 для крепления греющего кабеля на плоскую кровлю, открытые площадки, резервуары, 25 шт. REXANT</t>
  </si>
  <si>
    <t>51-1033</t>
  </si>
  <si>
    <t>Зажим крепежный КТСР.2-100 Ц, 50 шт. REXANT</t>
  </si>
  <si>
    <t>51-1034</t>
  </si>
  <si>
    <t>Зажим крепежный КТСР/Т.1-25 Ц, 50 шт. REXANT</t>
  </si>
  <si>
    <t>51-1035</t>
  </si>
  <si>
    <t>Зажим крепежный КТСР/Т.2-50 Ц, 50 шт. REXANT</t>
  </si>
  <si>
    <t>51-1020</t>
  </si>
  <si>
    <t>Зажим крепежный ТСР.1-25 Ц, 50 шт. REXANT</t>
  </si>
  <si>
    <t>51-1022</t>
  </si>
  <si>
    <t>Зажим крепежный ТСР.2-100 Ц, 50 шт. REXANT</t>
  </si>
  <si>
    <t>51-1021</t>
  </si>
  <si>
    <t>Зажим крепежный ТСР.2-50 Ц, 50 шт. REXANT</t>
  </si>
  <si>
    <t>51-1025</t>
  </si>
  <si>
    <t>Зажим крепежный ТСР.О1-25 Ц, 50 шт. REXANT</t>
  </si>
  <si>
    <t>51-1023</t>
  </si>
  <si>
    <t>Зажим крепежный ТСР/Т.1-25 Ц, 50 шт. REXANT</t>
  </si>
  <si>
    <t>51-1024</t>
  </si>
  <si>
    <t>Зажим крепежный ТСР/Т.2-50 Ц, 50 шт. REXANT</t>
  </si>
  <si>
    <t>51-1045</t>
  </si>
  <si>
    <t>Лента крепежная самоклеящаяся FT/HTM REXANT</t>
  </si>
  <si>
    <t>51-1044</t>
  </si>
  <si>
    <t>Лента СРГ-20, 20м REXANT</t>
  </si>
  <si>
    <t>51-1040</t>
  </si>
  <si>
    <t>Лента электромонтажная перфорированная ЛЭ-50, 50м REXANT</t>
  </si>
  <si>
    <t>51-1042</t>
  </si>
  <si>
    <t>Лента электромонтажная перфорированная ЛЭ-65, 50м REXANT</t>
  </si>
  <si>
    <t>51-1026</t>
  </si>
  <si>
    <t>Пик-зажим КР-1О Ц, 50 шт. REXANT</t>
  </si>
  <si>
    <t>8. 2. 6 Комплектующие для монтажа греющего кабеля</t>
  </si>
  <si>
    <t>09-4352</t>
  </si>
  <si>
    <t>Лента алюминиевая 50мм х 25м REXANT</t>
  </si>
  <si>
    <t>09-4351</t>
  </si>
  <si>
    <t>Лента алюминиевая 50мм х 50м REXANT</t>
  </si>
  <si>
    <t>51-0686</t>
  </si>
  <si>
    <t>Монтажный комплект для соединения и оконцевания кабеля CP-7 REXANT</t>
  </si>
  <si>
    <t>51-0685</t>
  </si>
  <si>
    <t>Монтажный комплект для соединения и оконцевания кабеля SST-2 REXANT</t>
  </si>
  <si>
    <t>51-0681</t>
  </si>
  <si>
    <t>Монтажный комплект для соединения и оконцевания кабеля TKR REXANT</t>
  </si>
  <si>
    <t>51-0615</t>
  </si>
  <si>
    <t>Набор универсальный для заделки саморегулирующегося кабеля REXANT</t>
  </si>
  <si>
    <t>51-0615-1</t>
  </si>
  <si>
    <t>Набор универсальный для соединения и концевой заделки саморегулирующегося кабеля REXANT</t>
  </si>
  <si>
    <t>51-0614</t>
  </si>
  <si>
    <t>Набор универсальный для соединения и концевой заделки саморегулирующегося кабеля, эконом REXANT</t>
  </si>
  <si>
    <t>51-0614-1</t>
  </si>
  <si>
    <t>Набор универсальный для соединения и концевой заделки саморегулирующегося неэкранированного кабеля REXANT</t>
  </si>
  <si>
    <t>51-0670</t>
  </si>
  <si>
    <t>Наклейка «Внимание электрообогрев» 100 шт/уп REXANT</t>
  </si>
  <si>
    <t>51-0610-2</t>
  </si>
  <si>
    <t>Сальник с двойной резьбой 1/2 и 3/4 для ввода кабеля в трубу PROconnect</t>
  </si>
  <si>
    <t>51-0610-1</t>
  </si>
  <si>
    <t>Сальник с резьбой 1/2 для ввода кабеля в трубу PROconnect</t>
  </si>
  <si>
    <t>8. 3. Вентиляторы</t>
  </si>
  <si>
    <t>8. 3. 1 Напольные</t>
  </si>
  <si>
    <t>60-0218</t>
  </si>
  <si>
    <t>Вентилятор напольный DX-40, 40Вт DUX</t>
  </si>
  <si>
    <t>60-0240</t>
  </si>
  <si>
    <t>Вентилятор напольный 14" DX-400, 50Вт DUX</t>
  </si>
  <si>
    <t>8. 4. Тепловая техника</t>
  </si>
  <si>
    <t>8. 4. 1 Тепловентиляторы</t>
  </si>
  <si>
    <t>60-0033</t>
  </si>
  <si>
    <t>Тепловентилятор электрический настольный 2кВт со спиральным нагревательным элементом, белый REXANT</t>
  </si>
  <si>
    <t>60-0034</t>
  </si>
  <si>
    <t>Тепловентилятор электрический настольный 2кВт со спиральным нагревательным элементом, черный REXANT</t>
  </si>
  <si>
    <t>8. 4. 2 Электроконвекторы</t>
  </si>
  <si>
    <t>8. 4. 2. 1 СТИЧ</t>
  </si>
  <si>
    <t>60-0126</t>
  </si>
  <si>
    <t>Конвектор электрический с механическим термостатом, 0,5кВт, СТИЧ-нагревательный элемент REXANT</t>
  </si>
  <si>
    <t>60-0094</t>
  </si>
  <si>
    <t>Конвектор электрический с механическим термостатом, 1,5кВт, СТИЧ-нагревательный элемент REXANT</t>
  </si>
  <si>
    <t>60-0119</t>
  </si>
  <si>
    <t>Конвектор электрический с механическим термостатом, 1,5кВт, СТИЧ-нагревательный элемент, ножки REXANT</t>
  </si>
  <si>
    <t>60-0093</t>
  </si>
  <si>
    <t>Конвектор электрический с механическим термостатом, 1кВт, СТИЧ-нагревательный элемент REXANT</t>
  </si>
  <si>
    <t>60-0118</t>
  </si>
  <si>
    <t>Конвектор электрический с механическим термостатом, 1кВт, СТИЧ-нагревательный элемент, ножки REXANT</t>
  </si>
  <si>
    <t>60-0095</t>
  </si>
  <si>
    <t>Конвектор электрический с механическим термостатом, 2кВт, СТИЧ-нагревательный элемент REXANT</t>
  </si>
  <si>
    <t>60-0120</t>
  </si>
  <si>
    <t>Конвектор электрический с механическим термостатом, 2кВт, СТИЧ-нагревательный элемент, ножки REXANT</t>
  </si>
  <si>
    <t>60-0090</t>
  </si>
  <si>
    <t>Электрический конвектор с механическим термостатом, 1 кВт, Стич REXANT</t>
  </si>
  <si>
    <t>8. 4. 2. 2 X-монолит</t>
  </si>
  <si>
    <t>60-0097</t>
  </si>
  <si>
    <t>Конвектор электрический с механическим термостатом, 1,5кВт, X-нагревательный элемент REXANT</t>
  </si>
  <si>
    <t>60-0116</t>
  </si>
  <si>
    <t>Конвектор электрический с механическим термостатом, 1,5кВт, Х-нагревательный элемент, ножки REXANT</t>
  </si>
  <si>
    <t>60-0096</t>
  </si>
  <si>
    <t>Конвектор электрический с механическим термостатом, 1кВт, X-нагревательный элемент REXANT</t>
  </si>
  <si>
    <t>60-0115</t>
  </si>
  <si>
    <t>Конвектор электрический с механическим термостатом, 1кВт, Х-нагревательный элемент, ножки REXANT</t>
  </si>
  <si>
    <t>60-0098</t>
  </si>
  <si>
    <t>Конвектор электрический с механическим термостатом, 2кВт, X-нагревательный элемент REXANT</t>
  </si>
  <si>
    <t>60-0117</t>
  </si>
  <si>
    <t>Конвектор электрический с механическим термостатом, 2кВт, Х-нагревательный элемент, ножки REXANT</t>
  </si>
  <si>
    <t>60-0113</t>
  </si>
  <si>
    <t>Конвектор электрический с электронным термостатом, 1,5кВт, Х-нагревательный элемент, Wi-fi, REXANT</t>
  </si>
  <si>
    <t>60-0112</t>
  </si>
  <si>
    <t>Конвектор электрический с электронным термостатом, 1кВт, Х-нагревательный элемент, Wi-Fi, REXANT</t>
  </si>
  <si>
    <t>60-0099</t>
  </si>
  <si>
    <t>Конвектор электрический с электронным термостатом, 1кВт, Х-нагревательный элемент, REXANT</t>
  </si>
  <si>
    <t>60-0122</t>
  </si>
  <si>
    <t>Конвектор электрический Такса, с механическим термостатом, 1,5кВт СОКОЛ</t>
  </si>
  <si>
    <t>60-0121</t>
  </si>
  <si>
    <t>Конвектор электрический Такса, с механическим термостатом, 1кВт СОКОЛ</t>
  </si>
  <si>
    <t>60-0086</t>
  </si>
  <si>
    <t>Электрический конвектор с механическим термостатом, 1 кВт, Х-монолит СОКОЛ</t>
  </si>
  <si>
    <t>60-0080</t>
  </si>
  <si>
    <t>Электрический конвектор с электронным термостатом, 1 кВт, Х-монолит REXANT</t>
  </si>
  <si>
    <t>8. 4. 2. 3. Плинтусные</t>
  </si>
  <si>
    <t>60-0124</t>
  </si>
  <si>
    <t>Конвектор электрический плинтусный, 450Вт СОКОЛ</t>
  </si>
  <si>
    <t>60-0125</t>
  </si>
  <si>
    <t>Конвектор электрический плинтусный, 600Вт СОКОЛ</t>
  </si>
  <si>
    <t>8. 4. 3 Инфракрасные электрические</t>
  </si>
  <si>
    <t>8. 4. 3. 1 Панельные</t>
  </si>
  <si>
    <t>60-0010</t>
  </si>
  <si>
    <t>Обогреватель инфракрасный панельный, 0,8 кВт REXANT</t>
  </si>
  <si>
    <t>60-0011</t>
  </si>
  <si>
    <t>Обогреватель инфракрасный панельный, 1 кВт REXANT</t>
  </si>
  <si>
    <t>60-0012</t>
  </si>
  <si>
    <t>Обогреватель инфракрасный панельный, 1,3 кВт REXANT</t>
  </si>
  <si>
    <t>60-0013</t>
  </si>
  <si>
    <t>Обогреватель инфракрасный панельный, 2 кВт REXANT</t>
  </si>
  <si>
    <t>60-0014</t>
  </si>
  <si>
    <t>Обогреватель инфракрасный панельный, 3 кВт REXANT</t>
  </si>
  <si>
    <t>8. 4. 3. 2 Ламповые</t>
  </si>
  <si>
    <t>60-0057</t>
  </si>
  <si>
    <t>Обогреватель электрический инфракрасный настольный 0,8кВт с кварцевыми трубками, с складным основанием REXANT</t>
  </si>
  <si>
    <t>60-0060</t>
  </si>
  <si>
    <t>Обогреватель электрический инфракрасный панельный 1,5кВт с кварцевыми лампами в стальном корпусе с регулировкой мощности REXANT</t>
  </si>
  <si>
    <t>60-0059</t>
  </si>
  <si>
    <t>Обогреватель электрический инфракрасный панельный 1,5кВт с кварцевыми лампами в стальном корпусе с регулировкой мощности, серый REXANT</t>
  </si>
  <si>
    <t>60-0061</t>
  </si>
  <si>
    <t>Обогреватель электрический инфракрасный подвесной в корпусе из нержавеющей стали 1,5кВт, 3 режима обогрева, механическая регулировка REXANT</t>
  </si>
  <si>
    <t>8. 4. 4 Инфракрасные газовые</t>
  </si>
  <si>
    <t>8. 4. 4. 1 Домашние</t>
  </si>
  <si>
    <t>12-0097-8</t>
  </si>
  <si>
    <t>Комплект для подключения газового гриля с регулятором давления РДСГ 1-1,2 под шланг с внутренним диаметром 9 мм</t>
  </si>
  <si>
    <t>60-0022</t>
  </si>
  <si>
    <t>Обогреватель инфракрасный газовый для дома, 4,2кВт, для баллона 27л, черный REXANT</t>
  </si>
  <si>
    <t>8. 4. 4. 2 Уличные</t>
  </si>
  <si>
    <t>60-0024</t>
  </si>
  <si>
    <t>Камин уличный газовый инфракрасный Грибок, 13кВт REXANT</t>
  </si>
  <si>
    <t>60-0023</t>
  </si>
  <si>
    <t>Камин уличный газовый инфракрасный Пирамида, 13кВт REXANT</t>
  </si>
  <si>
    <t>60-0300</t>
  </si>
  <si>
    <t>Колба для уличного камина REXANT</t>
  </si>
  <si>
    <t>60-0190</t>
  </si>
  <si>
    <t>Столик для уличного газового камина Грибок REXANT</t>
  </si>
  <si>
    <t>8. 4. 5 Тепловые пушки</t>
  </si>
  <si>
    <t>8. 4. 5. 1 Электрические</t>
  </si>
  <si>
    <t>60-0041</t>
  </si>
  <si>
    <t>Пушка тепловая (тепловентилятор) электрическая, квадратная, PTC, 2кВт REXANT</t>
  </si>
  <si>
    <t>07.10.2026</t>
  </si>
  <si>
    <t>60-0042</t>
  </si>
  <si>
    <t>Пушка тепловая (тепловентилятор) электрическая, квадратная, PTC, 3кВт REXANT</t>
  </si>
  <si>
    <t>60-0009</t>
  </si>
  <si>
    <t>Пушка тепловая (тепловентилятор) электрическая, квадратная, PTC, 5кВт REXANT</t>
  </si>
  <si>
    <t>60-0043</t>
  </si>
  <si>
    <t>Пушка тепловая электрическая, круглая, PTC, 2кВт REXANT</t>
  </si>
  <si>
    <t>60-0016</t>
  </si>
  <si>
    <t>Пушка тепловая электрическая, круглая, PTC, 3кВт REXANT</t>
  </si>
  <si>
    <t>60-0036</t>
  </si>
  <si>
    <t>Пушка тепловая электрическая, круглая, прямоугольная подставка, ТЭН, 2кВт REXANT</t>
  </si>
  <si>
    <t>60-0037</t>
  </si>
  <si>
    <t>Пушка тепловая электрическая, круглая, прямоугольная подставка, ТЭН, 3кВт REXANT</t>
  </si>
  <si>
    <t>60-0038</t>
  </si>
  <si>
    <t>Пушка тепловая электрическая, круглая, регулировка угла наклона, ТЭН, 2кВт REXANT</t>
  </si>
  <si>
    <t>60-0039</t>
  </si>
  <si>
    <t>Пушка тепловая электрическая, круглая, регулировка угла наклона, ТЭН, 3кВт REXANT</t>
  </si>
  <si>
    <t>8. 4. 5. 2 Газовые</t>
  </si>
  <si>
    <t>60-0044</t>
  </si>
  <si>
    <t>Пушка тепловая газовая, 10кВт, 350м3/ч REXANT</t>
  </si>
  <si>
    <t>60-0045</t>
  </si>
  <si>
    <t>Пушка тепловая газовая, 15кВт, 350м3/ч REXANT</t>
  </si>
  <si>
    <t>8. 4. 5. 3 Дизельные</t>
  </si>
  <si>
    <t>60-0050</t>
  </si>
  <si>
    <t>Пушка дизельная прямого нагрева, 10кВт, 500м3/ч REXANT</t>
  </si>
  <si>
    <t>60-0051</t>
  </si>
  <si>
    <t>Пушка дизельная прямого нагрева, 20кВт, 600м3/ч REXANT</t>
  </si>
  <si>
    <t>8. 4. 6. Тепловые завесы</t>
  </si>
  <si>
    <t>60-0140</t>
  </si>
  <si>
    <t>Тепловая завеса ТеплоБарьер-3 (3 кВт), белая REXANT</t>
  </si>
  <si>
    <t>60-0142</t>
  </si>
  <si>
    <t>Тепловая завеса ТеплоБарьер-6 (6 кВт), белая REXANT</t>
  </si>
  <si>
    <t>60-0143</t>
  </si>
  <si>
    <t>Тепловая завеса ТеплоБарьер-9 (9 кВт), белая REXANT</t>
  </si>
  <si>
    <t>8. 5 Терморегуляторы</t>
  </si>
  <si>
    <t>8. 5. 1 Для теплого пола</t>
  </si>
  <si>
    <t>8. 5. 1. 1 Механические</t>
  </si>
  <si>
    <t>51-0592</t>
  </si>
  <si>
    <t>Терморегулятор механический R5XT белый REXANT</t>
  </si>
  <si>
    <t>51-0593</t>
  </si>
  <si>
    <t>Терморегулятор механический R5XT черный REXANT</t>
  </si>
  <si>
    <t>51-0581</t>
  </si>
  <si>
    <t>Терморегулятор механический R70XT бежевый REXANT</t>
  </si>
  <si>
    <t>51-0531</t>
  </si>
  <si>
    <t>Терморегулятор механический R70XT белый REXANT</t>
  </si>
  <si>
    <t>51-0594</t>
  </si>
  <si>
    <t>Терморегулятор механический R70XT черный REXANT</t>
  </si>
  <si>
    <t>51-0580</t>
  </si>
  <si>
    <t>Терморегулятор механический R72XT с датчиком температуры воздуха и пола, белый REXANT</t>
  </si>
  <si>
    <t>51-0563</t>
  </si>
  <si>
    <t>Терморегулятор механический RX-308B, совместим с Legrand серии Valena, бежевый REXANT</t>
  </si>
  <si>
    <t>51-0562</t>
  </si>
  <si>
    <t>Терморегулятор механический RX-308B, совместим с Legrand серии Valena, белый REXANT</t>
  </si>
  <si>
    <t>51-0816</t>
  </si>
  <si>
    <t>Терморегулятор механический RX-308B, совместим с Legrand серии Valena, черный REXANT</t>
  </si>
  <si>
    <t>51-0825</t>
  </si>
  <si>
    <t>Терморегулятор механический RX-308G, совместим с Schneider серии Glossa, Atlas, Sedna, W59, белый REXANT</t>
  </si>
  <si>
    <t>51-0823</t>
  </si>
  <si>
    <t>Терморегулятор механический RX-308U, совместим с Schneider серии Unica, белый REXANT</t>
  </si>
  <si>
    <t>8. 5. 1. 2 Электронные</t>
  </si>
  <si>
    <t>51-0589</t>
  </si>
  <si>
    <t>Терморегулятор цифровой R100B сенсорный, програмируемый, черный REXANT</t>
  </si>
  <si>
    <t>51-0588</t>
  </si>
  <si>
    <t>Терморегулятор цифровой R100W сенсорный, програмируемый, белый REXANT</t>
  </si>
  <si>
    <t>51-0574</t>
  </si>
  <si>
    <t>Терморегулятор цифровой R200B сенсорный, программируемый, черный REXANT</t>
  </si>
  <si>
    <t>51-0573</t>
  </si>
  <si>
    <t>Терморегулятор цифровой R200W сенсорный, программируемый, белый REXANT</t>
  </si>
  <si>
    <t>51-0575</t>
  </si>
  <si>
    <t>Терморегулятор цифровой R300B сенсорный, программируемый, черный REXANT</t>
  </si>
  <si>
    <t>51-0595</t>
  </si>
  <si>
    <t>Терморегулятор цифровой R31XT белый REXANT</t>
  </si>
  <si>
    <t>51-0532</t>
  </si>
  <si>
    <t>Терморегулятор цифровой R51XT программируемый, белый REXANT</t>
  </si>
  <si>
    <t>51-0533</t>
  </si>
  <si>
    <t>Терморегулятор цифровой R91XT сенсорный, программируемый, белый REXANT</t>
  </si>
  <si>
    <t>51-0584</t>
  </si>
  <si>
    <t>Терморегулятор цифровой RX-419B сенсорный, совместим с Legrand серии Valena, белый REXANT</t>
  </si>
  <si>
    <t>51-0576</t>
  </si>
  <si>
    <t>Терморегулятор цифровой RX-43 сенсорный, белый REXANT (совместим с рамкой: Schneider, Legrand, ABB, Gira)</t>
  </si>
  <si>
    <t>51-0567</t>
  </si>
  <si>
    <t>Терморегулятор цифровой RX-511H совместим с Legrand серии Valena, бежевый REXANT</t>
  </si>
  <si>
    <t>51-0566</t>
  </si>
  <si>
    <t>Терморегулятор цифровой RX-511H совместим с Legrand серии Valena, белый REXANT</t>
  </si>
  <si>
    <t>51-0568</t>
  </si>
  <si>
    <t>Терморегулятор цифровой RX-527H программируемый, совместим с Legrand серии Valena, белый REXANT</t>
  </si>
  <si>
    <t>8. 5. 1. 3 На DIN-рейку</t>
  </si>
  <si>
    <t>51-0820</t>
  </si>
  <si>
    <t>Терморегулятор цифровой RX-157 программируемый, серый REXANT</t>
  </si>
  <si>
    <t>8. 5. 1. 4 Wi-Fi</t>
  </si>
  <si>
    <t>51-0572</t>
  </si>
  <si>
    <t>Терморегулятор цифровой ClimaHome W сенсорный, программируемый, с Wi-Fi, белый REXANT</t>
  </si>
  <si>
    <t>51-0590</t>
  </si>
  <si>
    <t>Терморегулятор цифровой R150 сенсорный, программируемый, с Wi-Fi, белый REXANT</t>
  </si>
  <si>
    <t>51-0591</t>
  </si>
  <si>
    <t>Терморегулятор цифровой R150 сенсорный, программируемый, с Wi-Fi, черный REXANT</t>
  </si>
  <si>
    <t>51-0577</t>
  </si>
  <si>
    <t>Терморегулятор цифровой RX-44W сенсорный, программируемый, с Wi-Fi, белый REXANT (совместим с рамкой Schneider, Legrand, ABB, Gira)</t>
  </si>
  <si>
    <t>51-0578</t>
  </si>
  <si>
    <t>Терморегулятор цифровой SmartWarm W сенсорный, программируемый, с Wi-Fi, белый REXANT</t>
  </si>
  <si>
    <t>8. 5. 1. 6 Комплектующие</t>
  </si>
  <si>
    <t>51-0569-2</t>
  </si>
  <si>
    <t>Бокс для накладного монтажа электроустановочных изделий BN-01 бежевый REXANT</t>
  </si>
  <si>
    <t>51-0569-1</t>
  </si>
  <si>
    <t>Бокс для накладного монтажа электроустановочных изделий BN-01 белый REXANT</t>
  </si>
  <si>
    <t>82-0256</t>
  </si>
  <si>
    <t>Бокс для накладного монтажа электроустановочных изделий, глубина 43 мм, белый REXANT</t>
  </si>
  <si>
    <t>51-2530</t>
  </si>
  <si>
    <t>Датчик температуры для терморегулятора NTC 10кОм, 3м PROconnect</t>
  </si>
  <si>
    <t>51-1000</t>
  </si>
  <si>
    <t>Датчик температуры для терморегулятора NTC 10 кОм, 3 м REXANT</t>
  </si>
  <si>
    <t>8. 5. 2 Для мобильных обогревателей</t>
  </si>
  <si>
    <t>51-0800</t>
  </si>
  <si>
    <t>Терморегулятор цифровой 16А-01, 3,6кВт, в розетку, белый REXANT</t>
  </si>
  <si>
    <t>51-0801</t>
  </si>
  <si>
    <t>Терморегулятор цифровой 16А-02, 3,6кВт в розетку, с Wi-Fi, белый REXANT</t>
  </si>
  <si>
    <t>9. СВЕТОТЕХНИКА (LIGHTING)</t>
  </si>
  <si>
    <t>9. 1  Источники света</t>
  </si>
  <si>
    <t>9. 1. 1  Лампа светодиодная</t>
  </si>
  <si>
    <t>9. 1. 1. 1  Лампа светодиодная серии А груша</t>
  </si>
  <si>
    <t>604-003</t>
  </si>
  <si>
    <t>Лампа светодиодная Груша A60 11,5Вт E27 1093Лм 2700K теплый свет REXANT</t>
  </si>
  <si>
    <t>604-004</t>
  </si>
  <si>
    <t>Лампа светодиодная Груша A60 11,5Вт E27 1093Лм 4000K нейтральный свет REXANT</t>
  </si>
  <si>
    <t>604-005</t>
  </si>
  <si>
    <t>Лампа светодиодная Груша A60 11,5Вт E27 1093Лм 6500K холодный свет REXANT</t>
  </si>
  <si>
    <t>604-010</t>
  </si>
  <si>
    <t>Лампа светодиодная Груша A60 15,5Вт E27 1473Лм 6500K холодный свет REXANT</t>
  </si>
  <si>
    <t>9. 1. 1. 2  Лампа светодиодная серии свеча (CN)</t>
  </si>
  <si>
    <t>604-021</t>
  </si>
  <si>
    <t>Лампа светодиодная Свеча (CN) 7,5Вт E27 713Лм 4000K нейтральный свет REXANT</t>
  </si>
  <si>
    <t>9. 1. 1. 4  Лампа светодиодная серии шарик (G45)</t>
  </si>
  <si>
    <t>604-040</t>
  </si>
  <si>
    <t>Лампа светодиодная Шарик (GL) 9,5Вт E27 903Лм 4000K нейтральный свет REXANT</t>
  </si>
  <si>
    <t>9. 1. 1. 5  Лампа светодиодная серии рефлектор (MR16)</t>
  </si>
  <si>
    <t>604-4000</t>
  </si>
  <si>
    <t>Лампа светодиодная Рефлектор 9,5Вт 808Лм GU10 2700K теплый свет REXANT</t>
  </si>
  <si>
    <t>604-4002</t>
  </si>
  <si>
    <t>Лампа светодиодная Рефлектор 9,5Вт 808Лм GU10 6500K холодный свет REXANT</t>
  </si>
  <si>
    <t>604-4064</t>
  </si>
  <si>
    <t>Лампа светодиодная Рефлектор R50 9,5Вт 808Лм E14 4000K нейтральный свет REXANT</t>
  </si>
  <si>
    <t>9. 1. 1. 6  Лампа светодиодная серии рефлектор GX53</t>
  </si>
  <si>
    <t>604-063</t>
  </si>
  <si>
    <t>Лампа светодиодная GX53 таблетка 10,5Вт 840Лм 2700К теплый свет REXANT</t>
  </si>
  <si>
    <t>604-067</t>
  </si>
  <si>
    <t>Лампа светодиодная GX53 таблетка 15,5Вт 1240Лм 2700К теплый свет REXANT</t>
  </si>
  <si>
    <t>9. 1. 1. 9  Лампа светодиодная трубка T8</t>
  </si>
  <si>
    <t>604-4057</t>
  </si>
  <si>
    <t>Лампа светодиодная матовая Трубка Т8 25,5Вт 2168Лм G13 2700K 1500мм REXANT</t>
  </si>
  <si>
    <t>604-4058</t>
  </si>
  <si>
    <t>Лампа светодиодная матовая Трубка Т8 25,5Вт 2168Лм G13 1500мм 4000K нейтральный свет REXANT</t>
  </si>
  <si>
    <t>9. 1. 1.10  Лампа светодиодная капсульная G4 G9</t>
  </si>
  <si>
    <t>604-5006</t>
  </si>
  <si>
    <t>Лампа светодиодная капсульного типа JC-SILICON G4 12В 2Вт 2700K теплый свет (силикон) REXANT</t>
  </si>
  <si>
    <t>604-5009</t>
  </si>
  <si>
    <t>Лампа светодиодная капсульного типа JC-SILICON G4 220В 2Вт 2700K теплый свет (силикон) REXANT</t>
  </si>
  <si>
    <t>604-5012</t>
  </si>
  <si>
    <t>Лампа светодиодная капсульного типа JD-CORN G4 230В 5,5Вт 2700K теплый свет (поликарбонат) REXANT</t>
  </si>
  <si>
    <t>604-5013</t>
  </si>
  <si>
    <t>Лампа светодиодная капсульного типа JD-CORN G4 230В 5,5Вт 4000K нейтральный свет (поликарбонат) REXANT</t>
  </si>
  <si>
    <t>604-5015</t>
  </si>
  <si>
    <t>Лампа светодиодная капсульного типа JD-CORN G9 230В 5Вт 2700K теплый свет (поликарбонат) REXANT</t>
  </si>
  <si>
    <t>604-5018</t>
  </si>
  <si>
    <t>Лампа светодиодная капсульного типа JD-CORN G9 230В 7Вт 2700K теплый свет (поликарбонат) REXANT</t>
  </si>
  <si>
    <t>9. 1. 1.13  Лампа светодиодная для растений</t>
  </si>
  <si>
    <t>604-156</t>
  </si>
  <si>
    <t>Лампа светодиодная для растений ГРИБ-РЕФЛЕКТОР R90 17,5 Вт 27 мкмоль/с Е27 REXANT</t>
  </si>
  <si>
    <t>604-146</t>
  </si>
  <si>
    <t>Лампа филаментная для растений Груша A60 11,5Вт 18 микромоль/с E27 REXANT</t>
  </si>
  <si>
    <t>9. 1. 2  Панель светодиодная</t>
  </si>
  <si>
    <t>9. 1. 2. 6. Панель светодиодная круглая LAMPER</t>
  </si>
  <si>
    <t>606-1008</t>
  </si>
  <si>
    <t>Панель светодиодная встраиваемая круглая 12Вт 230В 4000К 960Лм 145мм белая IP20 LAMPER</t>
  </si>
  <si>
    <t>606-1009</t>
  </si>
  <si>
    <t>Панель светодиодная встраиваемая круглая 12Вт 230В 6500К 960Лм 145мм белая IP20 LAMPER</t>
  </si>
  <si>
    <t>606-1010</t>
  </si>
  <si>
    <t>Панель светодиодная встраиваемая круглая 18Вт 230В 4000К 1440Лм 185мм белая IP20 LAMPER</t>
  </si>
  <si>
    <t>606-1011</t>
  </si>
  <si>
    <t>Панель светодиодная встраиваемая круглая 18Вт 230В 6500К 1440Лм 185мм белая IP20 LAMPER</t>
  </si>
  <si>
    <t>606-1012</t>
  </si>
  <si>
    <t>Панель светодиодная встраиваемая круглая 24Вт 230В 4000К 1920Лм 220мм белая IP20 LAMPER</t>
  </si>
  <si>
    <t>606-1013</t>
  </si>
  <si>
    <t>Панель светодиодная встраиваемая круглая 24Вт 230В 6500К 1920Лм 220мм белая IP20 LAMPER</t>
  </si>
  <si>
    <t>606-1004</t>
  </si>
  <si>
    <t>Панель светодиодная встраиваемая круглая 6Вт 230В 4000К 420Лм 95мм белая IP20 LAMPER</t>
  </si>
  <si>
    <t>606-1005</t>
  </si>
  <si>
    <t>Панель светодиодная встраиваемая круглая 6Вт 230В 6500К 420Лм 95мм белая IP20 LAMPER</t>
  </si>
  <si>
    <t>606-1006</t>
  </si>
  <si>
    <t>Панель светодиодная встраиваемая круглая 9Вт 230В 4000К 630Лм 118мм белая IP20 LAMPER</t>
  </si>
  <si>
    <t>606-1007</t>
  </si>
  <si>
    <t>Панель светодиодная встраиваемая круглая 9Вт 230В 6500К 630Лм 118мм белая IP20 LAMPER</t>
  </si>
  <si>
    <t>9. 1. 3  Светильник светодиодный</t>
  </si>
  <si>
    <t>9. 1. 3. 1. Светильник светодиодный СПО IP20</t>
  </si>
  <si>
    <t>607-011</t>
  </si>
  <si>
    <t>Светильник линейный СПО опал IP20 18Вт 185-265В 4000K нейтральный свет 0,6м REXANT</t>
  </si>
  <si>
    <t>607-013</t>
  </si>
  <si>
    <t>Светильник линейный СПО опал IP20 18Вт 185-265В 6500K холодный свет 0,6м REXANT</t>
  </si>
  <si>
    <t>607-012</t>
  </si>
  <si>
    <t>Светильник линейный СПО опал IP20 36Вт 185-265В 4000K нейтральный свет 1,2м REXANT</t>
  </si>
  <si>
    <t>607-014</t>
  </si>
  <si>
    <t>Светильник линейный СПО опал IP20 36Вт 185-265В 6500K холодный свет 1,2м REXANT</t>
  </si>
  <si>
    <t>607-002</t>
  </si>
  <si>
    <t>Светильник линейный СПО опал IP20 36Вт 185-265В 6500K холодный свет 1,2м (хит продаж!) REXANT</t>
  </si>
  <si>
    <t>607-021</t>
  </si>
  <si>
    <t>Светильник линейный СПО опал IP20 55Вт 185-265В 4000K нейтральный свет 1,2м REXANT</t>
  </si>
  <si>
    <t>607-022</t>
  </si>
  <si>
    <t>Светильник линейный СПО опал IP20 55Вт 185-265В 6500K холодный свет 1,2м REXANT</t>
  </si>
  <si>
    <t>607-015</t>
  </si>
  <si>
    <t>Светильник линейный СПО призма IP20 18Вт 185-265В 4000K нейтральный свет 0,6м REXANT</t>
  </si>
  <si>
    <t>607-017</t>
  </si>
  <si>
    <t>Светильник линейный СПО призма IP20 18Вт 185-265В 6500K холодный свет 0,6м REXANT</t>
  </si>
  <si>
    <t>607-016</t>
  </si>
  <si>
    <t>Светильник линейный СПО призма IP20 36Вт 185-265В 4000K нейтральный свет 1,2м REXANT</t>
  </si>
  <si>
    <t>607-018</t>
  </si>
  <si>
    <t>Светильник линейный СПО призма IP20 36Вт 185-265В 6500K холодный свет 1,2м REXANT</t>
  </si>
  <si>
    <t>607-023</t>
  </si>
  <si>
    <t>Светильник линейный СПО призма IP20 55Вт 185-265В 4000K нейтральный свет 1,2м REXANT</t>
  </si>
  <si>
    <t>607-024</t>
  </si>
  <si>
    <t>Светильник линейный СПО призма IP20 55Вт 185-265В 6500K холодный свет 1,2м REXANT</t>
  </si>
  <si>
    <t>9. 1. 3. 2. Светильник светодиодный ССП IP65</t>
  </si>
  <si>
    <t>607-019</t>
  </si>
  <si>
    <t>Светильник линейный пылевлагозащищенный ССП IP65 18Вт 185-265В 6500K холодный свет 0,6м REXANT</t>
  </si>
  <si>
    <t>607-009</t>
  </si>
  <si>
    <t>Светильник линейный пылевлагозащищенный ССП2 IP65 18Вт 185-265В 6500K холодный свет 0,6м REXANT</t>
  </si>
  <si>
    <t>9. 1. 3. 3. Светильник под лампу GX53</t>
  </si>
  <si>
    <t>608-001</t>
  </si>
  <si>
    <t>Светильник GX53 белый, термостойкое пластиковое кольцо в комплекте REXANT</t>
  </si>
  <si>
    <t>608-003</t>
  </si>
  <si>
    <t>Светильник GX53 золото, термостойкое пластиковое кольцо в комплекте REXANT</t>
  </si>
  <si>
    <t>608-002</t>
  </si>
  <si>
    <t>Светильник GX53 хром, термостойкое пластиковое кольцо в комплекте REXANT</t>
  </si>
  <si>
    <t>608-004</t>
  </si>
  <si>
    <t>Светильник встраиваемый GX53 Series H4-PRO, белый с кольцом в комплекте REXANT</t>
  </si>
  <si>
    <t>9. 1. 3. 4. Светильники ЖКХ IP65</t>
  </si>
  <si>
    <t>607-260</t>
  </si>
  <si>
    <t>Светильник ЖКХ LED пылевлагозащищенный круг IP65 12Вт 1140Лм 4000K REXANT</t>
  </si>
  <si>
    <t>607-202</t>
  </si>
  <si>
    <t>Светильник ЖКХ LED пылевлагозащищенный круг IP65 12Вт 1140Лм 6500K REXANT</t>
  </si>
  <si>
    <t>607-207</t>
  </si>
  <si>
    <t>Светильник ЖКХ LED пылевлагозащищенный круг IP65 12Вт 1140Лм 6500K с микроволновым датчиком движения REXANT</t>
  </si>
  <si>
    <t>607-266</t>
  </si>
  <si>
    <t>Светильник ЖКХ LED пылевлагозащищенный круг IP65 12Вт 1140Лм 6500K с микроволновым датчиком движения, дежурный свет REXANT</t>
  </si>
  <si>
    <t>607-268</t>
  </si>
  <si>
    <t>Светильник ЖКХ LED пылевлагозащищенный круг IP65 18Вт 1710Лм 4000K REXANT</t>
  </si>
  <si>
    <t>607-203</t>
  </si>
  <si>
    <t>Светильник ЖКХ LED пылевлагозащищенный круг IP65 18Вт 1710Лм 6500K REXANT</t>
  </si>
  <si>
    <t>607-208</t>
  </si>
  <si>
    <t>Светильник ЖКХ LED пылевлагозащищенный круг IP65 18Вт 1710Лм 6500K с микроволновым датчиком REXANT</t>
  </si>
  <si>
    <t>607-274</t>
  </si>
  <si>
    <t>Светильник ЖКХ LED пылевлагозащищенный круг IP65 18Вт 1710Лм 6500K с микроволновым датчиком движения, дежурный свет REXANT</t>
  </si>
  <si>
    <t>607-279</t>
  </si>
  <si>
    <t>Светильник ЖКХ LED пылевлагозащищенный круг IP65 24Вт 2280Лм 6500K REXANT</t>
  </si>
  <si>
    <t>607-285</t>
  </si>
  <si>
    <t>Светильник ЖКХ LED пылевлагозащищенный круг IP65 30Вт 2850Лм 6500K REXANT</t>
  </si>
  <si>
    <t>607-286</t>
  </si>
  <si>
    <t>Светильник ЖКХ LED пылевлагозащищенный круг IP65 30Вт 2850Лм 6500K с микроволновым датчиком движения REXANT</t>
  </si>
  <si>
    <t>607-287</t>
  </si>
  <si>
    <t>Светильник ЖКХ LED пылевлагозащищенный круг IP65 30Вт 2850Лм 6500K с микроволновым датчиком движения, дежурный свет REXANT</t>
  </si>
  <si>
    <t>607-250</t>
  </si>
  <si>
    <t>Светильник ЖКХ LED пылевлагозащищенный круг IP65 8Вт 760Лм 4000K REXANT</t>
  </si>
  <si>
    <t>607-201</t>
  </si>
  <si>
    <t>Светильник ЖКХ LED пылевлагозащищенный круг IP65 8Вт 760Лм 6500K REXANT</t>
  </si>
  <si>
    <t>607-256</t>
  </si>
  <si>
    <t>Светильник ЖКХ LED пылевлагозащищенный круг IP65 8Вт 760Лм 6500K с микроволновым датчиком движения REXANT</t>
  </si>
  <si>
    <t>607-263</t>
  </si>
  <si>
    <t>Светильник ЖКХ LED пылевлагозащищенный овал IP65 12Вт 1140Лм 4000K REXANT</t>
  </si>
  <si>
    <t>607-205</t>
  </si>
  <si>
    <t>Светильник ЖКХ LED пылевлагозащищенный овал IP65 12Вт 1140Лм 6500K REXANT</t>
  </si>
  <si>
    <t>607-209</t>
  </si>
  <si>
    <t>Светильник ЖКХ LED пылевлагозащищенный овал IP65 12Вт 1140Лм 6500K с микроволновым датчиком движения REXANT</t>
  </si>
  <si>
    <t>607-271</t>
  </si>
  <si>
    <t>Светильник ЖКХ LED пылевлагозащищенный овал IP65 18Вт 1710Лм 4000K REXANT</t>
  </si>
  <si>
    <t>607-206</t>
  </si>
  <si>
    <t>Светильник ЖКХ LED пылевлагозащищенный овал IP65 18Вт 1710Лм 6500K REXANT</t>
  </si>
  <si>
    <t>607-210</t>
  </si>
  <si>
    <t>Светильник ЖКХ LED пылевлагозащищенный овал IP65 18Вт 1710Лм 6500K с микроволновым датчиком движения REXANT</t>
  </si>
  <si>
    <t>607-253</t>
  </si>
  <si>
    <t>Светильник ЖКХ LED пылевлагозащищенный овал IP65 8Вт 760Лм 4000K REXANT</t>
  </si>
  <si>
    <t>607-204</t>
  </si>
  <si>
    <t>Светильник ЖКХ LED пылевлагозащищенный овал IP65 8Вт 760Лм 6500K REXANT</t>
  </si>
  <si>
    <t>607-258</t>
  </si>
  <si>
    <t>Светильник ЖКХ LED пылевлагозащищенный овал IP65 8Вт 760Лм 6500K с микроволновым датчиком движения REXANT</t>
  </si>
  <si>
    <t>621-1128</t>
  </si>
  <si>
    <t>Светильник ЖКХ-03 под лампу круг 190x85мм IP65 REXANT</t>
  </si>
  <si>
    <t>621-1129</t>
  </si>
  <si>
    <t>Светильник ЖКХ-03 под лампу круг 250х105мм IP65 REXANT</t>
  </si>
  <si>
    <t>9. 1. 3. 5. Светильники T5</t>
  </si>
  <si>
    <t>607-217</t>
  </si>
  <si>
    <t>Светильник линейный T5 16Вт IP20 4000K нейтральный свет 1179мм с выключателем и соединителем REXANT</t>
  </si>
  <si>
    <t>607-218</t>
  </si>
  <si>
    <t>Светильник линейный T5 16Вт IP20 6500K холодный свет 1179 мм с выключателем и соединителем REXANT</t>
  </si>
  <si>
    <t>9. 1. 3. 6. Светильник под лампу Т8</t>
  </si>
  <si>
    <t>621-1125</t>
  </si>
  <si>
    <t>Светильник ДПО под светодиодную лампу 2хТ8 1200мм IP20 (без ПРА) REXANT</t>
  </si>
  <si>
    <t>621-1124</t>
  </si>
  <si>
    <t>Светильник ДПО под светодиодную лампу 2хТ8 600мм IP20 (без ПРА) REXANT</t>
  </si>
  <si>
    <t>9. 1. 4  Ночники [Группа индивидуального ценообразования]</t>
  </si>
  <si>
    <t>75-0600</t>
  </si>
  <si>
    <t>USB-ночник светодиодный REXANT</t>
  </si>
  <si>
    <t>75-0311-1</t>
  </si>
  <si>
    <t>Комплект (2шт./уп.) Ночник светодиодный ЛУННАЯ НОЧЬ BLUE (питание от сети AC 230 В/50 Гц)</t>
  </si>
  <si>
    <t>75-0316-1</t>
  </si>
  <si>
    <t>Комплект (2шт./уп.) Ночник светодиодный МАХАОН БЕЛЫЙ (питание от сети AC 230 В/50 Гц)</t>
  </si>
  <si>
    <t>75-0310</t>
  </si>
  <si>
    <t>Ночник светодиодный ЛУННАЯ НОЧЬ белое свечение, 230В REXANT</t>
  </si>
  <si>
    <t>75-0312</t>
  </si>
  <si>
    <t>Ночник светодиодный ПАРУС ОДИНОКИЙ белое свечение, 230В REXANT</t>
  </si>
  <si>
    <t>75-0313</t>
  </si>
  <si>
    <t>Ночник светодиодный ПАРУС ОДИНОКИЙ голубое свечение, 230В REXANT</t>
  </si>
  <si>
    <t>75-0318</t>
  </si>
  <si>
    <t>Ночник светодиодный РОМАШКА ХАМЕЛЕОН свечение мультиколор 7 цветов, 230В REXANT</t>
  </si>
  <si>
    <t>75-0317</t>
  </si>
  <si>
    <t>Ночник светодиодный СНЕЖИНКА ХАМЕЛЕОН свечение мультиколор 7 цветов, 230В REXANT</t>
  </si>
  <si>
    <t>75-0603</t>
  </si>
  <si>
    <t>Ночник светодиодный Стеклянный медведь REXANT</t>
  </si>
  <si>
    <t>1 500 - 180 дней</t>
  </si>
  <si>
    <t>75-0319</t>
  </si>
  <si>
    <t>Ночник светодиодный ФАКЕЛ ХАМЕЛЕОН свечение мультиколор 7 цветов, 230В REXANT</t>
  </si>
  <si>
    <t>75-0304</t>
  </si>
  <si>
    <t>Ночник светодиодный ХАМЕЛЕОН мини 220В PROconnect</t>
  </si>
  <si>
    <t>9. 1. 5  Лампа филаментная</t>
  </si>
  <si>
    <t>9. 1. 5. 2. Лампа филаментная свеча CN35</t>
  </si>
  <si>
    <t>604-085</t>
  </si>
  <si>
    <t>Лампа филаментная Свеча CN35 7,5Вт 600Лм 2700K E27 прозрачная колба REXANT</t>
  </si>
  <si>
    <t>604-086</t>
  </si>
  <si>
    <t>Лампа филаментная Свеча CN35 7,5Вт 600Лм 4000K E27 прозрачная колба REXANT</t>
  </si>
  <si>
    <t>604-098</t>
  </si>
  <si>
    <t>Лампа филаментная Свеча CN35 9,5Вт 915Лм 4000K E27 матовая колба REXANT</t>
  </si>
  <si>
    <t>9. 1. 5. 5. Лампа филаментная шарик G45</t>
  </si>
  <si>
    <t>604-121</t>
  </si>
  <si>
    <t>Лампа филаментная Шарик GL45 7,5Вт 600Лм 2700K E14 прозрачная колба REXANT</t>
  </si>
  <si>
    <t>604-123</t>
  </si>
  <si>
    <t>Лампа филаментная Шарик GL45 7,5Вт 600Лм 2700K E27 прозрачная колба REXANT</t>
  </si>
  <si>
    <t>604-124</t>
  </si>
  <si>
    <t>Лампа филаментная Шарик GL45 7,5Вт 600Лм 4000K E27 прозрачная колба REXANT</t>
  </si>
  <si>
    <t>604-133</t>
  </si>
  <si>
    <t>Лампа филаментная Шарик GL45 9,5Вт 915Лм 2700K E14 матовая колба REXANT</t>
  </si>
  <si>
    <t>604-135</t>
  </si>
  <si>
    <t>Лампа филаментная Шарик GL45 9,5Вт 915Лм 2700K E27 матовая колба REXANT</t>
  </si>
  <si>
    <t>604-136</t>
  </si>
  <si>
    <t>Лампа филаментная Шарик GL45 9,5Вт 915Лм 4000K E27 матовая колба REXANT</t>
  </si>
  <si>
    <t>604-132</t>
  </si>
  <si>
    <t>Лампа филаментная Шарик GL45 9,5Вт 950Лм 4000K E27 прозрачная колба REXANT</t>
  </si>
  <si>
    <t>9. 1. 7  Светильник уличный консольный</t>
  </si>
  <si>
    <t>607-306</t>
  </si>
  <si>
    <t>Светильник светодиодный консольный ДКУ 03-30-5000К-Ш-C IP65 черный REXANT</t>
  </si>
  <si>
    <t>607-307</t>
  </si>
  <si>
    <t>Светильник светодиодный консольный ДКУ 03-50-5000К-Ш-C IP65 черный REXANT</t>
  </si>
  <si>
    <t>9. 1. 7. 1. Кронштейны</t>
  </si>
  <si>
    <t>607-405</t>
  </si>
  <si>
    <t>Кронштейн на опору с 1 хомутом белый (625х460х280 Ø51) REXANT арт.607-300; 607-301;607-303</t>
  </si>
  <si>
    <t>607-415</t>
  </si>
  <si>
    <t>Кронштейн на опору с 1 хомутом белый (625х460х280 Ø57) REXANT арт. 607-302; 607-304;</t>
  </si>
  <si>
    <t>607-400</t>
  </si>
  <si>
    <t>Кронштейн накладной / под бандажную ленту с переменным углом белый (230х150х150, Ø 51) REXANT  арт.607-300; 607-301;607-303</t>
  </si>
  <si>
    <t>607-410</t>
  </si>
  <si>
    <t>Кронштейн накладной / под бандажную ленту с переменным углом белый (230х150х150, Ø 57) REXANT  арт.607-302; 607-304;</t>
  </si>
  <si>
    <t>9. 1. 8   Аксессуары [Группа индивидуального ценообразования]</t>
  </si>
  <si>
    <t>604-801</t>
  </si>
  <si>
    <t>Демо-тестер для проверки ламп с цоколями E27, E27, E14, GU5.3, GX53 REXANT</t>
  </si>
  <si>
    <t>604-802</t>
  </si>
  <si>
    <t>Демо-тестер акриловый для ФИЛАМЕНТА, AC 220V, со шнуром питания 1,2м, с выключателем на корпусе, цоколи E14 (6шт) E27 (5шт) REXANT</t>
  </si>
  <si>
    <t>9. 1.11  Светильники для высоких пролётов ДСП</t>
  </si>
  <si>
    <t>607-299</t>
  </si>
  <si>
    <t>Светильник для высоких пролётов ДСП 01 100 Вт 6500 К IP65 10000 Лм черный REXANT</t>
  </si>
  <si>
    <t>9. 2. Светильники и аксессуары</t>
  </si>
  <si>
    <t>9. 2. 1. Светильники настольные</t>
  </si>
  <si>
    <t>9. 2. 1. 1. Светильники настольные под лампу</t>
  </si>
  <si>
    <t>603-1033</t>
  </si>
  <si>
    <t>Светильник декоративный "Кот в очках", цоколь Е14, 40Вт, белый REXANT</t>
  </si>
  <si>
    <t>603-1034</t>
  </si>
  <si>
    <t>Светильник декоративный "Кот в очках", цоколь Е14, 40Вт, черный REXANT</t>
  </si>
  <si>
    <t>603-1017</t>
  </si>
  <si>
    <t>Светильник декоративный настольный МОБИ "Бульдог", с цоколем Е14, 40Вт, цвет белый REXANT</t>
  </si>
  <si>
    <t>603-1016</t>
  </si>
  <si>
    <t>Светильник декоративный настольный МОБИ "Бульдог", с цоколем Е14, 40Вт, цвет черный REXANT</t>
  </si>
  <si>
    <t>603-1019</t>
  </si>
  <si>
    <t>Светильник декоративный настольный МОБИ "Кот с зонтом" , с цоколем Е14, 40 Вт, цвет белый REXANT</t>
  </si>
  <si>
    <t>603-1018</t>
  </si>
  <si>
    <t>Светильник декоративный настольный МОБИ "Кот с зонтом" , с цоколем Е14, 40 Вт, цвет черный REXANT</t>
  </si>
  <si>
    <t>603-1029</t>
  </si>
  <si>
    <t>Светильник декоративный МОБИ Заяц золото REXANT</t>
  </si>
  <si>
    <t>603-1030</t>
  </si>
  <si>
    <t>Светильник декоративный МОБИ Заяц хром REXANT</t>
  </si>
  <si>
    <t>603-1024</t>
  </si>
  <si>
    <t>Светильник декоративный настольный Форте, основание дуга под золотой мрамор, бежевый абажур, цоколь Е27, 60Вт REXANT</t>
  </si>
  <si>
    <t>603-1027</t>
  </si>
  <si>
    <t>Светильник декоративный настольный Форте, основание кольцо под черный мрамор, белый абажур, цоколь Е27, 60Вт REXANT</t>
  </si>
  <si>
    <t>603-1037</t>
  </si>
  <si>
    <t>Светильник декоративный Человечек, белый с белым абажуром, Е27 REXANT</t>
  </si>
  <si>
    <t>603-1035</t>
  </si>
  <si>
    <t>Светильник декоративный Человечек, золотой с черным абажуром, Е27 REXANT</t>
  </si>
  <si>
    <t>603-1036</t>
  </si>
  <si>
    <t>Светильник декоративный Человечек, серебряный с пудровым абажуром, Е27 REXANT</t>
  </si>
  <si>
    <t>603-1038</t>
  </si>
  <si>
    <t>Светильник декоративный Человечек, черный с черным абажуром, Е27 REXANT</t>
  </si>
  <si>
    <t>603-1014</t>
  </si>
  <si>
    <t>Светильник Пчеленок на основании, с цоколем Е27, 60 Вт, цвет подсолнух REXANT</t>
  </si>
  <si>
    <t>9. 2. 1. 2. Светильники настольные LED</t>
  </si>
  <si>
    <t>609-032</t>
  </si>
  <si>
    <t>Светильник декоративный Spiral Uno, LED, 2Вт, 3000К, 5В, золотой REXANT</t>
  </si>
  <si>
    <t>609-031</t>
  </si>
  <si>
    <t>Светильник декоративный Spiral Uno, LED, 2Вт, 3000К, 5В, серебряный REXANT</t>
  </si>
  <si>
    <t>609-041</t>
  </si>
  <si>
    <t>Светильник магнитный переносной с 3 креплениями, колокольчик, белый REXANT</t>
  </si>
  <si>
    <t>609-042</t>
  </si>
  <si>
    <t>Светильник магнитный переносной с 3 креплениями, круглый, черный REXANT</t>
  </si>
  <si>
    <t>609-001</t>
  </si>
  <si>
    <t>Светильник настольный Click 4Вт, LED, 4000К, диммируемый 3 ступени, заряжаемый, на прищепке, белый REXANT</t>
  </si>
  <si>
    <t>609-033</t>
  </si>
  <si>
    <t>Светильник настольный Click 4Вт, LED, 4000К, диммируемый 3 ступени, заряжаемый, на прищепке, черный REXANT</t>
  </si>
  <si>
    <t>609-040</t>
  </si>
  <si>
    <t>Светильник настольный Crystal, сенсорный, RGB REXANT</t>
  </si>
  <si>
    <t>75-0219</t>
  </si>
  <si>
    <t>Светильник настольный REXANT Status LED, USB-зарядка устройств, 2700-6500 К, диммирование, 220 В, эффект тиснения под кожу</t>
  </si>
  <si>
    <t>75-0225</t>
  </si>
  <si>
    <t>Светильник настольный с 2 креплениями (подставка и струбцина) LED, 10Вт, черный REXANT</t>
  </si>
  <si>
    <t>75-0226</t>
  </si>
  <si>
    <t>Светильник настольный с RGB-ночником, LED, 12Вт, белый REXANT</t>
  </si>
  <si>
    <t>75-0224</t>
  </si>
  <si>
    <t>Светильник настольный с органайзером, LED, 12Вт, белый REXANT</t>
  </si>
  <si>
    <t>9. 2. 2. Светильники настенно-потолочные</t>
  </si>
  <si>
    <t>9. 2. 2. 2 Модули светодиодные</t>
  </si>
  <si>
    <t>615-102</t>
  </si>
  <si>
    <t>Модуль светодиодный с драйвером REXANT 36 Вт 2700-6500 К LED диммируемый через выключатель</t>
  </si>
  <si>
    <t>615-104</t>
  </si>
  <si>
    <t>Модуль светодиодный с драйвером REXANT 48 Вт 2700-6500 К LED диммируемый с пультом дистанционного управления</t>
  </si>
  <si>
    <t>9. 2. 3. Светильники трековые и шинопровод</t>
  </si>
  <si>
    <t>612-004</t>
  </si>
  <si>
    <t>Коннектор для однофазного шинопровода I-образный белый REXANT</t>
  </si>
  <si>
    <t>612-006</t>
  </si>
  <si>
    <t>Коннектор для однофазного шинопровода T-образный белый REXANT</t>
  </si>
  <si>
    <t>612-012</t>
  </si>
  <si>
    <t>Коннектор для однофазного шинопровода T-образный черный REXANT</t>
  </si>
  <si>
    <t>612-007</t>
  </si>
  <si>
    <t>Коннектор для однофазного шинопровода X-образный белый REXANT</t>
  </si>
  <si>
    <t>612-013</t>
  </si>
  <si>
    <t>Коннектор для однофазного шинопровода X-образный черный REXANT</t>
  </si>
  <si>
    <t>612-022</t>
  </si>
  <si>
    <t>Комплект тросовых подвесов для шинопровода с регулировкой высоты, 2м (2 шт.) REXANT</t>
  </si>
  <si>
    <t>611-002</t>
  </si>
  <si>
    <t>Светильник светодиодный трековый Star Track 12Вт 3000К LED белый REXANT</t>
  </si>
  <si>
    <t>611-001</t>
  </si>
  <si>
    <t>Светильник светодиодный трековый Star Track 12Вт 4000К LED белый REXANT</t>
  </si>
  <si>
    <t>611-003</t>
  </si>
  <si>
    <t>Светильник светодиодный трековый Star Track 12Вт 4000К LED черный REXANT</t>
  </si>
  <si>
    <t>611-005</t>
  </si>
  <si>
    <t>Светильник светодиодный трековый Star Track 20Вт 4000К LED белый REXANT</t>
  </si>
  <si>
    <t>612-001</t>
  </si>
  <si>
    <t>Шинопровод однофазный с кабельным вводом и заглушкой для трековых светильников 1м белый REXANT</t>
  </si>
  <si>
    <t>612-002</t>
  </si>
  <si>
    <t>Шинопровод однофазный с кабельным вводом и заглушкой для трековых светильников 1м черный REXANT</t>
  </si>
  <si>
    <t>9. 2. 4. Даунлайты и точечные светильники</t>
  </si>
  <si>
    <t>9. 2. 4. 2. Даунлайты поворотные Dark Light</t>
  </si>
  <si>
    <t>615-1005</t>
  </si>
  <si>
    <t>Светильник встраиваемый поворотный REXANT Horeca Dark Light с антиослепляющим эффектом 12 Вт 4000 К Ring LED WHITE</t>
  </si>
  <si>
    <t>615-1004</t>
  </si>
  <si>
    <t>Светильник встраиваемый поворотный REXANT Horeca Dark Light с антиослепляющим эффектом 12 Вт 4000 К Oval LED WHITE</t>
  </si>
  <si>
    <t>9. 2. 4. 4. Даунлтайты накладные Sirius</t>
  </si>
  <si>
    <t>615-001</t>
  </si>
  <si>
    <t>Светильник универсальный REXANT Sirius 15 Вт 4000 К LED белый</t>
  </si>
  <si>
    <t>615-002</t>
  </si>
  <si>
    <t>Светильник универсальный REXANT Sirius 15 Вт 4000 К LED черный</t>
  </si>
  <si>
    <t>9. 2. 4. 7. Даунлайты Aurora</t>
  </si>
  <si>
    <t>623-001</t>
  </si>
  <si>
    <t>Светильник светодиодный встраиваемый REXANT Aurora&amp;Sunset Sparta с изменяемой цветовой температурой и регулируемой мощностью 4х2W 2700-6500 К LED</t>
  </si>
  <si>
    <t>615-1300</t>
  </si>
  <si>
    <t>Светильник светодиодный накладной REXANT AuroraSunset Wave с изменяемой цветовой температурой и регулируемой мощностью 4W+4W 2700-6500 К LED</t>
  </si>
  <si>
    <t>9. 2. 5. Светильники для растений</t>
  </si>
  <si>
    <t>9. 2. 5. 1. Светильники Green line для растений</t>
  </si>
  <si>
    <t>616-001</t>
  </si>
  <si>
    <t>Светильник светодиодный для растений REXANT Green line 14 Вт LED с комплектом креплений</t>
  </si>
  <si>
    <t>9. 2. 6. Серия Macrolight для использования внутри и вне зданий, для влажных помещений</t>
  </si>
  <si>
    <t>610-002</t>
  </si>
  <si>
    <t>Светильник светодиодный универсальный Cassiopea 4 Вт х 2 LED белый REXANT</t>
  </si>
  <si>
    <t>610-001</t>
  </si>
  <si>
    <t>Светильник светодиодный универсальный Cassiopea 4 Вт х 2 LED черный REXANT</t>
  </si>
  <si>
    <t>9. 2.12 Аварийное освещение</t>
  </si>
  <si>
    <t>9. 2.12. 1 Аварийное освещение</t>
  </si>
  <si>
    <t>74-1307</t>
  </si>
  <si>
    <t>Светильник аварийно-эвакуационный «ВЫХОД-EXIT» – стрелка, светодиодный двухсторонний 1.5 ч, 3 Вт</t>
  </si>
  <si>
    <t>74-1312</t>
  </si>
  <si>
    <t>Светильник аварийно-эвакуационный «ВЫХОД-EXIT» – фигура-стрелка, светодиодный двухсторонний 1.5 ч, 3 Вт</t>
  </si>
  <si>
    <t>10.12.2026</t>
  </si>
  <si>
    <t>74-1314</t>
  </si>
  <si>
    <t>Светильник аварийно-эвакуационный «ВЫХОД-EXIT» светодиодный односторонний 1.5 ч, 3 Вт</t>
  </si>
  <si>
    <t>74-1313</t>
  </si>
  <si>
    <t>Светильник аварийно-эвакуационный «ЗАПАСНЫЙ ВЫХОД» светодиодный односторонний 1.5 ч, 3 Вт</t>
  </si>
  <si>
    <t>74-1310</t>
  </si>
  <si>
    <t>Светильник аварийно-эвакуационный светодиодный двухсторонний 1.5 ч, 3 Вт</t>
  </si>
  <si>
    <t>74-0070</t>
  </si>
  <si>
    <t>Светильник аварийный светодиодный "ПК" REXANT</t>
  </si>
  <si>
    <t>74-1305</t>
  </si>
  <si>
    <t>Светильник аккумуляторный непостоянного действия для подсветки путей эвакуации и рабочих зон при отключении питания, режимы: 30%/100% кнопка тест, 3 ч работы</t>
  </si>
  <si>
    <t>9. 2.12. 2 Наклейки для аварийного светильника</t>
  </si>
  <si>
    <t>74-0110-1</t>
  </si>
  <si>
    <t>Наклейка для аварийного светильника  "Направление к эвакуационному выходу налево вверх" REXANT</t>
  </si>
  <si>
    <t>74-0080-1</t>
  </si>
  <si>
    <t>Наклейка для аварийного светильника  "ПГ" REXANT</t>
  </si>
  <si>
    <t>74-0070-1</t>
  </si>
  <si>
    <t>Наклейка для аварийного светильника  "ПК" REXANT</t>
  </si>
  <si>
    <t>74-0040-1</t>
  </si>
  <si>
    <t>Наклейка для аварийного светильника "ВЫХОД  ВЛЕВО"  REXANT</t>
  </si>
  <si>
    <t>74-0030-1</t>
  </si>
  <si>
    <t>Наклейка для аварийного светильника "ВЫХОД  ВПРАВО" REXANT</t>
  </si>
  <si>
    <t>9. 3. Фонари</t>
  </si>
  <si>
    <t>9. 3. 1. Автомобильные</t>
  </si>
  <si>
    <t>75-7841</t>
  </si>
  <si>
    <t>Фонарь автомобильный NEW AGE, двухрежимный, с крюком и поворотным держателем на магните REXANT</t>
  </si>
  <si>
    <t>75-1704</t>
  </si>
  <si>
    <t>Фонарь автомобильный NEW AGE, трехрежимный, с аварийным красным сигналом, крюком и поворотным держателем на магните, СОВ REXANT</t>
  </si>
  <si>
    <t>75-8042</t>
  </si>
  <si>
    <t>Фонарь автомобильный с регулировкой яркости, поворотным магнитом, индикатором зарядки и встроенным аккумулятором, USB-кабель в комплекте REXANT</t>
  </si>
  <si>
    <t>75-8002</t>
  </si>
  <si>
    <t>Фонарь автомобильный, двухрежимный, на подставке, с магнитом, крюком и клипсой REXANT</t>
  </si>
  <si>
    <t>75-724</t>
  </si>
  <si>
    <t>Фонарь автомобильный, с регулировкой яркости, поворотным магнитом, индикатором зарядки и встроенным аккумулятором, СОВ REXANT</t>
  </si>
  <si>
    <t>75-709</t>
  </si>
  <si>
    <t>Фонарь автомобильный, трехрежимный, СОВ REXANT</t>
  </si>
  <si>
    <t>75-8013</t>
  </si>
  <si>
    <t>Фонарь многофункциональный с магнитом и клипсой, большой REXANT</t>
  </si>
  <si>
    <t>75-8003</t>
  </si>
  <si>
    <t>Фонарь многофункциональный, с магнитом, крюком и функцией Power bank REXANT</t>
  </si>
  <si>
    <t>9. 3. 2. Универсальные</t>
  </si>
  <si>
    <t>75-712</t>
  </si>
  <si>
    <t>Фонарь универсальный, двухрежимный, с аккумулятором и встроенной евровилкой, зарядка от сети 220В REXANT</t>
  </si>
  <si>
    <t>75-711</t>
  </si>
  <si>
    <t>Фонарь универсальный, двухрежимный, со встроенной евровилкой, зарядка от сети 220В, СОВ REXANT</t>
  </si>
  <si>
    <t>75-713</t>
  </si>
  <si>
    <t>Фонарь универсальный, однорежимный, в алюминиевом корпусе, компактный REXANT</t>
  </si>
  <si>
    <t>75-716</t>
  </si>
  <si>
    <t>Фонарь универсальный, однорежимный, в алюминиевом корпусе, компактный СОВ REXANT</t>
  </si>
  <si>
    <t>75-717</t>
  </si>
  <si>
    <t>Фонарь универсальный, однорежимный, в корпусе из противоскользящего пластика, компактный REXANT</t>
  </si>
  <si>
    <t>75-718</t>
  </si>
  <si>
    <t>Фонарь универсальный, пятирежимный, в алюминиевом корпусе, сверхъяркий, с регулируемым фокусом REXANT</t>
  </si>
  <si>
    <t>75-714</t>
  </si>
  <si>
    <t>Фонарь универсальный, трехрежимный, в алюминиевом корпусе, компактный, со встроенным аккумулятором, USB кабель в комплекте REXANT</t>
  </si>
  <si>
    <t>75-715</t>
  </si>
  <si>
    <t>Фонарь универсальный, трехрежимный, в алюминиевом корпусе, с набором отверток REXANT</t>
  </si>
  <si>
    <t>9. 3. 6. Налобные</t>
  </si>
  <si>
    <t>75-7839</t>
  </si>
  <si>
    <t>Фонарь налобный NEW AGE, трехрежимный, поворотный, сверхлегкий, с магнитом REXANT</t>
  </si>
  <si>
    <t>75-7831</t>
  </si>
  <si>
    <t>Фонарь налобный NEW AGE, четырехрежимный, поворотный, с регулируемым фокусом REXANT</t>
  </si>
  <si>
    <t>75-8008</t>
  </si>
  <si>
    <t>Фонарь налобный с датчиком движения и аккумулятором REXANT</t>
  </si>
  <si>
    <t>75-8011</t>
  </si>
  <si>
    <t>Фонарь налобный сверхлегкий с прищепкой REXANT</t>
  </si>
  <si>
    <t>75-719</t>
  </si>
  <si>
    <t>Фонарь налобный, двухрежимный, поворотный, с евровилкой, зарядка от сети 220В REXANT</t>
  </si>
  <si>
    <t>75-703</t>
  </si>
  <si>
    <t>Фонарь налобный, трехрежимный, поворотный, сверхлегкий, СОВ REXANT</t>
  </si>
  <si>
    <t>75-701</t>
  </si>
  <si>
    <t>Фонарь налобный, трехрежимный, поворотный, СОВ H-1 REXANT</t>
  </si>
  <si>
    <t>75-704</t>
  </si>
  <si>
    <t>Фонарь налобный, трехрежимный, поворотный, СОВ H-2 REXANT</t>
  </si>
  <si>
    <t>75-702</t>
  </si>
  <si>
    <t>Фонарь налобный, трехрежимный, с улучшенным рефлектором, СОВ REXANT</t>
  </si>
  <si>
    <t>75-700</t>
  </si>
  <si>
    <t>Фонарь налобный, четырехрежимный, с аварийным красным сигналом и встроенным аккумулятором REXANT</t>
  </si>
  <si>
    <t>75-8004</t>
  </si>
  <si>
    <t>Фонарь с клипсой и датчиком движения REXANT</t>
  </si>
  <si>
    <t>9. 3. 7. Подсветка, пушлайты</t>
  </si>
  <si>
    <t>75-705</t>
  </si>
  <si>
    <t>Фонарь-подсветка самоклеящийся, СОВ REXANT</t>
  </si>
  <si>
    <t>9. 3. 8. Прожекторные фонари</t>
  </si>
  <si>
    <t>75-1700</t>
  </si>
  <si>
    <t>Фонарь прожекторный NEW AGE, трехрежимный, в противоударном корпусе, с функцией Power bank REXANT</t>
  </si>
  <si>
    <t>75-8000</t>
  </si>
  <si>
    <t>Фонарь прожекторный складной с полимерным аккумулятором и функцией Power bank REXANT</t>
  </si>
  <si>
    <t>75-8001</t>
  </si>
  <si>
    <t>Фонарь прожекторный складной с функцией Power bank REXANT</t>
  </si>
  <si>
    <t>75-706</t>
  </si>
  <si>
    <t>Фонарь прожекторный, двухрежимный, с наплечным ремнем и встроенной солнечной батареей REXANT</t>
  </si>
  <si>
    <t>75-721</t>
  </si>
  <si>
    <t>Фонарь прожекторный, двухрежимный, с солнечной батареей, индикатором зарядки и функцией Power bank REXANT</t>
  </si>
  <si>
    <t>75-7822</t>
  </si>
  <si>
    <t>Фонарь прожекторный, двухрежимный, с солнечной панелью, USB зарядкой и наплечным ремнем REXANT</t>
  </si>
  <si>
    <t>75-7823</t>
  </si>
  <si>
    <t>Фонарь прожекторный, двухрежимный, со встроенным аккумулятором REXANT</t>
  </si>
  <si>
    <t>75-7824</t>
  </si>
  <si>
    <t>Фонарь прожекторный, пятирежимный, с наплечным ремнем и функцией Power bank, СОВ REXANT</t>
  </si>
  <si>
    <t>9. 3. 9. Туристические</t>
  </si>
  <si>
    <t>75-8006</t>
  </si>
  <si>
    <t>Фонарь кемпинговый раздвижной антимоскитный на подвесе REXANT</t>
  </si>
  <si>
    <t>75-8007</t>
  </si>
  <si>
    <t>Фонарь кемпинговый раздвижной на подвесе REXANT</t>
  </si>
  <si>
    <t>75-8005</t>
  </si>
  <si>
    <t>Фонарь кемпинговый раздвижной с ручкой REXANT</t>
  </si>
  <si>
    <t>75-8009</t>
  </si>
  <si>
    <t>Фонарь кемпинговый с солнечной батареей и крюком REXANT</t>
  </si>
  <si>
    <t>75-720</t>
  </si>
  <si>
    <t>Фонарь кемпинговый, трехрежимный, круглый REXANT</t>
  </si>
  <si>
    <t>75-723</t>
  </si>
  <si>
    <t>Фонарь кемпинговый, четырехрежимный, с регулируемым фокусом и складным подвесом REXANT</t>
  </si>
  <si>
    <t>75-8010</t>
  </si>
  <si>
    <t>Фонарь-брелок с набором отверток REXANT</t>
  </si>
  <si>
    <t>9. 4. Садовые светильники</t>
  </si>
  <si>
    <t>9. 4. 5 Садовые светильники REXANT</t>
  </si>
  <si>
    <t>602-2427</t>
  </si>
  <si>
    <t>Гирлянда садовая Денг, 335см, 3000К, встроенный аккумулятор, солнечная панель, коллекция Пекин REXANT</t>
  </si>
  <si>
    <t>602-2428</t>
  </si>
  <si>
    <t>Гирлянда садовая Денг, 635см, 3000К, встроенный аккумулятор, солнечная панель, коллекция Пекин REXANT</t>
  </si>
  <si>
    <t>602-2421</t>
  </si>
  <si>
    <t>Гирлянда садовая Канэри, 10м, 3000К, встроенный аккумулятор, солнечная панель, коллекция Лондон REXANT</t>
  </si>
  <si>
    <t>602-2420</t>
  </si>
  <si>
    <t>Гирлянда садовая Сэвил, 398см, 3000К, встроенный аккумулятор, солнечная панель,коллекция Лондон REXANT</t>
  </si>
  <si>
    <t>602-2419</t>
  </si>
  <si>
    <t>Гирлянда садовая Эбби, 335 см, 3000К, встроенный аккумулятор, солнечная панель, коллекция Лондон REXANT</t>
  </si>
  <si>
    <t>602-2437</t>
  </si>
  <si>
    <t>Светильник грунтовый Верба, 3000К, встроенный аккумулятор, солнечная панель REXANT</t>
  </si>
  <si>
    <t>602-2425</t>
  </si>
  <si>
    <t>Светильник грунтовый Вестфилд, 3000К, встроенный аккумулятор, солнечная панель, коллекция Лондон REXANT</t>
  </si>
  <si>
    <t>602-2432</t>
  </si>
  <si>
    <t>Светильник грунтовый Дуфу, 4000К, встроенный аккумулятор, солнечная панель, коллекция Пекин (комплект 4 шт) REXANT</t>
  </si>
  <si>
    <t>602-2401</t>
  </si>
  <si>
    <t>Светильник грунтовый Лалели, 3000К, встроенный аккумулятор, солнечная панель, коллекция Стамбул REXANT</t>
  </si>
  <si>
    <t>602-2405</t>
  </si>
  <si>
    <t>Светильник грунтовый Лейка, 3000К, встроенный аккумулятор, солнечная панель, коллекция Стамбул REXANT</t>
  </si>
  <si>
    <t>602-2433</t>
  </si>
  <si>
    <t>Светильник грунтовый Одуванчик, RGB, встроенный аккумулятор, солнечная панель REXANT</t>
  </si>
  <si>
    <t>602-2435</t>
  </si>
  <si>
    <t>Светильник грунтовый Салют, 3000К, встроенный аккумулятор, солнечная панель REXANT</t>
  </si>
  <si>
    <t>602-2429</t>
  </si>
  <si>
    <t>Светильник грунтовый Таянг, 3000К/RGB, встроенный аккумулятор, солнечная панель, коллекция Пекин REXANT</t>
  </si>
  <si>
    <t>602-2404</t>
  </si>
  <si>
    <t>Светильник грунтовый Фатих, 3000К, встроенный аккумулятор, солнечная панель, коллекция Стамбул REXANT</t>
  </si>
  <si>
    <t>602-2403</t>
  </si>
  <si>
    <t>Светильник подвесной Галата, 3000К, встроенный аккумулятор, солнечная панель, коллекция Стамбул REXANT</t>
  </si>
  <si>
    <t>602-2402</t>
  </si>
  <si>
    <t>Светильник подвесной Фатих, 3000К, встроенный аккумулятор, солнечная панель, коллекция Стамбул REXANT</t>
  </si>
  <si>
    <t>602-2424</t>
  </si>
  <si>
    <t>Светильник прожекторный Стрэнд, 6500К, встроенный аккумулятор, солнечная панель, коллекция Лондон REXANT</t>
  </si>
  <si>
    <t>602-2408</t>
  </si>
  <si>
    <t>Светильник садовый Бамбук, 18см, 3000К, встроенный аккумулятор, солнечная панель, коллекция Бали REXANT</t>
  </si>
  <si>
    <t>602-2411</t>
  </si>
  <si>
    <t>Светильник садовый Бамбук, 29,5см, 3000К, встроенный аккумулятор, солнечная панель, коллекция Бали REXANT</t>
  </si>
  <si>
    <t>602-2415</t>
  </si>
  <si>
    <t>Светильник садовый Карнаби, 4000К, встроенный аккумулятор, солнечная панель, коллекция Лондон REXANT</t>
  </si>
  <si>
    <t>602-2418</t>
  </si>
  <si>
    <t>Светильник садовый Кингс, 3000К, встроенный аккумулятор, солнечная панель, коллекция Лондон REXANT</t>
  </si>
  <si>
    <t>602-2431</t>
  </si>
  <si>
    <t>Светильник садовый Лотос, 3000К, 15см, встроенный аккумулятор, солнечная панель, коллекция Пекин REXANT</t>
  </si>
  <si>
    <t>602-2413</t>
  </si>
  <si>
    <t>Светильник садовый Риджент, 4000К, встроенный аккумулятор, солнечная панель, коллекция Лондон REXANT</t>
  </si>
  <si>
    <t>602-2409</t>
  </si>
  <si>
    <t>Светильник садовый Тростник, 22,5см, 3000К, встроенный аккумулятор, солнечная панель, коллекция Бали REXANT</t>
  </si>
  <si>
    <t>602-2410</t>
  </si>
  <si>
    <t>Светильник садовый Тростник, 35,5см, 3000К, встроенный аккумулятор, солнечная панель, коллекция Бали REXANT</t>
  </si>
  <si>
    <t>602-2412</t>
  </si>
  <si>
    <t>Светильник садовый Шанти, 22см, 3000К, встроенный аккумулятор, солнечная панель, коллекция Бали REXANT</t>
  </si>
  <si>
    <t>602-2406</t>
  </si>
  <si>
    <t>Светильник садовый Шиле, 3000К, встроенный аккумулятор, солнечная панель, коллекция Стамбул REXANT</t>
  </si>
  <si>
    <t>9. 5. Светодиодные ленты</t>
  </si>
  <si>
    <t>9. 5. 1. Светодиодная лента Lamper</t>
  </si>
  <si>
    <t>9. 5. 1. 1 Светодиодная лента 5В</t>
  </si>
  <si>
    <t>141-2004</t>
  </si>
  <si>
    <t>Лента светодиодная 5В, SMD2835, 4,8Вт/м, 60 LED/м, 2700K, 8мм, 3м, с USB коннектором, черная, IP20 LAMPER</t>
  </si>
  <si>
    <t>141-2003</t>
  </si>
  <si>
    <t>Лента светодиодная 5В, SMD2835, 4,8Вт/м, 60 LED/м, 6500K, 8мм, 3м, с USB коннектором, черная, IP20 LAMPER</t>
  </si>
  <si>
    <t>141-384</t>
  </si>
  <si>
    <t>Лента светодиодная 5В, SMD2835, 4,8Вт/м, 60 LED/м, зеленый, 8мм, 1м, с USB коннектором, черная, IP65 LAMPER</t>
  </si>
  <si>
    <t>141-387</t>
  </si>
  <si>
    <t>Лента светодиодная 5В, SMD5050, 4,8Вт/м, 60 LED/м, RGB, 10мм, 1м, с USB коннектором, черная, IP65 LAMPER</t>
  </si>
  <si>
    <t>141-2009</t>
  </si>
  <si>
    <t>Лента светодиодная 5В, SMD5050, 7,2Вт/м, 30 LED/м, RGB, 10мм, 3м, с USB коннектором, черная, IP20 LAMPER</t>
  </si>
  <si>
    <t>9. 5. 1. 2 Светодиодная лента 12В</t>
  </si>
  <si>
    <t>141-2016</t>
  </si>
  <si>
    <t>Лента светодиодная 12В, SMD2835, 4,8Вт/м, 60 LED/м, 2700К, 8мм, 5м, для БП с клеммами, IP65 LAMPER</t>
  </si>
  <si>
    <t>141-336</t>
  </si>
  <si>
    <t>Лента светодиодная 12В, SMD2835, 4,8Вт/м, 60 LED/м, 3000К, 8мм, 5м, IP20 LAMPER</t>
  </si>
  <si>
    <t>141-335</t>
  </si>
  <si>
    <t>Лента светодиодная 12В, SMD2835, 4,8Вт/м, 60 LED/м, 6500K, 8мм, 5м, IP20 LAMPER</t>
  </si>
  <si>
    <t>141-2011</t>
  </si>
  <si>
    <t>Лента светодиодная 12В, SMD2835, 4,8Вт/м, 60 LED/м, 6500К, 8мм, 20м, для БП с клеммами, IP20 LAMPER</t>
  </si>
  <si>
    <t>141-2013</t>
  </si>
  <si>
    <t>Лента светодиодная 12В, SMD2835, 4,8Вт/м, 60 LED/м, 6500К, 8мм, 5м, для БП с клеммами, IP20 LAMPER</t>
  </si>
  <si>
    <t>141-333</t>
  </si>
  <si>
    <t>Лента светодиодная 12В, SMD2835, 4,8Вт/м, 60 LED/м, синий, 8мм, 5м, IP20 LAMPER</t>
  </si>
  <si>
    <t>141-365</t>
  </si>
  <si>
    <t>Лента светодиодная 12В, SMD2835, 9,6 Вт/м, 120 LED/м, 6500К, 8мм, 5м, IP65 LAMPER</t>
  </si>
  <si>
    <t>141-396</t>
  </si>
  <si>
    <t>Лента светодиодная 12В, SMD2835, 9,6Вт/м, 120 LED/м, 3000K, 8мм, 5м, IP20 LAMPER</t>
  </si>
  <si>
    <t>141-2032</t>
  </si>
  <si>
    <t>Лента светодиодная 12В, SMD3030, 10,5Вт/м, 30 LED/м, RGB, 10мм, 3м, с разьемом для контроллера 4PIN, IP20 LAMPER</t>
  </si>
  <si>
    <t>141-2022</t>
  </si>
  <si>
    <t>Лента светодиодная 12В, SMD5050, 14,4Вт/м, 60 LED/м, 2700К, 10мм, 3м, для БП с клеммами, IP20 LAMPER</t>
  </si>
  <si>
    <t>141-2030</t>
  </si>
  <si>
    <t>Лента светодиодная 12В, SMD5050, 14,4Вт/м, 60 LED/м, 2700К, 10мм, 3м, для БП с клеммами, IP65 LAMPER</t>
  </si>
  <si>
    <t>141-496</t>
  </si>
  <si>
    <t>Лента светодиодная 12В, SMD5050, 14,4Вт/м, 60 LED/м, 3000К, 10мм, 5м, IP65 LAMPER</t>
  </si>
  <si>
    <t>141-2023</t>
  </si>
  <si>
    <t>Лента светодиодная 12В, SMD5050, 14,4Вт/м, 60 LED/м, 4000К, 10мм, 3м, для БП с клеммами, IP20 LAMPER</t>
  </si>
  <si>
    <t>141-2026</t>
  </si>
  <si>
    <t>Лента светодиодная 12В, SMD5050, 14,4Вт/м, 60 LED/м, 4000К, 10мм, 5м, для БП с клеммами, IP20 LAMPER</t>
  </si>
  <si>
    <t>141-2021</t>
  </si>
  <si>
    <t>Лента светодиодная 12В, SMD5050, 14,4Вт/м, 60 LED/м, 6500К, 10мм, 3м, для БП с клеммами, IP20 LAMPER</t>
  </si>
  <si>
    <t>141-2029</t>
  </si>
  <si>
    <t>Лента светодиодная 12В, SMD5050, 14,4Вт/м, 60 LED/м, 6500К, 10мм, 3м, для БП с клеммами, IP65 LAMPER</t>
  </si>
  <si>
    <t>141-2024</t>
  </si>
  <si>
    <t>Лента светодиодная 12В, SMD5050, 14,4Вт/м, 60 LED/м, 6500К, 10мм, 5м, для БП с клеммами, IP20 LAMPER</t>
  </si>
  <si>
    <t>141-499</t>
  </si>
  <si>
    <t>Лента светодиодная 12В, SMD5050, 14,4Вт/м, 60 LED/м, RGB, 10мм, 5м, IP65 LAMPER</t>
  </si>
  <si>
    <t>141-492</t>
  </si>
  <si>
    <t>Лента светодиодная 12В, SMD5050, 14,4Вт/м, 60 LED/м, желтый, 10мм, 5м, IP65 LAMPER</t>
  </si>
  <si>
    <t>9. 5. 1. 3 Светодиодная лента 24В</t>
  </si>
  <si>
    <t>141-632</t>
  </si>
  <si>
    <t>Лента светодиодная 24В, SMD5050, 14,4Вт/м, 60 LED/м, 3000К, 10мм, 5м, IP20 LAMPER</t>
  </si>
  <si>
    <t>9. 5. 1. 4 Аксессуары 12-24В</t>
  </si>
  <si>
    <t>143-103-2</t>
  </si>
  <si>
    <t>LED RGB контроллер 2.4G (полусенсорное управление) LAMPER</t>
  </si>
  <si>
    <t>143-101-3</t>
  </si>
  <si>
    <t>LED RGB контроллер инфракрасный (IR) 12 V/6 A инфракрасный (IR) LAMPER</t>
  </si>
  <si>
    <t>143-106</t>
  </si>
  <si>
    <t>LED мини контроллер с разъемом 5,5х2,1 мм 72/144 W, 3 кнопки, 12 V/24 V</t>
  </si>
  <si>
    <t>144-113</t>
  </si>
  <si>
    <t>Коннектор соединительный  для RGB светодиодных лент шириной 10 мм и контроллеров, длина 30 см LAMPER</t>
  </si>
  <si>
    <t>144-025</t>
  </si>
  <si>
    <t>Коннектор соединительный  для одноцветных светодиодных лент с влагозащитой шириной 10 мм, длина 15 см LAMPER</t>
  </si>
  <si>
    <t>144-023</t>
  </si>
  <si>
    <t>Коннектор соединительный  для одноцветных светодиодных лент с влагозащитой шириной 8 мм, длина 15 см LAMPER</t>
  </si>
  <si>
    <t>144-004</t>
  </si>
  <si>
    <t>Коннектор соединительный (2 разъема) для RGB светодиодных лент шириной 10 мм, длина 15 см LAMPER</t>
  </si>
  <si>
    <t>143-106-1</t>
  </si>
  <si>
    <t>Мини-контроллер светодиодный RGB, инфракрасный (IR), 6 кнопок, 12-24В/6А LAMPER</t>
  </si>
  <si>
    <t>143-105-3</t>
  </si>
  <si>
    <t>Сенсорный выключатель для светодиодной ленты, 5,5х2,1 мм, 12/24 В, 36/72 Вт, 3 А</t>
  </si>
  <si>
    <t>143-107-1</t>
  </si>
  <si>
    <t>Сенсорный диммер/выключатель с коннектором 5,5х2,1 мм</t>
  </si>
  <si>
    <t>9. 5. 1. 5 Готовые комплекты</t>
  </si>
  <si>
    <t>142-909</t>
  </si>
  <si>
    <t>Комплект светодиодной ленты 5 м с блоком питания IP65, теплое белое свечение 3000 К LAMPER</t>
  </si>
  <si>
    <t>142-402</t>
  </si>
  <si>
    <t>Комплект светодиодной ленты 5 м с блоком питания и RGB контроллером IP65, свечение RGB LAMPER</t>
  </si>
  <si>
    <t>9. 5. 2. Светодиодная лента REXANT</t>
  </si>
  <si>
    <t>9. 5. 2. 1. Светодиодная лента 12В</t>
  </si>
  <si>
    <t>141-218</t>
  </si>
  <si>
    <t>Лента светодиодная 12В, SMD2835, 14,4Вт/м, 120 LED/м, 3000K, 8мм, 50м, IP20 REXANT</t>
  </si>
  <si>
    <t>141-223</t>
  </si>
  <si>
    <t>Лента светодиодная 12В, SMD2835, 14,4Вт/м, 120 LED/м, 4000K, 8мм, 50м, IP20 REXANT</t>
  </si>
  <si>
    <t>141-221</t>
  </si>
  <si>
    <t>Лента светодиодная 12В, SMD2835, 14,4Вт/м, 120 LED/м, 4000K, 8мм, 5м, IP20 REXANT</t>
  </si>
  <si>
    <t>141-222</t>
  </si>
  <si>
    <t>Лента светодиодная 12В, SMD2835, 14,4Вт/м, 120 LED/м, 6500K, 8мм, 5м, IP20 REXANT</t>
  </si>
  <si>
    <t>141-224</t>
  </si>
  <si>
    <t>Лента светодиодная 12В, SMD2835, 19,2Вт/м, 240 LED/м, 4000K, 10мм, 5м,IP20 REXANT</t>
  </si>
  <si>
    <t>141-213</t>
  </si>
  <si>
    <t>Лента светодиодная 12В, SMD2835, 9,6Вт/м, 60 LED/м, 3000K, 8мм, 5м, IP20 REXANT</t>
  </si>
  <si>
    <t>141-217</t>
  </si>
  <si>
    <t>Лента светодиодная 12В, SMD2835, 9,6Вт/м, 60 LED/м, 6500K, 8мм, 5м, IP20 REXANT</t>
  </si>
  <si>
    <t>9. 5. 2. 2. Светодиодная лента 24В</t>
  </si>
  <si>
    <t>141-637</t>
  </si>
  <si>
    <t>Лента светодиодная 24В, SMD2835, 9,6Вт/м, 120 LED/м, 3000K, 10мм, 5м,IP20 REXANT</t>
  </si>
  <si>
    <t>141-638</t>
  </si>
  <si>
    <t>Лента светодиодная 24В, SMD2835, 9,6Вт/м, 120 LED/м, 4000K, 10мм, 5м,IP20 REXANT</t>
  </si>
  <si>
    <t>141-639</t>
  </si>
  <si>
    <t>Лента светодиодная 24В, SMD2835, 9,6Вт/м, 120 LED/м, 6500K, 10мм, 5м,IP20 REXANT</t>
  </si>
  <si>
    <t>9. 5. 2. 3. Светодиодная лента СОВ</t>
  </si>
  <si>
    <t>147-116</t>
  </si>
  <si>
    <t>Лента светодиодная 12В, COB 8Вт/м, 320 LED/м, оранжевый, 8мм, 5м, IP20 REXANT</t>
  </si>
  <si>
    <t>147-100</t>
  </si>
  <si>
    <t>Лента светодиодная 24В, COB 10Вт/м, 384 LED/м, 3000K, 8мм, 5м, IP20 REXANT</t>
  </si>
  <si>
    <t>147-101</t>
  </si>
  <si>
    <t>Лента светодиодная 24В, COB 10Вт/м, 384 LED/м, 4000K, 8мм, 5м, IP20 REXANT</t>
  </si>
  <si>
    <t>147-102</t>
  </si>
  <si>
    <t>Лента светодиодная 24В, COB 10Вт/м, 384 LED/м, 6500K, 8мм, 5м, IP20 REXANT</t>
  </si>
  <si>
    <t>147-103</t>
  </si>
  <si>
    <t>Лента светодиодная 24В, COB 12Вт/м, 720 LED/м, RGB, 10мм, 5м, IP20 REXANT</t>
  </si>
  <si>
    <t>147-104</t>
  </si>
  <si>
    <t>Лента светодиодная 24В, COB 14Вт/м, 512 LED/м, 3000К, 8мм, 5м, IP20 REXANT</t>
  </si>
  <si>
    <t>147-105</t>
  </si>
  <si>
    <t>Лента светодиодная 24В, COB 14Вт/м, 512 LED/м, 4000К, 8мм, 5м, IP20 REXANT</t>
  </si>
  <si>
    <t>147-106</t>
  </si>
  <si>
    <t>Лента светодиодная 24В, COB 14Вт/м, 512 LED/м, 6500К, 8мм, 5м, IP20 REXANT</t>
  </si>
  <si>
    <t>147-110</t>
  </si>
  <si>
    <t>Лента светодиодная 24В, COB 8Вт/м, 320 LED/м, 3000K, 8мм, 5м, IP20 REXANT</t>
  </si>
  <si>
    <t>147-111</t>
  </si>
  <si>
    <t>Лента светодиодная 24В, COB 8Вт/м, 320 LED/м, 4000K, 8мм, 5м, IP20 REXANT</t>
  </si>
  <si>
    <t>147-112</t>
  </si>
  <si>
    <t>Лента светодиодная 24В, COB 8Вт/м, 320 LED/м, 6500K, 8мм, 5м, IP20 REXANT</t>
  </si>
  <si>
    <t>147-113</t>
  </si>
  <si>
    <t>Лента светодиодная 24В, COB 8Вт/м, 320 LED/м, зеленый, 8мм, 5м, IP20 REXANT</t>
  </si>
  <si>
    <t>147-114</t>
  </si>
  <si>
    <t>Лента светодиодная 24В, COB 8Вт/м, 320 LED/м, красный, 8мм, 5м, IP20 REXANT</t>
  </si>
  <si>
    <t>147-115</t>
  </si>
  <si>
    <t>Лента светодиодная 24В, COB 8Вт/м, 320 LED/м, синий, 8мм, 5м, IP20 REXANT</t>
  </si>
  <si>
    <t>9. 5. 2. 4. Аксессуары СОВ</t>
  </si>
  <si>
    <t>148-104</t>
  </si>
  <si>
    <t>Коннектор I-образный гибкий удлиненный для одноцветной светодиодной ленты COB 8мм REXANT</t>
  </si>
  <si>
    <t>9. 5. 2. 5. Аксессуары SMD</t>
  </si>
  <si>
    <t>148-119</t>
  </si>
  <si>
    <t>Коннектор T-образный для светодиодной ленты SMD 8мм REXANT</t>
  </si>
  <si>
    <t>9. 5. 2. 6. Лента для бани и сауны</t>
  </si>
  <si>
    <t>141-641</t>
  </si>
  <si>
    <t>Лента светодиодная для бани и сауны 24В, SMD2835, 14,4Вт/м, 120 LED/м, 3000K, 16мм, 5м, IP68 REXANT</t>
  </si>
  <si>
    <t>9. 5. 3. Светодиодная лента NEON-NIGHT 220В</t>
  </si>
  <si>
    <t>142-603</t>
  </si>
  <si>
    <t>Лента светодиодная 220В, SMD2835, 4,8Вт/м, 60 LED/м, Синий, 10х7мм, 100м, с кабелем питания, IP67 NEON-NIGHT</t>
  </si>
  <si>
    <t>142-102</t>
  </si>
  <si>
    <t>Лента светодиодная 220В, SMD5050, 60 LED/м, Желтый, 13х8мм,с кабелем питания, IP67 NEON-NIGHT</t>
  </si>
  <si>
    <t>142-104</t>
  </si>
  <si>
    <t>Лента светодиодная 220В, SMD5050, 60 LED/м, Зеленый, 13х8мм,с кабелем питания, IP67 NEON-NIGHT</t>
  </si>
  <si>
    <t>9. 5. 3. 1. Аксессуары для ленты 220В</t>
  </si>
  <si>
    <t>142-012</t>
  </si>
  <si>
    <t>Монтажная клипса для LED ленты 220 В 6x10.6 мм</t>
  </si>
  <si>
    <t>142-053</t>
  </si>
  <si>
    <t>Муфта соединительная L для светодиодной ленты 220 В 14.5х7.5 мм</t>
  </si>
  <si>
    <t>142-056</t>
  </si>
  <si>
    <t>Муфта соединительная L для светодиодной ленты 220 В 6.5х17 мм</t>
  </si>
  <si>
    <t>142-041</t>
  </si>
  <si>
    <t>Муфта соединительная T для светодиодной ленты 220 В 13.5х6.5 мм</t>
  </si>
  <si>
    <t>142-042</t>
  </si>
  <si>
    <t>Муфта соединительная T для светодиодной ленты 220 В 9.5х6 мм</t>
  </si>
  <si>
    <t>124-023</t>
  </si>
  <si>
    <t>Установочный комплект для светодиодной ленты 220В, 6,5x13мм, до 100м (шнур питания 8А, заглушка, коннектор)</t>
  </si>
  <si>
    <t>124-022</t>
  </si>
  <si>
    <t>Установочный комплект для светодиодной ленты 220В, 6x10,6мм, до 100м (шнур питания 8А, заглушка, коннектор)</t>
  </si>
  <si>
    <t>124-026</t>
  </si>
  <si>
    <t>Установочный комплект для светодиодной ленты 220В, 7,5x20мм, до 50м (шнур питания 4А, заглушка, коннектор)</t>
  </si>
  <si>
    <t>9. 5. 4. Алюминиевый профиль</t>
  </si>
  <si>
    <t>9. 5. 4. 2. Алюминиевый профиль комплекты</t>
  </si>
  <si>
    <t>146-405-1</t>
  </si>
  <si>
    <t>Комплект врезного алюминиевого профиля с рассеивателем, 22х6мм, 1м REXANT</t>
  </si>
  <si>
    <t>146-405-3</t>
  </si>
  <si>
    <t>Комплект врезного алюминиевого профиля с рассеивателем, 22х6мм, 1м, розовое золото REXANT</t>
  </si>
  <si>
    <t>146-405-2</t>
  </si>
  <si>
    <t>Комплект врезного алюминиевого профиля с рассеивателем, 22х6мм, 1м, черный REXANT</t>
  </si>
  <si>
    <t>146-405</t>
  </si>
  <si>
    <t>Комплект врезного алюминиевого профиля с рассеивателем, 22х6мм, 2м REXANT</t>
  </si>
  <si>
    <t>146-400-1</t>
  </si>
  <si>
    <t>Комплект накладного алюминиевого профиля с рассеивателем, 15х6мм, 1м REXANT</t>
  </si>
  <si>
    <t>146-400</t>
  </si>
  <si>
    <t>Комплект накладного алюминиевого профиля с рассеивателем, 15х6мм, 2м REXANT</t>
  </si>
  <si>
    <t>146-401-1</t>
  </si>
  <si>
    <t>Комплект накладного алюминиевого профиля с рассеивателем, 16х12мм, 1м, REXANT</t>
  </si>
  <si>
    <t>146-401</t>
  </si>
  <si>
    <t>Комплект накладного алюминиевого профиля с рассеивателем, 16х12мм, 2м REXANT</t>
  </si>
  <si>
    <t>146-403-1</t>
  </si>
  <si>
    <t>Комплект накладной алюминиевого профиля с рассеивателем, 24х6мм, 1м REXANT</t>
  </si>
  <si>
    <t>146-403</t>
  </si>
  <si>
    <t>Комплект накладной алюминиевого профиля с рассеивателем, 24х6мм, 2м, REXANT</t>
  </si>
  <si>
    <t>146-402-1</t>
  </si>
  <si>
    <t>Комплект углового алюминиевого профиля с рассеивателем, 16х16мм, 1м REXANT</t>
  </si>
  <si>
    <t>146-402</t>
  </si>
  <si>
    <t>Комплект углового алюминиевого профиля с рассеивателем, 16х16мм, 2м REXANT</t>
  </si>
  <si>
    <t>9. 5. 5.  Источники питания (блоки питания) REXANT</t>
  </si>
  <si>
    <t>9. 5. 5. 1. Сетевые адаптеры IP43</t>
  </si>
  <si>
    <t>200-100-3</t>
  </si>
  <si>
    <t>Блок питания (сетевой адаптер) AC 110-250В/DC 12В, 9А, 100Вт с DC разъемом подключения 5,5х2,1 (IP43)</t>
  </si>
  <si>
    <t>200-012-3</t>
  </si>
  <si>
    <t>Блок питания (сетевой адаптер) AC 110-250В/DC 12В, 1А, 12Вт с DC разъемом подключения 5,5х2,1 (IP43)</t>
  </si>
  <si>
    <t>200-150-3</t>
  </si>
  <si>
    <t>Блок питания (сетевой адаптер) AC 110-250В/DC 12В, 12,5А, 150Вт с DC разъемом подключения 5,5x2,1 (IP43)</t>
  </si>
  <si>
    <t>200-024-3</t>
  </si>
  <si>
    <t>Блок питания (сетевой адаптер) AC 110-240В/DC 12В, 2А, 24Вт с DC разъемом подключения 5,5х2,1 (IP43)</t>
  </si>
  <si>
    <t>200-024-6</t>
  </si>
  <si>
    <t>Блок питания (сетевой адаптер) AC 110-250В/DC 12В, 2А, 24Вт с DC разъемом подключения 5,5x2,1, белый корпус (IP43) REXANT</t>
  </si>
  <si>
    <t>200-036-3</t>
  </si>
  <si>
    <t>Блок питания (сетевой адаптер) AC 110-250В/DC 12В, 3А, 36Вт с DC разъемом подключения 5,5x2,1 (IP43)</t>
  </si>
  <si>
    <t>200-050-3</t>
  </si>
  <si>
    <t>Блок питания (сетевой адаптер) AC 110-250В/DC 12В, 4,5А, 54Вт с DC разъемом подключения 5,5x2,1 (IP43)</t>
  </si>
  <si>
    <t>200-005-3</t>
  </si>
  <si>
    <t>Блок питания (сетевой адаптер) AC 110-250В/DC 12В, 0,5А, 6Вт с DC разъемом подключения 5,5x2,1 (IP43)</t>
  </si>
  <si>
    <t>200-072-3</t>
  </si>
  <si>
    <t>Блок питания (сетевой адаптер) AC 110-250В/DC 12В, 6А, 72Вт с DC разъемом подключения 5,5x2,1 (IP43)</t>
  </si>
  <si>
    <t>201-024-3</t>
  </si>
  <si>
    <t>Блок питания (сетевой адаптер) AC 110-250В/DC 24В, 1А, 24Вт с DC разъемом подключения 5,5x2,1 (IP43)</t>
  </si>
  <si>
    <t>201-072-3</t>
  </si>
  <si>
    <t>Блок питания (сетевой адаптер) AC 110-250В/DC 24В, 3А, 72Вт с DC разъемом подключения 5,5x2,1 (IP43)</t>
  </si>
  <si>
    <t>200-012-5</t>
  </si>
  <si>
    <t>Блок питания (сетевой адаптер) AC 110-250В/DC 5В, 2А, 10Вт с DC разъемом подключения 5,5х2,1 (IP43)</t>
  </si>
  <si>
    <t>200-024-5</t>
  </si>
  <si>
    <t>Блок питания (сетевой адаптер) AC 110-250В/DC 5В, 3А, 15Вт с DC разъемом подключения 5,5х2,1 (IP43)</t>
  </si>
  <si>
    <t>200-036-5</t>
  </si>
  <si>
    <t>Блок питания (сетевой адаптер) AC 110-250В/DC 5В, 4А, 20Вт с DC разъемом подключения 5,5х2,1 (IP43)</t>
  </si>
  <si>
    <t>200-005-5</t>
  </si>
  <si>
    <t>Блок питания (сетевой адаптер) AC 110-250В/DC 5В, 1А, 5Вт с DC разъемом подключения 5,5х2,1 (IP43)</t>
  </si>
  <si>
    <t>9. 5. 5. 2. Источники в защитном кожухе IP20</t>
  </si>
  <si>
    <t>200-1057</t>
  </si>
  <si>
    <t>Источник питания (драйвер) 12В, 100 Вт с разъёмами под винт, IP20 REXANT</t>
  </si>
  <si>
    <t>200-1055</t>
  </si>
  <si>
    <t>Источник питания (драйвер) 12В, 150Вт с разъёмами под винт, IP20 REXANT</t>
  </si>
  <si>
    <t>200-1030</t>
  </si>
  <si>
    <t>Источник питания (драйвер) 12В, 18Вт с разъемами под винт, ультратонкий IP20 REXANT</t>
  </si>
  <si>
    <t>200-1031</t>
  </si>
  <si>
    <t>Источник питания (драйвер) 12В, 24 Вт с разъёмами под винт, ультратонкий IP20 REXANT</t>
  </si>
  <si>
    <t>200-1032</t>
  </si>
  <si>
    <t>Источник питания (драйвер) 12В, 36Вт с разъемами под винт, ультратонкий IP20 REXANT</t>
  </si>
  <si>
    <t>200-1033</t>
  </si>
  <si>
    <t>Источник питания (драйвер) 12В, 48 Вт с разъёмами под винт, ультратонкий IP20 REXANT</t>
  </si>
  <si>
    <t>200-1034</t>
  </si>
  <si>
    <t>Источник питания (драйвер) 12В, 60 Вт с разъёмами под винт, ультратонкий IP20 REXANT</t>
  </si>
  <si>
    <t>200-1059</t>
  </si>
  <si>
    <t>Источник питания (драйвер) 12В, 60Вт с разъёмами под винт, IP20 REXANT</t>
  </si>
  <si>
    <t>200-1056</t>
  </si>
  <si>
    <t>Источник питания (драйвер) 24В, 100Вт с разъёмами под винт, IP20 REXANT</t>
  </si>
  <si>
    <t>200-1054</t>
  </si>
  <si>
    <t>Источник питания (драйвер) 24В, 150Вт с разъёмами под винт, IP20 REXANT</t>
  </si>
  <si>
    <t>200-1052</t>
  </si>
  <si>
    <t>Источник питания (драйвер) 24В, 200Вт с разъёмами под винт, IP20 REXANT</t>
  </si>
  <si>
    <t>200-1035</t>
  </si>
  <si>
    <t>Источник питания (драйвер) 24В, 24Вт с разъемами под винт, ультратонкий IP20 REXANT</t>
  </si>
  <si>
    <t>200-1036</t>
  </si>
  <si>
    <t>Источник питания (драйвер) 24В, 36Вт с разъемами под винт, ультратонкий IP20 REXANT</t>
  </si>
  <si>
    <t>200-1037</t>
  </si>
  <si>
    <t>Источник питания (драйвер) 24В, 48Вт с разъемами под винт, ультратонкий IP20 REXANT</t>
  </si>
  <si>
    <t>200-1058</t>
  </si>
  <si>
    <t>Источник питания (драйвер) 24В, 60Вт с разъёмами под винт, IP20 REXANT</t>
  </si>
  <si>
    <t>200-1039</t>
  </si>
  <si>
    <t>Источник питания (драйвер) 24В, 72Вт с разъемами под винт, ультратонкий IP20 REXANT</t>
  </si>
  <si>
    <t>9. 5. 5. 3. Источники герметичные IP 67</t>
  </si>
  <si>
    <t>200-1001</t>
  </si>
  <si>
    <t>Источник питания (драйвер) 12В, 100Вт с проводами, влагозащищенный IP67 REXANT</t>
  </si>
  <si>
    <t>200-1002</t>
  </si>
  <si>
    <t>Источник питания (драйвер) 12В, 200Вт с проводами, влагозащищенный IP67 REXANT</t>
  </si>
  <si>
    <t>200-1003</t>
  </si>
  <si>
    <t>Источник питания (драйвер) 12В, 300Вт с проводами, влагозащищенный IP67 REXANT</t>
  </si>
  <si>
    <t>200-1000</t>
  </si>
  <si>
    <t>Источник питания (драйвер) 12В, 60Вт с проводами, влагозащищенный IP67 REXANT</t>
  </si>
  <si>
    <t>200-1005</t>
  </si>
  <si>
    <t>Источник питания (драйвер) 24В, 100Вт с проводами, влагозащищенный IP67 REXANT</t>
  </si>
  <si>
    <t>200-1006</t>
  </si>
  <si>
    <t>Источник питания (драйвер) 24В, 200Вт с проводами, влагозащищенный IP67 REXANT</t>
  </si>
  <si>
    <t>200-1007</t>
  </si>
  <si>
    <t>Источник питания (драйвер) 24В, 300Вт с проводами, влагозащищенный IP67 REXANT</t>
  </si>
  <si>
    <t>200-1004</t>
  </si>
  <si>
    <t>Источник питания (драйвер) 24В, 60Вт с проводами, влагозащищенный IP67 REXANT</t>
  </si>
  <si>
    <t>201-024-2</t>
  </si>
  <si>
    <t>Источник питания 24В, 24Вт с проводами, влагозащищенный IP67</t>
  </si>
  <si>
    <t>9. 7 Датчики движения и фотореле</t>
  </si>
  <si>
    <t>9. 7. 1. Датчики инфракрасные</t>
  </si>
  <si>
    <t>11-9203</t>
  </si>
  <si>
    <t>Датчик движения в патрон E27 ДДП 01, 360°, 60Вт, 3-2000Лк, 6м, 10-300 сек. REXANT</t>
  </si>
  <si>
    <t>11-9208</t>
  </si>
  <si>
    <t>Датчик движения встраиваемый ДДВ 01, 160°, 300-1200 Вт, 3-2000 Лк, 9 м,10-420 сек. REXANT</t>
  </si>
  <si>
    <t>11-9220</t>
  </si>
  <si>
    <t>Датчик движения к прожектору ДДПР 01, 120°, 1200 Вт, 3-2000 Лк, 12 м,10-420 сек. IP44  REXANT</t>
  </si>
  <si>
    <t>11-9205</t>
  </si>
  <si>
    <t>Датчик движения настенный ДДС 01, 180°, 1200 Вт, 3-2000 Лк, 5-12 м, 10-420 сек. IP44 REXANT</t>
  </si>
  <si>
    <t>11-9210</t>
  </si>
  <si>
    <t>Датчик движения настенный ДДС 02, 180°, 1200 Вт, 3-2000 Лк, 12 м, 10-420 сек. IP44 REXANT</t>
  </si>
  <si>
    <t>11-9211</t>
  </si>
  <si>
    <t>Датчик движения настенный ДДС 03, 180°, 1200 Вт, 3-2000 Лк, 12 м, 10-900 сек. IP44 REXANT</t>
  </si>
  <si>
    <t>11-9212</t>
  </si>
  <si>
    <t>Датчик движения настенный ДДС 04, 180°, 1200 Вт, 3-2000 Лк, 12 м, 10-420 сек. IP44 REXANT</t>
  </si>
  <si>
    <t>11-9209</t>
  </si>
  <si>
    <t>Датчик движения потолочный ДДП 01, 120°/360°, 1200 Вт, 10-2000 Лк, 6 м, 10-420 сек. REXANT</t>
  </si>
  <si>
    <t>11-9213</t>
  </si>
  <si>
    <t>Датчик движения потолочный ДДП 02, 120°/360°, 1200 Вт, 10-2000 Лк, 2-6 м,10-420 сек. REXANT</t>
  </si>
  <si>
    <t>11-9206</t>
  </si>
  <si>
    <t>Датчик движения точечный ДДТ 01, 360°, 2000Вт, 3-2000Лк, 20м,10-420 сек REXANT</t>
  </si>
  <si>
    <t>11-9207</t>
  </si>
  <si>
    <t>Датчик движения точечный ДДТ 02, 360°, 800 Вт, 3-2000 Лк, 6 м, 10-900 сек. REXANT</t>
  </si>
  <si>
    <t>9. 7. 2. Датчики микроволновые</t>
  </si>
  <si>
    <t>11-9218</t>
  </si>
  <si>
    <t>Датчик движения настенно-потолочный микроволновый ДДНПМ 01, 180°/360º, 1200Вт, 3-2000Лк, 3-6м, 10-720 сек. 5,8ГГц REXANT</t>
  </si>
  <si>
    <t>11-9216</t>
  </si>
  <si>
    <t>Датчик движения потолочный микроволновый ДДПМ 01, 120°/360°, 1200 Вт, 3-2000 Лк, 1-8 м, 10-720 сек. 5,8 ГГц REXANT</t>
  </si>
  <si>
    <t>11-9217</t>
  </si>
  <si>
    <t>Датчик движения потолочный микроволновый ДДПМ 02, 180 (гориз)/360 (верт), 1200 Вт, 3-2000 Лк, 1-8 м, 10-720 сек. 5,8 ГГц REXANT</t>
  </si>
  <si>
    <t>11-9219</t>
  </si>
  <si>
    <t>Датчик движения точечный микроволновый ДДТМ 01, 360°,1200 Вт, 3-2000 Лк, 1-8 м, 10-720 сек. REXANT</t>
  </si>
  <si>
    <t>9. 7. 3 Фотореле</t>
  </si>
  <si>
    <t>11-9200</t>
  </si>
  <si>
    <t>Фотореле 01 5-15 Лк 6 А IP44 REXANT</t>
  </si>
  <si>
    <t>11-9201</t>
  </si>
  <si>
    <t>Фотореле 02 5-50Лк, 10А, IP44 REXANT</t>
  </si>
  <si>
    <t>11-9202</t>
  </si>
  <si>
    <t>Фотореле 03 5-50 Лк 25А IP44 REXANT</t>
  </si>
  <si>
    <t>9.10  Прожектор светодиодный</t>
  </si>
  <si>
    <t>9.10. 1 Прожектор светодиодный</t>
  </si>
  <si>
    <t>605-034</t>
  </si>
  <si>
    <t>Прожектор светодиодный СДО 100Вт 8000Лм 4000K нейтральный свет, черный корпус REXANT</t>
  </si>
  <si>
    <t>605-027</t>
  </si>
  <si>
    <t>Прожектор светодиодный СДО 100Вт 8000Лм 6500K холодный свет, белый корпус REXANT</t>
  </si>
  <si>
    <t>605-005</t>
  </si>
  <si>
    <t>Прожектор светодиодный СДО 100Вт 8000Лм 6500К холодный свет, черный корпус REXANT</t>
  </si>
  <si>
    <t>605-036</t>
  </si>
  <si>
    <t>Прожектор светодиодный СДО 10Вт 800Лм 4000K нейтральный свет, черный корпус REXANT</t>
  </si>
  <si>
    <t>605-023</t>
  </si>
  <si>
    <t>Прожектор светодиодный СДО 10Вт 800Лм 6500K холодный свет, белый корпус REXANT</t>
  </si>
  <si>
    <t>605-001</t>
  </si>
  <si>
    <t>Прожектор светодиодный СДО 10Вт 800Лм 6500К холодный свет, черный корпус REXANT</t>
  </si>
  <si>
    <t>605-006</t>
  </si>
  <si>
    <t>Прожектор светодиодный СДО 150Вт 12000Лм 6500К холодный свет, черный корпус REXANT</t>
  </si>
  <si>
    <t>605-007</t>
  </si>
  <si>
    <t>Прожектор светодиодный СДО 200Вт 16000Лм 6500К холодный свет, черный корпус REXANT</t>
  </si>
  <si>
    <t>605-019</t>
  </si>
  <si>
    <t>Прожектор светодиодный СДО 20Вт 1600Лм 3000K теплый свет, белый корпус REXANT</t>
  </si>
  <si>
    <t>605-029</t>
  </si>
  <si>
    <t>Прожектор светодиодный СДО 20Вт 1600Лм 4000K нейтральный свет, черный корпус REXANT</t>
  </si>
  <si>
    <t>605-002</t>
  </si>
  <si>
    <t>Прожектор светодиодный СДО 20Вт 1600Лм 6500К холодный свет, черный корпус REXANT</t>
  </si>
  <si>
    <t>605-1030</t>
  </si>
  <si>
    <t>Прожектор светодиодный СДО 300Вт 24000Лм 6500К холодный свет, белый корпус REXANT</t>
  </si>
  <si>
    <t>605-030</t>
  </si>
  <si>
    <t>Прожектор светодиодный СДО 300Вт 24000Лм 6500К холодный свет, черный корпус REXANT</t>
  </si>
  <si>
    <t>605-028</t>
  </si>
  <si>
    <t>Прожектор светодиодный СДО 30Вт 2400Лм 3000K теплый свет, белый корпус REXANT</t>
  </si>
  <si>
    <t>605-032</t>
  </si>
  <si>
    <t>Прожектор светодиодный СДО 30Вт 2400Лм 4000K нейтральный свет, черный корпус REXANT</t>
  </si>
  <si>
    <t>605-025</t>
  </si>
  <si>
    <t>Прожектор светодиодный СДО 30Вт 2400Лм 6500K холодный свет, белый корпус REXANT</t>
  </si>
  <si>
    <t>605-003</t>
  </si>
  <si>
    <t>Прожектор светодиодный СДО 30Вт 2400Лм 6500К холодный свет, черный корпус REXANT</t>
  </si>
  <si>
    <t>605-035</t>
  </si>
  <si>
    <t>Прожектор светодиодный СДО 50Вт 4000Лм 3000K теплый свет, белый корпус REXANT</t>
  </si>
  <si>
    <t>605-033</t>
  </si>
  <si>
    <t>Прожектор светодиодный СДО 50Вт 4000Лм 4000K нейтральный свет, черный корпус REXANT</t>
  </si>
  <si>
    <t>605-026</t>
  </si>
  <si>
    <t>Прожектор светодиодный СДО 50Вт 4000Лм 6500K холодный свет, белый корпус REXANT</t>
  </si>
  <si>
    <t>605-004</t>
  </si>
  <si>
    <t>Прожектор светодиодный СДО 50Вт 4000Лм 6500К холодный свет, черный корпус REXANT</t>
  </si>
  <si>
    <t>605-037</t>
  </si>
  <si>
    <t>Прожектор светодиодный СДО 70Вт 5600Лм 6500К холодный свет, черный корпус REXANT</t>
  </si>
  <si>
    <t>9.10. 2  Прожектор светодиодный с датчиком движения</t>
  </si>
  <si>
    <t>605-008</t>
  </si>
  <si>
    <t>Прожектор светодиодный СДО 20Вт 1600Лм 6500К холодный свет, с микроволновым настраиваемым датчиком движения REXANT</t>
  </si>
  <si>
    <t>605-009</t>
  </si>
  <si>
    <t>Прожектор светодиодный СДО 50Вт 4000Лм 6500К холодный свет, с микроволновым настраиваемым датчиком движения REXANT</t>
  </si>
  <si>
    <t>9.10. 3 Прожектор светодиодный RGB</t>
  </si>
  <si>
    <t>605-018</t>
  </si>
  <si>
    <t>Прожектор цветного свечения (зеленый) 100Вт REXANT</t>
  </si>
  <si>
    <t>605-014</t>
  </si>
  <si>
    <t>Прожектор цветного свечения (зеленый) 10Вт REXANT</t>
  </si>
  <si>
    <t>605-015</t>
  </si>
  <si>
    <t>Прожектор цветного свечения (зеленый) 20Вт REXANT</t>
  </si>
  <si>
    <t>605-016</t>
  </si>
  <si>
    <t>Прожектор цветного свечения (зеленый) 30Вт REXANT</t>
  </si>
  <si>
    <t>605-017</t>
  </si>
  <si>
    <t>Прожектор цветного свечения (зеленый) 50Вт REXANT</t>
  </si>
  <si>
    <t>605-010</t>
  </si>
  <si>
    <t>Прожектор цветного свечения мультиколор (RGB) 10Вт с пультом ДУ REXANT</t>
  </si>
  <si>
    <t>605-011</t>
  </si>
  <si>
    <t>Прожектор цветного свечения мультиколор (RGB) 20Вт с пультом ДУ REXANT</t>
  </si>
  <si>
    <t>605-012</t>
  </si>
  <si>
    <t>Прожектор цветного свечения мультиколор (RGB) 30Вт с пультом ДУ REXANT</t>
  </si>
  <si>
    <t>605-013</t>
  </si>
  <si>
    <t>Прожектор цветного свечения мультиколор (RGB) 50Вт с пультом ДУ REXANT</t>
  </si>
  <si>
    <t>9.10. 5  Аксессуары</t>
  </si>
  <si>
    <t>605-100</t>
  </si>
  <si>
    <t>Основание для крепления прожектора на грунте 165х35мм REXANT</t>
  </si>
  <si>
    <t>9.10. 6 Прожектор-переноска</t>
  </si>
  <si>
    <t>605-038</t>
  </si>
  <si>
    <t>Прожектор-переноска СДО-EXPERT 100Вт 8000Лм 6500K со шнуром 2м и евровилкой REXANT</t>
  </si>
  <si>
    <t>605-022</t>
  </si>
  <si>
    <t>Прожектор-переноска СДО-EXPERT 50Вт 4000Лм 6500K со шнуром 2м и евровилкой REXANT</t>
  </si>
  <si>
    <t>10. ПРАЗДНИЧНАЯ СВЕТОТЕХНИКА NEON-NIGHT</t>
  </si>
  <si>
    <t>10. 1 HOME - Конечные потребители</t>
  </si>
  <si>
    <t>10. 1. 1 Гирлянды Декоративные</t>
  </si>
  <si>
    <t>10. 1. 1. 1 Гирлянды с насадками</t>
  </si>
  <si>
    <t>303-030</t>
  </si>
  <si>
    <t>Гирлянда светодиодная Звезды 1,5х0,6 м, прозрачный провод, теплый белый свет свечения NEON-NIGHT</t>
  </si>
  <si>
    <t>255-076</t>
  </si>
  <si>
    <t>Гирлянда Арка со звездами 2,5х1,2м, 136LED ТЕПЛЫЙ БЕЛЫЙ, прозрачный ПВХ, IP20, свечение с динамикой, 230В, не соединяется, с контроллером 8 режимов</t>
  </si>
  <si>
    <t>255-075</t>
  </si>
  <si>
    <t>Гирлянда Бахрома со снежинками 2,4х0,9м, 150LED БЕЛЫЙ, прозрачный ПВХ, IP20, свечение с динамикой, 230В, не соединяется, с контроллером 8 режимов</t>
  </si>
  <si>
    <t>303-034</t>
  </si>
  <si>
    <t>Гирлянда светодиодная Звездочки 20 LED КРАСНЫЕ 2,8 метра</t>
  </si>
  <si>
    <t>303-035</t>
  </si>
  <si>
    <t>Гирлянда светодиодная Кисточки 48 LED БЕЛЫЕ 5 метров</t>
  </si>
  <si>
    <t>303-062</t>
  </si>
  <si>
    <t>Гирлянда светодиодная Колокольчики 20 LED RGB 2,8 метра</t>
  </si>
  <si>
    <t>303-061</t>
  </si>
  <si>
    <t>Гирлянда светодиодная Кубики 20 LED МУЛЬТИКОЛОР 2,8 метра с контроллером</t>
  </si>
  <si>
    <t>303-037</t>
  </si>
  <si>
    <t>Гирлянда светодиодная Палочки с пузырьками 20 палочек, цвет: мультиколор, 2 метра</t>
  </si>
  <si>
    <t>303-032</t>
  </si>
  <si>
    <t>Гирлянда светодиодная Прищепки 30 LED, 5 м, теплый белый цвет свечения NEON-NIGHT</t>
  </si>
  <si>
    <t>303-024</t>
  </si>
  <si>
    <t>Гирлянда светодиодная Свечи 20м, темно-зеленый ПВХ, 100 LED ТЕПЛЫЙ БЕЛЫЙ, не соединяется NEON-NIGHT</t>
  </si>
  <si>
    <t>303-036</t>
  </si>
  <si>
    <t>Гирлянда светодиодная Снежинки 20 LED БЕЛЫЕ 2,8 метра</t>
  </si>
  <si>
    <t>303-065</t>
  </si>
  <si>
    <t>Гирлянда светодиодная Снежинки 30 LED МУЛЬТИКОЛОР 4,4 метра с контроллером</t>
  </si>
  <si>
    <t>304-024</t>
  </si>
  <si>
    <t>Гирлянда светодиодная Снежинки большие 5м, 20LED, IP20, прозрачный провод, свечение мульти (RG/RB), мигание, 230В NEON-NIGHT</t>
  </si>
  <si>
    <t>303-064</t>
  </si>
  <si>
    <t>Гирлянда светодиодная универсальная с насадками (шарики, снежинки, елочки) 30 LED МУЛЬТИКОЛОР, 4,4 метра с контроллером</t>
  </si>
  <si>
    <t>303-060</t>
  </si>
  <si>
    <t>Гирлянда светодиодная Цветные Шарики 20 LED МУЛЬТИКОЛОР 2,8 метра</t>
  </si>
  <si>
    <t>303-038</t>
  </si>
  <si>
    <t>Гирлянда светодиодная Цветы Сакуры 50 LED РОЗОВЫЕ 7 метров с контроллером</t>
  </si>
  <si>
    <t>304-023</t>
  </si>
  <si>
    <t>Гирлянда светодиодная Шарики 5м, 20LED, IP20, зеленый провод, свечение мульти (RG/RB), мигание, 230В NEON-NIGHT</t>
  </si>
  <si>
    <t>304-022</t>
  </si>
  <si>
    <t>Гирлянда светодиодная Шарики 5м, 20LED, IP20, прозрачный провод, свечение мульти (RG/RB), контроллер 8 режимов, 230В NEON-NIGHT</t>
  </si>
  <si>
    <t>304-021</t>
  </si>
  <si>
    <t>Гирлянда светодиодная Шарики 5м, 20LED, IP20, прозрачный провод, свечение мульти (RG/RB), мигание, 230В NEON-NIGHT</t>
  </si>
  <si>
    <t>303-069</t>
  </si>
  <si>
    <t>Гирлянда светодиодная Шишки 5 м, 30 LED, прозрачный ПВХ с контроллером, цвет свечения теплый белый NEON-NIGHT</t>
  </si>
  <si>
    <t>303-068</t>
  </si>
  <si>
    <t>Гирлянда Сосульки 1,5х0,25 м, прозрачный провод, белый цвет свечения NEON-NIGHT</t>
  </si>
  <si>
    <t>303-067</t>
  </si>
  <si>
    <t>Гирлянда Сосульки 1,5х0,25 м, прозрачный провод, теплый белый цвет свечения NEON-NIGHT</t>
  </si>
  <si>
    <t>303-066</t>
  </si>
  <si>
    <t>Лофт-гирлянда светодиодная 5 м, черный ПВХ, 20 LED, теплое белое свечение NEON-NIGHT</t>
  </si>
  <si>
    <t>104-321</t>
  </si>
  <si>
    <t>Присоска с крючком (10 шт)</t>
  </si>
  <si>
    <t>303-085</t>
  </si>
  <si>
    <t>Гирлянда Свечи 10м, темно-зеленый ПВХ, 50 LED ТЕПЛЫЙ БЕЛЫЙ</t>
  </si>
  <si>
    <t>303-083</t>
  </si>
  <si>
    <t>Гирлянда Свечи 4м, темно-зеленый ПВХ, 20 LED ТЕПЛЫЙ БЕЛЫЙ</t>
  </si>
  <si>
    <t>303-084</t>
  </si>
  <si>
    <t>Гирлянда Свечи 6м, темно-зеленый ПВХ, 30 LED ТЕПЛЫЙ БЕЛЫЙ</t>
  </si>
  <si>
    <t>315-424</t>
  </si>
  <si>
    <t>Удлинитель для домашних гирлянд 3 м прозрачный ПВХ</t>
  </si>
  <si>
    <t>10. 1. 1. 2 Гирлянды на батарейках</t>
  </si>
  <si>
    <t>303-096</t>
  </si>
  <si>
    <t>Гирлянда светодиодная Баночки 1,5 м, 10 LED, прозрачный ПВХ, цвет свечения теплый белый, 2 х АА (батарейки не в комплекте) NEON-NIGHT</t>
  </si>
  <si>
    <t>303-071</t>
  </si>
  <si>
    <t>Гирлянда светодиодная Восточные фонарики 10 LED ЖЕЛТЫЕ 1,5 метра, прозрачный ПВХ, питание 2xАА</t>
  </si>
  <si>
    <t>303-097</t>
  </si>
  <si>
    <t>Гирлянда светодиодная Жемчужинки 1,5 м, 10 LED, прозрачный ПВХ, цвет свечения теплый белый, 2 х АА (батарейки не в комплекте) NEON-NIGHT</t>
  </si>
  <si>
    <t>304-004</t>
  </si>
  <si>
    <t>Гирлянда светодиодная Звездопад бирюзовая 10 LED, 2,25 м, прозрачный ПВХ, белый цвет свечения, 2 х АА (батарейки не в комплекте) NEON-NIGHT</t>
  </si>
  <si>
    <t>304-002</t>
  </si>
  <si>
    <t>Гирлянда светодиодная Звездопад красная 10 LED, 2,25 м, прозрачный ПВХ, теплый белый свет свечения, 2 х АА (батарейки не в комплекте) NEON-NIGHT</t>
  </si>
  <si>
    <t>303-090</t>
  </si>
  <si>
    <t>Гирлянда светодиодная Звездочки 1,5 м, 10 LED, прозрачный ПВХ, цвет свечения мультиколор, 2 х АА (батарейки не в комплекте) NEON-NIGHT</t>
  </si>
  <si>
    <t>303-091</t>
  </si>
  <si>
    <t>Гирлянда светодиодная Звездочки 1,5 м, 10 LED, прозрачный ПВХ, цвет свечения теплый белый, 2 х АА (батарейки не в комплекте) NEON-NIGHT</t>
  </si>
  <si>
    <t>304-001</t>
  </si>
  <si>
    <t>Гирлянда светодиодная Карамельки 1,5 м, 10 LED, прозрачный ПВХ, теплый белый, питание USB NEON-NIGHT</t>
  </si>
  <si>
    <t>303-082</t>
  </si>
  <si>
    <t>Гирлянда светодиодная Карамельки 1.5 м, прозрачный ПВХ, 10 LED, теплый белый, питание 2 х АА (батарейки не в комплекте)</t>
  </si>
  <si>
    <t>304-019</t>
  </si>
  <si>
    <t>Гирлянда светодиодная Кристаллы бронзовые 10 LED, 1,5 м, прозрачный ПВХ, теплый белый свет свечения, 2 х АА (батарейки не в комплекте) NEON-NIGHT</t>
  </si>
  <si>
    <t>304-017</t>
  </si>
  <si>
    <t>Гирлянда светодиодная Кристаллы черные 10 LED, 1,5 м, прозрачный ПВХ, теплый белый свет свечения, 2 х АА (батарейки не в комплекте) NEON-NIGHT</t>
  </si>
  <si>
    <t>304-012</t>
  </si>
  <si>
    <t>Гирлянда светодиодная Мишура золотая 10 LED, 1,5 м, прозрачный ПВХ, теплое белое свечение, 2 х АА (батарейки не в комплекте) NEON-NIGHT</t>
  </si>
  <si>
    <t>304-011</t>
  </si>
  <si>
    <t>Гирлянда светодиодная Мишура серебряная 10 LED 1,5 м, прозрачный ПВХ, белый свет свечения, 2 х АА (батарейки не в комплекте) NEON-NIGHT</t>
  </si>
  <si>
    <t>303-070</t>
  </si>
  <si>
    <t>Гирлянда светодиодная на солнечной батарее Звезды 12 LED ТЕПЛЫЙ БЕЛЫЙ 1,2 метра</t>
  </si>
  <si>
    <t>303-081</t>
  </si>
  <si>
    <t>Гирлянда светодиодная Новый год 1,5 м, прозрачный ПВХ, 10 LED, теплый белый, питание 2 х АА (батарейки не в комплекте)</t>
  </si>
  <si>
    <t>304-005</t>
  </si>
  <si>
    <t>Гирлянда светодиодная Прищепки 10 LED, 1.5 м, прозрачный ПВХ, теплый белый цвет свечения, 2 х АА (батарейки не в комплекте) NEON-NIGHT</t>
  </si>
  <si>
    <t>303-095</t>
  </si>
  <si>
    <t>Гирлянда светодиодная Ретро-лампы 3 м, белое свечение, батарейки 3хАА NEON-NIGHT</t>
  </si>
  <si>
    <t>303-076</t>
  </si>
  <si>
    <t>Гирлянда светодиодная Ретро-лампы , 3 м, ТЕПЛЫЙ БЕЛЫЙ</t>
  </si>
  <si>
    <t>303-079</t>
  </si>
  <si>
    <t>Гирлянда светодиодная Ретро-лампы, 3 м, Мультиколор</t>
  </si>
  <si>
    <t>303-094</t>
  </si>
  <si>
    <t>Гирлянда светодиодная Сосульки 1,5 м, 10 LED, прозрачный ПВХ, цвет свечения белый, 2 х АА (батарейки не в комплекте) NEON-NIGHT</t>
  </si>
  <si>
    <t>303-093</t>
  </si>
  <si>
    <t>Гирлянда светодиодная Сосульки 1,5 м, 10 LED, прозрачный ПВХ, цвет свечения теплый белый, 2 х АА (батарейки не в комплекте) NEON-NIGHT</t>
  </si>
  <si>
    <t>303-073</t>
  </si>
  <si>
    <t>Гирлянда светодиодная универсальная 10 LED, 1,2 метра, прозрачный ПВХ, теплое белое свечение, батарейки 2хАА NEON-NIGHT</t>
  </si>
  <si>
    <t>303-092</t>
  </si>
  <si>
    <t>Гирлянда светодиодная Шарики 1,5 м, 10 LED, прозрачный ПВХ, цвет свечения мультиколор, 2 х АА (батарейки не в комплекте) NEON-NIGHT</t>
  </si>
  <si>
    <t>303-098</t>
  </si>
  <si>
    <t>Гирлянда светодиодная Шишки 1,5 м, 10 LED, прозрачный ПВХ, цвет свечения теплый белый, 2 х АА (батарейки не в комплекте) NEON-NIGHT</t>
  </si>
  <si>
    <t>304-008</t>
  </si>
  <si>
    <t>Тайские фонарики Вельвет 3,5 м, 20 LED, прозрачный ПВХ, теплый белый, питание USB NEON-NIGHT</t>
  </si>
  <si>
    <t>303-087</t>
  </si>
  <si>
    <t>Тайские фонарики Вельвет 3,5 м, прозрачный ПВХ, 20 LED, теплый белый</t>
  </si>
  <si>
    <t>304-007</t>
  </si>
  <si>
    <t>Тайские фонарики Магия 3,5 м, 20 LED, прозрачный ПВХ, теплый белый, питание USB NEON-NIGHT</t>
  </si>
  <si>
    <t>303-088</t>
  </si>
  <si>
    <t>Тайские фонарики Магия 3,5 м, прозрачный ПВХ, 20 LED, теплый белый, питание 2 х АА (батарейки не в комплекте)</t>
  </si>
  <si>
    <t>303-078</t>
  </si>
  <si>
    <t>Тайские фонарики Перламутр 3.5 м, 20 LED, прозрачный ПВХ, цвет свечения теплый белый NEON-NIGHT</t>
  </si>
  <si>
    <t>304-010</t>
  </si>
  <si>
    <t>Тайские фонарики Перламутр 5 м, 25 LED, прозрачный ПВХ, цвет свечения теплый белый, питание USB NEON-NIGHT</t>
  </si>
  <si>
    <t>303-077</t>
  </si>
  <si>
    <t>Тайские фонарики Пломбир 1.5 м, 10 LED, прозрачный ПВХ, цвет свечения теплый белый, 2 х АА (батарейки не в комплекте) NEON-NIGHT</t>
  </si>
  <si>
    <t>303-089</t>
  </si>
  <si>
    <t>Тайские фонарики Пудра 1,5 м, прозрачный ПВХ, 10 LED, теплый белый, питание 2 х АА (батарейки не в комплекте)</t>
  </si>
  <si>
    <t>303-086</t>
  </si>
  <si>
    <t>Тайские фонарики Северное сияние 3,5 м, прозрачный ПВХ, 20 LED, теплый белый</t>
  </si>
  <si>
    <t>303-099</t>
  </si>
  <si>
    <t>Тайские фонарики Фейерверк 1,5 м, прозрачный ПВХ, 10 LED, теплый белый, питание 2 х АА (батарейки не в комплекте)</t>
  </si>
  <si>
    <t>304-009</t>
  </si>
  <si>
    <t>Тайские фонарики Фейерверк 5 м, 25 LED, прозрачный ПВХ, теплый белый, питание USB NEON-NIGHT</t>
  </si>
  <si>
    <t>10. 1. 1. 3 Гирлянда Роса</t>
  </si>
  <si>
    <t>303-006</t>
  </si>
  <si>
    <t>Гирлянда светодиодная Роса 2м, 20 LED, ТЕПЛЫЙ БЕЛЫЙ, IP20, 2хCR2032 в комплекте NEON-NIGHT</t>
  </si>
  <si>
    <t>303-009</t>
  </si>
  <si>
    <t>Гирлянда светодиодная Роса 2м, 20LED, RGB, IP20, 2хCR2032 в комплекте NEON-NIGHT</t>
  </si>
  <si>
    <t>303-005</t>
  </si>
  <si>
    <t>Гирлянда светодиодная Роса 2м, 20LED, БЕЛЫЙ, IP20, тонкий батарейный блок, 2хCR2032 в комплекте NEON-NIGHT</t>
  </si>
  <si>
    <t>303-004</t>
  </si>
  <si>
    <t>Гирлянда светодиодная Роса 2м, 20LED, БИРЮЗОВЫЙ, IP20, тонкий батарейный блок, 2хCR2032 в комплекте NEON-NIGHT</t>
  </si>
  <si>
    <t>303-003</t>
  </si>
  <si>
    <t>Гирлянда светодиодная Роса 2м, 20LED, ГОЛУБОЙ, IP20, тонкий батарейный блок, 2хCR2032 в комплекте NEON-NIGHT</t>
  </si>
  <si>
    <t>303-001</t>
  </si>
  <si>
    <t>Гирлянда светодиодная Роса 2м, 20LED, ЖЕЛТЫЙ, IP20, тонкий батарейный блок, 2хCR2032 в комплекте NEON-NIGHT</t>
  </si>
  <si>
    <t>303-008</t>
  </si>
  <si>
    <t>Гирлянда светодиодная Роса 2м, 20LED, ЗЕЛЕНЫЙ, IP20, 2хCR2032 в комплекте NEON-NIGHT</t>
  </si>
  <si>
    <t>303-002</t>
  </si>
  <si>
    <t>Гирлянда светодиодная Роса 2м, 20LED, КРАСНЫЙ, IP20, 2хCR2032 в комплекте NEON-NIGHT</t>
  </si>
  <si>
    <t>303-007</t>
  </si>
  <si>
    <t>Гирлянда светодиодная Роса 2м, 20LED, РОЗОВЫЙ, IP20, тонкий батарейный блок, 2хCR2032 в комплекте NEON-NIGHT</t>
  </si>
  <si>
    <t>315-966</t>
  </si>
  <si>
    <t>Гирлянда светодиодная Роса 5 м, 50LED, ТЕПЛЫЙ БЕЛЫЙ, IP20, USB NEON-NIGHT</t>
  </si>
  <si>
    <t>303-296</t>
  </si>
  <si>
    <t>Гирлянда светодиодная Роса с контроллером 100м, 1000LED, ТЕПЛЫЙ БЕЛЫЙ, IP20, 230В, зеленый провод NEON-NIGHT</t>
  </si>
  <si>
    <t>303-265</t>
  </si>
  <si>
    <t>Гирлянда светодиодная Роса с контроллером 20м, 200LED, БЕЛЫЙ, IP20, 230В, зеленый провод NEON-NIGHT</t>
  </si>
  <si>
    <t>303-266</t>
  </si>
  <si>
    <t>Гирлянда светодиодная Роса с контроллером 20м, 200LED, ТЕПЛЫЙ БЕЛЫЙ, IP20, 230В, зеленый провод NEON-NIGHT</t>
  </si>
  <si>
    <t>303-275</t>
  </si>
  <si>
    <t>Гирлянда светодиодная Роса с контроллером 30м, 300LED, БЕЛЫЙ, IP20, 230В, зеленый провод NEON-NIGHT</t>
  </si>
  <si>
    <t>303-276</t>
  </si>
  <si>
    <t>Гирлянда светодиодная Роса с контроллером 30м, 300LED, ТЕПЛЫЙ БЕЛЫЙ, IP20, 230В, зеленый провод NEON-NIGHT</t>
  </si>
  <si>
    <t>303-285</t>
  </si>
  <si>
    <t>Гирлянда светодиодная Роса с контроллером 50м, 500LED, БЕЛЫЙ, IP20, 230В, зеленый провод NEON-NIGHT</t>
  </si>
  <si>
    <t>303-286</t>
  </si>
  <si>
    <t>Гирлянда светодиодная Роса с контроллером 50м, 500LED, ТЕПЛЫЙ БЕЛЫЙ, IP20, 230В, зеленый провод NEON-NIGHT</t>
  </si>
  <si>
    <t>302-006</t>
  </si>
  <si>
    <t>Гирлянда светодиодная Роса с крупными каплями 2м, 20LED, ТЕПЛЫЙ БЕЛЫЙ, IP20, 2хCR2032 в комплекте NEON-NIGHT</t>
  </si>
  <si>
    <t>302-016</t>
  </si>
  <si>
    <t>Гирлянда светодиодная Роса с прищепкой 3м, 30LED, ТЕПЛЫЙ БЕЛЫЙ, IP20, 2хCR2032 в комплекте NEON-NIGHT</t>
  </si>
  <si>
    <t>302-025</t>
  </si>
  <si>
    <t>Гирлянда светодиодная Роса с пробкой 2м, 20LED, БЕЛЫЙ, IP20, 3хLR44 в комплекте NEON-NIGHT</t>
  </si>
  <si>
    <t>302-026</t>
  </si>
  <si>
    <t>Гирлянда светодиодная Роса с пробкой 2м, 20LED, ТЕПЛЫЙ БЕЛЫЙ, IP20, 3хLR44 в комплекте NEON-NIGHT</t>
  </si>
  <si>
    <t>302-029</t>
  </si>
  <si>
    <t>Гирлянда светодиодная Роса с пробкой 2м, 20LED,МУЛЬТИКОЛОР, IP20, 3хLR44 в комплекте NEON-NIGHT</t>
  </si>
  <si>
    <t>303-436</t>
  </si>
  <si>
    <t>Гирлянда светодиодная Роса Фейерверк с контроллером 10м, 250LED, ТЕПЛЫЙ БЕЛЫЙ, IP20, на катушке NEON-NIGHT</t>
  </si>
  <si>
    <t>303-446</t>
  </si>
  <si>
    <t>Гирлянда светодиодная Роса Фейерверк с контроллером 20м, 500LED, ТЕПЛЫЙ БЕЛЫЙ, IP20, на катушке NEON-NIGHT</t>
  </si>
  <si>
    <t>303-010</t>
  </si>
  <si>
    <t>Гирлянда светодиодная Снежинки, 2м, 20LED, БЕЛЫЙ, IP20, 2хCR2032 в комплекте NEON-NIGHT</t>
  </si>
  <si>
    <t>302-075</t>
  </si>
  <si>
    <t>Гирлянда светодиодная Роса 10м 100 LED БЕЛЫЙ IP20 3хАА (в комплект не входят) NEON-NIGHT</t>
  </si>
  <si>
    <t>302-079</t>
  </si>
  <si>
    <t>Гирлянда светодиодная Роса 10м 100 LED МУЛЬТИКОЛОР IP20 3хАА (в комплект не входят) NEON-NIGHT</t>
  </si>
  <si>
    <t>302-077</t>
  </si>
  <si>
    <t>Гирлянда светодиодная Роса 10м 100 LED РОЗОВЫЙ IP20 3хАА (в комплект не входят) NEON-NIGHT</t>
  </si>
  <si>
    <t>302-076</t>
  </si>
  <si>
    <t>Гирлянда светодиодная Роса 10м 100 LED ТЕПЛЫЙ БЕЛЫЙ IP20 3хАА (в комплект не входят) NEON-NIGHT</t>
  </si>
  <si>
    <t>302-055</t>
  </si>
  <si>
    <t>Гирлянда светодиодная Роса 2м 20 LED БЕЛЫЙ IP20 2хАА (в комплект не входят) NEON-NIGHT</t>
  </si>
  <si>
    <t>302-059</t>
  </si>
  <si>
    <t>Гирлянда светодиодная Роса 2м 20 LED МУЛЬТИКОЛОР IP20 2хАА (в комплект не входят) NEON-NIGHT</t>
  </si>
  <si>
    <t>302-056</t>
  </si>
  <si>
    <t>Гирлянда светодиодная Роса 2м 20 LED ТЕПЛЫЙ БЕЛЫЙ IP20 2хАА (в комплект не входят) NEON-NIGHT</t>
  </si>
  <si>
    <t>302-057</t>
  </si>
  <si>
    <t>Гирлянда светодиодная Роса 2м 20 LED ФИОЛЕТОВЫЙ IP20 2хАА (в комплект не входят) NEON-NIGHT</t>
  </si>
  <si>
    <t>302-063</t>
  </si>
  <si>
    <t>Гирлянда светодиодная Роса 5м 50 LED ГОЛУБОЙ IP20 2хАА (в комплект не входят) NEON-NIGHT</t>
  </si>
  <si>
    <t>302-061</t>
  </si>
  <si>
    <t>Гирлянда светодиодная Роса 5м 50 LED ОРАНЖЕВЫЙ IP20 2хАА (в комплект не входят) NEON-NIGHT</t>
  </si>
  <si>
    <t>302-066</t>
  </si>
  <si>
    <t>Гирлянда светодиодная Роса 5м 50 LED ТЕПЛЫЙ БЕЛЫЙ IP20 2хАА (в комплект не входят) NEON-NIGHT</t>
  </si>
  <si>
    <t>302-067</t>
  </si>
  <si>
    <t>Гирлянда светодиодная Роса 5м 50 LED ФИОЛЕТОВЫЙ IP20 2хАА (в комплект не входят) NEON-NIGHT</t>
  </si>
  <si>
    <t>302-068</t>
  </si>
  <si>
    <t>Гирлянда светодиодная Роса 5м 50 LED ЯНТАРНЫЙ IP20 2хАА (в комплект не входят) NEON-NIGHT</t>
  </si>
  <si>
    <t>303-295</t>
  </si>
  <si>
    <t>Гирлянда светодиодная Роса с контроллером 100м 1000 LED БЕЛЫЙ IP20 230В зеленый провод NEON-NIGHT</t>
  </si>
  <si>
    <t>303-299</t>
  </si>
  <si>
    <t>Гирлянда светодиодная Роса с контроллером 100м 1000 LED МУЛЬТИКОЛОР IP20 230В зеленый провод NEON-NIGHT</t>
  </si>
  <si>
    <t>303-935</t>
  </si>
  <si>
    <t>Гирлянда светодиодная Роса с контроллером 200м 2000 LED БЕЛЫЙ IP20 230В зеленый провод NEON-NIGHT</t>
  </si>
  <si>
    <t>303-936</t>
  </si>
  <si>
    <t>Гирлянда светодиодная Роса с контроллером 200м 2000 LED ТЕПЛЫЙ БЕЛЫЙ IP20 230В зеленый провод NEON-NIGHT</t>
  </si>
  <si>
    <t>303-269</t>
  </si>
  <si>
    <t>Гирлянда светодиодная Роса с контроллером 20м 200 LED МУЛЬТИКОЛОР IP20 230В зеленый провод NEON-NIGHT</t>
  </si>
  <si>
    <t>303-267</t>
  </si>
  <si>
    <t>Гирлянда светодиодная Роса с контроллером 20м 200 LED РОЗОВЫЙ IP20 230В зеленый провод NEON-NIGHT</t>
  </si>
  <si>
    <t>303-268</t>
  </si>
  <si>
    <t>Гирлянда светодиодная Роса с контроллером 20м 200 LED ЯНТАРНЫЙ IP20 230В медный провод NEON-NIGHT</t>
  </si>
  <si>
    <t>303-279</t>
  </si>
  <si>
    <t>Гирлянда светодиодная Роса с контроллером 30м 300 LED МУЛЬТИКОЛОР IP20 230В зеленый провод NEON-NIGHT</t>
  </si>
  <si>
    <t>303-289</t>
  </si>
  <si>
    <t>Гирлянда светодиодная Роса с контроллером 50м 500 LED МУЛЬТИКОЛОР IP20 230В зеленый провод NEON-NIGHT</t>
  </si>
  <si>
    <t>303-288</t>
  </si>
  <si>
    <t>Гирлянда светодиодная Роса с контроллером 50м 500 LED ЯНТАРНЫЙ IP20 230В медный провод NEON-NIGHT</t>
  </si>
  <si>
    <t>303-496</t>
  </si>
  <si>
    <t>Гирлянда светодиодная Роса Фейерверк с контроллером 40м 1000 LED ТЕПЛЫЙ БЕЛЫЙ IP20 на катушке, зеленый провод NEON-NIGHT</t>
  </si>
  <si>
    <t>10. 1. 1. 4 Гирлянда тающие сосульки</t>
  </si>
  <si>
    <t>256-415</t>
  </si>
  <si>
    <t>Гирлянда светодиодная Сосульки 230В, комплект 8 шт х 42 см, 36x8 LED, не соединяются</t>
  </si>
  <si>
    <t>256-317-6</t>
  </si>
  <si>
    <t>Гирлянда Тающие сосульки светодиодная, 4шт х 20см, шаг 50см, 230В (с трансформатором) белые светодиоды</t>
  </si>
  <si>
    <t>256-416</t>
  </si>
  <si>
    <t>Гирлянда Тающие сосульки светодиодная, 8 шт х 50 см, шаг 50 см, 230 В, Теплые Белые светодиоды</t>
  </si>
  <si>
    <t>256-313-6</t>
  </si>
  <si>
    <t>Гирлянда Тающие сосульки светодиодная, 8шт х 50см, шаг 50см, 230 В (с трансформатором) белые светодиоды</t>
  </si>
  <si>
    <t>256-319-6</t>
  </si>
  <si>
    <t>Гирлянда Тающие сосульки светодиодная, 8шт х 50см, шаг 50см, 230 В (с трансформатором) мульти светодиоды</t>
  </si>
  <si>
    <t>10. 1. 2 Гирлянда Занавес / дождь</t>
  </si>
  <si>
    <t>10. 1. 2. 1 Занавес 1,5х1 м</t>
  </si>
  <si>
    <t>235-025</t>
  </si>
  <si>
    <t>Гирлянда Светодиодный Дождь 1,5х1м, свечение с динамикой, прозрачный провод, 230 В, диоды БЕЛЫЕ</t>
  </si>
  <si>
    <t>235-029</t>
  </si>
  <si>
    <t>Гирлянда Светодиодный Дождь 1,5х1м, свечение с динамикой, прозрачный провод, 230 В, диоды МУЛЬТИКОЛОР</t>
  </si>
  <si>
    <t>235-023</t>
  </si>
  <si>
    <t>Гирлянда Светодиодный Дождь 1,5х1м, свечение с динамикой, прозрачный провод, 230 В, диоды СИНИЕ</t>
  </si>
  <si>
    <t>235-026</t>
  </si>
  <si>
    <t>Гирлянда Светодиодный Дождь 1,5х1м, свечение с динамикой, прозрачный провод, 230 В, диоды ТЕПЛЫЙ БЕЛЫЙ</t>
  </si>
  <si>
    <t>10. 1. 2. 2 Занавес 1,5х1,5 м</t>
  </si>
  <si>
    <t>235-039</t>
  </si>
  <si>
    <t>Гирлянда Светодиодный Дождь 1,5x1,5м, свечение с динамикой, прозрачный провод, 230 В, диоды МУЛЬТИКОЛОР</t>
  </si>
  <si>
    <t>235-036</t>
  </si>
  <si>
    <t>Гирлянда Светодиодный Дождь 1.5x1.5 м, прозрачный ПВХ, 144 LED с контроллером, теплое белое свечение NEON-NIGHT</t>
  </si>
  <si>
    <t>235-035</t>
  </si>
  <si>
    <t>Гирлянда Светодиодный Дождь 1.5х1.5 м 144 LED, прозрачный ПВХ, с контроллером, белое свечение NEON-NIGHT</t>
  </si>
  <si>
    <t>235-033</t>
  </si>
  <si>
    <t>Гирлянда Светодиодный Дождь 1,5х1,5м, свечение с динамикой, прозрачный провод, 230 В, диоды СИНИЕ</t>
  </si>
  <si>
    <t>235-015</t>
  </si>
  <si>
    <t>Гирлянда Светодиодный Дождь 1,5х1,5 м, свечение с динамикой, прозрачный провод, 230 В, диоды белые</t>
  </si>
  <si>
    <t>235-019</t>
  </si>
  <si>
    <t>Гирлянда Светодиодный Дождь 1,5х1,5 м, свечение с динамикой, прозрачный провод, 230 В, диоды мультиколор</t>
  </si>
  <si>
    <t>235-016</t>
  </si>
  <si>
    <t>Гирлянда Светодиодный Дождь 1,5х1,5 м, свечение с динамикой, прозрачный провод, 230 В, диоды цвет теплый белый</t>
  </si>
  <si>
    <t>235-045</t>
  </si>
  <si>
    <t>Гирлянда Светодиодный Дождь 1,5х1,5 м, с насадками шарики, свечение с динамикой, прозрачный провод, 230 В, диоды Белый</t>
  </si>
  <si>
    <t>235-049</t>
  </si>
  <si>
    <t>Гирлянда Светодиодный Дождь 1,5х1,5 м, с насадками шарики, свечение с динамикой, прозрачный провод, 230 В, диоды Мультиколор</t>
  </si>
  <si>
    <t>235-405</t>
  </si>
  <si>
    <t>Занавес 1,5x1,5м 64 LED БЕЛЫЙ прозрачный ПВХ IP20 свечение с динамикой 220В не соединяется, с контроллером NEON-NIGHT</t>
  </si>
  <si>
    <t>235-409</t>
  </si>
  <si>
    <t>Занавес 1,5x1,5м 64 LED МУЛЬТИКОЛОР прозрачный ПВХ IP20 свечение с динамикой 220В не соединяется, с контроллером NEON-NIGHT</t>
  </si>
  <si>
    <t>235-406</t>
  </si>
  <si>
    <t>Занавес 1,5x1,5м 64 LED ТЕПЛЫЙ БЕЛЫЙ прозрачный ПВХ IP20 свечение с динамикой 220В не соединяется, с контроллером NEON-NIGHT</t>
  </si>
  <si>
    <t>10. 1. 2. 3 Занавес 2,5х2 м</t>
  </si>
  <si>
    <t>235-055</t>
  </si>
  <si>
    <t>Гирлянда Светодиодный Дождь 2,5x2м, свечение с динамикой, прозрачный провод, 230 В, диоды БЕЛЫЕ</t>
  </si>
  <si>
    <t>235-059</t>
  </si>
  <si>
    <t>Гирлянда Светодиодный Дождь 2,5x2 м, свечение с динамикой, прозрачный провод, 230 В, диоды МУЛЬТИКОЛОР</t>
  </si>
  <si>
    <t>235-053</t>
  </si>
  <si>
    <t>Гирлянда Светодиодный Дождь 2,5x2 м, свечение с динамикой, прозрачный провод, 230 В, диоды СИНИЕ</t>
  </si>
  <si>
    <t>235-056</t>
  </si>
  <si>
    <t>Гирлянда Светодиодный Дождь 2,5x2 м, свечение с динамикой, прозрачный провод, 230 В, диоды ТЕПЛЫЙ БЕЛЫЙ</t>
  </si>
  <si>
    <t>10. 1. 2. 4 Занавес 2х3 м</t>
  </si>
  <si>
    <t>235-065</t>
  </si>
  <si>
    <t>Гирлянда Светодиодный дождь 2х3 м, свечение с динамикой, прозрачный провод, 230 В, цвет белый</t>
  </si>
  <si>
    <t>235-069</t>
  </si>
  <si>
    <t>Гирлянда Светодиодный Дождь 2x3 м, свечение с динамикой, прозрачный провод, 230 В, диоды Мультиколор</t>
  </si>
  <si>
    <t>235-066</t>
  </si>
  <si>
    <t>Гирлянда Светодиодный Дождь 2x3 м, свечение с динамикой, прозрачный провод, 230 В, цвет Теплый Белый</t>
  </si>
  <si>
    <t>10. 1. 2. 5 Занавес 3х2 м</t>
  </si>
  <si>
    <t>235-006</t>
  </si>
  <si>
    <t>Гирлянда Светодиодный дождь 3х2 м, эффект водопада, прозрачный провод, 230 В, диоды теплые белые, 240 LED</t>
  </si>
  <si>
    <t>235-091</t>
  </si>
  <si>
    <t>Гирлянда Светодиодный Дождь 3х2 м, свечение с динамикой, прозрачный провод, 230 В, цвет белый</t>
  </si>
  <si>
    <t>235-099</t>
  </si>
  <si>
    <t>Гирлянда Светодиодный Дождь 3х2 м, свечение с динамикой, прозрачный провод ПВХ, 230 В, диоды мультиколор</t>
  </si>
  <si>
    <t>235-098</t>
  </si>
  <si>
    <t>Гирлянда Светодиодный Дождь 3х2 м, свечение с динамикой, прозрачный провод, 230 В, диоды мультиколор</t>
  </si>
  <si>
    <t>10. 1. 2. 6 Занавес из росы</t>
  </si>
  <si>
    <t>315-984</t>
  </si>
  <si>
    <t>Гирлянда Светодиодный дождь из росы 3х3 м, бирюзовый, USB + пульт управления NEON-NIGHT</t>
  </si>
  <si>
    <t>315-987</t>
  </si>
  <si>
    <t>Гирлянда Светодиодный дождь из росы 3х3 м, розовый, USB + пульт управления NEON-NIGHT</t>
  </si>
  <si>
    <t>315-995</t>
  </si>
  <si>
    <t>Гирлянда Светодиодный дождь из росы 6х3 м, белый, USB + пульт управления NEON-NIGHT</t>
  </si>
  <si>
    <t>315-996</t>
  </si>
  <si>
    <t>Гирлянда Светодиодный дождь из росы 6х3 м, теплый белый, USB + пульт управления NEON-NIGHT</t>
  </si>
  <si>
    <t>315-875</t>
  </si>
  <si>
    <t>Гирлянда Светодиодный дождь из росы 3х2м, белый, USB + пульт управления, с крючками для крепления NEON-NIGHT</t>
  </si>
  <si>
    <t>315-879</t>
  </si>
  <si>
    <t>Гирлянда Светодиодный дождь из росы 3х2м, мультиколор, USB + пульт управления, с крючками для крепления NEON-NIGHT</t>
  </si>
  <si>
    <t>315-876</t>
  </si>
  <si>
    <t>Гирлянда Светодиодный дождь из росы 3х2м, теплый белый, USB + пульт управления, с крючками для крепления NEON-NIGHT</t>
  </si>
  <si>
    <t>315-885</t>
  </si>
  <si>
    <t>Гирлянда Светодиодный дождь из росы 3х3м, белый, USB + пульт управления, с крючками для крепления NEON-NIGHT</t>
  </si>
  <si>
    <t>315-886</t>
  </si>
  <si>
    <t>Гирлянда Светодиодный дождь из росы 3х3м, теплый белый, USB + пульт управления, с крючками для крепления NEON-NIGHT</t>
  </si>
  <si>
    <t>315-889</t>
  </si>
  <si>
    <t>Гирлянда Светодиодный занавес из росы 3х3м 300 LED МУЛЬТИКОЛОР IP20 USB + пульт управления, с крючками для крепления NEON-NIGHT</t>
  </si>
  <si>
    <t>315-849</t>
  </si>
  <si>
    <t>Гирлянда Светодиодный занавес из росы с фигурами Звезд МУЛЬТИКОЛОР IP20 USB + пульт управления NEON-NIGHT</t>
  </si>
  <si>
    <t>315-846</t>
  </si>
  <si>
    <t>Гирлянда Светодиодный занавес из росы с фигурами Звезд ТЕПЛЫЙ БЕЛЫЙ IP20 USB + пульт управления NEON-NIGHT</t>
  </si>
  <si>
    <t>315-845</t>
  </si>
  <si>
    <t>Гирлянда Светодиодный занавес из росы с фигурами Снежинок БЕЛЫЙ IP20 USB + пульт управления NEON-NIGHT</t>
  </si>
  <si>
    <t>315-856</t>
  </si>
  <si>
    <t>Гирлянда Светодиодный занавес из росы Фейерверк 3х2м 600 LED ТЕПЛЫЙ БЕЛЫЙ IP20 230В NEON-NIGHT</t>
  </si>
  <si>
    <t>315-866</t>
  </si>
  <si>
    <t>Гирлянда Светодиодный занавес из росы Фейерверк 3х3м 900 LED ТЕПЛЫЙ БЕЛЫЙ IP20 230В NEON-NIGHT</t>
  </si>
  <si>
    <t>10. 1. 3 Гирлянда Бахрома / айсикл</t>
  </si>
  <si>
    <t>255-009</t>
  </si>
  <si>
    <t>Гирлянда Бахрома (Айсикл), 1,8х0,5м, 48 LED RGB, прозрачный ПВХ, IP20, быстрая смена цвета, 230В, не соединяется</t>
  </si>
  <si>
    <t>255-015</t>
  </si>
  <si>
    <t>Гирлянда Бахрома (Айсикл), 1,8х0,5м, 48 LED БЕЛЫЕ, прозрачный ПВХ, IP20, свечение с динамикой, 230В, не соединяется</t>
  </si>
  <si>
    <t>255-019</t>
  </si>
  <si>
    <t>Гирлянда Бахрома (Айсикл), 1,8х0,5м, 48 LED МУЛЬТИКОЛОР, прозрачный ПВХ, IP20, свечение с динамикой, 230В, не соединяется ТОП</t>
  </si>
  <si>
    <t>255-013</t>
  </si>
  <si>
    <t>Гирлянда Бахрома (Айсикл), 1,8х0,5м, 48 LED СИНИЕ, прозрачный ПВХ, IP20, свечение с динамикой, 230В, не соединяется</t>
  </si>
  <si>
    <t>255-016</t>
  </si>
  <si>
    <t>Гирлянда Бахрома (Айсикл), 1,8х0,5м, 48 LED ТЕПЛЫЙ БЕЛЫЙ, прозрачный ПВХ, IP20, свечение с динамикой, 230В, не соединяется</t>
  </si>
  <si>
    <t>255-065</t>
  </si>
  <si>
    <t>Гирлянда светодиодная Бахрома 3*0,8 м 200 LED БЕЛЫЕ, прозрачный ПВХ</t>
  </si>
  <si>
    <t>255-066</t>
  </si>
  <si>
    <t>Гирлянда светодиодная Бахрома 3х0,8 м, 200 LED, цвет теплый белый, прозрачный ПВХ</t>
  </si>
  <si>
    <t>10. 1. 4 Гирлянда Сеть</t>
  </si>
  <si>
    <t>215-109</t>
  </si>
  <si>
    <t>Гирлянда Сеть 1,5х1,5м, прозрачный ПВХ, 96 LED Мультиколор</t>
  </si>
  <si>
    <t>215-106</t>
  </si>
  <si>
    <t>Гирлянда Сеть 1,5х1,5м, прозрачный ПВХ, 96 LED Теплый белый</t>
  </si>
  <si>
    <t>215-125</t>
  </si>
  <si>
    <t>Гирлянда Сеть 1,5х1,5м, прозрачный ПВХ, 150 LED Белые</t>
  </si>
  <si>
    <t>215-129</t>
  </si>
  <si>
    <t>Гирлянда Сеть 1,5х1,5м, прозрачный ПВХ, 150 LED Мультиколор</t>
  </si>
  <si>
    <t>215-123</t>
  </si>
  <si>
    <t>Гирлянда Сеть 1,5х1,5м, прозрачный ПВХ, 150 LED Синий</t>
  </si>
  <si>
    <t>215-126</t>
  </si>
  <si>
    <t>Гирлянда Сеть 1,5х1,5м, прозрачный ПВХ, 150 LED ТЕПЛЫЙ БЕЛЫЙ</t>
  </si>
  <si>
    <t>215-135</t>
  </si>
  <si>
    <t>Гирлянда Сеть 1,8х1,5м, прозрачный ПВХ, 180 LED Белый</t>
  </si>
  <si>
    <t>215-139</t>
  </si>
  <si>
    <t>Гирлянда Сеть 1,8х1,5м, прозрачный ПВХ, 180 LED Мультиколор</t>
  </si>
  <si>
    <t>215-133</t>
  </si>
  <si>
    <t>Гирлянда сеть 1,8х1,5м, прозрачный ПВХ, 180 LED, Синий</t>
  </si>
  <si>
    <t>215-136</t>
  </si>
  <si>
    <t>Гирлянда Сеть 1,8х1,5м, прозрачный ПВХ, 180 LED ТЕПЛЫЙ БЕЛЫЙ</t>
  </si>
  <si>
    <t>215-119-6</t>
  </si>
  <si>
    <t>Гирлянда Сеть 1х1,5м, прозрачный ПВХ, 96 LED Мультиколор</t>
  </si>
  <si>
    <t>10. 1. 5 Гирлянда Твинкл / нить / универсальная</t>
  </si>
  <si>
    <t>10. 1. 5. 1 Твинкл 4 м</t>
  </si>
  <si>
    <t>303-169</t>
  </si>
  <si>
    <t>Гирлянда Твинкл Лайт 4 м, прозрачный ПВХ, 25 LED, цвет Мультиколор</t>
  </si>
  <si>
    <t>303-166</t>
  </si>
  <si>
    <t>Гирлянда Твинкл Лайт 4 м, прозрачный ПВХ, 25 LED, цвет ТЕПЛЫЙ БЕЛЫЙ</t>
  </si>
  <si>
    <t>303-165</t>
  </si>
  <si>
    <t>Гирлянда Твинкл-Лайт 4 м, 25 LED, прозрачный ПВХ, цвет свечения белый NEON-NIGHT</t>
  </si>
  <si>
    <t>303-015</t>
  </si>
  <si>
    <t>Гирлянда Твинкл Лайт 4 м, темно-зеленый ПВХ, 25 LED, цвет белый</t>
  </si>
  <si>
    <t>303-019</t>
  </si>
  <si>
    <t>Гирлянда Твинкл Лайт 4 м, темно-зеленый ПВХ, 25 LED, цвет мультиколор</t>
  </si>
  <si>
    <t>303-013</t>
  </si>
  <si>
    <t>Гирлянда Твинкл Лайт 4 м, темно-зеленый ПВХ, 25 LED, цвет: Синий</t>
  </si>
  <si>
    <t>303-016</t>
  </si>
  <si>
    <t>Гирлянда Твинкл Лайт 4 м, темно-зеленый ПВХ, 25 LED, цвет ТЕПЛЫЙ БЕЛЫЙ</t>
  </si>
  <si>
    <t>10. 1. 5. 2 Твинкл 6 м</t>
  </si>
  <si>
    <t>303-175</t>
  </si>
  <si>
    <t>Гирлянда Твинкл Лайт 6 м, прозрачный ПВХ, 40 LED, цвет Белый</t>
  </si>
  <si>
    <t>303-179</t>
  </si>
  <si>
    <t>Гирлянда Твинкл Лайт 6 м, прозрачный ПВХ, 40 LED, цвет Мультиколор</t>
  </si>
  <si>
    <t>303-176</t>
  </si>
  <si>
    <t>Гирлянда Твинкл Лайт 6 м, прозрачный ПВХ, 40 LED, цвет ТЕПЛЫЙ БЕЛЫЙ</t>
  </si>
  <si>
    <t>303-025</t>
  </si>
  <si>
    <t>Гирлянда Твинкл Лайт 6 м, темно-зеленый ПВХ, 40 LED, цвет белый</t>
  </si>
  <si>
    <t>303-029</t>
  </si>
  <si>
    <t>Гирлянда Твинкл Лайт 6 м, темно-зеленый ПВХ, 40 LED, цвет мультиколор</t>
  </si>
  <si>
    <t>303-023</t>
  </si>
  <si>
    <t>Гирлянда Твинкл Лайт 6 м, темно-зеленый ПВХ, 40 LED, цвет: Синий</t>
  </si>
  <si>
    <t>303-026</t>
  </si>
  <si>
    <t>Гирлянда Твинкл Лайт 6 м, темно-зеленый ПВХ, 40 LED, цвет ТЕПЛЫЙ БЕЛЫЙ</t>
  </si>
  <si>
    <t>10. 1. 5. 3 Твинкл 10 м</t>
  </si>
  <si>
    <t>304-025</t>
  </si>
  <si>
    <t>Гирлянда светодиодная универсальная 100 LED БЕЛЫЙ 10 метров, прозрачный ПВХ, с контроллером</t>
  </si>
  <si>
    <t>304-029</t>
  </si>
  <si>
    <t>Гирлянда светодиодная универсальная 100 LED Мультиколор 10 метров, прозрачный ПВХ, с контроллером</t>
  </si>
  <si>
    <t>303-063</t>
  </si>
  <si>
    <t>Гирлянда светодиодная универсальная 100 LED ТЕПЛЫЙ БЕЛЫЙ 10 метров, прозрачный ПВХ, с контроллером</t>
  </si>
  <si>
    <t>303-105</t>
  </si>
  <si>
    <t>Гирлянда светодиодная универсальная 120 LED МУЛЬТИКОЛОР 12 метров с контроллером</t>
  </si>
  <si>
    <t>303-185</t>
  </si>
  <si>
    <t>Гирлянда Твинкл-Лайт 10 м, прозрачный ПВХ, 80 LED, белое свечение NEON-NIGHT</t>
  </si>
  <si>
    <t>303-189</t>
  </si>
  <si>
    <t>Гирлянда Твинкл Лайт 10 м, прозрачный ПВХ, 80 LED, цвет Мультиколор</t>
  </si>
  <si>
    <t>303-186</t>
  </si>
  <si>
    <t>Гирлянда Твинкл Лайт 10 м, прозрачный ПВХ, 80 LED, цвет ТЕПЛЫЙ БЕЛЫЙ</t>
  </si>
  <si>
    <t>303-045</t>
  </si>
  <si>
    <t>Гирлянда Твинкл Лайт 10 м, темно-зеленый ПВХ, 80 LED, цвет белый</t>
  </si>
  <si>
    <t>303-049</t>
  </si>
  <si>
    <t>Гирлянда Твинкл Лайт 10 м, темно-зеленый ПВХ, 80 LED, цвет мультиколор</t>
  </si>
  <si>
    <t>303-043</t>
  </si>
  <si>
    <t>Гирлянда Твинкл Лайт 10 м, темно-зеленый ПВХ, 80 LED, цвет: Синий</t>
  </si>
  <si>
    <t>303-046</t>
  </si>
  <si>
    <t>Гирлянда Твинкл Лайт 10 м, темно-зеленый ПВХ, 80 LED, цвет ТЕПЛЫЙ БЕЛЫЙ</t>
  </si>
  <si>
    <t>10. 1. 5. 4 Твинкл 15 м</t>
  </si>
  <si>
    <t>303-109</t>
  </si>
  <si>
    <t>Гирлянда светодиодная универсальная 300 LED МУЛЬТИКОЛОР 15 метров с контроллером</t>
  </si>
  <si>
    <t>303-195</t>
  </si>
  <si>
    <t>Гирлянда Твинкл-Лайт 15 м, прозрачный ПВХ, 120 LED, белое свечение NEON-NIGHT</t>
  </si>
  <si>
    <t>303-199</t>
  </si>
  <si>
    <t>Гирлянда Твинкл Лайт 15 м, прозрачный ПВХ, 120 LED, цвет Мультиколор</t>
  </si>
  <si>
    <t>303-196</t>
  </si>
  <si>
    <t>Гирлянда Твинкл Лайт 15 м, прозрачный ПВХ, 120 LED, цвет ТЕПЛЫЙ БЕЛЫЙ</t>
  </si>
  <si>
    <t>303-055</t>
  </si>
  <si>
    <t>Гирлянда Твинкл Лайт 15 м, темно-зеленый ПВХ, 120 LED, цвет белый</t>
  </si>
  <si>
    <t>303-059</t>
  </si>
  <si>
    <t>Гирлянда Твинкл Лайт 15 м, темно-зеленый ПВХ, 120 LED, цвет мультиколор</t>
  </si>
  <si>
    <t>303-053</t>
  </si>
  <si>
    <t>Гирлянда Твинкл Лайт 15 м, темно-зеленый ПВХ, 120 LED, цвет синий</t>
  </si>
  <si>
    <t>303-056</t>
  </si>
  <si>
    <t>Гирлянда Твинкл Лайт 15 м, темно-зеленый ПВХ, 120 LED, цвет ТЕПЛЫЙ БЕЛЫЙ</t>
  </si>
  <si>
    <t>10. 1. 5. 5 Твинкл 20 м</t>
  </si>
  <si>
    <t>303-106</t>
  </si>
  <si>
    <t>Гирлянда светодиодная универсальная 200 LED БЕЛЫЕ 20 метров, с контроллером</t>
  </si>
  <si>
    <t>304-119</t>
  </si>
  <si>
    <t>Гирлянда светодиодная универсальная 200 LED Мультиколор 20 метров, с контроллером</t>
  </si>
  <si>
    <t>304-116</t>
  </si>
  <si>
    <t>Гирлянда светодиодная универсальная 200 LED Теплый белый 20 метров, с контроллером</t>
  </si>
  <si>
    <t>303-305</t>
  </si>
  <si>
    <t>Гирлянда Твинкл-Лайт 20 м, прозрачный ПВХ, 160 LED, цвет белый</t>
  </si>
  <si>
    <t>303-309</t>
  </si>
  <si>
    <t>Гирлянда Твинкл-Лайт 20 м, прозрачный ПВХ, 160 LED, цвет мультиколор</t>
  </si>
  <si>
    <t>303-306</t>
  </si>
  <si>
    <t>Гирлянда Твинкл-Лайт 20 м, прозрачный ПВХ, 160 LED, цвет теплый белый</t>
  </si>
  <si>
    <t>303-115</t>
  </si>
  <si>
    <t>Гирлянда Твинкл-Лайт 20 м, темно-зеленый ПВХ, 160 LED, цвет белый</t>
  </si>
  <si>
    <t>303-119</t>
  </si>
  <si>
    <t>Гирлянда Твинкл-Лайт 20 м, темно-зеленый ПВХ, 160 LED, цвет мультиколор</t>
  </si>
  <si>
    <t>303-116</t>
  </si>
  <si>
    <t>Гирлянда Твинкл-Лайт 20 м, темно-зеленый ПВХ, 160 LED, цвет теплый белый</t>
  </si>
  <si>
    <t>10. 1. 6 Гирлянда Елочная</t>
  </si>
  <si>
    <t>315-896</t>
  </si>
  <si>
    <t>Гирлянда светодиодная из росы с макушкой на елку 9 нитей х 2м, 200LED, эффект водопада, теплый белый цвет, 230В NEON-NIGHT</t>
  </si>
  <si>
    <t>235-075</t>
  </si>
  <si>
    <t>Елочная гирлянда с кольцом, 7 нитей по 1,5 метра, цвет диодов белый, не соединяется</t>
  </si>
  <si>
    <t>235-079</t>
  </si>
  <si>
    <t>Елочная гирлянда с кольцом, 7 нитей по 1,5 метра, цвет диодов мультиколор, не соединяется</t>
  </si>
  <si>
    <t>235-076</t>
  </si>
  <si>
    <t>Елочная гирлянда с кольцом, 7 нитей по 1,5 метра, цвет диодов теплый белый, не соединяется</t>
  </si>
  <si>
    <t>235-085</t>
  </si>
  <si>
    <t>Елочная гирлянда с кольцом, 7 нитей по 1,8 метра, цвет диодов белый, не соединяется</t>
  </si>
  <si>
    <t>235-089</t>
  </si>
  <si>
    <t>Елочная гирлянда с кольцом, 7 нитей по 1,8 метра, цвет диодов мультиколор, не соединяется</t>
  </si>
  <si>
    <t>235-086</t>
  </si>
  <si>
    <t>Елочная гирлянда с кольцом, 7 нитей по 1,8 метра, цвет диодов теплый белый, не соединяется</t>
  </si>
  <si>
    <t>10. 1. 7 Гирлянда Мишура</t>
  </si>
  <si>
    <t>303-605</t>
  </si>
  <si>
    <t>Гирлянда Мишура LED 3 м прозрачный ПВХ, 288 диодов, цвет белый</t>
  </si>
  <si>
    <t>303-601</t>
  </si>
  <si>
    <t>Гирлянда Мишура LED 3 м прозрачный ПВХ, 288 диодов, цвет желтый</t>
  </si>
  <si>
    <t>303-604</t>
  </si>
  <si>
    <t>Гирлянда Мишура LED 3 м прозрачный ПВХ, 288 диодов, цвет зеленый</t>
  </si>
  <si>
    <t>303-602</t>
  </si>
  <si>
    <t>Гирлянда Мишура LED 3 м прозрачный ПВХ, 288 диодов, цвет красный</t>
  </si>
  <si>
    <t>303-607</t>
  </si>
  <si>
    <t>Гирлянда Мишура LED 3 м прозрачный ПВХ, 288 диодов, цвет розовый</t>
  </si>
  <si>
    <t>303-603</t>
  </si>
  <si>
    <t>Гирлянда Мишура LED 3 м прозрачный ПВХ, 288 диодов, цвет синий</t>
  </si>
  <si>
    <t>303-606</t>
  </si>
  <si>
    <t>Гирлянда Мишура LED 3 м прозрачный ПВХ, 288 диодов, цвет ТЕПЛЫЙ БЕЛЫЙ</t>
  </si>
  <si>
    <t>303-608</t>
  </si>
  <si>
    <t>Гирлянда Мишура LED 3 м, темно-зеленый ПВХ, 288 диодов, цвет белый + теплый белый</t>
  </si>
  <si>
    <t>303-615</t>
  </si>
  <si>
    <t>Гирлянда Мишура LED 6 м прозрачный ПВХ, 576 диодов, цвет белый</t>
  </si>
  <si>
    <t>303-614</t>
  </si>
  <si>
    <t>Гирлянда Мишура LED 6 м прозрачный ПВХ, 576 диодов, цвет ЗЕЛЁНЫЙ</t>
  </si>
  <si>
    <t>303-612</t>
  </si>
  <si>
    <t>Гирлянда Мишура LED 6 м прозрачный ПВХ, 576 диодов, цвет красный</t>
  </si>
  <si>
    <t>303-617</t>
  </si>
  <si>
    <t>Гирлянда Мишура LED 6 м прозрачный ПВХ, 576 диодов, цвет розовый</t>
  </si>
  <si>
    <t>303-613</t>
  </si>
  <si>
    <t>Гирлянда Мишура LED 6 м прозрачный ПВХ, 576 диодов, цвет синий</t>
  </si>
  <si>
    <t>10. 1. 8 Гирлянда Кластер</t>
  </si>
  <si>
    <t>303-625</t>
  </si>
  <si>
    <t>Гирлянда Кластер LED 3 м, темно-зеленый ПВХ IP20, 288 диодов, цвет белый</t>
  </si>
  <si>
    <t>303-626</t>
  </si>
  <si>
    <t>Гирлянда Кластер LED 3 м, темно-зеленый ПВХ IP20, 288 диодов, цвет теплый белый</t>
  </si>
  <si>
    <t>303-629</t>
  </si>
  <si>
    <t>Гирлянда Кластер LED 3 м, темно-зеленый ПВХ IP20, 288 диодов, цвет мультиколор</t>
  </si>
  <si>
    <t>10. 1. 9 Гирлянда Шарики</t>
  </si>
  <si>
    <t>303-539</t>
  </si>
  <si>
    <t>Гирлянда Шарики Ø15мм, 5м, темно-зеленый ПВХ, 30 диодов, цвет RGB</t>
  </si>
  <si>
    <t>303-549</t>
  </si>
  <si>
    <t>Гирлянда Шарики Ø18мм, 5м, темно-зеленый ПВХ, 30 диодов, цвет RGB</t>
  </si>
  <si>
    <t>303-540</t>
  </si>
  <si>
    <t>Гирлянда Шарики Ø18 мм, 5 м, темно-зеленый ПВХ, 30 диодов, цвет RGB</t>
  </si>
  <si>
    <t>303-559</t>
  </si>
  <si>
    <t>Гирлянда Шарики Ø25мм, 5м, темно-зеленый ПВХ, 25 диодов, цвет RGB</t>
  </si>
  <si>
    <t>303-555</t>
  </si>
  <si>
    <t>Гирлянда Шарики Ø25 мм, 5м, темно-зеленый ПВХ, 25 диодов, цвет Белый, Без контроллера</t>
  </si>
  <si>
    <t>303-550</t>
  </si>
  <si>
    <t>Гирлянда Шарики Ø25 мм, 5 м, темно-зеленый ПВХ, 25 диодов, цвет RGB</t>
  </si>
  <si>
    <t>303-569</t>
  </si>
  <si>
    <t>Гирлянда Шарики Ø30мм, 5м, темно-зеленый ПВХ, 25 диодов, цвет RGB</t>
  </si>
  <si>
    <t>10. 1.10 Гирлянды управляемые</t>
  </si>
  <si>
    <t>245-011</t>
  </si>
  <si>
    <t>Твинкл Wi-Fi 18 м, темно-зеленый ПВХ, 120 LED RGB, не соединяется</t>
  </si>
  <si>
    <t>245-059</t>
  </si>
  <si>
    <t>Умная гирлянда Занавес из росы с крупными каплями 2х2м 400 LED RGB мягкий прозрачный провод IP20 USB, пульт управления NEON-NIGHT</t>
  </si>
  <si>
    <t>245-019</t>
  </si>
  <si>
    <t>Умная гирлянда Роса с крупными каплями 10м 100 LED RGB мягкий прозрачный провод IP20 USB NEON-NIGHT</t>
  </si>
  <si>
    <t>245-018</t>
  </si>
  <si>
    <t>245-020</t>
  </si>
  <si>
    <t>Умная гирлянда Роса с крупными каплями 20м 200 LED RGB IP20 прозрачный провод USB NEON-NIGHT</t>
  </si>
  <si>
    <t>245-021</t>
  </si>
  <si>
    <t>Умная гирлянда Роса с крупными каплями 30м 300 LED RGB мягкий зеленый провод IP20 USB NEON-NIGHT</t>
  </si>
  <si>
    <t>245-029</t>
  </si>
  <si>
    <t>Умная гирлянда Роса с крупными каплями и звездой на елку 9 нитей, 2м, 190 LED RGB, мягкий зеленый провод, IP20, USB NEON-NIGHT</t>
  </si>
  <si>
    <t>131-009</t>
  </si>
  <si>
    <t>Умный RGB-неон, набор 5м, USB, с пультом управления NEON-NIGHT</t>
  </si>
  <si>
    <t>10. 1.11 Фигуры интерьерные</t>
  </si>
  <si>
    <t>10. 1. 11. 1 Фонари с эффектом снегопада и конфетти</t>
  </si>
  <si>
    <t>501-193</t>
  </si>
  <si>
    <t>Декоративный светильник Дед Мороз с олененком с эффектом снегопада и подсветкой, 10,5х10,5х28,5 см, питание 4хААА (не в комплекте) и USB NEON-NIGHT</t>
  </si>
  <si>
    <t>501-173</t>
  </si>
  <si>
    <t>Декоративный светильник Дельфины с конфетти, USB NEON-NIGHT</t>
  </si>
  <si>
    <t>501-186</t>
  </si>
  <si>
    <t>Декоративный светильник Единорог с конфетти и мелодией, USB NEON-NIGHT</t>
  </si>
  <si>
    <t>501-197</t>
  </si>
  <si>
    <t>Декоративный светильник Замок с эффектом снегопада и подсветкой, 15х7,5х35,5 см, питание 3хАА (не в комплекте) и USB NEON-NIGHT</t>
  </si>
  <si>
    <t>501-198</t>
  </si>
  <si>
    <t>Декоративный светильник Кардинал с конфетти и подсветкой, 13,3х7,9х23,7 см, питание 3хАА (не в комплекте) и USB NEON-NIGHT</t>
  </si>
  <si>
    <t>501-068</t>
  </si>
  <si>
    <t>Декоративный светильник Колокольчик с эффектом снегопада NEON-NIGHT</t>
  </si>
  <si>
    <t>501-171</t>
  </si>
  <si>
    <t>Декоративный светильник Маяк синий с конфетти и подсветкой, USB NEON-NIGHT</t>
  </si>
  <si>
    <t>501-164</t>
  </si>
  <si>
    <t>Декоративный светильник Подсвечник с эффектом снегопада NEON-NIGHT</t>
  </si>
  <si>
    <t>501-195</t>
  </si>
  <si>
    <t>Декоративный светильник Свеча с Дедом Морозом с эффектом снегопада и подсветкой, 10,5х10,5х25 см, питание 4хААА (не в комплекте) и USB NEON-NIGHT</t>
  </si>
  <si>
    <t>501-060</t>
  </si>
  <si>
    <t>Декоративный светильник Сияние с конфетти, USB NEON-NIGHT</t>
  </si>
  <si>
    <t>501-192</t>
  </si>
  <si>
    <t>Декоративный светильник Снеговик с эффектом снегопада и подсветкой, 10,5х10,5х28,5 см, питание 4хААА (не в комплекте) и USB NEON-NIGHT</t>
  </si>
  <si>
    <t>501-184</t>
  </si>
  <si>
    <t>Декоративный светильник Фея с конфетти и мелодией, USB NEON-NIGHT</t>
  </si>
  <si>
    <t>501-062</t>
  </si>
  <si>
    <t>Декоративный LED-фонарь с эффектом снегопада и подсветкой Дед Мороз, теплое белое свечение NEON-NIGHT</t>
  </si>
  <si>
    <t>501-161</t>
  </si>
  <si>
    <t>Декоративный фонарь с эффектом снегопада и подсветкой Новый год</t>
  </si>
  <si>
    <t>501-165</t>
  </si>
  <si>
    <t>Декоративный фонарь с эффектом снегопада и подсветкой Рождественский лес, белый</t>
  </si>
  <si>
    <t>501-065</t>
  </si>
  <si>
    <t>Декоративный фонарь с эффектом снегопада и подсветкой Рождество, белый</t>
  </si>
  <si>
    <t>501-066</t>
  </si>
  <si>
    <t>Декоративный LED-фонарь с эффектом снегопада и подсветкой Санта-Клаус USB, теплое белое свечение NEON-NIGHT</t>
  </si>
  <si>
    <t>501-191</t>
  </si>
  <si>
    <t>Декоративный фонарь (фигура) с эффектом снегопада и подсветкой Семья снеговиков NEON-NIGHT</t>
  </si>
  <si>
    <t>501-061</t>
  </si>
  <si>
    <t>Декоративный фонарь с эффектом снегопада и подсветкой Снеговики, Белый</t>
  </si>
  <si>
    <t>501-187</t>
  </si>
  <si>
    <t>Светильник декоративный (фигура) Башня с эффектом снегопада и подсветкой NEON-NIGHT</t>
  </si>
  <si>
    <t>501-160</t>
  </si>
  <si>
    <t>Светильник декоративный (фигура) Елочный шар с эффектом снегопада и подсветкой NEON-NIGHT</t>
  </si>
  <si>
    <t>501-182</t>
  </si>
  <si>
    <t>Светильник декоративный (фигура) Звезда с эффектом снегопада и подсветкой NEON-NIGHT</t>
  </si>
  <si>
    <t>501-169</t>
  </si>
  <si>
    <t>Светильник декоративный Машина с подсветкой и конфетти, питание от USB NEON-NIGHT</t>
  </si>
  <si>
    <t>501-180</t>
  </si>
  <si>
    <t>Светильник декоративный Новогодняя елка с подсветкой и конфетти, питание от USB NEON-NIGHT</t>
  </si>
  <si>
    <t>501-185</t>
  </si>
  <si>
    <t>Светильник декоративный (фигура) Телефонная будка с эффектом снегопада и подсветкой NEON-NIGHT</t>
  </si>
  <si>
    <t>501-183</t>
  </si>
  <si>
    <t>Светильник декоративный (фигура) Фонарик с эффектом снегопада и подсветкой NEON-NIGHT</t>
  </si>
  <si>
    <t>10. 1.11. 2 Фонари декоративные</t>
  </si>
  <si>
    <t>513-058</t>
  </si>
  <si>
    <t>Декоративный фонарь на подставке со свечкой, бронзовый корпус, размер 14,5х17х31см, цвет теплый белый</t>
  </si>
  <si>
    <t>501-143</t>
  </si>
  <si>
    <t>Декоративный фонарь на солнечной батарее 20х20х22 см, черный плетеный корпус, теплый белый цвет свечения NEON-NIGHT</t>
  </si>
  <si>
    <t>513-052</t>
  </si>
  <si>
    <t>Декоративный фонарь с лампочкой, белый корпус, размер 10,5х10,5х24 см, цвет ТЕПЛЫЙ БЕЛЫЙ</t>
  </si>
  <si>
    <t>513-053</t>
  </si>
  <si>
    <t>Декоративный фонарь с лампочкой, бронзовый корпус, размер 10,5х10,5х22,5 см, цвет ТЕПЛЫЙ БЕЛЫЙ</t>
  </si>
  <si>
    <t>513-040</t>
  </si>
  <si>
    <t>Декоративный фонарь с машиной, черный корпус, размер 14х14х21 см, цвет теплый белый, питание 2хАА (не в комплекте) NEON-NIGHT</t>
  </si>
  <si>
    <t>513-050</t>
  </si>
  <si>
    <t>Декоративный фонарь с росой, белый корпус, размер 10,7х10,7х23,5 см, цвет теплый белый</t>
  </si>
  <si>
    <t>513-048</t>
  </si>
  <si>
    <t>Декоративный фонарь с тремя свечками, бронзовый корпус, размер 14x14x27 см, цвет теплый белый</t>
  </si>
  <si>
    <t>513-062</t>
  </si>
  <si>
    <t>Декоративный фонарь с шариками 12х12х20,6 см, белый корпус, теплый белый цвет свечения NEON-NIGHT</t>
  </si>
  <si>
    <t>513-061</t>
  </si>
  <si>
    <t>Декоративный фонарь с шариками 12х12х20,6 см, черный корпус, теплый белый цвет свечения NEON-NIGHT</t>
  </si>
  <si>
    <t>513-064</t>
  </si>
  <si>
    <t>Декоративный фонарь 11х11х22,5 см, черный корпус, цвет свечения RGB с эффектом мерцания NEON-NIGHT</t>
  </si>
  <si>
    <t>513-065</t>
  </si>
  <si>
    <t>Декоративный фонарь 11х11х22,5 см, черный корпус, теплый белый цвет свечения с эффектом мерцания NEON-NIGHT</t>
  </si>
  <si>
    <t>513-067</t>
  </si>
  <si>
    <t>Декоративный фонарь 12х12х20,6 см, белый корпус, теплый белый цвет свечения с эффектом пламени свечи NEON-NIGHT</t>
  </si>
  <si>
    <t>513-069</t>
  </si>
  <si>
    <t>Декоративный фонарь со свечкой 9,5см, цвет корпуса белый/черный, цвет свечения теплый белый, питание 3xLR1130 (в комплекте) NEON-NIGHT</t>
  </si>
  <si>
    <t>513-047</t>
  </si>
  <si>
    <t>Декоративный фонарь со свечкой и шишкой, черный корпус, размер 10,7x10,7x23,5 см, цвет теплый белый</t>
  </si>
  <si>
    <t>513-043</t>
  </si>
  <si>
    <t>Декоративный фонарь со свечкой, белый корпус со снежинкой, размер 12х12х18 см, цвет теплый белый</t>
  </si>
  <si>
    <t>513-054</t>
  </si>
  <si>
    <t>Декоративный фонарь со свечкой, белый корпус, размер 10,5х10,5х22,35 см, цвет ТЕПЛЫЙ БЕЛЫЙ</t>
  </si>
  <si>
    <t>513-042</t>
  </si>
  <si>
    <t>Декоративный фонарь со свечкой, белый корпус, размер 10,5х10,5х24 см, цвет ТЕПЛЫЙ БЕЛЫЙ</t>
  </si>
  <si>
    <t>513-046</t>
  </si>
  <si>
    <t>Декоративный фонарь со свечой 14x14x29 см, белый корпус, теплый белый цвет свечения NEON-NIGHT</t>
  </si>
  <si>
    <t>513-075</t>
  </si>
  <si>
    <t>Декоративный фонарь со свечкой, корпус из дерева, размер 14х14х35cм, цвет теплый белый</t>
  </si>
  <si>
    <t>513-059</t>
  </si>
  <si>
    <t>Декоративный фонарь со свечкой, красный корпус, размер 10,5х10,5х24см, цвет ТЕПЛЫЙ БЕЛЫЙ</t>
  </si>
  <si>
    <t>513-041</t>
  </si>
  <si>
    <t>Декоративный фонарь со свечкой, красный корпус, размер 13,5х13,5х30,5 см, цвет ТЕПЛЫЙ БЕЛЫЙ</t>
  </si>
  <si>
    <t>513-057</t>
  </si>
  <si>
    <t>Декоративный фонарь со свечкой, плетеный корпус, белый, размер 14х14х16,5 см, цвет теплый белый</t>
  </si>
  <si>
    <t>513-055</t>
  </si>
  <si>
    <t>Декоративный фонарь со свечкой, плетеный корпус, бронза, размер 14х14х16,5 см, цвет теплый белый</t>
  </si>
  <si>
    <t>513-051</t>
  </si>
  <si>
    <t>Декоративный фонарь со свечкой, черный корпус, размер 10,5х10,5х24 см, цвет ТЕПЛЫЙ БЕЛЫЙ</t>
  </si>
  <si>
    <t>513-045</t>
  </si>
  <si>
    <t>Декоративный фонарь со свечой 14x14x29 см, черный корпус, теплый белый цвет свечения NEON-NIGHT</t>
  </si>
  <si>
    <t>513-020</t>
  </si>
  <si>
    <t>Набор из 3 фонарей со свечкой 5,5х5,5х12,5 см, цвет корпуса белый, красный, черный, цвет свечения теплый белый, питание 3xLR1130 NEON-NIGHT</t>
  </si>
  <si>
    <t>513-071</t>
  </si>
  <si>
    <t>Фонарь декоративный (фигура) с тремя свечами, белый корпус, 24х24х40 см, теплый белый NEON-NIGHT</t>
  </si>
  <si>
    <t>513-068</t>
  </si>
  <si>
    <t>Фонарь декоративный (фигура) со свечкой 5,5х5,5х12,5см, цвет корпуса белый/красный/ черный, цвет свечения теплый белый, питание 3xLR1130 (в комплекте) NEON-NIGHT</t>
  </si>
  <si>
    <t>513-076</t>
  </si>
  <si>
    <t>Фонарь декоративный (фигура) со свечкой 9х5х13см, цвет корпуса бронзовый, цвет свечения теплый белый, питание 3xLR1130 (в комплекте) NEON-NIGHT</t>
  </si>
  <si>
    <t>513-073</t>
  </si>
  <si>
    <t>Фонарь декоративный со свечкой, корпус из дерева, бежевый, 15х15х38cм, теплый белый NEON-NIGHT</t>
  </si>
  <si>
    <t>513-074</t>
  </si>
  <si>
    <t>Фонарь декоративный со свечкой, корпус из дерева, коричневый, 15х15х38cм, теплый белый NEON-NIGHT</t>
  </si>
  <si>
    <t>10. 1.11. 3 Камины светодиодные</t>
  </si>
  <si>
    <t>511-036</t>
  </si>
  <si>
    <t>Декоративный светильник Лава Ø 10х16,5 см, батарейки 3хАА (не в комплекте)</t>
  </si>
  <si>
    <t>511-037</t>
  </si>
  <si>
    <t>Декоративный светильник Лава Ø 15х21 см, батарейки 3хАА (не в комплекте)</t>
  </si>
  <si>
    <t>511-035</t>
  </si>
  <si>
    <t>Декоративный светильник Лава Ø7,5х11 см, батарейки 3хАА (не в комплекте)</t>
  </si>
  <si>
    <t>511-029</t>
  </si>
  <si>
    <t>Декоративный светильник Кубок 12,5х12,5х33см, работает от батареек 2хАА (в комплект не входят) NEON-NIGHT</t>
  </si>
  <si>
    <t>511-004</t>
  </si>
  <si>
    <t>Светодиодный камин Авангард с эффектом живого огня 30х13х30 см, батарейки 3хС (не в комплекте) или от USB (в комплекте)</t>
  </si>
  <si>
    <t>511-023</t>
  </si>
  <si>
    <t>Светодиодный камин Винтаж мини с эффектом живого огня 24.8х12.7х30 см, батарейки 3хС (не в комплекте), с USB, бронзовый</t>
  </si>
  <si>
    <t>511-022</t>
  </si>
  <si>
    <t>Светодиодный камин Винтаж мини с эффектом живого огня 24.8х12.7х30 см, батарейки 3хС (не в комплекте), с USB, черный</t>
  </si>
  <si>
    <t>511-032</t>
  </si>
  <si>
    <t>Светодиодный камин Винтаж с эффектом живого огня 30х16х35,5 см, батарейки 3хС (не в комплекте) и USB (в комплекте)</t>
  </si>
  <si>
    <t>511-026</t>
  </si>
  <si>
    <t>Светодиодный камин Волшебный фонарь с эффектом живого огня 11х11х24,5 см, батарейки 3хАА (не в комплекте)</t>
  </si>
  <si>
    <t>511-024</t>
  </si>
  <si>
    <t>Светодиодный камин Гранд Шале с эффектом живого огня 45х18х56см, работает от батареек 3хС (в комплект не входят) или от USB (в комплекте), черный</t>
  </si>
  <si>
    <t>511-031</t>
  </si>
  <si>
    <t>Светодиодный камин Кантри с эффектом живого огня 12х12х18,5 см, батарейки 3хАА (не в комплекте)</t>
  </si>
  <si>
    <t>511-030</t>
  </si>
  <si>
    <t>Светодиодный камин Классика с эффектом живого огня 33х12х24 см, батарейки 3хС (не в комплекте) или от USB (в комплекте)</t>
  </si>
  <si>
    <t>513-038</t>
  </si>
  <si>
    <t>Светодиодный камин Лаунж с эффектом живого огня 35,3х12,4х33,7 см, с адаптером питания и батарейками 4 х АА (не в комплекте) NEON-NIGHT</t>
  </si>
  <si>
    <t>511-034</t>
  </si>
  <si>
    <t>Светодиодный камин Лофт USB с эффектом живого огня 17х10х24.5 см NEON-NIGHT</t>
  </si>
  <si>
    <t>511-084</t>
  </si>
  <si>
    <t>Светодиодный камин Лофт с эффектом живого огня 17х10х24,5 см, с USB, черный NEON-NIGHT</t>
  </si>
  <si>
    <t>511-005</t>
  </si>
  <si>
    <t>Светодиодный камин Нуар с эффектом живого огня 16х14х29 см, питание 3хАА (не в комплекте) NEON-NIGHT</t>
  </si>
  <si>
    <t>511-002</t>
  </si>
  <si>
    <t>Светодиодный камин Ретро с эффектом живого огня 60,3х11х36,8см, работает от батареек 3хС (в комплект не входят) или от USB (в комплекте), бронзовый</t>
  </si>
  <si>
    <t>511-027</t>
  </si>
  <si>
    <t>Светодиодный камин Рождество с эффектом живого огня 15х14х26см, батарейки 2хС (не в комплекте) и USB, бронзовый NEON-NIGHT</t>
  </si>
  <si>
    <t>511-033</t>
  </si>
  <si>
    <t>Декоративный камин Сканди с эффектом живого огня 18х9х16 см, батарейки 3хС (не в комплекте)</t>
  </si>
  <si>
    <t>511-021</t>
  </si>
  <si>
    <t>Светодиодный камин Старинные часы с эффектом живого огня 14,7x11,7x25 см, бронза, батарейки 2хС (не в комплекте) USB NEON-NIGHT</t>
  </si>
  <si>
    <t>511-020</t>
  </si>
  <si>
    <t>Светодиодный камин Старинные часы с эффектом живого огня 14,7x11,7x25 см, черный, батарейки 2хС (не в комплекте) USB NEON-NIGHT</t>
  </si>
  <si>
    <t>511-038</t>
  </si>
  <si>
    <t>Светодиодный камин Фьюжн с эффектом живого огня 14,7x11,7x25 см, батарейки 2хС (не в комплекте) USB, бронзовый</t>
  </si>
  <si>
    <t>511-039</t>
  </si>
  <si>
    <t>Светодиодный камин Фьюжн с эффектом живого огня 14,7x11,7x25 см, батарейки 2хС (не в комплекте) USB, черный</t>
  </si>
  <si>
    <t>511-001</t>
  </si>
  <si>
    <t>Светодиодный камин Хайтек с эффектом живого огня 60х10х20 см, батарейки 3хС (не в комплекте) или от USB (в комплекте)</t>
  </si>
  <si>
    <t>511-006</t>
  </si>
  <si>
    <t>Светодиодный камин Шале с эффектом живого огня 30х13х28 см, батарейки 3хС (не в комплекте) или от USB (в комплекте)</t>
  </si>
  <si>
    <t>10. 1.11. 4 Деревянные фигурки</t>
  </si>
  <si>
    <t>504-027</t>
  </si>
  <si>
    <t>Деревянная фигура с подсветкой Звезда двойная 30х4х30 см</t>
  </si>
  <si>
    <t>504-009</t>
  </si>
  <si>
    <t>Деревянная фигурка Гном с носком 15х4х17 см NEON-NIGHT</t>
  </si>
  <si>
    <t>504-004</t>
  </si>
  <si>
    <t>Деревянная фигурка Гномик 17х4х15 см</t>
  </si>
  <si>
    <t>504-008</t>
  </si>
  <si>
    <t>Деревянная фигурка Гномик-бородач 7x4,5x18 см NEON-NIGHT</t>
  </si>
  <si>
    <t>504-044</t>
  </si>
  <si>
    <t>Деревянная фигурка Игрушечный пони белый 25х5,5х26,5 см</t>
  </si>
  <si>
    <t>504-006</t>
  </si>
  <si>
    <t>Деревянная фигурка Рождественский Олень Розовый 10,5x4x18 см</t>
  </si>
  <si>
    <t>504-023</t>
  </si>
  <si>
    <t>Деревянная фигурка с подсветкой Волшебный фонарик 13,8x11x11 см</t>
  </si>
  <si>
    <t>504-012</t>
  </si>
  <si>
    <t>Деревянная фигурка с подсветкой Елочка 11,5x5x19 см</t>
  </si>
  <si>
    <t>504-011</t>
  </si>
  <si>
    <t>Деревянная фигурка с подсветкой Елочка 9x5x19 см</t>
  </si>
  <si>
    <t>504-002</t>
  </si>
  <si>
    <t>Деревянная фигурка с подсветкой Елочка с оленем 12x6x21,5 см</t>
  </si>
  <si>
    <t>504-022</t>
  </si>
  <si>
    <t>Деревянная фигурка с подсветкой Звездочка 24x13x3,6 см</t>
  </si>
  <si>
    <t>504-021</t>
  </si>
  <si>
    <t>Деревянная фигурка с подсветкой Рождественская сказка 44,5x6x24 см</t>
  </si>
  <si>
    <t>504-007</t>
  </si>
  <si>
    <t>Деревянная фигурка с подсветкой Рождественский олень 11х5х47 см</t>
  </si>
  <si>
    <t>504-026</t>
  </si>
  <si>
    <t>Деревянная фигурка с подсветкой Семейство оленей 30х5х15,7 см</t>
  </si>
  <si>
    <t>504-017</t>
  </si>
  <si>
    <t>Деревянная фигурка с подсветкой Снеговик 18 см NEON-NIGHT</t>
  </si>
  <si>
    <t>504-033</t>
  </si>
  <si>
    <t>Деревянные прищепки Звездочки 16x4,5x1,3 cм, бирюзовые 6 шт, NEON-NIGHT</t>
  </si>
  <si>
    <t>504-034</t>
  </si>
  <si>
    <t>Деревянные прищепки Звездочки 16x4,5x1,3 cм, розовые, 6 шт, NEON-NIGHT</t>
  </si>
  <si>
    <t>10. 1.11. 5 Керамические фигурки</t>
  </si>
  <si>
    <t>505-029</t>
  </si>
  <si>
    <t>Керамическая фигурка Дед Мороз в санях 30,5х12,2х17,2 см</t>
  </si>
  <si>
    <t>505-012</t>
  </si>
  <si>
    <t>Керамическая фигурка Дед Мороз на коне 35х15х39,8 см</t>
  </si>
  <si>
    <t>505-022</t>
  </si>
  <si>
    <t>Керамическая фигурка Домик 8x7x11 см</t>
  </si>
  <si>
    <t>505-007</t>
  </si>
  <si>
    <t>Керамическая фигурка Домик со снеговиком 26,2х9,5х23,3 см</t>
  </si>
  <si>
    <t>501-070</t>
  </si>
  <si>
    <t>Керамический подсвечник Паровоз 17,1х7,1х14,7 см</t>
  </si>
  <si>
    <t>501-074</t>
  </si>
  <si>
    <t>Керамический подсвечник Свечка 12,5х6х19,3 см</t>
  </si>
  <si>
    <t>10. 1.11. 6 Подвесные фигурки</t>
  </si>
  <si>
    <t>501-057</t>
  </si>
  <si>
    <t>Светодиодная подвесная фигура Звезда на металлическом каркасе, цвет теплый белый NEON-NIGHT</t>
  </si>
  <si>
    <t>501-056</t>
  </si>
  <si>
    <t>Светодиодная подвесная фигура Снежинка на металлическом каркасе, цвет теплый белый NEON-NIGHT</t>
  </si>
  <si>
    <t>10. 1.11. 7 Настольные фигурки</t>
  </si>
  <si>
    <t>513-017</t>
  </si>
  <si>
    <t>Гномик в новогоднем колпаке 20см, цвет свечения теплый белый, питание 3xLR41 (в комплекте) NEON-NIGHT</t>
  </si>
  <si>
    <t>01.10.2026</t>
  </si>
  <si>
    <t>513-022</t>
  </si>
  <si>
    <t>Фигура светодиодная Елочка, 15 см, RGB</t>
  </si>
  <si>
    <t>513-023</t>
  </si>
  <si>
    <t>Фигура светодиодная Елочка, 20 см, RGB</t>
  </si>
  <si>
    <t>513-024</t>
  </si>
  <si>
    <t>Фигура светодиодная Елочка, 25 см, RGB</t>
  </si>
  <si>
    <t>501-051</t>
  </si>
  <si>
    <t>Фигура светодиодная на подставке Ёлочка Кристалл, RGB</t>
  </si>
  <si>
    <t>513-029</t>
  </si>
  <si>
    <t>Металлическая 3D-фигура Елочка 45см, цвет свечения теплый белый, питание 3хАА (не в комплекте) NEON-NIGHT</t>
  </si>
  <si>
    <t>513-706</t>
  </si>
  <si>
    <t>Металлическая 3D-фигура Звезда 35см, цвет свечения теплый белый, питание 3хAA (не в комплекте) NEON-NIGHT</t>
  </si>
  <si>
    <t>501-047</t>
  </si>
  <si>
    <t>Фигура светодиодная на подставке Мишка 2D, RGB</t>
  </si>
  <si>
    <t>513-016</t>
  </si>
  <si>
    <t>Набор из 4 Гномиков в новогодних колпаках 20 см, цвет свечения теплый белый, питание 3xLR41 (в комплекте) NEON-NIGHT</t>
  </si>
  <si>
    <t>501-052</t>
  </si>
  <si>
    <t>Фигура светодиодная на подставке Пингвин Кристалл, RGB</t>
  </si>
  <si>
    <t>501-040</t>
  </si>
  <si>
    <t>Фигура светодиодная на подставке Санта Клаус, RGB</t>
  </si>
  <si>
    <t>503-225</t>
  </si>
  <si>
    <t>Светодиодная фигура Олень 21см, цвет свечения теплый белый, питание 2хAA (не в комплекте) NEON-NIGHT</t>
  </si>
  <si>
    <t>503-226</t>
  </si>
  <si>
    <t>Светодиодная фигура Олень 34см, цвет свечения теплый белый, питание 2хAA (не в комплекте) NEON-NIGHT</t>
  </si>
  <si>
    <t>503-227</t>
  </si>
  <si>
    <t>Светодиодная фигура Олень 37см, цвет свечения теплый белый, питание 3хAA (не в комплекте) NEON-NIGHT</t>
  </si>
  <si>
    <t>503-228</t>
  </si>
  <si>
    <t>Светодиодная фигура Олень 50см, цвет свечения теплый белый, питание 3хAA (не в комплекте) NEON-NIGHT</t>
  </si>
  <si>
    <t>503-325</t>
  </si>
  <si>
    <t>Светодиодные фигуры Подарки 15/20/25 см, цвет свечения теплый белый, питание 2хАА/3хAA/3хАА (не в комплекте) NEON-NIGHT</t>
  </si>
  <si>
    <t>503-326</t>
  </si>
  <si>
    <t>Светодиодные фигуры Подарки в форме цилиндра 15/20/25 см, цвет свечения теплый белый, питание 2хАА/3хAA/3хАА (не в комплекте) NEON-NIGHT</t>
  </si>
  <si>
    <t>501-055</t>
  </si>
  <si>
    <t>Фигура светодиодная на подставке Снежинка, RGB</t>
  </si>
  <si>
    <t>513-036</t>
  </si>
  <si>
    <t>Фигура на подставке Елочка 12x12x28 см, RGB, питание 3xАА и провод USB NEON-NIGHT</t>
  </si>
  <si>
    <t>513-035</t>
  </si>
  <si>
    <t>Фигура на подставке Елочка 15x21x31 см, RGB, питание 3xАА и провод USB NEON-NIGHT</t>
  </si>
  <si>
    <t>513-032</t>
  </si>
  <si>
    <t>Фигура на подставке Елочка 25 см, RGB, питание 2хААА (не в комплекте) NEON-NIGHT</t>
  </si>
  <si>
    <t>513-030</t>
  </si>
  <si>
    <t>Фигура на подставке Елочка 35 см, RGB, питание 3хААА (не в комплекте) NEON-NIGHT</t>
  </si>
  <si>
    <t>513-031</t>
  </si>
  <si>
    <t>Фигура на подставке Елочка 45 см, RGB, питание 3хААА (не в комплекте) NEON-NIGHT</t>
  </si>
  <si>
    <t>513-037</t>
  </si>
  <si>
    <t>Фигура на подставке Елочка 9,8x9,8x30 см, теплый белый, питание 3xАА и провод USB NEON-NIGHT</t>
  </si>
  <si>
    <t>513-026</t>
  </si>
  <si>
    <t>Фигура на подставке Елочка со звездой 37 см, RGB, питание 4xААА и провод USB NEON-NIGHT</t>
  </si>
  <si>
    <t>513-027</t>
  </si>
  <si>
    <t>Фигура на подставке Елочка со звездой 37 см, теплый белый, питание 4xААА и провод USB NEON-NIGHT</t>
  </si>
  <si>
    <t>513-033</t>
  </si>
  <si>
    <t>Фигура на подставке Ель 51 см, белый, питание 3xААА (не в комплекте) NEON-NIGHT</t>
  </si>
  <si>
    <t>513-025</t>
  </si>
  <si>
    <t>Фигура светодиодная на подставке Новогодний поезд с мелодией 30,5см, RGB NEON-NIGHT</t>
  </si>
  <si>
    <t>501-003</t>
  </si>
  <si>
    <t>Фигура светодиодная С НОВЫМ ГОДОМ 35 LED КРАСНЫЕ 42x19 см</t>
  </si>
  <si>
    <t>501-004</t>
  </si>
  <si>
    <t>Фигура светодиодная С НОВЫМ ГОДОМ 35LED, цвет свечения МУЛЬТИКОЛОР (RG/RB), размер 42x19см</t>
  </si>
  <si>
    <t>513-018</t>
  </si>
  <si>
    <t>Фигура светодиодная Снеговик 17см, RGB</t>
  </si>
  <si>
    <t>513-014</t>
  </si>
  <si>
    <t>Фигура светодиодная Снежок RGB, 14 см</t>
  </si>
  <si>
    <t>513-012</t>
  </si>
  <si>
    <t>Фигура светодиодная Снежок, RGB, 10 см</t>
  </si>
  <si>
    <t>513-011</t>
  </si>
  <si>
    <t>Фигура светодиодная Снежок, RGB, 8 см</t>
  </si>
  <si>
    <t>10. 1.11. 8 Диско-лампы</t>
  </si>
  <si>
    <t>601-251</t>
  </si>
  <si>
    <t>Диско-лампа светодиодная e27, подставка с цоколем e27 в комплекте, 230 В</t>
  </si>
  <si>
    <t>04.10.2026</t>
  </si>
  <si>
    <t>601-259</t>
  </si>
  <si>
    <t>Диско-лампа светодиодная E27 с переходником в розетку, проекция звезды, 230В NEON-NIGHT</t>
  </si>
  <si>
    <t>601-253</t>
  </si>
  <si>
    <t>Диско-лампа светодиодная e27, 230 В</t>
  </si>
  <si>
    <t>601-252</t>
  </si>
  <si>
    <t>Диско-лампа светодиодная в компактном корпусе, 230 В</t>
  </si>
  <si>
    <t>601-250</t>
  </si>
  <si>
    <t>Диско-лампа светодиодная двойная Е27, подставка с цоколем Е27 в комплекте, 230 В</t>
  </si>
  <si>
    <t>601-256</t>
  </si>
  <si>
    <t>Диско-лампа Летающая тарелка 36LED, 230 В</t>
  </si>
  <si>
    <t>601-260</t>
  </si>
  <si>
    <t>Диско-лампа Летающая тарелка 48 LED, черный корпус, 230В NEON-NIGHT</t>
  </si>
  <si>
    <t>601-526</t>
  </si>
  <si>
    <t>Диско-шар (ночник-проектор) светодиодный с дистанционным управлением, USB NEON-NIGHT</t>
  </si>
  <si>
    <t>601-257</t>
  </si>
  <si>
    <t>Светодиодная система Диско-шар с пультом ДУ и Bluetooth, 230 В</t>
  </si>
  <si>
    <t>10. 1.11. 9 Проекторы</t>
  </si>
  <si>
    <t>601-268</t>
  </si>
  <si>
    <t>LED проектор Звезды 220 В NEON-NIGHT</t>
  </si>
  <si>
    <t>601-262</t>
  </si>
  <si>
    <t>LED проектор, 12 сменных слайдов, цвет RGBW, 12В</t>
  </si>
  <si>
    <t>601-263</t>
  </si>
  <si>
    <t>LED проектор, белые снежинки, 230В</t>
  </si>
  <si>
    <t>601-261</t>
  </si>
  <si>
    <t>Лазерный проектор NEON-NIGHT с пультом управления, различные режимы проекции, 230 В, трансформатор на 3,6 В</t>
  </si>
  <si>
    <t>601-291</t>
  </si>
  <si>
    <t>Лазерный проектор Метеоритный дождь с пультом ДУ NEON-NIGHT</t>
  </si>
  <si>
    <t>601-264</t>
  </si>
  <si>
    <t>Лазерный проектор с эффектом Северное сияние с пультом ДУ, 220 В</t>
  </si>
  <si>
    <t>601-525</t>
  </si>
  <si>
    <t>Светодиодный ночник-проектор Melony</t>
  </si>
  <si>
    <t>10. 1.11.10 Ночники</t>
  </si>
  <si>
    <t>503-003</t>
  </si>
  <si>
    <t>Силиконовый ночник Единорог USB с 3 режимами, RGB-свечение NEON-NIGHT</t>
  </si>
  <si>
    <t>503-004</t>
  </si>
  <si>
    <t>Силиконовый ночник Лебедь NEON-NIGHT</t>
  </si>
  <si>
    <t>503-018</t>
  </si>
  <si>
    <t>Силиконовый ночник Шарк</t>
  </si>
  <si>
    <t>10. 1.11.11 Подсвечники и свечи</t>
  </si>
  <si>
    <t>501-081</t>
  </si>
  <si>
    <t>Новогодняя горка 7 свечек, цвет корпуса: Белый, цвет свечения: ТЕПЛЫЙ БЕЛЫЙ</t>
  </si>
  <si>
    <t>501-082</t>
  </si>
  <si>
    <t>Новогодняя горка 7 свечек, цвет корпуса: Красный, цвет свечения: ТЕПЛЫЙ БЕЛЫЙ</t>
  </si>
  <si>
    <t>513-034</t>
  </si>
  <si>
    <t>Фигура на подставке Подсвечник со свечками 50 см</t>
  </si>
  <si>
    <t>10. 1.11.12 Акриловые фигурки</t>
  </si>
  <si>
    <t>513-341</t>
  </si>
  <si>
    <t>Акриловая светодиодная фигура Белка 17,5х12х18 см, 4,5 В, 3 батарейки AAA (не входят в комплект), 12 светодиодов NEON-NIGHT</t>
  </si>
  <si>
    <t>513-247</t>
  </si>
  <si>
    <t>Акриловая светодиодная фигура Белый мишка 20 см, 4,5 В, 3 батарейки AA (не входят в комплект), 20 светодиодов NEON-NIGHT</t>
  </si>
  <si>
    <t>513-316</t>
  </si>
  <si>
    <t>Акриловая светодиодная фигура Лисенок 28х15х26 см, батарейки 2хAA (не входят в комплект), 30 светодиодов NEON-NIGHT</t>
  </si>
  <si>
    <t>513-315</t>
  </si>
  <si>
    <t>Акриловая светодиодная фигура Медведь 34,5х12х17 см, 4,5 В, 3 батарейки AA (не входят в комплект), 24 светодиода NEON-NIGHT</t>
  </si>
  <si>
    <t>513-312</t>
  </si>
  <si>
    <t>Акриловая светодиодная фигура Медвежонок 24х11х18 см, 4,5 В, 3 батарейки AA (не входят в комплект), 16 светодиодов NEON-NIGHT</t>
  </si>
  <si>
    <t>513-311</t>
  </si>
  <si>
    <t>Акриловая светодиодная фигура Медвежонок 12х22х13 см, 4,5 В, 3 батарейки AA (не входят в комплект), 10 светодиодов NEON-NIGHT</t>
  </si>
  <si>
    <t>513-401</t>
  </si>
  <si>
    <t>Акриловая светодиодная фигура Овца 30см, 56 светодиодов, IP65, 24В NEON-NIGHT</t>
  </si>
  <si>
    <t>513-314</t>
  </si>
  <si>
    <t>Акриловая светодиодная фигура Олененок в шарфе 20х17х30 см, 24 светодиода, батарейки 2хAA (не входят в комплект) NEON-NIGHT</t>
  </si>
  <si>
    <t>513-323</t>
  </si>
  <si>
    <t>Акриловая светодиодная фигура Пингвиненок 19х14,5х25 см, 20 светодиодов, батарейки 2хAA (не входят в комплект) NEON-NIGHT</t>
  </si>
  <si>
    <t>513-273</t>
  </si>
  <si>
    <t>Акриловая светодиодная фигура Санта Клаус приветствует 30 см, 40 светодиодов, IP65 понижающий трансформатор в комплекте NEON-NIGHT</t>
  </si>
  <si>
    <t>513-270</t>
  </si>
  <si>
    <t>Акриловая светодиодная фигура Северный олень 45 см, 100 светодиодов, IP65, понижающий трансформатор в комплекте NEON-NIGHT</t>
  </si>
  <si>
    <t>10. 1.11.14 Елочные фигурки и макушки</t>
  </si>
  <si>
    <t>501-005</t>
  </si>
  <si>
    <t>Верхушка на елку Звезда 20см, цвет красный NEON-NIGHT</t>
  </si>
  <si>
    <t>501-006</t>
  </si>
  <si>
    <t>Светодиодная фигура на елку Звезда 22см, цвет свечения теплый белый, постоянное свечение, 230В NEON-NIGHT</t>
  </si>
  <si>
    <t>501-136</t>
  </si>
  <si>
    <t>Светодиодная фигура на елку Звезда 25см, цвет свечения теплый белый, постоянное свечение, питание 2хAA (не в комплекте) NEON-NIGHT</t>
  </si>
  <si>
    <t>501-007</t>
  </si>
  <si>
    <t>Светодиодная фигура на елку Звезда красная 15см, 10LED, постоянное свечение, 230В NEON-NIGHT</t>
  </si>
  <si>
    <t>501-002</t>
  </si>
  <si>
    <t>Фигура светодиодная Звезда на елку цвет: RGB, 10 LED, 17 см</t>
  </si>
  <si>
    <t>501-001</t>
  </si>
  <si>
    <t>Фигура светодиодная Звезда на елку цвет: RGB, 31 LED, 22 см</t>
  </si>
  <si>
    <t>10. 1.12 Еловые изделия</t>
  </si>
  <si>
    <t>10. 1.12. 1 Шлейфы</t>
  </si>
  <si>
    <t>307-214</t>
  </si>
  <si>
    <t>Гирлянда еловая 2,7м, диаметр 20см, ветки ПВХ NEON-NIGH</t>
  </si>
  <si>
    <t>307-213</t>
  </si>
  <si>
    <t>Гирлянда еловая 2,7м, диаметр 30см, ветки литые NEON-NIGHT</t>
  </si>
  <si>
    <t>307-212</t>
  </si>
  <si>
    <t>Гирлянда еловая 2,7м, диаметр 30см, ветки литые + ПВХ NEON-NIGHT</t>
  </si>
  <si>
    <t>307-211</t>
  </si>
  <si>
    <t>Гирлянда еловая 2,7м, диаметр 36см NEON-NIGHT</t>
  </si>
  <si>
    <t>307-115</t>
  </si>
  <si>
    <t>Гирлянда еловая 2,7м, диаметр 41см, теплое белое свечение 80 LED NEON-NIGHT</t>
  </si>
  <si>
    <t>307-121</t>
  </si>
  <si>
    <t>Гирлянда еловая белоснежная 2,7м, диаметр 36см NEON-NIGHT</t>
  </si>
  <si>
    <t>307-221</t>
  </si>
  <si>
    <t>Гирлянда еловая с шишками 2,7м, диаметр 36см, ПВХ NEON-NIGHT</t>
  </si>
  <si>
    <t>10. 1.12. 2 Венки</t>
  </si>
  <si>
    <t>307-141</t>
  </si>
  <si>
    <t>Еловый венок NEON-NIGHT Ø 30 см, ПВХ</t>
  </si>
  <si>
    <t>307-142</t>
  </si>
  <si>
    <t>Еловый венок NEON-NIGHT Ø 45см, ПВХ</t>
  </si>
  <si>
    <t>307-143</t>
  </si>
  <si>
    <t>Еловый венок NEON-NIGHT Ø 60см, ПВХ</t>
  </si>
  <si>
    <t>307-144</t>
  </si>
  <si>
    <t>Еловый венок с шишками NEON-NIGHT Ø 45см, Литой</t>
  </si>
  <si>
    <t>307-146</t>
  </si>
  <si>
    <t>Заснеженный еловый венок NEON-NIGHT Ø 30 см, ПВХ</t>
  </si>
  <si>
    <t>307-147</t>
  </si>
  <si>
    <t>Заснеженный еловый венок NEON-NIGHT Ø 45 см, ПВХ</t>
  </si>
  <si>
    <t>307-148</t>
  </si>
  <si>
    <t>Заснеженный еловый венок NEON-NIGHT Ø 60 см, ПВХ</t>
  </si>
  <si>
    <t>10. 1.12. 3 Елки искусственные</t>
  </si>
  <si>
    <t>533-331</t>
  </si>
  <si>
    <t>Елочка 30см в плетеном мешочке, ПВХ</t>
  </si>
  <si>
    <t>533-334</t>
  </si>
  <si>
    <t>Елочка 45см в пластиковом горшке, Литая</t>
  </si>
  <si>
    <t>533-332</t>
  </si>
  <si>
    <t>Елочка 45см в плетеном мешочке, ПВХ</t>
  </si>
  <si>
    <t>533-333</t>
  </si>
  <si>
    <t>Елочка 60см в плетеном мешочке, ПВХ</t>
  </si>
  <si>
    <t>533-325</t>
  </si>
  <si>
    <t>Елочка высота 30см, питание от USB, зеленая</t>
  </si>
  <si>
    <t>10. 1.13 Комплекты неона USB</t>
  </si>
  <si>
    <t>131-014-1</t>
  </si>
  <si>
    <t>Набор для создания неоновых фигур NEON-NIGHT Креатив 120 LED, 1 м, зеленый</t>
  </si>
  <si>
    <t>131-021-1</t>
  </si>
  <si>
    <t>Набор для создания неоновых фигур NEON-NIGHT Креатив 180 LED, 1.5 м, желтый</t>
  </si>
  <si>
    <t>131-034-1</t>
  </si>
  <si>
    <t>Набор для создания неоновых фигур NEON-NIGHT Креатив 240 LED, 2 м, цвет зеленый</t>
  </si>
  <si>
    <t>131-004-1</t>
  </si>
  <si>
    <t>Набор для создания неоновых фигур NEON-NIGHT Креатив 90 LED, 0.75 м, зеленый</t>
  </si>
  <si>
    <t>10. 2 OUTDOOR - Конечные потребители и малый бизнес</t>
  </si>
  <si>
    <t>10. 2. 1 Уличные гирлянды IP44</t>
  </si>
  <si>
    <t>255-545</t>
  </si>
  <si>
    <t>Гирлянда светодиодная Айсикл (бахрома) 10х0,6м, с эффектом мерцания, прозрачный провод, IP44, 230В, диоды БЕЛЫЕ, 238LED NEON-NIGHT</t>
  </si>
  <si>
    <t>255-546</t>
  </si>
  <si>
    <t>Гирлянда светодиодная Айсикл (бахрома) 10х0,6м, с эффектом мерцания, прозрачный провод, IP44, 230В, диоды ТЕПЛЫЕ БЕЛЫЕ, 238LED NEON-NIGHT</t>
  </si>
  <si>
    <t>255-595</t>
  </si>
  <si>
    <t>Гирлянда светодиодная Айсикл (бахрома) 25х0,6м, c эффектом мерцания, прозрачный провод, IP44, 230В, диоды БЕЛЫЕ, 588LED NEON-NIGHT</t>
  </si>
  <si>
    <t>255-596</t>
  </si>
  <si>
    <t>Гирлянда светодиодная Айсикл (бахрома) 25х0,6м, c эффектом мерцания, прозрачный провод, IP44, 230В, диоды ТЕПЛЫЕ БЕЛЫЕ, 588LED NEON-NIGHT</t>
  </si>
  <si>
    <t>255-525</t>
  </si>
  <si>
    <t>Гирлянда светодиодная Айсикл (бахрома) 5х0,6м, с эффектом мерцания, прозрачный провод, IP44, 230В, диоды БЕЛЫЕ, 112LED NEON-NIGHT</t>
  </si>
  <si>
    <t>255-526</t>
  </si>
  <si>
    <t>Гирлянда светодиодная Айсикл (бахрома) 5х0,6м, с эффектом мерцания, прозрачный провод, IP44, 230В, диоды ТЕПЛЫЕ БЕЛЫЕ, 112LED NEON-NIGHT</t>
  </si>
  <si>
    <t>303-609</t>
  </si>
  <si>
    <t>Гирлянда Мультишарики 20м, 200LED, диаметр 15мм, IP44, зеленый провод, свечение мульти (RG/RB), мигание, 230В NEON-NIGHT</t>
  </si>
  <si>
    <t>235-515</t>
  </si>
  <si>
    <t>Гирлянда Дождь светодиодный 2х1,5м, эффект мерцания, прозрачный провод, IP44, 230В, диоды БЕЛЫЕ, 150LED NEON-NIGHT</t>
  </si>
  <si>
    <t>235-516</t>
  </si>
  <si>
    <t>Гирлянда Дождь светодиодный 2х1,5м, эффект мерцания, прозрачный провод, IP44, 230В, диоды ТЕПЛЫЕ БЕЛЫЕ, 150LED NEON-NIGHT</t>
  </si>
  <si>
    <t>235-555</t>
  </si>
  <si>
    <t>Гирлянда Дождь светодиодный 2х3м, эффект мерцания, прозрачный провод, IP44, 230В, диоды БЕЛЫЕ, 300LED NEON-NIGHT</t>
  </si>
  <si>
    <t>235-556</t>
  </si>
  <si>
    <t>Гирлянда Дождь светодиодный 2х3м, эффект мерцания, прозрачный провод, IP44, 230В, диоды ТЕПЛЫЕ БЕЛЫЕ, 300LED NEON-NIGHT</t>
  </si>
  <si>
    <t>235-525</t>
  </si>
  <si>
    <t>Гирлянда светодиодная Занавес 3х2м 264 LED БЕЛЫЙ прозрачный ПВХ IP44 эффект мерцания 22 нити 12 LED/нить NEON-NIGHT</t>
  </si>
  <si>
    <t>235-529</t>
  </si>
  <si>
    <t>Гирлянда светодиодная Занавес 3х2м 264 LED МУЛЬТИКОЛОР прозрачный ПВХ IP44 эффект мерцания 22 нити 12 LED/нить NEON-NIGHT</t>
  </si>
  <si>
    <t>235-523</t>
  </si>
  <si>
    <t>Гирлянда светодиодная Занавес 3х2м 264 LED СИНИЙ прозрачный ПВХ IP44 эффект мерцания 22 нити 12 LED/нить NEON-NIGHT</t>
  </si>
  <si>
    <t>235-526</t>
  </si>
  <si>
    <t>Гирлянда светодиодная Занавес 3х2м 264 LED ТЕПЛЫЙ БЕЛЫЙ прозрачный ПВХ IP44 эффект мерцания 22 нити 12 LED/нить NEON-NIGHT</t>
  </si>
  <si>
    <t>303-509-6</t>
  </si>
  <si>
    <t>Гирлянда Мультишарики Ø17,5 мм, 10 м, 80 LED МУЛЬТИ, темно-зеленый ПВХ, IP44, динамика, 230В не соединяется NEON-NIGHT</t>
  </si>
  <si>
    <t>305-525</t>
  </si>
  <si>
    <t>Гирлянда Нить 10м, с эффектом мерцания, прозрачный провод, IP44, 230В, диоды БЕЛЫЕ, 75LED NEON-NIGHT</t>
  </si>
  <si>
    <t>305-526</t>
  </si>
  <si>
    <t>Гирлянда Нить 10м, с эффектом мерцания, прозрачный провод, IP44, 230В, диоды ТЕПЛЫЕ БЕЛЫЕ, 75LED NEON-NIGHT</t>
  </si>
  <si>
    <t>305-565</t>
  </si>
  <si>
    <t>Гирлянда Нить 20м, с эффектом мерцания, прозрачный провод, IP44, 230В, диоды БЕЛЫЕ, 150LED NEON-NIGHT</t>
  </si>
  <si>
    <t>305-566</t>
  </si>
  <si>
    <t>Гирлянда Нить 20м, с эффектом мерцания, прозрачный провод, IP44, 230В, диоды ТЕПЛЫЕ БЕЛЫЕ, 150LED NEON-NIGHT</t>
  </si>
  <si>
    <t>10. 2. 2 Уличная гирлянда Роса</t>
  </si>
  <si>
    <t>303-259</t>
  </si>
  <si>
    <t>Гирлянда Роса 10м, 100LED, RGB, IP44, на батарейках 3хАА, с пультом 44 режима NEON-NIGHT</t>
  </si>
  <si>
    <t>303-256</t>
  </si>
  <si>
    <t>Гирлянда Роса 10м, 100LED, теплый белый, IP44, на батарейках 3хАА, с пультом 8 режимов NEON-NIGHT</t>
  </si>
  <si>
    <t>303-257</t>
  </si>
  <si>
    <t>Гирлянда Роса 20м, 200LED, теплый белый, IP44, на батарейках 3хАА, с пультом 8 режимов NEON-NIGHT</t>
  </si>
  <si>
    <t>303-236</t>
  </si>
  <si>
    <t>Гирлянда Роса с трансформатором 100 м, 1000 LED, теплое белое свечение NEON-NIGHT</t>
  </si>
  <si>
    <t>303-209</t>
  </si>
  <si>
    <t>Гирлянда Роса с трансформатором 20 м, 200 LED, цвет свечения мультиколор NEON-NIGHT</t>
  </si>
  <si>
    <t>303-215</t>
  </si>
  <si>
    <t>Гирлянда Роса с трансформатором 30 м, 300 LED, белое свечение NEON-NIGHT</t>
  </si>
  <si>
    <t>303-216</t>
  </si>
  <si>
    <t>Гирлянда Роса с трансформатором 30 м, 300 LED, теплое белое свечение NEON-NIGHT</t>
  </si>
  <si>
    <t>303-205</t>
  </si>
  <si>
    <t>Гирлянда Роса с трансформатором, 20 м, 200 LED, белое свечение NEON-NIGHT</t>
  </si>
  <si>
    <t>303-245</t>
  </si>
  <si>
    <t>Гирлянда роса Фейерверк с трансформатором 20 м, 1000 LED, белое свечение</t>
  </si>
  <si>
    <t>303-455</t>
  </si>
  <si>
    <t>Гирлянда светодиодная Роса Фейерверк c трансформатором 20м 2000 LED БЕЛЫЙ IP44 230В NEON-NIGHT</t>
  </si>
  <si>
    <t>303-459</t>
  </si>
  <si>
    <t>Гирлянда светодиодная Роса Фейерверк c трансформатором 20м 2000 LED МУЛЬТИКОЛОР IP44 230В NEON-NIGHT</t>
  </si>
  <si>
    <t>303-456</t>
  </si>
  <si>
    <t>Гирлянда светодиодная Роса Фейерверк c трансформатором 20м 2000 LED ТЕПЛЫЙ БЕЛЫЙ IP44 230В NEON-NIGHT</t>
  </si>
  <si>
    <t>303-425</t>
  </si>
  <si>
    <t>Гирлянда светодиодная Роса Фейерверк c трансформатором 6м 600 LED БЕЛЫЙ IP44 230В с пультом NEON-NIGHT</t>
  </si>
  <si>
    <t>303-429</t>
  </si>
  <si>
    <t>Гирлянда светодиодная Роса Фейерверк c трансформатором 6м 600 LED МУЛЬТИКОЛОР IP44 230В с пультом NEON-NIGHT</t>
  </si>
  <si>
    <t>303-426</t>
  </si>
  <si>
    <t>Гирлянда светодиодная Роса Фейерверк c трансформатором 6м 600 LED ТЕПЛЫЙ БЕЛЫЙ IP44 230В с пультом NEON-NIGHT</t>
  </si>
  <si>
    <t>303-428</t>
  </si>
  <si>
    <t>Гирлянда светодиодная Роса Фейерверк c трансформатором 6м 600 LED ЯНТАРНЫЙ IP44 230В с пультом NEON-NIGHT</t>
  </si>
  <si>
    <t>10. 2. 3 Комплекты Белт-лайта</t>
  </si>
  <si>
    <t>10. 2. 3. 1 Комплекты Белт-лайта с лампами</t>
  </si>
  <si>
    <t>331-305</t>
  </si>
  <si>
    <t>Набор Белт-Лайт 10 м, белый каучук, 30 ламп, цвет Белый, IP65, соединяется</t>
  </si>
  <si>
    <t>331-302</t>
  </si>
  <si>
    <t>Набор Белт-Лайт 10 м, белый каучук, 30 ламп, цвет Красный, IP65, соединяется</t>
  </si>
  <si>
    <t>331-306</t>
  </si>
  <si>
    <t>Набор Белт-Лайт 10 м, белый каучук, 30 ламп, цвет Теплый белый, IP65, соединяется</t>
  </si>
  <si>
    <t>331-325</t>
  </si>
  <si>
    <t>Набор Белт-Лайт 10 м, черный каучук, 30 ламп, цвет Белый, IP65, соединяется</t>
  </si>
  <si>
    <t>331-322</t>
  </si>
  <si>
    <t>Набор Белт-Лайт 10 м, черный каучук, 30 ламп, цвет Красный, IP65, соединяется</t>
  </si>
  <si>
    <t>331-323</t>
  </si>
  <si>
    <t>Набор Белт-Лайт 10 м, черный каучук, 30 ламп, цвет Синий, IP65, соединяется</t>
  </si>
  <si>
    <t>331-326</t>
  </si>
  <si>
    <t>Набор Белт-Лайт 10 м, черный каучук, 30 ламп, цвет Теплый белый, IP65, соединяется</t>
  </si>
  <si>
    <t>331-357</t>
  </si>
  <si>
    <t>Уличная гирлянда Лофт 10м, черный каучук, 20 прозрачных ламп х 5 LED, теплый белый, влагостойкая IP44</t>
  </si>
  <si>
    <t>331-355</t>
  </si>
  <si>
    <t>Уличная гирлянда Лофт 10м, черный каучук, 20 прозрачных ламп, теплый белый, влагостойкая IP65</t>
  </si>
  <si>
    <t>10. 2. 3. 2 Комплекты Белт-лайта без ламп</t>
  </si>
  <si>
    <t>331-332</t>
  </si>
  <si>
    <t>Белт-Лайт 10м, белый каучук, шаг 50см, 20 патронов, IP44</t>
  </si>
  <si>
    <t>331-336</t>
  </si>
  <si>
    <t>Белт-Лайт 10м, белый каучук, шаг 50см, 20 подвесных патронов, IP44</t>
  </si>
  <si>
    <t>331-334</t>
  </si>
  <si>
    <t>Белт-Лайт 20м, белый каучук, шаг 50см, 40 патронов, IP44</t>
  </si>
  <si>
    <t>331-338</t>
  </si>
  <si>
    <t>Белт-Лайт 20м, белый каучук, шаг 50см, 40 подвесных патронов, IP44</t>
  </si>
  <si>
    <t>331-333</t>
  </si>
  <si>
    <t>Белт-Лайт 20м, черный каучук, шаг 50см, 40 патронов, IP44</t>
  </si>
  <si>
    <t>10. 2. 4 Комплекты Дюралайта</t>
  </si>
  <si>
    <t>245-119</t>
  </si>
  <si>
    <t>Дюралайт LED , свечение с динамикой (2W) - RGB Ø13мм, 36LED/м, 14м</t>
  </si>
  <si>
    <t>245-109</t>
  </si>
  <si>
    <t>Дюралайт LED, свечение с динамикой (2W) - RGB Ø13мм, 36LED/м, 6м</t>
  </si>
  <si>
    <t>123-031</t>
  </si>
  <si>
    <t>Контроллер для наборов трехжильного светодиодного дюралайта 6м и 14м, до 30м</t>
  </si>
  <si>
    <t>121-329-10</t>
  </si>
  <si>
    <t>Дюралайт LED фиксинг (2W), 24 LED/м, мульти (RYGB), 10 м</t>
  </si>
  <si>
    <t>121-329-20</t>
  </si>
  <si>
    <t>Дюралайт LED фиксинг (2W), 24 LED/м, мульти (RYGB), 20 м</t>
  </si>
  <si>
    <t>121-326-10</t>
  </si>
  <si>
    <t>Дюралайт LED фиксинг (2W), 24 LED/м, теплый белый, 10 м</t>
  </si>
  <si>
    <t>121-326-20</t>
  </si>
  <si>
    <t>Дюралайт LED фиксинг (2W), 24 LED/м, теплый белый, 20 м</t>
  </si>
  <si>
    <t>121-323-14</t>
  </si>
  <si>
    <t>Дюралайт LED, фиксинг (2W), 24 LED/м, белый, 25 м</t>
  </si>
  <si>
    <t>121-328-14</t>
  </si>
  <si>
    <t>Дюралайт LED, фиксинг (2W), 24 LED/м, мультиколор (RYGB), 25 м</t>
  </si>
  <si>
    <t>121-327-14</t>
  </si>
  <si>
    <t>Дюралайт LED, фиксинг (2W), 24 LED/м, теплый белый, 25 м</t>
  </si>
  <si>
    <t>121-326-06</t>
  </si>
  <si>
    <t>Дюралайт LED, свечение с динамикой (3W), 24 LED/м, ТЕПЛЫЙ БЕЛЫЙ, 6м</t>
  </si>
  <si>
    <t>10. 2. 5 Комплекты Гибкого неона</t>
  </si>
  <si>
    <t>131-003</t>
  </si>
  <si>
    <t>Гибкий неон NEON-NIGHT SMD (8х16 мм) односторонний белый, 120 LED/м, набор 10 м (с комплектом подключения), IP65</t>
  </si>
  <si>
    <t>131-007</t>
  </si>
  <si>
    <t>Гибкий неон NEON-NIGHT LED SMD 8х16 мм, односторонний белый, 120 LED/м, 20 м</t>
  </si>
  <si>
    <t>131-004</t>
  </si>
  <si>
    <t>Гибкий неон NEON-NIGHT SMD (8х16 мм) односторонний теплый белый, 120 LED/м, набор 10 м (с комплектом подключения), IP65</t>
  </si>
  <si>
    <t>131-008</t>
  </si>
  <si>
    <t>Гибкий неон NEON-NIGHT LED SMD 8х16 мм, односторонний теплый белый, 120 LED/м, 20 м</t>
  </si>
  <si>
    <t>131-005</t>
  </si>
  <si>
    <t>Гибкий неон LED SMD 8х16 мм, односторонний, белый, 120 LED/м, 5 м</t>
  </si>
  <si>
    <t>131-006</t>
  </si>
  <si>
    <t>Гибкий неон LED SMD 8х16 мм, односторонний, теплый белый, 120 LED/м, 5 м</t>
  </si>
  <si>
    <t>10. 2. 6 Деревья</t>
  </si>
  <si>
    <t>531-109</t>
  </si>
  <si>
    <t>Светодиодное дерево Сакура, высота 1,5 м, диаметр кроны 1,4м, RGB светодиоды, контроллер, IP65, понижающий трансформатор в комплекте NEON-NIGHT</t>
  </si>
  <si>
    <t>531-105</t>
  </si>
  <si>
    <t>Светодиодное дерево Сакура, высота 1,5м, диаметр кроны 1,8м, белые светодиоды, IP 65, понижающий трансформатор в комплекте NEON-NIGHT</t>
  </si>
  <si>
    <t>531-104</t>
  </si>
  <si>
    <t>Светодиодное дерево Сакура, высота 1,5м, диаметр кроны 1,8м, зеленые светодиоды, IP 65, понижающий трансформатор в комплекте NEON-NIGHT</t>
  </si>
  <si>
    <t>531-102</t>
  </si>
  <si>
    <t>Светодиодное дерево Сакура, высота 1,5м, диаметр кроны 1,8м, красные светодиоды, IP 65, понижающий трансформатор в комплекте NEON-NIGHT</t>
  </si>
  <si>
    <t>531-103</t>
  </si>
  <si>
    <t>Светодиодное дерево Сакура, высота 1,5м, диаметр кроны 1,8м, синие светодиоды, IP 65, понижающий трансформатор в комплекте NEON-NIGHT</t>
  </si>
  <si>
    <t>531-106</t>
  </si>
  <si>
    <t>Светодиодное дерево Сакура, высота 1,5м, диаметр кроны 1,8м, фиолетовые светодиоды, IP 65, понижающий трансформатор в комплекте NEON-NIGHT</t>
  </si>
  <si>
    <t>531-101</t>
  </si>
  <si>
    <t>Светодиодное дерево Сакура высота 1,5м, диаметр кроны 1,8м, желтые светодиоды, IP 65, понижающий трансформатор в комплекте NEON-NIGHT</t>
  </si>
  <si>
    <t>531-324</t>
  </si>
  <si>
    <t>Светодиодное дерево Сакура, высота 2,4 м, диаметр кроны 1,7 м, зеленые диоды, IP65, понижающий трансформатор в комплекте, NEON-NIGHT</t>
  </si>
  <si>
    <t>531-322</t>
  </si>
  <si>
    <t>Светодиодное дерево Сакура, высота 2,4 м, диаметр кроны 1,7м, красные диоды, IP65, понижающий трансформатор в комплекте, NEON-NIGHT</t>
  </si>
  <si>
    <t>1 - 150 дней</t>
  </si>
  <si>
    <t>531-125</t>
  </si>
  <si>
    <t>Светодиодное дерево Сакура, высота 2,4 м, диаметр кроны 2,0 м, белые светодиоды, IP65, понижающий трансформатор в комплекте NEON-NIGHT</t>
  </si>
  <si>
    <t>531-121</t>
  </si>
  <si>
    <t>Светодиодное дерево Сакура, высота 2,4м, диаметр кроны 2,0м, желтые светодиоды, IP65, понижающий трансформатор в комплекте NEON-NIGHT</t>
  </si>
  <si>
    <t>531-124</t>
  </si>
  <si>
    <t>Светодиодное дерево Сакура, высота 2,4м, диаметр кроны 2,0м, зеленые светодиоды, IP65, понижающий трансформатор в комплекте NEON-NIGHT</t>
  </si>
  <si>
    <t>531-122</t>
  </si>
  <si>
    <t>Светодиодное дерево Сакура, высота 2,4м, диаметр кроны 2,0, красные светодиоды, IP 65, понижающий трансформатор в комплекте NEON-NIGHT</t>
  </si>
  <si>
    <t>531-123</t>
  </si>
  <si>
    <t>Светодиодное дерево Сакура, высота 2,4м, диаметр кроны 2,0м, синие светодиоды, IP 65, понижающий трансформатор в комплекте NEON-NIGHT</t>
  </si>
  <si>
    <t>531-126</t>
  </si>
  <si>
    <t>Светодиодное Дерево Сакура, высота 2,4м, диаметр кроны 2,0м, фиолетовые диоды, IP 65, понижающий трансформатор в комплекте NEON-NIGHT</t>
  </si>
  <si>
    <t>531-129</t>
  </si>
  <si>
    <t>Светодиодное дерево Сакура, высота 2,4м, диаметр кроны 2,0м, RGB светодиоды, контроллер, IP65, понижающий трансформатор в комплекте NEON-NIGHT</t>
  </si>
  <si>
    <t>531-215</t>
  </si>
  <si>
    <t>Светодиодное дерево Сакура, 1728LED, высота 3,6м, диаметр кроны 3,0м, белые светодиоды, IP 65, понижающий трансформатор в комплекте, NEON-NIGHT</t>
  </si>
  <si>
    <t>531-213</t>
  </si>
  <si>
    <t>Светодиодное дерево Сакура, высота 3,6м, диаметр кроны 3,0, синие светодиоды, IP 65, понижающий трансформатор в комплекте, NEON-NIGHT</t>
  </si>
  <si>
    <t>531-216</t>
  </si>
  <si>
    <t>Светодиодное дерево Сакура, 1728LED, высота 3,6м, диаметр кроны 3,0м, фиолетовые светодиоды, IP 65, понижающий трансформатор в комплекте, NEON-NIGHT</t>
  </si>
  <si>
    <t>531-235</t>
  </si>
  <si>
    <t>Светодиодное дерево Сакура, 6921LED, высота 3,6м, диаметр кроны 3,0м, белые светодиоды, IP 65, понижающий трансформатор в комплекте, NEON-NIGHT</t>
  </si>
  <si>
    <t>531-232</t>
  </si>
  <si>
    <t>Светодиодное дерево Сакура, высота 3,6м, диаметр кроны3,0м, красные светодиоды, IP65, понижающий трансформатор в комплекте, NEON-NIGHT</t>
  </si>
  <si>
    <t>531-233</t>
  </si>
  <si>
    <t>Светодиодное дерево Сакура, высота 3,6м, диаметр кроны 3,0м, синие светодиоды, IP65, понижающий трансформатор в комплекте, NEON-NIGHT</t>
  </si>
  <si>
    <t>531-236</t>
  </si>
  <si>
    <t>Светодиодное дерево Сакура, 6921LED, высота 3,6м, диаметр кроны 3,0м, фиолетовые светодиоды, IP 65, понижающий трансформатор в комплекте, NEON-NIGHT</t>
  </si>
  <si>
    <t>531-234</t>
  </si>
  <si>
    <t>Светодиодное дерево Сакура, высота 3,6м, диаметр кроны 3,0м, зеленые светодиоды, IP 65, понижающий трансформатор в комплекте, NEON-NIGHT</t>
  </si>
  <si>
    <t>10. 2. 7 Уличные фигуры</t>
  </si>
  <si>
    <t>10. 2. 7. 1 Акриловые фигуры средние</t>
  </si>
  <si>
    <t>513-283</t>
  </si>
  <si>
    <t>Акриловая светодиодная фигура Снеговик в синих варежках 31х25х59 см, IP65, понижающий трансформатор в комплекте NEON-NIGHT</t>
  </si>
  <si>
    <t>10. 2. 7. 2 Надувные фигуры</t>
  </si>
  <si>
    <t>511-114</t>
  </si>
  <si>
    <t>3D фигура надувная Дед Мороз приветствует, размер 180 см, внутренняя подсветка 5 LED, компрессор с адаптером 12В, IP 65 NEON-NIGHT</t>
  </si>
  <si>
    <t>511-122</t>
  </si>
  <si>
    <t>3D фигура надувная Снеговик с метлой, размер 180 см, внутренняя подсветка 4 LED, компрессор с адаптером 12В, IP 65 NEON-NIGHT</t>
  </si>
  <si>
    <t>511-056</t>
  </si>
  <si>
    <t>3D фигура надувная Снегурочка, размер 300см, внутренняя подсветка 9LED, компрессор с адаптером 12В, IP44 NEON-NIGHT</t>
  </si>
  <si>
    <t>10. 2. 7. 3 Каркасные фигуры</t>
  </si>
  <si>
    <t>501-375</t>
  </si>
  <si>
    <t>Светодиодная фигура бегущий Олень 88см, цвет свечения теплый белый, питание от трансформатора, IP44 NEON-NIGHT</t>
  </si>
  <si>
    <t>501-371</t>
  </si>
  <si>
    <t>Светодиодная фигура Олененок 107см, цвет свечения теплый белый, питание от трансформатора, IP44 NEON-NIGHT</t>
  </si>
  <si>
    <t>501-372</t>
  </si>
  <si>
    <t>Светодиодная фигура Олениха 155см, цвет свечения теплый белый, питание от трансформатора, IP44 NEON-NIGHT</t>
  </si>
  <si>
    <t>501-373</t>
  </si>
  <si>
    <t>Светодиодная фигура Олень 180см, цвет свечения теплый белый, питание от трансформатора, IP44 NEON-NIGHT</t>
  </si>
  <si>
    <t>10. 3 PROFESSIONAL - Профессиональные проекты</t>
  </si>
  <si>
    <t>10. 3. 1 Дюралайт</t>
  </si>
  <si>
    <t>10. 3. 1. 1 Дюралайт с постоянным свечением</t>
  </si>
  <si>
    <t>121-125-3</t>
  </si>
  <si>
    <t>Дюралайт LED двухжильный 230В 10мм 24 LED/м БЕЛЫЙ постоянное свечение модуль 1м бухта 100м NEON-NIGHT</t>
  </si>
  <si>
    <t>121-123-3</t>
  </si>
  <si>
    <t>Дюралайт LED двухжильный 230В 10мм 24 LED/м СИНИЙ постоянное свечение модуль 2м бухта 100м NEON-NIGHT</t>
  </si>
  <si>
    <t>121-126-3</t>
  </si>
  <si>
    <t>Дюралайт LED двухжильный 230В 10мм 24 LED/м ТЕПЛЫЙ БЕЛЫЙ постоянное свечение модуль 2м бухта 100м NEON-NIGHT</t>
  </si>
  <si>
    <t>121-125-4</t>
  </si>
  <si>
    <t>Дюралайт LED двухжильный 230В 13мм 24 LED/м БЕЛЫЙ постоянное свечение модуль 1м бухта 100м NEON-NIGHT</t>
  </si>
  <si>
    <t>121-124-4</t>
  </si>
  <si>
    <t>Дюралайт LED двухжильный 230В 13мм 24 LED/м ЗЕЛЕНЫЙ постоянное свечение модуль 2м бухта 100м NEON-NIGHT</t>
  </si>
  <si>
    <t>121-123-4</t>
  </si>
  <si>
    <t>Дюралайт LED двухжильный 230В 13мм 24 LED/м СИНИЙ постоянное свечение модуль 2м бухта 100м NEON-NIGHT</t>
  </si>
  <si>
    <t>121-126-4</t>
  </si>
  <si>
    <t>Дюралайт LED двухжильный 230В 13мм 24 LED/м ТЕПЛЫЙ БЕЛЫЙ постоянное свечение модуль 1м бухта 100м NEON-NIGHT</t>
  </si>
  <si>
    <t>121-122-6</t>
  </si>
  <si>
    <t>Дюралайт LED двухжильный 230В 13мм 30 LED/м КРАСНЫЙ постоянное свечение модуль 1м бухта 100м NEON-NIGHT</t>
  </si>
  <si>
    <t>121-125</t>
  </si>
  <si>
    <t>Дюралайт LED двухжильный 230В 13мм 36 LED/м БЕЛЫЙ постоянное свечение модуль 1м бухта 100м NEON-NIGHT</t>
  </si>
  <si>
    <t>121-121</t>
  </si>
  <si>
    <t>Дюралайт LED двухжильный 230В 13мм 36 LED/м ЖЕЛТЫЙ постоянное свечение модуль 1м бухта 100м NEON-NIGHT</t>
  </si>
  <si>
    <t>121-124</t>
  </si>
  <si>
    <t>Дюралайт LED двухжильный 230В 13мм 36 LED/м ЗЕЛЕНЫЙ постоянное свечение модуль 1м бухта 100м NEON-NIGHT</t>
  </si>
  <si>
    <t>121-122</t>
  </si>
  <si>
    <t>Дюралайт LED двухжильный 230В 13мм 36 LED/м КРАСНЫЙ постоянное свечение модуль 1м бухта 100м NEON-NIGHT</t>
  </si>
  <si>
    <t>121-123</t>
  </si>
  <si>
    <t>Дюралайт LED двухжильный 230В 13мм 36 LED/м СИНИЙ постоянное свечение модуль 1м бухта 100м NEON-NIGHT</t>
  </si>
  <si>
    <t>121-126</t>
  </si>
  <si>
    <t>Дюралайт LED двухжильный 230В 13мм 36 LED/м ТЕПЛЫЙ БЕЛЫЙ постоянное свечение модуль 1м бухта 100м NEON-NIGHT</t>
  </si>
  <si>
    <t>121-155</t>
  </si>
  <si>
    <t>Дюралайт LED двухжильный 24В 13мм 36 LED/м БЕЛЫЙ постоянное свечение модуль 0,5м бухта 100м NEON-NIGHT</t>
  </si>
  <si>
    <t>121-166</t>
  </si>
  <si>
    <t>Дюралайт LED двухжильный 24В 13мм 36 LED/м ТЕПЛЫЙ БЕЛЫЙ постоянное свечение модуль 0,5м бухта 100м NEON-NIGHT</t>
  </si>
  <si>
    <t>10. 3. 1. 2 Дюралайт с динамикой</t>
  </si>
  <si>
    <t>121-325-4</t>
  </si>
  <si>
    <t>Дюралайт LED трехжильный 230В 13мм 24 LED/м БЕЛЫЙ свечение с динамикой модуль 2м бухта 100м NEON-NIGHT</t>
  </si>
  <si>
    <t>121-329-4</t>
  </si>
  <si>
    <t>Дюралайт LED трехжильный 230В 13мм 24 LED/м МУЛЬТИ (RYGB) свечение с динамикой модуль 4м бухта 100м NEON-NIGHT Эконом</t>
  </si>
  <si>
    <t>121-323-4</t>
  </si>
  <si>
    <t>Дюралайт LED трехжильный 230В 13мм 24 LED/м СИНИЙ свечение с динамикой модуль 4м бухта 100м NEON-NIGHT Эконом</t>
  </si>
  <si>
    <t>121-326-4</t>
  </si>
  <si>
    <t>Дюралайт LED трехжильный 230В 13мм 24 LED/м ТЕПЛЫЙ БЕЛЫЙ свечение с динамикой модуль 4м бухта 100м NEON-NIGHT Эконом</t>
  </si>
  <si>
    <t>121-325</t>
  </si>
  <si>
    <t>Дюралайт LED трехжильный 230В 13мм 36 LED/м БЕЛЫЙ свечение с динамикой модуль 1м бухта 100м NEON-NIGHT</t>
  </si>
  <si>
    <t>121-322</t>
  </si>
  <si>
    <t>Дюралайт LED трехжильный 230В 13мм 36 LED/м КРАСНЫЙ свечение с динамикой модуль 1м бухта 100м NEON-NIGHT</t>
  </si>
  <si>
    <t>121-329</t>
  </si>
  <si>
    <t>Дюралайт LED трехжильный 230В 13мм 36 LED/м МУЛЬТИ (RYGB) свечение с динамикой модуль 1м бухта 100м NEON-NIGHT</t>
  </si>
  <si>
    <t>121-323</t>
  </si>
  <si>
    <t>Дюралайт LED трехжильный 230В 13мм 36LED/м СИНИЙ свечение с динамикой модуль 4м бухта 100м NEON-NIGHT</t>
  </si>
  <si>
    <t>10. 3. 1. 3 Дюралайт с мерцанием</t>
  </si>
  <si>
    <t>121-255</t>
  </si>
  <si>
    <t>Дюралайт LED двухжильный 230В 13мм 36 LED/м БЕЛЫЙ эффект мерцания модуль 1м бухта 100м NEON-NIGHT</t>
  </si>
  <si>
    <t>121-253</t>
  </si>
  <si>
    <t>Дюралайт LED двухжильный 230В 13мм 36 LED/м СИНИЙ эффект мерцания модуль 1м бухта 100м NEON-NIGHT</t>
  </si>
  <si>
    <t>121-256</t>
  </si>
  <si>
    <t>Дюралайт LED двухжильный 230В 13мм 36 LED/м ТЕПЛЫЙ БЕЛЫЙ эффект мерцания модуль 2м бухта 100м NEON-NIGHT</t>
  </si>
  <si>
    <t>10. 3. 1. 4 Аксессуары для дюралайта</t>
  </si>
  <si>
    <t>124-311</t>
  </si>
  <si>
    <t>L - коннектор для двухжильного дюралайта ∅13мм (цена за 1 шт.)</t>
  </si>
  <si>
    <t>124-321</t>
  </si>
  <si>
    <t>L - коннектор для трехжильного дюралайта ∅13мм (цена за 1 шт.)</t>
  </si>
  <si>
    <t>124-221</t>
  </si>
  <si>
    <t>T - коннектор для трехжильного дюралайта ∅13мм (цена за 1 шт.)</t>
  </si>
  <si>
    <t>104-200</t>
  </si>
  <si>
    <t>Заглушка для дюралайта ∅10 мм (цена за 1 шт.)</t>
  </si>
  <si>
    <t>104-201</t>
  </si>
  <si>
    <t>Заглушка для дюралайта ∅13 мм (цена за 1 шт.)</t>
  </si>
  <si>
    <t>134-039</t>
  </si>
  <si>
    <t>Заглушка для дюралайта диаметр 13 мм, гибкого неона 12х12мм (цена за 1 шт.)</t>
  </si>
  <si>
    <t>104-312</t>
  </si>
  <si>
    <t>Клипсы крокодил ∅13 мм (100 шт. в упаковке)</t>
  </si>
  <si>
    <t>124-111</t>
  </si>
  <si>
    <t>Коннектор для двухжильного дюралайта ∅13мм (цена за 1 шт.)</t>
  </si>
  <si>
    <t>124-121</t>
  </si>
  <si>
    <t>Коннектор для трехжильного дюралайта ∅13мм (цена за 1 шт.)</t>
  </si>
  <si>
    <t>124-018</t>
  </si>
  <si>
    <t>Коннектор с проводом для двухжильного дюралайта, диаметр 13мм (коннектор с иголкой, заглушка) NEON-NIGHT</t>
  </si>
  <si>
    <t>123-034</t>
  </si>
  <si>
    <t>Контроллер для трехжильного светодиодного дюралайта ∅13 мм, до 100 м</t>
  </si>
  <si>
    <t>123-032</t>
  </si>
  <si>
    <t>Контроллер для трехжильного светодиодного дюралайта ∅13 мм, до 50 м</t>
  </si>
  <si>
    <t>104-411</t>
  </si>
  <si>
    <t>Профиль пластиковый для дюралайта, 1 м (цена за 1 шт.)</t>
  </si>
  <si>
    <t>124-021-3</t>
  </si>
  <si>
    <t>Установочный набор для дюралайта 2W диаметр 10мм (блок питания ПВХ с диодным мостом и вилкой, заглушка, игла, термоусадка) до 100м</t>
  </si>
  <si>
    <t>124-011</t>
  </si>
  <si>
    <t>Установочный набор для дюралайта 2W диаметр 13мм (блок питания ПВХ с диодным мостом и вилкой, заглушка, игла, термоусадка) до 100м</t>
  </si>
  <si>
    <t>124-021</t>
  </si>
  <si>
    <t>Установочный набор для дюралайта 3W диаметр 13мм (блок питания ПВХ с диодным мостом и вилкой, заглушка, игла, термоусадка) до 100м</t>
  </si>
  <si>
    <t>10. 3. 2 Гибкий неон</t>
  </si>
  <si>
    <t>10. 3. 2. 1 Гибкий неон 12х26 мм</t>
  </si>
  <si>
    <t>131-013</t>
  </si>
  <si>
    <t>Гибкий неон DIP 12x26мм односторонний 80 LED/м СИНИЙ бухта 50м (5 комплектов подключения) NEON-NIGHT</t>
  </si>
  <si>
    <t>10. 3. 2. 2 Гибкий неон 15х26 мм</t>
  </si>
  <si>
    <t>131-055</t>
  </si>
  <si>
    <t>Гибкий неон 15х26мм односторонний 120 LED/м БЕЛЫЙ 230В бухта 50м (c комплектом подключения) NEON-NIGHT</t>
  </si>
  <si>
    <t>131-056</t>
  </si>
  <si>
    <t>Гибкий неон 15х26мм односторонний 120 LED/м ТЕПЛЫЙ БЕЛЫЙ 230В бухта 50м (c комплектом подключения) NEON-NIGHT</t>
  </si>
  <si>
    <t>10. 3. 2. 4 Гибкий неон 16х16 мм</t>
  </si>
  <si>
    <t>131-085</t>
  </si>
  <si>
    <t>Гибкий неон 16х16мм форма D 144 LED/м БЕЛЫЙ 230В бухта 50м (c комплектом подключения) NEON-NIGHT</t>
  </si>
  <si>
    <t>131-081</t>
  </si>
  <si>
    <t>Гибкий неон 16х16мм форма D 144 LED/м ЖЕЛТЫЙ 230В бухта 50м (c комплектом подключения) NEON-NIGHT</t>
  </si>
  <si>
    <t>131-082</t>
  </si>
  <si>
    <t>Гибкий неон 16х16мм форма D 144 LED/м КРАСНЫЙ 230В бухта 50м (c комплектом подключения) NEON-NIGHT</t>
  </si>
  <si>
    <t>131-083</t>
  </si>
  <si>
    <t>Гибкий неон 16х16мм форма D 144 LED/м СИНИЙ 230В бухта 50м (c комплектом подключения) NEON-NIGHT</t>
  </si>
  <si>
    <t>131-086</t>
  </si>
  <si>
    <t>Гибкий неон 16х16мм форма D 144 LED/м ТЕПЛЫЙ БЕЛЫЙ 230В бухта 50м (c комплектом подключения) NEON-NIGHT</t>
  </si>
  <si>
    <t>10. 3. 2. 6 Гибкий неон 8х16 мм</t>
  </si>
  <si>
    <t>131-095</t>
  </si>
  <si>
    <t>Гибкий неон 8х16мм двухсторонний 120 LED/м БЕЛЫЙ 230В бухта 100м (с комплектом подключения) NEON-NIGHT</t>
  </si>
  <si>
    <t>131-115</t>
  </si>
  <si>
    <t>Гибкий неон 8х16мм двухсторонний 120 LED/м БЕЛЫЙ 24В бухта 50м (3 комплекта подключения) NEON-NIGHT</t>
  </si>
  <si>
    <t>131-091</t>
  </si>
  <si>
    <t>Гибкий неон 8х16мм двухсторонний 120 LED/м ЖЕЛТЫЙ 230В бухта 100м (с комплектом подключения) NEON-NIGHT</t>
  </si>
  <si>
    <t>131-092</t>
  </si>
  <si>
    <t>Гибкий неон 8х16мм двухсторонний 120 LED/м КРАСНЫЙ 230В бухта 100м (с комплектом подключения) NEON-NIGHT</t>
  </si>
  <si>
    <t>131-093</t>
  </si>
  <si>
    <t>Гибкий неон 8х16мм двухсторонний 120 LED/м СИНИЙ 230В бухта 100м (с комплектом подключения) NEON-NIGHT</t>
  </si>
  <si>
    <t>131-096</t>
  </si>
  <si>
    <t>Гибкий неон 8х16мм двухсторонний 120 LED/м ТЕПЛЫЙ БЕЛЫЙ 230В бухта 100м (с комплектом подключения) NEON-NIGHT</t>
  </si>
  <si>
    <t>131-116</t>
  </si>
  <si>
    <t>Гибкий неон 8х16мм двухсторонний 120 LED/м ТЕПЛЫЙ БЕЛЫЙ 24В бухта 50м (3 комплекта подключения) NEON-NIGHT</t>
  </si>
  <si>
    <t>131-045</t>
  </si>
  <si>
    <t>Гибкий неон 8х16мм односторонний 120 LED/м БЕЛЫЙ 230В бухта 100м (с комплектом подключения) NEON-NIGHT</t>
  </si>
  <si>
    <t>131-125</t>
  </si>
  <si>
    <t>Гибкий неон 8х16мм односторонний 120 LED/м БЕЛЫЙ 24В бухта 50м (3 комплекта подключения) NEON-NIGHT</t>
  </si>
  <si>
    <t>131-044</t>
  </si>
  <si>
    <t>Гибкий неон 8х16мм односторонний 120 LED/м ЗЕЛЕНЫЙ 230В бухта 100м (с комплектом подключения) NEON-NIGHT</t>
  </si>
  <si>
    <t>131-042</t>
  </si>
  <si>
    <t>Гибкий неон 8х16мм односторонний 120 LED/м КРАСНЫЙ 230В бухта 100м (с комплектом подключения) NEON-NIGHT</t>
  </si>
  <si>
    <t>131-043</t>
  </si>
  <si>
    <t>Гибкий неон 8х16мм односторонний 120 LED/м СИНИЙ 230В бухта 100м (с комплектом подключения) NEON-NIGHT</t>
  </si>
  <si>
    <t>131-046</t>
  </si>
  <si>
    <t>Гибкий неон 8х16мм односторонний 120 LED/м ТЕПЛЫЙ БЕЛЫЙ 230В бухта 100м (с комплектом подключения) NEON-NIGHT</t>
  </si>
  <si>
    <t>131-126</t>
  </si>
  <si>
    <t>Гибкий неон 8х16мм односторонний 120 LED/м ТЕПЛЫЙ БЕЛЫЙ 24В бухта 50м (3 комплекта подключения) NEON-NIGHT</t>
  </si>
  <si>
    <t>10. 3. 2. 7 Гибкий неон диаметр16 мм</t>
  </si>
  <si>
    <t>131-315</t>
  </si>
  <si>
    <t>Гибкий неон диаметр 16мм круглый 144 LED/м БЕЛЫЙ 230В бухта 50м (с комплектом подключения) NEON-NIGHT</t>
  </si>
  <si>
    <t>131-316</t>
  </si>
  <si>
    <t>Гибкий неон диаметр 16мм круглый 144 LED/м ТЕПЛЫЙ БЕЛЫЙ 230В бухта 50м (с комплектом подключения) NEON-NIGHT</t>
  </si>
  <si>
    <t>10. 3. 2. 8 Гибкий неон диаметр19 мм</t>
  </si>
  <si>
    <t>131-037</t>
  </si>
  <si>
    <t>Гибкий Неон диаметр 19мм круглый 96 LED/м РОЗОВЫЙ 230В бухта 50м (3 комплекта подключения) NEON-NIGHT</t>
  </si>
  <si>
    <t>10. 3. 2. 9 Аксессуары для гибкого неона</t>
  </si>
  <si>
    <t>134-063</t>
  </si>
  <si>
    <t>L - коннектор для двухстороннего Гибкого Неона 8х16мм (цена за 1 шт.)</t>
  </si>
  <si>
    <t>134-061</t>
  </si>
  <si>
    <t>L - коннектор для одностороннего Гибкого Неона 8х16мм (цена за 1 шт.)</t>
  </si>
  <si>
    <t>134-062</t>
  </si>
  <si>
    <t>T - коннектор для двухстороннего Гибкого Неона 8х16мм (цена за 1 шт.)</t>
  </si>
  <si>
    <t>134-060</t>
  </si>
  <si>
    <t>T - коннектор для одностороннего Гибкого Неона 8х16мм (цена за 1 шт.)</t>
  </si>
  <si>
    <t>134-038</t>
  </si>
  <si>
    <t>Заглушка для гибкого неона 15х26 мм (цена за 1 шт.)</t>
  </si>
  <si>
    <t>134-093</t>
  </si>
  <si>
    <t>Заглушка для гибкого неона NEON-NIGHT цилиндрическая (цена за 1 шт.)</t>
  </si>
  <si>
    <t>134-091</t>
  </si>
  <si>
    <t>Заглушка для гибкого неона 8х16 мм (цена за 1 шт.)</t>
  </si>
  <si>
    <t>134-092</t>
  </si>
  <si>
    <t>Заглушка для гибкого неона формы D 16х16 мм (цена за 1 шт.)</t>
  </si>
  <si>
    <t>134-085</t>
  </si>
  <si>
    <t>Клипса пластиковая для двухстороннего гибкого неона 8х16 мм (цена за 1 шт.)</t>
  </si>
  <si>
    <t>134-002</t>
  </si>
  <si>
    <t>Коннектор для Гибкого неона 15х26мм, провод каучук, длина 20 см (цена за 1 шт.)</t>
  </si>
  <si>
    <t>134-009</t>
  </si>
  <si>
    <t>Коннектор для соединения гибкого неона 360, провод каучук, длина 20 см NEON-NIGHT</t>
  </si>
  <si>
    <t>134-008</t>
  </si>
  <si>
    <t>Коннектор для гибкого неона формы D 16х16 мм, провод ПВХ, длина 20 см (цена за 1 шт.)</t>
  </si>
  <si>
    <t>134-006</t>
  </si>
  <si>
    <t>Коннектор для двухстороннего гибкого неона 8х16 мм, провод каучук, длина 20 см NEON-NIGHT</t>
  </si>
  <si>
    <t>134-007</t>
  </si>
  <si>
    <t>Коннектор для одностороннего гибкого неона 8х16 мм, провод каучук, длина 20 см NEON-NIGHT</t>
  </si>
  <si>
    <t>134-051</t>
  </si>
  <si>
    <t>Коннектор с проводом для двухстороннего неона 8х16мм, провод каучук NEON-NIGHT</t>
  </si>
  <si>
    <t>134-050</t>
  </si>
  <si>
    <t>Коннектор с проводом для одностороннего неона 8х16мм, провод каучук NEON-NIGHT</t>
  </si>
  <si>
    <t>134-032</t>
  </si>
  <si>
    <t>Коннектор-иглы (с термоусад. пленкой) для неона 15x26 мм</t>
  </si>
  <si>
    <t>134-040</t>
  </si>
  <si>
    <t>Коннектор-иглы (с термоусад. пленкой) для неона 8x16 мм, 16х16 мм</t>
  </si>
  <si>
    <t>133-012</t>
  </si>
  <si>
    <t>Контроллер для Гибкого Неона 4W (4-х жильный) RGB</t>
  </si>
  <si>
    <t>134-045</t>
  </si>
  <si>
    <t>Профиль алюминиевый анодированный для гибкого неона 15х26мм, 1м NEON-NIGHT</t>
  </si>
  <si>
    <t>134-090</t>
  </si>
  <si>
    <t>Профиль алюминиевый анодированный для гибкого неона 15х26мм, 2м NEON-NIGHT</t>
  </si>
  <si>
    <t>134-088</t>
  </si>
  <si>
    <t>Профиль алюминиевый анодированный для гибкого неона 16х16мм, 2м</t>
  </si>
  <si>
    <t>134-080</t>
  </si>
  <si>
    <t>Профиль алюминиевый анодированный для гибкого неона 8х16мм, 2м NEON-NIGHT</t>
  </si>
  <si>
    <t>134-098</t>
  </si>
  <si>
    <t>Профиль алюминиевый анодированный для гибкого неона 8х16мм, 2м, коричневый NEON-NIGHT</t>
  </si>
  <si>
    <t>134-083</t>
  </si>
  <si>
    <t>Профиль алюминиевый анодированный для гибкого неона 8х16мм, 2м, черный NEON-NIGHT</t>
  </si>
  <si>
    <t>134-047</t>
  </si>
  <si>
    <t>Профиль пластиковый для круглого гибкого неона 16мм, дюралайта, неона 7х12мм, 1м NEON-NIGHT</t>
  </si>
  <si>
    <t>134-089</t>
  </si>
  <si>
    <t>Профиль пластиковый для круглого гибкого неона диаметром 16мм, 1м NEON-NIGHT</t>
  </si>
  <si>
    <t>134-501</t>
  </si>
  <si>
    <t>Установочный набор для Гибкого неона 16х16мм формы D (блок питания каучук с диодным мостом и вилкой, заглушка, переходная муфта, игла) 1,5м NEON-NIGHT</t>
  </si>
  <si>
    <t>134-502</t>
  </si>
  <si>
    <t>Установочный набор для двухстороннего Гибкого неона 8х16мм (блок питания каучук с диодным мостом и вилкой, заглушка, переходная муфта, игла) 1,5м NEON-NIGHT</t>
  </si>
  <si>
    <t>134-012</t>
  </si>
  <si>
    <t>Установочный набор для круглого Гибкого неона диаметром 16 мм, провод ПВХ, 230В</t>
  </si>
  <si>
    <t>134-504</t>
  </si>
  <si>
    <t>Установочный набор для одностороннего Гибкого неона 15х26мм (блок питания каучук с диодным мостом и вилкой, заглушка, переходная муфта, игла) 1,5м</t>
  </si>
  <si>
    <t>134-503</t>
  </si>
  <si>
    <t>Установочный набор для одностороннего Гибкого неона 8х16мм (блок питания каучук с диодным мостом и вилкой, заглушка, переходная муфта, игла) 1,5м NEON-NIGHT</t>
  </si>
  <si>
    <t>10. 3. 3 Гирлянда Занавес / дождь</t>
  </si>
  <si>
    <t>10. 3. 3. 1 Занавес ПВХ</t>
  </si>
  <si>
    <t>10. 3. 3. 1. 1 Занавес ПВХ 2х0,8 м</t>
  </si>
  <si>
    <t>235-105</t>
  </si>
  <si>
    <t>Гирлянда светодиодная Занавес 2x0,8м 160 LED БЕЛЫЙ прозрачный ПВХ IP65 постоянное свечение 230В нужен блок 303-500-1 NEON-NIGHT</t>
  </si>
  <si>
    <t>235-104</t>
  </si>
  <si>
    <t>Гирлянда светодиодная Занавес 2x0,8м 160 LED ЗЕЛЕНЫЙ прозрачный ПВХ IP65 постоянное свечение 230В блок в комплекте NEON-NIGHT</t>
  </si>
  <si>
    <t>235-102</t>
  </si>
  <si>
    <t>Гирлянда светодиодная Занавес 2x0,8м 160 LED КРАСНЫЙ прозрачный ПВХ IP65 постоянное свечение 230В блок в комплекте NEON-NIGHT</t>
  </si>
  <si>
    <t>235-103</t>
  </si>
  <si>
    <t>Гирлянда светодиодная Занавес 2x0,8м 160 LED СИНИЙ прозрачный ПВХ IP65 постоянное свечение 230В нужен блок 303-500-1 NEON-NIGHT</t>
  </si>
  <si>
    <t>235-106</t>
  </si>
  <si>
    <t>Гирлянда светодиодная Занавес 2х0,8м 160 LED ТЕПЛЫЙ БЕЛЫЙ прозрачный ПВХ IP65 постоянное свечение 230В нужен блок 303-500-1 NEON-NIGHT</t>
  </si>
  <si>
    <t>235-336</t>
  </si>
  <si>
    <t>Гирлянда светодиодная Занавес 2х0,8м 160 LED ТЕПЛЫЙ БЕЛЫЙ прозрачный ПВХ IP65 эффект мерцания 230В нужен блок 303-500-1 NEON-NIGHT</t>
  </si>
  <si>
    <t>235-286</t>
  </si>
  <si>
    <t>Гирлянда светодиодная Занавес 2х0,8м 160 LED ТЕПЛЫЙ БЕЛЫЙ черный ПВХ IP65 постоянное свечение 230В нужен блок 303-500 NEON-NIGHT</t>
  </si>
  <si>
    <t>10. 3. 3. 1. 2 Занавес ПВХ 2х1,5 м, 2х2 м</t>
  </si>
  <si>
    <t>235-305-6</t>
  </si>
  <si>
    <t>Гирлянда светодиодная Занавес 2х1,5м 192 LED БЕЛЫЙ прозрачный ПВХ IP65 постоянное свечение 230В нужен блок 303-500-1 NEON-NIGHT</t>
  </si>
  <si>
    <t>235-315-6</t>
  </si>
  <si>
    <t>Гирлянда светодиодная Занавес 2х1,5м 192 LED БЕЛЫЙ прозрачный ПВХ IP65 эффект мерцания 230В нужен блок 303-500-1 NEON-NIGHT</t>
  </si>
  <si>
    <t>235-301-6</t>
  </si>
  <si>
    <t>Гирлянда светодиодная Занавес 2х1,5м 192 LED ЖЕЛТЫЙ прозрачный ПВХ IP65 постоянное свечение 230В нужен блок 303-500-1 NEON-NIGHT</t>
  </si>
  <si>
    <t>235-302-6</t>
  </si>
  <si>
    <t>Гирлянда светодиодная Занавес 2х1,5м 192 LED КРАСНЫЙ прозрачный ПВХ IP65 постоянное свечение 230В блок в комплекте NEON-NIGHT</t>
  </si>
  <si>
    <t>235-309-6</t>
  </si>
  <si>
    <t>Гирлянда светодиодная Занавес 2х1,5м 192 LED МУЛЬТИКОЛОР прозрачный ПВХ IP65 постоянное свечение 230В блок в комплекте NEON-NIGHT</t>
  </si>
  <si>
    <t>235-303-6</t>
  </si>
  <si>
    <t>Гирлянда светодиодная Занавес 2х1,5м 192 LED СИНИЙ прозрачный ПВХ IP65 постоянное свечение 230В блок в комплекте NEON-NIGHT</t>
  </si>
  <si>
    <t>235-306-6</t>
  </si>
  <si>
    <t>Гирлянда светодиодная Занавес 2х1,5м 192 LED ТЕПЛЫЙ БЕЛЫЙ прозрачный ПВХ IP65 постоянное свечение 230В нужен блок 303-500-1 NEON-NIGHT</t>
  </si>
  <si>
    <t>235-316-6</t>
  </si>
  <si>
    <t>Гирлянда светодиодная Занавес 2х1,5м 192 LED ТЕПЛЫЙ БЕЛЫЙ прозрачный ПВХ IP65 эффект мерцания 230В нужен блок 303-500-1 NEON-NIGHT</t>
  </si>
  <si>
    <t>245-309</t>
  </si>
  <si>
    <t>Гирлянда светодиодная Занавес 2х1,5м 300 LED RGB прозрачный ПВХ IP65 для свечения с динамикой 230В нужен контроллер 245-908 NEON-NIGHT</t>
  </si>
  <si>
    <t>235-115</t>
  </si>
  <si>
    <t>Гирлянда светодиодная Занавес 2х1,5м 300 LED БЕЛЫЙ белый ПВХ IP65 постоянное свечение 230В нужен блок 303-500-1 NEON-NIGHT</t>
  </si>
  <si>
    <t>235-221</t>
  </si>
  <si>
    <t>Гирлянда светодиодная Занавес 2х1,5м 300 LED БЕЛЫЙ белый ПВХ IP65 эффект мерцания 230В нужен блок 303-500-1 NEON-NIGHT</t>
  </si>
  <si>
    <t>235-305</t>
  </si>
  <si>
    <t>Гирлянда светодиодная Занавес 2х1,5м 300 LED БЕЛЫЙ прозрачный ПВХ IP65 постоянное свечение 230В нужен блок 303-500-1 NEON-NIGHT</t>
  </si>
  <si>
    <t>235-125</t>
  </si>
  <si>
    <t>Гирлянда светодиодная Занавес 2х1,5м 300 LED БЕЛЫЙ черный ПВХ IP65 постоянное свечение 230В нужен блок 303-500 NEON-NIGHT</t>
  </si>
  <si>
    <t>235-231</t>
  </si>
  <si>
    <t>Гирлянда светодиодная Занавес 2х1,5м 300 LED БЕЛЫЙ черный ПВХ IP65 эффект мерцания 230В нужен блок 303-500 NEON-NIGHT</t>
  </si>
  <si>
    <t>235-223</t>
  </si>
  <si>
    <t>Гирлянда светодиодная Занавес 2х1,5м 300 LED СИНИЙ белый ПВХ IP65 эффект мерцания 230В нужен блок 303-500-1 NEON-NIGHT</t>
  </si>
  <si>
    <t>235-116</t>
  </si>
  <si>
    <t>Гирлянда светодиодная Занавес 2х1,5м 300 LED ТЕПЛЫЙ БЕЛЫЙ белый ПВХ IP65 постоянное свечение 230В нужен блок 303-500-1 NEON-NIGHT</t>
  </si>
  <si>
    <t>235-306</t>
  </si>
  <si>
    <t>Гирлянда светодиодная Занавес 2х1,5м 300 LED ТЕПЛЫЙ БЕЛЫЙ прозрачный ПВХ IP65 постоянное свечение 230В нужен блок 303-500-1 NEON-NIGHT</t>
  </si>
  <si>
    <t>235-316</t>
  </si>
  <si>
    <t>Гирлянда светодиодная Занавес 2х1,5м 300 LED ТЕПЛЫЙ БЕЛЫЙ прозрачный ПВХ IP65 эффект мерцания 230В нужен блок 303-500-1 NEON-NIGHT</t>
  </si>
  <si>
    <t>235-126</t>
  </si>
  <si>
    <t>Гирлянда светодиодная Занавес 2х1,5м 300 LED ТЕПЛЫЙ БЕЛЫЙ черный ПВХ IP65 постоянное свечение 230В нужен блок 303-500 NEON-NIGHT</t>
  </si>
  <si>
    <t>235-111</t>
  </si>
  <si>
    <t>Гирлянда светодиодная Занавес 2х1,5м 360 LED ЖЕЛТЫЙ белый ПВХ IP65 постоянное свечение 230В блок в комплекте NEON-NIGHT</t>
  </si>
  <si>
    <t>235-121</t>
  </si>
  <si>
    <t>Гирлянда светодиодная Занавес 2х1,5м 360 LED ЖЕЛТЫЙ черный ПВХ IP65 постоянное свечение 230В блок в комплекте NEON-NIGHT</t>
  </si>
  <si>
    <t>235-114</t>
  </si>
  <si>
    <t>Гирлянда светодиодная Занавес 2х1,5м 360 LED ЗЕЛЕНЫЙ белый ПВХ IP65 постоянное свечение 230В блок в комплекте NEON-NIGHT</t>
  </si>
  <si>
    <t>235-304</t>
  </si>
  <si>
    <t>Гирлянда светодиодная Занавес 2х1,5м 360 LED ЗЕЛЕНЫЙ прозрачный ПВХ IP65 постоянное свечение 230В блок в комплекте NEON-NIGHT</t>
  </si>
  <si>
    <t>235-113</t>
  </si>
  <si>
    <t>Гирлянда светодиодная Занавес 2х1,5м 360 LED СИНИЙ белый ПВХ IP65 постоянное свечение 230В блок в комплекте NEON-NIGHT</t>
  </si>
  <si>
    <t>235-123_</t>
  </si>
  <si>
    <t>Гирлянда светодиодная Занавес 2х1,5м 360 LED СИНИЙ черный ПВХ IP54 постоянное свечение 230В блок в комплекте NEON-NIGHT</t>
  </si>
  <si>
    <t>235-349</t>
  </si>
  <si>
    <t>Гирлянда светодиодная Занавес 2х2м 200 LED RGB прозрачный ПВХ IP65 свечение с динамикой 230В блок в комплекте NEON-NIGHT</t>
  </si>
  <si>
    <t>10. 3. 3. 1. 3 Занавес ПВХ 2х3 м, 2х4 м</t>
  </si>
  <si>
    <t>235-152-6</t>
  </si>
  <si>
    <t>Гирлянда Светодиодный Дождь 2х3м, постоянное свечение, прозрачный провод, 230 В, диоды КРАСНЫЕ</t>
  </si>
  <si>
    <t>235-155-6</t>
  </si>
  <si>
    <t>Гирлянда светодиодная Занавес 2х3м 448 LED БЕЛЫЙ прозрачный ПВХ IP65 постоянное свечение 230В нужен блок 303-500-1 NEON-NIGHT</t>
  </si>
  <si>
    <t>235-135-6</t>
  </si>
  <si>
    <t>Гирлянда светодиодная Занавес 2х3м 448 LED БЕЛЫЙ прозрачный ПВХ IP65 эффект мерцания 230В нужен блок 303-500-1 NEON-NIGHT</t>
  </si>
  <si>
    <t>235-151-6</t>
  </si>
  <si>
    <t>Гирлянда светодиодная Занавес 2х3м 448 LED ЖЕЛТЫЙ прозрачный ПВХ IP65 постоянное свечение 230В нужен блок 303-500-1 NEON-NIGHT</t>
  </si>
  <si>
    <t>235-159-6</t>
  </si>
  <si>
    <t>Гирлянда светодиодная Занавес 2х3м 448 LED МУЛЬТИКОЛОР прозрачный ПВХ IP65 постоянное свечение 230В нужен блок 303-500-1 NEON-NIGHT</t>
  </si>
  <si>
    <t>235-153-6</t>
  </si>
  <si>
    <t>Гирлянда светодиодная Занавес 2х3м 448 LED СИНИЙ прозрачный ПВХ IP65 постоянное свечение 230В нужен блок 303-500-1 NEON-NIGHT</t>
  </si>
  <si>
    <t>235-156-6</t>
  </si>
  <si>
    <t>Гирлянда светодиодная Занавес 2х3м 448 LED ТЕПЛЫЙ БЕЛЫЙ прозрачный ПВХ IP65 постоянное свечение 230В нужен блок 303-500-1 NEON-NIGHT</t>
  </si>
  <si>
    <t>235-136-6</t>
  </si>
  <si>
    <t>Гирлянда светодиодная Занавес 2х3м 448 LED ТЕПЛЫЙ БЕЛЫЙ прозрачный ПВХ IP65 эффект мерцания 230В нужен блок 303-500-1 NEON-NIGHT</t>
  </si>
  <si>
    <t>235-135</t>
  </si>
  <si>
    <t>Гирлянда светодиодная Занавес 2х3м 600 LED БЕЛЫЙ белый ПВХ IP65 постоянное свечение 230В нужен блок 303-500-1 NEON-NIGHT</t>
  </si>
  <si>
    <t>235-211</t>
  </si>
  <si>
    <t>Гирлянда светодиодная Занавес 2х3м 600 LED БЕЛЫЙ белый ПВХ IP65 эффект мерцания 230В нужен блок 303-500-1 NEON-NIGHT</t>
  </si>
  <si>
    <t>235-155</t>
  </si>
  <si>
    <t>Гирлянда светодиодная Занавес 2х3м 600 LED БЕЛЫЙ прозрачный ПВХ IP65 постоянное свечение 230В нужен блок 303-500-1 NEON-NIGHT</t>
  </si>
  <si>
    <t>235-145</t>
  </si>
  <si>
    <t>Гирлянда светодиодная Занавес 2х3м 600 LED БЕЛЫЙ черный ПВХ IP65 постоянное свечение 230В нужен блок 303-500 NEON-NIGHT</t>
  </si>
  <si>
    <t>235-201</t>
  </si>
  <si>
    <t>Гирлянда светодиодная Занавес 2х3м 600 LED БЕЛЫЙ черный ПВХ IP65 эффект мерцания 230В нужен блок 303-500 NEON-NIGHT</t>
  </si>
  <si>
    <t>235-136</t>
  </si>
  <si>
    <t>Гирлянда светодиодная Занавес 2х3м 600 LED ТЕПЛЫЙ БЕЛЫЙ белый ПВХ IP65 постоянное свечение 230В нужен блок 303-500-1 NEON-NIGHT</t>
  </si>
  <si>
    <t>235-366</t>
  </si>
  <si>
    <t>Гирлянда светодиодная Занавес 2х3м 600 LED ТЕПЛЫЙ БЕЛЫЙ белый ПВХ IP65 эффект мерцания 230В нужен блок 303-500-1</t>
  </si>
  <si>
    <t>235-156</t>
  </si>
  <si>
    <t>Гирлянда светодиодная Занавес 2х3м 600 LED ТЕПЛЫЙ БЕЛЫЙ прозрачный ПВХ IP65 постоянное свечение 230В нужен блок 303-500-1</t>
  </si>
  <si>
    <t>235-326</t>
  </si>
  <si>
    <t>Гирлянда светодиодная Занавес 2х3м 600 LED ТЕПЛЫЙ БЕЛЫЙ прозрачный ПВХ IP65 эффект мерцания 230В нужен блок 303-500-1</t>
  </si>
  <si>
    <t>235-146</t>
  </si>
  <si>
    <t>Гирлянда светодиодная Занавес 2х3м 600 LED ТЕПЛЫЙ БЕЛЫЙ черный ПВХ IP65 постоянное свечение 230В нужен блок 303-500</t>
  </si>
  <si>
    <t>235-143</t>
  </si>
  <si>
    <t>Гирлянда светодиодная Занавес 2х3м 760 LED СИНИЙ черный ПВХ IP65 постоянное свечение 230В нужен блок 303-500 NEON-NIGHT</t>
  </si>
  <si>
    <t>10. 3. 3. 1. 4 Занавес ПВХ эффект водопада</t>
  </si>
  <si>
    <t>235-435</t>
  </si>
  <si>
    <t>Гирлянда светодиодная Занавес 2х3м 240 LED БЕЛЫЙ прозрачный ПВХ IP65 эффект водопада 24В не соединяется трансформатор в комплекте NEON-NIGHT</t>
  </si>
  <si>
    <t>235-465</t>
  </si>
  <si>
    <t>Гирлянда светодиодная Занавес 2х6м 360 LED БЕЛЫЙ прозрачный ПВХ IP65 эффект водопада 24В не соединяется трансформатор в комплекте NEON-NIGHT</t>
  </si>
  <si>
    <t>235-495</t>
  </si>
  <si>
    <t>Гирлянда светодиодная Занавес 2х9м 480 LED БЕЛЫЙ прозрачный ПВХ IP65 эффект водопада 24В не соединяется трансформатор в комплекте NEON-NIGHT</t>
  </si>
  <si>
    <t>10. 3. 3. 1. 5 Занавес ПВХ 2х6 м</t>
  </si>
  <si>
    <t>235-175</t>
  </si>
  <si>
    <t>Гирлянда светодиодная Занавес 2х6м 768 LED БЕЛЫЙ прозрачный ПВХ IP65 постоянное свечение 230В нужен блок 303-500-1 NEON-NIGHT</t>
  </si>
  <si>
    <t>235-385</t>
  </si>
  <si>
    <t>Гирлянда Занавес 2х6м 768 LED БЕЛЫЙ прозрачный ПВХ IP65 эффект мерцания 230В нужен блок 303-500-1</t>
  </si>
  <si>
    <t>235-165</t>
  </si>
  <si>
    <t>Гирлянда светодиодная Занавес 2х6м 768 LED БЕЛЫЙ черный ПВХ IP65 постоянное свечение 230В нужен блок 303-500 NEON-NIGHT</t>
  </si>
  <si>
    <t>235-173</t>
  </si>
  <si>
    <t>Гирлянда светодиодная Занавес 2х6м 768 LED СИНИЙ прозрачный ПВХ IP65 постоянное свечение 230В нужен блок 303-500-1 NEON-NIGHT</t>
  </si>
  <si>
    <t>235-296</t>
  </si>
  <si>
    <t>Гирлянда светодиодная Занавес 2х6м 768 LED ТЕПЛЫЙ БЕЛЫЙ белый ПВХ IP65 постоянное свечение 230В нужен блок 303-500-1 NEON-NIGHT</t>
  </si>
  <si>
    <t>235-396</t>
  </si>
  <si>
    <t>Гирлянда светодиодная Занавес 2х6м 768 LED ТЕПЛЫЙ БЕЛЫЙ белый ПВХ IP65 эффект мерцания 230В блок в комплекте NEON-NIGHT</t>
  </si>
  <si>
    <t>235-176</t>
  </si>
  <si>
    <t>Гирлянда светодиодная Занавес 2х6м 768 LED ТЕПЛЫЙ БЕЛЫЙ прозрачный ПВХ IP65 постоянное свечение 230В нужен блок 303-500-1 NEON-NIGHT</t>
  </si>
  <si>
    <t>235-386</t>
  </si>
  <si>
    <t>Гирлянда светодиодная Занавес 2х6м 768 LED ТЕПЛЫЙ БЕЛЫЙ прозрачный ПВХ IP65 эффект мерцания 230В нужен блок 303-500-1 NEON-NIGHT</t>
  </si>
  <si>
    <t>235-376</t>
  </si>
  <si>
    <t>Гирлянда светодиодная Занавес 2х6м 768 LED ТЕПЛЫЙ БЕЛЫЙ черный ПВХ IP65 постоянное свечение 230В нужен блок 303-500 NEON-NIGHT</t>
  </si>
  <si>
    <t>10. 3. 3. 1. 6 Занавес ПВХ 2х9 м</t>
  </si>
  <si>
    <t>235-696</t>
  </si>
  <si>
    <t>Гирлянда светодиодная Занавес 2х9м 1200 LED ТЕПЛЫЙ БЕЛЫЙ прозрачный ПВХ IP65 эффект мерцания соединяется 230В нужен блок 303-500-1 NEON-NIGHT</t>
  </si>
  <si>
    <t>235-195</t>
  </si>
  <si>
    <t>Гирлянда светодиодная Занавес 2х9м 1200 LED БЕЛЫЙ прозрачный ПВХ IP65 постоянное свечение 230В нужен блок 303-500-1 NEON-NIGHT</t>
  </si>
  <si>
    <t>235-695</t>
  </si>
  <si>
    <t>Гирлянда Занавес 2х9м 1200 LED БЕЛЫЙ прозрачный ПВХ IP65 эффект мерцания 230В соединяется, нужен блок 303-500-1</t>
  </si>
  <si>
    <t>235-196</t>
  </si>
  <si>
    <t>Гирлянда светодиодная Занавес 2х9м 1200 LED ТЕПЛЫЙ БЕЛЫЙ прозрачный ПВХ IP65 постоянное свечение 230В нужен блок 303-500-1 NEON-NIGHT</t>
  </si>
  <si>
    <t>235-187</t>
  </si>
  <si>
    <t>Гирлянда светодиодная Занавес 2х9м 2200 LED КРАСНЫЙ черный ПВХ IP44 эффект мерцания 220В блок в комплекте NEON-NIGHT</t>
  </si>
  <si>
    <t>10. 3. 3. 2 Занавес Каучук</t>
  </si>
  <si>
    <t>10. 3. 3. 2. 1 Занавес Каучук 2х1,5 м</t>
  </si>
  <si>
    <t>237-125</t>
  </si>
  <si>
    <t>Гирлянда светодиодная Занавес 2х1,5м 360 LED БЕЛЫЙ черный КАУЧУК IP67 постоянное свечение 230В блок в комплекте NEON-NIGHT</t>
  </si>
  <si>
    <t>237-124</t>
  </si>
  <si>
    <t>Гирлянда светодиодная Занавес 2х1,5м 360 LED ЗЕЛЕНЫЙ черный КАУЧУК IP67 постоянное свечение 230В блок в комплекте NEON-NIGHT</t>
  </si>
  <si>
    <t>237-113</t>
  </si>
  <si>
    <t>Гирлянда светодиодная Занавес 2х1,5м 360 LED СИНИЙ белый КАУЧУК IP67 постоянное свечение 230В блок в комплекте NEON-NIGHT</t>
  </si>
  <si>
    <t>10. 3. 3. 2. 2 Занавес Каучук 2х3 м</t>
  </si>
  <si>
    <t>237-145</t>
  </si>
  <si>
    <t>Гирлянда светодиодная Занавес 2х3м 760 LED БЕЛЫЙ черный КАУЧУК IP67 постоянное свечение 230В блок в комплекте NEON-NIGHT</t>
  </si>
  <si>
    <t>10. 3. 3. 2. 3 Занавес Каучук 2х6 м</t>
  </si>
  <si>
    <t>237-165</t>
  </si>
  <si>
    <t>Гирлянда Светодиодный Дождь 2х6м, постоянное свечение, черный провод КАУЧУК, 230 В, диоды БЕЛЫЕ (шнур питания в комплекте)</t>
  </si>
  <si>
    <t>10. 3. 3. 3 Умный занавес ПВХ</t>
  </si>
  <si>
    <t>245-901</t>
  </si>
  <si>
    <t>Контроллер 24 В</t>
  </si>
  <si>
    <t>245-911</t>
  </si>
  <si>
    <t>Трансформатор (блок питания) 24В, 100W</t>
  </si>
  <si>
    <t>245-335</t>
  </si>
  <si>
    <t>Гирлянда LED - Умный дождь, 3 секции 1x3 м, 4x3 нитей, 30W, 24V, 8 каналов, 672 БЕЛЫХ диода, IP65</t>
  </si>
  <si>
    <t>10. 3. 4 Гирлянда Бахрома / айсикл</t>
  </si>
  <si>
    <t>10. 3. 4. 1 Бахрома ПВХ</t>
  </si>
  <si>
    <t>10. 3. 4. 1. 1 Бахрома ПВХ 1,8х0,5 м</t>
  </si>
  <si>
    <t>255-025</t>
  </si>
  <si>
    <t>Гирлянда светодиодная Бахрома (Айсикл) 1,8х0,5м 48 LED БЕЛЫЙ белый ПВХ IP65 постоянное свечение 230В блок в комплекте NEON-NIGHT</t>
  </si>
  <si>
    <t>255-023</t>
  </si>
  <si>
    <t>Гирлянда светодиодная Бахрома (Айсикл) 1,8х0,5м 48 LED СИНИЙ белый ПВХ IP65 постоянное свечение 230В блок в комплекте NEON-NIGHT</t>
  </si>
  <si>
    <t>255-026</t>
  </si>
  <si>
    <t>Гирлянда светодиодная Бахрома (Айсикл) 1,8х0,5м 48 LED ТЕПЛЫЙ БЕЛЫЙ белый ПВХ IP65 постоянное свечение 230В блок в комплекте NEON-NIGHT</t>
  </si>
  <si>
    <t>10. 3. 4. 1. 2 Бахрома ПВХ 2,4х0,6 м</t>
  </si>
  <si>
    <t>255-034-6</t>
  </si>
  <si>
    <t>Гирлянда светодиодная Бахрома (Айсикл) 2,4х0,6м 76 LED БЕЛЫЙ белый ПВХ IP65 постоянное свечение 230В нужен блок 303-500-1 NEON-NIGHT</t>
  </si>
  <si>
    <t>255-033-6</t>
  </si>
  <si>
    <t>Гирлянда светодиодная Бахрома (Айсикл) 2,4х0,6м 76 LED СИНИЙ белый ПВХ IP65 постоянное свечение 230В нужен блок 303-500-1 NEON-NIGHT</t>
  </si>
  <si>
    <t>255-037-6</t>
  </si>
  <si>
    <t>Гирлянда светодиодная Бахрома (Айсикл) 2,4х0,6м 76 LED ТЕПЛЫЙ БЕЛЫЙ белый ПВХ IP65 постоянное свечение 230В нужен блок 303-500-1 NEON-NIGHT</t>
  </si>
  <si>
    <t>255-034</t>
  </si>
  <si>
    <t>Гирлянда светодиодная Бахрома (Айсикл) 2,4х0,6м 88 LED БЕЛЫЙ белый ПВХ IP65 постоянное свечение 230В блок в комплекте NEON-NIGHT</t>
  </si>
  <si>
    <t>255-036</t>
  </si>
  <si>
    <t>Гирлянда светодиодная Бахрома (Айсикл) 2,4х0,6м 88 LED БЕЛЫЙ белый ПВХ IP65 эффект мерцания 230В нужен блок 303-500-1 NEON-NIGHT</t>
  </si>
  <si>
    <t>255-055</t>
  </si>
  <si>
    <t>Гирлянда светодиодная Бахрома (Айсикл) 2,4х0,6м 88 LED БЕЛЫЙ прозрачный ПВХ IP65 постоянное свечение 230В блок в комплекте NEON-NIGHT</t>
  </si>
  <si>
    <t>255-032</t>
  </si>
  <si>
    <t>Гирлянда светодиодная Бахрома (Айсикл) 2,4х0,6м 88 LED БЕЛЫЙ черный ПВХ IP65 постоянное свечение 230В нужен блок 303-500 NEON-NIGHT</t>
  </si>
  <si>
    <t>255-054</t>
  </si>
  <si>
    <t>Гирлянда светодиодная Бахрома (Айсикл) 2,4х0,6м 88 LED ЗЕЛЕНЫЙ прозрачный ПВХ IP65 постоянное свечение 230В блок в комплекте NEON-NIGHT</t>
  </si>
  <si>
    <t>255-035</t>
  </si>
  <si>
    <t>Гирлянда светодиодная Бахрома (Айсикл) 2,4х0,6м 88 LED СИНИЙ белый ПВХ IP65 эффект мерцания 230В нужен блок 303-500-1 NEON-NIGHT</t>
  </si>
  <si>
    <t>255-037</t>
  </si>
  <si>
    <t>Гирлянда светодиодная Бахрома (Айсикл) 2,4х0,6м 88 LED ТЕПЛЫЙ БЕЛЫЙ белый ПВХ IP65 постоянное свечение 230В блок в комплекте NEON-NIGHT</t>
  </si>
  <si>
    <t>255-056</t>
  </si>
  <si>
    <t>Гирлянда светодиодная Бахрома (Айсикл) 2,4х0,6м 88 LED ТЕПЛЫЙ БЕЛЫЙ прозрачный ПВХ IP65 постоянное свечение 230В нужен блок 303-500-1 NEON-NIGHT</t>
  </si>
  <si>
    <t>255-046</t>
  </si>
  <si>
    <t>Гирлянда светодиодная Бахрома (Айсикл) 2,4х0,6м 88 LED ТЕПЛЫЙ БЕЛЫЙ черный ПВХ IP65 постоянное свечение 230В нужен блок 303-500 NEON-NIGHT</t>
  </si>
  <si>
    <t>10. 3. 4. 1. 4 Бахрома ПВХ 4,8х0,6 м</t>
  </si>
  <si>
    <t>255-137-6</t>
  </si>
  <si>
    <t>Гирлянда светодиодная Бахрома (Айсикл) 4,8х0,6м 152 LED БЕЛЫЙ белый ПВХ IP65 постоянное свечение 230В нужен блок 303-500-1 NEON-NIGHT</t>
  </si>
  <si>
    <t>255-136-6</t>
  </si>
  <si>
    <t>Гирлянда светодиодная Бахрома (Айсикл) 4,8х0,6м 152 LED СИНИЙ белый ПВХ IP65 постоянное свечение 230В нужен блок 303-500-1 NEON-NIGHT</t>
  </si>
  <si>
    <t>255-138-6</t>
  </si>
  <si>
    <t>Гирлянда светодиодная Бахрома (Айсикл) 4,8х0,6м 152 LED ТЕПЛЫЙ БЕЛЫЙ белый ПВХ IP65 постоянное свечение 230В нужен блок 303-500-1 NEON-NIGHT</t>
  </si>
  <si>
    <t>245-209</t>
  </si>
  <si>
    <t>Гирлянда светодиодная Бахрома (Айсикл) 4,8х0,6м 176 LED RGB прозрачный ПВХ IP65 свечение с динамикой 230В нужен контроллер 245-908 NEON-NIGHT</t>
  </si>
  <si>
    <t>245-208</t>
  </si>
  <si>
    <t>Гирлянда светодиодная Бахрома (Айсикл) 4,8х0,6м 176 LED RGB черный ПВХ IP65 свечение с динамикой 230В нужен контроллер 245-908 NEON-NIGHT</t>
  </si>
  <si>
    <t>255-137</t>
  </si>
  <si>
    <t>Гирлянда светодиодная Бахрома (Айсикл) 4,8х0,6м 176 LED БЕЛЫЙ белый ПВХ IP65 постоянное свечение 230В нужен блок 303-500-1 NEON-NIGHT</t>
  </si>
  <si>
    <t>255-165</t>
  </si>
  <si>
    <t>Гирлянда светодиодная Бахрома (Айсикл) 4,8х0,6м 176 LED БЕЛЫЙ белый ПВХ IP65 эффект мерцания 230В нужен блок 303-500-1 NEON-NIGHT</t>
  </si>
  <si>
    <t>255-145</t>
  </si>
  <si>
    <t>Гирлянда светодиодная Бахрома (Айсикл) 4,8х0,6м 176 LED БЕЛЫЙ прозрачный ПВХ IP65 постоянное свечение 230В нужен блок 303-500-1 NEON-NIGHT</t>
  </si>
  <si>
    <t>255-185</t>
  </si>
  <si>
    <t>Гирлянда светодиодная Бахрома (Айсикл) 4,8х0,6м 176 LED БЕЛЫЙ прозрачный ПВХ IP65 эффект мерцания 230В нужен блок 303-500-1 NEON-NIGHT</t>
  </si>
  <si>
    <t>255-135</t>
  </si>
  <si>
    <t>Гирлянда светодиодная Бахрома (Айсикл) 4,8х0,6м 176 LED БЕЛЫЙ черный ПВХ IP65 постоянное свечение 230В нужен блок 303-500 NEON-NIGHT</t>
  </si>
  <si>
    <t>255-175</t>
  </si>
  <si>
    <t>Гирлянда светодиодная Бахрома (Айсикл) 4,8х0,6м 176 LED БЕЛЫЙ черный ПВХ IP65 эффект мерцания 230В нужен блок 303-500 NEON-NIGHT</t>
  </si>
  <si>
    <t>255-161</t>
  </si>
  <si>
    <t>Гирлянда светодиодная Бахрома (Айсикл) 4,8х0,6м 176 LED ЖЕЛТЫЙ белый ПВХ IP65 эффект мерцания 230В нужен блок 303-500-1 NEON-NIGHT</t>
  </si>
  <si>
    <t>255-141</t>
  </si>
  <si>
    <t>Гирлянда светодиодная Бахрома (Айсикл) 4,8х0,6м 176 LED ЖЕЛТЫЙ прозрачный ПВХ IP65 постоянное свечение 230В нужен блок 303-500-1 NEON-NIGHT</t>
  </si>
  <si>
    <t>255-131</t>
  </si>
  <si>
    <t>Гирлянда светодиодная Бахрома (Айсикл) 4,8х0,6м 176 LED ЖЕЛТЫЙ черный ПВХ IP65 постоянное свечение 230В нужен блок 303-500 NEON-NIGHT</t>
  </si>
  <si>
    <t>255-164</t>
  </si>
  <si>
    <t>Гирлянда светодиодная Бахрома (Айсикл) 4,8х0,6м 176 LED ЗЕЛЕНЫЙ белый ПВХ IP65 эффект мерцания 230В нужен блок 303-500-1 NEON-NIGHT</t>
  </si>
  <si>
    <t>255-144</t>
  </si>
  <si>
    <t>Гирлянда светодиодная Бахрома (Айсикл) 4,8х0,6м 176 LED ЗЕЛЕНЫЙ прозрачный ПВХ IP65 постоянное свечение 230В блок в комплекте NEON-NIGHT</t>
  </si>
  <si>
    <t>255-136</t>
  </si>
  <si>
    <t>Гирлянда светодиодная Бахрома (Айсикл) 4,8х0,6м 176 LED СИНИЙ белый ПВХ IP65 постоянное свечение 230В нужен блок 303-500-1 NEON-NIGHT</t>
  </si>
  <si>
    <t>255-163</t>
  </si>
  <si>
    <t>Гирлянда светодиодная Бахрома (Айсикл) 4,8х0,6м 176 LED СИНИЙ белый ПВХ IP65 эффект мерцания 230В нужен блок 303-500-1 NEON-NIGHT</t>
  </si>
  <si>
    <t>255-143</t>
  </si>
  <si>
    <t>Гирлянда светодиодная Бахрома (Айсикл) 4,8х0,6м 176 LED СИНИЙ прозрачный ПВХ IP65 постоянное свечение 230В нужен блок 303-500-1 NEON-NIGHT</t>
  </si>
  <si>
    <t>255-133</t>
  </si>
  <si>
    <t>Гирлянда светодиодная Бахрома (Айсикл) 4,8х0,6м 176 LED СИНИЙ черный ПВХ IP65 постоянное свечение 230В нужен блок 303-500 NEON-NIGHT</t>
  </si>
  <si>
    <t>255-173</t>
  </si>
  <si>
    <t>Гирлянда светодиодная Бахрома (Айсикл) 4,8х0,6м 176 LED СИНИЙ черный ПВХ IP65 эффект мерцания 230В нужен блок 303-500 NEON-NIGHT</t>
  </si>
  <si>
    <t>255-138</t>
  </si>
  <si>
    <t>Гирлянда светодиодная Бахрома (Айсикл) 4,8х0,6м 176 LED ТЕПЛЫЙ БЕЛЫЙ белый ПВХ IP65 постоянное свечение 230В нужен блок 303-500-1 NEON-NIGHT</t>
  </si>
  <si>
    <t>255-166</t>
  </si>
  <si>
    <t>Гирлянда светодиодная Бахрома (Айсикл) 4,8х0,6м 176 LED ТЕПЛЫЙ БЕЛЫЙ белый ПВХ IP65 эффект мерцания 230В нужен блок 303-500-1 NEON-NIGHT</t>
  </si>
  <si>
    <t>255-146</t>
  </si>
  <si>
    <t>Гирлянда светодиодная Бахрома (Айсикл) 4,8х0,6м 176 LED ТЕПЛЫЙ БЕЛЫЙ прозрачный ПВХ IP65 постоянное свечение 230В нужен блок 303-500-1 NEON-NIGHT</t>
  </si>
  <si>
    <t>255-186</t>
  </si>
  <si>
    <t>Гирлянда светодиодная Бахрома (Айсикл) 4,8х0,6м 176 LED ТЕПЛЫЙ БЕЛЫЙ прозрачный ПВХ IP65 эффект мерцания 230 нужен блок 303-500-1 NEON-NIGHT</t>
  </si>
  <si>
    <t>255-156</t>
  </si>
  <si>
    <t>Гирлянда светодиодная Бахрома (Айсикл) 4,8х0,6м 176 LED ТЕПЛЫЙ БЕЛЫЙ черный ПВХ IP65 постоянное свечение 230В нужен блок 303-500 NEON-NIGHT</t>
  </si>
  <si>
    <t>255-176</t>
  </si>
  <si>
    <t>Гирлянда светодиодная Бахрома (Айсикл) 4,8х0,6м 176 LED ТЕПЛЫЙ БЕЛЫЙ черный ПВХ IP65 эффект мерцания 230В нужен блок питания 303-500 NEON-NIGHT</t>
  </si>
  <si>
    <t>10. 3. 4. 2 Бахрома Каучук</t>
  </si>
  <si>
    <t>10. 3. 4. 2. 2 Бахрома Каучук 3,2х0,9 м</t>
  </si>
  <si>
    <t>255-466</t>
  </si>
  <si>
    <t>Гирлянда светодиодная Бахрома (Айсикл) 3,2х0,9м 120 LED ТЕПЛЫЙ БЕЛЫЙ белый каучук 3,3мм IP67 эффект мерцания 230В нужен блок 315-001 NEON-NIGHT</t>
  </si>
  <si>
    <t>255-336</t>
  </si>
  <si>
    <t>Гирлянда светодиодная Бахрома (Айсикл) 3,2х0,9м 120 LED ТЕПЛЫЙ БЕЛЫЙ черный каучук 3,3мм IP67 эффект мерцания 230В нужен блок 315-000 NEON-NIGHT</t>
  </si>
  <si>
    <t>10. 3. 4. 2. 3 Бахрома Каучук 4х0,6 м</t>
  </si>
  <si>
    <t>255-205</t>
  </si>
  <si>
    <t>Гирлянда светодиодная Бахрома (Айсикл) 4,0х0,6м 128 LED БЕЛЫЙ белый каучук 3,3 мм IP67 постоянное свечение 230В нужен блок 315-001 NEON-NIGHT</t>
  </si>
  <si>
    <t>255-355</t>
  </si>
  <si>
    <t>Гирлянда светодиодная Бахрома (Айсикл) 4,0х0,6м 128 LED БЕЛЫЙ белый каучук, 3,3мм IP67 эффект мерцания 230В нужен блок 315-001 NEON-NIGHT</t>
  </si>
  <si>
    <t>255-225</t>
  </si>
  <si>
    <t>Гирлянда светодиодная Бахрома (Айсикл) 4,0х0,6м 128 LED БЕЛЫЙ черный каучук 3,3мм IP67 постоянное свечение 230В нужен блок 315-000 NEON-NIGHT</t>
  </si>
  <si>
    <t>255-235</t>
  </si>
  <si>
    <t>Гирлянда светодиодная Бахрома (Айсикл) 4,0х0,6м 128 LED БЕЛЫЙ черный каучук 3,3мм IP67 эффект мерцания 230В нужен блок 315-000 NEON-NIGHT</t>
  </si>
  <si>
    <t>255-201</t>
  </si>
  <si>
    <t>Гирлянда светодиодная Бахрома (Айсикл) 4,0х0,6м 128 LED ЖЕЛТЫЙ белый каучук 2,3мм IP67 постоянное свечение 230В нужен блок 315-001 NEON-NIGHT</t>
  </si>
  <si>
    <t>255-221</t>
  </si>
  <si>
    <t>Гирлянда светодиодная Бахрома (Айсикл) 4,0х0,6м 128 LED ЖЕЛТЫЙ черный каучук 2,3мм IP67 постоянное свечение 230В нужен блок 315-000 NEON-NIGHT</t>
  </si>
  <si>
    <t>255-231</t>
  </si>
  <si>
    <t>Гирлянда светодиодная Бахрома (Айсикл) 4,0х0,6м 128 LED ЖЕЛТЫЙ черный каучук 3,3мм IP67 эффект мерцания 230В нужен блок 315-000 NEON-NIGHT</t>
  </si>
  <si>
    <t>255-234</t>
  </si>
  <si>
    <t>Гирлянда светодиодная Бахрома (Айсикл) 4,0х0,6м 128 LED ЗЕЛЕНЫЙ черный каучук 3,3мм IP67 эффект мерцания 230В нужен блок 315-000 NEON-NIGHT</t>
  </si>
  <si>
    <t>255-232</t>
  </si>
  <si>
    <t>Гирлянда светодиодная Бахрома (Айсикл) 4,0х0,6м 128 LED КРАСНЫЙ черный каучук 3,3мм IP67 эффект мерцания 230В нужен блок 315-000 NEON-NIGHT</t>
  </si>
  <si>
    <t>255-353</t>
  </si>
  <si>
    <t>Гирлянда светодиодная Бахрома (Айсикл) 4,0х0,6м 128 LED СИНИЙ белый каучук 2,3мм IP67 эффект мерцания 230В нужен блок 315-001 NEON-NIGHT</t>
  </si>
  <si>
    <t>255-203</t>
  </si>
  <si>
    <t>Гирлянда светодиодная Бахрома (Айсикл) 4,0х0,6м 128 LED СИНИЙ белый каучук 3,3мм IP67 постоянное свечение 230В нужен блок 315-001 NEON-NIGHT</t>
  </si>
  <si>
    <t>255-223</t>
  </si>
  <si>
    <t>Гирлянда светодиодная Бахрома (Айсикл) 4,0х0,6м 128 LED СИНИЙ черный каучук 2,3мм IP67 постоянное свечение 230В нужен блок 315-000 NEON-NIGHT</t>
  </si>
  <si>
    <t>255-233</t>
  </si>
  <si>
    <t>Гирлянда светодиодная Бахрома (Айсикл) 4,0х0,6м 128 LED СИНИЙ черный каучук 2,3мм IP67 эффект мерцания 230В нужен блок 315-000 NEON-NIGHT</t>
  </si>
  <si>
    <t>255-206-6</t>
  </si>
  <si>
    <t>Бахрома (Айсикл) 4,0х0,6м 128 LED ТЕПЛЫЙ БЕЛЫЙ белый каучук 2,3мм IP67 постоянное свечение 230В нужен блок 315-001</t>
  </si>
  <si>
    <t>255-356-6</t>
  </si>
  <si>
    <t>Бахрома (Айсикл) 4,0х0,6м 128 LED ТЕПЛЫЙ БЕЛЫЙ белый каучук 2,3мм IP67 эффект мерцания 230В нужен блок 315-001</t>
  </si>
  <si>
    <t>255-206</t>
  </si>
  <si>
    <t>Гирлянда светодиодная Бахрома (Айсикл) 4,0х0,6м 128 LED ТЕПЛЫЙ БЕЛЫЙ белый каучук 3,3мм IP67 постоянное свечение 230В нужен блок 315-001 NEON-NIGHT</t>
  </si>
  <si>
    <t>255-356</t>
  </si>
  <si>
    <t>Гирлянда светодиодная Бахрома (Айсикл) 4,0х0,6м 128 LED ТЕПЛЫЙ БЕЛЫЙ белый каучук 3,3мм IP67 эффект мерцания 230В нужен блок 315-001 NEON-NIGHT</t>
  </si>
  <si>
    <t>255-226-6</t>
  </si>
  <si>
    <t>Гирлянда светодиодная Бахрома (Айсикл) 4,0х0,6м 128 LED ТЕПЛЫЙ БЕЛЫЙ черный каучук 2,3мм IP67 постоянное свечение 230В нужен блок 315-000 NEON-NIGHT</t>
  </si>
  <si>
    <t>255-236-6</t>
  </si>
  <si>
    <t>Гирлянда светодиодная Бахрома (Айсикл) 4,0х0,6м 128 LED ТЕПЛЫЙ БЕЛЫЙ черный каучук 2,3мм IP67 эффект мерцания 230В нужен блок 315-000 NEON-NIGHT</t>
  </si>
  <si>
    <t>255-226</t>
  </si>
  <si>
    <t>Гирлянда светодиодная Бахрома (Айсикл) 4,0х0,6м 128 LED ТЕПЛЫЙ БЕЛЫЙ черный каучук 3,3мм IP67 постоянное свечение 230В нужен блок 315-000 NEON-NIGHT</t>
  </si>
  <si>
    <t>255-236</t>
  </si>
  <si>
    <t>Гирлянда светодиодная Бахрома (Айсикл) 4,0х0,6м 128 LED ТЕПЛЫЙ БЕЛЫЙ черный каучук 3,3мм IP67 эффект мерцания 230В нужен блок 315-000 NEON-NIGHT</t>
  </si>
  <si>
    <t>10. 3. 4. 2. 4 Бахрома Каучук 5х0,7 м</t>
  </si>
  <si>
    <t>255-315</t>
  </si>
  <si>
    <t>Гирлянда светодиодная Бахрома (Айсикл) 5х0,7м 152 LED БЕЛЫЙ черный каучук 2,3мм IP67 постоянное свечение 230В нужен блок 315-000 NEON-NIGHT</t>
  </si>
  <si>
    <t>255-365</t>
  </si>
  <si>
    <t>Гирлянда светодиодная Бахрома (Айсикл) 5х0,7м 152 LED БЕЛЫЙ черный каучук 2,3мм IP67 эффект мерцания 230В нужен блок 315-000 NEON-NIGHT</t>
  </si>
  <si>
    <t>255-376</t>
  </si>
  <si>
    <t>Гирлянда светодиодная Бахрома (Айсикл) 5х0,7м 152 LED ТЕПЛЫЙ БЕЛЫЙ белый каучук 2,3мм IP67 постоянное свечение 230В нужен блок 315-001 NEON-NIGHT</t>
  </si>
  <si>
    <t>255-386</t>
  </si>
  <si>
    <t>Гирлянда светодиодная Бахрома (Айсикл) 5х0,7м 152 LED ТЕПЛЫЙ БЕЛЫЙ белый каучук 2,3мм IP67 эффект мерцания 230В нужен блок 315-001 NEON-NIGHT</t>
  </si>
  <si>
    <t>255-316</t>
  </si>
  <si>
    <t>Гирлянда светодиодная Бахрома (Айсикл) 5х0,7м 152 LED ТЕПЛЫЙ БЕЛЫЙ черный каучук 2,3мм IP67 постоянное свечение 230В нужен блок 315-000 NEON-NIGHT</t>
  </si>
  <si>
    <t>255-306</t>
  </si>
  <si>
    <t>Гирлянда светодиодная Бахрома (Айсикл) 5х0,7м 152 LED ТЕПЛЫЙ БЕЛЫЙ черный каучук 2,3мм IP67 эффект мерцания 230В нужен блок 315-000 NEON-NIGHT</t>
  </si>
  <si>
    <t>10. 3. 4. 2. 5 Бахрома Каучук 5,6х0,9 м</t>
  </si>
  <si>
    <t>255-285</t>
  </si>
  <si>
    <t>Гирлянда светодиодная Бахрома (Айсикл) 5,6x0,9м 240 LED БЕЛЫЙ белый каучук 3,3мм IP67 постоянное свечение 230В нужен блок 315-001 NEON-NIGHT</t>
  </si>
  <si>
    <t>255-265</t>
  </si>
  <si>
    <t>Гирлянда светодиодная Бахрома (Айсикл) 5,6x0,9м 240 LED БЕЛЫЙ белый каучук 3,3мм IP67 эффект мерцания 230В нужен блок 315-001 NEON-NIGHT</t>
  </si>
  <si>
    <t>255-245</t>
  </si>
  <si>
    <t>Гирлянда светодиодная Бахрома (Айсикл) 5,6x0,9м 240 LED БЕЛЫЙ черный каучук 3,3мм IP67 постоянное свечение 230В нужен блок 315-000 NEON-NIGHT</t>
  </si>
  <si>
    <t>255-255</t>
  </si>
  <si>
    <t>Гирлянда светодиодная Бахрома (Айсикл) 5,6x0,9м 240 LED БЕЛЫЙ черный каучук 3,3мм IP67 эффект мерцания 230В нужен блок 315-000 NEON-NIGHT</t>
  </si>
  <si>
    <t>255-241</t>
  </si>
  <si>
    <t>Гирлянда светодиодная Бахрома (Айсикл) 5,6x0,9м 240 LED ЖЕЛТЫЙ черный каучук 2,3мм IP67 постоянное свечение 230В нужен блок 315-000 NEON-NIGHT</t>
  </si>
  <si>
    <t>255-283</t>
  </si>
  <si>
    <t>Гирлянда светодиодная Бахрома (Айсикл) 5,6x0,9м 240 LED СИНИЙ белый каучук 2,3мм IP67 постоянное свечение 230В нужен блок 315-001 NEON-NIGHT</t>
  </si>
  <si>
    <t>255-263</t>
  </si>
  <si>
    <t>Гирлянда светодиодная Бахрома (Айсикл) 5,6x0,9м 240 LED СИНИЙ белый каучук 3,3мм IP67 эффект мерцания 230В нужен блок 315-001 NEON-NIGHT</t>
  </si>
  <si>
    <t>255-243</t>
  </si>
  <si>
    <t>Гирлянда светодиодная Бахрома (Айсикл) 5,6x0,9м 240 LED СИНИЙ черный каучук 3,3мм IP67 постоянное свечение 230В блок в комплекте NEON-NIGHT</t>
  </si>
  <si>
    <t>255-253</t>
  </si>
  <si>
    <t>Гирлянда светодиодная Бахрома (Айсикл) 5,6x0,9м 240 LED СИНИЙ черный каучук 3,3мм IP67 эффект мерцания 230В нужен блок 315-000 NEON-NIGHT</t>
  </si>
  <si>
    <t>255-286</t>
  </si>
  <si>
    <t>Гирлянда светодиодная Бахрома (Айсикл) 5,6x0,9м 240 LED ТЕПЛЫЙ БЕЛЫЙ белый каучук 3,3мм IP67 постоянное свечение 230В нужен блок 315-001 NEON-NIGHT</t>
  </si>
  <si>
    <t>255-266</t>
  </si>
  <si>
    <t>Гирлянда светодиодная Бахрома (Айсикл) 5,6x0,9м 240 LED ТЕПЛЫЙ БЕЛЫЙ белый каучук 3,3мм IP67 эффект мерцания 230В нужен блок 315-001 NEON-NIGHT</t>
  </si>
  <si>
    <t>255-246</t>
  </si>
  <si>
    <t>Гирлянда светодиодная Бахрома (Айсикл) 5,6x0,9м 240 LED ТЕПЛЫЙ БЕЛЫЙ черный каучук 3,3мм IP67 постоянное свечение 230В нужен блок 315-000 NEON-NIGHT</t>
  </si>
  <si>
    <t>255-256</t>
  </si>
  <si>
    <t>Гирлянда светодиодная Бахрома (Айсикл) 5,6x0,9м 240 LED ТЕПЛЫЙ БЕЛЫЙ черный каучук 3,3мм IP67 эффект мерцания 230В нужен блок 315-000 NEON-NIGHT</t>
  </si>
  <si>
    <t>10. 3. 5 Гирлянда Сеть</t>
  </si>
  <si>
    <t>10. 3. 5. 1 Сеть ПВХ</t>
  </si>
  <si>
    <t>10. 3. 5. 1. 1 Сеть ПВХ 2х0,7 м</t>
  </si>
  <si>
    <t>215-012</t>
  </si>
  <si>
    <t>Гирлянда светодиодная Сеть 2х0,7м 176 LED БЕЛЫЙ/СИНИЙ черный ПВХ IP65 свечение с динамикой 230В контроллер в комплекте NEON-NIGHT</t>
  </si>
  <si>
    <t>215-013</t>
  </si>
  <si>
    <t>Гирлянда светодиодная Сеть 2х0,7м 176 LED КРАСНЫЙ/СИНИЙ черный ПВХ IP65 свечение с динамикой 230В контроллер в комплекте NEON-NIGHT</t>
  </si>
  <si>
    <t>10. 3. 5. 1. 2 Сеть ПВХ 2х1,5 м</t>
  </si>
  <si>
    <t>215-045</t>
  </si>
  <si>
    <t>Гирлянда светодиодная Сеть 2х1,5м 288 LED БЕЛЫЙ прозрачный ПВХ IP65 свечение с динамикой 230В блок в комплекте NEON-NIGHT</t>
  </si>
  <si>
    <t>215-021</t>
  </si>
  <si>
    <t>Гирлянда светодиодная Сеть 2х1,5м 288 LED БЕЛЫЙ черный ПВХ IP65 свечение с динамикой 230В блок в комплекте NEON-NIGHT</t>
  </si>
  <si>
    <t>215-022</t>
  </si>
  <si>
    <t>Гирлянда светодиодная Сеть 2х1,5м 288 LED БЕЛЫЙ/СИНИЙ черный ПВХ IP65 свечение с динамикой 230В контроллер в комплекте NEON-NIGHT</t>
  </si>
  <si>
    <t>215-023</t>
  </si>
  <si>
    <t>Гирлянда светодиодная Сеть 2х1,5м 288 LED КРАСНЫЙ/СИНИЙ черный ПВХ IP65 свечение с динамикой 230В контроллер в комплекте NEON-NIGHT</t>
  </si>
  <si>
    <t>215-029</t>
  </si>
  <si>
    <t>Гирлянда светодиодная Сеть 2х1,5м 288 LED МУЛЬТИ черный ПВХ IP65 постоянное свечение 230В контроллер в комплекте NEON-NIGHT</t>
  </si>
  <si>
    <t>215-043</t>
  </si>
  <si>
    <t>Гирлянда светодиодная Сеть 2х1,5м 288 LED СИНИЙ прозрачный ПВХ IP65 свечение с динамикой 230В блок в комплекте NEON-NIGHT</t>
  </si>
  <si>
    <t>215-046</t>
  </si>
  <si>
    <t>Гирлянда светодиодная Сеть 2х1,5м 288 LED ТЕПЛЫЙ БЕЛЫЙ прозрачный ПВХ IP65 свечение с динамикой 230В блок в комплекте NEON-NIGHT</t>
  </si>
  <si>
    <t>215-026</t>
  </si>
  <si>
    <t>Гирлянда светодиодная Сеть 2х1,5м 288 LED ТЕПЛЫЙ БЕЛЫЙ черный ПВХ IP65 свечение с динамикой блок в комплекте NEON-NIGHT</t>
  </si>
  <si>
    <t>215-041</t>
  </si>
  <si>
    <t>Гирлянда Сеть 2х1,5м, свечение с динамикой, прозрачный ПВХ, 288 LED, 230 В, цвет: Жёлтый</t>
  </si>
  <si>
    <t>10. 3. 5. 1. 3 Сеть ПВХ 1х1,5 м</t>
  </si>
  <si>
    <t>215-115</t>
  </si>
  <si>
    <t>Гирлянда светодиодная Сеть 1х1,5м 160 LED БЕЛЫЙ черный ПВХ IP65 свечение с динамикой 230В блок в комплекте NEON-NIGHT</t>
  </si>
  <si>
    <t>215-119</t>
  </si>
  <si>
    <t>Гирлянда светодиодная Сеть 1х1,5м 160 LED МУЛЬТИ черный ПВХ IP65 свечение с динамикой 230В контроллер в комплекте NEON-NIGHT</t>
  </si>
  <si>
    <t>215-116</t>
  </si>
  <si>
    <t>Гирлянда светодиодная Сеть 1х1,5м 160 LED ТЕПЛЫЙ БЕЛЫЙ черный ПВХ IP65 свечение с динамикой 230В блок в комплекте NEON-NIGHT</t>
  </si>
  <si>
    <t>10. 3. 5. 1. 4 Сеть ПВХ 1,5х2х2 м</t>
  </si>
  <si>
    <t>215-055</t>
  </si>
  <si>
    <t>Гирлянда светодиодная Сеть треугольная 1,5х2х2м 136 LED БЕЛЫЙ прозрачный ПВХ IP65 свечение с динамикой 230В контроллер в комплекте NEON-NIGHT</t>
  </si>
  <si>
    <t>215-005</t>
  </si>
  <si>
    <t>Гирлянда светодиодная Сеть треугольная 1,5х2х2м 136 LED БЕЛЫЙ черный ПВХ IP65 свечение с динамикой 230В блок в комплекте NEON-NIGHT</t>
  </si>
  <si>
    <t>215-059</t>
  </si>
  <si>
    <t>Гирлянда светодиодная Сеть треугольная 1,5х2х2м 136 LED МУЛЬТИ прозрачный ПВХ IP65 свечение с динамикой 230В контроллер в комплекте NEON-NIGHT</t>
  </si>
  <si>
    <t>215-009</t>
  </si>
  <si>
    <t>Гирлянда светодиодная Сеть треугольная 1,5х2х2м 136 LED МУЛЬТИ черный ПВХ IP65 свечение с динамикой 230В контроллер в комплекте NEON-NIGHT</t>
  </si>
  <si>
    <t>215-006</t>
  </si>
  <si>
    <t>Гирлянда светодиодная Сеть треугольная 1,5х2х2м 136 LED ТЕПЛЫЙ БЕЛЫЙ черный ПВХ IP65 свечение с динамикой 230В контроллер в комплекте NEON-NIGHT</t>
  </si>
  <si>
    <t>10. 3. 5. 1. 5 Сеть ПВХ 2,5х2,5 м</t>
  </si>
  <si>
    <t>215-031</t>
  </si>
  <si>
    <t>Гирлянда светодиодная Сеть 2,5х2,5м 432 LED БЕЛЫЙ черный ПВХ IP65 свечение с динамикой 230В контроллер в комплекте NEON-NIGHT</t>
  </si>
  <si>
    <t>215-032</t>
  </si>
  <si>
    <t>Гирлянда светодиодная Сеть 2,5х2,5м 432 LED БЕЛЫЙ/СИНИЙ черный ПВХ IP65 постоянное свечение 230В блок в комплекте NEON-NIGHT</t>
  </si>
  <si>
    <t>215-033</t>
  </si>
  <si>
    <t>Гирлянда светодиодная Сеть 2,5х2,5м 432 LED КРАСНЫЙ/СИНИЙ черный ПВХ IP65 свечение с динамикой 230В контроллер в комплекте NEON-NIGHT</t>
  </si>
  <si>
    <t>10. 3. 5. 2 Сеть Каучук</t>
  </si>
  <si>
    <t>10. 3. 5. 2. 1 Сеть Каучук 2х1,5 м</t>
  </si>
  <si>
    <t>217-115</t>
  </si>
  <si>
    <t>Гирлянда светодиодная Сеть 2x1,5м 288 LED БЕЛЫЙ черный каучук IP67 постоянное свечение 230В блок в комплекте NEON-NIGHT</t>
  </si>
  <si>
    <t>217-119</t>
  </si>
  <si>
    <t>Гирлянда светодиодная Сеть 2x1,5м 288 LED МУЛЬТИ черный каучук IP67 постоянное свечение 230В блок в комплекте NEON-NIGHT</t>
  </si>
  <si>
    <t>10. 3. 5. 2. 2 Сеть Каучук 2х3 м</t>
  </si>
  <si>
    <t>217-145</t>
  </si>
  <si>
    <t>Гирлянда светодиодная Сеть 2x3м 432 LED БЕЛЫЙ белый каучук IP67 постоянное свечение 230В блок в комплекте NEON-NIGHT</t>
  </si>
  <si>
    <t>217-125</t>
  </si>
  <si>
    <t>Гирлянда светодиодная Сеть 2x3м 432 LED БЕЛЫЙ черный каучук IP67 постоянное свечение 230В блок в комплекте NEON-NIGHT</t>
  </si>
  <si>
    <t>217-129</t>
  </si>
  <si>
    <t>Гирлянда светодиодная Сеть 2x3м 432 LED МУЛЬТИ черный каучук IP67 постоянное свечение 230В блок в комплекте NEON-NIGHT</t>
  </si>
  <si>
    <t>217-146</t>
  </si>
  <si>
    <t>Гирлянда светодиодная Сеть 2x3м 432 LED ТЕПЛЫЙ БЕЛЫЙ белый каучук IP67 постоянное свечение 230В блок в комплекте NEON-NIGHT</t>
  </si>
  <si>
    <t>217-126</t>
  </si>
  <si>
    <t>Гирлянда светодиодная Сеть 2x3м 432 LED ТЕПЛЫЙ БЕЛЫЙ черный каучук IP67 постоянное свечение 230В блок в комплекте NEON-NIGHT</t>
  </si>
  <si>
    <t>10. 3. 5. 2. 3 Сеть Каучук 2х4 м</t>
  </si>
  <si>
    <t>217-135</t>
  </si>
  <si>
    <t>Гирлянда светодиодная Сеть 2x4м 560 LED БЕЛЫЙ черный каучук IP67 постоянное свечение 230В блок в комплекте NEON-NIGHT</t>
  </si>
  <si>
    <t>10. 3. 6 Гирлянда Нить</t>
  </si>
  <si>
    <t>10. 3. 6. 1 Нить ПВХ</t>
  </si>
  <si>
    <t>245-409</t>
  </si>
  <si>
    <t>Гирлянда светодиодная Нить 10м 100 LED RGB прозрачный ПВХ IP65 свечение с динамикой 230В соединяется NEON-NIGHT нужен контроллер 245-908</t>
  </si>
  <si>
    <t>245-408</t>
  </si>
  <si>
    <t>Гирлянда светодиодная Нить 10м 100 LED RGB черный ПВХ IP65 свечение с динамикой 230В соединяется NEON-NIGHT нужен контроллер 245-908</t>
  </si>
  <si>
    <t>305-165</t>
  </si>
  <si>
    <t>Гирлянда светодиодная Нить 10м 100 LED БЕЛЫЙ белый ПВХ IP65 постоянное свечение 230В соединяется нужен блок 303-500-1 NEON-NIGHT</t>
  </si>
  <si>
    <t>305-135</t>
  </si>
  <si>
    <t>Гирлянда светодиодная Нить 10м 100 LED БЕЛЫЙ белый ПВХ IP65 постоянное свечение 24В соединяется NEON-NIGHT нужен трансформатор 531-100/531-311/531-312</t>
  </si>
  <si>
    <t>305-265</t>
  </si>
  <si>
    <t>Гирлянда светодиодная Нить 10м 100 LED БЕЛЫЙ белый ПВХ IP65 эффект мерцания 230В соединяется нужен блок 303-500-1 NEON-NIGHT</t>
  </si>
  <si>
    <t>305-235</t>
  </si>
  <si>
    <t>Гирлянда светодиодная Нить 10м 100 LED БЕЛЫЙ белый ПВХ IP65 эффект мерцания 24В соединяется NEON-NIGHT нужен трансформатор 531-100/531-311/531-312</t>
  </si>
  <si>
    <t>305-185</t>
  </si>
  <si>
    <t>Гирлянда светодиодная Нить 10м 100 LED БЕЛЫЙ прозрачный ПВХ IP65 постоянное свечение 230В соединяется нужен блок 303-500-1 NEON-NIGHT</t>
  </si>
  <si>
    <t>305-155</t>
  </si>
  <si>
    <t>Гирлянда светодиодная Нить 10м 100 LED БЕЛЫЙ прозрачный ПВХ IP65 постоянное свечение 24В соединяется NEON-NIGHT нужен трансформатор 531-100/531-311/531-312</t>
  </si>
  <si>
    <t>305-285</t>
  </si>
  <si>
    <t>Гирлянда светодиодная Нить 10м 100 LED БЕЛЫЙ прозрачный ПВХ IP65 эффект мерцания 230В соединяется нужен блок 303-500-1 NEON-NIGHT</t>
  </si>
  <si>
    <t>305-255</t>
  </si>
  <si>
    <t>Гирлянда светодиодная Нить 10м 100 LED БЕЛЫЙ прозрачный ПВХ IP65 эффект мерцания 24В соединяется NEON-NIGHT нужен трансформатор 531-100/531-311/531-312</t>
  </si>
  <si>
    <t>305-175</t>
  </si>
  <si>
    <t>Гирлянда светодиодная Нить 10м 100 LED БЕЛЫЙ черный ПВХ IP65 постоянное свечение 230В соединяется нужен блок 303-500 NEON-NIGHT</t>
  </si>
  <si>
    <t>305-145</t>
  </si>
  <si>
    <t>Гирлянда светодиодная Нить 10м 100 LED БЕЛЫЙ черный ПВХ IP65 постоянное свечение 24В соединяется NEON-NIGHT нужен трансформатор 531-100/531-311/531-312</t>
  </si>
  <si>
    <t>305-275</t>
  </si>
  <si>
    <t>Гирлянда светодиодная Нить 10м 100 LED БЕЛЫЙ черный ПВХ IP65 эффект мерцания 230В соединяется нужен блок 303-500 NEON-NIGHT</t>
  </si>
  <si>
    <t>305-245</t>
  </si>
  <si>
    <t>Гирлянда светодиодная Нить 10м 100 LED БЕЛЫЙ черный ПВХ IP65 эффект мерцания 24В соединяется NEON-NIGHT нужен трансформатор 531-100/531-311/531-312</t>
  </si>
  <si>
    <t>305-181</t>
  </si>
  <si>
    <t>Гирлянда светодиодная Нить 10м 100 LED ЖЕЛТЫЙ прозрачный ПВХ IP65 постоянное свечение 230В соединяется нужен блок 303-500-1 NEON-NIGHT</t>
  </si>
  <si>
    <t>305-151</t>
  </si>
  <si>
    <t>Гирлянда светодиодная Нить 10м 100 LED ЖЕЛТЫЙ прозрачный ПВХ IP65 постоянное свечение 24В соединяется NEON-NIGHT нужен трансформатор 531-100/531-311/531-312</t>
  </si>
  <si>
    <t>305-281</t>
  </si>
  <si>
    <t>Гирлянда светодиодная Нить 10м 100 LED ЖЕЛТЫЙ прозрачный ПВХ IP65 эффект мерцания 230В соединяется нужен блок 303-500-1 NEON-NIGHT</t>
  </si>
  <si>
    <t>305-251</t>
  </si>
  <si>
    <t>Гирлянда светодиодная Нить 10м 100 LED ЖЕЛТЫЙ прозрачный ПВХ IP65 эффект мерцания 24В соединяется NEON-NIGHT нужен трансформатор 531-100/531-311/531-312</t>
  </si>
  <si>
    <t>305-171</t>
  </si>
  <si>
    <t>Гирлянда светодиодная Нить 10м 100 LED ЖЕЛТЫЙ черный ПВХ IP65 постоянное свечение 230В соединяется нужен блок 303-500 NEON-NIGHT</t>
  </si>
  <si>
    <t>305-241</t>
  </si>
  <si>
    <t>Гирлянда светодиодная Нить 10м 100 LED ЖЕЛТЫЙ черный ПВХ IP65 эффект мерцания 24В соединяется NEON-NIGHT нужен трансформатор 531-100/531-311/531-312</t>
  </si>
  <si>
    <t>305-184</t>
  </si>
  <si>
    <t>Гирлянда светодиодная Нить 10м 100 LED ЗЕЛЕНЫЙ прозрачный ПВХ IP65 постоянное свечение 230В соединяется нужен блок 303-500-1 NEON-NIGHT</t>
  </si>
  <si>
    <t>305-154</t>
  </si>
  <si>
    <t>Гирлянда светодиодная Нить 10м 100 LED ЗЕЛЕНЫЙ прозрачный ПВХ IP65 постоянное свечение 24В соединяется NEON-NIGHT нужен трансформатор 531-100/531-200</t>
  </si>
  <si>
    <t>305-284</t>
  </si>
  <si>
    <t>Гирлянда светодиодная Нить 10м 100 LED ЗЕЛЕНЫЙ прозрачный ПВХ IP65 эффект мерцания 230В соединяется нужен блок 303-500-1 NEON-NIGHT</t>
  </si>
  <si>
    <t>305-254</t>
  </si>
  <si>
    <t>Гирлянда светодиодная Нить 10м 100 LED ЗЕЛЕНЫЙ прозрачный ПВХ IP65 эффект мерцания 24В соединяется NEON-NIGHT нужен трансформатор 531-100/531-311/531-312</t>
  </si>
  <si>
    <t>305-162</t>
  </si>
  <si>
    <t>Гирлянда светодиодная Нить 10м 100 LED КРАСНЫЙ белый ПВХ IP65 постоянное свечение 230В соединяется нужен блок 303-500-1 NEON-NIGHT</t>
  </si>
  <si>
    <t>305-262</t>
  </si>
  <si>
    <t>Гирлянда светодиодная Нить 10м 100 LED КРАСНЫЙ белый ПВХ IP65 эффект мерцания 230В соединяется нужен блок 303-500-1 NEON-NIGHT</t>
  </si>
  <si>
    <t>305-182</t>
  </si>
  <si>
    <t>Гирлянда светодиодная Нить 10м 100 LED КРАСНЫЙ прозрачный ПВХ IP65 постоянное свечение 230В соединяется нужен блок 303-500-1 NEON-NIGHT</t>
  </si>
  <si>
    <t>305-282</t>
  </si>
  <si>
    <t>Гирлянда светодиодная Нить 10м 100 LED КРАСНЫЙ прозрачный ПВХ IP65 эффект мерцания 230В соединяется нужен блок 303-500-1 NEON-NIGHT</t>
  </si>
  <si>
    <t>305-252</t>
  </si>
  <si>
    <t>Гирлянда светодиодная Нить 10м 100 LED КРАСНЫЙ прозрачный ПВХ IP65 эффект мерцания 24В соединяется NEON-NIGHT нужен трансформатор 531-100/531-311/531-312</t>
  </si>
  <si>
    <t>305-169</t>
  </si>
  <si>
    <t>Гирлянда светодиодная Нить 10м 100 LED МУЛЬТИКОЛОР белый ПВХ IP65 постоянное свечение 230В соединяется нужен блок 303-500-1 NEON-NIGHT</t>
  </si>
  <si>
    <t>305-189</t>
  </si>
  <si>
    <t>Гирлянда светодиодная Нить 10м 100 LED МУЛЬТИКОЛОР прозрачный ПВХ IP65 постоянное свечение 230В соединяется нужен блок 303-500-1 NEON-NIGHT</t>
  </si>
  <si>
    <t>305-179</t>
  </si>
  <si>
    <t>Гирлянда светодиодная Нить 10м 100 LED МУЛЬТИКОЛОР черный ПВХ IP65 постоянное свечение 230В соединяется нужен блок 303-500 NEON-NIGHT</t>
  </si>
  <si>
    <t>305-263</t>
  </si>
  <si>
    <t>Гирлянда светодиодная Нить 10м 100 LED СИНИЙ белый ПВХ IP65 эффект мерцания 230В соединяется нужен блок 303-500-1 NEON-NIGHT</t>
  </si>
  <si>
    <t>305-183</t>
  </si>
  <si>
    <t>Гирлянда светодиодная Нить 10м 100 LED СИНИЙ прозрачный ПВХ IP65 постоянное свечение 230В соединяется нужен блок 303-500-1 NEON-NIGHT</t>
  </si>
  <si>
    <t>305-283</t>
  </si>
  <si>
    <t>Гирлянда светодиодная Нить 10м 100 LED СИНИЙ прозрачный ПВХ IP65 эффект мерцания 230В соединяется нужен блок 303-500-1 NEON-NIGHT</t>
  </si>
  <si>
    <t>305-253</t>
  </si>
  <si>
    <t>Гирлянда светодиодная Нить 10м 100 LED СИНИЙ прозрачный ПВХ IP65 эффект мерцания 24В соединяется NEON-NIGHT нужен трансформатор 531-100/531-311/531-312</t>
  </si>
  <si>
    <t>305-273</t>
  </si>
  <si>
    <t>Гирлянда светодиодная Нить 10м 100 LED СИНИЙ черный ПВХ IP65 эффект мерцания 230В соединяется нужен блок 303-500 NEON-NIGHT</t>
  </si>
  <si>
    <t>305-166</t>
  </si>
  <si>
    <t>Гирлянда светодиодная Нить 10м 100 LED ТЕПЛЫЙ БЕЛЫЙ IP65 белый ПВХ постоянное свечение 230В соединяется нужен блок 303-500-1 NEON-NIGHT</t>
  </si>
  <si>
    <t>305-136</t>
  </si>
  <si>
    <t>Гирлянда светодиодная Нить 10м 100 LED ТЕПЛЫЙ БЕЛЫЙ IP65 белый ПВХ постоянное свечение 24В соединяется NEON-NIGHT нужен транс-ор 531-100/531-311/531-312</t>
  </si>
  <si>
    <t>305-266</t>
  </si>
  <si>
    <t>Гирлянда светодиодная Нить 10м 100 LED ТЕПЛЫЙ БЕЛЫЙ белый ПВХ IP65 эффект мерцания 230В соединяется нужен блок 303-500-1 NEON-NIGHT</t>
  </si>
  <si>
    <t>305-236</t>
  </si>
  <si>
    <t>Гирлянда светодиодная Нить 10м 100 LED ТЕПЛЫЙ БЕЛЫЙ белый ПВХ IP65 эффект мерцания 24В соединяется NEON-NIGHT нужен трансформатор 531-100/531-311/531-312</t>
  </si>
  <si>
    <t>305-186</t>
  </si>
  <si>
    <t>Гирлянда светодиодная Нить 10м 100 LED ТЕПЛЫЙ БЕЛЫЙ прозрачный ПВХ IP65 постоянное свечение 230В соединяется нужен блок 303-500-1 NEON-NIGHT</t>
  </si>
  <si>
    <t>305-156</t>
  </si>
  <si>
    <t>Гирлянда светодиодная Нить 10м 100 LED ТЕПЛЫЙ БЕЛЫЙ прозрачный ПВХ IP65 постоянное свечение 24В соединяется NEON-NIGHT нужен транс-ор 531-100/531-311/531-312</t>
  </si>
  <si>
    <t>305-286</t>
  </si>
  <si>
    <t>Гирлянда светодиодная Нить 10м 100 LED ТЕПЛЫЙ БЕЛЫЙ прозрачный ПВХ IP65 эффект мерцания 230В соединяется нужен блок 303-500-1 NEON-NIGHT</t>
  </si>
  <si>
    <t>305-256</t>
  </si>
  <si>
    <t>Гирлянда светодиодная Нить 10м 100 LED ТЕПЛЫЙ БЕЛЫЙ прозрачный ПВХ IP65 эффект мерцания 24В соединяется NEON-NIGHT нужен транс-ор 531-100/531-311/531-312</t>
  </si>
  <si>
    <t>305-176</t>
  </si>
  <si>
    <t>Гирлянда светодиодная Нить 10м 100 LED ТЕПЛЫЙ БЕЛЫЙ черный ПВХ IP65 постоянное свечение 230В соединяется нужен блок 303-500 NEON-NIGHT</t>
  </si>
  <si>
    <t>305-146</t>
  </si>
  <si>
    <t>Гирлянда светодиодная Нить 10м 100 LED ТЕПЛЫЙ БЕЛЫЙ черный ПВХ IP65 постоянное свечение 24В соединяется NEON-NIGHT нужен транс-ор 531-100/531-311/531-312</t>
  </si>
  <si>
    <t>305-276</t>
  </si>
  <si>
    <t>Гирлянда светодиодная Нить 10м 100 LED ТЕПЛЫЙ БЕЛЫЙ черный ПВХ IP65 эффект мерцания 230В соединяется нужен блок 303-500 NEON-NIGHT</t>
  </si>
  <si>
    <t>305-246</t>
  </si>
  <si>
    <t>Гирлянда светодиодная Нить 10м 100 LED ТЕПЛЫЙ БЕЛЫЙ черный ПВХ IP65 эффект мерцания 24В соединяется NEON-NIGHT нужен трансформатор 531-100/531-311/531-312</t>
  </si>
  <si>
    <t>305-195</t>
  </si>
  <si>
    <t>Гирлянда светодиодная Нить 10м 200 LED БЕЛЫЙ прозрачный ПВХ IP65 постоянное свечение 230В соединяется нужен блок 303-500-1 NEON-NIGHT</t>
  </si>
  <si>
    <t>305-295</t>
  </si>
  <si>
    <t>Гирлянда светодиодная Нить 10м 200 LED БЕЛЫЙ прозрачный ПВХ IP65 эффект мерцания 230В соединяется нужен блок 303-500-1 NEON-NIGHT</t>
  </si>
  <si>
    <t>305-395</t>
  </si>
  <si>
    <t>Гирлянда светодиодная Нить 10м 200 LED БЕЛЫЙ прозрачный ПВХ IP65 эффект мерцания 24В соединяется NEON-NIGHT нужен трансформатор 531-100/531-311/531-312</t>
  </si>
  <si>
    <t>305-386</t>
  </si>
  <si>
    <t>Гирлянда светодиодная Нить 10м 200 LED ТЕПЛЫЙ БЕЛЫЙ прозрачный ПВХ IP65 постоянное свечение 24В соединяется NEON-NIGHT нужен трансформатор 531-100/531-311/531-312</t>
  </si>
  <si>
    <t>305-296</t>
  </si>
  <si>
    <t>Гирлянда светодиодная Нить 10м 200 LED ТЕПЛЫЙ БЕЛЫЙ прозрачный ПВХ IP65 эффект мерцания 230В соединяется нужен блок 303-500-1 NEON-NIGHT</t>
  </si>
  <si>
    <t>305-396</t>
  </si>
  <si>
    <t>Гирлянда светодиодная Нить 10м 200 LED ТЕПЛЫЙ БЕЛЫЙ прозрачный ПВХ IP65 эффект мерцания 24В соединяется NEON-NIGHT нужен трансформатор 531-100/531-311/531-312</t>
  </si>
  <si>
    <t>305-152</t>
  </si>
  <si>
    <t>Гирлянда Нить 10м, постоянное свечение, прозрачный ПВХ, 24В, цвет Красный</t>
  </si>
  <si>
    <t>305-153</t>
  </si>
  <si>
    <t>Гирлянда Нить 10м, постоянное свечение, прозрачный ПВХ, 24В, цвет Синий</t>
  </si>
  <si>
    <t>10. 3. 6. 2 Нить Каучук / Дюраплей</t>
  </si>
  <si>
    <t>315-195</t>
  </si>
  <si>
    <t>Гирлянда светодиодная Нить 10м 200 LED БЕЛЫЙ черный каучук IP67 эффект мерцания 230В соединяется нужен блок 315-000 NEON-NIGHT</t>
  </si>
  <si>
    <t>315-216</t>
  </si>
  <si>
    <t>Гирлянда светодиодная Нить 10м 200 LED ТЕПЛЫЙ БЕЛЫЙ черный каучук IP67 постоянное свечение 230В соединяется нужен блок 315-000 NEON-NIGHT</t>
  </si>
  <si>
    <t>315-196</t>
  </si>
  <si>
    <t>Гирлянда светодиодная Нить 10м 200 LED ТЕПЛЫЙ БЕЛЫЙ черный каучук IP67 эффект мерцания 230В соединяется нужен блок 315-000 NEON-NIGHT</t>
  </si>
  <si>
    <t>315-136</t>
  </si>
  <si>
    <t>Гирлянда светодиодная Нить 12м 120 LED ТЕПЛЫЙ БЕЛЫЙ черный каучук IP67 постоянное свечение 230В соединяется нужен блок 315-000 NEON-NIGHT</t>
  </si>
  <si>
    <t>315-145</t>
  </si>
  <si>
    <t>Гирлянда светодиодная Нить 20м 200 LED БЕЛЫЙ белый каучук IP67 постоянное свечение 230В соединяется нужен блок 315-001 NEON-NIGHT</t>
  </si>
  <si>
    <t>315-505</t>
  </si>
  <si>
    <t>Гирлянда светодиодная Нить 20м 200 LED БЕЛЫЙ белый каучук IP67 постоянное свечение 24В соединяется NEON-NIGHT нужен трансформатор 531-100/531-311/531-312</t>
  </si>
  <si>
    <t>315-185</t>
  </si>
  <si>
    <t>Гирлянда светодиодная Нить 20м 200 LED БЕЛЫЙ белый каучук IP67 эффект мерцания 230В соединяется нужен блок 315-001 NEON-NIGHT</t>
  </si>
  <si>
    <t>315-535</t>
  </si>
  <si>
    <t>Гирлянда светодиодная Нить 20м 200 LED БЕЛЫЙ белый каучук IP67 эффект мерцания 24В соединяется NEON-NIGHT нужен трансформатор 531-100/531-311/531-312</t>
  </si>
  <si>
    <t>315-165</t>
  </si>
  <si>
    <t>Гирлянда светодиодная Нить 20м 200 LED БЕЛЫЙ черный каучук IP67 100% мерцание 230В соединяется NEON-NIGHT нужен блок 315-000</t>
  </si>
  <si>
    <t>315-155</t>
  </si>
  <si>
    <t>Гирлянда светодиодная Нить 20м 200 LED БЕЛЫЙ черный каучук IP67 постоянное свечение 230В соединяется нужен блок 315-000 NEON-NIGHT</t>
  </si>
  <si>
    <t>315-175</t>
  </si>
  <si>
    <t>Гирлянда светодиодная Нить 20м 200 LED БЕЛЫЙ черный каучук IP67 эффект мерцания 230В соединяется нужен блок 315-000 NEON-NIGHT</t>
  </si>
  <si>
    <t>315-525</t>
  </si>
  <si>
    <t>Гирлянда светодиодная Нить 20м 200 LED БЕЛЫЙ черный каучук IP67 эффект мерцания 24В соединяется NEON-NIGHT нужен трансформатор 531-100/531-311/531-312</t>
  </si>
  <si>
    <t>315-184</t>
  </si>
  <si>
    <t>Гирлянда светодиодная Нить 20м 200 LED ЗЕЛЕНЫЙ белый каучук IP67 эффект мерцания 230В соединяется нужен блок 315-001 NEON-NIGHT</t>
  </si>
  <si>
    <t>315-154</t>
  </si>
  <si>
    <t>Гирлянда светодиодная Нить 20м 200 LED ЗЕЛЕНЫЙ черный каучук IP67 постоянное свечение 230В соединяется нужен блок 315-000 NEON-NIGHT</t>
  </si>
  <si>
    <t>315-182</t>
  </si>
  <si>
    <t>Гирлянда светодиодная Нить 20м 200 LED КРАСНЫЙ белый каучук IP67 эффект мерцания 230В соединяется нужен блок 315-001 NEON-NIGHT</t>
  </si>
  <si>
    <t>315-159</t>
  </si>
  <si>
    <t>Гирлянда светодиодная Нить 20м 200 LED МУЛЬТИКОЛОР черный каучук IP67 постоянное свечение 230В соединяется нужен блок 315-000 NEON-NIGHT</t>
  </si>
  <si>
    <t>315-143</t>
  </si>
  <si>
    <t>Гирлянда светодиодная Нить 20м 200 LED СИНИЙ белый каучук IP67 постоянное свечение 230В соединяется нужен блок 315-001 NEON-NIGHT</t>
  </si>
  <si>
    <t>315-183</t>
  </si>
  <si>
    <t>Гирлянда светодиодная Нить 20м 200 LED СИНИЙ белый каучук IP67 эффект мерцания 230В соединяется нужен блок 315-001 NEON-NIGHT</t>
  </si>
  <si>
    <t>315-153</t>
  </si>
  <si>
    <t>Гирлянда светодиодная Нить 20м 200 LED СИНИЙ черный каучук IP67 постоянное свечение 230В соединяется нужен блок 315-000 NEON-NIGHT</t>
  </si>
  <si>
    <t>315-173</t>
  </si>
  <si>
    <t>Гирлянда светодиодная Нить 20м 200 LED СИНИЙ черный каучук IP67 эффект мерцания соединяется 230В нужен блок 315-000 NEON-NIGHT</t>
  </si>
  <si>
    <t>315-146</t>
  </si>
  <si>
    <t>Гирлянда светодиодная Нить 20м 200 LED ТЕПЛЫЙ БЕЛЫЙ белый каучук IP67 постоянное свечение 230В соединяется нужен блок 315-001 NEON-NIGHT</t>
  </si>
  <si>
    <t>315-506</t>
  </si>
  <si>
    <t>Гирлянда светодиодная Нить 20м 200 LED ТЕПЛЫЙ БЕЛЫЙ белый каучук IP67 постоянное свечение 24В соединяется NEON-NIGHT нужен транс-ор 531-100/531-311/531-312</t>
  </si>
  <si>
    <t>315-186</t>
  </si>
  <si>
    <t>Гирлянда светодиодная Нить 20м 200 LED ТЕПЛЫЙ БЕЛЫЙ белый каучук IP67 эффект мерцания 230В соединяется нужен блок 315-001 NEON-NIGHT</t>
  </si>
  <si>
    <t>315-536</t>
  </si>
  <si>
    <t>Гирлянда светодиодная Нить 20м 200 LED ТЕПЛЫЙ БЕЛЫЙ белый каучук IP67 эффект мерцания 24В соединяется NEON-NIGHT нужен транс-ор 531-100/531-311/531-312</t>
  </si>
  <si>
    <t>315-166</t>
  </si>
  <si>
    <t>Гирлянда светодиодная Нить 20м 200 LED ТЕПЛЫЙ БЕЛЫЙ черный каучук IP67 100% мерцание 230В соединяется NEON-NIGHT нужен блок 315-000</t>
  </si>
  <si>
    <t>315-156</t>
  </si>
  <si>
    <t>Гирлянда светодиодная Нить 20м 200 LED ТЕПЛЫЙ БЕЛЫЙ черный каучук IP67 постоянное свечение 230В соединяется нужен блок 315-000 NEON-NIGHT</t>
  </si>
  <si>
    <t>315-516</t>
  </si>
  <si>
    <t>Гирлянда светодиодная Нить 20м 200 LED ТЕПЛЫЙ БЕЛЫЙ черный каучук IP67 постоянное свечение 24В соединяется NEON-NIGHT нужен транс-ор 531-100/531-311/531-312</t>
  </si>
  <si>
    <t>315-176</t>
  </si>
  <si>
    <t>Гирлянда светодиодная Нить 20м 200 LED ТЕПЛЫЙ БЕЛЫЙ черный каучук IP67 эффект мерцания 230В соединяется нужен блок 315-000 NEON-NIGHT</t>
  </si>
  <si>
    <t>315-526</t>
  </si>
  <si>
    <t>Гирлянда светодиодная Нить 20м 200 LED ТЕПЛЫЙ БЕЛЫЙ черный каучук IP67 эффект мерцания 24В соединяется NEON-NIGHT нужен транс-ор 531-100/531-311/531-312</t>
  </si>
  <si>
    <t>10. 3. 6. 3 Мультишарики ПВХ</t>
  </si>
  <si>
    <t>303-509-1</t>
  </si>
  <si>
    <t>Гирлянда светодиодная Мультишарики Ø13мм 20м 200 LED RGB черный ПВХ IP65 быстрая смена цвета 230В нужен блок 303-500 NEON-NIGHT</t>
  </si>
  <si>
    <t>303-509-2</t>
  </si>
  <si>
    <t>Гирлянда светодиодная Мультишарики Ø17,5мм 10м 100 LED RGB черный ПВХ IP65 быстрая смена цвета 230В нужен блок 303-500 NEON-NIGHT</t>
  </si>
  <si>
    <t>303-509-4</t>
  </si>
  <si>
    <t>Гирлянда светодиодная Мультишарики Ø17,5мм 10м 100 LED RGB черный ПВХ IP65 медленная смена цвета 230В нужен блок 303-500 NEON-NIGHT</t>
  </si>
  <si>
    <t>303-509</t>
  </si>
  <si>
    <t>Гирлянда светодиодная Мультишарики Ø17,5мм 20м 200 LED RGB черный ПВХ IP65 быстрая смена цвета 230В нужен блок 303-500 NEON-NIGHT</t>
  </si>
  <si>
    <t>303-529</t>
  </si>
  <si>
    <t>Гирлянда светодиодная Мультишарики Ø17,5мм 20м 200 LED RGB черный ПВХ IP65 быстрая смена цвета 24В NEON-NIGHT</t>
  </si>
  <si>
    <t>303-505</t>
  </si>
  <si>
    <t>Гирлянда светодиодная Мультишарики Ø17,5мм 20м 200 LED БЕЛЫЙ черный ПВХ IP65 постоянное свечение 230В нужен блок 303-500 NEON-NIGHT</t>
  </si>
  <si>
    <t>303-502</t>
  </si>
  <si>
    <t>Гирлянда светодиодная Мультишарики Ø17,5мм 20м 200 LED КРАСНЫЙ черный ПВХ IP65 постоянное свечение 230В NEON-NIGHT</t>
  </si>
  <si>
    <t>303-589</t>
  </si>
  <si>
    <t>Гирлянда светодиодная Мультишарики Ø17,5мм Ø23мм Ø17,5мм Ø45мм 10м 80 LED RGB черный ПВХ IP65 быстрая смена цвета 230В NEON-NIGHT</t>
  </si>
  <si>
    <t>303-519</t>
  </si>
  <si>
    <t>Гирлянда светодиодная Мультишарики Ø23мм 10м 80 LED RGB черный ПВХ IP65 быстрая смена цвета 230В нужен блок 303-500 NEON-NIGHT</t>
  </si>
  <si>
    <t>303-515</t>
  </si>
  <si>
    <t>Гирлянда светодиодная Мультишарики Ø23мм 10м 80 LED БЕЛЫЙ черный ПВХ IP65 постоянное свечение 230В нужен блок 303-500 NEON-NIGHT</t>
  </si>
  <si>
    <t>303-516</t>
  </si>
  <si>
    <t>Гирлянда светодиодная Мультишарики Ø23мм 10м 80 LED ТЕПЛЫЙ БЕЛЫЙ черный ПВХ IP65 постоянное свечение 230В нужен блок 303-500 NEON-NIGHT</t>
  </si>
  <si>
    <t>303-579</t>
  </si>
  <si>
    <t>Гирлянда светодиодная Мультишарики Ø38мм 10м 40 LED RGB черный ПВХ IP65 быстрая смена цвета 230В нужен блок 303-500 NEON-NIGHT</t>
  </si>
  <si>
    <t>303-575</t>
  </si>
  <si>
    <t>Гирлянда светодиодная Мультишарики Ø38мм 10м 40 LED БЕЛЫЙ черный ПВХ IP65 постоянное свечение 230В нужен блок 303-500 NEON-NIGHT</t>
  </si>
  <si>
    <t>10. 3. 6. 4 Мультишарики Каучук</t>
  </si>
  <si>
    <t>303-679</t>
  </si>
  <si>
    <t>Гирлянда светодиодная Мультишарики Ø17,5мм 10м 80 LED RGB черный каучук IP67 быстрая смена цвета 230В NEON-NIGHT</t>
  </si>
  <si>
    <t>303-599</t>
  </si>
  <si>
    <t>Гирлянда светодиодная Мультишарики Ø23мм 10м 80 LED RGB черный каучук IP67 быстрая смена цвета 230В нужен блок 315-000 NEON-NIGHT</t>
  </si>
  <si>
    <t>303-595</t>
  </si>
  <si>
    <t>Гирлянда светодиодная Мультишарики Ø23мм 10м 80 LED БЕЛЫЙ черный каучук IP67 постоянное свечение 230В нужен блок 315-000 NEON-NIGHT</t>
  </si>
  <si>
    <t>303-596</t>
  </si>
  <si>
    <t>Гирлянда светодиодная Мультишарики Ø23мм 10м 80 LED ТЕПЛЫЙ БЕЛЫЙ черный каучук IP67 постоянное свечение 230В нужен блок 315-000 NEON-NIGHT</t>
  </si>
  <si>
    <t>303-509-3</t>
  </si>
  <si>
    <t>Гирлянда светодиодная Мультишишки Ø23мм 10м 80 LED RGB черный каучук IP67 быстрая смена цвета 230В нужен блок 315-000 NEON-NIGHT</t>
  </si>
  <si>
    <t>10. 3. 6. 5 Нить управляемая (твинкл) ПВХ</t>
  </si>
  <si>
    <t>303-135</t>
  </si>
  <si>
    <t>Гирлянда Нить управляемая 10м 100 LED БЕЛЫЙ черный ПВХ IP65 свечение с динамикой 230В нужен контроллер 217-204 NEON-NIGHT</t>
  </si>
  <si>
    <t>303-132</t>
  </si>
  <si>
    <t>Гирлянда Нить управляемая 10м 100 LED КРАСНЫЙ черный ПВХ IP65 свечение с динамикой 230В контроллер в комплекте NEON-NIGHT</t>
  </si>
  <si>
    <t>303-139</t>
  </si>
  <si>
    <t>Гирлянда Нить управляемая 10м 100 LED МУЛЬТИКОЛОР (RGYB) черный ПВХ IP65 свечение с динамикой 230В нужен контроллер 217-204 NEON-NIGHT</t>
  </si>
  <si>
    <t>303-133</t>
  </si>
  <si>
    <t>Гирлянда Нить управляемая 10м 100 LED СИНИЙ черный ПВХ IP65 свечение с динамикой 230В контроллер в комплекте NEON-NIGHT</t>
  </si>
  <si>
    <t>303-136</t>
  </si>
  <si>
    <t>Гирлянда Нить управляемая 10м 100 LED ТЕПЛЫЙ БЕЛЫЙ черный ПВХ IP65 свечение с динамикой 230В нужен контроллер 217-204 NEON-NIGHT</t>
  </si>
  <si>
    <t>303-145</t>
  </si>
  <si>
    <t>Гирлянда Нить управляемая 20м 200 LED БЕЛЫЙ черный ПВХ IP65 свечение с динамикой 230В нужен контроллер 217-204 NEON-NIGHT</t>
  </si>
  <si>
    <t>303-149</t>
  </si>
  <si>
    <t>Гирлянда Нить управляемая 20м 200 LED МУЛЬТИКОЛОР (RGYB) черный ПВХ IP65 свечение с динамикой 230В нужен контроллер 217-204 NEON-NIGHT</t>
  </si>
  <si>
    <t>303-146</t>
  </si>
  <si>
    <t>Гирлянда Нить управляемая 20м 200 LED ТЕПЛЫЙ БЕЛЫЙ черный ПВХ IP65 свечение с динамикой 230В нужен контроллер 217-204 NEON-NIGHT</t>
  </si>
  <si>
    <t>10. 3. 6. 6 Нить управляемая (твинкл) Каучук</t>
  </si>
  <si>
    <t>303-329</t>
  </si>
  <si>
    <t>Гирлянда Нить управляемая 20м 240 LED МУЛЬТИКОЛОР черный каучук IP67 свечение с динамикой 230В нужен контроллер 217-204 NEON-NIGHT</t>
  </si>
  <si>
    <t>303-326</t>
  </si>
  <si>
    <t>Гирлянда Нить управляемая 20м 240 LED ТЕПЛЫЙ БЕЛЫЙ черный каучук IP67 свечение с динамикой 230В не соединяется нужен контроллер 217-204 NEON-NIGHT</t>
  </si>
  <si>
    <t>10. 3. 6. 7 Гирлянда Кластер ПВХ</t>
  </si>
  <si>
    <t>303-635</t>
  </si>
  <si>
    <t>Гирлянда светодиодная Кластер 10м 200 LED БЕЛЫЙ прозрачный ПВХ IP65 постоянное свечение 230В нужен блок 303-500-1 NEON-NIGHT</t>
  </si>
  <si>
    <t>303-636</t>
  </si>
  <si>
    <t>Гирлянда светодиодная Кластер 10м 200 LED ТЕПЛЫЙ БЕЛЫЙ прозрачный ПВХ IP65 постоянное свечение 230В нужен блок 303-500-1 NEON-NIGHT</t>
  </si>
  <si>
    <t>303-645</t>
  </si>
  <si>
    <t>Гирлянда светодиодная Кластер 10м 400 LED БЕЛЫЙ прозрачный ПВХ IP65 постоянное свечение 230В нужен блок 303-500-1 NEON-NIGHT</t>
  </si>
  <si>
    <t>10. 3. 6. 8 Гирлянда Кластер Каучук</t>
  </si>
  <si>
    <t>315-255</t>
  </si>
  <si>
    <t>Гирлянда светодиодная Кластер 10м 200 LED БЕЛЫЙ черный каучук IP67 постоянное свечение 230В нужен блок 315-000 NEON-NIGHT</t>
  </si>
  <si>
    <t>315-256</t>
  </si>
  <si>
    <t>Гирлянда светодиодная Кластер 10м 200 LED ТЕПЛЫЙ БЕЛЫЙ черный каучук IP67 постоянное свечение 230В нужен блок 315-000 NEON-NIGHT</t>
  </si>
  <si>
    <t>10. 3. 7 Гирлянда Клип-лайт</t>
  </si>
  <si>
    <t>10. 3. 7. 1 Клип-лайт спайдер</t>
  </si>
  <si>
    <t>10. 3. 7. 1. 1 Клип-лайт 3 нити</t>
  </si>
  <si>
    <t>323-619</t>
  </si>
  <si>
    <t>Гирлянда LED ClipLight - МУЛЬТИШАРИКИ 24V, 3 нити по 20 м, медленная смена цвета, цвет диодов RGB</t>
  </si>
  <si>
    <t>323-615</t>
  </si>
  <si>
    <t>Гирлянда LED ClipLight - ШАРИКИ 24V, 3 нити по 20 м, цвет диодов Белый</t>
  </si>
  <si>
    <t>323-315</t>
  </si>
  <si>
    <t>Гирлянда LED ClipLight 24V, 3 нити по 10 метров, цвет диодов Белый</t>
  </si>
  <si>
    <t>323-319</t>
  </si>
  <si>
    <t>Гирлянда LED ClipLight 24V, 3 нити по 10 метров, цвет диодов Мульти</t>
  </si>
  <si>
    <t>323-316</t>
  </si>
  <si>
    <t>Гирлянда LED ClipLight 24V, 3 нити по 10 метров, цвет диодов ТЕПЛЫЙ БЕЛЫЙ</t>
  </si>
  <si>
    <t>323-305</t>
  </si>
  <si>
    <t>Гирлянда LED ClipLight 24V, 3 нити по 20 м, свечение с динамикой, цвет диодов Белый</t>
  </si>
  <si>
    <t>323-301</t>
  </si>
  <si>
    <t>Гирлянда LED ClipLight 24V, 3 нити по 20 м, свечение с динамикой, цвет диодов Желтый</t>
  </si>
  <si>
    <t>323-302</t>
  </si>
  <si>
    <t>Гирлянда LED ClipLight 24V, 3 нити по 20 м, свечение с динамикой, цвет диодов Красный</t>
  </si>
  <si>
    <t>323-309</t>
  </si>
  <si>
    <t>Гирлянда LED ClipLight 24V, 3 нити по 20 м, свечение с динамикой, цвет диодов Мульти</t>
  </si>
  <si>
    <t>323-303</t>
  </si>
  <si>
    <t>Гирлянда LED ClipLight 24V, 3 нити по 20 м, свечение с динамикой, цвет диодов Синий</t>
  </si>
  <si>
    <t>10. 3. 7. 1. 2 Клип-лайт 5 нитей</t>
  </si>
  <si>
    <t>323-505</t>
  </si>
  <si>
    <t>Гирлянда LED ClipLight 24V, 5 нитей по 20 метров, цвет диодов Белый</t>
  </si>
  <si>
    <t>323-501</t>
  </si>
  <si>
    <t>Гирлянда LED ClipLight 24V, 5 нитей по 20 метров, цвет диодов Желтый</t>
  </si>
  <si>
    <t>323-509</t>
  </si>
  <si>
    <t>Гирлянда LED ClipLight 24V, 5 нитей по 20 метров, цвет диодов Мульти</t>
  </si>
  <si>
    <t>323-503</t>
  </si>
  <si>
    <t>Гирлянда LED ClipLight 24V, 5 нитей по 20 метров, цвет диодов Синий</t>
  </si>
  <si>
    <t>323-506</t>
  </si>
  <si>
    <t>Гирлянда LED ClipLight 24V, 5 нитей по 20 метров, цвет диодов ТЕПЛЫЙ БЕЛЫЙ</t>
  </si>
  <si>
    <t>323-605</t>
  </si>
  <si>
    <t>Гирлянда LED ClipLight 24V, 5 нитей по 20 метров, цвет диодов Белый, Flashing (Белый)</t>
  </si>
  <si>
    <t>323-601</t>
  </si>
  <si>
    <t>Гирлянда LED ClipLight 24V, 5 нитей по 20 метров, цвет диодов Желтый, Flashing (Белый)</t>
  </si>
  <si>
    <t>323-603</t>
  </si>
  <si>
    <t>Гирлянда LED ClipLight 24V, 5 нитей по 20 метров, цвет диодов Синий, Flashing (Белый)</t>
  </si>
  <si>
    <t>323-606</t>
  </si>
  <si>
    <t>Гирлянда LED ClipLight 24V, 5 нитей по 20 метров, цвет диодов ТЕПЛЫЙ БЕЛЫЙ, Flashing (белый)</t>
  </si>
  <si>
    <t>10. 3. 7. 2 Клип-лайт в бухтах</t>
  </si>
  <si>
    <t>325-165</t>
  </si>
  <si>
    <t>Гирлянда LED Клип-лайт 12 V, прозрачный ПВХ, 150 мм, цвет диодов Белый Flashing (Белый)</t>
  </si>
  <si>
    <t>325-166</t>
  </si>
  <si>
    <t>Гирлянда LED Клип-лайт 12 V, прозрачный ПВХ, 150 мм, цвет диодов Теплый белый, Flashing (Белый)</t>
  </si>
  <si>
    <t>325-125</t>
  </si>
  <si>
    <t>Гирлянда LED ClipLight 12V 150 мм, цвет диодов Белый</t>
  </si>
  <si>
    <t>325-121</t>
  </si>
  <si>
    <t>Гирлянда LED ClipLight 12V 150 мм, цвет диодов Желтый</t>
  </si>
  <si>
    <t>325-129</t>
  </si>
  <si>
    <t>Гирлянда LED ClipLight 12V 150 мм, цвет диодов Мульти</t>
  </si>
  <si>
    <t>325-123</t>
  </si>
  <si>
    <t>Гирлянда LED ClipLight 12V 150 мм, цвет диодов Синий</t>
  </si>
  <si>
    <t>325-126</t>
  </si>
  <si>
    <t>Гирлянда LED ClipLight 12V 150 мм, цвет диодов ТЕПЛЫЙ БЕЛЫЙ</t>
  </si>
  <si>
    <t>325-145</t>
  </si>
  <si>
    <t>Гирлянда LED ClipLight 12V 150 мм, цвет диодов Белый, Flashing (Белый)</t>
  </si>
  <si>
    <t>325-146</t>
  </si>
  <si>
    <t>Гирлянда LED Clip Light 12V шаг 150 мм, цвет диодов ТЕПЛЫЙ БЕЛЫЙ, Flashing (Белый)</t>
  </si>
  <si>
    <t>325-155</t>
  </si>
  <si>
    <t>Гирлянда LED Клип-лайт 12 V, прозрачный ПВХ, 150 мм, цвет диодов белый</t>
  </si>
  <si>
    <t>325-156</t>
  </si>
  <si>
    <t>Гирлянда LED Клип-лайт 12 V, прозрачный ПВХ, 150 мм, цвет диодов теплый белый</t>
  </si>
  <si>
    <t>10. 3. 8 Тающие сосульки</t>
  </si>
  <si>
    <t>256-429</t>
  </si>
  <si>
    <t>Гирлянда Тающие сосульки комплект 10 шт. х 100см, шаг 100см, 960 LED БЕЛЫЙ, черный каучук, IP65, 24В, соединяется NEON-NIGHT</t>
  </si>
  <si>
    <t>256-428</t>
  </si>
  <si>
    <t>Гирлянда Тающие сосульки комплект 10 шт. х 100см, шаг 100см, 960 LED ТЕПЛЫЙ БЕЛЫЙ, белый каучук, IP65, 24В, соединяется NEON-NIGHT</t>
  </si>
  <si>
    <t>256-422</t>
  </si>
  <si>
    <t>Гирлянда Тающие сосульки комплект 10 шт. х 100см, шаг 100см, 960 LED ТЕПЛЫЙ БЕЛЫЙ, черный каучук, IP65, 24В, соединяется NEON-NIGHT</t>
  </si>
  <si>
    <t>256-425</t>
  </si>
  <si>
    <t>Гирлянда Тающие сосульки комплект 10 шт. х 30см, шаг 100см, 420 LED БЕЛЫЙ, черный каучук, IP65, 24В, соединяется NEON-NIGHT</t>
  </si>
  <si>
    <t>256-426</t>
  </si>
  <si>
    <t>Гирлянда Тающие сосульки комплект 10 шт. х 50см, шаг 100см, 600 LED БЕЛЫЙ, черный каучук, IP65, 24В, соединяется NEON-NIGHT</t>
  </si>
  <si>
    <t>256-423</t>
  </si>
  <si>
    <t>Гирлянда Тающие сосульки комплект 10 шт. х 50см, шаг 100см, 600 LED ТЕПЛЫЙ БЕЛЫЙ, белый каучук, IP65, 24В, соединяется NEON-NIGHT</t>
  </si>
  <si>
    <t>256-427</t>
  </si>
  <si>
    <t>Гирлянда Тающие сосульки комплект 10 шт. х 50см, шаг 100см, 600 LED ТЕПЛЫЙ БЕЛЫЙ, черный каучук, IP65, 24В, соединяется NEON-NIGHT</t>
  </si>
  <si>
    <t>256-163</t>
  </si>
  <si>
    <t>Сосулька светодиодная E27 100см двухсторонняя 60x2 LED БЕЛЫЙ IP65 230В NEON-NIGHT</t>
  </si>
  <si>
    <t>256-162</t>
  </si>
  <si>
    <t>Сосулька светодиодная E27 50см двухсторонняя 48x2 LED БЕЛЫЙ IP65 230В NEON-NIGHT</t>
  </si>
  <si>
    <t>10. 3. 9 Белт-лайт</t>
  </si>
  <si>
    <t>10. 3. 9. 1 Белт-лайт двухжильный</t>
  </si>
  <si>
    <t>331-251</t>
  </si>
  <si>
    <t>Гирлянда Белт-Лайт 2 жилы, 100м, шаг 15см, 667 патронов E27, IP65, белый плоский провод каучук NEON-NIGHT</t>
  </si>
  <si>
    <t>331-231</t>
  </si>
  <si>
    <t>Гирлянда Белт-Лайт 2 жилы, 100м, шаг 40см, 225 подвесных патронов Е27, IP65, черный круглый провод каучук NEON-NIGHT</t>
  </si>
  <si>
    <t>331-243</t>
  </si>
  <si>
    <t>Гирлянда Белт-Лайт 2 жилы, 50м, шаг 20см, 250 патронов E27, IP65, черный круглый провод ПВХ NEON-NIGHT</t>
  </si>
  <si>
    <t>331-211</t>
  </si>
  <si>
    <t>Гирлянда Белт-Лайт 2 жилы, 50м, шаг 20см, 250 патронов E27, IP65, черный плоский провод каучук NEON-NIGHT</t>
  </si>
  <si>
    <t>331-261</t>
  </si>
  <si>
    <t>Гирлянда Белт-Лайт 2 жилы, 50м, шаг 20см, 250 патронов E27, IP65, черный плоский провод ПВХ PROconnect</t>
  </si>
  <si>
    <t>331-254</t>
  </si>
  <si>
    <t>Гирлянда Белт-Лайт 2 жилы, 50м, шаг 20см, 250 патронов Е27, IP65, белый плоский провод каучук NEON-NIGHT</t>
  </si>
  <si>
    <t>331-242</t>
  </si>
  <si>
    <t>Гирлянда Белт-Лайт 2 жилы, 50м, шаг 40см, 125 патронов E27, IP65, белый круглый провод ПВХ NEON-NIGHT</t>
  </si>
  <si>
    <t>331-252</t>
  </si>
  <si>
    <t>Гирлянда Белт-Лайт 2 жилы, 50м, шаг 40см, 125 патронов E27, IP65, белый плоский провод каучук NEON-NIGHT</t>
  </si>
  <si>
    <t>331-241</t>
  </si>
  <si>
    <t>Гирлянда Белт-Лайт 2 жилы, 50м, шаг 40см, 125 патронов E27, IP65, черный круглый провод ПВХ NEON-NIGHT</t>
  </si>
  <si>
    <t>331-212</t>
  </si>
  <si>
    <t>Гирлянда Белт-Лайт 2 жилы, 50м, шаг 40см, 125 патронов E27, IP65, черный плоский провод каучук NEON-NIGHT</t>
  </si>
  <si>
    <t>331-262</t>
  </si>
  <si>
    <t>Гирлянда Белт-Лайт 2 жилы, 50м, шаг 40см, 125 патронов E27, IP65, черный плоский провод ПВХ PROconnect</t>
  </si>
  <si>
    <t>331-213</t>
  </si>
  <si>
    <t>Гирлянда Белт-Лайт 2 жилы, 50м, шаг 50см, 100 патронов E27, IP65, черный плоский провод каучук NEON-NIGHT</t>
  </si>
  <si>
    <t>331-210</t>
  </si>
  <si>
    <t>Кабель гирлянды Белт-Лайт, 2 жилы, 2х1,5мм², 100м NEON-NIGHT</t>
  </si>
  <si>
    <t>331-345</t>
  </si>
  <si>
    <t>Набор ЕВРО Белт-Лайт 2 жилы, 100м, шаг 40см, 225 LED-ламп, БЕЛЫЙ, 45мм (6 LED), плоский провод каучук NEON-NIGHT</t>
  </si>
  <si>
    <t>10. 3. 9. 2 Белт-лайт пятижильный</t>
  </si>
  <si>
    <t>331-221</t>
  </si>
  <si>
    <t>Гирлянда Belt-Light 5 жил, 100м, шаг 15см, 667 патронов, E27, IP65, серый провод NEON-NIGHT</t>
  </si>
  <si>
    <t>10. 3. 9. 3 Аксессуары для белт-лайта</t>
  </si>
  <si>
    <t>331-003</t>
  </si>
  <si>
    <t>Блок питания для подключения двухжильной гирлянды Belt-light (шнур питания 1,5м с вилкой, 2 коннектора, заглушка) NEON-NIGHT</t>
  </si>
  <si>
    <t>331-008</t>
  </si>
  <si>
    <t>Заглушка для двухжильной гирлянды Belt-light (10 шт/уп) NEON-NIGHT</t>
  </si>
  <si>
    <t>332-116</t>
  </si>
  <si>
    <t>Контроллер iMLamp4D_AC_3500 для Белт-Лайта и светодиодных ламп 220В, 3500Вт, 4 канала х 4,0А, ДУ, IP65 ИМПУЛЬС ЛАЙТ</t>
  </si>
  <si>
    <t>332-119</t>
  </si>
  <si>
    <t>Контроллер iMLamp4D_AC_7000 для Белт-Лайта и светодиодных ламп 220В, 7000Вт, 4 канала х 8,0А, 33 программы, ДУ, IP65 ИМПУЛЬС ЛАЙТ</t>
  </si>
  <si>
    <t>331-001</t>
  </si>
  <si>
    <t>Патрон E27 для двухжильной гирлянды Belt-light NEON-NIGHT</t>
  </si>
  <si>
    <t>10. 3.10 Лампы декоративные</t>
  </si>
  <si>
    <t>10. 3.10. 1 Лампа 10 Вт, накаливания</t>
  </si>
  <si>
    <t>401-111</t>
  </si>
  <si>
    <t>Лампа накаливания, диаметр 45мм, E27, 10Вт, желтая колба, 230В NEON-NIGHT</t>
  </si>
  <si>
    <t>10. 3.10. 2 Лампа 5 LED</t>
  </si>
  <si>
    <t>405-513</t>
  </si>
  <si>
    <t>Лампа светодиодная, диаметр 45мм, E27, 3 LED, 1Вт, RGB, 230В NEON-NIGHT</t>
  </si>
  <si>
    <t>405-115</t>
  </si>
  <si>
    <t>Лампа светодиодная, диаметр 45мм, E27, 5 LED, 2Вт, БЕЛЫЙ, 230В NEON-NIGHT</t>
  </si>
  <si>
    <t>405-111</t>
  </si>
  <si>
    <t>Лампа светодиодная, диаметр 45мм, E27, 5 LED, 2Вт, ЖЕЛТЫЙ, 230В NEON-NIGHT</t>
  </si>
  <si>
    <t>405-114</t>
  </si>
  <si>
    <t>Лампа светодиодная, диаметр 45мм, E27, 5 LED, 2Вт, ЗЕЛЕНЫЙ, 230В NEON-NIGHT</t>
  </si>
  <si>
    <t>405-112</t>
  </si>
  <si>
    <t>Лампа светодиодная, диаметр 45мм, E27, 5 LED, 2Вт, КРАСНЫЙ, 230В NEON-NIGHT</t>
  </si>
  <si>
    <t>405-113</t>
  </si>
  <si>
    <t>Лампа светодиодная, диаметр 45мм, E27, 5 LED, 2Вт, СИНИЙ, 230В NEON-NIGHT</t>
  </si>
  <si>
    <t>405-116</t>
  </si>
  <si>
    <t>Лампа светодиодная, диаметр 45мм, E27, 5 LED, 2Вт, ТЕПЛЫЙ БЕЛЫЙ, 230В NEON-NIGHT</t>
  </si>
  <si>
    <t>10. 3.10. 3 Лампа 6 LED</t>
  </si>
  <si>
    <t>405-126</t>
  </si>
  <si>
    <t>Ретро-лампа светодиодная диаметр 45мм, E27, 6 LED, 2Вт, ТЕПЛЫЙ БЕЛЫЙ, прозрачная колба, 230В NEON-NIGHT</t>
  </si>
  <si>
    <t>405-125</t>
  </si>
  <si>
    <t>Ретро-лампа светодиодная, диаметр 45мм, E27, 6 LED, 2Вт, БЕЛЫЙ, прозрачная колба, 230В NEON-NIGHT</t>
  </si>
  <si>
    <t>405-123</t>
  </si>
  <si>
    <t>Ретро-лампа светодиодная, диаметр 45мм, E27, 6 LED, 2Вт, СИНИЙ, прозрачная колба, 230В NEON-NIGHT</t>
  </si>
  <si>
    <t>10. 3.10. 4 Лампа 9 LED</t>
  </si>
  <si>
    <t>405-215</t>
  </si>
  <si>
    <t>Лампа светодиодная, диаметр 50мм, E27, 9 LED, 1Вт, БЕЛЫЙ, прозрачная колба, 230В NEON-NIGHT</t>
  </si>
  <si>
    <t>405-212</t>
  </si>
  <si>
    <t>Лампа светодиодная, диаметр 50мм, E27, 9 LED, 1Вт, КРАСНЫЙ, прозрачная колба, 230В NEON-NIGHT</t>
  </si>
  <si>
    <t>405-216</t>
  </si>
  <si>
    <t>Лампа светодиодная, диаметр 50мм, E27, 9 LED, 1Вт, ТЕПЛЫЙ БЕЛЫЙ, прозрачная колба, 230В NEON-NIGHT</t>
  </si>
  <si>
    <t>10. 3.10. 5 Лампа 24В</t>
  </si>
  <si>
    <t>405-625</t>
  </si>
  <si>
    <t>Лампа светодиодная, диаметр 45мм, E27, 7LED, 2Вт, БЕЛЫЙ, матовая колба, 24В NEON-NIGHT</t>
  </si>
  <si>
    <t>405-626</t>
  </si>
  <si>
    <t>Лампа светодиодная, диаметр 45мм, E27, 7LED, 2Вт, ТЕПЛЫЙ БЕЛЫЙ, матовая колба, 24В NEON-NIGHT</t>
  </si>
  <si>
    <t>405-614</t>
  </si>
  <si>
    <t>Лампа светодиодная, диаметр 50мм, Е27, 10 LED, 1Вт, ЗЕЛЕНЫЙ, прозрачная колба, 24В, постоянное напряжение NEON-NIGHT</t>
  </si>
  <si>
    <t>405-612</t>
  </si>
  <si>
    <t>Лампа шар e27 10 LED Ø50мм красная 24В (постоянное напряжение)</t>
  </si>
  <si>
    <t>10. 3.10. 6 Лампа 12 LED</t>
  </si>
  <si>
    <t>405-132</t>
  </si>
  <si>
    <t>Лампа-шар светодиодная, диаметр 100мм, E27, 12 LED, 2Вт, КРАСНЫЙ, матовая колба, 230В NEON-NIGHT</t>
  </si>
  <si>
    <t>405-133</t>
  </si>
  <si>
    <t>Лампа-шар светодиодная, диаметр 100мм, E27, 12 LED, 2Вт, СИНИЙ, матовая колба, 230В NEON-NIGHT</t>
  </si>
  <si>
    <t>10. 3.10. 7 Лампа 6 LED с цоколем</t>
  </si>
  <si>
    <t>405-155</t>
  </si>
  <si>
    <t>LED Лампа строб вместе с патроном для белт-лайта Ø50мм белая</t>
  </si>
  <si>
    <t>405-144</t>
  </si>
  <si>
    <t>Лампа-шар светодиодная с патроном для кабеля Белт-Лайт, диаметр 45мм, 6 LED, 1Вт, ЗЕЛЕНЫЙ, зеленая колба, 230В NEON-NIGHT</t>
  </si>
  <si>
    <t>405-143</t>
  </si>
  <si>
    <t>Лампа-шар светодиодная с патроном для кабеля Белт-Лайт, диаметр 45мм, 6 LED, 1Вт, СИНИЙ, синяя колба, 230В NEON-NIGHT</t>
  </si>
  <si>
    <t>10. 3.10. 8 Лампа Ретро</t>
  </si>
  <si>
    <t>601-805</t>
  </si>
  <si>
    <t>Ретро-лампа филаментная G45, E27, 2 LED, 2Вт, ДНЕВНОЙ БЕЛЫЙ, 230В, IP65 NEON-NIGHT</t>
  </si>
  <si>
    <t>601-802</t>
  </si>
  <si>
    <t>Ретро-лампа филаментная G45, E27, 2 LED, 2Вт, ТЕПЛЫЙ БЕЛЫЙ, 230В, IP65 NEON-NIGHT</t>
  </si>
  <si>
    <t>601-801</t>
  </si>
  <si>
    <t>Ретро-лампа филаментная ST45, E27, 2 LED, 2Вт, ТЕПЛЫЙ БЕЛЫЙ, 230В, IP65 NEON-NIGHT</t>
  </si>
  <si>
    <t>10. 3.10. 9 Лампа строб</t>
  </si>
  <si>
    <t>415-115</t>
  </si>
  <si>
    <t>Лампа-строб светодиодная накладная 30 LED, 3,5Вт, БЕЛЫЙ, 230В NEON-NIGHT</t>
  </si>
  <si>
    <t>411-125</t>
  </si>
  <si>
    <t>Лампа-строб светодиодная, диаметр 50, E27, 18 LED, 2,5Вт, БЕЛЫЙ, 230В NEON-NIGHT</t>
  </si>
  <si>
    <t>411-123</t>
  </si>
  <si>
    <t>Лампа-строб светодиодная, диаметр 50, E27, 18 LED, 2,5Вт, СИНИЙ, 230В NEON-NIGHT</t>
  </si>
  <si>
    <t>10. 3.11 Елки и комплекты освещения</t>
  </si>
  <si>
    <t>10. 3.11. 1 Елки каркасные</t>
  </si>
  <si>
    <t>533-318</t>
  </si>
  <si>
    <t>Ель Евро 2 каркасная 16М (хвоя-пленка)</t>
  </si>
  <si>
    <t>1 - 7 дней</t>
  </si>
  <si>
    <t>533-307</t>
  </si>
  <si>
    <t>Ель Евро-2 каркасная 10М (хвоя пленка)</t>
  </si>
  <si>
    <t>533-308</t>
  </si>
  <si>
    <t>Ель Евро-2 каркасная 12М (хвоя пленка)</t>
  </si>
  <si>
    <t>533-311</t>
  </si>
  <si>
    <t>Ель Евро-2 каркасная 15М (хвоя пленка)</t>
  </si>
  <si>
    <t>533-309</t>
  </si>
  <si>
    <t>Ель Евро-2 каркасная 4М (хвоя пленка)</t>
  </si>
  <si>
    <t>533-306</t>
  </si>
  <si>
    <t>Ель Евро-2 каркасная 8М (хвоя пленка)</t>
  </si>
  <si>
    <t>533-300</t>
  </si>
  <si>
    <t>Ель каркасная Уральская 10М (хвоя пленка)</t>
  </si>
  <si>
    <t>533-316</t>
  </si>
  <si>
    <t>Ель каркасная Уральская 12М (хвоя пленка)</t>
  </si>
  <si>
    <t>533-320</t>
  </si>
  <si>
    <t>Ель каркасная Уральская 6М (хвоя пленка)</t>
  </si>
  <si>
    <t>533-315</t>
  </si>
  <si>
    <t>Сосна Евро-2 каркасная 6М (хвоя леска)</t>
  </si>
  <si>
    <t>10. 3.11. 2 Елки ствольные</t>
  </si>
  <si>
    <t>533-329</t>
  </si>
  <si>
    <t>Ель Альпийская стволовая 3 м (хвоя-пленка)</t>
  </si>
  <si>
    <t>1 - 14 дней</t>
  </si>
  <si>
    <t>533-304</t>
  </si>
  <si>
    <t>Ель Альпийская стволовая 5М (хвоя-пленка) NEON-NIGHT</t>
  </si>
  <si>
    <t>533-305</t>
  </si>
  <si>
    <t>Ель Альпийская стволовая 6М (хвоя-пленка)</t>
  </si>
  <si>
    <t>533-328</t>
  </si>
  <si>
    <t>Ель Альпийская стволовая 8М (хвоя — пленка)</t>
  </si>
  <si>
    <t>533-330</t>
  </si>
  <si>
    <t>Комплект ограждений для елок 6 м 1,05х1 м ( в комплекте 7 щитов)</t>
  </si>
  <si>
    <t>10. 3.12 Елочные игрушки</t>
  </si>
  <si>
    <t>10. 3.12. 1 Шары елочные</t>
  </si>
  <si>
    <t>502-071</t>
  </si>
  <si>
    <t>Елочная фигура Шар 10 см, цвет золотой глянцевый</t>
  </si>
  <si>
    <t>502-072</t>
  </si>
  <si>
    <t>Елочная фигура Шар 10 см, цвет красный глянцевый</t>
  </si>
  <si>
    <t>502-075</t>
  </si>
  <si>
    <t>Елочная фигура Шар 10 см, цвет серебряный глянцевый</t>
  </si>
  <si>
    <t>502-073</t>
  </si>
  <si>
    <t>Елочная фигура Шар 10 см, цвет синий глянцевый</t>
  </si>
  <si>
    <t>502-021</t>
  </si>
  <si>
    <t>Елочная фигура Шар 15 см, цвет золотой глянцевый</t>
  </si>
  <si>
    <t>502-022</t>
  </si>
  <si>
    <t>Елочная фигура Шар 15 см, цвет красный глянцевый</t>
  </si>
  <si>
    <t>502-025</t>
  </si>
  <si>
    <t>Елочная фигура Шар 15 см, цвет серебряный глянцевый</t>
  </si>
  <si>
    <t>502-023</t>
  </si>
  <si>
    <t>Елочная фигура Шар 15 см, цвет синий глянцевый</t>
  </si>
  <si>
    <t>502-001</t>
  </si>
  <si>
    <t>Елочная фигура Шар, 20 см, цвет золотой глянцевый</t>
  </si>
  <si>
    <t>502-002</t>
  </si>
  <si>
    <t>Елочная фигура Шар, 20 см, цвет красный глянцевый</t>
  </si>
  <si>
    <t>502-005</t>
  </si>
  <si>
    <t>Елочная фигура Шар, 20 см, цвет серебряный глянцевый</t>
  </si>
  <si>
    <t>502-003</t>
  </si>
  <si>
    <t>Елочная фигура Шар, 20 см, цвет синий глянцевый</t>
  </si>
  <si>
    <t>502-011</t>
  </si>
  <si>
    <t>Елочная фигура Шар, 25 см, цвет золотой глянцевый</t>
  </si>
  <si>
    <t>502-012</t>
  </si>
  <si>
    <t>Елочная фигура Шар, 25 см, цвет красный глянцевый</t>
  </si>
  <si>
    <t>502-015</t>
  </si>
  <si>
    <t>Елочная фигура Шар, 25 см, цвет серебряный глянцевый</t>
  </si>
  <si>
    <t>502-013</t>
  </si>
  <si>
    <t>Елочная фигура Шар 25 см, цвет синий глянцевый</t>
  </si>
  <si>
    <t>502-301</t>
  </si>
  <si>
    <t>Елочная фигура Шар, 15 см, цвет золотой матовый</t>
  </si>
  <si>
    <t>502-302</t>
  </si>
  <si>
    <t>Елочная фигура Шар, 15 см, цвет красный матовый</t>
  </si>
  <si>
    <t>502-305</t>
  </si>
  <si>
    <t>Елочная фигура Шар, 15 см, цвет серебряный матовый</t>
  </si>
  <si>
    <t>502-251</t>
  </si>
  <si>
    <t>Елочная фигура Шар 20 см, цвет золотой матовый</t>
  </si>
  <si>
    <t>502-252</t>
  </si>
  <si>
    <t>Елочная фигура Шар 20 см, цвет красный матовый</t>
  </si>
  <si>
    <t>10. 3.12. 2 Фигуры елочные</t>
  </si>
  <si>
    <t>502-247</t>
  </si>
  <si>
    <t>Елочная фигура Карамельная палочка 121 см, цвет фиолетовый/белый</t>
  </si>
  <si>
    <t>502-292</t>
  </si>
  <si>
    <t>Елочная фигура Клубничка 40 см, цвет бордовый</t>
  </si>
  <si>
    <t>502-242</t>
  </si>
  <si>
    <t>Елочная фигура Леденец, 102 см, цвет белый, красный и зеленый</t>
  </si>
  <si>
    <t>502-370</t>
  </si>
  <si>
    <t>Елочная фигура Снежинка Морозко, 66 см, цвет белый</t>
  </si>
  <si>
    <t>502-375</t>
  </si>
  <si>
    <t>Елочная фигура Снежинка резная, 81 см, цвет серебряный</t>
  </si>
  <si>
    <t>10. 3.13 Акриловые фигуры крупные</t>
  </si>
  <si>
    <t>513-305</t>
  </si>
  <si>
    <t>Акриловая светодиодная фигура Бурый олень 100 см, 380 светодиодов, IP 65, понижающий трансформатор в комплекте, NEON-NIGHT</t>
  </si>
  <si>
    <t>513-183</t>
  </si>
  <si>
    <t>Акриловая светодиодная фигура Приветствующий Санта Клаус 76х47х120 см, IP65, понижающий трансформатор в комплекте NEON-NIGHT</t>
  </si>
  <si>
    <t>513-182</t>
  </si>
  <si>
    <t>Акриловая светодиодная фигура Санта Клаус 210х75х60 см, IP65 понижающий трансформатор в комплекте NEON-NIGHT</t>
  </si>
  <si>
    <t>513-271</t>
  </si>
  <si>
    <t>Акриловая светодиодная фигура Северный олень 130 см, 380 светодиодов, IP65 понижающий трансформатор в комплекте NEON-NIGHT</t>
  </si>
  <si>
    <t>513-307</t>
  </si>
  <si>
    <t>Акриловая светодиодная фигура Снежный олень 100 см, 380 светодиодов, IP 65, понижающий трансформатор в комплекте, NEON-NIGHT</t>
  </si>
  <si>
    <t>10. 3.14 Каркасная иллюминация</t>
  </si>
  <si>
    <t>10. 3.14. 1 Снежинки и звезды</t>
  </si>
  <si>
    <t>501-325</t>
  </si>
  <si>
    <t>Светодиодная фигура из гибкого неона Снежинка 60x60см БЕЛЫЙ NEON-NIGHT</t>
  </si>
  <si>
    <t>501-343</t>
  </si>
  <si>
    <t>Светодиодная фигура из гибкого неона Снежинка 60x60см СИНИЙ NEON-NIGHT</t>
  </si>
  <si>
    <t>501-326</t>
  </si>
  <si>
    <t>Светодиодная фигура из гибкого неона Снежинка 60x60см ТЕПЛЫЙ БЕЛЫЙ NEON-NIGHT</t>
  </si>
  <si>
    <t>501-223</t>
  </si>
  <si>
    <t>Светодиодная фигура из гибкого неона Снежинка с эффектом тающих сосулек 60x60см СИНИЙ/БЕЛЫЙ NEON-NIGHT</t>
  </si>
  <si>
    <t>501-226</t>
  </si>
  <si>
    <t>Светодиодная фигура из гибкого неона Снежинка с эффектом тающих сосулек 60x60см ТЕПЛЫЙ БЕЛЫЙ/БЕЛЫЙ NEON-NIGHT</t>
  </si>
  <si>
    <t>501-333</t>
  </si>
  <si>
    <t>Светодиодная фигура из дюралайта Большая снежинка 95x95см БЕЛЫЙ NEON-NIGHT</t>
  </si>
  <si>
    <t>501-332</t>
  </si>
  <si>
    <t>Светодиодная фигура из дюралайта Большая снежинка 95x95см СИНИЙ NEON-NIGHT</t>
  </si>
  <si>
    <t>501-313</t>
  </si>
  <si>
    <t>Светодиодная фигура из дюралайта Большая снежинка 95x95см ТЕПЛЫЙ БЕЛЫЙ NEON-NIGHT</t>
  </si>
  <si>
    <t>501-211-1</t>
  </si>
  <si>
    <t>Светодиодная фигура из дюралайта Звездочка 30x28см БЕЛЫЙ NEON-NIGHT</t>
  </si>
  <si>
    <t>501-211</t>
  </si>
  <si>
    <t>Светодиодная фигура из дюралайта Звездочка 30x28см ТЕПЛЫЙ БЕЛЫЙ NEON-NIGHT</t>
  </si>
  <si>
    <t>501-212-1</t>
  </si>
  <si>
    <t>Светодиодная фигура из дюралайта Снежинка 45x38см БЕЛЫЙ NEON-NIGHT</t>
  </si>
  <si>
    <t>501-363</t>
  </si>
  <si>
    <t>Светодиодная фигура из дюралайта Снежинка 45x38см СИНИЙ NEON-NIGHT</t>
  </si>
  <si>
    <t>501-212</t>
  </si>
  <si>
    <t>Светодиодная фигура из дюралайта Снежинка 45x38см ТЕПЛЫЙ БЕЛЫЙ NEON-NIGHT</t>
  </si>
  <si>
    <t>501-334</t>
  </si>
  <si>
    <t>Светодиодная фигура из дюралайта Снежинка 55x55см БЕЛЫЙ NEON-NIGHT</t>
  </si>
  <si>
    <t>501-335</t>
  </si>
  <si>
    <t>Светодиодная фигура из дюралайта Снежинка 55x55см СИНИЙ NEON-NIGHT</t>
  </si>
  <si>
    <t>501-324</t>
  </si>
  <si>
    <t>Светодиодная фигура из дюралайта Снежинка 55x55см ТЕПЛЫЙ БЕЛЫЙ NEON-NIGHT</t>
  </si>
  <si>
    <t>501-531</t>
  </si>
  <si>
    <t>Светодиодная фигура из дюралайта Снежинка с контроллером 60x60см БЕЛЫЙ/СИНИЙ NEON-NIGHT</t>
  </si>
  <si>
    <t>501-337</t>
  </si>
  <si>
    <t>Светодиодная фигура из дюралайта Снежинка с эффектом мерцания 55x55см БЕЛЫЙ NEON-NIGHT</t>
  </si>
  <si>
    <t>501-338</t>
  </si>
  <si>
    <t>Светодиодная фигура из дюралайта Снежинка с эффектом мерцания 95x95см БЕЛЫЙ NEON-NIGHT</t>
  </si>
  <si>
    <t>10. 3.14. 2 Плоские фигуры</t>
  </si>
  <si>
    <t>501-113</t>
  </si>
  <si>
    <t>Надпись прописная светодиодная С Новым Годом красная 230x90 см NEON-NIGHT</t>
  </si>
  <si>
    <t>501-314</t>
  </si>
  <si>
    <t>Фигура световая Сказочный олень из гибкого неона, 140х93 см, 1680 LED, цвет свечения белый NEON-NIGHT</t>
  </si>
  <si>
    <t>501-359</t>
  </si>
  <si>
    <t>Фигура световая Снежинка 125х120 см, 200 LED, IP65, цвет свечения белый NEON-NIGHT</t>
  </si>
  <si>
    <t>501-355</t>
  </si>
  <si>
    <t>Фигура световая Созвездие размер 55x100см, свечение белое NEON-NIGHT</t>
  </si>
  <si>
    <t>10. 3.14. 3 Объемные фигуры</t>
  </si>
  <si>
    <t>501-237</t>
  </si>
  <si>
    <t>Фигура объемная Олень 115х195см, 528 LED, IP65, цвет свечения белый NEON-NIGHT</t>
  </si>
  <si>
    <t>503-112</t>
  </si>
  <si>
    <t>Фигура олени с санями 350х195 см NEON-NIGHT</t>
  </si>
  <si>
    <t>10. 3.14. 4 Шары</t>
  </si>
  <si>
    <t>501-612</t>
  </si>
  <si>
    <t>Шар светодиодный 230V, диаметр 30 см, 120 светодиодов, эффект мерцания, цвет белый NEON-NIGHT</t>
  </si>
  <si>
    <t>501-613</t>
  </si>
  <si>
    <t>Шар светодиодный 230V, диаметр 50 см, 200 светодиодов, эффект мерцания, цвет белый NEON-NIGHT</t>
  </si>
  <si>
    <t>501-614</t>
  </si>
  <si>
    <t>Шар светодиодный 230V, диаметр 80 см, 450 светодиодов, эффект мерцания, цвет белый NEON-NIGHT</t>
  </si>
  <si>
    <t>501-624</t>
  </si>
  <si>
    <t>Шар светодиодный 230V, диаметр 90 см, 372 светодиода, цвет белый</t>
  </si>
  <si>
    <t>10. 3.14. 5 Макушки для Елок</t>
  </si>
  <si>
    <t>514-275</t>
  </si>
  <si>
    <t>Светодиодная фигура Звезда 100 см, 200 светодиодов, с трубой и подвесом, цвет свечения белый NEON-NIGHT</t>
  </si>
  <si>
    <t>514-274</t>
  </si>
  <si>
    <t>Светодиодная фигура Звезда 100 см, 200 светодиодов, с трубой и подвесом, цвет свечения красный NEON-NIGHT</t>
  </si>
  <si>
    <t>514-272</t>
  </si>
  <si>
    <t>Светодиодная фигура Звезда 50 см, 80 светодиодов, с трубой и подвесом, цвет свечения белый NEON-NIGHT</t>
  </si>
  <si>
    <t>514-271</t>
  </si>
  <si>
    <t>Светодиодная фигура Звезда 50 см, 80 светодиодов, с трубой и подвесом, цвет свечения теплый белый NEON-NIGHT</t>
  </si>
  <si>
    <t>514-273</t>
  </si>
  <si>
    <t>Светодиодная фигура Звезда 80 см, 80 светодиодов, с трубой и подвесом, цвет свечения теплый белый/белый NEON-NIGHT</t>
  </si>
  <si>
    <t>10. 3.16 Аксессуары для уличных гирлянд</t>
  </si>
  <si>
    <t>10. 3. 16. 1 Аксессуары для подключения</t>
  </si>
  <si>
    <t>531-311</t>
  </si>
  <si>
    <t>Блок питания (трансформатор) для уличных гирлянд 24В, 40Вт, алюминиевый корпус, IP65 NEON-NIGHT</t>
  </si>
  <si>
    <t>531-312</t>
  </si>
  <si>
    <t>Блок питания (трансформатор) для уличных гирлянд 24В, 60Вт, алюминиевый корпус, IP65 NEON-NIGHT</t>
  </si>
  <si>
    <t>315-004</t>
  </si>
  <si>
    <t>Блок питания для уличных гирлянд (без вилки) 4А, белый каучук, IP65 NEON-NIGHT</t>
  </si>
  <si>
    <t>315-003</t>
  </si>
  <si>
    <t>Блок питания для уличных гирлянд (без вилки) 4А, черный каучук, IP65 NEON-NIGHT</t>
  </si>
  <si>
    <t>303-500-1</t>
  </si>
  <si>
    <t>Блок питания для уличных гирлянд 230В, 3А, белый ПВХ, IP65 NEON-NIGHT</t>
  </si>
  <si>
    <t>303-500</t>
  </si>
  <si>
    <t>Блок питания для уличных гирлянд 230В, 3А, черный ПВХ, IP65 NEON-NIGHT</t>
  </si>
  <si>
    <t>315-001</t>
  </si>
  <si>
    <t>Блок питания для уличных гирлянд 230В, 4А, белый каучук, IP67 NEON-NIGHT</t>
  </si>
  <si>
    <t>315-000</t>
  </si>
  <si>
    <t>Блок питания для уличных гирлянд 230В, 4А, черный каучук, IP67 NEON-NIGHT</t>
  </si>
  <si>
    <t>235-000</t>
  </si>
  <si>
    <t>Контроллер для уличных гирлянд с постоянным свечением Professional, 8 режимов</t>
  </si>
  <si>
    <t>245-908</t>
  </si>
  <si>
    <t>Контроллер с радиопультом для RGB-гирлянд</t>
  </si>
  <si>
    <t>255-000</t>
  </si>
  <si>
    <t>Контроллер с радиопультом для гирлянд ,IP44, ON/OFF/Таймер</t>
  </si>
  <si>
    <t>217-203</t>
  </si>
  <si>
    <t>Контроллер с радиопультом для уличных гирлянд Сеть и Нить управляемая (твинкл), белый NEON-NIGHT</t>
  </si>
  <si>
    <t>217-204</t>
  </si>
  <si>
    <t>Контроллер с радиопультом для уличных гирлянд Сеть и Нить управляемая (твинкл), черный NEON-NIGHT</t>
  </si>
  <si>
    <t>531-100</t>
  </si>
  <si>
    <t>Трансформатор 230В - 24В, 40Вт</t>
  </si>
  <si>
    <t>10. 3. 16. 2 Аксессуары для монтажа</t>
  </si>
  <si>
    <t>315-435</t>
  </si>
  <si>
    <t>Коннектор (шнур) с проводами папа-мама, 2 pin, белый каучук NEON-NIGHT</t>
  </si>
  <si>
    <t>315-436</t>
  </si>
  <si>
    <t>Коннектор (шнур) с проводами папа-мама, 2 pin, черный каучук NEON-NIGHT</t>
  </si>
  <si>
    <t>124-019</t>
  </si>
  <si>
    <t>Коннектор-переходник (шнур) гирлянда – дюралайт NEON-NIGHT</t>
  </si>
  <si>
    <t>124-112</t>
  </si>
  <si>
    <t>Коннектор-переходник (шнур) дюралайт – гирлянда NEON-NIGHT</t>
  </si>
  <si>
    <t>315-404</t>
  </si>
  <si>
    <t>Разветвитель-Y (шнур) для уличных гирлянд, 1 вход, 2 выхода, белый ПВХ NEON-NIGHT</t>
  </si>
  <si>
    <t>315-402</t>
  </si>
  <si>
    <t>Разветвитель-Y (шнур) для уличных гирлянд, 1 вход, 2 выхода, черный ПВХ NEON-NIGHT</t>
  </si>
  <si>
    <t>315-411</t>
  </si>
  <si>
    <t>Разветвитель-Y (шнур) для уличных гирлянд, 1 вход, 3 выхода, белый ПВХ NEON-NIGHT</t>
  </si>
  <si>
    <t>315-434</t>
  </si>
  <si>
    <t>Разветвитель-Y (шнур) для уличных гирлянд, 1 вход, 5 выходов, белый ПВХ NEON-NIGHT</t>
  </si>
  <si>
    <t>315-408</t>
  </si>
  <si>
    <t>Разветвитель-шина для уличных гирлянд, 1 вход, 5 выходов, 250см, шаг 50см, белый ПВХ NEON-NIGHT</t>
  </si>
  <si>
    <t>315-409</t>
  </si>
  <si>
    <t>Разветвитель-шина для уличных гирлянд, 1 вход, 5 выходов, 500см, шаг 100см, белый ПВХ NEON-NIGHT</t>
  </si>
  <si>
    <t>315-406</t>
  </si>
  <si>
    <t>Разветвитель-шина для уличных гирлянд, 1 вход, 5 выходов, 55см, шаг 10см, белый ПВХ NEON-NIGHT</t>
  </si>
  <si>
    <t>315-407</t>
  </si>
  <si>
    <t>Разветвитель-шина для уличных гирлянд, 1 вход, 20 выходов, 200см, шаг 10см, белый ПВХ NEON-NIGHT</t>
  </si>
  <si>
    <t>315-428</t>
  </si>
  <si>
    <t>Удлинитель (шнур) для подключения уличных гирлянд 1м черный ПВХ NEON-NIGHT</t>
  </si>
  <si>
    <t>315-421</t>
  </si>
  <si>
    <t>Удлинитель (шнур) для подключения уличных гирлянд 3м белый ПВХ NEON-NIGHT</t>
  </si>
  <si>
    <t>315-426</t>
  </si>
  <si>
    <t>Удлинитель (шнур) для подключения уличных гирлянд 3м черный ПВХ NEON-NIGHT</t>
  </si>
  <si>
    <t>Информация</t>
  </si>
  <si>
    <t>Сумма Вашего заказа с уцененным товаром [С НДС]</t>
  </si>
  <si>
    <t>1. Товар считается находящимся в состоянии нетоварного вида, если он имеет косметические дефекты, не влияющие на его работоспособность:
    — Упаковка: Нарушение целостности (внешней/индивидуальной), загрязнения (пыль/грязь), посторонние надписи или наклейки, замятие.
    — Товар: Пыль, загрязнения, потемнения от естественного старения, незначительные вмятины, царапины, следы механического воздействия или посторонние надписи/наклейки на корпусе (включая оболочку кабеля).
2. Товар полностью исправен, с действующей гарантией, с достаточным сроком годности, никогда не был в использовании.
3. Указанные в данной форме товары возврату и обмену не подлежат, за исключением случаев выявления заводского брака или несоответствия заказу.
4. Наличие товара в прайс-листе носит информационный характер, о реальном количестве уточняйте у своего менеджера.</t>
  </si>
  <si>
    <t>Сформировать заказ 
(ВВЕДИТЕ КОЛИЧЕСТВО)
↓</t>
  </si>
  <si>
    <t>Цена по уценке
[С НДС]</t>
  </si>
  <si>
    <t>Цена по уценке
[БЕЗ НДС]</t>
  </si>
  <si>
    <t>Минимальная отгрузка</t>
  </si>
  <si>
    <t>В упаковке</t>
  </si>
  <si>
    <t>Транспортная упаковка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</si>
</sst>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* #,##0.00\ &quot;₽&quot;_-;\-* #,##0.00\ &quot;₽&quot;_-;_-* &quot;-&quot;??\ &quot;₽&quot;_-;_-@_-"/>
    <numFmt numFmtId="164" formatCode="[=0]&quot;&quot;;General"/>
    <numFmt numFmtId="165" formatCode="0.000"/>
    <numFmt numFmtId="166" formatCode="0.000000"/>
    <numFmt numFmtId="167" formatCode="0&quot; дней&quot;"/>
    <numFmt numFmtId="168" formatCode="#,##0.000"/>
    <numFmt numFmtId="169" formatCode="0.0%"/>
  </numFmts>
  <fonts count="19" x14ac:knownFonts="1">
    <font>
      <sz val="8"/>
      <name val="Arial"/>
    </font>
    <font>
      <b/>
      <sz val="12"/>
      <name val="Arial"/>
      <family val="2"/>
    </font>
    <font>
      <b/>
      <sz val="9"/>
      <name val="Arial"/>
      <family val="2"/>
    </font>
    <font>
      <b/>
      <sz val="8"/>
      <color rgb="FFFFFFFF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b/>
      <sz val="12"/>
      <color rgb="FFFFFFFF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rgb="FF000000"/>
      <name val="Arial"/>
      <family val="2"/>
    </font>
    <font>
      <sz val="8"/>
      <name val="Arial"/>
    </font>
    <font>
      <u/>
      <sz val="8"/>
      <color theme="10"/>
      <name val="Arial"/>
    </font>
    <font>
      <b/>
      <u/>
      <sz val="10"/>
      <color indexed="12"/>
      <name val="Arial"/>
      <family val="2"/>
      <charset val="204"/>
    </font>
    <font>
      <u/>
      <sz val="8"/>
      <color indexed="12"/>
      <name val="Arial"/>
      <family val="2"/>
      <charset val="204"/>
    </font>
    <font>
      <u/>
      <sz val="9"/>
      <color indexed="12"/>
      <name val="Arial"/>
      <family val="2"/>
      <charset val="204"/>
    </font>
    <font>
      <u/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E9F8FE"/>
      </patternFill>
    </fill>
    <fill>
      <patternFill patternType="solid">
        <fgColor rgb="FF0072BC"/>
      </patternFill>
    </fill>
    <fill>
      <patternFill patternType="solid">
        <fgColor rgb="FFBFBFBF"/>
      </patternFill>
    </fill>
    <fill>
      <patternFill patternType="solid">
        <fgColor rgb="FFD9D9D9"/>
      </patternFill>
    </fill>
    <fill>
      <patternFill patternType="solid">
        <fgColor rgb="FFFFD966"/>
      </patternFill>
    </fill>
    <fill>
      <patternFill patternType="solid">
        <fgColor rgb="FFF24137"/>
      </patternFill>
    </fill>
    <fill>
      <patternFill patternType="solid">
        <fgColor rgb="FF27BCFB"/>
      </patternFill>
    </fill>
    <fill>
      <patternFill patternType="solid">
        <fgColor rgb="FFC1EBFD"/>
      </patternFill>
    </fill>
    <fill>
      <patternFill patternType="solid">
        <fgColor rgb="FFFFF2CC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C0C0C0"/>
      </patternFill>
    </fill>
  </fills>
  <borders count="16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hair">
        <color rgb="FF000000"/>
      </left>
      <right/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 style="hair">
        <color rgb="FF000000"/>
      </right>
      <top/>
      <bottom/>
      <diagonal/>
    </border>
    <border>
      <left style="hair">
        <color rgb="FF000000"/>
      </left>
      <right/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/>
      <bottom style="hair">
        <color rgb="FF000000"/>
      </bottom>
      <diagonal/>
    </border>
    <border>
      <left style="hair">
        <color rgb="FF000000"/>
      </left>
      <right style="hair">
        <color rgb="FF000000"/>
      </right>
      <top/>
      <bottom style="hair">
        <color rgb="FF000000"/>
      </bottom>
      <diagonal/>
    </border>
    <border>
      <left/>
      <right/>
      <top/>
      <bottom style="hair">
        <color rgb="FF000000"/>
      </bottom>
      <diagonal/>
    </border>
  </borders>
  <cellStyleXfs count="3">
    <xf numFmtId="0" fontId="0" fillId="0" borderId="0"/>
    <xf numFmtId="44" fontId="1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145">
    <xf numFmtId="0" fontId="0" fillId="0" borderId="0" xfId="0"/>
    <xf numFmtId="0" fontId="0" fillId="0" borderId="0" xfId="0" applyAlignment="1">
      <alignment horizontal="left"/>
    </xf>
    <xf numFmtId="0" fontId="2" fillId="2" borderId="0" xfId="0" applyFont="1" applyFill="1" applyAlignment="1">
      <alignment horizontal="right" wrapText="1"/>
    </xf>
    <xf numFmtId="0" fontId="5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0" fillId="6" borderId="0" xfId="0" applyFill="1" applyAlignment="1">
      <alignment horizontal="left"/>
    </xf>
    <xf numFmtId="0" fontId="4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center" vertical="center" wrapText="1"/>
    </xf>
    <xf numFmtId="0" fontId="4" fillId="6" borderId="0" xfId="0" applyFont="1" applyFill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5" borderId="0" xfId="0" applyFont="1" applyFill="1" applyAlignment="1">
      <alignment horizontal="center" vertical="center" wrapText="1"/>
    </xf>
    <xf numFmtId="0" fontId="9" fillId="8" borderId="0" xfId="0" applyFont="1" applyFill="1" applyAlignment="1">
      <alignment horizontal="left"/>
    </xf>
    <xf numFmtId="0" fontId="9" fillId="9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1" fontId="5" fillId="0" borderId="1" xfId="0" applyNumberFormat="1" applyFont="1" applyBorder="1" applyAlignment="1">
      <alignment horizontal="center" vertical="top" wrapText="1"/>
    </xf>
    <xf numFmtId="2" fontId="5" fillId="0" borderId="1" xfId="0" applyNumberFormat="1" applyFont="1" applyBorder="1" applyAlignment="1">
      <alignment horizontal="right" vertical="top" wrapText="1"/>
    </xf>
    <xf numFmtId="165" fontId="10" fillId="0" borderId="1" xfId="0" applyNumberFormat="1" applyFont="1" applyBorder="1" applyAlignment="1">
      <alignment horizontal="right" vertical="top" wrapText="1"/>
    </xf>
    <xf numFmtId="166" fontId="10" fillId="0" borderId="1" xfId="0" applyNumberFormat="1" applyFont="1" applyBorder="1" applyAlignment="1">
      <alignment horizontal="right" vertical="top" wrapText="1"/>
    </xf>
    <xf numFmtId="1" fontId="10" fillId="0" borderId="1" xfId="0" applyNumberFormat="1" applyFont="1" applyBorder="1" applyAlignment="1">
      <alignment horizontal="right" vertical="top" wrapText="1"/>
    </xf>
    <xf numFmtId="3" fontId="5" fillId="0" borderId="1" xfId="0" applyNumberFormat="1" applyFont="1" applyBorder="1" applyAlignment="1">
      <alignment horizontal="center" vertical="top" wrapText="1"/>
    </xf>
    <xf numFmtId="0" fontId="9" fillId="6" borderId="0" xfId="0" applyFont="1" applyFill="1" applyAlignment="1">
      <alignment horizontal="left"/>
    </xf>
    <xf numFmtId="167" fontId="5" fillId="0" borderId="1" xfId="0" applyNumberFormat="1" applyFont="1" applyBorder="1" applyAlignment="1">
      <alignment horizontal="center" vertical="top"/>
    </xf>
    <xf numFmtId="0" fontId="10" fillId="0" borderId="1" xfId="0" applyFont="1" applyBorder="1" applyAlignment="1">
      <alignment horizontal="right" vertical="top" wrapText="1"/>
    </xf>
    <xf numFmtId="0" fontId="5" fillId="0" borderId="1" xfId="0" applyFont="1" applyBorder="1" applyAlignment="1">
      <alignment horizontal="left" vertical="top" wrapText="1"/>
    </xf>
    <xf numFmtId="168" fontId="10" fillId="0" borderId="1" xfId="0" applyNumberFormat="1" applyFont="1" applyBorder="1" applyAlignment="1">
      <alignment horizontal="right" vertical="top" wrapText="1"/>
    </xf>
    <xf numFmtId="0" fontId="9" fillId="8" borderId="0" xfId="0" applyFont="1" applyFill="1" applyAlignment="1">
      <alignment horizontal="left"/>
    </xf>
    <xf numFmtId="0" fontId="9" fillId="9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9" fillId="6" borderId="0" xfId="0" applyFont="1" applyFill="1" applyAlignment="1">
      <alignment horizontal="left"/>
    </xf>
    <xf numFmtId="0" fontId="2" fillId="10" borderId="1" xfId="0" applyFont="1" applyFill="1" applyBorder="1" applyAlignment="1">
      <alignment horizontal="left" vertical="top" wrapText="1"/>
    </xf>
    <xf numFmtId="0" fontId="5" fillId="10" borderId="1" xfId="0" applyFont="1" applyFill="1" applyBorder="1" applyAlignment="1">
      <alignment horizontal="center" vertical="top"/>
    </xf>
    <xf numFmtId="0" fontId="5" fillId="10" borderId="1" xfId="0" applyFont="1" applyFill="1" applyBorder="1" applyAlignment="1">
      <alignment horizontal="center" vertical="top" wrapText="1"/>
    </xf>
    <xf numFmtId="1" fontId="5" fillId="10" borderId="1" xfId="0" applyNumberFormat="1" applyFont="1" applyFill="1" applyBorder="1" applyAlignment="1">
      <alignment horizontal="center" vertical="top" wrapText="1"/>
    </xf>
    <xf numFmtId="2" fontId="5" fillId="10" borderId="1" xfId="0" applyNumberFormat="1" applyFont="1" applyFill="1" applyBorder="1" applyAlignment="1">
      <alignment horizontal="right" vertical="top" wrapText="1"/>
    </xf>
    <xf numFmtId="165" fontId="10" fillId="10" borderId="1" xfId="0" applyNumberFormat="1" applyFont="1" applyFill="1" applyBorder="1" applyAlignment="1">
      <alignment horizontal="right" vertical="top" wrapText="1"/>
    </xf>
    <xf numFmtId="166" fontId="10" fillId="10" borderId="1" xfId="0" applyNumberFormat="1" applyFont="1" applyFill="1" applyBorder="1" applyAlignment="1">
      <alignment horizontal="right" vertical="top" wrapText="1"/>
    </xf>
    <xf numFmtId="3" fontId="5" fillId="10" borderId="1" xfId="0" applyNumberFormat="1" applyFont="1" applyFill="1" applyBorder="1" applyAlignment="1">
      <alignment horizontal="center" vertical="top" wrapText="1"/>
    </xf>
    <xf numFmtId="0" fontId="2" fillId="11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center" vertical="top"/>
    </xf>
    <xf numFmtId="0" fontId="5" fillId="11" borderId="1" xfId="0" applyFont="1" applyFill="1" applyBorder="1" applyAlignment="1">
      <alignment horizontal="center" vertical="top" wrapText="1"/>
    </xf>
    <xf numFmtId="1" fontId="5" fillId="11" borderId="1" xfId="0" applyNumberFormat="1" applyFont="1" applyFill="1" applyBorder="1" applyAlignment="1">
      <alignment horizontal="center" vertical="top" wrapText="1"/>
    </xf>
    <xf numFmtId="2" fontId="5" fillId="11" borderId="1" xfId="0" applyNumberFormat="1" applyFont="1" applyFill="1" applyBorder="1" applyAlignment="1">
      <alignment horizontal="right" vertical="top" wrapText="1"/>
    </xf>
    <xf numFmtId="165" fontId="10" fillId="11" borderId="1" xfId="0" applyNumberFormat="1" applyFont="1" applyFill="1" applyBorder="1" applyAlignment="1">
      <alignment horizontal="right" vertical="top" wrapText="1"/>
    </xf>
    <xf numFmtId="166" fontId="10" fillId="11" borderId="1" xfId="0" applyNumberFormat="1" applyFont="1" applyFill="1" applyBorder="1" applyAlignment="1">
      <alignment horizontal="right" vertical="top" wrapText="1"/>
    </xf>
    <xf numFmtId="3" fontId="5" fillId="11" borderId="1" xfId="0" applyNumberFormat="1" applyFont="1" applyFill="1" applyBorder="1" applyAlignment="1">
      <alignment horizontal="center" vertical="top" wrapText="1"/>
    </xf>
    <xf numFmtId="167" fontId="5" fillId="10" borderId="1" xfId="0" applyNumberFormat="1" applyFont="1" applyFill="1" applyBorder="1" applyAlignment="1">
      <alignment horizontal="center" vertical="top"/>
    </xf>
    <xf numFmtId="0" fontId="10" fillId="11" borderId="1" xfId="0" applyFont="1" applyFill="1" applyBorder="1" applyAlignment="1">
      <alignment horizontal="right" vertical="top" wrapText="1"/>
    </xf>
    <xf numFmtId="4" fontId="0" fillId="10" borderId="1" xfId="0" applyNumberFormat="1" applyFill="1" applyBorder="1" applyAlignment="1">
      <alignment horizontal="center"/>
    </xf>
    <xf numFmtId="4" fontId="0" fillId="11" borderId="1" xfId="0" applyNumberFormat="1" applyFill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5" fillId="10" borderId="1" xfId="0" applyNumberFormat="1" applyFont="1" applyFill="1" applyBorder="1" applyAlignment="1">
      <alignment horizontal="center" vertical="top"/>
    </xf>
    <xf numFmtId="4" fontId="5" fillId="11" borderId="1" xfId="0" applyNumberFormat="1" applyFont="1" applyFill="1" applyBorder="1" applyAlignment="1">
      <alignment horizontal="center" vertical="top"/>
    </xf>
    <xf numFmtId="4" fontId="5" fillId="0" borderId="1" xfId="0" applyNumberFormat="1" applyFont="1" applyBorder="1" applyAlignment="1">
      <alignment horizontal="center" vertical="top"/>
    </xf>
    <xf numFmtId="4" fontId="9" fillId="8" borderId="0" xfId="0" applyNumberFormat="1" applyFont="1" applyFill="1" applyAlignment="1">
      <alignment horizontal="center"/>
    </xf>
    <xf numFmtId="4" fontId="9" fillId="9" borderId="0" xfId="0" applyNumberFormat="1" applyFont="1" applyFill="1" applyAlignment="1">
      <alignment horizontal="center"/>
    </xf>
    <xf numFmtId="4" fontId="9" fillId="2" borderId="0" xfId="0" applyNumberFormat="1" applyFont="1" applyFill="1" applyAlignment="1">
      <alignment horizontal="center"/>
    </xf>
    <xf numFmtId="4" fontId="9" fillId="6" borderId="0" xfId="0" applyNumberFormat="1" applyFont="1" applyFill="1" applyAlignment="1">
      <alignment horizontal="center"/>
    </xf>
    <xf numFmtId="0" fontId="14" fillId="10" borderId="1" xfId="2" applyFont="1" applyFill="1" applyBorder="1" applyAlignment="1">
      <alignment horizontal="center" vertical="top"/>
    </xf>
    <xf numFmtId="0" fontId="14" fillId="11" borderId="1" xfId="2" applyFont="1" applyFill="1" applyBorder="1" applyAlignment="1">
      <alignment horizontal="center" vertical="top"/>
    </xf>
    <xf numFmtId="0" fontId="15" fillId="11" borderId="1" xfId="0" applyFont="1" applyFill="1" applyBorder="1" applyAlignment="1">
      <alignment horizontal="center" vertical="top"/>
    </xf>
    <xf numFmtId="0" fontId="14" fillId="0" borderId="1" xfId="2" applyFont="1" applyBorder="1" applyAlignment="1">
      <alignment horizontal="center" vertical="top"/>
    </xf>
    <xf numFmtId="0" fontId="15" fillId="0" borderId="1" xfId="0" applyFont="1" applyBorder="1" applyAlignment="1">
      <alignment horizontal="center" vertical="top"/>
    </xf>
    <xf numFmtId="0" fontId="15" fillId="10" borderId="1" xfId="0" applyFont="1" applyFill="1" applyBorder="1" applyAlignment="1">
      <alignment horizontal="center" vertical="top"/>
    </xf>
    <xf numFmtId="0" fontId="13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2" borderId="0" xfId="0" applyFont="1" applyFill="1" applyAlignment="1">
      <alignment horizontal="center"/>
    </xf>
    <xf numFmtId="0" fontId="13" fillId="6" borderId="0" xfId="0" applyFont="1" applyFill="1" applyAlignment="1">
      <alignment horizontal="center"/>
    </xf>
    <xf numFmtId="0" fontId="0" fillId="0" borderId="0" xfId="0" applyAlignment="1">
      <alignment horizontal="left" wrapText="1"/>
    </xf>
    <xf numFmtId="0" fontId="8" fillId="0" borderId="0" xfId="0" applyFont="1" applyAlignment="1">
      <alignment horizontal="left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5" fillId="10" borderId="1" xfId="0" applyFont="1" applyFill="1" applyBorder="1" applyAlignment="1">
      <alignment horizontal="left" vertical="top" wrapText="1"/>
    </xf>
    <xf numFmtId="0" fontId="5" fillId="11" borderId="1" xfId="0" applyFont="1" applyFill="1" applyBorder="1" applyAlignment="1">
      <alignment horizontal="left" vertical="top" wrapText="1"/>
    </xf>
    <xf numFmtId="0" fontId="9" fillId="2" borderId="0" xfId="0" applyFont="1" applyFill="1" applyAlignment="1">
      <alignment horizontal="left"/>
    </xf>
    <xf numFmtId="4" fontId="9" fillId="2" borderId="0" xfId="0" applyNumberFormat="1" applyFont="1" applyFill="1" applyAlignment="1">
      <alignment horizontal="center"/>
    </xf>
    <xf numFmtId="0" fontId="9" fillId="9" borderId="0" xfId="0" applyFont="1" applyFill="1" applyAlignment="1">
      <alignment horizontal="left"/>
    </xf>
    <xf numFmtId="4" fontId="9" fillId="9" borderId="0" xfId="0" applyNumberFormat="1" applyFont="1" applyFill="1" applyAlignment="1">
      <alignment horizontal="center"/>
    </xf>
    <xf numFmtId="0" fontId="9" fillId="8" borderId="0" xfId="0" applyFont="1" applyFill="1" applyAlignment="1">
      <alignment horizontal="left"/>
    </xf>
    <xf numFmtId="4" fontId="9" fillId="8" borderId="0" xfId="0" applyNumberFormat="1" applyFont="1" applyFill="1" applyAlignment="1">
      <alignment horizontal="center"/>
    </xf>
    <xf numFmtId="0" fontId="9" fillId="6" borderId="0" xfId="0" applyFont="1" applyFill="1" applyAlignment="1">
      <alignment horizontal="left"/>
    </xf>
    <xf numFmtId="4" fontId="9" fillId="6" borderId="0" xfId="0" applyNumberFormat="1" applyFont="1" applyFill="1" applyAlignment="1">
      <alignment horizontal="center"/>
    </xf>
    <xf numFmtId="0" fontId="1" fillId="0" borderId="0" xfId="0" applyFont="1" applyAlignment="1">
      <alignment horizontal="left" wrapText="1"/>
    </xf>
    <xf numFmtId="44" fontId="2" fillId="2" borderId="0" xfId="1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3" borderId="0" xfId="0" applyFont="1" applyFill="1" applyAlignment="1">
      <alignment horizontal="center"/>
    </xf>
    <xf numFmtId="0" fontId="4" fillId="4" borderId="0" xfId="0" applyFont="1" applyFill="1" applyAlignment="1">
      <alignment horizontal="center"/>
    </xf>
    <xf numFmtId="169" fontId="6" fillId="3" borderId="0" xfId="0" applyNumberFormat="1" applyFont="1" applyFill="1" applyAlignment="1">
      <alignment horizontal="center" vertical="center"/>
    </xf>
    <xf numFmtId="164" fontId="6" fillId="3" borderId="0" xfId="0" applyNumberFormat="1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4" fontId="7" fillId="5" borderId="0" xfId="0" applyNumberFormat="1" applyFont="1" applyFill="1" applyAlignment="1">
      <alignment horizontal="center" vertical="center"/>
    </xf>
    <xf numFmtId="0" fontId="7" fillId="5" borderId="0" xfId="0" applyFont="1" applyFill="1" applyAlignment="1">
      <alignment horizontal="center" vertical="center"/>
    </xf>
    <xf numFmtId="0" fontId="16" fillId="0" borderId="2" xfId="0" applyFont="1" applyBorder="1" applyAlignment="1">
      <alignment horizontal="left" vertical="top"/>
    </xf>
    <xf numFmtId="0" fontId="0" fillId="0" borderId="3" xfId="0" applyBorder="1" applyAlignment="1">
      <alignment horizontal="left"/>
    </xf>
    <xf numFmtId="0" fontId="17" fillId="2" borderId="4" xfId="0" applyFont="1" applyFill="1" applyBorder="1" applyAlignment="1">
      <alignment horizontal="right" wrapText="1"/>
    </xf>
    <xf numFmtId="44" fontId="2" fillId="2" borderId="5" xfId="1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left" vertical="top" wrapText="1"/>
    </xf>
    <xf numFmtId="0" fontId="2" fillId="2" borderId="8" xfId="0" applyFont="1" applyFill="1" applyBorder="1" applyAlignment="1">
      <alignment horizontal="right" vertical="center" wrapText="1"/>
    </xf>
    <xf numFmtId="44" fontId="2" fillId="2" borderId="9" xfId="1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8" fillId="0" borderId="8" xfId="0" applyFont="1" applyBorder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12" borderId="8" xfId="0" applyFont="1" applyFill="1" applyBorder="1" applyAlignment="1">
      <alignment horizontal="center" vertical="center"/>
    </xf>
    <xf numFmtId="0" fontId="2" fillId="12" borderId="7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" fontId="7" fillId="5" borderId="12" xfId="0" applyNumberFormat="1" applyFont="1" applyFill="1" applyBorder="1" applyAlignment="1">
      <alignment horizontal="center" vertical="center"/>
    </xf>
    <xf numFmtId="4" fontId="7" fillId="5" borderId="2" xfId="0" applyNumberFormat="1" applyFont="1" applyFill="1" applyBorder="1" applyAlignment="1">
      <alignment horizontal="center" vertical="center"/>
    </xf>
    <xf numFmtId="0" fontId="7" fillId="5" borderId="9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5" borderId="7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10" xfId="0" applyFont="1" applyFill="1" applyBorder="1" applyAlignment="1">
      <alignment horizontal="center" vertical="center"/>
    </xf>
    <xf numFmtId="0" fontId="18" fillId="0" borderId="11" xfId="0" applyFont="1" applyBorder="1" applyAlignment="1">
      <alignment horizontal="left" vertical="top" wrapText="1"/>
    </xf>
    <xf numFmtId="0" fontId="18" fillId="0" borderId="13" xfId="0" applyFont="1" applyBorder="1" applyAlignment="1">
      <alignment horizontal="left" vertical="top" wrapText="1"/>
    </xf>
    <xf numFmtId="0" fontId="7" fillId="5" borderId="14" xfId="0" applyFont="1" applyFill="1" applyBorder="1" applyAlignment="1">
      <alignment horizontal="center" vertical="center"/>
    </xf>
    <xf numFmtId="0" fontId="7" fillId="5" borderId="11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left"/>
    </xf>
    <xf numFmtId="0" fontId="9" fillId="8" borderId="0" xfId="0" applyFont="1" applyFill="1" applyAlignment="1">
      <alignment horizontal="left" wrapText="1"/>
    </xf>
    <xf numFmtId="4" fontId="0" fillId="8" borderId="0" xfId="0" applyNumberFormat="1" applyFill="1" applyAlignment="1">
      <alignment horizontal="center"/>
    </xf>
    <xf numFmtId="0" fontId="0" fillId="8" borderId="0" xfId="0" applyFill="1" applyAlignment="1">
      <alignment horizontal="left"/>
    </xf>
    <xf numFmtId="0" fontId="14" fillId="8" borderId="0" xfId="0" applyFont="1" applyFill="1" applyAlignment="1">
      <alignment horizontal="center"/>
    </xf>
    <xf numFmtId="0" fontId="9" fillId="9" borderId="0" xfId="0" applyFont="1" applyFill="1" applyAlignment="1">
      <alignment horizontal="left" wrapText="1"/>
    </xf>
    <xf numFmtId="4" fontId="0" fillId="9" borderId="0" xfId="0" applyNumberFormat="1" applyFill="1" applyAlignment="1">
      <alignment horizontal="center"/>
    </xf>
    <xf numFmtId="0" fontId="0" fillId="9" borderId="0" xfId="0" applyFill="1" applyAlignment="1">
      <alignment horizontal="left"/>
    </xf>
    <xf numFmtId="0" fontId="14" fillId="9" borderId="0" xfId="0" applyFont="1" applyFill="1" applyAlignment="1">
      <alignment horizontal="center"/>
    </xf>
    <xf numFmtId="0" fontId="9" fillId="2" borderId="0" xfId="0" applyFont="1" applyFill="1" applyAlignment="1">
      <alignment horizontal="left" wrapText="1"/>
    </xf>
    <xf numFmtId="4" fontId="0" fillId="2" borderId="0" xfId="0" applyNumberFormat="1" applyFill="1" applyAlignment="1">
      <alignment horizontal="center"/>
    </xf>
    <xf numFmtId="0" fontId="14" fillId="2" borderId="0" xfId="0" applyFont="1" applyFill="1" applyAlignment="1">
      <alignment horizontal="center"/>
    </xf>
    <xf numFmtId="4" fontId="5" fillId="10" borderId="1" xfId="0" applyNumberFormat="1" applyFont="1" applyFill="1" applyBorder="1" applyAlignment="1">
      <alignment horizontal="center"/>
    </xf>
    <xf numFmtId="2" fontId="5" fillId="10" borderId="1" xfId="0" applyNumberFormat="1" applyFont="1" applyFill="1" applyBorder="1" applyAlignment="1">
      <alignment horizontal="center" vertical="top"/>
    </xf>
    <xf numFmtId="1" fontId="10" fillId="10" borderId="1" xfId="0" applyNumberFormat="1" applyFont="1" applyFill="1" applyBorder="1" applyAlignment="1">
      <alignment horizontal="right" vertical="top" wrapText="1"/>
    </xf>
    <xf numFmtId="0" fontId="9" fillId="6" borderId="0" xfId="0" applyFont="1" applyFill="1" applyAlignment="1">
      <alignment horizontal="left" wrapText="1"/>
    </xf>
    <xf numFmtId="4" fontId="0" fillId="6" borderId="0" xfId="0" applyNumberFormat="1" applyFill="1" applyAlignment="1">
      <alignment horizontal="center"/>
    </xf>
    <xf numFmtId="0" fontId="14" fillId="6" borderId="0" xfId="0" applyFont="1" applyFill="1" applyAlignment="1">
      <alignment horizontal="center"/>
    </xf>
  </cellXfs>
  <cellStyles count="3">
    <cellStyle name="Гиперссылка" xfId="2" builtinId="8"/>
    <cellStyle name="Денежный" xfId="1" builtinId="4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0</xdr:rowOff>
    </xdr:from>
    <xdr:to>
      <xdr:col>0</xdr:col>
      <xdr:colOff>1304925</xdr:colOff>
      <xdr:row>4</xdr:row>
      <xdr:rowOff>104775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0</xdr:rowOff>
    </xdr:from>
    <xdr:to>
      <xdr:col>0</xdr:col>
      <xdr:colOff>1304925</xdr:colOff>
      <xdr:row>4</xdr:row>
      <xdr:rowOff>104775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42F7A213-4DAE-4A60-86CA-7479458ED0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1190625" cy="4191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85725</xdr:rowOff>
    </xdr:from>
    <xdr:to>
      <xdr:col>0</xdr:col>
      <xdr:colOff>1343025</xdr:colOff>
      <xdr:row>1</xdr:row>
      <xdr:rowOff>209550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847B4963-68C9-45A1-9D1D-9358B38FEA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" y="85725"/>
          <a:ext cx="1190625" cy="428625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0</xdr:rowOff>
    </xdr:from>
    <xdr:to>
      <xdr:col>0</xdr:col>
      <xdr:colOff>1304925</xdr:colOff>
      <xdr:row>4</xdr:row>
      <xdr:rowOff>104775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3824C243-5D92-4189-939A-7BCE5C0BFA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1190625" cy="41910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2</xdr:row>
      <xdr:rowOff>0</xdr:rowOff>
    </xdr:from>
    <xdr:to>
      <xdr:col>0</xdr:col>
      <xdr:colOff>1304925</xdr:colOff>
      <xdr:row>4</xdr:row>
      <xdr:rowOff>104775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B097D202-FD1E-4A5B-B49B-5430BE4D9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285750"/>
          <a:ext cx="1190625" cy="41910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88C1"/>
    <outlinePr summaryBelow="0" summaryRight="0"/>
    <pageSetUpPr autoPageBreaks="0"/>
  </sheetPr>
  <dimension ref="A1:Z12047"/>
  <sheetViews>
    <sheetView tabSelected="1" workbookViewId="0">
      <pane ySplit="8" topLeftCell="A9" activePane="bottomLeft" state="frozenSplit"/>
      <selection pane="bottomLeft"/>
    </sheetView>
  </sheetViews>
  <sheetFormatPr defaultColWidth="10.5" defaultRowHeight="11.45" customHeight="1" outlineLevelRow="5" outlineLevelCol="1" x14ac:dyDescent="0.2"/>
  <cols>
    <col min="1" max="1" width="26.6640625" style="1" customWidth="1"/>
    <col min="2" max="2" width="71.1640625" style="70" customWidth="1"/>
    <col min="3" max="3" width="26.1640625" style="1" customWidth="1" outlineLevel="1"/>
    <col min="4" max="4" width="37.83203125" style="1" customWidth="1" outlineLevel="1"/>
    <col min="5" max="7" width="10.5" style="1" customWidth="1" outlineLevel="1"/>
    <col min="8" max="8" width="12.83203125" style="1" customWidth="1" outlineLevel="1"/>
    <col min="9" max="9" width="18.83203125" style="1" customWidth="1" outlineLevel="1"/>
    <col min="10" max="10" width="12.1640625" style="1" customWidth="1" outlineLevel="1"/>
    <col min="11" max="11" width="13.6640625" style="1" customWidth="1" outlineLevel="1"/>
    <col min="12" max="14" width="10.5" style="1" customWidth="1" outlineLevel="1"/>
    <col min="15" max="15" width="11.1640625" style="1" customWidth="1"/>
    <col min="16" max="16" width="11.6640625" style="1" customWidth="1"/>
    <col min="17" max="17" width="11.33203125" style="1" customWidth="1"/>
    <col min="18" max="18" width="11.1640625" style="1" customWidth="1"/>
    <col min="19" max="19" width="11.33203125" style="1" customWidth="1"/>
    <col min="20" max="20" width="11.1640625" style="1" customWidth="1"/>
    <col min="21" max="21" width="32.6640625" style="1" customWidth="1"/>
    <col min="22" max="22" width="17" style="1" customWidth="1"/>
    <col min="23" max="23" width="22" style="1" customWidth="1"/>
    <col min="24" max="24" width="14.1640625" style="1" customWidth="1" outlineLevel="1"/>
    <col min="25" max="25" width="13.5" style="1" customWidth="1" outlineLevel="1"/>
    <col min="26" max="26" width="30.33203125" style="1" customWidth="1" outlineLevel="1"/>
  </cols>
  <sheetData>
    <row r="1" spans="1:26" ht="11.1" customHeight="1" x14ac:dyDescent="0.2"/>
    <row r="2" spans="1:26" ht="12" customHeight="1" x14ac:dyDescent="0.2">
      <c r="B2" s="84" t="s">
        <v>0</v>
      </c>
      <c r="D2" s="2" t="s">
        <v>1</v>
      </c>
      <c r="E2" s="85">
        <f>SUM(D:D)</f>
        <v>0</v>
      </c>
      <c r="F2" s="86"/>
      <c r="G2" s="87" t="s">
        <v>2</v>
      </c>
      <c r="H2" s="87"/>
      <c r="I2" s="88" t="s">
        <v>3</v>
      </c>
      <c r="J2" s="88"/>
      <c r="K2" s="88" t="s">
        <v>4</v>
      </c>
      <c r="L2" s="88"/>
    </row>
    <row r="3" spans="1:26" ht="12" customHeight="1" x14ac:dyDescent="0.2">
      <c r="B3" s="84"/>
      <c r="D3" s="3" t="s">
        <v>5</v>
      </c>
      <c r="E3" s="85">
        <f>E2-(E2/122%*22%)</f>
        <v>0</v>
      </c>
      <c r="F3" s="86"/>
      <c r="G3" s="89">
        <v>0</v>
      </c>
      <c r="H3" s="90"/>
      <c r="I3" s="92">
        <f>SUMPRODUCT($C:$C,X:X)</f>
        <v>0</v>
      </c>
      <c r="J3" s="93"/>
      <c r="K3" s="92">
        <f>SUMPRODUCT($C:$C,Y:Y)</f>
        <v>0</v>
      </c>
      <c r="L3" s="93"/>
    </row>
    <row r="4" spans="1:26" ht="12.95" customHeight="1" x14ac:dyDescent="0.2">
      <c r="B4" s="71" t="s">
        <v>6</v>
      </c>
      <c r="D4" s="4"/>
      <c r="E4" s="4"/>
      <c r="F4" s="4"/>
      <c r="G4" s="91"/>
      <c r="H4" s="91"/>
      <c r="I4" s="93"/>
      <c r="J4" s="93"/>
      <c r="K4" s="93"/>
      <c r="L4" s="93"/>
    </row>
    <row r="5" spans="1:26" ht="12.95" customHeight="1" x14ac:dyDescent="0.2">
      <c r="B5" s="72" t="s">
        <v>7</v>
      </c>
      <c r="G5" s="91"/>
      <c r="H5" s="91"/>
      <c r="I5" s="93"/>
      <c r="J5" s="93"/>
      <c r="K5" s="93"/>
      <c r="L5" s="93"/>
    </row>
    <row r="6" spans="1:26" ht="11.1" customHeight="1" x14ac:dyDescent="0.2">
      <c r="G6" s="91"/>
      <c r="H6" s="91"/>
      <c r="I6" s="93"/>
      <c r="J6" s="93"/>
      <c r="K6" s="93"/>
      <c r="L6" s="93"/>
    </row>
    <row r="7" spans="1:26" ht="11.1" customHeight="1" x14ac:dyDescent="0.2">
      <c r="A7" s="5"/>
      <c r="B7" s="73" t="s">
        <v>8</v>
      </c>
    </row>
    <row r="8" spans="1:26" s="6" customFormat="1" ht="21.95" customHeight="1" x14ac:dyDescent="0.2">
      <c r="A8" s="7" t="s">
        <v>9</v>
      </c>
      <c r="B8" s="7" t="s">
        <v>10</v>
      </c>
      <c r="C8" s="8" t="s">
        <v>11</v>
      </c>
      <c r="D8" s="8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7" t="s">
        <v>22</v>
      </c>
      <c r="O8" s="9" t="s">
        <v>23</v>
      </c>
      <c r="P8" s="9" t="s">
        <v>24</v>
      </c>
      <c r="Q8" s="7" t="s">
        <v>25</v>
      </c>
      <c r="R8" s="7" t="s">
        <v>26</v>
      </c>
      <c r="S8" s="7" t="s">
        <v>27</v>
      </c>
      <c r="T8" s="7" t="s">
        <v>28</v>
      </c>
      <c r="U8" s="7" t="s">
        <v>29</v>
      </c>
      <c r="V8" s="7" t="s">
        <v>30</v>
      </c>
      <c r="W8" s="7" t="s">
        <v>31</v>
      </c>
      <c r="X8" s="10" t="s">
        <v>3</v>
      </c>
      <c r="Y8" s="10" t="s">
        <v>4</v>
      </c>
      <c r="Z8" s="10" t="s">
        <v>32</v>
      </c>
    </row>
    <row r="9" spans="1:26" ht="12.95" customHeight="1" x14ac:dyDescent="0.2">
      <c r="A9" s="80" t="s">
        <v>33</v>
      </c>
      <c r="B9" s="80"/>
      <c r="C9" s="81"/>
      <c r="D9" s="56"/>
      <c r="E9" s="66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</row>
    <row r="10" spans="1:26" ht="12.95" customHeight="1" outlineLevel="1" x14ac:dyDescent="0.2">
      <c r="A10" s="78" t="s">
        <v>34</v>
      </c>
      <c r="B10" s="78"/>
      <c r="C10" s="79"/>
      <c r="D10" s="57"/>
      <c r="E10" s="67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2.95" customHeight="1" outlineLevel="2" x14ac:dyDescent="0.2">
      <c r="A11" s="76" t="s">
        <v>35</v>
      </c>
      <c r="B11" s="76"/>
      <c r="C11" s="77"/>
      <c r="D11" s="58"/>
      <c r="E11" s="68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spans="1:26" ht="12.95" customHeight="1" outlineLevel="3" x14ac:dyDescent="0.2">
      <c r="A12" s="76" t="s">
        <v>36</v>
      </c>
      <c r="B12" s="76"/>
      <c r="C12" s="77"/>
      <c r="D12" s="58"/>
      <c r="E12" s="68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spans="1:26" ht="12" customHeight="1" outlineLevel="4" x14ac:dyDescent="0.2">
      <c r="A13" s="32" t="s">
        <v>37</v>
      </c>
      <c r="B13" s="74" t="s">
        <v>38</v>
      </c>
      <c r="C13" s="50"/>
      <c r="D13" s="53">
        <f t="shared" ref="D13:D72" si="0">C13*(O13-O13*$G$3)</f>
        <v>0</v>
      </c>
      <c r="E13" s="60" t="str">
        <f>HYPERLINK("https://www.sds-group.ru/product/vyklyuchatel-dvuhklavishnyy-romashka-s-u-zheltyy-belyy-kranz-KR-78-0621/", "Инфо")</f>
        <v>Инфо</v>
      </c>
      <c r="F13" s="34" t="s">
        <v>39</v>
      </c>
      <c r="G13" s="33"/>
      <c r="H13" s="33" t="s">
        <v>40</v>
      </c>
      <c r="I13" s="33"/>
      <c r="J13" s="35">
        <v>823</v>
      </c>
      <c r="K13" s="33"/>
      <c r="L13" s="35">
        <v>1</v>
      </c>
      <c r="M13" s="35">
        <v>168</v>
      </c>
      <c r="N13" s="35">
        <v>1</v>
      </c>
      <c r="O13" s="36">
        <v>194.58</v>
      </c>
      <c r="P13" s="36">
        <v>159.49</v>
      </c>
      <c r="Q13" s="36">
        <v>136.21</v>
      </c>
      <c r="R13" s="36">
        <v>111.65</v>
      </c>
      <c r="S13" s="36">
        <v>132.31</v>
      </c>
      <c r="T13" s="36">
        <v>108.45</v>
      </c>
      <c r="U13" s="34"/>
      <c r="V13" s="34"/>
      <c r="W13" s="34"/>
      <c r="X13" s="37">
        <v>9.4E-2</v>
      </c>
      <c r="Y13" s="38">
        <v>7.6099999999999996E-4</v>
      </c>
      <c r="Z13" s="21">
        <v>4601004222694</v>
      </c>
    </row>
    <row r="14" spans="1:26" ht="12" customHeight="1" outlineLevel="4" x14ac:dyDescent="0.2">
      <c r="A14" s="32" t="s">
        <v>41</v>
      </c>
      <c r="B14" s="74" t="s">
        <v>42</v>
      </c>
      <c r="C14" s="50"/>
      <c r="D14" s="53">
        <f t="shared" si="0"/>
        <v>0</v>
      </c>
      <c r="E14" s="60" t="str">
        <f>HYPERLINK("https://www.sds-group.ru/product/vyklyuchatel-dvuhklavishnyy-solntse-s-u-zheltyy-kranz-KR-78-0618/", "Инфо")</f>
        <v>Инфо</v>
      </c>
      <c r="F14" s="34" t="s">
        <v>39</v>
      </c>
      <c r="G14" s="33"/>
      <c r="H14" s="33" t="s">
        <v>40</v>
      </c>
      <c r="I14" s="33"/>
      <c r="J14" s="35">
        <v>631</v>
      </c>
      <c r="K14" s="33"/>
      <c r="L14" s="35">
        <v>1</v>
      </c>
      <c r="M14" s="35">
        <v>168</v>
      </c>
      <c r="N14" s="35">
        <v>1</v>
      </c>
      <c r="O14" s="36">
        <v>184.87</v>
      </c>
      <c r="P14" s="36">
        <v>151.53</v>
      </c>
      <c r="Q14" s="36">
        <v>129.41</v>
      </c>
      <c r="R14" s="36">
        <v>106.07</v>
      </c>
      <c r="S14" s="36">
        <v>125.71</v>
      </c>
      <c r="T14" s="36">
        <v>103.04</v>
      </c>
      <c r="U14" s="34"/>
      <c r="V14" s="34"/>
      <c r="W14" s="34"/>
      <c r="X14" s="37">
        <v>0.09</v>
      </c>
      <c r="Y14" s="38">
        <v>7.5799999999999999E-4</v>
      </c>
      <c r="Z14" s="21">
        <v>4601004222632</v>
      </c>
    </row>
    <row r="15" spans="1:26" ht="12" customHeight="1" outlineLevel="4" x14ac:dyDescent="0.2">
      <c r="A15" s="32" t="s">
        <v>43</v>
      </c>
      <c r="B15" s="74" t="s">
        <v>44</v>
      </c>
      <c r="C15" s="50"/>
      <c r="D15" s="53">
        <f t="shared" si="0"/>
        <v>0</v>
      </c>
      <c r="E15" s="60" t="str">
        <f>HYPERLINK("https://www.sds-group.ru/product/vyklyuchatel-dvuhklavishnyy-tsvetok-s-u-belyy-goluboy-kranz-KR-78-0627/", "Инфо")</f>
        <v>Инфо</v>
      </c>
      <c r="F15" s="34" t="s">
        <v>39</v>
      </c>
      <c r="G15" s="33"/>
      <c r="H15" s="33" t="s">
        <v>40</v>
      </c>
      <c r="I15" s="33"/>
      <c r="J15" s="35">
        <v>677</v>
      </c>
      <c r="K15" s="33"/>
      <c r="L15" s="35">
        <v>1</v>
      </c>
      <c r="M15" s="35">
        <v>168</v>
      </c>
      <c r="N15" s="35">
        <v>1</v>
      </c>
      <c r="O15" s="36">
        <v>188.03</v>
      </c>
      <c r="P15" s="36">
        <v>154.12</v>
      </c>
      <c r="Q15" s="36">
        <v>131.62</v>
      </c>
      <c r="R15" s="36">
        <v>107.89</v>
      </c>
      <c r="S15" s="36">
        <v>127.86</v>
      </c>
      <c r="T15" s="36">
        <v>104.8</v>
      </c>
      <c r="U15" s="34"/>
      <c r="V15" s="34"/>
      <c r="W15" s="34"/>
      <c r="X15" s="37">
        <v>9.6000000000000002E-2</v>
      </c>
      <c r="Y15" s="38">
        <v>7.9199999999999995E-4</v>
      </c>
      <c r="Z15" s="21">
        <v>4601004222816</v>
      </c>
    </row>
    <row r="16" spans="1:26" ht="12" customHeight="1" outlineLevel="4" x14ac:dyDescent="0.2">
      <c r="A16" s="32" t="s">
        <v>45</v>
      </c>
      <c r="B16" s="74" t="s">
        <v>46</v>
      </c>
      <c r="C16" s="50"/>
      <c r="D16" s="53">
        <f t="shared" si="0"/>
        <v>0</v>
      </c>
      <c r="E16" s="60" t="str">
        <f>HYPERLINK("https://www.sds-group.ru/product/vyklyuchatel-dvuhklavishnyy-tsvetok-s-u-belyy-rozovyy-kranz-KR-78-0624/", "Инфо")</f>
        <v>Инфо</v>
      </c>
      <c r="F16" s="34" t="s">
        <v>39</v>
      </c>
      <c r="G16" s="33"/>
      <c r="H16" s="33" t="s">
        <v>40</v>
      </c>
      <c r="I16" s="33"/>
      <c r="J16" s="35">
        <v>479</v>
      </c>
      <c r="K16" s="33"/>
      <c r="L16" s="35">
        <v>1</v>
      </c>
      <c r="M16" s="35">
        <v>168</v>
      </c>
      <c r="N16" s="35">
        <v>1</v>
      </c>
      <c r="O16" s="36">
        <v>188.82</v>
      </c>
      <c r="P16" s="36">
        <v>154.77000000000001</v>
      </c>
      <c r="Q16" s="36">
        <v>132.16999999999999</v>
      </c>
      <c r="R16" s="36">
        <v>108.34</v>
      </c>
      <c r="S16" s="36">
        <v>128.4</v>
      </c>
      <c r="T16" s="36">
        <v>105.25</v>
      </c>
      <c r="U16" s="34"/>
      <c r="V16" s="34"/>
      <c r="W16" s="34"/>
      <c r="X16" s="37">
        <v>9.5000000000000001E-2</v>
      </c>
      <c r="Y16" s="38">
        <v>7.5600000000000005E-4</v>
      </c>
      <c r="Z16" s="21">
        <v>4601004222755</v>
      </c>
    </row>
    <row r="17" spans="1:26" ht="12" customHeight="1" outlineLevel="4" x14ac:dyDescent="0.2">
      <c r="A17" s="32" t="s">
        <v>47</v>
      </c>
      <c r="B17" s="74" t="s">
        <v>48</v>
      </c>
      <c r="C17" s="50"/>
      <c r="D17" s="53">
        <f t="shared" si="0"/>
        <v>0</v>
      </c>
      <c r="E17" s="60" t="str">
        <f>HYPERLINK("https://www.sds-group.ru/product/vyklyuchatel-dvuhklavishnyy-yaichnitsa-s-u-zheltyy-belyy-kranz-KR-78-0630/", "Инфо")</f>
        <v>Инфо</v>
      </c>
      <c r="F17" s="34" t="s">
        <v>39</v>
      </c>
      <c r="G17" s="33"/>
      <c r="H17" s="33" t="s">
        <v>40</v>
      </c>
      <c r="I17" s="33"/>
      <c r="J17" s="39">
        <v>1018</v>
      </c>
      <c r="K17" s="33"/>
      <c r="L17" s="35">
        <v>1</v>
      </c>
      <c r="M17" s="35">
        <v>168</v>
      </c>
      <c r="N17" s="35">
        <v>1</v>
      </c>
      <c r="O17" s="36">
        <v>193.09</v>
      </c>
      <c r="P17" s="36">
        <v>158.27000000000001</v>
      </c>
      <c r="Q17" s="36">
        <v>135.16</v>
      </c>
      <c r="R17" s="36">
        <v>110.79</v>
      </c>
      <c r="S17" s="36">
        <v>131.30000000000001</v>
      </c>
      <c r="T17" s="36">
        <v>107.62</v>
      </c>
      <c r="U17" s="34"/>
      <c r="V17" s="34"/>
      <c r="W17" s="34"/>
      <c r="X17" s="37">
        <v>9.2999999999999999E-2</v>
      </c>
      <c r="Y17" s="38">
        <v>7.5900000000000002E-4</v>
      </c>
      <c r="Z17" s="21">
        <v>4601004222878</v>
      </c>
    </row>
    <row r="18" spans="1:26" ht="12" customHeight="1" outlineLevel="4" x14ac:dyDescent="0.2">
      <c r="A18" s="32" t="s">
        <v>49</v>
      </c>
      <c r="B18" s="74" t="s">
        <v>50</v>
      </c>
      <c r="C18" s="50"/>
      <c r="D18" s="53">
        <f t="shared" si="0"/>
        <v>0</v>
      </c>
      <c r="E18" s="60" t="str">
        <f>HYPERLINK("https://www.sds-group.ru/product/vyklyuchatel-odnoklavishnyy-romashka-s-u-zheltyy-belyy-kranz-KR-78-0620/", "Инфо")</f>
        <v>Инфо</v>
      </c>
      <c r="F18" s="34" t="s">
        <v>39</v>
      </c>
      <c r="G18" s="33"/>
      <c r="H18" s="33" t="s">
        <v>40</v>
      </c>
      <c r="I18" s="33"/>
      <c r="J18" s="39">
        <v>2852</v>
      </c>
      <c r="K18" s="33"/>
      <c r="L18" s="35">
        <v>1</v>
      </c>
      <c r="M18" s="35">
        <v>168</v>
      </c>
      <c r="N18" s="35">
        <v>1</v>
      </c>
      <c r="O18" s="36">
        <v>129.94999999999999</v>
      </c>
      <c r="P18" s="36">
        <v>106.52</v>
      </c>
      <c r="Q18" s="36">
        <v>90.97</v>
      </c>
      <c r="R18" s="36">
        <v>74.569999999999993</v>
      </c>
      <c r="S18" s="36">
        <v>88.37</v>
      </c>
      <c r="T18" s="36">
        <v>72.430000000000007</v>
      </c>
      <c r="U18" s="34"/>
      <c r="V18" s="34"/>
      <c r="W18" s="34"/>
      <c r="X18" s="37">
        <v>0.09</v>
      </c>
      <c r="Y18" s="38">
        <v>7.7700000000000002E-4</v>
      </c>
      <c r="Z18" s="21">
        <v>4601004222670</v>
      </c>
    </row>
    <row r="19" spans="1:26" ht="12" customHeight="1" outlineLevel="4" x14ac:dyDescent="0.2">
      <c r="A19" s="32" t="s">
        <v>51</v>
      </c>
      <c r="B19" s="74" t="s">
        <v>52</v>
      </c>
      <c r="C19" s="50"/>
      <c r="D19" s="53">
        <f t="shared" si="0"/>
        <v>0</v>
      </c>
      <c r="E19" s="60" t="str">
        <f>HYPERLINK("https://www.sds-group.ru/product/vyklyuchatel-odnoklavishnyy-solntse-s-u-zheltyy-kranz-KR-78-0617/", "Инфо")</f>
        <v>Инфо</v>
      </c>
      <c r="F19" s="34" t="s">
        <v>39</v>
      </c>
      <c r="G19" s="33"/>
      <c r="H19" s="33" t="s">
        <v>40</v>
      </c>
      <c r="I19" s="33"/>
      <c r="J19" s="39">
        <v>1081</v>
      </c>
      <c r="K19" s="33"/>
      <c r="L19" s="35">
        <v>1</v>
      </c>
      <c r="M19" s="35">
        <v>168</v>
      </c>
      <c r="N19" s="35">
        <v>1</v>
      </c>
      <c r="O19" s="36">
        <v>134.66999999999999</v>
      </c>
      <c r="P19" s="36">
        <v>110.39</v>
      </c>
      <c r="Q19" s="36">
        <v>94.27</v>
      </c>
      <c r="R19" s="36">
        <v>77.27</v>
      </c>
      <c r="S19" s="36">
        <v>91.58</v>
      </c>
      <c r="T19" s="36">
        <v>75.069999999999993</v>
      </c>
      <c r="U19" s="34"/>
      <c r="V19" s="34"/>
      <c r="W19" s="34"/>
      <c r="X19" s="37">
        <v>8.5999999999999993E-2</v>
      </c>
      <c r="Y19" s="38">
        <v>7.7499999999999997E-4</v>
      </c>
      <c r="Z19" s="21">
        <v>4601004222618</v>
      </c>
    </row>
    <row r="20" spans="1:26" ht="12" customHeight="1" outlineLevel="4" x14ac:dyDescent="0.2">
      <c r="A20" s="32" t="s">
        <v>53</v>
      </c>
      <c r="B20" s="74" t="s">
        <v>54</v>
      </c>
      <c r="C20" s="50"/>
      <c r="D20" s="53">
        <f t="shared" si="0"/>
        <v>0</v>
      </c>
      <c r="E20" s="60" t="str">
        <f>HYPERLINK("https://www.sds-group.ru/product/vyklyuchatel-odnoklavishnyy-tsvetok-s-u-belyy-goluboy-kranz-KR-78-0626/", "Инфо")</f>
        <v>Инфо</v>
      </c>
      <c r="F20" s="34" t="s">
        <v>39</v>
      </c>
      <c r="G20" s="33"/>
      <c r="H20" s="33" t="s">
        <v>40</v>
      </c>
      <c r="I20" s="33"/>
      <c r="J20" s="39">
        <v>1677</v>
      </c>
      <c r="K20" s="33"/>
      <c r="L20" s="35">
        <v>1</v>
      </c>
      <c r="M20" s="35">
        <v>168</v>
      </c>
      <c r="N20" s="35">
        <v>1</v>
      </c>
      <c r="O20" s="36">
        <v>166.44</v>
      </c>
      <c r="P20" s="36">
        <v>136.43</v>
      </c>
      <c r="Q20" s="36">
        <v>116.51</v>
      </c>
      <c r="R20" s="36">
        <v>95.5</v>
      </c>
      <c r="S20" s="36">
        <v>113.18</v>
      </c>
      <c r="T20" s="36">
        <v>92.77</v>
      </c>
      <c r="U20" s="34"/>
      <c r="V20" s="34"/>
      <c r="W20" s="34"/>
      <c r="X20" s="37">
        <v>9.0999999999999998E-2</v>
      </c>
      <c r="Y20" s="38">
        <v>7.4299999999999995E-4</v>
      </c>
      <c r="Z20" s="21">
        <v>4601004222793</v>
      </c>
    </row>
    <row r="21" spans="1:26" ht="12" customHeight="1" outlineLevel="4" x14ac:dyDescent="0.2">
      <c r="A21" s="32" t="s">
        <v>55</v>
      </c>
      <c r="B21" s="74" t="s">
        <v>56</v>
      </c>
      <c r="C21" s="50"/>
      <c r="D21" s="53">
        <f t="shared" si="0"/>
        <v>0</v>
      </c>
      <c r="E21" s="60" t="str">
        <f>HYPERLINK("https://www.sds-group.ru/product/vyklyuchatel-odnoklavishnyy-yaichnitsa-s-u-zheltyy-belyy-kranz-KR-78-0629/", "Инфо")</f>
        <v>Инфо</v>
      </c>
      <c r="F21" s="34" t="s">
        <v>39</v>
      </c>
      <c r="G21" s="33"/>
      <c r="H21" s="33" t="s">
        <v>40</v>
      </c>
      <c r="I21" s="33"/>
      <c r="J21" s="39">
        <v>2854</v>
      </c>
      <c r="K21" s="33"/>
      <c r="L21" s="35">
        <v>1</v>
      </c>
      <c r="M21" s="35">
        <v>168</v>
      </c>
      <c r="N21" s="35">
        <v>1</v>
      </c>
      <c r="O21" s="36">
        <v>129.88999999999999</v>
      </c>
      <c r="P21" s="36">
        <v>106.47</v>
      </c>
      <c r="Q21" s="36">
        <v>90.92</v>
      </c>
      <c r="R21" s="36">
        <v>74.52</v>
      </c>
      <c r="S21" s="36">
        <v>88.33</v>
      </c>
      <c r="T21" s="36">
        <v>72.400000000000006</v>
      </c>
      <c r="U21" s="34"/>
      <c r="V21" s="34"/>
      <c r="W21" s="34"/>
      <c r="X21" s="37">
        <v>9.0999999999999998E-2</v>
      </c>
      <c r="Y21" s="38">
        <v>7.6599999999999997E-4</v>
      </c>
      <c r="Z21" s="21">
        <v>4601004222854</v>
      </c>
    </row>
    <row r="22" spans="1:26" ht="12" customHeight="1" outlineLevel="4" x14ac:dyDescent="0.2">
      <c r="A22" s="32" t="s">
        <v>57</v>
      </c>
      <c r="B22" s="74" t="s">
        <v>58</v>
      </c>
      <c r="C22" s="50"/>
      <c r="D22" s="53">
        <f t="shared" si="0"/>
        <v>0</v>
      </c>
      <c r="E22" s="60" t="str">
        <f>HYPERLINK("https://www.sds-group.ru/product/rozetka-dvoynaya-yaichnitsa-s-u-s-z-so-shtorkami-zheltaya-belaya-kranz-KR-78-0632/", "Инфо")</f>
        <v>Инфо</v>
      </c>
      <c r="F22" s="34" t="s">
        <v>39</v>
      </c>
      <c r="G22" s="33"/>
      <c r="H22" s="33" t="s">
        <v>40</v>
      </c>
      <c r="I22" s="33"/>
      <c r="J22" s="35">
        <v>240</v>
      </c>
      <c r="K22" s="33"/>
      <c r="L22" s="35">
        <v>1</v>
      </c>
      <c r="M22" s="35">
        <v>168</v>
      </c>
      <c r="N22" s="35">
        <v>1</v>
      </c>
      <c r="O22" s="36">
        <v>268.5</v>
      </c>
      <c r="P22" s="36">
        <v>220.08</v>
      </c>
      <c r="Q22" s="36">
        <v>187.95</v>
      </c>
      <c r="R22" s="36">
        <v>154.06</v>
      </c>
      <c r="S22" s="36">
        <v>182.58</v>
      </c>
      <c r="T22" s="36">
        <v>149.66</v>
      </c>
      <c r="U22" s="34"/>
      <c r="V22" s="34"/>
      <c r="W22" s="34"/>
      <c r="X22" s="37">
        <v>0.11700000000000001</v>
      </c>
      <c r="Y22" s="38">
        <v>7.6800000000000002E-4</v>
      </c>
      <c r="Z22" s="21">
        <v>4601004222915</v>
      </c>
    </row>
    <row r="23" spans="1:26" ht="12" customHeight="1" outlineLevel="4" x14ac:dyDescent="0.2">
      <c r="A23" s="32" t="s">
        <v>59</v>
      </c>
      <c r="B23" s="74" t="s">
        <v>60</v>
      </c>
      <c r="C23" s="50"/>
      <c r="D23" s="53">
        <f t="shared" si="0"/>
        <v>0</v>
      </c>
      <c r="E23" s="60" t="str">
        <f>HYPERLINK("https://www.sds-group.ru/product/rozetka-odnomestnaya-solntse-s-u-s-z-so-shtorkami-zheltaya-kranz-KR-78-0813/", "Инфо")</f>
        <v>Инфо</v>
      </c>
      <c r="F23" s="34" t="s">
        <v>39</v>
      </c>
      <c r="G23" s="33"/>
      <c r="H23" s="33" t="s">
        <v>40</v>
      </c>
      <c r="I23" s="33"/>
      <c r="J23" s="39">
        <v>2033</v>
      </c>
      <c r="K23" s="33"/>
      <c r="L23" s="35">
        <v>1</v>
      </c>
      <c r="M23" s="35">
        <v>168</v>
      </c>
      <c r="N23" s="35">
        <v>1</v>
      </c>
      <c r="O23" s="36">
        <v>190.74</v>
      </c>
      <c r="P23" s="36">
        <v>156.34</v>
      </c>
      <c r="Q23" s="36">
        <v>133.52000000000001</v>
      </c>
      <c r="R23" s="36">
        <v>109.44</v>
      </c>
      <c r="S23" s="36">
        <v>129.69999999999999</v>
      </c>
      <c r="T23" s="36">
        <v>106.31</v>
      </c>
      <c r="U23" s="34"/>
      <c r="V23" s="34"/>
      <c r="W23" s="34"/>
      <c r="X23" s="37">
        <v>8.6999999999999994E-2</v>
      </c>
      <c r="Y23" s="38">
        <v>6.8300000000000001E-4</v>
      </c>
      <c r="Z23" s="21">
        <v>4601004236509</v>
      </c>
    </row>
    <row r="24" spans="1:26" ht="12" customHeight="1" outlineLevel="4" x14ac:dyDescent="0.2">
      <c r="A24" s="32" t="s">
        <v>61</v>
      </c>
      <c r="B24" s="74" t="s">
        <v>62</v>
      </c>
      <c r="C24" s="50"/>
      <c r="D24" s="53">
        <f t="shared" si="0"/>
        <v>0</v>
      </c>
      <c r="E24" s="60" t="str">
        <f>HYPERLINK("https://www.sds-group.ru/product/rozetka-odnomestnaya-tsvetok-s-u-s-z-so-shtorkami-belaya-golubaya-kranz-KR-78-0628/", "Инфо")</f>
        <v>Инфо</v>
      </c>
      <c r="F24" s="34" t="s">
        <v>39</v>
      </c>
      <c r="G24" s="33"/>
      <c r="H24" s="33" t="s">
        <v>40</v>
      </c>
      <c r="I24" s="33"/>
      <c r="J24" s="39">
        <v>1826</v>
      </c>
      <c r="K24" s="33"/>
      <c r="L24" s="35">
        <v>1</v>
      </c>
      <c r="M24" s="35">
        <v>168</v>
      </c>
      <c r="N24" s="35">
        <v>1</v>
      </c>
      <c r="O24" s="36">
        <v>191.65</v>
      </c>
      <c r="P24" s="36">
        <v>157.09</v>
      </c>
      <c r="Q24" s="36">
        <v>134.16</v>
      </c>
      <c r="R24" s="36">
        <v>109.97</v>
      </c>
      <c r="S24" s="36">
        <v>130.32</v>
      </c>
      <c r="T24" s="36">
        <v>106.82</v>
      </c>
      <c r="U24" s="34"/>
      <c r="V24" s="34"/>
      <c r="W24" s="34"/>
      <c r="X24" s="37">
        <v>9.0999999999999998E-2</v>
      </c>
      <c r="Y24" s="38">
        <v>7.6400000000000003E-4</v>
      </c>
      <c r="Z24" s="21">
        <v>4601004222830</v>
      </c>
    </row>
    <row r="25" spans="1:26" ht="12" customHeight="1" outlineLevel="4" x14ac:dyDescent="0.2">
      <c r="A25" s="32" t="s">
        <v>63</v>
      </c>
      <c r="B25" s="74" t="s">
        <v>64</v>
      </c>
      <c r="C25" s="50"/>
      <c r="D25" s="53">
        <f t="shared" si="0"/>
        <v>0</v>
      </c>
      <c r="E25" s="60" t="str">
        <f>HYPERLINK("https://www.sds-group.ru/product/rozetka-odnomestnaya-tsvetok-s-u-s-z-so-shtorkami-belaya-rozovaya-kranz-KR-78-0625/", "Инфо")</f>
        <v>Инфо</v>
      </c>
      <c r="F25" s="34" t="s">
        <v>39</v>
      </c>
      <c r="G25" s="33"/>
      <c r="H25" s="33" t="s">
        <v>40</v>
      </c>
      <c r="I25" s="33"/>
      <c r="J25" s="39">
        <v>3338</v>
      </c>
      <c r="K25" s="33"/>
      <c r="L25" s="35">
        <v>1</v>
      </c>
      <c r="M25" s="35">
        <v>168</v>
      </c>
      <c r="N25" s="35">
        <v>1</v>
      </c>
      <c r="O25" s="36">
        <v>191.7</v>
      </c>
      <c r="P25" s="36">
        <v>157.13</v>
      </c>
      <c r="Q25" s="36">
        <v>134.19</v>
      </c>
      <c r="R25" s="36">
        <v>109.99</v>
      </c>
      <c r="S25" s="36">
        <v>130.36000000000001</v>
      </c>
      <c r="T25" s="36">
        <v>106.85</v>
      </c>
      <c r="U25" s="34"/>
      <c r="V25" s="34"/>
      <c r="W25" s="34"/>
      <c r="X25" s="37">
        <v>9.0999999999999998E-2</v>
      </c>
      <c r="Y25" s="38">
        <v>7.6900000000000004E-4</v>
      </c>
      <c r="Z25" s="21">
        <v>4601004222779</v>
      </c>
    </row>
    <row r="26" spans="1:26" ht="12.95" customHeight="1" outlineLevel="3" x14ac:dyDescent="0.2">
      <c r="A26" s="76" t="s">
        <v>65</v>
      </c>
      <c r="B26" s="76"/>
      <c r="C26" s="77"/>
      <c r="D26" s="58"/>
      <c r="E26" s="68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spans="1:26" ht="12" customHeight="1" outlineLevel="4" x14ac:dyDescent="0.2">
      <c r="A27" s="32" t="s">
        <v>66</v>
      </c>
      <c r="B27" s="74" t="s">
        <v>67</v>
      </c>
      <c r="C27" s="50"/>
      <c r="D27" s="53">
        <f t="shared" si="0"/>
        <v>0</v>
      </c>
      <c r="E27" s="60" t="str">
        <f>HYPERLINK("https://www.sds-group.ru/product/vyklyuchatel-pereklyuchatel-1kl-perekrest-s-u-10a-meh-bezhevyy-kranz-KR-78-0238/", "Инфо")</f>
        <v>Инфо</v>
      </c>
      <c r="F27" s="34" t="s">
        <v>39</v>
      </c>
      <c r="G27" s="33"/>
      <c r="H27" s="33" t="s">
        <v>40</v>
      </c>
      <c r="I27" s="33"/>
      <c r="J27" s="35">
        <v>225</v>
      </c>
      <c r="K27" s="33"/>
      <c r="L27" s="35">
        <v>1</v>
      </c>
      <c r="M27" s="35">
        <v>120</v>
      </c>
      <c r="N27" s="35">
        <v>1</v>
      </c>
      <c r="O27" s="36">
        <v>70</v>
      </c>
      <c r="P27" s="36">
        <v>57.38</v>
      </c>
      <c r="Q27" s="36">
        <v>49</v>
      </c>
      <c r="R27" s="36">
        <v>40.159999999999997</v>
      </c>
      <c r="S27" s="36">
        <v>47.6</v>
      </c>
      <c r="T27" s="36">
        <v>39.020000000000003</v>
      </c>
      <c r="U27" s="34"/>
      <c r="V27" s="34"/>
      <c r="W27" s="34"/>
      <c r="X27" s="37">
        <v>8.6999999999999994E-2</v>
      </c>
      <c r="Y27" s="38">
        <v>4.1100000000000002E-4</v>
      </c>
      <c r="Z27" s="21">
        <v>4601004263437</v>
      </c>
    </row>
    <row r="28" spans="1:26" ht="12" customHeight="1" outlineLevel="4" x14ac:dyDescent="0.2">
      <c r="A28" s="32" t="s">
        <v>68</v>
      </c>
      <c r="B28" s="74" t="s">
        <v>69</v>
      </c>
      <c r="C28" s="50"/>
      <c r="D28" s="53">
        <f t="shared" si="0"/>
        <v>0</v>
      </c>
      <c r="E28" s="60" t="str">
        <f>HYPERLINK("https://www.sds-group.ru/product/vyklyuchatel-pereklyuchatel-1kl-perekrest-s-u-10a-meh-belyy-kranz-KR-78-0208/", "Инфо")</f>
        <v>Инфо</v>
      </c>
      <c r="F28" s="34" t="s">
        <v>39</v>
      </c>
      <c r="G28" s="33"/>
      <c r="H28" s="33" t="s">
        <v>40</v>
      </c>
      <c r="I28" s="33"/>
      <c r="J28" s="35">
        <v>217</v>
      </c>
      <c r="K28" s="33"/>
      <c r="L28" s="35">
        <v>1</v>
      </c>
      <c r="M28" s="35">
        <v>120</v>
      </c>
      <c r="N28" s="35">
        <v>1</v>
      </c>
      <c r="O28" s="36">
        <v>70</v>
      </c>
      <c r="P28" s="36">
        <v>57.38</v>
      </c>
      <c r="Q28" s="36">
        <v>49</v>
      </c>
      <c r="R28" s="36">
        <v>40.159999999999997</v>
      </c>
      <c r="S28" s="36">
        <v>47.6</v>
      </c>
      <c r="T28" s="36">
        <v>39.020000000000003</v>
      </c>
      <c r="U28" s="34"/>
      <c r="V28" s="34"/>
      <c r="W28" s="34"/>
      <c r="X28" s="37">
        <v>8.6999999999999994E-2</v>
      </c>
      <c r="Y28" s="38">
        <v>4.1100000000000002E-4</v>
      </c>
      <c r="Z28" s="21">
        <v>4601004263130</v>
      </c>
    </row>
    <row r="29" spans="1:26" ht="12" customHeight="1" outlineLevel="4" x14ac:dyDescent="0.2">
      <c r="A29" s="32" t="s">
        <v>70</v>
      </c>
      <c r="B29" s="74" t="s">
        <v>71</v>
      </c>
      <c r="C29" s="50"/>
      <c r="D29" s="53">
        <f t="shared" si="0"/>
        <v>0</v>
      </c>
      <c r="E29" s="60" t="str">
        <f>HYPERLINK("https://www.sds-group.ru/product/vyklyuchatel-pereklyuchatel-1kl-proh-ind-s-u-10a-meh-bezhevyy-kranz-KR-78-0236/", "Инфо")</f>
        <v>Инфо</v>
      </c>
      <c r="F29" s="34" t="s">
        <v>39</v>
      </c>
      <c r="G29" s="33"/>
      <c r="H29" s="33" t="s">
        <v>40</v>
      </c>
      <c r="I29" s="33"/>
      <c r="J29" s="35">
        <v>303</v>
      </c>
      <c r="K29" s="33"/>
      <c r="L29" s="35">
        <v>1</v>
      </c>
      <c r="M29" s="35">
        <v>120</v>
      </c>
      <c r="N29" s="35">
        <v>1</v>
      </c>
      <c r="O29" s="36">
        <v>37</v>
      </c>
      <c r="P29" s="36">
        <v>30.33</v>
      </c>
      <c r="Q29" s="36">
        <v>25.9</v>
      </c>
      <c r="R29" s="36">
        <v>21.23</v>
      </c>
      <c r="S29" s="36">
        <v>25.16</v>
      </c>
      <c r="T29" s="36">
        <v>20.62</v>
      </c>
      <c r="U29" s="34"/>
      <c r="V29" s="34"/>
      <c r="W29" s="34"/>
      <c r="X29" s="37">
        <v>8.5999999999999993E-2</v>
      </c>
      <c r="Y29" s="38">
        <v>4.0700000000000003E-4</v>
      </c>
      <c r="Z29" s="21">
        <v>4601004263413</v>
      </c>
    </row>
    <row r="30" spans="1:26" ht="12" customHeight="1" outlineLevel="4" x14ac:dyDescent="0.2">
      <c r="A30" s="32" t="s">
        <v>72</v>
      </c>
      <c r="B30" s="74" t="s">
        <v>73</v>
      </c>
      <c r="C30" s="50"/>
      <c r="D30" s="53">
        <f t="shared" si="0"/>
        <v>0</v>
      </c>
      <c r="E30" s="60" t="str">
        <f>HYPERLINK("https://www.sds-group.ru/product/vyklyuchatel-pereklyuchatel-1kl-proh-ind-s-u-10a-meh-belyy-kranz-KR-78-0206/", "Инфо")</f>
        <v>Инфо</v>
      </c>
      <c r="F30" s="34" t="s">
        <v>39</v>
      </c>
      <c r="G30" s="33"/>
      <c r="H30" s="33" t="s">
        <v>40</v>
      </c>
      <c r="I30" s="33"/>
      <c r="J30" s="35">
        <v>209</v>
      </c>
      <c r="K30" s="33"/>
      <c r="L30" s="35">
        <v>1</v>
      </c>
      <c r="M30" s="35">
        <v>120</v>
      </c>
      <c r="N30" s="35">
        <v>1</v>
      </c>
      <c r="O30" s="36">
        <v>37</v>
      </c>
      <c r="P30" s="36">
        <v>30.33</v>
      </c>
      <c r="Q30" s="36">
        <v>25.9</v>
      </c>
      <c r="R30" s="36">
        <v>21.23</v>
      </c>
      <c r="S30" s="36">
        <v>25.16</v>
      </c>
      <c r="T30" s="36">
        <v>20.62</v>
      </c>
      <c r="U30" s="34"/>
      <c r="V30" s="34"/>
      <c r="W30" s="34"/>
      <c r="X30" s="37">
        <v>8.5999999999999993E-2</v>
      </c>
      <c r="Y30" s="38">
        <v>4.1100000000000002E-4</v>
      </c>
      <c r="Z30" s="21">
        <v>4601004263116</v>
      </c>
    </row>
    <row r="31" spans="1:26" ht="12" customHeight="1" outlineLevel="4" x14ac:dyDescent="0.2">
      <c r="A31" s="32" t="s">
        <v>74</v>
      </c>
      <c r="B31" s="74" t="s">
        <v>75</v>
      </c>
      <c r="C31" s="50"/>
      <c r="D31" s="53">
        <f t="shared" si="0"/>
        <v>0</v>
      </c>
      <c r="E31" s="60" t="str">
        <f>HYPERLINK("https://www.sds-group.ru/product/vyklyuchatel-pereklyuchatel-1kl-proh-s-u-10a-meh-bezhevyy-kranz-KR-78-0235/", "Инфо")</f>
        <v>Инфо</v>
      </c>
      <c r="F31" s="34" t="s">
        <v>39</v>
      </c>
      <c r="G31" s="33"/>
      <c r="H31" s="33" t="s">
        <v>40</v>
      </c>
      <c r="I31" s="33"/>
      <c r="J31" s="35">
        <v>952</v>
      </c>
      <c r="K31" s="33"/>
      <c r="L31" s="35">
        <v>1</v>
      </c>
      <c r="M31" s="35">
        <v>120</v>
      </c>
      <c r="N31" s="35">
        <v>1</v>
      </c>
      <c r="O31" s="36">
        <v>35</v>
      </c>
      <c r="P31" s="36">
        <v>28.69</v>
      </c>
      <c r="Q31" s="36">
        <v>24.5</v>
      </c>
      <c r="R31" s="36">
        <v>20.079999999999998</v>
      </c>
      <c r="S31" s="36">
        <v>23.8</v>
      </c>
      <c r="T31" s="36">
        <v>19.510000000000002</v>
      </c>
      <c r="U31" s="34"/>
      <c r="V31" s="34"/>
      <c r="W31" s="34"/>
      <c r="X31" s="37">
        <v>7.5999999999999998E-2</v>
      </c>
      <c r="Y31" s="38">
        <v>3.4299999999999999E-4</v>
      </c>
      <c r="Z31" s="21">
        <v>4601004263406</v>
      </c>
    </row>
    <row r="32" spans="1:26" ht="12" customHeight="1" outlineLevel="4" x14ac:dyDescent="0.2">
      <c r="A32" s="32" t="s">
        <v>76</v>
      </c>
      <c r="B32" s="74" t="s">
        <v>77</v>
      </c>
      <c r="C32" s="50"/>
      <c r="D32" s="53">
        <f t="shared" si="0"/>
        <v>0</v>
      </c>
      <c r="E32" s="60" t="str">
        <f>HYPERLINK("https://www.sds-group.ru/product/vyklyuchatel-pereklyuchatel-2kl-proh-s-u-10a-meh-belyy-kranz-KR-78-0207/", "Инфо")</f>
        <v>Инфо</v>
      </c>
      <c r="F32" s="34" t="s">
        <v>39</v>
      </c>
      <c r="G32" s="33"/>
      <c r="H32" s="33" t="s">
        <v>40</v>
      </c>
      <c r="I32" s="33"/>
      <c r="J32" s="35">
        <v>176</v>
      </c>
      <c r="K32" s="33"/>
      <c r="L32" s="35">
        <v>1</v>
      </c>
      <c r="M32" s="35">
        <v>120</v>
      </c>
      <c r="N32" s="35">
        <v>1</v>
      </c>
      <c r="O32" s="36">
        <v>39.22</v>
      </c>
      <c r="P32" s="36">
        <v>32.15</v>
      </c>
      <c r="Q32" s="36">
        <v>27.45</v>
      </c>
      <c r="R32" s="36">
        <v>22.5</v>
      </c>
      <c r="S32" s="36">
        <v>26.67</v>
      </c>
      <c r="T32" s="36">
        <v>21.86</v>
      </c>
      <c r="U32" s="34"/>
      <c r="V32" s="34"/>
      <c r="W32" s="34"/>
      <c r="X32" s="37">
        <v>9.1999999999999998E-2</v>
      </c>
      <c r="Y32" s="38">
        <v>4.15E-4</v>
      </c>
      <c r="Z32" s="21">
        <v>4601004263123</v>
      </c>
    </row>
    <row r="33" spans="1:26" ht="12" customHeight="1" outlineLevel="4" x14ac:dyDescent="0.2">
      <c r="A33" s="32" t="s">
        <v>78</v>
      </c>
      <c r="B33" s="74" t="s">
        <v>79</v>
      </c>
      <c r="C33" s="50"/>
      <c r="D33" s="53">
        <f t="shared" si="0"/>
        <v>0</v>
      </c>
      <c r="E33" s="60" t="str">
        <f>HYPERLINK("https://www.sds-group.ru/product/vyklyuchatel-1kl-ind-s-u-10a-meh-bezh-kranz-KR-78-0231/", "Инфо")</f>
        <v>Инфо</v>
      </c>
      <c r="F33" s="34" t="s">
        <v>39</v>
      </c>
      <c r="G33" s="33"/>
      <c r="H33" s="33" t="s">
        <v>40</v>
      </c>
      <c r="I33" s="33"/>
      <c r="J33" s="39">
        <v>1745</v>
      </c>
      <c r="K33" s="33"/>
      <c r="L33" s="35">
        <v>1</v>
      </c>
      <c r="M33" s="35">
        <v>120</v>
      </c>
      <c r="N33" s="35">
        <v>1</v>
      </c>
      <c r="O33" s="36">
        <v>30</v>
      </c>
      <c r="P33" s="36">
        <v>24.59</v>
      </c>
      <c r="Q33" s="36">
        <v>21</v>
      </c>
      <c r="R33" s="36">
        <v>17.21</v>
      </c>
      <c r="S33" s="36">
        <v>20.399999999999999</v>
      </c>
      <c r="T33" s="36">
        <v>16.72</v>
      </c>
      <c r="U33" s="34"/>
      <c r="V33" s="34"/>
      <c r="W33" s="34"/>
      <c r="X33" s="37">
        <v>8.2000000000000003E-2</v>
      </c>
      <c r="Y33" s="38">
        <v>4.1399999999999998E-4</v>
      </c>
      <c r="Z33" s="21">
        <v>4601004263369</v>
      </c>
    </row>
    <row r="34" spans="1:26" ht="12" customHeight="1" outlineLevel="4" x14ac:dyDescent="0.2">
      <c r="A34" s="32" t="s">
        <v>80</v>
      </c>
      <c r="B34" s="74" t="s">
        <v>81</v>
      </c>
      <c r="C34" s="50"/>
      <c r="D34" s="53">
        <f t="shared" si="0"/>
        <v>0</v>
      </c>
      <c r="E34" s="60" t="str">
        <f>HYPERLINK("https://www.sds-group.ru/product/vyklyuchatel-1kl-ind-s-u-10a-meh-bel-kranz-KR-78-0201/", "Инфо")</f>
        <v>Инфо</v>
      </c>
      <c r="F34" s="34" t="s">
        <v>39</v>
      </c>
      <c r="G34" s="33"/>
      <c r="H34" s="33" t="s">
        <v>40</v>
      </c>
      <c r="I34" s="33"/>
      <c r="J34" s="35">
        <v>35</v>
      </c>
      <c r="K34" s="33"/>
      <c r="L34" s="35">
        <v>1</v>
      </c>
      <c r="M34" s="35">
        <v>120</v>
      </c>
      <c r="N34" s="35">
        <v>1</v>
      </c>
      <c r="O34" s="36">
        <v>31.8</v>
      </c>
      <c r="P34" s="36">
        <v>26.07</v>
      </c>
      <c r="Q34" s="36">
        <v>22.26</v>
      </c>
      <c r="R34" s="36">
        <v>18.25</v>
      </c>
      <c r="S34" s="36">
        <v>21.62</v>
      </c>
      <c r="T34" s="36">
        <v>17.72</v>
      </c>
      <c r="U34" s="34"/>
      <c r="V34" s="34"/>
      <c r="W34" s="34"/>
      <c r="X34" s="37">
        <v>8.2000000000000003E-2</v>
      </c>
      <c r="Y34" s="38">
        <v>4.1100000000000002E-4</v>
      </c>
      <c r="Z34" s="21">
        <v>4601004263062</v>
      </c>
    </row>
    <row r="35" spans="1:26" ht="12" customHeight="1" outlineLevel="4" x14ac:dyDescent="0.2">
      <c r="A35" s="32" t="s">
        <v>82</v>
      </c>
      <c r="B35" s="74" t="s">
        <v>83</v>
      </c>
      <c r="C35" s="50"/>
      <c r="D35" s="53">
        <f t="shared" si="0"/>
        <v>0</v>
      </c>
      <c r="E35" s="60" t="str">
        <f>HYPERLINK("https://www.sds-group.ru/product/vyklyuchatel-1kl-s-u-10a-meh-bezh-kranz-KR-78-0230/", "Инфо")</f>
        <v>Инфо</v>
      </c>
      <c r="F35" s="34" t="s">
        <v>39</v>
      </c>
      <c r="G35" s="33"/>
      <c r="H35" s="33" t="s">
        <v>40</v>
      </c>
      <c r="I35" s="33"/>
      <c r="J35" s="39">
        <v>2402</v>
      </c>
      <c r="K35" s="33"/>
      <c r="L35" s="35">
        <v>1</v>
      </c>
      <c r="M35" s="35">
        <v>120</v>
      </c>
      <c r="N35" s="35">
        <v>1</v>
      </c>
      <c r="O35" s="36">
        <v>25</v>
      </c>
      <c r="P35" s="36">
        <v>20.49</v>
      </c>
      <c r="Q35" s="36">
        <v>17.5</v>
      </c>
      <c r="R35" s="36">
        <v>14.34</v>
      </c>
      <c r="S35" s="36">
        <v>17</v>
      </c>
      <c r="T35" s="36">
        <v>13.93</v>
      </c>
      <c r="U35" s="34"/>
      <c r="V35" s="34"/>
      <c r="W35" s="34"/>
      <c r="X35" s="37">
        <v>0.08</v>
      </c>
      <c r="Y35" s="38">
        <v>4.1100000000000002E-4</v>
      </c>
      <c r="Z35" s="21">
        <v>4601004263352</v>
      </c>
    </row>
    <row r="36" spans="1:26" ht="12" customHeight="1" outlineLevel="4" x14ac:dyDescent="0.2">
      <c r="A36" s="32" t="s">
        <v>84</v>
      </c>
      <c r="B36" s="74" t="s">
        <v>85</v>
      </c>
      <c r="C36" s="50"/>
      <c r="D36" s="53">
        <f t="shared" si="0"/>
        <v>0</v>
      </c>
      <c r="E36" s="60" t="str">
        <f>HYPERLINK("https://www.sds-group.ru/product/vyklyuchatel-1kl-s-u-10a-meh-bel-kranz-KR-78-0200/", "Инфо")</f>
        <v>Инфо</v>
      </c>
      <c r="F36" s="34" t="s">
        <v>39</v>
      </c>
      <c r="G36" s="33"/>
      <c r="H36" s="33" t="s">
        <v>40</v>
      </c>
      <c r="I36" s="33"/>
      <c r="J36" s="39">
        <v>4308</v>
      </c>
      <c r="K36" s="33"/>
      <c r="L36" s="35">
        <v>1</v>
      </c>
      <c r="M36" s="35">
        <v>120</v>
      </c>
      <c r="N36" s="35">
        <v>1</v>
      </c>
      <c r="O36" s="36">
        <v>25</v>
      </c>
      <c r="P36" s="36">
        <v>20.49</v>
      </c>
      <c r="Q36" s="36">
        <v>17.5</v>
      </c>
      <c r="R36" s="36">
        <v>14.34</v>
      </c>
      <c r="S36" s="36">
        <v>17</v>
      </c>
      <c r="T36" s="36">
        <v>13.93</v>
      </c>
      <c r="U36" s="34"/>
      <c r="V36" s="34"/>
      <c r="W36" s="34"/>
      <c r="X36" s="37">
        <v>0.08</v>
      </c>
      <c r="Y36" s="38">
        <v>4.1399999999999998E-4</v>
      </c>
      <c r="Z36" s="21">
        <v>4601004265158</v>
      </c>
    </row>
    <row r="37" spans="1:26" ht="12" customHeight="1" outlineLevel="4" x14ac:dyDescent="0.2">
      <c r="A37" s="32" t="s">
        <v>86</v>
      </c>
      <c r="B37" s="74" t="s">
        <v>87</v>
      </c>
      <c r="C37" s="50"/>
      <c r="D37" s="53">
        <f t="shared" si="0"/>
        <v>0</v>
      </c>
      <c r="E37" s="60" t="str">
        <f>HYPERLINK("https://www.sds-group.ru/product/vyklyuchatel-1kl-s-u-10a-meh-serebryanyy-metallik-kranz-KR-78-0260/", "Инфо")</f>
        <v>Инфо</v>
      </c>
      <c r="F37" s="34" t="s">
        <v>39</v>
      </c>
      <c r="G37" s="33"/>
      <c r="H37" s="33" t="s">
        <v>40</v>
      </c>
      <c r="I37" s="33"/>
      <c r="J37" s="39">
        <v>1529</v>
      </c>
      <c r="K37" s="33"/>
      <c r="L37" s="35">
        <v>1</v>
      </c>
      <c r="M37" s="35">
        <v>120</v>
      </c>
      <c r="N37" s="35">
        <v>1</v>
      </c>
      <c r="O37" s="36">
        <v>25</v>
      </c>
      <c r="P37" s="36">
        <v>20.49</v>
      </c>
      <c r="Q37" s="36">
        <v>17.5</v>
      </c>
      <c r="R37" s="36">
        <v>14.34</v>
      </c>
      <c r="S37" s="36">
        <v>17</v>
      </c>
      <c r="T37" s="36">
        <v>13.93</v>
      </c>
      <c r="U37" s="34"/>
      <c r="V37" s="34"/>
      <c r="W37" s="34"/>
      <c r="X37" s="37">
        <v>7.5999999999999998E-2</v>
      </c>
      <c r="Y37" s="38">
        <v>3.3199999999999999E-4</v>
      </c>
      <c r="Z37" s="21">
        <v>4601004263659</v>
      </c>
    </row>
    <row r="38" spans="1:26" ht="12" customHeight="1" outlineLevel="4" x14ac:dyDescent="0.2">
      <c r="A38" s="32" t="s">
        <v>88</v>
      </c>
      <c r="B38" s="74" t="s">
        <v>89</v>
      </c>
      <c r="C38" s="50"/>
      <c r="D38" s="53">
        <f t="shared" si="0"/>
        <v>0</v>
      </c>
      <c r="E38" s="60" t="str">
        <f>HYPERLINK("https://www.sds-group.ru/product/vyklyuchatel-1kl-s-u-10a-meh-chernyy-metallik-kranz-KR-78-0320/", "Инфо")</f>
        <v>Инфо</v>
      </c>
      <c r="F38" s="34" t="s">
        <v>39</v>
      </c>
      <c r="G38" s="33"/>
      <c r="H38" s="33" t="s">
        <v>40</v>
      </c>
      <c r="I38" s="33"/>
      <c r="J38" s="39">
        <v>1274</v>
      </c>
      <c r="K38" s="33"/>
      <c r="L38" s="35">
        <v>1</v>
      </c>
      <c r="M38" s="35">
        <v>120</v>
      </c>
      <c r="N38" s="35">
        <v>1</v>
      </c>
      <c r="O38" s="36">
        <v>25</v>
      </c>
      <c r="P38" s="36">
        <v>20.49</v>
      </c>
      <c r="Q38" s="36">
        <v>17.5</v>
      </c>
      <c r="R38" s="36">
        <v>14.34</v>
      </c>
      <c r="S38" s="36">
        <v>17</v>
      </c>
      <c r="T38" s="36">
        <v>13.93</v>
      </c>
      <c r="U38" s="34"/>
      <c r="V38" s="34"/>
      <c r="W38" s="34"/>
      <c r="X38" s="37">
        <v>0.08</v>
      </c>
      <c r="Y38" s="38">
        <v>4.1399999999999998E-4</v>
      </c>
      <c r="Z38" s="21">
        <v>4601004264250</v>
      </c>
    </row>
    <row r="39" spans="1:26" ht="12" customHeight="1" outlineLevel="4" x14ac:dyDescent="0.2">
      <c r="A39" s="32" t="s">
        <v>90</v>
      </c>
      <c r="B39" s="74" t="s">
        <v>91</v>
      </c>
      <c r="C39" s="50"/>
      <c r="D39" s="53">
        <f t="shared" si="0"/>
        <v>0</v>
      </c>
      <c r="E39" s="60" t="str">
        <f>HYPERLINK("https://www.sds-group.ru/product/vyklyuchatel-2kl-ind-s-u-10a-meh-bezh-kranz-KR-78-0233/", "Инфо")</f>
        <v>Инфо</v>
      </c>
      <c r="F39" s="34" t="s">
        <v>39</v>
      </c>
      <c r="G39" s="33"/>
      <c r="H39" s="33" t="s">
        <v>40</v>
      </c>
      <c r="I39" s="33"/>
      <c r="J39" s="35">
        <v>385</v>
      </c>
      <c r="K39" s="33"/>
      <c r="L39" s="35">
        <v>1</v>
      </c>
      <c r="M39" s="35">
        <v>120</v>
      </c>
      <c r="N39" s="35">
        <v>1</v>
      </c>
      <c r="O39" s="36">
        <v>30</v>
      </c>
      <c r="P39" s="36">
        <v>24.59</v>
      </c>
      <c r="Q39" s="36">
        <v>21</v>
      </c>
      <c r="R39" s="36">
        <v>17.21</v>
      </c>
      <c r="S39" s="36">
        <v>20.399999999999999</v>
      </c>
      <c r="T39" s="36">
        <v>16.72</v>
      </c>
      <c r="U39" s="34"/>
      <c r="V39" s="34"/>
      <c r="W39" s="34"/>
      <c r="X39" s="37">
        <v>8.1000000000000003E-2</v>
      </c>
      <c r="Y39" s="38">
        <v>4.0900000000000002E-4</v>
      </c>
      <c r="Z39" s="21">
        <v>4601004263383</v>
      </c>
    </row>
    <row r="40" spans="1:26" ht="12" customHeight="1" outlineLevel="4" x14ac:dyDescent="0.2">
      <c r="A40" s="32" t="s">
        <v>92</v>
      </c>
      <c r="B40" s="74" t="s">
        <v>93</v>
      </c>
      <c r="C40" s="50"/>
      <c r="D40" s="53">
        <f t="shared" si="0"/>
        <v>0</v>
      </c>
      <c r="E40" s="60" t="str">
        <f>HYPERLINK("https://www.sds-group.ru/product/vyklyuchatel-2kl-ind-s-u-10a-meh-bel-kranz-KR-78-0203/", "Инфо")</f>
        <v>Инфо</v>
      </c>
      <c r="F40" s="34" t="s">
        <v>39</v>
      </c>
      <c r="G40" s="33"/>
      <c r="H40" s="33" t="s">
        <v>40</v>
      </c>
      <c r="I40" s="33"/>
      <c r="J40" s="35">
        <v>34</v>
      </c>
      <c r="K40" s="33"/>
      <c r="L40" s="35">
        <v>1</v>
      </c>
      <c r="M40" s="35">
        <v>120</v>
      </c>
      <c r="N40" s="35">
        <v>1</v>
      </c>
      <c r="O40" s="36">
        <v>31.8</v>
      </c>
      <c r="P40" s="36">
        <v>26.07</v>
      </c>
      <c r="Q40" s="36">
        <v>22.26</v>
      </c>
      <c r="R40" s="36">
        <v>18.25</v>
      </c>
      <c r="S40" s="36">
        <v>21.62</v>
      </c>
      <c r="T40" s="36">
        <v>17.72</v>
      </c>
      <c r="U40" s="34"/>
      <c r="V40" s="34"/>
      <c r="W40" s="34"/>
      <c r="X40" s="37">
        <v>8.5999999999999993E-2</v>
      </c>
      <c r="Y40" s="38">
        <v>4.1399999999999998E-4</v>
      </c>
      <c r="Z40" s="21">
        <v>4601004263086</v>
      </c>
    </row>
    <row r="41" spans="1:26" ht="12" customHeight="1" outlineLevel="4" x14ac:dyDescent="0.2">
      <c r="A41" s="32" t="s">
        <v>94</v>
      </c>
      <c r="B41" s="74" t="s">
        <v>95</v>
      </c>
      <c r="C41" s="50"/>
      <c r="D41" s="53">
        <f t="shared" si="0"/>
        <v>0</v>
      </c>
      <c r="E41" s="60" t="str">
        <f>HYPERLINK("https://www.sds-group.ru/product/vyklyuchatel-2kl-s-u-10a-meh-bezh-kranz-KR-78-0232/", "Инфо")</f>
        <v>Инфо</v>
      </c>
      <c r="F41" s="34" t="s">
        <v>39</v>
      </c>
      <c r="G41" s="33"/>
      <c r="H41" s="33" t="s">
        <v>40</v>
      </c>
      <c r="I41" s="33"/>
      <c r="J41" s="39">
        <v>1259</v>
      </c>
      <c r="K41" s="33"/>
      <c r="L41" s="35">
        <v>1</v>
      </c>
      <c r="M41" s="35">
        <v>120</v>
      </c>
      <c r="N41" s="35">
        <v>1</v>
      </c>
      <c r="O41" s="36">
        <v>30</v>
      </c>
      <c r="P41" s="36">
        <v>24.59</v>
      </c>
      <c r="Q41" s="36">
        <v>21</v>
      </c>
      <c r="R41" s="36">
        <v>17.21</v>
      </c>
      <c r="S41" s="36">
        <v>20.399999999999999</v>
      </c>
      <c r="T41" s="36">
        <v>16.72</v>
      </c>
      <c r="U41" s="34"/>
      <c r="V41" s="34"/>
      <c r="W41" s="34"/>
      <c r="X41" s="37">
        <v>8.3000000000000004E-2</v>
      </c>
      <c r="Y41" s="38">
        <v>4.1300000000000001E-4</v>
      </c>
      <c r="Z41" s="21">
        <v>4601004263376</v>
      </c>
    </row>
    <row r="42" spans="1:26" ht="12" customHeight="1" outlineLevel="4" x14ac:dyDescent="0.2">
      <c r="A42" s="32" t="s">
        <v>96</v>
      </c>
      <c r="B42" s="74" t="s">
        <v>97</v>
      </c>
      <c r="C42" s="50"/>
      <c r="D42" s="53">
        <f t="shared" si="0"/>
        <v>0</v>
      </c>
      <c r="E42" s="60" t="str">
        <f>HYPERLINK("https://www.sds-group.ru/product/vyklyuchatel-3kl-s-u-10a-meh-bezh-kranz-KR-78-0234/", "Инфо")</f>
        <v>Инфо</v>
      </c>
      <c r="F42" s="34" t="s">
        <v>39</v>
      </c>
      <c r="G42" s="33"/>
      <c r="H42" s="33" t="s">
        <v>40</v>
      </c>
      <c r="I42" s="33"/>
      <c r="J42" s="35">
        <v>747</v>
      </c>
      <c r="K42" s="33"/>
      <c r="L42" s="35">
        <v>1</v>
      </c>
      <c r="M42" s="35">
        <v>120</v>
      </c>
      <c r="N42" s="35">
        <v>1</v>
      </c>
      <c r="O42" s="36">
        <v>50</v>
      </c>
      <c r="P42" s="36">
        <v>40.98</v>
      </c>
      <c r="Q42" s="36">
        <v>35</v>
      </c>
      <c r="R42" s="36">
        <v>28.69</v>
      </c>
      <c r="S42" s="36">
        <v>34</v>
      </c>
      <c r="T42" s="36">
        <v>27.87</v>
      </c>
      <c r="U42" s="34"/>
      <c r="V42" s="34"/>
      <c r="W42" s="34"/>
      <c r="X42" s="37">
        <v>7.8E-2</v>
      </c>
      <c r="Y42" s="38">
        <v>3.28E-4</v>
      </c>
      <c r="Z42" s="21">
        <v>4601004263390</v>
      </c>
    </row>
    <row r="43" spans="1:26" ht="12" customHeight="1" outlineLevel="4" x14ac:dyDescent="0.2">
      <c r="A43" s="32" t="s">
        <v>98</v>
      </c>
      <c r="B43" s="74" t="s">
        <v>99</v>
      </c>
      <c r="C43" s="50"/>
      <c r="D43" s="53">
        <f t="shared" si="0"/>
        <v>0</v>
      </c>
      <c r="E43" s="60" t="str">
        <f>HYPERLINK("https://www.sds-group.ru/product/vyklyuchatel-3kl-s-u-10a-meh-bel-kranz-KR-78-0204/", "Инфо")</f>
        <v>Инфо</v>
      </c>
      <c r="F43" s="34" t="s">
        <v>39</v>
      </c>
      <c r="G43" s="33"/>
      <c r="H43" s="33" t="s">
        <v>40</v>
      </c>
      <c r="I43" s="33"/>
      <c r="J43" s="34" t="s">
        <v>100</v>
      </c>
      <c r="K43" s="33"/>
      <c r="L43" s="35">
        <v>1</v>
      </c>
      <c r="M43" s="35">
        <v>120</v>
      </c>
      <c r="N43" s="35">
        <v>1</v>
      </c>
      <c r="O43" s="36">
        <v>53</v>
      </c>
      <c r="P43" s="36">
        <v>43.44</v>
      </c>
      <c r="Q43" s="36">
        <v>37.1</v>
      </c>
      <c r="R43" s="36">
        <v>30.41</v>
      </c>
      <c r="S43" s="36">
        <v>36.04</v>
      </c>
      <c r="T43" s="36">
        <v>29.54</v>
      </c>
      <c r="U43" s="34"/>
      <c r="V43" s="34"/>
      <c r="W43" s="34"/>
      <c r="X43" s="37">
        <v>7.8E-2</v>
      </c>
      <c r="Y43" s="38">
        <v>3.3700000000000001E-4</v>
      </c>
      <c r="Z43" s="21">
        <v>4601004263093</v>
      </c>
    </row>
    <row r="44" spans="1:26" ht="12" customHeight="1" outlineLevel="4" x14ac:dyDescent="0.2">
      <c r="A44" s="32" t="s">
        <v>101</v>
      </c>
      <c r="B44" s="74" t="s">
        <v>102</v>
      </c>
      <c r="C44" s="50"/>
      <c r="D44" s="53">
        <f t="shared" si="0"/>
        <v>0</v>
      </c>
      <c r="E44" s="60" t="str">
        <f>HYPERLINK("https://www.sds-group.ru/product/vyklyuchatel-dlya-zhalyuzi-2kl-s-u-10a-meh-bezh-kranz-KR-78-0239/", "Инфо")</f>
        <v>Инфо</v>
      </c>
      <c r="F44" s="34" t="s">
        <v>39</v>
      </c>
      <c r="G44" s="33"/>
      <c r="H44" s="33" t="s">
        <v>40</v>
      </c>
      <c r="I44" s="33"/>
      <c r="J44" s="35">
        <v>468</v>
      </c>
      <c r="K44" s="33"/>
      <c r="L44" s="35">
        <v>1</v>
      </c>
      <c r="M44" s="35">
        <v>120</v>
      </c>
      <c r="N44" s="35">
        <v>1</v>
      </c>
      <c r="O44" s="36">
        <v>50</v>
      </c>
      <c r="P44" s="36">
        <v>40.98</v>
      </c>
      <c r="Q44" s="36">
        <v>35</v>
      </c>
      <c r="R44" s="36">
        <v>28.69</v>
      </c>
      <c r="S44" s="36">
        <v>34</v>
      </c>
      <c r="T44" s="36">
        <v>27.87</v>
      </c>
      <c r="U44" s="34"/>
      <c r="V44" s="34"/>
      <c r="W44" s="34"/>
      <c r="X44" s="37">
        <v>7.9000000000000001E-2</v>
      </c>
      <c r="Y44" s="38">
        <v>3.4000000000000002E-4</v>
      </c>
      <c r="Z44" s="21">
        <v>4601004263444</v>
      </c>
    </row>
    <row r="45" spans="1:26" ht="12" customHeight="1" outlineLevel="4" x14ac:dyDescent="0.2">
      <c r="A45" s="32" t="s">
        <v>103</v>
      </c>
      <c r="B45" s="74" t="s">
        <v>104</v>
      </c>
      <c r="C45" s="50"/>
      <c r="D45" s="53">
        <f t="shared" si="0"/>
        <v>0</v>
      </c>
      <c r="E45" s="60" t="str">
        <f>HYPERLINK("https://www.sds-group.ru/product/vyklyuchatel-dlya-zhalyuzi-2kl-s-u-10a-meh-bel-kranz-KR-78-0209/", "Инфо")</f>
        <v>Инфо</v>
      </c>
      <c r="F45" s="34" t="s">
        <v>39</v>
      </c>
      <c r="G45" s="33"/>
      <c r="H45" s="33" t="s">
        <v>40</v>
      </c>
      <c r="I45" s="33"/>
      <c r="J45" s="34" t="s">
        <v>100</v>
      </c>
      <c r="K45" s="33"/>
      <c r="L45" s="35">
        <v>1</v>
      </c>
      <c r="M45" s="35">
        <v>120</v>
      </c>
      <c r="N45" s="35">
        <v>1</v>
      </c>
      <c r="O45" s="36">
        <v>53</v>
      </c>
      <c r="P45" s="36">
        <v>43.44</v>
      </c>
      <c r="Q45" s="36">
        <v>37.1</v>
      </c>
      <c r="R45" s="36">
        <v>30.41</v>
      </c>
      <c r="S45" s="36">
        <v>36.04</v>
      </c>
      <c r="T45" s="36">
        <v>29.54</v>
      </c>
      <c r="U45" s="34"/>
      <c r="V45" s="34"/>
      <c r="W45" s="34"/>
      <c r="X45" s="37">
        <v>7.9000000000000001E-2</v>
      </c>
      <c r="Y45" s="38">
        <v>3.3599999999999998E-4</v>
      </c>
      <c r="Z45" s="21">
        <v>4601004263147</v>
      </c>
    </row>
    <row r="46" spans="1:26" ht="12" customHeight="1" outlineLevel="4" x14ac:dyDescent="0.2">
      <c r="A46" s="32" t="s">
        <v>105</v>
      </c>
      <c r="B46" s="74" t="s">
        <v>106</v>
      </c>
      <c r="C46" s="50"/>
      <c r="D46" s="53">
        <f t="shared" si="0"/>
        <v>0</v>
      </c>
      <c r="E46" s="60" t="str">
        <f>HYPERLINK("https://www.sds-group.ru/product/ramka-1-ya-gorizontalnaya-bezh-kranz-KR-78-0255/", "Инфо")</f>
        <v>Инфо</v>
      </c>
      <c r="F46" s="34" t="s">
        <v>39</v>
      </c>
      <c r="G46" s="33"/>
      <c r="H46" s="33" t="s">
        <v>40</v>
      </c>
      <c r="I46" s="33"/>
      <c r="J46" s="39">
        <v>11921</v>
      </c>
      <c r="K46" s="33"/>
      <c r="L46" s="35">
        <v>1</v>
      </c>
      <c r="M46" s="35">
        <v>240</v>
      </c>
      <c r="N46" s="35">
        <v>1</v>
      </c>
      <c r="O46" s="36">
        <v>30</v>
      </c>
      <c r="P46" s="36">
        <v>24.59</v>
      </c>
      <c r="Q46" s="36">
        <v>21</v>
      </c>
      <c r="R46" s="36">
        <v>17.21</v>
      </c>
      <c r="S46" s="36">
        <v>20.399999999999999</v>
      </c>
      <c r="T46" s="36">
        <v>16.72</v>
      </c>
      <c r="U46" s="34"/>
      <c r="V46" s="34"/>
      <c r="W46" s="34"/>
      <c r="X46" s="37">
        <v>1.9E-2</v>
      </c>
      <c r="Y46" s="38">
        <v>2.0599999999999999E-4</v>
      </c>
      <c r="Z46" s="21">
        <v>4601004263604</v>
      </c>
    </row>
    <row r="47" spans="1:26" ht="12" customHeight="1" outlineLevel="4" x14ac:dyDescent="0.2">
      <c r="A47" s="32" t="s">
        <v>107</v>
      </c>
      <c r="B47" s="74" t="s">
        <v>108</v>
      </c>
      <c r="C47" s="50"/>
      <c r="D47" s="53">
        <f t="shared" si="0"/>
        <v>0</v>
      </c>
      <c r="E47" s="60" t="str">
        <f>HYPERLINK("https://www.sds-group.ru/product/ramka-1-ya-gorizontalnaya-bel-kranz-KR-78-0225/", "Инфо")</f>
        <v>Инфо</v>
      </c>
      <c r="F47" s="34" t="s">
        <v>39</v>
      </c>
      <c r="G47" s="33"/>
      <c r="H47" s="33" t="s">
        <v>40</v>
      </c>
      <c r="I47" s="33"/>
      <c r="J47" s="39">
        <v>3512</v>
      </c>
      <c r="K47" s="33"/>
      <c r="L47" s="35">
        <v>1</v>
      </c>
      <c r="M47" s="35">
        <v>240</v>
      </c>
      <c r="N47" s="35">
        <v>1</v>
      </c>
      <c r="O47" s="36">
        <v>31.8</v>
      </c>
      <c r="P47" s="36">
        <v>26.07</v>
      </c>
      <c r="Q47" s="36">
        <v>22.26</v>
      </c>
      <c r="R47" s="36">
        <v>18.25</v>
      </c>
      <c r="S47" s="36">
        <v>21.62</v>
      </c>
      <c r="T47" s="36">
        <v>17.72</v>
      </c>
      <c r="U47" s="34"/>
      <c r="V47" s="34"/>
      <c r="W47" s="34"/>
      <c r="X47" s="37">
        <v>1.9E-2</v>
      </c>
      <c r="Y47" s="38">
        <v>2.0799999999999999E-4</v>
      </c>
      <c r="Z47" s="21">
        <v>4601004263307</v>
      </c>
    </row>
    <row r="48" spans="1:26" ht="12" customHeight="1" outlineLevel="4" x14ac:dyDescent="0.2">
      <c r="A48" s="32" t="s">
        <v>109</v>
      </c>
      <c r="B48" s="74" t="s">
        <v>110</v>
      </c>
      <c r="C48" s="50"/>
      <c r="D48" s="53">
        <f t="shared" si="0"/>
        <v>0</v>
      </c>
      <c r="E48" s="60" t="str">
        <f>HYPERLINK("https://www.sds-group.ru/product/ramka-1-ya-gorizontalnaya-zolotoy-metallik-kranz-KR-78-0315/", "Инфо")</f>
        <v>Инфо</v>
      </c>
      <c r="F48" s="34" t="s">
        <v>39</v>
      </c>
      <c r="G48" s="33"/>
      <c r="H48" s="33" t="s">
        <v>40</v>
      </c>
      <c r="I48" s="33"/>
      <c r="J48" s="39">
        <v>1497</v>
      </c>
      <c r="K48" s="33"/>
      <c r="L48" s="35">
        <v>1</v>
      </c>
      <c r="M48" s="35">
        <v>240</v>
      </c>
      <c r="N48" s="35">
        <v>1</v>
      </c>
      <c r="O48" s="36">
        <v>30</v>
      </c>
      <c r="P48" s="36">
        <v>24.59</v>
      </c>
      <c r="Q48" s="36">
        <v>21</v>
      </c>
      <c r="R48" s="36">
        <v>17.21</v>
      </c>
      <c r="S48" s="36">
        <v>20.399999999999999</v>
      </c>
      <c r="T48" s="36">
        <v>16.72</v>
      </c>
      <c r="U48" s="34"/>
      <c r="V48" s="34"/>
      <c r="W48" s="34"/>
      <c r="X48" s="37">
        <v>1.4999999999999999E-2</v>
      </c>
      <c r="Y48" s="38">
        <v>1.44E-4</v>
      </c>
      <c r="Z48" s="21">
        <v>4601004264205</v>
      </c>
    </row>
    <row r="49" spans="1:26" ht="12" customHeight="1" outlineLevel="4" x14ac:dyDescent="0.2">
      <c r="A49" s="32" t="s">
        <v>111</v>
      </c>
      <c r="B49" s="74" t="s">
        <v>112</v>
      </c>
      <c r="C49" s="50"/>
      <c r="D49" s="53">
        <f t="shared" si="0"/>
        <v>0</v>
      </c>
      <c r="E49" s="60" t="str">
        <f>HYPERLINK("https://www.sds-group.ru/product/ramka-1-ya-gorizontalnaya-serebryanyy-metallik-kranz-KR-78-0285/", "Инфо")</f>
        <v>Инфо</v>
      </c>
      <c r="F49" s="34" t="s">
        <v>39</v>
      </c>
      <c r="G49" s="33"/>
      <c r="H49" s="33" t="s">
        <v>40</v>
      </c>
      <c r="I49" s="33"/>
      <c r="J49" s="35">
        <v>586</v>
      </c>
      <c r="K49" s="33"/>
      <c r="L49" s="35">
        <v>1</v>
      </c>
      <c r="M49" s="35">
        <v>240</v>
      </c>
      <c r="N49" s="35">
        <v>1</v>
      </c>
      <c r="O49" s="36">
        <v>30</v>
      </c>
      <c r="P49" s="36">
        <v>24.59</v>
      </c>
      <c r="Q49" s="36">
        <v>21</v>
      </c>
      <c r="R49" s="36">
        <v>17.21</v>
      </c>
      <c r="S49" s="36">
        <v>20.399999999999999</v>
      </c>
      <c r="T49" s="36">
        <v>16.72</v>
      </c>
      <c r="U49" s="34"/>
      <c r="V49" s="34"/>
      <c r="W49" s="34"/>
      <c r="X49" s="37">
        <v>1.7999999999999999E-2</v>
      </c>
      <c r="Y49" s="38">
        <v>1.8000000000000001E-4</v>
      </c>
      <c r="Z49" s="21">
        <v>4601004263901</v>
      </c>
    </row>
    <row r="50" spans="1:26" ht="12" customHeight="1" outlineLevel="4" x14ac:dyDescent="0.2">
      <c r="A50" s="32" t="s">
        <v>113</v>
      </c>
      <c r="B50" s="74" t="s">
        <v>114</v>
      </c>
      <c r="C50" s="50"/>
      <c r="D50" s="53">
        <f t="shared" si="0"/>
        <v>0</v>
      </c>
      <c r="E50" s="60" t="str">
        <f>HYPERLINK("https://www.sds-group.ru/product/ramka-1-ya-gorizontalnaya-chernyy-metallik-kranz-KR-78-0345/", "Инфо")</f>
        <v>Инфо</v>
      </c>
      <c r="F50" s="34" t="s">
        <v>39</v>
      </c>
      <c r="G50" s="33"/>
      <c r="H50" s="33" t="s">
        <v>40</v>
      </c>
      <c r="I50" s="33"/>
      <c r="J50" s="35">
        <v>824</v>
      </c>
      <c r="K50" s="33"/>
      <c r="L50" s="35">
        <v>1</v>
      </c>
      <c r="M50" s="35">
        <v>240</v>
      </c>
      <c r="N50" s="35">
        <v>1</v>
      </c>
      <c r="O50" s="36">
        <v>31.8</v>
      </c>
      <c r="P50" s="36">
        <v>26.07</v>
      </c>
      <c r="Q50" s="36">
        <v>22.26</v>
      </c>
      <c r="R50" s="36">
        <v>18.25</v>
      </c>
      <c r="S50" s="36">
        <v>21.62</v>
      </c>
      <c r="T50" s="36">
        <v>17.72</v>
      </c>
      <c r="U50" s="34"/>
      <c r="V50" s="34"/>
      <c r="W50" s="34"/>
      <c r="X50" s="37">
        <v>1.6E-2</v>
      </c>
      <c r="Y50" s="38">
        <v>1.5200000000000001E-4</v>
      </c>
      <c r="Z50" s="21">
        <v>4601004264502</v>
      </c>
    </row>
    <row r="51" spans="1:26" ht="12" customHeight="1" outlineLevel="4" x14ac:dyDescent="0.2">
      <c r="A51" s="32" t="s">
        <v>115</v>
      </c>
      <c r="B51" s="74" t="s">
        <v>116</v>
      </c>
      <c r="C51" s="50"/>
      <c r="D51" s="53">
        <f t="shared" si="0"/>
        <v>0</v>
      </c>
      <c r="E51" s="60" t="str">
        <f>HYPERLINK("https://www.sds-group.ru/product/ramka-2-ya-gorizontalnaya-bezh-kranz-KR-78-0256/", "Инфо")</f>
        <v>Инфо</v>
      </c>
      <c r="F51" s="34" t="s">
        <v>39</v>
      </c>
      <c r="G51" s="33"/>
      <c r="H51" s="33" t="s">
        <v>40</v>
      </c>
      <c r="I51" s="33"/>
      <c r="J51" s="39">
        <v>5850</v>
      </c>
      <c r="K51" s="33"/>
      <c r="L51" s="35">
        <v>1</v>
      </c>
      <c r="M51" s="35">
        <v>180</v>
      </c>
      <c r="N51" s="35">
        <v>1</v>
      </c>
      <c r="O51" s="36">
        <v>40</v>
      </c>
      <c r="P51" s="36">
        <v>32.79</v>
      </c>
      <c r="Q51" s="36">
        <v>28</v>
      </c>
      <c r="R51" s="36">
        <v>22.95</v>
      </c>
      <c r="S51" s="36">
        <v>27.2</v>
      </c>
      <c r="T51" s="36">
        <v>22.3</v>
      </c>
      <c r="U51" s="34"/>
      <c r="V51" s="34"/>
      <c r="W51" s="34"/>
      <c r="X51" s="37">
        <v>3.2000000000000001E-2</v>
      </c>
      <c r="Y51" s="38">
        <v>3.6699999999999998E-4</v>
      </c>
      <c r="Z51" s="21">
        <v>4601004263611</v>
      </c>
    </row>
    <row r="52" spans="1:26" ht="12" customHeight="1" outlineLevel="4" x14ac:dyDescent="0.2">
      <c r="A52" s="32" t="s">
        <v>117</v>
      </c>
      <c r="B52" s="74" t="s">
        <v>118</v>
      </c>
      <c r="C52" s="50"/>
      <c r="D52" s="53">
        <f t="shared" si="0"/>
        <v>0</v>
      </c>
      <c r="E52" s="60" t="str">
        <f>HYPERLINK("https://www.sds-group.ru/product/ramka-2-ya-gorizontalnaya-zolotoy-metallik-kranz-KR-78-0316/", "Инфо")</f>
        <v>Инфо</v>
      </c>
      <c r="F52" s="34" t="s">
        <v>39</v>
      </c>
      <c r="G52" s="33"/>
      <c r="H52" s="33" t="s">
        <v>40</v>
      </c>
      <c r="I52" s="33"/>
      <c r="J52" s="35">
        <v>650</v>
      </c>
      <c r="K52" s="33"/>
      <c r="L52" s="35">
        <v>1</v>
      </c>
      <c r="M52" s="35">
        <v>180</v>
      </c>
      <c r="N52" s="35">
        <v>1</v>
      </c>
      <c r="O52" s="36">
        <v>40</v>
      </c>
      <c r="P52" s="36">
        <v>32.79</v>
      </c>
      <c r="Q52" s="36">
        <v>28</v>
      </c>
      <c r="R52" s="36">
        <v>22.95</v>
      </c>
      <c r="S52" s="36">
        <v>27.2</v>
      </c>
      <c r="T52" s="36">
        <v>22.3</v>
      </c>
      <c r="U52" s="34"/>
      <c r="V52" s="34"/>
      <c r="W52" s="34"/>
      <c r="X52" s="37">
        <v>1.2E-2</v>
      </c>
      <c r="Y52" s="38">
        <v>2.6200000000000003E-4</v>
      </c>
      <c r="Z52" s="21">
        <v>4601004264212</v>
      </c>
    </row>
    <row r="53" spans="1:26" ht="12" customHeight="1" outlineLevel="4" x14ac:dyDescent="0.2">
      <c r="A53" s="32" t="s">
        <v>119</v>
      </c>
      <c r="B53" s="74" t="s">
        <v>120</v>
      </c>
      <c r="C53" s="50"/>
      <c r="D53" s="53">
        <f t="shared" si="0"/>
        <v>0</v>
      </c>
      <c r="E53" s="60" t="str">
        <f>HYPERLINK("https://www.sds-group.ru/product/ramka-2-ya-gorizontalnaya-serebryanyy-metallik-kranz-KR-78-0286/", "Инфо")</f>
        <v>Инфо</v>
      </c>
      <c r="F53" s="34" t="s">
        <v>39</v>
      </c>
      <c r="G53" s="33"/>
      <c r="H53" s="33" t="s">
        <v>40</v>
      </c>
      <c r="I53" s="33"/>
      <c r="J53" s="39">
        <v>1050</v>
      </c>
      <c r="K53" s="33"/>
      <c r="L53" s="35">
        <v>1</v>
      </c>
      <c r="M53" s="35">
        <v>180</v>
      </c>
      <c r="N53" s="35">
        <v>1</v>
      </c>
      <c r="O53" s="36">
        <v>40</v>
      </c>
      <c r="P53" s="36">
        <v>32.79</v>
      </c>
      <c r="Q53" s="36">
        <v>28</v>
      </c>
      <c r="R53" s="36">
        <v>22.95</v>
      </c>
      <c r="S53" s="36">
        <v>27.2</v>
      </c>
      <c r="T53" s="36">
        <v>22.3</v>
      </c>
      <c r="U53" s="34"/>
      <c r="V53" s="34"/>
      <c r="W53" s="34"/>
      <c r="X53" s="37">
        <v>3.3000000000000002E-2</v>
      </c>
      <c r="Y53" s="38">
        <v>3.6299999999999999E-4</v>
      </c>
      <c r="Z53" s="21">
        <v>4601004263918</v>
      </c>
    </row>
    <row r="54" spans="1:26" ht="12" customHeight="1" outlineLevel="4" x14ac:dyDescent="0.2">
      <c r="A54" s="32" t="s">
        <v>121</v>
      </c>
      <c r="B54" s="74" t="s">
        <v>122</v>
      </c>
      <c r="C54" s="50"/>
      <c r="D54" s="53">
        <f t="shared" si="0"/>
        <v>0</v>
      </c>
      <c r="E54" s="60" t="str">
        <f>HYPERLINK("https://www.sds-group.ru/product/ramka-2-ya-gorizontalnaya-chernyy-metallik-kranz-KR-78-0346/", "Инфо")</f>
        <v>Инфо</v>
      </c>
      <c r="F54" s="34" t="s">
        <v>39</v>
      </c>
      <c r="G54" s="33"/>
      <c r="H54" s="33" t="s">
        <v>40</v>
      </c>
      <c r="I54" s="33"/>
      <c r="J54" s="35">
        <v>941</v>
      </c>
      <c r="K54" s="33"/>
      <c r="L54" s="35">
        <v>1</v>
      </c>
      <c r="M54" s="35">
        <v>120</v>
      </c>
      <c r="N54" s="35">
        <v>1</v>
      </c>
      <c r="O54" s="36">
        <v>40</v>
      </c>
      <c r="P54" s="36">
        <v>32.79</v>
      </c>
      <c r="Q54" s="36">
        <v>28</v>
      </c>
      <c r="R54" s="36">
        <v>22.95</v>
      </c>
      <c r="S54" s="36">
        <v>27.2</v>
      </c>
      <c r="T54" s="36">
        <v>22.3</v>
      </c>
      <c r="U54" s="34"/>
      <c r="V54" s="34"/>
      <c r="W54" s="34"/>
      <c r="X54" s="37">
        <v>3.3000000000000002E-2</v>
      </c>
      <c r="Y54" s="38">
        <v>4.1399999999999998E-4</v>
      </c>
      <c r="Z54" s="21">
        <v>4601004264519</v>
      </c>
    </row>
    <row r="55" spans="1:26" ht="12" customHeight="1" outlineLevel="4" x14ac:dyDescent="0.2">
      <c r="A55" s="32" t="s">
        <v>123</v>
      </c>
      <c r="B55" s="74" t="s">
        <v>124</v>
      </c>
      <c r="C55" s="50"/>
      <c r="D55" s="53">
        <f t="shared" si="0"/>
        <v>0</v>
      </c>
      <c r="E55" s="60" t="str">
        <f>HYPERLINK("https://www.sds-group.ru/product/ramka-3-ya-gorizontalnaya-bezh-kranz-KR-78-0257/", "Инфо")</f>
        <v>Инфо</v>
      </c>
      <c r="F55" s="34" t="s">
        <v>39</v>
      </c>
      <c r="G55" s="33"/>
      <c r="H55" s="33" t="s">
        <v>40</v>
      </c>
      <c r="I55" s="33"/>
      <c r="J55" s="39">
        <v>3707</v>
      </c>
      <c r="K55" s="33"/>
      <c r="L55" s="35">
        <v>1</v>
      </c>
      <c r="M55" s="35">
        <v>120</v>
      </c>
      <c r="N55" s="35">
        <v>1</v>
      </c>
      <c r="O55" s="36">
        <v>50</v>
      </c>
      <c r="P55" s="36">
        <v>40.98</v>
      </c>
      <c r="Q55" s="36">
        <v>35</v>
      </c>
      <c r="R55" s="36">
        <v>28.69</v>
      </c>
      <c r="S55" s="36">
        <v>34</v>
      </c>
      <c r="T55" s="36">
        <v>27.87</v>
      </c>
      <c r="U55" s="34"/>
      <c r="V55" s="34"/>
      <c r="W55" s="34"/>
      <c r="X55" s="37">
        <v>4.4999999999999998E-2</v>
      </c>
      <c r="Y55" s="38">
        <v>4.1800000000000002E-4</v>
      </c>
      <c r="Z55" s="21">
        <v>4601004263628</v>
      </c>
    </row>
    <row r="56" spans="1:26" ht="12" customHeight="1" outlineLevel="4" x14ac:dyDescent="0.2">
      <c r="A56" s="32" t="s">
        <v>125</v>
      </c>
      <c r="B56" s="74" t="s">
        <v>126</v>
      </c>
      <c r="C56" s="50"/>
      <c r="D56" s="53">
        <f t="shared" si="0"/>
        <v>0</v>
      </c>
      <c r="E56" s="60" t="str">
        <f>HYPERLINK("https://www.sds-group.ru/product/ramka-3-ya-gorizontalnaya-bel-kranz-KR-78-0227/", "Инфо")</f>
        <v>Инфо</v>
      </c>
      <c r="F56" s="34" t="s">
        <v>39</v>
      </c>
      <c r="G56" s="33"/>
      <c r="H56" s="33" t="s">
        <v>40</v>
      </c>
      <c r="I56" s="33"/>
      <c r="J56" s="35">
        <v>397</v>
      </c>
      <c r="K56" s="33"/>
      <c r="L56" s="35">
        <v>1</v>
      </c>
      <c r="M56" s="35">
        <v>120</v>
      </c>
      <c r="N56" s="35">
        <v>1</v>
      </c>
      <c r="O56" s="36">
        <v>53</v>
      </c>
      <c r="P56" s="36">
        <v>43.44</v>
      </c>
      <c r="Q56" s="36">
        <v>37.1</v>
      </c>
      <c r="R56" s="36">
        <v>30.41</v>
      </c>
      <c r="S56" s="36">
        <v>36.04</v>
      </c>
      <c r="T56" s="36">
        <v>29.54</v>
      </c>
      <c r="U56" s="34"/>
      <c r="V56" s="34"/>
      <c r="W56" s="34"/>
      <c r="X56" s="37">
        <v>4.3999999999999997E-2</v>
      </c>
      <c r="Y56" s="38">
        <v>4.2000000000000002E-4</v>
      </c>
      <c r="Z56" s="21">
        <v>4601004263321</v>
      </c>
    </row>
    <row r="57" spans="1:26" ht="12" customHeight="1" outlineLevel="4" x14ac:dyDescent="0.2">
      <c r="A57" s="32" t="s">
        <v>127</v>
      </c>
      <c r="B57" s="74" t="s">
        <v>128</v>
      </c>
      <c r="C57" s="50"/>
      <c r="D57" s="53">
        <f t="shared" si="0"/>
        <v>0</v>
      </c>
      <c r="E57" s="60" t="str">
        <f>HYPERLINK("https://www.sds-group.ru/product/ramka-3-ya-gorizontalnaya-zolotoy-metallik-kranz-KR-78-0317/", "Инфо")</f>
        <v>Инфо</v>
      </c>
      <c r="F57" s="34" t="s">
        <v>39</v>
      </c>
      <c r="G57" s="33"/>
      <c r="H57" s="33" t="s">
        <v>40</v>
      </c>
      <c r="I57" s="33"/>
      <c r="J57" s="35">
        <v>244</v>
      </c>
      <c r="K57" s="33"/>
      <c r="L57" s="35">
        <v>1</v>
      </c>
      <c r="M57" s="35">
        <v>120</v>
      </c>
      <c r="N57" s="35">
        <v>1</v>
      </c>
      <c r="O57" s="36">
        <v>50</v>
      </c>
      <c r="P57" s="36">
        <v>40.98</v>
      </c>
      <c r="Q57" s="36">
        <v>35</v>
      </c>
      <c r="R57" s="36">
        <v>28.69</v>
      </c>
      <c r="S57" s="36">
        <v>34</v>
      </c>
      <c r="T57" s="36">
        <v>27.87</v>
      </c>
      <c r="U57" s="34"/>
      <c r="V57" s="34"/>
      <c r="W57" s="34"/>
      <c r="X57" s="37">
        <v>4.1000000000000002E-2</v>
      </c>
      <c r="Y57" s="38">
        <v>2.9E-4</v>
      </c>
      <c r="Z57" s="21">
        <v>4601004264229</v>
      </c>
    </row>
    <row r="58" spans="1:26" ht="12" customHeight="1" outlineLevel="4" x14ac:dyDescent="0.2">
      <c r="A58" s="32" t="s">
        <v>129</v>
      </c>
      <c r="B58" s="74" t="s">
        <v>130</v>
      </c>
      <c r="C58" s="50"/>
      <c r="D58" s="53">
        <f t="shared" si="0"/>
        <v>0</v>
      </c>
      <c r="E58" s="60" t="str">
        <f>HYPERLINK("https://www.sds-group.ru/product/ramka-3-ya-gorizontalnaya-serebryanyy-metallik-kranz-KR-78-0287/", "Инфо")</f>
        <v>Инфо</v>
      </c>
      <c r="F58" s="34" t="s">
        <v>39</v>
      </c>
      <c r="G58" s="33"/>
      <c r="H58" s="33" t="s">
        <v>40</v>
      </c>
      <c r="I58" s="33"/>
      <c r="J58" s="35">
        <v>415</v>
      </c>
      <c r="K58" s="33"/>
      <c r="L58" s="35">
        <v>1</v>
      </c>
      <c r="M58" s="35">
        <v>120</v>
      </c>
      <c r="N58" s="35">
        <v>1</v>
      </c>
      <c r="O58" s="36">
        <v>50</v>
      </c>
      <c r="P58" s="36">
        <v>40.98</v>
      </c>
      <c r="Q58" s="36">
        <v>35</v>
      </c>
      <c r="R58" s="36">
        <v>28.69</v>
      </c>
      <c r="S58" s="36">
        <v>34</v>
      </c>
      <c r="T58" s="36">
        <v>27.87</v>
      </c>
      <c r="U58" s="34"/>
      <c r="V58" s="34"/>
      <c r="W58" s="34"/>
      <c r="X58" s="37">
        <v>4.2000000000000003E-2</v>
      </c>
      <c r="Y58" s="38">
        <v>3.6099999999999999E-4</v>
      </c>
      <c r="Z58" s="21">
        <v>4601004263925</v>
      </c>
    </row>
    <row r="59" spans="1:26" ht="12" customHeight="1" outlineLevel="4" x14ac:dyDescent="0.2">
      <c r="A59" s="32" t="s">
        <v>131</v>
      </c>
      <c r="B59" s="74" t="s">
        <v>132</v>
      </c>
      <c r="C59" s="50"/>
      <c r="D59" s="53">
        <f t="shared" si="0"/>
        <v>0</v>
      </c>
      <c r="E59" s="60" t="str">
        <f>HYPERLINK("https://www.sds-group.ru/product/ramka-3-ya-gorizontalnaya-chernyy-metallik-kranz-KR-78-0347/", "Инфо")</f>
        <v>Инфо</v>
      </c>
      <c r="F59" s="34" t="s">
        <v>39</v>
      </c>
      <c r="G59" s="33"/>
      <c r="H59" s="33" t="s">
        <v>40</v>
      </c>
      <c r="I59" s="33"/>
      <c r="J59" s="35">
        <v>909</v>
      </c>
      <c r="K59" s="33"/>
      <c r="L59" s="35">
        <v>1</v>
      </c>
      <c r="M59" s="35">
        <v>120</v>
      </c>
      <c r="N59" s="35">
        <v>1</v>
      </c>
      <c r="O59" s="36">
        <v>50</v>
      </c>
      <c r="P59" s="36">
        <v>40.98</v>
      </c>
      <c r="Q59" s="36">
        <v>35</v>
      </c>
      <c r="R59" s="36">
        <v>28.69</v>
      </c>
      <c r="S59" s="36">
        <v>34</v>
      </c>
      <c r="T59" s="36">
        <v>27.87</v>
      </c>
      <c r="U59" s="34"/>
      <c r="V59" s="34"/>
      <c r="W59" s="34"/>
      <c r="X59" s="37">
        <v>4.3999999999999997E-2</v>
      </c>
      <c r="Y59" s="38">
        <v>4.0999999999999999E-4</v>
      </c>
      <c r="Z59" s="21">
        <v>4601004264526</v>
      </c>
    </row>
    <row r="60" spans="1:26" ht="12" customHeight="1" outlineLevel="4" x14ac:dyDescent="0.2">
      <c r="A60" s="32" t="s">
        <v>133</v>
      </c>
      <c r="B60" s="74" t="s">
        <v>134</v>
      </c>
      <c r="C60" s="50"/>
      <c r="D60" s="53">
        <f t="shared" si="0"/>
        <v>0</v>
      </c>
      <c r="E60" s="60" t="str">
        <f>HYPERLINK("https://www.sds-group.ru/product/ramka-4-ya-gorizontalnaya-bezh-kranz-KR-78-0258/", "Инфо")</f>
        <v>Инфо</v>
      </c>
      <c r="F60" s="34" t="s">
        <v>39</v>
      </c>
      <c r="G60" s="33"/>
      <c r="H60" s="33" t="s">
        <v>40</v>
      </c>
      <c r="I60" s="33"/>
      <c r="J60" s="35">
        <v>690</v>
      </c>
      <c r="K60" s="33"/>
      <c r="L60" s="35">
        <v>1</v>
      </c>
      <c r="M60" s="35">
        <v>90</v>
      </c>
      <c r="N60" s="35">
        <v>1</v>
      </c>
      <c r="O60" s="36">
        <v>70</v>
      </c>
      <c r="P60" s="36">
        <v>57.38</v>
      </c>
      <c r="Q60" s="36">
        <v>49</v>
      </c>
      <c r="R60" s="36">
        <v>40.159999999999997</v>
      </c>
      <c r="S60" s="36">
        <v>47.6</v>
      </c>
      <c r="T60" s="36">
        <v>39.020000000000003</v>
      </c>
      <c r="U60" s="34"/>
      <c r="V60" s="34"/>
      <c r="W60" s="34"/>
      <c r="X60" s="37">
        <v>5.8999999999999997E-2</v>
      </c>
      <c r="Y60" s="38">
        <v>5.5599999999999996E-4</v>
      </c>
      <c r="Z60" s="21">
        <v>4601004263635</v>
      </c>
    </row>
    <row r="61" spans="1:26" ht="12" customHeight="1" outlineLevel="4" x14ac:dyDescent="0.2">
      <c r="A61" s="32" t="s">
        <v>135</v>
      </c>
      <c r="B61" s="74" t="s">
        <v>136</v>
      </c>
      <c r="C61" s="50"/>
      <c r="D61" s="53">
        <f t="shared" si="0"/>
        <v>0</v>
      </c>
      <c r="E61" s="60" t="str">
        <f>HYPERLINK("https://www.sds-group.ru/product/ramka-4-ya-gorizontalnaya-bel-kranz-KR-78-0228/", "Инфо")</f>
        <v>Инфо</v>
      </c>
      <c r="F61" s="34" t="s">
        <v>39</v>
      </c>
      <c r="G61" s="33"/>
      <c r="H61" s="33" t="s">
        <v>40</v>
      </c>
      <c r="I61" s="33"/>
      <c r="J61" s="35">
        <v>53</v>
      </c>
      <c r="K61" s="33"/>
      <c r="L61" s="35">
        <v>1</v>
      </c>
      <c r="M61" s="35">
        <v>90</v>
      </c>
      <c r="N61" s="35">
        <v>1</v>
      </c>
      <c r="O61" s="36">
        <v>74.2</v>
      </c>
      <c r="P61" s="36">
        <v>60.82</v>
      </c>
      <c r="Q61" s="36">
        <v>51.94</v>
      </c>
      <c r="R61" s="36">
        <v>42.57</v>
      </c>
      <c r="S61" s="36">
        <v>50.46</v>
      </c>
      <c r="T61" s="36">
        <v>41.36</v>
      </c>
      <c r="U61" s="34"/>
      <c r="V61" s="34"/>
      <c r="W61" s="34"/>
      <c r="X61" s="37">
        <v>5.8000000000000003E-2</v>
      </c>
      <c r="Y61" s="38">
        <v>5.5199999999999997E-4</v>
      </c>
      <c r="Z61" s="21">
        <v>4601004263338</v>
      </c>
    </row>
    <row r="62" spans="1:26" ht="12" customHeight="1" outlineLevel="4" x14ac:dyDescent="0.2">
      <c r="A62" s="32" t="s">
        <v>137</v>
      </c>
      <c r="B62" s="74" t="s">
        <v>138</v>
      </c>
      <c r="C62" s="50"/>
      <c r="D62" s="53">
        <f t="shared" si="0"/>
        <v>0</v>
      </c>
      <c r="E62" s="60" t="str">
        <f>HYPERLINK("https://www.sds-group.ru/product/ramka-4-ya-gorizontalnaya-zolotoy-metallik-kranz-KR-78-0318/", "Инфо")</f>
        <v>Инфо</v>
      </c>
      <c r="F62" s="34" t="s">
        <v>39</v>
      </c>
      <c r="G62" s="33"/>
      <c r="H62" s="33" t="s">
        <v>40</v>
      </c>
      <c r="I62" s="33"/>
      <c r="J62" s="35">
        <v>211</v>
      </c>
      <c r="K62" s="33"/>
      <c r="L62" s="35">
        <v>1</v>
      </c>
      <c r="M62" s="35">
        <v>90</v>
      </c>
      <c r="N62" s="35">
        <v>1</v>
      </c>
      <c r="O62" s="36">
        <v>74.2</v>
      </c>
      <c r="P62" s="36">
        <v>60.82</v>
      </c>
      <c r="Q62" s="36">
        <v>51.94</v>
      </c>
      <c r="R62" s="36">
        <v>42.57</v>
      </c>
      <c r="S62" s="36">
        <v>50.46</v>
      </c>
      <c r="T62" s="36">
        <v>41.36</v>
      </c>
      <c r="U62" s="34"/>
      <c r="V62" s="34"/>
      <c r="W62" s="34"/>
      <c r="X62" s="37">
        <v>5.6000000000000001E-2</v>
      </c>
      <c r="Y62" s="38">
        <v>4.44E-4</v>
      </c>
      <c r="Z62" s="21">
        <v>4601004264236</v>
      </c>
    </row>
    <row r="63" spans="1:26" ht="12" customHeight="1" outlineLevel="4" x14ac:dyDescent="0.2">
      <c r="A63" s="32" t="s">
        <v>139</v>
      </c>
      <c r="B63" s="74" t="s">
        <v>140</v>
      </c>
      <c r="C63" s="50"/>
      <c r="D63" s="53">
        <f t="shared" si="0"/>
        <v>0</v>
      </c>
      <c r="E63" s="60" t="str">
        <f>HYPERLINK("https://www.sds-group.ru/product/ramka-4-ya-gorizontalnaya-serebryanyy-metallik-kranz-KR-78-0288/", "Инфо")</f>
        <v>Инфо</v>
      </c>
      <c r="F63" s="34" t="s">
        <v>39</v>
      </c>
      <c r="G63" s="33"/>
      <c r="H63" s="33" t="s">
        <v>40</v>
      </c>
      <c r="I63" s="33"/>
      <c r="J63" s="35">
        <v>794</v>
      </c>
      <c r="K63" s="33"/>
      <c r="L63" s="35">
        <v>1</v>
      </c>
      <c r="M63" s="35">
        <v>90</v>
      </c>
      <c r="N63" s="35">
        <v>1</v>
      </c>
      <c r="O63" s="36">
        <v>70</v>
      </c>
      <c r="P63" s="36">
        <v>57.38</v>
      </c>
      <c r="Q63" s="36">
        <v>49</v>
      </c>
      <c r="R63" s="36">
        <v>40.159999999999997</v>
      </c>
      <c r="S63" s="36">
        <v>47.6</v>
      </c>
      <c r="T63" s="36">
        <v>39.020000000000003</v>
      </c>
      <c r="U63" s="34"/>
      <c r="V63" s="34"/>
      <c r="W63" s="34"/>
      <c r="X63" s="37">
        <v>5.8999999999999997E-2</v>
      </c>
      <c r="Y63" s="38">
        <v>5.3499999999999999E-4</v>
      </c>
      <c r="Z63" s="21">
        <v>4601004263932</v>
      </c>
    </row>
    <row r="64" spans="1:26" ht="12" customHeight="1" outlineLevel="4" x14ac:dyDescent="0.2">
      <c r="A64" s="32" t="s">
        <v>141</v>
      </c>
      <c r="B64" s="74" t="s">
        <v>142</v>
      </c>
      <c r="C64" s="50"/>
      <c r="D64" s="53">
        <f t="shared" si="0"/>
        <v>0</v>
      </c>
      <c r="E64" s="60" t="str">
        <f>HYPERLINK("https://www.sds-group.ru/product/ramka-4-ya-gorizontalnaya-chernyy-metallik-kranz-KR-78-0348/", "Инфо")</f>
        <v>Инфо</v>
      </c>
      <c r="F64" s="34" t="s">
        <v>39</v>
      </c>
      <c r="G64" s="33"/>
      <c r="H64" s="33" t="s">
        <v>40</v>
      </c>
      <c r="I64" s="33"/>
      <c r="J64" s="39">
        <v>1089</v>
      </c>
      <c r="K64" s="33"/>
      <c r="L64" s="35">
        <v>1</v>
      </c>
      <c r="M64" s="35">
        <v>90</v>
      </c>
      <c r="N64" s="35">
        <v>1</v>
      </c>
      <c r="O64" s="36">
        <v>70</v>
      </c>
      <c r="P64" s="36">
        <v>57.38</v>
      </c>
      <c r="Q64" s="36">
        <v>49</v>
      </c>
      <c r="R64" s="36">
        <v>40.159999999999997</v>
      </c>
      <c r="S64" s="36">
        <v>47.6</v>
      </c>
      <c r="T64" s="36">
        <v>39.020000000000003</v>
      </c>
      <c r="U64" s="34"/>
      <c r="V64" s="34"/>
      <c r="W64" s="34"/>
      <c r="X64" s="37">
        <v>0.05</v>
      </c>
      <c r="Y64" s="38">
        <v>4.3100000000000001E-4</v>
      </c>
      <c r="Z64" s="21">
        <v>4601004264533</v>
      </c>
    </row>
    <row r="65" spans="1:26" ht="12" customHeight="1" outlineLevel="4" x14ac:dyDescent="0.2">
      <c r="A65" s="32" t="s">
        <v>143</v>
      </c>
      <c r="B65" s="74" t="s">
        <v>144</v>
      </c>
      <c r="C65" s="50"/>
      <c r="D65" s="53">
        <f t="shared" si="0"/>
        <v>0</v>
      </c>
      <c r="E65" s="60" t="str">
        <f>HYPERLINK("https://www.sds-group.ru/product/ramka-5-ya-gorizontalnaya-bezh-kranz-KR-78-0259/", "Инфо")</f>
        <v>Инфо</v>
      </c>
      <c r="F65" s="34" t="s">
        <v>39</v>
      </c>
      <c r="G65" s="33"/>
      <c r="H65" s="33" t="s">
        <v>40</v>
      </c>
      <c r="I65" s="33"/>
      <c r="J65" s="39">
        <v>1441</v>
      </c>
      <c r="K65" s="33"/>
      <c r="L65" s="35">
        <v>1</v>
      </c>
      <c r="M65" s="35">
        <v>90</v>
      </c>
      <c r="N65" s="35">
        <v>1</v>
      </c>
      <c r="O65" s="36">
        <v>80</v>
      </c>
      <c r="P65" s="36">
        <v>65.569999999999993</v>
      </c>
      <c r="Q65" s="36">
        <v>56</v>
      </c>
      <c r="R65" s="36">
        <v>45.9</v>
      </c>
      <c r="S65" s="36">
        <v>54.4</v>
      </c>
      <c r="T65" s="36">
        <v>44.59</v>
      </c>
      <c r="U65" s="34"/>
      <c r="V65" s="34"/>
      <c r="W65" s="34"/>
      <c r="X65" s="37">
        <v>7.3999999999999996E-2</v>
      </c>
      <c r="Y65" s="38">
        <v>5.5400000000000002E-4</v>
      </c>
      <c r="Z65" s="21">
        <v>4601004263642</v>
      </c>
    </row>
    <row r="66" spans="1:26" ht="12" customHeight="1" outlineLevel="4" x14ac:dyDescent="0.2">
      <c r="A66" s="32" t="s">
        <v>145</v>
      </c>
      <c r="B66" s="74" t="s">
        <v>146</v>
      </c>
      <c r="C66" s="50"/>
      <c r="D66" s="53">
        <f t="shared" si="0"/>
        <v>0</v>
      </c>
      <c r="E66" s="60" t="str">
        <f>HYPERLINK("https://www.sds-group.ru/product/ramka-5-ya-gorizontalnaya-bel-kranz-KR-78-0229/", "Инфо")</f>
        <v>Инфо</v>
      </c>
      <c r="F66" s="34" t="s">
        <v>39</v>
      </c>
      <c r="G66" s="33"/>
      <c r="H66" s="33" t="s">
        <v>40</v>
      </c>
      <c r="I66" s="33"/>
      <c r="J66" s="35">
        <v>890</v>
      </c>
      <c r="K66" s="33"/>
      <c r="L66" s="35">
        <v>1</v>
      </c>
      <c r="M66" s="35">
        <v>90</v>
      </c>
      <c r="N66" s="35">
        <v>1</v>
      </c>
      <c r="O66" s="36">
        <v>80</v>
      </c>
      <c r="P66" s="36">
        <v>65.569999999999993</v>
      </c>
      <c r="Q66" s="36">
        <v>56</v>
      </c>
      <c r="R66" s="36">
        <v>45.9</v>
      </c>
      <c r="S66" s="36">
        <v>54.4</v>
      </c>
      <c r="T66" s="36">
        <v>44.59</v>
      </c>
      <c r="U66" s="34"/>
      <c r="V66" s="34"/>
      <c r="W66" s="34"/>
      <c r="X66" s="37">
        <v>7.3999999999999996E-2</v>
      </c>
      <c r="Y66" s="38">
        <v>5.5500000000000005E-4</v>
      </c>
      <c r="Z66" s="21">
        <v>4601004263345</v>
      </c>
    </row>
    <row r="67" spans="1:26" ht="12" customHeight="1" outlineLevel="4" x14ac:dyDescent="0.2">
      <c r="A67" s="32" t="s">
        <v>147</v>
      </c>
      <c r="B67" s="74" t="s">
        <v>148</v>
      </c>
      <c r="C67" s="50"/>
      <c r="D67" s="53">
        <f t="shared" si="0"/>
        <v>0</v>
      </c>
      <c r="E67" s="60" t="str">
        <f>HYPERLINK("https://www.sds-group.ru/product/ramka-5-ya-gorizontalnaya-serebryanyy-metallik-kranz-KR-78-0289/", "Инфо")</f>
        <v>Инфо</v>
      </c>
      <c r="F67" s="34" t="s">
        <v>39</v>
      </c>
      <c r="G67" s="33"/>
      <c r="H67" s="33" t="s">
        <v>40</v>
      </c>
      <c r="I67" s="33"/>
      <c r="J67" s="35">
        <v>989</v>
      </c>
      <c r="K67" s="33"/>
      <c r="L67" s="35">
        <v>1</v>
      </c>
      <c r="M67" s="35">
        <v>90</v>
      </c>
      <c r="N67" s="35">
        <v>1</v>
      </c>
      <c r="O67" s="36">
        <v>80</v>
      </c>
      <c r="P67" s="36">
        <v>65.569999999999993</v>
      </c>
      <c r="Q67" s="36">
        <v>56</v>
      </c>
      <c r="R67" s="36">
        <v>45.9</v>
      </c>
      <c r="S67" s="36">
        <v>54.4</v>
      </c>
      <c r="T67" s="36">
        <v>44.59</v>
      </c>
      <c r="U67" s="34"/>
      <c r="V67" s="34"/>
      <c r="W67" s="34"/>
      <c r="X67" s="37">
        <v>7.6999999999999999E-2</v>
      </c>
      <c r="Y67" s="38">
        <v>5.9100000000000005E-4</v>
      </c>
      <c r="Z67" s="21">
        <v>4601004263949</v>
      </c>
    </row>
    <row r="68" spans="1:26" ht="12" customHeight="1" outlineLevel="4" x14ac:dyDescent="0.2">
      <c r="A68" s="32" t="s">
        <v>149</v>
      </c>
      <c r="B68" s="74" t="s">
        <v>150</v>
      </c>
      <c r="C68" s="50"/>
      <c r="D68" s="53">
        <f t="shared" si="0"/>
        <v>0</v>
      </c>
      <c r="E68" s="60" t="str">
        <f>HYPERLINK("https://www.sds-group.ru/product/ramka-5-ya-gorizontalnaya-chernyy-metallik-kranz-KR-78-0349/", "Инфо")</f>
        <v>Инфо</v>
      </c>
      <c r="F68" s="34" t="s">
        <v>39</v>
      </c>
      <c r="G68" s="33"/>
      <c r="H68" s="33" t="s">
        <v>40</v>
      </c>
      <c r="I68" s="33"/>
      <c r="J68" s="35">
        <v>447</v>
      </c>
      <c r="K68" s="33"/>
      <c r="L68" s="35">
        <v>1</v>
      </c>
      <c r="M68" s="35">
        <v>90</v>
      </c>
      <c r="N68" s="35">
        <v>1</v>
      </c>
      <c r="O68" s="36">
        <v>80</v>
      </c>
      <c r="P68" s="36">
        <v>65.569999999999993</v>
      </c>
      <c r="Q68" s="36">
        <v>56</v>
      </c>
      <c r="R68" s="36">
        <v>45.9</v>
      </c>
      <c r="S68" s="36">
        <v>54.4</v>
      </c>
      <c r="T68" s="36">
        <v>44.59</v>
      </c>
      <c r="U68" s="34"/>
      <c r="V68" s="34"/>
      <c r="W68" s="34"/>
      <c r="X68" s="37">
        <v>9.7000000000000003E-2</v>
      </c>
      <c r="Y68" s="38">
        <v>6.3000000000000003E-4</v>
      </c>
      <c r="Z68" s="21">
        <v>4601004264540</v>
      </c>
    </row>
    <row r="69" spans="1:26" ht="12" customHeight="1" outlineLevel="4" x14ac:dyDescent="0.2">
      <c r="A69" s="32" t="s">
        <v>151</v>
      </c>
      <c r="B69" s="74" t="s">
        <v>152</v>
      </c>
      <c r="C69" s="50"/>
      <c r="D69" s="53">
        <f t="shared" si="0"/>
        <v>0</v>
      </c>
      <c r="E69" s="60" t="str">
        <f>HYPERLINK("https://www.sds-group.ru/product/rozetka-1-aya-b-z-s-u-10a-meh-bel-kranz-KR-78-0210/", "Инфо")</f>
        <v>Инфо</v>
      </c>
      <c r="F69" s="34" t="s">
        <v>39</v>
      </c>
      <c r="G69" s="33"/>
      <c r="H69" s="33" t="s">
        <v>40</v>
      </c>
      <c r="I69" s="33"/>
      <c r="J69" s="35">
        <v>944</v>
      </c>
      <c r="K69" s="33"/>
      <c r="L69" s="35">
        <v>1</v>
      </c>
      <c r="M69" s="35">
        <v>120</v>
      </c>
      <c r="N69" s="35">
        <v>1</v>
      </c>
      <c r="O69" s="36">
        <v>40</v>
      </c>
      <c r="P69" s="36">
        <v>32.79</v>
      </c>
      <c r="Q69" s="36">
        <v>28</v>
      </c>
      <c r="R69" s="36">
        <v>22.95</v>
      </c>
      <c r="S69" s="36">
        <v>27.2</v>
      </c>
      <c r="T69" s="36">
        <v>22.3</v>
      </c>
      <c r="U69" s="34"/>
      <c r="V69" s="34"/>
      <c r="W69" s="34"/>
      <c r="X69" s="37">
        <v>7.3999999999999996E-2</v>
      </c>
      <c r="Y69" s="38">
        <v>4.08E-4</v>
      </c>
      <c r="Z69" s="21">
        <v>4601004263154</v>
      </c>
    </row>
    <row r="70" spans="1:26" ht="12" customHeight="1" outlineLevel="4" x14ac:dyDescent="0.2">
      <c r="A70" s="32" t="s">
        <v>153</v>
      </c>
      <c r="B70" s="74" t="s">
        <v>154</v>
      </c>
      <c r="C70" s="50"/>
      <c r="D70" s="53">
        <f t="shared" si="0"/>
        <v>0</v>
      </c>
      <c r="E70" s="60" t="str">
        <f>HYPERLINK("https://www.sds-group.ru/product/rozetka-1-aya-keramika-s-z-s-kryshkoy-s-u-16a-meh-bezh-kranz-KR-78-0246/", "Инфо")</f>
        <v>Инфо</v>
      </c>
      <c r="F70" s="34" t="s">
        <v>39</v>
      </c>
      <c r="G70" s="33"/>
      <c r="H70" s="33" t="s">
        <v>40</v>
      </c>
      <c r="I70" s="33"/>
      <c r="J70" s="35">
        <v>715</v>
      </c>
      <c r="K70" s="33"/>
      <c r="L70" s="35">
        <v>1</v>
      </c>
      <c r="M70" s="35">
        <v>120</v>
      </c>
      <c r="N70" s="35">
        <v>1</v>
      </c>
      <c r="O70" s="36">
        <v>50</v>
      </c>
      <c r="P70" s="36">
        <v>40.98</v>
      </c>
      <c r="Q70" s="36">
        <v>35</v>
      </c>
      <c r="R70" s="36">
        <v>28.69</v>
      </c>
      <c r="S70" s="36">
        <v>34</v>
      </c>
      <c r="T70" s="36">
        <v>27.87</v>
      </c>
      <c r="U70" s="34"/>
      <c r="V70" s="34"/>
      <c r="W70" s="34"/>
      <c r="X70" s="37">
        <v>0.104</v>
      </c>
      <c r="Y70" s="38">
        <v>4.08E-4</v>
      </c>
      <c r="Z70" s="21">
        <v>4601004263512</v>
      </c>
    </row>
    <row r="71" spans="1:26" ht="12" customHeight="1" outlineLevel="4" x14ac:dyDescent="0.2">
      <c r="A71" s="32" t="s">
        <v>155</v>
      </c>
      <c r="B71" s="74" t="s">
        <v>156</v>
      </c>
      <c r="C71" s="50"/>
      <c r="D71" s="53">
        <f t="shared" si="0"/>
        <v>0</v>
      </c>
      <c r="E71" s="60" t="str">
        <f>HYPERLINK("https://www.sds-group.ru/product/rozetka-1-aya-keramika-s-z-s-kryshkoy-s-u-16a-meh-bel-kranz-KR-78-0216/", "Инфо")</f>
        <v>Инфо</v>
      </c>
      <c r="F71" s="34" t="s">
        <v>39</v>
      </c>
      <c r="G71" s="33"/>
      <c r="H71" s="33" t="s">
        <v>40</v>
      </c>
      <c r="I71" s="33"/>
      <c r="J71" s="35">
        <v>89</v>
      </c>
      <c r="K71" s="33"/>
      <c r="L71" s="35">
        <v>1</v>
      </c>
      <c r="M71" s="35">
        <v>120</v>
      </c>
      <c r="N71" s="35">
        <v>1</v>
      </c>
      <c r="O71" s="36">
        <v>53</v>
      </c>
      <c r="P71" s="36">
        <v>43.44</v>
      </c>
      <c r="Q71" s="36">
        <v>37.1</v>
      </c>
      <c r="R71" s="36">
        <v>30.41</v>
      </c>
      <c r="S71" s="36">
        <v>36.04</v>
      </c>
      <c r="T71" s="36">
        <v>29.54</v>
      </c>
      <c r="U71" s="34"/>
      <c r="V71" s="34"/>
      <c r="W71" s="34"/>
      <c r="X71" s="37">
        <v>9.9000000000000005E-2</v>
      </c>
      <c r="Y71" s="38">
        <v>2.9E-4</v>
      </c>
      <c r="Z71" s="21">
        <v>4601004263215</v>
      </c>
    </row>
    <row r="72" spans="1:26" ht="12" customHeight="1" outlineLevel="4" x14ac:dyDescent="0.2">
      <c r="A72" s="32" t="s">
        <v>157</v>
      </c>
      <c r="B72" s="74" t="s">
        <v>158</v>
      </c>
      <c r="C72" s="50"/>
      <c r="D72" s="53">
        <f t="shared" si="0"/>
        <v>0</v>
      </c>
      <c r="E72" s="60" t="str">
        <f>HYPERLINK("https://www.sds-group.ru/product/rozetka-1-aya-keramika-s-z-s-u-16a-meh-bel-kranz-KR-78-0215/", "Инфо")</f>
        <v>Инфо</v>
      </c>
      <c r="F72" s="34" t="s">
        <v>39</v>
      </c>
      <c r="G72" s="33"/>
      <c r="H72" s="33" t="s">
        <v>40</v>
      </c>
      <c r="I72" s="33"/>
      <c r="J72" s="39">
        <v>1558</v>
      </c>
      <c r="K72" s="33"/>
      <c r="L72" s="35">
        <v>1</v>
      </c>
      <c r="M72" s="35">
        <v>120</v>
      </c>
      <c r="N72" s="35">
        <v>1</v>
      </c>
      <c r="O72" s="36">
        <v>50</v>
      </c>
      <c r="P72" s="36">
        <v>40.98</v>
      </c>
      <c r="Q72" s="36">
        <v>35</v>
      </c>
      <c r="R72" s="36">
        <v>28.69</v>
      </c>
      <c r="S72" s="36">
        <v>34</v>
      </c>
      <c r="T72" s="36">
        <v>27.87</v>
      </c>
      <c r="U72" s="34"/>
      <c r="V72" s="34"/>
      <c r="W72" s="34"/>
      <c r="X72" s="37">
        <v>9.8000000000000004E-2</v>
      </c>
      <c r="Y72" s="38">
        <v>4.1199999999999999E-4</v>
      </c>
      <c r="Z72" s="21">
        <v>4601004263208</v>
      </c>
    </row>
    <row r="73" spans="1:26" ht="12" customHeight="1" outlineLevel="4" x14ac:dyDescent="0.2">
      <c r="A73" s="32" t="s">
        <v>159</v>
      </c>
      <c r="B73" s="74" t="s">
        <v>160</v>
      </c>
      <c r="C73" s="50"/>
      <c r="D73" s="53">
        <f t="shared" ref="D73:D136" si="1">C73*(O73-O73*$G$3)</f>
        <v>0</v>
      </c>
      <c r="E73" s="60" t="str">
        <f>HYPERLINK("https://www.sds-group.ru/product/rozetka-1-aya-s-z-z-sh-s-u-16a-meh-bezh-kranz-KR-78-0242/", "Инфо")</f>
        <v>Инфо</v>
      </c>
      <c r="F73" s="34" t="s">
        <v>39</v>
      </c>
      <c r="G73" s="33"/>
      <c r="H73" s="33" t="s">
        <v>40</v>
      </c>
      <c r="I73" s="33"/>
      <c r="J73" s="39">
        <v>7103</v>
      </c>
      <c r="K73" s="33"/>
      <c r="L73" s="35">
        <v>1</v>
      </c>
      <c r="M73" s="35">
        <v>120</v>
      </c>
      <c r="N73" s="35">
        <v>1</v>
      </c>
      <c r="O73" s="36">
        <v>50</v>
      </c>
      <c r="P73" s="36">
        <v>40.98</v>
      </c>
      <c r="Q73" s="36">
        <v>35</v>
      </c>
      <c r="R73" s="36">
        <v>28.69</v>
      </c>
      <c r="S73" s="36">
        <v>34</v>
      </c>
      <c r="T73" s="36">
        <v>27.87</v>
      </c>
      <c r="U73" s="34"/>
      <c r="V73" s="34"/>
      <c r="W73" s="34"/>
      <c r="X73" s="37">
        <v>7.8E-2</v>
      </c>
      <c r="Y73" s="38">
        <v>2.9100000000000003E-4</v>
      </c>
      <c r="Z73" s="21">
        <v>4601004263475</v>
      </c>
    </row>
    <row r="74" spans="1:26" ht="12" customHeight="1" outlineLevel="4" x14ac:dyDescent="0.2">
      <c r="A74" s="32" t="s">
        <v>161</v>
      </c>
      <c r="B74" s="74" t="s">
        <v>162</v>
      </c>
      <c r="C74" s="50"/>
      <c r="D74" s="53">
        <f t="shared" si="1"/>
        <v>0</v>
      </c>
      <c r="E74" s="60" t="str">
        <f>HYPERLINK("https://www.sds-group.ru/product/rozetka-1-aya-s-z-z-sh-s-u-16a-meh-bel-kranz-KR-78-0212/", "Инфо")</f>
        <v>Инфо</v>
      </c>
      <c r="F74" s="34" t="s">
        <v>39</v>
      </c>
      <c r="G74" s="33"/>
      <c r="H74" s="33" t="s">
        <v>40</v>
      </c>
      <c r="I74" s="33"/>
      <c r="J74" s="35">
        <v>635</v>
      </c>
      <c r="K74" s="33"/>
      <c r="L74" s="35">
        <v>1</v>
      </c>
      <c r="M74" s="35">
        <v>120</v>
      </c>
      <c r="N74" s="35">
        <v>1</v>
      </c>
      <c r="O74" s="36">
        <v>53</v>
      </c>
      <c r="P74" s="36">
        <v>43.44</v>
      </c>
      <c r="Q74" s="36">
        <v>37.1</v>
      </c>
      <c r="R74" s="36">
        <v>30.41</v>
      </c>
      <c r="S74" s="36">
        <v>36.04</v>
      </c>
      <c r="T74" s="36">
        <v>29.54</v>
      </c>
      <c r="U74" s="34"/>
      <c r="V74" s="34"/>
      <c r="W74" s="34"/>
      <c r="X74" s="37">
        <v>8.4000000000000005E-2</v>
      </c>
      <c r="Y74" s="38">
        <v>4.1399999999999998E-4</v>
      </c>
      <c r="Z74" s="21">
        <v>4601004263178</v>
      </c>
    </row>
    <row r="75" spans="1:26" ht="12" customHeight="1" outlineLevel="4" x14ac:dyDescent="0.2">
      <c r="A75" s="32" t="s">
        <v>163</v>
      </c>
      <c r="B75" s="74" t="s">
        <v>164</v>
      </c>
      <c r="C75" s="50"/>
      <c r="D75" s="53">
        <f t="shared" si="1"/>
        <v>0</v>
      </c>
      <c r="E75" s="60" t="str">
        <f>HYPERLINK("https://www.sds-group.ru/product/rozetka-1-aya-s-z-s-kryshkoy-s-u-16a-meh-bel-kranz-KR-78-0213/", "Инфо")</f>
        <v>Инфо</v>
      </c>
      <c r="F75" s="34" t="s">
        <v>39</v>
      </c>
      <c r="G75" s="33"/>
      <c r="H75" s="33" t="s">
        <v>40</v>
      </c>
      <c r="I75" s="33"/>
      <c r="J75" s="34" t="s">
        <v>100</v>
      </c>
      <c r="K75" s="33"/>
      <c r="L75" s="35">
        <v>1</v>
      </c>
      <c r="M75" s="35">
        <v>120</v>
      </c>
      <c r="N75" s="35">
        <v>1</v>
      </c>
      <c r="O75" s="36">
        <v>53</v>
      </c>
      <c r="P75" s="36">
        <v>43.44</v>
      </c>
      <c r="Q75" s="36">
        <v>37.1</v>
      </c>
      <c r="R75" s="36">
        <v>30.41</v>
      </c>
      <c r="S75" s="36">
        <v>36.04</v>
      </c>
      <c r="T75" s="36">
        <v>29.54</v>
      </c>
      <c r="U75" s="34"/>
      <c r="V75" s="34"/>
      <c r="W75" s="34"/>
      <c r="X75" s="37">
        <v>7.9000000000000001E-2</v>
      </c>
      <c r="Y75" s="38">
        <v>2.92E-4</v>
      </c>
      <c r="Z75" s="21">
        <v>4601004263185</v>
      </c>
    </row>
    <row r="76" spans="1:26" ht="12" customHeight="1" outlineLevel="4" x14ac:dyDescent="0.2">
      <c r="A76" s="32" t="s">
        <v>165</v>
      </c>
      <c r="B76" s="74" t="s">
        <v>166</v>
      </c>
      <c r="C76" s="50"/>
      <c r="D76" s="53">
        <f t="shared" si="1"/>
        <v>0</v>
      </c>
      <c r="E76" s="60" t="str">
        <f>HYPERLINK("https://www.sds-group.ru/product/rozetka-1-aya-s-z-s-u-16a-meh-bezh-kranz-KR-78-0241/", "Инфо")</f>
        <v>Инфо</v>
      </c>
      <c r="F76" s="34" t="s">
        <v>39</v>
      </c>
      <c r="G76" s="33"/>
      <c r="H76" s="33" t="s">
        <v>40</v>
      </c>
      <c r="I76" s="33"/>
      <c r="J76" s="39">
        <v>3505</v>
      </c>
      <c r="K76" s="33"/>
      <c r="L76" s="35">
        <v>1</v>
      </c>
      <c r="M76" s="35">
        <v>120</v>
      </c>
      <c r="N76" s="35">
        <v>1</v>
      </c>
      <c r="O76" s="36">
        <v>50</v>
      </c>
      <c r="P76" s="36">
        <v>40.98</v>
      </c>
      <c r="Q76" s="36">
        <v>35</v>
      </c>
      <c r="R76" s="36">
        <v>28.69</v>
      </c>
      <c r="S76" s="36">
        <v>34</v>
      </c>
      <c r="T76" s="36">
        <v>27.87</v>
      </c>
      <c r="U76" s="34"/>
      <c r="V76" s="34"/>
      <c r="W76" s="34"/>
      <c r="X76" s="37">
        <v>8.1000000000000003E-2</v>
      </c>
      <c r="Y76" s="38">
        <v>4.08E-4</v>
      </c>
      <c r="Z76" s="21">
        <v>4601004263468</v>
      </c>
    </row>
    <row r="77" spans="1:26" ht="12" customHeight="1" outlineLevel="4" x14ac:dyDescent="0.2">
      <c r="A77" s="32" t="s">
        <v>167</v>
      </c>
      <c r="B77" s="74" t="s">
        <v>168</v>
      </c>
      <c r="C77" s="50"/>
      <c r="D77" s="53">
        <f t="shared" si="1"/>
        <v>0</v>
      </c>
      <c r="E77" s="60" t="str">
        <f>HYPERLINK("https://www.sds-group.ru/product/rozetka-1-aya-s-z-s-u-16a-meh-bel-kranz-KR-78-0211/", "Инфо")</f>
        <v>Инфо</v>
      </c>
      <c r="F77" s="34" t="s">
        <v>39</v>
      </c>
      <c r="G77" s="33"/>
      <c r="H77" s="33" t="s">
        <v>40</v>
      </c>
      <c r="I77" s="33"/>
      <c r="J77" s="35">
        <v>418</v>
      </c>
      <c r="K77" s="33"/>
      <c r="L77" s="35">
        <v>1</v>
      </c>
      <c r="M77" s="35">
        <v>120</v>
      </c>
      <c r="N77" s="35">
        <v>1</v>
      </c>
      <c r="O77" s="36">
        <v>50</v>
      </c>
      <c r="P77" s="36">
        <v>40.98</v>
      </c>
      <c r="Q77" s="36">
        <v>35</v>
      </c>
      <c r="R77" s="36">
        <v>28.69</v>
      </c>
      <c r="S77" s="36">
        <v>34</v>
      </c>
      <c r="T77" s="36">
        <v>27.87</v>
      </c>
      <c r="U77" s="34"/>
      <c r="V77" s="34"/>
      <c r="W77" s="34"/>
      <c r="X77" s="37">
        <v>8.1000000000000003E-2</v>
      </c>
      <c r="Y77" s="38">
        <v>4.1300000000000001E-4</v>
      </c>
      <c r="Z77" s="21">
        <v>4601004263161</v>
      </c>
    </row>
    <row r="78" spans="1:26" ht="12" customHeight="1" outlineLevel="4" x14ac:dyDescent="0.2">
      <c r="A78" s="32" t="s">
        <v>169</v>
      </c>
      <c r="B78" s="74" t="s">
        <v>170</v>
      </c>
      <c r="C78" s="50"/>
      <c r="D78" s="53">
        <f t="shared" si="1"/>
        <v>0</v>
      </c>
      <c r="E78" s="60" t="str">
        <f>HYPERLINK("https://www.sds-group.ru/product/rozetka-1-aya-s-z-s-u-16a-meh-serebryanyy-metallik-kranz-KR-78-0271/", "Инфо")</f>
        <v>Инфо</v>
      </c>
      <c r="F78" s="34" t="s">
        <v>39</v>
      </c>
      <c r="G78" s="33"/>
      <c r="H78" s="33" t="s">
        <v>40</v>
      </c>
      <c r="I78" s="33"/>
      <c r="J78" s="34" t="s">
        <v>100</v>
      </c>
      <c r="K78" s="33"/>
      <c r="L78" s="35">
        <v>1</v>
      </c>
      <c r="M78" s="35">
        <v>120</v>
      </c>
      <c r="N78" s="35">
        <v>1</v>
      </c>
      <c r="O78" s="36">
        <v>50</v>
      </c>
      <c r="P78" s="36">
        <v>40.98</v>
      </c>
      <c r="Q78" s="36">
        <v>35</v>
      </c>
      <c r="R78" s="36">
        <v>28.69</v>
      </c>
      <c r="S78" s="36">
        <v>34</v>
      </c>
      <c r="T78" s="36">
        <v>27.87</v>
      </c>
      <c r="U78" s="34"/>
      <c r="V78" s="34"/>
      <c r="W78" s="34"/>
      <c r="X78" s="37">
        <v>7.4999999999999997E-2</v>
      </c>
      <c r="Y78" s="38">
        <v>3.2400000000000001E-4</v>
      </c>
      <c r="Z78" s="21">
        <v>4601004263765</v>
      </c>
    </row>
    <row r="79" spans="1:26" ht="12" customHeight="1" outlineLevel="4" x14ac:dyDescent="0.2">
      <c r="A79" s="32" t="s">
        <v>171</v>
      </c>
      <c r="B79" s="74" t="s">
        <v>172</v>
      </c>
      <c r="C79" s="50"/>
      <c r="D79" s="53">
        <f t="shared" si="1"/>
        <v>0</v>
      </c>
      <c r="E79" s="60" t="str">
        <f>HYPERLINK("https://www.sds-group.ru/product/rozetka-1-aya-s-z-s-u-16a-meh-chernyy-metallik-kranz-KR-78-0331/", "Инфо")</f>
        <v>Инфо</v>
      </c>
      <c r="F79" s="34" t="s">
        <v>39</v>
      </c>
      <c r="G79" s="33"/>
      <c r="H79" s="33" t="s">
        <v>40</v>
      </c>
      <c r="I79" s="33"/>
      <c r="J79" s="39">
        <v>1004</v>
      </c>
      <c r="K79" s="33"/>
      <c r="L79" s="35">
        <v>1</v>
      </c>
      <c r="M79" s="35">
        <v>120</v>
      </c>
      <c r="N79" s="35">
        <v>1</v>
      </c>
      <c r="O79" s="36">
        <v>53</v>
      </c>
      <c r="P79" s="36">
        <v>43.44</v>
      </c>
      <c r="Q79" s="36">
        <v>37.1</v>
      </c>
      <c r="R79" s="36">
        <v>30.41</v>
      </c>
      <c r="S79" s="36">
        <v>36.04</v>
      </c>
      <c r="T79" s="36">
        <v>29.54</v>
      </c>
      <c r="U79" s="34"/>
      <c r="V79" s="34"/>
      <c r="W79" s="34"/>
      <c r="X79" s="37">
        <v>7.4999999999999997E-2</v>
      </c>
      <c r="Y79" s="38">
        <v>3.3599999999999998E-4</v>
      </c>
      <c r="Z79" s="21">
        <v>4601004264366</v>
      </c>
    </row>
    <row r="80" spans="1:26" ht="12" customHeight="1" outlineLevel="4" x14ac:dyDescent="0.2">
      <c r="A80" s="32" t="s">
        <v>173</v>
      </c>
      <c r="B80" s="74" t="s">
        <v>174</v>
      </c>
      <c r="C80" s="50"/>
      <c r="D80" s="53">
        <f t="shared" si="1"/>
        <v>0</v>
      </c>
      <c r="E80" s="60" t="str">
        <f>HYPERLINK("https://www.sds-group.ru/product/rozetka-2-aya-b-z-s-u-10a-bezh-kranz-KR-78-0247/", "Инфо")</f>
        <v>Инфо</v>
      </c>
      <c r="F80" s="34" t="s">
        <v>39</v>
      </c>
      <c r="G80" s="33"/>
      <c r="H80" s="33" t="s">
        <v>40</v>
      </c>
      <c r="I80" s="33"/>
      <c r="J80" s="39">
        <v>4382</v>
      </c>
      <c r="K80" s="33"/>
      <c r="L80" s="35">
        <v>1</v>
      </c>
      <c r="M80" s="35">
        <v>120</v>
      </c>
      <c r="N80" s="35">
        <v>1</v>
      </c>
      <c r="O80" s="36">
        <v>50</v>
      </c>
      <c r="P80" s="36">
        <v>40.98</v>
      </c>
      <c r="Q80" s="36">
        <v>35</v>
      </c>
      <c r="R80" s="36">
        <v>28.69</v>
      </c>
      <c r="S80" s="36">
        <v>34</v>
      </c>
      <c r="T80" s="36">
        <v>27.87</v>
      </c>
      <c r="U80" s="34"/>
      <c r="V80" s="34"/>
      <c r="W80" s="34"/>
      <c r="X80" s="37">
        <v>7.1999999999999995E-2</v>
      </c>
      <c r="Y80" s="38">
        <v>4.26E-4</v>
      </c>
      <c r="Z80" s="21">
        <v>4601004263529</v>
      </c>
    </row>
    <row r="81" spans="1:26" ht="12" customHeight="1" outlineLevel="4" x14ac:dyDescent="0.2">
      <c r="A81" s="32" t="s">
        <v>175</v>
      </c>
      <c r="B81" s="74" t="s">
        <v>176</v>
      </c>
      <c r="C81" s="50"/>
      <c r="D81" s="53">
        <f t="shared" si="1"/>
        <v>0</v>
      </c>
      <c r="E81" s="60" t="str">
        <f>HYPERLINK("https://www.sds-group.ru/product/rozetka-2-aya-b-z-s-u-10a-bel-kranz-KR-78-0217/", "Инфо")</f>
        <v>Инфо</v>
      </c>
      <c r="F81" s="34" t="s">
        <v>39</v>
      </c>
      <c r="G81" s="33"/>
      <c r="H81" s="33" t="s">
        <v>40</v>
      </c>
      <c r="I81" s="33"/>
      <c r="J81" s="35">
        <v>13</v>
      </c>
      <c r="K81" s="33"/>
      <c r="L81" s="35">
        <v>1</v>
      </c>
      <c r="M81" s="35">
        <v>120</v>
      </c>
      <c r="N81" s="35">
        <v>1</v>
      </c>
      <c r="O81" s="36">
        <v>53</v>
      </c>
      <c r="P81" s="36">
        <v>43.44</v>
      </c>
      <c r="Q81" s="36">
        <v>37.1</v>
      </c>
      <c r="R81" s="36">
        <v>30.41</v>
      </c>
      <c r="S81" s="36">
        <v>36.04</v>
      </c>
      <c r="T81" s="36">
        <v>29.54</v>
      </c>
      <c r="U81" s="34"/>
      <c r="V81" s="34"/>
      <c r="W81" s="34"/>
      <c r="X81" s="37">
        <v>7.1999999999999995E-2</v>
      </c>
      <c r="Y81" s="38">
        <v>4.15E-4</v>
      </c>
      <c r="Z81" s="21">
        <v>4601004263222</v>
      </c>
    </row>
    <row r="82" spans="1:26" ht="12" customHeight="1" outlineLevel="4" x14ac:dyDescent="0.2">
      <c r="A82" s="32" t="s">
        <v>177</v>
      </c>
      <c r="B82" s="74" t="s">
        <v>178</v>
      </c>
      <c r="C82" s="50"/>
      <c r="D82" s="53">
        <f t="shared" si="1"/>
        <v>0</v>
      </c>
      <c r="E82" s="60" t="str">
        <f>HYPERLINK("https://www.sds-group.ru/product/rozetka-2-aya-keramika-b-z-s-u-10a-bezh-kranz-KR-78-0249/", "Инфо")</f>
        <v>Инфо</v>
      </c>
      <c r="F82" s="34" t="s">
        <v>39</v>
      </c>
      <c r="G82" s="33"/>
      <c r="H82" s="33" t="s">
        <v>40</v>
      </c>
      <c r="I82" s="33"/>
      <c r="J82" s="34" t="s">
        <v>100</v>
      </c>
      <c r="K82" s="33"/>
      <c r="L82" s="35">
        <v>1</v>
      </c>
      <c r="M82" s="35">
        <v>120</v>
      </c>
      <c r="N82" s="35">
        <v>1</v>
      </c>
      <c r="O82" s="36">
        <v>50</v>
      </c>
      <c r="P82" s="36">
        <v>40.98</v>
      </c>
      <c r="Q82" s="36">
        <v>35</v>
      </c>
      <c r="R82" s="36">
        <v>28.69</v>
      </c>
      <c r="S82" s="36">
        <v>34</v>
      </c>
      <c r="T82" s="36">
        <v>27.87</v>
      </c>
      <c r="U82" s="34"/>
      <c r="V82" s="34"/>
      <c r="W82" s="34"/>
      <c r="X82" s="37">
        <v>0.124</v>
      </c>
      <c r="Y82" s="38">
        <v>6.8199999999999999E-4</v>
      </c>
      <c r="Z82" s="21">
        <v>4601004263543</v>
      </c>
    </row>
    <row r="83" spans="1:26" ht="12" customHeight="1" outlineLevel="4" x14ac:dyDescent="0.2">
      <c r="A83" s="32" t="s">
        <v>179</v>
      </c>
      <c r="B83" s="74" t="s">
        <v>180</v>
      </c>
      <c r="C83" s="50"/>
      <c r="D83" s="53">
        <f t="shared" si="1"/>
        <v>0</v>
      </c>
      <c r="E83" s="60" t="str">
        <f>HYPERLINK("https://www.sds-group.ru/product/rozetka-2-aya-keramika-s-z-s-u-16a-bel-kranz-KR-78-0220/", "Инфо")</f>
        <v>Инфо</v>
      </c>
      <c r="F83" s="34" t="s">
        <v>39</v>
      </c>
      <c r="G83" s="33"/>
      <c r="H83" s="33" t="s">
        <v>40</v>
      </c>
      <c r="I83" s="33"/>
      <c r="J83" s="39">
        <v>1104</v>
      </c>
      <c r="K83" s="33"/>
      <c r="L83" s="35">
        <v>1</v>
      </c>
      <c r="M83" s="35">
        <v>100</v>
      </c>
      <c r="N83" s="35">
        <v>1</v>
      </c>
      <c r="O83" s="36">
        <v>53</v>
      </c>
      <c r="P83" s="36">
        <v>43.44</v>
      </c>
      <c r="Q83" s="36">
        <v>37.1</v>
      </c>
      <c r="R83" s="36">
        <v>30.41</v>
      </c>
      <c r="S83" s="36">
        <v>36.04</v>
      </c>
      <c r="T83" s="36">
        <v>29.54</v>
      </c>
      <c r="U83" s="34"/>
      <c r="V83" s="34"/>
      <c r="W83" s="34"/>
      <c r="X83" s="37">
        <v>0.14199999999999999</v>
      </c>
      <c r="Y83" s="38">
        <v>7.0600000000000003E-4</v>
      </c>
      <c r="Z83" s="21">
        <v>4601004263253</v>
      </c>
    </row>
    <row r="84" spans="1:26" ht="12" customHeight="1" outlineLevel="4" x14ac:dyDescent="0.2">
      <c r="A84" s="32" t="s">
        <v>181</v>
      </c>
      <c r="B84" s="74" t="s">
        <v>182</v>
      </c>
      <c r="C84" s="50"/>
      <c r="D84" s="53">
        <f t="shared" si="1"/>
        <v>0</v>
      </c>
      <c r="E84" s="60" t="str">
        <f>HYPERLINK("https://www.sds-group.ru/product/rozetka-2-aya-s-z-s-u-16a-bezh-kranz-KR-78-0248/", "Инфо")</f>
        <v>Инфо</v>
      </c>
      <c r="F84" s="34" t="s">
        <v>39</v>
      </c>
      <c r="G84" s="33"/>
      <c r="H84" s="33" t="s">
        <v>40</v>
      </c>
      <c r="I84" s="33"/>
      <c r="J84" s="35">
        <v>233</v>
      </c>
      <c r="K84" s="33"/>
      <c r="L84" s="35">
        <v>1</v>
      </c>
      <c r="M84" s="35">
        <v>120</v>
      </c>
      <c r="N84" s="35">
        <v>1</v>
      </c>
      <c r="O84" s="36">
        <v>50</v>
      </c>
      <c r="P84" s="36">
        <v>40.98</v>
      </c>
      <c r="Q84" s="36">
        <v>35</v>
      </c>
      <c r="R84" s="36">
        <v>28.69</v>
      </c>
      <c r="S84" s="36">
        <v>34</v>
      </c>
      <c r="T84" s="36">
        <v>27.87</v>
      </c>
      <c r="U84" s="34"/>
      <c r="V84" s="34"/>
      <c r="W84" s="34"/>
      <c r="X84" s="37">
        <v>9.8000000000000004E-2</v>
      </c>
      <c r="Y84" s="38">
        <v>6.8800000000000003E-4</v>
      </c>
      <c r="Z84" s="21">
        <v>4601004263536</v>
      </c>
    </row>
    <row r="85" spans="1:26" ht="12" customHeight="1" outlineLevel="4" x14ac:dyDescent="0.2">
      <c r="A85" s="32" t="s">
        <v>183</v>
      </c>
      <c r="B85" s="74" t="s">
        <v>184</v>
      </c>
      <c r="C85" s="50"/>
      <c r="D85" s="53">
        <f t="shared" si="1"/>
        <v>0</v>
      </c>
      <c r="E85" s="60" t="str">
        <f>HYPERLINK("https://www.sds-group.ru/product/rozetka-2-aya-s-z-s-u-16a-bel-kranz-KR-78-0218/", "Инфо")</f>
        <v>Инфо</v>
      </c>
      <c r="F85" s="34" t="s">
        <v>39</v>
      </c>
      <c r="G85" s="33"/>
      <c r="H85" s="33" t="s">
        <v>40</v>
      </c>
      <c r="I85" s="33"/>
      <c r="J85" s="34" t="s">
        <v>100</v>
      </c>
      <c r="K85" s="33"/>
      <c r="L85" s="35">
        <v>1</v>
      </c>
      <c r="M85" s="35">
        <v>100</v>
      </c>
      <c r="N85" s="35">
        <v>1</v>
      </c>
      <c r="O85" s="36">
        <v>50</v>
      </c>
      <c r="P85" s="36">
        <v>40.98</v>
      </c>
      <c r="Q85" s="36">
        <v>35</v>
      </c>
      <c r="R85" s="36">
        <v>28.69</v>
      </c>
      <c r="S85" s="36">
        <v>34</v>
      </c>
      <c r="T85" s="36">
        <v>27.87</v>
      </c>
      <c r="U85" s="34"/>
      <c r="V85" s="34"/>
      <c r="W85" s="34"/>
      <c r="X85" s="37">
        <v>9.8000000000000004E-2</v>
      </c>
      <c r="Y85" s="38">
        <v>6.9300000000000004E-4</v>
      </c>
      <c r="Z85" s="21">
        <v>4601004263239</v>
      </c>
    </row>
    <row r="86" spans="1:26" ht="12" customHeight="1" outlineLevel="4" x14ac:dyDescent="0.2">
      <c r="A86" s="32" t="s">
        <v>185</v>
      </c>
      <c r="B86" s="74" t="s">
        <v>186</v>
      </c>
      <c r="C86" s="50"/>
      <c r="D86" s="53">
        <f t="shared" si="1"/>
        <v>0</v>
      </c>
      <c r="E86" s="60" t="str">
        <f>HYPERLINK("https://www.sds-group.ru/product/rozetka-kompyuter-rj45-s-u-meh-bezh-kranz-KR-78-0253/", "Инфо")</f>
        <v>Инфо</v>
      </c>
      <c r="F86" s="34" t="s">
        <v>39</v>
      </c>
      <c r="G86" s="33"/>
      <c r="H86" s="33" t="s">
        <v>40</v>
      </c>
      <c r="I86" s="33"/>
      <c r="J86" s="39">
        <v>2473</v>
      </c>
      <c r="K86" s="33"/>
      <c r="L86" s="35">
        <v>1</v>
      </c>
      <c r="M86" s="35">
        <v>120</v>
      </c>
      <c r="N86" s="35">
        <v>1</v>
      </c>
      <c r="O86" s="36">
        <v>35</v>
      </c>
      <c r="P86" s="36">
        <v>28.69</v>
      </c>
      <c r="Q86" s="36">
        <v>24.5</v>
      </c>
      <c r="R86" s="36">
        <v>20.079999999999998</v>
      </c>
      <c r="S86" s="36">
        <v>23.8</v>
      </c>
      <c r="T86" s="36">
        <v>19.510000000000002</v>
      </c>
      <c r="U86" s="34"/>
      <c r="V86" s="34"/>
      <c r="W86" s="34"/>
      <c r="X86" s="37">
        <v>6.5000000000000002E-2</v>
      </c>
      <c r="Y86" s="38">
        <v>4.0900000000000002E-4</v>
      </c>
      <c r="Z86" s="21">
        <v>4601004263581</v>
      </c>
    </row>
    <row r="87" spans="1:26" ht="12" customHeight="1" outlineLevel="4" x14ac:dyDescent="0.2">
      <c r="A87" s="32" t="s">
        <v>187</v>
      </c>
      <c r="B87" s="74" t="s">
        <v>188</v>
      </c>
      <c r="C87" s="50"/>
      <c r="D87" s="53">
        <f t="shared" si="1"/>
        <v>0</v>
      </c>
      <c r="E87" s="60" t="str">
        <f>HYPERLINK("https://www.sds-group.ru/product/rozetka-kompyuter-rj45-s-u-meh-bel-kranz-KR-78-0223/", "Инфо")</f>
        <v>Инфо</v>
      </c>
      <c r="F87" s="34" t="s">
        <v>39</v>
      </c>
      <c r="G87" s="33"/>
      <c r="H87" s="33" t="s">
        <v>40</v>
      </c>
      <c r="I87" s="33"/>
      <c r="J87" s="39">
        <v>1209</v>
      </c>
      <c r="K87" s="33"/>
      <c r="L87" s="35">
        <v>1</v>
      </c>
      <c r="M87" s="35">
        <v>120</v>
      </c>
      <c r="N87" s="35">
        <v>1</v>
      </c>
      <c r="O87" s="36">
        <v>35</v>
      </c>
      <c r="P87" s="36">
        <v>28.69</v>
      </c>
      <c r="Q87" s="36">
        <v>24.5</v>
      </c>
      <c r="R87" s="36">
        <v>20.079999999999998</v>
      </c>
      <c r="S87" s="36">
        <v>23.8</v>
      </c>
      <c r="T87" s="36">
        <v>19.510000000000002</v>
      </c>
      <c r="U87" s="34"/>
      <c r="V87" s="34"/>
      <c r="W87" s="34"/>
      <c r="X87" s="37">
        <v>6.5000000000000002E-2</v>
      </c>
      <c r="Y87" s="38">
        <v>4.08E-4</v>
      </c>
      <c r="Z87" s="21">
        <v>4601004263284</v>
      </c>
    </row>
    <row r="88" spans="1:26" ht="12" customHeight="1" outlineLevel="4" x14ac:dyDescent="0.2">
      <c r="A88" s="32" t="s">
        <v>189</v>
      </c>
      <c r="B88" s="74" t="s">
        <v>190</v>
      </c>
      <c r="C88" s="50"/>
      <c r="D88" s="53">
        <f t="shared" si="1"/>
        <v>0</v>
      </c>
      <c r="E88" s="60" t="str">
        <f>HYPERLINK("https://www.sds-group.ru/product/rozetka-tv-prohodnaya-s-u-meh-bezh-kranz-KR-78-0251/", "Инфо")</f>
        <v>Инфо</v>
      </c>
      <c r="F88" s="34" t="s">
        <v>39</v>
      </c>
      <c r="G88" s="33"/>
      <c r="H88" s="33" t="s">
        <v>40</v>
      </c>
      <c r="I88" s="33"/>
      <c r="J88" s="39">
        <v>2456</v>
      </c>
      <c r="K88" s="33"/>
      <c r="L88" s="35">
        <v>1</v>
      </c>
      <c r="M88" s="35">
        <v>120</v>
      </c>
      <c r="N88" s="35">
        <v>1</v>
      </c>
      <c r="O88" s="36">
        <v>35</v>
      </c>
      <c r="P88" s="36">
        <v>28.69</v>
      </c>
      <c r="Q88" s="36">
        <v>24.5</v>
      </c>
      <c r="R88" s="36">
        <v>20.079999999999998</v>
      </c>
      <c r="S88" s="36">
        <v>23.8</v>
      </c>
      <c r="T88" s="36">
        <v>19.510000000000002</v>
      </c>
      <c r="U88" s="34"/>
      <c r="V88" s="34"/>
      <c r="W88" s="34"/>
      <c r="X88" s="37">
        <v>6.3E-2</v>
      </c>
      <c r="Y88" s="38">
        <v>4.0900000000000002E-4</v>
      </c>
      <c r="Z88" s="21">
        <v>4601004263567</v>
      </c>
    </row>
    <row r="89" spans="1:26" ht="12" customHeight="1" outlineLevel="4" x14ac:dyDescent="0.2">
      <c r="A89" s="32" t="s">
        <v>191</v>
      </c>
      <c r="B89" s="74" t="s">
        <v>192</v>
      </c>
      <c r="C89" s="50"/>
      <c r="D89" s="53">
        <f t="shared" si="1"/>
        <v>0</v>
      </c>
      <c r="E89" s="60" t="str">
        <f>HYPERLINK("https://www.sds-group.ru/product/rozetka-tv-prohodnaya-s-u-meh-bel-kranz-KR-78-0221/", "Инфо")</f>
        <v>Инфо</v>
      </c>
      <c r="F89" s="34" t="s">
        <v>39</v>
      </c>
      <c r="G89" s="33"/>
      <c r="H89" s="33" t="s">
        <v>40</v>
      </c>
      <c r="I89" s="33"/>
      <c r="J89" s="39">
        <v>1194</v>
      </c>
      <c r="K89" s="33"/>
      <c r="L89" s="35">
        <v>1</v>
      </c>
      <c r="M89" s="35">
        <v>120</v>
      </c>
      <c r="N89" s="35">
        <v>1</v>
      </c>
      <c r="O89" s="36">
        <v>35</v>
      </c>
      <c r="P89" s="36">
        <v>28.69</v>
      </c>
      <c r="Q89" s="36">
        <v>24.5</v>
      </c>
      <c r="R89" s="36">
        <v>20.079999999999998</v>
      </c>
      <c r="S89" s="36">
        <v>23.8</v>
      </c>
      <c r="T89" s="36">
        <v>19.510000000000002</v>
      </c>
      <c r="U89" s="34"/>
      <c r="V89" s="34"/>
      <c r="W89" s="34"/>
      <c r="X89" s="37">
        <v>6.4000000000000001E-2</v>
      </c>
      <c r="Y89" s="38">
        <v>4.1599999999999997E-4</v>
      </c>
      <c r="Z89" s="21">
        <v>4601004263260</v>
      </c>
    </row>
    <row r="90" spans="1:26" ht="12" customHeight="1" outlineLevel="4" x14ac:dyDescent="0.2">
      <c r="A90" s="32" t="s">
        <v>193</v>
      </c>
      <c r="B90" s="74" t="s">
        <v>194</v>
      </c>
      <c r="C90" s="50"/>
      <c r="D90" s="53">
        <f t="shared" si="1"/>
        <v>0</v>
      </c>
      <c r="E90" s="60" t="str">
        <f>HYPERLINK("https://www.sds-group.ru/product/rozetka-telefon-rj11-s-u-meh-bezh-kranz-KR-78-0252/", "Инфо")</f>
        <v>Инфо</v>
      </c>
      <c r="F90" s="34" t="s">
        <v>39</v>
      </c>
      <c r="G90" s="33"/>
      <c r="H90" s="33" t="s">
        <v>40</v>
      </c>
      <c r="I90" s="33"/>
      <c r="J90" s="35">
        <v>961</v>
      </c>
      <c r="K90" s="33"/>
      <c r="L90" s="35">
        <v>1</v>
      </c>
      <c r="M90" s="35">
        <v>120</v>
      </c>
      <c r="N90" s="35">
        <v>1</v>
      </c>
      <c r="O90" s="36">
        <v>35</v>
      </c>
      <c r="P90" s="36">
        <v>28.69</v>
      </c>
      <c r="Q90" s="36">
        <v>24.5</v>
      </c>
      <c r="R90" s="36">
        <v>20.079999999999998</v>
      </c>
      <c r="S90" s="36">
        <v>23.8</v>
      </c>
      <c r="T90" s="36">
        <v>19.510000000000002</v>
      </c>
      <c r="U90" s="34"/>
      <c r="V90" s="34"/>
      <c r="W90" s="34"/>
      <c r="X90" s="37">
        <v>4.8000000000000001E-2</v>
      </c>
      <c r="Y90" s="38">
        <v>4.0000000000000002E-4</v>
      </c>
      <c r="Z90" s="21">
        <v>4601004263574</v>
      </c>
    </row>
    <row r="91" spans="1:26" ht="12" customHeight="1" outlineLevel="4" x14ac:dyDescent="0.2">
      <c r="A91" s="32" t="s">
        <v>195</v>
      </c>
      <c r="B91" s="74" t="s">
        <v>196</v>
      </c>
      <c r="C91" s="50"/>
      <c r="D91" s="53">
        <f t="shared" si="1"/>
        <v>0</v>
      </c>
      <c r="E91" s="60" t="str">
        <f>HYPERLINK("https://www.sds-group.ru/product/rozetka-telefon-rj11-s-u-meh-bel-kranz-KR-78-0222/", "Инфо")</f>
        <v>Инфо</v>
      </c>
      <c r="F91" s="34" t="s">
        <v>39</v>
      </c>
      <c r="G91" s="33"/>
      <c r="H91" s="33" t="s">
        <v>40</v>
      </c>
      <c r="I91" s="33"/>
      <c r="J91" s="39">
        <v>1253</v>
      </c>
      <c r="K91" s="33"/>
      <c r="L91" s="35">
        <v>1</v>
      </c>
      <c r="M91" s="35">
        <v>120</v>
      </c>
      <c r="N91" s="35">
        <v>1</v>
      </c>
      <c r="O91" s="36">
        <v>35</v>
      </c>
      <c r="P91" s="36">
        <v>28.69</v>
      </c>
      <c r="Q91" s="36">
        <v>24.5</v>
      </c>
      <c r="R91" s="36">
        <v>20.079999999999998</v>
      </c>
      <c r="S91" s="36">
        <v>23.8</v>
      </c>
      <c r="T91" s="36">
        <v>19.510000000000002</v>
      </c>
      <c r="U91" s="34"/>
      <c r="V91" s="34"/>
      <c r="W91" s="34"/>
      <c r="X91" s="37">
        <v>4.8000000000000001E-2</v>
      </c>
      <c r="Y91" s="38">
        <v>4.08E-4</v>
      </c>
      <c r="Z91" s="21">
        <v>4601004263277</v>
      </c>
    </row>
    <row r="92" spans="1:26" ht="12" customHeight="1" outlineLevel="4" x14ac:dyDescent="0.2">
      <c r="A92" s="32" t="s">
        <v>197</v>
      </c>
      <c r="B92" s="74" t="s">
        <v>198</v>
      </c>
      <c r="C92" s="50"/>
      <c r="D92" s="53">
        <f t="shared" si="1"/>
        <v>0</v>
      </c>
      <c r="E92" s="60" t="str">
        <f>HYPERLINK("https://www.sds-group.ru/product/svetoregulyator-300vt-s-u-meh-bezh-kranz-KR-78-0254/", "Инфо")</f>
        <v>Инфо</v>
      </c>
      <c r="F92" s="34" t="s">
        <v>39</v>
      </c>
      <c r="G92" s="33"/>
      <c r="H92" s="33" t="s">
        <v>40</v>
      </c>
      <c r="I92" s="33"/>
      <c r="J92" s="35">
        <v>713</v>
      </c>
      <c r="K92" s="33"/>
      <c r="L92" s="35">
        <v>1</v>
      </c>
      <c r="M92" s="35">
        <v>100</v>
      </c>
      <c r="N92" s="35">
        <v>1</v>
      </c>
      <c r="O92" s="36">
        <v>70</v>
      </c>
      <c r="P92" s="36">
        <v>57.38</v>
      </c>
      <c r="Q92" s="36">
        <v>49</v>
      </c>
      <c r="R92" s="36">
        <v>40.159999999999997</v>
      </c>
      <c r="S92" s="36">
        <v>47.6</v>
      </c>
      <c r="T92" s="36">
        <v>39.020000000000003</v>
      </c>
      <c r="U92" s="34"/>
      <c r="V92" s="34"/>
      <c r="W92" s="34"/>
      <c r="X92" s="37">
        <v>7.5999999999999998E-2</v>
      </c>
      <c r="Y92" s="38">
        <v>5.8900000000000001E-4</v>
      </c>
      <c r="Z92" s="21">
        <v>4601004263598</v>
      </c>
    </row>
    <row r="93" spans="1:26" ht="12" customHeight="1" outlineLevel="4" x14ac:dyDescent="0.2">
      <c r="A93" s="32" t="s">
        <v>199</v>
      </c>
      <c r="B93" s="74" t="s">
        <v>200</v>
      </c>
      <c r="C93" s="50"/>
      <c r="D93" s="53">
        <f t="shared" si="1"/>
        <v>0</v>
      </c>
      <c r="E93" s="60" t="str">
        <f>HYPERLINK("https://www.sds-group.ru/product/svetoregulyator-300vt-s-u-meh-bel-kranz-KR-78-0224/", "Инфо")</f>
        <v>Инфо</v>
      </c>
      <c r="F93" s="34" t="s">
        <v>39</v>
      </c>
      <c r="G93" s="33"/>
      <c r="H93" s="33" t="s">
        <v>40</v>
      </c>
      <c r="I93" s="33"/>
      <c r="J93" s="34" t="s">
        <v>100</v>
      </c>
      <c r="K93" s="33"/>
      <c r="L93" s="35">
        <v>1</v>
      </c>
      <c r="M93" s="35">
        <v>100</v>
      </c>
      <c r="N93" s="35">
        <v>1</v>
      </c>
      <c r="O93" s="36">
        <v>74.2</v>
      </c>
      <c r="P93" s="36">
        <v>60.82</v>
      </c>
      <c r="Q93" s="36">
        <v>51.94</v>
      </c>
      <c r="R93" s="36">
        <v>42.57</v>
      </c>
      <c r="S93" s="36">
        <v>50.46</v>
      </c>
      <c r="T93" s="36">
        <v>41.36</v>
      </c>
      <c r="U93" s="34"/>
      <c r="V93" s="34"/>
      <c r="W93" s="34"/>
      <c r="X93" s="37">
        <v>7.5999999999999998E-2</v>
      </c>
      <c r="Y93" s="38">
        <v>5.8900000000000001E-4</v>
      </c>
      <c r="Z93" s="21">
        <v>4601004263291</v>
      </c>
    </row>
    <row r="94" spans="1:26" ht="12.95" customHeight="1" outlineLevel="3" x14ac:dyDescent="0.2">
      <c r="A94" s="76" t="s">
        <v>201</v>
      </c>
      <c r="B94" s="76"/>
      <c r="C94" s="77"/>
      <c r="D94" s="58"/>
      <c r="E94" s="68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</row>
    <row r="95" spans="1:26" ht="12" customHeight="1" outlineLevel="4" x14ac:dyDescent="0.2">
      <c r="A95" s="40" t="s">
        <v>202</v>
      </c>
      <c r="B95" s="75" t="s">
        <v>203</v>
      </c>
      <c r="C95" s="51"/>
      <c r="D95" s="54">
        <f t="shared" si="1"/>
        <v>0</v>
      </c>
      <c r="E95" s="61" t="str">
        <f>HYPERLINK("https://www.sds-group.ru/product/vyvod-kabelya-round-oniks-kranz-KR-78-0736-3/", "Инфо")</f>
        <v>Инфо</v>
      </c>
      <c r="F95" s="42" t="s">
        <v>39</v>
      </c>
      <c r="G95" s="41" t="s">
        <v>40</v>
      </c>
      <c r="H95" s="41"/>
      <c r="I95" s="41"/>
      <c r="J95" s="43">
        <v>627</v>
      </c>
      <c r="K95" s="41"/>
      <c r="L95" s="43">
        <v>1</v>
      </c>
      <c r="M95" s="43">
        <v>80</v>
      </c>
      <c r="N95" s="43">
        <v>1</v>
      </c>
      <c r="O95" s="44">
        <v>872.77</v>
      </c>
      <c r="P95" s="44">
        <v>715.39</v>
      </c>
      <c r="Q95" s="44">
        <v>872.77</v>
      </c>
      <c r="R95" s="44">
        <v>715.39</v>
      </c>
      <c r="S95" s="44">
        <v>698.22</v>
      </c>
      <c r="T95" s="44">
        <v>572.30999999999995</v>
      </c>
      <c r="U95" s="42"/>
      <c r="V95" s="42"/>
      <c r="W95" s="42" t="s">
        <v>40</v>
      </c>
      <c r="X95" s="45">
        <v>0.14599999999999999</v>
      </c>
      <c r="Y95" s="46">
        <v>6.6E-4</v>
      </c>
      <c r="Z95" s="21">
        <v>4601004338623</v>
      </c>
    </row>
    <row r="96" spans="1:26" ht="12" customHeight="1" outlineLevel="4" x14ac:dyDescent="0.2">
      <c r="A96" s="40" t="s">
        <v>204</v>
      </c>
      <c r="B96" s="75" t="s">
        <v>205</v>
      </c>
      <c r="C96" s="51"/>
      <c r="D96" s="54">
        <f t="shared" si="1"/>
        <v>0</v>
      </c>
      <c r="E96" s="61" t="str">
        <f>HYPERLINK("https://www.sds-group.ru/product/vyvod-kabelya-round-perlamutr-kranz-KR-78-0736-1/", "Инфо")</f>
        <v>Инфо</v>
      </c>
      <c r="F96" s="42" t="s">
        <v>39</v>
      </c>
      <c r="G96" s="41" t="s">
        <v>40</v>
      </c>
      <c r="H96" s="41"/>
      <c r="I96" s="41"/>
      <c r="J96" s="43">
        <v>601</v>
      </c>
      <c r="K96" s="41"/>
      <c r="L96" s="43">
        <v>1</v>
      </c>
      <c r="M96" s="43">
        <v>80</v>
      </c>
      <c r="N96" s="43">
        <v>1</v>
      </c>
      <c r="O96" s="44">
        <v>727.72</v>
      </c>
      <c r="P96" s="44">
        <v>596.49</v>
      </c>
      <c r="Q96" s="44">
        <v>727.72</v>
      </c>
      <c r="R96" s="44">
        <v>596.49</v>
      </c>
      <c r="S96" s="44">
        <v>582.17999999999995</v>
      </c>
      <c r="T96" s="44">
        <v>477.2</v>
      </c>
      <c r="U96" s="42"/>
      <c r="V96" s="42"/>
      <c r="W96" s="42" t="s">
        <v>40</v>
      </c>
      <c r="X96" s="45">
        <v>0.14699999999999999</v>
      </c>
      <c r="Y96" s="46">
        <v>6.6799999999999997E-4</v>
      </c>
      <c r="Z96" s="21">
        <v>4601004338630</v>
      </c>
    </row>
    <row r="97" spans="1:26" ht="12" customHeight="1" outlineLevel="4" x14ac:dyDescent="0.2">
      <c r="A97" s="40" t="s">
        <v>206</v>
      </c>
      <c r="B97" s="75" t="s">
        <v>207</v>
      </c>
      <c r="C97" s="51"/>
      <c r="D97" s="54">
        <f t="shared" si="1"/>
        <v>0</v>
      </c>
      <c r="E97" s="62"/>
      <c r="F97" s="42" t="s">
        <v>39</v>
      </c>
      <c r="G97" s="41" t="s">
        <v>40</v>
      </c>
      <c r="H97" s="41"/>
      <c r="I97" s="41"/>
      <c r="J97" s="43">
        <v>279</v>
      </c>
      <c r="K97" s="41"/>
      <c r="L97" s="43">
        <v>1</v>
      </c>
      <c r="M97" s="43">
        <v>80</v>
      </c>
      <c r="N97" s="43">
        <v>1</v>
      </c>
      <c r="O97" s="44">
        <v>850</v>
      </c>
      <c r="P97" s="44">
        <v>696.72</v>
      </c>
      <c r="Q97" s="44">
        <v>850</v>
      </c>
      <c r="R97" s="44">
        <v>696.72</v>
      </c>
      <c r="S97" s="44">
        <v>680</v>
      </c>
      <c r="T97" s="44">
        <v>557.38</v>
      </c>
      <c r="U97" s="42"/>
      <c r="V97" s="42"/>
      <c r="W97" s="42" t="s">
        <v>40</v>
      </c>
      <c r="X97" s="45">
        <v>0.14699999999999999</v>
      </c>
      <c r="Y97" s="46">
        <v>6.6600000000000003E-4</v>
      </c>
      <c r="Z97" s="21">
        <v>4601004338593</v>
      </c>
    </row>
    <row r="98" spans="1:26" ht="12" customHeight="1" outlineLevel="4" x14ac:dyDescent="0.2">
      <c r="A98" s="40" t="s">
        <v>208</v>
      </c>
      <c r="B98" s="75" t="s">
        <v>209</v>
      </c>
      <c r="C98" s="51"/>
      <c r="D98" s="54">
        <f t="shared" si="1"/>
        <v>0</v>
      </c>
      <c r="E98" s="61" t="str">
        <f>HYPERLINK("https://www.sds-group.ru/product/vyvod-kabelya-round-shelk-kranz-KR-78-0736-7/", "Инфо")</f>
        <v>Инфо</v>
      </c>
      <c r="F98" s="42" t="s">
        <v>39</v>
      </c>
      <c r="G98" s="41" t="s">
        <v>40</v>
      </c>
      <c r="H98" s="41"/>
      <c r="I98" s="41"/>
      <c r="J98" s="43">
        <v>105</v>
      </c>
      <c r="K98" s="41" t="s">
        <v>210</v>
      </c>
      <c r="L98" s="43">
        <v>1</v>
      </c>
      <c r="M98" s="43">
        <v>100</v>
      </c>
      <c r="N98" s="43">
        <v>1</v>
      </c>
      <c r="O98" s="44">
        <v>850</v>
      </c>
      <c r="P98" s="44">
        <v>696.72</v>
      </c>
      <c r="Q98" s="44">
        <v>850</v>
      </c>
      <c r="R98" s="44">
        <v>696.72</v>
      </c>
      <c r="S98" s="44">
        <v>680</v>
      </c>
      <c r="T98" s="44">
        <v>557.38</v>
      </c>
      <c r="U98" s="42"/>
      <c r="V98" s="42"/>
      <c r="W98" s="42" t="s">
        <v>40</v>
      </c>
      <c r="X98" s="45">
        <v>0.14499999999999999</v>
      </c>
      <c r="Y98" s="46">
        <v>6.6500000000000001E-4</v>
      </c>
      <c r="Z98" s="21">
        <v>4601004346048</v>
      </c>
    </row>
    <row r="99" spans="1:26" ht="12" customHeight="1" outlineLevel="4" x14ac:dyDescent="0.2">
      <c r="A99" s="14" t="s">
        <v>211</v>
      </c>
      <c r="B99" s="26" t="s">
        <v>212</v>
      </c>
      <c r="C99" s="52"/>
      <c r="D99" s="55">
        <f t="shared" si="1"/>
        <v>0</v>
      </c>
      <c r="E99" s="63" t="str">
        <f>HYPERLINK("https://www.sds-group.ru/product/vyklyuchatel-round-1-kl-10a-s-u-oniks-kranz-KR-78-0705-3/", "Инфо")</f>
        <v>Инфо</v>
      </c>
      <c r="F99" s="16" t="s">
        <v>39</v>
      </c>
      <c r="G99" s="15"/>
      <c r="H99" s="15"/>
      <c r="I99" s="15"/>
      <c r="J99" s="22">
        <v>1256</v>
      </c>
      <c r="K99" s="15" t="s">
        <v>210</v>
      </c>
      <c r="L99" s="17">
        <v>1</v>
      </c>
      <c r="M99" s="17">
        <v>100</v>
      </c>
      <c r="N99" s="17">
        <v>1</v>
      </c>
      <c r="O99" s="18">
        <v>917.88</v>
      </c>
      <c r="P99" s="18">
        <v>752.36</v>
      </c>
      <c r="Q99" s="18">
        <v>917.88</v>
      </c>
      <c r="R99" s="18">
        <v>752.36</v>
      </c>
      <c r="S99" s="18">
        <v>734.3</v>
      </c>
      <c r="T99" s="18">
        <v>601.89</v>
      </c>
      <c r="U99" s="16"/>
      <c r="V99" s="16"/>
      <c r="W99" s="16" t="s">
        <v>40</v>
      </c>
      <c r="X99" s="19">
        <v>0.151</v>
      </c>
      <c r="Y99" s="20">
        <v>5.3700000000000004E-4</v>
      </c>
      <c r="Z99" s="21">
        <v>4601004323544</v>
      </c>
    </row>
    <row r="100" spans="1:26" ht="12" customHeight="1" outlineLevel="4" x14ac:dyDescent="0.2">
      <c r="A100" s="14" t="s">
        <v>213</v>
      </c>
      <c r="B100" s="26" t="s">
        <v>214</v>
      </c>
      <c r="C100" s="52"/>
      <c r="D100" s="55">
        <f t="shared" si="1"/>
        <v>0</v>
      </c>
      <c r="E100" s="63" t="str">
        <f>HYPERLINK("https://www.sds-group.ru/product/vyklyuchatel-round-1-kl-10a-s-u-perlamutr-kranz-KR-78-0705-1/", "Инфо")</f>
        <v>Инфо</v>
      </c>
      <c r="F100" s="16" t="s">
        <v>39</v>
      </c>
      <c r="G100" s="15"/>
      <c r="H100" s="15"/>
      <c r="I100" s="15"/>
      <c r="J100" s="22">
        <v>3253</v>
      </c>
      <c r="K100" s="15" t="s">
        <v>210</v>
      </c>
      <c r="L100" s="17">
        <v>1</v>
      </c>
      <c r="M100" s="17">
        <v>100</v>
      </c>
      <c r="N100" s="17">
        <v>1</v>
      </c>
      <c r="O100" s="18">
        <v>744.58</v>
      </c>
      <c r="P100" s="18">
        <v>610.30999999999995</v>
      </c>
      <c r="Q100" s="18">
        <v>744.58</v>
      </c>
      <c r="R100" s="18">
        <v>610.30999999999995</v>
      </c>
      <c r="S100" s="18">
        <v>595.66</v>
      </c>
      <c r="T100" s="18">
        <v>488.25</v>
      </c>
      <c r="U100" s="16"/>
      <c r="V100" s="16"/>
      <c r="W100" s="16" t="s">
        <v>40</v>
      </c>
      <c r="X100" s="19">
        <v>0.151</v>
      </c>
      <c r="Y100" s="20">
        <v>5.1000000000000004E-4</v>
      </c>
      <c r="Z100" s="21">
        <v>4601004323452</v>
      </c>
    </row>
    <row r="101" spans="1:26" ht="12" customHeight="1" outlineLevel="4" x14ac:dyDescent="0.2">
      <c r="A101" s="14" t="s">
        <v>215</v>
      </c>
      <c r="B101" s="26" t="s">
        <v>216</v>
      </c>
      <c r="C101" s="52"/>
      <c r="D101" s="55">
        <f t="shared" si="1"/>
        <v>0</v>
      </c>
      <c r="E101" s="63" t="str">
        <f>HYPERLINK("https://www.sds-group.ru/product/vyklyuchatel-round-1-kl-10a-s-u-titan-kranz-KR-78-0705-2/", "Инфо")</f>
        <v>Инфо</v>
      </c>
      <c r="F101" s="16" t="s">
        <v>39</v>
      </c>
      <c r="G101" s="15"/>
      <c r="H101" s="15"/>
      <c r="I101" s="15"/>
      <c r="J101" s="22">
        <v>1532</v>
      </c>
      <c r="K101" s="15"/>
      <c r="L101" s="17">
        <v>1</v>
      </c>
      <c r="M101" s="17">
        <v>100</v>
      </c>
      <c r="N101" s="17">
        <v>1</v>
      </c>
      <c r="O101" s="18">
        <v>909.72</v>
      </c>
      <c r="P101" s="18">
        <v>745.67</v>
      </c>
      <c r="Q101" s="18">
        <v>909.72</v>
      </c>
      <c r="R101" s="18">
        <v>745.67</v>
      </c>
      <c r="S101" s="18">
        <v>727.78</v>
      </c>
      <c r="T101" s="18">
        <v>596.54</v>
      </c>
      <c r="U101" s="16"/>
      <c r="V101" s="16"/>
      <c r="W101" s="16" t="s">
        <v>40</v>
      </c>
      <c r="X101" s="19">
        <v>0.151</v>
      </c>
      <c r="Y101" s="20">
        <v>5.4100000000000003E-4</v>
      </c>
      <c r="Z101" s="21">
        <v>4601004323636</v>
      </c>
    </row>
    <row r="102" spans="1:26" ht="12" customHeight="1" outlineLevel="4" x14ac:dyDescent="0.2">
      <c r="A102" s="40" t="s">
        <v>217</v>
      </c>
      <c r="B102" s="75" t="s">
        <v>218</v>
      </c>
      <c r="C102" s="51"/>
      <c r="D102" s="54">
        <f t="shared" si="1"/>
        <v>0</v>
      </c>
      <c r="E102" s="61" t="str">
        <f>HYPERLINK("https://www.sds-group.ru/product/vyklyuchatel-round-1-kl-10a-s-u-shelk-kranz-KR-78-0705-7/", "Инфо")</f>
        <v>Инфо</v>
      </c>
      <c r="F102" s="42" t="s">
        <v>39</v>
      </c>
      <c r="G102" s="41" t="s">
        <v>40</v>
      </c>
      <c r="H102" s="41"/>
      <c r="I102" s="41"/>
      <c r="J102" s="43">
        <v>965</v>
      </c>
      <c r="K102" s="41" t="s">
        <v>210</v>
      </c>
      <c r="L102" s="43">
        <v>1</v>
      </c>
      <c r="M102" s="43">
        <v>100</v>
      </c>
      <c r="N102" s="43">
        <v>1</v>
      </c>
      <c r="O102" s="44">
        <v>909.72</v>
      </c>
      <c r="P102" s="44">
        <v>745.67</v>
      </c>
      <c r="Q102" s="44">
        <v>909.72</v>
      </c>
      <c r="R102" s="44">
        <v>745.67</v>
      </c>
      <c r="S102" s="44">
        <v>727.78</v>
      </c>
      <c r="T102" s="44">
        <v>596.54</v>
      </c>
      <c r="U102" s="42"/>
      <c r="V102" s="42"/>
      <c r="W102" s="42" t="s">
        <v>40</v>
      </c>
      <c r="X102" s="45">
        <v>0.152</v>
      </c>
      <c r="Y102" s="46">
        <v>5.1699999999999999E-4</v>
      </c>
      <c r="Z102" s="21">
        <v>4601004345423</v>
      </c>
    </row>
    <row r="103" spans="1:26" ht="12" customHeight="1" outlineLevel="4" x14ac:dyDescent="0.2">
      <c r="A103" s="14" t="s">
        <v>219</v>
      </c>
      <c r="B103" s="26" t="s">
        <v>220</v>
      </c>
      <c r="C103" s="52"/>
      <c r="D103" s="55">
        <f t="shared" si="1"/>
        <v>0</v>
      </c>
      <c r="E103" s="63" t="str">
        <f>HYPERLINK("https://www.sds-group.ru/product/vyklyuchatel-round-1-kl-vozvratnyy-10a-s-u-oniks-kranz-KR-78-0712-3/", "Инфо")</f>
        <v>Инфо</v>
      </c>
      <c r="F103" s="16" t="s">
        <v>39</v>
      </c>
      <c r="G103" s="15"/>
      <c r="H103" s="15"/>
      <c r="I103" s="15"/>
      <c r="J103" s="17">
        <v>252</v>
      </c>
      <c r="K103" s="15"/>
      <c r="L103" s="17">
        <v>1</v>
      </c>
      <c r="M103" s="17">
        <v>100</v>
      </c>
      <c r="N103" s="17">
        <v>1</v>
      </c>
      <c r="O103" s="18">
        <v>1441.28</v>
      </c>
      <c r="P103" s="18">
        <v>1181.3800000000001</v>
      </c>
      <c r="Q103" s="18">
        <v>1441.28</v>
      </c>
      <c r="R103" s="18">
        <v>1181.3800000000001</v>
      </c>
      <c r="S103" s="18">
        <v>1153.02</v>
      </c>
      <c r="T103" s="18">
        <v>945.1</v>
      </c>
      <c r="U103" s="16"/>
      <c r="V103" s="16"/>
      <c r="W103" s="16" t="s">
        <v>40</v>
      </c>
      <c r="X103" s="19">
        <v>0.152</v>
      </c>
      <c r="Y103" s="20">
        <v>5.22E-4</v>
      </c>
      <c r="Z103" s="21">
        <v>4601004323964</v>
      </c>
    </row>
    <row r="104" spans="1:26" ht="12" customHeight="1" outlineLevel="4" x14ac:dyDescent="0.2">
      <c r="A104" s="14" t="s">
        <v>221</v>
      </c>
      <c r="B104" s="26" t="s">
        <v>222</v>
      </c>
      <c r="C104" s="52"/>
      <c r="D104" s="55">
        <f t="shared" si="1"/>
        <v>0</v>
      </c>
      <c r="E104" s="63" t="str">
        <f>HYPERLINK("https://www.sds-group.ru/product/vyklyuchatel-round-1-kl-vozvratnyy-10a-s-u-perlamutr-kranz-KR-78-0712-1/", "Инфо")</f>
        <v>Инфо</v>
      </c>
      <c r="F104" s="16" t="s">
        <v>39</v>
      </c>
      <c r="G104" s="15"/>
      <c r="H104" s="15"/>
      <c r="I104" s="15"/>
      <c r="J104" s="17">
        <v>58</v>
      </c>
      <c r="K104" s="15" t="s">
        <v>210</v>
      </c>
      <c r="L104" s="17">
        <v>1</v>
      </c>
      <c r="M104" s="17">
        <v>100</v>
      </c>
      <c r="N104" s="17">
        <v>1</v>
      </c>
      <c r="O104" s="18">
        <v>1212.98</v>
      </c>
      <c r="P104" s="18">
        <v>994.25</v>
      </c>
      <c r="Q104" s="18">
        <v>1212.98</v>
      </c>
      <c r="R104" s="18">
        <v>994.25</v>
      </c>
      <c r="S104" s="18">
        <v>970.38</v>
      </c>
      <c r="T104" s="18">
        <v>795.39</v>
      </c>
      <c r="U104" s="16"/>
      <c r="V104" s="16"/>
      <c r="W104" s="16" t="s">
        <v>40</v>
      </c>
      <c r="X104" s="19">
        <v>0.153</v>
      </c>
      <c r="Y104" s="20">
        <v>5.2499999999999997E-4</v>
      </c>
      <c r="Z104" s="21">
        <v>4601004324022</v>
      </c>
    </row>
    <row r="105" spans="1:26" ht="12" customHeight="1" outlineLevel="4" x14ac:dyDescent="0.2">
      <c r="A105" s="14" t="s">
        <v>223</v>
      </c>
      <c r="B105" s="26" t="s">
        <v>224</v>
      </c>
      <c r="C105" s="52"/>
      <c r="D105" s="55">
        <f t="shared" si="1"/>
        <v>0</v>
      </c>
      <c r="E105" s="63" t="str">
        <f>HYPERLINK("https://www.sds-group.ru/product/vyklyuchatel-round-1-kl-vozvratnyy-10a-s-u-titan-kranz-KR-78-0712-2/", "Инфо")</f>
        <v>Инфо</v>
      </c>
      <c r="F105" s="16" t="s">
        <v>39</v>
      </c>
      <c r="G105" s="15"/>
      <c r="H105" s="15"/>
      <c r="I105" s="15"/>
      <c r="J105" s="17">
        <v>359</v>
      </c>
      <c r="K105" s="15"/>
      <c r="L105" s="17">
        <v>1</v>
      </c>
      <c r="M105" s="17">
        <v>100</v>
      </c>
      <c r="N105" s="17">
        <v>1</v>
      </c>
      <c r="O105" s="18">
        <v>1436.08</v>
      </c>
      <c r="P105" s="18">
        <v>1177.1099999999999</v>
      </c>
      <c r="Q105" s="18">
        <v>1436.08</v>
      </c>
      <c r="R105" s="18">
        <v>1177.1099999999999</v>
      </c>
      <c r="S105" s="18">
        <v>1148.8599999999999</v>
      </c>
      <c r="T105" s="18">
        <v>941.69</v>
      </c>
      <c r="U105" s="16"/>
      <c r="V105" s="16"/>
      <c r="W105" s="16" t="s">
        <v>40</v>
      </c>
      <c r="X105" s="19">
        <v>0.152</v>
      </c>
      <c r="Y105" s="20">
        <v>5.2400000000000005E-4</v>
      </c>
      <c r="Z105" s="21">
        <v>4601004324015</v>
      </c>
    </row>
    <row r="106" spans="1:26" ht="12" customHeight="1" outlineLevel="4" x14ac:dyDescent="0.2">
      <c r="A106" s="40" t="s">
        <v>225</v>
      </c>
      <c r="B106" s="75" t="s">
        <v>226</v>
      </c>
      <c r="C106" s="51"/>
      <c r="D106" s="54">
        <f t="shared" si="1"/>
        <v>0</v>
      </c>
      <c r="E106" s="61" t="str">
        <f>HYPERLINK("https://www.sds-group.ru/product/vyklyuchatel-round-1-kl-vozvratnyy-10a-s-u-shelk-kranz-KR-78-0712-7/", "Инфо")</f>
        <v>Инфо</v>
      </c>
      <c r="F106" s="42" t="s">
        <v>39</v>
      </c>
      <c r="G106" s="41" t="s">
        <v>40</v>
      </c>
      <c r="H106" s="41"/>
      <c r="I106" s="41"/>
      <c r="J106" s="43">
        <v>217</v>
      </c>
      <c r="K106" s="41" t="s">
        <v>210</v>
      </c>
      <c r="L106" s="43">
        <v>1</v>
      </c>
      <c r="M106" s="43">
        <v>100</v>
      </c>
      <c r="N106" s="43">
        <v>1</v>
      </c>
      <c r="O106" s="44">
        <v>1436.08</v>
      </c>
      <c r="P106" s="44">
        <v>1177.1099999999999</v>
      </c>
      <c r="Q106" s="44">
        <v>1436.08</v>
      </c>
      <c r="R106" s="44">
        <v>1177.1099999999999</v>
      </c>
      <c r="S106" s="44">
        <v>1148.8599999999999</v>
      </c>
      <c r="T106" s="44">
        <v>941.69</v>
      </c>
      <c r="U106" s="42"/>
      <c r="V106" s="42"/>
      <c r="W106" s="42" t="s">
        <v>40</v>
      </c>
      <c r="X106" s="45">
        <v>0.152</v>
      </c>
      <c r="Y106" s="46">
        <v>5.1599999999999997E-4</v>
      </c>
      <c r="Z106" s="21">
        <v>4601004345560</v>
      </c>
    </row>
    <row r="107" spans="1:26" ht="12" customHeight="1" outlineLevel="4" x14ac:dyDescent="0.2">
      <c r="A107" s="14" t="s">
        <v>227</v>
      </c>
      <c r="B107" s="26" t="s">
        <v>228</v>
      </c>
      <c r="C107" s="52"/>
      <c r="D107" s="55">
        <f t="shared" si="1"/>
        <v>0</v>
      </c>
      <c r="E107" s="63" t="str">
        <f>HYPERLINK("https://www.sds-group.ru/product/vyklyuchatel-round-1-kl-perekrestnyy-pereklyuchatel-10a-s-u-oniks-kranz-KR-78-0710-3/", "Инфо")</f>
        <v>Инфо</v>
      </c>
      <c r="F107" s="16" t="s">
        <v>39</v>
      </c>
      <c r="G107" s="15"/>
      <c r="H107" s="15"/>
      <c r="I107" s="15"/>
      <c r="J107" s="17">
        <v>302</v>
      </c>
      <c r="K107" s="15"/>
      <c r="L107" s="17">
        <v>1</v>
      </c>
      <c r="M107" s="17">
        <v>100</v>
      </c>
      <c r="N107" s="17">
        <v>1</v>
      </c>
      <c r="O107" s="18">
        <v>1803.23</v>
      </c>
      <c r="P107" s="18">
        <v>1478.06</v>
      </c>
      <c r="Q107" s="18">
        <v>1803.23</v>
      </c>
      <c r="R107" s="18">
        <v>1478.06</v>
      </c>
      <c r="S107" s="18">
        <v>1442.58</v>
      </c>
      <c r="T107" s="18">
        <v>1182.44</v>
      </c>
      <c r="U107" s="16"/>
      <c r="V107" s="16"/>
      <c r="W107" s="16" t="s">
        <v>40</v>
      </c>
      <c r="X107" s="19">
        <v>0.16300000000000001</v>
      </c>
      <c r="Y107" s="20">
        <v>5.2300000000000003E-4</v>
      </c>
      <c r="Z107" s="21">
        <v>4601004323933</v>
      </c>
    </row>
    <row r="108" spans="1:26" ht="12" customHeight="1" outlineLevel="4" x14ac:dyDescent="0.2">
      <c r="A108" s="14" t="s">
        <v>229</v>
      </c>
      <c r="B108" s="26" t="s">
        <v>230</v>
      </c>
      <c r="C108" s="52"/>
      <c r="D108" s="55">
        <f t="shared" si="1"/>
        <v>0</v>
      </c>
      <c r="E108" s="63" t="str">
        <f>HYPERLINK("https://www.sds-group.ru/product/vyklyuchatel-round-1-kl-perekrestnyy-pereklyuchatel-10a-s-u-perlamutr-kranz-KR-78-0710-1/", "Инфо")</f>
        <v>Инфо</v>
      </c>
      <c r="F108" s="16" t="s">
        <v>39</v>
      </c>
      <c r="G108" s="15"/>
      <c r="H108" s="15"/>
      <c r="I108" s="15"/>
      <c r="J108" s="17">
        <v>479</v>
      </c>
      <c r="K108" s="15" t="s">
        <v>210</v>
      </c>
      <c r="L108" s="17">
        <v>1</v>
      </c>
      <c r="M108" s="17">
        <v>100</v>
      </c>
      <c r="N108" s="17">
        <v>1</v>
      </c>
      <c r="O108" s="18">
        <v>1495.93</v>
      </c>
      <c r="P108" s="18">
        <v>1226.17</v>
      </c>
      <c r="Q108" s="18">
        <v>1495.93</v>
      </c>
      <c r="R108" s="18">
        <v>1226.17</v>
      </c>
      <c r="S108" s="18">
        <v>1196.74</v>
      </c>
      <c r="T108" s="18">
        <v>980.93</v>
      </c>
      <c r="U108" s="16"/>
      <c r="V108" s="16"/>
      <c r="W108" s="16" t="s">
        <v>40</v>
      </c>
      <c r="X108" s="19">
        <v>0.16300000000000001</v>
      </c>
      <c r="Y108" s="20">
        <v>5.2300000000000003E-4</v>
      </c>
      <c r="Z108" s="21">
        <v>4601004323919</v>
      </c>
    </row>
    <row r="109" spans="1:26" ht="12" customHeight="1" outlineLevel="4" x14ac:dyDescent="0.2">
      <c r="A109" s="14" t="s">
        <v>231</v>
      </c>
      <c r="B109" s="26" t="s">
        <v>232</v>
      </c>
      <c r="C109" s="52"/>
      <c r="D109" s="55">
        <f t="shared" si="1"/>
        <v>0</v>
      </c>
      <c r="E109" s="63" t="str">
        <f>HYPERLINK("https://www.sds-group.ru/product/vyklyuchatel-round-1-kl-perekrestnyy-pereklyuchatel-10a-s-u-titan-kranz-KR-78-0710-2/", "Инфо")</f>
        <v>Инфо</v>
      </c>
      <c r="F109" s="16" t="s">
        <v>39</v>
      </c>
      <c r="G109" s="15"/>
      <c r="H109" s="15"/>
      <c r="I109" s="15"/>
      <c r="J109" s="22">
        <v>1083</v>
      </c>
      <c r="K109" s="15"/>
      <c r="L109" s="17">
        <v>1</v>
      </c>
      <c r="M109" s="17">
        <v>100</v>
      </c>
      <c r="N109" s="17">
        <v>1</v>
      </c>
      <c r="O109" s="18">
        <v>1772.01</v>
      </c>
      <c r="P109" s="18">
        <v>1452.47</v>
      </c>
      <c r="Q109" s="18">
        <v>1772.01</v>
      </c>
      <c r="R109" s="18">
        <v>1452.47</v>
      </c>
      <c r="S109" s="18">
        <v>1417.61</v>
      </c>
      <c r="T109" s="18">
        <v>1161.98</v>
      </c>
      <c r="U109" s="16"/>
      <c r="V109" s="16"/>
      <c r="W109" s="16" t="s">
        <v>40</v>
      </c>
      <c r="X109" s="19">
        <v>0.16300000000000001</v>
      </c>
      <c r="Y109" s="20">
        <v>5.2700000000000002E-4</v>
      </c>
      <c r="Z109" s="21">
        <v>4601004323926</v>
      </c>
    </row>
    <row r="110" spans="1:26" ht="12" customHeight="1" outlineLevel="4" x14ac:dyDescent="0.2">
      <c r="A110" s="40" t="s">
        <v>233</v>
      </c>
      <c r="B110" s="75" t="s">
        <v>234</v>
      </c>
      <c r="C110" s="51"/>
      <c r="D110" s="54">
        <f t="shared" si="1"/>
        <v>0</v>
      </c>
      <c r="E110" s="61" t="str">
        <f>HYPERLINK("https://www.sds-group.ru/product/vyklyuchatel-round-1-kl-perekrestnyy-pereklyuchatel-10a-s-u-shelk-kranz-KR-78-0710-7/", "Инфо")</f>
        <v>Инфо</v>
      </c>
      <c r="F110" s="42" t="s">
        <v>39</v>
      </c>
      <c r="G110" s="41" t="s">
        <v>40</v>
      </c>
      <c r="H110" s="41"/>
      <c r="I110" s="41"/>
      <c r="J110" s="43">
        <v>29</v>
      </c>
      <c r="K110" s="41" t="s">
        <v>210</v>
      </c>
      <c r="L110" s="43">
        <v>1</v>
      </c>
      <c r="M110" s="43">
        <v>100</v>
      </c>
      <c r="N110" s="43">
        <v>1</v>
      </c>
      <c r="O110" s="44">
        <v>1772.01</v>
      </c>
      <c r="P110" s="44">
        <v>1452.47</v>
      </c>
      <c r="Q110" s="44">
        <v>1772.01</v>
      </c>
      <c r="R110" s="44">
        <v>1452.47</v>
      </c>
      <c r="S110" s="44">
        <v>1417.61</v>
      </c>
      <c r="T110" s="44">
        <v>1161.98</v>
      </c>
      <c r="U110" s="42"/>
      <c r="V110" s="42"/>
      <c r="W110" s="42" t="s">
        <v>40</v>
      </c>
      <c r="X110" s="45">
        <v>0.151</v>
      </c>
      <c r="Y110" s="46">
        <v>5.4299999999999997E-4</v>
      </c>
      <c r="Z110" s="21">
        <v>4601004345522</v>
      </c>
    </row>
    <row r="111" spans="1:26" ht="12" customHeight="1" outlineLevel="4" x14ac:dyDescent="0.2">
      <c r="A111" s="14" t="s">
        <v>235</v>
      </c>
      <c r="B111" s="26" t="s">
        <v>236</v>
      </c>
      <c r="C111" s="52"/>
      <c r="D111" s="55">
        <f t="shared" si="1"/>
        <v>0</v>
      </c>
      <c r="E111" s="63" t="str">
        <f>HYPERLINK("https://www.sds-group.ru/product/vyklyuchatel-round-1-kl-perekrestnyy-pereklyuchatel-s-podsvetkoy-10a-s-u-oniks-kranz-KR-78-0718-3/", "Инфо")</f>
        <v>Инфо</v>
      </c>
      <c r="F111" s="16" t="s">
        <v>39</v>
      </c>
      <c r="G111" s="15"/>
      <c r="H111" s="15"/>
      <c r="I111" s="15"/>
      <c r="J111" s="17">
        <v>535</v>
      </c>
      <c r="K111" s="15"/>
      <c r="L111" s="17">
        <v>1</v>
      </c>
      <c r="M111" s="17">
        <v>100</v>
      </c>
      <c r="N111" s="17">
        <v>1</v>
      </c>
      <c r="O111" s="18">
        <v>2186.88</v>
      </c>
      <c r="P111" s="18">
        <v>1792.52</v>
      </c>
      <c r="Q111" s="18">
        <v>2186.88</v>
      </c>
      <c r="R111" s="18">
        <v>1792.52</v>
      </c>
      <c r="S111" s="18">
        <v>1749.5</v>
      </c>
      <c r="T111" s="18">
        <v>1434.02</v>
      </c>
      <c r="U111" s="16"/>
      <c r="V111" s="16"/>
      <c r="W111" s="16" t="s">
        <v>40</v>
      </c>
      <c r="X111" s="19">
        <v>0.16300000000000001</v>
      </c>
      <c r="Y111" s="20">
        <v>5.2499999999999997E-4</v>
      </c>
      <c r="Z111" s="21">
        <v>4601004324411</v>
      </c>
    </row>
    <row r="112" spans="1:26" ht="12" customHeight="1" outlineLevel="4" x14ac:dyDescent="0.2">
      <c r="A112" s="14" t="s">
        <v>237</v>
      </c>
      <c r="B112" s="26" t="s">
        <v>238</v>
      </c>
      <c r="C112" s="52"/>
      <c r="D112" s="55">
        <f t="shared" si="1"/>
        <v>0</v>
      </c>
      <c r="E112" s="63" t="str">
        <f>HYPERLINK("https://www.sds-group.ru/product/vyklyuchatel-round-1-kl-perekrestnyy-pereklyuchatel-s-podsvetkoy-10a-s-u-perlamutr-kran-KR-78-0718-1/", "Инфо")</f>
        <v>Инфо</v>
      </c>
      <c r="F112" s="16" t="s">
        <v>39</v>
      </c>
      <c r="G112" s="15"/>
      <c r="H112" s="15"/>
      <c r="I112" s="15"/>
      <c r="J112" s="17">
        <v>400</v>
      </c>
      <c r="K112" s="15"/>
      <c r="L112" s="17">
        <v>1</v>
      </c>
      <c r="M112" s="17">
        <v>100</v>
      </c>
      <c r="N112" s="17">
        <v>1</v>
      </c>
      <c r="O112" s="18">
        <v>1822.39</v>
      </c>
      <c r="P112" s="18">
        <v>1493.76</v>
      </c>
      <c r="Q112" s="18">
        <v>1822.39</v>
      </c>
      <c r="R112" s="18">
        <v>1493.76</v>
      </c>
      <c r="S112" s="18">
        <v>1457.91</v>
      </c>
      <c r="T112" s="18">
        <v>1195.01</v>
      </c>
      <c r="U112" s="16"/>
      <c r="V112" s="16"/>
      <c r="W112" s="16" t="s">
        <v>40</v>
      </c>
      <c r="X112" s="19">
        <v>0.16300000000000001</v>
      </c>
      <c r="Y112" s="20">
        <v>5.1699999999999999E-4</v>
      </c>
      <c r="Z112" s="21">
        <v>4601004324367</v>
      </c>
    </row>
    <row r="113" spans="1:26" ht="12" customHeight="1" outlineLevel="4" x14ac:dyDescent="0.2">
      <c r="A113" s="14" t="s">
        <v>239</v>
      </c>
      <c r="B113" s="26" t="s">
        <v>240</v>
      </c>
      <c r="C113" s="52"/>
      <c r="D113" s="55">
        <f t="shared" si="1"/>
        <v>0</v>
      </c>
      <c r="E113" s="63" t="str">
        <f>HYPERLINK("https://www.sds-group.ru/product/vyklyuchatel-round-1-kl-perekrestnyy-pereklyuchatel-s-podsvetkoy-10a-s-u-titan-kranz-KR-78-0718-2/", "Инфо")</f>
        <v>Инфо</v>
      </c>
      <c r="F113" s="16" t="s">
        <v>39</v>
      </c>
      <c r="G113" s="15"/>
      <c r="H113" s="15"/>
      <c r="I113" s="15"/>
      <c r="J113" s="22">
        <v>1273</v>
      </c>
      <c r="K113" s="15"/>
      <c r="L113" s="17">
        <v>1</v>
      </c>
      <c r="M113" s="17">
        <v>100</v>
      </c>
      <c r="N113" s="17">
        <v>1</v>
      </c>
      <c r="O113" s="18">
        <v>2163.3200000000002</v>
      </c>
      <c r="P113" s="18">
        <v>1773.21</v>
      </c>
      <c r="Q113" s="18">
        <v>2163.3200000000002</v>
      </c>
      <c r="R113" s="18">
        <v>1773.21</v>
      </c>
      <c r="S113" s="18">
        <v>1730.66</v>
      </c>
      <c r="T113" s="18">
        <v>1418.57</v>
      </c>
      <c r="U113" s="16"/>
      <c r="V113" s="16"/>
      <c r="W113" s="16" t="s">
        <v>40</v>
      </c>
      <c r="X113" s="19">
        <v>0.16300000000000001</v>
      </c>
      <c r="Y113" s="20">
        <v>5.3600000000000002E-4</v>
      </c>
      <c r="Z113" s="21">
        <v>4601004324343</v>
      </c>
    </row>
    <row r="114" spans="1:26" ht="12" customHeight="1" outlineLevel="4" x14ac:dyDescent="0.2">
      <c r="A114" s="14" t="s">
        <v>241</v>
      </c>
      <c r="B114" s="26" t="s">
        <v>242</v>
      </c>
      <c r="C114" s="52"/>
      <c r="D114" s="55">
        <f t="shared" si="1"/>
        <v>0</v>
      </c>
      <c r="E114" s="63" t="str">
        <f>HYPERLINK("https://www.sds-group.ru/product/vyklyuchatel-round-1-kl-prohodnoy-pereklyuchatel-10a-s-u-oniks-kranz-KR-78-0708-3/", "Инфо")</f>
        <v>Инфо</v>
      </c>
      <c r="F114" s="16" t="s">
        <v>39</v>
      </c>
      <c r="G114" s="15"/>
      <c r="H114" s="15"/>
      <c r="I114" s="15"/>
      <c r="J114" s="17">
        <v>470</v>
      </c>
      <c r="K114" s="15"/>
      <c r="L114" s="17">
        <v>1</v>
      </c>
      <c r="M114" s="17">
        <v>100</v>
      </c>
      <c r="N114" s="17">
        <v>1</v>
      </c>
      <c r="O114" s="18">
        <v>1273.6199999999999</v>
      </c>
      <c r="P114" s="18">
        <v>1043.95</v>
      </c>
      <c r="Q114" s="18">
        <v>1273.6199999999999</v>
      </c>
      <c r="R114" s="18">
        <v>1043.95</v>
      </c>
      <c r="S114" s="18">
        <v>1018.9</v>
      </c>
      <c r="T114" s="18">
        <v>835.16</v>
      </c>
      <c r="U114" s="16"/>
      <c r="V114" s="16"/>
      <c r="W114" s="16" t="s">
        <v>40</v>
      </c>
      <c r="X114" s="19">
        <v>0.154</v>
      </c>
      <c r="Y114" s="20">
        <v>5.3799999999999996E-4</v>
      </c>
      <c r="Z114" s="21">
        <v>4601004323766</v>
      </c>
    </row>
    <row r="115" spans="1:26" ht="12" customHeight="1" outlineLevel="4" x14ac:dyDescent="0.2">
      <c r="A115" s="14" t="s">
        <v>243</v>
      </c>
      <c r="B115" s="26" t="s">
        <v>244</v>
      </c>
      <c r="C115" s="52"/>
      <c r="D115" s="55">
        <f t="shared" si="1"/>
        <v>0</v>
      </c>
      <c r="E115" s="63" t="str">
        <f>HYPERLINK("https://www.sds-group.ru/product/vyklyuchatel-round-1-kl-prohodnoy-pereklyuchatel-10a-s-u-perlamutr-kranz-KR-78-0708-1/", "Инфо")</f>
        <v>Инфо</v>
      </c>
      <c r="F115" s="16" t="s">
        <v>39</v>
      </c>
      <c r="G115" s="15"/>
      <c r="H115" s="15"/>
      <c r="I115" s="15"/>
      <c r="J115" s="17">
        <v>599</v>
      </c>
      <c r="K115" s="15" t="s">
        <v>210</v>
      </c>
      <c r="L115" s="17">
        <v>1</v>
      </c>
      <c r="M115" s="17">
        <v>100</v>
      </c>
      <c r="N115" s="17">
        <v>1</v>
      </c>
      <c r="O115" s="18">
        <v>1047.1400000000001</v>
      </c>
      <c r="P115" s="18">
        <v>858.31</v>
      </c>
      <c r="Q115" s="18">
        <v>1047.1400000000001</v>
      </c>
      <c r="R115" s="18">
        <v>858.31</v>
      </c>
      <c r="S115" s="18">
        <v>837.71</v>
      </c>
      <c r="T115" s="18">
        <v>686.65</v>
      </c>
      <c r="U115" s="16"/>
      <c r="V115" s="16"/>
      <c r="W115" s="16" t="s">
        <v>40</v>
      </c>
      <c r="X115" s="19">
        <v>0.154</v>
      </c>
      <c r="Y115" s="20">
        <v>5.22E-4</v>
      </c>
      <c r="Z115" s="21">
        <v>4601004323667</v>
      </c>
    </row>
    <row r="116" spans="1:26" ht="12" customHeight="1" outlineLevel="4" x14ac:dyDescent="0.2">
      <c r="A116" s="14" t="s">
        <v>245</v>
      </c>
      <c r="B116" s="26" t="s">
        <v>246</v>
      </c>
      <c r="C116" s="52"/>
      <c r="D116" s="55">
        <f t="shared" si="1"/>
        <v>0</v>
      </c>
      <c r="E116" s="63" t="str">
        <f>HYPERLINK("https://www.sds-group.ru/product/vyklyuchatel-round-1-kl-prohodnoy-pereklyuchatel-10a-s-u-titan-kranz-KR-78-0708-2/", "Инфо")</f>
        <v>Инфо</v>
      </c>
      <c r="F116" s="16" t="s">
        <v>39</v>
      </c>
      <c r="G116" s="15"/>
      <c r="H116" s="15"/>
      <c r="I116" s="15"/>
      <c r="J116" s="17">
        <v>865</v>
      </c>
      <c r="K116" s="15"/>
      <c r="L116" s="17">
        <v>1</v>
      </c>
      <c r="M116" s="17">
        <v>100</v>
      </c>
      <c r="N116" s="17">
        <v>1</v>
      </c>
      <c r="O116" s="18">
        <v>1240.4000000000001</v>
      </c>
      <c r="P116" s="18">
        <v>1016.72</v>
      </c>
      <c r="Q116" s="18">
        <v>1240.4000000000001</v>
      </c>
      <c r="R116" s="18">
        <v>1016.72</v>
      </c>
      <c r="S116" s="18">
        <v>992.32</v>
      </c>
      <c r="T116" s="18">
        <v>813.38</v>
      </c>
      <c r="U116" s="16"/>
      <c r="V116" s="16"/>
      <c r="W116" s="16" t="s">
        <v>40</v>
      </c>
      <c r="X116" s="19">
        <v>0.154</v>
      </c>
      <c r="Y116" s="20">
        <v>5.2499999999999997E-4</v>
      </c>
      <c r="Z116" s="21">
        <v>4601004323643</v>
      </c>
    </row>
    <row r="117" spans="1:26" ht="12" customHeight="1" outlineLevel="4" x14ac:dyDescent="0.2">
      <c r="A117" s="40" t="s">
        <v>247</v>
      </c>
      <c r="B117" s="75" t="s">
        <v>248</v>
      </c>
      <c r="C117" s="51"/>
      <c r="D117" s="54">
        <f t="shared" si="1"/>
        <v>0</v>
      </c>
      <c r="E117" s="61" t="str">
        <f>HYPERLINK("https://www.sds-group.ru/product/vyklyuchatel-round-1-kl-prohodnoy-pereklyuchatel-10a-s-u-shelk-kranz-KR-78-0708-7/", "Инфо")</f>
        <v>Инфо</v>
      </c>
      <c r="F117" s="42" t="s">
        <v>39</v>
      </c>
      <c r="G117" s="41" t="s">
        <v>40</v>
      </c>
      <c r="H117" s="41"/>
      <c r="I117" s="41"/>
      <c r="J117" s="43">
        <v>62</v>
      </c>
      <c r="K117" s="41" t="s">
        <v>210</v>
      </c>
      <c r="L117" s="43">
        <v>1</v>
      </c>
      <c r="M117" s="43">
        <v>100</v>
      </c>
      <c r="N117" s="43">
        <v>1</v>
      </c>
      <c r="O117" s="44">
        <v>1240.4000000000001</v>
      </c>
      <c r="P117" s="44">
        <v>1016.72</v>
      </c>
      <c r="Q117" s="44">
        <v>1240.4000000000001</v>
      </c>
      <c r="R117" s="44">
        <v>1016.72</v>
      </c>
      <c r="S117" s="44">
        <v>992.32</v>
      </c>
      <c r="T117" s="44">
        <v>813.38</v>
      </c>
      <c r="U117" s="42"/>
      <c r="V117" s="42"/>
      <c r="W117" s="42" t="s">
        <v>40</v>
      </c>
      <c r="X117" s="45">
        <v>0.154</v>
      </c>
      <c r="Y117" s="46">
        <v>5.2899999999999996E-4</v>
      </c>
      <c r="Z117" s="21">
        <v>4601004345485</v>
      </c>
    </row>
    <row r="118" spans="1:26" ht="12" customHeight="1" outlineLevel="4" x14ac:dyDescent="0.2">
      <c r="A118" s="14" t="s">
        <v>249</v>
      </c>
      <c r="B118" s="26" t="s">
        <v>250</v>
      </c>
      <c r="C118" s="52"/>
      <c r="D118" s="55">
        <f t="shared" si="1"/>
        <v>0</v>
      </c>
      <c r="E118" s="63" t="str">
        <f>HYPERLINK("https://www.sds-group.ru/product/vyklyuchatel-round-1-kl-prohodnoy-pereklyuchatel-s-podsvetkoy-10a-s-u-oniks-kranz-KR-78-0716-3/", "Инфо")</f>
        <v>Инфо</v>
      </c>
      <c r="F118" s="16" t="s">
        <v>39</v>
      </c>
      <c r="G118" s="15"/>
      <c r="H118" s="15"/>
      <c r="I118" s="15"/>
      <c r="J118" s="17">
        <v>195</v>
      </c>
      <c r="K118" s="15" t="s">
        <v>210</v>
      </c>
      <c r="L118" s="17">
        <v>1</v>
      </c>
      <c r="M118" s="17">
        <v>100</v>
      </c>
      <c r="N118" s="17">
        <v>1</v>
      </c>
      <c r="O118" s="18">
        <v>1364.61</v>
      </c>
      <c r="P118" s="18">
        <v>1118.53</v>
      </c>
      <c r="Q118" s="18">
        <v>1364.61</v>
      </c>
      <c r="R118" s="18">
        <v>1118.53</v>
      </c>
      <c r="S118" s="18">
        <v>1091.69</v>
      </c>
      <c r="T118" s="18">
        <v>894.83</v>
      </c>
      <c r="U118" s="16"/>
      <c r="V118" s="16"/>
      <c r="W118" s="16" t="s">
        <v>40</v>
      </c>
      <c r="X118" s="19">
        <v>0.152</v>
      </c>
      <c r="Y118" s="20">
        <v>5.3600000000000002E-4</v>
      </c>
      <c r="Z118" s="21">
        <v>4601004324114</v>
      </c>
    </row>
    <row r="119" spans="1:26" ht="12" customHeight="1" outlineLevel="4" x14ac:dyDescent="0.2">
      <c r="A119" s="14" t="s">
        <v>251</v>
      </c>
      <c r="B119" s="26" t="s">
        <v>252</v>
      </c>
      <c r="C119" s="52"/>
      <c r="D119" s="55">
        <f t="shared" si="1"/>
        <v>0</v>
      </c>
      <c r="E119" s="63" t="str">
        <f>HYPERLINK("https://www.sds-group.ru/product/vyklyuchatel-round-1-kl-prohodnoy-pereklyuchatel-s-podsvetkoy-10a-s-u-perlamutr-kranz-KR-78-0716-1/", "Инфо")</f>
        <v>Инфо</v>
      </c>
      <c r="F119" s="16" t="s">
        <v>39</v>
      </c>
      <c r="G119" s="15"/>
      <c r="H119" s="15"/>
      <c r="I119" s="15"/>
      <c r="J119" s="17">
        <v>175</v>
      </c>
      <c r="K119" s="15" t="s">
        <v>210</v>
      </c>
      <c r="L119" s="17">
        <v>1</v>
      </c>
      <c r="M119" s="17">
        <v>100</v>
      </c>
      <c r="N119" s="17">
        <v>1</v>
      </c>
      <c r="O119" s="18">
        <v>1121.95</v>
      </c>
      <c r="P119" s="18">
        <v>919.63</v>
      </c>
      <c r="Q119" s="18">
        <v>1121.95</v>
      </c>
      <c r="R119" s="18">
        <v>919.63</v>
      </c>
      <c r="S119" s="18">
        <v>897.56</v>
      </c>
      <c r="T119" s="18">
        <v>735.7</v>
      </c>
      <c r="U119" s="16"/>
      <c r="V119" s="16"/>
      <c r="W119" s="16" t="s">
        <v>40</v>
      </c>
      <c r="X119" s="19">
        <v>0.153</v>
      </c>
      <c r="Y119" s="20">
        <v>5.22E-4</v>
      </c>
      <c r="Z119" s="21">
        <v>4601004324152</v>
      </c>
    </row>
    <row r="120" spans="1:26" ht="12" customHeight="1" outlineLevel="4" x14ac:dyDescent="0.2">
      <c r="A120" s="14" t="s">
        <v>253</v>
      </c>
      <c r="B120" s="26" t="s">
        <v>254</v>
      </c>
      <c r="C120" s="52"/>
      <c r="D120" s="55">
        <f t="shared" si="1"/>
        <v>0</v>
      </c>
      <c r="E120" s="63" t="str">
        <f>HYPERLINK("https://www.sds-group.ru/product/vyklyuchatel-round-1-kl-prohodnoy-pereklyuchatel-s-podsvetkoy-10a-s-u-titan-kranz-KR-78-0716-2/", "Инфо")</f>
        <v>Инфо</v>
      </c>
      <c r="F120" s="16" t="s">
        <v>39</v>
      </c>
      <c r="G120" s="15"/>
      <c r="H120" s="15"/>
      <c r="I120" s="15"/>
      <c r="J120" s="17">
        <v>639</v>
      </c>
      <c r="K120" s="15"/>
      <c r="L120" s="17">
        <v>1</v>
      </c>
      <c r="M120" s="17">
        <v>100</v>
      </c>
      <c r="N120" s="17">
        <v>1</v>
      </c>
      <c r="O120" s="18">
        <v>1352.43</v>
      </c>
      <c r="P120" s="18">
        <v>1108.55</v>
      </c>
      <c r="Q120" s="18">
        <v>1352.43</v>
      </c>
      <c r="R120" s="18">
        <v>1108.55</v>
      </c>
      <c r="S120" s="18">
        <v>1081.94</v>
      </c>
      <c r="T120" s="18">
        <v>886.84</v>
      </c>
      <c r="U120" s="16"/>
      <c r="V120" s="16"/>
      <c r="W120" s="16" t="s">
        <v>40</v>
      </c>
      <c r="X120" s="19">
        <v>0.153</v>
      </c>
      <c r="Y120" s="20">
        <v>5.2400000000000005E-4</v>
      </c>
      <c r="Z120" s="21">
        <v>4601004324206</v>
      </c>
    </row>
    <row r="121" spans="1:26" ht="12" customHeight="1" outlineLevel="4" x14ac:dyDescent="0.2">
      <c r="A121" s="40" t="s">
        <v>255</v>
      </c>
      <c r="B121" s="75" t="s">
        <v>256</v>
      </c>
      <c r="C121" s="51"/>
      <c r="D121" s="54">
        <f t="shared" si="1"/>
        <v>0</v>
      </c>
      <c r="E121" s="61" t="str">
        <f>HYPERLINK("https://www.sds-group.ru/product/vyklyuchatel-round-1-kl-prohodnoy-pereklyuchatel-s-podsvetkoy-10a-s-u-shelk-kranz-KR-78-0716-7/", "Инфо")</f>
        <v>Инфо</v>
      </c>
      <c r="F121" s="42" t="s">
        <v>39</v>
      </c>
      <c r="G121" s="41" t="s">
        <v>40</v>
      </c>
      <c r="H121" s="41"/>
      <c r="I121" s="41"/>
      <c r="J121" s="43">
        <v>65</v>
      </c>
      <c r="K121" s="41" t="s">
        <v>210</v>
      </c>
      <c r="L121" s="43">
        <v>1</v>
      </c>
      <c r="M121" s="43">
        <v>100</v>
      </c>
      <c r="N121" s="43">
        <v>1</v>
      </c>
      <c r="O121" s="44">
        <v>1352.43</v>
      </c>
      <c r="P121" s="44">
        <v>1108.55</v>
      </c>
      <c r="Q121" s="44">
        <v>1352.43</v>
      </c>
      <c r="R121" s="44">
        <v>1108.55</v>
      </c>
      <c r="S121" s="44">
        <v>1081.94</v>
      </c>
      <c r="T121" s="44">
        <v>886.84</v>
      </c>
      <c r="U121" s="42"/>
      <c r="V121" s="42"/>
      <c r="W121" s="42" t="s">
        <v>40</v>
      </c>
      <c r="X121" s="45">
        <v>0.153</v>
      </c>
      <c r="Y121" s="46">
        <v>5.3499999999999999E-4</v>
      </c>
      <c r="Z121" s="21">
        <v>4601004345645</v>
      </c>
    </row>
    <row r="122" spans="1:26" ht="12" customHeight="1" outlineLevel="4" x14ac:dyDescent="0.2">
      <c r="A122" s="14" t="s">
        <v>257</v>
      </c>
      <c r="B122" s="26" t="s">
        <v>258</v>
      </c>
      <c r="C122" s="52"/>
      <c r="D122" s="55">
        <f t="shared" si="1"/>
        <v>0</v>
      </c>
      <c r="E122" s="63" t="str">
        <f>HYPERLINK("https://www.sds-group.ru/product/vyklyuchatel-round-1-kl-s-podsvetkoy-10a-s-u-oniks-kranz-KR-78-0713-3/", "Инфо")</f>
        <v>Инфо</v>
      </c>
      <c r="F122" s="16" t="s">
        <v>39</v>
      </c>
      <c r="G122" s="15"/>
      <c r="H122" s="15"/>
      <c r="I122" s="15"/>
      <c r="J122" s="17">
        <v>857</v>
      </c>
      <c r="K122" s="15" t="s">
        <v>210</v>
      </c>
      <c r="L122" s="17">
        <v>1</v>
      </c>
      <c r="M122" s="17">
        <v>100</v>
      </c>
      <c r="N122" s="17">
        <v>1</v>
      </c>
      <c r="O122" s="18">
        <v>1182.6600000000001</v>
      </c>
      <c r="P122" s="18">
        <v>969.39</v>
      </c>
      <c r="Q122" s="18">
        <v>1182.6600000000001</v>
      </c>
      <c r="R122" s="18">
        <v>969.39</v>
      </c>
      <c r="S122" s="18">
        <v>946.13</v>
      </c>
      <c r="T122" s="18">
        <v>775.52</v>
      </c>
      <c r="U122" s="16"/>
      <c r="V122" s="16"/>
      <c r="W122" s="16" t="s">
        <v>40</v>
      </c>
      <c r="X122" s="19">
        <v>0.15</v>
      </c>
      <c r="Y122" s="20">
        <v>5.3700000000000004E-4</v>
      </c>
      <c r="Z122" s="21">
        <v>4601004323940</v>
      </c>
    </row>
    <row r="123" spans="1:26" ht="12" customHeight="1" outlineLevel="4" x14ac:dyDescent="0.2">
      <c r="A123" s="14" t="s">
        <v>259</v>
      </c>
      <c r="B123" s="26" t="s">
        <v>260</v>
      </c>
      <c r="C123" s="52"/>
      <c r="D123" s="55">
        <f t="shared" si="1"/>
        <v>0</v>
      </c>
      <c r="E123" s="63" t="str">
        <f>HYPERLINK("https://www.sds-group.ru/product/vyklyuchatel-round-1-kl-s-podsvetkoy-10a-s-u-perlamutr-kranz-KR-78-0713-1/", "Инфо")</f>
        <v>Инфо</v>
      </c>
      <c r="F123" s="16" t="s">
        <v>39</v>
      </c>
      <c r="G123" s="15"/>
      <c r="H123" s="15"/>
      <c r="I123" s="15"/>
      <c r="J123" s="17">
        <v>590</v>
      </c>
      <c r="K123" s="15" t="s">
        <v>210</v>
      </c>
      <c r="L123" s="17">
        <v>1</v>
      </c>
      <c r="M123" s="17">
        <v>100</v>
      </c>
      <c r="N123" s="17">
        <v>1</v>
      </c>
      <c r="O123" s="18">
        <v>985.55</v>
      </c>
      <c r="P123" s="18">
        <v>807.83</v>
      </c>
      <c r="Q123" s="18">
        <v>985.55</v>
      </c>
      <c r="R123" s="18">
        <v>807.83</v>
      </c>
      <c r="S123" s="18">
        <v>788.44</v>
      </c>
      <c r="T123" s="18">
        <v>646.26</v>
      </c>
      <c r="U123" s="16"/>
      <c r="V123" s="16"/>
      <c r="W123" s="16" t="s">
        <v>40</v>
      </c>
      <c r="X123" s="19">
        <v>0.151</v>
      </c>
      <c r="Y123" s="20">
        <v>5.4100000000000003E-4</v>
      </c>
      <c r="Z123" s="21">
        <v>4601004324008</v>
      </c>
    </row>
    <row r="124" spans="1:26" ht="12" customHeight="1" outlineLevel="4" x14ac:dyDescent="0.2">
      <c r="A124" s="14" t="s">
        <v>261</v>
      </c>
      <c r="B124" s="26" t="s">
        <v>262</v>
      </c>
      <c r="C124" s="52"/>
      <c r="D124" s="55">
        <f t="shared" si="1"/>
        <v>0</v>
      </c>
      <c r="E124" s="63" t="str">
        <f>HYPERLINK("https://www.sds-group.ru/product/vyklyuchatel-round-1-kl-s-podsvetkoy-10a-s-u-titan-kranz-KR-78-0713-2/", "Инфо")</f>
        <v>Инфо</v>
      </c>
      <c r="F124" s="16" t="s">
        <v>39</v>
      </c>
      <c r="G124" s="15"/>
      <c r="H124" s="15"/>
      <c r="I124" s="15"/>
      <c r="J124" s="22">
        <v>1025</v>
      </c>
      <c r="K124" s="15"/>
      <c r="L124" s="17">
        <v>1</v>
      </c>
      <c r="M124" s="17">
        <v>100</v>
      </c>
      <c r="N124" s="17">
        <v>1</v>
      </c>
      <c r="O124" s="18">
        <v>1169.99</v>
      </c>
      <c r="P124" s="18">
        <v>959.01</v>
      </c>
      <c r="Q124" s="18">
        <v>1169.99</v>
      </c>
      <c r="R124" s="18">
        <v>959.01</v>
      </c>
      <c r="S124" s="18">
        <v>935.99</v>
      </c>
      <c r="T124" s="18">
        <v>767.2</v>
      </c>
      <c r="U124" s="16"/>
      <c r="V124" s="16"/>
      <c r="W124" s="16" t="s">
        <v>40</v>
      </c>
      <c r="X124" s="19">
        <v>0.151</v>
      </c>
      <c r="Y124" s="20">
        <v>5.3899999999999998E-4</v>
      </c>
      <c r="Z124" s="21">
        <v>4601004323896</v>
      </c>
    </row>
    <row r="125" spans="1:26" ht="12" customHeight="1" outlineLevel="4" x14ac:dyDescent="0.2">
      <c r="A125" s="40" t="s">
        <v>263</v>
      </c>
      <c r="B125" s="75" t="s">
        <v>264</v>
      </c>
      <c r="C125" s="51"/>
      <c r="D125" s="54">
        <f t="shared" si="1"/>
        <v>0</v>
      </c>
      <c r="E125" s="61" t="str">
        <f>HYPERLINK("https://www.sds-group.ru/product/vyklyuchatel-round-1-kl-s-podsvetkoy-10a-s-u-shelk-kranz-KR-78-0713-7/", "Инфо")</f>
        <v>Инфо</v>
      </c>
      <c r="F125" s="42" t="s">
        <v>39</v>
      </c>
      <c r="G125" s="41" t="s">
        <v>40</v>
      </c>
      <c r="H125" s="41"/>
      <c r="I125" s="41"/>
      <c r="J125" s="43">
        <v>429</v>
      </c>
      <c r="K125" s="41" t="s">
        <v>210</v>
      </c>
      <c r="L125" s="43">
        <v>1</v>
      </c>
      <c r="M125" s="43">
        <v>100</v>
      </c>
      <c r="N125" s="43">
        <v>1</v>
      </c>
      <c r="O125" s="44">
        <v>1169.99</v>
      </c>
      <c r="P125" s="44">
        <v>959.01</v>
      </c>
      <c r="Q125" s="44">
        <v>1169.99</v>
      </c>
      <c r="R125" s="44">
        <v>959.01</v>
      </c>
      <c r="S125" s="44">
        <v>935.99</v>
      </c>
      <c r="T125" s="44">
        <v>767.2</v>
      </c>
      <c r="U125" s="42"/>
      <c r="V125" s="42"/>
      <c r="W125" s="42" t="s">
        <v>40</v>
      </c>
      <c r="X125" s="45">
        <v>0.151</v>
      </c>
      <c r="Y125" s="46">
        <v>5.2899999999999996E-4</v>
      </c>
      <c r="Z125" s="21">
        <v>4601004345584</v>
      </c>
    </row>
    <row r="126" spans="1:26" ht="12" customHeight="1" outlineLevel="4" x14ac:dyDescent="0.2">
      <c r="A126" s="14" t="s">
        <v>265</v>
      </c>
      <c r="B126" s="26" t="s">
        <v>266</v>
      </c>
      <c r="C126" s="52"/>
      <c r="D126" s="55">
        <f t="shared" si="1"/>
        <v>0</v>
      </c>
      <c r="E126" s="63" t="str">
        <f>HYPERLINK("https://www.sds-group.ru/product/vyklyuchatel-round-2-kl-10a-s-u-oniks-kranz-KR-78-0706-3/", "Инфо")</f>
        <v>Инфо</v>
      </c>
      <c r="F126" s="16" t="s">
        <v>39</v>
      </c>
      <c r="G126" s="15"/>
      <c r="H126" s="15"/>
      <c r="I126" s="15"/>
      <c r="J126" s="22">
        <v>1178</v>
      </c>
      <c r="K126" s="15" t="s">
        <v>210</v>
      </c>
      <c r="L126" s="17">
        <v>1</v>
      </c>
      <c r="M126" s="17">
        <v>100</v>
      </c>
      <c r="N126" s="17">
        <v>1</v>
      </c>
      <c r="O126" s="18">
        <v>1410.11</v>
      </c>
      <c r="P126" s="18">
        <v>1155.83</v>
      </c>
      <c r="Q126" s="18">
        <v>1410.11</v>
      </c>
      <c r="R126" s="18">
        <v>1155.83</v>
      </c>
      <c r="S126" s="18">
        <v>1128.0899999999999</v>
      </c>
      <c r="T126" s="18">
        <v>924.66</v>
      </c>
      <c r="U126" s="16"/>
      <c r="V126" s="16"/>
      <c r="W126" s="16" t="s">
        <v>40</v>
      </c>
      <c r="X126" s="19">
        <v>0.156</v>
      </c>
      <c r="Y126" s="20">
        <v>5.3300000000000005E-4</v>
      </c>
      <c r="Z126" s="21">
        <v>4601004323575</v>
      </c>
    </row>
    <row r="127" spans="1:26" ht="12" customHeight="1" outlineLevel="4" x14ac:dyDescent="0.2">
      <c r="A127" s="14" t="s">
        <v>267</v>
      </c>
      <c r="B127" s="26" t="s">
        <v>268</v>
      </c>
      <c r="C127" s="52"/>
      <c r="D127" s="55">
        <f t="shared" si="1"/>
        <v>0</v>
      </c>
      <c r="E127" s="63" t="str">
        <f>HYPERLINK("https://www.sds-group.ru/product/vyklyuchatel-round-2-kl-10a-s-u-perlamutr-kranz-KR-78-0706-1/", "Инфо")</f>
        <v>Инфо</v>
      </c>
      <c r="F127" s="16" t="s">
        <v>39</v>
      </c>
      <c r="G127" s="15"/>
      <c r="H127" s="15"/>
      <c r="I127" s="15"/>
      <c r="J127" s="22">
        <v>3202</v>
      </c>
      <c r="K127" s="15" t="s">
        <v>210</v>
      </c>
      <c r="L127" s="17">
        <v>1</v>
      </c>
      <c r="M127" s="17">
        <v>100</v>
      </c>
      <c r="N127" s="17">
        <v>1</v>
      </c>
      <c r="O127" s="18">
        <v>1154.0999999999999</v>
      </c>
      <c r="P127" s="18">
        <v>945.98</v>
      </c>
      <c r="Q127" s="18">
        <v>1154.0999999999999</v>
      </c>
      <c r="R127" s="18">
        <v>945.98</v>
      </c>
      <c r="S127" s="18">
        <v>923.28</v>
      </c>
      <c r="T127" s="18">
        <v>756.79</v>
      </c>
      <c r="U127" s="16"/>
      <c r="V127" s="16"/>
      <c r="W127" s="16" t="s">
        <v>40</v>
      </c>
      <c r="X127" s="19">
        <v>0.156</v>
      </c>
      <c r="Y127" s="20">
        <v>5.3899999999999998E-4</v>
      </c>
      <c r="Z127" s="21">
        <v>4601004323582</v>
      </c>
    </row>
    <row r="128" spans="1:26" ht="12" customHeight="1" outlineLevel="4" x14ac:dyDescent="0.2">
      <c r="A128" s="14" t="s">
        <v>269</v>
      </c>
      <c r="B128" s="26" t="s">
        <v>270</v>
      </c>
      <c r="C128" s="52"/>
      <c r="D128" s="55">
        <f t="shared" si="1"/>
        <v>0</v>
      </c>
      <c r="E128" s="63" t="str">
        <f>HYPERLINK("https://www.sds-group.ru/product/vyklyuchatel-round-2-kl-10a-s-u-titan-kranz-KR-78-0706-2/", "Инфо")</f>
        <v>Инфо</v>
      </c>
      <c r="F128" s="16" t="s">
        <v>39</v>
      </c>
      <c r="G128" s="15"/>
      <c r="H128" s="15"/>
      <c r="I128" s="15"/>
      <c r="J128" s="22">
        <v>1053</v>
      </c>
      <c r="K128" s="15"/>
      <c r="L128" s="17">
        <v>1</v>
      </c>
      <c r="M128" s="17">
        <v>100</v>
      </c>
      <c r="N128" s="17">
        <v>1</v>
      </c>
      <c r="O128" s="18">
        <v>1397.83</v>
      </c>
      <c r="P128" s="18">
        <v>1145.76</v>
      </c>
      <c r="Q128" s="18">
        <v>1397.83</v>
      </c>
      <c r="R128" s="18">
        <v>1145.76</v>
      </c>
      <c r="S128" s="18">
        <v>1118.26</v>
      </c>
      <c r="T128" s="18">
        <v>916.61</v>
      </c>
      <c r="U128" s="16"/>
      <c r="V128" s="16"/>
      <c r="W128" s="16" t="s">
        <v>40</v>
      </c>
      <c r="X128" s="19">
        <v>0.155</v>
      </c>
      <c r="Y128" s="20">
        <v>5.3600000000000002E-4</v>
      </c>
      <c r="Z128" s="21">
        <v>4601004323605</v>
      </c>
    </row>
    <row r="129" spans="1:26" ht="12" customHeight="1" outlineLevel="4" x14ac:dyDescent="0.2">
      <c r="A129" s="40" t="s">
        <v>271</v>
      </c>
      <c r="B129" s="75" t="s">
        <v>272</v>
      </c>
      <c r="C129" s="51"/>
      <c r="D129" s="54">
        <f t="shared" si="1"/>
        <v>0</v>
      </c>
      <c r="E129" s="61" t="str">
        <f>HYPERLINK("https://www.sds-group.ru/product/vyklyuchatel-round-2-kl-10a-s-u-shelk-kranz-KR-78-0706-7/", "Инфо")</f>
        <v>Инфо</v>
      </c>
      <c r="F129" s="42" t="s">
        <v>39</v>
      </c>
      <c r="G129" s="41" t="s">
        <v>40</v>
      </c>
      <c r="H129" s="41"/>
      <c r="I129" s="41"/>
      <c r="J129" s="43">
        <v>110</v>
      </c>
      <c r="K129" s="41" t="s">
        <v>210</v>
      </c>
      <c r="L129" s="43">
        <v>1</v>
      </c>
      <c r="M129" s="43">
        <v>100</v>
      </c>
      <c r="N129" s="43">
        <v>1</v>
      </c>
      <c r="O129" s="44">
        <v>1397.83</v>
      </c>
      <c r="P129" s="44">
        <v>1145.76</v>
      </c>
      <c r="Q129" s="44">
        <v>1397.83</v>
      </c>
      <c r="R129" s="44">
        <v>1145.76</v>
      </c>
      <c r="S129" s="44">
        <v>1118.26</v>
      </c>
      <c r="T129" s="44">
        <v>916.61</v>
      </c>
      <c r="U129" s="42"/>
      <c r="V129" s="42"/>
      <c r="W129" s="42" t="s">
        <v>40</v>
      </c>
      <c r="X129" s="45">
        <v>0.156</v>
      </c>
      <c r="Y129" s="46">
        <v>5.2899999999999996E-4</v>
      </c>
      <c r="Z129" s="21">
        <v>4601004345447</v>
      </c>
    </row>
    <row r="130" spans="1:26" ht="12" customHeight="1" outlineLevel="4" x14ac:dyDescent="0.2">
      <c r="A130" s="14" t="s">
        <v>273</v>
      </c>
      <c r="B130" s="26" t="s">
        <v>274</v>
      </c>
      <c r="C130" s="52"/>
      <c r="D130" s="55">
        <f t="shared" si="1"/>
        <v>0</v>
      </c>
      <c r="E130" s="63" t="str">
        <f>HYPERLINK("https://www.sds-group.ru/product/vyklyuchatel-round-2-kl-dlya-zhalyuzi-vozvratnyy-10a-s-u-oniks-kranz-KR-78-0711-3/", "Инфо")</f>
        <v>Инфо</v>
      </c>
      <c r="F130" s="16" t="s">
        <v>39</v>
      </c>
      <c r="G130" s="15"/>
      <c r="H130" s="15"/>
      <c r="I130" s="15"/>
      <c r="J130" s="17">
        <v>175</v>
      </c>
      <c r="K130" s="15"/>
      <c r="L130" s="17">
        <v>1</v>
      </c>
      <c r="M130" s="17">
        <v>100</v>
      </c>
      <c r="N130" s="17">
        <v>1</v>
      </c>
      <c r="O130" s="18">
        <v>1468.58</v>
      </c>
      <c r="P130" s="18">
        <v>1203.75</v>
      </c>
      <c r="Q130" s="18">
        <v>1468.58</v>
      </c>
      <c r="R130" s="18">
        <v>1203.75</v>
      </c>
      <c r="S130" s="18">
        <v>1174.8599999999999</v>
      </c>
      <c r="T130" s="18">
        <v>963</v>
      </c>
      <c r="U130" s="16"/>
      <c r="V130" s="16"/>
      <c r="W130" s="16" t="s">
        <v>40</v>
      </c>
      <c r="X130" s="19">
        <v>0.156</v>
      </c>
      <c r="Y130" s="20">
        <v>5.3200000000000003E-4</v>
      </c>
      <c r="Z130" s="21">
        <v>4601004323841</v>
      </c>
    </row>
    <row r="131" spans="1:26" ht="12" customHeight="1" outlineLevel="4" x14ac:dyDescent="0.2">
      <c r="A131" s="14" t="s">
        <v>275</v>
      </c>
      <c r="B131" s="26" t="s">
        <v>276</v>
      </c>
      <c r="C131" s="52"/>
      <c r="D131" s="55">
        <f t="shared" si="1"/>
        <v>0</v>
      </c>
      <c r="E131" s="63" t="str">
        <f>HYPERLINK("https://www.sds-group.ru/product/vyklyuchatel-round-2-kl-dlya-zhalyuzi-vozvratnyy-10a-s-u-perlamutr-kranz-KR-78-0711-1/", "Инфо")</f>
        <v>Инфо</v>
      </c>
      <c r="F131" s="16" t="s">
        <v>39</v>
      </c>
      <c r="G131" s="15"/>
      <c r="H131" s="15"/>
      <c r="I131" s="15"/>
      <c r="J131" s="17">
        <v>53</v>
      </c>
      <c r="K131" s="15"/>
      <c r="L131" s="17">
        <v>1</v>
      </c>
      <c r="M131" s="17">
        <v>100</v>
      </c>
      <c r="N131" s="17">
        <v>1</v>
      </c>
      <c r="O131" s="18">
        <v>1196.74</v>
      </c>
      <c r="P131" s="18">
        <v>980.93</v>
      </c>
      <c r="Q131" s="18">
        <v>1196.74</v>
      </c>
      <c r="R131" s="18">
        <v>980.93</v>
      </c>
      <c r="S131" s="18">
        <v>957.39</v>
      </c>
      <c r="T131" s="18">
        <v>784.75</v>
      </c>
      <c r="U131" s="16"/>
      <c r="V131" s="16"/>
      <c r="W131" s="16" t="s">
        <v>40</v>
      </c>
      <c r="X131" s="19">
        <v>0.106</v>
      </c>
      <c r="Y131" s="20">
        <v>4.2299999999999998E-4</v>
      </c>
      <c r="Z131" s="21">
        <v>4601004323889</v>
      </c>
    </row>
    <row r="132" spans="1:26" ht="12" customHeight="1" outlineLevel="4" x14ac:dyDescent="0.2">
      <c r="A132" s="14" t="s">
        <v>277</v>
      </c>
      <c r="B132" s="26" t="s">
        <v>278</v>
      </c>
      <c r="C132" s="52"/>
      <c r="D132" s="55">
        <f t="shared" si="1"/>
        <v>0</v>
      </c>
      <c r="E132" s="63" t="str">
        <f>HYPERLINK("https://www.sds-group.ru/product/vyklyuchatel-round-2-kl-dlya-zhalyuzi-vozvratnyy-10a-s-u-titan-kranz-KR-78-0711-2/", "Инфо")</f>
        <v>Инфо</v>
      </c>
      <c r="F132" s="16" t="s">
        <v>39</v>
      </c>
      <c r="G132" s="15"/>
      <c r="H132" s="15"/>
      <c r="I132" s="15"/>
      <c r="J132" s="17">
        <v>427</v>
      </c>
      <c r="K132" s="15"/>
      <c r="L132" s="17">
        <v>1</v>
      </c>
      <c r="M132" s="17">
        <v>100</v>
      </c>
      <c r="N132" s="17">
        <v>1</v>
      </c>
      <c r="O132" s="18">
        <v>1455.58</v>
      </c>
      <c r="P132" s="18">
        <v>1193.0999999999999</v>
      </c>
      <c r="Q132" s="18">
        <v>1455.58</v>
      </c>
      <c r="R132" s="18">
        <v>1193.0999999999999</v>
      </c>
      <c r="S132" s="18">
        <v>1164.46</v>
      </c>
      <c r="T132" s="18">
        <v>954.48</v>
      </c>
      <c r="U132" s="16"/>
      <c r="V132" s="16"/>
      <c r="W132" s="16" t="s">
        <v>40</v>
      </c>
      <c r="X132" s="19">
        <v>0.156</v>
      </c>
      <c r="Y132" s="20">
        <v>5.2400000000000005E-4</v>
      </c>
      <c r="Z132" s="21">
        <v>4601004323797</v>
      </c>
    </row>
    <row r="133" spans="1:26" ht="12" customHeight="1" outlineLevel="4" x14ac:dyDescent="0.2">
      <c r="A133" s="40" t="s">
        <v>279</v>
      </c>
      <c r="B133" s="75" t="s">
        <v>280</v>
      </c>
      <c r="C133" s="51"/>
      <c r="D133" s="54">
        <f t="shared" si="1"/>
        <v>0</v>
      </c>
      <c r="E133" s="61" t="str">
        <f>HYPERLINK("https://www.sds-group.ru/product/vyklyuchatel-round-2-kl-dlya-zhalyuzi-vozvratnyy-10a-s-u-shelk-kranz-KR-78-0711-7/", "Инфо")</f>
        <v>Инфо</v>
      </c>
      <c r="F133" s="42" t="s">
        <v>39</v>
      </c>
      <c r="G133" s="41" t="s">
        <v>40</v>
      </c>
      <c r="H133" s="41"/>
      <c r="I133" s="41"/>
      <c r="J133" s="43">
        <v>190</v>
      </c>
      <c r="K133" s="41"/>
      <c r="L133" s="43">
        <v>1</v>
      </c>
      <c r="M133" s="43">
        <v>100</v>
      </c>
      <c r="N133" s="43">
        <v>1</v>
      </c>
      <c r="O133" s="44">
        <v>1455.58</v>
      </c>
      <c r="P133" s="44">
        <v>1193.0999999999999</v>
      </c>
      <c r="Q133" s="44">
        <v>1455.58</v>
      </c>
      <c r="R133" s="44">
        <v>1193.0999999999999</v>
      </c>
      <c r="S133" s="44">
        <v>1164.46</v>
      </c>
      <c r="T133" s="44">
        <v>954.48</v>
      </c>
      <c r="U133" s="42"/>
      <c r="V133" s="42"/>
      <c r="W133" s="42" t="s">
        <v>40</v>
      </c>
      <c r="X133" s="45">
        <v>0.156</v>
      </c>
      <c r="Y133" s="46">
        <v>5.2800000000000004E-4</v>
      </c>
      <c r="Z133" s="21">
        <v>4601004345546</v>
      </c>
    </row>
    <row r="134" spans="1:26" ht="12" customHeight="1" outlineLevel="4" x14ac:dyDescent="0.2">
      <c r="A134" s="40" t="s">
        <v>281</v>
      </c>
      <c r="B134" s="75" t="s">
        <v>282</v>
      </c>
      <c r="C134" s="51"/>
      <c r="D134" s="54">
        <f t="shared" si="1"/>
        <v>0</v>
      </c>
      <c r="E134" s="61" t="str">
        <f>HYPERLINK("https://www.sds-group.ru/product/vyklyuchatel-round-2-kl-perekrestnyy-pereklyuchatel-10a-s-u-oniks-kranz-KR-78-0733-3/", "Инфо")</f>
        <v>Инфо</v>
      </c>
      <c r="F134" s="42" t="s">
        <v>39</v>
      </c>
      <c r="G134" s="41" t="s">
        <v>40</v>
      </c>
      <c r="H134" s="41"/>
      <c r="I134" s="41"/>
      <c r="J134" s="43">
        <v>583</v>
      </c>
      <c r="K134" s="41"/>
      <c r="L134" s="43">
        <v>1</v>
      </c>
      <c r="M134" s="43">
        <v>100</v>
      </c>
      <c r="N134" s="43">
        <v>1</v>
      </c>
      <c r="O134" s="44">
        <v>2667.88</v>
      </c>
      <c r="P134" s="44">
        <v>2186.79</v>
      </c>
      <c r="Q134" s="44">
        <v>2667.88</v>
      </c>
      <c r="R134" s="44">
        <v>2186.79</v>
      </c>
      <c r="S134" s="44">
        <v>2134.3000000000002</v>
      </c>
      <c r="T134" s="44">
        <v>1749.43</v>
      </c>
      <c r="U134" s="42"/>
      <c r="V134" s="42"/>
      <c r="W134" s="42" t="s">
        <v>40</v>
      </c>
      <c r="X134" s="45">
        <v>0.158</v>
      </c>
      <c r="Y134" s="46">
        <v>5.2700000000000002E-4</v>
      </c>
      <c r="Z134" s="21">
        <v>4601004338814</v>
      </c>
    </row>
    <row r="135" spans="1:26" ht="12" customHeight="1" outlineLevel="4" x14ac:dyDescent="0.2">
      <c r="A135" s="40" t="s">
        <v>283</v>
      </c>
      <c r="B135" s="75" t="s">
        <v>284</v>
      </c>
      <c r="C135" s="51"/>
      <c r="D135" s="54">
        <f t="shared" si="1"/>
        <v>0</v>
      </c>
      <c r="E135" s="61" t="str">
        <f>HYPERLINK("https://www.sds-group.ru/product/vyklyuchatel-round-2-kl-perekrestnyy-pereklyuchatel-10a-s-u-perlamutr-kranz-KR-78-0733-1/", "Инфо")</f>
        <v>Инфо</v>
      </c>
      <c r="F135" s="42" t="s">
        <v>39</v>
      </c>
      <c r="G135" s="41" t="s">
        <v>40</v>
      </c>
      <c r="H135" s="41"/>
      <c r="I135" s="41"/>
      <c r="J135" s="43">
        <v>620</v>
      </c>
      <c r="K135" s="41"/>
      <c r="L135" s="43">
        <v>1</v>
      </c>
      <c r="M135" s="43">
        <v>100</v>
      </c>
      <c r="N135" s="43">
        <v>1</v>
      </c>
      <c r="O135" s="44">
        <v>2224.0700000000002</v>
      </c>
      <c r="P135" s="44">
        <v>1823.01</v>
      </c>
      <c r="Q135" s="44">
        <v>2224.0700000000002</v>
      </c>
      <c r="R135" s="44">
        <v>1823.01</v>
      </c>
      <c r="S135" s="44">
        <v>1779.26</v>
      </c>
      <c r="T135" s="44">
        <v>1458.41</v>
      </c>
      <c r="U135" s="42"/>
      <c r="V135" s="42"/>
      <c r="W135" s="42" t="s">
        <v>40</v>
      </c>
      <c r="X135" s="45">
        <v>0.158</v>
      </c>
      <c r="Y135" s="46">
        <v>5.2599999999999999E-4</v>
      </c>
      <c r="Z135" s="21">
        <v>4601004338784</v>
      </c>
    </row>
    <row r="136" spans="1:26" ht="12" customHeight="1" outlineLevel="4" x14ac:dyDescent="0.2">
      <c r="A136" s="40" t="s">
        <v>285</v>
      </c>
      <c r="B136" s="75" t="s">
        <v>286</v>
      </c>
      <c r="C136" s="51"/>
      <c r="D136" s="54">
        <f t="shared" si="1"/>
        <v>0</v>
      </c>
      <c r="E136" s="61" t="str">
        <f>HYPERLINK("https://www.sds-group.ru/product/vyklyuchatel-round-2-kl-perekrestnyy-pereklyuchatel-10a-s-u-titan-kranz-KR-78-0733-2/", "Инфо")</f>
        <v>Инфо</v>
      </c>
      <c r="F136" s="42" t="s">
        <v>39</v>
      </c>
      <c r="G136" s="41" t="s">
        <v>40</v>
      </c>
      <c r="H136" s="41"/>
      <c r="I136" s="41"/>
      <c r="J136" s="47">
        <v>1398</v>
      </c>
      <c r="K136" s="41"/>
      <c r="L136" s="43">
        <v>1</v>
      </c>
      <c r="M136" s="43">
        <v>100</v>
      </c>
      <c r="N136" s="43">
        <v>1</v>
      </c>
      <c r="O136" s="44">
        <v>2598.2800000000002</v>
      </c>
      <c r="P136" s="44">
        <v>2129.7399999999998</v>
      </c>
      <c r="Q136" s="44">
        <v>2598.2800000000002</v>
      </c>
      <c r="R136" s="44">
        <v>2129.7399999999998</v>
      </c>
      <c r="S136" s="44">
        <v>2078.62</v>
      </c>
      <c r="T136" s="44">
        <v>1703.79</v>
      </c>
      <c r="U136" s="42"/>
      <c r="V136" s="42"/>
      <c r="W136" s="42" t="s">
        <v>40</v>
      </c>
      <c r="X136" s="45">
        <v>0.158</v>
      </c>
      <c r="Y136" s="46">
        <v>5.2300000000000003E-4</v>
      </c>
      <c r="Z136" s="21">
        <v>4601004338791</v>
      </c>
    </row>
    <row r="137" spans="1:26" ht="12" customHeight="1" outlineLevel="4" x14ac:dyDescent="0.2">
      <c r="A137" s="40" t="s">
        <v>287</v>
      </c>
      <c r="B137" s="75" t="s">
        <v>288</v>
      </c>
      <c r="C137" s="51"/>
      <c r="D137" s="54">
        <f t="shared" ref="D137:D200" si="2">C137*(O137-O137*$G$3)</f>
        <v>0</v>
      </c>
      <c r="E137" s="61" t="str">
        <f>HYPERLINK("https://www.sds-group.ru/product/vyklyuchatel-round-2-kl-perekrestnyy-pereklyuchatel-10a-s-u-shelk-kranz-KR-78-0733-7/", "Инфо")</f>
        <v>Инфо</v>
      </c>
      <c r="F137" s="42" t="s">
        <v>39</v>
      </c>
      <c r="G137" s="41" t="s">
        <v>40</v>
      </c>
      <c r="H137" s="41"/>
      <c r="I137" s="41"/>
      <c r="J137" s="43">
        <v>208</v>
      </c>
      <c r="K137" s="41" t="s">
        <v>210</v>
      </c>
      <c r="L137" s="43">
        <v>1</v>
      </c>
      <c r="M137" s="43">
        <v>100</v>
      </c>
      <c r="N137" s="43">
        <v>1</v>
      </c>
      <c r="O137" s="44">
        <v>2598.2800000000002</v>
      </c>
      <c r="P137" s="44">
        <v>2129.7399999999998</v>
      </c>
      <c r="Q137" s="44">
        <v>2598.2800000000002</v>
      </c>
      <c r="R137" s="44">
        <v>2129.7399999999998</v>
      </c>
      <c r="S137" s="44">
        <v>2078.62</v>
      </c>
      <c r="T137" s="44">
        <v>1703.79</v>
      </c>
      <c r="U137" s="42"/>
      <c r="V137" s="42"/>
      <c r="W137" s="42" t="s">
        <v>40</v>
      </c>
      <c r="X137" s="45">
        <v>0.157</v>
      </c>
      <c r="Y137" s="46">
        <v>5.31E-4</v>
      </c>
      <c r="Z137" s="21">
        <v>4601004345980</v>
      </c>
    </row>
    <row r="138" spans="1:26" ht="12" customHeight="1" outlineLevel="4" x14ac:dyDescent="0.2">
      <c r="A138" s="14" t="s">
        <v>289</v>
      </c>
      <c r="B138" s="26" t="s">
        <v>290</v>
      </c>
      <c r="C138" s="52"/>
      <c r="D138" s="55">
        <f t="shared" si="2"/>
        <v>0</v>
      </c>
      <c r="E138" s="63" t="str">
        <f>HYPERLINK("https://www.sds-group.ru/product/vyklyuchatel-round-2-kl-prohodnoy-pereklyuchatel-10a-s-u-oniks-kranz-KR-78-0709-3/", "Инфо")</f>
        <v>Инфо</v>
      </c>
      <c r="F138" s="16" t="s">
        <v>39</v>
      </c>
      <c r="G138" s="15"/>
      <c r="H138" s="15"/>
      <c r="I138" s="15"/>
      <c r="J138" s="17">
        <v>509</v>
      </c>
      <c r="K138" s="15" t="s">
        <v>210</v>
      </c>
      <c r="L138" s="17">
        <v>1</v>
      </c>
      <c r="M138" s="17">
        <v>100</v>
      </c>
      <c r="N138" s="17">
        <v>1</v>
      </c>
      <c r="O138" s="18">
        <v>1973.64</v>
      </c>
      <c r="P138" s="18">
        <v>1617.74</v>
      </c>
      <c r="Q138" s="18">
        <v>1973.64</v>
      </c>
      <c r="R138" s="18">
        <v>1617.74</v>
      </c>
      <c r="S138" s="18">
        <v>1578.91</v>
      </c>
      <c r="T138" s="18">
        <v>1294.19</v>
      </c>
      <c r="U138" s="16"/>
      <c r="V138" s="16"/>
      <c r="W138" s="16" t="s">
        <v>40</v>
      </c>
      <c r="X138" s="19">
        <v>0.16300000000000001</v>
      </c>
      <c r="Y138" s="20">
        <v>5.4199999999999995E-4</v>
      </c>
      <c r="Z138" s="21">
        <v>4601004323759</v>
      </c>
    </row>
    <row r="139" spans="1:26" ht="12" customHeight="1" outlineLevel="4" x14ac:dyDescent="0.2">
      <c r="A139" s="14" t="s">
        <v>291</v>
      </c>
      <c r="B139" s="26" t="s">
        <v>292</v>
      </c>
      <c r="C139" s="52"/>
      <c r="D139" s="55">
        <f t="shared" si="2"/>
        <v>0</v>
      </c>
      <c r="E139" s="63" t="str">
        <f>HYPERLINK("https://www.sds-group.ru/product/vyklyuchatel-round-2-kl-prohodnoy-pereklyuchatel-10a-s-u-perlamutr-kranz-KR-78-0709-1/", "Инфо")</f>
        <v>Инфо</v>
      </c>
      <c r="F139" s="16" t="s">
        <v>39</v>
      </c>
      <c r="G139" s="15"/>
      <c r="H139" s="15"/>
      <c r="I139" s="15"/>
      <c r="J139" s="17">
        <v>232</v>
      </c>
      <c r="K139" s="15" t="s">
        <v>210</v>
      </c>
      <c r="L139" s="17">
        <v>1</v>
      </c>
      <c r="M139" s="17">
        <v>100</v>
      </c>
      <c r="N139" s="17">
        <v>1</v>
      </c>
      <c r="O139" s="18">
        <v>1615.36</v>
      </c>
      <c r="P139" s="18">
        <v>1324.07</v>
      </c>
      <c r="Q139" s="18">
        <v>1615.36</v>
      </c>
      <c r="R139" s="18">
        <v>1324.07</v>
      </c>
      <c r="S139" s="18">
        <v>1292.29</v>
      </c>
      <c r="T139" s="18">
        <v>1059.25</v>
      </c>
      <c r="U139" s="16"/>
      <c r="V139" s="16"/>
      <c r="W139" s="16" t="s">
        <v>40</v>
      </c>
      <c r="X139" s="19">
        <v>0.16300000000000001</v>
      </c>
      <c r="Y139" s="20">
        <v>5.4500000000000002E-4</v>
      </c>
      <c r="Z139" s="21">
        <v>4601004323803</v>
      </c>
    </row>
    <row r="140" spans="1:26" ht="12" customHeight="1" outlineLevel="4" x14ac:dyDescent="0.2">
      <c r="A140" s="14" t="s">
        <v>293</v>
      </c>
      <c r="B140" s="26" t="s">
        <v>294</v>
      </c>
      <c r="C140" s="52"/>
      <c r="D140" s="55">
        <f t="shared" si="2"/>
        <v>0</v>
      </c>
      <c r="E140" s="63" t="str">
        <f>HYPERLINK("https://www.sds-group.ru/product/vyklyuchatel-round-2-kl-prohodnoy-pereklyuchatel-10a-s-u-titan-kranz-KR-78-0709-2/", "Инфо")</f>
        <v>Инфо</v>
      </c>
      <c r="F140" s="16" t="s">
        <v>39</v>
      </c>
      <c r="G140" s="15"/>
      <c r="H140" s="15"/>
      <c r="I140" s="15"/>
      <c r="J140" s="17">
        <v>994</v>
      </c>
      <c r="K140" s="15"/>
      <c r="L140" s="17">
        <v>1</v>
      </c>
      <c r="M140" s="17">
        <v>100</v>
      </c>
      <c r="N140" s="17">
        <v>1</v>
      </c>
      <c r="O140" s="18">
        <v>1955.95</v>
      </c>
      <c r="P140" s="18">
        <v>1603.24</v>
      </c>
      <c r="Q140" s="18">
        <v>1955.95</v>
      </c>
      <c r="R140" s="18">
        <v>1603.24</v>
      </c>
      <c r="S140" s="18">
        <v>1564.76</v>
      </c>
      <c r="T140" s="18">
        <v>1282.5899999999999</v>
      </c>
      <c r="U140" s="16"/>
      <c r="V140" s="16"/>
      <c r="W140" s="16" t="s">
        <v>40</v>
      </c>
      <c r="X140" s="19">
        <v>0.16300000000000001</v>
      </c>
      <c r="Y140" s="20">
        <v>5.3600000000000002E-4</v>
      </c>
      <c r="Z140" s="21">
        <v>4601004323780</v>
      </c>
    </row>
    <row r="141" spans="1:26" ht="12" customHeight="1" outlineLevel="4" x14ac:dyDescent="0.2">
      <c r="A141" s="40" t="s">
        <v>295</v>
      </c>
      <c r="B141" s="75" t="s">
        <v>296</v>
      </c>
      <c r="C141" s="51"/>
      <c r="D141" s="54">
        <f t="shared" si="2"/>
        <v>0</v>
      </c>
      <c r="E141" s="61" t="str">
        <f>HYPERLINK("https://www.sds-group.ru/product/vyklyuchatel-round-2-kl-prohodnoy-pereklyuchatel-10a-s-u-shelk-kranz-KR-78-0709-7/", "Инфо")</f>
        <v>Инфо</v>
      </c>
      <c r="F141" s="42" t="s">
        <v>39</v>
      </c>
      <c r="G141" s="41" t="s">
        <v>40</v>
      </c>
      <c r="H141" s="41"/>
      <c r="I141" s="41"/>
      <c r="J141" s="43">
        <v>79</v>
      </c>
      <c r="K141" s="41" t="s">
        <v>210</v>
      </c>
      <c r="L141" s="43">
        <v>1</v>
      </c>
      <c r="M141" s="43">
        <v>100</v>
      </c>
      <c r="N141" s="43">
        <v>1</v>
      </c>
      <c r="O141" s="44">
        <v>1955.95</v>
      </c>
      <c r="P141" s="44">
        <v>1603.24</v>
      </c>
      <c r="Q141" s="44">
        <v>1955.95</v>
      </c>
      <c r="R141" s="44">
        <v>1603.24</v>
      </c>
      <c r="S141" s="44">
        <v>1564.76</v>
      </c>
      <c r="T141" s="44">
        <v>1282.5899999999999</v>
      </c>
      <c r="U141" s="42"/>
      <c r="V141" s="42"/>
      <c r="W141" s="42" t="s">
        <v>40</v>
      </c>
      <c r="X141" s="45">
        <v>0.16300000000000001</v>
      </c>
      <c r="Y141" s="46">
        <v>5.2599999999999999E-4</v>
      </c>
      <c r="Z141" s="21">
        <v>4601004345508</v>
      </c>
    </row>
    <row r="142" spans="1:26" ht="12" customHeight="1" outlineLevel="4" x14ac:dyDescent="0.2">
      <c r="A142" s="40" t="s">
        <v>297</v>
      </c>
      <c r="B142" s="75" t="s">
        <v>298</v>
      </c>
      <c r="C142" s="51"/>
      <c r="D142" s="54">
        <f t="shared" si="2"/>
        <v>0</v>
      </c>
      <c r="E142" s="61" t="str">
        <f>HYPERLINK("https://www.sds-group.ru/product/vyklyuchatel-round-2-kl-prohodnoy-pereklyuchatel-s-podsvetkoy-10a-s-u-shelk-kranz-KR-78-0717-7/", "Инфо")</f>
        <v>Инфо</v>
      </c>
      <c r="F142" s="42" t="s">
        <v>39</v>
      </c>
      <c r="G142" s="41" t="s">
        <v>40</v>
      </c>
      <c r="H142" s="41"/>
      <c r="I142" s="41"/>
      <c r="J142" s="43">
        <v>156</v>
      </c>
      <c r="K142" s="41" t="s">
        <v>210</v>
      </c>
      <c r="L142" s="43">
        <v>1</v>
      </c>
      <c r="M142" s="43">
        <v>100</v>
      </c>
      <c r="N142" s="43">
        <v>1</v>
      </c>
      <c r="O142" s="44">
        <v>1523.75</v>
      </c>
      <c r="P142" s="44">
        <v>1248.98</v>
      </c>
      <c r="Q142" s="44">
        <v>1523.75</v>
      </c>
      <c r="R142" s="44">
        <v>1248.98</v>
      </c>
      <c r="S142" s="44">
        <v>1219</v>
      </c>
      <c r="T142" s="44">
        <v>999.18</v>
      </c>
      <c r="U142" s="42"/>
      <c r="V142" s="42"/>
      <c r="W142" s="42" t="s">
        <v>40</v>
      </c>
      <c r="X142" s="45">
        <v>0.16400000000000001</v>
      </c>
      <c r="Y142" s="46">
        <v>5.1800000000000001E-4</v>
      </c>
      <c r="Z142" s="21">
        <v>4601004345669</v>
      </c>
    </row>
    <row r="143" spans="1:26" ht="12" customHeight="1" outlineLevel="4" x14ac:dyDescent="0.2">
      <c r="A143" s="14" t="s">
        <v>299</v>
      </c>
      <c r="B143" s="26" t="s">
        <v>300</v>
      </c>
      <c r="C143" s="52"/>
      <c r="D143" s="55">
        <f t="shared" si="2"/>
        <v>0</v>
      </c>
      <c r="E143" s="63" t="str">
        <f>HYPERLINK("https://www.sds-group.ru/product/vyklyuchatel-round-2-kl-s-podsvetkoy-10a-s-u-oniks-kranz-KR-78-0714-3/", "Инфо")</f>
        <v>Инфо</v>
      </c>
      <c r="F143" s="16" t="s">
        <v>39</v>
      </c>
      <c r="G143" s="15"/>
      <c r="H143" s="15"/>
      <c r="I143" s="15"/>
      <c r="J143" s="17">
        <v>599</v>
      </c>
      <c r="K143" s="15" t="s">
        <v>210</v>
      </c>
      <c r="L143" s="17">
        <v>1</v>
      </c>
      <c r="M143" s="17">
        <v>100</v>
      </c>
      <c r="N143" s="17">
        <v>1</v>
      </c>
      <c r="O143" s="18">
        <v>1831.73</v>
      </c>
      <c r="P143" s="18">
        <v>1501.42</v>
      </c>
      <c r="Q143" s="18">
        <v>1831.73</v>
      </c>
      <c r="R143" s="18">
        <v>1501.42</v>
      </c>
      <c r="S143" s="18">
        <v>1465.38</v>
      </c>
      <c r="T143" s="18">
        <v>1201.1300000000001</v>
      </c>
      <c r="U143" s="16"/>
      <c r="V143" s="16"/>
      <c r="W143" s="16" t="s">
        <v>40</v>
      </c>
      <c r="X143" s="19">
        <v>0.156</v>
      </c>
      <c r="Y143" s="20">
        <v>5.3799999999999996E-4</v>
      </c>
      <c r="Z143" s="21">
        <v>4601004324053</v>
      </c>
    </row>
    <row r="144" spans="1:26" ht="12" customHeight="1" outlineLevel="4" x14ac:dyDescent="0.2">
      <c r="A144" s="14" t="s">
        <v>301</v>
      </c>
      <c r="B144" s="26" t="s">
        <v>302</v>
      </c>
      <c r="C144" s="52"/>
      <c r="D144" s="55">
        <f t="shared" si="2"/>
        <v>0</v>
      </c>
      <c r="E144" s="63" t="str">
        <f>HYPERLINK("https://www.sds-group.ru/product/vyklyuchatel-round-2-kl-s-podsvetkoy-10a-s-u-perlamutr-kranz-KR-78-0714-1/", "Инфо")</f>
        <v>Инфо</v>
      </c>
      <c r="F144" s="16" t="s">
        <v>39</v>
      </c>
      <c r="G144" s="15"/>
      <c r="H144" s="15"/>
      <c r="I144" s="15"/>
      <c r="J144" s="17">
        <v>534</v>
      </c>
      <c r="K144" s="15" t="s">
        <v>210</v>
      </c>
      <c r="L144" s="17">
        <v>1</v>
      </c>
      <c r="M144" s="17">
        <v>100</v>
      </c>
      <c r="N144" s="17">
        <v>1</v>
      </c>
      <c r="O144" s="18">
        <v>1506.01</v>
      </c>
      <c r="P144" s="18">
        <v>1234.43</v>
      </c>
      <c r="Q144" s="18">
        <v>1506.01</v>
      </c>
      <c r="R144" s="18">
        <v>1234.43</v>
      </c>
      <c r="S144" s="18">
        <v>1204.81</v>
      </c>
      <c r="T144" s="18">
        <v>987.55</v>
      </c>
      <c r="U144" s="16"/>
      <c r="V144" s="16"/>
      <c r="W144" s="16" t="s">
        <v>40</v>
      </c>
      <c r="X144" s="19">
        <v>0.157</v>
      </c>
      <c r="Y144" s="20">
        <v>5.4100000000000003E-4</v>
      </c>
      <c r="Z144" s="21">
        <v>4601004324107</v>
      </c>
    </row>
    <row r="145" spans="1:26" ht="12" customHeight="1" outlineLevel="4" x14ac:dyDescent="0.2">
      <c r="A145" s="14" t="s">
        <v>303</v>
      </c>
      <c r="B145" s="26" t="s">
        <v>304</v>
      </c>
      <c r="C145" s="52"/>
      <c r="D145" s="55">
        <f t="shared" si="2"/>
        <v>0</v>
      </c>
      <c r="E145" s="63" t="str">
        <f>HYPERLINK("https://www.sds-group.ru/product/vyklyuchatel-round-2-kl-s-podsvetkoy-10a-s-u-titan-kranz-KR-78-0714-2/", "Инфо")</f>
        <v>Инфо</v>
      </c>
      <c r="F145" s="16" t="s">
        <v>39</v>
      </c>
      <c r="G145" s="15"/>
      <c r="H145" s="15"/>
      <c r="I145" s="15"/>
      <c r="J145" s="17">
        <v>960</v>
      </c>
      <c r="K145" s="15"/>
      <c r="L145" s="17">
        <v>1</v>
      </c>
      <c r="M145" s="17">
        <v>100</v>
      </c>
      <c r="N145" s="17">
        <v>1</v>
      </c>
      <c r="O145" s="18">
        <v>1783.95</v>
      </c>
      <c r="P145" s="18">
        <v>1462.25</v>
      </c>
      <c r="Q145" s="18">
        <v>1783.95</v>
      </c>
      <c r="R145" s="18">
        <v>1462.25</v>
      </c>
      <c r="S145" s="18">
        <v>1427.16</v>
      </c>
      <c r="T145" s="18">
        <v>1169.8</v>
      </c>
      <c r="U145" s="16"/>
      <c r="V145" s="16"/>
      <c r="W145" s="16" t="s">
        <v>40</v>
      </c>
      <c r="X145" s="19">
        <v>0.156</v>
      </c>
      <c r="Y145" s="20">
        <v>5.3899999999999998E-4</v>
      </c>
      <c r="Z145" s="21">
        <v>4601004324138</v>
      </c>
    </row>
    <row r="146" spans="1:26" ht="12" customHeight="1" outlineLevel="4" x14ac:dyDescent="0.2">
      <c r="A146" s="40" t="s">
        <v>305</v>
      </c>
      <c r="B146" s="75" t="s">
        <v>306</v>
      </c>
      <c r="C146" s="51"/>
      <c r="D146" s="54">
        <f t="shared" si="2"/>
        <v>0</v>
      </c>
      <c r="E146" s="61" t="str">
        <f>HYPERLINK("https://www.sds-group.ru/product/vyklyuchatel-round-2-kl-s-podsvetkoy-10a-s-u-shelk-kranz-KR-78-0714-7/", "Инфо")</f>
        <v>Инфо</v>
      </c>
      <c r="F146" s="42" t="s">
        <v>39</v>
      </c>
      <c r="G146" s="41" t="s">
        <v>40</v>
      </c>
      <c r="H146" s="41"/>
      <c r="I146" s="41"/>
      <c r="J146" s="43">
        <v>422</v>
      </c>
      <c r="K146" s="41" t="s">
        <v>210</v>
      </c>
      <c r="L146" s="43">
        <v>1</v>
      </c>
      <c r="M146" s="43">
        <v>100</v>
      </c>
      <c r="N146" s="43">
        <v>1</v>
      </c>
      <c r="O146" s="44">
        <v>1783.95</v>
      </c>
      <c r="P146" s="44">
        <v>1462.25</v>
      </c>
      <c r="Q146" s="44">
        <v>1783.95</v>
      </c>
      <c r="R146" s="44">
        <v>1462.25</v>
      </c>
      <c r="S146" s="44">
        <v>1427.16</v>
      </c>
      <c r="T146" s="44">
        <v>1169.8</v>
      </c>
      <c r="U146" s="42"/>
      <c r="V146" s="42"/>
      <c r="W146" s="42" t="s">
        <v>40</v>
      </c>
      <c r="X146" s="45">
        <v>0.155</v>
      </c>
      <c r="Y146" s="46">
        <v>5.2499999999999997E-4</v>
      </c>
      <c r="Z146" s="21">
        <v>4601004345607</v>
      </c>
    </row>
    <row r="147" spans="1:26" ht="12" customHeight="1" outlineLevel="4" x14ac:dyDescent="0.2">
      <c r="A147" s="40" t="s">
        <v>307</v>
      </c>
      <c r="B147" s="75" t="s">
        <v>308</v>
      </c>
      <c r="C147" s="51"/>
      <c r="D147" s="54">
        <f t="shared" si="2"/>
        <v>0</v>
      </c>
      <c r="E147" s="61" t="str">
        <f>HYPERLINK("https://www.sds-group.ru/product/vyklyuchatel-round-3-kl-10a-s-u-oniks-kranz-KR-78-0707-3/", "Инфо")</f>
        <v>Инфо</v>
      </c>
      <c r="F147" s="42" t="s">
        <v>39</v>
      </c>
      <c r="G147" s="41" t="s">
        <v>40</v>
      </c>
      <c r="H147" s="41"/>
      <c r="I147" s="41"/>
      <c r="J147" s="43">
        <v>207</v>
      </c>
      <c r="K147" s="41"/>
      <c r="L147" s="43">
        <v>1</v>
      </c>
      <c r="M147" s="43">
        <v>100</v>
      </c>
      <c r="N147" s="43">
        <v>1</v>
      </c>
      <c r="O147" s="44">
        <v>1554.62</v>
      </c>
      <c r="P147" s="44">
        <v>1274.28</v>
      </c>
      <c r="Q147" s="44">
        <v>1554.62</v>
      </c>
      <c r="R147" s="44">
        <v>1274.28</v>
      </c>
      <c r="S147" s="44">
        <v>1243.7</v>
      </c>
      <c r="T147" s="44">
        <v>1019.43</v>
      </c>
      <c r="U147" s="42"/>
      <c r="V147" s="42"/>
      <c r="W147" s="42" t="s">
        <v>40</v>
      </c>
      <c r="X147" s="45">
        <v>0.161</v>
      </c>
      <c r="Y147" s="46">
        <v>5.2999999999999998E-4</v>
      </c>
      <c r="Z147" s="21">
        <v>4601004323698</v>
      </c>
    </row>
    <row r="148" spans="1:26" ht="12" customHeight="1" outlineLevel="4" x14ac:dyDescent="0.2">
      <c r="A148" s="40" t="s">
        <v>309</v>
      </c>
      <c r="B148" s="75" t="s">
        <v>310</v>
      </c>
      <c r="C148" s="51"/>
      <c r="D148" s="54">
        <f t="shared" si="2"/>
        <v>0</v>
      </c>
      <c r="E148" s="61" t="str">
        <f>HYPERLINK("https://www.sds-group.ru/product/vyklyuchatel-round-3-kl-10a-s-u-perlamutr-kranz-KR-78-0707-1/", "Инфо")</f>
        <v>Инфо</v>
      </c>
      <c r="F148" s="42" t="s">
        <v>39</v>
      </c>
      <c r="G148" s="41" t="s">
        <v>40</v>
      </c>
      <c r="H148" s="41"/>
      <c r="I148" s="41"/>
      <c r="J148" s="43">
        <v>377</v>
      </c>
      <c r="K148" s="41"/>
      <c r="L148" s="43">
        <v>1</v>
      </c>
      <c r="M148" s="43">
        <v>100</v>
      </c>
      <c r="N148" s="43">
        <v>1</v>
      </c>
      <c r="O148" s="44">
        <v>1413.29</v>
      </c>
      <c r="P148" s="44">
        <v>1158.43</v>
      </c>
      <c r="Q148" s="44">
        <v>1413.29</v>
      </c>
      <c r="R148" s="44">
        <v>1158.43</v>
      </c>
      <c r="S148" s="44">
        <v>1130.6300000000001</v>
      </c>
      <c r="T148" s="44">
        <v>926.75</v>
      </c>
      <c r="U148" s="42"/>
      <c r="V148" s="42"/>
      <c r="W148" s="42" t="s">
        <v>40</v>
      </c>
      <c r="X148" s="45">
        <v>0.161</v>
      </c>
      <c r="Y148" s="46">
        <v>5.3899999999999998E-4</v>
      </c>
      <c r="Z148" s="21">
        <v>4601004323735</v>
      </c>
    </row>
    <row r="149" spans="1:26" ht="12" customHeight="1" outlineLevel="4" x14ac:dyDescent="0.2">
      <c r="A149" s="40" t="s">
        <v>311</v>
      </c>
      <c r="B149" s="75" t="s">
        <v>312</v>
      </c>
      <c r="C149" s="51"/>
      <c r="D149" s="54">
        <f t="shared" si="2"/>
        <v>0</v>
      </c>
      <c r="E149" s="61" t="str">
        <f>HYPERLINK("https://www.sds-group.ru/product/vyklyuchatel-round-3-kl-10a-s-u-titan-kranz-KR-78-0707-2/", "Инфо")</f>
        <v>Инфо</v>
      </c>
      <c r="F149" s="42" t="s">
        <v>39</v>
      </c>
      <c r="G149" s="41" t="s">
        <v>40</v>
      </c>
      <c r="H149" s="41"/>
      <c r="I149" s="41"/>
      <c r="J149" s="43">
        <v>218</v>
      </c>
      <c r="K149" s="41"/>
      <c r="L149" s="43">
        <v>1</v>
      </c>
      <c r="M149" s="43">
        <v>100</v>
      </c>
      <c r="N149" s="43">
        <v>1</v>
      </c>
      <c r="O149" s="44">
        <v>1514.06</v>
      </c>
      <c r="P149" s="44">
        <v>1241.03</v>
      </c>
      <c r="Q149" s="44">
        <v>1514.06</v>
      </c>
      <c r="R149" s="44">
        <v>1241.03</v>
      </c>
      <c r="S149" s="44">
        <v>1211.25</v>
      </c>
      <c r="T149" s="44">
        <v>992.83</v>
      </c>
      <c r="U149" s="42"/>
      <c r="V149" s="42"/>
      <c r="W149" s="42" t="s">
        <v>40</v>
      </c>
      <c r="X149" s="45">
        <v>0.16200000000000001</v>
      </c>
      <c r="Y149" s="46">
        <v>5.2499999999999997E-4</v>
      </c>
      <c r="Z149" s="21">
        <v>4601004323704</v>
      </c>
    </row>
    <row r="150" spans="1:26" ht="12" customHeight="1" outlineLevel="4" x14ac:dyDescent="0.2">
      <c r="A150" s="40" t="s">
        <v>313</v>
      </c>
      <c r="B150" s="75" t="s">
        <v>314</v>
      </c>
      <c r="C150" s="51"/>
      <c r="D150" s="54">
        <f t="shared" si="2"/>
        <v>0</v>
      </c>
      <c r="E150" s="61" t="str">
        <f>HYPERLINK("https://www.sds-group.ru/product/vyklyuchatel-round-3-kl-10a-s-u-shelk-kranz-KR-78-0707-7/", "Инфо")</f>
        <v>Инфо</v>
      </c>
      <c r="F150" s="42" t="s">
        <v>39</v>
      </c>
      <c r="G150" s="41" t="s">
        <v>40</v>
      </c>
      <c r="H150" s="41"/>
      <c r="I150" s="41"/>
      <c r="J150" s="43">
        <v>240</v>
      </c>
      <c r="K150" s="41" t="s">
        <v>210</v>
      </c>
      <c r="L150" s="43">
        <v>1</v>
      </c>
      <c r="M150" s="43">
        <v>100</v>
      </c>
      <c r="N150" s="43">
        <v>1</v>
      </c>
      <c r="O150" s="44">
        <v>1514.06</v>
      </c>
      <c r="P150" s="44">
        <v>1241.03</v>
      </c>
      <c r="Q150" s="44">
        <v>1514.06</v>
      </c>
      <c r="R150" s="44">
        <v>1241.03</v>
      </c>
      <c r="S150" s="44">
        <v>1211.25</v>
      </c>
      <c r="T150" s="44">
        <v>992.83</v>
      </c>
      <c r="U150" s="42"/>
      <c r="V150" s="42"/>
      <c r="W150" s="42" t="s">
        <v>40</v>
      </c>
      <c r="X150" s="45">
        <v>0.161</v>
      </c>
      <c r="Y150" s="46">
        <v>5.3300000000000005E-4</v>
      </c>
      <c r="Z150" s="21">
        <v>4601004345461</v>
      </c>
    </row>
    <row r="151" spans="1:26" ht="12" customHeight="1" outlineLevel="4" x14ac:dyDescent="0.2">
      <c r="A151" s="40" t="s">
        <v>315</v>
      </c>
      <c r="B151" s="75" t="s">
        <v>316</v>
      </c>
      <c r="C151" s="51"/>
      <c r="D151" s="54">
        <f t="shared" si="2"/>
        <v>0</v>
      </c>
      <c r="E151" s="61" t="str">
        <f>HYPERLINK("https://www.sds-group.ru/product/zaglushka-round-dekorativnaya-s-supportom-oniks-kranz-KR-78-0735-3/", "Инфо")</f>
        <v>Инфо</v>
      </c>
      <c r="F151" s="42" t="s">
        <v>39</v>
      </c>
      <c r="G151" s="41" t="s">
        <v>40</v>
      </c>
      <c r="H151" s="41"/>
      <c r="I151" s="41"/>
      <c r="J151" s="43">
        <v>418</v>
      </c>
      <c r="K151" s="41"/>
      <c r="L151" s="43">
        <v>1</v>
      </c>
      <c r="M151" s="43">
        <v>100</v>
      </c>
      <c r="N151" s="43">
        <v>1</v>
      </c>
      <c r="O151" s="44">
        <v>441.34</v>
      </c>
      <c r="P151" s="44">
        <v>361.75</v>
      </c>
      <c r="Q151" s="44">
        <v>441.34</v>
      </c>
      <c r="R151" s="44">
        <v>361.75</v>
      </c>
      <c r="S151" s="44">
        <v>353.07</v>
      </c>
      <c r="T151" s="44">
        <v>289.39999999999998</v>
      </c>
      <c r="U151" s="42"/>
      <c r="V151" s="42"/>
      <c r="W151" s="42" t="s">
        <v>40</v>
      </c>
      <c r="X151" s="45">
        <v>0.122</v>
      </c>
      <c r="Y151" s="46">
        <v>5.31E-4</v>
      </c>
      <c r="Z151" s="21">
        <v>4601004338647</v>
      </c>
    </row>
    <row r="152" spans="1:26" ht="12" customHeight="1" outlineLevel="4" x14ac:dyDescent="0.2">
      <c r="A152" s="40" t="s">
        <v>317</v>
      </c>
      <c r="B152" s="75" t="s">
        <v>318</v>
      </c>
      <c r="C152" s="51"/>
      <c r="D152" s="54">
        <f t="shared" si="2"/>
        <v>0</v>
      </c>
      <c r="E152" s="61" t="str">
        <f>HYPERLINK("https://www.sds-group.ru/product/zaglushka-round-dekorativnaya-s-supportom-perlamutr-kranz-KR-78-0735-1/", "Инфо")</f>
        <v>Инфо</v>
      </c>
      <c r="F152" s="42" t="s">
        <v>39</v>
      </c>
      <c r="G152" s="41" t="s">
        <v>40</v>
      </c>
      <c r="H152" s="41"/>
      <c r="I152" s="41"/>
      <c r="J152" s="43">
        <v>382</v>
      </c>
      <c r="K152" s="41"/>
      <c r="L152" s="43">
        <v>1</v>
      </c>
      <c r="M152" s="43">
        <v>100</v>
      </c>
      <c r="N152" s="43">
        <v>1</v>
      </c>
      <c r="O152" s="44">
        <v>368.2</v>
      </c>
      <c r="P152" s="44">
        <v>301.8</v>
      </c>
      <c r="Q152" s="44">
        <v>368.2</v>
      </c>
      <c r="R152" s="44">
        <v>301.8</v>
      </c>
      <c r="S152" s="44">
        <v>294.56</v>
      </c>
      <c r="T152" s="44">
        <v>241.44</v>
      </c>
      <c r="U152" s="42"/>
      <c r="V152" s="42"/>
      <c r="W152" s="42" t="s">
        <v>40</v>
      </c>
      <c r="X152" s="45">
        <v>0.122</v>
      </c>
      <c r="Y152" s="46">
        <v>5.3899999999999998E-4</v>
      </c>
      <c r="Z152" s="21">
        <v>4601004338654</v>
      </c>
    </row>
    <row r="153" spans="1:26" ht="12" customHeight="1" outlineLevel="4" x14ac:dyDescent="0.2">
      <c r="A153" s="40" t="s">
        <v>319</v>
      </c>
      <c r="B153" s="75" t="s">
        <v>320</v>
      </c>
      <c r="C153" s="51"/>
      <c r="D153" s="54">
        <f t="shared" si="2"/>
        <v>0</v>
      </c>
      <c r="E153" s="61" t="str">
        <f>HYPERLINK("https://www.sds-group.ru/product/zaglushka-round-dekorativnaya-s-supportom-titan-kranz-KR-78-0735-2/", "Инфо")</f>
        <v>Инфо</v>
      </c>
      <c r="F153" s="42" t="s">
        <v>39</v>
      </c>
      <c r="G153" s="41" t="s">
        <v>40</v>
      </c>
      <c r="H153" s="41"/>
      <c r="I153" s="41"/>
      <c r="J153" s="43">
        <v>76</v>
      </c>
      <c r="K153" s="41"/>
      <c r="L153" s="43">
        <v>1</v>
      </c>
      <c r="M153" s="43">
        <v>100</v>
      </c>
      <c r="N153" s="43">
        <v>1</v>
      </c>
      <c r="O153" s="44">
        <v>429.83</v>
      </c>
      <c r="P153" s="44">
        <v>352.32</v>
      </c>
      <c r="Q153" s="44">
        <v>429.83</v>
      </c>
      <c r="R153" s="44">
        <v>352.32</v>
      </c>
      <c r="S153" s="44">
        <v>343.86</v>
      </c>
      <c r="T153" s="44">
        <v>281.85000000000002</v>
      </c>
      <c r="U153" s="42"/>
      <c r="V153" s="42"/>
      <c r="W153" s="42" t="s">
        <v>40</v>
      </c>
      <c r="X153" s="45">
        <v>0.121</v>
      </c>
      <c r="Y153" s="46">
        <v>5.2999999999999998E-4</v>
      </c>
      <c r="Z153" s="21">
        <v>4601004338678</v>
      </c>
    </row>
    <row r="154" spans="1:26" ht="12" customHeight="1" outlineLevel="4" x14ac:dyDescent="0.2">
      <c r="A154" s="40" t="s">
        <v>321</v>
      </c>
      <c r="B154" s="75" t="s">
        <v>322</v>
      </c>
      <c r="C154" s="51"/>
      <c r="D154" s="54">
        <f t="shared" si="2"/>
        <v>0</v>
      </c>
      <c r="E154" s="61" t="str">
        <f>HYPERLINK("https://www.sds-group.ru/product/zaglushka-round-dekorativnaya-s-supportom-shelk-kranz-KR-78-0735-7/", "Инфо")</f>
        <v>Инфо</v>
      </c>
      <c r="F154" s="42" t="s">
        <v>39</v>
      </c>
      <c r="G154" s="41" t="s">
        <v>40</v>
      </c>
      <c r="H154" s="41"/>
      <c r="I154" s="41"/>
      <c r="J154" s="43">
        <v>100</v>
      </c>
      <c r="K154" s="41" t="s">
        <v>210</v>
      </c>
      <c r="L154" s="43">
        <v>1</v>
      </c>
      <c r="M154" s="43">
        <v>100</v>
      </c>
      <c r="N154" s="43">
        <v>1</v>
      </c>
      <c r="O154" s="44">
        <v>429.83</v>
      </c>
      <c r="P154" s="44">
        <v>352.32</v>
      </c>
      <c r="Q154" s="44">
        <v>429.83</v>
      </c>
      <c r="R154" s="44">
        <v>352.32</v>
      </c>
      <c r="S154" s="44">
        <v>343.86</v>
      </c>
      <c r="T154" s="44">
        <v>281.85000000000002</v>
      </c>
      <c r="U154" s="42"/>
      <c r="V154" s="42"/>
      <c r="W154" s="42" t="s">
        <v>40</v>
      </c>
      <c r="X154" s="45">
        <v>0.121</v>
      </c>
      <c r="Y154" s="46">
        <v>5.2800000000000004E-4</v>
      </c>
      <c r="Z154" s="21">
        <v>4601004346024</v>
      </c>
    </row>
    <row r="155" spans="1:26" ht="12" customHeight="1" outlineLevel="4" x14ac:dyDescent="0.2">
      <c r="A155" s="14" t="s">
        <v>323</v>
      </c>
      <c r="B155" s="26" t="s">
        <v>324</v>
      </c>
      <c r="C155" s="52"/>
      <c r="D155" s="55">
        <f t="shared" si="2"/>
        <v>0</v>
      </c>
      <c r="E155" s="63" t="str">
        <f>HYPERLINK("https://www.sds-group.ru/product/podsvetka-nastennaya-round-dlya-nog-s-u-oniks-kranz-KR-78-0727-3/", "Инфо")</f>
        <v>Инфо</v>
      </c>
      <c r="F155" s="16" t="s">
        <v>39</v>
      </c>
      <c r="G155" s="15"/>
      <c r="H155" s="15"/>
      <c r="I155" s="15"/>
      <c r="J155" s="16" t="s">
        <v>100</v>
      </c>
      <c r="K155" s="15"/>
      <c r="L155" s="17">
        <v>1</v>
      </c>
      <c r="M155" s="17">
        <v>100</v>
      </c>
      <c r="N155" s="17">
        <v>1</v>
      </c>
      <c r="O155" s="18">
        <v>3458.01</v>
      </c>
      <c r="P155" s="18">
        <v>2834.43</v>
      </c>
      <c r="Q155" s="18">
        <v>3458.01</v>
      </c>
      <c r="R155" s="18">
        <v>2834.43</v>
      </c>
      <c r="S155" s="18">
        <v>2766.41</v>
      </c>
      <c r="T155" s="18">
        <v>2267.5500000000002</v>
      </c>
      <c r="U155" s="16"/>
      <c r="V155" s="16"/>
      <c r="W155" s="16" t="s">
        <v>40</v>
      </c>
      <c r="X155" s="19">
        <v>0.13200000000000001</v>
      </c>
      <c r="Y155" s="20">
        <v>5.3499999999999999E-4</v>
      </c>
      <c r="Z155" s="21">
        <v>4601004324565</v>
      </c>
    </row>
    <row r="156" spans="1:26" ht="12" customHeight="1" outlineLevel="4" x14ac:dyDescent="0.2">
      <c r="A156" s="14" t="s">
        <v>325</v>
      </c>
      <c r="B156" s="26" t="s">
        <v>326</v>
      </c>
      <c r="C156" s="52"/>
      <c r="D156" s="55">
        <f t="shared" si="2"/>
        <v>0</v>
      </c>
      <c r="E156" s="63" t="str">
        <f>HYPERLINK("https://www.sds-group.ru/product/podsvetka-nastennaya-round-dlya-nog-s-u-titan-kranz-KR-78-0727-2/", "Инфо")</f>
        <v>Инфо</v>
      </c>
      <c r="F156" s="16" t="s">
        <v>39</v>
      </c>
      <c r="G156" s="15"/>
      <c r="H156" s="15"/>
      <c r="I156" s="15"/>
      <c r="J156" s="17">
        <v>186</v>
      </c>
      <c r="K156" s="15"/>
      <c r="L156" s="17">
        <v>1</v>
      </c>
      <c r="M156" s="17">
        <v>100</v>
      </c>
      <c r="N156" s="17">
        <v>1</v>
      </c>
      <c r="O156" s="18">
        <v>3367.8</v>
      </c>
      <c r="P156" s="18">
        <v>2760.49</v>
      </c>
      <c r="Q156" s="18">
        <v>3367.8</v>
      </c>
      <c r="R156" s="18">
        <v>2760.49</v>
      </c>
      <c r="S156" s="18">
        <v>2694.24</v>
      </c>
      <c r="T156" s="18">
        <v>2208.39</v>
      </c>
      <c r="U156" s="16"/>
      <c r="V156" s="16"/>
      <c r="W156" s="16" t="s">
        <v>40</v>
      </c>
      <c r="X156" s="19">
        <v>0.13200000000000001</v>
      </c>
      <c r="Y156" s="20">
        <v>5.2499999999999997E-4</v>
      </c>
      <c r="Z156" s="21">
        <v>4601004324572</v>
      </c>
    </row>
    <row r="157" spans="1:26" ht="12" customHeight="1" outlineLevel="4" x14ac:dyDescent="0.2">
      <c r="A157" s="40" t="s">
        <v>327</v>
      </c>
      <c r="B157" s="75" t="s">
        <v>328</v>
      </c>
      <c r="C157" s="51"/>
      <c r="D157" s="54">
        <f t="shared" si="2"/>
        <v>0</v>
      </c>
      <c r="E157" s="61" t="str">
        <f>HYPERLINK("https://www.sds-group.ru/product/podsvetka-nastennaya-round-dlya-nog-s-u-shelk-kranz-KR-78-0727-7/", "Инфо")</f>
        <v>Инфо</v>
      </c>
      <c r="F157" s="42" t="s">
        <v>39</v>
      </c>
      <c r="G157" s="41" t="s">
        <v>40</v>
      </c>
      <c r="H157" s="41"/>
      <c r="I157" s="41"/>
      <c r="J157" s="42" t="s">
        <v>100</v>
      </c>
      <c r="K157" s="41" t="s">
        <v>210</v>
      </c>
      <c r="L157" s="43">
        <v>1</v>
      </c>
      <c r="M157" s="43">
        <v>100</v>
      </c>
      <c r="N157" s="43">
        <v>1</v>
      </c>
      <c r="O157" s="44">
        <v>3367.8</v>
      </c>
      <c r="P157" s="44">
        <v>2760.49</v>
      </c>
      <c r="Q157" s="44">
        <v>3367.8</v>
      </c>
      <c r="R157" s="44">
        <v>2760.49</v>
      </c>
      <c r="S157" s="44">
        <v>2694.24</v>
      </c>
      <c r="T157" s="44">
        <v>2208.39</v>
      </c>
      <c r="U157" s="42"/>
      <c r="V157" s="42"/>
      <c r="W157" s="42" t="s">
        <v>40</v>
      </c>
      <c r="X157" s="45">
        <v>0.13100000000000001</v>
      </c>
      <c r="Y157" s="46">
        <v>5.4600000000000004E-4</v>
      </c>
      <c r="Z157" s="21">
        <v>4601004345867</v>
      </c>
    </row>
    <row r="158" spans="1:26" ht="12" customHeight="1" outlineLevel="4" x14ac:dyDescent="0.2">
      <c r="A158" s="14" t="s">
        <v>329</v>
      </c>
      <c r="B158" s="26" t="s">
        <v>330</v>
      </c>
      <c r="C158" s="52"/>
      <c r="D158" s="55">
        <f t="shared" si="2"/>
        <v>0</v>
      </c>
      <c r="E158" s="63" t="str">
        <f>HYPERLINK("https://www.sds-group.ru/product/ramka-round-2-postovaya-oniks-kranz-KR-78-0752-3/", "Инфо")</f>
        <v>Инфо</v>
      </c>
      <c r="F158" s="16" t="s">
        <v>39</v>
      </c>
      <c r="G158" s="15"/>
      <c r="H158" s="15"/>
      <c r="I158" s="15"/>
      <c r="J158" s="22">
        <v>1998</v>
      </c>
      <c r="K158" s="15" t="s">
        <v>210</v>
      </c>
      <c r="L158" s="17">
        <v>1</v>
      </c>
      <c r="M158" s="17">
        <v>200</v>
      </c>
      <c r="N158" s="17">
        <v>1</v>
      </c>
      <c r="O158" s="18">
        <v>419.6</v>
      </c>
      <c r="P158" s="18">
        <v>343.93</v>
      </c>
      <c r="Q158" s="18">
        <v>419.6</v>
      </c>
      <c r="R158" s="18">
        <v>343.93</v>
      </c>
      <c r="S158" s="18">
        <v>335.68</v>
      </c>
      <c r="T158" s="18">
        <v>275.14999999999998</v>
      </c>
      <c r="U158" s="16"/>
      <c r="V158" s="16"/>
      <c r="W158" s="16" t="s">
        <v>40</v>
      </c>
      <c r="X158" s="19">
        <v>4.5999999999999999E-2</v>
      </c>
      <c r="Y158" s="20">
        <v>4.3600000000000003E-4</v>
      </c>
      <c r="Z158" s="21">
        <v>4601004325159</v>
      </c>
    </row>
    <row r="159" spans="1:26" ht="12" customHeight="1" outlineLevel="4" x14ac:dyDescent="0.2">
      <c r="A159" s="14" t="s">
        <v>331</v>
      </c>
      <c r="B159" s="26" t="s">
        <v>332</v>
      </c>
      <c r="C159" s="52"/>
      <c r="D159" s="55">
        <f t="shared" si="2"/>
        <v>0</v>
      </c>
      <c r="E159" s="63" t="str">
        <f>HYPERLINK("https://www.sds-group.ru/product/ramka-round-2-postovaya-perlamutr-kranz-KR-78-0752-1/", "Инфо")</f>
        <v>Инфо</v>
      </c>
      <c r="F159" s="16" t="s">
        <v>39</v>
      </c>
      <c r="G159" s="15"/>
      <c r="H159" s="15"/>
      <c r="I159" s="15"/>
      <c r="J159" s="22">
        <v>3325</v>
      </c>
      <c r="K159" s="15" t="s">
        <v>210</v>
      </c>
      <c r="L159" s="17">
        <v>1</v>
      </c>
      <c r="M159" s="17">
        <v>200</v>
      </c>
      <c r="N159" s="17">
        <v>1</v>
      </c>
      <c r="O159" s="18">
        <v>300.25</v>
      </c>
      <c r="P159" s="18">
        <v>246.11</v>
      </c>
      <c r="Q159" s="18">
        <v>300.25</v>
      </c>
      <c r="R159" s="18">
        <v>246.11</v>
      </c>
      <c r="S159" s="18">
        <v>240.2</v>
      </c>
      <c r="T159" s="18">
        <v>196.89</v>
      </c>
      <c r="U159" s="16"/>
      <c r="V159" s="16"/>
      <c r="W159" s="16" t="s">
        <v>40</v>
      </c>
      <c r="X159" s="19">
        <v>4.5999999999999999E-2</v>
      </c>
      <c r="Y159" s="20">
        <v>4.4099999999999999E-4</v>
      </c>
      <c r="Z159" s="21">
        <v>4601004325166</v>
      </c>
    </row>
    <row r="160" spans="1:26" ht="12" customHeight="1" outlineLevel="4" x14ac:dyDescent="0.2">
      <c r="A160" s="14" t="s">
        <v>333</v>
      </c>
      <c r="B160" s="26" t="s">
        <v>334</v>
      </c>
      <c r="C160" s="52"/>
      <c r="D160" s="55">
        <f t="shared" si="2"/>
        <v>0</v>
      </c>
      <c r="E160" s="63" t="str">
        <f>HYPERLINK("https://www.sds-group.ru/product/ramka-round-2-postovaya-titan-kranz-KR-78-0752-2/", "Инфо")</f>
        <v>Инфо</v>
      </c>
      <c r="F160" s="16" t="s">
        <v>39</v>
      </c>
      <c r="G160" s="15"/>
      <c r="H160" s="15"/>
      <c r="I160" s="15"/>
      <c r="J160" s="22">
        <v>2750</v>
      </c>
      <c r="K160" s="15"/>
      <c r="L160" s="17">
        <v>1</v>
      </c>
      <c r="M160" s="17">
        <v>200</v>
      </c>
      <c r="N160" s="17">
        <v>1</v>
      </c>
      <c r="O160" s="18">
        <v>408.66</v>
      </c>
      <c r="P160" s="18">
        <v>334.97</v>
      </c>
      <c r="Q160" s="18">
        <v>408.66</v>
      </c>
      <c r="R160" s="18">
        <v>334.97</v>
      </c>
      <c r="S160" s="18">
        <v>326.93</v>
      </c>
      <c r="T160" s="18">
        <v>267.98</v>
      </c>
      <c r="U160" s="16"/>
      <c r="V160" s="16"/>
      <c r="W160" s="16" t="s">
        <v>40</v>
      </c>
      <c r="X160" s="19">
        <v>4.7E-2</v>
      </c>
      <c r="Y160" s="20">
        <v>4.3899999999999999E-4</v>
      </c>
      <c r="Z160" s="21">
        <v>4601004325180</v>
      </c>
    </row>
    <row r="161" spans="1:26" ht="12" customHeight="1" outlineLevel="4" x14ac:dyDescent="0.2">
      <c r="A161" s="40" t="s">
        <v>335</v>
      </c>
      <c r="B161" s="75" t="s">
        <v>336</v>
      </c>
      <c r="C161" s="51"/>
      <c r="D161" s="54">
        <f t="shared" si="2"/>
        <v>0</v>
      </c>
      <c r="E161" s="61" t="str">
        <f>HYPERLINK("https://www.sds-group.ru/product/ramka-round-2-postovaya-shelk-kranz-KR-78-0752-7/", "Инфо")</f>
        <v>Инфо</v>
      </c>
      <c r="F161" s="42" t="s">
        <v>39</v>
      </c>
      <c r="G161" s="41" t="s">
        <v>40</v>
      </c>
      <c r="H161" s="41"/>
      <c r="I161" s="41"/>
      <c r="J161" s="43">
        <v>289</v>
      </c>
      <c r="K161" s="41" t="s">
        <v>210</v>
      </c>
      <c r="L161" s="43">
        <v>1</v>
      </c>
      <c r="M161" s="43">
        <v>200</v>
      </c>
      <c r="N161" s="43">
        <v>1</v>
      </c>
      <c r="O161" s="44">
        <v>408.66</v>
      </c>
      <c r="P161" s="44">
        <v>334.97</v>
      </c>
      <c r="Q161" s="44">
        <v>408.66</v>
      </c>
      <c r="R161" s="44">
        <v>334.97</v>
      </c>
      <c r="S161" s="44">
        <v>326.93</v>
      </c>
      <c r="T161" s="44">
        <v>267.98</v>
      </c>
      <c r="U161" s="42"/>
      <c r="V161" s="42"/>
      <c r="W161" s="42" t="s">
        <v>40</v>
      </c>
      <c r="X161" s="45">
        <v>4.5999999999999999E-2</v>
      </c>
      <c r="Y161" s="46">
        <v>4.37E-4</v>
      </c>
      <c r="Z161" s="21">
        <v>4601004346086</v>
      </c>
    </row>
    <row r="162" spans="1:26" ht="12" customHeight="1" outlineLevel="4" x14ac:dyDescent="0.2">
      <c r="A162" s="14" t="s">
        <v>337</v>
      </c>
      <c r="B162" s="26" t="s">
        <v>338</v>
      </c>
      <c r="C162" s="52"/>
      <c r="D162" s="55">
        <f t="shared" si="2"/>
        <v>0</v>
      </c>
      <c r="E162" s="63" t="str">
        <f>HYPERLINK("https://www.sds-group.ru/product/ramka-round-3-postovaya-oniks-kranz-KR-78-0753-3/", "Инфо")</f>
        <v>Инфо</v>
      </c>
      <c r="F162" s="16" t="s">
        <v>39</v>
      </c>
      <c r="G162" s="15"/>
      <c r="H162" s="15"/>
      <c r="I162" s="15"/>
      <c r="J162" s="22">
        <v>1102</v>
      </c>
      <c r="K162" s="15" t="s">
        <v>210</v>
      </c>
      <c r="L162" s="17">
        <v>1</v>
      </c>
      <c r="M162" s="17">
        <v>100</v>
      </c>
      <c r="N162" s="17">
        <v>1</v>
      </c>
      <c r="O162" s="18">
        <v>749.78</v>
      </c>
      <c r="P162" s="18">
        <v>614.57000000000005</v>
      </c>
      <c r="Q162" s="18">
        <v>749.78</v>
      </c>
      <c r="R162" s="18">
        <v>614.57000000000005</v>
      </c>
      <c r="S162" s="18">
        <v>599.82000000000005</v>
      </c>
      <c r="T162" s="18">
        <v>491.66</v>
      </c>
      <c r="U162" s="16"/>
      <c r="V162" s="16"/>
      <c r="W162" s="16" t="s">
        <v>40</v>
      </c>
      <c r="X162" s="19">
        <v>7.1999999999999995E-2</v>
      </c>
      <c r="Y162" s="20">
        <v>8.8500000000000004E-4</v>
      </c>
      <c r="Z162" s="21">
        <v>4601004325357</v>
      </c>
    </row>
    <row r="163" spans="1:26" ht="12" customHeight="1" outlineLevel="4" x14ac:dyDescent="0.2">
      <c r="A163" s="14" t="s">
        <v>339</v>
      </c>
      <c r="B163" s="26" t="s">
        <v>340</v>
      </c>
      <c r="C163" s="52"/>
      <c r="D163" s="55">
        <f t="shared" si="2"/>
        <v>0</v>
      </c>
      <c r="E163" s="63" t="str">
        <f>HYPERLINK("https://www.sds-group.ru/product/ramka-round-3-postovaya-perlamutr-kranz-KR-78-0753-1/", "Инфо")</f>
        <v>Инфо</v>
      </c>
      <c r="F163" s="16" t="s">
        <v>39</v>
      </c>
      <c r="G163" s="15"/>
      <c r="H163" s="15"/>
      <c r="I163" s="15"/>
      <c r="J163" s="22">
        <v>1228</v>
      </c>
      <c r="K163" s="15" t="s">
        <v>210</v>
      </c>
      <c r="L163" s="17">
        <v>1</v>
      </c>
      <c r="M163" s="17">
        <v>100</v>
      </c>
      <c r="N163" s="17">
        <v>1</v>
      </c>
      <c r="O163" s="18">
        <v>429.5</v>
      </c>
      <c r="P163" s="18">
        <v>352.05</v>
      </c>
      <c r="Q163" s="18">
        <v>429.5</v>
      </c>
      <c r="R163" s="18">
        <v>352.05</v>
      </c>
      <c r="S163" s="18">
        <v>343.6</v>
      </c>
      <c r="T163" s="18">
        <v>281.64</v>
      </c>
      <c r="U163" s="16"/>
      <c r="V163" s="16"/>
      <c r="W163" s="16" t="s">
        <v>40</v>
      </c>
      <c r="X163" s="19">
        <v>7.1999999999999995E-2</v>
      </c>
      <c r="Y163" s="20">
        <v>8.7699999999999996E-4</v>
      </c>
      <c r="Z163" s="21">
        <v>4601004325296</v>
      </c>
    </row>
    <row r="164" spans="1:26" ht="12" customHeight="1" outlineLevel="4" x14ac:dyDescent="0.2">
      <c r="A164" s="14" t="s">
        <v>341</v>
      </c>
      <c r="B164" s="26" t="s">
        <v>342</v>
      </c>
      <c r="C164" s="52"/>
      <c r="D164" s="55">
        <f t="shared" si="2"/>
        <v>0</v>
      </c>
      <c r="E164" s="63" t="str">
        <f>HYPERLINK("https://www.sds-group.ru/product/ramka-round-3-postovaya-titan-kranz-KR-78-0753-2/", "Инфо")</f>
        <v>Инфо</v>
      </c>
      <c r="F164" s="16" t="s">
        <v>39</v>
      </c>
      <c r="G164" s="15"/>
      <c r="H164" s="15"/>
      <c r="I164" s="15"/>
      <c r="J164" s="22">
        <v>1872</v>
      </c>
      <c r="K164" s="15"/>
      <c r="L164" s="17">
        <v>1</v>
      </c>
      <c r="M164" s="17">
        <v>100</v>
      </c>
      <c r="N164" s="17">
        <v>1</v>
      </c>
      <c r="O164" s="18">
        <v>730.22</v>
      </c>
      <c r="P164" s="18">
        <v>598.54</v>
      </c>
      <c r="Q164" s="18">
        <v>730.22</v>
      </c>
      <c r="R164" s="18">
        <v>598.54</v>
      </c>
      <c r="S164" s="18">
        <v>584.17999999999995</v>
      </c>
      <c r="T164" s="18">
        <v>478.84</v>
      </c>
      <c r="U164" s="16"/>
      <c r="V164" s="16"/>
      <c r="W164" s="16" t="s">
        <v>40</v>
      </c>
      <c r="X164" s="19">
        <v>7.1999999999999995E-2</v>
      </c>
      <c r="Y164" s="20">
        <v>8.7000000000000001E-4</v>
      </c>
      <c r="Z164" s="21">
        <v>4601004325326</v>
      </c>
    </row>
    <row r="165" spans="1:26" ht="12" customHeight="1" outlineLevel="4" x14ac:dyDescent="0.2">
      <c r="A165" s="40" t="s">
        <v>343</v>
      </c>
      <c r="B165" s="75" t="s">
        <v>344</v>
      </c>
      <c r="C165" s="51"/>
      <c r="D165" s="54">
        <f t="shared" si="2"/>
        <v>0</v>
      </c>
      <c r="E165" s="61" t="str">
        <f>HYPERLINK("https://www.sds-group.ru/product/ramka-round-3-postovaya-shelk-kranz-KR-78-0753-7/", "Инфо")</f>
        <v>Инфо</v>
      </c>
      <c r="F165" s="42" t="s">
        <v>39</v>
      </c>
      <c r="G165" s="41" t="s">
        <v>40</v>
      </c>
      <c r="H165" s="41"/>
      <c r="I165" s="41"/>
      <c r="J165" s="43">
        <v>249</v>
      </c>
      <c r="K165" s="41" t="s">
        <v>210</v>
      </c>
      <c r="L165" s="43">
        <v>1</v>
      </c>
      <c r="M165" s="43">
        <v>100</v>
      </c>
      <c r="N165" s="43">
        <v>1</v>
      </c>
      <c r="O165" s="44">
        <v>730.22</v>
      </c>
      <c r="P165" s="44">
        <v>598.54</v>
      </c>
      <c r="Q165" s="44">
        <v>730.22</v>
      </c>
      <c r="R165" s="44">
        <v>598.54</v>
      </c>
      <c r="S165" s="44">
        <v>584.17999999999995</v>
      </c>
      <c r="T165" s="44">
        <v>478.84</v>
      </c>
      <c r="U165" s="42"/>
      <c r="V165" s="42"/>
      <c r="W165" s="42" t="s">
        <v>40</v>
      </c>
      <c r="X165" s="45">
        <v>7.8E-2</v>
      </c>
      <c r="Y165" s="46">
        <v>8.4999999999999995E-4</v>
      </c>
      <c r="Z165" s="21">
        <v>4601004346109</v>
      </c>
    </row>
    <row r="166" spans="1:26" ht="12" customHeight="1" outlineLevel="4" x14ac:dyDescent="0.2">
      <c r="A166" s="14" t="s">
        <v>345</v>
      </c>
      <c r="B166" s="26" t="s">
        <v>346</v>
      </c>
      <c r="C166" s="52"/>
      <c r="D166" s="55">
        <f t="shared" si="2"/>
        <v>0</v>
      </c>
      <c r="E166" s="63" t="str">
        <f>HYPERLINK("https://www.sds-group.ru/product/ramka-round-4-postovaya-oniks-kranz-KR-78-0754-3/", "Инфо")</f>
        <v>Инфо</v>
      </c>
      <c r="F166" s="16" t="s">
        <v>39</v>
      </c>
      <c r="G166" s="15"/>
      <c r="H166" s="15"/>
      <c r="I166" s="15"/>
      <c r="J166" s="22">
        <v>1019</v>
      </c>
      <c r="K166" s="15" t="s">
        <v>210</v>
      </c>
      <c r="L166" s="17">
        <v>1</v>
      </c>
      <c r="M166" s="17">
        <v>100</v>
      </c>
      <c r="N166" s="17">
        <v>1</v>
      </c>
      <c r="O166" s="18">
        <v>1083.02</v>
      </c>
      <c r="P166" s="18">
        <v>887.72</v>
      </c>
      <c r="Q166" s="18">
        <v>1083.02</v>
      </c>
      <c r="R166" s="18">
        <v>887.72</v>
      </c>
      <c r="S166" s="18">
        <v>866.42</v>
      </c>
      <c r="T166" s="18">
        <v>710.18</v>
      </c>
      <c r="U166" s="16"/>
      <c r="V166" s="16"/>
      <c r="W166" s="16" t="s">
        <v>40</v>
      </c>
      <c r="X166" s="19">
        <v>8.5999999999999993E-2</v>
      </c>
      <c r="Y166" s="20">
        <v>8.8900000000000003E-4</v>
      </c>
      <c r="Z166" s="21">
        <v>4601004325340</v>
      </c>
    </row>
    <row r="167" spans="1:26" ht="12" customHeight="1" outlineLevel="4" x14ac:dyDescent="0.2">
      <c r="A167" s="14" t="s">
        <v>347</v>
      </c>
      <c r="B167" s="26" t="s">
        <v>348</v>
      </c>
      <c r="C167" s="52"/>
      <c r="D167" s="55">
        <f t="shared" si="2"/>
        <v>0</v>
      </c>
      <c r="E167" s="63" t="str">
        <f>HYPERLINK("https://www.sds-group.ru/product/ramka-round-4-postovaya-perlamutr-kranz-KR-78-0754-1/", "Инфо")</f>
        <v>Инфо</v>
      </c>
      <c r="F167" s="16" t="s">
        <v>39</v>
      </c>
      <c r="G167" s="15"/>
      <c r="H167" s="15"/>
      <c r="I167" s="15"/>
      <c r="J167" s="17">
        <v>833</v>
      </c>
      <c r="K167" s="15" t="s">
        <v>210</v>
      </c>
      <c r="L167" s="17">
        <v>1</v>
      </c>
      <c r="M167" s="17">
        <v>100</v>
      </c>
      <c r="N167" s="17">
        <v>1</v>
      </c>
      <c r="O167" s="18">
        <v>604.38</v>
      </c>
      <c r="P167" s="18">
        <v>495.39</v>
      </c>
      <c r="Q167" s="18">
        <v>604.38</v>
      </c>
      <c r="R167" s="18">
        <v>495.39</v>
      </c>
      <c r="S167" s="18">
        <v>483.5</v>
      </c>
      <c r="T167" s="18">
        <v>396.31</v>
      </c>
      <c r="U167" s="16"/>
      <c r="V167" s="16"/>
      <c r="W167" s="16" t="s">
        <v>40</v>
      </c>
      <c r="X167" s="19">
        <v>8.5999999999999993E-2</v>
      </c>
      <c r="Y167" s="20">
        <v>8.6200000000000003E-4</v>
      </c>
      <c r="Z167" s="21">
        <v>4601004325319</v>
      </c>
    </row>
    <row r="168" spans="1:26" ht="12" customHeight="1" outlineLevel="4" x14ac:dyDescent="0.2">
      <c r="A168" s="14" t="s">
        <v>349</v>
      </c>
      <c r="B168" s="26" t="s">
        <v>350</v>
      </c>
      <c r="C168" s="52"/>
      <c r="D168" s="55">
        <f t="shared" si="2"/>
        <v>0</v>
      </c>
      <c r="E168" s="63" t="str">
        <f>HYPERLINK("https://www.sds-group.ru/product/ramka-round-4-postovaya-titan-kranz-KR-78-0754-2/", "Инфо")</f>
        <v>Инфо</v>
      </c>
      <c r="F168" s="16" t="s">
        <v>39</v>
      </c>
      <c r="G168" s="15"/>
      <c r="H168" s="15"/>
      <c r="I168" s="15"/>
      <c r="J168" s="22">
        <v>1638</v>
      </c>
      <c r="K168" s="15"/>
      <c r="L168" s="17">
        <v>1</v>
      </c>
      <c r="M168" s="17">
        <v>100</v>
      </c>
      <c r="N168" s="17">
        <v>1</v>
      </c>
      <c r="O168" s="18">
        <v>1054.76</v>
      </c>
      <c r="P168" s="18">
        <v>864.56</v>
      </c>
      <c r="Q168" s="18">
        <v>1054.76</v>
      </c>
      <c r="R168" s="18">
        <v>864.56</v>
      </c>
      <c r="S168" s="18">
        <v>843.81</v>
      </c>
      <c r="T168" s="18">
        <v>691.65</v>
      </c>
      <c r="U168" s="16"/>
      <c r="V168" s="16"/>
      <c r="W168" s="16" t="s">
        <v>40</v>
      </c>
      <c r="X168" s="19">
        <v>8.5999999999999993E-2</v>
      </c>
      <c r="Y168" s="20">
        <v>8.8400000000000002E-4</v>
      </c>
      <c r="Z168" s="21">
        <v>4601004325289</v>
      </c>
    </row>
    <row r="169" spans="1:26" ht="12" customHeight="1" outlineLevel="4" x14ac:dyDescent="0.2">
      <c r="A169" s="40" t="s">
        <v>351</v>
      </c>
      <c r="B169" s="75" t="s">
        <v>352</v>
      </c>
      <c r="C169" s="51"/>
      <c r="D169" s="54">
        <f t="shared" si="2"/>
        <v>0</v>
      </c>
      <c r="E169" s="61" t="str">
        <f>HYPERLINK("https://www.sds-group.ru/product/ramka-round-4-postovaya-shelk-kranz-KR-78-0754-7/", "Инфо")</f>
        <v>Инфо</v>
      </c>
      <c r="F169" s="42" t="s">
        <v>39</v>
      </c>
      <c r="G169" s="41" t="s">
        <v>40</v>
      </c>
      <c r="H169" s="41"/>
      <c r="I169" s="41"/>
      <c r="J169" s="42" t="s">
        <v>100</v>
      </c>
      <c r="K169" s="41" t="s">
        <v>210</v>
      </c>
      <c r="L169" s="43">
        <v>1</v>
      </c>
      <c r="M169" s="43">
        <v>100</v>
      </c>
      <c r="N169" s="43">
        <v>1</v>
      </c>
      <c r="O169" s="44">
        <v>1054.76</v>
      </c>
      <c r="P169" s="44">
        <v>864.56</v>
      </c>
      <c r="Q169" s="44">
        <v>1054.76</v>
      </c>
      <c r="R169" s="44">
        <v>864.56</v>
      </c>
      <c r="S169" s="44">
        <v>843.81</v>
      </c>
      <c r="T169" s="44">
        <v>691.65</v>
      </c>
      <c r="U169" s="42"/>
      <c r="V169" s="42"/>
      <c r="W169" s="42" t="s">
        <v>40</v>
      </c>
      <c r="X169" s="45">
        <v>8.5000000000000006E-2</v>
      </c>
      <c r="Y169" s="46">
        <v>8.7600000000000004E-4</v>
      </c>
      <c r="Z169" s="21">
        <v>4601004346123</v>
      </c>
    </row>
    <row r="170" spans="1:26" ht="12" customHeight="1" outlineLevel="4" x14ac:dyDescent="0.2">
      <c r="A170" s="14" t="s">
        <v>353</v>
      </c>
      <c r="B170" s="26" t="s">
        <v>354</v>
      </c>
      <c r="C170" s="52"/>
      <c r="D170" s="55">
        <f t="shared" si="2"/>
        <v>0</v>
      </c>
      <c r="E170" s="63" t="str">
        <f>HYPERLINK("https://www.sds-group.ru/product/ramka-round-5-postovaya-oniks-kranz-KR-78-0755-3/", "Инфо")</f>
        <v>Инфо</v>
      </c>
      <c r="F170" s="16" t="s">
        <v>39</v>
      </c>
      <c r="G170" s="15"/>
      <c r="H170" s="15"/>
      <c r="I170" s="15"/>
      <c r="J170" s="17">
        <v>286</v>
      </c>
      <c r="K170" s="15"/>
      <c r="L170" s="17">
        <v>1</v>
      </c>
      <c r="M170" s="17">
        <v>100</v>
      </c>
      <c r="N170" s="17">
        <v>1</v>
      </c>
      <c r="O170" s="18">
        <v>1333.37</v>
      </c>
      <c r="P170" s="18">
        <v>1092.93</v>
      </c>
      <c r="Q170" s="18">
        <v>1333.37</v>
      </c>
      <c r="R170" s="18">
        <v>1092.93</v>
      </c>
      <c r="S170" s="18">
        <v>1066.7</v>
      </c>
      <c r="T170" s="18">
        <v>874.34</v>
      </c>
      <c r="U170" s="16"/>
      <c r="V170" s="16"/>
      <c r="W170" s="16" t="s">
        <v>40</v>
      </c>
      <c r="X170" s="19">
        <v>8.4000000000000005E-2</v>
      </c>
      <c r="Y170" s="20">
        <v>8.8500000000000004E-4</v>
      </c>
      <c r="Z170" s="21">
        <v>4601004325364</v>
      </c>
    </row>
    <row r="171" spans="1:26" ht="12" customHeight="1" outlineLevel="4" x14ac:dyDescent="0.2">
      <c r="A171" s="14" t="s">
        <v>355</v>
      </c>
      <c r="B171" s="26" t="s">
        <v>356</v>
      </c>
      <c r="C171" s="52"/>
      <c r="D171" s="55">
        <f t="shared" si="2"/>
        <v>0</v>
      </c>
      <c r="E171" s="63" t="str">
        <f>HYPERLINK("https://www.sds-group.ru/product/ramka-round-5-postovaya-perlamutr-kranz-KR-78-0755-1/", "Инфо")</f>
        <v>Инфо</v>
      </c>
      <c r="F171" s="16" t="s">
        <v>39</v>
      </c>
      <c r="G171" s="15"/>
      <c r="H171" s="15"/>
      <c r="I171" s="15"/>
      <c r="J171" s="17">
        <v>354</v>
      </c>
      <c r="K171" s="15" t="s">
        <v>210</v>
      </c>
      <c r="L171" s="17">
        <v>1</v>
      </c>
      <c r="M171" s="17">
        <v>100</v>
      </c>
      <c r="N171" s="17">
        <v>1</v>
      </c>
      <c r="O171" s="18">
        <v>793.8</v>
      </c>
      <c r="P171" s="18">
        <v>650.66</v>
      </c>
      <c r="Q171" s="18">
        <v>793.8</v>
      </c>
      <c r="R171" s="18">
        <v>650.66</v>
      </c>
      <c r="S171" s="18">
        <v>635.04</v>
      </c>
      <c r="T171" s="18">
        <v>520.52</v>
      </c>
      <c r="U171" s="16"/>
      <c r="V171" s="16"/>
      <c r="W171" s="16" t="s">
        <v>40</v>
      </c>
      <c r="X171" s="19">
        <v>9.9000000000000005E-2</v>
      </c>
      <c r="Y171" s="20">
        <v>8.8500000000000004E-4</v>
      </c>
      <c r="Z171" s="21">
        <v>4601004325425</v>
      </c>
    </row>
    <row r="172" spans="1:26" ht="12" customHeight="1" outlineLevel="4" x14ac:dyDescent="0.2">
      <c r="A172" s="14" t="s">
        <v>357</v>
      </c>
      <c r="B172" s="26" t="s">
        <v>358</v>
      </c>
      <c r="C172" s="52"/>
      <c r="D172" s="55">
        <f t="shared" si="2"/>
        <v>0</v>
      </c>
      <c r="E172" s="63" t="str">
        <f>HYPERLINK("https://www.sds-group.ru/product/ramka-round-5-postovaya-titan-kranz-KR-78-0755-2/", "Инфо")</f>
        <v>Инфо</v>
      </c>
      <c r="F172" s="16" t="s">
        <v>39</v>
      </c>
      <c r="G172" s="15"/>
      <c r="H172" s="15"/>
      <c r="I172" s="15"/>
      <c r="J172" s="17">
        <v>823</v>
      </c>
      <c r="K172" s="15"/>
      <c r="L172" s="17">
        <v>1</v>
      </c>
      <c r="M172" s="17">
        <v>100</v>
      </c>
      <c r="N172" s="17">
        <v>1</v>
      </c>
      <c r="O172" s="18">
        <v>1298.5999999999999</v>
      </c>
      <c r="P172" s="18">
        <v>1064.43</v>
      </c>
      <c r="Q172" s="18">
        <v>1298.5999999999999</v>
      </c>
      <c r="R172" s="18">
        <v>1064.43</v>
      </c>
      <c r="S172" s="18">
        <v>1038.8800000000001</v>
      </c>
      <c r="T172" s="18">
        <v>851.54</v>
      </c>
      <c r="U172" s="16"/>
      <c r="V172" s="16"/>
      <c r="W172" s="16" t="s">
        <v>40</v>
      </c>
      <c r="X172" s="19">
        <v>9.7000000000000003E-2</v>
      </c>
      <c r="Y172" s="20">
        <v>8.6799999999999996E-4</v>
      </c>
      <c r="Z172" s="21">
        <v>4601004325371</v>
      </c>
    </row>
    <row r="173" spans="1:26" ht="12" customHeight="1" outlineLevel="4" x14ac:dyDescent="0.2">
      <c r="A173" s="40" t="s">
        <v>359</v>
      </c>
      <c r="B173" s="75" t="s">
        <v>360</v>
      </c>
      <c r="C173" s="51"/>
      <c r="D173" s="54">
        <f t="shared" si="2"/>
        <v>0</v>
      </c>
      <c r="E173" s="61" t="str">
        <f>HYPERLINK("https://www.sds-group.ru/product/ramka-round-5-postovaya-shelk-kranz-KR-78-0755-7/", "Инфо")</f>
        <v>Инфо</v>
      </c>
      <c r="F173" s="42" t="s">
        <v>39</v>
      </c>
      <c r="G173" s="41" t="s">
        <v>40</v>
      </c>
      <c r="H173" s="41"/>
      <c r="I173" s="41"/>
      <c r="J173" s="42" t="s">
        <v>100</v>
      </c>
      <c r="K173" s="41" t="s">
        <v>210</v>
      </c>
      <c r="L173" s="43">
        <v>1</v>
      </c>
      <c r="M173" s="43">
        <v>100</v>
      </c>
      <c r="N173" s="43">
        <v>1</v>
      </c>
      <c r="O173" s="44">
        <v>1298.5999999999999</v>
      </c>
      <c r="P173" s="44">
        <v>1064.43</v>
      </c>
      <c r="Q173" s="44">
        <v>1298.5999999999999</v>
      </c>
      <c r="R173" s="44">
        <v>1064.43</v>
      </c>
      <c r="S173" s="44">
        <v>1038.8800000000001</v>
      </c>
      <c r="T173" s="44">
        <v>851.54</v>
      </c>
      <c r="U173" s="42"/>
      <c r="V173" s="42"/>
      <c r="W173" s="42" t="s">
        <v>40</v>
      </c>
      <c r="X173" s="45">
        <v>9.9000000000000005E-2</v>
      </c>
      <c r="Y173" s="46">
        <v>8.8099999999999995E-4</v>
      </c>
      <c r="Z173" s="21">
        <v>4601004346147</v>
      </c>
    </row>
    <row r="174" spans="1:26" ht="12" customHeight="1" outlineLevel="4" x14ac:dyDescent="0.2">
      <c r="A174" s="14" t="s">
        <v>361</v>
      </c>
      <c r="B174" s="26" t="s">
        <v>362</v>
      </c>
      <c r="C174" s="52"/>
      <c r="D174" s="55">
        <f t="shared" si="2"/>
        <v>0</v>
      </c>
      <c r="E174" s="63" t="str">
        <f>HYPERLINK("https://www.sds-group.ru/product/rozetka-round-1-aya-s-z-s-u-z-sh-16a-s-usb-a-c-bystroy-zaryadki-5v-3a-oniks-kranz-KR-78-0704-3/", "Инфо")</f>
        <v>Инфо</v>
      </c>
      <c r="F174" s="16" t="s">
        <v>39</v>
      </c>
      <c r="G174" s="15"/>
      <c r="H174" s="15"/>
      <c r="I174" s="15"/>
      <c r="J174" s="17">
        <v>402</v>
      </c>
      <c r="K174" s="15"/>
      <c r="L174" s="17">
        <v>1</v>
      </c>
      <c r="M174" s="17">
        <v>80</v>
      </c>
      <c r="N174" s="17">
        <v>1</v>
      </c>
      <c r="O174" s="18">
        <v>6350.68</v>
      </c>
      <c r="P174" s="18">
        <v>5205.4799999999996</v>
      </c>
      <c r="Q174" s="18">
        <v>6350.68</v>
      </c>
      <c r="R174" s="18">
        <v>5205.4799999999996</v>
      </c>
      <c r="S174" s="18">
        <v>5080.54</v>
      </c>
      <c r="T174" s="18">
        <v>4164.38</v>
      </c>
      <c r="U174" s="16"/>
      <c r="V174" s="16"/>
      <c r="W174" s="16" t="s">
        <v>40</v>
      </c>
      <c r="X174" s="19">
        <v>0.186</v>
      </c>
      <c r="Y174" s="20">
        <v>6.4899999999999995E-4</v>
      </c>
      <c r="Z174" s="21">
        <v>4601004323490</v>
      </c>
    </row>
    <row r="175" spans="1:26" ht="12" customHeight="1" outlineLevel="4" x14ac:dyDescent="0.2">
      <c r="A175" s="14" t="s">
        <v>363</v>
      </c>
      <c r="B175" s="26" t="s">
        <v>364</v>
      </c>
      <c r="C175" s="52"/>
      <c r="D175" s="55">
        <f t="shared" si="2"/>
        <v>0</v>
      </c>
      <c r="E175" s="63" t="str">
        <f>HYPERLINK("https://www.sds-group.ru/product/rozetka-round-1-aya-s-z-s-u-z-sh-16a-s-usb-a-c-bystroy-zaryadki-5v-3a-perlamutr-kranz-KR-78-0704-1/", "Инфо")</f>
        <v>Инфо</v>
      </c>
      <c r="F175" s="16" t="s">
        <v>39</v>
      </c>
      <c r="G175" s="15"/>
      <c r="H175" s="15"/>
      <c r="I175" s="15"/>
      <c r="J175" s="17">
        <v>414</v>
      </c>
      <c r="K175" s="15" t="s">
        <v>210</v>
      </c>
      <c r="L175" s="17">
        <v>1</v>
      </c>
      <c r="M175" s="17">
        <v>80</v>
      </c>
      <c r="N175" s="17">
        <v>1</v>
      </c>
      <c r="O175" s="18">
        <v>5197.7299999999996</v>
      </c>
      <c r="P175" s="18">
        <v>4260.43</v>
      </c>
      <c r="Q175" s="18">
        <v>5197.7299999999996</v>
      </c>
      <c r="R175" s="18">
        <v>4260.43</v>
      </c>
      <c r="S175" s="18">
        <v>4158.18</v>
      </c>
      <c r="T175" s="18">
        <v>3408.34</v>
      </c>
      <c r="U175" s="16"/>
      <c r="V175" s="16"/>
      <c r="W175" s="16" t="s">
        <v>40</v>
      </c>
      <c r="X175" s="19">
        <v>0.185</v>
      </c>
      <c r="Y175" s="20">
        <v>6.5600000000000001E-4</v>
      </c>
      <c r="Z175" s="21">
        <v>4601004323506</v>
      </c>
    </row>
    <row r="176" spans="1:26" ht="12" customHeight="1" outlineLevel="4" x14ac:dyDescent="0.2">
      <c r="A176" s="14" t="s">
        <v>365</v>
      </c>
      <c r="B176" s="26" t="s">
        <v>366</v>
      </c>
      <c r="C176" s="52"/>
      <c r="D176" s="55">
        <f t="shared" si="2"/>
        <v>0</v>
      </c>
      <c r="E176" s="63" t="str">
        <f>HYPERLINK("https://www.sds-group.ru/product/rozetka-round-1-aya-s-z-s-u-z-sh-16a-s-usb-a-c-bystroy-zaryadki-5v-3a-titan-kranz-KR-78-0704-2/", "Инфо")</f>
        <v>Инфо</v>
      </c>
      <c r="F176" s="16" t="s">
        <v>39</v>
      </c>
      <c r="G176" s="15"/>
      <c r="H176" s="15"/>
      <c r="I176" s="15"/>
      <c r="J176" s="17">
        <v>1</v>
      </c>
      <c r="K176" s="15"/>
      <c r="L176" s="17">
        <v>1</v>
      </c>
      <c r="M176" s="17">
        <v>80</v>
      </c>
      <c r="N176" s="17">
        <v>1</v>
      </c>
      <c r="O176" s="18">
        <v>6240.22</v>
      </c>
      <c r="P176" s="18">
        <v>5114.93</v>
      </c>
      <c r="Q176" s="18">
        <v>6240.22</v>
      </c>
      <c r="R176" s="18">
        <v>5114.93</v>
      </c>
      <c r="S176" s="18">
        <v>4992.18</v>
      </c>
      <c r="T176" s="18">
        <v>4091.95</v>
      </c>
      <c r="U176" s="16"/>
      <c r="V176" s="16"/>
      <c r="W176" s="16" t="s">
        <v>40</v>
      </c>
      <c r="X176" s="19">
        <v>0.185</v>
      </c>
      <c r="Y176" s="20">
        <v>6.6E-4</v>
      </c>
      <c r="Z176" s="21">
        <v>4601004323377</v>
      </c>
    </row>
    <row r="177" spans="1:26" ht="12" customHeight="1" outlineLevel="4" x14ac:dyDescent="0.2">
      <c r="A177" s="40" t="s">
        <v>367</v>
      </c>
      <c r="B177" s="75" t="s">
        <v>368</v>
      </c>
      <c r="C177" s="51"/>
      <c r="D177" s="54">
        <f t="shared" si="2"/>
        <v>0</v>
      </c>
      <c r="E177" s="61" t="str">
        <f>HYPERLINK("https://www.sds-group.ru/product/rozetka-round-1-aya-s-z-s-u-z-sh-16a-s-usb-a-c-bystroy-zaryadki-5v-3a-shelk-kranz-KR-78-0704-7/", "Инфо")</f>
        <v>Инфо</v>
      </c>
      <c r="F177" s="42" t="s">
        <v>39</v>
      </c>
      <c r="G177" s="41" t="s">
        <v>40</v>
      </c>
      <c r="H177" s="41"/>
      <c r="I177" s="41"/>
      <c r="J177" s="43">
        <v>78</v>
      </c>
      <c r="K177" s="41" t="s">
        <v>210</v>
      </c>
      <c r="L177" s="43">
        <v>1</v>
      </c>
      <c r="M177" s="43">
        <v>80</v>
      </c>
      <c r="N177" s="43">
        <v>1</v>
      </c>
      <c r="O177" s="44">
        <v>6240.22</v>
      </c>
      <c r="P177" s="44">
        <v>5114.93</v>
      </c>
      <c r="Q177" s="44">
        <v>6240.22</v>
      </c>
      <c r="R177" s="44">
        <v>5114.93</v>
      </c>
      <c r="S177" s="44">
        <v>4992.18</v>
      </c>
      <c r="T177" s="44">
        <v>4091.95</v>
      </c>
      <c r="U177" s="42"/>
      <c r="V177" s="42"/>
      <c r="W177" s="42" t="s">
        <v>40</v>
      </c>
      <c r="X177" s="45">
        <v>0.19400000000000001</v>
      </c>
      <c r="Y177" s="46">
        <v>6.6100000000000002E-4</v>
      </c>
      <c r="Z177" s="21">
        <v>4601004345409</v>
      </c>
    </row>
    <row r="178" spans="1:26" ht="12" customHeight="1" outlineLevel="4" x14ac:dyDescent="0.2">
      <c r="A178" s="14" t="s">
        <v>369</v>
      </c>
      <c r="B178" s="26" t="s">
        <v>370</v>
      </c>
      <c r="C178" s="52"/>
      <c r="D178" s="55">
        <f t="shared" si="2"/>
        <v>0</v>
      </c>
      <c r="E178" s="63" t="str">
        <f>HYPERLINK("https://www.sds-group.ru/product/rozetka-round-1-aya-s-z-s-u-so-shtorkami-16a-oniks-kranz-KR-78-0701-3/", "Инфо")</f>
        <v>Инфо</v>
      </c>
      <c r="F178" s="16" t="s">
        <v>39</v>
      </c>
      <c r="G178" s="15"/>
      <c r="H178" s="15"/>
      <c r="I178" s="15"/>
      <c r="J178" s="22">
        <v>3182</v>
      </c>
      <c r="K178" s="15" t="s">
        <v>210</v>
      </c>
      <c r="L178" s="17">
        <v>1</v>
      </c>
      <c r="M178" s="17">
        <v>100</v>
      </c>
      <c r="N178" s="17">
        <v>1</v>
      </c>
      <c r="O178" s="18">
        <v>1028.71</v>
      </c>
      <c r="P178" s="18">
        <v>843.2</v>
      </c>
      <c r="Q178" s="18">
        <v>1028.71</v>
      </c>
      <c r="R178" s="18">
        <v>843.2</v>
      </c>
      <c r="S178" s="18">
        <v>822.97</v>
      </c>
      <c r="T178" s="18">
        <v>674.57</v>
      </c>
      <c r="U178" s="16"/>
      <c r="V178" s="16"/>
      <c r="W178" s="16" t="s">
        <v>40</v>
      </c>
      <c r="X178" s="19">
        <v>0.14299999999999999</v>
      </c>
      <c r="Y178" s="20">
        <v>5.4600000000000004E-4</v>
      </c>
      <c r="Z178" s="21">
        <v>4601004323292</v>
      </c>
    </row>
    <row r="179" spans="1:26" ht="12" customHeight="1" outlineLevel="4" x14ac:dyDescent="0.2">
      <c r="A179" s="14" t="s">
        <v>371</v>
      </c>
      <c r="B179" s="26" t="s">
        <v>372</v>
      </c>
      <c r="C179" s="52"/>
      <c r="D179" s="55">
        <f t="shared" si="2"/>
        <v>0</v>
      </c>
      <c r="E179" s="63" t="str">
        <f>HYPERLINK("https://www.sds-group.ru/product/rozetka-round-1-aya-s-z-s-u-so-shtorkami-16a-perlamutr-kranz-KR-78-0701-1/", "Инфо")</f>
        <v>Инфо</v>
      </c>
      <c r="F179" s="16" t="s">
        <v>39</v>
      </c>
      <c r="G179" s="15"/>
      <c r="H179" s="15"/>
      <c r="I179" s="15"/>
      <c r="J179" s="22">
        <v>3684</v>
      </c>
      <c r="K179" s="15" t="s">
        <v>210</v>
      </c>
      <c r="L179" s="17">
        <v>1</v>
      </c>
      <c r="M179" s="17">
        <v>100</v>
      </c>
      <c r="N179" s="17">
        <v>1</v>
      </c>
      <c r="O179" s="18">
        <v>841.95</v>
      </c>
      <c r="P179" s="18">
        <v>690.12</v>
      </c>
      <c r="Q179" s="18">
        <v>841.95</v>
      </c>
      <c r="R179" s="18">
        <v>690.12</v>
      </c>
      <c r="S179" s="18">
        <v>673.56</v>
      </c>
      <c r="T179" s="18">
        <v>552.1</v>
      </c>
      <c r="U179" s="16"/>
      <c r="V179" s="16"/>
      <c r="W179" s="16" t="s">
        <v>40</v>
      </c>
      <c r="X179" s="19">
        <v>0.14299999999999999</v>
      </c>
      <c r="Y179" s="20">
        <v>5.2999999999999998E-4</v>
      </c>
      <c r="Z179" s="21">
        <v>4601004323285</v>
      </c>
    </row>
    <row r="180" spans="1:26" ht="12" customHeight="1" outlineLevel="4" x14ac:dyDescent="0.2">
      <c r="A180" s="14" t="s">
        <v>373</v>
      </c>
      <c r="B180" s="26" t="s">
        <v>374</v>
      </c>
      <c r="C180" s="52"/>
      <c r="D180" s="55">
        <f t="shared" si="2"/>
        <v>0</v>
      </c>
      <c r="E180" s="63" t="str">
        <f>HYPERLINK("https://www.sds-group.ru/product/rozetka-round-1-aya-s-z-s-u-so-shtorkami-16a-titan-kranz-KR-78-0701-2/", "Инфо")</f>
        <v>Инфо</v>
      </c>
      <c r="F180" s="16" t="s">
        <v>39</v>
      </c>
      <c r="G180" s="15"/>
      <c r="H180" s="15"/>
      <c r="I180" s="15"/>
      <c r="J180" s="22">
        <v>4462</v>
      </c>
      <c r="K180" s="15" t="s">
        <v>210</v>
      </c>
      <c r="L180" s="17">
        <v>1</v>
      </c>
      <c r="M180" s="17">
        <v>100</v>
      </c>
      <c r="N180" s="17">
        <v>1</v>
      </c>
      <c r="O180" s="18">
        <v>1002.76</v>
      </c>
      <c r="P180" s="18">
        <v>821.93</v>
      </c>
      <c r="Q180" s="18">
        <v>1002.76</v>
      </c>
      <c r="R180" s="18">
        <v>821.93</v>
      </c>
      <c r="S180" s="18">
        <v>802.21</v>
      </c>
      <c r="T180" s="18">
        <v>657.55</v>
      </c>
      <c r="U180" s="16"/>
      <c r="V180" s="16"/>
      <c r="W180" s="16" t="s">
        <v>40</v>
      </c>
      <c r="X180" s="19">
        <v>0.14299999999999999</v>
      </c>
      <c r="Y180" s="20">
        <v>5.4199999999999995E-4</v>
      </c>
      <c r="Z180" s="21">
        <v>4601004323278</v>
      </c>
    </row>
    <row r="181" spans="1:26" ht="12" customHeight="1" outlineLevel="4" x14ac:dyDescent="0.2">
      <c r="A181" s="40" t="s">
        <v>375</v>
      </c>
      <c r="B181" s="75" t="s">
        <v>376</v>
      </c>
      <c r="C181" s="51"/>
      <c r="D181" s="54">
        <f t="shared" si="2"/>
        <v>0</v>
      </c>
      <c r="E181" s="61" t="str">
        <f>HYPERLINK("https://www.sds-group.ru/product/rozetka-round-1-aya-s-z-s-u-so-shtorkami-16a-shelk-kranz-KR-78-0701-7/", "Инфо")</f>
        <v>Инфо</v>
      </c>
      <c r="F181" s="42" t="s">
        <v>39</v>
      </c>
      <c r="G181" s="41" t="s">
        <v>40</v>
      </c>
      <c r="H181" s="41"/>
      <c r="I181" s="41"/>
      <c r="J181" s="47">
        <v>6701</v>
      </c>
      <c r="K181" s="41" t="s">
        <v>210</v>
      </c>
      <c r="L181" s="43">
        <v>1</v>
      </c>
      <c r="M181" s="43">
        <v>100</v>
      </c>
      <c r="N181" s="43">
        <v>1</v>
      </c>
      <c r="O181" s="44">
        <v>1002.76</v>
      </c>
      <c r="P181" s="44">
        <v>821.93</v>
      </c>
      <c r="Q181" s="44">
        <v>1002.76</v>
      </c>
      <c r="R181" s="44">
        <v>821.93</v>
      </c>
      <c r="S181" s="44">
        <v>802.21</v>
      </c>
      <c r="T181" s="44">
        <v>657.55</v>
      </c>
      <c r="U181" s="42"/>
      <c r="V181" s="42"/>
      <c r="W181" s="42" t="s">
        <v>40</v>
      </c>
      <c r="X181" s="45">
        <v>0.14299999999999999</v>
      </c>
      <c r="Y181" s="46">
        <v>5.2999999999999998E-4</v>
      </c>
      <c r="Z181" s="21">
        <v>4601004345362</v>
      </c>
    </row>
    <row r="182" spans="1:26" ht="12" customHeight="1" outlineLevel="4" x14ac:dyDescent="0.2">
      <c r="A182" s="14" t="s">
        <v>377</v>
      </c>
      <c r="B182" s="26" t="s">
        <v>378</v>
      </c>
      <c r="C182" s="52"/>
      <c r="D182" s="55">
        <f t="shared" si="2"/>
        <v>0</v>
      </c>
      <c r="E182" s="63" t="str">
        <f>HYPERLINK("https://www.sds-group.ru/product/rozetka-round-1-aya-s-z-s-u-so-shtorkami-i-kryshkoy-16a-oniks-kranz-KR-78-0702-3/", "Инфо")</f>
        <v>Инфо</v>
      </c>
      <c r="F182" s="16" t="s">
        <v>39</v>
      </c>
      <c r="G182" s="15"/>
      <c r="H182" s="15"/>
      <c r="I182" s="15"/>
      <c r="J182" s="17">
        <v>300</v>
      </c>
      <c r="K182" s="15" t="s">
        <v>210</v>
      </c>
      <c r="L182" s="17">
        <v>1</v>
      </c>
      <c r="M182" s="17">
        <v>80</v>
      </c>
      <c r="N182" s="17">
        <v>1</v>
      </c>
      <c r="O182" s="18">
        <v>1439.83</v>
      </c>
      <c r="P182" s="18">
        <v>1180.19</v>
      </c>
      <c r="Q182" s="18">
        <v>1439.83</v>
      </c>
      <c r="R182" s="18">
        <v>1180.19</v>
      </c>
      <c r="S182" s="18">
        <v>1151.8599999999999</v>
      </c>
      <c r="T182" s="18">
        <v>944.15</v>
      </c>
      <c r="U182" s="16"/>
      <c r="V182" s="16"/>
      <c r="W182" s="16" t="s">
        <v>40</v>
      </c>
      <c r="X182" s="19">
        <v>0.16200000000000001</v>
      </c>
      <c r="Y182" s="20">
        <v>6.7000000000000002E-4</v>
      </c>
      <c r="Z182" s="21">
        <v>4601004323391</v>
      </c>
    </row>
    <row r="183" spans="1:26" ht="12" customHeight="1" outlineLevel="4" x14ac:dyDescent="0.2">
      <c r="A183" s="14" t="s">
        <v>379</v>
      </c>
      <c r="B183" s="26" t="s">
        <v>380</v>
      </c>
      <c r="C183" s="52"/>
      <c r="D183" s="55">
        <f t="shared" si="2"/>
        <v>0</v>
      </c>
      <c r="E183" s="63" t="str">
        <f>HYPERLINK("https://www.sds-group.ru/product/rozetka-round-1-aya-s-z-s-u-so-shtorkami-i-kryshkoy-16a-perlamutr-kranz-KR-78-0702-1/", "Инфо")</f>
        <v>Инфо</v>
      </c>
      <c r="F183" s="16" t="s">
        <v>39</v>
      </c>
      <c r="G183" s="15"/>
      <c r="H183" s="15"/>
      <c r="I183" s="15"/>
      <c r="J183" s="17">
        <v>314</v>
      </c>
      <c r="K183" s="15" t="s">
        <v>210</v>
      </c>
      <c r="L183" s="17">
        <v>1</v>
      </c>
      <c r="M183" s="17">
        <v>80</v>
      </c>
      <c r="N183" s="17">
        <v>1</v>
      </c>
      <c r="O183" s="18">
        <v>1178.46</v>
      </c>
      <c r="P183" s="18">
        <v>965.95</v>
      </c>
      <c r="Q183" s="18">
        <v>1178.46</v>
      </c>
      <c r="R183" s="18">
        <v>965.95</v>
      </c>
      <c r="S183" s="18">
        <v>942.77</v>
      </c>
      <c r="T183" s="18">
        <v>772.76</v>
      </c>
      <c r="U183" s="16"/>
      <c r="V183" s="16"/>
      <c r="W183" s="16" t="s">
        <v>40</v>
      </c>
      <c r="X183" s="19">
        <v>0.16200000000000001</v>
      </c>
      <c r="Y183" s="20">
        <v>6.6200000000000015E-4</v>
      </c>
      <c r="Z183" s="21">
        <v>4601004323438</v>
      </c>
    </row>
    <row r="184" spans="1:26" ht="12" customHeight="1" outlineLevel="4" x14ac:dyDescent="0.2">
      <c r="A184" s="14" t="s">
        <v>381</v>
      </c>
      <c r="B184" s="26" t="s">
        <v>382</v>
      </c>
      <c r="C184" s="52"/>
      <c r="D184" s="55">
        <f t="shared" si="2"/>
        <v>0</v>
      </c>
      <c r="E184" s="63" t="str">
        <f>HYPERLINK("https://www.sds-group.ru/product/rozetka-round-1-aya-s-z-s-u-so-shtorkami-i-kryshkoy-16a-titan-kranz-KR-78-0702-2/", "Инфо")</f>
        <v>Инфо</v>
      </c>
      <c r="F184" s="16" t="s">
        <v>39</v>
      </c>
      <c r="G184" s="15"/>
      <c r="H184" s="15"/>
      <c r="I184" s="15"/>
      <c r="J184" s="17">
        <v>1</v>
      </c>
      <c r="K184" s="15"/>
      <c r="L184" s="17">
        <v>1</v>
      </c>
      <c r="M184" s="17">
        <v>80</v>
      </c>
      <c r="N184" s="17">
        <v>1</v>
      </c>
      <c r="O184" s="18">
        <v>1414.8</v>
      </c>
      <c r="P184" s="18">
        <v>1159.67</v>
      </c>
      <c r="Q184" s="18">
        <v>1414.8</v>
      </c>
      <c r="R184" s="18">
        <v>1159.67</v>
      </c>
      <c r="S184" s="18">
        <v>1131.8399999999999</v>
      </c>
      <c r="T184" s="18">
        <v>927.74</v>
      </c>
      <c r="U184" s="16"/>
      <c r="V184" s="16"/>
      <c r="W184" s="16" t="s">
        <v>40</v>
      </c>
      <c r="X184" s="19">
        <v>0.16300000000000001</v>
      </c>
      <c r="Y184" s="20">
        <v>6.5899999999999997E-4</v>
      </c>
      <c r="Z184" s="21">
        <v>4601004323421</v>
      </c>
    </row>
    <row r="185" spans="1:26" ht="12" customHeight="1" outlineLevel="4" x14ac:dyDescent="0.2">
      <c r="A185" s="40" t="s">
        <v>383</v>
      </c>
      <c r="B185" s="75" t="s">
        <v>384</v>
      </c>
      <c r="C185" s="51"/>
      <c r="D185" s="54">
        <f t="shared" si="2"/>
        <v>0</v>
      </c>
      <c r="E185" s="61" t="str">
        <f>HYPERLINK("https://www.sds-group.ru/product/rozetka-round-1-aya-s-z-s-u-so-shtorkami-i-kryshkoy-16a-shelk-kranz-KR-78-0702-7/", "Инфо")</f>
        <v>Инфо</v>
      </c>
      <c r="F185" s="42" t="s">
        <v>39</v>
      </c>
      <c r="G185" s="41" t="s">
        <v>40</v>
      </c>
      <c r="H185" s="41"/>
      <c r="I185" s="41"/>
      <c r="J185" s="43">
        <v>850</v>
      </c>
      <c r="K185" s="41" t="s">
        <v>210</v>
      </c>
      <c r="L185" s="43">
        <v>1</v>
      </c>
      <c r="M185" s="43">
        <v>80</v>
      </c>
      <c r="N185" s="43">
        <v>1</v>
      </c>
      <c r="O185" s="44">
        <v>1414.8</v>
      </c>
      <c r="P185" s="44">
        <v>1159.67</v>
      </c>
      <c r="Q185" s="44">
        <v>1414.8</v>
      </c>
      <c r="R185" s="44">
        <v>1159.67</v>
      </c>
      <c r="S185" s="44">
        <v>1131.8399999999999</v>
      </c>
      <c r="T185" s="44">
        <v>927.74</v>
      </c>
      <c r="U185" s="42"/>
      <c r="V185" s="42"/>
      <c r="W185" s="42" t="s">
        <v>40</v>
      </c>
      <c r="X185" s="45">
        <v>0.161</v>
      </c>
      <c r="Y185" s="46">
        <v>6.6600000000000003E-4</v>
      </c>
      <c r="Z185" s="21">
        <v>4601004345379</v>
      </c>
    </row>
    <row r="186" spans="1:26" ht="12" customHeight="1" outlineLevel="4" x14ac:dyDescent="0.2">
      <c r="A186" s="14" t="s">
        <v>385</v>
      </c>
      <c r="B186" s="26" t="s">
        <v>386</v>
      </c>
      <c r="C186" s="52"/>
      <c r="D186" s="55">
        <f t="shared" si="2"/>
        <v>0</v>
      </c>
      <c r="E186" s="63" t="str">
        <f>HYPERLINK("https://www.sds-group.ru/product/rozetka-round-tv-s-u-oniks-kranz-KR-78-0723-3/", "Инфо")</f>
        <v>Инфо</v>
      </c>
      <c r="F186" s="16" t="s">
        <v>39</v>
      </c>
      <c r="G186" s="15"/>
      <c r="H186" s="15"/>
      <c r="I186" s="15"/>
      <c r="J186" s="17">
        <v>327</v>
      </c>
      <c r="K186" s="15"/>
      <c r="L186" s="17">
        <v>1</v>
      </c>
      <c r="M186" s="17">
        <v>100</v>
      </c>
      <c r="N186" s="17">
        <v>1</v>
      </c>
      <c r="O186" s="18">
        <v>1662.02</v>
      </c>
      <c r="P186" s="18">
        <v>1362.31</v>
      </c>
      <c r="Q186" s="18">
        <v>1662.02</v>
      </c>
      <c r="R186" s="18">
        <v>1362.31</v>
      </c>
      <c r="S186" s="18">
        <v>1329.62</v>
      </c>
      <c r="T186" s="18">
        <v>1089.8499999999999</v>
      </c>
      <c r="U186" s="16"/>
      <c r="V186" s="16"/>
      <c r="W186" s="16" t="s">
        <v>40</v>
      </c>
      <c r="X186" s="19">
        <v>0.13600000000000001</v>
      </c>
      <c r="Y186" s="20">
        <v>5.44E-4</v>
      </c>
      <c r="Z186" s="21">
        <v>4601004324756</v>
      </c>
    </row>
    <row r="187" spans="1:26" ht="12" customHeight="1" outlineLevel="4" x14ac:dyDescent="0.2">
      <c r="A187" s="14" t="s">
        <v>387</v>
      </c>
      <c r="B187" s="26" t="s">
        <v>388</v>
      </c>
      <c r="C187" s="52"/>
      <c r="D187" s="55">
        <f t="shared" si="2"/>
        <v>0</v>
      </c>
      <c r="E187" s="63" t="str">
        <f>HYPERLINK("https://www.sds-group.ru/product/rozetka-round-tv-s-u-perlamutr-kranz-KR-78-0723-1/", "Инфо")</f>
        <v>Инфо</v>
      </c>
      <c r="F187" s="16" t="s">
        <v>39</v>
      </c>
      <c r="G187" s="15"/>
      <c r="H187" s="15"/>
      <c r="I187" s="15"/>
      <c r="J187" s="17">
        <v>150</v>
      </c>
      <c r="K187" s="15" t="s">
        <v>210</v>
      </c>
      <c r="L187" s="17">
        <v>1</v>
      </c>
      <c r="M187" s="17">
        <v>100</v>
      </c>
      <c r="N187" s="17">
        <v>1</v>
      </c>
      <c r="O187" s="18">
        <v>1372.66</v>
      </c>
      <c r="P187" s="18">
        <v>1125.1300000000001</v>
      </c>
      <c r="Q187" s="18">
        <v>1372.66</v>
      </c>
      <c r="R187" s="18">
        <v>1125.1300000000001</v>
      </c>
      <c r="S187" s="18">
        <v>1098.1300000000001</v>
      </c>
      <c r="T187" s="18">
        <v>900.11</v>
      </c>
      <c r="U187" s="16"/>
      <c r="V187" s="16"/>
      <c r="W187" s="16" t="s">
        <v>40</v>
      </c>
      <c r="X187" s="19">
        <v>0.13600000000000001</v>
      </c>
      <c r="Y187" s="20">
        <v>5.31E-4</v>
      </c>
      <c r="Z187" s="21">
        <v>4601004324688</v>
      </c>
    </row>
    <row r="188" spans="1:26" ht="12" customHeight="1" outlineLevel="4" x14ac:dyDescent="0.2">
      <c r="A188" s="14" t="s">
        <v>389</v>
      </c>
      <c r="B188" s="26" t="s">
        <v>390</v>
      </c>
      <c r="C188" s="52"/>
      <c r="D188" s="55">
        <f t="shared" si="2"/>
        <v>0</v>
      </c>
      <c r="E188" s="63" t="str">
        <f>HYPERLINK("https://www.sds-group.ru/product/rozetka-round-tv-s-u-titan-kranz-KR-78-0723-2/", "Инфо")</f>
        <v>Инфо</v>
      </c>
      <c r="F188" s="16" t="s">
        <v>39</v>
      </c>
      <c r="G188" s="15"/>
      <c r="H188" s="15"/>
      <c r="I188" s="15"/>
      <c r="J188" s="17">
        <v>886</v>
      </c>
      <c r="K188" s="15"/>
      <c r="L188" s="17">
        <v>1</v>
      </c>
      <c r="M188" s="17">
        <v>100</v>
      </c>
      <c r="N188" s="17">
        <v>1</v>
      </c>
      <c r="O188" s="18">
        <v>1618.66</v>
      </c>
      <c r="P188" s="18">
        <v>1326.77</v>
      </c>
      <c r="Q188" s="18">
        <v>1618.66</v>
      </c>
      <c r="R188" s="18">
        <v>1326.77</v>
      </c>
      <c r="S188" s="18">
        <v>1294.93</v>
      </c>
      <c r="T188" s="18">
        <v>1061.42</v>
      </c>
      <c r="U188" s="16"/>
      <c r="V188" s="16"/>
      <c r="W188" s="16" t="s">
        <v>40</v>
      </c>
      <c r="X188" s="19">
        <v>0.13700000000000001</v>
      </c>
      <c r="Y188" s="20">
        <v>5.3200000000000003E-4</v>
      </c>
      <c r="Z188" s="21">
        <v>4601004324701</v>
      </c>
    </row>
    <row r="189" spans="1:26" ht="12" customHeight="1" outlineLevel="4" x14ac:dyDescent="0.2">
      <c r="A189" s="40" t="s">
        <v>391</v>
      </c>
      <c r="B189" s="75" t="s">
        <v>392</v>
      </c>
      <c r="C189" s="51"/>
      <c r="D189" s="54">
        <f t="shared" si="2"/>
        <v>0</v>
      </c>
      <c r="E189" s="61" t="str">
        <f>HYPERLINK("https://www.sds-group.ru/product/rozetka-round-tv-s-u-shelk-kranz-KR-78-0723-7/", "Инфо")</f>
        <v>Инфо</v>
      </c>
      <c r="F189" s="42" t="s">
        <v>39</v>
      </c>
      <c r="G189" s="41" t="s">
        <v>40</v>
      </c>
      <c r="H189" s="41"/>
      <c r="I189" s="41"/>
      <c r="J189" s="43">
        <v>126</v>
      </c>
      <c r="K189" s="41" t="s">
        <v>210</v>
      </c>
      <c r="L189" s="43">
        <v>1</v>
      </c>
      <c r="M189" s="43">
        <v>100</v>
      </c>
      <c r="N189" s="43">
        <v>1</v>
      </c>
      <c r="O189" s="44">
        <v>1618.66</v>
      </c>
      <c r="P189" s="44">
        <v>1326.77</v>
      </c>
      <c r="Q189" s="44">
        <v>1618.66</v>
      </c>
      <c r="R189" s="44">
        <v>1326.77</v>
      </c>
      <c r="S189" s="44">
        <v>1294.93</v>
      </c>
      <c r="T189" s="44">
        <v>1061.42</v>
      </c>
      <c r="U189" s="42"/>
      <c r="V189" s="42"/>
      <c r="W189" s="42" t="s">
        <v>40</v>
      </c>
      <c r="X189" s="45">
        <v>0.13600000000000001</v>
      </c>
      <c r="Y189" s="46">
        <v>5.2800000000000004E-4</v>
      </c>
      <c r="Z189" s="21">
        <v>4601004345782</v>
      </c>
    </row>
    <row r="190" spans="1:26" ht="12" customHeight="1" outlineLevel="4" x14ac:dyDescent="0.2">
      <c r="A190" s="40" t="s">
        <v>393</v>
      </c>
      <c r="B190" s="75" t="s">
        <v>394</v>
      </c>
      <c r="C190" s="51"/>
      <c r="D190" s="54">
        <f t="shared" si="2"/>
        <v>0</v>
      </c>
      <c r="E190" s="61" t="str">
        <f>HYPERLINK("https://www.sds-group.ru/product/rozetka-round-usb-a-type-c-3a-s-funktsiey-bystroy-zaryadki-oniks-kranz-KR-78-0734-3/", "Инфо")</f>
        <v>Инфо</v>
      </c>
      <c r="F190" s="42" t="s">
        <v>39</v>
      </c>
      <c r="G190" s="41" t="s">
        <v>40</v>
      </c>
      <c r="H190" s="41"/>
      <c r="I190" s="41"/>
      <c r="J190" s="43">
        <v>190</v>
      </c>
      <c r="K190" s="41"/>
      <c r="L190" s="43">
        <v>1</v>
      </c>
      <c r="M190" s="43">
        <v>100</v>
      </c>
      <c r="N190" s="43">
        <v>1</v>
      </c>
      <c r="O190" s="44">
        <v>6196.15</v>
      </c>
      <c r="P190" s="44">
        <v>5078.8100000000004</v>
      </c>
      <c r="Q190" s="44">
        <v>6196.15</v>
      </c>
      <c r="R190" s="44">
        <v>5078.8100000000004</v>
      </c>
      <c r="S190" s="44">
        <v>4956.92</v>
      </c>
      <c r="T190" s="44">
        <v>4063.05</v>
      </c>
      <c r="U190" s="42"/>
      <c r="V190" s="42"/>
      <c r="W190" s="42" t="s">
        <v>40</v>
      </c>
      <c r="X190" s="45">
        <v>0.16600000000000001</v>
      </c>
      <c r="Y190" s="46">
        <v>5.3899999999999998E-4</v>
      </c>
      <c r="Z190" s="21">
        <v>4601004338760</v>
      </c>
    </row>
    <row r="191" spans="1:26" ht="12" customHeight="1" outlineLevel="4" x14ac:dyDescent="0.2">
      <c r="A191" s="40" t="s">
        <v>395</v>
      </c>
      <c r="B191" s="75" t="s">
        <v>396</v>
      </c>
      <c r="C191" s="51"/>
      <c r="D191" s="54">
        <f t="shared" si="2"/>
        <v>0</v>
      </c>
      <c r="E191" s="61" t="str">
        <f>HYPERLINK("https://www.sds-group.ru/product/rozetka-round-usb-a-type-c-3a-s-funktsiey-bystroy-zaryadki-perlamutr-kranz-KR-78-0734-1/", "Инфо")</f>
        <v>Инфо</v>
      </c>
      <c r="F191" s="42" t="s">
        <v>39</v>
      </c>
      <c r="G191" s="41" t="s">
        <v>40</v>
      </c>
      <c r="H191" s="41"/>
      <c r="I191" s="41"/>
      <c r="J191" s="43">
        <v>340</v>
      </c>
      <c r="K191" s="41"/>
      <c r="L191" s="43">
        <v>1</v>
      </c>
      <c r="M191" s="43">
        <v>100</v>
      </c>
      <c r="N191" s="43">
        <v>1</v>
      </c>
      <c r="O191" s="44">
        <v>5258.9</v>
      </c>
      <c r="P191" s="44">
        <v>4310.57</v>
      </c>
      <c r="Q191" s="44">
        <v>5258.9</v>
      </c>
      <c r="R191" s="44">
        <v>4310.57</v>
      </c>
      <c r="S191" s="44">
        <v>4207.12</v>
      </c>
      <c r="T191" s="44">
        <v>3448.46</v>
      </c>
      <c r="U191" s="42"/>
      <c r="V191" s="42"/>
      <c r="W191" s="42" t="s">
        <v>40</v>
      </c>
      <c r="X191" s="45">
        <v>0.16600000000000001</v>
      </c>
      <c r="Y191" s="46">
        <v>5.2999999999999998E-4</v>
      </c>
      <c r="Z191" s="21">
        <v>4601004338777</v>
      </c>
    </row>
    <row r="192" spans="1:26" ht="12" customHeight="1" outlineLevel="4" x14ac:dyDescent="0.2">
      <c r="A192" s="40" t="s">
        <v>397</v>
      </c>
      <c r="B192" s="75" t="s">
        <v>398</v>
      </c>
      <c r="C192" s="51"/>
      <c r="D192" s="54">
        <f t="shared" si="2"/>
        <v>0</v>
      </c>
      <c r="E192" s="61" t="str">
        <f>HYPERLINK("https://www.sds-group.ru/product/rozetka-round-usb-a-type-c-3a-s-funktsiey-bystroy-zaryadki-shelk-kranz-KR-78-0734-7/", "Инфо")</f>
        <v>Инфо</v>
      </c>
      <c r="F192" s="42" t="s">
        <v>39</v>
      </c>
      <c r="G192" s="41" t="s">
        <v>40</v>
      </c>
      <c r="H192" s="41"/>
      <c r="I192" s="41"/>
      <c r="J192" s="42" t="s">
        <v>100</v>
      </c>
      <c r="K192" s="41" t="s">
        <v>210</v>
      </c>
      <c r="L192" s="43">
        <v>1</v>
      </c>
      <c r="M192" s="43">
        <v>100</v>
      </c>
      <c r="N192" s="43">
        <v>1</v>
      </c>
      <c r="O192" s="44">
        <v>6034.51</v>
      </c>
      <c r="P192" s="44">
        <v>4946.32</v>
      </c>
      <c r="Q192" s="44">
        <v>6034.51</v>
      </c>
      <c r="R192" s="44">
        <v>4946.32</v>
      </c>
      <c r="S192" s="44">
        <v>4827.6099999999997</v>
      </c>
      <c r="T192" s="44">
        <v>3957.06</v>
      </c>
      <c r="U192" s="42"/>
      <c r="V192" s="42"/>
      <c r="W192" s="42" t="s">
        <v>40</v>
      </c>
      <c r="X192" s="45">
        <v>0.16500000000000001</v>
      </c>
      <c r="Y192" s="46">
        <v>5.2999999999999998E-4</v>
      </c>
      <c r="Z192" s="21">
        <v>4601004346000</v>
      </c>
    </row>
    <row r="193" spans="1:26" ht="12" customHeight="1" outlineLevel="4" x14ac:dyDescent="0.2">
      <c r="A193" s="14" t="s">
        <v>399</v>
      </c>
      <c r="B193" s="26" t="s">
        <v>400</v>
      </c>
      <c r="C193" s="52"/>
      <c r="D193" s="55">
        <f t="shared" si="2"/>
        <v>0</v>
      </c>
      <c r="E193" s="63" t="str">
        <f>HYPERLINK("https://www.sds-group.ru/product/rozetka-round-kompyuternaya-rj45-kat6-tv-s-u-perlamutr-kranz-KR-78-0722-1/", "Инфо")</f>
        <v>Инфо</v>
      </c>
      <c r="F193" s="16" t="s">
        <v>39</v>
      </c>
      <c r="G193" s="15"/>
      <c r="H193" s="15"/>
      <c r="I193" s="15"/>
      <c r="J193" s="17">
        <v>4</v>
      </c>
      <c r="K193" s="15"/>
      <c r="L193" s="17">
        <v>1</v>
      </c>
      <c r="M193" s="17">
        <v>100</v>
      </c>
      <c r="N193" s="17">
        <v>1</v>
      </c>
      <c r="O193" s="18">
        <v>2353.4899999999998</v>
      </c>
      <c r="P193" s="18">
        <v>1929.09</v>
      </c>
      <c r="Q193" s="18">
        <v>2353.4899999999998</v>
      </c>
      <c r="R193" s="18">
        <v>1929.09</v>
      </c>
      <c r="S193" s="18">
        <v>1882.79</v>
      </c>
      <c r="T193" s="18">
        <v>1543.27</v>
      </c>
      <c r="U193" s="16"/>
      <c r="V193" s="16"/>
      <c r="W193" s="16" t="s">
        <v>40</v>
      </c>
      <c r="X193" s="19">
        <v>0.14399999999999999</v>
      </c>
      <c r="Y193" s="20">
        <v>5.2999999999999998E-4</v>
      </c>
      <c r="Z193" s="21">
        <v>4601004324640</v>
      </c>
    </row>
    <row r="194" spans="1:26" ht="12" customHeight="1" outlineLevel="4" x14ac:dyDescent="0.2">
      <c r="A194" s="40" t="s">
        <v>401</v>
      </c>
      <c r="B194" s="75" t="s">
        <v>402</v>
      </c>
      <c r="C194" s="51"/>
      <c r="D194" s="54">
        <f t="shared" si="2"/>
        <v>0</v>
      </c>
      <c r="E194" s="61" t="str">
        <f>HYPERLINK("https://www.sds-group.ru/product/rozetka-round-kompyuternaya-rj45-kat6-tv-s-u-shelk-kranz-KR-78-0722-7/", "Инфо")</f>
        <v>Инфо</v>
      </c>
      <c r="F194" s="42" t="s">
        <v>39</v>
      </c>
      <c r="G194" s="41" t="s">
        <v>40</v>
      </c>
      <c r="H194" s="41"/>
      <c r="I194" s="41"/>
      <c r="J194" s="43">
        <v>10</v>
      </c>
      <c r="K194" s="41" t="s">
        <v>210</v>
      </c>
      <c r="L194" s="43">
        <v>1</v>
      </c>
      <c r="M194" s="43">
        <v>100</v>
      </c>
      <c r="N194" s="43">
        <v>1</v>
      </c>
      <c r="O194" s="44">
        <v>2771.7</v>
      </c>
      <c r="P194" s="44">
        <v>2271.89</v>
      </c>
      <c r="Q194" s="44">
        <v>2771.7</v>
      </c>
      <c r="R194" s="44">
        <v>2271.89</v>
      </c>
      <c r="S194" s="44">
        <v>2217.36</v>
      </c>
      <c r="T194" s="44">
        <v>1817.51</v>
      </c>
      <c r="U194" s="42"/>
      <c r="V194" s="42"/>
      <c r="W194" s="42" t="s">
        <v>40</v>
      </c>
      <c r="X194" s="45">
        <v>0.14299999999999999</v>
      </c>
      <c r="Y194" s="46">
        <v>5.2899999999999996E-4</v>
      </c>
      <c r="Z194" s="21">
        <v>4601004345768</v>
      </c>
    </row>
    <row r="195" spans="1:26" ht="12" customHeight="1" outlineLevel="4" x14ac:dyDescent="0.2">
      <c r="A195" s="14" t="s">
        <v>403</v>
      </c>
      <c r="B195" s="26" t="s">
        <v>404</v>
      </c>
      <c r="C195" s="52"/>
      <c r="D195" s="55">
        <f t="shared" si="2"/>
        <v>0</v>
      </c>
      <c r="E195" s="63" t="str">
        <f>HYPERLINK("https://www.sds-group.ru/product/rozetka-round-kompyuternaya-rj45-kat6-s-u-oniks-kranz-KR-78-0724-3/", "Инфо")</f>
        <v>Инфо</v>
      </c>
      <c r="F195" s="16" t="s">
        <v>39</v>
      </c>
      <c r="G195" s="15"/>
      <c r="H195" s="15"/>
      <c r="I195" s="15"/>
      <c r="J195" s="17">
        <v>512</v>
      </c>
      <c r="K195" s="15" t="s">
        <v>210</v>
      </c>
      <c r="L195" s="17">
        <v>1</v>
      </c>
      <c r="M195" s="17">
        <v>100</v>
      </c>
      <c r="N195" s="17">
        <v>1</v>
      </c>
      <c r="O195" s="18">
        <v>2361.83</v>
      </c>
      <c r="P195" s="18">
        <v>1935.93</v>
      </c>
      <c r="Q195" s="18">
        <v>2361.83</v>
      </c>
      <c r="R195" s="18">
        <v>1935.93</v>
      </c>
      <c r="S195" s="18">
        <v>1889.46</v>
      </c>
      <c r="T195" s="18">
        <v>1548.74</v>
      </c>
      <c r="U195" s="16"/>
      <c r="V195" s="16"/>
      <c r="W195" s="16" t="s">
        <v>40</v>
      </c>
      <c r="X195" s="19">
        <v>0.13200000000000001</v>
      </c>
      <c r="Y195" s="20">
        <v>5.4000000000000001E-4</v>
      </c>
      <c r="Z195" s="21">
        <v>4601004324664</v>
      </c>
    </row>
    <row r="196" spans="1:26" ht="12" customHeight="1" outlineLevel="4" x14ac:dyDescent="0.2">
      <c r="A196" s="14" t="s">
        <v>405</v>
      </c>
      <c r="B196" s="26" t="s">
        <v>406</v>
      </c>
      <c r="C196" s="52"/>
      <c r="D196" s="55">
        <f t="shared" si="2"/>
        <v>0</v>
      </c>
      <c r="E196" s="63" t="str">
        <f>HYPERLINK("https://www.sds-group.ru/product/rozetka-round-kompyuternaya-rj45-kat6-s-u-perlamutr-kranz-KR-78-0724-1/", "Инфо")</f>
        <v>Инфо</v>
      </c>
      <c r="F196" s="16" t="s">
        <v>39</v>
      </c>
      <c r="G196" s="15"/>
      <c r="H196" s="15"/>
      <c r="I196" s="15"/>
      <c r="J196" s="17">
        <v>341</v>
      </c>
      <c r="K196" s="15" t="s">
        <v>210</v>
      </c>
      <c r="L196" s="17">
        <v>1</v>
      </c>
      <c r="M196" s="17">
        <v>100</v>
      </c>
      <c r="N196" s="17">
        <v>1</v>
      </c>
      <c r="O196" s="18">
        <v>1950.62</v>
      </c>
      <c r="P196" s="18">
        <v>1598.87</v>
      </c>
      <c r="Q196" s="18">
        <v>1950.62</v>
      </c>
      <c r="R196" s="18">
        <v>1598.87</v>
      </c>
      <c r="S196" s="18">
        <v>1560.5</v>
      </c>
      <c r="T196" s="18">
        <v>1279.0999999999999</v>
      </c>
      <c r="U196" s="16"/>
      <c r="V196" s="16"/>
      <c r="W196" s="16" t="s">
        <v>40</v>
      </c>
      <c r="X196" s="19">
        <v>0.13200000000000001</v>
      </c>
      <c r="Y196" s="20">
        <v>5.5199999999999997E-4</v>
      </c>
      <c r="Z196" s="21">
        <v>4601004324831</v>
      </c>
    </row>
    <row r="197" spans="1:26" ht="12" customHeight="1" outlineLevel="4" x14ac:dyDescent="0.2">
      <c r="A197" s="14" t="s">
        <v>407</v>
      </c>
      <c r="B197" s="26" t="s">
        <v>408</v>
      </c>
      <c r="C197" s="52"/>
      <c r="D197" s="55">
        <f t="shared" si="2"/>
        <v>0</v>
      </c>
      <c r="E197" s="63" t="str">
        <f>HYPERLINK("https://www.sds-group.ru/product/rozetka-round-kompyuternaya-rj45-kat6-s-u-titan-kranz-KR-78-0724-2/", "Инфо")</f>
        <v>Инфо</v>
      </c>
      <c r="F197" s="16" t="s">
        <v>39</v>
      </c>
      <c r="G197" s="15"/>
      <c r="H197" s="15"/>
      <c r="I197" s="15"/>
      <c r="J197" s="17">
        <v>166</v>
      </c>
      <c r="K197" s="15"/>
      <c r="L197" s="17">
        <v>1</v>
      </c>
      <c r="M197" s="17">
        <v>100</v>
      </c>
      <c r="N197" s="17">
        <v>1</v>
      </c>
      <c r="O197" s="18">
        <v>2300.21</v>
      </c>
      <c r="P197" s="18">
        <v>1885.42</v>
      </c>
      <c r="Q197" s="18">
        <v>2300.21</v>
      </c>
      <c r="R197" s="18">
        <v>1885.42</v>
      </c>
      <c r="S197" s="18">
        <v>1840.17</v>
      </c>
      <c r="T197" s="18">
        <v>1508.34</v>
      </c>
      <c r="U197" s="16"/>
      <c r="V197" s="16"/>
      <c r="W197" s="16" t="s">
        <v>40</v>
      </c>
      <c r="X197" s="19">
        <v>0.13</v>
      </c>
      <c r="Y197" s="20">
        <v>5.4799999999999998E-4</v>
      </c>
      <c r="Z197" s="21">
        <v>4601004324794</v>
      </c>
    </row>
    <row r="198" spans="1:26" ht="12" customHeight="1" outlineLevel="4" x14ac:dyDescent="0.2">
      <c r="A198" s="40" t="s">
        <v>409</v>
      </c>
      <c r="B198" s="75" t="s">
        <v>410</v>
      </c>
      <c r="C198" s="51"/>
      <c r="D198" s="54">
        <f t="shared" si="2"/>
        <v>0</v>
      </c>
      <c r="E198" s="61" t="str">
        <f>HYPERLINK("https://www.sds-group.ru/product/rozetka-round-kompyuternaya-rj45-kat6-s-u-shelk-kranz-KR-78-0724-7/", "Инфо")</f>
        <v>Инфо</v>
      </c>
      <c r="F198" s="42" t="s">
        <v>39</v>
      </c>
      <c r="G198" s="41" t="s">
        <v>40</v>
      </c>
      <c r="H198" s="41"/>
      <c r="I198" s="41"/>
      <c r="J198" s="43">
        <v>182</v>
      </c>
      <c r="K198" s="41" t="s">
        <v>210</v>
      </c>
      <c r="L198" s="43">
        <v>1</v>
      </c>
      <c r="M198" s="43">
        <v>100</v>
      </c>
      <c r="N198" s="43">
        <v>1</v>
      </c>
      <c r="O198" s="44">
        <v>2300.21</v>
      </c>
      <c r="P198" s="44">
        <v>1885.42</v>
      </c>
      <c r="Q198" s="44">
        <v>2300.21</v>
      </c>
      <c r="R198" s="44">
        <v>1885.42</v>
      </c>
      <c r="S198" s="44">
        <v>1840.17</v>
      </c>
      <c r="T198" s="44">
        <v>1508.34</v>
      </c>
      <c r="U198" s="42"/>
      <c r="V198" s="42"/>
      <c r="W198" s="42" t="s">
        <v>40</v>
      </c>
      <c r="X198" s="45">
        <v>0.13200000000000001</v>
      </c>
      <c r="Y198" s="46">
        <v>5.2800000000000004E-4</v>
      </c>
      <c r="Z198" s="21">
        <v>4601004345805</v>
      </c>
    </row>
    <row r="199" spans="1:26" ht="12" customHeight="1" outlineLevel="4" x14ac:dyDescent="0.2">
      <c r="A199" s="40" t="s">
        <v>411</v>
      </c>
      <c r="B199" s="75" t="s">
        <v>412</v>
      </c>
      <c r="C199" s="51"/>
      <c r="D199" s="54">
        <f t="shared" si="2"/>
        <v>0</v>
      </c>
      <c r="E199" s="61" t="str">
        <f>HYPERLINK("https://www.sds-group.ru/product/rozetka-round-kompyuternaya-dvoynaya-rj45-rj45-kat6-s-u-oniks-kranz-KR-78-0725-3/", "Инфо")</f>
        <v>Инфо</v>
      </c>
      <c r="F199" s="42" t="s">
        <v>39</v>
      </c>
      <c r="G199" s="41" t="s">
        <v>40</v>
      </c>
      <c r="H199" s="41"/>
      <c r="I199" s="41"/>
      <c r="J199" s="43">
        <v>492</v>
      </c>
      <c r="K199" s="41"/>
      <c r="L199" s="43">
        <v>1</v>
      </c>
      <c r="M199" s="43">
        <v>100</v>
      </c>
      <c r="N199" s="43">
        <v>1</v>
      </c>
      <c r="O199" s="44">
        <v>5475.85</v>
      </c>
      <c r="P199" s="44">
        <v>4488.3999999999996</v>
      </c>
      <c r="Q199" s="44">
        <v>5475.85</v>
      </c>
      <c r="R199" s="44">
        <v>4488.3999999999996</v>
      </c>
      <c r="S199" s="44">
        <v>4380.68</v>
      </c>
      <c r="T199" s="44">
        <v>3590.72</v>
      </c>
      <c r="U199" s="42"/>
      <c r="V199" s="42"/>
      <c r="W199" s="42" t="s">
        <v>40</v>
      </c>
      <c r="X199" s="45">
        <v>0.14000000000000001</v>
      </c>
      <c r="Y199" s="46">
        <v>5.3200000000000003E-4</v>
      </c>
      <c r="Z199" s="21">
        <v>4601004324718</v>
      </c>
    </row>
    <row r="200" spans="1:26" ht="12" customHeight="1" outlineLevel="4" x14ac:dyDescent="0.2">
      <c r="A200" s="40" t="s">
        <v>413</v>
      </c>
      <c r="B200" s="75" t="s">
        <v>414</v>
      </c>
      <c r="C200" s="51"/>
      <c r="D200" s="54">
        <f t="shared" si="2"/>
        <v>0</v>
      </c>
      <c r="E200" s="61" t="str">
        <f>HYPERLINK("https://www.sds-group.ru/product/rozetka-round-kompyuternaya-dvoynaya-rj45-rj45-kat6-s-u-perlamutr-kranz-KR-78-0725-1/", "Инфо")</f>
        <v>Инфо</v>
      </c>
      <c r="F200" s="42" t="s">
        <v>39</v>
      </c>
      <c r="G200" s="41" t="s">
        <v>40</v>
      </c>
      <c r="H200" s="41"/>
      <c r="I200" s="41"/>
      <c r="J200" s="43">
        <v>300</v>
      </c>
      <c r="K200" s="41"/>
      <c r="L200" s="43">
        <v>1</v>
      </c>
      <c r="M200" s="43">
        <v>100</v>
      </c>
      <c r="N200" s="43">
        <v>1</v>
      </c>
      <c r="O200" s="44">
        <v>4570.8599999999997</v>
      </c>
      <c r="P200" s="44">
        <v>3746.61</v>
      </c>
      <c r="Q200" s="44">
        <v>4570.8599999999997</v>
      </c>
      <c r="R200" s="44">
        <v>3746.61</v>
      </c>
      <c r="S200" s="44">
        <v>3656.69</v>
      </c>
      <c r="T200" s="44">
        <v>2997.29</v>
      </c>
      <c r="U200" s="42"/>
      <c r="V200" s="42"/>
      <c r="W200" s="42" t="s">
        <v>40</v>
      </c>
      <c r="X200" s="45">
        <v>0.14000000000000001</v>
      </c>
      <c r="Y200" s="46">
        <v>5.2800000000000004E-4</v>
      </c>
      <c r="Z200" s="21">
        <v>4601004324787</v>
      </c>
    </row>
    <row r="201" spans="1:26" ht="12" customHeight="1" outlineLevel="4" x14ac:dyDescent="0.2">
      <c r="A201" s="14" t="s">
        <v>415</v>
      </c>
      <c r="B201" s="26" t="s">
        <v>416</v>
      </c>
      <c r="C201" s="52"/>
      <c r="D201" s="55">
        <f t="shared" ref="D201:D264" si="3">C201*(O201-O201*$G$3)</f>
        <v>0</v>
      </c>
      <c r="E201" s="63" t="str">
        <f>HYPERLINK("https://www.sds-group.ru/product/svetoregulyator-round-dimmer-300vt-s-u-oniks-kranz-KR-78-0732-3/", "Инфо")</f>
        <v>Инфо</v>
      </c>
      <c r="F201" s="16" t="s">
        <v>39</v>
      </c>
      <c r="G201" s="15"/>
      <c r="H201" s="15"/>
      <c r="I201" s="15"/>
      <c r="J201" s="17">
        <v>137</v>
      </c>
      <c r="K201" s="15"/>
      <c r="L201" s="17">
        <v>1</v>
      </c>
      <c r="M201" s="17">
        <v>80</v>
      </c>
      <c r="N201" s="17">
        <v>1</v>
      </c>
      <c r="O201" s="18">
        <v>5323.37</v>
      </c>
      <c r="P201" s="18">
        <v>4363.42</v>
      </c>
      <c r="Q201" s="18">
        <v>5323.37</v>
      </c>
      <c r="R201" s="18">
        <v>4363.42</v>
      </c>
      <c r="S201" s="18">
        <v>4258.7</v>
      </c>
      <c r="T201" s="18">
        <v>3490.74</v>
      </c>
      <c r="U201" s="16"/>
      <c r="V201" s="16"/>
      <c r="W201" s="16" t="s">
        <v>40</v>
      </c>
      <c r="X201" s="19">
        <v>0.17</v>
      </c>
      <c r="Y201" s="20">
        <v>6.7400000000000001E-4</v>
      </c>
      <c r="Z201" s="21">
        <v>4601004327931</v>
      </c>
    </row>
    <row r="202" spans="1:26" ht="12" customHeight="1" outlineLevel="4" x14ac:dyDescent="0.2">
      <c r="A202" s="14" t="s">
        <v>417</v>
      </c>
      <c r="B202" s="26" t="s">
        <v>418</v>
      </c>
      <c r="C202" s="52"/>
      <c r="D202" s="55">
        <f t="shared" si="3"/>
        <v>0</v>
      </c>
      <c r="E202" s="63" t="str">
        <f>HYPERLINK("https://www.sds-group.ru/product/svetoregulyator-round-dimmer-300vt-s-u-perlamutr-kranz-KR-78-0732-1/", "Инфо")</f>
        <v>Инфо</v>
      </c>
      <c r="F202" s="16" t="s">
        <v>39</v>
      </c>
      <c r="G202" s="15"/>
      <c r="H202" s="15"/>
      <c r="I202" s="15"/>
      <c r="J202" s="17">
        <v>179</v>
      </c>
      <c r="K202" s="15" t="s">
        <v>210</v>
      </c>
      <c r="L202" s="17">
        <v>1</v>
      </c>
      <c r="M202" s="17">
        <v>80</v>
      </c>
      <c r="N202" s="17">
        <v>1</v>
      </c>
      <c r="O202" s="18">
        <v>4801.45</v>
      </c>
      <c r="P202" s="18">
        <v>3935.61</v>
      </c>
      <c r="Q202" s="18">
        <v>4801.45</v>
      </c>
      <c r="R202" s="18">
        <v>3935.61</v>
      </c>
      <c r="S202" s="18">
        <v>3841.16</v>
      </c>
      <c r="T202" s="18">
        <v>3148.49</v>
      </c>
      <c r="U202" s="16"/>
      <c r="V202" s="16"/>
      <c r="W202" s="16" t="s">
        <v>40</v>
      </c>
      <c r="X202" s="19">
        <v>0.17399999999999999</v>
      </c>
      <c r="Y202" s="20">
        <v>6.5700000000000003E-4</v>
      </c>
      <c r="Z202" s="21">
        <v>4601004327894</v>
      </c>
    </row>
    <row r="203" spans="1:26" ht="12" customHeight="1" outlineLevel="4" x14ac:dyDescent="0.2">
      <c r="A203" s="14" t="s">
        <v>419</v>
      </c>
      <c r="B203" s="26" t="s">
        <v>420</v>
      </c>
      <c r="C203" s="52"/>
      <c r="D203" s="55">
        <f t="shared" si="3"/>
        <v>0</v>
      </c>
      <c r="E203" s="63" t="str">
        <f>HYPERLINK("https://www.sds-group.ru/product/svetoregulyator-round-dimmer-300vt-s-u-titan-kranz-KR-78-0732-2/", "Инфо")</f>
        <v>Инфо</v>
      </c>
      <c r="F203" s="16" t="s">
        <v>39</v>
      </c>
      <c r="G203" s="15"/>
      <c r="H203" s="15"/>
      <c r="I203" s="15"/>
      <c r="J203" s="17">
        <v>233</v>
      </c>
      <c r="K203" s="15"/>
      <c r="L203" s="17">
        <v>1</v>
      </c>
      <c r="M203" s="17">
        <v>80</v>
      </c>
      <c r="N203" s="17">
        <v>1</v>
      </c>
      <c r="O203" s="18">
        <v>5184.5</v>
      </c>
      <c r="P203" s="18">
        <v>4249.59</v>
      </c>
      <c r="Q203" s="18">
        <v>5184.5</v>
      </c>
      <c r="R203" s="18">
        <v>4249.59</v>
      </c>
      <c r="S203" s="18">
        <v>4147.6000000000004</v>
      </c>
      <c r="T203" s="18">
        <v>3399.67</v>
      </c>
      <c r="U203" s="16"/>
      <c r="V203" s="16"/>
      <c r="W203" s="16" t="s">
        <v>40</v>
      </c>
      <c r="X203" s="19">
        <v>0.17</v>
      </c>
      <c r="Y203" s="20">
        <v>6.6500000000000001E-4</v>
      </c>
      <c r="Z203" s="21">
        <v>4601004327917</v>
      </c>
    </row>
    <row r="204" spans="1:26" ht="12" customHeight="1" outlineLevel="4" x14ac:dyDescent="0.2">
      <c r="A204" s="40" t="s">
        <v>421</v>
      </c>
      <c r="B204" s="75" t="s">
        <v>422</v>
      </c>
      <c r="C204" s="51"/>
      <c r="D204" s="54">
        <f t="shared" si="3"/>
        <v>0</v>
      </c>
      <c r="E204" s="61" t="str">
        <f>HYPERLINK("https://www.sds-group.ru/product/svetoregulyator-round-dimmer-300vt-s-u-shelk-kranz-KR-78-0732-7/", "Инфо")</f>
        <v>Инфо</v>
      </c>
      <c r="F204" s="42" t="s">
        <v>39</v>
      </c>
      <c r="G204" s="41" t="s">
        <v>40</v>
      </c>
      <c r="H204" s="41"/>
      <c r="I204" s="41"/>
      <c r="J204" s="43">
        <v>58</v>
      </c>
      <c r="K204" s="41" t="s">
        <v>210</v>
      </c>
      <c r="L204" s="43">
        <v>1</v>
      </c>
      <c r="M204" s="43">
        <v>80</v>
      </c>
      <c r="N204" s="43">
        <v>1</v>
      </c>
      <c r="O204" s="44">
        <v>5184.5</v>
      </c>
      <c r="P204" s="44">
        <v>4249.59</v>
      </c>
      <c r="Q204" s="44">
        <v>5184.5</v>
      </c>
      <c r="R204" s="44">
        <v>4249.59</v>
      </c>
      <c r="S204" s="44">
        <v>4147.6000000000004</v>
      </c>
      <c r="T204" s="44">
        <v>3399.67</v>
      </c>
      <c r="U204" s="42"/>
      <c r="V204" s="42"/>
      <c r="W204" s="42" t="s">
        <v>40</v>
      </c>
      <c r="X204" s="45">
        <v>0.17100000000000001</v>
      </c>
      <c r="Y204" s="46">
        <v>6.5799999999999995E-4</v>
      </c>
      <c r="Z204" s="21">
        <v>4601004345966</v>
      </c>
    </row>
    <row r="205" spans="1:26" ht="12" customHeight="1" outlineLevel="4" x14ac:dyDescent="0.2">
      <c r="A205" s="14" t="s">
        <v>423</v>
      </c>
      <c r="B205" s="26" t="s">
        <v>424</v>
      </c>
      <c r="C205" s="52"/>
      <c r="D205" s="55">
        <f t="shared" si="3"/>
        <v>0</v>
      </c>
      <c r="E205" s="63" t="str">
        <f>HYPERLINK("https://www.sds-group.ru/product/termoregulyator-round-wi-fi-s-u-oniks-kranz-KR-78-0728-3/", "Инфо")</f>
        <v>Инфо</v>
      </c>
      <c r="F205" s="16" t="s">
        <v>39</v>
      </c>
      <c r="G205" s="15"/>
      <c r="H205" s="15"/>
      <c r="I205" s="15"/>
      <c r="J205" s="17">
        <v>63</v>
      </c>
      <c r="K205" s="15" t="s">
        <v>210</v>
      </c>
      <c r="L205" s="17">
        <v>1</v>
      </c>
      <c r="M205" s="17">
        <v>60</v>
      </c>
      <c r="N205" s="17">
        <v>1</v>
      </c>
      <c r="O205" s="18">
        <v>18282.240000000002</v>
      </c>
      <c r="P205" s="18">
        <v>14985.44</v>
      </c>
      <c r="Q205" s="18">
        <v>18282.240000000002</v>
      </c>
      <c r="R205" s="18">
        <v>14985.44</v>
      </c>
      <c r="S205" s="18">
        <v>14625.79</v>
      </c>
      <c r="T205" s="18">
        <v>11988.35</v>
      </c>
      <c r="U205" s="16"/>
      <c r="V205" s="16"/>
      <c r="W205" s="16" t="s">
        <v>40</v>
      </c>
      <c r="X205" s="19">
        <v>0.27900000000000003</v>
      </c>
      <c r="Y205" s="20">
        <v>8.6399999999999997E-4</v>
      </c>
      <c r="Z205" s="21">
        <v>4601004325029</v>
      </c>
    </row>
    <row r="206" spans="1:26" ht="12" customHeight="1" outlineLevel="4" x14ac:dyDescent="0.2">
      <c r="A206" s="14" t="s">
        <v>425</v>
      </c>
      <c r="B206" s="26" t="s">
        <v>426</v>
      </c>
      <c r="C206" s="52"/>
      <c r="D206" s="55">
        <f t="shared" si="3"/>
        <v>0</v>
      </c>
      <c r="E206" s="63" t="str">
        <f>HYPERLINK("https://www.sds-group.ru/product/termoregulyator-round-wi-fi-s-u-perlamutr-kranz-KR-78-0728-1/", "Инфо")</f>
        <v>Инфо</v>
      </c>
      <c r="F206" s="16" t="s">
        <v>39</v>
      </c>
      <c r="G206" s="15"/>
      <c r="H206" s="15"/>
      <c r="I206" s="15"/>
      <c r="J206" s="17">
        <v>85</v>
      </c>
      <c r="K206" s="15"/>
      <c r="L206" s="17">
        <v>1</v>
      </c>
      <c r="M206" s="17">
        <v>60</v>
      </c>
      <c r="N206" s="17">
        <v>1</v>
      </c>
      <c r="O206" s="18">
        <v>15099.19</v>
      </c>
      <c r="P206" s="18">
        <v>12376.39</v>
      </c>
      <c r="Q206" s="18">
        <v>15099.19</v>
      </c>
      <c r="R206" s="18">
        <v>12376.39</v>
      </c>
      <c r="S206" s="18">
        <v>12079.35</v>
      </c>
      <c r="T206" s="18">
        <v>9901.11</v>
      </c>
      <c r="U206" s="16"/>
      <c r="V206" s="16"/>
      <c r="W206" s="16" t="s">
        <v>40</v>
      </c>
      <c r="X206" s="19">
        <v>0.28100000000000003</v>
      </c>
      <c r="Y206" s="20">
        <v>8.8599999999999996E-4</v>
      </c>
      <c r="Z206" s="21">
        <v>4601004324930</v>
      </c>
    </row>
    <row r="207" spans="1:26" ht="12" customHeight="1" outlineLevel="4" x14ac:dyDescent="0.2">
      <c r="A207" s="14" t="s">
        <v>427</v>
      </c>
      <c r="B207" s="26" t="s">
        <v>428</v>
      </c>
      <c r="C207" s="52"/>
      <c r="D207" s="55">
        <f t="shared" si="3"/>
        <v>0</v>
      </c>
      <c r="E207" s="63" t="str">
        <f>HYPERLINK("https://www.sds-group.ru/product/termoregulyator-round-wi-fi-s-u-titan-kranz-KR-78-0728-2/", "Инфо")</f>
        <v>Инфо</v>
      </c>
      <c r="F207" s="16" t="s">
        <v>39</v>
      </c>
      <c r="G207" s="15"/>
      <c r="H207" s="15"/>
      <c r="I207" s="15"/>
      <c r="J207" s="17">
        <v>62</v>
      </c>
      <c r="K207" s="15" t="s">
        <v>210</v>
      </c>
      <c r="L207" s="17">
        <v>1</v>
      </c>
      <c r="M207" s="17">
        <v>60</v>
      </c>
      <c r="N207" s="17">
        <v>1</v>
      </c>
      <c r="O207" s="18">
        <v>18119</v>
      </c>
      <c r="P207" s="18">
        <v>14851.64</v>
      </c>
      <c r="Q207" s="18">
        <v>18119</v>
      </c>
      <c r="R207" s="18">
        <v>14851.64</v>
      </c>
      <c r="S207" s="18">
        <v>14495.2</v>
      </c>
      <c r="T207" s="18">
        <v>11881.31</v>
      </c>
      <c r="U207" s="16"/>
      <c r="V207" s="16"/>
      <c r="W207" s="16" t="s">
        <v>40</v>
      </c>
      <c r="X207" s="19">
        <v>0.28000000000000003</v>
      </c>
      <c r="Y207" s="20">
        <v>8.9300000000000002E-4</v>
      </c>
      <c r="Z207" s="21">
        <v>4601004324916</v>
      </c>
    </row>
    <row r="208" spans="1:26" ht="12" customHeight="1" outlineLevel="4" x14ac:dyDescent="0.2">
      <c r="A208" s="40" t="s">
        <v>429</v>
      </c>
      <c r="B208" s="75" t="s">
        <v>430</v>
      </c>
      <c r="C208" s="51"/>
      <c r="D208" s="54">
        <f t="shared" si="3"/>
        <v>0</v>
      </c>
      <c r="E208" s="61" t="str">
        <f>HYPERLINK("https://www.sds-group.ru/product/termoregulyator-round-wi-fi-s-u-shelk-kranz-KR-78-0728-7/", "Инфо")</f>
        <v>Инфо</v>
      </c>
      <c r="F208" s="42" t="s">
        <v>39</v>
      </c>
      <c r="G208" s="41" t="s">
        <v>40</v>
      </c>
      <c r="H208" s="41"/>
      <c r="I208" s="41"/>
      <c r="J208" s="42" t="s">
        <v>100</v>
      </c>
      <c r="K208" s="41" t="s">
        <v>210</v>
      </c>
      <c r="L208" s="43">
        <v>1</v>
      </c>
      <c r="M208" s="43">
        <v>60</v>
      </c>
      <c r="N208" s="43">
        <v>1</v>
      </c>
      <c r="O208" s="44">
        <v>18119</v>
      </c>
      <c r="P208" s="44">
        <v>14851.64</v>
      </c>
      <c r="Q208" s="44">
        <v>18119</v>
      </c>
      <c r="R208" s="44">
        <v>14851.64</v>
      </c>
      <c r="S208" s="44">
        <v>14495.2</v>
      </c>
      <c r="T208" s="44">
        <v>11881.31</v>
      </c>
      <c r="U208" s="42"/>
      <c r="V208" s="42"/>
      <c r="W208" s="42" t="s">
        <v>40</v>
      </c>
      <c r="X208" s="45">
        <v>0.28199999999999997</v>
      </c>
      <c r="Y208" s="46">
        <v>8.8999999999999995E-4</v>
      </c>
      <c r="Z208" s="21">
        <v>4601004345881</v>
      </c>
    </row>
    <row r="209" spans="1:26" ht="12.95" customHeight="1" outlineLevel="3" x14ac:dyDescent="0.2">
      <c r="A209" s="76" t="s">
        <v>431</v>
      </c>
      <c r="B209" s="76"/>
      <c r="C209" s="77"/>
      <c r="D209" s="58"/>
      <c r="E209" s="68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</row>
    <row r="210" spans="1:26" ht="12" customHeight="1" outlineLevel="4" x14ac:dyDescent="0.2">
      <c r="A210" s="40" t="s">
        <v>432</v>
      </c>
      <c r="B210" s="75" t="s">
        <v>433</v>
      </c>
      <c r="C210" s="51"/>
      <c r="D210" s="54">
        <f t="shared" si="3"/>
        <v>0</v>
      </c>
      <c r="E210" s="61" t="str">
        <f>HYPERLINK("https://www.sds-group.ru/product/vyvod-kabelya-strong-grafit-kranz-KR-78-0736-6/", "Инфо")</f>
        <v>Инфо</v>
      </c>
      <c r="F210" s="42" t="s">
        <v>39</v>
      </c>
      <c r="G210" s="41" t="s">
        <v>40</v>
      </c>
      <c r="H210" s="41"/>
      <c r="I210" s="41"/>
      <c r="J210" s="43">
        <v>405</v>
      </c>
      <c r="K210" s="41"/>
      <c r="L210" s="43">
        <v>1</v>
      </c>
      <c r="M210" s="43">
        <v>80</v>
      </c>
      <c r="N210" s="43">
        <v>1</v>
      </c>
      <c r="O210" s="44">
        <v>850</v>
      </c>
      <c r="P210" s="44">
        <v>696.72</v>
      </c>
      <c r="Q210" s="44">
        <v>850</v>
      </c>
      <c r="R210" s="44">
        <v>696.72</v>
      </c>
      <c r="S210" s="44">
        <v>680</v>
      </c>
      <c r="T210" s="44">
        <v>557.38</v>
      </c>
      <c r="U210" s="42"/>
      <c r="V210" s="42"/>
      <c r="W210" s="42" t="s">
        <v>40</v>
      </c>
      <c r="X210" s="45">
        <v>0.14899999999999999</v>
      </c>
      <c r="Y210" s="46">
        <v>6.7900000000000002E-4</v>
      </c>
      <c r="Z210" s="21">
        <v>4601004338661</v>
      </c>
    </row>
    <row r="211" spans="1:26" ht="12" customHeight="1" outlineLevel="4" x14ac:dyDescent="0.2">
      <c r="A211" s="40" t="s">
        <v>434</v>
      </c>
      <c r="B211" s="75" t="s">
        <v>435</v>
      </c>
      <c r="C211" s="51"/>
      <c r="D211" s="54">
        <f t="shared" si="3"/>
        <v>0</v>
      </c>
      <c r="E211" s="61" t="str">
        <f>HYPERLINK("https://www.sds-group.ru/product/vyvod-kabelya-strong-zhemchug-kranz-KR-78-0736-4/", "Инфо")</f>
        <v>Инфо</v>
      </c>
      <c r="F211" s="42" t="s">
        <v>39</v>
      </c>
      <c r="G211" s="41" t="s">
        <v>40</v>
      </c>
      <c r="H211" s="41"/>
      <c r="I211" s="41"/>
      <c r="J211" s="43">
        <v>396</v>
      </c>
      <c r="K211" s="41"/>
      <c r="L211" s="43">
        <v>1</v>
      </c>
      <c r="M211" s="43">
        <v>80</v>
      </c>
      <c r="N211" s="43">
        <v>1</v>
      </c>
      <c r="O211" s="44">
        <v>727.72</v>
      </c>
      <c r="P211" s="44">
        <v>596.49</v>
      </c>
      <c r="Q211" s="44">
        <v>727.72</v>
      </c>
      <c r="R211" s="44">
        <v>596.49</v>
      </c>
      <c r="S211" s="44">
        <v>582.17999999999995</v>
      </c>
      <c r="T211" s="44">
        <v>477.2</v>
      </c>
      <c r="U211" s="42"/>
      <c r="V211" s="42"/>
      <c r="W211" s="42" t="s">
        <v>40</v>
      </c>
      <c r="X211" s="45">
        <v>0.14899999999999999</v>
      </c>
      <c r="Y211" s="46">
        <v>6.7100000000000005E-4</v>
      </c>
      <c r="Z211" s="21">
        <v>4601004338692</v>
      </c>
    </row>
    <row r="212" spans="1:26" ht="12" customHeight="1" outlineLevel="4" x14ac:dyDescent="0.2">
      <c r="A212" s="40" t="s">
        <v>436</v>
      </c>
      <c r="B212" s="75" t="s">
        <v>437</v>
      </c>
      <c r="C212" s="51"/>
      <c r="D212" s="54">
        <f t="shared" si="3"/>
        <v>0</v>
      </c>
      <c r="E212" s="61" t="str">
        <f>HYPERLINK("https://www.sds-group.ru/product/vyvod-kabelya-strong-shelk-kranz-KR-78-0736-8/", "Инфо")</f>
        <v>Инфо</v>
      </c>
      <c r="F212" s="42" t="s">
        <v>39</v>
      </c>
      <c r="G212" s="41" t="s">
        <v>40</v>
      </c>
      <c r="H212" s="41"/>
      <c r="I212" s="41"/>
      <c r="J212" s="43">
        <v>65</v>
      </c>
      <c r="K212" s="41" t="s">
        <v>210</v>
      </c>
      <c r="L212" s="43">
        <v>1</v>
      </c>
      <c r="M212" s="43">
        <v>100</v>
      </c>
      <c r="N212" s="43">
        <v>1</v>
      </c>
      <c r="O212" s="44">
        <v>850</v>
      </c>
      <c r="P212" s="44">
        <v>696.72</v>
      </c>
      <c r="Q212" s="44">
        <v>850</v>
      </c>
      <c r="R212" s="44">
        <v>696.72</v>
      </c>
      <c r="S212" s="44">
        <v>680</v>
      </c>
      <c r="T212" s="44">
        <v>557.38</v>
      </c>
      <c r="U212" s="42"/>
      <c r="V212" s="42"/>
      <c r="W212" s="42" t="s">
        <v>40</v>
      </c>
      <c r="X212" s="45">
        <v>0.14399999999999999</v>
      </c>
      <c r="Y212" s="46">
        <v>6.5700000000000003E-4</v>
      </c>
      <c r="Z212" s="21">
        <v>4601004349766</v>
      </c>
    </row>
    <row r="213" spans="1:26" ht="12" customHeight="1" outlineLevel="4" x14ac:dyDescent="0.2">
      <c r="A213" s="14" t="s">
        <v>438</v>
      </c>
      <c r="B213" s="26" t="s">
        <v>439</v>
      </c>
      <c r="C213" s="52"/>
      <c r="D213" s="55">
        <f t="shared" si="3"/>
        <v>0</v>
      </c>
      <c r="E213" s="63" t="str">
        <f>HYPERLINK("https://www.sds-group.ru/product/vyklyuchatel-strong-1-kl-10a-s-u-antratsit-kranz-KR-78-0705-5/", "Инфо")</f>
        <v>Инфо</v>
      </c>
      <c r="F213" s="16" t="s">
        <v>39</v>
      </c>
      <c r="G213" s="15"/>
      <c r="H213" s="15"/>
      <c r="I213" s="15"/>
      <c r="J213" s="22">
        <v>1335</v>
      </c>
      <c r="K213" s="15"/>
      <c r="L213" s="17">
        <v>1</v>
      </c>
      <c r="M213" s="17">
        <v>100</v>
      </c>
      <c r="N213" s="17">
        <v>1</v>
      </c>
      <c r="O213" s="18">
        <v>917.88</v>
      </c>
      <c r="P213" s="18">
        <v>752.36</v>
      </c>
      <c r="Q213" s="18">
        <v>917.88</v>
      </c>
      <c r="R213" s="18">
        <v>752.36</v>
      </c>
      <c r="S213" s="18">
        <v>734.3</v>
      </c>
      <c r="T213" s="18">
        <v>601.89</v>
      </c>
      <c r="U213" s="16"/>
      <c r="V213" s="16"/>
      <c r="W213" s="16" t="s">
        <v>40</v>
      </c>
      <c r="X213" s="19">
        <v>0.151</v>
      </c>
      <c r="Y213" s="20">
        <v>5.3300000000000005E-4</v>
      </c>
      <c r="Z213" s="21">
        <v>4601004323599</v>
      </c>
    </row>
    <row r="214" spans="1:26" ht="12" customHeight="1" outlineLevel="4" x14ac:dyDescent="0.2">
      <c r="A214" s="14" t="s">
        <v>440</v>
      </c>
      <c r="B214" s="26" t="s">
        <v>441</v>
      </c>
      <c r="C214" s="52"/>
      <c r="D214" s="55">
        <f t="shared" si="3"/>
        <v>0</v>
      </c>
      <c r="E214" s="63" t="str">
        <f>HYPERLINK("https://www.sds-group.ru/product/vyklyuchatel-strong-1-kl-10a-s-u-grafit-kranz-KR-78-0705-6/", "Инфо")</f>
        <v>Инфо</v>
      </c>
      <c r="F214" s="16" t="s">
        <v>39</v>
      </c>
      <c r="G214" s="15"/>
      <c r="H214" s="15"/>
      <c r="I214" s="15"/>
      <c r="J214" s="22">
        <v>2026</v>
      </c>
      <c r="K214" s="15"/>
      <c r="L214" s="17">
        <v>1</v>
      </c>
      <c r="M214" s="17">
        <v>100</v>
      </c>
      <c r="N214" s="17">
        <v>1</v>
      </c>
      <c r="O214" s="18">
        <v>909.72</v>
      </c>
      <c r="P214" s="18">
        <v>745.67</v>
      </c>
      <c r="Q214" s="18">
        <v>909.72</v>
      </c>
      <c r="R214" s="18">
        <v>745.67</v>
      </c>
      <c r="S214" s="18">
        <v>727.78</v>
      </c>
      <c r="T214" s="18">
        <v>596.54</v>
      </c>
      <c r="U214" s="16"/>
      <c r="V214" s="16"/>
      <c r="W214" s="16" t="s">
        <v>40</v>
      </c>
      <c r="X214" s="19">
        <v>0.151</v>
      </c>
      <c r="Y214" s="20">
        <v>5.2499999999999997E-4</v>
      </c>
      <c r="Z214" s="21">
        <v>4601004323568</v>
      </c>
    </row>
    <row r="215" spans="1:26" ht="12" customHeight="1" outlineLevel="4" x14ac:dyDescent="0.2">
      <c r="A215" s="14" t="s">
        <v>442</v>
      </c>
      <c r="B215" s="26" t="s">
        <v>443</v>
      </c>
      <c r="C215" s="52"/>
      <c r="D215" s="55">
        <f t="shared" si="3"/>
        <v>0</v>
      </c>
      <c r="E215" s="63" t="str">
        <f>HYPERLINK("https://www.sds-group.ru/product/vyklyuchatel-strong-1-kl-10a-s-u-zhemchug-kranz-KR-78-0705-4/", "Инфо")</f>
        <v>Инфо</v>
      </c>
      <c r="F215" s="16" t="s">
        <v>39</v>
      </c>
      <c r="G215" s="15"/>
      <c r="H215" s="15"/>
      <c r="I215" s="15"/>
      <c r="J215" s="22">
        <v>2033</v>
      </c>
      <c r="K215" s="15"/>
      <c r="L215" s="17">
        <v>1</v>
      </c>
      <c r="M215" s="17">
        <v>100</v>
      </c>
      <c r="N215" s="17">
        <v>1</v>
      </c>
      <c r="O215" s="18">
        <v>744.58</v>
      </c>
      <c r="P215" s="18">
        <v>610.30999999999995</v>
      </c>
      <c r="Q215" s="18">
        <v>744.58</v>
      </c>
      <c r="R215" s="18">
        <v>610.30999999999995</v>
      </c>
      <c r="S215" s="18">
        <v>595.66</v>
      </c>
      <c r="T215" s="18">
        <v>488.25</v>
      </c>
      <c r="U215" s="16"/>
      <c r="V215" s="16"/>
      <c r="W215" s="16" t="s">
        <v>40</v>
      </c>
      <c r="X215" s="19">
        <v>0.151</v>
      </c>
      <c r="Y215" s="20">
        <v>5.3499999999999999E-4</v>
      </c>
      <c r="Z215" s="21">
        <v>4601004323629</v>
      </c>
    </row>
    <row r="216" spans="1:26" ht="12" customHeight="1" outlineLevel="4" x14ac:dyDescent="0.2">
      <c r="A216" s="40" t="s">
        <v>444</v>
      </c>
      <c r="B216" s="75" t="s">
        <v>445</v>
      </c>
      <c r="C216" s="51"/>
      <c r="D216" s="54">
        <f t="shared" si="3"/>
        <v>0</v>
      </c>
      <c r="E216" s="61" t="str">
        <f>HYPERLINK("https://www.sds-group.ru/product/vyklyuchatel-strong-1-kl-10a-s-u-shelk-kranz-KR-78-0705-8/", "Инфо")</f>
        <v>Инфо</v>
      </c>
      <c r="F216" s="42" t="s">
        <v>39</v>
      </c>
      <c r="G216" s="41" t="s">
        <v>40</v>
      </c>
      <c r="H216" s="41"/>
      <c r="I216" s="41"/>
      <c r="J216" s="47">
        <v>1072</v>
      </c>
      <c r="K216" s="41" t="s">
        <v>210</v>
      </c>
      <c r="L216" s="43">
        <v>1</v>
      </c>
      <c r="M216" s="43">
        <v>100</v>
      </c>
      <c r="N216" s="43">
        <v>1</v>
      </c>
      <c r="O216" s="44">
        <v>909.72</v>
      </c>
      <c r="P216" s="44">
        <v>745.67</v>
      </c>
      <c r="Q216" s="44">
        <v>909.72</v>
      </c>
      <c r="R216" s="44">
        <v>745.67</v>
      </c>
      <c r="S216" s="44">
        <v>727.78</v>
      </c>
      <c r="T216" s="44">
        <v>596.54</v>
      </c>
      <c r="U216" s="42"/>
      <c r="V216" s="42"/>
      <c r="W216" s="42" t="s">
        <v>40</v>
      </c>
      <c r="X216" s="45">
        <v>0.15</v>
      </c>
      <c r="Y216" s="46">
        <v>5.1599999999999997E-4</v>
      </c>
      <c r="Z216" s="21">
        <v>4601004349568</v>
      </c>
    </row>
    <row r="217" spans="1:26" ht="12" customHeight="1" outlineLevel="4" x14ac:dyDescent="0.2">
      <c r="A217" s="14" t="s">
        <v>446</v>
      </c>
      <c r="B217" s="26" t="s">
        <v>447</v>
      </c>
      <c r="C217" s="52"/>
      <c r="D217" s="55">
        <f t="shared" si="3"/>
        <v>0</v>
      </c>
      <c r="E217" s="63" t="str">
        <f>HYPERLINK("https://www.sds-group.ru/product/vyklyuchatel-strong-1-kl-vozvratnyy-10a-s-u-antratsit-kranz-KR-78-0712-5/", "Инфо")</f>
        <v>Инфо</v>
      </c>
      <c r="F217" s="16" t="s">
        <v>39</v>
      </c>
      <c r="G217" s="15"/>
      <c r="H217" s="15"/>
      <c r="I217" s="15"/>
      <c r="J217" s="17">
        <v>468</v>
      </c>
      <c r="K217" s="15"/>
      <c r="L217" s="17">
        <v>1</v>
      </c>
      <c r="M217" s="17">
        <v>100</v>
      </c>
      <c r="N217" s="17">
        <v>1</v>
      </c>
      <c r="O217" s="18">
        <v>1441.28</v>
      </c>
      <c r="P217" s="18">
        <v>1181.3800000000001</v>
      </c>
      <c r="Q217" s="18">
        <v>1441.28</v>
      </c>
      <c r="R217" s="18">
        <v>1181.3800000000001</v>
      </c>
      <c r="S217" s="18">
        <v>1153.02</v>
      </c>
      <c r="T217" s="18">
        <v>945.1</v>
      </c>
      <c r="U217" s="16"/>
      <c r="V217" s="16"/>
      <c r="W217" s="16" t="s">
        <v>40</v>
      </c>
      <c r="X217" s="19">
        <v>0.151</v>
      </c>
      <c r="Y217" s="20">
        <v>5.3499999999999999E-4</v>
      </c>
      <c r="Z217" s="21">
        <v>4601004323995</v>
      </c>
    </row>
    <row r="218" spans="1:26" ht="12" customHeight="1" outlineLevel="4" x14ac:dyDescent="0.2">
      <c r="A218" s="14" t="s">
        <v>448</v>
      </c>
      <c r="B218" s="26" t="s">
        <v>449</v>
      </c>
      <c r="C218" s="52"/>
      <c r="D218" s="55">
        <f t="shared" si="3"/>
        <v>0</v>
      </c>
      <c r="E218" s="63" t="str">
        <f>HYPERLINK("https://www.sds-group.ru/product/vyklyuchatel-strong-1-kl-vozvratnyy-10a-s-u-grafit-kranz-KR-78-0712-6/", "Инфо")</f>
        <v>Инфо</v>
      </c>
      <c r="F218" s="16" t="s">
        <v>39</v>
      </c>
      <c r="G218" s="15"/>
      <c r="H218" s="15"/>
      <c r="I218" s="15"/>
      <c r="J218" s="17">
        <v>597</v>
      </c>
      <c r="K218" s="15"/>
      <c r="L218" s="17">
        <v>1</v>
      </c>
      <c r="M218" s="17">
        <v>100</v>
      </c>
      <c r="N218" s="17">
        <v>1</v>
      </c>
      <c r="O218" s="18">
        <v>1436.08</v>
      </c>
      <c r="P218" s="18">
        <v>1177.1099999999999</v>
      </c>
      <c r="Q218" s="18">
        <v>1436.08</v>
      </c>
      <c r="R218" s="18">
        <v>1177.1099999999999</v>
      </c>
      <c r="S218" s="18">
        <v>1148.8599999999999</v>
      </c>
      <c r="T218" s="18">
        <v>941.69</v>
      </c>
      <c r="U218" s="16"/>
      <c r="V218" s="16"/>
      <c r="W218" s="16" t="s">
        <v>40</v>
      </c>
      <c r="X218" s="19">
        <v>0.152</v>
      </c>
      <c r="Y218" s="20">
        <v>5.2599999999999999E-4</v>
      </c>
      <c r="Z218" s="21">
        <v>4601004323988</v>
      </c>
    </row>
    <row r="219" spans="1:26" ht="12" customHeight="1" outlineLevel="4" x14ac:dyDescent="0.2">
      <c r="A219" s="14" t="s">
        <v>450</v>
      </c>
      <c r="B219" s="26" t="s">
        <v>451</v>
      </c>
      <c r="C219" s="52"/>
      <c r="D219" s="55">
        <f t="shared" si="3"/>
        <v>0</v>
      </c>
      <c r="E219" s="63" t="str">
        <f>HYPERLINK("https://www.sds-group.ru/product/vyklyuchatel-strong-1-kl-vozvratnyy-10a-s-u-zhemchug-kranz-KR-78-0712-4/", "Инфо")</f>
        <v>Инфо</v>
      </c>
      <c r="F219" s="16" t="s">
        <v>39</v>
      </c>
      <c r="G219" s="15"/>
      <c r="H219" s="15"/>
      <c r="I219" s="15"/>
      <c r="J219" s="17">
        <v>855</v>
      </c>
      <c r="K219" s="15"/>
      <c r="L219" s="17">
        <v>1</v>
      </c>
      <c r="M219" s="17">
        <v>100</v>
      </c>
      <c r="N219" s="17">
        <v>1</v>
      </c>
      <c r="O219" s="18">
        <v>1212.98</v>
      </c>
      <c r="P219" s="18">
        <v>994.25</v>
      </c>
      <c r="Q219" s="18">
        <v>1212.98</v>
      </c>
      <c r="R219" s="18">
        <v>994.25</v>
      </c>
      <c r="S219" s="18">
        <v>970.38</v>
      </c>
      <c r="T219" s="18">
        <v>795.39</v>
      </c>
      <c r="U219" s="16"/>
      <c r="V219" s="16"/>
      <c r="W219" s="16" t="s">
        <v>40</v>
      </c>
      <c r="X219" s="19">
        <v>0.151</v>
      </c>
      <c r="Y219" s="20">
        <v>5.1900000000000004E-4</v>
      </c>
      <c r="Z219" s="21">
        <v>4601004323971</v>
      </c>
    </row>
    <row r="220" spans="1:26" ht="12" customHeight="1" outlineLevel="4" x14ac:dyDescent="0.2">
      <c r="A220" s="40" t="s">
        <v>452</v>
      </c>
      <c r="B220" s="75" t="s">
        <v>453</v>
      </c>
      <c r="C220" s="51"/>
      <c r="D220" s="54">
        <f t="shared" si="3"/>
        <v>0</v>
      </c>
      <c r="E220" s="61" t="str">
        <f>HYPERLINK("https://www.sds-group.ru/product/vyklyuchatel-strong-1-kl-vozvratnyy-10a-s-u-shelk-kranz-KR-78-0712-8/", "Инфо")</f>
        <v>Инфо</v>
      </c>
      <c r="F220" s="42" t="s">
        <v>39</v>
      </c>
      <c r="G220" s="41" t="s">
        <v>40</v>
      </c>
      <c r="H220" s="41"/>
      <c r="I220" s="41"/>
      <c r="J220" s="43">
        <v>98</v>
      </c>
      <c r="K220" s="41" t="s">
        <v>210</v>
      </c>
      <c r="L220" s="43">
        <v>1</v>
      </c>
      <c r="M220" s="43">
        <v>100</v>
      </c>
      <c r="N220" s="43">
        <v>1</v>
      </c>
      <c r="O220" s="44">
        <v>1436.08</v>
      </c>
      <c r="P220" s="44">
        <v>1177.1099999999999</v>
      </c>
      <c r="Q220" s="44">
        <v>1436.08</v>
      </c>
      <c r="R220" s="44">
        <v>1177.1099999999999</v>
      </c>
      <c r="S220" s="44">
        <v>1148.8599999999999</v>
      </c>
      <c r="T220" s="44">
        <v>941.69</v>
      </c>
      <c r="U220" s="42"/>
      <c r="V220" s="42"/>
      <c r="W220" s="42" t="s">
        <v>40</v>
      </c>
      <c r="X220" s="45">
        <v>0.151</v>
      </c>
      <c r="Y220" s="46">
        <v>5.3200000000000003E-4</v>
      </c>
      <c r="Z220" s="21">
        <v>4601004349421</v>
      </c>
    </row>
    <row r="221" spans="1:26" ht="12" customHeight="1" outlineLevel="4" x14ac:dyDescent="0.2">
      <c r="A221" s="14" t="s">
        <v>454</v>
      </c>
      <c r="B221" s="26" t="s">
        <v>455</v>
      </c>
      <c r="C221" s="52"/>
      <c r="D221" s="55">
        <f t="shared" si="3"/>
        <v>0</v>
      </c>
      <c r="E221" s="63" t="str">
        <f>HYPERLINK("https://www.sds-group.ru/product/vyklyuchatel-strong-1-kl-perekrestnyy-pereklyuchatel-10a-s-u-antratsit-kranz-KR-78-0710-5/", "Инфо")</f>
        <v>Инфо</v>
      </c>
      <c r="F221" s="16" t="s">
        <v>39</v>
      </c>
      <c r="G221" s="15"/>
      <c r="H221" s="15"/>
      <c r="I221" s="15"/>
      <c r="J221" s="22">
        <v>1009</v>
      </c>
      <c r="K221" s="15"/>
      <c r="L221" s="17">
        <v>1</v>
      </c>
      <c r="M221" s="17">
        <v>100</v>
      </c>
      <c r="N221" s="17">
        <v>1</v>
      </c>
      <c r="O221" s="18">
        <v>1803.23</v>
      </c>
      <c r="P221" s="18">
        <v>1478.06</v>
      </c>
      <c r="Q221" s="18">
        <v>1803.23</v>
      </c>
      <c r="R221" s="18">
        <v>1478.06</v>
      </c>
      <c r="S221" s="18">
        <v>1442.58</v>
      </c>
      <c r="T221" s="18">
        <v>1182.44</v>
      </c>
      <c r="U221" s="16"/>
      <c r="V221" s="16"/>
      <c r="W221" s="16" t="s">
        <v>40</v>
      </c>
      <c r="X221" s="19">
        <v>0.16300000000000001</v>
      </c>
      <c r="Y221" s="20">
        <v>5.3700000000000004E-4</v>
      </c>
      <c r="Z221" s="21">
        <v>4601004324473</v>
      </c>
    </row>
    <row r="222" spans="1:26" ht="12" customHeight="1" outlineLevel="4" x14ac:dyDescent="0.2">
      <c r="A222" s="14" t="s">
        <v>456</v>
      </c>
      <c r="B222" s="26" t="s">
        <v>457</v>
      </c>
      <c r="C222" s="52"/>
      <c r="D222" s="55">
        <f t="shared" si="3"/>
        <v>0</v>
      </c>
      <c r="E222" s="63" t="str">
        <f>HYPERLINK("https://www.sds-group.ru/product/vyklyuchatel-strong-1-kl-perekrestnyy-pereklyuchatel-10a-s-u-grafit-kranz-KR-78-0710-6/", "Инфо")</f>
        <v>Инфо</v>
      </c>
      <c r="F222" s="16" t="s">
        <v>39</v>
      </c>
      <c r="G222" s="15"/>
      <c r="H222" s="15"/>
      <c r="I222" s="15"/>
      <c r="J222" s="22">
        <v>1156</v>
      </c>
      <c r="K222" s="15"/>
      <c r="L222" s="17">
        <v>1</v>
      </c>
      <c r="M222" s="17">
        <v>100</v>
      </c>
      <c r="N222" s="17">
        <v>1</v>
      </c>
      <c r="O222" s="18">
        <v>1772.01</v>
      </c>
      <c r="P222" s="18">
        <v>1452.47</v>
      </c>
      <c r="Q222" s="18">
        <v>1772.01</v>
      </c>
      <c r="R222" s="18">
        <v>1452.47</v>
      </c>
      <c r="S222" s="18">
        <v>1417.61</v>
      </c>
      <c r="T222" s="18">
        <v>1161.98</v>
      </c>
      <c r="U222" s="16"/>
      <c r="V222" s="16"/>
      <c r="W222" s="16" t="s">
        <v>40</v>
      </c>
      <c r="X222" s="19">
        <v>0.16300000000000001</v>
      </c>
      <c r="Y222" s="20">
        <v>5.2300000000000003E-4</v>
      </c>
      <c r="Z222" s="21">
        <v>4601004323872</v>
      </c>
    </row>
    <row r="223" spans="1:26" ht="12" customHeight="1" outlineLevel="4" x14ac:dyDescent="0.2">
      <c r="A223" s="14" t="s">
        <v>458</v>
      </c>
      <c r="B223" s="26" t="s">
        <v>459</v>
      </c>
      <c r="C223" s="52"/>
      <c r="D223" s="55">
        <f t="shared" si="3"/>
        <v>0</v>
      </c>
      <c r="E223" s="63" t="str">
        <f>HYPERLINK("https://www.sds-group.ru/product/vyklyuchatel-strong-1-kl-perekrestnyy-pereklyuchatel-10a-s-u-zhemchug-kranz-KR-78-0710-4/", "Инфо")</f>
        <v>Инфо</v>
      </c>
      <c r="F223" s="16" t="s">
        <v>39</v>
      </c>
      <c r="G223" s="15"/>
      <c r="H223" s="15"/>
      <c r="I223" s="15"/>
      <c r="J223" s="22">
        <v>1542</v>
      </c>
      <c r="K223" s="15"/>
      <c r="L223" s="17">
        <v>1</v>
      </c>
      <c r="M223" s="17">
        <v>100</v>
      </c>
      <c r="N223" s="17">
        <v>1</v>
      </c>
      <c r="O223" s="18">
        <v>1495.93</v>
      </c>
      <c r="P223" s="18">
        <v>1226.17</v>
      </c>
      <c r="Q223" s="18">
        <v>1495.93</v>
      </c>
      <c r="R223" s="18">
        <v>1226.17</v>
      </c>
      <c r="S223" s="18">
        <v>1196.74</v>
      </c>
      <c r="T223" s="18">
        <v>980.93</v>
      </c>
      <c r="U223" s="16"/>
      <c r="V223" s="16"/>
      <c r="W223" s="16" t="s">
        <v>40</v>
      </c>
      <c r="X223" s="19">
        <v>0.16300000000000001</v>
      </c>
      <c r="Y223" s="20">
        <v>5.2499999999999997E-4</v>
      </c>
      <c r="Z223" s="21">
        <v>4601004323902</v>
      </c>
    </row>
    <row r="224" spans="1:26" ht="12" customHeight="1" outlineLevel="4" x14ac:dyDescent="0.2">
      <c r="A224" s="40" t="s">
        <v>460</v>
      </c>
      <c r="B224" s="75" t="s">
        <v>461</v>
      </c>
      <c r="C224" s="51"/>
      <c r="D224" s="54">
        <f t="shared" si="3"/>
        <v>0</v>
      </c>
      <c r="E224" s="61" t="str">
        <f>HYPERLINK("https://www.sds-group.ru/product/vyklyuchatel-strong-1-kl-perekrestnyy-pereklyuchatel-10a-s-u-shelk-kranz-KR-78-0710-8/", "Инфо")</f>
        <v>Инфо</v>
      </c>
      <c r="F224" s="42" t="s">
        <v>39</v>
      </c>
      <c r="G224" s="41" t="s">
        <v>40</v>
      </c>
      <c r="H224" s="41"/>
      <c r="I224" s="41"/>
      <c r="J224" s="42" t="s">
        <v>100</v>
      </c>
      <c r="K224" s="41" t="s">
        <v>210</v>
      </c>
      <c r="L224" s="43">
        <v>1</v>
      </c>
      <c r="M224" s="43">
        <v>100</v>
      </c>
      <c r="N224" s="43">
        <v>1</v>
      </c>
      <c r="O224" s="44">
        <v>1772.01</v>
      </c>
      <c r="P224" s="44">
        <v>1452.47</v>
      </c>
      <c r="Q224" s="44">
        <v>1772.01</v>
      </c>
      <c r="R224" s="44">
        <v>1452.47</v>
      </c>
      <c r="S224" s="44">
        <v>1417.61</v>
      </c>
      <c r="T224" s="44">
        <v>1161.98</v>
      </c>
      <c r="U224" s="42"/>
      <c r="V224" s="42"/>
      <c r="W224" s="42" t="s">
        <v>40</v>
      </c>
      <c r="X224" s="45">
        <v>0.151</v>
      </c>
      <c r="Y224" s="46">
        <v>5.22E-4</v>
      </c>
      <c r="Z224" s="21">
        <v>4601004349469</v>
      </c>
    </row>
    <row r="225" spans="1:26" ht="12" customHeight="1" outlineLevel="4" x14ac:dyDescent="0.2">
      <c r="A225" s="14" t="s">
        <v>462</v>
      </c>
      <c r="B225" s="26" t="s">
        <v>463</v>
      </c>
      <c r="C225" s="52"/>
      <c r="D225" s="55">
        <f t="shared" si="3"/>
        <v>0</v>
      </c>
      <c r="E225" s="63" t="str">
        <f>HYPERLINK("https://www.sds-group.ru/product/vyklyuchatel-strong-1-kl-perekrestnyy-pereklyuchatel-s-podsvetkoy-10a-s-u-antratsit-kra-KR-78-0718-5/", "Инфо")</f>
        <v>Инфо</v>
      </c>
      <c r="F225" s="16" t="s">
        <v>39</v>
      </c>
      <c r="G225" s="15"/>
      <c r="H225" s="15"/>
      <c r="I225" s="15"/>
      <c r="J225" s="17">
        <v>444</v>
      </c>
      <c r="K225" s="15"/>
      <c r="L225" s="17">
        <v>1</v>
      </c>
      <c r="M225" s="17">
        <v>100</v>
      </c>
      <c r="N225" s="17">
        <v>1</v>
      </c>
      <c r="O225" s="18">
        <v>2186.88</v>
      </c>
      <c r="P225" s="18">
        <v>1792.52</v>
      </c>
      <c r="Q225" s="18">
        <v>2186.88</v>
      </c>
      <c r="R225" s="18">
        <v>1792.52</v>
      </c>
      <c r="S225" s="18">
        <v>1749.5</v>
      </c>
      <c r="T225" s="18">
        <v>1434.02</v>
      </c>
      <c r="U225" s="16"/>
      <c r="V225" s="16"/>
      <c r="W225" s="16" t="s">
        <v>40</v>
      </c>
      <c r="X225" s="19">
        <v>0.16300000000000001</v>
      </c>
      <c r="Y225" s="20">
        <v>5.22E-4</v>
      </c>
      <c r="Z225" s="21">
        <v>4601004324350</v>
      </c>
    </row>
    <row r="226" spans="1:26" ht="12" customHeight="1" outlineLevel="4" x14ac:dyDescent="0.2">
      <c r="A226" s="14" t="s">
        <v>464</v>
      </c>
      <c r="B226" s="26" t="s">
        <v>465</v>
      </c>
      <c r="C226" s="52"/>
      <c r="D226" s="55">
        <f t="shared" si="3"/>
        <v>0</v>
      </c>
      <c r="E226" s="63" t="str">
        <f>HYPERLINK("https://www.sds-group.ru/product/vyklyuchatel-strong-1-kl-perekrestnyy-pereklyuchatel-s-podsvetkoy-10a-s-u-grafit-kranz-KR-78-0718-6/", "Инфо")</f>
        <v>Инфо</v>
      </c>
      <c r="F226" s="16" t="s">
        <v>39</v>
      </c>
      <c r="G226" s="15"/>
      <c r="H226" s="15"/>
      <c r="I226" s="15"/>
      <c r="J226" s="17">
        <v>819</v>
      </c>
      <c r="K226" s="15"/>
      <c r="L226" s="17">
        <v>1</v>
      </c>
      <c r="M226" s="17">
        <v>100</v>
      </c>
      <c r="N226" s="17">
        <v>1</v>
      </c>
      <c r="O226" s="18">
        <v>2163.3200000000002</v>
      </c>
      <c r="P226" s="18">
        <v>1773.21</v>
      </c>
      <c r="Q226" s="18">
        <v>2163.3200000000002</v>
      </c>
      <c r="R226" s="18">
        <v>1773.21</v>
      </c>
      <c r="S226" s="18">
        <v>1730.66</v>
      </c>
      <c r="T226" s="18">
        <v>1418.57</v>
      </c>
      <c r="U226" s="16"/>
      <c r="V226" s="16"/>
      <c r="W226" s="16" t="s">
        <v>40</v>
      </c>
      <c r="X226" s="19">
        <v>0.156</v>
      </c>
      <c r="Y226" s="20">
        <v>4.1800000000000002E-4</v>
      </c>
      <c r="Z226" s="21">
        <v>4601004324268</v>
      </c>
    </row>
    <row r="227" spans="1:26" ht="12" customHeight="1" outlineLevel="4" x14ac:dyDescent="0.2">
      <c r="A227" s="14" t="s">
        <v>466</v>
      </c>
      <c r="B227" s="26" t="s">
        <v>467</v>
      </c>
      <c r="C227" s="52"/>
      <c r="D227" s="55">
        <f t="shared" si="3"/>
        <v>0</v>
      </c>
      <c r="E227" s="63" t="str">
        <f>HYPERLINK("https://www.sds-group.ru/product/vyklyuchatel-strong-1-kl-perekrestnyy-pereklyuchatel-s-podsvetkoy-10a-s-u-zhemchug-kran-KR-78-0718-4/", "Инфо")</f>
        <v>Инфо</v>
      </c>
      <c r="F227" s="16" t="s">
        <v>39</v>
      </c>
      <c r="G227" s="15"/>
      <c r="H227" s="15"/>
      <c r="I227" s="15"/>
      <c r="J227" s="17">
        <v>407</v>
      </c>
      <c r="K227" s="15"/>
      <c r="L227" s="17">
        <v>1</v>
      </c>
      <c r="M227" s="17">
        <v>100</v>
      </c>
      <c r="N227" s="17">
        <v>1</v>
      </c>
      <c r="O227" s="18">
        <v>1822.39</v>
      </c>
      <c r="P227" s="18">
        <v>1493.76</v>
      </c>
      <c r="Q227" s="18">
        <v>1822.39</v>
      </c>
      <c r="R227" s="18">
        <v>1493.76</v>
      </c>
      <c r="S227" s="18">
        <v>1457.91</v>
      </c>
      <c r="T227" s="18">
        <v>1195.01</v>
      </c>
      <c r="U227" s="16"/>
      <c r="V227" s="16"/>
      <c r="W227" s="16" t="s">
        <v>40</v>
      </c>
      <c r="X227" s="19">
        <v>0.16300000000000001</v>
      </c>
      <c r="Y227" s="20">
        <v>5.1699999999999999E-4</v>
      </c>
      <c r="Z227" s="21">
        <v>4601004324374</v>
      </c>
    </row>
    <row r="228" spans="1:26" ht="12" customHeight="1" outlineLevel="4" x14ac:dyDescent="0.2">
      <c r="A228" s="14" t="s">
        <v>468</v>
      </c>
      <c r="B228" s="26" t="s">
        <v>469</v>
      </c>
      <c r="C228" s="52"/>
      <c r="D228" s="55">
        <f t="shared" si="3"/>
        <v>0</v>
      </c>
      <c r="E228" s="63" t="str">
        <f>HYPERLINK("https://www.sds-group.ru/product/vyklyuchatel-strong-1-kl-prohodnoy-pereklyuchatel-10a-s-u-antratsit-kranz-KR-78-0708-5/", "Инфо")</f>
        <v>Инфо</v>
      </c>
      <c r="F228" s="16" t="s">
        <v>39</v>
      </c>
      <c r="G228" s="15"/>
      <c r="H228" s="15"/>
      <c r="I228" s="15"/>
      <c r="J228" s="17">
        <v>533</v>
      </c>
      <c r="K228" s="15"/>
      <c r="L228" s="17">
        <v>1</v>
      </c>
      <c r="M228" s="17">
        <v>100</v>
      </c>
      <c r="N228" s="17">
        <v>1</v>
      </c>
      <c r="O228" s="18">
        <v>1273.6199999999999</v>
      </c>
      <c r="P228" s="18">
        <v>1043.95</v>
      </c>
      <c r="Q228" s="18">
        <v>1273.6199999999999</v>
      </c>
      <c r="R228" s="18">
        <v>1043.95</v>
      </c>
      <c r="S228" s="18">
        <v>1018.9</v>
      </c>
      <c r="T228" s="18">
        <v>835.16</v>
      </c>
      <c r="U228" s="16"/>
      <c r="V228" s="16"/>
      <c r="W228" s="16" t="s">
        <v>40</v>
      </c>
      <c r="X228" s="19">
        <v>0.153</v>
      </c>
      <c r="Y228" s="20">
        <v>5.3499999999999999E-4</v>
      </c>
      <c r="Z228" s="21">
        <v>4601004323827</v>
      </c>
    </row>
    <row r="229" spans="1:26" ht="12" customHeight="1" outlineLevel="4" x14ac:dyDescent="0.2">
      <c r="A229" s="14" t="s">
        <v>470</v>
      </c>
      <c r="B229" s="26" t="s">
        <v>471</v>
      </c>
      <c r="C229" s="52"/>
      <c r="D229" s="55">
        <f t="shared" si="3"/>
        <v>0</v>
      </c>
      <c r="E229" s="63" t="str">
        <f>HYPERLINK("https://www.sds-group.ru/product/vyklyuchatel-strong-1-kl-prohodnoy-pereklyuchatel-10a-s-u-grafit-kranz-KR-78-0708-6/", "Инфо")</f>
        <v>Инфо</v>
      </c>
      <c r="F229" s="16" t="s">
        <v>39</v>
      </c>
      <c r="G229" s="15"/>
      <c r="H229" s="15"/>
      <c r="I229" s="15"/>
      <c r="J229" s="17">
        <v>469</v>
      </c>
      <c r="K229" s="15"/>
      <c r="L229" s="17">
        <v>1</v>
      </c>
      <c r="M229" s="17">
        <v>100</v>
      </c>
      <c r="N229" s="17">
        <v>1</v>
      </c>
      <c r="O229" s="18">
        <v>1240.4000000000001</v>
      </c>
      <c r="P229" s="18">
        <v>1016.72</v>
      </c>
      <c r="Q229" s="18">
        <v>1240.4000000000001</v>
      </c>
      <c r="R229" s="18">
        <v>1016.72</v>
      </c>
      <c r="S229" s="18">
        <v>992.32</v>
      </c>
      <c r="T229" s="18">
        <v>813.38</v>
      </c>
      <c r="U229" s="16"/>
      <c r="V229" s="16"/>
      <c r="W229" s="16" t="s">
        <v>40</v>
      </c>
      <c r="X229" s="19">
        <v>0.154</v>
      </c>
      <c r="Y229" s="20">
        <v>5.1999999999999995E-4</v>
      </c>
      <c r="Z229" s="21">
        <v>4601004323810</v>
      </c>
    </row>
    <row r="230" spans="1:26" ht="12" customHeight="1" outlineLevel="4" x14ac:dyDescent="0.2">
      <c r="A230" s="14" t="s">
        <v>472</v>
      </c>
      <c r="B230" s="26" t="s">
        <v>473</v>
      </c>
      <c r="C230" s="52"/>
      <c r="D230" s="55">
        <f t="shared" si="3"/>
        <v>0</v>
      </c>
      <c r="E230" s="63" t="str">
        <f>HYPERLINK("https://www.sds-group.ru/product/vyklyuchatel-strong-1-kl-prohodnoy-pereklyuchatel-10a-s-u-zhemchug-kranz-KR-78-0708-4/", "Инфо")</f>
        <v>Инфо</v>
      </c>
      <c r="F230" s="16" t="s">
        <v>39</v>
      </c>
      <c r="G230" s="15"/>
      <c r="H230" s="15"/>
      <c r="I230" s="15"/>
      <c r="J230" s="17">
        <v>444</v>
      </c>
      <c r="K230" s="15"/>
      <c r="L230" s="17">
        <v>1</v>
      </c>
      <c r="M230" s="17">
        <v>100</v>
      </c>
      <c r="N230" s="17">
        <v>1</v>
      </c>
      <c r="O230" s="18">
        <v>1047.1400000000001</v>
      </c>
      <c r="P230" s="18">
        <v>858.31</v>
      </c>
      <c r="Q230" s="18">
        <v>1047.1400000000001</v>
      </c>
      <c r="R230" s="18">
        <v>858.31</v>
      </c>
      <c r="S230" s="18">
        <v>837.71</v>
      </c>
      <c r="T230" s="18">
        <v>686.65</v>
      </c>
      <c r="U230" s="16"/>
      <c r="V230" s="16"/>
      <c r="W230" s="16" t="s">
        <v>40</v>
      </c>
      <c r="X230" s="19">
        <v>0.153</v>
      </c>
      <c r="Y230" s="20">
        <v>5.1900000000000004E-4</v>
      </c>
      <c r="Z230" s="21">
        <v>4601004323834</v>
      </c>
    </row>
    <row r="231" spans="1:26" ht="12" customHeight="1" outlineLevel="4" x14ac:dyDescent="0.2">
      <c r="A231" s="40" t="s">
        <v>474</v>
      </c>
      <c r="B231" s="75" t="s">
        <v>475</v>
      </c>
      <c r="C231" s="51"/>
      <c r="D231" s="54">
        <f t="shared" si="3"/>
        <v>0</v>
      </c>
      <c r="E231" s="61" t="str">
        <f>HYPERLINK("https://www.sds-group.ru/product/vyklyuchatel-strong-1-kl-prohodnoy-pereklyuchatel-10a-s-u-shelk-kranz-KR-78-0708-8/", "Инфо")</f>
        <v>Инфо</v>
      </c>
      <c r="F231" s="42" t="s">
        <v>39</v>
      </c>
      <c r="G231" s="41" t="s">
        <v>40</v>
      </c>
      <c r="H231" s="41"/>
      <c r="I231" s="41"/>
      <c r="J231" s="43">
        <v>266</v>
      </c>
      <c r="K231" s="41" t="s">
        <v>476</v>
      </c>
      <c r="L231" s="43">
        <v>1</v>
      </c>
      <c r="M231" s="43">
        <v>100</v>
      </c>
      <c r="N231" s="43">
        <v>1</v>
      </c>
      <c r="O231" s="44">
        <v>1240.4000000000001</v>
      </c>
      <c r="P231" s="44">
        <v>1016.72</v>
      </c>
      <c r="Q231" s="44">
        <v>1240.4000000000001</v>
      </c>
      <c r="R231" s="44">
        <v>1016.72</v>
      </c>
      <c r="S231" s="44">
        <v>992.32</v>
      </c>
      <c r="T231" s="44">
        <v>813.38</v>
      </c>
      <c r="U231" s="42"/>
      <c r="V231" s="42"/>
      <c r="W231" s="42" t="s">
        <v>40</v>
      </c>
      <c r="X231" s="45">
        <v>0.152</v>
      </c>
      <c r="Y231" s="46">
        <v>5.4199999999999995E-4</v>
      </c>
      <c r="Z231" s="21">
        <v>4601004349506</v>
      </c>
    </row>
    <row r="232" spans="1:26" ht="12" customHeight="1" outlineLevel="4" x14ac:dyDescent="0.2">
      <c r="A232" s="14" t="s">
        <v>477</v>
      </c>
      <c r="B232" s="26" t="s">
        <v>478</v>
      </c>
      <c r="C232" s="52"/>
      <c r="D232" s="55">
        <f t="shared" si="3"/>
        <v>0</v>
      </c>
      <c r="E232" s="63" t="str">
        <f>HYPERLINK("https://www.sds-group.ru/product/vyklyuchatel-strong-1-kl-prohodnoy-pereklyuchatel-s-podsvetkoy-10a-s-u-antratsit-kranz-KR-78-0716-5/", "Инфо")</f>
        <v>Инфо</v>
      </c>
      <c r="F232" s="16" t="s">
        <v>39</v>
      </c>
      <c r="G232" s="15"/>
      <c r="H232" s="15"/>
      <c r="I232" s="15"/>
      <c r="J232" s="17">
        <v>672</v>
      </c>
      <c r="K232" s="15"/>
      <c r="L232" s="17">
        <v>1</v>
      </c>
      <c r="M232" s="17">
        <v>100</v>
      </c>
      <c r="N232" s="17">
        <v>1</v>
      </c>
      <c r="O232" s="18">
        <v>1364.61</v>
      </c>
      <c r="P232" s="18">
        <v>1118.53</v>
      </c>
      <c r="Q232" s="18">
        <v>1364.61</v>
      </c>
      <c r="R232" s="18">
        <v>1118.53</v>
      </c>
      <c r="S232" s="18">
        <v>1091.69</v>
      </c>
      <c r="T232" s="18">
        <v>894.83</v>
      </c>
      <c r="U232" s="16"/>
      <c r="V232" s="16"/>
      <c r="W232" s="16" t="s">
        <v>40</v>
      </c>
      <c r="X232" s="19">
        <v>0.153</v>
      </c>
      <c r="Y232" s="20">
        <v>5.3899999999999998E-4</v>
      </c>
      <c r="Z232" s="21">
        <v>4601004324244</v>
      </c>
    </row>
    <row r="233" spans="1:26" ht="12" customHeight="1" outlineLevel="4" x14ac:dyDescent="0.2">
      <c r="A233" s="14" t="s">
        <v>479</v>
      </c>
      <c r="B233" s="26" t="s">
        <v>480</v>
      </c>
      <c r="C233" s="52"/>
      <c r="D233" s="55">
        <f t="shared" si="3"/>
        <v>0</v>
      </c>
      <c r="E233" s="63" t="str">
        <f>HYPERLINK("https://www.sds-group.ru/product/vyklyuchatel-strong-1-kl-prohodnoy-pereklyuchatel-s-podsvetkoy-10a-s-u-grafit-kranz-KR-78-0716-6/", "Инфо")</f>
        <v>Инфо</v>
      </c>
      <c r="F233" s="16" t="s">
        <v>39</v>
      </c>
      <c r="G233" s="15"/>
      <c r="H233" s="15"/>
      <c r="I233" s="15"/>
      <c r="J233" s="17">
        <v>483</v>
      </c>
      <c r="K233" s="15"/>
      <c r="L233" s="17">
        <v>1</v>
      </c>
      <c r="M233" s="17">
        <v>100</v>
      </c>
      <c r="N233" s="17">
        <v>1</v>
      </c>
      <c r="O233" s="18">
        <v>1352.43</v>
      </c>
      <c r="P233" s="18">
        <v>1108.55</v>
      </c>
      <c r="Q233" s="18">
        <v>1352.43</v>
      </c>
      <c r="R233" s="18">
        <v>1108.55</v>
      </c>
      <c r="S233" s="18">
        <v>1081.94</v>
      </c>
      <c r="T233" s="18">
        <v>886.84</v>
      </c>
      <c r="U233" s="16"/>
      <c r="V233" s="16"/>
      <c r="W233" s="16" t="s">
        <v>40</v>
      </c>
      <c r="X233" s="19">
        <v>0.154</v>
      </c>
      <c r="Y233" s="20">
        <v>5.2499999999999997E-4</v>
      </c>
      <c r="Z233" s="21">
        <v>4601004324329</v>
      </c>
    </row>
    <row r="234" spans="1:26" ht="12" customHeight="1" outlineLevel="4" x14ac:dyDescent="0.2">
      <c r="A234" s="14" t="s">
        <v>481</v>
      </c>
      <c r="B234" s="26" t="s">
        <v>482</v>
      </c>
      <c r="C234" s="52"/>
      <c r="D234" s="55">
        <f t="shared" si="3"/>
        <v>0</v>
      </c>
      <c r="E234" s="63" t="str">
        <f>HYPERLINK("https://www.sds-group.ru/product/vyklyuchatel-strong-1-kl-prohodnoy-pereklyuchatel-s-podsvetkoy-10a-s-u-zhemchug-kranz-KR-78-0716-4/", "Инфо")</f>
        <v>Инфо</v>
      </c>
      <c r="F234" s="16" t="s">
        <v>39</v>
      </c>
      <c r="G234" s="15"/>
      <c r="H234" s="15"/>
      <c r="I234" s="15"/>
      <c r="J234" s="17">
        <v>657</v>
      </c>
      <c r="K234" s="15"/>
      <c r="L234" s="17">
        <v>1</v>
      </c>
      <c r="M234" s="17">
        <v>100</v>
      </c>
      <c r="N234" s="17">
        <v>1</v>
      </c>
      <c r="O234" s="18">
        <v>1121.95</v>
      </c>
      <c r="P234" s="18">
        <v>919.63</v>
      </c>
      <c r="Q234" s="18">
        <v>1121.95</v>
      </c>
      <c r="R234" s="18">
        <v>919.63</v>
      </c>
      <c r="S234" s="18">
        <v>897.56</v>
      </c>
      <c r="T234" s="18">
        <v>735.7</v>
      </c>
      <c r="U234" s="16"/>
      <c r="V234" s="16"/>
      <c r="W234" s="16" t="s">
        <v>40</v>
      </c>
      <c r="X234" s="19">
        <v>0.154</v>
      </c>
      <c r="Y234" s="20">
        <v>5.2899999999999996E-4</v>
      </c>
      <c r="Z234" s="21">
        <v>4601004324213</v>
      </c>
    </row>
    <row r="235" spans="1:26" ht="12" customHeight="1" outlineLevel="4" x14ac:dyDescent="0.2">
      <c r="A235" s="40" t="s">
        <v>483</v>
      </c>
      <c r="B235" s="75" t="s">
        <v>484</v>
      </c>
      <c r="C235" s="51"/>
      <c r="D235" s="54">
        <f t="shared" si="3"/>
        <v>0</v>
      </c>
      <c r="E235" s="61" t="str">
        <f>HYPERLINK("https://www.sds-group.ru/product/vyklyuchatel-strong-1-kl-prohodnoy-pereklyuchatel-s-podsvetkoy-10a-s-u-shelk-kranz-KR-78-0716-8/", "Инфо")</f>
        <v>Инфо</v>
      </c>
      <c r="F235" s="42" t="s">
        <v>39</v>
      </c>
      <c r="G235" s="41" t="s">
        <v>40</v>
      </c>
      <c r="H235" s="41"/>
      <c r="I235" s="41"/>
      <c r="J235" s="43">
        <v>66</v>
      </c>
      <c r="K235" s="41" t="s">
        <v>476</v>
      </c>
      <c r="L235" s="43">
        <v>1</v>
      </c>
      <c r="M235" s="43">
        <v>100</v>
      </c>
      <c r="N235" s="43">
        <v>1</v>
      </c>
      <c r="O235" s="44">
        <v>1352.43</v>
      </c>
      <c r="P235" s="44">
        <v>1108.55</v>
      </c>
      <c r="Q235" s="44">
        <v>1352.43</v>
      </c>
      <c r="R235" s="44">
        <v>1108.55</v>
      </c>
      <c r="S235" s="44">
        <v>1081.94</v>
      </c>
      <c r="T235" s="44">
        <v>886.84</v>
      </c>
      <c r="U235" s="42"/>
      <c r="V235" s="42"/>
      <c r="W235" s="42" t="s">
        <v>40</v>
      </c>
      <c r="X235" s="45">
        <v>0.153</v>
      </c>
      <c r="Y235" s="46">
        <v>5.31E-4</v>
      </c>
      <c r="Z235" s="21">
        <v>4601004349346</v>
      </c>
    </row>
    <row r="236" spans="1:26" ht="12" customHeight="1" outlineLevel="4" x14ac:dyDescent="0.2">
      <c r="A236" s="14" t="s">
        <v>485</v>
      </c>
      <c r="B236" s="26" t="s">
        <v>486</v>
      </c>
      <c r="C236" s="52"/>
      <c r="D236" s="55">
        <f t="shared" si="3"/>
        <v>0</v>
      </c>
      <c r="E236" s="63" t="str">
        <f>HYPERLINK("https://www.sds-group.ru/product/vyklyuchatel-strong-1-kl-s-podsvetkoy-10a-s-u-antratsit-kranz-KR-78-0713-5/", "Инфо")</f>
        <v>Инфо</v>
      </c>
      <c r="F236" s="16" t="s">
        <v>39</v>
      </c>
      <c r="G236" s="15"/>
      <c r="H236" s="15"/>
      <c r="I236" s="15"/>
      <c r="J236" s="22">
        <v>1050</v>
      </c>
      <c r="K236" s="15"/>
      <c r="L236" s="17">
        <v>1</v>
      </c>
      <c r="M236" s="17">
        <v>100</v>
      </c>
      <c r="N236" s="17">
        <v>1</v>
      </c>
      <c r="O236" s="18">
        <v>1182.6600000000001</v>
      </c>
      <c r="P236" s="18">
        <v>969.39</v>
      </c>
      <c r="Q236" s="18">
        <v>1182.6600000000001</v>
      </c>
      <c r="R236" s="18">
        <v>969.39</v>
      </c>
      <c r="S236" s="18">
        <v>946.13</v>
      </c>
      <c r="T236" s="18">
        <v>775.52</v>
      </c>
      <c r="U236" s="16"/>
      <c r="V236" s="16"/>
      <c r="W236" s="16" t="s">
        <v>40</v>
      </c>
      <c r="X236" s="19">
        <v>0.152</v>
      </c>
      <c r="Y236" s="20">
        <v>5.3700000000000004E-4</v>
      </c>
      <c r="Z236" s="21">
        <v>4601004324077</v>
      </c>
    </row>
    <row r="237" spans="1:26" ht="12" customHeight="1" outlineLevel="4" x14ac:dyDescent="0.2">
      <c r="A237" s="14" t="s">
        <v>487</v>
      </c>
      <c r="B237" s="26" t="s">
        <v>488</v>
      </c>
      <c r="C237" s="52"/>
      <c r="D237" s="55">
        <f t="shared" si="3"/>
        <v>0</v>
      </c>
      <c r="E237" s="63" t="str">
        <f>HYPERLINK("https://www.sds-group.ru/product/vyklyuchatel-strong-1-kl-s-podsvetkoy-10a-s-u-grafit-kranz-KR-78-0713-6/", "Инфо")</f>
        <v>Инфо</v>
      </c>
      <c r="F237" s="16" t="s">
        <v>39</v>
      </c>
      <c r="G237" s="15"/>
      <c r="H237" s="15"/>
      <c r="I237" s="15"/>
      <c r="J237" s="22">
        <v>1810</v>
      </c>
      <c r="K237" s="15"/>
      <c r="L237" s="17">
        <v>1</v>
      </c>
      <c r="M237" s="17">
        <v>100</v>
      </c>
      <c r="N237" s="17">
        <v>1</v>
      </c>
      <c r="O237" s="18">
        <v>1169.99</v>
      </c>
      <c r="P237" s="18">
        <v>959.01</v>
      </c>
      <c r="Q237" s="18">
        <v>1169.99</v>
      </c>
      <c r="R237" s="18">
        <v>959.01</v>
      </c>
      <c r="S237" s="18">
        <v>935.99</v>
      </c>
      <c r="T237" s="18">
        <v>767.2</v>
      </c>
      <c r="U237" s="16"/>
      <c r="V237" s="16"/>
      <c r="W237" s="16" t="s">
        <v>40</v>
      </c>
      <c r="X237" s="19">
        <v>0.152</v>
      </c>
      <c r="Y237" s="20">
        <v>5.2800000000000004E-4</v>
      </c>
      <c r="Z237" s="21">
        <v>4601004324091</v>
      </c>
    </row>
    <row r="238" spans="1:26" ht="12" customHeight="1" outlineLevel="4" x14ac:dyDescent="0.2">
      <c r="A238" s="14" t="s">
        <v>489</v>
      </c>
      <c r="B238" s="26" t="s">
        <v>490</v>
      </c>
      <c r="C238" s="52"/>
      <c r="D238" s="55">
        <f t="shared" si="3"/>
        <v>0</v>
      </c>
      <c r="E238" s="63" t="str">
        <f>HYPERLINK("https://www.sds-group.ru/product/vyklyuchatel-strong-1-kl-s-podsvetkoy-10a-s-u-zhemchug-kranz-KR-78-0713-4/", "Инфо")</f>
        <v>Инфо</v>
      </c>
      <c r="F238" s="16" t="s">
        <v>39</v>
      </c>
      <c r="G238" s="15"/>
      <c r="H238" s="15"/>
      <c r="I238" s="15"/>
      <c r="J238" s="22">
        <v>1262</v>
      </c>
      <c r="K238" s="15"/>
      <c r="L238" s="17">
        <v>1</v>
      </c>
      <c r="M238" s="17">
        <v>100</v>
      </c>
      <c r="N238" s="17">
        <v>1</v>
      </c>
      <c r="O238" s="18">
        <v>985.55</v>
      </c>
      <c r="P238" s="18">
        <v>807.83</v>
      </c>
      <c r="Q238" s="18">
        <v>985.55</v>
      </c>
      <c r="R238" s="18">
        <v>807.83</v>
      </c>
      <c r="S238" s="18">
        <v>788.44</v>
      </c>
      <c r="T238" s="18">
        <v>646.26</v>
      </c>
      <c r="U238" s="16"/>
      <c r="V238" s="16"/>
      <c r="W238" s="16" t="s">
        <v>40</v>
      </c>
      <c r="X238" s="19">
        <v>0.152</v>
      </c>
      <c r="Y238" s="20">
        <v>5.1000000000000004E-4</v>
      </c>
      <c r="Z238" s="21">
        <v>4601004323957</v>
      </c>
    </row>
    <row r="239" spans="1:26" ht="12" customHeight="1" outlineLevel="4" x14ac:dyDescent="0.2">
      <c r="A239" s="40" t="s">
        <v>491</v>
      </c>
      <c r="B239" s="75" t="s">
        <v>492</v>
      </c>
      <c r="C239" s="51"/>
      <c r="D239" s="54">
        <f t="shared" si="3"/>
        <v>0</v>
      </c>
      <c r="E239" s="61" t="str">
        <f>HYPERLINK("https://www.sds-group.ru/product/vyklyuchatel-strong-1-kl-s-podsvetkoy-10a-s-u-shelk-kranz-KR-78-0713-8/", "Инфо")</f>
        <v>Инфо</v>
      </c>
      <c r="F239" s="42" t="s">
        <v>39</v>
      </c>
      <c r="G239" s="41" t="s">
        <v>40</v>
      </c>
      <c r="H239" s="41"/>
      <c r="I239" s="41"/>
      <c r="J239" s="43">
        <v>74</v>
      </c>
      <c r="K239" s="41" t="s">
        <v>210</v>
      </c>
      <c r="L239" s="43">
        <v>1</v>
      </c>
      <c r="M239" s="43">
        <v>100</v>
      </c>
      <c r="N239" s="43">
        <v>1</v>
      </c>
      <c r="O239" s="44">
        <v>1169.99</v>
      </c>
      <c r="P239" s="44">
        <v>959.01</v>
      </c>
      <c r="Q239" s="44">
        <v>1169.99</v>
      </c>
      <c r="R239" s="44">
        <v>959.01</v>
      </c>
      <c r="S239" s="44">
        <v>935.99</v>
      </c>
      <c r="T239" s="44">
        <v>767.2</v>
      </c>
      <c r="U239" s="42"/>
      <c r="V239" s="42"/>
      <c r="W239" s="42" t="s">
        <v>40</v>
      </c>
      <c r="X239" s="45">
        <v>0.151</v>
      </c>
      <c r="Y239" s="46">
        <v>5.3799999999999996E-4</v>
      </c>
      <c r="Z239" s="21">
        <v>4601004349407</v>
      </c>
    </row>
    <row r="240" spans="1:26" ht="12" customHeight="1" outlineLevel="4" x14ac:dyDescent="0.2">
      <c r="A240" s="14" t="s">
        <v>493</v>
      </c>
      <c r="B240" s="26" t="s">
        <v>494</v>
      </c>
      <c r="C240" s="52"/>
      <c r="D240" s="55">
        <f t="shared" si="3"/>
        <v>0</v>
      </c>
      <c r="E240" s="63" t="str">
        <f>HYPERLINK("https://www.sds-group.ru/product/vyklyuchatel-strong-2-kl-10a-s-u-antratsit-kranz-KR-78-0706-5/", "Инфо")</f>
        <v>Инфо</v>
      </c>
      <c r="F240" s="16" t="s">
        <v>39</v>
      </c>
      <c r="G240" s="15"/>
      <c r="H240" s="15"/>
      <c r="I240" s="15"/>
      <c r="J240" s="22">
        <v>1540</v>
      </c>
      <c r="K240" s="15"/>
      <c r="L240" s="17">
        <v>1</v>
      </c>
      <c r="M240" s="17">
        <v>100</v>
      </c>
      <c r="N240" s="17">
        <v>1</v>
      </c>
      <c r="O240" s="18">
        <v>1410.11</v>
      </c>
      <c r="P240" s="18">
        <v>1155.83</v>
      </c>
      <c r="Q240" s="18">
        <v>1410.11</v>
      </c>
      <c r="R240" s="18">
        <v>1155.83</v>
      </c>
      <c r="S240" s="18">
        <v>1128.0899999999999</v>
      </c>
      <c r="T240" s="18">
        <v>924.66</v>
      </c>
      <c r="U240" s="16"/>
      <c r="V240" s="16"/>
      <c r="W240" s="16" t="s">
        <v>40</v>
      </c>
      <c r="X240" s="19">
        <v>0.156</v>
      </c>
      <c r="Y240" s="20">
        <v>5.3300000000000005E-4</v>
      </c>
      <c r="Z240" s="21">
        <v>4601004323681</v>
      </c>
    </row>
    <row r="241" spans="1:26" ht="12" customHeight="1" outlineLevel="4" x14ac:dyDescent="0.2">
      <c r="A241" s="14" t="s">
        <v>495</v>
      </c>
      <c r="B241" s="26" t="s">
        <v>496</v>
      </c>
      <c r="C241" s="52"/>
      <c r="D241" s="55">
        <f t="shared" si="3"/>
        <v>0</v>
      </c>
      <c r="E241" s="63" t="str">
        <f>HYPERLINK("https://www.sds-group.ru/product/vyklyuchatel-strong-2-kl-10a-s-u-grafit-kranz-KR-78-0706-6/", "Инфо")</f>
        <v>Инфо</v>
      </c>
      <c r="F241" s="16" t="s">
        <v>39</v>
      </c>
      <c r="G241" s="15"/>
      <c r="H241" s="15"/>
      <c r="I241" s="15"/>
      <c r="J241" s="17">
        <v>715</v>
      </c>
      <c r="K241" s="15"/>
      <c r="L241" s="17">
        <v>1</v>
      </c>
      <c r="M241" s="17">
        <v>100</v>
      </c>
      <c r="N241" s="17">
        <v>1</v>
      </c>
      <c r="O241" s="18">
        <v>1397.83</v>
      </c>
      <c r="P241" s="18">
        <v>1145.76</v>
      </c>
      <c r="Q241" s="18">
        <v>1397.83</v>
      </c>
      <c r="R241" s="18">
        <v>1145.76</v>
      </c>
      <c r="S241" s="18">
        <v>1118.26</v>
      </c>
      <c r="T241" s="18">
        <v>916.61</v>
      </c>
      <c r="U241" s="16"/>
      <c r="V241" s="16"/>
      <c r="W241" s="16" t="s">
        <v>40</v>
      </c>
      <c r="X241" s="19">
        <v>0.156</v>
      </c>
      <c r="Y241" s="20">
        <v>5.2400000000000005E-4</v>
      </c>
      <c r="Z241" s="21">
        <v>4601004323728</v>
      </c>
    </row>
    <row r="242" spans="1:26" ht="12" customHeight="1" outlineLevel="4" x14ac:dyDescent="0.2">
      <c r="A242" s="14" t="s">
        <v>497</v>
      </c>
      <c r="B242" s="26" t="s">
        <v>498</v>
      </c>
      <c r="C242" s="52"/>
      <c r="D242" s="55">
        <f t="shared" si="3"/>
        <v>0</v>
      </c>
      <c r="E242" s="63" t="str">
        <f>HYPERLINK("https://www.sds-group.ru/product/vyklyuchatel-strong-2-kl-10a-s-u-zhemchug-kranz-KR-78-0706-4/", "Инфо")</f>
        <v>Инфо</v>
      </c>
      <c r="F242" s="16" t="s">
        <v>39</v>
      </c>
      <c r="G242" s="15"/>
      <c r="H242" s="15"/>
      <c r="I242" s="15"/>
      <c r="J242" s="22">
        <v>1063</v>
      </c>
      <c r="K242" s="15"/>
      <c r="L242" s="17">
        <v>1</v>
      </c>
      <c r="M242" s="17">
        <v>100</v>
      </c>
      <c r="N242" s="17">
        <v>1</v>
      </c>
      <c r="O242" s="18">
        <v>1154.0999999999999</v>
      </c>
      <c r="P242" s="18">
        <v>945.98</v>
      </c>
      <c r="Q242" s="18">
        <v>1154.0999999999999</v>
      </c>
      <c r="R242" s="18">
        <v>945.98</v>
      </c>
      <c r="S242" s="18">
        <v>923.28</v>
      </c>
      <c r="T242" s="18">
        <v>756.79</v>
      </c>
      <c r="U242" s="16"/>
      <c r="V242" s="16"/>
      <c r="W242" s="16" t="s">
        <v>40</v>
      </c>
      <c r="X242" s="19">
        <v>0.157</v>
      </c>
      <c r="Y242" s="20">
        <v>5.2899999999999996E-4</v>
      </c>
      <c r="Z242" s="21">
        <v>4601004323551</v>
      </c>
    </row>
    <row r="243" spans="1:26" ht="12" customHeight="1" outlineLevel="4" x14ac:dyDescent="0.2">
      <c r="A243" s="40" t="s">
        <v>499</v>
      </c>
      <c r="B243" s="75" t="s">
        <v>500</v>
      </c>
      <c r="C243" s="51"/>
      <c r="D243" s="54">
        <f t="shared" si="3"/>
        <v>0</v>
      </c>
      <c r="E243" s="61" t="str">
        <f>HYPERLINK("https://www.sds-group.ru/product/vyklyuchatel-strong-2-kl-10a-s-u-shelk-kranz-KR-78-0706-8/", "Инфо")</f>
        <v>Инфо</v>
      </c>
      <c r="F243" s="42" t="s">
        <v>39</v>
      </c>
      <c r="G243" s="41" t="s">
        <v>40</v>
      </c>
      <c r="H243" s="41"/>
      <c r="I243" s="41"/>
      <c r="J243" s="43">
        <v>375</v>
      </c>
      <c r="K243" s="41" t="s">
        <v>210</v>
      </c>
      <c r="L243" s="43">
        <v>1</v>
      </c>
      <c r="M243" s="43">
        <v>100</v>
      </c>
      <c r="N243" s="43">
        <v>1</v>
      </c>
      <c r="O243" s="44">
        <v>1397.83</v>
      </c>
      <c r="P243" s="44">
        <v>1145.76</v>
      </c>
      <c r="Q243" s="44">
        <v>1397.83</v>
      </c>
      <c r="R243" s="44">
        <v>1145.76</v>
      </c>
      <c r="S243" s="44">
        <v>1118.26</v>
      </c>
      <c r="T243" s="44">
        <v>916.61</v>
      </c>
      <c r="U243" s="42"/>
      <c r="V243" s="42"/>
      <c r="W243" s="42" t="s">
        <v>40</v>
      </c>
      <c r="X243" s="45">
        <v>0.156</v>
      </c>
      <c r="Y243" s="46">
        <v>5.31E-4</v>
      </c>
      <c r="Z243" s="21">
        <v>4601004349544</v>
      </c>
    </row>
    <row r="244" spans="1:26" ht="12" customHeight="1" outlineLevel="4" x14ac:dyDescent="0.2">
      <c r="A244" s="14" t="s">
        <v>501</v>
      </c>
      <c r="B244" s="26" t="s">
        <v>502</v>
      </c>
      <c r="C244" s="52"/>
      <c r="D244" s="55">
        <f t="shared" si="3"/>
        <v>0</v>
      </c>
      <c r="E244" s="63" t="str">
        <f>HYPERLINK("https://www.sds-group.ru/product/vyklyuchatel-strong-2-kl-dlya-zhalyuzi-vozvratnyy-10a-s-u-antratsit-kranz-KR-78-0711-5/", "Инфо")</f>
        <v>Инфо</v>
      </c>
      <c r="F244" s="16" t="s">
        <v>39</v>
      </c>
      <c r="G244" s="15"/>
      <c r="H244" s="15"/>
      <c r="I244" s="15"/>
      <c r="J244" s="17">
        <v>561</v>
      </c>
      <c r="K244" s="15"/>
      <c r="L244" s="17">
        <v>1</v>
      </c>
      <c r="M244" s="17">
        <v>100</v>
      </c>
      <c r="N244" s="17">
        <v>1</v>
      </c>
      <c r="O244" s="18">
        <v>1468.58</v>
      </c>
      <c r="P244" s="18">
        <v>1203.75</v>
      </c>
      <c r="Q244" s="18">
        <v>1468.58</v>
      </c>
      <c r="R244" s="18">
        <v>1203.75</v>
      </c>
      <c r="S244" s="18">
        <v>1174.8599999999999</v>
      </c>
      <c r="T244" s="18">
        <v>963</v>
      </c>
      <c r="U244" s="16"/>
      <c r="V244" s="16"/>
      <c r="W244" s="16" t="s">
        <v>40</v>
      </c>
      <c r="X244" s="19">
        <v>0.157</v>
      </c>
      <c r="Y244" s="20">
        <v>5.1900000000000004E-4</v>
      </c>
      <c r="Z244" s="21">
        <v>4601004324145</v>
      </c>
    </row>
    <row r="245" spans="1:26" ht="12" customHeight="1" outlineLevel="4" x14ac:dyDescent="0.2">
      <c r="A245" s="14" t="s">
        <v>503</v>
      </c>
      <c r="B245" s="26" t="s">
        <v>504</v>
      </c>
      <c r="C245" s="52"/>
      <c r="D245" s="55">
        <f t="shared" si="3"/>
        <v>0</v>
      </c>
      <c r="E245" s="63" t="str">
        <f>HYPERLINK("https://www.sds-group.ru/product/vyklyuchatel-strong-2-kl-dlya-zhalyuzi-vozvratnyy-10a-s-u-grafit-kranz-KR-78-0711-6/", "Инфо")</f>
        <v>Инфо</v>
      </c>
      <c r="F245" s="16" t="s">
        <v>39</v>
      </c>
      <c r="G245" s="15"/>
      <c r="H245" s="15"/>
      <c r="I245" s="15"/>
      <c r="J245" s="17">
        <v>354</v>
      </c>
      <c r="K245" s="15"/>
      <c r="L245" s="17">
        <v>1</v>
      </c>
      <c r="M245" s="17">
        <v>100</v>
      </c>
      <c r="N245" s="17">
        <v>1</v>
      </c>
      <c r="O245" s="18">
        <v>1455.58</v>
      </c>
      <c r="P245" s="18">
        <v>1193.0999999999999</v>
      </c>
      <c r="Q245" s="18">
        <v>1455.58</v>
      </c>
      <c r="R245" s="18">
        <v>1193.0999999999999</v>
      </c>
      <c r="S245" s="18">
        <v>1164.46</v>
      </c>
      <c r="T245" s="18">
        <v>954.48</v>
      </c>
      <c r="U245" s="16"/>
      <c r="V245" s="16"/>
      <c r="W245" s="16" t="s">
        <v>40</v>
      </c>
      <c r="X245" s="19">
        <v>0.157</v>
      </c>
      <c r="Y245" s="20">
        <v>5.3300000000000005E-4</v>
      </c>
      <c r="Z245" s="21">
        <v>4601004324039</v>
      </c>
    </row>
    <row r="246" spans="1:26" ht="12" customHeight="1" outlineLevel="4" x14ac:dyDescent="0.2">
      <c r="A246" s="14" t="s">
        <v>505</v>
      </c>
      <c r="B246" s="26" t="s">
        <v>506</v>
      </c>
      <c r="C246" s="52"/>
      <c r="D246" s="55">
        <f t="shared" si="3"/>
        <v>0</v>
      </c>
      <c r="E246" s="63" t="str">
        <f>HYPERLINK("https://www.sds-group.ru/product/vyklyuchatel-strong-2-kl-dlya-zhalyuzi-vozvratnyy-10a-s-u-zhemchug-kranz-KR-78-0711-4/", "Инфо")</f>
        <v>Инфо</v>
      </c>
      <c r="F246" s="16" t="s">
        <v>39</v>
      </c>
      <c r="G246" s="15"/>
      <c r="H246" s="15"/>
      <c r="I246" s="15"/>
      <c r="J246" s="17">
        <v>367</v>
      </c>
      <c r="K246" s="15"/>
      <c r="L246" s="17">
        <v>1</v>
      </c>
      <c r="M246" s="17">
        <v>100</v>
      </c>
      <c r="N246" s="17">
        <v>1</v>
      </c>
      <c r="O246" s="18">
        <v>1196.74</v>
      </c>
      <c r="P246" s="18">
        <v>980.93</v>
      </c>
      <c r="Q246" s="18">
        <v>1196.74</v>
      </c>
      <c r="R246" s="18">
        <v>980.93</v>
      </c>
      <c r="S246" s="18">
        <v>957.39</v>
      </c>
      <c r="T246" s="18">
        <v>784.75</v>
      </c>
      <c r="U246" s="16"/>
      <c r="V246" s="16"/>
      <c r="W246" s="16" t="s">
        <v>40</v>
      </c>
      <c r="X246" s="19">
        <v>0.157</v>
      </c>
      <c r="Y246" s="20">
        <v>5.2700000000000002E-4</v>
      </c>
      <c r="Z246" s="21">
        <v>4601004323858</v>
      </c>
    </row>
    <row r="247" spans="1:26" ht="12" customHeight="1" outlineLevel="4" x14ac:dyDescent="0.2">
      <c r="A247" s="40" t="s">
        <v>507</v>
      </c>
      <c r="B247" s="75" t="s">
        <v>508</v>
      </c>
      <c r="C247" s="51"/>
      <c r="D247" s="54">
        <f t="shared" si="3"/>
        <v>0</v>
      </c>
      <c r="E247" s="61" t="str">
        <f>HYPERLINK("https://www.sds-group.ru/product/vyklyuchatel-strong-2-kl-dlya-zhalyuzi-vozvratnyy-10a-s-u-shelk-kranz-KR-78-0711-8/", "Инфо")</f>
        <v>Инфо</v>
      </c>
      <c r="F247" s="42" t="s">
        <v>39</v>
      </c>
      <c r="G247" s="41" t="s">
        <v>40</v>
      </c>
      <c r="H247" s="41"/>
      <c r="I247" s="41"/>
      <c r="J247" s="43">
        <v>197</v>
      </c>
      <c r="K247" s="41"/>
      <c r="L247" s="43">
        <v>1</v>
      </c>
      <c r="M247" s="43">
        <v>100</v>
      </c>
      <c r="N247" s="43">
        <v>1</v>
      </c>
      <c r="O247" s="44">
        <v>1455.58</v>
      </c>
      <c r="P247" s="44">
        <v>1193.0999999999999</v>
      </c>
      <c r="Q247" s="44">
        <v>1455.58</v>
      </c>
      <c r="R247" s="44">
        <v>1193.0999999999999</v>
      </c>
      <c r="S247" s="44">
        <v>1164.46</v>
      </c>
      <c r="T247" s="44">
        <v>954.48</v>
      </c>
      <c r="U247" s="42"/>
      <c r="V247" s="42"/>
      <c r="W247" s="42" t="s">
        <v>40</v>
      </c>
      <c r="X247" s="45">
        <v>0.156</v>
      </c>
      <c r="Y247" s="46">
        <v>5.3499999999999999E-4</v>
      </c>
      <c r="Z247" s="21">
        <v>4601004349445</v>
      </c>
    </row>
    <row r="248" spans="1:26" ht="12" customHeight="1" outlineLevel="4" x14ac:dyDescent="0.2">
      <c r="A248" s="40" t="s">
        <v>509</v>
      </c>
      <c r="B248" s="75" t="s">
        <v>510</v>
      </c>
      <c r="C248" s="51"/>
      <c r="D248" s="54">
        <f t="shared" si="3"/>
        <v>0</v>
      </c>
      <c r="E248" s="61" t="str">
        <f>HYPERLINK("https://www.sds-group.ru/product/vyklyuchatel-strong-2-kl-perekrestnyy-pereklyuchatel-10a-s-u-antratsit-kranz-KR-78-0733-5/", "Инфо")</f>
        <v>Инфо</v>
      </c>
      <c r="F248" s="42" t="s">
        <v>39</v>
      </c>
      <c r="G248" s="41" t="s">
        <v>40</v>
      </c>
      <c r="H248" s="41"/>
      <c r="I248" s="41"/>
      <c r="J248" s="43">
        <v>780</v>
      </c>
      <c r="K248" s="41"/>
      <c r="L248" s="43">
        <v>1</v>
      </c>
      <c r="M248" s="43">
        <v>100</v>
      </c>
      <c r="N248" s="43">
        <v>1</v>
      </c>
      <c r="O248" s="44">
        <v>2667.88</v>
      </c>
      <c r="P248" s="44">
        <v>2186.79</v>
      </c>
      <c r="Q248" s="44">
        <v>2667.88</v>
      </c>
      <c r="R248" s="44">
        <v>2186.79</v>
      </c>
      <c r="S248" s="44">
        <v>2134.3000000000002</v>
      </c>
      <c r="T248" s="44">
        <v>1749.43</v>
      </c>
      <c r="U248" s="42"/>
      <c r="V248" s="42"/>
      <c r="W248" s="42" t="s">
        <v>40</v>
      </c>
      <c r="X248" s="45">
        <v>0.159</v>
      </c>
      <c r="Y248" s="46">
        <v>5.3399999999999997E-4</v>
      </c>
      <c r="Z248" s="21">
        <v>4601004338807</v>
      </c>
    </row>
    <row r="249" spans="1:26" ht="12" customHeight="1" outlineLevel="4" x14ac:dyDescent="0.2">
      <c r="A249" s="40" t="s">
        <v>511</v>
      </c>
      <c r="B249" s="75" t="s">
        <v>512</v>
      </c>
      <c r="C249" s="51"/>
      <c r="D249" s="54">
        <f t="shared" si="3"/>
        <v>0</v>
      </c>
      <c r="E249" s="61" t="str">
        <f>HYPERLINK("https://www.sds-group.ru/product/vyklyuchatel-strong-2-kl-perekrestnyy-pereklyuchatel-10a-s-u-grafit-kranz-KR-78-0733-6/", "Инфо")</f>
        <v>Инфо</v>
      </c>
      <c r="F249" s="42" t="s">
        <v>39</v>
      </c>
      <c r="G249" s="41" t="s">
        <v>40</v>
      </c>
      <c r="H249" s="41"/>
      <c r="I249" s="41"/>
      <c r="J249" s="47">
        <v>1059</v>
      </c>
      <c r="K249" s="41"/>
      <c r="L249" s="43">
        <v>1</v>
      </c>
      <c r="M249" s="43">
        <v>100</v>
      </c>
      <c r="N249" s="43">
        <v>1</v>
      </c>
      <c r="O249" s="44">
        <v>2598.2800000000002</v>
      </c>
      <c r="P249" s="44">
        <v>2129.7399999999998</v>
      </c>
      <c r="Q249" s="44">
        <v>2598.2800000000002</v>
      </c>
      <c r="R249" s="44">
        <v>2129.7399999999998</v>
      </c>
      <c r="S249" s="44">
        <v>2078.62</v>
      </c>
      <c r="T249" s="44">
        <v>1703.79</v>
      </c>
      <c r="U249" s="42"/>
      <c r="V249" s="42"/>
      <c r="W249" s="42" t="s">
        <v>40</v>
      </c>
      <c r="X249" s="45">
        <v>0.159</v>
      </c>
      <c r="Y249" s="46">
        <v>5.2800000000000004E-4</v>
      </c>
      <c r="Z249" s="21">
        <v>4601004338746</v>
      </c>
    </row>
    <row r="250" spans="1:26" ht="12" customHeight="1" outlineLevel="4" x14ac:dyDescent="0.2">
      <c r="A250" s="40" t="s">
        <v>513</v>
      </c>
      <c r="B250" s="75" t="s">
        <v>514</v>
      </c>
      <c r="C250" s="51"/>
      <c r="D250" s="54">
        <f t="shared" si="3"/>
        <v>0</v>
      </c>
      <c r="E250" s="61" t="str">
        <f>HYPERLINK("https://www.sds-group.ru/product/vyklyuchatel-strong-2-kl-perekrestnyy-pereklyuchatel-10a-s-u-zhemchug-kranz-KR-78-0733-4/", "Инфо")</f>
        <v>Инфо</v>
      </c>
      <c r="F250" s="42" t="s">
        <v>39</v>
      </c>
      <c r="G250" s="41" t="s">
        <v>40</v>
      </c>
      <c r="H250" s="41"/>
      <c r="I250" s="41"/>
      <c r="J250" s="43">
        <v>792</v>
      </c>
      <c r="K250" s="41"/>
      <c r="L250" s="43">
        <v>1</v>
      </c>
      <c r="M250" s="43">
        <v>100</v>
      </c>
      <c r="N250" s="43">
        <v>1</v>
      </c>
      <c r="O250" s="44">
        <v>2224.0700000000002</v>
      </c>
      <c r="P250" s="44">
        <v>1823.01</v>
      </c>
      <c r="Q250" s="44">
        <v>2224.0700000000002</v>
      </c>
      <c r="R250" s="44">
        <v>1823.01</v>
      </c>
      <c r="S250" s="44">
        <v>1779.26</v>
      </c>
      <c r="T250" s="44">
        <v>1458.41</v>
      </c>
      <c r="U250" s="42"/>
      <c r="V250" s="42"/>
      <c r="W250" s="42" t="s">
        <v>40</v>
      </c>
      <c r="X250" s="45">
        <v>0.159</v>
      </c>
      <c r="Y250" s="46">
        <v>5.3200000000000003E-4</v>
      </c>
      <c r="Z250" s="21">
        <v>4601004338739</v>
      </c>
    </row>
    <row r="251" spans="1:26" ht="12" customHeight="1" outlineLevel="4" x14ac:dyDescent="0.2">
      <c r="A251" s="40" t="s">
        <v>515</v>
      </c>
      <c r="B251" s="75" t="s">
        <v>516</v>
      </c>
      <c r="C251" s="51"/>
      <c r="D251" s="54">
        <f t="shared" si="3"/>
        <v>0</v>
      </c>
      <c r="E251" s="61" t="str">
        <f>HYPERLINK("https://www.sds-group.ru/product/vyklyuchatel-strong-2-kl-perekrestnyy-pereklyuchatel-10a-s-u-shelk-kranz-KR-78-0733-8/", "Инфо")</f>
        <v>Инфо</v>
      </c>
      <c r="F251" s="42" t="s">
        <v>39</v>
      </c>
      <c r="G251" s="41" t="s">
        <v>40</v>
      </c>
      <c r="H251" s="41"/>
      <c r="I251" s="41"/>
      <c r="J251" s="43">
        <v>290</v>
      </c>
      <c r="K251" s="41"/>
      <c r="L251" s="43">
        <v>1</v>
      </c>
      <c r="M251" s="43">
        <v>100</v>
      </c>
      <c r="N251" s="43">
        <v>1</v>
      </c>
      <c r="O251" s="44">
        <v>2598.2800000000002</v>
      </c>
      <c r="P251" s="44">
        <v>2129.7399999999998</v>
      </c>
      <c r="Q251" s="44">
        <v>2598.2800000000002</v>
      </c>
      <c r="R251" s="44">
        <v>2129.7399999999998</v>
      </c>
      <c r="S251" s="44">
        <v>2078.62</v>
      </c>
      <c r="T251" s="44">
        <v>1703.79</v>
      </c>
      <c r="U251" s="42"/>
      <c r="V251" s="42"/>
      <c r="W251" s="42" t="s">
        <v>40</v>
      </c>
      <c r="X251" s="45">
        <v>0.158</v>
      </c>
      <c r="Y251" s="46">
        <v>5.3300000000000005E-4</v>
      </c>
      <c r="Z251" s="21">
        <v>4601004349247</v>
      </c>
    </row>
    <row r="252" spans="1:26" ht="12" customHeight="1" outlineLevel="4" x14ac:dyDescent="0.2">
      <c r="A252" s="14" t="s">
        <v>517</v>
      </c>
      <c r="B252" s="26" t="s">
        <v>518</v>
      </c>
      <c r="C252" s="52"/>
      <c r="D252" s="55">
        <f t="shared" si="3"/>
        <v>0</v>
      </c>
      <c r="E252" s="63" t="str">
        <f>HYPERLINK("https://www.sds-group.ru/product/vyklyuchatel-strong-2-kl-prohodnoy-pereklyuchatel-10a-s-u-antratsit-kranz-KR-78-0709-5/", "Инфо")</f>
        <v>Инфо</v>
      </c>
      <c r="F252" s="16" t="s">
        <v>39</v>
      </c>
      <c r="G252" s="15"/>
      <c r="H252" s="15"/>
      <c r="I252" s="15"/>
      <c r="J252" s="17">
        <v>822</v>
      </c>
      <c r="K252" s="15"/>
      <c r="L252" s="17">
        <v>1</v>
      </c>
      <c r="M252" s="17">
        <v>100</v>
      </c>
      <c r="N252" s="17">
        <v>1</v>
      </c>
      <c r="O252" s="18">
        <v>1973.64</v>
      </c>
      <c r="P252" s="18">
        <v>1617.74</v>
      </c>
      <c r="Q252" s="18">
        <v>1973.64</v>
      </c>
      <c r="R252" s="18">
        <v>1617.74</v>
      </c>
      <c r="S252" s="18">
        <v>1578.91</v>
      </c>
      <c r="T252" s="18">
        <v>1294.19</v>
      </c>
      <c r="U252" s="16"/>
      <c r="V252" s="16"/>
      <c r="W252" s="16" t="s">
        <v>40</v>
      </c>
      <c r="X252" s="19">
        <v>0.16400000000000001</v>
      </c>
      <c r="Y252" s="20">
        <v>5.53E-4</v>
      </c>
      <c r="Z252" s="21">
        <v>4601004323742</v>
      </c>
    </row>
    <row r="253" spans="1:26" ht="12" customHeight="1" outlineLevel="4" x14ac:dyDescent="0.2">
      <c r="A253" s="14" t="s">
        <v>519</v>
      </c>
      <c r="B253" s="26" t="s">
        <v>520</v>
      </c>
      <c r="C253" s="52"/>
      <c r="D253" s="55">
        <f t="shared" si="3"/>
        <v>0</v>
      </c>
      <c r="E253" s="63" t="str">
        <f>HYPERLINK("https://www.sds-group.ru/product/vyklyuchatel-strong-2-kl-prohodnoy-pereklyuchatel-10a-s-u-grafit-kranz-KR-78-0709-6/", "Инфо")</f>
        <v>Инфо</v>
      </c>
      <c r="F253" s="16" t="s">
        <v>39</v>
      </c>
      <c r="G253" s="15"/>
      <c r="H253" s="15"/>
      <c r="I253" s="15"/>
      <c r="J253" s="22">
        <v>1314</v>
      </c>
      <c r="K253" s="15"/>
      <c r="L253" s="17">
        <v>1</v>
      </c>
      <c r="M253" s="17">
        <v>100</v>
      </c>
      <c r="N253" s="17">
        <v>1</v>
      </c>
      <c r="O253" s="18">
        <v>1955.95</v>
      </c>
      <c r="P253" s="18">
        <v>1603.24</v>
      </c>
      <c r="Q253" s="18">
        <v>1955.95</v>
      </c>
      <c r="R253" s="18">
        <v>1603.24</v>
      </c>
      <c r="S253" s="18">
        <v>1564.76</v>
      </c>
      <c r="T253" s="18">
        <v>1282.5899999999999</v>
      </c>
      <c r="U253" s="16"/>
      <c r="V253" s="16"/>
      <c r="W253" s="16" t="s">
        <v>40</v>
      </c>
      <c r="X253" s="19">
        <v>0.16400000000000001</v>
      </c>
      <c r="Y253" s="20">
        <v>5.5500000000000005E-4</v>
      </c>
      <c r="Z253" s="21">
        <v>4601004323773</v>
      </c>
    </row>
    <row r="254" spans="1:26" ht="12" customHeight="1" outlineLevel="4" x14ac:dyDescent="0.2">
      <c r="A254" s="14" t="s">
        <v>521</v>
      </c>
      <c r="B254" s="26" t="s">
        <v>522</v>
      </c>
      <c r="C254" s="52"/>
      <c r="D254" s="55">
        <f t="shared" si="3"/>
        <v>0</v>
      </c>
      <c r="E254" s="63" t="str">
        <f>HYPERLINK("https://www.sds-group.ru/product/vyklyuchatel-strong-2-kl-prohodnoy-pereklyuchatel-10a-s-u-zhemchug-kranz-KR-78-0709-4/", "Инфо")</f>
        <v>Инфо</v>
      </c>
      <c r="F254" s="16" t="s">
        <v>39</v>
      </c>
      <c r="G254" s="15"/>
      <c r="H254" s="15"/>
      <c r="I254" s="15"/>
      <c r="J254" s="17">
        <v>990</v>
      </c>
      <c r="K254" s="15"/>
      <c r="L254" s="17">
        <v>1</v>
      </c>
      <c r="M254" s="17">
        <v>100</v>
      </c>
      <c r="N254" s="17">
        <v>1</v>
      </c>
      <c r="O254" s="18">
        <v>1615.36</v>
      </c>
      <c r="P254" s="18">
        <v>1324.07</v>
      </c>
      <c r="Q254" s="18">
        <v>1615.36</v>
      </c>
      <c r="R254" s="18">
        <v>1324.07</v>
      </c>
      <c r="S254" s="18">
        <v>1292.29</v>
      </c>
      <c r="T254" s="18">
        <v>1059.25</v>
      </c>
      <c r="U254" s="16"/>
      <c r="V254" s="16"/>
      <c r="W254" s="16" t="s">
        <v>40</v>
      </c>
      <c r="X254" s="19">
        <v>0.16300000000000001</v>
      </c>
      <c r="Y254" s="20">
        <v>5.44E-4</v>
      </c>
      <c r="Z254" s="21">
        <v>4601004323612</v>
      </c>
    </row>
    <row r="255" spans="1:26" ht="12" customHeight="1" outlineLevel="4" x14ac:dyDescent="0.2">
      <c r="A255" s="40" t="s">
        <v>523</v>
      </c>
      <c r="B255" s="75" t="s">
        <v>524</v>
      </c>
      <c r="C255" s="51"/>
      <c r="D255" s="54">
        <f t="shared" si="3"/>
        <v>0</v>
      </c>
      <c r="E255" s="61" t="str">
        <f>HYPERLINK("https://www.sds-group.ru/product/vyklyuchatel-strong-2-kl-prohodnoy-pereklyuchatel-10a-s-u-shelk-kranz-KR-78-0709-8/", "Инфо")</f>
        <v>Инфо</v>
      </c>
      <c r="F255" s="42" t="s">
        <v>39</v>
      </c>
      <c r="G255" s="41" t="s">
        <v>40</v>
      </c>
      <c r="H255" s="41"/>
      <c r="I255" s="41"/>
      <c r="J255" s="43">
        <v>441</v>
      </c>
      <c r="K255" s="41" t="s">
        <v>210</v>
      </c>
      <c r="L255" s="43">
        <v>1</v>
      </c>
      <c r="M255" s="43">
        <v>100</v>
      </c>
      <c r="N255" s="43">
        <v>1</v>
      </c>
      <c r="O255" s="44">
        <v>1955.95</v>
      </c>
      <c r="P255" s="44">
        <v>1603.24</v>
      </c>
      <c r="Q255" s="44">
        <v>1955.95</v>
      </c>
      <c r="R255" s="44">
        <v>1603.24</v>
      </c>
      <c r="S255" s="44">
        <v>1564.76</v>
      </c>
      <c r="T255" s="44">
        <v>1282.5899999999999</v>
      </c>
      <c r="U255" s="42"/>
      <c r="V255" s="42"/>
      <c r="W255" s="42" t="s">
        <v>40</v>
      </c>
      <c r="X255" s="45">
        <v>0.16300000000000001</v>
      </c>
      <c r="Y255" s="46">
        <v>5.3200000000000003E-4</v>
      </c>
      <c r="Z255" s="21">
        <v>4601004349483</v>
      </c>
    </row>
    <row r="256" spans="1:26" ht="12" customHeight="1" outlineLevel="4" x14ac:dyDescent="0.2">
      <c r="A256" s="40" t="s">
        <v>525</v>
      </c>
      <c r="B256" s="75" t="s">
        <v>526</v>
      </c>
      <c r="C256" s="51"/>
      <c r="D256" s="54">
        <f t="shared" si="3"/>
        <v>0</v>
      </c>
      <c r="E256" s="61" t="str">
        <f>HYPERLINK("https://www.sds-group.ru/product/vyklyuchatel-strong-2-kl-prohodnoy-pereklyuchatel-s-podsvetkoy-10a-s-u-shelk-kranz-KR-78-0717-8/", "Инфо")</f>
        <v>Инфо</v>
      </c>
      <c r="F256" s="42" t="s">
        <v>39</v>
      </c>
      <c r="G256" s="41" t="s">
        <v>40</v>
      </c>
      <c r="H256" s="41"/>
      <c r="I256" s="41"/>
      <c r="J256" s="43">
        <v>162</v>
      </c>
      <c r="K256" s="41" t="s">
        <v>476</v>
      </c>
      <c r="L256" s="43">
        <v>1</v>
      </c>
      <c r="M256" s="43">
        <v>100</v>
      </c>
      <c r="N256" s="43">
        <v>1</v>
      </c>
      <c r="O256" s="44">
        <v>1523.75</v>
      </c>
      <c r="P256" s="44">
        <v>1248.98</v>
      </c>
      <c r="Q256" s="44">
        <v>1523.75</v>
      </c>
      <c r="R256" s="44">
        <v>1248.98</v>
      </c>
      <c r="S256" s="44">
        <v>1219</v>
      </c>
      <c r="T256" s="44">
        <v>999.18</v>
      </c>
      <c r="U256" s="42"/>
      <c r="V256" s="42"/>
      <c r="W256" s="42" t="s">
        <v>40</v>
      </c>
      <c r="X256" s="45">
        <v>0.16300000000000001</v>
      </c>
      <c r="Y256" s="46">
        <v>5.2700000000000002E-4</v>
      </c>
      <c r="Z256" s="21">
        <v>4601004349322</v>
      </c>
    </row>
    <row r="257" spans="1:26" ht="12" customHeight="1" outlineLevel="4" x14ac:dyDescent="0.2">
      <c r="A257" s="14" t="s">
        <v>527</v>
      </c>
      <c r="B257" s="26" t="s">
        <v>528</v>
      </c>
      <c r="C257" s="52"/>
      <c r="D257" s="55">
        <f t="shared" si="3"/>
        <v>0</v>
      </c>
      <c r="E257" s="63" t="str">
        <f>HYPERLINK("https://www.sds-group.ru/product/vyklyuchatel-strong-2-kl-s-podsvetkoy-10a-s-u-antratsit-kranz-KR-78-0714-5/", "Инфо")</f>
        <v>Инфо</v>
      </c>
      <c r="F257" s="16" t="s">
        <v>39</v>
      </c>
      <c r="G257" s="15"/>
      <c r="H257" s="15"/>
      <c r="I257" s="15"/>
      <c r="J257" s="17">
        <v>674</v>
      </c>
      <c r="K257" s="15"/>
      <c r="L257" s="17">
        <v>1</v>
      </c>
      <c r="M257" s="17">
        <v>100</v>
      </c>
      <c r="N257" s="17">
        <v>1</v>
      </c>
      <c r="O257" s="18">
        <v>1831.73</v>
      </c>
      <c r="P257" s="18">
        <v>1501.42</v>
      </c>
      <c r="Q257" s="18">
        <v>1831.73</v>
      </c>
      <c r="R257" s="18">
        <v>1501.42</v>
      </c>
      <c r="S257" s="18">
        <v>1465.38</v>
      </c>
      <c r="T257" s="18">
        <v>1201.1300000000001</v>
      </c>
      <c r="U257" s="16"/>
      <c r="V257" s="16"/>
      <c r="W257" s="16" t="s">
        <v>40</v>
      </c>
      <c r="X257" s="19">
        <v>0.156</v>
      </c>
      <c r="Y257" s="20">
        <v>5.3200000000000003E-4</v>
      </c>
      <c r="Z257" s="21">
        <v>4601004324046</v>
      </c>
    </row>
    <row r="258" spans="1:26" ht="12" customHeight="1" outlineLevel="4" x14ac:dyDescent="0.2">
      <c r="A258" s="14" t="s">
        <v>529</v>
      </c>
      <c r="B258" s="26" t="s">
        <v>530</v>
      </c>
      <c r="C258" s="52"/>
      <c r="D258" s="55">
        <f t="shared" si="3"/>
        <v>0</v>
      </c>
      <c r="E258" s="63" t="str">
        <f>HYPERLINK("https://www.sds-group.ru/product/vyklyuchatel-strong-2-kl-s-podsvetkoy-10a-s-u-grafit-kranz-KR-78-0714-6/", "Инфо")</f>
        <v>Инфо</v>
      </c>
      <c r="F258" s="16" t="s">
        <v>39</v>
      </c>
      <c r="G258" s="15"/>
      <c r="H258" s="15"/>
      <c r="I258" s="15"/>
      <c r="J258" s="22">
        <v>1160</v>
      </c>
      <c r="K258" s="15"/>
      <c r="L258" s="17">
        <v>1</v>
      </c>
      <c r="M258" s="17">
        <v>100</v>
      </c>
      <c r="N258" s="17">
        <v>1</v>
      </c>
      <c r="O258" s="18">
        <v>1783.95</v>
      </c>
      <c r="P258" s="18">
        <v>1462.25</v>
      </c>
      <c r="Q258" s="18">
        <v>1783.95</v>
      </c>
      <c r="R258" s="18">
        <v>1462.25</v>
      </c>
      <c r="S258" s="18">
        <v>1427.16</v>
      </c>
      <c r="T258" s="18">
        <v>1169.8</v>
      </c>
      <c r="U258" s="16"/>
      <c r="V258" s="16"/>
      <c r="W258" s="16" t="s">
        <v>40</v>
      </c>
      <c r="X258" s="19">
        <v>0.157</v>
      </c>
      <c r="Y258" s="20">
        <v>5.1900000000000004E-4</v>
      </c>
      <c r="Z258" s="21">
        <v>4601004324084</v>
      </c>
    </row>
    <row r="259" spans="1:26" ht="12" customHeight="1" outlineLevel="4" x14ac:dyDescent="0.2">
      <c r="A259" s="14" t="s">
        <v>531</v>
      </c>
      <c r="B259" s="26" t="s">
        <v>532</v>
      </c>
      <c r="C259" s="52"/>
      <c r="D259" s="55">
        <f t="shared" si="3"/>
        <v>0</v>
      </c>
      <c r="E259" s="63" t="str">
        <f>HYPERLINK("https://www.sds-group.ru/product/vyklyuchatel-strong-2-kl-s-podsvetkoy-10a-s-u-zhemchug-kranz-KR-78-0714-4/", "Инфо")</f>
        <v>Инфо</v>
      </c>
      <c r="F259" s="16" t="s">
        <v>39</v>
      </c>
      <c r="G259" s="15"/>
      <c r="H259" s="15"/>
      <c r="I259" s="15"/>
      <c r="J259" s="22">
        <v>1614</v>
      </c>
      <c r="K259" s="15"/>
      <c r="L259" s="17">
        <v>1</v>
      </c>
      <c r="M259" s="17">
        <v>100</v>
      </c>
      <c r="N259" s="17">
        <v>1</v>
      </c>
      <c r="O259" s="18">
        <v>1506.01</v>
      </c>
      <c r="P259" s="18">
        <v>1234.43</v>
      </c>
      <c r="Q259" s="18">
        <v>1506.01</v>
      </c>
      <c r="R259" s="18">
        <v>1234.43</v>
      </c>
      <c r="S259" s="18">
        <v>1204.81</v>
      </c>
      <c r="T259" s="18">
        <v>987.55</v>
      </c>
      <c r="U259" s="16"/>
      <c r="V259" s="16"/>
      <c r="W259" s="16" t="s">
        <v>40</v>
      </c>
      <c r="X259" s="19">
        <v>0.157</v>
      </c>
      <c r="Y259" s="20">
        <v>5.2700000000000002E-4</v>
      </c>
      <c r="Z259" s="21">
        <v>4601004324060</v>
      </c>
    </row>
    <row r="260" spans="1:26" ht="12" customHeight="1" outlineLevel="4" x14ac:dyDescent="0.2">
      <c r="A260" s="40" t="s">
        <v>533</v>
      </c>
      <c r="B260" s="75" t="s">
        <v>534</v>
      </c>
      <c r="C260" s="51"/>
      <c r="D260" s="54">
        <f t="shared" si="3"/>
        <v>0</v>
      </c>
      <c r="E260" s="61" t="str">
        <f>HYPERLINK("https://www.sds-group.ru/product/vyklyuchatel-strong-2-kl-s-podsvetkoy-10a-s-u-shelk-kranz-KR-78-0714-8/", "Инфо")</f>
        <v>Инфо</v>
      </c>
      <c r="F260" s="42" t="s">
        <v>39</v>
      </c>
      <c r="G260" s="41" t="s">
        <v>40</v>
      </c>
      <c r="H260" s="41"/>
      <c r="I260" s="41"/>
      <c r="J260" s="43">
        <v>199</v>
      </c>
      <c r="K260" s="41" t="s">
        <v>210</v>
      </c>
      <c r="L260" s="43">
        <v>1</v>
      </c>
      <c r="M260" s="43">
        <v>100</v>
      </c>
      <c r="N260" s="43">
        <v>1</v>
      </c>
      <c r="O260" s="44">
        <v>1783.95</v>
      </c>
      <c r="P260" s="44">
        <v>1462.25</v>
      </c>
      <c r="Q260" s="44">
        <v>1783.95</v>
      </c>
      <c r="R260" s="44">
        <v>1462.25</v>
      </c>
      <c r="S260" s="44">
        <v>1427.16</v>
      </c>
      <c r="T260" s="44">
        <v>1169.8</v>
      </c>
      <c r="U260" s="42"/>
      <c r="V260" s="42"/>
      <c r="W260" s="42" t="s">
        <v>40</v>
      </c>
      <c r="X260" s="45">
        <v>0.156</v>
      </c>
      <c r="Y260" s="46">
        <v>5.2599999999999999E-4</v>
      </c>
      <c r="Z260" s="21">
        <v>4601004349384</v>
      </c>
    </row>
    <row r="261" spans="1:26" ht="12" customHeight="1" outlineLevel="4" x14ac:dyDescent="0.2">
      <c r="A261" s="40" t="s">
        <v>535</v>
      </c>
      <c r="B261" s="75" t="s">
        <v>536</v>
      </c>
      <c r="C261" s="51"/>
      <c r="D261" s="54">
        <f t="shared" si="3"/>
        <v>0</v>
      </c>
      <c r="E261" s="61" t="str">
        <f>HYPERLINK("https://www.sds-group.ru/product/vyklyuchatel-strong-3-kl-10a-s-u-antratsit-kranz-KR-78-0707-5/", "Инфо")</f>
        <v>Инфо</v>
      </c>
      <c r="F261" s="42" t="s">
        <v>39</v>
      </c>
      <c r="G261" s="41" t="s">
        <v>40</v>
      </c>
      <c r="H261" s="41"/>
      <c r="I261" s="41"/>
      <c r="J261" s="43">
        <v>76</v>
      </c>
      <c r="K261" s="41"/>
      <c r="L261" s="43">
        <v>1</v>
      </c>
      <c r="M261" s="43">
        <v>100</v>
      </c>
      <c r="N261" s="43">
        <v>1</v>
      </c>
      <c r="O261" s="44">
        <v>1554.62</v>
      </c>
      <c r="P261" s="44">
        <v>1274.28</v>
      </c>
      <c r="Q261" s="44">
        <v>1554.62</v>
      </c>
      <c r="R261" s="44">
        <v>1274.28</v>
      </c>
      <c r="S261" s="44">
        <v>1243.7</v>
      </c>
      <c r="T261" s="44">
        <v>1019.43</v>
      </c>
      <c r="U261" s="42"/>
      <c r="V261" s="42"/>
      <c r="W261" s="42" t="s">
        <v>40</v>
      </c>
      <c r="X261" s="45">
        <v>0.161</v>
      </c>
      <c r="Y261" s="46">
        <v>5.2999999999999998E-4</v>
      </c>
      <c r="Z261" s="21">
        <v>4601004323711</v>
      </c>
    </row>
    <row r="262" spans="1:26" ht="12" customHeight="1" outlineLevel="4" x14ac:dyDescent="0.2">
      <c r="A262" s="40" t="s">
        <v>537</v>
      </c>
      <c r="B262" s="75" t="s">
        <v>538</v>
      </c>
      <c r="C262" s="51"/>
      <c r="D262" s="54">
        <f t="shared" si="3"/>
        <v>0</v>
      </c>
      <c r="E262" s="61" t="str">
        <f>HYPERLINK("https://www.sds-group.ru/product/vyklyuchatel-strong-3-kl-10a-s-u-grafit-kranz-KR-78-0707-6/", "Инфо")</f>
        <v>Инфо</v>
      </c>
      <c r="F262" s="42" t="s">
        <v>39</v>
      </c>
      <c r="G262" s="41" t="s">
        <v>40</v>
      </c>
      <c r="H262" s="41"/>
      <c r="I262" s="41"/>
      <c r="J262" s="43">
        <v>85</v>
      </c>
      <c r="K262" s="41" t="s">
        <v>476</v>
      </c>
      <c r="L262" s="43">
        <v>1</v>
      </c>
      <c r="M262" s="43">
        <v>100</v>
      </c>
      <c r="N262" s="43">
        <v>1</v>
      </c>
      <c r="O262" s="44">
        <v>1514.06</v>
      </c>
      <c r="P262" s="44">
        <v>1241.03</v>
      </c>
      <c r="Q262" s="44">
        <v>1514.06</v>
      </c>
      <c r="R262" s="44">
        <v>1241.03</v>
      </c>
      <c r="S262" s="44">
        <v>1211.25</v>
      </c>
      <c r="T262" s="44">
        <v>992.83</v>
      </c>
      <c r="U262" s="42"/>
      <c r="V262" s="42"/>
      <c r="W262" s="42" t="s">
        <v>40</v>
      </c>
      <c r="X262" s="45">
        <v>0.161</v>
      </c>
      <c r="Y262" s="46">
        <v>5.2400000000000005E-4</v>
      </c>
      <c r="Z262" s="21">
        <v>4601004323650</v>
      </c>
    </row>
    <row r="263" spans="1:26" ht="12" customHeight="1" outlineLevel="4" x14ac:dyDescent="0.2">
      <c r="A263" s="40" t="s">
        <v>539</v>
      </c>
      <c r="B263" s="75" t="s">
        <v>540</v>
      </c>
      <c r="C263" s="51"/>
      <c r="D263" s="54">
        <f t="shared" si="3"/>
        <v>0</v>
      </c>
      <c r="E263" s="61" t="str">
        <f>HYPERLINK("https://www.sds-group.ru/product/vyklyuchatel-strong-3-kl-10a-s-u-zhemchug-kranz-KR-78-0707-4/", "Инфо")</f>
        <v>Инфо</v>
      </c>
      <c r="F263" s="42" t="s">
        <v>39</v>
      </c>
      <c r="G263" s="41" t="s">
        <v>40</v>
      </c>
      <c r="H263" s="41"/>
      <c r="I263" s="41"/>
      <c r="J263" s="43">
        <v>1</v>
      </c>
      <c r="K263" s="41" t="s">
        <v>210</v>
      </c>
      <c r="L263" s="43">
        <v>1</v>
      </c>
      <c r="M263" s="43">
        <v>100</v>
      </c>
      <c r="N263" s="43">
        <v>1</v>
      </c>
      <c r="O263" s="44">
        <v>1413.29</v>
      </c>
      <c r="P263" s="44">
        <v>1158.43</v>
      </c>
      <c r="Q263" s="44">
        <v>1413.29</v>
      </c>
      <c r="R263" s="44">
        <v>1158.43</v>
      </c>
      <c r="S263" s="44">
        <v>1130.6300000000001</v>
      </c>
      <c r="T263" s="44">
        <v>926.75</v>
      </c>
      <c r="U263" s="42"/>
      <c r="V263" s="42"/>
      <c r="W263" s="42" t="s">
        <v>40</v>
      </c>
      <c r="X263" s="45">
        <v>0.161</v>
      </c>
      <c r="Y263" s="46">
        <v>5.3600000000000002E-4</v>
      </c>
      <c r="Z263" s="21">
        <v>4601004323674</v>
      </c>
    </row>
    <row r="264" spans="1:26" ht="12" customHeight="1" outlineLevel="4" x14ac:dyDescent="0.2">
      <c r="A264" s="40" t="s">
        <v>541</v>
      </c>
      <c r="B264" s="75" t="s">
        <v>542</v>
      </c>
      <c r="C264" s="51"/>
      <c r="D264" s="54">
        <f t="shared" si="3"/>
        <v>0</v>
      </c>
      <c r="E264" s="61" t="str">
        <f>HYPERLINK("https://www.sds-group.ru/product/vyklyuchatel-strong-3-kl-10a-s-u-shelk-kranz-KR-78-0707-8/", "Инфо")</f>
        <v>Инфо</v>
      </c>
      <c r="F264" s="42" t="s">
        <v>39</v>
      </c>
      <c r="G264" s="41" t="s">
        <v>40</v>
      </c>
      <c r="H264" s="41"/>
      <c r="I264" s="41"/>
      <c r="J264" s="43">
        <v>212</v>
      </c>
      <c r="K264" s="41" t="s">
        <v>210</v>
      </c>
      <c r="L264" s="43">
        <v>1</v>
      </c>
      <c r="M264" s="43">
        <v>100</v>
      </c>
      <c r="N264" s="43">
        <v>1</v>
      </c>
      <c r="O264" s="44">
        <v>1514.06</v>
      </c>
      <c r="P264" s="44">
        <v>1241.03</v>
      </c>
      <c r="Q264" s="44">
        <v>1514.06</v>
      </c>
      <c r="R264" s="44">
        <v>1241.03</v>
      </c>
      <c r="S264" s="44">
        <v>1211.25</v>
      </c>
      <c r="T264" s="44">
        <v>992.83</v>
      </c>
      <c r="U264" s="42"/>
      <c r="V264" s="42"/>
      <c r="W264" s="42" t="s">
        <v>40</v>
      </c>
      <c r="X264" s="45">
        <v>0.16</v>
      </c>
      <c r="Y264" s="46">
        <v>5.31E-4</v>
      </c>
      <c r="Z264" s="21">
        <v>4601004349520</v>
      </c>
    </row>
    <row r="265" spans="1:26" ht="12" customHeight="1" outlineLevel="4" x14ac:dyDescent="0.2">
      <c r="A265" s="40" t="s">
        <v>543</v>
      </c>
      <c r="B265" s="75" t="s">
        <v>544</v>
      </c>
      <c r="C265" s="51"/>
      <c r="D265" s="54">
        <f t="shared" ref="D265:D328" si="4">C265*(O265-O265*$G$3)</f>
        <v>0</v>
      </c>
      <c r="E265" s="62"/>
      <c r="F265" s="42" t="s">
        <v>39</v>
      </c>
      <c r="G265" s="41" t="s">
        <v>40</v>
      </c>
      <c r="H265" s="41"/>
      <c r="I265" s="41"/>
      <c r="J265" s="43">
        <v>319</v>
      </c>
      <c r="K265" s="41"/>
      <c r="L265" s="43">
        <v>1</v>
      </c>
      <c r="M265" s="43">
        <v>80</v>
      </c>
      <c r="N265" s="43">
        <v>1</v>
      </c>
      <c r="O265" s="44">
        <v>2544</v>
      </c>
      <c r="P265" s="44">
        <v>2085.25</v>
      </c>
      <c r="Q265" s="44">
        <v>2544</v>
      </c>
      <c r="R265" s="44">
        <v>2085.25</v>
      </c>
      <c r="S265" s="44">
        <v>2035.2</v>
      </c>
      <c r="T265" s="44">
        <v>1668.2</v>
      </c>
      <c r="U265" s="42"/>
      <c r="V265" s="42"/>
      <c r="W265" s="42" t="s">
        <v>40</v>
      </c>
      <c r="X265" s="45">
        <v>0.189</v>
      </c>
      <c r="Y265" s="46">
        <v>6.4400000000000004E-4</v>
      </c>
      <c r="Z265" s="21">
        <v>4601004354524</v>
      </c>
    </row>
    <row r="266" spans="1:26" ht="12" customHeight="1" outlineLevel="4" x14ac:dyDescent="0.2">
      <c r="A266" s="40" t="s">
        <v>545</v>
      </c>
      <c r="B266" s="75" t="s">
        <v>546</v>
      </c>
      <c r="C266" s="51"/>
      <c r="D266" s="54">
        <f t="shared" si="4"/>
        <v>0</v>
      </c>
      <c r="E266" s="62"/>
      <c r="F266" s="42" t="s">
        <v>39</v>
      </c>
      <c r="G266" s="41" t="s">
        <v>40</v>
      </c>
      <c r="H266" s="41"/>
      <c r="I266" s="41"/>
      <c r="J266" s="43">
        <v>319</v>
      </c>
      <c r="K266" s="41"/>
      <c r="L266" s="43">
        <v>1</v>
      </c>
      <c r="M266" s="43">
        <v>80</v>
      </c>
      <c r="N266" s="43">
        <v>1</v>
      </c>
      <c r="O266" s="44">
        <v>2968</v>
      </c>
      <c r="P266" s="44">
        <v>2432.79</v>
      </c>
      <c r="Q266" s="44">
        <v>2968</v>
      </c>
      <c r="R266" s="44">
        <v>2432.79</v>
      </c>
      <c r="S266" s="44">
        <v>2374.4</v>
      </c>
      <c r="T266" s="44">
        <v>1946.23</v>
      </c>
      <c r="U266" s="42"/>
      <c r="V266" s="42"/>
      <c r="W266" s="42" t="s">
        <v>40</v>
      </c>
      <c r="X266" s="45">
        <v>0.191</v>
      </c>
      <c r="Y266" s="46">
        <v>6.4899999999999995E-4</v>
      </c>
      <c r="Z266" s="21">
        <v>4601004354494</v>
      </c>
    </row>
    <row r="267" spans="1:26" ht="12" customHeight="1" outlineLevel="4" x14ac:dyDescent="0.2">
      <c r="A267" s="40" t="s">
        <v>547</v>
      </c>
      <c r="B267" s="75" t="s">
        <v>548</v>
      </c>
      <c r="C267" s="51"/>
      <c r="D267" s="54">
        <f t="shared" si="4"/>
        <v>0</v>
      </c>
      <c r="E267" s="62"/>
      <c r="F267" s="42" t="s">
        <v>39</v>
      </c>
      <c r="G267" s="41" t="s">
        <v>40</v>
      </c>
      <c r="H267" s="41"/>
      <c r="I267" s="41"/>
      <c r="J267" s="43">
        <v>320</v>
      </c>
      <c r="K267" s="41"/>
      <c r="L267" s="43">
        <v>1</v>
      </c>
      <c r="M267" s="43">
        <v>80</v>
      </c>
      <c r="N267" s="43">
        <v>1</v>
      </c>
      <c r="O267" s="44">
        <v>3074</v>
      </c>
      <c r="P267" s="44">
        <v>2519.67</v>
      </c>
      <c r="Q267" s="44">
        <v>3074</v>
      </c>
      <c r="R267" s="44">
        <v>2519.67</v>
      </c>
      <c r="S267" s="44">
        <v>2459.1999999999998</v>
      </c>
      <c r="T267" s="44">
        <v>2015.74</v>
      </c>
      <c r="U267" s="42"/>
      <c r="V267" s="42"/>
      <c r="W267" s="42" t="s">
        <v>40</v>
      </c>
      <c r="X267" s="45">
        <v>0.189</v>
      </c>
      <c r="Y267" s="46">
        <v>6.3900000000000003E-4</v>
      </c>
      <c r="Z267" s="21">
        <v>4601004354517</v>
      </c>
    </row>
    <row r="268" spans="1:26" ht="12" customHeight="1" outlineLevel="4" x14ac:dyDescent="0.2">
      <c r="A268" s="40" t="s">
        <v>549</v>
      </c>
      <c r="B268" s="75" t="s">
        <v>550</v>
      </c>
      <c r="C268" s="51"/>
      <c r="D268" s="54">
        <f t="shared" si="4"/>
        <v>0</v>
      </c>
      <c r="E268" s="62"/>
      <c r="F268" s="42" t="s">
        <v>39</v>
      </c>
      <c r="G268" s="41" t="s">
        <v>40</v>
      </c>
      <c r="H268" s="41"/>
      <c r="I268" s="41"/>
      <c r="J268" s="43">
        <v>319</v>
      </c>
      <c r="K268" s="41"/>
      <c r="L268" s="43">
        <v>1</v>
      </c>
      <c r="M268" s="43">
        <v>80</v>
      </c>
      <c r="N268" s="43">
        <v>1</v>
      </c>
      <c r="O268" s="44">
        <v>2968</v>
      </c>
      <c r="P268" s="44">
        <v>2432.79</v>
      </c>
      <c r="Q268" s="44">
        <v>2968</v>
      </c>
      <c r="R268" s="44">
        <v>2432.79</v>
      </c>
      <c r="S268" s="44">
        <v>2374.4</v>
      </c>
      <c r="T268" s="44">
        <v>1946.23</v>
      </c>
      <c r="U268" s="42"/>
      <c r="V268" s="42"/>
      <c r="W268" s="42" t="s">
        <v>40</v>
      </c>
      <c r="X268" s="45">
        <v>0.19</v>
      </c>
      <c r="Y268" s="46">
        <v>6.4899999999999995E-4</v>
      </c>
      <c r="Z268" s="21">
        <v>4601004354500</v>
      </c>
    </row>
    <row r="269" spans="1:26" ht="12" customHeight="1" outlineLevel="4" x14ac:dyDescent="0.2">
      <c r="A269" s="40" t="s">
        <v>551</v>
      </c>
      <c r="B269" s="75" t="s">
        <v>552</v>
      </c>
      <c r="C269" s="51"/>
      <c r="D269" s="54">
        <f t="shared" si="4"/>
        <v>0</v>
      </c>
      <c r="E269" s="61" t="str">
        <f>HYPERLINK("https://www.sds-group.ru/product/zaglushka-strong-dekorativnaya-s-supportom-antratsit-kranz-KR-78-0735-5/", "Инфо")</f>
        <v>Инфо</v>
      </c>
      <c r="F269" s="42" t="s">
        <v>39</v>
      </c>
      <c r="G269" s="41" t="s">
        <v>40</v>
      </c>
      <c r="H269" s="41"/>
      <c r="I269" s="41"/>
      <c r="J269" s="43">
        <v>77</v>
      </c>
      <c r="K269" s="41"/>
      <c r="L269" s="43">
        <v>10</v>
      </c>
      <c r="M269" s="43">
        <v>100</v>
      </c>
      <c r="N269" s="43">
        <v>10</v>
      </c>
      <c r="O269" s="44">
        <v>441.34</v>
      </c>
      <c r="P269" s="44">
        <v>361.75</v>
      </c>
      <c r="Q269" s="44">
        <v>441.34</v>
      </c>
      <c r="R269" s="44">
        <v>361.75</v>
      </c>
      <c r="S269" s="44">
        <v>353.07</v>
      </c>
      <c r="T269" s="44">
        <v>289.39999999999998</v>
      </c>
      <c r="U269" s="42"/>
      <c r="V269" s="42"/>
      <c r="W269" s="42" t="s">
        <v>40</v>
      </c>
      <c r="X269" s="45">
        <v>0.122</v>
      </c>
      <c r="Y269" s="46">
        <v>5.3300000000000005E-4</v>
      </c>
      <c r="Z269" s="21">
        <v>4601004338708</v>
      </c>
    </row>
    <row r="270" spans="1:26" ht="12" customHeight="1" outlineLevel="4" x14ac:dyDescent="0.2">
      <c r="A270" s="40" t="s">
        <v>553</v>
      </c>
      <c r="B270" s="75" t="s">
        <v>554</v>
      </c>
      <c r="C270" s="51"/>
      <c r="D270" s="54">
        <f t="shared" si="4"/>
        <v>0</v>
      </c>
      <c r="E270" s="61" t="str">
        <f>HYPERLINK("https://www.sds-group.ru/product/zaglushka-strong-dekorativnaya-s-supportom-grafit-kranz-KR-78-0735-6/", "Инфо")</f>
        <v>Инфо</v>
      </c>
      <c r="F270" s="42" t="s">
        <v>39</v>
      </c>
      <c r="G270" s="41" t="s">
        <v>40</v>
      </c>
      <c r="H270" s="41"/>
      <c r="I270" s="41"/>
      <c r="J270" s="43">
        <v>341</v>
      </c>
      <c r="K270" s="41"/>
      <c r="L270" s="43">
        <v>10</v>
      </c>
      <c r="M270" s="43">
        <v>100</v>
      </c>
      <c r="N270" s="43">
        <v>10</v>
      </c>
      <c r="O270" s="44">
        <v>429.83</v>
      </c>
      <c r="P270" s="44">
        <v>352.32</v>
      </c>
      <c r="Q270" s="44">
        <v>429.83</v>
      </c>
      <c r="R270" s="44">
        <v>352.32</v>
      </c>
      <c r="S270" s="44">
        <v>343.86</v>
      </c>
      <c r="T270" s="44">
        <v>281.85000000000002</v>
      </c>
      <c r="U270" s="42"/>
      <c r="V270" s="42"/>
      <c r="W270" s="42" t="s">
        <v>40</v>
      </c>
      <c r="X270" s="45">
        <v>0.121</v>
      </c>
      <c r="Y270" s="46">
        <v>5.3899999999999998E-4</v>
      </c>
      <c r="Z270" s="21">
        <v>4601004338715</v>
      </c>
    </row>
    <row r="271" spans="1:26" ht="12" customHeight="1" outlineLevel="4" x14ac:dyDescent="0.2">
      <c r="A271" s="40" t="s">
        <v>555</v>
      </c>
      <c r="B271" s="75" t="s">
        <v>556</v>
      </c>
      <c r="C271" s="51"/>
      <c r="D271" s="54">
        <f t="shared" si="4"/>
        <v>0</v>
      </c>
      <c r="E271" s="61" t="str">
        <f>HYPERLINK("https://www.sds-group.ru/product/zaglushka-strong-dekorativnaya-s-supportom-zhemchug-kranz-KR-78-0735-4/", "Инфо")</f>
        <v>Инфо</v>
      </c>
      <c r="F271" s="42" t="s">
        <v>39</v>
      </c>
      <c r="G271" s="41" t="s">
        <v>40</v>
      </c>
      <c r="H271" s="41"/>
      <c r="I271" s="41"/>
      <c r="J271" s="43">
        <v>298</v>
      </c>
      <c r="K271" s="41"/>
      <c r="L271" s="43">
        <v>1</v>
      </c>
      <c r="M271" s="43">
        <v>100</v>
      </c>
      <c r="N271" s="43">
        <v>1</v>
      </c>
      <c r="O271" s="44">
        <v>368.2</v>
      </c>
      <c r="P271" s="44">
        <v>301.8</v>
      </c>
      <c r="Q271" s="44">
        <v>368.2</v>
      </c>
      <c r="R271" s="44">
        <v>301.8</v>
      </c>
      <c r="S271" s="44">
        <v>294.56</v>
      </c>
      <c r="T271" s="44">
        <v>241.44</v>
      </c>
      <c r="U271" s="42"/>
      <c r="V271" s="42"/>
      <c r="W271" s="42" t="s">
        <v>40</v>
      </c>
      <c r="X271" s="45">
        <v>0.122</v>
      </c>
      <c r="Y271" s="46">
        <v>5.3600000000000002E-4</v>
      </c>
      <c r="Z271" s="21">
        <v>4601004338722</v>
      </c>
    </row>
    <row r="272" spans="1:26" ht="12" customHeight="1" outlineLevel="4" x14ac:dyDescent="0.2">
      <c r="A272" s="40" t="s">
        <v>557</v>
      </c>
      <c r="B272" s="75" t="s">
        <v>558</v>
      </c>
      <c r="C272" s="51"/>
      <c r="D272" s="54">
        <f t="shared" si="4"/>
        <v>0</v>
      </c>
      <c r="E272" s="61" t="str">
        <f>HYPERLINK("https://www.sds-group.ru/product/zaglushka-strong-dekorativnaya-s-supportom-shelk-kranz-KR-78-0735-8/", "Инфо")</f>
        <v>Инфо</v>
      </c>
      <c r="F272" s="42" t="s">
        <v>39</v>
      </c>
      <c r="G272" s="41" t="s">
        <v>40</v>
      </c>
      <c r="H272" s="41"/>
      <c r="I272" s="41"/>
      <c r="J272" s="42" t="s">
        <v>100</v>
      </c>
      <c r="K272" s="41" t="s">
        <v>210</v>
      </c>
      <c r="L272" s="43">
        <v>1</v>
      </c>
      <c r="M272" s="43">
        <v>100</v>
      </c>
      <c r="N272" s="43">
        <v>1</v>
      </c>
      <c r="O272" s="44">
        <v>429.83</v>
      </c>
      <c r="P272" s="44">
        <v>352.32</v>
      </c>
      <c r="Q272" s="44">
        <v>429.83</v>
      </c>
      <c r="R272" s="44">
        <v>352.32</v>
      </c>
      <c r="S272" s="44">
        <v>343.86</v>
      </c>
      <c r="T272" s="44">
        <v>281.85000000000002</v>
      </c>
      <c r="U272" s="42"/>
      <c r="V272" s="42"/>
      <c r="W272" s="42" t="s">
        <v>40</v>
      </c>
      <c r="X272" s="45">
        <v>0.122</v>
      </c>
      <c r="Y272" s="46">
        <v>5.2700000000000002E-4</v>
      </c>
      <c r="Z272" s="21">
        <v>4601004349759</v>
      </c>
    </row>
    <row r="273" spans="1:26" ht="12" customHeight="1" outlineLevel="4" x14ac:dyDescent="0.2">
      <c r="A273" s="14" t="s">
        <v>559</v>
      </c>
      <c r="B273" s="26" t="s">
        <v>560</v>
      </c>
      <c r="C273" s="52"/>
      <c r="D273" s="55">
        <f t="shared" si="4"/>
        <v>0</v>
      </c>
      <c r="E273" s="63" t="str">
        <f>HYPERLINK("https://www.sds-group.ru/product/podsvetka-nastennaya-strong-dlya-nog-s-u-antratsit-kranz-KR-78-0727-5/", "Инфо")</f>
        <v>Инфо</v>
      </c>
      <c r="F273" s="16" t="s">
        <v>39</v>
      </c>
      <c r="G273" s="15"/>
      <c r="H273" s="15"/>
      <c r="I273" s="15"/>
      <c r="J273" s="16" t="s">
        <v>100</v>
      </c>
      <c r="K273" s="15" t="s">
        <v>476</v>
      </c>
      <c r="L273" s="17">
        <v>1</v>
      </c>
      <c r="M273" s="17">
        <v>100</v>
      </c>
      <c r="N273" s="17">
        <v>1</v>
      </c>
      <c r="O273" s="18">
        <v>3458.01</v>
      </c>
      <c r="P273" s="18">
        <v>2834.43</v>
      </c>
      <c r="Q273" s="18">
        <v>3458.01</v>
      </c>
      <c r="R273" s="18">
        <v>2834.43</v>
      </c>
      <c r="S273" s="18">
        <v>2766.41</v>
      </c>
      <c r="T273" s="18">
        <v>2267.5500000000002</v>
      </c>
      <c r="U273" s="16"/>
      <c r="V273" s="16"/>
      <c r="W273" s="16" t="s">
        <v>40</v>
      </c>
      <c r="X273" s="19">
        <v>0.13200000000000001</v>
      </c>
      <c r="Y273" s="20">
        <v>5.3399999999999997E-4</v>
      </c>
      <c r="Z273" s="21">
        <v>4601004324909</v>
      </c>
    </row>
    <row r="274" spans="1:26" ht="12" customHeight="1" outlineLevel="4" x14ac:dyDescent="0.2">
      <c r="A274" s="40" t="s">
        <v>561</v>
      </c>
      <c r="B274" s="75" t="s">
        <v>562</v>
      </c>
      <c r="C274" s="51"/>
      <c r="D274" s="54">
        <f t="shared" si="4"/>
        <v>0</v>
      </c>
      <c r="E274" s="61" t="str">
        <f>HYPERLINK("https://www.sds-group.ru/product/podsvetka-nastennaya-strong-dlya-nog-s-u-shelk-kranz-KR-78-0727-8/", "Инфо")</f>
        <v>Инфо</v>
      </c>
      <c r="F274" s="42" t="s">
        <v>39</v>
      </c>
      <c r="G274" s="41" t="s">
        <v>40</v>
      </c>
      <c r="H274" s="41"/>
      <c r="I274" s="41"/>
      <c r="J274" s="42" t="s">
        <v>100</v>
      </c>
      <c r="K274" s="41" t="s">
        <v>476</v>
      </c>
      <c r="L274" s="43">
        <v>1</v>
      </c>
      <c r="M274" s="43">
        <v>100</v>
      </c>
      <c r="N274" s="43">
        <v>1</v>
      </c>
      <c r="O274" s="44">
        <v>3367.8</v>
      </c>
      <c r="P274" s="44">
        <v>2760.49</v>
      </c>
      <c r="Q274" s="44">
        <v>3367.8</v>
      </c>
      <c r="R274" s="44">
        <v>2760.49</v>
      </c>
      <c r="S274" s="44">
        <v>2694.24</v>
      </c>
      <c r="T274" s="44">
        <v>2208.39</v>
      </c>
      <c r="U274" s="42"/>
      <c r="V274" s="42"/>
      <c r="W274" s="42" t="s">
        <v>40</v>
      </c>
      <c r="X274" s="45">
        <v>0.13100000000000001</v>
      </c>
      <c r="Y274" s="46">
        <v>5.4600000000000004E-4</v>
      </c>
      <c r="Z274" s="21">
        <v>4601004348967</v>
      </c>
    </row>
    <row r="275" spans="1:26" ht="12" customHeight="1" outlineLevel="4" x14ac:dyDescent="0.2">
      <c r="A275" s="14" t="s">
        <v>563</v>
      </c>
      <c r="B275" s="26" t="s">
        <v>564</v>
      </c>
      <c r="C275" s="52"/>
      <c r="D275" s="55">
        <f t="shared" si="4"/>
        <v>0</v>
      </c>
      <c r="E275" s="63" t="str">
        <f>HYPERLINK("https://www.sds-group.ru/product/ramka-strong-2-postovaya-antratsit-kranz-KR-78-0752-5/", "Инфо")</f>
        <v>Инфо</v>
      </c>
      <c r="F275" s="16" t="s">
        <v>39</v>
      </c>
      <c r="G275" s="15"/>
      <c r="H275" s="15"/>
      <c r="I275" s="15"/>
      <c r="J275" s="22">
        <v>3749</v>
      </c>
      <c r="K275" s="15"/>
      <c r="L275" s="17">
        <v>1</v>
      </c>
      <c r="M275" s="17">
        <v>200</v>
      </c>
      <c r="N275" s="17">
        <v>1</v>
      </c>
      <c r="O275" s="18">
        <v>419.6</v>
      </c>
      <c r="P275" s="18">
        <v>343.93</v>
      </c>
      <c r="Q275" s="18">
        <v>419.6</v>
      </c>
      <c r="R275" s="18">
        <v>343.93</v>
      </c>
      <c r="S275" s="18">
        <v>335.68</v>
      </c>
      <c r="T275" s="18">
        <v>275.14999999999998</v>
      </c>
      <c r="U275" s="16"/>
      <c r="V275" s="16"/>
      <c r="W275" s="16" t="s">
        <v>40</v>
      </c>
      <c r="X275" s="19">
        <v>4.5999999999999999E-2</v>
      </c>
      <c r="Y275" s="20">
        <v>4.35E-4</v>
      </c>
      <c r="Z275" s="21">
        <v>4601004325210</v>
      </c>
    </row>
    <row r="276" spans="1:26" ht="12" customHeight="1" outlineLevel="4" x14ac:dyDescent="0.2">
      <c r="A276" s="14" t="s">
        <v>565</v>
      </c>
      <c r="B276" s="26" t="s">
        <v>566</v>
      </c>
      <c r="C276" s="52"/>
      <c r="D276" s="55">
        <f t="shared" si="4"/>
        <v>0</v>
      </c>
      <c r="E276" s="63" t="str">
        <f>HYPERLINK("https://www.sds-group.ru/product/ramka-strong-2-postovaya-grafit-kranz-KR-78-0752-6/", "Инфо")</f>
        <v>Инфо</v>
      </c>
      <c r="F276" s="16" t="s">
        <v>39</v>
      </c>
      <c r="G276" s="15"/>
      <c r="H276" s="15"/>
      <c r="I276" s="15"/>
      <c r="J276" s="17">
        <v>959</v>
      </c>
      <c r="K276" s="15"/>
      <c r="L276" s="17">
        <v>1</v>
      </c>
      <c r="M276" s="17">
        <v>200</v>
      </c>
      <c r="N276" s="17">
        <v>1</v>
      </c>
      <c r="O276" s="18">
        <v>408.66</v>
      </c>
      <c r="P276" s="18">
        <v>334.97</v>
      </c>
      <c r="Q276" s="18">
        <v>408.66</v>
      </c>
      <c r="R276" s="18">
        <v>334.97</v>
      </c>
      <c r="S276" s="18">
        <v>326.93</v>
      </c>
      <c r="T276" s="18">
        <v>267.98</v>
      </c>
      <c r="U276" s="16"/>
      <c r="V276" s="16"/>
      <c r="W276" s="16" t="s">
        <v>40</v>
      </c>
      <c r="X276" s="19">
        <v>4.5999999999999999E-2</v>
      </c>
      <c r="Y276" s="20">
        <v>4.4700000000000002E-4</v>
      </c>
      <c r="Z276" s="21">
        <v>4601004325333</v>
      </c>
    </row>
    <row r="277" spans="1:26" ht="12" customHeight="1" outlineLevel="4" x14ac:dyDescent="0.2">
      <c r="A277" s="14" t="s">
        <v>567</v>
      </c>
      <c r="B277" s="26" t="s">
        <v>568</v>
      </c>
      <c r="C277" s="52"/>
      <c r="D277" s="55">
        <f t="shared" si="4"/>
        <v>0</v>
      </c>
      <c r="E277" s="63" t="str">
        <f>HYPERLINK("https://www.sds-group.ru/product/ramka-strong-2-postovaya-zhemchug-kranz-KR-78-0752-4/", "Инфо")</f>
        <v>Инфо</v>
      </c>
      <c r="F277" s="16" t="s">
        <v>39</v>
      </c>
      <c r="G277" s="15"/>
      <c r="H277" s="15"/>
      <c r="I277" s="15"/>
      <c r="J277" s="22">
        <v>3507</v>
      </c>
      <c r="K277" s="15"/>
      <c r="L277" s="17">
        <v>1</v>
      </c>
      <c r="M277" s="17">
        <v>200</v>
      </c>
      <c r="N277" s="17">
        <v>1</v>
      </c>
      <c r="O277" s="18">
        <v>300.25</v>
      </c>
      <c r="P277" s="18">
        <v>246.11</v>
      </c>
      <c r="Q277" s="18">
        <v>300.25</v>
      </c>
      <c r="R277" s="18">
        <v>246.11</v>
      </c>
      <c r="S277" s="18">
        <v>240.2</v>
      </c>
      <c r="T277" s="18">
        <v>196.89</v>
      </c>
      <c r="U277" s="16"/>
      <c r="V277" s="16"/>
      <c r="W277" s="16" t="s">
        <v>40</v>
      </c>
      <c r="X277" s="19">
        <v>4.4999999999999998E-2</v>
      </c>
      <c r="Y277" s="20">
        <v>4.28E-4</v>
      </c>
      <c r="Z277" s="21">
        <v>4601004325142</v>
      </c>
    </row>
    <row r="278" spans="1:26" ht="12" customHeight="1" outlineLevel="4" x14ac:dyDescent="0.2">
      <c r="A278" s="40" t="s">
        <v>569</v>
      </c>
      <c r="B278" s="75" t="s">
        <v>570</v>
      </c>
      <c r="C278" s="51"/>
      <c r="D278" s="54">
        <f t="shared" si="4"/>
        <v>0</v>
      </c>
      <c r="E278" s="61" t="str">
        <f>HYPERLINK("https://www.sds-group.ru/product/ramka-strong-2-postovaya-shelk-kranz-KR-78-0752-8/", "Инфо")</f>
        <v>Инфо</v>
      </c>
      <c r="F278" s="42" t="s">
        <v>39</v>
      </c>
      <c r="G278" s="41" t="s">
        <v>40</v>
      </c>
      <c r="H278" s="41"/>
      <c r="I278" s="41"/>
      <c r="J278" s="47">
        <v>1094</v>
      </c>
      <c r="K278" s="41" t="s">
        <v>210</v>
      </c>
      <c r="L278" s="43">
        <v>1</v>
      </c>
      <c r="M278" s="43">
        <v>200</v>
      </c>
      <c r="N278" s="43">
        <v>1</v>
      </c>
      <c r="O278" s="44">
        <v>408.66</v>
      </c>
      <c r="P278" s="44">
        <v>334.97</v>
      </c>
      <c r="Q278" s="44">
        <v>408.66</v>
      </c>
      <c r="R278" s="44">
        <v>334.97</v>
      </c>
      <c r="S278" s="44">
        <v>326.93</v>
      </c>
      <c r="T278" s="44">
        <v>267.98</v>
      </c>
      <c r="U278" s="42"/>
      <c r="V278" s="42"/>
      <c r="W278" s="42" t="s">
        <v>40</v>
      </c>
      <c r="X278" s="45">
        <v>4.5999999999999999E-2</v>
      </c>
      <c r="Y278" s="46">
        <v>4.37E-4</v>
      </c>
      <c r="Z278" s="21">
        <v>4601004349728</v>
      </c>
    </row>
    <row r="279" spans="1:26" ht="12" customHeight="1" outlineLevel="4" x14ac:dyDescent="0.2">
      <c r="A279" s="14" t="s">
        <v>571</v>
      </c>
      <c r="B279" s="26" t="s">
        <v>572</v>
      </c>
      <c r="C279" s="52"/>
      <c r="D279" s="55">
        <f t="shared" si="4"/>
        <v>0</v>
      </c>
      <c r="E279" s="63" t="str">
        <f>HYPERLINK("https://www.sds-group.ru/product/ramka-strong-3-postovaya-antratsit-kranz-KR-78-0753-5/", "Инфо")</f>
        <v>Инфо</v>
      </c>
      <c r="F279" s="16" t="s">
        <v>39</v>
      </c>
      <c r="G279" s="15"/>
      <c r="H279" s="15"/>
      <c r="I279" s="15"/>
      <c r="J279" s="22">
        <v>1143</v>
      </c>
      <c r="K279" s="15"/>
      <c r="L279" s="17">
        <v>1</v>
      </c>
      <c r="M279" s="17">
        <v>100</v>
      </c>
      <c r="N279" s="17">
        <v>1</v>
      </c>
      <c r="O279" s="18">
        <v>749.78</v>
      </c>
      <c r="P279" s="18">
        <v>614.57000000000005</v>
      </c>
      <c r="Q279" s="18">
        <v>749.78</v>
      </c>
      <c r="R279" s="18">
        <v>614.57000000000005</v>
      </c>
      <c r="S279" s="18">
        <v>599.82000000000005</v>
      </c>
      <c r="T279" s="18">
        <v>491.66</v>
      </c>
      <c r="U279" s="16"/>
      <c r="V279" s="16"/>
      <c r="W279" s="16" t="s">
        <v>40</v>
      </c>
      <c r="X279" s="19">
        <v>7.0000000000000007E-2</v>
      </c>
      <c r="Y279" s="20">
        <v>8.4699999999999999E-4</v>
      </c>
      <c r="Z279" s="21">
        <v>4601004325302</v>
      </c>
    </row>
    <row r="280" spans="1:26" ht="12" customHeight="1" outlineLevel="4" x14ac:dyDescent="0.2">
      <c r="A280" s="14" t="s">
        <v>573</v>
      </c>
      <c r="B280" s="26" t="s">
        <v>574</v>
      </c>
      <c r="C280" s="52"/>
      <c r="D280" s="55">
        <f t="shared" si="4"/>
        <v>0</v>
      </c>
      <c r="E280" s="63" t="str">
        <f>HYPERLINK("https://www.sds-group.ru/product/ramka-strong-3-postovaya-grafit-kranz-KR-78-0753-6/", "Инфо")</f>
        <v>Инфо</v>
      </c>
      <c r="F280" s="16" t="s">
        <v>39</v>
      </c>
      <c r="G280" s="15"/>
      <c r="H280" s="15"/>
      <c r="I280" s="15"/>
      <c r="J280" s="17">
        <v>613</v>
      </c>
      <c r="K280" s="15"/>
      <c r="L280" s="17">
        <v>1</v>
      </c>
      <c r="M280" s="17">
        <v>100</v>
      </c>
      <c r="N280" s="17">
        <v>1</v>
      </c>
      <c r="O280" s="18">
        <v>730.22</v>
      </c>
      <c r="P280" s="18">
        <v>598.54</v>
      </c>
      <c r="Q280" s="18">
        <v>730.22</v>
      </c>
      <c r="R280" s="18">
        <v>598.54</v>
      </c>
      <c r="S280" s="18">
        <v>584.17999999999995</v>
      </c>
      <c r="T280" s="18">
        <v>478.84</v>
      </c>
      <c r="U280" s="16"/>
      <c r="V280" s="16"/>
      <c r="W280" s="16" t="s">
        <v>40</v>
      </c>
      <c r="X280" s="19">
        <v>7.0999999999999994E-2</v>
      </c>
      <c r="Y280" s="20">
        <v>8.8000000000000003E-4</v>
      </c>
      <c r="Z280" s="21">
        <v>4601004325258</v>
      </c>
    </row>
    <row r="281" spans="1:26" ht="12" customHeight="1" outlineLevel="4" x14ac:dyDescent="0.2">
      <c r="A281" s="14" t="s">
        <v>575</v>
      </c>
      <c r="B281" s="26" t="s">
        <v>576</v>
      </c>
      <c r="C281" s="52"/>
      <c r="D281" s="55">
        <f t="shared" si="4"/>
        <v>0</v>
      </c>
      <c r="E281" s="63" t="str">
        <f>HYPERLINK("https://www.sds-group.ru/product/ramka-strong-3-postovaya-zhemchug-kranz-KR-78-0753-4/", "Инфо")</f>
        <v>Инфо</v>
      </c>
      <c r="F281" s="16" t="s">
        <v>39</v>
      </c>
      <c r="G281" s="15"/>
      <c r="H281" s="15"/>
      <c r="I281" s="15"/>
      <c r="J281" s="22">
        <v>1497</v>
      </c>
      <c r="K281" s="15"/>
      <c r="L281" s="17">
        <v>1</v>
      </c>
      <c r="M281" s="17">
        <v>100</v>
      </c>
      <c r="N281" s="17">
        <v>1</v>
      </c>
      <c r="O281" s="18">
        <v>429.5</v>
      </c>
      <c r="P281" s="18">
        <v>352.05</v>
      </c>
      <c r="Q281" s="18">
        <v>429.5</v>
      </c>
      <c r="R281" s="18">
        <v>352.05</v>
      </c>
      <c r="S281" s="18">
        <v>343.6</v>
      </c>
      <c r="T281" s="18">
        <v>281.64</v>
      </c>
      <c r="U281" s="16"/>
      <c r="V281" s="16"/>
      <c r="W281" s="16" t="s">
        <v>40</v>
      </c>
      <c r="X281" s="19">
        <v>7.0999999999999994E-2</v>
      </c>
      <c r="Y281" s="20">
        <v>8.6799999999999996E-4</v>
      </c>
      <c r="Z281" s="21">
        <v>4601004325272</v>
      </c>
    </row>
    <row r="282" spans="1:26" ht="12" customHeight="1" outlineLevel="4" x14ac:dyDescent="0.2">
      <c r="A282" s="40" t="s">
        <v>577</v>
      </c>
      <c r="B282" s="75" t="s">
        <v>578</v>
      </c>
      <c r="C282" s="51"/>
      <c r="D282" s="54">
        <f t="shared" si="4"/>
        <v>0</v>
      </c>
      <c r="E282" s="61" t="str">
        <f>HYPERLINK("https://www.sds-group.ru/product/ramka-strong-3-postovaya-shelk-kranz-KR-78-0753-8/", "Инфо")</f>
        <v>Инфо</v>
      </c>
      <c r="F282" s="42" t="s">
        <v>39</v>
      </c>
      <c r="G282" s="41" t="s">
        <v>40</v>
      </c>
      <c r="H282" s="41"/>
      <c r="I282" s="41"/>
      <c r="J282" s="43">
        <v>804</v>
      </c>
      <c r="K282" s="41" t="s">
        <v>210</v>
      </c>
      <c r="L282" s="43">
        <v>1</v>
      </c>
      <c r="M282" s="43">
        <v>100</v>
      </c>
      <c r="N282" s="43">
        <v>1</v>
      </c>
      <c r="O282" s="44">
        <v>730.22</v>
      </c>
      <c r="P282" s="44">
        <v>598.54</v>
      </c>
      <c r="Q282" s="44">
        <v>730.22</v>
      </c>
      <c r="R282" s="44">
        <v>598.54</v>
      </c>
      <c r="S282" s="44">
        <v>584.17999999999995</v>
      </c>
      <c r="T282" s="44">
        <v>478.84</v>
      </c>
      <c r="U282" s="42"/>
      <c r="V282" s="42"/>
      <c r="W282" s="42" t="s">
        <v>40</v>
      </c>
      <c r="X282" s="45">
        <v>7.0000000000000007E-2</v>
      </c>
      <c r="Y282" s="46">
        <v>8.7900000000000001E-4</v>
      </c>
      <c r="Z282" s="21">
        <v>4601004349704</v>
      </c>
    </row>
    <row r="283" spans="1:26" ht="12" customHeight="1" outlineLevel="4" x14ac:dyDescent="0.2">
      <c r="A283" s="14" t="s">
        <v>579</v>
      </c>
      <c r="B283" s="26" t="s">
        <v>580</v>
      </c>
      <c r="C283" s="52"/>
      <c r="D283" s="55">
        <f t="shared" si="4"/>
        <v>0</v>
      </c>
      <c r="E283" s="63" t="str">
        <f>HYPERLINK("https://www.sds-group.ru/product/ramka-strong-4-postovaya-antratsit-kranz-KR-78-0754-5/", "Инфо")</f>
        <v>Инфо</v>
      </c>
      <c r="F283" s="16" t="s">
        <v>39</v>
      </c>
      <c r="G283" s="15"/>
      <c r="H283" s="15"/>
      <c r="I283" s="15"/>
      <c r="J283" s="17">
        <v>587</v>
      </c>
      <c r="K283" s="15"/>
      <c r="L283" s="17">
        <v>1</v>
      </c>
      <c r="M283" s="17">
        <v>100</v>
      </c>
      <c r="N283" s="17">
        <v>1</v>
      </c>
      <c r="O283" s="18">
        <v>1083.02</v>
      </c>
      <c r="P283" s="18">
        <v>887.72</v>
      </c>
      <c r="Q283" s="18">
        <v>1083.02</v>
      </c>
      <c r="R283" s="18">
        <v>887.72</v>
      </c>
      <c r="S283" s="18">
        <v>866.42</v>
      </c>
      <c r="T283" s="18">
        <v>710.18</v>
      </c>
      <c r="U283" s="16"/>
      <c r="V283" s="16"/>
      <c r="W283" s="16" t="s">
        <v>40</v>
      </c>
      <c r="X283" s="19">
        <v>8.3000000000000004E-2</v>
      </c>
      <c r="Y283" s="20">
        <v>8.8699999999999998E-4</v>
      </c>
      <c r="Z283" s="21">
        <v>4601004325395</v>
      </c>
    </row>
    <row r="284" spans="1:26" ht="12" customHeight="1" outlineLevel="4" x14ac:dyDescent="0.2">
      <c r="A284" s="14" t="s">
        <v>581</v>
      </c>
      <c r="B284" s="26" t="s">
        <v>582</v>
      </c>
      <c r="C284" s="52"/>
      <c r="D284" s="55">
        <f t="shared" si="4"/>
        <v>0</v>
      </c>
      <c r="E284" s="63" t="str">
        <f>HYPERLINK("https://www.sds-group.ru/product/ramka-strong-4-postovaya-grafit-kranz-KR-78-0754-6/", "Инфо")</f>
        <v>Инфо</v>
      </c>
      <c r="F284" s="16" t="s">
        <v>39</v>
      </c>
      <c r="G284" s="15"/>
      <c r="H284" s="15"/>
      <c r="I284" s="15"/>
      <c r="J284" s="22">
        <v>1223</v>
      </c>
      <c r="K284" s="15"/>
      <c r="L284" s="17">
        <v>1</v>
      </c>
      <c r="M284" s="17">
        <v>100</v>
      </c>
      <c r="N284" s="17">
        <v>1</v>
      </c>
      <c r="O284" s="18">
        <v>1054.76</v>
      </c>
      <c r="P284" s="18">
        <v>864.56</v>
      </c>
      <c r="Q284" s="18">
        <v>1054.76</v>
      </c>
      <c r="R284" s="18">
        <v>864.56</v>
      </c>
      <c r="S284" s="18">
        <v>843.81</v>
      </c>
      <c r="T284" s="18">
        <v>691.65</v>
      </c>
      <c r="U284" s="16"/>
      <c r="V284" s="16"/>
      <c r="W284" s="16" t="s">
        <v>40</v>
      </c>
      <c r="X284" s="19">
        <v>8.4000000000000005E-2</v>
      </c>
      <c r="Y284" s="20">
        <v>8.9700000000000001E-4</v>
      </c>
      <c r="Z284" s="21">
        <v>4601004325388</v>
      </c>
    </row>
    <row r="285" spans="1:26" ht="12" customHeight="1" outlineLevel="4" x14ac:dyDescent="0.2">
      <c r="A285" s="14" t="s">
        <v>583</v>
      </c>
      <c r="B285" s="26" t="s">
        <v>584</v>
      </c>
      <c r="C285" s="52"/>
      <c r="D285" s="55">
        <f t="shared" si="4"/>
        <v>0</v>
      </c>
      <c r="E285" s="63" t="str">
        <f>HYPERLINK("https://www.sds-group.ru/product/ramka-strong-4-postovaya-zhemchug-kranz-KR-78-0754-4/", "Инфо")</f>
        <v>Инфо</v>
      </c>
      <c r="F285" s="16" t="s">
        <v>39</v>
      </c>
      <c r="G285" s="15"/>
      <c r="H285" s="15"/>
      <c r="I285" s="15"/>
      <c r="J285" s="22">
        <v>1429</v>
      </c>
      <c r="K285" s="15"/>
      <c r="L285" s="17">
        <v>1</v>
      </c>
      <c r="M285" s="17">
        <v>100</v>
      </c>
      <c r="N285" s="17">
        <v>1</v>
      </c>
      <c r="O285" s="18">
        <v>604.38</v>
      </c>
      <c r="P285" s="18">
        <v>495.39</v>
      </c>
      <c r="Q285" s="18">
        <v>604.38</v>
      </c>
      <c r="R285" s="18">
        <v>495.39</v>
      </c>
      <c r="S285" s="18">
        <v>483.5</v>
      </c>
      <c r="T285" s="18">
        <v>396.31</v>
      </c>
      <c r="U285" s="16"/>
      <c r="V285" s="16"/>
      <c r="W285" s="16" t="s">
        <v>40</v>
      </c>
      <c r="X285" s="19">
        <v>8.2000000000000003E-2</v>
      </c>
      <c r="Y285" s="20">
        <v>8.6300000000000005E-4</v>
      </c>
      <c r="Z285" s="21">
        <v>4601004325432</v>
      </c>
    </row>
    <row r="286" spans="1:26" ht="12" customHeight="1" outlineLevel="4" x14ac:dyDescent="0.2">
      <c r="A286" s="40" t="s">
        <v>585</v>
      </c>
      <c r="B286" s="75" t="s">
        <v>586</v>
      </c>
      <c r="C286" s="51"/>
      <c r="D286" s="54">
        <f t="shared" si="4"/>
        <v>0</v>
      </c>
      <c r="E286" s="61" t="str">
        <f>HYPERLINK("https://www.sds-group.ru/product/ramka-strong-4-postovaya-shelk-kranz-KR-78-0754-8/", "Инфо")</f>
        <v>Инфо</v>
      </c>
      <c r="F286" s="42" t="s">
        <v>39</v>
      </c>
      <c r="G286" s="41" t="s">
        <v>40</v>
      </c>
      <c r="H286" s="41"/>
      <c r="I286" s="41"/>
      <c r="J286" s="43">
        <v>186</v>
      </c>
      <c r="K286" s="41" t="s">
        <v>210</v>
      </c>
      <c r="L286" s="43">
        <v>1</v>
      </c>
      <c r="M286" s="43">
        <v>100</v>
      </c>
      <c r="N286" s="43">
        <v>1</v>
      </c>
      <c r="O286" s="44">
        <v>1054.76</v>
      </c>
      <c r="P286" s="44">
        <v>864.56</v>
      </c>
      <c r="Q286" s="44">
        <v>1054.76</v>
      </c>
      <c r="R286" s="44">
        <v>864.56</v>
      </c>
      <c r="S286" s="44">
        <v>843.81</v>
      </c>
      <c r="T286" s="44">
        <v>691.65</v>
      </c>
      <c r="U286" s="42"/>
      <c r="V286" s="42"/>
      <c r="W286" s="42" t="s">
        <v>40</v>
      </c>
      <c r="X286" s="45">
        <v>8.2000000000000003E-2</v>
      </c>
      <c r="Y286" s="46">
        <v>8.7399999999999999E-4</v>
      </c>
      <c r="Z286" s="21">
        <v>4601004349681</v>
      </c>
    </row>
    <row r="287" spans="1:26" ht="12" customHeight="1" outlineLevel="4" x14ac:dyDescent="0.2">
      <c r="A287" s="14" t="s">
        <v>587</v>
      </c>
      <c r="B287" s="26" t="s">
        <v>588</v>
      </c>
      <c r="C287" s="52"/>
      <c r="D287" s="55">
        <f t="shared" si="4"/>
        <v>0</v>
      </c>
      <c r="E287" s="63" t="str">
        <f>HYPERLINK("https://www.sds-group.ru/product/ramka-strong-5-postovaya-antratsit-kranz-KR-78-0755-5/", "Инфо")</f>
        <v>Инфо</v>
      </c>
      <c r="F287" s="16" t="s">
        <v>39</v>
      </c>
      <c r="G287" s="15"/>
      <c r="H287" s="15"/>
      <c r="I287" s="15"/>
      <c r="J287" s="17">
        <v>521</v>
      </c>
      <c r="K287" s="15"/>
      <c r="L287" s="17">
        <v>1</v>
      </c>
      <c r="M287" s="17">
        <v>100</v>
      </c>
      <c r="N287" s="17">
        <v>1</v>
      </c>
      <c r="O287" s="18">
        <v>1333.37</v>
      </c>
      <c r="P287" s="18">
        <v>1092.93</v>
      </c>
      <c r="Q287" s="18">
        <v>1333.37</v>
      </c>
      <c r="R287" s="18">
        <v>1092.93</v>
      </c>
      <c r="S287" s="18">
        <v>1066.7</v>
      </c>
      <c r="T287" s="18">
        <v>874.34</v>
      </c>
      <c r="U287" s="16"/>
      <c r="V287" s="16"/>
      <c r="W287" s="16" t="s">
        <v>40</v>
      </c>
      <c r="X287" s="19">
        <v>9.4E-2</v>
      </c>
      <c r="Y287" s="20">
        <v>8.5300000000000003E-4</v>
      </c>
      <c r="Z287" s="21">
        <v>4601004325265</v>
      </c>
    </row>
    <row r="288" spans="1:26" ht="12" customHeight="1" outlineLevel="4" x14ac:dyDescent="0.2">
      <c r="A288" s="14" t="s">
        <v>589</v>
      </c>
      <c r="B288" s="26" t="s">
        <v>590</v>
      </c>
      <c r="C288" s="52"/>
      <c r="D288" s="55">
        <f t="shared" si="4"/>
        <v>0</v>
      </c>
      <c r="E288" s="63" t="str">
        <f>HYPERLINK("https://www.sds-group.ru/product/ramka-strong-5-postovaya-grafit-kranz-KR-78-0755-6/", "Инфо")</f>
        <v>Инфо</v>
      </c>
      <c r="F288" s="16" t="s">
        <v>39</v>
      </c>
      <c r="G288" s="15"/>
      <c r="H288" s="15"/>
      <c r="I288" s="15"/>
      <c r="J288" s="17">
        <v>728</v>
      </c>
      <c r="K288" s="15"/>
      <c r="L288" s="17">
        <v>1</v>
      </c>
      <c r="M288" s="17">
        <v>100</v>
      </c>
      <c r="N288" s="17">
        <v>1</v>
      </c>
      <c r="O288" s="18">
        <v>1298.5999999999999</v>
      </c>
      <c r="P288" s="18">
        <v>1064.43</v>
      </c>
      <c r="Q288" s="18">
        <v>1298.5999999999999</v>
      </c>
      <c r="R288" s="18">
        <v>1064.43</v>
      </c>
      <c r="S288" s="18">
        <v>1038.8800000000001</v>
      </c>
      <c r="T288" s="18">
        <v>851.54</v>
      </c>
      <c r="U288" s="16"/>
      <c r="V288" s="16"/>
      <c r="W288" s="16" t="s">
        <v>40</v>
      </c>
      <c r="X288" s="19">
        <v>9.4E-2</v>
      </c>
      <c r="Y288" s="20">
        <v>8.5899999999999995E-4</v>
      </c>
      <c r="Z288" s="21">
        <v>4601004325401</v>
      </c>
    </row>
    <row r="289" spans="1:26" ht="12" customHeight="1" outlineLevel="4" x14ac:dyDescent="0.2">
      <c r="A289" s="14" t="s">
        <v>591</v>
      </c>
      <c r="B289" s="26" t="s">
        <v>592</v>
      </c>
      <c r="C289" s="52"/>
      <c r="D289" s="55">
        <f t="shared" si="4"/>
        <v>0</v>
      </c>
      <c r="E289" s="63" t="str">
        <f>HYPERLINK("https://www.sds-group.ru/product/ramka-strong-5-postovaya-zhemchug-kranz-KR-78-0755-4/", "Инфо")</f>
        <v>Инфо</v>
      </c>
      <c r="F289" s="16" t="s">
        <v>39</v>
      </c>
      <c r="G289" s="15"/>
      <c r="H289" s="15"/>
      <c r="I289" s="15"/>
      <c r="J289" s="17">
        <v>785</v>
      </c>
      <c r="K289" s="15"/>
      <c r="L289" s="17">
        <v>1</v>
      </c>
      <c r="M289" s="17">
        <v>100</v>
      </c>
      <c r="N289" s="17">
        <v>1</v>
      </c>
      <c r="O289" s="18">
        <v>793.8</v>
      </c>
      <c r="P289" s="18">
        <v>650.66</v>
      </c>
      <c r="Q289" s="18">
        <v>793.8</v>
      </c>
      <c r="R289" s="18">
        <v>650.66</v>
      </c>
      <c r="S289" s="18">
        <v>635.04</v>
      </c>
      <c r="T289" s="18">
        <v>520.52</v>
      </c>
      <c r="U289" s="16"/>
      <c r="V289" s="16"/>
      <c r="W289" s="16" t="s">
        <v>40</v>
      </c>
      <c r="X289" s="19">
        <v>9.6000000000000002E-2</v>
      </c>
      <c r="Y289" s="20">
        <v>8.7799999999999998E-4</v>
      </c>
      <c r="Z289" s="21">
        <v>4601004325418</v>
      </c>
    </row>
    <row r="290" spans="1:26" ht="12" customHeight="1" outlineLevel="4" x14ac:dyDescent="0.2">
      <c r="A290" s="40" t="s">
        <v>593</v>
      </c>
      <c r="B290" s="75" t="s">
        <v>594</v>
      </c>
      <c r="C290" s="51"/>
      <c r="D290" s="54">
        <f t="shared" si="4"/>
        <v>0</v>
      </c>
      <c r="E290" s="61" t="str">
        <f>HYPERLINK("https://www.sds-group.ru/product/ramka-strong-5-postovaya-shelk-kranz-KR-78-0755-8/", "Инфо")</f>
        <v>Инфо</v>
      </c>
      <c r="F290" s="42" t="s">
        <v>39</v>
      </c>
      <c r="G290" s="41" t="s">
        <v>40</v>
      </c>
      <c r="H290" s="41"/>
      <c r="I290" s="41"/>
      <c r="J290" s="43">
        <v>17</v>
      </c>
      <c r="K290" s="41" t="s">
        <v>210</v>
      </c>
      <c r="L290" s="43">
        <v>1</v>
      </c>
      <c r="M290" s="43">
        <v>100</v>
      </c>
      <c r="N290" s="43">
        <v>1</v>
      </c>
      <c r="O290" s="44">
        <v>1298.5999999999999</v>
      </c>
      <c r="P290" s="44">
        <v>1064.43</v>
      </c>
      <c r="Q290" s="44">
        <v>1298.5999999999999</v>
      </c>
      <c r="R290" s="44">
        <v>1064.43</v>
      </c>
      <c r="S290" s="44">
        <v>1038.8800000000001</v>
      </c>
      <c r="T290" s="44">
        <v>851.54</v>
      </c>
      <c r="U290" s="42"/>
      <c r="V290" s="42"/>
      <c r="W290" s="42" t="s">
        <v>40</v>
      </c>
      <c r="X290" s="45">
        <v>9.4E-2</v>
      </c>
      <c r="Y290" s="46">
        <v>8.7799999999999998E-4</v>
      </c>
      <c r="Z290" s="21">
        <v>4601004349667</v>
      </c>
    </row>
    <row r="291" spans="1:26" ht="12" customHeight="1" outlineLevel="4" x14ac:dyDescent="0.2">
      <c r="A291" s="14" t="s">
        <v>595</v>
      </c>
      <c r="B291" s="26" t="s">
        <v>596</v>
      </c>
      <c r="C291" s="52"/>
      <c r="D291" s="55">
        <f t="shared" si="4"/>
        <v>0</v>
      </c>
      <c r="E291" s="63" t="str">
        <f>HYPERLINK("https://www.sds-group.ru/product/rozetka-strong-1-aya-s-z-s-u-z-sh-16a-s-usb-a-c-bystroy-zaryadki-5v-3a-antratsit-kranz-KR-78-0704-5/", "Инфо")</f>
        <v>Инфо</v>
      </c>
      <c r="F291" s="16" t="s">
        <v>39</v>
      </c>
      <c r="G291" s="15"/>
      <c r="H291" s="15"/>
      <c r="I291" s="15"/>
      <c r="J291" s="17">
        <v>514</v>
      </c>
      <c r="K291" s="15"/>
      <c r="L291" s="17">
        <v>1</v>
      </c>
      <c r="M291" s="17">
        <v>80</v>
      </c>
      <c r="N291" s="17">
        <v>1</v>
      </c>
      <c r="O291" s="18">
        <v>6350.68</v>
      </c>
      <c r="P291" s="18">
        <v>5205.4799999999996</v>
      </c>
      <c r="Q291" s="18">
        <v>6350.68</v>
      </c>
      <c r="R291" s="18">
        <v>5205.4799999999996</v>
      </c>
      <c r="S291" s="18">
        <v>5080.54</v>
      </c>
      <c r="T291" s="18">
        <v>4164.38</v>
      </c>
      <c r="U291" s="16"/>
      <c r="V291" s="16"/>
      <c r="W291" s="16" t="s">
        <v>40</v>
      </c>
      <c r="X291" s="19">
        <v>0.186</v>
      </c>
      <c r="Y291" s="20">
        <v>6.4700000000000001E-4</v>
      </c>
      <c r="Z291" s="21">
        <v>4601004323476</v>
      </c>
    </row>
    <row r="292" spans="1:26" ht="12" customHeight="1" outlineLevel="4" x14ac:dyDescent="0.2">
      <c r="A292" s="14" t="s">
        <v>597</v>
      </c>
      <c r="B292" s="26" t="s">
        <v>598</v>
      </c>
      <c r="C292" s="52"/>
      <c r="D292" s="55">
        <f t="shared" si="4"/>
        <v>0</v>
      </c>
      <c r="E292" s="63" t="str">
        <f>HYPERLINK("https://www.sds-group.ru/product/rozetka-strong-1-aya-s-z-s-u-z-sh-16a-s-usb-a-c-bystroy-zaryadki-5v-3a-zhemchug-kranz-KR-78-0704-4/", "Инфо")</f>
        <v>Инфо</v>
      </c>
      <c r="F292" s="16" t="s">
        <v>39</v>
      </c>
      <c r="G292" s="15"/>
      <c r="H292" s="15"/>
      <c r="I292" s="15"/>
      <c r="J292" s="17">
        <v>883</v>
      </c>
      <c r="K292" s="15"/>
      <c r="L292" s="17">
        <v>1</v>
      </c>
      <c r="M292" s="17">
        <v>80</v>
      </c>
      <c r="N292" s="17">
        <v>1</v>
      </c>
      <c r="O292" s="18">
        <v>5197.7299999999996</v>
      </c>
      <c r="P292" s="18">
        <v>4260.43</v>
      </c>
      <c r="Q292" s="18">
        <v>5197.7299999999996</v>
      </c>
      <c r="R292" s="18">
        <v>4260.43</v>
      </c>
      <c r="S292" s="18">
        <v>4158.18</v>
      </c>
      <c r="T292" s="18">
        <v>3408.34</v>
      </c>
      <c r="U292" s="16"/>
      <c r="V292" s="16"/>
      <c r="W292" s="16" t="s">
        <v>40</v>
      </c>
      <c r="X292" s="19">
        <v>0.186</v>
      </c>
      <c r="Y292" s="20">
        <v>6.6100000000000002E-4</v>
      </c>
      <c r="Z292" s="21">
        <v>4601004323483</v>
      </c>
    </row>
    <row r="293" spans="1:26" ht="12" customHeight="1" outlineLevel="4" x14ac:dyDescent="0.2">
      <c r="A293" s="40" t="s">
        <v>599</v>
      </c>
      <c r="B293" s="75" t="s">
        <v>600</v>
      </c>
      <c r="C293" s="51"/>
      <c r="D293" s="54">
        <f t="shared" si="4"/>
        <v>0</v>
      </c>
      <c r="E293" s="61" t="str">
        <f>HYPERLINK("https://www.sds-group.ru/product/rozetka-strong-1-aya-s-z-s-u-z-sh-16a-s-usb-a-c-bystroy-zaryadki-5v-3a-shelk-kranz-KR-78-0704-8/", "Инфо")</f>
        <v>Инфо</v>
      </c>
      <c r="F293" s="42" t="s">
        <v>39</v>
      </c>
      <c r="G293" s="41" t="s">
        <v>40</v>
      </c>
      <c r="H293" s="41"/>
      <c r="I293" s="41"/>
      <c r="J293" s="43">
        <v>2</v>
      </c>
      <c r="K293" s="41" t="s">
        <v>210</v>
      </c>
      <c r="L293" s="43">
        <v>1</v>
      </c>
      <c r="M293" s="43">
        <v>80</v>
      </c>
      <c r="N293" s="43">
        <v>1</v>
      </c>
      <c r="O293" s="44">
        <v>6240.22</v>
      </c>
      <c r="P293" s="44">
        <v>5114.93</v>
      </c>
      <c r="Q293" s="44">
        <v>6240.22</v>
      </c>
      <c r="R293" s="44">
        <v>5114.93</v>
      </c>
      <c r="S293" s="44">
        <v>4992.18</v>
      </c>
      <c r="T293" s="44">
        <v>4091.95</v>
      </c>
      <c r="U293" s="42"/>
      <c r="V293" s="42"/>
      <c r="W293" s="42" t="s">
        <v>40</v>
      </c>
      <c r="X293" s="45">
        <v>0.19400000000000001</v>
      </c>
      <c r="Y293" s="46">
        <v>6.5099999999999999E-4</v>
      </c>
      <c r="Z293" s="21">
        <v>4601004348981</v>
      </c>
    </row>
    <row r="294" spans="1:26" ht="12" customHeight="1" outlineLevel="4" x14ac:dyDescent="0.2">
      <c r="A294" s="14" t="s">
        <v>601</v>
      </c>
      <c r="B294" s="26" t="s">
        <v>602</v>
      </c>
      <c r="C294" s="52"/>
      <c r="D294" s="55">
        <f t="shared" si="4"/>
        <v>0</v>
      </c>
      <c r="E294" s="63" t="str">
        <f>HYPERLINK("https://www.sds-group.ru/product/rozetka-strong-1-aya-s-z-s-u-so-shtorkami-16a-antratsit-kranz-KR-78-0701-5/", "Инфо")</f>
        <v>Инфо</v>
      </c>
      <c r="F294" s="16" t="s">
        <v>39</v>
      </c>
      <c r="G294" s="15"/>
      <c r="H294" s="15"/>
      <c r="I294" s="15"/>
      <c r="J294" s="17">
        <v>354</v>
      </c>
      <c r="K294" s="15" t="s">
        <v>210</v>
      </c>
      <c r="L294" s="17">
        <v>1</v>
      </c>
      <c r="M294" s="17">
        <v>100</v>
      </c>
      <c r="N294" s="17">
        <v>1</v>
      </c>
      <c r="O294" s="18">
        <v>1002.76</v>
      </c>
      <c r="P294" s="18">
        <v>821.93</v>
      </c>
      <c r="Q294" s="18">
        <v>1002.76</v>
      </c>
      <c r="R294" s="18">
        <v>821.93</v>
      </c>
      <c r="S294" s="18">
        <v>802.21</v>
      </c>
      <c r="T294" s="18">
        <v>657.55</v>
      </c>
      <c r="U294" s="16"/>
      <c r="V294" s="16"/>
      <c r="W294" s="16" t="s">
        <v>40</v>
      </c>
      <c r="X294" s="19">
        <v>0.14399999999999999</v>
      </c>
      <c r="Y294" s="20">
        <v>5.3499999999999999E-4</v>
      </c>
      <c r="Z294" s="21">
        <v>4601004323407</v>
      </c>
    </row>
    <row r="295" spans="1:26" ht="12" customHeight="1" outlineLevel="4" x14ac:dyDescent="0.2">
      <c r="A295" s="14" t="s">
        <v>603</v>
      </c>
      <c r="B295" s="26" t="s">
        <v>604</v>
      </c>
      <c r="C295" s="52"/>
      <c r="D295" s="55">
        <f t="shared" si="4"/>
        <v>0</v>
      </c>
      <c r="E295" s="63" t="str">
        <f>HYPERLINK("https://www.sds-group.ru/product/rozetka-strong-1-aya-s-z-s-u-so-shtorkami-16a-grafit-kranz-KR-78-0701-6/", "Инфо")</f>
        <v>Инфо</v>
      </c>
      <c r="F295" s="16" t="s">
        <v>39</v>
      </c>
      <c r="G295" s="15"/>
      <c r="H295" s="15"/>
      <c r="I295" s="15"/>
      <c r="J295" s="22">
        <v>2204</v>
      </c>
      <c r="K295" s="15" t="s">
        <v>210</v>
      </c>
      <c r="L295" s="17">
        <v>1</v>
      </c>
      <c r="M295" s="17">
        <v>100</v>
      </c>
      <c r="N295" s="17">
        <v>1</v>
      </c>
      <c r="O295" s="18">
        <v>1028.71</v>
      </c>
      <c r="P295" s="18">
        <v>843.2</v>
      </c>
      <c r="Q295" s="18">
        <v>1028.71</v>
      </c>
      <c r="R295" s="18">
        <v>843.2</v>
      </c>
      <c r="S295" s="18">
        <v>822.97</v>
      </c>
      <c r="T295" s="18">
        <v>674.57</v>
      </c>
      <c r="U295" s="16"/>
      <c r="V295" s="16"/>
      <c r="W295" s="16" t="s">
        <v>40</v>
      </c>
      <c r="X295" s="19">
        <v>0.14299999999999999</v>
      </c>
      <c r="Y295" s="20">
        <v>5.2700000000000002E-4</v>
      </c>
      <c r="Z295" s="21">
        <v>4601004323414</v>
      </c>
    </row>
    <row r="296" spans="1:26" ht="12" customHeight="1" outlineLevel="4" x14ac:dyDescent="0.2">
      <c r="A296" s="14" t="s">
        <v>605</v>
      </c>
      <c r="B296" s="26" t="s">
        <v>606</v>
      </c>
      <c r="C296" s="52"/>
      <c r="D296" s="55">
        <f t="shared" si="4"/>
        <v>0</v>
      </c>
      <c r="E296" s="63" t="str">
        <f>HYPERLINK("https://www.sds-group.ru/product/rozetka-strong-1-aya-s-z-s-u-so-shtorkami-16a-zhemchug-kranz-KR-78-0701-4/", "Инфо")</f>
        <v>Инфо</v>
      </c>
      <c r="F296" s="16" t="s">
        <v>39</v>
      </c>
      <c r="G296" s="15"/>
      <c r="H296" s="15"/>
      <c r="I296" s="15"/>
      <c r="J296" s="22">
        <v>5199</v>
      </c>
      <c r="K296" s="15" t="s">
        <v>210</v>
      </c>
      <c r="L296" s="17">
        <v>1</v>
      </c>
      <c r="M296" s="17">
        <v>100</v>
      </c>
      <c r="N296" s="17">
        <v>1</v>
      </c>
      <c r="O296" s="18">
        <v>841.95</v>
      </c>
      <c r="P296" s="18">
        <v>690.12</v>
      </c>
      <c r="Q296" s="18">
        <v>841.95</v>
      </c>
      <c r="R296" s="18">
        <v>690.12</v>
      </c>
      <c r="S296" s="18">
        <v>673.56</v>
      </c>
      <c r="T296" s="18">
        <v>552.1</v>
      </c>
      <c r="U296" s="16"/>
      <c r="V296" s="16"/>
      <c r="W296" s="16" t="s">
        <v>40</v>
      </c>
      <c r="X296" s="19">
        <v>0.14299999999999999</v>
      </c>
      <c r="Y296" s="20">
        <v>5.5099999999999995E-4</v>
      </c>
      <c r="Z296" s="21">
        <v>4601004323308</v>
      </c>
    </row>
    <row r="297" spans="1:26" ht="12" customHeight="1" outlineLevel="4" x14ac:dyDescent="0.2">
      <c r="A297" s="40" t="s">
        <v>607</v>
      </c>
      <c r="B297" s="75" t="s">
        <v>608</v>
      </c>
      <c r="C297" s="51"/>
      <c r="D297" s="54">
        <f t="shared" si="4"/>
        <v>0</v>
      </c>
      <c r="E297" s="61" t="str">
        <f>HYPERLINK("https://www.sds-group.ru/product/rozetka-strong-1-aya-s-z-s-u-so-shtorkami-16a-shelk-kranz-KR-78-0701-8/", "Инфо")</f>
        <v>Инфо</v>
      </c>
      <c r="F297" s="42" t="s">
        <v>39</v>
      </c>
      <c r="G297" s="41" t="s">
        <v>40</v>
      </c>
      <c r="H297" s="41"/>
      <c r="I297" s="41"/>
      <c r="J297" s="42" t="s">
        <v>100</v>
      </c>
      <c r="K297" s="41" t="s">
        <v>210</v>
      </c>
      <c r="L297" s="43">
        <v>1</v>
      </c>
      <c r="M297" s="43">
        <v>100</v>
      </c>
      <c r="N297" s="43">
        <v>1</v>
      </c>
      <c r="O297" s="44">
        <v>1002.76</v>
      </c>
      <c r="P297" s="44">
        <v>821.93</v>
      </c>
      <c r="Q297" s="44">
        <v>1002.76</v>
      </c>
      <c r="R297" s="44">
        <v>821.93</v>
      </c>
      <c r="S297" s="44">
        <v>802.21</v>
      </c>
      <c r="T297" s="44">
        <v>657.55</v>
      </c>
      <c r="U297" s="42"/>
      <c r="V297" s="42"/>
      <c r="W297" s="42" t="s">
        <v>40</v>
      </c>
      <c r="X297" s="45">
        <v>0.14299999999999999</v>
      </c>
      <c r="Y297" s="46">
        <v>5.31E-4</v>
      </c>
      <c r="Z297" s="21">
        <v>4601004349025</v>
      </c>
    </row>
    <row r="298" spans="1:26" ht="12" customHeight="1" outlineLevel="4" x14ac:dyDescent="0.2">
      <c r="A298" s="14" t="s">
        <v>609</v>
      </c>
      <c r="B298" s="26" t="s">
        <v>610</v>
      </c>
      <c r="C298" s="52"/>
      <c r="D298" s="55">
        <f t="shared" si="4"/>
        <v>0</v>
      </c>
      <c r="E298" s="63" t="str">
        <f>HYPERLINK("https://www.sds-group.ru/product/rozetka-strong-1-aya-s-z-s-u-so-shtorkami-i-kryshkoy-16a-antratsit-kranz-KR-78-0702-5/", "Инфо")</f>
        <v>Инфо</v>
      </c>
      <c r="F298" s="16" t="s">
        <v>39</v>
      </c>
      <c r="G298" s="15"/>
      <c r="H298" s="15"/>
      <c r="I298" s="15"/>
      <c r="J298" s="17">
        <v>301</v>
      </c>
      <c r="K298" s="15"/>
      <c r="L298" s="17">
        <v>1</v>
      </c>
      <c r="M298" s="17">
        <v>80</v>
      </c>
      <c r="N298" s="17">
        <v>1</v>
      </c>
      <c r="O298" s="18">
        <v>1439.83</v>
      </c>
      <c r="P298" s="18">
        <v>1180.19</v>
      </c>
      <c r="Q298" s="18">
        <v>1439.83</v>
      </c>
      <c r="R298" s="18">
        <v>1180.19</v>
      </c>
      <c r="S298" s="18">
        <v>1151.8599999999999</v>
      </c>
      <c r="T298" s="18">
        <v>944.15</v>
      </c>
      <c r="U298" s="16"/>
      <c r="V298" s="16"/>
      <c r="W298" s="16" t="s">
        <v>40</v>
      </c>
      <c r="X298" s="19">
        <v>0.16300000000000001</v>
      </c>
      <c r="Y298" s="20">
        <v>6.9099999999999999E-4</v>
      </c>
      <c r="Z298" s="21">
        <v>4601004323346</v>
      </c>
    </row>
    <row r="299" spans="1:26" ht="12" customHeight="1" outlineLevel="4" x14ac:dyDescent="0.2">
      <c r="A299" s="14" t="s">
        <v>611</v>
      </c>
      <c r="B299" s="26" t="s">
        <v>612</v>
      </c>
      <c r="C299" s="52"/>
      <c r="D299" s="55">
        <f t="shared" si="4"/>
        <v>0</v>
      </c>
      <c r="E299" s="63" t="str">
        <f>HYPERLINK("https://www.sds-group.ru/product/rozetka-strong-1-aya-s-z-s-u-so-shtorkami-i-kryshkoy-16a-zhemchug-kranz-KR-78-0702-4/", "Инфо")</f>
        <v>Инфо</v>
      </c>
      <c r="F299" s="16" t="s">
        <v>39</v>
      </c>
      <c r="G299" s="15"/>
      <c r="H299" s="15"/>
      <c r="I299" s="15"/>
      <c r="J299" s="17">
        <v>877</v>
      </c>
      <c r="K299" s="15"/>
      <c r="L299" s="17">
        <v>1</v>
      </c>
      <c r="M299" s="17">
        <v>80</v>
      </c>
      <c r="N299" s="17">
        <v>1</v>
      </c>
      <c r="O299" s="18">
        <v>1178.46</v>
      </c>
      <c r="P299" s="18">
        <v>965.95</v>
      </c>
      <c r="Q299" s="18">
        <v>1178.46</v>
      </c>
      <c r="R299" s="18">
        <v>965.95</v>
      </c>
      <c r="S299" s="18">
        <v>942.77</v>
      </c>
      <c r="T299" s="18">
        <v>772.76</v>
      </c>
      <c r="U299" s="16"/>
      <c r="V299" s="16"/>
      <c r="W299" s="16" t="s">
        <v>40</v>
      </c>
      <c r="X299" s="19">
        <v>0.16200000000000001</v>
      </c>
      <c r="Y299" s="20">
        <v>6.7299999999999999E-4</v>
      </c>
      <c r="Z299" s="21">
        <v>4601004323353</v>
      </c>
    </row>
    <row r="300" spans="1:26" ht="12" customHeight="1" outlineLevel="4" x14ac:dyDescent="0.2">
      <c r="A300" s="40" t="s">
        <v>613</v>
      </c>
      <c r="B300" s="75" t="s">
        <v>614</v>
      </c>
      <c r="C300" s="51"/>
      <c r="D300" s="54">
        <f t="shared" si="4"/>
        <v>0</v>
      </c>
      <c r="E300" s="61" t="str">
        <f>HYPERLINK("https://www.sds-group.ru/product/rozetka-strong-1-aya-s-z-s-u-so-shtorkami-i-kryshkoy-16a-shelk-kranz-KR-78-0702-8/", "Инфо")</f>
        <v>Инфо</v>
      </c>
      <c r="F300" s="42" t="s">
        <v>39</v>
      </c>
      <c r="G300" s="41" t="s">
        <v>40</v>
      </c>
      <c r="H300" s="41"/>
      <c r="I300" s="41"/>
      <c r="J300" s="43">
        <v>5</v>
      </c>
      <c r="K300" s="41" t="s">
        <v>210</v>
      </c>
      <c r="L300" s="43">
        <v>1</v>
      </c>
      <c r="M300" s="43">
        <v>80</v>
      </c>
      <c r="N300" s="43">
        <v>1</v>
      </c>
      <c r="O300" s="44">
        <v>1414.8</v>
      </c>
      <c r="P300" s="44">
        <v>1159.67</v>
      </c>
      <c r="Q300" s="44">
        <v>1414.8</v>
      </c>
      <c r="R300" s="44">
        <v>1159.67</v>
      </c>
      <c r="S300" s="44">
        <v>1131.8399999999999</v>
      </c>
      <c r="T300" s="44">
        <v>927.74</v>
      </c>
      <c r="U300" s="42"/>
      <c r="V300" s="42"/>
      <c r="W300" s="42" t="s">
        <v>40</v>
      </c>
      <c r="X300" s="45">
        <v>0.16</v>
      </c>
      <c r="Y300" s="46">
        <v>6.69E-4</v>
      </c>
      <c r="Z300" s="21">
        <v>4601004349001</v>
      </c>
    </row>
    <row r="301" spans="1:26" ht="12" customHeight="1" outlineLevel="4" x14ac:dyDescent="0.2">
      <c r="A301" s="40" t="s">
        <v>615</v>
      </c>
      <c r="B301" s="75" t="s">
        <v>616</v>
      </c>
      <c r="C301" s="51"/>
      <c r="D301" s="54">
        <f t="shared" si="4"/>
        <v>0</v>
      </c>
      <c r="E301" s="61" t="str">
        <f>HYPERLINK("https://www.sds-group.ru/product/rozetka-strong-hdmi-s-u-shelk-kranz-KR-78-0730-8/", "Инфо")</f>
        <v>Инфо</v>
      </c>
      <c r="F301" s="42" t="s">
        <v>39</v>
      </c>
      <c r="G301" s="41" t="s">
        <v>40</v>
      </c>
      <c r="H301" s="41"/>
      <c r="I301" s="41"/>
      <c r="J301" s="42" t="s">
        <v>100</v>
      </c>
      <c r="K301" s="41" t="s">
        <v>210</v>
      </c>
      <c r="L301" s="43">
        <v>1</v>
      </c>
      <c r="M301" s="43">
        <v>100</v>
      </c>
      <c r="N301" s="43">
        <v>1</v>
      </c>
      <c r="O301" s="44">
        <v>3386.71</v>
      </c>
      <c r="P301" s="44">
        <v>2775.99</v>
      </c>
      <c r="Q301" s="44">
        <v>3386.71</v>
      </c>
      <c r="R301" s="44">
        <v>2775.99</v>
      </c>
      <c r="S301" s="44">
        <v>2709.37</v>
      </c>
      <c r="T301" s="44">
        <v>2220.8000000000002</v>
      </c>
      <c r="U301" s="42"/>
      <c r="V301" s="42"/>
      <c r="W301" s="42" t="s">
        <v>40</v>
      </c>
      <c r="X301" s="45">
        <v>0.13100000000000001</v>
      </c>
      <c r="Y301" s="46">
        <v>5.3399999999999997E-4</v>
      </c>
      <c r="Z301" s="21">
        <v>4601004349124</v>
      </c>
    </row>
    <row r="302" spans="1:26" ht="12" customHeight="1" outlineLevel="4" x14ac:dyDescent="0.2">
      <c r="A302" s="14" t="s">
        <v>617</v>
      </c>
      <c r="B302" s="26" t="s">
        <v>618</v>
      </c>
      <c r="C302" s="52"/>
      <c r="D302" s="55">
        <f t="shared" si="4"/>
        <v>0</v>
      </c>
      <c r="E302" s="63" t="str">
        <f>HYPERLINK("https://www.sds-group.ru/product/rozetka-strong-tv-s-u-antratsit-kranz-KR-78-0723-5/", "Инфо")</f>
        <v>Инфо</v>
      </c>
      <c r="F302" s="16" t="s">
        <v>39</v>
      </c>
      <c r="G302" s="15"/>
      <c r="H302" s="15"/>
      <c r="I302" s="15"/>
      <c r="J302" s="17">
        <v>569</v>
      </c>
      <c r="K302" s="15"/>
      <c r="L302" s="17">
        <v>1</v>
      </c>
      <c r="M302" s="17">
        <v>100</v>
      </c>
      <c r="N302" s="17">
        <v>1</v>
      </c>
      <c r="O302" s="18">
        <v>1662.02</v>
      </c>
      <c r="P302" s="18">
        <v>1362.31</v>
      </c>
      <c r="Q302" s="18">
        <v>1662.02</v>
      </c>
      <c r="R302" s="18">
        <v>1362.31</v>
      </c>
      <c r="S302" s="18">
        <v>1329.62</v>
      </c>
      <c r="T302" s="18">
        <v>1089.8499999999999</v>
      </c>
      <c r="U302" s="16"/>
      <c r="V302" s="16"/>
      <c r="W302" s="16" t="s">
        <v>40</v>
      </c>
      <c r="X302" s="19">
        <v>0.13700000000000001</v>
      </c>
      <c r="Y302" s="20">
        <v>5.3899999999999998E-4</v>
      </c>
      <c r="Z302" s="21">
        <v>4601004324848</v>
      </c>
    </row>
    <row r="303" spans="1:26" ht="12" customHeight="1" outlineLevel="4" x14ac:dyDescent="0.2">
      <c r="A303" s="14" t="s">
        <v>619</v>
      </c>
      <c r="B303" s="26" t="s">
        <v>620</v>
      </c>
      <c r="C303" s="52"/>
      <c r="D303" s="55">
        <f t="shared" si="4"/>
        <v>0</v>
      </c>
      <c r="E303" s="63" t="str">
        <f>HYPERLINK("https://www.sds-group.ru/product/rozetka-strong-tv-s-u-grafit-kranz-KR-78-0723-6/", "Инфо")</f>
        <v>Инфо</v>
      </c>
      <c r="F303" s="16" t="s">
        <v>39</v>
      </c>
      <c r="G303" s="15"/>
      <c r="H303" s="15"/>
      <c r="I303" s="15"/>
      <c r="J303" s="17">
        <v>598</v>
      </c>
      <c r="K303" s="15"/>
      <c r="L303" s="17">
        <v>1</v>
      </c>
      <c r="M303" s="17">
        <v>100</v>
      </c>
      <c r="N303" s="17">
        <v>1</v>
      </c>
      <c r="O303" s="18">
        <v>1618.66</v>
      </c>
      <c r="P303" s="18">
        <v>1326.77</v>
      </c>
      <c r="Q303" s="18">
        <v>1618.66</v>
      </c>
      <c r="R303" s="18">
        <v>1326.77</v>
      </c>
      <c r="S303" s="18">
        <v>1294.93</v>
      </c>
      <c r="T303" s="18">
        <v>1061.42</v>
      </c>
      <c r="U303" s="16"/>
      <c r="V303" s="16"/>
      <c r="W303" s="16" t="s">
        <v>40</v>
      </c>
      <c r="X303" s="19">
        <v>0.13700000000000001</v>
      </c>
      <c r="Y303" s="20">
        <v>5.2599999999999999E-4</v>
      </c>
      <c r="Z303" s="21">
        <v>4601004324824</v>
      </c>
    </row>
    <row r="304" spans="1:26" ht="12" customHeight="1" outlineLevel="4" x14ac:dyDescent="0.2">
      <c r="A304" s="14" t="s">
        <v>621</v>
      </c>
      <c r="B304" s="26" t="s">
        <v>622</v>
      </c>
      <c r="C304" s="52"/>
      <c r="D304" s="55">
        <f t="shared" si="4"/>
        <v>0</v>
      </c>
      <c r="E304" s="63" t="str">
        <f>HYPERLINK("https://www.sds-group.ru/product/rozetka-strong-tv-s-u-zhemchug-kranz-KR-78-0723-4/", "Инфо")</f>
        <v>Инфо</v>
      </c>
      <c r="F304" s="16" t="s">
        <v>39</v>
      </c>
      <c r="G304" s="15"/>
      <c r="H304" s="15"/>
      <c r="I304" s="15"/>
      <c r="J304" s="17">
        <v>509</v>
      </c>
      <c r="K304" s="15"/>
      <c r="L304" s="17">
        <v>1</v>
      </c>
      <c r="M304" s="17">
        <v>100</v>
      </c>
      <c r="N304" s="17">
        <v>1</v>
      </c>
      <c r="O304" s="18">
        <v>1372.66</v>
      </c>
      <c r="P304" s="18">
        <v>1125.1300000000001</v>
      </c>
      <c r="Q304" s="18">
        <v>1372.66</v>
      </c>
      <c r="R304" s="18">
        <v>1125.1300000000001</v>
      </c>
      <c r="S304" s="18">
        <v>1098.1300000000001</v>
      </c>
      <c r="T304" s="18">
        <v>900.11</v>
      </c>
      <c r="U304" s="16"/>
      <c r="V304" s="16"/>
      <c r="W304" s="16" t="s">
        <v>40</v>
      </c>
      <c r="X304" s="19">
        <v>0.13800000000000001</v>
      </c>
      <c r="Y304" s="20">
        <v>5.3799999999999996E-4</v>
      </c>
      <c r="Z304" s="21">
        <v>4601004324657</v>
      </c>
    </row>
    <row r="305" spans="1:26" ht="12" customHeight="1" outlineLevel="4" x14ac:dyDescent="0.2">
      <c r="A305" s="40" t="s">
        <v>623</v>
      </c>
      <c r="B305" s="75" t="s">
        <v>624</v>
      </c>
      <c r="C305" s="51"/>
      <c r="D305" s="54">
        <f t="shared" si="4"/>
        <v>0</v>
      </c>
      <c r="E305" s="61" t="str">
        <f>HYPERLINK("https://www.sds-group.ru/product/rozetka-strong-tv-s-u-shelk-kranz-KR-78-0723-8/", "Инфо")</f>
        <v>Инфо</v>
      </c>
      <c r="F305" s="42" t="s">
        <v>39</v>
      </c>
      <c r="G305" s="41" t="s">
        <v>40</v>
      </c>
      <c r="H305" s="41"/>
      <c r="I305" s="41"/>
      <c r="J305" s="43">
        <v>40</v>
      </c>
      <c r="K305" s="41" t="s">
        <v>210</v>
      </c>
      <c r="L305" s="43">
        <v>1</v>
      </c>
      <c r="M305" s="43">
        <v>100</v>
      </c>
      <c r="N305" s="43">
        <v>1</v>
      </c>
      <c r="O305" s="44">
        <v>1618.66</v>
      </c>
      <c r="P305" s="44">
        <v>1326.77</v>
      </c>
      <c r="Q305" s="44">
        <v>1618.66</v>
      </c>
      <c r="R305" s="44">
        <v>1326.77</v>
      </c>
      <c r="S305" s="44">
        <v>1294.93</v>
      </c>
      <c r="T305" s="44">
        <v>1061.42</v>
      </c>
      <c r="U305" s="42"/>
      <c r="V305" s="42"/>
      <c r="W305" s="42" t="s">
        <v>40</v>
      </c>
      <c r="X305" s="45">
        <v>0.13500000000000001</v>
      </c>
      <c r="Y305" s="46">
        <v>5.2899999999999996E-4</v>
      </c>
      <c r="Z305" s="21">
        <v>4601004349209</v>
      </c>
    </row>
    <row r="306" spans="1:26" ht="12" customHeight="1" outlineLevel="4" x14ac:dyDescent="0.2">
      <c r="A306" s="40" t="s">
        <v>625</v>
      </c>
      <c r="B306" s="75" t="s">
        <v>626</v>
      </c>
      <c r="C306" s="51"/>
      <c r="D306" s="54">
        <f t="shared" si="4"/>
        <v>0</v>
      </c>
      <c r="E306" s="61" t="str">
        <f>HYPERLINK("https://www.sds-group.ru/product/rozetka-strong-usb-a-type-c-3a-s-funktsiey-bystroy-zaryadki-antratsit-kranz-KR-78-0734-5/", "Инфо")</f>
        <v>Инфо</v>
      </c>
      <c r="F306" s="42" t="s">
        <v>39</v>
      </c>
      <c r="G306" s="41" t="s">
        <v>40</v>
      </c>
      <c r="H306" s="41"/>
      <c r="I306" s="41"/>
      <c r="J306" s="43">
        <v>218</v>
      </c>
      <c r="K306" s="41"/>
      <c r="L306" s="43">
        <v>1</v>
      </c>
      <c r="M306" s="43">
        <v>100</v>
      </c>
      <c r="N306" s="43">
        <v>1</v>
      </c>
      <c r="O306" s="44">
        <v>6196.15</v>
      </c>
      <c r="P306" s="44">
        <v>5078.8100000000004</v>
      </c>
      <c r="Q306" s="44">
        <v>6196.15</v>
      </c>
      <c r="R306" s="44">
        <v>5078.8100000000004</v>
      </c>
      <c r="S306" s="44">
        <v>4956.92</v>
      </c>
      <c r="T306" s="44">
        <v>4063.05</v>
      </c>
      <c r="U306" s="42"/>
      <c r="V306" s="42"/>
      <c r="W306" s="42" t="s">
        <v>40</v>
      </c>
      <c r="X306" s="45">
        <v>0.16700000000000001</v>
      </c>
      <c r="Y306" s="46">
        <v>5.3399999999999997E-4</v>
      </c>
      <c r="Z306" s="21">
        <v>4601004338586</v>
      </c>
    </row>
    <row r="307" spans="1:26" ht="12" customHeight="1" outlineLevel="4" x14ac:dyDescent="0.2">
      <c r="A307" s="40" t="s">
        <v>627</v>
      </c>
      <c r="B307" s="75" t="s">
        <v>628</v>
      </c>
      <c r="C307" s="51"/>
      <c r="D307" s="54">
        <f t="shared" si="4"/>
        <v>0</v>
      </c>
      <c r="E307" s="61" t="str">
        <f>HYPERLINK("https://www.sds-group.ru/product/rozetka-strong-usb-a-type-c-3a-s-funktsiey-bystroy-zaryadki-grafit-kranz-KR-78-0734-6/", "Инфо")</f>
        <v>Инфо</v>
      </c>
      <c r="F307" s="42" t="s">
        <v>39</v>
      </c>
      <c r="G307" s="41" t="s">
        <v>40</v>
      </c>
      <c r="H307" s="41"/>
      <c r="I307" s="41"/>
      <c r="J307" s="43">
        <v>176</v>
      </c>
      <c r="K307" s="41"/>
      <c r="L307" s="43">
        <v>1</v>
      </c>
      <c r="M307" s="43">
        <v>100</v>
      </c>
      <c r="N307" s="43">
        <v>1</v>
      </c>
      <c r="O307" s="44">
        <v>6034.51</v>
      </c>
      <c r="P307" s="44">
        <v>4946.32</v>
      </c>
      <c r="Q307" s="44">
        <v>6034.51</v>
      </c>
      <c r="R307" s="44">
        <v>4946.32</v>
      </c>
      <c r="S307" s="44">
        <v>4827.6099999999997</v>
      </c>
      <c r="T307" s="44">
        <v>3957.06</v>
      </c>
      <c r="U307" s="42"/>
      <c r="V307" s="42"/>
      <c r="W307" s="42" t="s">
        <v>40</v>
      </c>
      <c r="X307" s="45">
        <v>0.16400000000000001</v>
      </c>
      <c r="Y307" s="46">
        <v>5.4600000000000004E-4</v>
      </c>
      <c r="Z307" s="21">
        <v>4601004338609</v>
      </c>
    </row>
    <row r="308" spans="1:26" ht="12" customHeight="1" outlineLevel="4" x14ac:dyDescent="0.2">
      <c r="A308" s="14" t="s">
        <v>629</v>
      </c>
      <c r="B308" s="26" t="s">
        <v>630</v>
      </c>
      <c r="C308" s="52"/>
      <c r="D308" s="55">
        <f t="shared" si="4"/>
        <v>0</v>
      </c>
      <c r="E308" s="63" t="str">
        <f>HYPERLINK("https://www.sds-group.ru/product/rozetka-strong-kompyuternaya-rj45-kat6-tv-s-u-zhemchug-kranz-KR-78-0722-4/", "Инфо")</f>
        <v>Инфо</v>
      </c>
      <c r="F308" s="16" t="s">
        <v>39</v>
      </c>
      <c r="G308" s="15"/>
      <c r="H308" s="15"/>
      <c r="I308" s="15"/>
      <c r="J308" s="17">
        <v>160</v>
      </c>
      <c r="K308" s="15"/>
      <c r="L308" s="17">
        <v>1</v>
      </c>
      <c r="M308" s="17">
        <v>100</v>
      </c>
      <c r="N308" s="17">
        <v>1</v>
      </c>
      <c r="O308" s="18">
        <v>2353.4899999999998</v>
      </c>
      <c r="P308" s="18">
        <v>1929.09</v>
      </c>
      <c r="Q308" s="18">
        <v>2353.4899999999998</v>
      </c>
      <c r="R308" s="18">
        <v>1929.09</v>
      </c>
      <c r="S308" s="18">
        <v>1882.79</v>
      </c>
      <c r="T308" s="18">
        <v>1543.27</v>
      </c>
      <c r="U308" s="16"/>
      <c r="V308" s="16"/>
      <c r="W308" s="16" t="s">
        <v>40</v>
      </c>
      <c r="X308" s="19">
        <v>0.14399999999999999</v>
      </c>
      <c r="Y308" s="20">
        <v>5.22E-4</v>
      </c>
      <c r="Z308" s="21">
        <v>4601004324725</v>
      </c>
    </row>
    <row r="309" spans="1:26" ht="12" customHeight="1" outlineLevel="4" x14ac:dyDescent="0.2">
      <c r="A309" s="14" t="s">
        <v>631</v>
      </c>
      <c r="B309" s="26" t="s">
        <v>632</v>
      </c>
      <c r="C309" s="52"/>
      <c r="D309" s="55">
        <f t="shared" si="4"/>
        <v>0</v>
      </c>
      <c r="E309" s="63" t="str">
        <f>HYPERLINK("https://www.sds-group.ru/product/rozetka-strong-kompyuternaya-rj45-kat6-s-u-antratsit-kranz-KR-78-0724-5/", "Инфо")</f>
        <v>Инфо</v>
      </c>
      <c r="F309" s="16" t="s">
        <v>39</v>
      </c>
      <c r="G309" s="15"/>
      <c r="H309" s="15"/>
      <c r="I309" s="15"/>
      <c r="J309" s="16" t="s">
        <v>100</v>
      </c>
      <c r="K309" s="15"/>
      <c r="L309" s="17">
        <v>1</v>
      </c>
      <c r="M309" s="17">
        <v>100</v>
      </c>
      <c r="N309" s="17">
        <v>1</v>
      </c>
      <c r="O309" s="18">
        <v>2382.91</v>
      </c>
      <c r="P309" s="18">
        <v>1953.2</v>
      </c>
      <c r="Q309" s="18">
        <v>2382.91</v>
      </c>
      <c r="R309" s="18">
        <v>1953.2</v>
      </c>
      <c r="S309" s="18">
        <v>1906.33</v>
      </c>
      <c r="T309" s="18">
        <v>1562.57</v>
      </c>
      <c r="U309" s="16"/>
      <c r="V309" s="16"/>
      <c r="W309" s="16" t="s">
        <v>40</v>
      </c>
      <c r="X309" s="19">
        <v>0.13300000000000001</v>
      </c>
      <c r="Y309" s="20">
        <v>5.2700000000000002E-4</v>
      </c>
      <c r="Z309" s="21">
        <v>4601004324817</v>
      </c>
    </row>
    <row r="310" spans="1:26" ht="12" customHeight="1" outlineLevel="4" x14ac:dyDescent="0.2">
      <c r="A310" s="14" t="s">
        <v>633</v>
      </c>
      <c r="B310" s="26" t="s">
        <v>634</v>
      </c>
      <c r="C310" s="52"/>
      <c r="D310" s="55">
        <f t="shared" si="4"/>
        <v>0</v>
      </c>
      <c r="E310" s="63" t="str">
        <f>HYPERLINK("https://www.sds-group.ru/product/rozetka-strong-kompyuternaya-rj45-kat6-s-u-zhemchug-kranz-KR-78-0724-4/", "Инфо")</f>
        <v>Инфо</v>
      </c>
      <c r="F310" s="16" t="s">
        <v>39</v>
      </c>
      <c r="G310" s="15"/>
      <c r="H310" s="15"/>
      <c r="I310" s="15"/>
      <c r="J310" s="17">
        <v>432</v>
      </c>
      <c r="K310" s="15"/>
      <c r="L310" s="17">
        <v>1</v>
      </c>
      <c r="M310" s="17">
        <v>100</v>
      </c>
      <c r="N310" s="17">
        <v>1</v>
      </c>
      <c r="O310" s="18">
        <v>1968.19</v>
      </c>
      <c r="P310" s="18">
        <v>1613.27</v>
      </c>
      <c r="Q310" s="18">
        <v>1968.19</v>
      </c>
      <c r="R310" s="18">
        <v>1613.27</v>
      </c>
      <c r="S310" s="18">
        <v>1574.55</v>
      </c>
      <c r="T310" s="18">
        <v>1290.6099999999999</v>
      </c>
      <c r="U310" s="16"/>
      <c r="V310" s="16"/>
      <c r="W310" s="16" t="s">
        <v>40</v>
      </c>
      <c r="X310" s="19">
        <v>0.13300000000000001</v>
      </c>
      <c r="Y310" s="20">
        <v>5.31E-4</v>
      </c>
      <c r="Z310" s="21">
        <v>4601004324770</v>
      </c>
    </row>
    <row r="311" spans="1:26" ht="12" customHeight="1" outlineLevel="4" x14ac:dyDescent="0.2">
      <c r="A311" s="40" t="s">
        <v>635</v>
      </c>
      <c r="B311" s="75" t="s">
        <v>636</v>
      </c>
      <c r="C311" s="51"/>
      <c r="D311" s="54">
        <f t="shared" si="4"/>
        <v>0</v>
      </c>
      <c r="E311" s="61" t="str">
        <f>HYPERLINK("https://www.sds-group.ru/product/rozetka-strong-kompyuternaya-rj45-kat6-s-u-shelk-kranz-KR-78-0724-8/", "Инфо")</f>
        <v>Инфо</v>
      </c>
      <c r="F311" s="42" t="s">
        <v>39</v>
      </c>
      <c r="G311" s="41" t="s">
        <v>40</v>
      </c>
      <c r="H311" s="41"/>
      <c r="I311" s="41"/>
      <c r="J311" s="42" t="s">
        <v>100</v>
      </c>
      <c r="K311" s="41" t="s">
        <v>210</v>
      </c>
      <c r="L311" s="43">
        <v>1</v>
      </c>
      <c r="M311" s="43">
        <v>100</v>
      </c>
      <c r="N311" s="43">
        <v>1</v>
      </c>
      <c r="O311" s="44">
        <v>2320.75</v>
      </c>
      <c r="P311" s="44">
        <v>1902.25</v>
      </c>
      <c r="Q311" s="44">
        <v>2320.75</v>
      </c>
      <c r="R311" s="44">
        <v>1902.25</v>
      </c>
      <c r="S311" s="44">
        <v>1856.6</v>
      </c>
      <c r="T311" s="44">
        <v>1521.8</v>
      </c>
      <c r="U311" s="42"/>
      <c r="V311" s="42"/>
      <c r="W311" s="42" t="s">
        <v>40</v>
      </c>
      <c r="X311" s="45">
        <v>0.13200000000000001</v>
      </c>
      <c r="Y311" s="46">
        <v>5.1999999999999995E-4</v>
      </c>
      <c r="Z311" s="21">
        <v>4601004349186</v>
      </c>
    </row>
    <row r="312" spans="1:26" ht="12" customHeight="1" outlineLevel="4" x14ac:dyDescent="0.2">
      <c r="A312" s="40" t="s">
        <v>637</v>
      </c>
      <c r="B312" s="75" t="s">
        <v>638</v>
      </c>
      <c r="C312" s="51"/>
      <c r="D312" s="54">
        <f t="shared" si="4"/>
        <v>0</v>
      </c>
      <c r="E312" s="61" t="str">
        <f>HYPERLINK("https://www.sds-group.ru/product/rozetka-strong-kompyuternaya-dvoynaya-rj45-rj45-kat6-s-u-antratsit-kranz-KR-78-0725-5/", "Инфо")</f>
        <v>Инфо</v>
      </c>
      <c r="F312" s="42" t="s">
        <v>39</v>
      </c>
      <c r="G312" s="41" t="s">
        <v>40</v>
      </c>
      <c r="H312" s="41"/>
      <c r="I312" s="41"/>
      <c r="J312" s="43">
        <v>196</v>
      </c>
      <c r="K312" s="41"/>
      <c r="L312" s="43">
        <v>1</v>
      </c>
      <c r="M312" s="43">
        <v>100</v>
      </c>
      <c r="N312" s="43">
        <v>1</v>
      </c>
      <c r="O312" s="44">
        <v>5475.85</v>
      </c>
      <c r="P312" s="44">
        <v>4488.3999999999996</v>
      </c>
      <c r="Q312" s="44">
        <v>5475.85</v>
      </c>
      <c r="R312" s="44">
        <v>4488.3999999999996</v>
      </c>
      <c r="S312" s="44">
        <v>4380.68</v>
      </c>
      <c r="T312" s="44">
        <v>3590.72</v>
      </c>
      <c r="U312" s="42"/>
      <c r="V312" s="42"/>
      <c r="W312" s="42" t="s">
        <v>40</v>
      </c>
      <c r="X312" s="45">
        <v>0.14000000000000001</v>
      </c>
      <c r="Y312" s="46">
        <v>5.3200000000000003E-4</v>
      </c>
      <c r="Z312" s="21">
        <v>4601004324619</v>
      </c>
    </row>
    <row r="313" spans="1:26" ht="12" customHeight="1" outlineLevel="4" x14ac:dyDescent="0.2">
      <c r="A313" s="40" t="s">
        <v>639</v>
      </c>
      <c r="B313" s="75" t="s">
        <v>640</v>
      </c>
      <c r="C313" s="51"/>
      <c r="D313" s="54">
        <f t="shared" si="4"/>
        <v>0</v>
      </c>
      <c r="E313" s="61" t="str">
        <f>HYPERLINK("https://www.sds-group.ru/product/rozetka-strong-kompyuternaya-dvoynaya-rj45-rj45-kat6-s-u-zhemchug-kranz-KR-78-0725-4/", "Инфо")</f>
        <v>Инфо</v>
      </c>
      <c r="F313" s="42" t="s">
        <v>39</v>
      </c>
      <c r="G313" s="41" t="s">
        <v>40</v>
      </c>
      <c r="H313" s="41"/>
      <c r="I313" s="41"/>
      <c r="J313" s="43">
        <v>100</v>
      </c>
      <c r="K313" s="41"/>
      <c r="L313" s="43">
        <v>1</v>
      </c>
      <c r="M313" s="43">
        <v>100</v>
      </c>
      <c r="N313" s="43">
        <v>1</v>
      </c>
      <c r="O313" s="44">
        <v>4570.8599999999997</v>
      </c>
      <c r="P313" s="44">
        <v>3746.61</v>
      </c>
      <c r="Q313" s="44">
        <v>4570.8599999999997</v>
      </c>
      <c r="R313" s="44">
        <v>3746.61</v>
      </c>
      <c r="S313" s="44">
        <v>3656.69</v>
      </c>
      <c r="T313" s="44">
        <v>2997.29</v>
      </c>
      <c r="U313" s="42"/>
      <c r="V313" s="42"/>
      <c r="W313" s="42" t="s">
        <v>40</v>
      </c>
      <c r="X313" s="45">
        <v>0.13900000000000001</v>
      </c>
      <c r="Y313" s="46">
        <v>5.2899999999999996E-4</v>
      </c>
      <c r="Z313" s="21">
        <v>4601004324633</v>
      </c>
    </row>
    <row r="314" spans="1:26" ht="12" customHeight="1" outlineLevel="4" x14ac:dyDescent="0.2">
      <c r="A314" s="14" t="s">
        <v>641</v>
      </c>
      <c r="B314" s="26" t="s">
        <v>642</v>
      </c>
      <c r="C314" s="52"/>
      <c r="D314" s="55">
        <f t="shared" si="4"/>
        <v>0</v>
      </c>
      <c r="E314" s="63" t="str">
        <f>HYPERLINK("https://www.sds-group.ru/product/svetoregulyator-strong-dimmer-300vt-s-u-antratsit-kranz-KR-78-0732-5/", "Инфо")</f>
        <v>Инфо</v>
      </c>
      <c r="F314" s="16" t="s">
        <v>39</v>
      </c>
      <c r="G314" s="15"/>
      <c r="H314" s="15"/>
      <c r="I314" s="15"/>
      <c r="J314" s="17">
        <v>229</v>
      </c>
      <c r="K314" s="15"/>
      <c r="L314" s="17">
        <v>1</v>
      </c>
      <c r="M314" s="17">
        <v>80</v>
      </c>
      <c r="N314" s="17">
        <v>1</v>
      </c>
      <c r="O314" s="18">
        <v>5184.5</v>
      </c>
      <c r="P314" s="18">
        <v>4249.59</v>
      </c>
      <c r="Q314" s="18">
        <v>5184.5</v>
      </c>
      <c r="R314" s="18">
        <v>4249.59</v>
      </c>
      <c r="S314" s="18">
        <v>4147.6000000000004</v>
      </c>
      <c r="T314" s="18">
        <v>3399.67</v>
      </c>
      <c r="U314" s="16"/>
      <c r="V314" s="16"/>
      <c r="W314" s="16" t="s">
        <v>40</v>
      </c>
      <c r="X314" s="19">
        <v>0.17100000000000001</v>
      </c>
      <c r="Y314" s="20">
        <v>6.7699999999999998E-4</v>
      </c>
      <c r="Z314" s="21">
        <v>4601004327979</v>
      </c>
    </row>
    <row r="315" spans="1:26" ht="12" customHeight="1" outlineLevel="4" x14ac:dyDescent="0.2">
      <c r="A315" s="14" t="s">
        <v>643</v>
      </c>
      <c r="B315" s="26" t="s">
        <v>644</v>
      </c>
      <c r="C315" s="52"/>
      <c r="D315" s="55">
        <f t="shared" si="4"/>
        <v>0</v>
      </c>
      <c r="E315" s="63" t="str">
        <f>HYPERLINK("https://www.sds-group.ru/product/svetoregulyator-strong-dimmer-300vt-s-u-grafit-kranz-KR-78-0732-6/", "Инфо")</f>
        <v>Инфо</v>
      </c>
      <c r="F315" s="16" t="s">
        <v>39</v>
      </c>
      <c r="G315" s="15"/>
      <c r="H315" s="15"/>
      <c r="I315" s="15"/>
      <c r="J315" s="17">
        <v>154</v>
      </c>
      <c r="K315" s="15"/>
      <c r="L315" s="17">
        <v>1</v>
      </c>
      <c r="M315" s="17">
        <v>80</v>
      </c>
      <c r="N315" s="17">
        <v>1</v>
      </c>
      <c r="O315" s="18">
        <v>5323.37</v>
      </c>
      <c r="P315" s="18">
        <v>4363.42</v>
      </c>
      <c r="Q315" s="18">
        <v>5323.37</v>
      </c>
      <c r="R315" s="18">
        <v>4363.42</v>
      </c>
      <c r="S315" s="18">
        <v>4258.7</v>
      </c>
      <c r="T315" s="18">
        <v>3490.74</v>
      </c>
      <c r="U315" s="16"/>
      <c r="V315" s="16"/>
      <c r="W315" s="16" t="s">
        <v>40</v>
      </c>
      <c r="X315" s="19">
        <v>0.161</v>
      </c>
      <c r="Y315" s="20">
        <v>6.5099999999999999E-4</v>
      </c>
      <c r="Z315" s="21">
        <v>4601004327993</v>
      </c>
    </row>
    <row r="316" spans="1:26" ht="12" customHeight="1" outlineLevel="4" x14ac:dyDescent="0.2">
      <c r="A316" s="14" t="s">
        <v>645</v>
      </c>
      <c r="B316" s="26" t="s">
        <v>646</v>
      </c>
      <c r="C316" s="52"/>
      <c r="D316" s="55">
        <f t="shared" si="4"/>
        <v>0</v>
      </c>
      <c r="E316" s="63" t="str">
        <f>HYPERLINK("https://www.sds-group.ru/product/svetoregulyator-strong-dimmer-300vt-s-u-zhemchug-kranz-KR-78-0732-4/", "Инфо")</f>
        <v>Инфо</v>
      </c>
      <c r="F316" s="16" t="s">
        <v>39</v>
      </c>
      <c r="G316" s="15"/>
      <c r="H316" s="15"/>
      <c r="I316" s="15"/>
      <c r="J316" s="17">
        <v>278</v>
      </c>
      <c r="K316" s="15"/>
      <c r="L316" s="17">
        <v>1</v>
      </c>
      <c r="M316" s="17">
        <v>80</v>
      </c>
      <c r="N316" s="17">
        <v>1</v>
      </c>
      <c r="O316" s="18">
        <v>4801.45</v>
      </c>
      <c r="P316" s="18">
        <v>3935.61</v>
      </c>
      <c r="Q316" s="18">
        <v>4801.45</v>
      </c>
      <c r="R316" s="18">
        <v>3935.61</v>
      </c>
      <c r="S316" s="18">
        <v>3841.16</v>
      </c>
      <c r="T316" s="18">
        <v>3148.49</v>
      </c>
      <c r="U316" s="16"/>
      <c r="V316" s="16"/>
      <c r="W316" s="16" t="s">
        <v>40</v>
      </c>
      <c r="X316" s="19">
        <v>0.17599999999999999</v>
      </c>
      <c r="Y316" s="20">
        <v>6.5099999999999999E-4</v>
      </c>
      <c r="Z316" s="21">
        <v>4601004327955</v>
      </c>
    </row>
    <row r="317" spans="1:26" ht="12" customHeight="1" outlineLevel="4" x14ac:dyDescent="0.2">
      <c r="A317" s="40" t="s">
        <v>647</v>
      </c>
      <c r="B317" s="75" t="s">
        <v>648</v>
      </c>
      <c r="C317" s="51"/>
      <c r="D317" s="54">
        <f t="shared" si="4"/>
        <v>0</v>
      </c>
      <c r="E317" s="61" t="str">
        <f>HYPERLINK("https://www.sds-group.ru/product/svetoregulyator-strong-dimmer-300vt-s-u-shelk-kranz-KR-78-0732-8/", "Инфо")</f>
        <v>Инфо</v>
      </c>
      <c r="F317" s="42" t="s">
        <v>39</v>
      </c>
      <c r="G317" s="41" t="s">
        <v>40</v>
      </c>
      <c r="H317" s="41"/>
      <c r="I317" s="41"/>
      <c r="J317" s="42" t="s">
        <v>100</v>
      </c>
      <c r="K317" s="41" t="s">
        <v>210</v>
      </c>
      <c r="L317" s="43">
        <v>1</v>
      </c>
      <c r="M317" s="43">
        <v>80</v>
      </c>
      <c r="N317" s="43">
        <v>1</v>
      </c>
      <c r="O317" s="44">
        <v>5184.5</v>
      </c>
      <c r="P317" s="44">
        <v>4249.59</v>
      </c>
      <c r="Q317" s="44">
        <v>5184.5</v>
      </c>
      <c r="R317" s="44">
        <v>4249.59</v>
      </c>
      <c r="S317" s="44">
        <v>4147.6000000000004</v>
      </c>
      <c r="T317" s="44">
        <v>3399.67</v>
      </c>
      <c r="U317" s="42"/>
      <c r="V317" s="42"/>
      <c r="W317" s="42" t="s">
        <v>40</v>
      </c>
      <c r="X317" s="45">
        <v>0.17100000000000001</v>
      </c>
      <c r="Y317" s="46">
        <v>6.5799999999999995E-4</v>
      </c>
      <c r="Z317" s="21">
        <v>4601004349582</v>
      </c>
    </row>
    <row r="318" spans="1:26" ht="12" customHeight="1" outlineLevel="4" x14ac:dyDescent="0.2">
      <c r="A318" s="14" t="s">
        <v>649</v>
      </c>
      <c r="B318" s="26" t="s">
        <v>650</v>
      </c>
      <c r="C318" s="52"/>
      <c r="D318" s="55">
        <f t="shared" si="4"/>
        <v>0</v>
      </c>
      <c r="E318" s="63" t="str">
        <f>HYPERLINK("https://www.sds-group.ru/product/termoregulyator-strong-wi-fi-s-u-antratsit-kranz-KR-78-0728-5/", "Инфо")</f>
        <v>Инфо</v>
      </c>
      <c r="F318" s="16" t="s">
        <v>39</v>
      </c>
      <c r="G318" s="15"/>
      <c r="H318" s="15"/>
      <c r="I318" s="15"/>
      <c r="J318" s="17">
        <v>67</v>
      </c>
      <c r="K318" s="15" t="s">
        <v>476</v>
      </c>
      <c r="L318" s="17">
        <v>1</v>
      </c>
      <c r="M318" s="17">
        <v>60</v>
      </c>
      <c r="N318" s="17">
        <v>1</v>
      </c>
      <c r="O318" s="18">
        <v>18119</v>
      </c>
      <c r="P318" s="18">
        <v>14851.64</v>
      </c>
      <c r="Q318" s="18">
        <v>18119</v>
      </c>
      <c r="R318" s="18">
        <v>14851.64</v>
      </c>
      <c r="S318" s="18">
        <v>14495.2</v>
      </c>
      <c r="T318" s="18">
        <v>11881.31</v>
      </c>
      <c r="U318" s="16"/>
      <c r="V318" s="16"/>
      <c r="W318" s="16" t="s">
        <v>40</v>
      </c>
      <c r="X318" s="19">
        <v>0.27900000000000003</v>
      </c>
      <c r="Y318" s="20">
        <v>9.0200000000000002E-4</v>
      </c>
      <c r="Z318" s="21">
        <v>4601004325036</v>
      </c>
    </row>
    <row r="319" spans="1:26" ht="12" customHeight="1" outlineLevel="4" x14ac:dyDescent="0.2">
      <c r="A319" s="14" t="s">
        <v>651</v>
      </c>
      <c r="B319" s="26" t="s">
        <v>652</v>
      </c>
      <c r="C319" s="52"/>
      <c r="D319" s="55">
        <f t="shared" si="4"/>
        <v>0</v>
      </c>
      <c r="E319" s="63" t="str">
        <f>HYPERLINK("https://www.sds-group.ru/product/termoregulyator-strong-wi-fi-s-u-grafit-kranz-KR-78-0728-6/", "Инфо")</f>
        <v>Инфо</v>
      </c>
      <c r="F319" s="16" t="s">
        <v>39</v>
      </c>
      <c r="G319" s="15"/>
      <c r="H319" s="15"/>
      <c r="I319" s="15"/>
      <c r="J319" s="17">
        <v>70</v>
      </c>
      <c r="K319" s="15" t="s">
        <v>476</v>
      </c>
      <c r="L319" s="17">
        <v>1</v>
      </c>
      <c r="M319" s="17">
        <v>60</v>
      </c>
      <c r="N319" s="17">
        <v>1</v>
      </c>
      <c r="O319" s="18">
        <v>18282.240000000002</v>
      </c>
      <c r="P319" s="18">
        <v>14985.44</v>
      </c>
      <c r="Q319" s="18">
        <v>18282.240000000002</v>
      </c>
      <c r="R319" s="18">
        <v>14985.44</v>
      </c>
      <c r="S319" s="18">
        <v>14625.79</v>
      </c>
      <c r="T319" s="18">
        <v>11988.35</v>
      </c>
      <c r="U319" s="16"/>
      <c r="V319" s="16"/>
      <c r="W319" s="16" t="s">
        <v>40</v>
      </c>
      <c r="X319" s="19">
        <v>0.27900000000000003</v>
      </c>
      <c r="Y319" s="20">
        <v>8.9599999999999999E-4</v>
      </c>
      <c r="Z319" s="21">
        <v>4601004325005</v>
      </c>
    </row>
    <row r="320" spans="1:26" ht="12" customHeight="1" outlineLevel="4" x14ac:dyDescent="0.2">
      <c r="A320" s="14" t="s">
        <v>653</v>
      </c>
      <c r="B320" s="26" t="s">
        <v>654</v>
      </c>
      <c r="C320" s="52"/>
      <c r="D320" s="55">
        <f t="shared" si="4"/>
        <v>0</v>
      </c>
      <c r="E320" s="63" t="str">
        <f>HYPERLINK("https://www.sds-group.ru/product/termoregulyator-strong-wi-fi-s-u-zhemchug-kranz-KR-78-0728-4/", "Инфо")</f>
        <v>Инфо</v>
      </c>
      <c r="F320" s="16" t="s">
        <v>39</v>
      </c>
      <c r="G320" s="15"/>
      <c r="H320" s="15"/>
      <c r="I320" s="15"/>
      <c r="J320" s="17">
        <v>170</v>
      </c>
      <c r="K320" s="15"/>
      <c r="L320" s="17">
        <v>1</v>
      </c>
      <c r="M320" s="17">
        <v>60</v>
      </c>
      <c r="N320" s="17">
        <v>1</v>
      </c>
      <c r="O320" s="18">
        <v>15099.19</v>
      </c>
      <c r="P320" s="18">
        <v>12376.39</v>
      </c>
      <c r="Q320" s="18">
        <v>15099.19</v>
      </c>
      <c r="R320" s="18">
        <v>12376.39</v>
      </c>
      <c r="S320" s="18">
        <v>12079.35</v>
      </c>
      <c r="T320" s="18">
        <v>9901.11</v>
      </c>
      <c r="U320" s="16"/>
      <c r="V320" s="16"/>
      <c r="W320" s="16" t="s">
        <v>40</v>
      </c>
      <c r="X320" s="19">
        <v>0.28000000000000003</v>
      </c>
      <c r="Y320" s="20">
        <v>9.0600000000000001E-4</v>
      </c>
      <c r="Z320" s="21">
        <v>4601004325012</v>
      </c>
    </row>
    <row r="321" spans="1:26" ht="12" customHeight="1" outlineLevel="4" x14ac:dyDescent="0.2">
      <c r="A321" s="40" t="s">
        <v>655</v>
      </c>
      <c r="B321" s="75" t="s">
        <v>656</v>
      </c>
      <c r="C321" s="51"/>
      <c r="D321" s="54">
        <f t="shared" si="4"/>
        <v>0</v>
      </c>
      <c r="E321" s="61" t="str">
        <f>HYPERLINK("https://www.sds-group.ru/product/termoregulyator-strong-wi-fi-s-u-shelk-kranz-KR-78-0728-8/", "Инфо")</f>
        <v>Инфо</v>
      </c>
      <c r="F321" s="42" t="s">
        <v>39</v>
      </c>
      <c r="G321" s="41" t="s">
        <v>40</v>
      </c>
      <c r="H321" s="41"/>
      <c r="I321" s="41"/>
      <c r="J321" s="43">
        <v>99</v>
      </c>
      <c r="K321" s="41" t="s">
        <v>210</v>
      </c>
      <c r="L321" s="43">
        <v>1</v>
      </c>
      <c r="M321" s="43">
        <v>60</v>
      </c>
      <c r="N321" s="43">
        <v>1</v>
      </c>
      <c r="O321" s="44">
        <v>18119</v>
      </c>
      <c r="P321" s="44">
        <v>14851.64</v>
      </c>
      <c r="Q321" s="44">
        <v>18119</v>
      </c>
      <c r="R321" s="44">
        <v>14851.64</v>
      </c>
      <c r="S321" s="44">
        <v>14495.2</v>
      </c>
      <c r="T321" s="44">
        <v>11881.31</v>
      </c>
      <c r="U321" s="42"/>
      <c r="V321" s="42"/>
      <c r="W321" s="42" t="s">
        <v>40</v>
      </c>
      <c r="X321" s="45">
        <v>0.28199999999999997</v>
      </c>
      <c r="Y321" s="46">
        <v>8.8599999999999996E-4</v>
      </c>
      <c r="Z321" s="21">
        <v>4601004349643</v>
      </c>
    </row>
    <row r="322" spans="1:26" ht="12.95" customHeight="1" outlineLevel="3" x14ac:dyDescent="0.2">
      <c r="A322" s="76" t="s">
        <v>657</v>
      </c>
      <c r="B322" s="76"/>
      <c r="C322" s="77"/>
      <c r="D322" s="58"/>
      <c r="E322" s="68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</row>
    <row r="323" spans="1:26" ht="12" customHeight="1" outlineLevel="4" x14ac:dyDescent="0.2">
      <c r="A323" s="40" t="s">
        <v>658</v>
      </c>
      <c r="B323" s="75" t="s">
        <v>659</v>
      </c>
      <c r="C323" s="51"/>
      <c r="D323" s="54">
        <f t="shared" si="4"/>
        <v>0</v>
      </c>
      <c r="E323" s="62"/>
      <c r="F323" s="42" t="s">
        <v>39</v>
      </c>
      <c r="G323" s="41" t="s">
        <v>40</v>
      </c>
      <c r="H323" s="41"/>
      <c r="I323" s="41"/>
      <c r="J323" s="43">
        <v>336</v>
      </c>
      <c r="K323" s="41"/>
      <c r="L323" s="43">
        <v>1</v>
      </c>
      <c r="M323" s="43">
        <v>100</v>
      </c>
      <c r="N323" s="43">
        <v>1</v>
      </c>
      <c r="O323" s="44">
        <v>872.77</v>
      </c>
      <c r="P323" s="44">
        <v>715.39</v>
      </c>
      <c r="Q323" s="44">
        <v>872.77</v>
      </c>
      <c r="R323" s="44">
        <v>715.39</v>
      </c>
      <c r="S323" s="44">
        <v>698.22</v>
      </c>
      <c r="T323" s="44">
        <v>572.30999999999995</v>
      </c>
      <c r="U323" s="42"/>
      <c r="V323" s="42"/>
      <c r="W323" s="42" t="s">
        <v>40</v>
      </c>
      <c r="X323" s="45">
        <v>0.14899999999999999</v>
      </c>
      <c r="Y323" s="46">
        <v>5.3600000000000002E-4</v>
      </c>
      <c r="Z323" s="21">
        <v>4601004346215</v>
      </c>
    </row>
    <row r="324" spans="1:26" ht="12" customHeight="1" outlineLevel="4" x14ac:dyDescent="0.2">
      <c r="A324" s="40" t="s">
        <v>660</v>
      </c>
      <c r="B324" s="75" t="s">
        <v>661</v>
      </c>
      <c r="C324" s="51"/>
      <c r="D324" s="54">
        <f t="shared" si="4"/>
        <v>0</v>
      </c>
      <c r="E324" s="62"/>
      <c r="F324" s="42" t="s">
        <v>39</v>
      </c>
      <c r="G324" s="41" t="s">
        <v>40</v>
      </c>
      <c r="H324" s="41"/>
      <c r="I324" s="41"/>
      <c r="J324" s="43">
        <v>236</v>
      </c>
      <c r="K324" s="41" t="s">
        <v>662</v>
      </c>
      <c r="L324" s="43">
        <v>1</v>
      </c>
      <c r="M324" s="43">
        <v>100</v>
      </c>
      <c r="N324" s="43">
        <v>1</v>
      </c>
      <c r="O324" s="44">
        <v>850</v>
      </c>
      <c r="P324" s="44">
        <v>696.72</v>
      </c>
      <c r="Q324" s="44">
        <v>850</v>
      </c>
      <c r="R324" s="44">
        <v>696.72</v>
      </c>
      <c r="S324" s="44">
        <v>680</v>
      </c>
      <c r="T324" s="44">
        <v>557.38</v>
      </c>
      <c r="U324" s="42"/>
      <c r="V324" s="42"/>
      <c r="W324" s="42" t="s">
        <v>40</v>
      </c>
      <c r="X324" s="45">
        <v>0.14899999999999999</v>
      </c>
      <c r="Y324" s="46">
        <v>5.3200000000000003E-4</v>
      </c>
      <c r="Z324" s="21">
        <v>4601004346178</v>
      </c>
    </row>
    <row r="325" spans="1:26" ht="12" customHeight="1" outlineLevel="4" x14ac:dyDescent="0.2">
      <c r="A325" s="40" t="s">
        <v>663</v>
      </c>
      <c r="B325" s="75" t="s">
        <v>664</v>
      </c>
      <c r="C325" s="51"/>
      <c r="D325" s="54">
        <f t="shared" si="4"/>
        <v>0</v>
      </c>
      <c r="E325" s="62"/>
      <c r="F325" s="42" t="s">
        <v>39</v>
      </c>
      <c r="G325" s="41" t="s">
        <v>40</v>
      </c>
      <c r="H325" s="41"/>
      <c r="I325" s="41"/>
      <c r="J325" s="43">
        <v>430</v>
      </c>
      <c r="K325" s="41"/>
      <c r="L325" s="43">
        <v>1</v>
      </c>
      <c r="M325" s="43">
        <v>100</v>
      </c>
      <c r="N325" s="43">
        <v>1</v>
      </c>
      <c r="O325" s="44">
        <v>727.72</v>
      </c>
      <c r="P325" s="44">
        <v>596.49</v>
      </c>
      <c r="Q325" s="44">
        <v>727.72</v>
      </c>
      <c r="R325" s="44">
        <v>596.49</v>
      </c>
      <c r="S325" s="44">
        <v>582.17999999999995</v>
      </c>
      <c r="T325" s="44">
        <v>477.2</v>
      </c>
      <c r="U325" s="42"/>
      <c r="V325" s="42"/>
      <c r="W325" s="42" t="s">
        <v>40</v>
      </c>
      <c r="X325" s="45">
        <v>0.14899999999999999</v>
      </c>
      <c r="Y325" s="46">
        <v>5.3200000000000003E-4</v>
      </c>
      <c r="Z325" s="21">
        <v>4601004346154</v>
      </c>
    </row>
    <row r="326" spans="1:26" ht="12" customHeight="1" outlineLevel="4" x14ac:dyDescent="0.2">
      <c r="A326" s="40" t="s">
        <v>665</v>
      </c>
      <c r="B326" s="75" t="s">
        <v>666</v>
      </c>
      <c r="C326" s="51"/>
      <c r="D326" s="54">
        <f t="shared" si="4"/>
        <v>0</v>
      </c>
      <c r="E326" s="62"/>
      <c r="F326" s="42" t="s">
        <v>39</v>
      </c>
      <c r="G326" s="41" t="s">
        <v>40</v>
      </c>
      <c r="H326" s="41"/>
      <c r="I326" s="41"/>
      <c r="J326" s="43">
        <v>428</v>
      </c>
      <c r="K326" s="41"/>
      <c r="L326" s="43">
        <v>1</v>
      </c>
      <c r="M326" s="43">
        <v>100</v>
      </c>
      <c r="N326" s="43">
        <v>1</v>
      </c>
      <c r="O326" s="44">
        <v>850</v>
      </c>
      <c r="P326" s="44">
        <v>696.72</v>
      </c>
      <c r="Q326" s="44">
        <v>850</v>
      </c>
      <c r="R326" s="44">
        <v>696.72</v>
      </c>
      <c r="S326" s="44">
        <v>680</v>
      </c>
      <c r="T326" s="44">
        <v>557.38</v>
      </c>
      <c r="U326" s="42"/>
      <c r="V326" s="42"/>
      <c r="W326" s="42" t="s">
        <v>40</v>
      </c>
      <c r="X326" s="45">
        <v>0.14899999999999999</v>
      </c>
      <c r="Y326" s="46">
        <v>5.2599999999999999E-4</v>
      </c>
      <c r="Z326" s="21">
        <v>4601004346192</v>
      </c>
    </row>
    <row r="327" spans="1:26" ht="12" customHeight="1" outlineLevel="4" x14ac:dyDescent="0.2">
      <c r="A327" s="40" t="s">
        <v>667</v>
      </c>
      <c r="B327" s="75" t="s">
        <v>668</v>
      </c>
      <c r="C327" s="51"/>
      <c r="D327" s="54">
        <f t="shared" si="4"/>
        <v>0</v>
      </c>
      <c r="E327" s="62"/>
      <c r="F327" s="42" t="s">
        <v>39</v>
      </c>
      <c r="G327" s="41" t="s">
        <v>40</v>
      </c>
      <c r="H327" s="41"/>
      <c r="I327" s="41"/>
      <c r="J327" s="47">
        <v>3242</v>
      </c>
      <c r="K327" s="41" t="s">
        <v>662</v>
      </c>
      <c r="L327" s="43">
        <v>1</v>
      </c>
      <c r="M327" s="43">
        <v>100</v>
      </c>
      <c r="N327" s="43">
        <v>1</v>
      </c>
      <c r="O327" s="44">
        <v>917.88</v>
      </c>
      <c r="P327" s="44">
        <v>752.36</v>
      </c>
      <c r="Q327" s="44">
        <v>917.88</v>
      </c>
      <c r="R327" s="44">
        <v>752.36</v>
      </c>
      <c r="S327" s="44">
        <v>734.3</v>
      </c>
      <c r="T327" s="44">
        <v>601.89</v>
      </c>
      <c r="U327" s="42"/>
      <c r="V327" s="42"/>
      <c r="W327" s="42" t="s">
        <v>40</v>
      </c>
      <c r="X327" s="45">
        <v>0.17</v>
      </c>
      <c r="Y327" s="46">
        <v>5.2499999999999997E-4</v>
      </c>
      <c r="Z327" s="21">
        <v>4601004346253</v>
      </c>
    </row>
    <row r="328" spans="1:26" ht="12" customHeight="1" outlineLevel="4" x14ac:dyDescent="0.2">
      <c r="A328" s="40" t="s">
        <v>669</v>
      </c>
      <c r="B328" s="75" t="s">
        <v>670</v>
      </c>
      <c r="C328" s="51"/>
      <c r="D328" s="54">
        <f t="shared" si="4"/>
        <v>0</v>
      </c>
      <c r="E328" s="62"/>
      <c r="F328" s="42" t="s">
        <v>39</v>
      </c>
      <c r="G328" s="41" t="s">
        <v>40</v>
      </c>
      <c r="H328" s="41"/>
      <c r="I328" s="41"/>
      <c r="J328" s="47">
        <v>3374</v>
      </c>
      <c r="K328" s="41" t="s">
        <v>662</v>
      </c>
      <c r="L328" s="43">
        <v>1</v>
      </c>
      <c r="M328" s="43">
        <v>100</v>
      </c>
      <c r="N328" s="43">
        <v>1</v>
      </c>
      <c r="O328" s="44">
        <v>909.72</v>
      </c>
      <c r="P328" s="44">
        <v>745.67</v>
      </c>
      <c r="Q328" s="44">
        <v>909.72</v>
      </c>
      <c r="R328" s="44">
        <v>745.67</v>
      </c>
      <c r="S328" s="44">
        <v>727.78</v>
      </c>
      <c r="T328" s="44">
        <v>596.54</v>
      </c>
      <c r="U328" s="42"/>
      <c r="V328" s="42"/>
      <c r="W328" s="42" t="s">
        <v>40</v>
      </c>
      <c r="X328" s="45">
        <v>0.17</v>
      </c>
      <c r="Y328" s="46">
        <v>5.2599999999999999E-4</v>
      </c>
      <c r="Z328" s="21">
        <v>4601004346291</v>
      </c>
    </row>
    <row r="329" spans="1:26" ht="12" customHeight="1" outlineLevel="4" x14ac:dyDescent="0.2">
      <c r="A329" s="40" t="s">
        <v>671</v>
      </c>
      <c r="B329" s="75" t="s">
        <v>672</v>
      </c>
      <c r="C329" s="51"/>
      <c r="D329" s="54">
        <f t="shared" ref="D329:D392" si="5">C329*(O329-O329*$G$3)</f>
        <v>0</v>
      </c>
      <c r="E329" s="62"/>
      <c r="F329" s="42" t="s">
        <v>39</v>
      </c>
      <c r="G329" s="41" t="s">
        <v>40</v>
      </c>
      <c r="H329" s="41"/>
      <c r="I329" s="41"/>
      <c r="J329" s="47">
        <v>3470</v>
      </c>
      <c r="K329" s="41" t="s">
        <v>662</v>
      </c>
      <c r="L329" s="43">
        <v>1</v>
      </c>
      <c r="M329" s="43">
        <v>100</v>
      </c>
      <c r="N329" s="43">
        <v>1</v>
      </c>
      <c r="O329" s="44">
        <v>744.58</v>
      </c>
      <c r="P329" s="44">
        <v>610.30999999999995</v>
      </c>
      <c r="Q329" s="44">
        <v>744.58</v>
      </c>
      <c r="R329" s="44">
        <v>610.30999999999995</v>
      </c>
      <c r="S329" s="44">
        <v>595.66</v>
      </c>
      <c r="T329" s="44">
        <v>488.25</v>
      </c>
      <c r="U329" s="42"/>
      <c r="V329" s="42"/>
      <c r="W329" s="42" t="s">
        <v>40</v>
      </c>
      <c r="X329" s="45">
        <v>0.17</v>
      </c>
      <c r="Y329" s="46">
        <v>5.31E-4</v>
      </c>
      <c r="Z329" s="21">
        <v>4601004346314</v>
      </c>
    </row>
    <row r="330" spans="1:26" ht="12" customHeight="1" outlineLevel="4" x14ac:dyDescent="0.2">
      <c r="A330" s="40" t="s">
        <v>673</v>
      </c>
      <c r="B330" s="75" t="s">
        <v>674</v>
      </c>
      <c r="C330" s="51"/>
      <c r="D330" s="54">
        <f t="shared" si="5"/>
        <v>0</v>
      </c>
      <c r="E330" s="62"/>
      <c r="F330" s="42" t="s">
        <v>39</v>
      </c>
      <c r="G330" s="41" t="s">
        <v>40</v>
      </c>
      <c r="H330" s="41"/>
      <c r="I330" s="41"/>
      <c r="J330" s="47">
        <v>3072</v>
      </c>
      <c r="K330" s="41" t="s">
        <v>662</v>
      </c>
      <c r="L330" s="43">
        <v>1</v>
      </c>
      <c r="M330" s="43">
        <v>100</v>
      </c>
      <c r="N330" s="43">
        <v>1</v>
      </c>
      <c r="O330" s="44">
        <v>909.72</v>
      </c>
      <c r="P330" s="44">
        <v>745.67</v>
      </c>
      <c r="Q330" s="44">
        <v>909.72</v>
      </c>
      <c r="R330" s="44">
        <v>745.67</v>
      </c>
      <c r="S330" s="44">
        <v>727.78</v>
      </c>
      <c r="T330" s="44">
        <v>596.54</v>
      </c>
      <c r="U330" s="42"/>
      <c r="V330" s="42"/>
      <c r="W330" s="42" t="s">
        <v>40</v>
      </c>
      <c r="X330" s="45">
        <v>0.17</v>
      </c>
      <c r="Y330" s="46">
        <v>5.2800000000000004E-4</v>
      </c>
      <c r="Z330" s="21">
        <v>4601004346277</v>
      </c>
    </row>
    <row r="331" spans="1:26" ht="12" customHeight="1" outlineLevel="4" x14ac:dyDescent="0.2">
      <c r="A331" s="40" t="s">
        <v>675</v>
      </c>
      <c r="B331" s="75" t="s">
        <v>676</v>
      </c>
      <c r="C331" s="51"/>
      <c r="D331" s="54">
        <f t="shared" si="5"/>
        <v>0</v>
      </c>
      <c r="E331" s="62"/>
      <c r="F331" s="42" t="s">
        <v>39</v>
      </c>
      <c r="G331" s="41" t="s">
        <v>40</v>
      </c>
      <c r="H331" s="41"/>
      <c r="I331" s="41"/>
      <c r="J331" s="43">
        <v>372</v>
      </c>
      <c r="K331" s="41"/>
      <c r="L331" s="43">
        <v>1</v>
      </c>
      <c r="M331" s="43">
        <v>100</v>
      </c>
      <c r="N331" s="43">
        <v>1</v>
      </c>
      <c r="O331" s="44">
        <v>1441.28</v>
      </c>
      <c r="P331" s="44">
        <v>1181.3800000000001</v>
      </c>
      <c r="Q331" s="44">
        <v>1441.28</v>
      </c>
      <c r="R331" s="44">
        <v>1181.3800000000001</v>
      </c>
      <c r="S331" s="44">
        <v>1153.02</v>
      </c>
      <c r="T331" s="44">
        <v>945.1</v>
      </c>
      <c r="U331" s="42"/>
      <c r="V331" s="42"/>
      <c r="W331" s="42" t="s">
        <v>40</v>
      </c>
      <c r="X331" s="45">
        <v>0.17</v>
      </c>
      <c r="Y331" s="46">
        <v>5.2300000000000003E-4</v>
      </c>
      <c r="Z331" s="21">
        <v>4601004346338</v>
      </c>
    </row>
    <row r="332" spans="1:26" ht="12" customHeight="1" outlineLevel="4" x14ac:dyDescent="0.2">
      <c r="A332" s="40" t="s">
        <v>677</v>
      </c>
      <c r="B332" s="75" t="s">
        <v>678</v>
      </c>
      <c r="C332" s="51"/>
      <c r="D332" s="54">
        <f t="shared" si="5"/>
        <v>0</v>
      </c>
      <c r="E332" s="62"/>
      <c r="F332" s="42" t="s">
        <v>39</v>
      </c>
      <c r="G332" s="41" t="s">
        <v>40</v>
      </c>
      <c r="H332" s="41"/>
      <c r="I332" s="41"/>
      <c r="J332" s="43">
        <v>370</v>
      </c>
      <c r="K332" s="41"/>
      <c r="L332" s="43">
        <v>1</v>
      </c>
      <c r="M332" s="43">
        <v>100</v>
      </c>
      <c r="N332" s="43">
        <v>1</v>
      </c>
      <c r="O332" s="44">
        <v>1436.08</v>
      </c>
      <c r="P332" s="44">
        <v>1177.1099999999999</v>
      </c>
      <c r="Q332" s="44">
        <v>1436.08</v>
      </c>
      <c r="R332" s="44">
        <v>1177.1099999999999</v>
      </c>
      <c r="S332" s="44">
        <v>1148.8599999999999</v>
      </c>
      <c r="T332" s="44">
        <v>941.69</v>
      </c>
      <c r="U332" s="42"/>
      <c r="V332" s="42"/>
      <c r="W332" s="42" t="s">
        <v>40</v>
      </c>
      <c r="X332" s="45">
        <v>0.17</v>
      </c>
      <c r="Y332" s="46">
        <v>5.2400000000000005E-4</v>
      </c>
      <c r="Z332" s="21">
        <v>4601004346376</v>
      </c>
    </row>
    <row r="333" spans="1:26" ht="12" customHeight="1" outlineLevel="4" x14ac:dyDescent="0.2">
      <c r="A333" s="40" t="s">
        <v>679</v>
      </c>
      <c r="B333" s="75" t="s">
        <v>680</v>
      </c>
      <c r="C333" s="51"/>
      <c r="D333" s="54">
        <f t="shared" si="5"/>
        <v>0</v>
      </c>
      <c r="E333" s="62"/>
      <c r="F333" s="42" t="s">
        <v>39</v>
      </c>
      <c r="G333" s="41" t="s">
        <v>40</v>
      </c>
      <c r="H333" s="41"/>
      <c r="I333" s="41"/>
      <c r="J333" s="43">
        <v>323</v>
      </c>
      <c r="K333" s="41"/>
      <c r="L333" s="43">
        <v>1</v>
      </c>
      <c r="M333" s="43">
        <v>100</v>
      </c>
      <c r="N333" s="43">
        <v>1</v>
      </c>
      <c r="O333" s="44">
        <v>1212.98</v>
      </c>
      <c r="P333" s="44">
        <v>994.25</v>
      </c>
      <c r="Q333" s="44">
        <v>1212.98</v>
      </c>
      <c r="R333" s="44">
        <v>994.25</v>
      </c>
      <c r="S333" s="44">
        <v>970.38</v>
      </c>
      <c r="T333" s="44">
        <v>795.39</v>
      </c>
      <c r="U333" s="42"/>
      <c r="V333" s="42"/>
      <c r="W333" s="42" t="s">
        <v>40</v>
      </c>
      <c r="X333" s="45">
        <v>0.16900000000000001</v>
      </c>
      <c r="Y333" s="46">
        <v>5.2300000000000003E-4</v>
      </c>
      <c r="Z333" s="21">
        <v>4601004346390</v>
      </c>
    </row>
    <row r="334" spans="1:26" ht="12" customHeight="1" outlineLevel="4" x14ac:dyDescent="0.2">
      <c r="A334" s="40" t="s">
        <v>681</v>
      </c>
      <c r="B334" s="75" t="s">
        <v>682</v>
      </c>
      <c r="C334" s="51"/>
      <c r="D334" s="54">
        <f t="shared" si="5"/>
        <v>0</v>
      </c>
      <c r="E334" s="62"/>
      <c r="F334" s="42" t="s">
        <v>39</v>
      </c>
      <c r="G334" s="41" t="s">
        <v>40</v>
      </c>
      <c r="H334" s="41"/>
      <c r="I334" s="41"/>
      <c r="J334" s="43">
        <v>484</v>
      </c>
      <c r="K334" s="41"/>
      <c r="L334" s="43">
        <v>1</v>
      </c>
      <c r="M334" s="43">
        <v>100</v>
      </c>
      <c r="N334" s="43">
        <v>1</v>
      </c>
      <c r="O334" s="44">
        <v>1436.08</v>
      </c>
      <c r="P334" s="44">
        <v>1177.1099999999999</v>
      </c>
      <c r="Q334" s="44">
        <v>1436.08</v>
      </c>
      <c r="R334" s="44">
        <v>1177.1099999999999</v>
      </c>
      <c r="S334" s="44">
        <v>1148.8599999999999</v>
      </c>
      <c r="T334" s="44">
        <v>941.69</v>
      </c>
      <c r="U334" s="42"/>
      <c r="V334" s="42"/>
      <c r="W334" s="42" t="s">
        <v>40</v>
      </c>
      <c r="X334" s="45">
        <v>0.17</v>
      </c>
      <c r="Y334" s="46">
        <v>5.2499999999999997E-4</v>
      </c>
      <c r="Z334" s="21">
        <v>4601004346352</v>
      </c>
    </row>
    <row r="335" spans="1:26" ht="12" customHeight="1" outlineLevel="4" x14ac:dyDescent="0.2">
      <c r="A335" s="40" t="s">
        <v>683</v>
      </c>
      <c r="B335" s="75" t="s">
        <v>684</v>
      </c>
      <c r="C335" s="51"/>
      <c r="D335" s="54">
        <f t="shared" si="5"/>
        <v>0</v>
      </c>
      <c r="E335" s="62"/>
      <c r="F335" s="42" t="s">
        <v>39</v>
      </c>
      <c r="G335" s="41" t="s">
        <v>40</v>
      </c>
      <c r="H335" s="41"/>
      <c r="I335" s="41"/>
      <c r="J335" s="43">
        <v>338</v>
      </c>
      <c r="K335" s="41"/>
      <c r="L335" s="43">
        <v>1</v>
      </c>
      <c r="M335" s="43">
        <v>100</v>
      </c>
      <c r="N335" s="43">
        <v>1</v>
      </c>
      <c r="O335" s="44">
        <v>1803.23</v>
      </c>
      <c r="P335" s="44">
        <v>1478.06</v>
      </c>
      <c r="Q335" s="44">
        <v>1803.23</v>
      </c>
      <c r="R335" s="44">
        <v>1478.06</v>
      </c>
      <c r="S335" s="44">
        <v>1442.58</v>
      </c>
      <c r="T335" s="44">
        <v>1182.44</v>
      </c>
      <c r="U335" s="42"/>
      <c r="V335" s="42"/>
      <c r="W335" s="42" t="s">
        <v>40</v>
      </c>
      <c r="X335" s="45">
        <v>0.186</v>
      </c>
      <c r="Y335" s="46">
        <v>5.2899999999999996E-4</v>
      </c>
      <c r="Z335" s="21">
        <v>4601004346413</v>
      </c>
    </row>
    <row r="336" spans="1:26" ht="12" customHeight="1" outlineLevel="4" x14ac:dyDescent="0.2">
      <c r="A336" s="40" t="s">
        <v>685</v>
      </c>
      <c r="B336" s="75" t="s">
        <v>686</v>
      </c>
      <c r="C336" s="51"/>
      <c r="D336" s="54">
        <f t="shared" si="5"/>
        <v>0</v>
      </c>
      <c r="E336" s="62"/>
      <c r="F336" s="42" t="s">
        <v>39</v>
      </c>
      <c r="G336" s="41" t="s">
        <v>40</v>
      </c>
      <c r="H336" s="41"/>
      <c r="I336" s="41"/>
      <c r="J336" s="43">
        <v>339</v>
      </c>
      <c r="K336" s="41"/>
      <c r="L336" s="43">
        <v>1</v>
      </c>
      <c r="M336" s="43">
        <v>100</v>
      </c>
      <c r="N336" s="43">
        <v>1</v>
      </c>
      <c r="O336" s="44">
        <v>1772.01</v>
      </c>
      <c r="P336" s="44">
        <v>1452.47</v>
      </c>
      <c r="Q336" s="44">
        <v>1772.01</v>
      </c>
      <c r="R336" s="44">
        <v>1452.47</v>
      </c>
      <c r="S336" s="44">
        <v>1417.61</v>
      </c>
      <c r="T336" s="44">
        <v>1161.98</v>
      </c>
      <c r="U336" s="42"/>
      <c r="V336" s="42"/>
      <c r="W336" s="42" t="s">
        <v>40</v>
      </c>
      <c r="X336" s="45">
        <v>0.186</v>
      </c>
      <c r="Y336" s="46">
        <v>5.2800000000000004E-4</v>
      </c>
      <c r="Z336" s="21">
        <v>4601004346451</v>
      </c>
    </row>
    <row r="337" spans="1:26" ht="12" customHeight="1" outlineLevel="4" x14ac:dyDescent="0.2">
      <c r="A337" s="40" t="s">
        <v>687</v>
      </c>
      <c r="B337" s="75" t="s">
        <v>688</v>
      </c>
      <c r="C337" s="51"/>
      <c r="D337" s="54">
        <f t="shared" si="5"/>
        <v>0</v>
      </c>
      <c r="E337" s="62"/>
      <c r="F337" s="42" t="s">
        <v>39</v>
      </c>
      <c r="G337" s="41" t="s">
        <v>40</v>
      </c>
      <c r="H337" s="41"/>
      <c r="I337" s="41"/>
      <c r="J337" s="43">
        <v>432</v>
      </c>
      <c r="K337" s="41"/>
      <c r="L337" s="43">
        <v>1</v>
      </c>
      <c r="M337" s="43">
        <v>100</v>
      </c>
      <c r="N337" s="43">
        <v>1</v>
      </c>
      <c r="O337" s="44">
        <v>1495.93</v>
      </c>
      <c r="P337" s="44">
        <v>1226.17</v>
      </c>
      <c r="Q337" s="44">
        <v>1495.93</v>
      </c>
      <c r="R337" s="44">
        <v>1226.17</v>
      </c>
      <c r="S337" s="44">
        <v>1196.74</v>
      </c>
      <c r="T337" s="44">
        <v>980.93</v>
      </c>
      <c r="U337" s="42"/>
      <c r="V337" s="42"/>
      <c r="W337" s="42" t="s">
        <v>40</v>
      </c>
      <c r="X337" s="45">
        <v>0.186</v>
      </c>
      <c r="Y337" s="46">
        <v>5.2599999999999999E-4</v>
      </c>
      <c r="Z337" s="21">
        <v>4601004346475</v>
      </c>
    </row>
    <row r="338" spans="1:26" ht="12" customHeight="1" outlineLevel="4" x14ac:dyDescent="0.2">
      <c r="A338" s="40" t="s">
        <v>689</v>
      </c>
      <c r="B338" s="75" t="s">
        <v>690</v>
      </c>
      <c r="C338" s="51"/>
      <c r="D338" s="54">
        <f t="shared" si="5"/>
        <v>0</v>
      </c>
      <c r="E338" s="62"/>
      <c r="F338" s="42" t="s">
        <v>39</v>
      </c>
      <c r="G338" s="41" t="s">
        <v>40</v>
      </c>
      <c r="H338" s="41"/>
      <c r="I338" s="41"/>
      <c r="J338" s="43">
        <v>431</v>
      </c>
      <c r="K338" s="41"/>
      <c r="L338" s="43">
        <v>1</v>
      </c>
      <c r="M338" s="43">
        <v>100</v>
      </c>
      <c r="N338" s="43">
        <v>1</v>
      </c>
      <c r="O338" s="44">
        <v>1772.01</v>
      </c>
      <c r="P338" s="44">
        <v>1452.47</v>
      </c>
      <c r="Q338" s="44">
        <v>1772.01</v>
      </c>
      <c r="R338" s="44">
        <v>1452.47</v>
      </c>
      <c r="S338" s="44">
        <v>1417.61</v>
      </c>
      <c r="T338" s="44">
        <v>1161.98</v>
      </c>
      <c r="U338" s="42"/>
      <c r="V338" s="42"/>
      <c r="W338" s="42" t="s">
        <v>40</v>
      </c>
      <c r="X338" s="45">
        <v>0.186</v>
      </c>
      <c r="Y338" s="46">
        <v>5.2800000000000004E-4</v>
      </c>
      <c r="Z338" s="21">
        <v>4601004346437</v>
      </c>
    </row>
    <row r="339" spans="1:26" ht="12" customHeight="1" outlineLevel="4" x14ac:dyDescent="0.2">
      <c r="A339" s="40" t="s">
        <v>691</v>
      </c>
      <c r="B339" s="75" t="s">
        <v>692</v>
      </c>
      <c r="C339" s="51"/>
      <c r="D339" s="54">
        <f t="shared" si="5"/>
        <v>0</v>
      </c>
      <c r="E339" s="62"/>
      <c r="F339" s="42" t="s">
        <v>39</v>
      </c>
      <c r="G339" s="41" t="s">
        <v>40</v>
      </c>
      <c r="H339" s="41"/>
      <c r="I339" s="41"/>
      <c r="J339" s="43">
        <v>973</v>
      </c>
      <c r="K339" s="41"/>
      <c r="L339" s="43">
        <v>1</v>
      </c>
      <c r="M339" s="43">
        <v>100</v>
      </c>
      <c r="N339" s="43">
        <v>1</v>
      </c>
      <c r="O339" s="44">
        <v>1273.6199999999999</v>
      </c>
      <c r="P339" s="44">
        <v>1043.95</v>
      </c>
      <c r="Q339" s="44">
        <v>1273.6199999999999</v>
      </c>
      <c r="R339" s="44">
        <v>1043.95</v>
      </c>
      <c r="S339" s="44">
        <v>1018.9</v>
      </c>
      <c r="T339" s="44">
        <v>835.16</v>
      </c>
      <c r="U339" s="42"/>
      <c r="V339" s="42"/>
      <c r="W339" s="42" t="s">
        <v>40</v>
      </c>
      <c r="X339" s="45">
        <v>0.17299999999999999</v>
      </c>
      <c r="Y339" s="46">
        <v>5.31E-4</v>
      </c>
      <c r="Z339" s="21">
        <v>4601004346574</v>
      </c>
    </row>
    <row r="340" spans="1:26" ht="12" customHeight="1" outlineLevel="4" x14ac:dyDescent="0.2">
      <c r="A340" s="40" t="s">
        <v>693</v>
      </c>
      <c r="B340" s="75" t="s">
        <v>694</v>
      </c>
      <c r="C340" s="51"/>
      <c r="D340" s="54">
        <f t="shared" si="5"/>
        <v>0</v>
      </c>
      <c r="E340" s="62"/>
      <c r="F340" s="42" t="s">
        <v>39</v>
      </c>
      <c r="G340" s="41" t="s">
        <v>40</v>
      </c>
      <c r="H340" s="41"/>
      <c r="I340" s="41"/>
      <c r="J340" s="43">
        <v>991</v>
      </c>
      <c r="K340" s="41" t="s">
        <v>662</v>
      </c>
      <c r="L340" s="43">
        <v>1</v>
      </c>
      <c r="M340" s="43">
        <v>100</v>
      </c>
      <c r="N340" s="43">
        <v>1</v>
      </c>
      <c r="O340" s="44">
        <v>1240.4000000000001</v>
      </c>
      <c r="P340" s="44">
        <v>1016.72</v>
      </c>
      <c r="Q340" s="44">
        <v>1240.4000000000001</v>
      </c>
      <c r="R340" s="44">
        <v>1016.72</v>
      </c>
      <c r="S340" s="44">
        <v>992.32</v>
      </c>
      <c r="T340" s="44">
        <v>813.38</v>
      </c>
      <c r="U340" s="42"/>
      <c r="V340" s="42"/>
      <c r="W340" s="42" t="s">
        <v>40</v>
      </c>
      <c r="X340" s="45">
        <v>0.17299999999999999</v>
      </c>
      <c r="Y340" s="46">
        <v>5.3200000000000003E-4</v>
      </c>
      <c r="Z340" s="21">
        <v>4601004346611</v>
      </c>
    </row>
    <row r="341" spans="1:26" ht="12" customHeight="1" outlineLevel="4" x14ac:dyDescent="0.2">
      <c r="A341" s="40" t="s">
        <v>695</v>
      </c>
      <c r="B341" s="75" t="s">
        <v>696</v>
      </c>
      <c r="C341" s="51"/>
      <c r="D341" s="54">
        <f t="shared" si="5"/>
        <v>0</v>
      </c>
      <c r="E341" s="62"/>
      <c r="F341" s="42" t="s">
        <v>39</v>
      </c>
      <c r="G341" s="41" t="s">
        <v>40</v>
      </c>
      <c r="H341" s="41"/>
      <c r="I341" s="41"/>
      <c r="J341" s="47">
        <v>1169</v>
      </c>
      <c r="K341" s="41" t="s">
        <v>662</v>
      </c>
      <c r="L341" s="43">
        <v>1</v>
      </c>
      <c r="M341" s="43">
        <v>100</v>
      </c>
      <c r="N341" s="43">
        <v>1</v>
      </c>
      <c r="O341" s="44">
        <v>1047.1400000000001</v>
      </c>
      <c r="P341" s="44">
        <v>858.31</v>
      </c>
      <c r="Q341" s="44">
        <v>1047.1400000000001</v>
      </c>
      <c r="R341" s="44">
        <v>858.31</v>
      </c>
      <c r="S341" s="44">
        <v>837.71</v>
      </c>
      <c r="T341" s="44">
        <v>686.65</v>
      </c>
      <c r="U341" s="42"/>
      <c r="V341" s="42"/>
      <c r="W341" s="42" t="s">
        <v>40</v>
      </c>
      <c r="X341" s="45">
        <v>0.17299999999999999</v>
      </c>
      <c r="Y341" s="46">
        <v>5.3399999999999997E-4</v>
      </c>
      <c r="Z341" s="21">
        <v>4601004346635</v>
      </c>
    </row>
    <row r="342" spans="1:26" ht="12" customHeight="1" outlineLevel="4" x14ac:dyDescent="0.2">
      <c r="A342" s="40" t="s">
        <v>697</v>
      </c>
      <c r="B342" s="75" t="s">
        <v>698</v>
      </c>
      <c r="C342" s="51"/>
      <c r="D342" s="54">
        <f t="shared" si="5"/>
        <v>0</v>
      </c>
      <c r="E342" s="62"/>
      <c r="F342" s="42" t="s">
        <v>39</v>
      </c>
      <c r="G342" s="41" t="s">
        <v>40</v>
      </c>
      <c r="H342" s="41"/>
      <c r="I342" s="41"/>
      <c r="J342" s="47">
        <v>1280</v>
      </c>
      <c r="K342" s="41" t="s">
        <v>662</v>
      </c>
      <c r="L342" s="43">
        <v>1</v>
      </c>
      <c r="M342" s="43">
        <v>100</v>
      </c>
      <c r="N342" s="43">
        <v>1</v>
      </c>
      <c r="O342" s="44">
        <v>1240.4000000000001</v>
      </c>
      <c r="P342" s="44">
        <v>1016.72</v>
      </c>
      <c r="Q342" s="44">
        <v>1240.4000000000001</v>
      </c>
      <c r="R342" s="44">
        <v>1016.72</v>
      </c>
      <c r="S342" s="44">
        <v>992.32</v>
      </c>
      <c r="T342" s="44">
        <v>813.38</v>
      </c>
      <c r="U342" s="42"/>
      <c r="V342" s="42"/>
      <c r="W342" s="42" t="s">
        <v>40</v>
      </c>
      <c r="X342" s="45">
        <v>0.17299999999999999</v>
      </c>
      <c r="Y342" s="46">
        <v>5.2999999999999998E-4</v>
      </c>
      <c r="Z342" s="21">
        <v>4601004346598</v>
      </c>
    </row>
    <row r="343" spans="1:26" ht="12" customHeight="1" outlineLevel="4" x14ac:dyDescent="0.2">
      <c r="A343" s="40" t="s">
        <v>699</v>
      </c>
      <c r="B343" s="75" t="s">
        <v>700</v>
      </c>
      <c r="C343" s="51"/>
      <c r="D343" s="54">
        <f t="shared" si="5"/>
        <v>0</v>
      </c>
      <c r="E343" s="62"/>
      <c r="F343" s="42" t="s">
        <v>39</v>
      </c>
      <c r="G343" s="41" t="s">
        <v>40</v>
      </c>
      <c r="H343" s="41"/>
      <c r="I343" s="41"/>
      <c r="J343" s="43">
        <v>377</v>
      </c>
      <c r="K343" s="41"/>
      <c r="L343" s="43">
        <v>1</v>
      </c>
      <c r="M343" s="43">
        <v>100</v>
      </c>
      <c r="N343" s="43">
        <v>1</v>
      </c>
      <c r="O343" s="44">
        <v>1364.61</v>
      </c>
      <c r="P343" s="44">
        <v>1118.53</v>
      </c>
      <c r="Q343" s="44">
        <v>1364.61</v>
      </c>
      <c r="R343" s="44">
        <v>1118.53</v>
      </c>
      <c r="S343" s="44">
        <v>1091.69</v>
      </c>
      <c r="T343" s="44">
        <v>894.83</v>
      </c>
      <c r="U343" s="42"/>
      <c r="V343" s="42"/>
      <c r="W343" s="42" t="s">
        <v>40</v>
      </c>
      <c r="X343" s="45">
        <v>0.17299999999999999</v>
      </c>
      <c r="Y343" s="46">
        <v>5.1900000000000004E-4</v>
      </c>
      <c r="Z343" s="21">
        <v>4601004346659</v>
      </c>
    </row>
    <row r="344" spans="1:26" ht="12" customHeight="1" outlineLevel="4" x14ac:dyDescent="0.2">
      <c r="A344" s="40" t="s">
        <v>701</v>
      </c>
      <c r="B344" s="75" t="s">
        <v>702</v>
      </c>
      <c r="C344" s="51"/>
      <c r="D344" s="54">
        <f t="shared" si="5"/>
        <v>0</v>
      </c>
      <c r="E344" s="62"/>
      <c r="F344" s="42" t="s">
        <v>39</v>
      </c>
      <c r="G344" s="41" t="s">
        <v>40</v>
      </c>
      <c r="H344" s="41"/>
      <c r="I344" s="41"/>
      <c r="J344" s="43">
        <v>373</v>
      </c>
      <c r="K344" s="41"/>
      <c r="L344" s="43">
        <v>1</v>
      </c>
      <c r="M344" s="43">
        <v>100</v>
      </c>
      <c r="N344" s="43">
        <v>1</v>
      </c>
      <c r="O344" s="44">
        <v>1352.43</v>
      </c>
      <c r="P344" s="44">
        <v>1108.55</v>
      </c>
      <c r="Q344" s="44">
        <v>1352.43</v>
      </c>
      <c r="R344" s="44">
        <v>1108.55</v>
      </c>
      <c r="S344" s="44">
        <v>1081.94</v>
      </c>
      <c r="T344" s="44">
        <v>886.84</v>
      </c>
      <c r="U344" s="42"/>
      <c r="V344" s="42"/>
      <c r="W344" s="42" t="s">
        <v>40</v>
      </c>
      <c r="X344" s="45">
        <v>0.17299999999999999</v>
      </c>
      <c r="Y344" s="46">
        <v>5.22E-4</v>
      </c>
      <c r="Z344" s="21">
        <v>4601004346697</v>
      </c>
    </row>
    <row r="345" spans="1:26" ht="12" customHeight="1" outlineLevel="4" x14ac:dyDescent="0.2">
      <c r="A345" s="40" t="s">
        <v>703</v>
      </c>
      <c r="B345" s="75" t="s">
        <v>704</v>
      </c>
      <c r="C345" s="51"/>
      <c r="D345" s="54">
        <f t="shared" si="5"/>
        <v>0</v>
      </c>
      <c r="E345" s="62"/>
      <c r="F345" s="42" t="s">
        <v>39</v>
      </c>
      <c r="G345" s="41" t="s">
        <v>40</v>
      </c>
      <c r="H345" s="41"/>
      <c r="I345" s="41"/>
      <c r="J345" s="43">
        <v>377</v>
      </c>
      <c r="K345" s="41"/>
      <c r="L345" s="43">
        <v>1</v>
      </c>
      <c r="M345" s="43">
        <v>100</v>
      </c>
      <c r="N345" s="43">
        <v>1</v>
      </c>
      <c r="O345" s="44">
        <v>1121.95</v>
      </c>
      <c r="P345" s="44">
        <v>919.63</v>
      </c>
      <c r="Q345" s="44">
        <v>1121.95</v>
      </c>
      <c r="R345" s="44">
        <v>919.63</v>
      </c>
      <c r="S345" s="44">
        <v>897.56</v>
      </c>
      <c r="T345" s="44">
        <v>735.7</v>
      </c>
      <c r="U345" s="42"/>
      <c r="V345" s="42"/>
      <c r="W345" s="42" t="s">
        <v>40</v>
      </c>
      <c r="X345" s="45">
        <v>0.17299999999999999</v>
      </c>
      <c r="Y345" s="46">
        <v>5.31E-4</v>
      </c>
      <c r="Z345" s="21">
        <v>4601004346710</v>
      </c>
    </row>
    <row r="346" spans="1:26" ht="12" customHeight="1" outlineLevel="4" x14ac:dyDescent="0.2">
      <c r="A346" s="40" t="s">
        <v>705</v>
      </c>
      <c r="B346" s="75" t="s">
        <v>706</v>
      </c>
      <c r="C346" s="51"/>
      <c r="D346" s="54">
        <f t="shared" si="5"/>
        <v>0</v>
      </c>
      <c r="E346" s="62"/>
      <c r="F346" s="42" t="s">
        <v>39</v>
      </c>
      <c r="G346" s="41" t="s">
        <v>40</v>
      </c>
      <c r="H346" s="41"/>
      <c r="I346" s="41"/>
      <c r="J346" s="43">
        <v>377</v>
      </c>
      <c r="K346" s="41"/>
      <c r="L346" s="43">
        <v>1</v>
      </c>
      <c r="M346" s="43">
        <v>100</v>
      </c>
      <c r="N346" s="43">
        <v>1</v>
      </c>
      <c r="O346" s="44">
        <v>1352.43</v>
      </c>
      <c r="P346" s="44">
        <v>1108.55</v>
      </c>
      <c r="Q346" s="44">
        <v>1352.43</v>
      </c>
      <c r="R346" s="44">
        <v>1108.55</v>
      </c>
      <c r="S346" s="44">
        <v>1081.94</v>
      </c>
      <c r="T346" s="44">
        <v>886.84</v>
      </c>
      <c r="U346" s="42"/>
      <c r="V346" s="42"/>
      <c r="W346" s="42" t="s">
        <v>40</v>
      </c>
      <c r="X346" s="45">
        <v>0.17299999999999999</v>
      </c>
      <c r="Y346" s="46">
        <v>5.3300000000000005E-4</v>
      </c>
      <c r="Z346" s="21">
        <v>4601004346673</v>
      </c>
    </row>
    <row r="347" spans="1:26" ht="12" customHeight="1" outlineLevel="4" x14ac:dyDescent="0.2">
      <c r="A347" s="40" t="s">
        <v>707</v>
      </c>
      <c r="B347" s="75" t="s">
        <v>708</v>
      </c>
      <c r="C347" s="51"/>
      <c r="D347" s="54">
        <f t="shared" si="5"/>
        <v>0</v>
      </c>
      <c r="E347" s="62"/>
      <c r="F347" s="42" t="s">
        <v>39</v>
      </c>
      <c r="G347" s="41" t="s">
        <v>40</v>
      </c>
      <c r="H347" s="41"/>
      <c r="I347" s="41"/>
      <c r="J347" s="43">
        <v>369</v>
      </c>
      <c r="K347" s="41" t="s">
        <v>662</v>
      </c>
      <c r="L347" s="43">
        <v>1</v>
      </c>
      <c r="M347" s="43">
        <v>100</v>
      </c>
      <c r="N347" s="43">
        <v>1</v>
      </c>
      <c r="O347" s="44">
        <v>1182.6600000000001</v>
      </c>
      <c r="P347" s="44">
        <v>969.39</v>
      </c>
      <c r="Q347" s="44">
        <v>1182.6600000000001</v>
      </c>
      <c r="R347" s="44">
        <v>969.39</v>
      </c>
      <c r="S347" s="44">
        <v>946.13</v>
      </c>
      <c r="T347" s="44">
        <v>775.52</v>
      </c>
      <c r="U347" s="42"/>
      <c r="V347" s="42"/>
      <c r="W347" s="42" t="s">
        <v>40</v>
      </c>
      <c r="X347" s="45">
        <v>0.17</v>
      </c>
      <c r="Y347" s="46">
        <v>5.2899999999999996E-4</v>
      </c>
      <c r="Z347" s="21">
        <v>4601004346734</v>
      </c>
    </row>
    <row r="348" spans="1:26" ht="12" customHeight="1" outlineLevel="4" x14ac:dyDescent="0.2">
      <c r="A348" s="40" t="s">
        <v>709</v>
      </c>
      <c r="B348" s="75" t="s">
        <v>710</v>
      </c>
      <c r="C348" s="51"/>
      <c r="D348" s="54">
        <f t="shared" si="5"/>
        <v>0</v>
      </c>
      <c r="E348" s="62"/>
      <c r="F348" s="42" t="s">
        <v>39</v>
      </c>
      <c r="G348" s="41" t="s">
        <v>40</v>
      </c>
      <c r="H348" s="41"/>
      <c r="I348" s="41"/>
      <c r="J348" s="43">
        <v>273</v>
      </c>
      <c r="K348" s="41" t="s">
        <v>662</v>
      </c>
      <c r="L348" s="43">
        <v>1</v>
      </c>
      <c r="M348" s="43">
        <v>100</v>
      </c>
      <c r="N348" s="43">
        <v>1</v>
      </c>
      <c r="O348" s="44">
        <v>1169.99</v>
      </c>
      <c r="P348" s="44">
        <v>959.01</v>
      </c>
      <c r="Q348" s="44">
        <v>1169.99</v>
      </c>
      <c r="R348" s="44">
        <v>959.01</v>
      </c>
      <c r="S348" s="44">
        <v>935.99</v>
      </c>
      <c r="T348" s="44">
        <v>767.2</v>
      </c>
      <c r="U348" s="42"/>
      <c r="V348" s="42"/>
      <c r="W348" s="42" t="s">
        <v>40</v>
      </c>
      <c r="X348" s="45">
        <v>0.17</v>
      </c>
      <c r="Y348" s="46">
        <v>5.2999999999999998E-4</v>
      </c>
      <c r="Z348" s="21">
        <v>4601004346772</v>
      </c>
    </row>
    <row r="349" spans="1:26" ht="12" customHeight="1" outlineLevel="4" x14ac:dyDescent="0.2">
      <c r="A349" s="40" t="s">
        <v>711</v>
      </c>
      <c r="B349" s="75" t="s">
        <v>712</v>
      </c>
      <c r="C349" s="51"/>
      <c r="D349" s="54">
        <f t="shared" si="5"/>
        <v>0</v>
      </c>
      <c r="E349" s="62"/>
      <c r="F349" s="42" t="s">
        <v>39</v>
      </c>
      <c r="G349" s="41" t="s">
        <v>40</v>
      </c>
      <c r="H349" s="41"/>
      <c r="I349" s="41"/>
      <c r="J349" s="43">
        <v>606</v>
      </c>
      <c r="K349" s="41" t="s">
        <v>662</v>
      </c>
      <c r="L349" s="43">
        <v>1</v>
      </c>
      <c r="M349" s="43">
        <v>100</v>
      </c>
      <c r="N349" s="43">
        <v>1</v>
      </c>
      <c r="O349" s="44">
        <v>985.55</v>
      </c>
      <c r="P349" s="44">
        <v>807.83</v>
      </c>
      <c r="Q349" s="44">
        <v>985.55</v>
      </c>
      <c r="R349" s="44">
        <v>807.83</v>
      </c>
      <c r="S349" s="44">
        <v>788.44</v>
      </c>
      <c r="T349" s="44">
        <v>646.26</v>
      </c>
      <c r="U349" s="42"/>
      <c r="V349" s="42"/>
      <c r="W349" s="42" t="s">
        <v>40</v>
      </c>
      <c r="X349" s="45">
        <v>0.17</v>
      </c>
      <c r="Y349" s="46">
        <v>5.2999999999999998E-4</v>
      </c>
      <c r="Z349" s="21">
        <v>4601004346796</v>
      </c>
    </row>
    <row r="350" spans="1:26" ht="12" customHeight="1" outlineLevel="4" x14ac:dyDescent="0.2">
      <c r="A350" s="40" t="s">
        <v>713</v>
      </c>
      <c r="B350" s="75" t="s">
        <v>714</v>
      </c>
      <c r="C350" s="51"/>
      <c r="D350" s="54">
        <f t="shared" si="5"/>
        <v>0</v>
      </c>
      <c r="E350" s="62"/>
      <c r="F350" s="42" t="s">
        <v>39</v>
      </c>
      <c r="G350" s="41" t="s">
        <v>40</v>
      </c>
      <c r="H350" s="41"/>
      <c r="I350" s="41"/>
      <c r="J350" s="43">
        <v>669</v>
      </c>
      <c r="K350" s="41" t="s">
        <v>662</v>
      </c>
      <c r="L350" s="43">
        <v>1</v>
      </c>
      <c r="M350" s="43">
        <v>100</v>
      </c>
      <c r="N350" s="43">
        <v>1</v>
      </c>
      <c r="O350" s="44">
        <v>1169.99</v>
      </c>
      <c r="P350" s="44">
        <v>959.01</v>
      </c>
      <c r="Q350" s="44">
        <v>1169.99</v>
      </c>
      <c r="R350" s="44">
        <v>959.01</v>
      </c>
      <c r="S350" s="44">
        <v>935.99</v>
      </c>
      <c r="T350" s="44">
        <v>767.2</v>
      </c>
      <c r="U350" s="42"/>
      <c r="V350" s="42"/>
      <c r="W350" s="42" t="s">
        <v>40</v>
      </c>
      <c r="X350" s="45">
        <v>0.17</v>
      </c>
      <c r="Y350" s="46">
        <v>5.31E-4</v>
      </c>
      <c r="Z350" s="21">
        <v>4601004346758</v>
      </c>
    </row>
    <row r="351" spans="1:26" ht="12" customHeight="1" outlineLevel="4" x14ac:dyDescent="0.2">
      <c r="A351" s="40" t="s">
        <v>715</v>
      </c>
      <c r="B351" s="75" t="s">
        <v>716</v>
      </c>
      <c r="C351" s="51"/>
      <c r="D351" s="54">
        <f t="shared" si="5"/>
        <v>0</v>
      </c>
      <c r="E351" s="62"/>
      <c r="F351" s="42" t="s">
        <v>39</v>
      </c>
      <c r="G351" s="41" t="s">
        <v>40</v>
      </c>
      <c r="H351" s="41"/>
      <c r="I351" s="41"/>
      <c r="J351" s="47">
        <v>2231</v>
      </c>
      <c r="K351" s="41" t="s">
        <v>662</v>
      </c>
      <c r="L351" s="43">
        <v>1</v>
      </c>
      <c r="M351" s="43">
        <v>100</v>
      </c>
      <c r="N351" s="43">
        <v>1</v>
      </c>
      <c r="O351" s="44">
        <v>1410.11</v>
      </c>
      <c r="P351" s="44">
        <v>1155.83</v>
      </c>
      <c r="Q351" s="44">
        <v>1410.11</v>
      </c>
      <c r="R351" s="44">
        <v>1155.83</v>
      </c>
      <c r="S351" s="44">
        <v>1128.0899999999999</v>
      </c>
      <c r="T351" s="44">
        <v>924.66</v>
      </c>
      <c r="U351" s="42"/>
      <c r="V351" s="42"/>
      <c r="W351" s="42" t="s">
        <v>40</v>
      </c>
      <c r="X351" s="45">
        <v>0.17599999999999999</v>
      </c>
      <c r="Y351" s="46">
        <v>5.4600000000000004E-4</v>
      </c>
      <c r="Z351" s="21">
        <v>4601004346819</v>
      </c>
    </row>
    <row r="352" spans="1:26" ht="12" customHeight="1" outlineLevel="4" x14ac:dyDescent="0.2">
      <c r="A352" s="40" t="s">
        <v>717</v>
      </c>
      <c r="B352" s="75" t="s">
        <v>718</v>
      </c>
      <c r="C352" s="51"/>
      <c r="D352" s="54">
        <f t="shared" si="5"/>
        <v>0</v>
      </c>
      <c r="E352" s="62"/>
      <c r="F352" s="42" t="s">
        <v>39</v>
      </c>
      <c r="G352" s="41" t="s">
        <v>40</v>
      </c>
      <c r="H352" s="41"/>
      <c r="I352" s="41"/>
      <c r="J352" s="47">
        <v>2267</v>
      </c>
      <c r="K352" s="41" t="s">
        <v>662</v>
      </c>
      <c r="L352" s="43">
        <v>1</v>
      </c>
      <c r="M352" s="43">
        <v>100</v>
      </c>
      <c r="N352" s="43">
        <v>1</v>
      </c>
      <c r="O352" s="44">
        <v>1397.83</v>
      </c>
      <c r="P352" s="44">
        <v>1145.76</v>
      </c>
      <c r="Q352" s="44">
        <v>1397.83</v>
      </c>
      <c r="R352" s="44">
        <v>1145.76</v>
      </c>
      <c r="S352" s="44">
        <v>1118.26</v>
      </c>
      <c r="T352" s="44">
        <v>916.61</v>
      </c>
      <c r="U352" s="42"/>
      <c r="V352" s="42"/>
      <c r="W352" s="42" t="s">
        <v>40</v>
      </c>
      <c r="X352" s="45">
        <v>0.17599999999999999</v>
      </c>
      <c r="Y352" s="46">
        <v>5.3899999999999998E-4</v>
      </c>
      <c r="Z352" s="21">
        <v>4601004346857</v>
      </c>
    </row>
    <row r="353" spans="1:26" ht="12" customHeight="1" outlineLevel="4" x14ac:dyDescent="0.2">
      <c r="A353" s="40" t="s">
        <v>719</v>
      </c>
      <c r="B353" s="75" t="s">
        <v>720</v>
      </c>
      <c r="C353" s="51"/>
      <c r="D353" s="54">
        <f t="shared" si="5"/>
        <v>0</v>
      </c>
      <c r="E353" s="62"/>
      <c r="F353" s="42" t="s">
        <v>39</v>
      </c>
      <c r="G353" s="41" t="s">
        <v>40</v>
      </c>
      <c r="H353" s="41"/>
      <c r="I353" s="41"/>
      <c r="J353" s="47">
        <v>3180</v>
      </c>
      <c r="K353" s="41" t="s">
        <v>662</v>
      </c>
      <c r="L353" s="43">
        <v>1</v>
      </c>
      <c r="M353" s="43">
        <v>100</v>
      </c>
      <c r="N353" s="43">
        <v>1</v>
      </c>
      <c r="O353" s="44">
        <v>1154.0999999999999</v>
      </c>
      <c r="P353" s="44">
        <v>945.98</v>
      </c>
      <c r="Q353" s="44">
        <v>1154.0999999999999</v>
      </c>
      <c r="R353" s="44">
        <v>945.98</v>
      </c>
      <c r="S353" s="44">
        <v>923.28</v>
      </c>
      <c r="T353" s="44">
        <v>756.79</v>
      </c>
      <c r="U353" s="42"/>
      <c r="V353" s="42"/>
      <c r="W353" s="42" t="s">
        <v>40</v>
      </c>
      <c r="X353" s="45">
        <v>0.17599999999999999</v>
      </c>
      <c r="Y353" s="46">
        <v>5.5099999999999995E-4</v>
      </c>
      <c r="Z353" s="21">
        <v>4601004346871</v>
      </c>
    </row>
    <row r="354" spans="1:26" ht="12" customHeight="1" outlineLevel="4" x14ac:dyDescent="0.2">
      <c r="A354" s="40" t="s">
        <v>721</v>
      </c>
      <c r="B354" s="75" t="s">
        <v>722</v>
      </c>
      <c r="C354" s="51"/>
      <c r="D354" s="54">
        <f t="shared" si="5"/>
        <v>0</v>
      </c>
      <c r="E354" s="62"/>
      <c r="F354" s="42" t="s">
        <v>39</v>
      </c>
      <c r="G354" s="41" t="s">
        <v>40</v>
      </c>
      <c r="H354" s="41"/>
      <c r="I354" s="41"/>
      <c r="J354" s="47">
        <v>2639</v>
      </c>
      <c r="K354" s="41" t="s">
        <v>662</v>
      </c>
      <c r="L354" s="43">
        <v>1</v>
      </c>
      <c r="M354" s="43">
        <v>100</v>
      </c>
      <c r="N354" s="43">
        <v>1</v>
      </c>
      <c r="O354" s="44">
        <v>1397.83</v>
      </c>
      <c r="P354" s="44">
        <v>1145.76</v>
      </c>
      <c r="Q354" s="44">
        <v>1397.83</v>
      </c>
      <c r="R354" s="44">
        <v>1145.76</v>
      </c>
      <c r="S354" s="44">
        <v>1118.26</v>
      </c>
      <c r="T354" s="44">
        <v>916.61</v>
      </c>
      <c r="U354" s="42"/>
      <c r="V354" s="42"/>
      <c r="W354" s="42" t="s">
        <v>40</v>
      </c>
      <c r="X354" s="45">
        <v>0.17599999999999999</v>
      </c>
      <c r="Y354" s="46">
        <v>5.4100000000000003E-4</v>
      </c>
      <c r="Z354" s="21">
        <v>4601004346833</v>
      </c>
    </row>
    <row r="355" spans="1:26" ht="12" customHeight="1" outlineLevel="4" x14ac:dyDescent="0.2">
      <c r="A355" s="40" t="s">
        <v>723</v>
      </c>
      <c r="B355" s="75" t="s">
        <v>724</v>
      </c>
      <c r="C355" s="51"/>
      <c r="D355" s="54">
        <f t="shared" si="5"/>
        <v>0</v>
      </c>
      <c r="E355" s="62"/>
      <c r="F355" s="42" t="s">
        <v>39</v>
      </c>
      <c r="G355" s="41" t="s">
        <v>40</v>
      </c>
      <c r="H355" s="41"/>
      <c r="I355" s="41"/>
      <c r="J355" s="43">
        <v>278</v>
      </c>
      <c r="K355" s="41" t="s">
        <v>662</v>
      </c>
      <c r="L355" s="43">
        <v>1</v>
      </c>
      <c r="M355" s="43">
        <v>100</v>
      </c>
      <c r="N355" s="43">
        <v>1</v>
      </c>
      <c r="O355" s="44">
        <v>1468.58</v>
      </c>
      <c r="P355" s="44">
        <v>1203.75</v>
      </c>
      <c r="Q355" s="44">
        <v>1468.58</v>
      </c>
      <c r="R355" s="44">
        <v>1203.75</v>
      </c>
      <c r="S355" s="44">
        <v>1174.8599999999999</v>
      </c>
      <c r="T355" s="44">
        <v>963</v>
      </c>
      <c r="U355" s="42"/>
      <c r="V355" s="42"/>
      <c r="W355" s="42" t="s">
        <v>40</v>
      </c>
      <c r="X355" s="45">
        <v>0.17699999999999999</v>
      </c>
      <c r="Y355" s="46">
        <v>5.2499999999999997E-4</v>
      </c>
      <c r="Z355" s="21">
        <v>4601004346895</v>
      </c>
    </row>
    <row r="356" spans="1:26" ht="12" customHeight="1" outlineLevel="4" x14ac:dyDescent="0.2">
      <c r="A356" s="40" t="s">
        <v>725</v>
      </c>
      <c r="B356" s="75" t="s">
        <v>726</v>
      </c>
      <c r="C356" s="51"/>
      <c r="D356" s="54">
        <f t="shared" si="5"/>
        <v>0</v>
      </c>
      <c r="E356" s="62"/>
      <c r="F356" s="42" t="s">
        <v>39</v>
      </c>
      <c r="G356" s="41" t="s">
        <v>40</v>
      </c>
      <c r="H356" s="41"/>
      <c r="I356" s="41"/>
      <c r="J356" s="43">
        <v>278</v>
      </c>
      <c r="K356" s="41" t="s">
        <v>662</v>
      </c>
      <c r="L356" s="43">
        <v>1</v>
      </c>
      <c r="M356" s="43">
        <v>100</v>
      </c>
      <c r="N356" s="43">
        <v>1</v>
      </c>
      <c r="O356" s="44">
        <v>1455.58</v>
      </c>
      <c r="P356" s="44">
        <v>1193.0999999999999</v>
      </c>
      <c r="Q356" s="44">
        <v>1455.58</v>
      </c>
      <c r="R356" s="44">
        <v>1193.0999999999999</v>
      </c>
      <c r="S356" s="44">
        <v>1164.46</v>
      </c>
      <c r="T356" s="44">
        <v>954.48</v>
      </c>
      <c r="U356" s="42"/>
      <c r="V356" s="42"/>
      <c r="W356" s="42" t="s">
        <v>40</v>
      </c>
      <c r="X356" s="45">
        <v>0.17599999999999999</v>
      </c>
      <c r="Y356" s="46">
        <v>5.3499999999999999E-4</v>
      </c>
      <c r="Z356" s="21">
        <v>4601004346932</v>
      </c>
    </row>
    <row r="357" spans="1:26" ht="12" customHeight="1" outlineLevel="4" x14ac:dyDescent="0.2">
      <c r="A357" s="40" t="s">
        <v>727</v>
      </c>
      <c r="B357" s="75" t="s">
        <v>728</v>
      </c>
      <c r="C357" s="51"/>
      <c r="D357" s="54">
        <f t="shared" si="5"/>
        <v>0</v>
      </c>
      <c r="E357" s="62"/>
      <c r="F357" s="42" t="s">
        <v>39</v>
      </c>
      <c r="G357" s="41" t="s">
        <v>40</v>
      </c>
      <c r="H357" s="41"/>
      <c r="I357" s="41"/>
      <c r="J357" s="43">
        <v>375</v>
      </c>
      <c r="K357" s="41" t="s">
        <v>662</v>
      </c>
      <c r="L357" s="43">
        <v>1</v>
      </c>
      <c r="M357" s="43">
        <v>100</v>
      </c>
      <c r="N357" s="43">
        <v>1</v>
      </c>
      <c r="O357" s="44">
        <v>1196.74</v>
      </c>
      <c r="P357" s="44">
        <v>980.93</v>
      </c>
      <c r="Q357" s="44">
        <v>1196.74</v>
      </c>
      <c r="R357" s="44">
        <v>980.93</v>
      </c>
      <c r="S357" s="44">
        <v>957.39</v>
      </c>
      <c r="T357" s="44">
        <v>784.75</v>
      </c>
      <c r="U357" s="42"/>
      <c r="V357" s="42"/>
      <c r="W357" s="42" t="s">
        <v>40</v>
      </c>
      <c r="X357" s="45">
        <v>0.17699999999999999</v>
      </c>
      <c r="Y357" s="46">
        <v>5.4000000000000001E-4</v>
      </c>
      <c r="Z357" s="21">
        <v>4601004346956</v>
      </c>
    </row>
    <row r="358" spans="1:26" ht="12" customHeight="1" outlineLevel="4" x14ac:dyDescent="0.2">
      <c r="A358" s="40" t="s">
        <v>729</v>
      </c>
      <c r="B358" s="75" t="s">
        <v>730</v>
      </c>
      <c r="C358" s="51"/>
      <c r="D358" s="54">
        <f t="shared" si="5"/>
        <v>0</v>
      </c>
      <c r="E358" s="62"/>
      <c r="F358" s="42" t="s">
        <v>39</v>
      </c>
      <c r="G358" s="41" t="s">
        <v>40</v>
      </c>
      <c r="H358" s="41"/>
      <c r="I358" s="41"/>
      <c r="J358" s="43">
        <v>360</v>
      </c>
      <c r="K358" s="41" t="s">
        <v>662</v>
      </c>
      <c r="L358" s="43">
        <v>1</v>
      </c>
      <c r="M358" s="43">
        <v>100</v>
      </c>
      <c r="N358" s="43">
        <v>1</v>
      </c>
      <c r="O358" s="44">
        <v>1455.58</v>
      </c>
      <c r="P358" s="44">
        <v>1193.0999999999999</v>
      </c>
      <c r="Q358" s="44">
        <v>1455.58</v>
      </c>
      <c r="R358" s="44">
        <v>1193.0999999999999</v>
      </c>
      <c r="S358" s="44">
        <v>1164.46</v>
      </c>
      <c r="T358" s="44">
        <v>954.48</v>
      </c>
      <c r="U358" s="42"/>
      <c r="V358" s="42"/>
      <c r="W358" s="42" t="s">
        <v>40</v>
      </c>
      <c r="X358" s="45">
        <v>0.17699999999999999</v>
      </c>
      <c r="Y358" s="46">
        <v>5.1699999999999999E-4</v>
      </c>
      <c r="Z358" s="21">
        <v>4601004346918</v>
      </c>
    </row>
    <row r="359" spans="1:26" ht="12" customHeight="1" outlineLevel="4" x14ac:dyDescent="0.2">
      <c r="A359" s="40" t="s">
        <v>731</v>
      </c>
      <c r="B359" s="75" t="s">
        <v>732</v>
      </c>
      <c r="C359" s="51"/>
      <c r="D359" s="54">
        <f t="shared" si="5"/>
        <v>0</v>
      </c>
      <c r="E359" s="62"/>
      <c r="F359" s="42" t="s">
        <v>39</v>
      </c>
      <c r="G359" s="41" t="s">
        <v>40</v>
      </c>
      <c r="H359" s="41"/>
      <c r="I359" s="41"/>
      <c r="J359" s="43">
        <v>440</v>
      </c>
      <c r="K359" s="41"/>
      <c r="L359" s="43">
        <v>1</v>
      </c>
      <c r="M359" s="43">
        <v>100</v>
      </c>
      <c r="N359" s="43">
        <v>1</v>
      </c>
      <c r="O359" s="44">
        <v>2667.88</v>
      </c>
      <c r="P359" s="44">
        <v>2186.79</v>
      </c>
      <c r="Q359" s="44">
        <v>2667.88</v>
      </c>
      <c r="R359" s="44">
        <v>2186.79</v>
      </c>
      <c r="S359" s="44">
        <v>2134.3000000000002</v>
      </c>
      <c r="T359" s="44">
        <v>1749.43</v>
      </c>
      <c r="U359" s="42"/>
      <c r="V359" s="42"/>
      <c r="W359" s="42" t="s">
        <v>40</v>
      </c>
      <c r="X359" s="45">
        <v>0.193</v>
      </c>
      <c r="Y359" s="46">
        <v>5.1599999999999997E-4</v>
      </c>
      <c r="Z359" s="21">
        <v>4601004346970</v>
      </c>
    </row>
    <row r="360" spans="1:26" ht="12" customHeight="1" outlineLevel="4" x14ac:dyDescent="0.2">
      <c r="A360" s="40" t="s">
        <v>733</v>
      </c>
      <c r="B360" s="75" t="s">
        <v>734</v>
      </c>
      <c r="C360" s="51"/>
      <c r="D360" s="54">
        <f t="shared" si="5"/>
        <v>0</v>
      </c>
      <c r="E360" s="62"/>
      <c r="F360" s="42" t="s">
        <v>39</v>
      </c>
      <c r="G360" s="41" t="s">
        <v>40</v>
      </c>
      <c r="H360" s="41"/>
      <c r="I360" s="41"/>
      <c r="J360" s="43">
        <v>440</v>
      </c>
      <c r="K360" s="41"/>
      <c r="L360" s="43">
        <v>1</v>
      </c>
      <c r="M360" s="43">
        <v>100</v>
      </c>
      <c r="N360" s="43">
        <v>1</v>
      </c>
      <c r="O360" s="44">
        <v>2598.2800000000002</v>
      </c>
      <c r="P360" s="44">
        <v>2129.7399999999998</v>
      </c>
      <c r="Q360" s="44">
        <v>2598.2800000000002</v>
      </c>
      <c r="R360" s="44">
        <v>2129.7399999999998</v>
      </c>
      <c r="S360" s="44">
        <v>2078.62</v>
      </c>
      <c r="T360" s="44">
        <v>1703.79</v>
      </c>
      <c r="U360" s="42"/>
      <c r="V360" s="42"/>
      <c r="W360" s="42" t="s">
        <v>40</v>
      </c>
      <c r="X360" s="45">
        <v>0.193</v>
      </c>
      <c r="Y360" s="46">
        <v>5.1599999999999997E-4</v>
      </c>
      <c r="Z360" s="21">
        <v>4601004347014</v>
      </c>
    </row>
    <row r="361" spans="1:26" ht="12" customHeight="1" outlineLevel="4" x14ac:dyDescent="0.2">
      <c r="A361" s="40" t="s">
        <v>735</v>
      </c>
      <c r="B361" s="75" t="s">
        <v>736</v>
      </c>
      <c r="C361" s="51"/>
      <c r="D361" s="54">
        <f t="shared" si="5"/>
        <v>0</v>
      </c>
      <c r="E361" s="62"/>
      <c r="F361" s="42" t="s">
        <v>39</v>
      </c>
      <c r="G361" s="41" t="s">
        <v>40</v>
      </c>
      <c r="H361" s="41"/>
      <c r="I361" s="41"/>
      <c r="J361" s="43">
        <v>440</v>
      </c>
      <c r="K361" s="41"/>
      <c r="L361" s="43">
        <v>1</v>
      </c>
      <c r="M361" s="43">
        <v>100</v>
      </c>
      <c r="N361" s="43">
        <v>1</v>
      </c>
      <c r="O361" s="44">
        <v>2224.0700000000002</v>
      </c>
      <c r="P361" s="44">
        <v>1823.01</v>
      </c>
      <c r="Q361" s="44">
        <v>2224.0700000000002</v>
      </c>
      <c r="R361" s="44">
        <v>1823.01</v>
      </c>
      <c r="S361" s="44">
        <v>1779.26</v>
      </c>
      <c r="T361" s="44">
        <v>1458.41</v>
      </c>
      <c r="U361" s="42"/>
      <c r="V361" s="42"/>
      <c r="W361" s="42" t="s">
        <v>40</v>
      </c>
      <c r="X361" s="45">
        <v>0.193</v>
      </c>
      <c r="Y361" s="46">
        <v>5.1800000000000001E-4</v>
      </c>
      <c r="Z361" s="21">
        <v>4601004347038</v>
      </c>
    </row>
    <row r="362" spans="1:26" ht="12" customHeight="1" outlineLevel="4" x14ac:dyDescent="0.2">
      <c r="A362" s="40" t="s">
        <v>737</v>
      </c>
      <c r="B362" s="75" t="s">
        <v>738</v>
      </c>
      <c r="C362" s="51"/>
      <c r="D362" s="54">
        <f t="shared" si="5"/>
        <v>0</v>
      </c>
      <c r="E362" s="62"/>
      <c r="F362" s="42" t="s">
        <v>39</v>
      </c>
      <c r="G362" s="41" t="s">
        <v>40</v>
      </c>
      <c r="H362" s="41"/>
      <c r="I362" s="41"/>
      <c r="J362" s="43">
        <v>438</v>
      </c>
      <c r="K362" s="41"/>
      <c r="L362" s="43">
        <v>1</v>
      </c>
      <c r="M362" s="43">
        <v>100</v>
      </c>
      <c r="N362" s="43">
        <v>1</v>
      </c>
      <c r="O362" s="44">
        <v>2598.2800000000002</v>
      </c>
      <c r="P362" s="44">
        <v>2129.7399999999998</v>
      </c>
      <c r="Q362" s="44">
        <v>2598.2800000000002</v>
      </c>
      <c r="R362" s="44">
        <v>2129.7399999999998</v>
      </c>
      <c r="S362" s="44">
        <v>2078.62</v>
      </c>
      <c r="T362" s="44">
        <v>1703.79</v>
      </c>
      <c r="U362" s="42"/>
      <c r="V362" s="42"/>
      <c r="W362" s="42" t="s">
        <v>40</v>
      </c>
      <c r="X362" s="45">
        <v>0.193</v>
      </c>
      <c r="Y362" s="46">
        <v>5.1500000000000005E-4</v>
      </c>
      <c r="Z362" s="21">
        <v>4601004346994</v>
      </c>
    </row>
    <row r="363" spans="1:26" ht="12" customHeight="1" outlineLevel="4" x14ac:dyDescent="0.2">
      <c r="A363" s="40" t="s">
        <v>739</v>
      </c>
      <c r="B363" s="75" t="s">
        <v>740</v>
      </c>
      <c r="C363" s="51"/>
      <c r="D363" s="54">
        <f t="shared" si="5"/>
        <v>0</v>
      </c>
      <c r="E363" s="62"/>
      <c r="F363" s="42" t="s">
        <v>39</v>
      </c>
      <c r="G363" s="41" t="s">
        <v>40</v>
      </c>
      <c r="H363" s="41"/>
      <c r="I363" s="41"/>
      <c r="J363" s="43">
        <v>822</v>
      </c>
      <c r="K363" s="41"/>
      <c r="L363" s="43">
        <v>1</v>
      </c>
      <c r="M363" s="43">
        <v>100</v>
      </c>
      <c r="N363" s="43">
        <v>1</v>
      </c>
      <c r="O363" s="44">
        <v>1973.64</v>
      </c>
      <c r="P363" s="44">
        <v>1617.74</v>
      </c>
      <c r="Q363" s="44">
        <v>1973.64</v>
      </c>
      <c r="R363" s="44">
        <v>1617.74</v>
      </c>
      <c r="S363" s="44">
        <v>1578.91</v>
      </c>
      <c r="T363" s="44">
        <v>1294.19</v>
      </c>
      <c r="U363" s="42"/>
      <c r="V363" s="42"/>
      <c r="W363" s="42" t="s">
        <v>40</v>
      </c>
      <c r="X363" s="45">
        <v>0.185</v>
      </c>
      <c r="Y363" s="46">
        <v>5.3700000000000004E-4</v>
      </c>
      <c r="Z363" s="21">
        <v>4601004347137</v>
      </c>
    </row>
    <row r="364" spans="1:26" ht="12" customHeight="1" outlineLevel="4" x14ac:dyDescent="0.2">
      <c r="A364" s="40" t="s">
        <v>741</v>
      </c>
      <c r="B364" s="75" t="s">
        <v>742</v>
      </c>
      <c r="C364" s="51"/>
      <c r="D364" s="54">
        <f t="shared" si="5"/>
        <v>0</v>
      </c>
      <c r="E364" s="62"/>
      <c r="F364" s="42" t="s">
        <v>39</v>
      </c>
      <c r="G364" s="41" t="s">
        <v>40</v>
      </c>
      <c r="H364" s="41"/>
      <c r="I364" s="41"/>
      <c r="J364" s="43">
        <v>821</v>
      </c>
      <c r="K364" s="41" t="s">
        <v>662</v>
      </c>
      <c r="L364" s="43">
        <v>1</v>
      </c>
      <c r="M364" s="43">
        <v>100</v>
      </c>
      <c r="N364" s="43">
        <v>1</v>
      </c>
      <c r="O364" s="44">
        <v>1955.95</v>
      </c>
      <c r="P364" s="44">
        <v>1603.24</v>
      </c>
      <c r="Q364" s="44">
        <v>1955.95</v>
      </c>
      <c r="R364" s="44">
        <v>1603.24</v>
      </c>
      <c r="S364" s="44">
        <v>1564.76</v>
      </c>
      <c r="T364" s="44">
        <v>1282.5899999999999</v>
      </c>
      <c r="U364" s="42"/>
      <c r="V364" s="42"/>
      <c r="W364" s="42" t="s">
        <v>40</v>
      </c>
      <c r="X364" s="45">
        <v>0.185</v>
      </c>
      <c r="Y364" s="46">
        <v>5.3799999999999996E-4</v>
      </c>
      <c r="Z364" s="21">
        <v>4601004347175</v>
      </c>
    </row>
    <row r="365" spans="1:26" ht="12" customHeight="1" outlineLevel="4" x14ac:dyDescent="0.2">
      <c r="A365" s="40" t="s">
        <v>743</v>
      </c>
      <c r="B365" s="75" t="s">
        <v>744</v>
      </c>
      <c r="C365" s="51"/>
      <c r="D365" s="54">
        <f t="shared" si="5"/>
        <v>0</v>
      </c>
      <c r="E365" s="62"/>
      <c r="F365" s="42" t="s">
        <v>39</v>
      </c>
      <c r="G365" s="41" t="s">
        <v>40</v>
      </c>
      <c r="H365" s="41"/>
      <c r="I365" s="41"/>
      <c r="J365" s="47">
        <v>1011</v>
      </c>
      <c r="K365" s="41" t="s">
        <v>662</v>
      </c>
      <c r="L365" s="43">
        <v>1</v>
      </c>
      <c r="M365" s="43">
        <v>100</v>
      </c>
      <c r="N365" s="43">
        <v>1</v>
      </c>
      <c r="O365" s="44">
        <v>1615.36</v>
      </c>
      <c r="P365" s="44">
        <v>1324.07</v>
      </c>
      <c r="Q365" s="44">
        <v>1615.36</v>
      </c>
      <c r="R365" s="44">
        <v>1324.07</v>
      </c>
      <c r="S365" s="44">
        <v>1292.29</v>
      </c>
      <c r="T365" s="44">
        <v>1059.25</v>
      </c>
      <c r="U365" s="42"/>
      <c r="V365" s="42"/>
      <c r="W365" s="42" t="s">
        <v>40</v>
      </c>
      <c r="X365" s="45">
        <v>0.185</v>
      </c>
      <c r="Y365" s="46">
        <v>5.3799999999999996E-4</v>
      </c>
      <c r="Z365" s="21">
        <v>4601004347199</v>
      </c>
    </row>
    <row r="366" spans="1:26" ht="12" customHeight="1" outlineLevel="4" x14ac:dyDescent="0.2">
      <c r="A366" s="40" t="s">
        <v>745</v>
      </c>
      <c r="B366" s="75" t="s">
        <v>746</v>
      </c>
      <c r="C366" s="51"/>
      <c r="D366" s="54">
        <f t="shared" si="5"/>
        <v>0</v>
      </c>
      <c r="E366" s="62"/>
      <c r="F366" s="42" t="s">
        <v>39</v>
      </c>
      <c r="G366" s="41" t="s">
        <v>40</v>
      </c>
      <c r="H366" s="41"/>
      <c r="I366" s="41"/>
      <c r="J366" s="47">
        <v>1010</v>
      </c>
      <c r="K366" s="41" t="s">
        <v>662</v>
      </c>
      <c r="L366" s="43">
        <v>1</v>
      </c>
      <c r="M366" s="43">
        <v>100</v>
      </c>
      <c r="N366" s="43">
        <v>1</v>
      </c>
      <c r="O366" s="44">
        <v>1955.95</v>
      </c>
      <c r="P366" s="44">
        <v>1603.24</v>
      </c>
      <c r="Q366" s="44">
        <v>1955.95</v>
      </c>
      <c r="R366" s="44">
        <v>1603.24</v>
      </c>
      <c r="S366" s="44">
        <v>1564.76</v>
      </c>
      <c r="T366" s="44">
        <v>1282.5899999999999</v>
      </c>
      <c r="U366" s="42"/>
      <c r="V366" s="42"/>
      <c r="W366" s="42" t="s">
        <v>40</v>
      </c>
      <c r="X366" s="45">
        <v>0.185</v>
      </c>
      <c r="Y366" s="46">
        <v>5.3600000000000002E-4</v>
      </c>
      <c r="Z366" s="21">
        <v>4601004347151</v>
      </c>
    </row>
    <row r="367" spans="1:26" ht="12" customHeight="1" outlineLevel="4" x14ac:dyDescent="0.2">
      <c r="A367" s="40" t="s">
        <v>747</v>
      </c>
      <c r="B367" s="75" t="s">
        <v>748</v>
      </c>
      <c r="C367" s="51"/>
      <c r="D367" s="54">
        <f t="shared" si="5"/>
        <v>0</v>
      </c>
      <c r="E367" s="62"/>
      <c r="F367" s="42" t="s">
        <v>39</v>
      </c>
      <c r="G367" s="41" t="s">
        <v>40</v>
      </c>
      <c r="H367" s="41"/>
      <c r="I367" s="41"/>
      <c r="J367" s="43">
        <v>374</v>
      </c>
      <c r="K367" s="41" t="s">
        <v>662</v>
      </c>
      <c r="L367" s="43">
        <v>1</v>
      </c>
      <c r="M367" s="43">
        <v>100</v>
      </c>
      <c r="N367" s="43">
        <v>1</v>
      </c>
      <c r="O367" s="44">
        <v>1831.73</v>
      </c>
      <c r="P367" s="44">
        <v>1501.42</v>
      </c>
      <c r="Q367" s="44">
        <v>1831.73</v>
      </c>
      <c r="R367" s="44">
        <v>1501.42</v>
      </c>
      <c r="S367" s="44">
        <v>1465.38</v>
      </c>
      <c r="T367" s="44">
        <v>1201.1300000000001</v>
      </c>
      <c r="U367" s="42"/>
      <c r="V367" s="42"/>
      <c r="W367" s="42" t="s">
        <v>40</v>
      </c>
      <c r="X367" s="45">
        <v>0.17699999999999999</v>
      </c>
      <c r="Y367" s="46">
        <v>5.2800000000000004E-4</v>
      </c>
      <c r="Z367" s="21">
        <v>4601004347298</v>
      </c>
    </row>
    <row r="368" spans="1:26" ht="12" customHeight="1" outlineLevel="4" x14ac:dyDescent="0.2">
      <c r="A368" s="40" t="s">
        <v>749</v>
      </c>
      <c r="B368" s="75" t="s">
        <v>750</v>
      </c>
      <c r="C368" s="51"/>
      <c r="D368" s="54">
        <f t="shared" si="5"/>
        <v>0</v>
      </c>
      <c r="E368" s="62"/>
      <c r="F368" s="42" t="s">
        <v>39</v>
      </c>
      <c r="G368" s="41" t="s">
        <v>40</v>
      </c>
      <c r="H368" s="41"/>
      <c r="I368" s="41"/>
      <c r="J368" s="43">
        <v>369</v>
      </c>
      <c r="K368" s="41" t="s">
        <v>662</v>
      </c>
      <c r="L368" s="43">
        <v>1</v>
      </c>
      <c r="M368" s="43">
        <v>100</v>
      </c>
      <c r="N368" s="43">
        <v>1</v>
      </c>
      <c r="O368" s="44">
        <v>1783.95</v>
      </c>
      <c r="P368" s="44">
        <v>1462.25</v>
      </c>
      <c r="Q368" s="44">
        <v>1783.95</v>
      </c>
      <c r="R368" s="44">
        <v>1462.25</v>
      </c>
      <c r="S368" s="44">
        <v>1427.16</v>
      </c>
      <c r="T368" s="44">
        <v>1169.8</v>
      </c>
      <c r="U368" s="42"/>
      <c r="V368" s="42"/>
      <c r="W368" s="42" t="s">
        <v>40</v>
      </c>
      <c r="X368" s="45">
        <v>0.17699999999999999</v>
      </c>
      <c r="Y368" s="46">
        <v>5.2099999999999998E-4</v>
      </c>
      <c r="Z368" s="21">
        <v>4601004347335</v>
      </c>
    </row>
    <row r="369" spans="1:26" ht="12" customHeight="1" outlineLevel="4" x14ac:dyDescent="0.2">
      <c r="A369" s="40" t="s">
        <v>751</v>
      </c>
      <c r="B369" s="75" t="s">
        <v>752</v>
      </c>
      <c r="C369" s="51"/>
      <c r="D369" s="54">
        <f t="shared" si="5"/>
        <v>0</v>
      </c>
      <c r="E369" s="62"/>
      <c r="F369" s="42" t="s">
        <v>39</v>
      </c>
      <c r="G369" s="41" t="s">
        <v>40</v>
      </c>
      <c r="H369" s="41"/>
      <c r="I369" s="41"/>
      <c r="J369" s="43">
        <v>671</v>
      </c>
      <c r="K369" s="41"/>
      <c r="L369" s="43">
        <v>1</v>
      </c>
      <c r="M369" s="43">
        <v>100</v>
      </c>
      <c r="N369" s="43">
        <v>1</v>
      </c>
      <c r="O369" s="44">
        <v>1506.01</v>
      </c>
      <c r="P369" s="44">
        <v>1234.43</v>
      </c>
      <c r="Q369" s="44">
        <v>1506.01</v>
      </c>
      <c r="R369" s="44">
        <v>1234.43</v>
      </c>
      <c r="S369" s="44">
        <v>1204.81</v>
      </c>
      <c r="T369" s="44">
        <v>987.55</v>
      </c>
      <c r="U369" s="42"/>
      <c r="V369" s="42"/>
      <c r="W369" s="42" t="s">
        <v>40</v>
      </c>
      <c r="X369" s="45">
        <v>0.17699999999999999</v>
      </c>
      <c r="Y369" s="46">
        <v>5.2700000000000002E-4</v>
      </c>
      <c r="Z369" s="21">
        <v>4601004347359</v>
      </c>
    </row>
    <row r="370" spans="1:26" ht="12" customHeight="1" outlineLevel="4" x14ac:dyDescent="0.2">
      <c r="A370" s="40" t="s">
        <v>753</v>
      </c>
      <c r="B370" s="75" t="s">
        <v>754</v>
      </c>
      <c r="C370" s="51"/>
      <c r="D370" s="54">
        <f t="shared" si="5"/>
        <v>0</v>
      </c>
      <c r="E370" s="62"/>
      <c r="F370" s="42" t="s">
        <v>39</v>
      </c>
      <c r="G370" s="41" t="s">
        <v>40</v>
      </c>
      <c r="H370" s="41"/>
      <c r="I370" s="41"/>
      <c r="J370" s="43">
        <v>621</v>
      </c>
      <c r="K370" s="41" t="s">
        <v>662</v>
      </c>
      <c r="L370" s="43">
        <v>1</v>
      </c>
      <c r="M370" s="43">
        <v>100</v>
      </c>
      <c r="N370" s="43">
        <v>1</v>
      </c>
      <c r="O370" s="44">
        <v>1783.95</v>
      </c>
      <c r="P370" s="44">
        <v>1462.25</v>
      </c>
      <c r="Q370" s="44">
        <v>1783.95</v>
      </c>
      <c r="R370" s="44">
        <v>1462.25</v>
      </c>
      <c r="S370" s="44">
        <v>1427.16</v>
      </c>
      <c r="T370" s="44">
        <v>1169.8</v>
      </c>
      <c r="U370" s="42"/>
      <c r="V370" s="42"/>
      <c r="W370" s="42" t="s">
        <v>40</v>
      </c>
      <c r="X370" s="45">
        <v>0.17699999999999999</v>
      </c>
      <c r="Y370" s="46">
        <v>5.2599999999999999E-4</v>
      </c>
      <c r="Z370" s="21">
        <v>4601004347311</v>
      </c>
    </row>
    <row r="371" spans="1:26" ht="12" customHeight="1" outlineLevel="4" x14ac:dyDescent="0.2">
      <c r="A371" s="40" t="s">
        <v>755</v>
      </c>
      <c r="B371" s="75" t="s">
        <v>756</v>
      </c>
      <c r="C371" s="51"/>
      <c r="D371" s="54">
        <f t="shared" si="5"/>
        <v>0</v>
      </c>
      <c r="E371" s="62"/>
      <c r="F371" s="42" t="s">
        <v>39</v>
      </c>
      <c r="G371" s="41" t="s">
        <v>40</v>
      </c>
      <c r="H371" s="41"/>
      <c r="I371" s="41"/>
      <c r="J371" s="43">
        <v>144</v>
      </c>
      <c r="K371" s="41" t="s">
        <v>662</v>
      </c>
      <c r="L371" s="43">
        <v>1</v>
      </c>
      <c r="M371" s="43">
        <v>100</v>
      </c>
      <c r="N371" s="43">
        <v>1</v>
      </c>
      <c r="O371" s="44">
        <v>1554.62</v>
      </c>
      <c r="P371" s="44">
        <v>1274.28</v>
      </c>
      <c r="Q371" s="44">
        <v>1554.62</v>
      </c>
      <c r="R371" s="44">
        <v>1274.28</v>
      </c>
      <c r="S371" s="44">
        <v>1243.7</v>
      </c>
      <c r="T371" s="44">
        <v>1019.43</v>
      </c>
      <c r="U371" s="42"/>
      <c r="V371" s="42"/>
      <c r="W371" s="42" t="s">
        <v>40</v>
      </c>
      <c r="X371" s="45">
        <v>0.18099999999999999</v>
      </c>
      <c r="Y371" s="46">
        <v>5.3700000000000004E-4</v>
      </c>
      <c r="Z371" s="21">
        <v>4601004347373</v>
      </c>
    </row>
    <row r="372" spans="1:26" ht="12" customHeight="1" outlineLevel="4" x14ac:dyDescent="0.2">
      <c r="A372" s="40" t="s">
        <v>757</v>
      </c>
      <c r="B372" s="75" t="s">
        <v>758</v>
      </c>
      <c r="C372" s="51"/>
      <c r="D372" s="54">
        <f t="shared" si="5"/>
        <v>0</v>
      </c>
      <c r="E372" s="62"/>
      <c r="F372" s="42" t="s">
        <v>39</v>
      </c>
      <c r="G372" s="41" t="s">
        <v>40</v>
      </c>
      <c r="H372" s="41"/>
      <c r="I372" s="41"/>
      <c r="J372" s="43">
        <v>181</v>
      </c>
      <c r="K372" s="41" t="s">
        <v>662</v>
      </c>
      <c r="L372" s="43">
        <v>1</v>
      </c>
      <c r="M372" s="43">
        <v>100</v>
      </c>
      <c r="N372" s="43">
        <v>1</v>
      </c>
      <c r="O372" s="44">
        <v>1514.06</v>
      </c>
      <c r="P372" s="44">
        <v>1241.03</v>
      </c>
      <c r="Q372" s="44">
        <v>1514.06</v>
      </c>
      <c r="R372" s="44">
        <v>1241.03</v>
      </c>
      <c r="S372" s="44">
        <v>1211.25</v>
      </c>
      <c r="T372" s="44">
        <v>992.83</v>
      </c>
      <c r="U372" s="42"/>
      <c r="V372" s="42"/>
      <c r="W372" s="42" t="s">
        <v>40</v>
      </c>
      <c r="X372" s="45">
        <v>0.18099999999999999</v>
      </c>
      <c r="Y372" s="46">
        <v>5.4100000000000003E-4</v>
      </c>
      <c r="Z372" s="21">
        <v>4601004347410</v>
      </c>
    </row>
    <row r="373" spans="1:26" ht="12" customHeight="1" outlineLevel="4" x14ac:dyDescent="0.2">
      <c r="A373" s="40" t="s">
        <v>759</v>
      </c>
      <c r="B373" s="75" t="s">
        <v>760</v>
      </c>
      <c r="C373" s="51"/>
      <c r="D373" s="54">
        <f t="shared" si="5"/>
        <v>0</v>
      </c>
      <c r="E373" s="62"/>
      <c r="F373" s="42" t="s">
        <v>39</v>
      </c>
      <c r="G373" s="41" t="s">
        <v>40</v>
      </c>
      <c r="H373" s="41"/>
      <c r="I373" s="41"/>
      <c r="J373" s="43">
        <v>294</v>
      </c>
      <c r="K373" s="41" t="s">
        <v>662</v>
      </c>
      <c r="L373" s="43">
        <v>1</v>
      </c>
      <c r="M373" s="43">
        <v>100</v>
      </c>
      <c r="N373" s="43">
        <v>1</v>
      </c>
      <c r="O373" s="44">
        <v>1413.29</v>
      </c>
      <c r="P373" s="44">
        <v>1158.43</v>
      </c>
      <c r="Q373" s="44">
        <v>1413.29</v>
      </c>
      <c r="R373" s="44">
        <v>1158.43</v>
      </c>
      <c r="S373" s="44">
        <v>1130.6300000000001</v>
      </c>
      <c r="T373" s="44">
        <v>926.75</v>
      </c>
      <c r="U373" s="42"/>
      <c r="V373" s="42"/>
      <c r="W373" s="42" t="s">
        <v>40</v>
      </c>
      <c r="X373" s="45">
        <v>0.18099999999999999</v>
      </c>
      <c r="Y373" s="46">
        <v>5.4900000000000001E-4</v>
      </c>
      <c r="Z373" s="21">
        <v>4601004347434</v>
      </c>
    </row>
    <row r="374" spans="1:26" ht="12" customHeight="1" outlineLevel="4" x14ac:dyDescent="0.2">
      <c r="A374" s="40" t="s">
        <v>761</v>
      </c>
      <c r="B374" s="75" t="s">
        <v>762</v>
      </c>
      <c r="C374" s="51"/>
      <c r="D374" s="54">
        <f t="shared" si="5"/>
        <v>0</v>
      </c>
      <c r="E374" s="62"/>
      <c r="F374" s="42" t="s">
        <v>39</v>
      </c>
      <c r="G374" s="41" t="s">
        <v>40</v>
      </c>
      <c r="H374" s="41"/>
      <c r="I374" s="41"/>
      <c r="J374" s="43">
        <v>245</v>
      </c>
      <c r="K374" s="41" t="s">
        <v>662</v>
      </c>
      <c r="L374" s="43">
        <v>1</v>
      </c>
      <c r="M374" s="43">
        <v>100</v>
      </c>
      <c r="N374" s="43">
        <v>1</v>
      </c>
      <c r="O374" s="44">
        <v>1514.06</v>
      </c>
      <c r="P374" s="44">
        <v>1241.03</v>
      </c>
      <c r="Q374" s="44">
        <v>1514.06</v>
      </c>
      <c r="R374" s="44">
        <v>1241.03</v>
      </c>
      <c r="S374" s="44">
        <v>1211.25</v>
      </c>
      <c r="T374" s="44">
        <v>992.83</v>
      </c>
      <c r="U374" s="42"/>
      <c r="V374" s="42"/>
      <c r="W374" s="42" t="s">
        <v>40</v>
      </c>
      <c r="X374" s="45">
        <v>0.18099999999999999</v>
      </c>
      <c r="Y374" s="46">
        <v>5.4500000000000002E-4</v>
      </c>
      <c r="Z374" s="21">
        <v>4601004347397</v>
      </c>
    </row>
    <row r="375" spans="1:26" ht="12" customHeight="1" outlineLevel="4" x14ac:dyDescent="0.2">
      <c r="A375" s="40" t="s">
        <v>763</v>
      </c>
      <c r="B375" s="75" t="s">
        <v>764</v>
      </c>
      <c r="C375" s="51"/>
      <c r="D375" s="54">
        <f t="shared" si="5"/>
        <v>0</v>
      </c>
      <c r="E375" s="62"/>
      <c r="F375" s="42" t="s">
        <v>39</v>
      </c>
      <c r="G375" s="41" t="s">
        <v>40</v>
      </c>
      <c r="H375" s="41"/>
      <c r="I375" s="41"/>
      <c r="J375" s="47">
        <v>3329</v>
      </c>
      <c r="K375" s="41" t="s">
        <v>662</v>
      </c>
      <c r="L375" s="43">
        <v>1</v>
      </c>
      <c r="M375" s="43">
        <v>150</v>
      </c>
      <c r="N375" s="43">
        <v>1</v>
      </c>
      <c r="O375" s="44">
        <v>419.6</v>
      </c>
      <c r="P375" s="44">
        <v>343.93</v>
      </c>
      <c r="Q375" s="44">
        <v>419.6</v>
      </c>
      <c r="R375" s="44">
        <v>343.93</v>
      </c>
      <c r="S375" s="44">
        <v>335.68</v>
      </c>
      <c r="T375" s="44">
        <v>275.14999999999998</v>
      </c>
      <c r="U375" s="42"/>
      <c r="V375" s="42"/>
      <c r="W375" s="42" t="s">
        <v>40</v>
      </c>
      <c r="X375" s="45">
        <v>0.1</v>
      </c>
      <c r="Y375" s="46">
        <v>2.72E-4</v>
      </c>
      <c r="Z375" s="21">
        <v>4601004347533</v>
      </c>
    </row>
    <row r="376" spans="1:26" ht="12" customHeight="1" outlineLevel="4" x14ac:dyDescent="0.2">
      <c r="A376" s="40" t="s">
        <v>765</v>
      </c>
      <c r="B376" s="75" t="s">
        <v>766</v>
      </c>
      <c r="C376" s="51"/>
      <c r="D376" s="54">
        <f t="shared" si="5"/>
        <v>0</v>
      </c>
      <c r="E376" s="62"/>
      <c r="F376" s="42" t="s">
        <v>39</v>
      </c>
      <c r="G376" s="41" t="s">
        <v>40</v>
      </c>
      <c r="H376" s="41"/>
      <c r="I376" s="41"/>
      <c r="J376" s="47">
        <v>3351</v>
      </c>
      <c r="K376" s="41" t="s">
        <v>662</v>
      </c>
      <c r="L376" s="43">
        <v>1</v>
      </c>
      <c r="M376" s="43">
        <v>150</v>
      </c>
      <c r="N376" s="43">
        <v>1</v>
      </c>
      <c r="O376" s="44">
        <v>408.66</v>
      </c>
      <c r="P376" s="44">
        <v>334.97</v>
      </c>
      <c r="Q376" s="44">
        <v>408.66</v>
      </c>
      <c r="R376" s="44">
        <v>334.97</v>
      </c>
      <c r="S376" s="44">
        <v>326.93</v>
      </c>
      <c r="T376" s="44">
        <v>267.98</v>
      </c>
      <c r="U376" s="42"/>
      <c r="V376" s="42"/>
      <c r="W376" s="42" t="s">
        <v>40</v>
      </c>
      <c r="X376" s="45">
        <v>0.1</v>
      </c>
      <c r="Y376" s="46">
        <v>2.72E-4</v>
      </c>
      <c r="Z376" s="21">
        <v>4601004347571</v>
      </c>
    </row>
    <row r="377" spans="1:26" ht="12" customHeight="1" outlineLevel="4" x14ac:dyDescent="0.2">
      <c r="A377" s="40" t="s">
        <v>767</v>
      </c>
      <c r="B377" s="75" t="s">
        <v>768</v>
      </c>
      <c r="C377" s="51"/>
      <c r="D377" s="54">
        <f t="shared" si="5"/>
        <v>0</v>
      </c>
      <c r="E377" s="62"/>
      <c r="F377" s="42" t="s">
        <v>39</v>
      </c>
      <c r="G377" s="41" t="s">
        <v>40</v>
      </c>
      <c r="H377" s="41"/>
      <c r="I377" s="41"/>
      <c r="J377" s="47">
        <v>3863</v>
      </c>
      <c r="K377" s="41" t="s">
        <v>662</v>
      </c>
      <c r="L377" s="43">
        <v>1</v>
      </c>
      <c r="M377" s="43">
        <v>150</v>
      </c>
      <c r="N377" s="43">
        <v>1</v>
      </c>
      <c r="O377" s="44">
        <v>300.25</v>
      </c>
      <c r="P377" s="44">
        <v>246.11</v>
      </c>
      <c r="Q377" s="44">
        <v>300.25</v>
      </c>
      <c r="R377" s="44">
        <v>246.11</v>
      </c>
      <c r="S377" s="44">
        <v>240.2</v>
      </c>
      <c r="T377" s="44">
        <v>196.89</v>
      </c>
      <c r="U377" s="42"/>
      <c r="V377" s="42"/>
      <c r="W377" s="42" t="s">
        <v>40</v>
      </c>
      <c r="X377" s="45">
        <v>0.1</v>
      </c>
      <c r="Y377" s="46">
        <v>2.72E-4</v>
      </c>
      <c r="Z377" s="21">
        <v>4601004347595</v>
      </c>
    </row>
    <row r="378" spans="1:26" ht="12" customHeight="1" outlineLevel="4" x14ac:dyDescent="0.2">
      <c r="A378" s="40" t="s">
        <v>769</v>
      </c>
      <c r="B378" s="75" t="s">
        <v>770</v>
      </c>
      <c r="C378" s="51"/>
      <c r="D378" s="54">
        <f t="shared" si="5"/>
        <v>0</v>
      </c>
      <c r="E378" s="62"/>
      <c r="F378" s="42" t="s">
        <v>39</v>
      </c>
      <c r="G378" s="41" t="s">
        <v>40</v>
      </c>
      <c r="H378" s="41"/>
      <c r="I378" s="41"/>
      <c r="J378" s="47">
        <v>3841</v>
      </c>
      <c r="K378" s="41" t="s">
        <v>662</v>
      </c>
      <c r="L378" s="43">
        <v>1</v>
      </c>
      <c r="M378" s="43">
        <v>150</v>
      </c>
      <c r="N378" s="43">
        <v>1</v>
      </c>
      <c r="O378" s="44">
        <v>408.66</v>
      </c>
      <c r="P378" s="44">
        <v>334.97</v>
      </c>
      <c r="Q378" s="44">
        <v>408.66</v>
      </c>
      <c r="R378" s="44">
        <v>334.97</v>
      </c>
      <c r="S378" s="44">
        <v>326.93</v>
      </c>
      <c r="T378" s="44">
        <v>267.98</v>
      </c>
      <c r="U378" s="42"/>
      <c r="V378" s="42"/>
      <c r="W378" s="42" t="s">
        <v>40</v>
      </c>
      <c r="X378" s="45">
        <v>0.1</v>
      </c>
      <c r="Y378" s="46">
        <v>2.7399999999999999E-4</v>
      </c>
      <c r="Z378" s="21">
        <v>4601004347557</v>
      </c>
    </row>
    <row r="379" spans="1:26" ht="12" customHeight="1" outlineLevel="4" x14ac:dyDescent="0.2">
      <c r="A379" s="40" t="s">
        <v>771</v>
      </c>
      <c r="B379" s="75" t="s">
        <v>772</v>
      </c>
      <c r="C379" s="51"/>
      <c r="D379" s="54">
        <f t="shared" si="5"/>
        <v>0</v>
      </c>
      <c r="E379" s="62"/>
      <c r="F379" s="42" t="s">
        <v>39</v>
      </c>
      <c r="G379" s="41" t="s">
        <v>40</v>
      </c>
      <c r="H379" s="41"/>
      <c r="I379" s="41"/>
      <c r="J379" s="47">
        <v>2290</v>
      </c>
      <c r="K379" s="41" t="s">
        <v>662</v>
      </c>
      <c r="L379" s="43">
        <v>1</v>
      </c>
      <c r="M379" s="43">
        <v>100</v>
      </c>
      <c r="N379" s="43">
        <v>1</v>
      </c>
      <c r="O379" s="44">
        <v>749.78</v>
      </c>
      <c r="P379" s="44">
        <v>614.57000000000005</v>
      </c>
      <c r="Q379" s="44">
        <v>749.78</v>
      </c>
      <c r="R379" s="44">
        <v>614.57000000000005</v>
      </c>
      <c r="S379" s="44">
        <v>599.82000000000005</v>
      </c>
      <c r="T379" s="44">
        <v>491.66</v>
      </c>
      <c r="U379" s="42"/>
      <c r="V379" s="42"/>
      <c r="W379" s="42" t="s">
        <v>40</v>
      </c>
      <c r="X379" s="45">
        <v>0.152</v>
      </c>
      <c r="Y379" s="46">
        <v>4.35E-4</v>
      </c>
      <c r="Z379" s="21">
        <v>4601004347618</v>
      </c>
    </row>
    <row r="380" spans="1:26" ht="12" customHeight="1" outlineLevel="4" x14ac:dyDescent="0.2">
      <c r="A380" s="40" t="s">
        <v>773</v>
      </c>
      <c r="B380" s="75" t="s">
        <v>774</v>
      </c>
      <c r="C380" s="51"/>
      <c r="D380" s="54">
        <f t="shared" si="5"/>
        <v>0</v>
      </c>
      <c r="E380" s="62"/>
      <c r="F380" s="42" t="s">
        <v>39</v>
      </c>
      <c r="G380" s="41" t="s">
        <v>40</v>
      </c>
      <c r="H380" s="41"/>
      <c r="I380" s="41"/>
      <c r="J380" s="47">
        <v>2359</v>
      </c>
      <c r="K380" s="41"/>
      <c r="L380" s="43">
        <v>1</v>
      </c>
      <c r="M380" s="43">
        <v>100</v>
      </c>
      <c r="N380" s="43">
        <v>1</v>
      </c>
      <c r="O380" s="44">
        <v>730.22</v>
      </c>
      <c r="P380" s="44">
        <v>598.54</v>
      </c>
      <c r="Q380" s="44">
        <v>730.22</v>
      </c>
      <c r="R380" s="44">
        <v>598.54</v>
      </c>
      <c r="S380" s="44">
        <v>584.17999999999995</v>
      </c>
      <c r="T380" s="44">
        <v>478.84</v>
      </c>
      <c r="U380" s="42"/>
      <c r="V380" s="42"/>
      <c r="W380" s="42" t="s">
        <v>40</v>
      </c>
      <c r="X380" s="45">
        <v>0.152</v>
      </c>
      <c r="Y380" s="46">
        <v>4.37E-4</v>
      </c>
      <c r="Z380" s="21">
        <v>4601004347656</v>
      </c>
    </row>
    <row r="381" spans="1:26" ht="12" customHeight="1" outlineLevel="4" x14ac:dyDescent="0.2">
      <c r="A381" s="40" t="s">
        <v>775</v>
      </c>
      <c r="B381" s="75" t="s">
        <v>776</v>
      </c>
      <c r="C381" s="51"/>
      <c r="D381" s="54">
        <f t="shared" si="5"/>
        <v>0</v>
      </c>
      <c r="E381" s="62"/>
      <c r="F381" s="42" t="s">
        <v>39</v>
      </c>
      <c r="G381" s="41" t="s">
        <v>40</v>
      </c>
      <c r="H381" s="41"/>
      <c r="I381" s="41"/>
      <c r="J381" s="47">
        <v>2319</v>
      </c>
      <c r="K381" s="41" t="s">
        <v>662</v>
      </c>
      <c r="L381" s="43">
        <v>1</v>
      </c>
      <c r="M381" s="43">
        <v>100</v>
      </c>
      <c r="N381" s="43">
        <v>1</v>
      </c>
      <c r="O381" s="44">
        <v>429.5</v>
      </c>
      <c r="P381" s="44">
        <v>352.05</v>
      </c>
      <c r="Q381" s="44">
        <v>429.5</v>
      </c>
      <c r="R381" s="44">
        <v>352.05</v>
      </c>
      <c r="S381" s="44">
        <v>343.6</v>
      </c>
      <c r="T381" s="44">
        <v>281.64</v>
      </c>
      <c r="U381" s="42"/>
      <c r="V381" s="42"/>
      <c r="W381" s="42" t="s">
        <v>40</v>
      </c>
      <c r="X381" s="45">
        <v>0.152</v>
      </c>
      <c r="Y381" s="46">
        <v>4.37E-4</v>
      </c>
      <c r="Z381" s="21">
        <v>4601004347670</v>
      </c>
    </row>
    <row r="382" spans="1:26" ht="12" customHeight="1" outlineLevel="4" x14ac:dyDescent="0.2">
      <c r="A382" s="40" t="s">
        <v>777</v>
      </c>
      <c r="B382" s="75" t="s">
        <v>778</v>
      </c>
      <c r="C382" s="51"/>
      <c r="D382" s="54">
        <f t="shared" si="5"/>
        <v>0</v>
      </c>
      <c r="E382" s="62"/>
      <c r="F382" s="42" t="s">
        <v>39</v>
      </c>
      <c r="G382" s="41" t="s">
        <v>40</v>
      </c>
      <c r="H382" s="41"/>
      <c r="I382" s="41"/>
      <c r="J382" s="47">
        <v>2403</v>
      </c>
      <c r="K382" s="41" t="s">
        <v>662</v>
      </c>
      <c r="L382" s="43">
        <v>1</v>
      </c>
      <c r="M382" s="43">
        <v>100</v>
      </c>
      <c r="N382" s="43">
        <v>1</v>
      </c>
      <c r="O382" s="44">
        <v>730.22</v>
      </c>
      <c r="P382" s="44">
        <v>598.54</v>
      </c>
      <c r="Q382" s="44">
        <v>730.22</v>
      </c>
      <c r="R382" s="44">
        <v>598.54</v>
      </c>
      <c r="S382" s="44">
        <v>584.17999999999995</v>
      </c>
      <c r="T382" s="44">
        <v>478.84</v>
      </c>
      <c r="U382" s="42"/>
      <c r="V382" s="42"/>
      <c r="W382" s="42" t="s">
        <v>40</v>
      </c>
      <c r="X382" s="45">
        <v>0.152</v>
      </c>
      <c r="Y382" s="46">
        <v>4.37E-4</v>
      </c>
      <c r="Z382" s="21">
        <v>4601004347632</v>
      </c>
    </row>
    <row r="383" spans="1:26" ht="12" customHeight="1" outlineLevel="4" x14ac:dyDescent="0.2">
      <c r="A383" s="40" t="s">
        <v>779</v>
      </c>
      <c r="B383" s="75" t="s">
        <v>780</v>
      </c>
      <c r="C383" s="51"/>
      <c r="D383" s="54">
        <f t="shared" si="5"/>
        <v>0</v>
      </c>
      <c r="E383" s="62"/>
      <c r="F383" s="42" t="s">
        <v>39</v>
      </c>
      <c r="G383" s="41" t="s">
        <v>40</v>
      </c>
      <c r="H383" s="41"/>
      <c r="I383" s="41"/>
      <c r="J383" s="43">
        <v>933</v>
      </c>
      <c r="K383" s="41"/>
      <c r="L383" s="43">
        <v>1</v>
      </c>
      <c r="M383" s="43">
        <v>100</v>
      </c>
      <c r="N383" s="43">
        <v>1</v>
      </c>
      <c r="O383" s="44">
        <v>1083.02</v>
      </c>
      <c r="P383" s="44">
        <v>887.72</v>
      </c>
      <c r="Q383" s="44">
        <v>1083.02</v>
      </c>
      <c r="R383" s="44">
        <v>887.72</v>
      </c>
      <c r="S383" s="44">
        <v>866.42</v>
      </c>
      <c r="T383" s="44">
        <v>710.18</v>
      </c>
      <c r="U383" s="42"/>
      <c r="V383" s="42"/>
      <c r="W383" s="42" t="s">
        <v>40</v>
      </c>
      <c r="X383" s="45">
        <v>0.2</v>
      </c>
      <c r="Y383" s="46">
        <v>5.4900000000000001E-4</v>
      </c>
      <c r="Z383" s="21">
        <v>4601004347694</v>
      </c>
    </row>
    <row r="384" spans="1:26" ht="12" customHeight="1" outlineLevel="4" x14ac:dyDescent="0.2">
      <c r="A384" s="40" t="s">
        <v>781</v>
      </c>
      <c r="B384" s="75" t="s">
        <v>782</v>
      </c>
      <c r="C384" s="51"/>
      <c r="D384" s="54">
        <f t="shared" si="5"/>
        <v>0</v>
      </c>
      <c r="E384" s="62"/>
      <c r="F384" s="42" t="s">
        <v>39</v>
      </c>
      <c r="G384" s="41" t="s">
        <v>40</v>
      </c>
      <c r="H384" s="41"/>
      <c r="I384" s="41"/>
      <c r="J384" s="43">
        <v>969</v>
      </c>
      <c r="K384" s="41"/>
      <c r="L384" s="43">
        <v>1</v>
      </c>
      <c r="M384" s="43">
        <v>100</v>
      </c>
      <c r="N384" s="43">
        <v>1</v>
      </c>
      <c r="O384" s="44">
        <v>1054.76</v>
      </c>
      <c r="P384" s="44">
        <v>864.56</v>
      </c>
      <c r="Q384" s="44">
        <v>1054.76</v>
      </c>
      <c r="R384" s="44">
        <v>864.56</v>
      </c>
      <c r="S384" s="44">
        <v>843.81</v>
      </c>
      <c r="T384" s="44">
        <v>691.65</v>
      </c>
      <c r="U384" s="42"/>
      <c r="V384" s="42"/>
      <c r="W384" s="42" t="s">
        <v>40</v>
      </c>
      <c r="X384" s="45">
        <v>0.2</v>
      </c>
      <c r="Y384" s="46">
        <v>5.6300000000000002E-4</v>
      </c>
      <c r="Z384" s="21">
        <v>4601004347731</v>
      </c>
    </row>
    <row r="385" spans="1:26" ht="12" customHeight="1" outlineLevel="4" x14ac:dyDescent="0.2">
      <c r="A385" s="40" t="s">
        <v>783</v>
      </c>
      <c r="B385" s="75" t="s">
        <v>784</v>
      </c>
      <c r="C385" s="51"/>
      <c r="D385" s="54">
        <f t="shared" si="5"/>
        <v>0</v>
      </c>
      <c r="E385" s="62"/>
      <c r="F385" s="42" t="s">
        <v>39</v>
      </c>
      <c r="G385" s="41" t="s">
        <v>40</v>
      </c>
      <c r="H385" s="41"/>
      <c r="I385" s="41"/>
      <c r="J385" s="43">
        <v>810</v>
      </c>
      <c r="K385" s="41" t="s">
        <v>662</v>
      </c>
      <c r="L385" s="43">
        <v>1</v>
      </c>
      <c r="M385" s="43">
        <v>100</v>
      </c>
      <c r="N385" s="43">
        <v>1</v>
      </c>
      <c r="O385" s="44">
        <v>604.38</v>
      </c>
      <c r="P385" s="44">
        <v>495.39</v>
      </c>
      <c r="Q385" s="44">
        <v>604.38</v>
      </c>
      <c r="R385" s="44">
        <v>495.39</v>
      </c>
      <c r="S385" s="44">
        <v>483.5</v>
      </c>
      <c r="T385" s="44">
        <v>396.31</v>
      </c>
      <c r="U385" s="42"/>
      <c r="V385" s="42"/>
      <c r="W385" s="42" t="s">
        <v>40</v>
      </c>
      <c r="X385" s="45">
        <v>0.2</v>
      </c>
      <c r="Y385" s="46">
        <v>5.5199999999999997E-4</v>
      </c>
      <c r="Z385" s="21">
        <v>4601004347755</v>
      </c>
    </row>
    <row r="386" spans="1:26" ht="12" customHeight="1" outlineLevel="4" x14ac:dyDescent="0.2">
      <c r="A386" s="40" t="s">
        <v>785</v>
      </c>
      <c r="B386" s="75" t="s">
        <v>786</v>
      </c>
      <c r="C386" s="51"/>
      <c r="D386" s="54">
        <f t="shared" si="5"/>
        <v>0</v>
      </c>
      <c r="E386" s="62"/>
      <c r="F386" s="42" t="s">
        <v>39</v>
      </c>
      <c r="G386" s="41" t="s">
        <v>40</v>
      </c>
      <c r="H386" s="41"/>
      <c r="I386" s="41"/>
      <c r="J386" s="43">
        <v>832</v>
      </c>
      <c r="K386" s="41"/>
      <c r="L386" s="43">
        <v>1</v>
      </c>
      <c r="M386" s="43">
        <v>100</v>
      </c>
      <c r="N386" s="43">
        <v>1</v>
      </c>
      <c r="O386" s="44">
        <v>1054.76</v>
      </c>
      <c r="P386" s="44">
        <v>864.56</v>
      </c>
      <c r="Q386" s="44">
        <v>1054.76</v>
      </c>
      <c r="R386" s="44">
        <v>864.56</v>
      </c>
      <c r="S386" s="44">
        <v>843.81</v>
      </c>
      <c r="T386" s="44">
        <v>691.65</v>
      </c>
      <c r="U386" s="42"/>
      <c r="V386" s="42"/>
      <c r="W386" s="42" t="s">
        <v>40</v>
      </c>
      <c r="X386" s="45">
        <v>0.2</v>
      </c>
      <c r="Y386" s="46">
        <v>5.5099999999999995E-4</v>
      </c>
      <c r="Z386" s="21">
        <v>4601004347717</v>
      </c>
    </row>
    <row r="387" spans="1:26" ht="12" customHeight="1" outlineLevel="4" x14ac:dyDescent="0.2">
      <c r="A387" s="40" t="s">
        <v>787</v>
      </c>
      <c r="B387" s="75" t="s">
        <v>788</v>
      </c>
      <c r="C387" s="51"/>
      <c r="D387" s="54">
        <f t="shared" si="5"/>
        <v>0</v>
      </c>
      <c r="E387" s="62"/>
      <c r="F387" s="42" t="s">
        <v>39</v>
      </c>
      <c r="G387" s="41" t="s">
        <v>40</v>
      </c>
      <c r="H387" s="41"/>
      <c r="I387" s="41"/>
      <c r="J387" s="43">
        <v>307</v>
      </c>
      <c r="K387" s="41" t="s">
        <v>662</v>
      </c>
      <c r="L387" s="43">
        <v>1</v>
      </c>
      <c r="M387" s="43">
        <v>60</v>
      </c>
      <c r="N387" s="43">
        <v>1</v>
      </c>
      <c r="O387" s="44">
        <v>1333.37</v>
      </c>
      <c r="P387" s="44">
        <v>1092.93</v>
      </c>
      <c r="Q387" s="44">
        <v>1333.37</v>
      </c>
      <c r="R387" s="44">
        <v>1092.93</v>
      </c>
      <c r="S387" s="44">
        <v>1066.7</v>
      </c>
      <c r="T387" s="44">
        <v>874.34</v>
      </c>
      <c r="U387" s="42"/>
      <c r="V387" s="42"/>
      <c r="W387" s="42" t="s">
        <v>40</v>
      </c>
      <c r="X387" s="45">
        <v>0.249</v>
      </c>
      <c r="Y387" s="46">
        <v>6.87E-4</v>
      </c>
      <c r="Z387" s="21">
        <v>4601004347779</v>
      </c>
    </row>
    <row r="388" spans="1:26" ht="12" customHeight="1" outlineLevel="4" x14ac:dyDescent="0.2">
      <c r="A388" s="40" t="s">
        <v>789</v>
      </c>
      <c r="B388" s="75" t="s">
        <v>790</v>
      </c>
      <c r="C388" s="51"/>
      <c r="D388" s="54">
        <f t="shared" si="5"/>
        <v>0</v>
      </c>
      <c r="E388" s="62"/>
      <c r="F388" s="42" t="s">
        <v>39</v>
      </c>
      <c r="G388" s="41" t="s">
        <v>40</v>
      </c>
      <c r="H388" s="41"/>
      <c r="I388" s="41"/>
      <c r="J388" s="43">
        <v>321</v>
      </c>
      <c r="K388" s="41" t="s">
        <v>662</v>
      </c>
      <c r="L388" s="43">
        <v>1</v>
      </c>
      <c r="M388" s="43">
        <v>60</v>
      </c>
      <c r="N388" s="43">
        <v>1</v>
      </c>
      <c r="O388" s="44">
        <v>1298.5999999999999</v>
      </c>
      <c r="P388" s="44">
        <v>1064.43</v>
      </c>
      <c r="Q388" s="44">
        <v>1298.5999999999999</v>
      </c>
      <c r="R388" s="44">
        <v>1064.43</v>
      </c>
      <c r="S388" s="44">
        <v>1038.8800000000001</v>
      </c>
      <c r="T388" s="44">
        <v>851.54</v>
      </c>
      <c r="U388" s="42"/>
      <c r="V388" s="42"/>
      <c r="W388" s="42" t="s">
        <v>40</v>
      </c>
      <c r="X388" s="45">
        <v>0.249</v>
      </c>
      <c r="Y388" s="46">
        <v>6.8599999999999998E-4</v>
      </c>
      <c r="Z388" s="21">
        <v>4601004347816</v>
      </c>
    </row>
    <row r="389" spans="1:26" ht="12" customHeight="1" outlineLevel="4" x14ac:dyDescent="0.2">
      <c r="A389" s="40" t="s">
        <v>791</v>
      </c>
      <c r="B389" s="75" t="s">
        <v>792</v>
      </c>
      <c r="C389" s="51"/>
      <c r="D389" s="54">
        <f t="shared" si="5"/>
        <v>0</v>
      </c>
      <c r="E389" s="62"/>
      <c r="F389" s="42" t="s">
        <v>39</v>
      </c>
      <c r="G389" s="41" t="s">
        <v>40</v>
      </c>
      <c r="H389" s="41"/>
      <c r="I389" s="41"/>
      <c r="J389" s="43">
        <v>334</v>
      </c>
      <c r="K389" s="41" t="s">
        <v>662</v>
      </c>
      <c r="L389" s="43">
        <v>1</v>
      </c>
      <c r="M389" s="43">
        <v>60</v>
      </c>
      <c r="N389" s="43">
        <v>1</v>
      </c>
      <c r="O389" s="44">
        <v>793.8</v>
      </c>
      <c r="P389" s="44">
        <v>650.66</v>
      </c>
      <c r="Q389" s="44">
        <v>793.8</v>
      </c>
      <c r="R389" s="44">
        <v>650.66</v>
      </c>
      <c r="S389" s="44">
        <v>635.04</v>
      </c>
      <c r="T389" s="44">
        <v>520.52</v>
      </c>
      <c r="U389" s="42"/>
      <c r="V389" s="42"/>
      <c r="W389" s="42" t="s">
        <v>40</v>
      </c>
      <c r="X389" s="45">
        <v>0.249</v>
      </c>
      <c r="Y389" s="46">
        <v>6.9800000000000005E-4</v>
      </c>
      <c r="Z389" s="21">
        <v>4601004347830</v>
      </c>
    </row>
    <row r="390" spans="1:26" ht="12" customHeight="1" outlineLevel="4" x14ac:dyDescent="0.2">
      <c r="A390" s="40" t="s">
        <v>793</v>
      </c>
      <c r="B390" s="75" t="s">
        <v>794</v>
      </c>
      <c r="C390" s="51"/>
      <c r="D390" s="54">
        <f t="shared" si="5"/>
        <v>0</v>
      </c>
      <c r="E390" s="62"/>
      <c r="F390" s="42" t="s">
        <v>39</v>
      </c>
      <c r="G390" s="41" t="s">
        <v>40</v>
      </c>
      <c r="H390" s="41"/>
      <c r="I390" s="41"/>
      <c r="J390" s="43">
        <v>428</v>
      </c>
      <c r="K390" s="41"/>
      <c r="L390" s="43">
        <v>1</v>
      </c>
      <c r="M390" s="43">
        <v>60</v>
      </c>
      <c r="N390" s="43">
        <v>1</v>
      </c>
      <c r="O390" s="44">
        <v>1298.5999999999999</v>
      </c>
      <c r="P390" s="44">
        <v>1064.43</v>
      </c>
      <c r="Q390" s="44">
        <v>1298.5999999999999</v>
      </c>
      <c r="R390" s="44">
        <v>1064.43</v>
      </c>
      <c r="S390" s="44">
        <v>1038.8800000000001</v>
      </c>
      <c r="T390" s="44">
        <v>851.54</v>
      </c>
      <c r="U390" s="42"/>
      <c r="V390" s="42"/>
      <c r="W390" s="42" t="s">
        <v>40</v>
      </c>
      <c r="X390" s="45">
        <v>0.249</v>
      </c>
      <c r="Y390" s="46">
        <v>6.9399999999999996E-4</v>
      </c>
      <c r="Z390" s="21">
        <v>4601004347793</v>
      </c>
    </row>
    <row r="391" spans="1:26" ht="12" customHeight="1" outlineLevel="4" x14ac:dyDescent="0.2">
      <c r="A391" s="40" t="s">
        <v>795</v>
      </c>
      <c r="B391" s="75" t="s">
        <v>796</v>
      </c>
      <c r="C391" s="51"/>
      <c r="D391" s="54">
        <f t="shared" si="5"/>
        <v>0</v>
      </c>
      <c r="E391" s="62"/>
      <c r="F391" s="42" t="s">
        <v>39</v>
      </c>
      <c r="G391" s="41" t="s">
        <v>40</v>
      </c>
      <c r="H391" s="41"/>
      <c r="I391" s="41"/>
      <c r="J391" s="43">
        <v>345</v>
      </c>
      <c r="K391" s="41" t="s">
        <v>662</v>
      </c>
      <c r="L391" s="43">
        <v>1</v>
      </c>
      <c r="M391" s="43">
        <v>80</v>
      </c>
      <c r="N391" s="43">
        <v>1</v>
      </c>
      <c r="O391" s="44">
        <v>6350.68</v>
      </c>
      <c r="P391" s="44">
        <v>5205.4799999999996</v>
      </c>
      <c r="Q391" s="44">
        <v>6350.68</v>
      </c>
      <c r="R391" s="44">
        <v>5205.4799999999996</v>
      </c>
      <c r="S391" s="44">
        <v>5080.54</v>
      </c>
      <c r="T391" s="44">
        <v>4164.38</v>
      </c>
      <c r="U391" s="42"/>
      <c r="V391" s="42"/>
      <c r="W391" s="42" t="s">
        <v>40</v>
      </c>
      <c r="X391" s="45">
        <v>0.20599999999999999</v>
      </c>
      <c r="Y391" s="46">
        <v>6.4300000000000002E-4</v>
      </c>
      <c r="Z391" s="21">
        <v>4601004347939</v>
      </c>
    </row>
    <row r="392" spans="1:26" ht="12" customHeight="1" outlineLevel="4" x14ac:dyDescent="0.2">
      <c r="A392" s="40" t="s">
        <v>797</v>
      </c>
      <c r="B392" s="75" t="s">
        <v>798</v>
      </c>
      <c r="C392" s="51"/>
      <c r="D392" s="54">
        <f t="shared" si="5"/>
        <v>0</v>
      </c>
      <c r="E392" s="62"/>
      <c r="F392" s="42" t="s">
        <v>39</v>
      </c>
      <c r="G392" s="41" t="s">
        <v>40</v>
      </c>
      <c r="H392" s="41"/>
      <c r="I392" s="41"/>
      <c r="J392" s="43">
        <v>223</v>
      </c>
      <c r="K392" s="41" t="s">
        <v>662</v>
      </c>
      <c r="L392" s="43">
        <v>1</v>
      </c>
      <c r="M392" s="43">
        <v>80</v>
      </c>
      <c r="N392" s="43">
        <v>1</v>
      </c>
      <c r="O392" s="44">
        <v>6240.22</v>
      </c>
      <c r="P392" s="44">
        <v>5114.93</v>
      </c>
      <c r="Q392" s="44">
        <v>6240.22</v>
      </c>
      <c r="R392" s="44">
        <v>5114.93</v>
      </c>
      <c r="S392" s="44">
        <v>4992.18</v>
      </c>
      <c r="T392" s="44">
        <v>4091.95</v>
      </c>
      <c r="U392" s="42"/>
      <c r="V392" s="42"/>
      <c r="W392" s="42" t="s">
        <v>40</v>
      </c>
      <c r="X392" s="45">
        <v>0.20599999999999999</v>
      </c>
      <c r="Y392" s="46">
        <v>6.5300000000000004E-4</v>
      </c>
      <c r="Z392" s="21">
        <v>4601004347977</v>
      </c>
    </row>
    <row r="393" spans="1:26" ht="12" customHeight="1" outlineLevel="4" x14ac:dyDescent="0.2">
      <c r="A393" s="40" t="s">
        <v>799</v>
      </c>
      <c r="B393" s="75" t="s">
        <v>800</v>
      </c>
      <c r="C393" s="51"/>
      <c r="D393" s="54">
        <f t="shared" ref="D393:D456" si="6">C393*(O393-O393*$G$3)</f>
        <v>0</v>
      </c>
      <c r="E393" s="62"/>
      <c r="F393" s="42" t="s">
        <v>39</v>
      </c>
      <c r="G393" s="41" t="s">
        <v>40</v>
      </c>
      <c r="H393" s="41"/>
      <c r="I393" s="41"/>
      <c r="J393" s="43">
        <v>429</v>
      </c>
      <c r="K393" s="41" t="s">
        <v>662</v>
      </c>
      <c r="L393" s="43">
        <v>1</v>
      </c>
      <c r="M393" s="43">
        <v>80</v>
      </c>
      <c r="N393" s="43">
        <v>1</v>
      </c>
      <c r="O393" s="44">
        <v>5197.7299999999996</v>
      </c>
      <c r="P393" s="44">
        <v>4260.43</v>
      </c>
      <c r="Q393" s="44">
        <v>5197.7299999999996</v>
      </c>
      <c r="R393" s="44">
        <v>4260.43</v>
      </c>
      <c r="S393" s="44">
        <v>4158.18</v>
      </c>
      <c r="T393" s="44">
        <v>3408.34</v>
      </c>
      <c r="U393" s="42"/>
      <c r="V393" s="42"/>
      <c r="W393" s="42" t="s">
        <v>40</v>
      </c>
      <c r="X393" s="45">
        <v>0.20599999999999999</v>
      </c>
      <c r="Y393" s="46">
        <v>6.4499999999999996E-4</v>
      </c>
      <c r="Z393" s="21">
        <v>4601004347991</v>
      </c>
    </row>
    <row r="394" spans="1:26" ht="12" customHeight="1" outlineLevel="4" x14ac:dyDescent="0.2">
      <c r="A394" s="40" t="s">
        <v>801</v>
      </c>
      <c r="B394" s="75" t="s">
        <v>802</v>
      </c>
      <c r="C394" s="51"/>
      <c r="D394" s="54">
        <f t="shared" si="6"/>
        <v>0</v>
      </c>
      <c r="E394" s="62"/>
      <c r="F394" s="42" t="s">
        <v>39</v>
      </c>
      <c r="G394" s="41" t="s">
        <v>40</v>
      </c>
      <c r="H394" s="41"/>
      <c r="I394" s="41"/>
      <c r="J394" s="43">
        <v>242</v>
      </c>
      <c r="K394" s="41"/>
      <c r="L394" s="43">
        <v>1</v>
      </c>
      <c r="M394" s="43">
        <v>80</v>
      </c>
      <c r="N394" s="43">
        <v>1</v>
      </c>
      <c r="O394" s="44">
        <v>6240.22</v>
      </c>
      <c r="P394" s="44">
        <v>5114.93</v>
      </c>
      <c r="Q394" s="44">
        <v>6240.22</v>
      </c>
      <c r="R394" s="44">
        <v>5114.93</v>
      </c>
      <c r="S394" s="44">
        <v>4992.18</v>
      </c>
      <c r="T394" s="44">
        <v>4091.95</v>
      </c>
      <c r="U394" s="42"/>
      <c r="V394" s="42"/>
      <c r="W394" s="42" t="s">
        <v>40</v>
      </c>
      <c r="X394" s="45">
        <v>0.20599999999999999</v>
      </c>
      <c r="Y394" s="46">
        <v>6.4700000000000001E-4</v>
      </c>
      <c r="Z394" s="21">
        <v>4601004347953</v>
      </c>
    </row>
    <row r="395" spans="1:26" ht="12" customHeight="1" outlineLevel="4" x14ac:dyDescent="0.2">
      <c r="A395" s="40" t="s">
        <v>803</v>
      </c>
      <c r="B395" s="75" t="s">
        <v>804</v>
      </c>
      <c r="C395" s="51"/>
      <c r="D395" s="54">
        <f t="shared" si="6"/>
        <v>0</v>
      </c>
      <c r="E395" s="62"/>
      <c r="F395" s="42" t="s">
        <v>39</v>
      </c>
      <c r="G395" s="41" t="s">
        <v>40</v>
      </c>
      <c r="H395" s="41"/>
      <c r="I395" s="41"/>
      <c r="J395" s="47">
        <v>5497</v>
      </c>
      <c r="K395" s="41" t="s">
        <v>662</v>
      </c>
      <c r="L395" s="43">
        <v>1</v>
      </c>
      <c r="M395" s="43">
        <v>100</v>
      </c>
      <c r="N395" s="43">
        <v>1</v>
      </c>
      <c r="O395" s="44">
        <v>1002.76</v>
      </c>
      <c r="P395" s="44">
        <v>821.93</v>
      </c>
      <c r="Q395" s="44">
        <v>1002.76</v>
      </c>
      <c r="R395" s="44">
        <v>821.93</v>
      </c>
      <c r="S395" s="44">
        <v>802.21</v>
      </c>
      <c r="T395" s="44">
        <v>657.55</v>
      </c>
      <c r="U395" s="42"/>
      <c r="V395" s="42"/>
      <c r="W395" s="42" t="s">
        <v>40</v>
      </c>
      <c r="X395" s="45">
        <v>0.17</v>
      </c>
      <c r="Y395" s="46">
        <v>5.2999999999999998E-4</v>
      </c>
      <c r="Z395" s="21">
        <v>4601004348011</v>
      </c>
    </row>
    <row r="396" spans="1:26" ht="12" customHeight="1" outlineLevel="4" x14ac:dyDescent="0.2">
      <c r="A396" s="40" t="s">
        <v>805</v>
      </c>
      <c r="B396" s="75" t="s">
        <v>806</v>
      </c>
      <c r="C396" s="51"/>
      <c r="D396" s="54">
        <f t="shared" si="6"/>
        <v>0</v>
      </c>
      <c r="E396" s="62"/>
      <c r="F396" s="42" t="s">
        <v>39</v>
      </c>
      <c r="G396" s="41" t="s">
        <v>40</v>
      </c>
      <c r="H396" s="41"/>
      <c r="I396" s="41"/>
      <c r="J396" s="47">
        <v>6083</v>
      </c>
      <c r="K396" s="41" t="s">
        <v>662</v>
      </c>
      <c r="L396" s="43">
        <v>1</v>
      </c>
      <c r="M396" s="43">
        <v>100</v>
      </c>
      <c r="N396" s="43">
        <v>1</v>
      </c>
      <c r="O396" s="44">
        <v>1028.71</v>
      </c>
      <c r="P396" s="44">
        <v>843.2</v>
      </c>
      <c r="Q396" s="44">
        <v>1028.71</v>
      </c>
      <c r="R396" s="44">
        <v>843.2</v>
      </c>
      <c r="S396" s="44">
        <v>822.97</v>
      </c>
      <c r="T396" s="44">
        <v>674.57</v>
      </c>
      <c r="U396" s="42"/>
      <c r="V396" s="42"/>
      <c r="W396" s="42" t="s">
        <v>40</v>
      </c>
      <c r="X396" s="45">
        <v>0.17</v>
      </c>
      <c r="Y396" s="46">
        <v>5.3200000000000003E-4</v>
      </c>
      <c r="Z396" s="21">
        <v>4601004348059</v>
      </c>
    </row>
    <row r="397" spans="1:26" ht="12" customHeight="1" outlineLevel="4" x14ac:dyDescent="0.2">
      <c r="A397" s="40" t="s">
        <v>807</v>
      </c>
      <c r="B397" s="75" t="s">
        <v>808</v>
      </c>
      <c r="C397" s="51"/>
      <c r="D397" s="54">
        <f t="shared" si="6"/>
        <v>0</v>
      </c>
      <c r="E397" s="62"/>
      <c r="F397" s="42" t="s">
        <v>39</v>
      </c>
      <c r="G397" s="41" t="s">
        <v>40</v>
      </c>
      <c r="H397" s="41"/>
      <c r="I397" s="41"/>
      <c r="J397" s="47">
        <v>7331</v>
      </c>
      <c r="K397" s="41" t="s">
        <v>662</v>
      </c>
      <c r="L397" s="43">
        <v>1</v>
      </c>
      <c r="M397" s="43">
        <v>100</v>
      </c>
      <c r="N397" s="43">
        <v>1</v>
      </c>
      <c r="O397" s="44">
        <v>841.95</v>
      </c>
      <c r="P397" s="44">
        <v>690.12</v>
      </c>
      <c r="Q397" s="44">
        <v>841.95</v>
      </c>
      <c r="R397" s="44">
        <v>690.12</v>
      </c>
      <c r="S397" s="44">
        <v>673.56</v>
      </c>
      <c r="T397" s="44">
        <v>552.1</v>
      </c>
      <c r="U397" s="42"/>
      <c r="V397" s="42"/>
      <c r="W397" s="42" t="s">
        <v>40</v>
      </c>
      <c r="X397" s="45">
        <v>0.17</v>
      </c>
      <c r="Y397" s="46">
        <v>5.3200000000000003E-4</v>
      </c>
      <c r="Z397" s="21">
        <v>4601004348073</v>
      </c>
    </row>
    <row r="398" spans="1:26" ht="12" customHeight="1" outlineLevel="4" x14ac:dyDescent="0.2">
      <c r="A398" s="40" t="s">
        <v>809</v>
      </c>
      <c r="B398" s="75" t="s">
        <v>810</v>
      </c>
      <c r="C398" s="51"/>
      <c r="D398" s="54">
        <f t="shared" si="6"/>
        <v>0</v>
      </c>
      <c r="E398" s="62"/>
      <c r="F398" s="42" t="s">
        <v>39</v>
      </c>
      <c r="G398" s="41" t="s">
        <v>40</v>
      </c>
      <c r="H398" s="41"/>
      <c r="I398" s="41"/>
      <c r="J398" s="47">
        <v>6641</v>
      </c>
      <c r="K398" s="41" t="s">
        <v>662</v>
      </c>
      <c r="L398" s="43">
        <v>1</v>
      </c>
      <c r="M398" s="43">
        <v>100</v>
      </c>
      <c r="N398" s="43">
        <v>1</v>
      </c>
      <c r="O398" s="44">
        <v>1002.76</v>
      </c>
      <c r="P398" s="44">
        <v>821.93</v>
      </c>
      <c r="Q398" s="44">
        <v>1002.76</v>
      </c>
      <c r="R398" s="44">
        <v>821.93</v>
      </c>
      <c r="S398" s="44">
        <v>802.21</v>
      </c>
      <c r="T398" s="44">
        <v>657.55</v>
      </c>
      <c r="U398" s="42"/>
      <c r="V398" s="42"/>
      <c r="W398" s="42" t="s">
        <v>40</v>
      </c>
      <c r="X398" s="45">
        <v>0.17</v>
      </c>
      <c r="Y398" s="46">
        <v>5.3300000000000005E-4</v>
      </c>
      <c r="Z398" s="21">
        <v>4601004348035</v>
      </c>
    </row>
    <row r="399" spans="1:26" ht="12" customHeight="1" outlineLevel="4" x14ac:dyDescent="0.2">
      <c r="A399" s="40" t="s">
        <v>811</v>
      </c>
      <c r="B399" s="75" t="s">
        <v>812</v>
      </c>
      <c r="C399" s="51"/>
      <c r="D399" s="54">
        <f t="shared" si="6"/>
        <v>0</v>
      </c>
      <c r="E399" s="62"/>
      <c r="F399" s="42" t="s">
        <v>39</v>
      </c>
      <c r="G399" s="41" t="s">
        <v>40</v>
      </c>
      <c r="H399" s="41"/>
      <c r="I399" s="41"/>
      <c r="J399" s="43">
        <v>724</v>
      </c>
      <c r="K399" s="41" t="s">
        <v>662</v>
      </c>
      <c r="L399" s="43">
        <v>1</v>
      </c>
      <c r="M399" s="43">
        <v>100</v>
      </c>
      <c r="N399" s="43">
        <v>1</v>
      </c>
      <c r="O399" s="44">
        <v>1439.83</v>
      </c>
      <c r="P399" s="44">
        <v>1180.19</v>
      </c>
      <c r="Q399" s="44">
        <v>1439.83</v>
      </c>
      <c r="R399" s="44">
        <v>1180.19</v>
      </c>
      <c r="S399" s="44">
        <v>1151.8599999999999</v>
      </c>
      <c r="T399" s="44">
        <v>944.15</v>
      </c>
      <c r="U399" s="42"/>
      <c r="V399" s="42"/>
      <c r="W399" s="42" t="s">
        <v>40</v>
      </c>
      <c r="X399" s="45">
        <v>0.17599999999999999</v>
      </c>
      <c r="Y399" s="46">
        <v>5.2599999999999999E-4</v>
      </c>
      <c r="Z399" s="21">
        <v>4601004348172</v>
      </c>
    </row>
    <row r="400" spans="1:26" ht="12" customHeight="1" outlineLevel="4" x14ac:dyDescent="0.2">
      <c r="A400" s="40" t="s">
        <v>813</v>
      </c>
      <c r="B400" s="75" t="s">
        <v>814</v>
      </c>
      <c r="C400" s="51"/>
      <c r="D400" s="54">
        <f t="shared" si="6"/>
        <v>0</v>
      </c>
      <c r="E400" s="62"/>
      <c r="F400" s="42" t="s">
        <v>39</v>
      </c>
      <c r="G400" s="41" t="s">
        <v>40</v>
      </c>
      <c r="H400" s="41"/>
      <c r="I400" s="41"/>
      <c r="J400" s="43">
        <v>721</v>
      </c>
      <c r="K400" s="41" t="s">
        <v>662</v>
      </c>
      <c r="L400" s="43">
        <v>1</v>
      </c>
      <c r="M400" s="43">
        <v>100</v>
      </c>
      <c r="N400" s="43">
        <v>1</v>
      </c>
      <c r="O400" s="44">
        <v>1414.8</v>
      </c>
      <c r="P400" s="44">
        <v>1159.67</v>
      </c>
      <c r="Q400" s="44">
        <v>1414.8</v>
      </c>
      <c r="R400" s="44">
        <v>1159.67</v>
      </c>
      <c r="S400" s="44">
        <v>1131.8399999999999</v>
      </c>
      <c r="T400" s="44">
        <v>927.74</v>
      </c>
      <c r="U400" s="42"/>
      <c r="V400" s="42"/>
      <c r="W400" s="42" t="s">
        <v>40</v>
      </c>
      <c r="X400" s="45">
        <v>0.17599999999999999</v>
      </c>
      <c r="Y400" s="46">
        <v>5.2800000000000004E-4</v>
      </c>
      <c r="Z400" s="21">
        <v>4601004348219</v>
      </c>
    </row>
    <row r="401" spans="1:26" ht="12" customHeight="1" outlineLevel="4" x14ac:dyDescent="0.2">
      <c r="A401" s="40" t="s">
        <v>815</v>
      </c>
      <c r="B401" s="75" t="s">
        <v>816</v>
      </c>
      <c r="C401" s="51"/>
      <c r="D401" s="54">
        <f t="shared" si="6"/>
        <v>0</v>
      </c>
      <c r="E401" s="62"/>
      <c r="F401" s="42" t="s">
        <v>39</v>
      </c>
      <c r="G401" s="41" t="s">
        <v>40</v>
      </c>
      <c r="H401" s="41"/>
      <c r="I401" s="41"/>
      <c r="J401" s="43">
        <v>910</v>
      </c>
      <c r="K401" s="41"/>
      <c r="L401" s="43">
        <v>1</v>
      </c>
      <c r="M401" s="43">
        <v>100</v>
      </c>
      <c r="N401" s="43">
        <v>1</v>
      </c>
      <c r="O401" s="44">
        <v>1178.46</v>
      </c>
      <c r="P401" s="44">
        <v>965.95</v>
      </c>
      <c r="Q401" s="44">
        <v>1178.46</v>
      </c>
      <c r="R401" s="44">
        <v>965.95</v>
      </c>
      <c r="S401" s="44">
        <v>942.77</v>
      </c>
      <c r="T401" s="44">
        <v>772.76</v>
      </c>
      <c r="U401" s="42"/>
      <c r="V401" s="42"/>
      <c r="W401" s="42" t="s">
        <v>40</v>
      </c>
      <c r="X401" s="45">
        <v>0.17599999999999999</v>
      </c>
      <c r="Y401" s="46">
        <v>5.31E-4</v>
      </c>
      <c r="Z401" s="21">
        <v>4601004348233</v>
      </c>
    </row>
    <row r="402" spans="1:26" ht="12" customHeight="1" outlineLevel="4" x14ac:dyDescent="0.2">
      <c r="A402" s="40" t="s">
        <v>817</v>
      </c>
      <c r="B402" s="75" t="s">
        <v>818</v>
      </c>
      <c r="C402" s="51"/>
      <c r="D402" s="54">
        <f t="shared" si="6"/>
        <v>0</v>
      </c>
      <c r="E402" s="62"/>
      <c r="F402" s="42" t="s">
        <v>39</v>
      </c>
      <c r="G402" s="41" t="s">
        <v>40</v>
      </c>
      <c r="H402" s="41"/>
      <c r="I402" s="41"/>
      <c r="J402" s="43">
        <v>879</v>
      </c>
      <c r="K402" s="41"/>
      <c r="L402" s="43">
        <v>1</v>
      </c>
      <c r="M402" s="43">
        <v>100</v>
      </c>
      <c r="N402" s="43">
        <v>1</v>
      </c>
      <c r="O402" s="44">
        <v>1414.8</v>
      </c>
      <c r="P402" s="44">
        <v>1159.67</v>
      </c>
      <c r="Q402" s="44">
        <v>1414.8</v>
      </c>
      <c r="R402" s="44">
        <v>1159.67</v>
      </c>
      <c r="S402" s="44">
        <v>1131.8399999999999</v>
      </c>
      <c r="T402" s="44">
        <v>927.74</v>
      </c>
      <c r="U402" s="42"/>
      <c r="V402" s="42"/>
      <c r="W402" s="42" t="s">
        <v>40</v>
      </c>
      <c r="X402" s="45">
        <v>0.17599999999999999</v>
      </c>
      <c r="Y402" s="46">
        <v>5.2800000000000004E-4</v>
      </c>
      <c r="Z402" s="21">
        <v>4601004348196</v>
      </c>
    </row>
    <row r="403" spans="1:26" ht="12" customHeight="1" outlineLevel="4" x14ac:dyDescent="0.2">
      <c r="A403" s="40" t="s">
        <v>819</v>
      </c>
      <c r="B403" s="75" t="s">
        <v>820</v>
      </c>
      <c r="C403" s="51"/>
      <c r="D403" s="54">
        <f t="shared" si="6"/>
        <v>0</v>
      </c>
      <c r="E403" s="62"/>
      <c r="F403" s="42" t="s">
        <v>39</v>
      </c>
      <c r="G403" s="41" t="s">
        <v>40</v>
      </c>
      <c r="H403" s="41"/>
      <c r="I403" s="41"/>
      <c r="J403" s="43">
        <v>399</v>
      </c>
      <c r="K403" s="41" t="s">
        <v>662</v>
      </c>
      <c r="L403" s="43">
        <v>1</v>
      </c>
      <c r="M403" s="43">
        <v>80</v>
      </c>
      <c r="N403" s="43">
        <v>1</v>
      </c>
      <c r="O403" s="44">
        <v>1482.94</v>
      </c>
      <c r="P403" s="44">
        <v>1215.52</v>
      </c>
      <c r="Q403" s="44">
        <v>1482.94</v>
      </c>
      <c r="R403" s="44">
        <v>1215.52</v>
      </c>
      <c r="S403" s="44">
        <v>1186.3499999999999</v>
      </c>
      <c r="T403" s="44">
        <v>972.42</v>
      </c>
      <c r="U403" s="42"/>
      <c r="V403" s="42"/>
      <c r="W403" s="42" t="s">
        <v>40</v>
      </c>
      <c r="X403" s="45">
        <v>0.19900000000000001</v>
      </c>
      <c r="Y403" s="46">
        <v>6.6799999999999997E-4</v>
      </c>
      <c r="Z403" s="21">
        <v>4601004348257</v>
      </c>
    </row>
    <row r="404" spans="1:26" ht="12" customHeight="1" outlineLevel="4" x14ac:dyDescent="0.2">
      <c r="A404" s="40" t="s">
        <v>821</v>
      </c>
      <c r="B404" s="75" t="s">
        <v>822</v>
      </c>
      <c r="C404" s="51"/>
      <c r="D404" s="54">
        <f t="shared" si="6"/>
        <v>0</v>
      </c>
      <c r="E404" s="62"/>
      <c r="F404" s="42" t="s">
        <v>39</v>
      </c>
      <c r="G404" s="41" t="s">
        <v>40</v>
      </c>
      <c r="H404" s="41"/>
      <c r="I404" s="41"/>
      <c r="J404" s="43">
        <v>286</v>
      </c>
      <c r="K404" s="41" t="s">
        <v>662</v>
      </c>
      <c r="L404" s="43">
        <v>1</v>
      </c>
      <c r="M404" s="43">
        <v>80</v>
      </c>
      <c r="N404" s="43">
        <v>1</v>
      </c>
      <c r="O404" s="44">
        <v>1482.94</v>
      </c>
      <c r="P404" s="44">
        <v>1215.52</v>
      </c>
      <c r="Q404" s="44">
        <v>1482.94</v>
      </c>
      <c r="R404" s="44">
        <v>1215.52</v>
      </c>
      <c r="S404" s="44">
        <v>1186.3499999999999</v>
      </c>
      <c r="T404" s="44">
        <v>972.42</v>
      </c>
      <c r="U404" s="42"/>
      <c r="V404" s="42"/>
      <c r="W404" s="42" t="s">
        <v>40</v>
      </c>
      <c r="X404" s="45">
        <v>0.19900000000000001</v>
      </c>
      <c r="Y404" s="46">
        <v>6.5799999999999995E-4</v>
      </c>
      <c r="Z404" s="21">
        <v>4601004348295</v>
      </c>
    </row>
    <row r="405" spans="1:26" ht="12" customHeight="1" outlineLevel="4" x14ac:dyDescent="0.2">
      <c r="A405" s="40" t="s">
        <v>823</v>
      </c>
      <c r="B405" s="75" t="s">
        <v>824</v>
      </c>
      <c r="C405" s="51"/>
      <c r="D405" s="54">
        <f t="shared" si="6"/>
        <v>0</v>
      </c>
      <c r="E405" s="62"/>
      <c r="F405" s="42" t="s">
        <v>39</v>
      </c>
      <c r="G405" s="41" t="s">
        <v>40</v>
      </c>
      <c r="H405" s="41"/>
      <c r="I405" s="41"/>
      <c r="J405" s="43">
        <v>393</v>
      </c>
      <c r="K405" s="41" t="s">
        <v>662</v>
      </c>
      <c r="L405" s="43">
        <v>1</v>
      </c>
      <c r="M405" s="43">
        <v>80</v>
      </c>
      <c r="N405" s="43">
        <v>1</v>
      </c>
      <c r="O405" s="44">
        <v>1482.94</v>
      </c>
      <c r="P405" s="44">
        <v>1215.52</v>
      </c>
      <c r="Q405" s="44">
        <v>1482.94</v>
      </c>
      <c r="R405" s="44">
        <v>1215.52</v>
      </c>
      <c r="S405" s="44">
        <v>1186.3499999999999</v>
      </c>
      <c r="T405" s="44">
        <v>972.42</v>
      </c>
      <c r="U405" s="42"/>
      <c r="V405" s="42"/>
      <c r="W405" s="42" t="s">
        <v>40</v>
      </c>
      <c r="X405" s="45">
        <v>0.19900000000000001</v>
      </c>
      <c r="Y405" s="46">
        <v>6.6200000000000015E-4</v>
      </c>
      <c r="Z405" s="21">
        <v>4601004348318</v>
      </c>
    </row>
    <row r="406" spans="1:26" ht="12" customHeight="1" outlineLevel="4" x14ac:dyDescent="0.2">
      <c r="A406" s="40" t="s">
        <v>825</v>
      </c>
      <c r="B406" s="75" t="s">
        <v>826</v>
      </c>
      <c r="C406" s="51"/>
      <c r="D406" s="54">
        <f t="shared" si="6"/>
        <v>0</v>
      </c>
      <c r="E406" s="62"/>
      <c r="F406" s="42" t="s">
        <v>39</v>
      </c>
      <c r="G406" s="41" t="s">
        <v>40</v>
      </c>
      <c r="H406" s="41"/>
      <c r="I406" s="41"/>
      <c r="J406" s="43">
        <v>390</v>
      </c>
      <c r="K406" s="41" t="s">
        <v>662</v>
      </c>
      <c r="L406" s="43">
        <v>1</v>
      </c>
      <c r="M406" s="43">
        <v>80</v>
      </c>
      <c r="N406" s="43">
        <v>1</v>
      </c>
      <c r="O406" s="44">
        <v>1482.94</v>
      </c>
      <c r="P406" s="44">
        <v>1215.52</v>
      </c>
      <c r="Q406" s="44">
        <v>1482.94</v>
      </c>
      <c r="R406" s="44">
        <v>1215.52</v>
      </c>
      <c r="S406" s="44">
        <v>1186.3499999999999</v>
      </c>
      <c r="T406" s="44">
        <v>972.42</v>
      </c>
      <c r="U406" s="42"/>
      <c r="V406" s="42"/>
      <c r="W406" s="42" t="s">
        <v>40</v>
      </c>
      <c r="X406" s="45">
        <v>0.19900000000000001</v>
      </c>
      <c r="Y406" s="46">
        <v>6.6399999999999999E-4</v>
      </c>
      <c r="Z406" s="21">
        <v>4601004348271</v>
      </c>
    </row>
    <row r="407" spans="1:26" ht="12" customHeight="1" outlineLevel="4" x14ac:dyDescent="0.2">
      <c r="A407" s="40" t="s">
        <v>827</v>
      </c>
      <c r="B407" s="75" t="s">
        <v>828</v>
      </c>
      <c r="C407" s="51"/>
      <c r="D407" s="54">
        <f t="shared" si="6"/>
        <v>0</v>
      </c>
      <c r="E407" s="62"/>
      <c r="F407" s="42" t="s">
        <v>39</v>
      </c>
      <c r="G407" s="41" t="s">
        <v>40</v>
      </c>
      <c r="H407" s="41"/>
      <c r="I407" s="41"/>
      <c r="J407" s="43">
        <v>234</v>
      </c>
      <c r="K407" s="41"/>
      <c r="L407" s="43">
        <v>1</v>
      </c>
      <c r="M407" s="43">
        <v>100</v>
      </c>
      <c r="N407" s="43">
        <v>1</v>
      </c>
      <c r="O407" s="44">
        <v>3477.43</v>
      </c>
      <c r="P407" s="44">
        <v>2850.35</v>
      </c>
      <c r="Q407" s="44">
        <v>3477.43</v>
      </c>
      <c r="R407" s="44">
        <v>2850.35</v>
      </c>
      <c r="S407" s="44">
        <v>2781.94</v>
      </c>
      <c r="T407" s="44">
        <v>2280.2800000000002</v>
      </c>
      <c r="U407" s="42"/>
      <c r="V407" s="42"/>
      <c r="W407" s="42" t="s">
        <v>40</v>
      </c>
      <c r="X407" s="45">
        <v>0.154</v>
      </c>
      <c r="Y407" s="46">
        <v>5.2499999999999997E-4</v>
      </c>
      <c r="Z407" s="21">
        <v>4601004348332</v>
      </c>
    </row>
    <row r="408" spans="1:26" ht="12" customHeight="1" outlineLevel="4" x14ac:dyDescent="0.2">
      <c r="A408" s="40" t="s">
        <v>829</v>
      </c>
      <c r="B408" s="75" t="s">
        <v>830</v>
      </c>
      <c r="C408" s="51"/>
      <c r="D408" s="54">
        <f t="shared" si="6"/>
        <v>0</v>
      </c>
      <c r="E408" s="62"/>
      <c r="F408" s="42" t="s">
        <v>39</v>
      </c>
      <c r="G408" s="41" t="s">
        <v>40</v>
      </c>
      <c r="H408" s="41"/>
      <c r="I408" s="41"/>
      <c r="J408" s="43">
        <v>228</v>
      </c>
      <c r="K408" s="41"/>
      <c r="L408" s="43">
        <v>1</v>
      </c>
      <c r="M408" s="43">
        <v>100</v>
      </c>
      <c r="N408" s="43">
        <v>1</v>
      </c>
      <c r="O408" s="44">
        <v>3386.71</v>
      </c>
      <c r="P408" s="44">
        <v>2775.99</v>
      </c>
      <c r="Q408" s="44">
        <v>3386.71</v>
      </c>
      <c r="R408" s="44">
        <v>2775.99</v>
      </c>
      <c r="S408" s="44">
        <v>2709.37</v>
      </c>
      <c r="T408" s="44">
        <v>2220.8000000000002</v>
      </c>
      <c r="U408" s="42"/>
      <c r="V408" s="42"/>
      <c r="W408" s="42" t="s">
        <v>40</v>
      </c>
      <c r="X408" s="45">
        <v>0.153</v>
      </c>
      <c r="Y408" s="46">
        <v>5.31E-4</v>
      </c>
      <c r="Z408" s="21">
        <v>4601004348370</v>
      </c>
    </row>
    <row r="409" spans="1:26" ht="12" customHeight="1" outlineLevel="4" x14ac:dyDescent="0.2">
      <c r="A409" s="40" t="s">
        <v>831</v>
      </c>
      <c r="B409" s="75" t="s">
        <v>832</v>
      </c>
      <c r="C409" s="51"/>
      <c r="D409" s="54">
        <f t="shared" si="6"/>
        <v>0</v>
      </c>
      <c r="E409" s="62"/>
      <c r="F409" s="42" t="s">
        <v>39</v>
      </c>
      <c r="G409" s="41" t="s">
        <v>40</v>
      </c>
      <c r="H409" s="41"/>
      <c r="I409" s="41"/>
      <c r="J409" s="43">
        <v>378</v>
      </c>
      <c r="K409" s="41"/>
      <c r="L409" s="43">
        <v>1</v>
      </c>
      <c r="M409" s="43">
        <v>100</v>
      </c>
      <c r="N409" s="43">
        <v>1</v>
      </c>
      <c r="O409" s="44">
        <v>2897.23</v>
      </c>
      <c r="P409" s="44">
        <v>2374.7800000000002</v>
      </c>
      <c r="Q409" s="44">
        <v>2897.23</v>
      </c>
      <c r="R409" s="44">
        <v>2374.7800000000002</v>
      </c>
      <c r="S409" s="44">
        <v>2317.7800000000002</v>
      </c>
      <c r="T409" s="44">
        <v>1899.82</v>
      </c>
      <c r="U409" s="42"/>
      <c r="V409" s="42"/>
      <c r="W409" s="42" t="s">
        <v>40</v>
      </c>
      <c r="X409" s="45">
        <v>0.153</v>
      </c>
      <c r="Y409" s="46">
        <v>5.2599999999999999E-4</v>
      </c>
      <c r="Z409" s="21">
        <v>4601004348394</v>
      </c>
    </row>
    <row r="410" spans="1:26" ht="12" customHeight="1" outlineLevel="4" x14ac:dyDescent="0.2">
      <c r="A410" s="40" t="s">
        <v>833</v>
      </c>
      <c r="B410" s="75" t="s">
        <v>834</v>
      </c>
      <c r="C410" s="51"/>
      <c r="D410" s="54">
        <f t="shared" si="6"/>
        <v>0</v>
      </c>
      <c r="E410" s="62"/>
      <c r="F410" s="42" t="s">
        <v>39</v>
      </c>
      <c r="G410" s="41" t="s">
        <v>40</v>
      </c>
      <c r="H410" s="41"/>
      <c r="I410" s="41"/>
      <c r="J410" s="43">
        <v>382</v>
      </c>
      <c r="K410" s="41"/>
      <c r="L410" s="43">
        <v>1</v>
      </c>
      <c r="M410" s="43">
        <v>100</v>
      </c>
      <c r="N410" s="43">
        <v>1</v>
      </c>
      <c r="O410" s="44">
        <v>3386.71</v>
      </c>
      <c r="P410" s="44">
        <v>2775.99</v>
      </c>
      <c r="Q410" s="44">
        <v>3386.71</v>
      </c>
      <c r="R410" s="44">
        <v>2775.99</v>
      </c>
      <c r="S410" s="44">
        <v>2709.37</v>
      </c>
      <c r="T410" s="44">
        <v>2220.8000000000002</v>
      </c>
      <c r="U410" s="42"/>
      <c r="V410" s="42"/>
      <c r="W410" s="42" t="s">
        <v>40</v>
      </c>
      <c r="X410" s="45">
        <v>0.154</v>
      </c>
      <c r="Y410" s="46">
        <v>5.2800000000000004E-4</v>
      </c>
      <c r="Z410" s="21">
        <v>4601004348356</v>
      </c>
    </row>
    <row r="411" spans="1:26" ht="12" customHeight="1" outlineLevel="4" x14ac:dyDescent="0.2">
      <c r="A411" s="40" t="s">
        <v>835</v>
      </c>
      <c r="B411" s="75" t="s">
        <v>836</v>
      </c>
      <c r="C411" s="51"/>
      <c r="D411" s="54">
        <f t="shared" si="6"/>
        <v>0</v>
      </c>
      <c r="E411" s="62"/>
      <c r="F411" s="42" t="s">
        <v>39</v>
      </c>
      <c r="G411" s="41" t="s">
        <v>40</v>
      </c>
      <c r="H411" s="41"/>
      <c r="I411" s="41"/>
      <c r="J411" s="43">
        <v>528</v>
      </c>
      <c r="K411" s="41"/>
      <c r="L411" s="43">
        <v>1</v>
      </c>
      <c r="M411" s="43">
        <v>100</v>
      </c>
      <c r="N411" s="43">
        <v>1</v>
      </c>
      <c r="O411" s="44">
        <v>1662.02</v>
      </c>
      <c r="P411" s="44">
        <v>1362.31</v>
      </c>
      <c r="Q411" s="44">
        <v>1662.02</v>
      </c>
      <c r="R411" s="44">
        <v>1362.31</v>
      </c>
      <c r="S411" s="44">
        <v>1329.62</v>
      </c>
      <c r="T411" s="44">
        <v>1089.8499999999999</v>
      </c>
      <c r="U411" s="42"/>
      <c r="V411" s="42"/>
      <c r="W411" s="42" t="s">
        <v>40</v>
      </c>
      <c r="X411" s="45">
        <v>0.151</v>
      </c>
      <c r="Y411" s="46">
        <v>4.5100000000000001E-4</v>
      </c>
      <c r="Z411" s="21">
        <v>4601004348417</v>
      </c>
    </row>
    <row r="412" spans="1:26" ht="12" customHeight="1" outlineLevel="4" x14ac:dyDescent="0.2">
      <c r="A412" s="40" t="s">
        <v>837</v>
      </c>
      <c r="B412" s="75" t="s">
        <v>838</v>
      </c>
      <c r="C412" s="51"/>
      <c r="D412" s="54">
        <f t="shared" si="6"/>
        <v>0</v>
      </c>
      <c r="E412" s="62"/>
      <c r="F412" s="42" t="s">
        <v>39</v>
      </c>
      <c r="G412" s="41" t="s">
        <v>40</v>
      </c>
      <c r="H412" s="41"/>
      <c r="I412" s="41"/>
      <c r="J412" s="43">
        <v>526</v>
      </c>
      <c r="K412" s="41"/>
      <c r="L412" s="43">
        <v>1</v>
      </c>
      <c r="M412" s="43">
        <v>100</v>
      </c>
      <c r="N412" s="43">
        <v>1</v>
      </c>
      <c r="O412" s="44">
        <v>1618.66</v>
      </c>
      <c r="P412" s="44">
        <v>1326.77</v>
      </c>
      <c r="Q412" s="44">
        <v>1618.66</v>
      </c>
      <c r="R412" s="44">
        <v>1326.77</v>
      </c>
      <c r="S412" s="44">
        <v>1294.93</v>
      </c>
      <c r="T412" s="44">
        <v>1061.42</v>
      </c>
      <c r="U412" s="42"/>
      <c r="V412" s="42"/>
      <c r="W412" s="42" t="s">
        <v>40</v>
      </c>
      <c r="X412" s="45">
        <v>0.151</v>
      </c>
      <c r="Y412" s="46">
        <v>4.4900000000000002E-4</v>
      </c>
      <c r="Z412" s="21">
        <v>4601004348455</v>
      </c>
    </row>
    <row r="413" spans="1:26" ht="12" customHeight="1" outlineLevel="4" x14ac:dyDescent="0.2">
      <c r="A413" s="40" t="s">
        <v>839</v>
      </c>
      <c r="B413" s="75" t="s">
        <v>840</v>
      </c>
      <c r="C413" s="51"/>
      <c r="D413" s="54">
        <f t="shared" si="6"/>
        <v>0</v>
      </c>
      <c r="E413" s="62"/>
      <c r="F413" s="42" t="s">
        <v>39</v>
      </c>
      <c r="G413" s="41" t="s">
        <v>40</v>
      </c>
      <c r="H413" s="41"/>
      <c r="I413" s="41"/>
      <c r="J413" s="43">
        <v>575</v>
      </c>
      <c r="K413" s="41"/>
      <c r="L413" s="43">
        <v>1</v>
      </c>
      <c r="M413" s="43">
        <v>100</v>
      </c>
      <c r="N413" s="43">
        <v>1</v>
      </c>
      <c r="O413" s="44">
        <v>1372.66</v>
      </c>
      <c r="P413" s="44">
        <v>1125.1300000000001</v>
      </c>
      <c r="Q413" s="44">
        <v>1372.66</v>
      </c>
      <c r="R413" s="44">
        <v>1125.1300000000001</v>
      </c>
      <c r="S413" s="44">
        <v>1098.1300000000001</v>
      </c>
      <c r="T413" s="44">
        <v>900.11</v>
      </c>
      <c r="U413" s="42"/>
      <c r="V413" s="42"/>
      <c r="W413" s="42" t="s">
        <v>40</v>
      </c>
      <c r="X413" s="45">
        <v>0.151</v>
      </c>
      <c r="Y413" s="46">
        <v>4.46E-4</v>
      </c>
      <c r="Z413" s="21">
        <v>4601004348479</v>
      </c>
    </row>
    <row r="414" spans="1:26" ht="12" customHeight="1" outlineLevel="4" x14ac:dyDescent="0.2">
      <c r="A414" s="40" t="s">
        <v>841</v>
      </c>
      <c r="B414" s="75" t="s">
        <v>842</v>
      </c>
      <c r="C414" s="51"/>
      <c r="D414" s="54">
        <f t="shared" si="6"/>
        <v>0</v>
      </c>
      <c r="E414" s="62"/>
      <c r="F414" s="42" t="s">
        <v>39</v>
      </c>
      <c r="G414" s="41" t="s">
        <v>40</v>
      </c>
      <c r="H414" s="41"/>
      <c r="I414" s="41"/>
      <c r="J414" s="43">
        <v>573</v>
      </c>
      <c r="K414" s="41"/>
      <c r="L414" s="43">
        <v>1</v>
      </c>
      <c r="M414" s="43">
        <v>100</v>
      </c>
      <c r="N414" s="43">
        <v>1</v>
      </c>
      <c r="O414" s="44">
        <v>1618.66</v>
      </c>
      <c r="P414" s="44">
        <v>1326.77</v>
      </c>
      <c r="Q414" s="44">
        <v>1618.66</v>
      </c>
      <c r="R414" s="44">
        <v>1326.77</v>
      </c>
      <c r="S414" s="44">
        <v>1294.93</v>
      </c>
      <c r="T414" s="44">
        <v>1061.42</v>
      </c>
      <c r="U414" s="42"/>
      <c r="V414" s="42"/>
      <c r="W414" s="42" t="s">
        <v>40</v>
      </c>
      <c r="X414" s="45">
        <v>0.151</v>
      </c>
      <c r="Y414" s="46">
        <v>4.4799999999999999E-4</v>
      </c>
      <c r="Z414" s="21">
        <v>4601004348431</v>
      </c>
    </row>
    <row r="415" spans="1:26" ht="12" customHeight="1" outlineLevel="4" x14ac:dyDescent="0.2">
      <c r="A415" s="40" t="s">
        <v>843</v>
      </c>
      <c r="B415" s="75" t="s">
        <v>844</v>
      </c>
      <c r="C415" s="51"/>
      <c r="D415" s="54">
        <f t="shared" si="6"/>
        <v>0</v>
      </c>
      <c r="E415" s="62"/>
      <c r="F415" s="42" t="s">
        <v>39</v>
      </c>
      <c r="G415" s="41" t="s">
        <v>40</v>
      </c>
      <c r="H415" s="41"/>
      <c r="I415" s="41"/>
      <c r="J415" s="43">
        <v>478</v>
      </c>
      <c r="K415" s="41"/>
      <c r="L415" s="43">
        <v>1</v>
      </c>
      <c r="M415" s="43">
        <v>100</v>
      </c>
      <c r="N415" s="43">
        <v>1</v>
      </c>
      <c r="O415" s="44">
        <v>2799.2</v>
      </c>
      <c r="P415" s="44">
        <v>2294.4299999999998</v>
      </c>
      <c r="Q415" s="44">
        <v>2799.2</v>
      </c>
      <c r="R415" s="44">
        <v>2294.4299999999998</v>
      </c>
      <c r="S415" s="44">
        <v>2239.36</v>
      </c>
      <c r="T415" s="44">
        <v>1835.54</v>
      </c>
      <c r="U415" s="42"/>
      <c r="V415" s="42"/>
      <c r="W415" s="42" t="s">
        <v>40</v>
      </c>
      <c r="X415" s="45">
        <v>0.152</v>
      </c>
      <c r="Y415" s="46">
        <v>5.2599999999999999E-4</v>
      </c>
      <c r="Z415" s="21">
        <v>4601004348493</v>
      </c>
    </row>
    <row r="416" spans="1:26" ht="12" customHeight="1" outlineLevel="4" x14ac:dyDescent="0.2">
      <c r="A416" s="40" t="s">
        <v>845</v>
      </c>
      <c r="B416" s="75" t="s">
        <v>846</v>
      </c>
      <c r="C416" s="51"/>
      <c r="D416" s="54">
        <f t="shared" si="6"/>
        <v>0</v>
      </c>
      <c r="E416" s="62"/>
      <c r="F416" s="42" t="s">
        <v>39</v>
      </c>
      <c r="G416" s="41" t="s">
        <v>40</v>
      </c>
      <c r="H416" s="41"/>
      <c r="I416" s="41"/>
      <c r="J416" s="43">
        <v>395</v>
      </c>
      <c r="K416" s="41"/>
      <c r="L416" s="43">
        <v>1</v>
      </c>
      <c r="M416" s="43">
        <v>100</v>
      </c>
      <c r="N416" s="43">
        <v>1</v>
      </c>
      <c r="O416" s="44">
        <v>2771.7</v>
      </c>
      <c r="P416" s="44">
        <v>2271.89</v>
      </c>
      <c r="Q416" s="44">
        <v>2771.7</v>
      </c>
      <c r="R416" s="44">
        <v>2271.89</v>
      </c>
      <c r="S416" s="44">
        <v>2217.36</v>
      </c>
      <c r="T416" s="44">
        <v>1817.51</v>
      </c>
      <c r="U416" s="42"/>
      <c r="V416" s="42"/>
      <c r="W416" s="42" t="s">
        <v>40</v>
      </c>
      <c r="X416" s="45">
        <v>0.152</v>
      </c>
      <c r="Y416" s="46">
        <v>5.2700000000000002E-4</v>
      </c>
      <c r="Z416" s="21">
        <v>4601004348530</v>
      </c>
    </row>
    <row r="417" spans="1:26" ht="12" customHeight="1" outlineLevel="4" x14ac:dyDescent="0.2">
      <c r="A417" s="40" t="s">
        <v>847</v>
      </c>
      <c r="B417" s="75" t="s">
        <v>848</v>
      </c>
      <c r="C417" s="51"/>
      <c r="D417" s="54">
        <f t="shared" si="6"/>
        <v>0</v>
      </c>
      <c r="E417" s="62"/>
      <c r="F417" s="42" t="s">
        <v>39</v>
      </c>
      <c r="G417" s="41" t="s">
        <v>40</v>
      </c>
      <c r="H417" s="41"/>
      <c r="I417" s="41"/>
      <c r="J417" s="43">
        <v>596</v>
      </c>
      <c r="K417" s="41"/>
      <c r="L417" s="43">
        <v>1</v>
      </c>
      <c r="M417" s="43">
        <v>100</v>
      </c>
      <c r="N417" s="43">
        <v>1</v>
      </c>
      <c r="O417" s="44">
        <v>2353.4899999999998</v>
      </c>
      <c r="P417" s="44">
        <v>1929.09</v>
      </c>
      <c r="Q417" s="44">
        <v>2353.4899999999998</v>
      </c>
      <c r="R417" s="44">
        <v>1929.09</v>
      </c>
      <c r="S417" s="44">
        <v>1882.79</v>
      </c>
      <c r="T417" s="44">
        <v>1543.27</v>
      </c>
      <c r="U417" s="42"/>
      <c r="V417" s="42"/>
      <c r="W417" s="42" t="s">
        <v>40</v>
      </c>
      <c r="X417" s="45">
        <v>0.152</v>
      </c>
      <c r="Y417" s="46">
        <v>5.22E-4</v>
      </c>
      <c r="Z417" s="21">
        <v>4601004348554</v>
      </c>
    </row>
    <row r="418" spans="1:26" ht="12" customHeight="1" outlineLevel="4" x14ac:dyDescent="0.2">
      <c r="A418" s="40" t="s">
        <v>849</v>
      </c>
      <c r="B418" s="75" t="s">
        <v>850</v>
      </c>
      <c r="C418" s="51"/>
      <c r="D418" s="54">
        <f t="shared" si="6"/>
        <v>0</v>
      </c>
      <c r="E418" s="62"/>
      <c r="F418" s="42" t="s">
        <v>39</v>
      </c>
      <c r="G418" s="41" t="s">
        <v>40</v>
      </c>
      <c r="H418" s="41"/>
      <c r="I418" s="41"/>
      <c r="J418" s="43">
        <v>496</v>
      </c>
      <c r="K418" s="41"/>
      <c r="L418" s="43">
        <v>1</v>
      </c>
      <c r="M418" s="43">
        <v>100</v>
      </c>
      <c r="N418" s="43">
        <v>1</v>
      </c>
      <c r="O418" s="44">
        <v>2771.7</v>
      </c>
      <c r="P418" s="44">
        <v>2271.89</v>
      </c>
      <c r="Q418" s="44">
        <v>2771.7</v>
      </c>
      <c r="R418" s="44">
        <v>2271.89</v>
      </c>
      <c r="S418" s="44">
        <v>2217.36</v>
      </c>
      <c r="T418" s="44">
        <v>1817.51</v>
      </c>
      <c r="U418" s="42"/>
      <c r="V418" s="42"/>
      <c r="W418" s="42" t="s">
        <v>40</v>
      </c>
      <c r="X418" s="45">
        <v>0.152</v>
      </c>
      <c r="Y418" s="46">
        <v>5.2300000000000003E-4</v>
      </c>
      <c r="Z418" s="21">
        <v>4601004348516</v>
      </c>
    </row>
    <row r="419" spans="1:26" ht="12" customHeight="1" outlineLevel="4" x14ac:dyDescent="0.2">
      <c r="A419" s="40" t="s">
        <v>851</v>
      </c>
      <c r="B419" s="75" t="s">
        <v>852</v>
      </c>
      <c r="C419" s="51"/>
      <c r="D419" s="54">
        <f t="shared" si="6"/>
        <v>0</v>
      </c>
      <c r="E419" s="62"/>
      <c r="F419" s="42" t="s">
        <v>39</v>
      </c>
      <c r="G419" s="41" t="s">
        <v>40</v>
      </c>
      <c r="H419" s="41"/>
      <c r="I419" s="41"/>
      <c r="J419" s="43">
        <v>575</v>
      </c>
      <c r="K419" s="41" t="s">
        <v>662</v>
      </c>
      <c r="L419" s="43">
        <v>1</v>
      </c>
      <c r="M419" s="43">
        <v>100</v>
      </c>
      <c r="N419" s="43">
        <v>1</v>
      </c>
      <c r="O419" s="44">
        <v>2382.91</v>
      </c>
      <c r="P419" s="44">
        <v>1953.2</v>
      </c>
      <c r="Q419" s="44">
        <v>2382.91</v>
      </c>
      <c r="R419" s="44">
        <v>1953.2</v>
      </c>
      <c r="S419" s="44">
        <v>1906.33</v>
      </c>
      <c r="T419" s="44">
        <v>1562.57</v>
      </c>
      <c r="U419" s="42"/>
      <c r="V419" s="42"/>
      <c r="W419" s="42" t="s">
        <v>40</v>
      </c>
      <c r="X419" s="45">
        <v>0.154</v>
      </c>
      <c r="Y419" s="46">
        <v>5.4199999999999995E-4</v>
      </c>
      <c r="Z419" s="21">
        <v>4601004348578</v>
      </c>
    </row>
    <row r="420" spans="1:26" ht="12" customHeight="1" outlineLevel="4" x14ac:dyDescent="0.2">
      <c r="A420" s="40" t="s">
        <v>853</v>
      </c>
      <c r="B420" s="75" t="s">
        <v>854</v>
      </c>
      <c r="C420" s="51"/>
      <c r="D420" s="54">
        <f t="shared" si="6"/>
        <v>0</v>
      </c>
      <c r="E420" s="62"/>
      <c r="F420" s="42" t="s">
        <v>39</v>
      </c>
      <c r="G420" s="41" t="s">
        <v>40</v>
      </c>
      <c r="H420" s="41"/>
      <c r="I420" s="41"/>
      <c r="J420" s="43">
        <v>601</v>
      </c>
      <c r="K420" s="41" t="s">
        <v>662</v>
      </c>
      <c r="L420" s="43">
        <v>1</v>
      </c>
      <c r="M420" s="43">
        <v>100</v>
      </c>
      <c r="N420" s="43">
        <v>1</v>
      </c>
      <c r="O420" s="44">
        <v>2320.75</v>
      </c>
      <c r="P420" s="44">
        <v>1902.25</v>
      </c>
      <c r="Q420" s="44">
        <v>2320.75</v>
      </c>
      <c r="R420" s="44">
        <v>1902.25</v>
      </c>
      <c r="S420" s="44">
        <v>1856.6</v>
      </c>
      <c r="T420" s="44">
        <v>1521.8</v>
      </c>
      <c r="U420" s="42"/>
      <c r="V420" s="42"/>
      <c r="W420" s="42" t="s">
        <v>40</v>
      </c>
      <c r="X420" s="45">
        <v>0.154</v>
      </c>
      <c r="Y420" s="46">
        <v>5.3700000000000004E-4</v>
      </c>
      <c r="Z420" s="21">
        <v>4601004348615</v>
      </c>
    </row>
    <row r="421" spans="1:26" ht="12" customHeight="1" outlineLevel="4" x14ac:dyDescent="0.2">
      <c r="A421" s="40" t="s">
        <v>855</v>
      </c>
      <c r="B421" s="75" t="s">
        <v>856</v>
      </c>
      <c r="C421" s="51"/>
      <c r="D421" s="54">
        <f t="shared" si="6"/>
        <v>0</v>
      </c>
      <c r="E421" s="62"/>
      <c r="F421" s="42" t="s">
        <v>39</v>
      </c>
      <c r="G421" s="41" t="s">
        <v>40</v>
      </c>
      <c r="H421" s="41"/>
      <c r="I421" s="41"/>
      <c r="J421" s="43">
        <v>610</v>
      </c>
      <c r="K421" s="41" t="s">
        <v>662</v>
      </c>
      <c r="L421" s="43">
        <v>1</v>
      </c>
      <c r="M421" s="43">
        <v>100</v>
      </c>
      <c r="N421" s="43">
        <v>1</v>
      </c>
      <c r="O421" s="44">
        <v>1968.19</v>
      </c>
      <c r="P421" s="44">
        <v>1613.27</v>
      </c>
      <c r="Q421" s="44">
        <v>1968.19</v>
      </c>
      <c r="R421" s="44">
        <v>1613.27</v>
      </c>
      <c r="S421" s="44">
        <v>1574.55</v>
      </c>
      <c r="T421" s="44">
        <v>1290.6099999999999</v>
      </c>
      <c r="U421" s="42"/>
      <c r="V421" s="42"/>
      <c r="W421" s="42" t="s">
        <v>40</v>
      </c>
      <c r="X421" s="45">
        <v>0.154</v>
      </c>
      <c r="Y421" s="46">
        <v>5.3600000000000002E-4</v>
      </c>
      <c r="Z421" s="21">
        <v>4601004348639</v>
      </c>
    </row>
    <row r="422" spans="1:26" ht="12" customHeight="1" outlineLevel="4" x14ac:dyDescent="0.2">
      <c r="A422" s="40" t="s">
        <v>857</v>
      </c>
      <c r="B422" s="75" t="s">
        <v>858</v>
      </c>
      <c r="C422" s="51"/>
      <c r="D422" s="54">
        <f t="shared" si="6"/>
        <v>0</v>
      </c>
      <c r="E422" s="62"/>
      <c r="F422" s="42" t="s">
        <v>39</v>
      </c>
      <c r="G422" s="41" t="s">
        <v>40</v>
      </c>
      <c r="H422" s="41"/>
      <c r="I422" s="41"/>
      <c r="J422" s="43">
        <v>612</v>
      </c>
      <c r="K422" s="41" t="s">
        <v>662</v>
      </c>
      <c r="L422" s="43">
        <v>1</v>
      </c>
      <c r="M422" s="43">
        <v>100</v>
      </c>
      <c r="N422" s="43">
        <v>1</v>
      </c>
      <c r="O422" s="44">
        <v>2320.75</v>
      </c>
      <c r="P422" s="44">
        <v>1902.25</v>
      </c>
      <c r="Q422" s="44">
        <v>2320.75</v>
      </c>
      <c r="R422" s="44">
        <v>1902.25</v>
      </c>
      <c r="S422" s="44">
        <v>1856.6</v>
      </c>
      <c r="T422" s="44">
        <v>1521.8</v>
      </c>
      <c r="U422" s="42"/>
      <c r="V422" s="42"/>
      <c r="W422" s="42" t="s">
        <v>40</v>
      </c>
      <c r="X422" s="45">
        <v>0.154</v>
      </c>
      <c r="Y422" s="46">
        <v>5.4000000000000001E-4</v>
      </c>
      <c r="Z422" s="21">
        <v>4601004348592</v>
      </c>
    </row>
    <row r="423" spans="1:26" ht="12" customHeight="1" outlineLevel="4" x14ac:dyDescent="0.2">
      <c r="A423" s="40" t="s">
        <v>859</v>
      </c>
      <c r="B423" s="75" t="s">
        <v>860</v>
      </c>
      <c r="C423" s="51"/>
      <c r="D423" s="54">
        <f t="shared" si="6"/>
        <v>0</v>
      </c>
      <c r="E423" s="62"/>
      <c r="F423" s="42" t="s">
        <v>39</v>
      </c>
      <c r="G423" s="41" t="s">
        <v>40</v>
      </c>
      <c r="H423" s="41"/>
      <c r="I423" s="41"/>
      <c r="J423" s="43">
        <v>527</v>
      </c>
      <c r="K423" s="41"/>
      <c r="L423" s="43">
        <v>1</v>
      </c>
      <c r="M423" s="43">
        <v>100</v>
      </c>
      <c r="N423" s="43">
        <v>1</v>
      </c>
      <c r="O423" s="44">
        <v>5475.85</v>
      </c>
      <c r="P423" s="44">
        <v>4488.3999999999996</v>
      </c>
      <c r="Q423" s="44">
        <v>5475.85</v>
      </c>
      <c r="R423" s="44">
        <v>4488.3999999999996</v>
      </c>
      <c r="S423" s="44">
        <v>4380.68</v>
      </c>
      <c r="T423" s="44">
        <v>3590.72</v>
      </c>
      <c r="U423" s="42"/>
      <c r="V423" s="42"/>
      <c r="W423" s="42" t="s">
        <v>40</v>
      </c>
      <c r="X423" s="45">
        <v>0.14899999999999999</v>
      </c>
      <c r="Y423" s="46">
        <v>5.2499999999999997E-4</v>
      </c>
      <c r="Z423" s="21">
        <v>4601004348653</v>
      </c>
    </row>
    <row r="424" spans="1:26" ht="12" customHeight="1" outlineLevel="4" x14ac:dyDescent="0.2">
      <c r="A424" s="40" t="s">
        <v>861</v>
      </c>
      <c r="B424" s="75" t="s">
        <v>862</v>
      </c>
      <c r="C424" s="51"/>
      <c r="D424" s="54">
        <f t="shared" si="6"/>
        <v>0</v>
      </c>
      <c r="E424" s="62"/>
      <c r="F424" s="42" t="s">
        <v>39</v>
      </c>
      <c r="G424" s="41" t="s">
        <v>40</v>
      </c>
      <c r="H424" s="41"/>
      <c r="I424" s="41"/>
      <c r="J424" s="43">
        <v>577</v>
      </c>
      <c r="K424" s="41"/>
      <c r="L424" s="43">
        <v>1</v>
      </c>
      <c r="M424" s="43">
        <v>100</v>
      </c>
      <c r="N424" s="43">
        <v>1</v>
      </c>
      <c r="O424" s="44">
        <v>5333.01</v>
      </c>
      <c r="P424" s="44">
        <v>4371.32</v>
      </c>
      <c r="Q424" s="44">
        <v>5333.01</v>
      </c>
      <c r="R424" s="44">
        <v>4371.32</v>
      </c>
      <c r="S424" s="44">
        <v>4266.41</v>
      </c>
      <c r="T424" s="44">
        <v>3497.06</v>
      </c>
      <c r="U424" s="42"/>
      <c r="V424" s="42"/>
      <c r="W424" s="42" t="s">
        <v>40</v>
      </c>
      <c r="X424" s="45">
        <v>0.14899999999999999</v>
      </c>
      <c r="Y424" s="46">
        <v>5.2599999999999999E-4</v>
      </c>
      <c r="Z424" s="21">
        <v>4601004348691</v>
      </c>
    </row>
    <row r="425" spans="1:26" ht="12" customHeight="1" outlineLevel="4" x14ac:dyDescent="0.2">
      <c r="A425" s="40" t="s">
        <v>863</v>
      </c>
      <c r="B425" s="75" t="s">
        <v>864</v>
      </c>
      <c r="C425" s="51"/>
      <c r="D425" s="54">
        <f t="shared" si="6"/>
        <v>0</v>
      </c>
      <c r="E425" s="62"/>
      <c r="F425" s="42" t="s">
        <v>39</v>
      </c>
      <c r="G425" s="41" t="s">
        <v>40</v>
      </c>
      <c r="H425" s="41"/>
      <c r="I425" s="41"/>
      <c r="J425" s="43">
        <v>677</v>
      </c>
      <c r="K425" s="41"/>
      <c r="L425" s="43">
        <v>1</v>
      </c>
      <c r="M425" s="43">
        <v>100</v>
      </c>
      <c r="N425" s="43">
        <v>1</v>
      </c>
      <c r="O425" s="44">
        <v>4570.8599999999997</v>
      </c>
      <c r="P425" s="44">
        <v>3746.61</v>
      </c>
      <c r="Q425" s="44">
        <v>4570.8599999999997</v>
      </c>
      <c r="R425" s="44">
        <v>3746.61</v>
      </c>
      <c r="S425" s="44">
        <v>3656.69</v>
      </c>
      <c r="T425" s="44">
        <v>2997.29</v>
      </c>
      <c r="U425" s="42"/>
      <c r="V425" s="42"/>
      <c r="W425" s="42" t="s">
        <v>40</v>
      </c>
      <c r="X425" s="45">
        <v>0.14899999999999999</v>
      </c>
      <c r="Y425" s="46">
        <v>5.2999999999999998E-4</v>
      </c>
      <c r="Z425" s="21">
        <v>4601004348714</v>
      </c>
    </row>
    <row r="426" spans="1:26" ht="12" customHeight="1" outlineLevel="4" x14ac:dyDescent="0.2">
      <c r="A426" s="40" t="s">
        <v>865</v>
      </c>
      <c r="B426" s="75" t="s">
        <v>866</v>
      </c>
      <c r="C426" s="51"/>
      <c r="D426" s="54">
        <f t="shared" si="6"/>
        <v>0</v>
      </c>
      <c r="E426" s="62"/>
      <c r="F426" s="42" t="s">
        <v>39</v>
      </c>
      <c r="G426" s="41" t="s">
        <v>40</v>
      </c>
      <c r="H426" s="41"/>
      <c r="I426" s="41"/>
      <c r="J426" s="43">
        <v>678</v>
      </c>
      <c r="K426" s="41"/>
      <c r="L426" s="43">
        <v>1</v>
      </c>
      <c r="M426" s="43">
        <v>100</v>
      </c>
      <c r="N426" s="43">
        <v>1</v>
      </c>
      <c r="O426" s="44">
        <v>5333.01</v>
      </c>
      <c r="P426" s="44">
        <v>4371.32</v>
      </c>
      <c r="Q426" s="44">
        <v>5333.01</v>
      </c>
      <c r="R426" s="44">
        <v>4371.32</v>
      </c>
      <c r="S426" s="44">
        <v>4266.41</v>
      </c>
      <c r="T426" s="44">
        <v>3497.06</v>
      </c>
      <c r="U426" s="42"/>
      <c r="V426" s="42"/>
      <c r="W426" s="42" t="s">
        <v>40</v>
      </c>
      <c r="X426" s="45">
        <v>0.14899999999999999</v>
      </c>
      <c r="Y426" s="46">
        <v>5.2899999999999996E-4</v>
      </c>
      <c r="Z426" s="21">
        <v>4601004348677</v>
      </c>
    </row>
    <row r="427" spans="1:26" ht="12" customHeight="1" outlineLevel="4" x14ac:dyDescent="0.2">
      <c r="A427" s="40" t="s">
        <v>867</v>
      </c>
      <c r="B427" s="75" t="s">
        <v>868</v>
      </c>
      <c r="C427" s="51"/>
      <c r="D427" s="54">
        <f t="shared" si="6"/>
        <v>0</v>
      </c>
      <c r="E427" s="62"/>
      <c r="F427" s="42" t="s">
        <v>39</v>
      </c>
      <c r="G427" s="41" t="s">
        <v>40</v>
      </c>
      <c r="H427" s="41"/>
      <c r="I427" s="41"/>
      <c r="J427" s="43">
        <v>305</v>
      </c>
      <c r="K427" s="41"/>
      <c r="L427" s="43">
        <v>1</v>
      </c>
      <c r="M427" s="43">
        <v>80</v>
      </c>
      <c r="N427" s="43">
        <v>1</v>
      </c>
      <c r="O427" s="44">
        <v>5184.5</v>
      </c>
      <c r="P427" s="44">
        <v>4249.59</v>
      </c>
      <c r="Q427" s="44">
        <v>5184.5</v>
      </c>
      <c r="R427" s="44">
        <v>4249.59</v>
      </c>
      <c r="S427" s="44">
        <v>4147.6000000000004</v>
      </c>
      <c r="T427" s="44">
        <v>3399.67</v>
      </c>
      <c r="U427" s="42"/>
      <c r="V427" s="42"/>
      <c r="W427" s="42" t="s">
        <v>40</v>
      </c>
      <c r="X427" s="45">
        <v>0.187</v>
      </c>
      <c r="Y427" s="46">
        <v>6.5799999999999995E-4</v>
      </c>
      <c r="Z427" s="21">
        <v>4601004348813</v>
      </c>
    </row>
    <row r="428" spans="1:26" ht="12" customHeight="1" outlineLevel="4" x14ac:dyDescent="0.2">
      <c r="A428" s="40" t="s">
        <v>869</v>
      </c>
      <c r="B428" s="75" t="s">
        <v>870</v>
      </c>
      <c r="C428" s="51"/>
      <c r="D428" s="54">
        <f t="shared" si="6"/>
        <v>0</v>
      </c>
      <c r="E428" s="62"/>
      <c r="F428" s="42" t="s">
        <v>39</v>
      </c>
      <c r="G428" s="41" t="s">
        <v>40</v>
      </c>
      <c r="H428" s="41"/>
      <c r="I428" s="41"/>
      <c r="J428" s="43">
        <v>304</v>
      </c>
      <c r="K428" s="41"/>
      <c r="L428" s="43">
        <v>1</v>
      </c>
      <c r="M428" s="43">
        <v>80</v>
      </c>
      <c r="N428" s="43">
        <v>1</v>
      </c>
      <c r="O428" s="44">
        <v>5323.37</v>
      </c>
      <c r="P428" s="44">
        <v>4363.42</v>
      </c>
      <c r="Q428" s="44">
        <v>5323.37</v>
      </c>
      <c r="R428" s="44">
        <v>4363.42</v>
      </c>
      <c r="S428" s="44">
        <v>4258.7</v>
      </c>
      <c r="T428" s="44">
        <v>3490.74</v>
      </c>
      <c r="U428" s="42"/>
      <c r="V428" s="42"/>
      <c r="W428" s="42" t="s">
        <v>40</v>
      </c>
      <c r="X428" s="45">
        <v>0.187</v>
      </c>
      <c r="Y428" s="46">
        <v>6.5899999999999997E-4</v>
      </c>
      <c r="Z428" s="21">
        <v>4601004348851</v>
      </c>
    </row>
    <row r="429" spans="1:26" ht="12" customHeight="1" outlineLevel="4" x14ac:dyDescent="0.2">
      <c r="A429" s="40" t="s">
        <v>871</v>
      </c>
      <c r="B429" s="75" t="s">
        <v>872</v>
      </c>
      <c r="C429" s="51"/>
      <c r="D429" s="54">
        <f t="shared" si="6"/>
        <v>0</v>
      </c>
      <c r="E429" s="62"/>
      <c r="F429" s="42" t="s">
        <v>39</v>
      </c>
      <c r="G429" s="41" t="s">
        <v>40</v>
      </c>
      <c r="H429" s="41"/>
      <c r="I429" s="41"/>
      <c r="J429" s="43">
        <v>329</v>
      </c>
      <c r="K429" s="41"/>
      <c r="L429" s="43">
        <v>1</v>
      </c>
      <c r="M429" s="43">
        <v>80</v>
      </c>
      <c r="N429" s="43">
        <v>1</v>
      </c>
      <c r="O429" s="44">
        <v>4801.45</v>
      </c>
      <c r="P429" s="44">
        <v>3935.61</v>
      </c>
      <c r="Q429" s="44">
        <v>4801.45</v>
      </c>
      <c r="R429" s="44">
        <v>3935.61</v>
      </c>
      <c r="S429" s="44">
        <v>3841.16</v>
      </c>
      <c r="T429" s="44">
        <v>3148.49</v>
      </c>
      <c r="U429" s="42"/>
      <c r="V429" s="42"/>
      <c r="W429" s="42" t="s">
        <v>40</v>
      </c>
      <c r="X429" s="45">
        <v>0.187</v>
      </c>
      <c r="Y429" s="46">
        <v>6.5499999999999998E-4</v>
      </c>
      <c r="Z429" s="21">
        <v>4601004348875</v>
      </c>
    </row>
    <row r="430" spans="1:26" ht="12" customHeight="1" outlineLevel="4" x14ac:dyDescent="0.2">
      <c r="A430" s="40" t="s">
        <v>873</v>
      </c>
      <c r="B430" s="75" t="s">
        <v>874</v>
      </c>
      <c r="C430" s="51"/>
      <c r="D430" s="54">
        <f t="shared" si="6"/>
        <v>0</v>
      </c>
      <c r="E430" s="62"/>
      <c r="F430" s="42" t="s">
        <v>39</v>
      </c>
      <c r="G430" s="41" t="s">
        <v>40</v>
      </c>
      <c r="H430" s="41"/>
      <c r="I430" s="41"/>
      <c r="J430" s="43">
        <v>379</v>
      </c>
      <c r="K430" s="41"/>
      <c r="L430" s="43">
        <v>1</v>
      </c>
      <c r="M430" s="43">
        <v>80</v>
      </c>
      <c r="N430" s="43">
        <v>1</v>
      </c>
      <c r="O430" s="44">
        <v>5184.5</v>
      </c>
      <c r="P430" s="44">
        <v>4249.59</v>
      </c>
      <c r="Q430" s="44">
        <v>5184.5</v>
      </c>
      <c r="R430" s="44">
        <v>4249.59</v>
      </c>
      <c r="S430" s="44">
        <v>4147.6000000000004</v>
      </c>
      <c r="T430" s="44">
        <v>3399.67</v>
      </c>
      <c r="U430" s="42"/>
      <c r="V430" s="42"/>
      <c r="W430" s="42" t="s">
        <v>40</v>
      </c>
      <c r="X430" s="45">
        <v>0.187</v>
      </c>
      <c r="Y430" s="46">
        <v>6.5899999999999997E-4</v>
      </c>
      <c r="Z430" s="21">
        <v>4601004348837</v>
      </c>
    </row>
    <row r="431" spans="1:26" ht="12.95" customHeight="1" outlineLevel="2" x14ac:dyDescent="0.2">
      <c r="A431" s="76" t="s">
        <v>875</v>
      </c>
      <c r="B431" s="76"/>
      <c r="C431" s="77"/>
      <c r="D431" s="58"/>
      <c r="E431" s="68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  <c r="Z431" s="13"/>
    </row>
    <row r="432" spans="1:26" ht="12.95" customHeight="1" outlineLevel="3" x14ac:dyDescent="0.2">
      <c r="A432" s="76" t="s">
        <v>876</v>
      </c>
      <c r="B432" s="76"/>
      <c r="C432" s="77"/>
      <c r="D432" s="58"/>
      <c r="E432" s="68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  <c r="Z432" s="13"/>
    </row>
    <row r="433" spans="1:26" ht="12" customHeight="1" outlineLevel="4" x14ac:dyDescent="0.2">
      <c r="A433" s="14" t="s">
        <v>877</v>
      </c>
      <c r="B433" s="26" t="s">
        <v>878</v>
      </c>
      <c r="C433" s="52"/>
      <c r="D433" s="55">
        <f t="shared" si="6"/>
        <v>0</v>
      </c>
      <c r="E433" s="63" t="str">
        <f>HYPERLINK("https://www.sds-group.ru/product/blok-vertikalnyy-2-rozetki-ip54-s-z-o-u-seryy-indastrial-kranz-KR-78-0615/", "Инфо")</f>
        <v>Инфо</v>
      </c>
      <c r="F433" s="16" t="s">
        <v>39</v>
      </c>
      <c r="G433" s="15"/>
      <c r="H433" s="15"/>
      <c r="I433" s="15"/>
      <c r="J433" s="22">
        <v>2623</v>
      </c>
      <c r="K433" s="15"/>
      <c r="L433" s="17">
        <v>1</v>
      </c>
      <c r="M433" s="17">
        <v>50</v>
      </c>
      <c r="N433" s="17">
        <v>1</v>
      </c>
      <c r="O433" s="18">
        <v>752.11</v>
      </c>
      <c r="P433" s="18">
        <v>616.48</v>
      </c>
      <c r="Q433" s="18">
        <v>526.48</v>
      </c>
      <c r="R433" s="18">
        <v>431.54</v>
      </c>
      <c r="S433" s="18">
        <v>511.43</v>
      </c>
      <c r="T433" s="18">
        <v>419.2</v>
      </c>
      <c r="U433" s="16"/>
      <c r="V433" s="16"/>
      <c r="W433" s="16"/>
      <c r="X433" s="19">
        <v>0.183</v>
      </c>
      <c r="Y433" s="20">
        <v>6.8400000000000004E-4</v>
      </c>
      <c r="Z433" s="21">
        <v>4601004222571</v>
      </c>
    </row>
    <row r="434" spans="1:26" ht="12" customHeight="1" outlineLevel="4" x14ac:dyDescent="0.2">
      <c r="A434" s="32" t="s">
        <v>879</v>
      </c>
      <c r="B434" s="74" t="s">
        <v>880</v>
      </c>
      <c r="C434" s="50"/>
      <c r="D434" s="53">
        <f t="shared" si="6"/>
        <v>0</v>
      </c>
      <c r="E434" s="60" t="str">
        <f>HYPERLINK("https://www.sds-group.ru/product/blok-gorizontalnyy-2-rozetki-ip54-s-z-o-u-belyy-indastrial-kranz-KR-78-0805/", "Инфо")</f>
        <v>Инфо</v>
      </c>
      <c r="F434" s="34" t="s">
        <v>39</v>
      </c>
      <c r="G434" s="33"/>
      <c r="H434" s="33" t="s">
        <v>40</v>
      </c>
      <c r="I434" s="33"/>
      <c r="J434" s="35">
        <v>449</v>
      </c>
      <c r="K434" s="33"/>
      <c r="L434" s="35">
        <v>1</v>
      </c>
      <c r="M434" s="35">
        <v>50</v>
      </c>
      <c r="N434" s="35">
        <v>1</v>
      </c>
      <c r="O434" s="36">
        <v>804.61</v>
      </c>
      <c r="P434" s="36">
        <v>659.52</v>
      </c>
      <c r="Q434" s="36">
        <v>563.23</v>
      </c>
      <c r="R434" s="36">
        <v>461.66</v>
      </c>
      <c r="S434" s="36">
        <v>547.13</v>
      </c>
      <c r="T434" s="36">
        <v>448.47</v>
      </c>
      <c r="U434" s="34"/>
      <c r="V434" s="34"/>
      <c r="W434" s="34"/>
      <c r="X434" s="37">
        <v>0.17799999999999999</v>
      </c>
      <c r="Y434" s="38">
        <v>6.6200000000000015E-4</v>
      </c>
      <c r="Z434" s="21">
        <v>4601004248281</v>
      </c>
    </row>
    <row r="435" spans="1:26" ht="12" customHeight="1" outlineLevel="4" x14ac:dyDescent="0.2">
      <c r="A435" s="14" t="s">
        <v>881</v>
      </c>
      <c r="B435" s="26" t="s">
        <v>882</v>
      </c>
      <c r="C435" s="52"/>
      <c r="D435" s="55">
        <f t="shared" si="6"/>
        <v>0</v>
      </c>
      <c r="E435" s="63" t="str">
        <f>HYPERLINK("https://www.sds-group.ru/product/blok-gorizontalnyy-2-rozetki-ip54-s-z-o-u-belyy-mini-kranz-KR-78-0606/", "Инфо")</f>
        <v>Инфо</v>
      </c>
      <c r="F435" s="16" t="s">
        <v>39</v>
      </c>
      <c r="G435" s="15"/>
      <c r="H435" s="15"/>
      <c r="I435" s="15"/>
      <c r="J435" s="17">
        <v>590</v>
      </c>
      <c r="K435" s="15" t="s">
        <v>883</v>
      </c>
      <c r="L435" s="17">
        <v>1</v>
      </c>
      <c r="M435" s="17">
        <v>50</v>
      </c>
      <c r="N435" s="17">
        <v>1</v>
      </c>
      <c r="O435" s="18">
        <v>724.33</v>
      </c>
      <c r="P435" s="18">
        <v>593.71</v>
      </c>
      <c r="Q435" s="18">
        <v>579.46</v>
      </c>
      <c r="R435" s="18">
        <v>474.97</v>
      </c>
      <c r="S435" s="18">
        <v>492.54</v>
      </c>
      <c r="T435" s="18">
        <v>403.72</v>
      </c>
      <c r="U435" s="16"/>
      <c r="V435" s="16"/>
      <c r="W435" s="16" t="s">
        <v>40</v>
      </c>
      <c r="X435" s="19">
        <v>0.15</v>
      </c>
      <c r="Y435" s="20">
        <v>5.13E-4</v>
      </c>
      <c r="Z435" s="21">
        <v>4601004222397</v>
      </c>
    </row>
    <row r="436" spans="1:26" ht="12" customHeight="1" outlineLevel="4" x14ac:dyDescent="0.2">
      <c r="A436" s="14" t="s">
        <v>884</v>
      </c>
      <c r="B436" s="26" t="s">
        <v>885</v>
      </c>
      <c r="C436" s="52"/>
      <c r="D436" s="55">
        <f t="shared" si="6"/>
        <v>0</v>
      </c>
      <c r="E436" s="63" t="str">
        <f>HYPERLINK("https://www.sds-group.ru/product/blok-gorizontalnyy-2-rozetki-ip54-s-z-o-u-seryy-indastrial-kranz-KR-78-0613/", "Инфо")</f>
        <v>Инфо</v>
      </c>
      <c r="F436" s="16" t="s">
        <v>39</v>
      </c>
      <c r="G436" s="15"/>
      <c r="H436" s="15"/>
      <c r="I436" s="15"/>
      <c r="J436" s="16" t="s">
        <v>100</v>
      </c>
      <c r="K436" s="15" t="s">
        <v>886</v>
      </c>
      <c r="L436" s="17">
        <v>1</v>
      </c>
      <c r="M436" s="17">
        <v>120</v>
      </c>
      <c r="N436" s="17">
        <v>1</v>
      </c>
      <c r="O436" s="18">
        <v>571.35</v>
      </c>
      <c r="P436" s="18">
        <v>468.32</v>
      </c>
      <c r="Q436" s="18">
        <v>399.95</v>
      </c>
      <c r="R436" s="18">
        <v>327.83</v>
      </c>
      <c r="S436" s="18">
        <v>388.52</v>
      </c>
      <c r="T436" s="18">
        <v>318.45999999999998</v>
      </c>
      <c r="U436" s="16"/>
      <c r="V436" s="16"/>
      <c r="W436" s="16"/>
      <c r="X436" s="19">
        <v>0.19</v>
      </c>
      <c r="Y436" s="20">
        <v>1.0679999999999999E-3</v>
      </c>
      <c r="Z436" s="21">
        <v>4601004222533</v>
      </c>
    </row>
    <row r="437" spans="1:26" ht="12" customHeight="1" outlineLevel="4" x14ac:dyDescent="0.2">
      <c r="A437" s="14" t="s">
        <v>887</v>
      </c>
      <c r="B437" s="26" t="s">
        <v>888</v>
      </c>
      <c r="C437" s="52"/>
      <c r="D437" s="55">
        <f t="shared" si="6"/>
        <v>0</v>
      </c>
      <c r="E437" s="63" t="str">
        <f>HYPERLINK("https://www.sds-group.ru/product/blok-gorizontalnyy-2-rozetki-ip54-s-z-o-u-seryy-mini-kranz-KR-78-0806/", "Инфо")</f>
        <v>Инфо</v>
      </c>
      <c r="F437" s="16" t="s">
        <v>39</v>
      </c>
      <c r="G437" s="15"/>
      <c r="H437" s="15"/>
      <c r="I437" s="15"/>
      <c r="J437" s="16" t="s">
        <v>100</v>
      </c>
      <c r="K437" s="15" t="s">
        <v>886</v>
      </c>
      <c r="L437" s="17">
        <v>1</v>
      </c>
      <c r="M437" s="17">
        <v>168</v>
      </c>
      <c r="N437" s="17">
        <v>1</v>
      </c>
      <c r="O437" s="18">
        <v>740.6</v>
      </c>
      <c r="P437" s="18">
        <v>607.04999999999995</v>
      </c>
      <c r="Q437" s="18">
        <v>629.51</v>
      </c>
      <c r="R437" s="18">
        <v>515.99</v>
      </c>
      <c r="S437" s="18">
        <v>503.61</v>
      </c>
      <c r="T437" s="18">
        <v>412.8</v>
      </c>
      <c r="U437" s="16"/>
      <c r="V437" s="16"/>
      <c r="W437" s="16" t="s">
        <v>40</v>
      </c>
      <c r="X437" s="19">
        <v>0.158</v>
      </c>
      <c r="Y437" s="20">
        <v>7.6599999999999997E-4</v>
      </c>
      <c r="Z437" s="21">
        <v>4601004248298</v>
      </c>
    </row>
    <row r="438" spans="1:26" ht="12" customHeight="1" outlineLevel="4" x14ac:dyDescent="0.2">
      <c r="A438" s="32" t="s">
        <v>889</v>
      </c>
      <c r="B438" s="74" t="s">
        <v>890</v>
      </c>
      <c r="C438" s="50"/>
      <c r="D438" s="53">
        <f t="shared" si="6"/>
        <v>0</v>
      </c>
      <c r="E438" s="60" t="str">
        <f>HYPERLINK("https://www.sds-group.ru/product/vyklyuchatel-dvuhklavishnyy-ip54-o-u-belyy-indastrial-kranz-KR-78-0832/", "Инфо")</f>
        <v>Инфо</v>
      </c>
      <c r="F438" s="34" t="s">
        <v>39</v>
      </c>
      <c r="G438" s="33"/>
      <c r="H438" s="33" t="s">
        <v>40</v>
      </c>
      <c r="I438" s="33"/>
      <c r="J438" s="35">
        <v>21</v>
      </c>
      <c r="K438" s="33"/>
      <c r="L438" s="35">
        <v>1</v>
      </c>
      <c r="M438" s="35">
        <v>240</v>
      </c>
      <c r="N438" s="35">
        <v>1</v>
      </c>
      <c r="O438" s="36">
        <v>371.92</v>
      </c>
      <c r="P438" s="36">
        <v>304.85000000000002</v>
      </c>
      <c r="Q438" s="36">
        <v>316.13</v>
      </c>
      <c r="R438" s="36">
        <v>259.12</v>
      </c>
      <c r="S438" s="36">
        <v>252.91</v>
      </c>
      <c r="T438" s="36">
        <v>207.3</v>
      </c>
      <c r="U438" s="34"/>
      <c r="V438" s="34"/>
      <c r="W438" s="34" t="s">
        <v>40</v>
      </c>
      <c r="X438" s="37">
        <v>0.11</v>
      </c>
      <c r="Y438" s="38">
        <v>5.3499999999999999E-4</v>
      </c>
      <c r="Z438" s="21">
        <v>4601004248403</v>
      </c>
    </row>
    <row r="439" spans="1:26" ht="12" customHeight="1" outlineLevel="4" x14ac:dyDescent="0.2">
      <c r="A439" s="14" t="s">
        <v>891</v>
      </c>
      <c r="B439" s="26" t="s">
        <v>892</v>
      </c>
      <c r="C439" s="52"/>
      <c r="D439" s="55">
        <f t="shared" si="6"/>
        <v>0</v>
      </c>
      <c r="E439" s="63" t="str">
        <f>HYPERLINK("https://www.sds-group.ru/product/vyklyuchatel-dvuhklavishnyy-ip54-o-u-belyy-mini-kranz-KR-78-0602/", "Инфо")</f>
        <v>Инфо</v>
      </c>
      <c r="F439" s="16" t="s">
        <v>39</v>
      </c>
      <c r="G439" s="15"/>
      <c r="H439" s="15"/>
      <c r="I439" s="15"/>
      <c r="J439" s="17">
        <v>604</v>
      </c>
      <c r="K439" s="15"/>
      <c r="L439" s="17">
        <v>1</v>
      </c>
      <c r="M439" s="17">
        <v>288</v>
      </c>
      <c r="N439" s="17">
        <v>1</v>
      </c>
      <c r="O439" s="18">
        <v>366.53</v>
      </c>
      <c r="P439" s="18">
        <v>300.43</v>
      </c>
      <c r="Q439" s="18">
        <v>256.57</v>
      </c>
      <c r="R439" s="18">
        <v>210.3</v>
      </c>
      <c r="S439" s="18">
        <v>249.24</v>
      </c>
      <c r="T439" s="18">
        <v>204.3</v>
      </c>
      <c r="U439" s="16"/>
      <c r="V439" s="16"/>
      <c r="W439" s="16"/>
      <c r="X439" s="19">
        <v>9.7000000000000003E-2</v>
      </c>
      <c r="Y439" s="20">
        <v>4.44E-4</v>
      </c>
      <c r="Z439" s="21">
        <v>4601004222311</v>
      </c>
    </row>
    <row r="440" spans="1:26" ht="12" customHeight="1" outlineLevel="4" x14ac:dyDescent="0.2">
      <c r="A440" s="14" t="s">
        <v>893</v>
      </c>
      <c r="B440" s="26" t="s">
        <v>894</v>
      </c>
      <c r="C440" s="52"/>
      <c r="D440" s="55">
        <f t="shared" si="6"/>
        <v>0</v>
      </c>
      <c r="E440" s="63" t="str">
        <f>HYPERLINK("https://www.sds-group.ru/product/vyklyuchatel-dvuhklavishnyy-ip54-o-u-seryy-indastrial-kranz-KR-78-0609/", "Инфо")</f>
        <v>Инфо</v>
      </c>
      <c r="F440" s="16" t="s">
        <v>39</v>
      </c>
      <c r="G440" s="15"/>
      <c r="H440" s="15"/>
      <c r="I440" s="15"/>
      <c r="J440" s="17">
        <v>222</v>
      </c>
      <c r="K440" s="15" t="s">
        <v>886</v>
      </c>
      <c r="L440" s="17">
        <v>1</v>
      </c>
      <c r="M440" s="17">
        <v>240</v>
      </c>
      <c r="N440" s="17">
        <v>1</v>
      </c>
      <c r="O440" s="18">
        <v>462.47</v>
      </c>
      <c r="P440" s="18">
        <v>379.07</v>
      </c>
      <c r="Q440" s="18">
        <v>393.1</v>
      </c>
      <c r="R440" s="18">
        <v>322.20999999999998</v>
      </c>
      <c r="S440" s="18">
        <v>314.48</v>
      </c>
      <c r="T440" s="18">
        <v>257.77</v>
      </c>
      <c r="U440" s="16"/>
      <c r="V440" s="16"/>
      <c r="W440" s="16" t="s">
        <v>40</v>
      </c>
      <c r="X440" s="19">
        <v>0.109</v>
      </c>
      <c r="Y440" s="20">
        <v>5.2099999999999998E-4</v>
      </c>
      <c r="Z440" s="21">
        <v>4601004222458</v>
      </c>
    </row>
    <row r="441" spans="1:26" ht="12" customHeight="1" outlineLevel="4" x14ac:dyDescent="0.2">
      <c r="A441" s="32" t="s">
        <v>895</v>
      </c>
      <c r="B441" s="74" t="s">
        <v>896</v>
      </c>
      <c r="C441" s="50"/>
      <c r="D441" s="53">
        <f t="shared" si="6"/>
        <v>0</v>
      </c>
      <c r="E441" s="60" t="str">
        <f>HYPERLINK("https://www.sds-group.ru/product/vyklyuchatel-dvuhklavishnyy-ip54-o-u-seryy-mini-kranz-KR-78-0833/", "Инфо")</f>
        <v>Инфо</v>
      </c>
      <c r="F441" s="34" t="s">
        <v>39</v>
      </c>
      <c r="G441" s="33"/>
      <c r="H441" s="33" t="s">
        <v>40</v>
      </c>
      <c r="I441" s="33"/>
      <c r="J441" s="35">
        <v>2</v>
      </c>
      <c r="K441" s="33"/>
      <c r="L441" s="35">
        <v>1</v>
      </c>
      <c r="M441" s="35">
        <v>288</v>
      </c>
      <c r="N441" s="35">
        <v>1</v>
      </c>
      <c r="O441" s="36">
        <v>368.68</v>
      </c>
      <c r="P441" s="36">
        <v>302.2</v>
      </c>
      <c r="Q441" s="36">
        <v>313.38</v>
      </c>
      <c r="R441" s="36">
        <v>256.87</v>
      </c>
      <c r="S441" s="36">
        <v>250.7</v>
      </c>
      <c r="T441" s="36">
        <v>205.49</v>
      </c>
      <c r="U441" s="34"/>
      <c r="V441" s="34"/>
      <c r="W441" s="34" t="s">
        <v>40</v>
      </c>
      <c r="X441" s="37">
        <v>9.8000000000000004E-2</v>
      </c>
      <c r="Y441" s="38">
        <v>4.2499999999999998E-4</v>
      </c>
      <c r="Z441" s="21">
        <v>4601004248359</v>
      </c>
    </row>
    <row r="442" spans="1:26" ht="12" customHeight="1" outlineLevel="4" x14ac:dyDescent="0.2">
      <c r="A442" s="14" t="s">
        <v>897</v>
      </c>
      <c r="B442" s="26" t="s">
        <v>898</v>
      </c>
      <c r="C442" s="52"/>
      <c r="D442" s="55">
        <f t="shared" si="6"/>
        <v>0</v>
      </c>
      <c r="E442" s="63" t="str">
        <f>HYPERLINK("https://www.sds-group.ru/product/vyklyuchatel-odnoklavishnyy-ip54-o-u-belyy-mini-kranz-KR-78-0601/", "Инфо")</f>
        <v>Инфо</v>
      </c>
      <c r="F442" s="16" t="s">
        <v>39</v>
      </c>
      <c r="G442" s="15"/>
      <c r="H442" s="15"/>
      <c r="I442" s="15"/>
      <c r="J442" s="17">
        <v>792</v>
      </c>
      <c r="K442" s="15" t="s">
        <v>886</v>
      </c>
      <c r="L442" s="17">
        <v>1</v>
      </c>
      <c r="M442" s="17">
        <v>100</v>
      </c>
      <c r="N442" s="17">
        <v>1</v>
      </c>
      <c r="O442" s="18">
        <v>333.11</v>
      </c>
      <c r="P442" s="18">
        <v>273.04000000000002</v>
      </c>
      <c r="Q442" s="18">
        <v>283.14</v>
      </c>
      <c r="R442" s="18">
        <v>232.08</v>
      </c>
      <c r="S442" s="18">
        <v>226.51</v>
      </c>
      <c r="T442" s="18">
        <v>185.66</v>
      </c>
      <c r="U442" s="16"/>
      <c r="V442" s="16"/>
      <c r="W442" s="16" t="s">
        <v>40</v>
      </c>
      <c r="X442" s="19">
        <v>9.4E-2</v>
      </c>
      <c r="Y442" s="20">
        <v>4.4299999999999998E-4</v>
      </c>
      <c r="Z442" s="21">
        <v>4601004222298</v>
      </c>
    </row>
    <row r="443" spans="1:26" ht="12" customHeight="1" outlineLevel="4" x14ac:dyDescent="0.2">
      <c r="A443" s="14" t="s">
        <v>899</v>
      </c>
      <c r="B443" s="26" t="s">
        <v>900</v>
      </c>
      <c r="C443" s="52"/>
      <c r="D443" s="55">
        <f t="shared" si="6"/>
        <v>0</v>
      </c>
      <c r="E443" s="63" t="str">
        <f>HYPERLINK("https://www.sds-group.ru/product/vyklyuchatel-odnoklavishnyy-ip54-o-u-seryy-indastrial-kranz-KR-78-0608/", "Инфо")</f>
        <v>Инфо</v>
      </c>
      <c r="F443" s="16" t="s">
        <v>39</v>
      </c>
      <c r="G443" s="15"/>
      <c r="H443" s="15"/>
      <c r="I443" s="15"/>
      <c r="J443" s="22">
        <v>2510</v>
      </c>
      <c r="K443" s="15"/>
      <c r="L443" s="17">
        <v>1</v>
      </c>
      <c r="M443" s="17">
        <v>100</v>
      </c>
      <c r="N443" s="17">
        <v>1</v>
      </c>
      <c r="O443" s="18">
        <v>430.13</v>
      </c>
      <c r="P443" s="18">
        <v>352.57</v>
      </c>
      <c r="Q443" s="18">
        <v>365.61</v>
      </c>
      <c r="R443" s="18">
        <v>299.68</v>
      </c>
      <c r="S443" s="18">
        <v>292.49</v>
      </c>
      <c r="T443" s="18">
        <v>239.75</v>
      </c>
      <c r="U443" s="16"/>
      <c r="V443" s="16"/>
      <c r="W443" s="16" t="s">
        <v>40</v>
      </c>
      <c r="X443" s="19">
        <v>0.104</v>
      </c>
      <c r="Y443" s="20">
        <v>4.55E-4</v>
      </c>
      <c r="Z443" s="21">
        <v>4601004222434</v>
      </c>
    </row>
    <row r="444" spans="1:26" ht="12" customHeight="1" outlineLevel="4" x14ac:dyDescent="0.2">
      <c r="A444" s="14" t="s">
        <v>901</v>
      </c>
      <c r="B444" s="26" t="s">
        <v>902</v>
      </c>
      <c r="C444" s="52"/>
      <c r="D444" s="55">
        <f t="shared" si="6"/>
        <v>0</v>
      </c>
      <c r="E444" s="63" t="str">
        <f>HYPERLINK("https://www.sds-group.ru/product/pereklyuchatel-prohodnoy-ip54-o-u-belyy-mini-kranz-KR-78-0603/", "Инфо")</f>
        <v>Инфо</v>
      </c>
      <c r="F444" s="16" t="s">
        <v>39</v>
      </c>
      <c r="G444" s="15"/>
      <c r="H444" s="15"/>
      <c r="I444" s="15"/>
      <c r="J444" s="16" t="s">
        <v>100</v>
      </c>
      <c r="K444" s="15" t="s">
        <v>886</v>
      </c>
      <c r="L444" s="17">
        <v>1</v>
      </c>
      <c r="M444" s="17">
        <v>288</v>
      </c>
      <c r="N444" s="17">
        <v>1</v>
      </c>
      <c r="O444" s="18">
        <v>376.23</v>
      </c>
      <c r="P444" s="18">
        <v>308.39</v>
      </c>
      <c r="Q444" s="18">
        <v>319.8</v>
      </c>
      <c r="R444" s="18">
        <v>262.13</v>
      </c>
      <c r="S444" s="18">
        <v>255.84</v>
      </c>
      <c r="T444" s="18">
        <v>209.7</v>
      </c>
      <c r="U444" s="16"/>
      <c r="V444" s="16"/>
      <c r="W444" s="16" t="s">
        <v>40</v>
      </c>
      <c r="X444" s="19">
        <v>9.6000000000000002E-2</v>
      </c>
      <c r="Y444" s="20">
        <v>4.4799999999999999E-4</v>
      </c>
      <c r="Z444" s="21">
        <v>4601004222335</v>
      </c>
    </row>
    <row r="445" spans="1:26" ht="12" customHeight="1" outlineLevel="4" x14ac:dyDescent="0.2">
      <c r="A445" s="14" t="s">
        <v>903</v>
      </c>
      <c r="B445" s="26" t="s">
        <v>904</v>
      </c>
      <c r="C445" s="52"/>
      <c r="D445" s="55">
        <f t="shared" si="6"/>
        <v>0</v>
      </c>
      <c r="E445" s="63" t="str">
        <f>HYPERLINK("https://www.sds-group.ru/product/pereklyuchatel-prohodnoy-ip54-o-u-seryy-indastrial-kranz-KR-78-0610/", "Инфо")</f>
        <v>Инфо</v>
      </c>
      <c r="F445" s="16" t="s">
        <v>39</v>
      </c>
      <c r="G445" s="15"/>
      <c r="H445" s="15"/>
      <c r="I445" s="15"/>
      <c r="J445" s="17">
        <v>382</v>
      </c>
      <c r="K445" s="15" t="s">
        <v>886</v>
      </c>
      <c r="L445" s="17">
        <v>1</v>
      </c>
      <c r="M445" s="17">
        <v>240</v>
      </c>
      <c r="N445" s="17">
        <v>1</v>
      </c>
      <c r="O445" s="18">
        <v>374.79</v>
      </c>
      <c r="P445" s="18">
        <v>307.2</v>
      </c>
      <c r="Q445" s="18">
        <v>299.83</v>
      </c>
      <c r="R445" s="18">
        <v>245.76</v>
      </c>
      <c r="S445" s="18">
        <v>254.86</v>
      </c>
      <c r="T445" s="18">
        <v>208.9</v>
      </c>
      <c r="U445" s="16"/>
      <c r="V445" s="16"/>
      <c r="W445" s="16" t="s">
        <v>40</v>
      </c>
      <c r="X445" s="19">
        <v>0.105</v>
      </c>
      <c r="Y445" s="20">
        <v>4.6900000000000002E-4</v>
      </c>
      <c r="Z445" s="21">
        <v>4601004222472</v>
      </c>
    </row>
    <row r="446" spans="1:26" ht="12" customHeight="1" outlineLevel="4" x14ac:dyDescent="0.2">
      <c r="A446" s="32" t="s">
        <v>905</v>
      </c>
      <c r="B446" s="74" t="s">
        <v>906</v>
      </c>
      <c r="C446" s="50"/>
      <c r="D446" s="53">
        <f t="shared" si="6"/>
        <v>0</v>
      </c>
      <c r="E446" s="60" t="str">
        <f>HYPERLINK("https://www.sds-group.ru/product/pereklyuchatel-prohodnoy-ip54-o-u-seryy-mini-kranz-KR-78-0837/", "Инфо")</f>
        <v>Инфо</v>
      </c>
      <c r="F446" s="34" t="s">
        <v>39</v>
      </c>
      <c r="G446" s="33"/>
      <c r="H446" s="33" t="s">
        <v>40</v>
      </c>
      <c r="I446" s="33"/>
      <c r="J446" s="35">
        <v>1</v>
      </c>
      <c r="K446" s="33"/>
      <c r="L446" s="35">
        <v>1</v>
      </c>
      <c r="M446" s="35">
        <v>288</v>
      </c>
      <c r="N446" s="35">
        <v>1</v>
      </c>
      <c r="O446" s="36">
        <v>414.15</v>
      </c>
      <c r="P446" s="36">
        <v>339.47</v>
      </c>
      <c r="Q446" s="36">
        <v>289.91000000000003</v>
      </c>
      <c r="R446" s="36">
        <v>237.63</v>
      </c>
      <c r="S446" s="36">
        <v>281.62</v>
      </c>
      <c r="T446" s="36">
        <v>230.84</v>
      </c>
      <c r="U446" s="34"/>
      <c r="V446" s="34"/>
      <c r="W446" s="34"/>
      <c r="X446" s="37">
        <v>9.5000000000000001E-2</v>
      </c>
      <c r="Y446" s="38">
        <v>4.57E-4</v>
      </c>
      <c r="Z446" s="21">
        <v>4601004248397</v>
      </c>
    </row>
    <row r="447" spans="1:26" ht="12" customHeight="1" outlineLevel="4" x14ac:dyDescent="0.2">
      <c r="A447" s="14" t="s">
        <v>907</v>
      </c>
      <c r="B447" s="26" t="s">
        <v>908</v>
      </c>
      <c r="C447" s="52"/>
      <c r="D447" s="55">
        <f t="shared" si="6"/>
        <v>0</v>
      </c>
      <c r="E447" s="63" t="str">
        <f>HYPERLINK("https://www.sds-group.ru/product/rozetka-odnomestnaya-ip54-s-z-o-u-seraya-indastrial-kranz-KR-78-0611/", "Инфо")</f>
        <v>Инфо</v>
      </c>
      <c r="F447" s="16" t="s">
        <v>39</v>
      </c>
      <c r="G447" s="15"/>
      <c r="H447" s="15"/>
      <c r="I447" s="15"/>
      <c r="J447" s="16" t="s">
        <v>100</v>
      </c>
      <c r="K447" s="15" t="s">
        <v>886</v>
      </c>
      <c r="L447" s="17">
        <v>1</v>
      </c>
      <c r="M447" s="17">
        <v>240</v>
      </c>
      <c r="N447" s="17">
        <v>1</v>
      </c>
      <c r="O447" s="18">
        <v>343.89</v>
      </c>
      <c r="P447" s="18">
        <v>281.88</v>
      </c>
      <c r="Q447" s="18">
        <v>240.72</v>
      </c>
      <c r="R447" s="18">
        <v>197.31</v>
      </c>
      <c r="S447" s="18">
        <v>233.85</v>
      </c>
      <c r="T447" s="18">
        <v>191.68</v>
      </c>
      <c r="U447" s="16"/>
      <c r="V447" s="16"/>
      <c r="W447" s="16"/>
      <c r="X447" s="19">
        <v>0.11</v>
      </c>
      <c r="Y447" s="20">
        <v>5.4100000000000003E-4</v>
      </c>
      <c r="Z447" s="21">
        <v>4601004222496</v>
      </c>
    </row>
    <row r="448" spans="1:26" ht="12" customHeight="1" outlineLevel="4" x14ac:dyDescent="0.2">
      <c r="A448" s="14" t="s">
        <v>909</v>
      </c>
      <c r="B448" s="26" t="s">
        <v>910</v>
      </c>
      <c r="C448" s="52"/>
      <c r="D448" s="55">
        <f t="shared" si="6"/>
        <v>0</v>
      </c>
      <c r="E448" s="63" t="str">
        <f>HYPERLINK("https://www.sds-group.ru/product/rozetka-odnomestnaya-ip54-s-z-o-u-belaya-indastrial-kranz-KR-78-0816/", "Инфо")</f>
        <v>Инфо</v>
      </c>
      <c r="F448" s="16" t="s">
        <v>39</v>
      </c>
      <c r="G448" s="15"/>
      <c r="H448" s="15"/>
      <c r="I448" s="15"/>
      <c r="J448" s="17">
        <v>105</v>
      </c>
      <c r="K448" s="15"/>
      <c r="L448" s="17">
        <v>1</v>
      </c>
      <c r="M448" s="17">
        <v>100</v>
      </c>
      <c r="N448" s="17">
        <v>1</v>
      </c>
      <c r="O448" s="18">
        <v>425.82</v>
      </c>
      <c r="P448" s="18">
        <v>349.03</v>
      </c>
      <c r="Q448" s="18">
        <v>340.66</v>
      </c>
      <c r="R448" s="18">
        <v>279.23</v>
      </c>
      <c r="S448" s="18">
        <v>289.56</v>
      </c>
      <c r="T448" s="18">
        <v>237.34</v>
      </c>
      <c r="U448" s="16"/>
      <c r="V448" s="16"/>
      <c r="W448" s="16" t="s">
        <v>40</v>
      </c>
      <c r="X448" s="19">
        <v>0.113</v>
      </c>
      <c r="Y448" s="20">
        <v>4.7100000000000001E-4</v>
      </c>
      <c r="Z448" s="21">
        <v>4601004248328</v>
      </c>
    </row>
    <row r="449" spans="1:26" ht="12" customHeight="1" outlineLevel="4" x14ac:dyDescent="0.2">
      <c r="A449" s="14" t="s">
        <v>911</v>
      </c>
      <c r="B449" s="26" t="s">
        <v>912</v>
      </c>
      <c r="C449" s="52"/>
      <c r="D449" s="55">
        <f t="shared" si="6"/>
        <v>0</v>
      </c>
      <c r="E449" s="63" t="str">
        <f>HYPERLINK("https://www.sds-group.ru/product/rozetka-odnomestnaya-ip54-s-z-o-u-belaya-mini-kranz-KR-78-0604/", "Инфо")</f>
        <v>Инфо</v>
      </c>
      <c r="F449" s="16" t="s">
        <v>39</v>
      </c>
      <c r="G449" s="15"/>
      <c r="H449" s="15"/>
      <c r="I449" s="15"/>
      <c r="J449" s="16" t="s">
        <v>100</v>
      </c>
      <c r="K449" s="15" t="s">
        <v>883</v>
      </c>
      <c r="L449" s="17">
        <v>1</v>
      </c>
      <c r="M449" s="17">
        <v>100</v>
      </c>
      <c r="N449" s="17">
        <v>1</v>
      </c>
      <c r="O449" s="18">
        <v>354.67</v>
      </c>
      <c r="P449" s="18">
        <v>290.70999999999998</v>
      </c>
      <c r="Q449" s="18">
        <v>301.47000000000003</v>
      </c>
      <c r="R449" s="18">
        <v>247.11</v>
      </c>
      <c r="S449" s="18">
        <v>241.18</v>
      </c>
      <c r="T449" s="18">
        <v>197.69</v>
      </c>
      <c r="U449" s="16"/>
      <c r="V449" s="16"/>
      <c r="W449" s="16" t="s">
        <v>40</v>
      </c>
      <c r="X449" s="19">
        <v>8.4000000000000005E-2</v>
      </c>
      <c r="Y449" s="20">
        <v>2.5799999999999998E-4</v>
      </c>
      <c r="Z449" s="21">
        <v>4601004222359</v>
      </c>
    </row>
    <row r="450" spans="1:26" ht="12" customHeight="1" outlineLevel="4" x14ac:dyDescent="0.2">
      <c r="A450" s="14" t="s">
        <v>913</v>
      </c>
      <c r="B450" s="26" t="s">
        <v>914</v>
      </c>
      <c r="C450" s="52"/>
      <c r="D450" s="55">
        <f t="shared" si="6"/>
        <v>0</v>
      </c>
      <c r="E450" s="63" t="str">
        <f>HYPERLINK("https://www.sds-group.ru/product/rozetka-odnomestnaya-ip54-s-z-o-u-seraya-mini-kranz-KR-78-0817/", "Инфо")</f>
        <v>Инфо</v>
      </c>
      <c r="F450" s="16" t="s">
        <v>39</v>
      </c>
      <c r="G450" s="15"/>
      <c r="H450" s="15"/>
      <c r="I450" s="15"/>
      <c r="J450" s="17">
        <v>1</v>
      </c>
      <c r="K450" s="15"/>
      <c r="L450" s="17">
        <v>1</v>
      </c>
      <c r="M450" s="17">
        <v>100</v>
      </c>
      <c r="N450" s="17">
        <v>1</v>
      </c>
      <c r="O450" s="18">
        <v>412.15</v>
      </c>
      <c r="P450" s="18">
        <v>337.83</v>
      </c>
      <c r="Q450" s="18">
        <v>288.51</v>
      </c>
      <c r="R450" s="18">
        <v>236.48</v>
      </c>
      <c r="S450" s="18">
        <v>280.26</v>
      </c>
      <c r="T450" s="18">
        <v>229.72</v>
      </c>
      <c r="U450" s="16"/>
      <c r="V450" s="16"/>
      <c r="W450" s="16"/>
      <c r="X450" s="19">
        <v>8.4000000000000005E-2</v>
      </c>
      <c r="Y450" s="20">
        <v>2.6200000000000003E-4</v>
      </c>
      <c r="Z450" s="21">
        <v>4601004248335</v>
      </c>
    </row>
    <row r="451" spans="1:26" ht="12.95" customHeight="1" outlineLevel="1" x14ac:dyDescent="0.2">
      <c r="A451" s="78" t="s">
        <v>915</v>
      </c>
      <c r="B451" s="78"/>
      <c r="C451" s="79"/>
      <c r="D451" s="57"/>
      <c r="E451" s="67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  <c r="X451" s="12"/>
      <c r="Y451" s="12"/>
      <c r="Z451" s="12"/>
    </row>
    <row r="452" spans="1:26" ht="12.95" customHeight="1" outlineLevel="2" x14ac:dyDescent="0.2">
      <c r="A452" s="76" t="s">
        <v>916</v>
      </c>
      <c r="B452" s="76"/>
      <c r="C452" s="77"/>
      <c r="D452" s="58"/>
      <c r="E452" s="68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  <c r="Z452" s="13"/>
    </row>
    <row r="453" spans="1:26" ht="12.95" customHeight="1" outlineLevel="3" x14ac:dyDescent="0.2">
      <c r="A453" s="76" t="s">
        <v>917</v>
      </c>
      <c r="B453" s="76"/>
      <c r="C453" s="77"/>
      <c r="D453" s="58"/>
      <c r="E453" s="68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  <c r="Z453" s="13"/>
    </row>
    <row r="454" spans="1:26" ht="12" customHeight="1" outlineLevel="4" x14ac:dyDescent="0.2">
      <c r="A454" s="14" t="s">
        <v>918</v>
      </c>
      <c r="B454" s="26" t="s">
        <v>919</v>
      </c>
      <c r="C454" s="52"/>
      <c r="D454" s="55">
        <f t="shared" si="6"/>
        <v>0</v>
      </c>
      <c r="E454" s="63" t="str">
        <f>HYPERLINK("https://www.sds-group.ru/product/vilka-evro-pryamaya-s-z-k-16a-belaya-rexant-16-0732/", "Инфо")</f>
        <v>Инфо</v>
      </c>
      <c r="F454" s="16" t="s">
        <v>39</v>
      </c>
      <c r="G454" s="15"/>
      <c r="H454" s="15"/>
      <c r="I454" s="15"/>
      <c r="J454" s="22">
        <v>7901</v>
      </c>
      <c r="K454" s="15"/>
      <c r="L454" s="17">
        <v>10</v>
      </c>
      <c r="M454" s="17">
        <v>210</v>
      </c>
      <c r="N454" s="17">
        <v>10</v>
      </c>
      <c r="O454" s="18">
        <v>83.98</v>
      </c>
      <c r="P454" s="18">
        <v>68.84</v>
      </c>
      <c r="Q454" s="18">
        <v>71.38</v>
      </c>
      <c r="R454" s="18">
        <v>58.51</v>
      </c>
      <c r="S454" s="18">
        <v>57.11</v>
      </c>
      <c r="T454" s="18">
        <v>46.81</v>
      </c>
      <c r="U454" s="16"/>
      <c r="V454" s="16"/>
      <c r="W454" s="16" t="s">
        <v>40</v>
      </c>
      <c r="X454" s="19">
        <v>0.03</v>
      </c>
      <c r="Y454" s="20">
        <v>1.5300000000000001E-4</v>
      </c>
      <c r="Z454" s="21">
        <v>4601004240551</v>
      </c>
    </row>
    <row r="455" spans="1:26" ht="12" customHeight="1" outlineLevel="4" x14ac:dyDescent="0.2">
      <c r="A455" s="14" t="s">
        <v>920</v>
      </c>
      <c r="B455" s="26" t="s">
        <v>921</v>
      </c>
      <c r="C455" s="52"/>
      <c r="D455" s="55">
        <f t="shared" si="6"/>
        <v>0</v>
      </c>
      <c r="E455" s="63" t="str">
        <f>HYPERLINK("https://www.sds-group.ru/product/vilka-evro-pryamaya-s-z-k-16a-usilennaya-belaya-rexant-11-8948/", "Инфо")</f>
        <v>Инфо</v>
      </c>
      <c r="F455" s="16" t="s">
        <v>39</v>
      </c>
      <c r="G455" s="15"/>
      <c r="H455" s="15"/>
      <c r="I455" s="15"/>
      <c r="J455" s="17">
        <v>114</v>
      </c>
      <c r="K455" s="15" t="s">
        <v>922</v>
      </c>
      <c r="L455" s="17">
        <v>10</v>
      </c>
      <c r="M455" s="17">
        <v>300</v>
      </c>
      <c r="N455" s="17">
        <v>10</v>
      </c>
      <c r="O455" s="18">
        <v>87.69</v>
      </c>
      <c r="P455" s="18">
        <v>71.88</v>
      </c>
      <c r="Q455" s="18">
        <v>74.540000000000006</v>
      </c>
      <c r="R455" s="18">
        <v>61.1</v>
      </c>
      <c r="S455" s="18">
        <v>59.63</v>
      </c>
      <c r="T455" s="18">
        <v>48.88</v>
      </c>
      <c r="U455" s="16"/>
      <c r="V455" s="16"/>
      <c r="W455" s="16" t="s">
        <v>40</v>
      </c>
      <c r="X455" s="19">
        <v>3.5999999999999997E-2</v>
      </c>
      <c r="Y455" s="20">
        <v>1.9900000000000001E-4</v>
      </c>
      <c r="Z455" s="21">
        <v>4601004240520</v>
      </c>
    </row>
    <row r="456" spans="1:26" ht="12" customHeight="1" outlineLevel="4" x14ac:dyDescent="0.2">
      <c r="A456" s="14" t="s">
        <v>923</v>
      </c>
      <c r="B456" s="26" t="s">
        <v>924</v>
      </c>
      <c r="C456" s="52"/>
      <c r="D456" s="55">
        <f t="shared" si="6"/>
        <v>0</v>
      </c>
      <c r="E456" s="63" t="str">
        <f>HYPERLINK("https://www.sds-group.ru/product/vilka-evro-pryamaya-s-z-k-16a-usilennaya-chernaya-rexant-11-8949/", "Инфо")</f>
        <v>Инфо</v>
      </c>
      <c r="F456" s="16" t="s">
        <v>39</v>
      </c>
      <c r="G456" s="15"/>
      <c r="H456" s="15"/>
      <c r="I456" s="15"/>
      <c r="J456" s="22">
        <v>2313</v>
      </c>
      <c r="K456" s="15" t="s">
        <v>925</v>
      </c>
      <c r="L456" s="17">
        <v>10</v>
      </c>
      <c r="M456" s="17">
        <v>300</v>
      </c>
      <c r="N456" s="17">
        <v>10</v>
      </c>
      <c r="O456" s="18">
        <v>88.68</v>
      </c>
      <c r="P456" s="18">
        <v>72.69</v>
      </c>
      <c r="Q456" s="18">
        <v>75.38</v>
      </c>
      <c r="R456" s="18">
        <v>61.79</v>
      </c>
      <c r="S456" s="18">
        <v>60.3</v>
      </c>
      <c r="T456" s="18">
        <v>49.43</v>
      </c>
      <c r="U456" s="16"/>
      <c r="V456" s="16"/>
      <c r="W456" s="16" t="s">
        <v>40</v>
      </c>
      <c r="X456" s="19">
        <v>3.5999999999999997E-2</v>
      </c>
      <c r="Y456" s="20">
        <v>1.95E-4</v>
      </c>
      <c r="Z456" s="21">
        <v>4601004240513</v>
      </c>
    </row>
    <row r="457" spans="1:26" ht="12" customHeight="1" outlineLevel="4" x14ac:dyDescent="0.2">
      <c r="A457" s="14" t="s">
        <v>926</v>
      </c>
      <c r="B457" s="26" t="s">
        <v>927</v>
      </c>
      <c r="C457" s="52"/>
      <c r="D457" s="55">
        <f t="shared" ref="D457:D520" si="7">C457*(O457-O457*$G$3)</f>
        <v>0</v>
      </c>
      <c r="E457" s="63" t="str">
        <f>HYPERLINK("https://www.sds-group.ru/product/vilka-evro-pryamaya-s-z-k-16a-chernaya-rexant-11-8950/", "Инфо")</f>
        <v>Инфо</v>
      </c>
      <c r="F457" s="16" t="s">
        <v>39</v>
      </c>
      <c r="G457" s="15"/>
      <c r="H457" s="15"/>
      <c r="I457" s="15"/>
      <c r="J457" s="17">
        <v>48</v>
      </c>
      <c r="K457" s="15" t="s">
        <v>922</v>
      </c>
      <c r="L457" s="17">
        <v>10</v>
      </c>
      <c r="M457" s="17">
        <v>300</v>
      </c>
      <c r="N457" s="17">
        <v>10</v>
      </c>
      <c r="O457" s="18">
        <v>80.28</v>
      </c>
      <c r="P457" s="18">
        <v>65.8</v>
      </c>
      <c r="Q457" s="18">
        <v>68.239999999999995</v>
      </c>
      <c r="R457" s="18">
        <v>55.93</v>
      </c>
      <c r="S457" s="18">
        <v>54.59</v>
      </c>
      <c r="T457" s="18">
        <v>44.75</v>
      </c>
      <c r="U457" s="16"/>
      <c r="V457" s="16"/>
      <c r="W457" s="16" t="s">
        <v>40</v>
      </c>
      <c r="X457" s="19">
        <v>3.2000000000000001E-2</v>
      </c>
      <c r="Y457" s="20">
        <v>1.9699999999999999E-4</v>
      </c>
      <c r="Z457" s="21">
        <v>4601004240506</v>
      </c>
    </row>
    <row r="458" spans="1:26" ht="12" customHeight="1" outlineLevel="4" x14ac:dyDescent="0.2">
      <c r="A458" s="14" t="s">
        <v>928</v>
      </c>
      <c r="B458" s="26" t="s">
        <v>929</v>
      </c>
      <c r="C458" s="52"/>
      <c r="D458" s="55">
        <f t="shared" si="7"/>
        <v>0</v>
      </c>
      <c r="E458" s="63" t="str">
        <f>HYPERLINK("https://www.sds-group.ru/product/vilka-evro-uglovaya-s-z-k-16-a-ploskaya-za-shkaf-belaya-rexant-16-0734/", "Инфо")</f>
        <v>Инфо</v>
      </c>
      <c r="F458" s="16" t="s">
        <v>39</v>
      </c>
      <c r="G458" s="15"/>
      <c r="H458" s="15"/>
      <c r="I458" s="15"/>
      <c r="J458" s="17">
        <v>576</v>
      </c>
      <c r="K458" s="15" t="s">
        <v>925</v>
      </c>
      <c r="L458" s="17">
        <v>10</v>
      </c>
      <c r="M458" s="17">
        <v>200</v>
      </c>
      <c r="N458" s="17">
        <v>10</v>
      </c>
      <c r="O458" s="18">
        <v>178.61</v>
      </c>
      <c r="P458" s="18">
        <v>146.4</v>
      </c>
      <c r="Q458" s="18">
        <v>151.82</v>
      </c>
      <c r="R458" s="18">
        <v>124.44</v>
      </c>
      <c r="S458" s="18">
        <v>121.45</v>
      </c>
      <c r="T458" s="18">
        <v>99.55</v>
      </c>
      <c r="U458" s="16"/>
      <c r="V458" s="16"/>
      <c r="W458" s="16" t="s">
        <v>40</v>
      </c>
      <c r="X458" s="19">
        <v>3.5000000000000003E-2</v>
      </c>
      <c r="Y458" s="20">
        <v>2.5599999999999999E-4</v>
      </c>
      <c r="Z458" s="21">
        <v>4601004246522</v>
      </c>
    </row>
    <row r="459" spans="1:26" ht="12" customHeight="1" outlineLevel="4" x14ac:dyDescent="0.2">
      <c r="A459" s="14" t="s">
        <v>930</v>
      </c>
      <c r="B459" s="26" t="s">
        <v>931</v>
      </c>
      <c r="C459" s="52"/>
      <c r="D459" s="55">
        <f t="shared" si="7"/>
        <v>0</v>
      </c>
      <c r="E459" s="63" t="str">
        <f>HYPERLINK("https://www.sds-group.ru/product/vilka-evro-uglovaya-s-z-k-16-a-ploskaya-za-shkaf-chernaya-rexant-16-0736/", "Инфо")</f>
        <v>Инфо</v>
      </c>
      <c r="F459" s="16" t="s">
        <v>39</v>
      </c>
      <c r="G459" s="15"/>
      <c r="H459" s="15"/>
      <c r="I459" s="15"/>
      <c r="J459" s="22">
        <v>1658</v>
      </c>
      <c r="K459" s="15" t="s">
        <v>922</v>
      </c>
      <c r="L459" s="17">
        <v>10</v>
      </c>
      <c r="M459" s="17">
        <v>200</v>
      </c>
      <c r="N459" s="17">
        <v>10</v>
      </c>
      <c r="O459" s="18">
        <v>169.62</v>
      </c>
      <c r="P459" s="18">
        <v>139.03</v>
      </c>
      <c r="Q459" s="18">
        <v>144.18</v>
      </c>
      <c r="R459" s="18">
        <v>118.18</v>
      </c>
      <c r="S459" s="18">
        <v>115.34</v>
      </c>
      <c r="T459" s="18">
        <v>94.54</v>
      </c>
      <c r="U459" s="16"/>
      <c r="V459" s="16"/>
      <c r="W459" s="16" t="s">
        <v>40</v>
      </c>
      <c r="X459" s="19">
        <v>3.5000000000000003E-2</v>
      </c>
      <c r="Y459" s="20">
        <v>2.5999999999999998E-4</v>
      </c>
      <c r="Z459" s="21">
        <v>4601004246539</v>
      </c>
    </row>
    <row r="460" spans="1:26" ht="12" customHeight="1" outlineLevel="4" x14ac:dyDescent="0.2">
      <c r="A460" s="14" t="s">
        <v>932</v>
      </c>
      <c r="B460" s="26" t="s">
        <v>933</v>
      </c>
      <c r="C460" s="52"/>
      <c r="D460" s="55">
        <f t="shared" si="7"/>
        <v>0</v>
      </c>
      <c r="E460" s="63" t="str">
        <f>HYPERLINK("https://www.sds-group.ru/product/vilka-evro-uglovaya-s-z-k-16a-belaya-ip20-rexant-16-0728/", "Инфо")</f>
        <v>Инфо</v>
      </c>
      <c r="F460" s="16" t="s">
        <v>39</v>
      </c>
      <c r="G460" s="15"/>
      <c r="H460" s="15"/>
      <c r="I460" s="15"/>
      <c r="J460" s="22">
        <v>3566</v>
      </c>
      <c r="K460" s="15" t="s">
        <v>922</v>
      </c>
      <c r="L460" s="17">
        <v>10</v>
      </c>
      <c r="M460" s="17">
        <v>300</v>
      </c>
      <c r="N460" s="17">
        <v>10</v>
      </c>
      <c r="O460" s="18">
        <v>75.75</v>
      </c>
      <c r="P460" s="18">
        <v>62.09</v>
      </c>
      <c r="Q460" s="18">
        <v>64.39</v>
      </c>
      <c r="R460" s="18">
        <v>52.78</v>
      </c>
      <c r="S460" s="18">
        <v>51.51</v>
      </c>
      <c r="T460" s="18">
        <v>42.22</v>
      </c>
      <c r="U460" s="16"/>
      <c r="V460" s="16"/>
      <c r="W460" s="16" t="s">
        <v>40</v>
      </c>
      <c r="X460" s="19">
        <v>0.03</v>
      </c>
      <c r="Y460" s="20">
        <v>1.9699999999999999E-4</v>
      </c>
      <c r="Z460" s="21">
        <v>4601004240575</v>
      </c>
    </row>
    <row r="461" spans="1:26" ht="12" customHeight="1" outlineLevel="4" x14ac:dyDescent="0.2">
      <c r="A461" s="14" t="s">
        <v>934</v>
      </c>
      <c r="B461" s="26" t="s">
        <v>935</v>
      </c>
      <c r="C461" s="52"/>
      <c r="D461" s="55">
        <f t="shared" si="7"/>
        <v>0</v>
      </c>
      <c r="E461" s="63" t="str">
        <f>HYPERLINK("https://www.sds-group.ru/product/vilka-evro-uglovaya-s-z-k-16a-belaya-rexant-11-8954/", "Инфо")</f>
        <v>Инфо</v>
      </c>
      <c r="F461" s="16" t="s">
        <v>39</v>
      </c>
      <c r="G461" s="15"/>
      <c r="H461" s="15"/>
      <c r="I461" s="15"/>
      <c r="J461" s="22">
        <v>10764</v>
      </c>
      <c r="K461" s="15" t="s">
        <v>925</v>
      </c>
      <c r="L461" s="17">
        <v>30</v>
      </c>
      <c r="M461" s="17">
        <v>300</v>
      </c>
      <c r="N461" s="17">
        <v>30</v>
      </c>
      <c r="O461" s="18">
        <v>81.16</v>
      </c>
      <c r="P461" s="18">
        <v>66.52</v>
      </c>
      <c r="Q461" s="18">
        <v>68.989999999999995</v>
      </c>
      <c r="R461" s="18">
        <v>56.55</v>
      </c>
      <c r="S461" s="18">
        <v>55.19</v>
      </c>
      <c r="T461" s="18">
        <v>45.24</v>
      </c>
      <c r="U461" s="16"/>
      <c r="V461" s="16"/>
      <c r="W461" s="16" t="s">
        <v>40</v>
      </c>
      <c r="X461" s="19">
        <v>3.4000000000000002E-2</v>
      </c>
      <c r="Y461" s="20">
        <v>2.0100000000000001E-4</v>
      </c>
      <c r="Z461" s="21">
        <v>4601004240469</v>
      </c>
    </row>
    <row r="462" spans="1:26" ht="12" customHeight="1" outlineLevel="4" x14ac:dyDescent="0.2">
      <c r="A462" s="14" t="s">
        <v>936</v>
      </c>
      <c r="B462" s="26" t="s">
        <v>937</v>
      </c>
      <c r="C462" s="52"/>
      <c r="D462" s="55">
        <f t="shared" si="7"/>
        <v>0</v>
      </c>
      <c r="E462" s="63" t="str">
        <f>HYPERLINK("https://www.sds-group.ru/product/vilka-evro-uglovaya-s-z-k-16a-belaya-s-knopkoy-rexant-16-0730/", "Инфо")</f>
        <v>Инфо</v>
      </c>
      <c r="F462" s="16" t="s">
        <v>39</v>
      </c>
      <c r="G462" s="15"/>
      <c r="H462" s="15"/>
      <c r="I462" s="15"/>
      <c r="J462" s="22">
        <v>3855</v>
      </c>
      <c r="K462" s="15" t="s">
        <v>922</v>
      </c>
      <c r="L462" s="17">
        <v>10</v>
      </c>
      <c r="M462" s="17">
        <v>240</v>
      </c>
      <c r="N462" s="17">
        <v>10</v>
      </c>
      <c r="O462" s="18">
        <v>149.11000000000001</v>
      </c>
      <c r="P462" s="18">
        <v>122.22</v>
      </c>
      <c r="Q462" s="18">
        <v>126.74</v>
      </c>
      <c r="R462" s="18">
        <v>103.89</v>
      </c>
      <c r="S462" s="18">
        <v>101.39</v>
      </c>
      <c r="T462" s="18">
        <v>83.11</v>
      </c>
      <c r="U462" s="16"/>
      <c r="V462" s="16"/>
      <c r="W462" s="16" t="s">
        <v>40</v>
      </c>
      <c r="X462" s="19">
        <v>0.05</v>
      </c>
      <c r="Y462" s="20">
        <v>2.52E-4</v>
      </c>
      <c r="Z462" s="21">
        <v>4601004240568</v>
      </c>
    </row>
    <row r="463" spans="1:26" ht="12" customHeight="1" outlineLevel="4" x14ac:dyDescent="0.2">
      <c r="A463" s="14" t="s">
        <v>938</v>
      </c>
      <c r="B463" s="26" t="s">
        <v>939</v>
      </c>
      <c r="C463" s="52"/>
      <c r="D463" s="55">
        <f t="shared" si="7"/>
        <v>0</v>
      </c>
      <c r="E463" s="63" t="str">
        <f>HYPERLINK("https://www.sds-group.ru/product/vilka-evro-uglovaya-s-z-k-16a-s-koltsom-belaya-rexant-11-8951/", "Инфо")</f>
        <v>Инфо</v>
      </c>
      <c r="F463" s="16" t="s">
        <v>39</v>
      </c>
      <c r="G463" s="15"/>
      <c r="H463" s="15"/>
      <c r="I463" s="15"/>
      <c r="J463" s="22">
        <v>7222</v>
      </c>
      <c r="K463" s="15" t="s">
        <v>940</v>
      </c>
      <c r="L463" s="17">
        <v>10</v>
      </c>
      <c r="M463" s="17">
        <v>350</v>
      </c>
      <c r="N463" s="17">
        <v>10</v>
      </c>
      <c r="O463" s="18">
        <v>92.68</v>
      </c>
      <c r="P463" s="18">
        <v>75.97</v>
      </c>
      <c r="Q463" s="18">
        <v>78.78</v>
      </c>
      <c r="R463" s="18">
        <v>64.569999999999993</v>
      </c>
      <c r="S463" s="18">
        <v>63.02</v>
      </c>
      <c r="T463" s="18">
        <v>51.66</v>
      </c>
      <c r="U463" s="16"/>
      <c r="V463" s="16"/>
      <c r="W463" s="16" t="s">
        <v>40</v>
      </c>
      <c r="X463" s="19">
        <v>3.9E-2</v>
      </c>
      <c r="Y463" s="20">
        <v>1.9799999999999999E-4</v>
      </c>
      <c r="Z463" s="21">
        <v>4601004240490</v>
      </c>
    </row>
    <row r="464" spans="1:26" ht="12" customHeight="1" outlineLevel="4" x14ac:dyDescent="0.2">
      <c r="A464" s="14" t="s">
        <v>941</v>
      </c>
      <c r="B464" s="26" t="s">
        <v>942</v>
      </c>
      <c r="C464" s="52"/>
      <c r="D464" s="55">
        <f t="shared" si="7"/>
        <v>0</v>
      </c>
      <c r="E464" s="63" t="str">
        <f>HYPERLINK("https://www.sds-group.ru/product/vilka-evro-uglovaya-s-z-k-16a-s-koltsom-belo-chernaya-rexant-11-8952/", "Инфо")</f>
        <v>Инфо</v>
      </c>
      <c r="F464" s="16" t="s">
        <v>39</v>
      </c>
      <c r="G464" s="15"/>
      <c r="H464" s="15"/>
      <c r="I464" s="15"/>
      <c r="J464" s="22">
        <v>6160</v>
      </c>
      <c r="K464" s="15" t="s">
        <v>925</v>
      </c>
      <c r="L464" s="17">
        <v>10</v>
      </c>
      <c r="M464" s="17">
        <v>350</v>
      </c>
      <c r="N464" s="17">
        <v>10</v>
      </c>
      <c r="O464" s="18">
        <v>91.74</v>
      </c>
      <c r="P464" s="18">
        <v>75.2</v>
      </c>
      <c r="Q464" s="18">
        <v>77.98</v>
      </c>
      <c r="R464" s="18">
        <v>63.92</v>
      </c>
      <c r="S464" s="18">
        <v>62.38</v>
      </c>
      <c r="T464" s="18">
        <v>51.13</v>
      </c>
      <c r="U464" s="16"/>
      <c r="V464" s="16"/>
      <c r="W464" s="16" t="s">
        <v>40</v>
      </c>
      <c r="X464" s="19">
        <v>3.5999999999999997E-2</v>
      </c>
      <c r="Y464" s="20">
        <v>1.66E-4</v>
      </c>
      <c r="Z464" s="21">
        <v>4601004240483</v>
      </c>
    </row>
    <row r="465" spans="1:26" ht="12" customHeight="1" outlineLevel="4" x14ac:dyDescent="0.2">
      <c r="A465" s="14" t="s">
        <v>943</v>
      </c>
      <c r="B465" s="26" t="s">
        <v>944</v>
      </c>
      <c r="C465" s="52"/>
      <c r="D465" s="55">
        <f t="shared" si="7"/>
        <v>0</v>
      </c>
      <c r="E465" s="63" t="str">
        <f>HYPERLINK("https://www.sds-group.ru/product/vilka-evro-uglovaya-s-z-k-16a-s-koltsom-chernaya-rexant-11-8953/", "Инфо")</f>
        <v>Инфо</v>
      </c>
      <c r="F465" s="16" t="s">
        <v>39</v>
      </c>
      <c r="G465" s="15"/>
      <c r="H465" s="15"/>
      <c r="I465" s="15"/>
      <c r="J465" s="22">
        <v>4655</v>
      </c>
      <c r="K465" s="15" t="s">
        <v>922</v>
      </c>
      <c r="L465" s="17">
        <v>10</v>
      </c>
      <c r="M465" s="17">
        <v>350</v>
      </c>
      <c r="N465" s="17">
        <v>10</v>
      </c>
      <c r="O465" s="18">
        <v>94.47</v>
      </c>
      <c r="P465" s="18">
        <v>77.430000000000007</v>
      </c>
      <c r="Q465" s="18">
        <v>80.3</v>
      </c>
      <c r="R465" s="18">
        <v>65.819999999999993</v>
      </c>
      <c r="S465" s="18">
        <v>64.239999999999995</v>
      </c>
      <c r="T465" s="18">
        <v>52.66</v>
      </c>
      <c r="U465" s="16"/>
      <c r="V465" s="16"/>
      <c r="W465" s="16" t="s">
        <v>40</v>
      </c>
      <c r="X465" s="19">
        <v>3.7999999999999999E-2</v>
      </c>
      <c r="Y465" s="20">
        <v>1.9699999999999999E-4</v>
      </c>
      <c r="Z465" s="21">
        <v>4601004240476</v>
      </c>
    </row>
    <row r="466" spans="1:26" ht="12" customHeight="1" outlineLevel="4" x14ac:dyDescent="0.2">
      <c r="A466" s="14" t="s">
        <v>945</v>
      </c>
      <c r="B466" s="26" t="s">
        <v>946</v>
      </c>
      <c r="C466" s="52"/>
      <c r="D466" s="55">
        <f t="shared" si="7"/>
        <v>0</v>
      </c>
      <c r="E466" s="63" t="str">
        <f>HYPERLINK("https://www.sds-group.ru/product/vilka-evro-uglovaya-s-z-k-16a-chernaya-rexant-16-0726/", "Инфо")</f>
        <v>Инфо</v>
      </c>
      <c r="F466" s="16" t="s">
        <v>39</v>
      </c>
      <c r="G466" s="15"/>
      <c r="H466" s="15"/>
      <c r="I466" s="15"/>
      <c r="J466" s="22">
        <v>3115</v>
      </c>
      <c r="K466" s="15" t="s">
        <v>922</v>
      </c>
      <c r="L466" s="17">
        <v>10</v>
      </c>
      <c r="M466" s="17">
        <v>300</v>
      </c>
      <c r="N466" s="17">
        <v>10</v>
      </c>
      <c r="O466" s="18">
        <v>74.650000000000006</v>
      </c>
      <c r="P466" s="18">
        <v>61.19</v>
      </c>
      <c r="Q466" s="18">
        <v>63.45</v>
      </c>
      <c r="R466" s="18">
        <v>52.01</v>
      </c>
      <c r="S466" s="18">
        <v>50.76</v>
      </c>
      <c r="T466" s="18">
        <v>41.61</v>
      </c>
      <c r="U466" s="16"/>
      <c r="V466" s="16"/>
      <c r="W466" s="16" t="s">
        <v>40</v>
      </c>
      <c r="X466" s="19">
        <v>2.8000000000000001E-2</v>
      </c>
      <c r="Y466" s="20">
        <v>1.9799999999999999E-4</v>
      </c>
      <c r="Z466" s="21">
        <v>4601004240582</v>
      </c>
    </row>
    <row r="467" spans="1:26" ht="12" customHeight="1" outlineLevel="4" x14ac:dyDescent="0.2">
      <c r="A467" s="14" t="s">
        <v>947</v>
      </c>
      <c r="B467" s="26" t="s">
        <v>948</v>
      </c>
      <c r="C467" s="52"/>
      <c r="D467" s="55">
        <f t="shared" si="7"/>
        <v>0</v>
      </c>
      <c r="E467" s="63" t="str">
        <f>HYPERLINK("https://www.sds-group.ru/product/vilka-pryamaya-bez-z-k-6a-belaya-rexant-11-8933/", "Инфо")</f>
        <v>Инфо</v>
      </c>
      <c r="F467" s="16" t="s">
        <v>39</v>
      </c>
      <c r="G467" s="15"/>
      <c r="H467" s="15"/>
      <c r="I467" s="15"/>
      <c r="J467" s="22">
        <v>2120</v>
      </c>
      <c r="K467" s="15" t="s">
        <v>922</v>
      </c>
      <c r="L467" s="17">
        <v>10</v>
      </c>
      <c r="M467" s="17">
        <v>500</v>
      </c>
      <c r="N467" s="17">
        <v>10</v>
      </c>
      <c r="O467" s="18">
        <v>61.68</v>
      </c>
      <c r="P467" s="18">
        <v>50.56</v>
      </c>
      <c r="Q467" s="18">
        <v>52.43</v>
      </c>
      <c r="R467" s="18">
        <v>42.98</v>
      </c>
      <c r="S467" s="18">
        <v>41.94</v>
      </c>
      <c r="T467" s="18">
        <v>34.380000000000003</v>
      </c>
      <c r="U467" s="16"/>
      <c r="V467" s="16"/>
      <c r="W467" s="16" t="s">
        <v>40</v>
      </c>
      <c r="X467" s="19">
        <v>2.3E-2</v>
      </c>
      <c r="Y467" s="20">
        <v>1.21E-4</v>
      </c>
      <c r="Z467" s="21">
        <v>4601004240605</v>
      </c>
    </row>
    <row r="468" spans="1:26" ht="12" customHeight="1" outlineLevel="4" x14ac:dyDescent="0.2">
      <c r="A468" s="14" t="s">
        <v>949</v>
      </c>
      <c r="B468" s="26" t="s">
        <v>950</v>
      </c>
      <c r="C468" s="52"/>
      <c r="D468" s="55">
        <f t="shared" si="7"/>
        <v>0</v>
      </c>
      <c r="E468" s="63" t="str">
        <f>HYPERLINK("https://www.sds-group.ru/product/vilka-pryamaya-bez-z-k-6a-ploskaya-belaya-rexant-11-8946/", "Инфо")</f>
        <v>Инфо</v>
      </c>
      <c r="F468" s="16" t="s">
        <v>39</v>
      </c>
      <c r="G468" s="15"/>
      <c r="H468" s="15"/>
      <c r="I468" s="15"/>
      <c r="J468" s="22">
        <v>17220</v>
      </c>
      <c r="K468" s="15" t="s">
        <v>922</v>
      </c>
      <c r="L468" s="17">
        <v>10</v>
      </c>
      <c r="M468" s="17">
        <v>500</v>
      </c>
      <c r="N468" s="17">
        <v>10</v>
      </c>
      <c r="O468" s="18">
        <v>59.6</v>
      </c>
      <c r="P468" s="18">
        <v>48.85</v>
      </c>
      <c r="Q468" s="18">
        <v>50.66</v>
      </c>
      <c r="R468" s="18">
        <v>41.52</v>
      </c>
      <c r="S468" s="18">
        <v>40.53</v>
      </c>
      <c r="T468" s="18">
        <v>33.22</v>
      </c>
      <c r="U468" s="16"/>
      <c r="V468" s="16"/>
      <c r="W468" s="16" t="s">
        <v>40</v>
      </c>
      <c r="X468" s="19">
        <v>1.6E-2</v>
      </c>
      <c r="Y468" s="20">
        <v>1.02E-4</v>
      </c>
      <c r="Z468" s="21">
        <v>4601004240544</v>
      </c>
    </row>
    <row r="469" spans="1:26" ht="12" customHeight="1" outlineLevel="4" x14ac:dyDescent="0.2">
      <c r="A469" s="14" t="s">
        <v>951</v>
      </c>
      <c r="B469" s="26" t="s">
        <v>952</v>
      </c>
      <c r="C469" s="52"/>
      <c r="D469" s="55">
        <f t="shared" si="7"/>
        <v>0</v>
      </c>
      <c r="E469" s="63" t="str">
        <f>HYPERLINK("https://www.sds-group.ru/product/vilka-pryamaya-bez-z-k-6a-ploskaya-chernaya-rexant-11-8947/", "Инфо")</f>
        <v>Инфо</v>
      </c>
      <c r="F469" s="16" t="s">
        <v>39</v>
      </c>
      <c r="G469" s="15"/>
      <c r="H469" s="15"/>
      <c r="I469" s="15"/>
      <c r="J469" s="22">
        <v>2682</v>
      </c>
      <c r="K469" s="15" t="s">
        <v>922</v>
      </c>
      <c r="L469" s="17">
        <v>10</v>
      </c>
      <c r="M469" s="17">
        <v>500</v>
      </c>
      <c r="N469" s="17">
        <v>10</v>
      </c>
      <c r="O469" s="18">
        <v>60.59</v>
      </c>
      <c r="P469" s="18">
        <v>49.66</v>
      </c>
      <c r="Q469" s="18">
        <v>51.5</v>
      </c>
      <c r="R469" s="18">
        <v>42.21</v>
      </c>
      <c r="S469" s="18">
        <v>41.2</v>
      </c>
      <c r="T469" s="18">
        <v>33.770000000000003</v>
      </c>
      <c r="U469" s="16"/>
      <c r="V469" s="16"/>
      <c r="W469" s="16" t="s">
        <v>40</v>
      </c>
      <c r="X469" s="19">
        <v>1.7000000000000001E-2</v>
      </c>
      <c r="Y469" s="20">
        <v>1.03E-4</v>
      </c>
      <c r="Z469" s="21">
        <v>4601004240537</v>
      </c>
    </row>
    <row r="470" spans="1:26" ht="12" customHeight="1" outlineLevel="4" x14ac:dyDescent="0.2">
      <c r="A470" s="14" t="s">
        <v>953</v>
      </c>
      <c r="B470" s="26" t="s">
        <v>954</v>
      </c>
      <c r="C470" s="52"/>
      <c r="D470" s="55">
        <f t="shared" si="7"/>
        <v>0</v>
      </c>
      <c r="E470" s="63" t="str">
        <f>HYPERLINK("https://www.sds-group.ru/product/vilka-pryamaya-bez-z-k-6a-chernaya-rexant-11-8934/", "Инфо")</f>
        <v>Инфо</v>
      </c>
      <c r="F470" s="16" t="s">
        <v>39</v>
      </c>
      <c r="G470" s="15"/>
      <c r="H470" s="15"/>
      <c r="I470" s="15"/>
      <c r="J470" s="22">
        <v>2559</v>
      </c>
      <c r="K470" s="15" t="s">
        <v>922</v>
      </c>
      <c r="L470" s="17">
        <v>10</v>
      </c>
      <c r="M470" s="17">
        <v>500</v>
      </c>
      <c r="N470" s="17">
        <v>10</v>
      </c>
      <c r="O470" s="18">
        <v>55.3</v>
      </c>
      <c r="P470" s="18">
        <v>45.33</v>
      </c>
      <c r="Q470" s="18">
        <v>47.01</v>
      </c>
      <c r="R470" s="18">
        <v>38.53</v>
      </c>
      <c r="S470" s="18">
        <v>37.6</v>
      </c>
      <c r="T470" s="18">
        <v>30.82</v>
      </c>
      <c r="U470" s="16"/>
      <c r="V470" s="16"/>
      <c r="W470" s="16" t="s">
        <v>40</v>
      </c>
      <c r="X470" s="19">
        <v>2.3E-2</v>
      </c>
      <c r="Y470" s="20">
        <v>1.34E-4</v>
      </c>
      <c r="Z470" s="21">
        <v>4601004240599</v>
      </c>
    </row>
    <row r="471" spans="1:26" ht="12" customHeight="1" outlineLevel="4" x14ac:dyDescent="0.2">
      <c r="A471" s="32" t="s">
        <v>955</v>
      </c>
      <c r="B471" s="74" t="s">
        <v>956</v>
      </c>
      <c r="C471" s="50"/>
      <c r="D471" s="53">
        <f t="shared" si="7"/>
        <v>0</v>
      </c>
      <c r="E471" s="60" t="str">
        <f>HYPERLINK("https://www.sds-group.ru/product/rozetka-razbornaya-bez-z-k-10a-chernaya-rexant-11-8540/", "Инфо")</f>
        <v>Инфо</v>
      </c>
      <c r="F471" s="34" t="s">
        <v>39</v>
      </c>
      <c r="G471" s="33"/>
      <c r="H471" s="33" t="s">
        <v>40</v>
      </c>
      <c r="I471" s="33"/>
      <c r="J471" s="35">
        <v>923</v>
      </c>
      <c r="K471" s="33"/>
      <c r="L471" s="35">
        <v>1</v>
      </c>
      <c r="M471" s="35">
        <v>480</v>
      </c>
      <c r="N471" s="35">
        <v>1</v>
      </c>
      <c r="O471" s="36">
        <v>77.48</v>
      </c>
      <c r="P471" s="36">
        <v>63.51</v>
      </c>
      <c r="Q471" s="36">
        <v>54.24</v>
      </c>
      <c r="R471" s="36">
        <v>44.46</v>
      </c>
      <c r="S471" s="36">
        <v>52.69</v>
      </c>
      <c r="T471" s="36">
        <v>43.19</v>
      </c>
      <c r="U471" s="34"/>
      <c r="V471" s="34"/>
      <c r="W471" s="34"/>
      <c r="X471" s="37">
        <v>6.9000000000000006E-2</v>
      </c>
      <c r="Y471" s="38">
        <v>2.5500000000000002E-4</v>
      </c>
      <c r="Z471" s="21">
        <v>4601004240643</v>
      </c>
    </row>
    <row r="472" spans="1:26" ht="12" customHeight="1" outlineLevel="4" x14ac:dyDescent="0.2">
      <c r="A472" s="14" t="s">
        <v>957</v>
      </c>
      <c r="B472" s="26" t="s">
        <v>958</v>
      </c>
      <c r="C472" s="52"/>
      <c r="D472" s="55">
        <f t="shared" si="7"/>
        <v>0</v>
      </c>
      <c r="E472" s="63" t="str">
        <f>HYPERLINK("https://www.sds-group.ru/product/rozetka-razbornaya-bez-z-k-6a-ploskaya-belaya-rexant-11-8526/", "Инфо")</f>
        <v>Инфо</v>
      </c>
      <c r="F472" s="16" t="s">
        <v>39</v>
      </c>
      <c r="G472" s="15"/>
      <c r="H472" s="15"/>
      <c r="I472" s="15"/>
      <c r="J472" s="22">
        <v>7050</v>
      </c>
      <c r="K472" s="15" t="s">
        <v>940</v>
      </c>
      <c r="L472" s="17">
        <v>10</v>
      </c>
      <c r="M472" s="17">
        <v>500</v>
      </c>
      <c r="N472" s="17">
        <v>10</v>
      </c>
      <c r="O472" s="18">
        <v>57.09</v>
      </c>
      <c r="P472" s="18">
        <v>46.8</v>
      </c>
      <c r="Q472" s="18">
        <v>48.53</v>
      </c>
      <c r="R472" s="18">
        <v>39.78</v>
      </c>
      <c r="S472" s="18">
        <v>38.82</v>
      </c>
      <c r="T472" s="18">
        <v>31.82</v>
      </c>
      <c r="U472" s="16"/>
      <c r="V472" s="16"/>
      <c r="W472" s="16" t="s">
        <v>40</v>
      </c>
      <c r="X472" s="19">
        <v>1.7000000000000001E-2</v>
      </c>
      <c r="Y472" s="20">
        <v>1.05E-4</v>
      </c>
      <c r="Z472" s="21">
        <v>4601004240667</v>
      </c>
    </row>
    <row r="473" spans="1:26" ht="12" customHeight="1" outlineLevel="4" x14ac:dyDescent="0.2">
      <c r="A473" s="14" t="s">
        <v>959</v>
      </c>
      <c r="B473" s="26" t="s">
        <v>960</v>
      </c>
      <c r="C473" s="52"/>
      <c r="D473" s="55">
        <f t="shared" si="7"/>
        <v>0</v>
      </c>
      <c r="E473" s="63" t="str">
        <f>HYPERLINK("https://www.sds-group.ru/product/rozetka-razbornaya-evro-s-z-k-16a-belaya-rexant-11-8528/", "Инфо")</f>
        <v>Инфо</v>
      </c>
      <c r="F473" s="16" t="s">
        <v>39</v>
      </c>
      <c r="G473" s="15"/>
      <c r="H473" s="15"/>
      <c r="I473" s="15"/>
      <c r="J473" s="17">
        <v>246</v>
      </c>
      <c r="K473" s="15" t="s">
        <v>922</v>
      </c>
      <c r="L473" s="17">
        <v>10</v>
      </c>
      <c r="M473" s="17">
        <v>200</v>
      </c>
      <c r="N473" s="17">
        <v>10</v>
      </c>
      <c r="O473" s="18">
        <v>93.69</v>
      </c>
      <c r="P473" s="18">
        <v>76.8</v>
      </c>
      <c r="Q473" s="18">
        <v>79.64</v>
      </c>
      <c r="R473" s="18">
        <v>65.28</v>
      </c>
      <c r="S473" s="18">
        <v>63.71</v>
      </c>
      <c r="T473" s="18">
        <v>52.22</v>
      </c>
      <c r="U473" s="16"/>
      <c r="V473" s="16"/>
      <c r="W473" s="16" t="s">
        <v>40</v>
      </c>
      <c r="X473" s="19">
        <v>4.7E-2</v>
      </c>
      <c r="Y473" s="20">
        <v>2.5500000000000002E-4</v>
      </c>
      <c r="Z473" s="21">
        <v>4601004240629</v>
      </c>
    </row>
    <row r="474" spans="1:26" ht="12" customHeight="1" outlineLevel="4" x14ac:dyDescent="0.2">
      <c r="A474" s="14" t="s">
        <v>961</v>
      </c>
      <c r="B474" s="26" t="s">
        <v>962</v>
      </c>
      <c r="C474" s="52"/>
      <c r="D474" s="55">
        <f t="shared" si="7"/>
        <v>0</v>
      </c>
      <c r="E474" s="63" t="str">
        <f>HYPERLINK("https://www.sds-group.ru/product/rozetka-razbornaya-evro-s-z-k-16a-chernaya-rexant-11-8529/", "Инфо")</f>
        <v>Инфо</v>
      </c>
      <c r="F474" s="16" t="s">
        <v>39</v>
      </c>
      <c r="G474" s="15"/>
      <c r="H474" s="15"/>
      <c r="I474" s="15"/>
      <c r="J474" s="17">
        <v>748</v>
      </c>
      <c r="K474" s="15" t="s">
        <v>925</v>
      </c>
      <c r="L474" s="17">
        <v>10</v>
      </c>
      <c r="M474" s="17">
        <v>200</v>
      </c>
      <c r="N474" s="17">
        <v>10</v>
      </c>
      <c r="O474" s="18">
        <v>120.07</v>
      </c>
      <c r="P474" s="18">
        <v>98.42</v>
      </c>
      <c r="Q474" s="18">
        <v>102.06</v>
      </c>
      <c r="R474" s="18">
        <v>83.66</v>
      </c>
      <c r="S474" s="18">
        <v>81.650000000000006</v>
      </c>
      <c r="T474" s="18">
        <v>66.930000000000007</v>
      </c>
      <c r="U474" s="16"/>
      <c r="V474" s="16"/>
      <c r="W474" s="16" t="s">
        <v>40</v>
      </c>
      <c r="X474" s="19">
        <v>7.3999999999999996E-2</v>
      </c>
      <c r="Y474" s="20">
        <v>2.6699999999999998E-4</v>
      </c>
      <c r="Z474" s="21">
        <v>4601004240636</v>
      </c>
    </row>
    <row r="475" spans="1:26" ht="12.95" customHeight="1" outlineLevel="2" x14ac:dyDescent="0.2">
      <c r="A475" s="76" t="s">
        <v>963</v>
      </c>
      <c r="B475" s="76"/>
      <c r="C475" s="77"/>
      <c r="D475" s="58"/>
      <c r="E475" s="68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  <c r="Z475" s="13"/>
    </row>
    <row r="476" spans="1:26" ht="12" customHeight="1" outlineLevel="3" x14ac:dyDescent="0.2">
      <c r="A476" s="14" t="s">
        <v>964</v>
      </c>
      <c r="B476" s="26" t="s">
        <v>965</v>
      </c>
      <c r="C476" s="52"/>
      <c r="D476" s="55">
        <f t="shared" si="7"/>
        <v>0</v>
      </c>
      <c r="E476" s="63" t="str">
        <f>HYPERLINK("https://www.sds-group.ru/product/vilka-vsh-dlya-elektricheskoy-plity-32a-250v-2r-re-ou-belaya-rexant-11-8931/", "Инфо")</f>
        <v>Инфо</v>
      </c>
      <c r="F476" s="16" t="s">
        <v>39</v>
      </c>
      <c r="G476" s="15"/>
      <c r="H476" s="15"/>
      <c r="I476" s="15"/>
      <c r="J476" s="22">
        <v>3992</v>
      </c>
      <c r="K476" s="15" t="s">
        <v>922</v>
      </c>
      <c r="L476" s="17">
        <v>10</v>
      </c>
      <c r="M476" s="17">
        <v>200</v>
      </c>
      <c r="N476" s="17">
        <v>10</v>
      </c>
      <c r="O476" s="18">
        <v>231.26</v>
      </c>
      <c r="P476" s="18">
        <v>189.56</v>
      </c>
      <c r="Q476" s="18">
        <v>196.57</v>
      </c>
      <c r="R476" s="18">
        <v>161.12</v>
      </c>
      <c r="S476" s="18">
        <v>157.26</v>
      </c>
      <c r="T476" s="18">
        <v>128.9</v>
      </c>
      <c r="U476" s="16"/>
      <c r="V476" s="16"/>
      <c r="W476" s="16" t="s">
        <v>40</v>
      </c>
      <c r="X476" s="19">
        <v>9.4E-2</v>
      </c>
      <c r="Y476" s="20">
        <v>4.0000000000000002E-4</v>
      </c>
      <c r="Z476" s="21">
        <v>4601004183643</v>
      </c>
    </row>
    <row r="477" spans="1:26" ht="12" customHeight="1" outlineLevel="3" x14ac:dyDescent="0.2">
      <c r="A477" s="14" t="s">
        <v>966</v>
      </c>
      <c r="B477" s="26" t="s">
        <v>967</v>
      </c>
      <c r="C477" s="52"/>
      <c r="D477" s="55">
        <f t="shared" si="7"/>
        <v>0</v>
      </c>
      <c r="E477" s="63" t="str">
        <f>HYPERLINK("https://www.sds-group.ru/product/vilka-vsh-dlya-elektricheskoy-plity-32a-250v-2r-re-ou-chernaya-rexant-11-8930/", "Инфо")</f>
        <v>Инфо</v>
      </c>
      <c r="F477" s="16" t="s">
        <v>39</v>
      </c>
      <c r="G477" s="15"/>
      <c r="H477" s="15"/>
      <c r="I477" s="15"/>
      <c r="J477" s="16" t="s">
        <v>100</v>
      </c>
      <c r="K477" s="15" t="s">
        <v>922</v>
      </c>
      <c r="L477" s="17">
        <v>5</v>
      </c>
      <c r="M477" s="17">
        <v>200</v>
      </c>
      <c r="N477" s="17">
        <v>5</v>
      </c>
      <c r="O477" s="18">
        <v>270.25</v>
      </c>
      <c r="P477" s="18">
        <v>221.52</v>
      </c>
      <c r="Q477" s="18">
        <v>229.71</v>
      </c>
      <c r="R477" s="18">
        <v>188.29</v>
      </c>
      <c r="S477" s="18">
        <v>183.77</v>
      </c>
      <c r="T477" s="18">
        <v>150.63</v>
      </c>
      <c r="U477" s="16"/>
      <c r="V477" s="16"/>
      <c r="W477" s="16" t="s">
        <v>40</v>
      </c>
      <c r="X477" s="19">
        <v>0.124</v>
      </c>
      <c r="Y477" s="20">
        <v>3.7800000000000003E-4</v>
      </c>
      <c r="Z477" s="21">
        <v>4601004183605</v>
      </c>
    </row>
    <row r="478" spans="1:26" ht="12" customHeight="1" outlineLevel="3" x14ac:dyDescent="0.2">
      <c r="A478" s="14" t="s">
        <v>968</v>
      </c>
      <c r="B478" s="26" t="s">
        <v>969</v>
      </c>
      <c r="C478" s="52"/>
      <c r="D478" s="55">
        <f t="shared" si="7"/>
        <v>0</v>
      </c>
      <c r="E478" s="63" t="str">
        <f>HYPERLINK("https://www.sds-group.ru/product/vilka-vsh-dlya-elektricheskoy-plity-32a-380v-3r-re-ou-chernaya-rexant-11-8927/", "Инфо")</f>
        <v>Инфо</v>
      </c>
      <c r="F478" s="16" t="s">
        <v>39</v>
      </c>
      <c r="G478" s="15"/>
      <c r="H478" s="15"/>
      <c r="I478" s="15"/>
      <c r="J478" s="17">
        <v>368</v>
      </c>
      <c r="K478" s="15" t="s">
        <v>940</v>
      </c>
      <c r="L478" s="17">
        <v>10</v>
      </c>
      <c r="M478" s="17">
        <v>200</v>
      </c>
      <c r="N478" s="17">
        <v>10</v>
      </c>
      <c r="O478" s="18">
        <v>230.86</v>
      </c>
      <c r="P478" s="18">
        <v>189.23</v>
      </c>
      <c r="Q478" s="18">
        <v>196.23</v>
      </c>
      <c r="R478" s="18">
        <v>160.84</v>
      </c>
      <c r="S478" s="18">
        <v>156.97999999999999</v>
      </c>
      <c r="T478" s="18">
        <v>128.66999999999999</v>
      </c>
      <c r="U478" s="16"/>
      <c r="V478" s="16"/>
      <c r="W478" s="16" t="s">
        <v>40</v>
      </c>
      <c r="X478" s="19">
        <v>0.111</v>
      </c>
      <c r="Y478" s="20">
        <v>2.9599999999999998E-4</v>
      </c>
      <c r="Z478" s="21">
        <v>4601004183568</v>
      </c>
    </row>
    <row r="479" spans="1:26" ht="12" customHeight="1" outlineLevel="3" x14ac:dyDescent="0.2">
      <c r="A479" s="14" t="s">
        <v>970</v>
      </c>
      <c r="B479" s="26" t="s">
        <v>971</v>
      </c>
      <c r="C479" s="52"/>
      <c r="D479" s="55">
        <f t="shared" si="7"/>
        <v>0</v>
      </c>
      <c r="E479" s="63" t="str">
        <f>HYPERLINK("https://www.sds-group.ru/product/vilka-vsh-dlya-elektricheskoy-plity-40a-250v-2r-re-ou-belaya-rexant-11-8519/", "Инфо")</f>
        <v>Инфо</v>
      </c>
      <c r="F479" s="16" t="s">
        <v>39</v>
      </c>
      <c r="G479" s="15"/>
      <c r="H479" s="15"/>
      <c r="I479" s="15"/>
      <c r="J479" s="22">
        <v>1710</v>
      </c>
      <c r="K479" s="15"/>
      <c r="L479" s="17">
        <v>5</v>
      </c>
      <c r="M479" s="17">
        <v>60</v>
      </c>
      <c r="N479" s="17">
        <v>5</v>
      </c>
      <c r="O479" s="18">
        <v>417.14</v>
      </c>
      <c r="P479" s="18">
        <v>341.92</v>
      </c>
      <c r="Q479" s="18">
        <v>354.57</v>
      </c>
      <c r="R479" s="18">
        <v>290.63</v>
      </c>
      <c r="S479" s="18">
        <v>283.66000000000003</v>
      </c>
      <c r="T479" s="18">
        <v>232.51</v>
      </c>
      <c r="U479" s="16"/>
      <c r="V479" s="16"/>
      <c r="W479" s="16" t="s">
        <v>40</v>
      </c>
      <c r="X479" s="19">
        <v>8.5999999999999993E-2</v>
      </c>
      <c r="Y479" s="20">
        <v>4.3899999999999999E-4</v>
      </c>
      <c r="Z479" s="21">
        <v>4601004051836</v>
      </c>
    </row>
    <row r="480" spans="1:26" ht="12" customHeight="1" outlineLevel="3" x14ac:dyDescent="0.2">
      <c r="A480" s="40" t="s">
        <v>972</v>
      </c>
      <c r="B480" s="75" t="s">
        <v>973</v>
      </c>
      <c r="C480" s="51"/>
      <c r="D480" s="54">
        <f t="shared" si="7"/>
        <v>0</v>
      </c>
      <c r="E480" s="62"/>
      <c r="F480" s="42" t="s">
        <v>974</v>
      </c>
      <c r="G480" s="41" t="s">
        <v>40</v>
      </c>
      <c r="H480" s="41"/>
      <c r="I480" s="41"/>
      <c r="J480" s="47">
        <v>7861</v>
      </c>
      <c r="K480" s="41"/>
      <c r="L480" s="43">
        <v>1</v>
      </c>
      <c r="M480" s="43">
        <v>72</v>
      </c>
      <c r="N480" s="43">
        <v>1</v>
      </c>
      <c r="O480" s="44">
        <v>313</v>
      </c>
      <c r="P480" s="44">
        <v>256.56</v>
      </c>
      <c r="Q480" s="44">
        <v>234.75</v>
      </c>
      <c r="R480" s="44">
        <v>192.42</v>
      </c>
      <c r="S480" s="44">
        <v>212.84</v>
      </c>
      <c r="T480" s="44">
        <v>174.46</v>
      </c>
      <c r="U480" s="42"/>
      <c r="V480" s="42"/>
      <c r="W480" s="42" t="s">
        <v>40</v>
      </c>
      <c r="X480" s="45">
        <v>0.185</v>
      </c>
      <c r="Y480" s="46">
        <v>6.7599999999999995E-4</v>
      </c>
      <c r="Z480" s="21">
        <v>4601004339163</v>
      </c>
    </row>
    <row r="481" spans="1:26" ht="12" customHeight="1" outlineLevel="3" x14ac:dyDescent="0.2">
      <c r="A481" s="40" t="s">
        <v>975</v>
      </c>
      <c r="B481" s="75" t="s">
        <v>976</v>
      </c>
      <c r="C481" s="51"/>
      <c r="D481" s="54">
        <f t="shared" si="7"/>
        <v>0</v>
      </c>
      <c r="E481" s="62"/>
      <c r="F481" s="42" t="s">
        <v>974</v>
      </c>
      <c r="G481" s="41" t="s">
        <v>40</v>
      </c>
      <c r="H481" s="41"/>
      <c r="I481" s="41"/>
      <c r="J481" s="47">
        <v>1481</v>
      </c>
      <c r="K481" s="41"/>
      <c r="L481" s="43">
        <v>1</v>
      </c>
      <c r="M481" s="43">
        <v>72</v>
      </c>
      <c r="N481" s="43">
        <v>1</v>
      </c>
      <c r="O481" s="44">
        <v>315.51</v>
      </c>
      <c r="P481" s="44">
        <v>258.61</v>
      </c>
      <c r="Q481" s="44">
        <v>236.63</v>
      </c>
      <c r="R481" s="44">
        <v>193.96</v>
      </c>
      <c r="S481" s="44">
        <v>214.55</v>
      </c>
      <c r="T481" s="44">
        <v>175.86</v>
      </c>
      <c r="U481" s="42"/>
      <c r="V481" s="42"/>
      <c r="W481" s="42" t="s">
        <v>40</v>
      </c>
      <c r="X481" s="45">
        <v>0.20699999999999999</v>
      </c>
      <c r="Y481" s="46">
        <v>6.7500000000000004E-4</v>
      </c>
      <c r="Z481" s="21">
        <v>4601004339149</v>
      </c>
    </row>
    <row r="482" spans="1:26" ht="12" customHeight="1" outlineLevel="3" x14ac:dyDescent="0.2">
      <c r="A482" s="40" t="s">
        <v>977</v>
      </c>
      <c r="B482" s="75" t="s">
        <v>978</v>
      </c>
      <c r="C482" s="51"/>
      <c r="D482" s="54">
        <f t="shared" si="7"/>
        <v>0</v>
      </c>
      <c r="E482" s="62"/>
      <c r="F482" s="42" t="s">
        <v>974</v>
      </c>
      <c r="G482" s="41" t="s">
        <v>40</v>
      </c>
      <c r="H482" s="41"/>
      <c r="I482" s="41"/>
      <c r="J482" s="47">
        <v>1506</v>
      </c>
      <c r="K482" s="41" t="s">
        <v>979</v>
      </c>
      <c r="L482" s="43">
        <v>1</v>
      </c>
      <c r="M482" s="43">
        <v>72</v>
      </c>
      <c r="N482" s="43">
        <v>1</v>
      </c>
      <c r="O482" s="44">
        <v>332.82</v>
      </c>
      <c r="P482" s="44">
        <v>272.8</v>
      </c>
      <c r="Q482" s="44">
        <v>249.62</v>
      </c>
      <c r="R482" s="44">
        <v>204.61</v>
      </c>
      <c r="S482" s="44">
        <v>226.32</v>
      </c>
      <c r="T482" s="44">
        <v>185.51</v>
      </c>
      <c r="U482" s="42"/>
      <c r="V482" s="42"/>
      <c r="W482" s="42" t="s">
        <v>40</v>
      </c>
      <c r="X482" s="45">
        <v>0.223</v>
      </c>
      <c r="Y482" s="46">
        <v>6.3000000000000003E-4</v>
      </c>
      <c r="Z482" s="21">
        <v>4601004339187</v>
      </c>
    </row>
    <row r="483" spans="1:26" ht="12" customHeight="1" outlineLevel="3" x14ac:dyDescent="0.2">
      <c r="A483" s="14" t="s">
        <v>980</v>
      </c>
      <c r="B483" s="26" t="s">
        <v>981</v>
      </c>
      <c r="C483" s="52"/>
      <c r="D483" s="55">
        <f t="shared" si="7"/>
        <v>0</v>
      </c>
      <c r="E483" s="63" t="str">
        <f>HYPERLINK("https://www.sds-group.ru/product/rozetka-rsh-dlya-elektricheskoy-plity-32a-250v-2r-re-ou-belaya-rexant-11-8984/", "Инфо")</f>
        <v>Инфо</v>
      </c>
      <c r="F483" s="16" t="s">
        <v>39</v>
      </c>
      <c r="G483" s="15"/>
      <c r="H483" s="15"/>
      <c r="I483" s="15"/>
      <c r="J483" s="22">
        <v>3341</v>
      </c>
      <c r="K483" s="15" t="s">
        <v>979</v>
      </c>
      <c r="L483" s="17">
        <v>10</v>
      </c>
      <c r="M483" s="17">
        <v>200</v>
      </c>
      <c r="N483" s="17">
        <v>10</v>
      </c>
      <c r="O483" s="18">
        <v>153.62</v>
      </c>
      <c r="P483" s="18">
        <v>125.92</v>
      </c>
      <c r="Q483" s="18">
        <v>130.58000000000001</v>
      </c>
      <c r="R483" s="18">
        <v>107.03</v>
      </c>
      <c r="S483" s="18">
        <v>104.46</v>
      </c>
      <c r="T483" s="18">
        <v>85.62</v>
      </c>
      <c r="U483" s="16"/>
      <c r="V483" s="16"/>
      <c r="W483" s="16" t="s">
        <v>40</v>
      </c>
      <c r="X483" s="19">
        <v>7.4999999999999997E-2</v>
      </c>
      <c r="Y483" s="20">
        <v>3.0299999999999999E-4</v>
      </c>
      <c r="Z483" s="21">
        <v>4601004183667</v>
      </c>
    </row>
    <row r="484" spans="1:26" ht="12" customHeight="1" outlineLevel="3" x14ac:dyDescent="0.2">
      <c r="A484" s="14" t="s">
        <v>982</v>
      </c>
      <c r="B484" s="26" t="s">
        <v>983</v>
      </c>
      <c r="C484" s="52"/>
      <c r="D484" s="55">
        <f t="shared" si="7"/>
        <v>0</v>
      </c>
      <c r="E484" s="63" t="str">
        <f>HYPERLINK("https://www.sds-group.ru/product/rozetka-rsh-dlya-elektricheskoy-plity-32a-250v-2r-re-ou-chernaya-rexant-11-8983/", "Инфо")</f>
        <v>Инфо</v>
      </c>
      <c r="F484" s="16" t="s">
        <v>39</v>
      </c>
      <c r="G484" s="15"/>
      <c r="H484" s="15"/>
      <c r="I484" s="15"/>
      <c r="J484" s="16" t="s">
        <v>100</v>
      </c>
      <c r="K484" s="15" t="s">
        <v>922</v>
      </c>
      <c r="L484" s="17">
        <v>10</v>
      </c>
      <c r="M484" s="17">
        <v>200</v>
      </c>
      <c r="N484" s="17">
        <v>10</v>
      </c>
      <c r="O484" s="18">
        <v>169.31</v>
      </c>
      <c r="P484" s="18">
        <v>138.78</v>
      </c>
      <c r="Q484" s="18">
        <v>143.91</v>
      </c>
      <c r="R484" s="18">
        <v>117.96</v>
      </c>
      <c r="S484" s="18">
        <v>115.13</v>
      </c>
      <c r="T484" s="18">
        <v>94.37</v>
      </c>
      <c r="U484" s="16"/>
      <c r="V484" s="16"/>
      <c r="W484" s="16" t="s">
        <v>40</v>
      </c>
      <c r="X484" s="19">
        <v>8.4000000000000005E-2</v>
      </c>
      <c r="Y484" s="20">
        <v>3.19E-4</v>
      </c>
      <c r="Z484" s="21">
        <v>4601004183629</v>
      </c>
    </row>
    <row r="485" spans="1:26" ht="12" customHeight="1" outlineLevel="3" x14ac:dyDescent="0.2">
      <c r="A485" s="14" t="s">
        <v>984</v>
      </c>
      <c r="B485" s="26" t="s">
        <v>985</v>
      </c>
      <c r="C485" s="52"/>
      <c r="D485" s="55">
        <f t="shared" si="7"/>
        <v>0</v>
      </c>
      <c r="E485" s="63" t="str">
        <f>HYPERLINK("https://www.sds-group.ru/product/rozetka-rsh-dlya-elektricheskoy-plity-32a-250v-2r-re-su-belaya-rexant-11-8985/", "Инфо")</f>
        <v>Инфо</v>
      </c>
      <c r="F485" s="16" t="s">
        <v>39</v>
      </c>
      <c r="G485" s="15"/>
      <c r="H485" s="15"/>
      <c r="I485" s="15"/>
      <c r="J485" s="17">
        <v>939</v>
      </c>
      <c r="K485" s="15" t="s">
        <v>940</v>
      </c>
      <c r="L485" s="17">
        <v>10</v>
      </c>
      <c r="M485" s="17">
        <v>200</v>
      </c>
      <c r="N485" s="17">
        <v>10</v>
      </c>
      <c r="O485" s="18">
        <v>163.85</v>
      </c>
      <c r="P485" s="18">
        <v>134.30000000000001</v>
      </c>
      <c r="Q485" s="18">
        <v>139.27000000000001</v>
      </c>
      <c r="R485" s="18">
        <v>114.16</v>
      </c>
      <c r="S485" s="18">
        <v>111.42</v>
      </c>
      <c r="T485" s="18">
        <v>91.33</v>
      </c>
      <c r="U485" s="16"/>
      <c r="V485" s="16"/>
      <c r="W485" s="16" t="s">
        <v>40</v>
      </c>
      <c r="X485" s="19">
        <v>9.2999999999999999E-2</v>
      </c>
      <c r="Y485" s="20">
        <v>3.6299999999999999E-4</v>
      </c>
      <c r="Z485" s="21">
        <v>4601004183704</v>
      </c>
    </row>
    <row r="486" spans="1:26" ht="12" customHeight="1" outlineLevel="3" x14ac:dyDescent="0.2">
      <c r="A486" s="14" t="s">
        <v>986</v>
      </c>
      <c r="B486" s="26" t="s">
        <v>987</v>
      </c>
      <c r="C486" s="52"/>
      <c r="D486" s="55">
        <f t="shared" si="7"/>
        <v>0</v>
      </c>
      <c r="E486" s="63" t="str">
        <f>HYPERLINK("https://www.sds-group.ru/product/rozetka-rsh-dlya-elektricheskoy-plity-32a-380v-3r-re-ou-chernaya-rexant-11-8525/", "Инфо")</f>
        <v>Инфо</v>
      </c>
      <c r="F486" s="16" t="s">
        <v>39</v>
      </c>
      <c r="G486" s="15"/>
      <c r="H486" s="15"/>
      <c r="I486" s="15"/>
      <c r="J486" s="22">
        <v>1805</v>
      </c>
      <c r="K486" s="15"/>
      <c r="L486" s="17">
        <v>10</v>
      </c>
      <c r="M486" s="17">
        <v>200</v>
      </c>
      <c r="N486" s="17">
        <v>10</v>
      </c>
      <c r="O486" s="18">
        <v>215.45</v>
      </c>
      <c r="P486" s="18">
        <v>176.6</v>
      </c>
      <c r="Q486" s="18">
        <v>183.13</v>
      </c>
      <c r="R486" s="18">
        <v>150.11000000000001</v>
      </c>
      <c r="S486" s="18">
        <v>146.51</v>
      </c>
      <c r="T486" s="18">
        <v>120.09</v>
      </c>
      <c r="U486" s="16"/>
      <c r="V486" s="16"/>
      <c r="W486" s="16" t="s">
        <v>40</v>
      </c>
      <c r="X486" s="19">
        <v>0.106</v>
      </c>
      <c r="Y486" s="20">
        <v>3.0299999999999999E-4</v>
      </c>
      <c r="Z486" s="21">
        <v>4601004201583</v>
      </c>
    </row>
    <row r="487" spans="1:26" ht="12" customHeight="1" outlineLevel="3" x14ac:dyDescent="0.2">
      <c r="A487" s="14" t="s">
        <v>988</v>
      </c>
      <c r="B487" s="26" t="s">
        <v>989</v>
      </c>
      <c r="C487" s="52"/>
      <c r="D487" s="55">
        <f t="shared" si="7"/>
        <v>0</v>
      </c>
      <c r="E487" s="63" t="str">
        <f>HYPERLINK("https://www.sds-group.ru/product/rozetka-rsh-dlya-elektricheskoy-plity-40a-250v-2r-re-ou-belaya-rexant-11-8520/", "Инфо")</f>
        <v>Инфо</v>
      </c>
      <c r="F487" s="16" t="s">
        <v>39</v>
      </c>
      <c r="G487" s="15"/>
      <c r="H487" s="15"/>
      <c r="I487" s="15"/>
      <c r="J487" s="22">
        <v>2846</v>
      </c>
      <c r="K487" s="15"/>
      <c r="L487" s="17">
        <v>5</v>
      </c>
      <c r="M487" s="17">
        <v>60</v>
      </c>
      <c r="N487" s="17">
        <v>5</v>
      </c>
      <c r="O487" s="18">
        <v>305.45999999999998</v>
      </c>
      <c r="P487" s="18">
        <v>250.38</v>
      </c>
      <c r="Q487" s="18">
        <v>259.64</v>
      </c>
      <c r="R487" s="18">
        <v>212.82</v>
      </c>
      <c r="S487" s="18">
        <v>207.71</v>
      </c>
      <c r="T487" s="18">
        <v>170.25</v>
      </c>
      <c r="U487" s="16"/>
      <c r="V487" s="16"/>
      <c r="W487" s="16" t="s">
        <v>40</v>
      </c>
      <c r="X487" s="19">
        <v>7.0000000000000007E-2</v>
      </c>
      <c r="Y487" s="20">
        <v>7.6000000000000004E-4</v>
      </c>
      <c r="Z487" s="21">
        <v>4601004051843</v>
      </c>
    </row>
    <row r="488" spans="1:26" ht="12" customHeight="1" outlineLevel="3" x14ac:dyDescent="0.2">
      <c r="A488" s="14" t="s">
        <v>990</v>
      </c>
      <c r="B488" s="26" t="s">
        <v>991</v>
      </c>
      <c r="C488" s="52"/>
      <c r="D488" s="55">
        <f t="shared" si="7"/>
        <v>0</v>
      </c>
      <c r="E488" s="63" t="str">
        <f>HYPERLINK("https://www.sds-group.ru/product/rozetka-rsh-evro-dvoynaya-dlya-elektricheskoy-plity-32a-16a-250v-2r-re-ou-belaya-rexant-11-8982/", "Инфо")</f>
        <v>Инфо</v>
      </c>
      <c r="F488" s="16" t="s">
        <v>39</v>
      </c>
      <c r="G488" s="15"/>
      <c r="H488" s="15"/>
      <c r="I488" s="15"/>
      <c r="J488" s="22">
        <v>1576</v>
      </c>
      <c r="K488" s="15" t="s">
        <v>922</v>
      </c>
      <c r="L488" s="17">
        <v>5</v>
      </c>
      <c r="M488" s="17">
        <v>60</v>
      </c>
      <c r="N488" s="17">
        <v>5</v>
      </c>
      <c r="O488" s="18">
        <v>482.96</v>
      </c>
      <c r="P488" s="18">
        <v>395.87</v>
      </c>
      <c r="Q488" s="18">
        <v>386.37</v>
      </c>
      <c r="R488" s="18">
        <v>316.7</v>
      </c>
      <c r="S488" s="18">
        <v>328.41</v>
      </c>
      <c r="T488" s="18">
        <v>269.19</v>
      </c>
      <c r="U488" s="16"/>
      <c r="V488" s="16"/>
      <c r="W488" s="16" t="s">
        <v>40</v>
      </c>
      <c r="X488" s="19">
        <v>0.27600000000000002</v>
      </c>
      <c r="Y488" s="20">
        <v>9.3400000000000004E-4</v>
      </c>
      <c r="Z488" s="21">
        <v>4601004240926</v>
      </c>
    </row>
    <row r="489" spans="1:26" ht="12.95" customHeight="1" outlineLevel="2" x14ac:dyDescent="0.2">
      <c r="A489" s="76" t="s">
        <v>992</v>
      </c>
      <c r="B489" s="76"/>
      <c r="C489" s="77"/>
      <c r="D489" s="58"/>
      <c r="E489" s="68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  <c r="Z489" s="13"/>
    </row>
    <row r="490" spans="1:26" ht="12" customHeight="1" outlineLevel="3" x14ac:dyDescent="0.2">
      <c r="A490" s="14" t="s">
        <v>993</v>
      </c>
      <c r="B490" s="26" t="s">
        <v>994</v>
      </c>
      <c r="C490" s="52"/>
      <c r="D490" s="55">
        <f t="shared" si="7"/>
        <v>0</v>
      </c>
      <c r="E490" s="63" t="str">
        <f>HYPERLINK("https://www.sds-group.ru/product/adapter-setevoy-puteshestvennik-rexant-11-1052/", "Инфо")</f>
        <v>Инфо</v>
      </c>
      <c r="F490" s="16" t="s">
        <v>39</v>
      </c>
      <c r="G490" s="15"/>
      <c r="H490" s="15"/>
      <c r="I490" s="15"/>
      <c r="J490" s="22">
        <v>3392</v>
      </c>
      <c r="K490" s="15" t="s">
        <v>995</v>
      </c>
      <c r="L490" s="17">
        <v>1</v>
      </c>
      <c r="M490" s="17">
        <v>100</v>
      </c>
      <c r="N490" s="17">
        <v>1</v>
      </c>
      <c r="O490" s="18">
        <v>768.38</v>
      </c>
      <c r="P490" s="18">
        <v>629.82000000000005</v>
      </c>
      <c r="Q490" s="18">
        <v>537.87</v>
      </c>
      <c r="R490" s="18">
        <v>440.88</v>
      </c>
      <c r="S490" s="18">
        <v>522.5</v>
      </c>
      <c r="T490" s="18">
        <v>428.28</v>
      </c>
      <c r="U490" s="16"/>
      <c r="V490" s="16"/>
      <c r="W490" s="16"/>
      <c r="X490" s="19">
        <v>0.11700000000000001</v>
      </c>
      <c r="Y490" s="20">
        <v>6.4400000000000004E-4</v>
      </c>
      <c r="Z490" s="21">
        <v>4610003608712</v>
      </c>
    </row>
    <row r="491" spans="1:26" ht="12" customHeight="1" outlineLevel="3" x14ac:dyDescent="0.2">
      <c r="A491" s="14" t="s">
        <v>996</v>
      </c>
      <c r="B491" s="26" t="s">
        <v>997</v>
      </c>
      <c r="C491" s="52"/>
      <c r="D491" s="55">
        <f t="shared" si="7"/>
        <v>0</v>
      </c>
      <c r="E491" s="63" t="str">
        <f>HYPERLINK("https://www.sds-group.ru/product/adapter-setevoy-puteshestvennik-s-usb-rexant-11-1051/", "Инфо")</f>
        <v>Инфо</v>
      </c>
      <c r="F491" s="16" t="s">
        <v>39</v>
      </c>
      <c r="G491" s="15"/>
      <c r="H491" s="15"/>
      <c r="I491" s="15"/>
      <c r="J491" s="22">
        <v>1139</v>
      </c>
      <c r="K491" s="15" t="s">
        <v>998</v>
      </c>
      <c r="L491" s="17">
        <v>1</v>
      </c>
      <c r="M491" s="17">
        <v>50</v>
      </c>
      <c r="N491" s="17">
        <v>1</v>
      </c>
      <c r="O491" s="18">
        <v>961.17</v>
      </c>
      <c r="P491" s="18">
        <v>787.84</v>
      </c>
      <c r="Q491" s="18">
        <v>672.82</v>
      </c>
      <c r="R491" s="18">
        <v>551.49</v>
      </c>
      <c r="S491" s="18">
        <v>653.6</v>
      </c>
      <c r="T491" s="18">
        <v>535.74</v>
      </c>
      <c r="U491" s="16"/>
      <c r="V491" s="16"/>
      <c r="W491" s="16"/>
      <c r="X491" s="19">
        <v>0.11</v>
      </c>
      <c r="Y491" s="20">
        <v>4.8099999999999998E-4</v>
      </c>
      <c r="Z491" s="21">
        <v>4610003608705</v>
      </c>
    </row>
    <row r="492" spans="1:26" ht="12" customHeight="1" outlineLevel="3" x14ac:dyDescent="0.2">
      <c r="A492" s="14" t="s">
        <v>999</v>
      </c>
      <c r="B492" s="26" t="s">
        <v>1000</v>
      </c>
      <c r="C492" s="52"/>
      <c r="D492" s="55">
        <f t="shared" si="7"/>
        <v>0</v>
      </c>
      <c r="E492" s="63" t="str">
        <f>HYPERLINK("https://www.sds-group.ru/product/adapter-setevoy-perehodnik-s-evro-a-f-na-vilku-s1-cee-7-2-piter-10a-b-z-belyy-proconnect-p-11-1031-9/", "Инфо")</f>
        <v>Инфо</v>
      </c>
      <c r="F492" s="16" t="s">
        <v>1001</v>
      </c>
      <c r="G492" s="15"/>
      <c r="H492" s="15"/>
      <c r="I492" s="15"/>
      <c r="J492" s="17">
        <v>28</v>
      </c>
      <c r="K492" s="15"/>
      <c r="L492" s="17">
        <v>10</v>
      </c>
      <c r="M492" s="17">
        <v>50</v>
      </c>
      <c r="N492" s="17">
        <v>10</v>
      </c>
      <c r="O492" s="18">
        <v>49.81</v>
      </c>
      <c r="P492" s="18">
        <v>40.83</v>
      </c>
      <c r="Q492" s="18">
        <v>42.34</v>
      </c>
      <c r="R492" s="18">
        <v>34.700000000000003</v>
      </c>
      <c r="S492" s="18">
        <v>33.869999999999997</v>
      </c>
      <c r="T492" s="18">
        <v>27.76</v>
      </c>
      <c r="U492" s="16"/>
      <c r="V492" s="16"/>
      <c r="W492" s="16" t="s">
        <v>40</v>
      </c>
      <c r="X492" s="19">
        <v>1.4E-2</v>
      </c>
      <c r="Y492" s="20">
        <v>1.03E-4</v>
      </c>
      <c r="Z492" s="21">
        <v>4601004051027</v>
      </c>
    </row>
    <row r="493" spans="1:26" ht="12" customHeight="1" outlineLevel="3" x14ac:dyDescent="0.2">
      <c r="A493" s="14" t="s">
        <v>1002</v>
      </c>
      <c r="B493" s="26" t="s">
        <v>1003</v>
      </c>
      <c r="C493" s="52"/>
      <c r="D493" s="55">
        <f t="shared" si="7"/>
        <v>0</v>
      </c>
      <c r="E493" s="63" t="str">
        <f>HYPERLINK("https://www.sds-group.ru/product/adapter-setevoy-perehodnik-s-evro-a-f-na-vilku-s1-cee-7-2-piter-10a-b-z-belyy-rexant-11-1031/", "Инфо")</f>
        <v>Инфо</v>
      </c>
      <c r="F493" s="16" t="s">
        <v>39</v>
      </c>
      <c r="G493" s="15"/>
      <c r="H493" s="15"/>
      <c r="I493" s="15"/>
      <c r="J493" s="16" t="s">
        <v>100</v>
      </c>
      <c r="K493" s="15" t="s">
        <v>1004</v>
      </c>
      <c r="L493" s="17">
        <v>50</v>
      </c>
      <c r="M493" s="22">
        <v>1000</v>
      </c>
      <c r="N493" s="17">
        <v>50</v>
      </c>
      <c r="O493" s="18">
        <v>29.97</v>
      </c>
      <c r="P493" s="18">
        <v>24.57</v>
      </c>
      <c r="Q493" s="18">
        <v>25.47</v>
      </c>
      <c r="R493" s="18">
        <v>20.88</v>
      </c>
      <c r="S493" s="18">
        <v>20.38</v>
      </c>
      <c r="T493" s="18">
        <v>16.7</v>
      </c>
      <c r="U493" s="16"/>
      <c r="V493" s="16"/>
      <c r="W493" s="16" t="s">
        <v>40</v>
      </c>
      <c r="X493" s="19">
        <v>1.4E-2</v>
      </c>
      <c r="Y493" s="20">
        <v>3.4E-5</v>
      </c>
      <c r="Z493" s="21">
        <v>4601004031951</v>
      </c>
    </row>
    <row r="494" spans="1:26" ht="12" customHeight="1" outlineLevel="3" x14ac:dyDescent="0.2">
      <c r="A494" s="32" t="s">
        <v>1005</v>
      </c>
      <c r="B494" s="74" t="s">
        <v>1006</v>
      </c>
      <c r="C494" s="50"/>
      <c r="D494" s="53">
        <f t="shared" si="7"/>
        <v>0</v>
      </c>
      <c r="E494" s="60" t="str">
        <f>HYPERLINK("https://www.sds-group.ru/product/adapter-setevoy-perehodnik-s-evro-a-f-na-vilku-s1-cee-7-2-piter-6a-b-z-chernyy-rexant-11-1067/", "Инфо")</f>
        <v>Инфо</v>
      </c>
      <c r="F494" s="34" t="s">
        <v>39</v>
      </c>
      <c r="G494" s="33"/>
      <c r="H494" s="33" t="s">
        <v>40</v>
      </c>
      <c r="I494" s="33"/>
      <c r="J494" s="39">
        <v>9250</v>
      </c>
      <c r="K494" s="33"/>
      <c r="L494" s="35">
        <v>50</v>
      </c>
      <c r="M494" s="39">
        <v>2000</v>
      </c>
      <c r="N494" s="35">
        <v>50</v>
      </c>
      <c r="O494" s="36">
        <v>28.98</v>
      </c>
      <c r="P494" s="36">
        <v>23.75</v>
      </c>
      <c r="Q494" s="36">
        <v>24.63</v>
      </c>
      <c r="R494" s="36">
        <v>20.190000000000001</v>
      </c>
      <c r="S494" s="36">
        <v>19.71</v>
      </c>
      <c r="T494" s="36">
        <v>16.16</v>
      </c>
      <c r="U494" s="34"/>
      <c r="V494" s="34"/>
      <c r="W494" s="34" t="s">
        <v>40</v>
      </c>
      <c r="X494" s="37">
        <v>0.01</v>
      </c>
      <c r="Y494" s="38">
        <v>3.0000000000000001E-5</v>
      </c>
      <c r="Z494" s="21">
        <v>4601004068131</v>
      </c>
    </row>
    <row r="495" spans="1:26" ht="12" customHeight="1" outlineLevel="3" x14ac:dyDescent="0.2">
      <c r="A495" s="14" t="s">
        <v>1007</v>
      </c>
      <c r="B495" s="26" t="s">
        <v>1008</v>
      </c>
      <c r="C495" s="52"/>
      <c r="D495" s="55">
        <f t="shared" si="7"/>
        <v>0</v>
      </c>
      <c r="E495" s="63" t="str">
        <f>HYPERLINK("https://www.sds-group.ru/product/adapter-setevoy-perehodnik-s-evro-a-f-na-tonkuyu-vilku-s1-kozya-nozhka-10a-b-z-rexant-11-1065/", "Инфо")</f>
        <v>Инфо</v>
      </c>
      <c r="F495" s="16" t="s">
        <v>39</v>
      </c>
      <c r="G495" s="15"/>
      <c r="H495" s="15"/>
      <c r="I495" s="15"/>
      <c r="J495" s="22">
        <v>2758</v>
      </c>
      <c r="K495" s="15"/>
      <c r="L495" s="17">
        <v>10</v>
      </c>
      <c r="M495" s="17">
        <v>100</v>
      </c>
      <c r="N495" s="17">
        <v>10</v>
      </c>
      <c r="O495" s="18">
        <v>145.08000000000001</v>
      </c>
      <c r="P495" s="18">
        <v>118.92</v>
      </c>
      <c r="Q495" s="18">
        <v>123.32</v>
      </c>
      <c r="R495" s="18">
        <v>101.08</v>
      </c>
      <c r="S495" s="18">
        <v>98.65</v>
      </c>
      <c r="T495" s="18">
        <v>80.86</v>
      </c>
      <c r="U495" s="16"/>
      <c r="V495" s="16"/>
      <c r="W495" s="16" t="s">
        <v>40</v>
      </c>
      <c r="X495" s="19">
        <v>0.03</v>
      </c>
      <c r="Y495" s="20">
        <v>3.1500000000000001E-4</v>
      </c>
      <c r="Z495" s="21">
        <v>4601004049697</v>
      </c>
    </row>
    <row r="496" spans="1:26" ht="12" customHeight="1" outlineLevel="3" x14ac:dyDescent="0.2">
      <c r="A496" s="14" t="s">
        <v>1009</v>
      </c>
      <c r="B496" s="26" t="s">
        <v>1010</v>
      </c>
      <c r="C496" s="52"/>
      <c r="D496" s="55">
        <f t="shared" si="7"/>
        <v>0</v>
      </c>
      <c r="E496" s="63" t="str">
        <f>HYPERLINK("https://www.sds-group.ru/product/adapter-setevoy-perehodnik-s-evro-a-f-na-tonkuyu-vilku-s1-stakan-s-bortami-6-a-b-z-rexant-11-1021/", "Инфо")</f>
        <v>Инфо</v>
      </c>
      <c r="F496" s="16" t="s">
        <v>39</v>
      </c>
      <c r="G496" s="15"/>
      <c r="H496" s="15"/>
      <c r="I496" s="15"/>
      <c r="J496" s="17">
        <v>30</v>
      </c>
      <c r="K496" s="15"/>
      <c r="L496" s="17">
        <v>10</v>
      </c>
      <c r="M496" s="17">
        <v>100</v>
      </c>
      <c r="N496" s="17">
        <v>10</v>
      </c>
      <c r="O496" s="18">
        <v>82.49</v>
      </c>
      <c r="P496" s="18">
        <v>67.61</v>
      </c>
      <c r="Q496" s="18">
        <v>70.12</v>
      </c>
      <c r="R496" s="18">
        <v>57.48</v>
      </c>
      <c r="S496" s="18">
        <v>56.09</v>
      </c>
      <c r="T496" s="18">
        <v>45.98</v>
      </c>
      <c r="U496" s="16"/>
      <c r="V496" s="16"/>
      <c r="W496" s="16" t="s">
        <v>40</v>
      </c>
      <c r="X496" s="19">
        <v>2.1000000000000001E-2</v>
      </c>
      <c r="Y496" s="20">
        <v>6.7299999999999999E-4</v>
      </c>
      <c r="Z496" s="21">
        <v>4601004049727</v>
      </c>
    </row>
    <row r="497" spans="1:26" ht="12" customHeight="1" outlineLevel="3" x14ac:dyDescent="0.2">
      <c r="A497" s="14" t="s">
        <v>1011</v>
      </c>
      <c r="B497" s="26" t="s">
        <v>1012</v>
      </c>
      <c r="C497" s="52"/>
      <c r="D497" s="55">
        <f t="shared" si="7"/>
        <v>0</v>
      </c>
      <c r="E497" s="63" t="str">
        <f>HYPERLINK("https://www.sds-group.ru/product/adapter-setevoy-perehodnik-s-evro-a-f-na-tonkuyu-vilku-s1-ploskiy-tefal-6a-b-z-belyy-proco-11-1041-9/", "Инфо")</f>
        <v>Инфо</v>
      </c>
      <c r="F497" s="16" t="s">
        <v>1001</v>
      </c>
      <c r="G497" s="15"/>
      <c r="H497" s="15"/>
      <c r="I497" s="15"/>
      <c r="J497" s="16" t="s">
        <v>100</v>
      </c>
      <c r="K497" s="15"/>
      <c r="L497" s="17">
        <v>10</v>
      </c>
      <c r="M497" s="17">
        <v>50</v>
      </c>
      <c r="N497" s="17">
        <v>10</v>
      </c>
      <c r="O497" s="18">
        <v>39.74</v>
      </c>
      <c r="P497" s="18">
        <v>32.57</v>
      </c>
      <c r="Q497" s="18">
        <v>33.78</v>
      </c>
      <c r="R497" s="18">
        <v>27.69</v>
      </c>
      <c r="S497" s="18">
        <v>27.02</v>
      </c>
      <c r="T497" s="18">
        <v>22.15</v>
      </c>
      <c r="U497" s="16"/>
      <c r="V497" s="16"/>
      <c r="W497" s="16" t="s">
        <v>40</v>
      </c>
      <c r="X497" s="19">
        <v>1.4E-2</v>
      </c>
      <c r="Y497" s="20">
        <v>9.7999999999999997E-5</v>
      </c>
      <c r="Z497" s="21">
        <v>4601004051034</v>
      </c>
    </row>
    <row r="498" spans="1:26" ht="12" customHeight="1" outlineLevel="3" x14ac:dyDescent="0.2">
      <c r="A498" s="14" t="s">
        <v>1013</v>
      </c>
      <c r="B498" s="26" t="s">
        <v>1014</v>
      </c>
      <c r="C498" s="52"/>
      <c r="D498" s="55">
        <f t="shared" si="7"/>
        <v>0</v>
      </c>
      <c r="E498" s="63" t="str">
        <f>HYPERLINK("https://www.sds-group.ru/product/adapter-setevoy-perehodnik-s-evro-a-f-na-tonkuyu-vilku-s1-ploskiy-tefal-6a-b-z-belyy-rexant-11-1041/", "Инфо")</f>
        <v>Инфо</v>
      </c>
      <c r="F498" s="16" t="s">
        <v>39</v>
      </c>
      <c r="G498" s="15"/>
      <c r="H498" s="15"/>
      <c r="I498" s="15"/>
      <c r="J498" s="22">
        <v>10885</v>
      </c>
      <c r="K498" s="15" t="s">
        <v>1004</v>
      </c>
      <c r="L498" s="17">
        <v>50</v>
      </c>
      <c r="M498" s="22">
        <v>2000</v>
      </c>
      <c r="N498" s="17">
        <v>50</v>
      </c>
      <c r="O498" s="18">
        <v>30.17</v>
      </c>
      <c r="P498" s="18">
        <v>24.73</v>
      </c>
      <c r="Q498" s="18">
        <v>25.64</v>
      </c>
      <c r="R498" s="18">
        <v>21.02</v>
      </c>
      <c r="S498" s="18">
        <v>20.52</v>
      </c>
      <c r="T498" s="18">
        <v>16.82</v>
      </c>
      <c r="U498" s="16"/>
      <c r="V498" s="16"/>
      <c r="W498" s="16" t="s">
        <v>40</v>
      </c>
      <c r="X498" s="19">
        <v>1.2999999999999999E-2</v>
      </c>
      <c r="Y498" s="20">
        <v>1.8E-5</v>
      </c>
      <c r="Z498" s="21">
        <v>4601004063563</v>
      </c>
    </row>
    <row r="499" spans="1:26" ht="12" customHeight="1" outlineLevel="3" x14ac:dyDescent="0.2">
      <c r="A499" s="14" t="s">
        <v>1015</v>
      </c>
      <c r="B499" s="26" t="s">
        <v>1016</v>
      </c>
      <c r="C499" s="52"/>
      <c r="D499" s="55">
        <f t="shared" si="7"/>
        <v>0</v>
      </c>
      <c r="E499" s="63" t="str">
        <f>HYPERLINK("https://www.sds-group.ru/product/setevoy-perehodnik-ploskiy-tefal-beliy-1sht-blister-f-rexant-22212/", "Инфо")</f>
        <v>Инфо</v>
      </c>
      <c r="F499" s="16" t="s">
        <v>1001</v>
      </c>
      <c r="G499" s="15"/>
      <c r="H499" s="15"/>
      <c r="I499" s="15"/>
      <c r="J499" s="22">
        <v>4343</v>
      </c>
      <c r="K499" s="15"/>
      <c r="L499" s="17">
        <v>10</v>
      </c>
      <c r="M499" s="17">
        <v>80</v>
      </c>
      <c r="N499" s="17">
        <v>10</v>
      </c>
      <c r="O499" s="18">
        <v>70.02</v>
      </c>
      <c r="P499" s="18">
        <v>57.39</v>
      </c>
      <c r="Q499" s="18">
        <v>49.01</v>
      </c>
      <c r="R499" s="18">
        <v>40.17</v>
      </c>
      <c r="S499" s="18">
        <v>47.61</v>
      </c>
      <c r="T499" s="18">
        <v>39.020000000000003</v>
      </c>
      <c r="U499" s="16"/>
      <c r="V499" s="16"/>
      <c r="W499" s="16"/>
      <c r="X499" s="19">
        <v>0.02</v>
      </c>
      <c r="Y499" s="20">
        <v>1.5799999999999999E-4</v>
      </c>
      <c r="Z499" s="21">
        <v>4660008019044</v>
      </c>
    </row>
    <row r="500" spans="1:26" ht="12" customHeight="1" outlineLevel="3" x14ac:dyDescent="0.2">
      <c r="A500" s="14" t="s">
        <v>1017</v>
      </c>
      <c r="B500" s="26" t="s">
        <v>1018</v>
      </c>
      <c r="C500" s="52"/>
      <c r="D500" s="55">
        <f t="shared" si="7"/>
        <v>0</v>
      </c>
      <c r="E500" s="63" t="str">
        <f>HYPERLINK("https://www.sds-group.ru/product/adapter-setevoy-perehodnik-s-evro-a-f-na-tonkuyu-vilku-s1-ploskiy-tefal-6a-b-z-chernyy-pro-11-1042-9/", "Инфо")</f>
        <v>Инфо</v>
      </c>
      <c r="F500" s="16" t="s">
        <v>1001</v>
      </c>
      <c r="G500" s="15"/>
      <c r="H500" s="15"/>
      <c r="I500" s="15"/>
      <c r="J500" s="17">
        <v>613</v>
      </c>
      <c r="K500" s="15"/>
      <c r="L500" s="17">
        <v>10</v>
      </c>
      <c r="M500" s="17">
        <v>50</v>
      </c>
      <c r="N500" s="17">
        <v>10</v>
      </c>
      <c r="O500" s="18">
        <v>47.73</v>
      </c>
      <c r="P500" s="18">
        <v>39.119999999999997</v>
      </c>
      <c r="Q500" s="18">
        <v>40.57</v>
      </c>
      <c r="R500" s="18">
        <v>33.25</v>
      </c>
      <c r="S500" s="18">
        <v>32.46</v>
      </c>
      <c r="T500" s="18">
        <v>26.61</v>
      </c>
      <c r="U500" s="16"/>
      <c r="V500" s="16"/>
      <c r="W500" s="16" t="s">
        <v>40</v>
      </c>
      <c r="X500" s="19">
        <v>1.2999999999999999E-2</v>
      </c>
      <c r="Y500" s="20">
        <v>9.3999999999999994E-5</v>
      </c>
      <c r="Z500" s="21">
        <v>4601004051041</v>
      </c>
    </row>
    <row r="501" spans="1:26" ht="12" customHeight="1" outlineLevel="3" x14ac:dyDescent="0.2">
      <c r="A501" s="14" t="s">
        <v>1019</v>
      </c>
      <c r="B501" s="26" t="s">
        <v>1020</v>
      </c>
      <c r="C501" s="52"/>
      <c r="D501" s="55">
        <f t="shared" si="7"/>
        <v>0</v>
      </c>
      <c r="E501" s="63" t="str">
        <f>HYPERLINK("https://www.sds-group.ru/product/adapter-setevoy-perehodnik-s-evro-a-f-na-tonkuyu-vilku-s1-ploskiy-tefal-6a-b-z-chernyy-rexan-11-1042/", "Инфо")</f>
        <v>Инфо</v>
      </c>
      <c r="F501" s="16" t="s">
        <v>39</v>
      </c>
      <c r="G501" s="15"/>
      <c r="H501" s="15"/>
      <c r="I501" s="15"/>
      <c r="J501" s="16" t="s">
        <v>100</v>
      </c>
      <c r="K501" s="15" t="s">
        <v>1004</v>
      </c>
      <c r="L501" s="17">
        <v>50</v>
      </c>
      <c r="M501" s="22">
        <v>2000</v>
      </c>
      <c r="N501" s="17">
        <v>50</v>
      </c>
      <c r="O501" s="18">
        <v>31.38</v>
      </c>
      <c r="P501" s="18">
        <v>25.72</v>
      </c>
      <c r="Q501" s="18">
        <v>26.67</v>
      </c>
      <c r="R501" s="18">
        <v>21.86</v>
      </c>
      <c r="S501" s="18">
        <v>21.34</v>
      </c>
      <c r="T501" s="18">
        <v>17.489999999999998</v>
      </c>
      <c r="U501" s="16"/>
      <c r="V501" s="16"/>
      <c r="W501" s="16" t="s">
        <v>40</v>
      </c>
      <c r="X501" s="19">
        <v>1.2E-2</v>
      </c>
      <c r="Y501" s="20">
        <v>1.7E-5</v>
      </c>
      <c r="Z501" s="21">
        <v>4601004068391</v>
      </c>
    </row>
    <row r="502" spans="1:26" ht="12" customHeight="1" outlineLevel="3" x14ac:dyDescent="0.2">
      <c r="A502" s="14" t="s">
        <v>1021</v>
      </c>
      <c r="B502" s="26" t="s">
        <v>1022</v>
      </c>
      <c r="C502" s="52"/>
      <c r="D502" s="55">
        <f t="shared" si="7"/>
        <v>0</v>
      </c>
      <c r="E502" s="63" t="str">
        <f>HYPERLINK("https://www.sds-group.ru/product/setevoy-perehodnik-ploskiy-tefal-cherniy-1sht-blister-f-rexant-22213/", "Инфо")</f>
        <v>Инфо</v>
      </c>
      <c r="F502" s="16" t="s">
        <v>1001</v>
      </c>
      <c r="G502" s="15"/>
      <c r="H502" s="15"/>
      <c r="I502" s="15"/>
      <c r="J502" s="17">
        <v>199</v>
      </c>
      <c r="K502" s="15"/>
      <c r="L502" s="17">
        <v>10</v>
      </c>
      <c r="M502" s="17">
        <v>80</v>
      </c>
      <c r="N502" s="17">
        <v>10</v>
      </c>
      <c r="O502" s="18">
        <v>66.52</v>
      </c>
      <c r="P502" s="18">
        <v>54.52</v>
      </c>
      <c r="Q502" s="18">
        <v>56.54</v>
      </c>
      <c r="R502" s="18">
        <v>46.34</v>
      </c>
      <c r="S502" s="18">
        <v>45.23</v>
      </c>
      <c r="T502" s="18">
        <v>37.07</v>
      </c>
      <c r="U502" s="16"/>
      <c r="V502" s="16"/>
      <c r="W502" s="16" t="s">
        <v>40</v>
      </c>
      <c r="X502" s="19">
        <v>1.0999999999999999E-2</v>
      </c>
      <c r="Y502" s="20">
        <v>1.2300000000000001E-4</v>
      </c>
      <c r="Z502" s="21">
        <v>4660008019051</v>
      </c>
    </row>
    <row r="503" spans="1:26" ht="12" customHeight="1" outlineLevel="3" x14ac:dyDescent="0.2">
      <c r="A503" s="14" t="s">
        <v>1023</v>
      </c>
      <c r="B503" s="26" t="s">
        <v>1024</v>
      </c>
      <c r="C503" s="52"/>
      <c r="D503" s="55">
        <f t="shared" si="7"/>
        <v>0</v>
      </c>
      <c r="E503" s="63" t="str">
        <f>HYPERLINK("https://www.sds-group.ru/product/adapter-setevoy-perehodnik-universalnyy-na-evro-vilku-f-c2-kvadrat-10a-b-z-belyy-rexant-11-1011/", "Инфо")</f>
        <v>Инфо</v>
      </c>
      <c r="F503" s="16" t="s">
        <v>39</v>
      </c>
      <c r="G503" s="15"/>
      <c r="H503" s="15"/>
      <c r="I503" s="15"/>
      <c r="J503" s="22">
        <v>20948</v>
      </c>
      <c r="K503" s="15" t="s">
        <v>925</v>
      </c>
      <c r="L503" s="17">
        <v>25</v>
      </c>
      <c r="M503" s="17">
        <v>500</v>
      </c>
      <c r="N503" s="17">
        <v>25</v>
      </c>
      <c r="O503" s="18">
        <v>89.7</v>
      </c>
      <c r="P503" s="18">
        <v>73.52</v>
      </c>
      <c r="Q503" s="18">
        <v>76.25</v>
      </c>
      <c r="R503" s="18">
        <v>62.5</v>
      </c>
      <c r="S503" s="18">
        <v>61</v>
      </c>
      <c r="T503" s="18">
        <v>50</v>
      </c>
      <c r="U503" s="16"/>
      <c r="V503" s="16"/>
      <c r="W503" s="16" t="s">
        <v>40</v>
      </c>
      <c r="X503" s="19">
        <v>2.5000000000000001E-2</v>
      </c>
      <c r="Y503" s="20">
        <v>1.0399999999999999E-4</v>
      </c>
      <c r="Z503" s="21">
        <v>4601004065512</v>
      </c>
    </row>
    <row r="504" spans="1:26" ht="12" customHeight="1" outlineLevel="3" x14ac:dyDescent="0.2">
      <c r="A504" s="14" t="s">
        <v>1025</v>
      </c>
      <c r="B504" s="26" t="s">
        <v>1026</v>
      </c>
      <c r="C504" s="52"/>
      <c r="D504" s="55">
        <f t="shared" si="7"/>
        <v>0</v>
      </c>
      <c r="E504" s="63" t="str">
        <f>HYPERLINK("https://www.sds-group.ru/product/adapter-universalniy-perehodnik-16a-s-zazemleniem-sero-beliy-rexant-31142/", "Инфо")</f>
        <v>Инфо</v>
      </c>
      <c r="F504" s="16" t="s">
        <v>39</v>
      </c>
      <c r="G504" s="15"/>
      <c r="H504" s="15"/>
      <c r="I504" s="15"/>
      <c r="J504" s="22">
        <v>1082</v>
      </c>
      <c r="K504" s="15" t="s">
        <v>922</v>
      </c>
      <c r="L504" s="17">
        <v>10</v>
      </c>
      <c r="M504" s="17">
        <v>300</v>
      </c>
      <c r="N504" s="17">
        <v>10</v>
      </c>
      <c r="O504" s="18">
        <v>98.47</v>
      </c>
      <c r="P504" s="18">
        <v>80.709999999999994</v>
      </c>
      <c r="Q504" s="18">
        <v>83.7</v>
      </c>
      <c r="R504" s="18">
        <v>68.61</v>
      </c>
      <c r="S504" s="18">
        <v>66.959999999999994</v>
      </c>
      <c r="T504" s="18">
        <v>54.89</v>
      </c>
      <c r="U504" s="16"/>
      <c r="V504" s="16"/>
      <c r="W504" s="16" t="s">
        <v>40</v>
      </c>
      <c r="X504" s="19">
        <v>3.6999999999999998E-2</v>
      </c>
      <c r="Y504" s="20">
        <v>2.4600000000000002E-4</v>
      </c>
      <c r="Z504" s="21">
        <v>4601004285637</v>
      </c>
    </row>
    <row r="505" spans="1:26" ht="12.95" customHeight="1" outlineLevel="2" x14ac:dyDescent="0.2">
      <c r="A505" s="76" t="s">
        <v>1027</v>
      </c>
      <c r="B505" s="76"/>
      <c r="C505" s="77"/>
      <c r="D505" s="58"/>
      <c r="E505" s="68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</row>
    <row r="506" spans="1:26" ht="12" customHeight="1" outlineLevel="3" x14ac:dyDescent="0.2">
      <c r="A506" s="14" t="s">
        <v>1028</v>
      </c>
      <c r="B506" s="26" t="s">
        <v>1029</v>
      </c>
      <c r="C506" s="52"/>
      <c r="D506" s="55">
        <f t="shared" si="7"/>
        <v>0</v>
      </c>
      <c r="E506" s="63" t="str">
        <f>HYPERLINK("https://www.sds-group.ru/product/vyklyuchatel-dlya-nastennogo-svetilnika-c-derevyannym-nakonechnikom-zoloto-rexant-32-0106/", "Инфо")</f>
        <v>Инфо</v>
      </c>
      <c r="F506" s="16" t="s">
        <v>39</v>
      </c>
      <c r="G506" s="15"/>
      <c r="H506" s="15"/>
      <c r="I506" s="15"/>
      <c r="J506" s="22">
        <v>4357</v>
      </c>
      <c r="K506" s="15" t="s">
        <v>1004</v>
      </c>
      <c r="L506" s="17">
        <v>10</v>
      </c>
      <c r="M506" s="22">
        <v>1000</v>
      </c>
      <c r="N506" s="17">
        <v>10</v>
      </c>
      <c r="O506" s="18">
        <v>152.76</v>
      </c>
      <c r="P506" s="18">
        <v>125.21</v>
      </c>
      <c r="Q506" s="18">
        <v>129.85</v>
      </c>
      <c r="R506" s="18">
        <v>106.43</v>
      </c>
      <c r="S506" s="18">
        <v>103.88</v>
      </c>
      <c r="T506" s="18">
        <v>85.15</v>
      </c>
      <c r="U506" s="16"/>
      <c r="V506" s="16"/>
      <c r="W506" s="16" t="s">
        <v>40</v>
      </c>
      <c r="X506" s="19">
        <v>1.6E-2</v>
      </c>
      <c r="Y506" s="20">
        <v>3.1999999999999999E-5</v>
      </c>
      <c r="Z506" s="21">
        <v>2000031009490</v>
      </c>
    </row>
    <row r="507" spans="1:26" ht="12" customHeight="1" outlineLevel="3" x14ac:dyDescent="0.2">
      <c r="A507" s="32" t="s">
        <v>1030</v>
      </c>
      <c r="B507" s="74" t="s">
        <v>1029</v>
      </c>
      <c r="C507" s="50"/>
      <c r="D507" s="53">
        <f t="shared" si="7"/>
        <v>0</v>
      </c>
      <c r="E507" s="60" t="str">
        <f>HYPERLINK("https://www.sds-group.ru/product/vyklyuchatel-dlya-nastennogo-svetilnika-c-derevyannym-nakonechnikom-zoloto-rexant-32-0106-1/", "Инфо")</f>
        <v>Инфо</v>
      </c>
      <c r="F507" s="34" t="s">
        <v>1001</v>
      </c>
      <c r="G507" s="33"/>
      <c r="H507" s="33" t="s">
        <v>40</v>
      </c>
      <c r="I507" s="33"/>
      <c r="J507" s="39">
        <v>3367</v>
      </c>
      <c r="K507" s="33"/>
      <c r="L507" s="35">
        <v>1</v>
      </c>
      <c r="M507" s="35">
        <v>50</v>
      </c>
      <c r="N507" s="35">
        <v>1</v>
      </c>
      <c r="O507" s="36">
        <v>98.57</v>
      </c>
      <c r="P507" s="36">
        <v>80.8</v>
      </c>
      <c r="Q507" s="36">
        <v>69</v>
      </c>
      <c r="R507" s="36">
        <v>56.56</v>
      </c>
      <c r="S507" s="36">
        <v>67.03</v>
      </c>
      <c r="T507" s="36">
        <v>54.94</v>
      </c>
      <c r="U507" s="34"/>
      <c r="V507" s="34"/>
      <c r="W507" s="34"/>
      <c r="X507" s="37">
        <v>1.7000000000000001E-2</v>
      </c>
      <c r="Y507" s="38">
        <v>8.3999999999999995E-5</v>
      </c>
      <c r="Z507" s="21">
        <v>4601004253414</v>
      </c>
    </row>
    <row r="508" spans="1:26" ht="12" customHeight="1" outlineLevel="3" x14ac:dyDescent="0.2">
      <c r="A508" s="14" t="s">
        <v>1031</v>
      </c>
      <c r="B508" s="26" t="s">
        <v>1032</v>
      </c>
      <c r="C508" s="52"/>
      <c r="D508" s="55">
        <f t="shared" si="7"/>
        <v>0</v>
      </c>
      <c r="E508" s="63" t="str">
        <f>HYPERLINK("https://www.sds-group.ru/product/vyklyuchatel-dlya-nastennogo-svetilnika-c-derevyannym-nakonechnikom-zolotoy-1-sht-rexant-06-0245-A/", "Инфо")</f>
        <v>Инфо</v>
      </c>
      <c r="F508" s="16" t="s">
        <v>39</v>
      </c>
      <c r="G508" s="15"/>
      <c r="H508" s="15"/>
      <c r="I508" s="15"/>
      <c r="J508" s="22">
        <v>3180</v>
      </c>
      <c r="K508" s="15"/>
      <c r="L508" s="17">
        <v>10</v>
      </c>
      <c r="M508" s="17">
        <v>10</v>
      </c>
      <c r="N508" s="17">
        <v>10</v>
      </c>
      <c r="O508" s="18">
        <v>166.18</v>
      </c>
      <c r="P508" s="18">
        <v>136.21</v>
      </c>
      <c r="Q508" s="18">
        <v>141.25</v>
      </c>
      <c r="R508" s="18">
        <v>115.78</v>
      </c>
      <c r="S508" s="18">
        <v>113</v>
      </c>
      <c r="T508" s="18">
        <v>92.62</v>
      </c>
      <c r="U508" s="16"/>
      <c r="V508" s="16"/>
      <c r="W508" s="16" t="s">
        <v>40</v>
      </c>
      <c r="X508" s="19">
        <v>2.3E-2</v>
      </c>
      <c r="Y508" s="20">
        <v>1.7000000000000001E-4</v>
      </c>
      <c r="Z508" s="21">
        <v>4601004123366</v>
      </c>
    </row>
    <row r="509" spans="1:26" ht="12" customHeight="1" outlineLevel="3" x14ac:dyDescent="0.2">
      <c r="A509" s="14" t="s">
        <v>1033</v>
      </c>
      <c r="B509" s="26" t="s">
        <v>1034</v>
      </c>
      <c r="C509" s="52"/>
      <c r="D509" s="55">
        <f t="shared" si="7"/>
        <v>0</v>
      </c>
      <c r="E509" s="63" t="str">
        <f>HYPERLINK("https://www.sds-group.ru/product/vyklyuchatel-dlya-nastennogo-svetilnika-c-derevyannym-nakonechnikom-serebro-rexant-32-0105/", "Инфо")</f>
        <v>Инфо</v>
      </c>
      <c r="F509" s="16" t="s">
        <v>39</v>
      </c>
      <c r="G509" s="15"/>
      <c r="H509" s="15"/>
      <c r="I509" s="15"/>
      <c r="J509" s="22">
        <v>3275</v>
      </c>
      <c r="K509" s="15" t="s">
        <v>1035</v>
      </c>
      <c r="L509" s="17">
        <v>10</v>
      </c>
      <c r="M509" s="22">
        <v>1000</v>
      </c>
      <c r="N509" s="17">
        <v>10</v>
      </c>
      <c r="O509" s="18">
        <v>152.76</v>
      </c>
      <c r="P509" s="18">
        <v>125.21</v>
      </c>
      <c r="Q509" s="18">
        <v>129.85</v>
      </c>
      <c r="R509" s="18">
        <v>106.43</v>
      </c>
      <c r="S509" s="18">
        <v>103.88</v>
      </c>
      <c r="T509" s="18">
        <v>85.15</v>
      </c>
      <c r="U509" s="16"/>
      <c r="V509" s="16"/>
      <c r="W509" s="16" t="s">
        <v>40</v>
      </c>
      <c r="X509" s="19">
        <v>1.6E-2</v>
      </c>
      <c r="Y509" s="20">
        <v>2.9E-5</v>
      </c>
      <c r="Z509" s="21">
        <v>2000031009469</v>
      </c>
    </row>
    <row r="510" spans="1:26" ht="12" customHeight="1" outlineLevel="3" x14ac:dyDescent="0.2">
      <c r="A510" s="32" t="s">
        <v>1036</v>
      </c>
      <c r="B510" s="74" t="s">
        <v>1034</v>
      </c>
      <c r="C510" s="50"/>
      <c r="D510" s="53">
        <f t="shared" si="7"/>
        <v>0</v>
      </c>
      <c r="E510" s="60" t="str">
        <f>HYPERLINK("https://www.sds-group.ru/product/vyklyuchatel-dlya-nastennogo-svetilnika-c-derevyannym-nakonechnikom-serebro-rexant-32-0105-1/", "Инфо")</f>
        <v>Инфо</v>
      </c>
      <c r="F510" s="34" t="s">
        <v>1001</v>
      </c>
      <c r="G510" s="33"/>
      <c r="H510" s="33" t="s">
        <v>40</v>
      </c>
      <c r="I510" s="33"/>
      <c r="J510" s="39">
        <v>1033</v>
      </c>
      <c r="K510" s="33"/>
      <c r="L510" s="35">
        <v>1</v>
      </c>
      <c r="M510" s="35">
        <v>50</v>
      </c>
      <c r="N510" s="35">
        <v>1</v>
      </c>
      <c r="O510" s="36">
        <v>98.72</v>
      </c>
      <c r="P510" s="36">
        <v>80.92</v>
      </c>
      <c r="Q510" s="36">
        <v>69.099999999999994</v>
      </c>
      <c r="R510" s="36">
        <v>56.64</v>
      </c>
      <c r="S510" s="36">
        <v>67.13</v>
      </c>
      <c r="T510" s="36">
        <v>55.02</v>
      </c>
      <c r="U510" s="34"/>
      <c r="V510" s="34"/>
      <c r="W510" s="34"/>
      <c r="X510" s="37">
        <v>1.7000000000000001E-2</v>
      </c>
      <c r="Y510" s="38">
        <v>6.0999999999999999E-5</v>
      </c>
      <c r="Z510" s="21">
        <v>4601004253421</v>
      </c>
    </row>
    <row r="511" spans="1:26" ht="12" customHeight="1" outlineLevel="3" x14ac:dyDescent="0.2">
      <c r="A511" s="14" t="s">
        <v>1037</v>
      </c>
      <c r="B511" s="26" t="s">
        <v>1038</v>
      </c>
      <c r="C511" s="52"/>
      <c r="D511" s="55">
        <f t="shared" si="7"/>
        <v>0</v>
      </c>
      <c r="E511" s="63" t="str">
        <f>HYPERLINK("https://www.sds-group.ru/product/vyklyuchatel-dlya-nastennogo-svetilnika-c-derevyannym-nakonechnikom-serebryanyy-1-sht-rexa-06-0244-A/", "Инфо")</f>
        <v>Инфо</v>
      </c>
      <c r="F511" s="16" t="s">
        <v>39</v>
      </c>
      <c r="G511" s="15"/>
      <c r="H511" s="15"/>
      <c r="I511" s="15"/>
      <c r="J511" s="22">
        <v>1304</v>
      </c>
      <c r="K511" s="15"/>
      <c r="L511" s="17">
        <v>10</v>
      </c>
      <c r="M511" s="17">
        <v>10</v>
      </c>
      <c r="N511" s="17">
        <v>10</v>
      </c>
      <c r="O511" s="18">
        <v>157.91</v>
      </c>
      <c r="P511" s="18">
        <v>129.43</v>
      </c>
      <c r="Q511" s="18">
        <v>134.22</v>
      </c>
      <c r="R511" s="18">
        <v>110.02</v>
      </c>
      <c r="S511" s="18">
        <v>107.38</v>
      </c>
      <c r="T511" s="18">
        <v>88.02</v>
      </c>
      <c r="U511" s="16"/>
      <c r="V511" s="16"/>
      <c r="W511" s="16" t="s">
        <v>40</v>
      </c>
      <c r="X511" s="19">
        <v>2.3E-2</v>
      </c>
      <c r="Y511" s="20">
        <v>1.5100000000000001E-4</v>
      </c>
      <c r="Z511" s="21">
        <v>4601004123359</v>
      </c>
    </row>
    <row r="512" spans="1:26" ht="12" customHeight="1" outlineLevel="3" x14ac:dyDescent="0.2">
      <c r="A512" s="14" t="s">
        <v>1039</v>
      </c>
      <c r="B512" s="26" t="s">
        <v>1040</v>
      </c>
      <c r="C512" s="52"/>
      <c r="D512" s="55">
        <f t="shared" si="7"/>
        <v>0</v>
      </c>
      <c r="E512" s="63" t="str">
        <f>HYPERLINK("https://www.sds-group.ru/product/vyklyuchatel-dlya-nastennogo-svetilnika-c-provodom-i-derevyannym-nakonechnikom-zoloto-rexant-32-0104/", "Инфо")</f>
        <v>Инфо</v>
      </c>
      <c r="F512" s="16" t="s">
        <v>39</v>
      </c>
      <c r="G512" s="15"/>
      <c r="H512" s="15"/>
      <c r="I512" s="15"/>
      <c r="J512" s="16" t="s">
        <v>100</v>
      </c>
      <c r="K512" s="15" t="s">
        <v>995</v>
      </c>
      <c r="L512" s="17">
        <v>10</v>
      </c>
      <c r="M512" s="22">
        <v>1000</v>
      </c>
      <c r="N512" s="17">
        <v>10</v>
      </c>
      <c r="O512" s="18">
        <v>152.43</v>
      </c>
      <c r="P512" s="18">
        <v>124.94</v>
      </c>
      <c r="Q512" s="18">
        <v>129.57</v>
      </c>
      <c r="R512" s="18">
        <v>106.2</v>
      </c>
      <c r="S512" s="18">
        <v>103.65</v>
      </c>
      <c r="T512" s="18">
        <v>84.96</v>
      </c>
      <c r="U512" s="16"/>
      <c r="V512" s="16"/>
      <c r="W512" s="16" t="s">
        <v>40</v>
      </c>
      <c r="X512" s="19">
        <v>1.9E-2</v>
      </c>
      <c r="Y512" s="20">
        <v>3.8999999999999999E-5</v>
      </c>
      <c r="Z512" s="21">
        <v>2000031009438</v>
      </c>
    </row>
    <row r="513" spans="1:26" ht="12" customHeight="1" outlineLevel="3" x14ac:dyDescent="0.2">
      <c r="A513" s="14" t="s">
        <v>1041</v>
      </c>
      <c r="B513" s="26" t="s">
        <v>1040</v>
      </c>
      <c r="C513" s="52"/>
      <c r="D513" s="55">
        <f t="shared" si="7"/>
        <v>0</v>
      </c>
      <c r="E513" s="63" t="str">
        <f>HYPERLINK("https://www.sds-group.ru/product/vyklyuchatel-dlya-nastennogo-svetilnika-c-provodom-i-derevyannym-nakonechnikom-zoloto-rexa-32-0104-1/", "Инфо")</f>
        <v>Инфо</v>
      </c>
      <c r="F513" s="16" t="s">
        <v>1001</v>
      </c>
      <c r="G513" s="15"/>
      <c r="H513" s="15"/>
      <c r="I513" s="15"/>
      <c r="J513" s="22">
        <v>1815</v>
      </c>
      <c r="K513" s="15" t="s">
        <v>995</v>
      </c>
      <c r="L513" s="17">
        <v>10</v>
      </c>
      <c r="M513" s="17">
        <v>50</v>
      </c>
      <c r="N513" s="17">
        <v>10</v>
      </c>
      <c r="O513" s="18">
        <v>153.22</v>
      </c>
      <c r="P513" s="18">
        <v>125.59</v>
      </c>
      <c r="Q513" s="18">
        <v>130.24</v>
      </c>
      <c r="R513" s="18">
        <v>106.75</v>
      </c>
      <c r="S513" s="18">
        <v>104.19</v>
      </c>
      <c r="T513" s="18">
        <v>85.4</v>
      </c>
      <c r="U513" s="16"/>
      <c r="V513" s="16"/>
      <c r="W513" s="16" t="s">
        <v>40</v>
      </c>
      <c r="X513" s="19">
        <v>0.02</v>
      </c>
      <c r="Y513" s="20">
        <v>5.1E-5</v>
      </c>
      <c r="Z513" s="21">
        <v>4601004253438</v>
      </c>
    </row>
    <row r="514" spans="1:26" ht="12" customHeight="1" outlineLevel="3" x14ac:dyDescent="0.2">
      <c r="A514" s="14" t="s">
        <v>1042</v>
      </c>
      <c r="B514" s="26" t="s">
        <v>1043</v>
      </c>
      <c r="C514" s="52"/>
      <c r="D514" s="55">
        <f t="shared" si="7"/>
        <v>0</v>
      </c>
      <c r="E514" s="63" t="str">
        <f>HYPERLINK("https://www.sds-group.ru/product/vyklyuchatel-dlya-nastennogo-svetilnika-c-provodom-i-derevyannym-nakonechnikom-zolotoy-1-s-06-0243-A/", "Инфо")</f>
        <v>Инфо</v>
      </c>
      <c r="F514" s="16" t="s">
        <v>39</v>
      </c>
      <c r="G514" s="15"/>
      <c r="H514" s="15"/>
      <c r="I514" s="15"/>
      <c r="J514" s="22">
        <v>1407</v>
      </c>
      <c r="K514" s="15"/>
      <c r="L514" s="17">
        <v>10</v>
      </c>
      <c r="M514" s="17">
        <v>10</v>
      </c>
      <c r="N514" s="17">
        <v>10</v>
      </c>
      <c r="O514" s="18">
        <v>165.78</v>
      </c>
      <c r="P514" s="18">
        <v>135.88999999999999</v>
      </c>
      <c r="Q514" s="18">
        <v>140.91</v>
      </c>
      <c r="R514" s="18">
        <v>115.5</v>
      </c>
      <c r="S514" s="18">
        <v>112.73</v>
      </c>
      <c r="T514" s="18">
        <v>92.4</v>
      </c>
      <c r="U514" s="16"/>
      <c r="V514" s="16"/>
      <c r="W514" s="16" t="s">
        <v>40</v>
      </c>
      <c r="X514" s="19">
        <v>2.5000000000000001E-2</v>
      </c>
      <c r="Y514" s="20">
        <v>1.45E-4</v>
      </c>
      <c r="Z514" s="21">
        <v>4601004123342</v>
      </c>
    </row>
    <row r="515" spans="1:26" ht="12" customHeight="1" outlineLevel="3" x14ac:dyDescent="0.2">
      <c r="A515" s="14" t="s">
        <v>1044</v>
      </c>
      <c r="B515" s="26" t="s">
        <v>1045</v>
      </c>
      <c r="C515" s="52"/>
      <c r="D515" s="55">
        <f t="shared" si="7"/>
        <v>0</v>
      </c>
      <c r="E515" s="63" t="str">
        <f>HYPERLINK("https://www.sds-group.ru/product/vyklyuchatel-dlya-nastennogo-svetilnika-c-provodom-i-derevyannym-nakonechnikom-serebro-rexan-32-0103/", "Инфо")</f>
        <v>Инфо</v>
      </c>
      <c r="F515" s="16" t="s">
        <v>39</v>
      </c>
      <c r="G515" s="15"/>
      <c r="H515" s="15"/>
      <c r="I515" s="15"/>
      <c r="J515" s="16" t="s">
        <v>100</v>
      </c>
      <c r="K515" s="15" t="s">
        <v>995</v>
      </c>
      <c r="L515" s="17">
        <v>10</v>
      </c>
      <c r="M515" s="22">
        <v>1000</v>
      </c>
      <c r="N515" s="17">
        <v>10</v>
      </c>
      <c r="O515" s="18">
        <v>144.38999999999999</v>
      </c>
      <c r="P515" s="18">
        <v>118.35</v>
      </c>
      <c r="Q515" s="18">
        <v>122.73</v>
      </c>
      <c r="R515" s="18">
        <v>100.6</v>
      </c>
      <c r="S515" s="18">
        <v>98.19</v>
      </c>
      <c r="T515" s="18">
        <v>80.48</v>
      </c>
      <c r="U515" s="16"/>
      <c r="V515" s="16"/>
      <c r="W515" s="16" t="s">
        <v>40</v>
      </c>
      <c r="X515" s="19">
        <v>1.9E-2</v>
      </c>
      <c r="Y515" s="20">
        <v>3.8000000000000002E-5</v>
      </c>
      <c r="Z515" s="21">
        <v>2000031009292</v>
      </c>
    </row>
    <row r="516" spans="1:26" ht="12" customHeight="1" outlineLevel="3" x14ac:dyDescent="0.2">
      <c r="A516" s="14" t="s">
        <v>1046</v>
      </c>
      <c r="B516" s="26" t="s">
        <v>1045</v>
      </c>
      <c r="C516" s="52"/>
      <c r="D516" s="55">
        <f t="shared" si="7"/>
        <v>0</v>
      </c>
      <c r="E516" s="63" t="str">
        <f>HYPERLINK("https://www.sds-group.ru/product/vyklyuchatel-dlya-nastennogo-svetilnika-c-provodom-i-derevyannym-nakonechnikom-serebro-rex-32-0103-1/", "Инфо")</f>
        <v>Инфо</v>
      </c>
      <c r="F516" s="16" t="s">
        <v>1001</v>
      </c>
      <c r="G516" s="15"/>
      <c r="H516" s="15"/>
      <c r="I516" s="15"/>
      <c r="J516" s="22">
        <v>1496</v>
      </c>
      <c r="K516" s="15" t="s">
        <v>995</v>
      </c>
      <c r="L516" s="17">
        <v>10</v>
      </c>
      <c r="M516" s="22">
        <v>1000</v>
      </c>
      <c r="N516" s="17">
        <v>10</v>
      </c>
      <c r="O516" s="18">
        <v>142.51</v>
      </c>
      <c r="P516" s="18">
        <v>116.81</v>
      </c>
      <c r="Q516" s="18">
        <v>121.13</v>
      </c>
      <c r="R516" s="18">
        <v>99.29</v>
      </c>
      <c r="S516" s="18">
        <v>96.91</v>
      </c>
      <c r="T516" s="18">
        <v>79.430000000000007</v>
      </c>
      <c r="U516" s="16"/>
      <c r="V516" s="16"/>
      <c r="W516" s="16" t="s">
        <v>40</v>
      </c>
      <c r="X516" s="19">
        <v>0.02</v>
      </c>
      <c r="Y516" s="20">
        <v>4.8999999999999998E-5</v>
      </c>
      <c r="Z516" s="21">
        <v>4601004253445</v>
      </c>
    </row>
    <row r="517" spans="1:26" ht="12" customHeight="1" outlineLevel="3" x14ac:dyDescent="0.2">
      <c r="A517" s="14" t="s">
        <v>1047</v>
      </c>
      <c r="B517" s="26" t="s">
        <v>1048</v>
      </c>
      <c r="C517" s="52"/>
      <c r="D517" s="55">
        <f t="shared" si="7"/>
        <v>0</v>
      </c>
      <c r="E517" s="63" t="str">
        <f>HYPERLINK("https://www.sds-group.ru/product/vyklyuchatel-dlya-nastennogo-svetilnika-s-tsepochkoy-270mm-zoloto-rexant-32-0102/", "Инфо")</f>
        <v>Инфо</v>
      </c>
      <c r="F517" s="16" t="s">
        <v>39</v>
      </c>
      <c r="G517" s="15"/>
      <c r="H517" s="15"/>
      <c r="I517" s="15"/>
      <c r="J517" s="17">
        <v>400</v>
      </c>
      <c r="K517" s="15" t="s">
        <v>1004</v>
      </c>
      <c r="L517" s="17">
        <v>10</v>
      </c>
      <c r="M517" s="22">
        <v>1500</v>
      </c>
      <c r="N517" s="17">
        <v>10</v>
      </c>
      <c r="O517" s="18">
        <v>152.11000000000001</v>
      </c>
      <c r="P517" s="18">
        <v>124.68</v>
      </c>
      <c r="Q517" s="18">
        <v>129.29</v>
      </c>
      <c r="R517" s="18">
        <v>105.98</v>
      </c>
      <c r="S517" s="18">
        <v>103.43</v>
      </c>
      <c r="T517" s="18">
        <v>84.78</v>
      </c>
      <c r="U517" s="16"/>
      <c r="V517" s="16"/>
      <c r="W517" s="16" t="s">
        <v>40</v>
      </c>
      <c r="X517" s="19">
        <v>1.4999999999999999E-2</v>
      </c>
      <c r="Y517" s="20">
        <v>2.4000000000000001E-5</v>
      </c>
      <c r="Z517" s="21">
        <v>4601004000292</v>
      </c>
    </row>
    <row r="518" spans="1:26" ht="12" customHeight="1" outlineLevel="3" x14ac:dyDescent="0.2">
      <c r="A518" s="32" t="s">
        <v>1049</v>
      </c>
      <c r="B518" s="74" t="s">
        <v>1048</v>
      </c>
      <c r="C518" s="50"/>
      <c r="D518" s="53">
        <f t="shared" si="7"/>
        <v>0</v>
      </c>
      <c r="E518" s="60" t="str">
        <f>HYPERLINK("https://www.sds-group.ru/product/vyklyuchatel-dlya-nastennogo-svetilnika-s-tsepochkoy-270mm-zoloto-rexant-32-0102-1/", "Инфо")</f>
        <v>Инфо</v>
      </c>
      <c r="F518" s="34" t="s">
        <v>1001</v>
      </c>
      <c r="G518" s="33"/>
      <c r="H518" s="33" t="s">
        <v>40</v>
      </c>
      <c r="I518" s="33"/>
      <c r="J518" s="39">
        <v>3478</v>
      </c>
      <c r="K518" s="33"/>
      <c r="L518" s="35">
        <v>1</v>
      </c>
      <c r="M518" s="35">
        <v>50</v>
      </c>
      <c r="N518" s="35">
        <v>1</v>
      </c>
      <c r="O518" s="36">
        <v>79.489999999999995</v>
      </c>
      <c r="P518" s="36">
        <v>65.16</v>
      </c>
      <c r="Q518" s="36">
        <v>55.64</v>
      </c>
      <c r="R518" s="36">
        <v>45.61</v>
      </c>
      <c r="S518" s="36">
        <v>54.05</v>
      </c>
      <c r="T518" s="36">
        <v>44.3</v>
      </c>
      <c r="U518" s="34"/>
      <c r="V518" s="34"/>
      <c r="W518" s="34"/>
      <c r="X518" s="37">
        <v>1.0999999999999999E-2</v>
      </c>
      <c r="Y518" s="38">
        <v>7.8999999999999996E-5</v>
      </c>
      <c r="Z518" s="21">
        <v>4601004253452</v>
      </c>
    </row>
    <row r="519" spans="1:26" ht="12" customHeight="1" outlineLevel="3" x14ac:dyDescent="0.2">
      <c r="A519" s="14" t="s">
        <v>1050</v>
      </c>
      <c r="B519" s="26" t="s">
        <v>1051</v>
      </c>
      <c r="C519" s="52"/>
      <c r="D519" s="55">
        <f t="shared" si="7"/>
        <v>0</v>
      </c>
      <c r="E519" s="63" t="str">
        <f>HYPERLINK("https://www.sds-group.ru/product/vyklyuchatel-dlya-nastennogo-svetilnika-s-tsepochkoy-270mm-serebro-rexant-32-0101/", "Инфо")</f>
        <v>Инфо</v>
      </c>
      <c r="F519" s="16" t="s">
        <v>39</v>
      </c>
      <c r="G519" s="15"/>
      <c r="H519" s="15"/>
      <c r="I519" s="15"/>
      <c r="J519" s="22">
        <v>4804</v>
      </c>
      <c r="K519" s="15" t="s">
        <v>995</v>
      </c>
      <c r="L519" s="17">
        <v>10</v>
      </c>
      <c r="M519" s="22">
        <v>1000</v>
      </c>
      <c r="N519" s="17">
        <v>10</v>
      </c>
      <c r="O519" s="18">
        <v>160.47999999999999</v>
      </c>
      <c r="P519" s="18">
        <v>131.54</v>
      </c>
      <c r="Q519" s="18">
        <v>136.41</v>
      </c>
      <c r="R519" s="18">
        <v>111.81</v>
      </c>
      <c r="S519" s="18">
        <v>109.13</v>
      </c>
      <c r="T519" s="18">
        <v>89.45</v>
      </c>
      <c r="U519" s="16"/>
      <c r="V519" s="16"/>
      <c r="W519" s="16" t="s">
        <v>40</v>
      </c>
      <c r="X519" s="19">
        <v>1.4999999999999999E-2</v>
      </c>
      <c r="Y519" s="20">
        <v>2.5000000000000001E-5</v>
      </c>
      <c r="Z519" s="21">
        <v>4601004000285</v>
      </c>
    </row>
    <row r="520" spans="1:26" ht="12" customHeight="1" outlineLevel="3" x14ac:dyDescent="0.2">
      <c r="A520" s="14" t="s">
        <v>1052</v>
      </c>
      <c r="B520" s="26" t="s">
        <v>1051</v>
      </c>
      <c r="C520" s="52"/>
      <c r="D520" s="55">
        <f t="shared" si="7"/>
        <v>0</v>
      </c>
      <c r="E520" s="63" t="str">
        <f>HYPERLINK("https://www.sds-group.ru/product/vyklyuchatel-dlya-nastennogo-svetilnika-s-tsepochkoy-270mm-serebro-rexant-32-0101-1/", "Инфо")</f>
        <v>Инфо</v>
      </c>
      <c r="F520" s="16" t="s">
        <v>1001</v>
      </c>
      <c r="G520" s="15"/>
      <c r="H520" s="15"/>
      <c r="I520" s="15"/>
      <c r="J520" s="22">
        <v>1292</v>
      </c>
      <c r="K520" s="15"/>
      <c r="L520" s="17">
        <v>10</v>
      </c>
      <c r="M520" s="22">
        <v>1000</v>
      </c>
      <c r="N520" s="17">
        <v>10</v>
      </c>
      <c r="O520" s="18">
        <v>153.34</v>
      </c>
      <c r="P520" s="18">
        <v>125.69</v>
      </c>
      <c r="Q520" s="18">
        <v>130.34</v>
      </c>
      <c r="R520" s="18">
        <v>106.84</v>
      </c>
      <c r="S520" s="18">
        <v>104.27</v>
      </c>
      <c r="T520" s="18">
        <v>85.47</v>
      </c>
      <c r="U520" s="16"/>
      <c r="V520" s="16"/>
      <c r="W520" s="16" t="s">
        <v>40</v>
      </c>
      <c r="X520" s="19">
        <v>1.6E-2</v>
      </c>
      <c r="Y520" s="20">
        <v>3.8999999999999999E-5</v>
      </c>
      <c r="Z520" s="21">
        <v>4601004253469</v>
      </c>
    </row>
    <row r="521" spans="1:26" ht="12" customHeight="1" outlineLevel="3" x14ac:dyDescent="0.2">
      <c r="A521" s="14" t="s">
        <v>1053</v>
      </c>
      <c r="B521" s="26" t="s">
        <v>1054</v>
      </c>
      <c r="C521" s="52"/>
      <c r="D521" s="55">
        <f t="shared" ref="D521:D584" si="8">C521*(O521-O521*$G$3)</f>
        <v>0</v>
      </c>
      <c r="E521" s="63" t="str">
        <f>HYPERLINK("https://www.sds-group.ru/product/vyklyuchatel-knopka-250v-2a-vkl-vykl-belyy-napolnyy-dlya-lampy-rexant-36-3015/", "Инфо")</f>
        <v>Инфо</v>
      </c>
      <c r="F521" s="16" t="s">
        <v>39</v>
      </c>
      <c r="G521" s="15"/>
      <c r="H521" s="15"/>
      <c r="I521" s="15"/>
      <c r="J521" s="17">
        <v>633</v>
      </c>
      <c r="K521" s="15" t="s">
        <v>1055</v>
      </c>
      <c r="L521" s="17">
        <v>10</v>
      </c>
      <c r="M521" s="17">
        <v>300</v>
      </c>
      <c r="N521" s="17">
        <v>10</v>
      </c>
      <c r="O521" s="18">
        <v>181.44</v>
      </c>
      <c r="P521" s="18">
        <v>148.72</v>
      </c>
      <c r="Q521" s="18">
        <v>154.22</v>
      </c>
      <c r="R521" s="18">
        <v>126.41</v>
      </c>
      <c r="S521" s="18">
        <v>123.38</v>
      </c>
      <c r="T521" s="18">
        <v>101.13</v>
      </c>
      <c r="U521" s="16"/>
      <c r="V521" s="16"/>
      <c r="W521" s="16" t="s">
        <v>40</v>
      </c>
      <c r="X521" s="19">
        <v>3.2000000000000001E-2</v>
      </c>
      <c r="Y521" s="20">
        <v>3.4299999999999999E-4</v>
      </c>
      <c r="Z521" s="21">
        <v>4601004240445</v>
      </c>
    </row>
    <row r="522" spans="1:26" ht="12" customHeight="1" outlineLevel="3" x14ac:dyDescent="0.2">
      <c r="A522" s="14" t="s">
        <v>1056</v>
      </c>
      <c r="B522" s="26" t="s">
        <v>1057</v>
      </c>
      <c r="C522" s="52"/>
      <c r="D522" s="55">
        <f t="shared" si="8"/>
        <v>0</v>
      </c>
      <c r="E522" s="63" t="str">
        <f>HYPERLINK("https://www.sds-group.ru/product/vyklyuchatel-knopka-250v-2a-vkl-vykl-chernyy-napolnyy-dlya-lampy-rexant-36-3025/", "Инфо")</f>
        <v>Инфо</v>
      </c>
      <c r="F522" s="16" t="s">
        <v>39</v>
      </c>
      <c r="G522" s="15"/>
      <c r="H522" s="15"/>
      <c r="I522" s="15"/>
      <c r="J522" s="22">
        <v>1449</v>
      </c>
      <c r="K522" s="15" t="s">
        <v>1058</v>
      </c>
      <c r="L522" s="17">
        <v>5</v>
      </c>
      <c r="M522" s="17">
        <v>300</v>
      </c>
      <c r="N522" s="17">
        <v>5</v>
      </c>
      <c r="O522" s="18">
        <v>290.18</v>
      </c>
      <c r="P522" s="18">
        <v>237.85</v>
      </c>
      <c r="Q522" s="18">
        <v>246.65</v>
      </c>
      <c r="R522" s="18">
        <v>202.17</v>
      </c>
      <c r="S522" s="18">
        <v>197.32</v>
      </c>
      <c r="T522" s="18">
        <v>161.74</v>
      </c>
      <c r="U522" s="16"/>
      <c r="V522" s="16"/>
      <c r="W522" s="16" t="s">
        <v>40</v>
      </c>
      <c r="X522" s="19">
        <v>3.5000000000000003E-2</v>
      </c>
      <c r="Y522" s="20">
        <v>1.76E-4</v>
      </c>
      <c r="Z522" s="21">
        <v>4601004118041</v>
      </c>
    </row>
    <row r="523" spans="1:26" ht="12" customHeight="1" outlineLevel="3" x14ac:dyDescent="0.2">
      <c r="A523" s="14" t="s">
        <v>1059</v>
      </c>
      <c r="B523" s="26" t="s">
        <v>1060</v>
      </c>
      <c r="C523" s="52"/>
      <c r="D523" s="55">
        <f t="shared" si="8"/>
        <v>0</v>
      </c>
      <c r="E523" s="63" t="str">
        <f>HYPERLINK("https://www.sds-group.ru/product/vyklyuchatel-knopka-250v-2a-vkl-vykl-chernyy-na-elektroprovod-dlya-nastolnoy-lampy-rexant-36-3018/", "Инфо")</f>
        <v>Инфо</v>
      </c>
      <c r="F523" s="16" t="s">
        <v>39</v>
      </c>
      <c r="G523" s="15"/>
      <c r="H523" s="15"/>
      <c r="I523" s="15"/>
      <c r="J523" s="22">
        <v>7017</v>
      </c>
      <c r="K523" s="15" t="s">
        <v>1058</v>
      </c>
      <c r="L523" s="17">
        <v>10</v>
      </c>
      <c r="M523" s="17">
        <v>500</v>
      </c>
      <c r="N523" s="17">
        <v>10</v>
      </c>
      <c r="O523" s="18">
        <v>60.75</v>
      </c>
      <c r="P523" s="18">
        <v>49.8</v>
      </c>
      <c r="Q523" s="18">
        <v>51.64</v>
      </c>
      <c r="R523" s="18">
        <v>42.33</v>
      </c>
      <c r="S523" s="18">
        <v>41.31</v>
      </c>
      <c r="T523" s="18">
        <v>33.86</v>
      </c>
      <c r="U523" s="16"/>
      <c r="V523" s="16"/>
      <c r="W523" s="16" t="s">
        <v>40</v>
      </c>
      <c r="X523" s="19">
        <v>1.4E-2</v>
      </c>
      <c r="Y523" s="20">
        <v>1.05E-4</v>
      </c>
      <c r="Z523" s="21">
        <v>4601004118119</v>
      </c>
    </row>
    <row r="524" spans="1:26" ht="12" customHeight="1" outlineLevel="3" x14ac:dyDescent="0.2">
      <c r="A524" s="14" t="s">
        <v>1061</v>
      </c>
      <c r="B524" s="26" t="s">
        <v>1062</v>
      </c>
      <c r="C524" s="52"/>
      <c r="D524" s="55">
        <f t="shared" si="8"/>
        <v>0</v>
      </c>
      <c r="E524" s="63" t="str">
        <f>HYPERLINK("https://www.sds-group.ru/product/vyklyuchatel-knopka-250v-6a-vkl-vykl-belyy-na-elektroprovod-dlya-nastolnoy-lampy-bra-rexant-36-3016/", "Инфо")</f>
        <v>Инфо</v>
      </c>
      <c r="F524" s="16" t="s">
        <v>39</v>
      </c>
      <c r="G524" s="15"/>
      <c r="H524" s="15"/>
      <c r="I524" s="15"/>
      <c r="J524" s="22">
        <v>6985</v>
      </c>
      <c r="K524" s="15" t="s">
        <v>925</v>
      </c>
      <c r="L524" s="17">
        <v>10</v>
      </c>
      <c r="M524" s="22">
        <v>1000</v>
      </c>
      <c r="N524" s="17">
        <v>10</v>
      </c>
      <c r="O524" s="18">
        <v>60.75</v>
      </c>
      <c r="P524" s="18">
        <v>49.8</v>
      </c>
      <c r="Q524" s="18">
        <v>51.64</v>
      </c>
      <c r="R524" s="18">
        <v>42.33</v>
      </c>
      <c r="S524" s="18">
        <v>41.31</v>
      </c>
      <c r="T524" s="18">
        <v>33.86</v>
      </c>
      <c r="U524" s="16"/>
      <c r="V524" s="16"/>
      <c r="W524" s="16" t="s">
        <v>40</v>
      </c>
      <c r="X524" s="19">
        <v>1.4E-2</v>
      </c>
      <c r="Y524" s="20">
        <v>7.4999999999999993E-5</v>
      </c>
      <c r="Z524" s="21">
        <v>4601004240452</v>
      </c>
    </row>
    <row r="525" spans="1:26" ht="12.95" customHeight="1" outlineLevel="2" x14ac:dyDescent="0.2">
      <c r="A525" s="76" t="s">
        <v>1063</v>
      </c>
      <c r="B525" s="76"/>
      <c r="C525" s="77"/>
      <c r="D525" s="58"/>
      <c r="E525" s="68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  <c r="Z525" s="13"/>
    </row>
    <row r="526" spans="1:26" ht="12" customHeight="1" outlineLevel="3" x14ac:dyDescent="0.2">
      <c r="A526" s="14" t="s">
        <v>1064</v>
      </c>
      <c r="B526" s="26" t="s">
        <v>1065</v>
      </c>
      <c r="C526" s="52"/>
      <c r="D526" s="55">
        <f t="shared" si="8"/>
        <v>0</v>
      </c>
      <c r="E526" s="63" t="str">
        <f>HYPERLINK("https://www.sds-group.ru/product/shnur-setevoy-1-8m-s-vyklyuchatelem-bez-rozetki-belyy-rexant-06-3251/", "Инфо")</f>
        <v>Инфо</v>
      </c>
      <c r="F526" s="16" t="s">
        <v>39</v>
      </c>
      <c r="G526" s="15"/>
      <c r="H526" s="15"/>
      <c r="I526" s="15"/>
      <c r="J526" s="17">
        <v>281</v>
      </c>
      <c r="K526" s="15"/>
      <c r="L526" s="17">
        <v>10</v>
      </c>
      <c r="M526" s="17">
        <v>20</v>
      </c>
      <c r="N526" s="17">
        <v>10</v>
      </c>
      <c r="O526" s="18">
        <v>224.03</v>
      </c>
      <c r="P526" s="18">
        <v>183.63</v>
      </c>
      <c r="Q526" s="18">
        <v>179.22</v>
      </c>
      <c r="R526" s="18">
        <v>146.9</v>
      </c>
      <c r="S526" s="18">
        <v>152.34</v>
      </c>
      <c r="T526" s="18">
        <v>124.87</v>
      </c>
      <c r="U526" s="16"/>
      <c r="V526" s="16"/>
      <c r="W526" s="16" t="s">
        <v>40</v>
      </c>
      <c r="X526" s="19">
        <v>6.7000000000000004E-2</v>
      </c>
      <c r="Y526" s="20">
        <v>2.33E-4</v>
      </c>
      <c r="Z526" s="21">
        <v>4601004127951</v>
      </c>
    </row>
    <row r="527" spans="1:26" ht="12" customHeight="1" outlineLevel="3" x14ac:dyDescent="0.2">
      <c r="A527" s="14" t="s">
        <v>1066</v>
      </c>
      <c r="B527" s="26" t="s">
        <v>1067</v>
      </c>
      <c r="C527" s="52"/>
      <c r="D527" s="55">
        <f t="shared" si="8"/>
        <v>0</v>
      </c>
      <c r="E527" s="63" t="str">
        <f>HYPERLINK("https://www.sds-group.ru/product/shnur-setevoy-2h0-75-mm-1-8m-belyy-rexant-11-1147/", "Инфо")</f>
        <v>Инфо</v>
      </c>
      <c r="F527" s="16" t="s">
        <v>39</v>
      </c>
      <c r="G527" s="15"/>
      <c r="H527" s="15"/>
      <c r="I527" s="15"/>
      <c r="J527" s="22">
        <v>2684</v>
      </c>
      <c r="K527" s="15" t="s">
        <v>1004</v>
      </c>
      <c r="L527" s="17">
        <v>10</v>
      </c>
      <c r="M527" s="17">
        <v>200</v>
      </c>
      <c r="N527" s="17">
        <v>10</v>
      </c>
      <c r="O527" s="18">
        <v>149.78</v>
      </c>
      <c r="P527" s="18">
        <v>122.77</v>
      </c>
      <c r="Q527" s="18">
        <v>127.31</v>
      </c>
      <c r="R527" s="18">
        <v>104.35</v>
      </c>
      <c r="S527" s="18">
        <v>101.85</v>
      </c>
      <c r="T527" s="18">
        <v>83.48</v>
      </c>
      <c r="U527" s="16"/>
      <c r="V527" s="16"/>
      <c r="W527" s="16" t="s">
        <v>40</v>
      </c>
      <c r="X527" s="19">
        <v>6.2E-2</v>
      </c>
      <c r="Y527" s="20">
        <v>1.5300000000000001E-4</v>
      </c>
      <c r="Z527" s="21">
        <v>4601004155084</v>
      </c>
    </row>
    <row r="528" spans="1:26" ht="12" customHeight="1" outlineLevel="3" x14ac:dyDescent="0.2">
      <c r="A528" s="14" t="s">
        <v>1068</v>
      </c>
      <c r="B528" s="26" t="s">
        <v>1069</v>
      </c>
      <c r="C528" s="52"/>
      <c r="D528" s="55">
        <f t="shared" si="8"/>
        <v>0</v>
      </c>
      <c r="E528" s="63" t="str">
        <f>HYPERLINK("https://www.sds-group.ru/product/shnur-setevoy-2h0-75-mm-1-8m-chernyy-rexant-11-1142/", "Инфо")</f>
        <v>Инфо</v>
      </c>
      <c r="F528" s="16" t="s">
        <v>39</v>
      </c>
      <c r="G528" s="15"/>
      <c r="H528" s="15"/>
      <c r="I528" s="15"/>
      <c r="J528" s="22">
        <v>3677</v>
      </c>
      <c r="K528" s="15" t="s">
        <v>1004</v>
      </c>
      <c r="L528" s="17">
        <v>10</v>
      </c>
      <c r="M528" s="17">
        <v>300</v>
      </c>
      <c r="N528" s="17">
        <v>10</v>
      </c>
      <c r="O528" s="18">
        <v>145.63</v>
      </c>
      <c r="P528" s="18">
        <v>119.37</v>
      </c>
      <c r="Q528" s="18">
        <v>123.79</v>
      </c>
      <c r="R528" s="18">
        <v>101.47</v>
      </c>
      <c r="S528" s="18">
        <v>99.03</v>
      </c>
      <c r="T528" s="18">
        <v>81.17</v>
      </c>
      <c r="U528" s="16"/>
      <c r="V528" s="16"/>
      <c r="W528" s="16" t="s">
        <v>40</v>
      </c>
      <c r="X528" s="19">
        <v>5.8000000000000003E-2</v>
      </c>
      <c r="Y528" s="20">
        <v>1.3300000000000001E-4</v>
      </c>
      <c r="Z528" s="21">
        <v>4601004152991</v>
      </c>
    </row>
    <row r="529" spans="1:26" ht="12" customHeight="1" outlineLevel="3" x14ac:dyDescent="0.2">
      <c r="A529" s="14" t="s">
        <v>1070</v>
      </c>
      <c r="B529" s="26" t="s">
        <v>1071</v>
      </c>
      <c r="C529" s="52"/>
      <c r="D529" s="55">
        <f t="shared" si="8"/>
        <v>0</v>
      </c>
      <c r="E529" s="63" t="str">
        <f>HYPERLINK("https://www.sds-group.ru/product/shnur-setevoy-s-vyklyuchatelem-2h0-75-mm-1-8m-belyy-rexant-11-1133/", "Инфо")</f>
        <v>Инфо</v>
      </c>
      <c r="F529" s="16" t="s">
        <v>39</v>
      </c>
      <c r="G529" s="15"/>
      <c r="H529" s="15"/>
      <c r="I529" s="15"/>
      <c r="J529" s="22">
        <v>20201</v>
      </c>
      <c r="K529" s="15" t="s">
        <v>1004</v>
      </c>
      <c r="L529" s="17">
        <v>10</v>
      </c>
      <c r="M529" s="17">
        <v>200</v>
      </c>
      <c r="N529" s="17">
        <v>10</v>
      </c>
      <c r="O529" s="18">
        <v>206.23</v>
      </c>
      <c r="P529" s="18">
        <v>169.04</v>
      </c>
      <c r="Q529" s="18">
        <v>175.3</v>
      </c>
      <c r="R529" s="18">
        <v>143.69</v>
      </c>
      <c r="S529" s="18">
        <v>140.24</v>
      </c>
      <c r="T529" s="18">
        <v>114.95</v>
      </c>
      <c r="U529" s="16"/>
      <c r="V529" s="16"/>
      <c r="W529" s="16" t="s">
        <v>40</v>
      </c>
      <c r="X529" s="19">
        <v>7.0999999999999994E-2</v>
      </c>
      <c r="Y529" s="20">
        <v>2.1599999999999999E-4</v>
      </c>
      <c r="Z529" s="21">
        <v>4601004153097</v>
      </c>
    </row>
    <row r="530" spans="1:26" ht="12" customHeight="1" outlineLevel="3" x14ac:dyDescent="0.2">
      <c r="A530" s="14" t="s">
        <v>1072</v>
      </c>
      <c r="B530" s="26" t="s">
        <v>1073</v>
      </c>
      <c r="C530" s="52"/>
      <c r="D530" s="55">
        <f t="shared" si="8"/>
        <v>0</v>
      </c>
      <c r="E530" s="63" t="str">
        <f>HYPERLINK("https://www.sds-group.ru/product/shnur-setevoy-s-vyklyuchatelem-2h0-75-mm-1-8m-chernyy-rexant-11-1134/", "Инфо")</f>
        <v>Инфо</v>
      </c>
      <c r="F530" s="16" t="s">
        <v>39</v>
      </c>
      <c r="G530" s="15"/>
      <c r="H530" s="15"/>
      <c r="I530" s="15"/>
      <c r="J530" s="22">
        <v>9400</v>
      </c>
      <c r="K530" s="15" t="s">
        <v>1004</v>
      </c>
      <c r="L530" s="17">
        <v>10</v>
      </c>
      <c r="M530" s="17">
        <v>200</v>
      </c>
      <c r="N530" s="17">
        <v>10</v>
      </c>
      <c r="O530" s="18">
        <v>205.89</v>
      </c>
      <c r="P530" s="18">
        <v>168.76</v>
      </c>
      <c r="Q530" s="18">
        <v>175.01</v>
      </c>
      <c r="R530" s="18">
        <v>143.44999999999999</v>
      </c>
      <c r="S530" s="18">
        <v>140.01</v>
      </c>
      <c r="T530" s="18">
        <v>114.76</v>
      </c>
      <c r="U530" s="16"/>
      <c r="V530" s="16"/>
      <c r="W530" s="16" t="s">
        <v>40</v>
      </c>
      <c r="X530" s="19">
        <v>7.0999999999999994E-2</v>
      </c>
      <c r="Y530" s="20">
        <v>2.2699999999999999E-4</v>
      </c>
      <c r="Z530" s="21">
        <v>4601004152892</v>
      </c>
    </row>
    <row r="531" spans="1:26" ht="12" customHeight="1" outlineLevel="3" x14ac:dyDescent="0.2">
      <c r="A531" s="14" t="s">
        <v>1074</v>
      </c>
      <c r="B531" s="26" t="s">
        <v>1075</v>
      </c>
      <c r="C531" s="52"/>
      <c r="D531" s="55">
        <f t="shared" si="8"/>
        <v>0</v>
      </c>
      <c r="E531" s="63" t="str">
        <f>HYPERLINK("https://www.sds-group.ru/product/shnur-setevoy-s-dimmerom-2h0-75-mm-2m-belyy-rexant-11-1139/", "Инфо")</f>
        <v>Инфо</v>
      </c>
      <c r="F531" s="16" t="s">
        <v>39</v>
      </c>
      <c r="G531" s="15"/>
      <c r="H531" s="15"/>
      <c r="I531" s="15"/>
      <c r="J531" s="17">
        <v>42</v>
      </c>
      <c r="K531" s="15" t="s">
        <v>925</v>
      </c>
      <c r="L531" s="17">
        <v>5</v>
      </c>
      <c r="M531" s="17">
        <v>200</v>
      </c>
      <c r="N531" s="17">
        <v>5</v>
      </c>
      <c r="O531" s="18">
        <v>317.02</v>
      </c>
      <c r="P531" s="18">
        <v>259.85000000000002</v>
      </c>
      <c r="Q531" s="18">
        <v>253.62</v>
      </c>
      <c r="R531" s="18">
        <v>207.89</v>
      </c>
      <c r="S531" s="18">
        <v>215.57</v>
      </c>
      <c r="T531" s="18">
        <v>176.7</v>
      </c>
      <c r="U531" s="16"/>
      <c r="V531" s="16"/>
      <c r="W531" s="16" t="s">
        <v>40</v>
      </c>
      <c r="X531" s="19">
        <v>7.8E-2</v>
      </c>
      <c r="Y531" s="20">
        <v>5.0299999999999997E-4</v>
      </c>
      <c r="Z531" s="21">
        <v>4601004152953</v>
      </c>
    </row>
    <row r="532" spans="1:26" ht="12" customHeight="1" outlineLevel="3" x14ac:dyDescent="0.2">
      <c r="A532" s="14" t="s">
        <v>1076</v>
      </c>
      <c r="B532" s="26" t="s">
        <v>1077</v>
      </c>
      <c r="C532" s="52"/>
      <c r="D532" s="55">
        <f t="shared" si="8"/>
        <v>0</v>
      </c>
      <c r="E532" s="63" t="str">
        <f>HYPERLINK("https://www.sds-group.ru/product/shnur-setevoy-s-dimmerom-2h0-75-mm-2m-chernyy-rexant-11-1137/", "Инфо")</f>
        <v>Инфо</v>
      </c>
      <c r="F532" s="16" t="s">
        <v>39</v>
      </c>
      <c r="G532" s="15"/>
      <c r="H532" s="15"/>
      <c r="I532" s="15"/>
      <c r="J532" s="17">
        <v>497</v>
      </c>
      <c r="K532" s="15" t="s">
        <v>925</v>
      </c>
      <c r="L532" s="17">
        <v>5</v>
      </c>
      <c r="M532" s="17">
        <v>200</v>
      </c>
      <c r="N532" s="17">
        <v>5</v>
      </c>
      <c r="O532" s="18">
        <v>532.5</v>
      </c>
      <c r="P532" s="18">
        <v>436.48</v>
      </c>
      <c r="Q532" s="18">
        <v>426</v>
      </c>
      <c r="R532" s="18">
        <v>349.18</v>
      </c>
      <c r="S532" s="18">
        <v>362.1</v>
      </c>
      <c r="T532" s="18">
        <v>296.8</v>
      </c>
      <c r="U532" s="16"/>
      <c r="V532" s="16"/>
      <c r="W532" s="16" t="s">
        <v>40</v>
      </c>
      <c r="X532" s="19">
        <v>7.3999999999999996E-2</v>
      </c>
      <c r="Y532" s="20">
        <v>5.4600000000000004E-4</v>
      </c>
      <c r="Z532" s="21">
        <v>4601004152939</v>
      </c>
    </row>
    <row r="533" spans="1:26" ht="12" customHeight="1" outlineLevel="3" x14ac:dyDescent="0.2">
      <c r="A533" s="14" t="s">
        <v>1078</v>
      </c>
      <c r="B533" s="26" t="s">
        <v>1079</v>
      </c>
      <c r="C533" s="52"/>
      <c r="D533" s="55">
        <f t="shared" si="8"/>
        <v>0</v>
      </c>
      <c r="E533" s="63" t="str">
        <f>HYPERLINK("https://www.sds-group.ru/product/shnur-setevoy-s-napolnym-pereklyuchatelem-2h0-75-mm-2-5m-belyy-rexant-11-1145/", "Инфо")</f>
        <v>Инфо</v>
      </c>
      <c r="F533" s="16" t="s">
        <v>39</v>
      </c>
      <c r="G533" s="15"/>
      <c r="H533" s="15"/>
      <c r="I533" s="15"/>
      <c r="J533" s="17">
        <v>591</v>
      </c>
      <c r="K533" s="15" t="s">
        <v>1004</v>
      </c>
      <c r="L533" s="17">
        <v>5</v>
      </c>
      <c r="M533" s="17">
        <v>150</v>
      </c>
      <c r="N533" s="17">
        <v>5</v>
      </c>
      <c r="O533" s="18">
        <v>286.39999999999998</v>
      </c>
      <c r="P533" s="18">
        <v>234.75</v>
      </c>
      <c r="Q533" s="18">
        <v>229.12</v>
      </c>
      <c r="R533" s="18">
        <v>187.8</v>
      </c>
      <c r="S533" s="18">
        <v>194.75</v>
      </c>
      <c r="T533" s="18">
        <v>159.63</v>
      </c>
      <c r="U533" s="16"/>
      <c r="V533" s="16"/>
      <c r="W533" s="16" t="s">
        <v>40</v>
      </c>
      <c r="X533" s="19">
        <v>0.11</v>
      </c>
      <c r="Y533" s="20">
        <v>3.97E-4</v>
      </c>
      <c r="Z533" s="21">
        <v>4601004153059</v>
      </c>
    </row>
    <row r="534" spans="1:26" ht="12" customHeight="1" outlineLevel="3" x14ac:dyDescent="0.2">
      <c r="A534" s="14" t="s">
        <v>1080</v>
      </c>
      <c r="B534" s="26" t="s">
        <v>1081</v>
      </c>
      <c r="C534" s="52"/>
      <c r="D534" s="55">
        <f t="shared" si="8"/>
        <v>0</v>
      </c>
      <c r="E534" s="63" t="str">
        <f>HYPERLINK("https://www.sds-group.ru/product/shnur-setevoy-s-napolnym-pereklyuchatelem-2h0-75-mm-2-5m-chernyy-rexant-11-1144/", "Инфо")</f>
        <v>Инфо</v>
      </c>
      <c r="F534" s="16" t="s">
        <v>39</v>
      </c>
      <c r="G534" s="15"/>
      <c r="H534" s="15"/>
      <c r="I534" s="15"/>
      <c r="J534" s="17">
        <v>180</v>
      </c>
      <c r="K534" s="15" t="s">
        <v>1035</v>
      </c>
      <c r="L534" s="17">
        <v>5</v>
      </c>
      <c r="M534" s="17">
        <v>150</v>
      </c>
      <c r="N534" s="17">
        <v>5</v>
      </c>
      <c r="O534" s="18">
        <v>358.33</v>
      </c>
      <c r="P534" s="18">
        <v>293.70999999999998</v>
      </c>
      <c r="Q534" s="18">
        <v>286.66000000000003</v>
      </c>
      <c r="R534" s="18">
        <v>234.97</v>
      </c>
      <c r="S534" s="18">
        <v>243.66</v>
      </c>
      <c r="T534" s="18">
        <v>199.72</v>
      </c>
      <c r="U534" s="16"/>
      <c r="V534" s="16"/>
      <c r="W534" s="16" t="s">
        <v>40</v>
      </c>
      <c r="X534" s="19">
        <v>0.113</v>
      </c>
      <c r="Y534" s="20">
        <v>3.5799999999999997E-4</v>
      </c>
      <c r="Z534" s="21">
        <v>4601004153035</v>
      </c>
    </row>
    <row r="535" spans="1:26" ht="12" customHeight="1" outlineLevel="3" x14ac:dyDescent="0.2">
      <c r="A535" s="14" t="s">
        <v>1082</v>
      </c>
      <c r="B535" s="26" t="s">
        <v>1083</v>
      </c>
      <c r="C535" s="52"/>
      <c r="D535" s="55">
        <f t="shared" si="8"/>
        <v>0</v>
      </c>
      <c r="E535" s="63" t="str">
        <f>HYPERLINK("https://www.sds-group.ru/product/shnur-setevoy-vilka-ploskaya-bez-rozetki-kabel-2x0-5-mm-1-5m-belyy-rexant-11-1111/", "Инфо")</f>
        <v>Инфо</v>
      </c>
      <c r="F535" s="16" t="s">
        <v>39</v>
      </c>
      <c r="G535" s="15"/>
      <c r="H535" s="15"/>
      <c r="I535" s="15"/>
      <c r="J535" s="22">
        <v>39715</v>
      </c>
      <c r="K535" s="15" t="s">
        <v>1004</v>
      </c>
      <c r="L535" s="17">
        <v>50</v>
      </c>
      <c r="M535" s="17">
        <v>400</v>
      </c>
      <c r="N535" s="17">
        <v>50</v>
      </c>
      <c r="O535" s="18">
        <v>119.81</v>
      </c>
      <c r="P535" s="18">
        <v>98.2</v>
      </c>
      <c r="Q535" s="18">
        <v>101.84</v>
      </c>
      <c r="R535" s="18">
        <v>83.48</v>
      </c>
      <c r="S535" s="18">
        <v>81.47</v>
      </c>
      <c r="T535" s="18">
        <v>66.78</v>
      </c>
      <c r="U535" s="16"/>
      <c r="V535" s="16"/>
      <c r="W535" s="16" t="s">
        <v>40</v>
      </c>
      <c r="X535" s="19">
        <v>5.2999999999999999E-2</v>
      </c>
      <c r="Y535" s="20">
        <v>1.18E-4</v>
      </c>
      <c r="Z535" s="21">
        <v>4601004084797</v>
      </c>
    </row>
    <row r="536" spans="1:26" ht="12" customHeight="1" outlineLevel="3" x14ac:dyDescent="0.2">
      <c r="A536" s="14" t="s">
        <v>1084</v>
      </c>
      <c r="B536" s="26" t="s">
        <v>1085</v>
      </c>
      <c r="C536" s="52"/>
      <c r="D536" s="55">
        <f t="shared" si="8"/>
        <v>0</v>
      </c>
      <c r="E536" s="63" t="str">
        <f>HYPERLINK("https://www.sds-group.ru/product/shnur-setevoy-vilka-ploskaya-bez-rozetki-kabel-2x0-5-mm-1-8m-belyy-rexant-11-1112/", "Инфо")</f>
        <v>Инфо</v>
      </c>
      <c r="F536" s="16" t="s">
        <v>39</v>
      </c>
      <c r="G536" s="15"/>
      <c r="H536" s="15"/>
      <c r="I536" s="15"/>
      <c r="J536" s="22">
        <v>14850</v>
      </c>
      <c r="K536" s="15" t="s">
        <v>998</v>
      </c>
      <c r="L536" s="17">
        <v>50</v>
      </c>
      <c r="M536" s="17">
        <v>300</v>
      </c>
      <c r="N536" s="17">
        <v>50</v>
      </c>
      <c r="O536" s="18">
        <v>121.49</v>
      </c>
      <c r="P536" s="18">
        <v>99.58</v>
      </c>
      <c r="Q536" s="18">
        <v>103.27</v>
      </c>
      <c r="R536" s="18">
        <v>84.65</v>
      </c>
      <c r="S536" s="18">
        <v>82.61</v>
      </c>
      <c r="T536" s="18">
        <v>67.709999999999994</v>
      </c>
      <c r="U536" s="16"/>
      <c r="V536" s="16"/>
      <c r="W536" s="16" t="s">
        <v>40</v>
      </c>
      <c r="X536" s="19">
        <v>5.7000000000000002E-2</v>
      </c>
      <c r="Y536" s="20">
        <v>1.11E-4</v>
      </c>
      <c r="Z536" s="21">
        <v>4601004084773</v>
      </c>
    </row>
    <row r="537" spans="1:26" ht="12" customHeight="1" outlineLevel="3" x14ac:dyDescent="0.2">
      <c r="A537" s="14" t="s">
        <v>1086</v>
      </c>
      <c r="B537" s="26" t="s">
        <v>1087</v>
      </c>
      <c r="C537" s="52"/>
      <c r="D537" s="55">
        <f t="shared" si="8"/>
        <v>0</v>
      </c>
      <c r="E537" s="63" t="str">
        <f>HYPERLINK("https://www.sds-group.ru/product/shnur-setevoy-vilka-ploskaya-s-vyklyuchatelem-bez-rozetki-kabel-2x0-5-mm-1-8m-2-5a-belyy-rex-11-1115/", "Инфо")</f>
        <v>Инфо</v>
      </c>
      <c r="F537" s="16" t="s">
        <v>39</v>
      </c>
      <c r="G537" s="15"/>
      <c r="H537" s="15"/>
      <c r="I537" s="15"/>
      <c r="J537" s="22">
        <v>8975</v>
      </c>
      <c r="K537" s="15" t="s">
        <v>998</v>
      </c>
      <c r="L537" s="17">
        <v>10</v>
      </c>
      <c r="M537" s="17">
        <v>300</v>
      </c>
      <c r="N537" s="17">
        <v>10</v>
      </c>
      <c r="O537" s="18">
        <v>220.19</v>
      </c>
      <c r="P537" s="18">
        <v>180.48</v>
      </c>
      <c r="Q537" s="18">
        <v>187.16</v>
      </c>
      <c r="R537" s="18">
        <v>153.41</v>
      </c>
      <c r="S537" s="18">
        <v>149.72999999999999</v>
      </c>
      <c r="T537" s="18">
        <v>122.73</v>
      </c>
      <c r="U537" s="16"/>
      <c r="V537" s="16"/>
      <c r="W537" s="16" t="s">
        <v>40</v>
      </c>
      <c r="X537" s="19">
        <v>6.9000000000000006E-2</v>
      </c>
      <c r="Y537" s="20">
        <v>1.6100000000000001E-4</v>
      </c>
      <c r="Z537" s="21">
        <v>4601004084780</v>
      </c>
    </row>
    <row r="538" spans="1:26" ht="12" customHeight="1" outlineLevel="3" x14ac:dyDescent="0.2">
      <c r="A538" s="32" t="s">
        <v>1088</v>
      </c>
      <c r="B538" s="74" t="s">
        <v>1089</v>
      </c>
      <c r="C538" s="50"/>
      <c r="D538" s="53">
        <f t="shared" si="8"/>
        <v>0</v>
      </c>
      <c r="E538" s="60" t="str">
        <f>HYPERLINK("https://www.sds-group.ru/product/shnur-elektricheskiy-s-vilkoy-pvs-2h0-75-mm2-1-5m-cherniy-rexant-29519/", "Инфо")</f>
        <v>Инфо</v>
      </c>
      <c r="F538" s="34" t="s">
        <v>39</v>
      </c>
      <c r="G538" s="33"/>
      <c r="H538" s="33" t="s">
        <v>40</v>
      </c>
      <c r="I538" s="33"/>
      <c r="J538" s="35">
        <v>1</v>
      </c>
      <c r="K538" s="33"/>
      <c r="L538" s="35">
        <v>1</v>
      </c>
      <c r="M538" s="35">
        <v>50</v>
      </c>
      <c r="N538" s="35">
        <v>1</v>
      </c>
      <c r="O538" s="36">
        <v>247.25</v>
      </c>
      <c r="P538" s="36">
        <v>202.66</v>
      </c>
      <c r="Q538" s="36">
        <v>210.16</v>
      </c>
      <c r="R538" s="36">
        <v>172.26</v>
      </c>
      <c r="S538" s="36">
        <v>168.13</v>
      </c>
      <c r="T538" s="36">
        <v>137.81</v>
      </c>
      <c r="U538" s="34"/>
      <c r="V538" s="34"/>
      <c r="W538" s="34" t="s">
        <v>40</v>
      </c>
      <c r="X538" s="37">
        <v>0.11</v>
      </c>
      <c r="Y538" s="38">
        <v>6.1700000000000004E-4</v>
      </c>
      <c r="Z538" s="21">
        <v>4601004273276</v>
      </c>
    </row>
    <row r="539" spans="1:26" ht="12" customHeight="1" outlineLevel="3" x14ac:dyDescent="0.2">
      <c r="A539" s="14" t="s">
        <v>1090</v>
      </c>
      <c r="B539" s="26" t="s">
        <v>1091</v>
      </c>
      <c r="C539" s="52"/>
      <c r="D539" s="55">
        <f t="shared" si="8"/>
        <v>0</v>
      </c>
      <c r="E539" s="63" t="str">
        <f>HYPERLINK("https://www.sds-group.ru/product/shnur-elektricheskiy-s-vilkoy-pvs-2h0-75-mm-2m-belyy-rexant-11-1306/", "Инфо")</f>
        <v>Инфо</v>
      </c>
      <c r="F539" s="16" t="s">
        <v>39</v>
      </c>
      <c r="G539" s="15"/>
      <c r="H539" s="15"/>
      <c r="I539" s="15"/>
      <c r="J539" s="17">
        <v>7</v>
      </c>
      <c r="K539" s="15"/>
      <c r="L539" s="17">
        <v>5</v>
      </c>
      <c r="M539" s="17">
        <v>40</v>
      </c>
      <c r="N539" s="17">
        <v>5</v>
      </c>
      <c r="O539" s="18">
        <v>330.85</v>
      </c>
      <c r="P539" s="18">
        <v>271.19</v>
      </c>
      <c r="Q539" s="18">
        <v>281.22000000000003</v>
      </c>
      <c r="R539" s="18">
        <v>230.51</v>
      </c>
      <c r="S539" s="18">
        <v>224.98</v>
      </c>
      <c r="T539" s="18">
        <v>184.41</v>
      </c>
      <c r="U539" s="16"/>
      <c r="V539" s="16"/>
      <c r="W539" s="16" t="s">
        <v>40</v>
      </c>
      <c r="X539" s="19">
        <v>0.13800000000000001</v>
      </c>
      <c r="Y539" s="20">
        <v>6.7699999999999998E-4</v>
      </c>
      <c r="Z539" s="21">
        <v>4601004273269</v>
      </c>
    </row>
    <row r="540" spans="1:26" ht="12" customHeight="1" outlineLevel="3" x14ac:dyDescent="0.2">
      <c r="A540" s="14" t="s">
        <v>1092</v>
      </c>
      <c r="B540" s="26" t="s">
        <v>1093</v>
      </c>
      <c r="C540" s="52"/>
      <c r="D540" s="55">
        <f t="shared" si="8"/>
        <v>0</v>
      </c>
      <c r="E540" s="63" t="str">
        <f>HYPERLINK("https://www.sds-group.ru/product/shnur-elektricheskiy-s-vilkoy-pvs-3h0-75-mm-1-5m-chernyy-rexant-11-1313/", "Инфо")</f>
        <v>Инфо</v>
      </c>
      <c r="F540" s="16" t="s">
        <v>39</v>
      </c>
      <c r="G540" s="15"/>
      <c r="H540" s="15"/>
      <c r="I540" s="15"/>
      <c r="J540" s="16" t="s">
        <v>100</v>
      </c>
      <c r="K540" s="15" t="s">
        <v>1094</v>
      </c>
      <c r="L540" s="17">
        <v>5</v>
      </c>
      <c r="M540" s="17">
        <v>45</v>
      </c>
      <c r="N540" s="17">
        <v>5</v>
      </c>
      <c r="O540" s="18">
        <v>285.63</v>
      </c>
      <c r="P540" s="18">
        <v>234.12</v>
      </c>
      <c r="Q540" s="18">
        <v>242.79</v>
      </c>
      <c r="R540" s="18">
        <v>199.01</v>
      </c>
      <c r="S540" s="18">
        <v>194.23</v>
      </c>
      <c r="T540" s="18">
        <v>159.19999999999999</v>
      </c>
      <c r="U540" s="16"/>
      <c r="V540" s="16"/>
      <c r="W540" s="16" t="s">
        <v>40</v>
      </c>
      <c r="X540" s="19">
        <v>0.13</v>
      </c>
      <c r="Y540" s="20">
        <v>6.7199999999999996E-4</v>
      </c>
      <c r="Z540" s="21">
        <v>4601004273351</v>
      </c>
    </row>
    <row r="541" spans="1:26" ht="12" customHeight="1" outlineLevel="3" x14ac:dyDescent="0.2">
      <c r="A541" s="14" t="s">
        <v>1095</v>
      </c>
      <c r="B541" s="26" t="s">
        <v>1096</v>
      </c>
      <c r="C541" s="52"/>
      <c r="D541" s="55">
        <f t="shared" si="8"/>
        <v>0</v>
      </c>
      <c r="E541" s="63" t="str">
        <f>HYPERLINK("https://www.sds-group.ru/product/shnur-elektricheskiy-s-vilkoy-pvs-3h0-75-mm-2m-belyy-rexant-11-1314/", "Инфо")</f>
        <v>Инфо</v>
      </c>
      <c r="F541" s="16" t="s">
        <v>39</v>
      </c>
      <c r="G541" s="15"/>
      <c r="H541" s="15"/>
      <c r="I541" s="15"/>
      <c r="J541" s="17">
        <v>185</v>
      </c>
      <c r="K541" s="15"/>
      <c r="L541" s="17">
        <v>5</v>
      </c>
      <c r="M541" s="17">
        <v>40</v>
      </c>
      <c r="N541" s="17">
        <v>5</v>
      </c>
      <c r="O541" s="18">
        <v>332.03</v>
      </c>
      <c r="P541" s="18">
        <v>272.16000000000003</v>
      </c>
      <c r="Q541" s="18">
        <v>282.23</v>
      </c>
      <c r="R541" s="18">
        <v>231.34</v>
      </c>
      <c r="S541" s="18">
        <v>225.78</v>
      </c>
      <c r="T541" s="18">
        <v>185.07</v>
      </c>
      <c r="U541" s="16"/>
      <c r="V541" s="16"/>
      <c r="W541" s="16" t="s">
        <v>40</v>
      </c>
      <c r="X541" s="19">
        <v>0.159</v>
      </c>
      <c r="Y541" s="20">
        <v>7.6300000000000001E-4</v>
      </c>
      <c r="Z541" s="21">
        <v>4601004273368</v>
      </c>
    </row>
    <row r="542" spans="1:26" ht="12" customHeight="1" outlineLevel="3" x14ac:dyDescent="0.2">
      <c r="A542" s="14" t="s">
        <v>1097</v>
      </c>
      <c r="B542" s="26" t="s">
        <v>1098</v>
      </c>
      <c r="C542" s="52"/>
      <c r="D542" s="55">
        <f t="shared" si="8"/>
        <v>0</v>
      </c>
      <c r="E542" s="63" t="str">
        <f>HYPERLINK("https://www.sds-group.ru/product/shnur-elektricheskiy-s-vilkoy-pvs-3h0-75-mm-2m-chernyy-rexant-11-1315/", "Инфо")</f>
        <v>Инфо</v>
      </c>
      <c r="F542" s="16" t="s">
        <v>39</v>
      </c>
      <c r="G542" s="15"/>
      <c r="H542" s="15"/>
      <c r="I542" s="15"/>
      <c r="J542" s="17">
        <v>265</v>
      </c>
      <c r="K542" s="15" t="s">
        <v>1094</v>
      </c>
      <c r="L542" s="17">
        <v>5</v>
      </c>
      <c r="M542" s="17">
        <v>40</v>
      </c>
      <c r="N542" s="17">
        <v>5</v>
      </c>
      <c r="O542" s="18">
        <v>350.32</v>
      </c>
      <c r="P542" s="18">
        <v>287.14999999999998</v>
      </c>
      <c r="Q542" s="18">
        <v>297.77</v>
      </c>
      <c r="R542" s="18">
        <v>244.07</v>
      </c>
      <c r="S542" s="18">
        <v>238.22</v>
      </c>
      <c r="T542" s="18">
        <v>195.26</v>
      </c>
      <c r="U542" s="16"/>
      <c r="V542" s="16"/>
      <c r="W542" s="16" t="s">
        <v>40</v>
      </c>
      <c r="X542" s="19">
        <v>0.14599999999999999</v>
      </c>
      <c r="Y542" s="20">
        <v>7.7800000000000015E-4</v>
      </c>
      <c r="Z542" s="21">
        <v>4601004273375</v>
      </c>
    </row>
    <row r="543" spans="1:26" ht="12" customHeight="1" outlineLevel="3" x14ac:dyDescent="0.2">
      <c r="A543" s="14" t="s">
        <v>1099</v>
      </c>
      <c r="B543" s="26" t="s">
        <v>1100</v>
      </c>
      <c r="C543" s="52"/>
      <c r="D543" s="55">
        <f t="shared" si="8"/>
        <v>0</v>
      </c>
      <c r="E543" s="63" t="str">
        <f>HYPERLINK("https://www.sds-group.ru/product/shnur-elektricheskiy-s-vilkoy-pvs-3h0-75-mm-3m-chernyy-rexant-11-1311/", "Инфо")</f>
        <v>Инфо</v>
      </c>
      <c r="F543" s="16" t="s">
        <v>39</v>
      </c>
      <c r="G543" s="15"/>
      <c r="H543" s="15"/>
      <c r="I543" s="15"/>
      <c r="J543" s="17">
        <v>249</v>
      </c>
      <c r="K543" s="15"/>
      <c r="L543" s="17">
        <v>5</v>
      </c>
      <c r="M543" s="17">
        <v>40</v>
      </c>
      <c r="N543" s="17">
        <v>5</v>
      </c>
      <c r="O543" s="18">
        <v>458.08</v>
      </c>
      <c r="P543" s="18">
        <v>375.48</v>
      </c>
      <c r="Q543" s="18">
        <v>389.37</v>
      </c>
      <c r="R543" s="18">
        <v>319.16000000000003</v>
      </c>
      <c r="S543" s="18">
        <v>311.49</v>
      </c>
      <c r="T543" s="18">
        <v>255.32</v>
      </c>
      <c r="U543" s="16"/>
      <c r="V543" s="16"/>
      <c r="W543" s="16" t="s">
        <v>40</v>
      </c>
      <c r="X543" s="19">
        <v>0.215</v>
      </c>
      <c r="Y543" s="20">
        <v>7.5699999999999997E-4</v>
      </c>
      <c r="Z543" s="21">
        <v>4601004273320</v>
      </c>
    </row>
    <row r="544" spans="1:26" ht="12" customHeight="1" outlineLevel="3" x14ac:dyDescent="0.2">
      <c r="A544" s="14" t="s">
        <v>1101</v>
      </c>
      <c r="B544" s="26" t="s">
        <v>1102</v>
      </c>
      <c r="C544" s="52"/>
      <c r="D544" s="55">
        <f t="shared" si="8"/>
        <v>0</v>
      </c>
      <c r="E544" s="63" t="str">
        <f>HYPERLINK("https://www.sds-group.ru/product/shnur-elektricheskiy-s-vilkoy-pvs-3h0-75-mm-5m-chernyy-rexant-11-1309/", "Инфо")</f>
        <v>Инфо</v>
      </c>
      <c r="F544" s="16" t="s">
        <v>39</v>
      </c>
      <c r="G544" s="15"/>
      <c r="H544" s="15"/>
      <c r="I544" s="15"/>
      <c r="J544" s="16" t="s">
        <v>100</v>
      </c>
      <c r="K544" s="15" t="s">
        <v>1094</v>
      </c>
      <c r="L544" s="17">
        <v>1</v>
      </c>
      <c r="M544" s="17">
        <v>35</v>
      </c>
      <c r="N544" s="17">
        <v>1</v>
      </c>
      <c r="O544" s="18">
        <v>641.41</v>
      </c>
      <c r="P544" s="18">
        <v>525.75</v>
      </c>
      <c r="Q544" s="18">
        <v>513.13</v>
      </c>
      <c r="R544" s="18">
        <v>420.6</v>
      </c>
      <c r="S544" s="18">
        <v>436.16</v>
      </c>
      <c r="T544" s="18">
        <v>357.51</v>
      </c>
      <c r="U544" s="16"/>
      <c r="V544" s="16"/>
      <c r="W544" s="16" t="s">
        <v>40</v>
      </c>
      <c r="X544" s="19">
        <v>0.32700000000000001</v>
      </c>
      <c r="Y544" s="20">
        <v>8.83E-4</v>
      </c>
      <c r="Z544" s="21">
        <v>4601004273313</v>
      </c>
    </row>
    <row r="545" spans="1:26" ht="12" customHeight="1" outlineLevel="3" x14ac:dyDescent="0.2">
      <c r="A545" s="14" t="s">
        <v>1103</v>
      </c>
      <c r="B545" s="26" t="s">
        <v>1104</v>
      </c>
      <c r="C545" s="52"/>
      <c r="D545" s="55">
        <f t="shared" si="8"/>
        <v>0</v>
      </c>
      <c r="E545" s="63" t="str">
        <f>HYPERLINK("https://www.sds-group.ru/product/shnur-elektricheskiy-s-vilkoy-pvs-3h1-0-mm-3m-chernyy-rexant-11-1320/", "Инфо")</f>
        <v>Инфо</v>
      </c>
      <c r="F545" s="16" t="s">
        <v>39</v>
      </c>
      <c r="G545" s="15"/>
      <c r="H545" s="15"/>
      <c r="I545" s="15"/>
      <c r="J545" s="17">
        <v>80</v>
      </c>
      <c r="K545" s="15" t="s">
        <v>1094</v>
      </c>
      <c r="L545" s="17">
        <v>5</v>
      </c>
      <c r="M545" s="17">
        <v>35</v>
      </c>
      <c r="N545" s="17">
        <v>5</v>
      </c>
      <c r="O545" s="18">
        <v>511.04</v>
      </c>
      <c r="P545" s="18">
        <v>418.89</v>
      </c>
      <c r="Q545" s="18">
        <v>408.83</v>
      </c>
      <c r="R545" s="18">
        <v>335.11</v>
      </c>
      <c r="S545" s="18">
        <v>347.51</v>
      </c>
      <c r="T545" s="18">
        <v>284.83999999999997</v>
      </c>
      <c r="U545" s="16"/>
      <c r="V545" s="16"/>
      <c r="W545" s="16" t="s">
        <v>40</v>
      </c>
      <c r="X545" s="19">
        <v>0.252</v>
      </c>
      <c r="Y545" s="20">
        <v>8.9400000000000005E-4</v>
      </c>
      <c r="Z545" s="21">
        <v>4601004273344</v>
      </c>
    </row>
    <row r="546" spans="1:26" ht="12" customHeight="1" outlineLevel="3" x14ac:dyDescent="0.2">
      <c r="A546" s="32" t="s">
        <v>1105</v>
      </c>
      <c r="B546" s="74" t="s">
        <v>1106</v>
      </c>
      <c r="C546" s="50"/>
      <c r="D546" s="53">
        <f t="shared" si="8"/>
        <v>0</v>
      </c>
      <c r="E546" s="60" t="str">
        <f>HYPERLINK("https://www.sds-group.ru/product/shnur-elektricheskiy-s-vilkoy-pvs-3h1-0-mm-5m-chernyy-rexant-11-1322/", "Инфо")</f>
        <v>Инфо</v>
      </c>
      <c r="F546" s="34" t="s">
        <v>39</v>
      </c>
      <c r="G546" s="33"/>
      <c r="H546" s="33" t="s">
        <v>40</v>
      </c>
      <c r="I546" s="33"/>
      <c r="J546" s="35">
        <v>63</v>
      </c>
      <c r="K546" s="33"/>
      <c r="L546" s="35">
        <v>1</v>
      </c>
      <c r="M546" s="35">
        <v>30</v>
      </c>
      <c r="N546" s="35">
        <v>1</v>
      </c>
      <c r="O546" s="36">
        <v>762.51</v>
      </c>
      <c r="P546" s="36">
        <v>625.01</v>
      </c>
      <c r="Q546" s="36">
        <v>610.01</v>
      </c>
      <c r="R546" s="36">
        <v>500.01</v>
      </c>
      <c r="S546" s="36">
        <v>518.51</v>
      </c>
      <c r="T546" s="36">
        <v>425.01</v>
      </c>
      <c r="U546" s="34"/>
      <c r="V546" s="34"/>
      <c r="W546" s="34" t="s">
        <v>40</v>
      </c>
      <c r="X546" s="37">
        <v>0.34799999999999998</v>
      </c>
      <c r="Y546" s="38">
        <v>1.983E-3</v>
      </c>
      <c r="Z546" s="21">
        <v>4601004273443</v>
      </c>
    </row>
    <row r="547" spans="1:26" ht="12" customHeight="1" outlineLevel="3" x14ac:dyDescent="0.2">
      <c r="A547" s="14" t="s">
        <v>1107</v>
      </c>
      <c r="B547" s="26" t="s">
        <v>1108</v>
      </c>
      <c r="C547" s="52"/>
      <c r="D547" s="55">
        <f t="shared" si="8"/>
        <v>0</v>
      </c>
      <c r="E547" s="63" t="str">
        <f>HYPERLINK("https://www.sds-group.ru/product/shnur-elektricheskiy-s-vilkoy-pvs-3h1-5-mm-1-5m-belyy-rexant-11-1323/", "Инфо")</f>
        <v>Инфо</v>
      </c>
      <c r="F547" s="16" t="s">
        <v>39</v>
      </c>
      <c r="G547" s="15"/>
      <c r="H547" s="15"/>
      <c r="I547" s="15"/>
      <c r="J547" s="17">
        <v>41</v>
      </c>
      <c r="K547" s="15" t="s">
        <v>1094</v>
      </c>
      <c r="L547" s="17">
        <v>5</v>
      </c>
      <c r="M547" s="17">
        <v>35</v>
      </c>
      <c r="N547" s="17">
        <v>5</v>
      </c>
      <c r="O547" s="18">
        <v>380.71</v>
      </c>
      <c r="P547" s="18">
        <v>312.06</v>
      </c>
      <c r="Q547" s="18">
        <v>323.60000000000002</v>
      </c>
      <c r="R547" s="18">
        <v>265.25</v>
      </c>
      <c r="S547" s="18">
        <v>258.88</v>
      </c>
      <c r="T547" s="18">
        <v>212.2</v>
      </c>
      <c r="U547" s="16"/>
      <c r="V547" s="16"/>
      <c r="W547" s="16" t="s">
        <v>40</v>
      </c>
      <c r="X547" s="19">
        <v>0.17899999999999999</v>
      </c>
      <c r="Y547" s="20">
        <v>8.7799999999999998E-4</v>
      </c>
      <c r="Z547" s="21">
        <v>4601004273436</v>
      </c>
    </row>
    <row r="548" spans="1:26" ht="12" customHeight="1" outlineLevel="3" x14ac:dyDescent="0.2">
      <c r="A548" s="14" t="s">
        <v>1109</v>
      </c>
      <c r="B548" s="26" t="s">
        <v>1110</v>
      </c>
      <c r="C548" s="52"/>
      <c r="D548" s="55">
        <f t="shared" si="8"/>
        <v>0</v>
      </c>
      <c r="E548" s="63" t="str">
        <f>HYPERLINK("https://www.sds-group.ru/product/shnur-elektricheskiy-s-vilkoy-pvs-3h1-5-mm-1-5m-chernyy-rexant-11-1324/", "Инфо")</f>
        <v>Инфо</v>
      </c>
      <c r="F548" s="16" t="s">
        <v>39</v>
      </c>
      <c r="G548" s="15"/>
      <c r="H548" s="15"/>
      <c r="I548" s="15"/>
      <c r="J548" s="17">
        <v>757</v>
      </c>
      <c r="K548" s="15" t="s">
        <v>1094</v>
      </c>
      <c r="L548" s="17">
        <v>5</v>
      </c>
      <c r="M548" s="17">
        <v>35</v>
      </c>
      <c r="N548" s="17">
        <v>5</v>
      </c>
      <c r="O548" s="18">
        <v>380.71</v>
      </c>
      <c r="P548" s="18">
        <v>312.06</v>
      </c>
      <c r="Q548" s="18">
        <v>323.60000000000002</v>
      </c>
      <c r="R548" s="18">
        <v>265.25</v>
      </c>
      <c r="S548" s="18">
        <v>258.88</v>
      </c>
      <c r="T548" s="18">
        <v>212.2</v>
      </c>
      <c r="U548" s="16"/>
      <c r="V548" s="16"/>
      <c r="W548" s="16" t="s">
        <v>40</v>
      </c>
      <c r="X548" s="19">
        <v>0.16900000000000001</v>
      </c>
      <c r="Y548" s="20">
        <v>8.6399999999999997E-4</v>
      </c>
      <c r="Z548" s="21">
        <v>4601004273450</v>
      </c>
    </row>
    <row r="549" spans="1:26" ht="12" customHeight="1" outlineLevel="3" x14ac:dyDescent="0.2">
      <c r="A549" s="14" t="s">
        <v>1111</v>
      </c>
      <c r="B549" s="26" t="s">
        <v>1112</v>
      </c>
      <c r="C549" s="52"/>
      <c r="D549" s="55">
        <f t="shared" si="8"/>
        <v>0</v>
      </c>
      <c r="E549" s="63" t="str">
        <f>HYPERLINK("https://www.sds-group.ru/product/shnur-elektricheskiy-s-vilkoy-pvs-3h1-5-mm-2m-belyy-rexant-11-1327/", "Инфо")</f>
        <v>Инфо</v>
      </c>
      <c r="F549" s="16" t="s">
        <v>39</v>
      </c>
      <c r="G549" s="15"/>
      <c r="H549" s="15"/>
      <c r="I549" s="15"/>
      <c r="J549" s="17">
        <v>146</v>
      </c>
      <c r="K549" s="15"/>
      <c r="L549" s="17">
        <v>5</v>
      </c>
      <c r="M549" s="17">
        <v>30</v>
      </c>
      <c r="N549" s="17">
        <v>5</v>
      </c>
      <c r="O549" s="18">
        <v>479.48</v>
      </c>
      <c r="P549" s="18">
        <v>393.02</v>
      </c>
      <c r="Q549" s="18">
        <v>383.58</v>
      </c>
      <c r="R549" s="18">
        <v>314.41000000000003</v>
      </c>
      <c r="S549" s="18">
        <v>326.05</v>
      </c>
      <c r="T549" s="18">
        <v>267.25</v>
      </c>
      <c r="U549" s="16"/>
      <c r="V549" s="16"/>
      <c r="W549" s="16" t="s">
        <v>40</v>
      </c>
      <c r="X549" s="19">
        <v>0.224</v>
      </c>
      <c r="Y549" s="20">
        <v>1.021E-3</v>
      </c>
      <c r="Z549" s="21">
        <v>4601004273498</v>
      </c>
    </row>
    <row r="550" spans="1:26" ht="12" customHeight="1" outlineLevel="3" x14ac:dyDescent="0.2">
      <c r="A550" s="14" t="s">
        <v>1113</v>
      </c>
      <c r="B550" s="26" t="s">
        <v>1114</v>
      </c>
      <c r="C550" s="52"/>
      <c r="D550" s="55">
        <f t="shared" si="8"/>
        <v>0</v>
      </c>
      <c r="E550" s="63" t="str">
        <f>HYPERLINK("https://www.sds-group.ru/product/shnur-elektricheskiy-s-vilkoy-pvs-3h1-5-mm-2m-chernyy-rexant-11-1328/", "Инфо")</f>
        <v>Инфо</v>
      </c>
      <c r="F550" s="16" t="s">
        <v>39</v>
      </c>
      <c r="G550" s="15"/>
      <c r="H550" s="15"/>
      <c r="I550" s="15"/>
      <c r="J550" s="17">
        <v>617</v>
      </c>
      <c r="K550" s="15" t="s">
        <v>1094</v>
      </c>
      <c r="L550" s="17">
        <v>5</v>
      </c>
      <c r="M550" s="17">
        <v>30</v>
      </c>
      <c r="N550" s="17">
        <v>5</v>
      </c>
      <c r="O550" s="18">
        <v>484.81</v>
      </c>
      <c r="P550" s="18">
        <v>397.39</v>
      </c>
      <c r="Q550" s="18">
        <v>387.85</v>
      </c>
      <c r="R550" s="18">
        <v>317.91000000000003</v>
      </c>
      <c r="S550" s="18">
        <v>329.67</v>
      </c>
      <c r="T550" s="18">
        <v>270.22000000000003</v>
      </c>
      <c r="U550" s="16"/>
      <c r="V550" s="16"/>
      <c r="W550" s="16" t="s">
        <v>40</v>
      </c>
      <c r="X550" s="19">
        <v>0.20499999999999999</v>
      </c>
      <c r="Y550" s="20">
        <v>1.041E-3</v>
      </c>
      <c r="Z550" s="21">
        <v>4601004273504</v>
      </c>
    </row>
    <row r="551" spans="1:26" ht="12" customHeight="1" outlineLevel="3" x14ac:dyDescent="0.2">
      <c r="A551" s="14" t="s">
        <v>1115</v>
      </c>
      <c r="B551" s="26" t="s">
        <v>1116</v>
      </c>
      <c r="C551" s="52"/>
      <c r="D551" s="55">
        <f t="shared" si="8"/>
        <v>0</v>
      </c>
      <c r="E551" s="63" t="str">
        <f>HYPERLINK("https://www.sds-group.ru/product/shnur-elektricheskiy-s-vilkoy-pvs-3h1-5-mm-3m-belyy-rexant-11-1325/", "Инфо")</f>
        <v>Инфо</v>
      </c>
      <c r="F551" s="16" t="s">
        <v>39</v>
      </c>
      <c r="G551" s="15"/>
      <c r="H551" s="15"/>
      <c r="I551" s="15"/>
      <c r="J551" s="17">
        <v>33</v>
      </c>
      <c r="K551" s="15" t="s">
        <v>1094</v>
      </c>
      <c r="L551" s="17">
        <v>1</v>
      </c>
      <c r="M551" s="17">
        <v>30</v>
      </c>
      <c r="N551" s="17">
        <v>1</v>
      </c>
      <c r="O551" s="18">
        <v>663.66</v>
      </c>
      <c r="P551" s="18">
        <v>543.98</v>
      </c>
      <c r="Q551" s="18">
        <v>530.92999999999995</v>
      </c>
      <c r="R551" s="18">
        <v>435.19</v>
      </c>
      <c r="S551" s="18">
        <v>451.29</v>
      </c>
      <c r="T551" s="18">
        <v>369.91</v>
      </c>
      <c r="U551" s="16"/>
      <c r="V551" s="16"/>
      <c r="W551" s="16" t="s">
        <v>40</v>
      </c>
      <c r="X551" s="19">
        <v>0.32600000000000001</v>
      </c>
      <c r="Y551" s="20">
        <v>1.0120000000000001E-3</v>
      </c>
      <c r="Z551" s="21">
        <v>4601004273474</v>
      </c>
    </row>
    <row r="552" spans="1:26" ht="12" customHeight="1" outlineLevel="3" x14ac:dyDescent="0.2">
      <c r="A552" s="14" t="s">
        <v>1117</v>
      </c>
      <c r="B552" s="26" t="s">
        <v>1118</v>
      </c>
      <c r="C552" s="52"/>
      <c r="D552" s="55">
        <f t="shared" si="8"/>
        <v>0</v>
      </c>
      <c r="E552" s="63" t="str">
        <f>HYPERLINK("https://www.sds-group.ru/product/shnur-elektricheskiy-s-vilkoy-pvs-3h1-5-mm-3m-chernyy-rexant-11-1326/", "Инфо")</f>
        <v>Инфо</v>
      </c>
      <c r="F552" s="16" t="s">
        <v>39</v>
      </c>
      <c r="G552" s="15"/>
      <c r="H552" s="15"/>
      <c r="I552" s="15"/>
      <c r="J552" s="17">
        <v>180</v>
      </c>
      <c r="K552" s="15" t="s">
        <v>1094</v>
      </c>
      <c r="L552" s="17">
        <v>1</v>
      </c>
      <c r="M552" s="17">
        <v>30</v>
      </c>
      <c r="N552" s="17">
        <v>1</v>
      </c>
      <c r="O552" s="18">
        <v>663.66</v>
      </c>
      <c r="P552" s="18">
        <v>543.98</v>
      </c>
      <c r="Q552" s="18">
        <v>530.92999999999995</v>
      </c>
      <c r="R552" s="18">
        <v>435.19</v>
      </c>
      <c r="S552" s="18">
        <v>451.29</v>
      </c>
      <c r="T552" s="18">
        <v>369.91</v>
      </c>
      <c r="U552" s="16"/>
      <c r="V552" s="16"/>
      <c r="W552" s="16" t="s">
        <v>40</v>
      </c>
      <c r="X552" s="19">
        <v>0.29399999999999998</v>
      </c>
      <c r="Y552" s="20">
        <v>1.0399999999999999E-3</v>
      </c>
      <c r="Z552" s="21">
        <v>4601004273467</v>
      </c>
    </row>
    <row r="553" spans="1:26" ht="12" customHeight="1" outlineLevel="3" x14ac:dyDescent="0.2">
      <c r="A553" s="14" t="s">
        <v>1119</v>
      </c>
      <c r="B553" s="26" t="s">
        <v>1120</v>
      </c>
      <c r="C553" s="52"/>
      <c r="D553" s="55">
        <f t="shared" si="8"/>
        <v>0</v>
      </c>
      <c r="E553" s="63" t="str">
        <f>HYPERLINK("https://www.sds-group.ru/product/shnur-elektricheskiy-s-vilkoy-pvs-3h1-5-mm-5m-belyy-rexant-11-1329/", "Инфо")</f>
        <v>Инфо</v>
      </c>
      <c r="F553" s="16" t="s">
        <v>39</v>
      </c>
      <c r="G553" s="15"/>
      <c r="H553" s="15"/>
      <c r="I553" s="15"/>
      <c r="J553" s="16" t="s">
        <v>100</v>
      </c>
      <c r="K553" s="15" t="s">
        <v>1094</v>
      </c>
      <c r="L553" s="17">
        <v>1</v>
      </c>
      <c r="M553" s="17">
        <v>25</v>
      </c>
      <c r="N553" s="17">
        <v>1</v>
      </c>
      <c r="O553" s="18">
        <v>1032.3599999999999</v>
      </c>
      <c r="P553" s="18">
        <v>846.2</v>
      </c>
      <c r="Q553" s="18">
        <v>825.89</v>
      </c>
      <c r="R553" s="18">
        <v>676.96</v>
      </c>
      <c r="S553" s="18">
        <v>702</v>
      </c>
      <c r="T553" s="18">
        <v>575.41</v>
      </c>
      <c r="U553" s="16"/>
      <c r="V553" s="16"/>
      <c r="W553" s="16" t="s">
        <v>40</v>
      </c>
      <c r="X553" s="19">
        <v>0.44400000000000001</v>
      </c>
      <c r="Y553" s="20">
        <v>1.2539999999999999E-3</v>
      </c>
      <c r="Z553" s="21">
        <v>4601004273511</v>
      </c>
    </row>
    <row r="554" spans="1:26" ht="12" customHeight="1" outlineLevel="3" x14ac:dyDescent="0.2">
      <c r="A554" s="14" t="s">
        <v>1121</v>
      </c>
      <c r="B554" s="26" t="s">
        <v>1122</v>
      </c>
      <c r="C554" s="52"/>
      <c r="D554" s="55">
        <f t="shared" si="8"/>
        <v>0</v>
      </c>
      <c r="E554" s="63" t="str">
        <f>HYPERLINK("https://www.sds-group.ru/product/shnur-elektricheskiy-s-vilkoy-pvs-3h1-5-mm-5m-chernyy-rexant-11-1330/", "Инфо")</f>
        <v>Инфо</v>
      </c>
      <c r="F554" s="16" t="s">
        <v>39</v>
      </c>
      <c r="G554" s="15"/>
      <c r="H554" s="15"/>
      <c r="I554" s="15"/>
      <c r="J554" s="16" t="s">
        <v>100</v>
      </c>
      <c r="K554" s="15" t="s">
        <v>1094</v>
      </c>
      <c r="L554" s="17">
        <v>1</v>
      </c>
      <c r="M554" s="17">
        <v>25</v>
      </c>
      <c r="N554" s="17">
        <v>1</v>
      </c>
      <c r="O554" s="18">
        <v>1032.3599999999999</v>
      </c>
      <c r="P554" s="18">
        <v>846.2</v>
      </c>
      <c r="Q554" s="18">
        <v>825.89</v>
      </c>
      <c r="R554" s="18">
        <v>676.96</v>
      </c>
      <c r="S554" s="18">
        <v>702</v>
      </c>
      <c r="T554" s="18">
        <v>575.41</v>
      </c>
      <c r="U554" s="16"/>
      <c r="V554" s="16"/>
      <c r="W554" s="16" t="s">
        <v>40</v>
      </c>
      <c r="X554" s="19">
        <v>0.443</v>
      </c>
      <c r="Y554" s="20">
        <v>1.603E-3</v>
      </c>
      <c r="Z554" s="21">
        <v>4601004273528</v>
      </c>
    </row>
    <row r="555" spans="1:26" ht="12.95" customHeight="1" outlineLevel="2" x14ac:dyDescent="0.2">
      <c r="A555" s="76" t="s">
        <v>1123</v>
      </c>
      <c r="B555" s="76"/>
      <c r="C555" s="77"/>
      <c r="D555" s="58"/>
      <c r="E555" s="68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</row>
    <row r="556" spans="1:26" ht="12" customHeight="1" outlineLevel="3" x14ac:dyDescent="0.2">
      <c r="A556" s="14" t="s">
        <v>1124</v>
      </c>
      <c r="B556" s="26" t="s">
        <v>1125</v>
      </c>
      <c r="C556" s="52"/>
      <c r="D556" s="55">
        <f t="shared" si="8"/>
        <v>0</v>
      </c>
      <c r="E556" s="63" t="str">
        <f>HYPERLINK("https://www.sds-group.ru/product/vyklyuchatel-klavishnyy-250-v-6-a-4s-on-off-krasnyy-s-podsvetkoy-i-shtekerom-c14-3pin-rexant-36-2282/", "Инфо")</f>
        <v>Инфо</v>
      </c>
      <c r="F556" s="16" t="s">
        <v>39</v>
      </c>
      <c r="G556" s="15"/>
      <c r="H556" s="15"/>
      <c r="I556" s="15"/>
      <c r="J556" s="17">
        <v>680</v>
      </c>
      <c r="K556" s="15" t="s">
        <v>1126</v>
      </c>
      <c r="L556" s="17">
        <v>10</v>
      </c>
      <c r="M556" s="17">
        <v>500</v>
      </c>
      <c r="N556" s="17">
        <v>10</v>
      </c>
      <c r="O556" s="18">
        <v>231.93</v>
      </c>
      <c r="P556" s="18">
        <v>190.11</v>
      </c>
      <c r="Q556" s="18">
        <v>197.14</v>
      </c>
      <c r="R556" s="18">
        <v>161.59</v>
      </c>
      <c r="S556" s="18">
        <v>157.71</v>
      </c>
      <c r="T556" s="18">
        <v>129.27000000000001</v>
      </c>
      <c r="U556" s="16"/>
      <c r="V556" s="16"/>
      <c r="W556" s="16" t="s">
        <v>40</v>
      </c>
      <c r="X556" s="19">
        <v>0.02</v>
      </c>
      <c r="Y556" s="20">
        <v>7.4999999999999993E-5</v>
      </c>
      <c r="Z556" s="21">
        <v>4601004133075</v>
      </c>
    </row>
    <row r="557" spans="1:26" ht="12" customHeight="1" outlineLevel="3" x14ac:dyDescent="0.2">
      <c r="A557" s="14" t="s">
        <v>1127</v>
      </c>
      <c r="B557" s="26" t="s">
        <v>1128</v>
      </c>
      <c r="C557" s="52"/>
      <c r="D557" s="55">
        <f t="shared" si="8"/>
        <v>0</v>
      </c>
      <c r="E557" s="63" t="str">
        <f>HYPERLINK("https://www.sds-group.ru/product/setevoe-gnezdo-na-korpus-papa-kontakt-rexant-11-0001/", "Инфо")</f>
        <v>Инфо</v>
      </c>
      <c r="F557" s="16" t="s">
        <v>39</v>
      </c>
      <c r="G557" s="15"/>
      <c r="H557" s="15"/>
      <c r="I557" s="15"/>
      <c r="J557" s="16" t="s">
        <v>100</v>
      </c>
      <c r="K557" s="15" t="s">
        <v>1035</v>
      </c>
      <c r="L557" s="17">
        <v>25</v>
      </c>
      <c r="M557" s="22">
        <v>1000</v>
      </c>
      <c r="N557" s="17">
        <v>25</v>
      </c>
      <c r="O557" s="18">
        <v>50.49</v>
      </c>
      <c r="P557" s="18">
        <v>41.39</v>
      </c>
      <c r="Q557" s="18">
        <v>42.92</v>
      </c>
      <c r="R557" s="18">
        <v>35.18</v>
      </c>
      <c r="S557" s="18">
        <v>34.33</v>
      </c>
      <c r="T557" s="18">
        <v>28.14</v>
      </c>
      <c r="U557" s="16"/>
      <c r="V557" s="16"/>
      <c r="W557" s="16" t="s">
        <v>40</v>
      </c>
      <c r="X557" s="19">
        <v>8.9999999999999993E-3</v>
      </c>
      <c r="Y557" s="20">
        <v>2.8E-5</v>
      </c>
      <c r="Z557" s="21">
        <v>4601004065505</v>
      </c>
    </row>
    <row r="558" spans="1:26" ht="12" customHeight="1" outlineLevel="3" x14ac:dyDescent="0.2">
      <c r="A558" s="14" t="s">
        <v>1129</v>
      </c>
      <c r="B558" s="26" t="s">
        <v>1130</v>
      </c>
      <c r="C558" s="52"/>
      <c r="D558" s="55">
        <f t="shared" si="8"/>
        <v>0</v>
      </c>
      <c r="E558" s="63" t="str">
        <f>HYPERLINK("https://www.sds-group.ru/product/setevoy-shteker-na-shnur-mama-kontakt-rexant-11-0004/", "Инфо")</f>
        <v>Инфо</v>
      </c>
      <c r="F558" s="16" t="s">
        <v>39</v>
      </c>
      <c r="G558" s="15"/>
      <c r="H558" s="15"/>
      <c r="I558" s="15"/>
      <c r="J558" s="22">
        <v>6350</v>
      </c>
      <c r="K558" s="15" t="s">
        <v>1131</v>
      </c>
      <c r="L558" s="17">
        <v>25</v>
      </c>
      <c r="M558" s="17">
        <v>500</v>
      </c>
      <c r="N558" s="17">
        <v>25</v>
      </c>
      <c r="O558" s="18">
        <v>46.81</v>
      </c>
      <c r="P558" s="18">
        <v>38.369999999999997</v>
      </c>
      <c r="Q558" s="18">
        <v>39.79</v>
      </c>
      <c r="R558" s="18">
        <v>32.61</v>
      </c>
      <c r="S558" s="18">
        <v>31.83</v>
      </c>
      <c r="T558" s="18">
        <v>26.09</v>
      </c>
      <c r="U558" s="16"/>
      <c r="V558" s="16"/>
      <c r="W558" s="16" t="s">
        <v>40</v>
      </c>
      <c r="X558" s="19">
        <v>1.6E-2</v>
      </c>
      <c r="Y558" s="20">
        <v>5.5000000000000002E-5</v>
      </c>
      <c r="Z558" s="21">
        <v>4601004041554</v>
      </c>
    </row>
    <row r="559" spans="1:26" ht="12" customHeight="1" outlineLevel="3" x14ac:dyDescent="0.2">
      <c r="A559" s="14" t="s">
        <v>1132</v>
      </c>
      <c r="B559" s="26" t="s">
        <v>1133</v>
      </c>
      <c r="C559" s="52"/>
      <c r="D559" s="55">
        <f t="shared" si="8"/>
        <v>0</v>
      </c>
      <c r="E559" s="63" t="str">
        <f>HYPERLINK("https://www.sds-group.ru/product/setevoy-shteker-na-shnur-papa-kontakt-rexant-11-0003/", "Инфо")</f>
        <v>Инфо</v>
      </c>
      <c r="F559" s="16" t="s">
        <v>39</v>
      </c>
      <c r="G559" s="15"/>
      <c r="H559" s="15"/>
      <c r="I559" s="15"/>
      <c r="J559" s="22">
        <v>3950</v>
      </c>
      <c r="K559" s="15" t="s">
        <v>1035</v>
      </c>
      <c r="L559" s="17">
        <v>25</v>
      </c>
      <c r="M559" s="17">
        <v>500</v>
      </c>
      <c r="N559" s="17">
        <v>25</v>
      </c>
      <c r="O559" s="18">
        <v>90.65</v>
      </c>
      <c r="P559" s="18">
        <v>74.3</v>
      </c>
      <c r="Q559" s="18">
        <v>77.05</v>
      </c>
      <c r="R559" s="18">
        <v>63.16</v>
      </c>
      <c r="S559" s="18">
        <v>61.64</v>
      </c>
      <c r="T559" s="18">
        <v>50.52</v>
      </c>
      <c r="U559" s="16"/>
      <c r="V559" s="16"/>
      <c r="W559" s="16" t="s">
        <v>40</v>
      </c>
      <c r="X559" s="19">
        <v>2.1000000000000001E-2</v>
      </c>
      <c r="Y559" s="20">
        <v>6.2000000000000003E-5</v>
      </c>
      <c r="Z559" s="21">
        <v>4601004041561</v>
      </c>
    </row>
    <row r="560" spans="1:26" ht="12" customHeight="1" outlineLevel="3" x14ac:dyDescent="0.2">
      <c r="A560" s="14" t="s">
        <v>1134</v>
      </c>
      <c r="B560" s="26" t="s">
        <v>1135</v>
      </c>
      <c r="C560" s="52"/>
      <c r="D560" s="55">
        <f t="shared" si="8"/>
        <v>0</v>
      </c>
      <c r="E560" s="63" t="str">
        <f>HYPERLINK("https://www.sds-group.ru/product/setevoy-shteker-na-shnur-1-sht-paket-bopp-rexant-11-0004-9/", "Инфо")</f>
        <v>Инфо</v>
      </c>
      <c r="F560" s="16" t="s">
        <v>39</v>
      </c>
      <c r="G560" s="15"/>
      <c r="H560" s="15"/>
      <c r="I560" s="15"/>
      <c r="J560" s="17">
        <v>201</v>
      </c>
      <c r="K560" s="15"/>
      <c r="L560" s="17">
        <v>10</v>
      </c>
      <c r="M560" s="17">
        <v>100</v>
      </c>
      <c r="N560" s="17">
        <v>10</v>
      </c>
      <c r="O560" s="18">
        <v>107.58</v>
      </c>
      <c r="P560" s="18">
        <v>88.18</v>
      </c>
      <c r="Q560" s="18">
        <v>91.44</v>
      </c>
      <c r="R560" s="18">
        <v>74.95</v>
      </c>
      <c r="S560" s="18">
        <v>73.150000000000006</v>
      </c>
      <c r="T560" s="18">
        <v>59.96</v>
      </c>
      <c r="U560" s="16"/>
      <c r="V560" s="16"/>
      <c r="W560" s="16" t="s">
        <v>40</v>
      </c>
      <c r="X560" s="19">
        <v>1.7000000000000001E-2</v>
      </c>
      <c r="Y560" s="20">
        <v>1.3200000000000001E-4</v>
      </c>
      <c r="Z560" s="21">
        <v>4601004163270</v>
      </c>
    </row>
    <row r="561" spans="1:26" ht="12.95" customHeight="1" outlineLevel="2" x14ac:dyDescent="0.2">
      <c r="A561" s="76" t="s">
        <v>1136</v>
      </c>
      <c r="B561" s="76"/>
      <c r="C561" s="77"/>
      <c r="D561" s="58"/>
      <c r="E561" s="68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</row>
    <row r="562" spans="1:26" ht="12.95" customHeight="1" outlineLevel="3" x14ac:dyDescent="0.2">
      <c r="A562" s="76" t="s">
        <v>1137</v>
      </c>
      <c r="B562" s="76"/>
      <c r="C562" s="77"/>
      <c r="D562" s="58"/>
      <c r="E562" s="68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</row>
    <row r="563" spans="1:26" ht="12" customHeight="1" outlineLevel="4" x14ac:dyDescent="0.2">
      <c r="A563" s="14" t="s">
        <v>1138</v>
      </c>
      <c r="B563" s="26" t="s">
        <v>1139</v>
      </c>
      <c r="C563" s="52"/>
      <c r="D563" s="55">
        <f t="shared" si="8"/>
        <v>0</v>
      </c>
      <c r="E563" s="63" t="str">
        <f>HYPERLINK("https://www.sds-group.ru/product/patron-e27-s-provodom-20sm-belo-bezhevyy-rexant-11-8875/", "Инфо")</f>
        <v>Инфо</v>
      </c>
      <c r="F563" s="16" t="s">
        <v>39</v>
      </c>
      <c r="G563" s="15"/>
      <c r="H563" s="15"/>
      <c r="I563" s="15"/>
      <c r="J563" s="22">
        <v>20288</v>
      </c>
      <c r="K563" s="15" t="s">
        <v>922</v>
      </c>
      <c r="L563" s="17">
        <v>10</v>
      </c>
      <c r="M563" s="17">
        <v>200</v>
      </c>
      <c r="N563" s="17">
        <v>10</v>
      </c>
      <c r="O563" s="18">
        <v>49.31</v>
      </c>
      <c r="P563" s="18">
        <v>40.42</v>
      </c>
      <c r="Q563" s="18">
        <v>41.91</v>
      </c>
      <c r="R563" s="18">
        <v>34.35</v>
      </c>
      <c r="S563" s="18">
        <v>33.53</v>
      </c>
      <c r="T563" s="18">
        <v>27.48</v>
      </c>
      <c r="U563" s="16"/>
      <c r="V563" s="16"/>
      <c r="W563" s="16" t="s">
        <v>40</v>
      </c>
      <c r="X563" s="19">
        <v>2.7E-2</v>
      </c>
      <c r="Y563" s="20">
        <v>1.9000000000000001E-4</v>
      </c>
      <c r="Z563" s="21">
        <v>4601004133488</v>
      </c>
    </row>
    <row r="564" spans="1:26" ht="12" customHeight="1" outlineLevel="4" x14ac:dyDescent="0.2">
      <c r="A564" s="14" t="s">
        <v>1140</v>
      </c>
      <c r="B564" s="26" t="s">
        <v>1141</v>
      </c>
      <c r="C564" s="52"/>
      <c r="D564" s="55">
        <f t="shared" si="8"/>
        <v>0</v>
      </c>
      <c r="E564" s="63" t="str">
        <f>HYPERLINK("https://www.sds-group.ru/product/patron-e27-s-provodom-20sm-chernyy-rexant-11-8876/", "Инфо")</f>
        <v>Инфо</v>
      </c>
      <c r="F564" s="16" t="s">
        <v>39</v>
      </c>
      <c r="G564" s="15"/>
      <c r="H564" s="15"/>
      <c r="I564" s="15"/>
      <c r="J564" s="22">
        <v>2562</v>
      </c>
      <c r="K564" s="15" t="s">
        <v>922</v>
      </c>
      <c r="L564" s="17">
        <v>10</v>
      </c>
      <c r="M564" s="17">
        <v>200</v>
      </c>
      <c r="N564" s="17">
        <v>10</v>
      </c>
      <c r="O564" s="18">
        <v>55.27</v>
      </c>
      <c r="P564" s="18">
        <v>45.3</v>
      </c>
      <c r="Q564" s="18">
        <v>46.98</v>
      </c>
      <c r="R564" s="18">
        <v>38.51</v>
      </c>
      <c r="S564" s="18">
        <v>37.58</v>
      </c>
      <c r="T564" s="18">
        <v>30.8</v>
      </c>
      <c r="U564" s="16"/>
      <c r="V564" s="16"/>
      <c r="W564" s="16" t="s">
        <v>40</v>
      </c>
      <c r="X564" s="19">
        <v>2.7E-2</v>
      </c>
      <c r="Y564" s="20">
        <v>1.64E-4</v>
      </c>
      <c r="Z564" s="21">
        <v>4601004133495</v>
      </c>
    </row>
    <row r="565" spans="1:26" ht="12" customHeight="1" outlineLevel="4" x14ac:dyDescent="0.2">
      <c r="A565" s="14" t="s">
        <v>1142</v>
      </c>
      <c r="B565" s="26" t="s">
        <v>1143</v>
      </c>
      <c r="C565" s="52"/>
      <c r="D565" s="55">
        <f t="shared" si="8"/>
        <v>0</v>
      </c>
      <c r="E565" s="63" t="str">
        <f>HYPERLINK("https://www.sds-group.ru/product/patron-karbolitovyy-nastennyy-e27-chernyy-c-etiketkoy-naklonnyy-rexant-11-8817/", "Инфо")</f>
        <v>Инфо</v>
      </c>
      <c r="F565" s="16" t="s">
        <v>39</v>
      </c>
      <c r="G565" s="15"/>
      <c r="H565" s="15"/>
      <c r="I565" s="15"/>
      <c r="J565" s="22">
        <v>3001</v>
      </c>
      <c r="K565" s="15" t="s">
        <v>922</v>
      </c>
      <c r="L565" s="17">
        <v>10</v>
      </c>
      <c r="M565" s="17">
        <v>200</v>
      </c>
      <c r="N565" s="17">
        <v>10</v>
      </c>
      <c r="O565" s="18">
        <v>62.28</v>
      </c>
      <c r="P565" s="18">
        <v>51.05</v>
      </c>
      <c r="Q565" s="18">
        <v>52.94</v>
      </c>
      <c r="R565" s="18">
        <v>43.39</v>
      </c>
      <c r="S565" s="18">
        <v>42.35</v>
      </c>
      <c r="T565" s="18">
        <v>34.71</v>
      </c>
      <c r="U565" s="16"/>
      <c r="V565" s="16"/>
      <c r="W565" s="16" t="s">
        <v>40</v>
      </c>
      <c r="X565" s="19">
        <v>5.2999999999999999E-2</v>
      </c>
      <c r="Y565" s="20">
        <v>2.2499999999999999E-4</v>
      </c>
      <c r="Z565" s="21">
        <v>4601004133129</v>
      </c>
    </row>
    <row r="566" spans="1:26" ht="12" customHeight="1" outlineLevel="4" x14ac:dyDescent="0.2">
      <c r="A566" s="14" t="s">
        <v>1144</v>
      </c>
      <c r="B566" s="26" t="s">
        <v>1145</v>
      </c>
      <c r="C566" s="52"/>
      <c r="D566" s="55">
        <f t="shared" si="8"/>
        <v>0</v>
      </c>
      <c r="E566" s="63" t="str">
        <f>HYPERLINK("https://www.sds-group.ru/product/patron-karbolitovyy-podvesnoy-e27-chernyy-c-etiketkoy-rexant-11-8815/", "Инфо")</f>
        <v>Инфо</v>
      </c>
      <c r="F566" s="16" t="s">
        <v>39</v>
      </c>
      <c r="G566" s="15"/>
      <c r="H566" s="15"/>
      <c r="I566" s="15"/>
      <c r="J566" s="22">
        <v>16691</v>
      </c>
      <c r="K566" s="15" t="s">
        <v>922</v>
      </c>
      <c r="L566" s="17">
        <v>10</v>
      </c>
      <c r="M566" s="17">
        <v>200</v>
      </c>
      <c r="N566" s="17">
        <v>10</v>
      </c>
      <c r="O566" s="18">
        <v>44.92</v>
      </c>
      <c r="P566" s="18">
        <v>36.82</v>
      </c>
      <c r="Q566" s="18">
        <v>38.18</v>
      </c>
      <c r="R566" s="18">
        <v>31.3</v>
      </c>
      <c r="S566" s="18">
        <v>30.55</v>
      </c>
      <c r="T566" s="18">
        <v>25.04</v>
      </c>
      <c r="U566" s="16"/>
      <c r="V566" s="16"/>
      <c r="W566" s="16" t="s">
        <v>40</v>
      </c>
      <c r="X566" s="19">
        <v>4.3999999999999997E-2</v>
      </c>
      <c r="Y566" s="20">
        <v>1.06E-4</v>
      </c>
      <c r="Z566" s="21">
        <v>4601004133228</v>
      </c>
    </row>
    <row r="567" spans="1:26" ht="12" customHeight="1" outlineLevel="4" x14ac:dyDescent="0.2">
      <c r="A567" s="14" t="s">
        <v>1146</v>
      </c>
      <c r="B567" s="26" t="s">
        <v>1147</v>
      </c>
      <c r="C567" s="52"/>
      <c r="D567" s="55">
        <f t="shared" si="8"/>
        <v>0</v>
      </c>
      <c r="E567" s="63" t="str">
        <f>HYPERLINK("https://www.sds-group.ru/product/patron-karbolitovyy-potolochnyy-e27-chernyy-c-etiketkoy-rexant-11-8818/", "Инфо")</f>
        <v>Инфо</v>
      </c>
      <c r="F567" s="16" t="s">
        <v>39</v>
      </c>
      <c r="G567" s="15"/>
      <c r="H567" s="15"/>
      <c r="I567" s="15"/>
      <c r="J567" s="22">
        <v>10897</v>
      </c>
      <c r="K567" s="15" t="s">
        <v>979</v>
      </c>
      <c r="L567" s="17">
        <v>10</v>
      </c>
      <c r="M567" s="17">
        <v>200</v>
      </c>
      <c r="N567" s="17">
        <v>10</v>
      </c>
      <c r="O567" s="18">
        <v>66.8</v>
      </c>
      <c r="P567" s="18">
        <v>54.75</v>
      </c>
      <c r="Q567" s="18">
        <v>56.78</v>
      </c>
      <c r="R567" s="18">
        <v>46.54</v>
      </c>
      <c r="S567" s="18">
        <v>45.42</v>
      </c>
      <c r="T567" s="18">
        <v>37.229999999999997</v>
      </c>
      <c r="U567" s="16"/>
      <c r="V567" s="16"/>
      <c r="W567" s="16" t="s">
        <v>40</v>
      </c>
      <c r="X567" s="19">
        <v>0.05</v>
      </c>
      <c r="Y567" s="20">
        <v>2.2000000000000001E-4</v>
      </c>
      <c r="Z567" s="21">
        <v>4601004133136</v>
      </c>
    </row>
    <row r="568" spans="1:26" ht="12" customHeight="1" outlineLevel="4" x14ac:dyDescent="0.2">
      <c r="A568" s="14" t="s">
        <v>1148</v>
      </c>
      <c r="B568" s="26" t="s">
        <v>1149</v>
      </c>
      <c r="C568" s="52"/>
      <c r="D568" s="55">
        <f t="shared" si="8"/>
        <v>0</v>
      </c>
      <c r="E568" s="63" t="str">
        <f>HYPERLINK("https://www.sds-group.ru/product/patron-karbolitovyy-s-koltsom-e27-chernyy-c-etiketkoy-rexant-11-8816/", "Инфо")</f>
        <v>Инфо</v>
      </c>
      <c r="F568" s="16" t="s">
        <v>39</v>
      </c>
      <c r="G568" s="15"/>
      <c r="H568" s="15"/>
      <c r="I568" s="15"/>
      <c r="J568" s="17">
        <v>364</v>
      </c>
      <c r="K568" s="15" t="s">
        <v>1150</v>
      </c>
      <c r="L568" s="17">
        <v>10</v>
      </c>
      <c r="M568" s="17">
        <v>200</v>
      </c>
      <c r="N568" s="17">
        <v>10</v>
      </c>
      <c r="O568" s="18">
        <v>79.72</v>
      </c>
      <c r="P568" s="18">
        <v>65.34</v>
      </c>
      <c r="Q568" s="18">
        <v>67.760000000000005</v>
      </c>
      <c r="R568" s="18">
        <v>55.54</v>
      </c>
      <c r="S568" s="18">
        <v>54.21</v>
      </c>
      <c r="T568" s="18">
        <v>44.43</v>
      </c>
      <c r="U568" s="16"/>
      <c r="V568" s="16"/>
      <c r="W568" s="16" t="s">
        <v>40</v>
      </c>
      <c r="X568" s="19">
        <v>4.2999999999999997E-2</v>
      </c>
      <c r="Y568" s="20">
        <v>1.8100000000000001E-4</v>
      </c>
      <c r="Z568" s="21">
        <v>4601004133112</v>
      </c>
    </row>
    <row r="569" spans="1:26" ht="12" customHeight="1" outlineLevel="4" x14ac:dyDescent="0.2">
      <c r="A569" s="14" t="s">
        <v>1151</v>
      </c>
      <c r="B569" s="26" t="s">
        <v>1152</v>
      </c>
      <c r="C569" s="52"/>
      <c r="D569" s="55">
        <f t="shared" si="8"/>
        <v>0</v>
      </c>
      <c r="E569" s="63" t="str">
        <f>HYPERLINK("https://www.sds-group.ru/product/patron-plastikovyy-nastennyy-e27-naklonnyy-belyy-c-etiketkoy-rexant-11-8872/", "Инфо")</f>
        <v>Инфо</v>
      </c>
      <c r="F569" s="16" t="s">
        <v>39</v>
      </c>
      <c r="G569" s="15"/>
      <c r="H569" s="15"/>
      <c r="I569" s="15"/>
      <c r="J569" s="22">
        <v>3226</v>
      </c>
      <c r="K569" s="15" t="s">
        <v>922</v>
      </c>
      <c r="L569" s="17">
        <v>10</v>
      </c>
      <c r="M569" s="17">
        <v>200</v>
      </c>
      <c r="N569" s="17">
        <v>10</v>
      </c>
      <c r="O569" s="18">
        <v>56.14</v>
      </c>
      <c r="P569" s="18">
        <v>46.02</v>
      </c>
      <c r="Q569" s="18">
        <v>47.72</v>
      </c>
      <c r="R569" s="18">
        <v>39.11</v>
      </c>
      <c r="S569" s="18">
        <v>38.18</v>
      </c>
      <c r="T569" s="18">
        <v>31.3</v>
      </c>
      <c r="U569" s="16"/>
      <c r="V569" s="16"/>
      <c r="W569" s="16" t="s">
        <v>40</v>
      </c>
      <c r="X569" s="19">
        <v>3.1E-2</v>
      </c>
      <c r="Y569" s="20">
        <v>2.5599999999999999E-4</v>
      </c>
      <c r="Z569" s="21">
        <v>4601004152816</v>
      </c>
    </row>
    <row r="570" spans="1:26" ht="12" customHeight="1" outlineLevel="4" x14ac:dyDescent="0.2">
      <c r="A570" s="14" t="s">
        <v>1153</v>
      </c>
      <c r="B570" s="26" t="s">
        <v>1154</v>
      </c>
      <c r="C570" s="52"/>
      <c r="D570" s="55">
        <f t="shared" si="8"/>
        <v>0</v>
      </c>
      <c r="E570" s="63" t="str">
        <f>HYPERLINK("https://www.sds-group.ru/product/patron-plastikovyy-nastennyy-e27-pryamoy-belyy-rexant-11-8870/", "Инфо")</f>
        <v>Инфо</v>
      </c>
      <c r="F570" s="16" t="s">
        <v>39</v>
      </c>
      <c r="G570" s="15"/>
      <c r="H570" s="15"/>
      <c r="I570" s="15"/>
      <c r="J570" s="22">
        <v>1982</v>
      </c>
      <c r="K570" s="15" t="s">
        <v>922</v>
      </c>
      <c r="L570" s="17">
        <v>10</v>
      </c>
      <c r="M570" s="17">
        <v>200</v>
      </c>
      <c r="N570" s="17">
        <v>10</v>
      </c>
      <c r="O570" s="18">
        <v>58.47</v>
      </c>
      <c r="P570" s="18">
        <v>47.93</v>
      </c>
      <c r="Q570" s="18">
        <v>49.7</v>
      </c>
      <c r="R570" s="18">
        <v>40.74</v>
      </c>
      <c r="S570" s="18">
        <v>39.76</v>
      </c>
      <c r="T570" s="18">
        <v>32.590000000000003</v>
      </c>
      <c r="U570" s="16"/>
      <c r="V570" s="16"/>
      <c r="W570" s="16" t="s">
        <v>40</v>
      </c>
      <c r="X570" s="19">
        <v>2.8000000000000001E-2</v>
      </c>
      <c r="Y570" s="20">
        <v>1.9699999999999999E-4</v>
      </c>
      <c r="Z570" s="21">
        <v>4601004183407</v>
      </c>
    </row>
    <row r="571" spans="1:26" ht="12" customHeight="1" outlineLevel="4" x14ac:dyDescent="0.2">
      <c r="A571" s="32" t="s">
        <v>1155</v>
      </c>
      <c r="B571" s="74" t="s">
        <v>1156</v>
      </c>
      <c r="C571" s="50"/>
      <c r="D571" s="53">
        <f t="shared" si="8"/>
        <v>0</v>
      </c>
      <c r="E571" s="60" t="str">
        <f>HYPERLINK("https://www.sds-group.ru/product/patron-plastikovyy-termostoykiy-podvesnoy-e14-chernyy-rexant-11-8843-4/", "Инфо")</f>
        <v>Инфо</v>
      </c>
      <c r="F571" s="34" t="s">
        <v>39</v>
      </c>
      <c r="G571" s="33"/>
      <c r="H571" s="33" t="s">
        <v>40</v>
      </c>
      <c r="I571" s="33"/>
      <c r="J571" s="35">
        <v>719</v>
      </c>
      <c r="K571" s="33"/>
      <c r="L571" s="35">
        <v>1</v>
      </c>
      <c r="M571" s="35">
        <v>200</v>
      </c>
      <c r="N571" s="35">
        <v>1</v>
      </c>
      <c r="O571" s="36">
        <v>18.440000000000001</v>
      </c>
      <c r="P571" s="36">
        <v>15.11</v>
      </c>
      <c r="Q571" s="36">
        <v>12.91</v>
      </c>
      <c r="R571" s="36">
        <v>10.58</v>
      </c>
      <c r="S571" s="36">
        <v>12.54</v>
      </c>
      <c r="T571" s="36">
        <v>10.28</v>
      </c>
      <c r="U571" s="34"/>
      <c r="V571" s="34"/>
      <c r="W571" s="34"/>
      <c r="X571" s="37">
        <v>1.4E-2</v>
      </c>
      <c r="Y571" s="38">
        <v>5.7000000000000003E-5</v>
      </c>
      <c r="Z571" s="21">
        <v>4601004183421</v>
      </c>
    </row>
    <row r="572" spans="1:26" ht="12" customHeight="1" outlineLevel="4" x14ac:dyDescent="0.2">
      <c r="A572" s="14" t="s">
        <v>1157</v>
      </c>
      <c r="B572" s="26" t="s">
        <v>1158</v>
      </c>
      <c r="C572" s="52"/>
      <c r="D572" s="55">
        <f t="shared" si="8"/>
        <v>0</v>
      </c>
      <c r="E572" s="63" t="str">
        <f>HYPERLINK("https://www.sds-group.ru/product/patron-plastikovyy-termostoykiy-podvesnoy-e27-belyy-c-etiketkoy-rexant-11-8819/", "Инфо")</f>
        <v>Инфо</v>
      </c>
      <c r="F572" s="16" t="s">
        <v>39</v>
      </c>
      <c r="G572" s="15"/>
      <c r="H572" s="15"/>
      <c r="I572" s="15"/>
      <c r="J572" s="22">
        <v>6545</v>
      </c>
      <c r="K572" s="15" t="s">
        <v>925</v>
      </c>
      <c r="L572" s="17">
        <v>10</v>
      </c>
      <c r="M572" s="17">
        <v>200</v>
      </c>
      <c r="N572" s="17">
        <v>10</v>
      </c>
      <c r="O572" s="18">
        <v>34.119999999999997</v>
      </c>
      <c r="P572" s="18">
        <v>27.97</v>
      </c>
      <c r="Q572" s="18">
        <v>29</v>
      </c>
      <c r="R572" s="18">
        <v>23.77</v>
      </c>
      <c r="S572" s="18">
        <v>23.2</v>
      </c>
      <c r="T572" s="18">
        <v>19.02</v>
      </c>
      <c r="U572" s="16"/>
      <c r="V572" s="16"/>
      <c r="W572" s="16" t="s">
        <v>40</v>
      </c>
      <c r="X572" s="19">
        <v>2.4E-2</v>
      </c>
      <c r="Y572" s="20">
        <v>1.1400000000000001E-4</v>
      </c>
      <c r="Z572" s="21">
        <v>4601004133143</v>
      </c>
    </row>
    <row r="573" spans="1:26" ht="12" customHeight="1" outlineLevel="4" x14ac:dyDescent="0.2">
      <c r="A573" s="14" t="s">
        <v>1159</v>
      </c>
      <c r="B573" s="26" t="s">
        <v>1160</v>
      </c>
      <c r="C573" s="52"/>
      <c r="D573" s="55">
        <f t="shared" si="8"/>
        <v>0</v>
      </c>
      <c r="E573" s="63" t="str">
        <f>HYPERLINK("https://www.sds-group.ru/product/patron-plastikovyy-termostoykiy-podvesnoy-e27-chernyy-rexant-11-8828/", "Инфо")</f>
        <v>Инфо</v>
      </c>
      <c r="F573" s="16" t="s">
        <v>39</v>
      </c>
      <c r="G573" s="15"/>
      <c r="H573" s="15"/>
      <c r="I573" s="15"/>
      <c r="J573" s="22">
        <v>7540</v>
      </c>
      <c r="K573" s="15" t="s">
        <v>940</v>
      </c>
      <c r="L573" s="17">
        <v>10</v>
      </c>
      <c r="M573" s="17">
        <v>200</v>
      </c>
      <c r="N573" s="17">
        <v>10</v>
      </c>
      <c r="O573" s="18">
        <v>33.770000000000003</v>
      </c>
      <c r="P573" s="18">
        <v>27.68</v>
      </c>
      <c r="Q573" s="18">
        <v>28.7</v>
      </c>
      <c r="R573" s="18">
        <v>23.52</v>
      </c>
      <c r="S573" s="18">
        <v>22.96</v>
      </c>
      <c r="T573" s="18">
        <v>18.82</v>
      </c>
      <c r="U573" s="16"/>
      <c r="V573" s="16"/>
      <c r="W573" s="16" t="s">
        <v>40</v>
      </c>
      <c r="X573" s="19">
        <v>2.4E-2</v>
      </c>
      <c r="Y573" s="20">
        <v>1.15E-4</v>
      </c>
      <c r="Z573" s="21">
        <v>4601004183728</v>
      </c>
    </row>
    <row r="574" spans="1:26" ht="12" customHeight="1" outlineLevel="4" x14ac:dyDescent="0.2">
      <c r="A574" s="14" t="s">
        <v>1161</v>
      </c>
      <c r="B574" s="26" t="s">
        <v>1162</v>
      </c>
      <c r="C574" s="52"/>
      <c r="D574" s="55">
        <f t="shared" si="8"/>
        <v>0</v>
      </c>
      <c r="E574" s="63" t="str">
        <f>HYPERLINK("https://www.sds-group.ru/product/patron-plastikovyy-termostoykiy-podvesnoy-s-koltsom-e27-chernyy-rexant-11-8826/", "Инфо")</f>
        <v>Инфо</v>
      </c>
      <c r="F574" s="16" t="s">
        <v>39</v>
      </c>
      <c r="G574" s="15"/>
      <c r="H574" s="15"/>
      <c r="I574" s="15"/>
      <c r="J574" s="22">
        <v>5565</v>
      </c>
      <c r="K574" s="15" t="s">
        <v>925</v>
      </c>
      <c r="L574" s="17">
        <v>10</v>
      </c>
      <c r="M574" s="17">
        <v>200</v>
      </c>
      <c r="N574" s="17">
        <v>10</v>
      </c>
      <c r="O574" s="18">
        <v>42.68</v>
      </c>
      <c r="P574" s="18">
        <v>34.979999999999997</v>
      </c>
      <c r="Q574" s="18">
        <v>36.28</v>
      </c>
      <c r="R574" s="18">
        <v>29.74</v>
      </c>
      <c r="S574" s="18">
        <v>29.02</v>
      </c>
      <c r="T574" s="18">
        <v>23.79</v>
      </c>
      <c r="U574" s="16"/>
      <c r="V574" s="16"/>
      <c r="W574" s="16" t="s">
        <v>40</v>
      </c>
      <c r="X574" s="19">
        <v>3.4000000000000002E-2</v>
      </c>
      <c r="Y574" s="20">
        <v>1.6899999999999999E-4</v>
      </c>
      <c r="Z574" s="21">
        <v>4601004183384</v>
      </c>
    </row>
    <row r="575" spans="1:26" ht="12" customHeight="1" outlineLevel="4" x14ac:dyDescent="0.2">
      <c r="A575" s="14" t="s">
        <v>1163</v>
      </c>
      <c r="B575" s="26" t="s">
        <v>1164</v>
      </c>
      <c r="C575" s="52"/>
      <c r="D575" s="55">
        <f t="shared" si="8"/>
        <v>0</v>
      </c>
      <c r="E575" s="63" t="str">
        <f>HYPERLINK("https://www.sds-group.ru/product/patron-plastikovyy-termostoykiy-s-koltsom-e14-belyy-c-etiketkoy-rexant-11-8823/", "Инфо")</f>
        <v>Инфо</v>
      </c>
      <c r="F575" s="16" t="s">
        <v>39</v>
      </c>
      <c r="G575" s="15"/>
      <c r="H575" s="15"/>
      <c r="I575" s="15"/>
      <c r="J575" s="22">
        <v>11653</v>
      </c>
      <c r="K575" s="15" t="s">
        <v>922</v>
      </c>
      <c r="L575" s="17">
        <v>10</v>
      </c>
      <c r="M575" s="17">
        <v>200</v>
      </c>
      <c r="N575" s="17">
        <v>10</v>
      </c>
      <c r="O575" s="18">
        <v>31.54</v>
      </c>
      <c r="P575" s="18">
        <v>25.85</v>
      </c>
      <c r="Q575" s="18">
        <v>26.81</v>
      </c>
      <c r="R575" s="18">
        <v>21.98</v>
      </c>
      <c r="S575" s="18">
        <v>21.45</v>
      </c>
      <c r="T575" s="18">
        <v>17.579999999999998</v>
      </c>
      <c r="U575" s="16"/>
      <c r="V575" s="16"/>
      <c r="W575" s="16" t="s">
        <v>40</v>
      </c>
      <c r="X575" s="19">
        <v>1.9E-2</v>
      </c>
      <c r="Y575" s="20">
        <v>9.2E-5</v>
      </c>
      <c r="Z575" s="21">
        <v>4601004133167</v>
      </c>
    </row>
    <row r="576" spans="1:26" ht="12" customHeight="1" outlineLevel="4" x14ac:dyDescent="0.2">
      <c r="A576" s="14" t="s">
        <v>1165</v>
      </c>
      <c r="B576" s="26" t="s">
        <v>1166</v>
      </c>
      <c r="C576" s="52"/>
      <c r="D576" s="55">
        <f t="shared" si="8"/>
        <v>0</v>
      </c>
      <c r="E576" s="63" t="str">
        <f>HYPERLINK("https://www.sds-group.ru/product/patron-podvesnoy-s-klemmnoy-kolodkoy-e27-belyy-s-etiketkoy-individualnyy-paket-rexant-11-8801/", "Инфо")</f>
        <v>Инфо</v>
      </c>
      <c r="F576" s="16" t="s">
        <v>39</v>
      </c>
      <c r="G576" s="15"/>
      <c r="H576" s="15"/>
      <c r="I576" s="15"/>
      <c r="J576" s="22">
        <v>8491</v>
      </c>
      <c r="K576" s="15" t="s">
        <v>922</v>
      </c>
      <c r="L576" s="17">
        <v>10</v>
      </c>
      <c r="M576" s="17">
        <v>200</v>
      </c>
      <c r="N576" s="17">
        <v>10</v>
      </c>
      <c r="O576" s="18">
        <v>87.79</v>
      </c>
      <c r="P576" s="18">
        <v>71.959999999999994</v>
      </c>
      <c r="Q576" s="18">
        <v>74.62</v>
      </c>
      <c r="R576" s="18">
        <v>61.16</v>
      </c>
      <c r="S576" s="18">
        <v>59.7</v>
      </c>
      <c r="T576" s="18">
        <v>48.93</v>
      </c>
      <c r="U576" s="16"/>
      <c r="V576" s="16"/>
      <c r="W576" s="16" t="s">
        <v>40</v>
      </c>
      <c r="X576" s="19">
        <v>3.5999999999999997E-2</v>
      </c>
      <c r="Y576" s="20">
        <v>2.3499999999999999E-4</v>
      </c>
      <c r="Z576" s="21">
        <v>4601004036192</v>
      </c>
    </row>
    <row r="577" spans="1:26" ht="12" customHeight="1" outlineLevel="4" x14ac:dyDescent="0.2">
      <c r="A577" s="14" t="s">
        <v>1167</v>
      </c>
      <c r="B577" s="26" t="s">
        <v>1168</v>
      </c>
      <c r="C577" s="52"/>
      <c r="D577" s="55">
        <f t="shared" si="8"/>
        <v>0</v>
      </c>
      <c r="E577" s="63" t="str">
        <f>HYPERLINK("https://www.sds-group.ru/product/patron-podvesnoy-s-klemmnoy-kolodkoy-e27-chernyy-s-etiketkoy-individualnyy-paket-rexant-11-8825/", "Инфо")</f>
        <v>Инфо</v>
      </c>
      <c r="F577" s="16" t="s">
        <v>39</v>
      </c>
      <c r="G577" s="15"/>
      <c r="H577" s="15"/>
      <c r="I577" s="15"/>
      <c r="J577" s="22">
        <v>9879</v>
      </c>
      <c r="K577" s="15" t="s">
        <v>925</v>
      </c>
      <c r="L577" s="17">
        <v>10</v>
      </c>
      <c r="M577" s="17">
        <v>200</v>
      </c>
      <c r="N577" s="17">
        <v>10</v>
      </c>
      <c r="O577" s="18">
        <v>88.03</v>
      </c>
      <c r="P577" s="18">
        <v>72.16</v>
      </c>
      <c r="Q577" s="18">
        <v>74.83</v>
      </c>
      <c r="R577" s="18">
        <v>61.34</v>
      </c>
      <c r="S577" s="18">
        <v>59.86</v>
      </c>
      <c r="T577" s="18">
        <v>49.07</v>
      </c>
      <c r="U577" s="16"/>
      <c r="V577" s="16"/>
      <c r="W577" s="16" t="s">
        <v>40</v>
      </c>
      <c r="X577" s="19">
        <v>3.6999999999999998E-2</v>
      </c>
      <c r="Y577" s="20">
        <v>2.6699999999999998E-4</v>
      </c>
      <c r="Z577" s="21">
        <v>4601004133174</v>
      </c>
    </row>
    <row r="578" spans="1:26" ht="12" customHeight="1" outlineLevel="4" x14ac:dyDescent="0.2">
      <c r="A578" s="14" t="s">
        <v>1169</v>
      </c>
      <c r="B578" s="26" t="s">
        <v>1170</v>
      </c>
      <c r="C578" s="52"/>
      <c r="D578" s="55">
        <f t="shared" si="8"/>
        <v>0</v>
      </c>
      <c r="E578" s="63" t="str">
        <f>HYPERLINK("https://www.sds-group.ru/product/patron-rozetka-karbolitovyy-e27-chernyy-s-etiketkoy-rexant-11-8855/", "Инфо")</f>
        <v>Инфо</v>
      </c>
      <c r="F578" s="16" t="s">
        <v>39</v>
      </c>
      <c r="G578" s="15"/>
      <c r="H578" s="15"/>
      <c r="I578" s="15"/>
      <c r="J578" s="22">
        <v>4349</v>
      </c>
      <c r="K578" s="15"/>
      <c r="L578" s="17">
        <v>12</v>
      </c>
      <c r="M578" s="17">
        <v>240</v>
      </c>
      <c r="N578" s="17">
        <v>12</v>
      </c>
      <c r="O578" s="18">
        <v>80.959999999999994</v>
      </c>
      <c r="P578" s="18">
        <v>66.36</v>
      </c>
      <c r="Q578" s="18">
        <v>68.819999999999993</v>
      </c>
      <c r="R578" s="18">
        <v>56.41</v>
      </c>
      <c r="S578" s="18">
        <v>55.05</v>
      </c>
      <c r="T578" s="18">
        <v>45.12</v>
      </c>
      <c r="U578" s="16"/>
      <c r="V578" s="16"/>
      <c r="W578" s="16" t="s">
        <v>40</v>
      </c>
      <c r="X578" s="19">
        <v>3.4000000000000002E-2</v>
      </c>
      <c r="Y578" s="20">
        <v>2.1000000000000001E-4</v>
      </c>
      <c r="Z578" s="21">
        <v>4601004133181</v>
      </c>
    </row>
    <row r="579" spans="1:26" ht="12.95" customHeight="1" outlineLevel="3" x14ac:dyDescent="0.2">
      <c r="A579" s="76" t="s">
        <v>1171</v>
      </c>
      <c r="B579" s="76"/>
      <c r="C579" s="77"/>
      <c r="D579" s="58"/>
      <c r="E579" s="68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</row>
    <row r="580" spans="1:26" ht="12" customHeight="1" outlineLevel="4" x14ac:dyDescent="0.2">
      <c r="A580" s="32" t="s">
        <v>1172</v>
      </c>
      <c r="B580" s="74" t="s">
        <v>1173</v>
      </c>
      <c r="C580" s="50"/>
      <c r="D580" s="53">
        <f t="shared" si="8"/>
        <v>0</v>
      </c>
      <c r="E580" s="60" t="str">
        <f>HYPERLINK("https://www.sds-group.ru/product/patron-keramicheskiy-e14-s-etiketkoy-rexant-11-8893/", "Инфо")</f>
        <v>Инфо</v>
      </c>
      <c r="F580" s="34" t="s">
        <v>39</v>
      </c>
      <c r="G580" s="33"/>
      <c r="H580" s="33" t="s">
        <v>40</v>
      </c>
      <c r="I580" s="33"/>
      <c r="J580" s="39">
        <v>4992</v>
      </c>
      <c r="K580" s="33"/>
      <c r="L580" s="35">
        <v>1</v>
      </c>
      <c r="M580" s="35">
        <v>400</v>
      </c>
      <c r="N580" s="35">
        <v>1</v>
      </c>
      <c r="O580" s="36">
        <v>34.18</v>
      </c>
      <c r="P580" s="36">
        <v>28.02</v>
      </c>
      <c r="Q580" s="36">
        <v>23.93</v>
      </c>
      <c r="R580" s="36">
        <v>19.61</v>
      </c>
      <c r="S580" s="36">
        <v>23.24</v>
      </c>
      <c r="T580" s="36">
        <v>19.05</v>
      </c>
      <c r="U580" s="34"/>
      <c r="V580" s="34"/>
      <c r="W580" s="34"/>
      <c r="X580" s="37">
        <v>4.5999999999999999E-2</v>
      </c>
      <c r="Y580" s="38">
        <v>8.7999999999999998E-5</v>
      </c>
      <c r="Z580" s="21">
        <v>4601004050174</v>
      </c>
    </row>
    <row r="581" spans="1:26" ht="12" customHeight="1" outlineLevel="4" x14ac:dyDescent="0.2">
      <c r="A581" s="14" t="s">
        <v>1174</v>
      </c>
      <c r="B581" s="26" t="s">
        <v>1175</v>
      </c>
      <c r="C581" s="52"/>
      <c r="D581" s="55">
        <f t="shared" si="8"/>
        <v>0</v>
      </c>
      <c r="E581" s="63" t="str">
        <f>HYPERLINK("https://www.sds-group.ru/product/patron-keramicheskiy-e27-s-derzhatelem-rexant-11-8867/", "Инфо")</f>
        <v>Инфо</v>
      </c>
      <c r="F581" s="16" t="s">
        <v>39</v>
      </c>
      <c r="G581" s="15"/>
      <c r="H581" s="15"/>
      <c r="I581" s="15"/>
      <c r="J581" s="22">
        <v>3019</v>
      </c>
      <c r="K581" s="15" t="s">
        <v>925</v>
      </c>
      <c r="L581" s="17">
        <v>10</v>
      </c>
      <c r="M581" s="17">
        <v>400</v>
      </c>
      <c r="N581" s="17">
        <v>10</v>
      </c>
      <c r="O581" s="18">
        <v>41.62</v>
      </c>
      <c r="P581" s="18">
        <v>34.11</v>
      </c>
      <c r="Q581" s="18">
        <v>35.380000000000003</v>
      </c>
      <c r="R581" s="18">
        <v>29</v>
      </c>
      <c r="S581" s="18">
        <v>28.3</v>
      </c>
      <c r="T581" s="18">
        <v>23.2</v>
      </c>
      <c r="U581" s="16"/>
      <c r="V581" s="16"/>
      <c r="W581" s="16" t="s">
        <v>40</v>
      </c>
      <c r="X581" s="19">
        <v>0.06</v>
      </c>
      <c r="Y581" s="20">
        <v>9.7999999999999997E-5</v>
      </c>
      <c r="Z581" s="21">
        <v>4601004142633</v>
      </c>
    </row>
    <row r="582" spans="1:26" ht="12" customHeight="1" outlineLevel="4" x14ac:dyDescent="0.2">
      <c r="A582" s="14" t="s">
        <v>1176</v>
      </c>
      <c r="B582" s="26" t="s">
        <v>1177</v>
      </c>
      <c r="C582" s="52"/>
      <c r="D582" s="55">
        <f t="shared" si="8"/>
        <v>0</v>
      </c>
      <c r="E582" s="63" t="str">
        <f>HYPERLINK("https://www.sds-group.ru/product/patron-keramicheskiy-e27-s-etiketkoy-rexant-11-8891/", "Инфо")</f>
        <v>Инфо</v>
      </c>
      <c r="F582" s="16" t="s">
        <v>39</v>
      </c>
      <c r="G582" s="15"/>
      <c r="H582" s="15"/>
      <c r="I582" s="15"/>
      <c r="J582" s="22">
        <v>13487</v>
      </c>
      <c r="K582" s="15"/>
      <c r="L582" s="17">
        <v>10</v>
      </c>
      <c r="M582" s="17">
        <v>200</v>
      </c>
      <c r="N582" s="17">
        <v>10</v>
      </c>
      <c r="O582" s="18">
        <v>49.94</v>
      </c>
      <c r="P582" s="18">
        <v>40.93</v>
      </c>
      <c r="Q582" s="18">
        <v>42.45</v>
      </c>
      <c r="R582" s="18">
        <v>34.799999999999997</v>
      </c>
      <c r="S582" s="18">
        <v>33.96</v>
      </c>
      <c r="T582" s="18">
        <v>27.84</v>
      </c>
      <c r="U582" s="16"/>
      <c r="V582" s="16"/>
      <c r="W582" s="16" t="s">
        <v>40</v>
      </c>
      <c r="X582" s="19">
        <v>5.6000000000000001E-2</v>
      </c>
      <c r="Y582" s="20">
        <v>8.3999999999999995E-5</v>
      </c>
      <c r="Z582" s="21">
        <v>4601004142602</v>
      </c>
    </row>
    <row r="583" spans="1:26" ht="12" customHeight="1" outlineLevel="4" x14ac:dyDescent="0.2">
      <c r="A583" s="32" t="s">
        <v>1178</v>
      </c>
      <c r="B583" s="74" t="s">
        <v>1179</v>
      </c>
      <c r="C583" s="50"/>
      <c r="D583" s="53">
        <f t="shared" si="8"/>
        <v>0</v>
      </c>
      <c r="E583" s="60" t="str">
        <f>HYPERLINK("https://www.sds-group.ru/product/patron-keramicheskiy-e40-rexant-11-8866/", "Инфо")</f>
        <v>Инфо</v>
      </c>
      <c r="F583" s="34" t="s">
        <v>39</v>
      </c>
      <c r="G583" s="33"/>
      <c r="H583" s="33" t="s">
        <v>40</v>
      </c>
      <c r="I583" s="33"/>
      <c r="J583" s="35">
        <v>148</v>
      </c>
      <c r="K583" s="33"/>
      <c r="L583" s="35">
        <v>1</v>
      </c>
      <c r="M583" s="35">
        <v>120</v>
      </c>
      <c r="N583" s="35">
        <v>1</v>
      </c>
      <c r="O583" s="36">
        <v>162.59</v>
      </c>
      <c r="P583" s="36">
        <v>133.27000000000001</v>
      </c>
      <c r="Q583" s="36">
        <v>138.19999999999999</v>
      </c>
      <c r="R583" s="36">
        <v>113.28</v>
      </c>
      <c r="S583" s="36">
        <v>110.56</v>
      </c>
      <c r="T583" s="36">
        <v>90.62</v>
      </c>
      <c r="U583" s="34"/>
      <c r="V583" s="34"/>
      <c r="W583" s="34" t="s">
        <v>40</v>
      </c>
      <c r="X583" s="37">
        <v>0.19400000000000001</v>
      </c>
      <c r="Y583" s="38">
        <v>2.99E-4</v>
      </c>
      <c r="Z583" s="21">
        <v>4601004142626</v>
      </c>
    </row>
    <row r="584" spans="1:26" ht="12" customHeight="1" outlineLevel="4" x14ac:dyDescent="0.2">
      <c r="A584" s="14" t="s">
        <v>1180</v>
      </c>
      <c r="B584" s="26" t="s">
        <v>1181</v>
      </c>
      <c r="C584" s="52"/>
      <c r="D584" s="55">
        <f t="shared" si="8"/>
        <v>0</v>
      </c>
      <c r="E584" s="63" t="str">
        <f>HYPERLINK("https://www.sds-group.ru/product/tsokol-patron-g9-s-provodom-15sm-belyy-c-etiketkoy-rexant-11-8879/", "Инфо")</f>
        <v>Инфо</v>
      </c>
      <c r="F584" s="16" t="s">
        <v>39</v>
      </c>
      <c r="G584" s="15"/>
      <c r="H584" s="15"/>
      <c r="I584" s="15"/>
      <c r="J584" s="16" t="s">
        <v>100</v>
      </c>
      <c r="K584" s="15" t="s">
        <v>940</v>
      </c>
      <c r="L584" s="17">
        <v>100</v>
      </c>
      <c r="M584" s="22">
        <v>1000</v>
      </c>
      <c r="N584" s="17">
        <v>100</v>
      </c>
      <c r="O584" s="18">
        <v>65.900000000000006</v>
      </c>
      <c r="P584" s="18">
        <v>54.02</v>
      </c>
      <c r="Q584" s="18">
        <v>56.02</v>
      </c>
      <c r="R584" s="18">
        <v>45.92</v>
      </c>
      <c r="S584" s="18">
        <v>44.81</v>
      </c>
      <c r="T584" s="18">
        <v>36.729999999999997</v>
      </c>
      <c r="U584" s="16"/>
      <c r="V584" s="16"/>
      <c r="W584" s="16" t="s">
        <v>40</v>
      </c>
      <c r="X584" s="19">
        <v>1.6E-2</v>
      </c>
      <c r="Y584" s="20">
        <v>2.5000000000000001E-5</v>
      </c>
      <c r="Z584" s="21">
        <v>4601004152656</v>
      </c>
    </row>
    <row r="585" spans="1:26" ht="12" customHeight="1" outlineLevel="4" x14ac:dyDescent="0.2">
      <c r="A585" s="14" t="s">
        <v>1182</v>
      </c>
      <c r="B585" s="26" t="s">
        <v>1183</v>
      </c>
      <c r="C585" s="52"/>
      <c r="D585" s="55">
        <f t="shared" ref="D585:D648" si="9">C585*(O585-O585*$G$3)</f>
        <v>0</v>
      </c>
      <c r="E585" s="63" t="str">
        <f>HYPERLINK("https://www.sds-group.ru/product/tsokol-patron-gu-10-s-provodom-rexant-11-8804/", "Инфо")</f>
        <v>Инфо</v>
      </c>
      <c r="F585" s="16" t="s">
        <v>39</v>
      </c>
      <c r="G585" s="15"/>
      <c r="H585" s="15"/>
      <c r="I585" s="15"/>
      <c r="J585" s="16" t="s">
        <v>100</v>
      </c>
      <c r="K585" s="15"/>
      <c r="L585" s="17">
        <v>20</v>
      </c>
      <c r="M585" s="22">
        <v>1000</v>
      </c>
      <c r="N585" s="17">
        <v>20</v>
      </c>
      <c r="O585" s="18">
        <v>36.97</v>
      </c>
      <c r="P585" s="18">
        <v>30.3</v>
      </c>
      <c r="Q585" s="18">
        <v>36.97</v>
      </c>
      <c r="R585" s="18">
        <v>30.3</v>
      </c>
      <c r="S585" s="18">
        <v>25.14</v>
      </c>
      <c r="T585" s="18">
        <v>20.61</v>
      </c>
      <c r="U585" s="16"/>
      <c r="V585" s="16"/>
      <c r="W585" s="16" t="s">
        <v>40</v>
      </c>
      <c r="X585" s="19">
        <v>1.7999999999999999E-2</v>
      </c>
      <c r="Y585" s="20">
        <v>8.3999999999999995E-5</v>
      </c>
      <c r="Z585" s="21">
        <v>4601004036161</v>
      </c>
    </row>
    <row r="586" spans="1:26" ht="12" customHeight="1" outlineLevel="4" x14ac:dyDescent="0.2">
      <c r="A586" s="14" t="s">
        <v>1184</v>
      </c>
      <c r="B586" s="26" t="s">
        <v>1185</v>
      </c>
      <c r="C586" s="52"/>
      <c r="D586" s="55">
        <f t="shared" si="9"/>
        <v>0</v>
      </c>
      <c r="E586" s="63" t="str">
        <f>HYPERLINK("https://www.sds-group.ru/product/tsokol-patron-gu-5-3-s-provodom-rexant-11-8805/", "Инфо")</f>
        <v>Инфо</v>
      </c>
      <c r="F586" s="16" t="s">
        <v>39</v>
      </c>
      <c r="G586" s="15"/>
      <c r="H586" s="15"/>
      <c r="I586" s="15"/>
      <c r="J586" s="22">
        <v>8847</v>
      </c>
      <c r="K586" s="15" t="s">
        <v>922</v>
      </c>
      <c r="L586" s="17">
        <v>20</v>
      </c>
      <c r="M586" s="22">
        <v>2000</v>
      </c>
      <c r="N586" s="17">
        <v>20</v>
      </c>
      <c r="O586" s="18">
        <v>28.01</v>
      </c>
      <c r="P586" s="18">
        <v>22.96</v>
      </c>
      <c r="Q586" s="18">
        <v>23.81</v>
      </c>
      <c r="R586" s="18">
        <v>19.52</v>
      </c>
      <c r="S586" s="18">
        <v>19.05</v>
      </c>
      <c r="T586" s="18">
        <v>15.61</v>
      </c>
      <c r="U586" s="16"/>
      <c r="V586" s="16"/>
      <c r="W586" s="16" t="s">
        <v>40</v>
      </c>
      <c r="X586" s="19">
        <v>8.0000000000000002E-3</v>
      </c>
      <c r="Y586" s="20">
        <v>3.8000000000000002E-5</v>
      </c>
      <c r="Z586" s="21">
        <v>4601004036178</v>
      </c>
    </row>
    <row r="587" spans="1:26" ht="12.95" customHeight="1" outlineLevel="3" x14ac:dyDescent="0.2">
      <c r="A587" s="76" t="s">
        <v>1186</v>
      </c>
      <c r="B587" s="76"/>
      <c r="C587" s="77"/>
      <c r="D587" s="58"/>
      <c r="E587" s="68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</row>
    <row r="588" spans="1:26" ht="12" customHeight="1" outlineLevel="4" x14ac:dyDescent="0.2">
      <c r="A588" s="14" t="s">
        <v>1187</v>
      </c>
      <c r="B588" s="26" t="s">
        <v>1188</v>
      </c>
      <c r="C588" s="52"/>
      <c r="D588" s="55">
        <f t="shared" si="9"/>
        <v>0</v>
      </c>
      <c r="E588" s="63" t="str">
        <f>HYPERLINK("https://www.sds-group.ru/product/perehodnik-e27-e27-gibkiy-150-mm-rexant-11-8868/", "Инфо")</f>
        <v>Инфо</v>
      </c>
      <c r="F588" s="16" t="s">
        <v>39</v>
      </c>
      <c r="G588" s="15"/>
      <c r="H588" s="15"/>
      <c r="I588" s="15"/>
      <c r="J588" s="17">
        <v>828</v>
      </c>
      <c r="K588" s="15" t="s">
        <v>922</v>
      </c>
      <c r="L588" s="17">
        <v>5</v>
      </c>
      <c r="M588" s="17">
        <v>120</v>
      </c>
      <c r="N588" s="17">
        <v>5</v>
      </c>
      <c r="O588" s="18">
        <v>362.84</v>
      </c>
      <c r="P588" s="18">
        <v>297.41000000000003</v>
      </c>
      <c r="Q588" s="18">
        <v>308.41000000000003</v>
      </c>
      <c r="R588" s="18">
        <v>252.8</v>
      </c>
      <c r="S588" s="18">
        <v>246.73</v>
      </c>
      <c r="T588" s="18">
        <v>202.24</v>
      </c>
      <c r="U588" s="16"/>
      <c r="V588" s="16"/>
      <c r="W588" s="16" t="s">
        <v>40</v>
      </c>
      <c r="X588" s="19">
        <v>6.9000000000000006E-2</v>
      </c>
      <c r="Y588" s="20">
        <v>4.9700000000000005E-4</v>
      </c>
      <c r="Z588" s="21">
        <v>4601004142510</v>
      </c>
    </row>
    <row r="589" spans="1:26" ht="12" customHeight="1" outlineLevel="4" x14ac:dyDescent="0.2">
      <c r="A589" s="14" t="s">
        <v>1189</v>
      </c>
      <c r="B589" s="26" t="s">
        <v>1190</v>
      </c>
      <c r="C589" s="52"/>
      <c r="D589" s="55">
        <f t="shared" si="9"/>
        <v>0</v>
      </c>
      <c r="E589" s="63" t="str">
        <f>HYPERLINK("https://www.sds-group.ru/product/perehodnik-e27-e27-gibkiy-300-mm-rexant-11-8869/", "Инфо")</f>
        <v>Инфо</v>
      </c>
      <c r="F589" s="16" t="s">
        <v>39</v>
      </c>
      <c r="G589" s="15"/>
      <c r="H589" s="15"/>
      <c r="I589" s="15"/>
      <c r="J589" s="17">
        <v>20</v>
      </c>
      <c r="K589" s="15" t="s">
        <v>940</v>
      </c>
      <c r="L589" s="17">
        <v>5</v>
      </c>
      <c r="M589" s="17">
        <v>120</v>
      </c>
      <c r="N589" s="17">
        <v>5</v>
      </c>
      <c r="O589" s="18">
        <v>292.68</v>
      </c>
      <c r="P589" s="18">
        <v>239.9</v>
      </c>
      <c r="Q589" s="18">
        <v>248.78</v>
      </c>
      <c r="R589" s="18">
        <v>203.92</v>
      </c>
      <c r="S589" s="18">
        <v>199.02</v>
      </c>
      <c r="T589" s="18">
        <v>163.13</v>
      </c>
      <c r="U589" s="16"/>
      <c r="V589" s="16"/>
      <c r="W589" s="16" t="s">
        <v>40</v>
      </c>
      <c r="X589" s="19">
        <v>0.111</v>
      </c>
      <c r="Y589" s="20">
        <v>4.44E-4</v>
      </c>
      <c r="Z589" s="21">
        <v>4601004142527</v>
      </c>
    </row>
    <row r="590" spans="1:26" ht="12" customHeight="1" outlineLevel="4" x14ac:dyDescent="0.2">
      <c r="A590" s="14" t="s">
        <v>1191</v>
      </c>
      <c r="B590" s="26" t="s">
        <v>1192</v>
      </c>
      <c r="C590" s="52"/>
      <c r="D590" s="55">
        <f t="shared" si="9"/>
        <v>0</v>
      </c>
      <c r="E590" s="63" t="str">
        <f>HYPERLINK("https://www.sds-group.ru/product/perehodnik-tsokolnyy-e14-e27-chernyy-rexant-11-8871/", "Инфо")</f>
        <v>Инфо</v>
      </c>
      <c r="F590" s="16" t="s">
        <v>39</v>
      </c>
      <c r="G590" s="15"/>
      <c r="H590" s="15"/>
      <c r="I590" s="15"/>
      <c r="J590" s="17">
        <v>992</v>
      </c>
      <c r="K590" s="15"/>
      <c r="L590" s="17">
        <v>10</v>
      </c>
      <c r="M590" s="17">
        <v>360</v>
      </c>
      <c r="N590" s="17">
        <v>10</v>
      </c>
      <c r="O590" s="18">
        <v>140.38999999999999</v>
      </c>
      <c r="P590" s="18">
        <v>115.07</v>
      </c>
      <c r="Q590" s="18">
        <v>119.33</v>
      </c>
      <c r="R590" s="18">
        <v>97.81</v>
      </c>
      <c r="S590" s="18">
        <v>95.47</v>
      </c>
      <c r="T590" s="18">
        <v>78.25</v>
      </c>
      <c r="U590" s="16"/>
      <c r="V590" s="16"/>
      <c r="W590" s="16" t="s">
        <v>40</v>
      </c>
      <c r="X590" s="19">
        <v>1.6E-2</v>
      </c>
      <c r="Y590" s="20">
        <v>1.2799999999999999E-4</v>
      </c>
      <c r="Z590" s="21">
        <v>4601004142640</v>
      </c>
    </row>
    <row r="591" spans="1:26" ht="12" customHeight="1" outlineLevel="4" x14ac:dyDescent="0.2">
      <c r="A591" s="32" t="s">
        <v>1193</v>
      </c>
      <c r="B591" s="74" t="s">
        <v>1194</v>
      </c>
      <c r="C591" s="50"/>
      <c r="D591" s="53">
        <f t="shared" si="9"/>
        <v>0</v>
      </c>
      <c r="E591" s="60" t="str">
        <f>HYPERLINK("https://www.sds-group.ru/product/perehodnik-tsokolnyy-e14-gu10-belyy-rexant-11-8834/", "Инфо")</f>
        <v>Инфо</v>
      </c>
      <c r="F591" s="34" t="s">
        <v>39</v>
      </c>
      <c r="G591" s="33"/>
      <c r="H591" s="33" t="s">
        <v>40</v>
      </c>
      <c r="I591" s="33"/>
      <c r="J591" s="35">
        <v>822</v>
      </c>
      <c r="K591" s="33"/>
      <c r="L591" s="35">
        <v>12</v>
      </c>
      <c r="M591" s="35">
        <v>600</v>
      </c>
      <c r="N591" s="35">
        <v>12</v>
      </c>
      <c r="O591" s="36">
        <v>85.5</v>
      </c>
      <c r="P591" s="36">
        <v>70.08</v>
      </c>
      <c r="Q591" s="36">
        <v>59.85</v>
      </c>
      <c r="R591" s="36">
        <v>49.06</v>
      </c>
      <c r="S591" s="36">
        <v>58.14</v>
      </c>
      <c r="T591" s="36">
        <v>47.66</v>
      </c>
      <c r="U591" s="34"/>
      <c r="V591" s="34"/>
      <c r="W591" s="34"/>
      <c r="X591" s="37">
        <v>2.8000000000000001E-2</v>
      </c>
      <c r="Y591" s="38">
        <v>8.7000000000000001E-5</v>
      </c>
      <c r="Z591" s="21">
        <v>4601004030428</v>
      </c>
    </row>
    <row r="592" spans="1:26" ht="12" customHeight="1" outlineLevel="4" x14ac:dyDescent="0.2">
      <c r="A592" s="14" t="s">
        <v>1195</v>
      </c>
      <c r="B592" s="26" t="s">
        <v>1196</v>
      </c>
      <c r="C592" s="52"/>
      <c r="D592" s="55">
        <f t="shared" si="9"/>
        <v>0</v>
      </c>
      <c r="E592" s="63" t="str">
        <f>HYPERLINK("https://www.sds-group.ru/product/perehodnik-tsokolnyy-e27-e14-belyy-rexant-11-8813/", "Инфо")</f>
        <v>Инфо</v>
      </c>
      <c r="F592" s="16" t="s">
        <v>39</v>
      </c>
      <c r="G592" s="15"/>
      <c r="H592" s="15"/>
      <c r="I592" s="15"/>
      <c r="J592" s="22">
        <v>2396</v>
      </c>
      <c r="K592" s="15" t="s">
        <v>979</v>
      </c>
      <c r="L592" s="17">
        <v>50</v>
      </c>
      <c r="M592" s="17">
        <v>400</v>
      </c>
      <c r="N592" s="17">
        <v>50</v>
      </c>
      <c r="O592" s="18">
        <v>67.2</v>
      </c>
      <c r="P592" s="18">
        <v>55.08</v>
      </c>
      <c r="Q592" s="18">
        <v>57.12</v>
      </c>
      <c r="R592" s="18">
        <v>46.82</v>
      </c>
      <c r="S592" s="18">
        <v>45.7</v>
      </c>
      <c r="T592" s="18">
        <v>37.46</v>
      </c>
      <c r="U592" s="16"/>
      <c r="V592" s="16"/>
      <c r="W592" s="16" t="s">
        <v>40</v>
      </c>
      <c r="X592" s="19">
        <v>1.2E-2</v>
      </c>
      <c r="Y592" s="20">
        <v>9.2E-5</v>
      </c>
      <c r="Z592" s="21">
        <v>4601004030459</v>
      </c>
    </row>
    <row r="593" spans="1:26" ht="12" customHeight="1" outlineLevel="4" x14ac:dyDescent="0.2">
      <c r="A593" s="32" t="s">
        <v>1197</v>
      </c>
      <c r="B593" s="74" t="s">
        <v>1198</v>
      </c>
      <c r="C593" s="50"/>
      <c r="D593" s="53">
        <f t="shared" si="9"/>
        <v>0</v>
      </c>
      <c r="E593" s="60" t="str">
        <f>HYPERLINK("https://www.sds-group.ru/product/perehodnik-tsokolnyy-e40-e27-belyy-rexant-11-8821/", "Инфо")</f>
        <v>Инфо</v>
      </c>
      <c r="F593" s="34" t="s">
        <v>39</v>
      </c>
      <c r="G593" s="33"/>
      <c r="H593" s="33" t="s">
        <v>40</v>
      </c>
      <c r="I593" s="33"/>
      <c r="J593" s="39">
        <v>2571</v>
      </c>
      <c r="K593" s="33"/>
      <c r="L593" s="35">
        <v>50</v>
      </c>
      <c r="M593" s="35">
        <v>600</v>
      </c>
      <c r="N593" s="35">
        <v>50</v>
      </c>
      <c r="O593" s="36">
        <v>46.25</v>
      </c>
      <c r="P593" s="36">
        <v>37.909999999999997</v>
      </c>
      <c r="Q593" s="36">
        <v>32.380000000000003</v>
      </c>
      <c r="R593" s="36">
        <v>26.54</v>
      </c>
      <c r="S593" s="36">
        <v>31.45</v>
      </c>
      <c r="T593" s="36">
        <v>25.78</v>
      </c>
      <c r="U593" s="34"/>
      <c r="V593" s="34"/>
      <c r="W593" s="34"/>
      <c r="X593" s="37">
        <v>1.7000000000000001E-2</v>
      </c>
      <c r="Y593" s="38">
        <v>1.02E-4</v>
      </c>
      <c r="Z593" s="21">
        <v>4601004030473</v>
      </c>
    </row>
    <row r="594" spans="1:26" ht="12" customHeight="1" outlineLevel="4" x14ac:dyDescent="0.2">
      <c r="A594" s="32" t="s">
        <v>1199</v>
      </c>
      <c r="B594" s="74" t="s">
        <v>1200</v>
      </c>
      <c r="C594" s="50"/>
      <c r="D594" s="53">
        <f t="shared" si="9"/>
        <v>0</v>
      </c>
      <c r="E594" s="60" t="str">
        <f>HYPERLINK("https://www.sds-group.ru/product/perehodnik-tsokolnyy-gu10-e14-rexant-11-8843/", "Инфо")</f>
        <v>Инфо</v>
      </c>
      <c r="F594" s="34" t="s">
        <v>39</v>
      </c>
      <c r="G594" s="33"/>
      <c r="H594" s="33" t="s">
        <v>40</v>
      </c>
      <c r="I594" s="33"/>
      <c r="J594" s="35">
        <v>1</v>
      </c>
      <c r="K594" s="33"/>
      <c r="L594" s="35">
        <v>25</v>
      </c>
      <c r="M594" s="35">
        <v>500</v>
      </c>
      <c r="N594" s="35">
        <v>25</v>
      </c>
      <c r="O594" s="36">
        <v>100.32</v>
      </c>
      <c r="P594" s="36">
        <v>82.23</v>
      </c>
      <c r="Q594" s="36">
        <v>70.22</v>
      </c>
      <c r="R594" s="36">
        <v>57.56</v>
      </c>
      <c r="S594" s="36">
        <v>68.22</v>
      </c>
      <c r="T594" s="36">
        <v>55.92</v>
      </c>
      <c r="U594" s="34"/>
      <c r="V594" s="34"/>
      <c r="W594" s="34"/>
      <c r="X594" s="37">
        <v>1.6E-2</v>
      </c>
      <c r="Y594" s="38">
        <v>1.2E-4</v>
      </c>
      <c r="Z594" s="21">
        <v>4601004030404</v>
      </c>
    </row>
    <row r="595" spans="1:26" ht="12" customHeight="1" outlineLevel="4" x14ac:dyDescent="0.2">
      <c r="A595" s="14" t="s">
        <v>1201</v>
      </c>
      <c r="B595" s="26" t="s">
        <v>1202</v>
      </c>
      <c r="C595" s="52"/>
      <c r="D595" s="55">
        <f t="shared" si="9"/>
        <v>0</v>
      </c>
      <c r="E595" s="63" t="str">
        <f>HYPERLINK("https://www.sds-group.ru/product/perehodnik-tsokolnyy-gu5-3-gu10-paket-bopp-1-sht-rexant-11-8854-9/", "Инфо")</f>
        <v>Инфо</v>
      </c>
      <c r="F595" s="16" t="s">
        <v>39</v>
      </c>
      <c r="G595" s="15"/>
      <c r="H595" s="15"/>
      <c r="I595" s="15"/>
      <c r="J595" s="17">
        <v>373</v>
      </c>
      <c r="K595" s="15"/>
      <c r="L595" s="17">
        <v>1</v>
      </c>
      <c r="M595" s="17">
        <v>600</v>
      </c>
      <c r="N595" s="17">
        <v>1</v>
      </c>
      <c r="O595" s="18">
        <v>391.82</v>
      </c>
      <c r="P595" s="18">
        <v>321.16000000000003</v>
      </c>
      <c r="Q595" s="18">
        <v>333.05</v>
      </c>
      <c r="R595" s="18">
        <v>272.99</v>
      </c>
      <c r="S595" s="18">
        <v>266.44</v>
      </c>
      <c r="T595" s="18">
        <v>218.39</v>
      </c>
      <c r="U595" s="16"/>
      <c r="V595" s="16"/>
      <c r="W595" s="16" t="s">
        <v>40</v>
      </c>
      <c r="X595" s="19">
        <v>2.1000000000000001E-2</v>
      </c>
      <c r="Y595" s="20">
        <v>1.8900000000000001E-4</v>
      </c>
      <c r="Z595" s="21">
        <v>4601004063389</v>
      </c>
    </row>
    <row r="596" spans="1:26" ht="12" customHeight="1" outlineLevel="4" x14ac:dyDescent="0.2">
      <c r="A596" s="14" t="s">
        <v>1203</v>
      </c>
      <c r="B596" s="26" t="s">
        <v>1204</v>
      </c>
      <c r="C596" s="52"/>
      <c r="D596" s="55">
        <f t="shared" si="9"/>
        <v>0</v>
      </c>
      <c r="E596" s="63" t="str">
        <f>HYPERLINK("https://www.sds-group.ru/product/perehodnik-tsokolnyy-gu5-3-gu10-rexant-11-8854/", "Инфо")</f>
        <v>Инфо</v>
      </c>
      <c r="F596" s="16" t="s">
        <v>39</v>
      </c>
      <c r="G596" s="15"/>
      <c r="H596" s="15"/>
      <c r="I596" s="15"/>
      <c r="J596" s="17">
        <v>840</v>
      </c>
      <c r="K596" s="15"/>
      <c r="L596" s="17">
        <v>25</v>
      </c>
      <c r="M596" s="17">
        <v>500</v>
      </c>
      <c r="N596" s="17">
        <v>25</v>
      </c>
      <c r="O596" s="18">
        <v>314.14999999999998</v>
      </c>
      <c r="P596" s="18">
        <v>257.5</v>
      </c>
      <c r="Q596" s="18">
        <v>267.02999999999997</v>
      </c>
      <c r="R596" s="18">
        <v>218.88</v>
      </c>
      <c r="S596" s="18">
        <v>213.62</v>
      </c>
      <c r="T596" s="18">
        <v>175.1</v>
      </c>
      <c r="U596" s="16"/>
      <c r="V596" s="16"/>
      <c r="W596" s="16" t="s">
        <v>40</v>
      </c>
      <c r="X596" s="19">
        <v>1.9E-2</v>
      </c>
      <c r="Y596" s="20">
        <v>4.7899999999999999E-4</v>
      </c>
      <c r="Z596" s="21">
        <v>4601004030398</v>
      </c>
    </row>
    <row r="597" spans="1:26" ht="12" customHeight="1" outlineLevel="4" x14ac:dyDescent="0.2">
      <c r="A597" s="14" t="s">
        <v>1205</v>
      </c>
      <c r="B597" s="26" t="s">
        <v>1206</v>
      </c>
      <c r="C597" s="52"/>
      <c r="D597" s="55">
        <f t="shared" si="9"/>
        <v>0</v>
      </c>
      <c r="E597" s="63" t="str">
        <f>HYPERLINK("https://www.sds-group.ru/product/perehodnik-tsokolnyy-e14-e27-belyy-rexant-11-8831/", "Инфо")</f>
        <v>Инфо</v>
      </c>
      <c r="F597" s="16" t="s">
        <v>39</v>
      </c>
      <c r="G597" s="15"/>
      <c r="H597" s="15"/>
      <c r="I597" s="15"/>
      <c r="J597" s="22">
        <v>3876</v>
      </c>
      <c r="K597" s="15" t="s">
        <v>979</v>
      </c>
      <c r="L597" s="17">
        <v>10</v>
      </c>
      <c r="M597" s="17">
        <v>360</v>
      </c>
      <c r="N597" s="17">
        <v>10</v>
      </c>
      <c r="O597" s="18">
        <v>75.59</v>
      </c>
      <c r="P597" s="18">
        <v>61.96</v>
      </c>
      <c r="Q597" s="18">
        <v>64.25</v>
      </c>
      <c r="R597" s="18">
        <v>52.66</v>
      </c>
      <c r="S597" s="18">
        <v>51.4</v>
      </c>
      <c r="T597" s="18">
        <v>42.13</v>
      </c>
      <c r="U597" s="16"/>
      <c r="V597" s="16"/>
      <c r="W597" s="16" t="s">
        <v>40</v>
      </c>
      <c r="X597" s="19">
        <v>1.4E-2</v>
      </c>
      <c r="Y597" s="20">
        <v>1.2999999999999999E-4</v>
      </c>
      <c r="Z597" s="21">
        <v>4601004030435</v>
      </c>
    </row>
    <row r="598" spans="1:26" ht="12" customHeight="1" outlineLevel="4" x14ac:dyDescent="0.2">
      <c r="A598" s="32" t="s">
        <v>1207</v>
      </c>
      <c r="B598" s="74" t="s">
        <v>1208</v>
      </c>
      <c r="C598" s="50"/>
      <c r="D598" s="53">
        <f t="shared" si="9"/>
        <v>0</v>
      </c>
      <c r="E598" s="60" t="str">
        <f>HYPERLINK("https://www.sds-group.ru/product/perehodnik-tsokolnyy-e27-e40-rexant-11-8812/", "Инфо")</f>
        <v>Инфо</v>
      </c>
      <c r="F598" s="34" t="s">
        <v>39</v>
      </c>
      <c r="G598" s="33"/>
      <c r="H598" s="33" t="s">
        <v>40</v>
      </c>
      <c r="I598" s="33"/>
      <c r="J598" s="39">
        <v>2213</v>
      </c>
      <c r="K598" s="33"/>
      <c r="L598" s="35">
        <v>20</v>
      </c>
      <c r="M598" s="35">
        <v>400</v>
      </c>
      <c r="N598" s="35">
        <v>20</v>
      </c>
      <c r="O598" s="36">
        <v>117.52</v>
      </c>
      <c r="P598" s="36">
        <v>96.33</v>
      </c>
      <c r="Q598" s="36">
        <v>82.26</v>
      </c>
      <c r="R598" s="36">
        <v>67.430000000000007</v>
      </c>
      <c r="S598" s="36">
        <v>79.91</v>
      </c>
      <c r="T598" s="36">
        <v>65.5</v>
      </c>
      <c r="U598" s="34"/>
      <c r="V598" s="34"/>
      <c r="W598" s="34"/>
      <c r="X598" s="37">
        <v>5.5E-2</v>
      </c>
      <c r="Y598" s="38">
        <v>1.6899999999999999E-4</v>
      </c>
      <c r="Z598" s="21">
        <v>4601004030466</v>
      </c>
    </row>
    <row r="599" spans="1:26" ht="12" customHeight="1" outlineLevel="4" x14ac:dyDescent="0.2">
      <c r="A599" s="32" t="s">
        <v>1209</v>
      </c>
      <c r="B599" s="74" t="s">
        <v>1210</v>
      </c>
      <c r="C599" s="50"/>
      <c r="D599" s="53">
        <f t="shared" si="9"/>
        <v>0</v>
      </c>
      <c r="E599" s="60" t="str">
        <f>HYPERLINK("https://www.sds-group.ru/product/perehodnik-svetilnik-dlya-krepleniya-v-shtepselnoy-setevoy-rozetke-perehodnik-tsokolnyy-ac-2-11-8883/", "Инфо")</f>
        <v>Инфо</v>
      </c>
      <c r="F599" s="34" t="s">
        <v>39</v>
      </c>
      <c r="G599" s="33"/>
      <c r="H599" s="33" t="s">
        <v>40</v>
      </c>
      <c r="I599" s="33"/>
      <c r="J599" s="35">
        <v>94</v>
      </c>
      <c r="K599" s="33" t="s">
        <v>922</v>
      </c>
      <c r="L599" s="35">
        <v>1</v>
      </c>
      <c r="M599" s="35">
        <v>360</v>
      </c>
      <c r="N599" s="35">
        <v>1</v>
      </c>
      <c r="O599" s="36">
        <v>182.32</v>
      </c>
      <c r="P599" s="36">
        <v>149.44</v>
      </c>
      <c r="Q599" s="36">
        <v>154.97</v>
      </c>
      <c r="R599" s="36">
        <v>127.02</v>
      </c>
      <c r="S599" s="36">
        <v>123.98</v>
      </c>
      <c r="T599" s="36">
        <v>101.62</v>
      </c>
      <c r="U599" s="34"/>
      <c r="V599" s="34"/>
      <c r="W599" s="34" t="s">
        <v>40</v>
      </c>
      <c r="X599" s="37">
        <v>0.04</v>
      </c>
      <c r="Y599" s="38">
        <v>2.3599999999999999E-4</v>
      </c>
      <c r="Z599" s="21">
        <v>4601004032743</v>
      </c>
    </row>
    <row r="600" spans="1:26" ht="12" customHeight="1" outlineLevel="4" x14ac:dyDescent="0.2">
      <c r="A600" s="14" t="s">
        <v>1211</v>
      </c>
      <c r="B600" s="26" t="s">
        <v>1212</v>
      </c>
      <c r="C600" s="52"/>
      <c r="D600" s="55">
        <f t="shared" si="9"/>
        <v>0</v>
      </c>
      <c r="E600" s="63" t="str">
        <f>HYPERLINK("https://www.sds-group.ru/product/perehodnik-svetilnik-dlya-krepleniya-v-shtepselnoy-setevoy-rozetke-perehodnik-tsokolnyy-ac-2-11-8881/", "Инфо")</f>
        <v>Инфо</v>
      </c>
      <c r="F600" s="16" t="s">
        <v>39</v>
      </c>
      <c r="G600" s="15"/>
      <c r="H600" s="15"/>
      <c r="I600" s="15"/>
      <c r="J600" s="22">
        <v>2084</v>
      </c>
      <c r="K600" s="15" t="s">
        <v>922</v>
      </c>
      <c r="L600" s="17">
        <v>12</v>
      </c>
      <c r="M600" s="17">
        <v>360</v>
      </c>
      <c r="N600" s="17">
        <v>12</v>
      </c>
      <c r="O600" s="18">
        <v>158.54</v>
      </c>
      <c r="P600" s="18">
        <v>129.94999999999999</v>
      </c>
      <c r="Q600" s="18">
        <v>134.76</v>
      </c>
      <c r="R600" s="18">
        <v>110.46</v>
      </c>
      <c r="S600" s="18">
        <v>107.81</v>
      </c>
      <c r="T600" s="18">
        <v>88.37</v>
      </c>
      <c r="U600" s="16"/>
      <c r="V600" s="16"/>
      <c r="W600" s="16" t="s">
        <v>40</v>
      </c>
      <c r="X600" s="19">
        <v>3.7999999999999999E-2</v>
      </c>
      <c r="Y600" s="20">
        <v>2.4600000000000002E-4</v>
      </c>
      <c r="Z600" s="21">
        <v>4601004032736</v>
      </c>
    </row>
    <row r="601" spans="1:26" ht="12" customHeight="1" outlineLevel="4" x14ac:dyDescent="0.2">
      <c r="A601" s="14" t="s">
        <v>1213</v>
      </c>
      <c r="B601" s="26" t="s">
        <v>1214</v>
      </c>
      <c r="C601" s="52"/>
      <c r="D601" s="55">
        <f t="shared" si="9"/>
        <v>0</v>
      </c>
      <c r="E601" s="63" t="str">
        <f>HYPERLINK("https://www.sds-group.ru/product/perehodnik-svetilnik-dlya-krepleniya-v-shtepselnoy-setevoy-rozetke-perehodnik-tsokolnyy-gibk-80-1194/", "Инфо")</f>
        <v>Инфо</v>
      </c>
      <c r="F601" s="16" t="s">
        <v>39</v>
      </c>
      <c r="G601" s="15"/>
      <c r="H601" s="15"/>
      <c r="I601" s="15"/>
      <c r="J601" s="17">
        <v>717</v>
      </c>
      <c r="K601" s="15" t="s">
        <v>925</v>
      </c>
      <c r="L601" s="17">
        <v>5</v>
      </c>
      <c r="M601" s="17">
        <v>120</v>
      </c>
      <c r="N601" s="17">
        <v>5</v>
      </c>
      <c r="O601" s="18">
        <v>315.41000000000003</v>
      </c>
      <c r="P601" s="18">
        <v>258.52999999999997</v>
      </c>
      <c r="Q601" s="18">
        <v>252.33</v>
      </c>
      <c r="R601" s="18">
        <v>206.83</v>
      </c>
      <c r="S601" s="18">
        <v>214.48</v>
      </c>
      <c r="T601" s="18">
        <v>175.8</v>
      </c>
      <c r="U601" s="16"/>
      <c r="V601" s="16"/>
      <c r="W601" s="16" t="s">
        <v>40</v>
      </c>
      <c r="X601" s="19">
        <v>9.8000000000000004E-2</v>
      </c>
      <c r="Y601" s="20">
        <v>5.2800000000000004E-4</v>
      </c>
      <c r="Z601" s="21">
        <v>4601004142541</v>
      </c>
    </row>
    <row r="602" spans="1:26" ht="12" customHeight="1" outlineLevel="4" x14ac:dyDescent="0.2">
      <c r="A602" s="14" t="s">
        <v>1215</v>
      </c>
      <c r="B602" s="26" t="s">
        <v>1216</v>
      </c>
      <c r="C602" s="52"/>
      <c r="D602" s="55">
        <f t="shared" si="9"/>
        <v>0</v>
      </c>
      <c r="E602" s="63" t="str">
        <f>HYPERLINK("https://www.sds-group.ru/product/razvetvitel-tsokolnyy-e27-2he27-belyy-rexant-11-8811/", "Инфо")</f>
        <v>Инфо</v>
      </c>
      <c r="F602" s="16" t="s">
        <v>39</v>
      </c>
      <c r="G602" s="15"/>
      <c r="H602" s="15"/>
      <c r="I602" s="15"/>
      <c r="J602" s="22">
        <v>12967</v>
      </c>
      <c r="K602" s="15" t="s">
        <v>925</v>
      </c>
      <c r="L602" s="17">
        <v>10</v>
      </c>
      <c r="M602" s="17">
        <v>360</v>
      </c>
      <c r="N602" s="17">
        <v>10</v>
      </c>
      <c r="O602" s="18">
        <v>106.31</v>
      </c>
      <c r="P602" s="18">
        <v>87.14</v>
      </c>
      <c r="Q602" s="18">
        <v>90.36</v>
      </c>
      <c r="R602" s="18">
        <v>74.069999999999993</v>
      </c>
      <c r="S602" s="18">
        <v>72.290000000000006</v>
      </c>
      <c r="T602" s="18">
        <v>59.25</v>
      </c>
      <c r="U602" s="16"/>
      <c r="V602" s="16"/>
      <c r="W602" s="16" t="s">
        <v>40</v>
      </c>
      <c r="X602" s="19">
        <v>2.3E-2</v>
      </c>
      <c r="Y602" s="20">
        <v>2.0799999999999999E-4</v>
      </c>
      <c r="Z602" s="21">
        <v>4601004036185</v>
      </c>
    </row>
    <row r="603" spans="1:26" ht="12" customHeight="1" outlineLevel="4" x14ac:dyDescent="0.2">
      <c r="A603" s="32" t="s">
        <v>1217</v>
      </c>
      <c r="B603" s="74" t="s">
        <v>1218</v>
      </c>
      <c r="C603" s="50"/>
      <c r="D603" s="53">
        <f t="shared" si="9"/>
        <v>0</v>
      </c>
      <c r="E603" s="60" t="str">
        <f>HYPERLINK("https://www.sds-group.ru/product/razvetvitel-tsokolnyy-e27-2he27-chernyy-rexant-11-8860/", "Инфо")</f>
        <v>Инфо</v>
      </c>
      <c r="F603" s="34" t="s">
        <v>39</v>
      </c>
      <c r="G603" s="33"/>
      <c r="H603" s="33" t="s">
        <v>40</v>
      </c>
      <c r="I603" s="33"/>
      <c r="J603" s="39">
        <v>6531</v>
      </c>
      <c r="K603" s="33"/>
      <c r="L603" s="35">
        <v>1</v>
      </c>
      <c r="M603" s="35">
        <v>360</v>
      </c>
      <c r="N603" s="35">
        <v>1</v>
      </c>
      <c r="O603" s="36">
        <v>78.55</v>
      </c>
      <c r="P603" s="36">
        <v>64.39</v>
      </c>
      <c r="Q603" s="36">
        <v>54.99</v>
      </c>
      <c r="R603" s="36">
        <v>45.07</v>
      </c>
      <c r="S603" s="36">
        <v>53.41</v>
      </c>
      <c r="T603" s="36">
        <v>43.78</v>
      </c>
      <c r="U603" s="34"/>
      <c r="V603" s="34"/>
      <c r="W603" s="34"/>
      <c r="X603" s="37">
        <v>2.1000000000000001E-2</v>
      </c>
      <c r="Y603" s="38">
        <v>3.8499999999999998E-4</v>
      </c>
      <c r="Z603" s="21">
        <v>4601004142534</v>
      </c>
    </row>
    <row r="604" spans="1:26" ht="12" customHeight="1" outlineLevel="4" x14ac:dyDescent="0.2">
      <c r="A604" s="14" t="s">
        <v>1219</v>
      </c>
      <c r="B604" s="26" t="s">
        <v>1220</v>
      </c>
      <c r="C604" s="52"/>
      <c r="D604" s="55">
        <f t="shared" si="9"/>
        <v>0</v>
      </c>
      <c r="E604" s="63" t="str">
        <f>HYPERLINK("https://www.sds-group.ru/product/razvetvitel-tsokolnyy-e27-3he27-povorotnyy-tsokol-belyy-rexant-11-8863/", "Инфо")</f>
        <v>Инфо</v>
      </c>
      <c r="F604" s="16" t="s">
        <v>39</v>
      </c>
      <c r="G604" s="15"/>
      <c r="H604" s="15"/>
      <c r="I604" s="15"/>
      <c r="J604" s="17">
        <v>250</v>
      </c>
      <c r="K604" s="15" t="s">
        <v>925</v>
      </c>
      <c r="L604" s="17">
        <v>1</v>
      </c>
      <c r="M604" s="17">
        <v>60</v>
      </c>
      <c r="N604" s="17">
        <v>1</v>
      </c>
      <c r="O604" s="18">
        <v>1382.25</v>
      </c>
      <c r="P604" s="18">
        <v>1132.99</v>
      </c>
      <c r="Q604" s="18">
        <v>967.58</v>
      </c>
      <c r="R604" s="18">
        <v>793.1</v>
      </c>
      <c r="S604" s="18">
        <v>939.93</v>
      </c>
      <c r="T604" s="18">
        <v>770.43</v>
      </c>
      <c r="U604" s="16"/>
      <c r="V604" s="16"/>
      <c r="W604" s="16"/>
      <c r="X604" s="19">
        <v>0.16800000000000001</v>
      </c>
      <c r="Y604" s="20">
        <v>1.142E-3</v>
      </c>
      <c r="Z604" s="21">
        <v>4601004142589</v>
      </c>
    </row>
    <row r="605" spans="1:26" ht="12" customHeight="1" outlineLevel="4" x14ac:dyDescent="0.2">
      <c r="A605" s="14" t="s">
        <v>1221</v>
      </c>
      <c r="B605" s="26" t="s">
        <v>1222</v>
      </c>
      <c r="C605" s="52"/>
      <c r="D605" s="55">
        <f t="shared" si="9"/>
        <v>0</v>
      </c>
      <c r="E605" s="63" t="str">
        <f>HYPERLINK("https://www.sds-group.ru/product/razvetvitel-tsokolnyy-e27-3he27-belyy-rexant-11-8861/", "Инфо")</f>
        <v>Инфо</v>
      </c>
      <c r="F605" s="16" t="s">
        <v>39</v>
      </c>
      <c r="G605" s="15"/>
      <c r="H605" s="15"/>
      <c r="I605" s="15"/>
      <c r="J605" s="17">
        <v>243</v>
      </c>
      <c r="K605" s="15"/>
      <c r="L605" s="17">
        <v>1</v>
      </c>
      <c r="M605" s="17">
        <v>60</v>
      </c>
      <c r="N605" s="17">
        <v>1</v>
      </c>
      <c r="O605" s="18">
        <v>669.87</v>
      </c>
      <c r="P605" s="18">
        <v>549.07000000000005</v>
      </c>
      <c r="Q605" s="18">
        <v>535.9</v>
      </c>
      <c r="R605" s="18">
        <v>439.26</v>
      </c>
      <c r="S605" s="18">
        <v>455.51</v>
      </c>
      <c r="T605" s="18">
        <v>373.37</v>
      </c>
      <c r="U605" s="16"/>
      <c r="V605" s="16"/>
      <c r="W605" s="16" t="s">
        <v>40</v>
      </c>
      <c r="X605" s="19">
        <v>0.18</v>
      </c>
      <c r="Y605" s="20">
        <v>3.4949999999999998E-3</v>
      </c>
      <c r="Z605" s="21">
        <v>4601004142565</v>
      </c>
    </row>
    <row r="606" spans="1:26" ht="12" customHeight="1" outlineLevel="4" x14ac:dyDescent="0.2">
      <c r="A606" s="14" t="s">
        <v>1223</v>
      </c>
      <c r="B606" s="26" t="s">
        <v>1224</v>
      </c>
      <c r="C606" s="52"/>
      <c r="D606" s="55">
        <f t="shared" si="9"/>
        <v>0</v>
      </c>
      <c r="E606" s="63" t="str">
        <f>HYPERLINK("https://www.sds-group.ru/product/razvetvitel-tsokolnyy-e27-4he27-povorotnyy-tsokol-belyy-rexant-11-8864/", "Инфо")</f>
        <v>Инфо</v>
      </c>
      <c r="F606" s="16" t="s">
        <v>39</v>
      </c>
      <c r="G606" s="15"/>
      <c r="H606" s="15"/>
      <c r="I606" s="15"/>
      <c r="J606" s="17">
        <v>404</v>
      </c>
      <c r="K606" s="15"/>
      <c r="L606" s="17">
        <v>1</v>
      </c>
      <c r="M606" s="17">
        <v>60</v>
      </c>
      <c r="N606" s="17">
        <v>1</v>
      </c>
      <c r="O606" s="18">
        <v>1374.75</v>
      </c>
      <c r="P606" s="18">
        <v>1126.8399999999999</v>
      </c>
      <c r="Q606" s="18">
        <v>1086.05</v>
      </c>
      <c r="R606" s="18">
        <v>890.2</v>
      </c>
      <c r="S606" s="18">
        <v>934.83</v>
      </c>
      <c r="T606" s="18">
        <v>766.25</v>
      </c>
      <c r="U606" s="16"/>
      <c r="V606" s="16"/>
      <c r="W606" s="16" t="s">
        <v>40</v>
      </c>
      <c r="X606" s="19">
        <v>0.249</v>
      </c>
      <c r="Y606" s="20">
        <v>1.5790000000000001E-3</v>
      </c>
      <c r="Z606" s="21">
        <v>4601004142596</v>
      </c>
    </row>
    <row r="607" spans="1:26" ht="12" customHeight="1" outlineLevel="4" x14ac:dyDescent="0.2">
      <c r="A607" s="14" t="s">
        <v>1225</v>
      </c>
      <c r="B607" s="26" t="s">
        <v>1226</v>
      </c>
      <c r="C607" s="52"/>
      <c r="D607" s="55">
        <f t="shared" si="9"/>
        <v>0</v>
      </c>
      <c r="E607" s="63" t="str">
        <f>HYPERLINK("https://www.sds-group.ru/product/razvetvitel-tsokolnyy-e27-4he27-belyy-rexant-11-8862/", "Инфо")</f>
        <v>Инфо</v>
      </c>
      <c r="F607" s="16" t="s">
        <v>39</v>
      </c>
      <c r="G607" s="15"/>
      <c r="H607" s="15"/>
      <c r="I607" s="15"/>
      <c r="J607" s="17">
        <v>80</v>
      </c>
      <c r="K607" s="15"/>
      <c r="L607" s="17">
        <v>5</v>
      </c>
      <c r="M607" s="17">
        <v>30</v>
      </c>
      <c r="N607" s="17">
        <v>5</v>
      </c>
      <c r="O607" s="18">
        <v>444.51</v>
      </c>
      <c r="P607" s="18">
        <v>364.35</v>
      </c>
      <c r="Q607" s="18">
        <v>355.61</v>
      </c>
      <c r="R607" s="18">
        <v>291.48</v>
      </c>
      <c r="S607" s="18">
        <v>302.27</v>
      </c>
      <c r="T607" s="18">
        <v>247.76</v>
      </c>
      <c r="U607" s="16"/>
      <c r="V607" s="16"/>
      <c r="W607" s="16" t="s">
        <v>40</v>
      </c>
      <c r="X607" s="19">
        <v>0.216</v>
      </c>
      <c r="Y607" s="20">
        <v>2.346E-3</v>
      </c>
      <c r="Z607" s="21">
        <v>4601004142572</v>
      </c>
    </row>
    <row r="608" spans="1:26" ht="12" customHeight="1" outlineLevel="4" x14ac:dyDescent="0.2">
      <c r="A608" s="14" t="s">
        <v>1227</v>
      </c>
      <c r="B608" s="26" t="s">
        <v>1228</v>
      </c>
      <c r="C608" s="52"/>
      <c r="D608" s="55">
        <f t="shared" si="9"/>
        <v>0</v>
      </c>
      <c r="E608" s="63" t="str">
        <f>HYPERLINK("https://www.sds-group.ru/product/razvetvitel-tsokolnyy-e27-5he27-belyy-rexant-11-8865/", "Инфо")</f>
        <v>Инфо</v>
      </c>
      <c r="F608" s="16" t="s">
        <v>39</v>
      </c>
      <c r="G608" s="15"/>
      <c r="H608" s="15"/>
      <c r="I608" s="15"/>
      <c r="J608" s="17">
        <v>283</v>
      </c>
      <c r="K608" s="15" t="s">
        <v>925</v>
      </c>
      <c r="L608" s="17">
        <v>1</v>
      </c>
      <c r="M608" s="17">
        <v>30</v>
      </c>
      <c r="N608" s="17">
        <v>1</v>
      </c>
      <c r="O608" s="18">
        <v>605.21</v>
      </c>
      <c r="P608" s="18">
        <v>496.07</v>
      </c>
      <c r="Q608" s="18">
        <v>484.17</v>
      </c>
      <c r="R608" s="18">
        <v>396.86</v>
      </c>
      <c r="S608" s="18">
        <v>411.54</v>
      </c>
      <c r="T608" s="18">
        <v>337.33</v>
      </c>
      <c r="U608" s="16"/>
      <c r="V608" s="16"/>
      <c r="W608" s="16" t="s">
        <v>40</v>
      </c>
      <c r="X608" s="19">
        <v>0.14699999999999999</v>
      </c>
      <c r="Y608" s="20">
        <v>2.4580000000000001E-3</v>
      </c>
      <c r="Z608" s="21">
        <v>4601004142503</v>
      </c>
    </row>
    <row r="609" spans="1:26" ht="12.95" customHeight="1" outlineLevel="3" x14ac:dyDescent="0.2">
      <c r="A609" s="76" t="s">
        <v>1229</v>
      </c>
      <c r="B609" s="76"/>
      <c r="C609" s="77"/>
      <c r="D609" s="58"/>
      <c r="E609" s="68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</row>
    <row r="610" spans="1:26" ht="12" customHeight="1" outlineLevel="4" x14ac:dyDescent="0.2">
      <c r="A610" s="14" t="s">
        <v>1230</v>
      </c>
      <c r="B610" s="26" t="s">
        <v>1231</v>
      </c>
      <c r="C610" s="52"/>
      <c r="D610" s="55">
        <f t="shared" si="9"/>
        <v>0</v>
      </c>
      <c r="E610" s="63" t="str">
        <f>HYPERLINK("https://www.sds-group.ru/product/patron-e27-silikonovyy-so-shnurom-1m-belyy-rexant-11-8884/", "Инфо")</f>
        <v>Инфо</v>
      </c>
      <c r="F610" s="16" t="s">
        <v>39</v>
      </c>
      <c r="G610" s="15"/>
      <c r="H610" s="15"/>
      <c r="I610" s="15"/>
      <c r="J610" s="22">
        <v>1153</v>
      </c>
      <c r="K610" s="15" t="s">
        <v>922</v>
      </c>
      <c r="L610" s="17">
        <v>5</v>
      </c>
      <c r="M610" s="17">
        <v>60</v>
      </c>
      <c r="N610" s="17">
        <v>5</v>
      </c>
      <c r="O610" s="18">
        <v>266.49</v>
      </c>
      <c r="P610" s="18">
        <v>218.43</v>
      </c>
      <c r="Q610" s="18">
        <v>226.52</v>
      </c>
      <c r="R610" s="18">
        <v>185.67</v>
      </c>
      <c r="S610" s="18">
        <v>181.21</v>
      </c>
      <c r="T610" s="18">
        <v>148.53</v>
      </c>
      <c r="U610" s="16"/>
      <c r="V610" s="16"/>
      <c r="W610" s="16" t="s">
        <v>40</v>
      </c>
      <c r="X610" s="19">
        <v>0.121</v>
      </c>
      <c r="Y610" s="20">
        <v>1.1850000000000001E-3</v>
      </c>
      <c r="Z610" s="21">
        <v>4601004133198</v>
      </c>
    </row>
    <row r="611" spans="1:26" ht="12" customHeight="1" outlineLevel="4" x14ac:dyDescent="0.2">
      <c r="A611" s="14" t="s">
        <v>1232</v>
      </c>
      <c r="B611" s="26" t="s">
        <v>1233</v>
      </c>
      <c r="C611" s="52"/>
      <c r="D611" s="55">
        <f t="shared" si="9"/>
        <v>0</v>
      </c>
      <c r="E611" s="63" t="str">
        <f>HYPERLINK("https://www.sds-group.ru/product/patron-e27-silikonovyy-so-shnurom-1m-zheltyy-rexant-11-8889/", "Инфо")</f>
        <v>Инфо</v>
      </c>
      <c r="F611" s="16" t="s">
        <v>39</v>
      </c>
      <c r="G611" s="15"/>
      <c r="H611" s="15"/>
      <c r="I611" s="15"/>
      <c r="J611" s="17">
        <v>678</v>
      </c>
      <c r="K611" s="15" t="s">
        <v>922</v>
      </c>
      <c r="L611" s="17">
        <v>5</v>
      </c>
      <c r="M611" s="17">
        <v>60</v>
      </c>
      <c r="N611" s="17">
        <v>5</v>
      </c>
      <c r="O611" s="18">
        <v>257.72000000000003</v>
      </c>
      <c r="P611" s="18">
        <v>211.25</v>
      </c>
      <c r="Q611" s="18">
        <v>180.4</v>
      </c>
      <c r="R611" s="18">
        <v>147.87</v>
      </c>
      <c r="S611" s="18">
        <v>175.25</v>
      </c>
      <c r="T611" s="18">
        <v>143.65</v>
      </c>
      <c r="U611" s="16"/>
      <c r="V611" s="16"/>
      <c r="W611" s="16"/>
      <c r="X611" s="19">
        <v>0.11799999999999999</v>
      </c>
      <c r="Y611" s="20">
        <v>1.101E-3</v>
      </c>
      <c r="Z611" s="21">
        <v>4601004133273</v>
      </c>
    </row>
    <row r="612" spans="1:26" ht="12" customHeight="1" outlineLevel="4" x14ac:dyDescent="0.2">
      <c r="A612" s="32" t="s">
        <v>1234</v>
      </c>
      <c r="B612" s="74" t="s">
        <v>1235</v>
      </c>
      <c r="C612" s="50"/>
      <c r="D612" s="53">
        <f t="shared" si="9"/>
        <v>0</v>
      </c>
      <c r="E612" s="60" t="str">
        <f>HYPERLINK("https://www.sds-group.ru/product/patron-e27-silikonovyy-so-shnurom-1m-zelenyy-rexant-11-8886/", "Инфо")</f>
        <v>Инфо</v>
      </c>
      <c r="F612" s="34" t="s">
        <v>39</v>
      </c>
      <c r="G612" s="33"/>
      <c r="H612" s="33" t="s">
        <v>40</v>
      </c>
      <c r="I612" s="33"/>
      <c r="J612" s="34" t="s">
        <v>100</v>
      </c>
      <c r="K612" s="33"/>
      <c r="L612" s="35">
        <v>1</v>
      </c>
      <c r="M612" s="35">
        <v>60</v>
      </c>
      <c r="N612" s="35">
        <v>1</v>
      </c>
      <c r="O612" s="36">
        <v>229.11</v>
      </c>
      <c r="P612" s="36">
        <v>187.8</v>
      </c>
      <c r="Q612" s="36">
        <v>160.38</v>
      </c>
      <c r="R612" s="36">
        <v>131.46</v>
      </c>
      <c r="S612" s="36">
        <v>155.79</v>
      </c>
      <c r="T612" s="36">
        <v>127.7</v>
      </c>
      <c r="U612" s="34"/>
      <c r="V612" s="34"/>
      <c r="W612" s="34"/>
      <c r="X612" s="37">
        <v>0.11700000000000001</v>
      </c>
      <c r="Y612" s="38">
        <v>1.0989999999999999E-3</v>
      </c>
      <c r="Z612" s="21">
        <v>4601004133242</v>
      </c>
    </row>
    <row r="613" spans="1:26" ht="12" customHeight="1" outlineLevel="4" x14ac:dyDescent="0.2">
      <c r="A613" s="32" t="s">
        <v>1236</v>
      </c>
      <c r="B613" s="74" t="s">
        <v>1237</v>
      </c>
      <c r="C613" s="50"/>
      <c r="D613" s="53">
        <f t="shared" si="9"/>
        <v>0</v>
      </c>
      <c r="E613" s="60" t="str">
        <f>HYPERLINK("https://www.sds-group.ru/product/patron-e27-silikonovyy-so-shnurom-1m-krasnyy-rexant-11-8888/", "Инфо")</f>
        <v>Инфо</v>
      </c>
      <c r="F613" s="34" t="s">
        <v>39</v>
      </c>
      <c r="G613" s="33"/>
      <c r="H613" s="33" t="s">
        <v>40</v>
      </c>
      <c r="I613" s="33"/>
      <c r="J613" s="35">
        <v>112</v>
      </c>
      <c r="K613" s="33"/>
      <c r="L613" s="35">
        <v>1</v>
      </c>
      <c r="M613" s="35">
        <v>60</v>
      </c>
      <c r="N613" s="35">
        <v>1</v>
      </c>
      <c r="O613" s="36">
        <v>230.88</v>
      </c>
      <c r="P613" s="36">
        <v>189.25</v>
      </c>
      <c r="Q613" s="36">
        <v>161.62</v>
      </c>
      <c r="R613" s="36">
        <v>132.47999999999999</v>
      </c>
      <c r="S613" s="36">
        <v>157</v>
      </c>
      <c r="T613" s="36">
        <v>128.69</v>
      </c>
      <c r="U613" s="34"/>
      <c r="V613" s="34"/>
      <c r="W613" s="34"/>
      <c r="X613" s="37">
        <v>0.11899999999999999</v>
      </c>
      <c r="Y613" s="38">
        <v>1.3320000000000001E-3</v>
      </c>
      <c r="Z613" s="21">
        <v>4601004133266</v>
      </c>
    </row>
    <row r="614" spans="1:26" ht="12" customHeight="1" outlineLevel="4" x14ac:dyDescent="0.2">
      <c r="A614" s="32" t="s">
        <v>1238</v>
      </c>
      <c r="B614" s="74" t="s">
        <v>1239</v>
      </c>
      <c r="C614" s="50"/>
      <c r="D614" s="53">
        <f t="shared" si="9"/>
        <v>0</v>
      </c>
      <c r="E614" s="60" t="str">
        <f>HYPERLINK("https://www.sds-group.ru/product/patron-e27-silikonovyy-so-shnurom-1m-siniy-rexant-11-8885/", "Инфо")</f>
        <v>Инфо</v>
      </c>
      <c r="F614" s="34" t="s">
        <v>39</v>
      </c>
      <c r="G614" s="33"/>
      <c r="H614" s="33" t="s">
        <v>40</v>
      </c>
      <c r="I614" s="33"/>
      <c r="J614" s="35">
        <v>755</v>
      </c>
      <c r="K614" s="33"/>
      <c r="L614" s="35">
        <v>1</v>
      </c>
      <c r="M614" s="35">
        <v>60</v>
      </c>
      <c r="N614" s="35">
        <v>1</v>
      </c>
      <c r="O614" s="36">
        <v>193.96</v>
      </c>
      <c r="P614" s="36">
        <v>158.97999999999999</v>
      </c>
      <c r="Q614" s="36">
        <v>135.77000000000001</v>
      </c>
      <c r="R614" s="36">
        <v>111.29</v>
      </c>
      <c r="S614" s="36">
        <v>131.88999999999999</v>
      </c>
      <c r="T614" s="36">
        <v>108.11</v>
      </c>
      <c r="U614" s="34"/>
      <c r="V614" s="34"/>
      <c r="W614" s="34"/>
      <c r="X614" s="37">
        <v>0.11799999999999999</v>
      </c>
      <c r="Y614" s="38">
        <v>1.2260000000000001E-3</v>
      </c>
      <c r="Z614" s="21">
        <v>4601004133235</v>
      </c>
    </row>
    <row r="615" spans="1:26" ht="12" customHeight="1" outlineLevel="4" x14ac:dyDescent="0.2">
      <c r="A615" s="32" t="s">
        <v>1240</v>
      </c>
      <c r="B615" s="74" t="s">
        <v>1241</v>
      </c>
      <c r="C615" s="50"/>
      <c r="D615" s="53">
        <f t="shared" si="9"/>
        <v>0</v>
      </c>
      <c r="E615" s="60" t="str">
        <f>HYPERLINK("https://www.sds-group.ru/product/patron-e27-silikonovyy-so-shnurom-1m-fioletovyy-rexant-11-8887/", "Инфо")</f>
        <v>Инфо</v>
      </c>
      <c r="F615" s="34" t="s">
        <v>39</v>
      </c>
      <c r="G615" s="33"/>
      <c r="H615" s="33" t="s">
        <v>40</v>
      </c>
      <c r="I615" s="33"/>
      <c r="J615" s="35">
        <v>51</v>
      </c>
      <c r="K615" s="33"/>
      <c r="L615" s="35">
        <v>1</v>
      </c>
      <c r="M615" s="35">
        <v>60</v>
      </c>
      <c r="N615" s="35">
        <v>1</v>
      </c>
      <c r="O615" s="36">
        <v>230.88</v>
      </c>
      <c r="P615" s="36">
        <v>189.25</v>
      </c>
      <c r="Q615" s="36">
        <v>161.62</v>
      </c>
      <c r="R615" s="36">
        <v>132.47999999999999</v>
      </c>
      <c r="S615" s="36">
        <v>157</v>
      </c>
      <c r="T615" s="36">
        <v>128.69</v>
      </c>
      <c r="U615" s="34"/>
      <c r="V615" s="34"/>
      <c r="W615" s="34"/>
      <c r="X615" s="37">
        <v>0.11899999999999999</v>
      </c>
      <c r="Y615" s="38">
        <v>7.6199999999999998E-4</v>
      </c>
      <c r="Z615" s="21">
        <v>4601004133259</v>
      </c>
    </row>
    <row r="616" spans="1:26" ht="12" customHeight="1" outlineLevel="4" x14ac:dyDescent="0.2">
      <c r="A616" s="14" t="s">
        <v>1242</v>
      </c>
      <c r="B616" s="26" t="s">
        <v>1243</v>
      </c>
      <c r="C616" s="52"/>
      <c r="D616" s="55">
        <f t="shared" si="9"/>
        <v>0</v>
      </c>
      <c r="E616" s="63" t="str">
        <f>HYPERLINK("https://www.sds-group.ru/product/patron-e27-silikonovyy-so-shnurom-1m-chernyy-rexant-11-8890/", "Инфо")</f>
        <v>Инфо</v>
      </c>
      <c r="F616" s="16" t="s">
        <v>39</v>
      </c>
      <c r="G616" s="15"/>
      <c r="H616" s="15"/>
      <c r="I616" s="15"/>
      <c r="J616" s="22">
        <v>3409</v>
      </c>
      <c r="K616" s="15" t="s">
        <v>925</v>
      </c>
      <c r="L616" s="17">
        <v>5</v>
      </c>
      <c r="M616" s="17">
        <v>60</v>
      </c>
      <c r="N616" s="17">
        <v>5</v>
      </c>
      <c r="O616" s="18">
        <v>263.93</v>
      </c>
      <c r="P616" s="18">
        <v>216.34</v>
      </c>
      <c r="Q616" s="18">
        <v>224.34</v>
      </c>
      <c r="R616" s="18">
        <v>183.89</v>
      </c>
      <c r="S616" s="18">
        <v>179.47</v>
      </c>
      <c r="T616" s="18">
        <v>147.11000000000001</v>
      </c>
      <c r="U616" s="16"/>
      <c r="V616" s="16"/>
      <c r="W616" s="16" t="s">
        <v>40</v>
      </c>
      <c r="X616" s="19">
        <v>0.11799999999999999</v>
      </c>
      <c r="Y616" s="20">
        <v>1.1640000000000001E-3</v>
      </c>
      <c r="Z616" s="21">
        <v>4601004133280</v>
      </c>
    </row>
    <row r="617" spans="1:26" ht="12.95" customHeight="1" outlineLevel="2" x14ac:dyDescent="0.2">
      <c r="A617" s="76" t="s">
        <v>1244</v>
      </c>
      <c r="B617" s="76"/>
      <c r="C617" s="77"/>
      <c r="D617" s="58"/>
      <c r="E617" s="68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</row>
    <row r="618" spans="1:26" ht="12.95" customHeight="1" outlineLevel="3" x14ac:dyDescent="0.2">
      <c r="A618" s="76" t="s">
        <v>1245</v>
      </c>
      <c r="B618" s="76"/>
      <c r="C618" s="77"/>
      <c r="D618" s="58"/>
      <c r="E618" s="68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</row>
    <row r="619" spans="1:26" ht="12" customHeight="1" outlineLevel="4" x14ac:dyDescent="0.2">
      <c r="A619" s="14" t="s">
        <v>1246</v>
      </c>
      <c r="B619" s="26" t="s">
        <v>1247</v>
      </c>
      <c r="C619" s="52"/>
      <c r="D619" s="55">
        <f t="shared" si="9"/>
        <v>0</v>
      </c>
      <c r="E619" s="63" t="str">
        <f>HYPERLINK("https://www.sds-group.ru/product/rozetka-s-mehanicheskim-taymerom-sutochnyy-15min-24ch-96-on-off-rexant-rx-28-11-6005/", "Инфо")</f>
        <v>Инфо</v>
      </c>
      <c r="F619" s="16" t="s">
        <v>39</v>
      </c>
      <c r="G619" s="15"/>
      <c r="H619" s="15"/>
      <c r="I619" s="15"/>
      <c r="J619" s="22">
        <v>31440</v>
      </c>
      <c r="K619" s="15" t="s">
        <v>1055</v>
      </c>
      <c r="L619" s="17">
        <v>1</v>
      </c>
      <c r="M619" s="17">
        <v>48</v>
      </c>
      <c r="N619" s="17">
        <v>1</v>
      </c>
      <c r="O619" s="18">
        <v>653.64</v>
      </c>
      <c r="P619" s="18">
        <v>535.77</v>
      </c>
      <c r="Q619" s="18">
        <v>535.98</v>
      </c>
      <c r="R619" s="18">
        <v>439.33</v>
      </c>
      <c r="S619" s="18">
        <v>444.48</v>
      </c>
      <c r="T619" s="18">
        <v>364.33</v>
      </c>
      <c r="U619" s="16"/>
      <c r="V619" s="16"/>
      <c r="W619" s="16"/>
      <c r="X619" s="19">
        <v>0.216</v>
      </c>
      <c r="Y619" s="20">
        <v>1.861E-3</v>
      </c>
      <c r="Z619" s="21">
        <v>4601004042797</v>
      </c>
    </row>
    <row r="620" spans="1:26" ht="12" customHeight="1" outlineLevel="4" x14ac:dyDescent="0.2">
      <c r="A620" s="14" t="s">
        <v>1248</v>
      </c>
      <c r="B620" s="26" t="s">
        <v>1249</v>
      </c>
      <c r="C620" s="52"/>
      <c r="D620" s="55">
        <f t="shared" si="9"/>
        <v>0</v>
      </c>
      <c r="E620" s="63" t="str">
        <f>HYPERLINK("https://www.sds-group.ru/product/rozetka-s-mehanicheskim-taymerom-sutochnyy-30min-24ch-48-on-off-rexant-rx-21-11-6001/", "Инфо")</f>
        <v>Инфо</v>
      </c>
      <c r="F620" s="16" t="s">
        <v>39</v>
      </c>
      <c r="G620" s="15"/>
      <c r="H620" s="15"/>
      <c r="I620" s="15"/>
      <c r="J620" s="22">
        <v>41928</v>
      </c>
      <c r="K620" s="15" t="s">
        <v>1055</v>
      </c>
      <c r="L620" s="17">
        <v>5</v>
      </c>
      <c r="M620" s="17">
        <v>48</v>
      </c>
      <c r="N620" s="17">
        <v>5</v>
      </c>
      <c r="O620" s="18">
        <v>612.74</v>
      </c>
      <c r="P620" s="18">
        <v>502.25</v>
      </c>
      <c r="Q620" s="18">
        <v>428.92</v>
      </c>
      <c r="R620" s="18">
        <v>351.57</v>
      </c>
      <c r="S620" s="18">
        <v>416.66</v>
      </c>
      <c r="T620" s="18">
        <v>341.52</v>
      </c>
      <c r="U620" s="16"/>
      <c r="V620" s="16"/>
      <c r="W620" s="16"/>
      <c r="X620" s="19">
        <v>0.16500000000000001</v>
      </c>
      <c r="Y620" s="20">
        <v>1.276E-3</v>
      </c>
      <c r="Z620" s="21">
        <v>4601004042803</v>
      </c>
    </row>
    <row r="621" spans="1:26" ht="12" customHeight="1" outlineLevel="4" x14ac:dyDescent="0.2">
      <c r="A621" s="14" t="s">
        <v>1250</v>
      </c>
      <c r="B621" s="26" t="s">
        <v>1251</v>
      </c>
      <c r="C621" s="52"/>
      <c r="D621" s="55">
        <f t="shared" si="9"/>
        <v>0</v>
      </c>
      <c r="E621" s="63" t="str">
        <f>HYPERLINK("https://www.sds-group.ru/product/rozetka-s-mehanicheskim-taymerom-sutochnyy-30min-24ch-48-on-off-v-zaschitnom-korpuse-ip44-re-11-6003/", "Инфо")</f>
        <v>Инфо</v>
      </c>
      <c r="F621" s="16" t="s">
        <v>39</v>
      </c>
      <c r="G621" s="15"/>
      <c r="H621" s="15"/>
      <c r="I621" s="15"/>
      <c r="J621" s="22">
        <v>4784</v>
      </c>
      <c r="K621" s="15"/>
      <c r="L621" s="17">
        <v>1</v>
      </c>
      <c r="M621" s="17">
        <v>48</v>
      </c>
      <c r="N621" s="17">
        <v>1</v>
      </c>
      <c r="O621" s="18">
        <v>859.86</v>
      </c>
      <c r="P621" s="18">
        <v>704.8</v>
      </c>
      <c r="Q621" s="18">
        <v>705.09</v>
      </c>
      <c r="R621" s="18">
        <v>577.94000000000005</v>
      </c>
      <c r="S621" s="18">
        <v>584.70000000000005</v>
      </c>
      <c r="T621" s="18">
        <v>479.26</v>
      </c>
      <c r="U621" s="16"/>
      <c r="V621" s="16"/>
      <c r="W621" s="16"/>
      <c r="X621" s="19">
        <v>0.245</v>
      </c>
      <c r="Y621" s="20">
        <v>2.098E-3</v>
      </c>
      <c r="Z621" s="21">
        <v>4601004125551</v>
      </c>
    </row>
    <row r="622" spans="1:26" ht="12" customHeight="1" outlineLevel="4" x14ac:dyDescent="0.2">
      <c r="A622" s="14" t="s">
        <v>1252</v>
      </c>
      <c r="B622" s="26" t="s">
        <v>1253</v>
      </c>
      <c r="C622" s="52"/>
      <c r="D622" s="55">
        <f t="shared" si="9"/>
        <v>0</v>
      </c>
      <c r="E622" s="63" t="str">
        <f>HYPERLINK("https://www.sds-group.ru/product/rozetka-s-elektronnym-taymerom-nedelnyy-1min-7dn-20-programm-on-off-rexant-rx-31a-11-6010/", "Инфо")</f>
        <v>Инфо</v>
      </c>
      <c r="F622" s="16" t="s">
        <v>39</v>
      </c>
      <c r="G622" s="15"/>
      <c r="H622" s="15"/>
      <c r="I622" s="15"/>
      <c r="J622" s="22">
        <v>9834</v>
      </c>
      <c r="K622" s="15"/>
      <c r="L622" s="17">
        <v>1</v>
      </c>
      <c r="M622" s="17">
        <v>48</v>
      </c>
      <c r="N622" s="17">
        <v>1</v>
      </c>
      <c r="O622" s="18">
        <v>1379.69</v>
      </c>
      <c r="P622" s="18">
        <v>1130.8900000000001</v>
      </c>
      <c r="Q622" s="18">
        <v>1131.3499999999999</v>
      </c>
      <c r="R622" s="18">
        <v>927.34</v>
      </c>
      <c r="S622" s="18">
        <v>938.19</v>
      </c>
      <c r="T622" s="18">
        <v>769.01</v>
      </c>
      <c r="U622" s="16"/>
      <c r="V622" s="16"/>
      <c r="W622" s="16"/>
      <c r="X622" s="19">
        <v>0.159</v>
      </c>
      <c r="Y622" s="20">
        <v>1.2880000000000001E-3</v>
      </c>
      <c r="Z622" s="21">
        <v>4601004042810</v>
      </c>
    </row>
    <row r="623" spans="1:26" ht="12.95" customHeight="1" outlineLevel="3" x14ac:dyDescent="0.2">
      <c r="A623" s="76" t="s">
        <v>1254</v>
      </c>
      <c r="B623" s="76"/>
      <c r="C623" s="77"/>
      <c r="D623" s="58"/>
      <c r="E623" s="68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</row>
    <row r="624" spans="1:26" ht="12" customHeight="1" outlineLevel="4" x14ac:dyDescent="0.2">
      <c r="A624" s="14" t="s">
        <v>1255</v>
      </c>
      <c r="B624" s="26" t="s">
        <v>1256</v>
      </c>
      <c r="C624" s="52"/>
      <c r="D624" s="55">
        <f t="shared" si="9"/>
        <v>0</v>
      </c>
      <c r="E624" s="63" t="str">
        <f>HYPERLINK("https://www.sds-group.ru/product/radioupravlyaemaya-rozetka-c-pultom-rx-001-odin-pult-odna-rozetka-10a-30m-rexant-10-6020/", "Инфо")</f>
        <v>Инфо</v>
      </c>
      <c r="F624" s="16" t="s">
        <v>1001</v>
      </c>
      <c r="G624" s="15"/>
      <c r="H624" s="15"/>
      <c r="I624" s="15"/>
      <c r="J624" s="22">
        <v>4532</v>
      </c>
      <c r="K624" s="15"/>
      <c r="L624" s="17">
        <v>1</v>
      </c>
      <c r="M624" s="17">
        <v>20</v>
      </c>
      <c r="N624" s="17">
        <v>1</v>
      </c>
      <c r="O624" s="18">
        <v>1487.63</v>
      </c>
      <c r="P624" s="18">
        <v>1219.3699999999999</v>
      </c>
      <c r="Q624" s="18">
        <v>1041.3399999999999</v>
      </c>
      <c r="R624" s="18">
        <v>853.56</v>
      </c>
      <c r="S624" s="18">
        <v>1011.59</v>
      </c>
      <c r="T624" s="18">
        <v>829.17</v>
      </c>
      <c r="U624" s="16"/>
      <c r="V624" s="16"/>
      <c r="W624" s="16"/>
      <c r="X624" s="19">
        <v>0.20599999999999999</v>
      </c>
      <c r="Y624" s="20">
        <v>1.4649999999999999E-3</v>
      </c>
      <c r="Z624" s="21">
        <v>4601004065963</v>
      </c>
    </row>
    <row r="625" spans="1:26" ht="12" customHeight="1" outlineLevel="4" x14ac:dyDescent="0.2">
      <c r="A625" s="14" t="s">
        <v>1257</v>
      </c>
      <c r="B625" s="26" t="s">
        <v>1258</v>
      </c>
      <c r="C625" s="52"/>
      <c r="D625" s="55">
        <f t="shared" si="9"/>
        <v>0</v>
      </c>
      <c r="E625" s="63" t="str">
        <f>HYPERLINK("https://www.sds-group.ru/product/radioupravlyaemaya-rozetka-c-pultom-rx-002-odin-pult-dve-rozetki-10a-30m-rexant-10-6025/", "Инфо")</f>
        <v>Инфо</v>
      </c>
      <c r="F625" s="16" t="s">
        <v>1001</v>
      </c>
      <c r="G625" s="15"/>
      <c r="H625" s="15"/>
      <c r="I625" s="15"/>
      <c r="J625" s="22">
        <v>1571</v>
      </c>
      <c r="K625" s="15"/>
      <c r="L625" s="17">
        <v>1</v>
      </c>
      <c r="M625" s="17">
        <v>24</v>
      </c>
      <c r="N625" s="17">
        <v>1</v>
      </c>
      <c r="O625" s="18">
        <v>2317.2800000000002</v>
      </c>
      <c r="P625" s="18">
        <v>1899.41</v>
      </c>
      <c r="Q625" s="18">
        <v>1622.1</v>
      </c>
      <c r="R625" s="18">
        <v>1329.59</v>
      </c>
      <c r="S625" s="18">
        <v>1575.75</v>
      </c>
      <c r="T625" s="18">
        <v>1291.5999999999999</v>
      </c>
      <c r="U625" s="16"/>
      <c r="V625" s="16"/>
      <c r="W625" s="16"/>
      <c r="X625" s="19">
        <v>0.32700000000000001</v>
      </c>
      <c r="Y625" s="20">
        <v>2.0240000000000002E-3</v>
      </c>
      <c r="Z625" s="21">
        <v>4601004065956</v>
      </c>
    </row>
    <row r="626" spans="1:26" ht="12" customHeight="1" outlineLevel="4" x14ac:dyDescent="0.2">
      <c r="A626" s="14" t="s">
        <v>1259</v>
      </c>
      <c r="B626" s="26" t="s">
        <v>1260</v>
      </c>
      <c r="C626" s="52"/>
      <c r="D626" s="55">
        <f t="shared" si="9"/>
        <v>0</v>
      </c>
      <c r="E626" s="63" t="str">
        <f>HYPERLINK("https://www.sds-group.ru/product/radioupravlyaemaya-rozetka-c-pultom-rx-003-odin-pult-tri-rozetki-10a-30m-rexant-10-6030/", "Инфо")</f>
        <v>Инфо</v>
      </c>
      <c r="F626" s="16" t="s">
        <v>1001</v>
      </c>
      <c r="G626" s="15"/>
      <c r="H626" s="15"/>
      <c r="I626" s="15"/>
      <c r="J626" s="22">
        <v>5029</v>
      </c>
      <c r="K626" s="15"/>
      <c r="L626" s="17">
        <v>1</v>
      </c>
      <c r="M626" s="17">
        <v>20</v>
      </c>
      <c r="N626" s="17">
        <v>1</v>
      </c>
      <c r="O626" s="18">
        <v>3001.06</v>
      </c>
      <c r="P626" s="18">
        <v>2459.89</v>
      </c>
      <c r="Q626" s="18">
        <v>2100.7399999999998</v>
      </c>
      <c r="R626" s="18">
        <v>1721.92</v>
      </c>
      <c r="S626" s="18">
        <v>2040.72</v>
      </c>
      <c r="T626" s="18">
        <v>1672.72</v>
      </c>
      <c r="U626" s="16"/>
      <c r="V626" s="16"/>
      <c r="W626" s="16"/>
      <c r="X626" s="19">
        <v>0.47799999999999998</v>
      </c>
      <c r="Y626" s="20">
        <v>3.124E-3</v>
      </c>
      <c r="Z626" s="21">
        <v>4601004065970</v>
      </c>
    </row>
    <row r="627" spans="1:26" ht="12" customHeight="1" outlineLevel="4" x14ac:dyDescent="0.2">
      <c r="A627" s="32" t="s">
        <v>1261</v>
      </c>
      <c r="B627" s="74" t="s">
        <v>1262</v>
      </c>
      <c r="C627" s="50"/>
      <c r="D627" s="53">
        <f t="shared" si="9"/>
        <v>0</v>
      </c>
      <c r="E627" s="60" t="str">
        <f>HYPERLINK("https://www.sds-group.ru/product/umnaya-wi-fi-rozetka-distantsionnoe-upravlenie-bytovymi-priborami-10-a-11-6008/", "Инфо")</f>
        <v>Инфо</v>
      </c>
      <c r="F627" s="34" t="s">
        <v>39</v>
      </c>
      <c r="G627" s="33"/>
      <c r="H627" s="33" t="s">
        <v>40</v>
      </c>
      <c r="I627" s="33"/>
      <c r="J627" s="34" t="s">
        <v>100</v>
      </c>
      <c r="K627" s="33"/>
      <c r="L627" s="35">
        <v>1</v>
      </c>
      <c r="M627" s="35">
        <v>40</v>
      </c>
      <c r="N627" s="35">
        <v>1</v>
      </c>
      <c r="O627" s="36">
        <v>1792.52</v>
      </c>
      <c r="P627" s="36">
        <v>1469.28</v>
      </c>
      <c r="Q627" s="36">
        <v>1254.76</v>
      </c>
      <c r="R627" s="36">
        <v>1028.49</v>
      </c>
      <c r="S627" s="36">
        <v>1218.9100000000001</v>
      </c>
      <c r="T627" s="36">
        <v>999.11</v>
      </c>
      <c r="U627" s="34"/>
      <c r="V627" s="34"/>
      <c r="W627" s="34"/>
      <c r="X627" s="37">
        <v>0.155</v>
      </c>
      <c r="Y627" s="38">
        <v>1.446E-3</v>
      </c>
      <c r="Z627" s="21">
        <v>4601004146822</v>
      </c>
    </row>
    <row r="628" spans="1:26" ht="12.95" customHeight="1" outlineLevel="3" x14ac:dyDescent="0.2">
      <c r="A628" s="76" t="s">
        <v>1263</v>
      </c>
      <c r="B628" s="76"/>
      <c r="C628" s="77"/>
      <c r="D628" s="58"/>
      <c r="E628" s="68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</row>
    <row r="629" spans="1:26" ht="12" customHeight="1" outlineLevel="4" x14ac:dyDescent="0.2">
      <c r="A629" s="14" t="s">
        <v>1264</v>
      </c>
      <c r="B629" s="26" t="s">
        <v>1265</v>
      </c>
      <c r="C629" s="52"/>
      <c r="D629" s="55">
        <f t="shared" si="9"/>
        <v>0</v>
      </c>
      <c r="E629" s="63" t="str">
        <f>HYPERLINK("https://www.sds-group.ru/product/rele-napryazheniya-vilka-rozetka-16a-10-6045/", "Инфо")</f>
        <v>Инфо</v>
      </c>
      <c r="F629" s="16" t="s">
        <v>39</v>
      </c>
      <c r="G629" s="15"/>
      <c r="H629" s="15"/>
      <c r="I629" s="15"/>
      <c r="J629" s="22">
        <v>5843</v>
      </c>
      <c r="K629" s="15" t="s">
        <v>1266</v>
      </c>
      <c r="L629" s="17">
        <v>1</v>
      </c>
      <c r="M629" s="17">
        <v>80</v>
      </c>
      <c r="N629" s="17">
        <v>1</v>
      </c>
      <c r="O629" s="18">
        <v>1210.1400000000001</v>
      </c>
      <c r="P629" s="18">
        <v>991.92</v>
      </c>
      <c r="Q629" s="18">
        <v>847.1</v>
      </c>
      <c r="R629" s="18">
        <v>694.34</v>
      </c>
      <c r="S629" s="18">
        <v>822.9</v>
      </c>
      <c r="T629" s="18">
        <v>674.51</v>
      </c>
      <c r="U629" s="16"/>
      <c r="V629" s="16"/>
      <c r="W629" s="16"/>
      <c r="X629" s="19">
        <v>0.17799999999999999</v>
      </c>
      <c r="Y629" s="20">
        <v>1.4649999999999999E-3</v>
      </c>
      <c r="Z629" s="21">
        <v>4601004082847</v>
      </c>
    </row>
    <row r="630" spans="1:26" ht="12" customHeight="1" outlineLevel="4" x14ac:dyDescent="0.2">
      <c r="A630" s="14" t="s">
        <v>1267</v>
      </c>
      <c r="B630" s="26" t="s">
        <v>1268</v>
      </c>
      <c r="C630" s="52"/>
      <c r="D630" s="55">
        <f t="shared" si="9"/>
        <v>0</v>
      </c>
      <c r="E630" s="63" t="str">
        <f>HYPERLINK("https://www.sds-group.ru/product/rele-napryazheniya-vilka-rozetka-c-displeem-16a-10-6040/", "Инфо")</f>
        <v>Инфо</v>
      </c>
      <c r="F630" s="16" t="s">
        <v>39</v>
      </c>
      <c r="G630" s="15"/>
      <c r="H630" s="15"/>
      <c r="I630" s="15"/>
      <c r="J630" s="17">
        <v>158</v>
      </c>
      <c r="K630" s="15" t="s">
        <v>1266</v>
      </c>
      <c r="L630" s="17">
        <v>1</v>
      </c>
      <c r="M630" s="17">
        <v>80</v>
      </c>
      <c r="N630" s="17">
        <v>1</v>
      </c>
      <c r="O630" s="18">
        <v>1457.25</v>
      </c>
      <c r="P630" s="18">
        <v>1194.47</v>
      </c>
      <c r="Q630" s="18">
        <v>1020.08</v>
      </c>
      <c r="R630" s="18">
        <v>836.13</v>
      </c>
      <c r="S630" s="18">
        <v>990.93</v>
      </c>
      <c r="T630" s="18">
        <v>812.24</v>
      </c>
      <c r="U630" s="16"/>
      <c r="V630" s="16"/>
      <c r="W630" s="16"/>
      <c r="X630" s="19">
        <v>0.16600000000000001</v>
      </c>
      <c r="Y630" s="20">
        <v>8.0800000000000002E-4</v>
      </c>
      <c r="Z630" s="21">
        <v>4601004082854</v>
      </c>
    </row>
    <row r="631" spans="1:26" ht="12.95" customHeight="1" outlineLevel="3" x14ac:dyDescent="0.2">
      <c r="A631" s="76" t="s">
        <v>1269</v>
      </c>
      <c r="B631" s="76"/>
      <c r="C631" s="77"/>
      <c r="D631" s="58"/>
      <c r="E631" s="68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</row>
    <row r="632" spans="1:26" ht="12" customHeight="1" outlineLevel="4" x14ac:dyDescent="0.2">
      <c r="A632" s="14" t="s">
        <v>1270</v>
      </c>
      <c r="B632" s="26" t="s">
        <v>1271</v>
      </c>
      <c r="C632" s="52"/>
      <c r="D632" s="55">
        <f t="shared" si="9"/>
        <v>0</v>
      </c>
      <c r="E632" s="63" t="str">
        <f>HYPERLINK("https://www.sds-group.ru/product/vattmetr-pc-7-vertikalnyy-1-tarifnyy-16a-proconnect-10-6103/", "Инфо")</f>
        <v>Инфо</v>
      </c>
      <c r="F632" s="16" t="s">
        <v>39</v>
      </c>
      <c r="G632" s="15"/>
      <c r="H632" s="15"/>
      <c r="I632" s="15"/>
      <c r="J632" s="17">
        <v>999</v>
      </c>
      <c r="K632" s="15" t="s">
        <v>1272</v>
      </c>
      <c r="L632" s="17">
        <v>1</v>
      </c>
      <c r="M632" s="17">
        <v>48</v>
      </c>
      <c r="N632" s="17">
        <v>1</v>
      </c>
      <c r="O632" s="18">
        <v>1937.82</v>
      </c>
      <c r="P632" s="18">
        <v>1588.38</v>
      </c>
      <c r="Q632" s="18">
        <v>1356.47</v>
      </c>
      <c r="R632" s="18">
        <v>1111.8599999999999</v>
      </c>
      <c r="S632" s="18">
        <v>1317.72</v>
      </c>
      <c r="T632" s="18">
        <v>1080.0999999999999</v>
      </c>
      <c r="U632" s="16"/>
      <c r="V632" s="16"/>
      <c r="W632" s="16"/>
      <c r="X632" s="19">
        <v>0.16</v>
      </c>
      <c r="Y632" s="20">
        <v>2.2750000000000001E-3</v>
      </c>
      <c r="Z632" s="21">
        <v>4601004137479</v>
      </c>
    </row>
    <row r="633" spans="1:26" ht="12" customHeight="1" outlineLevel="4" x14ac:dyDescent="0.2">
      <c r="A633" s="32" t="s">
        <v>1273</v>
      </c>
      <c r="B633" s="74" t="s">
        <v>1274</v>
      </c>
      <c r="C633" s="50"/>
      <c r="D633" s="53">
        <f t="shared" si="9"/>
        <v>0</v>
      </c>
      <c r="E633" s="60" t="str">
        <f>HYPERLINK("https://www.sds-group.ru/product/vattmetr-rx-8-gorizontalnyy-2h-tarifnyy-16a-rexant-10-6102/", "Инфо")</f>
        <v>Инфо</v>
      </c>
      <c r="F633" s="34" t="s">
        <v>39</v>
      </c>
      <c r="G633" s="33"/>
      <c r="H633" s="33" t="s">
        <v>40</v>
      </c>
      <c r="I633" s="33"/>
      <c r="J633" s="35">
        <v>202</v>
      </c>
      <c r="K633" s="33"/>
      <c r="L633" s="35">
        <v>1</v>
      </c>
      <c r="M633" s="35">
        <v>48</v>
      </c>
      <c r="N633" s="35">
        <v>1</v>
      </c>
      <c r="O633" s="36">
        <v>1896.47</v>
      </c>
      <c r="P633" s="36">
        <v>1554.48</v>
      </c>
      <c r="Q633" s="36">
        <v>1327.53</v>
      </c>
      <c r="R633" s="36">
        <v>1088.1400000000001</v>
      </c>
      <c r="S633" s="36">
        <v>1289.5999999999999</v>
      </c>
      <c r="T633" s="36">
        <v>1057.05</v>
      </c>
      <c r="U633" s="34"/>
      <c r="V633" s="34"/>
      <c r="W633" s="34"/>
      <c r="X633" s="37">
        <v>0.19600000000000001</v>
      </c>
      <c r="Y633" s="38">
        <v>1.7589999999999999E-3</v>
      </c>
      <c r="Z633" s="21">
        <v>4601004137455</v>
      </c>
    </row>
    <row r="634" spans="1:26" ht="12" customHeight="1" outlineLevel="4" x14ac:dyDescent="0.2">
      <c r="A634" s="14" t="s">
        <v>1275</v>
      </c>
      <c r="B634" s="26" t="s">
        <v>1276</v>
      </c>
      <c r="C634" s="52"/>
      <c r="D634" s="55">
        <f t="shared" si="9"/>
        <v>0</v>
      </c>
      <c r="E634" s="63" t="str">
        <f>HYPERLINK("https://www.sds-group.ru/product/vattmetr-s-podsvetkoy-rx-11-vertikalnyy-2h-tarifnyy-16a-rexant-10-6100/", "Инфо")</f>
        <v>Инфо</v>
      </c>
      <c r="F634" s="16" t="s">
        <v>39</v>
      </c>
      <c r="G634" s="15"/>
      <c r="H634" s="15"/>
      <c r="I634" s="15"/>
      <c r="J634" s="17">
        <v>650</v>
      </c>
      <c r="K634" s="15" t="s">
        <v>1277</v>
      </c>
      <c r="L634" s="17">
        <v>1</v>
      </c>
      <c r="M634" s="17">
        <v>24</v>
      </c>
      <c r="N634" s="17">
        <v>1</v>
      </c>
      <c r="O634" s="18">
        <v>2403.59</v>
      </c>
      <c r="P634" s="18">
        <v>1970.16</v>
      </c>
      <c r="Q634" s="18">
        <v>1682.51</v>
      </c>
      <c r="R634" s="18">
        <v>1379.11</v>
      </c>
      <c r="S634" s="18">
        <v>1634.44</v>
      </c>
      <c r="T634" s="18">
        <v>1339.7</v>
      </c>
      <c r="U634" s="16"/>
      <c r="V634" s="16"/>
      <c r="W634" s="16"/>
      <c r="X634" s="19">
        <v>0.23100000000000001</v>
      </c>
      <c r="Y634" s="20">
        <v>1.7849999999999999E-3</v>
      </c>
      <c r="Z634" s="21">
        <v>4601004137523</v>
      </c>
    </row>
    <row r="635" spans="1:26" ht="12.95" customHeight="1" outlineLevel="2" x14ac:dyDescent="0.2">
      <c r="A635" s="76" t="s">
        <v>1278</v>
      </c>
      <c r="B635" s="76"/>
      <c r="C635" s="77"/>
      <c r="D635" s="58"/>
      <c r="E635" s="68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</row>
    <row r="636" spans="1:26" ht="12.95" customHeight="1" outlineLevel="3" x14ac:dyDescent="0.2">
      <c r="A636" s="76" t="s">
        <v>1279</v>
      </c>
      <c r="B636" s="76"/>
      <c r="C636" s="77"/>
      <c r="D636" s="58"/>
      <c r="E636" s="68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</row>
    <row r="637" spans="1:26" ht="12" customHeight="1" outlineLevel="4" x14ac:dyDescent="0.2">
      <c r="A637" s="14" t="s">
        <v>1280</v>
      </c>
      <c r="B637" s="26" t="s">
        <v>1281</v>
      </c>
      <c r="C637" s="52"/>
      <c r="D637" s="55">
        <f t="shared" si="9"/>
        <v>0</v>
      </c>
      <c r="E637" s="63" t="str">
        <f>HYPERLINK("https://www.sds-group.ru/product/zvonok-elektricheskiy-rx-8-s-provodom-i-knopkoy-36-melodiy-rexant-73-0080/", "Инфо")</f>
        <v>Инфо</v>
      </c>
      <c r="F637" s="16" t="s">
        <v>39</v>
      </c>
      <c r="G637" s="15"/>
      <c r="H637" s="15"/>
      <c r="I637" s="15"/>
      <c r="J637" s="16" t="s">
        <v>100</v>
      </c>
      <c r="K637" s="15" t="s">
        <v>1055</v>
      </c>
      <c r="L637" s="17">
        <v>1</v>
      </c>
      <c r="M637" s="17">
        <v>60</v>
      </c>
      <c r="N637" s="17">
        <v>1</v>
      </c>
      <c r="O637" s="18">
        <v>635.37</v>
      </c>
      <c r="P637" s="18">
        <v>520.79999999999995</v>
      </c>
      <c r="Q637" s="18">
        <v>444.76</v>
      </c>
      <c r="R637" s="18">
        <v>364.56</v>
      </c>
      <c r="S637" s="18">
        <v>432.05</v>
      </c>
      <c r="T637" s="18">
        <v>354.14</v>
      </c>
      <c r="U637" s="16"/>
      <c r="V637" s="16"/>
      <c r="W637" s="16"/>
      <c r="X637" s="19">
        <v>0.159</v>
      </c>
      <c r="Y637" s="20">
        <v>8.7500000000000002E-4</v>
      </c>
      <c r="Z637" s="21">
        <v>4601004089990</v>
      </c>
    </row>
    <row r="638" spans="1:26" ht="12" customHeight="1" outlineLevel="4" x14ac:dyDescent="0.2">
      <c r="A638" s="14" t="s">
        <v>1282</v>
      </c>
      <c r="B638" s="26" t="s">
        <v>1283</v>
      </c>
      <c r="C638" s="52"/>
      <c r="D638" s="55">
        <f t="shared" si="9"/>
        <v>0</v>
      </c>
      <c r="E638" s="63" t="str">
        <f>HYPERLINK("https://www.sds-group.ru/product/zvonok-elektricheskiy-bez-knopki-1-melodiya-220v-rexant-73-0100/", "Инфо")</f>
        <v>Инфо</v>
      </c>
      <c r="F638" s="16" t="s">
        <v>39</v>
      </c>
      <c r="G638" s="15"/>
      <c r="H638" s="15"/>
      <c r="I638" s="15"/>
      <c r="J638" s="22">
        <v>1577</v>
      </c>
      <c r="K638" s="15"/>
      <c r="L638" s="17">
        <v>5</v>
      </c>
      <c r="M638" s="17">
        <v>20</v>
      </c>
      <c r="N638" s="17">
        <v>5</v>
      </c>
      <c r="O638" s="18">
        <v>493.33</v>
      </c>
      <c r="P638" s="18">
        <v>404.37</v>
      </c>
      <c r="Q638" s="18">
        <v>394.66</v>
      </c>
      <c r="R638" s="18">
        <v>323.49</v>
      </c>
      <c r="S638" s="18">
        <v>335.46</v>
      </c>
      <c r="T638" s="18">
        <v>274.97000000000003</v>
      </c>
      <c r="U638" s="16"/>
      <c r="V638" s="16"/>
      <c r="W638" s="16" t="s">
        <v>40</v>
      </c>
      <c r="X638" s="19">
        <v>0.105</v>
      </c>
      <c r="Y638" s="20">
        <v>7.1100000000000004E-4</v>
      </c>
      <c r="Z638" s="21">
        <v>4601004059672</v>
      </c>
    </row>
    <row r="639" spans="1:26" ht="12" customHeight="1" outlineLevel="4" x14ac:dyDescent="0.2">
      <c r="A639" s="14" t="s">
        <v>1284</v>
      </c>
      <c r="B639" s="26" t="s">
        <v>1285</v>
      </c>
      <c r="C639" s="52"/>
      <c r="D639" s="55">
        <f t="shared" si="9"/>
        <v>0</v>
      </c>
      <c r="E639" s="63" t="str">
        <f>HYPERLINK("https://www.sds-group.ru/product/zvonok-elektricheskiy-bez-knopki-1-melodiya-220v-s-regulyatorom-gromkosti-rexant-73-0110/", "Инфо")</f>
        <v>Инфо</v>
      </c>
      <c r="F639" s="16" t="s">
        <v>39</v>
      </c>
      <c r="G639" s="15"/>
      <c r="H639" s="15"/>
      <c r="I639" s="15"/>
      <c r="J639" s="22">
        <v>2255</v>
      </c>
      <c r="K639" s="15"/>
      <c r="L639" s="17">
        <v>1</v>
      </c>
      <c r="M639" s="17">
        <v>20</v>
      </c>
      <c r="N639" s="17">
        <v>1</v>
      </c>
      <c r="O639" s="18">
        <v>903.08</v>
      </c>
      <c r="P639" s="18">
        <v>740.23</v>
      </c>
      <c r="Q639" s="18">
        <v>632.16</v>
      </c>
      <c r="R639" s="18">
        <v>518.16</v>
      </c>
      <c r="S639" s="18">
        <v>614.09</v>
      </c>
      <c r="T639" s="18">
        <v>503.35</v>
      </c>
      <c r="U639" s="16"/>
      <c r="V639" s="16"/>
      <c r="W639" s="16"/>
      <c r="X639" s="19">
        <v>9.8000000000000004E-2</v>
      </c>
      <c r="Y639" s="20">
        <v>7.0399999999999998E-4</v>
      </c>
      <c r="Z639" s="21">
        <v>4601004059696</v>
      </c>
    </row>
    <row r="640" spans="1:26" ht="12.95" customHeight="1" outlineLevel="3" x14ac:dyDescent="0.2">
      <c r="A640" s="76" t="s">
        <v>1286</v>
      </c>
      <c r="B640" s="76"/>
      <c r="C640" s="77"/>
      <c r="D640" s="58"/>
      <c r="E640" s="68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</row>
    <row r="641" spans="1:26" ht="12" customHeight="1" outlineLevel="4" x14ac:dyDescent="0.2">
      <c r="A641" s="14" t="s">
        <v>1287</v>
      </c>
      <c r="B641" s="26" t="s">
        <v>1288</v>
      </c>
      <c r="C641" s="52"/>
      <c r="D641" s="55">
        <f t="shared" si="9"/>
        <v>0</v>
      </c>
      <c r="E641" s="63" t="str">
        <f>HYPERLINK("https://www.sds-group.ru/product/besprovodnoy-dvernoy-zvonok-c-tsifrovym-kodirovaniem-52-melodii-150m-ip56-belyy-rexant-73-0018/", "Инфо")</f>
        <v>Инфо</v>
      </c>
      <c r="F641" s="16" t="s">
        <v>39</v>
      </c>
      <c r="G641" s="15"/>
      <c r="H641" s="15"/>
      <c r="I641" s="15"/>
      <c r="J641" s="22">
        <v>11440</v>
      </c>
      <c r="K641" s="15"/>
      <c r="L641" s="17">
        <v>1</v>
      </c>
      <c r="M641" s="17">
        <v>50</v>
      </c>
      <c r="N641" s="17">
        <v>1</v>
      </c>
      <c r="O641" s="18">
        <v>1561.1</v>
      </c>
      <c r="P641" s="18">
        <v>1279.5899999999999</v>
      </c>
      <c r="Q641" s="18">
        <v>1358.16</v>
      </c>
      <c r="R641" s="18">
        <v>1113.25</v>
      </c>
      <c r="S641" s="18">
        <v>1061.55</v>
      </c>
      <c r="T641" s="18">
        <v>870.12</v>
      </c>
      <c r="U641" s="16"/>
      <c r="V641" s="16"/>
      <c r="W641" s="16" t="s">
        <v>40</v>
      </c>
      <c r="X641" s="19">
        <v>0.19</v>
      </c>
      <c r="Y641" s="20">
        <v>9.5299999999999996E-4</v>
      </c>
      <c r="Z641" s="21">
        <v>4601004243194</v>
      </c>
    </row>
    <row r="642" spans="1:26" ht="12" customHeight="1" outlineLevel="4" x14ac:dyDescent="0.2">
      <c r="A642" s="14" t="s">
        <v>1289</v>
      </c>
      <c r="B642" s="26" t="s">
        <v>1290</v>
      </c>
      <c r="C642" s="52"/>
      <c r="D642" s="55">
        <f t="shared" si="9"/>
        <v>0</v>
      </c>
      <c r="E642" s="63" t="str">
        <f>HYPERLINK("https://www.sds-group.ru/product/besprovodnoy-dvernoy-zvonok-c-tsifrovym-kodirovaniem-52-melodii-150m-ip56-chernyy-rexant-73-0017/", "Инфо")</f>
        <v>Инфо</v>
      </c>
      <c r="F642" s="16" t="s">
        <v>39</v>
      </c>
      <c r="G642" s="15"/>
      <c r="H642" s="15"/>
      <c r="I642" s="15"/>
      <c r="J642" s="22">
        <v>14306</v>
      </c>
      <c r="K642" s="15"/>
      <c r="L642" s="17">
        <v>1</v>
      </c>
      <c r="M642" s="17">
        <v>50</v>
      </c>
      <c r="N642" s="17">
        <v>1</v>
      </c>
      <c r="O642" s="18">
        <v>1557.21</v>
      </c>
      <c r="P642" s="18">
        <v>1276.4000000000001</v>
      </c>
      <c r="Q642" s="18">
        <v>1354.77</v>
      </c>
      <c r="R642" s="18">
        <v>1110.47</v>
      </c>
      <c r="S642" s="18">
        <v>1058.9000000000001</v>
      </c>
      <c r="T642" s="18">
        <v>867.95</v>
      </c>
      <c r="U642" s="16"/>
      <c r="V642" s="16"/>
      <c r="W642" s="16" t="s">
        <v>40</v>
      </c>
      <c r="X642" s="19">
        <v>0.18</v>
      </c>
      <c r="Y642" s="20">
        <v>9.6900000000000003E-4</v>
      </c>
      <c r="Z642" s="21">
        <v>4601004243187</v>
      </c>
    </row>
    <row r="643" spans="1:26" ht="12" customHeight="1" outlineLevel="4" x14ac:dyDescent="0.2">
      <c r="A643" s="14" t="s">
        <v>1291</v>
      </c>
      <c r="B643" s="26" t="s">
        <v>1292</v>
      </c>
      <c r="C643" s="52"/>
      <c r="D643" s="55">
        <f t="shared" si="9"/>
        <v>0</v>
      </c>
      <c r="E643" s="63" t="str">
        <f>HYPERLINK("https://www.sds-group.ru/product/besprovodnoy-dvernoy-zvonok-c-tsifrovym-kodirovaniem-perelivayuschiysya-38-melodiy-150m-ip44-73-0016/", "Инфо")</f>
        <v>Инфо</v>
      </c>
      <c r="F643" s="16" t="s">
        <v>39</v>
      </c>
      <c r="G643" s="15"/>
      <c r="H643" s="15"/>
      <c r="I643" s="15"/>
      <c r="J643" s="22">
        <v>1087</v>
      </c>
      <c r="K643" s="15"/>
      <c r="L643" s="17">
        <v>1</v>
      </c>
      <c r="M643" s="17">
        <v>100</v>
      </c>
      <c r="N643" s="17">
        <v>1</v>
      </c>
      <c r="O643" s="18">
        <v>1509.77</v>
      </c>
      <c r="P643" s="18">
        <v>1237.52</v>
      </c>
      <c r="Q643" s="18">
        <v>1192.72</v>
      </c>
      <c r="R643" s="18">
        <v>977.64</v>
      </c>
      <c r="S643" s="18">
        <v>1026.6400000000001</v>
      </c>
      <c r="T643" s="18">
        <v>841.51</v>
      </c>
      <c r="U643" s="16"/>
      <c r="V643" s="16"/>
      <c r="W643" s="16" t="s">
        <v>40</v>
      </c>
      <c r="X643" s="19">
        <v>0.14199999999999999</v>
      </c>
      <c r="Y643" s="20">
        <v>8.9999999999999998E-4</v>
      </c>
      <c r="Z643" s="21">
        <v>4601004243217</v>
      </c>
    </row>
    <row r="644" spans="1:26" ht="12" customHeight="1" outlineLevel="4" x14ac:dyDescent="0.2">
      <c r="A644" s="14" t="s">
        <v>1293</v>
      </c>
      <c r="B644" s="26" t="s">
        <v>1294</v>
      </c>
      <c r="C644" s="52"/>
      <c r="D644" s="55">
        <f t="shared" si="9"/>
        <v>0</v>
      </c>
      <c r="E644" s="63" t="str">
        <f>HYPERLINK("https://www.sds-group.ru/product/besprovodnoy-dvernoy-zvonok-rx-1-s-tsifrovym-kodirovaniem-32-melodii-100m-belyy-rexant-73-0010/", "Инфо")</f>
        <v>Инфо</v>
      </c>
      <c r="F644" s="16" t="s">
        <v>39</v>
      </c>
      <c r="G644" s="15"/>
      <c r="H644" s="15"/>
      <c r="I644" s="15"/>
      <c r="J644" s="22">
        <v>3770</v>
      </c>
      <c r="K644" s="15" t="s">
        <v>1004</v>
      </c>
      <c r="L644" s="17">
        <v>1</v>
      </c>
      <c r="M644" s="17">
        <v>60</v>
      </c>
      <c r="N644" s="17">
        <v>1</v>
      </c>
      <c r="O644" s="18">
        <v>614.46</v>
      </c>
      <c r="P644" s="18">
        <v>503.66</v>
      </c>
      <c r="Q644" s="18">
        <v>491.57</v>
      </c>
      <c r="R644" s="18">
        <v>402.93</v>
      </c>
      <c r="S644" s="18">
        <v>417.83</v>
      </c>
      <c r="T644" s="18">
        <v>342.48</v>
      </c>
      <c r="U644" s="16"/>
      <c r="V644" s="16"/>
      <c r="W644" s="16" t="s">
        <v>40</v>
      </c>
      <c r="X644" s="19">
        <v>0.13400000000000001</v>
      </c>
      <c r="Y644" s="20">
        <v>8.9700000000000001E-4</v>
      </c>
      <c r="Z644" s="21">
        <v>4601004031838</v>
      </c>
    </row>
    <row r="645" spans="1:26" ht="12" customHeight="1" outlineLevel="4" x14ac:dyDescent="0.2">
      <c r="A645" s="14" t="s">
        <v>1295</v>
      </c>
      <c r="B645" s="26" t="s">
        <v>1296</v>
      </c>
      <c r="C645" s="52"/>
      <c r="D645" s="55">
        <f t="shared" si="9"/>
        <v>0</v>
      </c>
      <c r="E645" s="63" t="str">
        <f>HYPERLINK("https://www.sds-group.ru/product/besprovodnoy-dvernoy-zvonok-rx-2-s-tsifrovym-kodirovaniem-32-melodii-100m-knopka-ip44-belyy--73-0020/", "Инфо")</f>
        <v>Инфо</v>
      </c>
      <c r="F645" s="16" t="s">
        <v>39</v>
      </c>
      <c r="G645" s="15"/>
      <c r="H645" s="15"/>
      <c r="I645" s="15"/>
      <c r="J645" s="22">
        <v>2089</v>
      </c>
      <c r="K645" s="15" t="s">
        <v>995</v>
      </c>
      <c r="L645" s="17">
        <v>1</v>
      </c>
      <c r="M645" s="17">
        <v>60</v>
      </c>
      <c r="N645" s="17">
        <v>1</v>
      </c>
      <c r="O645" s="18">
        <v>631.95000000000005</v>
      </c>
      <c r="P645" s="18">
        <v>517.99</v>
      </c>
      <c r="Q645" s="18">
        <v>505.56</v>
      </c>
      <c r="R645" s="18">
        <v>414.39</v>
      </c>
      <c r="S645" s="18">
        <v>429.73</v>
      </c>
      <c r="T645" s="18">
        <v>352.24</v>
      </c>
      <c r="U645" s="16"/>
      <c r="V645" s="16"/>
      <c r="W645" s="16" t="s">
        <v>40</v>
      </c>
      <c r="X645" s="19">
        <v>0.125</v>
      </c>
      <c r="Y645" s="20">
        <v>8.6200000000000003E-4</v>
      </c>
      <c r="Z645" s="21">
        <v>4601004031821</v>
      </c>
    </row>
    <row r="646" spans="1:26" ht="12" customHeight="1" outlineLevel="4" x14ac:dyDescent="0.2">
      <c r="A646" s="14" t="s">
        <v>1297</v>
      </c>
      <c r="B646" s="26" t="s">
        <v>1298</v>
      </c>
      <c r="C646" s="52"/>
      <c r="D646" s="55">
        <f t="shared" si="9"/>
        <v>0</v>
      </c>
      <c r="E646" s="63" t="str">
        <f>HYPERLINK("https://www.sds-group.ru/product/besprovodnoy-dvernoy-zvonok-rx-3-s-tsifrovym-kodirovaniem-32-melodii-100m-knopka-ip44-belyy--73-0030/", "Инфо")</f>
        <v>Инфо</v>
      </c>
      <c r="F646" s="16" t="s">
        <v>39</v>
      </c>
      <c r="G646" s="15"/>
      <c r="H646" s="15"/>
      <c r="I646" s="15"/>
      <c r="J646" s="17">
        <v>892</v>
      </c>
      <c r="K646" s="15" t="s">
        <v>1004</v>
      </c>
      <c r="L646" s="17">
        <v>1</v>
      </c>
      <c r="M646" s="17">
        <v>60</v>
      </c>
      <c r="N646" s="17">
        <v>1</v>
      </c>
      <c r="O646" s="18">
        <v>688</v>
      </c>
      <c r="P646" s="18">
        <v>563.92999999999995</v>
      </c>
      <c r="Q646" s="18">
        <v>550.4</v>
      </c>
      <c r="R646" s="18">
        <v>451.15</v>
      </c>
      <c r="S646" s="18">
        <v>467.84</v>
      </c>
      <c r="T646" s="18">
        <v>383.48</v>
      </c>
      <c r="U646" s="16"/>
      <c r="V646" s="16"/>
      <c r="W646" s="16" t="s">
        <v>40</v>
      </c>
      <c r="X646" s="19">
        <v>0.14799999999999999</v>
      </c>
      <c r="Y646" s="20">
        <v>9.7300000000000002E-4</v>
      </c>
      <c r="Z646" s="21">
        <v>4601004031814</v>
      </c>
    </row>
    <row r="647" spans="1:26" ht="12" customHeight="1" outlineLevel="4" x14ac:dyDescent="0.2">
      <c r="A647" s="14" t="s">
        <v>1299</v>
      </c>
      <c r="B647" s="26" t="s">
        <v>1300</v>
      </c>
      <c r="C647" s="52"/>
      <c r="D647" s="55">
        <f t="shared" si="9"/>
        <v>0</v>
      </c>
      <c r="E647" s="63" t="str">
        <f>HYPERLINK("https://www.sds-group.ru/product/besprovodnoy-dvernoy-zvonok-rx-30-c-tsifrovym-kodirovaniem-25-melodiy-150m-knopka-ip44-chern-73-0015/", "Инфо")</f>
        <v>Инфо</v>
      </c>
      <c r="F647" s="16" t="s">
        <v>39</v>
      </c>
      <c r="G647" s="15"/>
      <c r="H647" s="15"/>
      <c r="I647" s="15"/>
      <c r="J647" s="17">
        <v>698</v>
      </c>
      <c r="K647" s="15" t="s">
        <v>995</v>
      </c>
      <c r="L647" s="17">
        <v>1</v>
      </c>
      <c r="M647" s="17">
        <v>60</v>
      </c>
      <c r="N647" s="17">
        <v>1</v>
      </c>
      <c r="O647" s="18">
        <v>1146.99</v>
      </c>
      <c r="P647" s="18">
        <v>940.16</v>
      </c>
      <c r="Q647" s="18">
        <v>974.94</v>
      </c>
      <c r="R647" s="18">
        <v>799.13</v>
      </c>
      <c r="S647" s="18">
        <v>779.95</v>
      </c>
      <c r="T647" s="18">
        <v>639.29999999999995</v>
      </c>
      <c r="U647" s="16"/>
      <c r="V647" s="16"/>
      <c r="W647" s="16" t="s">
        <v>40</v>
      </c>
      <c r="X647" s="19">
        <v>0.17599999999999999</v>
      </c>
      <c r="Y647" s="20">
        <v>1.111E-3</v>
      </c>
      <c r="Z647" s="21">
        <v>4601004145337</v>
      </c>
    </row>
    <row r="648" spans="1:26" ht="12" customHeight="1" outlineLevel="4" x14ac:dyDescent="0.2">
      <c r="A648" s="14" t="s">
        <v>1301</v>
      </c>
      <c r="B648" s="26" t="s">
        <v>1302</v>
      </c>
      <c r="C648" s="52"/>
      <c r="D648" s="55">
        <f t="shared" si="9"/>
        <v>0</v>
      </c>
      <c r="E648" s="63" t="str">
        <f>HYPERLINK("https://www.sds-group.ru/product/besprovodnoy-dvernoy-zvonok-rx-4-s-tsifrovym-kodirovaniem-i-dvumya-knopkami-vyzova-32-melodi-73-0040/", "Инфо")</f>
        <v>Инфо</v>
      </c>
      <c r="F648" s="16" t="s">
        <v>39</v>
      </c>
      <c r="G648" s="15"/>
      <c r="H648" s="15"/>
      <c r="I648" s="15"/>
      <c r="J648" s="22">
        <v>4367</v>
      </c>
      <c r="K648" s="15"/>
      <c r="L648" s="17">
        <v>1</v>
      </c>
      <c r="M648" s="17">
        <v>60</v>
      </c>
      <c r="N648" s="17">
        <v>1</v>
      </c>
      <c r="O648" s="18">
        <v>1265.29</v>
      </c>
      <c r="P648" s="18">
        <v>1037.1199999999999</v>
      </c>
      <c r="Q648" s="18">
        <v>1100.8</v>
      </c>
      <c r="R648" s="18">
        <v>902.3</v>
      </c>
      <c r="S648" s="18">
        <v>860.4</v>
      </c>
      <c r="T648" s="18">
        <v>705.25</v>
      </c>
      <c r="U648" s="16"/>
      <c r="V648" s="16"/>
      <c r="W648" s="16" t="s">
        <v>40</v>
      </c>
      <c r="X648" s="19">
        <v>0.16300000000000001</v>
      </c>
      <c r="Y648" s="20">
        <v>1.01E-3</v>
      </c>
      <c r="Z648" s="21">
        <v>4601004033481</v>
      </c>
    </row>
    <row r="649" spans="1:26" ht="12" customHeight="1" outlineLevel="4" x14ac:dyDescent="0.2">
      <c r="A649" s="14" t="s">
        <v>1303</v>
      </c>
      <c r="B649" s="26" t="s">
        <v>1304</v>
      </c>
      <c r="C649" s="52"/>
      <c r="D649" s="55">
        <f t="shared" ref="D649:D712" si="10">C649*(O649-O649*$G$3)</f>
        <v>0</v>
      </c>
      <c r="E649" s="63" t="str">
        <f>HYPERLINK("https://www.sds-group.ru/product/besprovodnoy-dvernoy-zvonok-rx-5-s-dvumya-vyzyvnymi-panelyami-32-melodii-100m-knopka-ip44-be-73-0050/", "Инфо")</f>
        <v>Инфо</v>
      </c>
      <c r="F649" s="16" t="s">
        <v>39</v>
      </c>
      <c r="G649" s="15"/>
      <c r="H649" s="15"/>
      <c r="I649" s="15"/>
      <c r="J649" s="22">
        <v>1508</v>
      </c>
      <c r="K649" s="15"/>
      <c r="L649" s="17">
        <v>1</v>
      </c>
      <c r="M649" s="17">
        <v>60</v>
      </c>
      <c r="N649" s="17">
        <v>1</v>
      </c>
      <c r="O649" s="18">
        <v>1553.37</v>
      </c>
      <c r="P649" s="18">
        <v>1273.25</v>
      </c>
      <c r="Q649" s="18">
        <v>1227.1600000000001</v>
      </c>
      <c r="R649" s="18">
        <v>1005.87</v>
      </c>
      <c r="S649" s="18">
        <v>1056.29</v>
      </c>
      <c r="T649" s="18">
        <v>865.81</v>
      </c>
      <c r="U649" s="16"/>
      <c r="V649" s="16"/>
      <c r="W649" s="16" t="s">
        <v>40</v>
      </c>
      <c r="X649" s="19">
        <v>0.23300000000000001</v>
      </c>
      <c r="Y649" s="20">
        <v>1.5640000000000001E-3</v>
      </c>
      <c r="Z649" s="21">
        <v>4601004065987</v>
      </c>
    </row>
    <row r="650" spans="1:26" ht="12" customHeight="1" outlineLevel="4" x14ac:dyDescent="0.2">
      <c r="A650" s="14" t="s">
        <v>1305</v>
      </c>
      <c r="B650" s="26" t="s">
        <v>1306</v>
      </c>
      <c r="C650" s="52"/>
      <c r="D650" s="55">
        <f t="shared" si="10"/>
        <v>0</v>
      </c>
      <c r="E650" s="63" t="str">
        <f>HYPERLINK("https://www.sds-group.ru/product/besprovodnoy-dvernoy-zvonok-rx-6-s-tsifrovym-kodirovaniem-i-podklyucheniem-v-rozetku-32-melo-73-0060/", "Инфо")</f>
        <v>Инфо</v>
      </c>
      <c r="F650" s="16" t="s">
        <v>39</v>
      </c>
      <c r="G650" s="15"/>
      <c r="H650" s="15"/>
      <c r="I650" s="15"/>
      <c r="J650" s="22">
        <v>3712</v>
      </c>
      <c r="K650" s="15" t="s">
        <v>1004</v>
      </c>
      <c r="L650" s="17">
        <v>1</v>
      </c>
      <c r="M650" s="17">
        <v>60</v>
      </c>
      <c r="N650" s="17">
        <v>1</v>
      </c>
      <c r="O650" s="18">
        <v>810.91</v>
      </c>
      <c r="P650" s="18">
        <v>664.68</v>
      </c>
      <c r="Q650" s="18">
        <v>648.73</v>
      </c>
      <c r="R650" s="18">
        <v>531.75</v>
      </c>
      <c r="S650" s="18">
        <v>551.41999999999996</v>
      </c>
      <c r="T650" s="18">
        <v>451.98</v>
      </c>
      <c r="U650" s="16"/>
      <c r="V650" s="16"/>
      <c r="W650" s="16" t="s">
        <v>40</v>
      </c>
      <c r="X650" s="19">
        <v>0.14000000000000001</v>
      </c>
      <c r="Y650" s="20">
        <v>1.3129999999999999E-3</v>
      </c>
      <c r="Z650" s="21">
        <v>4601004066007</v>
      </c>
    </row>
    <row r="651" spans="1:26" ht="12" customHeight="1" outlineLevel="4" x14ac:dyDescent="0.2">
      <c r="A651" s="14" t="s">
        <v>1307</v>
      </c>
      <c r="B651" s="26" t="s">
        <v>1308</v>
      </c>
      <c r="C651" s="52"/>
      <c r="D651" s="55">
        <f t="shared" si="10"/>
        <v>0</v>
      </c>
      <c r="E651" s="63" t="str">
        <f>HYPERLINK("https://www.sds-group.ru/product/besprovodnoy-dvernoy-zvonok-rx-7-v-rozetku-s-nochnoy-podsvetkoy-i-indikatsiey-36-melodiy-80m-73-0070/", "Инфо")</f>
        <v>Инфо</v>
      </c>
      <c r="F651" s="16" t="s">
        <v>39</v>
      </c>
      <c r="G651" s="15"/>
      <c r="H651" s="15"/>
      <c r="I651" s="15"/>
      <c r="J651" s="16" t="s">
        <v>100</v>
      </c>
      <c r="K651" s="15" t="s">
        <v>1094</v>
      </c>
      <c r="L651" s="17">
        <v>1</v>
      </c>
      <c r="M651" s="17">
        <v>60</v>
      </c>
      <c r="N651" s="17">
        <v>1</v>
      </c>
      <c r="O651" s="18">
        <v>959.63</v>
      </c>
      <c r="P651" s="18">
        <v>786.58</v>
      </c>
      <c r="Q651" s="18">
        <v>758.11</v>
      </c>
      <c r="R651" s="18">
        <v>621.4</v>
      </c>
      <c r="S651" s="18">
        <v>652.54999999999995</v>
      </c>
      <c r="T651" s="18">
        <v>534.88</v>
      </c>
      <c r="U651" s="16"/>
      <c r="V651" s="16"/>
      <c r="W651" s="16" t="s">
        <v>40</v>
      </c>
      <c r="X651" s="19">
        <v>0.17599999999999999</v>
      </c>
      <c r="Y651" s="20">
        <v>1.48E-3</v>
      </c>
      <c r="Z651" s="21">
        <v>4601004089976</v>
      </c>
    </row>
    <row r="652" spans="1:26" ht="12" customHeight="1" outlineLevel="4" x14ac:dyDescent="0.2">
      <c r="A652" s="14" t="s">
        <v>1309</v>
      </c>
      <c r="B652" s="26" t="s">
        <v>1310</v>
      </c>
      <c r="C652" s="52"/>
      <c r="D652" s="55">
        <f t="shared" si="10"/>
        <v>0</v>
      </c>
      <c r="E652" s="63" t="str">
        <f>HYPERLINK("https://www.sds-group.ru/product/besprovodnoy-dvernoy-zvonok-v-rozetku-c-tsifrovym-kodirovaniem-migayuschiy-36-melodiy-150m-i-73-0090/", "Инфо")</f>
        <v>Инфо</v>
      </c>
      <c r="F652" s="16" t="s">
        <v>39</v>
      </c>
      <c r="G652" s="15"/>
      <c r="H652" s="15"/>
      <c r="I652" s="15"/>
      <c r="J652" s="17">
        <v>833</v>
      </c>
      <c r="K652" s="15"/>
      <c r="L652" s="17">
        <v>1</v>
      </c>
      <c r="M652" s="17">
        <v>50</v>
      </c>
      <c r="N652" s="17">
        <v>1</v>
      </c>
      <c r="O652" s="18">
        <v>1426.83</v>
      </c>
      <c r="P652" s="18">
        <v>1169.53</v>
      </c>
      <c r="Q652" s="18">
        <v>1127.2</v>
      </c>
      <c r="R652" s="18">
        <v>923.93</v>
      </c>
      <c r="S652" s="18">
        <v>970.24</v>
      </c>
      <c r="T652" s="18">
        <v>795.28</v>
      </c>
      <c r="U652" s="16"/>
      <c r="V652" s="16"/>
      <c r="W652" s="16" t="s">
        <v>40</v>
      </c>
      <c r="X652" s="19">
        <v>0.13</v>
      </c>
      <c r="Y652" s="20">
        <v>7.45E-4</v>
      </c>
      <c r="Z652" s="21">
        <v>4601004249127</v>
      </c>
    </row>
    <row r="653" spans="1:26" ht="12" customHeight="1" outlineLevel="4" x14ac:dyDescent="0.2">
      <c r="A653" s="40" t="s">
        <v>1311</v>
      </c>
      <c r="B653" s="75" t="s">
        <v>1312</v>
      </c>
      <c r="C653" s="51"/>
      <c r="D653" s="54">
        <f t="shared" si="10"/>
        <v>0</v>
      </c>
      <c r="E653" s="61" t="str">
        <f>HYPERLINK("https://www.sds-group.ru/product/besprovodnoy-dvernoy-zvonok-kineticheskiy-38-melodiy-150m-ip68-belyy-rexant-73-0003/", "Инфо")</f>
        <v>Инфо</v>
      </c>
      <c r="F653" s="42" t="s">
        <v>39</v>
      </c>
      <c r="G653" s="41" t="s">
        <v>40</v>
      </c>
      <c r="H653" s="41"/>
      <c r="I653" s="41"/>
      <c r="J653" s="47">
        <v>2312</v>
      </c>
      <c r="K653" s="41"/>
      <c r="L653" s="43">
        <v>1</v>
      </c>
      <c r="M653" s="43">
        <v>100</v>
      </c>
      <c r="N653" s="43">
        <v>1</v>
      </c>
      <c r="O653" s="44">
        <v>1261.3699999999999</v>
      </c>
      <c r="P653" s="44">
        <v>1033.9100000000001</v>
      </c>
      <c r="Q653" s="44">
        <v>882.96</v>
      </c>
      <c r="R653" s="44">
        <v>723.74</v>
      </c>
      <c r="S653" s="44">
        <v>857.73</v>
      </c>
      <c r="T653" s="44">
        <v>703.06</v>
      </c>
      <c r="U653" s="42"/>
      <c r="V653" s="42"/>
      <c r="W653" s="42" t="s">
        <v>40</v>
      </c>
      <c r="X653" s="45">
        <v>0.14299999999999999</v>
      </c>
      <c r="Y653" s="46">
        <v>4.3300000000000001E-4</v>
      </c>
      <c r="Z653" s="21">
        <v>4601004339231</v>
      </c>
    </row>
    <row r="654" spans="1:26" ht="12" customHeight="1" outlineLevel="4" x14ac:dyDescent="0.2">
      <c r="A654" s="40" t="s">
        <v>1313</v>
      </c>
      <c r="B654" s="75" t="s">
        <v>1314</v>
      </c>
      <c r="C654" s="51"/>
      <c r="D654" s="54">
        <f t="shared" si="10"/>
        <v>0</v>
      </c>
      <c r="E654" s="61" t="str">
        <f>HYPERLINK("https://www.sds-group.ru/product/besprovodnoy-dvernoy-zvonok-kineticheskiy-38-melodiy-150m-ip68-chernyy-rexant-73-0004/", "Инфо")</f>
        <v>Инфо</v>
      </c>
      <c r="F654" s="42" t="s">
        <v>39</v>
      </c>
      <c r="G654" s="41" t="s">
        <v>40</v>
      </c>
      <c r="H654" s="41"/>
      <c r="I654" s="41"/>
      <c r="J654" s="47">
        <v>7258</v>
      </c>
      <c r="K654" s="41"/>
      <c r="L654" s="43">
        <v>1</v>
      </c>
      <c r="M654" s="43">
        <v>100</v>
      </c>
      <c r="N654" s="43">
        <v>1</v>
      </c>
      <c r="O654" s="44">
        <v>1279.6199999999999</v>
      </c>
      <c r="P654" s="44">
        <v>1048.8699999999999</v>
      </c>
      <c r="Q654" s="44">
        <v>895.73</v>
      </c>
      <c r="R654" s="44">
        <v>734.2</v>
      </c>
      <c r="S654" s="44">
        <v>870.14</v>
      </c>
      <c r="T654" s="44">
        <v>713.23</v>
      </c>
      <c r="U654" s="42"/>
      <c r="V654" s="42"/>
      <c r="W654" s="42" t="s">
        <v>40</v>
      </c>
      <c r="X654" s="45">
        <v>0.14399999999999999</v>
      </c>
      <c r="Y654" s="46">
        <v>8.1800000000000004E-4</v>
      </c>
      <c r="Z654" s="21">
        <v>4601004339217</v>
      </c>
    </row>
    <row r="655" spans="1:26" ht="12" customHeight="1" outlineLevel="4" x14ac:dyDescent="0.2">
      <c r="A655" s="40" t="s">
        <v>1315</v>
      </c>
      <c r="B655" s="75" t="s">
        <v>1316</v>
      </c>
      <c r="C655" s="51"/>
      <c r="D655" s="54">
        <f t="shared" si="10"/>
        <v>0</v>
      </c>
      <c r="E655" s="61" t="str">
        <f>HYPERLINK("https://www.sds-group.ru/product/besprovodnoy-dvernoy-zvonok-s-tsifrovym-kodirovaniem-38-melodiy-200m-ip44-belyy-rexant-73-0001/", "Инфо")</f>
        <v>Инфо</v>
      </c>
      <c r="F655" s="42" t="s">
        <v>39</v>
      </c>
      <c r="G655" s="41" t="s">
        <v>40</v>
      </c>
      <c r="H655" s="41"/>
      <c r="I655" s="41"/>
      <c r="J655" s="47">
        <v>4767</v>
      </c>
      <c r="K655" s="41"/>
      <c r="L655" s="43">
        <v>1</v>
      </c>
      <c r="M655" s="43">
        <v>100</v>
      </c>
      <c r="N655" s="43">
        <v>1</v>
      </c>
      <c r="O655" s="44">
        <v>914.4</v>
      </c>
      <c r="P655" s="44">
        <v>749.51</v>
      </c>
      <c r="Q655" s="44">
        <v>640.08000000000004</v>
      </c>
      <c r="R655" s="44">
        <v>524.66</v>
      </c>
      <c r="S655" s="44">
        <v>621.79</v>
      </c>
      <c r="T655" s="44">
        <v>509.66</v>
      </c>
      <c r="U655" s="42"/>
      <c r="V655" s="42"/>
      <c r="W655" s="42" t="s">
        <v>40</v>
      </c>
      <c r="X655" s="45">
        <v>0.13700000000000001</v>
      </c>
      <c r="Y655" s="46">
        <v>8.1400000000000005E-4</v>
      </c>
      <c r="Z655" s="21">
        <v>4601004339200</v>
      </c>
    </row>
    <row r="656" spans="1:26" ht="12" customHeight="1" outlineLevel="4" x14ac:dyDescent="0.2">
      <c r="A656" s="40" t="s">
        <v>1317</v>
      </c>
      <c r="B656" s="75" t="s">
        <v>1318</v>
      </c>
      <c r="C656" s="51"/>
      <c r="D656" s="54">
        <f t="shared" si="10"/>
        <v>0</v>
      </c>
      <c r="E656" s="61" t="str">
        <f>HYPERLINK("https://www.sds-group.ru/product/besprovodnoy-dvernoy-zvonok-s-tsifrovym-kodirovaniem-38-melodiy-200m-ip44-chernyy-rexant-73-0002/", "Инфо")</f>
        <v>Инфо</v>
      </c>
      <c r="F656" s="42" t="s">
        <v>39</v>
      </c>
      <c r="G656" s="41" t="s">
        <v>40</v>
      </c>
      <c r="H656" s="41"/>
      <c r="I656" s="41"/>
      <c r="J656" s="43">
        <v>695</v>
      </c>
      <c r="K656" s="41"/>
      <c r="L656" s="43">
        <v>1</v>
      </c>
      <c r="M656" s="43">
        <v>100</v>
      </c>
      <c r="N656" s="43">
        <v>1</v>
      </c>
      <c r="O656" s="44">
        <v>916.95</v>
      </c>
      <c r="P656" s="44">
        <v>751.6</v>
      </c>
      <c r="Q656" s="44">
        <v>641.87</v>
      </c>
      <c r="R656" s="44">
        <v>526.12</v>
      </c>
      <c r="S656" s="44">
        <v>623.53</v>
      </c>
      <c r="T656" s="44">
        <v>511.09</v>
      </c>
      <c r="U656" s="42"/>
      <c r="V656" s="42"/>
      <c r="W656" s="42" t="s">
        <v>40</v>
      </c>
      <c r="X656" s="45">
        <v>0.13800000000000001</v>
      </c>
      <c r="Y656" s="46">
        <v>8.1700000000000002E-4</v>
      </c>
      <c r="Z656" s="21">
        <v>4601004339224</v>
      </c>
    </row>
    <row r="657" spans="1:26" ht="12.95" customHeight="1" outlineLevel="1" x14ac:dyDescent="0.2">
      <c r="A657" s="78" t="s">
        <v>1319</v>
      </c>
      <c r="B657" s="78"/>
      <c r="C657" s="79"/>
      <c r="D657" s="57"/>
      <c r="E657" s="67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  <c r="X657" s="12"/>
      <c r="Y657" s="12"/>
      <c r="Z657" s="12"/>
    </row>
    <row r="658" spans="1:26" ht="12.95" customHeight="1" outlineLevel="2" x14ac:dyDescent="0.2">
      <c r="A658" s="76" t="s">
        <v>1320</v>
      </c>
      <c r="B658" s="76"/>
      <c r="C658" s="77"/>
      <c r="D658" s="58"/>
      <c r="E658" s="68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</row>
    <row r="659" spans="1:26" ht="12.95" customHeight="1" outlineLevel="3" x14ac:dyDescent="0.2">
      <c r="A659" s="76" t="s">
        <v>1321</v>
      </c>
      <c r="B659" s="76"/>
      <c r="C659" s="77"/>
      <c r="D659" s="58"/>
      <c r="E659" s="68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</row>
    <row r="660" spans="1:26" ht="12" customHeight="1" outlineLevel="4" x14ac:dyDescent="0.2">
      <c r="A660" s="32" t="s">
        <v>1322</v>
      </c>
      <c r="B660" s="74" t="s">
        <v>1323</v>
      </c>
      <c r="C660" s="50"/>
      <c r="D660" s="53">
        <f t="shared" si="10"/>
        <v>0</v>
      </c>
      <c r="E660" s="60" t="str">
        <f>HYPERLINK("https://www.sds-group.ru/product/udlinitel-3-gnezda-1-5m-2h0-75mm-b-z-belyy-rexant-11-8731/", "Инфо")</f>
        <v>Инфо</v>
      </c>
      <c r="F660" s="34" t="s">
        <v>39</v>
      </c>
      <c r="G660" s="33"/>
      <c r="H660" s="33" t="s">
        <v>40</v>
      </c>
      <c r="I660" s="33"/>
      <c r="J660" s="35">
        <v>2</v>
      </c>
      <c r="K660" s="33"/>
      <c r="L660" s="35">
        <v>1</v>
      </c>
      <c r="M660" s="35">
        <v>45</v>
      </c>
      <c r="N660" s="35">
        <v>1</v>
      </c>
      <c r="O660" s="36">
        <v>316.45</v>
      </c>
      <c r="P660" s="36">
        <v>259.39</v>
      </c>
      <c r="Q660" s="36">
        <v>221.52</v>
      </c>
      <c r="R660" s="36">
        <v>181.57</v>
      </c>
      <c r="S660" s="36">
        <v>215.19</v>
      </c>
      <c r="T660" s="36">
        <v>176.39</v>
      </c>
      <c r="U660" s="34"/>
      <c r="V660" s="34"/>
      <c r="W660" s="34"/>
      <c r="X660" s="37">
        <v>0.14799999999999999</v>
      </c>
      <c r="Y660" s="38">
        <v>1.3550000000000001E-3</v>
      </c>
      <c r="Z660" s="21">
        <v>4601004203174</v>
      </c>
    </row>
    <row r="661" spans="1:26" ht="12" customHeight="1" outlineLevel="4" x14ac:dyDescent="0.2">
      <c r="A661" s="32" t="s">
        <v>1324</v>
      </c>
      <c r="B661" s="74" t="s">
        <v>1325</v>
      </c>
      <c r="C661" s="50"/>
      <c r="D661" s="53">
        <f t="shared" si="10"/>
        <v>0</v>
      </c>
      <c r="E661" s="60" t="str">
        <f>HYPERLINK("https://www.sds-group.ru/product/udlinitel-3-gnezda-3m-2h0-75mm-b-z-belyy-rexant-11-8733/", "Инфо")</f>
        <v>Инфо</v>
      </c>
      <c r="F661" s="34" t="s">
        <v>39</v>
      </c>
      <c r="G661" s="33"/>
      <c r="H661" s="33" t="s">
        <v>40</v>
      </c>
      <c r="I661" s="33"/>
      <c r="J661" s="35">
        <v>2</v>
      </c>
      <c r="K661" s="33"/>
      <c r="L661" s="35">
        <v>1</v>
      </c>
      <c r="M661" s="35">
        <v>40</v>
      </c>
      <c r="N661" s="35">
        <v>1</v>
      </c>
      <c r="O661" s="36">
        <v>372.83</v>
      </c>
      <c r="P661" s="36">
        <v>305.60000000000002</v>
      </c>
      <c r="Q661" s="36">
        <v>316.91000000000003</v>
      </c>
      <c r="R661" s="36">
        <v>259.76</v>
      </c>
      <c r="S661" s="36">
        <v>253.52</v>
      </c>
      <c r="T661" s="36">
        <v>207.8</v>
      </c>
      <c r="U661" s="34"/>
      <c r="V661" s="34"/>
      <c r="W661" s="34" t="s">
        <v>40</v>
      </c>
      <c r="X661" s="37">
        <v>0.14799999999999999</v>
      </c>
      <c r="Y661" s="38">
        <v>9.7099999999999997E-4</v>
      </c>
      <c r="Z661" s="21">
        <v>4601004203112</v>
      </c>
    </row>
    <row r="662" spans="1:26" ht="12" customHeight="1" outlineLevel="4" x14ac:dyDescent="0.2">
      <c r="A662" s="32" t="s">
        <v>1326</v>
      </c>
      <c r="B662" s="74" t="s">
        <v>1327</v>
      </c>
      <c r="C662" s="50"/>
      <c r="D662" s="53">
        <f t="shared" si="10"/>
        <v>0</v>
      </c>
      <c r="E662" s="60" t="str">
        <f>HYPERLINK("https://www.sds-group.ru/product/udlinitel-standart-3-gnezda-3m-2h1-0mm-b-z-belyy-rexant-13-4007/", "Инфо")</f>
        <v>Инфо</v>
      </c>
      <c r="F662" s="34" t="s">
        <v>39</v>
      </c>
      <c r="G662" s="33"/>
      <c r="H662" s="33" t="s">
        <v>40</v>
      </c>
      <c r="I662" s="33"/>
      <c r="J662" s="35">
        <v>394</v>
      </c>
      <c r="K662" s="33"/>
      <c r="L662" s="35">
        <v>1</v>
      </c>
      <c r="M662" s="35">
        <v>20</v>
      </c>
      <c r="N662" s="35">
        <v>1</v>
      </c>
      <c r="O662" s="36">
        <v>493.64</v>
      </c>
      <c r="P662" s="36">
        <v>404.62</v>
      </c>
      <c r="Q662" s="36">
        <v>345.55</v>
      </c>
      <c r="R662" s="36">
        <v>283.24</v>
      </c>
      <c r="S662" s="36">
        <v>335.68</v>
      </c>
      <c r="T662" s="36">
        <v>275.14999999999998</v>
      </c>
      <c r="U662" s="34"/>
      <c r="V662" s="34"/>
      <c r="W662" s="34"/>
      <c r="X662" s="37">
        <v>0.32400000000000001</v>
      </c>
      <c r="Y662" s="38">
        <v>1.186E-3</v>
      </c>
      <c r="Z662" s="21">
        <v>4601004272101</v>
      </c>
    </row>
    <row r="663" spans="1:26" ht="12" customHeight="1" outlineLevel="4" x14ac:dyDescent="0.2">
      <c r="A663" s="32" t="s">
        <v>1328</v>
      </c>
      <c r="B663" s="74" t="s">
        <v>1329</v>
      </c>
      <c r="C663" s="50"/>
      <c r="D663" s="53">
        <f t="shared" si="10"/>
        <v>0</v>
      </c>
      <c r="E663" s="60" t="str">
        <f>HYPERLINK("https://www.sds-group.ru/product/udlinitel-standart-3-gnezda-5m-2h1-0mm-b-z-belyy-rexant-13-4008/", "Инфо")</f>
        <v>Инфо</v>
      </c>
      <c r="F663" s="34" t="s">
        <v>39</v>
      </c>
      <c r="G663" s="33"/>
      <c r="H663" s="33" t="s">
        <v>40</v>
      </c>
      <c r="I663" s="33"/>
      <c r="J663" s="35">
        <v>218</v>
      </c>
      <c r="K663" s="33"/>
      <c r="L663" s="35">
        <v>1</v>
      </c>
      <c r="M663" s="35">
        <v>20</v>
      </c>
      <c r="N663" s="35">
        <v>1</v>
      </c>
      <c r="O663" s="36">
        <v>723.76</v>
      </c>
      <c r="P663" s="36">
        <v>593.25</v>
      </c>
      <c r="Q663" s="36">
        <v>506.63</v>
      </c>
      <c r="R663" s="36">
        <v>415.27</v>
      </c>
      <c r="S663" s="36">
        <v>492.16</v>
      </c>
      <c r="T663" s="36">
        <v>403.41</v>
      </c>
      <c r="U663" s="34"/>
      <c r="V663" s="34"/>
      <c r="W663" s="34"/>
      <c r="X663" s="37">
        <v>0.45</v>
      </c>
      <c r="Y663" s="38">
        <v>1.305E-3</v>
      </c>
      <c r="Z663" s="21">
        <v>4601004272132</v>
      </c>
    </row>
    <row r="664" spans="1:26" ht="12" customHeight="1" outlineLevel="4" x14ac:dyDescent="0.2">
      <c r="A664" s="32" t="s">
        <v>1330</v>
      </c>
      <c r="B664" s="74" t="s">
        <v>1331</v>
      </c>
      <c r="C664" s="50"/>
      <c r="D664" s="53">
        <f t="shared" si="10"/>
        <v>0</v>
      </c>
      <c r="E664" s="60" t="str">
        <f>HYPERLINK("https://www.sds-group.ru/product/udlinitel-standart-3-gnezda-5m-3h1-0mm-s-z-s-vyklyuchatelem-2-usb-razema-belyy-rexant-13-4017/", "Инфо")</f>
        <v>Инфо</v>
      </c>
      <c r="F664" s="34" t="s">
        <v>39</v>
      </c>
      <c r="G664" s="33"/>
      <c r="H664" s="33" t="s">
        <v>40</v>
      </c>
      <c r="I664" s="33"/>
      <c r="J664" s="35">
        <v>785</v>
      </c>
      <c r="K664" s="33"/>
      <c r="L664" s="35">
        <v>1</v>
      </c>
      <c r="M664" s="35">
        <v>20</v>
      </c>
      <c r="N664" s="35">
        <v>1</v>
      </c>
      <c r="O664" s="36">
        <v>1146.08</v>
      </c>
      <c r="P664" s="36">
        <v>939.41</v>
      </c>
      <c r="Q664" s="36">
        <v>802.26</v>
      </c>
      <c r="R664" s="36">
        <v>657.59</v>
      </c>
      <c r="S664" s="36">
        <v>779.33</v>
      </c>
      <c r="T664" s="36">
        <v>638.79999999999995</v>
      </c>
      <c r="U664" s="34"/>
      <c r="V664" s="34"/>
      <c r="W664" s="34"/>
      <c r="X664" s="37">
        <v>0.58799999999999997</v>
      </c>
      <c r="Y664" s="38">
        <v>1.4350000000000001E-3</v>
      </c>
      <c r="Z664" s="21">
        <v>4601004272217</v>
      </c>
    </row>
    <row r="665" spans="1:26" ht="12.95" customHeight="1" outlineLevel="3" x14ac:dyDescent="0.2">
      <c r="A665" s="76" t="s">
        <v>1332</v>
      </c>
      <c r="B665" s="76"/>
      <c r="C665" s="77"/>
      <c r="D665" s="58"/>
      <c r="E665" s="68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</row>
    <row r="666" spans="1:26" ht="12" customHeight="1" outlineLevel="4" x14ac:dyDescent="0.2">
      <c r="A666" s="32" t="s">
        <v>1333</v>
      </c>
      <c r="B666" s="74" t="s">
        <v>1334</v>
      </c>
      <c r="C666" s="50"/>
      <c r="D666" s="53">
        <f t="shared" si="10"/>
        <v>0</v>
      </c>
      <c r="E666" s="60" t="str">
        <f>HYPERLINK("https://www.sds-group.ru/product/udlinitel-premium-3-gnezda-5m-3h1-5mm-s-z-2-usb-razema-belyy-rexant-13-4111/", "Инфо")</f>
        <v>Инфо</v>
      </c>
      <c r="F666" s="34" t="s">
        <v>39</v>
      </c>
      <c r="G666" s="33"/>
      <c r="H666" s="33" t="s">
        <v>40</v>
      </c>
      <c r="I666" s="33"/>
      <c r="J666" s="35">
        <v>69</v>
      </c>
      <c r="K666" s="33"/>
      <c r="L666" s="35">
        <v>1</v>
      </c>
      <c r="M666" s="35">
        <v>14</v>
      </c>
      <c r="N666" s="35">
        <v>1</v>
      </c>
      <c r="O666" s="36">
        <v>1837.31</v>
      </c>
      <c r="P666" s="36">
        <v>1505.99</v>
      </c>
      <c r="Q666" s="36">
        <v>1286.1199999999999</v>
      </c>
      <c r="R666" s="36">
        <v>1054.2</v>
      </c>
      <c r="S666" s="36">
        <v>1249.3699999999999</v>
      </c>
      <c r="T666" s="36">
        <v>1024.07</v>
      </c>
      <c r="U666" s="34"/>
      <c r="V666" s="34"/>
      <c r="W666" s="34"/>
      <c r="X666" s="37">
        <v>0.71299999999999997</v>
      </c>
      <c r="Y666" s="38">
        <v>1.6750000000000001E-3</v>
      </c>
      <c r="Z666" s="21">
        <v>4601004272682</v>
      </c>
    </row>
    <row r="667" spans="1:26" ht="12" customHeight="1" outlineLevel="4" x14ac:dyDescent="0.2">
      <c r="A667" s="32" t="s">
        <v>1335</v>
      </c>
      <c r="B667" s="74" t="s">
        <v>1336</v>
      </c>
      <c r="C667" s="50"/>
      <c r="D667" s="53">
        <f t="shared" si="10"/>
        <v>0</v>
      </c>
      <c r="E667" s="60" t="str">
        <f>HYPERLINK("https://www.sds-group.ru/product/udlinitel-premium-6-gnezd-5m-3h1-5mm-sup2-s-z-beliy-rexant-30084/", "Инфо")</f>
        <v>Инфо</v>
      </c>
      <c r="F667" s="34" t="s">
        <v>39</v>
      </c>
      <c r="G667" s="33"/>
      <c r="H667" s="33" t="s">
        <v>40</v>
      </c>
      <c r="I667" s="33"/>
      <c r="J667" s="35">
        <v>4</v>
      </c>
      <c r="K667" s="33"/>
      <c r="L667" s="35">
        <v>1</v>
      </c>
      <c r="M667" s="35">
        <v>10</v>
      </c>
      <c r="N667" s="35">
        <v>1</v>
      </c>
      <c r="O667" s="36">
        <v>1741.26</v>
      </c>
      <c r="P667" s="36">
        <v>1427.26</v>
      </c>
      <c r="Q667" s="36">
        <v>1218.8800000000001</v>
      </c>
      <c r="R667" s="36">
        <v>999.08</v>
      </c>
      <c r="S667" s="36">
        <v>1184.06</v>
      </c>
      <c r="T667" s="36">
        <v>970.54</v>
      </c>
      <c r="U667" s="34"/>
      <c r="V667" s="34"/>
      <c r="W667" s="34"/>
      <c r="X667" s="37">
        <v>0.80300000000000005</v>
      </c>
      <c r="Y667" s="38">
        <v>3.7290000000000001E-3</v>
      </c>
      <c r="Z667" s="21">
        <v>4601004272620</v>
      </c>
    </row>
    <row r="668" spans="1:26" ht="12.95" customHeight="1" outlineLevel="3" x14ac:dyDescent="0.2">
      <c r="A668" s="76" t="s">
        <v>1337</v>
      </c>
      <c r="B668" s="76"/>
      <c r="C668" s="77"/>
      <c r="D668" s="58"/>
      <c r="E668" s="68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</row>
    <row r="669" spans="1:26" ht="12" customHeight="1" outlineLevel="4" x14ac:dyDescent="0.2">
      <c r="A669" s="32" t="s">
        <v>1338</v>
      </c>
      <c r="B669" s="74" t="s">
        <v>1339</v>
      </c>
      <c r="C669" s="50"/>
      <c r="D669" s="53">
        <f t="shared" si="10"/>
        <v>0</v>
      </c>
      <c r="E669" s="60" t="str">
        <f>HYPERLINK("https://www.sds-group.ru/product/udlinitel-2-gnezda-1-5m-3h0-75mm-s-z-belyy-proconnect-13-4202/", "Инфо")</f>
        <v>Инфо</v>
      </c>
      <c r="F669" s="34" t="s">
        <v>39</v>
      </c>
      <c r="G669" s="33"/>
      <c r="H669" s="33" t="s">
        <v>40</v>
      </c>
      <c r="I669" s="33"/>
      <c r="J669" s="35">
        <v>286</v>
      </c>
      <c r="K669" s="33"/>
      <c r="L669" s="35">
        <v>1</v>
      </c>
      <c r="M669" s="35">
        <v>36</v>
      </c>
      <c r="N669" s="35">
        <v>1</v>
      </c>
      <c r="O669" s="36">
        <v>377.86</v>
      </c>
      <c r="P669" s="36">
        <v>309.72000000000003</v>
      </c>
      <c r="Q669" s="36">
        <v>264.5</v>
      </c>
      <c r="R669" s="36">
        <v>216.8</v>
      </c>
      <c r="S669" s="36">
        <v>256.94</v>
      </c>
      <c r="T669" s="36">
        <v>210.61</v>
      </c>
      <c r="U669" s="34"/>
      <c r="V669" s="34"/>
      <c r="W669" s="34"/>
      <c r="X669" s="37">
        <v>0.20699999999999999</v>
      </c>
      <c r="Y669" s="38">
        <v>8.1999999999999998E-4</v>
      </c>
      <c r="Z669" s="21">
        <v>4601004272033</v>
      </c>
    </row>
    <row r="670" spans="1:26" ht="12" customHeight="1" outlineLevel="4" x14ac:dyDescent="0.2">
      <c r="A670" s="32" t="s">
        <v>1340</v>
      </c>
      <c r="B670" s="74" t="s">
        <v>1341</v>
      </c>
      <c r="C670" s="50"/>
      <c r="D670" s="53">
        <f t="shared" si="10"/>
        <v>0</v>
      </c>
      <c r="E670" s="60" t="str">
        <f>HYPERLINK("https://www.sds-group.ru/product/udlinitel-2-gnezda-3m-2h0-75mm-b-z-belyy-proconnect-13-4201/", "Инфо")</f>
        <v>Инфо</v>
      </c>
      <c r="F670" s="34" t="s">
        <v>39</v>
      </c>
      <c r="G670" s="33"/>
      <c r="H670" s="33" t="s">
        <v>40</v>
      </c>
      <c r="I670" s="33"/>
      <c r="J670" s="35">
        <v>197</v>
      </c>
      <c r="K670" s="33"/>
      <c r="L670" s="35">
        <v>1</v>
      </c>
      <c r="M670" s="35">
        <v>40</v>
      </c>
      <c r="N670" s="35">
        <v>1</v>
      </c>
      <c r="O670" s="36">
        <v>323.01</v>
      </c>
      <c r="P670" s="36">
        <v>264.76</v>
      </c>
      <c r="Q670" s="36">
        <v>226.11</v>
      </c>
      <c r="R670" s="36">
        <v>185.34</v>
      </c>
      <c r="S670" s="36">
        <v>219.65</v>
      </c>
      <c r="T670" s="36">
        <v>180.04</v>
      </c>
      <c r="U670" s="34"/>
      <c r="V670" s="34"/>
      <c r="W670" s="34"/>
      <c r="X670" s="37">
        <v>0.17100000000000001</v>
      </c>
      <c r="Y670" s="38">
        <v>1.0839999999999999E-3</v>
      </c>
      <c r="Z670" s="21">
        <v>4601004271951</v>
      </c>
    </row>
    <row r="671" spans="1:26" ht="12" customHeight="1" outlineLevel="4" x14ac:dyDescent="0.2">
      <c r="A671" s="32" t="s">
        <v>1342</v>
      </c>
      <c r="B671" s="74" t="s">
        <v>1343</v>
      </c>
      <c r="C671" s="50"/>
      <c r="D671" s="53">
        <f t="shared" si="10"/>
        <v>0</v>
      </c>
      <c r="E671" s="60" t="str">
        <f>HYPERLINK("https://www.sds-group.ru/product/udlinitel-2-gnezda-3m-3h0-75mm-s-z-belyy-proconnect-13-4203/", "Инфо")</f>
        <v>Инфо</v>
      </c>
      <c r="F671" s="34" t="s">
        <v>39</v>
      </c>
      <c r="G671" s="33"/>
      <c r="H671" s="33" t="s">
        <v>40</v>
      </c>
      <c r="I671" s="33"/>
      <c r="J671" s="35">
        <v>34</v>
      </c>
      <c r="K671" s="33"/>
      <c r="L671" s="35">
        <v>1</v>
      </c>
      <c r="M671" s="35">
        <v>36</v>
      </c>
      <c r="N671" s="35">
        <v>1</v>
      </c>
      <c r="O671" s="36">
        <v>432.31</v>
      </c>
      <c r="P671" s="36">
        <v>354.35</v>
      </c>
      <c r="Q671" s="36">
        <v>302.62</v>
      </c>
      <c r="R671" s="36">
        <v>248.05</v>
      </c>
      <c r="S671" s="36">
        <v>293.97000000000003</v>
      </c>
      <c r="T671" s="36">
        <v>240.96</v>
      </c>
      <c r="U671" s="34"/>
      <c r="V671" s="34"/>
      <c r="W671" s="34"/>
      <c r="X671" s="37">
        <v>0.29299999999999998</v>
      </c>
      <c r="Y671" s="38">
        <v>1.0009999999999999E-3</v>
      </c>
      <c r="Z671" s="21">
        <v>4601004271968</v>
      </c>
    </row>
    <row r="672" spans="1:26" ht="12" customHeight="1" outlineLevel="4" x14ac:dyDescent="0.2">
      <c r="A672" s="32" t="s">
        <v>1344</v>
      </c>
      <c r="B672" s="74" t="s">
        <v>1345</v>
      </c>
      <c r="C672" s="50"/>
      <c r="D672" s="53">
        <f t="shared" si="10"/>
        <v>0</v>
      </c>
      <c r="E672" s="60" t="str">
        <f>HYPERLINK("https://www.sds-group.ru/product/udlinitel-2-gnezda-5m-3h0-75mm-s-z-belyy-proconnect-13-4204/", "Инфо")</f>
        <v>Инфо</v>
      </c>
      <c r="F672" s="34" t="s">
        <v>39</v>
      </c>
      <c r="G672" s="33"/>
      <c r="H672" s="33" t="s">
        <v>40</v>
      </c>
      <c r="I672" s="33"/>
      <c r="J672" s="35">
        <v>92</v>
      </c>
      <c r="K672" s="33"/>
      <c r="L672" s="35">
        <v>1</v>
      </c>
      <c r="M672" s="35">
        <v>36</v>
      </c>
      <c r="N672" s="35">
        <v>1</v>
      </c>
      <c r="O672" s="36">
        <v>556.91</v>
      </c>
      <c r="P672" s="36">
        <v>456.48</v>
      </c>
      <c r="Q672" s="36">
        <v>389.84</v>
      </c>
      <c r="R672" s="36">
        <v>319.54000000000002</v>
      </c>
      <c r="S672" s="36">
        <v>378.7</v>
      </c>
      <c r="T672" s="36">
        <v>310.41000000000003</v>
      </c>
      <c r="U672" s="34"/>
      <c r="V672" s="34"/>
      <c r="W672" s="34"/>
      <c r="X672" s="37">
        <v>0.39800000000000002</v>
      </c>
      <c r="Y672" s="38">
        <v>1.245E-3</v>
      </c>
      <c r="Z672" s="21">
        <v>4601004272019</v>
      </c>
    </row>
    <row r="673" spans="1:26" ht="12" customHeight="1" outlineLevel="4" x14ac:dyDescent="0.2">
      <c r="A673" s="32" t="s">
        <v>1346</v>
      </c>
      <c r="B673" s="74" t="s">
        <v>1347</v>
      </c>
      <c r="C673" s="50"/>
      <c r="D673" s="53">
        <f t="shared" si="10"/>
        <v>0</v>
      </c>
      <c r="E673" s="60" t="str">
        <f>HYPERLINK("https://www.sds-group.ru/product/udlinitel-3-gnezda-1-5m-2h0-75mm-b-z-belyy-proconnect-13-4205/", "Инфо")</f>
        <v>Инфо</v>
      </c>
      <c r="F673" s="34" t="s">
        <v>39</v>
      </c>
      <c r="G673" s="33"/>
      <c r="H673" s="33" t="s">
        <v>40</v>
      </c>
      <c r="I673" s="33"/>
      <c r="J673" s="39">
        <v>3229</v>
      </c>
      <c r="K673" s="33"/>
      <c r="L673" s="35">
        <v>1</v>
      </c>
      <c r="M673" s="35">
        <v>40</v>
      </c>
      <c r="N673" s="35">
        <v>1</v>
      </c>
      <c r="O673" s="36">
        <v>216.77</v>
      </c>
      <c r="P673" s="36">
        <v>177.68</v>
      </c>
      <c r="Q673" s="36">
        <v>151.74</v>
      </c>
      <c r="R673" s="36">
        <v>124.38</v>
      </c>
      <c r="S673" s="36">
        <v>147.4</v>
      </c>
      <c r="T673" s="36">
        <v>120.82</v>
      </c>
      <c r="U673" s="34"/>
      <c r="V673" s="34"/>
      <c r="W673" s="34"/>
      <c r="X673" s="37">
        <v>0.155</v>
      </c>
      <c r="Y673" s="38">
        <v>6.7699999999999998E-4</v>
      </c>
      <c r="Z673" s="21">
        <v>4601004272026</v>
      </c>
    </row>
    <row r="674" spans="1:26" ht="12" customHeight="1" outlineLevel="4" x14ac:dyDescent="0.2">
      <c r="A674" s="32" t="s">
        <v>1348</v>
      </c>
      <c r="B674" s="74" t="s">
        <v>1349</v>
      </c>
      <c r="C674" s="50"/>
      <c r="D674" s="53">
        <f t="shared" si="10"/>
        <v>0</v>
      </c>
      <c r="E674" s="60" t="str">
        <f>HYPERLINK("https://www.sds-group.ru/product/udlinitel-3-gnezda-1-5m-3h0-75mm-s-z-belyy-proconnect-13-4208/", "Инфо")</f>
        <v>Инфо</v>
      </c>
      <c r="F674" s="34" t="s">
        <v>39</v>
      </c>
      <c r="G674" s="33"/>
      <c r="H674" s="33" t="s">
        <v>40</v>
      </c>
      <c r="I674" s="33"/>
      <c r="J674" s="35">
        <v>289</v>
      </c>
      <c r="K674" s="33"/>
      <c r="L674" s="35">
        <v>1</v>
      </c>
      <c r="M674" s="35">
        <v>36</v>
      </c>
      <c r="N674" s="35">
        <v>1</v>
      </c>
      <c r="O674" s="36">
        <v>396.48</v>
      </c>
      <c r="P674" s="36">
        <v>324.98</v>
      </c>
      <c r="Q674" s="36">
        <v>277.54000000000002</v>
      </c>
      <c r="R674" s="36">
        <v>227.49</v>
      </c>
      <c r="S674" s="36">
        <v>269.61</v>
      </c>
      <c r="T674" s="36">
        <v>220.99</v>
      </c>
      <c r="U674" s="34"/>
      <c r="V674" s="34"/>
      <c r="W674" s="34"/>
      <c r="X674" s="37">
        <v>0.21199999999999999</v>
      </c>
      <c r="Y674" s="38">
        <v>7.9500000000000003E-4</v>
      </c>
      <c r="Z674" s="21">
        <v>4601004271999</v>
      </c>
    </row>
    <row r="675" spans="1:26" ht="12" customHeight="1" outlineLevel="4" x14ac:dyDescent="0.2">
      <c r="A675" s="32" t="s">
        <v>1350</v>
      </c>
      <c r="B675" s="74" t="s">
        <v>1351</v>
      </c>
      <c r="C675" s="50"/>
      <c r="D675" s="53">
        <f t="shared" si="10"/>
        <v>0</v>
      </c>
      <c r="E675" s="60" t="str">
        <f>HYPERLINK("https://www.sds-group.ru/product/udlinitel-3-gnezda-1-5m-3h0-75mm-s-z-s-knopkoy-belyy-proconnect-11-7205/", "Инфо")</f>
        <v>Инфо</v>
      </c>
      <c r="F675" s="34" t="s">
        <v>39</v>
      </c>
      <c r="G675" s="33"/>
      <c r="H675" s="33" t="s">
        <v>40</v>
      </c>
      <c r="I675" s="33"/>
      <c r="J675" s="35">
        <v>2</v>
      </c>
      <c r="K675" s="33"/>
      <c r="L675" s="35">
        <v>1</v>
      </c>
      <c r="M675" s="35">
        <v>30</v>
      </c>
      <c r="N675" s="35">
        <v>1</v>
      </c>
      <c r="O675" s="36">
        <v>513.08000000000004</v>
      </c>
      <c r="P675" s="36">
        <v>420.56</v>
      </c>
      <c r="Q675" s="36">
        <v>359.16</v>
      </c>
      <c r="R675" s="36">
        <v>294.39</v>
      </c>
      <c r="S675" s="36">
        <v>348.89</v>
      </c>
      <c r="T675" s="36">
        <v>285.98</v>
      </c>
      <c r="U675" s="34"/>
      <c r="V675" s="34"/>
      <c r="W675" s="34"/>
      <c r="X675" s="37">
        <v>0.23499999999999999</v>
      </c>
      <c r="Y675" s="38">
        <v>1.439E-3</v>
      </c>
      <c r="Z675" s="21">
        <v>4601004203211</v>
      </c>
    </row>
    <row r="676" spans="1:26" ht="12" customHeight="1" outlineLevel="4" x14ac:dyDescent="0.2">
      <c r="A676" s="32" t="s">
        <v>1352</v>
      </c>
      <c r="B676" s="74" t="s">
        <v>1353</v>
      </c>
      <c r="C676" s="50"/>
      <c r="D676" s="53">
        <f t="shared" si="10"/>
        <v>0</v>
      </c>
      <c r="E676" s="60" t="str">
        <f>HYPERLINK("https://www.sds-group.ru/product/udlinitel-3-gnezda-3m-2h0-75mm-b-z-belyy-proconnect-13-4206/", "Инфо")</f>
        <v>Инфо</v>
      </c>
      <c r="F676" s="34" t="s">
        <v>39</v>
      </c>
      <c r="G676" s="33"/>
      <c r="H676" s="33" t="s">
        <v>40</v>
      </c>
      <c r="I676" s="33"/>
      <c r="J676" s="35">
        <v>135</v>
      </c>
      <c r="K676" s="33"/>
      <c r="L676" s="35">
        <v>1</v>
      </c>
      <c r="M676" s="35">
        <v>40</v>
      </c>
      <c r="N676" s="35">
        <v>1</v>
      </c>
      <c r="O676" s="36">
        <v>325.94</v>
      </c>
      <c r="P676" s="36">
        <v>267.16000000000003</v>
      </c>
      <c r="Q676" s="36">
        <v>228.16</v>
      </c>
      <c r="R676" s="36">
        <v>187.02</v>
      </c>
      <c r="S676" s="36">
        <v>221.64</v>
      </c>
      <c r="T676" s="36">
        <v>181.67</v>
      </c>
      <c r="U676" s="34"/>
      <c r="V676" s="34"/>
      <c r="W676" s="34"/>
      <c r="X676" s="37">
        <v>0.20899999999999999</v>
      </c>
      <c r="Y676" s="38">
        <v>7.18E-4</v>
      </c>
      <c r="Z676" s="21">
        <v>4601004271982</v>
      </c>
    </row>
    <row r="677" spans="1:26" ht="12" customHeight="1" outlineLevel="4" x14ac:dyDescent="0.2">
      <c r="A677" s="32" t="s">
        <v>1354</v>
      </c>
      <c r="B677" s="74" t="s">
        <v>1355</v>
      </c>
      <c r="C677" s="50"/>
      <c r="D677" s="53">
        <f t="shared" si="10"/>
        <v>0</v>
      </c>
      <c r="E677" s="60" t="str">
        <f>HYPERLINK("https://www.sds-group.ru/product/udlinitel-3-gnezda-3m-3h0-75mm-s-z-belyy-proconnect-13-4209/", "Инфо")</f>
        <v>Инфо</v>
      </c>
      <c r="F677" s="34" t="s">
        <v>39</v>
      </c>
      <c r="G677" s="33"/>
      <c r="H677" s="33" t="s">
        <v>40</v>
      </c>
      <c r="I677" s="33"/>
      <c r="J677" s="39">
        <v>2458</v>
      </c>
      <c r="K677" s="33"/>
      <c r="L677" s="35">
        <v>1</v>
      </c>
      <c r="M677" s="35">
        <v>36</v>
      </c>
      <c r="N677" s="35">
        <v>1</v>
      </c>
      <c r="O677" s="36">
        <v>476.39</v>
      </c>
      <c r="P677" s="36">
        <v>390.48</v>
      </c>
      <c r="Q677" s="36">
        <v>333.47</v>
      </c>
      <c r="R677" s="36">
        <v>273.33999999999997</v>
      </c>
      <c r="S677" s="36">
        <v>323.95</v>
      </c>
      <c r="T677" s="36">
        <v>265.52999999999997</v>
      </c>
      <c r="U677" s="34"/>
      <c r="V677" s="34"/>
      <c r="W677" s="34"/>
      <c r="X677" s="37">
        <v>0.28199999999999997</v>
      </c>
      <c r="Y677" s="38">
        <v>1.4890000000000001E-3</v>
      </c>
      <c r="Z677" s="21">
        <v>4601004271975</v>
      </c>
    </row>
    <row r="678" spans="1:26" ht="12" customHeight="1" outlineLevel="4" x14ac:dyDescent="0.2">
      <c r="A678" s="32" t="s">
        <v>1356</v>
      </c>
      <c r="B678" s="74" t="s">
        <v>1357</v>
      </c>
      <c r="C678" s="50"/>
      <c r="D678" s="53">
        <f t="shared" si="10"/>
        <v>0</v>
      </c>
      <c r="E678" s="60" t="str">
        <f>HYPERLINK("https://www.sds-group.ru/product/udlinitel-3-gnezda-5m-2h0-75mm-b-z-belyy-proconnect-13-4207/", "Инфо")</f>
        <v>Инфо</v>
      </c>
      <c r="F678" s="34" t="s">
        <v>39</v>
      </c>
      <c r="G678" s="33"/>
      <c r="H678" s="33" t="s">
        <v>40</v>
      </c>
      <c r="I678" s="33"/>
      <c r="J678" s="39">
        <v>3451</v>
      </c>
      <c r="K678" s="33"/>
      <c r="L678" s="35">
        <v>1</v>
      </c>
      <c r="M678" s="35">
        <v>40</v>
      </c>
      <c r="N678" s="35">
        <v>1</v>
      </c>
      <c r="O678" s="36">
        <v>403.84</v>
      </c>
      <c r="P678" s="36">
        <v>331.02</v>
      </c>
      <c r="Q678" s="36">
        <v>282.69</v>
      </c>
      <c r="R678" s="36">
        <v>231.71</v>
      </c>
      <c r="S678" s="36">
        <v>274.61</v>
      </c>
      <c r="T678" s="36">
        <v>225.09</v>
      </c>
      <c r="U678" s="34"/>
      <c r="V678" s="34"/>
      <c r="W678" s="34"/>
      <c r="X678" s="37">
        <v>0.26900000000000002</v>
      </c>
      <c r="Y678" s="38">
        <v>8.03E-4</v>
      </c>
      <c r="Z678" s="21">
        <v>4601004271944</v>
      </c>
    </row>
    <row r="679" spans="1:26" ht="12" customHeight="1" outlineLevel="4" x14ac:dyDescent="0.2">
      <c r="A679" s="32" t="s">
        <v>1358</v>
      </c>
      <c r="B679" s="74" t="s">
        <v>1359</v>
      </c>
      <c r="C679" s="50"/>
      <c r="D679" s="53">
        <f t="shared" si="10"/>
        <v>0</v>
      </c>
      <c r="E679" s="60" t="str">
        <f>HYPERLINK("https://www.sds-group.ru/product/udlinitel-5-gnezd-1-5m-3h0-75mm-s-z-belyy-proconnect-13-4211/", "Инфо")</f>
        <v>Инфо</v>
      </c>
      <c r="F679" s="34" t="s">
        <v>39</v>
      </c>
      <c r="G679" s="33"/>
      <c r="H679" s="33" t="s">
        <v>40</v>
      </c>
      <c r="I679" s="33"/>
      <c r="J679" s="35">
        <v>504</v>
      </c>
      <c r="K679" s="33"/>
      <c r="L679" s="35">
        <v>1</v>
      </c>
      <c r="M679" s="35">
        <v>36</v>
      </c>
      <c r="N679" s="35">
        <v>1</v>
      </c>
      <c r="O679" s="36">
        <v>453.29</v>
      </c>
      <c r="P679" s="36">
        <v>371.55</v>
      </c>
      <c r="Q679" s="36">
        <v>317.3</v>
      </c>
      <c r="R679" s="36">
        <v>260.08</v>
      </c>
      <c r="S679" s="36">
        <v>308.24</v>
      </c>
      <c r="T679" s="36">
        <v>252.66</v>
      </c>
      <c r="U679" s="34"/>
      <c r="V679" s="34"/>
      <c r="W679" s="34"/>
      <c r="X679" s="37">
        <v>0.26</v>
      </c>
      <c r="Y679" s="38">
        <v>1.098E-3</v>
      </c>
      <c r="Z679" s="21">
        <v>4601004272002</v>
      </c>
    </row>
    <row r="680" spans="1:26" ht="12" customHeight="1" outlineLevel="4" x14ac:dyDescent="0.2">
      <c r="A680" s="32" t="s">
        <v>1360</v>
      </c>
      <c r="B680" s="74" t="s">
        <v>1361</v>
      </c>
      <c r="C680" s="50"/>
      <c r="D680" s="53">
        <f t="shared" si="10"/>
        <v>0</v>
      </c>
      <c r="E680" s="60" t="str">
        <f>HYPERLINK("https://www.sds-group.ru/product/udlinitel-5-gnezd-3m-3h0-75mm-s-z-belyy-proconnect-13-4212/", "Инфо")</f>
        <v>Инфо</v>
      </c>
      <c r="F680" s="34" t="s">
        <v>39</v>
      </c>
      <c r="G680" s="33"/>
      <c r="H680" s="33" t="s">
        <v>40</v>
      </c>
      <c r="I680" s="33"/>
      <c r="J680" s="35">
        <v>985</v>
      </c>
      <c r="K680" s="33"/>
      <c r="L680" s="35">
        <v>1</v>
      </c>
      <c r="M680" s="35">
        <v>36</v>
      </c>
      <c r="N680" s="35">
        <v>1</v>
      </c>
      <c r="O680" s="36">
        <v>438.46</v>
      </c>
      <c r="P680" s="36">
        <v>359.39</v>
      </c>
      <c r="Q680" s="36">
        <v>306.92</v>
      </c>
      <c r="R680" s="36">
        <v>251.57</v>
      </c>
      <c r="S680" s="36">
        <v>298.14999999999998</v>
      </c>
      <c r="T680" s="36">
        <v>244.39</v>
      </c>
      <c r="U680" s="34"/>
      <c r="V680" s="34"/>
      <c r="W680" s="34"/>
      <c r="X680" s="37">
        <v>0.34399999999999997</v>
      </c>
      <c r="Y680" s="38">
        <v>1.212E-3</v>
      </c>
      <c r="Z680" s="21">
        <v>4601004272057</v>
      </c>
    </row>
    <row r="681" spans="1:26" ht="12" customHeight="1" outlineLevel="4" x14ac:dyDescent="0.2">
      <c r="A681" s="32" t="s">
        <v>1362</v>
      </c>
      <c r="B681" s="74" t="s">
        <v>1363</v>
      </c>
      <c r="C681" s="50"/>
      <c r="D681" s="53">
        <f t="shared" si="10"/>
        <v>0</v>
      </c>
      <c r="E681" s="60" t="str">
        <f>HYPERLINK("https://www.sds-group.ru/product/udlinitel-5-gnezd-5m-3h0-75mm-s-z-belyy-proconnect-13-4213/", "Инфо")</f>
        <v>Инфо</v>
      </c>
      <c r="F681" s="34" t="s">
        <v>39</v>
      </c>
      <c r="G681" s="33"/>
      <c r="H681" s="33" t="s">
        <v>40</v>
      </c>
      <c r="I681" s="33"/>
      <c r="J681" s="35">
        <v>303</v>
      </c>
      <c r="K681" s="33"/>
      <c r="L681" s="35">
        <v>1</v>
      </c>
      <c r="M681" s="35">
        <v>36</v>
      </c>
      <c r="N681" s="35">
        <v>1</v>
      </c>
      <c r="O681" s="36">
        <v>578.22</v>
      </c>
      <c r="P681" s="36">
        <v>473.95</v>
      </c>
      <c r="Q681" s="36">
        <v>404.75</v>
      </c>
      <c r="R681" s="36">
        <v>331.76</v>
      </c>
      <c r="S681" s="36">
        <v>393.19</v>
      </c>
      <c r="T681" s="36">
        <v>322.29000000000002</v>
      </c>
      <c r="U681" s="34"/>
      <c r="V681" s="34"/>
      <c r="W681" s="34"/>
      <c r="X681" s="37">
        <v>0.45300000000000001</v>
      </c>
      <c r="Y681" s="38">
        <v>1.4920000000000001E-3</v>
      </c>
      <c r="Z681" s="21">
        <v>4601004272064</v>
      </c>
    </row>
    <row r="682" spans="1:26" ht="12" customHeight="1" outlineLevel="4" x14ac:dyDescent="0.2">
      <c r="A682" s="32" t="s">
        <v>1364</v>
      </c>
      <c r="B682" s="74" t="s">
        <v>1365</v>
      </c>
      <c r="C682" s="50"/>
      <c r="D682" s="53">
        <f t="shared" si="10"/>
        <v>0</v>
      </c>
      <c r="E682" s="60" t="str">
        <f>HYPERLINK("https://www.sds-group.ru/product/udlinitel-optima-4-gnezda-5m-2h0-75mm-b-z-belyy-proconnect-11-7222/", "Инфо")</f>
        <v>Инфо</v>
      </c>
      <c r="F682" s="34" t="s">
        <v>39</v>
      </c>
      <c r="G682" s="33"/>
      <c r="H682" s="33" t="s">
        <v>40</v>
      </c>
      <c r="I682" s="33"/>
      <c r="J682" s="35">
        <v>36</v>
      </c>
      <c r="K682" s="33"/>
      <c r="L682" s="35">
        <v>1</v>
      </c>
      <c r="M682" s="35">
        <v>35</v>
      </c>
      <c r="N682" s="35">
        <v>1</v>
      </c>
      <c r="O682" s="36">
        <v>515.39</v>
      </c>
      <c r="P682" s="36">
        <v>422.45</v>
      </c>
      <c r="Q682" s="36">
        <v>360.77</v>
      </c>
      <c r="R682" s="36">
        <v>295.70999999999998</v>
      </c>
      <c r="S682" s="36">
        <v>350.47</v>
      </c>
      <c r="T682" s="36">
        <v>287.27</v>
      </c>
      <c r="U682" s="34"/>
      <c r="V682" s="34"/>
      <c r="W682" s="34"/>
      <c r="X682" s="37">
        <v>0.33500000000000002</v>
      </c>
      <c r="Y682" s="38">
        <v>1.2489999999999999E-3</v>
      </c>
      <c r="Z682" s="21">
        <v>4601004203389</v>
      </c>
    </row>
    <row r="683" spans="1:26" ht="12" customHeight="1" outlineLevel="4" x14ac:dyDescent="0.2">
      <c r="A683" s="32" t="s">
        <v>1366</v>
      </c>
      <c r="B683" s="74" t="s">
        <v>1367</v>
      </c>
      <c r="C683" s="50"/>
      <c r="D683" s="53">
        <f t="shared" si="10"/>
        <v>0</v>
      </c>
      <c r="E683" s="60" t="str">
        <f>HYPERLINK("https://www.sds-group.ru/product/udlinitel-proconnect-optima-4-gnezda-7-m-2h0-75-mm-sup2-b-z-beliy-26519/", "Инфо")</f>
        <v>Инфо</v>
      </c>
      <c r="F683" s="34" t="s">
        <v>39</v>
      </c>
      <c r="G683" s="33"/>
      <c r="H683" s="33" t="s">
        <v>40</v>
      </c>
      <c r="I683" s="33"/>
      <c r="J683" s="35">
        <v>3</v>
      </c>
      <c r="K683" s="33"/>
      <c r="L683" s="35">
        <v>1</v>
      </c>
      <c r="M683" s="35">
        <v>30</v>
      </c>
      <c r="N683" s="35">
        <v>1</v>
      </c>
      <c r="O683" s="36">
        <v>715.54</v>
      </c>
      <c r="P683" s="36">
        <v>586.51</v>
      </c>
      <c r="Q683" s="36">
        <v>500.88</v>
      </c>
      <c r="R683" s="36">
        <v>410.56</v>
      </c>
      <c r="S683" s="36">
        <v>486.57</v>
      </c>
      <c r="T683" s="36">
        <v>398.83</v>
      </c>
      <c r="U683" s="34"/>
      <c r="V683" s="34"/>
      <c r="W683" s="34"/>
      <c r="X683" s="37">
        <v>0.40799999999999997</v>
      </c>
      <c r="Y683" s="38">
        <v>1.4400000000000001E-3</v>
      </c>
      <c r="Z683" s="21">
        <v>4601004203396</v>
      </c>
    </row>
    <row r="684" spans="1:26" ht="12" customHeight="1" outlineLevel="4" x14ac:dyDescent="0.2">
      <c r="A684" s="32" t="s">
        <v>1368</v>
      </c>
      <c r="B684" s="74" t="s">
        <v>1369</v>
      </c>
      <c r="C684" s="50"/>
      <c r="D684" s="53">
        <f t="shared" si="10"/>
        <v>0</v>
      </c>
      <c r="E684" s="60" t="str">
        <f>HYPERLINK("https://www.sds-group.ru/product/udlinitel-standart-3-gnezda-3m-2h0-75mm-b-z-belyy-proconnect-11-7211/", "Инфо")</f>
        <v>Инфо</v>
      </c>
      <c r="F684" s="34" t="s">
        <v>39</v>
      </c>
      <c r="G684" s="33"/>
      <c r="H684" s="33" t="s">
        <v>40</v>
      </c>
      <c r="I684" s="33"/>
      <c r="J684" s="35">
        <v>2</v>
      </c>
      <c r="K684" s="33"/>
      <c r="L684" s="35">
        <v>1</v>
      </c>
      <c r="M684" s="35">
        <v>60</v>
      </c>
      <c r="N684" s="35">
        <v>1</v>
      </c>
      <c r="O684" s="36">
        <v>287.55</v>
      </c>
      <c r="P684" s="36">
        <v>235.7</v>
      </c>
      <c r="Q684" s="36">
        <v>244.42</v>
      </c>
      <c r="R684" s="36">
        <v>200.34</v>
      </c>
      <c r="S684" s="36">
        <v>195.53</v>
      </c>
      <c r="T684" s="36">
        <v>160.27000000000001</v>
      </c>
      <c r="U684" s="34"/>
      <c r="V684" s="34"/>
      <c r="W684" s="34" t="s">
        <v>40</v>
      </c>
      <c r="X684" s="37">
        <v>0.14599999999999999</v>
      </c>
      <c r="Y684" s="38">
        <v>7.2400000000000003E-4</v>
      </c>
      <c r="Z684" s="21">
        <v>4601004203273</v>
      </c>
    </row>
    <row r="685" spans="1:26" ht="12" customHeight="1" outlineLevel="4" x14ac:dyDescent="0.2">
      <c r="A685" s="32" t="s">
        <v>1370</v>
      </c>
      <c r="B685" s="74" t="s">
        <v>1371</v>
      </c>
      <c r="C685" s="50"/>
      <c r="D685" s="53">
        <f t="shared" si="10"/>
        <v>0</v>
      </c>
      <c r="E685" s="60" t="str">
        <f>HYPERLINK("https://www.sds-group.ru/product/udlinitel-ruletka-standart-3-gnezda-5m-2h0-75mm-b-z-belyy-proconnect-11-7225/", "Инфо")</f>
        <v>Инфо</v>
      </c>
      <c r="F685" s="34" t="s">
        <v>39</v>
      </c>
      <c r="G685" s="33"/>
      <c r="H685" s="33" t="s">
        <v>40</v>
      </c>
      <c r="I685" s="33"/>
      <c r="J685" s="35">
        <v>1</v>
      </c>
      <c r="K685" s="33"/>
      <c r="L685" s="35">
        <v>1</v>
      </c>
      <c r="M685" s="35">
        <v>40</v>
      </c>
      <c r="N685" s="35">
        <v>1</v>
      </c>
      <c r="O685" s="36">
        <v>491.3</v>
      </c>
      <c r="P685" s="36">
        <v>402.7</v>
      </c>
      <c r="Q685" s="36">
        <v>393.04</v>
      </c>
      <c r="R685" s="36">
        <v>322.16000000000003</v>
      </c>
      <c r="S685" s="36">
        <v>334.08</v>
      </c>
      <c r="T685" s="36">
        <v>273.83999999999997</v>
      </c>
      <c r="U685" s="34"/>
      <c r="V685" s="34"/>
      <c r="W685" s="34" t="s">
        <v>40</v>
      </c>
      <c r="X685" s="37">
        <v>0.25900000000000001</v>
      </c>
      <c r="Y685" s="38">
        <v>1.1249999999999999E-3</v>
      </c>
      <c r="Z685" s="21">
        <v>4601004203419</v>
      </c>
    </row>
    <row r="686" spans="1:26" ht="12.95" customHeight="1" outlineLevel="2" x14ac:dyDescent="0.2">
      <c r="A686" s="76" t="s">
        <v>1372</v>
      </c>
      <c r="B686" s="76"/>
      <c r="C686" s="77"/>
      <c r="D686" s="58"/>
      <c r="E686" s="68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</row>
    <row r="687" spans="1:26" ht="12" customHeight="1" outlineLevel="3" x14ac:dyDescent="0.2">
      <c r="A687" s="14" t="s">
        <v>1373</v>
      </c>
      <c r="B687" s="26" t="s">
        <v>1374</v>
      </c>
      <c r="C687" s="52"/>
      <c r="D687" s="55">
        <f t="shared" si="10"/>
        <v>0</v>
      </c>
      <c r="E687" s="63" t="str">
        <f>HYPERLINK("https://www.sds-group.ru/product/kolodka-2-gnezda-bez-zazemleniya-rexant-11-8701/", "Инфо")</f>
        <v>Инфо</v>
      </c>
      <c r="F687" s="16" t="s">
        <v>39</v>
      </c>
      <c r="G687" s="15"/>
      <c r="H687" s="15"/>
      <c r="I687" s="15"/>
      <c r="J687" s="22">
        <v>1840</v>
      </c>
      <c r="K687" s="15"/>
      <c r="L687" s="17">
        <v>5</v>
      </c>
      <c r="M687" s="17">
        <v>50</v>
      </c>
      <c r="N687" s="17">
        <v>5</v>
      </c>
      <c r="O687" s="18">
        <v>133.59</v>
      </c>
      <c r="P687" s="18">
        <v>109.5</v>
      </c>
      <c r="Q687" s="18">
        <v>113.55</v>
      </c>
      <c r="R687" s="18">
        <v>93.07</v>
      </c>
      <c r="S687" s="18">
        <v>90.84</v>
      </c>
      <c r="T687" s="18">
        <v>74.459999999999994</v>
      </c>
      <c r="U687" s="16"/>
      <c r="V687" s="16"/>
      <c r="W687" s="16" t="s">
        <v>40</v>
      </c>
      <c r="X687" s="19">
        <v>7.6999999999999999E-2</v>
      </c>
      <c r="Y687" s="20">
        <v>4.1300000000000001E-4</v>
      </c>
      <c r="Z687" s="21">
        <v>4601004051935</v>
      </c>
    </row>
    <row r="688" spans="1:26" ht="12" customHeight="1" outlineLevel="3" x14ac:dyDescent="0.2">
      <c r="A688" s="14" t="s">
        <v>1375</v>
      </c>
      <c r="B688" s="26" t="s">
        <v>1376</v>
      </c>
      <c r="C688" s="52"/>
      <c r="D688" s="55">
        <f t="shared" si="10"/>
        <v>0</v>
      </c>
      <c r="E688" s="63" t="str">
        <f>HYPERLINK("https://www.sds-group.ru/product/kolodka-2-gnezda-karbolitovaya-b-z-16a-chernaya-rexant-11-8981/", "Инфо")</f>
        <v>Инфо</v>
      </c>
      <c r="F688" s="16" t="s">
        <v>39</v>
      </c>
      <c r="G688" s="15"/>
      <c r="H688" s="15"/>
      <c r="I688" s="15"/>
      <c r="J688" s="17">
        <v>980</v>
      </c>
      <c r="K688" s="15"/>
      <c r="L688" s="17">
        <v>5</v>
      </c>
      <c r="M688" s="17">
        <v>200</v>
      </c>
      <c r="N688" s="17">
        <v>5</v>
      </c>
      <c r="O688" s="18">
        <v>176.8</v>
      </c>
      <c r="P688" s="18">
        <v>144.91999999999999</v>
      </c>
      <c r="Q688" s="18">
        <v>150.28</v>
      </c>
      <c r="R688" s="18">
        <v>123.18</v>
      </c>
      <c r="S688" s="18">
        <v>120.22</v>
      </c>
      <c r="T688" s="18">
        <v>98.54</v>
      </c>
      <c r="U688" s="16"/>
      <c r="V688" s="16"/>
      <c r="W688" s="16" t="s">
        <v>40</v>
      </c>
      <c r="X688" s="19">
        <v>0.08</v>
      </c>
      <c r="Y688" s="20">
        <v>3.28E-4</v>
      </c>
      <c r="Z688" s="21">
        <v>4601004241275</v>
      </c>
    </row>
    <row r="689" spans="1:26" ht="12" customHeight="1" outlineLevel="3" x14ac:dyDescent="0.2">
      <c r="A689" s="14" t="s">
        <v>1377</v>
      </c>
      <c r="B689" s="26" t="s">
        <v>1378</v>
      </c>
      <c r="C689" s="52"/>
      <c r="D689" s="55">
        <f t="shared" si="10"/>
        <v>0</v>
      </c>
      <c r="E689" s="63" t="str">
        <f>HYPERLINK("https://www.sds-group.ru/product/kolodka-2-gnezda-s-zazemleniem-rexant-11-8702/", "Инфо")</f>
        <v>Инфо</v>
      </c>
      <c r="F689" s="16" t="s">
        <v>39</v>
      </c>
      <c r="G689" s="15"/>
      <c r="H689" s="15"/>
      <c r="I689" s="15"/>
      <c r="J689" s="16" t="s">
        <v>100</v>
      </c>
      <c r="K689" s="15"/>
      <c r="L689" s="17">
        <v>5</v>
      </c>
      <c r="M689" s="17">
        <v>50</v>
      </c>
      <c r="N689" s="17">
        <v>5</v>
      </c>
      <c r="O689" s="18">
        <v>198.01</v>
      </c>
      <c r="P689" s="18">
        <v>162.30000000000001</v>
      </c>
      <c r="Q689" s="18">
        <v>168.31</v>
      </c>
      <c r="R689" s="18">
        <v>137.96</v>
      </c>
      <c r="S689" s="18">
        <v>134.65</v>
      </c>
      <c r="T689" s="18">
        <v>110.37</v>
      </c>
      <c r="U689" s="16"/>
      <c r="V689" s="16"/>
      <c r="W689" s="16" t="s">
        <v>40</v>
      </c>
      <c r="X689" s="19">
        <v>9.6000000000000002E-2</v>
      </c>
      <c r="Y689" s="20">
        <v>4.2499999999999998E-4</v>
      </c>
      <c r="Z689" s="21">
        <v>4601004051867</v>
      </c>
    </row>
    <row r="690" spans="1:26" ht="12" customHeight="1" outlineLevel="3" x14ac:dyDescent="0.2">
      <c r="A690" s="14" t="s">
        <v>1379</v>
      </c>
      <c r="B690" s="26" t="s">
        <v>1380</v>
      </c>
      <c r="C690" s="52"/>
      <c r="D690" s="55">
        <f t="shared" si="10"/>
        <v>0</v>
      </c>
      <c r="E690" s="63" t="str">
        <f>HYPERLINK("https://www.sds-group.ru/product/kolodka-3-gnezda-bez-zazemleniya-rexant-11-8703/", "Инфо")</f>
        <v>Инфо</v>
      </c>
      <c r="F690" s="16" t="s">
        <v>39</v>
      </c>
      <c r="G690" s="15"/>
      <c r="H690" s="15"/>
      <c r="I690" s="15"/>
      <c r="J690" s="22">
        <v>1858</v>
      </c>
      <c r="K690" s="15" t="s">
        <v>1381</v>
      </c>
      <c r="L690" s="17">
        <v>5</v>
      </c>
      <c r="M690" s="17">
        <v>50</v>
      </c>
      <c r="N690" s="17">
        <v>5</v>
      </c>
      <c r="O690" s="18">
        <v>149.19999999999999</v>
      </c>
      <c r="P690" s="18">
        <v>122.3</v>
      </c>
      <c r="Q690" s="18">
        <v>126.82</v>
      </c>
      <c r="R690" s="18">
        <v>103.95</v>
      </c>
      <c r="S690" s="18">
        <v>101.46</v>
      </c>
      <c r="T690" s="18">
        <v>83.16</v>
      </c>
      <c r="U690" s="16"/>
      <c r="V690" s="16"/>
      <c r="W690" s="16" t="s">
        <v>40</v>
      </c>
      <c r="X690" s="19">
        <v>9.6000000000000002E-2</v>
      </c>
      <c r="Y690" s="20">
        <v>4.1300000000000001E-4</v>
      </c>
      <c r="Z690" s="21">
        <v>4601004051874</v>
      </c>
    </row>
    <row r="691" spans="1:26" ht="12" customHeight="1" outlineLevel="3" x14ac:dyDescent="0.2">
      <c r="A691" s="14" t="s">
        <v>1382</v>
      </c>
      <c r="B691" s="26" t="s">
        <v>1383</v>
      </c>
      <c r="C691" s="52"/>
      <c r="D691" s="55">
        <f t="shared" si="10"/>
        <v>0</v>
      </c>
      <c r="E691" s="63" t="str">
        <f>HYPERLINK("https://www.sds-group.ru/product/kolodka-3-gnezda-karbolitovaya-b-z-16a-chernaya-rexant-11-8979/", "Инфо")</f>
        <v>Инфо</v>
      </c>
      <c r="F691" s="16" t="s">
        <v>39</v>
      </c>
      <c r="G691" s="15"/>
      <c r="H691" s="15"/>
      <c r="I691" s="15"/>
      <c r="J691" s="22">
        <v>1028</v>
      </c>
      <c r="K691" s="15"/>
      <c r="L691" s="17">
        <v>5</v>
      </c>
      <c r="M691" s="17">
        <v>120</v>
      </c>
      <c r="N691" s="17">
        <v>5</v>
      </c>
      <c r="O691" s="18">
        <v>223.15</v>
      </c>
      <c r="P691" s="18">
        <v>182.91</v>
      </c>
      <c r="Q691" s="18">
        <v>189.68</v>
      </c>
      <c r="R691" s="18">
        <v>155.47999999999999</v>
      </c>
      <c r="S691" s="18">
        <v>151.74</v>
      </c>
      <c r="T691" s="18">
        <v>124.38</v>
      </c>
      <c r="U691" s="16"/>
      <c r="V691" s="16"/>
      <c r="W691" s="16" t="s">
        <v>40</v>
      </c>
      <c r="X691" s="19">
        <v>9.5000000000000001E-2</v>
      </c>
      <c r="Y691" s="20">
        <v>4.1599999999999997E-4</v>
      </c>
      <c r="Z691" s="21">
        <v>4601004241312</v>
      </c>
    </row>
    <row r="692" spans="1:26" ht="12" customHeight="1" outlineLevel="3" x14ac:dyDescent="0.2">
      <c r="A692" s="14" t="s">
        <v>1384</v>
      </c>
      <c r="B692" s="26" t="s">
        <v>1385</v>
      </c>
      <c r="C692" s="52"/>
      <c r="D692" s="55">
        <f t="shared" si="10"/>
        <v>0</v>
      </c>
      <c r="E692" s="63" t="str">
        <f>HYPERLINK("https://www.sds-group.ru/product/kolodka-3-gnezda-s-zazemleniem-rexant-11-8704/", "Инфо")</f>
        <v>Инфо</v>
      </c>
      <c r="F692" s="16" t="s">
        <v>39</v>
      </c>
      <c r="G692" s="15"/>
      <c r="H692" s="15"/>
      <c r="I692" s="15"/>
      <c r="J692" s="22">
        <v>2484</v>
      </c>
      <c r="K692" s="15" t="s">
        <v>1381</v>
      </c>
      <c r="L692" s="17">
        <v>10</v>
      </c>
      <c r="M692" s="17">
        <v>50</v>
      </c>
      <c r="N692" s="17">
        <v>10</v>
      </c>
      <c r="O692" s="18">
        <v>204.81</v>
      </c>
      <c r="P692" s="18">
        <v>167.88</v>
      </c>
      <c r="Q692" s="18">
        <v>174.09</v>
      </c>
      <c r="R692" s="18">
        <v>142.69999999999999</v>
      </c>
      <c r="S692" s="18">
        <v>139.27000000000001</v>
      </c>
      <c r="T692" s="18">
        <v>114.16</v>
      </c>
      <c r="U692" s="16"/>
      <c r="V692" s="16"/>
      <c r="W692" s="16" t="s">
        <v>40</v>
      </c>
      <c r="X692" s="19">
        <v>0.128</v>
      </c>
      <c r="Y692" s="20">
        <v>7.9299999999999998E-4</v>
      </c>
      <c r="Z692" s="21">
        <v>4601004051881</v>
      </c>
    </row>
    <row r="693" spans="1:26" ht="12" customHeight="1" outlineLevel="3" x14ac:dyDescent="0.2">
      <c r="A693" s="14" t="s">
        <v>1386</v>
      </c>
      <c r="B693" s="26" t="s">
        <v>1387</v>
      </c>
      <c r="C693" s="52"/>
      <c r="D693" s="55">
        <f t="shared" si="10"/>
        <v>0</v>
      </c>
      <c r="E693" s="63" t="str">
        <f>HYPERLINK("https://www.sds-group.ru/product/kolodka-3-gnezda-s-knopkoy-c-zazemleniem-rexant-11-8706/", "Инфо")</f>
        <v>Инфо</v>
      </c>
      <c r="F693" s="16" t="s">
        <v>39</v>
      </c>
      <c r="G693" s="15"/>
      <c r="H693" s="15"/>
      <c r="I693" s="15"/>
      <c r="J693" s="17">
        <v>395</v>
      </c>
      <c r="K693" s="15"/>
      <c r="L693" s="17">
        <v>5</v>
      </c>
      <c r="M693" s="17">
        <v>50</v>
      </c>
      <c r="N693" s="17">
        <v>5</v>
      </c>
      <c r="O693" s="18">
        <v>366.34</v>
      </c>
      <c r="P693" s="18">
        <v>300.27999999999997</v>
      </c>
      <c r="Q693" s="18">
        <v>311.39</v>
      </c>
      <c r="R693" s="18">
        <v>255.24</v>
      </c>
      <c r="S693" s="18">
        <v>249.11</v>
      </c>
      <c r="T693" s="18">
        <v>204.19</v>
      </c>
      <c r="U693" s="16"/>
      <c r="V693" s="16"/>
      <c r="W693" s="16" t="s">
        <v>40</v>
      </c>
      <c r="X693" s="19">
        <v>0.151</v>
      </c>
      <c r="Y693" s="20">
        <v>8.1499999999999997E-4</v>
      </c>
      <c r="Z693" s="21">
        <v>4601004051904</v>
      </c>
    </row>
    <row r="694" spans="1:26" ht="12" customHeight="1" outlineLevel="3" x14ac:dyDescent="0.2">
      <c r="A694" s="14" t="s">
        <v>1388</v>
      </c>
      <c r="B694" s="26" t="s">
        <v>1389</v>
      </c>
      <c r="C694" s="52"/>
      <c r="D694" s="55">
        <f t="shared" si="10"/>
        <v>0</v>
      </c>
      <c r="E694" s="63" t="str">
        <f>HYPERLINK("https://www.sds-group.ru/product/kolodka-3-gnezda-s-knopkoy-bez-zazemleniya-rexant-11-8705/", "Инфо")</f>
        <v>Инфо</v>
      </c>
      <c r="F694" s="16" t="s">
        <v>39</v>
      </c>
      <c r="G694" s="15"/>
      <c r="H694" s="15"/>
      <c r="I694" s="15"/>
      <c r="J694" s="17">
        <v>106</v>
      </c>
      <c r="K694" s="15"/>
      <c r="L694" s="17">
        <v>5</v>
      </c>
      <c r="M694" s="17">
        <v>50</v>
      </c>
      <c r="N694" s="17">
        <v>5</v>
      </c>
      <c r="O694" s="18">
        <v>330.6</v>
      </c>
      <c r="P694" s="18">
        <v>270.98</v>
      </c>
      <c r="Q694" s="18">
        <v>281.01</v>
      </c>
      <c r="R694" s="18">
        <v>230.34</v>
      </c>
      <c r="S694" s="18">
        <v>224.81</v>
      </c>
      <c r="T694" s="18">
        <v>184.27</v>
      </c>
      <c r="U694" s="16"/>
      <c r="V694" s="16"/>
      <c r="W694" s="16" t="s">
        <v>40</v>
      </c>
      <c r="X694" s="19">
        <v>0.14199999999999999</v>
      </c>
      <c r="Y694" s="20">
        <v>8.0500000000000005E-4</v>
      </c>
      <c r="Z694" s="21">
        <v>4601004051898</v>
      </c>
    </row>
    <row r="695" spans="1:26" ht="12" customHeight="1" outlineLevel="3" x14ac:dyDescent="0.2">
      <c r="A695" s="14" t="s">
        <v>1390</v>
      </c>
      <c r="B695" s="26" t="s">
        <v>1391</v>
      </c>
      <c r="C695" s="52"/>
      <c r="D695" s="55">
        <f t="shared" si="10"/>
        <v>0</v>
      </c>
      <c r="E695" s="63" t="str">
        <f>HYPERLINK("https://www.sds-group.ru/product/kolodka-4-gnezda-c-zazemleniem-rexant-11-8707/", "Инфо")</f>
        <v>Инфо</v>
      </c>
      <c r="F695" s="16" t="s">
        <v>39</v>
      </c>
      <c r="G695" s="15"/>
      <c r="H695" s="15"/>
      <c r="I695" s="15"/>
      <c r="J695" s="17">
        <v>222</v>
      </c>
      <c r="K695" s="15" t="s">
        <v>1381</v>
      </c>
      <c r="L695" s="17">
        <v>10</v>
      </c>
      <c r="M695" s="17">
        <v>50</v>
      </c>
      <c r="N695" s="17">
        <v>10</v>
      </c>
      <c r="O695" s="18">
        <v>222.13</v>
      </c>
      <c r="P695" s="18">
        <v>182.07</v>
      </c>
      <c r="Q695" s="18">
        <v>188.81</v>
      </c>
      <c r="R695" s="18">
        <v>154.76</v>
      </c>
      <c r="S695" s="18">
        <v>151.05000000000001</v>
      </c>
      <c r="T695" s="18">
        <v>123.81</v>
      </c>
      <c r="U695" s="16"/>
      <c r="V695" s="16"/>
      <c r="W695" s="16" t="s">
        <v>40</v>
      </c>
      <c r="X695" s="19">
        <v>0.14899999999999999</v>
      </c>
      <c r="Y695" s="20">
        <v>7.8200000000000003E-4</v>
      </c>
      <c r="Z695" s="21">
        <v>4601004051911</v>
      </c>
    </row>
    <row r="696" spans="1:26" ht="12" customHeight="1" outlineLevel="3" x14ac:dyDescent="0.2">
      <c r="A696" s="14" t="s">
        <v>1392</v>
      </c>
      <c r="B696" s="26" t="s">
        <v>1393</v>
      </c>
      <c r="C696" s="52"/>
      <c r="D696" s="55">
        <f t="shared" si="10"/>
        <v>0</v>
      </c>
      <c r="E696" s="63" t="str">
        <f>HYPERLINK("https://www.sds-group.ru/product/kolodka-4-gnezda-b-z-ekonom-proconnect-11-8714/", "Инфо")</f>
        <v>Инфо</v>
      </c>
      <c r="F696" s="16" t="s">
        <v>39</v>
      </c>
      <c r="G696" s="15"/>
      <c r="H696" s="15"/>
      <c r="I696" s="15"/>
      <c r="J696" s="17">
        <v>299</v>
      </c>
      <c r="K696" s="15"/>
      <c r="L696" s="17">
        <v>5</v>
      </c>
      <c r="M696" s="17">
        <v>50</v>
      </c>
      <c r="N696" s="17">
        <v>5</v>
      </c>
      <c r="O696" s="18">
        <v>150.66999999999999</v>
      </c>
      <c r="P696" s="18">
        <v>123.5</v>
      </c>
      <c r="Q696" s="18">
        <v>128.07</v>
      </c>
      <c r="R696" s="18">
        <v>104.98</v>
      </c>
      <c r="S696" s="18">
        <v>102.46</v>
      </c>
      <c r="T696" s="18">
        <v>83.98</v>
      </c>
      <c r="U696" s="16"/>
      <c r="V696" s="16"/>
      <c r="W696" s="16" t="s">
        <v>40</v>
      </c>
      <c r="X696" s="19">
        <v>0.13400000000000001</v>
      </c>
      <c r="Y696" s="20">
        <v>5.0000000000000001E-4</v>
      </c>
      <c r="Z696" s="21">
        <v>4601004051980</v>
      </c>
    </row>
    <row r="697" spans="1:26" ht="12" customHeight="1" outlineLevel="3" x14ac:dyDescent="0.2">
      <c r="A697" s="14" t="s">
        <v>1394</v>
      </c>
      <c r="B697" s="26" t="s">
        <v>1395</v>
      </c>
      <c r="C697" s="52"/>
      <c r="D697" s="55">
        <f t="shared" si="10"/>
        <v>0</v>
      </c>
      <c r="E697" s="63" t="str">
        <f>HYPERLINK("https://www.sds-group.ru/product/kolodka-4-gnezda-bez-zazemleniya-rexant-11-8715/", "Инфо")</f>
        <v>Инфо</v>
      </c>
      <c r="F697" s="16" t="s">
        <v>39</v>
      </c>
      <c r="G697" s="15"/>
      <c r="H697" s="15"/>
      <c r="I697" s="15"/>
      <c r="J697" s="16" t="s">
        <v>100</v>
      </c>
      <c r="K697" s="15"/>
      <c r="L697" s="17">
        <v>5</v>
      </c>
      <c r="M697" s="17">
        <v>50</v>
      </c>
      <c r="N697" s="17">
        <v>5</v>
      </c>
      <c r="O697" s="18">
        <v>164.05</v>
      </c>
      <c r="P697" s="18">
        <v>134.47</v>
      </c>
      <c r="Q697" s="18">
        <v>139.44</v>
      </c>
      <c r="R697" s="18">
        <v>114.3</v>
      </c>
      <c r="S697" s="18">
        <v>111.55</v>
      </c>
      <c r="T697" s="18">
        <v>91.43</v>
      </c>
      <c r="U697" s="16"/>
      <c r="V697" s="16"/>
      <c r="W697" s="16" t="s">
        <v>40</v>
      </c>
      <c r="X697" s="19">
        <v>0.123</v>
      </c>
      <c r="Y697" s="20">
        <v>8.0599999999999997E-4</v>
      </c>
      <c r="Z697" s="21">
        <v>4601004118515</v>
      </c>
    </row>
    <row r="698" spans="1:26" ht="12" customHeight="1" outlineLevel="3" x14ac:dyDescent="0.2">
      <c r="A698" s="14" t="s">
        <v>1396</v>
      </c>
      <c r="B698" s="26" t="s">
        <v>1397</v>
      </c>
      <c r="C698" s="52"/>
      <c r="D698" s="55">
        <f t="shared" si="10"/>
        <v>0</v>
      </c>
      <c r="E698" s="63" t="str">
        <f>HYPERLINK("https://www.sds-group.ru/product/kolodka-4-gnezda-s-knopkoy-c-zazemleniem-rexant-11-8716/", "Инфо")</f>
        <v>Инфо</v>
      </c>
      <c r="F698" s="16" t="s">
        <v>39</v>
      </c>
      <c r="G698" s="15"/>
      <c r="H698" s="15"/>
      <c r="I698" s="15"/>
      <c r="J698" s="17">
        <v>382</v>
      </c>
      <c r="K698" s="15"/>
      <c r="L698" s="17">
        <v>5</v>
      </c>
      <c r="M698" s="17">
        <v>50</v>
      </c>
      <c r="N698" s="17">
        <v>5</v>
      </c>
      <c r="O698" s="18">
        <v>405.09</v>
      </c>
      <c r="P698" s="18">
        <v>332.04</v>
      </c>
      <c r="Q698" s="18">
        <v>344.33</v>
      </c>
      <c r="R698" s="18">
        <v>282.24</v>
      </c>
      <c r="S698" s="18">
        <v>275.45999999999998</v>
      </c>
      <c r="T698" s="18">
        <v>225.79</v>
      </c>
      <c r="U698" s="16"/>
      <c r="V698" s="16"/>
      <c r="W698" s="16" t="s">
        <v>40</v>
      </c>
      <c r="X698" s="19">
        <v>0.17199999999999999</v>
      </c>
      <c r="Y698" s="20">
        <v>7.9299999999999998E-4</v>
      </c>
      <c r="Z698" s="21">
        <v>4601004118492</v>
      </c>
    </row>
    <row r="699" spans="1:26" ht="12" customHeight="1" outlineLevel="3" x14ac:dyDescent="0.2">
      <c r="A699" s="14" t="s">
        <v>1398</v>
      </c>
      <c r="B699" s="26" t="s">
        <v>1399</v>
      </c>
      <c r="C699" s="52"/>
      <c r="D699" s="55">
        <f t="shared" si="10"/>
        <v>0</v>
      </c>
      <c r="E699" s="63" t="str">
        <f>HYPERLINK("https://www.sds-group.ru/product/rozetka-shtepselnaya-karbolitovaya-otkrytoy-ustanovki-b-z-16a-chernaya-rexant-11-8980/", "Инфо")</f>
        <v>Инфо</v>
      </c>
      <c r="F699" s="16" t="s">
        <v>39</v>
      </c>
      <c r="G699" s="15"/>
      <c r="H699" s="15"/>
      <c r="I699" s="15"/>
      <c r="J699" s="17">
        <v>87</v>
      </c>
      <c r="K699" s="15" t="s">
        <v>940</v>
      </c>
      <c r="L699" s="17">
        <v>5</v>
      </c>
      <c r="M699" s="17">
        <v>240</v>
      </c>
      <c r="N699" s="17">
        <v>5</v>
      </c>
      <c r="O699" s="18">
        <v>111.04</v>
      </c>
      <c r="P699" s="18">
        <v>91.02</v>
      </c>
      <c r="Q699" s="18">
        <v>94.38</v>
      </c>
      <c r="R699" s="18">
        <v>77.36</v>
      </c>
      <c r="S699" s="18">
        <v>75.510000000000005</v>
      </c>
      <c r="T699" s="18">
        <v>61.89</v>
      </c>
      <c r="U699" s="16"/>
      <c r="V699" s="16"/>
      <c r="W699" s="16" t="s">
        <v>40</v>
      </c>
      <c r="X699" s="19">
        <v>7.8E-2</v>
      </c>
      <c r="Y699" s="20">
        <v>2.42E-4</v>
      </c>
      <c r="Z699" s="21">
        <v>4601004241299</v>
      </c>
    </row>
    <row r="700" spans="1:26" ht="12.95" customHeight="1" outlineLevel="2" x14ac:dyDescent="0.2">
      <c r="A700" s="76" t="s">
        <v>1400</v>
      </c>
      <c r="B700" s="76"/>
      <c r="C700" s="77"/>
      <c r="D700" s="58"/>
      <c r="E700" s="68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</row>
    <row r="701" spans="1:26" ht="12.95" customHeight="1" outlineLevel="3" x14ac:dyDescent="0.2">
      <c r="A701" s="76" t="s">
        <v>1401</v>
      </c>
      <c r="B701" s="76"/>
      <c r="C701" s="77"/>
      <c r="D701" s="58"/>
      <c r="E701" s="68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</row>
    <row r="702" spans="1:26" ht="12" customHeight="1" outlineLevel="4" x14ac:dyDescent="0.2">
      <c r="A702" s="14" t="s">
        <v>1402</v>
      </c>
      <c r="B702" s="26" t="s">
        <v>1403</v>
      </c>
      <c r="C702" s="52"/>
      <c r="D702" s="55">
        <f t="shared" si="10"/>
        <v>0</v>
      </c>
      <c r="E702" s="63" t="str">
        <f>HYPERLINK("https://www.sds-group.ru/product/setevoy-filtr-standard-4-gnezda-1-5m-3h0-75mm-s-z-avtovykl-belyy-proconnect-11-7226/", "Инфо")</f>
        <v>Инфо</v>
      </c>
      <c r="F702" s="16" t="s">
        <v>39</v>
      </c>
      <c r="G702" s="15"/>
      <c r="H702" s="15"/>
      <c r="I702" s="15"/>
      <c r="J702" s="17">
        <v>138</v>
      </c>
      <c r="K702" s="15"/>
      <c r="L702" s="17">
        <v>1</v>
      </c>
      <c r="M702" s="17">
        <v>25</v>
      </c>
      <c r="N702" s="17">
        <v>1</v>
      </c>
      <c r="O702" s="18">
        <v>968.7</v>
      </c>
      <c r="P702" s="18">
        <v>794.02</v>
      </c>
      <c r="Q702" s="18">
        <v>774.96</v>
      </c>
      <c r="R702" s="18">
        <v>635.21</v>
      </c>
      <c r="S702" s="18">
        <v>658.72</v>
      </c>
      <c r="T702" s="18">
        <v>539.92999999999995</v>
      </c>
      <c r="U702" s="16"/>
      <c r="V702" s="16"/>
      <c r="W702" s="16" t="s">
        <v>40</v>
      </c>
      <c r="X702" s="19">
        <v>0.25700000000000001</v>
      </c>
      <c r="Y702" s="20">
        <v>2.2109999999999999E-3</v>
      </c>
      <c r="Z702" s="21">
        <v>4601004203426</v>
      </c>
    </row>
    <row r="703" spans="1:26" ht="12" customHeight="1" outlineLevel="4" x14ac:dyDescent="0.2">
      <c r="A703" s="14" t="s">
        <v>1404</v>
      </c>
      <c r="B703" s="26" t="s">
        <v>1405</v>
      </c>
      <c r="C703" s="52"/>
      <c r="D703" s="55">
        <f t="shared" si="10"/>
        <v>0</v>
      </c>
      <c r="E703" s="63" t="str">
        <f>HYPERLINK("https://www.sds-group.ru/product/setevoy-filtr-standard-4-gnezda-1-5m-3h0-75mm-s-z-belyy-proconnect-11-7227/", "Инфо")</f>
        <v>Инфо</v>
      </c>
      <c r="F703" s="16" t="s">
        <v>39</v>
      </c>
      <c r="G703" s="15"/>
      <c r="H703" s="15"/>
      <c r="I703" s="15"/>
      <c r="J703" s="17">
        <v>24</v>
      </c>
      <c r="K703" s="15"/>
      <c r="L703" s="17">
        <v>1</v>
      </c>
      <c r="M703" s="17">
        <v>25</v>
      </c>
      <c r="N703" s="17">
        <v>1</v>
      </c>
      <c r="O703" s="18">
        <v>882.8</v>
      </c>
      <c r="P703" s="18">
        <v>723.61</v>
      </c>
      <c r="Q703" s="18">
        <v>706.24</v>
      </c>
      <c r="R703" s="18">
        <v>578.89</v>
      </c>
      <c r="S703" s="18">
        <v>600.29999999999995</v>
      </c>
      <c r="T703" s="18">
        <v>492.05</v>
      </c>
      <c r="U703" s="16"/>
      <c r="V703" s="16"/>
      <c r="W703" s="16" t="s">
        <v>40</v>
      </c>
      <c r="X703" s="19">
        <v>0.27400000000000002</v>
      </c>
      <c r="Y703" s="20">
        <v>1.7229999999999999E-3</v>
      </c>
      <c r="Z703" s="21">
        <v>4601004203433</v>
      </c>
    </row>
    <row r="704" spans="1:26" ht="12" customHeight="1" outlineLevel="4" x14ac:dyDescent="0.2">
      <c r="A704" s="14" t="s">
        <v>1406</v>
      </c>
      <c r="B704" s="26" t="s">
        <v>1407</v>
      </c>
      <c r="C704" s="52"/>
      <c r="D704" s="55">
        <f t="shared" si="10"/>
        <v>0</v>
      </c>
      <c r="E704" s="63" t="str">
        <f>HYPERLINK("https://www.sds-group.ru/product/setevoy-filtr-standard-4-gnezda-3m-3h0-75mm-s-z-avtovykl-belyy-proconnect-11-7228/", "Инфо")</f>
        <v>Инфо</v>
      </c>
      <c r="F704" s="16" t="s">
        <v>39</v>
      </c>
      <c r="G704" s="15"/>
      <c r="H704" s="15"/>
      <c r="I704" s="15"/>
      <c r="J704" s="17">
        <v>48</v>
      </c>
      <c r="K704" s="15" t="s">
        <v>1408</v>
      </c>
      <c r="L704" s="17">
        <v>1</v>
      </c>
      <c r="M704" s="17">
        <v>20</v>
      </c>
      <c r="N704" s="17">
        <v>1</v>
      </c>
      <c r="O704" s="18">
        <v>1246.1099999999999</v>
      </c>
      <c r="P704" s="18">
        <v>1021.4</v>
      </c>
      <c r="Q704" s="18">
        <v>996.89</v>
      </c>
      <c r="R704" s="18">
        <v>817.12</v>
      </c>
      <c r="S704" s="18">
        <v>847.35</v>
      </c>
      <c r="T704" s="18">
        <v>694.55</v>
      </c>
      <c r="U704" s="16"/>
      <c r="V704" s="16"/>
      <c r="W704" s="16" t="s">
        <v>40</v>
      </c>
      <c r="X704" s="19">
        <v>0.33700000000000002</v>
      </c>
      <c r="Y704" s="20">
        <v>3.1129999999999999E-3</v>
      </c>
      <c r="Z704" s="21">
        <v>4601004203440</v>
      </c>
    </row>
    <row r="705" spans="1:26" ht="12" customHeight="1" outlineLevel="4" x14ac:dyDescent="0.2">
      <c r="A705" s="14" t="s">
        <v>1409</v>
      </c>
      <c r="B705" s="26" t="s">
        <v>1410</v>
      </c>
      <c r="C705" s="52"/>
      <c r="D705" s="55">
        <f t="shared" si="10"/>
        <v>0</v>
      </c>
      <c r="E705" s="63" t="str">
        <f>HYPERLINK("https://www.sds-group.ru/product/setevoy-filtr-standart-4-gnezda-3m-3h0-75mm-s-z-belyy-proconnect-11-7229/", "Инфо")</f>
        <v>Инфо</v>
      </c>
      <c r="F705" s="16" t="s">
        <v>39</v>
      </c>
      <c r="G705" s="15"/>
      <c r="H705" s="15"/>
      <c r="I705" s="15"/>
      <c r="J705" s="17">
        <v>68</v>
      </c>
      <c r="K705" s="15"/>
      <c r="L705" s="17">
        <v>1</v>
      </c>
      <c r="M705" s="17">
        <v>20</v>
      </c>
      <c r="N705" s="17">
        <v>1</v>
      </c>
      <c r="O705" s="18">
        <v>1031.56</v>
      </c>
      <c r="P705" s="18">
        <v>845.54</v>
      </c>
      <c r="Q705" s="18">
        <v>825.25</v>
      </c>
      <c r="R705" s="18">
        <v>676.43</v>
      </c>
      <c r="S705" s="18">
        <v>701.46</v>
      </c>
      <c r="T705" s="18">
        <v>574.97</v>
      </c>
      <c r="U705" s="16"/>
      <c r="V705" s="16"/>
      <c r="W705" s="16" t="s">
        <v>40</v>
      </c>
      <c r="X705" s="19">
        <v>0.35299999999999998</v>
      </c>
      <c r="Y705" s="20">
        <v>2.1679999999999998E-3</v>
      </c>
      <c r="Z705" s="21">
        <v>4601004203457</v>
      </c>
    </row>
    <row r="706" spans="1:26" ht="12" customHeight="1" outlineLevel="4" x14ac:dyDescent="0.2">
      <c r="A706" s="14" t="s">
        <v>1411</v>
      </c>
      <c r="B706" s="26" t="s">
        <v>1412</v>
      </c>
      <c r="C706" s="52"/>
      <c r="D706" s="55">
        <f t="shared" si="10"/>
        <v>0</v>
      </c>
      <c r="E706" s="63" t="str">
        <f>HYPERLINK("https://www.sds-group.ru/product/setevoy-filtr-standart-4-gnezda-5m-3h0-75mm-s-z-avtovykl-belyy-proconnect-11-7231/", "Инфо")</f>
        <v>Инфо</v>
      </c>
      <c r="F706" s="16" t="s">
        <v>39</v>
      </c>
      <c r="G706" s="15"/>
      <c r="H706" s="15"/>
      <c r="I706" s="15"/>
      <c r="J706" s="16" t="s">
        <v>100</v>
      </c>
      <c r="K706" s="15"/>
      <c r="L706" s="17">
        <v>1</v>
      </c>
      <c r="M706" s="17">
        <v>20</v>
      </c>
      <c r="N706" s="17">
        <v>1</v>
      </c>
      <c r="O706" s="18">
        <v>1392.91</v>
      </c>
      <c r="P706" s="18">
        <v>1141.73</v>
      </c>
      <c r="Q706" s="18">
        <v>1114.33</v>
      </c>
      <c r="R706" s="18">
        <v>913.39</v>
      </c>
      <c r="S706" s="18">
        <v>947.18</v>
      </c>
      <c r="T706" s="18">
        <v>776.38</v>
      </c>
      <c r="U706" s="16"/>
      <c r="V706" s="16"/>
      <c r="W706" s="16" t="s">
        <v>40</v>
      </c>
      <c r="X706" s="19">
        <v>0.45500000000000002</v>
      </c>
      <c r="Y706" s="20">
        <v>2.196E-3</v>
      </c>
      <c r="Z706" s="21">
        <v>4601004203464</v>
      </c>
    </row>
    <row r="707" spans="1:26" ht="12" customHeight="1" outlineLevel="4" x14ac:dyDescent="0.2">
      <c r="A707" s="14" t="s">
        <v>1413</v>
      </c>
      <c r="B707" s="26" t="s">
        <v>1414</v>
      </c>
      <c r="C707" s="52"/>
      <c r="D707" s="55">
        <f t="shared" si="10"/>
        <v>0</v>
      </c>
      <c r="E707" s="63" t="str">
        <f>HYPERLINK("https://www.sds-group.ru/product/setevoy-filtr-standart-4-gnezda-5m-3h0-75mm-s-z-belyy-proconnect-11-7232/", "Инфо")</f>
        <v>Инфо</v>
      </c>
      <c r="F707" s="16" t="s">
        <v>39</v>
      </c>
      <c r="G707" s="15"/>
      <c r="H707" s="15"/>
      <c r="I707" s="15"/>
      <c r="J707" s="17">
        <v>77</v>
      </c>
      <c r="K707" s="15"/>
      <c r="L707" s="17">
        <v>1</v>
      </c>
      <c r="M707" s="17">
        <v>20</v>
      </c>
      <c r="N707" s="17">
        <v>1</v>
      </c>
      <c r="O707" s="18">
        <v>1171.8</v>
      </c>
      <c r="P707" s="18">
        <v>960.49</v>
      </c>
      <c r="Q707" s="18">
        <v>937.44</v>
      </c>
      <c r="R707" s="18">
        <v>768.39</v>
      </c>
      <c r="S707" s="18">
        <v>796.82</v>
      </c>
      <c r="T707" s="18">
        <v>653.13</v>
      </c>
      <c r="U707" s="16"/>
      <c r="V707" s="16"/>
      <c r="W707" s="16" t="s">
        <v>40</v>
      </c>
      <c r="X707" s="19">
        <v>0.44500000000000001</v>
      </c>
      <c r="Y707" s="20">
        <v>2.153E-3</v>
      </c>
      <c r="Z707" s="21">
        <v>4601004203471</v>
      </c>
    </row>
    <row r="708" spans="1:26" ht="12.95" customHeight="1" outlineLevel="2" x14ac:dyDescent="0.2">
      <c r="A708" s="76" t="s">
        <v>1415</v>
      </c>
      <c r="B708" s="76"/>
      <c r="C708" s="77"/>
      <c r="D708" s="58"/>
      <c r="E708" s="68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</row>
    <row r="709" spans="1:26" ht="12.95" customHeight="1" outlineLevel="3" x14ac:dyDescent="0.2">
      <c r="A709" s="76" t="s">
        <v>1416</v>
      </c>
      <c r="B709" s="76"/>
      <c r="C709" s="77"/>
      <c r="D709" s="58"/>
      <c r="E709" s="68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</row>
    <row r="710" spans="1:26" ht="12" customHeight="1" outlineLevel="4" x14ac:dyDescent="0.2">
      <c r="A710" s="14" t="s">
        <v>1417</v>
      </c>
      <c r="B710" s="26" t="s">
        <v>1418</v>
      </c>
      <c r="C710" s="52"/>
      <c r="D710" s="55">
        <f t="shared" si="10"/>
        <v>0</v>
      </c>
      <c r="E710" s="63" t="str">
        <f>HYPERLINK("https://www.sds-group.ru/product/udlinitel-shnur-kg-3h1-5-10m-3-gnezda-morozostoykiy-s-z-16a-3500vt-ip44-sdelano-v-rossii-rex-11-7074/", "Инфо")</f>
        <v>Инфо</v>
      </c>
      <c r="F710" s="16" t="s">
        <v>39</v>
      </c>
      <c r="G710" s="15"/>
      <c r="H710" s="15"/>
      <c r="I710" s="15"/>
      <c r="J710" s="17">
        <v>29</v>
      </c>
      <c r="K710" s="15"/>
      <c r="L710" s="17">
        <v>1</v>
      </c>
      <c r="M710" s="17">
        <v>10</v>
      </c>
      <c r="N710" s="17">
        <v>1</v>
      </c>
      <c r="O710" s="18">
        <v>2744.24</v>
      </c>
      <c r="P710" s="18">
        <v>2249.38</v>
      </c>
      <c r="Q710" s="18">
        <v>1920.97</v>
      </c>
      <c r="R710" s="18">
        <v>1574.57</v>
      </c>
      <c r="S710" s="18">
        <v>1866.08</v>
      </c>
      <c r="T710" s="18">
        <v>1529.57</v>
      </c>
      <c r="U710" s="16"/>
      <c r="V710" s="16"/>
      <c r="W710" s="16"/>
      <c r="X710" s="19">
        <v>1.1859999999999999</v>
      </c>
      <c r="Y710" s="20">
        <v>4.5209999999999998E-3</v>
      </c>
      <c r="Z710" s="21">
        <v>4601004199651</v>
      </c>
    </row>
    <row r="711" spans="1:26" ht="12" customHeight="1" outlineLevel="4" x14ac:dyDescent="0.2">
      <c r="A711" s="14" t="s">
        <v>1419</v>
      </c>
      <c r="B711" s="26" t="s">
        <v>1420</v>
      </c>
      <c r="C711" s="52"/>
      <c r="D711" s="55">
        <f t="shared" si="10"/>
        <v>0</v>
      </c>
      <c r="E711" s="63" t="str">
        <f>HYPERLINK("https://www.sds-group.ru/product/udlinitel-shnur-kg-3h1-5-10m-morozostoykiy-s-z-16a-3500vt-ip44-sdelano-v-rossii-rexant-11-7071/", "Инфо")</f>
        <v>Инфо</v>
      </c>
      <c r="F711" s="16" t="s">
        <v>39</v>
      </c>
      <c r="G711" s="15"/>
      <c r="H711" s="15"/>
      <c r="I711" s="15"/>
      <c r="J711" s="17">
        <v>48</v>
      </c>
      <c r="K711" s="15"/>
      <c r="L711" s="17">
        <v>1</v>
      </c>
      <c r="M711" s="17">
        <v>10</v>
      </c>
      <c r="N711" s="17">
        <v>1</v>
      </c>
      <c r="O711" s="18">
        <v>2459.15</v>
      </c>
      <c r="P711" s="18">
        <v>2015.7</v>
      </c>
      <c r="Q711" s="18">
        <v>1893.55</v>
      </c>
      <c r="R711" s="18">
        <v>1552.09</v>
      </c>
      <c r="S711" s="18">
        <v>1672.22</v>
      </c>
      <c r="T711" s="18">
        <v>1370.67</v>
      </c>
      <c r="U711" s="16"/>
      <c r="V711" s="16"/>
      <c r="W711" s="16" t="s">
        <v>40</v>
      </c>
      <c r="X711" s="19">
        <v>0.85199999999999998</v>
      </c>
      <c r="Y711" s="20">
        <v>3.5379999999999999E-3</v>
      </c>
      <c r="Z711" s="21">
        <v>4601004199804</v>
      </c>
    </row>
    <row r="712" spans="1:26" ht="12" customHeight="1" outlineLevel="4" x14ac:dyDescent="0.2">
      <c r="A712" s="14" t="s">
        <v>1421</v>
      </c>
      <c r="B712" s="26" t="s">
        <v>1422</v>
      </c>
      <c r="C712" s="52"/>
      <c r="D712" s="55">
        <f t="shared" si="10"/>
        <v>0</v>
      </c>
      <c r="E712" s="63" t="str">
        <f>HYPERLINK("https://www.sds-group.ru/product/udlinitel-shnur-kg-3h1-5-20m-3-gnezda-morozostoykiy-s-z-16a-3500vt-ip44-sdelano-v-rossii-rex-11-7075/", "Инфо")</f>
        <v>Инфо</v>
      </c>
      <c r="F712" s="16" t="s">
        <v>39</v>
      </c>
      <c r="G712" s="15"/>
      <c r="H712" s="15"/>
      <c r="I712" s="15"/>
      <c r="J712" s="16" t="s">
        <v>100</v>
      </c>
      <c r="K712" s="15"/>
      <c r="L712" s="17">
        <v>1</v>
      </c>
      <c r="M712" s="17">
        <v>6</v>
      </c>
      <c r="N712" s="17">
        <v>1</v>
      </c>
      <c r="O712" s="18">
        <v>4471.46</v>
      </c>
      <c r="P712" s="18">
        <v>3665.13</v>
      </c>
      <c r="Q712" s="18">
        <v>3577.17</v>
      </c>
      <c r="R712" s="18">
        <v>2932.11</v>
      </c>
      <c r="S712" s="18">
        <v>3040.59</v>
      </c>
      <c r="T712" s="18">
        <v>2492.29</v>
      </c>
      <c r="U712" s="16"/>
      <c r="V712" s="16"/>
      <c r="W712" s="16" t="s">
        <v>40</v>
      </c>
      <c r="X712" s="19">
        <v>1.6970000000000001</v>
      </c>
      <c r="Y712" s="20">
        <v>5.875E-3</v>
      </c>
      <c r="Z712" s="21">
        <v>4601004199668</v>
      </c>
    </row>
    <row r="713" spans="1:26" ht="12" customHeight="1" outlineLevel="4" x14ac:dyDescent="0.2">
      <c r="A713" s="14" t="s">
        <v>1423</v>
      </c>
      <c r="B713" s="26" t="s">
        <v>1424</v>
      </c>
      <c r="C713" s="52"/>
      <c r="D713" s="55">
        <f t="shared" ref="D713:D776" si="11">C713*(O713-O713*$G$3)</f>
        <v>0</v>
      </c>
      <c r="E713" s="63" t="str">
        <f>HYPERLINK("https://www.sds-group.ru/product/udlinitel-shnur-kg-3h1-5-20m-morozostoykiy-s-z-16a-3500vt-ip44-sdelano-v-rossii-rexant-11-7072/", "Инфо")</f>
        <v>Инфо</v>
      </c>
      <c r="F713" s="16" t="s">
        <v>39</v>
      </c>
      <c r="G713" s="15"/>
      <c r="H713" s="15"/>
      <c r="I713" s="15"/>
      <c r="J713" s="16" t="s">
        <v>100</v>
      </c>
      <c r="K713" s="15"/>
      <c r="L713" s="17">
        <v>1</v>
      </c>
      <c r="M713" s="17">
        <v>8</v>
      </c>
      <c r="N713" s="17">
        <v>1</v>
      </c>
      <c r="O713" s="18">
        <v>3949.4</v>
      </c>
      <c r="P713" s="18">
        <v>3237.21</v>
      </c>
      <c r="Q713" s="18">
        <v>3159.52</v>
      </c>
      <c r="R713" s="18">
        <v>2589.77</v>
      </c>
      <c r="S713" s="18">
        <v>2685.59</v>
      </c>
      <c r="T713" s="18">
        <v>2201.3000000000002</v>
      </c>
      <c r="U713" s="16"/>
      <c r="V713" s="16"/>
      <c r="W713" s="16" t="s">
        <v>40</v>
      </c>
      <c r="X713" s="19">
        <v>1.44</v>
      </c>
      <c r="Y713" s="20">
        <v>2.3119999999999998E-3</v>
      </c>
      <c r="Z713" s="21">
        <v>4601004199637</v>
      </c>
    </row>
    <row r="714" spans="1:26" ht="12" customHeight="1" outlineLevel="4" x14ac:dyDescent="0.2">
      <c r="A714" s="14" t="s">
        <v>1425</v>
      </c>
      <c r="B714" s="26" t="s">
        <v>1426</v>
      </c>
      <c r="C714" s="52"/>
      <c r="D714" s="55">
        <f t="shared" si="11"/>
        <v>0</v>
      </c>
      <c r="E714" s="63" t="str">
        <f>HYPERLINK("https://www.sds-group.ru/product/udlinitel-shnur-kg-3h1-5-30m-3-gnezda-morozostoykiy-s-z-16a-3500vt-ip44-sdelano-v-rossii-rex-11-7076/", "Инфо")</f>
        <v>Инфо</v>
      </c>
      <c r="F714" s="16" t="s">
        <v>39</v>
      </c>
      <c r="G714" s="15"/>
      <c r="H714" s="15"/>
      <c r="I714" s="15"/>
      <c r="J714" s="16" t="s">
        <v>100</v>
      </c>
      <c r="K714" s="15"/>
      <c r="L714" s="17">
        <v>1</v>
      </c>
      <c r="M714" s="17">
        <v>5</v>
      </c>
      <c r="N714" s="17">
        <v>1</v>
      </c>
      <c r="O714" s="18">
        <v>6384.66</v>
      </c>
      <c r="P714" s="18">
        <v>5233.33</v>
      </c>
      <c r="Q714" s="18">
        <v>4660.8</v>
      </c>
      <c r="R714" s="18">
        <v>3820.33</v>
      </c>
      <c r="S714" s="18">
        <v>4341.57</v>
      </c>
      <c r="T714" s="18">
        <v>3558.66</v>
      </c>
      <c r="U714" s="16"/>
      <c r="V714" s="16"/>
      <c r="W714" s="16" t="s">
        <v>40</v>
      </c>
      <c r="X714" s="19">
        <v>2.35</v>
      </c>
      <c r="Y714" s="20">
        <v>7.0990000000000003E-3</v>
      </c>
      <c r="Z714" s="21">
        <v>4601004199675</v>
      </c>
    </row>
    <row r="715" spans="1:26" ht="12" customHeight="1" outlineLevel="4" x14ac:dyDescent="0.2">
      <c r="A715" s="14" t="s">
        <v>1427</v>
      </c>
      <c r="B715" s="26" t="s">
        <v>1428</v>
      </c>
      <c r="C715" s="52"/>
      <c r="D715" s="55">
        <f t="shared" si="11"/>
        <v>0</v>
      </c>
      <c r="E715" s="63" t="str">
        <f>HYPERLINK("https://www.sds-group.ru/product/udlinitel-shnur-kg-3h1-5-30m-morozostoykiy-s-z-16a-3500vt-ip44-sdelano-v-rossii-rexant-11-7073/", "Инфо")</f>
        <v>Инфо</v>
      </c>
      <c r="F715" s="16" t="s">
        <v>39</v>
      </c>
      <c r="G715" s="15"/>
      <c r="H715" s="15"/>
      <c r="I715" s="15"/>
      <c r="J715" s="16" t="s">
        <v>100</v>
      </c>
      <c r="K715" s="15"/>
      <c r="L715" s="17">
        <v>1</v>
      </c>
      <c r="M715" s="17">
        <v>5</v>
      </c>
      <c r="N715" s="17">
        <v>1</v>
      </c>
      <c r="O715" s="18">
        <v>5566.78</v>
      </c>
      <c r="P715" s="18">
        <v>4562.93</v>
      </c>
      <c r="Q715" s="18">
        <v>4453.42</v>
      </c>
      <c r="R715" s="18">
        <v>3650.34</v>
      </c>
      <c r="S715" s="18">
        <v>3785.41</v>
      </c>
      <c r="T715" s="18">
        <v>3102.8</v>
      </c>
      <c r="U715" s="16"/>
      <c r="V715" s="16"/>
      <c r="W715" s="16" t="s">
        <v>40</v>
      </c>
      <c r="X715" s="19">
        <v>2.1970000000000001</v>
      </c>
      <c r="Y715" s="20">
        <v>7.071E-3</v>
      </c>
      <c r="Z715" s="21">
        <v>4601004199644</v>
      </c>
    </row>
    <row r="716" spans="1:26" ht="12" customHeight="1" outlineLevel="4" x14ac:dyDescent="0.2">
      <c r="A716" s="14" t="s">
        <v>1429</v>
      </c>
      <c r="B716" s="26" t="s">
        <v>1430</v>
      </c>
      <c r="C716" s="52"/>
      <c r="D716" s="55">
        <f t="shared" si="11"/>
        <v>0</v>
      </c>
      <c r="E716" s="63" t="str">
        <f>HYPERLINK("https://www.sds-group.ru/product/udlinitel-shnur-na-ramke-kg-3h1-5-10m-3-gnezda-morozostoykiy-s-z-16a-3500vt-ip44-sdelano-v-r-11-7080/", "Инфо")</f>
        <v>Инфо</v>
      </c>
      <c r="F716" s="16" t="s">
        <v>39</v>
      </c>
      <c r="G716" s="15"/>
      <c r="H716" s="15"/>
      <c r="I716" s="15"/>
      <c r="J716" s="16" t="s">
        <v>100</v>
      </c>
      <c r="K716" s="15"/>
      <c r="L716" s="17">
        <v>1</v>
      </c>
      <c r="M716" s="17">
        <v>10</v>
      </c>
      <c r="N716" s="17">
        <v>1</v>
      </c>
      <c r="O716" s="18">
        <v>3018.46</v>
      </c>
      <c r="P716" s="18">
        <v>2474.15</v>
      </c>
      <c r="Q716" s="18">
        <v>2324.21</v>
      </c>
      <c r="R716" s="18">
        <v>1905.09</v>
      </c>
      <c r="S716" s="18">
        <v>2052.5500000000002</v>
      </c>
      <c r="T716" s="18">
        <v>1682.42</v>
      </c>
      <c r="U716" s="16"/>
      <c r="V716" s="16"/>
      <c r="W716" s="16" t="s">
        <v>40</v>
      </c>
      <c r="X716" s="19">
        <v>0.90900000000000003</v>
      </c>
      <c r="Y716" s="20">
        <v>4.5360000000000001E-3</v>
      </c>
      <c r="Z716" s="21">
        <v>4601004199712</v>
      </c>
    </row>
    <row r="717" spans="1:26" ht="12" customHeight="1" outlineLevel="4" x14ac:dyDescent="0.2">
      <c r="A717" s="14" t="s">
        <v>1431</v>
      </c>
      <c r="B717" s="26" t="s">
        <v>1432</v>
      </c>
      <c r="C717" s="52"/>
      <c r="D717" s="55">
        <f t="shared" si="11"/>
        <v>0</v>
      </c>
      <c r="E717" s="63" t="str">
        <f>HYPERLINK("https://www.sds-group.ru/product/udlinitel-shnur-na-ramke-kg-3h1-5-10m-morozostoykiy-s-z-16a-3500vt-ip44-sdelano-v-rossii-rex-11-7077/", "Инфо")</f>
        <v>Инфо</v>
      </c>
      <c r="F717" s="16" t="s">
        <v>39</v>
      </c>
      <c r="G717" s="15"/>
      <c r="H717" s="15"/>
      <c r="I717" s="15"/>
      <c r="J717" s="17">
        <v>18</v>
      </c>
      <c r="K717" s="15"/>
      <c r="L717" s="17">
        <v>1</v>
      </c>
      <c r="M717" s="17">
        <v>10</v>
      </c>
      <c r="N717" s="17">
        <v>1</v>
      </c>
      <c r="O717" s="18">
        <v>2466.3200000000002</v>
      </c>
      <c r="P717" s="18">
        <v>2021.57</v>
      </c>
      <c r="Q717" s="18">
        <v>1899.07</v>
      </c>
      <c r="R717" s="18">
        <v>1556.61</v>
      </c>
      <c r="S717" s="18">
        <v>1677.1</v>
      </c>
      <c r="T717" s="18">
        <v>1374.67</v>
      </c>
      <c r="U717" s="16"/>
      <c r="V717" s="16"/>
      <c r="W717" s="16" t="s">
        <v>40</v>
      </c>
      <c r="X717" s="19">
        <v>0.95199999999999996</v>
      </c>
      <c r="Y717" s="20">
        <v>6.6559999999999996E-3</v>
      </c>
      <c r="Z717" s="21">
        <v>4601004199682</v>
      </c>
    </row>
    <row r="718" spans="1:26" ht="12" customHeight="1" outlineLevel="4" x14ac:dyDescent="0.2">
      <c r="A718" s="14" t="s">
        <v>1433</v>
      </c>
      <c r="B718" s="26" t="s">
        <v>1434</v>
      </c>
      <c r="C718" s="52"/>
      <c r="D718" s="55">
        <f t="shared" si="11"/>
        <v>0</v>
      </c>
      <c r="E718" s="63" t="str">
        <f>HYPERLINK("https://www.sds-group.ru/product/udlinitel-shnur-na-ramke-kg-3h1-5-20m-3-gnezda-morozostoykiy-s-z-16a-3500vt-ip44-sdelano-v-r-11-7081/", "Инфо")</f>
        <v>Инфо</v>
      </c>
      <c r="F718" s="16" t="s">
        <v>39</v>
      </c>
      <c r="G718" s="15"/>
      <c r="H718" s="15"/>
      <c r="I718" s="15"/>
      <c r="J718" s="16" t="s">
        <v>100</v>
      </c>
      <c r="K718" s="15" t="s">
        <v>1381</v>
      </c>
      <c r="L718" s="17">
        <v>1</v>
      </c>
      <c r="M718" s="17">
        <v>5</v>
      </c>
      <c r="N718" s="17">
        <v>1</v>
      </c>
      <c r="O718" s="18">
        <v>4769.8</v>
      </c>
      <c r="P718" s="18">
        <v>3909.67</v>
      </c>
      <c r="Q718" s="18">
        <v>3815.84</v>
      </c>
      <c r="R718" s="18">
        <v>3127.74</v>
      </c>
      <c r="S718" s="18">
        <v>3243.46</v>
      </c>
      <c r="T718" s="18">
        <v>2658.57</v>
      </c>
      <c r="U718" s="16"/>
      <c r="V718" s="16"/>
      <c r="W718" s="16" t="s">
        <v>40</v>
      </c>
      <c r="X718" s="19">
        <v>1.88</v>
      </c>
      <c r="Y718" s="20">
        <v>8.8339999999999998E-3</v>
      </c>
      <c r="Z718" s="21">
        <v>4601004199729</v>
      </c>
    </row>
    <row r="719" spans="1:26" ht="12" customHeight="1" outlineLevel="4" x14ac:dyDescent="0.2">
      <c r="A719" s="14" t="s">
        <v>1435</v>
      </c>
      <c r="B719" s="26" t="s">
        <v>1436</v>
      </c>
      <c r="C719" s="52"/>
      <c r="D719" s="55">
        <f t="shared" si="11"/>
        <v>0</v>
      </c>
      <c r="E719" s="63" t="str">
        <f>HYPERLINK("https://www.sds-group.ru/product/udlinitel-shnur-na-ramke-kg-3h1-5-20m-morozostoykiy-s-z-16a-3500vt-ip44-sdelano-v-rossii-rex-11-7078/", "Инфо")</f>
        <v>Инфо</v>
      </c>
      <c r="F719" s="16" t="s">
        <v>39</v>
      </c>
      <c r="G719" s="15"/>
      <c r="H719" s="15"/>
      <c r="I719" s="15"/>
      <c r="J719" s="16" t="s">
        <v>100</v>
      </c>
      <c r="K719" s="15"/>
      <c r="L719" s="17">
        <v>1</v>
      </c>
      <c r="M719" s="17">
        <v>5</v>
      </c>
      <c r="N719" s="17">
        <v>1</v>
      </c>
      <c r="O719" s="18">
        <v>3883.32</v>
      </c>
      <c r="P719" s="18">
        <v>3183.05</v>
      </c>
      <c r="Q719" s="18">
        <v>3106.66</v>
      </c>
      <c r="R719" s="18">
        <v>2546.44</v>
      </c>
      <c r="S719" s="18">
        <v>2640.66</v>
      </c>
      <c r="T719" s="18">
        <v>2164.48</v>
      </c>
      <c r="U719" s="16"/>
      <c r="V719" s="16"/>
      <c r="W719" s="16" t="s">
        <v>40</v>
      </c>
      <c r="X719" s="19">
        <v>1.6279999999999999</v>
      </c>
      <c r="Y719" s="20">
        <v>5.7099999999999998E-3</v>
      </c>
      <c r="Z719" s="21">
        <v>4601004199699</v>
      </c>
    </row>
    <row r="720" spans="1:26" ht="12" customHeight="1" outlineLevel="4" x14ac:dyDescent="0.2">
      <c r="A720" s="14" t="s">
        <v>1437</v>
      </c>
      <c r="B720" s="26" t="s">
        <v>1438</v>
      </c>
      <c r="C720" s="52"/>
      <c r="D720" s="55">
        <f t="shared" si="11"/>
        <v>0</v>
      </c>
      <c r="E720" s="63" t="str">
        <f>HYPERLINK("https://www.sds-group.ru/product/udlinitel-shnur-na-ramke-kg-3h1-5-30m-3-gnezda-morozostoykiy-s-z-16a-3500vt-ip44-sdelano-v-r-11-7082/", "Инфо")</f>
        <v>Инфо</v>
      </c>
      <c r="F720" s="16" t="s">
        <v>39</v>
      </c>
      <c r="G720" s="15"/>
      <c r="H720" s="15"/>
      <c r="I720" s="15"/>
      <c r="J720" s="17">
        <v>8</v>
      </c>
      <c r="K720" s="15" t="s">
        <v>1381</v>
      </c>
      <c r="L720" s="17">
        <v>1</v>
      </c>
      <c r="M720" s="17">
        <v>5</v>
      </c>
      <c r="N720" s="17">
        <v>1</v>
      </c>
      <c r="O720" s="18">
        <v>6390.97</v>
      </c>
      <c r="P720" s="18">
        <v>5238.5</v>
      </c>
      <c r="Q720" s="18">
        <v>4665.41</v>
      </c>
      <c r="R720" s="18">
        <v>3824.11</v>
      </c>
      <c r="S720" s="18">
        <v>4345.8599999999997</v>
      </c>
      <c r="T720" s="18">
        <v>3562.18</v>
      </c>
      <c r="U720" s="16"/>
      <c r="V720" s="16"/>
      <c r="W720" s="16" t="s">
        <v>40</v>
      </c>
      <c r="X720" s="19">
        <v>2.89</v>
      </c>
      <c r="Y720" s="20">
        <v>1.1408E-2</v>
      </c>
      <c r="Z720" s="21">
        <v>4601004199736</v>
      </c>
    </row>
    <row r="721" spans="1:26" ht="12" customHeight="1" outlineLevel="4" x14ac:dyDescent="0.2">
      <c r="A721" s="14" t="s">
        <v>1439</v>
      </c>
      <c r="B721" s="26" t="s">
        <v>1440</v>
      </c>
      <c r="C721" s="52"/>
      <c r="D721" s="55">
        <f t="shared" si="11"/>
        <v>0</v>
      </c>
      <c r="E721" s="63" t="str">
        <f>HYPERLINK("https://www.sds-group.ru/product/udlinitel-shnur-na-ramke-kg-3h1-5-30m-morozostoykiy-s-z-16a-3500vt-ip44-sdelano-v-rossii-rex-11-7079/", "Инфо")</f>
        <v>Инфо</v>
      </c>
      <c r="F721" s="16" t="s">
        <v>39</v>
      </c>
      <c r="G721" s="15"/>
      <c r="H721" s="15"/>
      <c r="I721" s="15"/>
      <c r="J721" s="17">
        <v>28</v>
      </c>
      <c r="K721" s="15"/>
      <c r="L721" s="17">
        <v>1</v>
      </c>
      <c r="M721" s="17">
        <v>5</v>
      </c>
      <c r="N721" s="17">
        <v>1</v>
      </c>
      <c r="O721" s="18">
        <v>6423.1</v>
      </c>
      <c r="P721" s="18">
        <v>5264.84</v>
      </c>
      <c r="Q721" s="18">
        <v>5138.4799999999996</v>
      </c>
      <c r="R721" s="18">
        <v>4211.87</v>
      </c>
      <c r="S721" s="18">
        <v>4367.71</v>
      </c>
      <c r="T721" s="18">
        <v>3580.09</v>
      </c>
      <c r="U721" s="16"/>
      <c r="V721" s="16"/>
      <c r="W721" s="16" t="s">
        <v>40</v>
      </c>
      <c r="X721" s="19">
        <v>2.3650000000000002</v>
      </c>
      <c r="Y721" s="20">
        <v>8.8590000000000006E-3</v>
      </c>
      <c r="Z721" s="21">
        <v>4601004199705</v>
      </c>
    </row>
    <row r="722" spans="1:26" ht="12.95" customHeight="1" outlineLevel="3" x14ac:dyDescent="0.2">
      <c r="A722" s="76" t="s">
        <v>1441</v>
      </c>
      <c r="B722" s="76"/>
      <c r="C722" s="77"/>
      <c r="D722" s="58"/>
      <c r="E722" s="68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  <c r="Z722" s="13"/>
    </row>
    <row r="723" spans="1:26" ht="12" customHeight="1" outlineLevel="4" x14ac:dyDescent="0.2">
      <c r="A723" s="14" t="s">
        <v>1442</v>
      </c>
      <c r="B723" s="26" t="s">
        <v>1443</v>
      </c>
      <c r="C723" s="52"/>
      <c r="D723" s="55">
        <f t="shared" si="11"/>
        <v>0</v>
      </c>
      <c r="E723" s="63" t="str">
        <f>HYPERLINK("https://www.sds-group.ru/product/udlinitel-shnur-na-ramke-pvs-2h0-75-10m-b-z-6a-1300vt-ip20-oranzhevyy-sdelano-v-rossii-proco-11-7111/", "Инфо")</f>
        <v>Инфо</v>
      </c>
      <c r="F723" s="16" t="s">
        <v>39</v>
      </c>
      <c r="G723" s="15"/>
      <c r="H723" s="15"/>
      <c r="I723" s="15"/>
      <c r="J723" s="17">
        <v>48</v>
      </c>
      <c r="K723" s="15"/>
      <c r="L723" s="17">
        <v>1</v>
      </c>
      <c r="M723" s="17">
        <v>15</v>
      </c>
      <c r="N723" s="17">
        <v>1</v>
      </c>
      <c r="O723" s="18">
        <v>1255.4100000000001</v>
      </c>
      <c r="P723" s="18">
        <v>1029.02</v>
      </c>
      <c r="Q723" s="18">
        <v>1004.33</v>
      </c>
      <c r="R723" s="18">
        <v>823.22</v>
      </c>
      <c r="S723" s="18">
        <v>853.68</v>
      </c>
      <c r="T723" s="18">
        <v>699.74</v>
      </c>
      <c r="U723" s="16"/>
      <c r="V723" s="16"/>
      <c r="W723" s="16" t="s">
        <v>40</v>
      </c>
      <c r="X723" s="19">
        <v>0.74099999999999999</v>
      </c>
      <c r="Y723" s="20">
        <v>4.1599999999999996E-3</v>
      </c>
      <c r="Z723" s="21">
        <v>4601004199903</v>
      </c>
    </row>
    <row r="724" spans="1:26" ht="12" customHeight="1" outlineLevel="4" x14ac:dyDescent="0.2">
      <c r="A724" s="14" t="s">
        <v>1444</v>
      </c>
      <c r="B724" s="26" t="s">
        <v>1445</v>
      </c>
      <c r="C724" s="52"/>
      <c r="D724" s="55">
        <f t="shared" si="11"/>
        <v>0</v>
      </c>
      <c r="E724" s="63" t="str">
        <f>HYPERLINK("https://www.sds-group.ru/product/udlinitel-shnur-na-ramke-pvs-2h0-75-20m-b-z-6a-1300vt-ip20-oranzhevyy-sdelano-v-rossii-proco-11-7112/", "Инфо")</f>
        <v>Инфо</v>
      </c>
      <c r="F724" s="16" t="s">
        <v>39</v>
      </c>
      <c r="G724" s="15"/>
      <c r="H724" s="15"/>
      <c r="I724" s="15"/>
      <c r="J724" s="17">
        <v>42</v>
      </c>
      <c r="K724" s="15"/>
      <c r="L724" s="17">
        <v>1</v>
      </c>
      <c r="M724" s="17">
        <v>10</v>
      </c>
      <c r="N724" s="17">
        <v>1</v>
      </c>
      <c r="O724" s="18">
        <v>1753.49</v>
      </c>
      <c r="P724" s="18">
        <v>1437.29</v>
      </c>
      <c r="Q724" s="18">
        <v>1402.79</v>
      </c>
      <c r="R724" s="18">
        <v>1149.83</v>
      </c>
      <c r="S724" s="18">
        <v>1192.3699999999999</v>
      </c>
      <c r="T724" s="18">
        <v>977.35</v>
      </c>
      <c r="U724" s="16"/>
      <c r="V724" s="16"/>
      <c r="W724" s="16" t="s">
        <v>40</v>
      </c>
      <c r="X724" s="19">
        <v>1.0529999999999999</v>
      </c>
      <c r="Y724" s="20">
        <v>4.1190000000000003E-3</v>
      </c>
      <c r="Z724" s="21">
        <v>4601004199910</v>
      </c>
    </row>
    <row r="725" spans="1:26" ht="12" customHeight="1" outlineLevel="4" x14ac:dyDescent="0.2">
      <c r="A725" s="14" t="s">
        <v>1446</v>
      </c>
      <c r="B725" s="26" t="s">
        <v>1447</v>
      </c>
      <c r="C725" s="52"/>
      <c r="D725" s="55">
        <f t="shared" si="11"/>
        <v>0</v>
      </c>
      <c r="E725" s="63" t="str">
        <f>HYPERLINK("https://www.sds-group.ru/product/udlinitel-shnur-na-ramke-pvs-2h0-75-20m-b-z-6a-1300vt-ip20-chernyy-sdelano-v-rossii-proconne-11-7102/", "Инфо")</f>
        <v>Инфо</v>
      </c>
      <c r="F725" s="16" t="s">
        <v>39</v>
      </c>
      <c r="G725" s="15"/>
      <c r="H725" s="15"/>
      <c r="I725" s="15"/>
      <c r="J725" s="17">
        <v>51</v>
      </c>
      <c r="K725" s="15" t="s">
        <v>1408</v>
      </c>
      <c r="L725" s="17">
        <v>1</v>
      </c>
      <c r="M725" s="17">
        <v>10</v>
      </c>
      <c r="N725" s="17">
        <v>1</v>
      </c>
      <c r="O725" s="18">
        <v>1800.3</v>
      </c>
      <c r="P725" s="18">
        <v>1475.66</v>
      </c>
      <c r="Q725" s="18">
        <v>1260.21</v>
      </c>
      <c r="R725" s="18">
        <v>1032.96</v>
      </c>
      <c r="S725" s="18">
        <v>1224.2</v>
      </c>
      <c r="T725" s="18">
        <v>1003.44</v>
      </c>
      <c r="U725" s="16"/>
      <c r="V725" s="16"/>
      <c r="W725" s="16"/>
      <c r="X725" s="19">
        <v>1.077</v>
      </c>
      <c r="Y725" s="20">
        <v>5.8820000000000001E-3</v>
      </c>
      <c r="Z725" s="21">
        <v>4601004199811</v>
      </c>
    </row>
    <row r="726" spans="1:26" ht="12" customHeight="1" outlineLevel="4" x14ac:dyDescent="0.2">
      <c r="A726" s="14" t="s">
        <v>1448</v>
      </c>
      <c r="B726" s="26" t="s">
        <v>1449</v>
      </c>
      <c r="C726" s="52"/>
      <c r="D726" s="55">
        <f t="shared" si="11"/>
        <v>0</v>
      </c>
      <c r="E726" s="63" t="str">
        <f>HYPERLINK("https://www.sds-group.ru/product/udlinitel-shnur-na-ramke-pvs-2h0-75-30m-b-z-6a-1300vt-ip20-oranzhevyy-sdelano-v-rossii-proco-11-7113/", "Инфо")</f>
        <v>Инфо</v>
      </c>
      <c r="F726" s="16" t="s">
        <v>39</v>
      </c>
      <c r="G726" s="15"/>
      <c r="H726" s="15"/>
      <c r="I726" s="15"/>
      <c r="J726" s="17">
        <v>14</v>
      </c>
      <c r="K726" s="15" t="s">
        <v>1408</v>
      </c>
      <c r="L726" s="17">
        <v>1</v>
      </c>
      <c r="M726" s="17">
        <v>10</v>
      </c>
      <c r="N726" s="17">
        <v>1</v>
      </c>
      <c r="O726" s="18">
        <v>2390.8000000000002</v>
      </c>
      <c r="P726" s="18">
        <v>1959.67</v>
      </c>
      <c r="Q726" s="18">
        <v>1673.56</v>
      </c>
      <c r="R726" s="18">
        <v>1371.77</v>
      </c>
      <c r="S726" s="18">
        <v>1625.74</v>
      </c>
      <c r="T726" s="18">
        <v>1332.57</v>
      </c>
      <c r="U726" s="16"/>
      <c r="V726" s="16"/>
      <c r="W726" s="16"/>
      <c r="X726" s="19">
        <v>1.6639999999999999</v>
      </c>
      <c r="Y726" s="20">
        <v>2.5814E-2</v>
      </c>
      <c r="Z726" s="21">
        <v>4601004199927</v>
      </c>
    </row>
    <row r="727" spans="1:26" ht="12" customHeight="1" outlineLevel="4" x14ac:dyDescent="0.2">
      <c r="A727" s="14" t="s">
        <v>1450</v>
      </c>
      <c r="B727" s="26" t="s">
        <v>1451</v>
      </c>
      <c r="C727" s="52"/>
      <c r="D727" s="55">
        <f t="shared" si="11"/>
        <v>0</v>
      </c>
      <c r="E727" s="63" t="str">
        <f>HYPERLINK("https://www.sds-group.ru/product/udlinitel-shnur-na-ramke-pvs-2h0-75-30m-b-z-6a-1300vt-ip20-chernyy-sdelano-v-rossii-proconne-11-7103/", "Инфо")</f>
        <v>Инфо</v>
      </c>
      <c r="F727" s="16" t="s">
        <v>39</v>
      </c>
      <c r="G727" s="15"/>
      <c r="H727" s="15"/>
      <c r="I727" s="15"/>
      <c r="J727" s="17">
        <v>23</v>
      </c>
      <c r="K727" s="15" t="s">
        <v>1408</v>
      </c>
      <c r="L727" s="17">
        <v>1</v>
      </c>
      <c r="M727" s="17">
        <v>10</v>
      </c>
      <c r="N727" s="17">
        <v>1</v>
      </c>
      <c r="O727" s="18">
        <v>2501.23</v>
      </c>
      <c r="P727" s="18">
        <v>2050.19</v>
      </c>
      <c r="Q727" s="18">
        <v>1975.97</v>
      </c>
      <c r="R727" s="18">
        <v>1619.65</v>
      </c>
      <c r="S727" s="18">
        <v>1700.84</v>
      </c>
      <c r="T727" s="18">
        <v>1394.13</v>
      </c>
      <c r="U727" s="16"/>
      <c r="V727" s="16"/>
      <c r="W727" s="16" t="s">
        <v>40</v>
      </c>
      <c r="X727" s="19">
        <v>1.3939999999999999</v>
      </c>
      <c r="Y727" s="20">
        <v>5.8399999999999997E-3</v>
      </c>
      <c r="Z727" s="21">
        <v>4601004199828</v>
      </c>
    </row>
    <row r="728" spans="1:26" ht="12" customHeight="1" outlineLevel="4" x14ac:dyDescent="0.2">
      <c r="A728" s="14" t="s">
        <v>1452</v>
      </c>
      <c r="B728" s="26" t="s">
        <v>1453</v>
      </c>
      <c r="C728" s="52"/>
      <c r="D728" s="55">
        <f t="shared" si="11"/>
        <v>0</v>
      </c>
      <c r="E728" s="63" t="str">
        <f>HYPERLINK("https://www.sds-group.ru/product/udlinitel-shnur-na-ramke-pvs-2h0-75-40m-b-z-6a-1300vt-ip20-chernyy-sdelano-v-rossii-proconne-11-7104/", "Инфо")</f>
        <v>Инфо</v>
      </c>
      <c r="F728" s="16" t="s">
        <v>39</v>
      </c>
      <c r="G728" s="15"/>
      <c r="H728" s="15"/>
      <c r="I728" s="15"/>
      <c r="J728" s="17">
        <v>20</v>
      </c>
      <c r="K728" s="15"/>
      <c r="L728" s="17">
        <v>1</v>
      </c>
      <c r="M728" s="17">
        <v>10</v>
      </c>
      <c r="N728" s="17">
        <v>1</v>
      </c>
      <c r="O728" s="18">
        <v>3134.84</v>
      </c>
      <c r="P728" s="18">
        <v>2569.54</v>
      </c>
      <c r="Q728" s="18">
        <v>2476.52</v>
      </c>
      <c r="R728" s="18">
        <v>2029.93</v>
      </c>
      <c r="S728" s="18">
        <v>2131.69</v>
      </c>
      <c r="T728" s="18">
        <v>1747.29</v>
      </c>
      <c r="U728" s="16"/>
      <c r="V728" s="16"/>
      <c r="W728" s="16" t="s">
        <v>40</v>
      </c>
      <c r="X728" s="19">
        <v>2.024</v>
      </c>
      <c r="Y728" s="20">
        <v>2.8E-5</v>
      </c>
      <c r="Z728" s="21">
        <v>4601004199835</v>
      </c>
    </row>
    <row r="729" spans="1:26" ht="12" customHeight="1" outlineLevel="4" x14ac:dyDescent="0.2">
      <c r="A729" s="14" t="s">
        <v>1454</v>
      </c>
      <c r="B729" s="26" t="s">
        <v>1455</v>
      </c>
      <c r="C729" s="52"/>
      <c r="D729" s="55">
        <f t="shared" si="11"/>
        <v>0</v>
      </c>
      <c r="E729" s="63" t="str">
        <f>HYPERLINK("https://www.sds-group.ru/product/udlinitel-shnur-na-ramke-pvs-3h0-75mm-10m-s-z-6a-1300vt-ip20-chernyy-proconnect-13-4913/", "Инфо")</f>
        <v>Инфо</v>
      </c>
      <c r="F729" s="16" t="s">
        <v>39</v>
      </c>
      <c r="G729" s="15"/>
      <c r="H729" s="15"/>
      <c r="I729" s="15"/>
      <c r="J729" s="17">
        <v>11</v>
      </c>
      <c r="K729" s="15"/>
      <c r="L729" s="17">
        <v>1</v>
      </c>
      <c r="M729" s="17">
        <v>25</v>
      </c>
      <c r="N729" s="17">
        <v>1</v>
      </c>
      <c r="O729" s="18">
        <v>1587.41</v>
      </c>
      <c r="P729" s="18">
        <v>1301.1600000000001</v>
      </c>
      <c r="Q729" s="18">
        <v>1269.93</v>
      </c>
      <c r="R729" s="18">
        <v>1040.93</v>
      </c>
      <c r="S729" s="18">
        <v>1079.44</v>
      </c>
      <c r="T729" s="18">
        <v>884.79</v>
      </c>
      <c r="U729" s="16"/>
      <c r="V729" s="16"/>
      <c r="W729" s="16" t="s">
        <v>40</v>
      </c>
      <c r="X729" s="19">
        <v>0.67200000000000004</v>
      </c>
      <c r="Y729" s="20">
        <v>2.532E-3</v>
      </c>
      <c r="Z729" s="21">
        <v>4601004279698</v>
      </c>
    </row>
    <row r="730" spans="1:26" ht="12" customHeight="1" outlineLevel="4" x14ac:dyDescent="0.2">
      <c r="A730" s="14" t="s">
        <v>1456</v>
      </c>
      <c r="B730" s="26" t="s">
        <v>1457</v>
      </c>
      <c r="C730" s="52"/>
      <c r="D730" s="55">
        <f t="shared" si="11"/>
        <v>0</v>
      </c>
      <c r="E730" s="63" t="str">
        <f>HYPERLINK("https://www.sds-group.ru/product/udlinitel-shnur-na-ramke-pvs-3h0-75mm-20m-s-z-6a-1300vt-ip20-chernyy-proconnect-13-4914/", "Инфо")</f>
        <v>Инфо</v>
      </c>
      <c r="F730" s="16" t="s">
        <v>39</v>
      </c>
      <c r="G730" s="15"/>
      <c r="H730" s="15"/>
      <c r="I730" s="15"/>
      <c r="J730" s="16" t="s">
        <v>100</v>
      </c>
      <c r="K730" s="15"/>
      <c r="L730" s="17">
        <v>1</v>
      </c>
      <c r="M730" s="17">
        <v>15</v>
      </c>
      <c r="N730" s="17">
        <v>1</v>
      </c>
      <c r="O730" s="18">
        <v>2443.42</v>
      </c>
      <c r="P730" s="18">
        <v>2002.8</v>
      </c>
      <c r="Q730" s="18">
        <v>1954.74</v>
      </c>
      <c r="R730" s="18">
        <v>1602.25</v>
      </c>
      <c r="S730" s="18">
        <v>1661.53</v>
      </c>
      <c r="T730" s="18">
        <v>1361.91</v>
      </c>
      <c r="U730" s="16"/>
      <c r="V730" s="16"/>
      <c r="W730" s="16" t="s">
        <v>40</v>
      </c>
      <c r="X730" s="19">
        <v>1.0680000000000001</v>
      </c>
      <c r="Y730" s="20">
        <v>3.999E-3</v>
      </c>
      <c r="Z730" s="21">
        <v>4601004279704</v>
      </c>
    </row>
    <row r="731" spans="1:26" ht="12" customHeight="1" outlineLevel="4" x14ac:dyDescent="0.2">
      <c r="A731" s="14" t="s">
        <v>1458</v>
      </c>
      <c r="B731" s="26" t="s">
        <v>1459</v>
      </c>
      <c r="C731" s="52"/>
      <c r="D731" s="55">
        <f t="shared" si="11"/>
        <v>0</v>
      </c>
      <c r="E731" s="63" t="str">
        <f>HYPERLINK("https://www.sds-group.ru/product/udlinitel-shnur-na-ramke-pvs-3h0-75mm-30m-s-z-6a-1300vt-ip20-chernyy-proconnect-13-4915/", "Инфо")</f>
        <v>Инфо</v>
      </c>
      <c r="F731" s="16" t="s">
        <v>39</v>
      </c>
      <c r="G731" s="15"/>
      <c r="H731" s="15"/>
      <c r="I731" s="15"/>
      <c r="J731" s="16" t="s">
        <v>100</v>
      </c>
      <c r="K731" s="15"/>
      <c r="L731" s="17">
        <v>1</v>
      </c>
      <c r="M731" s="17">
        <v>10</v>
      </c>
      <c r="N731" s="17">
        <v>1</v>
      </c>
      <c r="O731" s="18">
        <v>3068.95</v>
      </c>
      <c r="P731" s="18">
        <v>2515.5300000000002</v>
      </c>
      <c r="Q731" s="18">
        <v>2455.16</v>
      </c>
      <c r="R731" s="18">
        <v>2012.43</v>
      </c>
      <c r="S731" s="18">
        <v>2086.89</v>
      </c>
      <c r="T731" s="18">
        <v>1710.57</v>
      </c>
      <c r="U731" s="16"/>
      <c r="V731" s="16"/>
      <c r="W731" s="16" t="s">
        <v>40</v>
      </c>
      <c r="X731" s="19">
        <v>1.4239999999999999</v>
      </c>
      <c r="Y731" s="20">
        <v>4.4840000000000001E-3</v>
      </c>
      <c r="Z731" s="21">
        <v>4601004279711</v>
      </c>
    </row>
    <row r="732" spans="1:26" ht="12" customHeight="1" outlineLevel="4" x14ac:dyDescent="0.2">
      <c r="A732" s="14" t="s">
        <v>1460</v>
      </c>
      <c r="B732" s="26" t="s">
        <v>1461</v>
      </c>
      <c r="C732" s="52"/>
      <c r="D732" s="55">
        <f t="shared" si="11"/>
        <v>0</v>
      </c>
      <c r="E732" s="63" t="str">
        <f>HYPERLINK("https://www.sds-group.ru/product/udlinitel-shnur-pvs-2h0-75-10m-b-z-6a-1300vt-ip20-oranzhevyy-sdelano-v-rossii-proconnect-11-7105/", "Инфо")</f>
        <v>Инфо</v>
      </c>
      <c r="F732" s="16" t="s">
        <v>39</v>
      </c>
      <c r="G732" s="15"/>
      <c r="H732" s="15"/>
      <c r="I732" s="15"/>
      <c r="J732" s="16" t="s">
        <v>100</v>
      </c>
      <c r="K732" s="15" t="s">
        <v>1408</v>
      </c>
      <c r="L732" s="17">
        <v>1</v>
      </c>
      <c r="M732" s="17">
        <v>25</v>
      </c>
      <c r="N732" s="17">
        <v>1</v>
      </c>
      <c r="O732" s="18">
        <v>1046.9100000000001</v>
      </c>
      <c r="P732" s="18">
        <v>858.12</v>
      </c>
      <c r="Q732" s="18">
        <v>837.53</v>
      </c>
      <c r="R732" s="18">
        <v>686.5</v>
      </c>
      <c r="S732" s="18">
        <v>711.9</v>
      </c>
      <c r="T732" s="18">
        <v>583.52</v>
      </c>
      <c r="U732" s="16"/>
      <c r="V732" s="16"/>
      <c r="W732" s="16" t="s">
        <v>40</v>
      </c>
      <c r="X732" s="19">
        <v>0.57499999999999996</v>
      </c>
      <c r="Y732" s="20">
        <v>1.9070000000000001E-3</v>
      </c>
      <c r="Z732" s="21">
        <v>4601004199842</v>
      </c>
    </row>
    <row r="733" spans="1:26" ht="12" customHeight="1" outlineLevel="4" x14ac:dyDescent="0.2">
      <c r="A733" s="14" t="s">
        <v>1462</v>
      </c>
      <c r="B733" s="26" t="s">
        <v>1463</v>
      </c>
      <c r="C733" s="52"/>
      <c r="D733" s="55">
        <f t="shared" si="11"/>
        <v>0</v>
      </c>
      <c r="E733" s="63" t="str">
        <f>HYPERLINK("https://www.sds-group.ru/product/udlinitel-shnur-pvs-2h0-75-10m-b-z-6a-1300vt-ip20-chernyy-sdelano-v-rossii-proconnect-11-7114/", "Инфо")</f>
        <v>Инфо</v>
      </c>
      <c r="F733" s="16" t="s">
        <v>39</v>
      </c>
      <c r="G733" s="15"/>
      <c r="H733" s="15"/>
      <c r="I733" s="15"/>
      <c r="J733" s="17">
        <v>29</v>
      </c>
      <c r="K733" s="15"/>
      <c r="L733" s="17">
        <v>1</v>
      </c>
      <c r="M733" s="17">
        <v>25</v>
      </c>
      <c r="N733" s="17">
        <v>1</v>
      </c>
      <c r="O733" s="18">
        <v>1055.72</v>
      </c>
      <c r="P733" s="18">
        <v>865.34</v>
      </c>
      <c r="Q733" s="18">
        <v>844.58</v>
      </c>
      <c r="R733" s="18">
        <v>692.28</v>
      </c>
      <c r="S733" s="18">
        <v>717.89</v>
      </c>
      <c r="T733" s="18">
        <v>588.42999999999995</v>
      </c>
      <c r="U733" s="16"/>
      <c r="V733" s="16"/>
      <c r="W733" s="16" t="s">
        <v>40</v>
      </c>
      <c r="X733" s="19">
        <v>0.51900000000000002</v>
      </c>
      <c r="Y733" s="20">
        <v>1.786E-3</v>
      </c>
      <c r="Z733" s="21">
        <v>4601004199934</v>
      </c>
    </row>
    <row r="734" spans="1:26" ht="12" customHeight="1" outlineLevel="4" x14ac:dyDescent="0.2">
      <c r="A734" s="14" t="s">
        <v>1464</v>
      </c>
      <c r="B734" s="26" t="s">
        <v>1465</v>
      </c>
      <c r="C734" s="52"/>
      <c r="D734" s="55">
        <f t="shared" si="11"/>
        <v>0</v>
      </c>
      <c r="E734" s="63" t="str">
        <f>HYPERLINK("https://www.sds-group.ru/product/udlinitel-shnur-pvs-2h0-75-20m-b-z-6a-1300vt-ip20-oranzhevyy-sdelano-v-rossii-proconnect-11-7106/", "Инфо")</f>
        <v>Инфо</v>
      </c>
      <c r="F734" s="16" t="s">
        <v>39</v>
      </c>
      <c r="G734" s="15"/>
      <c r="H734" s="15"/>
      <c r="I734" s="15"/>
      <c r="J734" s="16" t="s">
        <v>100</v>
      </c>
      <c r="K734" s="15"/>
      <c r="L734" s="17">
        <v>1</v>
      </c>
      <c r="M734" s="17">
        <v>15</v>
      </c>
      <c r="N734" s="17">
        <v>1</v>
      </c>
      <c r="O734" s="18">
        <v>1613.67</v>
      </c>
      <c r="P734" s="18">
        <v>1322.68</v>
      </c>
      <c r="Q734" s="18">
        <v>1290.94</v>
      </c>
      <c r="R734" s="18">
        <v>1058.1500000000001</v>
      </c>
      <c r="S734" s="18">
        <v>1097.3</v>
      </c>
      <c r="T734" s="18">
        <v>899.43</v>
      </c>
      <c r="U734" s="16"/>
      <c r="V734" s="16"/>
      <c r="W734" s="16" t="s">
        <v>40</v>
      </c>
      <c r="X734" s="19">
        <v>1.1000000000000001</v>
      </c>
      <c r="Y734" s="20">
        <v>2.088E-3</v>
      </c>
      <c r="Z734" s="21">
        <v>4601004199859</v>
      </c>
    </row>
    <row r="735" spans="1:26" ht="12" customHeight="1" outlineLevel="4" x14ac:dyDescent="0.2">
      <c r="A735" s="14" t="s">
        <v>1466</v>
      </c>
      <c r="B735" s="26" t="s">
        <v>1467</v>
      </c>
      <c r="C735" s="52"/>
      <c r="D735" s="55">
        <f t="shared" si="11"/>
        <v>0</v>
      </c>
      <c r="E735" s="63" t="str">
        <f>HYPERLINK("https://www.sds-group.ru/product/udlinitel-shnur-pvs-2h0-75-20m-b-z-6a-1300vt-ip20-chernyy-sdelano-v-rossii-proconnect-11-7115/", "Инфо")</f>
        <v>Инфо</v>
      </c>
      <c r="F735" s="16" t="s">
        <v>39</v>
      </c>
      <c r="G735" s="15"/>
      <c r="H735" s="15"/>
      <c r="I735" s="15"/>
      <c r="J735" s="17">
        <v>37</v>
      </c>
      <c r="K735" s="15"/>
      <c r="L735" s="17">
        <v>1</v>
      </c>
      <c r="M735" s="17">
        <v>15</v>
      </c>
      <c r="N735" s="17">
        <v>1</v>
      </c>
      <c r="O735" s="18">
        <v>1587.09</v>
      </c>
      <c r="P735" s="18">
        <v>1300.8900000000001</v>
      </c>
      <c r="Q735" s="18">
        <v>1349.03</v>
      </c>
      <c r="R735" s="18">
        <v>1105.76</v>
      </c>
      <c r="S735" s="18">
        <v>1079.22</v>
      </c>
      <c r="T735" s="18">
        <v>884.61</v>
      </c>
      <c r="U735" s="16"/>
      <c r="V735" s="16"/>
      <c r="W735" s="16" t="s">
        <v>40</v>
      </c>
      <c r="X735" s="19">
        <v>1.02</v>
      </c>
      <c r="Y735" s="20">
        <v>2.9129999999999998E-3</v>
      </c>
      <c r="Z735" s="21">
        <v>4601004199941</v>
      </c>
    </row>
    <row r="736" spans="1:26" ht="12" customHeight="1" outlineLevel="4" x14ac:dyDescent="0.2">
      <c r="A736" s="14" t="s">
        <v>1468</v>
      </c>
      <c r="B736" s="26" t="s">
        <v>1469</v>
      </c>
      <c r="C736" s="52"/>
      <c r="D736" s="55">
        <f t="shared" si="11"/>
        <v>0</v>
      </c>
      <c r="E736" s="63" t="str">
        <f>HYPERLINK("https://www.sds-group.ru/product/udlinitel-shnur-pvs-2h0-75-30m-b-z-6a-1300vt-ip20-oranzhevyy-sdelano-v-rossii-proconnect-11-7107/", "Инфо")</f>
        <v>Инфо</v>
      </c>
      <c r="F736" s="16" t="s">
        <v>39</v>
      </c>
      <c r="G736" s="15"/>
      <c r="H736" s="15"/>
      <c r="I736" s="15"/>
      <c r="J736" s="16" t="s">
        <v>100</v>
      </c>
      <c r="K736" s="15"/>
      <c r="L736" s="17">
        <v>1</v>
      </c>
      <c r="M736" s="17">
        <v>10</v>
      </c>
      <c r="N736" s="17">
        <v>1</v>
      </c>
      <c r="O736" s="18">
        <v>2393.83</v>
      </c>
      <c r="P736" s="18">
        <v>1962.16</v>
      </c>
      <c r="Q736" s="18">
        <v>1675.68</v>
      </c>
      <c r="R736" s="18">
        <v>1373.51</v>
      </c>
      <c r="S736" s="18">
        <v>1627.8</v>
      </c>
      <c r="T736" s="18">
        <v>1334.26</v>
      </c>
      <c r="U736" s="16"/>
      <c r="V736" s="16"/>
      <c r="W736" s="16"/>
      <c r="X736" s="19">
        <v>1.3120000000000001</v>
      </c>
      <c r="Y736" s="20">
        <v>4.1489999999999999E-3</v>
      </c>
      <c r="Z736" s="21">
        <v>4601004199866</v>
      </c>
    </row>
    <row r="737" spans="1:26" ht="12" customHeight="1" outlineLevel="4" x14ac:dyDescent="0.2">
      <c r="A737" s="14" t="s">
        <v>1470</v>
      </c>
      <c r="B737" s="26" t="s">
        <v>1471</v>
      </c>
      <c r="C737" s="52"/>
      <c r="D737" s="55">
        <f t="shared" si="11"/>
        <v>0</v>
      </c>
      <c r="E737" s="63" t="str">
        <f>HYPERLINK("https://www.sds-group.ru/product/udlinitel-shnur-pvs-2h0-75-30m-b-z-6a-1300vt-ip20-chernyy-sdelano-v-rossii-proconnect-11-7116/", "Инфо")</f>
        <v>Инфо</v>
      </c>
      <c r="F737" s="16" t="s">
        <v>39</v>
      </c>
      <c r="G737" s="15"/>
      <c r="H737" s="15"/>
      <c r="I737" s="15"/>
      <c r="J737" s="16" t="s">
        <v>100</v>
      </c>
      <c r="K737" s="15" t="s">
        <v>1408</v>
      </c>
      <c r="L737" s="17">
        <v>1</v>
      </c>
      <c r="M737" s="17">
        <v>10</v>
      </c>
      <c r="N737" s="17">
        <v>1</v>
      </c>
      <c r="O737" s="18">
        <v>2412.66</v>
      </c>
      <c r="P737" s="18">
        <v>1977.59</v>
      </c>
      <c r="Q737" s="18">
        <v>2050.7600000000002</v>
      </c>
      <c r="R737" s="18">
        <v>1680.95</v>
      </c>
      <c r="S737" s="18">
        <v>1640.61</v>
      </c>
      <c r="T737" s="18">
        <v>1344.76</v>
      </c>
      <c r="U737" s="16"/>
      <c r="V737" s="16"/>
      <c r="W737" s="16" t="s">
        <v>40</v>
      </c>
      <c r="X737" s="19">
        <v>1.5720000000000001</v>
      </c>
      <c r="Y737" s="20">
        <v>3.46E-3</v>
      </c>
      <c r="Z737" s="21">
        <v>4601004199958</v>
      </c>
    </row>
    <row r="738" spans="1:26" ht="12" customHeight="1" outlineLevel="4" x14ac:dyDescent="0.2">
      <c r="A738" s="14" t="s">
        <v>1472</v>
      </c>
      <c r="B738" s="26" t="s">
        <v>1473</v>
      </c>
      <c r="C738" s="52"/>
      <c r="D738" s="55">
        <f t="shared" si="11"/>
        <v>0</v>
      </c>
      <c r="E738" s="63" t="str">
        <f>HYPERLINK("https://www.sds-group.ru/product/udlinitel-shnur-pvs-3h0-75mm-10m-s-z-6a-1300vt-ip20-chernyy-proconnect-13-4909/", "Инфо")</f>
        <v>Инфо</v>
      </c>
      <c r="F738" s="16" t="s">
        <v>39</v>
      </c>
      <c r="G738" s="15"/>
      <c r="H738" s="15"/>
      <c r="I738" s="15"/>
      <c r="J738" s="16" t="s">
        <v>100</v>
      </c>
      <c r="K738" s="15"/>
      <c r="L738" s="17">
        <v>1</v>
      </c>
      <c r="M738" s="17">
        <v>25</v>
      </c>
      <c r="N738" s="17">
        <v>1</v>
      </c>
      <c r="O738" s="18">
        <v>1657.35</v>
      </c>
      <c r="P738" s="18">
        <v>1358.48</v>
      </c>
      <c r="Q738" s="18">
        <v>1325.88</v>
      </c>
      <c r="R738" s="18">
        <v>1086.79</v>
      </c>
      <c r="S738" s="18">
        <v>1127</v>
      </c>
      <c r="T738" s="18">
        <v>923.77</v>
      </c>
      <c r="U738" s="16"/>
      <c r="V738" s="16"/>
      <c r="W738" s="16" t="s">
        <v>40</v>
      </c>
      <c r="X738" s="19">
        <v>0.53900000000000003</v>
      </c>
      <c r="Y738" s="20">
        <v>1.2849999999999999E-3</v>
      </c>
      <c r="Z738" s="21">
        <v>4601004279728</v>
      </c>
    </row>
    <row r="739" spans="1:26" ht="12" customHeight="1" outlineLevel="4" x14ac:dyDescent="0.2">
      <c r="A739" s="14" t="s">
        <v>1474</v>
      </c>
      <c r="B739" s="26" t="s">
        <v>1475</v>
      </c>
      <c r="C739" s="52"/>
      <c r="D739" s="55">
        <f t="shared" si="11"/>
        <v>0</v>
      </c>
      <c r="E739" s="63" t="str">
        <f>HYPERLINK("https://www.sds-group.ru/product/udlinitel-shnur-pvs-3h0-75mm-20m-s-z-6a-1300vt-ip20-chernyy-proconnect-13-4910/", "Инфо")</f>
        <v>Инфо</v>
      </c>
      <c r="F739" s="16" t="s">
        <v>39</v>
      </c>
      <c r="G739" s="15"/>
      <c r="H739" s="15"/>
      <c r="I739" s="15"/>
      <c r="J739" s="17">
        <v>63</v>
      </c>
      <c r="K739" s="15" t="s">
        <v>1408</v>
      </c>
      <c r="L739" s="17">
        <v>1</v>
      </c>
      <c r="M739" s="17">
        <v>15</v>
      </c>
      <c r="N739" s="17">
        <v>1</v>
      </c>
      <c r="O739" s="18">
        <v>2319.8000000000002</v>
      </c>
      <c r="P739" s="18">
        <v>1901.48</v>
      </c>
      <c r="Q739" s="18">
        <v>1832.64</v>
      </c>
      <c r="R739" s="18">
        <v>1502.16</v>
      </c>
      <c r="S739" s="18">
        <v>1577.46</v>
      </c>
      <c r="T739" s="18">
        <v>1293</v>
      </c>
      <c r="U739" s="16"/>
      <c r="V739" s="16"/>
      <c r="W739" s="16" t="s">
        <v>40</v>
      </c>
      <c r="X739" s="19">
        <v>0.93799999999999994</v>
      </c>
      <c r="Y739" s="20">
        <v>2.0790000000000001E-3</v>
      </c>
      <c r="Z739" s="21">
        <v>4601004279773</v>
      </c>
    </row>
    <row r="740" spans="1:26" ht="12.95" customHeight="1" outlineLevel="2" x14ac:dyDescent="0.2">
      <c r="A740" s="76" t="s">
        <v>1476</v>
      </c>
      <c r="B740" s="76"/>
      <c r="C740" s="77"/>
      <c r="D740" s="58"/>
      <c r="E740" s="68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  <c r="Z740" s="13"/>
    </row>
    <row r="741" spans="1:26" ht="12.95" customHeight="1" outlineLevel="3" x14ac:dyDescent="0.2">
      <c r="A741" s="76" t="s">
        <v>1477</v>
      </c>
      <c r="B741" s="76"/>
      <c r="C741" s="77"/>
      <c r="D741" s="58"/>
      <c r="E741" s="68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  <c r="Z741" s="13"/>
    </row>
    <row r="742" spans="1:26" ht="12" customHeight="1" outlineLevel="4" x14ac:dyDescent="0.2">
      <c r="A742" s="14" t="s">
        <v>1478</v>
      </c>
      <c r="B742" s="26" t="s">
        <v>1479</v>
      </c>
      <c r="C742" s="52"/>
      <c r="D742" s="55">
        <f t="shared" si="11"/>
        <v>0</v>
      </c>
      <c r="E742" s="63" t="str">
        <f>HYPERLINK("https://www.sds-group.ru/product/udlinitel-silovoy-kg-na-katushke-4-gnezda-s-z-30m-3h1-5mm-ip44-c-zaschitnymi-kryshkami-metal-13-5011/", "Инфо")</f>
        <v>Инфо</v>
      </c>
      <c r="F742" s="16" t="s">
        <v>39</v>
      </c>
      <c r="G742" s="15"/>
      <c r="H742" s="15"/>
      <c r="I742" s="15"/>
      <c r="J742" s="16" t="s">
        <v>100</v>
      </c>
      <c r="K742" s="15"/>
      <c r="L742" s="17">
        <v>1</v>
      </c>
      <c r="M742" s="17">
        <v>2</v>
      </c>
      <c r="N742" s="17">
        <v>1</v>
      </c>
      <c r="O742" s="18">
        <v>8666.83</v>
      </c>
      <c r="P742" s="18">
        <v>7103.96</v>
      </c>
      <c r="Q742" s="18">
        <v>6326.79</v>
      </c>
      <c r="R742" s="18">
        <v>5185.8900000000003</v>
      </c>
      <c r="S742" s="18">
        <v>5893.44</v>
      </c>
      <c r="T742" s="18">
        <v>4830.6899999999996</v>
      </c>
      <c r="U742" s="16"/>
      <c r="V742" s="16"/>
      <c r="W742" s="16" t="s">
        <v>40</v>
      </c>
      <c r="X742" s="19">
        <v>4.0039999999999996</v>
      </c>
      <c r="Y742" s="20">
        <v>2.4334999999999999E-2</v>
      </c>
      <c r="Z742" s="21">
        <v>4601004279902</v>
      </c>
    </row>
    <row r="743" spans="1:26" ht="12" customHeight="1" outlineLevel="4" x14ac:dyDescent="0.2">
      <c r="A743" s="14" t="s">
        <v>1480</v>
      </c>
      <c r="B743" s="26" t="s">
        <v>1481</v>
      </c>
      <c r="C743" s="52"/>
      <c r="D743" s="55">
        <f t="shared" si="11"/>
        <v>0</v>
      </c>
      <c r="E743" s="63" t="str">
        <f>HYPERLINK("https://www.sds-group.ru/product/udlinitel-silovoy-kg-na-katushke-4-gnezda-s-z-30m-3h2-5mm-ip44-s-termozaschitoy-c-zaschitnym-13-5014/", "Инфо")</f>
        <v>Инфо</v>
      </c>
      <c r="F743" s="16" t="s">
        <v>39</v>
      </c>
      <c r="G743" s="15"/>
      <c r="H743" s="15"/>
      <c r="I743" s="15"/>
      <c r="J743" s="17">
        <v>37</v>
      </c>
      <c r="K743" s="15"/>
      <c r="L743" s="17">
        <v>1</v>
      </c>
      <c r="M743" s="17">
        <v>1</v>
      </c>
      <c r="N743" s="17">
        <v>1</v>
      </c>
      <c r="O743" s="18">
        <v>10501.54</v>
      </c>
      <c r="P743" s="18">
        <v>8607.82</v>
      </c>
      <c r="Q743" s="18">
        <v>10501.54</v>
      </c>
      <c r="R743" s="18">
        <v>8607.82</v>
      </c>
      <c r="S743" s="18">
        <v>7141.05</v>
      </c>
      <c r="T743" s="18">
        <v>5853.32</v>
      </c>
      <c r="U743" s="16"/>
      <c r="V743" s="16"/>
      <c r="W743" s="16" t="s">
        <v>40</v>
      </c>
      <c r="X743" s="19">
        <v>4.45</v>
      </c>
      <c r="Y743" s="20">
        <v>2.5336999999999998E-2</v>
      </c>
      <c r="Z743" s="21">
        <v>4601004313101</v>
      </c>
    </row>
    <row r="744" spans="1:26" ht="12" customHeight="1" outlineLevel="4" x14ac:dyDescent="0.2">
      <c r="A744" s="14" t="s">
        <v>1482</v>
      </c>
      <c r="B744" s="26" t="s">
        <v>1483</v>
      </c>
      <c r="C744" s="52"/>
      <c r="D744" s="55">
        <f t="shared" si="11"/>
        <v>0</v>
      </c>
      <c r="E744" s="63" t="str">
        <f>HYPERLINK("https://www.sds-group.ru/product/udlinitel-silovoy-kg-na-katushke-4-gnezda-s-z-40m-3h1-5mm-ip44-c-zaschitnymi-kryshkami-metal-13-5012/", "Инфо")</f>
        <v>Инфо</v>
      </c>
      <c r="F744" s="16" t="s">
        <v>39</v>
      </c>
      <c r="G744" s="15"/>
      <c r="H744" s="15"/>
      <c r="I744" s="15"/>
      <c r="J744" s="16" t="s">
        <v>100</v>
      </c>
      <c r="K744" s="15"/>
      <c r="L744" s="17">
        <v>1</v>
      </c>
      <c r="M744" s="17">
        <v>2</v>
      </c>
      <c r="N744" s="17">
        <v>1</v>
      </c>
      <c r="O744" s="18">
        <v>9181.06</v>
      </c>
      <c r="P744" s="18">
        <v>7525.46</v>
      </c>
      <c r="Q744" s="18">
        <v>6702.17</v>
      </c>
      <c r="R744" s="18">
        <v>5493.58</v>
      </c>
      <c r="S744" s="18">
        <v>6243.12</v>
      </c>
      <c r="T744" s="18">
        <v>5117.3100000000004</v>
      </c>
      <c r="U744" s="16"/>
      <c r="V744" s="16"/>
      <c r="W744" s="16" t="s">
        <v>40</v>
      </c>
      <c r="X744" s="19">
        <v>4.2549999999999999</v>
      </c>
      <c r="Y744" s="20">
        <v>2.3813999999999998E-2</v>
      </c>
      <c r="Z744" s="21">
        <v>4601004279889</v>
      </c>
    </row>
    <row r="745" spans="1:26" ht="12" customHeight="1" outlineLevel="4" x14ac:dyDescent="0.2">
      <c r="A745" s="14" t="s">
        <v>1484</v>
      </c>
      <c r="B745" s="26" t="s">
        <v>1485</v>
      </c>
      <c r="C745" s="52"/>
      <c r="D745" s="55">
        <f t="shared" si="11"/>
        <v>0</v>
      </c>
      <c r="E745" s="63" t="str">
        <f>HYPERLINK("https://www.sds-group.ru/product/udlinitel-silovoy-kg-na-katushke-4-gnezda-s-z-40m-3h2-5mm-ip44-s-termozaschitoy-c-zaschitnym-13-5015/", "Инфо")</f>
        <v>Инфо</v>
      </c>
      <c r="F745" s="16" t="s">
        <v>39</v>
      </c>
      <c r="G745" s="15"/>
      <c r="H745" s="15"/>
      <c r="I745" s="15"/>
      <c r="J745" s="17">
        <v>13</v>
      </c>
      <c r="K745" s="15"/>
      <c r="L745" s="17">
        <v>1</v>
      </c>
      <c r="M745" s="17">
        <v>1</v>
      </c>
      <c r="N745" s="17">
        <v>1</v>
      </c>
      <c r="O745" s="18">
        <v>10870.63</v>
      </c>
      <c r="P745" s="18">
        <v>8910.35</v>
      </c>
      <c r="Q745" s="18">
        <v>10870.63</v>
      </c>
      <c r="R745" s="18">
        <v>8910.35</v>
      </c>
      <c r="S745" s="18">
        <v>7392.03</v>
      </c>
      <c r="T745" s="18">
        <v>6059.04</v>
      </c>
      <c r="U745" s="16"/>
      <c r="V745" s="16"/>
      <c r="W745" s="16" t="s">
        <v>40</v>
      </c>
      <c r="X745" s="19">
        <v>5.1630000000000003</v>
      </c>
      <c r="Y745" s="20">
        <v>2.5297E-2</v>
      </c>
      <c r="Z745" s="21">
        <v>4601004313118</v>
      </c>
    </row>
    <row r="746" spans="1:26" ht="12" customHeight="1" outlineLevel="4" x14ac:dyDescent="0.2">
      <c r="A746" s="14" t="s">
        <v>1486</v>
      </c>
      <c r="B746" s="26" t="s">
        <v>1487</v>
      </c>
      <c r="C746" s="52"/>
      <c r="D746" s="55">
        <f t="shared" si="11"/>
        <v>0</v>
      </c>
      <c r="E746" s="63" t="str">
        <f>HYPERLINK("https://www.sds-group.ru/product/udlinitel-silovoy-kg-na-katushke-4-gnezda-s-z-50m-3h1-5mm-ip44-c-zaschitnymi-kryshkami-metal-13-5013/", "Инфо")</f>
        <v>Инфо</v>
      </c>
      <c r="F746" s="16" t="s">
        <v>39</v>
      </c>
      <c r="G746" s="15"/>
      <c r="H746" s="15"/>
      <c r="I746" s="15"/>
      <c r="J746" s="17">
        <v>36</v>
      </c>
      <c r="K746" s="15"/>
      <c r="L746" s="17">
        <v>1</v>
      </c>
      <c r="M746" s="17">
        <v>2</v>
      </c>
      <c r="N746" s="17">
        <v>1</v>
      </c>
      <c r="O746" s="18">
        <v>11385.85</v>
      </c>
      <c r="P746" s="18">
        <v>9332.66</v>
      </c>
      <c r="Q746" s="18">
        <v>8311.67</v>
      </c>
      <c r="R746" s="18">
        <v>6812.84</v>
      </c>
      <c r="S746" s="18">
        <v>7742.38</v>
      </c>
      <c r="T746" s="18">
        <v>6346.21</v>
      </c>
      <c r="U746" s="16"/>
      <c r="V746" s="16"/>
      <c r="W746" s="16" t="s">
        <v>40</v>
      </c>
      <c r="X746" s="19">
        <v>4.8070000000000004</v>
      </c>
      <c r="Y746" s="20">
        <v>2.2880000000000001E-2</v>
      </c>
      <c r="Z746" s="21">
        <v>4601004279896</v>
      </c>
    </row>
    <row r="747" spans="1:26" ht="12" customHeight="1" outlineLevel="4" x14ac:dyDescent="0.2">
      <c r="A747" s="14" t="s">
        <v>1488</v>
      </c>
      <c r="B747" s="26" t="s">
        <v>1489</v>
      </c>
      <c r="C747" s="52"/>
      <c r="D747" s="55">
        <f t="shared" si="11"/>
        <v>0</v>
      </c>
      <c r="E747" s="63" t="str">
        <f>HYPERLINK("https://www.sds-group.ru/product/udlinitel-silovoy-kg-na-katushke-4-gnezda-s-z-50m-3h2-5mm-ip44-s-termozaschitoy-c-zaschitnym-13-5016/", "Инфо")</f>
        <v>Инфо</v>
      </c>
      <c r="F747" s="16" t="s">
        <v>39</v>
      </c>
      <c r="G747" s="15"/>
      <c r="H747" s="15"/>
      <c r="I747" s="15"/>
      <c r="J747" s="17">
        <v>109</v>
      </c>
      <c r="K747" s="15"/>
      <c r="L747" s="17">
        <v>1</v>
      </c>
      <c r="M747" s="17">
        <v>1</v>
      </c>
      <c r="N747" s="17">
        <v>1</v>
      </c>
      <c r="O747" s="18">
        <v>13293.73</v>
      </c>
      <c r="P747" s="18">
        <v>10896.5</v>
      </c>
      <c r="Q747" s="18">
        <v>13293.73</v>
      </c>
      <c r="R747" s="18">
        <v>10896.5</v>
      </c>
      <c r="S747" s="18">
        <v>9039.74</v>
      </c>
      <c r="T747" s="18">
        <v>7409.62</v>
      </c>
      <c r="U747" s="16"/>
      <c r="V747" s="16"/>
      <c r="W747" s="16" t="s">
        <v>40</v>
      </c>
      <c r="X747" s="19">
        <v>6.0449999999999999</v>
      </c>
      <c r="Y747" s="20">
        <v>2.5479999999999999E-2</v>
      </c>
      <c r="Z747" s="21">
        <v>4601004313125</v>
      </c>
    </row>
    <row r="748" spans="1:26" ht="12.95" customHeight="1" outlineLevel="3" x14ac:dyDescent="0.2">
      <c r="A748" s="76" t="s">
        <v>1490</v>
      </c>
      <c r="B748" s="76"/>
      <c r="C748" s="77"/>
      <c r="D748" s="58"/>
      <c r="E748" s="68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  <c r="Z748" s="13"/>
    </row>
    <row r="749" spans="1:26" ht="12" customHeight="1" outlineLevel="4" x14ac:dyDescent="0.2">
      <c r="A749" s="14" t="s">
        <v>1491</v>
      </c>
      <c r="B749" s="26" t="s">
        <v>1492</v>
      </c>
      <c r="C749" s="52"/>
      <c r="D749" s="55">
        <f t="shared" si="11"/>
        <v>0</v>
      </c>
      <c r="E749" s="63" t="str">
        <f>HYPERLINK("https://www.sds-group.ru/product/udlinitel-silovoy-na-katushke-4-gnezda-s-z-20m-3h1-5mm-proconnect-11-7608/", "Инфо")</f>
        <v>Инфо</v>
      </c>
      <c r="F749" s="16" t="s">
        <v>39</v>
      </c>
      <c r="G749" s="15"/>
      <c r="H749" s="15"/>
      <c r="I749" s="15"/>
      <c r="J749" s="17">
        <v>17</v>
      </c>
      <c r="K749" s="15"/>
      <c r="L749" s="17">
        <v>1</v>
      </c>
      <c r="M749" s="17">
        <v>1</v>
      </c>
      <c r="N749" s="17">
        <v>1</v>
      </c>
      <c r="O749" s="18">
        <v>5093.99</v>
      </c>
      <c r="P749" s="18">
        <v>4175.3999999999996</v>
      </c>
      <c r="Q749" s="18">
        <v>3718.61</v>
      </c>
      <c r="R749" s="18">
        <v>3048.04</v>
      </c>
      <c r="S749" s="18">
        <v>3463.91</v>
      </c>
      <c r="T749" s="18">
        <v>2839.27</v>
      </c>
      <c r="U749" s="16"/>
      <c r="V749" s="16"/>
      <c r="W749" s="16" t="s">
        <v>40</v>
      </c>
      <c r="X749" s="19">
        <v>2.9249999999999998</v>
      </c>
      <c r="Y749" s="20">
        <v>2.5215999999999999E-2</v>
      </c>
      <c r="Z749" s="21">
        <v>4601004093980</v>
      </c>
    </row>
    <row r="750" spans="1:26" ht="12" customHeight="1" outlineLevel="4" x14ac:dyDescent="0.2">
      <c r="A750" s="14" t="s">
        <v>1493</v>
      </c>
      <c r="B750" s="26" t="s">
        <v>1494</v>
      </c>
      <c r="C750" s="52"/>
      <c r="D750" s="55">
        <f t="shared" si="11"/>
        <v>0</v>
      </c>
      <c r="E750" s="63" t="str">
        <f>HYPERLINK("https://www.sds-group.ru/product/udlinitel-silovoy-na-katushke-4-gnezda-s-z-20m-3h1mm-proconnect-11-7604/", "Инфо")</f>
        <v>Инфо</v>
      </c>
      <c r="F750" s="16" t="s">
        <v>39</v>
      </c>
      <c r="G750" s="15"/>
      <c r="H750" s="15"/>
      <c r="I750" s="15"/>
      <c r="J750" s="17">
        <v>10</v>
      </c>
      <c r="K750" s="15"/>
      <c r="L750" s="17">
        <v>1</v>
      </c>
      <c r="M750" s="17">
        <v>1</v>
      </c>
      <c r="N750" s="17">
        <v>1</v>
      </c>
      <c r="O750" s="18">
        <v>3235.46</v>
      </c>
      <c r="P750" s="18">
        <v>2652.02</v>
      </c>
      <c r="Q750" s="18">
        <v>2491.3000000000002</v>
      </c>
      <c r="R750" s="18">
        <v>2042.05</v>
      </c>
      <c r="S750" s="18">
        <v>2200.11</v>
      </c>
      <c r="T750" s="18">
        <v>1803.37</v>
      </c>
      <c r="U750" s="16"/>
      <c r="V750" s="16"/>
      <c r="W750" s="16" t="s">
        <v>40</v>
      </c>
      <c r="X750" s="19">
        <v>2.6349999999999998</v>
      </c>
      <c r="Y750" s="20">
        <v>2.5631999999999999E-2</v>
      </c>
      <c r="Z750" s="21">
        <v>4601004083127</v>
      </c>
    </row>
    <row r="751" spans="1:26" ht="12" customHeight="1" outlineLevel="4" x14ac:dyDescent="0.2">
      <c r="A751" s="14" t="s">
        <v>1495</v>
      </c>
      <c r="B751" s="26" t="s">
        <v>1496</v>
      </c>
      <c r="C751" s="52"/>
      <c r="D751" s="55">
        <f t="shared" si="11"/>
        <v>0</v>
      </c>
      <c r="E751" s="63" t="str">
        <f>HYPERLINK("https://www.sds-group.ru/product/udlinitel-silovoy-na-katushke-4-gnezda-s-z-20m-3h2-5mm-proconnect-11-7612/", "Инфо")</f>
        <v>Инфо</v>
      </c>
      <c r="F751" s="16" t="s">
        <v>39</v>
      </c>
      <c r="G751" s="15"/>
      <c r="H751" s="15"/>
      <c r="I751" s="15"/>
      <c r="J751" s="17">
        <v>1</v>
      </c>
      <c r="K751" s="15"/>
      <c r="L751" s="17">
        <v>1</v>
      </c>
      <c r="M751" s="17">
        <v>1</v>
      </c>
      <c r="N751" s="17">
        <v>1</v>
      </c>
      <c r="O751" s="18">
        <v>6552.94</v>
      </c>
      <c r="P751" s="18">
        <v>5371.26</v>
      </c>
      <c r="Q751" s="18">
        <v>4783.6499999999996</v>
      </c>
      <c r="R751" s="18">
        <v>3921.02</v>
      </c>
      <c r="S751" s="18">
        <v>4456</v>
      </c>
      <c r="T751" s="18">
        <v>3652.46</v>
      </c>
      <c r="U751" s="16"/>
      <c r="V751" s="16"/>
      <c r="W751" s="16" t="s">
        <v>40</v>
      </c>
      <c r="X751" s="19">
        <v>3.1819999999999999</v>
      </c>
      <c r="Y751" s="20">
        <v>2.5603000000000001E-2</v>
      </c>
      <c r="Z751" s="21">
        <v>4601004093874</v>
      </c>
    </row>
    <row r="752" spans="1:26" ht="12" customHeight="1" outlineLevel="4" x14ac:dyDescent="0.2">
      <c r="A752" s="14" t="s">
        <v>1497</v>
      </c>
      <c r="B752" s="26" t="s">
        <v>1498</v>
      </c>
      <c r="C752" s="52"/>
      <c r="D752" s="55">
        <f t="shared" si="11"/>
        <v>0</v>
      </c>
      <c r="E752" s="63" t="str">
        <f>HYPERLINK("https://www.sds-group.ru/product/udlinitel-silovoy-na-katushke-4-gnezda-s-z-30m-3h1-5mm-proconnect-11-7609/", "Инфо")</f>
        <v>Инфо</v>
      </c>
      <c r="F752" s="16" t="s">
        <v>39</v>
      </c>
      <c r="G752" s="15"/>
      <c r="H752" s="15"/>
      <c r="I752" s="15"/>
      <c r="J752" s="16" t="s">
        <v>100</v>
      </c>
      <c r="K752" s="15"/>
      <c r="L752" s="17">
        <v>1</v>
      </c>
      <c r="M752" s="17">
        <v>1</v>
      </c>
      <c r="N752" s="17">
        <v>1</v>
      </c>
      <c r="O752" s="18">
        <v>6419.19</v>
      </c>
      <c r="P752" s="18">
        <v>5261.63</v>
      </c>
      <c r="Q752" s="18">
        <v>4686.01</v>
      </c>
      <c r="R752" s="18">
        <v>3840.99</v>
      </c>
      <c r="S752" s="18">
        <v>4365.05</v>
      </c>
      <c r="T752" s="18">
        <v>3577.91</v>
      </c>
      <c r="U752" s="16"/>
      <c r="V752" s="16"/>
      <c r="W752" s="16" t="s">
        <v>40</v>
      </c>
      <c r="X752" s="19">
        <v>3.694</v>
      </c>
      <c r="Y752" s="20">
        <v>2.5051E-2</v>
      </c>
      <c r="Z752" s="21">
        <v>4601004093966</v>
      </c>
    </row>
    <row r="753" spans="1:26" ht="12" customHeight="1" outlineLevel="4" x14ac:dyDescent="0.2">
      <c r="A753" s="14" t="s">
        <v>1499</v>
      </c>
      <c r="B753" s="26" t="s">
        <v>1500</v>
      </c>
      <c r="C753" s="52"/>
      <c r="D753" s="55">
        <f t="shared" si="11"/>
        <v>0</v>
      </c>
      <c r="E753" s="63" t="str">
        <f>HYPERLINK("https://www.sds-group.ru/product/udlinitel-silovoy-na-katushke-4-gnezda-s-z-30m-3h1mm-proconnect-11-7605/", "Инфо")</f>
        <v>Инфо</v>
      </c>
      <c r="F753" s="16" t="s">
        <v>39</v>
      </c>
      <c r="G753" s="15"/>
      <c r="H753" s="15"/>
      <c r="I753" s="15"/>
      <c r="J753" s="16" t="s">
        <v>100</v>
      </c>
      <c r="K753" s="15"/>
      <c r="L753" s="17">
        <v>1</v>
      </c>
      <c r="M753" s="17">
        <v>1</v>
      </c>
      <c r="N753" s="17">
        <v>1</v>
      </c>
      <c r="O753" s="18">
        <v>3980.38</v>
      </c>
      <c r="P753" s="18">
        <v>3262.61</v>
      </c>
      <c r="Q753" s="18">
        <v>3184.3</v>
      </c>
      <c r="R753" s="18">
        <v>2610.08</v>
      </c>
      <c r="S753" s="18">
        <v>2706.66</v>
      </c>
      <c r="T753" s="18">
        <v>2218.5700000000002</v>
      </c>
      <c r="U753" s="16"/>
      <c r="V753" s="16"/>
      <c r="W753" s="16" t="s">
        <v>40</v>
      </c>
      <c r="X753" s="19">
        <v>3.206</v>
      </c>
      <c r="Y753" s="20">
        <v>2.5208000000000001E-2</v>
      </c>
      <c r="Z753" s="21">
        <v>4601004083134</v>
      </c>
    </row>
    <row r="754" spans="1:26" ht="12" customHeight="1" outlineLevel="4" x14ac:dyDescent="0.2">
      <c r="A754" s="14" t="s">
        <v>1501</v>
      </c>
      <c r="B754" s="26" t="s">
        <v>1502</v>
      </c>
      <c r="C754" s="52"/>
      <c r="D754" s="55">
        <f t="shared" si="11"/>
        <v>0</v>
      </c>
      <c r="E754" s="63" t="str">
        <f>HYPERLINK("https://www.sds-group.ru/product/udlinitel-silovoy-na-katushke-4-gnezda-s-z-30m-3h2-5mm-proconnect-11-7613/", "Инфо")</f>
        <v>Инфо</v>
      </c>
      <c r="F754" s="16" t="s">
        <v>39</v>
      </c>
      <c r="G754" s="15"/>
      <c r="H754" s="15"/>
      <c r="I754" s="15"/>
      <c r="J754" s="17">
        <v>51</v>
      </c>
      <c r="K754" s="15"/>
      <c r="L754" s="17">
        <v>1</v>
      </c>
      <c r="M754" s="17">
        <v>1</v>
      </c>
      <c r="N754" s="17">
        <v>1</v>
      </c>
      <c r="O754" s="18">
        <v>7040.55</v>
      </c>
      <c r="P754" s="18">
        <v>5770.94</v>
      </c>
      <c r="Q754" s="18">
        <v>5632.44</v>
      </c>
      <c r="R754" s="18">
        <v>4616.75</v>
      </c>
      <c r="S754" s="18">
        <v>4787.57</v>
      </c>
      <c r="T754" s="18">
        <v>3924.24</v>
      </c>
      <c r="U754" s="16"/>
      <c r="V754" s="16"/>
      <c r="W754" s="16" t="s">
        <v>40</v>
      </c>
      <c r="X754" s="19">
        <v>4.3920000000000003</v>
      </c>
      <c r="Y754" s="20">
        <v>2.6093000000000002E-2</v>
      </c>
      <c r="Z754" s="21">
        <v>4601004093898</v>
      </c>
    </row>
    <row r="755" spans="1:26" ht="12" customHeight="1" outlineLevel="4" x14ac:dyDescent="0.2">
      <c r="A755" s="14" t="s">
        <v>1503</v>
      </c>
      <c r="B755" s="26" t="s">
        <v>1504</v>
      </c>
      <c r="C755" s="52"/>
      <c r="D755" s="55">
        <f t="shared" si="11"/>
        <v>0</v>
      </c>
      <c r="E755" s="63" t="str">
        <f>HYPERLINK("https://www.sds-group.ru/product/udlinitel-silovoy-na-katushke-4-gnezda-s-z-40-m-3h1-5-mm-sup2-optima-proconnect-14950/", "Инфо")</f>
        <v>Инфо</v>
      </c>
      <c r="F755" s="16" t="s">
        <v>39</v>
      </c>
      <c r="G755" s="15"/>
      <c r="H755" s="15"/>
      <c r="I755" s="15"/>
      <c r="J755" s="17">
        <v>24</v>
      </c>
      <c r="K755" s="15"/>
      <c r="L755" s="17">
        <v>1</v>
      </c>
      <c r="M755" s="17">
        <v>2</v>
      </c>
      <c r="N755" s="17">
        <v>1</v>
      </c>
      <c r="O755" s="18">
        <v>8354.44</v>
      </c>
      <c r="P755" s="18">
        <v>6847.9</v>
      </c>
      <c r="Q755" s="18">
        <v>6098.74</v>
      </c>
      <c r="R755" s="18">
        <v>4998.97</v>
      </c>
      <c r="S755" s="18">
        <v>5681.02</v>
      </c>
      <c r="T755" s="18">
        <v>4656.57</v>
      </c>
      <c r="U755" s="16"/>
      <c r="V755" s="16"/>
      <c r="W755" s="16" t="s">
        <v>40</v>
      </c>
      <c r="X755" s="19">
        <v>3.5710000000000002</v>
      </c>
      <c r="Y755" s="20">
        <v>1.8613999999999999E-2</v>
      </c>
      <c r="Z755" s="21">
        <v>4601004094178</v>
      </c>
    </row>
    <row r="756" spans="1:26" ht="12" customHeight="1" outlineLevel="4" x14ac:dyDescent="0.2">
      <c r="A756" s="14" t="s">
        <v>1505</v>
      </c>
      <c r="B756" s="26" t="s">
        <v>1506</v>
      </c>
      <c r="C756" s="52"/>
      <c r="D756" s="55">
        <f t="shared" si="11"/>
        <v>0</v>
      </c>
      <c r="E756" s="63" t="str">
        <f>HYPERLINK("https://www.sds-group.ru/product/udlinitel-silovoy-na-katushke-4-gnezda-s-z-40m-3h1mm-proconnect-11-7606/", "Инфо")</f>
        <v>Инфо</v>
      </c>
      <c r="F756" s="16" t="s">
        <v>39</v>
      </c>
      <c r="G756" s="15"/>
      <c r="H756" s="15"/>
      <c r="I756" s="15"/>
      <c r="J756" s="17">
        <v>8</v>
      </c>
      <c r="K756" s="15"/>
      <c r="L756" s="17">
        <v>1</v>
      </c>
      <c r="M756" s="17">
        <v>1</v>
      </c>
      <c r="N756" s="17">
        <v>1</v>
      </c>
      <c r="O756" s="18">
        <v>6957.17</v>
      </c>
      <c r="P756" s="18">
        <v>5702.6</v>
      </c>
      <c r="Q756" s="18">
        <v>5078.7299999999996</v>
      </c>
      <c r="R756" s="18">
        <v>4162.8900000000003</v>
      </c>
      <c r="S756" s="18">
        <v>4730.88</v>
      </c>
      <c r="T756" s="18">
        <v>3877.77</v>
      </c>
      <c r="U756" s="16"/>
      <c r="V756" s="16"/>
      <c r="W756" s="16" t="s">
        <v>40</v>
      </c>
      <c r="X756" s="19">
        <v>3.7440000000000002</v>
      </c>
      <c r="Y756" s="20">
        <v>2.5486000000000002E-2</v>
      </c>
      <c r="Z756" s="21">
        <v>4601004083141</v>
      </c>
    </row>
    <row r="757" spans="1:26" ht="12" customHeight="1" outlineLevel="4" x14ac:dyDescent="0.2">
      <c r="A757" s="14" t="s">
        <v>1507</v>
      </c>
      <c r="B757" s="26" t="s">
        <v>1508</v>
      </c>
      <c r="C757" s="52"/>
      <c r="D757" s="55">
        <f t="shared" si="11"/>
        <v>0</v>
      </c>
      <c r="E757" s="63" t="str">
        <f>HYPERLINK("https://www.sds-group.ru/product/udlinitel-silovoy-na-katushke-4-gnezda-s-z-40m-3h2-5mm-proconnect-11-7614/", "Инфо")</f>
        <v>Инфо</v>
      </c>
      <c r="F757" s="16" t="s">
        <v>39</v>
      </c>
      <c r="G757" s="15"/>
      <c r="H757" s="15"/>
      <c r="I757" s="15"/>
      <c r="J757" s="17">
        <v>30</v>
      </c>
      <c r="K757" s="15"/>
      <c r="L757" s="17">
        <v>1</v>
      </c>
      <c r="M757" s="17">
        <v>2</v>
      </c>
      <c r="N757" s="17">
        <v>1</v>
      </c>
      <c r="O757" s="18">
        <v>8222.27</v>
      </c>
      <c r="P757" s="18">
        <v>6739.57</v>
      </c>
      <c r="Q757" s="18">
        <v>6577.82</v>
      </c>
      <c r="R757" s="18">
        <v>5391.66</v>
      </c>
      <c r="S757" s="18">
        <v>5591.14</v>
      </c>
      <c r="T757" s="18">
        <v>4582.8999999999996</v>
      </c>
      <c r="U757" s="16"/>
      <c r="V757" s="16"/>
      <c r="W757" s="16" t="s">
        <v>40</v>
      </c>
      <c r="X757" s="19">
        <v>3.9409999999999998</v>
      </c>
      <c r="Y757" s="20">
        <v>1.9393000000000001E-2</v>
      </c>
      <c r="Z757" s="21">
        <v>4601004093911</v>
      </c>
    </row>
    <row r="758" spans="1:26" ht="12" customHeight="1" outlineLevel="4" x14ac:dyDescent="0.2">
      <c r="A758" s="14" t="s">
        <v>1509</v>
      </c>
      <c r="B758" s="26" t="s">
        <v>1510</v>
      </c>
      <c r="C758" s="52"/>
      <c r="D758" s="55">
        <f t="shared" si="11"/>
        <v>0</v>
      </c>
      <c r="E758" s="63" t="str">
        <f>HYPERLINK("https://www.sds-group.ru/product/udlinitel-silovoy-na-katushke-4-gnezda-s-z-50m-3h1-5mm-proconnect-11-7611/", "Инфо")</f>
        <v>Инфо</v>
      </c>
      <c r="F758" s="16" t="s">
        <v>39</v>
      </c>
      <c r="G758" s="15"/>
      <c r="H758" s="15"/>
      <c r="I758" s="15"/>
      <c r="J758" s="17">
        <v>9</v>
      </c>
      <c r="K758" s="15"/>
      <c r="L758" s="17">
        <v>1</v>
      </c>
      <c r="M758" s="17">
        <v>2</v>
      </c>
      <c r="N758" s="17">
        <v>1</v>
      </c>
      <c r="O758" s="18">
        <v>7966.19</v>
      </c>
      <c r="P758" s="18">
        <v>6529.66</v>
      </c>
      <c r="Q758" s="18">
        <v>5815.32</v>
      </c>
      <c r="R758" s="18">
        <v>4766.66</v>
      </c>
      <c r="S758" s="18">
        <v>5417.01</v>
      </c>
      <c r="T758" s="18">
        <v>4440.17</v>
      </c>
      <c r="U758" s="16"/>
      <c r="V758" s="16"/>
      <c r="W758" s="16" t="s">
        <v>40</v>
      </c>
      <c r="X758" s="19">
        <v>4.2160000000000002</v>
      </c>
      <c r="Y758" s="20">
        <v>1.9661999999999999E-2</v>
      </c>
      <c r="Z758" s="21">
        <v>4601004093850</v>
      </c>
    </row>
    <row r="759" spans="1:26" ht="12" customHeight="1" outlineLevel="4" x14ac:dyDescent="0.2">
      <c r="A759" s="14" t="s">
        <v>1511</v>
      </c>
      <c r="B759" s="26" t="s">
        <v>1512</v>
      </c>
      <c r="C759" s="52"/>
      <c r="D759" s="55">
        <f t="shared" si="11"/>
        <v>0</v>
      </c>
      <c r="E759" s="63" t="str">
        <f>HYPERLINK("https://www.sds-group.ru/product/udlinitel-silovoy-na-katushke-4-gnezda-s-z-50m-3h1mm-proconnect-11-7607/", "Инфо")</f>
        <v>Инфо</v>
      </c>
      <c r="F759" s="16" t="s">
        <v>39</v>
      </c>
      <c r="G759" s="15"/>
      <c r="H759" s="15"/>
      <c r="I759" s="15"/>
      <c r="J759" s="17">
        <v>8</v>
      </c>
      <c r="K759" s="15"/>
      <c r="L759" s="17">
        <v>1</v>
      </c>
      <c r="M759" s="17">
        <v>2</v>
      </c>
      <c r="N759" s="17">
        <v>1</v>
      </c>
      <c r="O759" s="18">
        <v>8410.6</v>
      </c>
      <c r="P759" s="18">
        <v>6893.93</v>
      </c>
      <c r="Q759" s="18">
        <v>6139.74</v>
      </c>
      <c r="R759" s="18">
        <v>5032.57</v>
      </c>
      <c r="S759" s="18">
        <v>5719.21</v>
      </c>
      <c r="T759" s="18">
        <v>4687.88</v>
      </c>
      <c r="U759" s="16"/>
      <c r="V759" s="16"/>
      <c r="W759" s="16" t="s">
        <v>40</v>
      </c>
      <c r="X759" s="19">
        <v>3.6139999999999999</v>
      </c>
      <c r="Y759" s="20">
        <v>1.8636E-2</v>
      </c>
      <c r="Z759" s="21">
        <v>4601004083158</v>
      </c>
    </row>
    <row r="760" spans="1:26" ht="12" customHeight="1" outlineLevel="4" x14ac:dyDescent="0.2">
      <c r="A760" s="14" t="s">
        <v>1513</v>
      </c>
      <c r="B760" s="26" t="s">
        <v>1514</v>
      </c>
      <c r="C760" s="52"/>
      <c r="D760" s="55">
        <f t="shared" si="11"/>
        <v>0</v>
      </c>
      <c r="E760" s="63" t="str">
        <f>HYPERLINK("https://www.sds-group.ru/product/udlinitel-silovoy-na-katushke-4-gnezda-s-z-50m-3h2-5mm-proconnect-11-7615/", "Инфо")</f>
        <v>Инфо</v>
      </c>
      <c r="F760" s="16" t="s">
        <v>39</v>
      </c>
      <c r="G760" s="15"/>
      <c r="H760" s="15"/>
      <c r="I760" s="15"/>
      <c r="J760" s="17">
        <v>73</v>
      </c>
      <c r="K760" s="15"/>
      <c r="L760" s="17">
        <v>1</v>
      </c>
      <c r="M760" s="17">
        <v>1</v>
      </c>
      <c r="N760" s="17">
        <v>1</v>
      </c>
      <c r="O760" s="18">
        <v>10718.14</v>
      </c>
      <c r="P760" s="18">
        <v>8785.36</v>
      </c>
      <c r="Q760" s="18">
        <v>7824.24</v>
      </c>
      <c r="R760" s="18">
        <v>6413.31</v>
      </c>
      <c r="S760" s="18">
        <v>7288.34</v>
      </c>
      <c r="T760" s="18">
        <v>5974.05</v>
      </c>
      <c r="U760" s="16"/>
      <c r="V760" s="16"/>
      <c r="W760" s="16" t="s">
        <v>40</v>
      </c>
      <c r="X760" s="19">
        <v>5.8840000000000003</v>
      </c>
      <c r="Y760" s="20">
        <v>2.4145E-2</v>
      </c>
      <c r="Z760" s="21">
        <v>4601004093935</v>
      </c>
    </row>
    <row r="761" spans="1:26" ht="12.95" customHeight="1" outlineLevel="2" x14ac:dyDescent="0.2">
      <c r="A761" s="76" t="s">
        <v>1515</v>
      </c>
      <c r="B761" s="76"/>
      <c r="C761" s="77"/>
      <c r="D761" s="58"/>
      <c r="E761" s="68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  <c r="Z761" s="13"/>
    </row>
    <row r="762" spans="1:26" ht="12.95" customHeight="1" outlineLevel="3" x14ac:dyDescent="0.2">
      <c r="A762" s="76" t="s">
        <v>1516</v>
      </c>
      <c r="B762" s="76"/>
      <c r="C762" s="77"/>
      <c r="D762" s="58"/>
      <c r="E762" s="68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  <c r="Z762" s="13"/>
    </row>
    <row r="763" spans="1:26" ht="12" customHeight="1" outlineLevel="4" x14ac:dyDescent="0.2">
      <c r="A763" s="40" t="s">
        <v>1517</v>
      </c>
      <c r="B763" s="75" t="s">
        <v>1518</v>
      </c>
      <c r="C763" s="51"/>
      <c r="D763" s="54">
        <f t="shared" si="11"/>
        <v>0</v>
      </c>
      <c r="E763" s="61" t="str">
        <f>HYPERLINK("https://www.sds-group.ru/product/vilka-vlagozaschischennaya-pryamaya-kompakt-s-z-16a-ip44-kauchuk-chernaya-rexant-111-200/", "Инфо")</f>
        <v>Инфо</v>
      </c>
      <c r="F763" s="42" t="s">
        <v>39</v>
      </c>
      <c r="G763" s="41" t="s">
        <v>40</v>
      </c>
      <c r="H763" s="41"/>
      <c r="I763" s="41"/>
      <c r="J763" s="47">
        <v>16445</v>
      </c>
      <c r="K763" s="41" t="s">
        <v>1519</v>
      </c>
      <c r="L763" s="43">
        <v>10</v>
      </c>
      <c r="M763" s="43">
        <v>160</v>
      </c>
      <c r="N763" s="43">
        <v>10</v>
      </c>
      <c r="O763" s="44">
        <v>155.91999999999999</v>
      </c>
      <c r="P763" s="44">
        <v>127.8</v>
      </c>
      <c r="Q763" s="44">
        <v>124.74</v>
      </c>
      <c r="R763" s="44">
        <v>102.25</v>
      </c>
      <c r="S763" s="44">
        <v>106.03</v>
      </c>
      <c r="T763" s="44">
        <v>86.91</v>
      </c>
      <c r="U763" s="42"/>
      <c r="V763" s="42"/>
      <c r="W763" s="42" t="s">
        <v>40</v>
      </c>
      <c r="X763" s="45">
        <v>5.8000000000000003E-2</v>
      </c>
      <c r="Y763" s="46">
        <v>3.5399999999999999E-4</v>
      </c>
      <c r="Z763" s="21">
        <v>4601004329508</v>
      </c>
    </row>
    <row r="764" spans="1:26" ht="12" customHeight="1" outlineLevel="4" x14ac:dyDescent="0.2">
      <c r="A764" s="40" t="s">
        <v>1520</v>
      </c>
      <c r="B764" s="75" t="s">
        <v>1521</v>
      </c>
      <c r="C764" s="51"/>
      <c r="D764" s="54">
        <f t="shared" si="11"/>
        <v>0</v>
      </c>
      <c r="E764" s="61" t="str">
        <f>HYPERLINK("https://www.sds-group.ru/product/vilka-vlagozaschischennaya-pryamaya-kompakt-s-z-16a-ip44-kauchuk-oranzhevaya-rexant-111-202/", "Инфо")</f>
        <v>Инфо</v>
      </c>
      <c r="F764" s="42" t="s">
        <v>39</v>
      </c>
      <c r="G764" s="41" t="s">
        <v>40</v>
      </c>
      <c r="H764" s="41"/>
      <c r="I764" s="41"/>
      <c r="J764" s="47">
        <v>3333</v>
      </c>
      <c r="K764" s="41"/>
      <c r="L764" s="43">
        <v>10</v>
      </c>
      <c r="M764" s="43">
        <v>160</v>
      </c>
      <c r="N764" s="43">
        <v>10</v>
      </c>
      <c r="O764" s="44">
        <v>176.95</v>
      </c>
      <c r="P764" s="44">
        <v>145.04</v>
      </c>
      <c r="Q764" s="44">
        <v>141.56</v>
      </c>
      <c r="R764" s="44">
        <v>116.03</v>
      </c>
      <c r="S764" s="44">
        <v>120.33</v>
      </c>
      <c r="T764" s="44">
        <v>98.63</v>
      </c>
      <c r="U764" s="42"/>
      <c r="V764" s="42"/>
      <c r="W764" s="42" t="s">
        <v>40</v>
      </c>
      <c r="X764" s="45">
        <v>5.7000000000000002E-2</v>
      </c>
      <c r="Y764" s="46">
        <v>3.5799999999999997E-4</v>
      </c>
      <c r="Z764" s="21">
        <v>4601004329522</v>
      </c>
    </row>
    <row r="765" spans="1:26" ht="12" customHeight="1" outlineLevel="4" x14ac:dyDescent="0.2">
      <c r="A765" s="14" t="s">
        <v>1522</v>
      </c>
      <c r="B765" s="26" t="s">
        <v>1523</v>
      </c>
      <c r="C765" s="52"/>
      <c r="D765" s="55">
        <f t="shared" si="11"/>
        <v>0</v>
      </c>
      <c r="E765" s="63" t="str">
        <f>HYPERLINK("https://www.sds-group.ru/product/vilka-vlagozaschischennaya-pryamaya-c-z-16a-ip44-kauchuk-zheltaya-rexant-111-014/", "Инфо")</f>
        <v>Инфо</v>
      </c>
      <c r="F765" s="16" t="s">
        <v>39</v>
      </c>
      <c r="G765" s="15"/>
      <c r="H765" s="15"/>
      <c r="I765" s="15"/>
      <c r="J765" s="16" t="s">
        <v>100</v>
      </c>
      <c r="K765" s="15" t="s">
        <v>1524</v>
      </c>
      <c r="L765" s="17">
        <v>5</v>
      </c>
      <c r="M765" s="17">
        <v>360</v>
      </c>
      <c r="N765" s="17">
        <v>5</v>
      </c>
      <c r="O765" s="18">
        <v>264.45999999999998</v>
      </c>
      <c r="P765" s="18">
        <v>216.77</v>
      </c>
      <c r="Q765" s="18">
        <v>224.79</v>
      </c>
      <c r="R765" s="18">
        <v>184.25</v>
      </c>
      <c r="S765" s="18">
        <v>179.83</v>
      </c>
      <c r="T765" s="18">
        <v>147.4</v>
      </c>
      <c r="U765" s="16"/>
      <c r="V765" s="16"/>
      <c r="W765" s="16" t="s">
        <v>40</v>
      </c>
      <c r="X765" s="19">
        <v>5.3999999999999999E-2</v>
      </c>
      <c r="Y765" s="20">
        <v>2.41E-4</v>
      </c>
      <c r="Z765" s="21">
        <v>4601004182806</v>
      </c>
    </row>
    <row r="766" spans="1:26" ht="12" customHeight="1" outlineLevel="4" x14ac:dyDescent="0.2">
      <c r="A766" s="14" t="s">
        <v>1525</v>
      </c>
      <c r="B766" s="26" t="s">
        <v>1526</v>
      </c>
      <c r="C766" s="52"/>
      <c r="D766" s="55">
        <f t="shared" si="11"/>
        <v>0</v>
      </c>
      <c r="E766" s="63" t="str">
        <f>HYPERLINK("https://www.sds-group.ru/product/vilka-vlagozaschischennaya-pryamaya-c-z-16a-ip44-kauchuk-oranzhevaya-rexant-111-015/", "Инфо")</f>
        <v>Инфо</v>
      </c>
      <c r="F766" s="16" t="s">
        <v>39</v>
      </c>
      <c r="G766" s="15"/>
      <c r="H766" s="15"/>
      <c r="I766" s="15"/>
      <c r="J766" s="16" t="s">
        <v>100</v>
      </c>
      <c r="K766" s="15" t="s">
        <v>1524</v>
      </c>
      <c r="L766" s="17">
        <v>5</v>
      </c>
      <c r="M766" s="17">
        <v>360</v>
      </c>
      <c r="N766" s="17">
        <v>5</v>
      </c>
      <c r="O766" s="18">
        <v>319.89</v>
      </c>
      <c r="P766" s="18">
        <v>262.2</v>
      </c>
      <c r="Q766" s="18">
        <v>271.91000000000003</v>
      </c>
      <c r="R766" s="18">
        <v>222.88</v>
      </c>
      <c r="S766" s="18">
        <v>217.53</v>
      </c>
      <c r="T766" s="18">
        <v>178.3</v>
      </c>
      <c r="U766" s="16"/>
      <c r="V766" s="16"/>
      <c r="W766" s="16" t="s">
        <v>40</v>
      </c>
      <c r="X766" s="19">
        <v>5.3999999999999999E-2</v>
      </c>
      <c r="Y766" s="20">
        <v>2.4499999999999999E-4</v>
      </c>
      <c r="Z766" s="21">
        <v>4601004182844</v>
      </c>
    </row>
    <row r="767" spans="1:26" ht="12" customHeight="1" outlineLevel="4" x14ac:dyDescent="0.2">
      <c r="A767" s="14" t="s">
        <v>1527</v>
      </c>
      <c r="B767" s="26" t="s">
        <v>1528</v>
      </c>
      <c r="C767" s="52"/>
      <c r="D767" s="55">
        <f t="shared" si="11"/>
        <v>0</v>
      </c>
      <c r="E767" s="63" t="str">
        <f>HYPERLINK("https://www.sds-group.ru/product/vilka-vlagozaschischennaya-pryamaya-s-z-16a-ip44-kauchuk-chernaya-rexant-111-001/", "Инфо")</f>
        <v>Инфо</v>
      </c>
      <c r="F767" s="16" t="s">
        <v>39</v>
      </c>
      <c r="G767" s="15"/>
      <c r="H767" s="15"/>
      <c r="I767" s="15"/>
      <c r="J767" s="22">
        <v>4071</v>
      </c>
      <c r="K767" s="15" t="s">
        <v>1524</v>
      </c>
      <c r="L767" s="17">
        <v>5</v>
      </c>
      <c r="M767" s="17">
        <v>360</v>
      </c>
      <c r="N767" s="17">
        <v>5</v>
      </c>
      <c r="O767" s="18">
        <v>234.66</v>
      </c>
      <c r="P767" s="18">
        <v>192.34</v>
      </c>
      <c r="Q767" s="18">
        <v>199.46</v>
      </c>
      <c r="R767" s="18">
        <v>163.49</v>
      </c>
      <c r="S767" s="18">
        <v>159.57</v>
      </c>
      <c r="T767" s="18">
        <v>130.80000000000001</v>
      </c>
      <c r="U767" s="16"/>
      <c r="V767" s="16"/>
      <c r="W767" s="16" t="s">
        <v>40</v>
      </c>
      <c r="X767" s="19">
        <v>5.5E-2</v>
      </c>
      <c r="Y767" s="20">
        <v>2.43E-4</v>
      </c>
      <c r="Z767" s="21">
        <v>4601004149892</v>
      </c>
    </row>
    <row r="768" spans="1:26" ht="12" customHeight="1" outlineLevel="4" x14ac:dyDescent="0.2">
      <c r="A768" s="14" t="s">
        <v>1529</v>
      </c>
      <c r="B768" s="26" t="s">
        <v>1530</v>
      </c>
      <c r="C768" s="52"/>
      <c r="D768" s="55">
        <f t="shared" si="11"/>
        <v>0</v>
      </c>
      <c r="E768" s="63" t="str">
        <f>HYPERLINK("https://www.sds-group.ru/product/vilka-vlagozaschischennaya-uglovaya-s-koltsom-s-z-16a-ip44-kauchuk-chernaya-rexant-111-002/", "Инфо")</f>
        <v>Инфо</v>
      </c>
      <c r="F768" s="16" t="s">
        <v>39</v>
      </c>
      <c r="G768" s="15"/>
      <c r="H768" s="15"/>
      <c r="I768" s="15"/>
      <c r="J768" s="16" t="s">
        <v>100</v>
      </c>
      <c r="K768" s="15" t="s">
        <v>1524</v>
      </c>
      <c r="L768" s="17">
        <v>5</v>
      </c>
      <c r="M768" s="17">
        <v>240</v>
      </c>
      <c r="N768" s="17">
        <v>5</v>
      </c>
      <c r="O768" s="18">
        <v>318.16000000000003</v>
      </c>
      <c r="P768" s="18">
        <v>260.79000000000002</v>
      </c>
      <c r="Q768" s="18">
        <v>270.44</v>
      </c>
      <c r="R768" s="18">
        <v>221.67</v>
      </c>
      <c r="S768" s="18">
        <v>216.35</v>
      </c>
      <c r="T768" s="18">
        <v>177.34</v>
      </c>
      <c r="U768" s="16"/>
      <c r="V768" s="16"/>
      <c r="W768" s="16" t="s">
        <v>40</v>
      </c>
      <c r="X768" s="19">
        <v>6.7000000000000004E-2</v>
      </c>
      <c r="Y768" s="20">
        <v>3.68E-4</v>
      </c>
      <c r="Z768" s="21">
        <v>4601004149793</v>
      </c>
    </row>
    <row r="769" spans="1:26" ht="12" customHeight="1" outlineLevel="4" x14ac:dyDescent="0.2">
      <c r="A769" s="14" t="s">
        <v>1531</v>
      </c>
      <c r="B769" s="26" t="s">
        <v>1532</v>
      </c>
      <c r="C769" s="52"/>
      <c r="D769" s="55">
        <f t="shared" si="11"/>
        <v>0</v>
      </c>
      <c r="E769" s="63" t="str">
        <f>HYPERLINK("https://www.sds-group.ru/product/vilka-vlagozaschischennaya-uglovaya-s-z-16a-ip44-kauchuk-chernaya-rexant-111-003/", "Инфо")</f>
        <v>Инфо</v>
      </c>
      <c r="F769" s="16" t="s">
        <v>39</v>
      </c>
      <c r="G769" s="15"/>
      <c r="H769" s="15"/>
      <c r="I769" s="15"/>
      <c r="J769" s="16" t="s">
        <v>100</v>
      </c>
      <c r="K769" s="15" t="s">
        <v>1524</v>
      </c>
      <c r="L769" s="17">
        <v>5</v>
      </c>
      <c r="M769" s="17">
        <v>240</v>
      </c>
      <c r="N769" s="17">
        <v>5</v>
      </c>
      <c r="O769" s="18">
        <v>271.69</v>
      </c>
      <c r="P769" s="18">
        <v>222.7</v>
      </c>
      <c r="Q769" s="18">
        <v>230.94</v>
      </c>
      <c r="R769" s="18">
        <v>189.3</v>
      </c>
      <c r="S769" s="18">
        <v>184.75</v>
      </c>
      <c r="T769" s="18">
        <v>151.43</v>
      </c>
      <c r="U769" s="16"/>
      <c r="V769" s="16"/>
      <c r="W769" s="16" t="s">
        <v>40</v>
      </c>
      <c r="X769" s="19">
        <v>5.5E-2</v>
      </c>
      <c r="Y769" s="20">
        <v>3.6000000000000002E-4</v>
      </c>
      <c r="Z769" s="21">
        <v>4601004149816</v>
      </c>
    </row>
    <row r="770" spans="1:26" ht="12" customHeight="1" outlineLevel="4" x14ac:dyDescent="0.2">
      <c r="A770" s="40" t="s">
        <v>1533</v>
      </c>
      <c r="B770" s="75" t="s">
        <v>1534</v>
      </c>
      <c r="C770" s="51"/>
      <c r="D770" s="54">
        <f t="shared" si="11"/>
        <v>0</v>
      </c>
      <c r="E770" s="61" t="str">
        <f>HYPERLINK("https://www.sds-group.ru/product/rozetka-kolodka-vlagozaschischennaya-s-kryshkoy-1-gnezdo-kompakt-s-3-16a-ip54-kauchuk-oranzh-111-225/", "Инфо")</f>
        <v>Инфо</v>
      </c>
      <c r="F770" s="42" t="s">
        <v>39</v>
      </c>
      <c r="G770" s="41" t="s">
        <v>40</v>
      </c>
      <c r="H770" s="41"/>
      <c r="I770" s="41"/>
      <c r="J770" s="47">
        <v>4214</v>
      </c>
      <c r="K770" s="41"/>
      <c r="L770" s="43">
        <v>5</v>
      </c>
      <c r="M770" s="43">
        <v>60</v>
      </c>
      <c r="N770" s="43">
        <v>5</v>
      </c>
      <c r="O770" s="44">
        <v>317.94</v>
      </c>
      <c r="P770" s="44">
        <v>260.61</v>
      </c>
      <c r="Q770" s="44">
        <v>254.35</v>
      </c>
      <c r="R770" s="44">
        <v>208.48</v>
      </c>
      <c r="S770" s="44">
        <v>216.2</v>
      </c>
      <c r="T770" s="44">
        <v>177.21</v>
      </c>
      <c r="U770" s="42"/>
      <c r="V770" s="42"/>
      <c r="W770" s="42" t="s">
        <v>40</v>
      </c>
      <c r="X770" s="45">
        <v>8.1000000000000003E-2</v>
      </c>
      <c r="Y770" s="46">
        <v>3.77E-4</v>
      </c>
      <c r="Z770" s="21">
        <v>4601004329607</v>
      </c>
    </row>
    <row r="771" spans="1:26" ht="12" customHeight="1" outlineLevel="4" x14ac:dyDescent="0.2">
      <c r="A771" s="40" t="s">
        <v>1535</v>
      </c>
      <c r="B771" s="75" t="s">
        <v>1536</v>
      </c>
      <c r="C771" s="51"/>
      <c r="D771" s="54">
        <f t="shared" si="11"/>
        <v>0</v>
      </c>
      <c r="E771" s="61" t="str">
        <f>HYPERLINK("https://www.sds-group.ru/product/rozetka-kolodka-vlagozaschischennaya-s-kryshkoy-1-gnezdo-kompakt-s-3-16a-ip54-kauchuk-cherna-111-221/", "Инфо")</f>
        <v>Инфо</v>
      </c>
      <c r="F771" s="42" t="s">
        <v>39</v>
      </c>
      <c r="G771" s="41" t="s">
        <v>40</v>
      </c>
      <c r="H771" s="41"/>
      <c r="I771" s="41"/>
      <c r="J771" s="42" t="s">
        <v>100</v>
      </c>
      <c r="K771" s="41" t="s">
        <v>1519</v>
      </c>
      <c r="L771" s="43">
        <v>5</v>
      </c>
      <c r="M771" s="43">
        <v>60</v>
      </c>
      <c r="N771" s="43">
        <v>5</v>
      </c>
      <c r="O771" s="44">
        <v>277.7</v>
      </c>
      <c r="P771" s="44">
        <v>227.62</v>
      </c>
      <c r="Q771" s="44">
        <v>222.16</v>
      </c>
      <c r="R771" s="44">
        <v>182.1</v>
      </c>
      <c r="S771" s="44">
        <v>188.84</v>
      </c>
      <c r="T771" s="44">
        <v>154.79</v>
      </c>
      <c r="U771" s="42"/>
      <c r="V771" s="42"/>
      <c r="W771" s="42" t="s">
        <v>40</v>
      </c>
      <c r="X771" s="45">
        <v>7.8E-2</v>
      </c>
      <c r="Y771" s="46">
        <v>3.8499999999999998E-4</v>
      </c>
      <c r="Z771" s="21">
        <v>4601004329652</v>
      </c>
    </row>
    <row r="772" spans="1:26" ht="12" customHeight="1" outlineLevel="4" x14ac:dyDescent="0.2">
      <c r="A772" s="40" t="s">
        <v>1537</v>
      </c>
      <c r="B772" s="75" t="s">
        <v>1538</v>
      </c>
      <c r="C772" s="51"/>
      <c r="D772" s="54">
        <f t="shared" si="11"/>
        <v>0</v>
      </c>
      <c r="E772" s="61" t="str">
        <f>HYPERLINK("https://www.sds-group.ru/product/rozetka-kolodka-vlagozaschischennaya-s-kryshkoy-2-gnezda-kompakt-s-z-16a-ip54-kauchuk-oranzh-111-226/", "Инфо")</f>
        <v>Инфо</v>
      </c>
      <c r="F772" s="42" t="s">
        <v>39</v>
      </c>
      <c r="G772" s="41" t="s">
        <v>40</v>
      </c>
      <c r="H772" s="41"/>
      <c r="I772" s="41"/>
      <c r="J772" s="47">
        <v>3275</v>
      </c>
      <c r="K772" s="41"/>
      <c r="L772" s="43">
        <v>5</v>
      </c>
      <c r="M772" s="43">
        <v>30</v>
      </c>
      <c r="N772" s="43">
        <v>5</v>
      </c>
      <c r="O772" s="44">
        <v>514.11</v>
      </c>
      <c r="P772" s="44">
        <v>421.4</v>
      </c>
      <c r="Q772" s="44">
        <v>411.29</v>
      </c>
      <c r="R772" s="44">
        <v>337.12</v>
      </c>
      <c r="S772" s="44">
        <v>349.59</v>
      </c>
      <c r="T772" s="44">
        <v>286.55</v>
      </c>
      <c r="U772" s="42"/>
      <c r="V772" s="42"/>
      <c r="W772" s="42" t="s">
        <v>40</v>
      </c>
      <c r="X772" s="45">
        <v>0.14799999999999999</v>
      </c>
      <c r="Y772" s="46">
        <v>7.7899999999999996E-4</v>
      </c>
      <c r="Z772" s="21">
        <v>4601004329591</v>
      </c>
    </row>
    <row r="773" spans="1:26" ht="12" customHeight="1" outlineLevel="4" x14ac:dyDescent="0.2">
      <c r="A773" s="40" t="s">
        <v>1539</v>
      </c>
      <c r="B773" s="75" t="s">
        <v>1540</v>
      </c>
      <c r="C773" s="51"/>
      <c r="D773" s="54">
        <f t="shared" si="11"/>
        <v>0</v>
      </c>
      <c r="E773" s="61" t="str">
        <f>HYPERLINK("https://www.sds-group.ru/product/rozetka-kolodka-vlagozaschischennaya-s-kryshkoy-2-gnezda-kompakt-s-z-16a-ip54-kauchuk-cherna-111-222/", "Инфо")</f>
        <v>Инфо</v>
      </c>
      <c r="F773" s="42" t="s">
        <v>39</v>
      </c>
      <c r="G773" s="41" t="s">
        <v>40</v>
      </c>
      <c r="H773" s="41"/>
      <c r="I773" s="41"/>
      <c r="J773" s="47">
        <v>1297</v>
      </c>
      <c r="K773" s="41" t="s">
        <v>1519</v>
      </c>
      <c r="L773" s="43">
        <v>5</v>
      </c>
      <c r="M773" s="43">
        <v>30</v>
      </c>
      <c r="N773" s="43">
        <v>5</v>
      </c>
      <c r="O773" s="44">
        <v>451.67</v>
      </c>
      <c r="P773" s="44">
        <v>370.22</v>
      </c>
      <c r="Q773" s="44">
        <v>361.34</v>
      </c>
      <c r="R773" s="44">
        <v>296.18</v>
      </c>
      <c r="S773" s="44">
        <v>307.14</v>
      </c>
      <c r="T773" s="44">
        <v>251.75</v>
      </c>
      <c r="U773" s="42"/>
      <c r="V773" s="42"/>
      <c r="W773" s="42" t="s">
        <v>40</v>
      </c>
      <c r="X773" s="45">
        <v>0.14599999999999999</v>
      </c>
      <c r="Y773" s="46">
        <v>7.4399999999999998E-4</v>
      </c>
      <c r="Z773" s="21">
        <v>4601004329614</v>
      </c>
    </row>
    <row r="774" spans="1:26" ht="12" customHeight="1" outlineLevel="4" x14ac:dyDescent="0.2">
      <c r="A774" s="14" t="s">
        <v>1541</v>
      </c>
      <c r="B774" s="26" t="s">
        <v>1542</v>
      </c>
      <c r="C774" s="52"/>
      <c r="D774" s="55">
        <f t="shared" si="11"/>
        <v>0</v>
      </c>
      <c r="E774" s="63" t="str">
        <f>HYPERLINK("https://www.sds-group.ru/product/rozetka-kolodka-vlagozaschischennaya-s-kryshkoy-2-gnezda-s-z-16a-ip54-kauchuk-chernaya-rexan-111-112/", "Инфо")</f>
        <v>Инфо</v>
      </c>
      <c r="F774" s="16" t="s">
        <v>39</v>
      </c>
      <c r="G774" s="15"/>
      <c r="H774" s="15"/>
      <c r="I774" s="15"/>
      <c r="J774" s="16" t="s">
        <v>100</v>
      </c>
      <c r="K774" s="15" t="s">
        <v>1524</v>
      </c>
      <c r="L774" s="17">
        <v>1</v>
      </c>
      <c r="M774" s="17">
        <v>96</v>
      </c>
      <c r="N774" s="17">
        <v>1</v>
      </c>
      <c r="O774" s="18">
        <v>875.81</v>
      </c>
      <c r="P774" s="18">
        <v>717.88</v>
      </c>
      <c r="Q774" s="18">
        <v>700.65</v>
      </c>
      <c r="R774" s="18">
        <v>574.29999999999995</v>
      </c>
      <c r="S774" s="18">
        <v>595.54999999999995</v>
      </c>
      <c r="T774" s="18">
        <v>488.16</v>
      </c>
      <c r="U774" s="16"/>
      <c r="V774" s="16"/>
      <c r="W774" s="16" t="s">
        <v>40</v>
      </c>
      <c r="X774" s="19">
        <v>0.21099999999999999</v>
      </c>
      <c r="Y774" s="20">
        <v>9.1E-4</v>
      </c>
      <c r="Z774" s="21">
        <v>4601004149977</v>
      </c>
    </row>
    <row r="775" spans="1:26" ht="12" customHeight="1" outlineLevel="4" x14ac:dyDescent="0.2">
      <c r="A775" s="40" t="s">
        <v>1543</v>
      </c>
      <c r="B775" s="75" t="s">
        <v>1544</v>
      </c>
      <c r="C775" s="51"/>
      <c r="D775" s="54">
        <f t="shared" si="11"/>
        <v>0</v>
      </c>
      <c r="E775" s="61" t="str">
        <f>HYPERLINK("https://www.sds-group.ru/product/rozetka-kolodka-vlagozaschischennaya-s-kryshkoy-3-gnezda-kompakt-s-z-16a-ip54-kauchuk-oranzh-111-227/", "Инфо")</f>
        <v>Инфо</v>
      </c>
      <c r="F775" s="42" t="s">
        <v>39</v>
      </c>
      <c r="G775" s="41" t="s">
        <v>40</v>
      </c>
      <c r="H775" s="41"/>
      <c r="I775" s="41"/>
      <c r="J775" s="43">
        <v>1</v>
      </c>
      <c r="K775" s="41" t="s">
        <v>1519</v>
      </c>
      <c r="L775" s="43">
        <v>5</v>
      </c>
      <c r="M775" s="43">
        <v>25</v>
      </c>
      <c r="N775" s="43">
        <v>5</v>
      </c>
      <c r="O775" s="44">
        <v>644.98</v>
      </c>
      <c r="P775" s="44">
        <v>528.66999999999996</v>
      </c>
      <c r="Q775" s="44">
        <v>515.98</v>
      </c>
      <c r="R775" s="44">
        <v>422.93</v>
      </c>
      <c r="S775" s="44">
        <v>438.59</v>
      </c>
      <c r="T775" s="44">
        <v>359.5</v>
      </c>
      <c r="U775" s="42"/>
      <c r="V775" s="42"/>
      <c r="W775" s="42" t="s">
        <v>40</v>
      </c>
      <c r="X775" s="45">
        <v>0.192</v>
      </c>
      <c r="Y775" s="46">
        <v>9.41E-4</v>
      </c>
      <c r="Z775" s="21">
        <v>4601004329638</v>
      </c>
    </row>
    <row r="776" spans="1:26" ht="12" customHeight="1" outlineLevel="4" x14ac:dyDescent="0.2">
      <c r="A776" s="40" t="s">
        <v>1545</v>
      </c>
      <c r="B776" s="75" t="s">
        <v>1546</v>
      </c>
      <c r="C776" s="51"/>
      <c r="D776" s="54">
        <f t="shared" si="11"/>
        <v>0</v>
      </c>
      <c r="E776" s="61" t="str">
        <f>HYPERLINK("https://www.sds-group.ru/product/rozetka-kolodka-vlagozaschischennaya-s-kryshkoy-3-gnezda-kompakt-s-z-16a-ip54-kauchuk-cherna-111-223/", "Инфо")</f>
        <v>Инфо</v>
      </c>
      <c r="F776" s="42" t="s">
        <v>39</v>
      </c>
      <c r="G776" s="41" t="s">
        <v>40</v>
      </c>
      <c r="H776" s="41"/>
      <c r="I776" s="41"/>
      <c r="J776" s="42" t="s">
        <v>100</v>
      </c>
      <c r="K776" s="41" t="s">
        <v>1547</v>
      </c>
      <c r="L776" s="43">
        <v>5</v>
      </c>
      <c r="M776" s="43">
        <v>25</v>
      </c>
      <c r="N776" s="43">
        <v>5</v>
      </c>
      <c r="O776" s="44">
        <v>556.97</v>
      </c>
      <c r="P776" s="44">
        <v>456.53</v>
      </c>
      <c r="Q776" s="44">
        <v>445.58</v>
      </c>
      <c r="R776" s="44">
        <v>365.23</v>
      </c>
      <c r="S776" s="44">
        <v>378.74</v>
      </c>
      <c r="T776" s="44">
        <v>310.44</v>
      </c>
      <c r="U776" s="42"/>
      <c r="V776" s="42"/>
      <c r="W776" s="42" t="s">
        <v>40</v>
      </c>
      <c r="X776" s="45">
        <v>0.191</v>
      </c>
      <c r="Y776" s="46">
        <v>9.1E-4</v>
      </c>
      <c r="Z776" s="21">
        <v>4601004329584</v>
      </c>
    </row>
    <row r="777" spans="1:26" ht="12" customHeight="1" outlineLevel="4" x14ac:dyDescent="0.2">
      <c r="A777" s="14" t="s">
        <v>1548</v>
      </c>
      <c r="B777" s="26" t="s">
        <v>1549</v>
      </c>
      <c r="C777" s="52"/>
      <c r="D777" s="55">
        <f t="shared" ref="D777:D840" si="12">C777*(O777-O777*$G$3)</f>
        <v>0</v>
      </c>
      <c r="E777" s="63" t="str">
        <f>HYPERLINK("https://www.sds-group.ru/product/rozetka-kolodka-vlagozaschischennaya-s-kryshkoy-3-gnezda-s-z-16a-ip54-kauchuk-zheltaya-rexan-111-126/", "Инфо")</f>
        <v>Инфо</v>
      </c>
      <c r="F777" s="16" t="s">
        <v>39</v>
      </c>
      <c r="G777" s="15"/>
      <c r="H777" s="15"/>
      <c r="I777" s="15"/>
      <c r="J777" s="16" t="s">
        <v>100</v>
      </c>
      <c r="K777" s="15" t="s">
        <v>1550</v>
      </c>
      <c r="L777" s="17">
        <v>1</v>
      </c>
      <c r="M777" s="17">
        <v>84</v>
      </c>
      <c r="N777" s="17">
        <v>1</v>
      </c>
      <c r="O777" s="18">
        <v>1251.02</v>
      </c>
      <c r="P777" s="18">
        <v>1025.43</v>
      </c>
      <c r="Q777" s="18">
        <v>1000.82</v>
      </c>
      <c r="R777" s="18">
        <v>820.34</v>
      </c>
      <c r="S777" s="18">
        <v>850.69</v>
      </c>
      <c r="T777" s="18">
        <v>697.29</v>
      </c>
      <c r="U777" s="16"/>
      <c r="V777" s="16"/>
      <c r="W777" s="16" t="s">
        <v>40</v>
      </c>
      <c r="X777" s="19">
        <v>0.26400000000000001</v>
      </c>
      <c r="Y777" s="20">
        <v>1.023E-3</v>
      </c>
      <c r="Z777" s="21">
        <v>4601004182943</v>
      </c>
    </row>
    <row r="778" spans="1:26" ht="12" customHeight="1" outlineLevel="4" x14ac:dyDescent="0.2">
      <c r="A778" s="14" t="s">
        <v>1551</v>
      </c>
      <c r="B778" s="26" t="s">
        <v>1552</v>
      </c>
      <c r="C778" s="52"/>
      <c r="D778" s="55">
        <f t="shared" si="12"/>
        <v>0</v>
      </c>
      <c r="E778" s="63" t="str">
        <f>HYPERLINK("https://www.sds-group.ru/product/rozetka-kolodka-vlagozaschischennaya-s-kryshkoy-3-gnezda-s-z-16a-ip54-kauchuk-chernaya-rexan-111-113/", "Инфо")</f>
        <v>Инфо</v>
      </c>
      <c r="F778" s="16" t="s">
        <v>39</v>
      </c>
      <c r="G778" s="15"/>
      <c r="H778" s="15"/>
      <c r="I778" s="15"/>
      <c r="J778" s="16" t="s">
        <v>100</v>
      </c>
      <c r="K778" s="15" t="s">
        <v>1524</v>
      </c>
      <c r="L778" s="17">
        <v>1</v>
      </c>
      <c r="M778" s="17">
        <v>84</v>
      </c>
      <c r="N778" s="17">
        <v>1</v>
      </c>
      <c r="O778" s="18">
        <v>882.62</v>
      </c>
      <c r="P778" s="18">
        <v>723.46</v>
      </c>
      <c r="Q778" s="18">
        <v>706.1</v>
      </c>
      <c r="R778" s="18">
        <v>578.77</v>
      </c>
      <c r="S778" s="18">
        <v>600.17999999999995</v>
      </c>
      <c r="T778" s="18">
        <v>491.95</v>
      </c>
      <c r="U778" s="16"/>
      <c r="V778" s="16"/>
      <c r="W778" s="16" t="s">
        <v>40</v>
      </c>
      <c r="X778" s="19">
        <v>0.26400000000000001</v>
      </c>
      <c r="Y778" s="20">
        <v>1.026E-3</v>
      </c>
      <c r="Z778" s="21">
        <v>4601004149991</v>
      </c>
    </row>
    <row r="779" spans="1:26" ht="12" customHeight="1" outlineLevel="4" x14ac:dyDescent="0.2">
      <c r="A779" s="40" t="s">
        <v>1553</v>
      </c>
      <c r="B779" s="75" t="s">
        <v>1554</v>
      </c>
      <c r="C779" s="51"/>
      <c r="D779" s="54">
        <f t="shared" si="12"/>
        <v>0</v>
      </c>
      <c r="E779" s="61" t="str">
        <f>HYPERLINK("https://www.sds-group.ru/product/rozetka-kolodka-vlagozaschischennaya-s-kryshkoy-4-gnezda-kompakt-s-z-16a-ip54-kauchuk-oranzh-111-228/", "Инфо")</f>
        <v>Инфо</v>
      </c>
      <c r="F779" s="42" t="s">
        <v>39</v>
      </c>
      <c r="G779" s="41" t="s">
        <v>40</v>
      </c>
      <c r="H779" s="41"/>
      <c r="I779" s="41"/>
      <c r="J779" s="47">
        <v>3986</v>
      </c>
      <c r="K779" s="41"/>
      <c r="L779" s="43">
        <v>1</v>
      </c>
      <c r="M779" s="43">
        <v>20</v>
      </c>
      <c r="N779" s="43">
        <v>1</v>
      </c>
      <c r="O779" s="44">
        <v>825.88</v>
      </c>
      <c r="P779" s="44">
        <v>676.95</v>
      </c>
      <c r="Q779" s="44">
        <v>660.7</v>
      </c>
      <c r="R779" s="44">
        <v>541.55999999999995</v>
      </c>
      <c r="S779" s="44">
        <v>561.6</v>
      </c>
      <c r="T779" s="44">
        <v>460.33</v>
      </c>
      <c r="U779" s="42"/>
      <c r="V779" s="42"/>
      <c r="W779" s="42" t="s">
        <v>40</v>
      </c>
      <c r="X779" s="45">
        <v>0.24299999999999999</v>
      </c>
      <c r="Y779" s="46">
        <v>1.116E-3</v>
      </c>
      <c r="Z779" s="21">
        <v>4601004329645</v>
      </c>
    </row>
    <row r="780" spans="1:26" ht="12" customHeight="1" outlineLevel="4" x14ac:dyDescent="0.2">
      <c r="A780" s="40" t="s">
        <v>1555</v>
      </c>
      <c r="B780" s="75" t="s">
        <v>1556</v>
      </c>
      <c r="C780" s="51"/>
      <c r="D780" s="54">
        <f t="shared" si="12"/>
        <v>0</v>
      </c>
      <c r="E780" s="61" t="str">
        <f>HYPERLINK("https://www.sds-group.ru/product/rozetka-kolodka-vlagozaschischennaya-s-kryshkoy-4-gnezda-kompakt-s-z-16a-ip54-kauchuk-cherna-111-224/", "Инфо")</f>
        <v>Инфо</v>
      </c>
      <c r="F780" s="42" t="s">
        <v>39</v>
      </c>
      <c r="G780" s="41" t="s">
        <v>40</v>
      </c>
      <c r="H780" s="41"/>
      <c r="I780" s="41"/>
      <c r="J780" s="43">
        <v>458</v>
      </c>
      <c r="K780" s="41" t="s">
        <v>1547</v>
      </c>
      <c r="L780" s="43">
        <v>1</v>
      </c>
      <c r="M780" s="43">
        <v>20</v>
      </c>
      <c r="N780" s="43">
        <v>1</v>
      </c>
      <c r="O780" s="44">
        <v>730.63</v>
      </c>
      <c r="P780" s="44">
        <v>598.88</v>
      </c>
      <c r="Q780" s="44">
        <v>584.5</v>
      </c>
      <c r="R780" s="44">
        <v>479.1</v>
      </c>
      <c r="S780" s="44">
        <v>496.83</v>
      </c>
      <c r="T780" s="44">
        <v>407.24</v>
      </c>
      <c r="U780" s="42"/>
      <c r="V780" s="42"/>
      <c r="W780" s="42" t="s">
        <v>40</v>
      </c>
      <c r="X780" s="45">
        <v>0.24</v>
      </c>
      <c r="Y780" s="46">
        <v>1.1050000000000001E-3</v>
      </c>
      <c r="Z780" s="21">
        <v>4601004329621</v>
      </c>
    </row>
    <row r="781" spans="1:26" ht="12" customHeight="1" outlineLevel="4" x14ac:dyDescent="0.2">
      <c r="A781" s="14" t="s">
        <v>1557</v>
      </c>
      <c r="B781" s="26" t="s">
        <v>1558</v>
      </c>
      <c r="C781" s="52"/>
      <c r="D781" s="55">
        <f t="shared" si="12"/>
        <v>0</v>
      </c>
      <c r="E781" s="63" t="str">
        <f>HYPERLINK("https://www.sds-group.ru/product/rozetka-kolodka-vlagozaschischennaya-s-kryshkoy-4-gnezda-s-z-16a-ip54-kauchuk-chernaya-rexan-111-114/", "Инфо")</f>
        <v>Инфо</v>
      </c>
      <c r="F781" s="16" t="s">
        <v>39</v>
      </c>
      <c r="G781" s="15"/>
      <c r="H781" s="15"/>
      <c r="I781" s="15"/>
      <c r="J781" s="16" t="s">
        <v>100</v>
      </c>
      <c r="K781" s="15" t="s">
        <v>1524</v>
      </c>
      <c r="L781" s="17">
        <v>1</v>
      </c>
      <c r="M781" s="17">
        <v>48</v>
      </c>
      <c r="N781" s="17">
        <v>1</v>
      </c>
      <c r="O781" s="18">
        <v>1211.22</v>
      </c>
      <c r="P781" s="18">
        <v>992.8</v>
      </c>
      <c r="Q781" s="18">
        <v>968.98</v>
      </c>
      <c r="R781" s="18">
        <v>794.25</v>
      </c>
      <c r="S781" s="18">
        <v>823.63</v>
      </c>
      <c r="T781" s="18">
        <v>675.11</v>
      </c>
      <c r="U781" s="16"/>
      <c r="V781" s="16"/>
      <c r="W781" s="16" t="s">
        <v>40</v>
      </c>
      <c r="X781" s="19">
        <v>0.33300000000000002</v>
      </c>
      <c r="Y781" s="20">
        <v>1.8389999999999999E-3</v>
      </c>
      <c r="Z781" s="21">
        <v>4601004150010</v>
      </c>
    </row>
    <row r="782" spans="1:26" ht="12" customHeight="1" outlineLevel="4" x14ac:dyDescent="0.2">
      <c r="A782" s="32" t="s">
        <v>1559</v>
      </c>
      <c r="B782" s="74" t="s">
        <v>1560</v>
      </c>
      <c r="C782" s="50"/>
      <c r="D782" s="53">
        <f t="shared" si="12"/>
        <v>0</v>
      </c>
      <c r="E782" s="60" t="str">
        <f>HYPERLINK("https://www.sds-group.ru/product/rozetka-vlagozaschischennaya-nastennaya-s-kryshkoy-1-gnezdo-3r-re-32a-ip44-kauchuk-chernaya--111-007/", "Инфо")</f>
        <v>Инфо</v>
      </c>
      <c r="F782" s="34" t="s">
        <v>39</v>
      </c>
      <c r="G782" s="33"/>
      <c r="H782" s="33" t="s">
        <v>40</v>
      </c>
      <c r="I782" s="33"/>
      <c r="J782" s="39">
        <v>2183</v>
      </c>
      <c r="K782" s="33"/>
      <c r="L782" s="35">
        <v>1</v>
      </c>
      <c r="M782" s="35">
        <v>48</v>
      </c>
      <c r="N782" s="35">
        <v>1</v>
      </c>
      <c r="O782" s="36">
        <v>961.49</v>
      </c>
      <c r="P782" s="36">
        <v>788.11</v>
      </c>
      <c r="Q782" s="36">
        <v>759.58</v>
      </c>
      <c r="R782" s="36">
        <v>622.61</v>
      </c>
      <c r="S782" s="36">
        <v>653.80999999999995</v>
      </c>
      <c r="T782" s="36">
        <v>535.91</v>
      </c>
      <c r="U782" s="34"/>
      <c r="V782" s="34"/>
      <c r="W782" s="34" t="s">
        <v>40</v>
      </c>
      <c r="X782" s="37">
        <v>0.30399999999999999</v>
      </c>
      <c r="Y782" s="38">
        <v>1.0950000000000001E-3</v>
      </c>
      <c r="Z782" s="21">
        <v>4601004150034</v>
      </c>
    </row>
    <row r="783" spans="1:26" ht="12" customHeight="1" outlineLevel="4" x14ac:dyDescent="0.2">
      <c r="A783" s="14" t="s">
        <v>1561</v>
      </c>
      <c r="B783" s="26" t="s">
        <v>1562</v>
      </c>
      <c r="C783" s="52"/>
      <c r="D783" s="55">
        <f t="shared" si="12"/>
        <v>0</v>
      </c>
      <c r="E783" s="63" t="str">
        <f>HYPERLINK("https://www.sds-group.ru/product/rozetka-vlagozaschischennaya-panelnaya-s-kryshkoy-1-gnezdo-2r-re-s-z-s-u-16a-ip54-seraya-rex-111-008/", "Инфо")</f>
        <v>Инфо</v>
      </c>
      <c r="F783" s="16" t="s">
        <v>39</v>
      </c>
      <c r="G783" s="15"/>
      <c r="H783" s="15"/>
      <c r="I783" s="15"/>
      <c r="J783" s="22">
        <v>4150</v>
      </c>
      <c r="K783" s="15"/>
      <c r="L783" s="17">
        <v>5</v>
      </c>
      <c r="M783" s="17">
        <v>300</v>
      </c>
      <c r="N783" s="17">
        <v>5</v>
      </c>
      <c r="O783" s="18">
        <v>494.12</v>
      </c>
      <c r="P783" s="18">
        <v>405.02</v>
      </c>
      <c r="Q783" s="18">
        <v>420</v>
      </c>
      <c r="R783" s="18">
        <v>344.26</v>
      </c>
      <c r="S783" s="18">
        <v>336</v>
      </c>
      <c r="T783" s="18">
        <v>275.41000000000003</v>
      </c>
      <c r="U783" s="16"/>
      <c r="V783" s="16"/>
      <c r="W783" s="16" t="s">
        <v>40</v>
      </c>
      <c r="X783" s="19">
        <v>5.6000000000000001E-2</v>
      </c>
      <c r="Y783" s="20">
        <v>2.92E-4</v>
      </c>
      <c r="Z783" s="21">
        <v>4601004150058</v>
      </c>
    </row>
    <row r="784" spans="1:26" ht="12" customHeight="1" outlineLevel="4" x14ac:dyDescent="0.2">
      <c r="A784" s="14" t="s">
        <v>1563</v>
      </c>
      <c r="B784" s="26" t="s">
        <v>1564</v>
      </c>
      <c r="C784" s="52"/>
      <c r="D784" s="55">
        <f t="shared" si="12"/>
        <v>0</v>
      </c>
      <c r="E784" s="63" t="str">
        <f>HYPERLINK("https://www.sds-group.ru/product/rozetka-vlagozaschischennaya-perenosnaya-1-gnezdo-s-z-16a-ip20-44-kauchuk-chernaya-rexant-111-005/", "Инфо")</f>
        <v>Инфо</v>
      </c>
      <c r="F784" s="16" t="s">
        <v>39</v>
      </c>
      <c r="G784" s="15"/>
      <c r="H784" s="15"/>
      <c r="I784" s="15"/>
      <c r="J784" s="16" t="s">
        <v>100</v>
      </c>
      <c r="K784" s="15" t="s">
        <v>1550</v>
      </c>
      <c r="L784" s="17">
        <v>5</v>
      </c>
      <c r="M784" s="17">
        <v>150</v>
      </c>
      <c r="N784" s="17">
        <v>5</v>
      </c>
      <c r="O784" s="18">
        <v>382.19</v>
      </c>
      <c r="P784" s="18">
        <v>313.27</v>
      </c>
      <c r="Q784" s="18">
        <v>324.86</v>
      </c>
      <c r="R784" s="18">
        <v>266.27999999999997</v>
      </c>
      <c r="S784" s="18">
        <v>259.89</v>
      </c>
      <c r="T784" s="18">
        <v>213.02</v>
      </c>
      <c r="U784" s="16"/>
      <c r="V784" s="16"/>
      <c r="W784" s="16" t="s">
        <v>40</v>
      </c>
      <c r="X784" s="19">
        <v>7.6999999999999999E-2</v>
      </c>
      <c r="Y784" s="20">
        <v>5.8399999999999999E-4</v>
      </c>
      <c r="Z784" s="21">
        <v>4601004149939</v>
      </c>
    </row>
    <row r="785" spans="1:26" ht="12" customHeight="1" outlineLevel="4" x14ac:dyDescent="0.2">
      <c r="A785" s="32" t="s">
        <v>1565</v>
      </c>
      <c r="B785" s="74" t="s">
        <v>1566</v>
      </c>
      <c r="C785" s="50"/>
      <c r="D785" s="53">
        <f t="shared" si="12"/>
        <v>0</v>
      </c>
      <c r="E785" s="60" t="str">
        <f>HYPERLINK("https://www.sds-group.ru/product/rozetka-vlagozaschischennaya-perenosnaya-s-kryshkoy-1-gnezdo-3r-re-32a-ip44-kauchuk-chernaya-111-012/", "Инфо")</f>
        <v>Инфо</v>
      </c>
      <c r="F785" s="34" t="s">
        <v>39</v>
      </c>
      <c r="G785" s="33"/>
      <c r="H785" s="33" t="s">
        <v>40</v>
      </c>
      <c r="I785" s="33"/>
      <c r="J785" s="35">
        <v>106</v>
      </c>
      <c r="K785" s="33"/>
      <c r="L785" s="35">
        <v>1</v>
      </c>
      <c r="M785" s="35">
        <v>72</v>
      </c>
      <c r="N785" s="35">
        <v>1</v>
      </c>
      <c r="O785" s="36">
        <v>844.33</v>
      </c>
      <c r="P785" s="36">
        <v>692.07</v>
      </c>
      <c r="Q785" s="36">
        <v>675.46</v>
      </c>
      <c r="R785" s="36">
        <v>553.66</v>
      </c>
      <c r="S785" s="36">
        <v>574.14</v>
      </c>
      <c r="T785" s="36">
        <v>470.61</v>
      </c>
      <c r="U785" s="34"/>
      <c r="V785" s="34"/>
      <c r="W785" s="34" t="s">
        <v>40</v>
      </c>
      <c r="X785" s="37">
        <v>0.22</v>
      </c>
      <c r="Y785" s="38">
        <v>1.1689999999999999E-3</v>
      </c>
      <c r="Z785" s="21">
        <v>4601004150096</v>
      </c>
    </row>
    <row r="786" spans="1:26" ht="12" customHeight="1" outlineLevel="4" x14ac:dyDescent="0.2">
      <c r="A786" s="14" t="s">
        <v>1567</v>
      </c>
      <c r="B786" s="26" t="s">
        <v>1568</v>
      </c>
      <c r="C786" s="52"/>
      <c r="D786" s="55">
        <f t="shared" si="12"/>
        <v>0</v>
      </c>
      <c r="E786" s="63" t="str">
        <f>HYPERLINK("https://www.sds-group.ru/product/rozetka-vlagozaschischennaya-perenosnaya-s-kryshkoy-1-gnezdo-s-z-16a-ip44-kauchuk-chernaya-r-111-004/", "Инфо")</f>
        <v>Инфо</v>
      </c>
      <c r="F786" s="16" t="s">
        <v>39</v>
      </c>
      <c r="G786" s="15"/>
      <c r="H786" s="15"/>
      <c r="I786" s="15"/>
      <c r="J786" s="22">
        <v>1141</v>
      </c>
      <c r="K786" s="15" t="s">
        <v>1550</v>
      </c>
      <c r="L786" s="17">
        <v>5</v>
      </c>
      <c r="M786" s="17">
        <v>150</v>
      </c>
      <c r="N786" s="17">
        <v>5</v>
      </c>
      <c r="O786" s="18">
        <v>391.56</v>
      </c>
      <c r="P786" s="18">
        <v>320.95</v>
      </c>
      <c r="Q786" s="18">
        <v>332.83</v>
      </c>
      <c r="R786" s="18">
        <v>272.81</v>
      </c>
      <c r="S786" s="18">
        <v>266.26</v>
      </c>
      <c r="T786" s="18">
        <v>218.25</v>
      </c>
      <c r="U786" s="16"/>
      <c r="V786" s="16"/>
      <c r="W786" s="16" t="s">
        <v>40</v>
      </c>
      <c r="X786" s="19">
        <v>5.1999999999999998E-2</v>
      </c>
      <c r="Y786" s="20">
        <v>3.5399999999999999E-4</v>
      </c>
      <c r="Z786" s="21">
        <v>4601004149915</v>
      </c>
    </row>
    <row r="787" spans="1:26" ht="12" customHeight="1" outlineLevel="4" x14ac:dyDescent="0.2">
      <c r="A787" s="14" t="s">
        <v>1569</v>
      </c>
      <c r="B787" s="26" t="s">
        <v>1570</v>
      </c>
      <c r="C787" s="52"/>
      <c r="D787" s="55">
        <f t="shared" si="12"/>
        <v>0</v>
      </c>
      <c r="E787" s="63" t="str">
        <f>HYPERLINK("https://www.sds-group.ru/product/rozetka-vlagozaschischennaya-perenosnaya-s-kryshkoy-1-gnezdo-s-z-16a-ip54-kauchuk-zheltaya-r-111-122/", "Инфо")</f>
        <v>Инфо</v>
      </c>
      <c r="F787" s="16" t="s">
        <v>39</v>
      </c>
      <c r="G787" s="15"/>
      <c r="H787" s="15"/>
      <c r="I787" s="15"/>
      <c r="J787" s="17">
        <v>422</v>
      </c>
      <c r="K787" s="15" t="s">
        <v>1550</v>
      </c>
      <c r="L787" s="17">
        <v>5</v>
      </c>
      <c r="M787" s="17">
        <v>150</v>
      </c>
      <c r="N787" s="17">
        <v>5</v>
      </c>
      <c r="O787" s="18">
        <v>455.45</v>
      </c>
      <c r="P787" s="18">
        <v>373.32</v>
      </c>
      <c r="Q787" s="18">
        <v>387.13</v>
      </c>
      <c r="R787" s="18">
        <v>317.32</v>
      </c>
      <c r="S787" s="18">
        <v>309.70999999999998</v>
      </c>
      <c r="T787" s="18">
        <v>253.86</v>
      </c>
      <c r="U787" s="16"/>
      <c r="V787" s="16"/>
      <c r="W787" s="16" t="s">
        <v>40</v>
      </c>
      <c r="X787" s="19">
        <v>8.3000000000000004E-2</v>
      </c>
      <c r="Y787" s="20">
        <v>5.7799999999999995E-4</v>
      </c>
      <c r="Z787" s="21">
        <v>4601004182905</v>
      </c>
    </row>
    <row r="788" spans="1:26" ht="12" customHeight="1" outlineLevel="4" x14ac:dyDescent="0.2">
      <c r="A788" s="14" t="s">
        <v>1571</v>
      </c>
      <c r="B788" s="26" t="s">
        <v>1572</v>
      </c>
      <c r="C788" s="52"/>
      <c r="D788" s="55">
        <f t="shared" si="12"/>
        <v>0</v>
      </c>
      <c r="E788" s="63" t="str">
        <f>HYPERLINK("https://www.sds-group.ru/product/rozetka-vlagozaschischennaya-perenosnaya-s-kryshkoy-1-gnezdo-s-z-16a-ip54-kauchuk-oranzhevay-111-123/", "Инфо")</f>
        <v>Инфо</v>
      </c>
      <c r="F788" s="16" t="s">
        <v>39</v>
      </c>
      <c r="G788" s="15"/>
      <c r="H788" s="15"/>
      <c r="I788" s="15"/>
      <c r="J788" s="16" t="s">
        <v>100</v>
      </c>
      <c r="K788" s="15" t="s">
        <v>1550</v>
      </c>
      <c r="L788" s="17">
        <v>5</v>
      </c>
      <c r="M788" s="17">
        <v>150</v>
      </c>
      <c r="N788" s="17">
        <v>5</v>
      </c>
      <c r="O788" s="18">
        <v>391.63</v>
      </c>
      <c r="P788" s="18">
        <v>321.01</v>
      </c>
      <c r="Q788" s="18">
        <v>313.3</v>
      </c>
      <c r="R788" s="18">
        <v>256.8</v>
      </c>
      <c r="S788" s="18">
        <v>266.31</v>
      </c>
      <c r="T788" s="18">
        <v>218.29</v>
      </c>
      <c r="U788" s="16"/>
      <c r="V788" s="16"/>
      <c r="W788" s="16" t="s">
        <v>40</v>
      </c>
      <c r="X788" s="19">
        <v>8.3000000000000004E-2</v>
      </c>
      <c r="Y788" s="20">
        <v>5.8399999999999999E-4</v>
      </c>
      <c r="Z788" s="21">
        <v>4601004182929</v>
      </c>
    </row>
    <row r="789" spans="1:26" ht="12" customHeight="1" outlineLevel="4" x14ac:dyDescent="0.2">
      <c r="A789" s="14" t="s">
        <v>1573</v>
      </c>
      <c r="B789" s="26" t="s">
        <v>1574</v>
      </c>
      <c r="C789" s="52"/>
      <c r="D789" s="55">
        <f t="shared" si="12"/>
        <v>0</v>
      </c>
      <c r="E789" s="63" t="str">
        <f>HYPERLINK("https://www.sds-group.ru/product/rozetka-vlagozaschischennaya-s-kryshkoy-1-gnezdo-s-z-16a-ip54-kauchuk-chernaya-rexant-111-111/", "Инфо")</f>
        <v>Инфо</v>
      </c>
      <c r="F789" s="16" t="s">
        <v>39</v>
      </c>
      <c r="G789" s="15"/>
      <c r="H789" s="15"/>
      <c r="I789" s="15"/>
      <c r="J789" s="16" t="s">
        <v>100</v>
      </c>
      <c r="K789" s="15" t="s">
        <v>1524</v>
      </c>
      <c r="L789" s="17">
        <v>5</v>
      </c>
      <c r="M789" s="17">
        <v>144</v>
      </c>
      <c r="N789" s="17">
        <v>5</v>
      </c>
      <c r="O789" s="18">
        <v>462.89</v>
      </c>
      <c r="P789" s="18">
        <v>379.42</v>
      </c>
      <c r="Q789" s="18">
        <v>370.31</v>
      </c>
      <c r="R789" s="18">
        <v>303.52999999999997</v>
      </c>
      <c r="S789" s="18">
        <v>314.77</v>
      </c>
      <c r="T789" s="18">
        <v>258.01</v>
      </c>
      <c r="U789" s="16"/>
      <c r="V789" s="16"/>
      <c r="W789" s="16" t="s">
        <v>40</v>
      </c>
      <c r="X789" s="19">
        <v>0.1</v>
      </c>
      <c r="Y789" s="20">
        <v>6.0599999999999998E-4</v>
      </c>
      <c r="Z789" s="21">
        <v>4601004149953</v>
      </c>
    </row>
    <row r="790" spans="1:26" ht="12.95" customHeight="1" outlineLevel="2" x14ac:dyDescent="0.2">
      <c r="A790" s="76" t="s">
        <v>1575</v>
      </c>
      <c r="B790" s="76"/>
      <c r="C790" s="77"/>
      <c r="D790" s="58"/>
      <c r="E790" s="68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  <c r="Z790" s="13"/>
    </row>
    <row r="791" spans="1:26" ht="12" customHeight="1" outlineLevel="3" x14ac:dyDescent="0.2">
      <c r="A791" s="14" t="s">
        <v>1576</v>
      </c>
      <c r="B791" s="26" t="s">
        <v>1577</v>
      </c>
      <c r="C791" s="52"/>
      <c r="D791" s="55">
        <f t="shared" si="12"/>
        <v>0</v>
      </c>
      <c r="E791" s="63" t="str">
        <f>HYPERLINK("https://www.sds-group.ru/product/adapter-pitaniya-220v-2-usb-razema-rx-17-rexant-11-6017/", "Инфо")</f>
        <v>Инфо</v>
      </c>
      <c r="F791" s="16" t="s">
        <v>39</v>
      </c>
      <c r="G791" s="15"/>
      <c r="H791" s="15"/>
      <c r="I791" s="15"/>
      <c r="J791" s="17">
        <v>704</v>
      </c>
      <c r="K791" s="15"/>
      <c r="L791" s="17">
        <v>1</v>
      </c>
      <c r="M791" s="17">
        <v>50</v>
      </c>
      <c r="N791" s="17">
        <v>1</v>
      </c>
      <c r="O791" s="18">
        <v>941.47</v>
      </c>
      <c r="P791" s="18">
        <v>771.7</v>
      </c>
      <c r="Q791" s="18">
        <v>659.03</v>
      </c>
      <c r="R791" s="18">
        <v>540.19000000000005</v>
      </c>
      <c r="S791" s="18">
        <v>640.20000000000005</v>
      </c>
      <c r="T791" s="18">
        <v>524.75</v>
      </c>
      <c r="U791" s="16"/>
      <c r="V791" s="16"/>
      <c r="W791" s="16"/>
      <c r="X791" s="19">
        <v>0.112</v>
      </c>
      <c r="Y791" s="20">
        <v>6.4499999999999996E-4</v>
      </c>
      <c r="Z791" s="21">
        <v>4601004099616</v>
      </c>
    </row>
    <row r="792" spans="1:26" ht="12" customHeight="1" outlineLevel="3" x14ac:dyDescent="0.2">
      <c r="A792" s="14" t="s">
        <v>1578</v>
      </c>
      <c r="B792" s="26" t="s">
        <v>1579</v>
      </c>
      <c r="C792" s="52"/>
      <c r="D792" s="55">
        <f t="shared" si="12"/>
        <v>0</v>
      </c>
      <c r="E792" s="63" t="str">
        <f>HYPERLINK("https://www.sds-group.ru/product/adapter-setevoy-16a-s-vyklyuchatelem-zazemleniem-i-zaschitnymi-shtorkami-belyy-rexant-11-1084/", "Инфо")</f>
        <v>Инфо</v>
      </c>
      <c r="F792" s="16" t="s">
        <v>39</v>
      </c>
      <c r="G792" s="15"/>
      <c r="H792" s="15"/>
      <c r="I792" s="15"/>
      <c r="J792" s="16" t="s">
        <v>100</v>
      </c>
      <c r="K792" s="15" t="s">
        <v>1580</v>
      </c>
      <c r="L792" s="17">
        <v>5</v>
      </c>
      <c r="M792" s="17">
        <v>100</v>
      </c>
      <c r="N792" s="17">
        <v>5</v>
      </c>
      <c r="O792" s="18">
        <v>472.18</v>
      </c>
      <c r="P792" s="18">
        <v>387.03</v>
      </c>
      <c r="Q792" s="18">
        <v>330.53</v>
      </c>
      <c r="R792" s="18">
        <v>270.93</v>
      </c>
      <c r="S792" s="18">
        <v>321.08</v>
      </c>
      <c r="T792" s="18">
        <v>263.18</v>
      </c>
      <c r="U792" s="16"/>
      <c r="V792" s="16"/>
      <c r="W792" s="16"/>
      <c r="X792" s="19">
        <v>7.6999999999999999E-2</v>
      </c>
      <c r="Y792" s="20">
        <v>3.1599999999999998E-4</v>
      </c>
      <c r="Z792" s="21">
        <v>4601004285651</v>
      </c>
    </row>
    <row r="793" spans="1:26" ht="12" customHeight="1" outlineLevel="3" x14ac:dyDescent="0.2">
      <c r="A793" s="14" t="s">
        <v>1581</v>
      </c>
      <c r="B793" s="26" t="s">
        <v>1582</v>
      </c>
      <c r="C793" s="52"/>
      <c r="D793" s="55">
        <f t="shared" si="12"/>
        <v>0</v>
      </c>
      <c r="E793" s="63" t="str">
        <f>HYPERLINK("https://www.sds-group.ru/product/dvoynik-elektricheskiy-razvetvitel-16a-s-z-razemy-usb-a-i-usb-c-s-zaschitnymi-shtorkami-bely-11-1253/", "Инфо")</f>
        <v>Инфо</v>
      </c>
      <c r="F793" s="16" t="s">
        <v>39</v>
      </c>
      <c r="G793" s="15"/>
      <c r="H793" s="15"/>
      <c r="I793" s="15"/>
      <c r="J793" s="22">
        <v>2381</v>
      </c>
      <c r="K793" s="15" t="s">
        <v>1055</v>
      </c>
      <c r="L793" s="17">
        <v>1</v>
      </c>
      <c r="M793" s="17">
        <v>24</v>
      </c>
      <c r="N793" s="17">
        <v>1</v>
      </c>
      <c r="O793" s="18">
        <v>1194.92</v>
      </c>
      <c r="P793" s="18">
        <v>979.44</v>
      </c>
      <c r="Q793" s="18">
        <v>836.44</v>
      </c>
      <c r="R793" s="18">
        <v>685.61</v>
      </c>
      <c r="S793" s="18">
        <v>812.55</v>
      </c>
      <c r="T793" s="18">
        <v>666.02</v>
      </c>
      <c r="U793" s="16"/>
      <c r="V793" s="16"/>
      <c r="W793" s="16"/>
      <c r="X793" s="19">
        <v>0.151</v>
      </c>
      <c r="Y793" s="20">
        <v>9.01E-4</v>
      </c>
      <c r="Z793" s="21">
        <v>4601004295643</v>
      </c>
    </row>
    <row r="794" spans="1:26" ht="12" customHeight="1" outlineLevel="3" x14ac:dyDescent="0.2">
      <c r="A794" s="14" t="s">
        <v>1583</v>
      </c>
      <c r="B794" s="26" t="s">
        <v>1584</v>
      </c>
      <c r="C794" s="52"/>
      <c r="D794" s="55">
        <f t="shared" si="12"/>
        <v>0</v>
      </c>
      <c r="E794" s="63" t="str">
        <f>HYPERLINK("https://www.sds-group.ru/product/dvoynik-elektricheskiy-10a-b-z-vertikalnyy-belyy-rexant-11-1074/", "Инфо")</f>
        <v>Инфо</v>
      </c>
      <c r="F794" s="16" t="s">
        <v>39</v>
      </c>
      <c r="G794" s="15"/>
      <c r="H794" s="15"/>
      <c r="I794" s="15"/>
      <c r="J794" s="17">
        <v>321</v>
      </c>
      <c r="K794" s="15"/>
      <c r="L794" s="17">
        <v>5</v>
      </c>
      <c r="M794" s="17">
        <v>100</v>
      </c>
      <c r="N794" s="17">
        <v>5</v>
      </c>
      <c r="O794" s="18">
        <v>224.74</v>
      </c>
      <c r="P794" s="18">
        <v>184.21</v>
      </c>
      <c r="Q794" s="18">
        <v>157.32</v>
      </c>
      <c r="R794" s="18">
        <v>128.94999999999999</v>
      </c>
      <c r="S794" s="18">
        <v>152.82</v>
      </c>
      <c r="T794" s="18">
        <v>125.26</v>
      </c>
      <c r="U794" s="16"/>
      <c r="V794" s="16"/>
      <c r="W794" s="16"/>
      <c r="X794" s="19">
        <v>6.5000000000000002E-2</v>
      </c>
      <c r="Y794" s="20">
        <v>4.2000000000000002E-4</v>
      </c>
      <c r="Z794" s="21">
        <v>4601004097766</v>
      </c>
    </row>
    <row r="795" spans="1:26" ht="12" customHeight="1" outlineLevel="3" x14ac:dyDescent="0.2">
      <c r="A795" s="14" t="s">
        <v>1585</v>
      </c>
      <c r="B795" s="26" t="s">
        <v>1586</v>
      </c>
      <c r="C795" s="52"/>
      <c r="D795" s="55">
        <f t="shared" si="12"/>
        <v>0</v>
      </c>
      <c r="E795" s="63" t="str">
        <f>HYPERLINK("https://www.sds-group.ru/product/dvoynik-elektricheskiy-16a-s-z-vertikalnyy-belyy-rexant-11-1075/", "Инфо")</f>
        <v>Инфо</v>
      </c>
      <c r="F795" s="16" t="s">
        <v>39</v>
      </c>
      <c r="G795" s="15"/>
      <c r="H795" s="15"/>
      <c r="I795" s="15"/>
      <c r="J795" s="16" t="s">
        <v>100</v>
      </c>
      <c r="K795" s="15" t="s">
        <v>1587</v>
      </c>
      <c r="L795" s="17">
        <v>10</v>
      </c>
      <c r="M795" s="17">
        <v>80</v>
      </c>
      <c r="N795" s="17">
        <v>10</v>
      </c>
      <c r="O795" s="18">
        <v>223.8</v>
      </c>
      <c r="P795" s="18">
        <v>183.44</v>
      </c>
      <c r="Q795" s="18">
        <v>190.23</v>
      </c>
      <c r="R795" s="18">
        <v>155.93</v>
      </c>
      <c r="S795" s="18">
        <v>152.18</v>
      </c>
      <c r="T795" s="18">
        <v>124.74</v>
      </c>
      <c r="U795" s="16"/>
      <c r="V795" s="16"/>
      <c r="W795" s="16" t="s">
        <v>40</v>
      </c>
      <c r="X795" s="19">
        <v>6.5000000000000002E-2</v>
      </c>
      <c r="Y795" s="20">
        <v>4.4099999999999999E-4</v>
      </c>
      <c r="Z795" s="21">
        <v>4601004097773</v>
      </c>
    </row>
    <row r="796" spans="1:26" ht="12" customHeight="1" outlineLevel="3" x14ac:dyDescent="0.2">
      <c r="A796" s="14" t="s">
        <v>1588</v>
      </c>
      <c r="B796" s="26" t="s">
        <v>1589</v>
      </c>
      <c r="C796" s="52"/>
      <c r="D796" s="55">
        <f t="shared" si="12"/>
        <v>0</v>
      </c>
      <c r="E796" s="63" t="str">
        <f>HYPERLINK("https://www.sds-group.ru/product/dvoynik-elektricheskiy-16a-s-z-s-vyklyuchatelem-i-zaschitnymi-shtorkami-belyy-rexant-11-1085/", "Инфо")</f>
        <v>Инфо</v>
      </c>
      <c r="F796" s="16" t="s">
        <v>39</v>
      </c>
      <c r="G796" s="15"/>
      <c r="H796" s="15"/>
      <c r="I796" s="15"/>
      <c r="J796" s="17">
        <v>92</v>
      </c>
      <c r="K796" s="15" t="s">
        <v>1590</v>
      </c>
      <c r="L796" s="17">
        <v>5</v>
      </c>
      <c r="M796" s="17">
        <v>100</v>
      </c>
      <c r="N796" s="17">
        <v>5</v>
      </c>
      <c r="O796" s="18">
        <v>472.79</v>
      </c>
      <c r="P796" s="18">
        <v>387.53</v>
      </c>
      <c r="Q796" s="18">
        <v>330.95</v>
      </c>
      <c r="R796" s="18">
        <v>271.27</v>
      </c>
      <c r="S796" s="18">
        <v>321.5</v>
      </c>
      <c r="T796" s="18">
        <v>263.52</v>
      </c>
      <c r="U796" s="16"/>
      <c r="V796" s="16"/>
      <c r="W796" s="16"/>
      <c r="X796" s="19">
        <v>8.7999999999999995E-2</v>
      </c>
      <c r="Y796" s="20">
        <v>5.71E-4</v>
      </c>
      <c r="Z796" s="21">
        <v>4601004285613</v>
      </c>
    </row>
    <row r="797" spans="1:26" ht="12" customHeight="1" outlineLevel="3" x14ac:dyDescent="0.2">
      <c r="A797" s="14" t="s">
        <v>1591</v>
      </c>
      <c r="B797" s="26" t="s">
        <v>1592</v>
      </c>
      <c r="C797" s="52"/>
      <c r="D797" s="55">
        <f t="shared" si="12"/>
        <v>0</v>
      </c>
      <c r="E797" s="63" t="str">
        <f>HYPERLINK("https://www.sds-group.ru/product/dvoynik-elektricheskiy-16a-s-z-i-zaschitnymi-shtorkami-i-2-usb-razema-2-4-a-belyy-rexant-11-1089/", "Инфо")</f>
        <v>Инфо</v>
      </c>
      <c r="F797" s="16" t="s">
        <v>39</v>
      </c>
      <c r="G797" s="15"/>
      <c r="H797" s="15"/>
      <c r="I797" s="15"/>
      <c r="J797" s="22">
        <v>4326</v>
      </c>
      <c r="K797" s="15" t="s">
        <v>1055</v>
      </c>
      <c r="L797" s="17">
        <v>1</v>
      </c>
      <c r="M797" s="17">
        <v>24</v>
      </c>
      <c r="N797" s="17">
        <v>1</v>
      </c>
      <c r="O797" s="18">
        <v>1010.22</v>
      </c>
      <c r="P797" s="18">
        <v>828.05</v>
      </c>
      <c r="Q797" s="18">
        <v>707.15</v>
      </c>
      <c r="R797" s="18">
        <v>579.63</v>
      </c>
      <c r="S797" s="18">
        <v>686.95</v>
      </c>
      <c r="T797" s="18">
        <v>563.07000000000005</v>
      </c>
      <c r="U797" s="16"/>
      <c r="V797" s="16"/>
      <c r="W797" s="16"/>
      <c r="X797" s="19">
        <v>0.15</v>
      </c>
      <c r="Y797" s="20">
        <v>8.3900000000000001E-4</v>
      </c>
      <c r="Z797" s="21">
        <v>4601004199507</v>
      </c>
    </row>
    <row r="798" spans="1:26" ht="12" customHeight="1" outlineLevel="3" x14ac:dyDescent="0.2">
      <c r="A798" s="14" t="s">
        <v>1593</v>
      </c>
      <c r="B798" s="26" t="s">
        <v>1594</v>
      </c>
      <c r="C798" s="52"/>
      <c r="D798" s="55">
        <f t="shared" si="12"/>
        <v>0</v>
      </c>
      <c r="E798" s="63" t="str">
        <f>HYPERLINK("https://www.sds-group.ru/product/dvoynik-elektricheskiy-16a-s-z-i-zaschitnymi-shtorkami-belyy-rexant-11-1087/", "Инфо")</f>
        <v>Инфо</v>
      </c>
      <c r="F798" s="16" t="s">
        <v>39</v>
      </c>
      <c r="G798" s="15"/>
      <c r="H798" s="15"/>
      <c r="I798" s="15"/>
      <c r="J798" s="16" t="s">
        <v>100</v>
      </c>
      <c r="K798" s="15" t="s">
        <v>1055</v>
      </c>
      <c r="L798" s="17">
        <v>5</v>
      </c>
      <c r="M798" s="17">
        <v>60</v>
      </c>
      <c r="N798" s="17">
        <v>5</v>
      </c>
      <c r="O798" s="18">
        <v>490.71</v>
      </c>
      <c r="P798" s="18">
        <v>402.22</v>
      </c>
      <c r="Q798" s="18">
        <v>343.5</v>
      </c>
      <c r="R798" s="18">
        <v>281.56</v>
      </c>
      <c r="S798" s="18">
        <v>333.68</v>
      </c>
      <c r="T798" s="18">
        <v>273.51</v>
      </c>
      <c r="U798" s="16"/>
      <c r="V798" s="16"/>
      <c r="W798" s="16"/>
      <c r="X798" s="19">
        <v>9.1999999999999998E-2</v>
      </c>
      <c r="Y798" s="20">
        <v>4.9200000000000003E-4</v>
      </c>
      <c r="Z798" s="21">
        <v>4601004199538</v>
      </c>
    </row>
    <row r="799" spans="1:26" ht="12" customHeight="1" outlineLevel="3" x14ac:dyDescent="0.2">
      <c r="A799" s="14" t="s">
        <v>1595</v>
      </c>
      <c r="B799" s="26" t="s">
        <v>1596</v>
      </c>
      <c r="C799" s="52"/>
      <c r="D799" s="55">
        <f t="shared" si="12"/>
        <v>0</v>
      </c>
      <c r="E799" s="63" t="str">
        <f>HYPERLINK("https://www.sds-group.ru/product/dvoynik-elektricheskiy-kub-16a-s-z-2-razema-usb-a-2-4a-1-razem-usb-c-3a-s-nochnoy-podsvetkoy-11-1251/", "Инфо")</f>
        <v>Инфо</v>
      </c>
      <c r="F799" s="16" t="s">
        <v>39</v>
      </c>
      <c r="G799" s="15"/>
      <c r="H799" s="15"/>
      <c r="I799" s="15"/>
      <c r="J799" s="22">
        <v>1180</v>
      </c>
      <c r="K799" s="15" t="s">
        <v>1590</v>
      </c>
      <c r="L799" s="17">
        <v>1</v>
      </c>
      <c r="M799" s="17">
        <v>64</v>
      </c>
      <c r="N799" s="17">
        <v>1</v>
      </c>
      <c r="O799" s="18">
        <v>1457.17</v>
      </c>
      <c r="P799" s="18">
        <v>1194.4000000000001</v>
      </c>
      <c r="Q799" s="18">
        <v>1020.02</v>
      </c>
      <c r="R799" s="18">
        <v>836.08</v>
      </c>
      <c r="S799" s="18">
        <v>990.88</v>
      </c>
      <c r="T799" s="18">
        <v>812.2</v>
      </c>
      <c r="U799" s="16"/>
      <c r="V799" s="16"/>
      <c r="W799" s="16"/>
      <c r="X799" s="19">
        <v>0.2</v>
      </c>
      <c r="Y799" s="20">
        <v>8.6899999999999998E-4</v>
      </c>
      <c r="Z799" s="21">
        <v>4601004281226</v>
      </c>
    </row>
    <row r="800" spans="1:26" ht="12" customHeight="1" outlineLevel="3" x14ac:dyDescent="0.2">
      <c r="A800" s="14" t="s">
        <v>1597</v>
      </c>
      <c r="B800" s="26" t="s">
        <v>1598</v>
      </c>
      <c r="C800" s="52"/>
      <c r="D800" s="55">
        <f t="shared" si="12"/>
        <v>0</v>
      </c>
      <c r="E800" s="63" t="str">
        <f>HYPERLINK("https://www.sds-group.ru/product/dvoynik-elektricheskiy-kub-16a-s-z-2-razema-usb-a-2-4a-1-razem-usb-c-3a-s-nochnoy-podsvetkoy-11-1252/", "Инфо")</f>
        <v>Инфо</v>
      </c>
      <c r="F800" s="16" t="s">
        <v>39</v>
      </c>
      <c r="G800" s="15"/>
      <c r="H800" s="15"/>
      <c r="I800" s="15"/>
      <c r="J800" s="22">
        <v>1057</v>
      </c>
      <c r="K800" s="15" t="s">
        <v>1590</v>
      </c>
      <c r="L800" s="17">
        <v>1</v>
      </c>
      <c r="M800" s="17">
        <v>64</v>
      </c>
      <c r="N800" s="17">
        <v>1</v>
      </c>
      <c r="O800" s="18">
        <v>1458.31</v>
      </c>
      <c r="P800" s="18">
        <v>1195.3399999999999</v>
      </c>
      <c r="Q800" s="18">
        <v>1020.82</v>
      </c>
      <c r="R800" s="18">
        <v>836.74</v>
      </c>
      <c r="S800" s="18">
        <v>991.65</v>
      </c>
      <c r="T800" s="18">
        <v>812.83</v>
      </c>
      <c r="U800" s="16"/>
      <c r="V800" s="16"/>
      <c r="W800" s="16"/>
      <c r="X800" s="19">
        <v>0.19800000000000001</v>
      </c>
      <c r="Y800" s="20">
        <v>8.4699999999999999E-4</v>
      </c>
      <c r="Z800" s="21">
        <v>4601004281240</v>
      </c>
    </row>
    <row r="801" spans="1:26" ht="12" customHeight="1" outlineLevel="3" x14ac:dyDescent="0.2">
      <c r="A801" s="14" t="s">
        <v>1599</v>
      </c>
      <c r="B801" s="26" t="s">
        <v>1600</v>
      </c>
      <c r="C801" s="52"/>
      <c r="D801" s="55">
        <f t="shared" si="12"/>
        <v>0</v>
      </c>
      <c r="E801" s="63" t="str">
        <f>HYPERLINK("https://www.sds-group.ru/product/dvoynik-elektricheskiy-lineynyy-16a-s-z-2-usb-razema-2-4a-belyy-rexant-11-1090/", "Инфо")</f>
        <v>Инфо</v>
      </c>
      <c r="F801" s="16" t="s">
        <v>39</v>
      </c>
      <c r="G801" s="15"/>
      <c r="H801" s="15"/>
      <c r="I801" s="15"/>
      <c r="J801" s="17">
        <v>601</v>
      </c>
      <c r="K801" s="15"/>
      <c r="L801" s="17">
        <v>1</v>
      </c>
      <c r="M801" s="17">
        <v>100</v>
      </c>
      <c r="N801" s="17">
        <v>1</v>
      </c>
      <c r="O801" s="18">
        <v>1122.71</v>
      </c>
      <c r="P801" s="18">
        <v>920.25</v>
      </c>
      <c r="Q801" s="18">
        <v>785.9</v>
      </c>
      <c r="R801" s="18">
        <v>644.17999999999995</v>
      </c>
      <c r="S801" s="18">
        <v>763.44</v>
      </c>
      <c r="T801" s="18">
        <v>625.77</v>
      </c>
      <c r="U801" s="16"/>
      <c r="V801" s="16"/>
      <c r="W801" s="16"/>
      <c r="X801" s="19">
        <v>0.109</v>
      </c>
      <c r="Y801" s="20">
        <v>5.5000000000000003E-4</v>
      </c>
      <c r="Z801" s="21">
        <v>4601004252318</v>
      </c>
    </row>
    <row r="802" spans="1:26" ht="12" customHeight="1" outlineLevel="3" x14ac:dyDescent="0.2">
      <c r="A802" s="14" t="s">
        <v>1601</v>
      </c>
      <c r="B802" s="26" t="s">
        <v>1602</v>
      </c>
      <c r="C802" s="52"/>
      <c r="D802" s="55">
        <f t="shared" si="12"/>
        <v>0</v>
      </c>
      <c r="E802" s="63" t="str">
        <f>HYPERLINK("https://www.sds-group.ru/product/troynik-elektricheskiy-6a-b-z-belyy-220-v-rexant-11-1068/", "Инфо")</f>
        <v>Инфо</v>
      </c>
      <c r="F802" s="16" t="s">
        <v>39</v>
      </c>
      <c r="G802" s="15"/>
      <c r="H802" s="15"/>
      <c r="I802" s="15"/>
      <c r="J802" s="17">
        <v>513</v>
      </c>
      <c r="K802" s="15" t="s">
        <v>1408</v>
      </c>
      <c r="L802" s="17">
        <v>10</v>
      </c>
      <c r="M802" s="17">
        <v>50</v>
      </c>
      <c r="N802" s="17">
        <v>10</v>
      </c>
      <c r="O802" s="18">
        <v>174.83</v>
      </c>
      <c r="P802" s="18">
        <v>143.30000000000001</v>
      </c>
      <c r="Q802" s="18">
        <v>148.61000000000001</v>
      </c>
      <c r="R802" s="18">
        <v>121.81</v>
      </c>
      <c r="S802" s="18">
        <v>118.88</v>
      </c>
      <c r="T802" s="18">
        <v>97.44</v>
      </c>
      <c r="U802" s="16"/>
      <c r="V802" s="16"/>
      <c r="W802" s="16" t="s">
        <v>40</v>
      </c>
      <c r="X802" s="19">
        <v>7.2999999999999995E-2</v>
      </c>
      <c r="Y802" s="20">
        <v>3.2200000000000002E-4</v>
      </c>
      <c r="Z802" s="21">
        <v>4601004070554</v>
      </c>
    </row>
    <row r="803" spans="1:26" ht="12" customHeight="1" outlineLevel="3" x14ac:dyDescent="0.2">
      <c r="A803" s="14" t="s">
        <v>1603</v>
      </c>
      <c r="B803" s="26" t="s">
        <v>1604</v>
      </c>
      <c r="C803" s="52"/>
      <c r="D803" s="55">
        <f t="shared" si="12"/>
        <v>0</v>
      </c>
      <c r="E803" s="63" t="str">
        <f>HYPERLINK("https://www.sds-group.ru/product/nabor-dvoynikov-elektricheskih-rexant-16-a-vertikalnie-s-zazemleniem-beliy-2-sht-up-26132/", "Инфо")</f>
        <v>Инфо</v>
      </c>
      <c r="F803" s="16" t="s">
        <v>1001</v>
      </c>
      <c r="G803" s="15"/>
      <c r="H803" s="15"/>
      <c r="I803" s="15"/>
      <c r="J803" s="17">
        <v>167</v>
      </c>
      <c r="K803" s="15"/>
      <c r="L803" s="17">
        <v>5</v>
      </c>
      <c r="M803" s="17">
        <v>25</v>
      </c>
      <c r="N803" s="17">
        <v>5</v>
      </c>
      <c r="O803" s="18">
        <v>560.48</v>
      </c>
      <c r="P803" s="18">
        <v>459.41</v>
      </c>
      <c r="Q803" s="18">
        <v>448.38</v>
      </c>
      <c r="R803" s="18">
        <v>367.52</v>
      </c>
      <c r="S803" s="18">
        <v>381.13</v>
      </c>
      <c r="T803" s="18">
        <v>312.39999999999998</v>
      </c>
      <c r="U803" s="16"/>
      <c r="V803" s="16"/>
      <c r="W803" s="16" t="s">
        <v>40</v>
      </c>
      <c r="X803" s="19">
        <v>0.16200000000000001</v>
      </c>
      <c r="Y803" s="20">
        <v>8.0000000000000004E-4</v>
      </c>
      <c r="Z803" s="21">
        <v>4601004197626</v>
      </c>
    </row>
    <row r="804" spans="1:26" ht="12" customHeight="1" outlineLevel="3" x14ac:dyDescent="0.2">
      <c r="A804" s="14" t="s">
        <v>1605</v>
      </c>
      <c r="B804" s="26" t="s">
        <v>1606</v>
      </c>
      <c r="C804" s="52"/>
      <c r="D804" s="55">
        <f t="shared" si="12"/>
        <v>0</v>
      </c>
      <c r="E804" s="63" t="str">
        <f>HYPERLINK("https://www.sds-group.ru/product/nabor-troynikov-elektricheskih-lineynyh-16a-s-z-vertikalnye-belyy-2-sht-up-rexant-11-1079-2/", "Инфо")</f>
        <v>Инфо</v>
      </c>
      <c r="F804" s="16" t="s">
        <v>1001</v>
      </c>
      <c r="G804" s="15"/>
      <c r="H804" s="15"/>
      <c r="I804" s="15"/>
      <c r="J804" s="17">
        <v>376</v>
      </c>
      <c r="K804" s="15"/>
      <c r="L804" s="17">
        <v>1</v>
      </c>
      <c r="M804" s="17">
        <v>25</v>
      </c>
      <c r="N804" s="17">
        <v>1</v>
      </c>
      <c r="O804" s="18">
        <v>769.53</v>
      </c>
      <c r="P804" s="18">
        <v>630.76</v>
      </c>
      <c r="Q804" s="18">
        <v>615.62</v>
      </c>
      <c r="R804" s="18">
        <v>504.61</v>
      </c>
      <c r="S804" s="18">
        <v>523.28</v>
      </c>
      <c r="T804" s="18">
        <v>428.92</v>
      </c>
      <c r="U804" s="16"/>
      <c r="V804" s="16"/>
      <c r="W804" s="16" t="s">
        <v>40</v>
      </c>
      <c r="X804" s="19">
        <v>0.21099999999999999</v>
      </c>
      <c r="Y804" s="20">
        <v>8.9999999999999998E-4</v>
      </c>
      <c r="Z804" s="21">
        <v>4601004197596</v>
      </c>
    </row>
    <row r="805" spans="1:26" ht="12" customHeight="1" outlineLevel="3" x14ac:dyDescent="0.2">
      <c r="A805" s="32" t="s">
        <v>1607</v>
      </c>
      <c r="B805" s="74" t="s">
        <v>1608</v>
      </c>
      <c r="C805" s="50"/>
      <c r="D805" s="53">
        <f t="shared" si="12"/>
        <v>0</v>
      </c>
      <c r="E805" s="60" t="str">
        <f>HYPERLINK("https://www.sds-group.ru/product/nabor-troynikov-elektricheskih-universalnyh-16a-s-z-odno-gnezdo-belyy-2-sht-up-rexant-11-1080-2/", "Инфо")</f>
        <v>Инфо</v>
      </c>
      <c r="F805" s="34" t="s">
        <v>1001</v>
      </c>
      <c r="G805" s="33"/>
      <c r="H805" s="33" t="s">
        <v>40</v>
      </c>
      <c r="I805" s="33"/>
      <c r="J805" s="35">
        <v>41</v>
      </c>
      <c r="K805" s="33"/>
      <c r="L805" s="35">
        <v>1</v>
      </c>
      <c r="M805" s="35">
        <v>25</v>
      </c>
      <c r="N805" s="35">
        <v>1</v>
      </c>
      <c r="O805" s="36">
        <v>581.38</v>
      </c>
      <c r="P805" s="36">
        <v>476.54</v>
      </c>
      <c r="Q805" s="36">
        <v>465.1</v>
      </c>
      <c r="R805" s="36">
        <v>381.23</v>
      </c>
      <c r="S805" s="36">
        <v>395.34</v>
      </c>
      <c r="T805" s="36">
        <v>324.05</v>
      </c>
      <c r="U805" s="34"/>
      <c r="V805" s="34"/>
      <c r="W805" s="34" t="s">
        <v>40</v>
      </c>
      <c r="X805" s="37">
        <v>0.215</v>
      </c>
      <c r="Y805" s="38">
        <v>6.9999999999999999E-4</v>
      </c>
      <c r="Z805" s="21">
        <v>4601004197602</v>
      </c>
    </row>
    <row r="806" spans="1:26" ht="12" customHeight="1" outlineLevel="3" x14ac:dyDescent="0.2">
      <c r="A806" s="14" t="s">
        <v>1609</v>
      </c>
      <c r="B806" s="26" t="s">
        <v>1610</v>
      </c>
      <c r="C806" s="52"/>
      <c r="D806" s="55">
        <f t="shared" si="12"/>
        <v>0</v>
      </c>
      <c r="E806" s="63" t="str">
        <f>HYPERLINK("https://www.sds-group.ru/product/troynik-elektricheskiy-shar-6a-b-z-belyy-220-v-rexant-11-1063/", "Инфо")</f>
        <v>Инфо</v>
      </c>
      <c r="F806" s="16" t="s">
        <v>39</v>
      </c>
      <c r="G806" s="15"/>
      <c r="H806" s="15"/>
      <c r="I806" s="15"/>
      <c r="J806" s="22">
        <v>1112</v>
      </c>
      <c r="K806" s="15"/>
      <c r="L806" s="17">
        <v>10</v>
      </c>
      <c r="M806" s="17">
        <v>50</v>
      </c>
      <c r="N806" s="17">
        <v>10</v>
      </c>
      <c r="O806" s="18">
        <v>148.47</v>
      </c>
      <c r="P806" s="18">
        <v>121.7</v>
      </c>
      <c r="Q806" s="18">
        <v>126.2</v>
      </c>
      <c r="R806" s="18">
        <v>103.44</v>
      </c>
      <c r="S806" s="18">
        <v>100.96</v>
      </c>
      <c r="T806" s="18">
        <v>82.75</v>
      </c>
      <c r="U806" s="16"/>
      <c r="V806" s="16"/>
      <c r="W806" s="16" t="s">
        <v>40</v>
      </c>
      <c r="X806" s="19">
        <v>5.2999999999999999E-2</v>
      </c>
      <c r="Y806" s="20">
        <v>6.5200000000000002E-4</v>
      </c>
      <c r="Z806" s="21">
        <v>4601004049680</v>
      </c>
    </row>
    <row r="807" spans="1:26" ht="12" customHeight="1" outlineLevel="3" x14ac:dyDescent="0.2">
      <c r="A807" s="14" t="s">
        <v>1611</v>
      </c>
      <c r="B807" s="26" t="s">
        <v>1612</v>
      </c>
      <c r="C807" s="52"/>
      <c r="D807" s="55">
        <f t="shared" si="12"/>
        <v>0</v>
      </c>
      <c r="E807" s="63" t="str">
        <f>HYPERLINK("https://www.sds-group.ru/product/troynik-elektricheskiy-shar-6a-b-z-chernyy-220-v-rexant-11-1063-1/", "Инфо")</f>
        <v>Инфо</v>
      </c>
      <c r="F807" s="16" t="s">
        <v>39</v>
      </c>
      <c r="G807" s="15"/>
      <c r="H807" s="15"/>
      <c r="I807" s="15"/>
      <c r="J807" s="22">
        <v>1491</v>
      </c>
      <c r="K807" s="15"/>
      <c r="L807" s="17">
        <v>10</v>
      </c>
      <c r="M807" s="17">
        <v>50</v>
      </c>
      <c r="N807" s="17">
        <v>10</v>
      </c>
      <c r="O807" s="18">
        <v>148.47</v>
      </c>
      <c r="P807" s="18">
        <v>121.7</v>
      </c>
      <c r="Q807" s="18">
        <v>126.2</v>
      </c>
      <c r="R807" s="18">
        <v>103.44</v>
      </c>
      <c r="S807" s="18">
        <v>100.96</v>
      </c>
      <c r="T807" s="18">
        <v>82.75</v>
      </c>
      <c r="U807" s="16"/>
      <c r="V807" s="16"/>
      <c r="W807" s="16" t="s">
        <v>40</v>
      </c>
      <c r="X807" s="19">
        <v>5.1999999999999998E-2</v>
      </c>
      <c r="Y807" s="20">
        <v>6.5300000000000004E-4</v>
      </c>
      <c r="Z807" s="21">
        <v>4601004049673</v>
      </c>
    </row>
    <row r="808" spans="1:26" ht="12" customHeight="1" outlineLevel="3" x14ac:dyDescent="0.2">
      <c r="A808" s="14" t="s">
        <v>1613</v>
      </c>
      <c r="B808" s="26" t="s">
        <v>1614</v>
      </c>
      <c r="C808" s="52"/>
      <c r="D808" s="55">
        <f t="shared" si="12"/>
        <v>0</v>
      </c>
      <c r="E808" s="63" t="str">
        <f>HYPERLINK("https://www.sds-group.ru/product/troynik-elektricheskiy-10a-b-z-chernyy-rexant-11-1076/", "Инфо")</f>
        <v>Инфо</v>
      </c>
      <c r="F808" s="16" t="s">
        <v>39</v>
      </c>
      <c r="G808" s="15"/>
      <c r="H808" s="15"/>
      <c r="I808" s="15"/>
      <c r="J808" s="17">
        <v>699</v>
      </c>
      <c r="K808" s="15" t="s">
        <v>1266</v>
      </c>
      <c r="L808" s="17">
        <v>5</v>
      </c>
      <c r="M808" s="17">
        <v>100</v>
      </c>
      <c r="N808" s="17">
        <v>5</v>
      </c>
      <c r="O808" s="18">
        <v>148.37</v>
      </c>
      <c r="P808" s="18">
        <v>121.61</v>
      </c>
      <c r="Q808" s="18">
        <v>103.86</v>
      </c>
      <c r="R808" s="18">
        <v>85.13</v>
      </c>
      <c r="S808" s="18">
        <v>100.89</v>
      </c>
      <c r="T808" s="18">
        <v>82.7</v>
      </c>
      <c r="U808" s="16"/>
      <c r="V808" s="16"/>
      <c r="W808" s="16"/>
      <c r="X808" s="19">
        <v>5.3999999999999999E-2</v>
      </c>
      <c r="Y808" s="20">
        <v>4.3199999999999998E-4</v>
      </c>
      <c r="Z808" s="21">
        <v>4601004097780</v>
      </c>
    </row>
    <row r="809" spans="1:26" ht="12" customHeight="1" outlineLevel="3" x14ac:dyDescent="0.2">
      <c r="A809" s="14" t="s">
        <v>1615</v>
      </c>
      <c r="B809" s="26" t="s">
        <v>1616</v>
      </c>
      <c r="C809" s="52"/>
      <c r="D809" s="55">
        <f t="shared" si="12"/>
        <v>0</v>
      </c>
      <c r="E809" s="63" t="str">
        <f>HYPERLINK("https://www.sds-group.ru/product/troynik-elektricheskiy-16a-s-z-s-zaschitnymi-shtorkami-belyy-rexant-11-1088/", "Инфо")</f>
        <v>Инфо</v>
      </c>
      <c r="F809" s="16" t="s">
        <v>39</v>
      </c>
      <c r="G809" s="15"/>
      <c r="H809" s="15"/>
      <c r="I809" s="15"/>
      <c r="J809" s="22">
        <v>5816</v>
      </c>
      <c r="K809" s="15" t="s">
        <v>1055</v>
      </c>
      <c r="L809" s="17">
        <v>1</v>
      </c>
      <c r="M809" s="17">
        <v>24</v>
      </c>
      <c r="N809" s="17">
        <v>1</v>
      </c>
      <c r="O809" s="18">
        <v>621.12</v>
      </c>
      <c r="P809" s="18">
        <v>509.11</v>
      </c>
      <c r="Q809" s="18">
        <v>434.78</v>
      </c>
      <c r="R809" s="18">
        <v>356.38</v>
      </c>
      <c r="S809" s="18">
        <v>422.36</v>
      </c>
      <c r="T809" s="18">
        <v>346.2</v>
      </c>
      <c r="U809" s="16"/>
      <c r="V809" s="16"/>
      <c r="W809" s="16"/>
      <c r="X809" s="19">
        <v>0.13800000000000001</v>
      </c>
      <c r="Y809" s="20">
        <v>8.9499999999999996E-4</v>
      </c>
      <c r="Z809" s="21">
        <v>4601004199514</v>
      </c>
    </row>
    <row r="810" spans="1:26" ht="12" customHeight="1" outlineLevel="3" x14ac:dyDescent="0.2">
      <c r="A810" s="14" t="s">
        <v>1617</v>
      </c>
      <c r="B810" s="26" t="s">
        <v>1618</v>
      </c>
      <c r="C810" s="52"/>
      <c r="D810" s="55">
        <f t="shared" si="12"/>
        <v>0</v>
      </c>
      <c r="E810" s="63" t="str">
        <f>HYPERLINK("https://www.sds-group.ru/product/troynik-elektricheskiy-16a-s-z-2-5ah2-s-vyklyuchatelem-i-zaschitnymi-shtorkami-belyy-rexant-11-1086/", "Инфо")</f>
        <v>Инфо</v>
      </c>
      <c r="F810" s="16" t="s">
        <v>39</v>
      </c>
      <c r="G810" s="15"/>
      <c r="H810" s="15"/>
      <c r="I810" s="15"/>
      <c r="J810" s="17">
        <v>121</v>
      </c>
      <c r="K810" s="15" t="s">
        <v>1580</v>
      </c>
      <c r="L810" s="17">
        <v>5</v>
      </c>
      <c r="M810" s="17">
        <v>100</v>
      </c>
      <c r="N810" s="17">
        <v>5</v>
      </c>
      <c r="O810" s="18">
        <v>434.46</v>
      </c>
      <c r="P810" s="18">
        <v>356.11</v>
      </c>
      <c r="Q810" s="18">
        <v>347.57</v>
      </c>
      <c r="R810" s="18">
        <v>284.89</v>
      </c>
      <c r="S810" s="18">
        <v>295.43</v>
      </c>
      <c r="T810" s="18">
        <v>242.16</v>
      </c>
      <c r="U810" s="16"/>
      <c r="V810" s="16"/>
      <c r="W810" s="16" t="s">
        <v>40</v>
      </c>
      <c r="X810" s="19">
        <v>9.2999999999999999E-2</v>
      </c>
      <c r="Y810" s="20">
        <v>5.4299999999999997E-4</v>
      </c>
      <c r="Z810" s="21">
        <v>4601004285620</v>
      </c>
    </row>
    <row r="811" spans="1:26" ht="12" customHeight="1" outlineLevel="3" x14ac:dyDescent="0.2">
      <c r="A811" s="14" t="s">
        <v>1619</v>
      </c>
      <c r="B811" s="26" t="s">
        <v>1620</v>
      </c>
      <c r="C811" s="52"/>
      <c r="D811" s="55">
        <f t="shared" si="12"/>
        <v>0</v>
      </c>
      <c r="E811" s="63" t="str">
        <f>HYPERLINK("https://www.sds-group.ru/product/troynik-elektricheskiy-16a-s-z-2h2-5a-3-razema-usb-a-2-4a-1-razem-usb-c-3a-belyy-rexant-11-1250/", "Инфо")</f>
        <v>Инфо</v>
      </c>
      <c r="F811" s="16" t="s">
        <v>39</v>
      </c>
      <c r="G811" s="15"/>
      <c r="H811" s="15"/>
      <c r="I811" s="15"/>
      <c r="J811" s="22">
        <v>1302</v>
      </c>
      <c r="K811" s="15"/>
      <c r="L811" s="17">
        <v>1</v>
      </c>
      <c r="M811" s="17">
        <v>64</v>
      </c>
      <c r="N811" s="17">
        <v>1</v>
      </c>
      <c r="O811" s="18">
        <v>1313.16</v>
      </c>
      <c r="P811" s="18">
        <v>1076.3599999999999</v>
      </c>
      <c r="Q811" s="18">
        <v>919.21</v>
      </c>
      <c r="R811" s="18">
        <v>753.45</v>
      </c>
      <c r="S811" s="18">
        <v>892.95</v>
      </c>
      <c r="T811" s="18">
        <v>731.93</v>
      </c>
      <c r="U811" s="16"/>
      <c r="V811" s="16"/>
      <c r="W811" s="16"/>
      <c r="X811" s="19">
        <v>0.16900000000000001</v>
      </c>
      <c r="Y811" s="20">
        <v>7.1299999999999998E-4</v>
      </c>
      <c r="Z811" s="21">
        <v>4601004281257</v>
      </c>
    </row>
    <row r="812" spans="1:26" ht="12" customHeight="1" outlineLevel="3" x14ac:dyDescent="0.2">
      <c r="A812" s="14" t="s">
        <v>1621</v>
      </c>
      <c r="B812" s="26" t="s">
        <v>1622</v>
      </c>
      <c r="C812" s="52"/>
      <c r="D812" s="55">
        <f t="shared" si="12"/>
        <v>0</v>
      </c>
      <c r="E812" s="63" t="str">
        <f>HYPERLINK("https://www.sds-group.ru/product/troynik-elektricheskiy-6a-b-z-belyy-220-v-rexant-11-1081/", "Инфо")</f>
        <v>Инфо</v>
      </c>
      <c r="F812" s="16" t="s">
        <v>39</v>
      </c>
      <c r="G812" s="15"/>
      <c r="H812" s="15"/>
      <c r="I812" s="15"/>
      <c r="J812" s="16" t="s">
        <v>100</v>
      </c>
      <c r="K812" s="15" t="s">
        <v>1381</v>
      </c>
      <c r="L812" s="17">
        <v>5</v>
      </c>
      <c r="M812" s="17">
        <v>120</v>
      </c>
      <c r="N812" s="17">
        <v>5</v>
      </c>
      <c r="O812" s="18">
        <v>172.36</v>
      </c>
      <c r="P812" s="18">
        <v>141.28</v>
      </c>
      <c r="Q812" s="18">
        <v>120.65</v>
      </c>
      <c r="R812" s="18">
        <v>98.89</v>
      </c>
      <c r="S812" s="18">
        <v>117.2</v>
      </c>
      <c r="T812" s="18">
        <v>96.07</v>
      </c>
      <c r="U812" s="16"/>
      <c r="V812" s="16"/>
      <c r="W812" s="16"/>
      <c r="X812" s="19">
        <v>7.2999999999999995E-2</v>
      </c>
      <c r="Y812" s="20">
        <v>2.7799999999999998E-4</v>
      </c>
      <c r="Z812" s="21">
        <v>4601004097834</v>
      </c>
    </row>
    <row r="813" spans="1:26" ht="12" customHeight="1" outlineLevel="3" x14ac:dyDescent="0.2">
      <c r="A813" s="14" t="s">
        <v>1623</v>
      </c>
      <c r="B813" s="26" t="s">
        <v>1622</v>
      </c>
      <c r="C813" s="52"/>
      <c r="D813" s="55">
        <f t="shared" si="12"/>
        <v>0</v>
      </c>
      <c r="E813" s="63" t="str">
        <f>HYPERLINK("https://www.sds-group.ru/product/troynik-elektricheskiy-6a-b-z-belyy-220-v-rexant-11-1064/", "Инфо")</f>
        <v>Инфо</v>
      </c>
      <c r="F813" s="16" t="s">
        <v>39</v>
      </c>
      <c r="G813" s="15"/>
      <c r="H813" s="15"/>
      <c r="I813" s="15"/>
      <c r="J813" s="22">
        <v>1113</v>
      </c>
      <c r="K813" s="15"/>
      <c r="L813" s="17">
        <v>5</v>
      </c>
      <c r="M813" s="17">
        <v>50</v>
      </c>
      <c r="N813" s="17">
        <v>5</v>
      </c>
      <c r="O813" s="18">
        <v>143.38</v>
      </c>
      <c r="P813" s="18">
        <v>117.52</v>
      </c>
      <c r="Q813" s="18">
        <v>100.37</v>
      </c>
      <c r="R813" s="18">
        <v>82.27</v>
      </c>
      <c r="S813" s="18">
        <v>97.5</v>
      </c>
      <c r="T813" s="18">
        <v>79.92</v>
      </c>
      <c r="U813" s="16"/>
      <c r="V813" s="16"/>
      <c r="W813" s="16"/>
      <c r="X813" s="19">
        <v>5.6000000000000001E-2</v>
      </c>
      <c r="Y813" s="20">
        <v>6.1200000000000002E-4</v>
      </c>
      <c r="Z813" s="21">
        <v>4601004049741</v>
      </c>
    </row>
    <row r="814" spans="1:26" ht="12" customHeight="1" outlineLevel="3" x14ac:dyDescent="0.2">
      <c r="A814" s="14" t="s">
        <v>1624</v>
      </c>
      <c r="B814" s="26" t="s">
        <v>1625</v>
      </c>
      <c r="C814" s="52"/>
      <c r="D814" s="55">
        <f t="shared" si="12"/>
        <v>0</v>
      </c>
      <c r="E814" s="63" t="str">
        <f>HYPERLINK("https://www.sds-group.ru/product/troynik-elektricheskiy-6a-b-z-chernyy-220-v-rexant-11-1064-1/", "Инфо")</f>
        <v>Инфо</v>
      </c>
      <c r="F814" s="16" t="s">
        <v>39</v>
      </c>
      <c r="G814" s="15"/>
      <c r="H814" s="15"/>
      <c r="I814" s="15"/>
      <c r="J814" s="17">
        <v>197</v>
      </c>
      <c r="K814" s="15"/>
      <c r="L814" s="17">
        <v>5</v>
      </c>
      <c r="M814" s="17">
        <v>50</v>
      </c>
      <c r="N814" s="17">
        <v>5</v>
      </c>
      <c r="O814" s="18">
        <v>140.78</v>
      </c>
      <c r="P814" s="18">
        <v>115.39</v>
      </c>
      <c r="Q814" s="18">
        <v>98.55</v>
      </c>
      <c r="R814" s="18">
        <v>80.78</v>
      </c>
      <c r="S814" s="18">
        <v>95.73</v>
      </c>
      <c r="T814" s="18">
        <v>78.47</v>
      </c>
      <c r="U814" s="16"/>
      <c r="V814" s="16"/>
      <c r="W814" s="16"/>
      <c r="X814" s="19">
        <v>6.0999999999999999E-2</v>
      </c>
      <c r="Y814" s="20">
        <v>6.29E-4</v>
      </c>
      <c r="Z814" s="21">
        <v>4601004049734</v>
      </c>
    </row>
    <row r="815" spans="1:26" ht="12" customHeight="1" outlineLevel="3" x14ac:dyDescent="0.2">
      <c r="A815" s="14" t="s">
        <v>1626</v>
      </c>
      <c r="B815" s="26" t="s">
        <v>1627</v>
      </c>
      <c r="C815" s="52"/>
      <c r="D815" s="55">
        <f t="shared" si="12"/>
        <v>0</v>
      </c>
      <c r="E815" s="63" t="str">
        <f>HYPERLINK("https://www.sds-group.ru/product/troynik-elektricheskiy-lineynyy-10a-b-z-vertikalnyy-belyy-rexant-11-1078/", "Инфо")</f>
        <v>Инфо</v>
      </c>
      <c r="F815" s="16" t="s">
        <v>39</v>
      </c>
      <c r="G815" s="15"/>
      <c r="H815" s="15"/>
      <c r="I815" s="15"/>
      <c r="J815" s="22">
        <v>2817</v>
      </c>
      <c r="K815" s="15" t="s">
        <v>1004</v>
      </c>
      <c r="L815" s="17">
        <v>5</v>
      </c>
      <c r="M815" s="17">
        <v>100</v>
      </c>
      <c r="N815" s="17">
        <v>5</v>
      </c>
      <c r="O815" s="18">
        <v>229.35</v>
      </c>
      <c r="P815" s="18">
        <v>187.99</v>
      </c>
      <c r="Q815" s="18">
        <v>160.55000000000001</v>
      </c>
      <c r="R815" s="18">
        <v>131.6</v>
      </c>
      <c r="S815" s="18">
        <v>155.96</v>
      </c>
      <c r="T815" s="18">
        <v>127.84</v>
      </c>
      <c r="U815" s="16"/>
      <c r="V815" s="16"/>
      <c r="W815" s="16"/>
      <c r="X815" s="19">
        <v>7.9000000000000001E-2</v>
      </c>
      <c r="Y815" s="20">
        <v>5.4699999999999996E-4</v>
      </c>
      <c r="Z815" s="21">
        <v>4601004097803</v>
      </c>
    </row>
    <row r="816" spans="1:26" ht="12" customHeight="1" outlineLevel="3" x14ac:dyDescent="0.2">
      <c r="A816" s="14" t="s">
        <v>1628</v>
      </c>
      <c r="B816" s="26" t="s">
        <v>1629</v>
      </c>
      <c r="C816" s="52"/>
      <c r="D816" s="55">
        <f t="shared" si="12"/>
        <v>0</v>
      </c>
      <c r="E816" s="63" t="str">
        <f>HYPERLINK("https://www.sds-group.ru/product/troynik-elektricheskiy-lineynyy-16a-s-z-vertikalnyy-belyy-rexant-11-1079/", "Инфо")</f>
        <v>Инфо</v>
      </c>
      <c r="F816" s="16" t="s">
        <v>39</v>
      </c>
      <c r="G816" s="15"/>
      <c r="H816" s="15"/>
      <c r="I816" s="15"/>
      <c r="J816" s="22">
        <v>3248</v>
      </c>
      <c r="K816" s="15" t="s">
        <v>1587</v>
      </c>
      <c r="L816" s="17">
        <v>5</v>
      </c>
      <c r="M816" s="17">
        <v>100</v>
      </c>
      <c r="N816" s="17">
        <v>5</v>
      </c>
      <c r="O816" s="18">
        <v>290.13</v>
      </c>
      <c r="P816" s="18">
        <v>237.81</v>
      </c>
      <c r="Q816" s="18">
        <v>203.09</v>
      </c>
      <c r="R816" s="18">
        <v>166.47</v>
      </c>
      <c r="S816" s="18">
        <v>197.29</v>
      </c>
      <c r="T816" s="18">
        <v>161.71</v>
      </c>
      <c r="U816" s="16"/>
      <c r="V816" s="16"/>
      <c r="W816" s="16"/>
      <c r="X816" s="19">
        <v>9.2999999999999999E-2</v>
      </c>
      <c r="Y816" s="20">
        <v>5.4500000000000002E-4</v>
      </c>
      <c r="Z816" s="21">
        <v>4601004097858</v>
      </c>
    </row>
    <row r="817" spans="1:26" ht="12" customHeight="1" outlineLevel="3" x14ac:dyDescent="0.2">
      <c r="A817" s="14" t="s">
        <v>1630</v>
      </c>
      <c r="B817" s="26" t="s">
        <v>1631</v>
      </c>
      <c r="C817" s="52"/>
      <c r="D817" s="55">
        <f t="shared" si="12"/>
        <v>0</v>
      </c>
      <c r="E817" s="63" t="str">
        <f>HYPERLINK("https://www.sds-group.ru/product/troynik-elektricheskiy-piramida-16a-s-z-belyy-rexant-11-1069/", "Инфо")</f>
        <v>Инфо</v>
      </c>
      <c r="F817" s="16" t="s">
        <v>39</v>
      </c>
      <c r="G817" s="15"/>
      <c r="H817" s="15"/>
      <c r="I817" s="15"/>
      <c r="J817" s="22">
        <v>5800</v>
      </c>
      <c r="K817" s="15" t="s">
        <v>1590</v>
      </c>
      <c r="L817" s="17">
        <v>5</v>
      </c>
      <c r="M817" s="17">
        <v>100</v>
      </c>
      <c r="N817" s="17">
        <v>5</v>
      </c>
      <c r="O817" s="18">
        <v>410.79</v>
      </c>
      <c r="P817" s="18">
        <v>336.71</v>
      </c>
      <c r="Q817" s="18">
        <v>349.17</v>
      </c>
      <c r="R817" s="18">
        <v>286.2</v>
      </c>
      <c r="S817" s="18">
        <v>279.33999999999997</v>
      </c>
      <c r="T817" s="18">
        <v>228.97</v>
      </c>
      <c r="U817" s="16"/>
      <c r="V817" s="16"/>
      <c r="W817" s="16" t="s">
        <v>40</v>
      </c>
      <c r="X817" s="19">
        <v>9.9000000000000005E-2</v>
      </c>
      <c r="Y817" s="20">
        <v>5.8699999999999996E-4</v>
      </c>
      <c r="Z817" s="21">
        <v>4601004246560</v>
      </c>
    </row>
    <row r="818" spans="1:26" ht="12" customHeight="1" outlineLevel="3" x14ac:dyDescent="0.2">
      <c r="A818" s="14" t="s">
        <v>1632</v>
      </c>
      <c r="B818" s="26" t="s">
        <v>1633</v>
      </c>
      <c r="C818" s="52"/>
      <c r="D818" s="55">
        <f t="shared" si="12"/>
        <v>0</v>
      </c>
      <c r="E818" s="63" t="str">
        <f>HYPERLINK("https://www.sds-group.ru/product/troynik-elektricheskiy-retro-16a-b-z-chernyy-karbolit-rexant-11-1082/", "Инфо")</f>
        <v>Инфо</v>
      </c>
      <c r="F818" s="16" t="s">
        <v>39</v>
      </c>
      <c r="G818" s="15"/>
      <c r="H818" s="15"/>
      <c r="I818" s="15"/>
      <c r="J818" s="16" t="s">
        <v>100</v>
      </c>
      <c r="K818" s="15" t="s">
        <v>922</v>
      </c>
      <c r="L818" s="17">
        <v>10</v>
      </c>
      <c r="M818" s="17">
        <v>120</v>
      </c>
      <c r="N818" s="17">
        <v>10</v>
      </c>
      <c r="O818" s="18">
        <v>133.16</v>
      </c>
      <c r="P818" s="18">
        <v>109.15</v>
      </c>
      <c r="Q818" s="18">
        <v>93.21</v>
      </c>
      <c r="R818" s="18">
        <v>76.400000000000006</v>
      </c>
      <c r="S818" s="18">
        <v>90.55</v>
      </c>
      <c r="T818" s="18">
        <v>74.22</v>
      </c>
      <c r="U818" s="16"/>
      <c r="V818" s="16"/>
      <c r="W818" s="16"/>
      <c r="X818" s="19">
        <v>0.09</v>
      </c>
      <c r="Y818" s="20">
        <v>3.8499999999999998E-4</v>
      </c>
      <c r="Z818" s="21">
        <v>4601004246546</v>
      </c>
    </row>
    <row r="819" spans="1:26" ht="12" customHeight="1" outlineLevel="3" x14ac:dyDescent="0.2">
      <c r="A819" s="14" t="s">
        <v>1634</v>
      </c>
      <c r="B819" s="26" t="s">
        <v>1635</v>
      </c>
      <c r="C819" s="52"/>
      <c r="D819" s="55">
        <f t="shared" si="12"/>
        <v>0</v>
      </c>
      <c r="E819" s="63" t="str">
        <f>HYPERLINK("https://www.sds-group.ru/product/troynik-elektricheskiy-universalnyy-16a-odno-gnezdo-s-z-chernyy-rexant-11-1083/", "Инфо")</f>
        <v>Инфо</v>
      </c>
      <c r="F819" s="16" t="s">
        <v>39</v>
      </c>
      <c r="G819" s="15"/>
      <c r="H819" s="15"/>
      <c r="I819" s="15"/>
      <c r="J819" s="16" t="s">
        <v>100</v>
      </c>
      <c r="K819" s="15" t="s">
        <v>1004</v>
      </c>
      <c r="L819" s="17">
        <v>5</v>
      </c>
      <c r="M819" s="17">
        <v>100</v>
      </c>
      <c r="N819" s="17">
        <v>5</v>
      </c>
      <c r="O819" s="18">
        <v>179.6</v>
      </c>
      <c r="P819" s="18">
        <v>147.21</v>
      </c>
      <c r="Q819" s="18">
        <v>125.72</v>
      </c>
      <c r="R819" s="18">
        <v>103.05</v>
      </c>
      <c r="S819" s="18">
        <v>122.13</v>
      </c>
      <c r="T819" s="18">
        <v>100.11</v>
      </c>
      <c r="U819" s="16"/>
      <c r="V819" s="16"/>
      <c r="W819" s="16"/>
      <c r="X819" s="19">
        <v>5.7000000000000002E-2</v>
      </c>
      <c r="Y819" s="20">
        <v>4.3199999999999998E-4</v>
      </c>
      <c r="Z819" s="21">
        <v>4601004252332</v>
      </c>
    </row>
    <row r="820" spans="1:26" ht="12" customHeight="1" outlineLevel="3" x14ac:dyDescent="0.2">
      <c r="A820" s="14" t="s">
        <v>1636</v>
      </c>
      <c r="B820" s="26" t="s">
        <v>1637</v>
      </c>
      <c r="C820" s="52"/>
      <c r="D820" s="55">
        <f t="shared" si="12"/>
        <v>0</v>
      </c>
      <c r="E820" s="63" t="str">
        <f>HYPERLINK("https://www.sds-group.ru/product/troynik-elektricheskiy-universalnyy-16a-odno-gnezdo-s-z-belyy-rexant-11-1080/", "Инфо")</f>
        <v>Инфо</v>
      </c>
      <c r="F820" s="16" t="s">
        <v>39</v>
      </c>
      <c r="G820" s="15"/>
      <c r="H820" s="15"/>
      <c r="I820" s="15"/>
      <c r="J820" s="22">
        <v>5273</v>
      </c>
      <c r="K820" s="15" t="s">
        <v>1587</v>
      </c>
      <c r="L820" s="17">
        <v>5</v>
      </c>
      <c r="M820" s="17">
        <v>100</v>
      </c>
      <c r="N820" s="17">
        <v>5</v>
      </c>
      <c r="O820" s="18">
        <v>249.86</v>
      </c>
      <c r="P820" s="18">
        <v>204.8</v>
      </c>
      <c r="Q820" s="18">
        <v>174.9</v>
      </c>
      <c r="R820" s="18">
        <v>143.36000000000001</v>
      </c>
      <c r="S820" s="18">
        <v>169.9</v>
      </c>
      <c r="T820" s="18">
        <v>139.26</v>
      </c>
      <c r="U820" s="16"/>
      <c r="V820" s="16"/>
      <c r="W820" s="16"/>
      <c r="X820" s="19">
        <v>5.8999999999999997E-2</v>
      </c>
      <c r="Y820" s="20">
        <v>4.0700000000000003E-4</v>
      </c>
      <c r="Z820" s="21">
        <v>4601004097827</v>
      </c>
    </row>
    <row r="821" spans="1:26" ht="12" customHeight="1" outlineLevel="3" x14ac:dyDescent="0.2">
      <c r="A821" s="14" t="s">
        <v>1638</v>
      </c>
      <c r="B821" s="26" t="s">
        <v>1639</v>
      </c>
      <c r="C821" s="52"/>
      <c r="D821" s="55">
        <f t="shared" si="12"/>
        <v>0</v>
      </c>
      <c r="E821" s="63" t="str">
        <f>HYPERLINK("https://www.sds-group.ru/product/troynik-elektricheskiy-10a-b-z-belyy-rexant-11-1077/", "Инфо")</f>
        <v>Инфо</v>
      </c>
      <c r="F821" s="16" t="s">
        <v>39</v>
      </c>
      <c r="G821" s="15"/>
      <c r="H821" s="15"/>
      <c r="I821" s="15"/>
      <c r="J821" s="17">
        <v>979</v>
      </c>
      <c r="K821" s="15" t="s">
        <v>1004</v>
      </c>
      <c r="L821" s="17">
        <v>5</v>
      </c>
      <c r="M821" s="17">
        <v>100</v>
      </c>
      <c r="N821" s="17">
        <v>5</v>
      </c>
      <c r="O821" s="18">
        <v>157.38</v>
      </c>
      <c r="P821" s="18">
        <v>129</v>
      </c>
      <c r="Q821" s="18">
        <v>110.17</v>
      </c>
      <c r="R821" s="18">
        <v>90.3</v>
      </c>
      <c r="S821" s="18">
        <v>107.02</v>
      </c>
      <c r="T821" s="18">
        <v>87.72</v>
      </c>
      <c r="U821" s="16"/>
      <c r="V821" s="16"/>
      <c r="W821" s="16"/>
      <c r="X821" s="19">
        <v>5.5E-2</v>
      </c>
      <c r="Y821" s="20">
        <v>4.4000000000000002E-4</v>
      </c>
      <c r="Z821" s="21">
        <v>4601004097797</v>
      </c>
    </row>
    <row r="822" spans="1:26" ht="12" customHeight="1" outlineLevel="3" x14ac:dyDescent="0.2">
      <c r="A822" s="14" t="s">
        <v>1640</v>
      </c>
      <c r="B822" s="26" t="s">
        <v>1641</v>
      </c>
      <c r="C822" s="52"/>
      <c r="D822" s="55">
        <f t="shared" si="12"/>
        <v>0</v>
      </c>
      <c r="E822" s="63" t="str">
        <f>HYPERLINK("https://www.sds-group.ru/product/chetvernik-elektricheskiy-16a-s-z-belyy-rexant-11-1073/", "Инфо")</f>
        <v>Инфо</v>
      </c>
      <c r="F822" s="16" t="s">
        <v>39</v>
      </c>
      <c r="G822" s="15"/>
      <c r="H822" s="15"/>
      <c r="I822" s="15"/>
      <c r="J822" s="22">
        <v>1022</v>
      </c>
      <c r="K822" s="15" t="s">
        <v>1590</v>
      </c>
      <c r="L822" s="17">
        <v>5</v>
      </c>
      <c r="M822" s="17">
        <v>60</v>
      </c>
      <c r="N822" s="17">
        <v>5</v>
      </c>
      <c r="O822" s="18">
        <v>453.56</v>
      </c>
      <c r="P822" s="18">
        <v>371.77</v>
      </c>
      <c r="Q822" s="18">
        <v>362.85</v>
      </c>
      <c r="R822" s="18">
        <v>297.42</v>
      </c>
      <c r="S822" s="18">
        <v>308.42</v>
      </c>
      <c r="T822" s="18">
        <v>252.8</v>
      </c>
      <c r="U822" s="16"/>
      <c r="V822" s="16"/>
      <c r="W822" s="16" t="s">
        <v>40</v>
      </c>
      <c r="X822" s="19">
        <v>0.13500000000000001</v>
      </c>
      <c r="Y822" s="20">
        <v>8.1599999999999999E-4</v>
      </c>
      <c r="Z822" s="21">
        <v>4601004097759</v>
      </c>
    </row>
    <row r="823" spans="1:26" ht="12" customHeight="1" outlineLevel="3" x14ac:dyDescent="0.2">
      <c r="A823" s="14" t="s">
        <v>1642</v>
      </c>
      <c r="B823" s="26" t="s">
        <v>1643</v>
      </c>
      <c r="C823" s="52"/>
      <c r="D823" s="55">
        <f t="shared" si="12"/>
        <v>0</v>
      </c>
      <c r="E823" s="63" t="str">
        <f>HYPERLINK("https://www.sds-group.ru/product/chetvernik-elektricheskiy-6a-b-z-belyy-11-1072/", "Инфо")</f>
        <v>Инфо</v>
      </c>
      <c r="F823" s="16" t="s">
        <v>39</v>
      </c>
      <c r="G823" s="15"/>
      <c r="H823" s="15"/>
      <c r="I823" s="15"/>
      <c r="J823" s="16" t="s">
        <v>100</v>
      </c>
      <c r="K823" s="15" t="s">
        <v>1408</v>
      </c>
      <c r="L823" s="17">
        <v>5</v>
      </c>
      <c r="M823" s="17">
        <v>54</v>
      </c>
      <c r="N823" s="17">
        <v>5</v>
      </c>
      <c r="O823" s="18">
        <v>427.77</v>
      </c>
      <c r="P823" s="18">
        <v>350.63</v>
      </c>
      <c r="Q823" s="18">
        <v>299.44</v>
      </c>
      <c r="R823" s="18">
        <v>245.44</v>
      </c>
      <c r="S823" s="18">
        <v>290.88</v>
      </c>
      <c r="T823" s="18">
        <v>238.43</v>
      </c>
      <c r="U823" s="16"/>
      <c r="V823" s="16"/>
      <c r="W823" s="16"/>
      <c r="X823" s="19">
        <v>9.7000000000000003E-2</v>
      </c>
      <c r="Y823" s="20">
        <v>5.4000000000000001E-4</v>
      </c>
      <c r="Z823" s="21">
        <v>4601004302617</v>
      </c>
    </row>
    <row r="824" spans="1:26" ht="12.95" customHeight="1" outlineLevel="1" x14ac:dyDescent="0.2">
      <c r="A824" s="78" t="s">
        <v>1644</v>
      </c>
      <c r="B824" s="78"/>
      <c r="C824" s="79"/>
      <c r="D824" s="57"/>
      <c r="E824" s="67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</row>
    <row r="825" spans="1:26" ht="12.95" customHeight="1" outlineLevel="2" x14ac:dyDescent="0.2">
      <c r="A825" s="76" t="s">
        <v>1645</v>
      </c>
      <c r="B825" s="76"/>
      <c r="C825" s="77"/>
      <c r="D825" s="58"/>
      <c r="E825" s="68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  <c r="Z825" s="13"/>
    </row>
    <row r="826" spans="1:26" ht="12" customHeight="1" outlineLevel="3" x14ac:dyDescent="0.2">
      <c r="A826" s="14" t="s">
        <v>1646</v>
      </c>
      <c r="B826" s="26" t="s">
        <v>1647</v>
      </c>
      <c r="C826" s="52"/>
      <c r="D826" s="55">
        <f t="shared" si="12"/>
        <v>0</v>
      </c>
      <c r="E826" s="63" t="str">
        <f>HYPERLINK("https://www.sds-group.ru/product/vilka-013-perenosnaya-2r-re-16a-220v-ip44-rexant-11-8900/", "Инфо")</f>
        <v>Инфо</v>
      </c>
      <c r="F826" s="16" t="s">
        <v>39</v>
      </c>
      <c r="G826" s="15"/>
      <c r="H826" s="15"/>
      <c r="I826" s="15"/>
      <c r="J826" s="16" t="s">
        <v>100</v>
      </c>
      <c r="K826" s="15" t="s">
        <v>210</v>
      </c>
      <c r="L826" s="17">
        <v>5</v>
      </c>
      <c r="M826" s="17">
        <v>100</v>
      </c>
      <c r="N826" s="17">
        <v>5</v>
      </c>
      <c r="O826" s="18">
        <v>270.81</v>
      </c>
      <c r="P826" s="18">
        <v>221.98</v>
      </c>
      <c r="Q826" s="18">
        <v>230.19</v>
      </c>
      <c r="R826" s="18">
        <v>188.68</v>
      </c>
      <c r="S826" s="18">
        <v>184.15</v>
      </c>
      <c r="T826" s="18">
        <v>150.94</v>
      </c>
      <c r="U826" s="16"/>
      <c r="V826" s="16"/>
      <c r="W826" s="16" t="s">
        <v>40</v>
      </c>
      <c r="X826" s="19">
        <v>0.109</v>
      </c>
      <c r="Y826" s="20">
        <v>4.06E-4</v>
      </c>
      <c r="Z826" s="21">
        <v>4601004069350</v>
      </c>
    </row>
    <row r="827" spans="1:26" ht="12" customHeight="1" outlineLevel="3" x14ac:dyDescent="0.2">
      <c r="A827" s="14" t="s">
        <v>1648</v>
      </c>
      <c r="B827" s="26" t="s">
        <v>1649</v>
      </c>
      <c r="C827" s="52"/>
      <c r="D827" s="55">
        <f t="shared" si="12"/>
        <v>0</v>
      </c>
      <c r="E827" s="63" t="str">
        <f>HYPERLINK("https://www.sds-group.ru/product/vilka-014-perenosnaya-3r-re-16a-380v-ip44-rexant-11-8901/", "Инфо")</f>
        <v>Инфо</v>
      </c>
      <c r="F827" s="16" t="s">
        <v>39</v>
      </c>
      <c r="G827" s="15"/>
      <c r="H827" s="15"/>
      <c r="I827" s="15"/>
      <c r="J827" s="16" t="s">
        <v>100</v>
      </c>
      <c r="K827" s="15" t="s">
        <v>1650</v>
      </c>
      <c r="L827" s="17">
        <v>5</v>
      </c>
      <c r="M827" s="17">
        <v>100</v>
      </c>
      <c r="N827" s="17">
        <v>5</v>
      </c>
      <c r="O827" s="18">
        <v>295.55</v>
      </c>
      <c r="P827" s="18">
        <v>242.25</v>
      </c>
      <c r="Q827" s="18">
        <v>251.22</v>
      </c>
      <c r="R827" s="18">
        <v>205.92</v>
      </c>
      <c r="S827" s="18">
        <v>200.97</v>
      </c>
      <c r="T827" s="18">
        <v>164.73</v>
      </c>
      <c r="U827" s="16"/>
      <c r="V827" s="16"/>
      <c r="W827" s="16" t="s">
        <v>40</v>
      </c>
      <c r="X827" s="19">
        <v>0.11799999999999999</v>
      </c>
      <c r="Y827" s="20">
        <v>4.0499999999999998E-4</v>
      </c>
      <c r="Z827" s="21">
        <v>4601004069091</v>
      </c>
    </row>
    <row r="828" spans="1:26" ht="12" customHeight="1" outlineLevel="3" x14ac:dyDescent="0.2">
      <c r="A828" s="14" t="s">
        <v>1651</v>
      </c>
      <c r="B828" s="26" t="s">
        <v>1652</v>
      </c>
      <c r="C828" s="52"/>
      <c r="D828" s="55">
        <f t="shared" si="12"/>
        <v>0</v>
      </c>
      <c r="E828" s="63" t="str">
        <f>HYPERLINK("https://www.sds-group.ru/product/vilka-015-perenosnaya-3r-re-n-16a-380v-ip44-rexant-11-8902/", "Инфо")</f>
        <v>Инфо</v>
      </c>
      <c r="F828" s="16" t="s">
        <v>39</v>
      </c>
      <c r="G828" s="15"/>
      <c r="H828" s="15"/>
      <c r="I828" s="15"/>
      <c r="J828" s="16" t="s">
        <v>100</v>
      </c>
      <c r="K828" s="15" t="s">
        <v>1650</v>
      </c>
      <c r="L828" s="17">
        <v>5</v>
      </c>
      <c r="M828" s="17">
        <v>100</v>
      </c>
      <c r="N828" s="17">
        <v>5</v>
      </c>
      <c r="O828" s="18">
        <v>379.8</v>
      </c>
      <c r="P828" s="18">
        <v>311.31</v>
      </c>
      <c r="Q828" s="18">
        <v>322.83</v>
      </c>
      <c r="R828" s="18">
        <v>264.61</v>
      </c>
      <c r="S828" s="18">
        <v>258.26</v>
      </c>
      <c r="T828" s="18">
        <v>211.69</v>
      </c>
      <c r="U828" s="16"/>
      <c r="V828" s="16"/>
      <c r="W828" s="16" t="s">
        <v>40</v>
      </c>
      <c r="X828" s="19">
        <v>0.16</v>
      </c>
      <c r="Y828" s="20">
        <v>6.2500000000000001E-4</v>
      </c>
      <c r="Z828" s="21">
        <v>4601004069107</v>
      </c>
    </row>
    <row r="829" spans="1:26" ht="12" customHeight="1" outlineLevel="3" x14ac:dyDescent="0.2">
      <c r="A829" s="14" t="s">
        <v>1653</v>
      </c>
      <c r="B829" s="26" t="s">
        <v>1654</v>
      </c>
      <c r="C829" s="52"/>
      <c r="D829" s="55">
        <f t="shared" si="12"/>
        <v>0</v>
      </c>
      <c r="E829" s="63" t="str">
        <f>HYPERLINK("https://www.sds-group.ru/product/vilka-023-perenosnaya-2r-re-32a-220v-ip44-rexant-11-8903/", "Инфо")</f>
        <v>Инфо</v>
      </c>
      <c r="F829" s="16" t="s">
        <v>39</v>
      </c>
      <c r="G829" s="15"/>
      <c r="H829" s="15"/>
      <c r="I829" s="15"/>
      <c r="J829" s="16" t="s">
        <v>100</v>
      </c>
      <c r="K829" s="15" t="s">
        <v>1650</v>
      </c>
      <c r="L829" s="17">
        <v>5</v>
      </c>
      <c r="M829" s="17">
        <v>100</v>
      </c>
      <c r="N829" s="17">
        <v>5</v>
      </c>
      <c r="O829" s="18">
        <v>395.4</v>
      </c>
      <c r="P829" s="18">
        <v>324.10000000000002</v>
      </c>
      <c r="Q829" s="18">
        <v>316.32</v>
      </c>
      <c r="R829" s="18">
        <v>259.27999999999997</v>
      </c>
      <c r="S829" s="18">
        <v>268.87</v>
      </c>
      <c r="T829" s="18">
        <v>220.39</v>
      </c>
      <c r="U829" s="16"/>
      <c r="V829" s="16"/>
      <c r="W829" s="16" t="s">
        <v>40</v>
      </c>
      <c r="X829" s="19">
        <v>0.16600000000000001</v>
      </c>
      <c r="Y829" s="20">
        <v>6.6399999999999999E-4</v>
      </c>
      <c r="Z829" s="21">
        <v>4601004069114</v>
      </c>
    </row>
    <row r="830" spans="1:26" ht="12" customHeight="1" outlineLevel="3" x14ac:dyDescent="0.2">
      <c r="A830" s="14" t="s">
        <v>1655</v>
      </c>
      <c r="B830" s="26" t="s">
        <v>1656</v>
      </c>
      <c r="C830" s="52"/>
      <c r="D830" s="55">
        <f t="shared" si="12"/>
        <v>0</v>
      </c>
      <c r="E830" s="63" t="str">
        <f>HYPERLINK("https://www.sds-group.ru/product/vilka-024-perenosnaya-3r-re-32a-380v-ip44-rexant-11-8904/", "Инфо")</f>
        <v>Инфо</v>
      </c>
      <c r="F830" s="16" t="s">
        <v>39</v>
      </c>
      <c r="G830" s="15"/>
      <c r="H830" s="15"/>
      <c r="I830" s="15"/>
      <c r="J830" s="16" t="s">
        <v>100</v>
      </c>
      <c r="K830" s="15" t="s">
        <v>210</v>
      </c>
      <c r="L830" s="17">
        <v>5</v>
      </c>
      <c r="M830" s="17">
        <v>100</v>
      </c>
      <c r="N830" s="17">
        <v>5</v>
      </c>
      <c r="O830" s="18">
        <v>446.8</v>
      </c>
      <c r="P830" s="18">
        <v>366.23</v>
      </c>
      <c r="Q830" s="18">
        <v>357.44</v>
      </c>
      <c r="R830" s="18">
        <v>292.98</v>
      </c>
      <c r="S830" s="18">
        <v>303.82</v>
      </c>
      <c r="T830" s="18">
        <v>249.03</v>
      </c>
      <c r="U830" s="16"/>
      <c r="V830" s="16"/>
      <c r="W830" s="16" t="s">
        <v>40</v>
      </c>
      <c r="X830" s="19">
        <v>0.17799999999999999</v>
      </c>
      <c r="Y830" s="20">
        <v>6.3199999999999997E-4</v>
      </c>
      <c r="Z830" s="21">
        <v>4601004069121</v>
      </c>
    </row>
    <row r="831" spans="1:26" ht="12" customHeight="1" outlineLevel="3" x14ac:dyDescent="0.2">
      <c r="A831" s="14" t="s">
        <v>1657</v>
      </c>
      <c r="B831" s="26" t="s">
        <v>1658</v>
      </c>
      <c r="C831" s="52"/>
      <c r="D831" s="55">
        <f t="shared" si="12"/>
        <v>0</v>
      </c>
      <c r="E831" s="63" t="str">
        <f>HYPERLINK("https://www.sds-group.ru/product/vilka-025-perenosnaya-3r-re-n-32a-380v-ip44-rexant-11-8905/", "Инфо")</f>
        <v>Инфо</v>
      </c>
      <c r="F831" s="16" t="s">
        <v>39</v>
      </c>
      <c r="G831" s="15"/>
      <c r="H831" s="15"/>
      <c r="I831" s="15"/>
      <c r="J831" s="17">
        <v>48</v>
      </c>
      <c r="K831" s="15" t="s">
        <v>1650</v>
      </c>
      <c r="L831" s="17">
        <v>5</v>
      </c>
      <c r="M831" s="17">
        <v>100</v>
      </c>
      <c r="N831" s="17">
        <v>5</v>
      </c>
      <c r="O831" s="18">
        <v>508.66</v>
      </c>
      <c r="P831" s="18">
        <v>416.93</v>
      </c>
      <c r="Q831" s="18">
        <v>406.93</v>
      </c>
      <c r="R831" s="18">
        <v>333.55</v>
      </c>
      <c r="S831" s="18">
        <v>345.89</v>
      </c>
      <c r="T831" s="18">
        <v>283.52</v>
      </c>
      <c r="U831" s="16"/>
      <c r="V831" s="16"/>
      <c r="W831" s="16" t="s">
        <v>40</v>
      </c>
      <c r="X831" s="19">
        <v>0.218</v>
      </c>
      <c r="Y831" s="20">
        <v>8.2399999999999997E-4</v>
      </c>
      <c r="Z831" s="21">
        <v>4601004069138</v>
      </c>
    </row>
    <row r="832" spans="1:26" ht="12" customHeight="1" outlineLevel="3" x14ac:dyDescent="0.2">
      <c r="A832" s="14" t="s">
        <v>1659</v>
      </c>
      <c r="B832" s="26" t="s">
        <v>1660</v>
      </c>
      <c r="C832" s="52"/>
      <c r="D832" s="55">
        <f t="shared" si="12"/>
        <v>0</v>
      </c>
      <c r="E832" s="63" t="str">
        <f>HYPERLINK("https://www.sds-group.ru/product/vilka-vlagozaschischennaya-pryamaya-2p-re-16a-ip68-seraya-rexant-111-013/", "Инфо")</f>
        <v>Инфо</v>
      </c>
      <c r="F832" s="16" t="s">
        <v>39</v>
      </c>
      <c r="G832" s="15"/>
      <c r="H832" s="15"/>
      <c r="I832" s="15"/>
      <c r="J832" s="17">
        <v>22</v>
      </c>
      <c r="K832" s="15" t="s">
        <v>1550</v>
      </c>
      <c r="L832" s="17">
        <v>1</v>
      </c>
      <c r="M832" s="17">
        <v>120</v>
      </c>
      <c r="N832" s="17">
        <v>1</v>
      </c>
      <c r="O832" s="18">
        <v>1556.58</v>
      </c>
      <c r="P832" s="18">
        <v>1275.8900000000001</v>
      </c>
      <c r="Q832" s="18">
        <v>1229.7</v>
      </c>
      <c r="R832" s="18">
        <v>1007.95</v>
      </c>
      <c r="S832" s="18">
        <v>1058.47</v>
      </c>
      <c r="T832" s="18">
        <v>867.6</v>
      </c>
      <c r="U832" s="16"/>
      <c r="V832" s="16"/>
      <c r="W832" s="16" t="s">
        <v>40</v>
      </c>
      <c r="X832" s="19">
        <v>0.191</v>
      </c>
      <c r="Y832" s="20">
        <v>1.4480000000000001E-3</v>
      </c>
      <c r="Z832" s="21">
        <v>4601004182820</v>
      </c>
    </row>
    <row r="833" spans="1:26" ht="12" customHeight="1" outlineLevel="3" x14ac:dyDescent="0.2">
      <c r="A833" s="14" t="s">
        <v>1661</v>
      </c>
      <c r="B833" s="26" t="s">
        <v>1662</v>
      </c>
      <c r="C833" s="52"/>
      <c r="D833" s="55">
        <f t="shared" si="12"/>
        <v>0</v>
      </c>
      <c r="E833" s="63" t="str">
        <f>HYPERLINK("https://www.sds-group.ru/product/rozetka-113-statsionarnaya-2r-re-16a-220v-ip44-rexant-11-8909/", "Инфо")</f>
        <v>Инфо</v>
      </c>
      <c r="F833" s="16" t="s">
        <v>39</v>
      </c>
      <c r="G833" s="15"/>
      <c r="H833" s="15"/>
      <c r="I833" s="15"/>
      <c r="J833" s="17">
        <v>426</v>
      </c>
      <c r="K833" s="15" t="s">
        <v>210</v>
      </c>
      <c r="L833" s="17">
        <v>5</v>
      </c>
      <c r="M833" s="17">
        <v>100</v>
      </c>
      <c r="N833" s="17">
        <v>5</v>
      </c>
      <c r="O833" s="18">
        <v>441.7</v>
      </c>
      <c r="P833" s="18">
        <v>362.05</v>
      </c>
      <c r="Q833" s="18">
        <v>353.36</v>
      </c>
      <c r="R833" s="18">
        <v>289.64</v>
      </c>
      <c r="S833" s="18">
        <v>300.36</v>
      </c>
      <c r="T833" s="18">
        <v>246.2</v>
      </c>
      <c r="U833" s="16"/>
      <c r="V833" s="16"/>
      <c r="W833" s="16" t="s">
        <v>40</v>
      </c>
      <c r="X833" s="19">
        <v>0.17100000000000001</v>
      </c>
      <c r="Y833" s="20">
        <v>8.8699999999999998E-4</v>
      </c>
      <c r="Z833" s="21">
        <v>4601004069282</v>
      </c>
    </row>
    <row r="834" spans="1:26" ht="12" customHeight="1" outlineLevel="3" x14ac:dyDescent="0.2">
      <c r="A834" s="14" t="s">
        <v>1663</v>
      </c>
      <c r="B834" s="26" t="s">
        <v>1664</v>
      </c>
      <c r="C834" s="52"/>
      <c r="D834" s="55">
        <f t="shared" si="12"/>
        <v>0</v>
      </c>
      <c r="E834" s="63" t="str">
        <f>HYPERLINK("https://www.sds-group.ru/product/rozetka-114-statsionarnaya-3r-re-16a-380v-ip44-rexant-11-8910/", "Инфо")</f>
        <v>Инфо</v>
      </c>
      <c r="F834" s="16" t="s">
        <v>39</v>
      </c>
      <c r="G834" s="15"/>
      <c r="H834" s="15"/>
      <c r="I834" s="15"/>
      <c r="J834" s="17">
        <v>64</v>
      </c>
      <c r="K834" s="15" t="s">
        <v>1665</v>
      </c>
      <c r="L834" s="17">
        <v>5</v>
      </c>
      <c r="M834" s="17">
        <v>100</v>
      </c>
      <c r="N834" s="17">
        <v>5</v>
      </c>
      <c r="O834" s="18">
        <v>478.19</v>
      </c>
      <c r="P834" s="18">
        <v>391.96</v>
      </c>
      <c r="Q834" s="18">
        <v>382.55</v>
      </c>
      <c r="R834" s="18">
        <v>313.57</v>
      </c>
      <c r="S834" s="18">
        <v>325.17</v>
      </c>
      <c r="T834" s="18">
        <v>266.52999999999997</v>
      </c>
      <c r="U834" s="16"/>
      <c r="V834" s="16"/>
      <c r="W834" s="16" t="s">
        <v>40</v>
      </c>
      <c r="X834" s="19">
        <v>0.184</v>
      </c>
      <c r="Y834" s="20">
        <v>8.9800000000000004E-4</v>
      </c>
      <c r="Z834" s="21">
        <v>4601004069275</v>
      </c>
    </row>
    <row r="835" spans="1:26" ht="12" customHeight="1" outlineLevel="3" x14ac:dyDescent="0.2">
      <c r="A835" s="14" t="s">
        <v>1666</v>
      </c>
      <c r="B835" s="26" t="s">
        <v>1667</v>
      </c>
      <c r="C835" s="52"/>
      <c r="D835" s="55">
        <f t="shared" si="12"/>
        <v>0</v>
      </c>
      <c r="E835" s="63" t="str">
        <f>HYPERLINK("https://www.sds-group.ru/product/rozetka-115-statsionarnaya-3r-re-n-16a-380v-ip44-rexant-11-8911/", "Инфо")</f>
        <v>Инфо</v>
      </c>
      <c r="F835" s="16" t="s">
        <v>39</v>
      </c>
      <c r="G835" s="15"/>
      <c r="H835" s="15"/>
      <c r="I835" s="15"/>
      <c r="J835" s="17">
        <v>769</v>
      </c>
      <c r="K835" s="15" t="s">
        <v>210</v>
      </c>
      <c r="L835" s="17">
        <v>5</v>
      </c>
      <c r="M835" s="17">
        <v>100</v>
      </c>
      <c r="N835" s="17">
        <v>5</v>
      </c>
      <c r="O835" s="18">
        <v>513.28</v>
      </c>
      <c r="P835" s="18">
        <v>420.72</v>
      </c>
      <c r="Q835" s="18">
        <v>410.62</v>
      </c>
      <c r="R835" s="18">
        <v>336.57</v>
      </c>
      <c r="S835" s="18">
        <v>349.03</v>
      </c>
      <c r="T835" s="18">
        <v>286.08999999999997</v>
      </c>
      <c r="U835" s="16"/>
      <c r="V835" s="16"/>
      <c r="W835" s="16" t="s">
        <v>40</v>
      </c>
      <c r="X835" s="19">
        <v>0.19600000000000001</v>
      </c>
      <c r="Y835" s="20">
        <v>9.6500000000000004E-4</v>
      </c>
      <c r="Z835" s="21">
        <v>4601004069268</v>
      </c>
    </row>
    <row r="836" spans="1:26" ht="12" customHeight="1" outlineLevel="3" x14ac:dyDescent="0.2">
      <c r="A836" s="14" t="s">
        <v>1668</v>
      </c>
      <c r="B836" s="26" t="s">
        <v>1669</v>
      </c>
      <c r="C836" s="52"/>
      <c r="D836" s="55">
        <f t="shared" si="12"/>
        <v>0</v>
      </c>
      <c r="E836" s="63" t="str">
        <f>HYPERLINK("https://www.sds-group.ru/product/rozetka-123-statsionarnaya-2r-re-32a-220v-ip44-rexant-11-8912/", "Инфо")</f>
        <v>Инфо</v>
      </c>
      <c r="F836" s="16" t="s">
        <v>39</v>
      </c>
      <c r="G836" s="15"/>
      <c r="H836" s="15"/>
      <c r="I836" s="15"/>
      <c r="J836" s="16" t="s">
        <v>100</v>
      </c>
      <c r="K836" s="15" t="s">
        <v>210</v>
      </c>
      <c r="L836" s="17">
        <v>5</v>
      </c>
      <c r="M836" s="17">
        <v>100</v>
      </c>
      <c r="N836" s="17">
        <v>5</v>
      </c>
      <c r="O836" s="18">
        <v>503.71</v>
      </c>
      <c r="P836" s="18">
        <v>412.88</v>
      </c>
      <c r="Q836" s="18">
        <v>402.97</v>
      </c>
      <c r="R836" s="18">
        <v>330.3</v>
      </c>
      <c r="S836" s="18">
        <v>342.52</v>
      </c>
      <c r="T836" s="18">
        <v>280.75</v>
      </c>
      <c r="U836" s="16"/>
      <c r="V836" s="16"/>
      <c r="W836" s="16" t="s">
        <v>40</v>
      </c>
      <c r="X836" s="19">
        <v>0.20300000000000001</v>
      </c>
      <c r="Y836" s="20">
        <v>9.7999999999999997E-4</v>
      </c>
      <c r="Z836" s="21">
        <v>4601004069251</v>
      </c>
    </row>
    <row r="837" spans="1:26" ht="12" customHeight="1" outlineLevel="3" x14ac:dyDescent="0.2">
      <c r="A837" s="14" t="s">
        <v>1670</v>
      </c>
      <c r="B837" s="26" t="s">
        <v>1671</v>
      </c>
      <c r="C837" s="52"/>
      <c r="D837" s="55">
        <f t="shared" si="12"/>
        <v>0</v>
      </c>
      <c r="E837" s="63" t="str">
        <f>HYPERLINK("https://www.sds-group.ru/product/rozetka-124-statsionarnaya-3r-re-32a-380v-ip44-rexant-11-8913/", "Инфо")</f>
        <v>Инфо</v>
      </c>
      <c r="F837" s="16" t="s">
        <v>39</v>
      </c>
      <c r="G837" s="15"/>
      <c r="H837" s="15"/>
      <c r="I837" s="15"/>
      <c r="J837" s="16" t="s">
        <v>100</v>
      </c>
      <c r="K837" s="15" t="s">
        <v>1650</v>
      </c>
      <c r="L837" s="17">
        <v>5</v>
      </c>
      <c r="M837" s="17">
        <v>100</v>
      </c>
      <c r="N837" s="17">
        <v>5</v>
      </c>
      <c r="O837" s="18">
        <v>566.33000000000004</v>
      </c>
      <c r="P837" s="18">
        <v>464.2</v>
      </c>
      <c r="Q837" s="18">
        <v>453.06</v>
      </c>
      <c r="R837" s="18">
        <v>371.36</v>
      </c>
      <c r="S837" s="18">
        <v>385.1</v>
      </c>
      <c r="T837" s="18">
        <v>315.66000000000003</v>
      </c>
      <c r="U837" s="16"/>
      <c r="V837" s="16"/>
      <c r="W837" s="16" t="s">
        <v>40</v>
      </c>
      <c r="X837" s="19">
        <v>0.217</v>
      </c>
      <c r="Y837" s="20">
        <v>9.810000000000001E-4</v>
      </c>
      <c r="Z837" s="21">
        <v>4601004069244</v>
      </c>
    </row>
    <row r="838" spans="1:26" ht="12" customHeight="1" outlineLevel="3" x14ac:dyDescent="0.2">
      <c r="A838" s="14" t="s">
        <v>1672</v>
      </c>
      <c r="B838" s="26" t="s">
        <v>1673</v>
      </c>
      <c r="C838" s="52"/>
      <c r="D838" s="55">
        <f t="shared" si="12"/>
        <v>0</v>
      </c>
      <c r="E838" s="63" t="str">
        <f>HYPERLINK("https://www.sds-group.ru/product/rozetka-125-statsionarnaya-3r-re-n-32a-380v-ip44-rexant-11-8914/", "Инфо")</f>
        <v>Инфо</v>
      </c>
      <c r="F838" s="16" t="s">
        <v>39</v>
      </c>
      <c r="G838" s="15"/>
      <c r="H838" s="15"/>
      <c r="I838" s="15"/>
      <c r="J838" s="17">
        <v>1</v>
      </c>
      <c r="K838" s="15" t="s">
        <v>1650</v>
      </c>
      <c r="L838" s="17">
        <v>5</v>
      </c>
      <c r="M838" s="17">
        <v>100</v>
      </c>
      <c r="N838" s="17">
        <v>5</v>
      </c>
      <c r="O838" s="18">
        <v>607.87</v>
      </c>
      <c r="P838" s="18">
        <v>498.25</v>
      </c>
      <c r="Q838" s="18">
        <v>486.3</v>
      </c>
      <c r="R838" s="18">
        <v>398.61</v>
      </c>
      <c r="S838" s="18">
        <v>413.35</v>
      </c>
      <c r="T838" s="18">
        <v>338.81</v>
      </c>
      <c r="U838" s="16"/>
      <c r="V838" s="16"/>
      <c r="W838" s="16" t="s">
        <v>40</v>
      </c>
      <c r="X838" s="19">
        <v>0.24399999999999999</v>
      </c>
      <c r="Y838" s="20">
        <v>1.0399999999999999E-3</v>
      </c>
      <c r="Z838" s="21">
        <v>4601004069237</v>
      </c>
    </row>
    <row r="839" spans="1:26" ht="12" customHeight="1" outlineLevel="3" x14ac:dyDescent="0.2">
      <c r="A839" s="14" t="s">
        <v>1674</v>
      </c>
      <c r="B839" s="26" t="s">
        <v>1675</v>
      </c>
      <c r="C839" s="52"/>
      <c r="D839" s="55">
        <f t="shared" si="12"/>
        <v>0</v>
      </c>
      <c r="E839" s="63" t="str">
        <f>HYPERLINK("https://www.sds-group.ru/product/rozetka-213-perenosnaya-2r-re-16a-220v-ip44-rexant-11-8918/", "Инфо")</f>
        <v>Инфо</v>
      </c>
      <c r="F839" s="16" t="s">
        <v>39</v>
      </c>
      <c r="G839" s="15"/>
      <c r="H839" s="15"/>
      <c r="I839" s="15"/>
      <c r="J839" s="17">
        <v>82</v>
      </c>
      <c r="K839" s="15" t="s">
        <v>210</v>
      </c>
      <c r="L839" s="17">
        <v>5</v>
      </c>
      <c r="M839" s="17">
        <v>100</v>
      </c>
      <c r="N839" s="17">
        <v>5</v>
      </c>
      <c r="O839" s="18">
        <v>322.52999999999997</v>
      </c>
      <c r="P839" s="18">
        <v>264.37</v>
      </c>
      <c r="Q839" s="18">
        <v>274.14999999999998</v>
      </c>
      <c r="R839" s="18">
        <v>224.71</v>
      </c>
      <c r="S839" s="18">
        <v>219.32</v>
      </c>
      <c r="T839" s="18">
        <v>179.77</v>
      </c>
      <c r="U839" s="16"/>
      <c r="V839" s="16"/>
      <c r="W839" s="16" t="s">
        <v>40</v>
      </c>
      <c r="X839" s="19">
        <v>0.124</v>
      </c>
      <c r="Y839" s="20">
        <v>4.9200000000000003E-4</v>
      </c>
      <c r="Z839" s="21">
        <v>4601004069176</v>
      </c>
    </row>
    <row r="840" spans="1:26" ht="12" customHeight="1" outlineLevel="3" x14ac:dyDescent="0.2">
      <c r="A840" s="14" t="s">
        <v>1676</v>
      </c>
      <c r="B840" s="26" t="s">
        <v>1677</v>
      </c>
      <c r="C840" s="52"/>
      <c r="D840" s="55">
        <f t="shared" si="12"/>
        <v>0</v>
      </c>
      <c r="E840" s="63" t="str">
        <f>HYPERLINK("https://www.sds-group.ru/product/rozetka-214-perenosnaya-3r-re-16a-380v-ip44-rexant-11-8919/", "Инфо")</f>
        <v>Инфо</v>
      </c>
      <c r="F840" s="16" t="s">
        <v>39</v>
      </c>
      <c r="G840" s="15"/>
      <c r="H840" s="15"/>
      <c r="I840" s="15"/>
      <c r="J840" s="16" t="s">
        <v>100</v>
      </c>
      <c r="K840" s="15" t="s">
        <v>1650</v>
      </c>
      <c r="L840" s="17">
        <v>5</v>
      </c>
      <c r="M840" s="17">
        <v>100</v>
      </c>
      <c r="N840" s="17">
        <v>5</v>
      </c>
      <c r="O840" s="18">
        <v>364.52</v>
      </c>
      <c r="P840" s="18">
        <v>298.79000000000002</v>
      </c>
      <c r="Q840" s="18">
        <v>309.83999999999997</v>
      </c>
      <c r="R840" s="18">
        <v>253.97</v>
      </c>
      <c r="S840" s="18">
        <v>247.87</v>
      </c>
      <c r="T840" s="18">
        <v>203.17</v>
      </c>
      <c r="U840" s="16"/>
      <c r="V840" s="16"/>
      <c r="W840" s="16" t="s">
        <v>40</v>
      </c>
      <c r="X840" s="19">
        <v>0.13900000000000001</v>
      </c>
      <c r="Y840" s="20">
        <v>4.9299999999999995E-4</v>
      </c>
      <c r="Z840" s="21">
        <v>4601004069183</v>
      </c>
    </row>
    <row r="841" spans="1:26" ht="12" customHeight="1" outlineLevel="3" x14ac:dyDescent="0.2">
      <c r="A841" s="14" t="s">
        <v>1678</v>
      </c>
      <c r="B841" s="26" t="s">
        <v>1679</v>
      </c>
      <c r="C841" s="52"/>
      <c r="D841" s="55">
        <f t="shared" ref="D841:D904" si="13">C841*(O841-O841*$G$3)</f>
        <v>0</v>
      </c>
      <c r="E841" s="63" t="str">
        <f>HYPERLINK("https://www.sds-group.ru/product/rozetka-215-perenosnaya-3r-re-n-16a-380v-ip44-rexant-11-8920/", "Инфо")</f>
        <v>Инфо</v>
      </c>
      <c r="F841" s="16" t="s">
        <v>39</v>
      </c>
      <c r="G841" s="15"/>
      <c r="H841" s="15"/>
      <c r="I841" s="15"/>
      <c r="J841" s="17">
        <v>10</v>
      </c>
      <c r="K841" s="15" t="s">
        <v>210</v>
      </c>
      <c r="L841" s="17">
        <v>5</v>
      </c>
      <c r="M841" s="17">
        <v>100</v>
      </c>
      <c r="N841" s="17">
        <v>5</v>
      </c>
      <c r="O841" s="18">
        <v>460.31</v>
      </c>
      <c r="P841" s="18">
        <v>377.3</v>
      </c>
      <c r="Q841" s="18">
        <v>368.25</v>
      </c>
      <c r="R841" s="18">
        <v>301.83999999999997</v>
      </c>
      <c r="S841" s="18">
        <v>313.01</v>
      </c>
      <c r="T841" s="18">
        <v>256.57</v>
      </c>
      <c r="U841" s="16"/>
      <c r="V841" s="16"/>
      <c r="W841" s="16" t="s">
        <v>40</v>
      </c>
      <c r="X841" s="19">
        <v>0.17899999999999999</v>
      </c>
      <c r="Y841" s="20">
        <v>8.2200000000000003E-4</v>
      </c>
      <c r="Z841" s="21">
        <v>4601004069190</v>
      </c>
    </row>
    <row r="842" spans="1:26" ht="12" customHeight="1" outlineLevel="3" x14ac:dyDescent="0.2">
      <c r="A842" s="14" t="s">
        <v>1680</v>
      </c>
      <c r="B842" s="26" t="s">
        <v>1681</v>
      </c>
      <c r="C842" s="52"/>
      <c r="D842" s="55">
        <f t="shared" si="13"/>
        <v>0</v>
      </c>
      <c r="E842" s="63" t="str">
        <f>HYPERLINK("https://www.sds-group.ru/product/rozetka-223-perenosnaya-2r-re-32a-220v-ip44-rexant-11-8921/", "Инфо")</f>
        <v>Инфо</v>
      </c>
      <c r="F842" s="16" t="s">
        <v>39</v>
      </c>
      <c r="G842" s="15"/>
      <c r="H842" s="15"/>
      <c r="I842" s="15"/>
      <c r="J842" s="16" t="s">
        <v>100</v>
      </c>
      <c r="K842" s="15" t="s">
        <v>1650</v>
      </c>
      <c r="L842" s="17">
        <v>5</v>
      </c>
      <c r="M842" s="17">
        <v>100</v>
      </c>
      <c r="N842" s="17">
        <v>5</v>
      </c>
      <c r="O842" s="18">
        <v>454.18</v>
      </c>
      <c r="P842" s="18">
        <v>372.28</v>
      </c>
      <c r="Q842" s="18">
        <v>363.34</v>
      </c>
      <c r="R842" s="18">
        <v>297.82</v>
      </c>
      <c r="S842" s="18">
        <v>308.83999999999997</v>
      </c>
      <c r="T842" s="18">
        <v>253.15</v>
      </c>
      <c r="U842" s="16"/>
      <c r="V842" s="16"/>
      <c r="W842" s="16" t="s">
        <v>40</v>
      </c>
      <c r="X842" s="19">
        <v>0.191</v>
      </c>
      <c r="Y842" s="20">
        <v>8.1400000000000005E-4</v>
      </c>
      <c r="Z842" s="21">
        <v>4601004069343</v>
      </c>
    </row>
    <row r="843" spans="1:26" ht="12" customHeight="1" outlineLevel="3" x14ac:dyDescent="0.2">
      <c r="A843" s="14" t="s">
        <v>1682</v>
      </c>
      <c r="B843" s="26" t="s">
        <v>1683</v>
      </c>
      <c r="C843" s="52"/>
      <c r="D843" s="55">
        <f t="shared" si="13"/>
        <v>0</v>
      </c>
      <c r="E843" s="63" t="str">
        <f>HYPERLINK("https://www.sds-group.ru/product/rozetka-224-perenosnaya-3r-re-32a-380v-ip44-rexant-11-8922/", "Инфо")</f>
        <v>Инфо</v>
      </c>
      <c r="F843" s="16" t="s">
        <v>39</v>
      </c>
      <c r="G843" s="15"/>
      <c r="H843" s="15"/>
      <c r="I843" s="15"/>
      <c r="J843" s="16" t="s">
        <v>100</v>
      </c>
      <c r="K843" s="15" t="s">
        <v>210</v>
      </c>
      <c r="L843" s="17">
        <v>5</v>
      </c>
      <c r="M843" s="17">
        <v>100</v>
      </c>
      <c r="N843" s="17">
        <v>5</v>
      </c>
      <c r="O843" s="18">
        <v>437.88</v>
      </c>
      <c r="P843" s="18">
        <v>358.92</v>
      </c>
      <c r="Q843" s="18">
        <v>350.3</v>
      </c>
      <c r="R843" s="18">
        <v>287.13</v>
      </c>
      <c r="S843" s="18">
        <v>297.76</v>
      </c>
      <c r="T843" s="18">
        <v>244.07</v>
      </c>
      <c r="U843" s="16"/>
      <c r="V843" s="16"/>
      <c r="W843" s="16" t="s">
        <v>40</v>
      </c>
      <c r="X843" s="19">
        <v>0.19900000000000001</v>
      </c>
      <c r="Y843" s="20">
        <v>8.1800000000000004E-4</v>
      </c>
      <c r="Z843" s="21">
        <v>4601004069336</v>
      </c>
    </row>
    <row r="844" spans="1:26" ht="12" customHeight="1" outlineLevel="3" x14ac:dyDescent="0.2">
      <c r="A844" s="14" t="s">
        <v>1684</v>
      </c>
      <c r="B844" s="26" t="s">
        <v>1685</v>
      </c>
      <c r="C844" s="52"/>
      <c r="D844" s="55">
        <f t="shared" si="13"/>
        <v>0</v>
      </c>
      <c r="E844" s="63" t="str">
        <f>HYPERLINK("https://www.sds-group.ru/product/rozetka-225-perenosnaya-3r-re-n-32a-380v-ip44-rexant-11-8923/", "Инфо")</f>
        <v>Инфо</v>
      </c>
      <c r="F844" s="16" t="s">
        <v>39</v>
      </c>
      <c r="G844" s="15"/>
      <c r="H844" s="15"/>
      <c r="I844" s="15"/>
      <c r="J844" s="17">
        <v>47</v>
      </c>
      <c r="K844" s="15" t="s">
        <v>1650</v>
      </c>
      <c r="L844" s="17">
        <v>5</v>
      </c>
      <c r="M844" s="17">
        <v>100</v>
      </c>
      <c r="N844" s="17">
        <v>5</v>
      </c>
      <c r="O844" s="18">
        <v>602.66</v>
      </c>
      <c r="P844" s="18">
        <v>493.98</v>
      </c>
      <c r="Q844" s="18">
        <v>482.13</v>
      </c>
      <c r="R844" s="18">
        <v>395.19</v>
      </c>
      <c r="S844" s="18">
        <v>409.81</v>
      </c>
      <c r="T844" s="18">
        <v>335.91</v>
      </c>
      <c r="U844" s="16"/>
      <c r="V844" s="16"/>
      <c r="W844" s="16" t="s">
        <v>40</v>
      </c>
      <c r="X844" s="19">
        <v>0.23499999999999999</v>
      </c>
      <c r="Y844" s="20">
        <v>9.8799999999999995E-4</v>
      </c>
      <c r="Z844" s="21">
        <v>4601004069329</v>
      </c>
    </row>
    <row r="845" spans="1:26" ht="12" customHeight="1" outlineLevel="3" x14ac:dyDescent="0.2">
      <c r="A845" s="14" t="s">
        <v>1686</v>
      </c>
      <c r="B845" s="26" t="s">
        <v>1687</v>
      </c>
      <c r="C845" s="52"/>
      <c r="D845" s="55">
        <f t="shared" si="13"/>
        <v>0</v>
      </c>
      <c r="E845" s="63" t="str">
        <f>HYPERLINK("https://www.sds-group.ru/product/rozetka-vlagozaschischennaya-kabelnaya-perenosnaya-1-gnezdo-2r-re-16a-ip68-seraya-rexant-111-121/", "Инфо")</f>
        <v>Инфо</v>
      </c>
      <c r="F845" s="16" t="s">
        <v>39</v>
      </c>
      <c r="G845" s="15"/>
      <c r="H845" s="15"/>
      <c r="I845" s="15"/>
      <c r="J845" s="16" t="s">
        <v>100</v>
      </c>
      <c r="K845" s="15" t="s">
        <v>1550</v>
      </c>
      <c r="L845" s="17">
        <v>1</v>
      </c>
      <c r="M845" s="17">
        <v>60</v>
      </c>
      <c r="N845" s="17">
        <v>1</v>
      </c>
      <c r="O845" s="18">
        <v>2084.86</v>
      </c>
      <c r="P845" s="18">
        <v>1708.9</v>
      </c>
      <c r="Q845" s="18">
        <v>1667.89</v>
      </c>
      <c r="R845" s="18">
        <v>1367.12</v>
      </c>
      <c r="S845" s="18">
        <v>1417.7</v>
      </c>
      <c r="T845" s="18">
        <v>1162.05</v>
      </c>
      <c r="U845" s="16"/>
      <c r="V845" s="16"/>
      <c r="W845" s="16" t="s">
        <v>40</v>
      </c>
      <c r="X845" s="19">
        <v>0.17399999999999999</v>
      </c>
      <c r="Y845" s="20">
        <v>1.3680000000000001E-3</v>
      </c>
      <c r="Z845" s="21">
        <v>4601004182967</v>
      </c>
    </row>
    <row r="846" spans="1:26" ht="12" customHeight="1" outlineLevel="3" x14ac:dyDescent="0.2">
      <c r="A846" s="14" t="s">
        <v>1688</v>
      </c>
      <c r="B846" s="26" t="s">
        <v>1689</v>
      </c>
      <c r="C846" s="52"/>
      <c r="D846" s="55">
        <f t="shared" si="13"/>
        <v>0</v>
      </c>
      <c r="E846" s="63" t="str">
        <f>HYPERLINK("https://www.sds-group.ru/product/rozetka-vlagozaschischennaya-nastennaya-s-kryshkoy-1-gnezdo-2r-re-16a-ip68-seraya-rexant-111-125/", "Инфо")</f>
        <v>Инфо</v>
      </c>
      <c r="F846" s="16" t="s">
        <v>39</v>
      </c>
      <c r="G846" s="15"/>
      <c r="H846" s="15"/>
      <c r="I846" s="15"/>
      <c r="J846" s="16" t="s">
        <v>100</v>
      </c>
      <c r="K846" s="15" t="s">
        <v>1524</v>
      </c>
      <c r="L846" s="17">
        <v>1</v>
      </c>
      <c r="M846" s="17">
        <v>36</v>
      </c>
      <c r="N846" s="17">
        <v>1</v>
      </c>
      <c r="O846" s="18">
        <v>2944.35</v>
      </c>
      <c r="P846" s="18">
        <v>2413.4</v>
      </c>
      <c r="Q846" s="18">
        <v>2061.0500000000002</v>
      </c>
      <c r="R846" s="18">
        <v>1689.39</v>
      </c>
      <c r="S846" s="18">
        <v>2002.16</v>
      </c>
      <c r="T846" s="18">
        <v>1641.11</v>
      </c>
      <c r="U846" s="16"/>
      <c r="V846" s="16"/>
      <c r="W846" s="16"/>
      <c r="X846" s="19">
        <v>0.28599999999999998</v>
      </c>
      <c r="Y846" s="20">
        <v>2.4420000000000002E-3</v>
      </c>
      <c r="Z846" s="21">
        <v>4601004182868</v>
      </c>
    </row>
    <row r="847" spans="1:26" ht="12" customHeight="1" outlineLevel="3" x14ac:dyDescent="0.2">
      <c r="A847" s="14" t="s">
        <v>1690</v>
      </c>
      <c r="B847" s="26" t="s">
        <v>1691</v>
      </c>
      <c r="C847" s="52"/>
      <c r="D847" s="55">
        <f t="shared" si="13"/>
        <v>0</v>
      </c>
      <c r="E847" s="63" t="str">
        <f>HYPERLINK("https://www.sds-group.ru/product/rozetka-vlagozaschischennaya-nastennaya-flantsevaya-s-kryshkoy-1-gnezdo-2r-re-16a-ip68-seray-111-124/", "Инфо")</f>
        <v>Инфо</v>
      </c>
      <c r="F847" s="16" t="s">
        <v>39</v>
      </c>
      <c r="G847" s="15"/>
      <c r="H847" s="15"/>
      <c r="I847" s="15"/>
      <c r="J847" s="22">
        <v>3147</v>
      </c>
      <c r="K847" s="15"/>
      <c r="L847" s="17">
        <v>1</v>
      </c>
      <c r="M847" s="17">
        <v>96</v>
      </c>
      <c r="N847" s="17">
        <v>1</v>
      </c>
      <c r="O847" s="18">
        <v>1846.79</v>
      </c>
      <c r="P847" s="18">
        <v>1513.76</v>
      </c>
      <c r="Q847" s="18">
        <v>1458.96</v>
      </c>
      <c r="R847" s="18">
        <v>1195.8699999999999</v>
      </c>
      <c r="S847" s="18">
        <v>1255.82</v>
      </c>
      <c r="T847" s="18">
        <v>1029.3599999999999</v>
      </c>
      <c r="U847" s="16"/>
      <c r="V847" s="16"/>
      <c r="W847" s="16" t="s">
        <v>40</v>
      </c>
      <c r="X847" s="19">
        <v>0.129</v>
      </c>
      <c r="Y847" s="20">
        <v>9.0899999999999998E-4</v>
      </c>
      <c r="Z847" s="21">
        <v>4601004182882</v>
      </c>
    </row>
    <row r="848" spans="1:26" ht="12.95" customHeight="1" outlineLevel="1" x14ac:dyDescent="0.2">
      <c r="A848" s="78" t="s">
        <v>1692</v>
      </c>
      <c r="B848" s="78"/>
      <c r="C848" s="79"/>
      <c r="D848" s="57"/>
      <c r="E848" s="67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  <c r="X848" s="12"/>
      <c r="Y848" s="12"/>
      <c r="Z848" s="12"/>
    </row>
    <row r="849" spans="1:26" ht="12.95" customHeight="1" outlineLevel="2" x14ac:dyDescent="0.2">
      <c r="A849" s="82" t="s">
        <v>1693</v>
      </c>
      <c r="B849" s="82"/>
      <c r="C849" s="83"/>
      <c r="D849" s="59"/>
      <c r="E849" s="69"/>
      <c r="F849" s="23"/>
      <c r="G849" s="23"/>
      <c r="H849" s="23"/>
      <c r="I849" s="23"/>
      <c r="J849" s="23"/>
      <c r="K849" s="23"/>
      <c r="L849" s="23"/>
      <c r="M849" s="23"/>
      <c r="N849" s="23"/>
      <c r="O849" s="23"/>
      <c r="P849" s="23"/>
      <c r="Q849" s="23"/>
      <c r="R849" s="23"/>
      <c r="S849" s="23"/>
      <c r="T849" s="23"/>
      <c r="U849" s="23"/>
      <c r="V849" s="23"/>
      <c r="W849" s="23"/>
      <c r="X849" s="23"/>
      <c r="Y849" s="23"/>
      <c r="Z849" s="23"/>
    </row>
    <row r="850" spans="1:26" ht="12" customHeight="1" outlineLevel="3" x14ac:dyDescent="0.2">
      <c r="A850" s="14" t="s">
        <v>1694</v>
      </c>
      <c r="B850" s="26" t="s">
        <v>1695</v>
      </c>
      <c r="C850" s="52"/>
      <c r="D850" s="55">
        <f t="shared" si="13"/>
        <v>0</v>
      </c>
      <c r="E850" s="63" t="str">
        <f>HYPERLINK("https://www.sds-group.ru/product/stabilizator-napryazheniya-asn-1000-1-ts-rexant-11-5001/", "Инфо")</f>
        <v>Инфо</v>
      </c>
      <c r="F850" s="16" t="s">
        <v>39</v>
      </c>
      <c r="G850" s="15"/>
      <c r="H850" s="15"/>
      <c r="I850" s="15"/>
      <c r="J850" s="17">
        <v>92</v>
      </c>
      <c r="K850" s="15" t="s">
        <v>1126</v>
      </c>
      <c r="L850" s="17">
        <v>1</v>
      </c>
      <c r="M850" s="17">
        <v>4</v>
      </c>
      <c r="N850" s="17">
        <v>1</v>
      </c>
      <c r="O850" s="18">
        <v>5738.25</v>
      </c>
      <c r="P850" s="18">
        <v>4703.4799999999996</v>
      </c>
      <c r="Q850" s="18">
        <v>4188.92</v>
      </c>
      <c r="R850" s="18">
        <v>3433.54</v>
      </c>
      <c r="S850" s="18">
        <v>3902.01</v>
      </c>
      <c r="T850" s="18">
        <v>3198.37</v>
      </c>
      <c r="U850" s="16"/>
      <c r="V850" s="16"/>
      <c r="W850" s="16" t="s">
        <v>40</v>
      </c>
      <c r="X850" s="19">
        <v>3.1110000000000002</v>
      </c>
      <c r="Y850" s="20">
        <v>9.2619999999999994E-3</v>
      </c>
      <c r="Z850" s="21">
        <v>4601004082656</v>
      </c>
    </row>
    <row r="851" spans="1:26" ht="12" customHeight="1" outlineLevel="3" x14ac:dyDescent="0.2">
      <c r="A851" s="14" t="s">
        <v>1696</v>
      </c>
      <c r="B851" s="26" t="s">
        <v>1697</v>
      </c>
      <c r="C851" s="52"/>
      <c r="D851" s="55">
        <f t="shared" si="13"/>
        <v>0</v>
      </c>
      <c r="E851" s="63" t="str">
        <f>HYPERLINK("https://www.sds-group.ru/product/stabilizator-napryazheniya-asn-1500-1-ts-rexant-11-5002/", "Инфо")</f>
        <v>Инфо</v>
      </c>
      <c r="F851" s="16" t="s">
        <v>39</v>
      </c>
      <c r="G851" s="15"/>
      <c r="H851" s="15"/>
      <c r="I851" s="15"/>
      <c r="J851" s="16" t="s">
        <v>100</v>
      </c>
      <c r="K851" s="15" t="s">
        <v>1126</v>
      </c>
      <c r="L851" s="17">
        <v>1</v>
      </c>
      <c r="M851" s="17">
        <v>4</v>
      </c>
      <c r="N851" s="17">
        <v>1</v>
      </c>
      <c r="O851" s="18">
        <v>6840.19</v>
      </c>
      <c r="P851" s="18">
        <v>5606.71</v>
      </c>
      <c r="Q851" s="18">
        <v>4993.34</v>
      </c>
      <c r="R851" s="18">
        <v>4092.9</v>
      </c>
      <c r="S851" s="18">
        <v>4651.33</v>
      </c>
      <c r="T851" s="18">
        <v>3812.57</v>
      </c>
      <c r="U851" s="16"/>
      <c r="V851" s="16"/>
      <c r="W851" s="16" t="s">
        <v>40</v>
      </c>
      <c r="X851" s="19">
        <v>4.3570000000000002</v>
      </c>
      <c r="Y851" s="20">
        <v>1.2716999999999999E-2</v>
      </c>
      <c r="Z851" s="21">
        <v>4601004082663</v>
      </c>
    </row>
    <row r="852" spans="1:26" ht="12" customHeight="1" outlineLevel="3" x14ac:dyDescent="0.2">
      <c r="A852" s="14" t="s">
        <v>1698</v>
      </c>
      <c r="B852" s="26" t="s">
        <v>1699</v>
      </c>
      <c r="C852" s="52"/>
      <c r="D852" s="55">
        <f t="shared" si="13"/>
        <v>0</v>
      </c>
      <c r="E852" s="63" t="str">
        <f>HYPERLINK("https://www.sds-group.ru/product/stabilizator-napryazheniya-asn-2000-1-ts-rexant-11-5003/", "Инфо")</f>
        <v>Инфо</v>
      </c>
      <c r="F852" s="16" t="s">
        <v>39</v>
      </c>
      <c r="G852" s="15"/>
      <c r="H852" s="15"/>
      <c r="I852" s="15"/>
      <c r="J852" s="17">
        <v>34</v>
      </c>
      <c r="K852" s="15" t="s">
        <v>1126</v>
      </c>
      <c r="L852" s="17">
        <v>1</v>
      </c>
      <c r="M852" s="17">
        <v>4</v>
      </c>
      <c r="N852" s="17">
        <v>1</v>
      </c>
      <c r="O852" s="18">
        <v>8259.2099999999991</v>
      </c>
      <c r="P852" s="18">
        <v>6769.84</v>
      </c>
      <c r="Q852" s="18">
        <v>6029.22</v>
      </c>
      <c r="R852" s="18">
        <v>4941.9799999999996</v>
      </c>
      <c r="S852" s="18">
        <v>5616.26</v>
      </c>
      <c r="T852" s="18">
        <v>4603.49</v>
      </c>
      <c r="U852" s="16"/>
      <c r="V852" s="16"/>
      <c r="W852" s="16" t="s">
        <v>40</v>
      </c>
      <c r="X852" s="19">
        <v>4.9850000000000003</v>
      </c>
      <c r="Y852" s="20">
        <v>1.2824E-2</v>
      </c>
      <c r="Z852" s="21">
        <v>4601004082670</v>
      </c>
    </row>
    <row r="853" spans="1:26" ht="12" customHeight="1" outlineLevel="3" x14ac:dyDescent="0.2">
      <c r="A853" s="14" t="s">
        <v>1700</v>
      </c>
      <c r="B853" s="26" t="s">
        <v>1701</v>
      </c>
      <c r="C853" s="52"/>
      <c r="D853" s="55">
        <f t="shared" si="13"/>
        <v>0</v>
      </c>
      <c r="E853" s="63" t="str">
        <f>HYPERLINK("https://www.sds-group.ru/product/stabilizator-napryazheniya-asn-3000-1-ts-rexant-11-5004/", "Инфо")</f>
        <v>Инфо</v>
      </c>
      <c r="F853" s="16" t="s">
        <v>39</v>
      </c>
      <c r="G853" s="15"/>
      <c r="H853" s="15"/>
      <c r="I853" s="15"/>
      <c r="J853" s="17">
        <v>11</v>
      </c>
      <c r="K853" s="15"/>
      <c r="L853" s="17">
        <v>1</v>
      </c>
      <c r="M853" s="17">
        <v>2</v>
      </c>
      <c r="N853" s="17">
        <v>1</v>
      </c>
      <c r="O853" s="18">
        <v>13915.07</v>
      </c>
      <c r="P853" s="18">
        <v>11405.8</v>
      </c>
      <c r="Q853" s="18">
        <v>10158</v>
      </c>
      <c r="R853" s="18">
        <v>8326.23</v>
      </c>
      <c r="S853" s="18">
        <v>9462.25</v>
      </c>
      <c r="T853" s="18">
        <v>7755.94</v>
      </c>
      <c r="U853" s="16"/>
      <c r="V853" s="16"/>
      <c r="W853" s="16" t="s">
        <v>40</v>
      </c>
      <c r="X853" s="19">
        <v>8.3829999999999991</v>
      </c>
      <c r="Y853" s="20">
        <v>3.0931E-2</v>
      </c>
      <c r="Z853" s="21">
        <v>4601004082687</v>
      </c>
    </row>
    <row r="854" spans="1:26" ht="12" customHeight="1" outlineLevel="3" x14ac:dyDescent="0.2">
      <c r="A854" s="14" t="s">
        <v>1702</v>
      </c>
      <c r="B854" s="26" t="s">
        <v>1703</v>
      </c>
      <c r="C854" s="52"/>
      <c r="D854" s="55">
        <f t="shared" si="13"/>
        <v>0</v>
      </c>
      <c r="E854" s="63" t="str">
        <f>HYPERLINK("https://www.sds-group.ru/product/stabilizator-napryazheniya-asn-500-1-ts-rexant-11-5000/", "Инфо")</f>
        <v>Инфо</v>
      </c>
      <c r="F854" s="16" t="s">
        <v>39</v>
      </c>
      <c r="G854" s="15"/>
      <c r="H854" s="15"/>
      <c r="I854" s="15"/>
      <c r="J854" s="17">
        <v>161</v>
      </c>
      <c r="K854" s="15" t="s">
        <v>1126</v>
      </c>
      <c r="L854" s="17">
        <v>1</v>
      </c>
      <c r="M854" s="17">
        <v>4</v>
      </c>
      <c r="N854" s="17">
        <v>1</v>
      </c>
      <c r="O854" s="18">
        <v>4647.97</v>
      </c>
      <c r="P854" s="18">
        <v>3809.81</v>
      </c>
      <c r="Q854" s="18">
        <v>3393.02</v>
      </c>
      <c r="R854" s="18">
        <v>2781.16</v>
      </c>
      <c r="S854" s="18">
        <v>3160.62</v>
      </c>
      <c r="T854" s="18">
        <v>2590.67</v>
      </c>
      <c r="U854" s="16"/>
      <c r="V854" s="16"/>
      <c r="W854" s="16" t="s">
        <v>40</v>
      </c>
      <c r="X854" s="19">
        <v>2.6560000000000001</v>
      </c>
      <c r="Y854" s="20">
        <v>9.2899999999999996E-3</v>
      </c>
      <c r="Z854" s="21">
        <v>4601004082731</v>
      </c>
    </row>
    <row r="855" spans="1:26" ht="12" customHeight="1" outlineLevel="3" x14ac:dyDescent="0.2">
      <c r="A855" s="14" t="s">
        <v>1704</v>
      </c>
      <c r="B855" s="26" t="s">
        <v>1705</v>
      </c>
      <c r="C855" s="52"/>
      <c r="D855" s="55">
        <f t="shared" si="13"/>
        <v>0</v>
      </c>
      <c r="E855" s="63" t="str">
        <f>HYPERLINK("https://www.sds-group.ru/product/stabilizator-napryazheniya-asn-5000-1-ts-rexant-11-5005/", "Инфо")</f>
        <v>Инфо</v>
      </c>
      <c r="F855" s="16" t="s">
        <v>39</v>
      </c>
      <c r="G855" s="15"/>
      <c r="H855" s="15"/>
      <c r="I855" s="15"/>
      <c r="J855" s="17">
        <v>35</v>
      </c>
      <c r="K855" s="15"/>
      <c r="L855" s="17">
        <v>1</v>
      </c>
      <c r="M855" s="17">
        <v>2</v>
      </c>
      <c r="N855" s="17">
        <v>1</v>
      </c>
      <c r="O855" s="18">
        <v>16742.48</v>
      </c>
      <c r="P855" s="18">
        <v>13723.34</v>
      </c>
      <c r="Q855" s="18">
        <v>12222.01</v>
      </c>
      <c r="R855" s="18">
        <v>10018.040000000001</v>
      </c>
      <c r="S855" s="18">
        <v>11384.89</v>
      </c>
      <c r="T855" s="18">
        <v>9331.8799999999992</v>
      </c>
      <c r="U855" s="16"/>
      <c r="V855" s="16"/>
      <c r="W855" s="16" t="s">
        <v>40</v>
      </c>
      <c r="X855" s="19">
        <v>10.768000000000001</v>
      </c>
      <c r="Y855" s="20">
        <v>3.0764E-2</v>
      </c>
      <c r="Z855" s="21">
        <v>4601004082700</v>
      </c>
    </row>
    <row r="856" spans="1:26" ht="12" customHeight="1" outlineLevel="3" x14ac:dyDescent="0.2">
      <c r="A856" s="14" t="s">
        <v>1706</v>
      </c>
      <c r="B856" s="26" t="s">
        <v>1707</v>
      </c>
      <c r="C856" s="52"/>
      <c r="D856" s="55">
        <f t="shared" si="13"/>
        <v>0</v>
      </c>
      <c r="E856" s="63" t="str">
        <f>HYPERLINK("https://www.sds-group.ru/product/stabilizator-napryazheniya-asn-8000-1-ts-rexant-11-5006/", "Инфо")</f>
        <v>Инфо</v>
      </c>
      <c r="F856" s="16" t="s">
        <v>39</v>
      </c>
      <c r="G856" s="15"/>
      <c r="H856" s="15"/>
      <c r="I856" s="15"/>
      <c r="J856" s="17">
        <v>11</v>
      </c>
      <c r="K856" s="15"/>
      <c r="L856" s="17">
        <v>1</v>
      </c>
      <c r="M856" s="17">
        <v>1</v>
      </c>
      <c r="N856" s="17">
        <v>1</v>
      </c>
      <c r="O856" s="18">
        <v>23140.880000000001</v>
      </c>
      <c r="P856" s="18">
        <v>18967.93</v>
      </c>
      <c r="Q856" s="18">
        <v>16892.84</v>
      </c>
      <c r="R856" s="18">
        <v>13846.59</v>
      </c>
      <c r="S856" s="18">
        <v>15735.8</v>
      </c>
      <c r="T856" s="18">
        <v>12898.2</v>
      </c>
      <c r="U856" s="16"/>
      <c r="V856" s="16"/>
      <c r="W856" s="16" t="s">
        <v>40</v>
      </c>
      <c r="X856" s="19">
        <v>15.574</v>
      </c>
      <c r="Y856" s="20">
        <v>3.9189000000000002E-2</v>
      </c>
      <c r="Z856" s="21">
        <v>4601004082717</v>
      </c>
    </row>
    <row r="857" spans="1:26" ht="12" customHeight="1" outlineLevel="3" x14ac:dyDescent="0.2">
      <c r="A857" s="14" t="s">
        <v>1708</v>
      </c>
      <c r="B857" s="26" t="s">
        <v>1709</v>
      </c>
      <c r="C857" s="52"/>
      <c r="D857" s="55">
        <f t="shared" si="13"/>
        <v>0</v>
      </c>
      <c r="E857" s="63" t="str">
        <f>HYPERLINK("https://www.sds-group.ru/product/stabilizator-napryazheniya-asn-10000-1-ts-rexant-11-5007/", "Инфо")</f>
        <v>Инфо</v>
      </c>
      <c r="F857" s="16" t="s">
        <v>39</v>
      </c>
      <c r="G857" s="15"/>
      <c r="H857" s="15"/>
      <c r="I857" s="15"/>
      <c r="J857" s="17">
        <v>1</v>
      </c>
      <c r="K857" s="15"/>
      <c r="L857" s="17">
        <v>1</v>
      </c>
      <c r="M857" s="17">
        <v>1</v>
      </c>
      <c r="N857" s="17">
        <v>1</v>
      </c>
      <c r="O857" s="18">
        <v>24610.67</v>
      </c>
      <c r="P857" s="18">
        <v>20172.68</v>
      </c>
      <c r="Q857" s="18">
        <v>17965.79</v>
      </c>
      <c r="R857" s="18">
        <v>14726.06</v>
      </c>
      <c r="S857" s="18">
        <v>16735.259999999998</v>
      </c>
      <c r="T857" s="18">
        <v>13717.43</v>
      </c>
      <c r="U857" s="16"/>
      <c r="V857" s="16"/>
      <c r="W857" s="16" t="s">
        <v>40</v>
      </c>
      <c r="X857" s="19">
        <v>17.206</v>
      </c>
      <c r="Y857" s="20">
        <v>3.8961999999999997E-2</v>
      </c>
      <c r="Z857" s="21">
        <v>4601004082724</v>
      </c>
    </row>
    <row r="858" spans="1:26" ht="12" customHeight="1" outlineLevel="3" x14ac:dyDescent="0.2">
      <c r="A858" s="14" t="s">
        <v>1710</v>
      </c>
      <c r="B858" s="26" t="s">
        <v>1711</v>
      </c>
      <c r="C858" s="52"/>
      <c r="D858" s="55">
        <f t="shared" si="13"/>
        <v>0</v>
      </c>
      <c r="E858" s="63" t="str">
        <f>HYPERLINK("https://www.sds-group.ru/product/stabilizator-napryazheniya-asn-12000-1-ts-rexant-11-5008/", "Инфо")</f>
        <v>Инфо</v>
      </c>
      <c r="F858" s="16" t="s">
        <v>39</v>
      </c>
      <c r="G858" s="15"/>
      <c r="H858" s="15"/>
      <c r="I858" s="15"/>
      <c r="J858" s="16" t="s">
        <v>100</v>
      </c>
      <c r="K858" s="15"/>
      <c r="L858" s="17">
        <v>1</v>
      </c>
      <c r="M858" s="17">
        <v>1</v>
      </c>
      <c r="N858" s="17">
        <v>1</v>
      </c>
      <c r="O858" s="18">
        <v>30698.63</v>
      </c>
      <c r="P858" s="18">
        <v>25162.81</v>
      </c>
      <c r="Q858" s="18">
        <v>22410</v>
      </c>
      <c r="R858" s="18">
        <v>18368.849999999999</v>
      </c>
      <c r="S858" s="18">
        <v>20875.07</v>
      </c>
      <c r="T858" s="18">
        <v>17110.71</v>
      </c>
      <c r="U858" s="16"/>
      <c r="V858" s="16"/>
      <c r="W858" s="16" t="s">
        <v>40</v>
      </c>
      <c r="X858" s="19">
        <v>20.047000000000001</v>
      </c>
      <c r="Y858" s="20">
        <v>5.8652999999999997E-2</v>
      </c>
      <c r="Z858" s="21">
        <v>4601004082694</v>
      </c>
    </row>
    <row r="859" spans="1:26" ht="12.95" customHeight="1" outlineLevel="2" x14ac:dyDescent="0.2">
      <c r="A859" s="82" t="s">
        <v>1712</v>
      </c>
      <c r="B859" s="82"/>
      <c r="C859" s="83"/>
      <c r="D859" s="59"/>
      <c r="E859" s="69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23"/>
      <c r="X859" s="23"/>
      <c r="Y859" s="23"/>
      <c r="Z859" s="23"/>
    </row>
    <row r="860" spans="1:26" ht="12" customHeight="1" outlineLevel="3" x14ac:dyDescent="0.2">
      <c r="A860" s="14" t="s">
        <v>1713</v>
      </c>
      <c r="B860" s="26" t="s">
        <v>1714</v>
      </c>
      <c r="C860" s="52"/>
      <c r="D860" s="55">
        <f t="shared" si="13"/>
        <v>0</v>
      </c>
      <c r="E860" s="63" t="str">
        <f>HYPERLINK("https://www.sds-group.ru/product/stabilizator-napryazheniya-nastennyy-asnn-1000-1-ts-rexant-11-5017/", "Инфо")</f>
        <v>Инфо</v>
      </c>
      <c r="F860" s="16" t="s">
        <v>39</v>
      </c>
      <c r="G860" s="15"/>
      <c r="H860" s="15"/>
      <c r="I860" s="15"/>
      <c r="J860" s="17">
        <v>214</v>
      </c>
      <c r="K860" s="15"/>
      <c r="L860" s="17">
        <v>1</v>
      </c>
      <c r="M860" s="17">
        <v>4</v>
      </c>
      <c r="N860" s="17">
        <v>1</v>
      </c>
      <c r="O860" s="18">
        <v>6547.29</v>
      </c>
      <c r="P860" s="18">
        <v>5366.63</v>
      </c>
      <c r="Q860" s="18">
        <v>4779.5200000000004</v>
      </c>
      <c r="R860" s="18">
        <v>3917.64</v>
      </c>
      <c r="S860" s="18">
        <v>4452.16</v>
      </c>
      <c r="T860" s="18">
        <v>3649.31</v>
      </c>
      <c r="U860" s="16"/>
      <c r="V860" s="16"/>
      <c r="W860" s="16" t="s">
        <v>40</v>
      </c>
      <c r="X860" s="19">
        <v>3.355</v>
      </c>
      <c r="Y860" s="20">
        <v>8.4880000000000008E-3</v>
      </c>
      <c r="Z860" s="21">
        <v>4601004142121</v>
      </c>
    </row>
    <row r="861" spans="1:26" ht="12" customHeight="1" outlineLevel="3" x14ac:dyDescent="0.2">
      <c r="A861" s="14" t="s">
        <v>1715</v>
      </c>
      <c r="B861" s="26" t="s">
        <v>1716</v>
      </c>
      <c r="C861" s="52"/>
      <c r="D861" s="55">
        <f t="shared" si="13"/>
        <v>0</v>
      </c>
      <c r="E861" s="63" t="str">
        <f>HYPERLINK("https://www.sds-group.ru/product/stabilizator-napryazheniya-nastennyy-asnn-10000-1-ts-rexant-11-5011/", "Инфо")</f>
        <v>Инфо</v>
      </c>
      <c r="F861" s="16" t="s">
        <v>39</v>
      </c>
      <c r="G861" s="15"/>
      <c r="H861" s="15"/>
      <c r="I861" s="15"/>
      <c r="J861" s="17">
        <v>228</v>
      </c>
      <c r="K861" s="15"/>
      <c r="L861" s="17">
        <v>1</v>
      </c>
      <c r="M861" s="17">
        <v>1</v>
      </c>
      <c r="N861" s="17">
        <v>1</v>
      </c>
      <c r="O861" s="18">
        <v>33837.040000000001</v>
      </c>
      <c r="P861" s="18">
        <v>27735.279999999999</v>
      </c>
      <c r="Q861" s="18">
        <v>24701.040000000001</v>
      </c>
      <c r="R861" s="18">
        <v>20246.75</v>
      </c>
      <c r="S861" s="18">
        <v>23009.19</v>
      </c>
      <c r="T861" s="18">
        <v>18859.990000000002</v>
      </c>
      <c r="U861" s="16"/>
      <c r="V861" s="16"/>
      <c r="W861" s="16" t="s">
        <v>40</v>
      </c>
      <c r="X861" s="19">
        <v>16.704999999999998</v>
      </c>
      <c r="Y861" s="20">
        <v>3.8859999999999999E-2</v>
      </c>
      <c r="Z861" s="21">
        <v>4601004142244</v>
      </c>
    </row>
    <row r="862" spans="1:26" ht="12" customHeight="1" outlineLevel="3" x14ac:dyDescent="0.2">
      <c r="A862" s="14" t="s">
        <v>1717</v>
      </c>
      <c r="B862" s="26" t="s">
        <v>1718</v>
      </c>
      <c r="C862" s="52"/>
      <c r="D862" s="55">
        <f t="shared" si="13"/>
        <v>0</v>
      </c>
      <c r="E862" s="63" t="str">
        <f>HYPERLINK("https://www.sds-group.ru/product/stabilizator-napryazheniya-nastennyy-asnn-1500-1-ts-rexant-11-5016/", "Инфо")</f>
        <v>Инфо</v>
      </c>
      <c r="F862" s="16" t="s">
        <v>39</v>
      </c>
      <c r="G862" s="15"/>
      <c r="H862" s="15"/>
      <c r="I862" s="15"/>
      <c r="J862" s="17">
        <v>85</v>
      </c>
      <c r="K862" s="15"/>
      <c r="L862" s="17">
        <v>1</v>
      </c>
      <c r="M862" s="17">
        <v>4</v>
      </c>
      <c r="N862" s="17">
        <v>1</v>
      </c>
      <c r="O862" s="18">
        <v>8545.48</v>
      </c>
      <c r="P862" s="18">
        <v>7004.49</v>
      </c>
      <c r="Q862" s="18">
        <v>6238.2</v>
      </c>
      <c r="R862" s="18">
        <v>5113.28</v>
      </c>
      <c r="S862" s="18">
        <v>5810.93</v>
      </c>
      <c r="T862" s="18">
        <v>4763.0600000000004</v>
      </c>
      <c r="U862" s="16"/>
      <c r="V862" s="16"/>
      <c r="W862" s="16" t="s">
        <v>40</v>
      </c>
      <c r="X862" s="19">
        <v>4.1790000000000003</v>
      </c>
      <c r="Y862" s="20">
        <v>6.6340000000000001E-3</v>
      </c>
      <c r="Z862" s="21">
        <v>4601004142114</v>
      </c>
    </row>
    <row r="863" spans="1:26" ht="12" customHeight="1" outlineLevel="3" x14ac:dyDescent="0.2">
      <c r="A863" s="14" t="s">
        <v>1719</v>
      </c>
      <c r="B863" s="26" t="s">
        <v>1720</v>
      </c>
      <c r="C863" s="52"/>
      <c r="D863" s="55">
        <f t="shared" si="13"/>
        <v>0</v>
      </c>
      <c r="E863" s="63" t="str">
        <f>HYPERLINK("https://www.sds-group.ru/product/stabilizator-napryazheniya-nastennyy-asnn-2000-1-ts-rexant-11-5015/", "Инфо")</f>
        <v>Инфо</v>
      </c>
      <c r="F863" s="16" t="s">
        <v>39</v>
      </c>
      <c r="G863" s="15"/>
      <c r="H863" s="15"/>
      <c r="I863" s="15"/>
      <c r="J863" s="16" t="s">
        <v>100</v>
      </c>
      <c r="K863" s="15" t="s">
        <v>1126</v>
      </c>
      <c r="L863" s="17">
        <v>1</v>
      </c>
      <c r="M863" s="17">
        <v>4</v>
      </c>
      <c r="N863" s="17">
        <v>1</v>
      </c>
      <c r="O863" s="18">
        <v>10100.43</v>
      </c>
      <c r="P863" s="18">
        <v>8279.0400000000009</v>
      </c>
      <c r="Q863" s="18">
        <v>7373.31</v>
      </c>
      <c r="R863" s="18">
        <v>6043.7</v>
      </c>
      <c r="S863" s="18">
        <v>6868.29</v>
      </c>
      <c r="T863" s="18">
        <v>5629.75</v>
      </c>
      <c r="U863" s="16"/>
      <c r="V863" s="16"/>
      <c r="W863" s="16" t="s">
        <v>40</v>
      </c>
      <c r="X863" s="19">
        <v>5.1929999999999996</v>
      </c>
      <c r="Y863" s="20">
        <v>1.0964E-2</v>
      </c>
      <c r="Z863" s="21">
        <v>4601004142107</v>
      </c>
    </row>
    <row r="864" spans="1:26" ht="12" customHeight="1" outlineLevel="3" x14ac:dyDescent="0.2">
      <c r="A864" s="14" t="s">
        <v>1721</v>
      </c>
      <c r="B864" s="26" t="s">
        <v>1722</v>
      </c>
      <c r="C864" s="52"/>
      <c r="D864" s="55">
        <f t="shared" si="13"/>
        <v>0</v>
      </c>
      <c r="E864" s="63" t="str">
        <f>HYPERLINK("https://www.sds-group.ru/product/stabilizator-napryazheniya-nastennyy-asnn-3000-1-ts-rexant-11-5014/", "Инфо")</f>
        <v>Инфо</v>
      </c>
      <c r="F864" s="16" t="s">
        <v>39</v>
      </c>
      <c r="G864" s="15"/>
      <c r="H864" s="15"/>
      <c r="I864" s="15"/>
      <c r="J864" s="17">
        <v>35</v>
      </c>
      <c r="K864" s="15"/>
      <c r="L864" s="17">
        <v>1</v>
      </c>
      <c r="M864" s="17">
        <v>1</v>
      </c>
      <c r="N864" s="17">
        <v>1</v>
      </c>
      <c r="O864" s="18">
        <v>14914.37</v>
      </c>
      <c r="P864" s="18">
        <v>12224.89</v>
      </c>
      <c r="Q864" s="18">
        <v>10887.49</v>
      </c>
      <c r="R864" s="18">
        <v>8924.17</v>
      </c>
      <c r="S864" s="18">
        <v>10141.77</v>
      </c>
      <c r="T864" s="18">
        <v>8312.93</v>
      </c>
      <c r="U864" s="16"/>
      <c r="V864" s="16"/>
      <c r="W864" s="16" t="s">
        <v>40</v>
      </c>
      <c r="X864" s="19">
        <v>10.057</v>
      </c>
      <c r="Y864" s="20">
        <v>3.1581999999999999E-2</v>
      </c>
      <c r="Z864" s="21">
        <v>4601004142091</v>
      </c>
    </row>
    <row r="865" spans="1:26" ht="12" customHeight="1" outlineLevel="3" x14ac:dyDescent="0.2">
      <c r="A865" s="14" t="s">
        <v>1723</v>
      </c>
      <c r="B865" s="26" t="s">
        <v>1724</v>
      </c>
      <c r="C865" s="52"/>
      <c r="D865" s="55">
        <f t="shared" si="13"/>
        <v>0</v>
      </c>
      <c r="E865" s="63" t="str">
        <f>HYPERLINK("https://www.sds-group.ru/product/stabilizator-napryazheniya-nastennyy-asnn-500-1-ts-rexant-11-5018/", "Инфо")</f>
        <v>Инфо</v>
      </c>
      <c r="F865" s="16" t="s">
        <v>39</v>
      </c>
      <c r="G865" s="15"/>
      <c r="H865" s="15"/>
      <c r="I865" s="15"/>
      <c r="J865" s="17">
        <v>94</v>
      </c>
      <c r="K865" s="15" t="s">
        <v>1126</v>
      </c>
      <c r="L865" s="17">
        <v>1</v>
      </c>
      <c r="M865" s="17">
        <v>4</v>
      </c>
      <c r="N865" s="17">
        <v>1</v>
      </c>
      <c r="O865" s="18">
        <v>5744.51</v>
      </c>
      <c r="P865" s="18">
        <v>4708.6099999999997</v>
      </c>
      <c r="Q865" s="18">
        <v>4193.49</v>
      </c>
      <c r="R865" s="18">
        <v>3437.29</v>
      </c>
      <c r="S865" s="18">
        <v>3906.27</v>
      </c>
      <c r="T865" s="18">
        <v>3201.86</v>
      </c>
      <c r="U865" s="16"/>
      <c r="V865" s="16"/>
      <c r="W865" s="16" t="s">
        <v>40</v>
      </c>
      <c r="X865" s="19">
        <v>2.8079999999999998</v>
      </c>
      <c r="Y865" s="20">
        <v>8.3669999999999994E-3</v>
      </c>
      <c r="Z865" s="21">
        <v>4601004142138</v>
      </c>
    </row>
    <row r="866" spans="1:26" ht="12" customHeight="1" outlineLevel="3" x14ac:dyDescent="0.2">
      <c r="A866" s="14" t="s">
        <v>1725</v>
      </c>
      <c r="B866" s="26" t="s">
        <v>1726</v>
      </c>
      <c r="C866" s="52"/>
      <c r="D866" s="55">
        <f t="shared" si="13"/>
        <v>0</v>
      </c>
      <c r="E866" s="63" t="str">
        <f>HYPERLINK("https://www.sds-group.ru/product/stabilizator-napryazheniya-nastennyy-asnn-5000-1-ts-rexant-11-5013/", "Инфо")</f>
        <v>Инфо</v>
      </c>
      <c r="F866" s="16" t="s">
        <v>39</v>
      </c>
      <c r="G866" s="15"/>
      <c r="H866" s="15"/>
      <c r="I866" s="15"/>
      <c r="J866" s="17">
        <v>107</v>
      </c>
      <c r="K866" s="15"/>
      <c r="L866" s="17">
        <v>1</v>
      </c>
      <c r="M866" s="17">
        <v>2</v>
      </c>
      <c r="N866" s="17">
        <v>1</v>
      </c>
      <c r="O866" s="18">
        <v>20295.46</v>
      </c>
      <c r="P866" s="18">
        <v>16635.62</v>
      </c>
      <c r="Q866" s="18">
        <v>14815.69</v>
      </c>
      <c r="R866" s="18">
        <v>12144.01</v>
      </c>
      <c r="S866" s="18">
        <v>13800.91</v>
      </c>
      <c r="T866" s="18">
        <v>11312.22</v>
      </c>
      <c r="U866" s="16"/>
      <c r="V866" s="16"/>
      <c r="W866" s="16" t="s">
        <v>40</v>
      </c>
      <c r="X866" s="19">
        <v>10.438000000000001</v>
      </c>
      <c r="Y866" s="20">
        <v>2.0865999999999999E-2</v>
      </c>
      <c r="Z866" s="21">
        <v>4601004142084</v>
      </c>
    </row>
    <row r="867" spans="1:26" ht="12" customHeight="1" outlineLevel="3" x14ac:dyDescent="0.2">
      <c r="A867" s="14" t="s">
        <v>1727</v>
      </c>
      <c r="B867" s="26" t="s">
        <v>1728</v>
      </c>
      <c r="C867" s="52"/>
      <c r="D867" s="55">
        <f t="shared" si="13"/>
        <v>0</v>
      </c>
      <c r="E867" s="63" t="str">
        <f>HYPERLINK("https://www.sds-group.ru/product/stabilizator-napryazheniya-nastennyy-asnn-8000-1-ts-rexant-11-5012/", "Инфо")</f>
        <v>Инфо</v>
      </c>
      <c r="F867" s="16" t="s">
        <v>39</v>
      </c>
      <c r="G867" s="15"/>
      <c r="H867" s="15"/>
      <c r="I867" s="15"/>
      <c r="J867" s="17">
        <v>66</v>
      </c>
      <c r="K867" s="15"/>
      <c r="L867" s="17">
        <v>1</v>
      </c>
      <c r="M867" s="17">
        <v>1</v>
      </c>
      <c r="N867" s="17">
        <v>1</v>
      </c>
      <c r="O867" s="18">
        <v>27404.78</v>
      </c>
      <c r="P867" s="18">
        <v>22462.93</v>
      </c>
      <c r="Q867" s="18">
        <v>20005.490000000002</v>
      </c>
      <c r="R867" s="18">
        <v>16397.939999999999</v>
      </c>
      <c r="S867" s="18">
        <v>18635.25</v>
      </c>
      <c r="T867" s="18">
        <v>15274.8</v>
      </c>
      <c r="U867" s="16"/>
      <c r="V867" s="16"/>
      <c r="W867" s="16" t="s">
        <v>40</v>
      </c>
      <c r="X867" s="19">
        <v>16.547999999999998</v>
      </c>
      <c r="Y867" s="20">
        <v>4.3665000000000002E-2</v>
      </c>
      <c r="Z867" s="21">
        <v>4601004142077</v>
      </c>
    </row>
    <row r="868" spans="1:26" ht="12.95" customHeight="1" outlineLevel="2" x14ac:dyDescent="0.2">
      <c r="A868" s="82" t="s">
        <v>1729</v>
      </c>
      <c r="B868" s="82"/>
      <c r="C868" s="83"/>
      <c r="D868" s="59"/>
      <c r="E868" s="69"/>
      <c r="F868" s="23"/>
      <c r="G868" s="23"/>
      <c r="H868" s="23"/>
      <c r="I868" s="23"/>
      <c r="J868" s="23"/>
      <c r="K868" s="23"/>
      <c r="L868" s="23"/>
      <c r="M868" s="23"/>
      <c r="N868" s="23"/>
      <c r="O868" s="23"/>
      <c r="P868" s="23"/>
      <c r="Q868" s="23"/>
      <c r="R868" s="23"/>
      <c r="S868" s="23"/>
      <c r="T868" s="23"/>
      <c r="U868" s="23"/>
      <c r="V868" s="23"/>
      <c r="W868" s="23"/>
      <c r="X868" s="23"/>
      <c r="Y868" s="23"/>
      <c r="Z868" s="23"/>
    </row>
    <row r="869" spans="1:26" ht="12" customHeight="1" outlineLevel="3" x14ac:dyDescent="0.2">
      <c r="A869" s="14" t="s">
        <v>1730</v>
      </c>
      <c r="B869" s="26" t="s">
        <v>1731</v>
      </c>
      <c r="C869" s="52"/>
      <c r="D869" s="55">
        <f t="shared" si="13"/>
        <v>0</v>
      </c>
      <c r="E869" s="63" t="str">
        <f>HYPERLINK("https://www.sds-group.ru/product/stabilizator-napryazheniya-portativnyy-rex-pr-1000-rexant-11-5029/", "Инфо")</f>
        <v>Инфо</v>
      </c>
      <c r="F869" s="16" t="s">
        <v>39</v>
      </c>
      <c r="G869" s="15"/>
      <c r="H869" s="15"/>
      <c r="I869" s="15"/>
      <c r="J869" s="16" t="s">
        <v>100</v>
      </c>
      <c r="K869" s="15"/>
      <c r="L869" s="17">
        <v>1</v>
      </c>
      <c r="M869" s="17">
        <v>4</v>
      </c>
      <c r="N869" s="17">
        <v>1</v>
      </c>
      <c r="O869" s="18">
        <v>7937.91</v>
      </c>
      <c r="P869" s="18">
        <v>6506.48</v>
      </c>
      <c r="Q869" s="18">
        <v>5794.67</v>
      </c>
      <c r="R869" s="18">
        <v>4749.7299999999996</v>
      </c>
      <c r="S869" s="18">
        <v>5397.78</v>
      </c>
      <c r="T869" s="18">
        <v>4424.41</v>
      </c>
      <c r="U869" s="16"/>
      <c r="V869" s="16"/>
      <c r="W869" s="16" t="s">
        <v>40</v>
      </c>
      <c r="X869" s="19">
        <v>3.5760000000000001</v>
      </c>
      <c r="Y869" s="20">
        <v>1.2274999999999999E-2</v>
      </c>
      <c r="Z869" s="21">
        <v>4601004249325</v>
      </c>
    </row>
    <row r="870" spans="1:26" ht="12.95" customHeight="1" outlineLevel="2" x14ac:dyDescent="0.2">
      <c r="A870" s="82" t="s">
        <v>1732</v>
      </c>
      <c r="B870" s="82"/>
      <c r="C870" s="83"/>
      <c r="D870" s="59"/>
      <c r="E870" s="69"/>
      <c r="F870" s="23"/>
      <c r="G870" s="23"/>
      <c r="H870" s="23"/>
      <c r="I870" s="23"/>
      <c r="J870" s="23"/>
      <c r="K870" s="23"/>
      <c r="L870" s="23"/>
      <c r="M870" s="23"/>
      <c r="N870" s="23"/>
      <c r="O870" s="23"/>
      <c r="P870" s="23"/>
      <c r="Q870" s="23"/>
      <c r="R870" s="23"/>
      <c r="S870" s="23"/>
      <c r="T870" s="23"/>
      <c r="U870" s="23"/>
      <c r="V870" s="23"/>
      <c r="W870" s="23"/>
      <c r="X870" s="23"/>
      <c r="Y870" s="23"/>
      <c r="Z870" s="23"/>
    </row>
    <row r="871" spans="1:26" ht="12" customHeight="1" outlineLevel="3" x14ac:dyDescent="0.2">
      <c r="A871" s="14" t="s">
        <v>1733</v>
      </c>
      <c r="B871" s="26" t="s">
        <v>1734</v>
      </c>
      <c r="C871" s="52"/>
      <c r="D871" s="55">
        <f t="shared" si="13"/>
        <v>0</v>
      </c>
      <c r="E871" s="63" t="str">
        <f>HYPERLINK("https://www.sds-group.ru/product/stabilizator-ponizhennogo-napryazheniya-rex-fr-1000-rexant-11-5021/", "Инфо")</f>
        <v>Инфо</v>
      </c>
      <c r="F871" s="16" t="s">
        <v>39</v>
      </c>
      <c r="G871" s="15"/>
      <c r="H871" s="15"/>
      <c r="I871" s="15"/>
      <c r="J871" s="16" t="s">
        <v>100</v>
      </c>
      <c r="K871" s="15"/>
      <c r="L871" s="17">
        <v>1</v>
      </c>
      <c r="M871" s="17">
        <v>4</v>
      </c>
      <c r="N871" s="17">
        <v>1</v>
      </c>
      <c r="O871" s="18">
        <v>8439.15</v>
      </c>
      <c r="P871" s="18">
        <v>6917.34</v>
      </c>
      <c r="Q871" s="18">
        <v>6160.58</v>
      </c>
      <c r="R871" s="18">
        <v>5049.66</v>
      </c>
      <c r="S871" s="18">
        <v>5738.62</v>
      </c>
      <c r="T871" s="18">
        <v>4703.79</v>
      </c>
      <c r="U871" s="16"/>
      <c r="V871" s="16"/>
      <c r="W871" s="16" t="s">
        <v>40</v>
      </c>
      <c r="X871" s="19">
        <v>3.899</v>
      </c>
      <c r="Y871" s="20">
        <v>1.1342E-2</v>
      </c>
      <c r="Z871" s="21">
        <v>4601004249141</v>
      </c>
    </row>
    <row r="872" spans="1:26" ht="12" customHeight="1" outlineLevel="3" x14ac:dyDescent="0.2">
      <c r="A872" s="14" t="s">
        <v>1735</v>
      </c>
      <c r="B872" s="26" t="s">
        <v>1736</v>
      </c>
      <c r="C872" s="52"/>
      <c r="D872" s="55">
        <f t="shared" si="13"/>
        <v>0</v>
      </c>
      <c r="E872" s="63" t="str">
        <f>HYPERLINK("https://www.sds-group.ru/product/stabilizator-ponizhennogo-napryazheniya-rex-fr-10000-rexant-11-5027/", "Инфо")</f>
        <v>Инфо</v>
      </c>
      <c r="F872" s="16" t="s">
        <v>39</v>
      </c>
      <c r="G872" s="15"/>
      <c r="H872" s="15"/>
      <c r="I872" s="15"/>
      <c r="J872" s="16" t="s">
        <v>100</v>
      </c>
      <c r="K872" s="15"/>
      <c r="L872" s="17">
        <v>1</v>
      </c>
      <c r="M872" s="17">
        <v>1</v>
      </c>
      <c r="N872" s="17">
        <v>1</v>
      </c>
      <c r="O872" s="18">
        <v>30896.04</v>
      </c>
      <c r="P872" s="18">
        <v>25324.62</v>
      </c>
      <c r="Q872" s="18">
        <v>22554.11</v>
      </c>
      <c r="R872" s="18">
        <v>18486.98</v>
      </c>
      <c r="S872" s="18">
        <v>21009.31</v>
      </c>
      <c r="T872" s="18">
        <v>17220.75</v>
      </c>
      <c r="U872" s="16"/>
      <c r="V872" s="16"/>
      <c r="W872" s="16" t="s">
        <v>40</v>
      </c>
      <c r="X872" s="19">
        <v>18.966000000000001</v>
      </c>
      <c r="Y872" s="20">
        <v>5.7327999999999997E-2</v>
      </c>
      <c r="Z872" s="21">
        <v>4601004249202</v>
      </c>
    </row>
    <row r="873" spans="1:26" ht="12" customHeight="1" outlineLevel="3" x14ac:dyDescent="0.2">
      <c r="A873" s="14" t="s">
        <v>1737</v>
      </c>
      <c r="B873" s="26" t="s">
        <v>1738</v>
      </c>
      <c r="C873" s="52"/>
      <c r="D873" s="55">
        <f t="shared" si="13"/>
        <v>0</v>
      </c>
      <c r="E873" s="63" t="str">
        <f>HYPERLINK("https://www.sds-group.ru/product/stabilizator-ponizhennogo-napryazheniya-rex-fr-3000-rexant-11-5024/", "Инфо")</f>
        <v>Инфо</v>
      </c>
      <c r="F873" s="16" t="s">
        <v>39</v>
      </c>
      <c r="G873" s="15"/>
      <c r="H873" s="15"/>
      <c r="I873" s="15"/>
      <c r="J873" s="17">
        <v>34</v>
      </c>
      <c r="K873" s="15"/>
      <c r="L873" s="17">
        <v>1</v>
      </c>
      <c r="M873" s="17">
        <v>2</v>
      </c>
      <c r="N873" s="17">
        <v>1</v>
      </c>
      <c r="O873" s="18">
        <v>15405.65</v>
      </c>
      <c r="P873" s="18">
        <v>12627.58</v>
      </c>
      <c r="Q873" s="18">
        <v>11246.12</v>
      </c>
      <c r="R873" s="18">
        <v>9218.1299999999992</v>
      </c>
      <c r="S873" s="18">
        <v>10475.84</v>
      </c>
      <c r="T873" s="18">
        <v>8586.75</v>
      </c>
      <c r="U873" s="16"/>
      <c r="V873" s="16"/>
      <c r="W873" s="16" t="s">
        <v>40</v>
      </c>
      <c r="X873" s="19">
        <v>8.8019999999999996</v>
      </c>
      <c r="Y873" s="20">
        <v>3.0956000000000001E-2</v>
      </c>
      <c r="Z873" s="21">
        <v>4601004249172</v>
      </c>
    </row>
    <row r="874" spans="1:26" ht="12" customHeight="1" outlineLevel="3" x14ac:dyDescent="0.2">
      <c r="A874" s="14" t="s">
        <v>1739</v>
      </c>
      <c r="B874" s="26" t="s">
        <v>1740</v>
      </c>
      <c r="C874" s="52"/>
      <c r="D874" s="55">
        <f t="shared" si="13"/>
        <v>0</v>
      </c>
      <c r="E874" s="63" t="str">
        <f>HYPERLINK("https://www.sds-group.ru/product/stabilizator-ponizhennogo-napryazheniya-rex-fr-500-rexant-11-5019/", "Инфо")</f>
        <v>Инфо</v>
      </c>
      <c r="F874" s="16" t="s">
        <v>39</v>
      </c>
      <c r="G874" s="15"/>
      <c r="H874" s="15"/>
      <c r="I874" s="15"/>
      <c r="J874" s="17">
        <v>223</v>
      </c>
      <c r="K874" s="15"/>
      <c r="L874" s="17">
        <v>1</v>
      </c>
      <c r="M874" s="17">
        <v>6</v>
      </c>
      <c r="N874" s="17">
        <v>1</v>
      </c>
      <c r="O874" s="18">
        <v>5225.1099999999997</v>
      </c>
      <c r="P874" s="18">
        <v>4282.88</v>
      </c>
      <c r="Q874" s="18">
        <v>3814.33</v>
      </c>
      <c r="R874" s="18">
        <v>3126.5</v>
      </c>
      <c r="S874" s="18">
        <v>3553.07</v>
      </c>
      <c r="T874" s="18">
        <v>2912.35</v>
      </c>
      <c r="U874" s="16"/>
      <c r="V874" s="16"/>
      <c r="W874" s="16" t="s">
        <v>40</v>
      </c>
      <c r="X874" s="19">
        <v>2.5270000000000001</v>
      </c>
      <c r="Y874" s="20">
        <v>7.7629999999999999E-3</v>
      </c>
      <c r="Z874" s="21">
        <v>4601004249134</v>
      </c>
    </row>
    <row r="875" spans="1:26" ht="12" customHeight="1" outlineLevel="3" x14ac:dyDescent="0.2">
      <c r="A875" s="14" t="s">
        <v>1741</v>
      </c>
      <c r="B875" s="26" t="s">
        <v>1742</v>
      </c>
      <c r="C875" s="52"/>
      <c r="D875" s="55">
        <f t="shared" si="13"/>
        <v>0</v>
      </c>
      <c r="E875" s="63" t="str">
        <f>HYPERLINK("https://www.sds-group.ru/product/stabilizator-ponizhennogo-napryazheniya-rex-fr-5000-rexant-11-5025/", "Инфо")</f>
        <v>Инфо</v>
      </c>
      <c r="F875" s="16" t="s">
        <v>39</v>
      </c>
      <c r="G875" s="15"/>
      <c r="H875" s="15"/>
      <c r="I875" s="15"/>
      <c r="J875" s="17">
        <v>2</v>
      </c>
      <c r="K875" s="15" t="s">
        <v>1126</v>
      </c>
      <c r="L875" s="17">
        <v>1</v>
      </c>
      <c r="M875" s="17">
        <v>2</v>
      </c>
      <c r="N875" s="17">
        <v>1</v>
      </c>
      <c r="O875" s="18">
        <v>18810.3</v>
      </c>
      <c r="P875" s="18">
        <v>15418.28</v>
      </c>
      <c r="Q875" s="18">
        <v>13731.52</v>
      </c>
      <c r="R875" s="18">
        <v>11255.34</v>
      </c>
      <c r="S875" s="18">
        <v>12791</v>
      </c>
      <c r="T875" s="18">
        <v>10484.43</v>
      </c>
      <c r="U875" s="16"/>
      <c r="V875" s="16"/>
      <c r="W875" s="16" t="s">
        <v>40</v>
      </c>
      <c r="X875" s="19">
        <v>11.593999999999999</v>
      </c>
      <c r="Y875" s="20">
        <v>3.6908999999999997E-2</v>
      </c>
      <c r="Z875" s="21">
        <v>4601004249189</v>
      </c>
    </row>
    <row r="876" spans="1:26" ht="12" customHeight="1" outlineLevel="3" x14ac:dyDescent="0.2">
      <c r="A876" s="14" t="s">
        <v>1743</v>
      </c>
      <c r="B876" s="26" t="s">
        <v>1744</v>
      </c>
      <c r="C876" s="52"/>
      <c r="D876" s="55">
        <f t="shared" si="13"/>
        <v>0</v>
      </c>
      <c r="E876" s="63" t="str">
        <f>HYPERLINK("https://www.sds-group.ru/product/stabilizator-ponizhennogo-napryazheniya-rex-fr-8000-rexant-11-5026/", "Инфо")</f>
        <v>Инфо</v>
      </c>
      <c r="F876" s="16" t="s">
        <v>39</v>
      </c>
      <c r="G876" s="15"/>
      <c r="H876" s="15"/>
      <c r="I876" s="15"/>
      <c r="J876" s="17">
        <v>27</v>
      </c>
      <c r="K876" s="15"/>
      <c r="L876" s="17">
        <v>1</v>
      </c>
      <c r="M876" s="17">
        <v>1</v>
      </c>
      <c r="N876" s="17">
        <v>1</v>
      </c>
      <c r="O876" s="18">
        <v>27627.94</v>
      </c>
      <c r="P876" s="18">
        <v>22645.85</v>
      </c>
      <c r="Q876" s="18">
        <v>20168.400000000001</v>
      </c>
      <c r="R876" s="18">
        <v>16531.48</v>
      </c>
      <c r="S876" s="18">
        <v>18787</v>
      </c>
      <c r="T876" s="18">
        <v>15399.18</v>
      </c>
      <c r="U876" s="16"/>
      <c r="V876" s="16"/>
      <c r="W876" s="16" t="s">
        <v>40</v>
      </c>
      <c r="X876" s="19">
        <v>15.792999999999999</v>
      </c>
      <c r="Y876" s="20">
        <v>4.2139999999999997E-2</v>
      </c>
      <c r="Z876" s="21">
        <v>4601004249196</v>
      </c>
    </row>
    <row r="877" spans="1:26" ht="12.95" customHeight="1" outlineLevel="2" x14ac:dyDescent="0.2">
      <c r="A877" s="82" t="s">
        <v>1745</v>
      </c>
      <c r="B877" s="82"/>
      <c r="C877" s="83"/>
      <c r="D877" s="59"/>
      <c r="E877" s="69"/>
      <c r="F877" s="23"/>
      <c r="G877" s="23"/>
      <c r="H877" s="23"/>
      <c r="I877" s="23"/>
      <c r="J877" s="23"/>
      <c r="K877" s="23"/>
      <c r="L877" s="23"/>
      <c r="M877" s="23"/>
      <c r="N877" s="23"/>
      <c r="O877" s="23"/>
      <c r="P877" s="23"/>
      <c r="Q877" s="23"/>
      <c r="R877" s="23"/>
      <c r="S877" s="23"/>
      <c r="T877" s="23"/>
      <c r="U877" s="23"/>
      <c r="V877" s="23"/>
      <c r="W877" s="23"/>
      <c r="X877" s="23"/>
      <c r="Y877" s="23"/>
      <c r="Z877" s="23"/>
    </row>
    <row r="878" spans="1:26" ht="12" customHeight="1" outlineLevel="3" x14ac:dyDescent="0.2">
      <c r="A878" s="14" t="s">
        <v>1746</v>
      </c>
      <c r="B878" s="26" t="s">
        <v>1747</v>
      </c>
      <c r="C878" s="52"/>
      <c r="D878" s="55">
        <f t="shared" si="13"/>
        <v>0</v>
      </c>
      <c r="E878" s="63" t="str">
        <f>HYPERLINK("https://www.sds-group.ru/product/stabilizator-ponizhennogo-napryazheniya-nastennyy-rex-wr-1000-rexant-11-5042/", "Инфо")</f>
        <v>Инфо</v>
      </c>
      <c r="F878" s="16" t="s">
        <v>39</v>
      </c>
      <c r="G878" s="15"/>
      <c r="H878" s="15"/>
      <c r="I878" s="15"/>
      <c r="J878" s="17">
        <v>76</v>
      </c>
      <c r="K878" s="15"/>
      <c r="L878" s="17">
        <v>1</v>
      </c>
      <c r="M878" s="17">
        <v>4</v>
      </c>
      <c r="N878" s="17">
        <v>1</v>
      </c>
      <c r="O878" s="18">
        <v>7580.91</v>
      </c>
      <c r="P878" s="18">
        <v>6213.86</v>
      </c>
      <c r="Q878" s="18">
        <v>5534.06</v>
      </c>
      <c r="R878" s="18">
        <v>4536.1099999999997</v>
      </c>
      <c r="S878" s="18">
        <v>5155.0200000000004</v>
      </c>
      <c r="T878" s="18">
        <v>4225.43</v>
      </c>
      <c r="U878" s="16"/>
      <c r="V878" s="16"/>
      <c r="W878" s="16" t="s">
        <v>40</v>
      </c>
      <c r="X878" s="19">
        <v>4.7240000000000002</v>
      </c>
      <c r="Y878" s="20">
        <v>1.6885000000000001E-2</v>
      </c>
      <c r="Z878" s="21">
        <v>4601004249233</v>
      </c>
    </row>
    <row r="879" spans="1:26" ht="12" customHeight="1" outlineLevel="3" x14ac:dyDescent="0.2">
      <c r="A879" s="14" t="s">
        <v>1748</v>
      </c>
      <c r="B879" s="26" t="s">
        <v>1749</v>
      </c>
      <c r="C879" s="52"/>
      <c r="D879" s="55">
        <f t="shared" si="13"/>
        <v>0</v>
      </c>
      <c r="E879" s="63" t="str">
        <f>HYPERLINK("https://www.sds-group.ru/product/stabilizator-ponizhennogo-napryazheniya-nastennyy-rex-wr-10000-rexant-11-5048/", "Инфо")</f>
        <v>Инфо</v>
      </c>
      <c r="F879" s="16" t="s">
        <v>39</v>
      </c>
      <c r="G879" s="15"/>
      <c r="H879" s="15"/>
      <c r="I879" s="15"/>
      <c r="J879" s="17">
        <v>14</v>
      </c>
      <c r="K879" s="15"/>
      <c r="L879" s="17">
        <v>1</v>
      </c>
      <c r="M879" s="17">
        <v>1</v>
      </c>
      <c r="N879" s="17">
        <v>1</v>
      </c>
      <c r="O879" s="18">
        <v>29558.63</v>
      </c>
      <c r="P879" s="18">
        <v>24228.39</v>
      </c>
      <c r="Q879" s="18">
        <v>21577.8</v>
      </c>
      <c r="R879" s="18">
        <v>17686.72</v>
      </c>
      <c r="S879" s="18">
        <v>20099.87</v>
      </c>
      <c r="T879" s="18">
        <v>16475.3</v>
      </c>
      <c r="U879" s="16"/>
      <c r="V879" s="16"/>
      <c r="W879" s="16" t="s">
        <v>40</v>
      </c>
      <c r="X879" s="19">
        <v>18.597000000000001</v>
      </c>
      <c r="Y879" s="20">
        <v>4.1571999999999998E-2</v>
      </c>
      <c r="Z879" s="21">
        <v>4601004249295</v>
      </c>
    </row>
    <row r="880" spans="1:26" ht="12" customHeight="1" outlineLevel="3" x14ac:dyDescent="0.2">
      <c r="A880" s="14" t="s">
        <v>1750</v>
      </c>
      <c r="B880" s="26" t="s">
        <v>1751</v>
      </c>
      <c r="C880" s="52"/>
      <c r="D880" s="55">
        <f t="shared" si="13"/>
        <v>0</v>
      </c>
      <c r="E880" s="63" t="str">
        <f>HYPERLINK("https://www.sds-group.ru/product/stabilizator-ponizhennogo-napryazheniya-nastennyy-rex-wr-1500-rexant-11-5043/", "Инфо")</f>
        <v>Инфо</v>
      </c>
      <c r="F880" s="16" t="s">
        <v>39</v>
      </c>
      <c r="G880" s="15"/>
      <c r="H880" s="15"/>
      <c r="I880" s="15"/>
      <c r="J880" s="17">
        <v>9</v>
      </c>
      <c r="K880" s="15"/>
      <c r="L880" s="17">
        <v>1</v>
      </c>
      <c r="M880" s="17">
        <v>4</v>
      </c>
      <c r="N880" s="17">
        <v>1</v>
      </c>
      <c r="O880" s="18">
        <v>9773.69</v>
      </c>
      <c r="P880" s="18">
        <v>8011.22</v>
      </c>
      <c r="Q880" s="18">
        <v>7134.79</v>
      </c>
      <c r="R880" s="18">
        <v>5848.19</v>
      </c>
      <c r="S880" s="18">
        <v>6646.11</v>
      </c>
      <c r="T880" s="18">
        <v>5447.63</v>
      </c>
      <c r="U880" s="16"/>
      <c r="V880" s="16"/>
      <c r="W880" s="16" t="s">
        <v>40</v>
      </c>
      <c r="X880" s="19">
        <v>5.3140000000000001</v>
      </c>
      <c r="Y880" s="20">
        <v>1.6837000000000001E-2</v>
      </c>
      <c r="Z880" s="21">
        <v>4601004249240</v>
      </c>
    </row>
    <row r="881" spans="1:26" ht="12" customHeight="1" outlineLevel="3" x14ac:dyDescent="0.2">
      <c r="A881" s="14" t="s">
        <v>1752</v>
      </c>
      <c r="B881" s="26" t="s">
        <v>1753</v>
      </c>
      <c r="C881" s="52"/>
      <c r="D881" s="55">
        <f t="shared" si="13"/>
        <v>0</v>
      </c>
      <c r="E881" s="63" t="str">
        <f>HYPERLINK("https://www.sds-group.ru/product/stabilizator-ponizhennogo-napryazheniya-nastennyy-rex-wr-2000-rexant-11-5044/", "Инфо")</f>
        <v>Инфо</v>
      </c>
      <c r="F881" s="16" t="s">
        <v>39</v>
      </c>
      <c r="G881" s="15"/>
      <c r="H881" s="15"/>
      <c r="I881" s="15"/>
      <c r="J881" s="17">
        <v>66</v>
      </c>
      <c r="K881" s="15"/>
      <c r="L881" s="17">
        <v>1</v>
      </c>
      <c r="M881" s="17">
        <v>4</v>
      </c>
      <c r="N881" s="17">
        <v>1</v>
      </c>
      <c r="O881" s="18">
        <v>10887.78</v>
      </c>
      <c r="P881" s="18">
        <v>8924.41</v>
      </c>
      <c r="Q881" s="18">
        <v>7948.08</v>
      </c>
      <c r="R881" s="18">
        <v>6514.82</v>
      </c>
      <c r="S881" s="18">
        <v>7403.69</v>
      </c>
      <c r="T881" s="18">
        <v>6068.6</v>
      </c>
      <c r="U881" s="16"/>
      <c r="V881" s="16"/>
      <c r="W881" s="16" t="s">
        <v>40</v>
      </c>
      <c r="X881" s="19">
        <v>5.7359999999999998</v>
      </c>
      <c r="Y881" s="20">
        <v>1.6601000000000001E-2</v>
      </c>
      <c r="Z881" s="21">
        <v>4601004249257</v>
      </c>
    </row>
    <row r="882" spans="1:26" ht="12" customHeight="1" outlineLevel="3" x14ac:dyDescent="0.2">
      <c r="A882" s="14" t="s">
        <v>1754</v>
      </c>
      <c r="B882" s="26" t="s">
        <v>1755</v>
      </c>
      <c r="C882" s="52"/>
      <c r="D882" s="55">
        <f t="shared" si="13"/>
        <v>0</v>
      </c>
      <c r="E882" s="63" t="str">
        <f>HYPERLINK("https://www.sds-group.ru/product/stabilizator-ponizhennogo-napryazheniya-nastennyy-rex-wr-3000-rexant-11-5045/", "Инфо")</f>
        <v>Инфо</v>
      </c>
      <c r="F882" s="16" t="s">
        <v>39</v>
      </c>
      <c r="G882" s="15"/>
      <c r="H882" s="15"/>
      <c r="I882" s="15"/>
      <c r="J882" s="17">
        <v>45</v>
      </c>
      <c r="K882" s="15"/>
      <c r="L882" s="17">
        <v>1</v>
      </c>
      <c r="M882" s="17">
        <v>2</v>
      </c>
      <c r="N882" s="17">
        <v>1</v>
      </c>
      <c r="O882" s="18">
        <v>16620.84</v>
      </c>
      <c r="P882" s="18">
        <v>13623.64</v>
      </c>
      <c r="Q882" s="18">
        <v>12133.21</v>
      </c>
      <c r="R882" s="18">
        <v>9945.25</v>
      </c>
      <c r="S882" s="18">
        <v>11302.17</v>
      </c>
      <c r="T882" s="18">
        <v>9264.07</v>
      </c>
      <c r="U882" s="16"/>
      <c r="V882" s="16"/>
      <c r="W882" s="16" t="s">
        <v>40</v>
      </c>
      <c r="X882" s="19">
        <v>9.2669999999999995</v>
      </c>
      <c r="Y882" s="20">
        <v>2.3501999999999999E-2</v>
      </c>
      <c r="Z882" s="21">
        <v>4601004249264</v>
      </c>
    </row>
    <row r="883" spans="1:26" ht="12" customHeight="1" outlineLevel="3" x14ac:dyDescent="0.2">
      <c r="A883" s="14" t="s">
        <v>1756</v>
      </c>
      <c r="B883" s="26" t="s">
        <v>1757</v>
      </c>
      <c r="C883" s="52"/>
      <c r="D883" s="55">
        <f t="shared" si="13"/>
        <v>0</v>
      </c>
      <c r="E883" s="63" t="str">
        <f>HYPERLINK("https://www.sds-group.ru/product/stabilizator-ponizhennogo-napryazheniya-nastennyy-rex-wr-500-rexant-11-5041/", "Инфо")</f>
        <v>Инфо</v>
      </c>
      <c r="F883" s="16" t="s">
        <v>39</v>
      </c>
      <c r="G883" s="15"/>
      <c r="H883" s="15"/>
      <c r="I883" s="15"/>
      <c r="J883" s="16" t="s">
        <v>100</v>
      </c>
      <c r="K883" s="15"/>
      <c r="L883" s="17">
        <v>1</v>
      </c>
      <c r="M883" s="17">
        <v>4</v>
      </c>
      <c r="N883" s="17">
        <v>1</v>
      </c>
      <c r="O883" s="18">
        <v>6548.9</v>
      </c>
      <c r="P883" s="18">
        <v>5367.95</v>
      </c>
      <c r="Q883" s="18">
        <v>4780.7</v>
      </c>
      <c r="R883" s="18">
        <v>3918.61</v>
      </c>
      <c r="S883" s="18">
        <v>4453.25</v>
      </c>
      <c r="T883" s="18">
        <v>3650.2</v>
      </c>
      <c r="U883" s="16"/>
      <c r="V883" s="16"/>
      <c r="W883" s="16" t="s">
        <v>40</v>
      </c>
      <c r="X883" s="19">
        <v>3.7080000000000002</v>
      </c>
      <c r="Y883" s="20">
        <v>1.6684000000000001E-2</v>
      </c>
      <c r="Z883" s="21">
        <v>4601004249226</v>
      </c>
    </row>
    <row r="884" spans="1:26" ht="12" customHeight="1" outlineLevel="3" x14ac:dyDescent="0.2">
      <c r="A884" s="14" t="s">
        <v>1758</v>
      </c>
      <c r="B884" s="26" t="s">
        <v>1759</v>
      </c>
      <c r="C884" s="52"/>
      <c r="D884" s="55">
        <f t="shared" si="13"/>
        <v>0</v>
      </c>
      <c r="E884" s="63" t="str">
        <f>HYPERLINK("https://www.sds-group.ru/product/stabilizator-ponizhennogo-napryazheniya-nastennyy-rex-wr-5000-rexant-11-5046/", "Инфо")</f>
        <v>Инфо</v>
      </c>
      <c r="F884" s="16" t="s">
        <v>39</v>
      </c>
      <c r="G884" s="15"/>
      <c r="H884" s="15"/>
      <c r="I884" s="15"/>
      <c r="J884" s="17">
        <v>14</v>
      </c>
      <c r="K884" s="15"/>
      <c r="L884" s="17">
        <v>1</v>
      </c>
      <c r="M884" s="17">
        <v>2</v>
      </c>
      <c r="N884" s="17">
        <v>1</v>
      </c>
      <c r="O884" s="18">
        <v>19101.23</v>
      </c>
      <c r="P884" s="18">
        <v>15656.75</v>
      </c>
      <c r="Q884" s="18">
        <v>13943.9</v>
      </c>
      <c r="R884" s="18">
        <v>11429.43</v>
      </c>
      <c r="S884" s="18">
        <v>12988.84</v>
      </c>
      <c r="T884" s="18">
        <v>10646.59</v>
      </c>
      <c r="U884" s="16"/>
      <c r="V884" s="16"/>
      <c r="W884" s="16" t="s">
        <v>40</v>
      </c>
      <c r="X884" s="19">
        <v>11.214</v>
      </c>
      <c r="Y884" s="20">
        <v>2.3529999999999999E-2</v>
      </c>
      <c r="Z884" s="21">
        <v>4601004249271</v>
      </c>
    </row>
    <row r="885" spans="1:26" ht="12" customHeight="1" outlineLevel="3" x14ac:dyDescent="0.2">
      <c r="A885" s="14" t="s">
        <v>1760</v>
      </c>
      <c r="B885" s="26" t="s">
        <v>1761</v>
      </c>
      <c r="C885" s="52"/>
      <c r="D885" s="55">
        <f t="shared" si="13"/>
        <v>0</v>
      </c>
      <c r="E885" s="63" t="str">
        <f>HYPERLINK("https://www.sds-group.ru/product/stabilizator-ponizhennogo-napryazheniya-nastennyy-rex-wr-8000-rexant-11-5047/", "Инфо")</f>
        <v>Инфо</v>
      </c>
      <c r="F885" s="16" t="s">
        <v>39</v>
      </c>
      <c r="G885" s="15"/>
      <c r="H885" s="15"/>
      <c r="I885" s="15"/>
      <c r="J885" s="16" t="s">
        <v>100</v>
      </c>
      <c r="K885" s="15"/>
      <c r="L885" s="17">
        <v>1</v>
      </c>
      <c r="M885" s="17">
        <v>1</v>
      </c>
      <c r="N885" s="17">
        <v>1</v>
      </c>
      <c r="O885" s="18">
        <v>27520.44</v>
      </c>
      <c r="P885" s="18">
        <v>22557.74</v>
      </c>
      <c r="Q885" s="18">
        <v>20089.919999999998</v>
      </c>
      <c r="R885" s="18">
        <v>16467.150000000001</v>
      </c>
      <c r="S885" s="18">
        <v>18713.900000000001</v>
      </c>
      <c r="T885" s="18">
        <v>15339.26</v>
      </c>
      <c r="U885" s="16"/>
      <c r="V885" s="16"/>
      <c r="W885" s="16" t="s">
        <v>40</v>
      </c>
      <c r="X885" s="19">
        <v>16.655000000000001</v>
      </c>
      <c r="Y885" s="20">
        <v>4.1113999999999998E-2</v>
      </c>
      <c r="Z885" s="21">
        <v>4601004249288</v>
      </c>
    </row>
    <row r="886" spans="1:26" ht="12.95" customHeight="1" outlineLevel="1" x14ac:dyDescent="0.2">
      <c r="A886" s="78" t="s">
        <v>1762</v>
      </c>
      <c r="B886" s="78"/>
      <c r="C886" s="79"/>
      <c r="D886" s="57"/>
      <c r="E886" s="67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</row>
    <row r="887" spans="1:26" ht="12.95" customHeight="1" outlineLevel="2" x14ac:dyDescent="0.2">
      <c r="A887" s="76" t="s">
        <v>1763</v>
      </c>
      <c r="B887" s="76"/>
      <c r="C887" s="77"/>
      <c r="D887" s="58"/>
      <c r="E887" s="68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  <c r="Z887" s="13"/>
    </row>
    <row r="888" spans="1:26" ht="12.95" customHeight="1" outlineLevel="3" x14ac:dyDescent="0.2">
      <c r="A888" s="76" t="s">
        <v>1764</v>
      </c>
      <c r="B888" s="76"/>
      <c r="C888" s="77"/>
      <c r="D888" s="58"/>
      <c r="E888" s="68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  <c r="Z888" s="13"/>
    </row>
    <row r="889" spans="1:26" ht="12" customHeight="1" outlineLevel="4" x14ac:dyDescent="0.2">
      <c r="A889" s="14" t="s">
        <v>1765</v>
      </c>
      <c r="B889" s="26" t="s">
        <v>1766</v>
      </c>
      <c r="C889" s="52"/>
      <c r="D889" s="55">
        <f t="shared" si="13"/>
        <v>0</v>
      </c>
      <c r="E889" s="63" t="str">
        <f>HYPERLINK("https://www.sds-group.ru/product/kabel-kanal-100h40mm-belyy-rexant-28-0040-2/", "Инфо")</f>
        <v>Инфо</v>
      </c>
      <c r="F889" s="16" t="s">
        <v>1767</v>
      </c>
      <c r="G889" s="15"/>
      <c r="H889" s="15"/>
      <c r="I889" s="15"/>
      <c r="J889" s="17">
        <v>336</v>
      </c>
      <c r="K889" s="15"/>
      <c r="L889" s="17">
        <v>8</v>
      </c>
      <c r="M889" s="17">
        <v>8</v>
      </c>
      <c r="N889" s="17">
        <v>8</v>
      </c>
      <c r="O889" s="18">
        <v>527.13</v>
      </c>
      <c r="P889" s="18">
        <v>432.07</v>
      </c>
      <c r="Q889" s="18">
        <v>448.06</v>
      </c>
      <c r="R889" s="18">
        <v>367.26</v>
      </c>
      <c r="S889" s="18">
        <v>358.45</v>
      </c>
      <c r="T889" s="18">
        <v>293.81</v>
      </c>
      <c r="U889" s="16"/>
      <c r="V889" s="16"/>
      <c r="W889" s="16" t="s">
        <v>40</v>
      </c>
      <c r="X889" s="19">
        <v>0.65</v>
      </c>
      <c r="Y889" s="20">
        <v>3.9579999999999997E-3</v>
      </c>
      <c r="Z889" s="21">
        <v>4601004165984</v>
      </c>
    </row>
    <row r="890" spans="1:26" ht="12" customHeight="1" outlineLevel="4" x14ac:dyDescent="0.2">
      <c r="A890" s="14" t="s">
        <v>1768</v>
      </c>
      <c r="B890" s="26" t="s">
        <v>1769</v>
      </c>
      <c r="C890" s="52"/>
      <c r="D890" s="55">
        <f t="shared" si="13"/>
        <v>0</v>
      </c>
      <c r="E890" s="63" t="str">
        <f>HYPERLINK("https://www.sds-group.ru/product/kabel-kanal-100h60mm-belyy-rexant-28-0060-2/", "Инфо")</f>
        <v>Инфо</v>
      </c>
      <c r="F890" s="16" t="s">
        <v>1767</v>
      </c>
      <c r="G890" s="15"/>
      <c r="H890" s="15"/>
      <c r="I890" s="15"/>
      <c r="J890" s="16" t="s">
        <v>100</v>
      </c>
      <c r="K890" s="15" t="s">
        <v>1408</v>
      </c>
      <c r="L890" s="17">
        <v>8</v>
      </c>
      <c r="M890" s="17">
        <v>8</v>
      </c>
      <c r="N890" s="17">
        <v>8</v>
      </c>
      <c r="O890" s="18">
        <v>603.95000000000005</v>
      </c>
      <c r="P890" s="18">
        <v>495.04</v>
      </c>
      <c r="Q890" s="18">
        <v>483.16</v>
      </c>
      <c r="R890" s="18">
        <v>396.03</v>
      </c>
      <c r="S890" s="18">
        <v>410.69</v>
      </c>
      <c r="T890" s="18">
        <v>336.63</v>
      </c>
      <c r="U890" s="16"/>
      <c r="V890" s="16"/>
      <c r="W890" s="16" t="s">
        <v>40</v>
      </c>
      <c r="X890" s="19">
        <v>0.85699999999999998</v>
      </c>
      <c r="Y890" s="20">
        <v>6.2500000000000003E-3</v>
      </c>
      <c r="Z890" s="21">
        <v>4601004165991</v>
      </c>
    </row>
    <row r="891" spans="1:26" ht="12" customHeight="1" outlineLevel="4" x14ac:dyDescent="0.2">
      <c r="A891" s="14" t="s">
        <v>1770</v>
      </c>
      <c r="B891" s="26" t="s">
        <v>1771</v>
      </c>
      <c r="C891" s="52"/>
      <c r="D891" s="55">
        <f t="shared" si="13"/>
        <v>0</v>
      </c>
      <c r="E891" s="63" t="str">
        <f>HYPERLINK("https://www.sds-group.ru/product/kabel-kanal-12h12mm-belyy-rexant-28-1212-2/", "Инфо")</f>
        <v>Инфо</v>
      </c>
      <c r="F891" s="16" t="s">
        <v>1767</v>
      </c>
      <c r="G891" s="15"/>
      <c r="H891" s="15"/>
      <c r="I891" s="15"/>
      <c r="J891" s="16" t="s">
        <v>100</v>
      </c>
      <c r="K891" s="15" t="s">
        <v>1408</v>
      </c>
      <c r="L891" s="17">
        <v>140</v>
      </c>
      <c r="M891" s="17">
        <v>140</v>
      </c>
      <c r="N891" s="17">
        <v>140</v>
      </c>
      <c r="O891" s="18">
        <v>39.71</v>
      </c>
      <c r="P891" s="18">
        <v>32.549999999999997</v>
      </c>
      <c r="Q891" s="18">
        <v>33.75</v>
      </c>
      <c r="R891" s="18">
        <v>27.66</v>
      </c>
      <c r="S891" s="18">
        <v>27</v>
      </c>
      <c r="T891" s="18">
        <v>22.13</v>
      </c>
      <c r="U891" s="16"/>
      <c r="V891" s="16"/>
      <c r="W891" s="16" t="s">
        <v>40</v>
      </c>
      <c r="X891" s="19">
        <v>0.06</v>
      </c>
      <c r="Y891" s="20">
        <v>1.55E-4</v>
      </c>
      <c r="Z891" s="21">
        <v>4601004151642</v>
      </c>
    </row>
    <row r="892" spans="1:26" ht="12" customHeight="1" outlineLevel="4" x14ac:dyDescent="0.2">
      <c r="A892" s="14" t="s">
        <v>1772</v>
      </c>
      <c r="B892" s="26" t="s">
        <v>1773</v>
      </c>
      <c r="C892" s="52"/>
      <c r="D892" s="55">
        <f t="shared" si="13"/>
        <v>0</v>
      </c>
      <c r="E892" s="63" t="str">
        <f>HYPERLINK("https://www.sds-group.ru/product/kabel-kanal-15h10mm-belyy-rexant-28-1510-2/", "Инфо")</f>
        <v>Инфо</v>
      </c>
      <c r="F892" s="16" t="s">
        <v>1767</v>
      </c>
      <c r="G892" s="15"/>
      <c r="H892" s="15"/>
      <c r="I892" s="15"/>
      <c r="J892" s="16" t="s">
        <v>100</v>
      </c>
      <c r="K892" s="15" t="s">
        <v>1408</v>
      </c>
      <c r="L892" s="17">
        <v>140</v>
      </c>
      <c r="M892" s="17">
        <v>140</v>
      </c>
      <c r="N892" s="17">
        <v>140</v>
      </c>
      <c r="O892" s="18">
        <v>41.8</v>
      </c>
      <c r="P892" s="18">
        <v>34.26</v>
      </c>
      <c r="Q892" s="18">
        <v>35.53</v>
      </c>
      <c r="R892" s="18">
        <v>29.12</v>
      </c>
      <c r="S892" s="18">
        <v>28.42</v>
      </c>
      <c r="T892" s="18">
        <v>23.3</v>
      </c>
      <c r="U892" s="16"/>
      <c r="V892" s="16"/>
      <c r="W892" s="16" t="s">
        <v>40</v>
      </c>
      <c r="X892" s="19">
        <v>6.0999999999999999E-2</v>
      </c>
      <c r="Y892" s="20">
        <v>1.7100000000000001E-4</v>
      </c>
      <c r="Z892" s="21">
        <v>4601004151659</v>
      </c>
    </row>
    <row r="893" spans="1:26" ht="12" customHeight="1" outlineLevel="4" x14ac:dyDescent="0.2">
      <c r="A893" s="14" t="s">
        <v>1774</v>
      </c>
      <c r="B893" s="26" t="s">
        <v>1775</v>
      </c>
      <c r="C893" s="52"/>
      <c r="D893" s="55">
        <f t="shared" si="13"/>
        <v>0</v>
      </c>
      <c r="E893" s="63" t="str">
        <f>HYPERLINK("https://www.sds-group.ru/product/kabel-kanal-25h25mm-belyy-rexant-28-2525-2/", "Инфо")</f>
        <v>Инфо</v>
      </c>
      <c r="F893" s="16" t="s">
        <v>1767</v>
      </c>
      <c r="G893" s="15"/>
      <c r="H893" s="15"/>
      <c r="I893" s="15"/>
      <c r="J893" s="16" t="s">
        <v>100</v>
      </c>
      <c r="K893" s="15" t="s">
        <v>1408</v>
      </c>
      <c r="L893" s="17">
        <v>32</v>
      </c>
      <c r="M893" s="17">
        <v>32</v>
      </c>
      <c r="N893" s="17">
        <v>32</v>
      </c>
      <c r="O893" s="18">
        <v>103.35</v>
      </c>
      <c r="P893" s="18">
        <v>84.71</v>
      </c>
      <c r="Q893" s="18">
        <v>87.85</v>
      </c>
      <c r="R893" s="18">
        <v>72.010000000000005</v>
      </c>
      <c r="S893" s="18">
        <v>70.28</v>
      </c>
      <c r="T893" s="18">
        <v>57.61</v>
      </c>
      <c r="U893" s="16"/>
      <c r="V893" s="16"/>
      <c r="W893" s="16" t="s">
        <v>40</v>
      </c>
      <c r="X893" s="19">
        <v>0.16700000000000001</v>
      </c>
      <c r="Y893" s="20">
        <v>5.8699999999999996E-4</v>
      </c>
      <c r="Z893" s="21">
        <v>4601004165915</v>
      </c>
    </row>
    <row r="894" spans="1:26" ht="12" customHeight="1" outlineLevel="4" x14ac:dyDescent="0.2">
      <c r="A894" s="14" t="s">
        <v>1776</v>
      </c>
      <c r="B894" s="26" t="s">
        <v>1777</v>
      </c>
      <c r="C894" s="52"/>
      <c r="D894" s="55">
        <f t="shared" si="13"/>
        <v>0</v>
      </c>
      <c r="E894" s="63" t="str">
        <f>HYPERLINK("https://www.sds-group.ru/product/kabel-kanal-40h16mm-belyy-rexant-28-4016-2/", "Инфо")</f>
        <v>Инфо</v>
      </c>
      <c r="F894" s="16" t="s">
        <v>1767</v>
      </c>
      <c r="G894" s="15"/>
      <c r="H894" s="15"/>
      <c r="I894" s="15"/>
      <c r="J894" s="16" t="s">
        <v>100</v>
      </c>
      <c r="K894" s="15" t="s">
        <v>1408</v>
      </c>
      <c r="L894" s="17">
        <v>30</v>
      </c>
      <c r="M894" s="17">
        <v>30</v>
      </c>
      <c r="N894" s="17">
        <v>30</v>
      </c>
      <c r="O894" s="18">
        <v>120.25</v>
      </c>
      <c r="P894" s="18">
        <v>98.57</v>
      </c>
      <c r="Q894" s="18">
        <v>102.21</v>
      </c>
      <c r="R894" s="18">
        <v>83.78</v>
      </c>
      <c r="S894" s="18">
        <v>81.77</v>
      </c>
      <c r="T894" s="18">
        <v>67.02</v>
      </c>
      <c r="U894" s="16"/>
      <c r="V894" s="16"/>
      <c r="W894" s="16" t="s">
        <v>40</v>
      </c>
      <c r="X894" s="19">
        <v>0.24399999999999999</v>
      </c>
      <c r="Y894" s="20">
        <v>6.4999999999999997E-4</v>
      </c>
      <c r="Z894" s="21">
        <v>4601004165922</v>
      </c>
    </row>
    <row r="895" spans="1:26" ht="12" customHeight="1" outlineLevel="4" x14ac:dyDescent="0.2">
      <c r="A895" s="14" t="s">
        <v>1778</v>
      </c>
      <c r="B895" s="26" t="s">
        <v>1779</v>
      </c>
      <c r="C895" s="52"/>
      <c r="D895" s="55">
        <f t="shared" si="13"/>
        <v>0</v>
      </c>
      <c r="E895" s="63" t="str">
        <f>HYPERLINK("https://www.sds-group.ru/product/kabel-kanal-40h40mm-belyy-rexant-28-4040-2/", "Инфо")</f>
        <v>Инфо</v>
      </c>
      <c r="F895" s="16" t="s">
        <v>1767</v>
      </c>
      <c r="G895" s="15"/>
      <c r="H895" s="15"/>
      <c r="I895" s="15"/>
      <c r="J895" s="16" t="s">
        <v>100</v>
      </c>
      <c r="K895" s="15" t="s">
        <v>1408</v>
      </c>
      <c r="L895" s="17">
        <v>30</v>
      </c>
      <c r="M895" s="17">
        <v>30</v>
      </c>
      <c r="N895" s="17">
        <v>30</v>
      </c>
      <c r="O895" s="18">
        <v>198.54</v>
      </c>
      <c r="P895" s="18">
        <v>162.74</v>
      </c>
      <c r="Q895" s="18">
        <v>168.76</v>
      </c>
      <c r="R895" s="18">
        <v>138.33000000000001</v>
      </c>
      <c r="S895" s="18">
        <v>135.01</v>
      </c>
      <c r="T895" s="18">
        <v>110.66</v>
      </c>
      <c r="U895" s="16"/>
      <c r="V895" s="16"/>
      <c r="W895" s="16" t="s">
        <v>40</v>
      </c>
      <c r="X895" s="19">
        <v>0.30399999999999999</v>
      </c>
      <c r="Y895" s="20">
        <v>1.6659999999999999E-3</v>
      </c>
      <c r="Z895" s="21">
        <v>4601004151598</v>
      </c>
    </row>
    <row r="896" spans="1:26" ht="12" customHeight="1" outlineLevel="4" x14ac:dyDescent="0.2">
      <c r="A896" s="14" t="s">
        <v>1780</v>
      </c>
      <c r="B896" s="26" t="s">
        <v>1781</v>
      </c>
      <c r="C896" s="52"/>
      <c r="D896" s="55">
        <f t="shared" si="13"/>
        <v>0</v>
      </c>
      <c r="E896" s="63" t="str">
        <f>HYPERLINK("https://www.sds-group.ru/product/kabel-kanal-60h40mm-belyy-rexant-28-6040-2/", "Инфо")</f>
        <v>Инфо</v>
      </c>
      <c r="F896" s="16" t="s">
        <v>1767</v>
      </c>
      <c r="G896" s="15"/>
      <c r="H896" s="15"/>
      <c r="I896" s="15"/>
      <c r="J896" s="16" t="s">
        <v>100</v>
      </c>
      <c r="K896" s="15" t="s">
        <v>1408</v>
      </c>
      <c r="L896" s="17">
        <v>18</v>
      </c>
      <c r="M896" s="17">
        <v>18</v>
      </c>
      <c r="N896" s="17">
        <v>18</v>
      </c>
      <c r="O896" s="18">
        <v>283.79000000000002</v>
      </c>
      <c r="P896" s="18">
        <v>232.61</v>
      </c>
      <c r="Q896" s="18">
        <v>241.22</v>
      </c>
      <c r="R896" s="18">
        <v>197.72</v>
      </c>
      <c r="S896" s="18">
        <v>192.98</v>
      </c>
      <c r="T896" s="18">
        <v>158.18</v>
      </c>
      <c r="U896" s="16"/>
      <c r="V896" s="16"/>
      <c r="W896" s="16" t="s">
        <v>40</v>
      </c>
      <c r="X896" s="19">
        <v>0.44900000000000001</v>
      </c>
      <c r="Y896" s="20">
        <v>2.6250000000000002E-3</v>
      </c>
      <c r="Z896" s="21">
        <v>4601004151697</v>
      </c>
    </row>
    <row r="897" spans="1:26" ht="12" customHeight="1" outlineLevel="4" x14ac:dyDescent="0.2">
      <c r="A897" s="14" t="s">
        <v>1782</v>
      </c>
      <c r="B897" s="26" t="s">
        <v>1783</v>
      </c>
      <c r="C897" s="52"/>
      <c r="D897" s="55">
        <f t="shared" si="13"/>
        <v>0</v>
      </c>
      <c r="E897" s="63" t="str">
        <f>HYPERLINK("https://www.sds-group.ru/product/kabel-kanal-60h60mm-belyy-rexant-28-6060-2/", "Инфо")</f>
        <v>Инфо</v>
      </c>
      <c r="F897" s="16" t="s">
        <v>1767</v>
      </c>
      <c r="G897" s="15"/>
      <c r="H897" s="15"/>
      <c r="I897" s="15"/>
      <c r="J897" s="17">
        <v>48</v>
      </c>
      <c r="K897" s="15" t="s">
        <v>1408</v>
      </c>
      <c r="L897" s="17">
        <v>12</v>
      </c>
      <c r="M897" s="17">
        <v>12</v>
      </c>
      <c r="N897" s="17">
        <v>12</v>
      </c>
      <c r="O897" s="18">
        <v>368.81</v>
      </c>
      <c r="P897" s="18">
        <v>302.3</v>
      </c>
      <c r="Q897" s="18">
        <v>313.49</v>
      </c>
      <c r="R897" s="18">
        <v>256.95999999999998</v>
      </c>
      <c r="S897" s="18">
        <v>250.79</v>
      </c>
      <c r="T897" s="18">
        <v>205.57</v>
      </c>
      <c r="U897" s="16"/>
      <c r="V897" s="16"/>
      <c r="W897" s="16" t="s">
        <v>40</v>
      </c>
      <c r="X897" s="19">
        <v>0.51700000000000002</v>
      </c>
      <c r="Y897" s="20">
        <v>3.7499999999999999E-3</v>
      </c>
      <c r="Z897" s="21">
        <v>4601004165953</v>
      </c>
    </row>
    <row r="898" spans="1:26" ht="12" customHeight="1" outlineLevel="4" x14ac:dyDescent="0.2">
      <c r="A898" s="14" t="s">
        <v>1784</v>
      </c>
      <c r="B898" s="26" t="s">
        <v>1785</v>
      </c>
      <c r="C898" s="52"/>
      <c r="D898" s="55">
        <f t="shared" si="13"/>
        <v>0</v>
      </c>
      <c r="E898" s="63" t="str">
        <f>HYPERLINK("https://www.sds-group.ru/product/kabel-kanal-80h40mm-belyy-rexant-28-8040-2/", "Инфо")</f>
        <v>Инфо</v>
      </c>
      <c r="F898" s="16" t="s">
        <v>1767</v>
      </c>
      <c r="G898" s="15"/>
      <c r="H898" s="15"/>
      <c r="I898" s="15"/>
      <c r="J898" s="17">
        <v>216</v>
      </c>
      <c r="K898" s="15"/>
      <c r="L898" s="17">
        <v>12</v>
      </c>
      <c r="M898" s="17">
        <v>12</v>
      </c>
      <c r="N898" s="17">
        <v>12</v>
      </c>
      <c r="O898" s="18">
        <v>455.04</v>
      </c>
      <c r="P898" s="18">
        <v>372.98</v>
      </c>
      <c r="Q898" s="18">
        <v>386.78</v>
      </c>
      <c r="R898" s="18">
        <v>317.02999999999997</v>
      </c>
      <c r="S898" s="18">
        <v>309.43</v>
      </c>
      <c r="T898" s="18">
        <v>253.63</v>
      </c>
      <c r="U898" s="16"/>
      <c r="V898" s="16"/>
      <c r="W898" s="16" t="s">
        <v>40</v>
      </c>
      <c r="X898" s="19">
        <v>0.95799999999999996</v>
      </c>
      <c r="Y898" s="20">
        <v>4.1669999999999997E-3</v>
      </c>
      <c r="Z898" s="21">
        <v>4601004165960</v>
      </c>
    </row>
    <row r="899" spans="1:26" ht="12" customHeight="1" outlineLevel="4" x14ac:dyDescent="0.2">
      <c r="A899" s="14" t="s">
        <v>1786</v>
      </c>
      <c r="B899" s="26" t="s">
        <v>1787</v>
      </c>
      <c r="C899" s="52"/>
      <c r="D899" s="55">
        <f t="shared" si="13"/>
        <v>0</v>
      </c>
      <c r="E899" s="63" t="str">
        <f>HYPERLINK("https://www.sds-group.ru/product/kabel-kanal-80h60mm-belyy-rexant-28-8060-2/", "Инфо")</f>
        <v>Инфо</v>
      </c>
      <c r="F899" s="16" t="s">
        <v>1767</v>
      </c>
      <c r="G899" s="15"/>
      <c r="H899" s="15"/>
      <c r="I899" s="15"/>
      <c r="J899" s="17">
        <v>592</v>
      </c>
      <c r="K899" s="15"/>
      <c r="L899" s="17">
        <v>8</v>
      </c>
      <c r="M899" s="17">
        <v>8</v>
      </c>
      <c r="N899" s="17">
        <v>8</v>
      </c>
      <c r="O899" s="18">
        <v>495.45</v>
      </c>
      <c r="P899" s="18">
        <v>406.11</v>
      </c>
      <c r="Q899" s="18">
        <v>396.36</v>
      </c>
      <c r="R899" s="18">
        <v>324.89</v>
      </c>
      <c r="S899" s="18">
        <v>336.91</v>
      </c>
      <c r="T899" s="18">
        <v>276.16000000000003</v>
      </c>
      <c r="U899" s="16"/>
      <c r="V899" s="16"/>
      <c r="W899" s="16" t="s">
        <v>40</v>
      </c>
      <c r="X899" s="19">
        <v>0.59899999999999998</v>
      </c>
      <c r="Y899" s="20">
        <v>5.0000000000000001E-3</v>
      </c>
      <c r="Z899" s="21">
        <v>4601004165977</v>
      </c>
    </row>
    <row r="900" spans="1:26" ht="12.95" customHeight="1" outlineLevel="3" x14ac:dyDescent="0.2">
      <c r="A900" s="76" t="s">
        <v>1788</v>
      </c>
      <c r="B900" s="76"/>
      <c r="C900" s="77"/>
      <c r="D900" s="58"/>
      <c r="E900" s="68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  <c r="Z900" s="13"/>
    </row>
    <row r="901" spans="1:26" ht="12" customHeight="1" outlineLevel="4" x14ac:dyDescent="0.2">
      <c r="A901" s="14" t="s">
        <v>1789</v>
      </c>
      <c r="B901" s="26" t="s">
        <v>1790</v>
      </c>
      <c r="C901" s="52"/>
      <c r="D901" s="55">
        <f t="shared" si="13"/>
        <v>0</v>
      </c>
      <c r="E901" s="63" t="str">
        <f>HYPERLINK("https://www.sds-group.ru/product/korobka-raspayachnaya-ou-dlya-kabel-kanala-100h100h29mm-belaya-ip40-rexant-28-3075/", "Инфо")</f>
        <v>Инфо</v>
      </c>
      <c r="F901" s="16" t="s">
        <v>39</v>
      </c>
      <c r="G901" s="15"/>
      <c r="H901" s="15"/>
      <c r="I901" s="15"/>
      <c r="J901" s="17">
        <v>427</v>
      </c>
      <c r="K901" s="15"/>
      <c r="L901" s="17">
        <v>10</v>
      </c>
      <c r="M901" s="17">
        <v>60</v>
      </c>
      <c r="N901" s="17">
        <v>10</v>
      </c>
      <c r="O901" s="18">
        <v>196.65</v>
      </c>
      <c r="P901" s="18">
        <v>161.19</v>
      </c>
      <c r="Q901" s="18">
        <v>167.15</v>
      </c>
      <c r="R901" s="18">
        <v>137.01</v>
      </c>
      <c r="S901" s="18">
        <v>133.72</v>
      </c>
      <c r="T901" s="18">
        <v>109.61</v>
      </c>
      <c r="U901" s="16"/>
      <c r="V901" s="16"/>
      <c r="W901" s="16" t="s">
        <v>40</v>
      </c>
      <c r="X901" s="19">
        <v>0.06</v>
      </c>
      <c r="Y901" s="20">
        <v>5.8E-4</v>
      </c>
      <c r="Z901" s="21">
        <v>4601004243132</v>
      </c>
    </row>
    <row r="902" spans="1:26" ht="12" customHeight="1" outlineLevel="4" x14ac:dyDescent="0.2">
      <c r="A902" s="14" t="s">
        <v>1791</v>
      </c>
      <c r="B902" s="26" t="s">
        <v>1792</v>
      </c>
      <c r="C902" s="52"/>
      <c r="D902" s="55">
        <f t="shared" si="13"/>
        <v>0</v>
      </c>
      <c r="E902" s="63" t="str">
        <f>HYPERLINK("https://www.sds-group.ru/product/korobka-raspayachnaya-ou-dlya-kabel-kanala-100h100h50mm-belaya-ip40-rexant-28-3074/", "Инфо")</f>
        <v>Инфо</v>
      </c>
      <c r="F902" s="16" t="s">
        <v>39</v>
      </c>
      <c r="G902" s="15"/>
      <c r="H902" s="15"/>
      <c r="I902" s="15"/>
      <c r="J902" s="22">
        <v>1342</v>
      </c>
      <c r="K902" s="15"/>
      <c r="L902" s="17">
        <v>10</v>
      </c>
      <c r="M902" s="17">
        <v>24</v>
      </c>
      <c r="N902" s="17">
        <v>10</v>
      </c>
      <c r="O902" s="18">
        <v>223.45</v>
      </c>
      <c r="P902" s="18">
        <v>183.16</v>
      </c>
      <c r="Q902" s="18">
        <v>189.93</v>
      </c>
      <c r="R902" s="18">
        <v>155.68</v>
      </c>
      <c r="S902" s="18">
        <v>151.94999999999999</v>
      </c>
      <c r="T902" s="18">
        <v>124.55</v>
      </c>
      <c r="U902" s="16"/>
      <c r="V902" s="16"/>
      <c r="W902" s="16" t="s">
        <v>40</v>
      </c>
      <c r="X902" s="19">
        <v>7.8E-2</v>
      </c>
      <c r="Y902" s="20">
        <v>9.2900000000000003E-4</v>
      </c>
      <c r="Z902" s="21">
        <v>4601004243125</v>
      </c>
    </row>
    <row r="903" spans="1:26" ht="12" customHeight="1" outlineLevel="4" x14ac:dyDescent="0.2">
      <c r="A903" s="32" t="s">
        <v>1793</v>
      </c>
      <c r="B903" s="74" t="s">
        <v>1794</v>
      </c>
      <c r="C903" s="50"/>
      <c r="D903" s="53">
        <f t="shared" si="13"/>
        <v>0</v>
      </c>
      <c r="E903" s="60" t="str">
        <f>HYPERLINK("https://www.sds-group.ru/product/korobka-raspayachnaya-ou-dlya-kabel-kanala-50h50h20mm-belaya-ip40-rexant-28-3073/", "Инфо")</f>
        <v>Инфо</v>
      </c>
      <c r="F903" s="34" t="s">
        <v>39</v>
      </c>
      <c r="G903" s="33"/>
      <c r="H903" s="33" t="s">
        <v>40</v>
      </c>
      <c r="I903" s="33"/>
      <c r="J903" s="35">
        <v>230</v>
      </c>
      <c r="K903" s="33"/>
      <c r="L903" s="35">
        <v>1</v>
      </c>
      <c r="M903" s="35">
        <v>100</v>
      </c>
      <c r="N903" s="35">
        <v>1</v>
      </c>
      <c r="O903" s="36">
        <v>60.95</v>
      </c>
      <c r="P903" s="36">
        <v>49.96</v>
      </c>
      <c r="Q903" s="36">
        <v>51.81</v>
      </c>
      <c r="R903" s="36">
        <v>42.47</v>
      </c>
      <c r="S903" s="36">
        <v>41.45</v>
      </c>
      <c r="T903" s="36">
        <v>33.979999999999997</v>
      </c>
      <c r="U903" s="34"/>
      <c r="V903" s="34"/>
      <c r="W903" s="34" t="s">
        <v>40</v>
      </c>
      <c r="X903" s="37">
        <v>1.4999999999999999E-2</v>
      </c>
      <c r="Y903" s="38">
        <v>2.2100000000000001E-4</v>
      </c>
      <c r="Z903" s="21">
        <v>4601004243118</v>
      </c>
    </row>
    <row r="904" spans="1:26" ht="12" customHeight="1" outlineLevel="4" x14ac:dyDescent="0.2">
      <c r="A904" s="14" t="s">
        <v>1795</v>
      </c>
      <c r="B904" s="26" t="s">
        <v>1796</v>
      </c>
      <c r="C904" s="52"/>
      <c r="D904" s="55">
        <f t="shared" si="13"/>
        <v>0</v>
      </c>
      <c r="E904" s="63" t="str">
        <f>HYPERLINK("https://www.sds-group.ru/product/korobka-raspayachnaya-ou-dlya-kabel-kanala-80h80h23mm-belaya-ip40-rexant-28-3072/", "Инфо")</f>
        <v>Инфо</v>
      </c>
      <c r="F904" s="16" t="s">
        <v>39</v>
      </c>
      <c r="G904" s="15"/>
      <c r="H904" s="15"/>
      <c r="I904" s="15"/>
      <c r="J904" s="22">
        <v>1329</v>
      </c>
      <c r="K904" s="15"/>
      <c r="L904" s="17">
        <v>10</v>
      </c>
      <c r="M904" s="17">
        <v>100</v>
      </c>
      <c r="N904" s="17">
        <v>10</v>
      </c>
      <c r="O904" s="18">
        <v>72.95</v>
      </c>
      <c r="P904" s="18">
        <v>59.8</v>
      </c>
      <c r="Q904" s="18">
        <v>62.01</v>
      </c>
      <c r="R904" s="18">
        <v>50.83</v>
      </c>
      <c r="S904" s="18">
        <v>49.61</v>
      </c>
      <c r="T904" s="18">
        <v>40.659999999999997</v>
      </c>
      <c r="U904" s="16"/>
      <c r="V904" s="16"/>
      <c r="W904" s="16" t="s">
        <v>40</v>
      </c>
      <c r="X904" s="19">
        <v>2.8000000000000001E-2</v>
      </c>
      <c r="Y904" s="20">
        <v>1.1400000000000001E-4</v>
      </c>
      <c r="Z904" s="21">
        <v>4601004243095</v>
      </c>
    </row>
    <row r="905" spans="1:26" ht="12.95" customHeight="1" outlineLevel="3" x14ac:dyDescent="0.2">
      <c r="A905" s="76" t="s">
        <v>1797</v>
      </c>
      <c r="B905" s="76"/>
      <c r="C905" s="77"/>
      <c r="D905" s="58"/>
      <c r="E905" s="68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  <c r="Z905" s="13"/>
    </row>
    <row r="906" spans="1:26" ht="12" customHeight="1" outlineLevel="4" x14ac:dyDescent="0.2">
      <c r="A906" s="14" t="s">
        <v>1798</v>
      </c>
      <c r="B906" s="26" t="s">
        <v>1799</v>
      </c>
      <c r="C906" s="52"/>
      <c r="D906" s="55">
        <f t="shared" ref="D906:D968" si="14">C906*(O906-O906*$G$3)</f>
        <v>0</v>
      </c>
      <c r="E906" s="63" t="str">
        <f>HYPERLINK("https://www.sds-group.ru/product/kabel-kanal-perforirovannyy-samokleyaschiysya-25h25mm-seryy-paz-4mm-zub-6mm-rexant-28-5012/", "Инфо")</f>
        <v>Инфо</v>
      </c>
      <c r="F906" s="16" t="s">
        <v>1767</v>
      </c>
      <c r="G906" s="15"/>
      <c r="H906" s="15"/>
      <c r="I906" s="15"/>
      <c r="J906" s="16" t="s">
        <v>100</v>
      </c>
      <c r="K906" s="15" t="s">
        <v>1800</v>
      </c>
      <c r="L906" s="17">
        <v>100</v>
      </c>
      <c r="M906" s="17">
        <v>100</v>
      </c>
      <c r="N906" s="17">
        <v>100</v>
      </c>
      <c r="O906" s="18">
        <v>273.72000000000003</v>
      </c>
      <c r="P906" s="18">
        <v>224.36</v>
      </c>
      <c r="Q906" s="18">
        <v>232.66</v>
      </c>
      <c r="R906" s="18">
        <v>190.7</v>
      </c>
      <c r="S906" s="18">
        <v>186.13</v>
      </c>
      <c r="T906" s="18">
        <v>152.57</v>
      </c>
      <c r="U906" s="16"/>
      <c r="V906" s="16"/>
      <c r="W906" s="16" t="s">
        <v>40</v>
      </c>
      <c r="X906" s="19">
        <v>0.22</v>
      </c>
      <c r="Y906" s="20">
        <v>5.8399999999999999E-4</v>
      </c>
      <c r="Z906" s="21">
        <v>4601004268937</v>
      </c>
    </row>
    <row r="907" spans="1:26" ht="12" customHeight="1" outlineLevel="4" x14ac:dyDescent="0.2">
      <c r="A907" s="14" t="s">
        <v>1801</v>
      </c>
      <c r="B907" s="26" t="s">
        <v>1802</v>
      </c>
      <c r="C907" s="52"/>
      <c r="D907" s="55">
        <f t="shared" si="14"/>
        <v>0</v>
      </c>
      <c r="E907" s="63" t="str">
        <f>HYPERLINK("https://www.sds-group.ru/product/kabel-kanal-perforirovannyy-samokleyaschiysya-25h40mm-seryy-paz-4mm-zub-6mm-rexant-28-5013/", "Инфо")</f>
        <v>Инфо</v>
      </c>
      <c r="F907" s="16" t="s">
        <v>1767</v>
      </c>
      <c r="G907" s="15"/>
      <c r="H907" s="15"/>
      <c r="I907" s="15"/>
      <c r="J907" s="22">
        <v>1440</v>
      </c>
      <c r="K907" s="15"/>
      <c r="L907" s="17">
        <v>80</v>
      </c>
      <c r="M907" s="17">
        <v>80</v>
      </c>
      <c r="N907" s="17">
        <v>80</v>
      </c>
      <c r="O907" s="18">
        <v>344.85</v>
      </c>
      <c r="P907" s="18">
        <v>282.66000000000003</v>
      </c>
      <c r="Q907" s="18">
        <v>293.12</v>
      </c>
      <c r="R907" s="18">
        <v>240.26</v>
      </c>
      <c r="S907" s="18">
        <v>234.5</v>
      </c>
      <c r="T907" s="18">
        <v>192.21</v>
      </c>
      <c r="U907" s="16"/>
      <c r="V907" s="16"/>
      <c r="W907" s="16" t="s">
        <v>40</v>
      </c>
      <c r="X907" s="19">
        <v>0.34499999999999997</v>
      </c>
      <c r="Y907" s="20">
        <v>1E-3</v>
      </c>
      <c r="Z907" s="21">
        <v>4601004268944</v>
      </c>
    </row>
    <row r="908" spans="1:26" ht="12" customHeight="1" outlineLevel="4" x14ac:dyDescent="0.2">
      <c r="A908" s="14" t="s">
        <v>1803</v>
      </c>
      <c r="B908" s="26" t="s">
        <v>1804</v>
      </c>
      <c r="C908" s="52"/>
      <c r="D908" s="55">
        <f t="shared" si="14"/>
        <v>0</v>
      </c>
      <c r="E908" s="63" t="str">
        <f>HYPERLINK("https://www.sds-group.ru/product/kabel-kanal-perforirovannyy-samokleyaschiysya-25h60mm-seryy-paz-5mm-zub-7mm-rexant-28-5014/", "Инфо")</f>
        <v>Инфо</v>
      </c>
      <c r="F908" s="16" t="s">
        <v>1767</v>
      </c>
      <c r="G908" s="15"/>
      <c r="H908" s="15"/>
      <c r="I908" s="15"/>
      <c r="J908" s="17">
        <v>432</v>
      </c>
      <c r="K908" s="15"/>
      <c r="L908" s="17">
        <v>48</v>
      </c>
      <c r="M908" s="17">
        <v>48</v>
      </c>
      <c r="N908" s="17">
        <v>48</v>
      </c>
      <c r="O908" s="18">
        <v>461.16</v>
      </c>
      <c r="P908" s="18">
        <v>378</v>
      </c>
      <c r="Q908" s="18">
        <v>368.93</v>
      </c>
      <c r="R908" s="18">
        <v>302.39999999999998</v>
      </c>
      <c r="S908" s="18">
        <v>313.58999999999997</v>
      </c>
      <c r="T908" s="18">
        <v>257.04000000000002</v>
      </c>
      <c r="U908" s="16"/>
      <c r="V908" s="16"/>
      <c r="W908" s="16" t="s">
        <v>40</v>
      </c>
      <c r="X908" s="19">
        <v>0.42199999999999999</v>
      </c>
      <c r="Y908" s="20">
        <v>1.2669999999999999E-3</v>
      </c>
      <c r="Z908" s="21">
        <v>4601004268951</v>
      </c>
    </row>
    <row r="909" spans="1:26" ht="12" customHeight="1" outlineLevel="4" x14ac:dyDescent="0.2">
      <c r="A909" s="32" t="s">
        <v>1805</v>
      </c>
      <c r="B909" s="74" t="s">
        <v>1806</v>
      </c>
      <c r="C909" s="50"/>
      <c r="D909" s="53">
        <f t="shared" si="14"/>
        <v>0</v>
      </c>
      <c r="E909" s="60" t="str">
        <f>HYPERLINK("https://www.sds-group.ru/product/kabel-kanal-perforirovannyy-samokleyaschiysya-40h40mm-seryy-paz-4mm-zub-6mm-rexant-28-5015/", "Инфо")</f>
        <v>Инфо</v>
      </c>
      <c r="F909" s="34" t="s">
        <v>1767</v>
      </c>
      <c r="G909" s="33"/>
      <c r="H909" s="33" t="s">
        <v>40</v>
      </c>
      <c r="I909" s="33"/>
      <c r="J909" s="35">
        <v>30</v>
      </c>
      <c r="K909" s="33"/>
      <c r="L909" s="35">
        <v>72</v>
      </c>
      <c r="M909" s="35">
        <v>100</v>
      </c>
      <c r="N909" s="35">
        <v>72</v>
      </c>
      <c r="O909" s="36">
        <v>438.05</v>
      </c>
      <c r="P909" s="36">
        <v>359.06</v>
      </c>
      <c r="Q909" s="36">
        <v>350.44</v>
      </c>
      <c r="R909" s="36">
        <v>287.25</v>
      </c>
      <c r="S909" s="36">
        <v>297.87</v>
      </c>
      <c r="T909" s="36">
        <v>244.16</v>
      </c>
      <c r="U909" s="34"/>
      <c r="V909" s="34"/>
      <c r="W909" s="34" t="s">
        <v>40</v>
      </c>
      <c r="X909" s="37">
        <v>0.34899999999999998</v>
      </c>
      <c r="Y909" s="38">
        <v>1.1349999999999999E-3</v>
      </c>
      <c r="Z909" s="21">
        <v>2000604431512</v>
      </c>
    </row>
    <row r="910" spans="1:26" ht="12" customHeight="1" outlineLevel="4" x14ac:dyDescent="0.2">
      <c r="A910" s="32" t="s">
        <v>1807</v>
      </c>
      <c r="B910" s="74" t="s">
        <v>1808</v>
      </c>
      <c r="C910" s="50"/>
      <c r="D910" s="53">
        <f t="shared" si="14"/>
        <v>0</v>
      </c>
      <c r="E910" s="60" t="str">
        <f>HYPERLINK("https://www.sds-group.ru/product/kabel-kanal-perforirovannyy-samokleyaschiysya-60h60mm-seryy-paz-5mm-zub-7mm-s-otv-rexant-28-5017/", "Инфо")</f>
        <v>Инфо</v>
      </c>
      <c r="F910" s="34" t="s">
        <v>1767</v>
      </c>
      <c r="G910" s="33"/>
      <c r="H910" s="33" t="s">
        <v>40</v>
      </c>
      <c r="I910" s="33"/>
      <c r="J910" s="35">
        <v>304</v>
      </c>
      <c r="K910" s="33"/>
      <c r="L910" s="35">
        <v>32</v>
      </c>
      <c r="M910" s="35">
        <v>80</v>
      </c>
      <c r="N910" s="35">
        <v>32</v>
      </c>
      <c r="O910" s="36">
        <v>732.17</v>
      </c>
      <c r="P910" s="36">
        <v>600.14</v>
      </c>
      <c r="Q910" s="36">
        <v>585.74</v>
      </c>
      <c r="R910" s="36">
        <v>480.11</v>
      </c>
      <c r="S910" s="36">
        <v>497.88</v>
      </c>
      <c r="T910" s="36">
        <v>408.1</v>
      </c>
      <c r="U910" s="34"/>
      <c r="V910" s="34"/>
      <c r="W910" s="34" t="s">
        <v>40</v>
      </c>
      <c r="X910" s="37">
        <v>0.52500000000000002</v>
      </c>
      <c r="Y910" s="38">
        <v>2.3570000000000002E-3</v>
      </c>
      <c r="Z910" s="21">
        <v>2000604431550</v>
      </c>
    </row>
    <row r="911" spans="1:26" ht="12.95" customHeight="1" outlineLevel="3" x14ac:dyDescent="0.2">
      <c r="A911" s="76" t="s">
        <v>1809</v>
      </c>
      <c r="B911" s="76"/>
      <c r="C911" s="77"/>
      <c r="D911" s="58"/>
      <c r="E911" s="68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  <c r="Z911" s="13"/>
    </row>
    <row r="912" spans="1:26" ht="12" customHeight="1" outlineLevel="4" x14ac:dyDescent="0.2">
      <c r="A912" s="32" t="s">
        <v>1810</v>
      </c>
      <c r="B912" s="74" t="s">
        <v>1811</v>
      </c>
      <c r="C912" s="50"/>
      <c r="D912" s="53">
        <f t="shared" si="14"/>
        <v>0</v>
      </c>
      <c r="E912" s="60" t="str">
        <f>HYPERLINK("https://www.sds-group.ru/product/kabel-kanal-12h12mm-dub-rexant-28-1212-4/", "Инфо")</f>
        <v>Инфо</v>
      </c>
      <c r="F912" s="34" t="s">
        <v>1767</v>
      </c>
      <c r="G912" s="33"/>
      <c r="H912" s="33" t="s">
        <v>40</v>
      </c>
      <c r="I912" s="33"/>
      <c r="J912" s="39">
        <v>1400</v>
      </c>
      <c r="K912" s="33"/>
      <c r="L912" s="35">
        <v>200</v>
      </c>
      <c r="M912" s="35">
        <v>200</v>
      </c>
      <c r="N912" s="35">
        <v>200</v>
      </c>
      <c r="O912" s="36">
        <v>59.13</v>
      </c>
      <c r="P912" s="36">
        <v>48.47</v>
      </c>
      <c r="Q912" s="36">
        <v>50.26</v>
      </c>
      <c r="R912" s="36">
        <v>41.2</v>
      </c>
      <c r="S912" s="36">
        <v>40.21</v>
      </c>
      <c r="T912" s="36">
        <v>32.96</v>
      </c>
      <c r="U912" s="34"/>
      <c r="V912" s="34"/>
      <c r="W912" s="34" t="s">
        <v>40</v>
      </c>
      <c r="X912" s="37">
        <v>0.06</v>
      </c>
      <c r="Y912" s="38">
        <v>1.55E-4</v>
      </c>
      <c r="Z912" s="21">
        <v>4601004301733</v>
      </c>
    </row>
    <row r="913" spans="1:26" ht="12" customHeight="1" outlineLevel="4" x14ac:dyDescent="0.2">
      <c r="A913" s="14" t="s">
        <v>1812</v>
      </c>
      <c r="B913" s="26" t="s">
        <v>1813</v>
      </c>
      <c r="C913" s="52"/>
      <c r="D913" s="55">
        <f t="shared" si="14"/>
        <v>0</v>
      </c>
      <c r="E913" s="63" t="str">
        <f>HYPERLINK("https://www.sds-group.ru/product/kabel-kanal-12h12mm-seryy-rexant-28-1212-9/", "Инфо")</f>
        <v>Инфо</v>
      </c>
      <c r="F913" s="16" t="s">
        <v>1767</v>
      </c>
      <c r="G913" s="15"/>
      <c r="H913" s="15"/>
      <c r="I913" s="15"/>
      <c r="J913" s="16" t="s">
        <v>100</v>
      </c>
      <c r="K913" s="15"/>
      <c r="L913" s="17">
        <v>140</v>
      </c>
      <c r="M913" s="17">
        <v>140</v>
      </c>
      <c r="N913" s="17">
        <v>140</v>
      </c>
      <c r="O913" s="18">
        <v>57.52</v>
      </c>
      <c r="P913" s="18">
        <v>47.15</v>
      </c>
      <c r="Q913" s="18">
        <v>48.89</v>
      </c>
      <c r="R913" s="18">
        <v>40.07</v>
      </c>
      <c r="S913" s="18">
        <v>39.11</v>
      </c>
      <c r="T913" s="18">
        <v>32.06</v>
      </c>
      <c r="U913" s="16"/>
      <c r="V913" s="16"/>
      <c r="W913" s="16" t="s">
        <v>40</v>
      </c>
      <c r="X913" s="19">
        <v>0.06</v>
      </c>
      <c r="Y913" s="20">
        <v>1.55E-4</v>
      </c>
      <c r="Z913" s="21">
        <v>4601004296329</v>
      </c>
    </row>
    <row r="914" spans="1:26" ht="12" customHeight="1" outlineLevel="4" x14ac:dyDescent="0.2">
      <c r="A914" s="14" t="s">
        <v>1814</v>
      </c>
      <c r="B914" s="26" t="s">
        <v>1815</v>
      </c>
      <c r="C914" s="52"/>
      <c r="D914" s="55">
        <f t="shared" si="14"/>
        <v>0</v>
      </c>
      <c r="E914" s="63" t="str">
        <f>HYPERLINK("https://www.sds-group.ru/product/kabel-kanal-12h12mm-sosna-3d-rexant-28-1212-5/", "Инфо")</f>
        <v>Инфо</v>
      </c>
      <c r="F914" s="16" t="s">
        <v>1767</v>
      </c>
      <c r="G914" s="15"/>
      <c r="H914" s="15"/>
      <c r="I914" s="15"/>
      <c r="J914" s="16" t="s">
        <v>100</v>
      </c>
      <c r="K914" s="15"/>
      <c r="L914" s="17">
        <v>200</v>
      </c>
      <c r="M914" s="17">
        <v>200</v>
      </c>
      <c r="N914" s="17">
        <v>200</v>
      </c>
      <c r="O914" s="18">
        <v>59.14</v>
      </c>
      <c r="P914" s="18">
        <v>48.48</v>
      </c>
      <c r="Q914" s="18">
        <v>50.27</v>
      </c>
      <c r="R914" s="18">
        <v>41.2</v>
      </c>
      <c r="S914" s="18">
        <v>40.22</v>
      </c>
      <c r="T914" s="18">
        <v>32.97</v>
      </c>
      <c r="U914" s="16"/>
      <c r="V914" s="16"/>
      <c r="W914" s="16" t="s">
        <v>40</v>
      </c>
      <c r="X914" s="19">
        <v>0.06</v>
      </c>
      <c r="Y914" s="20">
        <v>1.55E-4</v>
      </c>
      <c r="Z914" s="21">
        <v>4601004275256</v>
      </c>
    </row>
    <row r="915" spans="1:26" ht="12" customHeight="1" outlineLevel="4" x14ac:dyDescent="0.2">
      <c r="A915" s="14" t="s">
        <v>1816</v>
      </c>
      <c r="B915" s="26" t="s">
        <v>1817</v>
      </c>
      <c r="C915" s="52"/>
      <c r="D915" s="55">
        <f t="shared" si="14"/>
        <v>0</v>
      </c>
      <c r="E915" s="63" t="str">
        <f>HYPERLINK("https://www.sds-group.ru/product/kabel-kanal-12h12mm-chernyy-rexant-28-1212-8/", "Инфо")</f>
        <v>Инфо</v>
      </c>
      <c r="F915" s="16" t="s">
        <v>1767</v>
      </c>
      <c r="G915" s="15"/>
      <c r="H915" s="15"/>
      <c r="I915" s="15"/>
      <c r="J915" s="16" t="s">
        <v>100</v>
      </c>
      <c r="K915" s="15"/>
      <c r="L915" s="17">
        <v>140</v>
      </c>
      <c r="M915" s="17">
        <v>140</v>
      </c>
      <c r="N915" s="17">
        <v>140</v>
      </c>
      <c r="O915" s="18">
        <v>45.45</v>
      </c>
      <c r="P915" s="18">
        <v>37.25</v>
      </c>
      <c r="Q915" s="18">
        <v>38.630000000000003</v>
      </c>
      <c r="R915" s="18">
        <v>31.66</v>
      </c>
      <c r="S915" s="18">
        <v>30.91</v>
      </c>
      <c r="T915" s="18">
        <v>25.34</v>
      </c>
      <c r="U915" s="16"/>
      <c r="V915" s="16"/>
      <c r="W915" s="16" t="s">
        <v>40</v>
      </c>
      <c r="X915" s="19">
        <v>0.06</v>
      </c>
      <c r="Y915" s="20">
        <v>1.55E-4</v>
      </c>
      <c r="Z915" s="21">
        <v>4601004296312</v>
      </c>
    </row>
    <row r="916" spans="1:26" ht="12" customHeight="1" outlineLevel="4" x14ac:dyDescent="0.2">
      <c r="A916" s="32" t="s">
        <v>1818</v>
      </c>
      <c r="B916" s="74" t="s">
        <v>1819</v>
      </c>
      <c r="C916" s="50"/>
      <c r="D916" s="53">
        <f t="shared" si="14"/>
        <v>0</v>
      </c>
      <c r="E916" s="60" t="str">
        <f>HYPERLINK("https://www.sds-group.ru/product/kabel-kanal-15h10mm-dub-rexant-28-1510-4/", "Инфо")</f>
        <v>Инфо</v>
      </c>
      <c r="F916" s="34" t="s">
        <v>1767</v>
      </c>
      <c r="G916" s="33"/>
      <c r="H916" s="33" t="s">
        <v>40</v>
      </c>
      <c r="I916" s="33"/>
      <c r="J916" s="35">
        <v>926</v>
      </c>
      <c r="K916" s="33"/>
      <c r="L916" s="35">
        <v>200</v>
      </c>
      <c r="M916" s="35">
        <v>200</v>
      </c>
      <c r="N916" s="35">
        <v>200</v>
      </c>
      <c r="O916" s="36">
        <v>59.13</v>
      </c>
      <c r="P916" s="36">
        <v>48.47</v>
      </c>
      <c r="Q916" s="36">
        <v>50.26</v>
      </c>
      <c r="R916" s="36">
        <v>41.2</v>
      </c>
      <c r="S916" s="36">
        <v>40.21</v>
      </c>
      <c r="T916" s="36">
        <v>32.96</v>
      </c>
      <c r="U916" s="34"/>
      <c r="V916" s="34"/>
      <c r="W916" s="34" t="s">
        <v>40</v>
      </c>
      <c r="X916" s="37">
        <v>6.0999999999999999E-2</v>
      </c>
      <c r="Y916" s="38">
        <v>1.7100000000000001E-4</v>
      </c>
      <c r="Z916" s="21">
        <v>4601004301757</v>
      </c>
    </row>
    <row r="917" spans="1:26" ht="12" customHeight="1" outlineLevel="4" x14ac:dyDescent="0.2">
      <c r="A917" s="14" t="s">
        <v>1820</v>
      </c>
      <c r="B917" s="26" t="s">
        <v>1821</v>
      </c>
      <c r="C917" s="52"/>
      <c r="D917" s="55">
        <f t="shared" si="14"/>
        <v>0</v>
      </c>
      <c r="E917" s="63" t="str">
        <f>HYPERLINK("https://www.sds-group.ru/product/kabel-kanal-15h10mm-seryy-rexant-28-1510-9/", "Инфо")</f>
        <v>Инфо</v>
      </c>
      <c r="F917" s="16" t="s">
        <v>1767</v>
      </c>
      <c r="G917" s="15"/>
      <c r="H917" s="15"/>
      <c r="I917" s="15"/>
      <c r="J917" s="17">
        <v>184</v>
      </c>
      <c r="K917" s="15"/>
      <c r="L917" s="17">
        <v>140</v>
      </c>
      <c r="M917" s="17">
        <v>140</v>
      </c>
      <c r="N917" s="17">
        <v>140</v>
      </c>
      <c r="O917" s="18">
        <v>57.52</v>
      </c>
      <c r="P917" s="18">
        <v>47.15</v>
      </c>
      <c r="Q917" s="18">
        <v>48.89</v>
      </c>
      <c r="R917" s="18">
        <v>40.07</v>
      </c>
      <c r="S917" s="18">
        <v>39.11</v>
      </c>
      <c r="T917" s="18">
        <v>32.06</v>
      </c>
      <c r="U917" s="16"/>
      <c r="V917" s="16"/>
      <c r="W917" s="16" t="s">
        <v>40</v>
      </c>
      <c r="X917" s="19">
        <v>6.0999999999999999E-2</v>
      </c>
      <c r="Y917" s="20">
        <v>1.7100000000000001E-4</v>
      </c>
      <c r="Z917" s="21">
        <v>4601004296343</v>
      </c>
    </row>
    <row r="918" spans="1:26" ht="12" customHeight="1" outlineLevel="4" x14ac:dyDescent="0.2">
      <c r="A918" s="14" t="s">
        <v>1822</v>
      </c>
      <c r="B918" s="26" t="s">
        <v>1823</v>
      </c>
      <c r="C918" s="52"/>
      <c r="D918" s="55">
        <f t="shared" si="14"/>
        <v>0</v>
      </c>
      <c r="E918" s="63" t="str">
        <f>HYPERLINK("https://www.sds-group.ru/product/kabel-kanal-15h10mm-sosna-3d-rexant-28-1510-5/", "Инфо")</f>
        <v>Инфо</v>
      </c>
      <c r="F918" s="16" t="s">
        <v>1767</v>
      </c>
      <c r="G918" s="15"/>
      <c r="H918" s="15"/>
      <c r="I918" s="15"/>
      <c r="J918" s="16" t="s">
        <v>100</v>
      </c>
      <c r="K918" s="15"/>
      <c r="L918" s="17">
        <v>140</v>
      </c>
      <c r="M918" s="17">
        <v>140</v>
      </c>
      <c r="N918" s="17">
        <v>140</v>
      </c>
      <c r="O918" s="18">
        <v>59.14</v>
      </c>
      <c r="P918" s="18">
        <v>48.48</v>
      </c>
      <c r="Q918" s="18">
        <v>50.27</v>
      </c>
      <c r="R918" s="18">
        <v>41.2</v>
      </c>
      <c r="S918" s="18">
        <v>40.22</v>
      </c>
      <c r="T918" s="18">
        <v>32.97</v>
      </c>
      <c r="U918" s="16"/>
      <c r="V918" s="16"/>
      <c r="W918" s="16" t="s">
        <v>40</v>
      </c>
      <c r="X918" s="19">
        <v>6.0999999999999999E-2</v>
      </c>
      <c r="Y918" s="20">
        <v>1.7100000000000001E-4</v>
      </c>
      <c r="Z918" s="21">
        <v>4601004302815</v>
      </c>
    </row>
    <row r="919" spans="1:26" ht="12" customHeight="1" outlineLevel="4" x14ac:dyDescent="0.2">
      <c r="A919" s="32" t="s">
        <v>1824</v>
      </c>
      <c r="B919" s="74" t="s">
        <v>1825</v>
      </c>
      <c r="C919" s="50"/>
      <c r="D919" s="53">
        <f t="shared" si="14"/>
        <v>0</v>
      </c>
      <c r="E919" s="60" t="str">
        <f>HYPERLINK("https://www.sds-group.ru/product/kabel-kanal-16h16mm-dub-rexant-28-1616-4/", "Инфо")</f>
        <v>Инфо</v>
      </c>
      <c r="F919" s="34" t="s">
        <v>1767</v>
      </c>
      <c r="G919" s="33"/>
      <c r="H919" s="33" t="s">
        <v>40</v>
      </c>
      <c r="I919" s="33"/>
      <c r="J919" s="39">
        <v>1260</v>
      </c>
      <c r="K919" s="33"/>
      <c r="L919" s="35">
        <v>140</v>
      </c>
      <c r="M919" s="35">
        <v>140</v>
      </c>
      <c r="N919" s="35">
        <v>140</v>
      </c>
      <c r="O919" s="36">
        <v>82.68</v>
      </c>
      <c r="P919" s="36">
        <v>67.77</v>
      </c>
      <c r="Q919" s="36">
        <v>70.28</v>
      </c>
      <c r="R919" s="36">
        <v>57.61</v>
      </c>
      <c r="S919" s="36">
        <v>56.22</v>
      </c>
      <c r="T919" s="36">
        <v>46.08</v>
      </c>
      <c r="U919" s="34"/>
      <c r="V919" s="34"/>
      <c r="W919" s="34" t="s">
        <v>40</v>
      </c>
      <c r="X919" s="37">
        <v>8.2000000000000003E-2</v>
      </c>
      <c r="Y919" s="38">
        <v>2.7799999999999998E-4</v>
      </c>
      <c r="Z919" s="21">
        <v>4601004301771</v>
      </c>
    </row>
    <row r="920" spans="1:26" ht="12" customHeight="1" outlineLevel="4" x14ac:dyDescent="0.2">
      <c r="A920" s="14" t="s">
        <v>1826</v>
      </c>
      <c r="B920" s="26" t="s">
        <v>1827</v>
      </c>
      <c r="C920" s="52"/>
      <c r="D920" s="55">
        <f t="shared" si="14"/>
        <v>0</v>
      </c>
      <c r="E920" s="63" t="str">
        <f>HYPERLINK("https://www.sds-group.ru/product/kabel-kanal-16h16mm-seryy-rexant-28-1616-9/", "Инфо")</f>
        <v>Инфо</v>
      </c>
      <c r="F920" s="16" t="s">
        <v>1767</v>
      </c>
      <c r="G920" s="15"/>
      <c r="H920" s="15"/>
      <c r="I920" s="15"/>
      <c r="J920" s="17">
        <v>38</v>
      </c>
      <c r="K920" s="15"/>
      <c r="L920" s="17">
        <v>84</v>
      </c>
      <c r="M920" s="17">
        <v>84</v>
      </c>
      <c r="N920" s="17">
        <v>84</v>
      </c>
      <c r="O920" s="18">
        <v>73.989999999999995</v>
      </c>
      <c r="P920" s="18">
        <v>60.65</v>
      </c>
      <c r="Q920" s="18">
        <v>62.89</v>
      </c>
      <c r="R920" s="18">
        <v>51.55</v>
      </c>
      <c r="S920" s="18">
        <v>50.31</v>
      </c>
      <c r="T920" s="18">
        <v>41.24</v>
      </c>
      <c r="U920" s="16"/>
      <c r="V920" s="16"/>
      <c r="W920" s="16" t="s">
        <v>40</v>
      </c>
      <c r="X920" s="19">
        <v>8.2000000000000003E-2</v>
      </c>
      <c r="Y920" s="20">
        <v>2.7799999999999998E-4</v>
      </c>
      <c r="Z920" s="21">
        <v>4601004296251</v>
      </c>
    </row>
    <row r="921" spans="1:26" ht="12" customHeight="1" outlineLevel="4" x14ac:dyDescent="0.2">
      <c r="A921" s="14" t="s">
        <v>1828</v>
      </c>
      <c r="B921" s="26" t="s">
        <v>1829</v>
      </c>
      <c r="C921" s="52"/>
      <c r="D921" s="55">
        <f t="shared" si="14"/>
        <v>0</v>
      </c>
      <c r="E921" s="63" t="str">
        <f>HYPERLINK("https://www.sds-group.ru/product/kabel-kanal-16h16mm-sosna-3d-rexant-28-1616-5/", "Инфо")</f>
        <v>Инфо</v>
      </c>
      <c r="F921" s="16" t="s">
        <v>1767</v>
      </c>
      <c r="G921" s="15"/>
      <c r="H921" s="15"/>
      <c r="I921" s="15"/>
      <c r="J921" s="16" t="s">
        <v>100</v>
      </c>
      <c r="K921" s="15"/>
      <c r="L921" s="17">
        <v>140</v>
      </c>
      <c r="M921" s="17">
        <v>140</v>
      </c>
      <c r="N921" s="17">
        <v>140</v>
      </c>
      <c r="O921" s="18">
        <v>82.67</v>
      </c>
      <c r="P921" s="18">
        <v>67.760000000000005</v>
      </c>
      <c r="Q921" s="18">
        <v>70.27</v>
      </c>
      <c r="R921" s="18">
        <v>57.6</v>
      </c>
      <c r="S921" s="18">
        <v>56.22</v>
      </c>
      <c r="T921" s="18">
        <v>46.08</v>
      </c>
      <c r="U921" s="16"/>
      <c r="V921" s="16"/>
      <c r="W921" s="16" t="s">
        <v>40</v>
      </c>
      <c r="X921" s="19">
        <v>8.2000000000000003E-2</v>
      </c>
      <c r="Y921" s="20">
        <v>2.7799999999999998E-4</v>
      </c>
      <c r="Z921" s="21">
        <v>4601004275379</v>
      </c>
    </row>
    <row r="922" spans="1:26" ht="12" customHeight="1" outlineLevel="4" x14ac:dyDescent="0.2">
      <c r="A922" s="14" t="s">
        <v>1830</v>
      </c>
      <c r="B922" s="26" t="s">
        <v>1831</v>
      </c>
      <c r="C922" s="52"/>
      <c r="D922" s="55">
        <f t="shared" si="14"/>
        <v>0</v>
      </c>
      <c r="E922" s="63" t="str">
        <f>HYPERLINK("https://www.sds-group.ru/product/kabel-kanal-16h16mm-chernyy-rexant-28-1616-8/", "Инфо")</f>
        <v>Инфо</v>
      </c>
      <c r="F922" s="16" t="s">
        <v>1767</v>
      </c>
      <c r="G922" s="15"/>
      <c r="H922" s="15"/>
      <c r="I922" s="15"/>
      <c r="J922" s="16" t="s">
        <v>100</v>
      </c>
      <c r="K922" s="15"/>
      <c r="L922" s="17">
        <v>84</v>
      </c>
      <c r="M922" s="17">
        <v>84</v>
      </c>
      <c r="N922" s="17">
        <v>84</v>
      </c>
      <c r="O922" s="18">
        <v>64.12</v>
      </c>
      <c r="P922" s="18">
        <v>52.56</v>
      </c>
      <c r="Q922" s="18">
        <v>54.5</v>
      </c>
      <c r="R922" s="18">
        <v>44.67</v>
      </c>
      <c r="S922" s="18">
        <v>43.6</v>
      </c>
      <c r="T922" s="18">
        <v>35.74</v>
      </c>
      <c r="U922" s="16"/>
      <c r="V922" s="16"/>
      <c r="W922" s="16" t="s">
        <v>40</v>
      </c>
      <c r="X922" s="19">
        <v>8.2000000000000003E-2</v>
      </c>
      <c r="Y922" s="20">
        <v>2.7799999999999998E-4</v>
      </c>
      <c r="Z922" s="21">
        <v>4601004296350</v>
      </c>
    </row>
    <row r="923" spans="1:26" ht="12" customHeight="1" outlineLevel="4" x14ac:dyDescent="0.2">
      <c r="A923" s="32" t="s">
        <v>1832</v>
      </c>
      <c r="B923" s="74" t="s">
        <v>1833</v>
      </c>
      <c r="C923" s="50"/>
      <c r="D923" s="53">
        <f t="shared" si="14"/>
        <v>0</v>
      </c>
      <c r="E923" s="60" t="str">
        <f>HYPERLINK("https://www.sds-group.ru/product/kabel-kanal-20h10mm-dub-rexant-28-2010-4/", "Инфо")</f>
        <v>Инфо</v>
      </c>
      <c r="F923" s="34" t="s">
        <v>1767</v>
      </c>
      <c r="G923" s="33"/>
      <c r="H923" s="33" t="s">
        <v>40</v>
      </c>
      <c r="I923" s="33"/>
      <c r="J923" s="35">
        <v>320</v>
      </c>
      <c r="K923" s="33"/>
      <c r="L923" s="35">
        <v>160</v>
      </c>
      <c r="M923" s="35">
        <v>160</v>
      </c>
      <c r="N923" s="35">
        <v>160</v>
      </c>
      <c r="O923" s="36">
        <v>80.709999999999994</v>
      </c>
      <c r="P923" s="36">
        <v>66.16</v>
      </c>
      <c r="Q923" s="36">
        <v>68.599999999999994</v>
      </c>
      <c r="R923" s="36">
        <v>56.23</v>
      </c>
      <c r="S923" s="36">
        <v>54.88</v>
      </c>
      <c r="T923" s="36">
        <v>44.98</v>
      </c>
      <c r="U923" s="34"/>
      <c r="V923" s="34"/>
      <c r="W923" s="34" t="s">
        <v>40</v>
      </c>
      <c r="X923" s="37">
        <v>8.2000000000000003E-2</v>
      </c>
      <c r="Y923" s="38">
        <v>2.7799999999999998E-4</v>
      </c>
      <c r="Z923" s="21">
        <v>4601004301795</v>
      </c>
    </row>
    <row r="924" spans="1:26" ht="12" customHeight="1" outlineLevel="4" x14ac:dyDescent="0.2">
      <c r="A924" s="14" t="s">
        <v>1834</v>
      </c>
      <c r="B924" s="26" t="s">
        <v>1835</v>
      </c>
      <c r="C924" s="52"/>
      <c r="D924" s="55">
        <f t="shared" si="14"/>
        <v>0</v>
      </c>
      <c r="E924" s="63" t="str">
        <f>HYPERLINK("https://www.sds-group.ru/product/kabel-kanal-20h10mm-seryy-rexant-28-2010-9/", "Инфо")</f>
        <v>Инфо</v>
      </c>
      <c r="F924" s="16" t="s">
        <v>1767</v>
      </c>
      <c r="G924" s="15"/>
      <c r="H924" s="15"/>
      <c r="I924" s="15"/>
      <c r="J924" s="16" t="s">
        <v>100</v>
      </c>
      <c r="K924" s="15"/>
      <c r="L924" s="17">
        <v>100</v>
      </c>
      <c r="M924" s="17">
        <v>100</v>
      </c>
      <c r="N924" s="17">
        <v>100</v>
      </c>
      <c r="O924" s="18">
        <v>75.67</v>
      </c>
      <c r="P924" s="18">
        <v>62.02</v>
      </c>
      <c r="Q924" s="18">
        <v>64.319999999999993</v>
      </c>
      <c r="R924" s="18">
        <v>52.72</v>
      </c>
      <c r="S924" s="18">
        <v>51.46</v>
      </c>
      <c r="T924" s="18">
        <v>42.18</v>
      </c>
      <c r="U924" s="16"/>
      <c r="V924" s="16"/>
      <c r="W924" s="16" t="s">
        <v>40</v>
      </c>
      <c r="X924" s="19">
        <v>8.2000000000000003E-2</v>
      </c>
      <c r="Y924" s="20">
        <v>2.7799999999999998E-4</v>
      </c>
      <c r="Z924" s="21">
        <v>4601004296381</v>
      </c>
    </row>
    <row r="925" spans="1:26" ht="12" customHeight="1" outlineLevel="4" x14ac:dyDescent="0.2">
      <c r="A925" s="14" t="s">
        <v>1836</v>
      </c>
      <c r="B925" s="26" t="s">
        <v>1837</v>
      </c>
      <c r="C925" s="52"/>
      <c r="D925" s="55">
        <f t="shared" si="14"/>
        <v>0</v>
      </c>
      <c r="E925" s="63" t="str">
        <f>HYPERLINK("https://www.sds-group.ru/product/kabel-kanal-20h10mm-sosna-3d-rexant-28-2010-5/", "Инфо")</f>
        <v>Инфо</v>
      </c>
      <c r="F925" s="16" t="s">
        <v>1767</v>
      </c>
      <c r="G925" s="15"/>
      <c r="H925" s="15"/>
      <c r="I925" s="15"/>
      <c r="J925" s="17">
        <v>2</v>
      </c>
      <c r="K925" s="15"/>
      <c r="L925" s="17">
        <v>160</v>
      </c>
      <c r="M925" s="17">
        <v>160</v>
      </c>
      <c r="N925" s="17">
        <v>160</v>
      </c>
      <c r="O925" s="18">
        <v>80.7</v>
      </c>
      <c r="P925" s="18">
        <v>66.150000000000006</v>
      </c>
      <c r="Q925" s="18">
        <v>68.599999999999994</v>
      </c>
      <c r="R925" s="18">
        <v>56.23</v>
      </c>
      <c r="S925" s="18">
        <v>54.88</v>
      </c>
      <c r="T925" s="18">
        <v>44.98</v>
      </c>
      <c r="U925" s="16"/>
      <c r="V925" s="16"/>
      <c r="W925" s="16" t="s">
        <v>40</v>
      </c>
      <c r="X925" s="19">
        <v>8.2000000000000003E-2</v>
      </c>
      <c r="Y925" s="20">
        <v>2.7799999999999998E-4</v>
      </c>
      <c r="Z925" s="21">
        <v>4601004275492</v>
      </c>
    </row>
    <row r="926" spans="1:26" ht="12" customHeight="1" outlineLevel="4" x14ac:dyDescent="0.2">
      <c r="A926" s="32" t="s">
        <v>1838</v>
      </c>
      <c r="B926" s="74" t="s">
        <v>1839</v>
      </c>
      <c r="C926" s="50"/>
      <c r="D926" s="53">
        <f t="shared" si="14"/>
        <v>0</v>
      </c>
      <c r="E926" s="60" t="str">
        <f>HYPERLINK("https://www.sds-group.ru/product/kabel-kanal-25x16mm-kanadskiy-klen-rexant-28-2516-85/", "Инфо")</f>
        <v>Инфо</v>
      </c>
      <c r="F926" s="34" t="s">
        <v>1767</v>
      </c>
      <c r="G926" s="33"/>
      <c r="H926" s="33" t="s">
        <v>40</v>
      </c>
      <c r="I926" s="33"/>
      <c r="J926" s="35">
        <v>56</v>
      </c>
      <c r="K926" s="33"/>
      <c r="L926" s="35">
        <v>60</v>
      </c>
      <c r="M926" s="35">
        <v>60</v>
      </c>
      <c r="N926" s="35">
        <v>60</v>
      </c>
      <c r="O926" s="36">
        <v>119.68</v>
      </c>
      <c r="P926" s="36">
        <v>98.1</v>
      </c>
      <c r="Q926" s="36">
        <v>83.78</v>
      </c>
      <c r="R926" s="36">
        <v>68.67</v>
      </c>
      <c r="S926" s="36">
        <v>81.38</v>
      </c>
      <c r="T926" s="36">
        <v>66.7</v>
      </c>
      <c r="U926" s="34"/>
      <c r="V926" s="34"/>
      <c r="W926" s="34"/>
      <c r="X926" s="37">
        <v>0.125</v>
      </c>
      <c r="Y926" s="38">
        <v>4.5800000000000002E-4</v>
      </c>
      <c r="Z926" s="21">
        <v>4601004312005</v>
      </c>
    </row>
    <row r="927" spans="1:26" ht="12" customHeight="1" outlineLevel="4" x14ac:dyDescent="0.2">
      <c r="A927" s="32" t="s">
        <v>1840</v>
      </c>
      <c r="B927" s="74" t="s">
        <v>1841</v>
      </c>
      <c r="C927" s="50"/>
      <c r="D927" s="53">
        <f t="shared" si="14"/>
        <v>0</v>
      </c>
      <c r="E927" s="60" t="str">
        <f>HYPERLINK("https://www.sds-group.ru/product/kabel-kanal-25x25mm-dub-rexant-28-2525-4/", "Инфо")</f>
        <v>Инфо</v>
      </c>
      <c r="F927" s="34" t="s">
        <v>1767</v>
      </c>
      <c r="G927" s="33"/>
      <c r="H927" s="33" t="s">
        <v>40</v>
      </c>
      <c r="I927" s="33"/>
      <c r="J927" s="35">
        <v>600</v>
      </c>
      <c r="K927" s="33"/>
      <c r="L927" s="35">
        <v>60</v>
      </c>
      <c r="M927" s="35">
        <v>60</v>
      </c>
      <c r="N927" s="35">
        <v>60</v>
      </c>
      <c r="O927" s="36">
        <v>148.9</v>
      </c>
      <c r="P927" s="36">
        <v>122.05</v>
      </c>
      <c r="Q927" s="36">
        <v>126.57</v>
      </c>
      <c r="R927" s="36">
        <v>103.75</v>
      </c>
      <c r="S927" s="36">
        <v>101.25</v>
      </c>
      <c r="T927" s="36">
        <v>82.99</v>
      </c>
      <c r="U927" s="34"/>
      <c r="V927" s="34"/>
      <c r="W927" s="34" t="s">
        <v>40</v>
      </c>
      <c r="X927" s="37">
        <v>0.16700000000000001</v>
      </c>
      <c r="Y927" s="38">
        <v>5.8699999999999996E-4</v>
      </c>
      <c r="Z927" s="21">
        <v>4601004301832</v>
      </c>
    </row>
    <row r="928" spans="1:26" ht="12" customHeight="1" outlineLevel="4" x14ac:dyDescent="0.2">
      <c r="A928" s="32" t="s">
        <v>1842</v>
      </c>
      <c r="B928" s="74" t="s">
        <v>1843</v>
      </c>
      <c r="C928" s="50"/>
      <c r="D928" s="53">
        <f t="shared" si="14"/>
        <v>0</v>
      </c>
      <c r="E928" s="60" t="str">
        <f>HYPERLINK("https://www.sds-group.ru/product/kabel-kanal-25x25mm-kanadskiy-klen-rexant-28-2525-85/", "Инфо")</f>
        <v>Инфо</v>
      </c>
      <c r="F928" s="34" t="s">
        <v>1767</v>
      </c>
      <c r="G928" s="33"/>
      <c r="H928" s="33" t="s">
        <v>40</v>
      </c>
      <c r="I928" s="33"/>
      <c r="J928" s="35">
        <v>32</v>
      </c>
      <c r="K928" s="33"/>
      <c r="L928" s="35">
        <v>50</v>
      </c>
      <c r="M928" s="35">
        <v>50</v>
      </c>
      <c r="N928" s="35">
        <v>50</v>
      </c>
      <c r="O928" s="36">
        <v>151.54</v>
      </c>
      <c r="P928" s="36">
        <v>124.21</v>
      </c>
      <c r="Q928" s="36">
        <v>106.08</v>
      </c>
      <c r="R928" s="36">
        <v>86.95</v>
      </c>
      <c r="S928" s="36">
        <v>103.05</v>
      </c>
      <c r="T928" s="36">
        <v>84.47</v>
      </c>
      <c r="U928" s="34"/>
      <c r="V928" s="34"/>
      <c r="W928" s="34"/>
      <c r="X928" s="37">
        <v>0.125</v>
      </c>
      <c r="Y928" s="38">
        <v>5.8699999999999996E-4</v>
      </c>
      <c r="Z928" s="21">
        <v>4601004312012</v>
      </c>
    </row>
    <row r="929" spans="1:26" ht="12" customHeight="1" outlineLevel="4" x14ac:dyDescent="0.2">
      <c r="A929" s="32" t="s">
        <v>1844</v>
      </c>
      <c r="B929" s="74" t="s">
        <v>1845</v>
      </c>
      <c r="C929" s="50"/>
      <c r="D929" s="53">
        <f t="shared" si="14"/>
        <v>0</v>
      </c>
      <c r="E929" s="60" t="str">
        <f>HYPERLINK("https://www.sds-group.ru/product/kabel-kanal-25x25mm-seryy-rexant-28-2525-9/", "Инфо")</f>
        <v>Инфо</v>
      </c>
      <c r="F929" s="34" t="s">
        <v>1767</v>
      </c>
      <c r="G929" s="33"/>
      <c r="H929" s="33" t="s">
        <v>40</v>
      </c>
      <c r="I929" s="33"/>
      <c r="J929" s="34" t="s">
        <v>100</v>
      </c>
      <c r="K929" s="33"/>
      <c r="L929" s="35">
        <v>32</v>
      </c>
      <c r="M929" s="35">
        <v>32</v>
      </c>
      <c r="N929" s="35">
        <v>32</v>
      </c>
      <c r="O929" s="36">
        <v>156.47</v>
      </c>
      <c r="P929" s="36">
        <v>128.25</v>
      </c>
      <c r="Q929" s="36">
        <v>133</v>
      </c>
      <c r="R929" s="36">
        <v>109.02</v>
      </c>
      <c r="S929" s="36">
        <v>106.4</v>
      </c>
      <c r="T929" s="36">
        <v>87.21</v>
      </c>
      <c r="U929" s="34"/>
      <c r="V929" s="34"/>
      <c r="W929" s="34" t="s">
        <v>40</v>
      </c>
      <c r="X929" s="37">
        <v>0.16700000000000001</v>
      </c>
      <c r="Y929" s="38">
        <v>5.8699999999999996E-4</v>
      </c>
      <c r="Z929" s="21">
        <v>4601004296497</v>
      </c>
    </row>
    <row r="930" spans="1:26" ht="12" customHeight="1" outlineLevel="4" x14ac:dyDescent="0.2">
      <c r="A930" s="14" t="s">
        <v>1846</v>
      </c>
      <c r="B930" s="26" t="s">
        <v>1847</v>
      </c>
      <c r="C930" s="52"/>
      <c r="D930" s="55">
        <f t="shared" si="14"/>
        <v>0</v>
      </c>
      <c r="E930" s="63" t="str">
        <f>HYPERLINK("https://www.sds-group.ru/product/kabel-kanal-25x25mm-sosna-3d-rexant-28-2525-5/", "Инфо")</f>
        <v>Инфо</v>
      </c>
      <c r="F930" s="16" t="s">
        <v>1767</v>
      </c>
      <c r="G930" s="15"/>
      <c r="H930" s="15"/>
      <c r="I930" s="15"/>
      <c r="J930" s="16" t="s">
        <v>100</v>
      </c>
      <c r="K930" s="15"/>
      <c r="L930" s="17">
        <v>60</v>
      </c>
      <c r="M930" s="17">
        <v>60</v>
      </c>
      <c r="N930" s="17">
        <v>60</v>
      </c>
      <c r="O930" s="18">
        <v>148.63</v>
      </c>
      <c r="P930" s="18">
        <v>121.83</v>
      </c>
      <c r="Q930" s="18">
        <v>126.34</v>
      </c>
      <c r="R930" s="18">
        <v>103.56</v>
      </c>
      <c r="S930" s="18">
        <v>101.07</v>
      </c>
      <c r="T930" s="18">
        <v>82.84</v>
      </c>
      <c r="U930" s="16"/>
      <c r="V930" s="16"/>
      <c r="W930" s="16" t="s">
        <v>40</v>
      </c>
      <c r="X930" s="19">
        <v>0.16700000000000001</v>
      </c>
      <c r="Y930" s="20">
        <v>5.8699999999999996E-4</v>
      </c>
      <c r="Z930" s="21">
        <v>4601004275546</v>
      </c>
    </row>
    <row r="931" spans="1:26" ht="12" customHeight="1" outlineLevel="4" x14ac:dyDescent="0.2">
      <c r="A931" s="14" t="s">
        <v>1848</v>
      </c>
      <c r="B931" s="26" t="s">
        <v>1849</v>
      </c>
      <c r="C931" s="52"/>
      <c r="D931" s="55">
        <f t="shared" si="14"/>
        <v>0</v>
      </c>
      <c r="E931" s="63" t="str">
        <f>HYPERLINK("https://www.sds-group.ru/product/kabel-kanal-25x25mm-chernyy-rexant-28-2525-8/", "Инфо")</f>
        <v>Инфо</v>
      </c>
      <c r="F931" s="16" t="s">
        <v>1767</v>
      </c>
      <c r="G931" s="15"/>
      <c r="H931" s="15"/>
      <c r="I931" s="15"/>
      <c r="J931" s="16" t="s">
        <v>100</v>
      </c>
      <c r="K931" s="15"/>
      <c r="L931" s="17">
        <v>32</v>
      </c>
      <c r="M931" s="17">
        <v>32</v>
      </c>
      <c r="N931" s="17">
        <v>32</v>
      </c>
      <c r="O931" s="18">
        <v>128.83000000000001</v>
      </c>
      <c r="P931" s="18">
        <v>105.6</v>
      </c>
      <c r="Q931" s="18">
        <v>109.51</v>
      </c>
      <c r="R931" s="18">
        <v>89.76</v>
      </c>
      <c r="S931" s="18">
        <v>87.6</v>
      </c>
      <c r="T931" s="18">
        <v>71.8</v>
      </c>
      <c r="U931" s="16"/>
      <c r="V931" s="16"/>
      <c r="W931" s="16" t="s">
        <v>40</v>
      </c>
      <c r="X931" s="19">
        <v>0.16700000000000001</v>
      </c>
      <c r="Y931" s="20">
        <v>5.8699999999999996E-4</v>
      </c>
      <c r="Z931" s="21">
        <v>4601004296282</v>
      </c>
    </row>
    <row r="932" spans="1:26" ht="12" customHeight="1" outlineLevel="4" x14ac:dyDescent="0.2">
      <c r="A932" s="32" t="s">
        <v>1850</v>
      </c>
      <c r="B932" s="74" t="s">
        <v>1851</v>
      </c>
      <c r="C932" s="50"/>
      <c r="D932" s="53">
        <f t="shared" si="14"/>
        <v>0</v>
      </c>
      <c r="E932" s="60" t="str">
        <f>HYPERLINK("https://www.sds-group.ru/product/kabel-kanal-25h16mm-dub-rexant-28-2516-4/", "Инфо")</f>
        <v>Инфо</v>
      </c>
      <c r="F932" s="34" t="s">
        <v>1767</v>
      </c>
      <c r="G932" s="33"/>
      <c r="H932" s="33" t="s">
        <v>40</v>
      </c>
      <c r="I932" s="33"/>
      <c r="J932" s="35">
        <v>252</v>
      </c>
      <c r="K932" s="33"/>
      <c r="L932" s="35">
        <v>84</v>
      </c>
      <c r="M932" s="35">
        <v>84</v>
      </c>
      <c r="N932" s="35">
        <v>84</v>
      </c>
      <c r="O932" s="36">
        <v>118.04</v>
      </c>
      <c r="P932" s="36">
        <v>96.75</v>
      </c>
      <c r="Q932" s="36">
        <v>100.33</v>
      </c>
      <c r="R932" s="36">
        <v>82.24</v>
      </c>
      <c r="S932" s="36">
        <v>80.27</v>
      </c>
      <c r="T932" s="36">
        <v>65.8</v>
      </c>
      <c r="U932" s="34"/>
      <c r="V932" s="34"/>
      <c r="W932" s="34" t="s">
        <v>40</v>
      </c>
      <c r="X932" s="37">
        <v>0.125</v>
      </c>
      <c r="Y932" s="38">
        <v>4.5800000000000002E-4</v>
      </c>
      <c r="Z932" s="21">
        <v>4601004301818</v>
      </c>
    </row>
    <row r="933" spans="1:26" ht="12" customHeight="1" outlineLevel="4" x14ac:dyDescent="0.2">
      <c r="A933" s="14" t="s">
        <v>1852</v>
      </c>
      <c r="B933" s="26" t="s">
        <v>1853</v>
      </c>
      <c r="C933" s="52"/>
      <c r="D933" s="55">
        <f t="shared" si="14"/>
        <v>0</v>
      </c>
      <c r="E933" s="63" t="str">
        <f>HYPERLINK("https://www.sds-group.ru/product/kabel-kanal-25h16mm-seryy-rexant-28-2516-9/", "Инфо")</f>
        <v>Инфо</v>
      </c>
      <c r="F933" s="16" t="s">
        <v>1767</v>
      </c>
      <c r="G933" s="15"/>
      <c r="H933" s="15"/>
      <c r="I933" s="15"/>
      <c r="J933" s="16" t="s">
        <v>100</v>
      </c>
      <c r="K933" s="15"/>
      <c r="L933" s="17">
        <v>60</v>
      </c>
      <c r="M933" s="17">
        <v>60</v>
      </c>
      <c r="N933" s="17">
        <v>60</v>
      </c>
      <c r="O933" s="18">
        <v>117.44</v>
      </c>
      <c r="P933" s="18">
        <v>96.26</v>
      </c>
      <c r="Q933" s="18">
        <v>99.82</v>
      </c>
      <c r="R933" s="18">
        <v>81.819999999999993</v>
      </c>
      <c r="S933" s="18">
        <v>79.86</v>
      </c>
      <c r="T933" s="18">
        <v>65.459999999999994</v>
      </c>
      <c r="U933" s="16"/>
      <c r="V933" s="16"/>
      <c r="W933" s="16" t="s">
        <v>40</v>
      </c>
      <c r="X933" s="19">
        <v>0.125</v>
      </c>
      <c r="Y933" s="20">
        <v>4.5800000000000002E-4</v>
      </c>
      <c r="Z933" s="21">
        <v>4601004296442</v>
      </c>
    </row>
    <row r="934" spans="1:26" ht="12" customHeight="1" outlineLevel="4" x14ac:dyDescent="0.2">
      <c r="A934" s="14" t="s">
        <v>1854</v>
      </c>
      <c r="B934" s="26" t="s">
        <v>1855</v>
      </c>
      <c r="C934" s="52"/>
      <c r="D934" s="55">
        <f t="shared" si="14"/>
        <v>0</v>
      </c>
      <c r="E934" s="63" t="str">
        <f>HYPERLINK("https://www.sds-group.ru/product/kabel-kanal-25h16mm-sosna-3d-rexant-28-2516-5/", "Инфо")</f>
        <v>Инфо</v>
      </c>
      <c r="F934" s="16" t="s">
        <v>1767</v>
      </c>
      <c r="G934" s="15"/>
      <c r="H934" s="15"/>
      <c r="I934" s="15"/>
      <c r="J934" s="16" t="s">
        <v>100</v>
      </c>
      <c r="K934" s="15"/>
      <c r="L934" s="17">
        <v>84</v>
      </c>
      <c r="M934" s="17">
        <v>84</v>
      </c>
      <c r="N934" s="17">
        <v>84</v>
      </c>
      <c r="O934" s="18">
        <v>118.02</v>
      </c>
      <c r="P934" s="18">
        <v>96.74</v>
      </c>
      <c r="Q934" s="18">
        <v>100.32</v>
      </c>
      <c r="R934" s="18">
        <v>82.23</v>
      </c>
      <c r="S934" s="18">
        <v>80.25</v>
      </c>
      <c r="T934" s="18">
        <v>65.78</v>
      </c>
      <c r="U934" s="16"/>
      <c r="V934" s="16"/>
      <c r="W934" s="16" t="s">
        <v>40</v>
      </c>
      <c r="X934" s="19">
        <v>0.125</v>
      </c>
      <c r="Y934" s="20">
        <v>4.5800000000000002E-4</v>
      </c>
      <c r="Z934" s="21">
        <v>4601004275447</v>
      </c>
    </row>
    <row r="935" spans="1:26" ht="12" customHeight="1" outlineLevel="4" x14ac:dyDescent="0.2">
      <c r="A935" s="14" t="s">
        <v>1856</v>
      </c>
      <c r="B935" s="26" t="s">
        <v>1857</v>
      </c>
      <c r="C935" s="52"/>
      <c r="D935" s="55">
        <f t="shared" si="14"/>
        <v>0</v>
      </c>
      <c r="E935" s="63" t="str">
        <f>HYPERLINK("https://www.sds-group.ru/product/kabel-kanal-25h16mm-chernyy-rexant-28-2516-8/", "Инфо")</f>
        <v>Инфо</v>
      </c>
      <c r="F935" s="16" t="s">
        <v>1767</v>
      </c>
      <c r="G935" s="15"/>
      <c r="H935" s="15"/>
      <c r="I935" s="15"/>
      <c r="J935" s="16" t="s">
        <v>100</v>
      </c>
      <c r="K935" s="15"/>
      <c r="L935" s="17">
        <v>60</v>
      </c>
      <c r="M935" s="17">
        <v>60</v>
      </c>
      <c r="N935" s="17">
        <v>60</v>
      </c>
      <c r="O935" s="18">
        <v>97.24</v>
      </c>
      <c r="P935" s="18">
        <v>79.7</v>
      </c>
      <c r="Q935" s="18">
        <v>82.65</v>
      </c>
      <c r="R935" s="18">
        <v>67.75</v>
      </c>
      <c r="S935" s="18">
        <v>66.12</v>
      </c>
      <c r="T935" s="18">
        <v>54.2</v>
      </c>
      <c r="U935" s="16"/>
      <c r="V935" s="16"/>
      <c r="W935" s="16" t="s">
        <v>40</v>
      </c>
      <c r="X935" s="19">
        <v>0.125</v>
      </c>
      <c r="Y935" s="20">
        <v>4.5800000000000002E-4</v>
      </c>
      <c r="Z935" s="21">
        <v>4601004296305</v>
      </c>
    </row>
    <row r="936" spans="1:26" ht="12" customHeight="1" outlineLevel="4" x14ac:dyDescent="0.2">
      <c r="A936" s="32" t="s">
        <v>1858</v>
      </c>
      <c r="B936" s="74" t="s">
        <v>1859</v>
      </c>
      <c r="C936" s="50"/>
      <c r="D936" s="53">
        <f t="shared" si="14"/>
        <v>0</v>
      </c>
      <c r="E936" s="60" t="str">
        <f>HYPERLINK("https://www.sds-group.ru/product/kabel-kanal-40x25mm-kanadskiy-klen-rexant-28-4025-85/", "Инфо")</f>
        <v>Инфо</v>
      </c>
      <c r="F936" s="34" t="s">
        <v>1767</v>
      </c>
      <c r="G936" s="33"/>
      <c r="H936" s="33" t="s">
        <v>40</v>
      </c>
      <c r="I936" s="33"/>
      <c r="J936" s="35">
        <v>20</v>
      </c>
      <c r="K936" s="33"/>
      <c r="L936" s="35">
        <v>40</v>
      </c>
      <c r="M936" s="35">
        <v>40</v>
      </c>
      <c r="N936" s="35">
        <v>40</v>
      </c>
      <c r="O936" s="36">
        <v>164.25</v>
      </c>
      <c r="P936" s="36">
        <v>134.63</v>
      </c>
      <c r="Q936" s="36">
        <v>114.98</v>
      </c>
      <c r="R936" s="36">
        <v>94.25</v>
      </c>
      <c r="S936" s="36">
        <v>111.69</v>
      </c>
      <c r="T936" s="36">
        <v>91.55</v>
      </c>
      <c r="U936" s="34"/>
      <c r="V936" s="34"/>
      <c r="W936" s="34"/>
      <c r="X936" s="37">
        <v>0.24399999999999999</v>
      </c>
      <c r="Y936" s="38">
        <v>6.4999999999999997E-4</v>
      </c>
      <c r="Z936" s="21">
        <v>4601004312036</v>
      </c>
    </row>
    <row r="937" spans="1:26" ht="12" customHeight="1" outlineLevel="4" x14ac:dyDescent="0.2">
      <c r="A937" s="32" t="s">
        <v>1860</v>
      </c>
      <c r="B937" s="74" t="s">
        <v>1861</v>
      </c>
      <c r="C937" s="50"/>
      <c r="D937" s="53">
        <f t="shared" si="14"/>
        <v>0</v>
      </c>
      <c r="E937" s="60" t="str">
        <f>HYPERLINK("https://www.sds-group.ru/product/kabel-kanal-40h16mm-dub-rexant-28-4016-4/", "Инфо")</f>
        <v>Инфо</v>
      </c>
      <c r="F937" s="34" t="s">
        <v>1767</v>
      </c>
      <c r="G937" s="33"/>
      <c r="H937" s="33" t="s">
        <v>40</v>
      </c>
      <c r="I937" s="33"/>
      <c r="J937" s="35">
        <v>96</v>
      </c>
      <c r="K937" s="33"/>
      <c r="L937" s="35">
        <v>48</v>
      </c>
      <c r="M937" s="35">
        <v>48</v>
      </c>
      <c r="N937" s="35">
        <v>48</v>
      </c>
      <c r="O937" s="36">
        <v>149.49</v>
      </c>
      <c r="P937" s="36">
        <v>122.53</v>
      </c>
      <c r="Q937" s="36">
        <v>104.64</v>
      </c>
      <c r="R937" s="36">
        <v>85.77</v>
      </c>
      <c r="S937" s="36">
        <v>101.65</v>
      </c>
      <c r="T937" s="36">
        <v>83.32</v>
      </c>
      <c r="U937" s="34"/>
      <c r="V937" s="34"/>
      <c r="W937" s="34"/>
      <c r="X937" s="37">
        <v>0.24399999999999999</v>
      </c>
      <c r="Y937" s="38">
        <v>6.4999999999999997E-4</v>
      </c>
      <c r="Z937" s="21">
        <v>4601004301856</v>
      </c>
    </row>
    <row r="938" spans="1:26" ht="12" customHeight="1" outlineLevel="4" x14ac:dyDescent="0.2">
      <c r="A938" s="32" t="s">
        <v>1862</v>
      </c>
      <c r="B938" s="74" t="s">
        <v>1863</v>
      </c>
      <c r="C938" s="50"/>
      <c r="D938" s="53">
        <f t="shared" si="14"/>
        <v>0</v>
      </c>
      <c r="E938" s="60" t="str">
        <f>HYPERLINK("https://www.sds-group.ru/product/kabel-kanal-40h25mm-dub-rexant-28-4025-4/", "Инфо")</f>
        <v>Инфо</v>
      </c>
      <c r="F938" s="34" t="s">
        <v>1767</v>
      </c>
      <c r="G938" s="33"/>
      <c r="H938" s="33" t="s">
        <v>40</v>
      </c>
      <c r="I938" s="33"/>
      <c r="J938" s="35">
        <v>256</v>
      </c>
      <c r="K938" s="33"/>
      <c r="L938" s="35">
        <v>32</v>
      </c>
      <c r="M938" s="35">
        <v>32</v>
      </c>
      <c r="N938" s="35">
        <v>32</v>
      </c>
      <c r="O938" s="36">
        <v>200.93</v>
      </c>
      <c r="P938" s="36">
        <v>164.7</v>
      </c>
      <c r="Q938" s="36">
        <v>170.79</v>
      </c>
      <c r="R938" s="36">
        <v>139.99</v>
      </c>
      <c r="S938" s="36">
        <v>136.63</v>
      </c>
      <c r="T938" s="36">
        <v>111.99</v>
      </c>
      <c r="U938" s="34"/>
      <c r="V938" s="34"/>
      <c r="W938" s="34" t="s">
        <v>40</v>
      </c>
      <c r="X938" s="37">
        <v>0.23699999999999999</v>
      </c>
      <c r="Y938" s="38">
        <v>1.083E-3</v>
      </c>
      <c r="Z938" s="21">
        <v>4601004301870</v>
      </c>
    </row>
    <row r="939" spans="1:26" ht="12" customHeight="1" outlineLevel="4" x14ac:dyDescent="0.2">
      <c r="A939" s="14" t="s">
        <v>1864</v>
      </c>
      <c r="B939" s="26" t="s">
        <v>1865</v>
      </c>
      <c r="C939" s="52"/>
      <c r="D939" s="55">
        <f t="shared" si="14"/>
        <v>0</v>
      </c>
      <c r="E939" s="63" t="str">
        <f>HYPERLINK("https://www.sds-group.ru/product/kabel-kanal-40h25mm-seryy-rexant-28-4025-9/", "Инфо")</f>
        <v>Инфо</v>
      </c>
      <c r="F939" s="16" t="s">
        <v>1767</v>
      </c>
      <c r="G939" s="15"/>
      <c r="H939" s="15"/>
      <c r="I939" s="15"/>
      <c r="J939" s="16" t="s">
        <v>100</v>
      </c>
      <c r="K939" s="15"/>
      <c r="L939" s="17">
        <v>32</v>
      </c>
      <c r="M939" s="17">
        <v>32</v>
      </c>
      <c r="N939" s="17">
        <v>32</v>
      </c>
      <c r="O939" s="18">
        <v>225.36</v>
      </c>
      <c r="P939" s="18">
        <v>184.72</v>
      </c>
      <c r="Q939" s="18">
        <v>191.56</v>
      </c>
      <c r="R939" s="18">
        <v>157.02000000000001</v>
      </c>
      <c r="S939" s="18">
        <v>153.24</v>
      </c>
      <c r="T939" s="18">
        <v>125.61</v>
      </c>
      <c r="U939" s="16"/>
      <c r="V939" s="16"/>
      <c r="W939" s="16" t="s">
        <v>40</v>
      </c>
      <c r="X939" s="19">
        <v>0.24399999999999999</v>
      </c>
      <c r="Y939" s="20">
        <v>6.4999999999999997E-4</v>
      </c>
      <c r="Z939" s="21">
        <v>4601004296213</v>
      </c>
    </row>
    <row r="940" spans="1:26" ht="12" customHeight="1" outlineLevel="4" x14ac:dyDescent="0.2">
      <c r="A940" s="14" t="s">
        <v>1866</v>
      </c>
      <c r="B940" s="26" t="s">
        <v>1867</v>
      </c>
      <c r="C940" s="52"/>
      <c r="D940" s="55">
        <f t="shared" si="14"/>
        <v>0</v>
      </c>
      <c r="E940" s="63" t="str">
        <f>HYPERLINK("https://www.sds-group.ru/product/kabel-kanal-40h25mm-sosna-3d-rexant-28-4025-5/", "Инфо")</f>
        <v>Инфо</v>
      </c>
      <c r="F940" s="16" t="s">
        <v>1767</v>
      </c>
      <c r="G940" s="15"/>
      <c r="H940" s="15"/>
      <c r="I940" s="15"/>
      <c r="J940" s="16" t="s">
        <v>100</v>
      </c>
      <c r="K940" s="15"/>
      <c r="L940" s="17">
        <v>32</v>
      </c>
      <c r="M940" s="17">
        <v>32</v>
      </c>
      <c r="N940" s="17">
        <v>32</v>
      </c>
      <c r="O940" s="18">
        <v>200.94</v>
      </c>
      <c r="P940" s="18">
        <v>164.7</v>
      </c>
      <c r="Q940" s="18">
        <v>170.8</v>
      </c>
      <c r="R940" s="18">
        <v>140</v>
      </c>
      <c r="S940" s="18">
        <v>136.63999999999999</v>
      </c>
      <c r="T940" s="18">
        <v>112</v>
      </c>
      <c r="U940" s="16"/>
      <c r="V940" s="16"/>
      <c r="W940" s="16" t="s">
        <v>40</v>
      </c>
      <c r="X940" s="19">
        <v>0.23699999999999999</v>
      </c>
      <c r="Y940" s="20">
        <v>1.083E-3</v>
      </c>
      <c r="Z940" s="21">
        <v>4601004275386</v>
      </c>
    </row>
    <row r="941" spans="1:26" ht="12" customHeight="1" outlineLevel="4" x14ac:dyDescent="0.2">
      <c r="A941" s="14" t="s">
        <v>1868</v>
      </c>
      <c r="B941" s="26" t="s">
        <v>1869</v>
      </c>
      <c r="C941" s="52"/>
      <c r="D941" s="55">
        <f t="shared" si="14"/>
        <v>0</v>
      </c>
      <c r="E941" s="63" t="str">
        <f>HYPERLINK("https://www.sds-group.ru/product/kabel-kanal-40h25mm-chernyy-rexant-28-4025-8/", "Инфо")</f>
        <v>Инфо</v>
      </c>
      <c r="F941" s="16" t="s">
        <v>1767</v>
      </c>
      <c r="G941" s="15"/>
      <c r="H941" s="15"/>
      <c r="I941" s="15"/>
      <c r="J941" s="16" t="s">
        <v>100</v>
      </c>
      <c r="K941" s="15"/>
      <c r="L941" s="17">
        <v>32</v>
      </c>
      <c r="M941" s="17">
        <v>32</v>
      </c>
      <c r="N941" s="17">
        <v>32</v>
      </c>
      <c r="O941" s="18">
        <v>185.82</v>
      </c>
      <c r="P941" s="18">
        <v>152.31</v>
      </c>
      <c r="Q941" s="18">
        <v>157.94999999999999</v>
      </c>
      <c r="R941" s="18">
        <v>129.47</v>
      </c>
      <c r="S941" s="18">
        <v>126.36</v>
      </c>
      <c r="T941" s="18">
        <v>103.57</v>
      </c>
      <c r="U941" s="16"/>
      <c r="V941" s="16"/>
      <c r="W941" s="16" t="s">
        <v>40</v>
      </c>
      <c r="X941" s="19">
        <v>0.24399999999999999</v>
      </c>
      <c r="Y941" s="20">
        <v>6.4999999999999997E-4</v>
      </c>
      <c r="Z941" s="21">
        <v>4601004296411</v>
      </c>
    </row>
    <row r="942" spans="1:26" ht="12.95" customHeight="1" outlineLevel="3" x14ac:dyDescent="0.2">
      <c r="A942" s="76" t="s">
        <v>1870</v>
      </c>
      <c r="B942" s="76"/>
      <c r="C942" s="77"/>
      <c r="D942" s="58"/>
      <c r="E942" s="68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  <c r="Z942" s="13"/>
    </row>
    <row r="943" spans="1:26" ht="12" customHeight="1" outlineLevel="4" x14ac:dyDescent="0.2">
      <c r="A943" s="32" t="s">
        <v>1871</v>
      </c>
      <c r="B943" s="74" t="s">
        <v>1872</v>
      </c>
      <c r="C943" s="50"/>
      <c r="D943" s="53">
        <f t="shared" si="14"/>
        <v>0</v>
      </c>
      <c r="E943" s="60" t="str">
        <f>HYPERLINK("https://www.sds-group.ru/product/kabel-kanal-bystroy-ukladki-16h25mm-belyy-80-m-up-rexant-28-1625-13/", "Инфо")</f>
        <v>Инфо</v>
      </c>
      <c r="F943" s="34" t="s">
        <v>1767</v>
      </c>
      <c r="G943" s="33"/>
      <c r="H943" s="33" t="s">
        <v>40</v>
      </c>
      <c r="I943" s="33"/>
      <c r="J943" s="35">
        <v>32</v>
      </c>
      <c r="K943" s="33"/>
      <c r="L943" s="35">
        <v>80</v>
      </c>
      <c r="M943" s="35">
        <v>80</v>
      </c>
      <c r="N943" s="35">
        <v>80</v>
      </c>
      <c r="O943" s="36">
        <v>162.21</v>
      </c>
      <c r="P943" s="36">
        <v>132.96</v>
      </c>
      <c r="Q943" s="36">
        <v>113.55</v>
      </c>
      <c r="R943" s="36">
        <v>93.07</v>
      </c>
      <c r="S943" s="36">
        <v>110.3</v>
      </c>
      <c r="T943" s="36">
        <v>90.41</v>
      </c>
      <c r="U943" s="34"/>
      <c r="V943" s="34"/>
      <c r="W943" s="34"/>
      <c r="X943" s="37">
        <v>9.9000000000000005E-2</v>
      </c>
      <c r="Y943" s="38">
        <v>7.2000000000000015E-4</v>
      </c>
      <c r="Z943" s="21">
        <v>4601004317291</v>
      </c>
    </row>
    <row r="944" spans="1:26" ht="12" customHeight="1" outlineLevel="4" x14ac:dyDescent="0.2">
      <c r="A944" s="32" t="s">
        <v>1873</v>
      </c>
      <c r="B944" s="74" t="s">
        <v>1874</v>
      </c>
      <c r="C944" s="50"/>
      <c r="D944" s="53">
        <f t="shared" si="14"/>
        <v>0</v>
      </c>
      <c r="E944" s="60" t="str">
        <f>HYPERLINK("https://www.sds-group.ru/product/kabel-kanal-bystroy-ukladki-40h25mm-belyy-20-m-up-rexant-28-4025-13/", "Инфо")</f>
        <v>Инфо</v>
      </c>
      <c r="F944" s="34" t="s">
        <v>1767</v>
      </c>
      <c r="G944" s="33"/>
      <c r="H944" s="33" t="s">
        <v>40</v>
      </c>
      <c r="I944" s="33"/>
      <c r="J944" s="35">
        <v>56</v>
      </c>
      <c r="K944" s="33"/>
      <c r="L944" s="35">
        <v>20</v>
      </c>
      <c r="M944" s="35">
        <v>20</v>
      </c>
      <c r="N944" s="35">
        <v>20</v>
      </c>
      <c r="O944" s="36">
        <v>305.27</v>
      </c>
      <c r="P944" s="36">
        <v>250.22</v>
      </c>
      <c r="Q944" s="36">
        <v>213.69</v>
      </c>
      <c r="R944" s="36">
        <v>175.16</v>
      </c>
      <c r="S944" s="36">
        <v>207.58</v>
      </c>
      <c r="T944" s="36">
        <v>170.15</v>
      </c>
      <c r="U944" s="34"/>
      <c r="V944" s="34"/>
      <c r="W944" s="34"/>
      <c r="X944" s="37">
        <v>0.223</v>
      </c>
      <c r="Y944" s="38">
        <v>1.3500000000000001E-3</v>
      </c>
      <c r="Z944" s="21">
        <v>4601004311459</v>
      </c>
    </row>
    <row r="945" spans="1:26" ht="12" customHeight="1" outlineLevel="4" x14ac:dyDescent="0.2">
      <c r="A945" s="32" t="s">
        <v>1875</v>
      </c>
      <c r="B945" s="74" t="s">
        <v>1876</v>
      </c>
      <c r="C945" s="50"/>
      <c r="D945" s="53">
        <f t="shared" si="14"/>
        <v>0</v>
      </c>
      <c r="E945" s="60" t="str">
        <f>HYPERLINK("https://www.sds-group.ru/product/kabel-kanal-bystroy-ukladki-60h40mm-belyy-10-m-up-rexant-28-6040-13/", "Инфо")</f>
        <v>Инфо</v>
      </c>
      <c r="F945" s="34" t="s">
        <v>1767</v>
      </c>
      <c r="G945" s="33"/>
      <c r="H945" s="33" t="s">
        <v>40</v>
      </c>
      <c r="I945" s="33"/>
      <c r="J945" s="35">
        <v>20</v>
      </c>
      <c r="K945" s="33"/>
      <c r="L945" s="35">
        <v>10</v>
      </c>
      <c r="M945" s="35">
        <v>10</v>
      </c>
      <c r="N945" s="35">
        <v>10</v>
      </c>
      <c r="O945" s="36">
        <v>588.04999999999995</v>
      </c>
      <c r="P945" s="36">
        <v>482.01</v>
      </c>
      <c r="Q945" s="36">
        <v>411.64</v>
      </c>
      <c r="R945" s="36">
        <v>337.41</v>
      </c>
      <c r="S945" s="36">
        <v>399.87</v>
      </c>
      <c r="T945" s="36">
        <v>327.76</v>
      </c>
      <c r="U945" s="34"/>
      <c r="V945" s="34"/>
      <c r="W945" s="34"/>
      <c r="X945" s="37">
        <v>0.52400000000000002</v>
      </c>
      <c r="Y945" s="38">
        <v>1.3332E-2</v>
      </c>
      <c r="Z945" s="21">
        <v>4601004311855</v>
      </c>
    </row>
    <row r="946" spans="1:26" ht="12" customHeight="1" outlineLevel="4" x14ac:dyDescent="0.2">
      <c r="A946" s="32" t="s">
        <v>1877</v>
      </c>
      <c r="B946" s="74" t="s">
        <v>1878</v>
      </c>
      <c r="C946" s="50"/>
      <c r="D946" s="53">
        <f t="shared" si="14"/>
        <v>0</v>
      </c>
      <c r="E946" s="60" t="str">
        <f>HYPERLINK("https://www.sds-group.ru/product/kabel-kanal-polukruglyy-20h12mm-belyy-60-m-up-rexant-28-2012-14/", "Инфо")</f>
        <v>Инфо</v>
      </c>
      <c r="F946" s="34" t="s">
        <v>1767</v>
      </c>
      <c r="G946" s="33"/>
      <c r="H946" s="33" t="s">
        <v>40</v>
      </c>
      <c r="I946" s="33"/>
      <c r="J946" s="35">
        <v>100</v>
      </c>
      <c r="K946" s="33"/>
      <c r="L946" s="35">
        <v>60</v>
      </c>
      <c r="M946" s="35">
        <v>60</v>
      </c>
      <c r="N946" s="35">
        <v>60</v>
      </c>
      <c r="O946" s="36">
        <v>187.9</v>
      </c>
      <c r="P946" s="36">
        <v>154.02000000000001</v>
      </c>
      <c r="Q946" s="36">
        <v>131.53</v>
      </c>
      <c r="R946" s="36">
        <v>107.81</v>
      </c>
      <c r="S946" s="36">
        <v>127.77</v>
      </c>
      <c r="T946" s="36">
        <v>104.73</v>
      </c>
      <c r="U946" s="34"/>
      <c r="V946" s="34"/>
      <c r="W946" s="34"/>
      <c r="X946" s="37">
        <v>0.17</v>
      </c>
      <c r="Y946" s="38">
        <v>1E-3</v>
      </c>
      <c r="Z946" s="21">
        <v>4601004311442</v>
      </c>
    </row>
    <row r="947" spans="1:26" ht="12" customHeight="1" outlineLevel="4" x14ac:dyDescent="0.2">
      <c r="A947" s="40" t="s">
        <v>1879</v>
      </c>
      <c r="B947" s="75" t="s">
        <v>1880</v>
      </c>
      <c r="C947" s="51"/>
      <c r="D947" s="54">
        <f t="shared" si="14"/>
        <v>0</v>
      </c>
      <c r="E947" s="61" t="str">
        <f>HYPERLINK("https://www.sds-group.ru/product/kabel-kanal-polukruglyy-usilennyy-13h30mm-belyy-40-m-up-rexant-28-1330-1/", "Инфо")</f>
        <v>Инфо</v>
      </c>
      <c r="F947" s="42" t="s">
        <v>1767</v>
      </c>
      <c r="G947" s="41" t="s">
        <v>40</v>
      </c>
      <c r="H947" s="41" t="s">
        <v>40</v>
      </c>
      <c r="I947" s="41"/>
      <c r="J947" s="43">
        <v>240</v>
      </c>
      <c r="K947" s="41"/>
      <c r="L947" s="43">
        <v>40</v>
      </c>
      <c r="M947" s="43">
        <v>40</v>
      </c>
      <c r="N947" s="43">
        <v>40</v>
      </c>
      <c r="O947" s="44">
        <v>354.56</v>
      </c>
      <c r="P947" s="44">
        <v>290.62</v>
      </c>
      <c r="Q947" s="44">
        <v>248.19</v>
      </c>
      <c r="R947" s="44">
        <v>203.43</v>
      </c>
      <c r="S947" s="44">
        <v>241.1</v>
      </c>
      <c r="T947" s="44">
        <v>197.62</v>
      </c>
      <c r="U947" s="42"/>
      <c r="V947" s="42"/>
      <c r="W947" s="42"/>
      <c r="X947" s="45">
        <v>0.33200000000000002</v>
      </c>
      <c r="Y947" s="46">
        <v>8.8000000000000003E-4</v>
      </c>
      <c r="Z947" s="21">
        <v>4601004311916</v>
      </c>
    </row>
    <row r="948" spans="1:26" ht="12.95" customHeight="1" outlineLevel="2" x14ac:dyDescent="0.2">
      <c r="A948" s="76" t="s">
        <v>1881</v>
      </c>
      <c r="B948" s="76"/>
      <c r="C948" s="77"/>
      <c r="D948" s="58"/>
      <c r="E948" s="68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  <c r="Z948" s="13"/>
    </row>
    <row r="949" spans="1:26" ht="12.95" customHeight="1" outlineLevel="3" x14ac:dyDescent="0.2">
      <c r="A949" s="82" t="s">
        <v>1882</v>
      </c>
      <c r="B949" s="82"/>
      <c r="C949" s="83"/>
      <c r="D949" s="59"/>
      <c r="E949" s="69"/>
      <c r="F949" s="23"/>
      <c r="G949" s="23"/>
      <c r="H949" s="23"/>
      <c r="I949" s="23"/>
      <c r="J949" s="23"/>
      <c r="K949" s="23"/>
      <c r="L949" s="23"/>
      <c r="M949" s="23"/>
      <c r="N949" s="23"/>
      <c r="O949" s="23"/>
      <c r="P949" s="23"/>
      <c r="Q949" s="23"/>
      <c r="R949" s="23"/>
      <c r="S949" s="23"/>
      <c r="T949" s="23"/>
      <c r="U949" s="23"/>
      <c r="V949" s="23"/>
      <c r="W949" s="23"/>
      <c r="X949" s="23"/>
      <c r="Y949" s="23"/>
      <c r="Z949" s="23"/>
    </row>
    <row r="950" spans="1:26" ht="12" customHeight="1" outlineLevel="4" x14ac:dyDescent="0.2">
      <c r="A950" s="14" t="s">
        <v>1883</v>
      </c>
      <c r="B950" s="26" t="s">
        <v>1884</v>
      </c>
      <c r="C950" s="52"/>
      <c r="D950" s="55">
        <f t="shared" si="14"/>
        <v>0</v>
      </c>
      <c r="E950" s="63" t="str">
        <f>HYPERLINK("https://www.sds-group.ru/product/truba-gofrirovannaya-iz-pvh-s-zondom-16mm-buhta-100-m-up-rexant-28-0016-2/", "Инфо")</f>
        <v>Инфо</v>
      </c>
      <c r="F950" s="16" t="s">
        <v>1767</v>
      </c>
      <c r="G950" s="15"/>
      <c r="H950" s="15"/>
      <c r="I950" s="15"/>
      <c r="J950" s="22">
        <v>19100</v>
      </c>
      <c r="K950" s="15"/>
      <c r="L950" s="17">
        <v>100</v>
      </c>
      <c r="M950" s="17">
        <v>100</v>
      </c>
      <c r="N950" s="17">
        <v>100</v>
      </c>
      <c r="O950" s="18">
        <v>20.02</v>
      </c>
      <c r="P950" s="18">
        <v>16.41</v>
      </c>
      <c r="Q950" s="18">
        <v>17.02</v>
      </c>
      <c r="R950" s="18">
        <v>13.95</v>
      </c>
      <c r="S950" s="18">
        <v>13.61</v>
      </c>
      <c r="T950" s="18">
        <v>11.16</v>
      </c>
      <c r="U950" s="16"/>
      <c r="V950" s="16"/>
      <c r="W950" s="16" t="s">
        <v>40</v>
      </c>
      <c r="X950" s="19">
        <v>4.1000000000000002E-2</v>
      </c>
      <c r="Y950" s="20">
        <v>4.4200000000000001E-4</v>
      </c>
      <c r="Z950" s="21">
        <v>4601004072329</v>
      </c>
    </row>
    <row r="951" spans="1:26" ht="12" customHeight="1" outlineLevel="4" x14ac:dyDescent="0.2">
      <c r="A951" s="14" t="s">
        <v>1885</v>
      </c>
      <c r="B951" s="26" t="s">
        <v>1886</v>
      </c>
      <c r="C951" s="52"/>
      <c r="D951" s="55">
        <f t="shared" si="14"/>
        <v>0</v>
      </c>
      <c r="E951" s="63" t="str">
        <f>HYPERLINK("https://www.sds-group.ru/product/truba-gofrirovannaya-iz-pvh-s-zondom-16mm-buhta-25-m-up-rexant-28-0161-25/", "Инфо")</f>
        <v>Инфо</v>
      </c>
      <c r="F951" s="16" t="s">
        <v>1887</v>
      </c>
      <c r="G951" s="15"/>
      <c r="H951" s="15"/>
      <c r="I951" s="15"/>
      <c r="J951" s="17">
        <v>327</v>
      </c>
      <c r="K951" s="15" t="s">
        <v>1888</v>
      </c>
      <c r="L951" s="17">
        <v>1</v>
      </c>
      <c r="M951" s="17">
        <v>1</v>
      </c>
      <c r="N951" s="17">
        <v>1</v>
      </c>
      <c r="O951" s="18">
        <v>686.86</v>
      </c>
      <c r="P951" s="18">
        <v>563</v>
      </c>
      <c r="Q951" s="18">
        <v>549.49</v>
      </c>
      <c r="R951" s="18">
        <v>450.4</v>
      </c>
      <c r="S951" s="18">
        <v>467.06</v>
      </c>
      <c r="T951" s="18">
        <v>382.84</v>
      </c>
      <c r="U951" s="16"/>
      <c r="V951" s="16"/>
      <c r="W951" s="16" t="s">
        <v>40</v>
      </c>
      <c r="X951" s="19">
        <v>1.054</v>
      </c>
      <c r="Y951" s="20">
        <v>1.6458E-2</v>
      </c>
      <c r="Z951" s="21">
        <v>4601004273962</v>
      </c>
    </row>
    <row r="952" spans="1:26" ht="12" customHeight="1" outlineLevel="4" x14ac:dyDescent="0.2">
      <c r="A952" s="14" t="s">
        <v>1889</v>
      </c>
      <c r="B952" s="26" t="s">
        <v>1890</v>
      </c>
      <c r="C952" s="52"/>
      <c r="D952" s="55">
        <f t="shared" si="14"/>
        <v>0</v>
      </c>
      <c r="E952" s="63" t="str">
        <f>HYPERLINK("https://www.sds-group.ru/product/truba-gofrirovannaya-iz-pvh-s-zondom-16mm-buhta-50-m-up-rexant-28-0161-50/", "Инфо")</f>
        <v>Инфо</v>
      </c>
      <c r="F952" s="16" t="s">
        <v>1887</v>
      </c>
      <c r="G952" s="15"/>
      <c r="H952" s="15"/>
      <c r="I952" s="15"/>
      <c r="J952" s="17">
        <v>168</v>
      </c>
      <c r="K952" s="15"/>
      <c r="L952" s="17">
        <v>1</v>
      </c>
      <c r="M952" s="17">
        <v>1</v>
      </c>
      <c r="N952" s="17">
        <v>1</v>
      </c>
      <c r="O952" s="18">
        <v>1136.3699999999999</v>
      </c>
      <c r="P952" s="18">
        <v>931.45</v>
      </c>
      <c r="Q952" s="18">
        <v>909.1</v>
      </c>
      <c r="R952" s="18">
        <v>745.16</v>
      </c>
      <c r="S952" s="18">
        <v>772.73</v>
      </c>
      <c r="T952" s="18">
        <v>633.39</v>
      </c>
      <c r="U952" s="16"/>
      <c r="V952" s="16"/>
      <c r="W952" s="16" t="s">
        <v>40</v>
      </c>
      <c r="X952" s="19">
        <v>2.1309999999999998</v>
      </c>
      <c r="Y952" s="20">
        <v>3.1172999999999999E-2</v>
      </c>
      <c r="Z952" s="21">
        <v>4601004273955</v>
      </c>
    </row>
    <row r="953" spans="1:26" ht="12" customHeight="1" outlineLevel="4" x14ac:dyDescent="0.2">
      <c r="A953" s="14" t="s">
        <v>1891</v>
      </c>
      <c r="B953" s="26" t="s">
        <v>1892</v>
      </c>
      <c r="C953" s="52"/>
      <c r="D953" s="55">
        <f t="shared" si="14"/>
        <v>0</v>
      </c>
      <c r="E953" s="63" t="str">
        <f>HYPERLINK("https://www.sds-group.ru/product/truba-gofrirovannaya-iz-pvh-s-zondom-16mm-buhta-10-m-up-rexant-28-0016-10/", "Инфо")</f>
        <v>Инфо</v>
      </c>
      <c r="F953" s="16" t="s">
        <v>1887</v>
      </c>
      <c r="G953" s="15"/>
      <c r="H953" s="15"/>
      <c r="I953" s="15"/>
      <c r="J953" s="22">
        <v>1799</v>
      </c>
      <c r="K953" s="15"/>
      <c r="L953" s="17">
        <v>5</v>
      </c>
      <c r="M953" s="17">
        <v>1</v>
      </c>
      <c r="N953" s="17">
        <v>5</v>
      </c>
      <c r="O953" s="18">
        <v>314.88</v>
      </c>
      <c r="P953" s="18">
        <v>258.10000000000002</v>
      </c>
      <c r="Q953" s="18">
        <v>267.64999999999998</v>
      </c>
      <c r="R953" s="18">
        <v>219.39</v>
      </c>
      <c r="S953" s="18">
        <v>214.12</v>
      </c>
      <c r="T953" s="18">
        <v>175.51</v>
      </c>
      <c r="U953" s="16"/>
      <c r="V953" s="16"/>
      <c r="W953" s="16" t="s">
        <v>40</v>
      </c>
      <c r="X953" s="19">
        <v>0.501</v>
      </c>
      <c r="Y953" s="20">
        <v>8.5909999999999997E-3</v>
      </c>
      <c r="Z953" s="21">
        <v>4601004030695</v>
      </c>
    </row>
    <row r="954" spans="1:26" ht="12" customHeight="1" outlineLevel="4" x14ac:dyDescent="0.2">
      <c r="A954" s="14" t="s">
        <v>1893</v>
      </c>
      <c r="B954" s="26" t="s">
        <v>1894</v>
      </c>
      <c r="C954" s="52"/>
      <c r="D954" s="55">
        <f t="shared" si="14"/>
        <v>0</v>
      </c>
      <c r="E954" s="63" t="str">
        <f>HYPERLINK("https://www.sds-group.ru/product/truba-gofrirovannaya-iz-pvh-s-zondom-20mm-buhta-100-m-up-rexant-28-0020-2/", "Инфо")</f>
        <v>Инфо</v>
      </c>
      <c r="F954" s="16" t="s">
        <v>1767</v>
      </c>
      <c r="G954" s="15"/>
      <c r="H954" s="15"/>
      <c r="I954" s="15"/>
      <c r="J954" s="22">
        <v>15870</v>
      </c>
      <c r="K954" s="15" t="s">
        <v>1888</v>
      </c>
      <c r="L954" s="17">
        <v>100</v>
      </c>
      <c r="M954" s="17">
        <v>100</v>
      </c>
      <c r="N954" s="17">
        <v>100</v>
      </c>
      <c r="O954" s="18">
        <v>25.69</v>
      </c>
      <c r="P954" s="18">
        <v>21.06</v>
      </c>
      <c r="Q954" s="18">
        <v>21.84</v>
      </c>
      <c r="R954" s="18">
        <v>17.899999999999999</v>
      </c>
      <c r="S954" s="18">
        <v>17.47</v>
      </c>
      <c r="T954" s="18">
        <v>14.32</v>
      </c>
      <c r="U954" s="16"/>
      <c r="V954" s="16"/>
      <c r="W954" s="16" t="s">
        <v>40</v>
      </c>
      <c r="X954" s="19">
        <v>5.7000000000000002E-2</v>
      </c>
      <c r="Y954" s="20">
        <v>6.9700000000000003E-4</v>
      </c>
      <c r="Z954" s="21">
        <v>4601004072152</v>
      </c>
    </row>
    <row r="955" spans="1:26" ht="12" customHeight="1" outlineLevel="4" x14ac:dyDescent="0.2">
      <c r="A955" s="14" t="s">
        <v>1895</v>
      </c>
      <c r="B955" s="26" t="s">
        <v>1896</v>
      </c>
      <c r="C955" s="52"/>
      <c r="D955" s="55">
        <f t="shared" si="14"/>
        <v>0</v>
      </c>
      <c r="E955" s="63" t="str">
        <f>HYPERLINK("https://www.sds-group.ru/product/truba-gofrirovannaya-iz-pvh-s-zondom-20mm-buhta-25-m-up-rexant-28-0201-25/", "Инфо")</f>
        <v>Инфо</v>
      </c>
      <c r="F955" s="16" t="s">
        <v>1887</v>
      </c>
      <c r="G955" s="15"/>
      <c r="H955" s="15"/>
      <c r="I955" s="15"/>
      <c r="J955" s="17">
        <v>172</v>
      </c>
      <c r="K955" s="15"/>
      <c r="L955" s="17">
        <v>1</v>
      </c>
      <c r="M955" s="17">
        <v>1</v>
      </c>
      <c r="N955" s="17">
        <v>1</v>
      </c>
      <c r="O955" s="18">
        <v>916.03</v>
      </c>
      <c r="P955" s="18">
        <v>750.84</v>
      </c>
      <c r="Q955" s="18">
        <v>732.82</v>
      </c>
      <c r="R955" s="18">
        <v>600.66999999999996</v>
      </c>
      <c r="S955" s="18">
        <v>622.9</v>
      </c>
      <c r="T955" s="18">
        <v>510.57</v>
      </c>
      <c r="U955" s="16"/>
      <c r="V955" s="16"/>
      <c r="W955" s="16" t="s">
        <v>40</v>
      </c>
      <c r="X955" s="19">
        <v>1.3620000000000001</v>
      </c>
      <c r="Y955" s="20">
        <v>2.3706999999999999E-2</v>
      </c>
      <c r="Z955" s="21">
        <v>4601004273948</v>
      </c>
    </row>
    <row r="956" spans="1:26" ht="12" customHeight="1" outlineLevel="4" x14ac:dyDescent="0.2">
      <c r="A956" s="14" t="s">
        <v>1897</v>
      </c>
      <c r="B956" s="26" t="s">
        <v>1898</v>
      </c>
      <c r="C956" s="52"/>
      <c r="D956" s="55">
        <f t="shared" si="14"/>
        <v>0</v>
      </c>
      <c r="E956" s="63" t="str">
        <f>HYPERLINK("https://www.sds-group.ru/product/truba-gofrirovannaya-iz-pvh-s-zondom-20mm-buhta-50-m-up-rexant-28-0201-50/", "Инфо")</f>
        <v>Инфо</v>
      </c>
      <c r="F956" s="16" t="s">
        <v>1887</v>
      </c>
      <c r="G956" s="15"/>
      <c r="H956" s="15"/>
      <c r="I956" s="15"/>
      <c r="J956" s="17">
        <v>77</v>
      </c>
      <c r="K956" s="15"/>
      <c r="L956" s="17">
        <v>1</v>
      </c>
      <c r="M956" s="17">
        <v>1</v>
      </c>
      <c r="N956" s="17">
        <v>1</v>
      </c>
      <c r="O956" s="18">
        <v>1456.92</v>
      </c>
      <c r="P956" s="18">
        <v>1194.2</v>
      </c>
      <c r="Q956" s="18">
        <v>1150.97</v>
      </c>
      <c r="R956" s="18">
        <v>943.42</v>
      </c>
      <c r="S956" s="18">
        <v>990.71</v>
      </c>
      <c r="T956" s="18">
        <v>812.06</v>
      </c>
      <c r="U956" s="16"/>
      <c r="V956" s="16"/>
      <c r="W956" s="16" t="s">
        <v>40</v>
      </c>
      <c r="X956" s="19">
        <v>2.746</v>
      </c>
      <c r="Y956" s="20">
        <v>3.9248999999999999E-2</v>
      </c>
      <c r="Z956" s="21">
        <v>4601004273979</v>
      </c>
    </row>
    <row r="957" spans="1:26" ht="12" customHeight="1" outlineLevel="4" x14ac:dyDescent="0.2">
      <c r="A957" s="14" t="s">
        <v>1899</v>
      </c>
      <c r="B957" s="26" t="s">
        <v>1900</v>
      </c>
      <c r="C957" s="52"/>
      <c r="D957" s="55">
        <f t="shared" si="14"/>
        <v>0</v>
      </c>
      <c r="E957" s="63" t="str">
        <f>HYPERLINK("https://www.sds-group.ru/product/truba-gofrirovannaya-iz-pvh-s-zondom-20mm-buhta-10-m-up-rexant-28-0020-10/", "Инфо")</f>
        <v>Инфо</v>
      </c>
      <c r="F957" s="16" t="s">
        <v>1887</v>
      </c>
      <c r="G957" s="15"/>
      <c r="H957" s="15"/>
      <c r="I957" s="15"/>
      <c r="J957" s="17">
        <v>620</v>
      </c>
      <c r="K957" s="15"/>
      <c r="L957" s="17">
        <v>5</v>
      </c>
      <c r="M957" s="17">
        <v>1</v>
      </c>
      <c r="N957" s="17">
        <v>5</v>
      </c>
      <c r="O957" s="18">
        <v>417.95</v>
      </c>
      <c r="P957" s="18">
        <v>342.58</v>
      </c>
      <c r="Q957" s="18">
        <v>355.26</v>
      </c>
      <c r="R957" s="18">
        <v>291.2</v>
      </c>
      <c r="S957" s="18">
        <v>284.20999999999998</v>
      </c>
      <c r="T957" s="18">
        <v>232.96</v>
      </c>
      <c r="U957" s="16"/>
      <c r="V957" s="16"/>
      <c r="W957" s="16" t="s">
        <v>40</v>
      </c>
      <c r="X957" s="19">
        <v>0.55600000000000005</v>
      </c>
      <c r="Y957" s="20">
        <v>1.044E-2</v>
      </c>
      <c r="Z957" s="21">
        <v>4601004030701</v>
      </c>
    </row>
    <row r="958" spans="1:26" ht="12" customHeight="1" outlineLevel="4" x14ac:dyDescent="0.2">
      <c r="A958" s="14" t="s">
        <v>1901</v>
      </c>
      <c r="B958" s="26" t="s">
        <v>1902</v>
      </c>
      <c r="C958" s="52"/>
      <c r="D958" s="55">
        <f t="shared" si="14"/>
        <v>0</v>
      </c>
      <c r="E958" s="63" t="str">
        <f>HYPERLINK("https://www.sds-group.ru/product/truba-gofrirovannaya-iz-pvh-s-zondom-25mm-buhta-25-m-up-rexant-28-0251-25/", "Инфо")</f>
        <v>Инфо</v>
      </c>
      <c r="F958" s="16" t="s">
        <v>1887</v>
      </c>
      <c r="G958" s="15"/>
      <c r="H958" s="15"/>
      <c r="I958" s="15"/>
      <c r="J958" s="17">
        <v>86</v>
      </c>
      <c r="K958" s="15"/>
      <c r="L958" s="17">
        <v>1</v>
      </c>
      <c r="M958" s="17">
        <v>1</v>
      </c>
      <c r="N958" s="17">
        <v>1</v>
      </c>
      <c r="O958" s="18">
        <v>1203.83</v>
      </c>
      <c r="P958" s="18">
        <v>986.75</v>
      </c>
      <c r="Q958" s="18">
        <v>963.06</v>
      </c>
      <c r="R958" s="18">
        <v>789.39</v>
      </c>
      <c r="S958" s="18">
        <v>818.6</v>
      </c>
      <c r="T958" s="18">
        <v>670.98</v>
      </c>
      <c r="U958" s="16"/>
      <c r="V958" s="16"/>
      <c r="W958" s="16" t="s">
        <v>40</v>
      </c>
      <c r="X958" s="19">
        <v>1.9810000000000001</v>
      </c>
      <c r="Y958" s="20">
        <v>3.5110000000000002E-2</v>
      </c>
      <c r="Z958" s="21">
        <v>4601004273986</v>
      </c>
    </row>
    <row r="959" spans="1:26" ht="12" customHeight="1" outlineLevel="4" x14ac:dyDescent="0.2">
      <c r="A959" s="14" t="s">
        <v>1903</v>
      </c>
      <c r="B959" s="26" t="s">
        <v>1904</v>
      </c>
      <c r="C959" s="52"/>
      <c r="D959" s="55">
        <f t="shared" si="14"/>
        <v>0</v>
      </c>
      <c r="E959" s="63" t="str">
        <f>HYPERLINK("https://www.sds-group.ru/product/truba-gofrirovannaya-iz-pvh-s-zondom-25mm-buhta-50-m-up-rexant-28-0025-2/", "Инфо")</f>
        <v>Инфо</v>
      </c>
      <c r="F959" s="16" t="s">
        <v>1767</v>
      </c>
      <c r="G959" s="15"/>
      <c r="H959" s="15"/>
      <c r="I959" s="15"/>
      <c r="J959" s="22">
        <v>21450</v>
      </c>
      <c r="K959" s="15"/>
      <c r="L959" s="17">
        <v>50</v>
      </c>
      <c r="M959" s="17">
        <v>50</v>
      </c>
      <c r="N959" s="17">
        <v>50</v>
      </c>
      <c r="O959" s="18">
        <v>40.57</v>
      </c>
      <c r="P959" s="18">
        <v>33.25</v>
      </c>
      <c r="Q959" s="18">
        <v>34.479999999999997</v>
      </c>
      <c r="R959" s="18">
        <v>28.26</v>
      </c>
      <c r="S959" s="18">
        <v>27.59</v>
      </c>
      <c r="T959" s="18">
        <v>22.61</v>
      </c>
      <c r="U959" s="16"/>
      <c r="V959" s="16"/>
      <c r="W959" s="16" t="s">
        <v>40</v>
      </c>
      <c r="X959" s="19">
        <v>0.08</v>
      </c>
      <c r="Y959" s="20">
        <v>1.026E-3</v>
      </c>
      <c r="Z959" s="21">
        <v>4601004072183</v>
      </c>
    </row>
    <row r="960" spans="1:26" ht="12" customHeight="1" outlineLevel="4" x14ac:dyDescent="0.2">
      <c r="A960" s="14" t="s">
        <v>1905</v>
      </c>
      <c r="B960" s="26" t="s">
        <v>1906</v>
      </c>
      <c r="C960" s="52"/>
      <c r="D960" s="55">
        <f t="shared" si="14"/>
        <v>0</v>
      </c>
      <c r="E960" s="63" t="str">
        <f>HYPERLINK("https://www.sds-group.ru/product/truba-gofrirovannaya-iz-pvh-s-zondom-25mm-buhta-10-m-up-rexant-28-0025-10/", "Инфо")</f>
        <v>Инфо</v>
      </c>
      <c r="F960" s="16" t="s">
        <v>1887</v>
      </c>
      <c r="G960" s="15"/>
      <c r="H960" s="15"/>
      <c r="I960" s="15"/>
      <c r="J960" s="17">
        <v>390</v>
      </c>
      <c r="K960" s="15"/>
      <c r="L960" s="17">
        <v>5</v>
      </c>
      <c r="M960" s="17">
        <v>1</v>
      </c>
      <c r="N960" s="17">
        <v>5</v>
      </c>
      <c r="O960" s="18">
        <v>582.58000000000004</v>
      </c>
      <c r="P960" s="18">
        <v>477.52</v>
      </c>
      <c r="Q960" s="18">
        <v>495.19</v>
      </c>
      <c r="R960" s="18">
        <v>405.89</v>
      </c>
      <c r="S960" s="18">
        <v>396.15</v>
      </c>
      <c r="T960" s="18">
        <v>324.70999999999998</v>
      </c>
      <c r="U960" s="16"/>
      <c r="V960" s="16"/>
      <c r="W960" s="16" t="s">
        <v>40</v>
      </c>
      <c r="X960" s="19">
        <v>0.88700000000000001</v>
      </c>
      <c r="Y960" s="20">
        <v>1.9276999999999999E-2</v>
      </c>
      <c r="Z960" s="21">
        <v>4601004030718</v>
      </c>
    </row>
    <row r="961" spans="1:26" ht="12" customHeight="1" outlineLevel="4" x14ac:dyDescent="0.2">
      <c r="A961" s="14" t="s">
        <v>1907</v>
      </c>
      <c r="B961" s="26" t="s">
        <v>1908</v>
      </c>
      <c r="C961" s="52"/>
      <c r="D961" s="55">
        <f t="shared" si="14"/>
        <v>0</v>
      </c>
      <c r="E961" s="63" t="str">
        <f>HYPERLINK("https://www.sds-group.ru/product/truba-gofrirovannaya-iz-pvh-s-zondom-32mm-buhta-25-m-up-rexant-28-0032-2/", "Инфо")</f>
        <v>Инфо</v>
      </c>
      <c r="F961" s="16" t="s">
        <v>1767</v>
      </c>
      <c r="G961" s="15"/>
      <c r="H961" s="15"/>
      <c r="I961" s="15"/>
      <c r="J961" s="22">
        <v>8845</v>
      </c>
      <c r="K961" s="15"/>
      <c r="L961" s="17">
        <v>25</v>
      </c>
      <c r="M961" s="17">
        <v>25</v>
      </c>
      <c r="N961" s="17">
        <v>25</v>
      </c>
      <c r="O961" s="18">
        <v>62.38</v>
      </c>
      <c r="P961" s="18">
        <v>51.13</v>
      </c>
      <c r="Q961" s="18">
        <v>53.02</v>
      </c>
      <c r="R961" s="18">
        <v>43.46</v>
      </c>
      <c r="S961" s="18">
        <v>42.42</v>
      </c>
      <c r="T961" s="18">
        <v>34.770000000000003</v>
      </c>
      <c r="U961" s="16"/>
      <c r="V961" s="16"/>
      <c r="W961" s="16" t="s">
        <v>40</v>
      </c>
      <c r="X961" s="19">
        <v>0.108</v>
      </c>
      <c r="Y961" s="20">
        <v>1.7819999999999999E-3</v>
      </c>
      <c r="Z961" s="21">
        <v>4601004072206</v>
      </c>
    </row>
    <row r="962" spans="1:26" ht="12" customHeight="1" outlineLevel="4" x14ac:dyDescent="0.2">
      <c r="A962" s="14" t="s">
        <v>1909</v>
      </c>
      <c r="B962" s="26" t="s">
        <v>1910</v>
      </c>
      <c r="C962" s="52"/>
      <c r="D962" s="55">
        <f t="shared" si="14"/>
        <v>0</v>
      </c>
      <c r="E962" s="63" t="str">
        <f>HYPERLINK("https://www.sds-group.ru/product/truba-gofrirovannaya-iz-pvh-s-zondom-40mm-buhta-15-m-up-rexant-28-0400-2/", "Инфо")</f>
        <v>Инфо</v>
      </c>
      <c r="F962" s="16" t="s">
        <v>1767</v>
      </c>
      <c r="G962" s="15"/>
      <c r="H962" s="15"/>
      <c r="I962" s="15"/>
      <c r="J962" s="22">
        <v>2295</v>
      </c>
      <c r="K962" s="15"/>
      <c r="L962" s="17">
        <v>15</v>
      </c>
      <c r="M962" s="17">
        <v>15</v>
      </c>
      <c r="N962" s="17">
        <v>15</v>
      </c>
      <c r="O962" s="18">
        <v>101.76</v>
      </c>
      <c r="P962" s="18">
        <v>83.41</v>
      </c>
      <c r="Q962" s="18">
        <v>86.5</v>
      </c>
      <c r="R962" s="18">
        <v>70.900000000000006</v>
      </c>
      <c r="S962" s="18">
        <v>69.2</v>
      </c>
      <c r="T962" s="18">
        <v>56.72</v>
      </c>
      <c r="U962" s="16"/>
      <c r="V962" s="16"/>
      <c r="W962" s="16" t="s">
        <v>40</v>
      </c>
      <c r="X962" s="19">
        <v>0.20399999999999999</v>
      </c>
      <c r="Y962" s="20">
        <v>4.5339999999999998E-3</v>
      </c>
      <c r="Z962" s="21">
        <v>4601004172210</v>
      </c>
    </row>
    <row r="963" spans="1:26" ht="12" customHeight="1" outlineLevel="4" x14ac:dyDescent="0.2">
      <c r="A963" s="14" t="s">
        <v>1911</v>
      </c>
      <c r="B963" s="26" t="s">
        <v>1912</v>
      </c>
      <c r="C963" s="52"/>
      <c r="D963" s="55">
        <f t="shared" si="14"/>
        <v>0</v>
      </c>
      <c r="E963" s="63" t="str">
        <f>HYPERLINK("https://www.sds-group.ru/product/truba-gofrirovannaya-iz-pvh-s-zondom-50mm-buhta-15-m-up-rexant-28-0500-2/", "Инфо")</f>
        <v>Инфо</v>
      </c>
      <c r="F963" s="16" t="s">
        <v>1767</v>
      </c>
      <c r="G963" s="15"/>
      <c r="H963" s="15"/>
      <c r="I963" s="15"/>
      <c r="J963" s="22">
        <v>1920</v>
      </c>
      <c r="K963" s="15"/>
      <c r="L963" s="17">
        <v>15</v>
      </c>
      <c r="M963" s="17">
        <v>15</v>
      </c>
      <c r="N963" s="17">
        <v>15</v>
      </c>
      <c r="O963" s="18">
        <v>131.51</v>
      </c>
      <c r="P963" s="18">
        <v>107.8</v>
      </c>
      <c r="Q963" s="18">
        <v>111.78</v>
      </c>
      <c r="R963" s="18">
        <v>91.62</v>
      </c>
      <c r="S963" s="18">
        <v>89.43</v>
      </c>
      <c r="T963" s="18">
        <v>73.3</v>
      </c>
      <c r="U963" s="16"/>
      <c r="V963" s="16"/>
      <c r="W963" s="16" t="s">
        <v>40</v>
      </c>
      <c r="X963" s="19">
        <v>0.218</v>
      </c>
      <c r="Y963" s="20">
        <v>4.1970000000000002E-3</v>
      </c>
      <c r="Z963" s="21">
        <v>4601004172227</v>
      </c>
    </row>
    <row r="964" spans="1:26" ht="12.95" customHeight="1" outlineLevel="3" x14ac:dyDescent="0.2">
      <c r="A964" s="76" t="s">
        <v>1913</v>
      </c>
      <c r="B964" s="76"/>
      <c r="C964" s="77"/>
      <c r="D964" s="58"/>
      <c r="E964" s="68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  <c r="U964" s="13"/>
      <c r="V964" s="13"/>
      <c r="W964" s="13"/>
      <c r="X964" s="13"/>
      <c r="Y964" s="13"/>
      <c r="Z964" s="13"/>
    </row>
    <row r="965" spans="1:26" ht="12" customHeight="1" outlineLevel="4" x14ac:dyDescent="0.2">
      <c r="A965" s="14" t="s">
        <v>1914</v>
      </c>
      <c r="B965" s="26" t="s">
        <v>1915</v>
      </c>
      <c r="C965" s="52"/>
      <c r="D965" s="55">
        <f t="shared" si="14"/>
        <v>0</v>
      </c>
      <c r="E965" s="63" t="str">
        <f>HYPERLINK("https://www.sds-group.ru/product/truba-gofrirovannaya-iz-pnd-bezgalogennaya-hf-s-zondom-16mm-oranzhevaya-100-m-up-rexant-28-0016-5/", "Инфо")</f>
        <v>Инфо</v>
      </c>
      <c r="F965" s="16" t="s">
        <v>1767</v>
      </c>
      <c r="G965" s="15"/>
      <c r="H965" s="15"/>
      <c r="I965" s="15"/>
      <c r="J965" s="16" t="s">
        <v>100</v>
      </c>
      <c r="K965" s="15" t="s">
        <v>1888</v>
      </c>
      <c r="L965" s="17">
        <v>100</v>
      </c>
      <c r="M965" s="17">
        <v>100</v>
      </c>
      <c r="N965" s="17">
        <v>100</v>
      </c>
      <c r="O965" s="18">
        <v>27.31</v>
      </c>
      <c r="P965" s="18">
        <v>22.39</v>
      </c>
      <c r="Q965" s="18">
        <v>23.21</v>
      </c>
      <c r="R965" s="18">
        <v>19.02</v>
      </c>
      <c r="S965" s="18">
        <v>18.57</v>
      </c>
      <c r="T965" s="18">
        <v>15.22</v>
      </c>
      <c r="U965" s="16"/>
      <c r="V965" s="16"/>
      <c r="W965" s="16" t="s">
        <v>40</v>
      </c>
      <c r="X965" s="19">
        <v>3.4000000000000002E-2</v>
      </c>
      <c r="Y965" s="20">
        <v>4.6999999999999999E-4</v>
      </c>
      <c r="Z965" s="21">
        <v>4601004234413</v>
      </c>
    </row>
    <row r="966" spans="1:26" ht="12" customHeight="1" outlineLevel="4" x14ac:dyDescent="0.2">
      <c r="A966" s="14" t="s">
        <v>1916</v>
      </c>
      <c r="B966" s="26" t="s">
        <v>1917</v>
      </c>
      <c r="C966" s="52"/>
      <c r="D966" s="55">
        <f t="shared" si="14"/>
        <v>0</v>
      </c>
      <c r="E966" s="63" t="str">
        <f>HYPERLINK("https://www.sds-group.ru/product/truba-gofrirovannaya-iz-pnd-bezgalogennaya-hf-s-zondom-16mm-chernaya-buhta-10-m-up-rexant-28-0160-10/", "Инфо")</f>
        <v>Инфо</v>
      </c>
      <c r="F966" s="16" t="s">
        <v>1887</v>
      </c>
      <c r="G966" s="15"/>
      <c r="H966" s="15"/>
      <c r="I966" s="15"/>
      <c r="J966" s="17">
        <v>596</v>
      </c>
      <c r="K966" s="15"/>
      <c r="L966" s="17">
        <v>5</v>
      </c>
      <c r="M966" s="17">
        <v>1</v>
      </c>
      <c r="N966" s="17">
        <v>5</v>
      </c>
      <c r="O966" s="18">
        <v>352.11</v>
      </c>
      <c r="P966" s="18">
        <v>288.61</v>
      </c>
      <c r="Q966" s="18">
        <v>299.29000000000002</v>
      </c>
      <c r="R966" s="18">
        <v>245.32</v>
      </c>
      <c r="S966" s="18">
        <v>239.43</v>
      </c>
      <c r="T966" s="18">
        <v>196.25</v>
      </c>
      <c r="U966" s="16"/>
      <c r="V966" s="16"/>
      <c r="W966" s="16" t="s">
        <v>40</v>
      </c>
      <c r="X966" s="19">
        <v>0.34399999999999997</v>
      </c>
      <c r="Y966" s="20">
        <v>7.3179999999999999E-3</v>
      </c>
      <c r="Z966" s="21">
        <v>4601004172241</v>
      </c>
    </row>
    <row r="967" spans="1:26" ht="12" customHeight="1" outlineLevel="4" x14ac:dyDescent="0.2">
      <c r="A967" s="14" t="s">
        <v>1918</v>
      </c>
      <c r="B967" s="26" t="s">
        <v>1919</v>
      </c>
      <c r="C967" s="52"/>
      <c r="D967" s="55">
        <f t="shared" si="14"/>
        <v>0</v>
      </c>
      <c r="E967" s="63" t="str">
        <f>HYPERLINK("https://www.sds-group.ru/product/truba-gofrirovannaya-iz-pnd-bezgalogennaya-hf-s-zondom-16mm-chernaya-buhta-100-m-up-rexant-28-0016-3/", "Инфо")</f>
        <v>Инфо</v>
      </c>
      <c r="F967" s="16" t="s">
        <v>1767</v>
      </c>
      <c r="G967" s="15"/>
      <c r="H967" s="15"/>
      <c r="I967" s="15"/>
      <c r="J967" s="22">
        <v>18800</v>
      </c>
      <c r="K967" s="15" t="s">
        <v>1888</v>
      </c>
      <c r="L967" s="17">
        <v>100</v>
      </c>
      <c r="M967" s="17">
        <v>100</v>
      </c>
      <c r="N967" s="17">
        <v>100</v>
      </c>
      <c r="O967" s="18">
        <v>27.42</v>
      </c>
      <c r="P967" s="18">
        <v>22.48</v>
      </c>
      <c r="Q967" s="18">
        <v>23.31</v>
      </c>
      <c r="R967" s="18">
        <v>19.11</v>
      </c>
      <c r="S967" s="18">
        <v>18.649999999999999</v>
      </c>
      <c r="T967" s="18">
        <v>15.29</v>
      </c>
      <c r="U967" s="16"/>
      <c r="V967" s="16"/>
      <c r="W967" s="16" t="s">
        <v>40</v>
      </c>
      <c r="X967" s="19">
        <v>3.3000000000000002E-2</v>
      </c>
      <c r="Y967" s="20">
        <v>4.5300000000000001E-4</v>
      </c>
      <c r="Z967" s="21">
        <v>4601004072169</v>
      </c>
    </row>
    <row r="968" spans="1:26" ht="12" customHeight="1" outlineLevel="4" x14ac:dyDescent="0.2">
      <c r="A968" s="14" t="s">
        <v>1920</v>
      </c>
      <c r="B968" s="26" t="s">
        <v>1921</v>
      </c>
      <c r="C968" s="52"/>
      <c r="D968" s="55">
        <f t="shared" si="14"/>
        <v>0</v>
      </c>
      <c r="E968" s="63" t="str">
        <f>HYPERLINK("https://www.sds-group.ru/product/truba-gofrirovannaya-iz-pnd-bezgalogennaya-hf-s-zondom-16mm-chernaya-buhta-25-m-up-rexant-28-0016-25/", "Инфо")</f>
        <v>Инфо</v>
      </c>
      <c r="F968" s="16" t="s">
        <v>1887</v>
      </c>
      <c r="G968" s="15"/>
      <c r="H968" s="15"/>
      <c r="I968" s="15"/>
      <c r="J968" s="17">
        <v>241</v>
      </c>
      <c r="K968" s="15"/>
      <c r="L968" s="17">
        <v>1</v>
      </c>
      <c r="M968" s="17">
        <v>1</v>
      </c>
      <c r="N968" s="17">
        <v>1</v>
      </c>
      <c r="O968" s="18">
        <v>757.26</v>
      </c>
      <c r="P968" s="18">
        <v>620.70000000000005</v>
      </c>
      <c r="Q968" s="18">
        <v>605.80999999999995</v>
      </c>
      <c r="R968" s="18">
        <v>496.57</v>
      </c>
      <c r="S968" s="18">
        <v>514.94000000000005</v>
      </c>
      <c r="T968" s="18">
        <v>422.08</v>
      </c>
      <c r="U968" s="16"/>
      <c r="V968" s="16"/>
      <c r="W968" s="16" t="s">
        <v>40</v>
      </c>
      <c r="X968" s="19">
        <v>0.88100000000000001</v>
      </c>
      <c r="Y968" s="20">
        <v>1.5834999999999998E-2</v>
      </c>
      <c r="Z968" s="21">
        <v>4601004172234</v>
      </c>
    </row>
    <row r="969" spans="1:26" ht="12" customHeight="1" outlineLevel="4" x14ac:dyDescent="0.2">
      <c r="A969" s="14" t="s">
        <v>1922</v>
      </c>
      <c r="B969" s="26" t="s">
        <v>1923</v>
      </c>
      <c r="C969" s="52"/>
      <c r="D969" s="55">
        <f t="shared" ref="D969:D1032" si="15">C969*(O969-O969*$G$3)</f>
        <v>0</v>
      </c>
      <c r="E969" s="63" t="str">
        <f>HYPERLINK("https://www.sds-group.ru/product/truba-gofrirovannaya-iz-pnd-bezgalogennaya-hf-s-zondom-16mm-chernaya-buhta-50-m-up-rexant-28-0016-50/", "Инфо")</f>
        <v>Инфо</v>
      </c>
      <c r="F969" s="16" t="s">
        <v>1887</v>
      </c>
      <c r="G969" s="15"/>
      <c r="H969" s="15"/>
      <c r="I969" s="15"/>
      <c r="J969" s="17">
        <v>259</v>
      </c>
      <c r="K969" s="15"/>
      <c r="L969" s="17">
        <v>1</v>
      </c>
      <c r="M969" s="17">
        <v>1</v>
      </c>
      <c r="N969" s="17">
        <v>1</v>
      </c>
      <c r="O969" s="18">
        <v>1440.66</v>
      </c>
      <c r="P969" s="18">
        <v>1180.8699999999999</v>
      </c>
      <c r="Q969" s="18">
        <v>1152.53</v>
      </c>
      <c r="R969" s="18">
        <v>944.7</v>
      </c>
      <c r="S969" s="18">
        <v>979.65</v>
      </c>
      <c r="T969" s="18">
        <v>802.99</v>
      </c>
      <c r="U969" s="16"/>
      <c r="V969" s="16"/>
      <c r="W969" s="16" t="s">
        <v>40</v>
      </c>
      <c r="X969" s="19">
        <v>1.704</v>
      </c>
      <c r="Y969" s="20">
        <v>2.5042999999999999E-2</v>
      </c>
      <c r="Z969" s="21">
        <v>4601004030770</v>
      </c>
    </row>
    <row r="970" spans="1:26" ht="12" customHeight="1" outlineLevel="4" x14ac:dyDescent="0.2">
      <c r="A970" s="14" t="s">
        <v>1924</v>
      </c>
      <c r="B970" s="26" t="s">
        <v>1925</v>
      </c>
      <c r="C970" s="52"/>
      <c r="D970" s="55">
        <f t="shared" si="15"/>
        <v>0</v>
      </c>
      <c r="E970" s="63" t="str">
        <f>HYPERLINK("https://www.sds-group.ru/product/truba-gofrirovannaya-iz-pnd-bezgalogennaya-hf-s-zondom-20mm-oranzhevaya-100-m-up-rexant-28-0020-5/", "Инфо")</f>
        <v>Инфо</v>
      </c>
      <c r="F970" s="16" t="s">
        <v>1767</v>
      </c>
      <c r="G970" s="15"/>
      <c r="H970" s="15"/>
      <c r="I970" s="15"/>
      <c r="J970" s="22">
        <v>7400</v>
      </c>
      <c r="K970" s="15"/>
      <c r="L970" s="17">
        <v>100</v>
      </c>
      <c r="M970" s="17">
        <v>100</v>
      </c>
      <c r="N970" s="17">
        <v>100</v>
      </c>
      <c r="O970" s="18">
        <v>34.33</v>
      </c>
      <c r="P970" s="18">
        <v>28.14</v>
      </c>
      <c r="Q970" s="18">
        <v>29.18</v>
      </c>
      <c r="R970" s="18">
        <v>23.92</v>
      </c>
      <c r="S970" s="18">
        <v>23.34</v>
      </c>
      <c r="T970" s="18">
        <v>19.13</v>
      </c>
      <c r="U970" s="16"/>
      <c r="V970" s="16"/>
      <c r="W970" s="16" t="s">
        <v>40</v>
      </c>
      <c r="X970" s="19">
        <v>4.2999999999999997E-2</v>
      </c>
      <c r="Y970" s="20">
        <v>6.4800000000000003E-4</v>
      </c>
      <c r="Z970" s="21">
        <v>4601004234406</v>
      </c>
    </row>
    <row r="971" spans="1:26" ht="12" customHeight="1" outlineLevel="4" x14ac:dyDescent="0.2">
      <c r="A971" s="14" t="s">
        <v>1926</v>
      </c>
      <c r="B971" s="26" t="s">
        <v>1927</v>
      </c>
      <c r="C971" s="52"/>
      <c r="D971" s="55">
        <f t="shared" si="15"/>
        <v>0</v>
      </c>
      <c r="E971" s="63" t="str">
        <f>HYPERLINK("https://www.sds-group.ru/product/truba-gofrirovannaya-iz-pnd-bezgalogennaya-hf-s-zondom-20mm-chernaya-buhta-10-m-up-rexant-28-0200-10/", "Инфо")</f>
        <v>Инфо</v>
      </c>
      <c r="F971" s="16" t="s">
        <v>1887</v>
      </c>
      <c r="G971" s="15"/>
      <c r="H971" s="15"/>
      <c r="I971" s="15"/>
      <c r="J971" s="17">
        <v>466</v>
      </c>
      <c r="K971" s="15"/>
      <c r="L971" s="17">
        <v>5</v>
      </c>
      <c r="M971" s="17">
        <v>1</v>
      </c>
      <c r="N971" s="17">
        <v>5</v>
      </c>
      <c r="O971" s="18">
        <v>466.88</v>
      </c>
      <c r="P971" s="18">
        <v>382.69</v>
      </c>
      <c r="Q971" s="18">
        <v>396.85</v>
      </c>
      <c r="R971" s="18">
        <v>325.29000000000002</v>
      </c>
      <c r="S971" s="18">
        <v>317.48</v>
      </c>
      <c r="T971" s="18">
        <v>260.23</v>
      </c>
      <c r="U971" s="16"/>
      <c r="V971" s="16"/>
      <c r="W971" s="16" t="s">
        <v>40</v>
      </c>
      <c r="X971" s="19">
        <v>0.52700000000000002</v>
      </c>
      <c r="Y971" s="20">
        <v>1.0300999999999999E-2</v>
      </c>
      <c r="Z971" s="21">
        <v>4601004172265</v>
      </c>
    </row>
    <row r="972" spans="1:26" ht="12" customHeight="1" outlineLevel="4" x14ac:dyDescent="0.2">
      <c r="A972" s="14" t="s">
        <v>1928</v>
      </c>
      <c r="B972" s="26" t="s">
        <v>1929</v>
      </c>
      <c r="C972" s="52"/>
      <c r="D972" s="55">
        <f t="shared" si="15"/>
        <v>0</v>
      </c>
      <c r="E972" s="63" t="str">
        <f>HYPERLINK("https://www.sds-group.ru/product/truba-gofrirovannaya-iz-pnd-bezgalogennaya-hf-s-zondom-20mm-chernaya-buhta-100-m-up-rexant-28-0020-3/", "Инфо")</f>
        <v>Инфо</v>
      </c>
      <c r="F972" s="16" t="s">
        <v>1767</v>
      </c>
      <c r="G972" s="15"/>
      <c r="H972" s="15"/>
      <c r="I972" s="15"/>
      <c r="J972" s="22">
        <v>10600</v>
      </c>
      <c r="K972" s="15" t="s">
        <v>1888</v>
      </c>
      <c r="L972" s="17">
        <v>100</v>
      </c>
      <c r="M972" s="17">
        <v>100</v>
      </c>
      <c r="N972" s="17">
        <v>100</v>
      </c>
      <c r="O972" s="18">
        <v>36.01</v>
      </c>
      <c r="P972" s="18">
        <v>29.52</v>
      </c>
      <c r="Q972" s="18">
        <v>30.61</v>
      </c>
      <c r="R972" s="18">
        <v>25.09</v>
      </c>
      <c r="S972" s="18">
        <v>24.49</v>
      </c>
      <c r="T972" s="18">
        <v>20.07</v>
      </c>
      <c r="U972" s="16"/>
      <c r="V972" s="16"/>
      <c r="W972" s="16" t="s">
        <v>40</v>
      </c>
      <c r="X972" s="19">
        <v>4.4999999999999998E-2</v>
      </c>
      <c r="Y972" s="20">
        <v>4.6200000000000001E-4</v>
      </c>
      <c r="Z972" s="21">
        <v>4601004072176</v>
      </c>
    </row>
    <row r="973" spans="1:26" ht="12" customHeight="1" outlineLevel="4" x14ac:dyDescent="0.2">
      <c r="A973" s="14" t="s">
        <v>1930</v>
      </c>
      <c r="B973" s="26" t="s">
        <v>1931</v>
      </c>
      <c r="C973" s="52"/>
      <c r="D973" s="55">
        <f t="shared" si="15"/>
        <v>0</v>
      </c>
      <c r="E973" s="63" t="str">
        <f>HYPERLINK("https://www.sds-group.ru/product/truba-gofrirovannaya-iz-pnd-bezgalogennaya-hf-s-zondom-25mm-oranzhevaya-50-m-up-rexant-28-0025-5/", "Инфо")</f>
        <v>Инфо</v>
      </c>
      <c r="F973" s="16" t="s">
        <v>1767</v>
      </c>
      <c r="G973" s="15"/>
      <c r="H973" s="15"/>
      <c r="I973" s="15"/>
      <c r="J973" s="22">
        <v>7200</v>
      </c>
      <c r="K973" s="15"/>
      <c r="L973" s="17">
        <v>50</v>
      </c>
      <c r="M973" s="17">
        <v>50</v>
      </c>
      <c r="N973" s="17">
        <v>50</v>
      </c>
      <c r="O973" s="18">
        <v>46.84</v>
      </c>
      <c r="P973" s="18">
        <v>38.39</v>
      </c>
      <c r="Q973" s="18">
        <v>39.81</v>
      </c>
      <c r="R973" s="18">
        <v>32.630000000000003</v>
      </c>
      <c r="S973" s="18">
        <v>31.85</v>
      </c>
      <c r="T973" s="18">
        <v>26.11</v>
      </c>
      <c r="U973" s="16"/>
      <c r="V973" s="16"/>
      <c r="W973" s="16" t="s">
        <v>40</v>
      </c>
      <c r="X973" s="19">
        <v>6.5000000000000002E-2</v>
      </c>
      <c r="Y973" s="20">
        <v>1.07E-3</v>
      </c>
      <c r="Z973" s="21">
        <v>4601004234390</v>
      </c>
    </row>
    <row r="974" spans="1:26" ht="12" customHeight="1" outlineLevel="4" x14ac:dyDescent="0.2">
      <c r="A974" s="14" t="s">
        <v>1932</v>
      </c>
      <c r="B974" s="26" t="s">
        <v>1933</v>
      </c>
      <c r="C974" s="52"/>
      <c r="D974" s="55">
        <f t="shared" si="15"/>
        <v>0</v>
      </c>
      <c r="E974" s="63" t="str">
        <f>HYPERLINK("https://www.sds-group.ru/product/truba-gofrirovannaya-iz-pnd-bezgalogennaya-hf-s-zondom-25mm-chernaya-buhta-10-m-up-rexant-28-0250-10/", "Инфо")</f>
        <v>Инфо</v>
      </c>
      <c r="F974" s="16" t="s">
        <v>1887</v>
      </c>
      <c r="G974" s="15"/>
      <c r="H974" s="15"/>
      <c r="I974" s="15"/>
      <c r="J974" s="17">
        <v>545</v>
      </c>
      <c r="K974" s="15"/>
      <c r="L974" s="17">
        <v>1</v>
      </c>
      <c r="M974" s="17">
        <v>1</v>
      </c>
      <c r="N974" s="17">
        <v>1</v>
      </c>
      <c r="O974" s="18">
        <v>650.91999999999996</v>
      </c>
      <c r="P974" s="18">
        <v>533.54</v>
      </c>
      <c r="Q974" s="18">
        <v>520.74</v>
      </c>
      <c r="R974" s="18">
        <v>426.84</v>
      </c>
      <c r="S974" s="18">
        <v>442.63</v>
      </c>
      <c r="T974" s="18">
        <v>362.81</v>
      </c>
      <c r="U974" s="16"/>
      <c r="V974" s="16"/>
      <c r="W974" s="16" t="s">
        <v>40</v>
      </c>
      <c r="X974" s="19">
        <v>0.58499999999999996</v>
      </c>
      <c r="Y974" s="20">
        <v>1.7794000000000001E-2</v>
      </c>
      <c r="Z974" s="21">
        <v>4601004172289</v>
      </c>
    </row>
    <row r="975" spans="1:26" ht="12" customHeight="1" outlineLevel="4" x14ac:dyDescent="0.2">
      <c r="A975" s="14" t="s">
        <v>1934</v>
      </c>
      <c r="B975" s="26" t="s">
        <v>1935</v>
      </c>
      <c r="C975" s="52"/>
      <c r="D975" s="55">
        <f t="shared" si="15"/>
        <v>0</v>
      </c>
      <c r="E975" s="63" t="str">
        <f>HYPERLINK("https://www.sds-group.ru/product/truba-gofrirovannaya-iz-pnd-bezgalogennaya-hf-s-zondom-25mm-chernaya-buhta-25-m-up-rexant-28-0025-25/", "Инфо")</f>
        <v>Инфо</v>
      </c>
      <c r="F975" s="16" t="s">
        <v>1887</v>
      </c>
      <c r="G975" s="15"/>
      <c r="H975" s="15"/>
      <c r="I975" s="15"/>
      <c r="J975" s="17">
        <v>161</v>
      </c>
      <c r="K975" s="15"/>
      <c r="L975" s="17">
        <v>1</v>
      </c>
      <c r="M975" s="17">
        <v>1</v>
      </c>
      <c r="N975" s="17">
        <v>1</v>
      </c>
      <c r="O975" s="18">
        <v>1220.57</v>
      </c>
      <c r="P975" s="18">
        <v>1000.47</v>
      </c>
      <c r="Q975" s="18">
        <v>976.46</v>
      </c>
      <c r="R975" s="18">
        <v>800.38</v>
      </c>
      <c r="S975" s="18">
        <v>829.99</v>
      </c>
      <c r="T975" s="18">
        <v>680.32</v>
      </c>
      <c r="U975" s="16"/>
      <c r="V975" s="16"/>
      <c r="W975" s="16" t="s">
        <v>40</v>
      </c>
      <c r="X975" s="19">
        <v>1.78</v>
      </c>
      <c r="Y975" s="20">
        <v>3.3537999999999998E-2</v>
      </c>
      <c r="Z975" s="21">
        <v>4601004172272</v>
      </c>
    </row>
    <row r="976" spans="1:26" ht="12" customHeight="1" outlineLevel="4" x14ac:dyDescent="0.2">
      <c r="A976" s="14" t="s">
        <v>1936</v>
      </c>
      <c r="B976" s="26" t="s">
        <v>1937</v>
      </c>
      <c r="C976" s="52"/>
      <c r="D976" s="55">
        <f t="shared" si="15"/>
        <v>0</v>
      </c>
      <c r="E976" s="63" t="str">
        <f>HYPERLINK("https://www.sds-group.ru/product/truba-gofrirovannaya-iz-pnd-bezgalogennaya-hf-s-zondom-25mm-chernaya-buhta-50-m-up-rexant-28-0025-3/", "Инфо")</f>
        <v>Инфо</v>
      </c>
      <c r="F976" s="16" t="s">
        <v>1767</v>
      </c>
      <c r="G976" s="15"/>
      <c r="H976" s="15"/>
      <c r="I976" s="15"/>
      <c r="J976" s="22">
        <v>11056</v>
      </c>
      <c r="K976" s="15"/>
      <c r="L976" s="17">
        <v>50</v>
      </c>
      <c r="M976" s="17">
        <v>50</v>
      </c>
      <c r="N976" s="17">
        <v>50</v>
      </c>
      <c r="O976" s="18">
        <v>46.58</v>
      </c>
      <c r="P976" s="18">
        <v>38.18</v>
      </c>
      <c r="Q976" s="18">
        <v>39.590000000000003</v>
      </c>
      <c r="R976" s="18">
        <v>32.450000000000003</v>
      </c>
      <c r="S976" s="18">
        <v>31.67</v>
      </c>
      <c r="T976" s="18">
        <v>25.96</v>
      </c>
      <c r="U976" s="16"/>
      <c r="V976" s="16"/>
      <c r="W976" s="16" t="s">
        <v>40</v>
      </c>
      <c r="X976" s="19">
        <v>5.3999999999999999E-2</v>
      </c>
      <c r="Y976" s="20">
        <v>1.2099999999999999E-3</v>
      </c>
      <c r="Z976" s="21">
        <v>4601004072190</v>
      </c>
    </row>
    <row r="977" spans="1:26" ht="12" customHeight="1" outlineLevel="4" x14ac:dyDescent="0.2">
      <c r="A977" s="14" t="s">
        <v>1938</v>
      </c>
      <c r="B977" s="26" t="s">
        <v>1939</v>
      </c>
      <c r="C977" s="52"/>
      <c r="D977" s="55">
        <f t="shared" si="15"/>
        <v>0</v>
      </c>
      <c r="E977" s="63" t="str">
        <f>HYPERLINK("https://www.sds-group.ru/product/truba-gofrirovannaya-iz-pnd-bezgalogennaya-hf-s-zondom-32mm-oranzhevaya-25-m-up-rexant-28-0032-5/", "Инфо")</f>
        <v>Инфо</v>
      </c>
      <c r="F977" s="16" t="s">
        <v>1767</v>
      </c>
      <c r="G977" s="15"/>
      <c r="H977" s="15"/>
      <c r="I977" s="15"/>
      <c r="J977" s="22">
        <v>1550</v>
      </c>
      <c r="K977" s="15"/>
      <c r="L977" s="17">
        <v>25</v>
      </c>
      <c r="M977" s="17">
        <v>25</v>
      </c>
      <c r="N977" s="17">
        <v>25</v>
      </c>
      <c r="O977" s="18">
        <v>72.03</v>
      </c>
      <c r="P977" s="18">
        <v>59.04</v>
      </c>
      <c r="Q977" s="18">
        <v>61.23</v>
      </c>
      <c r="R977" s="18">
        <v>50.19</v>
      </c>
      <c r="S977" s="18">
        <v>48.98</v>
      </c>
      <c r="T977" s="18">
        <v>40.15</v>
      </c>
      <c r="U977" s="16"/>
      <c r="V977" s="16"/>
      <c r="W977" s="16" t="s">
        <v>40</v>
      </c>
      <c r="X977" s="19">
        <v>9.0999999999999998E-2</v>
      </c>
      <c r="Y977" s="20">
        <v>1.738E-3</v>
      </c>
      <c r="Z977" s="21">
        <v>4601004234376</v>
      </c>
    </row>
    <row r="978" spans="1:26" ht="12" customHeight="1" outlineLevel="4" x14ac:dyDescent="0.2">
      <c r="A978" s="14" t="s">
        <v>1940</v>
      </c>
      <c r="B978" s="26" t="s">
        <v>1941</v>
      </c>
      <c r="C978" s="52"/>
      <c r="D978" s="55">
        <f t="shared" si="15"/>
        <v>0</v>
      </c>
      <c r="E978" s="63" t="str">
        <f>HYPERLINK("https://www.sds-group.ru/product/truba-gofrirovannaya-iz-pnd-bezgalogennaya-hf-s-zondom-32mm-chernaya-buhta-25-m-up-rexant-28-0032-3/", "Инфо")</f>
        <v>Инфо</v>
      </c>
      <c r="F978" s="16" t="s">
        <v>1767</v>
      </c>
      <c r="G978" s="15"/>
      <c r="H978" s="15"/>
      <c r="I978" s="15"/>
      <c r="J978" s="22">
        <v>6500</v>
      </c>
      <c r="K978" s="15" t="s">
        <v>1888</v>
      </c>
      <c r="L978" s="17">
        <v>25</v>
      </c>
      <c r="M978" s="17">
        <v>25</v>
      </c>
      <c r="N978" s="17">
        <v>25</v>
      </c>
      <c r="O978" s="18">
        <v>70.069999999999993</v>
      </c>
      <c r="P978" s="18">
        <v>57.43</v>
      </c>
      <c r="Q978" s="18">
        <v>59.56</v>
      </c>
      <c r="R978" s="18">
        <v>48.82</v>
      </c>
      <c r="S978" s="18">
        <v>47.65</v>
      </c>
      <c r="T978" s="18">
        <v>39.06</v>
      </c>
      <c r="U978" s="16"/>
      <c r="V978" s="16"/>
      <c r="W978" s="16" t="s">
        <v>40</v>
      </c>
      <c r="X978" s="19">
        <v>0.09</v>
      </c>
      <c r="Y978" s="20">
        <v>1.7960000000000001E-3</v>
      </c>
      <c r="Z978" s="21">
        <v>4601004072213</v>
      </c>
    </row>
    <row r="979" spans="1:26" ht="12" customHeight="1" outlineLevel="4" x14ac:dyDescent="0.2">
      <c r="A979" s="14" t="s">
        <v>1942</v>
      </c>
      <c r="B979" s="26" t="s">
        <v>1943</v>
      </c>
      <c r="C979" s="52"/>
      <c r="D979" s="55">
        <f t="shared" si="15"/>
        <v>0</v>
      </c>
      <c r="E979" s="63" t="str">
        <f>HYPERLINK("https://www.sds-group.ru/product/truba-gofrirovannaya-iz-pnd-bezgalogennaya-hf-s-zondom-40mm-chernaya-buhta-15-m-up-rexant-28-0040-3/", "Инфо")</f>
        <v>Инфо</v>
      </c>
      <c r="F979" s="16" t="s">
        <v>1767</v>
      </c>
      <c r="G979" s="15"/>
      <c r="H979" s="15"/>
      <c r="I979" s="15"/>
      <c r="J979" s="17">
        <v>218</v>
      </c>
      <c r="K979" s="15" t="s">
        <v>1888</v>
      </c>
      <c r="L979" s="17">
        <v>15</v>
      </c>
      <c r="M979" s="17">
        <v>15</v>
      </c>
      <c r="N979" s="17">
        <v>15</v>
      </c>
      <c r="O979" s="18">
        <v>109.59</v>
      </c>
      <c r="P979" s="18">
        <v>89.83</v>
      </c>
      <c r="Q979" s="18">
        <v>93.15</v>
      </c>
      <c r="R979" s="18">
        <v>76.349999999999994</v>
      </c>
      <c r="S979" s="18">
        <v>74.52</v>
      </c>
      <c r="T979" s="18">
        <v>61.08</v>
      </c>
      <c r="U979" s="16"/>
      <c r="V979" s="16"/>
      <c r="W979" s="16" t="s">
        <v>40</v>
      </c>
      <c r="X979" s="19">
        <v>0.125</v>
      </c>
      <c r="Y979" s="20">
        <v>2.6319999999999998E-3</v>
      </c>
      <c r="Z979" s="21">
        <v>4601004166721</v>
      </c>
    </row>
    <row r="980" spans="1:26" ht="12" customHeight="1" outlineLevel="4" x14ac:dyDescent="0.2">
      <c r="A980" s="14" t="s">
        <v>1944</v>
      </c>
      <c r="B980" s="26" t="s">
        <v>1945</v>
      </c>
      <c r="C980" s="52"/>
      <c r="D980" s="55">
        <f t="shared" si="15"/>
        <v>0</v>
      </c>
      <c r="E980" s="63" t="str">
        <f>HYPERLINK("https://www.sds-group.ru/product/truba-gofrirovannaya-iz-pnd-bezgalogennaya-hf-s-zondom-50mm-chernaya-buhta-15-m-up-rexant-28-0050-3/", "Инфо")</f>
        <v>Инфо</v>
      </c>
      <c r="F980" s="16" t="s">
        <v>1767</v>
      </c>
      <c r="G980" s="15"/>
      <c r="H980" s="15"/>
      <c r="I980" s="15"/>
      <c r="J980" s="16" t="s">
        <v>100</v>
      </c>
      <c r="K980" s="15"/>
      <c r="L980" s="17">
        <v>15</v>
      </c>
      <c r="M980" s="17">
        <v>15</v>
      </c>
      <c r="N980" s="17">
        <v>15</v>
      </c>
      <c r="O980" s="18">
        <v>150.80000000000001</v>
      </c>
      <c r="P980" s="18">
        <v>123.61</v>
      </c>
      <c r="Q980" s="18">
        <v>128.18</v>
      </c>
      <c r="R980" s="18">
        <v>105.07</v>
      </c>
      <c r="S980" s="18">
        <v>102.54</v>
      </c>
      <c r="T980" s="18">
        <v>84.05</v>
      </c>
      <c r="U980" s="16"/>
      <c r="V980" s="16"/>
      <c r="W980" s="16" t="s">
        <v>40</v>
      </c>
      <c r="X980" s="19">
        <v>0.13900000000000001</v>
      </c>
      <c r="Y980" s="20">
        <v>4.7850000000000002E-3</v>
      </c>
      <c r="Z980" s="21">
        <v>4601004166738</v>
      </c>
    </row>
    <row r="981" spans="1:26" ht="12" customHeight="1" outlineLevel="4" x14ac:dyDescent="0.2">
      <c r="A981" s="14" t="s">
        <v>1946</v>
      </c>
      <c r="B981" s="26" t="s">
        <v>1947</v>
      </c>
      <c r="C981" s="52"/>
      <c r="D981" s="55">
        <f t="shared" si="15"/>
        <v>0</v>
      </c>
      <c r="E981" s="63" t="str">
        <f>HYPERLINK("https://www.sds-group.ru/product/truba-gofrirovannaya-iz-pnd-bezgalogennaya-hf-s-zondom-chernaya-20mm-buhta-25-m-up-rexant-28-0020-25/", "Инфо")</f>
        <v>Инфо</v>
      </c>
      <c r="F981" s="16" t="s">
        <v>1887</v>
      </c>
      <c r="G981" s="15"/>
      <c r="H981" s="15"/>
      <c r="I981" s="15"/>
      <c r="J981" s="17">
        <v>374</v>
      </c>
      <c r="K981" s="15"/>
      <c r="L981" s="17">
        <v>1</v>
      </c>
      <c r="M981" s="17">
        <v>1</v>
      </c>
      <c r="N981" s="17">
        <v>1</v>
      </c>
      <c r="O981" s="18">
        <v>992.61</v>
      </c>
      <c r="P981" s="18">
        <v>813.61</v>
      </c>
      <c r="Q981" s="18">
        <v>794.09</v>
      </c>
      <c r="R981" s="18">
        <v>650.89</v>
      </c>
      <c r="S981" s="18">
        <v>674.97</v>
      </c>
      <c r="T981" s="18">
        <v>553.25</v>
      </c>
      <c r="U981" s="16"/>
      <c r="V981" s="16"/>
      <c r="W981" s="16" t="s">
        <v>40</v>
      </c>
      <c r="X981" s="19">
        <v>1.1060000000000001</v>
      </c>
      <c r="Y981" s="20">
        <v>2.6287999999999999E-2</v>
      </c>
      <c r="Z981" s="21">
        <v>4601004172258</v>
      </c>
    </row>
    <row r="982" spans="1:26" ht="12" customHeight="1" outlineLevel="4" x14ac:dyDescent="0.2">
      <c r="A982" s="14" t="s">
        <v>1948</v>
      </c>
      <c r="B982" s="26" t="s">
        <v>1949</v>
      </c>
      <c r="C982" s="52"/>
      <c r="D982" s="55">
        <f t="shared" si="15"/>
        <v>0</v>
      </c>
      <c r="E982" s="63" t="str">
        <f>HYPERLINK("https://www.sds-group.ru/product/truba-gofrirovannaya-iz-pnd-bezgalogennaya-hf-s-zondom-chernaya-20mm-buhta-50-m-up-rexant-28-0020-50/", "Инфо")</f>
        <v>Инфо</v>
      </c>
      <c r="F982" s="16" t="s">
        <v>1887</v>
      </c>
      <c r="G982" s="15"/>
      <c r="H982" s="15"/>
      <c r="I982" s="15"/>
      <c r="J982" s="17">
        <v>195</v>
      </c>
      <c r="K982" s="15" t="s">
        <v>1888</v>
      </c>
      <c r="L982" s="17">
        <v>1</v>
      </c>
      <c r="M982" s="17">
        <v>1</v>
      </c>
      <c r="N982" s="17">
        <v>1</v>
      </c>
      <c r="O982" s="18">
        <v>1888.23</v>
      </c>
      <c r="P982" s="18">
        <v>1547.73</v>
      </c>
      <c r="Q982" s="18">
        <v>1491.7</v>
      </c>
      <c r="R982" s="18">
        <v>1222.7</v>
      </c>
      <c r="S982" s="18">
        <v>1284</v>
      </c>
      <c r="T982" s="18">
        <v>1052.46</v>
      </c>
      <c r="U982" s="16"/>
      <c r="V982" s="16"/>
      <c r="W982" s="16" t="s">
        <v>40</v>
      </c>
      <c r="X982" s="19">
        <v>2.137</v>
      </c>
      <c r="Y982" s="20">
        <v>3.5244999999999999E-2</v>
      </c>
      <c r="Z982" s="21">
        <v>4601004030787</v>
      </c>
    </row>
    <row r="983" spans="1:26" ht="12" customHeight="1" outlineLevel="4" x14ac:dyDescent="0.2">
      <c r="A983" s="32" t="s">
        <v>1950</v>
      </c>
      <c r="B983" s="74" t="s">
        <v>1951</v>
      </c>
      <c r="C983" s="50"/>
      <c r="D983" s="53">
        <f t="shared" si="15"/>
        <v>0</v>
      </c>
      <c r="E983" s="60" t="str">
        <f>HYPERLINK("https://www.sds-group.ru/product/truba-gofrirovannaya-iz-pnd-s-zondom-40mm-oranzhevaya-15-m-up-rexant-28-0040-5/", "Инфо")</f>
        <v>Инфо</v>
      </c>
      <c r="F983" s="34" t="s">
        <v>1767</v>
      </c>
      <c r="G983" s="33"/>
      <c r="H983" s="33" t="s">
        <v>40</v>
      </c>
      <c r="I983" s="33"/>
      <c r="J983" s="34" t="s">
        <v>100</v>
      </c>
      <c r="K983" s="33"/>
      <c r="L983" s="35">
        <v>15</v>
      </c>
      <c r="M983" s="35">
        <v>15</v>
      </c>
      <c r="N983" s="35">
        <v>15</v>
      </c>
      <c r="O983" s="36">
        <v>89.67</v>
      </c>
      <c r="P983" s="36">
        <v>73.5</v>
      </c>
      <c r="Q983" s="36">
        <v>62.77</v>
      </c>
      <c r="R983" s="36">
        <v>51.45</v>
      </c>
      <c r="S983" s="36">
        <v>60.98</v>
      </c>
      <c r="T983" s="36">
        <v>49.98</v>
      </c>
      <c r="U983" s="34"/>
      <c r="V983" s="34"/>
      <c r="W983" s="34"/>
      <c r="X983" s="37">
        <v>0.125</v>
      </c>
      <c r="Y983" s="38">
        <v>2.8700000000000002E-3</v>
      </c>
      <c r="Z983" s="21">
        <v>4601004234383</v>
      </c>
    </row>
    <row r="984" spans="1:26" ht="12.95" customHeight="1" outlineLevel="3" x14ac:dyDescent="0.2">
      <c r="A984" s="76" t="s">
        <v>1952</v>
      </c>
      <c r="B984" s="76"/>
      <c r="C984" s="77"/>
      <c r="D984" s="58"/>
      <c r="E984" s="68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  <c r="U984" s="13"/>
      <c r="V984" s="13"/>
      <c r="W984" s="13"/>
      <c r="X984" s="13"/>
      <c r="Y984" s="13"/>
      <c r="Z984" s="13"/>
    </row>
    <row r="985" spans="1:26" ht="12" customHeight="1" outlineLevel="4" x14ac:dyDescent="0.2">
      <c r="A985" s="32" t="s">
        <v>1953</v>
      </c>
      <c r="B985" s="74" t="s">
        <v>1954</v>
      </c>
      <c r="C985" s="50"/>
      <c r="D985" s="53">
        <f t="shared" si="15"/>
        <v>0</v>
      </c>
      <c r="E985" s="60" t="str">
        <f>HYPERLINK("https://www.sds-group.ru/product/truba-avtomobilnaya-gofrirovannaya-pp-23-5mm-razreznaya-buhta-50-m-up-15-2350/", "Инфо")</f>
        <v>Инфо</v>
      </c>
      <c r="F985" s="34" t="s">
        <v>1767</v>
      </c>
      <c r="G985" s="33"/>
      <c r="H985" s="33" t="s">
        <v>40</v>
      </c>
      <c r="I985" s="33"/>
      <c r="J985" s="35">
        <v>250</v>
      </c>
      <c r="K985" s="33"/>
      <c r="L985" s="35">
        <v>50</v>
      </c>
      <c r="M985" s="35">
        <v>50</v>
      </c>
      <c r="N985" s="35">
        <v>50</v>
      </c>
      <c r="O985" s="36">
        <v>179.04</v>
      </c>
      <c r="P985" s="36">
        <v>146.75</v>
      </c>
      <c r="Q985" s="36">
        <v>125.33</v>
      </c>
      <c r="R985" s="36">
        <v>102.73</v>
      </c>
      <c r="S985" s="36">
        <v>121.75</v>
      </c>
      <c r="T985" s="36">
        <v>99.8</v>
      </c>
      <c r="U985" s="34"/>
      <c r="V985" s="34"/>
      <c r="W985" s="34"/>
      <c r="X985" s="37">
        <v>6.8000000000000005E-2</v>
      </c>
      <c r="Y985" s="38">
        <v>1.122E-3</v>
      </c>
      <c r="Z985" s="21">
        <v>4607004491030</v>
      </c>
    </row>
    <row r="986" spans="1:26" ht="12.95" customHeight="1" outlineLevel="3" x14ac:dyDescent="0.2">
      <c r="A986" s="76" t="s">
        <v>1955</v>
      </c>
      <c r="B986" s="76"/>
      <c r="C986" s="77"/>
      <c r="D986" s="58"/>
      <c r="E986" s="68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  <c r="U986" s="13"/>
      <c r="V986" s="13"/>
      <c r="W986" s="13"/>
      <c r="X986" s="13"/>
      <c r="Y986" s="13"/>
      <c r="Z986" s="13"/>
    </row>
    <row r="987" spans="1:26" ht="12" customHeight="1" outlineLevel="4" x14ac:dyDescent="0.2">
      <c r="A987" s="14" t="s">
        <v>1956</v>
      </c>
      <c r="B987" s="26" t="s">
        <v>1957</v>
      </c>
      <c r="C987" s="52"/>
      <c r="D987" s="55">
        <f t="shared" si="15"/>
        <v>0</v>
      </c>
      <c r="E987" s="63" t="str">
        <f>HYPERLINK("https://www.sds-group.ru/product/truba-avtomobilnaya-gofrirovannaya-pp-11-5mm-razreznaya-buhta-50-m-up-rexant-16-1059/", "Инфо")</f>
        <v>Инфо</v>
      </c>
      <c r="F987" s="16" t="s">
        <v>1767</v>
      </c>
      <c r="G987" s="15"/>
      <c r="H987" s="15"/>
      <c r="I987" s="15"/>
      <c r="J987" s="22">
        <v>3150</v>
      </c>
      <c r="K987" s="15" t="s">
        <v>1888</v>
      </c>
      <c r="L987" s="17">
        <v>50</v>
      </c>
      <c r="M987" s="17">
        <v>50</v>
      </c>
      <c r="N987" s="17">
        <v>50</v>
      </c>
      <c r="O987" s="18">
        <v>34.270000000000003</v>
      </c>
      <c r="P987" s="18">
        <v>28.09</v>
      </c>
      <c r="Q987" s="18">
        <v>29.13</v>
      </c>
      <c r="R987" s="18">
        <v>23.88</v>
      </c>
      <c r="S987" s="18">
        <v>23.3</v>
      </c>
      <c r="T987" s="18">
        <v>19.100000000000001</v>
      </c>
      <c r="U987" s="16"/>
      <c r="V987" s="16"/>
      <c r="W987" s="16" t="s">
        <v>40</v>
      </c>
      <c r="X987" s="19">
        <v>2.1999999999999999E-2</v>
      </c>
      <c r="Y987" s="20">
        <v>4.8200000000000001E-4</v>
      </c>
      <c r="Z987" s="21">
        <v>4601004153936</v>
      </c>
    </row>
    <row r="988" spans="1:26" ht="12" customHeight="1" outlineLevel="4" x14ac:dyDescent="0.2">
      <c r="A988" s="14" t="s">
        <v>1958</v>
      </c>
      <c r="B988" s="26" t="s">
        <v>1959</v>
      </c>
      <c r="C988" s="52"/>
      <c r="D988" s="55">
        <f t="shared" si="15"/>
        <v>0</v>
      </c>
      <c r="E988" s="63" t="str">
        <f>HYPERLINK("https://www.sds-group.ru/product/truba-avtomobilnaya-gofrirovannaya-pp-12-4mm-razreznaya-buhta-50-m-up-rexant-16-1060/", "Инфо")</f>
        <v>Инфо</v>
      </c>
      <c r="F988" s="16" t="s">
        <v>1767</v>
      </c>
      <c r="G988" s="15"/>
      <c r="H988" s="15"/>
      <c r="I988" s="15"/>
      <c r="J988" s="22">
        <v>7050</v>
      </c>
      <c r="K988" s="15"/>
      <c r="L988" s="17">
        <v>50</v>
      </c>
      <c r="M988" s="17">
        <v>50</v>
      </c>
      <c r="N988" s="17">
        <v>50</v>
      </c>
      <c r="O988" s="18">
        <v>37.29</v>
      </c>
      <c r="P988" s="18">
        <v>30.57</v>
      </c>
      <c r="Q988" s="18">
        <v>31.7</v>
      </c>
      <c r="R988" s="18">
        <v>25.98</v>
      </c>
      <c r="S988" s="18">
        <v>25.36</v>
      </c>
      <c r="T988" s="18">
        <v>20.79</v>
      </c>
      <c r="U988" s="16"/>
      <c r="V988" s="16"/>
      <c r="W988" s="16" t="s">
        <v>40</v>
      </c>
      <c r="X988" s="19">
        <v>2.4E-2</v>
      </c>
      <c r="Y988" s="20">
        <v>5.2099999999999998E-4</v>
      </c>
      <c r="Z988" s="21">
        <v>4601004153950</v>
      </c>
    </row>
    <row r="989" spans="1:26" ht="12" customHeight="1" outlineLevel="4" x14ac:dyDescent="0.2">
      <c r="A989" s="14" t="s">
        <v>1960</v>
      </c>
      <c r="B989" s="26" t="s">
        <v>1961</v>
      </c>
      <c r="C989" s="52"/>
      <c r="D989" s="55">
        <f t="shared" si="15"/>
        <v>0</v>
      </c>
      <c r="E989" s="63" t="str">
        <f>HYPERLINK("https://www.sds-group.ru/product/truba-avtomobilnaya-gofrirovannaya-pp-13-4mm-nerazreznaya-buhta-50-m-up-rexant-16-1076/", "Инфо")</f>
        <v>Инфо</v>
      </c>
      <c r="F989" s="16" t="s">
        <v>1767</v>
      </c>
      <c r="G989" s="15"/>
      <c r="H989" s="15"/>
      <c r="I989" s="15"/>
      <c r="J989" s="16" t="s">
        <v>100</v>
      </c>
      <c r="K989" s="15"/>
      <c r="L989" s="17">
        <v>50</v>
      </c>
      <c r="M989" s="17">
        <v>50</v>
      </c>
      <c r="N989" s="17">
        <v>50</v>
      </c>
      <c r="O989" s="18">
        <v>64.44</v>
      </c>
      <c r="P989" s="18">
        <v>52.82</v>
      </c>
      <c r="Q989" s="18">
        <v>54.77</v>
      </c>
      <c r="R989" s="18">
        <v>44.89</v>
      </c>
      <c r="S989" s="18">
        <v>43.82</v>
      </c>
      <c r="T989" s="18">
        <v>35.92</v>
      </c>
      <c r="U989" s="16"/>
      <c r="V989" s="16"/>
      <c r="W989" s="16" t="s">
        <v>40</v>
      </c>
      <c r="X989" s="19">
        <v>2.9000000000000001E-2</v>
      </c>
      <c r="Y989" s="20">
        <v>7.3999999999999999E-4</v>
      </c>
      <c r="Z989" s="21">
        <v>4601004153981</v>
      </c>
    </row>
    <row r="990" spans="1:26" ht="12" customHeight="1" outlineLevel="4" x14ac:dyDescent="0.2">
      <c r="A990" s="14" t="s">
        <v>1962</v>
      </c>
      <c r="B990" s="26" t="s">
        <v>1963</v>
      </c>
      <c r="C990" s="52"/>
      <c r="D990" s="55">
        <f t="shared" si="15"/>
        <v>0</v>
      </c>
      <c r="E990" s="63" t="str">
        <f>HYPERLINK("https://www.sds-group.ru/product/truba-avtomobilnaya-gofrirovannaya-pp-13-4mm-razreznaya-buhta-50-m-up-rexant-16-1062/", "Инфо")</f>
        <v>Инфо</v>
      </c>
      <c r="F990" s="16" t="s">
        <v>1767</v>
      </c>
      <c r="G990" s="15"/>
      <c r="H990" s="15"/>
      <c r="I990" s="15"/>
      <c r="J990" s="22">
        <v>3400</v>
      </c>
      <c r="K990" s="15"/>
      <c r="L990" s="17">
        <v>50</v>
      </c>
      <c r="M990" s="17">
        <v>50</v>
      </c>
      <c r="N990" s="17">
        <v>50</v>
      </c>
      <c r="O990" s="18">
        <v>61.38</v>
      </c>
      <c r="P990" s="18">
        <v>50.31</v>
      </c>
      <c r="Q990" s="18">
        <v>52.17</v>
      </c>
      <c r="R990" s="18">
        <v>42.76</v>
      </c>
      <c r="S990" s="18">
        <v>41.74</v>
      </c>
      <c r="T990" s="18">
        <v>34.21</v>
      </c>
      <c r="U990" s="16"/>
      <c r="V990" s="16"/>
      <c r="W990" s="16" t="s">
        <v>40</v>
      </c>
      <c r="X990" s="19">
        <v>3.6999999999999998E-2</v>
      </c>
      <c r="Y990" s="20">
        <v>6.2799999999999998E-4</v>
      </c>
      <c r="Z990" s="21">
        <v>4601004153974</v>
      </c>
    </row>
    <row r="991" spans="1:26" ht="12" customHeight="1" outlineLevel="4" x14ac:dyDescent="0.2">
      <c r="A991" s="14" t="s">
        <v>1964</v>
      </c>
      <c r="B991" s="26" t="s">
        <v>1965</v>
      </c>
      <c r="C991" s="52"/>
      <c r="D991" s="55">
        <f t="shared" si="15"/>
        <v>0</v>
      </c>
      <c r="E991" s="63" t="str">
        <f>HYPERLINK("https://www.sds-group.ru/product/truba-avtomobilnaya-gofrirovannaya-pp-14-7mm-razreznaya-buhta-50-m-up-rexant-16-1063/", "Инфо")</f>
        <v>Инфо</v>
      </c>
      <c r="F991" s="16" t="s">
        <v>1767</v>
      </c>
      <c r="G991" s="15"/>
      <c r="H991" s="15"/>
      <c r="I991" s="15"/>
      <c r="J991" s="22">
        <v>2200</v>
      </c>
      <c r="K991" s="15" t="s">
        <v>1888</v>
      </c>
      <c r="L991" s="17">
        <v>50</v>
      </c>
      <c r="M991" s="17">
        <v>50</v>
      </c>
      <c r="N991" s="17">
        <v>50</v>
      </c>
      <c r="O991" s="18">
        <v>42.02</v>
      </c>
      <c r="P991" s="18">
        <v>34.44</v>
      </c>
      <c r="Q991" s="18">
        <v>35.72</v>
      </c>
      <c r="R991" s="18">
        <v>29.28</v>
      </c>
      <c r="S991" s="18">
        <v>28.57</v>
      </c>
      <c r="T991" s="18">
        <v>23.42</v>
      </c>
      <c r="U991" s="16"/>
      <c r="V991" s="16"/>
      <c r="W991" s="16" t="s">
        <v>40</v>
      </c>
      <c r="X991" s="19">
        <v>3.2000000000000001E-2</v>
      </c>
      <c r="Y991" s="20">
        <v>7.5799999999999999E-4</v>
      </c>
      <c r="Z991" s="21">
        <v>4601004153998</v>
      </c>
    </row>
    <row r="992" spans="1:26" ht="12" customHeight="1" outlineLevel="4" x14ac:dyDescent="0.2">
      <c r="A992" s="14" t="s">
        <v>1966</v>
      </c>
      <c r="B992" s="26" t="s">
        <v>1967</v>
      </c>
      <c r="C992" s="52"/>
      <c r="D992" s="55">
        <f t="shared" si="15"/>
        <v>0</v>
      </c>
      <c r="E992" s="63" t="str">
        <f>HYPERLINK("https://www.sds-group.ru/product/truba-avtomobilnaya-gofrirovannaya-pp-16-5mm-nerazreznaya-buhta-50-m-up-rexant-16-1077/", "Инфо")</f>
        <v>Инфо</v>
      </c>
      <c r="F992" s="16" t="s">
        <v>1767</v>
      </c>
      <c r="G992" s="15"/>
      <c r="H992" s="15"/>
      <c r="I992" s="15"/>
      <c r="J992" s="22">
        <v>4850</v>
      </c>
      <c r="K992" s="15"/>
      <c r="L992" s="17">
        <v>50</v>
      </c>
      <c r="M992" s="17">
        <v>50</v>
      </c>
      <c r="N992" s="17">
        <v>50</v>
      </c>
      <c r="O992" s="18">
        <v>41.17</v>
      </c>
      <c r="P992" s="18">
        <v>33.75</v>
      </c>
      <c r="Q992" s="18">
        <v>34.99</v>
      </c>
      <c r="R992" s="18">
        <v>28.68</v>
      </c>
      <c r="S992" s="18">
        <v>28</v>
      </c>
      <c r="T992" s="18">
        <v>22.95</v>
      </c>
      <c r="U992" s="16"/>
      <c r="V992" s="16"/>
      <c r="W992" s="16" t="s">
        <v>40</v>
      </c>
      <c r="X992" s="19">
        <v>3.4000000000000002E-2</v>
      </c>
      <c r="Y992" s="20">
        <v>9.2699999999999998E-4</v>
      </c>
      <c r="Z992" s="21">
        <v>4601004154018</v>
      </c>
    </row>
    <row r="993" spans="1:26" ht="12" customHeight="1" outlineLevel="4" x14ac:dyDescent="0.2">
      <c r="A993" s="14" t="s">
        <v>1968</v>
      </c>
      <c r="B993" s="26" t="s">
        <v>1969</v>
      </c>
      <c r="C993" s="52"/>
      <c r="D993" s="55">
        <f t="shared" si="15"/>
        <v>0</v>
      </c>
      <c r="E993" s="63" t="str">
        <f>HYPERLINK("https://www.sds-group.ru/product/truba-avtomobilnaya-gofrirovannaya-pp-16-5mm-razreznaya-buhta-50-m-up-rexant-16-1064/", "Инфо")</f>
        <v>Инфо</v>
      </c>
      <c r="F993" s="16" t="s">
        <v>1767</v>
      </c>
      <c r="G993" s="15"/>
      <c r="H993" s="15"/>
      <c r="I993" s="15"/>
      <c r="J993" s="22">
        <v>3300</v>
      </c>
      <c r="K993" s="15"/>
      <c r="L993" s="17">
        <v>50</v>
      </c>
      <c r="M993" s="17">
        <v>50</v>
      </c>
      <c r="N993" s="17">
        <v>50</v>
      </c>
      <c r="O993" s="18">
        <v>70.64</v>
      </c>
      <c r="P993" s="18">
        <v>57.9</v>
      </c>
      <c r="Q993" s="18">
        <v>60.04</v>
      </c>
      <c r="R993" s="18">
        <v>49.21</v>
      </c>
      <c r="S993" s="18">
        <v>48.04</v>
      </c>
      <c r="T993" s="18">
        <v>39.380000000000003</v>
      </c>
      <c r="U993" s="16"/>
      <c r="V993" s="16"/>
      <c r="W993" s="16" t="s">
        <v>40</v>
      </c>
      <c r="X993" s="19">
        <v>3.5000000000000003E-2</v>
      </c>
      <c r="Y993" s="20">
        <v>1.016E-3</v>
      </c>
      <c r="Z993" s="21">
        <v>4601004154001</v>
      </c>
    </row>
    <row r="994" spans="1:26" ht="12" customHeight="1" outlineLevel="4" x14ac:dyDescent="0.2">
      <c r="A994" s="14" t="s">
        <v>1970</v>
      </c>
      <c r="B994" s="26" t="s">
        <v>1971</v>
      </c>
      <c r="C994" s="52"/>
      <c r="D994" s="55">
        <f t="shared" si="15"/>
        <v>0</v>
      </c>
      <c r="E994" s="63" t="str">
        <f>HYPERLINK("https://www.sds-group.ru/product/truba-avtomobilnaya-gofrirovannaya-pp-18-5mm-razreznaya-buhta-50-m-up-rexant-16-1065/", "Инфо")</f>
        <v>Инфо</v>
      </c>
      <c r="F994" s="16" t="s">
        <v>1767</v>
      </c>
      <c r="G994" s="15"/>
      <c r="H994" s="15"/>
      <c r="I994" s="15"/>
      <c r="J994" s="22">
        <v>6250</v>
      </c>
      <c r="K994" s="15"/>
      <c r="L994" s="17">
        <v>50</v>
      </c>
      <c r="M994" s="17">
        <v>50</v>
      </c>
      <c r="N994" s="17">
        <v>50</v>
      </c>
      <c r="O994" s="18">
        <v>60.89</v>
      </c>
      <c r="P994" s="18">
        <v>49.91</v>
      </c>
      <c r="Q994" s="18">
        <v>51.76</v>
      </c>
      <c r="R994" s="18">
        <v>42.43</v>
      </c>
      <c r="S994" s="18">
        <v>41.41</v>
      </c>
      <c r="T994" s="18">
        <v>33.94</v>
      </c>
      <c r="U994" s="16"/>
      <c r="V994" s="16"/>
      <c r="W994" s="16" t="s">
        <v>40</v>
      </c>
      <c r="X994" s="19">
        <v>4.3999999999999997E-2</v>
      </c>
      <c r="Y994" s="20">
        <v>1.041E-3</v>
      </c>
      <c r="Z994" s="21">
        <v>4601004154032</v>
      </c>
    </row>
    <row r="995" spans="1:26" ht="12" customHeight="1" outlineLevel="4" x14ac:dyDescent="0.2">
      <c r="A995" s="14" t="s">
        <v>1972</v>
      </c>
      <c r="B995" s="26" t="s">
        <v>1973</v>
      </c>
      <c r="C995" s="52"/>
      <c r="D995" s="55">
        <f t="shared" si="15"/>
        <v>0</v>
      </c>
      <c r="E995" s="63" t="str">
        <f>HYPERLINK("https://www.sds-group.ru/product/truba-avtomobilnaya-gofrirovannaya-pp-19-2mm-razreznaya-buhta-50-m-up-rexant-16-1066/", "Инфо")</f>
        <v>Инфо</v>
      </c>
      <c r="F995" s="16" t="s">
        <v>1767</v>
      </c>
      <c r="G995" s="15"/>
      <c r="H995" s="15"/>
      <c r="I995" s="15"/>
      <c r="J995" s="22">
        <v>2900</v>
      </c>
      <c r="K995" s="15"/>
      <c r="L995" s="17">
        <v>50</v>
      </c>
      <c r="M995" s="17">
        <v>50</v>
      </c>
      <c r="N995" s="17">
        <v>50</v>
      </c>
      <c r="O995" s="18">
        <v>63.45</v>
      </c>
      <c r="P995" s="18">
        <v>52.01</v>
      </c>
      <c r="Q995" s="18">
        <v>53.93</v>
      </c>
      <c r="R995" s="18">
        <v>44.2</v>
      </c>
      <c r="S995" s="18">
        <v>43.15</v>
      </c>
      <c r="T995" s="18">
        <v>35.369999999999997</v>
      </c>
      <c r="U995" s="16"/>
      <c r="V995" s="16"/>
      <c r="W995" s="16" t="s">
        <v>40</v>
      </c>
      <c r="X995" s="19">
        <v>4.1000000000000002E-2</v>
      </c>
      <c r="Y995" s="20">
        <v>1.134E-3</v>
      </c>
      <c r="Z995" s="21">
        <v>4601004154049</v>
      </c>
    </row>
    <row r="996" spans="1:26" ht="12" customHeight="1" outlineLevel="4" x14ac:dyDescent="0.2">
      <c r="A996" s="14" t="s">
        <v>1974</v>
      </c>
      <c r="B996" s="26" t="s">
        <v>1975</v>
      </c>
      <c r="C996" s="52"/>
      <c r="D996" s="55">
        <f t="shared" si="15"/>
        <v>0</v>
      </c>
      <c r="E996" s="63" t="str">
        <f>HYPERLINK("https://www.sds-group.ru/product/truba-avtomobilnaya-gofrirovannaya-pp-19-9mm-razreznaya-buhta-50-m-up-rexant-16-1067/", "Инфо")</f>
        <v>Инфо</v>
      </c>
      <c r="F996" s="16" t="s">
        <v>1767</v>
      </c>
      <c r="G996" s="15"/>
      <c r="H996" s="15"/>
      <c r="I996" s="15"/>
      <c r="J996" s="22">
        <v>18300</v>
      </c>
      <c r="K996" s="15"/>
      <c r="L996" s="17">
        <v>50</v>
      </c>
      <c r="M996" s="17">
        <v>50</v>
      </c>
      <c r="N996" s="17">
        <v>50</v>
      </c>
      <c r="O996" s="18">
        <v>76.67</v>
      </c>
      <c r="P996" s="18">
        <v>62.84</v>
      </c>
      <c r="Q996" s="18">
        <v>65.17</v>
      </c>
      <c r="R996" s="18">
        <v>53.42</v>
      </c>
      <c r="S996" s="18">
        <v>52.14</v>
      </c>
      <c r="T996" s="18">
        <v>42.74</v>
      </c>
      <c r="U996" s="16"/>
      <c r="V996" s="16"/>
      <c r="W996" s="16" t="s">
        <v>40</v>
      </c>
      <c r="X996" s="19">
        <v>0.04</v>
      </c>
      <c r="Y996" s="20">
        <v>1.178E-3</v>
      </c>
      <c r="Z996" s="21">
        <v>4601004154056</v>
      </c>
    </row>
    <row r="997" spans="1:26" ht="12" customHeight="1" outlineLevel="4" x14ac:dyDescent="0.2">
      <c r="A997" s="14" t="s">
        <v>1976</v>
      </c>
      <c r="B997" s="26" t="s">
        <v>1977</v>
      </c>
      <c r="C997" s="52"/>
      <c r="D997" s="55">
        <f t="shared" si="15"/>
        <v>0</v>
      </c>
      <c r="E997" s="63" t="str">
        <f>HYPERLINK("https://www.sds-group.ru/product/truba-avtomobilnaya-gofrirovannaya-pp-22-6mm-razreznaya-buhta-60-m-up-rexant-16-1068/", "Инфо")</f>
        <v>Инфо</v>
      </c>
      <c r="F997" s="16" t="s">
        <v>1767</v>
      </c>
      <c r="G997" s="15"/>
      <c r="H997" s="15"/>
      <c r="I997" s="15"/>
      <c r="J997" s="22">
        <v>3960</v>
      </c>
      <c r="K997" s="15"/>
      <c r="L997" s="17">
        <v>60</v>
      </c>
      <c r="M997" s="17">
        <v>60</v>
      </c>
      <c r="N997" s="17">
        <v>60</v>
      </c>
      <c r="O997" s="18">
        <v>98.55</v>
      </c>
      <c r="P997" s="18">
        <v>80.78</v>
      </c>
      <c r="Q997" s="18">
        <v>83.77</v>
      </c>
      <c r="R997" s="18">
        <v>68.66</v>
      </c>
      <c r="S997" s="18">
        <v>67.010000000000005</v>
      </c>
      <c r="T997" s="18">
        <v>54.93</v>
      </c>
      <c r="U997" s="16"/>
      <c r="V997" s="16"/>
      <c r="W997" s="16" t="s">
        <v>40</v>
      </c>
      <c r="X997" s="19">
        <v>5.6000000000000001E-2</v>
      </c>
      <c r="Y997" s="20">
        <v>1.408E-3</v>
      </c>
      <c r="Z997" s="21">
        <v>4601004208285</v>
      </c>
    </row>
    <row r="998" spans="1:26" ht="12" customHeight="1" outlineLevel="4" x14ac:dyDescent="0.2">
      <c r="A998" s="14" t="s">
        <v>1978</v>
      </c>
      <c r="B998" s="26" t="s">
        <v>1979</v>
      </c>
      <c r="C998" s="52"/>
      <c r="D998" s="55">
        <f t="shared" si="15"/>
        <v>0</v>
      </c>
      <c r="E998" s="63" t="str">
        <f>HYPERLINK("https://www.sds-group.ru/product/truba-avtomobilnaya-gofrirovannaya-pp-25-0mm-razreznaya-buhta-50-m-up-rexant-16-1069/", "Инфо")</f>
        <v>Инфо</v>
      </c>
      <c r="F998" s="16" t="s">
        <v>1767</v>
      </c>
      <c r="G998" s="15"/>
      <c r="H998" s="15"/>
      <c r="I998" s="15"/>
      <c r="J998" s="22">
        <v>3700</v>
      </c>
      <c r="K998" s="15"/>
      <c r="L998" s="17">
        <v>50</v>
      </c>
      <c r="M998" s="17">
        <v>50</v>
      </c>
      <c r="N998" s="17">
        <v>50</v>
      </c>
      <c r="O998" s="18">
        <v>98.87</v>
      </c>
      <c r="P998" s="18">
        <v>81.040000000000006</v>
      </c>
      <c r="Q998" s="18">
        <v>84.04</v>
      </c>
      <c r="R998" s="18">
        <v>68.89</v>
      </c>
      <c r="S998" s="18">
        <v>67.23</v>
      </c>
      <c r="T998" s="18">
        <v>55.11</v>
      </c>
      <c r="U998" s="16"/>
      <c r="V998" s="16"/>
      <c r="W998" s="16" t="s">
        <v>40</v>
      </c>
      <c r="X998" s="19">
        <v>0.06</v>
      </c>
      <c r="Y998" s="20">
        <v>1.58E-3</v>
      </c>
      <c r="Z998" s="21">
        <v>4601004154087</v>
      </c>
    </row>
    <row r="999" spans="1:26" ht="12" customHeight="1" outlineLevel="4" x14ac:dyDescent="0.2">
      <c r="A999" s="14" t="s">
        <v>1980</v>
      </c>
      <c r="B999" s="26" t="s">
        <v>1981</v>
      </c>
      <c r="C999" s="52"/>
      <c r="D999" s="55">
        <f t="shared" si="15"/>
        <v>0</v>
      </c>
      <c r="E999" s="63" t="str">
        <f>HYPERLINK("https://www.sds-group.ru/product/truba-avtomobilnaya-gofrirovannaya-pp-26-0mm-razreznaya-buhta-30-m-up-rexant-16-1070/", "Инфо")</f>
        <v>Инфо</v>
      </c>
      <c r="F999" s="16" t="s">
        <v>1767</v>
      </c>
      <c r="G999" s="15"/>
      <c r="H999" s="15"/>
      <c r="I999" s="15"/>
      <c r="J999" s="17">
        <v>690</v>
      </c>
      <c r="K999" s="15"/>
      <c r="L999" s="17">
        <v>30</v>
      </c>
      <c r="M999" s="17">
        <v>30</v>
      </c>
      <c r="N999" s="17">
        <v>30</v>
      </c>
      <c r="O999" s="18">
        <v>142.56</v>
      </c>
      <c r="P999" s="18">
        <v>116.85</v>
      </c>
      <c r="Q999" s="18">
        <v>121.18</v>
      </c>
      <c r="R999" s="18">
        <v>99.33</v>
      </c>
      <c r="S999" s="18">
        <v>96.94</v>
      </c>
      <c r="T999" s="18">
        <v>79.459999999999994</v>
      </c>
      <c r="U999" s="16"/>
      <c r="V999" s="16"/>
      <c r="W999" s="16" t="s">
        <v>40</v>
      </c>
      <c r="X999" s="19">
        <v>6.4000000000000001E-2</v>
      </c>
      <c r="Y999" s="20">
        <v>1.9580000000000001E-3</v>
      </c>
      <c r="Z999" s="21">
        <v>4601004154094</v>
      </c>
    </row>
    <row r="1000" spans="1:26" ht="12" customHeight="1" outlineLevel="4" x14ac:dyDescent="0.2">
      <c r="A1000" s="14" t="s">
        <v>1982</v>
      </c>
      <c r="B1000" s="26" t="s">
        <v>1983</v>
      </c>
      <c r="C1000" s="52"/>
      <c r="D1000" s="55">
        <f t="shared" si="15"/>
        <v>0</v>
      </c>
      <c r="E1000" s="63" t="str">
        <f>HYPERLINK("https://www.sds-group.ru/product/truba-avtomobilnaya-gofrirovannaya-pp-4-7mm-razreznaya-buhta-100-m-up-rexant-16-1047/", "Инфо")</f>
        <v>Инфо</v>
      </c>
      <c r="F1000" s="16" t="s">
        <v>1767</v>
      </c>
      <c r="G1000" s="15"/>
      <c r="H1000" s="15"/>
      <c r="I1000" s="15"/>
      <c r="J1000" s="22">
        <v>16900</v>
      </c>
      <c r="K1000" s="15"/>
      <c r="L1000" s="17">
        <v>100</v>
      </c>
      <c r="M1000" s="17">
        <v>100</v>
      </c>
      <c r="N1000" s="17">
        <v>100</v>
      </c>
      <c r="O1000" s="18">
        <v>19.239999999999998</v>
      </c>
      <c r="P1000" s="18">
        <v>15.77</v>
      </c>
      <c r="Q1000" s="18">
        <v>16.350000000000001</v>
      </c>
      <c r="R1000" s="18">
        <v>13.4</v>
      </c>
      <c r="S1000" s="18">
        <v>13.08</v>
      </c>
      <c r="T1000" s="18">
        <v>10.72</v>
      </c>
      <c r="U1000" s="16"/>
      <c r="V1000" s="16"/>
      <c r="W1000" s="16" t="s">
        <v>40</v>
      </c>
      <c r="X1000" s="19">
        <v>8.9999999999999993E-3</v>
      </c>
      <c r="Y1000" s="20">
        <v>1.5300000000000001E-4</v>
      </c>
      <c r="Z1000" s="21">
        <v>4601004153837</v>
      </c>
    </row>
    <row r="1001" spans="1:26" ht="12" customHeight="1" outlineLevel="4" x14ac:dyDescent="0.2">
      <c r="A1001" s="14" t="s">
        <v>1984</v>
      </c>
      <c r="B1001" s="26" t="s">
        <v>1985</v>
      </c>
      <c r="C1001" s="52"/>
      <c r="D1001" s="55">
        <f t="shared" si="15"/>
        <v>0</v>
      </c>
      <c r="E1001" s="63" t="str">
        <f>HYPERLINK("https://www.sds-group.ru/product/truba-avtomobilnaya-gofrirovannaya-pp-4-7mm-razreznaya-buhta-50-m-up-rexant-16-1048/", "Инфо")</f>
        <v>Инфо</v>
      </c>
      <c r="F1001" s="16" t="s">
        <v>1767</v>
      </c>
      <c r="G1001" s="15"/>
      <c r="H1001" s="15"/>
      <c r="I1001" s="15"/>
      <c r="J1001" s="22">
        <v>17299</v>
      </c>
      <c r="K1001" s="15"/>
      <c r="L1001" s="17">
        <v>50</v>
      </c>
      <c r="M1001" s="17">
        <v>50</v>
      </c>
      <c r="N1001" s="17">
        <v>50</v>
      </c>
      <c r="O1001" s="18">
        <v>19.29</v>
      </c>
      <c r="P1001" s="18">
        <v>15.81</v>
      </c>
      <c r="Q1001" s="18">
        <v>16.399999999999999</v>
      </c>
      <c r="R1001" s="18">
        <v>13.44</v>
      </c>
      <c r="S1001" s="18">
        <v>13.12</v>
      </c>
      <c r="T1001" s="18">
        <v>10.75</v>
      </c>
      <c r="U1001" s="16"/>
      <c r="V1001" s="16"/>
      <c r="W1001" s="16" t="s">
        <v>40</v>
      </c>
      <c r="X1001" s="19">
        <v>8.9999999999999993E-3</v>
      </c>
      <c r="Y1001" s="20">
        <v>2.6400000000000002E-4</v>
      </c>
      <c r="Z1001" s="21">
        <v>4601004153820</v>
      </c>
    </row>
    <row r="1002" spans="1:26" ht="12" customHeight="1" outlineLevel="4" x14ac:dyDescent="0.2">
      <c r="A1002" s="14" t="s">
        <v>1986</v>
      </c>
      <c r="B1002" s="26" t="s">
        <v>1987</v>
      </c>
      <c r="C1002" s="52"/>
      <c r="D1002" s="55">
        <f t="shared" si="15"/>
        <v>0</v>
      </c>
      <c r="E1002" s="63" t="str">
        <f>HYPERLINK("https://www.sds-group.ru/product/truba-avtomobilnaya-gofrirovannaya-pp-6-0mm-razreznaya-buhta-50-m-up-rexant-16-1050/", "Инфо")</f>
        <v>Инфо</v>
      </c>
      <c r="F1002" s="16" t="s">
        <v>1767</v>
      </c>
      <c r="G1002" s="15"/>
      <c r="H1002" s="15"/>
      <c r="I1002" s="15"/>
      <c r="J1002" s="22">
        <v>11950</v>
      </c>
      <c r="K1002" s="15"/>
      <c r="L1002" s="17">
        <v>50</v>
      </c>
      <c r="M1002" s="17">
        <v>50</v>
      </c>
      <c r="N1002" s="17">
        <v>50</v>
      </c>
      <c r="O1002" s="18">
        <v>44.69</v>
      </c>
      <c r="P1002" s="18">
        <v>36.630000000000003</v>
      </c>
      <c r="Q1002" s="18">
        <v>37.99</v>
      </c>
      <c r="R1002" s="18">
        <v>31.14</v>
      </c>
      <c r="S1002" s="18">
        <v>30.39</v>
      </c>
      <c r="T1002" s="18">
        <v>24.91</v>
      </c>
      <c r="U1002" s="16"/>
      <c r="V1002" s="16"/>
      <c r="W1002" s="16" t="s">
        <v>40</v>
      </c>
      <c r="X1002" s="19">
        <v>2E-3</v>
      </c>
      <c r="Y1002" s="20">
        <v>3.01E-4</v>
      </c>
      <c r="Z1002" s="21">
        <v>4601004153844</v>
      </c>
    </row>
    <row r="1003" spans="1:26" ht="12" customHeight="1" outlineLevel="4" x14ac:dyDescent="0.2">
      <c r="A1003" s="14" t="s">
        <v>1988</v>
      </c>
      <c r="B1003" s="26" t="s">
        <v>1989</v>
      </c>
      <c r="C1003" s="52"/>
      <c r="D1003" s="55">
        <f t="shared" si="15"/>
        <v>0</v>
      </c>
      <c r="E1003" s="63" t="str">
        <f>HYPERLINK("https://www.sds-group.ru/product/truba-avtomobilnaya-gofrirovannaya-pp-6-8mm-nerazreznaya-buhta-50-m-up-rexant-16-1052/", "Инфо")</f>
        <v>Инфо</v>
      </c>
      <c r="F1003" s="16" t="s">
        <v>1767</v>
      </c>
      <c r="G1003" s="15"/>
      <c r="H1003" s="15"/>
      <c r="I1003" s="15"/>
      <c r="J1003" s="22">
        <v>3700</v>
      </c>
      <c r="K1003" s="15"/>
      <c r="L1003" s="17">
        <v>50</v>
      </c>
      <c r="M1003" s="17">
        <v>50</v>
      </c>
      <c r="N1003" s="17">
        <v>50</v>
      </c>
      <c r="O1003" s="18">
        <v>27.61</v>
      </c>
      <c r="P1003" s="18">
        <v>22.63</v>
      </c>
      <c r="Q1003" s="18">
        <v>23.47</v>
      </c>
      <c r="R1003" s="18">
        <v>19.239999999999998</v>
      </c>
      <c r="S1003" s="18">
        <v>18.77</v>
      </c>
      <c r="T1003" s="18">
        <v>15.39</v>
      </c>
      <c r="U1003" s="16"/>
      <c r="V1003" s="16"/>
      <c r="W1003" s="16" t="s">
        <v>40</v>
      </c>
      <c r="X1003" s="19">
        <v>1.0999999999999999E-2</v>
      </c>
      <c r="Y1003" s="20">
        <v>3.3700000000000001E-4</v>
      </c>
      <c r="Z1003" s="21">
        <v>4601004153868</v>
      </c>
    </row>
    <row r="1004" spans="1:26" ht="12" customHeight="1" outlineLevel="4" x14ac:dyDescent="0.2">
      <c r="A1004" s="14" t="s">
        <v>1990</v>
      </c>
      <c r="B1004" s="26" t="s">
        <v>1991</v>
      </c>
      <c r="C1004" s="52"/>
      <c r="D1004" s="55">
        <f t="shared" si="15"/>
        <v>0</v>
      </c>
      <c r="E1004" s="63" t="str">
        <f>HYPERLINK("https://www.sds-group.ru/product/truba-avtomobilnaya-gofrirovannaya-pp-6-8mm-razreznaya-buhta-50-m-up-rexant-16-1051/", "Инфо")</f>
        <v>Инфо</v>
      </c>
      <c r="F1004" s="16" t="s">
        <v>1767</v>
      </c>
      <c r="G1004" s="15"/>
      <c r="H1004" s="15"/>
      <c r="I1004" s="15"/>
      <c r="J1004" s="22">
        <v>4968</v>
      </c>
      <c r="K1004" s="15" t="s">
        <v>1888</v>
      </c>
      <c r="L1004" s="17">
        <v>50</v>
      </c>
      <c r="M1004" s="17">
        <v>50</v>
      </c>
      <c r="N1004" s="17">
        <v>50</v>
      </c>
      <c r="O1004" s="18">
        <v>20.350000000000001</v>
      </c>
      <c r="P1004" s="18">
        <v>16.68</v>
      </c>
      <c r="Q1004" s="18">
        <v>17.3</v>
      </c>
      <c r="R1004" s="18">
        <v>14.18</v>
      </c>
      <c r="S1004" s="18">
        <v>13.84</v>
      </c>
      <c r="T1004" s="18">
        <v>11.34</v>
      </c>
      <c r="U1004" s="16"/>
      <c r="V1004" s="16"/>
      <c r="W1004" s="16" t="s">
        <v>40</v>
      </c>
      <c r="X1004" s="19">
        <v>1.2E-2</v>
      </c>
      <c r="Y1004" s="20">
        <v>2.9399999999999999E-4</v>
      </c>
      <c r="Z1004" s="21">
        <v>4601004153851</v>
      </c>
    </row>
    <row r="1005" spans="1:26" ht="12" customHeight="1" outlineLevel="4" x14ac:dyDescent="0.2">
      <c r="A1005" s="14" t="s">
        <v>1992</v>
      </c>
      <c r="B1005" s="26" t="s">
        <v>1993</v>
      </c>
      <c r="C1005" s="52"/>
      <c r="D1005" s="55">
        <f t="shared" si="15"/>
        <v>0</v>
      </c>
      <c r="E1005" s="63" t="str">
        <f>HYPERLINK("https://www.sds-group.ru/product/truba-avtomobilnaya-gofrirovannaya-pp-7-5mm-razreznaya-buhta-50-m-up-rexant-16-1054/", "Инфо")</f>
        <v>Инфо</v>
      </c>
      <c r="F1005" s="16" t="s">
        <v>1767</v>
      </c>
      <c r="G1005" s="15"/>
      <c r="H1005" s="15"/>
      <c r="I1005" s="15"/>
      <c r="J1005" s="22">
        <v>39000</v>
      </c>
      <c r="K1005" s="15"/>
      <c r="L1005" s="17">
        <v>50</v>
      </c>
      <c r="M1005" s="17">
        <v>50</v>
      </c>
      <c r="N1005" s="17">
        <v>50</v>
      </c>
      <c r="O1005" s="18">
        <v>49.87</v>
      </c>
      <c r="P1005" s="18">
        <v>40.880000000000003</v>
      </c>
      <c r="Q1005" s="18">
        <v>42.39</v>
      </c>
      <c r="R1005" s="18">
        <v>34.75</v>
      </c>
      <c r="S1005" s="18">
        <v>33.909999999999997</v>
      </c>
      <c r="T1005" s="18">
        <v>27.8</v>
      </c>
      <c r="U1005" s="16"/>
      <c r="V1005" s="16"/>
      <c r="W1005" s="16" t="s">
        <v>40</v>
      </c>
      <c r="X1005" s="19">
        <v>1.4999999999999999E-2</v>
      </c>
      <c r="Y1005" s="20">
        <v>2.9E-4</v>
      </c>
      <c r="Z1005" s="21">
        <v>4601004153882</v>
      </c>
    </row>
    <row r="1006" spans="1:26" ht="12" customHeight="1" outlineLevel="4" x14ac:dyDescent="0.2">
      <c r="A1006" s="14" t="s">
        <v>1994</v>
      </c>
      <c r="B1006" s="26" t="s">
        <v>1995</v>
      </c>
      <c r="C1006" s="52"/>
      <c r="D1006" s="55">
        <f t="shared" si="15"/>
        <v>0</v>
      </c>
      <c r="E1006" s="63" t="str">
        <f>HYPERLINK("https://www.sds-group.ru/product/truba-avtomobilnaya-gofrirovannaya-pp-8-5mm-razreznaya-buhta-50-m-up-rexant-16-1083/", "Инфо")</f>
        <v>Инфо</v>
      </c>
      <c r="F1006" s="16" t="s">
        <v>1767</v>
      </c>
      <c r="G1006" s="15"/>
      <c r="H1006" s="15"/>
      <c r="I1006" s="15"/>
      <c r="J1006" s="22">
        <v>8100</v>
      </c>
      <c r="K1006" s="15"/>
      <c r="L1006" s="17">
        <v>50</v>
      </c>
      <c r="M1006" s="17">
        <v>50</v>
      </c>
      <c r="N1006" s="17">
        <v>50</v>
      </c>
      <c r="O1006" s="18">
        <v>50.67</v>
      </c>
      <c r="P1006" s="18">
        <v>41.53</v>
      </c>
      <c r="Q1006" s="18">
        <v>43.07</v>
      </c>
      <c r="R1006" s="18">
        <v>35.299999999999997</v>
      </c>
      <c r="S1006" s="18">
        <v>34.46</v>
      </c>
      <c r="T1006" s="18">
        <v>28.25</v>
      </c>
      <c r="U1006" s="16"/>
      <c r="V1006" s="16"/>
      <c r="W1006" s="16" t="s">
        <v>40</v>
      </c>
      <c r="X1006" s="19">
        <v>1.4999999999999999E-2</v>
      </c>
      <c r="Y1006" s="20">
        <v>3.2899999999999997E-4</v>
      </c>
      <c r="Z1006" s="21">
        <v>4601004321052</v>
      </c>
    </row>
    <row r="1007" spans="1:26" ht="12" customHeight="1" outlineLevel="4" x14ac:dyDescent="0.2">
      <c r="A1007" s="14" t="s">
        <v>1996</v>
      </c>
      <c r="B1007" s="26" t="s">
        <v>1997</v>
      </c>
      <c r="C1007" s="52"/>
      <c r="D1007" s="55">
        <f t="shared" si="15"/>
        <v>0</v>
      </c>
      <c r="E1007" s="63" t="str">
        <f>HYPERLINK("https://www.sds-group.ru/product/truba-avtomobilnaya-gofrirovannaya-pp-9-0mm-razreznaya-buhta-50-m-up-rexant-16-1055/", "Инфо")</f>
        <v>Инфо</v>
      </c>
      <c r="F1007" s="16" t="s">
        <v>1767</v>
      </c>
      <c r="G1007" s="15"/>
      <c r="H1007" s="15"/>
      <c r="I1007" s="15"/>
      <c r="J1007" s="22">
        <v>5300</v>
      </c>
      <c r="K1007" s="15"/>
      <c r="L1007" s="17">
        <v>50</v>
      </c>
      <c r="M1007" s="17">
        <v>50</v>
      </c>
      <c r="N1007" s="17">
        <v>50</v>
      </c>
      <c r="O1007" s="18">
        <v>52.26</v>
      </c>
      <c r="P1007" s="18">
        <v>42.84</v>
      </c>
      <c r="Q1007" s="18">
        <v>44.42</v>
      </c>
      <c r="R1007" s="18">
        <v>36.409999999999997</v>
      </c>
      <c r="S1007" s="18">
        <v>35.54</v>
      </c>
      <c r="T1007" s="18">
        <v>29.13</v>
      </c>
      <c r="U1007" s="16"/>
      <c r="V1007" s="16"/>
      <c r="W1007" s="16" t="s">
        <v>40</v>
      </c>
      <c r="X1007" s="19">
        <v>1.6E-2</v>
      </c>
      <c r="Y1007" s="20">
        <v>4.1800000000000002E-4</v>
      </c>
      <c r="Z1007" s="21">
        <v>4601004153899</v>
      </c>
    </row>
    <row r="1008" spans="1:26" ht="12" customHeight="1" outlineLevel="4" x14ac:dyDescent="0.2">
      <c r="A1008" s="14" t="s">
        <v>1998</v>
      </c>
      <c r="B1008" s="26" t="s">
        <v>1999</v>
      </c>
      <c r="C1008" s="52"/>
      <c r="D1008" s="55">
        <f t="shared" si="15"/>
        <v>0</v>
      </c>
      <c r="E1008" s="63" t="str">
        <f>HYPERLINK("https://www.sds-group.ru/product/truba-avtomobilnaya-gofrirovannaya-pp-9-8mm-nerazreznaya-buhta-50-m-up-rexant-16-1057/", "Инфо")</f>
        <v>Инфо</v>
      </c>
      <c r="F1008" s="16" t="s">
        <v>1767</v>
      </c>
      <c r="G1008" s="15"/>
      <c r="H1008" s="15"/>
      <c r="I1008" s="15"/>
      <c r="J1008" s="22">
        <v>7800</v>
      </c>
      <c r="K1008" s="15"/>
      <c r="L1008" s="17">
        <v>50</v>
      </c>
      <c r="M1008" s="17">
        <v>50</v>
      </c>
      <c r="N1008" s="17">
        <v>50</v>
      </c>
      <c r="O1008" s="18">
        <v>32.549999999999997</v>
      </c>
      <c r="P1008" s="18">
        <v>26.68</v>
      </c>
      <c r="Q1008" s="18">
        <v>27.67</v>
      </c>
      <c r="R1008" s="18">
        <v>22.68</v>
      </c>
      <c r="S1008" s="18">
        <v>22.13</v>
      </c>
      <c r="T1008" s="18">
        <v>18.14</v>
      </c>
      <c r="U1008" s="16"/>
      <c r="V1008" s="16"/>
      <c r="W1008" s="16" t="s">
        <v>40</v>
      </c>
      <c r="X1008" s="19">
        <v>1.7999999999999999E-2</v>
      </c>
      <c r="Y1008" s="20">
        <v>3.7599999999999998E-4</v>
      </c>
      <c r="Z1008" s="21">
        <v>4601004153912</v>
      </c>
    </row>
    <row r="1009" spans="1:26" ht="12" customHeight="1" outlineLevel="4" x14ac:dyDescent="0.2">
      <c r="A1009" s="14" t="s">
        <v>2000</v>
      </c>
      <c r="B1009" s="26" t="s">
        <v>2001</v>
      </c>
      <c r="C1009" s="52"/>
      <c r="D1009" s="55">
        <f t="shared" si="15"/>
        <v>0</v>
      </c>
      <c r="E1009" s="63" t="str">
        <f>HYPERLINK("https://www.sds-group.ru/product/truba-avtomobilnaya-gofrirovannaya-pp-9-8mm-razreznaya-buhta-50-m-up-rexant-16-1056/", "Инфо")</f>
        <v>Инфо</v>
      </c>
      <c r="F1009" s="16" t="s">
        <v>1767</v>
      </c>
      <c r="G1009" s="15"/>
      <c r="H1009" s="15"/>
      <c r="I1009" s="15"/>
      <c r="J1009" s="22">
        <v>5450</v>
      </c>
      <c r="K1009" s="15" t="s">
        <v>1888</v>
      </c>
      <c r="L1009" s="17">
        <v>50</v>
      </c>
      <c r="M1009" s="17">
        <v>50</v>
      </c>
      <c r="N1009" s="17">
        <v>50</v>
      </c>
      <c r="O1009" s="18">
        <v>26.37</v>
      </c>
      <c r="P1009" s="18">
        <v>21.61</v>
      </c>
      <c r="Q1009" s="18">
        <v>22.41</v>
      </c>
      <c r="R1009" s="18">
        <v>18.37</v>
      </c>
      <c r="S1009" s="18">
        <v>17.93</v>
      </c>
      <c r="T1009" s="18">
        <v>14.7</v>
      </c>
      <c r="U1009" s="16"/>
      <c r="V1009" s="16"/>
      <c r="W1009" s="16" t="s">
        <v>40</v>
      </c>
      <c r="X1009" s="19">
        <v>1.7999999999999999E-2</v>
      </c>
      <c r="Y1009" s="20">
        <v>4.1800000000000002E-4</v>
      </c>
      <c r="Z1009" s="21">
        <v>4601004153905</v>
      </c>
    </row>
    <row r="1010" spans="1:26" ht="12" customHeight="1" outlineLevel="4" x14ac:dyDescent="0.2">
      <c r="A1010" s="14" t="s">
        <v>2002</v>
      </c>
      <c r="B1010" s="26" t="s">
        <v>2003</v>
      </c>
      <c r="C1010" s="52"/>
      <c r="D1010" s="55">
        <f t="shared" si="15"/>
        <v>0</v>
      </c>
      <c r="E1010" s="63" t="str">
        <f>HYPERLINK("https://www.sds-group.ru/product/truba-avtomobilnaya-gofrirovannaya-ppng-11-5mm-razreznaya-negoryuchaya-buhta-50-m-up-rexant-16-1075/", "Инфо")</f>
        <v>Инфо</v>
      </c>
      <c r="F1010" s="16" t="s">
        <v>1767</v>
      </c>
      <c r="G1010" s="15"/>
      <c r="H1010" s="15"/>
      <c r="I1010" s="15"/>
      <c r="J1010" s="22">
        <v>6750</v>
      </c>
      <c r="K1010" s="15"/>
      <c r="L1010" s="17">
        <v>50</v>
      </c>
      <c r="M1010" s="17">
        <v>50</v>
      </c>
      <c r="N1010" s="17">
        <v>50</v>
      </c>
      <c r="O1010" s="18">
        <v>60.41</v>
      </c>
      <c r="P1010" s="18">
        <v>49.52</v>
      </c>
      <c r="Q1010" s="18">
        <v>51.35</v>
      </c>
      <c r="R1010" s="18">
        <v>42.09</v>
      </c>
      <c r="S1010" s="18">
        <v>41.08</v>
      </c>
      <c r="T1010" s="18">
        <v>33.67</v>
      </c>
      <c r="U1010" s="16"/>
      <c r="V1010" s="16"/>
      <c r="W1010" s="16" t="s">
        <v>40</v>
      </c>
      <c r="X1010" s="19">
        <v>2.1999999999999999E-2</v>
      </c>
      <c r="Y1010" s="20">
        <v>4.84E-4</v>
      </c>
      <c r="Z1010" s="21">
        <v>4601004153943</v>
      </c>
    </row>
    <row r="1011" spans="1:26" ht="12" customHeight="1" outlineLevel="4" x14ac:dyDescent="0.2">
      <c r="A1011" s="14" t="s">
        <v>2004</v>
      </c>
      <c r="B1011" s="26" t="s">
        <v>2005</v>
      </c>
      <c r="C1011" s="52"/>
      <c r="D1011" s="55">
        <f t="shared" si="15"/>
        <v>0</v>
      </c>
      <c r="E1011" s="63" t="str">
        <f>HYPERLINK("https://www.sds-group.ru/product/truba-avtomobilnaya-gofrirovannaya-ppng-12-4mm-razreznaya-negoryuchaya-buhta-50-m-up-rexant-16-1061/", "Инфо")</f>
        <v>Инфо</v>
      </c>
      <c r="F1011" s="16" t="s">
        <v>1767</v>
      </c>
      <c r="G1011" s="15"/>
      <c r="H1011" s="15"/>
      <c r="I1011" s="15"/>
      <c r="J1011" s="22">
        <v>4750</v>
      </c>
      <c r="K1011" s="15"/>
      <c r="L1011" s="17">
        <v>50</v>
      </c>
      <c r="M1011" s="17">
        <v>50</v>
      </c>
      <c r="N1011" s="17">
        <v>50</v>
      </c>
      <c r="O1011" s="18">
        <v>58.05</v>
      </c>
      <c r="P1011" s="18">
        <v>47.58</v>
      </c>
      <c r="Q1011" s="18">
        <v>49.34</v>
      </c>
      <c r="R1011" s="18">
        <v>40.44</v>
      </c>
      <c r="S1011" s="18">
        <v>39.47</v>
      </c>
      <c r="T1011" s="18">
        <v>32.35</v>
      </c>
      <c r="U1011" s="16"/>
      <c r="V1011" s="16"/>
      <c r="W1011" s="16" t="s">
        <v>40</v>
      </c>
      <c r="X1011" s="19">
        <v>2.5000000000000001E-2</v>
      </c>
      <c r="Y1011" s="20">
        <v>6.7299999999999999E-4</v>
      </c>
      <c r="Z1011" s="21">
        <v>4601004153967</v>
      </c>
    </row>
    <row r="1012" spans="1:26" ht="12" customHeight="1" outlineLevel="4" x14ac:dyDescent="0.2">
      <c r="A1012" s="14" t="s">
        <v>2006</v>
      </c>
      <c r="B1012" s="26" t="s">
        <v>2007</v>
      </c>
      <c r="C1012" s="52"/>
      <c r="D1012" s="55">
        <f t="shared" si="15"/>
        <v>0</v>
      </c>
      <c r="E1012" s="63" t="str">
        <f>HYPERLINK("https://www.sds-group.ru/product/truba-avtomobilnaya-gofrirovannaya-ppng-16-5mm-razreznaya-negoryuchaya-buhta-50-m-up-rexant-16-1078/", "Инфо")</f>
        <v>Инфо</v>
      </c>
      <c r="F1012" s="16" t="s">
        <v>1767</v>
      </c>
      <c r="G1012" s="15"/>
      <c r="H1012" s="15"/>
      <c r="I1012" s="15"/>
      <c r="J1012" s="22">
        <v>1750</v>
      </c>
      <c r="K1012" s="15"/>
      <c r="L1012" s="17">
        <v>50</v>
      </c>
      <c r="M1012" s="17">
        <v>50</v>
      </c>
      <c r="N1012" s="17">
        <v>50</v>
      </c>
      <c r="O1012" s="18">
        <v>90.65</v>
      </c>
      <c r="P1012" s="18">
        <v>74.3</v>
      </c>
      <c r="Q1012" s="18">
        <v>77.05</v>
      </c>
      <c r="R1012" s="18">
        <v>63.16</v>
      </c>
      <c r="S1012" s="18">
        <v>61.64</v>
      </c>
      <c r="T1012" s="18">
        <v>50.52</v>
      </c>
      <c r="U1012" s="16"/>
      <c r="V1012" s="16"/>
      <c r="W1012" s="16" t="s">
        <v>40</v>
      </c>
      <c r="X1012" s="19">
        <v>2.3E-2</v>
      </c>
      <c r="Y1012" s="20">
        <v>4.8200000000000001E-4</v>
      </c>
      <c r="Z1012" s="21">
        <v>4601004154025</v>
      </c>
    </row>
    <row r="1013" spans="1:26" ht="12" customHeight="1" outlineLevel="4" x14ac:dyDescent="0.2">
      <c r="A1013" s="14" t="s">
        <v>2008</v>
      </c>
      <c r="B1013" s="26" t="s">
        <v>2009</v>
      </c>
      <c r="C1013" s="52"/>
      <c r="D1013" s="55">
        <f t="shared" si="15"/>
        <v>0</v>
      </c>
      <c r="E1013" s="63" t="str">
        <f>HYPERLINK("https://www.sds-group.ru/product/truba-avtomobilnaya-gofrirovannaya-ppng-4-7mm-razreznaya-negoryuchaya-buhta-100-m-up-rexant-16-1049/", "Инфо")</f>
        <v>Инфо</v>
      </c>
      <c r="F1013" s="16" t="s">
        <v>1767</v>
      </c>
      <c r="G1013" s="15"/>
      <c r="H1013" s="15"/>
      <c r="I1013" s="15"/>
      <c r="J1013" s="22">
        <v>14500</v>
      </c>
      <c r="K1013" s="15"/>
      <c r="L1013" s="17">
        <v>100</v>
      </c>
      <c r="M1013" s="17">
        <v>100</v>
      </c>
      <c r="N1013" s="17">
        <v>100</v>
      </c>
      <c r="O1013" s="18">
        <v>33.36</v>
      </c>
      <c r="P1013" s="18">
        <v>27.34</v>
      </c>
      <c r="Q1013" s="18">
        <v>28.36</v>
      </c>
      <c r="R1013" s="18">
        <v>23.25</v>
      </c>
      <c r="S1013" s="18">
        <v>22.68</v>
      </c>
      <c r="T1013" s="18">
        <v>18.59</v>
      </c>
      <c r="U1013" s="16"/>
      <c r="V1013" s="16"/>
      <c r="W1013" s="16" t="s">
        <v>40</v>
      </c>
      <c r="X1013" s="19">
        <v>8.0000000000000002E-3</v>
      </c>
      <c r="Y1013" s="20">
        <v>1.7100000000000001E-4</v>
      </c>
      <c r="Z1013" s="21">
        <v>4601004154070</v>
      </c>
    </row>
    <row r="1014" spans="1:26" ht="12" customHeight="1" outlineLevel="4" x14ac:dyDescent="0.2">
      <c r="A1014" s="14" t="s">
        <v>2010</v>
      </c>
      <c r="B1014" s="26" t="s">
        <v>2011</v>
      </c>
      <c r="C1014" s="52"/>
      <c r="D1014" s="55">
        <f t="shared" si="15"/>
        <v>0</v>
      </c>
      <c r="E1014" s="63" t="str">
        <f>HYPERLINK("https://www.sds-group.ru/product/truba-avtomobilnaya-gofrirovannaya-ppng-6-8mm-razreznaya-negoryuchaya-buhta-50-m-up-rexant-16-1053/", "Инфо")</f>
        <v>Инфо</v>
      </c>
      <c r="F1014" s="16" t="s">
        <v>1767</v>
      </c>
      <c r="G1014" s="15"/>
      <c r="H1014" s="15"/>
      <c r="I1014" s="15"/>
      <c r="J1014" s="16" t="s">
        <v>100</v>
      </c>
      <c r="K1014" s="15" t="s">
        <v>1888</v>
      </c>
      <c r="L1014" s="17">
        <v>50</v>
      </c>
      <c r="M1014" s="17">
        <v>50</v>
      </c>
      <c r="N1014" s="17">
        <v>50</v>
      </c>
      <c r="O1014" s="18">
        <v>38.18</v>
      </c>
      <c r="P1014" s="18">
        <v>31.3</v>
      </c>
      <c r="Q1014" s="18">
        <v>32.450000000000003</v>
      </c>
      <c r="R1014" s="18">
        <v>26.6</v>
      </c>
      <c r="S1014" s="18">
        <v>25.96</v>
      </c>
      <c r="T1014" s="18">
        <v>21.28</v>
      </c>
      <c r="U1014" s="16"/>
      <c r="V1014" s="16"/>
      <c r="W1014" s="16" t="s">
        <v>40</v>
      </c>
      <c r="X1014" s="19">
        <v>1.4E-2</v>
      </c>
      <c r="Y1014" s="20">
        <v>1.2999999999999999E-4</v>
      </c>
      <c r="Z1014" s="21">
        <v>4601004153875</v>
      </c>
    </row>
    <row r="1015" spans="1:26" ht="12" customHeight="1" outlineLevel="4" x14ac:dyDescent="0.2">
      <c r="A1015" s="14" t="s">
        <v>2012</v>
      </c>
      <c r="B1015" s="26" t="s">
        <v>2013</v>
      </c>
      <c r="C1015" s="52"/>
      <c r="D1015" s="55">
        <f t="shared" si="15"/>
        <v>0</v>
      </c>
      <c r="E1015" s="63" t="str">
        <f>HYPERLINK("https://www.sds-group.ru/product/truba-avtomobilnaya-gofrirovannaya-ppng-9-8mm-razreznaya-negoryuchaya-buhta-50-m-up-rexant-16-1058/", "Инфо")</f>
        <v>Инфо</v>
      </c>
      <c r="F1015" s="16" t="s">
        <v>1767</v>
      </c>
      <c r="G1015" s="15"/>
      <c r="H1015" s="15"/>
      <c r="I1015" s="15"/>
      <c r="J1015" s="22">
        <v>22050</v>
      </c>
      <c r="K1015" s="15"/>
      <c r="L1015" s="17">
        <v>50</v>
      </c>
      <c r="M1015" s="17">
        <v>50</v>
      </c>
      <c r="N1015" s="17">
        <v>50</v>
      </c>
      <c r="O1015" s="18">
        <v>48.35</v>
      </c>
      <c r="P1015" s="18">
        <v>39.630000000000003</v>
      </c>
      <c r="Q1015" s="18">
        <v>41.1</v>
      </c>
      <c r="R1015" s="18">
        <v>33.69</v>
      </c>
      <c r="S1015" s="18">
        <v>32.880000000000003</v>
      </c>
      <c r="T1015" s="18">
        <v>26.95</v>
      </c>
      <c r="U1015" s="16"/>
      <c r="V1015" s="16"/>
      <c r="W1015" s="16" t="s">
        <v>40</v>
      </c>
      <c r="X1015" s="19">
        <v>1.7999999999999999E-2</v>
      </c>
      <c r="Y1015" s="20">
        <v>4.4000000000000002E-4</v>
      </c>
      <c r="Z1015" s="21">
        <v>4601004153929</v>
      </c>
    </row>
    <row r="1016" spans="1:26" ht="12.95" customHeight="1" outlineLevel="3" x14ac:dyDescent="0.2">
      <c r="A1016" s="76" t="s">
        <v>2014</v>
      </c>
      <c r="B1016" s="76"/>
      <c r="C1016" s="77"/>
      <c r="D1016" s="58"/>
      <c r="E1016" s="68"/>
      <c r="F1016" s="13"/>
      <c r="G1016" s="13"/>
      <c r="H1016" s="13"/>
      <c r="I1016" s="13"/>
      <c r="J1016" s="13"/>
      <c r="K1016" s="13"/>
      <c r="L1016" s="13"/>
      <c r="M1016" s="13"/>
      <c r="N1016" s="13"/>
      <c r="O1016" s="13"/>
      <c r="P1016" s="13"/>
      <c r="Q1016" s="13"/>
      <c r="R1016" s="13"/>
      <c r="S1016" s="13"/>
      <c r="T1016" s="13"/>
      <c r="U1016" s="13"/>
      <c r="V1016" s="13"/>
      <c r="W1016" s="13"/>
      <c r="X1016" s="13"/>
      <c r="Y1016" s="13"/>
      <c r="Z1016" s="13"/>
    </row>
    <row r="1017" spans="1:26" ht="12" customHeight="1" outlineLevel="4" x14ac:dyDescent="0.2">
      <c r="A1017" s="14" t="s">
        <v>2015</v>
      </c>
      <c r="B1017" s="26" t="s">
        <v>2016</v>
      </c>
      <c r="C1017" s="52"/>
      <c r="D1017" s="55">
        <f t="shared" si="15"/>
        <v>0</v>
      </c>
      <c r="E1017" s="63" t="str">
        <f>HYPERLINK("https://www.sds-group.ru/product/truba-avtomobilnaya-gofrirovannaya-pp-12-7mm-razreznaya-buhta-10-m-up-rexant-15-1310/", "Инфо")</f>
        <v>Инфо</v>
      </c>
      <c r="F1017" s="16" t="s">
        <v>1887</v>
      </c>
      <c r="G1017" s="15"/>
      <c r="H1017" s="15"/>
      <c r="I1017" s="15"/>
      <c r="J1017" s="17">
        <v>816</v>
      </c>
      <c r="K1017" s="15"/>
      <c r="L1017" s="17">
        <v>1</v>
      </c>
      <c r="M1017" s="17">
        <v>10</v>
      </c>
      <c r="N1017" s="17">
        <v>1</v>
      </c>
      <c r="O1017" s="18">
        <v>713.68</v>
      </c>
      <c r="P1017" s="18">
        <v>584.98</v>
      </c>
      <c r="Q1017" s="18">
        <v>570.94000000000005</v>
      </c>
      <c r="R1017" s="18">
        <v>467.98</v>
      </c>
      <c r="S1017" s="18">
        <v>485.3</v>
      </c>
      <c r="T1017" s="18">
        <v>397.79</v>
      </c>
      <c r="U1017" s="16"/>
      <c r="V1017" s="16"/>
      <c r="W1017" s="16" t="s">
        <v>40</v>
      </c>
      <c r="X1017" s="19">
        <v>0.32300000000000001</v>
      </c>
      <c r="Y1017" s="20">
        <v>7.4619999999999999E-3</v>
      </c>
      <c r="Z1017" s="21">
        <v>4601004031265</v>
      </c>
    </row>
    <row r="1018" spans="1:26" ht="12" customHeight="1" outlineLevel="4" x14ac:dyDescent="0.2">
      <c r="A1018" s="14" t="s">
        <v>2017</v>
      </c>
      <c r="B1018" s="26" t="s">
        <v>2018</v>
      </c>
      <c r="C1018" s="52"/>
      <c r="D1018" s="55">
        <f t="shared" si="15"/>
        <v>0</v>
      </c>
      <c r="E1018" s="63" t="str">
        <f>HYPERLINK("https://www.sds-group.ru/product/truba-avtomobilnaya-gofrirovannaya-pp-12-7mm-razreznaya-buhta-5-m-up-rexant-15-1305/", "Инфо")</f>
        <v>Инфо</v>
      </c>
      <c r="F1018" s="16" t="s">
        <v>1887</v>
      </c>
      <c r="G1018" s="15"/>
      <c r="H1018" s="15"/>
      <c r="I1018" s="15"/>
      <c r="J1018" s="17">
        <v>910</v>
      </c>
      <c r="K1018" s="15"/>
      <c r="L1018" s="17">
        <v>5</v>
      </c>
      <c r="M1018" s="17">
        <v>5</v>
      </c>
      <c r="N1018" s="17">
        <v>5</v>
      </c>
      <c r="O1018" s="18">
        <v>327.38</v>
      </c>
      <c r="P1018" s="18">
        <v>268.33999999999997</v>
      </c>
      <c r="Q1018" s="18">
        <v>278.27</v>
      </c>
      <c r="R1018" s="18">
        <v>228.09</v>
      </c>
      <c r="S1018" s="18">
        <v>222.62</v>
      </c>
      <c r="T1018" s="18">
        <v>182.48</v>
      </c>
      <c r="U1018" s="16"/>
      <c r="V1018" s="16"/>
      <c r="W1018" s="16" t="s">
        <v>40</v>
      </c>
      <c r="X1018" s="19">
        <v>0.157</v>
      </c>
      <c r="Y1018" s="20">
        <v>3.6189999999999998E-3</v>
      </c>
      <c r="Z1018" s="21">
        <v>4601004031210</v>
      </c>
    </row>
    <row r="1019" spans="1:26" ht="12" customHeight="1" outlineLevel="4" x14ac:dyDescent="0.2">
      <c r="A1019" s="14" t="s">
        <v>2019</v>
      </c>
      <c r="B1019" s="26" t="s">
        <v>2020</v>
      </c>
      <c r="C1019" s="52"/>
      <c r="D1019" s="55">
        <f t="shared" si="15"/>
        <v>0</v>
      </c>
      <c r="E1019" s="63" t="str">
        <f>HYPERLINK("https://www.sds-group.ru/product/truba-avtomobilnaya-gofrirovannaya-pp-4-7mm-razreznaya-buhta-10-m-up-rexant-15-0510/", "Инфо")</f>
        <v>Инфо</v>
      </c>
      <c r="F1019" s="16" t="s">
        <v>1887</v>
      </c>
      <c r="G1019" s="15"/>
      <c r="H1019" s="15"/>
      <c r="I1019" s="15"/>
      <c r="J1019" s="22">
        <v>1380</v>
      </c>
      <c r="K1019" s="15"/>
      <c r="L1019" s="17">
        <v>5</v>
      </c>
      <c r="M1019" s="17">
        <v>10</v>
      </c>
      <c r="N1019" s="17">
        <v>5</v>
      </c>
      <c r="O1019" s="18">
        <v>382.1</v>
      </c>
      <c r="P1019" s="18">
        <v>313.2</v>
      </c>
      <c r="Q1019" s="18">
        <v>324.79000000000002</v>
      </c>
      <c r="R1019" s="18">
        <v>266.22000000000003</v>
      </c>
      <c r="S1019" s="18">
        <v>259.83</v>
      </c>
      <c r="T1019" s="18">
        <v>212.98</v>
      </c>
      <c r="U1019" s="16"/>
      <c r="V1019" s="16"/>
      <c r="W1019" s="16" t="s">
        <v>40</v>
      </c>
      <c r="X1019" s="19">
        <v>0.114</v>
      </c>
      <c r="Y1019" s="20">
        <v>1.4040000000000001E-3</v>
      </c>
      <c r="Z1019" s="21">
        <v>4601004031234</v>
      </c>
    </row>
    <row r="1020" spans="1:26" ht="12" customHeight="1" outlineLevel="4" x14ac:dyDescent="0.2">
      <c r="A1020" s="14" t="s">
        <v>2021</v>
      </c>
      <c r="B1020" s="26" t="s">
        <v>2022</v>
      </c>
      <c r="C1020" s="52"/>
      <c r="D1020" s="55">
        <f t="shared" si="15"/>
        <v>0</v>
      </c>
      <c r="E1020" s="63" t="str">
        <f>HYPERLINK("https://www.sds-group.ru/product/truba-avtomobilnaya-gofrirovannaya-pp-4-7mm-razreznaya-buhta-5-m-up-rexant-15-0505/", "Инфо")</f>
        <v>Инфо</v>
      </c>
      <c r="F1020" s="16" t="s">
        <v>1887</v>
      </c>
      <c r="G1020" s="15"/>
      <c r="H1020" s="15"/>
      <c r="I1020" s="15"/>
      <c r="J1020" s="22">
        <v>1872</v>
      </c>
      <c r="K1020" s="15"/>
      <c r="L1020" s="17">
        <v>5</v>
      </c>
      <c r="M1020" s="17">
        <v>5</v>
      </c>
      <c r="N1020" s="17">
        <v>5</v>
      </c>
      <c r="O1020" s="18">
        <v>259</v>
      </c>
      <c r="P1020" s="18">
        <v>212.3</v>
      </c>
      <c r="Q1020" s="18">
        <v>220.15</v>
      </c>
      <c r="R1020" s="18">
        <v>180.45</v>
      </c>
      <c r="S1020" s="18">
        <v>176.12</v>
      </c>
      <c r="T1020" s="18">
        <v>144.36000000000001</v>
      </c>
      <c r="U1020" s="16"/>
      <c r="V1020" s="16"/>
      <c r="W1020" s="16" t="s">
        <v>40</v>
      </c>
      <c r="X1020" s="19">
        <v>6.0999999999999999E-2</v>
      </c>
      <c r="Y1020" s="20">
        <v>9.6500000000000004E-4</v>
      </c>
      <c r="Z1020" s="21">
        <v>4601004031272</v>
      </c>
    </row>
    <row r="1021" spans="1:26" ht="12" customHeight="1" outlineLevel="4" x14ac:dyDescent="0.2">
      <c r="A1021" s="14" t="s">
        <v>2023</v>
      </c>
      <c r="B1021" s="26" t="s">
        <v>2024</v>
      </c>
      <c r="C1021" s="52"/>
      <c r="D1021" s="55">
        <f t="shared" si="15"/>
        <v>0</v>
      </c>
      <c r="E1021" s="63" t="str">
        <f>HYPERLINK("https://www.sds-group.ru/product/truba-avtomobilnaya-gofrirovannaya-pp-6-8mm-razreznaya-buhta-10-m-up-rexant-15-0710/", "Инфо")</f>
        <v>Инфо</v>
      </c>
      <c r="F1021" s="16" t="s">
        <v>1887</v>
      </c>
      <c r="G1021" s="15"/>
      <c r="H1021" s="15"/>
      <c r="I1021" s="15"/>
      <c r="J1021" s="22">
        <v>1588</v>
      </c>
      <c r="K1021" s="15"/>
      <c r="L1021" s="17">
        <v>5</v>
      </c>
      <c r="M1021" s="17">
        <v>10</v>
      </c>
      <c r="N1021" s="17">
        <v>5</v>
      </c>
      <c r="O1021" s="18">
        <v>453.22</v>
      </c>
      <c r="P1021" s="18">
        <v>371.49</v>
      </c>
      <c r="Q1021" s="18">
        <v>362.58</v>
      </c>
      <c r="R1021" s="18">
        <v>297.2</v>
      </c>
      <c r="S1021" s="18">
        <v>308.19</v>
      </c>
      <c r="T1021" s="18">
        <v>252.61</v>
      </c>
      <c r="U1021" s="16"/>
      <c r="V1021" s="16"/>
      <c r="W1021" s="16" t="s">
        <v>40</v>
      </c>
      <c r="X1021" s="19">
        <v>0.11600000000000001</v>
      </c>
      <c r="Y1021" s="20">
        <v>1.9949999999999998E-3</v>
      </c>
      <c r="Z1021" s="21">
        <v>4601004031241</v>
      </c>
    </row>
    <row r="1022" spans="1:26" ht="12" customHeight="1" outlineLevel="4" x14ac:dyDescent="0.2">
      <c r="A1022" s="14" t="s">
        <v>2025</v>
      </c>
      <c r="B1022" s="26" t="s">
        <v>2026</v>
      </c>
      <c r="C1022" s="52"/>
      <c r="D1022" s="55">
        <f t="shared" si="15"/>
        <v>0</v>
      </c>
      <c r="E1022" s="63" t="str">
        <f>HYPERLINK("https://www.sds-group.ru/product/truba-avtomobilnaya-gofrirovannaya-pp-6-8mm-razreznaya-buhta-5-m-up-rexant-15-0705/", "Инфо")</f>
        <v>Инфо</v>
      </c>
      <c r="F1022" s="16" t="s">
        <v>1887</v>
      </c>
      <c r="G1022" s="15"/>
      <c r="H1022" s="15"/>
      <c r="I1022" s="15"/>
      <c r="J1022" s="17">
        <v>857</v>
      </c>
      <c r="K1022" s="15"/>
      <c r="L1022" s="17">
        <v>5</v>
      </c>
      <c r="M1022" s="17">
        <v>5</v>
      </c>
      <c r="N1022" s="17">
        <v>5</v>
      </c>
      <c r="O1022" s="18">
        <v>256.24</v>
      </c>
      <c r="P1022" s="18">
        <v>210.03</v>
      </c>
      <c r="Q1022" s="18">
        <v>217.8</v>
      </c>
      <c r="R1022" s="18">
        <v>178.52</v>
      </c>
      <c r="S1022" s="18">
        <v>174.24</v>
      </c>
      <c r="T1022" s="18">
        <v>142.82</v>
      </c>
      <c r="U1022" s="16"/>
      <c r="V1022" s="16"/>
      <c r="W1022" s="16" t="s">
        <v>40</v>
      </c>
      <c r="X1022" s="19">
        <v>7.3999999999999996E-2</v>
      </c>
      <c r="Y1022" s="20">
        <v>1.4189999999999999E-3</v>
      </c>
      <c r="Z1022" s="21">
        <v>4601004031203</v>
      </c>
    </row>
    <row r="1023" spans="1:26" ht="12" customHeight="1" outlineLevel="4" x14ac:dyDescent="0.2">
      <c r="A1023" s="14" t="s">
        <v>2027</v>
      </c>
      <c r="B1023" s="26" t="s">
        <v>2028</v>
      </c>
      <c r="C1023" s="52"/>
      <c r="D1023" s="55">
        <f t="shared" si="15"/>
        <v>0</v>
      </c>
      <c r="E1023" s="63" t="str">
        <f>HYPERLINK("https://www.sds-group.ru/product/truba-avtomobilnaya-gofrirovannaya-pp-9-8mm-razreznaya-buhta-10-m-up-rexant-15-1010/", "Инфо")</f>
        <v>Инфо</v>
      </c>
      <c r="F1023" s="16" t="s">
        <v>1887</v>
      </c>
      <c r="G1023" s="15"/>
      <c r="H1023" s="15"/>
      <c r="I1023" s="15"/>
      <c r="J1023" s="17">
        <v>550</v>
      </c>
      <c r="K1023" s="15"/>
      <c r="L1023" s="17">
        <v>5</v>
      </c>
      <c r="M1023" s="17">
        <v>10</v>
      </c>
      <c r="N1023" s="17">
        <v>5</v>
      </c>
      <c r="O1023" s="18">
        <v>478.3</v>
      </c>
      <c r="P1023" s="18">
        <v>392.05</v>
      </c>
      <c r="Q1023" s="18">
        <v>382.64</v>
      </c>
      <c r="R1023" s="18">
        <v>313.64</v>
      </c>
      <c r="S1023" s="18">
        <v>325.24</v>
      </c>
      <c r="T1023" s="18">
        <v>266.58999999999997</v>
      </c>
      <c r="U1023" s="16"/>
      <c r="V1023" s="16"/>
      <c r="W1023" s="16" t="s">
        <v>40</v>
      </c>
      <c r="X1023" s="19">
        <v>0.18099999999999999</v>
      </c>
      <c r="Y1023" s="20">
        <v>4.836E-3</v>
      </c>
      <c r="Z1023" s="21">
        <v>4601004031258</v>
      </c>
    </row>
    <row r="1024" spans="1:26" ht="12" customHeight="1" outlineLevel="4" x14ac:dyDescent="0.2">
      <c r="A1024" s="14" t="s">
        <v>2029</v>
      </c>
      <c r="B1024" s="26" t="s">
        <v>2030</v>
      </c>
      <c r="C1024" s="52"/>
      <c r="D1024" s="55">
        <f t="shared" si="15"/>
        <v>0</v>
      </c>
      <c r="E1024" s="63" t="str">
        <f>HYPERLINK("https://www.sds-group.ru/product/truba-avtomobilnaya-gofrirovannaya-pp-9-8mm-razreznaya-buhta-5-m-up-rexant-15-1005/", "Инфо")</f>
        <v>Инфо</v>
      </c>
      <c r="F1024" s="16" t="s">
        <v>1887</v>
      </c>
      <c r="G1024" s="15"/>
      <c r="H1024" s="15"/>
      <c r="I1024" s="15"/>
      <c r="J1024" s="22">
        <v>1115</v>
      </c>
      <c r="K1024" s="15"/>
      <c r="L1024" s="17">
        <v>5</v>
      </c>
      <c r="M1024" s="17">
        <v>5</v>
      </c>
      <c r="N1024" s="17">
        <v>5</v>
      </c>
      <c r="O1024" s="18">
        <v>271.33</v>
      </c>
      <c r="P1024" s="18">
        <v>222.4</v>
      </c>
      <c r="Q1024" s="18">
        <v>230.63</v>
      </c>
      <c r="R1024" s="18">
        <v>189.04</v>
      </c>
      <c r="S1024" s="18">
        <v>184.5</v>
      </c>
      <c r="T1024" s="18">
        <v>151.22999999999999</v>
      </c>
      <c r="U1024" s="16"/>
      <c r="V1024" s="16"/>
      <c r="W1024" s="16" t="s">
        <v>40</v>
      </c>
      <c r="X1024" s="19">
        <v>0.104</v>
      </c>
      <c r="Y1024" s="20">
        <v>1.9070000000000001E-3</v>
      </c>
      <c r="Z1024" s="21">
        <v>4601004031227</v>
      </c>
    </row>
    <row r="1025" spans="1:26" ht="12.95" customHeight="1" outlineLevel="2" x14ac:dyDescent="0.2">
      <c r="A1025" s="76" t="s">
        <v>2031</v>
      </c>
      <c r="B1025" s="76"/>
      <c r="C1025" s="77"/>
      <c r="D1025" s="58"/>
      <c r="E1025" s="68"/>
      <c r="F1025" s="13"/>
      <c r="G1025" s="13"/>
      <c r="H1025" s="13"/>
      <c r="I1025" s="13"/>
      <c r="J1025" s="13"/>
      <c r="K1025" s="13"/>
      <c r="L1025" s="13"/>
      <c r="M1025" s="13"/>
      <c r="N1025" s="13"/>
      <c r="O1025" s="13"/>
      <c r="P1025" s="13"/>
      <c r="Q1025" s="13"/>
      <c r="R1025" s="13"/>
      <c r="S1025" s="13"/>
      <c r="T1025" s="13"/>
      <c r="U1025" s="13"/>
      <c r="V1025" s="13"/>
      <c r="W1025" s="13"/>
      <c r="X1025" s="13"/>
      <c r="Y1025" s="13"/>
      <c r="Z1025" s="13"/>
    </row>
    <row r="1026" spans="1:26" ht="12.95" customHeight="1" outlineLevel="3" x14ac:dyDescent="0.2">
      <c r="A1026" s="76" t="s">
        <v>2032</v>
      </c>
      <c r="B1026" s="76"/>
      <c r="C1026" s="77"/>
      <c r="D1026" s="58"/>
      <c r="E1026" s="68"/>
      <c r="F1026" s="13"/>
      <c r="G1026" s="13"/>
      <c r="H1026" s="13"/>
      <c r="I1026" s="13"/>
      <c r="J1026" s="13"/>
      <c r="K1026" s="13"/>
      <c r="L1026" s="13"/>
      <c r="M1026" s="13"/>
      <c r="N1026" s="13"/>
      <c r="O1026" s="13"/>
      <c r="P1026" s="13"/>
      <c r="Q1026" s="13"/>
      <c r="R1026" s="13"/>
      <c r="S1026" s="13"/>
      <c r="T1026" s="13"/>
      <c r="U1026" s="13"/>
      <c r="V1026" s="13"/>
      <c r="W1026" s="13"/>
      <c r="X1026" s="13"/>
      <c r="Y1026" s="13"/>
      <c r="Z1026" s="13"/>
    </row>
    <row r="1027" spans="1:26" ht="12" customHeight="1" outlineLevel="4" x14ac:dyDescent="0.2">
      <c r="A1027" s="14" t="s">
        <v>2033</v>
      </c>
      <c r="B1027" s="26" t="s">
        <v>2034</v>
      </c>
      <c r="C1027" s="52"/>
      <c r="D1027" s="55">
        <f t="shared" si="15"/>
        <v>0</v>
      </c>
      <c r="E1027" s="63" t="str">
        <f>HYPERLINK("https://www.sds-group.ru/product/truba-gladkaya-zhestkaya-pvh-16-mm-3-metrovaya-seraya-rexant-28-0160-1/", "Инфо")</f>
        <v>Инфо</v>
      </c>
      <c r="F1027" s="16" t="s">
        <v>1767</v>
      </c>
      <c r="G1027" s="15"/>
      <c r="H1027" s="15"/>
      <c r="I1027" s="15"/>
      <c r="J1027" s="22">
        <v>3450</v>
      </c>
      <c r="K1027" s="15"/>
      <c r="L1027" s="17">
        <v>150</v>
      </c>
      <c r="M1027" s="17">
        <v>150</v>
      </c>
      <c r="N1027" s="17">
        <v>150</v>
      </c>
      <c r="O1027" s="18">
        <v>47.49</v>
      </c>
      <c r="P1027" s="18">
        <v>38.93</v>
      </c>
      <c r="Q1027" s="18">
        <v>40.369999999999997</v>
      </c>
      <c r="R1027" s="18">
        <v>33.090000000000003</v>
      </c>
      <c r="S1027" s="18">
        <v>32.29</v>
      </c>
      <c r="T1027" s="18">
        <v>26.47</v>
      </c>
      <c r="U1027" s="16"/>
      <c r="V1027" s="16"/>
      <c r="W1027" s="16" t="s">
        <v>40</v>
      </c>
      <c r="X1027" s="19">
        <v>0.107</v>
      </c>
      <c r="Y1027" s="20">
        <v>4.2000000000000002E-4</v>
      </c>
      <c r="Z1027" s="21">
        <v>4601004154773</v>
      </c>
    </row>
    <row r="1028" spans="1:26" ht="12" customHeight="1" outlineLevel="4" x14ac:dyDescent="0.2">
      <c r="A1028" s="14" t="s">
        <v>2035</v>
      </c>
      <c r="B1028" s="26" t="s">
        <v>2036</v>
      </c>
      <c r="C1028" s="52"/>
      <c r="D1028" s="55">
        <f t="shared" si="15"/>
        <v>0</v>
      </c>
      <c r="E1028" s="63" t="str">
        <f>HYPERLINK("https://www.sds-group.ru/product/truba-gladkaya-zhestkaya-pvh-20-mm-3-metrovaya-seraya-rexant-28-0200-1/", "Инфо")</f>
        <v>Инфо</v>
      </c>
      <c r="F1028" s="16" t="s">
        <v>1767</v>
      </c>
      <c r="G1028" s="15"/>
      <c r="H1028" s="15"/>
      <c r="I1028" s="15"/>
      <c r="J1028" s="22">
        <v>5250</v>
      </c>
      <c r="K1028" s="15"/>
      <c r="L1028" s="17">
        <v>150</v>
      </c>
      <c r="M1028" s="17">
        <v>150</v>
      </c>
      <c r="N1028" s="17">
        <v>150</v>
      </c>
      <c r="O1028" s="18">
        <v>61.63</v>
      </c>
      <c r="P1028" s="18">
        <v>50.52</v>
      </c>
      <c r="Q1028" s="18">
        <v>52.39</v>
      </c>
      <c r="R1028" s="18">
        <v>42.94</v>
      </c>
      <c r="S1028" s="18">
        <v>41.91</v>
      </c>
      <c r="T1028" s="18">
        <v>34.35</v>
      </c>
      <c r="U1028" s="16"/>
      <c r="V1028" s="16"/>
      <c r="W1028" s="16" t="s">
        <v>40</v>
      </c>
      <c r="X1028" s="19">
        <v>0.11700000000000001</v>
      </c>
      <c r="Y1028" s="20">
        <v>6.3000000000000003E-4</v>
      </c>
      <c r="Z1028" s="21">
        <v>4601004154780</v>
      </c>
    </row>
    <row r="1029" spans="1:26" ht="12" customHeight="1" outlineLevel="4" x14ac:dyDescent="0.2">
      <c r="A1029" s="14" t="s">
        <v>2037</v>
      </c>
      <c r="B1029" s="26" t="s">
        <v>2038</v>
      </c>
      <c r="C1029" s="52"/>
      <c r="D1029" s="55">
        <f t="shared" si="15"/>
        <v>0</v>
      </c>
      <c r="E1029" s="63" t="str">
        <f>HYPERLINK("https://www.sds-group.ru/product/truba-gladkaya-zhestkaya-pvh-25-mm-3-metrovaya-seraya-rexant-28-0250-1/", "Инфо")</f>
        <v>Инфо</v>
      </c>
      <c r="F1029" s="16" t="s">
        <v>1767</v>
      </c>
      <c r="G1029" s="15"/>
      <c r="H1029" s="15"/>
      <c r="I1029" s="15"/>
      <c r="J1029" s="22">
        <v>3600</v>
      </c>
      <c r="K1029" s="15"/>
      <c r="L1029" s="17">
        <v>120</v>
      </c>
      <c r="M1029" s="17">
        <v>120</v>
      </c>
      <c r="N1029" s="17">
        <v>120</v>
      </c>
      <c r="O1029" s="18">
        <v>80.489999999999995</v>
      </c>
      <c r="P1029" s="18">
        <v>65.98</v>
      </c>
      <c r="Q1029" s="18">
        <v>68.42</v>
      </c>
      <c r="R1029" s="18">
        <v>56.08</v>
      </c>
      <c r="S1029" s="18">
        <v>54.73</v>
      </c>
      <c r="T1029" s="18">
        <v>44.86</v>
      </c>
      <c r="U1029" s="16"/>
      <c r="V1029" s="16"/>
      <c r="W1029" s="16" t="s">
        <v>40</v>
      </c>
      <c r="X1029" s="19">
        <v>0.16300000000000001</v>
      </c>
      <c r="Y1029" s="20">
        <v>8.0000000000000004E-4</v>
      </c>
      <c r="Z1029" s="21">
        <v>4601004154797</v>
      </c>
    </row>
    <row r="1030" spans="1:26" ht="12" customHeight="1" outlineLevel="4" x14ac:dyDescent="0.2">
      <c r="A1030" s="14" t="s">
        <v>2039</v>
      </c>
      <c r="B1030" s="26" t="s">
        <v>2040</v>
      </c>
      <c r="C1030" s="52"/>
      <c r="D1030" s="55">
        <f t="shared" si="15"/>
        <v>0</v>
      </c>
      <c r="E1030" s="63" t="str">
        <f>HYPERLINK("https://www.sds-group.ru/product/truba-gladkaya-zhestkaya-pvh-32-mm-3-metrovaya-seraya-rexant-28-3200-1/", "Инфо")</f>
        <v>Инфо</v>
      </c>
      <c r="F1030" s="16" t="s">
        <v>1767</v>
      </c>
      <c r="G1030" s="15"/>
      <c r="H1030" s="15"/>
      <c r="I1030" s="15"/>
      <c r="J1030" s="22">
        <v>2520</v>
      </c>
      <c r="K1030" s="15" t="s">
        <v>1408</v>
      </c>
      <c r="L1030" s="17">
        <v>90</v>
      </c>
      <c r="M1030" s="17">
        <v>90</v>
      </c>
      <c r="N1030" s="17">
        <v>90</v>
      </c>
      <c r="O1030" s="18">
        <v>123.52</v>
      </c>
      <c r="P1030" s="18">
        <v>101.25</v>
      </c>
      <c r="Q1030" s="18">
        <v>104.99</v>
      </c>
      <c r="R1030" s="18">
        <v>86.06</v>
      </c>
      <c r="S1030" s="18">
        <v>83.99</v>
      </c>
      <c r="T1030" s="18">
        <v>68.84</v>
      </c>
      <c r="U1030" s="16"/>
      <c r="V1030" s="16"/>
      <c r="W1030" s="16" t="s">
        <v>40</v>
      </c>
      <c r="X1030" s="19">
        <v>0.18</v>
      </c>
      <c r="Y1030" s="20">
        <v>1.32E-3</v>
      </c>
      <c r="Z1030" s="21">
        <v>4601004154803</v>
      </c>
    </row>
    <row r="1031" spans="1:26" ht="12" customHeight="1" outlineLevel="4" x14ac:dyDescent="0.2">
      <c r="A1031" s="14" t="s">
        <v>2041</v>
      </c>
      <c r="B1031" s="26" t="s">
        <v>2042</v>
      </c>
      <c r="C1031" s="52"/>
      <c r="D1031" s="55">
        <f t="shared" si="15"/>
        <v>0</v>
      </c>
      <c r="E1031" s="63" t="str">
        <f>HYPERLINK("https://www.sds-group.ru/product/truba-gladkaya-zhestkaya-pvh-40-mm-3-metrovaya-seraya-rexant-28-0040-1/", "Инфо")</f>
        <v>Инфо</v>
      </c>
      <c r="F1031" s="16" t="s">
        <v>1767</v>
      </c>
      <c r="G1031" s="15"/>
      <c r="H1031" s="15"/>
      <c r="I1031" s="15"/>
      <c r="J1031" s="22">
        <v>2400</v>
      </c>
      <c r="K1031" s="15"/>
      <c r="L1031" s="17">
        <v>60</v>
      </c>
      <c r="M1031" s="17">
        <v>60</v>
      </c>
      <c r="N1031" s="17">
        <v>60</v>
      </c>
      <c r="O1031" s="18">
        <v>164.97</v>
      </c>
      <c r="P1031" s="18">
        <v>135.22</v>
      </c>
      <c r="Q1031" s="18">
        <v>140.22</v>
      </c>
      <c r="R1031" s="18">
        <v>114.93</v>
      </c>
      <c r="S1031" s="18">
        <v>112.18</v>
      </c>
      <c r="T1031" s="18">
        <v>91.95</v>
      </c>
      <c r="U1031" s="16"/>
      <c r="V1031" s="16"/>
      <c r="W1031" s="16" t="s">
        <v>40</v>
      </c>
      <c r="X1031" s="19">
        <v>0.29799999999999999</v>
      </c>
      <c r="Y1031" s="20">
        <v>1.1900000000000001E-3</v>
      </c>
      <c r="Z1031" s="21">
        <v>4601004154810</v>
      </c>
    </row>
    <row r="1032" spans="1:26" ht="12" customHeight="1" outlineLevel="4" x14ac:dyDescent="0.2">
      <c r="A1032" s="14" t="s">
        <v>2043</v>
      </c>
      <c r="B1032" s="26" t="s">
        <v>2044</v>
      </c>
      <c r="C1032" s="52"/>
      <c r="D1032" s="55">
        <f t="shared" si="15"/>
        <v>0</v>
      </c>
      <c r="E1032" s="63" t="str">
        <f>HYPERLINK("https://www.sds-group.ru/product/truba-gladkaya-zhestkaya-pvh-50-mm-3-metrovaya-seraya-rexant-28-0050-1/", "Инфо")</f>
        <v>Инфо</v>
      </c>
      <c r="F1032" s="16" t="s">
        <v>1767</v>
      </c>
      <c r="G1032" s="15"/>
      <c r="H1032" s="15"/>
      <c r="I1032" s="15"/>
      <c r="J1032" s="16" t="s">
        <v>100</v>
      </c>
      <c r="K1032" s="15"/>
      <c r="L1032" s="17">
        <v>30</v>
      </c>
      <c r="M1032" s="17">
        <v>30</v>
      </c>
      <c r="N1032" s="17">
        <v>30</v>
      </c>
      <c r="O1032" s="18">
        <v>232.33</v>
      </c>
      <c r="P1032" s="18">
        <v>190.43</v>
      </c>
      <c r="Q1032" s="18">
        <v>197.48</v>
      </c>
      <c r="R1032" s="18">
        <v>161.87</v>
      </c>
      <c r="S1032" s="18">
        <v>157.97999999999999</v>
      </c>
      <c r="T1032" s="18">
        <v>129.49</v>
      </c>
      <c r="U1032" s="16"/>
      <c r="V1032" s="16"/>
      <c r="W1032" s="16" t="s">
        <v>40</v>
      </c>
      <c r="X1032" s="19">
        <v>0.441</v>
      </c>
      <c r="Y1032" s="20">
        <v>3.2200000000000002E-3</v>
      </c>
      <c r="Z1032" s="21">
        <v>4601004154827</v>
      </c>
    </row>
    <row r="1033" spans="1:26" ht="12.95" customHeight="1" outlineLevel="2" x14ac:dyDescent="0.2">
      <c r="A1033" s="76" t="s">
        <v>2045</v>
      </c>
      <c r="B1033" s="76"/>
      <c r="C1033" s="77"/>
      <c r="D1033" s="58"/>
      <c r="E1033" s="68"/>
      <c r="F1033" s="13"/>
      <c r="G1033" s="13"/>
      <c r="H1033" s="13"/>
      <c r="I1033" s="13"/>
      <c r="J1033" s="13"/>
      <c r="K1033" s="13"/>
      <c r="L1033" s="13"/>
      <c r="M1033" s="13"/>
      <c r="N1033" s="13"/>
      <c r="O1033" s="13"/>
      <c r="P1033" s="13"/>
      <c r="Q1033" s="13"/>
      <c r="R1033" s="13"/>
      <c r="S1033" s="13"/>
      <c r="T1033" s="13"/>
      <c r="U1033" s="13"/>
      <c r="V1033" s="13"/>
      <c r="W1033" s="13"/>
      <c r="X1033" s="13"/>
      <c r="Y1033" s="13"/>
      <c r="Z1033" s="13"/>
    </row>
    <row r="1034" spans="1:26" ht="12.95" customHeight="1" outlineLevel="3" x14ac:dyDescent="0.2">
      <c r="A1034" s="76" t="s">
        <v>2046</v>
      </c>
      <c r="B1034" s="76"/>
      <c r="C1034" s="77"/>
      <c r="D1034" s="58"/>
      <c r="E1034" s="68"/>
      <c r="F1034" s="13"/>
      <c r="G1034" s="13"/>
      <c r="H1034" s="13"/>
      <c r="I1034" s="13"/>
      <c r="J1034" s="13"/>
      <c r="K1034" s="13"/>
      <c r="L1034" s="13"/>
      <c r="M1034" s="13"/>
      <c r="N1034" s="13"/>
      <c r="O1034" s="13"/>
      <c r="P1034" s="13"/>
      <c r="Q1034" s="13"/>
      <c r="R1034" s="13"/>
      <c r="S1034" s="13"/>
      <c r="T1034" s="13"/>
      <c r="U1034" s="13"/>
      <c r="V1034" s="13"/>
      <c r="W1034" s="13"/>
      <c r="X1034" s="13"/>
      <c r="Y1034" s="13"/>
      <c r="Z1034" s="13"/>
    </row>
    <row r="1035" spans="1:26" ht="12" customHeight="1" outlineLevel="4" x14ac:dyDescent="0.2">
      <c r="A1035" s="14" t="s">
        <v>2047</v>
      </c>
      <c r="B1035" s="26" t="s">
        <v>2048</v>
      </c>
      <c r="C1035" s="52"/>
      <c r="D1035" s="55">
        <f t="shared" ref="D1035:D1096" si="16">C1035*(O1035-O1035*$G$3)</f>
        <v>0</v>
      </c>
      <c r="E1035" s="63" t="str">
        <f>HYPERLINK("https://www.sds-group.ru/product/metallorukav-r3-tsh-8-rexant-28-1008-00/", "Инфо")</f>
        <v>Инфо</v>
      </c>
      <c r="F1035" s="16" t="s">
        <v>1767</v>
      </c>
      <c r="G1035" s="15"/>
      <c r="H1035" s="15"/>
      <c r="I1035" s="15" t="s">
        <v>2049</v>
      </c>
      <c r="J1035" s="16" t="s">
        <v>100</v>
      </c>
      <c r="K1035" s="15"/>
      <c r="L1035" s="17">
        <v>100</v>
      </c>
      <c r="M1035" s="17">
        <v>100</v>
      </c>
      <c r="N1035" s="17">
        <v>100</v>
      </c>
      <c r="O1035" s="18">
        <v>75.78</v>
      </c>
      <c r="P1035" s="18">
        <v>62.11</v>
      </c>
      <c r="Q1035" s="18">
        <v>64.41</v>
      </c>
      <c r="R1035" s="18">
        <v>52.8</v>
      </c>
      <c r="S1035" s="18">
        <v>51.53</v>
      </c>
      <c r="T1035" s="18">
        <v>42.24</v>
      </c>
      <c r="U1035" s="16"/>
      <c r="V1035" s="16"/>
      <c r="W1035" s="16" t="s">
        <v>40</v>
      </c>
      <c r="X1035" s="19">
        <v>7.1999999999999995E-2</v>
      </c>
      <c r="Y1035" s="20">
        <v>2.2100000000000001E-4</v>
      </c>
      <c r="Z1035" s="21">
        <v>4601004178151</v>
      </c>
    </row>
    <row r="1036" spans="1:26" ht="12" customHeight="1" outlineLevel="4" x14ac:dyDescent="0.2">
      <c r="A1036" s="14" t="s">
        <v>2050</v>
      </c>
      <c r="B1036" s="26" t="s">
        <v>2051</v>
      </c>
      <c r="C1036" s="52"/>
      <c r="D1036" s="55">
        <f t="shared" si="16"/>
        <v>0</v>
      </c>
      <c r="E1036" s="63" t="str">
        <f>HYPERLINK("https://www.sds-group.ru/product/metallorukav-r3-tsh-12-rexant-28-1012-50/", "Инфо")</f>
        <v>Инфо</v>
      </c>
      <c r="F1036" s="16" t="s">
        <v>1767</v>
      </c>
      <c r="G1036" s="15"/>
      <c r="H1036" s="15"/>
      <c r="I1036" s="15" t="s">
        <v>2052</v>
      </c>
      <c r="J1036" s="16" t="s">
        <v>100</v>
      </c>
      <c r="K1036" s="15"/>
      <c r="L1036" s="17">
        <v>50</v>
      </c>
      <c r="M1036" s="17">
        <v>50</v>
      </c>
      <c r="N1036" s="17">
        <v>50</v>
      </c>
      <c r="O1036" s="18">
        <v>78.87</v>
      </c>
      <c r="P1036" s="18">
        <v>64.650000000000006</v>
      </c>
      <c r="Q1036" s="18">
        <v>67.040000000000006</v>
      </c>
      <c r="R1036" s="18">
        <v>54.95</v>
      </c>
      <c r="S1036" s="18">
        <v>53.63</v>
      </c>
      <c r="T1036" s="18">
        <v>43.96</v>
      </c>
      <c r="U1036" s="16"/>
      <c r="V1036" s="16"/>
      <c r="W1036" s="16" t="s">
        <v>40</v>
      </c>
      <c r="X1036" s="19">
        <v>9.1999999999999998E-2</v>
      </c>
      <c r="Y1036" s="20">
        <v>4.4900000000000002E-4</v>
      </c>
      <c r="Z1036" s="21">
        <v>4601004178182</v>
      </c>
    </row>
    <row r="1037" spans="1:26" ht="12" customHeight="1" outlineLevel="4" x14ac:dyDescent="0.2">
      <c r="A1037" s="14" t="s">
        <v>2053</v>
      </c>
      <c r="B1037" s="26" t="s">
        <v>2054</v>
      </c>
      <c r="C1037" s="52"/>
      <c r="D1037" s="55">
        <f t="shared" si="16"/>
        <v>0</v>
      </c>
      <c r="E1037" s="63" t="str">
        <f>HYPERLINK("https://www.sds-group.ru/product/metallorukav-r3-tsh-18-rexant-28-1018-50/", "Инфо")</f>
        <v>Инфо</v>
      </c>
      <c r="F1037" s="16" t="s">
        <v>1767</v>
      </c>
      <c r="G1037" s="15"/>
      <c r="H1037" s="15"/>
      <c r="I1037" s="15" t="s">
        <v>2052</v>
      </c>
      <c r="J1037" s="16" t="s">
        <v>100</v>
      </c>
      <c r="K1037" s="15"/>
      <c r="L1037" s="17">
        <v>50</v>
      </c>
      <c r="M1037" s="17">
        <v>50</v>
      </c>
      <c r="N1037" s="17">
        <v>50</v>
      </c>
      <c r="O1037" s="18">
        <v>107.79</v>
      </c>
      <c r="P1037" s="18">
        <v>88.35</v>
      </c>
      <c r="Q1037" s="18">
        <v>91.62</v>
      </c>
      <c r="R1037" s="18">
        <v>75.099999999999994</v>
      </c>
      <c r="S1037" s="18">
        <v>73.3</v>
      </c>
      <c r="T1037" s="18">
        <v>60.08</v>
      </c>
      <c r="U1037" s="16"/>
      <c r="V1037" s="16"/>
      <c r="W1037" s="16" t="s">
        <v>40</v>
      </c>
      <c r="X1037" s="19">
        <v>0.13200000000000001</v>
      </c>
      <c r="Y1037" s="20">
        <v>7.9500000000000003E-4</v>
      </c>
      <c r="Z1037" s="21">
        <v>4601004178229</v>
      </c>
    </row>
    <row r="1038" spans="1:26" ht="12" customHeight="1" outlineLevel="4" x14ac:dyDescent="0.2">
      <c r="A1038" s="32" t="s">
        <v>2055</v>
      </c>
      <c r="B1038" s="74" t="s">
        <v>2056</v>
      </c>
      <c r="C1038" s="50"/>
      <c r="D1038" s="53">
        <f t="shared" si="16"/>
        <v>0</v>
      </c>
      <c r="E1038" s="60" t="str">
        <f>HYPERLINK("https://www.sds-group.ru/product/metallorukav-r3-tsh-32-rexant-28-1032-20/", "Инфо")</f>
        <v>Инфо</v>
      </c>
      <c r="F1038" s="34" t="s">
        <v>1767</v>
      </c>
      <c r="G1038" s="33"/>
      <c r="H1038" s="33" t="s">
        <v>40</v>
      </c>
      <c r="I1038" s="33" t="s">
        <v>2057</v>
      </c>
      <c r="J1038" s="35">
        <v>20</v>
      </c>
      <c r="K1038" s="33"/>
      <c r="L1038" s="35">
        <v>20</v>
      </c>
      <c r="M1038" s="35">
        <v>20</v>
      </c>
      <c r="N1038" s="35">
        <v>20</v>
      </c>
      <c r="O1038" s="36">
        <v>269.01</v>
      </c>
      <c r="P1038" s="36">
        <v>220.5</v>
      </c>
      <c r="Q1038" s="36">
        <v>228.66</v>
      </c>
      <c r="R1038" s="36">
        <v>187.43</v>
      </c>
      <c r="S1038" s="36">
        <v>182.93</v>
      </c>
      <c r="T1038" s="36">
        <v>149.94</v>
      </c>
      <c r="U1038" s="34"/>
      <c r="V1038" s="34"/>
      <c r="W1038" s="34" t="s">
        <v>40</v>
      </c>
      <c r="X1038" s="37">
        <v>0.34200000000000003</v>
      </c>
      <c r="Y1038" s="38">
        <v>1.768E-3</v>
      </c>
      <c r="Z1038" s="21">
        <v>4601004178304</v>
      </c>
    </row>
    <row r="1039" spans="1:26" ht="12" customHeight="1" outlineLevel="4" x14ac:dyDescent="0.2">
      <c r="A1039" s="14" t="s">
        <v>2058</v>
      </c>
      <c r="B1039" s="26" t="s">
        <v>2059</v>
      </c>
      <c r="C1039" s="52"/>
      <c r="D1039" s="55">
        <f t="shared" si="16"/>
        <v>0</v>
      </c>
      <c r="E1039" s="63" t="str">
        <f>HYPERLINK("https://www.sds-group.ru/product/metallorukav-r3-tsh-50-rexant-28-1050-20/", "Инфо")</f>
        <v>Инфо</v>
      </c>
      <c r="F1039" s="16" t="s">
        <v>1767</v>
      </c>
      <c r="G1039" s="15"/>
      <c r="H1039" s="15"/>
      <c r="I1039" s="15" t="s">
        <v>2057</v>
      </c>
      <c r="J1039" s="17">
        <v>40</v>
      </c>
      <c r="K1039" s="15"/>
      <c r="L1039" s="17">
        <v>20</v>
      </c>
      <c r="M1039" s="17">
        <v>20</v>
      </c>
      <c r="N1039" s="17">
        <v>20</v>
      </c>
      <c r="O1039" s="18">
        <v>380.76</v>
      </c>
      <c r="P1039" s="18">
        <v>312.10000000000002</v>
      </c>
      <c r="Q1039" s="18">
        <v>323.64999999999998</v>
      </c>
      <c r="R1039" s="18">
        <v>265.29000000000002</v>
      </c>
      <c r="S1039" s="18">
        <v>258.92</v>
      </c>
      <c r="T1039" s="18">
        <v>212.23</v>
      </c>
      <c r="U1039" s="16"/>
      <c r="V1039" s="16"/>
      <c r="W1039" s="16" t="s">
        <v>40</v>
      </c>
      <c r="X1039" s="19">
        <v>0.63</v>
      </c>
      <c r="Y1039" s="20">
        <v>4.6039999999999996E-3</v>
      </c>
      <c r="Z1039" s="21">
        <v>4601004178328</v>
      </c>
    </row>
    <row r="1040" spans="1:26" ht="12.95" customHeight="1" outlineLevel="3" x14ac:dyDescent="0.2">
      <c r="A1040" s="76" t="s">
        <v>2060</v>
      </c>
      <c r="B1040" s="76"/>
      <c r="C1040" s="77"/>
      <c r="D1040" s="58"/>
      <c r="E1040" s="68"/>
      <c r="F1040" s="13"/>
      <c r="G1040" s="13"/>
      <c r="H1040" s="13"/>
      <c r="I1040" s="13"/>
      <c r="J1040" s="13"/>
      <c r="K1040" s="13"/>
      <c r="L1040" s="13"/>
      <c r="M1040" s="13"/>
      <c r="N1040" s="13"/>
      <c r="O1040" s="13"/>
      <c r="P1040" s="13"/>
      <c r="Q1040" s="13"/>
      <c r="R1040" s="13"/>
      <c r="S1040" s="13"/>
      <c r="T1040" s="13"/>
      <c r="U1040" s="13"/>
      <c r="V1040" s="13"/>
      <c r="W1040" s="13"/>
      <c r="X1040" s="13"/>
      <c r="Y1040" s="13"/>
      <c r="Z1040" s="13"/>
    </row>
    <row r="1041" spans="1:26" ht="12" customHeight="1" outlineLevel="4" x14ac:dyDescent="0.2">
      <c r="A1041" s="14" t="s">
        <v>2061</v>
      </c>
      <c r="B1041" s="26" t="s">
        <v>2062</v>
      </c>
      <c r="C1041" s="52"/>
      <c r="D1041" s="55">
        <f t="shared" si="16"/>
        <v>0</v>
      </c>
      <c r="E1041" s="63" t="str">
        <f>HYPERLINK("https://www.sds-group.ru/product/metallorukav-v-pvh-izolyatsii-mrping-6-rz-ts-pvhng-chernyy-rexant-28-0006-00/", "Инфо")</f>
        <v>Инфо</v>
      </c>
      <c r="F1041" s="16" t="s">
        <v>1767</v>
      </c>
      <c r="G1041" s="15"/>
      <c r="H1041" s="15"/>
      <c r="I1041" s="15" t="s">
        <v>2049</v>
      </c>
      <c r="J1041" s="16" t="s">
        <v>100</v>
      </c>
      <c r="K1041" s="15"/>
      <c r="L1041" s="17">
        <v>100</v>
      </c>
      <c r="M1041" s="17">
        <v>100</v>
      </c>
      <c r="N1041" s="17">
        <v>100</v>
      </c>
      <c r="O1041" s="18">
        <v>58.2</v>
      </c>
      <c r="P1041" s="18">
        <v>47.7</v>
      </c>
      <c r="Q1041" s="18">
        <v>49.47</v>
      </c>
      <c r="R1041" s="18">
        <v>40.549999999999997</v>
      </c>
      <c r="S1041" s="18">
        <v>39.58</v>
      </c>
      <c r="T1041" s="18">
        <v>32.44</v>
      </c>
      <c r="U1041" s="16"/>
      <c r="V1041" s="16"/>
      <c r="W1041" s="16" t="s">
        <v>40</v>
      </c>
      <c r="X1041" s="19">
        <v>7.4999999999999997E-2</v>
      </c>
      <c r="Y1041" s="20">
        <v>2.2900000000000001E-4</v>
      </c>
      <c r="Z1041" s="21">
        <v>4601004178427</v>
      </c>
    </row>
    <row r="1042" spans="1:26" ht="12" customHeight="1" outlineLevel="4" x14ac:dyDescent="0.2">
      <c r="A1042" s="14" t="s">
        <v>2063</v>
      </c>
      <c r="B1042" s="26" t="s">
        <v>2064</v>
      </c>
      <c r="C1042" s="52"/>
      <c r="D1042" s="55">
        <f t="shared" si="16"/>
        <v>0</v>
      </c>
      <c r="E1042" s="63" t="str">
        <f>HYPERLINK("https://www.sds-group.ru/product/metallorukav-v-pvh-izolyatsii-mrping-8-rz-ts-pvhng-chernyy-rexant-28-0008-00/", "Инфо")</f>
        <v>Инфо</v>
      </c>
      <c r="F1042" s="16" t="s">
        <v>1767</v>
      </c>
      <c r="G1042" s="15"/>
      <c r="H1042" s="15"/>
      <c r="I1042" s="15" t="s">
        <v>2049</v>
      </c>
      <c r="J1042" s="16" t="s">
        <v>100</v>
      </c>
      <c r="K1042" s="15"/>
      <c r="L1042" s="17">
        <v>100</v>
      </c>
      <c r="M1042" s="17">
        <v>100</v>
      </c>
      <c r="N1042" s="17">
        <v>100</v>
      </c>
      <c r="O1042" s="18">
        <v>83.96</v>
      </c>
      <c r="P1042" s="18">
        <v>68.819999999999993</v>
      </c>
      <c r="Q1042" s="18">
        <v>71.37</v>
      </c>
      <c r="R1042" s="18">
        <v>58.5</v>
      </c>
      <c r="S1042" s="18">
        <v>57.09</v>
      </c>
      <c r="T1042" s="18">
        <v>46.8</v>
      </c>
      <c r="U1042" s="16"/>
      <c r="V1042" s="16"/>
      <c r="W1042" s="16" t="s">
        <v>40</v>
      </c>
      <c r="X1042" s="19">
        <v>7.5999999999999998E-2</v>
      </c>
      <c r="Y1042" s="20">
        <v>3.2400000000000001E-4</v>
      </c>
      <c r="Z1042" s="21">
        <v>4601004177970</v>
      </c>
    </row>
    <row r="1043" spans="1:26" ht="12" customHeight="1" outlineLevel="4" x14ac:dyDescent="0.2">
      <c r="A1043" s="14" t="s">
        <v>2065</v>
      </c>
      <c r="B1043" s="26" t="s">
        <v>2066</v>
      </c>
      <c r="C1043" s="52"/>
      <c r="D1043" s="55">
        <f t="shared" si="16"/>
        <v>0</v>
      </c>
      <c r="E1043" s="63" t="str">
        <f>HYPERLINK("https://www.sds-group.ru/product/metallorukav-v-pvh-izolyatsii-mrping-10-rz-ts-pvhng-chernyy-rexant-28-0010-50/", "Инфо")</f>
        <v>Инфо</v>
      </c>
      <c r="F1043" s="16" t="s">
        <v>1767</v>
      </c>
      <c r="G1043" s="15"/>
      <c r="H1043" s="15"/>
      <c r="I1043" s="15" t="s">
        <v>2052</v>
      </c>
      <c r="J1043" s="16" t="s">
        <v>100</v>
      </c>
      <c r="K1043" s="15"/>
      <c r="L1043" s="17">
        <v>50</v>
      </c>
      <c r="M1043" s="17">
        <v>50</v>
      </c>
      <c r="N1043" s="17">
        <v>50</v>
      </c>
      <c r="O1043" s="18">
        <v>84.14</v>
      </c>
      <c r="P1043" s="18">
        <v>68.97</v>
      </c>
      <c r="Q1043" s="18">
        <v>71.52</v>
      </c>
      <c r="R1043" s="18">
        <v>58.62</v>
      </c>
      <c r="S1043" s="18">
        <v>57.22</v>
      </c>
      <c r="T1043" s="18">
        <v>46.9</v>
      </c>
      <c r="U1043" s="16"/>
      <c r="V1043" s="16"/>
      <c r="W1043" s="16" t="s">
        <v>40</v>
      </c>
      <c r="X1043" s="19">
        <v>8.4000000000000005E-2</v>
      </c>
      <c r="Y1043" s="20">
        <v>6.3000000000000003E-4</v>
      </c>
      <c r="Z1043" s="21">
        <v>4601004177987</v>
      </c>
    </row>
    <row r="1044" spans="1:26" ht="12" customHeight="1" outlineLevel="4" x14ac:dyDescent="0.2">
      <c r="A1044" s="14" t="s">
        <v>2067</v>
      </c>
      <c r="B1044" s="26" t="s">
        <v>2068</v>
      </c>
      <c r="C1044" s="52"/>
      <c r="D1044" s="55">
        <f t="shared" si="16"/>
        <v>0</v>
      </c>
      <c r="E1044" s="63" t="str">
        <f>HYPERLINK("https://www.sds-group.ru/product/metallorukav-v-pvh-izolyatsii-mrping-12-rz-ts-pvhng-s-zondom-chernyy-rexant-28-0112-50/", "Инфо")</f>
        <v>Инфо</v>
      </c>
      <c r="F1044" s="16" t="s">
        <v>1767</v>
      </c>
      <c r="G1044" s="15"/>
      <c r="H1044" s="15"/>
      <c r="I1044" s="15"/>
      <c r="J1044" s="17">
        <v>500</v>
      </c>
      <c r="K1044" s="15"/>
      <c r="L1044" s="17">
        <v>50</v>
      </c>
      <c r="M1044" s="17">
        <v>50</v>
      </c>
      <c r="N1044" s="17">
        <v>50</v>
      </c>
      <c r="O1044" s="18">
        <v>110.79</v>
      </c>
      <c r="P1044" s="18">
        <v>90.81</v>
      </c>
      <c r="Q1044" s="18">
        <v>94.17</v>
      </c>
      <c r="R1044" s="18">
        <v>77.19</v>
      </c>
      <c r="S1044" s="18">
        <v>75.34</v>
      </c>
      <c r="T1044" s="18">
        <v>61.75</v>
      </c>
      <c r="U1044" s="16"/>
      <c r="V1044" s="16"/>
      <c r="W1044" s="16" t="s">
        <v>40</v>
      </c>
      <c r="X1044" s="19">
        <v>0.126</v>
      </c>
      <c r="Y1044" s="20">
        <v>6.2E-4</v>
      </c>
      <c r="Z1044" s="21">
        <v>4601004178335</v>
      </c>
    </row>
    <row r="1045" spans="1:26" ht="12" customHeight="1" outlineLevel="4" x14ac:dyDescent="0.2">
      <c r="A1045" s="14" t="s">
        <v>2069</v>
      </c>
      <c r="B1045" s="26" t="s">
        <v>2070</v>
      </c>
      <c r="C1045" s="52"/>
      <c r="D1045" s="55">
        <f t="shared" si="16"/>
        <v>0</v>
      </c>
      <c r="E1045" s="63" t="str">
        <f>HYPERLINK("https://www.sds-group.ru/product/metallorukav-v-pvh-izolyatsii-mrping-12-rz-ts-pvhng-chernyy-rexant-28-0012-50/", "Инфо")</f>
        <v>Инфо</v>
      </c>
      <c r="F1045" s="16" t="s">
        <v>1767</v>
      </c>
      <c r="G1045" s="15"/>
      <c r="H1045" s="15"/>
      <c r="I1045" s="15" t="s">
        <v>2052</v>
      </c>
      <c r="J1045" s="16" t="s">
        <v>100</v>
      </c>
      <c r="K1045" s="15"/>
      <c r="L1045" s="17">
        <v>50</v>
      </c>
      <c r="M1045" s="17">
        <v>50</v>
      </c>
      <c r="N1045" s="17">
        <v>50</v>
      </c>
      <c r="O1045" s="18">
        <v>92.66</v>
      </c>
      <c r="P1045" s="18">
        <v>75.95</v>
      </c>
      <c r="Q1045" s="18">
        <v>78.760000000000005</v>
      </c>
      <c r="R1045" s="18">
        <v>64.56</v>
      </c>
      <c r="S1045" s="18">
        <v>63.01</v>
      </c>
      <c r="T1045" s="18">
        <v>51.65</v>
      </c>
      <c r="U1045" s="16"/>
      <c r="V1045" s="16"/>
      <c r="W1045" s="16" t="s">
        <v>40</v>
      </c>
      <c r="X1045" s="19">
        <v>0.112</v>
      </c>
      <c r="Y1045" s="20">
        <v>4.5800000000000002E-4</v>
      </c>
      <c r="Z1045" s="21">
        <v>4601004178007</v>
      </c>
    </row>
    <row r="1046" spans="1:26" ht="12" customHeight="1" outlineLevel="4" x14ac:dyDescent="0.2">
      <c r="A1046" s="14" t="s">
        <v>2071</v>
      </c>
      <c r="B1046" s="26" t="s">
        <v>2072</v>
      </c>
      <c r="C1046" s="52"/>
      <c r="D1046" s="55">
        <f t="shared" si="16"/>
        <v>0</v>
      </c>
      <c r="E1046" s="63" t="str">
        <f>HYPERLINK("https://www.sds-group.ru/product/metallorukav-v-pvh-izolyatsii-mrping-15-rz-ts-pvhng-chernyy-rexant-28-0015-50/", "Инфо")</f>
        <v>Инфо</v>
      </c>
      <c r="F1046" s="16" t="s">
        <v>1767</v>
      </c>
      <c r="G1046" s="15"/>
      <c r="H1046" s="15"/>
      <c r="I1046" s="15"/>
      <c r="J1046" s="22">
        <v>2750</v>
      </c>
      <c r="K1046" s="15"/>
      <c r="L1046" s="17">
        <v>50</v>
      </c>
      <c r="M1046" s="17">
        <v>50</v>
      </c>
      <c r="N1046" s="17">
        <v>50</v>
      </c>
      <c r="O1046" s="18">
        <v>110.13</v>
      </c>
      <c r="P1046" s="18">
        <v>90.27</v>
      </c>
      <c r="Q1046" s="18">
        <v>93.61</v>
      </c>
      <c r="R1046" s="18">
        <v>76.73</v>
      </c>
      <c r="S1046" s="18">
        <v>74.89</v>
      </c>
      <c r="T1046" s="18">
        <v>61.39</v>
      </c>
      <c r="U1046" s="16"/>
      <c r="V1046" s="16"/>
      <c r="W1046" s="16" t="s">
        <v>40</v>
      </c>
      <c r="X1046" s="19">
        <v>0.123</v>
      </c>
      <c r="Y1046" s="20">
        <v>6.78E-4</v>
      </c>
      <c r="Z1046" s="21">
        <v>4601004178021</v>
      </c>
    </row>
    <row r="1047" spans="1:26" ht="12" customHeight="1" outlineLevel="4" x14ac:dyDescent="0.2">
      <c r="A1047" s="32" t="s">
        <v>2073</v>
      </c>
      <c r="B1047" s="74" t="s">
        <v>2074</v>
      </c>
      <c r="C1047" s="50"/>
      <c r="D1047" s="53">
        <f t="shared" si="16"/>
        <v>0</v>
      </c>
      <c r="E1047" s="60" t="str">
        <f>HYPERLINK("https://www.sds-group.ru/product/metallorukav-v-pvh-izolyatsii-mrping-18-rz-ts-pvhng-s-zondom-chernyy-rexant-28-0118-50/", "Инфо")</f>
        <v>Инфо</v>
      </c>
      <c r="F1047" s="34" t="s">
        <v>1767</v>
      </c>
      <c r="G1047" s="33"/>
      <c r="H1047" s="33" t="s">
        <v>40</v>
      </c>
      <c r="I1047" s="33"/>
      <c r="J1047" s="35">
        <v>350</v>
      </c>
      <c r="K1047" s="33"/>
      <c r="L1047" s="35">
        <v>50</v>
      </c>
      <c r="M1047" s="35">
        <v>50</v>
      </c>
      <c r="N1047" s="35">
        <v>50</v>
      </c>
      <c r="O1047" s="36">
        <v>165.24</v>
      </c>
      <c r="P1047" s="36">
        <v>135.44</v>
      </c>
      <c r="Q1047" s="36">
        <v>140.44999999999999</v>
      </c>
      <c r="R1047" s="36">
        <v>115.12</v>
      </c>
      <c r="S1047" s="36">
        <v>112.36</v>
      </c>
      <c r="T1047" s="36">
        <v>92.1</v>
      </c>
      <c r="U1047" s="34"/>
      <c r="V1047" s="34"/>
      <c r="W1047" s="34" t="s">
        <v>40</v>
      </c>
      <c r="X1047" s="37">
        <v>0.13900000000000001</v>
      </c>
      <c r="Y1047" s="38">
        <v>5.9800000000000001E-4</v>
      </c>
      <c r="Z1047" s="21">
        <v>4601004178359</v>
      </c>
    </row>
    <row r="1048" spans="1:26" ht="12" customHeight="1" outlineLevel="4" x14ac:dyDescent="0.2">
      <c r="A1048" s="14" t="s">
        <v>2075</v>
      </c>
      <c r="B1048" s="26" t="s">
        <v>2076</v>
      </c>
      <c r="C1048" s="52"/>
      <c r="D1048" s="55">
        <f t="shared" si="16"/>
        <v>0</v>
      </c>
      <c r="E1048" s="63" t="str">
        <f>HYPERLINK("https://www.sds-group.ru/product/metallorukav-v-pvh-izolyatsii-mrping-18-rz-ts-pvhng-chernyy-rexant-28-0018-50/", "Инфо")</f>
        <v>Инфо</v>
      </c>
      <c r="F1048" s="16" t="s">
        <v>1767</v>
      </c>
      <c r="G1048" s="15"/>
      <c r="H1048" s="15"/>
      <c r="I1048" s="15" t="s">
        <v>2052</v>
      </c>
      <c r="J1048" s="16" t="s">
        <v>100</v>
      </c>
      <c r="K1048" s="15"/>
      <c r="L1048" s="17">
        <v>50</v>
      </c>
      <c r="M1048" s="17">
        <v>50</v>
      </c>
      <c r="N1048" s="17">
        <v>50</v>
      </c>
      <c r="O1048" s="18">
        <v>138.86000000000001</v>
      </c>
      <c r="P1048" s="18">
        <v>113.82</v>
      </c>
      <c r="Q1048" s="18">
        <v>118.03</v>
      </c>
      <c r="R1048" s="18">
        <v>96.75</v>
      </c>
      <c r="S1048" s="18">
        <v>94.42</v>
      </c>
      <c r="T1048" s="18">
        <v>77.39</v>
      </c>
      <c r="U1048" s="16"/>
      <c r="V1048" s="16"/>
      <c r="W1048" s="16" t="s">
        <v>40</v>
      </c>
      <c r="X1048" s="19">
        <v>0.15</v>
      </c>
      <c r="Y1048" s="20">
        <v>6.7900000000000002E-4</v>
      </c>
      <c r="Z1048" s="21">
        <v>4601004178045</v>
      </c>
    </row>
    <row r="1049" spans="1:26" ht="12" customHeight="1" outlineLevel="4" x14ac:dyDescent="0.2">
      <c r="A1049" s="14" t="s">
        <v>2077</v>
      </c>
      <c r="B1049" s="26" t="s">
        <v>2078</v>
      </c>
      <c r="C1049" s="52"/>
      <c r="D1049" s="55">
        <f t="shared" si="16"/>
        <v>0</v>
      </c>
      <c r="E1049" s="63" t="str">
        <f>HYPERLINK("https://www.sds-group.ru/product/metallorukav-v-pvh-izolyatsii-mrping-20-rz-ts-pvhng-s-zondom-chernyy-rexant-28-0120-50/", "Инфо")</f>
        <v>Инфо</v>
      </c>
      <c r="F1049" s="16" t="s">
        <v>1767</v>
      </c>
      <c r="G1049" s="15"/>
      <c r="H1049" s="15"/>
      <c r="I1049" s="15"/>
      <c r="J1049" s="22">
        <v>1000</v>
      </c>
      <c r="K1049" s="15"/>
      <c r="L1049" s="17">
        <v>50</v>
      </c>
      <c r="M1049" s="17">
        <v>50</v>
      </c>
      <c r="N1049" s="17">
        <v>50</v>
      </c>
      <c r="O1049" s="18">
        <v>189.6</v>
      </c>
      <c r="P1049" s="18">
        <v>155.41</v>
      </c>
      <c r="Q1049" s="18">
        <v>161.16</v>
      </c>
      <c r="R1049" s="18">
        <v>132.1</v>
      </c>
      <c r="S1049" s="18">
        <v>128.93</v>
      </c>
      <c r="T1049" s="18">
        <v>105.68</v>
      </c>
      <c r="U1049" s="16"/>
      <c r="V1049" s="16"/>
      <c r="W1049" s="16" t="s">
        <v>40</v>
      </c>
      <c r="X1049" s="19">
        <v>0.214</v>
      </c>
      <c r="Y1049" s="20">
        <v>1.191E-3</v>
      </c>
      <c r="Z1049" s="21">
        <v>4601004178366</v>
      </c>
    </row>
    <row r="1050" spans="1:26" ht="12" customHeight="1" outlineLevel="4" x14ac:dyDescent="0.2">
      <c r="A1050" s="14" t="s">
        <v>2079</v>
      </c>
      <c r="B1050" s="26" t="s">
        <v>2080</v>
      </c>
      <c r="C1050" s="52"/>
      <c r="D1050" s="55">
        <f t="shared" si="16"/>
        <v>0</v>
      </c>
      <c r="E1050" s="63" t="str">
        <f>HYPERLINK("https://www.sds-group.ru/product/metallorukav-v-pvh-izolyatsii-mrping-20-rz-ts-pvhng-chernyy-rexant-28-2020-50/", "Инфо")</f>
        <v>Инфо</v>
      </c>
      <c r="F1050" s="16" t="s">
        <v>1767</v>
      </c>
      <c r="G1050" s="15"/>
      <c r="H1050" s="15"/>
      <c r="I1050" s="15"/>
      <c r="J1050" s="16" t="s">
        <v>100</v>
      </c>
      <c r="K1050" s="15" t="s">
        <v>1381</v>
      </c>
      <c r="L1050" s="17">
        <v>50</v>
      </c>
      <c r="M1050" s="17">
        <v>50</v>
      </c>
      <c r="N1050" s="17">
        <v>50</v>
      </c>
      <c r="O1050" s="18">
        <v>175.92</v>
      </c>
      <c r="P1050" s="18">
        <v>144.19999999999999</v>
      </c>
      <c r="Q1050" s="18">
        <v>149.53</v>
      </c>
      <c r="R1050" s="18">
        <v>122.57</v>
      </c>
      <c r="S1050" s="18">
        <v>119.63</v>
      </c>
      <c r="T1050" s="18">
        <v>98.06</v>
      </c>
      <c r="U1050" s="16"/>
      <c r="V1050" s="16"/>
      <c r="W1050" s="16" t="s">
        <v>40</v>
      </c>
      <c r="X1050" s="19">
        <v>0.161</v>
      </c>
      <c r="Y1050" s="20">
        <v>6.5099999999999999E-4</v>
      </c>
      <c r="Z1050" s="21">
        <v>4601004179288</v>
      </c>
    </row>
    <row r="1051" spans="1:26" ht="12" customHeight="1" outlineLevel="4" x14ac:dyDescent="0.2">
      <c r="A1051" s="14" t="s">
        <v>2081</v>
      </c>
      <c r="B1051" s="26" t="s">
        <v>2082</v>
      </c>
      <c r="C1051" s="52"/>
      <c r="D1051" s="55">
        <f t="shared" si="16"/>
        <v>0</v>
      </c>
      <c r="E1051" s="63" t="str">
        <f>HYPERLINK("https://www.sds-group.ru/product/metallorukav-v-pvh-izolyatsii-mrping-22-rz-ts-pvhng-s-zondom-chernyy-rexant-28-0122-50/", "Инфо")</f>
        <v>Инфо</v>
      </c>
      <c r="F1051" s="16" t="s">
        <v>1767</v>
      </c>
      <c r="G1051" s="15"/>
      <c r="H1051" s="15"/>
      <c r="I1051" s="15" t="s">
        <v>2052</v>
      </c>
      <c r="J1051" s="16" t="s">
        <v>100</v>
      </c>
      <c r="K1051" s="15" t="s">
        <v>1381</v>
      </c>
      <c r="L1051" s="17">
        <v>50</v>
      </c>
      <c r="M1051" s="17">
        <v>50</v>
      </c>
      <c r="N1051" s="17">
        <v>50</v>
      </c>
      <c r="O1051" s="18">
        <v>168.32</v>
      </c>
      <c r="P1051" s="18">
        <v>137.97</v>
      </c>
      <c r="Q1051" s="18">
        <v>143.07</v>
      </c>
      <c r="R1051" s="18">
        <v>117.27</v>
      </c>
      <c r="S1051" s="18">
        <v>114.46</v>
      </c>
      <c r="T1051" s="18">
        <v>93.82</v>
      </c>
      <c r="U1051" s="16"/>
      <c r="V1051" s="16"/>
      <c r="W1051" s="16" t="s">
        <v>40</v>
      </c>
      <c r="X1051" s="19">
        <v>0.17</v>
      </c>
      <c r="Y1051" s="20">
        <v>9.2800000000000001E-4</v>
      </c>
      <c r="Z1051" s="21">
        <v>4601004178373</v>
      </c>
    </row>
    <row r="1052" spans="1:26" ht="12" customHeight="1" outlineLevel="4" x14ac:dyDescent="0.2">
      <c r="A1052" s="14" t="s">
        <v>2083</v>
      </c>
      <c r="B1052" s="26" t="s">
        <v>2084</v>
      </c>
      <c r="C1052" s="52"/>
      <c r="D1052" s="55">
        <f t="shared" si="16"/>
        <v>0</v>
      </c>
      <c r="E1052" s="63" t="str">
        <f>HYPERLINK("https://www.sds-group.ru/product/metallorukav-v-pvh-izolyatsii-mrping-22-rz-ts-pvhng-chernyy-rexant-28-0022-50/", "Инфо")</f>
        <v>Инфо</v>
      </c>
      <c r="F1052" s="16" t="s">
        <v>1767</v>
      </c>
      <c r="G1052" s="15"/>
      <c r="H1052" s="15"/>
      <c r="I1052" s="15" t="s">
        <v>2052</v>
      </c>
      <c r="J1052" s="16" t="s">
        <v>100</v>
      </c>
      <c r="K1052" s="15"/>
      <c r="L1052" s="17">
        <v>50</v>
      </c>
      <c r="M1052" s="17">
        <v>50</v>
      </c>
      <c r="N1052" s="17">
        <v>50</v>
      </c>
      <c r="O1052" s="18">
        <v>158.47999999999999</v>
      </c>
      <c r="P1052" s="18">
        <v>129.9</v>
      </c>
      <c r="Q1052" s="18">
        <v>134.71</v>
      </c>
      <c r="R1052" s="18">
        <v>110.42</v>
      </c>
      <c r="S1052" s="18">
        <v>107.77</v>
      </c>
      <c r="T1052" s="18">
        <v>88.34</v>
      </c>
      <c r="U1052" s="16"/>
      <c r="V1052" s="16"/>
      <c r="W1052" s="16" t="s">
        <v>40</v>
      </c>
      <c r="X1052" s="19">
        <v>0.182</v>
      </c>
      <c r="Y1052" s="20">
        <v>8.3600000000000005E-4</v>
      </c>
      <c r="Z1052" s="21">
        <v>4601004178083</v>
      </c>
    </row>
    <row r="1053" spans="1:26" ht="12" customHeight="1" outlineLevel="4" x14ac:dyDescent="0.2">
      <c r="A1053" s="14" t="s">
        <v>2085</v>
      </c>
      <c r="B1053" s="26" t="s">
        <v>2086</v>
      </c>
      <c r="C1053" s="52"/>
      <c r="D1053" s="55">
        <f t="shared" si="16"/>
        <v>0</v>
      </c>
      <c r="E1053" s="63" t="str">
        <f>HYPERLINK("https://www.sds-group.ru/product/metallorukav-v-pvh-izolyatsii-mrping-25-rz-ts-pvhng-s-zondom-chernyy-rexant-28-0125-50/", "Инфо")</f>
        <v>Инфо</v>
      </c>
      <c r="F1053" s="16" t="s">
        <v>1767</v>
      </c>
      <c r="G1053" s="15"/>
      <c r="H1053" s="15"/>
      <c r="I1053" s="15"/>
      <c r="J1053" s="22">
        <v>1100</v>
      </c>
      <c r="K1053" s="15"/>
      <c r="L1053" s="17">
        <v>50</v>
      </c>
      <c r="M1053" s="17">
        <v>50</v>
      </c>
      <c r="N1053" s="17">
        <v>50</v>
      </c>
      <c r="O1053" s="18">
        <v>292.92</v>
      </c>
      <c r="P1053" s="18">
        <v>240.1</v>
      </c>
      <c r="Q1053" s="18">
        <v>248.98</v>
      </c>
      <c r="R1053" s="18">
        <v>204.08</v>
      </c>
      <c r="S1053" s="18">
        <v>199.19</v>
      </c>
      <c r="T1053" s="18">
        <v>163.27000000000001</v>
      </c>
      <c r="U1053" s="16"/>
      <c r="V1053" s="16"/>
      <c r="W1053" s="16" t="s">
        <v>40</v>
      </c>
      <c r="X1053" s="19">
        <v>0.29099999999999998</v>
      </c>
      <c r="Y1053" s="20">
        <v>1.5510000000000001E-3</v>
      </c>
      <c r="Z1053" s="21">
        <v>4601004178380</v>
      </c>
    </row>
    <row r="1054" spans="1:26" ht="12" customHeight="1" outlineLevel="4" x14ac:dyDescent="0.2">
      <c r="A1054" s="14" t="s">
        <v>2087</v>
      </c>
      <c r="B1054" s="26" t="s">
        <v>2088</v>
      </c>
      <c r="C1054" s="52"/>
      <c r="D1054" s="55">
        <f t="shared" si="16"/>
        <v>0</v>
      </c>
      <c r="E1054" s="63" t="str">
        <f>HYPERLINK("https://www.sds-group.ru/product/metallorukav-v-pvh-izolyatsii-mrping-25-rz-ts-pvhng-chernyy-rexant-28-0025-50/", "Инфо")</f>
        <v>Инфо</v>
      </c>
      <c r="F1054" s="16" t="s">
        <v>1767</v>
      </c>
      <c r="G1054" s="15"/>
      <c r="H1054" s="15"/>
      <c r="I1054" s="15"/>
      <c r="J1054" s="17">
        <v>950</v>
      </c>
      <c r="K1054" s="15"/>
      <c r="L1054" s="17">
        <v>50</v>
      </c>
      <c r="M1054" s="17">
        <v>50</v>
      </c>
      <c r="N1054" s="17">
        <v>50</v>
      </c>
      <c r="O1054" s="18">
        <v>273.60000000000002</v>
      </c>
      <c r="P1054" s="18">
        <v>224.26</v>
      </c>
      <c r="Q1054" s="18">
        <v>232.56</v>
      </c>
      <c r="R1054" s="18">
        <v>190.62</v>
      </c>
      <c r="S1054" s="18">
        <v>186.05</v>
      </c>
      <c r="T1054" s="18">
        <v>152.5</v>
      </c>
      <c r="U1054" s="16"/>
      <c r="V1054" s="16"/>
      <c r="W1054" s="16" t="s">
        <v>40</v>
      </c>
      <c r="X1054" s="19">
        <v>0.23799999999999999</v>
      </c>
      <c r="Y1054" s="20">
        <v>1.2520000000000001E-3</v>
      </c>
      <c r="Z1054" s="21">
        <v>4601004178106</v>
      </c>
    </row>
    <row r="1055" spans="1:26" ht="12" customHeight="1" outlineLevel="4" x14ac:dyDescent="0.2">
      <c r="A1055" s="14" t="s">
        <v>2089</v>
      </c>
      <c r="B1055" s="26" t="s">
        <v>2090</v>
      </c>
      <c r="C1055" s="52"/>
      <c r="D1055" s="55">
        <f t="shared" si="16"/>
        <v>0</v>
      </c>
      <c r="E1055" s="63" t="str">
        <f>HYPERLINK("https://www.sds-group.ru/product/metallorukav-v-pvh-izolyatsii-mrping-32-rz-ts-pvhng-s-zondom-chernyy-rexant-28-0132-20/", "Инфо")</f>
        <v>Инфо</v>
      </c>
      <c r="F1055" s="16" t="s">
        <v>1767</v>
      </c>
      <c r="G1055" s="15"/>
      <c r="H1055" s="15"/>
      <c r="I1055" s="15"/>
      <c r="J1055" s="17">
        <v>280</v>
      </c>
      <c r="K1055" s="15"/>
      <c r="L1055" s="17">
        <v>20</v>
      </c>
      <c r="M1055" s="17">
        <v>20</v>
      </c>
      <c r="N1055" s="17">
        <v>20</v>
      </c>
      <c r="O1055" s="18">
        <v>344.52</v>
      </c>
      <c r="P1055" s="18">
        <v>282.39</v>
      </c>
      <c r="Q1055" s="18">
        <v>292.83999999999997</v>
      </c>
      <c r="R1055" s="18">
        <v>240.03</v>
      </c>
      <c r="S1055" s="18">
        <v>234.27</v>
      </c>
      <c r="T1055" s="18">
        <v>192.02</v>
      </c>
      <c r="U1055" s="16"/>
      <c r="V1055" s="16"/>
      <c r="W1055" s="16" t="s">
        <v>40</v>
      </c>
      <c r="X1055" s="19">
        <v>0.33400000000000002</v>
      </c>
      <c r="Y1055" s="20">
        <v>2.6540000000000001E-3</v>
      </c>
      <c r="Z1055" s="21">
        <v>4601004178397</v>
      </c>
    </row>
    <row r="1056" spans="1:26" ht="12" customHeight="1" outlineLevel="4" x14ac:dyDescent="0.2">
      <c r="A1056" s="14" t="s">
        <v>2091</v>
      </c>
      <c r="B1056" s="26" t="s">
        <v>2092</v>
      </c>
      <c r="C1056" s="52"/>
      <c r="D1056" s="55">
        <f t="shared" si="16"/>
        <v>0</v>
      </c>
      <c r="E1056" s="63" t="str">
        <f>HYPERLINK("https://www.sds-group.ru/product/metallorukav-v-pvh-izolyatsii-mrping-38-rz-ts-pvhng-s-zondom-chernyy-rexant-28-0138-20/", "Инфо")</f>
        <v>Инфо</v>
      </c>
      <c r="F1056" s="16" t="s">
        <v>1767</v>
      </c>
      <c r="G1056" s="15"/>
      <c r="H1056" s="15"/>
      <c r="I1056" s="15"/>
      <c r="J1056" s="17">
        <v>340</v>
      </c>
      <c r="K1056" s="15"/>
      <c r="L1056" s="17">
        <v>20</v>
      </c>
      <c r="M1056" s="17">
        <v>20</v>
      </c>
      <c r="N1056" s="17">
        <v>20</v>
      </c>
      <c r="O1056" s="18">
        <v>413.29</v>
      </c>
      <c r="P1056" s="18">
        <v>338.76</v>
      </c>
      <c r="Q1056" s="18">
        <v>351.3</v>
      </c>
      <c r="R1056" s="18">
        <v>287.95</v>
      </c>
      <c r="S1056" s="18">
        <v>281.04000000000002</v>
      </c>
      <c r="T1056" s="18">
        <v>230.36</v>
      </c>
      <c r="U1056" s="16"/>
      <c r="V1056" s="16"/>
      <c r="W1056" s="16" t="s">
        <v>40</v>
      </c>
      <c r="X1056" s="19">
        <v>0.45</v>
      </c>
      <c r="Y1056" s="20">
        <v>3.8019999999999998E-3</v>
      </c>
      <c r="Z1056" s="21">
        <v>4601004178403</v>
      </c>
    </row>
    <row r="1057" spans="1:26" ht="12" customHeight="1" outlineLevel="4" x14ac:dyDescent="0.2">
      <c r="A1057" s="14" t="s">
        <v>2093</v>
      </c>
      <c r="B1057" s="26" t="s">
        <v>2094</v>
      </c>
      <c r="C1057" s="52"/>
      <c r="D1057" s="55">
        <f t="shared" si="16"/>
        <v>0</v>
      </c>
      <c r="E1057" s="63" t="str">
        <f>HYPERLINK("https://www.sds-group.ru/product/metallorukav-v-pvh-izolyatsii-mrping-38-rz-ts-pvhng-chernyy-rexant-28-0038-20/", "Инфо")</f>
        <v>Инфо</v>
      </c>
      <c r="F1057" s="16" t="s">
        <v>1767</v>
      </c>
      <c r="G1057" s="15"/>
      <c r="H1057" s="15"/>
      <c r="I1057" s="15"/>
      <c r="J1057" s="17">
        <v>260</v>
      </c>
      <c r="K1057" s="15"/>
      <c r="L1057" s="17">
        <v>20</v>
      </c>
      <c r="M1057" s="17">
        <v>20</v>
      </c>
      <c r="N1057" s="17">
        <v>20</v>
      </c>
      <c r="O1057" s="18">
        <v>398.33</v>
      </c>
      <c r="P1057" s="18">
        <v>326.5</v>
      </c>
      <c r="Q1057" s="18">
        <v>338.58</v>
      </c>
      <c r="R1057" s="18">
        <v>277.52</v>
      </c>
      <c r="S1057" s="18">
        <v>270.86</v>
      </c>
      <c r="T1057" s="18">
        <v>222.02</v>
      </c>
      <c r="U1057" s="16"/>
      <c r="V1057" s="16"/>
      <c r="W1057" s="16" t="s">
        <v>40</v>
      </c>
      <c r="X1057" s="19">
        <v>0.40200000000000002</v>
      </c>
      <c r="Y1057" s="20">
        <v>3.6489999999999999E-3</v>
      </c>
      <c r="Z1057" s="21">
        <v>4601004178137</v>
      </c>
    </row>
    <row r="1058" spans="1:26" ht="12" customHeight="1" outlineLevel="4" x14ac:dyDescent="0.2">
      <c r="A1058" s="14" t="s">
        <v>2095</v>
      </c>
      <c r="B1058" s="26" t="s">
        <v>2096</v>
      </c>
      <c r="C1058" s="52"/>
      <c r="D1058" s="55">
        <f t="shared" si="16"/>
        <v>0</v>
      </c>
      <c r="E1058" s="63" t="str">
        <f>HYPERLINK("https://www.sds-group.ru/product/metallorukav-v-pvh-izolyatsii-mrping-50-rz-ts-pvhng-s-zondom-chernyy-rexant-28-0150-20/", "Инфо")</f>
        <v>Инфо</v>
      </c>
      <c r="F1058" s="16" t="s">
        <v>1767</v>
      </c>
      <c r="G1058" s="15"/>
      <c r="H1058" s="15"/>
      <c r="I1058" s="15"/>
      <c r="J1058" s="17">
        <v>300</v>
      </c>
      <c r="K1058" s="15"/>
      <c r="L1058" s="17">
        <v>20</v>
      </c>
      <c r="M1058" s="17">
        <v>20</v>
      </c>
      <c r="N1058" s="17">
        <v>20</v>
      </c>
      <c r="O1058" s="18">
        <v>655.21</v>
      </c>
      <c r="P1058" s="18">
        <v>537.05999999999995</v>
      </c>
      <c r="Q1058" s="18">
        <v>524.16999999999996</v>
      </c>
      <c r="R1058" s="18">
        <v>429.65</v>
      </c>
      <c r="S1058" s="18">
        <v>445.54</v>
      </c>
      <c r="T1058" s="18">
        <v>365.2</v>
      </c>
      <c r="U1058" s="16"/>
      <c r="V1058" s="16"/>
      <c r="W1058" s="16" t="s">
        <v>40</v>
      </c>
      <c r="X1058" s="19">
        <v>0.71399999999999997</v>
      </c>
      <c r="Y1058" s="20">
        <v>4.5640000000000003E-3</v>
      </c>
      <c r="Z1058" s="21">
        <v>4601004178410</v>
      </c>
    </row>
    <row r="1059" spans="1:26" ht="12" customHeight="1" outlineLevel="4" x14ac:dyDescent="0.2">
      <c r="A1059" s="14" t="s">
        <v>2097</v>
      </c>
      <c r="B1059" s="26" t="s">
        <v>2098</v>
      </c>
      <c r="C1059" s="52"/>
      <c r="D1059" s="55">
        <f t="shared" si="16"/>
        <v>0</v>
      </c>
      <c r="E1059" s="63" t="str">
        <f>HYPERLINK("https://www.sds-group.ru/product/metallorukav-v-pvh-izolyatsii-mrping-50-rz-ts-pvhng-chernyy-rexant-28-0050-20/", "Инфо")</f>
        <v>Инфо</v>
      </c>
      <c r="F1059" s="16" t="s">
        <v>1767</v>
      </c>
      <c r="G1059" s="15"/>
      <c r="H1059" s="15"/>
      <c r="I1059" s="15"/>
      <c r="J1059" s="17">
        <v>140</v>
      </c>
      <c r="K1059" s="15"/>
      <c r="L1059" s="17">
        <v>20</v>
      </c>
      <c r="M1059" s="17">
        <v>20</v>
      </c>
      <c r="N1059" s="17">
        <v>20</v>
      </c>
      <c r="O1059" s="18">
        <v>580.13</v>
      </c>
      <c r="P1059" s="18">
        <v>475.52</v>
      </c>
      <c r="Q1059" s="18">
        <v>464.1</v>
      </c>
      <c r="R1059" s="18">
        <v>380.41</v>
      </c>
      <c r="S1059" s="18">
        <v>394.49</v>
      </c>
      <c r="T1059" s="18">
        <v>323.35000000000002</v>
      </c>
      <c r="U1059" s="16"/>
      <c r="V1059" s="16"/>
      <c r="W1059" s="16" t="s">
        <v>40</v>
      </c>
      <c r="X1059" s="19">
        <v>0.6</v>
      </c>
      <c r="Y1059" s="20">
        <v>5.2769999999999996E-3</v>
      </c>
      <c r="Z1059" s="21">
        <v>4601004178144</v>
      </c>
    </row>
    <row r="1060" spans="1:26" ht="12.95" customHeight="1" outlineLevel="2" x14ac:dyDescent="0.2">
      <c r="A1060" s="76" t="s">
        <v>2099</v>
      </c>
      <c r="B1060" s="76"/>
      <c r="C1060" s="77"/>
      <c r="D1060" s="58"/>
      <c r="E1060" s="68"/>
      <c r="F1060" s="13"/>
      <c r="G1060" s="13"/>
      <c r="H1060" s="13"/>
      <c r="I1060" s="13"/>
      <c r="J1060" s="13"/>
      <c r="K1060" s="13"/>
      <c r="L1060" s="13"/>
      <c r="M1060" s="13"/>
      <c r="N1060" s="13"/>
      <c r="O1060" s="13"/>
      <c r="P1060" s="13"/>
      <c r="Q1060" s="13"/>
      <c r="R1060" s="13"/>
      <c r="S1060" s="13"/>
      <c r="T1060" s="13"/>
      <c r="U1060" s="13"/>
      <c r="V1060" s="13"/>
      <c r="W1060" s="13"/>
      <c r="X1060" s="13"/>
      <c r="Y1060" s="13"/>
      <c r="Z1060" s="13"/>
    </row>
    <row r="1061" spans="1:26" ht="12.95" customHeight="1" outlineLevel="3" x14ac:dyDescent="0.2">
      <c r="A1061" s="76" t="s">
        <v>2100</v>
      </c>
      <c r="B1061" s="76"/>
      <c r="C1061" s="77"/>
      <c r="D1061" s="58"/>
      <c r="E1061" s="68"/>
      <c r="F1061" s="13"/>
      <c r="G1061" s="13"/>
      <c r="H1061" s="13"/>
      <c r="I1061" s="13"/>
      <c r="J1061" s="13"/>
      <c r="K1061" s="13"/>
      <c r="L1061" s="13"/>
      <c r="M1061" s="13"/>
      <c r="N1061" s="13"/>
      <c r="O1061" s="13"/>
      <c r="P1061" s="13"/>
      <c r="Q1061" s="13"/>
      <c r="R1061" s="13"/>
      <c r="S1061" s="13"/>
      <c r="T1061" s="13"/>
      <c r="U1061" s="13"/>
      <c r="V1061" s="13"/>
      <c r="W1061" s="13"/>
      <c r="X1061" s="13"/>
      <c r="Y1061" s="13"/>
      <c r="Z1061" s="13"/>
    </row>
    <row r="1062" spans="1:26" ht="12" customHeight="1" outlineLevel="4" x14ac:dyDescent="0.2">
      <c r="A1062" s="14" t="s">
        <v>2101</v>
      </c>
      <c r="B1062" s="26" t="s">
        <v>2102</v>
      </c>
      <c r="C1062" s="52"/>
      <c r="D1062" s="55">
        <f t="shared" si="16"/>
        <v>0</v>
      </c>
      <c r="E1062" s="63" t="str">
        <f>HYPERLINK("https://www.sds-group.ru/product/krepezh-klipsa-dlya-truby-16mm-seraya-10-sht-up-rexant-28-0116-4/", "Инфо")</f>
        <v>Инфо</v>
      </c>
      <c r="F1062" s="16" t="s">
        <v>1001</v>
      </c>
      <c r="G1062" s="15"/>
      <c r="H1062" s="15"/>
      <c r="I1062" s="15"/>
      <c r="J1062" s="17">
        <v>612</v>
      </c>
      <c r="K1062" s="15"/>
      <c r="L1062" s="17">
        <v>10</v>
      </c>
      <c r="M1062" s="17">
        <v>25</v>
      </c>
      <c r="N1062" s="17">
        <v>10</v>
      </c>
      <c r="O1062" s="18">
        <v>57.13</v>
      </c>
      <c r="P1062" s="18">
        <v>46.83</v>
      </c>
      <c r="Q1062" s="18">
        <v>48.56</v>
      </c>
      <c r="R1062" s="18">
        <v>39.799999999999997</v>
      </c>
      <c r="S1062" s="18">
        <v>38.85</v>
      </c>
      <c r="T1062" s="18">
        <v>31.84</v>
      </c>
      <c r="U1062" s="16"/>
      <c r="V1062" s="16"/>
      <c r="W1062" s="16" t="s">
        <v>40</v>
      </c>
      <c r="X1062" s="19">
        <v>3.9E-2</v>
      </c>
      <c r="Y1062" s="20">
        <v>4.4299999999999998E-4</v>
      </c>
      <c r="Z1062" s="21">
        <v>4601004255227</v>
      </c>
    </row>
    <row r="1063" spans="1:26" ht="12" customHeight="1" outlineLevel="4" x14ac:dyDescent="0.2">
      <c r="A1063" s="32" t="s">
        <v>2103</v>
      </c>
      <c r="B1063" s="74" t="s">
        <v>2104</v>
      </c>
      <c r="C1063" s="50"/>
      <c r="D1063" s="53">
        <f t="shared" si="16"/>
        <v>0</v>
      </c>
      <c r="E1063" s="60" t="str">
        <f>HYPERLINK("https://www.sds-group.ru/product/krepezh-klipsa-dlya-truby-16mm-chernaya-10-sht-up-rexant-28-0116-5/", "Инфо")</f>
        <v>Инфо</v>
      </c>
      <c r="F1063" s="34" t="s">
        <v>1001</v>
      </c>
      <c r="G1063" s="33"/>
      <c r="H1063" s="33" t="s">
        <v>40</v>
      </c>
      <c r="I1063" s="33"/>
      <c r="J1063" s="35">
        <v>6</v>
      </c>
      <c r="K1063" s="33"/>
      <c r="L1063" s="35">
        <v>1</v>
      </c>
      <c r="M1063" s="35">
        <v>25</v>
      </c>
      <c r="N1063" s="35">
        <v>1</v>
      </c>
      <c r="O1063" s="36">
        <v>53.17</v>
      </c>
      <c r="P1063" s="36">
        <v>43.58</v>
      </c>
      <c r="Q1063" s="36">
        <v>37.22</v>
      </c>
      <c r="R1063" s="36">
        <v>30.51</v>
      </c>
      <c r="S1063" s="36">
        <v>36.159999999999997</v>
      </c>
      <c r="T1063" s="36">
        <v>29.64</v>
      </c>
      <c r="U1063" s="34"/>
      <c r="V1063" s="34"/>
      <c r="W1063" s="34"/>
      <c r="X1063" s="37">
        <v>4.2000000000000003E-2</v>
      </c>
      <c r="Y1063" s="38">
        <v>4.4000000000000002E-4</v>
      </c>
      <c r="Z1063" s="21">
        <v>4601004255173</v>
      </c>
    </row>
    <row r="1064" spans="1:26" ht="12" customHeight="1" outlineLevel="4" x14ac:dyDescent="0.2">
      <c r="A1064" s="14" t="s">
        <v>2105</v>
      </c>
      <c r="B1064" s="26" t="s">
        <v>2106</v>
      </c>
      <c r="C1064" s="52"/>
      <c r="D1064" s="55">
        <f t="shared" si="16"/>
        <v>0</v>
      </c>
      <c r="E1064" s="63" t="str">
        <f>HYPERLINK("https://www.sds-group.ru/product/krepezh-klipsa-dlya-trub-16mm-seraya-100-sht-up-rexant-28-0116-2/", "Инфо")</f>
        <v>Инфо</v>
      </c>
      <c r="F1064" s="16" t="s">
        <v>1001</v>
      </c>
      <c r="G1064" s="15"/>
      <c r="H1064" s="15"/>
      <c r="I1064" s="15"/>
      <c r="J1064" s="17">
        <v>172</v>
      </c>
      <c r="K1064" s="15"/>
      <c r="L1064" s="17">
        <v>5</v>
      </c>
      <c r="M1064" s="17">
        <v>20</v>
      </c>
      <c r="N1064" s="17">
        <v>5</v>
      </c>
      <c r="O1064" s="18">
        <v>327.87</v>
      </c>
      <c r="P1064" s="18">
        <v>268.75</v>
      </c>
      <c r="Q1064" s="18">
        <v>278.69</v>
      </c>
      <c r="R1064" s="18">
        <v>228.43</v>
      </c>
      <c r="S1064" s="18">
        <v>222.95</v>
      </c>
      <c r="T1064" s="18">
        <v>182.75</v>
      </c>
      <c r="U1064" s="16"/>
      <c r="V1064" s="16"/>
      <c r="W1064" s="16" t="s">
        <v>40</v>
      </c>
      <c r="X1064" s="19">
        <v>0.23</v>
      </c>
      <c r="Y1064" s="20">
        <v>1.312E-3</v>
      </c>
      <c r="Z1064" s="21">
        <v>4601004072305</v>
      </c>
    </row>
    <row r="1065" spans="1:26" ht="12" customHeight="1" outlineLevel="4" x14ac:dyDescent="0.2">
      <c r="A1065" s="14" t="s">
        <v>2107</v>
      </c>
      <c r="B1065" s="26" t="s">
        <v>2108</v>
      </c>
      <c r="C1065" s="52"/>
      <c r="D1065" s="55">
        <f t="shared" si="16"/>
        <v>0</v>
      </c>
      <c r="E1065" s="63" t="str">
        <f>HYPERLINK("https://www.sds-group.ru/product/krepezh-klipsa-dlya-truby-16mm-chernaya-100-sht-up-rexant-28-0116-3/", "Инфо")</f>
        <v>Инфо</v>
      </c>
      <c r="F1065" s="16" t="s">
        <v>1001</v>
      </c>
      <c r="G1065" s="15"/>
      <c r="H1065" s="15"/>
      <c r="I1065" s="15"/>
      <c r="J1065" s="22">
        <v>1274</v>
      </c>
      <c r="K1065" s="15"/>
      <c r="L1065" s="17">
        <v>5</v>
      </c>
      <c r="M1065" s="17">
        <v>20</v>
      </c>
      <c r="N1065" s="17">
        <v>5</v>
      </c>
      <c r="O1065" s="18">
        <v>361.48</v>
      </c>
      <c r="P1065" s="18">
        <v>296.3</v>
      </c>
      <c r="Q1065" s="18">
        <v>307.26</v>
      </c>
      <c r="R1065" s="18">
        <v>251.85</v>
      </c>
      <c r="S1065" s="18">
        <v>245.81</v>
      </c>
      <c r="T1065" s="18">
        <v>201.48</v>
      </c>
      <c r="U1065" s="16"/>
      <c r="V1065" s="16"/>
      <c r="W1065" s="16" t="s">
        <v>40</v>
      </c>
      <c r="X1065" s="19">
        <v>0.23</v>
      </c>
      <c r="Y1065" s="20">
        <v>1.3179999999999999E-3</v>
      </c>
      <c r="Z1065" s="21">
        <v>4601004154599</v>
      </c>
    </row>
    <row r="1066" spans="1:26" ht="12" customHeight="1" outlineLevel="4" x14ac:dyDescent="0.2">
      <c r="A1066" s="14" t="s">
        <v>2109</v>
      </c>
      <c r="B1066" s="26" t="s">
        <v>2110</v>
      </c>
      <c r="C1066" s="52"/>
      <c r="D1066" s="55">
        <f t="shared" si="16"/>
        <v>0</v>
      </c>
      <c r="E1066" s="63" t="str">
        <f>HYPERLINK("https://www.sds-group.ru/product/krepezh-klipsa-dlya-truby-20mm-seraya-10-sht-up-rexant-28-0120-4/", "Инфо")</f>
        <v>Инфо</v>
      </c>
      <c r="F1066" s="16" t="s">
        <v>1001</v>
      </c>
      <c r="G1066" s="15"/>
      <c r="H1066" s="15"/>
      <c r="I1066" s="15"/>
      <c r="J1066" s="16" t="s">
        <v>100</v>
      </c>
      <c r="K1066" s="15"/>
      <c r="L1066" s="17">
        <v>10</v>
      </c>
      <c r="M1066" s="17">
        <v>50</v>
      </c>
      <c r="N1066" s="17">
        <v>10</v>
      </c>
      <c r="O1066" s="18">
        <v>60.89</v>
      </c>
      <c r="P1066" s="18">
        <v>49.91</v>
      </c>
      <c r="Q1066" s="18">
        <v>51.76</v>
      </c>
      <c r="R1066" s="18">
        <v>42.43</v>
      </c>
      <c r="S1066" s="18">
        <v>41.41</v>
      </c>
      <c r="T1066" s="18">
        <v>33.94</v>
      </c>
      <c r="U1066" s="16"/>
      <c r="V1066" s="16"/>
      <c r="W1066" s="16" t="s">
        <v>40</v>
      </c>
      <c r="X1066" s="19">
        <v>3.1E-2</v>
      </c>
      <c r="Y1066" s="20">
        <v>3.1700000000000001E-4</v>
      </c>
      <c r="Z1066" s="21">
        <v>4601004255142</v>
      </c>
    </row>
    <row r="1067" spans="1:26" ht="12" customHeight="1" outlineLevel="4" x14ac:dyDescent="0.2">
      <c r="A1067" s="14" t="s">
        <v>2111</v>
      </c>
      <c r="B1067" s="26" t="s">
        <v>2112</v>
      </c>
      <c r="C1067" s="52"/>
      <c r="D1067" s="55">
        <f t="shared" si="16"/>
        <v>0</v>
      </c>
      <c r="E1067" s="63" t="str">
        <f>HYPERLINK("https://www.sds-group.ru/product/krepezh-klipsa-dlya-trub-20mm-belaya-100-sht-up-rexant-28-0120-6/", "Инфо")</f>
        <v>Инфо</v>
      </c>
      <c r="F1067" s="16" t="s">
        <v>1001</v>
      </c>
      <c r="G1067" s="15"/>
      <c r="H1067" s="15"/>
      <c r="I1067" s="15"/>
      <c r="J1067" s="17">
        <v>118</v>
      </c>
      <c r="K1067" s="15"/>
      <c r="L1067" s="17">
        <v>5</v>
      </c>
      <c r="M1067" s="17">
        <v>15</v>
      </c>
      <c r="N1067" s="17">
        <v>5</v>
      </c>
      <c r="O1067" s="18">
        <v>454.02</v>
      </c>
      <c r="P1067" s="18">
        <v>372.15</v>
      </c>
      <c r="Q1067" s="18">
        <v>385.92</v>
      </c>
      <c r="R1067" s="18">
        <v>316.33</v>
      </c>
      <c r="S1067" s="18">
        <v>308.73</v>
      </c>
      <c r="T1067" s="18">
        <v>253.06</v>
      </c>
      <c r="U1067" s="16"/>
      <c r="V1067" s="16"/>
      <c r="W1067" s="16" t="s">
        <v>40</v>
      </c>
      <c r="X1067" s="19">
        <v>0.249</v>
      </c>
      <c r="Y1067" s="20">
        <v>1.7849999999999999E-3</v>
      </c>
      <c r="Z1067" s="21">
        <v>4601004269217</v>
      </c>
    </row>
    <row r="1068" spans="1:26" ht="12" customHeight="1" outlineLevel="4" x14ac:dyDescent="0.2">
      <c r="A1068" s="14" t="s">
        <v>2113</v>
      </c>
      <c r="B1068" s="26" t="s">
        <v>2114</v>
      </c>
      <c r="C1068" s="52"/>
      <c r="D1068" s="55">
        <f t="shared" si="16"/>
        <v>0</v>
      </c>
      <c r="E1068" s="63" t="str">
        <f>HYPERLINK("https://www.sds-group.ru/product/krepezh-klipsa-dlya-trub-20mm-seraya-100-sht-up-rexant-28-0120-2/", "Инфо")</f>
        <v>Инфо</v>
      </c>
      <c r="F1068" s="16" t="s">
        <v>1001</v>
      </c>
      <c r="G1068" s="15"/>
      <c r="H1068" s="15"/>
      <c r="I1068" s="15"/>
      <c r="J1068" s="22">
        <v>1164</v>
      </c>
      <c r="K1068" s="15"/>
      <c r="L1068" s="17">
        <v>5</v>
      </c>
      <c r="M1068" s="17">
        <v>15</v>
      </c>
      <c r="N1068" s="17">
        <v>5</v>
      </c>
      <c r="O1068" s="18">
        <v>345.73</v>
      </c>
      <c r="P1068" s="18">
        <v>283.39</v>
      </c>
      <c r="Q1068" s="18">
        <v>293.87</v>
      </c>
      <c r="R1068" s="18">
        <v>240.88</v>
      </c>
      <c r="S1068" s="18">
        <v>235.1</v>
      </c>
      <c r="T1068" s="18">
        <v>192.7</v>
      </c>
      <c r="U1068" s="16"/>
      <c r="V1068" s="16"/>
      <c r="W1068" s="16" t="s">
        <v>40</v>
      </c>
      <c r="X1068" s="19">
        <v>0.25900000000000001</v>
      </c>
      <c r="Y1068" s="20">
        <v>1.732E-3</v>
      </c>
      <c r="Z1068" s="21">
        <v>4601004072312</v>
      </c>
    </row>
    <row r="1069" spans="1:26" ht="12" customHeight="1" outlineLevel="4" x14ac:dyDescent="0.2">
      <c r="A1069" s="14" t="s">
        <v>2115</v>
      </c>
      <c r="B1069" s="26" t="s">
        <v>2116</v>
      </c>
      <c r="C1069" s="52"/>
      <c r="D1069" s="55">
        <f t="shared" si="16"/>
        <v>0</v>
      </c>
      <c r="E1069" s="63" t="str">
        <f>HYPERLINK("https://www.sds-group.ru/product/krepezh-klipsa-dlya-truby-20mm-chernaya-100-sht-up-rexant-28-0120-3/", "Инфо")</f>
        <v>Инфо</v>
      </c>
      <c r="F1069" s="16" t="s">
        <v>1001</v>
      </c>
      <c r="G1069" s="15"/>
      <c r="H1069" s="15"/>
      <c r="I1069" s="15"/>
      <c r="J1069" s="17">
        <v>834</v>
      </c>
      <c r="K1069" s="15"/>
      <c r="L1069" s="17">
        <v>5</v>
      </c>
      <c r="M1069" s="17">
        <v>15</v>
      </c>
      <c r="N1069" s="17">
        <v>5</v>
      </c>
      <c r="O1069" s="18">
        <v>451.23</v>
      </c>
      <c r="P1069" s="18">
        <v>369.86</v>
      </c>
      <c r="Q1069" s="18">
        <v>383.55</v>
      </c>
      <c r="R1069" s="18">
        <v>314.39</v>
      </c>
      <c r="S1069" s="18">
        <v>306.83999999999997</v>
      </c>
      <c r="T1069" s="18">
        <v>251.51</v>
      </c>
      <c r="U1069" s="16"/>
      <c r="V1069" s="16"/>
      <c r="W1069" s="16" t="s">
        <v>40</v>
      </c>
      <c r="X1069" s="19">
        <v>0.23599999999999999</v>
      </c>
      <c r="Y1069" s="20">
        <v>1.699E-3</v>
      </c>
      <c r="Z1069" s="21">
        <v>4601004154605</v>
      </c>
    </row>
    <row r="1070" spans="1:26" ht="12" customHeight="1" outlineLevel="4" x14ac:dyDescent="0.2">
      <c r="A1070" s="32" t="s">
        <v>2117</v>
      </c>
      <c r="B1070" s="74" t="s">
        <v>2118</v>
      </c>
      <c r="C1070" s="50"/>
      <c r="D1070" s="53">
        <f t="shared" si="16"/>
        <v>0</v>
      </c>
      <c r="E1070" s="60" t="str">
        <f>HYPERLINK("https://www.sds-group.ru/product/krepezh-klipsa-dlya-truby-25mm-seraya-10-sht-up-rexant-28-0125-4/", "Инфо")</f>
        <v>Инфо</v>
      </c>
      <c r="F1070" s="34" t="s">
        <v>1001</v>
      </c>
      <c r="G1070" s="33"/>
      <c r="H1070" s="33" t="s">
        <v>40</v>
      </c>
      <c r="I1070" s="33"/>
      <c r="J1070" s="34" t="s">
        <v>100</v>
      </c>
      <c r="K1070" s="33"/>
      <c r="L1070" s="35">
        <v>1</v>
      </c>
      <c r="M1070" s="35">
        <v>25</v>
      </c>
      <c r="N1070" s="35">
        <v>1</v>
      </c>
      <c r="O1070" s="36">
        <v>60.66</v>
      </c>
      <c r="P1070" s="36">
        <v>49.72</v>
      </c>
      <c r="Q1070" s="36">
        <v>42.46</v>
      </c>
      <c r="R1070" s="36">
        <v>34.799999999999997</v>
      </c>
      <c r="S1070" s="36">
        <v>41.25</v>
      </c>
      <c r="T1070" s="36">
        <v>33.81</v>
      </c>
      <c r="U1070" s="34"/>
      <c r="V1070" s="34"/>
      <c r="W1070" s="34"/>
      <c r="X1070" s="37">
        <v>3.3000000000000002E-2</v>
      </c>
      <c r="Y1070" s="38">
        <v>4.37E-4</v>
      </c>
      <c r="Z1070" s="21">
        <v>4601004255159</v>
      </c>
    </row>
    <row r="1071" spans="1:26" ht="12" customHeight="1" outlineLevel="4" x14ac:dyDescent="0.2">
      <c r="A1071" s="14" t="s">
        <v>2119</v>
      </c>
      <c r="B1071" s="26" t="s">
        <v>2120</v>
      </c>
      <c r="C1071" s="52"/>
      <c r="D1071" s="55">
        <f t="shared" si="16"/>
        <v>0</v>
      </c>
      <c r="E1071" s="63" t="str">
        <f>HYPERLINK("https://www.sds-group.ru/product/krepezh-klipsa-dlya-trub-25mm-seraya-100-sht-up-rexant-28-0125-2/", "Инфо")</f>
        <v>Инфо</v>
      </c>
      <c r="F1071" s="16" t="s">
        <v>1001</v>
      </c>
      <c r="G1071" s="15"/>
      <c r="H1071" s="15"/>
      <c r="I1071" s="15"/>
      <c r="J1071" s="17">
        <v>237</v>
      </c>
      <c r="K1071" s="15"/>
      <c r="L1071" s="17">
        <v>5</v>
      </c>
      <c r="M1071" s="17">
        <v>13</v>
      </c>
      <c r="N1071" s="17">
        <v>5</v>
      </c>
      <c r="O1071" s="18">
        <v>423.47</v>
      </c>
      <c r="P1071" s="18">
        <v>347.11</v>
      </c>
      <c r="Q1071" s="18">
        <v>359.95</v>
      </c>
      <c r="R1071" s="18">
        <v>295.04000000000002</v>
      </c>
      <c r="S1071" s="18">
        <v>287.95999999999998</v>
      </c>
      <c r="T1071" s="18">
        <v>236.03</v>
      </c>
      <c r="U1071" s="16"/>
      <c r="V1071" s="16"/>
      <c r="W1071" s="16" t="s">
        <v>40</v>
      </c>
      <c r="X1071" s="19">
        <v>0.28299999999999997</v>
      </c>
      <c r="Y1071" s="20">
        <v>2.0300000000000001E-3</v>
      </c>
      <c r="Z1071" s="21">
        <v>4601004072145</v>
      </c>
    </row>
    <row r="1072" spans="1:26" ht="12" customHeight="1" outlineLevel="4" x14ac:dyDescent="0.2">
      <c r="A1072" s="14" t="s">
        <v>2121</v>
      </c>
      <c r="B1072" s="26" t="s">
        <v>2122</v>
      </c>
      <c r="C1072" s="52"/>
      <c r="D1072" s="55">
        <f t="shared" si="16"/>
        <v>0</v>
      </c>
      <c r="E1072" s="63" t="str">
        <f>HYPERLINK("https://www.sds-group.ru/product/krepezh-klipsa-dlya-truby-25mm-chernaya-100-sht-up-rexant-28-0125-3/", "Инфо")</f>
        <v>Инфо</v>
      </c>
      <c r="F1072" s="16" t="s">
        <v>1001</v>
      </c>
      <c r="G1072" s="15"/>
      <c r="H1072" s="15"/>
      <c r="I1072" s="15"/>
      <c r="J1072" s="17">
        <v>195</v>
      </c>
      <c r="K1072" s="15"/>
      <c r="L1072" s="17">
        <v>5</v>
      </c>
      <c r="M1072" s="17">
        <v>13</v>
      </c>
      <c r="N1072" s="17">
        <v>5</v>
      </c>
      <c r="O1072" s="18">
        <v>539.24</v>
      </c>
      <c r="P1072" s="18">
        <v>442</v>
      </c>
      <c r="Q1072" s="18">
        <v>458.35</v>
      </c>
      <c r="R1072" s="18">
        <v>375.7</v>
      </c>
      <c r="S1072" s="18">
        <v>366.68</v>
      </c>
      <c r="T1072" s="18">
        <v>300.56</v>
      </c>
      <c r="U1072" s="16"/>
      <c r="V1072" s="16"/>
      <c r="W1072" s="16" t="s">
        <v>40</v>
      </c>
      <c r="X1072" s="19">
        <v>0.28799999999999998</v>
      </c>
      <c r="Y1072" s="20">
        <v>2.0730000000000002E-3</v>
      </c>
      <c r="Z1072" s="21">
        <v>4601004154612</v>
      </c>
    </row>
    <row r="1073" spans="1:26" ht="12" customHeight="1" outlineLevel="4" x14ac:dyDescent="0.2">
      <c r="A1073" s="32" t="s">
        <v>2123</v>
      </c>
      <c r="B1073" s="74" t="s">
        <v>2124</v>
      </c>
      <c r="C1073" s="50"/>
      <c r="D1073" s="53">
        <f t="shared" si="16"/>
        <v>0</v>
      </c>
      <c r="E1073" s="60" t="str">
        <f>HYPERLINK("https://www.sds-group.ru/product/krepezh-klipsa-dlya-truby-32mm-seraya-10-sht-up-rexant-28-0132-4/", "Инфо")</f>
        <v>Инфо</v>
      </c>
      <c r="F1073" s="34" t="s">
        <v>1001</v>
      </c>
      <c r="G1073" s="33"/>
      <c r="H1073" s="33" t="s">
        <v>40</v>
      </c>
      <c r="I1073" s="33"/>
      <c r="J1073" s="34" t="s">
        <v>100</v>
      </c>
      <c r="K1073" s="33"/>
      <c r="L1073" s="35">
        <v>1</v>
      </c>
      <c r="M1073" s="35">
        <v>50</v>
      </c>
      <c r="N1073" s="35">
        <v>1</v>
      </c>
      <c r="O1073" s="36">
        <v>96.81</v>
      </c>
      <c r="P1073" s="36">
        <v>79.349999999999994</v>
      </c>
      <c r="Q1073" s="36">
        <v>67.77</v>
      </c>
      <c r="R1073" s="36">
        <v>55.55</v>
      </c>
      <c r="S1073" s="36">
        <v>65.83</v>
      </c>
      <c r="T1073" s="36">
        <v>53.96</v>
      </c>
      <c r="U1073" s="34"/>
      <c r="V1073" s="34"/>
      <c r="W1073" s="34"/>
      <c r="X1073" s="37">
        <v>6.2E-2</v>
      </c>
      <c r="Y1073" s="38">
        <v>4.5600000000000003E-4</v>
      </c>
      <c r="Z1073" s="21">
        <v>4601004255166</v>
      </c>
    </row>
    <row r="1074" spans="1:26" ht="12" customHeight="1" outlineLevel="4" x14ac:dyDescent="0.2">
      <c r="A1074" s="14" t="s">
        <v>2125</v>
      </c>
      <c r="B1074" s="26" t="s">
        <v>2126</v>
      </c>
      <c r="C1074" s="52"/>
      <c r="D1074" s="55">
        <f t="shared" si="16"/>
        <v>0</v>
      </c>
      <c r="E1074" s="63" t="str">
        <f>HYPERLINK("https://www.sds-group.ru/product/krepezh-klipsa-dlya-trub-32mm-seraya-100-sht-up-rexant-28-0132-2/", "Инфо")</f>
        <v>Инфо</v>
      </c>
      <c r="F1074" s="16" t="s">
        <v>1001</v>
      </c>
      <c r="G1074" s="15"/>
      <c r="H1074" s="15"/>
      <c r="I1074" s="15"/>
      <c r="J1074" s="17">
        <v>89</v>
      </c>
      <c r="K1074" s="15"/>
      <c r="L1074" s="17">
        <v>1</v>
      </c>
      <c r="M1074" s="17">
        <v>8</v>
      </c>
      <c r="N1074" s="17">
        <v>1</v>
      </c>
      <c r="O1074" s="18">
        <v>616</v>
      </c>
      <c r="P1074" s="18">
        <v>504.92</v>
      </c>
      <c r="Q1074" s="18">
        <v>492.8</v>
      </c>
      <c r="R1074" s="18">
        <v>403.93</v>
      </c>
      <c r="S1074" s="18">
        <v>418.88</v>
      </c>
      <c r="T1074" s="18">
        <v>343.34</v>
      </c>
      <c r="U1074" s="16"/>
      <c r="V1074" s="16"/>
      <c r="W1074" s="16" t="s">
        <v>40</v>
      </c>
      <c r="X1074" s="19">
        <v>0.55500000000000005</v>
      </c>
      <c r="Y1074" s="20">
        <v>3.9500000000000004E-3</v>
      </c>
      <c r="Z1074" s="21">
        <v>4601004299948</v>
      </c>
    </row>
    <row r="1075" spans="1:26" ht="12" customHeight="1" outlineLevel="4" x14ac:dyDescent="0.2">
      <c r="A1075" s="32" t="s">
        <v>2127</v>
      </c>
      <c r="B1075" s="74" t="s">
        <v>2128</v>
      </c>
      <c r="C1075" s="50"/>
      <c r="D1075" s="53">
        <f t="shared" si="16"/>
        <v>0</v>
      </c>
      <c r="E1075" s="60" t="str">
        <f>HYPERLINK("https://www.sds-group.ru/product/krepezh-klipsa-dlya-truby-32mm-chernaya-100-sht-up-rexant-28-0132-3/", "Инфо")</f>
        <v>Инфо</v>
      </c>
      <c r="F1075" s="34" t="s">
        <v>1001</v>
      </c>
      <c r="G1075" s="33"/>
      <c r="H1075" s="33" t="s">
        <v>40</v>
      </c>
      <c r="I1075" s="33"/>
      <c r="J1075" s="34" t="s">
        <v>100</v>
      </c>
      <c r="K1075" s="33"/>
      <c r="L1075" s="35">
        <v>1</v>
      </c>
      <c r="M1075" s="35">
        <v>8</v>
      </c>
      <c r="N1075" s="35">
        <v>1</v>
      </c>
      <c r="O1075" s="36">
        <v>578.08000000000004</v>
      </c>
      <c r="P1075" s="36">
        <v>473.84</v>
      </c>
      <c r="Q1075" s="36">
        <v>462.46</v>
      </c>
      <c r="R1075" s="36">
        <v>379.07</v>
      </c>
      <c r="S1075" s="36">
        <v>393.09</v>
      </c>
      <c r="T1075" s="36">
        <v>322.2</v>
      </c>
      <c r="U1075" s="34"/>
      <c r="V1075" s="34"/>
      <c r="W1075" s="34" t="s">
        <v>40</v>
      </c>
      <c r="X1075" s="37">
        <v>0.54400000000000004</v>
      </c>
      <c r="Y1075" s="38">
        <v>4.0260000000000001E-3</v>
      </c>
      <c r="Z1075" s="21">
        <v>4601004154629</v>
      </c>
    </row>
    <row r="1076" spans="1:26" ht="12" customHeight="1" outlineLevel="4" x14ac:dyDescent="0.2">
      <c r="A1076" s="32" t="s">
        <v>2129</v>
      </c>
      <c r="B1076" s="74" t="s">
        <v>2130</v>
      </c>
      <c r="C1076" s="50"/>
      <c r="D1076" s="53">
        <f t="shared" si="16"/>
        <v>0</v>
      </c>
      <c r="E1076" s="60" t="str">
        <f>HYPERLINK("https://www.sds-group.ru/product/krepezh-klipsa-dlya-truby-40mm-seraya-5-sht-up-rexant-28-0140-4/", "Инфо")</f>
        <v>Инфо</v>
      </c>
      <c r="F1076" s="34" t="s">
        <v>1001</v>
      </c>
      <c r="G1076" s="33"/>
      <c r="H1076" s="33" t="s">
        <v>40</v>
      </c>
      <c r="I1076" s="33"/>
      <c r="J1076" s="35">
        <v>111</v>
      </c>
      <c r="K1076" s="33"/>
      <c r="L1076" s="35">
        <v>1</v>
      </c>
      <c r="M1076" s="35">
        <v>25</v>
      </c>
      <c r="N1076" s="35">
        <v>1</v>
      </c>
      <c r="O1076" s="36">
        <v>56.85</v>
      </c>
      <c r="P1076" s="36">
        <v>46.6</v>
      </c>
      <c r="Q1076" s="36">
        <v>39.799999999999997</v>
      </c>
      <c r="R1076" s="36">
        <v>32.619999999999997</v>
      </c>
      <c r="S1076" s="36">
        <v>38.659999999999997</v>
      </c>
      <c r="T1076" s="36">
        <v>31.69</v>
      </c>
      <c r="U1076" s="34"/>
      <c r="V1076" s="34"/>
      <c r="W1076" s="34"/>
      <c r="X1076" s="37">
        <v>3.5999999999999997E-2</v>
      </c>
      <c r="Y1076" s="38">
        <v>5.4299999999999997E-4</v>
      </c>
      <c r="Z1076" s="21">
        <v>4601004255210</v>
      </c>
    </row>
    <row r="1077" spans="1:26" ht="12" customHeight="1" outlineLevel="4" x14ac:dyDescent="0.2">
      <c r="A1077" s="32" t="s">
        <v>2131</v>
      </c>
      <c r="B1077" s="74" t="s">
        <v>2132</v>
      </c>
      <c r="C1077" s="50"/>
      <c r="D1077" s="53">
        <f t="shared" si="16"/>
        <v>0</v>
      </c>
      <c r="E1077" s="60" t="str">
        <f>HYPERLINK("https://www.sds-group.ru/product/krepezh-klipsa-dlya-truby-40mm-seraya-30-sht-up-rexant-28-0140-2/", "Инфо")</f>
        <v>Инфо</v>
      </c>
      <c r="F1077" s="34" t="s">
        <v>1001</v>
      </c>
      <c r="G1077" s="33"/>
      <c r="H1077" s="33" t="s">
        <v>40</v>
      </c>
      <c r="I1077" s="33"/>
      <c r="J1077" s="35">
        <v>8</v>
      </c>
      <c r="K1077" s="33"/>
      <c r="L1077" s="35">
        <v>1</v>
      </c>
      <c r="M1077" s="35">
        <v>14</v>
      </c>
      <c r="N1077" s="35">
        <v>1</v>
      </c>
      <c r="O1077" s="36">
        <v>356.13</v>
      </c>
      <c r="P1077" s="36">
        <v>291.91000000000003</v>
      </c>
      <c r="Q1077" s="36">
        <v>249.29</v>
      </c>
      <c r="R1077" s="36">
        <v>204.34</v>
      </c>
      <c r="S1077" s="36">
        <v>242.17</v>
      </c>
      <c r="T1077" s="36">
        <v>198.5</v>
      </c>
      <c r="U1077" s="34"/>
      <c r="V1077" s="34"/>
      <c r="W1077" s="34"/>
      <c r="X1077" s="37">
        <v>0.19700000000000001</v>
      </c>
      <c r="Y1077" s="38">
        <v>1.879E-3</v>
      </c>
      <c r="Z1077" s="21">
        <v>4601004154841</v>
      </c>
    </row>
    <row r="1078" spans="1:26" ht="12" customHeight="1" outlineLevel="4" x14ac:dyDescent="0.2">
      <c r="A1078" s="32" t="s">
        <v>2133</v>
      </c>
      <c r="B1078" s="74" t="s">
        <v>2134</v>
      </c>
      <c r="C1078" s="50"/>
      <c r="D1078" s="53">
        <f t="shared" si="16"/>
        <v>0</v>
      </c>
      <c r="E1078" s="60" t="str">
        <f>HYPERLINK("https://www.sds-group.ru/product/mufta-soedinitelnaya-dlya-truby-25mm-seraya-ip44-50-sht-up-rexant-28-0318-1/", "Инфо")</f>
        <v>Инфо</v>
      </c>
      <c r="F1078" s="34" t="s">
        <v>1001</v>
      </c>
      <c r="G1078" s="33"/>
      <c r="H1078" s="33" t="s">
        <v>40</v>
      </c>
      <c r="I1078" s="33" t="s">
        <v>2135</v>
      </c>
      <c r="J1078" s="34" t="s">
        <v>100</v>
      </c>
      <c r="K1078" s="33"/>
      <c r="L1078" s="35">
        <v>1</v>
      </c>
      <c r="M1078" s="35">
        <v>14</v>
      </c>
      <c r="N1078" s="35">
        <v>1</v>
      </c>
      <c r="O1078" s="36">
        <v>408.93</v>
      </c>
      <c r="P1078" s="36">
        <v>335.19</v>
      </c>
      <c r="Q1078" s="36">
        <v>286.25</v>
      </c>
      <c r="R1078" s="36">
        <v>234.63</v>
      </c>
      <c r="S1078" s="36">
        <v>278.07</v>
      </c>
      <c r="T1078" s="36">
        <v>227.93</v>
      </c>
      <c r="U1078" s="34"/>
      <c r="V1078" s="34"/>
      <c r="W1078" s="34"/>
      <c r="X1078" s="37">
        <v>0.41799999999999998</v>
      </c>
      <c r="Y1078" s="38">
        <v>3.2460000000000002E-3</v>
      </c>
      <c r="Z1078" s="21">
        <v>4601004154650</v>
      </c>
    </row>
    <row r="1079" spans="1:26" ht="12" customHeight="1" outlineLevel="4" x14ac:dyDescent="0.2">
      <c r="A1079" s="14" t="s">
        <v>2136</v>
      </c>
      <c r="B1079" s="26" t="s">
        <v>2137</v>
      </c>
      <c r="C1079" s="52"/>
      <c r="D1079" s="55">
        <f t="shared" si="16"/>
        <v>0</v>
      </c>
      <c r="E1079" s="63" t="str">
        <f>HYPERLINK("https://www.sds-group.ru/product/mufta-soedinitelnaya-dlya-truby-32mm-seraya-ip44-25-sht-up-rexant-28-0319-1/", "Инфо")</f>
        <v>Инфо</v>
      </c>
      <c r="F1079" s="16" t="s">
        <v>1001</v>
      </c>
      <c r="G1079" s="15"/>
      <c r="H1079" s="15"/>
      <c r="I1079" s="24">
        <v>-30</v>
      </c>
      <c r="J1079" s="16" t="s">
        <v>100</v>
      </c>
      <c r="K1079" s="15"/>
      <c r="L1079" s="17">
        <v>1</v>
      </c>
      <c r="M1079" s="17">
        <v>16</v>
      </c>
      <c r="N1079" s="17">
        <v>1</v>
      </c>
      <c r="O1079" s="18">
        <v>323.64999999999998</v>
      </c>
      <c r="P1079" s="18">
        <v>265.29000000000002</v>
      </c>
      <c r="Q1079" s="18">
        <v>275.10000000000002</v>
      </c>
      <c r="R1079" s="18">
        <v>225.49</v>
      </c>
      <c r="S1079" s="18">
        <v>220.08</v>
      </c>
      <c r="T1079" s="18">
        <v>180.39</v>
      </c>
      <c r="U1079" s="16"/>
      <c r="V1079" s="16"/>
      <c r="W1079" s="16" t="s">
        <v>40</v>
      </c>
      <c r="X1079" s="19">
        <v>0.40600000000000003</v>
      </c>
      <c r="Y1079" s="20">
        <v>3.7499999999999999E-3</v>
      </c>
      <c r="Z1079" s="21">
        <v>4601004154667</v>
      </c>
    </row>
    <row r="1080" spans="1:26" ht="12" customHeight="1" outlineLevel="4" x14ac:dyDescent="0.2">
      <c r="A1080" s="32" t="s">
        <v>2138</v>
      </c>
      <c r="B1080" s="74" t="s">
        <v>2139</v>
      </c>
      <c r="C1080" s="50"/>
      <c r="D1080" s="53">
        <f t="shared" si="16"/>
        <v>0</v>
      </c>
      <c r="E1080" s="60" t="str">
        <f>HYPERLINK("https://www.sds-group.ru/product/mufta-soedinitelnaya-truba-truba-40mm-seraya-ip67-tip-50140-4-sht-up-28-0320-67/", "Инфо")</f>
        <v>Инфо</v>
      </c>
      <c r="F1080" s="34" t="s">
        <v>39</v>
      </c>
      <c r="G1080" s="33"/>
      <c r="H1080" s="33" t="s">
        <v>40</v>
      </c>
      <c r="I1080" s="33"/>
      <c r="J1080" s="39">
        <v>1400</v>
      </c>
      <c r="K1080" s="33"/>
      <c r="L1080" s="35">
        <v>4</v>
      </c>
      <c r="M1080" s="35">
        <v>64</v>
      </c>
      <c r="N1080" s="35">
        <v>4</v>
      </c>
      <c r="O1080" s="36">
        <v>39.11</v>
      </c>
      <c r="P1080" s="36">
        <v>32.06</v>
      </c>
      <c r="Q1080" s="36">
        <v>33.24</v>
      </c>
      <c r="R1080" s="36">
        <v>27.25</v>
      </c>
      <c r="S1080" s="36">
        <v>26.59</v>
      </c>
      <c r="T1080" s="36">
        <v>21.8</v>
      </c>
      <c r="U1080" s="34"/>
      <c r="V1080" s="34"/>
      <c r="W1080" s="34" t="s">
        <v>40</v>
      </c>
      <c r="X1080" s="37">
        <v>5.5E-2</v>
      </c>
      <c r="Y1080" s="38">
        <v>2.5500000000000002E-4</v>
      </c>
      <c r="Z1080" s="21">
        <v>4607004492549</v>
      </c>
    </row>
    <row r="1081" spans="1:26" ht="12" customHeight="1" outlineLevel="4" x14ac:dyDescent="0.2">
      <c r="A1081" s="40" t="s">
        <v>2140</v>
      </c>
      <c r="B1081" s="75" t="s">
        <v>2141</v>
      </c>
      <c r="C1081" s="51"/>
      <c r="D1081" s="54">
        <f t="shared" si="16"/>
        <v>0</v>
      </c>
      <c r="E1081" s="61" t="str">
        <f>HYPERLINK("https://www.sds-group.ru/product/povorot-gibkiy-gofrirovannyy-16mm-seryy-rexant-28-0316-5/", "Инфо")</f>
        <v>Инфо</v>
      </c>
      <c r="F1081" s="42" t="s">
        <v>39</v>
      </c>
      <c r="G1081" s="41" t="s">
        <v>40</v>
      </c>
      <c r="H1081" s="41" t="s">
        <v>40</v>
      </c>
      <c r="I1081" s="41"/>
      <c r="J1081" s="47">
        <v>8760</v>
      </c>
      <c r="K1081" s="41"/>
      <c r="L1081" s="43">
        <v>10</v>
      </c>
      <c r="M1081" s="43">
        <v>300</v>
      </c>
      <c r="N1081" s="43">
        <v>10</v>
      </c>
      <c r="O1081" s="44">
        <v>58.05</v>
      </c>
      <c r="P1081" s="44">
        <v>47.58</v>
      </c>
      <c r="Q1081" s="44">
        <v>49.34</v>
      </c>
      <c r="R1081" s="44">
        <v>40.44</v>
      </c>
      <c r="S1081" s="44">
        <v>39.47</v>
      </c>
      <c r="T1081" s="44">
        <v>32.35</v>
      </c>
      <c r="U1081" s="42"/>
      <c r="V1081" s="42"/>
      <c r="W1081" s="42" t="s">
        <v>40</v>
      </c>
      <c r="X1081" s="45">
        <v>1.4E-2</v>
      </c>
      <c r="Y1081" s="46">
        <v>8.0000000000000007E-5</v>
      </c>
      <c r="Z1081" s="21">
        <v>4601004342873</v>
      </c>
    </row>
    <row r="1082" spans="1:26" ht="12" customHeight="1" outlineLevel="4" x14ac:dyDescent="0.2">
      <c r="A1082" s="32" t="s">
        <v>2142</v>
      </c>
      <c r="B1082" s="74" t="s">
        <v>2143</v>
      </c>
      <c r="C1082" s="50"/>
      <c r="D1082" s="53">
        <f t="shared" si="16"/>
        <v>0</v>
      </c>
      <c r="E1082" s="60" t="str">
        <f>HYPERLINK("https://www.sds-group.ru/product/ugol-90-soedinitelnyy-dlya-truby-25mm-50-sht-up-rexant-28-0525/", "Инфо")</f>
        <v>Инфо</v>
      </c>
      <c r="F1082" s="34" t="s">
        <v>1001</v>
      </c>
      <c r="G1082" s="33"/>
      <c r="H1082" s="33" t="s">
        <v>40</v>
      </c>
      <c r="I1082" s="33" t="s">
        <v>2135</v>
      </c>
      <c r="J1082" s="35">
        <v>86</v>
      </c>
      <c r="K1082" s="33"/>
      <c r="L1082" s="35">
        <v>1</v>
      </c>
      <c r="M1082" s="35">
        <v>12</v>
      </c>
      <c r="N1082" s="35">
        <v>1</v>
      </c>
      <c r="O1082" s="36">
        <v>843.57</v>
      </c>
      <c r="P1082" s="36">
        <v>691.45</v>
      </c>
      <c r="Q1082" s="36">
        <v>590.5</v>
      </c>
      <c r="R1082" s="36">
        <v>484.02</v>
      </c>
      <c r="S1082" s="36">
        <v>573.63</v>
      </c>
      <c r="T1082" s="36">
        <v>470.19</v>
      </c>
      <c r="U1082" s="34"/>
      <c r="V1082" s="34"/>
      <c r="W1082" s="34"/>
      <c r="X1082" s="37">
        <v>0.56599999999999995</v>
      </c>
      <c r="Y1082" s="38">
        <v>5.0130000000000001E-3</v>
      </c>
      <c r="Z1082" s="21">
        <v>4601004154728</v>
      </c>
    </row>
    <row r="1083" spans="1:26" ht="12.95" customHeight="1" outlineLevel="3" x14ac:dyDescent="0.2">
      <c r="A1083" s="76" t="s">
        <v>2144</v>
      </c>
      <c r="B1083" s="76"/>
      <c r="C1083" s="77"/>
      <c r="D1083" s="58"/>
      <c r="E1083" s="68"/>
      <c r="F1083" s="13"/>
      <c r="G1083" s="13"/>
      <c r="H1083" s="13"/>
      <c r="I1083" s="13"/>
      <c r="J1083" s="13"/>
      <c r="K1083" s="13"/>
      <c r="L1083" s="13"/>
      <c r="M1083" s="13"/>
      <c r="N1083" s="13"/>
      <c r="O1083" s="13"/>
      <c r="P1083" s="13"/>
      <c r="Q1083" s="13"/>
      <c r="R1083" s="13"/>
      <c r="S1083" s="13"/>
      <c r="T1083" s="13"/>
      <c r="U1083" s="13"/>
      <c r="V1083" s="13"/>
      <c r="W1083" s="13"/>
      <c r="X1083" s="13"/>
      <c r="Y1083" s="13"/>
      <c r="Z1083" s="13"/>
    </row>
    <row r="1084" spans="1:26" ht="12" customHeight="1" outlineLevel="4" x14ac:dyDescent="0.2">
      <c r="A1084" s="32" t="s">
        <v>2145</v>
      </c>
      <c r="B1084" s="74" t="s">
        <v>2146</v>
      </c>
      <c r="C1084" s="50"/>
      <c r="D1084" s="53">
        <f t="shared" si="16"/>
        <v>0</v>
      </c>
      <c r="E1084" s="60" t="str">
        <f>HYPERLINK("https://www.sds-group.ru/product/skoba-smd-19-20-dvuhlapkovaya-dlya-metallorukava-15-mm-100-sht-up-rexant-28-1023-1/", "Инфо")</f>
        <v>Инфо</v>
      </c>
      <c r="F1084" s="34" t="s">
        <v>1001</v>
      </c>
      <c r="G1084" s="33"/>
      <c r="H1084" s="33" t="s">
        <v>40</v>
      </c>
      <c r="I1084" s="33"/>
      <c r="J1084" s="35">
        <v>24</v>
      </c>
      <c r="K1084" s="33"/>
      <c r="L1084" s="35">
        <v>1</v>
      </c>
      <c r="M1084" s="35">
        <v>14</v>
      </c>
      <c r="N1084" s="35">
        <v>1</v>
      </c>
      <c r="O1084" s="36">
        <v>473.36</v>
      </c>
      <c r="P1084" s="36">
        <v>388</v>
      </c>
      <c r="Q1084" s="36">
        <v>378.69</v>
      </c>
      <c r="R1084" s="36">
        <v>310.39999999999998</v>
      </c>
      <c r="S1084" s="36">
        <v>321.88</v>
      </c>
      <c r="T1084" s="36">
        <v>263.83999999999997</v>
      </c>
      <c r="U1084" s="34"/>
      <c r="V1084" s="34"/>
      <c r="W1084" s="34" t="s">
        <v>40</v>
      </c>
      <c r="X1084" s="37">
        <v>0.52100000000000002</v>
      </c>
      <c r="Y1084" s="38">
        <v>1.392E-3</v>
      </c>
      <c r="Z1084" s="21">
        <v>4601004149618</v>
      </c>
    </row>
    <row r="1085" spans="1:26" ht="12" customHeight="1" outlineLevel="4" x14ac:dyDescent="0.2">
      <c r="A1085" s="32" t="s">
        <v>2147</v>
      </c>
      <c r="B1085" s="74" t="s">
        <v>2148</v>
      </c>
      <c r="C1085" s="50"/>
      <c r="D1085" s="53">
        <f t="shared" si="16"/>
        <v>0</v>
      </c>
      <c r="E1085" s="60" t="str">
        <f>HYPERLINK("https://www.sds-group.ru/product/skoba-smd-60-63-dvuhlapkovaya-dlya-metallorukava-50-mm-50-sht-up-rexant-28-1063-1/", "Инфо")</f>
        <v>Инфо</v>
      </c>
      <c r="F1085" s="34" t="s">
        <v>1001</v>
      </c>
      <c r="G1085" s="33"/>
      <c r="H1085" s="33" t="s">
        <v>40</v>
      </c>
      <c r="I1085" s="33" t="s">
        <v>2149</v>
      </c>
      <c r="J1085" s="34" t="s">
        <v>100</v>
      </c>
      <c r="K1085" s="33"/>
      <c r="L1085" s="35">
        <v>1</v>
      </c>
      <c r="M1085" s="35">
        <v>2</v>
      </c>
      <c r="N1085" s="35">
        <v>1</v>
      </c>
      <c r="O1085" s="36">
        <v>1083.8399999999999</v>
      </c>
      <c r="P1085" s="36">
        <v>888.39</v>
      </c>
      <c r="Q1085" s="36">
        <v>856.23</v>
      </c>
      <c r="R1085" s="36">
        <v>701.83</v>
      </c>
      <c r="S1085" s="36">
        <v>737.01</v>
      </c>
      <c r="T1085" s="36">
        <v>604.11</v>
      </c>
      <c r="U1085" s="34"/>
      <c r="V1085" s="34"/>
      <c r="W1085" s="34" t="s">
        <v>40</v>
      </c>
      <c r="X1085" s="37">
        <v>1.5389999999999999</v>
      </c>
      <c r="Y1085" s="38">
        <v>4.235E-3</v>
      </c>
      <c r="Z1085" s="21">
        <v>4601004149731</v>
      </c>
    </row>
    <row r="1086" spans="1:26" ht="12" customHeight="1" outlineLevel="4" x14ac:dyDescent="0.2">
      <c r="A1086" s="14" t="s">
        <v>2150</v>
      </c>
      <c r="B1086" s="26" t="s">
        <v>2151</v>
      </c>
      <c r="C1086" s="52"/>
      <c r="D1086" s="55">
        <f t="shared" si="16"/>
        <v>0</v>
      </c>
      <c r="E1086" s="63" t="str">
        <f>HYPERLINK("https://www.sds-group.ru/product/skoba-smo-19-20-odnolapkovaya-dlya-metallorukava-15-mm-rexant-28-1016-2/", "Инфо")</f>
        <v>Инфо</v>
      </c>
      <c r="F1086" s="16" t="s">
        <v>1001</v>
      </c>
      <c r="G1086" s="15"/>
      <c r="H1086" s="15"/>
      <c r="I1086" s="15" t="s">
        <v>2152</v>
      </c>
      <c r="J1086" s="16" t="s">
        <v>100</v>
      </c>
      <c r="K1086" s="15"/>
      <c r="L1086" s="17">
        <v>10</v>
      </c>
      <c r="M1086" s="17">
        <v>100</v>
      </c>
      <c r="N1086" s="17">
        <v>10</v>
      </c>
      <c r="O1086" s="18">
        <v>90.47</v>
      </c>
      <c r="P1086" s="18">
        <v>74.16</v>
      </c>
      <c r="Q1086" s="18">
        <v>76.900000000000006</v>
      </c>
      <c r="R1086" s="18">
        <v>63.03</v>
      </c>
      <c r="S1086" s="18">
        <v>61.52</v>
      </c>
      <c r="T1086" s="18">
        <v>50.43</v>
      </c>
      <c r="U1086" s="16"/>
      <c r="V1086" s="16"/>
      <c r="W1086" s="16" t="s">
        <v>40</v>
      </c>
      <c r="X1086" s="19">
        <v>3.6999999999999998E-2</v>
      </c>
      <c r="Y1086" s="20">
        <v>1E-4</v>
      </c>
      <c r="Z1086" s="21">
        <v>4601004182004</v>
      </c>
    </row>
    <row r="1087" spans="1:26" ht="12" customHeight="1" outlineLevel="4" x14ac:dyDescent="0.2">
      <c r="A1087" s="14" t="s">
        <v>2153</v>
      </c>
      <c r="B1087" s="26" t="s">
        <v>2154</v>
      </c>
      <c r="C1087" s="52"/>
      <c r="D1087" s="55">
        <f t="shared" si="16"/>
        <v>0</v>
      </c>
      <c r="E1087" s="63" t="str">
        <f>HYPERLINK("https://www.sds-group.ru/product/skoba-smo-19-20-odnolapkovaya-dlya-metallorukava-15-mm-100-sht-up-rexant-28-1016-1/", "Инфо")</f>
        <v>Инфо</v>
      </c>
      <c r="F1087" s="16" t="s">
        <v>1001</v>
      </c>
      <c r="G1087" s="15"/>
      <c r="H1087" s="15"/>
      <c r="I1087" s="15"/>
      <c r="J1087" s="17">
        <v>20</v>
      </c>
      <c r="K1087" s="15" t="s">
        <v>1381</v>
      </c>
      <c r="L1087" s="17">
        <v>5</v>
      </c>
      <c r="M1087" s="17">
        <v>20</v>
      </c>
      <c r="N1087" s="17">
        <v>5</v>
      </c>
      <c r="O1087" s="18">
        <v>441.84</v>
      </c>
      <c r="P1087" s="18">
        <v>362.16</v>
      </c>
      <c r="Q1087" s="18">
        <v>353.47</v>
      </c>
      <c r="R1087" s="18">
        <v>289.73</v>
      </c>
      <c r="S1087" s="18">
        <v>300.45</v>
      </c>
      <c r="T1087" s="18">
        <v>246.27</v>
      </c>
      <c r="U1087" s="16"/>
      <c r="V1087" s="16"/>
      <c r="W1087" s="16" t="s">
        <v>40</v>
      </c>
      <c r="X1087" s="19">
        <v>0.42099999999999999</v>
      </c>
      <c r="Y1087" s="20">
        <v>9.7199999999999999E-4</v>
      </c>
      <c r="Z1087" s="21">
        <v>4601004149397</v>
      </c>
    </row>
    <row r="1088" spans="1:26" ht="12.95" customHeight="1" outlineLevel="2" x14ac:dyDescent="0.2">
      <c r="A1088" s="76" t="s">
        <v>2155</v>
      </c>
      <c r="B1088" s="76"/>
      <c r="C1088" s="77"/>
      <c r="D1088" s="58"/>
      <c r="E1088" s="68"/>
      <c r="F1088" s="13"/>
      <c r="G1088" s="13"/>
      <c r="H1088" s="13"/>
      <c r="I1088" s="13"/>
      <c r="J1088" s="13"/>
      <c r="K1088" s="13"/>
      <c r="L1088" s="13"/>
      <c r="M1088" s="13"/>
      <c r="N1088" s="13"/>
      <c r="O1088" s="13"/>
      <c r="P1088" s="13"/>
      <c r="Q1088" s="13"/>
      <c r="R1088" s="13"/>
      <c r="S1088" s="13"/>
      <c r="T1088" s="13"/>
      <c r="U1088" s="13"/>
      <c r="V1088" s="13"/>
      <c r="W1088" s="13"/>
      <c r="X1088" s="13"/>
      <c r="Y1088" s="13"/>
      <c r="Z1088" s="13"/>
    </row>
    <row r="1089" spans="1:26" ht="12.95" customHeight="1" outlineLevel="3" x14ac:dyDescent="0.2">
      <c r="A1089" s="76" t="s">
        <v>2156</v>
      </c>
      <c r="B1089" s="76"/>
      <c r="C1089" s="77"/>
      <c r="D1089" s="58"/>
      <c r="E1089" s="68"/>
      <c r="F1089" s="13"/>
      <c r="G1089" s="13"/>
      <c r="H1089" s="13"/>
      <c r="I1089" s="13"/>
      <c r="J1089" s="13"/>
      <c r="K1089" s="13"/>
      <c r="L1089" s="13"/>
      <c r="M1089" s="13"/>
      <c r="N1089" s="13"/>
      <c r="O1089" s="13"/>
      <c r="P1089" s="13"/>
      <c r="Q1089" s="13"/>
      <c r="R1089" s="13"/>
      <c r="S1089" s="13"/>
      <c r="T1089" s="13"/>
      <c r="U1089" s="13"/>
      <c r="V1089" s="13"/>
      <c r="W1089" s="13"/>
      <c r="X1089" s="13"/>
      <c r="Y1089" s="13"/>
      <c r="Z1089" s="13"/>
    </row>
    <row r="1090" spans="1:26" ht="12" customHeight="1" outlineLevel="4" x14ac:dyDescent="0.2">
      <c r="A1090" s="14" t="s">
        <v>2157</v>
      </c>
      <c r="B1090" s="26" t="s">
        <v>2158</v>
      </c>
      <c r="C1090" s="52"/>
      <c r="D1090" s="55">
        <f t="shared" si="16"/>
        <v>0</v>
      </c>
      <c r="E1090" s="63" t="str">
        <f>HYPERLINK("https://www.sds-group.ru/product/ankerniy-zajim-pa-25-te-2h16-4h25-mm-sup2-3-5-kn-17710/", "Инфо")</f>
        <v>Инфо</v>
      </c>
      <c r="F1090" s="16" t="s">
        <v>39</v>
      </c>
      <c r="G1090" s="15"/>
      <c r="H1090" s="15"/>
      <c r="I1090" s="15"/>
      <c r="J1090" s="22">
        <v>1128</v>
      </c>
      <c r="K1090" s="15"/>
      <c r="L1090" s="17">
        <v>5</v>
      </c>
      <c r="M1090" s="17">
        <v>100</v>
      </c>
      <c r="N1090" s="17">
        <v>5</v>
      </c>
      <c r="O1090" s="18">
        <v>257.94</v>
      </c>
      <c r="P1090" s="18">
        <v>211.43</v>
      </c>
      <c r="Q1090" s="18">
        <v>219.25</v>
      </c>
      <c r="R1090" s="18">
        <v>179.71</v>
      </c>
      <c r="S1090" s="18">
        <v>175.4</v>
      </c>
      <c r="T1090" s="18">
        <v>143.77000000000001</v>
      </c>
      <c r="U1090" s="16"/>
      <c r="V1090" s="16"/>
      <c r="W1090" s="16" t="s">
        <v>40</v>
      </c>
      <c r="X1090" s="19">
        <v>0.16500000000000001</v>
      </c>
      <c r="Y1090" s="20">
        <v>4.06E-4</v>
      </c>
      <c r="Z1090" s="21">
        <v>4601004125896</v>
      </c>
    </row>
    <row r="1091" spans="1:26" ht="12" customHeight="1" outlineLevel="4" x14ac:dyDescent="0.2">
      <c r="A1091" s="32" t="s">
        <v>2159</v>
      </c>
      <c r="B1091" s="74" t="s">
        <v>2160</v>
      </c>
      <c r="C1091" s="50"/>
      <c r="D1091" s="53">
        <f t="shared" si="16"/>
        <v>0</v>
      </c>
      <c r="E1091" s="60" t="str">
        <f>HYPERLINK("https://www.sds-group.ru/product/kryuk-s-rezboy-bt-16-te-diametr-16-mm-6-6-kn-07-9313/", "Инфо")</f>
        <v>Инфо</v>
      </c>
      <c r="F1091" s="34" t="s">
        <v>39</v>
      </c>
      <c r="G1091" s="33"/>
      <c r="H1091" s="33" t="s">
        <v>40</v>
      </c>
      <c r="I1091" s="33"/>
      <c r="J1091" s="35">
        <v>73</v>
      </c>
      <c r="K1091" s="33"/>
      <c r="L1091" s="35">
        <v>1</v>
      </c>
      <c r="M1091" s="35">
        <v>20</v>
      </c>
      <c r="N1091" s="35">
        <v>1</v>
      </c>
      <c r="O1091" s="36">
        <v>720.37</v>
      </c>
      <c r="P1091" s="36">
        <v>590.47</v>
      </c>
      <c r="Q1091" s="36">
        <v>504.26</v>
      </c>
      <c r="R1091" s="36">
        <v>413.33</v>
      </c>
      <c r="S1091" s="36">
        <v>489.85</v>
      </c>
      <c r="T1091" s="36">
        <v>401.52</v>
      </c>
      <c r="U1091" s="34"/>
      <c r="V1091" s="34"/>
      <c r="W1091" s="34"/>
      <c r="X1091" s="37">
        <v>0.49099999999999999</v>
      </c>
      <c r="Y1091" s="38">
        <v>4.35E-4</v>
      </c>
      <c r="Z1091" s="21">
        <v>4601004125995</v>
      </c>
    </row>
    <row r="1092" spans="1:26" ht="12" customHeight="1" outlineLevel="4" x14ac:dyDescent="0.2">
      <c r="A1092" s="14" t="s">
        <v>2161</v>
      </c>
      <c r="B1092" s="26" t="s">
        <v>2162</v>
      </c>
      <c r="C1092" s="52"/>
      <c r="D1092" s="55">
        <f t="shared" si="16"/>
        <v>0</v>
      </c>
      <c r="E1092" s="63" t="str">
        <f>HYPERLINK("https://www.sds-group.ru/product/kryuk-s-rezboy-bt-8-te-diametr-8-mm-2-3-kn-07-9312/", "Инфо")</f>
        <v>Инфо</v>
      </c>
      <c r="F1092" s="16" t="s">
        <v>39</v>
      </c>
      <c r="G1092" s="15"/>
      <c r="H1092" s="15"/>
      <c r="I1092" s="15"/>
      <c r="J1092" s="17">
        <v>184</v>
      </c>
      <c r="K1092" s="15"/>
      <c r="L1092" s="17">
        <v>10</v>
      </c>
      <c r="M1092" s="17">
        <v>50</v>
      </c>
      <c r="N1092" s="17">
        <v>10</v>
      </c>
      <c r="O1092" s="18">
        <v>208.93</v>
      </c>
      <c r="P1092" s="18">
        <v>171.25</v>
      </c>
      <c r="Q1092" s="18">
        <v>177.59</v>
      </c>
      <c r="R1092" s="18">
        <v>145.57</v>
      </c>
      <c r="S1092" s="18">
        <v>142.07</v>
      </c>
      <c r="T1092" s="18">
        <v>116.45</v>
      </c>
      <c r="U1092" s="16"/>
      <c r="V1092" s="16"/>
      <c r="W1092" s="16" t="s">
        <v>40</v>
      </c>
      <c r="X1092" s="19">
        <v>7.9000000000000001E-2</v>
      </c>
      <c r="Y1092" s="20">
        <v>1.8699999999999999E-4</v>
      </c>
      <c r="Z1092" s="21">
        <v>4601004125988</v>
      </c>
    </row>
    <row r="1093" spans="1:26" ht="12.95" customHeight="1" outlineLevel="3" x14ac:dyDescent="0.2">
      <c r="A1093" s="76" t="s">
        <v>2163</v>
      </c>
      <c r="B1093" s="76"/>
      <c r="C1093" s="77"/>
      <c r="D1093" s="58"/>
      <c r="E1093" s="68"/>
      <c r="F1093" s="13"/>
      <c r="G1093" s="13"/>
      <c r="H1093" s="13"/>
      <c r="I1093" s="13"/>
      <c r="J1093" s="13"/>
      <c r="K1093" s="13"/>
      <c r="L1093" s="13"/>
      <c r="M1093" s="13"/>
      <c r="N1093" s="13"/>
      <c r="O1093" s="13"/>
      <c r="P1093" s="13"/>
      <c r="Q1093" s="13"/>
      <c r="R1093" s="13"/>
      <c r="S1093" s="13"/>
      <c r="T1093" s="13"/>
      <c r="U1093" s="13"/>
      <c r="V1093" s="13"/>
      <c r="W1093" s="13"/>
      <c r="X1093" s="13"/>
      <c r="Y1093" s="13"/>
      <c r="Z1093" s="13"/>
    </row>
    <row r="1094" spans="1:26" ht="12" customHeight="1" outlineLevel="4" x14ac:dyDescent="0.2">
      <c r="A1094" s="32" t="s">
        <v>2164</v>
      </c>
      <c r="B1094" s="74" t="s">
        <v>2165</v>
      </c>
      <c r="C1094" s="50"/>
      <c r="D1094" s="53">
        <f t="shared" si="16"/>
        <v>0</v>
      </c>
      <c r="E1094" s="60" t="str">
        <f>HYPERLINK("https://www.sds-group.ru/product/bugel-dlya-lenty-nb-20-te-shirina-20-mm-07-9314/", "Инфо")</f>
        <v>Инфо</v>
      </c>
      <c r="F1094" s="34" t="s">
        <v>39</v>
      </c>
      <c r="G1094" s="33"/>
      <c r="H1094" s="33" t="s">
        <v>40</v>
      </c>
      <c r="I1094" s="33"/>
      <c r="J1094" s="35">
        <v>195</v>
      </c>
      <c r="K1094" s="33"/>
      <c r="L1094" s="35">
        <v>5</v>
      </c>
      <c r="M1094" s="35">
        <v>100</v>
      </c>
      <c r="N1094" s="35">
        <v>5</v>
      </c>
      <c r="O1094" s="36">
        <v>55.28</v>
      </c>
      <c r="P1094" s="36">
        <v>45.31</v>
      </c>
      <c r="Q1094" s="36">
        <v>46.99</v>
      </c>
      <c r="R1094" s="36">
        <v>38.520000000000003</v>
      </c>
      <c r="S1094" s="36">
        <v>37.590000000000003</v>
      </c>
      <c r="T1094" s="36">
        <v>30.81</v>
      </c>
      <c r="U1094" s="34"/>
      <c r="V1094" s="34"/>
      <c r="W1094" s="34" t="s">
        <v>40</v>
      </c>
      <c r="X1094" s="37">
        <v>1.0999999999999999E-2</v>
      </c>
      <c r="Y1094" s="38">
        <v>3.8000000000000002E-5</v>
      </c>
      <c r="Z1094" s="21">
        <v>4601004126008</v>
      </c>
    </row>
    <row r="1095" spans="1:26" ht="12" customHeight="1" outlineLevel="4" x14ac:dyDescent="0.2">
      <c r="A1095" s="14" t="s">
        <v>2166</v>
      </c>
      <c r="B1095" s="26" t="s">
        <v>2167</v>
      </c>
      <c r="C1095" s="52"/>
      <c r="D1095" s="55">
        <f t="shared" si="16"/>
        <v>0</v>
      </c>
      <c r="E1095" s="63" t="str">
        <f>HYPERLINK("https://www.sds-group.ru/product/montazhnaya-lenta-v-plastikovoy-upakovke-f-207-te-07-9307/", "Инфо")</f>
        <v>Инфо</v>
      </c>
      <c r="F1095" s="16" t="s">
        <v>1767</v>
      </c>
      <c r="G1095" s="15"/>
      <c r="H1095" s="15"/>
      <c r="I1095" s="15"/>
      <c r="J1095" s="17">
        <v>600</v>
      </c>
      <c r="K1095" s="15"/>
      <c r="L1095" s="17">
        <v>50</v>
      </c>
      <c r="M1095" s="17">
        <v>250</v>
      </c>
      <c r="N1095" s="17">
        <v>50</v>
      </c>
      <c r="O1095" s="18">
        <v>159.80000000000001</v>
      </c>
      <c r="P1095" s="18">
        <v>130.97999999999999</v>
      </c>
      <c r="Q1095" s="18">
        <v>135.83000000000001</v>
      </c>
      <c r="R1095" s="18">
        <v>111.34</v>
      </c>
      <c r="S1095" s="18">
        <v>108.66</v>
      </c>
      <c r="T1095" s="18">
        <v>89.07</v>
      </c>
      <c r="U1095" s="16"/>
      <c r="V1095" s="16"/>
      <c r="W1095" s="16" t="s">
        <v>40</v>
      </c>
      <c r="X1095" s="19">
        <v>0.11</v>
      </c>
      <c r="Y1095" s="20">
        <v>6.7999999999999999E-5</v>
      </c>
      <c r="Z1095" s="21">
        <v>4601004126022</v>
      </c>
    </row>
    <row r="1096" spans="1:26" ht="12" customHeight="1" outlineLevel="4" x14ac:dyDescent="0.2">
      <c r="A1096" s="14" t="s">
        <v>2168</v>
      </c>
      <c r="B1096" s="26" t="s">
        <v>2169</v>
      </c>
      <c r="C1096" s="52"/>
      <c r="D1096" s="55">
        <f t="shared" si="16"/>
        <v>0</v>
      </c>
      <c r="E1096" s="63" t="str">
        <f>HYPERLINK("https://www.sds-group.ru/product/skrepa-dlya-lenty-nc-20-te-shirina-20-mm-07-9308/", "Инфо")</f>
        <v>Инфо</v>
      </c>
      <c r="F1096" s="16" t="s">
        <v>39</v>
      </c>
      <c r="G1096" s="15"/>
      <c r="H1096" s="15"/>
      <c r="I1096" s="15"/>
      <c r="J1096" s="22">
        <v>3100</v>
      </c>
      <c r="K1096" s="15"/>
      <c r="L1096" s="17">
        <v>5</v>
      </c>
      <c r="M1096" s="17">
        <v>100</v>
      </c>
      <c r="N1096" s="17">
        <v>5</v>
      </c>
      <c r="O1096" s="18">
        <v>44.02</v>
      </c>
      <c r="P1096" s="18">
        <v>36.08</v>
      </c>
      <c r="Q1096" s="18">
        <v>37.42</v>
      </c>
      <c r="R1096" s="18">
        <v>30.67</v>
      </c>
      <c r="S1096" s="18">
        <v>29.93</v>
      </c>
      <c r="T1096" s="18">
        <v>24.53</v>
      </c>
      <c r="U1096" s="16"/>
      <c r="V1096" s="16"/>
      <c r="W1096" s="16" t="s">
        <v>40</v>
      </c>
      <c r="X1096" s="19">
        <v>0.01</v>
      </c>
      <c r="Y1096" s="20">
        <v>3.0000000000000001E-5</v>
      </c>
      <c r="Z1096" s="21">
        <v>4601004125940</v>
      </c>
    </row>
    <row r="1097" spans="1:26" ht="12.95" customHeight="1" outlineLevel="2" x14ac:dyDescent="0.2">
      <c r="A1097" s="76" t="s">
        <v>2170</v>
      </c>
      <c r="B1097" s="76"/>
      <c r="C1097" s="77"/>
      <c r="D1097" s="58"/>
      <c r="E1097" s="68"/>
      <c r="F1097" s="13"/>
      <c r="G1097" s="13"/>
      <c r="H1097" s="13"/>
      <c r="I1097" s="13"/>
      <c r="J1097" s="13"/>
      <c r="K1097" s="13"/>
      <c r="L1097" s="13"/>
      <c r="M1097" s="13"/>
      <c r="N1097" s="13"/>
      <c r="O1097" s="13"/>
      <c r="P1097" s="13"/>
      <c r="Q1097" s="13"/>
      <c r="R1097" s="13"/>
      <c r="S1097" s="13"/>
      <c r="T1097" s="13"/>
      <c r="U1097" s="13"/>
      <c r="V1097" s="13"/>
      <c r="W1097" s="13"/>
      <c r="X1097" s="13"/>
      <c r="Y1097" s="13"/>
      <c r="Z1097" s="13"/>
    </row>
    <row r="1098" spans="1:26" ht="12.95" customHeight="1" outlineLevel="3" x14ac:dyDescent="0.2">
      <c r="A1098" s="76" t="s">
        <v>2171</v>
      </c>
      <c r="B1098" s="76"/>
      <c r="C1098" s="77"/>
      <c r="D1098" s="58"/>
      <c r="E1098" s="68"/>
      <c r="F1098" s="13"/>
      <c r="G1098" s="13"/>
      <c r="H1098" s="13"/>
      <c r="I1098" s="13"/>
      <c r="J1098" s="13"/>
      <c r="K1098" s="13"/>
      <c r="L1098" s="13"/>
      <c r="M1098" s="13"/>
      <c r="N1098" s="13"/>
      <c r="O1098" s="13"/>
      <c r="P1098" s="13"/>
      <c r="Q1098" s="13"/>
      <c r="R1098" s="13"/>
      <c r="S1098" s="13"/>
      <c r="T1098" s="13"/>
      <c r="U1098" s="13"/>
      <c r="V1098" s="13"/>
      <c r="W1098" s="13"/>
      <c r="X1098" s="13"/>
      <c r="Y1098" s="13"/>
      <c r="Z1098" s="13"/>
    </row>
    <row r="1099" spans="1:26" ht="12" customHeight="1" outlineLevel="4" x14ac:dyDescent="0.2">
      <c r="A1099" s="14" t="s">
        <v>2172</v>
      </c>
      <c r="B1099" s="26" t="s">
        <v>2173</v>
      </c>
      <c r="C1099" s="52"/>
      <c r="D1099" s="55">
        <f t="shared" ref="D1099:D1159" si="17">C1099*(O1099-O1099*$G$3)</f>
        <v>0</v>
      </c>
      <c r="E1099" s="63" t="str">
        <f>HYPERLINK("https://www.sds-group.ru/product/korobka-raspayachnaya-ou-100x100x50-mm-ip55-rexant-28-3056/", "Инфо")</f>
        <v>Инфо</v>
      </c>
      <c r="F1099" s="16" t="s">
        <v>39</v>
      </c>
      <c r="G1099" s="15"/>
      <c r="H1099" s="15"/>
      <c r="I1099" s="15"/>
      <c r="J1099" s="22">
        <v>6455</v>
      </c>
      <c r="K1099" s="15" t="s">
        <v>1408</v>
      </c>
      <c r="L1099" s="17">
        <v>10</v>
      </c>
      <c r="M1099" s="17">
        <v>48</v>
      </c>
      <c r="N1099" s="17">
        <v>10</v>
      </c>
      <c r="O1099" s="18">
        <v>147.09</v>
      </c>
      <c r="P1099" s="18">
        <v>120.57</v>
      </c>
      <c r="Q1099" s="18">
        <v>125.03</v>
      </c>
      <c r="R1099" s="18">
        <v>102.48</v>
      </c>
      <c r="S1099" s="18">
        <v>100.02</v>
      </c>
      <c r="T1099" s="18">
        <v>81.98</v>
      </c>
      <c r="U1099" s="16"/>
      <c r="V1099" s="16"/>
      <c r="W1099" s="16" t="s">
        <v>40</v>
      </c>
      <c r="X1099" s="19">
        <v>0.115</v>
      </c>
      <c r="Y1099" s="20">
        <v>7.9199999999999995E-4</v>
      </c>
      <c r="Z1099" s="21">
        <v>4601004152311</v>
      </c>
    </row>
    <row r="1100" spans="1:26" ht="12" customHeight="1" outlineLevel="4" x14ac:dyDescent="0.2">
      <c r="A1100" s="14" t="s">
        <v>2174</v>
      </c>
      <c r="B1100" s="26" t="s">
        <v>2175</v>
      </c>
      <c r="C1100" s="52"/>
      <c r="D1100" s="55">
        <f t="shared" si="17"/>
        <v>0</v>
      </c>
      <c r="E1100" s="63" t="str">
        <f>HYPERLINK("https://www.sds-group.ru/product/korobka-raspayachnaya-ou-150x110x70-mm-vint-ip55-rexant-28-3057/", "Инфо")</f>
        <v>Инфо</v>
      </c>
      <c r="F1100" s="16" t="s">
        <v>39</v>
      </c>
      <c r="G1100" s="15"/>
      <c r="H1100" s="15"/>
      <c r="I1100" s="15"/>
      <c r="J1100" s="22">
        <v>9130</v>
      </c>
      <c r="K1100" s="15"/>
      <c r="L1100" s="17">
        <v>5</v>
      </c>
      <c r="M1100" s="17">
        <v>30</v>
      </c>
      <c r="N1100" s="17">
        <v>5</v>
      </c>
      <c r="O1100" s="18">
        <v>303.58999999999997</v>
      </c>
      <c r="P1100" s="18">
        <v>248.84</v>
      </c>
      <c r="Q1100" s="18">
        <v>258.05</v>
      </c>
      <c r="R1100" s="18">
        <v>211.52</v>
      </c>
      <c r="S1100" s="18">
        <v>206.44</v>
      </c>
      <c r="T1100" s="18">
        <v>169.21</v>
      </c>
      <c r="U1100" s="16"/>
      <c r="V1100" s="16"/>
      <c r="W1100" s="16" t="s">
        <v>40</v>
      </c>
      <c r="X1100" s="19">
        <v>0.19700000000000001</v>
      </c>
      <c r="Y1100" s="20">
        <v>1.848E-3</v>
      </c>
      <c r="Z1100" s="21">
        <v>4601004152359</v>
      </c>
    </row>
    <row r="1101" spans="1:26" ht="12" customHeight="1" outlineLevel="4" x14ac:dyDescent="0.2">
      <c r="A1101" s="14" t="s">
        <v>2176</v>
      </c>
      <c r="B1101" s="26" t="s">
        <v>2177</v>
      </c>
      <c r="C1101" s="52"/>
      <c r="D1101" s="55">
        <f t="shared" si="17"/>
        <v>0</v>
      </c>
      <c r="E1101" s="63" t="str">
        <f>HYPERLINK("https://www.sds-group.ru/product/korobka-raspayachnaya-ou-85h85h40-mm-ip44-rexant-28-3052/", "Инфо")</f>
        <v>Инфо</v>
      </c>
      <c r="F1101" s="16" t="s">
        <v>39</v>
      </c>
      <c r="G1101" s="15"/>
      <c r="H1101" s="15"/>
      <c r="I1101" s="15"/>
      <c r="J1101" s="22">
        <v>1294</v>
      </c>
      <c r="K1101" s="15" t="s">
        <v>1408</v>
      </c>
      <c r="L1101" s="17">
        <v>10</v>
      </c>
      <c r="M1101" s="17">
        <v>60</v>
      </c>
      <c r="N1101" s="17">
        <v>10</v>
      </c>
      <c r="O1101" s="18">
        <v>104.56</v>
      </c>
      <c r="P1101" s="18">
        <v>85.7</v>
      </c>
      <c r="Q1101" s="18">
        <v>88.88</v>
      </c>
      <c r="R1101" s="18">
        <v>72.849999999999994</v>
      </c>
      <c r="S1101" s="18">
        <v>71.099999999999994</v>
      </c>
      <c r="T1101" s="18">
        <v>58.28</v>
      </c>
      <c r="U1101" s="16"/>
      <c r="V1101" s="16"/>
      <c r="W1101" s="16" t="s">
        <v>40</v>
      </c>
      <c r="X1101" s="19">
        <v>6.9000000000000006E-2</v>
      </c>
      <c r="Y1101" s="20">
        <v>4.8000000000000001E-4</v>
      </c>
      <c r="Z1101" s="21">
        <v>4601004152533</v>
      </c>
    </row>
    <row r="1102" spans="1:26" ht="12" customHeight="1" outlineLevel="4" x14ac:dyDescent="0.2">
      <c r="A1102" s="14" t="s">
        <v>2178</v>
      </c>
      <c r="B1102" s="26" t="s">
        <v>2179</v>
      </c>
      <c r="C1102" s="52"/>
      <c r="D1102" s="55">
        <f t="shared" si="17"/>
        <v>0</v>
      </c>
      <c r="E1102" s="63" t="str">
        <f>HYPERLINK("https://www.sds-group.ru/product/korobka-raspayachnaya-ou-100x100x50-vint-ip44-rexant-28-3058/", "Инфо")</f>
        <v>Инфо</v>
      </c>
      <c r="F1102" s="16" t="s">
        <v>39</v>
      </c>
      <c r="G1102" s="15"/>
      <c r="H1102" s="15"/>
      <c r="I1102" s="15"/>
      <c r="J1102" s="22">
        <v>2909</v>
      </c>
      <c r="K1102" s="15"/>
      <c r="L1102" s="17">
        <v>10</v>
      </c>
      <c r="M1102" s="17">
        <v>48</v>
      </c>
      <c r="N1102" s="17">
        <v>10</v>
      </c>
      <c r="O1102" s="18">
        <v>173.18</v>
      </c>
      <c r="P1102" s="18">
        <v>141.94999999999999</v>
      </c>
      <c r="Q1102" s="18">
        <v>147.19999999999999</v>
      </c>
      <c r="R1102" s="18">
        <v>120.66</v>
      </c>
      <c r="S1102" s="18">
        <v>117.76</v>
      </c>
      <c r="T1102" s="18">
        <v>96.52</v>
      </c>
      <c r="U1102" s="16"/>
      <c r="V1102" s="16"/>
      <c r="W1102" s="16" t="s">
        <v>40</v>
      </c>
      <c r="X1102" s="19">
        <v>0.114</v>
      </c>
      <c r="Y1102" s="20">
        <v>7.9100000000000004E-4</v>
      </c>
      <c r="Z1102" s="21">
        <v>4601004152335</v>
      </c>
    </row>
    <row r="1103" spans="1:26" ht="12" customHeight="1" outlineLevel="4" x14ac:dyDescent="0.2">
      <c r="A1103" s="14" t="s">
        <v>2180</v>
      </c>
      <c r="B1103" s="26" t="s">
        <v>2181</v>
      </c>
      <c r="C1103" s="52"/>
      <c r="D1103" s="55">
        <f t="shared" si="17"/>
        <v>0</v>
      </c>
      <c r="E1103" s="63" t="str">
        <f>HYPERLINK("https://www.sds-group.ru/product/korobka-raspayachnaya-ou-65x65x50-ip54-uprk-65-65-45-2-3-rexant-28-3055/", "Инфо")</f>
        <v>Инфо</v>
      </c>
      <c r="F1103" s="16" t="s">
        <v>39</v>
      </c>
      <c r="G1103" s="15"/>
      <c r="H1103" s="15"/>
      <c r="I1103" s="15"/>
      <c r="J1103" s="22">
        <v>3924</v>
      </c>
      <c r="K1103" s="15"/>
      <c r="L1103" s="17">
        <v>10</v>
      </c>
      <c r="M1103" s="17">
        <v>150</v>
      </c>
      <c r="N1103" s="17">
        <v>10</v>
      </c>
      <c r="O1103" s="18">
        <v>69.27</v>
      </c>
      <c r="P1103" s="18">
        <v>56.78</v>
      </c>
      <c r="Q1103" s="18">
        <v>58.88</v>
      </c>
      <c r="R1103" s="18">
        <v>48.26</v>
      </c>
      <c r="S1103" s="18">
        <v>47.1</v>
      </c>
      <c r="T1103" s="18">
        <v>38.61</v>
      </c>
      <c r="U1103" s="16"/>
      <c r="V1103" s="16"/>
      <c r="W1103" s="16" t="s">
        <v>40</v>
      </c>
      <c r="X1103" s="19">
        <v>4.2999999999999997E-2</v>
      </c>
      <c r="Y1103" s="20">
        <v>3.5E-4</v>
      </c>
      <c r="Z1103" s="21">
        <v>4601004150263</v>
      </c>
    </row>
    <row r="1104" spans="1:26" ht="12" customHeight="1" outlineLevel="4" x14ac:dyDescent="0.2">
      <c r="A1104" s="14" t="s">
        <v>2182</v>
      </c>
      <c r="B1104" s="26" t="s">
        <v>2183</v>
      </c>
      <c r="C1104" s="52"/>
      <c r="D1104" s="55">
        <f t="shared" si="17"/>
        <v>0</v>
      </c>
      <c r="E1104" s="63" t="str">
        <f>HYPERLINK("https://www.sds-group.ru/product/korobka-raspayachnaya-ou-d-85h40mm-ip54-upr-85-40-1-3-rexant-28-3009/", "Инфо")</f>
        <v>Инфо</v>
      </c>
      <c r="F1104" s="16" t="s">
        <v>39</v>
      </c>
      <c r="G1104" s="15"/>
      <c r="H1104" s="15"/>
      <c r="I1104" s="15"/>
      <c r="J1104" s="17">
        <v>483</v>
      </c>
      <c r="K1104" s="15"/>
      <c r="L1104" s="17">
        <v>10</v>
      </c>
      <c r="M1104" s="17">
        <v>120</v>
      </c>
      <c r="N1104" s="17">
        <v>10</v>
      </c>
      <c r="O1104" s="18">
        <v>83.72</v>
      </c>
      <c r="P1104" s="18">
        <v>68.62</v>
      </c>
      <c r="Q1104" s="18">
        <v>71.16</v>
      </c>
      <c r="R1104" s="18">
        <v>58.33</v>
      </c>
      <c r="S1104" s="18">
        <v>56.93</v>
      </c>
      <c r="T1104" s="18">
        <v>46.66</v>
      </c>
      <c r="U1104" s="16"/>
      <c r="V1104" s="16"/>
      <c r="W1104" s="16" t="s">
        <v>40</v>
      </c>
      <c r="X1104" s="19">
        <v>5.2999999999999999E-2</v>
      </c>
      <c r="Y1104" s="20">
        <v>5.1000000000000004E-4</v>
      </c>
      <c r="Z1104" s="21">
        <v>4601004150256</v>
      </c>
    </row>
    <row r="1105" spans="1:26" ht="12" customHeight="1" outlineLevel="4" x14ac:dyDescent="0.2">
      <c r="A1105" s="14" t="s">
        <v>2184</v>
      </c>
      <c r="B1105" s="26" t="s">
        <v>2185</v>
      </c>
      <c r="C1105" s="52"/>
      <c r="D1105" s="55">
        <f t="shared" si="17"/>
        <v>0</v>
      </c>
      <c r="E1105" s="63" t="str">
        <f>HYPERLINK("https://www.sds-group.ru/product/korobka-raspayachnaya-ou-65h40-mm-ip54-upr-65-40-1-3-rexant-28-3008/", "Инфо")</f>
        <v>Инфо</v>
      </c>
      <c r="F1105" s="16" t="s">
        <v>39</v>
      </c>
      <c r="G1105" s="15"/>
      <c r="H1105" s="15"/>
      <c r="I1105" s="15"/>
      <c r="J1105" s="22">
        <v>3088</v>
      </c>
      <c r="K1105" s="15"/>
      <c r="L1105" s="17">
        <v>10</v>
      </c>
      <c r="M1105" s="17">
        <v>180</v>
      </c>
      <c r="N1105" s="17">
        <v>10</v>
      </c>
      <c r="O1105" s="18">
        <v>68.09</v>
      </c>
      <c r="P1105" s="18">
        <v>55.81</v>
      </c>
      <c r="Q1105" s="18">
        <v>57.88</v>
      </c>
      <c r="R1105" s="18">
        <v>47.44</v>
      </c>
      <c r="S1105" s="18">
        <v>46.3</v>
      </c>
      <c r="T1105" s="18">
        <v>37.950000000000003</v>
      </c>
      <c r="U1105" s="16"/>
      <c r="V1105" s="16"/>
      <c r="W1105" s="16" t="s">
        <v>40</v>
      </c>
      <c r="X1105" s="19">
        <v>4.2999999999999997E-2</v>
      </c>
      <c r="Y1105" s="20">
        <v>2.9700000000000001E-4</v>
      </c>
      <c r="Z1105" s="21">
        <v>4601004150218</v>
      </c>
    </row>
    <row r="1106" spans="1:26" ht="12" customHeight="1" outlineLevel="4" x14ac:dyDescent="0.2">
      <c r="A1106" s="14" t="s">
        <v>2186</v>
      </c>
      <c r="B1106" s="26" t="s">
        <v>2187</v>
      </c>
      <c r="C1106" s="52"/>
      <c r="D1106" s="55">
        <f t="shared" si="17"/>
        <v>0</v>
      </c>
      <c r="E1106" s="63" t="str">
        <f>HYPERLINK("https://www.sds-group.ru/product/korobka-raspredelitelnaya-naruzhnogo-montazha-s-otkidnoy-kryshkoy-100h100h50-mm-ip54-rexant-28-3059/", "Инфо")</f>
        <v>Инфо</v>
      </c>
      <c r="F1106" s="16" t="s">
        <v>39</v>
      </c>
      <c r="G1106" s="15"/>
      <c r="H1106" s="15"/>
      <c r="I1106" s="15"/>
      <c r="J1106" s="22">
        <v>2157</v>
      </c>
      <c r="K1106" s="15"/>
      <c r="L1106" s="17">
        <v>10</v>
      </c>
      <c r="M1106" s="17">
        <v>60</v>
      </c>
      <c r="N1106" s="17">
        <v>10</v>
      </c>
      <c r="O1106" s="18">
        <v>106.36</v>
      </c>
      <c r="P1106" s="18">
        <v>87.18</v>
      </c>
      <c r="Q1106" s="18">
        <v>90.41</v>
      </c>
      <c r="R1106" s="18">
        <v>74.11</v>
      </c>
      <c r="S1106" s="18">
        <v>72.319999999999993</v>
      </c>
      <c r="T1106" s="18">
        <v>59.28</v>
      </c>
      <c r="U1106" s="16"/>
      <c r="V1106" s="16"/>
      <c r="W1106" s="16" t="s">
        <v>40</v>
      </c>
      <c r="X1106" s="19">
        <v>0.09</v>
      </c>
      <c r="Y1106" s="20">
        <v>8.4099999999999995E-4</v>
      </c>
      <c r="Z1106" s="21">
        <v>4601004238039</v>
      </c>
    </row>
    <row r="1107" spans="1:26" ht="12" customHeight="1" outlineLevel="4" x14ac:dyDescent="0.2">
      <c r="A1107" s="14" t="s">
        <v>2188</v>
      </c>
      <c r="B1107" s="26" t="s">
        <v>2189</v>
      </c>
      <c r="C1107" s="52"/>
      <c r="D1107" s="55">
        <f t="shared" si="17"/>
        <v>0</v>
      </c>
      <c r="E1107" s="63" t="str">
        <f>HYPERLINK("https://www.sds-group.ru/product/korobka-raspredelitelnaya-naruzhnogo-montazha-s-otkidnoy-kryshkoy-80h80h50-mm-ip54-rexant-28-3064/", "Инфо")</f>
        <v>Инфо</v>
      </c>
      <c r="F1107" s="16" t="s">
        <v>39</v>
      </c>
      <c r="G1107" s="15"/>
      <c r="H1107" s="15"/>
      <c r="I1107" s="15"/>
      <c r="J1107" s="22">
        <v>2722</v>
      </c>
      <c r="K1107" s="15"/>
      <c r="L1107" s="17">
        <v>10</v>
      </c>
      <c r="M1107" s="17">
        <v>100</v>
      </c>
      <c r="N1107" s="17">
        <v>10</v>
      </c>
      <c r="O1107" s="18">
        <v>73.459999999999994</v>
      </c>
      <c r="P1107" s="18">
        <v>60.21</v>
      </c>
      <c r="Q1107" s="18">
        <v>62.44</v>
      </c>
      <c r="R1107" s="18">
        <v>51.18</v>
      </c>
      <c r="S1107" s="18">
        <v>49.95</v>
      </c>
      <c r="T1107" s="18">
        <v>40.94</v>
      </c>
      <c r="U1107" s="16"/>
      <c r="V1107" s="16"/>
      <c r="W1107" s="16" t="s">
        <v>40</v>
      </c>
      <c r="X1107" s="19">
        <v>6.4000000000000001E-2</v>
      </c>
      <c r="Y1107" s="20">
        <v>6.2399999999999999E-4</v>
      </c>
      <c r="Z1107" s="21">
        <v>4601004238046</v>
      </c>
    </row>
    <row r="1108" spans="1:26" ht="12.95" customHeight="1" outlineLevel="3" x14ac:dyDescent="0.2">
      <c r="A1108" s="76" t="s">
        <v>2190</v>
      </c>
      <c r="B1108" s="76"/>
      <c r="C1108" s="77"/>
      <c r="D1108" s="58"/>
      <c r="E1108" s="68"/>
      <c r="F1108" s="13"/>
      <c r="G1108" s="13"/>
      <c r="H1108" s="13"/>
      <c r="I1108" s="13"/>
      <c r="J1108" s="13"/>
      <c r="K1108" s="13"/>
      <c r="L1108" s="13"/>
      <c r="M1108" s="13"/>
      <c r="N1108" s="13"/>
      <c r="O1108" s="13"/>
      <c r="P1108" s="13"/>
      <c r="Q1108" s="13"/>
      <c r="R1108" s="13"/>
      <c r="S1108" s="13"/>
      <c r="T1108" s="13"/>
      <c r="U1108" s="13"/>
      <c r="V1108" s="13"/>
      <c r="W1108" s="13"/>
      <c r="X1108" s="13"/>
      <c r="Y1108" s="13"/>
      <c r="Z1108" s="13"/>
    </row>
    <row r="1109" spans="1:26" ht="12" customHeight="1" outlineLevel="4" x14ac:dyDescent="0.2">
      <c r="A1109" s="14" t="s">
        <v>2191</v>
      </c>
      <c r="B1109" s="26" t="s">
        <v>2192</v>
      </c>
      <c r="C1109" s="52"/>
      <c r="D1109" s="55">
        <f t="shared" si="17"/>
        <v>0</v>
      </c>
      <c r="E1109" s="63" t="str">
        <f>HYPERLINK("https://www.sds-group.ru/product/korobka-raspayachnaya-su-d-80h40-mm-rexant-28-3027/", "Инфо")</f>
        <v>Инфо</v>
      </c>
      <c r="F1109" s="16" t="s">
        <v>39</v>
      </c>
      <c r="G1109" s="15"/>
      <c r="H1109" s="15"/>
      <c r="I1109" s="15"/>
      <c r="J1109" s="22">
        <v>3361</v>
      </c>
      <c r="K1109" s="15"/>
      <c r="L1109" s="17">
        <v>10</v>
      </c>
      <c r="M1109" s="17">
        <v>175</v>
      </c>
      <c r="N1109" s="17">
        <v>10</v>
      </c>
      <c r="O1109" s="18">
        <v>52.01</v>
      </c>
      <c r="P1109" s="18">
        <v>42.63</v>
      </c>
      <c r="Q1109" s="18">
        <v>44.21</v>
      </c>
      <c r="R1109" s="18">
        <v>36.24</v>
      </c>
      <c r="S1109" s="18">
        <v>35.369999999999997</v>
      </c>
      <c r="T1109" s="18">
        <v>28.99</v>
      </c>
      <c r="U1109" s="16"/>
      <c r="V1109" s="16"/>
      <c r="W1109" s="16" t="s">
        <v>40</v>
      </c>
      <c r="X1109" s="19">
        <v>4.1000000000000002E-2</v>
      </c>
      <c r="Y1109" s="20">
        <v>4.1599999999999997E-4</v>
      </c>
      <c r="Z1109" s="21">
        <v>4601004152373</v>
      </c>
    </row>
    <row r="1110" spans="1:26" ht="12" customHeight="1" outlineLevel="4" x14ac:dyDescent="0.2">
      <c r="A1110" s="14" t="s">
        <v>2193</v>
      </c>
      <c r="B1110" s="26" t="s">
        <v>2194</v>
      </c>
      <c r="C1110" s="52"/>
      <c r="D1110" s="55">
        <f t="shared" si="17"/>
        <v>0</v>
      </c>
      <c r="E1110" s="63" t="str">
        <f>HYPERLINK("https://www.sds-group.ru/product/korobka-raspayachnaya-su-dlya-polyh-sten-120h92h45-mm-rexant-28-3045/", "Инфо")</f>
        <v>Инфо</v>
      </c>
      <c r="F1110" s="16" t="s">
        <v>39</v>
      </c>
      <c r="G1110" s="15"/>
      <c r="H1110" s="15"/>
      <c r="I1110" s="15"/>
      <c r="J1110" s="22">
        <v>1103</v>
      </c>
      <c r="K1110" s="15" t="s">
        <v>1408</v>
      </c>
      <c r="L1110" s="17">
        <v>10</v>
      </c>
      <c r="M1110" s="17">
        <v>98</v>
      </c>
      <c r="N1110" s="17">
        <v>10</v>
      </c>
      <c r="O1110" s="18">
        <v>143.55000000000001</v>
      </c>
      <c r="P1110" s="18">
        <v>117.66</v>
      </c>
      <c r="Q1110" s="18">
        <v>122.02</v>
      </c>
      <c r="R1110" s="18">
        <v>100.02</v>
      </c>
      <c r="S1110" s="18">
        <v>97.61</v>
      </c>
      <c r="T1110" s="18">
        <v>80.010000000000005</v>
      </c>
      <c r="U1110" s="16"/>
      <c r="V1110" s="16"/>
      <c r="W1110" s="16" t="s">
        <v>40</v>
      </c>
      <c r="X1110" s="19">
        <v>0.08</v>
      </c>
      <c r="Y1110" s="20">
        <v>7.3999999999999999E-4</v>
      </c>
      <c r="Z1110" s="21">
        <v>4601004152472</v>
      </c>
    </row>
    <row r="1111" spans="1:26" ht="12" customHeight="1" outlineLevel="4" x14ac:dyDescent="0.2">
      <c r="A1111" s="14" t="s">
        <v>2195</v>
      </c>
      <c r="B1111" s="26" t="s">
        <v>2196</v>
      </c>
      <c r="C1111" s="52"/>
      <c r="D1111" s="55">
        <f t="shared" si="17"/>
        <v>0</v>
      </c>
      <c r="E1111" s="63" t="str">
        <f>HYPERLINK("https://www.sds-group.ru/product/korobka-raspayachnaya-su-dlya-polyh-sten-d-80h40-mm-rexant-28-3044/", "Инфо")</f>
        <v>Инфо</v>
      </c>
      <c r="F1111" s="16" t="s">
        <v>39</v>
      </c>
      <c r="G1111" s="15"/>
      <c r="H1111" s="15"/>
      <c r="I1111" s="15"/>
      <c r="J1111" s="22">
        <v>1541</v>
      </c>
      <c r="K1111" s="15" t="s">
        <v>1408</v>
      </c>
      <c r="L1111" s="17">
        <v>10</v>
      </c>
      <c r="M1111" s="17">
        <v>175</v>
      </c>
      <c r="N1111" s="17">
        <v>10</v>
      </c>
      <c r="O1111" s="18">
        <v>67.209999999999994</v>
      </c>
      <c r="P1111" s="18">
        <v>55.09</v>
      </c>
      <c r="Q1111" s="18">
        <v>57.13</v>
      </c>
      <c r="R1111" s="18">
        <v>46.83</v>
      </c>
      <c r="S1111" s="18">
        <v>45.7</v>
      </c>
      <c r="T1111" s="18">
        <v>37.46</v>
      </c>
      <c r="U1111" s="16"/>
      <c r="V1111" s="16"/>
      <c r="W1111" s="16" t="s">
        <v>40</v>
      </c>
      <c r="X1111" s="19">
        <v>3.7999999999999999E-2</v>
      </c>
      <c r="Y1111" s="20">
        <v>4.2200000000000001E-4</v>
      </c>
      <c r="Z1111" s="21">
        <v>4601004152458</v>
      </c>
    </row>
    <row r="1112" spans="1:26" ht="12.95" customHeight="1" outlineLevel="3" x14ac:dyDescent="0.2">
      <c r="A1112" s="76" t="s">
        <v>2197</v>
      </c>
      <c r="B1112" s="76"/>
      <c r="C1112" s="77"/>
      <c r="D1112" s="58"/>
      <c r="E1112" s="68"/>
      <c r="F1112" s="13"/>
      <c r="G1112" s="13"/>
      <c r="H1112" s="13"/>
      <c r="I1112" s="13"/>
      <c r="J1112" s="13"/>
      <c r="K1112" s="13"/>
      <c r="L1112" s="13"/>
      <c r="M1112" s="13"/>
      <c r="N1112" s="13"/>
      <c r="O1112" s="13"/>
      <c r="P1112" s="13"/>
      <c r="Q1112" s="13"/>
      <c r="R1112" s="13"/>
      <c r="S1112" s="13"/>
      <c r="T1112" s="13"/>
      <c r="U1112" s="13"/>
      <c r="V1112" s="13"/>
      <c r="W1112" s="13"/>
      <c r="X1112" s="13"/>
      <c r="Y1112" s="13"/>
      <c r="Z1112" s="13"/>
    </row>
    <row r="1113" spans="1:26" ht="12" customHeight="1" outlineLevel="4" x14ac:dyDescent="0.2">
      <c r="A1113" s="14" t="s">
        <v>2198</v>
      </c>
      <c r="B1113" s="26" t="s">
        <v>2199</v>
      </c>
      <c r="C1113" s="52"/>
      <c r="D1113" s="55">
        <f t="shared" si="17"/>
        <v>0</v>
      </c>
      <c r="E1113" s="63" t="str">
        <f>HYPERLINK("https://www.sds-group.ru/product/korobka-ustanovochnaya-beton-kirpich-68h45-mm-s3m2-rexant-28-3038/", "Инфо")</f>
        <v>Инфо</v>
      </c>
      <c r="F1113" s="16" t="s">
        <v>39</v>
      </c>
      <c r="G1113" s="15"/>
      <c r="H1113" s="15"/>
      <c r="I1113" s="15"/>
      <c r="J1113" s="22">
        <v>5271</v>
      </c>
      <c r="K1113" s="15"/>
      <c r="L1113" s="17">
        <v>200</v>
      </c>
      <c r="M1113" s="17">
        <v>200</v>
      </c>
      <c r="N1113" s="17">
        <v>200</v>
      </c>
      <c r="O1113" s="18">
        <v>16.600000000000001</v>
      </c>
      <c r="P1113" s="18">
        <v>13.61</v>
      </c>
      <c r="Q1113" s="18">
        <v>14.11</v>
      </c>
      <c r="R1113" s="18">
        <v>11.57</v>
      </c>
      <c r="S1113" s="18">
        <v>11.29</v>
      </c>
      <c r="T1113" s="18">
        <v>9.25</v>
      </c>
      <c r="U1113" s="16"/>
      <c r="V1113" s="16"/>
      <c r="W1113" s="16" t="s">
        <v>40</v>
      </c>
      <c r="X1113" s="19">
        <v>1.7000000000000001E-2</v>
      </c>
      <c r="Y1113" s="20">
        <v>2.7900000000000001E-4</v>
      </c>
      <c r="Z1113" s="21">
        <v>4601004151413</v>
      </c>
    </row>
    <row r="1114" spans="1:26" ht="12" customHeight="1" outlineLevel="4" x14ac:dyDescent="0.2">
      <c r="A1114" s="14" t="s">
        <v>2200</v>
      </c>
      <c r="B1114" s="26" t="s">
        <v>2201</v>
      </c>
      <c r="C1114" s="52"/>
      <c r="D1114" s="55">
        <f t="shared" si="17"/>
        <v>0</v>
      </c>
      <c r="E1114" s="63" t="str">
        <f>HYPERLINK("https://www.sds-group.ru/product/korobka-ustanovochnaya-beton-kirpich-blochnaya-68h45-mm-s3m3-rexant-28-3046/", "Инфо")</f>
        <v>Инфо</v>
      </c>
      <c r="F1114" s="16" t="s">
        <v>39</v>
      </c>
      <c r="G1114" s="15"/>
      <c r="H1114" s="15"/>
      <c r="I1114" s="15"/>
      <c r="J1114" s="22">
        <v>18877</v>
      </c>
      <c r="K1114" s="15"/>
      <c r="L1114" s="17">
        <v>200</v>
      </c>
      <c r="M1114" s="17">
        <v>200</v>
      </c>
      <c r="N1114" s="17">
        <v>200</v>
      </c>
      <c r="O1114" s="18">
        <v>17.89</v>
      </c>
      <c r="P1114" s="18">
        <v>14.66</v>
      </c>
      <c r="Q1114" s="18">
        <v>15.21</v>
      </c>
      <c r="R1114" s="18">
        <v>12.47</v>
      </c>
      <c r="S1114" s="18">
        <v>12.17</v>
      </c>
      <c r="T1114" s="18">
        <v>9.98</v>
      </c>
      <c r="U1114" s="16"/>
      <c r="V1114" s="16"/>
      <c r="W1114" s="16" t="s">
        <v>40</v>
      </c>
      <c r="X1114" s="19">
        <v>1.9E-2</v>
      </c>
      <c r="Y1114" s="20">
        <v>2.8299999999999999E-4</v>
      </c>
      <c r="Z1114" s="21">
        <v>4601004151437</v>
      </c>
    </row>
    <row r="1115" spans="1:26" ht="12" customHeight="1" outlineLevel="4" x14ac:dyDescent="0.2">
      <c r="A1115" s="14" t="s">
        <v>2202</v>
      </c>
      <c r="B1115" s="26" t="s">
        <v>2203</v>
      </c>
      <c r="C1115" s="52"/>
      <c r="D1115" s="55">
        <f t="shared" si="17"/>
        <v>0</v>
      </c>
      <c r="E1115" s="63" t="str">
        <f>HYPERLINK("https://www.sds-group.ru/product/korobka-ustanovochnaya-dlya-polyh-sten-68h45-mm-s3e3-rexant-28-3039/", "Инфо")</f>
        <v>Инфо</v>
      </c>
      <c r="F1115" s="16" t="s">
        <v>39</v>
      </c>
      <c r="G1115" s="15"/>
      <c r="H1115" s="15"/>
      <c r="I1115" s="15"/>
      <c r="J1115" s="22">
        <v>11680</v>
      </c>
      <c r="K1115" s="15"/>
      <c r="L1115" s="17">
        <v>200</v>
      </c>
      <c r="M1115" s="17">
        <v>200</v>
      </c>
      <c r="N1115" s="17">
        <v>200</v>
      </c>
      <c r="O1115" s="18">
        <v>24.62</v>
      </c>
      <c r="P1115" s="18">
        <v>20.18</v>
      </c>
      <c r="Q1115" s="18">
        <v>20.93</v>
      </c>
      <c r="R1115" s="18">
        <v>17.16</v>
      </c>
      <c r="S1115" s="18">
        <v>16.739999999999998</v>
      </c>
      <c r="T1115" s="18">
        <v>13.72</v>
      </c>
      <c r="U1115" s="16"/>
      <c r="V1115" s="16"/>
      <c r="W1115" s="16" t="s">
        <v>40</v>
      </c>
      <c r="X1115" s="19">
        <v>0.02</v>
      </c>
      <c r="Y1115" s="20">
        <v>2.8800000000000001E-4</v>
      </c>
      <c r="Z1115" s="21">
        <v>4601004151420</v>
      </c>
    </row>
    <row r="1116" spans="1:26" ht="12" customHeight="1" outlineLevel="4" x14ac:dyDescent="0.2">
      <c r="A1116" s="14" t="s">
        <v>2204</v>
      </c>
      <c r="B1116" s="26" t="s">
        <v>2205</v>
      </c>
      <c r="C1116" s="52"/>
      <c r="D1116" s="55">
        <f t="shared" si="17"/>
        <v>0</v>
      </c>
      <c r="E1116" s="63" t="str">
        <f>HYPERLINK("https://www.sds-group.ru/product/korobka-ustanovochnaya-beton-kirpich-glubokaya-blochnaya-68h60-mm-s3m4-rexant-28-3047/", "Инфо")</f>
        <v>Инфо</v>
      </c>
      <c r="F1116" s="16" t="s">
        <v>39</v>
      </c>
      <c r="G1116" s="15"/>
      <c r="H1116" s="15"/>
      <c r="I1116" s="15"/>
      <c r="J1116" s="22">
        <v>17906</v>
      </c>
      <c r="K1116" s="15"/>
      <c r="L1116" s="17">
        <v>160</v>
      </c>
      <c r="M1116" s="17">
        <v>160</v>
      </c>
      <c r="N1116" s="17">
        <v>160</v>
      </c>
      <c r="O1116" s="18">
        <v>25.96</v>
      </c>
      <c r="P1116" s="18">
        <v>21.28</v>
      </c>
      <c r="Q1116" s="18">
        <v>22.07</v>
      </c>
      <c r="R1116" s="18">
        <v>18.09</v>
      </c>
      <c r="S1116" s="18">
        <v>17.649999999999999</v>
      </c>
      <c r="T1116" s="18">
        <v>14.47</v>
      </c>
      <c r="U1116" s="16"/>
      <c r="V1116" s="16"/>
      <c r="W1116" s="16" t="s">
        <v>40</v>
      </c>
      <c r="X1116" s="19">
        <v>2.4E-2</v>
      </c>
      <c r="Y1116" s="20">
        <v>3.9800000000000002E-4</v>
      </c>
      <c r="Z1116" s="21">
        <v>4601004151444</v>
      </c>
    </row>
    <row r="1117" spans="1:26" ht="12" customHeight="1" outlineLevel="4" x14ac:dyDescent="0.2">
      <c r="A1117" s="14" t="s">
        <v>2206</v>
      </c>
      <c r="B1117" s="26" t="s">
        <v>2207</v>
      </c>
      <c r="C1117" s="52"/>
      <c r="D1117" s="55">
        <f t="shared" si="17"/>
        <v>0</v>
      </c>
      <c r="E1117" s="63" t="str">
        <f>HYPERLINK("https://www.sds-group.ru/product/kryshka-dlya-ustanovochnyh-korobok-podrozetnika-belaya-74-mm-rexant-28-3049/", "Инфо")</f>
        <v>Инфо</v>
      </c>
      <c r="F1117" s="16" t="s">
        <v>39</v>
      </c>
      <c r="G1117" s="15"/>
      <c r="H1117" s="15"/>
      <c r="I1117" s="15"/>
      <c r="J1117" s="22">
        <v>13530</v>
      </c>
      <c r="K1117" s="15"/>
      <c r="L1117" s="17">
        <v>100</v>
      </c>
      <c r="M1117" s="17">
        <v>70</v>
      </c>
      <c r="N1117" s="17">
        <v>100</v>
      </c>
      <c r="O1117" s="18">
        <v>11.97</v>
      </c>
      <c r="P1117" s="18">
        <v>9.81</v>
      </c>
      <c r="Q1117" s="18">
        <v>10.17</v>
      </c>
      <c r="R1117" s="18">
        <v>8.34</v>
      </c>
      <c r="S1117" s="18">
        <v>8.14</v>
      </c>
      <c r="T1117" s="18">
        <v>6.67</v>
      </c>
      <c r="U1117" s="16"/>
      <c r="V1117" s="16"/>
      <c r="W1117" s="16" t="s">
        <v>40</v>
      </c>
      <c r="X1117" s="19">
        <v>6.0000000000000001E-3</v>
      </c>
      <c r="Y1117" s="20">
        <v>2.0999999999999999E-5</v>
      </c>
      <c r="Z1117" s="21">
        <v>4601004150270</v>
      </c>
    </row>
    <row r="1118" spans="1:26" ht="12.95" customHeight="1" outlineLevel="3" x14ac:dyDescent="0.2">
      <c r="A1118" s="76" t="s">
        <v>2208</v>
      </c>
      <c r="B1118" s="76"/>
      <c r="C1118" s="77"/>
      <c r="D1118" s="58"/>
      <c r="E1118" s="68"/>
      <c r="F1118" s="13"/>
      <c r="G1118" s="13"/>
      <c r="H1118" s="13"/>
      <c r="I1118" s="13"/>
      <c r="J1118" s="13"/>
      <c r="K1118" s="13"/>
      <c r="L1118" s="13"/>
      <c r="M1118" s="13"/>
      <c r="N1118" s="13"/>
      <c r="O1118" s="13"/>
      <c r="P1118" s="13"/>
      <c r="Q1118" s="13"/>
      <c r="R1118" s="13"/>
      <c r="S1118" s="13"/>
      <c r="T1118" s="13"/>
      <c r="U1118" s="13"/>
      <c r="V1118" s="13"/>
      <c r="W1118" s="13"/>
      <c r="X1118" s="13"/>
      <c r="Y1118" s="13"/>
      <c r="Z1118" s="13"/>
    </row>
    <row r="1119" spans="1:26" ht="12" customHeight="1" outlineLevel="4" x14ac:dyDescent="0.2">
      <c r="A1119" s="14" t="s">
        <v>2209</v>
      </c>
      <c r="B1119" s="26" t="s">
        <v>2210</v>
      </c>
      <c r="C1119" s="52"/>
      <c r="D1119" s="55">
        <f t="shared" si="17"/>
        <v>0</v>
      </c>
      <c r="E1119" s="63" t="str">
        <f>HYPERLINK("https://www.sds-group.ru/product/korobka-uravnivaniya-potentsialov-ou-100-100-50-mm-vint-ip55-rexant-28-3051/", "Инфо")</f>
        <v>Инфо</v>
      </c>
      <c r="F1119" s="16" t="s">
        <v>39</v>
      </c>
      <c r="G1119" s="15"/>
      <c r="H1119" s="15"/>
      <c r="I1119" s="15"/>
      <c r="J1119" s="17">
        <v>263</v>
      </c>
      <c r="K1119" s="15"/>
      <c r="L1119" s="17">
        <v>5</v>
      </c>
      <c r="M1119" s="17">
        <v>48</v>
      </c>
      <c r="N1119" s="17">
        <v>5</v>
      </c>
      <c r="O1119" s="18">
        <v>401.39</v>
      </c>
      <c r="P1119" s="18">
        <v>329.01</v>
      </c>
      <c r="Q1119" s="18">
        <v>341.18</v>
      </c>
      <c r="R1119" s="18">
        <v>279.66000000000003</v>
      </c>
      <c r="S1119" s="18">
        <v>272.95</v>
      </c>
      <c r="T1119" s="18">
        <v>223.73</v>
      </c>
      <c r="U1119" s="16"/>
      <c r="V1119" s="16"/>
      <c r="W1119" s="16" t="s">
        <v>40</v>
      </c>
      <c r="X1119" s="19">
        <v>0.152</v>
      </c>
      <c r="Y1119" s="20">
        <v>7.7499999999999997E-4</v>
      </c>
      <c r="Z1119" s="21">
        <v>4601004152519</v>
      </c>
    </row>
    <row r="1120" spans="1:26" ht="12" customHeight="1" outlineLevel="4" x14ac:dyDescent="0.2">
      <c r="A1120" s="14" t="s">
        <v>2211</v>
      </c>
      <c r="B1120" s="26" t="s">
        <v>2212</v>
      </c>
      <c r="C1120" s="52"/>
      <c r="D1120" s="55">
        <f t="shared" si="17"/>
        <v>0</v>
      </c>
      <c r="E1120" s="63" t="str">
        <f>HYPERLINK("https://www.sds-group.ru/product/korobka-uravnivaniya-potentsialov-ou-85-85-40-mm-ip44-rexant-28-3050/", "Инфо")</f>
        <v>Инфо</v>
      </c>
      <c r="F1120" s="16" t="s">
        <v>39</v>
      </c>
      <c r="G1120" s="15"/>
      <c r="H1120" s="15"/>
      <c r="I1120" s="15"/>
      <c r="J1120" s="17">
        <v>937</v>
      </c>
      <c r="K1120" s="15"/>
      <c r="L1120" s="17">
        <v>5</v>
      </c>
      <c r="M1120" s="17">
        <v>60</v>
      </c>
      <c r="N1120" s="17">
        <v>5</v>
      </c>
      <c r="O1120" s="18">
        <v>346.79</v>
      </c>
      <c r="P1120" s="18">
        <v>284.25</v>
      </c>
      <c r="Q1120" s="18">
        <v>294.77</v>
      </c>
      <c r="R1120" s="18">
        <v>241.61</v>
      </c>
      <c r="S1120" s="18">
        <v>235.82</v>
      </c>
      <c r="T1120" s="18">
        <v>193.3</v>
      </c>
      <c r="U1120" s="16"/>
      <c r="V1120" s="16"/>
      <c r="W1120" s="16" t="s">
        <v>40</v>
      </c>
      <c r="X1120" s="19">
        <v>9.2999999999999999E-2</v>
      </c>
      <c r="Y1120" s="20">
        <v>4.7600000000000002E-4</v>
      </c>
      <c r="Z1120" s="21">
        <v>4601004152496</v>
      </c>
    </row>
    <row r="1121" spans="1:26" ht="12.95" customHeight="1" outlineLevel="3" x14ac:dyDescent="0.2">
      <c r="A1121" s="76" t="s">
        <v>2213</v>
      </c>
      <c r="B1121" s="76"/>
      <c r="C1121" s="77"/>
      <c r="D1121" s="58"/>
      <c r="E1121" s="68"/>
      <c r="F1121" s="13"/>
      <c r="G1121" s="13"/>
      <c r="H1121" s="13"/>
      <c r="I1121" s="13"/>
      <c r="J1121" s="13"/>
      <c r="K1121" s="13"/>
      <c r="L1121" s="13"/>
      <c r="M1121" s="13"/>
      <c r="N1121" s="13"/>
      <c r="O1121" s="13"/>
      <c r="P1121" s="13"/>
      <c r="Q1121" s="13"/>
      <c r="R1121" s="13"/>
      <c r="S1121" s="13"/>
      <c r="T1121" s="13"/>
      <c r="U1121" s="13"/>
      <c r="V1121" s="13"/>
      <c r="W1121" s="13"/>
      <c r="X1121" s="13"/>
      <c r="Y1121" s="13"/>
      <c r="Z1121" s="13"/>
    </row>
    <row r="1122" spans="1:26" ht="12" customHeight="1" outlineLevel="4" x14ac:dyDescent="0.2">
      <c r="A1122" s="14" t="s">
        <v>2214</v>
      </c>
      <c r="B1122" s="26" t="s">
        <v>2215</v>
      </c>
      <c r="C1122" s="52"/>
      <c r="D1122" s="55">
        <f t="shared" si="17"/>
        <v>0</v>
      </c>
      <c r="E1122" s="63" t="str">
        <f>HYPERLINK("https://www.sds-group.ru/product/korobka-montazhnaya-dlya-kamer-videonablyudeniya-131h46-5-mm-ip55-rexant-28-4003/", "Инфо")</f>
        <v>Инфо</v>
      </c>
      <c r="F1122" s="16" t="s">
        <v>39</v>
      </c>
      <c r="G1122" s="15"/>
      <c r="H1122" s="15"/>
      <c r="I1122" s="15"/>
      <c r="J1122" s="17">
        <v>368</v>
      </c>
      <c r="K1122" s="15"/>
      <c r="L1122" s="17">
        <v>5</v>
      </c>
      <c r="M1122" s="17">
        <v>30</v>
      </c>
      <c r="N1122" s="17">
        <v>5</v>
      </c>
      <c r="O1122" s="18">
        <v>560.39</v>
      </c>
      <c r="P1122" s="18">
        <v>459.34</v>
      </c>
      <c r="Q1122" s="18">
        <v>448.31</v>
      </c>
      <c r="R1122" s="18">
        <v>367.47</v>
      </c>
      <c r="S1122" s="18">
        <v>381.07</v>
      </c>
      <c r="T1122" s="18">
        <v>312.35000000000002</v>
      </c>
      <c r="U1122" s="16"/>
      <c r="V1122" s="16"/>
      <c r="W1122" s="16" t="s">
        <v>40</v>
      </c>
      <c r="X1122" s="19">
        <v>0.122</v>
      </c>
      <c r="Y1122" s="20">
        <v>8.0400000000000003E-4</v>
      </c>
      <c r="Z1122" s="21">
        <v>4601004161443</v>
      </c>
    </row>
    <row r="1123" spans="1:26" ht="12" customHeight="1" outlineLevel="4" x14ac:dyDescent="0.2">
      <c r="A1123" s="14" t="s">
        <v>2216</v>
      </c>
      <c r="B1123" s="26" t="s">
        <v>2217</v>
      </c>
      <c r="C1123" s="52"/>
      <c r="D1123" s="55">
        <f t="shared" si="17"/>
        <v>0</v>
      </c>
      <c r="E1123" s="63" t="str">
        <f>HYPERLINK("https://www.sds-group.ru/product/korobka-montazhnaya-dlya-kamer-videonablyudeniya-140h140h66-mm-ip56-rexant-28-4010/", "Инфо")</f>
        <v>Инфо</v>
      </c>
      <c r="F1123" s="16" t="s">
        <v>39</v>
      </c>
      <c r="G1123" s="15"/>
      <c r="H1123" s="15"/>
      <c r="I1123" s="15"/>
      <c r="J1123" s="17">
        <v>85</v>
      </c>
      <c r="K1123" s="15"/>
      <c r="L1123" s="17">
        <v>1</v>
      </c>
      <c r="M1123" s="17">
        <v>30</v>
      </c>
      <c r="N1123" s="17">
        <v>1</v>
      </c>
      <c r="O1123" s="18">
        <v>634.37</v>
      </c>
      <c r="P1123" s="18">
        <v>519.98</v>
      </c>
      <c r="Q1123" s="18">
        <v>507.5</v>
      </c>
      <c r="R1123" s="18">
        <v>415.98</v>
      </c>
      <c r="S1123" s="18">
        <v>431.37</v>
      </c>
      <c r="T1123" s="18">
        <v>353.58</v>
      </c>
      <c r="U1123" s="16"/>
      <c r="V1123" s="16"/>
      <c r="W1123" s="16" t="s">
        <v>40</v>
      </c>
      <c r="X1123" s="19">
        <v>0.26200000000000001</v>
      </c>
      <c r="Y1123" s="20">
        <v>1.266E-3</v>
      </c>
      <c r="Z1123" s="21">
        <v>4601004196599</v>
      </c>
    </row>
    <row r="1124" spans="1:26" ht="12" customHeight="1" outlineLevel="4" x14ac:dyDescent="0.2">
      <c r="A1124" s="14" t="s">
        <v>2218</v>
      </c>
      <c r="B1124" s="26" t="s">
        <v>2219</v>
      </c>
      <c r="C1124" s="52"/>
      <c r="D1124" s="55">
        <f t="shared" si="17"/>
        <v>0</v>
      </c>
      <c r="E1124" s="63" t="str">
        <f>HYPERLINK("https://www.sds-group.ru/product/korobka-montazhnaya-dlya-kamer-videonablyudeniya130h130h50-mm-rexant-28-4001/", "Инфо")</f>
        <v>Инфо</v>
      </c>
      <c r="F1124" s="16" t="s">
        <v>39</v>
      </c>
      <c r="G1124" s="15"/>
      <c r="H1124" s="15"/>
      <c r="I1124" s="15"/>
      <c r="J1124" s="22">
        <v>2302</v>
      </c>
      <c r="K1124" s="15"/>
      <c r="L1124" s="17">
        <v>1</v>
      </c>
      <c r="M1124" s="17">
        <v>60</v>
      </c>
      <c r="N1124" s="17">
        <v>1</v>
      </c>
      <c r="O1124" s="18">
        <v>680.47</v>
      </c>
      <c r="P1124" s="18">
        <v>557.76</v>
      </c>
      <c r="Q1124" s="18">
        <v>544.38</v>
      </c>
      <c r="R1124" s="18">
        <v>446.21</v>
      </c>
      <c r="S1124" s="18">
        <v>462.72</v>
      </c>
      <c r="T1124" s="18">
        <v>379.28</v>
      </c>
      <c r="U1124" s="16"/>
      <c r="V1124" s="16"/>
      <c r="W1124" s="16" t="s">
        <v>40</v>
      </c>
      <c r="X1124" s="19">
        <v>0.20399999999999999</v>
      </c>
      <c r="Y1124" s="20">
        <v>1.1869999999999999E-3</v>
      </c>
      <c r="Z1124" s="21">
        <v>4601004161580</v>
      </c>
    </row>
    <row r="1125" spans="1:26" ht="12" customHeight="1" outlineLevel="4" x14ac:dyDescent="0.2">
      <c r="A1125" s="32" t="s">
        <v>2220</v>
      </c>
      <c r="B1125" s="74" t="s">
        <v>2221</v>
      </c>
      <c r="C1125" s="50"/>
      <c r="D1125" s="53">
        <f t="shared" si="17"/>
        <v>0</v>
      </c>
      <c r="E1125" s="60" t="str">
        <f>HYPERLINK("https://www.sds-group.ru/product/krestovina-kronshteyna-dlya-kamer-videonablyudeniya-rexant-28-4007/", "Инфо")</f>
        <v>Инфо</v>
      </c>
      <c r="F1125" s="34" t="s">
        <v>39</v>
      </c>
      <c r="G1125" s="33"/>
      <c r="H1125" s="33" t="s">
        <v>40</v>
      </c>
      <c r="I1125" s="33"/>
      <c r="J1125" s="35">
        <v>238</v>
      </c>
      <c r="K1125" s="33"/>
      <c r="L1125" s="35">
        <v>1</v>
      </c>
      <c r="M1125" s="35">
        <v>50</v>
      </c>
      <c r="N1125" s="35">
        <v>1</v>
      </c>
      <c r="O1125" s="36">
        <v>66.930000000000007</v>
      </c>
      <c r="P1125" s="36">
        <v>54.86</v>
      </c>
      <c r="Q1125" s="36">
        <v>46.85</v>
      </c>
      <c r="R1125" s="36">
        <v>38.4</v>
      </c>
      <c r="S1125" s="36">
        <v>45.51</v>
      </c>
      <c r="T1125" s="36">
        <v>37.299999999999997</v>
      </c>
      <c r="U1125" s="34"/>
      <c r="V1125" s="34"/>
      <c r="W1125" s="34"/>
      <c r="X1125" s="37">
        <v>7.5999999999999998E-2</v>
      </c>
      <c r="Y1125" s="38">
        <v>9.19E-4</v>
      </c>
      <c r="Z1125" s="21">
        <v>4601004161528</v>
      </c>
    </row>
    <row r="1126" spans="1:26" ht="12" customHeight="1" outlineLevel="4" x14ac:dyDescent="0.2">
      <c r="A1126" s="32" t="s">
        <v>2222</v>
      </c>
      <c r="B1126" s="74" t="s">
        <v>2223</v>
      </c>
      <c r="C1126" s="50"/>
      <c r="D1126" s="53">
        <f t="shared" si="17"/>
        <v>0</v>
      </c>
      <c r="E1126" s="60" t="str">
        <f>HYPERLINK("https://www.sds-group.ru/product/platforma-kronshteyna-gluhaya-dlya-kamer-videonablyudeniya-rexant-28-4008/", "Инфо")</f>
        <v>Инфо</v>
      </c>
      <c r="F1126" s="34" t="s">
        <v>39</v>
      </c>
      <c r="G1126" s="33"/>
      <c r="H1126" s="33" t="s">
        <v>40</v>
      </c>
      <c r="I1126" s="33"/>
      <c r="J1126" s="39">
        <v>1390</v>
      </c>
      <c r="K1126" s="33"/>
      <c r="L1126" s="35">
        <v>1</v>
      </c>
      <c r="M1126" s="35">
        <v>100</v>
      </c>
      <c r="N1126" s="35">
        <v>1</v>
      </c>
      <c r="O1126" s="36">
        <v>59.01</v>
      </c>
      <c r="P1126" s="36">
        <v>48.37</v>
      </c>
      <c r="Q1126" s="36">
        <v>41.31</v>
      </c>
      <c r="R1126" s="36">
        <v>33.86</v>
      </c>
      <c r="S1126" s="36">
        <v>40.130000000000003</v>
      </c>
      <c r="T1126" s="36">
        <v>32.89</v>
      </c>
      <c r="U1126" s="34"/>
      <c r="V1126" s="34"/>
      <c r="W1126" s="34"/>
      <c r="X1126" s="37">
        <v>5.8000000000000003E-2</v>
      </c>
      <c r="Y1126" s="38">
        <v>2.6200000000000003E-4</v>
      </c>
      <c r="Z1126" s="21">
        <v>4601004161542</v>
      </c>
    </row>
    <row r="1127" spans="1:26" ht="12" customHeight="1" outlineLevel="4" x14ac:dyDescent="0.2">
      <c r="A1127" s="32" t="s">
        <v>2224</v>
      </c>
      <c r="B1127" s="74" t="s">
        <v>2225</v>
      </c>
      <c r="C1127" s="50"/>
      <c r="D1127" s="53">
        <f t="shared" si="17"/>
        <v>0</v>
      </c>
      <c r="E1127" s="60" t="str">
        <f>HYPERLINK("https://www.sds-group.ru/product/platforma-kronshteyna-skvoznaya-dlya-kamer-videonablyudeniya-rexant-28-4004/", "Инфо")</f>
        <v>Инфо</v>
      </c>
      <c r="F1127" s="34" t="s">
        <v>39</v>
      </c>
      <c r="G1127" s="33"/>
      <c r="H1127" s="33" t="s">
        <v>40</v>
      </c>
      <c r="I1127" s="33"/>
      <c r="J1127" s="35">
        <v>529</v>
      </c>
      <c r="K1127" s="33"/>
      <c r="L1127" s="35">
        <v>1</v>
      </c>
      <c r="M1127" s="35">
        <v>100</v>
      </c>
      <c r="N1127" s="35">
        <v>1</v>
      </c>
      <c r="O1127" s="36">
        <v>59.56</v>
      </c>
      <c r="P1127" s="36">
        <v>48.82</v>
      </c>
      <c r="Q1127" s="36">
        <v>41.69</v>
      </c>
      <c r="R1127" s="36">
        <v>34.17</v>
      </c>
      <c r="S1127" s="36">
        <v>40.5</v>
      </c>
      <c r="T1127" s="36">
        <v>33.200000000000003</v>
      </c>
      <c r="U1127" s="34"/>
      <c r="V1127" s="34"/>
      <c r="W1127" s="34"/>
      <c r="X1127" s="37">
        <v>5.5E-2</v>
      </c>
      <c r="Y1127" s="38">
        <v>2.5799999999999998E-4</v>
      </c>
      <c r="Z1127" s="21">
        <v>4601004161467</v>
      </c>
    </row>
    <row r="1128" spans="1:26" ht="12" customHeight="1" outlineLevel="4" x14ac:dyDescent="0.2">
      <c r="A1128" s="32" t="s">
        <v>2226</v>
      </c>
      <c r="B1128" s="74" t="s">
        <v>2227</v>
      </c>
      <c r="C1128" s="50"/>
      <c r="D1128" s="53">
        <f t="shared" si="17"/>
        <v>0</v>
      </c>
      <c r="E1128" s="60" t="str">
        <f>HYPERLINK("https://www.sds-group.ru/product/platforma-pod-kameru-dlya-kronshteyna-rexant-28-4006/", "Инфо")</f>
        <v>Инфо</v>
      </c>
      <c r="F1128" s="34" t="s">
        <v>39</v>
      </c>
      <c r="G1128" s="33"/>
      <c r="H1128" s="33" t="s">
        <v>40</v>
      </c>
      <c r="I1128" s="33"/>
      <c r="J1128" s="35">
        <v>680</v>
      </c>
      <c r="K1128" s="33"/>
      <c r="L1128" s="35">
        <v>1</v>
      </c>
      <c r="M1128" s="35">
        <v>100</v>
      </c>
      <c r="N1128" s="35">
        <v>1</v>
      </c>
      <c r="O1128" s="36">
        <v>56.49</v>
      </c>
      <c r="P1128" s="36">
        <v>46.3</v>
      </c>
      <c r="Q1128" s="36">
        <v>39.54</v>
      </c>
      <c r="R1128" s="36">
        <v>32.409999999999997</v>
      </c>
      <c r="S1128" s="36">
        <v>38.409999999999997</v>
      </c>
      <c r="T1128" s="36">
        <v>31.48</v>
      </c>
      <c r="U1128" s="34"/>
      <c r="V1128" s="34"/>
      <c r="W1128" s="34"/>
      <c r="X1128" s="37">
        <v>4.8000000000000001E-2</v>
      </c>
      <c r="Y1128" s="38">
        <v>2.6400000000000002E-4</v>
      </c>
      <c r="Z1128" s="21">
        <v>4601004161504</v>
      </c>
    </row>
    <row r="1129" spans="1:26" ht="12.95" customHeight="1" outlineLevel="2" x14ac:dyDescent="0.2">
      <c r="A1129" s="76" t="s">
        <v>2228</v>
      </c>
      <c r="B1129" s="76"/>
      <c r="C1129" s="77"/>
      <c r="D1129" s="58"/>
      <c r="E1129" s="68"/>
      <c r="F1129" s="13"/>
      <c r="G1129" s="13"/>
      <c r="H1129" s="13"/>
      <c r="I1129" s="13"/>
      <c r="J1129" s="13"/>
      <c r="K1129" s="13"/>
      <c r="L1129" s="13"/>
      <c r="M1129" s="13"/>
      <c r="N1129" s="13"/>
      <c r="O1129" s="13"/>
      <c r="P1129" s="13"/>
      <c r="Q1129" s="13"/>
      <c r="R1129" s="13"/>
      <c r="S1129" s="13"/>
      <c r="T1129" s="13"/>
      <c r="U1129" s="13"/>
      <c r="V1129" s="13"/>
      <c r="W1129" s="13"/>
      <c r="X1129" s="13"/>
      <c r="Y1129" s="13"/>
      <c r="Z1129" s="13"/>
    </row>
    <row r="1130" spans="1:26" ht="12" customHeight="1" outlineLevel="3" x14ac:dyDescent="0.2">
      <c r="A1130" s="32" t="s">
        <v>2229</v>
      </c>
      <c r="B1130" s="74" t="s">
        <v>2230</v>
      </c>
      <c r="C1130" s="50"/>
      <c r="D1130" s="53">
        <f t="shared" si="17"/>
        <v>0</v>
      </c>
      <c r="E1130" s="60" t="str">
        <f>HYPERLINK("https://www.sds-group.ru/product/derzhatel-kabelya-dlya-pryamogo-montazha-dvuhstoronniy-belyy-240mm-20sht-up-rexant-28-4022/", "Инфо")</f>
        <v>Инфо</v>
      </c>
      <c r="F1130" s="34" t="s">
        <v>1001</v>
      </c>
      <c r="G1130" s="33"/>
      <c r="H1130" s="33" t="s">
        <v>40</v>
      </c>
      <c r="I1130" s="33"/>
      <c r="J1130" s="35">
        <v>176</v>
      </c>
      <c r="K1130" s="33"/>
      <c r="L1130" s="35">
        <v>1</v>
      </c>
      <c r="M1130" s="35">
        <v>15</v>
      </c>
      <c r="N1130" s="35">
        <v>1</v>
      </c>
      <c r="O1130" s="36">
        <v>1065.06</v>
      </c>
      <c r="P1130" s="36">
        <v>873</v>
      </c>
      <c r="Q1130" s="36">
        <v>841.4</v>
      </c>
      <c r="R1130" s="36">
        <v>689.67</v>
      </c>
      <c r="S1130" s="36">
        <v>724.24</v>
      </c>
      <c r="T1130" s="36">
        <v>593.64</v>
      </c>
      <c r="U1130" s="34"/>
      <c r="V1130" s="34"/>
      <c r="W1130" s="34" t="s">
        <v>40</v>
      </c>
      <c r="X1130" s="37">
        <v>0.371</v>
      </c>
      <c r="Y1130" s="38">
        <v>3.49E-3</v>
      </c>
      <c r="Z1130" s="21">
        <v>4601004287754</v>
      </c>
    </row>
    <row r="1131" spans="1:26" ht="12" customHeight="1" outlineLevel="3" x14ac:dyDescent="0.2">
      <c r="A1131" s="32" t="s">
        <v>2231</v>
      </c>
      <c r="B1131" s="74" t="s">
        <v>2232</v>
      </c>
      <c r="C1131" s="50"/>
      <c r="D1131" s="53">
        <f t="shared" si="17"/>
        <v>0</v>
      </c>
      <c r="E1131" s="60" t="str">
        <f>HYPERLINK("https://www.sds-group.ru/product/derzhatel-kabelya-dlya-pryamogo-montazha-dvuhstoronniy-seryy-240mm-20sht-up-rexant-28-4019/", "Инфо")</f>
        <v>Инфо</v>
      </c>
      <c r="F1131" s="34" t="s">
        <v>1001</v>
      </c>
      <c r="G1131" s="33"/>
      <c r="H1131" s="33" t="s">
        <v>40</v>
      </c>
      <c r="I1131" s="33"/>
      <c r="J1131" s="35">
        <v>12</v>
      </c>
      <c r="K1131" s="33"/>
      <c r="L1131" s="35">
        <v>1</v>
      </c>
      <c r="M1131" s="35">
        <v>15</v>
      </c>
      <c r="N1131" s="35">
        <v>1</v>
      </c>
      <c r="O1131" s="36">
        <v>1066.53</v>
      </c>
      <c r="P1131" s="36">
        <v>874.2</v>
      </c>
      <c r="Q1131" s="36">
        <v>842.56</v>
      </c>
      <c r="R1131" s="36">
        <v>690.62</v>
      </c>
      <c r="S1131" s="36">
        <v>725.24</v>
      </c>
      <c r="T1131" s="36">
        <v>594.46</v>
      </c>
      <c r="U1131" s="34"/>
      <c r="V1131" s="34"/>
      <c r="W1131" s="34" t="s">
        <v>40</v>
      </c>
      <c r="X1131" s="37">
        <v>0.38500000000000001</v>
      </c>
      <c r="Y1131" s="38">
        <v>3.5639999999999999E-3</v>
      </c>
      <c r="Z1131" s="21">
        <v>4601004287747</v>
      </c>
    </row>
    <row r="1132" spans="1:26" ht="12" customHeight="1" outlineLevel="3" x14ac:dyDescent="0.2">
      <c r="A1132" s="32" t="s">
        <v>2233</v>
      </c>
      <c r="B1132" s="74" t="s">
        <v>2234</v>
      </c>
      <c r="C1132" s="50"/>
      <c r="D1132" s="53">
        <f t="shared" si="17"/>
        <v>0</v>
      </c>
      <c r="E1132" s="60" t="str">
        <f>HYPERLINK("https://www.sds-group.ru/product/derzhatel-kabelya-dlya-pryamogo-montazha-odnostoronniy-belyy-140mm-20sht-up-rexant-28-4021/", "Инфо")</f>
        <v>Инфо</v>
      </c>
      <c r="F1132" s="34" t="s">
        <v>1001</v>
      </c>
      <c r="G1132" s="33"/>
      <c r="H1132" s="33" t="s">
        <v>40</v>
      </c>
      <c r="I1132" s="33"/>
      <c r="J1132" s="35">
        <v>143</v>
      </c>
      <c r="K1132" s="33"/>
      <c r="L1132" s="35">
        <v>1</v>
      </c>
      <c r="M1132" s="35">
        <v>25</v>
      </c>
      <c r="N1132" s="35">
        <v>1</v>
      </c>
      <c r="O1132" s="36">
        <v>535.78</v>
      </c>
      <c r="P1132" s="36">
        <v>439.16</v>
      </c>
      <c r="Q1132" s="36">
        <v>428.62</v>
      </c>
      <c r="R1132" s="36">
        <v>351.33</v>
      </c>
      <c r="S1132" s="36">
        <v>364.33</v>
      </c>
      <c r="T1132" s="36">
        <v>298.63</v>
      </c>
      <c r="U1132" s="34"/>
      <c r="V1132" s="34"/>
      <c r="W1132" s="34" t="s">
        <v>40</v>
      </c>
      <c r="X1132" s="37">
        <v>0.26800000000000002</v>
      </c>
      <c r="Y1132" s="38">
        <v>2.1700000000000001E-3</v>
      </c>
      <c r="Z1132" s="21">
        <v>4601004287716</v>
      </c>
    </row>
    <row r="1133" spans="1:26" ht="12" customHeight="1" outlineLevel="3" x14ac:dyDescent="0.2">
      <c r="A1133" s="32" t="s">
        <v>2235</v>
      </c>
      <c r="B1133" s="74" t="s">
        <v>2236</v>
      </c>
      <c r="C1133" s="50"/>
      <c r="D1133" s="53">
        <f t="shared" si="17"/>
        <v>0</v>
      </c>
      <c r="E1133" s="60" t="str">
        <f>HYPERLINK("https://www.sds-group.ru/product/derzhatel-kabelya-dlya-pryamogo-montazha-odnostoronniy-belyy-67mm-20sht-up-rexant-28-4020/", "Инфо")</f>
        <v>Инфо</v>
      </c>
      <c r="F1133" s="34" t="s">
        <v>1001</v>
      </c>
      <c r="G1133" s="33"/>
      <c r="H1133" s="33" t="s">
        <v>40</v>
      </c>
      <c r="I1133" s="33"/>
      <c r="J1133" s="34" t="s">
        <v>100</v>
      </c>
      <c r="K1133" s="33"/>
      <c r="L1133" s="35">
        <v>1</v>
      </c>
      <c r="M1133" s="35">
        <v>45</v>
      </c>
      <c r="N1133" s="35">
        <v>1</v>
      </c>
      <c r="O1133" s="36">
        <v>490.13</v>
      </c>
      <c r="P1133" s="36">
        <v>401.75</v>
      </c>
      <c r="Q1133" s="36">
        <v>392.1</v>
      </c>
      <c r="R1133" s="36">
        <v>321.39</v>
      </c>
      <c r="S1133" s="36">
        <v>333.29</v>
      </c>
      <c r="T1133" s="36">
        <v>273.19</v>
      </c>
      <c r="U1133" s="34"/>
      <c r="V1133" s="34"/>
      <c r="W1133" s="34" t="s">
        <v>40</v>
      </c>
      <c r="X1133" s="37">
        <v>0.182</v>
      </c>
      <c r="Y1133" s="38">
        <v>1.1559999999999999E-3</v>
      </c>
      <c r="Z1133" s="21">
        <v>4601004287723</v>
      </c>
    </row>
    <row r="1134" spans="1:26" ht="12" customHeight="1" outlineLevel="3" x14ac:dyDescent="0.2">
      <c r="A1134" s="32" t="s">
        <v>2237</v>
      </c>
      <c r="B1134" s="74" t="s">
        <v>2238</v>
      </c>
      <c r="C1134" s="50"/>
      <c r="D1134" s="53">
        <f t="shared" si="17"/>
        <v>0</v>
      </c>
      <c r="E1134" s="60" t="str">
        <f>HYPERLINK("https://www.sds-group.ru/product/derzhatel-kabelya-dlya-pryamogo-montazha-odnostoronniy-seryy-140mm-20sht-up-rexant-28-4018/", "Инфо")</f>
        <v>Инфо</v>
      </c>
      <c r="F1134" s="34" t="s">
        <v>1001</v>
      </c>
      <c r="G1134" s="33"/>
      <c r="H1134" s="33" t="s">
        <v>40</v>
      </c>
      <c r="I1134" s="33"/>
      <c r="J1134" s="35">
        <v>241</v>
      </c>
      <c r="K1134" s="33"/>
      <c r="L1134" s="35">
        <v>1</v>
      </c>
      <c r="M1134" s="35">
        <v>25</v>
      </c>
      <c r="N1134" s="35">
        <v>1</v>
      </c>
      <c r="O1134" s="36">
        <v>535.78</v>
      </c>
      <c r="P1134" s="36">
        <v>439.16</v>
      </c>
      <c r="Q1134" s="36">
        <v>428.62</v>
      </c>
      <c r="R1134" s="36">
        <v>351.33</v>
      </c>
      <c r="S1134" s="36">
        <v>364.33</v>
      </c>
      <c r="T1134" s="36">
        <v>298.63</v>
      </c>
      <c r="U1134" s="34"/>
      <c r="V1134" s="34"/>
      <c r="W1134" s="34" t="s">
        <v>40</v>
      </c>
      <c r="X1134" s="37">
        <v>0.26900000000000002</v>
      </c>
      <c r="Y1134" s="38">
        <v>2.1050000000000001E-3</v>
      </c>
      <c r="Z1134" s="21">
        <v>4601004287761</v>
      </c>
    </row>
    <row r="1135" spans="1:26" ht="12" customHeight="1" outlineLevel="3" x14ac:dyDescent="0.2">
      <c r="A1135" s="32" t="s">
        <v>2239</v>
      </c>
      <c r="B1135" s="74" t="s">
        <v>2240</v>
      </c>
      <c r="C1135" s="50"/>
      <c r="D1135" s="53">
        <f t="shared" si="17"/>
        <v>0</v>
      </c>
      <c r="E1135" s="60" t="str">
        <f>HYPERLINK("https://www.sds-group.ru/product/derzhatel-kabelya-dlya-pryamogo-montazha-odnostoronniy-seryy-67mm-20sht-up-rexant-28-4017/", "Инфо")</f>
        <v>Инфо</v>
      </c>
      <c r="F1135" s="34" t="s">
        <v>1001</v>
      </c>
      <c r="G1135" s="33"/>
      <c r="H1135" s="33" t="s">
        <v>40</v>
      </c>
      <c r="I1135" s="33"/>
      <c r="J1135" s="35">
        <v>135</v>
      </c>
      <c r="K1135" s="33"/>
      <c r="L1135" s="35">
        <v>1</v>
      </c>
      <c r="M1135" s="35">
        <v>45</v>
      </c>
      <c r="N1135" s="35">
        <v>1</v>
      </c>
      <c r="O1135" s="36">
        <v>490.13</v>
      </c>
      <c r="P1135" s="36">
        <v>401.75</v>
      </c>
      <c r="Q1135" s="36">
        <v>392.1</v>
      </c>
      <c r="R1135" s="36">
        <v>321.39</v>
      </c>
      <c r="S1135" s="36">
        <v>333.29</v>
      </c>
      <c r="T1135" s="36">
        <v>273.19</v>
      </c>
      <c r="U1135" s="34"/>
      <c r="V1135" s="34"/>
      <c r="W1135" s="34" t="s">
        <v>40</v>
      </c>
      <c r="X1135" s="37">
        <v>0.16600000000000001</v>
      </c>
      <c r="Y1135" s="38">
        <v>1.1609999999999999E-3</v>
      </c>
      <c r="Z1135" s="21">
        <v>4601004287785</v>
      </c>
    </row>
    <row r="1136" spans="1:26" ht="12" customHeight="1" outlineLevel="3" x14ac:dyDescent="0.2">
      <c r="A1136" s="32" t="s">
        <v>2241</v>
      </c>
      <c r="B1136" s="74" t="s">
        <v>2242</v>
      </c>
      <c r="C1136" s="50"/>
      <c r="D1136" s="53">
        <f t="shared" si="17"/>
        <v>0</v>
      </c>
      <c r="E1136" s="60" t="str">
        <f>HYPERLINK("https://www.sds-group.ru/product/derzhatel-kabelya-dlya-pryamogo-montazha-odnostoronniy-chernyy-140mm-20sht-up-rexant-28-4015/", "Инфо")</f>
        <v>Инфо</v>
      </c>
      <c r="F1136" s="34" t="s">
        <v>1001</v>
      </c>
      <c r="G1136" s="33"/>
      <c r="H1136" s="33" t="s">
        <v>40</v>
      </c>
      <c r="I1136" s="33"/>
      <c r="J1136" s="35">
        <v>17</v>
      </c>
      <c r="K1136" s="33"/>
      <c r="L1136" s="35">
        <v>1</v>
      </c>
      <c r="M1136" s="35">
        <v>25</v>
      </c>
      <c r="N1136" s="35">
        <v>1</v>
      </c>
      <c r="O1136" s="36">
        <v>535.78</v>
      </c>
      <c r="P1136" s="36">
        <v>439.16</v>
      </c>
      <c r="Q1136" s="36">
        <v>428.62</v>
      </c>
      <c r="R1136" s="36">
        <v>351.33</v>
      </c>
      <c r="S1136" s="36">
        <v>364.33</v>
      </c>
      <c r="T1136" s="36">
        <v>298.63</v>
      </c>
      <c r="U1136" s="34"/>
      <c r="V1136" s="34"/>
      <c r="W1136" s="34" t="s">
        <v>40</v>
      </c>
      <c r="X1136" s="37">
        <v>0.28599999999999998</v>
      </c>
      <c r="Y1136" s="38">
        <v>2.0709999999999999E-3</v>
      </c>
      <c r="Z1136" s="21">
        <v>4601004287792</v>
      </c>
    </row>
    <row r="1137" spans="1:26" ht="12" customHeight="1" outlineLevel="3" x14ac:dyDescent="0.2">
      <c r="A1137" s="40" t="s">
        <v>2243</v>
      </c>
      <c r="B1137" s="75" t="s">
        <v>2244</v>
      </c>
      <c r="C1137" s="51"/>
      <c r="D1137" s="54">
        <f t="shared" si="17"/>
        <v>0</v>
      </c>
      <c r="E1137" s="62"/>
      <c r="F1137" s="42" t="s">
        <v>39</v>
      </c>
      <c r="G1137" s="41" t="s">
        <v>40</v>
      </c>
      <c r="H1137" s="41"/>
      <c r="I1137" s="41"/>
      <c r="J1137" s="47">
        <v>5063</v>
      </c>
      <c r="K1137" s="41"/>
      <c r="L1137" s="43">
        <v>1</v>
      </c>
      <c r="M1137" s="43">
        <v>48</v>
      </c>
      <c r="N1137" s="43">
        <v>1</v>
      </c>
      <c r="O1137" s="44">
        <v>188</v>
      </c>
      <c r="P1137" s="44">
        <v>154.1</v>
      </c>
      <c r="Q1137" s="44">
        <v>159.80000000000001</v>
      </c>
      <c r="R1137" s="44">
        <v>130.97999999999999</v>
      </c>
      <c r="S1137" s="44">
        <v>127.84</v>
      </c>
      <c r="T1137" s="44">
        <v>104.79</v>
      </c>
      <c r="U1137" s="42"/>
      <c r="V1137" s="42"/>
      <c r="W1137" s="42" t="s">
        <v>40</v>
      </c>
      <c r="X1137" s="45">
        <v>8.5000000000000006E-2</v>
      </c>
      <c r="Y1137" s="46">
        <v>5.5800000000000001E-4</v>
      </c>
      <c r="Z1137" s="21">
        <v>4601004356900</v>
      </c>
    </row>
    <row r="1138" spans="1:26" ht="12" customHeight="1" outlineLevel="3" x14ac:dyDescent="0.2">
      <c r="A1138" s="40" t="s">
        <v>2245</v>
      </c>
      <c r="B1138" s="75" t="s">
        <v>2246</v>
      </c>
      <c r="C1138" s="51"/>
      <c r="D1138" s="54">
        <f t="shared" si="17"/>
        <v>0</v>
      </c>
      <c r="E1138" s="62"/>
      <c r="F1138" s="42" t="s">
        <v>39</v>
      </c>
      <c r="G1138" s="41" t="s">
        <v>40</v>
      </c>
      <c r="H1138" s="41"/>
      <c r="I1138" s="41"/>
      <c r="J1138" s="47">
        <v>5504</v>
      </c>
      <c r="K1138" s="41"/>
      <c r="L1138" s="43">
        <v>1</v>
      </c>
      <c r="M1138" s="43">
        <v>80</v>
      </c>
      <c r="N1138" s="43">
        <v>1</v>
      </c>
      <c r="O1138" s="44">
        <v>152</v>
      </c>
      <c r="P1138" s="44">
        <v>124.59</v>
      </c>
      <c r="Q1138" s="44">
        <v>129.19999999999999</v>
      </c>
      <c r="R1138" s="44">
        <v>105.9</v>
      </c>
      <c r="S1138" s="44">
        <v>103.36</v>
      </c>
      <c r="T1138" s="44">
        <v>84.72</v>
      </c>
      <c r="U1138" s="42"/>
      <c r="V1138" s="42"/>
      <c r="W1138" s="42" t="s">
        <v>40</v>
      </c>
      <c r="X1138" s="45">
        <v>5.3999999999999999E-2</v>
      </c>
      <c r="Y1138" s="46">
        <v>3.2400000000000001E-4</v>
      </c>
      <c r="Z1138" s="21">
        <v>4601004356894</v>
      </c>
    </row>
    <row r="1139" spans="1:26" ht="12" customHeight="1" outlineLevel="3" x14ac:dyDescent="0.2">
      <c r="A1139" s="14" t="s">
        <v>2247</v>
      </c>
      <c r="B1139" s="26" t="s">
        <v>2248</v>
      </c>
      <c r="C1139" s="52"/>
      <c r="D1139" s="55">
        <f t="shared" si="17"/>
        <v>0</v>
      </c>
      <c r="E1139" s="63" t="str">
        <f>HYPERLINK("https://www.sds-group.ru/product/korobka-raspayachnaya-dlya-pryamogo-montazha-ou-hf-100h100h50mm-ip67-membrannye-vvody-rexant-28-3079/", "Инфо")</f>
        <v>Инфо</v>
      </c>
      <c r="F1139" s="16" t="s">
        <v>39</v>
      </c>
      <c r="G1139" s="15"/>
      <c r="H1139" s="15"/>
      <c r="I1139" s="15"/>
      <c r="J1139" s="22">
        <v>7190</v>
      </c>
      <c r="K1139" s="15"/>
      <c r="L1139" s="17">
        <v>10</v>
      </c>
      <c r="M1139" s="17">
        <v>48</v>
      </c>
      <c r="N1139" s="17">
        <v>10</v>
      </c>
      <c r="O1139" s="18">
        <v>182.09</v>
      </c>
      <c r="P1139" s="18">
        <v>149.25</v>
      </c>
      <c r="Q1139" s="18">
        <v>154.78</v>
      </c>
      <c r="R1139" s="18">
        <v>126.87</v>
      </c>
      <c r="S1139" s="18">
        <v>123.82</v>
      </c>
      <c r="T1139" s="18">
        <v>101.49</v>
      </c>
      <c r="U1139" s="16"/>
      <c r="V1139" s="16"/>
      <c r="W1139" s="16" t="s">
        <v>40</v>
      </c>
      <c r="X1139" s="19">
        <v>0.10299999999999999</v>
      </c>
      <c r="Y1139" s="20">
        <v>8.0199999999999998E-4</v>
      </c>
      <c r="Z1139" s="21">
        <v>4601004284302</v>
      </c>
    </row>
    <row r="1140" spans="1:26" ht="12" customHeight="1" outlineLevel="3" x14ac:dyDescent="0.2">
      <c r="A1140" s="14" t="s">
        <v>2249</v>
      </c>
      <c r="B1140" s="26" t="s">
        <v>2250</v>
      </c>
      <c r="C1140" s="52"/>
      <c r="D1140" s="55">
        <f t="shared" si="17"/>
        <v>0</v>
      </c>
      <c r="E1140" s="63" t="str">
        <f>HYPERLINK("https://www.sds-group.ru/product/korobka-raspayachnaya-dlya-pryamogo-montazha-ou-hf-150h110h70mm-ip67-membrannye-vvody-rexant-28-3080/", "Инфо")</f>
        <v>Инфо</v>
      </c>
      <c r="F1140" s="16" t="s">
        <v>39</v>
      </c>
      <c r="G1140" s="15"/>
      <c r="H1140" s="15"/>
      <c r="I1140" s="15"/>
      <c r="J1140" s="17">
        <v>261</v>
      </c>
      <c r="K1140" s="15"/>
      <c r="L1140" s="17">
        <v>1</v>
      </c>
      <c r="M1140" s="17">
        <v>30</v>
      </c>
      <c r="N1140" s="17">
        <v>1</v>
      </c>
      <c r="O1140" s="18">
        <v>667.45</v>
      </c>
      <c r="P1140" s="18">
        <v>547.09</v>
      </c>
      <c r="Q1140" s="18">
        <v>533.96</v>
      </c>
      <c r="R1140" s="18">
        <v>437.67</v>
      </c>
      <c r="S1140" s="18">
        <v>453.87</v>
      </c>
      <c r="T1140" s="18">
        <v>372.02</v>
      </c>
      <c r="U1140" s="16"/>
      <c r="V1140" s="16"/>
      <c r="W1140" s="16" t="s">
        <v>40</v>
      </c>
      <c r="X1140" s="19">
        <v>0.157</v>
      </c>
      <c r="Y1140" s="20">
        <v>1.7979999999999999E-3</v>
      </c>
      <c r="Z1140" s="21">
        <v>4601004284265</v>
      </c>
    </row>
    <row r="1141" spans="1:26" ht="12" customHeight="1" outlineLevel="3" x14ac:dyDescent="0.2">
      <c r="A1141" s="14" t="s">
        <v>2251</v>
      </c>
      <c r="B1141" s="26" t="s">
        <v>2252</v>
      </c>
      <c r="C1141" s="52"/>
      <c r="D1141" s="55">
        <f t="shared" si="17"/>
        <v>0</v>
      </c>
      <c r="E1141" s="63" t="str">
        <f>HYPERLINK("https://www.sds-group.ru/product/korobka-raspayachnaya-dlya-pryamogo-montazha-ou-hf-80h80h40mm-ip67-membrannye-vvody-rexant-28-3078/", "Инфо")</f>
        <v>Инфо</v>
      </c>
      <c r="F1141" s="16" t="s">
        <v>39</v>
      </c>
      <c r="G1141" s="15"/>
      <c r="H1141" s="15"/>
      <c r="I1141" s="15"/>
      <c r="J1141" s="16" t="s">
        <v>100</v>
      </c>
      <c r="K1141" s="15" t="s">
        <v>1408</v>
      </c>
      <c r="L1141" s="17">
        <v>10</v>
      </c>
      <c r="M1141" s="17">
        <v>60</v>
      </c>
      <c r="N1141" s="17">
        <v>10</v>
      </c>
      <c r="O1141" s="18">
        <v>150.01</v>
      </c>
      <c r="P1141" s="18">
        <v>122.96</v>
      </c>
      <c r="Q1141" s="18">
        <v>127.51</v>
      </c>
      <c r="R1141" s="18">
        <v>104.52</v>
      </c>
      <c r="S1141" s="18">
        <v>102.01</v>
      </c>
      <c r="T1141" s="18">
        <v>83.61</v>
      </c>
      <c r="U1141" s="16"/>
      <c r="V1141" s="16"/>
      <c r="W1141" s="16" t="s">
        <v>40</v>
      </c>
      <c r="X1141" s="19">
        <v>6.5000000000000002E-2</v>
      </c>
      <c r="Y1141" s="20">
        <v>4.8700000000000002E-4</v>
      </c>
      <c r="Z1141" s="21">
        <v>4601004284272</v>
      </c>
    </row>
    <row r="1142" spans="1:26" ht="12" customHeight="1" outlineLevel="3" x14ac:dyDescent="0.2">
      <c r="A1142" s="14" t="s">
        <v>2253</v>
      </c>
      <c r="B1142" s="26" t="s">
        <v>2254</v>
      </c>
      <c r="C1142" s="52"/>
      <c r="D1142" s="55">
        <f t="shared" si="17"/>
        <v>0</v>
      </c>
      <c r="E1142" s="63" t="str">
        <f>HYPERLINK("https://www.sds-group.ru/product/krepezh-klipsa-dlya-montazhnogo-pistoleta-16-mm-seraya-100-sht-up-rexant-28-0416-1/", "Инфо")</f>
        <v>Инфо</v>
      </c>
      <c r="F1142" s="16" t="s">
        <v>1001</v>
      </c>
      <c r="G1142" s="15"/>
      <c r="H1142" s="15"/>
      <c r="I1142" s="15"/>
      <c r="J1142" s="17">
        <v>496</v>
      </c>
      <c r="K1142" s="15"/>
      <c r="L1142" s="17">
        <v>5</v>
      </c>
      <c r="M1142" s="17">
        <v>35</v>
      </c>
      <c r="N1142" s="17">
        <v>5</v>
      </c>
      <c r="O1142" s="18">
        <v>608.26</v>
      </c>
      <c r="P1142" s="18">
        <v>498.57</v>
      </c>
      <c r="Q1142" s="18">
        <v>486.61</v>
      </c>
      <c r="R1142" s="18">
        <v>398.86</v>
      </c>
      <c r="S1142" s="18">
        <v>413.62</v>
      </c>
      <c r="T1142" s="18">
        <v>339.03</v>
      </c>
      <c r="U1142" s="16"/>
      <c r="V1142" s="16"/>
      <c r="W1142" s="16" t="s">
        <v>40</v>
      </c>
      <c r="X1142" s="19">
        <v>0.307</v>
      </c>
      <c r="Y1142" s="20">
        <v>1.8339999999999999E-3</v>
      </c>
      <c r="Z1142" s="21">
        <v>4601004269309</v>
      </c>
    </row>
    <row r="1143" spans="1:26" ht="12" customHeight="1" outlineLevel="3" x14ac:dyDescent="0.2">
      <c r="A1143" s="14" t="s">
        <v>2255</v>
      </c>
      <c r="B1143" s="26" t="s">
        <v>2256</v>
      </c>
      <c r="C1143" s="52"/>
      <c r="D1143" s="55">
        <f t="shared" si="17"/>
        <v>0</v>
      </c>
      <c r="E1143" s="63" t="str">
        <f>HYPERLINK("https://www.sds-group.ru/product/krepezh-klipsa-dlya-montazhnogo-pistoleta-16-mm-chernaya-100-sht-up-rexant-28-0416-2/", "Инфо")</f>
        <v>Инфо</v>
      </c>
      <c r="F1143" s="16" t="s">
        <v>1001</v>
      </c>
      <c r="G1143" s="15"/>
      <c r="H1143" s="15"/>
      <c r="I1143" s="15"/>
      <c r="J1143" s="17">
        <v>512</v>
      </c>
      <c r="K1143" s="15"/>
      <c r="L1143" s="17">
        <v>5</v>
      </c>
      <c r="M1143" s="17">
        <v>20</v>
      </c>
      <c r="N1143" s="17">
        <v>5</v>
      </c>
      <c r="O1143" s="18">
        <v>608.26</v>
      </c>
      <c r="P1143" s="18">
        <v>498.57</v>
      </c>
      <c r="Q1143" s="18">
        <v>486.61</v>
      </c>
      <c r="R1143" s="18">
        <v>398.86</v>
      </c>
      <c r="S1143" s="18">
        <v>413.62</v>
      </c>
      <c r="T1143" s="18">
        <v>339.03</v>
      </c>
      <c r="U1143" s="16"/>
      <c r="V1143" s="16"/>
      <c r="W1143" s="16" t="s">
        <v>40</v>
      </c>
      <c r="X1143" s="19">
        <v>0.254</v>
      </c>
      <c r="Y1143" s="20">
        <v>1.5319999999999999E-3</v>
      </c>
      <c r="Z1143" s="21">
        <v>4601004269361</v>
      </c>
    </row>
    <row r="1144" spans="1:26" ht="12" customHeight="1" outlineLevel="3" x14ac:dyDescent="0.2">
      <c r="A1144" s="14" t="s">
        <v>2257</v>
      </c>
      <c r="B1144" s="26" t="s">
        <v>2258</v>
      </c>
      <c r="C1144" s="52"/>
      <c r="D1144" s="55">
        <f t="shared" si="17"/>
        <v>0</v>
      </c>
      <c r="E1144" s="63" t="str">
        <f>HYPERLINK("https://www.sds-group.ru/product/krepezh-klipsa-dlya-montazhnogo-pistoleta-20-mm-belaya-100-sht-up-rexant-28-0420-3/", "Инфо")</f>
        <v>Инфо</v>
      </c>
      <c r="F1144" s="16" t="s">
        <v>1001</v>
      </c>
      <c r="G1144" s="15"/>
      <c r="H1144" s="15"/>
      <c r="I1144" s="15"/>
      <c r="J1144" s="17">
        <v>256</v>
      </c>
      <c r="K1144" s="15"/>
      <c r="L1144" s="17">
        <v>5</v>
      </c>
      <c r="M1144" s="17">
        <v>30</v>
      </c>
      <c r="N1144" s="17">
        <v>5</v>
      </c>
      <c r="O1144" s="18">
        <v>597.6</v>
      </c>
      <c r="P1144" s="18">
        <v>489.84</v>
      </c>
      <c r="Q1144" s="18">
        <v>478.08</v>
      </c>
      <c r="R1144" s="18">
        <v>391.87</v>
      </c>
      <c r="S1144" s="18">
        <v>406.37</v>
      </c>
      <c r="T1144" s="18">
        <v>333.09</v>
      </c>
      <c r="U1144" s="16"/>
      <c r="V1144" s="16"/>
      <c r="W1144" s="16" t="s">
        <v>40</v>
      </c>
      <c r="X1144" s="19">
        <v>0.30299999999999999</v>
      </c>
      <c r="Y1144" s="20">
        <v>2.0569999999999998E-3</v>
      </c>
      <c r="Z1144" s="21">
        <v>4601004269255</v>
      </c>
    </row>
    <row r="1145" spans="1:26" ht="12" customHeight="1" outlineLevel="3" x14ac:dyDescent="0.2">
      <c r="A1145" s="14" t="s">
        <v>2259</v>
      </c>
      <c r="B1145" s="26" t="s">
        <v>2260</v>
      </c>
      <c r="C1145" s="52"/>
      <c r="D1145" s="55">
        <f t="shared" si="17"/>
        <v>0</v>
      </c>
      <c r="E1145" s="63" t="str">
        <f>HYPERLINK("https://www.sds-group.ru/product/krepezh-klipsa-dlya-montazhnogo-pistoleta-20-mm-seraya-100-sht-up-rexant-28-0420-1/", "Инфо")</f>
        <v>Инфо</v>
      </c>
      <c r="F1145" s="16" t="s">
        <v>1001</v>
      </c>
      <c r="G1145" s="15"/>
      <c r="H1145" s="15"/>
      <c r="I1145" s="15"/>
      <c r="J1145" s="16" t="s">
        <v>100</v>
      </c>
      <c r="K1145" s="15"/>
      <c r="L1145" s="17">
        <v>5</v>
      </c>
      <c r="M1145" s="17">
        <v>15</v>
      </c>
      <c r="N1145" s="17">
        <v>5</v>
      </c>
      <c r="O1145" s="18">
        <v>597.6</v>
      </c>
      <c r="P1145" s="18">
        <v>489.84</v>
      </c>
      <c r="Q1145" s="18">
        <v>478.08</v>
      </c>
      <c r="R1145" s="18">
        <v>391.87</v>
      </c>
      <c r="S1145" s="18">
        <v>406.37</v>
      </c>
      <c r="T1145" s="18">
        <v>333.09</v>
      </c>
      <c r="U1145" s="16"/>
      <c r="V1145" s="16"/>
      <c r="W1145" s="16" t="s">
        <v>40</v>
      </c>
      <c r="X1145" s="19">
        <v>0.29399999999999998</v>
      </c>
      <c r="Y1145" s="20">
        <v>2.0449999999999999E-3</v>
      </c>
      <c r="Z1145" s="21">
        <v>4601004269316</v>
      </c>
    </row>
    <row r="1146" spans="1:26" ht="12" customHeight="1" outlineLevel="3" x14ac:dyDescent="0.2">
      <c r="A1146" s="14" t="s">
        <v>2261</v>
      </c>
      <c r="B1146" s="26" t="s">
        <v>2262</v>
      </c>
      <c r="C1146" s="52"/>
      <c r="D1146" s="55">
        <f t="shared" si="17"/>
        <v>0</v>
      </c>
      <c r="E1146" s="63" t="str">
        <f>HYPERLINK("https://www.sds-group.ru/product/krepezh-klipsa-dlya-montazhnogo-pistoleta-20-mm-chernaya-100-sht-up-rexant-28-0420-2/", "Инфо")</f>
        <v>Инфо</v>
      </c>
      <c r="F1146" s="16" t="s">
        <v>1001</v>
      </c>
      <c r="G1146" s="15"/>
      <c r="H1146" s="15"/>
      <c r="I1146" s="15"/>
      <c r="J1146" s="22">
        <v>2603</v>
      </c>
      <c r="K1146" s="15"/>
      <c r="L1146" s="17">
        <v>5</v>
      </c>
      <c r="M1146" s="17">
        <v>15</v>
      </c>
      <c r="N1146" s="17">
        <v>5</v>
      </c>
      <c r="O1146" s="18">
        <v>597.6</v>
      </c>
      <c r="P1146" s="18">
        <v>489.84</v>
      </c>
      <c r="Q1146" s="18">
        <v>478.08</v>
      </c>
      <c r="R1146" s="18">
        <v>391.87</v>
      </c>
      <c r="S1146" s="18">
        <v>406.37</v>
      </c>
      <c r="T1146" s="18">
        <v>333.09</v>
      </c>
      <c r="U1146" s="16"/>
      <c r="V1146" s="16"/>
      <c r="W1146" s="16" t="s">
        <v>40</v>
      </c>
      <c r="X1146" s="19">
        <v>0.30299999999999999</v>
      </c>
      <c r="Y1146" s="20">
        <v>2.0990000000000002E-3</v>
      </c>
      <c r="Z1146" s="21">
        <v>4601004269378</v>
      </c>
    </row>
    <row r="1147" spans="1:26" ht="12" customHeight="1" outlineLevel="3" x14ac:dyDescent="0.2">
      <c r="A1147" s="14" t="s">
        <v>2263</v>
      </c>
      <c r="B1147" s="26" t="s">
        <v>2264</v>
      </c>
      <c r="C1147" s="52"/>
      <c r="D1147" s="55">
        <f t="shared" si="17"/>
        <v>0</v>
      </c>
      <c r="E1147" s="63" t="str">
        <f>HYPERLINK("https://www.sds-group.ru/product/krepezh-klipsa-dlya-montazhnogo-pistoleta-25-mm-belaya-50-sht-up-rexant-28-0425-3/", "Инфо")</f>
        <v>Инфо</v>
      </c>
      <c r="F1147" s="16" t="s">
        <v>1001</v>
      </c>
      <c r="G1147" s="15"/>
      <c r="H1147" s="15"/>
      <c r="I1147" s="15"/>
      <c r="J1147" s="17">
        <v>572</v>
      </c>
      <c r="K1147" s="15"/>
      <c r="L1147" s="17">
        <v>5</v>
      </c>
      <c r="M1147" s="17">
        <v>40</v>
      </c>
      <c r="N1147" s="17">
        <v>5</v>
      </c>
      <c r="O1147" s="18">
        <v>398.62</v>
      </c>
      <c r="P1147" s="18">
        <v>326.74</v>
      </c>
      <c r="Q1147" s="18">
        <v>338.83</v>
      </c>
      <c r="R1147" s="18">
        <v>277.73</v>
      </c>
      <c r="S1147" s="18">
        <v>271.06</v>
      </c>
      <c r="T1147" s="18">
        <v>222.18</v>
      </c>
      <c r="U1147" s="16"/>
      <c r="V1147" s="16"/>
      <c r="W1147" s="16" t="s">
        <v>40</v>
      </c>
      <c r="X1147" s="19">
        <v>0.22800000000000001</v>
      </c>
      <c r="Y1147" s="20">
        <v>2.33E-3</v>
      </c>
      <c r="Z1147" s="21">
        <v>4601004271647</v>
      </c>
    </row>
    <row r="1148" spans="1:26" ht="12" customHeight="1" outlineLevel="3" x14ac:dyDescent="0.2">
      <c r="A1148" s="14" t="s">
        <v>2265</v>
      </c>
      <c r="B1148" s="26" t="s">
        <v>2266</v>
      </c>
      <c r="C1148" s="52"/>
      <c r="D1148" s="55">
        <f t="shared" si="17"/>
        <v>0</v>
      </c>
      <c r="E1148" s="63" t="str">
        <f>HYPERLINK("https://www.sds-group.ru/product/krepezh-klipsa-dlya-montazhnogo-pistoleta-25-mm-seraya-50-sht-up-rexant-28-0425-1/", "Инфо")</f>
        <v>Инфо</v>
      </c>
      <c r="F1148" s="16" t="s">
        <v>1001</v>
      </c>
      <c r="G1148" s="15"/>
      <c r="H1148" s="15"/>
      <c r="I1148" s="15"/>
      <c r="J1148" s="17">
        <v>624</v>
      </c>
      <c r="K1148" s="15"/>
      <c r="L1148" s="17">
        <v>5</v>
      </c>
      <c r="M1148" s="17">
        <v>26</v>
      </c>
      <c r="N1148" s="17">
        <v>5</v>
      </c>
      <c r="O1148" s="18">
        <v>398.62</v>
      </c>
      <c r="P1148" s="18">
        <v>326.74</v>
      </c>
      <c r="Q1148" s="18">
        <v>338.83</v>
      </c>
      <c r="R1148" s="18">
        <v>277.73</v>
      </c>
      <c r="S1148" s="18">
        <v>271.06</v>
      </c>
      <c r="T1148" s="18">
        <v>222.18</v>
      </c>
      <c r="U1148" s="16"/>
      <c r="V1148" s="16"/>
      <c r="W1148" s="16" t="s">
        <v>40</v>
      </c>
      <c r="X1148" s="19">
        <v>0.17699999999999999</v>
      </c>
      <c r="Y1148" s="20">
        <v>1.222E-3</v>
      </c>
      <c r="Z1148" s="21">
        <v>4601004271654</v>
      </c>
    </row>
    <row r="1149" spans="1:26" ht="12" customHeight="1" outlineLevel="3" x14ac:dyDescent="0.2">
      <c r="A1149" s="14" t="s">
        <v>2267</v>
      </c>
      <c r="B1149" s="26" t="s">
        <v>2268</v>
      </c>
      <c r="C1149" s="52"/>
      <c r="D1149" s="55">
        <f t="shared" si="17"/>
        <v>0</v>
      </c>
      <c r="E1149" s="63" t="str">
        <f>HYPERLINK("https://www.sds-group.ru/product/krepezh-klipsa-dlya-montazhnogo-pistoleta-25-mm-chernaya-50-sht-up-rexant-28-0425-2/", "Инфо")</f>
        <v>Инфо</v>
      </c>
      <c r="F1149" s="16" t="s">
        <v>1001</v>
      </c>
      <c r="G1149" s="15"/>
      <c r="H1149" s="15"/>
      <c r="I1149" s="15"/>
      <c r="J1149" s="17">
        <v>281</v>
      </c>
      <c r="K1149" s="15"/>
      <c r="L1149" s="17">
        <v>5</v>
      </c>
      <c r="M1149" s="17">
        <v>26</v>
      </c>
      <c r="N1149" s="17">
        <v>5</v>
      </c>
      <c r="O1149" s="18">
        <v>398.62</v>
      </c>
      <c r="P1149" s="18">
        <v>326.74</v>
      </c>
      <c r="Q1149" s="18">
        <v>338.83</v>
      </c>
      <c r="R1149" s="18">
        <v>277.73</v>
      </c>
      <c r="S1149" s="18">
        <v>271.06</v>
      </c>
      <c r="T1149" s="18">
        <v>222.18</v>
      </c>
      <c r="U1149" s="16"/>
      <c r="V1149" s="16"/>
      <c r="W1149" s="16" t="s">
        <v>40</v>
      </c>
      <c r="X1149" s="19">
        <v>0.183</v>
      </c>
      <c r="Y1149" s="20">
        <v>1.2329999999999999E-3</v>
      </c>
      <c r="Z1149" s="21">
        <v>4601004271661</v>
      </c>
    </row>
    <row r="1150" spans="1:26" ht="12" customHeight="1" outlineLevel="3" x14ac:dyDescent="0.2">
      <c r="A1150" s="14" t="s">
        <v>2269</v>
      </c>
      <c r="B1150" s="26" t="s">
        <v>2270</v>
      </c>
      <c r="C1150" s="52"/>
      <c r="D1150" s="55">
        <f t="shared" si="17"/>
        <v>0</v>
      </c>
      <c r="E1150" s="63" t="str">
        <f>HYPERLINK("https://www.sds-group.ru/product/krepezh-klipsa-dlya-montazhnogo-pistoleta-32-mm-seraya-50-sht-up-rexant-28-0432-1/", "Инфо")</f>
        <v>Инфо</v>
      </c>
      <c r="F1150" s="16" t="s">
        <v>1001</v>
      </c>
      <c r="G1150" s="15"/>
      <c r="H1150" s="15"/>
      <c r="I1150" s="15"/>
      <c r="J1150" s="17">
        <v>223</v>
      </c>
      <c r="K1150" s="15"/>
      <c r="L1150" s="17">
        <v>1</v>
      </c>
      <c r="M1150" s="17">
        <v>12</v>
      </c>
      <c r="N1150" s="17">
        <v>1</v>
      </c>
      <c r="O1150" s="18">
        <v>704.15</v>
      </c>
      <c r="P1150" s="18">
        <v>577.16999999999996</v>
      </c>
      <c r="Q1150" s="18">
        <v>563.32000000000005</v>
      </c>
      <c r="R1150" s="18">
        <v>461.74</v>
      </c>
      <c r="S1150" s="18">
        <v>478.82</v>
      </c>
      <c r="T1150" s="18">
        <v>392.48</v>
      </c>
      <c r="U1150" s="16"/>
      <c r="V1150" s="16"/>
      <c r="W1150" s="16" t="s">
        <v>40</v>
      </c>
      <c r="X1150" s="19">
        <v>0.26900000000000002</v>
      </c>
      <c r="Y1150" s="20">
        <v>2.598E-3</v>
      </c>
      <c r="Z1150" s="21">
        <v>4601004269330</v>
      </c>
    </row>
    <row r="1151" spans="1:26" ht="12" customHeight="1" outlineLevel="3" x14ac:dyDescent="0.2">
      <c r="A1151" s="14" t="s">
        <v>2271</v>
      </c>
      <c r="B1151" s="26" t="s">
        <v>2272</v>
      </c>
      <c r="C1151" s="52"/>
      <c r="D1151" s="55">
        <f t="shared" si="17"/>
        <v>0</v>
      </c>
      <c r="E1151" s="63" t="str">
        <f>HYPERLINK("https://www.sds-group.ru/product/krepezh-klipsa-dlya-montazhnogo-pistoleta-32-mm-chernaya-50-sht-up-rexant-28-0432-2/", "Инфо")</f>
        <v>Инфо</v>
      </c>
      <c r="F1151" s="16" t="s">
        <v>1001</v>
      </c>
      <c r="G1151" s="15"/>
      <c r="H1151" s="15"/>
      <c r="I1151" s="15"/>
      <c r="J1151" s="17">
        <v>199</v>
      </c>
      <c r="K1151" s="15"/>
      <c r="L1151" s="17">
        <v>1</v>
      </c>
      <c r="M1151" s="17">
        <v>12</v>
      </c>
      <c r="N1151" s="17">
        <v>1</v>
      </c>
      <c r="O1151" s="18">
        <v>704.15</v>
      </c>
      <c r="P1151" s="18">
        <v>577.16999999999996</v>
      </c>
      <c r="Q1151" s="18">
        <v>563.32000000000005</v>
      </c>
      <c r="R1151" s="18">
        <v>461.74</v>
      </c>
      <c r="S1151" s="18">
        <v>478.82</v>
      </c>
      <c r="T1151" s="18">
        <v>392.48</v>
      </c>
      <c r="U1151" s="16"/>
      <c r="V1151" s="16"/>
      <c r="W1151" s="16" t="s">
        <v>40</v>
      </c>
      <c r="X1151" s="19">
        <v>0.26600000000000001</v>
      </c>
      <c r="Y1151" s="20">
        <v>2.6310000000000001E-3</v>
      </c>
      <c r="Z1151" s="21">
        <v>4601004269392</v>
      </c>
    </row>
    <row r="1152" spans="1:26" ht="12" customHeight="1" outlineLevel="3" x14ac:dyDescent="0.2">
      <c r="A1152" s="14" t="s">
        <v>2273</v>
      </c>
      <c r="B1152" s="26" t="s">
        <v>2274</v>
      </c>
      <c r="C1152" s="52"/>
      <c r="D1152" s="55">
        <f t="shared" si="17"/>
        <v>0</v>
      </c>
      <c r="E1152" s="63" t="str">
        <f>HYPERLINK("https://www.sds-group.ru/product/krepezh-klipsa-dlya-montazhnogo-pistoleta-40-mm-belaya-25-sht-up-rexant-28-0440-3/", "Инфо")</f>
        <v>Инфо</v>
      </c>
      <c r="F1152" s="16" t="s">
        <v>1001</v>
      </c>
      <c r="G1152" s="15"/>
      <c r="H1152" s="15"/>
      <c r="I1152" s="15"/>
      <c r="J1152" s="17">
        <v>9</v>
      </c>
      <c r="K1152" s="15"/>
      <c r="L1152" s="17">
        <v>1</v>
      </c>
      <c r="M1152" s="17">
        <v>20</v>
      </c>
      <c r="N1152" s="17">
        <v>1</v>
      </c>
      <c r="O1152" s="18">
        <v>490.84</v>
      </c>
      <c r="P1152" s="18">
        <v>402.33</v>
      </c>
      <c r="Q1152" s="18">
        <v>392.67</v>
      </c>
      <c r="R1152" s="18">
        <v>321.86</v>
      </c>
      <c r="S1152" s="18">
        <v>333.77</v>
      </c>
      <c r="T1152" s="18">
        <v>273.58</v>
      </c>
      <c r="U1152" s="16"/>
      <c r="V1152" s="16"/>
      <c r="W1152" s="16" t="s">
        <v>40</v>
      </c>
      <c r="X1152" s="19">
        <v>0.19600000000000001</v>
      </c>
      <c r="Y1152" s="20">
        <v>1.5579999999999999E-3</v>
      </c>
      <c r="Z1152" s="21">
        <v>4601004269286</v>
      </c>
    </row>
    <row r="1153" spans="1:26" ht="12" customHeight="1" outlineLevel="3" x14ac:dyDescent="0.2">
      <c r="A1153" s="14" t="s">
        <v>2275</v>
      </c>
      <c r="B1153" s="26" t="s">
        <v>2276</v>
      </c>
      <c r="C1153" s="52"/>
      <c r="D1153" s="55">
        <f t="shared" si="17"/>
        <v>0</v>
      </c>
      <c r="E1153" s="63" t="str">
        <f>HYPERLINK("https://www.sds-group.ru/product/krepezh-klipsa-dlya-montazhnogo-pistoleta-40-mm-seraya-25-sht-up-rexant-28-0440-1/", "Инфо")</f>
        <v>Инфо</v>
      </c>
      <c r="F1153" s="16" t="s">
        <v>1001</v>
      </c>
      <c r="G1153" s="15"/>
      <c r="H1153" s="15"/>
      <c r="I1153" s="15"/>
      <c r="J1153" s="17">
        <v>430</v>
      </c>
      <c r="K1153" s="15"/>
      <c r="L1153" s="17">
        <v>5</v>
      </c>
      <c r="M1153" s="17">
        <v>20</v>
      </c>
      <c r="N1153" s="17">
        <v>5</v>
      </c>
      <c r="O1153" s="18">
        <v>539.92999999999995</v>
      </c>
      <c r="P1153" s="18">
        <v>442.57</v>
      </c>
      <c r="Q1153" s="18">
        <v>431.94</v>
      </c>
      <c r="R1153" s="18">
        <v>354.05</v>
      </c>
      <c r="S1153" s="18">
        <v>367.15</v>
      </c>
      <c r="T1153" s="18">
        <v>300.94</v>
      </c>
      <c r="U1153" s="16"/>
      <c r="V1153" s="16"/>
      <c r="W1153" s="16" t="s">
        <v>40</v>
      </c>
      <c r="X1153" s="19">
        <v>0.157</v>
      </c>
      <c r="Y1153" s="20">
        <v>1.5690000000000001E-3</v>
      </c>
      <c r="Z1153" s="21">
        <v>4601004269347</v>
      </c>
    </row>
    <row r="1154" spans="1:26" ht="12" customHeight="1" outlineLevel="3" x14ac:dyDescent="0.2">
      <c r="A1154" s="14" t="s">
        <v>2277</v>
      </c>
      <c r="B1154" s="26" t="s">
        <v>2278</v>
      </c>
      <c r="C1154" s="52"/>
      <c r="D1154" s="55">
        <f t="shared" si="17"/>
        <v>0</v>
      </c>
      <c r="E1154" s="63" t="str">
        <f>HYPERLINK("https://www.sds-group.ru/product/krepezh-klipsa-dlya-montazhnogo-pistoleta-50-mm-belaya-25-sht-up-rexant-28-0450-3/", "Инфо")</f>
        <v>Инфо</v>
      </c>
      <c r="F1154" s="16" t="s">
        <v>1001</v>
      </c>
      <c r="G1154" s="15"/>
      <c r="H1154" s="15"/>
      <c r="I1154" s="15"/>
      <c r="J1154" s="17">
        <v>90</v>
      </c>
      <c r="K1154" s="15"/>
      <c r="L1154" s="17">
        <v>1</v>
      </c>
      <c r="M1154" s="17">
        <v>30</v>
      </c>
      <c r="N1154" s="17">
        <v>1</v>
      </c>
      <c r="O1154" s="18">
        <v>886.24</v>
      </c>
      <c r="P1154" s="18">
        <v>726.43</v>
      </c>
      <c r="Q1154" s="18">
        <v>708.99</v>
      </c>
      <c r="R1154" s="18">
        <v>581.14</v>
      </c>
      <c r="S1154" s="18">
        <v>602.64</v>
      </c>
      <c r="T1154" s="18">
        <v>493.97</v>
      </c>
      <c r="U1154" s="16"/>
      <c r="V1154" s="16"/>
      <c r="W1154" s="16" t="s">
        <v>40</v>
      </c>
      <c r="X1154" s="19">
        <v>0.33100000000000002</v>
      </c>
      <c r="Y1154" s="20">
        <v>2.8540000000000002E-3</v>
      </c>
      <c r="Z1154" s="21">
        <v>4601004269293</v>
      </c>
    </row>
    <row r="1155" spans="1:26" ht="12" customHeight="1" outlineLevel="3" x14ac:dyDescent="0.2">
      <c r="A1155" s="14" t="s">
        <v>2279</v>
      </c>
      <c r="B1155" s="26" t="s">
        <v>2280</v>
      </c>
      <c r="C1155" s="52"/>
      <c r="D1155" s="55">
        <f t="shared" si="17"/>
        <v>0</v>
      </c>
      <c r="E1155" s="63" t="str">
        <f>HYPERLINK("https://www.sds-group.ru/product/krepezh-klipsa-dlya-montazhnogo-pistoleta-50-mm-seraya-25-sht-up-rexant-28-0450-1/", "Инфо")</f>
        <v>Инфо</v>
      </c>
      <c r="F1155" s="16" t="s">
        <v>1001</v>
      </c>
      <c r="G1155" s="15"/>
      <c r="H1155" s="15"/>
      <c r="I1155" s="15"/>
      <c r="J1155" s="17">
        <v>203</v>
      </c>
      <c r="K1155" s="15"/>
      <c r="L1155" s="17">
        <v>1</v>
      </c>
      <c r="M1155" s="17">
        <v>15</v>
      </c>
      <c r="N1155" s="17">
        <v>1</v>
      </c>
      <c r="O1155" s="18">
        <v>812.68</v>
      </c>
      <c r="P1155" s="18">
        <v>666.13</v>
      </c>
      <c r="Q1155" s="18">
        <v>650.14</v>
      </c>
      <c r="R1155" s="18">
        <v>532.9</v>
      </c>
      <c r="S1155" s="18">
        <v>552.62</v>
      </c>
      <c r="T1155" s="18">
        <v>452.97</v>
      </c>
      <c r="U1155" s="16"/>
      <c r="V1155" s="16"/>
      <c r="W1155" s="16" t="s">
        <v>40</v>
      </c>
      <c r="X1155" s="19">
        <v>0.23599999999999999</v>
      </c>
      <c r="Y1155" s="20">
        <v>1.756E-3</v>
      </c>
      <c r="Z1155" s="21">
        <v>4601004269354</v>
      </c>
    </row>
    <row r="1156" spans="1:26" ht="12" customHeight="1" outlineLevel="3" x14ac:dyDescent="0.2">
      <c r="A1156" s="14" t="s">
        <v>2281</v>
      </c>
      <c r="B1156" s="26" t="s">
        <v>2282</v>
      </c>
      <c r="C1156" s="52"/>
      <c r="D1156" s="55">
        <f t="shared" si="17"/>
        <v>0</v>
      </c>
      <c r="E1156" s="63" t="str">
        <f>HYPERLINK("https://www.sds-group.ru/product/krepezh-klipsa-dlya-montazhnogo-pistoleta-50-mm-chernaya-25-sht-up-rexant-28-0450-2/", "Инфо")</f>
        <v>Инфо</v>
      </c>
      <c r="F1156" s="16" t="s">
        <v>1001</v>
      </c>
      <c r="G1156" s="15"/>
      <c r="H1156" s="15"/>
      <c r="I1156" s="15"/>
      <c r="J1156" s="17">
        <v>189</v>
      </c>
      <c r="K1156" s="15"/>
      <c r="L1156" s="17">
        <v>1</v>
      </c>
      <c r="M1156" s="17">
        <v>30</v>
      </c>
      <c r="N1156" s="17">
        <v>1</v>
      </c>
      <c r="O1156" s="18">
        <v>812.69</v>
      </c>
      <c r="P1156" s="18">
        <v>666.14</v>
      </c>
      <c r="Q1156" s="18">
        <v>650.15</v>
      </c>
      <c r="R1156" s="18">
        <v>532.91</v>
      </c>
      <c r="S1156" s="18">
        <v>552.63</v>
      </c>
      <c r="T1156" s="18">
        <v>452.98</v>
      </c>
      <c r="U1156" s="16"/>
      <c r="V1156" s="16"/>
      <c r="W1156" s="16" t="s">
        <v>40</v>
      </c>
      <c r="X1156" s="19">
        <v>0.34100000000000003</v>
      </c>
      <c r="Y1156" s="20">
        <v>3.042E-3</v>
      </c>
      <c r="Z1156" s="21">
        <v>4601004269415</v>
      </c>
    </row>
    <row r="1157" spans="1:26" ht="12" customHeight="1" outlineLevel="3" x14ac:dyDescent="0.2">
      <c r="A1157" s="14" t="s">
        <v>2283</v>
      </c>
      <c r="B1157" s="26" t="s">
        <v>2284</v>
      </c>
      <c r="C1157" s="52"/>
      <c r="D1157" s="55">
        <f t="shared" si="17"/>
        <v>0</v>
      </c>
      <c r="E1157" s="63" t="str">
        <f>HYPERLINK("https://www.sds-group.ru/product/skoba-smo-16-17-dmp-odnolapkovaya-dlya-montazhnogo-pistoleta-100-sht-up-rexant-28-1011-3/", "Инфо")</f>
        <v>Инфо</v>
      </c>
      <c r="F1157" s="16" t="s">
        <v>1001</v>
      </c>
      <c r="G1157" s="15"/>
      <c r="H1157" s="15"/>
      <c r="I1157" s="15"/>
      <c r="J1157" s="17">
        <v>71</v>
      </c>
      <c r="K1157" s="15" t="s">
        <v>1381</v>
      </c>
      <c r="L1157" s="17">
        <v>1</v>
      </c>
      <c r="M1157" s="17">
        <v>18</v>
      </c>
      <c r="N1157" s="17">
        <v>1</v>
      </c>
      <c r="O1157" s="18">
        <v>729.45</v>
      </c>
      <c r="P1157" s="18">
        <v>597.91</v>
      </c>
      <c r="Q1157" s="18">
        <v>583.55999999999995</v>
      </c>
      <c r="R1157" s="18">
        <v>478.33</v>
      </c>
      <c r="S1157" s="18">
        <v>496.03</v>
      </c>
      <c r="T1157" s="18">
        <v>406.58</v>
      </c>
      <c r="U1157" s="16"/>
      <c r="V1157" s="16"/>
      <c r="W1157" s="16" t="s">
        <v>40</v>
      </c>
      <c r="X1157" s="19">
        <v>0.59899999999999998</v>
      </c>
      <c r="Y1157" s="20">
        <v>1.0610000000000001E-3</v>
      </c>
      <c r="Z1157" s="21">
        <v>4601004277625</v>
      </c>
    </row>
    <row r="1158" spans="1:26" ht="12" customHeight="1" outlineLevel="3" x14ac:dyDescent="0.2">
      <c r="A1158" s="14" t="s">
        <v>2285</v>
      </c>
      <c r="B1158" s="26" t="s">
        <v>2286</v>
      </c>
      <c r="C1158" s="52"/>
      <c r="D1158" s="55">
        <f t="shared" si="17"/>
        <v>0</v>
      </c>
      <c r="E1158" s="63" t="str">
        <f>HYPERLINK("https://www.sds-group.ru/product/skoba-smo-19-20-dmp-odnolapkovaya-dlya-montazhnogo-pistoleta-100-sht-up-rexant-28-1016-3/", "Инфо")</f>
        <v>Инфо</v>
      </c>
      <c r="F1158" s="16" t="s">
        <v>1001</v>
      </c>
      <c r="G1158" s="15"/>
      <c r="H1158" s="15"/>
      <c r="I1158" s="15"/>
      <c r="J1158" s="16" t="s">
        <v>100</v>
      </c>
      <c r="K1158" s="15" t="s">
        <v>1381</v>
      </c>
      <c r="L1158" s="17">
        <v>1</v>
      </c>
      <c r="M1158" s="17">
        <v>16</v>
      </c>
      <c r="N1158" s="17">
        <v>1</v>
      </c>
      <c r="O1158" s="18">
        <v>813.32</v>
      </c>
      <c r="P1158" s="18">
        <v>666.66</v>
      </c>
      <c r="Q1158" s="18">
        <v>650.66</v>
      </c>
      <c r="R1158" s="18">
        <v>533.33000000000004</v>
      </c>
      <c r="S1158" s="18">
        <v>553.05999999999995</v>
      </c>
      <c r="T1158" s="18">
        <v>453.33</v>
      </c>
      <c r="U1158" s="16"/>
      <c r="V1158" s="16"/>
      <c r="W1158" s="16" t="s">
        <v>40</v>
      </c>
      <c r="X1158" s="19">
        <v>0.64800000000000002</v>
      </c>
      <c r="Y1158" s="20">
        <v>1.2030000000000001E-3</v>
      </c>
      <c r="Z1158" s="21">
        <v>4601004277601</v>
      </c>
    </row>
    <row r="1159" spans="1:26" ht="12" customHeight="1" outlineLevel="3" x14ac:dyDescent="0.2">
      <c r="A1159" s="32" t="s">
        <v>2287</v>
      </c>
      <c r="B1159" s="74" t="s">
        <v>2288</v>
      </c>
      <c r="C1159" s="50"/>
      <c r="D1159" s="53">
        <f t="shared" si="17"/>
        <v>0</v>
      </c>
      <c r="E1159" s="60" t="str">
        <f>HYPERLINK("https://www.sds-group.ru/product/skoba-smo-21-22-dmp-odnolapkovaya-dlya-montazhnogo-pistoleta-100-sht-up-rexant-28-1027-3/", "Инфо")</f>
        <v>Инфо</v>
      </c>
      <c r="F1159" s="34" t="s">
        <v>1001</v>
      </c>
      <c r="G1159" s="33"/>
      <c r="H1159" s="33" t="s">
        <v>40</v>
      </c>
      <c r="I1159" s="33"/>
      <c r="J1159" s="35">
        <v>16</v>
      </c>
      <c r="K1159" s="33"/>
      <c r="L1159" s="35">
        <v>1</v>
      </c>
      <c r="M1159" s="35">
        <v>14</v>
      </c>
      <c r="N1159" s="35">
        <v>1</v>
      </c>
      <c r="O1159" s="36">
        <v>894.79</v>
      </c>
      <c r="P1159" s="36">
        <v>733.43</v>
      </c>
      <c r="Q1159" s="36">
        <v>626.35</v>
      </c>
      <c r="R1159" s="36">
        <v>513.4</v>
      </c>
      <c r="S1159" s="36">
        <v>608.46</v>
      </c>
      <c r="T1159" s="36">
        <v>498.74</v>
      </c>
      <c r="U1159" s="34"/>
      <c r="V1159" s="34"/>
      <c r="W1159" s="34"/>
      <c r="X1159" s="37">
        <v>0.66700000000000004</v>
      </c>
      <c r="Y1159" s="38">
        <v>1.39E-3</v>
      </c>
      <c r="Z1159" s="21">
        <v>4601004277632</v>
      </c>
    </row>
    <row r="1160" spans="1:26" ht="12.95" customHeight="1" outlineLevel="1" x14ac:dyDescent="0.2">
      <c r="A1160" s="78" t="s">
        <v>2289</v>
      </c>
      <c r="B1160" s="78"/>
      <c r="C1160" s="79"/>
      <c r="D1160" s="57"/>
      <c r="E1160" s="67"/>
      <c r="F1160" s="12"/>
      <c r="G1160" s="12"/>
      <c r="H1160" s="12"/>
      <c r="I1160" s="12"/>
      <c r="J1160" s="12"/>
      <c r="K1160" s="12"/>
      <c r="L1160" s="12"/>
      <c r="M1160" s="12"/>
      <c r="N1160" s="12"/>
      <c r="O1160" s="12"/>
      <c r="P1160" s="12"/>
      <c r="Q1160" s="12"/>
      <c r="R1160" s="12"/>
      <c r="S1160" s="12"/>
      <c r="T1160" s="12"/>
      <c r="U1160" s="12"/>
      <c r="V1160" s="12"/>
      <c r="W1160" s="12"/>
      <c r="X1160" s="12"/>
      <c r="Y1160" s="12"/>
      <c r="Z1160" s="12"/>
    </row>
    <row r="1161" spans="1:26" ht="12.95" customHeight="1" outlineLevel="2" x14ac:dyDescent="0.2">
      <c r="A1161" s="76" t="s">
        <v>2290</v>
      </c>
      <c r="B1161" s="76"/>
      <c r="C1161" s="77"/>
      <c r="D1161" s="58"/>
      <c r="E1161" s="68"/>
      <c r="F1161" s="13"/>
      <c r="G1161" s="13"/>
      <c r="H1161" s="13"/>
      <c r="I1161" s="13"/>
      <c r="J1161" s="13"/>
      <c r="K1161" s="13"/>
      <c r="L1161" s="13"/>
      <c r="M1161" s="13"/>
      <c r="N1161" s="13"/>
      <c r="O1161" s="13"/>
      <c r="P1161" s="13"/>
      <c r="Q1161" s="13"/>
      <c r="R1161" s="13"/>
      <c r="S1161" s="13"/>
      <c r="T1161" s="13"/>
      <c r="U1161" s="13"/>
      <c r="V1161" s="13"/>
      <c r="W1161" s="13"/>
      <c r="X1161" s="13"/>
      <c r="Y1161" s="13"/>
      <c r="Z1161" s="13"/>
    </row>
    <row r="1162" spans="1:26" ht="12.95" customHeight="1" outlineLevel="3" x14ac:dyDescent="0.2">
      <c r="A1162" s="82" t="s">
        <v>2291</v>
      </c>
      <c r="B1162" s="82"/>
      <c r="C1162" s="83"/>
      <c r="D1162" s="59"/>
      <c r="E1162" s="69"/>
      <c r="F1162" s="23"/>
      <c r="G1162" s="23"/>
      <c r="H1162" s="23"/>
      <c r="I1162" s="23"/>
      <c r="J1162" s="23"/>
      <c r="K1162" s="23"/>
      <c r="L1162" s="23"/>
      <c r="M1162" s="23"/>
      <c r="N1162" s="23"/>
      <c r="O1162" s="23"/>
      <c r="P1162" s="23"/>
      <c r="Q1162" s="23"/>
      <c r="R1162" s="23"/>
      <c r="S1162" s="23"/>
      <c r="T1162" s="23"/>
      <c r="U1162" s="23"/>
      <c r="V1162" s="23"/>
      <c r="W1162" s="23"/>
      <c r="X1162" s="23"/>
      <c r="Y1162" s="23"/>
      <c r="Z1162" s="23"/>
    </row>
    <row r="1163" spans="1:26" ht="12" customHeight="1" outlineLevel="4" x14ac:dyDescent="0.2">
      <c r="A1163" s="14" t="s">
        <v>2292</v>
      </c>
      <c r="B1163" s="26" t="s">
        <v>2293</v>
      </c>
      <c r="C1163" s="52"/>
      <c r="D1163" s="55">
        <f t="shared" ref="D1163:D1224" si="18">C1163*(O1163-O1163*$G$3)</f>
        <v>0</v>
      </c>
      <c r="E1163" s="63" t="str">
        <f>HYPERLINK("https://www.sds-group.ru/product/kabel-silovoy-mednyy-vvg-png-a-2x1-5-mm-100-m-gost-31996-2012-tu-16-705-499-2010-01-8201-3/", "Инфо")</f>
        <v>Инфо</v>
      </c>
      <c r="F1163" s="16" t="s">
        <v>1767</v>
      </c>
      <c r="G1163" s="15"/>
      <c r="H1163" s="15"/>
      <c r="I1163" s="15"/>
      <c r="J1163" s="17">
        <v>600</v>
      </c>
      <c r="K1163" s="15"/>
      <c r="L1163" s="17">
        <v>100</v>
      </c>
      <c r="M1163" s="17">
        <v>100</v>
      </c>
      <c r="N1163" s="17">
        <v>100</v>
      </c>
      <c r="O1163" s="18">
        <v>110.82</v>
      </c>
      <c r="P1163" s="18">
        <v>90.84</v>
      </c>
      <c r="Q1163" s="18">
        <v>94.2</v>
      </c>
      <c r="R1163" s="18">
        <v>77.209999999999994</v>
      </c>
      <c r="S1163" s="18">
        <v>75.36</v>
      </c>
      <c r="T1163" s="18">
        <v>61.77</v>
      </c>
      <c r="U1163" s="16"/>
      <c r="V1163" s="16"/>
      <c r="W1163" s="16" t="s">
        <v>40</v>
      </c>
      <c r="X1163" s="19">
        <v>7.9000000000000001E-2</v>
      </c>
      <c r="Y1163" s="20">
        <v>9.3999999999999994E-5</v>
      </c>
      <c r="Z1163" s="21">
        <v>4631137046706</v>
      </c>
    </row>
    <row r="1164" spans="1:26" ht="12" customHeight="1" outlineLevel="4" x14ac:dyDescent="0.2">
      <c r="A1164" s="14" t="s">
        <v>2294</v>
      </c>
      <c r="B1164" s="26" t="s">
        <v>2295</v>
      </c>
      <c r="C1164" s="52"/>
      <c r="D1164" s="55">
        <f t="shared" si="18"/>
        <v>0</v>
      </c>
      <c r="E1164" s="63" t="str">
        <f>HYPERLINK("https://www.sds-group.ru/product/kabel-silovoy-mednyy-vvg-png-a-2x2-5-mm-100-m-gost-31996-2012-tu-16-705-499-2010-01-8202-3/", "Инфо")</f>
        <v>Инфо</v>
      </c>
      <c r="F1164" s="16" t="s">
        <v>1767</v>
      </c>
      <c r="G1164" s="15"/>
      <c r="H1164" s="15"/>
      <c r="I1164" s="15"/>
      <c r="J1164" s="17">
        <v>500</v>
      </c>
      <c r="K1164" s="15"/>
      <c r="L1164" s="17">
        <v>100</v>
      </c>
      <c r="M1164" s="17">
        <v>100</v>
      </c>
      <c r="N1164" s="17">
        <v>100</v>
      </c>
      <c r="O1164" s="18">
        <v>161.06</v>
      </c>
      <c r="P1164" s="18">
        <v>132.02000000000001</v>
      </c>
      <c r="Q1164" s="18">
        <v>136.9</v>
      </c>
      <c r="R1164" s="18">
        <v>112.21</v>
      </c>
      <c r="S1164" s="18">
        <v>109.52</v>
      </c>
      <c r="T1164" s="18">
        <v>89.77</v>
      </c>
      <c r="U1164" s="16"/>
      <c r="V1164" s="16"/>
      <c r="W1164" s="16" t="s">
        <v>40</v>
      </c>
      <c r="X1164" s="19">
        <v>0.108</v>
      </c>
      <c r="Y1164" s="20">
        <v>1.16E-4</v>
      </c>
      <c r="Z1164" s="21">
        <v>4631179614499</v>
      </c>
    </row>
    <row r="1165" spans="1:26" ht="12" customHeight="1" outlineLevel="4" x14ac:dyDescent="0.2">
      <c r="A1165" s="14" t="s">
        <v>2296</v>
      </c>
      <c r="B1165" s="26" t="s">
        <v>2297</v>
      </c>
      <c r="C1165" s="52"/>
      <c r="D1165" s="55">
        <f t="shared" si="18"/>
        <v>0</v>
      </c>
      <c r="E1165" s="63" t="str">
        <f>HYPERLINK("https://www.sds-group.ru/product/kabel-silovoy-mednyy-vvg-png-a-3x1-5-mm-100-m-gost-31996-2012-tu-16-705-499-2010-01-8211-3/", "Инфо")</f>
        <v>Инфо</v>
      </c>
      <c r="F1165" s="16" t="s">
        <v>1767</v>
      </c>
      <c r="G1165" s="15"/>
      <c r="H1165" s="15"/>
      <c r="I1165" s="15"/>
      <c r="J1165" s="16" t="s">
        <v>100</v>
      </c>
      <c r="K1165" s="15" t="s">
        <v>1381</v>
      </c>
      <c r="L1165" s="17">
        <v>100</v>
      </c>
      <c r="M1165" s="17">
        <v>100</v>
      </c>
      <c r="N1165" s="17">
        <v>100</v>
      </c>
      <c r="O1165" s="18">
        <v>142.62</v>
      </c>
      <c r="P1165" s="18">
        <v>116.9</v>
      </c>
      <c r="Q1165" s="18">
        <v>121.23</v>
      </c>
      <c r="R1165" s="18">
        <v>99.37</v>
      </c>
      <c r="S1165" s="18">
        <v>96.98</v>
      </c>
      <c r="T1165" s="18">
        <v>79.489999999999995</v>
      </c>
      <c r="U1165" s="16"/>
      <c r="V1165" s="16"/>
      <c r="W1165" s="16" t="s">
        <v>40</v>
      </c>
      <c r="X1165" s="19">
        <v>0.108</v>
      </c>
      <c r="Y1165" s="20">
        <v>8.3999999999999995E-5</v>
      </c>
      <c r="Z1165" s="21">
        <v>4631179614536</v>
      </c>
    </row>
    <row r="1166" spans="1:26" ht="12" customHeight="1" outlineLevel="4" x14ac:dyDescent="0.2">
      <c r="A1166" s="14" t="s">
        <v>2298</v>
      </c>
      <c r="B1166" s="26" t="s">
        <v>2299</v>
      </c>
      <c r="C1166" s="52"/>
      <c r="D1166" s="55">
        <f t="shared" si="18"/>
        <v>0</v>
      </c>
      <c r="E1166" s="63" t="str">
        <f>HYPERLINK("https://www.sds-group.ru/product/kabel-silovoy-mednyy-vvg-png-a-3x2-5-mm-100-m-gost-31996-2012-tu-16-705-499-2010-01-8212-3/", "Инфо")</f>
        <v>Инфо</v>
      </c>
      <c r="F1166" s="16" t="s">
        <v>1767</v>
      </c>
      <c r="G1166" s="15"/>
      <c r="H1166" s="15"/>
      <c r="I1166" s="15"/>
      <c r="J1166" s="16" t="s">
        <v>100</v>
      </c>
      <c r="K1166" s="15" t="s">
        <v>1381</v>
      </c>
      <c r="L1166" s="17">
        <v>100</v>
      </c>
      <c r="M1166" s="17">
        <v>100</v>
      </c>
      <c r="N1166" s="17">
        <v>100</v>
      </c>
      <c r="O1166" s="18">
        <v>229.21</v>
      </c>
      <c r="P1166" s="18">
        <v>187.88</v>
      </c>
      <c r="Q1166" s="18">
        <v>194.83</v>
      </c>
      <c r="R1166" s="18">
        <v>159.69999999999999</v>
      </c>
      <c r="S1166" s="18">
        <v>155.86000000000001</v>
      </c>
      <c r="T1166" s="18">
        <v>127.75</v>
      </c>
      <c r="U1166" s="16"/>
      <c r="V1166" s="16"/>
      <c r="W1166" s="16" t="s">
        <v>40</v>
      </c>
      <c r="X1166" s="19">
        <v>0.14000000000000001</v>
      </c>
      <c r="Y1166" s="20">
        <v>1.0900000000000001E-4</v>
      </c>
      <c r="Z1166" s="21">
        <v>4631179614543</v>
      </c>
    </row>
    <row r="1167" spans="1:26" ht="12" customHeight="1" outlineLevel="4" x14ac:dyDescent="0.2">
      <c r="A1167" s="14" t="s">
        <v>2300</v>
      </c>
      <c r="B1167" s="26" t="s">
        <v>2301</v>
      </c>
      <c r="C1167" s="52"/>
      <c r="D1167" s="55">
        <f t="shared" si="18"/>
        <v>0</v>
      </c>
      <c r="E1167" s="63" t="str">
        <f>HYPERLINK("https://www.sds-group.ru/product/kabel-silovoy-mednyy-vvg-png-a-ls-2x1-5-mm-100-m-gost-31996-2012-tu-16-k71-310-2001-01-8292/", "Инфо")</f>
        <v>Инфо</v>
      </c>
      <c r="F1167" s="16" t="s">
        <v>1767</v>
      </c>
      <c r="G1167" s="15"/>
      <c r="H1167" s="15"/>
      <c r="I1167" s="15" t="s">
        <v>2302</v>
      </c>
      <c r="J1167" s="16" t="s">
        <v>100</v>
      </c>
      <c r="K1167" s="15"/>
      <c r="L1167" s="17">
        <v>100</v>
      </c>
      <c r="M1167" s="17">
        <v>100</v>
      </c>
      <c r="N1167" s="17">
        <v>100</v>
      </c>
      <c r="O1167" s="18">
        <v>115.14</v>
      </c>
      <c r="P1167" s="18">
        <v>94.38</v>
      </c>
      <c r="Q1167" s="18">
        <v>97.87</v>
      </c>
      <c r="R1167" s="18">
        <v>80.22</v>
      </c>
      <c r="S1167" s="18">
        <v>78.3</v>
      </c>
      <c r="T1167" s="18">
        <v>64.180000000000007</v>
      </c>
      <c r="U1167" s="16"/>
      <c r="V1167" s="16"/>
      <c r="W1167" s="16" t="s">
        <v>40</v>
      </c>
      <c r="X1167" s="19">
        <v>8.5000000000000006E-2</v>
      </c>
      <c r="Y1167" s="20">
        <v>9.7E-5</v>
      </c>
      <c r="Z1167" s="21">
        <v>4631174740063</v>
      </c>
    </row>
    <row r="1168" spans="1:26" ht="12" customHeight="1" outlineLevel="4" x14ac:dyDescent="0.2">
      <c r="A1168" s="14" t="s">
        <v>2303</v>
      </c>
      <c r="B1168" s="26" t="s">
        <v>2304</v>
      </c>
      <c r="C1168" s="52"/>
      <c r="D1168" s="55">
        <f t="shared" si="18"/>
        <v>0</v>
      </c>
      <c r="E1168" s="63" t="str">
        <f>HYPERLINK("https://www.sds-group.ru/product/kabel-silovoy-mednyy-vvg-png-a-ls-3x1-5-mm-100-m-gost-31996-2012-tu-16-k71-310-2001-01-8289/", "Инфо")</f>
        <v>Инфо</v>
      </c>
      <c r="F1168" s="16" t="s">
        <v>1767</v>
      </c>
      <c r="G1168" s="15"/>
      <c r="H1168" s="15"/>
      <c r="I1168" s="15"/>
      <c r="J1168" s="17">
        <v>300</v>
      </c>
      <c r="K1168" s="15" t="s">
        <v>1381</v>
      </c>
      <c r="L1168" s="17">
        <v>100</v>
      </c>
      <c r="M1168" s="17">
        <v>100</v>
      </c>
      <c r="N1168" s="17">
        <v>100</v>
      </c>
      <c r="O1168" s="18">
        <v>160.69999999999999</v>
      </c>
      <c r="P1168" s="18">
        <v>131.72</v>
      </c>
      <c r="Q1168" s="18">
        <v>136.6</v>
      </c>
      <c r="R1168" s="18">
        <v>111.97</v>
      </c>
      <c r="S1168" s="18">
        <v>109.28</v>
      </c>
      <c r="T1168" s="18">
        <v>89.57</v>
      </c>
      <c r="U1168" s="16"/>
      <c r="V1168" s="16"/>
      <c r="W1168" s="16" t="s">
        <v>40</v>
      </c>
      <c r="X1168" s="19">
        <v>0.12</v>
      </c>
      <c r="Y1168" s="20">
        <v>1.27E-4</v>
      </c>
      <c r="Z1168" s="21">
        <v>4631174740117</v>
      </c>
    </row>
    <row r="1169" spans="1:26" ht="12" customHeight="1" outlineLevel="4" x14ac:dyDescent="0.2">
      <c r="A1169" s="14" t="s">
        <v>2305</v>
      </c>
      <c r="B1169" s="26" t="s">
        <v>2306</v>
      </c>
      <c r="C1169" s="52"/>
      <c r="D1169" s="55">
        <f t="shared" si="18"/>
        <v>0</v>
      </c>
      <c r="E1169" s="63" t="str">
        <f>HYPERLINK("https://www.sds-group.ru/product/kabel-silovoy-medniy-vvg-png-a-ls-3x2-5-mm-sup2-100-m-gost-31996-2012-tu-16-k71-310-2001-15618/", "Инфо")</f>
        <v>Инфо</v>
      </c>
      <c r="F1169" s="16" t="s">
        <v>1767</v>
      </c>
      <c r="G1169" s="15"/>
      <c r="H1169" s="15"/>
      <c r="I1169" s="15"/>
      <c r="J1169" s="17">
        <v>500</v>
      </c>
      <c r="K1169" s="15" t="s">
        <v>1381</v>
      </c>
      <c r="L1169" s="17">
        <v>100</v>
      </c>
      <c r="M1169" s="17">
        <v>100</v>
      </c>
      <c r="N1169" s="17">
        <v>100</v>
      </c>
      <c r="O1169" s="18">
        <v>243.26</v>
      </c>
      <c r="P1169" s="18">
        <v>199.39</v>
      </c>
      <c r="Q1169" s="18">
        <v>206.77</v>
      </c>
      <c r="R1169" s="18">
        <v>169.48</v>
      </c>
      <c r="S1169" s="18">
        <v>165.42</v>
      </c>
      <c r="T1169" s="18">
        <v>135.59</v>
      </c>
      <c r="U1169" s="16"/>
      <c r="V1169" s="16"/>
      <c r="W1169" s="16" t="s">
        <v>40</v>
      </c>
      <c r="X1169" s="19">
        <v>0.155</v>
      </c>
      <c r="Y1169" s="20">
        <v>1.13E-4</v>
      </c>
      <c r="Z1169" s="21">
        <v>4631179613997</v>
      </c>
    </row>
    <row r="1170" spans="1:26" ht="12" customHeight="1" outlineLevel="4" x14ac:dyDescent="0.2">
      <c r="A1170" s="14" t="s">
        <v>2307</v>
      </c>
      <c r="B1170" s="26" t="s">
        <v>2308</v>
      </c>
      <c r="C1170" s="52"/>
      <c r="D1170" s="55">
        <f t="shared" si="18"/>
        <v>0</v>
      </c>
      <c r="E1170" s="63" t="str">
        <f>HYPERLINK("https://www.sds-group.ru/product/kabel-silovoy-mednyy-vvg-png-a-ls-3x4-mm-100-m-gost-31996-2012-tu-16-k71-310-2001-01-8273-2/", "Инфо")</f>
        <v>Инфо</v>
      </c>
      <c r="F1170" s="16" t="s">
        <v>1767</v>
      </c>
      <c r="G1170" s="15"/>
      <c r="H1170" s="15"/>
      <c r="I1170" s="15"/>
      <c r="J1170" s="17">
        <v>400</v>
      </c>
      <c r="K1170" s="15" t="s">
        <v>1381</v>
      </c>
      <c r="L1170" s="17">
        <v>100</v>
      </c>
      <c r="M1170" s="17">
        <v>100</v>
      </c>
      <c r="N1170" s="17">
        <v>100</v>
      </c>
      <c r="O1170" s="18">
        <v>369.71</v>
      </c>
      <c r="P1170" s="18">
        <v>303.04000000000002</v>
      </c>
      <c r="Q1170" s="18">
        <v>314.25</v>
      </c>
      <c r="R1170" s="18">
        <v>257.58</v>
      </c>
      <c r="S1170" s="18">
        <v>251.4</v>
      </c>
      <c r="T1170" s="18">
        <v>206.07</v>
      </c>
      <c r="U1170" s="16"/>
      <c r="V1170" s="16"/>
      <c r="W1170" s="16" t="s">
        <v>40</v>
      </c>
      <c r="X1170" s="19">
        <v>0.21299999999999999</v>
      </c>
      <c r="Y1170" s="20">
        <v>2.1699999999999999E-4</v>
      </c>
      <c r="Z1170" s="21">
        <v>4631174740131</v>
      </c>
    </row>
    <row r="1171" spans="1:26" ht="12.95" customHeight="1" outlineLevel="3" x14ac:dyDescent="0.2">
      <c r="A1171" s="82" t="s">
        <v>2309</v>
      </c>
      <c r="B1171" s="82"/>
      <c r="C1171" s="83"/>
      <c r="D1171" s="59"/>
      <c r="E1171" s="69"/>
      <c r="F1171" s="23"/>
      <c r="G1171" s="23"/>
      <c r="H1171" s="23"/>
      <c r="I1171" s="23"/>
      <c r="J1171" s="23"/>
      <c r="K1171" s="23"/>
      <c r="L1171" s="23"/>
      <c r="M1171" s="23"/>
      <c r="N1171" s="23"/>
      <c r="O1171" s="23"/>
      <c r="P1171" s="23"/>
      <c r="Q1171" s="23"/>
      <c r="R1171" s="23"/>
      <c r="S1171" s="23"/>
      <c r="T1171" s="23"/>
      <c r="U1171" s="23"/>
      <c r="V1171" s="23"/>
      <c r="W1171" s="23"/>
      <c r="X1171" s="23"/>
      <c r="Y1171" s="23"/>
      <c r="Z1171" s="23"/>
    </row>
    <row r="1172" spans="1:26" ht="12" customHeight="1" outlineLevel="4" x14ac:dyDescent="0.2">
      <c r="A1172" s="14" t="s">
        <v>2310</v>
      </c>
      <c r="B1172" s="26" t="s">
        <v>2311</v>
      </c>
      <c r="C1172" s="52"/>
      <c r="D1172" s="55">
        <f t="shared" si="18"/>
        <v>0</v>
      </c>
      <c r="E1172" s="63" t="str">
        <f>HYPERLINK("https://www.sds-group.ru/product/kabel-silovoy-gibkiy-kgtp-hl-1h10-mm-100-m-gost-24334-80-tu-3544-016-22901100-2015-01-8410/", "Инфо")</f>
        <v>Инфо</v>
      </c>
      <c r="F1172" s="16" t="s">
        <v>1767</v>
      </c>
      <c r="G1172" s="15"/>
      <c r="H1172" s="15"/>
      <c r="I1172" s="15"/>
      <c r="J1172" s="22">
        <v>2400</v>
      </c>
      <c r="K1172" s="15"/>
      <c r="L1172" s="17">
        <v>100</v>
      </c>
      <c r="M1172" s="17">
        <v>100</v>
      </c>
      <c r="N1172" s="17">
        <v>100</v>
      </c>
      <c r="O1172" s="18">
        <v>262.05</v>
      </c>
      <c r="P1172" s="18">
        <v>214.8</v>
      </c>
      <c r="Q1172" s="18">
        <v>196.54</v>
      </c>
      <c r="R1172" s="18">
        <v>161.1</v>
      </c>
      <c r="S1172" s="18">
        <v>178.19</v>
      </c>
      <c r="T1172" s="18">
        <v>146.06</v>
      </c>
      <c r="U1172" s="16"/>
      <c r="V1172" s="16"/>
      <c r="W1172" s="16" t="s">
        <v>40</v>
      </c>
      <c r="X1172" s="19">
        <v>0.155</v>
      </c>
      <c r="Y1172" s="20">
        <v>1.7899999999999999E-4</v>
      </c>
      <c r="Z1172" s="21">
        <v>4631176533410</v>
      </c>
    </row>
    <row r="1173" spans="1:26" ht="12" customHeight="1" outlineLevel="4" x14ac:dyDescent="0.2">
      <c r="A1173" s="14" t="s">
        <v>2312</v>
      </c>
      <c r="B1173" s="26" t="s">
        <v>2313</v>
      </c>
      <c r="C1173" s="52"/>
      <c r="D1173" s="55">
        <f t="shared" si="18"/>
        <v>0</v>
      </c>
      <c r="E1173" s="63" t="str">
        <f>HYPERLINK("https://www.sds-group.ru/product/kabel-silovoy-gibkiy-kgtp-hl-1h16-mm-100-m-gost-24334-80-tu-3544-016-22901100-2015-01-8411/", "Инфо")</f>
        <v>Инфо</v>
      </c>
      <c r="F1173" s="16" t="s">
        <v>1767</v>
      </c>
      <c r="G1173" s="15"/>
      <c r="H1173" s="15"/>
      <c r="I1173" s="15"/>
      <c r="J1173" s="17">
        <v>300</v>
      </c>
      <c r="K1173" s="15"/>
      <c r="L1173" s="17">
        <v>100</v>
      </c>
      <c r="M1173" s="17">
        <v>100</v>
      </c>
      <c r="N1173" s="17">
        <v>100</v>
      </c>
      <c r="O1173" s="18">
        <v>487.6</v>
      </c>
      <c r="P1173" s="18">
        <v>399.67</v>
      </c>
      <c r="Q1173" s="18">
        <v>390.08</v>
      </c>
      <c r="R1173" s="18">
        <v>319.74</v>
      </c>
      <c r="S1173" s="18">
        <v>331.57</v>
      </c>
      <c r="T1173" s="18">
        <v>271.77999999999997</v>
      </c>
      <c r="U1173" s="16"/>
      <c r="V1173" s="16"/>
      <c r="W1173" s="16" t="s">
        <v>40</v>
      </c>
      <c r="X1173" s="19">
        <v>0.223</v>
      </c>
      <c r="Y1173" s="20">
        <v>2.1000000000000001E-4</v>
      </c>
      <c r="Z1173" s="21">
        <v>4631176533427</v>
      </c>
    </row>
    <row r="1174" spans="1:26" ht="12" customHeight="1" outlineLevel="4" x14ac:dyDescent="0.2">
      <c r="A1174" s="14" t="s">
        <v>2314</v>
      </c>
      <c r="B1174" s="26" t="s">
        <v>2315</v>
      </c>
      <c r="C1174" s="52"/>
      <c r="D1174" s="55">
        <f t="shared" si="18"/>
        <v>0</v>
      </c>
      <c r="E1174" s="63" t="str">
        <f>HYPERLINK("https://www.sds-group.ru/product/kabel-silovoy-gibkiy-kgtp-hl-1h25-mm-100-m-gost-24334-80-tu-3544-016-22901100-2015-01-8412/", "Инфо")</f>
        <v>Инфо</v>
      </c>
      <c r="F1174" s="16" t="s">
        <v>1767</v>
      </c>
      <c r="G1174" s="15"/>
      <c r="H1174" s="15"/>
      <c r="I1174" s="15"/>
      <c r="J1174" s="17">
        <v>100</v>
      </c>
      <c r="K1174" s="15" t="s">
        <v>1381</v>
      </c>
      <c r="L1174" s="17">
        <v>100</v>
      </c>
      <c r="M1174" s="17">
        <v>100</v>
      </c>
      <c r="N1174" s="17">
        <v>100</v>
      </c>
      <c r="O1174" s="18">
        <v>766.57</v>
      </c>
      <c r="P1174" s="18">
        <v>628.34</v>
      </c>
      <c r="Q1174" s="18">
        <v>613.26</v>
      </c>
      <c r="R1174" s="18">
        <v>502.67</v>
      </c>
      <c r="S1174" s="18">
        <v>521.27</v>
      </c>
      <c r="T1174" s="18">
        <v>427.27</v>
      </c>
      <c r="U1174" s="16"/>
      <c r="V1174" s="16"/>
      <c r="W1174" s="16" t="s">
        <v>40</v>
      </c>
      <c r="X1174" s="19">
        <v>0.32300000000000001</v>
      </c>
      <c r="Y1174" s="20">
        <v>2.5999999999999998E-4</v>
      </c>
      <c r="Z1174" s="21">
        <v>4631176533434</v>
      </c>
    </row>
    <row r="1175" spans="1:26" ht="12" customHeight="1" outlineLevel="4" x14ac:dyDescent="0.2">
      <c r="A1175" s="14" t="s">
        <v>2316</v>
      </c>
      <c r="B1175" s="26" t="s">
        <v>2317</v>
      </c>
      <c r="C1175" s="52"/>
      <c r="D1175" s="55">
        <f t="shared" si="18"/>
        <v>0</v>
      </c>
      <c r="E1175" s="63" t="str">
        <f>HYPERLINK("https://www.sds-group.ru/product/kabel-silovoy-gibkiy-kgtp-hl-2h0-75-mm-300-m-gost-24334-80-tu-3544-016-22901100-2015-01-8415/", "Инфо")</f>
        <v>Инфо</v>
      </c>
      <c r="F1175" s="16" t="s">
        <v>1767</v>
      </c>
      <c r="G1175" s="15"/>
      <c r="H1175" s="15"/>
      <c r="I1175" s="15"/>
      <c r="J1175" s="16" t="s">
        <v>100</v>
      </c>
      <c r="K1175" s="15" t="s">
        <v>1381</v>
      </c>
      <c r="L1175" s="17">
        <v>300</v>
      </c>
      <c r="M1175" s="17">
        <v>300</v>
      </c>
      <c r="N1175" s="17">
        <v>300</v>
      </c>
      <c r="O1175" s="18">
        <v>66.39</v>
      </c>
      <c r="P1175" s="18">
        <v>54.42</v>
      </c>
      <c r="Q1175" s="18">
        <v>56.43</v>
      </c>
      <c r="R1175" s="18">
        <v>46.25</v>
      </c>
      <c r="S1175" s="18">
        <v>45.15</v>
      </c>
      <c r="T1175" s="18">
        <v>37.01</v>
      </c>
      <c r="U1175" s="16"/>
      <c r="V1175" s="16"/>
      <c r="W1175" s="16" t="s">
        <v>40</v>
      </c>
      <c r="X1175" s="19">
        <v>7.0999999999999994E-2</v>
      </c>
      <c r="Y1175" s="20">
        <v>1.12E-4</v>
      </c>
      <c r="Z1175" s="21">
        <v>4631176533458</v>
      </c>
    </row>
    <row r="1176" spans="1:26" ht="12" customHeight="1" outlineLevel="4" x14ac:dyDescent="0.2">
      <c r="A1176" s="14" t="s">
        <v>2318</v>
      </c>
      <c r="B1176" s="26" t="s">
        <v>2319</v>
      </c>
      <c r="C1176" s="52"/>
      <c r="D1176" s="55">
        <f t="shared" si="18"/>
        <v>0</v>
      </c>
      <c r="E1176" s="63" t="str">
        <f>HYPERLINK("https://www.sds-group.ru/product/kabel-silovoy-gibkiy-kgtp-hl-2h1-5-mm-150-m-gost-24334-80-tu-3544-016-22901100-2015-01-8417/", "Инфо")</f>
        <v>Инфо</v>
      </c>
      <c r="F1176" s="16" t="s">
        <v>1767</v>
      </c>
      <c r="G1176" s="15"/>
      <c r="H1176" s="15"/>
      <c r="I1176" s="15"/>
      <c r="J1176" s="17">
        <v>900</v>
      </c>
      <c r="K1176" s="15"/>
      <c r="L1176" s="17">
        <v>150</v>
      </c>
      <c r="M1176" s="17">
        <v>150</v>
      </c>
      <c r="N1176" s="17">
        <v>150</v>
      </c>
      <c r="O1176" s="18">
        <v>111.25</v>
      </c>
      <c r="P1176" s="18">
        <v>91.19</v>
      </c>
      <c r="Q1176" s="18">
        <v>94.56</v>
      </c>
      <c r="R1176" s="18">
        <v>77.510000000000005</v>
      </c>
      <c r="S1176" s="18">
        <v>75.650000000000006</v>
      </c>
      <c r="T1176" s="18">
        <v>62.01</v>
      </c>
      <c r="U1176" s="16"/>
      <c r="V1176" s="16"/>
      <c r="W1176" s="16" t="s">
        <v>40</v>
      </c>
      <c r="X1176" s="19">
        <v>8.6999999999999994E-2</v>
      </c>
      <c r="Y1176" s="20">
        <v>1.18E-4</v>
      </c>
      <c r="Z1176" s="21">
        <v>4631176533472</v>
      </c>
    </row>
    <row r="1177" spans="1:26" ht="12" customHeight="1" outlineLevel="4" x14ac:dyDescent="0.2">
      <c r="A1177" s="14" t="s">
        <v>2320</v>
      </c>
      <c r="B1177" s="26" t="s">
        <v>2321</v>
      </c>
      <c r="C1177" s="52"/>
      <c r="D1177" s="55">
        <f t="shared" si="18"/>
        <v>0</v>
      </c>
      <c r="E1177" s="63" t="str">
        <f>HYPERLINK("https://www.sds-group.ru/product/kabel-silovoy-gibkiy-kgtp-hl-2h2-5-mm-100-m-gost-24334-80-tu-3544-016-22901100-2015-01-8418/", "Инфо")</f>
        <v>Инфо</v>
      </c>
      <c r="F1177" s="16" t="s">
        <v>1767</v>
      </c>
      <c r="G1177" s="15"/>
      <c r="H1177" s="15"/>
      <c r="I1177" s="15"/>
      <c r="J1177" s="17">
        <v>200</v>
      </c>
      <c r="K1177" s="15" t="s">
        <v>1381</v>
      </c>
      <c r="L1177" s="17">
        <v>100</v>
      </c>
      <c r="M1177" s="17">
        <v>100</v>
      </c>
      <c r="N1177" s="17">
        <v>100</v>
      </c>
      <c r="O1177" s="18">
        <v>176.66</v>
      </c>
      <c r="P1177" s="18">
        <v>144.80000000000001</v>
      </c>
      <c r="Q1177" s="18">
        <v>150.16</v>
      </c>
      <c r="R1177" s="18">
        <v>123.08</v>
      </c>
      <c r="S1177" s="18">
        <v>120.13</v>
      </c>
      <c r="T1177" s="18">
        <v>98.47</v>
      </c>
      <c r="U1177" s="16"/>
      <c r="V1177" s="16"/>
      <c r="W1177" s="16" t="s">
        <v>40</v>
      </c>
      <c r="X1177" s="19">
        <v>0.124</v>
      </c>
      <c r="Y1177" s="20">
        <v>1.54E-4</v>
      </c>
      <c r="Z1177" s="21">
        <v>4631176533489</v>
      </c>
    </row>
    <row r="1178" spans="1:26" ht="12" customHeight="1" outlineLevel="4" x14ac:dyDescent="0.2">
      <c r="A1178" s="14" t="s">
        <v>2322</v>
      </c>
      <c r="B1178" s="26" t="s">
        <v>2323</v>
      </c>
      <c r="C1178" s="52"/>
      <c r="D1178" s="55">
        <f t="shared" si="18"/>
        <v>0</v>
      </c>
      <c r="E1178" s="63" t="str">
        <f>HYPERLINK("https://www.sds-group.ru/product/kabel-silovoy-gibkiy-kgtp-hl-3h1-5-mm-150-m-gost-24334-80-tu-3544-016-22901100-2015-01-8420/", "Инфо")</f>
        <v>Инфо</v>
      </c>
      <c r="F1178" s="16" t="s">
        <v>1767</v>
      </c>
      <c r="G1178" s="15"/>
      <c r="H1178" s="15"/>
      <c r="I1178" s="15"/>
      <c r="J1178" s="17">
        <v>300</v>
      </c>
      <c r="K1178" s="15" t="s">
        <v>1381</v>
      </c>
      <c r="L1178" s="17">
        <v>150</v>
      </c>
      <c r="M1178" s="17">
        <v>150</v>
      </c>
      <c r="N1178" s="17">
        <v>150</v>
      </c>
      <c r="O1178" s="18">
        <v>164.1</v>
      </c>
      <c r="P1178" s="18">
        <v>134.51</v>
      </c>
      <c r="Q1178" s="18">
        <v>139.49</v>
      </c>
      <c r="R1178" s="18">
        <v>114.34</v>
      </c>
      <c r="S1178" s="18">
        <v>111.59</v>
      </c>
      <c r="T1178" s="18">
        <v>91.47</v>
      </c>
      <c r="U1178" s="16"/>
      <c r="V1178" s="16"/>
      <c r="W1178" s="16" t="s">
        <v>40</v>
      </c>
      <c r="X1178" s="19">
        <v>0.105</v>
      </c>
      <c r="Y1178" s="20">
        <v>1.21E-4</v>
      </c>
      <c r="Z1178" s="21">
        <v>4631176533540</v>
      </c>
    </row>
    <row r="1179" spans="1:26" ht="12" customHeight="1" outlineLevel="4" x14ac:dyDescent="0.2">
      <c r="A1179" s="14" t="s">
        <v>2324</v>
      </c>
      <c r="B1179" s="26" t="s">
        <v>2325</v>
      </c>
      <c r="C1179" s="52"/>
      <c r="D1179" s="55">
        <f t="shared" si="18"/>
        <v>0</v>
      </c>
      <c r="E1179" s="63" t="str">
        <f>HYPERLINK("https://www.sds-group.ru/product/kabel-silovoy-gibkiy-kgtp-hl-3h2-5-mm-100-m-gost-24334-80-tu-3544-016-22901100-2015-01-8421/", "Инфо")</f>
        <v>Инфо</v>
      </c>
      <c r="F1179" s="16" t="s">
        <v>1767</v>
      </c>
      <c r="G1179" s="15"/>
      <c r="H1179" s="15"/>
      <c r="I1179" s="15"/>
      <c r="J1179" s="22">
        <v>7800</v>
      </c>
      <c r="K1179" s="15"/>
      <c r="L1179" s="17">
        <v>100</v>
      </c>
      <c r="M1179" s="17">
        <v>100</v>
      </c>
      <c r="N1179" s="17">
        <v>100</v>
      </c>
      <c r="O1179" s="18">
        <v>251.56</v>
      </c>
      <c r="P1179" s="18">
        <v>206.2</v>
      </c>
      <c r="Q1179" s="18">
        <v>213.83</v>
      </c>
      <c r="R1179" s="18">
        <v>175.27</v>
      </c>
      <c r="S1179" s="18">
        <v>171.06</v>
      </c>
      <c r="T1179" s="18">
        <v>140.21</v>
      </c>
      <c r="U1179" s="16"/>
      <c r="V1179" s="16"/>
      <c r="W1179" s="16" t="s">
        <v>40</v>
      </c>
      <c r="X1179" s="19">
        <v>0.154</v>
      </c>
      <c r="Y1179" s="20">
        <v>2.22E-4</v>
      </c>
      <c r="Z1179" s="21">
        <v>4631176533557</v>
      </c>
    </row>
    <row r="1180" spans="1:26" ht="12.95" customHeight="1" outlineLevel="3" x14ac:dyDescent="0.2">
      <c r="A1180" s="82" t="s">
        <v>2326</v>
      </c>
      <c r="B1180" s="82"/>
      <c r="C1180" s="83"/>
      <c r="D1180" s="59"/>
      <c r="E1180" s="69"/>
      <c r="F1180" s="23"/>
      <c r="G1180" s="23"/>
      <c r="H1180" s="23"/>
      <c r="I1180" s="23"/>
      <c r="J1180" s="23"/>
      <c r="K1180" s="23"/>
      <c r="L1180" s="23"/>
      <c r="M1180" s="23"/>
      <c r="N1180" s="23"/>
      <c r="O1180" s="23"/>
      <c r="P1180" s="23"/>
      <c r="Q1180" s="23"/>
      <c r="R1180" s="23"/>
      <c r="S1180" s="23"/>
      <c r="T1180" s="23"/>
      <c r="U1180" s="23"/>
      <c r="V1180" s="23"/>
      <c r="W1180" s="23"/>
      <c r="X1180" s="23"/>
      <c r="Y1180" s="23"/>
      <c r="Z1180" s="23"/>
    </row>
    <row r="1181" spans="1:26" ht="12" customHeight="1" outlineLevel="4" x14ac:dyDescent="0.2">
      <c r="A1181" s="14" t="s">
        <v>2327</v>
      </c>
      <c r="B1181" s="26" t="s">
        <v>2328</v>
      </c>
      <c r="C1181" s="52"/>
      <c r="D1181" s="55">
        <f t="shared" si="18"/>
        <v>0</v>
      </c>
      <c r="E1181" s="63" t="str">
        <f>HYPERLINK("https://www.sds-group.ru/product/kabel-silovoy-mednyy-num-j-3x1-5-mm-100-m-gost-31996-2012-tu-3520-015-38229892-2015-01-8704/", "Инфо")</f>
        <v>Инфо</v>
      </c>
      <c r="F1181" s="16" t="s">
        <v>1767</v>
      </c>
      <c r="G1181" s="15"/>
      <c r="H1181" s="15"/>
      <c r="I1181" s="15"/>
      <c r="J1181" s="17">
        <v>400</v>
      </c>
      <c r="K1181" s="15"/>
      <c r="L1181" s="17">
        <v>100</v>
      </c>
      <c r="M1181" s="17">
        <v>100</v>
      </c>
      <c r="N1181" s="17">
        <v>100</v>
      </c>
      <c r="O1181" s="18">
        <v>156.49</v>
      </c>
      <c r="P1181" s="18">
        <v>128.27000000000001</v>
      </c>
      <c r="Q1181" s="18">
        <v>133.02000000000001</v>
      </c>
      <c r="R1181" s="18">
        <v>109.03</v>
      </c>
      <c r="S1181" s="18">
        <v>106.41</v>
      </c>
      <c r="T1181" s="18">
        <v>87.22</v>
      </c>
      <c r="U1181" s="16"/>
      <c r="V1181" s="16"/>
      <c r="W1181" s="16" t="s">
        <v>40</v>
      </c>
      <c r="X1181" s="19">
        <v>0.156</v>
      </c>
      <c r="Y1181" s="20">
        <v>1.8799999999999999E-4</v>
      </c>
      <c r="Z1181" s="21">
        <v>4631169635794</v>
      </c>
    </row>
    <row r="1182" spans="1:26" ht="12" customHeight="1" outlineLevel="4" x14ac:dyDescent="0.2">
      <c r="A1182" s="14" t="s">
        <v>2329</v>
      </c>
      <c r="B1182" s="26" t="s">
        <v>2330</v>
      </c>
      <c r="C1182" s="52"/>
      <c r="D1182" s="55">
        <f t="shared" si="18"/>
        <v>0</v>
      </c>
      <c r="E1182" s="63" t="str">
        <f>HYPERLINK("https://www.sds-group.ru/product/kabel-silovoy-mednyy-num-j-3x2-5-mm-100-m-gost-31996-2012-tu-3520-015-38229892-2015-01-8705/", "Инфо")</f>
        <v>Инфо</v>
      </c>
      <c r="F1182" s="16" t="s">
        <v>1767</v>
      </c>
      <c r="G1182" s="15"/>
      <c r="H1182" s="15"/>
      <c r="I1182" s="15"/>
      <c r="J1182" s="22">
        <v>1000</v>
      </c>
      <c r="K1182" s="15"/>
      <c r="L1182" s="17">
        <v>100</v>
      </c>
      <c r="M1182" s="17">
        <v>100</v>
      </c>
      <c r="N1182" s="17">
        <v>100</v>
      </c>
      <c r="O1182" s="18">
        <v>252.33</v>
      </c>
      <c r="P1182" s="18">
        <v>206.83</v>
      </c>
      <c r="Q1182" s="18">
        <v>214.48</v>
      </c>
      <c r="R1182" s="18">
        <v>175.8</v>
      </c>
      <c r="S1182" s="18">
        <v>171.58</v>
      </c>
      <c r="T1182" s="18">
        <v>140.63999999999999</v>
      </c>
      <c r="U1182" s="16"/>
      <c r="V1182" s="16"/>
      <c r="W1182" s="16" t="s">
        <v>40</v>
      </c>
      <c r="X1182" s="19">
        <v>0.19400000000000001</v>
      </c>
      <c r="Y1182" s="20">
        <v>2.0000000000000001E-4</v>
      </c>
      <c r="Z1182" s="21">
        <v>4631169635800</v>
      </c>
    </row>
    <row r="1183" spans="1:26" ht="12" customHeight="1" outlineLevel="4" x14ac:dyDescent="0.2">
      <c r="A1183" s="14" t="s">
        <v>2331</v>
      </c>
      <c r="B1183" s="26" t="s">
        <v>2332</v>
      </c>
      <c r="C1183" s="52"/>
      <c r="D1183" s="55">
        <f t="shared" si="18"/>
        <v>0</v>
      </c>
      <c r="E1183" s="63" t="str">
        <f>HYPERLINK("https://www.sds-group.ru/product/kabel-silovoy-mednyy-num-o-2x1-5-mm-100-m-gost-31996-2012-tu-3520-015-38229892-2015-01-8701/", "Инфо")</f>
        <v>Инфо</v>
      </c>
      <c r="F1183" s="16" t="s">
        <v>1767</v>
      </c>
      <c r="G1183" s="15"/>
      <c r="H1183" s="15"/>
      <c r="I1183" s="15"/>
      <c r="J1183" s="17">
        <v>600</v>
      </c>
      <c r="K1183" s="15"/>
      <c r="L1183" s="17">
        <v>100</v>
      </c>
      <c r="M1183" s="17">
        <v>100</v>
      </c>
      <c r="N1183" s="17">
        <v>100</v>
      </c>
      <c r="O1183" s="18">
        <v>115.24</v>
      </c>
      <c r="P1183" s="18">
        <v>94.46</v>
      </c>
      <c r="Q1183" s="18">
        <v>97.95</v>
      </c>
      <c r="R1183" s="18">
        <v>80.290000000000006</v>
      </c>
      <c r="S1183" s="18">
        <v>78.36</v>
      </c>
      <c r="T1183" s="18">
        <v>64.23</v>
      </c>
      <c r="U1183" s="16"/>
      <c r="V1183" s="16"/>
      <c r="W1183" s="16" t="s">
        <v>40</v>
      </c>
      <c r="X1183" s="19">
        <v>0.128</v>
      </c>
      <c r="Y1183" s="20">
        <v>1.4300000000000001E-4</v>
      </c>
      <c r="Z1183" s="21">
        <v>4631169635756</v>
      </c>
    </row>
    <row r="1184" spans="1:26" ht="12.95" customHeight="1" outlineLevel="3" x14ac:dyDescent="0.2">
      <c r="A1184" s="82" t="s">
        <v>2333</v>
      </c>
      <c r="B1184" s="82"/>
      <c r="C1184" s="83"/>
      <c r="D1184" s="59"/>
      <c r="E1184" s="69"/>
      <c r="F1184" s="23"/>
      <c r="G1184" s="23"/>
      <c r="H1184" s="23"/>
      <c r="I1184" s="23"/>
      <c r="J1184" s="23"/>
      <c r="K1184" s="23"/>
      <c r="L1184" s="23"/>
      <c r="M1184" s="23"/>
      <c r="N1184" s="23"/>
      <c r="O1184" s="23"/>
      <c r="P1184" s="23"/>
      <c r="Q1184" s="23"/>
      <c r="R1184" s="23"/>
      <c r="S1184" s="23"/>
      <c r="T1184" s="23"/>
      <c r="U1184" s="23"/>
      <c r="V1184" s="23"/>
      <c r="W1184" s="23"/>
      <c r="X1184" s="23"/>
      <c r="Y1184" s="23"/>
      <c r="Z1184" s="23"/>
    </row>
    <row r="1185" spans="1:26" ht="12" customHeight="1" outlineLevel="4" x14ac:dyDescent="0.2">
      <c r="A1185" s="14" t="s">
        <v>2334</v>
      </c>
      <c r="B1185" s="26" t="s">
        <v>2335</v>
      </c>
      <c r="C1185" s="52"/>
      <c r="D1185" s="55">
        <f t="shared" si="18"/>
        <v>0</v>
      </c>
      <c r="E1185" s="63" t="str">
        <f>HYPERLINK("https://www.sds-group.ru/product/termostoykiy-provod-rkgm-0-75-mm-200-m-gost-31565-2012-tu-16-k80-09-90-01-8091/", "Инфо")</f>
        <v>Инфо</v>
      </c>
      <c r="F1185" s="16" t="s">
        <v>1767</v>
      </c>
      <c r="G1185" s="15"/>
      <c r="H1185" s="15"/>
      <c r="I1185" s="15"/>
      <c r="J1185" s="17">
        <v>600</v>
      </c>
      <c r="K1185" s="15"/>
      <c r="L1185" s="17">
        <v>200</v>
      </c>
      <c r="M1185" s="17">
        <v>200</v>
      </c>
      <c r="N1185" s="17">
        <v>200</v>
      </c>
      <c r="O1185" s="18">
        <v>88.93</v>
      </c>
      <c r="P1185" s="18">
        <v>72.89</v>
      </c>
      <c r="Q1185" s="18">
        <v>75.59</v>
      </c>
      <c r="R1185" s="18">
        <v>61.96</v>
      </c>
      <c r="S1185" s="18">
        <v>60.47</v>
      </c>
      <c r="T1185" s="18">
        <v>49.57</v>
      </c>
      <c r="U1185" s="16"/>
      <c r="V1185" s="16"/>
      <c r="W1185" s="16" t="s">
        <v>40</v>
      </c>
      <c r="X1185" s="19">
        <v>1.6E-2</v>
      </c>
      <c r="Y1185" s="20">
        <v>2.0000000000000002E-5</v>
      </c>
      <c r="Z1185" s="21">
        <v>4601004072923</v>
      </c>
    </row>
    <row r="1186" spans="1:26" ht="12" customHeight="1" outlineLevel="4" x14ac:dyDescent="0.2">
      <c r="A1186" s="14" t="s">
        <v>2336</v>
      </c>
      <c r="B1186" s="26" t="s">
        <v>2337</v>
      </c>
      <c r="C1186" s="52"/>
      <c r="D1186" s="55">
        <f t="shared" si="18"/>
        <v>0</v>
      </c>
      <c r="E1186" s="63" t="str">
        <f>HYPERLINK("https://www.sds-group.ru/product/termostoykiy-provod-rkgm-1-0-mm-sup2-200-m-gost-31565-2012-tu-16-k80-09-90-7315/", "Инфо")</f>
        <v>Инфо</v>
      </c>
      <c r="F1186" s="16" t="s">
        <v>1767</v>
      </c>
      <c r="G1186" s="15"/>
      <c r="H1186" s="15"/>
      <c r="I1186" s="15"/>
      <c r="J1186" s="22">
        <v>1400</v>
      </c>
      <c r="K1186" s="15"/>
      <c r="L1186" s="17">
        <v>200</v>
      </c>
      <c r="M1186" s="17">
        <v>200</v>
      </c>
      <c r="N1186" s="17">
        <v>200</v>
      </c>
      <c r="O1186" s="18">
        <v>92.56</v>
      </c>
      <c r="P1186" s="18">
        <v>75.87</v>
      </c>
      <c r="Q1186" s="18">
        <v>78.680000000000007</v>
      </c>
      <c r="R1186" s="18">
        <v>64.489999999999995</v>
      </c>
      <c r="S1186" s="18">
        <v>62.94</v>
      </c>
      <c r="T1186" s="18">
        <v>51.59</v>
      </c>
      <c r="U1186" s="16"/>
      <c r="V1186" s="16"/>
      <c r="W1186" s="16" t="s">
        <v>40</v>
      </c>
      <c r="X1186" s="19">
        <v>1.7999999999999999E-2</v>
      </c>
      <c r="Y1186" s="20">
        <v>2.4000000000000001E-5</v>
      </c>
      <c r="Z1186" s="21">
        <v>4601004072930</v>
      </c>
    </row>
    <row r="1187" spans="1:26" ht="12" customHeight="1" outlineLevel="4" x14ac:dyDescent="0.2">
      <c r="A1187" s="14" t="s">
        <v>2338</v>
      </c>
      <c r="B1187" s="26" t="s">
        <v>2339</v>
      </c>
      <c r="C1187" s="52"/>
      <c r="D1187" s="55">
        <f t="shared" si="18"/>
        <v>0</v>
      </c>
      <c r="E1187" s="63" t="str">
        <f>HYPERLINK("https://www.sds-group.ru/product/termostoykiy-provod-rkgm-1-5-mm-200-m-gost-31565-2012-tu-16-k80-09-90-01-8093/", "Инфо")</f>
        <v>Инфо</v>
      </c>
      <c r="F1187" s="16" t="s">
        <v>1767</v>
      </c>
      <c r="G1187" s="15"/>
      <c r="H1187" s="15"/>
      <c r="I1187" s="15"/>
      <c r="J1187" s="22">
        <v>4000</v>
      </c>
      <c r="K1187" s="15"/>
      <c r="L1187" s="17">
        <v>200</v>
      </c>
      <c r="M1187" s="17">
        <v>200</v>
      </c>
      <c r="N1187" s="17">
        <v>200</v>
      </c>
      <c r="O1187" s="18">
        <v>132.62</v>
      </c>
      <c r="P1187" s="18">
        <v>108.7</v>
      </c>
      <c r="Q1187" s="18">
        <v>112.73</v>
      </c>
      <c r="R1187" s="18">
        <v>92.4</v>
      </c>
      <c r="S1187" s="18">
        <v>90.18</v>
      </c>
      <c r="T1187" s="18">
        <v>73.92</v>
      </c>
      <c r="U1187" s="16"/>
      <c r="V1187" s="16"/>
      <c r="W1187" s="16" t="s">
        <v>40</v>
      </c>
      <c r="X1187" s="19">
        <v>2.7E-2</v>
      </c>
      <c r="Y1187" s="20">
        <v>1.8000000000000001E-4</v>
      </c>
      <c r="Z1187" s="21">
        <v>4601004043824</v>
      </c>
    </row>
    <row r="1188" spans="1:26" ht="12" customHeight="1" outlineLevel="4" x14ac:dyDescent="0.2">
      <c r="A1188" s="14" t="s">
        <v>2340</v>
      </c>
      <c r="B1188" s="26" t="s">
        <v>2341</v>
      </c>
      <c r="C1188" s="52"/>
      <c r="D1188" s="55">
        <f t="shared" si="18"/>
        <v>0</v>
      </c>
      <c r="E1188" s="63" t="str">
        <f>HYPERLINK("https://www.sds-group.ru/product/termostoykiy-provod-rkgm-2-5-mm-200-m-gost-31565-2012-tu-16-k80-09-90-01-8094/", "Инфо")</f>
        <v>Инфо</v>
      </c>
      <c r="F1188" s="16" t="s">
        <v>1767</v>
      </c>
      <c r="G1188" s="15"/>
      <c r="H1188" s="15"/>
      <c r="I1188" s="15"/>
      <c r="J1188" s="16" t="s">
        <v>100</v>
      </c>
      <c r="K1188" s="15"/>
      <c r="L1188" s="17">
        <v>200</v>
      </c>
      <c r="M1188" s="17">
        <v>200</v>
      </c>
      <c r="N1188" s="17">
        <v>200</v>
      </c>
      <c r="O1188" s="18">
        <v>190.13</v>
      </c>
      <c r="P1188" s="18">
        <v>155.84</v>
      </c>
      <c r="Q1188" s="18">
        <v>161.61000000000001</v>
      </c>
      <c r="R1188" s="18">
        <v>132.47</v>
      </c>
      <c r="S1188" s="18">
        <v>129.29</v>
      </c>
      <c r="T1188" s="18">
        <v>105.98</v>
      </c>
      <c r="U1188" s="16"/>
      <c r="V1188" s="16"/>
      <c r="W1188" s="16" t="s">
        <v>40</v>
      </c>
      <c r="X1188" s="19">
        <v>3.6999999999999998E-2</v>
      </c>
      <c r="Y1188" s="20">
        <v>3.8999999999999999E-5</v>
      </c>
      <c r="Z1188" s="21">
        <v>4601004043954</v>
      </c>
    </row>
    <row r="1189" spans="1:26" ht="12" customHeight="1" outlineLevel="4" x14ac:dyDescent="0.2">
      <c r="A1189" s="14" t="s">
        <v>2342</v>
      </c>
      <c r="B1189" s="26" t="s">
        <v>2343</v>
      </c>
      <c r="C1189" s="52"/>
      <c r="D1189" s="55">
        <f t="shared" si="18"/>
        <v>0</v>
      </c>
      <c r="E1189" s="63" t="str">
        <f>HYPERLINK("https://www.sds-group.ru/product/termostoykiy-provod-rkgm-4-0-mm-200-m-gost-31565-2012-tu-16-k80-09-90-01-8095/", "Инфо")</f>
        <v>Инфо</v>
      </c>
      <c r="F1189" s="16" t="s">
        <v>1767</v>
      </c>
      <c r="G1189" s="15"/>
      <c r="H1189" s="15"/>
      <c r="I1189" s="15"/>
      <c r="J1189" s="17">
        <v>800</v>
      </c>
      <c r="K1189" s="15"/>
      <c r="L1189" s="17">
        <v>200</v>
      </c>
      <c r="M1189" s="17">
        <v>200</v>
      </c>
      <c r="N1189" s="17">
        <v>200</v>
      </c>
      <c r="O1189" s="18">
        <v>247.56</v>
      </c>
      <c r="P1189" s="18">
        <v>202.92</v>
      </c>
      <c r="Q1189" s="18">
        <v>210.43</v>
      </c>
      <c r="R1189" s="18">
        <v>172.48</v>
      </c>
      <c r="S1189" s="18">
        <v>168.34</v>
      </c>
      <c r="T1189" s="18">
        <v>137.97999999999999</v>
      </c>
      <c r="U1189" s="16"/>
      <c r="V1189" s="16"/>
      <c r="W1189" s="16" t="s">
        <v>40</v>
      </c>
      <c r="X1189" s="19">
        <v>5.8000000000000003E-2</v>
      </c>
      <c r="Y1189" s="20">
        <v>4.3000000000000002E-5</v>
      </c>
      <c r="Z1189" s="21">
        <v>4601004050952</v>
      </c>
    </row>
    <row r="1190" spans="1:26" ht="12" customHeight="1" outlineLevel="4" x14ac:dyDescent="0.2">
      <c r="A1190" s="14" t="s">
        <v>2344</v>
      </c>
      <c r="B1190" s="26" t="s">
        <v>2345</v>
      </c>
      <c r="C1190" s="52"/>
      <c r="D1190" s="55">
        <f t="shared" si="18"/>
        <v>0</v>
      </c>
      <c r="E1190" s="63" t="str">
        <f>HYPERLINK("https://www.sds-group.ru/product/termostoykiy-provod-rkgm-6-0-mm-sup2-200-m-gost-31565-2012-tu-16-k80-09-90-7319/", "Инфо")</f>
        <v>Инфо</v>
      </c>
      <c r="F1190" s="16" t="s">
        <v>1767</v>
      </c>
      <c r="G1190" s="15"/>
      <c r="H1190" s="15"/>
      <c r="I1190" s="15"/>
      <c r="J1190" s="17">
        <v>800</v>
      </c>
      <c r="K1190" s="15"/>
      <c r="L1190" s="17">
        <v>200</v>
      </c>
      <c r="M1190" s="17">
        <v>200</v>
      </c>
      <c r="N1190" s="17">
        <v>200</v>
      </c>
      <c r="O1190" s="18">
        <v>322.52999999999997</v>
      </c>
      <c r="P1190" s="18">
        <v>264.37</v>
      </c>
      <c r="Q1190" s="18">
        <v>274.14999999999998</v>
      </c>
      <c r="R1190" s="18">
        <v>224.71</v>
      </c>
      <c r="S1190" s="18">
        <v>219.32</v>
      </c>
      <c r="T1190" s="18">
        <v>179.77</v>
      </c>
      <c r="U1190" s="16"/>
      <c r="V1190" s="16"/>
      <c r="W1190" s="16" t="s">
        <v>40</v>
      </c>
      <c r="X1190" s="19">
        <v>8.2000000000000003E-2</v>
      </c>
      <c r="Y1190" s="20">
        <v>5.5000000000000002E-5</v>
      </c>
      <c r="Z1190" s="21">
        <v>4601004043961</v>
      </c>
    </row>
    <row r="1191" spans="1:26" ht="12.95" customHeight="1" outlineLevel="2" x14ac:dyDescent="0.2">
      <c r="A1191" s="76" t="s">
        <v>2346</v>
      </c>
      <c r="B1191" s="76"/>
      <c r="C1191" s="77"/>
      <c r="D1191" s="58"/>
      <c r="E1191" s="68"/>
      <c r="F1191" s="13"/>
      <c r="G1191" s="13"/>
      <c r="H1191" s="13"/>
      <c r="I1191" s="13"/>
      <c r="J1191" s="13"/>
      <c r="K1191" s="13"/>
      <c r="L1191" s="13"/>
      <c r="M1191" s="13"/>
      <c r="N1191" s="13"/>
      <c r="O1191" s="13"/>
      <c r="P1191" s="13"/>
      <c r="Q1191" s="13"/>
      <c r="R1191" s="13"/>
      <c r="S1191" s="13"/>
      <c r="T1191" s="13"/>
      <c r="U1191" s="13"/>
      <c r="V1191" s="13"/>
      <c r="W1191" s="13"/>
      <c r="X1191" s="13"/>
      <c r="Y1191" s="13"/>
      <c r="Z1191" s="13"/>
    </row>
    <row r="1192" spans="1:26" ht="12.95" customHeight="1" outlineLevel="3" x14ac:dyDescent="0.2">
      <c r="A1192" s="82" t="s">
        <v>2347</v>
      </c>
      <c r="B1192" s="82"/>
      <c r="C1192" s="83"/>
      <c r="D1192" s="59"/>
      <c r="E1192" s="69"/>
      <c r="F1192" s="23"/>
      <c r="G1192" s="23"/>
      <c r="H1192" s="23"/>
      <c r="I1192" s="23"/>
      <c r="J1192" s="23"/>
      <c r="K1192" s="23"/>
      <c r="L1192" s="23"/>
      <c r="M1192" s="23"/>
      <c r="N1192" s="23"/>
      <c r="O1192" s="23"/>
      <c r="P1192" s="23"/>
      <c r="Q1192" s="23"/>
      <c r="R1192" s="23"/>
      <c r="S1192" s="23"/>
      <c r="T1192" s="23"/>
      <c r="U1192" s="23"/>
      <c r="V1192" s="23"/>
      <c r="W1192" s="23"/>
      <c r="X1192" s="23"/>
      <c r="Y1192" s="23"/>
      <c r="Z1192" s="23"/>
    </row>
    <row r="1193" spans="1:26" ht="12" customHeight="1" outlineLevel="4" x14ac:dyDescent="0.2">
      <c r="A1193" s="14" t="s">
        <v>2348</v>
      </c>
      <c r="B1193" s="26" t="s">
        <v>2349</v>
      </c>
      <c r="C1193" s="52"/>
      <c r="D1193" s="55">
        <f t="shared" si="18"/>
        <v>0</v>
      </c>
      <c r="E1193" s="63" t="str">
        <f>HYPERLINK("https://www.sds-group.ru/product/provod-soedinitelnyy-pvs-2h0-75-mm-200-m-belyy-gost-7399-97-01-8030-4/", "Инфо")</f>
        <v>Инфо</v>
      </c>
      <c r="F1193" s="16" t="s">
        <v>1767</v>
      </c>
      <c r="G1193" s="15"/>
      <c r="H1193" s="15"/>
      <c r="I1193" s="15"/>
      <c r="J1193" s="17">
        <v>400</v>
      </c>
      <c r="K1193" s="15"/>
      <c r="L1193" s="17">
        <v>200</v>
      </c>
      <c r="M1193" s="17">
        <v>200</v>
      </c>
      <c r="N1193" s="17">
        <v>200</v>
      </c>
      <c r="O1193" s="18">
        <v>56.61</v>
      </c>
      <c r="P1193" s="18">
        <v>46.4</v>
      </c>
      <c r="Q1193" s="18">
        <v>48.12</v>
      </c>
      <c r="R1193" s="18">
        <v>39.44</v>
      </c>
      <c r="S1193" s="18">
        <v>38.49</v>
      </c>
      <c r="T1193" s="18">
        <v>31.55</v>
      </c>
      <c r="U1193" s="16"/>
      <c r="V1193" s="16"/>
      <c r="W1193" s="16" t="s">
        <v>40</v>
      </c>
      <c r="X1193" s="19">
        <v>5.8000000000000003E-2</v>
      </c>
      <c r="Y1193" s="20">
        <v>7.2999999999999999E-5</v>
      </c>
      <c r="Z1193" s="21">
        <v>4631137045594</v>
      </c>
    </row>
    <row r="1194" spans="1:26" ht="12" customHeight="1" outlineLevel="4" x14ac:dyDescent="0.2">
      <c r="A1194" s="14" t="s">
        <v>2350</v>
      </c>
      <c r="B1194" s="26" t="s">
        <v>2351</v>
      </c>
      <c r="C1194" s="52"/>
      <c r="D1194" s="55">
        <f t="shared" si="18"/>
        <v>0</v>
      </c>
      <c r="E1194" s="63" t="str">
        <f>HYPERLINK("https://www.sds-group.ru/product/provod-soedinitelnyy-pvs-2h0-75-mm-200-m-chernyy-gost-7399-97-01-8031-4/", "Инфо")</f>
        <v>Инфо</v>
      </c>
      <c r="F1194" s="16" t="s">
        <v>1767</v>
      </c>
      <c r="G1194" s="15"/>
      <c r="H1194" s="15"/>
      <c r="I1194" s="15"/>
      <c r="J1194" s="22">
        <v>1200</v>
      </c>
      <c r="K1194" s="15"/>
      <c r="L1194" s="17">
        <v>200</v>
      </c>
      <c r="M1194" s="17">
        <v>200</v>
      </c>
      <c r="N1194" s="17">
        <v>200</v>
      </c>
      <c r="O1194" s="18">
        <v>54.57</v>
      </c>
      <c r="P1194" s="18">
        <v>44.73</v>
      </c>
      <c r="Q1194" s="18">
        <v>46.38</v>
      </c>
      <c r="R1194" s="18">
        <v>38.020000000000003</v>
      </c>
      <c r="S1194" s="18">
        <v>37.11</v>
      </c>
      <c r="T1194" s="18">
        <v>30.42</v>
      </c>
      <c r="U1194" s="16"/>
      <c r="V1194" s="16"/>
      <c r="W1194" s="16" t="s">
        <v>40</v>
      </c>
      <c r="X1194" s="19">
        <v>5.7000000000000002E-2</v>
      </c>
      <c r="Y1194" s="20">
        <v>7.4999999999999993E-5</v>
      </c>
      <c r="Z1194" s="21">
        <v>4631137045600</v>
      </c>
    </row>
    <row r="1195" spans="1:26" ht="12" customHeight="1" outlineLevel="4" x14ac:dyDescent="0.2">
      <c r="A1195" s="14" t="s">
        <v>2352</v>
      </c>
      <c r="B1195" s="26" t="s">
        <v>2353</v>
      </c>
      <c r="C1195" s="52"/>
      <c r="D1195" s="55">
        <f t="shared" si="18"/>
        <v>0</v>
      </c>
      <c r="E1195" s="63" t="str">
        <f>HYPERLINK("https://www.sds-group.ru/product/provod-soedinitelnyy-pvs-2h1-0-mm-200-m-belyy-gost-7399-97-01-8032-3/", "Инфо")</f>
        <v>Инфо</v>
      </c>
      <c r="F1195" s="16" t="s">
        <v>1767</v>
      </c>
      <c r="G1195" s="15"/>
      <c r="H1195" s="15"/>
      <c r="I1195" s="15"/>
      <c r="J1195" s="17">
        <v>400</v>
      </c>
      <c r="K1195" s="15" t="s">
        <v>1381</v>
      </c>
      <c r="L1195" s="17">
        <v>200</v>
      </c>
      <c r="M1195" s="17">
        <v>200</v>
      </c>
      <c r="N1195" s="17">
        <v>200</v>
      </c>
      <c r="O1195" s="18">
        <v>87.3</v>
      </c>
      <c r="P1195" s="18">
        <v>71.56</v>
      </c>
      <c r="Q1195" s="18">
        <v>74.209999999999994</v>
      </c>
      <c r="R1195" s="18">
        <v>60.83</v>
      </c>
      <c r="S1195" s="18">
        <v>59.36</v>
      </c>
      <c r="T1195" s="18">
        <v>48.66</v>
      </c>
      <c r="U1195" s="16"/>
      <c r="V1195" s="16"/>
      <c r="W1195" s="16" t="s">
        <v>40</v>
      </c>
      <c r="X1195" s="19">
        <v>6.5000000000000002E-2</v>
      </c>
      <c r="Y1195" s="20">
        <v>6.8999999999999997E-5</v>
      </c>
      <c r="Z1195" s="21">
        <v>4631137045617</v>
      </c>
    </row>
    <row r="1196" spans="1:26" ht="12" customHeight="1" outlineLevel="4" x14ac:dyDescent="0.2">
      <c r="A1196" s="14" t="s">
        <v>2354</v>
      </c>
      <c r="B1196" s="26" t="s">
        <v>2355</v>
      </c>
      <c r="C1196" s="52"/>
      <c r="D1196" s="55">
        <f t="shared" si="18"/>
        <v>0</v>
      </c>
      <c r="E1196" s="63" t="str">
        <f>HYPERLINK("https://www.sds-group.ru/product/provod-soedinitelnyy-pvs-2h1-0-mm-200-m-chernyy-gost-7399-97-01-8032-4/", "Инфо")</f>
        <v>Инфо</v>
      </c>
      <c r="F1196" s="16" t="s">
        <v>1767</v>
      </c>
      <c r="G1196" s="15"/>
      <c r="H1196" s="15"/>
      <c r="I1196" s="15"/>
      <c r="J1196" s="17">
        <v>200</v>
      </c>
      <c r="K1196" s="15" t="s">
        <v>1381</v>
      </c>
      <c r="L1196" s="17">
        <v>200</v>
      </c>
      <c r="M1196" s="17">
        <v>200</v>
      </c>
      <c r="N1196" s="17">
        <v>200</v>
      </c>
      <c r="O1196" s="18">
        <v>76.3</v>
      </c>
      <c r="P1196" s="18">
        <v>62.54</v>
      </c>
      <c r="Q1196" s="18">
        <v>64.86</v>
      </c>
      <c r="R1196" s="18">
        <v>53.16</v>
      </c>
      <c r="S1196" s="18">
        <v>51.88</v>
      </c>
      <c r="T1196" s="18">
        <v>42.52</v>
      </c>
      <c r="U1196" s="16"/>
      <c r="V1196" s="16"/>
      <c r="W1196" s="16" t="s">
        <v>40</v>
      </c>
      <c r="X1196" s="19">
        <v>5.5E-2</v>
      </c>
      <c r="Y1196" s="20">
        <v>6.9999999999999994E-5</v>
      </c>
      <c r="Z1196" s="21">
        <v>4631137045624</v>
      </c>
    </row>
    <row r="1197" spans="1:26" ht="12" customHeight="1" outlineLevel="4" x14ac:dyDescent="0.2">
      <c r="A1197" s="14" t="s">
        <v>2356</v>
      </c>
      <c r="B1197" s="26" t="s">
        <v>2357</v>
      </c>
      <c r="C1197" s="52"/>
      <c r="D1197" s="55">
        <f t="shared" si="18"/>
        <v>0</v>
      </c>
      <c r="E1197" s="63" t="str">
        <f>HYPERLINK("https://www.sds-group.ru/product/provod-soedinitelnyy-pvs-2h1-5-mm-150-m-belyy-gost-7399-97-01-8034-5/", "Инфо")</f>
        <v>Инфо</v>
      </c>
      <c r="F1197" s="16" t="s">
        <v>1767</v>
      </c>
      <c r="G1197" s="15"/>
      <c r="H1197" s="15"/>
      <c r="I1197" s="15"/>
      <c r="J1197" s="17">
        <v>900</v>
      </c>
      <c r="K1197" s="15" t="s">
        <v>1381</v>
      </c>
      <c r="L1197" s="17">
        <v>150</v>
      </c>
      <c r="M1197" s="17">
        <v>150</v>
      </c>
      <c r="N1197" s="17">
        <v>150</v>
      </c>
      <c r="O1197" s="18">
        <v>113.37</v>
      </c>
      <c r="P1197" s="18">
        <v>92.93</v>
      </c>
      <c r="Q1197" s="18">
        <v>96.36</v>
      </c>
      <c r="R1197" s="18">
        <v>78.98</v>
      </c>
      <c r="S1197" s="18">
        <v>77.09</v>
      </c>
      <c r="T1197" s="18">
        <v>63.19</v>
      </c>
      <c r="U1197" s="16"/>
      <c r="V1197" s="16"/>
      <c r="W1197" s="16" t="s">
        <v>40</v>
      </c>
      <c r="X1197" s="19">
        <v>8.5999999999999993E-2</v>
      </c>
      <c r="Y1197" s="20">
        <v>1.06E-4</v>
      </c>
      <c r="Z1197" s="21">
        <v>4631137045631</v>
      </c>
    </row>
    <row r="1198" spans="1:26" ht="12" customHeight="1" outlineLevel="4" x14ac:dyDescent="0.2">
      <c r="A1198" s="14" t="s">
        <v>2358</v>
      </c>
      <c r="B1198" s="26" t="s">
        <v>2359</v>
      </c>
      <c r="C1198" s="52"/>
      <c r="D1198" s="55">
        <f t="shared" si="18"/>
        <v>0</v>
      </c>
      <c r="E1198" s="63" t="str">
        <f>HYPERLINK("https://www.sds-group.ru/product/provod-soedinitelnyy-pvs-2h1-5-mm-150-m-chernyy-gost-7399-97-01-8035-4/", "Инфо")</f>
        <v>Инфо</v>
      </c>
      <c r="F1198" s="16" t="s">
        <v>1767</v>
      </c>
      <c r="G1198" s="15"/>
      <c r="H1198" s="15"/>
      <c r="I1198" s="15"/>
      <c r="J1198" s="17">
        <v>150</v>
      </c>
      <c r="K1198" s="15" t="s">
        <v>1381</v>
      </c>
      <c r="L1198" s="17">
        <v>150</v>
      </c>
      <c r="M1198" s="17">
        <v>150</v>
      </c>
      <c r="N1198" s="17">
        <v>150</v>
      </c>
      <c r="O1198" s="18">
        <v>107.96</v>
      </c>
      <c r="P1198" s="18">
        <v>88.49</v>
      </c>
      <c r="Q1198" s="18">
        <v>91.77</v>
      </c>
      <c r="R1198" s="18">
        <v>75.22</v>
      </c>
      <c r="S1198" s="18">
        <v>73.41</v>
      </c>
      <c r="T1198" s="18">
        <v>60.17</v>
      </c>
      <c r="U1198" s="16"/>
      <c r="V1198" s="16"/>
      <c r="W1198" s="16" t="s">
        <v>40</v>
      </c>
      <c r="X1198" s="19">
        <v>8.8999999999999996E-2</v>
      </c>
      <c r="Y1198" s="20">
        <v>1.13E-4</v>
      </c>
      <c r="Z1198" s="21">
        <v>4631137045648</v>
      </c>
    </row>
    <row r="1199" spans="1:26" ht="12" customHeight="1" outlineLevel="4" x14ac:dyDescent="0.2">
      <c r="A1199" s="14" t="s">
        <v>2360</v>
      </c>
      <c r="B1199" s="26" t="s">
        <v>2361</v>
      </c>
      <c r="C1199" s="52"/>
      <c r="D1199" s="55">
        <f t="shared" si="18"/>
        <v>0</v>
      </c>
      <c r="E1199" s="63" t="str">
        <f>HYPERLINK("https://www.sds-group.ru/product/provod-soedinitelnyy-pvs-2x2-5-mm-100-m-belyy-gost-7399-97-01-8036-3/", "Инфо")</f>
        <v>Инфо</v>
      </c>
      <c r="F1199" s="16" t="s">
        <v>1767</v>
      </c>
      <c r="G1199" s="15"/>
      <c r="H1199" s="15"/>
      <c r="I1199" s="15"/>
      <c r="J1199" s="17">
        <v>500</v>
      </c>
      <c r="K1199" s="15" t="s">
        <v>1381</v>
      </c>
      <c r="L1199" s="17">
        <v>100</v>
      </c>
      <c r="M1199" s="17">
        <v>100</v>
      </c>
      <c r="N1199" s="17">
        <v>100</v>
      </c>
      <c r="O1199" s="18">
        <v>185.78</v>
      </c>
      <c r="P1199" s="18">
        <v>152.28</v>
      </c>
      <c r="Q1199" s="18">
        <v>157.91</v>
      </c>
      <c r="R1199" s="18">
        <v>129.43</v>
      </c>
      <c r="S1199" s="18">
        <v>126.33</v>
      </c>
      <c r="T1199" s="18">
        <v>103.55</v>
      </c>
      <c r="U1199" s="16"/>
      <c r="V1199" s="16"/>
      <c r="W1199" s="16" t="s">
        <v>40</v>
      </c>
      <c r="X1199" s="19">
        <v>0.13300000000000001</v>
      </c>
      <c r="Y1199" s="20">
        <v>1.44E-4</v>
      </c>
      <c r="Z1199" s="21">
        <v>4631137045655</v>
      </c>
    </row>
    <row r="1200" spans="1:26" ht="12" customHeight="1" outlineLevel="4" x14ac:dyDescent="0.2">
      <c r="A1200" s="14" t="s">
        <v>2362</v>
      </c>
      <c r="B1200" s="26" t="s">
        <v>2363</v>
      </c>
      <c r="C1200" s="52"/>
      <c r="D1200" s="55">
        <f t="shared" si="18"/>
        <v>0</v>
      </c>
      <c r="E1200" s="63" t="str">
        <f>HYPERLINK("https://www.sds-group.ru/product/provod-soedinitelnyy-pvs-2h2-5-mm-100-m-chernyy-gost-7399-97-01-8037-4/", "Инфо")</f>
        <v>Инфо</v>
      </c>
      <c r="F1200" s="16" t="s">
        <v>1767</v>
      </c>
      <c r="G1200" s="15"/>
      <c r="H1200" s="15"/>
      <c r="I1200" s="15"/>
      <c r="J1200" s="17">
        <v>400</v>
      </c>
      <c r="K1200" s="15" t="s">
        <v>1381</v>
      </c>
      <c r="L1200" s="17">
        <v>100</v>
      </c>
      <c r="M1200" s="17">
        <v>100</v>
      </c>
      <c r="N1200" s="17">
        <v>100</v>
      </c>
      <c r="O1200" s="18">
        <v>180.33</v>
      </c>
      <c r="P1200" s="18">
        <v>147.81</v>
      </c>
      <c r="Q1200" s="18">
        <v>153.28</v>
      </c>
      <c r="R1200" s="18">
        <v>125.64</v>
      </c>
      <c r="S1200" s="18">
        <v>122.62</v>
      </c>
      <c r="T1200" s="18">
        <v>100.51</v>
      </c>
      <c r="U1200" s="16"/>
      <c r="V1200" s="16"/>
      <c r="W1200" s="16" t="s">
        <v>40</v>
      </c>
      <c r="X1200" s="19">
        <v>0.129</v>
      </c>
      <c r="Y1200" s="20">
        <v>1.2799999999999999E-4</v>
      </c>
      <c r="Z1200" s="21">
        <v>4631137045662</v>
      </c>
    </row>
    <row r="1201" spans="1:26" ht="12" customHeight="1" outlineLevel="4" x14ac:dyDescent="0.2">
      <c r="A1201" s="14" t="s">
        <v>2364</v>
      </c>
      <c r="B1201" s="26" t="s">
        <v>2365</v>
      </c>
      <c r="C1201" s="52"/>
      <c r="D1201" s="55">
        <f t="shared" si="18"/>
        <v>0</v>
      </c>
      <c r="E1201" s="63" t="str">
        <f>HYPERLINK("https://www.sds-group.ru/product/provod-soedinitelnyy-pvs-3x0-75-mm-200-m-belyy-gost-7399-97-01-8042-4/", "Инфо")</f>
        <v>Инфо</v>
      </c>
      <c r="F1201" s="16" t="s">
        <v>1767</v>
      </c>
      <c r="G1201" s="15"/>
      <c r="H1201" s="15"/>
      <c r="I1201" s="15"/>
      <c r="J1201" s="17">
        <v>100</v>
      </c>
      <c r="K1201" s="15"/>
      <c r="L1201" s="17">
        <v>200</v>
      </c>
      <c r="M1201" s="17">
        <v>200</v>
      </c>
      <c r="N1201" s="17">
        <v>200</v>
      </c>
      <c r="O1201" s="18">
        <v>88.3</v>
      </c>
      <c r="P1201" s="18">
        <v>72.38</v>
      </c>
      <c r="Q1201" s="18">
        <v>75.06</v>
      </c>
      <c r="R1201" s="18">
        <v>61.52</v>
      </c>
      <c r="S1201" s="18">
        <v>60.04</v>
      </c>
      <c r="T1201" s="18">
        <v>49.21</v>
      </c>
      <c r="U1201" s="16"/>
      <c r="V1201" s="16"/>
      <c r="W1201" s="16" t="s">
        <v>40</v>
      </c>
      <c r="X1201" s="19">
        <v>6.7000000000000004E-2</v>
      </c>
      <c r="Y1201" s="20">
        <v>6.7000000000000002E-5</v>
      </c>
      <c r="Z1201" s="21">
        <v>4631137045709</v>
      </c>
    </row>
    <row r="1202" spans="1:26" ht="12" customHeight="1" outlineLevel="4" x14ac:dyDescent="0.2">
      <c r="A1202" s="14" t="s">
        <v>2366</v>
      </c>
      <c r="B1202" s="26" t="s">
        <v>2367</v>
      </c>
      <c r="C1202" s="52"/>
      <c r="D1202" s="55">
        <f t="shared" si="18"/>
        <v>0</v>
      </c>
      <c r="E1202" s="63" t="str">
        <f>HYPERLINK("https://www.sds-group.ru/product/provod-soedinitelnyy-pvs-3h0-75-mm-200-m-chernyy-gost-7399-97-01-8043-4/", "Инфо")</f>
        <v>Инфо</v>
      </c>
      <c r="F1202" s="16" t="s">
        <v>1767</v>
      </c>
      <c r="G1202" s="15"/>
      <c r="H1202" s="15"/>
      <c r="I1202" s="15"/>
      <c r="J1202" s="22">
        <v>2600</v>
      </c>
      <c r="K1202" s="15" t="s">
        <v>1381</v>
      </c>
      <c r="L1202" s="17">
        <v>200</v>
      </c>
      <c r="M1202" s="17">
        <v>200</v>
      </c>
      <c r="N1202" s="17">
        <v>200</v>
      </c>
      <c r="O1202" s="18">
        <v>87.02</v>
      </c>
      <c r="P1202" s="18">
        <v>71.33</v>
      </c>
      <c r="Q1202" s="18">
        <v>73.97</v>
      </c>
      <c r="R1202" s="18">
        <v>60.63</v>
      </c>
      <c r="S1202" s="18">
        <v>59.17</v>
      </c>
      <c r="T1202" s="18">
        <v>48.5</v>
      </c>
      <c r="U1202" s="16"/>
      <c r="V1202" s="16"/>
      <c r="W1202" s="16" t="s">
        <v>40</v>
      </c>
      <c r="X1202" s="19">
        <v>7.3999999999999996E-2</v>
      </c>
      <c r="Y1202" s="20">
        <v>8.2999999999999998E-5</v>
      </c>
      <c r="Z1202" s="21">
        <v>4631137045716</v>
      </c>
    </row>
    <row r="1203" spans="1:26" ht="12" customHeight="1" outlineLevel="4" x14ac:dyDescent="0.2">
      <c r="A1203" s="14" t="s">
        <v>2368</v>
      </c>
      <c r="B1203" s="26" t="s">
        <v>2369</v>
      </c>
      <c r="C1203" s="52"/>
      <c r="D1203" s="55">
        <f t="shared" si="18"/>
        <v>0</v>
      </c>
      <c r="E1203" s="63" t="str">
        <f>HYPERLINK("https://www.sds-group.ru/product/provod-soedinitelnyy-pvs-3x1-0-mm-200-m-belyy-gost-7399-97-01-8044-4/", "Инфо")</f>
        <v>Инфо</v>
      </c>
      <c r="F1203" s="16" t="s">
        <v>1767</v>
      </c>
      <c r="G1203" s="15"/>
      <c r="H1203" s="15"/>
      <c r="I1203" s="15"/>
      <c r="J1203" s="17">
        <v>400</v>
      </c>
      <c r="K1203" s="15"/>
      <c r="L1203" s="17">
        <v>200</v>
      </c>
      <c r="M1203" s="17">
        <v>200</v>
      </c>
      <c r="N1203" s="17">
        <v>200</v>
      </c>
      <c r="O1203" s="18">
        <v>111.25</v>
      </c>
      <c r="P1203" s="18">
        <v>91.19</v>
      </c>
      <c r="Q1203" s="18">
        <v>94.56</v>
      </c>
      <c r="R1203" s="18">
        <v>77.510000000000005</v>
      </c>
      <c r="S1203" s="18">
        <v>75.650000000000006</v>
      </c>
      <c r="T1203" s="18">
        <v>62.01</v>
      </c>
      <c r="U1203" s="16"/>
      <c r="V1203" s="16"/>
      <c r="W1203" s="16" t="s">
        <v>40</v>
      </c>
      <c r="X1203" s="19">
        <v>0.08</v>
      </c>
      <c r="Y1203" s="20">
        <v>9.1000000000000003E-5</v>
      </c>
      <c r="Z1203" s="21">
        <v>4631137045723</v>
      </c>
    </row>
    <row r="1204" spans="1:26" ht="12" customHeight="1" outlineLevel="4" x14ac:dyDescent="0.2">
      <c r="A1204" s="14" t="s">
        <v>2370</v>
      </c>
      <c r="B1204" s="26" t="s">
        <v>2371</v>
      </c>
      <c r="C1204" s="52"/>
      <c r="D1204" s="55">
        <f t="shared" si="18"/>
        <v>0</v>
      </c>
      <c r="E1204" s="63" t="str">
        <f>HYPERLINK("https://www.sds-group.ru/product/provod-soedinitelnyy-pvs-3x1-0-mm-200-m-chernyy-gost-7399-97-01-8045-4/", "Инфо")</f>
        <v>Инфо</v>
      </c>
      <c r="F1204" s="16" t="s">
        <v>1767</v>
      </c>
      <c r="G1204" s="15"/>
      <c r="H1204" s="15"/>
      <c r="I1204" s="15"/>
      <c r="J1204" s="22">
        <v>1400</v>
      </c>
      <c r="K1204" s="15"/>
      <c r="L1204" s="17">
        <v>200</v>
      </c>
      <c r="M1204" s="17">
        <v>200</v>
      </c>
      <c r="N1204" s="17">
        <v>200</v>
      </c>
      <c r="O1204" s="18">
        <v>92.03</v>
      </c>
      <c r="P1204" s="18">
        <v>75.430000000000007</v>
      </c>
      <c r="Q1204" s="18">
        <v>69.02</v>
      </c>
      <c r="R1204" s="18">
        <v>56.57</v>
      </c>
      <c r="S1204" s="18">
        <v>62.58</v>
      </c>
      <c r="T1204" s="18">
        <v>51.3</v>
      </c>
      <c r="U1204" s="16"/>
      <c r="V1204" s="16"/>
      <c r="W1204" s="16" t="s">
        <v>40</v>
      </c>
      <c r="X1204" s="19">
        <v>8.4000000000000005E-2</v>
      </c>
      <c r="Y1204" s="20">
        <v>8.0000000000000007E-5</v>
      </c>
      <c r="Z1204" s="21">
        <v>4631137045730</v>
      </c>
    </row>
    <row r="1205" spans="1:26" ht="12" customHeight="1" outlineLevel="4" x14ac:dyDescent="0.2">
      <c r="A1205" s="14" t="s">
        <v>2372</v>
      </c>
      <c r="B1205" s="26" t="s">
        <v>2373</v>
      </c>
      <c r="C1205" s="52"/>
      <c r="D1205" s="55">
        <f t="shared" si="18"/>
        <v>0</v>
      </c>
      <c r="E1205" s="63" t="str">
        <f>HYPERLINK("https://www.sds-group.ru/product/provod-soedinitelnyy-pvs-3x1-5-mm-150-m-belyy-gost-7399-97-01-8046-4/", "Инфо")</f>
        <v>Инфо</v>
      </c>
      <c r="F1205" s="16" t="s">
        <v>1767</v>
      </c>
      <c r="G1205" s="15"/>
      <c r="H1205" s="15"/>
      <c r="I1205" s="15"/>
      <c r="J1205" s="17">
        <v>900</v>
      </c>
      <c r="K1205" s="15"/>
      <c r="L1205" s="17">
        <v>150</v>
      </c>
      <c r="M1205" s="17">
        <v>150</v>
      </c>
      <c r="N1205" s="17">
        <v>150</v>
      </c>
      <c r="O1205" s="18">
        <v>138.94</v>
      </c>
      <c r="P1205" s="18">
        <v>113.89</v>
      </c>
      <c r="Q1205" s="18">
        <v>118.1</v>
      </c>
      <c r="R1205" s="18">
        <v>96.8</v>
      </c>
      <c r="S1205" s="18">
        <v>94.48</v>
      </c>
      <c r="T1205" s="18">
        <v>77.44</v>
      </c>
      <c r="U1205" s="16"/>
      <c r="V1205" s="16"/>
      <c r="W1205" s="16" t="s">
        <v>40</v>
      </c>
      <c r="X1205" s="19">
        <v>0.104</v>
      </c>
      <c r="Y1205" s="20">
        <v>8.7000000000000001E-5</v>
      </c>
      <c r="Z1205" s="21">
        <v>4631137045747</v>
      </c>
    </row>
    <row r="1206" spans="1:26" ht="12" customHeight="1" outlineLevel="4" x14ac:dyDescent="0.2">
      <c r="A1206" s="14" t="s">
        <v>2374</v>
      </c>
      <c r="B1206" s="26" t="s">
        <v>2375</v>
      </c>
      <c r="C1206" s="52"/>
      <c r="D1206" s="55">
        <f t="shared" si="18"/>
        <v>0</v>
      </c>
      <c r="E1206" s="63" t="str">
        <f>HYPERLINK("https://www.sds-group.ru/product/provod-soedinitelnyy-pvs-3x1-5-mm-150-m-chernyy-gost-7399-97-01-8047-4/", "Инфо")</f>
        <v>Инфо</v>
      </c>
      <c r="F1206" s="16" t="s">
        <v>1767</v>
      </c>
      <c r="G1206" s="15"/>
      <c r="H1206" s="15"/>
      <c r="I1206" s="15"/>
      <c r="J1206" s="17">
        <v>300</v>
      </c>
      <c r="K1206" s="15" t="s">
        <v>1381</v>
      </c>
      <c r="L1206" s="17">
        <v>150</v>
      </c>
      <c r="M1206" s="17">
        <v>150</v>
      </c>
      <c r="N1206" s="17">
        <v>150</v>
      </c>
      <c r="O1206" s="18">
        <v>157.76</v>
      </c>
      <c r="P1206" s="18">
        <v>129.31</v>
      </c>
      <c r="Q1206" s="18">
        <v>134.1</v>
      </c>
      <c r="R1206" s="18">
        <v>109.92</v>
      </c>
      <c r="S1206" s="18">
        <v>107.28</v>
      </c>
      <c r="T1206" s="18">
        <v>87.93</v>
      </c>
      <c r="U1206" s="16"/>
      <c r="V1206" s="16"/>
      <c r="W1206" s="16" t="s">
        <v>40</v>
      </c>
      <c r="X1206" s="19">
        <v>0.108</v>
      </c>
      <c r="Y1206" s="20">
        <v>1.2799999999999999E-4</v>
      </c>
      <c r="Z1206" s="21">
        <v>4631137045754</v>
      </c>
    </row>
    <row r="1207" spans="1:26" ht="12" customHeight="1" outlineLevel="4" x14ac:dyDescent="0.2">
      <c r="A1207" s="14" t="s">
        <v>2376</v>
      </c>
      <c r="B1207" s="26" t="s">
        <v>2377</v>
      </c>
      <c r="C1207" s="52"/>
      <c r="D1207" s="55">
        <f t="shared" si="18"/>
        <v>0</v>
      </c>
      <c r="E1207" s="63" t="str">
        <f>HYPERLINK("https://www.sds-group.ru/product/provod-soedinitelnyy-pvs-3h2-5-mm-100-m-belyy-gost-7399-97-01-8048-4/", "Инфо")</f>
        <v>Инфо</v>
      </c>
      <c r="F1207" s="16" t="s">
        <v>1767</v>
      </c>
      <c r="G1207" s="15"/>
      <c r="H1207" s="15"/>
      <c r="I1207" s="15"/>
      <c r="J1207" s="17">
        <v>600</v>
      </c>
      <c r="K1207" s="15" t="s">
        <v>1381</v>
      </c>
      <c r="L1207" s="17">
        <v>100</v>
      </c>
      <c r="M1207" s="17">
        <v>100</v>
      </c>
      <c r="N1207" s="17">
        <v>100</v>
      </c>
      <c r="O1207" s="18">
        <v>251.99</v>
      </c>
      <c r="P1207" s="18">
        <v>206.55</v>
      </c>
      <c r="Q1207" s="18">
        <v>214.19</v>
      </c>
      <c r="R1207" s="18">
        <v>175.57</v>
      </c>
      <c r="S1207" s="18">
        <v>171.35</v>
      </c>
      <c r="T1207" s="18">
        <v>140.44999999999999</v>
      </c>
      <c r="U1207" s="16"/>
      <c r="V1207" s="16"/>
      <c r="W1207" s="16" t="s">
        <v>40</v>
      </c>
      <c r="X1207" s="19">
        <v>0.16700000000000001</v>
      </c>
      <c r="Y1207" s="20">
        <v>1.8000000000000001E-4</v>
      </c>
      <c r="Z1207" s="21">
        <v>4631137045761</v>
      </c>
    </row>
    <row r="1208" spans="1:26" ht="12" customHeight="1" outlineLevel="4" x14ac:dyDescent="0.2">
      <c r="A1208" s="14" t="s">
        <v>2378</v>
      </c>
      <c r="B1208" s="26" t="s">
        <v>2379</v>
      </c>
      <c r="C1208" s="52"/>
      <c r="D1208" s="55">
        <f t="shared" si="18"/>
        <v>0</v>
      </c>
      <c r="E1208" s="63" t="str">
        <f>HYPERLINK("https://www.sds-group.ru/product/provod-soedinitelnyy-pvs-3x2-5-mm-100-m-chernyy-gost-7399-97-01-8049-4/", "Инфо")</f>
        <v>Инфо</v>
      </c>
      <c r="F1208" s="16" t="s">
        <v>1767</v>
      </c>
      <c r="G1208" s="15"/>
      <c r="H1208" s="15"/>
      <c r="I1208" s="15"/>
      <c r="J1208" s="17">
        <v>399</v>
      </c>
      <c r="K1208" s="15"/>
      <c r="L1208" s="17">
        <v>100</v>
      </c>
      <c r="M1208" s="17">
        <v>100</v>
      </c>
      <c r="N1208" s="17">
        <v>100</v>
      </c>
      <c r="O1208" s="18">
        <v>234.62</v>
      </c>
      <c r="P1208" s="18">
        <v>192.31</v>
      </c>
      <c r="Q1208" s="18">
        <v>199.43</v>
      </c>
      <c r="R1208" s="18">
        <v>163.47</v>
      </c>
      <c r="S1208" s="18">
        <v>159.54</v>
      </c>
      <c r="T1208" s="18">
        <v>130.77000000000001</v>
      </c>
      <c r="U1208" s="16"/>
      <c r="V1208" s="16"/>
      <c r="W1208" s="16" t="s">
        <v>40</v>
      </c>
      <c r="X1208" s="19">
        <v>0.13900000000000001</v>
      </c>
      <c r="Y1208" s="20">
        <v>1.3100000000000001E-4</v>
      </c>
      <c r="Z1208" s="21">
        <v>4631137045778</v>
      </c>
    </row>
    <row r="1209" spans="1:26" ht="12" customHeight="1" outlineLevel="4" x14ac:dyDescent="0.2">
      <c r="A1209" s="14" t="s">
        <v>2380</v>
      </c>
      <c r="B1209" s="26" t="s">
        <v>2381</v>
      </c>
      <c r="C1209" s="52"/>
      <c r="D1209" s="55">
        <f t="shared" si="18"/>
        <v>0</v>
      </c>
      <c r="E1209" s="63" t="str">
        <f>HYPERLINK("https://www.sds-group.ru/product/provod-soedinitelnyy-pvs-3h4-0-mm-100-m-belyy-gost-7399-97-01-8050-4/", "Инфо")</f>
        <v>Инфо</v>
      </c>
      <c r="F1209" s="16" t="s">
        <v>1767</v>
      </c>
      <c r="G1209" s="15"/>
      <c r="H1209" s="15"/>
      <c r="I1209" s="15"/>
      <c r="J1209" s="17">
        <v>200</v>
      </c>
      <c r="K1209" s="15"/>
      <c r="L1209" s="17">
        <v>100</v>
      </c>
      <c r="M1209" s="17">
        <v>100</v>
      </c>
      <c r="N1209" s="17">
        <v>100</v>
      </c>
      <c r="O1209" s="18">
        <v>364.35</v>
      </c>
      <c r="P1209" s="18">
        <v>298.64999999999998</v>
      </c>
      <c r="Q1209" s="18">
        <v>309.7</v>
      </c>
      <c r="R1209" s="18">
        <v>253.85</v>
      </c>
      <c r="S1209" s="18">
        <v>247.76</v>
      </c>
      <c r="T1209" s="18">
        <v>203.08</v>
      </c>
      <c r="U1209" s="16"/>
      <c r="V1209" s="16"/>
      <c r="W1209" s="16" t="s">
        <v>40</v>
      </c>
      <c r="X1209" s="19">
        <v>0.22700000000000001</v>
      </c>
      <c r="Y1209" s="20">
        <v>2.3800000000000001E-4</v>
      </c>
      <c r="Z1209" s="21">
        <v>4631137045785</v>
      </c>
    </row>
    <row r="1210" spans="1:26" ht="12" customHeight="1" outlineLevel="4" x14ac:dyDescent="0.2">
      <c r="A1210" s="14" t="s">
        <v>2382</v>
      </c>
      <c r="B1210" s="26" t="s">
        <v>2383</v>
      </c>
      <c r="C1210" s="52"/>
      <c r="D1210" s="55">
        <f t="shared" si="18"/>
        <v>0</v>
      </c>
      <c r="E1210" s="63" t="str">
        <f>HYPERLINK("https://www.sds-group.ru/product/provod-soedinitelnyy-pvs-4x0-75-mm-200-m-belyy-gost-7399-97-01-8204-1/", "Инфо")</f>
        <v>Инфо</v>
      </c>
      <c r="F1210" s="16" t="s">
        <v>1767</v>
      </c>
      <c r="G1210" s="15"/>
      <c r="H1210" s="15"/>
      <c r="I1210" s="15"/>
      <c r="J1210" s="17">
        <v>400</v>
      </c>
      <c r="K1210" s="15"/>
      <c r="L1210" s="17">
        <v>200</v>
      </c>
      <c r="M1210" s="17">
        <v>200</v>
      </c>
      <c r="N1210" s="17">
        <v>200</v>
      </c>
      <c r="O1210" s="18">
        <v>103.52</v>
      </c>
      <c r="P1210" s="18">
        <v>84.85</v>
      </c>
      <c r="Q1210" s="18">
        <v>87.99</v>
      </c>
      <c r="R1210" s="18">
        <v>72.12</v>
      </c>
      <c r="S1210" s="18">
        <v>70.39</v>
      </c>
      <c r="T1210" s="18">
        <v>57.7</v>
      </c>
      <c r="U1210" s="16"/>
      <c r="V1210" s="16"/>
      <c r="W1210" s="16" t="s">
        <v>40</v>
      </c>
      <c r="X1210" s="19">
        <v>8.2000000000000003E-2</v>
      </c>
      <c r="Y1210" s="20">
        <v>8.2000000000000001E-5</v>
      </c>
      <c r="Z1210" s="21">
        <v>4631137045815</v>
      </c>
    </row>
    <row r="1211" spans="1:26" ht="12" customHeight="1" outlineLevel="4" x14ac:dyDescent="0.2">
      <c r="A1211" s="14" t="s">
        <v>2384</v>
      </c>
      <c r="B1211" s="26" t="s">
        <v>2385</v>
      </c>
      <c r="C1211" s="52"/>
      <c r="D1211" s="55">
        <f t="shared" si="18"/>
        <v>0</v>
      </c>
      <c r="E1211" s="63" t="str">
        <f>HYPERLINK("https://www.sds-group.ru/product/provod-soedinitelnyy-pvs-4h1-5-mm-100-m-belyy-gost-7399-97-01-8206-1/", "Инфо")</f>
        <v>Инфо</v>
      </c>
      <c r="F1211" s="16" t="s">
        <v>1767</v>
      </c>
      <c r="G1211" s="15"/>
      <c r="H1211" s="15"/>
      <c r="I1211" s="15"/>
      <c r="J1211" s="17">
        <v>400</v>
      </c>
      <c r="K1211" s="15"/>
      <c r="L1211" s="17">
        <v>100</v>
      </c>
      <c r="M1211" s="17">
        <v>100</v>
      </c>
      <c r="N1211" s="17">
        <v>100</v>
      </c>
      <c r="O1211" s="18">
        <v>189.45</v>
      </c>
      <c r="P1211" s="18">
        <v>155.29</v>
      </c>
      <c r="Q1211" s="18">
        <v>161.03</v>
      </c>
      <c r="R1211" s="18">
        <v>131.99</v>
      </c>
      <c r="S1211" s="18">
        <v>128.83000000000001</v>
      </c>
      <c r="T1211" s="18">
        <v>105.6</v>
      </c>
      <c r="U1211" s="16"/>
      <c r="V1211" s="16"/>
      <c r="W1211" s="16" t="s">
        <v>40</v>
      </c>
      <c r="X1211" s="19">
        <v>0.13400000000000001</v>
      </c>
      <c r="Y1211" s="20">
        <v>1.9900000000000001E-4</v>
      </c>
      <c r="Z1211" s="21">
        <v>4631137045839</v>
      </c>
    </row>
    <row r="1212" spans="1:26" ht="12" customHeight="1" outlineLevel="4" x14ac:dyDescent="0.2">
      <c r="A1212" s="14" t="s">
        <v>2386</v>
      </c>
      <c r="B1212" s="26" t="s">
        <v>2387</v>
      </c>
      <c r="C1212" s="52"/>
      <c r="D1212" s="55">
        <f t="shared" si="18"/>
        <v>0</v>
      </c>
      <c r="E1212" s="63" t="str">
        <f>HYPERLINK("https://www.sds-group.ru/product/provod-soedinitelnyy-pvs-4h2-5-mm-100-m-belyy-gost-7399-97-01-8207-1/", "Инфо")</f>
        <v>Инфо</v>
      </c>
      <c r="F1212" s="16" t="s">
        <v>1767</v>
      </c>
      <c r="G1212" s="15"/>
      <c r="H1212" s="15"/>
      <c r="I1212" s="15"/>
      <c r="J1212" s="17">
        <v>300</v>
      </c>
      <c r="K1212" s="15"/>
      <c r="L1212" s="17">
        <v>100</v>
      </c>
      <c r="M1212" s="17">
        <v>100</v>
      </c>
      <c r="N1212" s="17">
        <v>100</v>
      </c>
      <c r="O1212" s="18">
        <v>325.52</v>
      </c>
      <c r="P1212" s="18">
        <v>266.82</v>
      </c>
      <c r="Q1212" s="18">
        <v>260.42</v>
      </c>
      <c r="R1212" s="18">
        <v>213.46</v>
      </c>
      <c r="S1212" s="18">
        <v>221.35</v>
      </c>
      <c r="T1212" s="18">
        <v>181.43</v>
      </c>
      <c r="U1212" s="16"/>
      <c r="V1212" s="16"/>
      <c r="W1212" s="16" t="s">
        <v>40</v>
      </c>
      <c r="X1212" s="19">
        <v>0.183</v>
      </c>
      <c r="Y1212" s="20">
        <v>1.8699999999999999E-4</v>
      </c>
      <c r="Z1212" s="21">
        <v>4631137045846</v>
      </c>
    </row>
    <row r="1213" spans="1:26" ht="12" customHeight="1" outlineLevel="4" x14ac:dyDescent="0.2">
      <c r="A1213" s="14" t="s">
        <v>2388</v>
      </c>
      <c r="B1213" s="26" t="s">
        <v>2389</v>
      </c>
      <c r="C1213" s="52"/>
      <c r="D1213" s="55">
        <f t="shared" si="18"/>
        <v>0</v>
      </c>
      <c r="E1213" s="63" t="str">
        <f>HYPERLINK("https://www.sds-group.ru/product/provod-soedinitelnyy-pvs-5h1-5-mm-100-m-belyy-gost-7399-97-01-8070/", "Инфо")</f>
        <v>Инфо</v>
      </c>
      <c r="F1213" s="16" t="s">
        <v>1767</v>
      </c>
      <c r="G1213" s="15"/>
      <c r="H1213" s="15"/>
      <c r="I1213" s="15" t="s">
        <v>2302</v>
      </c>
      <c r="J1213" s="16" t="s">
        <v>100</v>
      </c>
      <c r="K1213" s="15"/>
      <c r="L1213" s="17">
        <v>100</v>
      </c>
      <c r="M1213" s="17">
        <v>100</v>
      </c>
      <c r="N1213" s="17">
        <v>100</v>
      </c>
      <c r="O1213" s="18">
        <v>242.06</v>
      </c>
      <c r="P1213" s="18">
        <v>198.41</v>
      </c>
      <c r="Q1213" s="18">
        <v>205.75</v>
      </c>
      <c r="R1213" s="18">
        <v>168.65</v>
      </c>
      <c r="S1213" s="18">
        <v>164.6</v>
      </c>
      <c r="T1213" s="18">
        <v>134.91999999999999</v>
      </c>
      <c r="U1213" s="16"/>
      <c r="V1213" s="16"/>
      <c r="W1213" s="16" t="s">
        <v>40</v>
      </c>
      <c r="X1213" s="19">
        <v>0.17399999999999999</v>
      </c>
      <c r="Y1213" s="20">
        <v>2.04E-4</v>
      </c>
      <c r="Z1213" s="21">
        <v>4601004011205</v>
      </c>
    </row>
    <row r="1214" spans="1:26" ht="12.95" customHeight="1" outlineLevel="3" x14ac:dyDescent="0.2">
      <c r="A1214" s="82" t="s">
        <v>2390</v>
      </c>
      <c r="B1214" s="82"/>
      <c r="C1214" s="83"/>
      <c r="D1214" s="59"/>
      <c r="E1214" s="69"/>
      <c r="F1214" s="23"/>
      <c r="G1214" s="23"/>
      <c r="H1214" s="23"/>
      <c r="I1214" s="23"/>
      <c r="J1214" s="23"/>
      <c r="K1214" s="23"/>
      <c r="L1214" s="23"/>
      <c r="M1214" s="23"/>
      <c r="N1214" s="23"/>
      <c r="O1214" s="23"/>
      <c r="P1214" s="23"/>
      <c r="Q1214" s="23"/>
      <c r="R1214" s="23"/>
      <c r="S1214" s="23"/>
      <c r="T1214" s="23"/>
      <c r="U1214" s="23"/>
      <c r="V1214" s="23"/>
      <c r="W1214" s="23"/>
      <c r="X1214" s="23"/>
      <c r="Y1214" s="23"/>
      <c r="Z1214" s="23"/>
    </row>
    <row r="1215" spans="1:26" ht="12" customHeight="1" outlineLevel="4" x14ac:dyDescent="0.2">
      <c r="A1215" s="14" t="s">
        <v>2391</v>
      </c>
      <c r="B1215" s="26" t="s">
        <v>2392</v>
      </c>
      <c r="C1215" s="52"/>
      <c r="D1215" s="55">
        <f t="shared" si="18"/>
        <v>0</v>
      </c>
      <c r="E1215" s="63" t="str">
        <f>HYPERLINK("https://www.sds-group.ru/product/provod-shvvp-2h0-5-mm-300-m-belyy-gost-7399-97-01-8082-6/", "Инфо")</f>
        <v>Инфо</v>
      </c>
      <c r="F1215" s="16" t="s">
        <v>1767</v>
      </c>
      <c r="G1215" s="15"/>
      <c r="H1215" s="15"/>
      <c r="I1215" s="15"/>
      <c r="J1215" s="22">
        <v>2700</v>
      </c>
      <c r="K1215" s="15"/>
      <c r="L1215" s="17">
        <v>300</v>
      </c>
      <c r="M1215" s="17">
        <v>300</v>
      </c>
      <c r="N1215" s="17">
        <v>300</v>
      </c>
      <c r="O1215" s="18">
        <v>37.700000000000003</v>
      </c>
      <c r="P1215" s="18">
        <v>30.9</v>
      </c>
      <c r="Q1215" s="18">
        <v>32.049999999999997</v>
      </c>
      <c r="R1215" s="18">
        <v>26.27</v>
      </c>
      <c r="S1215" s="18">
        <v>25.64</v>
      </c>
      <c r="T1215" s="18">
        <v>21.02</v>
      </c>
      <c r="U1215" s="16"/>
      <c r="V1215" s="16"/>
      <c r="W1215" s="16" t="s">
        <v>40</v>
      </c>
      <c r="X1215" s="19">
        <v>2.8000000000000001E-2</v>
      </c>
      <c r="Y1215" s="20">
        <v>3.6999999999999998E-5</v>
      </c>
      <c r="Z1215" s="21">
        <v>4631137045976</v>
      </c>
    </row>
    <row r="1216" spans="1:26" ht="12" customHeight="1" outlineLevel="4" x14ac:dyDescent="0.2">
      <c r="A1216" s="14" t="s">
        <v>2393</v>
      </c>
      <c r="B1216" s="26" t="s">
        <v>2394</v>
      </c>
      <c r="C1216" s="52"/>
      <c r="D1216" s="55">
        <f t="shared" si="18"/>
        <v>0</v>
      </c>
      <c r="E1216" s="63" t="str">
        <f>HYPERLINK("https://www.sds-group.ru/product/provod-shvvp-2h0-5-mm-300-m-chernyy-gost-7399-97-01-8083-6/", "Инфо")</f>
        <v>Инфо</v>
      </c>
      <c r="F1216" s="16" t="s">
        <v>1767</v>
      </c>
      <c r="G1216" s="15"/>
      <c r="H1216" s="15"/>
      <c r="I1216" s="15"/>
      <c r="J1216" s="17">
        <v>900</v>
      </c>
      <c r="K1216" s="15"/>
      <c r="L1216" s="17">
        <v>300</v>
      </c>
      <c r="M1216" s="17">
        <v>300</v>
      </c>
      <c r="N1216" s="17">
        <v>300</v>
      </c>
      <c r="O1216" s="18">
        <v>37.200000000000003</v>
      </c>
      <c r="P1216" s="18">
        <v>30.49</v>
      </c>
      <c r="Q1216" s="18">
        <v>31.62</v>
      </c>
      <c r="R1216" s="18">
        <v>25.92</v>
      </c>
      <c r="S1216" s="18">
        <v>25.3</v>
      </c>
      <c r="T1216" s="18">
        <v>20.74</v>
      </c>
      <c r="U1216" s="16"/>
      <c r="V1216" s="16"/>
      <c r="W1216" s="16" t="s">
        <v>40</v>
      </c>
      <c r="X1216" s="19">
        <v>2.8000000000000001E-2</v>
      </c>
      <c r="Y1216" s="20">
        <v>3.3000000000000003E-5</v>
      </c>
      <c r="Z1216" s="21">
        <v>4631137045983</v>
      </c>
    </row>
    <row r="1217" spans="1:26" ht="12" customHeight="1" outlineLevel="4" x14ac:dyDescent="0.2">
      <c r="A1217" s="14" t="s">
        <v>2395</v>
      </c>
      <c r="B1217" s="26" t="s">
        <v>2396</v>
      </c>
      <c r="C1217" s="52"/>
      <c r="D1217" s="55">
        <f t="shared" si="18"/>
        <v>0</v>
      </c>
      <c r="E1217" s="63" t="str">
        <f>HYPERLINK("https://www.sds-group.ru/product/provod-shvvp-2h0-75-mm-200-m-belyy-gost-7399-97-01-8086-6/", "Инфо")</f>
        <v>Инфо</v>
      </c>
      <c r="F1217" s="16" t="s">
        <v>1767</v>
      </c>
      <c r="G1217" s="15"/>
      <c r="H1217" s="15"/>
      <c r="I1217" s="15"/>
      <c r="J1217" s="22">
        <v>4600</v>
      </c>
      <c r="K1217" s="15" t="s">
        <v>1381</v>
      </c>
      <c r="L1217" s="17">
        <v>200</v>
      </c>
      <c r="M1217" s="17">
        <v>200</v>
      </c>
      <c r="N1217" s="17">
        <v>200</v>
      </c>
      <c r="O1217" s="18">
        <v>51.49</v>
      </c>
      <c r="P1217" s="18">
        <v>42.2</v>
      </c>
      <c r="Q1217" s="18">
        <v>43.77</v>
      </c>
      <c r="R1217" s="18">
        <v>35.880000000000003</v>
      </c>
      <c r="S1217" s="18">
        <v>35.01</v>
      </c>
      <c r="T1217" s="18">
        <v>28.7</v>
      </c>
      <c r="U1217" s="16"/>
      <c r="V1217" s="16"/>
      <c r="W1217" s="16" t="s">
        <v>40</v>
      </c>
      <c r="X1217" s="19">
        <v>3.5999999999999997E-2</v>
      </c>
      <c r="Y1217" s="20">
        <v>3.8000000000000002E-5</v>
      </c>
      <c r="Z1217" s="21">
        <v>4631137045990</v>
      </c>
    </row>
    <row r="1218" spans="1:26" ht="12" customHeight="1" outlineLevel="4" x14ac:dyDescent="0.2">
      <c r="A1218" s="14" t="s">
        <v>2397</v>
      </c>
      <c r="B1218" s="26" t="s">
        <v>2398</v>
      </c>
      <c r="C1218" s="52"/>
      <c r="D1218" s="55">
        <f t="shared" si="18"/>
        <v>0</v>
      </c>
      <c r="E1218" s="63" t="str">
        <f>HYPERLINK("https://www.sds-group.ru/product/provod-shvvp-2h0-75-mm-200-m-chernyy-gost-7399-97-01-8087-6/", "Инфо")</f>
        <v>Инфо</v>
      </c>
      <c r="F1218" s="16" t="s">
        <v>1767</v>
      </c>
      <c r="G1218" s="15"/>
      <c r="H1218" s="15"/>
      <c r="I1218" s="15"/>
      <c r="J1218" s="22">
        <v>5600</v>
      </c>
      <c r="K1218" s="15" t="s">
        <v>1381</v>
      </c>
      <c r="L1218" s="17">
        <v>200</v>
      </c>
      <c r="M1218" s="17">
        <v>200</v>
      </c>
      <c r="N1218" s="17">
        <v>200</v>
      </c>
      <c r="O1218" s="18">
        <v>52.44</v>
      </c>
      <c r="P1218" s="18">
        <v>42.98</v>
      </c>
      <c r="Q1218" s="18">
        <v>44.57</v>
      </c>
      <c r="R1218" s="18">
        <v>36.53</v>
      </c>
      <c r="S1218" s="18">
        <v>35.659999999999997</v>
      </c>
      <c r="T1218" s="18">
        <v>29.23</v>
      </c>
      <c r="U1218" s="16"/>
      <c r="V1218" s="16"/>
      <c r="W1218" s="16" t="s">
        <v>40</v>
      </c>
      <c r="X1218" s="19">
        <v>3.5000000000000003E-2</v>
      </c>
      <c r="Y1218" s="20">
        <v>3.6000000000000001E-5</v>
      </c>
      <c r="Z1218" s="21">
        <v>4631137046003</v>
      </c>
    </row>
    <row r="1219" spans="1:26" ht="12" customHeight="1" outlineLevel="4" x14ac:dyDescent="0.2">
      <c r="A1219" s="14" t="s">
        <v>2399</v>
      </c>
      <c r="B1219" s="26" t="s">
        <v>2400</v>
      </c>
      <c r="C1219" s="52"/>
      <c r="D1219" s="55">
        <f t="shared" si="18"/>
        <v>0</v>
      </c>
      <c r="E1219" s="63" t="str">
        <f>HYPERLINK("https://www.sds-group.ru/product/provod-shvvp-3h0-75-mm-200-m-belyy-gost-7399-97-01-8088-2/", "Инфо")</f>
        <v>Инфо</v>
      </c>
      <c r="F1219" s="16" t="s">
        <v>1767</v>
      </c>
      <c r="G1219" s="15"/>
      <c r="H1219" s="15"/>
      <c r="I1219" s="15"/>
      <c r="J1219" s="17">
        <v>600</v>
      </c>
      <c r="K1219" s="15" t="s">
        <v>1381</v>
      </c>
      <c r="L1219" s="17">
        <v>200</v>
      </c>
      <c r="M1219" s="17">
        <v>200</v>
      </c>
      <c r="N1219" s="17">
        <v>200</v>
      </c>
      <c r="O1219" s="18">
        <v>82.19</v>
      </c>
      <c r="P1219" s="18">
        <v>67.37</v>
      </c>
      <c r="Q1219" s="18">
        <v>69.86</v>
      </c>
      <c r="R1219" s="18">
        <v>57.26</v>
      </c>
      <c r="S1219" s="18">
        <v>55.89</v>
      </c>
      <c r="T1219" s="18">
        <v>45.81</v>
      </c>
      <c r="U1219" s="16"/>
      <c r="V1219" s="16"/>
      <c r="W1219" s="16" t="s">
        <v>40</v>
      </c>
      <c r="X1219" s="19">
        <v>5.5E-2</v>
      </c>
      <c r="Y1219" s="20">
        <v>6.0999999999999999E-5</v>
      </c>
      <c r="Z1219" s="21">
        <v>4631137395309</v>
      </c>
    </row>
    <row r="1220" spans="1:26" ht="12.95" customHeight="1" outlineLevel="2" x14ac:dyDescent="0.2">
      <c r="A1220" s="76" t="s">
        <v>2401</v>
      </c>
      <c r="B1220" s="76"/>
      <c r="C1220" s="77"/>
      <c r="D1220" s="58"/>
      <c r="E1220" s="68"/>
      <c r="F1220" s="13"/>
      <c r="G1220" s="13"/>
      <c r="H1220" s="13"/>
      <c r="I1220" s="13"/>
      <c r="J1220" s="13"/>
      <c r="K1220" s="13"/>
      <c r="L1220" s="13"/>
      <c r="M1220" s="13"/>
      <c r="N1220" s="13"/>
      <c r="O1220" s="13"/>
      <c r="P1220" s="13"/>
      <c r="Q1220" s="13"/>
      <c r="R1220" s="13"/>
      <c r="S1220" s="13"/>
      <c r="T1220" s="13"/>
      <c r="U1220" s="13"/>
      <c r="V1220" s="13"/>
      <c r="W1220" s="13"/>
      <c r="X1220" s="13"/>
      <c r="Y1220" s="13"/>
      <c r="Z1220" s="13"/>
    </row>
    <row r="1221" spans="1:26" ht="12.95" customHeight="1" outlineLevel="3" x14ac:dyDescent="0.2">
      <c r="A1221" s="82" t="s">
        <v>2402</v>
      </c>
      <c r="B1221" s="82"/>
      <c r="C1221" s="83"/>
      <c r="D1221" s="59"/>
      <c r="E1221" s="69"/>
      <c r="F1221" s="23"/>
      <c r="G1221" s="23"/>
      <c r="H1221" s="23"/>
      <c r="I1221" s="23"/>
      <c r="J1221" s="23"/>
      <c r="K1221" s="23"/>
      <c r="L1221" s="23"/>
      <c r="M1221" s="23"/>
      <c r="N1221" s="23"/>
      <c r="O1221" s="23"/>
      <c r="P1221" s="23"/>
      <c r="Q1221" s="23"/>
      <c r="R1221" s="23"/>
      <c r="S1221" s="23"/>
      <c r="T1221" s="23"/>
      <c r="U1221" s="23"/>
      <c r="V1221" s="23"/>
      <c r="W1221" s="23"/>
      <c r="X1221" s="23"/>
      <c r="Y1221" s="23"/>
      <c r="Z1221" s="23"/>
    </row>
    <row r="1222" spans="1:26" ht="12" customHeight="1" outlineLevel="4" x14ac:dyDescent="0.2">
      <c r="A1222" s="14" t="s">
        <v>2403</v>
      </c>
      <c r="B1222" s="26" t="s">
        <v>2404</v>
      </c>
      <c r="C1222" s="52"/>
      <c r="D1222" s="55">
        <f t="shared" si="18"/>
        <v>0</v>
      </c>
      <c r="E1222" s="63" t="str">
        <f>HYPERLINK("https://www.sds-group.ru/product/provod-pbvv-pusp-2x1-5-mm-100-m-gost-26445-85-tu-3551-021-38229892-2017-01-8351-2/", "Инфо")</f>
        <v>Инфо</v>
      </c>
      <c r="F1222" s="16" t="s">
        <v>1767</v>
      </c>
      <c r="G1222" s="15"/>
      <c r="H1222" s="15"/>
      <c r="I1222" s="15"/>
      <c r="J1222" s="17">
        <v>600</v>
      </c>
      <c r="K1222" s="15"/>
      <c r="L1222" s="17">
        <v>100</v>
      </c>
      <c r="M1222" s="17">
        <v>100</v>
      </c>
      <c r="N1222" s="17">
        <v>100</v>
      </c>
      <c r="O1222" s="18">
        <v>93.68</v>
      </c>
      <c r="P1222" s="18">
        <v>76.790000000000006</v>
      </c>
      <c r="Q1222" s="18">
        <v>79.63</v>
      </c>
      <c r="R1222" s="18">
        <v>65.27</v>
      </c>
      <c r="S1222" s="18">
        <v>63.7</v>
      </c>
      <c r="T1222" s="18">
        <v>52.21</v>
      </c>
      <c r="U1222" s="16"/>
      <c r="V1222" s="16"/>
      <c r="W1222" s="16" t="s">
        <v>40</v>
      </c>
      <c r="X1222" s="19">
        <v>5.6000000000000001E-2</v>
      </c>
      <c r="Y1222" s="20">
        <v>7.1000000000000005E-5</v>
      </c>
      <c r="Z1222" s="21">
        <v>4631137045419</v>
      </c>
    </row>
    <row r="1223" spans="1:26" ht="12" customHeight="1" outlineLevel="4" x14ac:dyDescent="0.2">
      <c r="A1223" s="14" t="s">
        <v>2405</v>
      </c>
      <c r="B1223" s="26" t="s">
        <v>2406</v>
      </c>
      <c r="C1223" s="52"/>
      <c r="D1223" s="55">
        <f t="shared" si="18"/>
        <v>0</v>
      </c>
      <c r="E1223" s="63" t="str">
        <f>HYPERLINK("https://www.sds-group.ru/product/provod-pbvv-pusp-2x2-5-mm-sup2-100-m-gost-26445-85-tu-3551-021-38229892-2017-14708/", "Инфо")</f>
        <v>Инфо</v>
      </c>
      <c r="F1223" s="16" t="s">
        <v>1767</v>
      </c>
      <c r="G1223" s="15"/>
      <c r="H1223" s="15"/>
      <c r="I1223" s="15"/>
      <c r="J1223" s="17">
        <v>800</v>
      </c>
      <c r="K1223" s="15"/>
      <c r="L1223" s="17">
        <v>100</v>
      </c>
      <c r="M1223" s="17">
        <v>100</v>
      </c>
      <c r="N1223" s="17">
        <v>100</v>
      </c>
      <c r="O1223" s="18">
        <v>146.87</v>
      </c>
      <c r="P1223" s="18">
        <v>120.39</v>
      </c>
      <c r="Q1223" s="18">
        <v>124.84</v>
      </c>
      <c r="R1223" s="18">
        <v>102.33</v>
      </c>
      <c r="S1223" s="18">
        <v>99.87</v>
      </c>
      <c r="T1223" s="18">
        <v>81.86</v>
      </c>
      <c r="U1223" s="16"/>
      <c r="V1223" s="16"/>
      <c r="W1223" s="16" t="s">
        <v>40</v>
      </c>
      <c r="X1223" s="19">
        <v>7.5999999999999998E-2</v>
      </c>
      <c r="Y1223" s="20">
        <v>7.4999999999999993E-5</v>
      </c>
      <c r="Z1223" s="21">
        <v>4631137045426</v>
      </c>
    </row>
    <row r="1224" spans="1:26" ht="12" customHeight="1" outlineLevel="4" x14ac:dyDescent="0.2">
      <c r="A1224" s="14" t="s">
        <v>2407</v>
      </c>
      <c r="B1224" s="26" t="s">
        <v>2408</v>
      </c>
      <c r="C1224" s="52"/>
      <c r="D1224" s="55">
        <f t="shared" si="18"/>
        <v>0</v>
      </c>
      <c r="E1224" s="63" t="str">
        <f>HYPERLINK("https://www.sds-group.ru/product/provod-pbvv-pusp-3x2-5-mm-100-m-gost-26445-85-tu-3551-021-38229892-2017-01-8355-2/", "Инфо")</f>
        <v>Инфо</v>
      </c>
      <c r="F1224" s="16" t="s">
        <v>1767</v>
      </c>
      <c r="G1224" s="15"/>
      <c r="H1224" s="15"/>
      <c r="I1224" s="15"/>
      <c r="J1224" s="17">
        <v>600</v>
      </c>
      <c r="K1224" s="15"/>
      <c r="L1224" s="17">
        <v>100</v>
      </c>
      <c r="M1224" s="17">
        <v>100</v>
      </c>
      <c r="N1224" s="17">
        <v>100</v>
      </c>
      <c r="O1224" s="18">
        <v>212.32</v>
      </c>
      <c r="P1224" s="18">
        <v>174.03</v>
      </c>
      <c r="Q1224" s="18">
        <v>180.47</v>
      </c>
      <c r="R1224" s="18">
        <v>147.93</v>
      </c>
      <c r="S1224" s="18">
        <v>144.38</v>
      </c>
      <c r="T1224" s="18">
        <v>118.34</v>
      </c>
      <c r="U1224" s="16"/>
      <c r="V1224" s="16"/>
      <c r="W1224" s="16" t="s">
        <v>40</v>
      </c>
      <c r="X1224" s="19">
        <v>0.115</v>
      </c>
      <c r="Y1224" s="20">
        <v>8.5000000000000006E-5</v>
      </c>
      <c r="Z1224" s="21">
        <v>4631137045457</v>
      </c>
    </row>
    <row r="1225" spans="1:26" ht="12.95" customHeight="1" outlineLevel="3" x14ac:dyDescent="0.2">
      <c r="A1225" s="82" t="s">
        <v>2409</v>
      </c>
      <c r="B1225" s="82"/>
      <c r="C1225" s="83"/>
      <c r="D1225" s="59"/>
      <c r="E1225" s="69"/>
      <c r="F1225" s="23"/>
      <c r="G1225" s="23"/>
      <c r="H1225" s="23"/>
      <c r="I1225" s="23"/>
      <c r="J1225" s="23"/>
      <c r="K1225" s="23"/>
      <c r="L1225" s="23"/>
      <c r="M1225" s="23"/>
      <c r="N1225" s="23"/>
      <c r="O1225" s="23"/>
      <c r="P1225" s="23"/>
      <c r="Q1225" s="23"/>
      <c r="R1225" s="23"/>
      <c r="S1225" s="23"/>
      <c r="T1225" s="23"/>
      <c r="U1225" s="23"/>
      <c r="V1225" s="23"/>
      <c r="W1225" s="23"/>
      <c r="X1225" s="23"/>
      <c r="Y1225" s="23"/>
      <c r="Z1225" s="23"/>
    </row>
    <row r="1226" spans="1:26" ht="12" customHeight="1" outlineLevel="4" x14ac:dyDescent="0.2">
      <c r="A1226" s="14" t="s">
        <v>2410</v>
      </c>
      <c r="B1226" s="26" t="s">
        <v>2411</v>
      </c>
      <c r="C1226" s="52"/>
      <c r="D1226" s="55">
        <f t="shared" ref="D1226:D1288" si="19">C1226*(O1226-O1226*$G$3)</f>
        <v>0</v>
      </c>
      <c r="E1226" s="63" t="str">
        <f>HYPERLINK("https://www.sds-group.ru/product/provod-pugv-pv-3-0-5-mm-sup2-1000-m-beliy-gost-31947-2012-tu-16-705-501-2010-12873/", "Инфо")</f>
        <v>Инфо</v>
      </c>
      <c r="F1226" s="16" t="s">
        <v>1767</v>
      </c>
      <c r="G1226" s="15"/>
      <c r="H1226" s="15"/>
      <c r="I1226" s="15"/>
      <c r="J1226" s="22">
        <v>14000</v>
      </c>
      <c r="K1226" s="15"/>
      <c r="L1226" s="22">
        <v>1000</v>
      </c>
      <c r="M1226" s="22">
        <v>1000</v>
      </c>
      <c r="N1226" s="22">
        <v>1000</v>
      </c>
      <c r="O1226" s="18">
        <v>17.48</v>
      </c>
      <c r="P1226" s="18">
        <v>14.33</v>
      </c>
      <c r="Q1226" s="18">
        <v>14.86</v>
      </c>
      <c r="R1226" s="18">
        <v>12.18</v>
      </c>
      <c r="S1226" s="18">
        <v>11.89</v>
      </c>
      <c r="T1226" s="18">
        <v>9.75</v>
      </c>
      <c r="U1226" s="16"/>
      <c r="V1226" s="16"/>
      <c r="W1226" s="16" t="s">
        <v>40</v>
      </c>
      <c r="X1226" s="19">
        <v>0.01</v>
      </c>
      <c r="Y1226" s="20">
        <v>6.9999999999999999E-6</v>
      </c>
      <c r="Z1226" s="21">
        <v>4631178642967</v>
      </c>
    </row>
    <row r="1227" spans="1:26" ht="12" customHeight="1" outlineLevel="4" x14ac:dyDescent="0.2">
      <c r="A1227" s="14" t="s">
        <v>2412</v>
      </c>
      <c r="B1227" s="26" t="s">
        <v>2413</v>
      </c>
      <c r="C1227" s="52"/>
      <c r="D1227" s="55">
        <f t="shared" si="19"/>
        <v>0</v>
      </c>
      <c r="E1227" s="63" t="str">
        <f>HYPERLINK("https://www.sds-group.ru/product/provod-pugv-pv-3-0-5-mm-1000-m-zh-z-gost-31947-2012-tu-16-705-501-2010-01-8615-3/", "Инфо")</f>
        <v>Инфо</v>
      </c>
      <c r="F1227" s="16" t="s">
        <v>1767</v>
      </c>
      <c r="G1227" s="15"/>
      <c r="H1227" s="15"/>
      <c r="I1227" s="15" t="s">
        <v>2414</v>
      </c>
      <c r="J1227" s="16" t="s">
        <v>100</v>
      </c>
      <c r="K1227" s="15"/>
      <c r="L1227" s="22">
        <v>1000</v>
      </c>
      <c r="M1227" s="22">
        <v>1000</v>
      </c>
      <c r="N1227" s="22">
        <v>1000</v>
      </c>
      <c r="O1227" s="18">
        <v>18.79</v>
      </c>
      <c r="P1227" s="18">
        <v>15.4</v>
      </c>
      <c r="Q1227" s="18">
        <v>15.97</v>
      </c>
      <c r="R1227" s="18">
        <v>13.09</v>
      </c>
      <c r="S1227" s="18">
        <v>12.78</v>
      </c>
      <c r="T1227" s="18">
        <v>10.48</v>
      </c>
      <c r="U1227" s="16"/>
      <c r="V1227" s="16"/>
      <c r="W1227" s="16" t="s">
        <v>40</v>
      </c>
      <c r="X1227" s="19">
        <v>8.9999999999999993E-3</v>
      </c>
      <c r="Y1227" s="20">
        <v>7.9999999999999996E-6</v>
      </c>
      <c r="Z1227" s="21">
        <v>4631163484534</v>
      </c>
    </row>
    <row r="1228" spans="1:26" ht="12" customHeight="1" outlineLevel="4" x14ac:dyDescent="0.2">
      <c r="A1228" s="14" t="s">
        <v>2415</v>
      </c>
      <c r="B1228" s="26" t="s">
        <v>2416</v>
      </c>
      <c r="C1228" s="52"/>
      <c r="D1228" s="55">
        <f t="shared" si="19"/>
        <v>0</v>
      </c>
      <c r="E1228" s="63" t="str">
        <f>HYPERLINK("https://www.sds-group.ru/product/provod-pugv-pv-3-0-5-mm-1000-m-siniy-gost-31947-2012-tu-16-705-501-2010-01-8615-2/", "Инфо")</f>
        <v>Инфо</v>
      </c>
      <c r="F1228" s="16" t="s">
        <v>1767</v>
      </c>
      <c r="G1228" s="15"/>
      <c r="H1228" s="15"/>
      <c r="I1228" s="15" t="s">
        <v>2414</v>
      </c>
      <c r="J1228" s="16" t="s">
        <v>100</v>
      </c>
      <c r="K1228" s="15"/>
      <c r="L1228" s="22">
        <v>1000</v>
      </c>
      <c r="M1228" s="22">
        <v>1000</v>
      </c>
      <c r="N1228" s="22">
        <v>1000</v>
      </c>
      <c r="O1228" s="18">
        <v>15.53</v>
      </c>
      <c r="P1228" s="18">
        <v>12.73</v>
      </c>
      <c r="Q1228" s="18">
        <v>13.2</v>
      </c>
      <c r="R1228" s="18">
        <v>10.82</v>
      </c>
      <c r="S1228" s="18">
        <v>10.56</v>
      </c>
      <c r="T1228" s="18">
        <v>8.66</v>
      </c>
      <c r="U1228" s="16"/>
      <c r="V1228" s="16"/>
      <c r="W1228" s="16" t="s">
        <v>40</v>
      </c>
      <c r="X1228" s="19">
        <v>8.9999999999999993E-3</v>
      </c>
      <c r="Y1228" s="20">
        <v>1.1E-5</v>
      </c>
      <c r="Z1228" s="21">
        <v>4631163484268</v>
      </c>
    </row>
    <row r="1229" spans="1:26" ht="12" customHeight="1" outlineLevel="4" x14ac:dyDescent="0.2">
      <c r="A1229" s="14" t="s">
        <v>2417</v>
      </c>
      <c r="B1229" s="26" t="s">
        <v>2418</v>
      </c>
      <c r="C1229" s="52"/>
      <c r="D1229" s="55">
        <f t="shared" si="19"/>
        <v>0</v>
      </c>
      <c r="E1229" s="63" t="str">
        <f>HYPERLINK("https://www.sds-group.ru/product/provod-pugv-pv-3-0-75-mm-1000-m-belyy-gost-31947-2012-tu-16-705-501-2010-01-8616-1/", "Инфо")</f>
        <v>Инфо</v>
      </c>
      <c r="F1229" s="16" t="s">
        <v>1767</v>
      </c>
      <c r="G1229" s="15"/>
      <c r="H1229" s="15"/>
      <c r="I1229" s="15" t="s">
        <v>2414</v>
      </c>
      <c r="J1229" s="16" t="s">
        <v>100</v>
      </c>
      <c r="K1229" s="15"/>
      <c r="L1229" s="22">
        <v>1000</v>
      </c>
      <c r="M1229" s="22">
        <v>1000</v>
      </c>
      <c r="N1229" s="22">
        <v>1000</v>
      </c>
      <c r="O1229" s="18">
        <v>22.34</v>
      </c>
      <c r="P1229" s="18">
        <v>18.309999999999999</v>
      </c>
      <c r="Q1229" s="18">
        <v>18.989999999999998</v>
      </c>
      <c r="R1229" s="18">
        <v>15.57</v>
      </c>
      <c r="S1229" s="18">
        <v>15.19</v>
      </c>
      <c r="T1229" s="18">
        <v>12.45</v>
      </c>
      <c r="U1229" s="16"/>
      <c r="V1229" s="16"/>
      <c r="W1229" s="16" t="s">
        <v>40</v>
      </c>
      <c r="X1229" s="19">
        <v>1.0999999999999999E-2</v>
      </c>
      <c r="Y1229" s="20">
        <v>1.2999999999999999E-5</v>
      </c>
      <c r="Z1229" s="21">
        <v>4631163484183</v>
      </c>
    </row>
    <row r="1230" spans="1:26" ht="12" customHeight="1" outlineLevel="4" x14ac:dyDescent="0.2">
      <c r="A1230" s="14" t="s">
        <v>2419</v>
      </c>
      <c r="B1230" s="26" t="s">
        <v>2420</v>
      </c>
      <c r="C1230" s="52"/>
      <c r="D1230" s="55">
        <f t="shared" si="19"/>
        <v>0</v>
      </c>
      <c r="E1230" s="63" t="str">
        <f>HYPERLINK("https://www.sds-group.ru/product/provod-pugv-pv-3-1-5-mm-500-m-belyy-gost-31947-2012-tu-16-705-501-2010-01-8618-1/", "Инфо")</f>
        <v>Инфо</v>
      </c>
      <c r="F1230" s="16" t="s">
        <v>1767</v>
      </c>
      <c r="G1230" s="15"/>
      <c r="H1230" s="15"/>
      <c r="I1230" s="15" t="s">
        <v>2421</v>
      </c>
      <c r="J1230" s="16" t="s">
        <v>100</v>
      </c>
      <c r="K1230" s="15"/>
      <c r="L1230" s="17">
        <v>500</v>
      </c>
      <c r="M1230" s="17">
        <v>500</v>
      </c>
      <c r="N1230" s="17">
        <v>500</v>
      </c>
      <c r="O1230" s="18">
        <v>38.22</v>
      </c>
      <c r="P1230" s="18">
        <v>31.33</v>
      </c>
      <c r="Q1230" s="18">
        <v>28.67</v>
      </c>
      <c r="R1230" s="18">
        <v>23.5</v>
      </c>
      <c r="S1230" s="18">
        <v>25.99</v>
      </c>
      <c r="T1230" s="18">
        <v>21.3</v>
      </c>
      <c r="U1230" s="16"/>
      <c r="V1230" s="16"/>
      <c r="W1230" s="16" t="s">
        <v>40</v>
      </c>
      <c r="X1230" s="19">
        <v>2.1000000000000001E-2</v>
      </c>
      <c r="Y1230" s="20">
        <v>1.4E-5</v>
      </c>
      <c r="Z1230" s="21">
        <v>4631163484206</v>
      </c>
    </row>
    <row r="1231" spans="1:26" ht="12" customHeight="1" outlineLevel="4" x14ac:dyDescent="0.2">
      <c r="A1231" s="14" t="s">
        <v>2422</v>
      </c>
      <c r="B1231" s="26" t="s">
        <v>2423</v>
      </c>
      <c r="C1231" s="52"/>
      <c r="D1231" s="55">
        <f t="shared" si="19"/>
        <v>0</v>
      </c>
      <c r="E1231" s="63" t="str">
        <f>HYPERLINK("https://www.sds-group.ru/product/provod-pugv-pv-3-1-5-mm-500-m-zh-z-gost-31947-2012-tu-16-705-501-2010-01-8618-3/", "Инфо")</f>
        <v>Инфо</v>
      </c>
      <c r="F1231" s="16" t="s">
        <v>1767</v>
      </c>
      <c r="G1231" s="15"/>
      <c r="H1231" s="15"/>
      <c r="I1231" s="15"/>
      <c r="J1231" s="22">
        <v>1000</v>
      </c>
      <c r="K1231" s="15"/>
      <c r="L1231" s="17">
        <v>500</v>
      </c>
      <c r="M1231" s="17">
        <v>500</v>
      </c>
      <c r="N1231" s="17">
        <v>500</v>
      </c>
      <c r="O1231" s="18">
        <v>41.57</v>
      </c>
      <c r="P1231" s="18">
        <v>34.07</v>
      </c>
      <c r="Q1231" s="18">
        <v>35.33</v>
      </c>
      <c r="R1231" s="18">
        <v>28.96</v>
      </c>
      <c r="S1231" s="18">
        <v>28.27</v>
      </c>
      <c r="T1231" s="18">
        <v>23.17</v>
      </c>
      <c r="U1231" s="16"/>
      <c r="V1231" s="16"/>
      <c r="W1231" s="16" t="s">
        <v>40</v>
      </c>
      <c r="X1231" s="19">
        <v>1.9E-2</v>
      </c>
      <c r="Y1231" s="20">
        <v>1.7E-5</v>
      </c>
      <c r="Z1231" s="21">
        <v>4631163484656</v>
      </c>
    </row>
    <row r="1232" spans="1:26" ht="12" customHeight="1" outlineLevel="4" x14ac:dyDescent="0.2">
      <c r="A1232" s="14" t="s">
        <v>2424</v>
      </c>
      <c r="B1232" s="26" t="s">
        <v>2425</v>
      </c>
      <c r="C1232" s="52"/>
      <c r="D1232" s="55">
        <f t="shared" si="19"/>
        <v>0</v>
      </c>
      <c r="E1232" s="63" t="str">
        <f>HYPERLINK("https://www.sds-group.ru/product/provod-pugv-pv-3-1-5-mm-500-m-krasnyy-gost-31947-2012-tu-16-705-501-2010-01-8618-4/", "Инфо")</f>
        <v>Инфо</v>
      </c>
      <c r="F1232" s="16" t="s">
        <v>1767</v>
      </c>
      <c r="G1232" s="15"/>
      <c r="H1232" s="15"/>
      <c r="I1232" s="15"/>
      <c r="J1232" s="22">
        <v>1500</v>
      </c>
      <c r="K1232" s="15"/>
      <c r="L1232" s="17">
        <v>500</v>
      </c>
      <c r="M1232" s="17">
        <v>500</v>
      </c>
      <c r="N1232" s="17">
        <v>500</v>
      </c>
      <c r="O1232" s="18">
        <v>45.89</v>
      </c>
      <c r="P1232" s="18">
        <v>37.61</v>
      </c>
      <c r="Q1232" s="18">
        <v>39.01</v>
      </c>
      <c r="R1232" s="18">
        <v>31.98</v>
      </c>
      <c r="S1232" s="18">
        <v>31.21</v>
      </c>
      <c r="T1232" s="18">
        <v>25.58</v>
      </c>
      <c r="U1232" s="16"/>
      <c r="V1232" s="16"/>
      <c r="W1232" s="16" t="s">
        <v>40</v>
      </c>
      <c r="X1232" s="19">
        <v>2.1000000000000001E-2</v>
      </c>
      <c r="Y1232" s="20">
        <v>1.4E-5</v>
      </c>
      <c r="Z1232" s="21">
        <v>4631163484473</v>
      </c>
    </row>
    <row r="1233" spans="1:26" ht="12" customHeight="1" outlineLevel="4" x14ac:dyDescent="0.2">
      <c r="A1233" s="14" t="s">
        <v>2426</v>
      </c>
      <c r="B1233" s="26" t="s">
        <v>2427</v>
      </c>
      <c r="C1233" s="52"/>
      <c r="D1233" s="55">
        <f t="shared" si="19"/>
        <v>0</v>
      </c>
      <c r="E1233" s="63" t="str">
        <f>HYPERLINK("https://www.sds-group.ru/product/provod-pugv-pv-3-1-5-mm-500-m-siniy-gost-31947-2012-tu-16-705-501-2010-01-8618-2/", "Инфо")</f>
        <v>Инфо</v>
      </c>
      <c r="F1233" s="16" t="s">
        <v>1767</v>
      </c>
      <c r="G1233" s="15"/>
      <c r="H1233" s="15"/>
      <c r="I1233" s="15" t="s">
        <v>2421</v>
      </c>
      <c r="J1233" s="17">
        <v>500</v>
      </c>
      <c r="K1233" s="15"/>
      <c r="L1233" s="17">
        <v>500</v>
      </c>
      <c r="M1233" s="17">
        <v>500</v>
      </c>
      <c r="N1233" s="17">
        <v>500</v>
      </c>
      <c r="O1233" s="18">
        <v>47.27</v>
      </c>
      <c r="P1233" s="18">
        <v>38.75</v>
      </c>
      <c r="Q1233" s="18">
        <v>40.18</v>
      </c>
      <c r="R1233" s="18">
        <v>32.93</v>
      </c>
      <c r="S1233" s="18">
        <v>32.14</v>
      </c>
      <c r="T1233" s="18">
        <v>26.34</v>
      </c>
      <c r="U1233" s="16"/>
      <c r="V1233" s="16"/>
      <c r="W1233" s="16" t="s">
        <v>40</v>
      </c>
      <c r="X1233" s="19">
        <v>2.1000000000000001E-2</v>
      </c>
      <c r="Y1233" s="20">
        <v>1.4E-5</v>
      </c>
      <c r="Z1233" s="21">
        <v>4631163484299</v>
      </c>
    </row>
    <row r="1234" spans="1:26" ht="12" customHeight="1" outlineLevel="4" x14ac:dyDescent="0.2">
      <c r="A1234" s="14" t="s">
        <v>2428</v>
      </c>
      <c r="B1234" s="26" t="s">
        <v>2429</v>
      </c>
      <c r="C1234" s="52"/>
      <c r="D1234" s="55">
        <f t="shared" si="19"/>
        <v>0</v>
      </c>
      <c r="E1234" s="63" t="str">
        <f>HYPERLINK("https://www.sds-group.ru/product/provod-pugv-pv-3-1-5-mm-500-m-chernyy-gost-31947-2012-tu-16-705-501-2010-01-8618-5/", "Инфо")</f>
        <v>Инфо</v>
      </c>
      <c r="F1234" s="16" t="s">
        <v>1767</v>
      </c>
      <c r="G1234" s="15"/>
      <c r="H1234" s="15"/>
      <c r="I1234" s="15" t="s">
        <v>2430</v>
      </c>
      <c r="J1234" s="16" t="s">
        <v>100</v>
      </c>
      <c r="K1234" s="15"/>
      <c r="L1234" s="17">
        <v>500</v>
      </c>
      <c r="M1234" s="17">
        <v>500</v>
      </c>
      <c r="N1234" s="17">
        <v>500</v>
      </c>
      <c r="O1234" s="18">
        <v>40.35</v>
      </c>
      <c r="P1234" s="18">
        <v>33.07</v>
      </c>
      <c r="Q1234" s="18">
        <v>34.299999999999997</v>
      </c>
      <c r="R1234" s="18">
        <v>28.11</v>
      </c>
      <c r="S1234" s="18">
        <v>27.44</v>
      </c>
      <c r="T1234" s="18">
        <v>22.49</v>
      </c>
      <c r="U1234" s="16"/>
      <c r="V1234" s="16"/>
      <c r="W1234" s="16" t="s">
        <v>40</v>
      </c>
      <c r="X1234" s="19">
        <v>2.1000000000000001E-2</v>
      </c>
      <c r="Y1234" s="20">
        <v>1.4E-5</v>
      </c>
      <c r="Z1234" s="21">
        <v>4631163484381</v>
      </c>
    </row>
    <row r="1235" spans="1:26" ht="12" customHeight="1" outlineLevel="4" x14ac:dyDescent="0.2">
      <c r="A1235" s="14" t="s">
        <v>2431</v>
      </c>
      <c r="B1235" s="26" t="s">
        <v>2432</v>
      </c>
      <c r="C1235" s="52"/>
      <c r="D1235" s="55">
        <f t="shared" si="19"/>
        <v>0</v>
      </c>
      <c r="E1235" s="63" t="str">
        <f>HYPERLINK("https://www.sds-group.ru/product/provod-pugv-pv-3-2-5-mm-500-m-belyy-gost-31947-2012-tu-16-705-501-2010-01-8619-1/", "Инфо")</f>
        <v>Инфо</v>
      </c>
      <c r="F1235" s="16" t="s">
        <v>1767</v>
      </c>
      <c r="G1235" s="15"/>
      <c r="H1235" s="15"/>
      <c r="I1235" s="15" t="s">
        <v>2421</v>
      </c>
      <c r="J1235" s="16" t="s">
        <v>100</v>
      </c>
      <c r="K1235" s="15"/>
      <c r="L1235" s="17">
        <v>500</v>
      </c>
      <c r="M1235" s="17">
        <v>500</v>
      </c>
      <c r="N1235" s="17">
        <v>500</v>
      </c>
      <c r="O1235" s="18">
        <v>65.569999999999993</v>
      </c>
      <c r="P1235" s="18">
        <v>53.75</v>
      </c>
      <c r="Q1235" s="18">
        <v>55.73</v>
      </c>
      <c r="R1235" s="18">
        <v>45.68</v>
      </c>
      <c r="S1235" s="18">
        <v>44.59</v>
      </c>
      <c r="T1235" s="18">
        <v>36.549999999999997</v>
      </c>
      <c r="U1235" s="16"/>
      <c r="V1235" s="16"/>
      <c r="W1235" s="16" t="s">
        <v>40</v>
      </c>
      <c r="X1235" s="19">
        <v>3.3000000000000002E-2</v>
      </c>
      <c r="Y1235" s="20">
        <v>2.0999999999999999E-5</v>
      </c>
      <c r="Z1235" s="21">
        <v>4631163484213</v>
      </c>
    </row>
    <row r="1236" spans="1:26" ht="12" customHeight="1" outlineLevel="4" x14ac:dyDescent="0.2">
      <c r="A1236" s="14" t="s">
        <v>2433</v>
      </c>
      <c r="B1236" s="26" t="s">
        <v>2434</v>
      </c>
      <c r="C1236" s="52"/>
      <c r="D1236" s="55">
        <f t="shared" si="19"/>
        <v>0</v>
      </c>
      <c r="E1236" s="63" t="str">
        <f>HYPERLINK("https://www.sds-group.ru/product/provod-pugv-pv-3-2-5-mm-500-m-zh-z-gost-31947-2012-tu-16-705-501-2010-01-8619-3/", "Инфо")</f>
        <v>Инфо</v>
      </c>
      <c r="F1236" s="16" t="s">
        <v>1767</v>
      </c>
      <c r="G1236" s="15"/>
      <c r="H1236" s="15"/>
      <c r="I1236" s="15" t="s">
        <v>2421</v>
      </c>
      <c r="J1236" s="16" t="s">
        <v>100</v>
      </c>
      <c r="K1236" s="15"/>
      <c r="L1236" s="17">
        <v>500</v>
      </c>
      <c r="M1236" s="17">
        <v>500</v>
      </c>
      <c r="N1236" s="17">
        <v>500</v>
      </c>
      <c r="O1236" s="18">
        <v>73.27</v>
      </c>
      <c r="P1236" s="18">
        <v>60.06</v>
      </c>
      <c r="Q1236" s="18">
        <v>62.28</v>
      </c>
      <c r="R1236" s="18">
        <v>51.05</v>
      </c>
      <c r="S1236" s="18">
        <v>49.82</v>
      </c>
      <c r="T1236" s="18">
        <v>40.840000000000003</v>
      </c>
      <c r="U1236" s="16"/>
      <c r="V1236" s="16"/>
      <c r="W1236" s="16" t="s">
        <v>40</v>
      </c>
      <c r="X1236" s="19">
        <v>3.3000000000000002E-2</v>
      </c>
      <c r="Y1236" s="20">
        <v>2.0999999999999999E-5</v>
      </c>
      <c r="Z1236" s="21">
        <v>4631137044962</v>
      </c>
    </row>
    <row r="1237" spans="1:26" ht="12" customHeight="1" outlineLevel="4" x14ac:dyDescent="0.2">
      <c r="A1237" s="14" t="s">
        <v>2435</v>
      </c>
      <c r="B1237" s="26" t="s">
        <v>2436</v>
      </c>
      <c r="C1237" s="52"/>
      <c r="D1237" s="55">
        <f t="shared" si="19"/>
        <v>0</v>
      </c>
      <c r="E1237" s="63" t="str">
        <f>HYPERLINK("https://www.sds-group.ru/product/provod-pugv-pv-3-2-5-mm-500-m-siniy-gost-31947-2012-tu-16-705-501-2010-01-8619-2/", "Инфо")</f>
        <v>Инфо</v>
      </c>
      <c r="F1237" s="16" t="s">
        <v>1767</v>
      </c>
      <c r="G1237" s="15"/>
      <c r="H1237" s="15"/>
      <c r="I1237" s="15" t="s">
        <v>2421</v>
      </c>
      <c r="J1237" s="16" t="s">
        <v>100</v>
      </c>
      <c r="K1237" s="15"/>
      <c r="L1237" s="17">
        <v>500</v>
      </c>
      <c r="M1237" s="17">
        <v>500</v>
      </c>
      <c r="N1237" s="17">
        <v>500</v>
      </c>
      <c r="O1237" s="18">
        <v>76.95</v>
      </c>
      <c r="P1237" s="18">
        <v>63.07</v>
      </c>
      <c r="Q1237" s="18">
        <v>65.41</v>
      </c>
      <c r="R1237" s="18">
        <v>53.61</v>
      </c>
      <c r="S1237" s="18">
        <v>52.33</v>
      </c>
      <c r="T1237" s="18">
        <v>42.89</v>
      </c>
      <c r="U1237" s="16"/>
      <c r="V1237" s="16"/>
      <c r="W1237" s="16" t="s">
        <v>40</v>
      </c>
      <c r="X1237" s="19">
        <v>3.4000000000000002E-2</v>
      </c>
      <c r="Y1237" s="20">
        <v>2.5999999999999998E-5</v>
      </c>
      <c r="Z1237" s="21">
        <v>4631163484305</v>
      </c>
    </row>
    <row r="1238" spans="1:26" ht="12" customHeight="1" outlineLevel="4" x14ac:dyDescent="0.2">
      <c r="A1238" s="32" t="s">
        <v>2437</v>
      </c>
      <c r="B1238" s="74" t="s">
        <v>2438</v>
      </c>
      <c r="C1238" s="50"/>
      <c r="D1238" s="53">
        <f t="shared" si="19"/>
        <v>0</v>
      </c>
      <c r="E1238" s="60" t="str">
        <f>HYPERLINK("https://www.sds-group.ru/product/provod-pugv-pv-3-4-mm-300-m-zh-z-gost-31947-2012-tu-16-705-501-2010-01-8620-3/", "Инфо")</f>
        <v>Инфо</v>
      </c>
      <c r="F1238" s="34" t="s">
        <v>1767</v>
      </c>
      <c r="G1238" s="33"/>
      <c r="H1238" s="33" t="s">
        <v>40</v>
      </c>
      <c r="I1238" s="33"/>
      <c r="J1238" s="35">
        <v>500</v>
      </c>
      <c r="K1238" s="33"/>
      <c r="L1238" s="35">
        <v>300</v>
      </c>
      <c r="M1238" s="35">
        <v>300</v>
      </c>
      <c r="N1238" s="35">
        <v>300</v>
      </c>
      <c r="O1238" s="36">
        <v>108.95</v>
      </c>
      <c r="P1238" s="36">
        <v>89.3</v>
      </c>
      <c r="Q1238" s="36">
        <v>92.61</v>
      </c>
      <c r="R1238" s="36">
        <v>75.91</v>
      </c>
      <c r="S1238" s="36">
        <v>74.09</v>
      </c>
      <c r="T1238" s="36">
        <v>60.73</v>
      </c>
      <c r="U1238" s="34"/>
      <c r="V1238" s="34"/>
      <c r="W1238" s="34" t="s">
        <v>40</v>
      </c>
      <c r="X1238" s="37">
        <v>4.8000000000000001E-2</v>
      </c>
      <c r="Y1238" s="38">
        <v>4.3999999999999999E-5</v>
      </c>
      <c r="Z1238" s="21">
        <v>4631163484589</v>
      </c>
    </row>
    <row r="1239" spans="1:26" ht="12" customHeight="1" outlineLevel="4" x14ac:dyDescent="0.2">
      <c r="A1239" s="14" t="s">
        <v>2439</v>
      </c>
      <c r="B1239" s="26" t="s">
        <v>2440</v>
      </c>
      <c r="C1239" s="52"/>
      <c r="D1239" s="55">
        <f t="shared" si="19"/>
        <v>0</v>
      </c>
      <c r="E1239" s="63" t="str">
        <f>HYPERLINK("https://www.sds-group.ru/product/provod-pugv-pv-3-6-mm-200-m-belyy-gost-31947-2012-tu-16-705-501-2010-01-8621-1/", "Инфо")</f>
        <v>Инфо</v>
      </c>
      <c r="F1239" s="16" t="s">
        <v>1767</v>
      </c>
      <c r="G1239" s="15"/>
      <c r="H1239" s="15"/>
      <c r="I1239" s="15" t="s">
        <v>2441</v>
      </c>
      <c r="J1239" s="16" t="s">
        <v>100</v>
      </c>
      <c r="K1239" s="15"/>
      <c r="L1239" s="17">
        <v>200</v>
      </c>
      <c r="M1239" s="17">
        <v>200</v>
      </c>
      <c r="N1239" s="17">
        <v>200</v>
      </c>
      <c r="O1239" s="18">
        <v>177.92</v>
      </c>
      <c r="P1239" s="18">
        <v>145.84</v>
      </c>
      <c r="Q1239" s="18">
        <v>151.22999999999999</v>
      </c>
      <c r="R1239" s="18">
        <v>123.96</v>
      </c>
      <c r="S1239" s="18">
        <v>120.99</v>
      </c>
      <c r="T1239" s="18">
        <v>99.17</v>
      </c>
      <c r="U1239" s="16"/>
      <c r="V1239" s="16"/>
      <c r="W1239" s="16" t="s">
        <v>40</v>
      </c>
      <c r="X1239" s="19">
        <v>6.8000000000000005E-2</v>
      </c>
      <c r="Y1239" s="20">
        <v>4.8000000000000001E-5</v>
      </c>
      <c r="Z1239" s="21">
        <v>4631163484237</v>
      </c>
    </row>
    <row r="1240" spans="1:26" ht="12" customHeight="1" outlineLevel="4" x14ac:dyDescent="0.2">
      <c r="A1240" s="14" t="s">
        <v>2442</v>
      </c>
      <c r="B1240" s="26" t="s">
        <v>2443</v>
      </c>
      <c r="C1240" s="52"/>
      <c r="D1240" s="55">
        <f t="shared" si="19"/>
        <v>0</v>
      </c>
      <c r="E1240" s="63" t="str">
        <f>HYPERLINK("https://www.sds-group.ru/product/provod-pugv-pv-3-6-mm-200-m-zh-z-gost-31947-2012-tu-16-705-501-2010-01-8621-3/", "Инфо")</f>
        <v>Инфо</v>
      </c>
      <c r="F1240" s="16" t="s">
        <v>1767</v>
      </c>
      <c r="G1240" s="15"/>
      <c r="H1240" s="15"/>
      <c r="I1240" s="15"/>
      <c r="J1240" s="17">
        <v>600</v>
      </c>
      <c r="K1240" s="15"/>
      <c r="L1240" s="17">
        <v>200</v>
      </c>
      <c r="M1240" s="17">
        <v>200</v>
      </c>
      <c r="N1240" s="17">
        <v>200</v>
      </c>
      <c r="O1240" s="18">
        <v>186.48</v>
      </c>
      <c r="P1240" s="18">
        <v>152.85</v>
      </c>
      <c r="Q1240" s="18">
        <v>158.51</v>
      </c>
      <c r="R1240" s="18">
        <v>129.93</v>
      </c>
      <c r="S1240" s="18">
        <v>126.81</v>
      </c>
      <c r="T1240" s="18">
        <v>103.94</v>
      </c>
      <c r="U1240" s="16"/>
      <c r="V1240" s="16"/>
      <c r="W1240" s="16" t="s">
        <v>40</v>
      </c>
      <c r="X1240" s="19">
        <v>6.4000000000000001E-2</v>
      </c>
      <c r="Y1240" s="20">
        <v>4.8000000000000001E-5</v>
      </c>
      <c r="Z1240" s="21">
        <v>4631163484596</v>
      </c>
    </row>
    <row r="1241" spans="1:26" ht="12" customHeight="1" outlineLevel="4" x14ac:dyDescent="0.2">
      <c r="A1241" s="14" t="s">
        <v>2444</v>
      </c>
      <c r="B1241" s="26" t="s">
        <v>2445</v>
      </c>
      <c r="C1241" s="52"/>
      <c r="D1241" s="55">
        <f t="shared" si="19"/>
        <v>0</v>
      </c>
      <c r="E1241" s="63" t="str">
        <f>HYPERLINK("https://www.sds-group.ru/product/provod-pugv-pv-3-6-mm-200-m-siniy-gost-31947-2012-tu-16-705-501-2010-01-8621-2/", "Инфо")</f>
        <v>Инфо</v>
      </c>
      <c r="F1241" s="16" t="s">
        <v>1767</v>
      </c>
      <c r="G1241" s="15"/>
      <c r="H1241" s="15"/>
      <c r="I1241" s="15" t="s">
        <v>2441</v>
      </c>
      <c r="J1241" s="16" t="s">
        <v>100</v>
      </c>
      <c r="K1241" s="15"/>
      <c r="L1241" s="17">
        <v>200</v>
      </c>
      <c r="M1241" s="17">
        <v>200</v>
      </c>
      <c r="N1241" s="17">
        <v>200</v>
      </c>
      <c r="O1241" s="18">
        <v>177.92</v>
      </c>
      <c r="P1241" s="18">
        <v>145.84</v>
      </c>
      <c r="Q1241" s="18">
        <v>151.22999999999999</v>
      </c>
      <c r="R1241" s="18">
        <v>123.96</v>
      </c>
      <c r="S1241" s="18">
        <v>120.99</v>
      </c>
      <c r="T1241" s="18">
        <v>99.17</v>
      </c>
      <c r="U1241" s="16"/>
      <c r="V1241" s="16"/>
      <c r="W1241" s="16" t="s">
        <v>40</v>
      </c>
      <c r="X1241" s="19">
        <v>7.0000000000000007E-2</v>
      </c>
      <c r="Y1241" s="20">
        <v>6.2000000000000003E-5</v>
      </c>
      <c r="Z1241" s="21">
        <v>4631163484329</v>
      </c>
    </row>
    <row r="1242" spans="1:26" ht="12.95" customHeight="1" outlineLevel="3" x14ac:dyDescent="0.2">
      <c r="A1242" s="82" t="s">
        <v>2446</v>
      </c>
      <c r="B1242" s="82"/>
      <c r="C1242" s="83"/>
      <c r="D1242" s="59"/>
      <c r="E1242" s="69"/>
      <c r="F1242" s="23"/>
      <c r="G1242" s="23"/>
      <c r="H1242" s="23"/>
      <c r="I1242" s="23"/>
      <c r="J1242" s="23"/>
      <c r="K1242" s="23"/>
      <c r="L1242" s="23"/>
      <c r="M1242" s="23"/>
      <c r="N1242" s="23"/>
      <c r="O1242" s="23"/>
      <c r="P1242" s="23"/>
      <c r="Q1242" s="23"/>
      <c r="R1242" s="23"/>
      <c r="S1242" s="23"/>
      <c r="T1242" s="23"/>
      <c r="U1242" s="23"/>
      <c r="V1242" s="23"/>
      <c r="W1242" s="23"/>
      <c r="X1242" s="23"/>
      <c r="Y1242" s="23"/>
      <c r="Z1242" s="23"/>
    </row>
    <row r="1243" spans="1:26" ht="12" customHeight="1" outlineLevel="4" x14ac:dyDescent="0.2">
      <c r="A1243" s="14" t="s">
        <v>2447</v>
      </c>
      <c r="B1243" s="26" t="s">
        <v>2448</v>
      </c>
      <c r="C1243" s="52"/>
      <c r="D1243" s="55">
        <f t="shared" si="19"/>
        <v>0</v>
      </c>
      <c r="E1243" s="63" t="str">
        <f>HYPERLINK("https://www.sds-group.ru/product/provod-pbgvv-pugsp-2x1-5-mm-100-m-gost-26445-85-tu-3551-021-38229892-2017-01-8350-1/", "Инфо")</f>
        <v>Инфо</v>
      </c>
      <c r="F1243" s="16" t="s">
        <v>1767</v>
      </c>
      <c r="G1243" s="15"/>
      <c r="H1243" s="15"/>
      <c r="I1243" s="15"/>
      <c r="J1243" s="22">
        <v>3600</v>
      </c>
      <c r="K1243" s="15"/>
      <c r="L1243" s="17">
        <v>100</v>
      </c>
      <c r="M1243" s="17">
        <v>100</v>
      </c>
      <c r="N1243" s="17">
        <v>100</v>
      </c>
      <c r="O1243" s="18">
        <v>99.14</v>
      </c>
      <c r="P1243" s="18">
        <v>81.260000000000005</v>
      </c>
      <c r="Q1243" s="18">
        <v>84.27</v>
      </c>
      <c r="R1243" s="18">
        <v>69.069999999999993</v>
      </c>
      <c r="S1243" s="18">
        <v>67.42</v>
      </c>
      <c r="T1243" s="18">
        <v>55.26</v>
      </c>
      <c r="U1243" s="16"/>
      <c r="V1243" s="16"/>
      <c r="W1243" s="16" t="s">
        <v>40</v>
      </c>
      <c r="X1243" s="19">
        <v>6.4000000000000001E-2</v>
      </c>
      <c r="Y1243" s="20">
        <v>7.7999999999999999E-5</v>
      </c>
      <c r="Z1243" s="21">
        <v>4631137045532</v>
      </c>
    </row>
    <row r="1244" spans="1:26" ht="12" customHeight="1" outlineLevel="4" x14ac:dyDescent="0.2">
      <c r="A1244" s="14" t="s">
        <v>2449</v>
      </c>
      <c r="B1244" s="26" t="s">
        <v>2450</v>
      </c>
      <c r="C1244" s="52"/>
      <c r="D1244" s="55">
        <f t="shared" si="19"/>
        <v>0</v>
      </c>
      <c r="E1244" s="63" t="str">
        <f>HYPERLINK("https://www.sds-group.ru/product/provod-pbgvv-pugsp-3x1-5-mm-sup2-100-m-gost-26445-85-tu-3551-021-38229892-2017-10822/", "Инфо")</f>
        <v>Инфо</v>
      </c>
      <c r="F1244" s="16" t="s">
        <v>1767</v>
      </c>
      <c r="G1244" s="15"/>
      <c r="H1244" s="15"/>
      <c r="I1244" s="15"/>
      <c r="J1244" s="22">
        <v>1000</v>
      </c>
      <c r="K1244" s="15"/>
      <c r="L1244" s="17">
        <v>100</v>
      </c>
      <c r="M1244" s="17">
        <v>100</v>
      </c>
      <c r="N1244" s="17">
        <v>100</v>
      </c>
      <c r="O1244" s="18">
        <v>146.55000000000001</v>
      </c>
      <c r="P1244" s="18">
        <v>120.12</v>
      </c>
      <c r="Q1244" s="18">
        <v>124.57</v>
      </c>
      <c r="R1244" s="18">
        <v>102.11</v>
      </c>
      <c r="S1244" s="18">
        <v>99.65</v>
      </c>
      <c r="T1244" s="18">
        <v>81.680000000000007</v>
      </c>
      <c r="U1244" s="16"/>
      <c r="V1244" s="16"/>
      <c r="W1244" s="16" t="s">
        <v>40</v>
      </c>
      <c r="X1244" s="19">
        <v>8.6999999999999994E-2</v>
      </c>
      <c r="Y1244" s="20">
        <v>1.27E-4</v>
      </c>
      <c r="Z1244" s="21">
        <v>4631137045563</v>
      </c>
    </row>
    <row r="1245" spans="1:26" ht="12" customHeight="1" outlineLevel="4" x14ac:dyDescent="0.2">
      <c r="A1245" s="14" t="s">
        <v>2451</v>
      </c>
      <c r="B1245" s="26" t="s">
        <v>2452</v>
      </c>
      <c r="C1245" s="52"/>
      <c r="D1245" s="55">
        <f t="shared" si="19"/>
        <v>0</v>
      </c>
      <c r="E1245" s="63" t="str">
        <f>HYPERLINK("https://www.sds-group.ru/product/provod-pbgvv-pugsp-3x2-5-mm-100-m-gost-26445-85-tu-3551-021-38229892-2017-01-8353-1/", "Инфо")</f>
        <v>Инфо</v>
      </c>
      <c r="F1245" s="16" t="s">
        <v>1767</v>
      </c>
      <c r="G1245" s="15"/>
      <c r="H1245" s="15"/>
      <c r="I1245" s="15"/>
      <c r="J1245" s="17">
        <v>400</v>
      </c>
      <c r="K1245" s="15"/>
      <c r="L1245" s="17">
        <v>100</v>
      </c>
      <c r="M1245" s="17">
        <v>100</v>
      </c>
      <c r="N1245" s="17">
        <v>100</v>
      </c>
      <c r="O1245" s="18">
        <v>205.87</v>
      </c>
      <c r="P1245" s="18">
        <v>168.75</v>
      </c>
      <c r="Q1245" s="18">
        <v>174.99</v>
      </c>
      <c r="R1245" s="18">
        <v>143.43</v>
      </c>
      <c r="S1245" s="18">
        <v>139.99</v>
      </c>
      <c r="T1245" s="18">
        <v>114.75</v>
      </c>
      <c r="U1245" s="16"/>
      <c r="V1245" s="16"/>
      <c r="W1245" s="16" t="s">
        <v>40</v>
      </c>
      <c r="X1245" s="19">
        <v>0.128</v>
      </c>
      <c r="Y1245" s="20">
        <v>1.27E-4</v>
      </c>
      <c r="Z1245" s="21">
        <v>4631137045570</v>
      </c>
    </row>
    <row r="1246" spans="1:26" ht="12.95" customHeight="1" outlineLevel="2" x14ac:dyDescent="0.2">
      <c r="A1246" s="76" t="s">
        <v>2453</v>
      </c>
      <c r="B1246" s="76"/>
      <c r="C1246" s="77"/>
      <c r="D1246" s="58"/>
      <c r="E1246" s="68"/>
      <c r="F1246" s="13"/>
      <c r="G1246" s="13"/>
      <c r="H1246" s="13"/>
      <c r="I1246" s="13"/>
      <c r="J1246" s="13"/>
      <c r="K1246" s="13"/>
      <c r="L1246" s="13"/>
      <c r="M1246" s="13"/>
      <c r="N1246" s="13"/>
      <c r="O1246" s="13"/>
      <c r="P1246" s="13"/>
      <c r="Q1246" s="13"/>
      <c r="R1246" s="13"/>
      <c r="S1246" s="13"/>
      <c r="T1246" s="13"/>
      <c r="U1246" s="13"/>
      <c r="V1246" s="13"/>
      <c r="W1246" s="13"/>
      <c r="X1246" s="13"/>
      <c r="Y1246" s="13"/>
      <c r="Z1246" s="13"/>
    </row>
    <row r="1247" spans="1:26" ht="12.95" customHeight="1" outlineLevel="3" x14ac:dyDescent="0.2">
      <c r="A1247" s="82" t="s">
        <v>2454</v>
      </c>
      <c r="B1247" s="82"/>
      <c r="C1247" s="83"/>
      <c r="D1247" s="59"/>
      <c r="E1247" s="69"/>
      <c r="F1247" s="23"/>
      <c r="G1247" s="23"/>
      <c r="H1247" s="23"/>
      <c r="I1247" s="23"/>
      <c r="J1247" s="23"/>
      <c r="K1247" s="23"/>
      <c r="L1247" s="23"/>
      <c r="M1247" s="23"/>
      <c r="N1247" s="23"/>
      <c r="O1247" s="23"/>
      <c r="P1247" s="23"/>
      <c r="Q1247" s="23"/>
      <c r="R1247" s="23"/>
      <c r="S1247" s="23"/>
      <c r="T1247" s="23"/>
      <c r="U1247" s="23"/>
      <c r="V1247" s="23"/>
      <c r="W1247" s="23"/>
      <c r="X1247" s="23"/>
      <c r="Y1247" s="23"/>
      <c r="Z1247" s="23"/>
    </row>
    <row r="1248" spans="1:26" ht="12" customHeight="1" outlineLevel="4" x14ac:dyDescent="0.2">
      <c r="A1248" s="14" t="s">
        <v>2455</v>
      </c>
      <c r="B1248" s="26" t="s">
        <v>2456</v>
      </c>
      <c r="C1248" s="52"/>
      <c r="D1248" s="55">
        <f t="shared" si="19"/>
        <v>0</v>
      </c>
      <c r="E1248" s="63" t="str">
        <f>HYPERLINK("https://www.sds-group.ru/product/provod-soedinitelnyy-pvs-2x0-75-mm-belyy-dlina-10-metrov-gost-7399-97-rexant-01-8030-10/", "Инфо")</f>
        <v>Инфо</v>
      </c>
      <c r="F1248" s="16" t="s">
        <v>1887</v>
      </c>
      <c r="G1248" s="15"/>
      <c r="H1248" s="15"/>
      <c r="I1248" s="15"/>
      <c r="J1248" s="16" t="s">
        <v>100</v>
      </c>
      <c r="K1248" s="15"/>
      <c r="L1248" s="17">
        <v>1</v>
      </c>
      <c r="M1248" s="17">
        <v>12</v>
      </c>
      <c r="N1248" s="17">
        <v>1</v>
      </c>
      <c r="O1248" s="18">
        <v>946.51</v>
      </c>
      <c r="P1248" s="18">
        <v>775.83</v>
      </c>
      <c r="Q1248" s="18">
        <v>709.88</v>
      </c>
      <c r="R1248" s="18">
        <v>581.87</v>
      </c>
      <c r="S1248" s="18">
        <v>643.63</v>
      </c>
      <c r="T1248" s="18">
        <v>527.57000000000005</v>
      </c>
      <c r="U1248" s="16"/>
      <c r="V1248" s="16"/>
      <c r="W1248" s="16" t="s">
        <v>40</v>
      </c>
      <c r="X1248" s="19">
        <v>0.61399999999999999</v>
      </c>
      <c r="Y1248" s="20">
        <v>1.836E-3</v>
      </c>
      <c r="Z1248" s="21">
        <v>4601004119871</v>
      </c>
    </row>
    <row r="1249" spans="1:26" ht="12" customHeight="1" outlineLevel="4" x14ac:dyDescent="0.2">
      <c r="A1249" s="14" t="s">
        <v>2457</v>
      </c>
      <c r="B1249" s="26" t="s">
        <v>2458</v>
      </c>
      <c r="C1249" s="52"/>
      <c r="D1249" s="55">
        <f t="shared" si="19"/>
        <v>0</v>
      </c>
      <c r="E1249" s="63" t="str">
        <f>HYPERLINK("https://www.sds-group.ru/product/provod-soedinitelnyy-pvs-2x0-75-mm-belyy-dlina-20-metrov-gost-7399-97-rexant-01-8030-20/", "Инфо")</f>
        <v>Инфо</v>
      </c>
      <c r="F1249" s="16" t="s">
        <v>1887</v>
      </c>
      <c r="G1249" s="15"/>
      <c r="H1249" s="15"/>
      <c r="I1249" s="15"/>
      <c r="J1249" s="17">
        <v>41</v>
      </c>
      <c r="K1249" s="15"/>
      <c r="L1249" s="17">
        <v>1</v>
      </c>
      <c r="M1249" s="17">
        <v>10</v>
      </c>
      <c r="N1249" s="17">
        <v>1</v>
      </c>
      <c r="O1249" s="18">
        <v>1505.87</v>
      </c>
      <c r="P1249" s="18">
        <v>1234.32</v>
      </c>
      <c r="Q1249" s="18">
        <v>1129.4000000000001</v>
      </c>
      <c r="R1249" s="18">
        <v>925.74</v>
      </c>
      <c r="S1249" s="18">
        <v>1023.99</v>
      </c>
      <c r="T1249" s="18">
        <v>839.34</v>
      </c>
      <c r="U1249" s="16"/>
      <c r="V1249" s="16"/>
      <c r="W1249" s="16" t="s">
        <v>40</v>
      </c>
      <c r="X1249" s="19">
        <v>1.151</v>
      </c>
      <c r="Y1249" s="20">
        <v>1.9610000000000001E-3</v>
      </c>
      <c r="Z1249" s="21">
        <v>4601004119888</v>
      </c>
    </row>
    <row r="1250" spans="1:26" ht="12" customHeight="1" outlineLevel="4" x14ac:dyDescent="0.2">
      <c r="A1250" s="14" t="s">
        <v>2459</v>
      </c>
      <c r="B1250" s="26" t="s">
        <v>2460</v>
      </c>
      <c r="C1250" s="52"/>
      <c r="D1250" s="55">
        <f t="shared" si="19"/>
        <v>0</v>
      </c>
      <c r="E1250" s="63" t="str">
        <f>HYPERLINK("https://www.sds-group.ru/product/provod-soedinitelnyy-pvs-2x0-75-mm-belyy-dlina-5-metrov-gost-7399-97-rexant-01-8030-5/", "Инфо")</f>
        <v>Инфо</v>
      </c>
      <c r="F1250" s="16" t="s">
        <v>1887</v>
      </c>
      <c r="G1250" s="15"/>
      <c r="H1250" s="15"/>
      <c r="I1250" s="15"/>
      <c r="J1250" s="17">
        <v>284</v>
      </c>
      <c r="K1250" s="15"/>
      <c r="L1250" s="17">
        <v>5</v>
      </c>
      <c r="M1250" s="17">
        <v>1</v>
      </c>
      <c r="N1250" s="17">
        <v>5</v>
      </c>
      <c r="O1250" s="18">
        <v>469.95</v>
      </c>
      <c r="P1250" s="18">
        <v>385.2</v>
      </c>
      <c r="Q1250" s="18">
        <v>352.46</v>
      </c>
      <c r="R1250" s="18">
        <v>288.89999999999998</v>
      </c>
      <c r="S1250" s="18">
        <v>319.57</v>
      </c>
      <c r="T1250" s="18">
        <v>261.94</v>
      </c>
      <c r="U1250" s="16"/>
      <c r="V1250" s="16"/>
      <c r="W1250" s="16" t="s">
        <v>40</v>
      </c>
      <c r="X1250" s="19">
        <v>0.27500000000000002</v>
      </c>
      <c r="Y1250" s="20">
        <v>1.7080000000000001E-3</v>
      </c>
      <c r="Z1250" s="21">
        <v>4601004119864</v>
      </c>
    </row>
    <row r="1251" spans="1:26" ht="12" customHeight="1" outlineLevel="4" x14ac:dyDescent="0.2">
      <c r="A1251" s="14" t="s">
        <v>2461</v>
      </c>
      <c r="B1251" s="26" t="s">
        <v>2462</v>
      </c>
      <c r="C1251" s="52"/>
      <c r="D1251" s="55">
        <f t="shared" si="19"/>
        <v>0</v>
      </c>
      <c r="E1251" s="63" t="str">
        <f>HYPERLINK("https://www.sds-group.ru/product/provod-soedinitelnyy-pvs-2x0-75-mm-belyy-dlina-50-metrov-gost-7399-97-rexant-01-8030-50/", "Инфо")</f>
        <v>Инфо</v>
      </c>
      <c r="F1251" s="16" t="s">
        <v>1887</v>
      </c>
      <c r="G1251" s="15"/>
      <c r="H1251" s="15"/>
      <c r="I1251" s="15"/>
      <c r="J1251" s="17">
        <v>6</v>
      </c>
      <c r="K1251" s="15"/>
      <c r="L1251" s="17">
        <v>1</v>
      </c>
      <c r="M1251" s="17">
        <v>1</v>
      </c>
      <c r="N1251" s="17">
        <v>1</v>
      </c>
      <c r="O1251" s="18">
        <v>3779.81</v>
      </c>
      <c r="P1251" s="18">
        <v>3098.2</v>
      </c>
      <c r="Q1251" s="18">
        <v>2910.45</v>
      </c>
      <c r="R1251" s="18">
        <v>2385.61</v>
      </c>
      <c r="S1251" s="18">
        <v>2570.27</v>
      </c>
      <c r="T1251" s="18">
        <v>2106.7800000000002</v>
      </c>
      <c r="U1251" s="16"/>
      <c r="V1251" s="16"/>
      <c r="W1251" s="16" t="s">
        <v>40</v>
      </c>
      <c r="X1251" s="19">
        <v>2.8260000000000001</v>
      </c>
      <c r="Y1251" s="20">
        <v>3.2690000000000002E-3</v>
      </c>
      <c r="Z1251" s="21">
        <v>4601004119895</v>
      </c>
    </row>
    <row r="1252" spans="1:26" ht="12" customHeight="1" outlineLevel="4" x14ac:dyDescent="0.2">
      <c r="A1252" s="14" t="s">
        <v>2463</v>
      </c>
      <c r="B1252" s="26" t="s">
        <v>2464</v>
      </c>
      <c r="C1252" s="52"/>
      <c r="D1252" s="55">
        <f t="shared" si="19"/>
        <v>0</v>
      </c>
      <c r="E1252" s="63" t="str">
        <f>HYPERLINK("https://www.sds-group.ru/product/provod-soedinitelnyy-pvs-2x0-75-mm-chernyy-dlina-10-metrov-gost-7399-97-rexant-01-8031-10/", "Инфо")</f>
        <v>Инфо</v>
      </c>
      <c r="F1252" s="16" t="s">
        <v>1887</v>
      </c>
      <c r="G1252" s="15"/>
      <c r="H1252" s="15"/>
      <c r="I1252" s="15"/>
      <c r="J1252" s="17">
        <v>8</v>
      </c>
      <c r="K1252" s="15"/>
      <c r="L1252" s="17">
        <v>1</v>
      </c>
      <c r="M1252" s="17">
        <v>15</v>
      </c>
      <c r="N1252" s="17">
        <v>1</v>
      </c>
      <c r="O1252" s="18">
        <v>751.47</v>
      </c>
      <c r="P1252" s="18">
        <v>615.96</v>
      </c>
      <c r="Q1252" s="18">
        <v>526.03</v>
      </c>
      <c r="R1252" s="18">
        <v>431.17</v>
      </c>
      <c r="S1252" s="18">
        <v>511</v>
      </c>
      <c r="T1252" s="18">
        <v>418.85</v>
      </c>
      <c r="U1252" s="16"/>
      <c r="V1252" s="16"/>
      <c r="W1252" s="16"/>
      <c r="X1252" s="19">
        <v>0.54</v>
      </c>
      <c r="Y1252" s="20">
        <v>1.2520000000000001E-3</v>
      </c>
      <c r="Z1252" s="21">
        <v>2000321664248</v>
      </c>
    </row>
    <row r="1253" spans="1:26" ht="12" customHeight="1" outlineLevel="4" x14ac:dyDescent="0.2">
      <c r="A1253" s="14" t="s">
        <v>2465</v>
      </c>
      <c r="B1253" s="26" t="s">
        <v>2466</v>
      </c>
      <c r="C1253" s="52"/>
      <c r="D1253" s="55">
        <f t="shared" si="19"/>
        <v>0</v>
      </c>
      <c r="E1253" s="63" t="str">
        <f>HYPERLINK("https://www.sds-group.ru/product/provod-soedinitelnyy-pvs-2x0-75-mm-chernyy-dlina-20-metrov-gost-7399-97-rexant-01-8031-20/", "Инфо")</f>
        <v>Инфо</v>
      </c>
      <c r="F1253" s="16" t="s">
        <v>1887</v>
      </c>
      <c r="G1253" s="15"/>
      <c r="H1253" s="15"/>
      <c r="I1253" s="15"/>
      <c r="J1253" s="17">
        <v>164</v>
      </c>
      <c r="K1253" s="15"/>
      <c r="L1253" s="17">
        <v>1</v>
      </c>
      <c r="M1253" s="17">
        <v>12</v>
      </c>
      <c r="N1253" s="17">
        <v>1</v>
      </c>
      <c r="O1253" s="18">
        <v>1237.1400000000001</v>
      </c>
      <c r="P1253" s="18">
        <v>1014.05</v>
      </c>
      <c r="Q1253" s="18">
        <v>977.34</v>
      </c>
      <c r="R1253" s="18">
        <v>801.1</v>
      </c>
      <c r="S1253" s="18">
        <v>841.26</v>
      </c>
      <c r="T1253" s="18">
        <v>689.56</v>
      </c>
      <c r="U1253" s="16"/>
      <c r="V1253" s="16"/>
      <c r="W1253" s="16" t="s">
        <v>40</v>
      </c>
      <c r="X1253" s="19">
        <v>1.1679999999999999</v>
      </c>
      <c r="Y1253" s="20">
        <v>1.4989999999999999E-3</v>
      </c>
      <c r="Z1253" s="21">
        <v>2000321664255</v>
      </c>
    </row>
    <row r="1254" spans="1:26" ht="12" customHeight="1" outlineLevel="4" x14ac:dyDescent="0.2">
      <c r="A1254" s="14" t="s">
        <v>2467</v>
      </c>
      <c r="B1254" s="26" t="s">
        <v>2468</v>
      </c>
      <c r="C1254" s="52"/>
      <c r="D1254" s="55">
        <f t="shared" si="19"/>
        <v>0</v>
      </c>
      <c r="E1254" s="63" t="str">
        <f>HYPERLINK("https://www.sds-group.ru/product/provod-soedinitelnyy-pvs-2x0-75-mm-chernyy-dlina-5-metrov-gost-7399-97-rexant-01-8031-5/", "Инфо")</f>
        <v>Инфо</v>
      </c>
      <c r="F1254" s="16" t="s">
        <v>1887</v>
      </c>
      <c r="G1254" s="15"/>
      <c r="H1254" s="15"/>
      <c r="I1254" s="15"/>
      <c r="J1254" s="17">
        <v>344</v>
      </c>
      <c r="K1254" s="15"/>
      <c r="L1254" s="17">
        <v>5</v>
      </c>
      <c r="M1254" s="17">
        <v>20</v>
      </c>
      <c r="N1254" s="17">
        <v>5</v>
      </c>
      <c r="O1254" s="18">
        <v>453.66</v>
      </c>
      <c r="P1254" s="18">
        <v>371.85</v>
      </c>
      <c r="Q1254" s="18">
        <v>317.56</v>
      </c>
      <c r="R1254" s="18">
        <v>260.3</v>
      </c>
      <c r="S1254" s="18">
        <v>308.49</v>
      </c>
      <c r="T1254" s="18">
        <v>252.86</v>
      </c>
      <c r="U1254" s="16"/>
      <c r="V1254" s="16"/>
      <c r="W1254" s="16"/>
      <c r="X1254" s="19">
        <v>0.29799999999999999</v>
      </c>
      <c r="Y1254" s="20">
        <v>1.0920000000000001E-3</v>
      </c>
      <c r="Z1254" s="21">
        <v>2000321664231</v>
      </c>
    </row>
    <row r="1255" spans="1:26" ht="12" customHeight="1" outlineLevel="4" x14ac:dyDescent="0.2">
      <c r="A1255" s="14" t="s">
        <v>2469</v>
      </c>
      <c r="B1255" s="26" t="s">
        <v>2470</v>
      </c>
      <c r="C1255" s="52"/>
      <c r="D1255" s="55">
        <f t="shared" si="19"/>
        <v>0</v>
      </c>
      <c r="E1255" s="63" t="str">
        <f>HYPERLINK("https://www.sds-group.ru/product/provod-soedinitelnyy-pvs-2x0-75-mm-chernyy-dlina-50-metrov-gost-7399-97-rexant-01-8031-50/", "Инфо")</f>
        <v>Инфо</v>
      </c>
      <c r="F1255" s="16" t="s">
        <v>1887</v>
      </c>
      <c r="G1255" s="15"/>
      <c r="H1255" s="15"/>
      <c r="I1255" s="15"/>
      <c r="J1255" s="17">
        <v>24</v>
      </c>
      <c r="K1255" s="15"/>
      <c r="L1255" s="17">
        <v>1</v>
      </c>
      <c r="M1255" s="17">
        <v>1</v>
      </c>
      <c r="N1255" s="17">
        <v>1</v>
      </c>
      <c r="O1255" s="18">
        <v>3078.7</v>
      </c>
      <c r="P1255" s="18">
        <v>2523.52</v>
      </c>
      <c r="Q1255" s="18">
        <v>2370.6</v>
      </c>
      <c r="R1255" s="18">
        <v>1943.11</v>
      </c>
      <c r="S1255" s="18">
        <v>2093.52</v>
      </c>
      <c r="T1255" s="18">
        <v>1716</v>
      </c>
      <c r="U1255" s="16"/>
      <c r="V1255" s="16"/>
      <c r="W1255" s="16" t="s">
        <v>40</v>
      </c>
      <c r="X1255" s="19">
        <v>3.286</v>
      </c>
      <c r="Y1255" s="20">
        <v>3.6830000000000001E-3</v>
      </c>
      <c r="Z1255" s="21">
        <v>4601004331662</v>
      </c>
    </row>
    <row r="1256" spans="1:26" ht="12" customHeight="1" outlineLevel="4" x14ac:dyDescent="0.2">
      <c r="A1256" s="14" t="s">
        <v>2471</v>
      </c>
      <c r="B1256" s="26" t="s">
        <v>2472</v>
      </c>
      <c r="C1256" s="52"/>
      <c r="D1256" s="55">
        <f t="shared" si="19"/>
        <v>0</v>
      </c>
      <c r="E1256" s="63" t="str">
        <f>HYPERLINK("https://www.sds-group.ru/product/provod-soedinitelnyy-pvs-2x1-0-mm-belyy-dlina-10-metrov-gost-7399-97-rexant-01-8032-10/", "Инфо")</f>
        <v>Инфо</v>
      </c>
      <c r="F1256" s="16" t="s">
        <v>1887</v>
      </c>
      <c r="G1256" s="15"/>
      <c r="H1256" s="15"/>
      <c r="I1256" s="15"/>
      <c r="J1256" s="17">
        <v>43</v>
      </c>
      <c r="K1256" s="15"/>
      <c r="L1256" s="17">
        <v>1</v>
      </c>
      <c r="M1256" s="17">
        <v>12</v>
      </c>
      <c r="N1256" s="17">
        <v>1</v>
      </c>
      <c r="O1256" s="18">
        <v>963.21</v>
      </c>
      <c r="P1256" s="18">
        <v>789.52</v>
      </c>
      <c r="Q1256" s="18">
        <v>674.25</v>
      </c>
      <c r="R1256" s="18">
        <v>552.66</v>
      </c>
      <c r="S1256" s="18">
        <v>654.98</v>
      </c>
      <c r="T1256" s="18">
        <v>536.87</v>
      </c>
      <c r="U1256" s="16"/>
      <c r="V1256" s="16"/>
      <c r="W1256" s="16"/>
      <c r="X1256" s="19">
        <v>0.65600000000000003</v>
      </c>
      <c r="Y1256" s="20">
        <v>1.0629999999999999E-3</v>
      </c>
      <c r="Z1256" s="21">
        <v>2000321664286</v>
      </c>
    </row>
    <row r="1257" spans="1:26" ht="12" customHeight="1" outlineLevel="4" x14ac:dyDescent="0.2">
      <c r="A1257" s="14" t="s">
        <v>2473</v>
      </c>
      <c r="B1257" s="26" t="s">
        <v>2474</v>
      </c>
      <c r="C1257" s="52"/>
      <c r="D1257" s="55">
        <f t="shared" si="19"/>
        <v>0</v>
      </c>
      <c r="E1257" s="63" t="str">
        <f>HYPERLINK("https://www.sds-group.ru/product/provod-soedinitelnyy-pvs-2x1-0-mm-belyy-dlina-20-metrov-gost-7399-97-rexant-01-8032-20/", "Инфо")</f>
        <v>Инфо</v>
      </c>
      <c r="F1257" s="16" t="s">
        <v>1887</v>
      </c>
      <c r="G1257" s="15"/>
      <c r="H1257" s="15"/>
      <c r="I1257" s="15"/>
      <c r="J1257" s="17">
        <v>5</v>
      </c>
      <c r="K1257" s="15"/>
      <c r="L1257" s="17">
        <v>1</v>
      </c>
      <c r="M1257" s="17">
        <v>1</v>
      </c>
      <c r="N1257" s="17">
        <v>1</v>
      </c>
      <c r="O1257" s="18">
        <v>1516.71</v>
      </c>
      <c r="P1257" s="18">
        <v>1243.2</v>
      </c>
      <c r="Q1257" s="18">
        <v>1198.2</v>
      </c>
      <c r="R1257" s="18">
        <v>982.13</v>
      </c>
      <c r="S1257" s="18">
        <v>1031.3599999999999</v>
      </c>
      <c r="T1257" s="18">
        <v>845.38</v>
      </c>
      <c r="U1257" s="16"/>
      <c r="V1257" s="16"/>
      <c r="W1257" s="16" t="s">
        <v>40</v>
      </c>
      <c r="X1257" s="19">
        <v>1.284</v>
      </c>
      <c r="Y1257" s="20">
        <v>2.0149999999999999E-3</v>
      </c>
      <c r="Z1257" s="21">
        <v>2000321664293</v>
      </c>
    </row>
    <row r="1258" spans="1:26" ht="12" customHeight="1" outlineLevel="4" x14ac:dyDescent="0.2">
      <c r="A1258" s="14" t="s">
        <v>2475</v>
      </c>
      <c r="B1258" s="26" t="s">
        <v>2476</v>
      </c>
      <c r="C1258" s="52"/>
      <c r="D1258" s="55">
        <f t="shared" si="19"/>
        <v>0</v>
      </c>
      <c r="E1258" s="63" t="str">
        <f>HYPERLINK("https://www.sds-group.ru/product/provod-soedinitelnyy-pvs-2x1-0-mm-belyy-dlina-5-metrov-gost-7399-97-rexant-01-8032-5/", "Инфо")</f>
        <v>Инфо</v>
      </c>
      <c r="F1258" s="16" t="s">
        <v>1887</v>
      </c>
      <c r="G1258" s="15"/>
      <c r="H1258" s="15"/>
      <c r="I1258" s="15"/>
      <c r="J1258" s="17">
        <v>45</v>
      </c>
      <c r="K1258" s="15"/>
      <c r="L1258" s="17">
        <v>5</v>
      </c>
      <c r="M1258" s="17">
        <v>20</v>
      </c>
      <c r="N1258" s="17">
        <v>5</v>
      </c>
      <c r="O1258" s="18">
        <v>469.37</v>
      </c>
      <c r="P1258" s="18">
        <v>384.73</v>
      </c>
      <c r="Q1258" s="18">
        <v>398.96</v>
      </c>
      <c r="R1258" s="18">
        <v>327.02</v>
      </c>
      <c r="S1258" s="18">
        <v>319.17</v>
      </c>
      <c r="T1258" s="18">
        <v>261.61</v>
      </c>
      <c r="U1258" s="16"/>
      <c r="V1258" s="16"/>
      <c r="W1258" s="16" t="s">
        <v>40</v>
      </c>
      <c r="X1258" s="19">
        <v>0.32700000000000001</v>
      </c>
      <c r="Y1258" s="20">
        <v>7.0600000000000003E-4</v>
      </c>
      <c r="Z1258" s="21">
        <v>2000321664279</v>
      </c>
    </row>
    <row r="1259" spans="1:26" ht="12" customHeight="1" outlineLevel="4" x14ac:dyDescent="0.2">
      <c r="A1259" s="14" t="s">
        <v>2477</v>
      </c>
      <c r="B1259" s="26" t="s">
        <v>2478</v>
      </c>
      <c r="C1259" s="52"/>
      <c r="D1259" s="55">
        <f t="shared" si="19"/>
        <v>0</v>
      </c>
      <c r="E1259" s="63" t="str">
        <f>HYPERLINK("https://www.sds-group.ru/product/provod-soedinitelnyy-pvs-2x1-0-mm-belyy-dlina-50-metrov-gost-7399-97-rexant-01-8032-50/", "Инфо")</f>
        <v>Инфо</v>
      </c>
      <c r="F1259" s="16" t="s">
        <v>1887</v>
      </c>
      <c r="G1259" s="15"/>
      <c r="H1259" s="15"/>
      <c r="I1259" s="15"/>
      <c r="J1259" s="17">
        <v>10</v>
      </c>
      <c r="K1259" s="15"/>
      <c r="L1259" s="17">
        <v>1</v>
      </c>
      <c r="M1259" s="17">
        <v>1</v>
      </c>
      <c r="N1259" s="17">
        <v>1</v>
      </c>
      <c r="O1259" s="18">
        <v>3658.34</v>
      </c>
      <c r="P1259" s="18">
        <v>2998.64</v>
      </c>
      <c r="Q1259" s="18">
        <v>2926.67</v>
      </c>
      <c r="R1259" s="18">
        <v>2398.91</v>
      </c>
      <c r="S1259" s="18">
        <v>2487.67</v>
      </c>
      <c r="T1259" s="18">
        <v>2039.07</v>
      </c>
      <c r="U1259" s="16"/>
      <c r="V1259" s="16"/>
      <c r="W1259" s="16" t="s">
        <v>40</v>
      </c>
      <c r="X1259" s="19">
        <v>2.75</v>
      </c>
      <c r="Y1259" s="20">
        <v>3.4749999999999998E-3</v>
      </c>
      <c r="Z1259" s="21">
        <v>2000321664309</v>
      </c>
    </row>
    <row r="1260" spans="1:26" ht="12" customHeight="1" outlineLevel="4" x14ac:dyDescent="0.2">
      <c r="A1260" s="14" t="s">
        <v>2479</v>
      </c>
      <c r="B1260" s="26" t="s">
        <v>2480</v>
      </c>
      <c r="C1260" s="52"/>
      <c r="D1260" s="55">
        <f t="shared" si="19"/>
        <v>0</v>
      </c>
      <c r="E1260" s="63" t="str">
        <f>HYPERLINK("https://www.sds-group.ru/product/provod-soedinitelnyy-pvs-2x1-5-mm-belyy-dlina-10-metrov-gost-7399-97-rexant-01-8035-10/", "Инфо")</f>
        <v>Инфо</v>
      </c>
      <c r="F1260" s="16" t="s">
        <v>1887</v>
      </c>
      <c r="G1260" s="15"/>
      <c r="H1260" s="15"/>
      <c r="I1260" s="15"/>
      <c r="J1260" s="17">
        <v>14</v>
      </c>
      <c r="K1260" s="15"/>
      <c r="L1260" s="17">
        <v>1</v>
      </c>
      <c r="M1260" s="17">
        <v>15</v>
      </c>
      <c r="N1260" s="17">
        <v>1</v>
      </c>
      <c r="O1260" s="18">
        <v>1181.6600000000001</v>
      </c>
      <c r="P1260" s="18">
        <v>968.57</v>
      </c>
      <c r="Q1260" s="18">
        <v>945.33</v>
      </c>
      <c r="R1260" s="18">
        <v>774.86</v>
      </c>
      <c r="S1260" s="18">
        <v>803.53</v>
      </c>
      <c r="T1260" s="18">
        <v>658.63</v>
      </c>
      <c r="U1260" s="16"/>
      <c r="V1260" s="16"/>
      <c r="W1260" s="16" t="s">
        <v>40</v>
      </c>
      <c r="X1260" s="19">
        <v>0.82199999999999995</v>
      </c>
      <c r="Y1260" s="20">
        <v>1.067E-3</v>
      </c>
      <c r="Z1260" s="21">
        <v>4601004119918</v>
      </c>
    </row>
    <row r="1261" spans="1:26" ht="12" customHeight="1" outlineLevel="4" x14ac:dyDescent="0.2">
      <c r="A1261" s="14" t="s">
        <v>2481</v>
      </c>
      <c r="B1261" s="26" t="s">
        <v>2482</v>
      </c>
      <c r="C1261" s="52"/>
      <c r="D1261" s="55">
        <f t="shared" si="19"/>
        <v>0</v>
      </c>
      <c r="E1261" s="63" t="str">
        <f>HYPERLINK("https://www.sds-group.ru/product/provod-soedinitelnyy-pvs-2x1-5-mm-belyy-dlina-20-metrov-gost-7399-97-rexant-01-8035-20/", "Инфо")</f>
        <v>Инфо</v>
      </c>
      <c r="F1261" s="16" t="s">
        <v>1887</v>
      </c>
      <c r="G1261" s="15"/>
      <c r="H1261" s="15"/>
      <c r="I1261" s="15"/>
      <c r="J1261" s="17">
        <v>52</v>
      </c>
      <c r="K1261" s="15"/>
      <c r="L1261" s="17">
        <v>1</v>
      </c>
      <c r="M1261" s="17">
        <v>9</v>
      </c>
      <c r="N1261" s="17">
        <v>1</v>
      </c>
      <c r="O1261" s="18">
        <v>2324.39</v>
      </c>
      <c r="P1261" s="18">
        <v>1905.24</v>
      </c>
      <c r="Q1261" s="18">
        <v>1789.78</v>
      </c>
      <c r="R1261" s="18">
        <v>1467.03</v>
      </c>
      <c r="S1261" s="18">
        <v>1580.59</v>
      </c>
      <c r="T1261" s="18">
        <v>1295.57</v>
      </c>
      <c r="U1261" s="16"/>
      <c r="V1261" s="16"/>
      <c r="W1261" s="16" t="s">
        <v>40</v>
      </c>
      <c r="X1261" s="19">
        <v>1.639</v>
      </c>
      <c r="Y1261" s="20">
        <v>2.2279999999999999E-3</v>
      </c>
      <c r="Z1261" s="21">
        <v>4601004119925</v>
      </c>
    </row>
    <row r="1262" spans="1:26" ht="12" customHeight="1" outlineLevel="4" x14ac:dyDescent="0.2">
      <c r="A1262" s="14" t="s">
        <v>2483</v>
      </c>
      <c r="B1262" s="26" t="s">
        <v>2484</v>
      </c>
      <c r="C1262" s="52"/>
      <c r="D1262" s="55">
        <f t="shared" si="19"/>
        <v>0</v>
      </c>
      <c r="E1262" s="63" t="str">
        <f>HYPERLINK("https://www.sds-group.ru/product/provod-soedinitelnyy-pvs-2x1-5-mm-belyy-dlina-5-metrov-gost-7399-97-rexant-01-8035-5/", "Инфо")</f>
        <v>Инфо</v>
      </c>
      <c r="F1262" s="16" t="s">
        <v>1887</v>
      </c>
      <c r="G1262" s="15"/>
      <c r="H1262" s="15"/>
      <c r="I1262" s="15"/>
      <c r="J1262" s="17">
        <v>62</v>
      </c>
      <c r="K1262" s="15"/>
      <c r="L1262" s="17">
        <v>1</v>
      </c>
      <c r="M1262" s="17">
        <v>20</v>
      </c>
      <c r="N1262" s="17">
        <v>1</v>
      </c>
      <c r="O1262" s="18">
        <v>734.06</v>
      </c>
      <c r="P1262" s="18">
        <v>601.69000000000005</v>
      </c>
      <c r="Q1262" s="18">
        <v>587.25</v>
      </c>
      <c r="R1262" s="18">
        <v>481.35</v>
      </c>
      <c r="S1262" s="18">
        <v>499.16</v>
      </c>
      <c r="T1262" s="18">
        <v>409.15</v>
      </c>
      <c r="U1262" s="16"/>
      <c r="V1262" s="16"/>
      <c r="W1262" s="16" t="s">
        <v>40</v>
      </c>
      <c r="X1262" s="19">
        <v>0.42</v>
      </c>
      <c r="Y1262" s="20">
        <v>9.2100000000000005E-4</v>
      </c>
      <c r="Z1262" s="21">
        <v>4601004119901</v>
      </c>
    </row>
    <row r="1263" spans="1:26" ht="12" customHeight="1" outlineLevel="4" x14ac:dyDescent="0.2">
      <c r="A1263" s="14" t="s">
        <v>2485</v>
      </c>
      <c r="B1263" s="26" t="s">
        <v>2486</v>
      </c>
      <c r="C1263" s="52"/>
      <c r="D1263" s="55">
        <f t="shared" si="19"/>
        <v>0</v>
      </c>
      <c r="E1263" s="63" t="str">
        <f>HYPERLINK("https://www.sds-group.ru/product/provod-soedinitelnyy-pvs-2x1-5-mm-belyy-dlina-50-metrov-gost-7399-97-rexant-01-8035-50/", "Инфо")</f>
        <v>Инфо</v>
      </c>
      <c r="F1263" s="16" t="s">
        <v>1887</v>
      </c>
      <c r="G1263" s="15"/>
      <c r="H1263" s="15"/>
      <c r="I1263" s="15"/>
      <c r="J1263" s="17">
        <v>11</v>
      </c>
      <c r="K1263" s="15"/>
      <c r="L1263" s="17">
        <v>1</v>
      </c>
      <c r="M1263" s="17">
        <v>1</v>
      </c>
      <c r="N1263" s="17">
        <v>1</v>
      </c>
      <c r="O1263" s="18">
        <v>5243.4</v>
      </c>
      <c r="P1263" s="18">
        <v>4297.87</v>
      </c>
      <c r="Q1263" s="18">
        <v>4194.72</v>
      </c>
      <c r="R1263" s="18">
        <v>3438.3</v>
      </c>
      <c r="S1263" s="18">
        <v>3565.51</v>
      </c>
      <c r="T1263" s="18">
        <v>2922.55</v>
      </c>
      <c r="U1263" s="16"/>
      <c r="V1263" s="16"/>
      <c r="W1263" s="16" t="s">
        <v>40</v>
      </c>
      <c r="X1263" s="19">
        <v>4.1109999999999998</v>
      </c>
      <c r="Y1263" s="20">
        <v>4.6189999999999998E-3</v>
      </c>
      <c r="Z1263" s="21">
        <v>4601004119932</v>
      </c>
    </row>
    <row r="1264" spans="1:26" ht="12" customHeight="1" outlineLevel="4" x14ac:dyDescent="0.2">
      <c r="A1264" s="14" t="s">
        <v>2487</v>
      </c>
      <c r="B1264" s="26" t="s">
        <v>2488</v>
      </c>
      <c r="C1264" s="52"/>
      <c r="D1264" s="55">
        <f t="shared" si="19"/>
        <v>0</v>
      </c>
      <c r="E1264" s="63" t="str">
        <f>HYPERLINK("https://www.sds-group.ru/product/provod-soedinitelnyy-pvs-2x1-5-mm-chernyy-dlina-10-metrov-gost-7399-97-rexant-01-8033-10/", "Инфо")</f>
        <v>Инфо</v>
      </c>
      <c r="F1264" s="16" t="s">
        <v>1887</v>
      </c>
      <c r="G1264" s="15"/>
      <c r="H1264" s="15"/>
      <c r="I1264" s="15"/>
      <c r="J1264" s="17">
        <v>29</v>
      </c>
      <c r="K1264" s="15"/>
      <c r="L1264" s="17">
        <v>1</v>
      </c>
      <c r="M1264" s="17">
        <v>15</v>
      </c>
      <c r="N1264" s="17">
        <v>1</v>
      </c>
      <c r="O1264" s="18">
        <v>1268.1099999999999</v>
      </c>
      <c r="P1264" s="18">
        <v>1039.43</v>
      </c>
      <c r="Q1264" s="18">
        <v>1014.49</v>
      </c>
      <c r="R1264" s="18">
        <v>831.55</v>
      </c>
      <c r="S1264" s="18">
        <v>862.31</v>
      </c>
      <c r="T1264" s="18">
        <v>706.81</v>
      </c>
      <c r="U1264" s="16"/>
      <c r="V1264" s="16"/>
      <c r="W1264" s="16" t="s">
        <v>40</v>
      </c>
      <c r="X1264" s="19">
        <v>0.89100000000000001</v>
      </c>
      <c r="Y1264" s="20">
        <v>1.256E-3</v>
      </c>
      <c r="Z1264" s="21">
        <v>2000321664446</v>
      </c>
    </row>
    <row r="1265" spans="1:26" ht="12" customHeight="1" outlineLevel="4" x14ac:dyDescent="0.2">
      <c r="A1265" s="14" t="s">
        <v>2489</v>
      </c>
      <c r="B1265" s="26" t="s">
        <v>2490</v>
      </c>
      <c r="C1265" s="52"/>
      <c r="D1265" s="55">
        <f t="shared" si="19"/>
        <v>0</v>
      </c>
      <c r="E1265" s="63" t="str">
        <f>HYPERLINK("https://www.sds-group.ru/product/provod-soedinitelniy-pvs-2x1-5-mm-sup2-cherniy-dlina-20-metrov-gost-7399-97-rexant-21438/", "Инфо")</f>
        <v>Инфо</v>
      </c>
      <c r="F1265" s="16" t="s">
        <v>1887</v>
      </c>
      <c r="G1265" s="15"/>
      <c r="H1265" s="15"/>
      <c r="I1265" s="15"/>
      <c r="J1265" s="17">
        <v>40</v>
      </c>
      <c r="K1265" s="15"/>
      <c r="L1265" s="17">
        <v>1</v>
      </c>
      <c r="M1265" s="17">
        <v>1</v>
      </c>
      <c r="N1265" s="17">
        <v>1</v>
      </c>
      <c r="O1265" s="18">
        <v>1992.33</v>
      </c>
      <c r="P1265" s="18">
        <v>1633.06</v>
      </c>
      <c r="Q1265" s="18">
        <v>1534.09</v>
      </c>
      <c r="R1265" s="18">
        <v>1257.45</v>
      </c>
      <c r="S1265" s="18">
        <v>1354.78</v>
      </c>
      <c r="T1265" s="18">
        <v>1110.48</v>
      </c>
      <c r="U1265" s="16"/>
      <c r="V1265" s="16"/>
      <c r="W1265" s="16" t="s">
        <v>40</v>
      </c>
      <c r="X1265" s="19">
        <v>1.7</v>
      </c>
      <c r="Y1265" s="20">
        <v>2.601E-3</v>
      </c>
      <c r="Z1265" s="21">
        <v>2000321664453</v>
      </c>
    </row>
    <row r="1266" spans="1:26" ht="12" customHeight="1" outlineLevel="4" x14ac:dyDescent="0.2">
      <c r="A1266" s="14" t="s">
        <v>2491</v>
      </c>
      <c r="B1266" s="26" t="s">
        <v>2492</v>
      </c>
      <c r="C1266" s="52"/>
      <c r="D1266" s="55">
        <f t="shared" si="19"/>
        <v>0</v>
      </c>
      <c r="E1266" s="63" t="str">
        <f>HYPERLINK("https://www.sds-group.ru/product/provod-soedinitelnyy-pvs-2x1-5-mm-chernyy-dlina-5-metrov-gost-7399-97-rexant-01-8033-5/", "Инфо")</f>
        <v>Инфо</v>
      </c>
      <c r="F1266" s="16" t="s">
        <v>1887</v>
      </c>
      <c r="G1266" s="15"/>
      <c r="H1266" s="15"/>
      <c r="I1266" s="15"/>
      <c r="J1266" s="17">
        <v>83</v>
      </c>
      <c r="K1266" s="15"/>
      <c r="L1266" s="17">
        <v>1</v>
      </c>
      <c r="M1266" s="17">
        <v>10</v>
      </c>
      <c r="N1266" s="17">
        <v>1</v>
      </c>
      <c r="O1266" s="18">
        <v>645.70000000000005</v>
      </c>
      <c r="P1266" s="18">
        <v>529.26</v>
      </c>
      <c r="Q1266" s="18">
        <v>451.99</v>
      </c>
      <c r="R1266" s="18">
        <v>370.48</v>
      </c>
      <c r="S1266" s="18">
        <v>439.08</v>
      </c>
      <c r="T1266" s="18">
        <v>359.9</v>
      </c>
      <c r="U1266" s="16"/>
      <c r="V1266" s="16"/>
      <c r="W1266" s="16"/>
      <c r="X1266" s="19">
        <v>0.41499999999999998</v>
      </c>
      <c r="Y1266" s="20">
        <v>8.6300000000000005E-4</v>
      </c>
      <c r="Z1266" s="21">
        <v>2000321664439</v>
      </c>
    </row>
    <row r="1267" spans="1:26" ht="12" customHeight="1" outlineLevel="4" x14ac:dyDescent="0.2">
      <c r="A1267" s="14" t="s">
        <v>2493</v>
      </c>
      <c r="B1267" s="26" t="s">
        <v>2494</v>
      </c>
      <c r="C1267" s="52"/>
      <c r="D1267" s="55">
        <f t="shared" si="19"/>
        <v>0</v>
      </c>
      <c r="E1267" s="63" t="str">
        <f>HYPERLINK("https://www.sds-group.ru/product/provod-soedinitelnyy-pvs-2x1-5-mm-chernyy-dlina-50-metrov-gost-7399-97-rexant-01-8033-50/", "Инфо")</f>
        <v>Инфо</v>
      </c>
      <c r="F1267" s="16" t="s">
        <v>1887</v>
      </c>
      <c r="G1267" s="15"/>
      <c r="H1267" s="15"/>
      <c r="I1267" s="15"/>
      <c r="J1267" s="17">
        <v>16</v>
      </c>
      <c r="K1267" s="15"/>
      <c r="L1267" s="17">
        <v>1</v>
      </c>
      <c r="M1267" s="17">
        <v>1</v>
      </c>
      <c r="N1267" s="17">
        <v>1</v>
      </c>
      <c r="O1267" s="18">
        <v>5795.34</v>
      </c>
      <c r="P1267" s="18">
        <v>4750.28</v>
      </c>
      <c r="Q1267" s="18">
        <v>4230.6000000000004</v>
      </c>
      <c r="R1267" s="18">
        <v>3467.7</v>
      </c>
      <c r="S1267" s="18">
        <v>3940.83</v>
      </c>
      <c r="T1267" s="18">
        <v>3230.19</v>
      </c>
      <c r="U1267" s="16"/>
      <c r="V1267" s="16"/>
      <c r="W1267" s="16" t="s">
        <v>40</v>
      </c>
      <c r="X1267" s="19">
        <v>4.2889999999999997</v>
      </c>
      <c r="Y1267" s="20">
        <v>4.3350000000000003E-3</v>
      </c>
      <c r="Z1267" s="21">
        <v>2000321664460</v>
      </c>
    </row>
    <row r="1268" spans="1:26" ht="12" customHeight="1" outlineLevel="4" x14ac:dyDescent="0.2">
      <c r="A1268" s="14" t="s">
        <v>2495</v>
      </c>
      <c r="B1268" s="26" t="s">
        <v>2496</v>
      </c>
      <c r="C1268" s="52"/>
      <c r="D1268" s="55">
        <f t="shared" si="19"/>
        <v>0</v>
      </c>
      <c r="E1268" s="63" t="str">
        <f>HYPERLINK("https://www.sds-group.ru/product/provod-soedinitelnyy-pvs-2x2-5-mm-dlina-10-metrov-gost-7399-97-rexant-01-8036-10/", "Инфо")</f>
        <v>Инфо</v>
      </c>
      <c r="F1268" s="16" t="s">
        <v>1887</v>
      </c>
      <c r="G1268" s="15"/>
      <c r="H1268" s="15"/>
      <c r="I1268" s="15"/>
      <c r="J1268" s="17">
        <v>11</v>
      </c>
      <c r="K1268" s="15"/>
      <c r="L1268" s="17">
        <v>1</v>
      </c>
      <c r="M1268" s="17">
        <v>9</v>
      </c>
      <c r="N1268" s="17">
        <v>1</v>
      </c>
      <c r="O1268" s="18">
        <v>2041.72</v>
      </c>
      <c r="P1268" s="18">
        <v>1673.54</v>
      </c>
      <c r="Q1268" s="18">
        <v>1612.96</v>
      </c>
      <c r="R1268" s="18">
        <v>1322.1</v>
      </c>
      <c r="S1268" s="18">
        <v>1388.37</v>
      </c>
      <c r="T1268" s="18">
        <v>1138.01</v>
      </c>
      <c r="U1268" s="16"/>
      <c r="V1268" s="16"/>
      <c r="W1268" s="16" t="s">
        <v>40</v>
      </c>
      <c r="X1268" s="19">
        <v>1.395</v>
      </c>
      <c r="Y1268" s="20">
        <v>1.931E-3</v>
      </c>
      <c r="Z1268" s="21">
        <v>4601004119956</v>
      </c>
    </row>
    <row r="1269" spans="1:26" ht="12" customHeight="1" outlineLevel="4" x14ac:dyDescent="0.2">
      <c r="A1269" s="14" t="s">
        <v>2497</v>
      </c>
      <c r="B1269" s="26" t="s">
        <v>2498</v>
      </c>
      <c r="C1269" s="52"/>
      <c r="D1269" s="55">
        <f t="shared" si="19"/>
        <v>0</v>
      </c>
      <c r="E1269" s="63" t="str">
        <f>HYPERLINK("https://www.sds-group.ru/product/provod-soedinitelnyy-pvs-2x2-5-mm-dlina-20-metrov-gost-7399-97-rexant-01-8036-20/", "Инфо")</f>
        <v>Инфо</v>
      </c>
      <c r="F1269" s="16" t="s">
        <v>1887</v>
      </c>
      <c r="G1269" s="15"/>
      <c r="H1269" s="15"/>
      <c r="I1269" s="15"/>
      <c r="J1269" s="17">
        <v>21</v>
      </c>
      <c r="K1269" s="15"/>
      <c r="L1269" s="17">
        <v>1</v>
      </c>
      <c r="M1269" s="17">
        <v>4</v>
      </c>
      <c r="N1269" s="17">
        <v>1</v>
      </c>
      <c r="O1269" s="18">
        <v>3387.7</v>
      </c>
      <c r="P1269" s="18">
        <v>2776.8</v>
      </c>
      <c r="Q1269" s="18">
        <v>2710.16</v>
      </c>
      <c r="R1269" s="18">
        <v>2221.44</v>
      </c>
      <c r="S1269" s="18">
        <v>2303.64</v>
      </c>
      <c r="T1269" s="18">
        <v>1888.23</v>
      </c>
      <c r="U1269" s="16"/>
      <c r="V1269" s="16"/>
      <c r="W1269" s="16" t="s">
        <v>40</v>
      </c>
      <c r="X1269" s="19">
        <v>2.5550000000000002</v>
      </c>
      <c r="Y1269" s="20">
        <v>2.728E-3</v>
      </c>
      <c r="Z1269" s="21">
        <v>4601004119963</v>
      </c>
    </row>
    <row r="1270" spans="1:26" ht="12" customHeight="1" outlineLevel="4" x14ac:dyDescent="0.2">
      <c r="A1270" s="14" t="s">
        <v>2499</v>
      </c>
      <c r="B1270" s="26" t="s">
        <v>2500</v>
      </c>
      <c r="C1270" s="52"/>
      <c r="D1270" s="55">
        <f t="shared" si="19"/>
        <v>0</v>
      </c>
      <c r="E1270" s="63" t="str">
        <f>HYPERLINK("https://www.sds-group.ru/product/provod-soedinitelnyy-pvs-2x2-5-mm-dlina-5-metrov-gost-7399-97-rexant-01-8036-5/", "Инфо")</f>
        <v>Инфо</v>
      </c>
      <c r="F1270" s="16" t="s">
        <v>1887</v>
      </c>
      <c r="G1270" s="15"/>
      <c r="H1270" s="15"/>
      <c r="I1270" s="15"/>
      <c r="J1270" s="17">
        <v>14</v>
      </c>
      <c r="K1270" s="15"/>
      <c r="L1270" s="17">
        <v>1</v>
      </c>
      <c r="M1270" s="17">
        <v>12</v>
      </c>
      <c r="N1270" s="17">
        <v>1</v>
      </c>
      <c r="O1270" s="18">
        <v>1086.2</v>
      </c>
      <c r="P1270" s="18">
        <v>890.33</v>
      </c>
      <c r="Q1270" s="18">
        <v>868.96</v>
      </c>
      <c r="R1270" s="18">
        <v>712.26</v>
      </c>
      <c r="S1270" s="18">
        <v>738.62</v>
      </c>
      <c r="T1270" s="18">
        <v>605.42999999999995</v>
      </c>
      <c r="U1270" s="16"/>
      <c r="V1270" s="16"/>
      <c r="W1270" s="16" t="s">
        <v>40</v>
      </c>
      <c r="X1270" s="19">
        <v>0.56000000000000005</v>
      </c>
      <c r="Y1270" s="20">
        <v>1.0399999999999999E-3</v>
      </c>
      <c r="Z1270" s="21">
        <v>4601004119949</v>
      </c>
    </row>
    <row r="1271" spans="1:26" ht="12" customHeight="1" outlineLevel="4" x14ac:dyDescent="0.2">
      <c r="A1271" s="14" t="s">
        <v>2501</v>
      </c>
      <c r="B1271" s="26" t="s">
        <v>2502</v>
      </c>
      <c r="C1271" s="52"/>
      <c r="D1271" s="55">
        <f t="shared" si="19"/>
        <v>0</v>
      </c>
      <c r="E1271" s="63" t="str">
        <f>HYPERLINK("https://www.sds-group.ru/product/provod-soedinitelnyy-pvs-2x2-5-mm-dlina-50-metrov-gost-7399-97-rexant-01-8036-50/", "Инфо")</f>
        <v>Инфо</v>
      </c>
      <c r="F1271" s="16" t="s">
        <v>1887</v>
      </c>
      <c r="G1271" s="15"/>
      <c r="H1271" s="15"/>
      <c r="I1271" s="15"/>
      <c r="J1271" s="17">
        <v>23</v>
      </c>
      <c r="K1271" s="15"/>
      <c r="L1271" s="17">
        <v>1</v>
      </c>
      <c r="M1271" s="17">
        <v>2</v>
      </c>
      <c r="N1271" s="17">
        <v>1</v>
      </c>
      <c r="O1271" s="18">
        <v>9345.11</v>
      </c>
      <c r="P1271" s="18">
        <v>7659.93</v>
      </c>
      <c r="Q1271" s="18">
        <v>6821.93</v>
      </c>
      <c r="R1271" s="18">
        <v>5591.75</v>
      </c>
      <c r="S1271" s="18">
        <v>6354.67</v>
      </c>
      <c r="T1271" s="18">
        <v>5208.75</v>
      </c>
      <c r="U1271" s="16"/>
      <c r="V1271" s="16"/>
      <c r="W1271" s="16" t="s">
        <v>40</v>
      </c>
      <c r="X1271" s="19">
        <v>6.2939999999999996</v>
      </c>
      <c r="Y1271" s="20">
        <v>6.2300000000000003E-3</v>
      </c>
      <c r="Z1271" s="21">
        <v>4601004120211</v>
      </c>
    </row>
    <row r="1272" spans="1:26" ht="12" customHeight="1" outlineLevel="4" x14ac:dyDescent="0.2">
      <c r="A1272" s="14" t="s">
        <v>2503</v>
      </c>
      <c r="B1272" s="26" t="s">
        <v>2504</v>
      </c>
      <c r="C1272" s="52"/>
      <c r="D1272" s="55">
        <f t="shared" si="19"/>
        <v>0</v>
      </c>
      <c r="E1272" s="63" t="str">
        <f>HYPERLINK("https://www.sds-group.ru/product/provod-soedinitelnyy-pvs-3x0-75-mm-belyy-dlina-10-metrov-gost-7399-97-rexant-01-8042-10/", "Инфо")</f>
        <v>Инфо</v>
      </c>
      <c r="F1272" s="16" t="s">
        <v>1887</v>
      </c>
      <c r="G1272" s="15"/>
      <c r="H1272" s="15"/>
      <c r="I1272" s="15"/>
      <c r="J1272" s="17">
        <v>28</v>
      </c>
      <c r="K1272" s="15"/>
      <c r="L1272" s="17">
        <v>1</v>
      </c>
      <c r="M1272" s="17">
        <v>10</v>
      </c>
      <c r="N1272" s="17">
        <v>1</v>
      </c>
      <c r="O1272" s="18">
        <v>1121.47</v>
      </c>
      <c r="P1272" s="18">
        <v>919.24</v>
      </c>
      <c r="Q1272" s="18">
        <v>897.18</v>
      </c>
      <c r="R1272" s="18">
        <v>735.39</v>
      </c>
      <c r="S1272" s="18">
        <v>762.6</v>
      </c>
      <c r="T1272" s="18">
        <v>625.08000000000004</v>
      </c>
      <c r="U1272" s="16"/>
      <c r="V1272" s="16"/>
      <c r="W1272" s="16" t="s">
        <v>40</v>
      </c>
      <c r="X1272" s="19">
        <v>0.61899999999999999</v>
      </c>
      <c r="Y1272" s="20">
        <v>1.2019999999999999E-3</v>
      </c>
      <c r="Z1272" s="21">
        <v>4601004120198</v>
      </c>
    </row>
    <row r="1273" spans="1:26" ht="12" customHeight="1" outlineLevel="4" x14ac:dyDescent="0.2">
      <c r="A1273" s="14" t="s">
        <v>2505</v>
      </c>
      <c r="B1273" s="26" t="s">
        <v>2506</v>
      </c>
      <c r="C1273" s="52"/>
      <c r="D1273" s="55">
        <f t="shared" si="19"/>
        <v>0</v>
      </c>
      <c r="E1273" s="63" t="str">
        <f>HYPERLINK("https://www.sds-group.ru/product/provod-soedinitelnyy-pvs-3x0-75-mm-belyy-dlina-20-metrov-gost-7399-97-rexant-01-8042-20/", "Инфо")</f>
        <v>Инфо</v>
      </c>
      <c r="F1273" s="16" t="s">
        <v>1887</v>
      </c>
      <c r="G1273" s="15"/>
      <c r="H1273" s="15"/>
      <c r="I1273" s="15"/>
      <c r="J1273" s="17">
        <v>11</v>
      </c>
      <c r="K1273" s="15"/>
      <c r="L1273" s="17">
        <v>1</v>
      </c>
      <c r="M1273" s="17">
        <v>1</v>
      </c>
      <c r="N1273" s="17">
        <v>1</v>
      </c>
      <c r="O1273" s="18">
        <v>1894.45</v>
      </c>
      <c r="P1273" s="18">
        <v>1552.83</v>
      </c>
      <c r="Q1273" s="18">
        <v>1496.62</v>
      </c>
      <c r="R1273" s="18">
        <v>1226.74</v>
      </c>
      <c r="S1273" s="18">
        <v>1288.23</v>
      </c>
      <c r="T1273" s="18">
        <v>1055.93</v>
      </c>
      <c r="U1273" s="16"/>
      <c r="V1273" s="16"/>
      <c r="W1273" s="16" t="s">
        <v>40</v>
      </c>
      <c r="X1273" s="19">
        <v>1.244</v>
      </c>
      <c r="Y1273" s="20">
        <v>1.683E-3</v>
      </c>
      <c r="Z1273" s="21">
        <v>4601004120181</v>
      </c>
    </row>
    <row r="1274" spans="1:26" ht="12" customHeight="1" outlineLevel="4" x14ac:dyDescent="0.2">
      <c r="A1274" s="14" t="s">
        <v>2507</v>
      </c>
      <c r="B1274" s="26" t="s">
        <v>2508</v>
      </c>
      <c r="C1274" s="52"/>
      <c r="D1274" s="55">
        <f t="shared" si="19"/>
        <v>0</v>
      </c>
      <c r="E1274" s="63" t="str">
        <f>HYPERLINK("https://www.sds-group.ru/product/provod-soedinitelnyy-pvs-3x0-75-mm-belyy-dlina-5-metrov-gost-7399-97-rexant-01-8042-5/", "Инфо")</f>
        <v>Инфо</v>
      </c>
      <c r="F1274" s="16" t="s">
        <v>1887</v>
      </c>
      <c r="G1274" s="15"/>
      <c r="H1274" s="15"/>
      <c r="I1274" s="15"/>
      <c r="J1274" s="17">
        <v>6</v>
      </c>
      <c r="K1274" s="15"/>
      <c r="L1274" s="17">
        <v>5</v>
      </c>
      <c r="M1274" s="17">
        <v>20</v>
      </c>
      <c r="N1274" s="17">
        <v>5</v>
      </c>
      <c r="O1274" s="18">
        <v>521.46</v>
      </c>
      <c r="P1274" s="18">
        <v>427.43</v>
      </c>
      <c r="Q1274" s="18">
        <v>365.02</v>
      </c>
      <c r="R1274" s="18">
        <v>299.2</v>
      </c>
      <c r="S1274" s="18">
        <v>354.59</v>
      </c>
      <c r="T1274" s="18">
        <v>290.64999999999998</v>
      </c>
      <c r="U1274" s="16"/>
      <c r="V1274" s="16"/>
      <c r="W1274" s="16"/>
      <c r="X1274" s="19">
        <v>0.33700000000000002</v>
      </c>
      <c r="Y1274" s="20">
        <v>9.8400000000000007E-4</v>
      </c>
      <c r="Z1274" s="21">
        <v>4601004120204</v>
      </c>
    </row>
    <row r="1275" spans="1:26" ht="12" customHeight="1" outlineLevel="4" x14ac:dyDescent="0.2">
      <c r="A1275" s="14" t="s">
        <v>2509</v>
      </c>
      <c r="B1275" s="26" t="s">
        <v>2510</v>
      </c>
      <c r="C1275" s="52"/>
      <c r="D1275" s="55">
        <f t="shared" si="19"/>
        <v>0</v>
      </c>
      <c r="E1275" s="63" t="str">
        <f>HYPERLINK("https://www.sds-group.ru/product/provod-soedinitelnyy-pvs-3x0-75-mm-belyy-dlina-50-metrov-gost-7399-97-rexant-01-8042-50/", "Инфо")</f>
        <v>Инфо</v>
      </c>
      <c r="F1275" s="16" t="s">
        <v>1887</v>
      </c>
      <c r="G1275" s="15"/>
      <c r="H1275" s="15"/>
      <c r="I1275" s="15"/>
      <c r="J1275" s="17">
        <v>6</v>
      </c>
      <c r="K1275" s="15"/>
      <c r="L1275" s="17">
        <v>1</v>
      </c>
      <c r="M1275" s="17">
        <v>4</v>
      </c>
      <c r="N1275" s="17">
        <v>1</v>
      </c>
      <c r="O1275" s="18">
        <v>4870.7299999999996</v>
      </c>
      <c r="P1275" s="18">
        <v>3992.4</v>
      </c>
      <c r="Q1275" s="18">
        <v>3896.58</v>
      </c>
      <c r="R1275" s="18">
        <v>3193.92</v>
      </c>
      <c r="S1275" s="18">
        <v>3312.1</v>
      </c>
      <c r="T1275" s="18">
        <v>2714.84</v>
      </c>
      <c r="U1275" s="16"/>
      <c r="V1275" s="16"/>
      <c r="W1275" s="16" t="s">
        <v>40</v>
      </c>
      <c r="X1275" s="19">
        <v>3.6</v>
      </c>
      <c r="Y1275" s="20">
        <v>4.7999999999999996E-3</v>
      </c>
      <c r="Z1275" s="21">
        <v>4601004120174</v>
      </c>
    </row>
    <row r="1276" spans="1:26" ht="12" customHeight="1" outlineLevel="4" x14ac:dyDescent="0.2">
      <c r="A1276" s="14" t="s">
        <v>2511</v>
      </c>
      <c r="B1276" s="26" t="s">
        <v>2512</v>
      </c>
      <c r="C1276" s="52"/>
      <c r="D1276" s="55">
        <f t="shared" si="19"/>
        <v>0</v>
      </c>
      <c r="E1276" s="63" t="str">
        <f>HYPERLINK("https://www.sds-group.ru/product/provod-soedinitelnyy-pvs-3x0-75-mm-chernyy-dlina-10-metrov-gost-7399-97-rexant-01-8043-10/", "Инфо")</f>
        <v>Инфо</v>
      </c>
      <c r="F1276" s="16" t="s">
        <v>1887</v>
      </c>
      <c r="G1276" s="15"/>
      <c r="H1276" s="15"/>
      <c r="I1276" s="15"/>
      <c r="J1276" s="17">
        <v>57</v>
      </c>
      <c r="K1276" s="15"/>
      <c r="L1276" s="17">
        <v>1</v>
      </c>
      <c r="M1276" s="17">
        <v>10</v>
      </c>
      <c r="N1276" s="17">
        <v>1</v>
      </c>
      <c r="O1276" s="18">
        <v>1118.2</v>
      </c>
      <c r="P1276" s="18">
        <v>916.56</v>
      </c>
      <c r="Q1276" s="18">
        <v>894.56</v>
      </c>
      <c r="R1276" s="18">
        <v>733.25</v>
      </c>
      <c r="S1276" s="18">
        <v>760.38</v>
      </c>
      <c r="T1276" s="18">
        <v>623.26</v>
      </c>
      <c r="U1276" s="16"/>
      <c r="V1276" s="16"/>
      <c r="W1276" s="16" t="s">
        <v>40</v>
      </c>
      <c r="X1276" s="19">
        <v>0.73599999999999999</v>
      </c>
      <c r="Y1276" s="20">
        <v>2.2039999999999998E-3</v>
      </c>
      <c r="Z1276" s="21">
        <v>2000321664323</v>
      </c>
    </row>
    <row r="1277" spans="1:26" ht="12" customHeight="1" outlineLevel="4" x14ac:dyDescent="0.2">
      <c r="A1277" s="14" t="s">
        <v>2513</v>
      </c>
      <c r="B1277" s="26" t="s">
        <v>2514</v>
      </c>
      <c r="C1277" s="52"/>
      <c r="D1277" s="55">
        <f t="shared" si="19"/>
        <v>0</v>
      </c>
      <c r="E1277" s="63" t="str">
        <f>HYPERLINK("https://www.sds-group.ru/product/provod-soedinitelnyy-pvs-3x0-75-mm-chernyy-dlina-20-metrov-gost-7399-97-rexant-01-8043-20/", "Инфо")</f>
        <v>Инфо</v>
      </c>
      <c r="F1277" s="16" t="s">
        <v>1887</v>
      </c>
      <c r="G1277" s="15"/>
      <c r="H1277" s="15"/>
      <c r="I1277" s="15"/>
      <c r="J1277" s="17">
        <v>17</v>
      </c>
      <c r="K1277" s="15"/>
      <c r="L1277" s="17">
        <v>1</v>
      </c>
      <c r="M1277" s="17">
        <v>10</v>
      </c>
      <c r="N1277" s="17">
        <v>1</v>
      </c>
      <c r="O1277" s="18">
        <v>2069.85</v>
      </c>
      <c r="P1277" s="18">
        <v>1696.6</v>
      </c>
      <c r="Q1277" s="18">
        <v>1635.18</v>
      </c>
      <c r="R1277" s="18">
        <v>1340.31</v>
      </c>
      <c r="S1277" s="18">
        <v>1407.5</v>
      </c>
      <c r="T1277" s="18">
        <v>1153.69</v>
      </c>
      <c r="U1277" s="16"/>
      <c r="V1277" s="16"/>
      <c r="W1277" s="16" t="s">
        <v>40</v>
      </c>
      <c r="X1277" s="19">
        <v>1.4890000000000001</v>
      </c>
      <c r="Y1277" s="20">
        <v>3.153E-3</v>
      </c>
      <c r="Z1277" s="21">
        <v>2000321664330</v>
      </c>
    </row>
    <row r="1278" spans="1:26" ht="12" customHeight="1" outlineLevel="4" x14ac:dyDescent="0.2">
      <c r="A1278" s="14" t="s">
        <v>2515</v>
      </c>
      <c r="B1278" s="26" t="s">
        <v>2516</v>
      </c>
      <c r="C1278" s="52"/>
      <c r="D1278" s="55">
        <f t="shared" si="19"/>
        <v>0</v>
      </c>
      <c r="E1278" s="63" t="str">
        <f>HYPERLINK("https://www.sds-group.ru/product/provod-soedinitelnyy-pvs-3x0-75-mm-chernyy-dlina-5-metrov-gost-7399-97-rexant-01-8043-5/", "Инфо")</f>
        <v>Инфо</v>
      </c>
      <c r="F1278" s="16" t="s">
        <v>1887</v>
      </c>
      <c r="G1278" s="15"/>
      <c r="H1278" s="15"/>
      <c r="I1278" s="15"/>
      <c r="J1278" s="17">
        <v>134</v>
      </c>
      <c r="K1278" s="15"/>
      <c r="L1278" s="17">
        <v>1</v>
      </c>
      <c r="M1278" s="17">
        <v>20</v>
      </c>
      <c r="N1278" s="17">
        <v>1</v>
      </c>
      <c r="O1278" s="18">
        <v>545.41</v>
      </c>
      <c r="P1278" s="18">
        <v>447.06</v>
      </c>
      <c r="Q1278" s="18">
        <v>381.79</v>
      </c>
      <c r="R1278" s="18">
        <v>312.94</v>
      </c>
      <c r="S1278" s="18">
        <v>370.88</v>
      </c>
      <c r="T1278" s="18">
        <v>304</v>
      </c>
      <c r="U1278" s="16"/>
      <c r="V1278" s="16"/>
      <c r="W1278" s="16"/>
      <c r="X1278" s="19">
        <v>0.40400000000000003</v>
      </c>
      <c r="Y1278" s="20">
        <v>1.57E-3</v>
      </c>
      <c r="Z1278" s="21">
        <v>2000321664316</v>
      </c>
    </row>
    <row r="1279" spans="1:26" ht="12" customHeight="1" outlineLevel="4" x14ac:dyDescent="0.2">
      <c r="A1279" s="14" t="s">
        <v>2517</v>
      </c>
      <c r="B1279" s="26" t="s">
        <v>2518</v>
      </c>
      <c r="C1279" s="52"/>
      <c r="D1279" s="55">
        <f t="shared" si="19"/>
        <v>0</v>
      </c>
      <c r="E1279" s="63" t="str">
        <f>HYPERLINK("https://www.sds-group.ru/product/provod-soedinitelnyy-pvs-3x0-75-mm-chernyy-dlina-50-metrov-gost-7399-97-rexant-01-8043-50/", "Инфо")</f>
        <v>Инфо</v>
      </c>
      <c r="F1279" s="16" t="s">
        <v>1887</v>
      </c>
      <c r="G1279" s="15"/>
      <c r="H1279" s="15"/>
      <c r="I1279" s="15"/>
      <c r="J1279" s="17">
        <v>13</v>
      </c>
      <c r="K1279" s="15"/>
      <c r="L1279" s="17">
        <v>1</v>
      </c>
      <c r="M1279" s="17">
        <v>1</v>
      </c>
      <c r="N1279" s="17">
        <v>1</v>
      </c>
      <c r="O1279" s="18">
        <v>5157.25</v>
      </c>
      <c r="P1279" s="18">
        <v>4227.25</v>
      </c>
      <c r="Q1279" s="18">
        <v>4125.8</v>
      </c>
      <c r="R1279" s="18">
        <v>3381.8</v>
      </c>
      <c r="S1279" s="18">
        <v>3506.93</v>
      </c>
      <c r="T1279" s="18">
        <v>2874.53</v>
      </c>
      <c r="U1279" s="16"/>
      <c r="V1279" s="16"/>
      <c r="W1279" s="16" t="s">
        <v>40</v>
      </c>
      <c r="X1279" s="19">
        <v>3.6</v>
      </c>
      <c r="Y1279" s="20">
        <v>4.7999999999999996E-3</v>
      </c>
      <c r="Z1279" s="21">
        <v>4601004331600</v>
      </c>
    </row>
    <row r="1280" spans="1:26" ht="12" customHeight="1" outlineLevel="4" x14ac:dyDescent="0.2">
      <c r="A1280" s="14" t="s">
        <v>2519</v>
      </c>
      <c r="B1280" s="26" t="s">
        <v>2520</v>
      </c>
      <c r="C1280" s="52"/>
      <c r="D1280" s="55">
        <f t="shared" si="19"/>
        <v>0</v>
      </c>
      <c r="E1280" s="63" t="str">
        <f>HYPERLINK("https://www.sds-group.ru/product/provod-soedinitelnyy-pvs-3x1-0-mm-belyy-dlina-10-metrov-gost-7399-97-rexant-01-8044-10/", "Инфо")</f>
        <v>Инфо</v>
      </c>
      <c r="F1280" s="16" t="s">
        <v>1887</v>
      </c>
      <c r="G1280" s="15"/>
      <c r="H1280" s="15"/>
      <c r="I1280" s="15"/>
      <c r="J1280" s="17">
        <v>4</v>
      </c>
      <c r="K1280" s="15"/>
      <c r="L1280" s="17">
        <v>1</v>
      </c>
      <c r="M1280" s="17">
        <v>1</v>
      </c>
      <c r="N1280" s="17">
        <v>1</v>
      </c>
      <c r="O1280" s="18">
        <v>1264.69</v>
      </c>
      <c r="P1280" s="18">
        <v>1036.6300000000001</v>
      </c>
      <c r="Q1280" s="18">
        <v>1011.75</v>
      </c>
      <c r="R1280" s="18">
        <v>829.3</v>
      </c>
      <c r="S1280" s="18">
        <v>859.99</v>
      </c>
      <c r="T1280" s="18">
        <v>704.91</v>
      </c>
      <c r="U1280" s="16"/>
      <c r="V1280" s="16"/>
      <c r="W1280" s="16" t="s">
        <v>40</v>
      </c>
      <c r="X1280" s="19">
        <v>0.65</v>
      </c>
      <c r="Y1280" s="20">
        <v>8.4000000000000003E-4</v>
      </c>
      <c r="Z1280" s="21">
        <v>2000321664361</v>
      </c>
    </row>
    <row r="1281" spans="1:26" ht="12" customHeight="1" outlineLevel="4" x14ac:dyDescent="0.2">
      <c r="A1281" s="14" t="s">
        <v>2521</v>
      </c>
      <c r="B1281" s="26" t="s">
        <v>2522</v>
      </c>
      <c r="C1281" s="52"/>
      <c r="D1281" s="55">
        <f t="shared" si="19"/>
        <v>0</v>
      </c>
      <c r="E1281" s="63" t="str">
        <f>HYPERLINK("https://www.sds-group.ru/product/provod-soedinitelnyy-pvs-3x1-0-mm-belyy-dlina-20-metrov-gost-7399-97-rexant-01-8044-20/", "Инфо")</f>
        <v>Инфо</v>
      </c>
      <c r="F1281" s="16" t="s">
        <v>1887</v>
      </c>
      <c r="G1281" s="15"/>
      <c r="H1281" s="15"/>
      <c r="I1281" s="15"/>
      <c r="J1281" s="17">
        <v>12</v>
      </c>
      <c r="K1281" s="15"/>
      <c r="L1281" s="17">
        <v>1</v>
      </c>
      <c r="M1281" s="17">
        <v>1</v>
      </c>
      <c r="N1281" s="17">
        <v>1</v>
      </c>
      <c r="O1281" s="18">
        <v>2072.63</v>
      </c>
      <c r="P1281" s="18">
        <v>1698.88</v>
      </c>
      <c r="Q1281" s="18">
        <v>1761.74</v>
      </c>
      <c r="R1281" s="18">
        <v>1444.05</v>
      </c>
      <c r="S1281" s="18">
        <v>1409.39</v>
      </c>
      <c r="T1281" s="18">
        <v>1155.24</v>
      </c>
      <c r="U1281" s="16"/>
      <c r="V1281" s="16"/>
      <c r="W1281" s="16" t="s">
        <v>40</v>
      </c>
      <c r="X1281" s="19">
        <v>1.321</v>
      </c>
      <c r="Y1281" s="20">
        <v>1.908E-3</v>
      </c>
      <c r="Z1281" s="21">
        <v>2000321664378</v>
      </c>
    </row>
    <row r="1282" spans="1:26" ht="12" customHeight="1" outlineLevel="4" x14ac:dyDescent="0.2">
      <c r="A1282" s="14" t="s">
        <v>2523</v>
      </c>
      <c r="B1282" s="26" t="s">
        <v>2524</v>
      </c>
      <c r="C1282" s="52"/>
      <c r="D1282" s="55">
        <f t="shared" si="19"/>
        <v>0</v>
      </c>
      <c r="E1282" s="63" t="str">
        <f>HYPERLINK("https://www.sds-group.ru/product/provod-soedinitelnyy-pvs-3x1-0-mm-belyy-dlina-5-metrov-gost-7399-97-rexant-01-8044-5/", "Инфо")</f>
        <v>Инфо</v>
      </c>
      <c r="F1282" s="16" t="s">
        <v>1887</v>
      </c>
      <c r="G1282" s="15"/>
      <c r="H1282" s="15"/>
      <c r="I1282" s="15"/>
      <c r="J1282" s="17">
        <v>6</v>
      </c>
      <c r="K1282" s="15"/>
      <c r="L1282" s="17">
        <v>1</v>
      </c>
      <c r="M1282" s="17">
        <v>1</v>
      </c>
      <c r="N1282" s="17">
        <v>1</v>
      </c>
      <c r="O1282" s="18">
        <v>610.05999999999995</v>
      </c>
      <c r="P1282" s="18">
        <v>500.05</v>
      </c>
      <c r="Q1282" s="18">
        <v>488.05</v>
      </c>
      <c r="R1282" s="18">
        <v>400.04</v>
      </c>
      <c r="S1282" s="18">
        <v>414.84</v>
      </c>
      <c r="T1282" s="18">
        <v>340.03</v>
      </c>
      <c r="U1282" s="16"/>
      <c r="V1282" s="16"/>
      <c r="W1282" s="16" t="s">
        <v>40</v>
      </c>
      <c r="X1282" s="19">
        <v>0.376</v>
      </c>
      <c r="Y1282" s="20">
        <v>1.0970000000000001E-3</v>
      </c>
      <c r="Z1282" s="21">
        <v>2000321664354</v>
      </c>
    </row>
    <row r="1283" spans="1:26" ht="12" customHeight="1" outlineLevel="4" x14ac:dyDescent="0.2">
      <c r="A1283" s="14" t="s">
        <v>2525</v>
      </c>
      <c r="B1283" s="26" t="s">
        <v>2526</v>
      </c>
      <c r="C1283" s="52"/>
      <c r="D1283" s="55">
        <f t="shared" si="19"/>
        <v>0</v>
      </c>
      <c r="E1283" s="63" t="str">
        <f>HYPERLINK("https://www.sds-group.ru/product/provod-soedinitelnyy-pvs-3x1-0-mm-belyy-dlina-50-metrov-gost-7399-97-rexant-01-8044-50/", "Инфо")</f>
        <v>Инфо</v>
      </c>
      <c r="F1283" s="16" t="s">
        <v>1887</v>
      </c>
      <c r="G1283" s="15"/>
      <c r="H1283" s="15"/>
      <c r="I1283" s="15"/>
      <c r="J1283" s="17">
        <v>15</v>
      </c>
      <c r="K1283" s="15"/>
      <c r="L1283" s="17">
        <v>1</v>
      </c>
      <c r="M1283" s="17">
        <v>1</v>
      </c>
      <c r="N1283" s="17">
        <v>1</v>
      </c>
      <c r="O1283" s="18">
        <v>5779.69</v>
      </c>
      <c r="P1283" s="18">
        <v>4737.45</v>
      </c>
      <c r="Q1283" s="18">
        <v>4219.17</v>
      </c>
      <c r="R1283" s="18">
        <v>3458.34</v>
      </c>
      <c r="S1283" s="18">
        <v>3930.19</v>
      </c>
      <c r="T1283" s="18">
        <v>3221.47</v>
      </c>
      <c r="U1283" s="16"/>
      <c r="V1283" s="16"/>
      <c r="W1283" s="16" t="s">
        <v>40</v>
      </c>
      <c r="X1283" s="19">
        <v>3.44</v>
      </c>
      <c r="Y1283" s="20">
        <v>4.2009999999999999E-3</v>
      </c>
      <c r="Z1283" s="21">
        <v>2000321664385</v>
      </c>
    </row>
    <row r="1284" spans="1:26" ht="12" customHeight="1" outlineLevel="4" x14ac:dyDescent="0.2">
      <c r="A1284" s="14" t="s">
        <v>2527</v>
      </c>
      <c r="B1284" s="26" t="s">
        <v>2528</v>
      </c>
      <c r="C1284" s="52"/>
      <c r="D1284" s="55">
        <f t="shared" si="19"/>
        <v>0</v>
      </c>
      <c r="E1284" s="63" t="str">
        <f>HYPERLINK("https://www.sds-group.ru/product/provod-soedinitelnyy-pvs-3x1-5-mm-belyy-dlina-10-metrov-gost-7399-97-rexant-01-8046-10/", "Инфо")</f>
        <v>Инфо</v>
      </c>
      <c r="F1284" s="16" t="s">
        <v>1887</v>
      </c>
      <c r="G1284" s="15"/>
      <c r="H1284" s="15"/>
      <c r="I1284" s="15"/>
      <c r="J1284" s="17">
        <v>17</v>
      </c>
      <c r="K1284" s="15"/>
      <c r="L1284" s="17">
        <v>1</v>
      </c>
      <c r="M1284" s="17">
        <v>12</v>
      </c>
      <c r="N1284" s="17">
        <v>1</v>
      </c>
      <c r="O1284" s="18">
        <v>1671.67</v>
      </c>
      <c r="P1284" s="18">
        <v>1370.22</v>
      </c>
      <c r="Q1284" s="18">
        <v>1320.62</v>
      </c>
      <c r="R1284" s="18">
        <v>1082.48</v>
      </c>
      <c r="S1284" s="18">
        <v>1136.74</v>
      </c>
      <c r="T1284" s="18">
        <v>931.75</v>
      </c>
      <c r="U1284" s="16"/>
      <c r="V1284" s="16"/>
      <c r="W1284" s="16" t="s">
        <v>40</v>
      </c>
      <c r="X1284" s="19">
        <v>0.97499999999999998</v>
      </c>
      <c r="Y1284" s="20">
        <v>1.5280000000000001E-3</v>
      </c>
      <c r="Z1284" s="21">
        <v>4601004120150</v>
      </c>
    </row>
    <row r="1285" spans="1:26" ht="12" customHeight="1" outlineLevel="4" x14ac:dyDescent="0.2">
      <c r="A1285" s="14" t="s">
        <v>2529</v>
      </c>
      <c r="B1285" s="26" t="s">
        <v>2530</v>
      </c>
      <c r="C1285" s="52"/>
      <c r="D1285" s="55">
        <f t="shared" si="19"/>
        <v>0</v>
      </c>
      <c r="E1285" s="63" t="str">
        <f>HYPERLINK("https://www.sds-group.ru/product/provod-soedinitelnyy-pvs-3x1-5-mm-belyy-dlina-20-metrov-gost-7399-97-rexant-01-8046-20/", "Инфо")</f>
        <v>Инфо</v>
      </c>
      <c r="F1285" s="16" t="s">
        <v>1887</v>
      </c>
      <c r="G1285" s="15"/>
      <c r="H1285" s="15"/>
      <c r="I1285" s="15"/>
      <c r="J1285" s="17">
        <v>7</v>
      </c>
      <c r="K1285" s="15"/>
      <c r="L1285" s="17">
        <v>1</v>
      </c>
      <c r="M1285" s="17">
        <v>9</v>
      </c>
      <c r="N1285" s="17">
        <v>1</v>
      </c>
      <c r="O1285" s="18">
        <v>2976.26</v>
      </c>
      <c r="P1285" s="18">
        <v>2439.56</v>
      </c>
      <c r="Q1285" s="18">
        <v>2291.7199999999998</v>
      </c>
      <c r="R1285" s="18">
        <v>1878.46</v>
      </c>
      <c r="S1285" s="18">
        <v>2023.86</v>
      </c>
      <c r="T1285" s="18">
        <v>1658.9</v>
      </c>
      <c r="U1285" s="16"/>
      <c r="V1285" s="16"/>
      <c r="W1285" s="16" t="s">
        <v>40</v>
      </c>
      <c r="X1285" s="19">
        <v>2.048</v>
      </c>
      <c r="Y1285" s="20">
        <v>2.225E-3</v>
      </c>
      <c r="Z1285" s="21">
        <v>4601004120143</v>
      </c>
    </row>
    <row r="1286" spans="1:26" ht="12" customHeight="1" outlineLevel="4" x14ac:dyDescent="0.2">
      <c r="A1286" s="14" t="s">
        <v>2531</v>
      </c>
      <c r="B1286" s="26" t="s">
        <v>2532</v>
      </c>
      <c r="C1286" s="52"/>
      <c r="D1286" s="55">
        <f t="shared" si="19"/>
        <v>0</v>
      </c>
      <c r="E1286" s="63" t="str">
        <f>HYPERLINK("https://www.sds-group.ru/product/provod-soedinitelnyy-pvs-3x1-5-mm-belyy-dlina-5-metrov-gost-7399-97-rexant-01-8046-5/", "Инфо")</f>
        <v>Инфо</v>
      </c>
      <c r="F1286" s="16" t="s">
        <v>1887</v>
      </c>
      <c r="G1286" s="15"/>
      <c r="H1286" s="15"/>
      <c r="I1286" s="15"/>
      <c r="J1286" s="17">
        <v>9</v>
      </c>
      <c r="K1286" s="15"/>
      <c r="L1286" s="17">
        <v>1</v>
      </c>
      <c r="M1286" s="17">
        <v>18</v>
      </c>
      <c r="N1286" s="17">
        <v>1</v>
      </c>
      <c r="O1286" s="18">
        <v>912.71</v>
      </c>
      <c r="P1286" s="18">
        <v>748.12</v>
      </c>
      <c r="Q1286" s="18">
        <v>730.17</v>
      </c>
      <c r="R1286" s="18">
        <v>598.5</v>
      </c>
      <c r="S1286" s="18">
        <v>620.64</v>
      </c>
      <c r="T1286" s="18">
        <v>508.72</v>
      </c>
      <c r="U1286" s="16"/>
      <c r="V1286" s="16"/>
      <c r="W1286" s="16" t="s">
        <v>40</v>
      </c>
      <c r="X1286" s="19">
        <v>0.52700000000000002</v>
      </c>
      <c r="Y1286" s="20">
        <v>9.5699999999999995E-4</v>
      </c>
      <c r="Z1286" s="21">
        <v>4601004120167</v>
      </c>
    </row>
    <row r="1287" spans="1:26" ht="12" customHeight="1" outlineLevel="4" x14ac:dyDescent="0.2">
      <c r="A1287" s="14" t="s">
        <v>2533</v>
      </c>
      <c r="B1287" s="26" t="s">
        <v>2534</v>
      </c>
      <c r="C1287" s="52"/>
      <c r="D1287" s="55">
        <f t="shared" si="19"/>
        <v>0</v>
      </c>
      <c r="E1287" s="63" t="str">
        <f>HYPERLINK("https://www.sds-group.ru/product/provod-soedinitelnyy-pvs-3x1-5-mm-belyy-dlina-50-metrov-gost-7399-97-rexant-01-8046-50/", "Инфо")</f>
        <v>Инфо</v>
      </c>
      <c r="F1287" s="16" t="s">
        <v>1887</v>
      </c>
      <c r="G1287" s="15"/>
      <c r="H1287" s="15"/>
      <c r="I1287" s="15"/>
      <c r="J1287" s="16" t="s">
        <v>100</v>
      </c>
      <c r="K1287" s="15"/>
      <c r="L1287" s="17">
        <v>1</v>
      </c>
      <c r="M1287" s="17">
        <v>1</v>
      </c>
      <c r="N1287" s="17">
        <v>1</v>
      </c>
      <c r="O1287" s="18">
        <v>7387.42</v>
      </c>
      <c r="P1287" s="18">
        <v>6055.26</v>
      </c>
      <c r="Q1287" s="18">
        <v>5909.94</v>
      </c>
      <c r="R1287" s="18">
        <v>4844.21</v>
      </c>
      <c r="S1287" s="18">
        <v>5023.45</v>
      </c>
      <c r="T1287" s="18">
        <v>4117.58</v>
      </c>
      <c r="U1287" s="16"/>
      <c r="V1287" s="16"/>
      <c r="W1287" s="16" t="s">
        <v>40</v>
      </c>
      <c r="X1287" s="19">
        <v>5.2329999999999997</v>
      </c>
      <c r="Y1287" s="20">
        <v>4.9899999999999996E-3</v>
      </c>
      <c r="Z1287" s="21">
        <v>4601004120136</v>
      </c>
    </row>
    <row r="1288" spans="1:26" ht="12" customHeight="1" outlineLevel="4" x14ac:dyDescent="0.2">
      <c r="A1288" s="14" t="s">
        <v>2535</v>
      </c>
      <c r="B1288" s="26" t="s">
        <v>2536</v>
      </c>
      <c r="C1288" s="52"/>
      <c r="D1288" s="55">
        <f t="shared" si="19"/>
        <v>0</v>
      </c>
      <c r="E1288" s="63" t="str">
        <f>HYPERLINK("https://www.sds-group.ru/product/provod-soedinitelnyy-pvs-3x1-5-mm-chernyy-dlina-10-metrov-gost-7399-97-rexant-01-8047-10/", "Инфо")</f>
        <v>Инфо</v>
      </c>
      <c r="F1288" s="16" t="s">
        <v>1887</v>
      </c>
      <c r="G1288" s="15"/>
      <c r="H1288" s="15"/>
      <c r="I1288" s="15"/>
      <c r="J1288" s="17">
        <v>10</v>
      </c>
      <c r="K1288" s="15"/>
      <c r="L1288" s="17">
        <v>1</v>
      </c>
      <c r="M1288" s="17">
        <v>15</v>
      </c>
      <c r="N1288" s="17">
        <v>1</v>
      </c>
      <c r="O1288" s="18">
        <v>1866.17</v>
      </c>
      <c r="P1288" s="18">
        <v>1529.65</v>
      </c>
      <c r="Q1288" s="18">
        <v>1474.27</v>
      </c>
      <c r="R1288" s="18">
        <v>1208.42</v>
      </c>
      <c r="S1288" s="18">
        <v>1269</v>
      </c>
      <c r="T1288" s="18">
        <v>1040.1600000000001</v>
      </c>
      <c r="U1288" s="16"/>
      <c r="V1288" s="16"/>
      <c r="W1288" s="16" t="s">
        <v>40</v>
      </c>
      <c r="X1288" s="19">
        <v>1</v>
      </c>
      <c r="Y1288" s="20">
        <v>1.4E-3</v>
      </c>
      <c r="Z1288" s="21">
        <v>2000321664408</v>
      </c>
    </row>
    <row r="1289" spans="1:26" ht="12" customHeight="1" outlineLevel="4" x14ac:dyDescent="0.2">
      <c r="A1289" s="14" t="s">
        <v>2537</v>
      </c>
      <c r="B1289" s="26" t="s">
        <v>2538</v>
      </c>
      <c r="C1289" s="52"/>
      <c r="D1289" s="55">
        <f t="shared" ref="D1289:D1352" si="20">C1289*(O1289-O1289*$G$3)</f>
        <v>0</v>
      </c>
      <c r="E1289" s="63" t="str">
        <f>HYPERLINK("https://www.sds-group.ru/product/provod-soedinitelnyy-pvs-3x1-5-mm-chernyy-dlina-20-metrov-gost-7399-97-rexant-01-8047-20/", "Инфо")</f>
        <v>Инфо</v>
      </c>
      <c r="F1289" s="16" t="s">
        <v>1887</v>
      </c>
      <c r="G1289" s="15"/>
      <c r="H1289" s="15"/>
      <c r="I1289" s="15"/>
      <c r="J1289" s="17">
        <v>4</v>
      </c>
      <c r="K1289" s="15"/>
      <c r="L1289" s="17">
        <v>1</v>
      </c>
      <c r="M1289" s="17">
        <v>1</v>
      </c>
      <c r="N1289" s="17">
        <v>1</v>
      </c>
      <c r="O1289" s="18">
        <v>2976.26</v>
      </c>
      <c r="P1289" s="18">
        <v>2439.56</v>
      </c>
      <c r="Q1289" s="18">
        <v>2291.7199999999998</v>
      </c>
      <c r="R1289" s="18">
        <v>1878.46</v>
      </c>
      <c r="S1289" s="18">
        <v>2023.86</v>
      </c>
      <c r="T1289" s="18">
        <v>1658.9</v>
      </c>
      <c r="U1289" s="16"/>
      <c r="V1289" s="16"/>
      <c r="W1289" s="16" t="s">
        <v>40</v>
      </c>
      <c r="X1289" s="19">
        <v>2.0880000000000001</v>
      </c>
      <c r="Y1289" s="20">
        <v>2.3140000000000001E-3</v>
      </c>
      <c r="Z1289" s="21">
        <v>2000321664415</v>
      </c>
    </row>
    <row r="1290" spans="1:26" ht="12" customHeight="1" outlineLevel="4" x14ac:dyDescent="0.2">
      <c r="A1290" s="14" t="s">
        <v>2539</v>
      </c>
      <c r="B1290" s="26" t="s">
        <v>2540</v>
      </c>
      <c r="C1290" s="52"/>
      <c r="D1290" s="55">
        <f t="shared" si="20"/>
        <v>0</v>
      </c>
      <c r="E1290" s="63" t="str">
        <f>HYPERLINK("https://www.sds-group.ru/product/provod-soedinitelnyy-pvs-3x1-5-mm-chernyy-dlina-5-metrov-gost-7399-97-rexant-01-8047-5/", "Инфо")</f>
        <v>Инфо</v>
      </c>
      <c r="F1290" s="16" t="s">
        <v>1887</v>
      </c>
      <c r="G1290" s="15"/>
      <c r="H1290" s="15"/>
      <c r="I1290" s="15"/>
      <c r="J1290" s="17">
        <v>1</v>
      </c>
      <c r="K1290" s="15"/>
      <c r="L1290" s="17">
        <v>1</v>
      </c>
      <c r="M1290" s="17">
        <v>15</v>
      </c>
      <c r="N1290" s="17">
        <v>1</v>
      </c>
      <c r="O1290" s="18">
        <v>960.01</v>
      </c>
      <c r="P1290" s="18">
        <v>786.89</v>
      </c>
      <c r="Q1290" s="18">
        <v>768.01</v>
      </c>
      <c r="R1290" s="18">
        <v>629.52</v>
      </c>
      <c r="S1290" s="18">
        <v>652.80999999999995</v>
      </c>
      <c r="T1290" s="18">
        <v>535.09</v>
      </c>
      <c r="U1290" s="16"/>
      <c r="V1290" s="16"/>
      <c r="W1290" s="16" t="s">
        <v>40</v>
      </c>
      <c r="X1290" s="19">
        <v>0.52900000000000003</v>
      </c>
      <c r="Y1290" s="20">
        <v>1.031E-3</v>
      </c>
      <c r="Z1290" s="21">
        <v>2000321664392</v>
      </c>
    </row>
    <row r="1291" spans="1:26" ht="12" customHeight="1" outlineLevel="4" x14ac:dyDescent="0.2">
      <c r="A1291" s="14" t="s">
        <v>2541</v>
      </c>
      <c r="B1291" s="26" t="s">
        <v>2542</v>
      </c>
      <c r="C1291" s="52"/>
      <c r="D1291" s="55">
        <f t="shared" si="20"/>
        <v>0</v>
      </c>
      <c r="E1291" s="63" t="str">
        <f>HYPERLINK("https://www.sds-group.ru/product/provod-soedinitelnyy-pvs-3x1-5-mm-chernyy-dlina-50-metrov-gost-7399-97-rexant-01-8047-50/", "Инфо")</f>
        <v>Инфо</v>
      </c>
      <c r="F1291" s="16" t="s">
        <v>1887</v>
      </c>
      <c r="G1291" s="15"/>
      <c r="H1291" s="15"/>
      <c r="I1291" s="15"/>
      <c r="J1291" s="16" t="s">
        <v>100</v>
      </c>
      <c r="K1291" s="15"/>
      <c r="L1291" s="17">
        <v>1</v>
      </c>
      <c r="M1291" s="17">
        <v>1</v>
      </c>
      <c r="N1291" s="17">
        <v>1</v>
      </c>
      <c r="O1291" s="18">
        <v>7426.51</v>
      </c>
      <c r="P1291" s="18">
        <v>6087.3</v>
      </c>
      <c r="Q1291" s="18">
        <v>5421.35</v>
      </c>
      <c r="R1291" s="18">
        <v>4443.7299999999996</v>
      </c>
      <c r="S1291" s="18">
        <v>5050.03</v>
      </c>
      <c r="T1291" s="18">
        <v>4139.37</v>
      </c>
      <c r="U1291" s="16"/>
      <c r="V1291" s="16"/>
      <c r="W1291" s="16" t="s">
        <v>40</v>
      </c>
      <c r="X1291" s="19">
        <v>5.2350000000000003</v>
      </c>
      <c r="Y1291" s="20">
        <v>5.1749999999999999E-3</v>
      </c>
      <c r="Z1291" s="21">
        <v>2000321664422</v>
      </c>
    </row>
    <row r="1292" spans="1:26" ht="12" customHeight="1" outlineLevel="4" x14ac:dyDescent="0.2">
      <c r="A1292" s="14" t="s">
        <v>2543</v>
      </c>
      <c r="B1292" s="26" t="s">
        <v>2544</v>
      </c>
      <c r="C1292" s="52"/>
      <c r="D1292" s="55">
        <f t="shared" si="20"/>
        <v>0</v>
      </c>
      <c r="E1292" s="63" t="str">
        <f>HYPERLINK("https://www.sds-group.ru/product/provod-soedinitelnyy-pvs-3x2-5-mm-dlina-10-metrov-gost-7399-97-rexant-01-8048-10/", "Инфо")</f>
        <v>Инфо</v>
      </c>
      <c r="F1292" s="16" t="s">
        <v>1887</v>
      </c>
      <c r="G1292" s="15"/>
      <c r="H1292" s="15"/>
      <c r="I1292" s="15"/>
      <c r="J1292" s="17">
        <v>14</v>
      </c>
      <c r="K1292" s="15"/>
      <c r="L1292" s="17">
        <v>1</v>
      </c>
      <c r="M1292" s="17">
        <v>12</v>
      </c>
      <c r="N1292" s="17">
        <v>1</v>
      </c>
      <c r="O1292" s="18">
        <v>2718.68</v>
      </c>
      <c r="P1292" s="18">
        <v>2228.4299999999998</v>
      </c>
      <c r="Q1292" s="18">
        <v>2093.38</v>
      </c>
      <c r="R1292" s="18">
        <v>1715.89</v>
      </c>
      <c r="S1292" s="18">
        <v>1848.7</v>
      </c>
      <c r="T1292" s="18">
        <v>1515.33</v>
      </c>
      <c r="U1292" s="16"/>
      <c r="V1292" s="16"/>
      <c r="W1292" s="16" t="s">
        <v>40</v>
      </c>
      <c r="X1292" s="19">
        <v>1.6020000000000001</v>
      </c>
      <c r="Y1292" s="20">
        <v>1.817E-3</v>
      </c>
      <c r="Z1292" s="21">
        <v>4601004120112</v>
      </c>
    </row>
    <row r="1293" spans="1:26" ht="12" customHeight="1" outlineLevel="4" x14ac:dyDescent="0.2">
      <c r="A1293" s="14" t="s">
        <v>2545</v>
      </c>
      <c r="B1293" s="26" t="s">
        <v>2546</v>
      </c>
      <c r="C1293" s="52"/>
      <c r="D1293" s="55">
        <f t="shared" si="20"/>
        <v>0</v>
      </c>
      <c r="E1293" s="63" t="str">
        <f>HYPERLINK("https://www.sds-group.ru/product/provod-soedinitelnyy-pvs-3x2-5-mm-dlina-20-metrov-gost-7399-97-rexant-01-8048-20/", "Инфо")</f>
        <v>Инфо</v>
      </c>
      <c r="F1293" s="16" t="s">
        <v>1887</v>
      </c>
      <c r="G1293" s="15"/>
      <c r="H1293" s="15"/>
      <c r="I1293" s="15"/>
      <c r="J1293" s="17">
        <v>20</v>
      </c>
      <c r="K1293" s="15"/>
      <c r="L1293" s="17">
        <v>1</v>
      </c>
      <c r="M1293" s="17">
        <v>6</v>
      </c>
      <c r="N1293" s="17">
        <v>1</v>
      </c>
      <c r="O1293" s="18">
        <v>4842.1499999999996</v>
      </c>
      <c r="P1293" s="18">
        <v>3968.98</v>
      </c>
      <c r="Q1293" s="18">
        <v>3534.77</v>
      </c>
      <c r="R1293" s="18">
        <v>2897.35</v>
      </c>
      <c r="S1293" s="18">
        <v>3292.66</v>
      </c>
      <c r="T1293" s="18">
        <v>2698.9</v>
      </c>
      <c r="U1293" s="16"/>
      <c r="V1293" s="16"/>
      <c r="W1293" s="16" t="s">
        <v>40</v>
      </c>
      <c r="X1293" s="19">
        <v>3.2080000000000002</v>
      </c>
      <c r="Y1293" s="20">
        <v>3.222E-3</v>
      </c>
      <c r="Z1293" s="21">
        <v>4601004120105</v>
      </c>
    </row>
    <row r="1294" spans="1:26" ht="12" customHeight="1" outlineLevel="4" x14ac:dyDescent="0.2">
      <c r="A1294" s="14" t="s">
        <v>2547</v>
      </c>
      <c r="B1294" s="26" t="s">
        <v>2548</v>
      </c>
      <c r="C1294" s="52"/>
      <c r="D1294" s="55">
        <f t="shared" si="20"/>
        <v>0</v>
      </c>
      <c r="E1294" s="63" t="str">
        <f>HYPERLINK("https://www.sds-group.ru/product/provod-soedinitelnyy-pvs-3x2-5-mm-dlina-5-metrov-gost-7399-97-rexant-01-8048-5/", "Инфо")</f>
        <v>Инфо</v>
      </c>
      <c r="F1294" s="16" t="s">
        <v>1887</v>
      </c>
      <c r="G1294" s="15"/>
      <c r="H1294" s="15"/>
      <c r="I1294" s="15"/>
      <c r="J1294" s="17">
        <v>19</v>
      </c>
      <c r="K1294" s="15"/>
      <c r="L1294" s="17">
        <v>1</v>
      </c>
      <c r="M1294" s="17">
        <v>1</v>
      </c>
      <c r="N1294" s="17">
        <v>1</v>
      </c>
      <c r="O1294" s="18">
        <v>1535.35</v>
      </c>
      <c r="P1294" s="18">
        <v>1258.48</v>
      </c>
      <c r="Q1294" s="18">
        <v>1212.93</v>
      </c>
      <c r="R1294" s="18">
        <v>994.2</v>
      </c>
      <c r="S1294" s="18">
        <v>1044.04</v>
      </c>
      <c r="T1294" s="18">
        <v>855.77</v>
      </c>
      <c r="U1294" s="16"/>
      <c r="V1294" s="16"/>
      <c r="W1294" s="16" t="s">
        <v>40</v>
      </c>
      <c r="X1294" s="19">
        <v>0.80700000000000005</v>
      </c>
      <c r="Y1294" s="20">
        <v>1.2459999999999999E-3</v>
      </c>
      <c r="Z1294" s="21">
        <v>4601004120129</v>
      </c>
    </row>
    <row r="1295" spans="1:26" ht="12" customHeight="1" outlineLevel="4" x14ac:dyDescent="0.2">
      <c r="A1295" s="14" t="s">
        <v>2549</v>
      </c>
      <c r="B1295" s="26" t="s">
        <v>2550</v>
      </c>
      <c r="C1295" s="52"/>
      <c r="D1295" s="55">
        <f t="shared" si="20"/>
        <v>0</v>
      </c>
      <c r="E1295" s="63" t="str">
        <f>HYPERLINK("https://www.sds-group.ru/product/provod-soedinitelnyy-pvs-3x2-5-mm-dlina-50-metrov-gost-7399-97-rexant-01-8048-50/", "Инфо")</f>
        <v>Инфо</v>
      </c>
      <c r="F1295" s="16" t="s">
        <v>1887</v>
      </c>
      <c r="G1295" s="15"/>
      <c r="H1295" s="15"/>
      <c r="I1295" s="15"/>
      <c r="J1295" s="16" t="s">
        <v>100</v>
      </c>
      <c r="K1295" s="15"/>
      <c r="L1295" s="17">
        <v>1</v>
      </c>
      <c r="M1295" s="17">
        <v>1</v>
      </c>
      <c r="N1295" s="17">
        <v>1</v>
      </c>
      <c r="O1295" s="18">
        <v>13364</v>
      </c>
      <c r="P1295" s="18">
        <v>10954.1</v>
      </c>
      <c r="Q1295" s="18">
        <v>9755.7199999999993</v>
      </c>
      <c r="R1295" s="18">
        <v>7996.49</v>
      </c>
      <c r="S1295" s="18">
        <v>9087.52</v>
      </c>
      <c r="T1295" s="18">
        <v>7448.79</v>
      </c>
      <c r="U1295" s="16"/>
      <c r="V1295" s="16"/>
      <c r="W1295" s="16" t="s">
        <v>40</v>
      </c>
      <c r="X1295" s="19">
        <v>8.1940000000000008</v>
      </c>
      <c r="Y1295" s="20">
        <v>9.4280000000000006E-3</v>
      </c>
      <c r="Z1295" s="21">
        <v>4601004120099</v>
      </c>
    </row>
    <row r="1296" spans="1:26" ht="12" customHeight="1" outlineLevel="4" x14ac:dyDescent="0.2">
      <c r="A1296" s="14" t="s">
        <v>2551</v>
      </c>
      <c r="B1296" s="26" t="s">
        <v>2552</v>
      </c>
      <c r="C1296" s="52"/>
      <c r="D1296" s="55">
        <f t="shared" si="20"/>
        <v>0</v>
      </c>
      <c r="E1296" s="63" t="str">
        <f>HYPERLINK("https://www.sds-group.ru/product/provod-soedinitelnyy-pvs-3x4-0-mm-dlina-20-metrov-gost-7399-97-rexant-01-8050-20/", "Инфо")</f>
        <v>Инфо</v>
      </c>
      <c r="F1296" s="16" t="s">
        <v>1887</v>
      </c>
      <c r="G1296" s="15"/>
      <c r="H1296" s="15"/>
      <c r="I1296" s="15"/>
      <c r="J1296" s="17">
        <v>8</v>
      </c>
      <c r="K1296" s="15"/>
      <c r="L1296" s="17">
        <v>1</v>
      </c>
      <c r="M1296" s="17">
        <v>1</v>
      </c>
      <c r="N1296" s="17">
        <v>1</v>
      </c>
      <c r="O1296" s="18">
        <v>6816.67</v>
      </c>
      <c r="P1296" s="18">
        <v>5587.43</v>
      </c>
      <c r="Q1296" s="18">
        <v>4976.17</v>
      </c>
      <c r="R1296" s="18">
        <v>4078.83</v>
      </c>
      <c r="S1296" s="18">
        <v>4635.34</v>
      </c>
      <c r="T1296" s="18">
        <v>3799.46</v>
      </c>
      <c r="U1296" s="16"/>
      <c r="V1296" s="16"/>
      <c r="W1296" s="16" t="s">
        <v>40</v>
      </c>
      <c r="X1296" s="19">
        <v>4.7</v>
      </c>
      <c r="Y1296" s="20">
        <v>5.6249999999999998E-3</v>
      </c>
      <c r="Z1296" s="21">
        <v>4601004120068</v>
      </c>
    </row>
    <row r="1297" spans="1:26" ht="12" customHeight="1" outlineLevel="4" x14ac:dyDescent="0.2">
      <c r="A1297" s="14" t="s">
        <v>2553</v>
      </c>
      <c r="B1297" s="26" t="s">
        <v>2554</v>
      </c>
      <c r="C1297" s="52"/>
      <c r="D1297" s="55">
        <f t="shared" si="20"/>
        <v>0</v>
      </c>
      <c r="E1297" s="63" t="str">
        <f>HYPERLINK("https://www.sds-group.ru/product/provod-soedinitelnyy-pvs-3x4-0-mm-dlina-5-metrov-gost-7399-97-rexant-01-8050-5/", "Инфо")</f>
        <v>Инфо</v>
      </c>
      <c r="F1297" s="16" t="s">
        <v>1887</v>
      </c>
      <c r="G1297" s="15"/>
      <c r="H1297" s="15"/>
      <c r="I1297" s="15"/>
      <c r="J1297" s="17">
        <v>7</v>
      </c>
      <c r="K1297" s="15"/>
      <c r="L1297" s="17">
        <v>1</v>
      </c>
      <c r="M1297" s="17">
        <v>1</v>
      </c>
      <c r="N1297" s="17">
        <v>1</v>
      </c>
      <c r="O1297" s="18">
        <v>1759.37</v>
      </c>
      <c r="P1297" s="18">
        <v>1442.11</v>
      </c>
      <c r="Q1297" s="18">
        <v>1389.9</v>
      </c>
      <c r="R1297" s="18">
        <v>1139.26</v>
      </c>
      <c r="S1297" s="18">
        <v>1196.3699999999999</v>
      </c>
      <c r="T1297" s="18">
        <v>980.63</v>
      </c>
      <c r="U1297" s="16"/>
      <c r="V1297" s="16"/>
      <c r="W1297" s="16" t="s">
        <v>40</v>
      </c>
      <c r="X1297" s="19">
        <v>1.452</v>
      </c>
      <c r="Y1297" s="20">
        <v>1.928E-3</v>
      </c>
      <c r="Z1297" s="21">
        <v>4601004120082</v>
      </c>
    </row>
    <row r="1298" spans="1:26" ht="12.95" customHeight="1" outlineLevel="3" x14ac:dyDescent="0.2">
      <c r="A1298" s="82" t="s">
        <v>2555</v>
      </c>
      <c r="B1298" s="82"/>
      <c r="C1298" s="83"/>
      <c r="D1298" s="59"/>
      <c r="E1298" s="69"/>
      <c r="F1298" s="23"/>
      <c r="G1298" s="23"/>
      <c r="H1298" s="23"/>
      <c r="I1298" s="23"/>
      <c r="J1298" s="23"/>
      <c r="K1298" s="23"/>
      <c r="L1298" s="23"/>
      <c r="M1298" s="23"/>
      <c r="N1298" s="23"/>
      <c r="O1298" s="23"/>
      <c r="P1298" s="23"/>
      <c r="Q1298" s="23"/>
      <c r="R1298" s="23"/>
      <c r="S1298" s="23"/>
      <c r="T1298" s="23"/>
      <c r="U1298" s="23"/>
      <c r="V1298" s="23"/>
      <c r="W1298" s="23"/>
      <c r="X1298" s="23"/>
      <c r="Y1298" s="23"/>
      <c r="Z1298" s="23"/>
    </row>
    <row r="1299" spans="1:26" ht="12" customHeight="1" outlineLevel="4" x14ac:dyDescent="0.2">
      <c r="A1299" s="14" t="s">
        <v>2556</v>
      </c>
      <c r="B1299" s="26" t="s">
        <v>2557</v>
      </c>
      <c r="C1299" s="52"/>
      <c r="D1299" s="55">
        <f t="shared" si="20"/>
        <v>0</v>
      </c>
      <c r="E1299" s="63" t="str">
        <f>HYPERLINK("https://www.sds-group.ru/product/provod-shvvp-2h0-5-mm-dlina-10-metrov-gost-7399-97-rexant-01-8082-10/", "Инфо")</f>
        <v>Инфо</v>
      </c>
      <c r="F1299" s="16" t="s">
        <v>1887</v>
      </c>
      <c r="G1299" s="15"/>
      <c r="H1299" s="15"/>
      <c r="I1299" s="15"/>
      <c r="J1299" s="17">
        <v>142</v>
      </c>
      <c r="K1299" s="15"/>
      <c r="L1299" s="17">
        <v>1</v>
      </c>
      <c r="M1299" s="17">
        <v>42</v>
      </c>
      <c r="N1299" s="17">
        <v>1</v>
      </c>
      <c r="O1299" s="18">
        <v>547.95000000000005</v>
      </c>
      <c r="P1299" s="18">
        <v>449.14</v>
      </c>
      <c r="Q1299" s="18">
        <v>383.57</v>
      </c>
      <c r="R1299" s="18">
        <v>314.39999999999998</v>
      </c>
      <c r="S1299" s="18">
        <v>372.61</v>
      </c>
      <c r="T1299" s="18">
        <v>305.42</v>
      </c>
      <c r="U1299" s="16"/>
      <c r="V1299" s="16"/>
      <c r="W1299" s="16"/>
      <c r="X1299" s="19">
        <v>0.25700000000000001</v>
      </c>
      <c r="Y1299" s="20">
        <v>7.5000000000000002E-4</v>
      </c>
      <c r="Z1299" s="21">
        <v>4601004120044</v>
      </c>
    </row>
    <row r="1300" spans="1:26" ht="12" customHeight="1" outlineLevel="4" x14ac:dyDescent="0.2">
      <c r="A1300" s="14" t="s">
        <v>2558</v>
      </c>
      <c r="B1300" s="26" t="s">
        <v>2559</v>
      </c>
      <c r="C1300" s="52"/>
      <c r="D1300" s="55">
        <f t="shared" si="20"/>
        <v>0</v>
      </c>
      <c r="E1300" s="63" t="str">
        <f>HYPERLINK("https://www.sds-group.ru/product/provod-shvvp-2h0-5-mm-dlina-20-metrov-gost-7399-97-rexant-01-8082-20/", "Инфо")</f>
        <v>Инфо</v>
      </c>
      <c r="F1300" s="16" t="s">
        <v>1887</v>
      </c>
      <c r="G1300" s="15"/>
      <c r="H1300" s="15"/>
      <c r="I1300" s="15"/>
      <c r="J1300" s="17">
        <v>4</v>
      </c>
      <c r="K1300" s="15"/>
      <c r="L1300" s="17">
        <v>1</v>
      </c>
      <c r="M1300" s="17">
        <v>18</v>
      </c>
      <c r="N1300" s="17">
        <v>1</v>
      </c>
      <c r="O1300" s="18">
        <v>1075.49</v>
      </c>
      <c r="P1300" s="18">
        <v>881.55</v>
      </c>
      <c r="Q1300" s="18">
        <v>860.39</v>
      </c>
      <c r="R1300" s="18">
        <v>705.24</v>
      </c>
      <c r="S1300" s="18">
        <v>731.33</v>
      </c>
      <c r="T1300" s="18">
        <v>599.45000000000005</v>
      </c>
      <c r="U1300" s="16"/>
      <c r="V1300" s="16"/>
      <c r="W1300" s="16" t="s">
        <v>40</v>
      </c>
      <c r="X1300" s="19">
        <v>0.56100000000000005</v>
      </c>
      <c r="Y1300" s="20">
        <v>1.073E-3</v>
      </c>
      <c r="Z1300" s="21">
        <v>4601004120037</v>
      </c>
    </row>
    <row r="1301" spans="1:26" ht="12" customHeight="1" outlineLevel="4" x14ac:dyDescent="0.2">
      <c r="A1301" s="14" t="s">
        <v>2560</v>
      </c>
      <c r="B1301" s="26" t="s">
        <v>2561</v>
      </c>
      <c r="C1301" s="52"/>
      <c r="D1301" s="55">
        <f t="shared" si="20"/>
        <v>0</v>
      </c>
      <c r="E1301" s="63" t="str">
        <f>HYPERLINK("https://www.sds-group.ru/product/provod-shvvp-2h0-5-mm-dlina-5-metrov-gost-7399-97-rexant-01-8082-5/", "Инфо")</f>
        <v>Инфо</v>
      </c>
      <c r="F1301" s="16" t="s">
        <v>1887</v>
      </c>
      <c r="G1301" s="15"/>
      <c r="H1301" s="15"/>
      <c r="I1301" s="15"/>
      <c r="J1301" s="17">
        <v>164</v>
      </c>
      <c r="K1301" s="15"/>
      <c r="L1301" s="17">
        <v>5</v>
      </c>
      <c r="M1301" s="17">
        <v>35</v>
      </c>
      <c r="N1301" s="17">
        <v>5</v>
      </c>
      <c r="O1301" s="18">
        <v>385.09</v>
      </c>
      <c r="P1301" s="18">
        <v>315.64999999999998</v>
      </c>
      <c r="Q1301" s="18">
        <v>269.56</v>
      </c>
      <c r="R1301" s="18">
        <v>220.95</v>
      </c>
      <c r="S1301" s="18">
        <v>261.86</v>
      </c>
      <c r="T1301" s="18">
        <v>214.64</v>
      </c>
      <c r="U1301" s="16"/>
      <c r="V1301" s="16"/>
      <c r="W1301" s="16"/>
      <c r="X1301" s="19">
        <v>0.14599999999999999</v>
      </c>
      <c r="Y1301" s="20">
        <v>5.0900000000000001E-4</v>
      </c>
      <c r="Z1301" s="21">
        <v>4601004120051</v>
      </c>
    </row>
    <row r="1302" spans="1:26" ht="12" customHeight="1" outlineLevel="4" x14ac:dyDescent="0.2">
      <c r="A1302" s="14" t="s">
        <v>2562</v>
      </c>
      <c r="B1302" s="26" t="s">
        <v>2563</v>
      </c>
      <c r="C1302" s="52"/>
      <c r="D1302" s="55">
        <f t="shared" si="20"/>
        <v>0</v>
      </c>
      <c r="E1302" s="63" t="str">
        <f>HYPERLINK("https://www.sds-group.ru/product/provod-shvvp-2h0-5-mm-dlina-50-metrov-gost-7399-97-rexant-01-8082-50/", "Инфо")</f>
        <v>Инфо</v>
      </c>
      <c r="F1302" s="16" t="s">
        <v>1887</v>
      </c>
      <c r="G1302" s="15"/>
      <c r="H1302" s="15"/>
      <c r="I1302" s="15"/>
      <c r="J1302" s="17">
        <v>45</v>
      </c>
      <c r="K1302" s="15"/>
      <c r="L1302" s="17">
        <v>1</v>
      </c>
      <c r="M1302" s="17">
        <v>12</v>
      </c>
      <c r="N1302" s="17">
        <v>1</v>
      </c>
      <c r="O1302" s="18">
        <v>2109.5300000000002</v>
      </c>
      <c r="P1302" s="18">
        <v>1729.12</v>
      </c>
      <c r="Q1302" s="18">
        <v>1666.53</v>
      </c>
      <c r="R1302" s="18">
        <v>1366.01</v>
      </c>
      <c r="S1302" s="18">
        <v>1434.48</v>
      </c>
      <c r="T1302" s="18">
        <v>1175.8</v>
      </c>
      <c r="U1302" s="16"/>
      <c r="V1302" s="16"/>
      <c r="W1302" s="16" t="s">
        <v>40</v>
      </c>
      <c r="X1302" s="19">
        <v>1.401</v>
      </c>
      <c r="Y1302" s="20">
        <v>1.753E-3</v>
      </c>
      <c r="Z1302" s="21">
        <v>4601004120020</v>
      </c>
    </row>
    <row r="1303" spans="1:26" ht="12" customHeight="1" outlineLevel="4" x14ac:dyDescent="0.2">
      <c r="A1303" s="14" t="s">
        <v>2564</v>
      </c>
      <c r="B1303" s="26" t="s">
        <v>2565</v>
      </c>
      <c r="C1303" s="52"/>
      <c r="D1303" s="55">
        <f t="shared" si="20"/>
        <v>0</v>
      </c>
      <c r="E1303" s="63" t="str">
        <f>HYPERLINK("https://www.sds-group.ru/product/provod-shvvp-2h0-75-mm-dlina-10-metrov-gost-7399-97-rexant-01-8086-10/", "Инфо")</f>
        <v>Инфо</v>
      </c>
      <c r="F1303" s="16" t="s">
        <v>1887</v>
      </c>
      <c r="G1303" s="15"/>
      <c r="H1303" s="15"/>
      <c r="I1303" s="15"/>
      <c r="J1303" s="16" t="s">
        <v>100</v>
      </c>
      <c r="K1303" s="15"/>
      <c r="L1303" s="17">
        <v>1</v>
      </c>
      <c r="M1303" s="17">
        <v>32</v>
      </c>
      <c r="N1303" s="17">
        <v>1</v>
      </c>
      <c r="O1303" s="18">
        <v>691.58</v>
      </c>
      <c r="P1303" s="18">
        <v>566.87</v>
      </c>
      <c r="Q1303" s="18">
        <v>553.26</v>
      </c>
      <c r="R1303" s="18">
        <v>453.49</v>
      </c>
      <c r="S1303" s="18">
        <v>470.27</v>
      </c>
      <c r="T1303" s="18">
        <v>385.47</v>
      </c>
      <c r="U1303" s="16"/>
      <c r="V1303" s="16"/>
      <c r="W1303" s="16" t="s">
        <v>40</v>
      </c>
      <c r="X1303" s="19">
        <v>0.35699999999999998</v>
      </c>
      <c r="Y1303" s="20">
        <v>8.3299999999999997E-4</v>
      </c>
      <c r="Z1303" s="21">
        <v>4601004120006</v>
      </c>
    </row>
    <row r="1304" spans="1:26" ht="12" customHeight="1" outlineLevel="4" x14ac:dyDescent="0.2">
      <c r="A1304" s="14" t="s">
        <v>2566</v>
      </c>
      <c r="B1304" s="26" t="s">
        <v>2567</v>
      </c>
      <c r="C1304" s="52"/>
      <c r="D1304" s="55">
        <f t="shared" si="20"/>
        <v>0</v>
      </c>
      <c r="E1304" s="63" t="str">
        <f>HYPERLINK("https://www.sds-group.ru/product/provod-shvvp-2h0-75-mm-dlina-20-metrov-gost-7399-97-rexant-01-8086-20/", "Инфо")</f>
        <v>Инфо</v>
      </c>
      <c r="F1304" s="16" t="s">
        <v>1887</v>
      </c>
      <c r="G1304" s="15"/>
      <c r="H1304" s="15"/>
      <c r="I1304" s="15"/>
      <c r="J1304" s="17">
        <v>41</v>
      </c>
      <c r="K1304" s="15"/>
      <c r="L1304" s="17">
        <v>1</v>
      </c>
      <c r="M1304" s="17">
        <v>15</v>
      </c>
      <c r="N1304" s="17">
        <v>1</v>
      </c>
      <c r="O1304" s="18">
        <v>1326.26</v>
      </c>
      <c r="P1304" s="18">
        <v>1087.0999999999999</v>
      </c>
      <c r="Q1304" s="18">
        <v>1061.01</v>
      </c>
      <c r="R1304" s="18">
        <v>869.68</v>
      </c>
      <c r="S1304" s="18">
        <v>901.86</v>
      </c>
      <c r="T1304" s="18">
        <v>739.23</v>
      </c>
      <c r="U1304" s="16"/>
      <c r="V1304" s="16"/>
      <c r="W1304" s="16" t="s">
        <v>40</v>
      </c>
      <c r="X1304" s="19">
        <v>0.76</v>
      </c>
      <c r="Y1304" s="20">
        <v>1.8209999999999999E-3</v>
      </c>
      <c r="Z1304" s="21">
        <v>4601004119994</v>
      </c>
    </row>
    <row r="1305" spans="1:26" ht="12" customHeight="1" outlineLevel="4" x14ac:dyDescent="0.2">
      <c r="A1305" s="14" t="s">
        <v>2568</v>
      </c>
      <c r="B1305" s="26" t="s">
        <v>2569</v>
      </c>
      <c r="C1305" s="52"/>
      <c r="D1305" s="55">
        <f t="shared" si="20"/>
        <v>0</v>
      </c>
      <c r="E1305" s="63" t="str">
        <f>HYPERLINK("https://www.sds-group.ru/product/provod-shvvp-2h0-75-mm-dlina-5-metrov-gost-7399-97-rexant-01-8086-5/", "Инфо")</f>
        <v>Инфо</v>
      </c>
      <c r="F1305" s="16" t="s">
        <v>1887</v>
      </c>
      <c r="G1305" s="15"/>
      <c r="H1305" s="15"/>
      <c r="I1305" s="15"/>
      <c r="J1305" s="17">
        <v>53</v>
      </c>
      <c r="K1305" s="15"/>
      <c r="L1305" s="17">
        <v>5</v>
      </c>
      <c r="M1305" s="17">
        <v>1</v>
      </c>
      <c r="N1305" s="17">
        <v>5</v>
      </c>
      <c r="O1305" s="18">
        <v>478.49</v>
      </c>
      <c r="P1305" s="18">
        <v>392.2</v>
      </c>
      <c r="Q1305" s="18">
        <v>358.87</v>
      </c>
      <c r="R1305" s="18">
        <v>294.16000000000003</v>
      </c>
      <c r="S1305" s="18">
        <v>325.37</v>
      </c>
      <c r="T1305" s="18">
        <v>266.7</v>
      </c>
      <c r="U1305" s="16"/>
      <c r="V1305" s="16"/>
      <c r="W1305" s="16" t="s">
        <v>40</v>
      </c>
      <c r="X1305" s="19">
        <v>0.17499999999999999</v>
      </c>
      <c r="Y1305" s="20">
        <v>5.0299999999999997E-4</v>
      </c>
      <c r="Z1305" s="21">
        <v>4601004120013</v>
      </c>
    </row>
    <row r="1306" spans="1:26" ht="12" customHeight="1" outlineLevel="4" x14ac:dyDescent="0.2">
      <c r="A1306" s="14" t="s">
        <v>2570</v>
      </c>
      <c r="B1306" s="26" t="s">
        <v>2571</v>
      </c>
      <c r="C1306" s="52"/>
      <c r="D1306" s="55">
        <f t="shared" si="20"/>
        <v>0</v>
      </c>
      <c r="E1306" s="63" t="str">
        <f>HYPERLINK("https://www.sds-group.ru/product/provod-shvvp-2h0-75-mm-dlina-50-metrov-gost-7399-97-rexant-01-8086-50/", "Инфо")</f>
        <v>Инфо</v>
      </c>
      <c r="F1306" s="16" t="s">
        <v>1887</v>
      </c>
      <c r="G1306" s="15"/>
      <c r="H1306" s="15"/>
      <c r="I1306" s="15"/>
      <c r="J1306" s="17">
        <v>97</v>
      </c>
      <c r="K1306" s="15"/>
      <c r="L1306" s="17">
        <v>1</v>
      </c>
      <c r="M1306" s="17">
        <v>12</v>
      </c>
      <c r="N1306" s="17">
        <v>1</v>
      </c>
      <c r="O1306" s="18">
        <v>2919.56</v>
      </c>
      <c r="P1306" s="18">
        <v>2393.08</v>
      </c>
      <c r="Q1306" s="18">
        <v>2248.06</v>
      </c>
      <c r="R1306" s="18">
        <v>1842.67</v>
      </c>
      <c r="S1306" s="18">
        <v>1985.3</v>
      </c>
      <c r="T1306" s="18">
        <v>1627.3</v>
      </c>
      <c r="U1306" s="16"/>
      <c r="V1306" s="16"/>
      <c r="W1306" s="16" t="s">
        <v>40</v>
      </c>
      <c r="X1306" s="19">
        <v>1.895</v>
      </c>
      <c r="Y1306" s="20">
        <v>1.9289999999999999E-3</v>
      </c>
      <c r="Z1306" s="21">
        <v>4601004119987</v>
      </c>
    </row>
    <row r="1307" spans="1:26" ht="12.95" customHeight="1" outlineLevel="3" x14ac:dyDescent="0.2">
      <c r="A1307" s="82" t="s">
        <v>2572</v>
      </c>
      <c r="B1307" s="82"/>
      <c r="C1307" s="83"/>
      <c r="D1307" s="59"/>
      <c r="E1307" s="69"/>
      <c r="F1307" s="23"/>
      <c r="G1307" s="23"/>
      <c r="H1307" s="23"/>
      <c r="I1307" s="23"/>
      <c r="J1307" s="23"/>
      <c r="K1307" s="23"/>
      <c r="L1307" s="23"/>
      <c r="M1307" s="23"/>
      <c r="N1307" s="23"/>
      <c r="O1307" s="23"/>
      <c r="P1307" s="23"/>
      <c r="Q1307" s="23"/>
      <c r="R1307" s="23"/>
      <c r="S1307" s="23"/>
      <c r="T1307" s="23"/>
      <c r="U1307" s="23"/>
      <c r="V1307" s="23"/>
      <c r="W1307" s="23"/>
      <c r="X1307" s="23"/>
      <c r="Y1307" s="23"/>
      <c r="Z1307" s="23"/>
    </row>
    <row r="1308" spans="1:26" ht="12" customHeight="1" outlineLevel="4" x14ac:dyDescent="0.2">
      <c r="A1308" s="14" t="s">
        <v>2573</v>
      </c>
      <c r="B1308" s="26" t="s">
        <v>2574</v>
      </c>
      <c r="C1308" s="52"/>
      <c r="D1308" s="55">
        <f t="shared" si="20"/>
        <v>0</v>
      </c>
      <c r="E1308" s="63" t="str">
        <f>HYPERLINK("https://www.sds-group.ru/product/kabel-silovoy-mednyy-vvg-png-a-2x1-5-mm-dlina-10-metrov-gost-31996-2012-tu-16-705-499-201-01-8201-10/", "Инфо")</f>
        <v>Инфо</v>
      </c>
      <c r="F1308" s="16" t="s">
        <v>1887</v>
      </c>
      <c r="G1308" s="15"/>
      <c r="H1308" s="15"/>
      <c r="I1308" s="15"/>
      <c r="J1308" s="17">
        <v>17</v>
      </c>
      <c r="K1308" s="15"/>
      <c r="L1308" s="17">
        <v>1</v>
      </c>
      <c r="M1308" s="17">
        <v>12</v>
      </c>
      <c r="N1308" s="17">
        <v>1</v>
      </c>
      <c r="O1308" s="18">
        <v>1185.0999999999999</v>
      </c>
      <c r="P1308" s="18">
        <v>971.39</v>
      </c>
      <c r="Q1308" s="18">
        <v>948.08</v>
      </c>
      <c r="R1308" s="18">
        <v>777.11</v>
      </c>
      <c r="S1308" s="18">
        <v>805.87</v>
      </c>
      <c r="T1308" s="18">
        <v>660.55</v>
      </c>
      <c r="U1308" s="16"/>
      <c r="V1308" s="16"/>
      <c r="W1308" s="16" t="s">
        <v>40</v>
      </c>
      <c r="X1308" s="19">
        <v>0.75</v>
      </c>
      <c r="Y1308" s="20">
        <v>1.2409999999999999E-3</v>
      </c>
      <c r="Z1308" s="21">
        <v>4601004119475</v>
      </c>
    </row>
    <row r="1309" spans="1:26" ht="12" customHeight="1" outlineLevel="4" x14ac:dyDescent="0.2">
      <c r="A1309" s="14" t="s">
        <v>2575</v>
      </c>
      <c r="B1309" s="26" t="s">
        <v>2576</v>
      </c>
      <c r="C1309" s="52"/>
      <c r="D1309" s="55">
        <f t="shared" si="20"/>
        <v>0</v>
      </c>
      <c r="E1309" s="63" t="str">
        <f>HYPERLINK("https://www.sds-group.ru/product/kabel-silovoy-mednyy-vvg-png-a-2x1-5-mm-dlina-20-metrov-gost-31996-2012-tu-16-705-499-201-01-8201-20/", "Инфо")</f>
        <v>Инфо</v>
      </c>
      <c r="F1309" s="16" t="s">
        <v>1887</v>
      </c>
      <c r="G1309" s="15"/>
      <c r="H1309" s="15"/>
      <c r="I1309" s="15"/>
      <c r="J1309" s="17">
        <v>8</v>
      </c>
      <c r="K1309" s="15"/>
      <c r="L1309" s="17">
        <v>1</v>
      </c>
      <c r="M1309" s="17">
        <v>1</v>
      </c>
      <c r="N1309" s="17">
        <v>1</v>
      </c>
      <c r="O1309" s="18">
        <v>2214.31</v>
      </c>
      <c r="P1309" s="18">
        <v>1815.01</v>
      </c>
      <c r="Q1309" s="18">
        <v>1837.88</v>
      </c>
      <c r="R1309" s="18">
        <v>1506.46</v>
      </c>
      <c r="S1309" s="18">
        <v>1505.73</v>
      </c>
      <c r="T1309" s="18">
        <v>1234.2</v>
      </c>
      <c r="U1309" s="16"/>
      <c r="V1309" s="16"/>
      <c r="W1309" s="16" t="s">
        <v>40</v>
      </c>
      <c r="X1309" s="19">
        <v>1.454</v>
      </c>
      <c r="Y1309" s="20">
        <v>1.8439999999999999E-3</v>
      </c>
      <c r="Z1309" s="21">
        <v>4601004119482</v>
      </c>
    </row>
    <row r="1310" spans="1:26" ht="12" customHeight="1" outlineLevel="4" x14ac:dyDescent="0.2">
      <c r="A1310" s="14" t="s">
        <v>2577</v>
      </c>
      <c r="B1310" s="26" t="s">
        <v>2578</v>
      </c>
      <c r="C1310" s="52"/>
      <c r="D1310" s="55">
        <f t="shared" si="20"/>
        <v>0</v>
      </c>
      <c r="E1310" s="63" t="str">
        <f>HYPERLINK("https://www.sds-group.ru/product/kabel-silovoy-mednyy-vvg-png-a-2x1-5-mm-dlina-5-metrov-gost-31996-2012-tu-16-705-499-2010--01-8201-5/", "Инфо")</f>
        <v>Инфо</v>
      </c>
      <c r="F1310" s="16" t="s">
        <v>1887</v>
      </c>
      <c r="G1310" s="15"/>
      <c r="H1310" s="15"/>
      <c r="I1310" s="15"/>
      <c r="J1310" s="17">
        <v>5</v>
      </c>
      <c r="K1310" s="15"/>
      <c r="L1310" s="17">
        <v>1</v>
      </c>
      <c r="M1310" s="17">
        <v>20</v>
      </c>
      <c r="N1310" s="17">
        <v>1</v>
      </c>
      <c r="O1310" s="18">
        <v>644.53</v>
      </c>
      <c r="P1310" s="18">
        <v>528.29999999999995</v>
      </c>
      <c r="Q1310" s="18">
        <v>515.62</v>
      </c>
      <c r="R1310" s="18">
        <v>422.64</v>
      </c>
      <c r="S1310" s="18">
        <v>438.28</v>
      </c>
      <c r="T1310" s="18">
        <v>359.25</v>
      </c>
      <c r="U1310" s="16"/>
      <c r="V1310" s="16"/>
      <c r="W1310" s="16" t="s">
        <v>40</v>
      </c>
      <c r="X1310" s="19">
        <v>0.40699999999999997</v>
      </c>
      <c r="Y1310" s="20">
        <v>8.7000000000000001E-4</v>
      </c>
      <c r="Z1310" s="21">
        <v>4601004119970</v>
      </c>
    </row>
    <row r="1311" spans="1:26" ht="12" customHeight="1" outlineLevel="4" x14ac:dyDescent="0.2">
      <c r="A1311" s="14" t="s">
        <v>2579</v>
      </c>
      <c r="B1311" s="26" t="s">
        <v>2580</v>
      </c>
      <c r="C1311" s="52"/>
      <c r="D1311" s="55">
        <f t="shared" si="20"/>
        <v>0</v>
      </c>
      <c r="E1311" s="63" t="str">
        <f>HYPERLINK("https://www.sds-group.ru/product/kabel-silovoy-mednyy-vvg-png-a-2x1-5-mm-dlina-50-metrov-gost-31996-2012-tu-16-705-499-201-01-8201-50/", "Инфо")</f>
        <v>Инфо</v>
      </c>
      <c r="F1311" s="16" t="s">
        <v>1887</v>
      </c>
      <c r="G1311" s="15"/>
      <c r="H1311" s="15"/>
      <c r="I1311" s="15"/>
      <c r="J1311" s="17">
        <v>5</v>
      </c>
      <c r="K1311" s="15"/>
      <c r="L1311" s="17">
        <v>1</v>
      </c>
      <c r="M1311" s="17">
        <v>1</v>
      </c>
      <c r="N1311" s="17">
        <v>1</v>
      </c>
      <c r="O1311" s="18">
        <v>5520.11</v>
      </c>
      <c r="P1311" s="18">
        <v>4524.68</v>
      </c>
      <c r="Q1311" s="18">
        <v>4416.09</v>
      </c>
      <c r="R1311" s="18">
        <v>3619.75</v>
      </c>
      <c r="S1311" s="18">
        <v>3753.67</v>
      </c>
      <c r="T1311" s="18">
        <v>3076.78</v>
      </c>
      <c r="U1311" s="16"/>
      <c r="V1311" s="16"/>
      <c r="W1311" s="16" t="s">
        <v>40</v>
      </c>
      <c r="X1311" s="19">
        <v>3.7879999999999998</v>
      </c>
      <c r="Y1311" s="20">
        <v>3.7369999999999999E-3</v>
      </c>
      <c r="Z1311" s="21">
        <v>4601004119499</v>
      </c>
    </row>
    <row r="1312" spans="1:26" ht="12" customHeight="1" outlineLevel="4" x14ac:dyDescent="0.2">
      <c r="A1312" s="14" t="s">
        <v>2581</v>
      </c>
      <c r="B1312" s="26" t="s">
        <v>2582</v>
      </c>
      <c r="C1312" s="52"/>
      <c r="D1312" s="55">
        <f t="shared" si="20"/>
        <v>0</v>
      </c>
      <c r="E1312" s="63" t="str">
        <f>HYPERLINK("https://www.sds-group.ru/product/kabel-silovoy-mednyy-vvg-png-a-2x2-5-mm-dlina-10-metrov-gost-31996-2012-tu-16-705-499-201-01-8202-10/", "Инфо")</f>
        <v>Инфо</v>
      </c>
      <c r="F1312" s="16" t="s">
        <v>1887</v>
      </c>
      <c r="G1312" s="15"/>
      <c r="H1312" s="15"/>
      <c r="I1312" s="15"/>
      <c r="J1312" s="17">
        <v>19</v>
      </c>
      <c r="K1312" s="15"/>
      <c r="L1312" s="17">
        <v>1</v>
      </c>
      <c r="M1312" s="17">
        <v>12</v>
      </c>
      <c r="N1312" s="17">
        <v>1</v>
      </c>
      <c r="O1312" s="18">
        <v>1709.46</v>
      </c>
      <c r="P1312" s="18">
        <v>1401.2</v>
      </c>
      <c r="Q1312" s="18">
        <v>1418.85</v>
      </c>
      <c r="R1312" s="18">
        <v>1162.99</v>
      </c>
      <c r="S1312" s="18">
        <v>1162.43</v>
      </c>
      <c r="T1312" s="18">
        <v>952.81</v>
      </c>
      <c r="U1312" s="16"/>
      <c r="V1312" s="16"/>
      <c r="W1312" s="16" t="s">
        <v>40</v>
      </c>
      <c r="X1312" s="19">
        <v>1.0029999999999999</v>
      </c>
      <c r="Y1312" s="20">
        <v>1.474E-3</v>
      </c>
      <c r="Z1312" s="21">
        <v>4601004119512</v>
      </c>
    </row>
    <row r="1313" spans="1:26" ht="12" customHeight="1" outlineLevel="4" x14ac:dyDescent="0.2">
      <c r="A1313" s="14" t="s">
        <v>2583</v>
      </c>
      <c r="B1313" s="26" t="s">
        <v>2584</v>
      </c>
      <c r="C1313" s="52"/>
      <c r="D1313" s="55">
        <f t="shared" si="20"/>
        <v>0</v>
      </c>
      <c r="E1313" s="63" t="str">
        <f>HYPERLINK("https://www.sds-group.ru/product/kabel-silovoy-mednyy-vvg-png-a-2x2-5-mm-dlina-20-metrov-gost-31996-2012-tu-16-705-499-201-01-8202-20/", "Инфо")</f>
        <v>Инфо</v>
      </c>
      <c r="F1313" s="16" t="s">
        <v>1887</v>
      </c>
      <c r="G1313" s="15"/>
      <c r="H1313" s="15"/>
      <c r="I1313" s="15"/>
      <c r="J1313" s="17">
        <v>31</v>
      </c>
      <c r="K1313" s="15"/>
      <c r="L1313" s="17">
        <v>1</v>
      </c>
      <c r="M1313" s="17">
        <v>9</v>
      </c>
      <c r="N1313" s="17">
        <v>1</v>
      </c>
      <c r="O1313" s="18">
        <v>3363.98</v>
      </c>
      <c r="P1313" s="18">
        <v>2757.36</v>
      </c>
      <c r="Q1313" s="18">
        <v>2792.1</v>
      </c>
      <c r="R1313" s="18">
        <v>2288.61</v>
      </c>
      <c r="S1313" s="18">
        <v>2287.5100000000002</v>
      </c>
      <c r="T1313" s="18">
        <v>1875.01</v>
      </c>
      <c r="U1313" s="16"/>
      <c r="V1313" s="16"/>
      <c r="W1313" s="16" t="s">
        <v>40</v>
      </c>
      <c r="X1313" s="19">
        <v>2.004</v>
      </c>
      <c r="Y1313" s="20">
        <v>2.2959999999999999E-3</v>
      </c>
      <c r="Z1313" s="21">
        <v>4601004119529</v>
      </c>
    </row>
    <row r="1314" spans="1:26" ht="12" customHeight="1" outlineLevel="4" x14ac:dyDescent="0.2">
      <c r="A1314" s="14" t="s">
        <v>2585</v>
      </c>
      <c r="B1314" s="26" t="s">
        <v>2586</v>
      </c>
      <c r="C1314" s="52"/>
      <c r="D1314" s="55">
        <f t="shared" si="20"/>
        <v>0</v>
      </c>
      <c r="E1314" s="63" t="str">
        <f>HYPERLINK("https://www.sds-group.ru/product/kabel-silovoy-mednyy-vvg-png-a-2x2-5-mm-dlina-5-metrov-gost-31996-2012-tu-16-705-499-2010--01-8202-5/", "Инфо")</f>
        <v>Инфо</v>
      </c>
      <c r="F1314" s="16" t="s">
        <v>1887</v>
      </c>
      <c r="G1314" s="15"/>
      <c r="H1314" s="15"/>
      <c r="I1314" s="15"/>
      <c r="J1314" s="17">
        <v>17</v>
      </c>
      <c r="K1314" s="15"/>
      <c r="L1314" s="17">
        <v>1</v>
      </c>
      <c r="M1314" s="17">
        <v>1</v>
      </c>
      <c r="N1314" s="17">
        <v>1</v>
      </c>
      <c r="O1314" s="18">
        <v>826.21</v>
      </c>
      <c r="P1314" s="18">
        <v>677.22</v>
      </c>
      <c r="Q1314" s="18">
        <v>660.97</v>
      </c>
      <c r="R1314" s="18">
        <v>541.78</v>
      </c>
      <c r="S1314" s="18">
        <v>561.82000000000005</v>
      </c>
      <c r="T1314" s="18">
        <v>460.51</v>
      </c>
      <c r="U1314" s="16"/>
      <c r="V1314" s="16"/>
      <c r="W1314" s="16" t="s">
        <v>40</v>
      </c>
      <c r="X1314" s="19">
        <v>0.47799999999999998</v>
      </c>
      <c r="Y1314" s="20">
        <v>1.1980000000000001E-3</v>
      </c>
      <c r="Z1314" s="21">
        <v>4601004119505</v>
      </c>
    </row>
    <row r="1315" spans="1:26" ht="12" customHeight="1" outlineLevel="4" x14ac:dyDescent="0.2">
      <c r="A1315" s="14" t="s">
        <v>2587</v>
      </c>
      <c r="B1315" s="26" t="s">
        <v>2588</v>
      </c>
      <c r="C1315" s="52"/>
      <c r="D1315" s="55">
        <f t="shared" si="20"/>
        <v>0</v>
      </c>
      <c r="E1315" s="63" t="str">
        <f>HYPERLINK("https://www.sds-group.ru/product/kabel-silovoy-mednyy-vvg-png-a-2x2-5-mm-dlina-50-metrov-gost-31996-2012-tu-16-705-499-201-01-8202-50/", "Инфо")</f>
        <v>Инфо</v>
      </c>
      <c r="F1315" s="16" t="s">
        <v>1887</v>
      </c>
      <c r="G1315" s="15"/>
      <c r="H1315" s="15"/>
      <c r="I1315" s="15"/>
      <c r="J1315" s="17">
        <v>7</v>
      </c>
      <c r="K1315" s="15"/>
      <c r="L1315" s="17">
        <v>1</v>
      </c>
      <c r="M1315" s="17">
        <v>1</v>
      </c>
      <c r="N1315" s="17">
        <v>1</v>
      </c>
      <c r="O1315" s="18">
        <v>7111.86</v>
      </c>
      <c r="P1315" s="18">
        <v>5829.39</v>
      </c>
      <c r="Q1315" s="18">
        <v>5689.49</v>
      </c>
      <c r="R1315" s="18">
        <v>4663.5200000000004</v>
      </c>
      <c r="S1315" s="18">
        <v>4836.0600000000004</v>
      </c>
      <c r="T1315" s="18">
        <v>3963.98</v>
      </c>
      <c r="U1315" s="16"/>
      <c r="V1315" s="16"/>
      <c r="W1315" s="16" t="s">
        <v>40</v>
      </c>
      <c r="X1315" s="19">
        <v>4.7</v>
      </c>
      <c r="Y1315" s="20">
        <v>4.4000000000000003E-3</v>
      </c>
      <c r="Z1315" s="21">
        <v>4601004119536</v>
      </c>
    </row>
    <row r="1316" spans="1:26" ht="12" customHeight="1" outlineLevel="4" x14ac:dyDescent="0.2">
      <c r="A1316" s="14" t="s">
        <v>2589</v>
      </c>
      <c r="B1316" s="26" t="s">
        <v>2590</v>
      </c>
      <c r="C1316" s="52"/>
      <c r="D1316" s="55">
        <f t="shared" si="20"/>
        <v>0</v>
      </c>
      <c r="E1316" s="63" t="str">
        <f>HYPERLINK("https://www.sds-group.ru/product/kabel-silovoy-mednyy-vvg-png-a-3x1-5-mm-dlina-10-metrov-gost-31996-2012-tu-16-705-499-201-01-8215-10/", "Инфо")</f>
        <v>Инфо</v>
      </c>
      <c r="F1316" s="16" t="s">
        <v>1887</v>
      </c>
      <c r="G1316" s="15"/>
      <c r="H1316" s="15"/>
      <c r="I1316" s="15"/>
      <c r="J1316" s="17">
        <v>14</v>
      </c>
      <c r="K1316" s="15"/>
      <c r="L1316" s="17">
        <v>1</v>
      </c>
      <c r="M1316" s="17">
        <v>1</v>
      </c>
      <c r="N1316" s="17">
        <v>1</v>
      </c>
      <c r="O1316" s="18">
        <v>1361.92</v>
      </c>
      <c r="P1316" s="18">
        <v>1116.33</v>
      </c>
      <c r="Q1316" s="18">
        <v>1021.44</v>
      </c>
      <c r="R1316" s="18">
        <v>837.25</v>
      </c>
      <c r="S1316" s="18">
        <v>926.11</v>
      </c>
      <c r="T1316" s="18">
        <v>759.11</v>
      </c>
      <c r="U1316" s="16"/>
      <c r="V1316" s="16"/>
      <c r="W1316" s="16" t="s">
        <v>40</v>
      </c>
      <c r="X1316" s="19">
        <v>1.1020000000000001</v>
      </c>
      <c r="Y1316" s="20">
        <v>1.506E-3</v>
      </c>
      <c r="Z1316" s="21">
        <v>4601004119550</v>
      </c>
    </row>
    <row r="1317" spans="1:26" ht="12" customHeight="1" outlineLevel="4" x14ac:dyDescent="0.2">
      <c r="A1317" s="14" t="s">
        <v>2591</v>
      </c>
      <c r="B1317" s="26" t="s">
        <v>2592</v>
      </c>
      <c r="C1317" s="52"/>
      <c r="D1317" s="55">
        <f t="shared" si="20"/>
        <v>0</v>
      </c>
      <c r="E1317" s="63" t="str">
        <f>HYPERLINK("https://www.sds-group.ru/product/kabel-silovoy-mednyy-vvg-png-a-3x1-5-mm-dlina-20-metrov-gost-31996-2012-tu-16-705-499-201-01-8215-20/", "Инфо")</f>
        <v>Инфо</v>
      </c>
      <c r="F1317" s="16" t="s">
        <v>1887</v>
      </c>
      <c r="G1317" s="15"/>
      <c r="H1317" s="15"/>
      <c r="I1317" s="15"/>
      <c r="J1317" s="17">
        <v>3</v>
      </c>
      <c r="K1317" s="15"/>
      <c r="L1317" s="17">
        <v>1</v>
      </c>
      <c r="M1317" s="17">
        <v>4</v>
      </c>
      <c r="N1317" s="17">
        <v>1</v>
      </c>
      <c r="O1317" s="18">
        <v>2909.93</v>
      </c>
      <c r="P1317" s="18">
        <v>2385.19</v>
      </c>
      <c r="Q1317" s="18">
        <v>2415.2399999999998</v>
      </c>
      <c r="R1317" s="18">
        <v>1979.7</v>
      </c>
      <c r="S1317" s="18">
        <v>1978.75</v>
      </c>
      <c r="T1317" s="18">
        <v>1621.93</v>
      </c>
      <c r="U1317" s="16"/>
      <c r="V1317" s="16"/>
      <c r="W1317" s="16" t="s">
        <v>40</v>
      </c>
      <c r="X1317" s="19">
        <v>2.157</v>
      </c>
      <c r="Y1317" s="20">
        <v>2.019E-3</v>
      </c>
      <c r="Z1317" s="21">
        <v>4601004119567</v>
      </c>
    </row>
    <row r="1318" spans="1:26" ht="12" customHeight="1" outlineLevel="4" x14ac:dyDescent="0.2">
      <c r="A1318" s="14" t="s">
        <v>2593</v>
      </c>
      <c r="B1318" s="26" t="s">
        <v>2594</v>
      </c>
      <c r="C1318" s="52"/>
      <c r="D1318" s="55">
        <f t="shared" si="20"/>
        <v>0</v>
      </c>
      <c r="E1318" s="63" t="str">
        <f>HYPERLINK("https://www.sds-group.ru/product/kabel-silovoy-mednyy-vvg-png-a-3x1-5-mm-dlina-5-metrov-gost-31996-2012-tu-16-705-499-2010--01-8215-5/", "Инфо")</f>
        <v>Инфо</v>
      </c>
      <c r="F1318" s="16" t="s">
        <v>1887</v>
      </c>
      <c r="G1318" s="15"/>
      <c r="H1318" s="15"/>
      <c r="I1318" s="15"/>
      <c r="J1318" s="17">
        <v>11</v>
      </c>
      <c r="K1318" s="15"/>
      <c r="L1318" s="17">
        <v>1</v>
      </c>
      <c r="M1318" s="17">
        <v>1</v>
      </c>
      <c r="N1318" s="17">
        <v>1</v>
      </c>
      <c r="O1318" s="18">
        <v>906.58</v>
      </c>
      <c r="P1318" s="18">
        <v>743.1</v>
      </c>
      <c r="Q1318" s="18">
        <v>770.59</v>
      </c>
      <c r="R1318" s="18">
        <v>631.63</v>
      </c>
      <c r="S1318" s="18">
        <v>616.47</v>
      </c>
      <c r="T1318" s="18">
        <v>505.3</v>
      </c>
      <c r="U1318" s="16"/>
      <c r="V1318" s="16"/>
      <c r="W1318" s="16" t="s">
        <v>40</v>
      </c>
      <c r="X1318" s="19">
        <v>0.5</v>
      </c>
      <c r="Y1318" s="20">
        <v>8.4500000000000005E-4</v>
      </c>
      <c r="Z1318" s="21">
        <v>4601004119543</v>
      </c>
    </row>
    <row r="1319" spans="1:26" ht="12" customHeight="1" outlineLevel="4" x14ac:dyDescent="0.2">
      <c r="A1319" s="14" t="s">
        <v>2595</v>
      </c>
      <c r="B1319" s="26" t="s">
        <v>2596</v>
      </c>
      <c r="C1319" s="52"/>
      <c r="D1319" s="55">
        <f t="shared" si="20"/>
        <v>0</v>
      </c>
      <c r="E1319" s="63" t="str">
        <f>HYPERLINK("https://www.sds-group.ru/product/kabel-silovoy-mednyy-vvg-png-a-3x1-5-mm-dlina-50-metrov-gost-31996-2012-tu-16-705-499-201-01-8215-50/", "Инфо")</f>
        <v>Инфо</v>
      </c>
      <c r="F1319" s="16" t="s">
        <v>1887</v>
      </c>
      <c r="G1319" s="15"/>
      <c r="H1319" s="15"/>
      <c r="I1319" s="15"/>
      <c r="J1319" s="17">
        <v>13</v>
      </c>
      <c r="K1319" s="15"/>
      <c r="L1319" s="17">
        <v>1</v>
      </c>
      <c r="M1319" s="17">
        <v>1</v>
      </c>
      <c r="N1319" s="17">
        <v>1</v>
      </c>
      <c r="O1319" s="18">
        <v>6421.96</v>
      </c>
      <c r="P1319" s="18">
        <v>5263.9</v>
      </c>
      <c r="Q1319" s="18">
        <v>5137.57</v>
      </c>
      <c r="R1319" s="18">
        <v>4211.12</v>
      </c>
      <c r="S1319" s="18">
        <v>4366.93</v>
      </c>
      <c r="T1319" s="18">
        <v>3579.45</v>
      </c>
      <c r="U1319" s="16"/>
      <c r="V1319" s="16"/>
      <c r="W1319" s="16" t="s">
        <v>40</v>
      </c>
      <c r="X1319" s="19">
        <v>5.4610000000000003</v>
      </c>
      <c r="Y1319" s="20">
        <v>5.4739999999999997E-3</v>
      </c>
      <c r="Z1319" s="21">
        <v>4601004119574</v>
      </c>
    </row>
    <row r="1320" spans="1:26" ht="12" customHeight="1" outlineLevel="4" x14ac:dyDescent="0.2">
      <c r="A1320" s="14" t="s">
        <v>2597</v>
      </c>
      <c r="B1320" s="26" t="s">
        <v>2598</v>
      </c>
      <c r="C1320" s="52"/>
      <c r="D1320" s="55">
        <f t="shared" si="20"/>
        <v>0</v>
      </c>
      <c r="E1320" s="63" t="str">
        <f>HYPERLINK("https://www.sds-group.ru/product/kabel-silovoy-mednyy-vvg-png-a-3x2-5-mm-dlina-10-metrov-gost-31996-2012-tu-16-705-499-201-01-8212-10/", "Инфо")</f>
        <v>Инфо</v>
      </c>
      <c r="F1320" s="16" t="s">
        <v>1887</v>
      </c>
      <c r="G1320" s="15"/>
      <c r="H1320" s="15"/>
      <c r="I1320" s="15"/>
      <c r="J1320" s="17">
        <v>4</v>
      </c>
      <c r="K1320" s="15"/>
      <c r="L1320" s="17">
        <v>1</v>
      </c>
      <c r="M1320" s="17">
        <v>8</v>
      </c>
      <c r="N1320" s="17">
        <v>1</v>
      </c>
      <c r="O1320" s="18">
        <v>2293.5</v>
      </c>
      <c r="P1320" s="18">
        <v>1879.92</v>
      </c>
      <c r="Q1320" s="18">
        <v>1811.87</v>
      </c>
      <c r="R1320" s="18">
        <v>1485.14</v>
      </c>
      <c r="S1320" s="18">
        <v>1559.58</v>
      </c>
      <c r="T1320" s="18">
        <v>1278.3399999999999</v>
      </c>
      <c r="U1320" s="16"/>
      <c r="V1320" s="16"/>
      <c r="W1320" s="16" t="s">
        <v>40</v>
      </c>
      <c r="X1320" s="19">
        <v>1.4490000000000001</v>
      </c>
      <c r="Y1320" s="20">
        <v>1.56E-3</v>
      </c>
      <c r="Z1320" s="21">
        <v>4601004119598</v>
      </c>
    </row>
    <row r="1321" spans="1:26" ht="12" customHeight="1" outlineLevel="4" x14ac:dyDescent="0.2">
      <c r="A1321" s="14" t="s">
        <v>2599</v>
      </c>
      <c r="B1321" s="26" t="s">
        <v>2600</v>
      </c>
      <c r="C1321" s="52"/>
      <c r="D1321" s="55">
        <f t="shared" si="20"/>
        <v>0</v>
      </c>
      <c r="E1321" s="63" t="str">
        <f>HYPERLINK("https://www.sds-group.ru/product/kabel-silovoy-mednyy-vvg-png-a-3x2-5-mm-dlina-20-metrov-gost-31996-2012-tu-16-705-499-201-01-8212-20/", "Инфо")</f>
        <v>Инфо</v>
      </c>
      <c r="F1321" s="16" t="s">
        <v>1887</v>
      </c>
      <c r="G1321" s="15"/>
      <c r="H1321" s="15"/>
      <c r="I1321" s="15"/>
      <c r="J1321" s="17">
        <v>21</v>
      </c>
      <c r="K1321" s="15"/>
      <c r="L1321" s="17">
        <v>1</v>
      </c>
      <c r="M1321" s="17">
        <v>4</v>
      </c>
      <c r="N1321" s="17">
        <v>1</v>
      </c>
      <c r="O1321" s="18">
        <v>4988.97</v>
      </c>
      <c r="P1321" s="18">
        <v>4089.32</v>
      </c>
      <c r="Q1321" s="18">
        <v>3991.18</v>
      </c>
      <c r="R1321" s="18">
        <v>3271.46</v>
      </c>
      <c r="S1321" s="18">
        <v>3392.5</v>
      </c>
      <c r="T1321" s="18">
        <v>2780.74</v>
      </c>
      <c r="U1321" s="16"/>
      <c r="V1321" s="16"/>
      <c r="W1321" s="16" t="s">
        <v>40</v>
      </c>
      <c r="X1321" s="19">
        <v>2.95</v>
      </c>
      <c r="Y1321" s="20">
        <v>7.8069999999999997E-3</v>
      </c>
      <c r="Z1321" s="21">
        <v>4601004119604</v>
      </c>
    </row>
    <row r="1322" spans="1:26" ht="12" customHeight="1" outlineLevel="4" x14ac:dyDescent="0.2">
      <c r="A1322" s="14" t="s">
        <v>2601</v>
      </c>
      <c r="B1322" s="26" t="s">
        <v>2602</v>
      </c>
      <c r="C1322" s="52"/>
      <c r="D1322" s="55">
        <f t="shared" si="20"/>
        <v>0</v>
      </c>
      <c r="E1322" s="63" t="str">
        <f>HYPERLINK("https://www.sds-group.ru/product/kabel-silovoy-mednyy-vvg-png-a-3x2-5-mm-dlina-5-metrov-gost-31996-2012-tu-16-705-499-2010--01-8212-5/", "Инфо")</f>
        <v>Инфо</v>
      </c>
      <c r="F1322" s="16" t="s">
        <v>1887</v>
      </c>
      <c r="G1322" s="15"/>
      <c r="H1322" s="15"/>
      <c r="I1322" s="15"/>
      <c r="J1322" s="17">
        <v>6</v>
      </c>
      <c r="K1322" s="15"/>
      <c r="L1322" s="17">
        <v>1</v>
      </c>
      <c r="M1322" s="17">
        <v>1</v>
      </c>
      <c r="N1322" s="17">
        <v>1</v>
      </c>
      <c r="O1322" s="18">
        <v>1331.39</v>
      </c>
      <c r="P1322" s="18">
        <v>1091.3</v>
      </c>
      <c r="Q1322" s="18">
        <v>1065.1099999999999</v>
      </c>
      <c r="R1322" s="18">
        <v>873.04</v>
      </c>
      <c r="S1322" s="18">
        <v>905.35</v>
      </c>
      <c r="T1322" s="18">
        <v>742.09</v>
      </c>
      <c r="U1322" s="16"/>
      <c r="V1322" s="16"/>
      <c r="W1322" s="16" t="s">
        <v>40</v>
      </c>
      <c r="X1322" s="19">
        <v>0.7</v>
      </c>
      <c r="Y1322" s="20">
        <v>8.4500000000000005E-4</v>
      </c>
      <c r="Z1322" s="21">
        <v>4601004119581</v>
      </c>
    </row>
    <row r="1323" spans="1:26" ht="12" customHeight="1" outlineLevel="4" x14ac:dyDescent="0.2">
      <c r="A1323" s="14" t="s">
        <v>2603</v>
      </c>
      <c r="B1323" s="26" t="s">
        <v>2604</v>
      </c>
      <c r="C1323" s="52"/>
      <c r="D1323" s="55">
        <f t="shared" si="20"/>
        <v>0</v>
      </c>
      <c r="E1323" s="63" t="str">
        <f>HYPERLINK("https://www.sds-group.ru/product/kabel-silovoy-mednyy-vvg-png-a-3x2-5-mm-dlina-50-metrov-gost-31996-2012-tu-16-705-499-201-01-8212-50/", "Инфо")</f>
        <v>Инфо</v>
      </c>
      <c r="F1323" s="16" t="s">
        <v>1887</v>
      </c>
      <c r="G1323" s="15"/>
      <c r="H1323" s="15"/>
      <c r="I1323" s="15"/>
      <c r="J1323" s="16" t="s">
        <v>100</v>
      </c>
      <c r="K1323" s="15"/>
      <c r="L1323" s="17">
        <v>1</v>
      </c>
      <c r="M1323" s="17">
        <v>2</v>
      </c>
      <c r="N1323" s="17">
        <v>1</v>
      </c>
      <c r="O1323" s="18">
        <v>10971.45</v>
      </c>
      <c r="P1323" s="18">
        <v>8992.99</v>
      </c>
      <c r="Q1323" s="18">
        <v>8777.16</v>
      </c>
      <c r="R1323" s="18">
        <v>7194.39</v>
      </c>
      <c r="S1323" s="18">
        <v>7460.59</v>
      </c>
      <c r="T1323" s="18">
        <v>6115.24</v>
      </c>
      <c r="U1323" s="16"/>
      <c r="V1323" s="16"/>
      <c r="W1323" s="16" t="s">
        <v>40</v>
      </c>
      <c r="X1323" s="19">
        <v>7.0389999999999997</v>
      </c>
      <c r="Y1323" s="20">
        <v>6.1700000000000001E-3</v>
      </c>
      <c r="Z1323" s="21">
        <v>4601004119611</v>
      </c>
    </row>
    <row r="1324" spans="1:26" ht="12" customHeight="1" outlineLevel="4" x14ac:dyDescent="0.2">
      <c r="A1324" s="14" t="s">
        <v>2605</v>
      </c>
      <c r="B1324" s="26" t="s">
        <v>2606</v>
      </c>
      <c r="C1324" s="52"/>
      <c r="D1324" s="55">
        <f t="shared" si="20"/>
        <v>0</v>
      </c>
      <c r="E1324" s="63" t="str">
        <f>HYPERLINK("https://www.sds-group.ru/product/kabel-silovoy-mednyy-vvg-png-a-ls-3x1-5-mm-dlina-10-metrov-gost-31996-2012-tu-16-k71-310--01-8271-10/", "Инфо")</f>
        <v>Инфо</v>
      </c>
      <c r="F1324" s="16" t="s">
        <v>1887</v>
      </c>
      <c r="G1324" s="15"/>
      <c r="H1324" s="15"/>
      <c r="I1324" s="15"/>
      <c r="J1324" s="17">
        <v>21</v>
      </c>
      <c r="K1324" s="15"/>
      <c r="L1324" s="17">
        <v>1</v>
      </c>
      <c r="M1324" s="17">
        <v>15</v>
      </c>
      <c r="N1324" s="17">
        <v>1</v>
      </c>
      <c r="O1324" s="18">
        <v>1588.77</v>
      </c>
      <c r="P1324" s="18">
        <v>1302.27</v>
      </c>
      <c r="Q1324" s="18">
        <v>1350.45</v>
      </c>
      <c r="R1324" s="18">
        <v>1106.93</v>
      </c>
      <c r="S1324" s="18">
        <v>1080.3599999999999</v>
      </c>
      <c r="T1324" s="18">
        <v>885.54</v>
      </c>
      <c r="U1324" s="16"/>
      <c r="V1324" s="16"/>
      <c r="W1324" s="16" t="s">
        <v>40</v>
      </c>
      <c r="X1324" s="19">
        <v>1.1599999999999999</v>
      </c>
      <c r="Y1324" s="20">
        <v>1.5529999999999999E-3</v>
      </c>
      <c r="Z1324" s="21">
        <v>4601004119635</v>
      </c>
    </row>
    <row r="1325" spans="1:26" ht="12" customHeight="1" outlineLevel="4" x14ac:dyDescent="0.2">
      <c r="A1325" s="14" t="s">
        <v>2607</v>
      </c>
      <c r="B1325" s="26" t="s">
        <v>2608</v>
      </c>
      <c r="C1325" s="52"/>
      <c r="D1325" s="55">
        <f t="shared" si="20"/>
        <v>0</v>
      </c>
      <c r="E1325" s="63" t="str">
        <f>HYPERLINK("https://www.sds-group.ru/product/kabel-silovoy-mednyy-vvg-png-a-ls-3x1-5-mm-dlina-5-metrov-gost-31996-2012-tu-16-k71-310-20-01-8271-5/", "Инфо")</f>
        <v>Инфо</v>
      </c>
      <c r="F1325" s="16" t="s">
        <v>1887</v>
      </c>
      <c r="G1325" s="15"/>
      <c r="H1325" s="15"/>
      <c r="I1325" s="15"/>
      <c r="J1325" s="17">
        <v>7</v>
      </c>
      <c r="K1325" s="15"/>
      <c r="L1325" s="17">
        <v>1</v>
      </c>
      <c r="M1325" s="17">
        <v>1</v>
      </c>
      <c r="N1325" s="17">
        <v>1</v>
      </c>
      <c r="O1325" s="18">
        <v>813.7</v>
      </c>
      <c r="P1325" s="18">
        <v>666.97</v>
      </c>
      <c r="Q1325" s="18">
        <v>650.96</v>
      </c>
      <c r="R1325" s="18">
        <v>533.57000000000005</v>
      </c>
      <c r="S1325" s="18">
        <v>553.32000000000005</v>
      </c>
      <c r="T1325" s="18">
        <v>453.54</v>
      </c>
      <c r="U1325" s="16"/>
      <c r="V1325" s="16"/>
      <c r="W1325" s="16" t="s">
        <v>40</v>
      </c>
      <c r="X1325" s="19">
        <v>0.40300000000000002</v>
      </c>
      <c r="Y1325" s="20">
        <v>9.5500000000000001E-4</v>
      </c>
      <c r="Z1325" s="21">
        <v>4601004119628</v>
      </c>
    </row>
    <row r="1326" spans="1:26" ht="12" customHeight="1" outlineLevel="4" x14ac:dyDescent="0.2">
      <c r="A1326" s="14" t="s">
        <v>2609</v>
      </c>
      <c r="B1326" s="26" t="s">
        <v>2610</v>
      </c>
      <c r="C1326" s="52"/>
      <c r="D1326" s="55">
        <f t="shared" si="20"/>
        <v>0</v>
      </c>
      <c r="E1326" s="63" t="str">
        <f>HYPERLINK("https://www.sds-group.ru/product/kabel-silovoy-mednyy-vvg-png-a-ls-3x1-5-mm-dlina-50-metrov-gost-31996-2012-tu-16-k71-310--01-8271-50/", "Инфо")</f>
        <v>Инфо</v>
      </c>
      <c r="F1326" s="16" t="s">
        <v>1887</v>
      </c>
      <c r="G1326" s="15"/>
      <c r="H1326" s="15"/>
      <c r="I1326" s="15"/>
      <c r="J1326" s="17">
        <v>24</v>
      </c>
      <c r="K1326" s="15"/>
      <c r="L1326" s="17">
        <v>1</v>
      </c>
      <c r="M1326" s="17">
        <v>1</v>
      </c>
      <c r="N1326" s="17">
        <v>1</v>
      </c>
      <c r="O1326" s="18">
        <v>6854.39</v>
      </c>
      <c r="P1326" s="18">
        <v>5618.35</v>
      </c>
      <c r="Q1326" s="18">
        <v>5483.51</v>
      </c>
      <c r="R1326" s="18">
        <v>4494.68</v>
      </c>
      <c r="S1326" s="18">
        <v>4660.99</v>
      </c>
      <c r="T1326" s="18">
        <v>3820.48</v>
      </c>
      <c r="U1326" s="16"/>
      <c r="V1326" s="16"/>
      <c r="W1326" s="16" t="s">
        <v>40</v>
      </c>
      <c r="X1326" s="19">
        <v>5.67</v>
      </c>
      <c r="Y1326" s="20">
        <v>5.3290000000000004E-3</v>
      </c>
      <c r="Z1326" s="21">
        <v>4601004119659</v>
      </c>
    </row>
    <row r="1327" spans="1:26" ht="12" customHeight="1" outlineLevel="4" x14ac:dyDescent="0.2">
      <c r="A1327" s="14" t="s">
        <v>2611</v>
      </c>
      <c r="B1327" s="26" t="s">
        <v>2612</v>
      </c>
      <c r="C1327" s="52"/>
      <c r="D1327" s="55">
        <f t="shared" si="20"/>
        <v>0</v>
      </c>
      <c r="E1327" s="63" t="str">
        <f>HYPERLINK("https://www.sds-group.ru/product/kabel-silovoy-mednyy-vvg-png-a-ls-3x2-5-mm-dlina-10-metrov-gost-31996-2012-tu-16-k71-310--01-8272-10/", "Инфо")</f>
        <v>Инфо</v>
      </c>
      <c r="F1327" s="16" t="s">
        <v>1887</v>
      </c>
      <c r="G1327" s="15"/>
      <c r="H1327" s="15"/>
      <c r="I1327" s="15"/>
      <c r="J1327" s="17">
        <v>14</v>
      </c>
      <c r="K1327" s="15"/>
      <c r="L1327" s="17">
        <v>1</v>
      </c>
      <c r="M1327" s="17">
        <v>6</v>
      </c>
      <c r="N1327" s="17">
        <v>1</v>
      </c>
      <c r="O1327" s="18">
        <v>2363.0100000000002</v>
      </c>
      <c r="P1327" s="18">
        <v>1936.89</v>
      </c>
      <c r="Q1327" s="18">
        <v>1819.52</v>
      </c>
      <c r="R1327" s="18">
        <v>1491.41</v>
      </c>
      <c r="S1327" s="18">
        <v>1606.85</v>
      </c>
      <c r="T1327" s="18">
        <v>1317.09</v>
      </c>
      <c r="U1327" s="16"/>
      <c r="V1327" s="16"/>
      <c r="W1327" s="16" t="s">
        <v>40</v>
      </c>
      <c r="X1327" s="19">
        <v>1.5149999999999999</v>
      </c>
      <c r="Y1327" s="20">
        <v>1.6789999999999999E-3</v>
      </c>
      <c r="Z1327" s="21">
        <v>4601004119673</v>
      </c>
    </row>
    <row r="1328" spans="1:26" ht="12" customHeight="1" outlineLevel="4" x14ac:dyDescent="0.2">
      <c r="A1328" s="14" t="s">
        <v>2613</v>
      </c>
      <c r="B1328" s="26" t="s">
        <v>2614</v>
      </c>
      <c r="C1328" s="52"/>
      <c r="D1328" s="55">
        <f t="shared" si="20"/>
        <v>0</v>
      </c>
      <c r="E1328" s="63" t="str">
        <f>HYPERLINK("https://www.sds-group.ru/product/kabel-silovoy-mednyy-vvg-png-a-ls-3x2-5-mm-dlina-20-metrov-gost-31996-2012-tu-16-k71-310--01-8272-20/", "Инфо")</f>
        <v>Инфо</v>
      </c>
      <c r="F1328" s="16" t="s">
        <v>1887</v>
      </c>
      <c r="G1328" s="15"/>
      <c r="H1328" s="15"/>
      <c r="I1328" s="15"/>
      <c r="J1328" s="17">
        <v>19</v>
      </c>
      <c r="K1328" s="15"/>
      <c r="L1328" s="17">
        <v>1</v>
      </c>
      <c r="M1328" s="17">
        <v>6</v>
      </c>
      <c r="N1328" s="17">
        <v>1</v>
      </c>
      <c r="O1328" s="18">
        <v>4535.3999999999996</v>
      </c>
      <c r="P1328" s="18">
        <v>3717.54</v>
      </c>
      <c r="Q1328" s="18">
        <v>3628.32</v>
      </c>
      <c r="R1328" s="18">
        <v>2974.03</v>
      </c>
      <c r="S1328" s="18">
        <v>3084.07</v>
      </c>
      <c r="T1328" s="18">
        <v>2527.9299999999998</v>
      </c>
      <c r="U1328" s="16"/>
      <c r="V1328" s="16"/>
      <c r="W1328" s="16" t="s">
        <v>40</v>
      </c>
      <c r="X1328" s="19">
        <v>2.9990000000000001</v>
      </c>
      <c r="Y1328" s="20">
        <v>2.5379999999999999E-3</v>
      </c>
      <c r="Z1328" s="21">
        <v>4601004119680</v>
      </c>
    </row>
    <row r="1329" spans="1:26" ht="12" customHeight="1" outlineLevel="4" x14ac:dyDescent="0.2">
      <c r="A1329" s="14" t="s">
        <v>2615</v>
      </c>
      <c r="B1329" s="26" t="s">
        <v>2616</v>
      </c>
      <c r="C1329" s="52"/>
      <c r="D1329" s="55">
        <f t="shared" si="20"/>
        <v>0</v>
      </c>
      <c r="E1329" s="63" t="str">
        <f>HYPERLINK("https://www.sds-group.ru/product/kabel-silovoy-mednyy-vvg-png-a-ls-3x2-5-mm-dlina-5-metrov-gost-31996-2012-tu-16-k71-310-20-01-8272-5/", "Инфо")</f>
        <v>Инфо</v>
      </c>
      <c r="F1329" s="16" t="s">
        <v>1887</v>
      </c>
      <c r="G1329" s="15"/>
      <c r="H1329" s="15"/>
      <c r="I1329" s="15"/>
      <c r="J1329" s="17">
        <v>40</v>
      </c>
      <c r="K1329" s="15"/>
      <c r="L1329" s="17">
        <v>1</v>
      </c>
      <c r="M1329" s="17">
        <v>20</v>
      </c>
      <c r="N1329" s="17">
        <v>1</v>
      </c>
      <c r="O1329" s="18">
        <v>1109.81</v>
      </c>
      <c r="P1329" s="18">
        <v>909.68</v>
      </c>
      <c r="Q1329" s="18">
        <v>887.85</v>
      </c>
      <c r="R1329" s="18">
        <v>727.75</v>
      </c>
      <c r="S1329" s="18">
        <v>754.67</v>
      </c>
      <c r="T1329" s="18">
        <v>618.58000000000004</v>
      </c>
      <c r="U1329" s="16"/>
      <c r="V1329" s="16"/>
      <c r="W1329" s="16" t="s">
        <v>40</v>
      </c>
      <c r="X1329" s="19">
        <v>0.60799999999999998</v>
      </c>
      <c r="Y1329" s="20">
        <v>1.024E-3</v>
      </c>
      <c r="Z1329" s="21">
        <v>4601004119666</v>
      </c>
    </row>
    <row r="1330" spans="1:26" ht="12" customHeight="1" outlineLevel="4" x14ac:dyDescent="0.2">
      <c r="A1330" s="14" t="s">
        <v>2617</v>
      </c>
      <c r="B1330" s="26" t="s">
        <v>2618</v>
      </c>
      <c r="C1330" s="52"/>
      <c r="D1330" s="55">
        <f t="shared" si="20"/>
        <v>0</v>
      </c>
      <c r="E1330" s="63" t="str">
        <f>HYPERLINK("https://www.sds-group.ru/product/kabel-silovoy-mednyy-vvg-png-a-ls-3x2-5-mm-dlina-50-metrov-gost-31996-2012-tu-16-k71-310--01-8272-50/", "Инфо")</f>
        <v>Инфо</v>
      </c>
      <c r="F1330" s="16" t="s">
        <v>1887</v>
      </c>
      <c r="G1330" s="15"/>
      <c r="H1330" s="15"/>
      <c r="I1330" s="15"/>
      <c r="J1330" s="17">
        <v>15</v>
      </c>
      <c r="K1330" s="15"/>
      <c r="L1330" s="17">
        <v>1</v>
      </c>
      <c r="M1330" s="17">
        <v>1</v>
      </c>
      <c r="N1330" s="17">
        <v>1</v>
      </c>
      <c r="O1330" s="18">
        <v>11755.16</v>
      </c>
      <c r="P1330" s="18">
        <v>9635.3799999999992</v>
      </c>
      <c r="Q1330" s="18">
        <v>9404.1299999999992</v>
      </c>
      <c r="R1330" s="18">
        <v>7708.3</v>
      </c>
      <c r="S1330" s="18">
        <v>7993.51</v>
      </c>
      <c r="T1330" s="18">
        <v>6552.06</v>
      </c>
      <c r="U1330" s="16"/>
      <c r="V1330" s="16"/>
      <c r="W1330" s="16" t="s">
        <v>40</v>
      </c>
      <c r="X1330" s="19">
        <v>6.1</v>
      </c>
      <c r="Y1330" s="20">
        <v>4.8510000000000003E-3</v>
      </c>
      <c r="Z1330" s="21">
        <v>4601004119697</v>
      </c>
    </row>
    <row r="1331" spans="1:26" ht="12.95" customHeight="1" outlineLevel="3" x14ac:dyDescent="0.2">
      <c r="A1331" s="82" t="s">
        <v>2619</v>
      </c>
      <c r="B1331" s="82"/>
      <c r="C1331" s="83"/>
      <c r="D1331" s="59"/>
      <c r="E1331" s="69"/>
      <c r="F1331" s="23"/>
      <c r="G1331" s="23"/>
      <c r="H1331" s="23"/>
      <c r="I1331" s="23"/>
      <c r="J1331" s="23"/>
      <c r="K1331" s="23"/>
      <c r="L1331" s="23"/>
      <c r="M1331" s="23"/>
      <c r="N1331" s="23"/>
      <c r="O1331" s="23"/>
      <c r="P1331" s="23"/>
      <c r="Q1331" s="23"/>
      <c r="R1331" s="23"/>
      <c r="S1331" s="23"/>
      <c r="T1331" s="23"/>
      <c r="U1331" s="23"/>
      <c r="V1331" s="23"/>
      <c r="W1331" s="23"/>
      <c r="X1331" s="23"/>
      <c r="Y1331" s="23"/>
      <c r="Z1331" s="23"/>
    </row>
    <row r="1332" spans="1:26" ht="12" customHeight="1" outlineLevel="4" x14ac:dyDescent="0.2">
      <c r="A1332" s="14" t="s">
        <v>2620</v>
      </c>
      <c r="B1332" s="26" t="s">
        <v>2621</v>
      </c>
      <c r="C1332" s="52"/>
      <c r="D1332" s="55">
        <f t="shared" si="20"/>
        <v>0</v>
      </c>
      <c r="E1332" s="63" t="str">
        <f>HYPERLINK("https://www.sds-group.ru/product/kabel-silovoy-gibkiy-kgtp-hl-3h1-5-mm-dlina-5-metrov-gost-rexant-01-8420-5/", "Инфо")</f>
        <v>Инфо</v>
      </c>
      <c r="F1332" s="16" t="s">
        <v>1887</v>
      </c>
      <c r="G1332" s="15"/>
      <c r="H1332" s="15"/>
      <c r="I1332" s="15"/>
      <c r="J1332" s="17">
        <v>20</v>
      </c>
      <c r="K1332" s="15"/>
      <c r="L1332" s="17">
        <v>1</v>
      </c>
      <c r="M1332" s="17">
        <v>1</v>
      </c>
      <c r="N1332" s="17">
        <v>1</v>
      </c>
      <c r="O1332" s="18">
        <v>891.14</v>
      </c>
      <c r="P1332" s="18">
        <v>730.44</v>
      </c>
      <c r="Q1332" s="18">
        <v>712.91</v>
      </c>
      <c r="R1332" s="18">
        <v>584.35</v>
      </c>
      <c r="S1332" s="18">
        <v>605.98</v>
      </c>
      <c r="T1332" s="18">
        <v>496.7</v>
      </c>
      <c r="U1332" s="16"/>
      <c r="V1332" s="16"/>
      <c r="W1332" s="16" t="s">
        <v>40</v>
      </c>
      <c r="X1332" s="19">
        <v>0.56699999999999995</v>
      </c>
      <c r="Y1332" s="20">
        <v>1.7049999999999999E-3</v>
      </c>
      <c r="Z1332" s="21">
        <v>4601004331679</v>
      </c>
    </row>
    <row r="1333" spans="1:26" ht="12" customHeight="1" outlineLevel="4" x14ac:dyDescent="0.2">
      <c r="A1333" s="14" t="s">
        <v>2622</v>
      </c>
      <c r="B1333" s="26" t="s">
        <v>2623</v>
      </c>
      <c r="C1333" s="52"/>
      <c r="D1333" s="55">
        <f t="shared" si="20"/>
        <v>0</v>
      </c>
      <c r="E1333" s="63" t="str">
        <f>HYPERLINK("https://www.sds-group.ru/product/kabel-silovoy-gibkiy-kgtp-hl-3h1-5-mm-dlina-10-metrov-gost-rexant-01-8420-10/", "Инфо")</f>
        <v>Инфо</v>
      </c>
      <c r="F1333" s="16" t="s">
        <v>1887</v>
      </c>
      <c r="G1333" s="15"/>
      <c r="H1333" s="15"/>
      <c r="I1333" s="15"/>
      <c r="J1333" s="17">
        <v>13</v>
      </c>
      <c r="K1333" s="15"/>
      <c r="L1333" s="17">
        <v>1</v>
      </c>
      <c r="M1333" s="17">
        <v>1</v>
      </c>
      <c r="N1333" s="17">
        <v>1</v>
      </c>
      <c r="O1333" s="18">
        <v>1751.68</v>
      </c>
      <c r="P1333" s="18">
        <v>1435.8</v>
      </c>
      <c r="Q1333" s="18">
        <v>1383.83</v>
      </c>
      <c r="R1333" s="18">
        <v>1134.29</v>
      </c>
      <c r="S1333" s="18">
        <v>1191.1400000000001</v>
      </c>
      <c r="T1333" s="18">
        <v>976.34</v>
      </c>
      <c r="U1333" s="16"/>
      <c r="V1333" s="16"/>
      <c r="W1333" s="16" t="s">
        <v>40</v>
      </c>
      <c r="X1333" s="19">
        <v>1.0820000000000001</v>
      </c>
      <c r="Y1333" s="20">
        <v>2.0279999999999999E-3</v>
      </c>
      <c r="Z1333" s="21">
        <v>4601004331594</v>
      </c>
    </row>
    <row r="1334" spans="1:26" ht="12" customHeight="1" outlineLevel="4" x14ac:dyDescent="0.2">
      <c r="A1334" s="14" t="s">
        <v>2624</v>
      </c>
      <c r="B1334" s="26" t="s">
        <v>2625</v>
      </c>
      <c r="C1334" s="52"/>
      <c r="D1334" s="55">
        <f t="shared" si="20"/>
        <v>0</v>
      </c>
      <c r="E1334" s="63" t="str">
        <f>HYPERLINK("https://www.sds-group.ru/product/kabel-silovoy-gibkiy-kgtp-hl-3h1-5-mm-dlina-20-metrov-gost-rexant-01-8420-20/", "Инфо")</f>
        <v>Инфо</v>
      </c>
      <c r="F1334" s="16" t="s">
        <v>1887</v>
      </c>
      <c r="G1334" s="15"/>
      <c r="H1334" s="15"/>
      <c r="I1334" s="15"/>
      <c r="J1334" s="17">
        <v>24</v>
      </c>
      <c r="K1334" s="15"/>
      <c r="L1334" s="17">
        <v>1</v>
      </c>
      <c r="M1334" s="17">
        <v>4</v>
      </c>
      <c r="N1334" s="17">
        <v>1</v>
      </c>
      <c r="O1334" s="18">
        <v>3744.04</v>
      </c>
      <c r="P1334" s="18">
        <v>3068.89</v>
      </c>
      <c r="Q1334" s="18">
        <v>2882.91</v>
      </c>
      <c r="R1334" s="18">
        <v>2363.04</v>
      </c>
      <c r="S1334" s="18">
        <v>2545.9499999999998</v>
      </c>
      <c r="T1334" s="18">
        <v>2086.84</v>
      </c>
      <c r="U1334" s="16"/>
      <c r="V1334" s="16"/>
      <c r="W1334" s="16" t="s">
        <v>40</v>
      </c>
      <c r="X1334" s="19">
        <v>1.74</v>
      </c>
      <c r="Y1334" s="20">
        <v>2.4E-2</v>
      </c>
      <c r="Z1334" s="21">
        <v>4601004331624</v>
      </c>
    </row>
    <row r="1335" spans="1:26" ht="12" customHeight="1" outlineLevel="4" x14ac:dyDescent="0.2">
      <c r="A1335" s="14" t="s">
        <v>2626</v>
      </c>
      <c r="B1335" s="26" t="s">
        <v>2627</v>
      </c>
      <c r="C1335" s="52"/>
      <c r="D1335" s="55">
        <f t="shared" si="20"/>
        <v>0</v>
      </c>
      <c r="E1335" s="63" t="str">
        <f>HYPERLINK("https://www.sds-group.ru/product/kabel-silovoy-gibkiy-kgtp-hl-3h1-5-mm-dlina-50-metrov-gost-rexant-01-8420-50/", "Инфо")</f>
        <v>Инфо</v>
      </c>
      <c r="F1335" s="16" t="s">
        <v>1887</v>
      </c>
      <c r="G1335" s="15"/>
      <c r="H1335" s="15"/>
      <c r="I1335" s="15"/>
      <c r="J1335" s="17">
        <v>24</v>
      </c>
      <c r="K1335" s="15"/>
      <c r="L1335" s="17">
        <v>1</v>
      </c>
      <c r="M1335" s="17">
        <v>2</v>
      </c>
      <c r="N1335" s="17">
        <v>1</v>
      </c>
      <c r="O1335" s="18">
        <v>9024.6</v>
      </c>
      <c r="P1335" s="18">
        <v>7397.21</v>
      </c>
      <c r="Q1335" s="18">
        <v>7219.68</v>
      </c>
      <c r="R1335" s="18">
        <v>5917.77</v>
      </c>
      <c r="S1335" s="18">
        <v>6136.73</v>
      </c>
      <c r="T1335" s="18">
        <v>5030.1099999999997</v>
      </c>
      <c r="U1335" s="16"/>
      <c r="V1335" s="16"/>
      <c r="W1335" s="16" t="s">
        <v>40</v>
      </c>
      <c r="X1335" s="19">
        <v>5.3440000000000003</v>
      </c>
      <c r="Y1335" s="20">
        <v>6.5440000000000003E-3</v>
      </c>
      <c r="Z1335" s="21">
        <v>4601004331686</v>
      </c>
    </row>
    <row r="1336" spans="1:26" ht="12" customHeight="1" outlineLevel="4" x14ac:dyDescent="0.2">
      <c r="A1336" s="14" t="s">
        <v>2628</v>
      </c>
      <c r="B1336" s="26" t="s">
        <v>2629</v>
      </c>
      <c r="C1336" s="52"/>
      <c r="D1336" s="55">
        <f t="shared" si="20"/>
        <v>0</v>
      </c>
      <c r="E1336" s="63" t="str">
        <f>HYPERLINK("https://www.sds-group.ru/product/kabel-silovoy-gibkiy-kgtp-hl-3h2-5-mm-dlina-20-metrov-gost-rexant-01-8421-20/", "Инфо")</f>
        <v>Инфо</v>
      </c>
      <c r="F1336" s="16" t="s">
        <v>1887</v>
      </c>
      <c r="G1336" s="15"/>
      <c r="H1336" s="15"/>
      <c r="I1336" s="15"/>
      <c r="J1336" s="17">
        <v>1</v>
      </c>
      <c r="K1336" s="15"/>
      <c r="L1336" s="17">
        <v>1</v>
      </c>
      <c r="M1336" s="17">
        <v>2</v>
      </c>
      <c r="N1336" s="17">
        <v>1</v>
      </c>
      <c r="O1336" s="18">
        <v>5455.68</v>
      </c>
      <c r="P1336" s="18">
        <v>4471.87</v>
      </c>
      <c r="Q1336" s="18">
        <v>4364.54</v>
      </c>
      <c r="R1336" s="18">
        <v>3577.49</v>
      </c>
      <c r="S1336" s="18">
        <v>3709.86</v>
      </c>
      <c r="T1336" s="18">
        <v>3040.87</v>
      </c>
      <c r="U1336" s="16"/>
      <c r="V1336" s="16"/>
      <c r="W1336" s="16" t="s">
        <v>40</v>
      </c>
      <c r="X1336" s="19">
        <v>2.8410000000000002</v>
      </c>
      <c r="Y1336" s="20">
        <v>6.7679999999999997E-3</v>
      </c>
      <c r="Z1336" s="21">
        <v>4601004331655</v>
      </c>
    </row>
    <row r="1337" spans="1:26" ht="12.95" customHeight="1" outlineLevel="3" x14ac:dyDescent="0.2">
      <c r="A1337" s="82" t="s">
        <v>2630</v>
      </c>
      <c r="B1337" s="82"/>
      <c r="C1337" s="83"/>
      <c r="D1337" s="59"/>
      <c r="E1337" s="69"/>
      <c r="F1337" s="23"/>
      <c r="G1337" s="23"/>
      <c r="H1337" s="23"/>
      <c r="I1337" s="23"/>
      <c r="J1337" s="23"/>
      <c r="K1337" s="23"/>
      <c r="L1337" s="23"/>
      <c r="M1337" s="23"/>
      <c r="N1337" s="23"/>
      <c r="O1337" s="23"/>
      <c r="P1337" s="23"/>
      <c r="Q1337" s="23"/>
      <c r="R1337" s="23"/>
      <c r="S1337" s="23"/>
      <c r="T1337" s="23"/>
      <c r="U1337" s="23"/>
      <c r="V1337" s="23"/>
      <c r="W1337" s="23"/>
      <c r="X1337" s="23"/>
      <c r="Y1337" s="23"/>
      <c r="Z1337" s="23"/>
    </row>
    <row r="1338" spans="1:26" ht="12" customHeight="1" outlineLevel="4" x14ac:dyDescent="0.2">
      <c r="A1338" s="14" t="s">
        <v>2631</v>
      </c>
      <c r="B1338" s="26" t="s">
        <v>2632</v>
      </c>
      <c r="C1338" s="52"/>
      <c r="D1338" s="55">
        <f t="shared" si="20"/>
        <v>0</v>
      </c>
      <c r="E1338" s="63" t="str">
        <f>HYPERLINK("https://www.sds-group.ru/product/kabel-silovoy-mednyy-num-j-3x1-5-mm-dlina-10-metrov-gost-31996-2012-tu-3520-015-38229892--01-8704-10/", "Инфо")</f>
        <v>Инфо</v>
      </c>
      <c r="F1338" s="16" t="s">
        <v>1887</v>
      </c>
      <c r="G1338" s="15"/>
      <c r="H1338" s="15"/>
      <c r="I1338" s="15"/>
      <c r="J1338" s="17">
        <v>14</v>
      </c>
      <c r="K1338" s="15"/>
      <c r="L1338" s="17">
        <v>1</v>
      </c>
      <c r="M1338" s="17">
        <v>1</v>
      </c>
      <c r="N1338" s="17">
        <v>1</v>
      </c>
      <c r="O1338" s="18">
        <v>1593.18</v>
      </c>
      <c r="P1338" s="18">
        <v>1305.8900000000001</v>
      </c>
      <c r="Q1338" s="18">
        <v>1258.6099999999999</v>
      </c>
      <c r="R1338" s="18">
        <v>1031.6500000000001</v>
      </c>
      <c r="S1338" s="18">
        <v>1083.3599999999999</v>
      </c>
      <c r="T1338" s="18">
        <v>888</v>
      </c>
      <c r="U1338" s="16"/>
      <c r="V1338" s="16"/>
      <c r="W1338" s="16" t="s">
        <v>40</v>
      </c>
      <c r="X1338" s="19">
        <v>1.492</v>
      </c>
      <c r="Y1338" s="20">
        <v>1.9E-3</v>
      </c>
      <c r="Z1338" s="21">
        <v>4601004119796</v>
      </c>
    </row>
    <row r="1339" spans="1:26" ht="12" customHeight="1" outlineLevel="4" x14ac:dyDescent="0.2">
      <c r="A1339" s="14" t="s">
        <v>2633</v>
      </c>
      <c r="B1339" s="26" t="s">
        <v>2634</v>
      </c>
      <c r="C1339" s="52"/>
      <c r="D1339" s="55">
        <f t="shared" si="20"/>
        <v>0</v>
      </c>
      <c r="E1339" s="63" t="str">
        <f>HYPERLINK("https://www.sds-group.ru/product/kabel-silovoy-mednyy-num-j-3x1-5-mm-dlina-20-metrov-gost-31996-2012-tu-3520-015-38229892--01-8704-20/", "Инфо")</f>
        <v>Инфо</v>
      </c>
      <c r="F1339" s="16" t="s">
        <v>1887</v>
      </c>
      <c r="G1339" s="15"/>
      <c r="H1339" s="15"/>
      <c r="I1339" s="15"/>
      <c r="J1339" s="17">
        <v>12</v>
      </c>
      <c r="K1339" s="15"/>
      <c r="L1339" s="17">
        <v>1</v>
      </c>
      <c r="M1339" s="17">
        <v>4</v>
      </c>
      <c r="N1339" s="17">
        <v>1</v>
      </c>
      <c r="O1339" s="18">
        <v>3135.41</v>
      </c>
      <c r="P1339" s="18">
        <v>2570.0100000000002</v>
      </c>
      <c r="Q1339" s="18">
        <v>2508.33</v>
      </c>
      <c r="R1339" s="18">
        <v>2056.0100000000002</v>
      </c>
      <c r="S1339" s="18">
        <v>2132.08</v>
      </c>
      <c r="T1339" s="18">
        <v>1747.61</v>
      </c>
      <c r="U1339" s="16"/>
      <c r="V1339" s="16"/>
      <c r="W1339" s="16" t="s">
        <v>40</v>
      </c>
      <c r="X1339" s="19">
        <v>3.05</v>
      </c>
      <c r="Y1339" s="20">
        <v>3.457E-3</v>
      </c>
      <c r="Z1339" s="21">
        <v>4601004119802</v>
      </c>
    </row>
    <row r="1340" spans="1:26" ht="12" customHeight="1" outlineLevel="4" x14ac:dyDescent="0.2">
      <c r="A1340" s="14" t="s">
        <v>2635</v>
      </c>
      <c r="B1340" s="26" t="s">
        <v>2636</v>
      </c>
      <c r="C1340" s="52"/>
      <c r="D1340" s="55">
        <f t="shared" si="20"/>
        <v>0</v>
      </c>
      <c r="E1340" s="63" t="str">
        <f>HYPERLINK("https://www.sds-group.ru/product/kabel-silovoy-mednyy-num-j-3x1-5-mm-dlina-5-metrov-gost-31996-2012-tu-3520-015-38229892-20-01-8704-5/", "Инфо")</f>
        <v>Инфо</v>
      </c>
      <c r="F1340" s="16" t="s">
        <v>1887</v>
      </c>
      <c r="G1340" s="15"/>
      <c r="H1340" s="15"/>
      <c r="I1340" s="15"/>
      <c r="J1340" s="17">
        <v>8</v>
      </c>
      <c r="K1340" s="15"/>
      <c r="L1340" s="17">
        <v>1</v>
      </c>
      <c r="M1340" s="17">
        <v>1</v>
      </c>
      <c r="N1340" s="17">
        <v>1</v>
      </c>
      <c r="O1340" s="18">
        <v>915.48</v>
      </c>
      <c r="P1340" s="18">
        <v>750.39</v>
      </c>
      <c r="Q1340" s="18">
        <v>732.38</v>
      </c>
      <c r="R1340" s="18">
        <v>600.30999999999995</v>
      </c>
      <c r="S1340" s="18">
        <v>622.53</v>
      </c>
      <c r="T1340" s="18">
        <v>510.27</v>
      </c>
      <c r="U1340" s="16"/>
      <c r="V1340" s="16"/>
      <c r="W1340" s="16" t="s">
        <v>40</v>
      </c>
      <c r="X1340" s="19">
        <v>0.74199999999999999</v>
      </c>
      <c r="Y1340" s="20">
        <v>1.091E-3</v>
      </c>
      <c r="Z1340" s="21">
        <v>4601004119789</v>
      </c>
    </row>
    <row r="1341" spans="1:26" ht="12" customHeight="1" outlineLevel="4" x14ac:dyDescent="0.2">
      <c r="A1341" s="14" t="s">
        <v>2637</v>
      </c>
      <c r="B1341" s="26" t="s">
        <v>2638</v>
      </c>
      <c r="C1341" s="52"/>
      <c r="D1341" s="55">
        <f t="shared" si="20"/>
        <v>0</v>
      </c>
      <c r="E1341" s="63" t="str">
        <f>HYPERLINK("https://www.sds-group.ru/product/kabel-silovoy-mednyy-num-j-3x1-5-mm-dlina-50-metrov-gost-31996-2012-tu-3520-015-38229892--01-8704-50/", "Инфо")</f>
        <v>Инфо</v>
      </c>
      <c r="F1341" s="16" t="s">
        <v>1887</v>
      </c>
      <c r="G1341" s="15"/>
      <c r="H1341" s="15"/>
      <c r="I1341" s="15"/>
      <c r="J1341" s="17">
        <v>7</v>
      </c>
      <c r="K1341" s="15"/>
      <c r="L1341" s="17">
        <v>1</v>
      </c>
      <c r="M1341" s="17">
        <v>1</v>
      </c>
      <c r="N1341" s="17">
        <v>1</v>
      </c>
      <c r="O1341" s="18">
        <v>7825.11</v>
      </c>
      <c r="P1341" s="18">
        <v>6414.02</v>
      </c>
      <c r="Q1341" s="18">
        <v>5712.33</v>
      </c>
      <c r="R1341" s="18">
        <v>4682.24</v>
      </c>
      <c r="S1341" s="18">
        <v>5321.07</v>
      </c>
      <c r="T1341" s="18">
        <v>4361.53</v>
      </c>
      <c r="U1341" s="16"/>
      <c r="V1341" s="16"/>
      <c r="W1341" s="16" t="s">
        <v>40</v>
      </c>
      <c r="X1341" s="19">
        <v>6.8</v>
      </c>
      <c r="Y1341" s="20">
        <v>7.1799999999999998E-3</v>
      </c>
      <c r="Z1341" s="21">
        <v>4601004119819</v>
      </c>
    </row>
    <row r="1342" spans="1:26" ht="12" customHeight="1" outlineLevel="4" x14ac:dyDescent="0.2">
      <c r="A1342" s="14" t="s">
        <v>2639</v>
      </c>
      <c r="B1342" s="26" t="s">
        <v>2640</v>
      </c>
      <c r="C1342" s="52"/>
      <c r="D1342" s="55">
        <f t="shared" si="20"/>
        <v>0</v>
      </c>
      <c r="E1342" s="63" t="str">
        <f>HYPERLINK("https://www.sds-group.ru/product/kabel-silovoy-mednyy-num-j-3x2-5-mm-dlina-10-metrov-gost-31996-2012-tu-3520-015-38229892--01-8705-10/", "Инфо")</f>
        <v>Инфо</v>
      </c>
      <c r="F1342" s="16" t="s">
        <v>1887</v>
      </c>
      <c r="G1342" s="15"/>
      <c r="H1342" s="15"/>
      <c r="I1342" s="15"/>
      <c r="J1342" s="17">
        <v>3</v>
      </c>
      <c r="K1342" s="15"/>
      <c r="L1342" s="17">
        <v>1</v>
      </c>
      <c r="M1342" s="17">
        <v>5</v>
      </c>
      <c r="N1342" s="17">
        <v>1</v>
      </c>
      <c r="O1342" s="18">
        <v>2538.36</v>
      </c>
      <c r="P1342" s="18">
        <v>2080.62</v>
      </c>
      <c r="Q1342" s="18">
        <v>1776.85</v>
      </c>
      <c r="R1342" s="18">
        <v>1456.43</v>
      </c>
      <c r="S1342" s="18">
        <v>1726.08</v>
      </c>
      <c r="T1342" s="18">
        <v>1414.82</v>
      </c>
      <c r="U1342" s="16"/>
      <c r="V1342" s="16"/>
      <c r="W1342" s="16"/>
      <c r="X1342" s="19">
        <v>1.978</v>
      </c>
      <c r="Y1342" s="20">
        <v>2.4780000000000002E-3</v>
      </c>
      <c r="Z1342" s="21">
        <v>4601004119833</v>
      </c>
    </row>
    <row r="1343" spans="1:26" ht="12" customHeight="1" outlineLevel="4" x14ac:dyDescent="0.2">
      <c r="A1343" s="14" t="s">
        <v>2641</v>
      </c>
      <c r="B1343" s="26" t="s">
        <v>2642</v>
      </c>
      <c r="C1343" s="52"/>
      <c r="D1343" s="55">
        <f t="shared" si="20"/>
        <v>0</v>
      </c>
      <c r="E1343" s="63" t="str">
        <f>HYPERLINK("https://www.sds-group.ru/product/kabel-silovoy-mednyy-num-j-3x2-5-mm-dlina-20-metrov-gost-31996-2012-tu-3520-015-38229892--01-8705-20/", "Инфо")</f>
        <v>Инфо</v>
      </c>
      <c r="F1343" s="16" t="s">
        <v>1887</v>
      </c>
      <c r="G1343" s="15"/>
      <c r="H1343" s="15"/>
      <c r="I1343" s="15"/>
      <c r="J1343" s="17">
        <v>55</v>
      </c>
      <c r="K1343" s="15"/>
      <c r="L1343" s="17">
        <v>1</v>
      </c>
      <c r="M1343" s="17">
        <v>4</v>
      </c>
      <c r="N1343" s="17">
        <v>1</v>
      </c>
      <c r="O1343" s="18">
        <v>4973.45</v>
      </c>
      <c r="P1343" s="18">
        <v>4076.6</v>
      </c>
      <c r="Q1343" s="18">
        <v>3481.42</v>
      </c>
      <c r="R1343" s="18">
        <v>2853.62</v>
      </c>
      <c r="S1343" s="18">
        <v>3381.95</v>
      </c>
      <c r="T1343" s="18">
        <v>2772.09</v>
      </c>
      <c r="U1343" s="16"/>
      <c r="V1343" s="16"/>
      <c r="W1343" s="16"/>
      <c r="X1343" s="19">
        <v>4.0179999999999998</v>
      </c>
      <c r="Y1343" s="20">
        <v>3.748E-3</v>
      </c>
      <c r="Z1343" s="21">
        <v>4601004119840</v>
      </c>
    </row>
    <row r="1344" spans="1:26" ht="12" customHeight="1" outlineLevel="4" x14ac:dyDescent="0.2">
      <c r="A1344" s="14" t="s">
        <v>2643</v>
      </c>
      <c r="B1344" s="26" t="s">
        <v>2644</v>
      </c>
      <c r="C1344" s="52"/>
      <c r="D1344" s="55">
        <f t="shared" si="20"/>
        <v>0</v>
      </c>
      <c r="E1344" s="63" t="str">
        <f>HYPERLINK("https://www.sds-group.ru/product/kabel-silovoy-mednyy-num-j-3x2-5-mm-dlina-5-metrov-gost-31996-2012-tu-3520-015-38229892-20-01-8705-5/", "Инфо")</f>
        <v>Инфо</v>
      </c>
      <c r="F1344" s="16" t="s">
        <v>1887</v>
      </c>
      <c r="G1344" s="15"/>
      <c r="H1344" s="15"/>
      <c r="I1344" s="15"/>
      <c r="J1344" s="17">
        <v>5</v>
      </c>
      <c r="K1344" s="15"/>
      <c r="L1344" s="17">
        <v>1</v>
      </c>
      <c r="M1344" s="17">
        <v>1</v>
      </c>
      <c r="N1344" s="17">
        <v>1</v>
      </c>
      <c r="O1344" s="18">
        <v>1284.4000000000001</v>
      </c>
      <c r="P1344" s="18">
        <v>1052.79</v>
      </c>
      <c r="Q1344" s="18">
        <v>1014.68</v>
      </c>
      <c r="R1344" s="18">
        <v>831.7</v>
      </c>
      <c r="S1344" s="18">
        <v>873.39</v>
      </c>
      <c r="T1344" s="18">
        <v>715.89</v>
      </c>
      <c r="U1344" s="16"/>
      <c r="V1344" s="16"/>
      <c r="W1344" s="16" t="s">
        <v>40</v>
      </c>
      <c r="X1344" s="19">
        <v>0.98399999999999999</v>
      </c>
      <c r="Y1344" s="20">
        <v>1.371E-3</v>
      </c>
      <c r="Z1344" s="21">
        <v>4601004119826</v>
      </c>
    </row>
    <row r="1345" spans="1:26" ht="12" customHeight="1" outlineLevel="4" x14ac:dyDescent="0.2">
      <c r="A1345" s="14" t="s">
        <v>2645</v>
      </c>
      <c r="B1345" s="26" t="s">
        <v>2646</v>
      </c>
      <c r="C1345" s="52"/>
      <c r="D1345" s="55">
        <f t="shared" si="20"/>
        <v>0</v>
      </c>
      <c r="E1345" s="63" t="str">
        <f>HYPERLINK("https://www.sds-group.ru/product/kabel-silovoy-mednyy-num-j-3x2-5-mm-dlina-50-metrov-gost-31996-2012-tu-3520-015-38229892--01-8705-50/", "Инфо")</f>
        <v>Инфо</v>
      </c>
      <c r="F1345" s="16" t="s">
        <v>1887</v>
      </c>
      <c r="G1345" s="15"/>
      <c r="H1345" s="15"/>
      <c r="I1345" s="15"/>
      <c r="J1345" s="16" t="s">
        <v>100</v>
      </c>
      <c r="K1345" s="15"/>
      <c r="L1345" s="17">
        <v>1</v>
      </c>
      <c r="M1345" s="17">
        <v>1</v>
      </c>
      <c r="N1345" s="17">
        <v>1</v>
      </c>
      <c r="O1345" s="18">
        <v>12419.44</v>
      </c>
      <c r="P1345" s="18">
        <v>10179.870000000001</v>
      </c>
      <c r="Q1345" s="18">
        <v>9066.19</v>
      </c>
      <c r="R1345" s="18">
        <v>7431.3</v>
      </c>
      <c r="S1345" s="18">
        <v>8445.2199999999993</v>
      </c>
      <c r="T1345" s="18">
        <v>6922.31</v>
      </c>
      <c r="U1345" s="16"/>
      <c r="V1345" s="16"/>
      <c r="W1345" s="16" t="s">
        <v>40</v>
      </c>
      <c r="X1345" s="19">
        <v>10.047000000000001</v>
      </c>
      <c r="Y1345" s="20">
        <v>1.0670000000000001E-2</v>
      </c>
      <c r="Z1345" s="21">
        <v>4601004119857</v>
      </c>
    </row>
    <row r="1346" spans="1:26" ht="12" customHeight="1" outlineLevel="4" x14ac:dyDescent="0.2">
      <c r="A1346" s="32" t="s">
        <v>2647</v>
      </c>
      <c r="B1346" s="74" t="s">
        <v>2648</v>
      </c>
      <c r="C1346" s="50"/>
      <c r="D1346" s="53">
        <f t="shared" si="20"/>
        <v>0</v>
      </c>
      <c r="E1346" s="60" t="str">
        <f>HYPERLINK("https://www.sds-group.ru/product/kabel-silovoy-mednyy-num-j-4x2-5-mm-dlina-20-metrov-gost-31996-2012-tu-3520-015-38229892--01-8709-20/", "Инфо")</f>
        <v>Инфо</v>
      </c>
      <c r="F1346" s="34" t="s">
        <v>1887</v>
      </c>
      <c r="G1346" s="33"/>
      <c r="H1346" s="33" t="s">
        <v>40</v>
      </c>
      <c r="I1346" s="33" t="s">
        <v>2649</v>
      </c>
      <c r="J1346" s="34" t="s">
        <v>100</v>
      </c>
      <c r="K1346" s="33"/>
      <c r="L1346" s="35">
        <v>1</v>
      </c>
      <c r="M1346" s="35">
        <v>1</v>
      </c>
      <c r="N1346" s="35">
        <v>1</v>
      </c>
      <c r="O1346" s="36">
        <v>1659.14</v>
      </c>
      <c r="P1346" s="36">
        <v>1359.95</v>
      </c>
      <c r="Q1346" s="36">
        <v>1161.4000000000001</v>
      </c>
      <c r="R1346" s="36">
        <v>951.97</v>
      </c>
      <c r="S1346" s="36">
        <v>1128.22</v>
      </c>
      <c r="T1346" s="36">
        <v>924.77</v>
      </c>
      <c r="U1346" s="34"/>
      <c r="V1346" s="34"/>
      <c r="W1346" s="34"/>
      <c r="X1346" s="37">
        <v>6</v>
      </c>
      <c r="Y1346" s="38">
        <v>4.0000000000000001E-3</v>
      </c>
      <c r="Z1346" s="21">
        <v>4601004134560</v>
      </c>
    </row>
    <row r="1347" spans="1:26" ht="12" customHeight="1" outlineLevel="4" x14ac:dyDescent="0.2">
      <c r="A1347" s="32" t="s">
        <v>2650</v>
      </c>
      <c r="B1347" s="74" t="s">
        <v>2651</v>
      </c>
      <c r="C1347" s="50"/>
      <c r="D1347" s="53">
        <f t="shared" si="20"/>
        <v>0</v>
      </c>
      <c r="E1347" s="60" t="str">
        <f>HYPERLINK("https://www.sds-group.ru/product/kabel-silovoy-mednyy-num-j-4x2-5-mm-dlina-50-metrov-gost-31996-2012-tu-3520-015-38229892--01-8709-50/", "Инфо")</f>
        <v>Инфо</v>
      </c>
      <c r="F1347" s="34" t="s">
        <v>1887</v>
      </c>
      <c r="G1347" s="33"/>
      <c r="H1347" s="33" t="s">
        <v>40</v>
      </c>
      <c r="I1347" s="33" t="s">
        <v>2652</v>
      </c>
      <c r="J1347" s="34" t="s">
        <v>100</v>
      </c>
      <c r="K1347" s="33"/>
      <c r="L1347" s="35">
        <v>1</v>
      </c>
      <c r="M1347" s="35">
        <v>1</v>
      </c>
      <c r="N1347" s="35">
        <v>1</v>
      </c>
      <c r="O1347" s="36">
        <v>3802.07</v>
      </c>
      <c r="P1347" s="36">
        <v>3116.45</v>
      </c>
      <c r="Q1347" s="36">
        <v>2661.45</v>
      </c>
      <c r="R1347" s="36">
        <v>2181.52</v>
      </c>
      <c r="S1347" s="36">
        <v>2585.41</v>
      </c>
      <c r="T1347" s="36">
        <v>2119.19</v>
      </c>
      <c r="U1347" s="34"/>
      <c r="V1347" s="34"/>
      <c r="W1347" s="34"/>
      <c r="X1347" s="37">
        <v>15</v>
      </c>
      <c r="Y1347" s="38">
        <v>0.01</v>
      </c>
      <c r="Z1347" s="21">
        <v>4601004134577</v>
      </c>
    </row>
    <row r="1348" spans="1:26" ht="12" customHeight="1" outlineLevel="4" x14ac:dyDescent="0.2">
      <c r="A1348" s="14" t="s">
        <v>2653</v>
      </c>
      <c r="B1348" s="26" t="s">
        <v>2654</v>
      </c>
      <c r="C1348" s="52"/>
      <c r="D1348" s="55">
        <f t="shared" si="20"/>
        <v>0</v>
      </c>
      <c r="E1348" s="63" t="str">
        <f>HYPERLINK("https://www.sds-group.ru/product/kabel-silovoy-mednyy-num-o-2x1-5-mm-dlina-10-metrov-gost-31996-2012-tu-3520-015-38229892--01-8701-10/", "Инфо")</f>
        <v>Инфо</v>
      </c>
      <c r="F1348" s="16" t="s">
        <v>1887</v>
      </c>
      <c r="G1348" s="15"/>
      <c r="H1348" s="15"/>
      <c r="I1348" s="15"/>
      <c r="J1348" s="17">
        <v>10</v>
      </c>
      <c r="K1348" s="15"/>
      <c r="L1348" s="17">
        <v>1</v>
      </c>
      <c r="M1348" s="17">
        <v>1</v>
      </c>
      <c r="N1348" s="17">
        <v>1</v>
      </c>
      <c r="O1348" s="18">
        <v>1275.04</v>
      </c>
      <c r="P1348" s="18">
        <v>1045.1099999999999</v>
      </c>
      <c r="Q1348" s="18">
        <v>1007.28</v>
      </c>
      <c r="R1348" s="18">
        <v>825.64</v>
      </c>
      <c r="S1348" s="18">
        <v>867.03</v>
      </c>
      <c r="T1348" s="18">
        <v>710.68</v>
      </c>
      <c r="U1348" s="16"/>
      <c r="V1348" s="16"/>
      <c r="W1348" s="16" t="s">
        <v>40</v>
      </c>
      <c r="X1348" s="19">
        <v>1.474</v>
      </c>
      <c r="Y1348" s="20">
        <v>1.9E-3</v>
      </c>
      <c r="Z1348" s="21">
        <v>4601004119710</v>
      </c>
    </row>
    <row r="1349" spans="1:26" ht="12" customHeight="1" outlineLevel="4" x14ac:dyDescent="0.2">
      <c r="A1349" s="14" t="s">
        <v>2655</v>
      </c>
      <c r="B1349" s="26" t="s">
        <v>2656</v>
      </c>
      <c r="C1349" s="52"/>
      <c r="D1349" s="55">
        <f t="shared" si="20"/>
        <v>0</v>
      </c>
      <c r="E1349" s="63" t="str">
        <f>HYPERLINK("https://www.sds-group.ru/product/kabel-silovoy-mednyy-num-o-2x1-5-mm-dlina-20-metrov-gost-31996-2012-tu-3520-015-38229892--01-8701-20/", "Инфо")</f>
        <v>Инфо</v>
      </c>
      <c r="F1349" s="16" t="s">
        <v>1887</v>
      </c>
      <c r="G1349" s="15"/>
      <c r="H1349" s="15"/>
      <c r="I1349" s="15"/>
      <c r="J1349" s="17">
        <v>25</v>
      </c>
      <c r="K1349" s="15"/>
      <c r="L1349" s="17">
        <v>1</v>
      </c>
      <c r="M1349" s="17">
        <v>6</v>
      </c>
      <c r="N1349" s="17">
        <v>1</v>
      </c>
      <c r="O1349" s="18">
        <v>2198.62</v>
      </c>
      <c r="P1349" s="18">
        <v>1802.15</v>
      </c>
      <c r="Q1349" s="18">
        <v>1692.94</v>
      </c>
      <c r="R1349" s="18">
        <v>1387.66</v>
      </c>
      <c r="S1349" s="18">
        <v>1495.06</v>
      </c>
      <c r="T1349" s="18">
        <v>1225.46</v>
      </c>
      <c r="U1349" s="16"/>
      <c r="V1349" s="16"/>
      <c r="W1349" s="16" t="s">
        <v>40</v>
      </c>
      <c r="X1349" s="19">
        <v>2.5670000000000002</v>
      </c>
      <c r="Y1349" s="20">
        <v>2.9489999999999998E-3</v>
      </c>
      <c r="Z1349" s="21">
        <v>4601004119727</v>
      </c>
    </row>
    <row r="1350" spans="1:26" ht="12" customHeight="1" outlineLevel="4" x14ac:dyDescent="0.2">
      <c r="A1350" s="14" t="s">
        <v>2657</v>
      </c>
      <c r="B1350" s="26" t="s">
        <v>2658</v>
      </c>
      <c r="C1350" s="52"/>
      <c r="D1350" s="55">
        <f t="shared" si="20"/>
        <v>0</v>
      </c>
      <c r="E1350" s="63" t="str">
        <f>HYPERLINK("https://www.sds-group.ru/product/kabel-silovoy-mednyy-num-o-2x1-5-mm-dlina-5-metrov-gost-31996-2012-tu-3520-015-38229892-20-01-8701-5/", "Инфо")</f>
        <v>Инфо</v>
      </c>
      <c r="F1350" s="16" t="s">
        <v>1887</v>
      </c>
      <c r="G1350" s="15"/>
      <c r="H1350" s="15"/>
      <c r="I1350" s="15"/>
      <c r="J1350" s="17">
        <v>8</v>
      </c>
      <c r="K1350" s="15"/>
      <c r="L1350" s="17">
        <v>1</v>
      </c>
      <c r="M1350" s="17">
        <v>1</v>
      </c>
      <c r="N1350" s="17">
        <v>1</v>
      </c>
      <c r="O1350" s="18">
        <v>602.26</v>
      </c>
      <c r="P1350" s="18">
        <v>493.66</v>
      </c>
      <c r="Q1350" s="18">
        <v>481.81</v>
      </c>
      <c r="R1350" s="18">
        <v>394.93</v>
      </c>
      <c r="S1350" s="18">
        <v>409.54</v>
      </c>
      <c r="T1350" s="18">
        <v>335.69</v>
      </c>
      <c r="U1350" s="16"/>
      <c r="V1350" s="16"/>
      <c r="W1350" s="16" t="s">
        <v>40</v>
      </c>
      <c r="X1350" s="19">
        <v>0.77</v>
      </c>
      <c r="Y1350" s="20">
        <v>1.4E-3</v>
      </c>
      <c r="Z1350" s="21">
        <v>4601004119703</v>
      </c>
    </row>
    <row r="1351" spans="1:26" ht="12.95" customHeight="1" outlineLevel="3" x14ac:dyDescent="0.2">
      <c r="A1351" s="82" t="s">
        <v>2659</v>
      </c>
      <c r="B1351" s="82"/>
      <c r="C1351" s="83"/>
      <c r="D1351" s="59"/>
      <c r="E1351" s="69"/>
      <c r="F1351" s="23"/>
      <c r="G1351" s="23"/>
      <c r="H1351" s="23"/>
      <c r="I1351" s="23"/>
      <c r="J1351" s="23"/>
      <c r="K1351" s="23"/>
      <c r="L1351" s="23"/>
      <c r="M1351" s="23"/>
      <c r="N1351" s="23"/>
      <c r="O1351" s="23"/>
      <c r="P1351" s="23"/>
      <c r="Q1351" s="23"/>
      <c r="R1351" s="23"/>
      <c r="S1351" s="23"/>
      <c r="T1351" s="23"/>
      <c r="U1351" s="23"/>
      <c r="V1351" s="23"/>
      <c r="W1351" s="23"/>
      <c r="X1351" s="23"/>
      <c r="Y1351" s="23"/>
      <c r="Z1351" s="23"/>
    </row>
    <row r="1352" spans="1:26" ht="12" customHeight="1" outlineLevel="4" x14ac:dyDescent="0.2">
      <c r="A1352" s="14" t="s">
        <v>2660</v>
      </c>
      <c r="B1352" s="26" t="s">
        <v>2661</v>
      </c>
      <c r="C1352" s="52"/>
      <c r="D1352" s="55">
        <f t="shared" si="20"/>
        <v>0</v>
      </c>
      <c r="E1352" s="63" t="str">
        <f>HYPERLINK("https://www.sds-group.ru/product/provod-sip-4-2x16-0-mm-dlina-25-metrov-gost-rexant-01-8890-25/", "Инфо")</f>
        <v>Инфо</v>
      </c>
      <c r="F1352" s="16" t="s">
        <v>1887</v>
      </c>
      <c r="G1352" s="15"/>
      <c r="H1352" s="15"/>
      <c r="I1352" s="15"/>
      <c r="J1352" s="17">
        <v>14</v>
      </c>
      <c r="K1352" s="15"/>
      <c r="L1352" s="17">
        <v>1</v>
      </c>
      <c r="M1352" s="17">
        <v>1</v>
      </c>
      <c r="N1352" s="17">
        <v>1</v>
      </c>
      <c r="O1352" s="18">
        <v>3240.59</v>
      </c>
      <c r="P1352" s="18">
        <v>2656.22</v>
      </c>
      <c r="Q1352" s="18">
        <v>2592.4699999999998</v>
      </c>
      <c r="R1352" s="18">
        <v>2124.98</v>
      </c>
      <c r="S1352" s="18">
        <v>2203.6</v>
      </c>
      <c r="T1352" s="18">
        <v>1806.23</v>
      </c>
      <c r="U1352" s="16"/>
      <c r="V1352" s="16"/>
      <c r="W1352" s="16" t="s">
        <v>40</v>
      </c>
      <c r="X1352" s="19">
        <v>2.859</v>
      </c>
      <c r="Y1352" s="20">
        <v>7.8779999999999996E-3</v>
      </c>
      <c r="Z1352" s="21">
        <v>4601004331631</v>
      </c>
    </row>
    <row r="1353" spans="1:26" ht="12" customHeight="1" outlineLevel="4" x14ac:dyDescent="0.2">
      <c r="A1353" s="14" t="s">
        <v>2662</v>
      </c>
      <c r="B1353" s="26" t="s">
        <v>2663</v>
      </c>
      <c r="C1353" s="52"/>
      <c r="D1353" s="55">
        <f t="shared" ref="D1353:D1416" si="21">C1353*(O1353-O1353*$G$3)</f>
        <v>0</v>
      </c>
      <c r="E1353" s="63" t="str">
        <f>HYPERLINK("https://www.sds-group.ru/product/provod-sip-4-4x16-0-mm-dlina-25-metrov-gost-rexant-01-8892-25/", "Инфо")</f>
        <v>Инфо</v>
      </c>
      <c r="F1353" s="16" t="s">
        <v>1887</v>
      </c>
      <c r="G1353" s="15"/>
      <c r="H1353" s="15"/>
      <c r="I1353" s="15"/>
      <c r="J1353" s="17">
        <v>15</v>
      </c>
      <c r="K1353" s="15"/>
      <c r="L1353" s="17">
        <v>1</v>
      </c>
      <c r="M1353" s="17">
        <v>1</v>
      </c>
      <c r="N1353" s="17">
        <v>1</v>
      </c>
      <c r="O1353" s="18">
        <v>6083.11</v>
      </c>
      <c r="P1353" s="18">
        <v>4986.16</v>
      </c>
      <c r="Q1353" s="18">
        <v>4440.67</v>
      </c>
      <c r="R1353" s="18">
        <v>3639.89</v>
      </c>
      <c r="S1353" s="18">
        <v>4136.51</v>
      </c>
      <c r="T1353" s="18">
        <v>3390.58</v>
      </c>
      <c r="U1353" s="16"/>
      <c r="V1353" s="16"/>
      <c r="W1353" s="16" t="s">
        <v>40</v>
      </c>
      <c r="X1353" s="19">
        <v>3.5</v>
      </c>
      <c r="Y1353" s="20">
        <v>0.01</v>
      </c>
      <c r="Z1353" s="21">
        <v>4601004331617</v>
      </c>
    </row>
    <row r="1354" spans="1:26" ht="12.95" customHeight="1" outlineLevel="2" x14ac:dyDescent="0.2">
      <c r="A1354" s="82" t="s">
        <v>2664</v>
      </c>
      <c r="B1354" s="82"/>
      <c r="C1354" s="83"/>
      <c r="D1354" s="59"/>
      <c r="E1354" s="69"/>
      <c r="F1354" s="23"/>
      <c r="G1354" s="23"/>
      <c r="H1354" s="23"/>
      <c r="I1354" s="23"/>
      <c r="J1354" s="23"/>
      <c r="K1354" s="23"/>
      <c r="L1354" s="23"/>
      <c r="M1354" s="23"/>
      <c r="N1354" s="23"/>
      <c r="O1354" s="23"/>
      <c r="P1354" s="23"/>
      <c r="Q1354" s="23"/>
      <c r="R1354" s="23"/>
      <c r="S1354" s="23"/>
      <c r="T1354" s="23"/>
      <c r="U1354" s="23"/>
      <c r="V1354" s="23"/>
      <c r="W1354" s="23"/>
      <c r="X1354" s="23"/>
      <c r="Y1354" s="23"/>
      <c r="Z1354" s="23"/>
    </row>
    <row r="1355" spans="1:26" ht="12" customHeight="1" outlineLevel="3" x14ac:dyDescent="0.2">
      <c r="A1355" s="14" t="s">
        <v>2665</v>
      </c>
      <c r="B1355" s="26" t="s">
        <v>2666</v>
      </c>
      <c r="C1355" s="52"/>
      <c r="D1355" s="55">
        <f t="shared" si="21"/>
        <v>0</v>
      </c>
      <c r="E1355" s="63" t="str">
        <f>HYPERLINK("https://www.sds-group.ru/product/provod-samonesuschiy-sip-4-2x16-0-mm-100-m-gost-01-8890-2/", "Инфо")</f>
        <v>Инфо</v>
      </c>
      <c r="F1355" s="16" t="s">
        <v>1767</v>
      </c>
      <c r="G1355" s="15"/>
      <c r="H1355" s="15"/>
      <c r="I1355" s="15"/>
      <c r="J1355" s="22">
        <v>2610</v>
      </c>
      <c r="K1355" s="15"/>
      <c r="L1355" s="17">
        <v>100</v>
      </c>
      <c r="M1355" s="17">
        <v>100</v>
      </c>
      <c r="N1355" s="17">
        <v>100</v>
      </c>
      <c r="O1355" s="18">
        <v>114.02</v>
      </c>
      <c r="P1355" s="18">
        <v>93.46</v>
      </c>
      <c r="Q1355" s="18">
        <v>96.92</v>
      </c>
      <c r="R1355" s="18">
        <v>79.44</v>
      </c>
      <c r="S1355" s="18">
        <v>77.53</v>
      </c>
      <c r="T1355" s="18">
        <v>63.55</v>
      </c>
      <c r="U1355" s="16"/>
      <c r="V1355" s="16"/>
      <c r="W1355" s="16" t="s">
        <v>40</v>
      </c>
      <c r="X1355" s="19">
        <v>0.11600000000000001</v>
      </c>
      <c r="Y1355" s="20">
        <v>6.1300000000000005E-4</v>
      </c>
      <c r="Z1355" s="21">
        <v>4601004125063</v>
      </c>
    </row>
    <row r="1356" spans="1:26" ht="12" customHeight="1" outlineLevel="3" x14ac:dyDescent="0.2">
      <c r="A1356" s="14" t="s">
        <v>2667</v>
      </c>
      <c r="B1356" s="26" t="s">
        <v>2668</v>
      </c>
      <c r="C1356" s="52"/>
      <c r="D1356" s="55">
        <f t="shared" si="21"/>
        <v>0</v>
      </c>
      <c r="E1356" s="63" t="str">
        <f>HYPERLINK("https://www.sds-group.ru/product/provod-samonesuschiy-sip-4-4x16-0-mm-100-m-gost-01-8892-2/", "Инфо")</f>
        <v>Инфо</v>
      </c>
      <c r="F1356" s="16" t="s">
        <v>1767</v>
      </c>
      <c r="G1356" s="15"/>
      <c r="H1356" s="15"/>
      <c r="I1356" s="15"/>
      <c r="J1356" s="16" t="s">
        <v>100</v>
      </c>
      <c r="K1356" s="15"/>
      <c r="L1356" s="17">
        <v>100</v>
      </c>
      <c r="M1356" s="17">
        <v>100</v>
      </c>
      <c r="N1356" s="17">
        <v>100</v>
      </c>
      <c r="O1356" s="18">
        <v>228.01</v>
      </c>
      <c r="P1356" s="18">
        <v>186.89</v>
      </c>
      <c r="Q1356" s="18">
        <v>193.81</v>
      </c>
      <c r="R1356" s="18">
        <v>158.86000000000001</v>
      </c>
      <c r="S1356" s="18">
        <v>155.05000000000001</v>
      </c>
      <c r="T1356" s="18">
        <v>127.09</v>
      </c>
      <c r="U1356" s="16"/>
      <c r="V1356" s="16"/>
      <c r="W1356" s="16" t="s">
        <v>40</v>
      </c>
      <c r="X1356" s="19">
        <v>0.23400000000000001</v>
      </c>
      <c r="Y1356" s="20">
        <v>1.186E-3</v>
      </c>
      <c r="Z1356" s="21">
        <v>4601004125070</v>
      </c>
    </row>
    <row r="1357" spans="1:26" ht="12.95" customHeight="1" outlineLevel="2" x14ac:dyDescent="0.2">
      <c r="A1357" s="82" t="s">
        <v>2669</v>
      </c>
      <c r="B1357" s="82"/>
      <c r="C1357" s="83"/>
      <c r="D1357" s="59"/>
      <c r="E1357" s="69"/>
      <c r="F1357" s="23"/>
      <c r="G1357" s="23"/>
      <c r="H1357" s="23"/>
      <c r="I1357" s="23"/>
      <c r="J1357" s="23"/>
      <c r="K1357" s="23"/>
      <c r="L1357" s="23"/>
      <c r="M1357" s="23"/>
      <c r="N1357" s="23"/>
      <c r="O1357" s="23"/>
      <c r="P1357" s="23"/>
      <c r="Q1357" s="23"/>
      <c r="R1357" s="23"/>
      <c r="S1357" s="23"/>
      <c r="T1357" s="23"/>
      <c r="U1357" s="23"/>
      <c r="V1357" s="23"/>
      <c r="W1357" s="23"/>
      <c r="X1357" s="23"/>
      <c r="Y1357" s="23"/>
      <c r="Z1357" s="23"/>
    </row>
    <row r="1358" spans="1:26" ht="12" customHeight="1" outlineLevel="3" x14ac:dyDescent="0.2">
      <c r="A1358" s="14" t="s">
        <v>2670</v>
      </c>
      <c r="B1358" s="26" t="s">
        <v>2671</v>
      </c>
      <c r="C1358" s="52"/>
      <c r="D1358" s="55">
        <f t="shared" si="21"/>
        <v>0</v>
      </c>
      <c r="E1358" s="63" t="str">
        <f>HYPERLINK("https://www.sds-group.ru/product/provod-nagrevatelnyy-pnsv-1-2-mm-20-vt-m-polietilen-buhta-1000-m-01-9090-1/", "Инфо")</f>
        <v>Инфо</v>
      </c>
      <c r="F1358" s="16" t="s">
        <v>2672</v>
      </c>
      <c r="G1358" s="15"/>
      <c r="H1358" s="15"/>
      <c r="I1358" s="15"/>
      <c r="J1358" s="16" t="s">
        <v>100</v>
      </c>
      <c r="K1358" s="15"/>
      <c r="L1358" s="22">
        <v>1000</v>
      </c>
      <c r="M1358" s="22">
        <v>1000</v>
      </c>
      <c r="N1358" s="22">
        <v>1000</v>
      </c>
      <c r="O1358" s="18">
        <v>3.79</v>
      </c>
      <c r="P1358" s="18">
        <v>3.11</v>
      </c>
      <c r="Q1358" s="18">
        <v>3.22</v>
      </c>
      <c r="R1358" s="18">
        <v>2.64</v>
      </c>
      <c r="S1358" s="18">
        <v>2.58</v>
      </c>
      <c r="T1358" s="18">
        <v>2.11</v>
      </c>
      <c r="U1358" s="16"/>
      <c r="V1358" s="16"/>
      <c r="W1358" s="16" t="s">
        <v>40</v>
      </c>
      <c r="X1358" s="19">
        <v>1.0999999999999999E-2</v>
      </c>
      <c r="Y1358" s="20">
        <v>6.9999999999999999E-6</v>
      </c>
      <c r="Z1358" s="21">
        <v>4601004342309</v>
      </c>
    </row>
    <row r="1359" spans="1:26" ht="12.95" customHeight="1" outlineLevel="1" x14ac:dyDescent="0.2">
      <c r="A1359" s="78" t="s">
        <v>2673</v>
      </c>
      <c r="B1359" s="78"/>
      <c r="C1359" s="79"/>
      <c r="D1359" s="57"/>
      <c r="E1359" s="67"/>
      <c r="F1359" s="12"/>
      <c r="G1359" s="12"/>
      <c r="H1359" s="12"/>
      <c r="I1359" s="12"/>
      <c r="J1359" s="12"/>
      <c r="K1359" s="12"/>
      <c r="L1359" s="12"/>
      <c r="M1359" s="12"/>
      <c r="N1359" s="12"/>
      <c r="O1359" s="12"/>
      <c r="P1359" s="12"/>
      <c r="Q1359" s="12"/>
      <c r="R1359" s="12"/>
      <c r="S1359" s="12"/>
      <c r="T1359" s="12"/>
      <c r="U1359" s="12"/>
      <c r="V1359" s="12"/>
      <c r="W1359" s="12"/>
      <c r="X1359" s="12"/>
      <c r="Y1359" s="12"/>
      <c r="Z1359" s="12"/>
    </row>
    <row r="1360" spans="1:26" ht="12.95" customHeight="1" outlineLevel="2" x14ac:dyDescent="0.2">
      <c r="A1360" s="76" t="s">
        <v>2674</v>
      </c>
      <c r="B1360" s="76"/>
      <c r="C1360" s="77"/>
      <c r="D1360" s="58"/>
      <c r="E1360" s="68"/>
      <c r="F1360" s="13"/>
      <c r="G1360" s="13"/>
      <c r="H1360" s="13"/>
      <c r="I1360" s="13"/>
      <c r="J1360" s="13"/>
      <c r="K1360" s="13"/>
      <c r="L1360" s="13"/>
      <c r="M1360" s="13"/>
      <c r="N1360" s="13"/>
      <c r="O1360" s="13"/>
      <c r="P1360" s="13"/>
      <c r="Q1360" s="13"/>
      <c r="R1360" s="13"/>
      <c r="S1360" s="13"/>
      <c r="T1360" s="13"/>
      <c r="U1360" s="13"/>
      <c r="V1360" s="13"/>
      <c r="W1360" s="13"/>
      <c r="X1360" s="13"/>
      <c r="Y1360" s="13"/>
      <c r="Z1360" s="13"/>
    </row>
    <row r="1361" spans="1:26" ht="12.95" customHeight="1" outlineLevel="3" x14ac:dyDescent="0.2">
      <c r="A1361" s="76" t="s">
        <v>2675</v>
      </c>
      <c r="B1361" s="76"/>
      <c r="C1361" s="77"/>
      <c r="D1361" s="58"/>
      <c r="E1361" s="68"/>
      <c r="F1361" s="13"/>
      <c r="G1361" s="13"/>
      <c r="H1361" s="13"/>
      <c r="I1361" s="13"/>
      <c r="J1361" s="13"/>
      <c r="K1361" s="13"/>
      <c r="L1361" s="13"/>
      <c r="M1361" s="13"/>
      <c r="N1361" s="13"/>
      <c r="O1361" s="13"/>
      <c r="P1361" s="13"/>
      <c r="Q1361" s="13"/>
      <c r="R1361" s="13"/>
      <c r="S1361" s="13"/>
      <c r="T1361" s="13"/>
      <c r="U1361" s="13"/>
      <c r="V1361" s="13"/>
      <c r="W1361" s="13"/>
      <c r="X1361" s="13"/>
      <c r="Y1361" s="13"/>
      <c r="Z1361" s="13"/>
    </row>
    <row r="1362" spans="1:26" ht="12" customHeight="1" outlineLevel="4" x14ac:dyDescent="0.2">
      <c r="A1362" s="14" t="s">
        <v>2676</v>
      </c>
      <c r="B1362" s="26" t="s">
        <v>2677</v>
      </c>
      <c r="C1362" s="52"/>
      <c r="D1362" s="55">
        <f t="shared" si="21"/>
        <v>0</v>
      </c>
      <c r="E1362" s="63" t="str">
        <f>HYPERLINK("https://www.sds-group.ru/product/klemma-ploskaya-izolirovannaya-rpi-m-1-5-2-8-rpim-1-25-250-gnezdo-3-8-mm-0-5-1-5-mm-rexant-08-0411/", "Инфо")</f>
        <v>Инфо</v>
      </c>
      <c r="F1362" s="16" t="s">
        <v>39</v>
      </c>
      <c r="G1362" s="15"/>
      <c r="H1362" s="15"/>
      <c r="I1362" s="15"/>
      <c r="J1362" s="22">
        <v>150270</v>
      </c>
      <c r="K1362" s="15"/>
      <c r="L1362" s="17">
        <v>500</v>
      </c>
      <c r="M1362" s="22">
        <v>30000</v>
      </c>
      <c r="N1362" s="17">
        <v>500</v>
      </c>
      <c r="O1362" s="18">
        <v>2.3199999999999998</v>
      </c>
      <c r="P1362" s="18">
        <v>1.9</v>
      </c>
      <c r="Q1362" s="18">
        <v>1.97</v>
      </c>
      <c r="R1362" s="18">
        <v>1.61</v>
      </c>
      <c r="S1362" s="18">
        <v>1.58</v>
      </c>
      <c r="T1362" s="18">
        <v>1.3</v>
      </c>
      <c r="U1362" s="16"/>
      <c r="V1362" s="16"/>
      <c r="W1362" s="16" t="s">
        <v>40</v>
      </c>
      <c r="X1362" s="19">
        <v>0</v>
      </c>
      <c r="Y1362" s="20">
        <v>9.9999999999999995E-7</v>
      </c>
      <c r="Z1362" s="21">
        <v>4660008012212</v>
      </c>
    </row>
    <row r="1363" spans="1:26" ht="12" customHeight="1" outlineLevel="4" x14ac:dyDescent="0.2">
      <c r="A1363" s="14" t="s">
        <v>2678</v>
      </c>
      <c r="B1363" s="26" t="s">
        <v>2679</v>
      </c>
      <c r="C1363" s="52"/>
      <c r="D1363" s="55">
        <f t="shared" si="21"/>
        <v>0</v>
      </c>
      <c r="E1363" s="63" t="str">
        <f>HYPERLINK("https://www.sds-group.ru/product/klemma-ploskaya-izolirovannaya-rpi-m-1-5-2-8-rpim-1-25-250-gnezdo-3-8-mm-0-5-1-5-mm-v-upak-06-0385-A/", "Инфо")</f>
        <v>Инфо</v>
      </c>
      <c r="F1363" s="16" t="s">
        <v>1001</v>
      </c>
      <c r="G1363" s="15"/>
      <c r="H1363" s="15"/>
      <c r="I1363" s="15"/>
      <c r="J1363" s="16" t="s">
        <v>100</v>
      </c>
      <c r="K1363" s="15"/>
      <c r="L1363" s="17">
        <v>10</v>
      </c>
      <c r="M1363" s="17">
        <v>10</v>
      </c>
      <c r="N1363" s="17">
        <v>10</v>
      </c>
      <c r="O1363" s="18">
        <v>112.38</v>
      </c>
      <c r="P1363" s="18">
        <v>92.11</v>
      </c>
      <c r="Q1363" s="18">
        <v>95.52</v>
      </c>
      <c r="R1363" s="18">
        <v>78.3</v>
      </c>
      <c r="S1363" s="18">
        <v>76.42</v>
      </c>
      <c r="T1363" s="18">
        <v>62.64</v>
      </c>
      <c r="U1363" s="16"/>
      <c r="V1363" s="16"/>
      <c r="W1363" s="16" t="s">
        <v>40</v>
      </c>
      <c r="X1363" s="19">
        <v>0.01</v>
      </c>
      <c r="Y1363" s="20">
        <v>1.6899999999999999E-4</v>
      </c>
      <c r="Z1363" s="21">
        <v>4601004121348</v>
      </c>
    </row>
    <row r="1364" spans="1:26" ht="12" customHeight="1" outlineLevel="4" x14ac:dyDescent="0.2">
      <c r="A1364" s="14" t="s">
        <v>2680</v>
      </c>
      <c r="B1364" s="26" t="s">
        <v>2681</v>
      </c>
      <c r="C1364" s="52"/>
      <c r="D1364" s="55">
        <f t="shared" si="21"/>
        <v>0</v>
      </c>
      <c r="E1364" s="63" t="str">
        <f>HYPERLINK("https://www.sds-group.ru/product/klemma-ploskaya-izolirovannaya-rpi-m-1-5-4-8-rpim-1-25-5-gnezdo-5-6-mm-0-5-1-5-mm-rexant-08-0412/", "Инфо")</f>
        <v>Инфо</v>
      </c>
      <c r="F1364" s="16" t="s">
        <v>39</v>
      </c>
      <c r="G1364" s="15"/>
      <c r="H1364" s="15"/>
      <c r="I1364" s="15"/>
      <c r="J1364" s="22">
        <v>57500</v>
      </c>
      <c r="K1364" s="15" t="s">
        <v>1650</v>
      </c>
      <c r="L1364" s="17">
        <v>500</v>
      </c>
      <c r="M1364" s="22">
        <v>20000</v>
      </c>
      <c r="N1364" s="17">
        <v>500</v>
      </c>
      <c r="O1364" s="18">
        <v>2.58</v>
      </c>
      <c r="P1364" s="18">
        <v>2.11</v>
      </c>
      <c r="Q1364" s="18">
        <v>2.19</v>
      </c>
      <c r="R1364" s="18">
        <v>1.8</v>
      </c>
      <c r="S1364" s="18">
        <v>1.75</v>
      </c>
      <c r="T1364" s="18">
        <v>1.43</v>
      </c>
      <c r="U1364" s="16"/>
      <c r="V1364" s="16"/>
      <c r="W1364" s="16" t="s">
        <v>40</v>
      </c>
      <c r="X1364" s="19">
        <v>1E-3</v>
      </c>
      <c r="Y1364" s="20">
        <v>1.9999999999999999E-6</v>
      </c>
      <c r="Z1364" s="21">
        <v>4601004019997</v>
      </c>
    </row>
    <row r="1365" spans="1:26" ht="12" customHeight="1" outlineLevel="4" x14ac:dyDescent="0.2">
      <c r="A1365" s="14" t="s">
        <v>2682</v>
      </c>
      <c r="B1365" s="26" t="s">
        <v>2683</v>
      </c>
      <c r="C1365" s="52"/>
      <c r="D1365" s="55">
        <f t="shared" si="21"/>
        <v>0</v>
      </c>
      <c r="E1365" s="63" t="str">
        <f>HYPERLINK("https://www.sds-group.ru/product/klemma-ploskaya-izolirovannaya-rpi-m-1-5-6-3-rpim-1-25-250-gnezdo-6-6-mm-0-5-1-5-mm-rexant-08-0413/", "Инфо")</f>
        <v>Инфо</v>
      </c>
      <c r="F1365" s="16" t="s">
        <v>39</v>
      </c>
      <c r="G1365" s="15"/>
      <c r="H1365" s="15"/>
      <c r="I1365" s="15"/>
      <c r="J1365" s="22">
        <v>116340</v>
      </c>
      <c r="K1365" s="15" t="s">
        <v>210</v>
      </c>
      <c r="L1365" s="17">
        <v>500</v>
      </c>
      <c r="M1365" s="22">
        <v>20000</v>
      </c>
      <c r="N1365" s="17">
        <v>500</v>
      </c>
      <c r="O1365" s="18">
        <v>3.01</v>
      </c>
      <c r="P1365" s="18">
        <v>2.4700000000000002</v>
      </c>
      <c r="Q1365" s="18">
        <v>2.56</v>
      </c>
      <c r="R1365" s="18">
        <v>2.1</v>
      </c>
      <c r="S1365" s="18">
        <v>2.0499999999999998</v>
      </c>
      <c r="T1365" s="18">
        <v>1.68</v>
      </c>
      <c r="U1365" s="16"/>
      <c r="V1365" s="16"/>
      <c r="W1365" s="16" t="s">
        <v>40</v>
      </c>
      <c r="X1365" s="19">
        <v>1E-3</v>
      </c>
      <c r="Y1365" s="20">
        <v>1.9999999999999999E-6</v>
      </c>
      <c r="Z1365" s="21">
        <v>4601004020009</v>
      </c>
    </row>
    <row r="1366" spans="1:26" ht="12" customHeight="1" outlineLevel="4" x14ac:dyDescent="0.2">
      <c r="A1366" s="14" t="s">
        <v>2684</v>
      </c>
      <c r="B1366" s="26" t="s">
        <v>2685</v>
      </c>
      <c r="C1366" s="52"/>
      <c r="D1366" s="55">
        <f t="shared" si="21"/>
        <v>0</v>
      </c>
      <c r="E1366" s="63" t="str">
        <f>HYPERLINK("https://www.sds-group.ru/product/klemma-ploskaya-izolirovannaya-rpi-m-2-5-2-8-rpim-2-250-gnezdo-3-8-mm-1-5-2-5-mm-rexant-08-0431/", "Инфо")</f>
        <v>Инфо</v>
      </c>
      <c r="F1366" s="16" t="s">
        <v>39</v>
      </c>
      <c r="G1366" s="15"/>
      <c r="H1366" s="15"/>
      <c r="I1366" s="15"/>
      <c r="J1366" s="22">
        <v>55270</v>
      </c>
      <c r="K1366" s="15" t="s">
        <v>1665</v>
      </c>
      <c r="L1366" s="17">
        <v>500</v>
      </c>
      <c r="M1366" s="22">
        <v>20000</v>
      </c>
      <c r="N1366" s="17">
        <v>500</v>
      </c>
      <c r="O1366" s="18">
        <v>3.31</v>
      </c>
      <c r="P1366" s="18">
        <v>2.71</v>
      </c>
      <c r="Q1366" s="18">
        <v>2.81</v>
      </c>
      <c r="R1366" s="18">
        <v>2.2999999999999998</v>
      </c>
      <c r="S1366" s="18">
        <v>2.25</v>
      </c>
      <c r="T1366" s="18">
        <v>1.84</v>
      </c>
      <c r="U1366" s="16"/>
      <c r="V1366" s="16"/>
      <c r="W1366" s="16" t="s">
        <v>40</v>
      </c>
      <c r="X1366" s="19">
        <v>1E-3</v>
      </c>
      <c r="Y1366" s="20">
        <v>9.9999999999999995E-7</v>
      </c>
      <c r="Z1366" s="21">
        <v>4601004020030</v>
      </c>
    </row>
    <row r="1367" spans="1:26" ht="12" customHeight="1" outlineLevel="4" x14ac:dyDescent="0.2">
      <c r="A1367" s="14" t="s">
        <v>2686</v>
      </c>
      <c r="B1367" s="26" t="s">
        <v>2687</v>
      </c>
      <c r="C1367" s="52"/>
      <c r="D1367" s="55">
        <f t="shared" si="21"/>
        <v>0</v>
      </c>
      <c r="E1367" s="63" t="str">
        <f>HYPERLINK("https://www.sds-group.ru/product/klemma-ploskaya-izolirovannaya-rpi-m-2-5-4-8-rpim-2-5-gnezdo-5-6-mm-1-5-2-5-mm-rexant-08-0432/", "Инфо")</f>
        <v>Инфо</v>
      </c>
      <c r="F1367" s="16" t="s">
        <v>39</v>
      </c>
      <c r="G1367" s="15"/>
      <c r="H1367" s="15"/>
      <c r="I1367" s="15"/>
      <c r="J1367" s="22">
        <v>53370</v>
      </c>
      <c r="K1367" s="15" t="s">
        <v>1650</v>
      </c>
      <c r="L1367" s="17">
        <v>500</v>
      </c>
      <c r="M1367" s="22">
        <v>30000</v>
      </c>
      <c r="N1367" s="17">
        <v>500</v>
      </c>
      <c r="O1367" s="18">
        <v>2.84</v>
      </c>
      <c r="P1367" s="18">
        <v>2.33</v>
      </c>
      <c r="Q1367" s="18">
        <v>2.41</v>
      </c>
      <c r="R1367" s="18">
        <v>1.98</v>
      </c>
      <c r="S1367" s="18">
        <v>1.93</v>
      </c>
      <c r="T1367" s="18">
        <v>1.58</v>
      </c>
      <c r="U1367" s="16"/>
      <c r="V1367" s="16"/>
      <c r="W1367" s="16" t="s">
        <v>40</v>
      </c>
      <c r="X1367" s="19">
        <v>1E-3</v>
      </c>
      <c r="Y1367" s="20">
        <v>9.9999999999999995E-7</v>
      </c>
      <c r="Z1367" s="21">
        <v>4601004020047</v>
      </c>
    </row>
    <row r="1368" spans="1:26" ht="12" customHeight="1" outlineLevel="4" x14ac:dyDescent="0.2">
      <c r="A1368" s="14" t="s">
        <v>2688</v>
      </c>
      <c r="B1368" s="26" t="s">
        <v>2689</v>
      </c>
      <c r="C1368" s="52"/>
      <c r="D1368" s="55">
        <f t="shared" si="21"/>
        <v>0</v>
      </c>
      <c r="E1368" s="63" t="str">
        <f>HYPERLINK("https://www.sds-group.ru/product/klemma-ploskaya-izolirovannaya-rpi-m-2-5-4-8-rpim-2-5-0-8-gnezdo-5-6-mm-1-5-2-5-mm-v-upak--06-0389-A/", "Инфо")</f>
        <v>Инфо</v>
      </c>
      <c r="F1368" s="16" t="s">
        <v>1001</v>
      </c>
      <c r="G1368" s="15"/>
      <c r="H1368" s="15"/>
      <c r="I1368" s="15"/>
      <c r="J1368" s="17">
        <v>177</v>
      </c>
      <c r="K1368" s="15"/>
      <c r="L1368" s="17">
        <v>10</v>
      </c>
      <c r="M1368" s="17">
        <v>10</v>
      </c>
      <c r="N1368" s="17">
        <v>10</v>
      </c>
      <c r="O1368" s="18">
        <v>112.08</v>
      </c>
      <c r="P1368" s="18">
        <v>91.87</v>
      </c>
      <c r="Q1368" s="18">
        <v>95.27</v>
      </c>
      <c r="R1368" s="18">
        <v>78.09</v>
      </c>
      <c r="S1368" s="18">
        <v>76.209999999999994</v>
      </c>
      <c r="T1368" s="18">
        <v>62.47</v>
      </c>
      <c r="U1368" s="16"/>
      <c r="V1368" s="16"/>
      <c r="W1368" s="16" t="s">
        <v>40</v>
      </c>
      <c r="X1368" s="19">
        <v>1.2E-2</v>
      </c>
      <c r="Y1368" s="20">
        <v>1.44E-4</v>
      </c>
      <c r="Z1368" s="21">
        <v>4601004121386</v>
      </c>
    </row>
    <row r="1369" spans="1:26" ht="12" customHeight="1" outlineLevel="4" x14ac:dyDescent="0.2">
      <c r="A1369" s="14" t="s">
        <v>2690</v>
      </c>
      <c r="B1369" s="26" t="s">
        <v>2691</v>
      </c>
      <c r="C1369" s="52"/>
      <c r="D1369" s="55">
        <f t="shared" si="21"/>
        <v>0</v>
      </c>
      <c r="E1369" s="63" t="str">
        <f>HYPERLINK("https://www.sds-group.ru/product/klemma-ploskaya-izolirovannaya-rpi-m-2-5-6-3-rpim-2-250-gnezdo-6-6-mm-1-5-2-5-mm-rexant-08-0433/", "Инфо")</f>
        <v>Инфо</v>
      </c>
      <c r="F1369" s="16" t="s">
        <v>39</v>
      </c>
      <c r="G1369" s="15"/>
      <c r="H1369" s="15"/>
      <c r="I1369" s="15"/>
      <c r="J1369" s="17">
        <v>940</v>
      </c>
      <c r="K1369" s="15" t="s">
        <v>1650</v>
      </c>
      <c r="L1369" s="17">
        <v>500</v>
      </c>
      <c r="M1369" s="22">
        <v>20000</v>
      </c>
      <c r="N1369" s="17">
        <v>500</v>
      </c>
      <c r="O1369" s="18">
        <v>3.33</v>
      </c>
      <c r="P1369" s="18">
        <v>2.73</v>
      </c>
      <c r="Q1369" s="18">
        <v>2.83</v>
      </c>
      <c r="R1369" s="18">
        <v>2.3199999999999998</v>
      </c>
      <c r="S1369" s="18">
        <v>2.2599999999999998</v>
      </c>
      <c r="T1369" s="18">
        <v>1.85</v>
      </c>
      <c r="U1369" s="16"/>
      <c r="V1369" s="16"/>
      <c r="W1369" s="16" t="s">
        <v>40</v>
      </c>
      <c r="X1369" s="19">
        <v>1E-3</v>
      </c>
      <c r="Y1369" s="20">
        <v>1.9999999999999999E-6</v>
      </c>
      <c r="Z1369" s="21">
        <v>4601004020054</v>
      </c>
    </row>
    <row r="1370" spans="1:26" ht="12" customHeight="1" outlineLevel="4" x14ac:dyDescent="0.2">
      <c r="A1370" s="14" t="s">
        <v>2692</v>
      </c>
      <c r="B1370" s="26" t="s">
        <v>2693</v>
      </c>
      <c r="C1370" s="52"/>
      <c r="D1370" s="55">
        <f t="shared" si="21"/>
        <v>0</v>
      </c>
      <c r="E1370" s="63" t="str">
        <f>HYPERLINK("https://www.sds-group.ru/product/klemma-ploskaya-izolirovannaya-rpi-m-2-5-6-3-rpim-2-250-gnezdo-6-6-mm-1-5-2-5-mm-v-upak-10-06-0390-A/", "Инфо")</f>
        <v>Инфо</v>
      </c>
      <c r="F1370" s="16" t="s">
        <v>1001</v>
      </c>
      <c r="G1370" s="15"/>
      <c r="H1370" s="15"/>
      <c r="I1370" s="15"/>
      <c r="J1370" s="17">
        <v>179</v>
      </c>
      <c r="K1370" s="15"/>
      <c r="L1370" s="17">
        <v>10</v>
      </c>
      <c r="M1370" s="17">
        <v>10</v>
      </c>
      <c r="N1370" s="17">
        <v>10</v>
      </c>
      <c r="O1370" s="18">
        <v>94.67</v>
      </c>
      <c r="P1370" s="18">
        <v>77.599999999999994</v>
      </c>
      <c r="Q1370" s="18">
        <v>80.47</v>
      </c>
      <c r="R1370" s="18">
        <v>65.959999999999994</v>
      </c>
      <c r="S1370" s="18">
        <v>64.38</v>
      </c>
      <c r="T1370" s="18">
        <v>52.77</v>
      </c>
      <c r="U1370" s="16"/>
      <c r="V1370" s="16"/>
      <c r="W1370" s="16" t="s">
        <v>40</v>
      </c>
      <c r="X1370" s="19">
        <v>1.4E-2</v>
      </c>
      <c r="Y1370" s="20">
        <v>3.4499999999999998E-4</v>
      </c>
      <c r="Z1370" s="21">
        <v>4601004121393</v>
      </c>
    </row>
    <row r="1371" spans="1:26" ht="12" customHeight="1" outlineLevel="4" x14ac:dyDescent="0.2">
      <c r="A1371" s="14" t="s">
        <v>2694</v>
      </c>
      <c r="B1371" s="26" t="s">
        <v>2695</v>
      </c>
      <c r="C1371" s="52"/>
      <c r="D1371" s="55">
        <f t="shared" si="21"/>
        <v>0</v>
      </c>
      <c r="E1371" s="63" t="str">
        <f>HYPERLINK("https://www.sds-group.ru/product/klemma-ploskaya-izolirovannaya-rpi-m-2-5-9-0-rpim-2-5-9-0-gnezdo-9-mm-1-5-2-5-mm-rexant-08-0434/", "Инфо")</f>
        <v>Инфо</v>
      </c>
      <c r="F1371" s="16" t="s">
        <v>39</v>
      </c>
      <c r="G1371" s="15"/>
      <c r="H1371" s="15"/>
      <c r="I1371" s="15"/>
      <c r="J1371" s="22">
        <v>20800</v>
      </c>
      <c r="K1371" s="15"/>
      <c r="L1371" s="17">
        <v>100</v>
      </c>
      <c r="M1371" s="22">
        <v>20000</v>
      </c>
      <c r="N1371" s="17">
        <v>100</v>
      </c>
      <c r="O1371" s="18">
        <v>6.78</v>
      </c>
      <c r="P1371" s="18">
        <v>5.56</v>
      </c>
      <c r="Q1371" s="18">
        <v>5.76</v>
      </c>
      <c r="R1371" s="18">
        <v>4.72</v>
      </c>
      <c r="S1371" s="18">
        <v>4.6100000000000003</v>
      </c>
      <c r="T1371" s="18">
        <v>3.78</v>
      </c>
      <c r="U1371" s="16"/>
      <c r="V1371" s="16"/>
      <c r="W1371" s="16" t="s">
        <v>40</v>
      </c>
      <c r="X1371" s="19">
        <v>1E-3</v>
      </c>
      <c r="Y1371" s="20">
        <v>1.9999999999999999E-6</v>
      </c>
      <c r="Z1371" s="21">
        <v>4601004020061</v>
      </c>
    </row>
    <row r="1372" spans="1:26" ht="12" customHeight="1" outlineLevel="4" x14ac:dyDescent="0.2">
      <c r="A1372" s="14" t="s">
        <v>2696</v>
      </c>
      <c r="B1372" s="26" t="s">
        <v>2697</v>
      </c>
      <c r="C1372" s="52"/>
      <c r="D1372" s="55">
        <f t="shared" si="21"/>
        <v>0</v>
      </c>
      <c r="E1372" s="63" t="str">
        <f>HYPERLINK("https://www.sds-group.ru/product/klemma-ploskaya-izolirovannaya-rpi-m-6-0-6-3-rpim-5-5-6-0-5-gnezdo-6-6-mm-4-6-mm-rexant-08-0451/", "Инфо")</f>
        <v>Инфо</v>
      </c>
      <c r="F1372" s="16" t="s">
        <v>39</v>
      </c>
      <c r="G1372" s="15"/>
      <c r="H1372" s="15"/>
      <c r="I1372" s="15"/>
      <c r="J1372" s="22">
        <v>44400</v>
      </c>
      <c r="K1372" s="15" t="s">
        <v>210</v>
      </c>
      <c r="L1372" s="17">
        <v>100</v>
      </c>
      <c r="M1372" s="22">
        <v>16000</v>
      </c>
      <c r="N1372" s="17">
        <v>100</v>
      </c>
      <c r="O1372" s="18">
        <v>4.08</v>
      </c>
      <c r="P1372" s="18">
        <v>3.34</v>
      </c>
      <c r="Q1372" s="18">
        <v>3.47</v>
      </c>
      <c r="R1372" s="18">
        <v>2.84</v>
      </c>
      <c r="S1372" s="18">
        <v>2.77</v>
      </c>
      <c r="T1372" s="18">
        <v>2.27</v>
      </c>
      <c r="U1372" s="16"/>
      <c r="V1372" s="16"/>
      <c r="W1372" s="16" t="s">
        <v>40</v>
      </c>
      <c r="X1372" s="19">
        <v>1E-3</v>
      </c>
      <c r="Y1372" s="20">
        <v>3.0000000000000001E-6</v>
      </c>
      <c r="Z1372" s="21">
        <v>4660008012229</v>
      </c>
    </row>
    <row r="1373" spans="1:26" ht="12" customHeight="1" outlineLevel="4" x14ac:dyDescent="0.2">
      <c r="A1373" s="14" t="s">
        <v>2698</v>
      </c>
      <c r="B1373" s="26" t="s">
        <v>2699</v>
      </c>
      <c r="C1373" s="52"/>
      <c r="D1373" s="55">
        <f t="shared" si="21"/>
        <v>0</v>
      </c>
      <c r="E1373" s="63" t="str">
        <f>HYPERLINK("https://www.sds-group.ru/product/klemma-ploskaya-izolirovannaya-rpi-m-6-0-6-3-rpim-5-5-6-0-5-gnezdo-6-6-mm-4-6-mm-v-upak-10-06-0391-A/", "Инфо")</f>
        <v>Инфо</v>
      </c>
      <c r="F1373" s="16" t="s">
        <v>1001</v>
      </c>
      <c r="G1373" s="15"/>
      <c r="H1373" s="15"/>
      <c r="I1373" s="15"/>
      <c r="J1373" s="17">
        <v>220</v>
      </c>
      <c r="K1373" s="15"/>
      <c r="L1373" s="17">
        <v>10</v>
      </c>
      <c r="M1373" s="17">
        <v>10</v>
      </c>
      <c r="N1373" s="17">
        <v>10</v>
      </c>
      <c r="O1373" s="18">
        <v>123.02</v>
      </c>
      <c r="P1373" s="18">
        <v>100.84</v>
      </c>
      <c r="Q1373" s="18">
        <v>104.57</v>
      </c>
      <c r="R1373" s="18">
        <v>85.71</v>
      </c>
      <c r="S1373" s="18">
        <v>83.65</v>
      </c>
      <c r="T1373" s="18">
        <v>68.569999999999993</v>
      </c>
      <c r="U1373" s="16"/>
      <c r="V1373" s="16"/>
      <c r="W1373" s="16" t="s">
        <v>40</v>
      </c>
      <c r="X1373" s="19">
        <v>1.7000000000000001E-2</v>
      </c>
      <c r="Y1373" s="20">
        <v>1.5899999999999999E-4</v>
      </c>
      <c r="Z1373" s="21">
        <v>4601004121409</v>
      </c>
    </row>
    <row r="1374" spans="1:26" ht="12" customHeight="1" outlineLevel="4" x14ac:dyDescent="0.2">
      <c r="A1374" s="14" t="s">
        <v>2700</v>
      </c>
      <c r="B1374" s="26" t="s">
        <v>2701</v>
      </c>
      <c r="C1374" s="52"/>
      <c r="D1374" s="55">
        <f t="shared" si="21"/>
        <v>0</v>
      </c>
      <c r="E1374" s="63" t="str">
        <f>HYPERLINK("https://www.sds-group.ru/product/klemma-ploskaya-izolirovannaya-rpi-o-1-5-6-3-rpio-1-5-7-5-gnezdo-6-6-mm-shteker-6-3-mm-0-5-1-08-0414/", "Инфо")</f>
        <v>Инфо</v>
      </c>
      <c r="F1374" s="16" t="s">
        <v>39</v>
      </c>
      <c r="G1374" s="15"/>
      <c r="H1374" s="15"/>
      <c r="I1374" s="15"/>
      <c r="J1374" s="16" t="s">
        <v>100</v>
      </c>
      <c r="K1374" s="15" t="s">
        <v>210</v>
      </c>
      <c r="L1374" s="17">
        <v>100</v>
      </c>
      <c r="M1374" s="22">
        <v>12000</v>
      </c>
      <c r="N1374" s="17">
        <v>100</v>
      </c>
      <c r="O1374" s="18">
        <v>5.78</v>
      </c>
      <c r="P1374" s="18">
        <v>4.74</v>
      </c>
      <c r="Q1374" s="18">
        <v>4.91</v>
      </c>
      <c r="R1374" s="18">
        <v>4.0199999999999996</v>
      </c>
      <c r="S1374" s="18">
        <v>3.93</v>
      </c>
      <c r="T1374" s="18">
        <v>3.22</v>
      </c>
      <c r="U1374" s="16"/>
      <c r="V1374" s="16"/>
      <c r="W1374" s="16" t="s">
        <v>40</v>
      </c>
      <c r="X1374" s="19">
        <v>1E-3</v>
      </c>
      <c r="Y1374" s="20">
        <v>3.0000000000000001E-6</v>
      </c>
      <c r="Z1374" s="21">
        <v>4601004020016</v>
      </c>
    </row>
    <row r="1375" spans="1:26" ht="12" customHeight="1" outlineLevel="4" x14ac:dyDescent="0.2">
      <c r="A1375" s="14" t="s">
        <v>2702</v>
      </c>
      <c r="B1375" s="26" t="s">
        <v>2703</v>
      </c>
      <c r="C1375" s="52"/>
      <c r="D1375" s="55">
        <f t="shared" si="21"/>
        <v>0</v>
      </c>
      <c r="E1375" s="63" t="str">
        <f>HYPERLINK("https://www.sds-group.ru/product/klemma-ploskaya-izolirovannaya-rpi-o-2-5-6-3-rpio-2-5-7-5-gnezdo-6-6-mm-shteker-6-3-mm-1-5-2-08-0424/", "Инфо")</f>
        <v>Инфо</v>
      </c>
      <c r="F1375" s="16" t="s">
        <v>39</v>
      </c>
      <c r="G1375" s="15"/>
      <c r="H1375" s="15"/>
      <c r="I1375" s="15"/>
      <c r="J1375" s="22">
        <v>9400</v>
      </c>
      <c r="K1375" s="15" t="s">
        <v>210</v>
      </c>
      <c r="L1375" s="17">
        <v>100</v>
      </c>
      <c r="M1375" s="22">
        <v>12000</v>
      </c>
      <c r="N1375" s="17">
        <v>100</v>
      </c>
      <c r="O1375" s="18">
        <v>5.84</v>
      </c>
      <c r="P1375" s="18">
        <v>4.79</v>
      </c>
      <c r="Q1375" s="18">
        <v>4.96</v>
      </c>
      <c r="R1375" s="18">
        <v>4.07</v>
      </c>
      <c r="S1375" s="18">
        <v>3.97</v>
      </c>
      <c r="T1375" s="18">
        <v>3.25</v>
      </c>
      <c r="U1375" s="16"/>
      <c r="V1375" s="16"/>
      <c r="W1375" s="16" t="s">
        <v>40</v>
      </c>
      <c r="X1375" s="19">
        <v>1E-3</v>
      </c>
      <c r="Y1375" s="20">
        <v>3.0000000000000001E-6</v>
      </c>
      <c r="Z1375" s="21">
        <v>4601004020023</v>
      </c>
    </row>
    <row r="1376" spans="1:26" ht="12" customHeight="1" outlineLevel="4" x14ac:dyDescent="0.2">
      <c r="A1376" s="14" t="s">
        <v>2704</v>
      </c>
      <c r="B1376" s="26" t="s">
        <v>2705</v>
      </c>
      <c r="C1376" s="52"/>
      <c r="D1376" s="55">
        <f t="shared" si="21"/>
        <v>0</v>
      </c>
      <c r="E1376" s="63" t="str">
        <f>HYPERLINK("https://www.sds-group.ru/product/klemma-ploskaya-izolirovannaya-rpi-o-6-0-6-3-rpio-6-0-7-5-gnezdo-6-6-mm-shteker-6-3-mm-4-6-m-08-0452/", "Инфо")</f>
        <v>Инфо</v>
      </c>
      <c r="F1376" s="16" t="s">
        <v>39</v>
      </c>
      <c r="G1376" s="15"/>
      <c r="H1376" s="15"/>
      <c r="I1376" s="15"/>
      <c r="J1376" s="22">
        <v>1800</v>
      </c>
      <c r="K1376" s="15" t="s">
        <v>2706</v>
      </c>
      <c r="L1376" s="17">
        <v>100</v>
      </c>
      <c r="M1376" s="22">
        <v>10000</v>
      </c>
      <c r="N1376" s="17">
        <v>100</v>
      </c>
      <c r="O1376" s="18">
        <v>8</v>
      </c>
      <c r="P1376" s="18">
        <v>6.56</v>
      </c>
      <c r="Q1376" s="18">
        <v>6.8</v>
      </c>
      <c r="R1376" s="18">
        <v>5.57</v>
      </c>
      <c r="S1376" s="18">
        <v>5.44</v>
      </c>
      <c r="T1376" s="18">
        <v>4.46</v>
      </c>
      <c r="U1376" s="16"/>
      <c r="V1376" s="16"/>
      <c r="W1376" s="16" t="s">
        <v>40</v>
      </c>
      <c r="X1376" s="19">
        <v>1E-3</v>
      </c>
      <c r="Y1376" s="20">
        <v>3.9999999999999998E-6</v>
      </c>
      <c r="Z1376" s="21">
        <v>4601004020078</v>
      </c>
    </row>
    <row r="1377" spans="1:26" ht="12" customHeight="1" outlineLevel="4" x14ac:dyDescent="0.2">
      <c r="A1377" s="14" t="s">
        <v>2707</v>
      </c>
      <c r="B1377" s="26" t="s">
        <v>2708</v>
      </c>
      <c r="C1377" s="52"/>
      <c r="D1377" s="55">
        <f t="shared" si="21"/>
        <v>0</v>
      </c>
      <c r="E1377" s="63" t="str">
        <f>HYPERLINK("https://www.sds-group.ru/product/klemma-ploskaya-izolirovannaya-rpi-p-1-5-2-8-rpip-1-25-3-0-8-shteker-2-8-mm-0-5-1-5-mm-kr-08-0311-10/", "Инфо")</f>
        <v>Инфо</v>
      </c>
      <c r="F1377" s="16" t="s">
        <v>2709</v>
      </c>
      <c r="G1377" s="15"/>
      <c r="H1377" s="15"/>
      <c r="I1377" s="15"/>
      <c r="J1377" s="17">
        <v>100</v>
      </c>
      <c r="K1377" s="15"/>
      <c r="L1377" s="17">
        <v>10</v>
      </c>
      <c r="M1377" s="17">
        <v>10</v>
      </c>
      <c r="N1377" s="17">
        <v>10</v>
      </c>
      <c r="O1377" s="18">
        <v>117.02</v>
      </c>
      <c r="P1377" s="18">
        <v>95.92</v>
      </c>
      <c r="Q1377" s="18">
        <v>99.47</v>
      </c>
      <c r="R1377" s="18">
        <v>81.53</v>
      </c>
      <c r="S1377" s="18">
        <v>79.569999999999993</v>
      </c>
      <c r="T1377" s="18">
        <v>65.22</v>
      </c>
      <c r="U1377" s="16"/>
      <c r="V1377" s="16"/>
      <c r="W1377" s="16" t="s">
        <v>40</v>
      </c>
      <c r="X1377" s="19">
        <v>1.0999999999999999E-2</v>
      </c>
      <c r="Y1377" s="20">
        <v>1.5699999999999999E-4</v>
      </c>
      <c r="Z1377" s="21">
        <v>4601004011410</v>
      </c>
    </row>
    <row r="1378" spans="1:26" ht="12" customHeight="1" outlineLevel="4" x14ac:dyDescent="0.2">
      <c r="A1378" s="14" t="s">
        <v>2710</v>
      </c>
      <c r="B1378" s="26" t="s">
        <v>2711</v>
      </c>
      <c r="C1378" s="52"/>
      <c r="D1378" s="55">
        <f t="shared" si="21"/>
        <v>0</v>
      </c>
      <c r="E1378" s="63" t="str">
        <f>HYPERLINK("https://www.sds-group.ru/product/klemma-ploskaya-izolirovannaya-rpi-p-1-5-2-8-rpip-1-25-3-0-8-shteker-2-8-mm-0-5-1-5-mm-krasn-08-0311/", "Инфо")</f>
        <v>Инфо</v>
      </c>
      <c r="F1378" s="16" t="s">
        <v>39</v>
      </c>
      <c r="G1378" s="15"/>
      <c r="H1378" s="15"/>
      <c r="I1378" s="15"/>
      <c r="J1378" s="16" t="s">
        <v>100</v>
      </c>
      <c r="K1378" s="15"/>
      <c r="L1378" s="17">
        <v>500</v>
      </c>
      <c r="M1378" s="22">
        <v>24000</v>
      </c>
      <c r="N1378" s="17">
        <v>500</v>
      </c>
      <c r="O1378" s="18">
        <v>3.22</v>
      </c>
      <c r="P1378" s="18">
        <v>2.64</v>
      </c>
      <c r="Q1378" s="18">
        <v>2.74</v>
      </c>
      <c r="R1378" s="18">
        <v>2.25</v>
      </c>
      <c r="S1378" s="18">
        <v>2.19</v>
      </c>
      <c r="T1378" s="18">
        <v>1.8</v>
      </c>
      <c r="U1378" s="16"/>
      <c r="V1378" s="16"/>
      <c r="W1378" s="16" t="s">
        <v>40</v>
      </c>
      <c r="X1378" s="19">
        <v>0</v>
      </c>
      <c r="Y1378" s="20">
        <v>9.9999999999999995E-7</v>
      </c>
      <c r="Z1378" s="21">
        <v>4660008012199</v>
      </c>
    </row>
    <row r="1379" spans="1:26" ht="12" customHeight="1" outlineLevel="4" x14ac:dyDescent="0.2">
      <c r="A1379" s="14" t="s">
        <v>2712</v>
      </c>
      <c r="B1379" s="26" t="s">
        <v>2713</v>
      </c>
      <c r="C1379" s="52"/>
      <c r="D1379" s="55">
        <f t="shared" si="21"/>
        <v>0</v>
      </c>
      <c r="E1379" s="63" t="str">
        <f>HYPERLINK("https://www.sds-group.ru/product/klemma-ploskaya-izolirovannaya-rpi-p-1-5-4-8-rpip-1-25-5-shteker-4-8-mm-0-5-1-5-mm-krasnaya--08-0312/", "Инфо")</f>
        <v>Инфо</v>
      </c>
      <c r="F1379" s="16" t="s">
        <v>39</v>
      </c>
      <c r="G1379" s="15"/>
      <c r="H1379" s="15"/>
      <c r="I1379" s="15"/>
      <c r="J1379" s="22">
        <v>23600</v>
      </c>
      <c r="K1379" s="15" t="s">
        <v>2706</v>
      </c>
      <c r="L1379" s="17">
        <v>500</v>
      </c>
      <c r="M1379" s="22">
        <v>24000</v>
      </c>
      <c r="N1379" s="17">
        <v>500</v>
      </c>
      <c r="O1379" s="18">
        <v>2.58</v>
      </c>
      <c r="P1379" s="18">
        <v>2.11</v>
      </c>
      <c r="Q1379" s="18">
        <v>2.19</v>
      </c>
      <c r="R1379" s="18">
        <v>1.8</v>
      </c>
      <c r="S1379" s="18">
        <v>1.75</v>
      </c>
      <c r="T1379" s="18">
        <v>1.43</v>
      </c>
      <c r="U1379" s="16"/>
      <c r="V1379" s="16"/>
      <c r="W1379" s="16" t="s">
        <v>40</v>
      </c>
      <c r="X1379" s="19">
        <v>1E-3</v>
      </c>
      <c r="Y1379" s="20">
        <v>9.9999999999999995E-7</v>
      </c>
      <c r="Z1379" s="21">
        <v>4601004019904</v>
      </c>
    </row>
    <row r="1380" spans="1:26" ht="12" customHeight="1" outlineLevel="4" x14ac:dyDescent="0.2">
      <c r="A1380" s="14" t="s">
        <v>2714</v>
      </c>
      <c r="B1380" s="26" t="s">
        <v>2715</v>
      </c>
      <c r="C1380" s="52"/>
      <c r="D1380" s="55">
        <f t="shared" si="21"/>
        <v>0</v>
      </c>
      <c r="E1380" s="63" t="str">
        <f>HYPERLINK("https://www.sds-group.ru/product/klemma-ploskaya-izolirovannaya-rpi-p-1-5-6-3-rpip-1-25-6-0-8-shteker-6-3-mm-0-5-1-5-mm-krasn-08-0313/", "Инфо")</f>
        <v>Инфо</v>
      </c>
      <c r="F1380" s="16" t="s">
        <v>39</v>
      </c>
      <c r="G1380" s="15"/>
      <c r="H1380" s="15"/>
      <c r="I1380" s="15"/>
      <c r="J1380" s="22">
        <v>15700</v>
      </c>
      <c r="K1380" s="15" t="s">
        <v>1650</v>
      </c>
      <c r="L1380" s="17">
        <v>500</v>
      </c>
      <c r="M1380" s="22">
        <v>20000</v>
      </c>
      <c r="N1380" s="17">
        <v>500</v>
      </c>
      <c r="O1380" s="18">
        <v>2.75</v>
      </c>
      <c r="P1380" s="18">
        <v>2.25</v>
      </c>
      <c r="Q1380" s="18">
        <v>2.34</v>
      </c>
      <c r="R1380" s="18">
        <v>1.92</v>
      </c>
      <c r="S1380" s="18">
        <v>1.87</v>
      </c>
      <c r="T1380" s="18">
        <v>1.53</v>
      </c>
      <c r="U1380" s="16"/>
      <c r="V1380" s="16"/>
      <c r="W1380" s="16" t="s">
        <v>40</v>
      </c>
      <c r="X1380" s="19">
        <v>1E-3</v>
      </c>
      <c r="Y1380" s="20">
        <v>1.9999999999999999E-6</v>
      </c>
      <c r="Z1380" s="21">
        <v>4601004019911</v>
      </c>
    </row>
    <row r="1381" spans="1:26" ht="12" customHeight="1" outlineLevel="4" x14ac:dyDescent="0.2">
      <c r="A1381" s="14" t="s">
        <v>2716</v>
      </c>
      <c r="B1381" s="26" t="s">
        <v>2717</v>
      </c>
      <c r="C1381" s="52"/>
      <c r="D1381" s="55">
        <f t="shared" si="21"/>
        <v>0</v>
      </c>
      <c r="E1381" s="63" t="str">
        <f>HYPERLINK("https://www.sds-group.ru/product/klemma-ploskaya-izolirovannaya-rpi-p-2-5-2-8-rpip-2-3-0-8-shteker-2-8-mm-1-5-2-5-mm-sinyaya--08-0331/", "Инфо")</f>
        <v>Инфо</v>
      </c>
      <c r="F1381" s="16" t="s">
        <v>39</v>
      </c>
      <c r="G1381" s="15"/>
      <c r="H1381" s="15"/>
      <c r="I1381" s="15"/>
      <c r="J1381" s="16" t="s">
        <v>100</v>
      </c>
      <c r="K1381" s="15"/>
      <c r="L1381" s="17">
        <v>500</v>
      </c>
      <c r="M1381" s="22">
        <v>30000</v>
      </c>
      <c r="N1381" s="17">
        <v>500</v>
      </c>
      <c r="O1381" s="18">
        <v>3.52</v>
      </c>
      <c r="P1381" s="18">
        <v>2.89</v>
      </c>
      <c r="Q1381" s="18">
        <v>2.99</v>
      </c>
      <c r="R1381" s="18">
        <v>2.4500000000000002</v>
      </c>
      <c r="S1381" s="18">
        <v>2.39</v>
      </c>
      <c r="T1381" s="18">
        <v>1.96</v>
      </c>
      <c r="U1381" s="16"/>
      <c r="V1381" s="16"/>
      <c r="W1381" s="16" t="s">
        <v>40</v>
      </c>
      <c r="X1381" s="19">
        <v>0</v>
      </c>
      <c r="Y1381" s="20">
        <v>9.9999999999999995E-7</v>
      </c>
      <c r="Z1381" s="21">
        <v>4601004019935</v>
      </c>
    </row>
    <row r="1382" spans="1:26" ht="12" customHeight="1" outlineLevel="4" x14ac:dyDescent="0.2">
      <c r="A1382" s="14" t="s">
        <v>2718</v>
      </c>
      <c r="B1382" s="26" t="s">
        <v>2719</v>
      </c>
      <c r="C1382" s="52"/>
      <c r="D1382" s="55">
        <f t="shared" si="21"/>
        <v>0</v>
      </c>
      <c r="E1382" s="63" t="str">
        <f>HYPERLINK("https://www.sds-group.ru/product/klemma-ploskaya-izolirovannaya-rpi-p-2-5-4-8-rpip-2-5-0-8-shteker-4-8-mm-1-5-2-5-mm-sinyaya--08-0332/", "Инфо")</f>
        <v>Инфо</v>
      </c>
      <c r="F1382" s="16" t="s">
        <v>39</v>
      </c>
      <c r="G1382" s="15"/>
      <c r="H1382" s="15"/>
      <c r="I1382" s="15"/>
      <c r="J1382" s="22">
        <v>130300</v>
      </c>
      <c r="K1382" s="15"/>
      <c r="L1382" s="17">
        <v>500</v>
      </c>
      <c r="M1382" s="22">
        <v>20000</v>
      </c>
      <c r="N1382" s="17">
        <v>500</v>
      </c>
      <c r="O1382" s="18">
        <v>3</v>
      </c>
      <c r="P1382" s="18">
        <v>2.46</v>
      </c>
      <c r="Q1382" s="18">
        <v>2.5499999999999998</v>
      </c>
      <c r="R1382" s="18">
        <v>2.09</v>
      </c>
      <c r="S1382" s="18">
        <v>2.04</v>
      </c>
      <c r="T1382" s="18">
        <v>1.67</v>
      </c>
      <c r="U1382" s="16"/>
      <c r="V1382" s="16"/>
      <c r="W1382" s="16" t="s">
        <v>40</v>
      </c>
      <c r="X1382" s="19">
        <v>1E-3</v>
      </c>
      <c r="Y1382" s="20">
        <v>1.9999999999999999E-6</v>
      </c>
      <c r="Z1382" s="21">
        <v>4601004019942</v>
      </c>
    </row>
    <row r="1383" spans="1:26" ht="12" customHeight="1" outlineLevel="4" x14ac:dyDescent="0.2">
      <c r="A1383" s="14" t="s">
        <v>2720</v>
      </c>
      <c r="B1383" s="26" t="s">
        <v>2721</v>
      </c>
      <c r="C1383" s="52"/>
      <c r="D1383" s="55">
        <f t="shared" si="21"/>
        <v>0</v>
      </c>
      <c r="E1383" s="63" t="str">
        <f>HYPERLINK("https://www.sds-group.ru/product/klemma-ploskaya-izolirovannaya-rpi-p-2-5-6-3-rpip-2-6-0-8-shteker-6-3-mm-1-5-2-5-mm-sinyaya--08-0333/", "Инфо")</f>
        <v>Инфо</v>
      </c>
      <c r="F1383" s="16" t="s">
        <v>39</v>
      </c>
      <c r="G1383" s="15"/>
      <c r="H1383" s="15"/>
      <c r="I1383" s="15"/>
      <c r="J1383" s="16" t="s">
        <v>100</v>
      </c>
      <c r="K1383" s="15" t="s">
        <v>1650</v>
      </c>
      <c r="L1383" s="17">
        <v>500</v>
      </c>
      <c r="M1383" s="22">
        <v>20000</v>
      </c>
      <c r="N1383" s="17">
        <v>500</v>
      </c>
      <c r="O1383" s="18">
        <v>3.02</v>
      </c>
      <c r="P1383" s="18">
        <v>2.48</v>
      </c>
      <c r="Q1383" s="18">
        <v>2.57</v>
      </c>
      <c r="R1383" s="18">
        <v>2.11</v>
      </c>
      <c r="S1383" s="18">
        <v>2.0499999999999998</v>
      </c>
      <c r="T1383" s="18">
        <v>1.68</v>
      </c>
      <c r="U1383" s="16"/>
      <c r="V1383" s="16"/>
      <c r="W1383" s="16" t="s">
        <v>40</v>
      </c>
      <c r="X1383" s="19">
        <v>1E-3</v>
      </c>
      <c r="Y1383" s="20">
        <v>1.9999999999999999E-6</v>
      </c>
      <c r="Z1383" s="21">
        <v>4601004019959</v>
      </c>
    </row>
    <row r="1384" spans="1:26" ht="12" customHeight="1" outlineLevel="4" x14ac:dyDescent="0.2">
      <c r="A1384" s="14" t="s">
        <v>2722</v>
      </c>
      <c r="B1384" s="26" t="s">
        <v>2723</v>
      </c>
      <c r="C1384" s="52"/>
      <c r="D1384" s="55">
        <f t="shared" si="21"/>
        <v>0</v>
      </c>
      <c r="E1384" s="63" t="str">
        <f>HYPERLINK("https://www.sds-group.ru/product/klemma-ploskaya-izolirovannaya-rpi-p-2-5-6-3-rpip-2-6-0-8-shteker-6-3-mm-1-5-2-5-mm-siniy--06-0384-A/", "Инфо")</f>
        <v>Инфо</v>
      </c>
      <c r="F1384" s="16" t="s">
        <v>1001</v>
      </c>
      <c r="G1384" s="15"/>
      <c r="H1384" s="15"/>
      <c r="I1384" s="15"/>
      <c r="J1384" s="17">
        <v>373</v>
      </c>
      <c r="K1384" s="15"/>
      <c r="L1384" s="17">
        <v>10</v>
      </c>
      <c r="M1384" s="17">
        <v>10</v>
      </c>
      <c r="N1384" s="17">
        <v>10</v>
      </c>
      <c r="O1384" s="18">
        <v>92.36</v>
      </c>
      <c r="P1384" s="18">
        <v>75.7</v>
      </c>
      <c r="Q1384" s="18">
        <v>78.510000000000005</v>
      </c>
      <c r="R1384" s="18">
        <v>64.349999999999994</v>
      </c>
      <c r="S1384" s="18">
        <v>62.8</v>
      </c>
      <c r="T1384" s="18">
        <v>51.48</v>
      </c>
      <c r="U1384" s="16"/>
      <c r="V1384" s="16"/>
      <c r="W1384" s="16" t="s">
        <v>40</v>
      </c>
      <c r="X1384" s="19">
        <v>1.2999999999999999E-2</v>
      </c>
      <c r="Y1384" s="20">
        <v>1.64E-4</v>
      </c>
      <c r="Z1384" s="21">
        <v>4601004121331</v>
      </c>
    </row>
    <row r="1385" spans="1:26" ht="12" customHeight="1" outlineLevel="4" x14ac:dyDescent="0.2">
      <c r="A1385" s="14" t="s">
        <v>2724</v>
      </c>
      <c r="B1385" s="26" t="s">
        <v>2725</v>
      </c>
      <c r="C1385" s="52"/>
      <c r="D1385" s="55">
        <f t="shared" si="21"/>
        <v>0</v>
      </c>
      <c r="E1385" s="63" t="str">
        <f>HYPERLINK("https://www.sds-group.ru/product/klemma-ploskaya-izolirovannaya-rpi-p-6-0-6-3-rpip-5-6-0-8-shteker-6-3-mm-4-6-mm-zheltaya--08-0351-10/", "Инфо")</f>
        <v>Инфо</v>
      </c>
      <c r="F1385" s="16" t="s">
        <v>2709</v>
      </c>
      <c r="G1385" s="15"/>
      <c r="H1385" s="15"/>
      <c r="I1385" s="15"/>
      <c r="J1385" s="17">
        <v>188</v>
      </c>
      <c r="K1385" s="15"/>
      <c r="L1385" s="17">
        <v>10</v>
      </c>
      <c r="M1385" s="17">
        <v>10</v>
      </c>
      <c r="N1385" s="17">
        <v>10</v>
      </c>
      <c r="O1385" s="18">
        <v>168.15</v>
      </c>
      <c r="P1385" s="18">
        <v>137.83000000000001</v>
      </c>
      <c r="Q1385" s="18">
        <v>142.93</v>
      </c>
      <c r="R1385" s="18">
        <v>117.16</v>
      </c>
      <c r="S1385" s="18">
        <v>114.34</v>
      </c>
      <c r="T1385" s="18">
        <v>93.72</v>
      </c>
      <c r="U1385" s="16"/>
      <c r="V1385" s="16"/>
      <c r="W1385" s="16" t="s">
        <v>40</v>
      </c>
      <c r="X1385" s="19">
        <v>1.4999999999999999E-2</v>
      </c>
      <c r="Y1385" s="20">
        <v>1.5200000000000001E-4</v>
      </c>
      <c r="Z1385" s="21">
        <v>4601004011366</v>
      </c>
    </row>
    <row r="1386" spans="1:26" ht="12" customHeight="1" outlineLevel="4" x14ac:dyDescent="0.2">
      <c r="A1386" s="14" t="s">
        <v>2726</v>
      </c>
      <c r="B1386" s="26" t="s">
        <v>2727</v>
      </c>
      <c r="C1386" s="52"/>
      <c r="D1386" s="55">
        <f t="shared" si="21"/>
        <v>0</v>
      </c>
      <c r="E1386" s="63" t="str">
        <f>HYPERLINK("https://www.sds-group.ru/product/klemma-ploskaya-izolirovannaya-rpi-p-6-0-6-3-rpip-5-6-0-8-shteker-6-3-mm-4-6-mm-zheltaya-rex-08-0351/", "Инфо")</f>
        <v>Инфо</v>
      </c>
      <c r="F1386" s="16" t="s">
        <v>39</v>
      </c>
      <c r="G1386" s="15"/>
      <c r="H1386" s="15"/>
      <c r="I1386" s="15"/>
      <c r="J1386" s="22">
        <v>14600</v>
      </c>
      <c r="K1386" s="15" t="s">
        <v>210</v>
      </c>
      <c r="L1386" s="17">
        <v>100</v>
      </c>
      <c r="M1386" s="22">
        <v>12000</v>
      </c>
      <c r="N1386" s="17">
        <v>100</v>
      </c>
      <c r="O1386" s="18">
        <v>4.45</v>
      </c>
      <c r="P1386" s="18">
        <v>3.65</v>
      </c>
      <c r="Q1386" s="18">
        <v>3.78</v>
      </c>
      <c r="R1386" s="18">
        <v>3.1</v>
      </c>
      <c r="S1386" s="18">
        <v>3.03</v>
      </c>
      <c r="T1386" s="18">
        <v>2.48</v>
      </c>
      <c r="U1386" s="16"/>
      <c r="V1386" s="16"/>
      <c r="W1386" s="16" t="s">
        <v>40</v>
      </c>
      <c r="X1386" s="19">
        <v>1E-3</v>
      </c>
      <c r="Y1386" s="20">
        <v>1.9999999999999999E-6</v>
      </c>
      <c r="Z1386" s="21">
        <v>4660008012205</v>
      </c>
    </row>
    <row r="1387" spans="1:26" ht="12" customHeight="1" outlineLevel="4" x14ac:dyDescent="0.2">
      <c r="A1387" s="32" t="s">
        <v>2728</v>
      </c>
      <c r="B1387" s="74" t="s">
        <v>2729</v>
      </c>
      <c r="C1387" s="50"/>
      <c r="D1387" s="53">
        <f t="shared" si="21"/>
        <v>0</v>
      </c>
      <c r="E1387" s="60" t="str">
        <f>HYPERLINK("https://www.sds-group.ru/product/klemma-ploskaya-izolirovannaya-termousazhivaemaya-rpi-p-t-6-0-6-3-rpip-t-6-7-0-8-shteker-6-3-08-0354/", "Инфо")</f>
        <v>Инфо</v>
      </c>
      <c r="F1387" s="34" t="s">
        <v>39</v>
      </c>
      <c r="G1387" s="33"/>
      <c r="H1387" s="33" t="s">
        <v>40</v>
      </c>
      <c r="I1387" s="33"/>
      <c r="J1387" s="39">
        <v>13100</v>
      </c>
      <c r="K1387" s="33"/>
      <c r="L1387" s="35">
        <v>100</v>
      </c>
      <c r="M1387" s="39">
        <v>4800</v>
      </c>
      <c r="N1387" s="35">
        <v>100</v>
      </c>
      <c r="O1387" s="36">
        <v>10.3</v>
      </c>
      <c r="P1387" s="36">
        <v>8.44</v>
      </c>
      <c r="Q1387" s="36">
        <v>7.21</v>
      </c>
      <c r="R1387" s="36">
        <v>5.91</v>
      </c>
      <c r="S1387" s="36">
        <v>7</v>
      </c>
      <c r="T1387" s="36">
        <v>5.74</v>
      </c>
      <c r="U1387" s="34"/>
      <c r="V1387" s="34"/>
      <c r="W1387" s="34"/>
      <c r="X1387" s="37">
        <v>1E-3</v>
      </c>
      <c r="Y1387" s="38">
        <v>5.0000000000000004E-6</v>
      </c>
      <c r="Z1387" s="21">
        <v>4601004019980</v>
      </c>
    </row>
    <row r="1388" spans="1:26" ht="12" customHeight="1" outlineLevel="4" x14ac:dyDescent="0.2">
      <c r="A1388" s="14" t="s">
        <v>2730</v>
      </c>
      <c r="B1388" s="26" t="s">
        <v>2731</v>
      </c>
      <c r="C1388" s="52"/>
      <c r="D1388" s="55">
        <f t="shared" si="21"/>
        <v>0</v>
      </c>
      <c r="E1388" s="63" t="str">
        <f>HYPERLINK("https://www.sds-group.ru/product/klemma-ploskaya-polnostyu-izolirovannaya-v-neylone-rpi-m-n-1-5-6-3-rpim-n-1-25-7-0-8-gnezdo--08-0613/", "Инфо")</f>
        <v>Инфо</v>
      </c>
      <c r="F1388" s="16" t="s">
        <v>39</v>
      </c>
      <c r="G1388" s="15"/>
      <c r="H1388" s="15"/>
      <c r="I1388" s="15"/>
      <c r="J1388" s="16" t="s">
        <v>100</v>
      </c>
      <c r="K1388" s="15" t="s">
        <v>1650</v>
      </c>
      <c r="L1388" s="17">
        <v>100</v>
      </c>
      <c r="M1388" s="22">
        <v>10000</v>
      </c>
      <c r="N1388" s="17">
        <v>100</v>
      </c>
      <c r="O1388" s="18">
        <v>6.86</v>
      </c>
      <c r="P1388" s="18">
        <v>5.62</v>
      </c>
      <c r="Q1388" s="18">
        <v>5.83</v>
      </c>
      <c r="R1388" s="18">
        <v>4.78</v>
      </c>
      <c r="S1388" s="18">
        <v>4.66</v>
      </c>
      <c r="T1388" s="18">
        <v>3.82</v>
      </c>
      <c r="U1388" s="16"/>
      <c r="V1388" s="16"/>
      <c r="W1388" s="16" t="s">
        <v>40</v>
      </c>
      <c r="X1388" s="19">
        <v>1E-3</v>
      </c>
      <c r="Y1388" s="20">
        <v>1.9999999999999999E-6</v>
      </c>
      <c r="Z1388" s="21">
        <v>4601004020122</v>
      </c>
    </row>
    <row r="1389" spans="1:26" ht="12" customHeight="1" outlineLevel="4" x14ac:dyDescent="0.2">
      <c r="A1389" s="14" t="s">
        <v>2732</v>
      </c>
      <c r="B1389" s="26" t="s">
        <v>2733</v>
      </c>
      <c r="C1389" s="52"/>
      <c r="D1389" s="55">
        <f t="shared" si="21"/>
        <v>0</v>
      </c>
      <c r="E1389" s="63" t="str">
        <f>HYPERLINK("https://www.sds-group.ru/product/klemma-ploskaya-polnostyu-izolirovannaya-v-neylone-rpi-m-n-2-5-6-3-rpim-n-2-7-0-8-gnezdo-6-6-08-0633/", "Инфо")</f>
        <v>Инфо</v>
      </c>
      <c r="F1389" s="16" t="s">
        <v>39</v>
      </c>
      <c r="G1389" s="15"/>
      <c r="H1389" s="15"/>
      <c r="I1389" s="15"/>
      <c r="J1389" s="22">
        <v>4000</v>
      </c>
      <c r="K1389" s="15" t="s">
        <v>210</v>
      </c>
      <c r="L1389" s="17">
        <v>100</v>
      </c>
      <c r="M1389" s="22">
        <v>10000</v>
      </c>
      <c r="N1389" s="17">
        <v>100</v>
      </c>
      <c r="O1389" s="18">
        <v>6.79</v>
      </c>
      <c r="P1389" s="18">
        <v>5.57</v>
      </c>
      <c r="Q1389" s="18">
        <v>5.77</v>
      </c>
      <c r="R1389" s="18">
        <v>4.7300000000000004</v>
      </c>
      <c r="S1389" s="18">
        <v>4.62</v>
      </c>
      <c r="T1389" s="18">
        <v>3.79</v>
      </c>
      <c r="U1389" s="16"/>
      <c r="V1389" s="16"/>
      <c r="W1389" s="16" t="s">
        <v>40</v>
      </c>
      <c r="X1389" s="19">
        <v>1E-3</v>
      </c>
      <c r="Y1389" s="20">
        <v>3.0000000000000001E-6</v>
      </c>
      <c r="Z1389" s="21">
        <v>4601004020160</v>
      </c>
    </row>
    <row r="1390" spans="1:26" ht="12" customHeight="1" outlineLevel="4" x14ac:dyDescent="0.2">
      <c r="A1390" s="14" t="s">
        <v>2734</v>
      </c>
      <c r="B1390" s="26" t="s">
        <v>2735</v>
      </c>
      <c r="C1390" s="52"/>
      <c r="D1390" s="55">
        <f t="shared" si="21"/>
        <v>0</v>
      </c>
      <c r="E1390" s="63" t="str">
        <f>HYPERLINK("https://www.sds-group.ru/product/klemma-ploskaya-polnostyu-izolirovannaya-rppi-m-1-5-4-8-rpimp-1-25-5-0-8-gnezdo-5-6-mm-0-5-1-08-0611/", "Инфо")</f>
        <v>Инфо</v>
      </c>
      <c r="F1390" s="16" t="s">
        <v>39</v>
      </c>
      <c r="G1390" s="15"/>
      <c r="H1390" s="15"/>
      <c r="I1390" s="15"/>
      <c r="J1390" s="22">
        <v>22300</v>
      </c>
      <c r="K1390" s="15" t="s">
        <v>1650</v>
      </c>
      <c r="L1390" s="17">
        <v>100</v>
      </c>
      <c r="M1390" s="22">
        <v>30000</v>
      </c>
      <c r="N1390" s="17">
        <v>100</v>
      </c>
      <c r="O1390" s="18">
        <v>5</v>
      </c>
      <c r="P1390" s="18">
        <v>4.0999999999999996</v>
      </c>
      <c r="Q1390" s="18">
        <v>4.25</v>
      </c>
      <c r="R1390" s="18">
        <v>3.48</v>
      </c>
      <c r="S1390" s="18">
        <v>3.4</v>
      </c>
      <c r="T1390" s="18">
        <v>2.79</v>
      </c>
      <c r="U1390" s="16"/>
      <c r="V1390" s="16"/>
      <c r="W1390" s="16" t="s">
        <v>40</v>
      </c>
      <c r="X1390" s="19">
        <v>1E-3</v>
      </c>
      <c r="Y1390" s="20">
        <v>9.9999999999999995E-7</v>
      </c>
      <c r="Z1390" s="21">
        <v>4660008012267</v>
      </c>
    </row>
    <row r="1391" spans="1:26" ht="12" customHeight="1" outlineLevel="4" x14ac:dyDescent="0.2">
      <c r="A1391" s="14" t="s">
        <v>2736</v>
      </c>
      <c r="B1391" s="26" t="s">
        <v>2737</v>
      </c>
      <c r="C1391" s="52"/>
      <c r="D1391" s="55">
        <f t="shared" si="21"/>
        <v>0</v>
      </c>
      <c r="E1391" s="63" t="str">
        <f>HYPERLINK("https://www.sds-group.ru/product/klemma-ploskaya-polnostyu-izolirovannaya-rppi-m-1-5-4-8-rpimp-1-25-5-0-8-gnezdo-5-6-mm-0-5-06-0392-A/", "Инфо")</f>
        <v>Инфо</v>
      </c>
      <c r="F1391" s="16" t="s">
        <v>1001</v>
      </c>
      <c r="G1391" s="15"/>
      <c r="H1391" s="15"/>
      <c r="I1391" s="15"/>
      <c r="J1391" s="17">
        <v>160</v>
      </c>
      <c r="K1391" s="15"/>
      <c r="L1391" s="17">
        <v>10</v>
      </c>
      <c r="M1391" s="17">
        <v>10</v>
      </c>
      <c r="N1391" s="17">
        <v>10</v>
      </c>
      <c r="O1391" s="18">
        <v>133.61000000000001</v>
      </c>
      <c r="P1391" s="18">
        <v>109.52</v>
      </c>
      <c r="Q1391" s="18">
        <v>113.57</v>
      </c>
      <c r="R1391" s="18">
        <v>93.09</v>
      </c>
      <c r="S1391" s="18">
        <v>90.85</v>
      </c>
      <c r="T1391" s="18">
        <v>74.47</v>
      </c>
      <c r="U1391" s="16"/>
      <c r="V1391" s="16"/>
      <c r="W1391" s="16" t="s">
        <v>40</v>
      </c>
      <c r="X1391" s="19">
        <v>1.2999999999999999E-2</v>
      </c>
      <c r="Y1391" s="20">
        <v>1.4300000000000001E-4</v>
      </c>
      <c r="Z1391" s="21">
        <v>4601004121416</v>
      </c>
    </row>
    <row r="1392" spans="1:26" ht="12" customHeight="1" outlineLevel="4" x14ac:dyDescent="0.2">
      <c r="A1392" s="14" t="s">
        <v>2738</v>
      </c>
      <c r="B1392" s="26" t="s">
        <v>2739</v>
      </c>
      <c r="C1392" s="52"/>
      <c r="D1392" s="55">
        <f t="shared" si="21"/>
        <v>0</v>
      </c>
      <c r="E1392" s="63" t="str">
        <f>HYPERLINK("https://www.sds-group.ru/product/klemma-ploskaya-polnostyu-izolirovannaya-rppi-m-1-5-6-3-rpimp-1-25-250-gnezdo-6-6-mm-0-5-1-5-08-0612/", "Инфо")</f>
        <v>Инфо</v>
      </c>
      <c r="F1392" s="16" t="s">
        <v>39</v>
      </c>
      <c r="G1392" s="15"/>
      <c r="H1392" s="15"/>
      <c r="I1392" s="15"/>
      <c r="J1392" s="16" t="s">
        <v>100</v>
      </c>
      <c r="K1392" s="15" t="s">
        <v>1650</v>
      </c>
      <c r="L1392" s="17">
        <v>100</v>
      </c>
      <c r="M1392" s="22">
        <v>10000</v>
      </c>
      <c r="N1392" s="17">
        <v>100</v>
      </c>
      <c r="O1392" s="18">
        <v>4.5999999999999996</v>
      </c>
      <c r="P1392" s="18">
        <v>3.77</v>
      </c>
      <c r="Q1392" s="18">
        <v>3.91</v>
      </c>
      <c r="R1392" s="18">
        <v>3.2</v>
      </c>
      <c r="S1392" s="18">
        <v>3.13</v>
      </c>
      <c r="T1392" s="18">
        <v>2.57</v>
      </c>
      <c r="U1392" s="16"/>
      <c r="V1392" s="16"/>
      <c r="W1392" s="16" t="s">
        <v>40</v>
      </c>
      <c r="X1392" s="19">
        <v>1E-3</v>
      </c>
      <c r="Y1392" s="20">
        <v>1.9999999999999999E-6</v>
      </c>
      <c r="Z1392" s="21">
        <v>4601004020115</v>
      </c>
    </row>
    <row r="1393" spans="1:26" ht="12" customHeight="1" outlineLevel="4" x14ac:dyDescent="0.2">
      <c r="A1393" s="14" t="s">
        <v>2740</v>
      </c>
      <c r="B1393" s="26" t="s">
        <v>2741</v>
      </c>
      <c r="C1393" s="52"/>
      <c r="D1393" s="55">
        <f t="shared" si="21"/>
        <v>0</v>
      </c>
      <c r="E1393" s="63" t="str">
        <f>HYPERLINK("https://www.sds-group.ru/product/klemma-ploskaya-polnostyu-izolirovannaya-rppi-m-2-5-4-8-rpimp-2-5-0-8-gnezdo-5-6-mm-1-5-2-5--08-0631/", "Инфо")</f>
        <v>Инфо</v>
      </c>
      <c r="F1393" s="16" t="s">
        <v>39</v>
      </c>
      <c r="G1393" s="15"/>
      <c r="H1393" s="15"/>
      <c r="I1393" s="15"/>
      <c r="J1393" s="16" t="s">
        <v>100</v>
      </c>
      <c r="K1393" s="15" t="s">
        <v>1650</v>
      </c>
      <c r="L1393" s="17">
        <v>100</v>
      </c>
      <c r="M1393" s="22">
        <v>20000</v>
      </c>
      <c r="N1393" s="17">
        <v>100</v>
      </c>
      <c r="O1393" s="18">
        <v>5.29</v>
      </c>
      <c r="P1393" s="18">
        <v>4.34</v>
      </c>
      <c r="Q1393" s="18">
        <v>4.5</v>
      </c>
      <c r="R1393" s="18">
        <v>3.69</v>
      </c>
      <c r="S1393" s="18">
        <v>3.6</v>
      </c>
      <c r="T1393" s="18">
        <v>2.95</v>
      </c>
      <c r="U1393" s="16"/>
      <c r="V1393" s="16"/>
      <c r="W1393" s="16" t="s">
        <v>40</v>
      </c>
      <c r="X1393" s="19">
        <v>1E-3</v>
      </c>
      <c r="Y1393" s="20">
        <v>1.9999999999999999E-6</v>
      </c>
      <c r="Z1393" s="21">
        <v>4660008012274</v>
      </c>
    </row>
    <row r="1394" spans="1:26" ht="12" customHeight="1" outlineLevel="4" x14ac:dyDescent="0.2">
      <c r="A1394" s="14" t="s">
        <v>2742</v>
      </c>
      <c r="B1394" s="26" t="s">
        <v>2743</v>
      </c>
      <c r="C1394" s="52"/>
      <c r="D1394" s="55">
        <f t="shared" si="21"/>
        <v>0</v>
      </c>
      <c r="E1394" s="63" t="str">
        <f>HYPERLINK("https://www.sds-group.ru/product/klemma-ploskaya-polnostyu-izolirovannaya-rppi-m-2-5-4-8-rpimp-2-5-0-8-gnezdo-5-6-mm-1-5-2--06-0394-A/", "Инфо")</f>
        <v>Инфо</v>
      </c>
      <c r="F1394" s="16" t="s">
        <v>1001</v>
      </c>
      <c r="G1394" s="15"/>
      <c r="H1394" s="15"/>
      <c r="I1394" s="15"/>
      <c r="J1394" s="17">
        <v>143</v>
      </c>
      <c r="K1394" s="15"/>
      <c r="L1394" s="17">
        <v>10</v>
      </c>
      <c r="M1394" s="17">
        <v>10</v>
      </c>
      <c r="N1394" s="17">
        <v>10</v>
      </c>
      <c r="O1394" s="18">
        <v>131.84</v>
      </c>
      <c r="P1394" s="18">
        <v>108.07</v>
      </c>
      <c r="Q1394" s="18">
        <v>112.06</v>
      </c>
      <c r="R1394" s="18">
        <v>91.85</v>
      </c>
      <c r="S1394" s="18">
        <v>89.65</v>
      </c>
      <c r="T1394" s="18">
        <v>73.48</v>
      </c>
      <c r="U1394" s="16"/>
      <c r="V1394" s="16"/>
      <c r="W1394" s="16" t="s">
        <v>40</v>
      </c>
      <c r="X1394" s="19">
        <v>1.4E-2</v>
      </c>
      <c r="Y1394" s="20">
        <v>1.44E-4</v>
      </c>
      <c r="Z1394" s="21">
        <v>4601004121430</v>
      </c>
    </row>
    <row r="1395" spans="1:26" ht="12" customHeight="1" outlineLevel="4" x14ac:dyDescent="0.2">
      <c r="A1395" s="14" t="s">
        <v>2744</v>
      </c>
      <c r="B1395" s="26" t="s">
        <v>2745</v>
      </c>
      <c r="C1395" s="52"/>
      <c r="D1395" s="55">
        <f t="shared" si="21"/>
        <v>0</v>
      </c>
      <c r="E1395" s="63" t="str">
        <f>HYPERLINK("https://www.sds-group.ru/product/klemma-ploskaya-polnostyu-izolirovannaya-rppi-m-2-5-6-3-rpimp-2-250-gnezdo-6-6-mm-1-5-2-5-mm-08-0632/", "Инфо")</f>
        <v>Инфо</v>
      </c>
      <c r="F1395" s="16" t="s">
        <v>39</v>
      </c>
      <c r="G1395" s="15"/>
      <c r="H1395" s="15"/>
      <c r="I1395" s="15"/>
      <c r="J1395" s="17">
        <v>200</v>
      </c>
      <c r="K1395" s="15" t="s">
        <v>210</v>
      </c>
      <c r="L1395" s="17">
        <v>100</v>
      </c>
      <c r="M1395" s="22">
        <v>16000</v>
      </c>
      <c r="N1395" s="17">
        <v>100</v>
      </c>
      <c r="O1395" s="18">
        <v>4.93</v>
      </c>
      <c r="P1395" s="18">
        <v>4.04</v>
      </c>
      <c r="Q1395" s="18">
        <v>4.1900000000000004</v>
      </c>
      <c r="R1395" s="18">
        <v>3.43</v>
      </c>
      <c r="S1395" s="18">
        <v>3.35</v>
      </c>
      <c r="T1395" s="18">
        <v>2.75</v>
      </c>
      <c r="U1395" s="16"/>
      <c r="V1395" s="16"/>
      <c r="W1395" s="16" t="s">
        <v>40</v>
      </c>
      <c r="X1395" s="19">
        <v>1E-3</v>
      </c>
      <c r="Y1395" s="20">
        <v>1.9999999999999999E-6</v>
      </c>
      <c r="Z1395" s="21">
        <v>4601004020153</v>
      </c>
    </row>
    <row r="1396" spans="1:26" ht="12" customHeight="1" outlineLevel="4" x14ac:dyDescent="0.2">
      <c r="A1396" s="14" t="s">
        <v>2746</v>
      </c>
      <c r="B1396" s="26" t="s">
        <v>2747</v>
      </c>
      <c r="C1396" s="52"/>
      <c r="D1396" s="55">
        <f t="shared" si="21"/>
        <v>0</v>
      </c>
      <c r="E1396" s="63" t="str">
        <f>HYPERLINK("https://www.sds-group.ru/product/klemma-ploskaya-polnostyu-izolirovannaya-rppi-m-2-5-6-3-rpimp-2-250-gnezdo-6-6-mm-1-5-2-5--06-0395-A/", "Инфо")</f>
        <v>Инфо</v>
      </c>
      <c r="F1396" s="16" t="s">
        <v>1001</v>
      </c>
      <c r="G1396" s="15"/>
      <c r="H1396" s="15"/>
      <c r="I1396" s="15"/>
      <c r="J1396" s="16" t="s">
        <v>100</v>
      </c>
      <c r="K1396" s="15"/>
      <c r="L1396" s="17">
        <v>10</v>
      </c>
      <c r="M1396" s="17">
        <v>10</v>
      </c>
      <c r="N1396" s="17">
        <v>10</v>
      </c>
      <c r="O1396" s="18">
        <v>164.83</v>
      </c>
      <c r="P1396" s="18">
        <v>135.11000000000001</v>
      </c>
      <c r="Q1396" s="18">
        <v>140.11000000000001</v>
      </c>
      <c r="R1396" s="18">
        <v>114.84</v>
      </c>
      <c r="S1396" s="18">
        <v>112.08</v>
      </c>
      <c r="T1396" s="18">
        <v>91.87</v>
      </c>
      <c r="U1396" s="16"/>
      <c r="V1396" s="16"/>
      <c r="W1396" s="16" t="s">
        <v>40</v>
      </c>
      <c r="X1396" s="19">
        <v>1.7999999999999999E-2</v>
      </c>
      <c r="Y1396" s="20">
        <v>1.45E-4</v>
      </c>
      <c r="Z1396" s="21">
        <v>4601004121447</v>
      </c>
    </row>
    <row r="1397" spans="1:26" ht="12" customHeight="1" outlineLevel="4" x14ac:dyDescent="0.2">
      <c r="A1397" s="14" t="s">
        <v>2748</v>
      </c>
      <c r="B1397" s="26" t="s">
        <v>2749</v>
      </c>
      <c r="C1397" s="52"/>
      <c r="D1397" s="55">
        <f t="shared" si="21"/>
        <v>0</v>
      </c>
      <c r="E1397" s="63" t="str">
        <f>HYPERLINK("https://www.sds-group.ru/product/klemma-ploskaya-polnostyu-izolirovannaya-rppi-m-6-0-6-3-rpimp-5-5-6-0-5-gnezdo-6-6-mm-4-6-mm-08-0651/", "Инфо")</f>
        <v>Инфо</v>
      </c>
      <c r="F1397" s="16" t="s">
        <v>39</v>
      </c>
      <c r="G1397" s="15"/>
      <c r="H1397" s="15"/>
      <c r="I1397" s="15"/>
      <c r="J1397" s="22">
        <v>35500</v>
      </c>
      <c r="K1397" s="15" t="s">
        <v>2750</v>
      </c>
      <c r="L1397" s="17">
        <v>100</v>
      </c>
      <c r="M1397" s="22">
        <v>10000</v>
      </c>
      <c r="N1397" s="17">
        <v>100</v>
      </c>
      <c r="O1397" s="18">
        <v>6.95</v>
      </c>
      <c r="P1397" s="18">
        <v>5.7</v>
      </c>
      <c r="Q1397" s="18">
        <v>5.91</v>
      </c>
      <c r="R1397" s="18">
        <v>4.84</v>
      </c>
      <c r="S1397" s="18">
        <v>4.7300000000000004</v>
      </c>
      <c r="T1397" s="18">
        <v>3.88</v>
      </c>
      <c r="U1397" s="16"/>
      <c r="V1397" s="16"/>
      <c r="W1397" s="16" t="s">
        <v>40</v>
      </c>
      <c r="X1397" s="19">
        <v>1E-3</v>
      </c>
      <c r="Y1397" s="20">
        <v>3.0000000000000001E-6</v>
      </c>
      <c r="Z1397" s="21">
        <v>4660008012281</v>
      </c>
    </row>
    <row r="1398" spans="1:26" ht="12" customHeight="1" outlineLevel="4" x14ac:dyDescent="0.2">
      <c r="A1398" s="14" t="s">
        <v>2751</v>
      </c>
      <c r="B1398" s="26" t="s">
        <v>2752</v>
      </c>
      <c r="C1398" s="52"/>
      <c r="D1398" s="55">
        <f t="shared" si="21"/>
        <v>0</v>
      </c>
      <c r="E1398" s="63" t="str">
        <f>HYPERLINK("https://www.sds-group.ru/product/klemma-ploskaya-polnostyu-izolirovannaya-termousazhivaemaya-rpi-m-t-1-5-6-3-rpim-t-1-25-7-0--08-0614/", "Инфо")</f>
        <v>Инфо</v>
      </c>
      <c r="F1398" s="16" t="s">
        <v>39</v>
      </c>
      <c r="G1398" s="15"/>
      <c r="H1398" s="15"/>
      <c r="I1398" s="15"/>
      <c r="J1398" s="16" t="s">
        <v>100</v>
      </c>
      <c r="K1398" s="15" t="s">
        <v>1665</v>
      </c>
      <c r="L1398" s="17">
        <v>100</v>
      </c>
      <c r="M1398" s="22">
        <v>6000</v>
      </c>
      <c r="N1398" s="17">
        <v>100</v>
      </c>
      <c r="O1398" s="18">
        <v>14.84</v>
      </c>
      <c r="P1398" s="18">
        <v>12.16</v>
      </c>
      <c r="Q1398" s="18">
        <v>12.61</v>
      </c>
      <c r="R1398" s="18">
        <v>10.34</v>
      </c>
      <c r="S1398" s="18">
        <v>10.09</v>
      </c>
      <c r="T1398" s="18">
        <v>8.27</v>
      </c>
      <c r="U1398" s="16"/>
      <c r="V1398" s="16"/>
      <c r="W1398" s="16" t="s">
        <v>40</v>
      </c>
      <c r="X1398" s="19">
        <v>1E-3</v>
      </c>
      <c r="Y1398" s="20">
        <v>3.9999999999999998E-6</v>
      </c>
      <c r="Z1398" s="21">
        <v>4601004020139</v>
      </c>
    </row>
    <row r="1399" spans="1:26" ht="12" customHeight="1" outlineLevel="4" x14ac:dyDescent="0.2">
      <c r="A1399" s="14" t="s">
        <v>2753</v>
      </c>
      <c r="B1399" s="26" t="s">
        <v>2754</v>
      </c>
      <c r="C1399" s="52"/>
      <c r="D1399" s="55">
        <f t="shared" si="21"/>
        <v>0</v>
      </c>
      <c r="E1399" s="63" t="str">
        <f>HYPERLINK("https://www.sds-group.ru/product/klemma-ploskaya-polnostyu-izolirovannaya-termousazhivaemaya-rpi-m-t-2-5-6-3-rpim-t-2-7-0-8-g-08-0634/", "Инфо")</f>
        <v>Инфо</v>
      </c>
      <c r="F1399" s="16" t="s">
        <v>39</v>
      </c>
      <c r="G1399" s="15"/>
      <c r="H1399" s="15"/>
      <c r="I1399" s="15"/>
      <c r="J1399" s="22">
        <v>2600</v>
      </c>
      <c r="K1399" s="15" t="s">
        <v>2706</v>
      </c>
      <c r="L1399" s="17">
        <v>100</v>
      </c>
      <c r="M1399" s="22">
        <v>6000</v>
      </c>
      <c r="N1399" s="17">
        <v>100</v>
      </c>
      <c r="O1399" s="18">
        <v>16.27</v>
      </c>
      <c r="P1399" s="18">
        <v>13.34</v>
      </c>
      <c r="Q1399" s="18">
        <v>13.83</v>
      </c>
      <c r="R1399" s="18">
        <v>11.34</v>
      </c>
      <c r="S1399" s="18">
        <v>11.06</v>
      </c>
      <c r="T1399" s="18">
        <v>9.07</v>
      </c>
      <c r="U1399" s="16"/>
      <c r="V1399" s="16"/>
      <c r="W1399" s="16" t="s">
        <v>40</v>
      </c>
      <c r="X1399" s="19">
        <v>1E-3</v>
      </c>
      <c r="Y1399" s="20">
        <v>5.0000000000000004E-6</v>
      </c>
      <c r="Z1399" s="21">
        <v>4601004020177</v>
      </c>
    </row>
    <row r="1400" spans="1:26" ht="12" customHeight="1" outlineLevel="4" x14ac:dyDescent="0.2">
      <c r="A1400" s="14" t="s">
        <v>2755</v>
      </c>
      <c r="B1400" s="26" t="s">
        <v>2756</v>
      </c>
      <c r="C1400" s="52"/>
      <c r="D1400" s="55">
        <f t="shared" si="21"/>
        <v>0</v>
      </c>
      <c r="E1400" s="63" t="str">
        <f>HYPERLINK("https://www.sds-group.ru/product/klemma-ploskaya-polnostyu-izolirovannaya-termousazhivaemaya-rpi-m-t-6-0-6-3-rpim-t-6-7-0-8-g-08-0654/", "Инфо")</f>
        <v>Инфо</v>
      </c>
      <c r="F1400" s="16" t="s">
        <v>39</v>
      </c>
      <c r="G1400" s="15"/>
      <c r="H1400" s="15"/>
      <c r="I1400" s="15"/>
      <c r="J1400" s="22">
        <v>13600</v>
      </c>
      <c r="K1400" s="15"/>
      <c r="L1400" s="17">
        <v>100</v>
      </c>
      <c r="M1400" s="22">
        <v>4800</v>
      </c>
      <c r="N1400" s="17">
        <v>100</v>
      </c>
      <c r="O1400" s="18">
        <v>17.66</v>
      </c>
      <c r="P1400" s="18">
        <v>14.48</v>
      </c>
      <c r="Q1400" s="18">
        <v>15.01</v>
      </c>
      <c r="R1400" s="18">
        <v>12.3</v>
      </c>
      <c r="S1400" s="18">
        <v>12.01</v>
      </c>
      <c r="T1400" s="18">
        <v>9.84</v>
      </c>
      <c r="U1400" s="16"/>
      <c r="V1400" s="16"/>
      <c r="W1400" s="16" t="s">
        <v>40</v>
      </c>
      <c r="X1400" s="19">
        <v>1E-3</v>
      </c>
      <c r="Y1400" s="20">
        <v>6.0000000000000002E-6</v>
      </c>
      <c r="Z1400" s="21">
        <v>4601004020207</v>
      </c>
    </row>
    <row r="1401" spans="1:26" ht="12" customHeight="1" outlineLevel="4" x14ac:dyDescent="0.2">
      <c r="A1401" s="32" t="s">
        <v>2757</v>
      </c>
      <c r="B1401" s="74" t="s">
        <v>2758</v>
      </c>
      <c r="C1401" s="50"/>
      <c r="D1401" s="53">
        <f t="shared" si="21"/>
        <v>0</v>
      </c>
      <c r="E1401" s="60" t="str">
        <f>HYPERLINK("https://www.sds-group.ru/product/klemma-ploskaya-shteker-6-3-mm-1-1-5-mm-rp-p-1-5-6-3-kolodka-rexant-08-0951/", "Инфо")</f>
        <v>Инфо</v>
      </c>
      <c r="F1401" s="34" t="s">
        <v>39</v>
      </c>
      <c r="G1401" s="33"/>
      <c r="H1401" s="33" t="s">
        <v>40</v>
      </c>
      <c r="I1401" s="33"/>
      <c r="J1401" s="39">
        <v>12600</v>
      </c>
      <c r="K1401" s="33"/>
      <c r="L1401" s="35">
        <v>50</v>
      </c>
      <c r="M1401" s="39">
        <v>2000</v>
      </c>
      <c r="N1401" s="35">
        <v>50</v>
      </c>
      <c r="O1401" s="36">
        <v>7.82</v>
      </c>
      <c r="P1401" s="36">
        <v>6.41</v>
      </c>
      <c r="Q1401" s="36">
        <v>5.47</v>
      </c>
      <c r="R1401" s="36">
        <v>4.4800000000000004</v>
      </c>
      <c r="S1401" s="36">
        <v>5.32</v>
      </c>
      <c r="T1401" s="36">
        <v>4.3600000000000003</v>
      </c>
      <c r="U1401" s="34"/>
      <c r="V1401" s="34"/>
      <c r="W1401" s="34"/>
      <c r="X1401" s="37">
        <v>2E-3</v>
      </c>
      <c r="Y1401" s="38">
        <v>1.8E-5</v>
      </c>
      <c r="Z1401" s="21">
        <v>4601004077317</v>
      </c>
    </row>
    <row r="1402" spans="1:26" ht="12" customHeight="1" outlineLevel="4" x14ac:dyDescent="0.2">
      <c r="A1402" s="14" t="s">
        <v>2759</v>
      </c>
      <c r="B1402" s="26" t="s">
        <v>2760</v>
      </c>
      <c r="C1402" s="52"/>
      <c r="D1402" s="55">
        <f t="shared" si="21"/>
        <v>0</v>
      </c>
      <c r="E1402" s="63" t="str">
        <f>HYPERLINK("https://www.sds-group.ru/product/razem-shtekernyy-izolirovannyy-gnezdo-4-mm-0-5-1-5-mm-rshi-m-1-5-4-rshim-1-25-5-4-krasnyy-re-08-0211/", "Инфо")</f>
        <v>Инфо</v>
      </c>
      <c r="F1402" s="16" t="s">
        <v>39</v>
      </c>
      <c r="G1402" s="15"/>
      <c r="H1402" s="15"/>
      <c r="I1402" s="15"/>
      <c r="J1402" s="16" t="s">
        <v>100</v>
      </c>
      <c r="K1402" s="15" t="s">
        <v>1665</v>
      </c>
      <c r="L1402" s="17">
        <v>100</v>
      </c>
      <c r="M1402" s="22">
        <v>10000</v>
      </c>
      <c r="N1402" s="17">
        <v>100</v>
      </c>
      <c r="O1402" s="18">
        <v>4.88</v>
      </c>
      <c r="P1402" s="18">
        <v>4</v>
      </c>
      <c r="Q1402" s="18">
        <v>4.1500000000000004</v>
      </c>
      <c r="R1402" s="18">
        <v>3.4</v>
      </c>
      <c r="S1402" s="18">
        <v>3.32</v>
      </c>
      <c r="T1402" s="18">
        <v>2.72</v>
      </c>
      <c r="U1402" s="16"/>
      <c r="V1402" s="16"/>
      <c r="W1402" s="16" t="s">
        <v>40</v>
      </c>
      <c r="X1402" s="19">
        <v>1E-3</v>
      </c>
      <c r="Y1402" s="20">
        <v>3.0000000000000001E-6</v>
      </c>
      <c r="Z1402" s="21">
        <v>4660008012144</v>
      </c>
    </row>
    <row r="1403" spans="1:26" ht="12" customHeight="1" outlineLevel="4" x14ac:dyDescent="0.2">
      <c r="A1403" s="14" t="s">
        <v>2761</v>
      </c>
      <c r="B1403" s="26" t="s">
        <v>2762</v>
      </c>
      <c r="C1403" s="52"/>
      <c r="D1403" s="55">
        <f t="shared" si="21"/>
        <v>0</v>
      </c>
      <c r="E1403" s="63" t="str">
        <f>HYPERLINK("https://www.sds-group.ru/product/razem-shtekernyy-izolirovannyy-gnezdo-4-mm-1-5-2-5-mm-rshi-m-2-5-4-rshim-2-5-4-siniy-rexant-08-0221/", "Инфо")</f>
        <v>Инфо</v>
      </c>
      <c r="F1403" s="16" t="s">
        <v>39</v>
      </c>
      <c r="G1403" s="15"/>
      <c r="H1403" s="15"/>
      <c r="I1403" s="15"/>
      <c r="J1403" s="22">
        <v>12100</v>
      </c>
      <c r="K1403" s="15" t="s">
        <v>2750</v>
      </c>
      <c r="L1403" s="17">
        <v>100</v>
      </c>
      <c r="M1403" s="22">
        <v>9600</v>
      </c>
      <c r="N1403" s="17">
        <v>100</v>
      </c>
      <c r="O1403" s="18">
        <v>5</v>
      </c>
      <c r="P1403" s="18">
        <v>4.0999999999999996</v>
      </c>
      <c r="Q1403" s="18">
        <v>4.25</v>
      </c>
      <c r="R1403" s="18">
        <v>3.48</v>
      </c>
      <c r="S1403" s="18">
        <v>3.4</v>
      </c>
      <c r="T1403" s="18">
        <v>2.79</v>
      </c>
      <c r="U1403" s="16"/>
      <c r="V1403" s="16"/>
      <c r="W1403" s="16" t="s">
        <v>40</v>
      </c>
      <c r="X1403" s="19">
        <v>1E-3</v>
      </c>
      <c r="Y1403" s="20">
        <v>3.9999999999999998E-6</v>
      </c>
      <c r="Z1403" s="21">
        <v>4660008012151</v>
      </c>
    </row>
    <row r="1404" spans="1:26" ht="12" customHeight="1" outlineLevel="4" x14ac:dyDescent="0.2">
      <c r="A1404" s="14" t="s">
        <v>2763</v>
      </c>
      <c r="B1404" s="26" t="s">
        <v>2764</v>
      </c>
      <c r="C1404" s="52"/>
      <c r="D1404" s="55">
        <f t="shared" si="21"/>
        <v>0</v>
      </c>
      <c r="E1404" s="63" t="str">
        <f>HYPERLINK("https://www.sds-group.ru/product/razem-shtekernyy-izolirovannyy-shteker-4-mm-0-5-1-5-mm-rshi-p-1-5-4-rship-1-25-4-krasnyy-rex-08-0511/", "Инфо")</f>
        <v>Инфо</v>
      </c>
      <c r="F1404" s="16" t="s">
        <v>39</v>
      </c>
      <c r="G1404" s="15"/>
      <c r="H1404" s="15"/>
      <c r="I1404" s="15"/>
      <c r="J1404" s="22">
        <v>48248</v>
      </c>
      <c r="K1404" s="15" t="s">
        <v>1665</v>
      </c>
      <c r="L1404" s="17">
        <v>500</v>
      </c>
      <c r="M1404" s="22">
        <v>24000</v>
      </c>
      <c r="N1404" s="17">
        <v>500</v>
      </c>
      <c r="O1404" s="18">
        <v>3.82</v>
      </c>
      <c r="P1404" s="18">
        <v>3.13</v>
      </c>
      <c r="Q1404" s="18">
        <v>3.25</v>
      </c>
      <c r="R1404" s="18">
        <v>2.66</v>
      </c>
      <c r="S1404" s="18">
        <v>2.6</v>
      </c>
      <c r="T1404" s="18">
        <v>2.13</v>
      </c>
      <c r="U1404" s="16"/>
      <c r="V1404" s="16"/>
      <c r="W1404" s="16" t="s">
        <v>40</v>
      </c>
      <c r="X1404" s="19">
        <v>1E-3</v>
      </c>
      <c r="Y1404" s="20">
        <v>9.9999999999999995E-7</v>
      </c>
      <c r="Z1404" s="21">
        <v>4660008012236</v>
      </c>
    </row>
    <row r="1405" spans="1:26" ht="12" customHeight="1" outlineLevel="4" x14ac:dyDescent="0.2">
      <c r="A1405" s="14" t="s">
        <v>2765</v>
      </c>
      <c r="B1405" s="26" t="s">
        <v>2766</v>
      </c>
      <c r="C1405" s="52"/>
      <c r="D1405" s="55">
        <f t="shared" si="21"/>
        <v>0</v>
      </c>
      <c r="E1405" s="63" t="str">
        <f>HYPERLINK("https://www.sds-group.ru/product/razem-shtekernyy-izolirovannyy-shteker-4-mm-1-5-2-5-mm-rshi-p-2-5-4-rship-2-5-4-siniy-rexant-08-0521/", "Инфо")</f>
        <v>Инфо</v>
      </c>
      <c r="F1405" s="16" t="s">
        <v>39</v>
      </c>
      <c r="G1405" s="15"/>
      <c r="H1405" s="15"/>
      <c r="I1405" s="15"/>
      <c r="J1405" s="16" t="s">
        <v>100</v>
      </c>
      <c r="K1405" s="15" t="s">
        <v>1665</v>
      </c>
      <c r="L1405" s="17">
        <v>500</v>
      </c>
      <c r="M1405" s="22">
        <v>20000</v>
      </c>
      <c r="N1405" s="17">
        <v>500</v>
      </c>
      <c r="O1405" s="18">
        <v>4.01</v>
      </c>
      <c r="P1405" s="18">
        <v>3.29</v>
      </c>
      <c r="Q1405" s="18">
        <v>3.41</v>
      </c>
      <c r="R1405" s="18">
        <v>2.8</v>
      </c>
      <c r="S1405" s="18">
        <v>2.73</v>
      </c>
      <c r="T1405" s="18">
        <v>2.2400000000000002</v>
      </c>
      <c r="U1405" s="16"/>
      <c r="V1405" s="16"/>
      <c r="W1405" s="16" t="s">
        <v>40</v>
      </c>
      <c r="X1405" s="19">
        <v>1E-3</v>
      </c>
      <c r="Y1405" s="20">
        <v>1.9999999999999999E-6</v>
      </c>
      <c r="Z1405" s="21">
        <v>4660008012243</v>
      </c>
    </row>
    <row r="1406" spans="1:26" ht="12" customHeight="1" outlineLevel="4" x14ac:dyDescent="0.2">
      <c r="A1406" s="32" t="s">
        <v>2767</v>
      </c>
      <c r="B1406" s="74" t="s">
        <v>2768</v>
      </c>
      <c r="C1406" s="50"/>
      <c r="D1406" s="53">
        <f t="shared" si="21"/>
        <v>0</v>
      </c>
      <c r="E1406" s="60" t="str">
        <f>HYPERLINK("https://www.sds-group.ru/product/razem-shtekernyy-izolirovannyy-shteker-5-mm-4-6-mm-rshi-p-6-0-5-rship5-5-4-zheltyy-rexant-08-0531/", "Инфо")</f>
        <v>Инфо</v>
      </c>
      <c r="F1406" s="34" t="s">
        <v>39</v>
      </c>
      <c r="G1406" s="33"/>
      <c r="H1406" s="33" t="s">
        <v>40</v>
      </c>
      <c r="I1406" s="33"/>
      <c r="J1406" s="39">
        <v>9000</v>
      </c>
      <c r="K1406" s="33"/>
      <c r="L1406" s="35">
        <v>100</v>
      </c>
      <c r="M1406" s="39">
        <v>16000</v>
      </c>
      <c r="N1406" s="35">
        <v>100</v>
      </c>
      <c r="O1406" s="36">
        <v>4.22</v>
      </c>
      <c r="P1406" s="36">
        <v>3.46</v>
      </c>
      <c r="Q1406" s="36">
        <v>2.95</v>
      </c>
      <c r="R1406" s="36">
        <v>2.42</v>
      </c>
      <c r="S1406" s="36">
        <v>2.87</v>
      </c>
      <c r="T1406" s="36">
        <v>2.35</v>
      </c>
      <c r="U1406" s="34"/>
      <c r="V1406" s="34"/>
      <c r="W1406" s="34"/>
      <c r="X1406" s="37">
        <v>1E-3</v>
      </c>
      <c r="Y1406" s="38">
        <v>3.0000000000000001E-6</v>
      </c>
      <c r="Z1406" s="21">
        <v>4660008012250</v>
      </c>
    </row>
    <row r="1407" spans="1:26" ht="12" customHeight="1" outlineLevel="4" x14ac:dyDescent="0.2">
      <c r="A1407" s="32" t="s">
        <v>2769</v>
      </c>
      <c r="B1407" s="74" t="s">
        <v>2770</v>
      </c>
      <c r="C1407" s="50"/>
      <c r="D1407" s="53">
        <f t="shared" si="21"/>
        <v>0</v>
      </c>
      <c r="E1407" s="60" t="str">
        <f>HYPERLINK("https://www.sds-group.ru/product/razem-shtekernyy-polnostyu-izolirovannyy-gnezdo-4-mm-0-5-1-5-mm-rshpi-m-1-5-4-rshimp-1-25-5--08-0261/", "Инфо")</f>
        <v>Инфо</v>
      </c>
      <c r="F1407" s="34" t="s">
        <v>39</v>
      </c>
      <c r="G1407" s="33"/>
      <c r="H1407" s="33" t="s">
        <v>40</v>
      </c>
      <c r="I1407" s="33"/>
      <c r="J1407" s="35">
        <v>400</v>
      </c>
      <c r="K1407" s="33"/>
      <c r="L1407" s="35">
        <v>100</v>
      </c>
      <c r="M1407" s="39">
        <v>9600</v>
      </c>
      <c r="N1407" s="35">
        <v>100</v>
      </c>
      <c r="O1407" s="36">
        <v>4.32</v>
      </c>
      <c r="P1407" s="36">
        <v>3.54</v>
      </c>
      <c r="Q1407" s="36">
        <v>3.02</v>
      </c>
      <c r="R1407" s="36">
        <v>2.48</v>
      </c>
      <c r="S1407" s="36">
        <v>2.94</v>
      </c>
      <c r="T1407" s="36">
        <v>2.41</v>
      </c>
      <c r="U1407" s="34"/>
      <c r="V1407" s="34"/>
      <c r="W1407" s="34"/>
      <c r="X1407" s="37">
        <v>1E-3</v>
      </c>
      <c r="Y1407" s="38">
        <v>3.9999999999999998E-6</v>
      </c>
      <c r="Z1407" s="21">
        <v>4660008012175</v>
      </c>
    </row>
    <row r="1408" spans="1:26" ht="12" customHeight="1" outlineLevel="4" x14ac:dyDescent="0.2">
      <c r="A1408" s="32" t="s">
        <v>2771</v>
      </c>
      <c r="B1408" s="74" t="s">
        <v>2772</v>
      </c>
      <c r="C1408" s="50"/>
      <c r="D1408" s="53">
        <f t="shared" si="21"/>
        <v>0</v>
      </c>
      <c r="E1408" s="60" t="str">
        <f>HYPERLINK("https://www.sds-group.ru/product/razem-shtekernyy-polnostyu-izolirovannyy-shteker-4-mm-0-5-1-5-mm-rshpi-p-1-5-4-rshipp-1-25-4-08-0561/", "Инфо")</f>
        <v>Инфо</v>
      </c>
      <c r="F1408" s="34" t="s">
        <v>39</v>
      </c>
      <c r="G1408" s="33"/>
      <c r="H1408" s="33" t="s">
        <v>40</v>
      </c>
      <c r="I1408" s="33"/>
      <c r="J1408" s="39">
        <v>11400</v>
      </c>
      <c r="K1408" s="33"/>
      <c r="L1408" s="35">
        <v>100</v>
      </c>
      <c r="M1408" s="39">
        <v>15000</v>
      </c>
      <c r="N1408" s="35">
        <v>100</v>
      </c>
      <c r="O1408" s="36">
        <v>2.73</v>
      </c>
      <c r="P1408" s="36">
        <v>2.2400000000000002</v>
      </c>
      <c r="Q1408" s="36">
        <v>1.91</v>
      </c>
      <c r="R1408" s="36">
        <v>1.57</v>
      </c>
      <c r="S1408" s="36">
        <v>1.86</v>
      </c>
      <c r="T1408" s="36">
        <v>1.52</v>
      </c>
      <c r="U1408" s="34"/>
      <c r="V1408" s="34"/>
      <c r="W1408" s="34"/>
      <c r="X1408" s="37">
        <v>1E-3</v>
      </c>
      <c r="Y1408" s="38">
        <v>5.0000000000000004E-6</v>
      </c>
      <c r="Z1408" s="21">
        <v>4601004020092</v>
      </c>
    </row>
    <row r="1409" spans="1:26" ht="12.95" customHeight="1" outlineLevel="3" x14ac:dyDescent="0.2">
      <c r="A1409" s="76" t="s">
        <v>2773</v>
      </c>
      <c r="B1409" s="76"/>
      <c r="C1409" s="77"/>
      <c r="D1409" s="58"/>
      <c r="E1409" s="68"/>
      <c r="F1409" s="13"/>
      <c r="G1409" s="13"/>
      <c r="H1409" s="13"/>
      <c r="I1409" s="13"/>
      <c r="J1409" s="13"/>
      <c r="K1409" s="13"/>
      <c r="L1409" s="13"/>
      <c r="M1409" s="13"/>
      <c r="N1409" s="13"/>
      <c r="O1409" s="13"/>
      <c r="P1409" s="13"/>
      <c r="Q1409" s="13"/>
      <c r="R1409" s="13"/>
      <c r="S1409" s="13"/>
      <c r="T1409" s="13"/>
      <c r="U1409" s="13"/>
      <c r="V1409" s="13"/>
      <c r="W1409" s="13"/>
      <c r="X1409" s="13"/>
      <c r="Y1409" s="13"/>
      <c r="Z1409" s="13"/>
    </row>
    <row r="1410" spans="1:26" ht="12" customHeight="1" outlineLevel="4" x14ac:dyDescent="0.2">
      <c r="A1410" s="14" t="s">
        <v>2774</v>
      </c>
      <c r="B1410" s="26" t="s">
        <v>2775</v>
      </c>
      <c r="C1410" s="52"/>
      <c r="D1410" s="55">
        <f t="shared" si="21"/>
        <v>0</v>
      </c>
      <c r="E1410" s="63" t="str">
        <f>HYPERLINK("https://www.sds-group.ru/product/izolyator-dlya-ploskoy-klemmy-dlina-26-mm-rexant-08-0900/", "Инфо")</f>
        <v>Инфо</v>
      </c>
      <c r="F1410" s="16" t="s">
        <v>39</v>
      </c>
      <c r="G1410" s="15"/>
      <c r="H1410" s="15"/>
      <c r="I1410" s="15"/>
      <c r="J1410" s="16" t="s">
        <v>100</v>
      </c>
      <c r="K1410" s="15" t="s">
        <v>1650</v>
      </c>
      <c r="L1410" s="17">
        <v>500</v>
      </c>
      <c r="M1410" s="22">
        <v>20000</v>
      </c>
      <c r="N1410" s="17">
        <v>500</v>
      </c>
      <c r="O1410" s="18">
        <v>2.5</v>
      </c>
      <c r="P1410" s="18">
        <v>2.0499999999999998</v>
      </c>
      <c r="Q1410" s="18">
        <v>2.13</v>
      </c>
      <c r="R1410" s="18">
        <v>1.75</v>
      </c>
      <c r="S1410" s="18">
        <v>1.7</v>
      </c>
      <c r="T1410" s="18">
        <v>1.39</v>
      </c>
      <c r="U1410" s="16"/>
      <c r="V1410" s="16"/>
      <c r="W1410" s="16" t="s">
        <v>40</v>
      </c>
      <c r="X1410" s="19">
        <v>0</v>
      </c>
      <c r="Y1410" s="20">
        <v>9.9999999999999995E-7</v>
      </c>
      <c r="Z1410" s="21">
        <v>4601004020511</v>
      </c>
    </row>
    <row r="1411" spans="1:26" ht="12" customHeight="1" outlineLevel="4" x14ac:dyDescent="0.2">
      <c r="A1411" s="14" t="s">
        <v>2776</v>
      </c>
      <c r="B1411" s="26" t="s">
        <v>2777</v>
      </c>
      <c r="C1411" s="52"/>
      <c r="D1411" s="55">
        <f t="shared" si="21"/>
        <v>0</v>
      </c>
      <c r="E1411" s="63" t="str">
        <f>HYPERLINK("https://www.sds-group.ru/product/klemma-ploskaya-gnezdo-3-6-mm-0-75-1-5-mm-rp-m-1-5-2-8-rexant-08-0919/", "Инфо")</f>
        <v>Инфо</v>
      </c>
      <c r="F1411" s="16" t="s">
        <v>39</v>
      </c>
      <c r="G1411" s="15"/>
      <c r="H1411" s="15"/>
      <c r="I1411" s="15"/>
      <c r="J1411" s="16" t="s">
        <v>100</v>
      </c>
      <c r="K1411" s="15" t="s">
        <v>210</v>
      </c>
      <c r="L1411" s="17">
        <v>500</v>
      </c>
      <c r="M1411" s="22">
        <v>60000</v>
      </c>
      <c r="N1411" s="17">
        <v>500</v>
      </c>
      <c r="O1411" s="18">
        <v>1.97</v>
      </c>
      <c r="P1411" s="18">
        <v>1.61</v>
      </c>
      <c r="Q1411" s="18">
        <v>1.67</v>
      </c>
      <c r="R1411" s="18">
        <v>1.37</v>
      </c>
      <c r="S1411" s="18">
        <v>1.34</v>
      </c>
      <c r="T1411" s="18">
        <v>1.1000000000000001</v>
      </c>
      <c r="U1411" s="16"/>
      <c r="V1411" s="16"/>
      <c r="W1411" s="16" t="s">
        <v>40</v>
      </c>
      <c r="X1411" s="19">
        <v>0</v>
      </c>
      <c r="Y1411" s="20">
        <v>0</v>
      </c>
      <c r="Z1411" s="21">
        <v>4601004020573</v>
      </c>
    </row>
    <row r="1412" spans="1:26" ht="12" customHeight="1" outlineLevel="4" x14ac:dyDescent="0.2">
      <c r="A1412" s="14" t="s">
        <v>2778</v>
      </c>
      <c r="B1412" s="26" t="s">
        <v>2779</v>
      </c>
      <c r="C1412" s="52"/>
      <c r="D1412" s="55">
        <f t="shared" si="21"/>
        <v>0</v>
      </c>
      <c r="E1412" s="63" t="str">
        <f>HYPERLINK("https://www.sds-group.ru/product/klemma-ploskaya-gnezdo-3-6-mm-0-75-1-5-mm-rp-m-1-5-2-8-v-upak-10-sht-rexant-06-0399-A/", "Инфо")</f>
        <v>Инфо</v>
      </c>
      <c r="F1412" s="16" t="s">
        <v>1001</v>
      </c>
      <c r="G1412" s="15"/>
      <c r="H1412" s="15"/>
      <c r="I1412" s="15"/>
      <c r="J1412" s="17">
        <v>169</v>
      </c>
      <c r="K1412" s="15"/>
      <c r="L1412" s="17">
        <v>10</v>
      </c>
      <c r="M1412" s="17">
        <v>10</v>
      </c>
      <c r="N1412" s="17">
        <v>10</v>
      </c>
      <c r="O1412" s="18">
        <v>119.79</v>
      </c>
      <c r="P1412" s="18">
        <v>98.19</v>
      </c>
      <c r="Q1412" s="18">
        <v>101.82</v>
      </c>
      <c r="R1412" s="18">
        <v>83.46</v>
      </c>
      <c r="S1412" s="18">
        <v>81.459999999999994</v>
      </c>
      <c r="T1412" s="18">
        <v>66.77</v>
      </c>
      <c r="U1412" s="16"/>
      <c r="V1412" s="16"/>
      <c r="W1412" s="16" t="s">
        <v>40</v>
      </c>
      <c r="X1412" s="19">
        <v>8.9999999999999993E-3</v>
      </c>
      <c r="Y1412" s="20">
        <v>1.44E-4</v>
      </c>
      <c r="Z1412" s="21">
        <v>4601004121485</v>
      </c>
    </row>
    <row r="1413" spans="1:26" ht="12" customHeight="1" outlineLevel="4" x14ac:dyDescent="0.2">
      <c r="A1413" s="14" t="s">
        <v>2780</v>
      </c>
      <c r="B1413" s="26" t="s">
        <v>2781</v>
      </c>
      <c r="C1413" s="52"/>
      <c r="D1413" s="55">
        <f t="shared" si="21"/>
        <v>0</v>
      </c>
      <c r="E1413" s="63" t="str">
        <f>HYPERLINK("https://www.sds-group.ru/product/klemma-ploskaya-gnezdo-5-6-mm-0-75-1-5-mm-rp-m-1-5-4-8-rexant-08-0920/", "Инфо")</f>
        <v>Инфо</v>
      </c>
      <c r="F1413" s="16" t="s">
        <v>39</v>
      </c>
      <c r="G1413" s="15"/>
      <c r="H1413" s="15"/>
      <c r="I1413" s="15"/>
      <c r="J1413" s="22">
        <v>52600</v>
      </c>
      <c r="K1413" s="15" t="s">
        <v>1650</v>
      </c>
      <c r="L1413" s="17">
        <v>500</v>
      </c>
      <c r="M1413" s="22">
        <v>20000</v>
      </c>
      <c r="N1413" s="17">
        <v>500</v>
      </c>
      <c r="O1413" s="18">
        <v>2.19</v>
      </c>
      <c r="P1413" s="18">
        <v>1.8</v>
      </c>
      <c r="Q1413" s="18">
        <v>1.86</v>
      </c>
      <c r="R1413" s="18">
        <v>1.52</v>
      </c>
      <c r="S1413" s="18">
        <v>1.49</v>
      </c>
      <c r="T1413" s="18">
        <v>1.22</v>
      </c>
      <c r="U1413" s="16"/>
      <c r="V1413" s="16"/>
      <c r="W1413" s="16" t="s">
        <v>40</v>
      </c>
      <c r="X1413" s="19">
        <v>0</v>
      </c>
      <c r="Y1413" s="20">
        <v>9.9999999999999995E-7</v>
      </c>
      <c r="Z1413" s="21">
        <v>4601004020580</v>
      </c>
    </row>
    <row r="1414" spans="1:26" ht="12" customHeight="1" outlineLevel="4" x14ac:dyDescent="0.2">
      <c r="A1414" s="14" t="s">
        <v>2782</v>
      </c>
      <c r="B1414" s="26" t="s">
        <v>2783</v>
      </c>
      <c r="C1414" s="52"/>
      <c r="D1414" s="55">
        <f t="shared" si="21"/>
        <v>0</v>
      </c>
      <c r="E1414" s="63" t="str">
        <f>HYPERLINK("https://www.sds-group.ru/product/klemma-ploskaya-gnezdo-7-5-mm-1-2-5-mm-rp-m-2-5-6-3-rexant-08-0921/", "Инфо")</f>
        <v>Инфо</v>
      </c>
      <c r="F1414" s="16" t="s">
        <v>39</v>
      </c>
      <c r="G1414" s="15"/>
      <c r="H1414" s="15"/>
      <c r="I1414" s="15"/>
      <c r="J1414" s="22">
        <v>46400</v>
      </c>
      <c r="K1414" s="15" t="s">
        <v>1650</v>
      </c>
      <c r="L1414" s="17">
        <v>500</v>
      </c>
      <c r="M1414" s="22">
        <v>20000</v>
      </c>
      <c r="N1414" s="17">
        <v>500</v>
      </c>
      <c r="O1414" s="18">
        <v>3.61</v>
      </c>
      <c r="P1414" s="18">
        <v>2.96</v>
      </c>
      <c r="Q1414" s="18">
        <v>3.07</v>
      </c>
      <c r="R1414" s="18">
        <v>2.52</v>
      </c>
      <c r="S1414" s="18">
        <v>2.4500000000000002</v>
      </c>
      <c r="T1414" s="18">
        <v>2.0099999999999998</v>
      </c>
      <c r="U1414" s="16"/>
      <c r="V1414" s="16"/>
      <c r="W1414" s="16" t="s">
        <v>40</v>
      </c>
      <c r="X1414" s="19">
        <v>1E-3</v>
      </c>
      <c r="Y1414" s="20">
        <v>9.9999999999999995E-7</v>
      </c>
      <c r="Z1414" s="21">
        <v>4601004020597</v>
      </c>
    </row>
    <row r="1415" spans="1:26" ht="12" customHeight="1" outlineLevel="4" x14ac:dyDescent="0.2">
      <c r="A1415" s="14" t="s">
        <v>2784</v>
      </c>
      <c r="B1415" s="26" t="s">
        <v>2785</v>
      </c>
      <c r="C1415" s="52"/>
      <c r="D1415" s="55">
        <f t="shared" si="21"/>
        <v>0</v>
      </c>
      <c r="E1415" s="63" t="str">
        <f>HYPERLINK("https://www.sds-group.ru/product/klemma-ploskaya-gnezdo-7-5-mm-1-2-5-mm-rp-m-2-5-6-3-v-upak-10-sht-rexant-06-0401-A/", "Инфо")</f>
        <v>Инфо</v>
      </c>
      <c r="F1415" s="16" t="s">
        <v>1001</v>
      </c>
      <c r="G1415" s="15"/>
      <c r="H1415" s="15"/>
      <c r="I1415" s="15"/>
      <c r="J1415" s="17">
        <v>785</v>
      </c>
      <c r="K1415" s="15"/>
      <c r="L1415" s="17">
        <v>10</v>
      </c>
      <c r="M1415" s="17">
        <v>10</v>
      </c>
      <c r="N1415" s="17">
        <v>10</v>
      </c>
      <c r="O1415" s="18">
        <v>116.62</v>
      </c>
      <c r="P1415" s="18">
        <v>95.59</v>
      </c>
      <c r="Q1415" s="18">
        <v>99.13</v>
      </c>
      <c r="R1415" s="18">
        <v>81.25</v>
      </c>
      <c r="S1415" s="18">
        <v>79.3</v>
      </c>
      <c r="T1415" s="18">
        <v>65</v>
      </c>
      <c r="U1415" s="16"/>
      <c r="V1415" s="16"/>
      <c r="W1415" s="16" t="s">
        <v>40</v>
      </c>
      <c r="X1415" s="19">
        <v>1.2999999999999999E-2</v>
      </c>
      <c r="Y1415" s="20">
        <v>1.5899999999999999E-4</v>
      </c>
      <c r="Z1415" s="21">
        <v>4601004121492</v>
      </c>
    </row>
    <row r="1416" spans="1:26" ht="12" customHeight="1" outlineLevel="4" x14ac:dyDescent="0.2">
      <c r="A1416" s="14" t="s">
        <v>2786</v>
      </c>
      <c r="B1416" s="26" t="s">
        <v>2787</v>
      </c>
      <c r="C1416" s="52"/>
      <c r="D1416" s="55">
        <f t="shared" si="21"/>
        <v>0</v>
      </c>
      <c r="E1416" s="63" t="str">
        <f>HYPERLINK("https://www.sds-group.ru/product/klemma-ploskaya-gnezdo-7-7-mm-0-75-1-5-mm-rp-m-1-5-6-3-rexant-08-0912/", "Инфо")</f>
        <v>Инфо</v>
      </c>
      <c r="F1416" s="16" t="s">
        <v>39</v>
      </c>
      <c r="G1416" s="15"/>
      <c r="H1416" s="15"/>
      <c r="I1416" s="15"/>
      <c r="J1416" s="16" t="s">
        <v>100</v>
      </c>
      <c r="K1416" s="15" t="s">
        <v>1650</v>
      </c>
      <c r="L1416" s="17">
        <v>100</v>
      </c>
      <c r="M1416" s="22">
        <v>40000</v>
      </c>
      <c r="N1416" s="17">
        <v>100</v>
      </c>
      <c r="O1416" s="18">
        <v>5.5</v>
      </c>
      <c r="P1416" s="18">
        <v>4.51</v>
      </c>
      <c r="Q1416" s="18">
        <v>4.68</v>
      </c>
      <c r="R1416" s="18">
        <v>3.84</v>
      </c>
      <c r="S1416" s="18">
        <v>3.74</v>
      </c>
      <c r="T1416" s="18">
        <v>3.07</v>
      </c>
      <c r="U1416" s="16"/>
      <c r="V1416" s="16"/>
      <c r="W1416" s="16" t="s">
        <v>40</v>
      </c>
      <c r="X1416" s="19">
        <v>0</v>
      </c>
      <c r="Y1416" s="20">
        <v>9.9999999999999995E-7</v>
      </c>
      <c r="Z1416" s="21">
        <v>4601004020559</v>
      </c>
    </row>
    <row r="1417" spans="1:26" ht="12" customHeight="1" outlineLevel="4" x14ac:dyDescent="0.2">
      <c r="A1417" s="14" t="s">
        <v>2788</v>
      </c>
      <c r="B1417" s="26" t="s">
        <v>2789</v>
      </c>
      <c r="C1417" s="52"/>
      <c r="D1417" s="55">
        <f t="shared" ref="D1417:D1480" si="22">C1417*(O1417-O1417*$G$3)</f>
        <v>0</v>
      </c>
      <c r="E1417" s="63" t="str">
        <f>HYPERLINK("https://www.sds-group.ru/product/klemma-ploskaya-shteker-2-8-mm-0-75-1-5-mm-rp-p-1-5-2-8-rexant-08-0909/", "Инфо")</f>
        <v>Инфо</v>
      </c>
      <c r="F1417" s="16" t="s">
        <v>39</v>
      </c>
      <c r="G1417" s="15"/>
      <c r="H1417" s="15"/>
      <c r="I1417" s="15"/>
      <c r="J1417" s="22">
        <v>96700</v>
      </c>
      <c r="K1417" s="15" t="s">
        <v>1665</v>
      </c>
      <c r="L1417" s="17">
        <v>500</v>
      </c>
      <c r="M1417" s="22">
        <v>20000</v>
      </c>
      <c r="N1417" s="17">
        <v>500</v>
      </c>
      <c r="O1417" s="18">
        <v>2.99</v>
      </c>
      <c r="P1417" s="18">
        <v>2.4500000000000002</v>
      </c>
      <c r="Q1417" s="18">
        <v>2.54</v>
      </c>
      <c r="R1417" s="18">
        <v>2.08</v>
      </c>
      <c r="S1417" s="18">
        <v>2.0299999999999998</v>
      </c>
      <c r="T1417" s="18">
        <v>1.66</v>
      </c>
      <c r="U1417" s="16"/>
      <c r="V1417" s="16"/>
      <c r="W1417" s="16" t="s">
        <v>40</v>
      </c>
      <c r="X1417" s="19">
        <v>0</v>
      </c>
      <c r="Y1417" s="20">
        <v>0</v>
      </c>
      <c r="Z1417" s="21">
        <v>4601004020528</v>
      </c>
    </row>
    <row r="1418" spans="1:26" ht="12" customHeight="1" outlineLevel="4" x14ac:dyDescent="0.2">
      <c r="A1418" s="14" t="s">
        <v>2790</v>
      </c>
      <c r="B1418" s="26" t="s">
        <v>2791</v>
      </c>
      <c r="C1418" s="52"/>
      <c r="D1418" s="55">
        <f t="shared" si="22"/>
        <v>0</v>
      </c>
      <c r="E1418" s="63" t="str">
        <f>HYPERLINK("https://www.sds-group.ru/product/klemma-ploskaya-shteker-4-8-mm-0-75-1-5-mm-rp-p-1-5-4-8-rexant-08-0910/", "Инфо")</f>
        <v>Инфо</v>
      </c>
      <c r="F1418" s="16" t="s">
        <v>39</v>
      </c>
      <c r="G1418" s="15"/>
      <c r="H1418" s="15"/>
      <c r="I1418" s="15"/>
      <c r="J1418" s="22">
        <v>45500</v>
      </c>
      <c r="K1418" s="15" t="s">
        <v>1665</v>
      </c>
      <c r="L1418" s="17">
        <v>500</v>
      </c>
      <c r="M1418" s="22">
        <v>20000</v>
      </c>
      <c r="N1418" s="17">
        <v>500</v>
      </c>
      <c r="O1418" s="18">
        <v>2.41</v>
      </c>
      <c r="P1418" s="18">
        <v>1.98</v>
      </c>
      <c r="Q1418" s="18">
        <v>2.0499999999999998</v>
      </c>
      <c r="R1418" s="18">
        <v>1.68</v>
      </c>
      <c r="S1418" s="18">
        <v>1.64</v>
      </c>
      <c r="T1418" s="18">
        <v>1.34</v>
      </c>
      <c r="U1418" s="16"/>
      <c r="V1418" s="16"/>
      <c r="W1418" s="16" t="s">
        <v>40</v>
      </c>
      <c r="X1418" s="19">
        <v>0</v>
      </c>
      <c r="Y1418" s="20">
        <v>9.9999999999999995E-7</v>
      </c>
      <c r="Z1418" s="21">
        <v>4601004020535</v>
      </c>
    </row>
    <row r="1419" spans="1:26" ht="12" customHeight="1" outlineLevel="4" x14ac:dyDescent="0.2">
      <c r="A1419" s="14" t="s">
        <v>2792</v>
      </c>
      <c r="B1419" s="26" t="s">
        <v>2793</v>
      </c>
      <c r="C1419" s="52"/>
      <c r="D1419" s="55">
        <f t="shared" si="22"/>
        <v>0</v>
      </c>
      <c r="E1419" s="63" t="str">
        <f>HYPERLINK("https://www.sds-group.ru/product/klemma-ploskaya-shteker-6-3-mm-0-75-1-5-mm-rp-p-1-5-6-3-dlina-20-mm-rexant-08-0913/", "Инфо")</f>
        <v>Инфо</v>
      </c>
      <c r="F1419" s="16" t="s">
        <v>39</v>
      </c>
      <c r="G1419" s="15"/>
      <c r="H1419" s="15"/>
      <c r="I1419" s="15"/>
      <c r="J1419" s="22">
        <v>36300</v>
      </c>
      <c r="K1419" s="15" t="s">
        <v>1650</v>
      </c>
      <c r="L1419" s="17">
        <v>100</v>
      </c>
      <c r="M1419" s="22">
        <v>20000</v>
      </c>
      <c r="N1419" s="17">
        <v>100</v>
      </c>
      <c r="O1419" s="18">
        <v>5.17</v>
      </c>
      <c r="P1419" s="18">
        <v>4.24</v>
      </c>
      <c r="Q1419" s="18">
        <v>4.3899999999999997</v>
      </c>
      <c r="R1419" s="18">
        <v>3.6</v>
      </c>
      <c r="S1419" s="18">
        <v>3.52</v>
      </c>
      <c r="T1419" s="18">
        <v>2.89</v>
      </c>
      <c r="U1419" s="16"/>
      <c r="V1419" s="16"/>
      <c r="W1419" s="16" t="s">
        <v>40</v>
      </c>
      <c r="X1419" s="19">
        <v>1E-3</v>
      </c>
      <c r="Y1419" s="20">
        <v>9.9999999999999995E-7</v>
      </c>
      <c r="Z1419" s="21">
        <v>4601004020566</v>
      </c>
    </row>
    <row r="1420" spans="1:26" ht="12" customHeight="1" outlineLevel="4" x14ac:dyDescent="0.2">
      <c r="A1420" s="14" t="s">
        <v>2794</v>
      </c>
      <c r="B1420" s="26" t="s">
        <v>2795</v>
      </c>
      <c r="C1420" s="52"/>
      <c r="D1420" s="55">
        <f t="shared" si="22"/>
        <v>0</v>
      </c>
      <c r="E1420" s="63" t="str">
        <f>HYPERLINK("https://www.sds-group.ru/product/klemma-ploskaya-shteker-6-3-mm-0-75-1-5-mm-rp-p-1-5-6-3-dlina-20-mm-v-upak-10-sht-rexant-06-0398-A/", "Инфо")</f>
        <v>Инфо</v>
      </c>
      <c r="F1420" s="16" t="s">
        <v>1001</v>
      </c>
      <c r="G1420" s="15"/>
      <c r="H1420" s="15"/>
      <c r="I1420" s="15"/>
      <c r="J1420" s="17">
        <v>363</v>
      </c>
      <c r="K1420" s="15"/>
      <c r="L1420" s="17">
        <v>10</v>
      </c>
      <c r="M1420" s="17">
        <v>10</v>
      </c>
      <c r="N1420" s="17">
        <v>10</v>
      </c>
      <c r="O1420" s="18">
        <v>107.47</v>
      </c>
      <c r="P1420" s="18">
        <v>88.09</v>
      </c>
      <c r="Q1420" s="18">
        <v>91.35</v>
      </c>
      <c r="R1420" s="18">
        <v>74.88</v>
      </c>
      <c r="S1420" s="18">
        <v>73.08</v>
      </c>
      <c r="T1420" s="18">
        <v>59.9</v>
      </c>
      <c r="U1420" s="16"/>
      <c r="V1420" s="16"/>
      <c r="W1420" s="16" t="s">
        <v>40</v>
      </c>
      <c r="X1420" s="19">
        <v>1.2999999999999999E-2</v>
      </c>
      <c r="Y1420" s="20">
        <v>1.3999999999999999E-4</v>
      </c>
      <c r="Z1420" s="21">
        <v>4601004121478</v>
      </c>
    </row>
    <row r="1421" spans="1:26" ht="12" customHeight="1" outlineLevel="4" x14ac:dyDescent="0.2">
      <c r="A1421" s="14" t="s">
        <v>2796</v>
      </c>
      <c r="B1421" s="26" t="s">
        <v>2797</v>
      </c>
      <c r="C1421" s="52"/>
      <c r="D1421" s="55">
        <f t="shared" si="22"/>
        <v>0</v>
      </c>
      <c r="E1421" s="63" t="str">
        <f>HYPERLINK("https://www.sds-group.ru/product/klemma-ploskaya-shteker-6-3-mm-0-75-1-5-mm-rp-p-1-5-6-3-dlina-25-5-mm-rexant-08-0911/", "Инфо")</f>
        <v>Инфо</v>
      </c>
      <c r="F1421" s="16" t="s">
        <v>39</v>
      </c>
      <c r="G1421" s="15"/>
      <c r="H1421" s="15"/>
      <c r="I1421" s="15"/>
      <c r="J1421" s="16" t="s">
        <v>100</v>
      </c>
      <c r="K1421" s="15" t="s">
        <v>2798</v>
      </c>
      <c r="L1421" s="17">
        <v>100</v>
      </c>
      <c r="M1421" s="22">
        <v>20000</v>
      </c>
      <c r="N1421" s="17">
        <v>100</v>
      </c>
      <c r="O1421" s="18">
        <v>8.23</v>
      </c>
      <c r="P1421" s="18">
        <v>6.75</v>
      </c>
      <c r="Q1421" s="18">
        <v>7</v>
      </c>
      <c r="R1421" s="18">
        <v>5.74</v>
      </c>
      <c r="S1421" s="18">
        <v>5.6</v>
      </c>
      <c r="T1421" s="18">
        <v>4.59</v>
      </c>
      <c r="U1421" s="16"/>
      <c r="V1421" s="16"/>
      <c r="W1421" s="16" t="s">
        <v>40</v>
      </c>
      <c r="X1421" s="19">
        <v>1E-3</v>
      </c>
      <c r="Y1421" s="20">
        <v>9.9999999999999995E-7</v>
      </c>
      <c r="Z1421" s="21">
        <v>4601004020542</v>
      </c>
    </row>
    <row r="1422" spans="1:26" ht="12" customHeight="1" outlineLevel="4" x14ac:dyDescent="0.2">
      <c r="A1422" s="14" t="s">
        <v>2799</v>
      </c>
      <c r="B1422" s="26" t="s">
        <v>2800</v>
      </c>
      <c r="C1422" s="52"/>
      <c r="D1422" s="55">
        <f t="shared" si="22"/>
        <v>0</v>
      </c>
      <c r="E1422" s="63" t="str">
        <f>HYPERLINK("https://www.sds-group.ru/product/klemma-ploskaya-shteker-6-3-mm-0-75-1-5-mm-rp-p-1-5-6-3-dlina-25-5-mm-v-upak-10-sht-rexant-06-0396-A/", "Инфо")</f>
        <v>Инфо</v>
      </c>
      <c r="F1422" s="16" t="s">
        <v>1001</v>
      </c>
      <c r="G1422" s="15"/>
      <c r="H1422" s="15"/>
      <c r="I1422" s="15"/>
      <c r="J1422" s="17">
        <v>210</v>
      </c>
      <c r="K1422" s="15"/>
      <c r="L1422" s="17">
        <v>10</v>
      </c>
      <c r="M1422" s="17">
        <v>10</v>
      </c>
      <c r="N1422" s="17">
        <v>10</v>
      </c>
      <c r="O1422" s="18">
        <v>146.65</v>
      </c>
      <c r="P1422" s="18">
        <v>120.2</v>
      </c>
      <c r="Q1422" s="18">
        <v>124.65</v>
      </c>
      <c r="R1422" s="18">
        <v>102.17</v>
      </c>
      <c r="S1422" s="18">
        <v>99.72</v>
      </c>
      <c r="T1422" s="18">
        <v>81.739999999999995</v>
      </c>
      <c r="U1422" s="16"/>
      <c r="V1422" s="16"/>
      <c r="W1422" s="16" t="s">
        <v>40</v>
      </c>
      <c r="X1422" s="19">
        <v>1.4999999999999999E-2</v>
      </c>
      <c r="Y1422" s="20">
        <v>1.66E-4</v>
      </c>
      <c r="Z1422" s="21">
        <v>4601004121454</v>
      </c>
    </row>
    <row r="1423" spans="1:26" ht="12.95" customHeight="1" outlineLevel="3" x14ac:dyDescent="0.2">
      <c r="A1423" s="76" t="s">
        <v>2801</v>
      </c>
      <c r="B1423" s="76"/>
      <c r="C1423" s="77"/>
      <c r="D1423" s="58"/>
      <c r="E1423" s="68"/>
      <c r="F1423" s="13"/>
      <c r="G1423" s="13"/>
      <c r="H1423" s="13"/>
      <c r="I1423" s="13"/>
      <c r="J1423" s="13"/>
      <c r="K1423" s="13"/>
      <c r="L1423" s="13"/>
      <c r="M1423" s="13"/>
      <c r="N1423" s="13"/>
      <c r="O1423" s="13"/>
      <c r="P1423" s="13"/>
      <c r="Q1423" s="13"/>
      <c r="R1423" s="13"/>
      <c r="S1423" s="13"/>
      <c r="T1423" s="13"/>
      <c r="U1423" s="13"/>
      <c r="V1423" s="13"/>
      <c r="W1423" s="13"/>
      <c r="X1423" s="13"/>
      <c r="Y1423" s="13"/>
      <c r="Z1423" s="13"/>
    </row>
    <row r="1424" spans="1:26" ht="12" customHeight="1" outlineLevel="4" x14ac:dyDescent="0.2">
      <c r="A1424" s="14" t="s">
        <v>2802</v>
      </c>
      <c r="B1424" s="26" t="s">
        <v>2803</v>
      </c>
      <c r="C1424" s="52"/>
      <c r="D1424" s="55">
        <f t="shared" si="22"/>
        <v>0</v>
      </c>
      <c r="E1424" s="63" t="str">
        <f>HYPERLINK("https://www.sds-group.ru/product/nakonechnik-vilochnyy-izolirovannyy-3-2-mm-0-5-1-5-mm-nvi-1-5-3-nvi-1-25-3-krasnyy-rexant-08-0111/", "Инфо")</f>
        <v>Инфо</v>
      </c>
      <c r="F1424" s="16" t="s">
        <v>39</v>
      </c>
      <c r="G1424" s="15"/>
      <c r="H1424" s="15"/>
      <c r="I1424" s="15"/>
      <c r="J1424" s="16" t="s">
        <v>100</v>
      </c>
      <c r="K1424" s="15" t="s">
        <v>210</v>
      </c>
      <c r="L1424" s="17">
        <v>500</v>
      </c>
      <c r="M1424" s="22">
        <v>20000</v>
      </c>
      <c r="N1424" s="17">
        <v>500</v>
      </c>
      <c r="O1424" s="18">
        <v>2.65</v>
      </c>
      <c r="P1424" s="18">
        <v>2.17</v>
      </c>
      <c r="Q1424" s="18">
        <v>2.25</v>
      </c>
      <c r="R1424" s="18">
        <v>1.84</v>
      </c>
      <c r="S1424" s="18">
        <v>1.8</v>
      </c>
      <c r="T1424" s="18">
        <v>1.48</v>
      </c>
      <c r="U1424" s="16"/>
      <c r="V1424" s="16"/>
      <c r="W1424" s="16" t="s">
        <v>40</v>
      </c>
      <c r="X1424" s="19">
        <v>0</v>
      </c>
      <c r="Y1424" s="20">
        <v>9.9999999999999995E-7</v>
      </c>
      <c r="Z1424" s="21">
        <v>4660008012113</v>
      </c>
    </row>
    <row r="1425" spans="1:26" ht="12" customHeight="1" outlineLevel="4" x14ac:dyDescent="0.2">
      <c r="A1425" s="14" t="s">
        <v>2804</v>
      </c>
      <c r="B1425" s="26" t="s">
        <v>2805</v>
      </c>
      <c r="C1425" s="52"/>
      <c r="D1425" s="55">
        <f t="shared" si="22"/>
        <v>0</v>
      </c>
      <c r="E1425" s="63" t="str">
        <f>HYPERLINK("https://www.sds-group.ru/product/nakonechnik-vilochnyy-izolirovannyy-3-2-mm-0-5-1-5-mm-nvi-1-5-3-nvi-1-25-3-krasnyy-v-upak--06-0402-A/", "Инфо")</f>
        <v>Инфо</v>
      </c>
      <c r="F1425" s="16" t="s">
        <v>1001</v>
      </c>
      <c r="G1425" s="15"/>
      <c r="H1425" s="15"/>
      <c r="I1425" s="15"/>
      <c r="J1425" s="17">
        <v>180</v>
      </c>
      <c r="K1425" s="15"/>
      <c r="L1425" s="17">
        <v>10</v>
      </c>
      <c r="M1425" s="17">
        <v>10</v>
      </c>
      <c r="N1425" s="17">
        <v>10</v>
      </c>
      <c r="O1425" s="18">
        <v>120.23</v>
      </c>
      <c r="P1425" s="18">
        <v>98.55</v>
      </c>
      <c r="Q1425" s="18">
        <v>102.2</v>
      </c>
      <c r="R1425" s="18">
        <v>83.77</v>
      </c>
      <c r="S1425" s="18">
        <v>81.760000000000005</v>
      </c>
      <c r="T1425" s="18">
        <v>67.02</v>
      </c>
      <c r="U1425" s="16"/>
      <c r="V1425" s="16"/>
      <c r="W1425" s="16" t="s">
        <v>40</v>
      </c>
      <c r="X1425" s="19">
        <v>1.0999999999999999E-2</v>
      </c>
      <c r="Y1425" s="20">
        <v>1.47E-4</v>
      </c>
      <c r="Z1425" s="21">
        <v>4601004121515</v>
      </c>
    </row>
    <row r="1426" spans="1:26" ht="12" customHeight="1" outlineLevel="4" x14ac:dyDescent="0.2">
      <c r="A1426" s="14" t="s">
        <v>2806</v>
      </c>
      <c r="B1426" s="26" t="s">
        <v>2807</v>
      </c>
      <c r="C1426" s="52"/>
      <c r="D1426" s="55">
        <f t="shared" si="22"/>
        <v>0</v>
      </c>
      <c r="E1426" s="63" t="str">
        <f>HYPERLINK("https://www.sds-group.ru/product/nakonechnik-vilochnyy-izolirovannyy-3-2-mm-1-5-2-5-mm-nvi-2-5-3-siniy-rexant-08-0131/", "Инфо")</f>
        <v>Инфо</v>
      </c>
      <c r="F1426" s="16" t="s">
        <v>39</v>
      </c>
      <c r="G1426" s="15"/>
      <c r="H1426" s="15"/>
      <c r="I1426" s="15"/>
      <c r="J1426" s="22">
        <v>29040</v>
      </c>
      <c r="K1426" s="15" t="s">
        <v>1650</v>
      </c>
      <c r="L1426" s="17">
        <v>100</v>
      </c>
      <c r="M1426" s="22">
        <v>20000</v>
      </c>
      <c r="N1426" s="17">
        <v>100</v>
      </c>
      <c r="O1426" s="18">
        <v>6</v>
      </c>
      <c r="P1426" s="18">
        <v>4.92</v>
      </c>
      <c r="Q1426" s="18">
        <v>5.0999999999999996</v>
      </c>
      <c r="R1426" s="18">
        <v>4.18</v>
      </c>
      <c r="S1426" s="18">
        <v>4.08</v>
      </c>
      <c r="T1426" s="18">
        <v>3.34</v>
      </c>
      <c r="U1426" s="16"/>
      <c r="V1426" s="16"/>
      <c r="W1426" s="16" t="s">
        <v>40</v>
      </c>
      <c r="X1426" s="19">
        <v>0</v>
      </c>
      <c r="Y1426" s="20">
        <v>9.9999999999999995E-7</v>
      </c>
      <c r="Z1426" s="21">
        <v>4660008012120</v>
      </c>
    </row>
    <row r="1427" spans="1:26" ht="12" customHeight="1" outlineLevel="4" x14ac:dyDescent="0.2">
      <c r="A1427" s="14" t="s">
        <v>2808</v>
      </c>
      <c r="B1427" s="26" t="s">
        <v>2809</v>
      </c>
      <c r="C1427" s="52"/>
      <c r="D1427" s="55">
        <f t="shared" si="22"/>
        <v>0</v>
      </c>
      <c r="E1427" s="63" t="str">
        <f>HYPERLINK("https://www.sds-group.ru/product/nakonechnik-vilochnyy-izolirovannyy-4-3-mm-0-5-1-5-mm-nvi-1-5-4-nvi-1-25-4-krasnyy-rexant-08-0112/", "Инфо")</f>
        <v>Инфо</v>
      </c>
      <c r="F1427" s="16" t="s">
        <v>39</v>
      </c>
      <c r="G1427" s="15"/>
      <c r="H1427" s="15"/>
      <c r="I1427" s="15"/>
      <c r="J1427" s="22">
        <v>22600</v>
      </c>
      <c r="K1427" s="15" t="s">
        <v>210</v>
      </c>
      <c r="L1427" s="17">
        <v>500</v>
      </c>
      <c r="M1427" s="22">
        <v>20000</v>
      </c>
      <c r="N1427" s="17">
        <v>500</v>
      </c>
      <c r="O1427" s="18">
        <v>3.58</v>
      </c>
      <c r="P1427" s="18">
        <v>2.93</v>
      </c>
      <c r="Q1427" s="18">
        <v>3.04</v>
      </c>
      <c r="R1427" s="18">
        <v>2.4900000000000002</v>
      </c>
      <c r="S1427" s="18">
        <v>2.4300000000000002</v>
      </c>
      <c r="T1427" s="18">
        <v>1.99</v>
      </c>
      <c r="U1427" s="16"/>
      <c r="V1427" s="16"/>
      <c r="W1427" s="16" t="s">
        <v>40</v>
      </c>
      <c r="X1427" s="19">
        <v>1E-3</v>
      </c>
      <c r="Y1427" s="20">
        <v>1.9999999999999999E-6</v>
      </c>
      <c r="Z1427" s="21">
        <v>4601004019775</v>
      </c>
    </row>
    <row r="1428" spans="1:26" ht="12" customHeight="1" outlineLevel="4" x14ac:dyDescent="0.2">
      <c r="A1428" s="14" t="s">
        <v>2810</v>
      </c>
      <c r="B1428" s="26" t="s">
        <v>2811</v>
      </c>
      <c r="C1428" s="52"/>
      <c r="D1428" s="55">
        <f t="shared" si="22"/>
        <v>0</v>
      </c>
      <c r="E1428" s="63" t="str">
        <f>HYPERLINK("https://www.sds-group.ru/product/nakonechnik-vilochnyy-izolirovannyy-4-3-mm-1-5-2-5-mm-nvi-2-5-4-nvi-2-4-siniy-rexant-08-0132/", "Инфо")</f>
        <v>Инфо</v>
      </c>
      <c r="F1428" s="16" t="s">
        <v>39</v>
      </c>
      <c r="G1428" s="15"/>
      <c r="H1428" s="15"/>
      <c r="I1428" s="15"/>
      <c r="J1428" s="16" t="s">
        <v>100</v>
      </c>
      <c r="K1428" s="15" t="s">
        <v>1650</v>
      </c>
      <c r="L1428" s="17">
        <v>500</v>
      </c>
      <c r="M1428" s="22">
        <v>30000</v>
      </c>
      <c r="N1428" s="17">
        <v>500</v>
      </c>
      <c r="O1428" s="18">
        <v>3.53</v>
      </c>
      <c r="P1428" s="18">
        <v>2.89</v>
      </c>
      <c r="Q1428" s="18">
        <v>3</v>
      </c>
      <c r="R1428" s="18">
        <v>2.46</v>
      </c>
      <c r="S1428" s="18">
        <v>2.4</v>
      </c>
      <c r="T1428" s="18">
        <v>1.97</v>
      </c>
      <c r="U1428" s="16"/>
      <c r="V1428" s="16"/>
      <c r="W1428" s="16" t="s">
        <v>40</v>
      </c>
      <c r="X1428" s="19">
        <v>1E-3</v>
      </c>
      <c r="Y1428" s="20">
        <v>9.9999999999999995E-7</v>
      </c>
      <c r="Z1428" s="21">
        <v>4601004019805</v>
      </c>
    </row>
    <row r="1429" spans="1:26" ht="12" customHeight="1" outlineLevel="4" x14ac:dyDescent="0.2">
      <c r="A1429" s="14" t="s">
        <v>2812</v>
      </c>
      <c r="B1429" s="26" t="s">
        <v>2813</v>
      </c>
      <c r="C1429" s="52"/>
      <c r="D1429" s="55">
        <f t="shared" si="22"/>
        <v>0</v>
      </c>
      <c r="E1429" s="63" t="str">
        <f>HYPERLINK("https://www.sds-group.ru/product/nakonechnik-vilochnyy-izolirovannyy-4-3-mm-4-6-mm-nvi-6-0-4-nvi-5-5-4-zheltyy-rexant-08-0151/", "Инфо")</f>
        <v>Инфо</v>
      </c>
      <c r="F1429" s="16" t="s">
        <v>39</v>
      </c>
      <c r="G1429" s="15"/>
      <c r="H1429" s="15"/>
      <c r="I1429" s="15"/>
      <c r="J1429" s="16" t="s">
        <v>100</v>
      </c>
      <c r="K1429" s="15" t="s">
        <v>210</v>
      </c>
      <c r="L1429" s="17">
        <v>100</v>
      </c>
      <c r="M1429" s="22">
        <v>10000</v>
      </c>
      <c r="N1429" s="17">
        <v>100</v>
      </c>
      <c r="O1429" s="18">
        <v>7.57</v>
      </c>
      <c r="P1429" s="18">
        <v>6.2</v>
      </c>
      <c r="Q1429" s="18">
        <v>6.43</v>
      </c>
      <c r="R1429" s="18">
        <v>5.27</v>
      </c>
      <c r="S1429" s="18">
        <v>5.15</v>
      </c>
      <c r="T1429" s="18">
        <v>4.22</v>
      </c>
      <c r="U1429" s="16"/>
      <c r="V1429" s="16"/>
      <c r="W1429" s="16" t="s">
        <v>40</v>
      </c>
      <c r="X1429" s="19">
        <v>1E-3</v>
      </c>
      <c r="Y1429" s="20">
        <v>3.0000000000000001E-6</v>
      </c>
      <c r="Z1429" s="21">
        <v>4660008012137</v>
      </c>
    </row>
    <row r="1430" spans="1:26" ht="12" customHeight="1" outlineLevel="4" x14ac:dyDescent="0.2">
      <c r="A1430" s="14" t="s">
        <v>2814</v>
      </c>
      <c r="B1430" s="26" t="s">
        <v>2815</v>
      </c>
      <c r="C1430" s="52"/>
      <c r="D1430" s="55">
        <f t="shared" si="22"/>
        <v>0</v>
      </c>
      <c r="E1430" s="63" t="str">
        <f>HYPERLINK("https://www.sds-group.ru/product/nakonechnik-vilochnyy-izolirovannyy-5-3-mm-0-5-1-5-mm-nvi-1-5-5-nvi-1-25-5-krasnyy-rexant-08-0113/", "Инфо")</f>
        <v>Инфо</v>
      </c>
      <c r="F1430" s="16" t="s">
        <v>39</v>
      </c>
      <c r="G1430" s="15"/>
      <c r="H1430" s="15"/>
      <c r="I1430" s="15"/>
      <c r="J1430" s="16" t="s">
        <v>100</v>
      </c>
      <c r="K1430" s="15" t="s">
        <v>2706</v>
      </c>
      <c r="L1430" s="17">
        <v>500</v>
      </c>
      <c r="M1430" s="22">
        <v>10000</v>
      </c>
      <c r="N1430" s="17">
        <v>500</v>
      </c>
      <c r="O1430" s="18">
        <v>3.22</v>
      </c>
      <c r="P1430" s="18">
        <v>2.64</v>
      </c>
      <c r="Q1430" s="18">
        <v>2.74</v>
      </c>
      <c r="R1430" s="18">
        <v>2.25</v>
      </c>
      <c r="S1430" s="18">
        <v>2.19</v>
      </c>
      <c r="T1430" s="18">
        <v>1.8</v>
      </c>
      <c r="U1430" s="16"/>
      <c r="V1430" s="16"/>
      <c r="W1430" s="16" t="s">
        <v>40</v>
      </c>
      <c r="X1430" s="19">
        <v>1E-3</v>
      </c>
      <c r="Y1430" s="20">
        <v>1.9999999999999999E-6</v>
      </c>
      <c r="Z1430" s="21">
        <v>4601004019782</v>
      </c>
    </row>
    <row r="1431" spans="1:26" ht="12" customHeight="1" outlineLevel="4" x14ac:dyDescent="0.2">
      <c r="A1431" s="14" t="s">
        <v>2816</v>
      </c>
      <c r="B1431" s="26" t="s">
        <v>2817</v>
      </c>
      <c r="C1431" s="52"/>
      <c r="D1431" s="55">
        <f t="shared" si="22"/>
        <v>0</v>
      </c>
      <c r="E1431" s="63" t="str">
        <f>HYPERLINK("https://www.sds-group.ru/product/nakonechnik-vilochnyy-izolirovannyy-5-3-mm-1-5-2-5-mm-nvi-2-5-5-nvi-2-5-siniy-rexant-08-0133/", "Инфо")</f>
        <v>Инфо</v>
      </c>
      <c r="F1431" s="16" t="s">
        <v>39</v>
      </c>
      <c r="G1431" s="15"/>
      <c r="H1431" s="15"/>
      <c r="I1431" s="15"/>
      <c r="J1431" s="22">
        <v>24700</v>
      </c>
      <c r="K1431" s="15" t="s">
        <v>1650</v>
      </c>
      <c r="L1431" s="17">
        <v>500</v>
      </c>
      <c r="M1431" s="22">
        <v>20000</v>
      </c>
      <c r="N1431" s="17">
        <v>500</v>
      </c>
      <c r="O1431" s="18">
        <v>3.4</v>
      </c>
      <c r="P1431" s="18">
        <v>2.79</v>
      </c>
      <c r="Q1431" s="18">
        <v>2.89</v>
      </c>
      <c r="R1431" s="18">
        <v>2.37</v>
      </c>
      <c r="S1431" s="18">
        <v>2.31</v>
      </c>
      <c r="T1431" s="18">
        <v>1.89</v>
      </c>
      <c r="U1431" s="16"/>
      <c r="V1431" s="16"/>
      <c r="W1431" s="16" t="s">
        <v>40</v>
      </c>
      <c r="X1431" s="19">
        <v>1E-3</v>
      </c>
      <c r="Y1431" s="20">
        <v>1.9999999999999999E-6</v>
      </c>
      <c r="Z1431" s="21">
        <v>4601004019812</v>
      </c>
    </row>
    <row r="1432" spans="1:26" ht="12" customHeight="1" outlineLevel="4" x14ac:dyDescent="0.2">
      <c r="A1432" s="14" t="s">
        <v>2818</v>
      </c>
      <c r="B1432" s="26" t="s">
        <v>2819</v>
      </c>
      <c r="C1432" s="52"/>
      <c r="D1432" s="55">
        <f t="shared" si="22"/>
        <v>0</v>
      </c>
      <c r="E1432" s="63" t="str">
        <f>HYPERLINK("https://www.sds-group.ru/product/nakonechnik-vilochnyy-izolirovannyy-5-3-mm-4-6-mm-nvi-6-0-5-nvi-5-5-5-zheltyy-rexant-08-0152/", "Инфо")</f>
        <v>Инфо</v>
      </c>
      <c r="F1432" s="16" t="s">
        <v>39</v>
      </c>
      <c r="G1432" s="15"/>
      <c r="H1432" s="15"/>
      <c r="I1432" s="15"/>
      <c r="J1432" s="16" t="s">
        <v>100</v>
      </c>
      <c r="K1432" s="15" t="s">
        <v>210</v>
      </c>
      <c r="L1432" s="17">
        <v>100</v>
      </c>
      <c r="M1432" s="22">
        <v>10000</v>
      </c>
      <c r="N1432" s="17">
        <v>100</v>
      </c>
      <c r="O1432" s="18">
        <v>7.36</v>
      </c>
      <c r="P1432" s="18">
        <v>6.03</v>
      </c>
      <c r="Q1432" s="18">
        <v>6.26</v>
      </c>
      <c r="R1432" s="18">
        <v>5.13</v>
      </c>
      <c r="S1432" s="18">
        <v>5</v>
      </c>
      <c r="T1432" s="18">
        <v>4.0999999999999996</v>
      </c>
      <c r="U1432" s="16"/>
      <c r="V1432" s="16"/>
      <c r="W1432" s="16" t="s">
        <v>40</v>
      </c>
      <c r="X1432" s="19">
        <v>1E-3</v>
      </c>
      <c r="Y1432" s="20">
        <v>3.0000000000000001E-6</v>
      </c>
      <c r="Z1432" s="21">
        <v>4601004019836</v>
      </c>
    </row>
    <row r="1433" spans="1:26" ht="12" customHeight="1" outlineLevel="4" x14ac:dyDescent="0.2">
      <c r="A1433" s="14" t="s">
        <v>2820</v>
      </c>
      <c r="B1433" s="26" t="s">
        <v>2821</v>
      </c>
      <c r="C1433" s="52"/>
      <c r="D1433" s="55">
        <f t="shared" si="22"/>
        <v>0</v>
      </c>
      <c r="E1433" s="63" t="str">
        <f>HYPERLINK("https://www.sds-group.ru/product/nakonechnik-vilochnyy-izolirovannyy-6-5-mm-0-5-1-5-mm-nvi-1-5-6-krasnyy-rexant-08-0114/", "Инфо")</f>
        <v>Инфо</v>
      </c>
      <c r="F1433" s="16" t="s">
        <v>39</v>
      </c>
      <c r="G1433" s="15"/>
      <c r="H1433" s="15"/>
      <c r="I1433" s="15"/>
      <c r="J1433" s="22">
        <v>18500</v>
      </c>
      <c r="K1433" s="15"/>
      <c r="L1433" s="17">
        <v>100</v>
      </c>
      <c r="M1433" s="22">
        <v>20000</v>
      </c>
      <c r="N1433" s="17">
        <v>100</v>
      </c>
      <c r="O1433" s="18">
        <v>6.38</v>
      </c>
      <c r="P1433" s="18">
        <v>5.23</v>
      </c>
      <c r="Q1433" s="18">
        <v>5.42</v>
      </c>
      <c r="R1433" s="18">
        <v>4.4400000000000004</v>
      </c>
      <c r="S1433" s="18">
        <v>4.34</v>
      </c>
      <c r="T1433" s="18">
        <v>3.56</v>
      </c>
      <c r="U1433" s="16"/>
      <c r="V1433" s="16"/>
      <c r="W1433" s="16" t="s">
        <v>40</v>
      </c>
      <c r="X1433" s="19">
        <v>1E-3</v>
      </c>
      <c r="Y1433" s="20">
        <v>1.9999999999999999E-6</v>
      </c>
      <c r="Z1433" s="21">
        <v>4601004019799</v>
      </c>
    </row>
    <row r="1434" spans="1:26" ht="12" customHeight="1" outlineLevel="4" x14ac:dyDescent="0.2">
      <c r="A1434" s="32" t="s">
        <v>2822</v>
      </c>
      <c r="B1434" s="74" t="s">
        <v>2823</v>
      </c>
      <c r="C1434" s="50"/>
      <c r="D1434" s="53">
        <f t="shared" si="22"/>
        <v>0</v>
      </c>
      <c r="E1434" s="60" t="str">
        <f>HYPERLINK("https://www.sds-group.ru/product/nakonechnik-vilochnyy-izolirovannyy-6-5-mm-1-5-2-5-mm-nvi-2-5-6-nvi-2-6-siniy-rexant-08-0134/", "Инфо")</f>
        <v>Инфо</v>
      </c>
      <c r="F1434" s="34" t="s">
        <v>39</v>
      </c>
      <c r="G1434" s="33"/>
      <c r="H1434" s="33" t="s">
        <v>40</v>
      </c>
      <c r="I1434" s="33"/>
      <c r="J1434" s="39">
        <v>2400</v>
      </c>
      <c r="K1434" s="33"/>
      <c r="L1434" s="35">
        <v>100</v>
      </c>
      <c r="M1434" s="39">
        <v>20000</v>
      </c>
      <c r="N1434" s="35">
        <v>100</v>
      </c>
      <c r="O1434" s="36">
        <v>3.99</v>
      </c>
      <c r="P1434" s="36">
        <v>3.27</v>
      </c>
      <c r="Q1434" s="36">
        <v>2.79</v>
      </c>
      <c r="R1434" s="36">
        <v>2.29</v>
      </c>
      <c r="S1434" s="36">
        <v>2.71</v>
      </c>
      <c r="T1434" s="36">
        <v>2.2200000000000002</v>
      </c>
      <c r="U1434" s="34"/>
      <c r="V1434" s="34"/>
      <c r="W1434" s="34"/>
      <c r="X1434" s="37">
        <v>1E-3</v>
      </c>
      <c r="Y1434" s="38">
        <v>1.9999999999999999E-6</v>
      </c>
      <c r="Z1434" s="21">
        <v>4601004019829</v>
      </c>
    </row>
    <row r="1435" spans="1:26" ht="12" customHeight="1" outlineLevel="4" x14ac:dyDescent="0.2">
      <c r="A1435" s="14" t="s">
        <v>2824</v>
      </c>
      <c r="B1435" s="26" t="s">
        <v>2825</v>
      </c>
      <c r="C1435" s="52"/>
      <c r="D1435" s="55">
        <f t="shared" si="22"/>
        <v>0</v>
      </c>
      <c r="E1435" s="63" t="str">
        <f>HYPERLINK("https://www.sds-group.ru/product/nakonechnik-vilochnyy-izolirovannyy-6-5-mm-4-6-mm-nvi-6-0-6-nvi-5-5-6-zheltyy-rexant-08-0153/", "Инфо")</f>
        <v>Инфо</v>
      </c>
      <c r="F1435" s="16" t="s">
        <v>39</v>
      </c>
      <c r="G1435" s="15"/>
      <c r="H1435" s="15"/>
      <c r="I1435" s="15"/>
      <c r="J1435" s="22">
        <v>27657</v>
      </c>
      <c r="K1435" s="15"/>
      <c r="L1435" s="17">
        <v>100</v>
      </c>
      <c r="M1435" s="22">
        <v>15000</v>
      </c>
      <c r="N1435" s="17">
        <v>100</v>
      </c>
      <c r="O1435" s="18">
        <v>7.56</v>
      </c>
      <c r="P1435" s="18">
        <v>6.2</v>
      </c>
      <c r="Q1435" s="18">
        <v>6.43</v>
      </c>
      <c r="R1435" s="18">
        <v>5.27</v>
      </c>
      <c r="S1435" s="18">
        <v>5.14</v>
      </c>
      <c r="T1435" s="18">
        <v>4.21</v>
      </c>
      <c r="U1435" s="16"/>
      <c r="V1435" s="16"/>
      <c r="W1435" s="16" t="s">
        <v>40</v>
      </c>
      <c r="X1435" s="19">
        <v>1E-3</v>
      </c>
      <c r="Y1435" s="20">
        <v>1.9999999999999999E-6</v>
      </c>
      <c r="Z1435" s="21">
        <v>4601004019843</v>
      </c>
    </row>
    <row r="1436" spans="1:26" ht="12" customHeight="1" outlineLevel="4" x14ac:dyDescent="0.2">
      <c r="A1436" s="14" t="s">
        <v>2826</v>
      </c>
      <c r="B1436" s="26" t="s">
        <v>2827</v>
      </c>
      <c r="C1436" s="52"/>
      <c r="D1436" s="55">
        <f t="shared" si="22"/>
        <v>0</v>
      </c>
      <c r="E1436" s="63" t="str">
        <f>HYPERLINK("https://www.sds-group.ru/product/nakonechnik-vilochnyy-izolirovannyy-8-4-mm-4-6-mm-nvi-6-0-8-zheltyy-rexant-08-0154/", "Инфо")</f>
        <v>Инфо</v>
      </c>
      <c r="F1436" s="16" t="s">
        <v>39</v>
      </c>
      <c r="G1436" s="15"/>
      <c r="H1436" s="15"/>
      <c r="I1436" s="15"/>
      <c r="J1436" s="16" t="s">
        <v>100</v>
      </c>
      <c r="K1436" s="15" t="s">
        <v>1650</v>
      </c>
      <c r="L1436" s="17">
        <v>100</v>
      </c>
      <c r="M1436" s="22">
        <v>7200</v>
      </c>
      <c r="N1436" s="17">
        <v>100</v>
      </c>
      <c r="O1436" s="18">
        <v>14.95</v>
      </c>
      <c r="P1436" s="18">
        <v>12.25</v>
      </c>
      <c r="Q1436" s="18">
        <v>12.71</v>
      </c>
      <c r="R1436" s="18">
        <v>10.42</v>
      </c>
      <c r="S1436" s="18">
        <v>10.17</v>
      </c>
      <c r="T1436" s="18">
        <v>8.34</v>
      </c>
      <c r="U1436" s="16"/>
      <c r="V1436" s="16"/>
      <c r="W1436" s="16" t="s">
        <v>40</v>
      </c>
      <c r="X1436" s="19">
        <v>2E-3</v>
      </c>
      <c r="Y1436" s="20">
        <v>3.0000000000000001E-6</v>
      </c>
      <c r="Z1436" s="21">
        <v>4601004019850</v>
      </c>
    </row>
    <row r="1437" spans="1:26" ht="12" customHeight="1" outlineLevel="4" x14ac:dyDescent="0.2">
      <c r="A1437" s="14" t="s">
        <v>2828</v>
      </c>
      <c r="B1437" s="26" t="s">
        <v>2829</v>
      </c>
      <c r="C1437" s="52"/>
      <c r="D1437" s="55">
        <f t="shared" si="22"/>
        <v>0</v>
      </c>
      <c r="E1437" s="63" t="str">
        <f>HYPERLINK("https://www.sds-group.ru/product/nakonechnik-koltsevoy-izolirovannyy-10-5-mm-0-5-1-5-mm-nki-1-5-10-krasnyy-rexant-08-0017/", "Инфо")</f>
        <v>Инфо</v>
      </c>
      <c r="F1437" s="16" t="s">
        <v>39</v>
      </c>
      <c r="G1437" s="15"/>
      <c r="H1437" s="15"/>
      <c r="I1437" s="15"/>
      <c r="J1437" s="22">
        <v>41500</v>
      </c>
      <c r="K1437" s="15" t="s">
        <v>1665</v>
      </c>
      <c r="L1437" s="17">
        <v>100</v>
      </c>
      <c r="M1437" s="22">
        <v>16000</v>
      </c>
      <c r="N1437" s="17">
        <v>100</v>
      </c>
      <c r="O1437" s="18">
        <v>5.2</v>
      </c>
      <c r="P1437" s="18">
        <v>4.26</v>
      </c>
      <c r="Q1437" s="18">
        <v>4.42</v>
      </c>
      <c r="R1437" s="18">
        <v>3.62</v>
      </c>
      <c r="S1437" s="18">
        <v>3.54</v>
      </c>
      <c r="T1437" s="18">
        <v>2.9</v>
      </c>
      <c r="U1437" s="16"/>
      <c r="V1437" s="16"/>
      <c r="W1437" s="16" t="s">
        <v>40</v>
      </c>
      <c r="X1437" s="19">
        <v>1E-3</v>
      </c>
      <c r="Y1437" s="20">
        <v>3.0000000000000001E-6</v>
      </c>
      <c r="Z1437" s="21">
        <v>4601004019539</v>
      </c>
    </row>
    <row r="1438" spans="1:26" ht="12" customHeight="1" outlineLevel="4" x14ac:dyDescent="0.2">
      <c r="A1438" s="14" t="s">
        <v>2830</v>
      </c>
      <c r="B1438" s="26" t="s">
        <v>2831</v>
      </c>
      <c r="C1438" s="52"/>
      <c r="D1438" s="55">
        <f t="shared" si="22"/>
        <v>0</v>
      </c>
      <c r="E1438" s="63" t="str">
        <f>HYPERLINK("https://www.sds-group.ru/product/nakonechnik-koltsevoy-izolirovannyy-10-5-mm-1-5-2-5-mm-nki-2-5-10-siniy-rexant-08-0037/", "Инфо")</f>
        <v>Инфо</v>
      </c>
      <c r="F1438" s="16" t="s">
        <v>39</v>
      </c>
      <c r="G1438" s="15"/>
      <c r="H1438" s="15"/>
      <c r="I1438" s="15"/>
      <c r="J1438" s="22">
        <v>45400</v>
      </c>
      <c r="K1438" s="15" t="s">
        <v>210</v>
      </c>
      <c r="L1438" s="17">
        <v>100</v>
      </c>
      <c r="M1438" s="22">
        <v>16000</v>
      </c>
      <c r="N1438" s="17">
        <v>100</v>
      </c>
      <c r="O1438" s="18">
        <v>11.01</v>
      </c>
      <c r="P1438" s="18">
        <v>9.02</v>
      </c>
      <c r="Q1438" s="18">
        <v>9.36</v>
      </c>
      <c r="R1438" s="18">
        <v>7.67</v>
      </c>
      <c r="S1438" s="18">
        <v>7.49</v>
      </c>
      <c r="T1438" s="18">
        <v>6.14</v>
      </c>
      <c r="U1438" s="16"/>
      <c r="V1438" s="16"/>
      <c r="W1438" s="16" t="s">
        <v>40</v>
      </c>
      <c r="X1438" s="19">
        <v>1E-3</v>
      </c>
      <c r="Y1438" s="20">
        <v>3.0000000000000001E-6</v>
      </c>
      <c r="Z1438" s="21">
        <v>4601004019584</v>
      </c>
    </row>
    <row r="1439" spans="1:26" ht="12" customHeight="1" outlineLevel="4" x14ac:dyDescent="0.2">
      <c r="A1439" s="14" t="s">
        <v>2832</v>
      </c>
      <c r="B1439" s="26" t="s">
        <v>2833</v>
      </c>
      <c r="C1439" s="52"/>
      <c r="D1439" s="55">
        <f t="shared" si="22"/>
        <v>0</v>
      </c>
      <c r="E1439" s="63" t="str">
        <f>HYPERLINK("https://www.sds-group.ru/product/nakonechnik-koltsevoy-izolirovannyy-10-5-mm-4-6-mm-nki-6-0-10-nki5-5-10-zheltyy-rexant-08-0055/", "Инфо")</f>
        <v>Инфо</v>
      </c>
      <c r="F1439" s="16" t="s">
        <v>39</v>
      </c>
      <c r="G1439" s="15"/>
      <c r="H1439" s="15"/>
      <c r="I1439" s="15"/>
      <c r="J1439" s="22">
        <v>16800</v>
      </c>
      <c r="K1439" s="15" t="s">
        <v>1650</v>
      </c>
      <c r="L1439" s="17">
        <v>100</v>
      </c>
      <c r="M1439" s="22">
        <v>10000</v>
      </c>
      <c r="N1439" s="17">
        <v>100</v>
      </c>
      <c r="O1439" s="18">
        <v>12.02</v>
      </c>
      <c r="P1439" s="18">
        <v>9.85</v>
      </c>
      <c r="Q1439" s="18">
        <v>10.220000000000001</v>
      </c>
      <c r="R1439" s="18">
        <v>8.3800000000000008</v>
      </c>
      <c r="S1439" s="18">
        <v>8.17</v>
      </c>
      <c r="T1439" s="18">
        <v>6.7</v>
      </c>
      <c r="U1439" s="16"/>
      <c r="V1439" s="16"/>
      <c r="W1439" s="16" t="s">
        <v>40</v>
      </c>
      <c r="X1439" s="19">
        <v>1E-3</v>
      </c>
      <c r="Y1439" s="20">
        <v>3.0000000000000001E-6</v>
      </c>
      <c r="Z1439" s="21">
        <v>4601004019645</v>
      </c>
    </row>
    <row r="1440" spans="1:26" ht="12" customHeight="1" outlineLevel="4" x14ac:dyDescent="0.2">
      <c r="A1440" s="14" t="s">
        <v>2834</v>
      </c>
      <c r="B1440" s="26" t="s">
        <v>2835</v>
      </c>
      <c r="C1440" s="52"/>
      <c r="D1440" s="55">
        <f t="shared" si="22"/>
        <v>0</v>
      </c>
      <c r="E1440" s="63" t="str">
        <f>HYPERLINK("https://www.sds-group.ru/product/nakonechnik-koltsevoy-izolirovannyy-3-2-mm-0-5-1-5-mm-nki-1-5-3-nki-1-25-3-krasnyy-rexant-08-0011/", "Инфо")</f>
        <v>Инфо</v>
      </c>
      <c r="F1440" s="16" t="s">
        <v>39</v>
      </c>
      <c r="G1440" s="15"/>
      <c r="H1440" s="15"/>
      <c r="I1440" s="15"/>
      <c r="J1440" s="22">
        <v>106900</v>
      </c>
      <c r="K1440" s="15"/>
      <c r="L1440" s="17">
        <v>500</v>
      </c>
      <c r="M1440" s="22">
        <v>30000</v>
      </c>
      <c r="N1440" s="17">
        <v>500</v>
      </c>
      <c r="O1440" s="18">
        <v>1.73</v>
      </c>
      <c r="P1440" s="18">
        <v>1.42</v>
      </c>
      <c r="Q1440" s="18">
        <v>1.47</v>
      </c>
      <c r="R1440" s="18">
        <v>1.2</v>
      </c>
      <c r="S1440" s="18">
        <v>1.18</v>
      </c>
      <c r="T1440" s="18">
        <v>0.97</v>
      </c>
      <c r="U1440" s="16"/>
      <c r="V1440" s="16"/>
      <c r="W1440" s="16" t="s">
        <v>40</v>
      </c>
      <c r="X1440" s="19">
        <v>0</v>
      </c>
      <c r="Y1440" s="20">
        <v>9.9999999999999995E-7</v>
      </c>
      <c r="Z1440" s="21">
        <v>4660008012083</v>
      </c>
    </row>
    <row r="1441" spans="1:26" ht="12" customHeight="1" outlineLevel="4" x14ac:dyDescent="0.2">
      <c r="A1441" s="14" t="s">
        <v>2836</v>
      </c>
      <c r="B1441" s="26" t="s">
        <v>2837</v>
      </c>
      <c r="C1441" s="52"/>
      <c r="D1441" s="55">
        <f t="shared" si="22"/>
        <v>0</v>
      </c>
      <c r="E1441" s="63" t="str">
        <f>HYPERLINK("https://www.sds-group.ru/product/nakonechnik-koltsevoy-izolirovannyy-3-2-mm-1-5-2-5-mm-nki-2-5-3-nki2-3-siniy-rexant-08-0031/", "Инфо")</f>
        <v>Инфо</v>
      </c>
      <c r="F1441" s="16" t="s">
        <v>39</v>
      </c>
      <c r="G1441" s="15"/>
      <c r="H1441" s="15"/>
      <c r="I1441" s="15"/>
      <c r="J1441" s="16" t="s">
        <v>100</v>
      </c>
      <c r="K1441" s="15" t="s">
        <v>2706</v>
      </c>
      <c r="L1441" s="17">
        <v>100</v>
      </c>
      <c r="M1441" s="22">
        <v>20000</v>
      </c>
      <c r="N1441" s="17">
        <v>100</v>
      </c>
      <c r="O1441" s="18">
        <v>4.75</v>
      </c>
      <c r="P1441" s="18">
        <v>3.89</v>
      </c>
      <c r="Q1441" s="18">
        <v>4.04</v>
      </c>
      <c r="R1441" s="18">
        <v>3.31</v>
      </c>
      <c r="S1441" s="18">
        <v>3.23</v>
      </c>
      <c r="T1441" s="18">
        <v>2.65</v>
      </c>
      <c r="U1441" s="16"/>
      <c r="V1441" s="16"/>
      <c r="W1441" s="16" t="s">
        <v>40</v>
      </c>
      <c r="X1441" s="19">
        <v>1E-3</v>
      </c>
      <c r="Y1441" s="20">
        <v>1.9999999999999999E-6</v>
      </c>
      <c r="Z1441" s="21">
        <v>4660008012090</v>
      </c>
    </row>
    <row r="1442" spans="1:26" ht="12" customHeight="1" outlineLevel="4" x14ac:dyDescent="0.2">
      <c r="A1442" s="14" t="s">
        <v>2838</v>
      </c>
      <c r="B1442" s="26" t="s">
        <v>2839</v>
      </c>
      <c r="C1442" s="52"/>
      <c r="D1442" s="55">
        <f t="shared" si="22"/>
        <v>0</v>
      </c>
      <c r="E1442" s="63" t="str">
        <f>HYPERLINK("https://www.sds-group.ru/product/nakonechnik-koltsevoy-izolirovannyy-3-7-mm-0-5-1-5-mm-nki-1-5-3-5-krasnyy-rexant-08-0012/", "Инфо")</f>
        <v>Инфо</v>
      </c>
      <c r="F1442" s="16" t="s">
        <v>39</v>
      </c>
      <c r="G1442" s="15"/>
      <c r="H1442" s="15"/>
      <c r="I1442" s="15"/>
      <c r="J1442" s="22">
        <v>29400</v>
      </c>
      <c r="K1442" s="15"/>
      <c r="L1442" s="17">
        <v>100</v>
      </c>
      <c r="M1442" s="22">
        <v>30000</v>
      </c>
      <c r="N1442" s="17">
        <v>100</v>
      </c>
      <c r="O1442" s="18">
        <v>4.87</v>
      </c>
      <c r="P1442" s="18">
        <v>3.99</v>
      </c>
      <c r="Q1442" s="18">
        <v>4.1399999999999997</v>
      </c>
      <c r="R1442" s="18">
        <v>3.39</v>
      </c>
      <c r="S1442" s="18">
        <v>3.31</v>
      </c>
      <c r="T1442" s="18">
        <v>2.71</v>
      </c>
      <c r="U1442" s="16"/>
      <c r="V1442" s="16"/>
      <c r="W1442" s="16" t="s">
        <v>40</v>
      </c>
      <c r="X1442" s="19">
        <v>1E-3</v>
      </c>
      <c r="Y1442" s="20">
        <v>9.9999999999999995E-7</v>
      </c>
      <c r="Z1442" s="21">
        <v>4601004019485</v>
      </c>
    </row>
    <row r="1443" spans="1:26" ht="12" customHeight="1" outlineLevel="4" x14ac:dyDescent="0.2">
      <c r="A1443" s="14" t="s">
        <v>2840</v>
      </c>
      <c r="B1443" s="26" t="s">
        <v>2841</v>
      </c>
      <c r="C1443" s="52"/>
      <c r="D1443" s="55">
        <f t="shared" si="22"/>
        <v>0</v>
      </c>
      <c r="E1443" s="63" t="str">
        <f>HYPERLINK("https://www.sds-group.ru/product/nakonechnik-koltsevoy-izolirovannyy-4-3-mm-0-5-1-5-mm-nki-1-5-4-nki-1-25-4-krasnyy-rexant-08-0013/", "Инфо")</f>
        <v>Инфо</v>
      </c>
      <c r="F1443" s="16" t="s">
        <v>39</v>
      </c>
      <c r="G1443" s="15"/>
      <c r="H1443" s="15"/>
      <c r="I1443" s="15"/>
      <c r="J1443" s="22">
        <v>29170</v>
      </c>
      <c r="K1443" s="15" t="s">
        <v>210</v>
      </c>
      <c r="L1443" s="17">
        <v>500</v>
      </c>
      <c r="M1443" s="22">
        <v>24000</v>
      </c>
      <c r="N1443" s="17">
        <v>500</v>
      </c>
      <c r="O1443" s="18">
        <v>2</v>
      </c>
      <c r="P1443" s="18">
        <v>1.64</v>
      </c>
      <c r="Q1443" s="18">
        <v>1.7</v>
      </c>
      <c r="R1443" s="18">
        <v>1.39</v>
      </c>
      <c r="S1443" s="18">
        <v>1.36</v>
      </c>
      <c r="T1443" s="18">
        <v>1.1100000000000001</v>
      </c>
      <c r="U1443" s="16"/>
      <c r="V1443" s="16"/>
      <c r="W1443" s="16" t="s">
        <v>40</v>
      </c>
      <c r="X1443" s="19">
        <v>1E-3</v>
      </c>
      <c r="Y1443" s="20">
        <v>9.9999999999999995E-7</v>
      </c>
      <c r="Z1443" s="21">
        <v>4601004019492</v>
      </c>
    </row>
    <row r="1444" spans="1:26" ht="12" customHeight="1" outlineLevel="4" x14ac:dyDescent="0.2">
      <c r="A1444" s="14" t="s">
        <v>2842</v>
      </c>
      <c r="B1444" s="26" t="s">
        <v>2843</v>
      </c>
      <c r="C1444" s="52"/>
      <c r="D1444" s="55">
        <f t="shared" si="22"/>
        <v>0</v>
      </c>
      <c r="E1444" s="63" t="str">
        <f>HYPERLINK("https://www.sds-group.ru/product/nakonechnik-koltsevoy-izolirovannyy-4-3-mm-0-5-1-5mm-nki-1-5-4-nki-1-25-4-krasnyy-v-upak-1-06-0414-A/", "Инфо")</f>
        <v>Инфо</v>
      </c>
      <c r="F1444" s="16" t="s">
        <v>1001</v>
      </c>
      <c r="G1444" s="15"/>
      <c r="H1444" s="15"/>
      <c r="I1444" s="15"/>
      <c r="J1444" s="17">
        <v>157</v>
      </c>
      <c r="K1444" s="15"/>
      <c r="L1444" s="17">
        <v>10</v>
      </c>
      <c r="M1444" s="17">
        <v>10</v>
      </c>
      <c r="N1444" s="17">
        <v>10</v>
      </c>
      <c r="O1444" s="18">
        <v>133.22999999999999</v>
      </c>
      <c r="P1444" s="18">
        <v>109.2</v>
      </c>
      <c r="Q1444" s="18">
        <v>113.25</v>
      </c>
      <c r="R1444" s="18">
        <v>92.83</v>
      </c>
      <c r="S1444" s="18">
        <v>90.6</v>
      </c>
      <c r="T1444" s="18">
        <v>74.260000000000005</v>
      </c>
      <c r="U1444" s="16"/>
      <c r="V1444" s="16"/>
      <c r="W1444" s="16" t="s">
        <v>40</v>
      </c>
      <c r="X1444" s="19">
        <v>1.2999999999999999E-2</v>
      </c>
      <c r="Y1444" s="20">
        <v>1.5100000000000001E-4</v>
      </c>
      <c r="Z1444" s="21">
        <v>4601004121607</v>
      </c>
    </row>
    <row r="1445" spans="1:26" ht="12" customHeight="1" outlineLevel="4" x14ac:dyDescent="0.2">
      <c r="A1445" s="14" t="s">
        <v>2844</v>
      </c>
      <c r="B1445" s="26" t="s">
        <v>2845</v>
      </c>
      <c r="C1445" s="52"/>
      <c r="D1445" s="55">
        <f t="shared" si="22"/>
        <v>0</v>
      </c>
      <c r="E1445" s="63" t="str">
        <f>HYPERLINK("https://www.sds-group.ru/product/nakonechnik-koltsevoy-izolirovannyy-4-3-mm-1-5-2-5-mm-nki-2-5-4-nki2-4-siniy-rexant-08-0032/", "Инфо")</f>
        <v>Инфо</v>
      </c>
      <c r="F1445" s="16" t="s">
        <v>39</v>
      </c>
      <c r="G1445" s="15"/>
      <c r="H1445" s="15"/>
      <c r="I1445" s="15"/>
      <c r="J1445" s="22">
        <v>3470</v>
      </c>
      <c r="K1445" s="15" t="s">
        <v>1650</v>
      </c>
      <c r="L1445" s="17">
        <v>500</v>
      </c>
      <c r="M1445" s="22">
        <v>30000</v>
      </c>
      <c r="N1445" s="17">
        <v>500</v>
      </c>
      <c r="O1445" s="18">
        <v>3.37</v>
      </c>
      <c r="P1445" s="18">
        <v>2.76</v>
      </c>
      <c r="Q1445" s="18">
        <v>2.86</v>
      </c>
      <c r="R1445" s="18">
        <v>2.34</v>
      </c>
      <c r="S1445" s="18">
        <v>2.29</v>
      </c>
      <c r="T1445" s="18">
        <v>1.88</v>
      </c>
      <c r="U1445" s="16"/>
      <c r="V1445" s="16"/>
      <c r="W1445" s="16" t="s">
        <v>40</v>
      </c>
      <c r="X1445" s="19">
        <v>1E-3</v>
      </c>
      <c r="Y1445" s="20">
        <v>9.9999999999999995E-7</v>
      </c>
      <c r="Z1445" s="21">
        <v>4601004019546</v>
      </c>
    </row>
    <row r="1446" spans="1:26" ht="12" customHeight="1" outlineLevel="4" x14ac:dyDescent="0.2">
      <c r="A1446" s="14" t="s">
        <v>2846</v>
      </c>
      <c r="B1446" s="26" t="s">
        <v>2847</v>
      </c>
      <c r="C1446" s="52"/>
      <c r="D1446" s="55">
        <f t="shared" si="22"/>
        <v>0</v>
      </c>
      <c r="E1446" s="63" t="str">
        <f>HYPERLINK("https://www.sds-group.ru/product/nakonechnik-koltsevoy-izolirovannyy-4-3-mm-1-5-2-5mm-nki-2-5-4-nki2-4-siniy-v-upak-10-sht--06-0418-A/", "Инфо")</f>
        <v>Инфо</v>
      </c>
      <c r="F1446" s="16" t="s">
        <v>1001</v>
      </c>
      <c r="G1446" s="15"/>
      <c r="H1446" s="15"/>
      <c r="I1446" s="15"/>
      <c r="J1446" s="17">
        <v>170</v>
      </c>
      <c r="K1446" s="15"/>
      <c r="L1446" s="17">
        <v>10</v>
      </c>
      <c r="M1446" s="17">
        <v>10</v>
      </c>
      <c r="N1446" s="17">
        <v>10</v>
      </c>
      <c r="O1446" s="18">
        <v>135.56</v>
      </c>
      <c r="P1446" s="18">
        <v>111.11</v>
      </c>
      <c r="Q1446" s="18">
        <v>115.23</v>
      </c>
      <c r="R1446" s="18">
        <v>94.45</v>
      </c>
      <c r="S1446" s="18">
        <v>92.18</v>
      </c>
      <c r="T1446" s="18">
        <v>75.56</v>
      </c>
      <c r="U1446" s="16"/>
      <c r="V1446" s="16"/>
      <c r="W1446" s="16" t="s">
        <v>40</v>
      </c>
      <c r="X1446" s="19">
        <v>1.4E-2</v>
      </c>
      <c r="Y1446" s="20">
        <v>1.5100000000000001E-4</v>
      </c>
      <c r="Z1446" s="21">
        <v>4601004121645</v>
      </c>
    </row>
    <row r="1447" spans="1:26" ht="12" customHeight="1" outlineLevel="4" x14ac:dyDescent="0.2">
      <c r="A1447" s="14" t="s">
        <v>2848</v>
      </c>
      <c r="B1447" s="26" t="s">
        <v>2849</v>
      </c>
      <c r="C1447" s="52"/>
      <c r="D1447" s="55">
        <f t="shared" si="22"/>
        <v>0</v>
      </c>
      <c r="E1447" s="63" t="str">
        <f>HYPERLINK("https://www.sds-group.ru/product/nakonechnik-koltsevoy-izolirovannyy-4-3-mm-4-6-mm-nki-6-0-4-nki5-5-4-zheltyy-rexant-08-0051/", "Инфо")</f>
        <v>Инфо</v>
      </c>
      <c r="F1447" s="16" t="s">
        <v>39</v>
      </c>
      <c r="G1447" s="15"/>
      <c r="H1447" s="15"/>
      <c r="I1447" s="15"/>
      <c r="J1447" s="16" t="s">
        <v>100</v>
      </c>
      <c r="K1447" s="15" t="s">
        <v>2706</v>
      </c>
      <c r="L1447" s="17">
        <v>100</v>
      </c>
      <c r="M1447" s="22">
        <v>16000</v>
      </c>
      <c r="N1447" s="17">
        <v>100</v>
      </c>
      <c r="O1447" s="18">
        <v>6.33</v>
      </c>
      <c r="P1447" s="18">
        <v>5.19</v>
      </c>
      <c r="Q1447" s="18">
        <v>5.38</v>
      </c>
      <c r="R1447" s="18">
        <v>4.41</v>
      </c>
      <c r="S1447" s="18">
        <v>4.3</v>
      </c>
      <c r="T1447" s="18">
        <v>3.52</v>
      </c>
      <c r="U1447" s="16"/>
      <c r="V1447" s="16"/>
      <c r="W1447" s="16" t="s">
        <v>40</v>
      </c>
      <c r="X1447" s="19">
        <v>1E-3</v>
      </c>
      <c r="Y1447" s="20">
        <v>3.0000000000000001E-6</v>
      </c>
      <c r="Z1447" s="21">
        <v>4660008012106</v>
      </c>
    </row>
    <row r="1448" spans="1:26" ht="12" customHeight="1" outlineLevel="4" x14ac:dyDescent="0.2">
      <c r="A1448" s="14" t="s">
        <v>2850</v>
      </c>
      <c r="B1448" s="26" t="s">
        <v>2851</v>
      </c>
      <c r="C1448" s="52"/>
      <c r="D1448" s="55">
        <f t="shared" si="22"/>
        <v>0</v>
      </c>
      <c r="E1448" s="63" t="str">
        <f>HYPERLINK("https://www.sds-group.ru/product/nakonechnik-koltsevoy-izolirovannyy-5-3-mm-0-5-1-5-mm-nki-1-5-5-nki-1-25-5-krasnyy-rexant-08-0014/", "Инфо")</f>
        <v>Инфо</v>
      </c>
      <c r="F1448" s="16" t="s">
        <v>39</v>
      </c>
      <c r="G1448" s="15"/>
      <c r="H1448" s="15"/>
      <c r="I1448" s="15"/>
      <c r="J1448" s="16" t="s">
        <v>100</v>
      </c>
      <c r="K1448" s="15" t="s">
        <v>1650</v>
      </c>
      <c r="L1448" s="17">
        <v>500</v>
      </c>
      <c r="M1448" s="22">
        <v>20000</v>
      </c>
      <c r="N1448" s="17">
        <v>500</v>
      </c>
      <c r="O1448" s="18">
        <v>3.1</v>
      </c>
      <c r="P1448" s="18">
        <v>2.54</v>
      </c>
      <c r="Q1448" s="18">
        <v>2.64</v>
      </c>
      <c r="R1448" s="18">
        <v>2.16</v>
      </c>
      <c r="S1448" s="18">
        <v>2.11</v>
      </c>
      <c r="T1448" s="18">
        <v>1.73</v>
      </c>
      <c r="U1448" s="16"/>
      <c r="V1448" s="16"/>
      <c r="W1448" s="16" t="s">
        <v>40</v>
      </c>
      <c r="X1448" s="19">
        <v>1E-3</v>
      </c>
      <c r="Y1448" s="20">
        <v>1.9999999999999999E-6</v>
      </c>
      <c r="Z1448" s="21">
        <v>4601004019508</v>
      </c>
    </row>
    <row r="1449" spans="1:26" ht="12" customHeight="1" outlineLevel="4" x14ac:dyDescent="0.2">
      <c r="A1449" s="14" t="s">
        <v>2852</v>
      </c>
      <c r="B1449" s="26" t="s">
        <v>2853</v>
      </c>
      <c r="C1449" s="52"/>
      <c r="D1449" s="55">
        <f t="shared" si="22"/>
        <v>0</v>
      </c>
      <c r="E1449" s="63" t="str">
        <f>HYPERLINK("https://www.sds-group.ru/product/nakonechnik-koltsevoy-izolirovannyy-5-3-mm-1-5-2-5-mm-nki-2-5-5-nki2-5-siniy-rexant-08-0034/", "Инфо")</f>
        <v>Инфо</v>
      </c>
      <c r="F1449" s="16" t="s">
        <v>39</v>
      </c>
      <c r="G1449" s="15"/>
      <c r="H1449" s="15"/>
      <c r="I1449" s="15"/>
      <c r="J1449" s="22">
        <v>52100</v>
      </c>
      <c r="K1449" s="15" t="s">
        <v>210</v>
      </c>
      <c r="L1449" s="17">
        <v>500</v>
      </c>
      <c r="M1449" s="22">
        <v>20000</v>
      </c>
      <c r="N1449" s="17">
        <v>500</v>
      </c>
      <c r="O1449" s="18">
        <v>3.19</v>
      </c>
      <c r="P1449" s="18">
        <v>2.61</v>
      </c>
      <c r="Q1449" s="18">
        <v>2.71</v>
      </c>
      <c r="R1449" s="18">
        <v>2.2200000000000002</v>
      </c>
      <c r="S1449" s="18">
        <v>2.17</v>
      </c>
      <c r="T1449" s="18">
        <v>1.78</v>
      </c>
      <c r="U1449" s="16"/>
      <c r="V1449" s="16"/>
      <c r="W1449" s="16" t="s">
        <v>40</v>
      </c>
      <c r="X1449" s="19">
        <v>1E-3</v>
      </c>
      <c r="Y1449" s="20">
        <v>1.9999999999999999E-6</v>
      </c>
      <c r="Z1449" s="21">
        <v>4601004019553</v>
      </c>
    </row>
    <row r="1450" spans="1:26" ht="12" customHeight="1" outlineLevel="4" x14ac:dyDescent="0.2">
      <c r="A1450" s="14" t="s">
        <v>2854</v>
      </c>
      <c r="B1450" s="26" t="s">
        <v>2855</v>
      </c>
      <c r="C1450" s="52"/>
      <c r="D1450" s="55">
        <f t="shared" si="22"/>
        <v>0</v>
      </c>
      <c r="E1450" s="63" t="str">
        <f>HYPERLINK("https://www.sds-group.ru/product/nakonechnik-koltsevoy-izolirovannyy-5-3-mm-1-5-2-5mm-nki-2-5-5-nki2-5-siniy-v-upak-10-sht--06-0419-A/", "Инфо")</f>
        <v>Инфо</v>
      </c>
      <c r="F1450" s="16" t="s">
        <v>1001</v>
      </c>
      <c r="G1450" s="15"/>
      <c r="H1450" s="15"/>
      <c r="I1450" s="15"/>
      <c r="J1450" s="17">
        <v>205</v>
      </c>
      <c r="K1450" s="15"/>
      <c r="L1450" s="17">
        <v>10</v>
      </c>
      <c r="M1450" s="17">
        <v>10</v>
      </c>
      <c r="N1450" s="17">
        <v>10</v>
      </c>
      <c r="O1450" s="18">
        <v>149.63999999999999</v>
      </c>
      <c r="P1450" s="18">
        <v>122.66</v>
      </c>
      <c r="Q1450" s="18">
        <v>127.19</v>
      </c>
      <c r="R1450" s="18">
        <v>104.25</v>
      </c>
      <c r="S1450" s="18">
        <v>101.76</v>
      </c>
      <c r="T1450" s="18">
        <v>83.41</v>
      </c>
      <c r="U1450" s="16"/>
      <c r="V1450" s="16"/>
      <c r="W1450" s="16" t="s">
        <v>40</v>
      </c>
      <c r="X1450" s="19">
        <v>1.2999999999999999E-2</v>
      </c>
      <c r="Y1450" s="20">
        <v>1.4300000000000001E-4</v>
      </c>
      <c r="Z1450" s="21">
        <v>4601004121652</v>
      </c>
    </row>
    <row r="1451" spans="1:26" ht="12" customHeight="1" outlineLevel="4" x14ac:dyDescent="0.2">
      <c r="A1451" s="14" t="s">
        <v>2856</v>
      </c>
      <c r="B1451" s="26" t="s">
        <v>2857</v>
      </c>
      <c r="C1451" s="52"/>
      <c r="D1451" s="55">
        <f t="shared" si="22"/>
        <v>0</v>
      </c>
      <c r="E1451" s="63" t="str">
        <f>HYPERLINK("https://www.sds-group.ru/product/nakonechnik-koltsevoy-izolirovannyy-5-3-mm-4-6-mm-nki-6-0-5-nki5-5-5-zheltyy-rexant-08-0052/", "Инфо")</f>
        <v>Инфо</v>
      </c>
      <c r="F1451" s="16" t="s">
        <v>39</v>
      </c>
      <c r="G1451" s="15"/>
      <c r="H1451" s="15"/>
      <c r="I1451" s="15"/>
      <c r="J1451" s="22">
        <v>31770</v>
      </c>
      <c r="K1451" s="15" t="s">
        <v>1650</v>
      </c>
      <c r="L1451" s="17">
        <v>100</v>
      </c>
      <c r="M1451" s="22">
        <v>16000</v>
      </c>
      <c r="N1451" s="17">
        <v>100</v>
      </c>
      <c r="O1451" s="18">
        <v>7.24</v>
      </c>
      <c r="P1451" s="18">
        <v>5.93</v>
      </c>
      <c r="Q1451" s="18">
        <v>6.15</v>
      </c>
      <c r="R1451" s="18">
        <v>5.04</v>
      </c>
      <c r="S1451" s="18">
        <v>4.92</v>
      </c>
      <c r="T1451" s="18">
        <v>4.03</v>
      </c>
      <c r="U1451" s="16"/>
      <c r="V1451" s="16"/>
      <c r="W1451" s="16" t="s">
        <v>40</v>
      </c>
      <c r="X1451" s="19">
        <v>1E-3</v>
      </c>
      <c r="Y1451" s="20">
        <v>1.9999999999999999E-6</v>
      </c>
      <c r="Z1451" s="21">
        <v>4601004019614</v>
      </c>
    </row>
    <row r="1452" spans="1:26" ht="12" customHeight="1" outlineLevel="4" x14ac:dyDescent="0.2">
      <c r="A1452" s="14" t="s">
        <v>2858</v>
      </c>
      <c r="B1452" s="26" t="s">
        <v>2859</v>
      </c>
      <c r="C1452" s="52"/>
      <c r="D1452" s="55">
        <f t="shared" si="22"/>
        <v>0</v>
      </c>
      <c r="E1452" s="63" t="str">
        <f>HYPERLINK("https://www.sds-group.ru/product/nakonechnik-koltsevoy-izolirovannyy-6-5-mm-0-5-1-5-mm-nki-1-5-6-nki-1-25-6-krasnyy-rexant-08-0015/", "Инфо")</f>
        <v>Инфо</v>
      </c>
      <c r="F1452" s="16" t="s">
        <v>39</v>
      </c>
      <c r="G1452" s="15"/>
      <c r="H1452" s="15"/>
      <c r="I1452" s="15"/>
      <c r="J1452" s="22">
        <v>5400</v>
      </c>
      <c r="K1452" s="15" t="s">
        <v>1650</v>
      </c>
      <c r="L1452" s="17">
        <v>100</v>
      </c>
      <c r="M1452" s="22">
        <v>20000</v>
      </c>
      <c r="N1452" s="17">
        <v>100</v>
      </c>
      <c r="O1452" s="18">
        <v>4.4000000000000004</v>
      </c>
      <c r="P1452" s="18">
        <v>3.61</v>
      </c>
      <c r="Q1452" s="18">
        <v>3.74</v>
      </c>
      <c r="R1452" s="18">
        <v>3.07</v>
      </c>
      <c r="S1452" s="18">
        <v>2.99</v>
      </c>
      <c r="T1452" s="18">
        <v>2.4500000000000002</v>
      </c>
      <c r="U1452" s="16"/>
      <c r="V1452" s="16"/>
      <c r="W1452" s="16" t="s">
        <v>40</v>
      </c>
      <c r="X1452" s="19">
        <v>1E-3</v>
      </c>
      <c r="Y1452" s="20">
        <v>1.9999999999999999E-6</v>
      </c>
      <c r="Z1452" s="21">
        <v>4601004019515</v>
      </c>
    </row>
    <row r="1453" spans="1:26" ht="12" customHeight="1" outlineLevel="4" x14ac:dyDescent="0.2">
      <c r="A1453" s="14" t="s">
        <v>2860</v>
      </c>
      <c r="B1453" s="26" t="s">
        <v>2861</v>
      </c>
      <c r="C1453" s="52"/>
      <c r="D1453" s="55">
        <f t="shared" si="22"/>
        <v>0</v>
      </c>
      <c r="E1453" s="63" t="str">
        <f>HYPERLINK("https://www.sds-group.ru/product/nakonechnik-koltsevoy-izolirovannyy-6-5-mm-0-5-1-5-mm-nki-1-5-6-nki-1-25-6-krasnyy-v-upak--06-0415-A/", "Инфо")</f>
        <v>Инфо</v>
      </c>
      <c r="F1453" s="16" t="s">
        <v>1001</v>
      </c>
      <c r="G1453" s="15"/>
      <c r="H1453" s="15"/>
      <c r="I1453" s="15"/>
      <c r="J1453" s="16" t="s">
        <v>100</v>
      </c>
      <c r="K1453" s="15"/>
      <c r="L1453" s="17">
        <v>10</v>
      </c>
      <c r="M1453" s="17">
        <v>10</v>
      </c>
      <c r="N1453" s="17">
        <v>10</v>
      </c>
      <c r="O1453" s="18">
        <v>166.04</v>
      </c>
      <c r="P1453" s="18">
        <v>136.1</v>
      </c>
      <c r="Q1453" s="18">
        <v>141.13</v>
      </c>
      <c r="R1453" s="18">
        <v>115.68</v>
      </c>
      <c r="S1453" s="18">
        <v>112.91</v>
      </c>
      <c r="T1453" s="18">
        <v>92.55</v>
      </c>
      <c r="U1453" s="16"/>
      <c r="V1453" s="16"/>
      <c r="W1453" s="16" t="s">
        <v>40</v>
      </c>
      <c r="X1453" s="19">
        <v>1.4E-2</v>
      </c>
      <c r="Y1453" s="20">
        <v>1.54E-4</v>
      </c>
      <c r="Z1453" s="21">
        <v>4601004121614</v>
      </c>
    </row>
    <row r="1454" spans="1:26" ht="12" customHeight="1" outlineLevel="4" x14ac:dyDescent="0.2">
      <c r="A1454" s="14" t="s">
        <v>2862</v>
      </c>
      <c r="B1454" s="26" t="s">
        <v>2863</v>
      </c>
      <c r="C1454" s="52"/>
      <c r="D1454" s="55">
        <f t="shared" si="22"/>
        <v>0</v>
      </c>
      <c r="E1454" s="63" t="str">
        <f>HYPERLINK("https://www.sds-group.ru/product/nakonechnik-koltsevoy-izolirovannyy-6-5-mm-1-5-2-5-mm-nki-2-5-6-nki2-6-siniy-rexant-08-0035/", "Инфо")</f>
        <v>Инфо</v>
      </c>
      <c r="F1454" s="16" t="s">
        <v>39</v>
      </c>
      <c r="G1454" s="15"/>
      <c r="H1454" s="15"/>
      <c r="I1454" s="15"/>
      <c r="J1454" s="16" t="s">
        <v>100</v>
      </c>
      <c r="K1454" s="15" t="s">
        <v>1650</v>
      </c>
      <c r="L1454" s="17">
        <v>100</v>
      </c>
      <c r="M1454" s="22">
        <v>20000</v>
      </c>
      <c r="N1454" s="17">
        <v>100</v>
      </c>
      <c r="O1454" s="18">
        <v>4.75</v>
      </c>
      <c r="P1454" s="18">
        <v>3.89</v>
      </c>
      <c r="Q1454" s="18">
        <v>4.04</v>
      </c>
      <c r="R1454" s="18">
        <v>3.31</v>
      </c>
      <c r="S1454" s="18">
        <v>3.23</v>
      </c>
      <c r="T1454" s="18">
        <v>2.65</v>
      </c>
      <c r="U1454" s="16"/>
      <c r="V1454" s="16"/>
      <c r="W1454" s="16" t="s">
        <v>40</v>
      </c>
      <c r="X1454" s="19">
        <v>1E-3</v>
      </c>
      <c r="Y1454" s="20">
        <v>1.9999999999999999E-6</v>
      </c>
      <c r="Z1454" s="21">
        <v>4601004019560</v>
      </c>
    </row>
    <row r="1455" spans="1:26" ht="12" customHeight="1" outlineLevel="4" x14ac:dyDescent="0.2">
      <c r="A1455" s="14" t="s">
        <v>2864</v>
      </c>
      <c r="B1455" s="26" t="s">
        <v>2865</v>
      </c>
      <c r="C1455" s="52"/>
      <c r="D1455" s="55">
        <f t="shared" si="22"/>
        <v>0</v>
      </c>
      <c r="E1455" s="63" t="str">
        <f>HYPERLINK("https://www.sds-group.ru/product/nakonechnik-koltsevoy-izolirovannyy-6-5-mm-4-6-mm-nki-6-0-6-nki5-5-6-zheltyy-rexant-08-0053/", "Инфо")</f>
        <v>Инфо</v>
      </c>
      <c r="F1455" s="16" t="s">
        <v>39</v>
      </c>
      <c r="G1455" s="15"/>
      <c r="H1455" s="15"/>
      <c r="I1455" s="15"/>
      <c r="J1455" s="22">
        <v>38308</v>
      </c>
      <c r="K1455" s="15" t="s">
        <v>210</v>
      </c>
      <c r="L1455" s="17">
        <v>100</v>
      </c>
      <c r="M1455" s="22">
        <v>12000</v>
      </c>
      <c r="N1455" s="17">
        <v>100</v>
      </c>
      <c r="O1455" s="18">
        <v>7.43</v>
      </c>
      <c r="P1455" s="18">
        <v>6.09</v>
      </c>
      <c r="Q1455" s="18">
        <v>6.32</v>
      </c>
      <c r="R1455" s="18">
        <v>5.18</v>
      </c>
      <c r="S1455" s="18">
        <v>5.05</v>
      </c>
      <c r="T1455" s="18">
        <v>4.1399999999999997</v>
      </c>
      <c r="U1455" s="16"/>
      <c r="V1455" s="16"/>
      <c r="W1455" s="16" t="s">
        <v>40</v>
      </c>
      <c r="X1455" s="19">
        <v>1E-3</v>
      </c>
      <c r="Y1455" s="20">
        <v>3.0000000000000001E-6</v>
      </c>
      <c r="Z1455" s="21">
        <v>4601004019621</v>
      </c>
    </row>
    <row r="1456" spans="1:26" ht="12" customHeight="1" outlineLevel="4" x14ac:dyDescent="0.2">
      <c r="A1456" s="14" t="s">
        <v>2866</v>
      </c>
      <c r="B1456" s="26" t="s">
        <v>2867</v>
      </c>
      <c r="C1456" s="52"/>
      <c r="D1456" s="55">
        <f t="shared" si="22"/>
        <v>0</v>
      </c>
      <c r="E1456" s="63" t="str">
        <f>HYPERLINK("https://www.sds-group.ru/product/nakonechnik-koltsevoy-izolirovannyy-6-5-mm-4-6-mm-nki-6-0-6-nki5-5-6-zheltyy-v-upak-10-sht-06-0422-A/", "Инфо")</f>
        <v>Инфо</v>
      </c>
      <c r="F1456" s="16" t="s">
        <v>1001</v>
      </c>
      <c r="G1456" s="15"/>
      <c r="H1456" s="15"/>
      <c r="I1456" s="15"/>
      <c r="J1456" s="17">
        <v>380</v>
      </c>
      <c r="K1456" s="15"/>
      <c r="L1456" s="17">
        <v>10</v>
      </c>
      <c r="M1456" s="17">
        <v>10</v>
      </c>
      <c r="N1456" s="17">
        <v>10</v>
      </c>
      <c r="O1456" s="18">
        <v>256.82</v>
      </c>
      <c r="P1456" s="18">
        <v>210.51</v>
      </c>
      <c r="Q1456" s="18">
        <v>218.3</v>
      </c>
      <c r="R1456" s="18">
        <v>178.93</v>
      </c>
      <c r="S1456" s="18">
        <v>174.64</v>
      </c>
      <c r="T1456" s="18">
        <v>143.15</v>
      </c>
      <c r="U1456" s="16"/>
      <c r="V1456" s="16"/>
      <c r="W1456" s="16" t="s">
        <v>40</v>
      </c>
      <c r="X1456" s="19">
        <v>1.9E-2</v>
      </c>
      <c r="Y1456" s="20">
        <v>1.4799999999999999E-4</v>
      </c>
      <c r="Z1456" s="21">
        <v>4601004121683</v>
      </c>
    </row>
    <row r="1457" spans="1:26" ht="12" customHeight="1" outlineLevel="4" x14ac:dyDescent="0.2">
      <c r="A1457" s="14" t="s">
        <v>2868</v>
      </c>
      <c r="B1457" s="26" t="s">
        <v>2869</v>
      </c>
      <c r="C1457" s="52"/>
      <c r="D1457" s="55">
        <f t="shared" si="22"/>
        <v>0</v>
      </c>
      <c r="E1457" s="63" t="str">
        <f>HYPERLINK("https://www.sds-group.ru/product/nakonechnik-koltsevoy-izolirovannyy-6-5mm-1-5-2-5mm-nki-2-5-6-nki2-6-siniy-v-upak-10-sht-r-06-0420-A/", "Инфо")</f>
        <v>Инфо</v>
      </c>
      <c r="F1457" s="16" t="s">
        <v>1001</v>
      </c>
      <c r="G1457" s="15"/>
      <c r="H1457" s="15"/>
      <c r="I1457" s="15"/>
      <c r="J1457" s="17">
        <v>417</v>
      </c>
      <c r="K1457" s="15"/>
      <c r="L1457" s="17">
        <v>10</v>
      </c>
      <c r="M1457" s="17">
        <v>10</v>
      </c>
      <c r="N1457" s="17">
        <v>10</v>
      </c>
      <c r="O1457" s="18">
        <v>149.58000000000001</v>
      </c>
      <c r="P1457" s="18">
        <v>122.61</v>
      </c>
      <c r="Q1457" s="18">
        <v>127.14</v>
      </c>
      <c r="R1457" s="18">
        <v>104.21</v>
      </c>
      <c r="S1457" s="18">
        <v>101.71</v>
      </c>
      <c r="T1457" s="18">
        <v>83.37</v>
      </c>
      <c r="U1457" s="16"/>
      <c r="V1457" s="16"/>
      <c r="W1457" s="16" t="s">
        <v>40</v>
      </c>
      <c r="X1457" s="19">
        <v>1.4E-2</v>
      </c>
      <c r="Y1457" s="20">
        <v>1.2E-4</v>
      </c>
      <c r="Z1457" s="21">
        <v>4601004121669</v>
      </c>
    </row>
    <row r="1458" spans="1:26" ht="12" customHeight="1" outlineLevel="4" x14ac:dyDescent="0.2">
      <c r="A1458" s="14" t="s">
        <v>2870</v>
      </c>
      <c r="B1458" s="26" t="s">
        <v>2871</v>
      </c>
      <c r="C1458" s="52"/>
      <c r="D1458" s="55">
        <f t="shared" si="22"/>
        <v>0</v>
      </c>
      <c r="E1458" s="63" t="str">
        <f>HYPERLINK("https://www.sds-group.ru/product/nakonechnik-koltsevoy-izolirovannyy-8-4-mm-0-5-1-5-mm-nki-1-5-8-nki-1-25-8-krasnyy-rexant-08-0016/", "Инфо")</f>
        <v>Инфо</v>
      </c>
      <c r="F1458" s="16" t="s">
        <v>39</v>
      </c>
      <c r="G1458" s="15"/>
      <c r="H1458" s="15"/>
      <c r="I1458" s="15"/>
      <c r="J1458" s="16" t="s">
        <v>100</v>
      </c>
      <c r="K1458" s="15" t="s">
        <v>1650</v>
      </c>
      <c r="L1458" s="17">
        <v>100</v>
      </c>
      <c r="M1458" s="22">
        <v>20000</v>
      </c>
      <c r="N1458" s="17">
        <v>100</v>
      </c>
      <c r="O1458" s="18">
        <v>7.48</v>
      </c>
      <c r="P1458" s="18">
        <v>6.13</v>
      </c>
      <c r="Q1458" s="18">
        <v>6.36</v>
      </c>
      <c r="R1458" s="18">
        <v>5.21</v>
      </c>
      <c r="S1458" s="18">
        <v>5.09</v>
      </c>
      <c r="T1458" s="18">
        <v>4.17</v>
      </c>
      <c r="U1458" s="16"/>
      <c r="V1458" s="16"/>
      <c r="W1458" s="16" t="s">
        <v>40</v>
      </c>
      <c r="X1458" s="19">
        <v>1E-3</v>
      </c>
      <c r="Y1458" s="20">
        <v>1.9999999999999999E-6</v>
      </c>
      <c r="Z1458" s="21">
        <v>4601004019522</v>
      </c>
    </row>
    <row r="1459" spans="1:26" ht="12" customHeight="1" outlineLevel="4" x14ac:dyDescent="0.2">
      <c r="A1459" s="14" t="s">
        <v>2872</v>
      </c>
      <c r="B1459" s="26" t="s">
        <v>2873</v>
      </c>
      <c r="C1459" s="52"/>
      <c r="D1459" s="55">
        <f t="shared" si="22"/>
        <v>0</v>
      </c>
      <c r="E1459" s="63" t="str">
        <f>HYPERLINK("https://www.sds-group.ru/product/nakonechnik-koltsevoy-izolirovannyy-8-4-mm-0-5-1-5mm-nki-1-5-8-nki-1-25-8-krasnyy-v-upak-1-06-0416-A/", "Инфо")</f>
        <v>Инфо</v>
      </c>
      <c r="F1459" s="16" t="s">
        <v>1001</v>
      </c>
      <c r="G1459" s="15"/>
      <c r="H1459" s="15"/>
      <c r="I1459" s="15"/>
      <c r="J1459" s="17">
        <v>649</v>
      </c>
      <c r="K1459" s="15"/>
      <c r="L1459" s="17">
        <v>10</v>
      </c>
      <c r="M1459" s="17">
        <v>10</v>
      </c>
      <c r="N1459" s="17">
        <v>10</v>
      </c>
      <c r="O1459" s="18">
        <v>110.49</v>
      </c>
      <c r="P1459" s="18">
        <v>90.57</v>
      </c>
      <c r="Q1459" s="18">
        <v>93.92</v>
      </c>
      <c r="R1459" s="18">
        <v>76.98</v>
      </c>
      <c r="S1459" s="18">
        <v>75.13</v>
      </c>
      <c r="T1459" s="18">
        <v>61.58</v>
      </c>
      <c r="U1459" s="16"/>
      <c r="V1459" s="16"/>
      <c r="W1459" s="16" t="s">
        <v>40</v>
      </c>
      <c r="X1459" s="19">
        <v>1.4999999999999999E-2</v>
      </c>
      <c r="Y1459" s="20">
        <v>1.6000000000000001E-4</v>
      </c>
      <c r="Z1459" s="21">
        <v>4601004121621</v>
      </c>
    </row>
    <row r="1460" spans="1:26" ht="12" customHeight="1" outlineLevel="4" x14ac:dyDescent="0.2">
      <c r="A1460" s="14" t="s">
        <v>2874</v>
      </c>
      <c r="B1460" s="26" t="s">
        <v>2875</v>
      </c>
      <c r="C1460" s="52"/>
      <c r="D1460" s="55">
        <f t="shared" si="22"/>
        <v>0</v>
      </c>
      <c r="E1460" s="63" t="str">
        <f>HYPERLINK("https://www.sds-group.ru/product/nakonechnik-koltsevoy-izolirovannyy-8-4-mm-1-5-2-5-mm-nki-2-5-8-nki2-8-siniy-rexant-08-0036/", "Инфо")</f>
        <v>Инфо</v>
      </c>
      <c r="F1460" s="16" t="s">
        <v>39</v>
      </c>
      <c r="G1460" s="15"/>
      <c r="H1460" s="15"/>
      <c r="I1460" s="15"/>
      <c r="J1460" s="16" t="s">
        <v>100</v>
      </c>
      <c r="K1460" s="15" t="s">
        <v>1650</v>
      </c>
      <c r="L1460" s="17">
        <v>100</v>
      </c>
      <c r="M1460" s="22">
        <v>20000</v>
      </c>
      <c r="N1460" s="17">
        <v>100</v>
      </c>
      <c r="O1460" s="18">
        <v>6.23</v>
      </c>
      <c r="P1460" s="18">
        <v>5.1100000000000003</v>
      </c>
      <c r="Q1460" s="18">
        <v>5.3</v>
      </c>
      <c r="R1460" s="18">
        <v>4.34</v>
      </c>
      <c r="S1460" s="18">
        <v>4.24</v>
      </c>
      <c r="T1460" s="18">
        <v>3.48</v>
      </c>
      <c r="U1460" s="16"/>
      <c r="V1460" s="16"/>
      <c r="W1460" s="16" t="s">
        <v>40</v>
      </c>
      <c r="X1460" s="19">
        <v>1E-3</v>
      </c>
      <c r="Y1460" s="20">
        <v>1.9999999999999999E-6</v>
      </c>
      <c r="Z1460" s="21">
        <v>4601004019577</v>
      </c>
    </row>
    <row r="1461" spans="1:26" ht="12" customHeight="1" outlineLevel="4" x14ac:dyDescent="0.2">
      <c r="A1461" s="14" t="s">
        <v>2876</v>
      </c>
      <c r="B1461" s="26" t="s">
        <v>2877</v>
      </c>
      <c r="C1461" s="52"/>
      <c r="D1461" s="55">
        <f t="shared" si="22"/>
        <v>0</v>
      </c>
      <c r="E1461" s="63" t="str">
        <f>HYPERLINK("https://www.sds-group.ru/product/nakonechnik-koltsevoy-izolirovannyy-8-4-mm-1-5-2-5mm-nki-2-5-8-nki2-8-siniy-v-upak-10-sht--06-0421-A/", "Инфо")</f>
        <v>Инфо</v>
      </c>
      <c r="F1461" s="16" t="s">
        <v>1001</v>
      </c>
      <c r="G1461" s="15"/>
      <c r="H1461" s="15"/>
      <c r="I1461" s="15"/>
      <c r="J1461" s="17">
        <v>63</v>
      </c>
      <c r="K1461" s="15"/>
      <c r="L1461" s="17">
        <v>10</v>
      </c>
      <c r="M1461" s="17">
        <v>10</v>
      </c>
      <c r="N1461" s="17">
        <v>10</v>
      </c>
      <c r="O1461" s="18">
        <v>158.53</v>
      </c>
      <c r="P1461" s="18">
        <v>129.94</v>
      </c>
      <c r="Q1461" s="18">
        <v>134.75</v>
      </c>
      <c r="R1461" s="18">
        <v>110.45</v>
      </c>
      <c r="S1461" s="18">
        <v>107.8</v>
      </c>
      <c r="T1461" s="18">
        <v>88.36</v>
      </c>
      <c r="U1461" s="16"/>
      <c r="V1461" s="16"/>
      <c r="W1461" s="16" t="s">
        <v>40</v>
      </c>
      <c r="X1461" s="19">
        <v>1.4E-2</v>
      </c>
      <c r="Y1461" s="20">
        <v>1.4300000000000001E-4</v>
      </c>
      <c r="Z1461" s="21">
        <v>4601004121676</v>
      </c>
    </row>
    <row r="1462" spans="1:26" ht="12" customHeight="1" outlineLevel="4" x14ac:dyDescent="0.2">
      <c r="A1462" s="14" t="s">
        <v>2878</v>
      </c>
      <c r="B1462" s="26" t="s">
        <v>2879</v>
      </c>
      <c r="C1462" s="52"/>
      <c r="D1462" s="55">
        <f t="shared" si="22"/>
        <v>0</v>
      </c>
      <c r="E1462" s="63" t="str">
        <f>HYPERLINK("https://www.sds-group.ru/product/nakonechnik-koltsevoy-izolirovannyy-8-4-mm-4-6-mm-nki-6-0-8-nki5-5-8-zheltyy-rexant-08-0054/", "Инфо")</f>
        <v>Инфо</v>
      </c>
      <c r="F1462" s="16" t="s">
        <v>39</v>
      </c>
      <c r="G1462" s="15"/>
      <c r="H1462" s="15"/>
      <c r="I1462" s="15"/>
      <c r="J1462" s="22">
        <v>59200</v>
      </c>
      <c r="K1462" s="15" t="s">
        <v>210</v>
      </c>
      <c r="L1462" s="17">
        <v>100</v>
      </c>
      <c r="M1462" s="22">
        <v>10000</v>
      </c>
      <c r="N1462" s="17">
        <v>100</v>
      </c>
      <c r="O1462" s="18">
        <v>8.52</v>
      </c>
      <c r="P1462" s="18">
        <v>6.98</v>
      </c>
      <c r="Q1462" s="18">
        <v>7.24</v>
      </c>
      <c r="R1462" s="18">
        <v>5.93</v>
      </c>
      <c r="S1462" s="18">
        <v>5.79</v>
      </c>
      <c r="T1462" s="18">
        <v>4.75</v>
      </c>
      <c r="U1462" s="16"/>
      <c r="V1462" s="16"/>
      <c r="W1462" s="16" t="s">
        <v>40</v>
      </c>
      <c r="X1462" s="19">
        <v>2E-3</v>
      </c>
      <c r="Y1462" s="20">
        <v>3.9999999999999998E-6</v>
      </c>
      <c r="Z1462" s="21">
        <v>4601004019638</v>
      </c>
    </row>
    <row r="1463" spans="1:26" ht="12" customHeight="1" outlineLevel="4" x14ac:dyDescent="0.2">
      <c r="A1463" s="14" t="s">
        <v>2880</v>
      </c>
      <c r="B1463" s="26" t="s">
        <v>2881</v>
      </c>
      <c r="C1463" s="52"/>
      <c r="D1463" s="55">
        <f t="shared" si="22"/>
        <v>0</v>
      </c>
      <c r="E1463" s="63" t="str">
        <f>HYPERLINK("https://www.sds-group.ru/product/nakonechnik-koltsevoy-izolirovannyy-termousazhivaemyy-6-5-mm-1-5-2-5-mm-nki-t-2-5-6-nki-t2-6-08-0039/", "Инфо")</f>
        <v>Инфо</v>
      </c>
      <c r="F1463" s="16" t="s">
        <v>39</v>
      </c>
      <c r="G1463" s="15"/>
      <c r="H1463" s="15"/>
      <c r="I1463" s="15"/>
      <c r="J1463" s="22">
        <v>18500</v>
      </c>
      <c r="K1463" s="15"/>
      <c r="L1463" s="17">
        <v>100</v>
      </c>
      <c r="M1463" s="22">
        <v>4000</v>
      </c>
      <c r="N1463" s="17">
        <v>100</v>
      </c>
      <c r="O1463" s="18">
        <v>11.96</v>
      </c>
      <c r="P1463" s="18">
        <v>9.8000000000000007</v>
      </c>
      <c r="Q1463" s="18">
        <v>10.17</v>
      </c>
      <c r="R1463" s="18">
        <v>8.34</v>
      </c>
      <c r="S1463" s="18">
        <v>8.1300000000000008</v>
      </c>
      <c r="T1463" s="18">
        <v>6.66</v>
      </c>
      <c r="U1463" s="16"/>
      <c r="V1463" s="16"/>
      <c r="W1463" s="16" t="s">
        <v>40</v>
      </c>
      <c r="X1463" s="19">
        <v>1E-3</v>
      </c>
      <c r="Y1463" s="20">
        <v>3.0000000000000001E-6</v>
      </c>
      <c r="Z1463" s="21">
        <v>4601004019591</v>
      </c>
    </row>
    <row r="1464" spans="1:26" ht="12" customHeight="1" outlineLevel="4" x14ac:dyDescent="0.2">
      <c r="A1464" s="14" t="s">
        <v>2882</v>
      </c>
      <c r="B1464" s="26" t="s">
        <v>2883</v>
      </c>
      <c r="C1464" s="52"/>
      <c r="D1464" s="55">
        <f t="shared" si="22"/>
        <v>0</v>
      </c>
      <c r="E1464" s="63" t="str">
        <f>HYPERLINK("https://www.sds-group.ru/product/nakonechnik-koltsevoy-izolirovannyy-termousazhivaemyy-6-5-mm-4-6-mm-nki-t-6-0-6-nki-t5-5-6-z-08-0058/", "Инфо")</f>
        <v>Инфо</v>
      </c>
      <c r="F1464" s="16" t="s">
        <v>39</v>
      </c>
      <c r="G1464" s="15"/>
      <c r="H1464" s="15"/>
      <c r="I1464" s="15"/>
      <c r="J1464" s="22">
        <v>1700</v>
      </c>
      <c r="K1464" s="15" t="s">
        <v>2750</v>
      </c>
      <c r="L1464" s="17">
        <v>100</v>
      </c>
      <c r="M1464" s="22">
        <v>4000</v>
      </c>
      <c r="N1464" s="17">
        <v>100</v>
      </c>
      <c r="O1464" s="18">
        <v>19.899999999999999</v>
      </c>
      <c r="P1464" s="18">
        <v>16.309999999999999</v>
      </c>
      <c r="Q1464" s="18">
        <v>16.920000000000002</v>
      </c>
      <c r="R1464" s="18">
        <v>13.87</v>
      </c>
      <c r="S1464" s="18">
        <v>13.53</v>
      </c>
      <c r="T1464" s="18">
        <v>11.09</v>
      </c>
      <c r="U1464" s="16"/>
      <c r="V1464" s="16"/>
      <c r="W1464" s="16" t="s">
        <v>40</v>
      </c>
      <c r="X1464" s="19">
        <v>2E-3</v>
      </c>
      <c r="Y1464" s="20">
        <v>9.0000000000000002E-6</v>
      </c>
      <c r="Z1464" s="21">
        <v>4601004019669</v>
      </c>
    </row>
    <row r="1465" spans="1:26" ht="12" customHeight="1" outlineLevel="4" x14ac:dyDescent="0.2">
      <c r="A1465" s="14" t="s">
        <v>2884</v>
      </c>
      <c r="B1465" s="26" t="s">
        <v>2885</v>
      </c>
      <c r="C1465" s="52"/>
      <c r="D1465" s="55">
        <f t="shared" si="22"/>
        <v>0</v>
      </c>
      <c r="E1465" s="63" t="str">
        <f>HYPERLINK("https://www.sds-group.ru/product/nakonechnik-shtyrevoy-vtulochnyy-izolirovannyy-f-10-mm-2h2-5-mm-nshvi-2-2-5-10-ngi2-2-5-10-s-08-2808/", "Инфо")</f>
        <v>Инфо</v>
      </c>
      <c r="F1465" s="16" t="s">
        <v>39</v>
      </c>
      <c r="G1465" s="15"/>
      <c r="H1465" s="15"/>
      <c r="I1465" s="15"/>
      <c r="J1465" s="22">
        <v>67300</v>
      </c>
      <c r="K1465" s="15" t="s">
        <v>1665</v>
      </c>
      <c r="L1465" s="17">
        <v>500</v>
      </c>
      <c r="M1465" s="22">
        <v>30000</v>
      </c>
      <c r="N1465" s="17">
        <v>500</v>
      </c>
      <c r="O1465" s="18">
        <v>2.94</v>
      </c>
      <c r="P1465" s="18">
        <v>2.41</v>
      </c>
      <c r="Q1465" s="18">
        <v>2.5</v>
      </c>
      <c r="R1465" s="18">
        <v>2.0499999999999998</v>
      </c>
      <c r="S1465" s="18">
        <v>2</v>
      </c>
      <c r="T1465" s="18">
        <v>1.64</v>
      </c>
      <c r="U1465" s="16"/>
      <c r="V1465" s="16"/>
      <c r="W1465" s="16" t="s">
        <v>40</v>
      </c>
      <c r="X1465" s="19">
        <v>0</v>
      </c>
      <c r="Y1465" s="20">
        <v>9.9999999999999995E-7</v>
      </c>
      <c r="Z1465" s="21">
        <v>4601004020788</v>
      </c>
    </row>
    <row r="1466" spans="1:26" ht="12" customHeight="1" outlineLevel="4" x14ac:dyDescent="0.2">
      <c r="A1466" s="14" t="s">
        <v>2886</v>
      </c>
      <c r="B1466" s="26" t="s">
        <v>2887</v>
      </c>
      <c r="C1466" s="52"/>
      <c r="D1466" s="55">
        <f t="shared" si="22"/>
        <v>0</v>
      </c>
      <c r="E1466" s="63" t="str">
        <f>HYPERLINK("https://www.sds-group.ru/product/nakonechnik-shtyrevoy-vtulochnyy-izolirovannyy-f-12-mm-10-mm-nshvi-10-12-krasnyy-rexant-08-0831/", "Инфо")</f>
        <v>Инфо</v>
      </c>
      <c r="F1466" s="16" t="s">
        <v>39</v>
      </c>
      <c r="G1466" s="15"/>
      <c r="H1466" s="15"/>
      <c r="I1466" s="15"/>
      <c r="J1466" s="22">
        <v>92800</v>
      </c>
      <c r="K1466" s="15" t="s">
        <v>210</v>
      </c>
      <c r="L1466" s="17">
        <v>500</v>
      </c>
      <c r="M1466" s="22">
        <v>20000</v>
      </c>
      <c r="N1466" s="17">
        <v>500</v>
      </c>
      <c r="O1466" s="18">
        <v>3.12</v>
      </c>
      <c r="P1466" s="18">
        <v>2.56</v>
      </c>
      <c r="Q1466" s="18">
        <v>2.65</v>
      </c>
      <c r="R1466" s="18">
        <v>2.17</v>
      </c>
      <c r="S1466" s="18">
        <v>2.12</v>
      </c>
      <c r="T1466" s="18">
        <v>1.74</v>
      </c>
      <c r="U1466" s="16"/>
      <c r="V1466" s="16"/>
      <c r="W1466" s="16" t="s">
        <v>40</v>
      </c>
      <c r="X1466" s="19">
        <v>1E-3</v>
      </c>
      <c r="Y1466" s="20">
        <v>1.9999999999999999E-6</v>
      </c>
      <c r="Z1466" s="21">
        <v>4660008012441</v>
      </c>
    </row>
    <row r="1467" spans="1:26" ht="12" customHeight="1" outlineLevel="4" x14ac:dyDescent="0.2">
      <c r="A1467" s="14" t="s">
        <v>2888</v>
      </c>
      <c r="B1467" s="26" t="s">
        <v>2889</v>
      </c>
      <c r="C1467" s="52"/>
      <c r="D1467" s="55">
        <f t="shared" si="22"/>
        <v>0</v>
      </c>
      <c r="E1467" s="63" t="str">
        <f>HYPERLINK("https://www.sds-group.ru/product/nakonechnik-shtyrevoy-vtulochnyy-izolirovannyy-f-12-mm-10-mm-nshvi-10-12-krasnyy-v-upak-10-06-0410-A/", "Инфо")</f>
        <v>Инфо</v>
      </c>
      <c r="F1467" s="16" t="s">
        <v>1001</v>
      </c>
      <c r="G1467" s="15"/>
      <c r="H1467" s="15"/>
      <c r="I1467" s="15"/>
      <c r="J1467" s="17">
        <v>376</v>
      </c>
      <c r="K1467" s="15"/>
      <c r="L1467" s="17">
        <v>10</v>
      </c>
      <c r="M1467" s="17">
        <v>10</v>
      </c>
      <c r="N1467" s="17">
        <v>10</v>
      </c>
      <c r="O1467" s="18">
        <v>117.99</v>
      </c>
      <c r="P1467" s="18">
        <v>96.71</v>
      </c>
      <c r="Q1467" s="18">
        <v>100.29</v>
      </c>
      <c r="R1467" s="18">
        <v>82.2</v>
      </c>
      <c r="S1467" s="18">
        <v>80.23</v>
      </c>
      <c r="T1467" s="18">
        <v>65.760000000000005</v>
      </c>
      <c r="U1467" s="16"/>
      <c r="V1467" s="16"/>
      <c r="W1467" s="16" t="s">
        <v>40</v>
      </c>
      <c r="X1467" s="19">
        <v>1.2E-2</v>
      </c>
      <c r="Y1467" s="20">
        <v>1.54E-4</v>
      </c>
      <c r="Z1467" s="21">
        <v>4601004121591</v>
      </c>
    </row>
    <row r="1468" spans="1:26" ht="12" customHeight="1" outlineLevel="4" x14ac:dyDescent="0.2">
      <c r="A1468" s="14" t="s">
        <v>2890</v>
      </c>
      <c r="B1468" s="26" t="s">
        <v>2891</v>
      </c>
      <c r="C1468" s="52"/>
      <c r="D1468" s="55">
        <f t="shared" si="22"/>
        <v>0</v>
      </c>
      <c r="E1468" s="63" t="str">
        <f>HYPERLINK("https://www.sds-group.ru/product/nakonechnik-shtyrevoy-vtulochnyy-izolirovannyy-f-12-mm-16-mm-nshvi-16-12-slonovaya-kost-rexa-08-0832/", "Инфо")</f>
        <v>Инфо</v>
      </c>
      <c r="F1468" s="16" t="s">
        <v>39</v>
      </c>
      <c r="G1468" s="15"/>
      <c r="H1468" s="15"/>
      <c r="I1468" s="15"/>
      <c r="J1468" s="22">
        <v>26800</v>
      </c>
      <c r="K1468" s="15" t="s">
        <v>2706</v>
      </c>
      <c r="L1468" s="17">
        <v>500</v>
      </c>
      <c r="M1468" s="22">
        <v>10000</v>
      </c>
      <c r="N1468" s="17">
        <v>500</v>
      </c>
      <c r="O1468" s="18">
        <v>3.98</v>
      </c>
      <c r="P1468" s="18">
        <v>3.26</v>
      </c>
      <c r="Q1468" s="18">
        <v>3.38</v>
      </c>
      <c r="R1468" s="18">
        <v>2.77</v>
      </c>
      <c r="S1468" s="18">
        <v>2.71</v>
      </c>
      <c r="T1468" s="18">
        <v>2.2200000000000002</v>
      </c>
      <c r="U1468" s="16"/>
      <c r="V1468" s="16"/>
      <c r="W1468" s="16" t="s">
        <v>40</v>
      </c>
      <c r="X1468" s="19">
        <v>1E-3</v>
      </c>
      <c r="Y1468" s="20">
        <v>3.0000000000000001E-6</v>
      </c>
      <c r="Z1468" s="21">
        <v>4660008012458</v>
      </c>
    </row>
    <row r="1469" spans="1:26" ht="12" customHeight="1" outlineLevel="4" x14ac:dyDescent="0.2">
      <c r="A1469" s="14" t="s">
        <v>2892</v>
      </c>
      <c r="B1469" s="26" t="s">
        <v>2893</v>
      </c>
      <c r="C1469" s="52"/>
      <c r="D1469" s="55">
        <f t="shared" si="22"/>
        <v>0</v>
      </c>
      <c r="E1469" s="63" t="str">
        <f>HYPERLINK("https://www.sds-group.ru/product/nakonechnik-shtyrevoy-vtulochnyy-izolirovannyy-f-12-mm-2-5-mm-nshvi-2-5-12-siniy-rexant-08-0816/", "Инфо")</f>
        <v>Инфо</v>
      </c>
      <c r="F1469" s="16" t="s">
        <v>39</v>
      </c>
      <c r="G1469" s="15"/>
      <c r="H1469" s="15"/>
      <c r="I1469" s="15"/>
      <c r="J1469" s="22">
        <v>22600</v>
      </c>
      <c r="K1469" s="15" t="s">
        <v>1650</v>
      </c>
      <c r="L1469" s="22">
        <v>1000</v>
      </c>
      <c r="M1469" s="22">
        <v>50000</v>
      </c>
      <c r="N1469" s="22">
        <v>1000</v>
      </c>
      <c r="O1469" s="18">
        <v>1.41</v>
      </c>
      <c r="P1469" s="18">
        <v>1.1599999999999999</v>
      </c>
      <c r="Q1469" s="18">
        <v>1.2</v>
      </c>
      <c r="R1469" s="18">
        <v>0.98</v>
      </c>
      <c r="S1469" s="18">
        <v>0.96</v>
      </c>
      <c r="T1469" s="18">
        <v>0.79</v>
      </c>
      <c r="U1469" s="16"/>
      <c r="V1469" s="16"/>
      <c r="W1469" s="16" t="s">
        <v>40</v>
      </c>
      <c r="X1469" s="19">
        <v>0</v>
      </c>
      <c r="Y1469" s="20">
        <v>9.9999999999999995E-7</v>
      </c>
      <c r="Z1469" s="21">
        <v>4601004020467</v>
      </c>
    </row>
    <row r="1470" spans="1:26" ht="12" customHeight="1" outlineLevel="4" x14ac:dyDescent="0.2">
      <c r="A1470" s="14" t="s">
        <v>2894</v>
      </c>
      <c r="B1470" s="26" t="s">
        <v>2895</v>
      </c>
      <c r="C1470" s="52"/>
      <c r="D1470" s="55">
        <f t="shared" si="22"/>
        <v>0</v>
      </c>
      <c r="E1470" s="63" t="str">
        <f>HYPERLINK("https://www.sds-group.ru/product/nakonechnik-shtyrevoy-vtulochnyy-izolirovannyy-f-12-mm-2h4-mm-nshvi-2-4-0-12-ngi2-4-0-12-ora-08-2810/", "Инфо")</f>
        <v>Инфо</v>
      </c>
      <c r="F1470" s="16" t="s">
        <v>39</v>
      </c>
      <c r="G1470" s="15"/>
      <c r="H1470" s="15"/>
      <c r="I1470" s="15"/>
      <c r="J1470" s="16" t="s">
        <v>100</v>
      </c>
      <c r="K1470" s="15" t="s">
        <v>1665</v>
      </c>
      <c r="L1470" s="17">
        <v>500</v>
      </c>
      <c r="M1470" s="22">
        <v>20000</v>
      </c>
      <c r="N1470" s="17">
        <v>500</v>
      </c>
      <c r="O1470" s="18">
        <v>3.72</v>
      </c>
      <c r="P1470" s="18">
        <v>3.05</v>
      </c>
      <c r="Q1470" s="18">
        <v>3.16</v>
      </c>
      <c r="R1470" s="18">
        <v>2.59</v>
      </c>
      <c r="S1470" s="18">
        <v>2.5299999999999998</v>
      </c>
      <c r="T1470" s="18">
        <v>2.0699999999999998</v>
      </c>
      <c r="U1470" s="16"/>
      <c r="V1470" s="16"/>
      <c r="W1470" s="16" t="s">
        <v>40</v>
      </c>
      <c r="X1470" s="19">
        <v>1E-3</v>
      </c>
      <c r="Y1470" s="20">
        <v>1.9999999999999999E-6</v>
      </c>
      <c r="Z1470" s="21">
        <v>4601004020795</v>
      </c>
    </row>
    <row r="1471" spans="1:26" ht="12" customHeight="1" outlineLevel="4" x14ac:dyDescent="0.2">
      <c r="A1471" s="14" t="s">
        <v>2896</v>
      </c>
      <c r="B1471" s="26" t="s">
        <v>2897</v>
      </c>
      <c r="C1471" s="52"/>
      <c r="D1471" s="55">
        <f t="shared" si="22"/>
        <v>0</v>
      </c>
      <c r="E1471" s="63" t="str">
        <f>HYPERLINK("https://www.sds-group.ru/product/nakonechnik-shtyrevoy-vtulochnyy-izolirovannyy-f-12-mm-2h4mm-nshvi-2-4-0-12-ngi2-4-0-12-or-06-0411-A/", "Инфо")</f>
        <v>Инфо</v>
      </c>
      <c r="F1471" s="16" t="s">
        <v>1001</v>
      </c>
      <c r="G1471" s="15"/>
      <c r="H1471" s="15"/>
      <c r="I1471" s="15"/>
      <c r="J1471" s="17">
        <v>308</v>
      </c>
      <c r="K1471" s="15"/>
      <c r="L1471" s="17">
        <v>10</v>
      </c>
      <c r="M1471" s="17">
        <v>10</v>
      </c>
      <c r="N1471" s="17">
        <v>10</v>
      </c>
      <c r="O1471" s="18">
        <v>164.82</v>
      </c>
      <c r="P1471" s="18">
        <v>135.1</v>
      </c>
      <c r="Q1471" s="18">
        <v>140.1</v>
      </c>
      <c r="R1471" s="18">
        <v>114.84</v>
      </c>
      <c r="S1471" s="18">
        <v>112.08</v>
      </c>
      <c r="T1471" s="18">
        <v>91.87</v>
      </c>
      <c r="U1471" s="16"/>
      <c r="V1471" s="16"/>
      <c r="W1471" s="16" t="s">
        <v>40</v>
      </c>
      <c r="X1471" s="19">
        <v>1.2E-2</v>
      </c>
      <c r="Y1471" s="20">
        <v>1.5699999999999999E-4</v>
      </c>
      <c r="Z1471" s="21">
        <v>4601004163300</v>
      </c>
    </row>
    <row r="1472" spans="1:26" ht="12" customHeight="1" outlineLevel="4" x14ac:dyDescent="0.2">
      <c r="A1472" s="14" t="s">
        <v>2898</v>
      </c>
      <c r="B1472" s="26" t="s">
        <v>2899</v>
      </c>
      <c r="C1472" s="52"/>
      <c r="D1472" s="55">
        <f t="shared" si="22"/>
        <v>0</v>
      </c>
      <c r="E1472" s="63" t="str">
        <f>HYPERLINK("https://www.sds-group.ru/product/nakonechnik-shtyrevoy-vtulochnyy-izolirovannyy-f-12-mm-6-mm-nshvi-6-0-12-e-6-0-12-e6012-ze-06-0409-A/", "Инфо")</f>
        <v>Инфо</v>
      </c>
      <c r="F1472" s="16" t="s">
        <v>1001</v>
      </c>
      <c r="G1472" s="15"/>
      <c r="H1472" s="15"/>
      <c r="I1472" s="15"/>
      <c r="J1472" s="17">
        <v>627</v>
      </c>
      <c r="K1472" s="15"/>
      <c r="L1472" s="17">
        <v>10</v>
      </c>
      <c r="M1472" s="17">
        <v>10</v>
      </c>
      <c r="N1472" s="17">
        <v>10</v>
      </c>
      <c r="O1472" s="18">
        <v>107.52</v>
      </c>
      <c r="P1472" s="18">
        <v>88.13</v>
      </c>
      <c r="Q1472" s="18">
        <v>91.39</v>
      </c>
      <c r="R1472" s="18">
        <v>74.91</v>
      </c>
      <c r="S1472" s="18">
        <v>73.11</v>
      </c>
      <c r="T1472" s="18">
        <v>59.93</v>
      </c>
      <c r="U1472" s="16"/>
      <c r="V1472" s="16"/>
      <c r="W1472" s="16" t="s">
        <v>40</v>
      </c>
      <c r="X1472" s="19">
        <v>1.0999999999999999E-2</v>
      </c>
      <c r="Y1472" s="20">
        <v>1.5200000000000001E-4</v>
      </c>
      <c r="Z1472" s="21">
        <v>4601004121584</v>
      </c>
    </row>
    <row r="1473" spans="1:26" ht="12" customHeight="1" outlineLevel="4" x14ac:dyDescent="0.2">
      <c r="A1473" s="14" t="s">
        <v>2900</v>
      </c>
      <c r="B1473" s="26" t="s">
        <v>2901</v>
      </c>
      <c r="C1473" s="52"/>
      <c r="D1473" s="55">
        <f t="shared" si="22"/>
        <v>0</v>
      </c>
      <c r="E1473" s="63" t="str">
        <f>HYPERLINK("https://www.sds-group.ru/product/nakonechnik-shtyrevoy-vtulochnyy-izolirovannyy-f-12-mm-6-mm-nshvi-6-0-12-e-6-0-12-e6012-zele-08-0823/", "Инфо")</f>
        <v>Инфо</v>
      </c>
      <c r="F1473" s="16" t="s">
        <v>39</v>
      </c>
      <c r="G1473" s="15"/>
      <c r="H1473" s="15"/>
      <c r="I1473" s="15"/>
      <c r="J1473" s="22">
        <v>55780</v>
      </c>
      <c r="K1473" s="15" t="s">
        <v>210</v>
      </c>
      <c r="L1473" s="17">
        <v>500</v>
      </c>
      <c r="M1473" s="22">
        <v>20000</v>
      </c>
      <c r="N1473" s="17">
        <v>500</v>
      </c>
      <c r="O1473" s="18">
        <v>2.5499999999999998</v>
      </c>
      <c r="P1473" s="18">
        <v>2.09</v>
      </c>
      <c r="Q1473" s="18">
        <v>2.17</v>
      </c>
      <c r="R1473" s="18">
        <v>1.78</v>
      </c>
      <c r="S1473" s="18">
        <v>1.73</v>
      </c>
      <c r="T1473" s="18">
        <v>1.42</v>
      </c>
      <c r="U1473" s="16"/>
      <c r="V1473" s="16"/>
      <c r="W1473" s="16" t="s">
        <v>40</v>
      </c>
      <c r="X1473" s="19">
        <v>0</v>
      </c>
      <c r="Y1473" s="20">
        <v>1.9999999999999999E-6</v>
      </c>
      <c r="Z1473" s="21">
        <v>4660008012434</v>
      </c>
    </row>
    <row r="1474" spans="1:26" ht="12" customHeight="1" outlineLevel="4" x14ac:dyDescent="0.2">
      <c r="A1474" s="14" t="s">
        <v>2902</v>
      </c>
      <c r="B1474" s="26" t="s">
        <v>2903</v>
      </c>
      <c r="C1474" s="52"/>
      <c r="D1474" s="55">
        <f t="shared" si="22"/>
        <v>0</v>
      </c>
      <c r="E1474" s="63" t="str">
        <f>HYPERLINK("https://www.sds-group.ru/product/nakonechnik-shtyrevoy-vtulochnyy-izolirovannyy-f-14-mm-2h10-mm-nshvi-2-10-14-gi2-10-14-kra-06-0413-A/", "Инфо")</f>
        <v>Инфо</v>
      </c>
      <c r="F1474" s="16" t="s">
        <v>1001</v>
      </c>
      <c r="G1474" s="15"/>
      <c r="H1474" s="15"/>
      <c r="I1474" s="15"/>
      <c r="J1474" s="16" t="s">
        <v>100</v>
      </c>
      <c r="K1474" s="15"/>
      <c r="L1474" s="17">
        <v>10</v>
      </c>
      <c r="M1474" s="17">
        <v>10</v>
      </c>
      <c r="N1474" s="17">
        <v>10</v>
      </c>
      <c r="O1474" s="18">
        <v>256.82</v>
      </c>
      <c r="P1474" s="18">
        <v>210.51</v>
      </c>
      <c r="Q1474" s="18">
        <v>218.3</v>
      </c>
      <c r="R1474" s="18">
        <v>178.93</v>
      </c>
      <c r="S1474" s="18">
        <v>174.64</v>
      </c>
      <c r="T1474" s="18">
        <v>143.15</v>
      </c>
      <c r="U1474" s="16"/>
      <c r="V1474" s="16"/>
      <c r="W1474" s="16" t="s">
        <v>40</v>
      </c>
      <c r="X1474" s="19">
        <v>1.6E-2</v>
      </c>
      <c r="Y1474" s="20">
        <v>1.4799999999999999E-4</v>
      </c>
      <c r="Z1474" s="21">
        <v>4601004163324</v>
      </c>
    </row>
    <row r="1475" spans="1:26" ht="12" customHeight="1" outlineLevel="4" x14ac:dyDescent="0.2">
      <c r="A1475" s="14" t="s">
        <v>2904</v>
      </c>
      <c r="B1475" s="26" t="s">
        <v>2905</v>
      </c>
      <c r="C1475" s="52"/>
      <c r="D1475" s="55">
        <f t="shared" si="22"/>
        <v>0</v>
      </c>
      <c r="E1475" s="63" t="str">
        <f>HYPERLINK("https://www.sds-group.ru/product/nakonechnik-shtyrevoy-vtulochnyy-izolirovannyy-f-14-mm-2h10-mm-nshvi-2-10-14-ngi2-10-14-kras-08-2812/", "Инфо")</f>
        <v>Инфо</v>
      </c>
      <c r="F1475" s="16" t="s">
        <v>39</v>
      </c>
      <c r="G1475" s="15"/>
      <c r="H1475" s="15"/>
      <c r="I1475" s="15"/>
      <c r="J1475" s="22">
        <v>2900</v>
      </c>
      <c r="K1475" s="15" t="s">
        <v>210</v>
      </c>
      <c r="L1475" s="17">
        <v>100</v>
      </c>
      <c r="M1475" s="22">
        <v>8000</v>
      </c>
      <c r="N1475" s="17">
        <v>100</v>
      </c>
      <c r="O1475" s="18">
        <v>6.35</v>
      </c>
      <c r="P1475" s="18">
        <v>5.2</v>
      </c>
      <c r="Q1475" s="18">
        <v>5.4</v>
      </c>
      <c r="R1475" s="18">
        <v>4.43</v>
      </c>
      <c r="S1475" s="18">
        <v>4.32</v>
      </c>
      <c r="T1475" s="18">
        <v>3.54</v>
      </c>
      <c r="U1475" s="16"/>
      <c r="V1475" s="16"/>
      <c r="W1475" s="16" t="s">
        <v>40</v>
      </c>
      <c r="X1475" s="19">
        <v>1E-3</v>
      </c>
      <c r="Y1475" s="20">
        <v>6.0000000000000002E-6</v>
      </c>
      <c r="Z1475" s="21">
        <v>4601004020825</v>
      </c>
    </row>
    <row r="1476" spans="1:26" ht="12" customHeight="1" outlineLevel="4" x14ac:dyDescent="0.2">
      <c r="A1476" s="32" t="s">
        <v>2906</v>
      </c>
      <c r="B1476" s="74" t="s">
        <v>2907</v>
      </c>
      <c r="C1476" s="50"/>
      <c r="D1476" s="53">
        <f t="shared" si="22"/>
        <v>0</v>
      </c>
      <c r="E1476" s="60" t="str">
        <f>HYPERLINK("https://www.sds-group.ru/product/nakonechnik-shtyrevoy-vtulochnyy-izolirovannyy-f-14-mm-2h16-mm-nshvi-2-16-14-ngi2-16-14-slon-08-2813/", "Инфо")</f>
        <v>Инфо</v>
      </c>
      <c r="F1476" s="34" t="s">
        <v>39</v>
      </c>
      <c r="G1476" s="33"/>
      <c r="H1476" s="33" t="s">
        <v>40</v>
      </c>
      <c r="I1476" s="33"/>
      <c r="J1476" s="39">
        <v>11300</v>
      </c>
      <c r="K1476" s="33"/>
      <c r="L1476" s="35">
        <v>100</v>
      </c>
      <c r="M1476" s="39">
        <v>2400</v>
      </c>
      <c r="N1476" s="35">
        <v>100</v>
      </c>
      <c r="O1476" s="36">
        <v>8.09</v>
      </c>
      <c r="P1476" s="36">
        <v>6.63</v>
      </c>
      <c r="Q1476" s="36">
        <v>5.66</v>
      </c>
      <c r="R1476" s="36">
        <v>4.6399999999999997</v>
      </c>
      <c r="S1476" s="36">
        <v>5.5</v>
      </c>
      <c r="T1476" s="36">
        <v>4.51</v>
      </c>
      <c r="U1476" s="34"/>
      <c r="V1476" s="34"/>
      <c r="W1476" s="34"/>
      <c r="X1476" s="37">
        <v>2E-3</v>
      </c>
      <c r="Y1476" s="38">
        <v>1.0000000000000001E-5</v>
      </c>
      <c r="Z1476" s="21">
        <v>4601004020818</v>
      </c>
    </row>
    <row r="1477" spans="1:26" ht="12" customHeight="1" outlineLevel="4" x14ac:dyDescent="0.2">
      <c r="A1477" s="14" t="s">
        <v>2908</v>
      </c>
      <c r="B1477" s="26" t="s">
        <v>2909</v>
      </c>
      <c r="C1477" s="52"/>
      <c r="D1477" s="55">
        <f t="shared" si="22"/>
        <v>0</v>
      </c>
      <c r="E1477" s="63" t="str">
        <f>HYPERLINK("https://www.sds-group.ru/product/nakonechnik-shtyrevoy-vtulochnyy-izolirovannyy-f-14-mm-2h6-mm-nshvi-2-6-0-14-ngi2-6-0-14-zel-08-2811/", "Инфо")</f>
        <v>Инфо</v>
      </c>
      <c r="F1477" s="16" t="s">
        <v>39</v>
      </c>
      <c r="G1477" s="15"/>
      <c r="H1477" s="15"/>
      <c r="I1477" s="15"/>
      <c r="J1477" s="22">
        <v>44940</v>
      </c>
      <c r="K1477" s="15" t="s">
        <v>210</v>
      </c>
      <c r="L1477" s="17">
        <v>100</v>
      </c>
      <c r="M1477" s="22">
        <v>10000</v>
      </c>
      <c r="N1477" s="17">
        <v>100</v>
      </c>
      <c r="O1477" s="18">
        <v>4.5599999999999996</v>
      </c>
      <c r="P1477" s="18">
        <v>3.74</v>
      </c>
      <c r="Q1477" s="18">
        <v>3.88</v>
      </c>
      <c r="R1477" s="18">
        <v>3.18</v>
      </c>
      <c r="S1477" s="18">
        <v>3.1</v>
      </c>
      <c r="T1477" s="18">
        <v>2.54</v>
      </c>
      <c r="U1477" s="16"/>
      <c r="V1477" s="16"/>
      <c r="W1477" s="16" t="s">
        <v>40</v>
      </c>
      <c r="X1477" s="19">
        <v>1E-3</v>
      </c>
      <c r="Y1477" s="20">
        <v>3.9999999999999998E-6</v>
      </c>
      <c r="Z1477" s="21">
        <v>4601004020801</v>
      </c>
    </row>
    <row r="1478" spans="1:26" ht="12" customHeight="1" outlineLevel="4" x14ac:dyDescent="0.2">
      <c r="A1478" s="14" t="s">
        <v>2910</v>
      </c>
      <c r="B1478" s="26" t="s">
        <v>2911</v>
      </c>
      <c r="C1478" s="52"/>
      <c r="D1478" s="55">
        <f t="shared" si="22"/>
        <v>0</v>
      </c>
      <c r="E1478" s="63" t="str">
        <f>HYPERLINK("https://www.sds-group.ru/product/nakonechnik-shtyrevoy-vtulochnyy-izolirovannyy-f-14-mm-2h6-mm-nshvi-2-6-0-14-ngi2-6-0-14-z-06-0412-A/", "Инфо")</f>
        <v>Инфо</v>
      </c>
      <c r="F1478" s="16" t="s">
        <v>1001</v>
      </c>
      <c r="G1478" s="15"/>
      <c r="H1478" s="15"/>
      <c r="I1478" s="15"/>
      <c r="J1478" s="17">
        <v>362</v>
      </c>
      <c r="K1478" s="15"/>
      <c r="L1478" s="17">
        <v>10</v>
      </c>
      <c r="M1478" s="17">
        <v>10</v>
      </c>
      <c r="N1478" s="17">
        <v>10</v>
      </c>
      <c r="O1478" s="18">
        <v>194.87</v>
      </c>
      <c r="P1478" s="18">
        <v>159.72999999999999</v>
      </c>
      <c r="Q1478" s="18">
        <v>165.64</v>
      </c>
      <c r="R1478" s="18">
        <v>135.77000000000001</v>
      </c>
      <c r="S1478" s="18">
        <v>132.51</v>
      </c>
      <c r="T1478" s="18">
        <v>108.61</v>
      </c>
      <c r="U1478" s="16"/>
      <c r="V1478" s="16"/>
      <c r="W1478" s="16" t="s">
        <v>40</v>
      </c>
      <c r="X1478" s="19">
        <v>1.4E-2</v>
      </c>
      <c r="Y1478" s="20">
        <v>1.5300000000000001E-4</v>
      </c>
      <c r="Z1478" s="21">
        <v>4601004163317</v>
      </c>
    </row>
    <row r="1479" spans="1:26" ht="12" customHeight="1" outlineLevel="4" x14ac:dyDescent="0.2">
      <c r="A1479" s="14" t="s">
        <v>2912</v>
      </c>
      <c r="B1479" s="26" t="s">
        <v>2913</v>
      </c>
      <c r="C1479" s="52"/>
      <c r="D1479" s="55">
        <f t="shared" si="22"/>
        <v>0</v>
      </c>
      <c r="E1479" s="63" t="str">
        <f>HYPERLINK("https://www.sds-group.ru/product/nakonechnik-shtyrevoy-vtulochnyy-izolirovannyy-f-16-mm-25-mm-nshvi-25-16-chernyy-rexant-08-0833/", "Инфо")</f>
        <v>Инфо</v>
      </c>
      <c r="F1479" s="16" t="s">
        <v>39</v>
      </c>
      <c r="G1479" s="15"/>
      <c r="H1479" s="15"/>
      <c r="I1479" s="15"/>
      <c r="J1479" s="22">
        <v>9200</v>
      </c>
      <c r="K1479" s="15" t="s">
        <v>210</v>
      </c>
      <c r="L1479" s="17">
        <v>100</v>
      </c>
      <c r="M1479" s="22">
        <v>6000</v>
      </c>
      <c r="N1479" s="17">
        <v>100</v>
      </c>
      <c r="O1479" s="18">
        <v>8.1300000000000008</v>
      </c>
      <c r="P1479" s="18">
        <v>6.66</v>
      </c>
      <c r="Q1479" s="18">
        <v>6.91</v>
      </c>
      <c r="R1479" s="18">
        <v>5.66</v>
      </c>
      <c r="S1479" s="18">
        <v>5.53</v>
      </c>
      <c r="T1479" s="18">
        <v>4.53</v>
      </c>
      <c r="U1479" s="16"/>
      <c r="V1479" s="16"/>
      <c r="W1479" s="16" t="s">
        <v>40</v>
      </c>
      <c r="X1479" s="19">
        <v>1E-3</v>
      </c>
      <c r="Y1479" s="20">
        <v>6.9999999999999999E-6</v>
      </c>
      <c r="Z1479" s="21">
        <v>4660008012465</v>
      </c>
    </row>
    <row r="1480" spans="1:26" ht="12" customHeight="1" outlineLevel="4" x14ac:dyDescent="0.2">
      <c r="A1480" s="14" t="s">
        <v>2914</v>
      </c>
      <c r="B1480" s="26" t="s">
        <v>2915</v>
      </c>
      <c r="C1480" s="52"/>
      <c r="D1480" s="55">
        <f t="shared" si="22"/>
        <v>0</v>
      </c>
      <c r="E1480" s="63" t="str">
        <f>HYPERLINK("https://www.sds-group.ru/product/nakonechnik-shtyrevoy-vtulochnyy-izolirovannyy-f-16-mm-35-mm-nshvi-35-16-krasnyy-rexant-08-0834/", "Инфо")</f>
        <v>Инфо</v>
      </c>
      <c r="F1480" s="16" t="s">
        <v>39</v>
      </c>
      <c r="G1480" s="15"/>
      <c r="H1480" s="15"/>
      <c r="I1480" s="15"/>
      <c r="J1480" s="16" t="s">
        <v>100</v>
      </c>
      <c r="K1480" s="15" t="s">
        <v>1650</v>
      </c>
      <c r="L1480" s="17">
        <v>100</v>
      </c>
      <c r="M1480" s="22">
        <v>5000</v>
      </c>
      <c r="N1480" s="17">
        <v>100</v>
      </c>
      <c r="O1480" s="18">
        <v>8.67</v>
      </c>
      <c r="P1480" s="18">
        <v>7.11</v>
      </c>
      <c r="Q1480" s="18">
        <v>7.37</v>
      </c>
      <c r="R1480" s="18">
        <v>6.04</v>
      </c>
      <c r="S1480" s="18">
        <v>5.9</v>
      </c>
      <c r="T1480" s="18">
        <v>4.84</v>
      </c>
      <c r="U1480" s="16"/>
      <c r="V1480" s="16"/>
      <c r="W1480" s="16" t="s">
        <v>40</v>
      </c>
      <c r="X1480" s="19">
        <v>1E-3</v>
      </c>
      <c r="Y1480" s="20">
        <v>1.1E-5</v>
      </c>
      <c r="Z1480" s="21">
        <v>4660008012472</v>
      </c>
    </row>
    <row r="1481" spans="1:26" ht="12" customHeight="1" outlineLevel="4" x14ac:dyDescent="0.2">
      <c r="A1481" s="14" t="s">
        <v>2916</v>
      </c>
      <c r="B1481" s="26" t="s">
        <v>2917</v>
      </c>
      <c r="C1481" s="52"/>
      <c r="D1481" s="55">
        <f t="shared" ref="D1481:D1542" si="23">C1481*(O1481-O1481*$G$3)</f>
        <v>0</v>
      </c>
      <c r="E1481" s="63" t="str">
        <f>HYPERLINK("https://www.sds-group.ru/product/nakonechnik-shtyrevoy-vtulochnyy-izolirovannyy-f-18-mm-0-75-mm-nshvi-0-75-18-siniy-rexant-08-1809/", "Инфо")</f>
        <v>Инфо</v>
      </c>
      <c r="F1481" s="16" t="s">
        <v>39</v>
      </c>
      <c r="G1481" s="15"/>
      <c r="H1481" s="15"/>
      <c r="I1481" s="15"/>
      <c r="J1481" s="22">
        <v>130600</v>
      </c>
      <c r="K1481" s="15"/>
      <c r="L1481" s="17">
        <v>500</v>
      </c>
      <c r="M1481" s="22">
        <v>20000</v>
      </c>
      <c r="N1481" s="17">
        <v>500</v>
      </c>
      <c r="O1481" s="18">
        <v>2.97</v>
      </c>
      <c r="P1481" s="18">
        <v>2.4300000000000002</v>
      </c>
      <c r="Q1481" s="18">
        <v>2.52</v>
      </c>
      <c r="R1481" s="18">
        <v>2.0699999999999998</v>
      </c>
      <c r="S1481" s="18">
        <v>2.02</v>
      </c>
      <c r="T1481" s="18">
        <v>1.66</v>
      </c>
      <c r="U1481" s="16"/>
      <c r="V1481" s="16"/>
      <c r="W1481" s="16" t="s">
        <v>40</v>
      </c>
      <c r="X1481" s="19">
        <v>0</v>
      </c>
      <c r="Y1481" s="20">
        <v>9.9999999999999995E-7</v>
      </c>
      <c r="Z1481" s="21">
        <v>4601004020603</v>
      </c>
    </row>
    <row r="1482" spans="1:26" ht="12" customHeight="1" outlineLevel="4" x14ac:dyDescent="0.2">
      <c r="A1482" s="14" t="s">
        <v>2918</v>
      </c>
      <c r="B1482" s="26" t="s">
        <v>2919</v>
      </c>
      <c r="C1482" s="52"/>
      <c r="D1482" s="55">
        <f t="shared" si="23"/>
        <v>0</v>
      </c>
      <c r="E1482" s="63" t="str">
        <f>HYPERLINK("https://www.sds-group.ru/product/nakonechnik-shtyrevoy-vtulochnyy-izolirovannyy-f-18-mm-1-5-mm-nshvi-1-5-18-chernyy-rexant-08-1816/", "Инфо")</f>
        <v>Инфо</v>
      </c>
      <c r="F1482" s="16" t="s">
        <v>39</v>
      </c>
      <c r="G1482" s="15"/>
      <c r="H1482" s="15"/>
      <c r="I1482" s="15"/>
      <c r="J1482" s="16" t="s">
        <v>100</v>
      </c>
      <c r="K1482" s="15"/>
      <c r="L1482" s="22">
        <v>1000</v>
      </c>
      <c r="M1482" s="22">
        <v>50000</v>
      </c>
      <c r="N1482" s="22">
        <v>1000</v>
      </c>
      <c r="O1482" s="18">
        <v>1.91</v>
      </c>
      <c r="P1482" s="18">
        <v>1.57</v>
      </c>
      <c r="Q1482" s="18">
        <v>1.62</v>
      </c>
      <c r="R1482" s="18">
        <v>1.33</v>
      </c>
      <c r="S1482" s="18">
        <v>1.3</v>
      </c>
      <c r="T1482" s="18">
        <v>1.07</v>
      </c>
      <c r="U1482" s="16"/>
      <c r="V1482" s="16"/>
      <c r="W1482" s="16" t="s">
        <v>40</v>
      </c>
      <c r="X1482" s="19">
        <v>0</v>
      </c>
      <c r="Y1482" s="20">
        <v>9.9999999999999995E-7</v>
      </c>
      <c r="Z1482" s="21">
        <v>4601004020610</v>
      </c>
    </row>
    <row r="1483" spans="1:26" ht="12" customHeight="1" outlineLevel="4" x14ac:dyDescent="0.2">
      <c r="A1483" s="14" t="s">
        <v>2920</v>
      </c>
      <c r="B1483" s="26" t="s">
        <v>2921</v>
      </c>
      <c r="C1483" s="52"/>
      <c r="D1483" s="55">
        <f t="shared" si="23"/>
        <v>0</v>
      </c>
      <c r="E1483" s="63" t="str">
        <f>HYPERLINK("https://www.sds-group.ru/product/nakonechnik-shtyrevoy-vtulochnyy-izolirovannyy-f-18-mm-10-mm-nshvi-10-18-slonovaya-kost-rexa-08-1826/", "Инфо")</f>
        <v>Инфо</v>
      </c>
      <c r="F1483" s="16" t="s">
        <v>39</v>
      </c>
      <c r="G1483" s="15"/>
      <c r="H1483" s="15"/>
      <c r="I1483" s="15"/>
      <c r="J1483" s="22">
        <v>15900</v>
      </c>
      <c r="K1483" s="15" t="s">
        <v>210</v>
      </c>
      <c r="L1483" s="17">
        <v>100</v>
      </c>
      <c r="M1483" s="22">
        <v>15000</v>
      </c>
      <c r="N1483" s="17">
        <v>100</v>
      </c>
      <c r="O1483" s="18">
        <v>6.99</v>
      </c>
      <c r="P1483" s="18">
        <v>5.73</v>
      </c>
      <c r="Q1483" s="18">
        <v>5.94</v>
      </c>
      <c r="R1483" s="18">
        <v>4.87</v>
      </c>
      <c r="S1483" s="18">
        <v>4.75</v>
      </c>
      <c r="T1483" s="18">
        <v>3.89</v>
      </c>
      <c r="U1483" s="16"/>
      <c r="V1483" s="16"/>
      <c r="W1483" s="16" t="s">
        <v>40</v>
      </c>
      <c r="X1483" s="19">
        <v>1E-3</v>
      </c>
      <c r="Y1483" s="20">
        <v>3.0000000000000001E-6</v>
      </c>
      <c r="Z1483" s="21">
        <v>4601004020634</v>
      </c>
    </row>
    <row r="1484" spans="1:26" ht="12" customHeight="1" outlineLevel="4" x14ac:dyDescent="0.2">
      <c r="A1484" s="14" t="s">
        <v>2922</v>
      </c>
      <c r="B1484" s="26" t="s">
        <v>2923</v>
      </c>
      <c r="C1484" s="52"/>
      <c r="D1484" s="55">
        <f t="shared" si="23"/>
        <v>0</v>
      </c>
      <c r="E1484" s="63" t="str">
        <f>HYPERLINK("https://www.sds-group.ru/product/nakonechnik-shtyrevoy-vtulochnyy-izolirovannyy-f-18-mm-16-mm-nshvi-16-18-slonovaya-kost-rexa-08-1828/", "Инфо")</f>
        <v>Инфо</v>
      </c>
      <c r="F1484" s="16" t="s">
        <v>39</v>
      </c>
      <c r="G1484" s="15"/>
      <c r="H1484" s="15"/>
      <c r="I1484" s="15"/>
      <c r="J1484" s="22">
        <v>19200</v>
      </c>
      <c r="K1484" s="15" t="s">
        <v>2924</v>
      </c>
      <c r="L1484" s="17">
        <v>100</v>
      </c>
      <c r="M1484" s="22">
        <v>10000</v>
      </c>
      <c r="N1484" s="17">
        <v>100</v>
      </c>
      <c r="O1484" s="18">
        <v>13.75</v>
      </c>
      <c r="P1484" s="18">
        <v>11.27</v>
      </c>
      <c r="Q1484" s="18">
        <v>11.69</v>
      </c>
      <c r="R1484" s="18">
        <v>9.58</v>
      </c>
      <c r="S1484" s="18">
        <v>9.35</v>
      </c>
      <c r="T1484" s="18">
        <v>7.66</v>
      </c>
      <c r="U1484" s="16"/>
      <c r="V1484" s="16"/>
      <c r="W1484" s="16" t="s">
        <v>40</v>
      </c>
      <c r="X1484" s="19">
        <v>1E-3</v>
      </c>
      <c r="Y1484" s="20">
        <v>3.9999999999999998E-6</v>
      </c>
      <c r="Z1484" s="21">
        <v>4601004020641</v>
      </c>
    </row>
    <row r="1485" spans="1:26" ht="12" customHeight="1" outlineLevel="4" x14ac:dyDescent="0.2">
      <c r="A1485" s="14" t="s">
        <v>2925</v>
      </c>
      <c r="B1485" s="26" t="s">
        <v>2926</v>
      </c>
      <c r="C1485" s="52"/>
      <c r="D1485" s="55">
        <f t="shared" si="23"/>
        <v>0</v>
      </c>
      <c r="E1485" s="63" t="str">
        <f>HYPERLINK("https://www.sds-group.ru/product/nakonechnik-shtyrevoy-vtulochnyy-izolirovannyy-f-18-mm-2-5-mm-nshvi-2-5-18-siniy-rexant-08-0818/", "Инфо")</f>
        <v>Инфо</v>
      </c>
      <c r="F1485" s="16" t="s">
        <v>39</v>
      </c>
      <c r="G1485" s="15"/>
      <c r="H1485" s="15"/>
      <c r="I1485" s="15"/>
      <c r="J1485" s="16" t="s">
        <v>100</v>
      </c>
      <c r="K1485" s="15" t="s">
        <v>2706</v>
      </c>
      <c r="L1485" s="17">
        <v>500</v>
      </c>
      <c r="M1485" s="22">
        <v>24000</v>
      </c>
      <c r="N1485" s="17">
        <v>500</v>
      </c>
      <c r="O1485" s="18">
        <v>2.14</v>
      </c>
      <c r="P1485" s="18">
        <v>1.75</v>
      </c>
      <c r="Q1485" s="18">
        <v>1.82</v>
      </c>
      <c r="R1485" s="18">
        <v>1.49</v>
      </c>
      <c r="S1485" s="18">
        <v>1.46</v>
      </c>
      <c r="T1485" s="18">
        <v>1.2</v>
      </c>
      <c r="U1485" s="16"/>
      <c r="V1485" s="16"/>
      <c r="W1485" s="16" t="s">
        <v>40</v>
      </c>
      <c r="X1485" s="19">
        <v>0</v>
      </c>
      <c r="Y1485" s="20">
        <v>9.9999999999999995E-7</v>
      </c>
      <c r="Z1485" s="21">
        <v>4660008012410</v>
      </c>
    </row>
    <row r="1486" spans="1:26" ht="12" customHeight="1" outlineLevel="4" x14ac:dyDescent="0.2">
      <c r="A1486" s="14" t="s">
        <v>2927</v>
      </c>
      <c r="B1486" s="26" t="s">
        <v>2928</v>
      </c>
      <c r="C1486" s="52"/>
      <c r="D1486" s="55">
        <f t="shared" si="23"/>
        <v>0</v>
      </c>
      <c r="E1486" s="63" t="str">
        <f>HYPERLINK("https://www.sds-group.ru/product/nakonechnik-shtyrevoy-vtulochnyy-izolirovannyy-f-18-mm-4-mm-nshvi-4-0-18-seryy-rexant-08-0822/", "Инфо")</f>
        <v>Инфо</v>
      </c>
      <c r="F1486" s="16" t="s">
        <v>39</v>
      </c>
      <c r="G1486" s="15"/>
      <c r="H1486" s="15"/>
      <c r="I1486" s="15"/>
      <c r="J1486" s="22">
        <v>32900</v>
      </c>
      <c r="K1486" s="15" t="s">
        <v>1665</v>
      </c>
      <c r="L1486" s="17">
        <v>500</v>
      </c>
      <c r="M1486" s="22">
        <v>20000</v>
      </c>
      <c r="N1486" s="17">
        <v>500</v>
      </c>
      <c r="O1486" s="18">
        <v>2.98</v>
      </c>
      <c r="P1486" s="18">
        <v>2.44</v>
      </c>
      <c r="Q1486" s="18">
        <v>2.5299999999999998</v>
      </c>
      <c r="R1486" s="18">
        <v>2.0699999999999998</v>
      </c>
      <c r="S1486" s="18">
        <v>2.0299999999999998</v>
      </c>
      <c r="T1486" s="18">
        <v>1.66</v>
      </c>
      <c r="U1486" s="16"/>
      <c r="V1486" s="16"/>
      <c r="W1486" s="16" t="s">
        <v>40</v>
      </c>
      <c r="X1486" s="19">
        <v>0</v>
      </c>
      <c r="Y1486" s="20">
        <v>1.9999999999999999E-6</v>
      </c>
      <c r="Z1486" s="21">
        <v>4601004020481</v>
      </c>
    </row>
    <row r="1487" spans="1:26" ht="12" customHeight="1" outlineLevel="4" x14ac:dyDescent="0.2">
      <c r="A1487" s="14" t="s">
        <v>2929</v>
      </c>
      <c r="B1487" s="26" t="s">
        <v>2930</v>
      </c>
      <c r="C1487" s="52"/>
      <c r="D1487" s="55">
        <f t="shared" si="23"/>
        <v>0</v>
      </c>
      <c r="E1487" s="63" t="str">
        <f>HYPERLINK("https://www.sds-group.ru/product/nakonechnik-shtyrevoy-vtulochnyy-izolirovannyy-f-18-mm-6-mm-nshvi-6-0-18-zelenyy-rexant-08-1824/", "Инфо")</f>
        <v>Инфо</v>
      </c>
      <c r="F1487" s="16" t="s">
        <v>39</v>
      </c>
      <c r="G1487" s="15"/>
      <c r="H1487" s="15"/>
      <c r="I1487" s="15"/>
      <c r="J1487" s="16" t="s">
        <v>100</v>
      </c>
      <c r="K1487" s="15" t="s">
        <v>1650</v>
      </c>
      <c r="L1487" s="17">
        <v>500</v>
      </c>
      <c r="M1487" s="22">
        <v>25000</v>
      </c>
      <c r="N1487" s="17">
        <v>500</v>
      </c>
      <c r="O1487" s="18">
        <v>3.64</v>
      </c>
      <c r="P1487" s="18">
        <v>2.98</v>
      </c>
      <c r="Q1487" s="18">
        <v>3.09</v>
      </c>
      <c r="R1487" s="18">
        <v>2.5299999999999998</v>
      </c>
      <c r="S1487" s="18">
        <v>2.48</v>
      </c>
      <c r="T1487" s="18">
        <v>2.0299999999999998</v>
      </c>
      <c r="U1487" s="16"/>
      <c r="V1487" s="16"/>
      <c r="W1487" s="16" t="s">
        <v>40</v>
      </c>
      <c r="X1487" s="19">
        <v>0</v>
      </c>
      <c r="Y1487" s="20">
        <v>1.9999999999999999E-6</v>
      </c>
      <c r="Z1487" s="21">
        <v>4601004020627</v>
      </c>
    </row>
    <row r="1488" spans="1:26" ht="12" customHeight="1" outlineLevel="4" x14ac:dyDescent="0.2">
      <c r="A1488" s="32" t="s">
        <v>2931</v>
      </c>
      <c r="B1488" s="74" t="s">
        <v>2932</v>
      </c>
      <c r="C1488" s="50"/>
      <c r="D1488" s="53">
        <f t="shared" si="23"/>
        <v>0</v>
      </c>
      <c r="E1488" s="60" t="str">
        <f>HYPERLINK("https://www.sds-group.ru/product/nakonechnik-shtyrevoy-vtulochnyy-izolirovannyy-f-20-mm-50-mm-nshvi-50-20-olivkovyy-rexant-08-0836/", "Инфо")</f>
        <v>Инфо</v>
      </c>
      <c r="F1488" s="34" t="s">
        <v>39</v>
      </c>
      <c r="G1488" s="33"/>
      <c r="H1488" s="33" t="s">
        <v>40</v>
      </c>
      <c r="I1488" s="33"/>
      <c r="J1488" s="35">
        <v>300</v>
      </c>
      <c r="K1488" s="33"/>
      <c r="L1488" s="35">
        <v>100</v>
      </c>
      <c r="M1488" s="39">
        <v>2000</v>
      </c>
      <c r="N1488" s="35">
        <v>100</v>
      </c>
      <c r="O1488" s="36">
        <v>15.5</v>
      </c>
      <c r="P1488" s="36">
        <v>12.7</v>
      </c>
      <c r="Q1488" s="36">
        <v>10.85</v>
      </c>
      <c r="R1488" s="36">
        <v>8.89</v>
      </c>
      <c r="S1488" s="36">
        <v>10.54</v>
      </c>
      <c r="T1488" s="36">
        <v>8.64</v>
      </c>
      <c r="U1488" s="34"/>
      <c r="V1488" s="34"/>
      <c r="W1488" s="34"/>
      <c r="X1488" s="37">
        <v>3.0000000000000001E-3</v>
      </c>
      <c r="Y1488" s="38">
        <v>2.0000000000000002E-5</v>
      </c>
      <c r="Z1488" s="21">
        <v>4601004020504</v>
      </c>
    </row>
    <row r="1489" spans="1:26" ht="12" customHeight="1" outlineLevel="4" x14ac:dyDescent="0.2">
      <c r="A1489" s="14" t="s">
        <v>2933</v>
      </c>
      <c r="B1489" s="26" t="s">
        <v>2934</v>
      </c>
      <c r="C1489" s="52"/>
      <c r="D1489" s="55">
        <f t="shared" si="23"/>
        <v>0</v>
      </c>
      <c r="E1489" s="63" t="str">
        <f>HYPERLINK("https://www.sds-group.ru/product/nakonechnik-shtyrevoy-vtulochnyy-izolirovannyy-f-8-mm-0-5-mm-nshvi-0-5-8-belyy-rexant-08-0811/", "Инфо")</f>
        <v>Инфо</v>
      </c>
      <c r="F1489" s="16" t="s">
        <v>39</v>
      </c>
      <c r="G1489" s="15"/>
      <c r="H1489" s="15"/>
      <c r="I1489" s="15"/>
      <c r="J1489" s="22">
        <v>32470</v>
      </c>
      <c r="K1489" s="15" t="s">
        <v>210</v>
      </c>
      <c r="L1489" s="22">
        <v>1000</v>
      </c>
      <c r="M1489" s="22">
        <v>100000</v>
      </c>
      <c r="N1489" s="22">
        <v>1000</v>
      </c>
      <c r="O1489" s="18">
        <v>0.59</v>
      </c>
      <c r="P1489" s="18">
        <v>0.48</v>
      </c>
      <c r="Q1489" s="18">
        <v>0.5</v>
      </c>
      <c r="R1489" s="18">
        <v>0.41</v>
      </c>
      <c r="S1489" s="18">
        <v>0.4</v>
      </c>
      <c r="T1489" s="18">
        <v>0.33</v>
      </c>
      <c r="U1489" s="16"/>
      <c r="V1489" s="16"/>
      <c r="W1489" s="16" t="s">
        <v>40</v>
      </c>
      <c r="X1489" s="19">
        <v>0</v>
      </c>
      <c r="Y1489" s="20">
        <v>0</v>
      </c>
      <c r="Z1489" s="21">
        <v>4660008012366</v>
      </c>
    </row>
    <row r="1490" spans="1:26" ht="12" customHeight="1" outlineLevel="4" x14ac:dyDescent="0.2">
      <c r="A1490" s="14" t="s">
        <v>2935</v>
      </c>
      <c r="B1490" s="26" t="s">
        <v>2936</v>
      </c>
      <c r="C1490" s="52"/>
      <c r="D1490" s="55">
        <f t="shared" si="23"/>
        <v>0</v>
      </c>
      <c r="E1490" s="63" t="str">
        <f>HYPERLINK("https://www.sds-group.ru/product/nakonechnik-shtyrevoy-vtulochnyy-izolirovannyy-f-8-mm-0-75-mm-nshvi-0-75-8-e7508-siniy-v-u-06-0404-A/", "Инфо")</f>
        <v>Инфо</v>
      </c>
      <c r="F1490" s="16" t="s">
        <v>1001</v>
      </c>
      <c r="G1490" s="15"/>
      <c r="H1490" s="15"/>
      <c r="I1490" s="15"/>
      <c r="J1490" s="16" t="s">
        <v>100</v>
      </c>
      <c r="K1490" s="15"/>
      <c r="L1490" s="17">
        <v>10</v>
      </c>
      <c r="M1490" s="17">
        <v>10</v>
      </c>
      <c r="N1490" s="17">
        <v>10</v>
      </c>
      <c r="O1490" s="18">
        <v>67.680000000000007</v>
      </c>
      <c r="P1490" s="18">
        <v>55.48</v>
      </c>
      <c r="Q1490" s="18">
        <v>57.53</v>
      </c>
      <c r="R1490" s="18">
        <v>47.16</v>
      </c>
      <c r="S1490" s="18">
        <v>46.02</v>
      </c>
      <c r="T1490" s="18">
        <v>37.72</v>
      </c>
      <c r="U1490" s="16"/>
      <c r="V1490" s="16"/>
      <c r="W1490" s="16" t="s">
        <v>40</v>
      </c>
      <c r="X1490" s="19">
        <v>8.0000000000000002E-3</v>
      </c>
      <c r="Y1490" s="20">
        <v>1.55E-4</v>
      </c>
      <c r="Z1490" s="21">
        <v>4601004121539</v>
      </c>
    </row>
    <row r="1491" spans="1:26" ht="12" customHeight="1" outlineLevel="4" x14ac:dyDescent="0.2">
      <c r="A1491" s="14" t="s">
        <v>2937</v>
      </c>
      <c r="B1491" s="26" t="s">
        <v>2938</v>
      </c>
      <c r="C1491" s="52"/>
      <c r="D1491" s="55">
        <f t="shared" si="23"/>
        <v>0</v>
      </c>
      <c r="E1491" s="63" t="str">
        <f>HYPERLINK("https://www.sds-group.ru/product/nakonechnik-shtyrevoy-vtulochnyy-izolirovannyy-f-8-mm-0-75-mm-nshvi-0-75-8-siniy-rexant-08-0812/", "Инфо")</f>
        <v>Инфо</v>
      </c>
      <c r="F1491" s="16" t="s">
        <v>39</v>
      </c>
      <c r="G1491" s="15"/>
      <c r="H1491" s="15"/>
      <c r="I1491" s="15"/>
      <c r="J1491" s="16" t="s">
        <v>100</v>
      </c>
      <c r="K1491" s="15" t="s">
        <v>1650</v>
      </c>
      <c r="L1491" s="22">
        <v>1000</v>
      </c>
      <c r="M1491" s="22">
        <v>100000</v>
      </c>
      <c r="N1491" s="22">
        <v>1000</v>
      </c>
      <c r="O1491" s="18">
        <v>0.73</v>
      </c>
      <c r="P1491" s="18">
        <v>0.6</v>
      </c>
      <c r="Q1491" s="18">
        <v>0.62</v>
      </c>
      <c r="R1491" s="18">
        <v>0.51</v>
      </c>
      <c r="S1491" s="18">
        <v>0.5</v>
      </c>
      <c r="T1491" s="18">
        <v>0.41</v>
      </c>
      <c r="U1491" s="16"/>
      <c r="V1491" s="16"/>
      <c r="W1491" s="16" t="s">
        <v>40</v>
      </c>
      <c r="X1491" s="19">
        <v>0</v>
      </c>
      <c r="Y1491" s="20">
        <v>0</v>
      </c>
      <c r="Z1491" s="21">
        <v>4660008012373</v>
      </c>
    </row>
    <row r="1492" spans="1:26" ht="12" customHeight="1" outlineLevel="4" x14ac:dyDescent="0.2">
      <c r="A1492" s="14" t="s">
        <v>2939</v>
      </c>
      <c r="B1492" s="26" t="s">
        <v>2940</v>
      </c>
      <c r="C1492" s="52"/>
      <c r="D1492" s="55">
        <f t="shared" si="23"/>
        <v>0</v>
      </c>
      <c r="E1492" s="63" t="str">
        <f>HYPERLINK("https://www.sds-group.ru/product/nakonechnik-shtyrevoy-vtulochnyy-izolirovannyy-f-8-mm-1-mm-nshvi-1-0-8-zheltyy-rexant-08-0813/", "Инфо")</f>
        <v>Инфо</v>
      </c>
      <c r="F1492" s="16" t="s">
        <v>39</v>
      </c>
      <c r="G1492" s="15"/>
      <c r="H1492" s="15"/>
      <c r="I1492" s="15"/>
      <c r="J1492" s="16" t="s">
        <v>100</v>
      </c>
      <c r="K1492" s="15" t="s">
        <v>1650</v>
      </c>
      <c r="L1492" s="22">
        <v>1000</v>
      </c>
      <c r="M1492" s="22">
        <v>100000</v>
      </c>
      <c r="N1492" s="22">
        <v>1000</v>
      </c>
      <c r="O1492" s="18">
        <v>0.7</v>
      </c>
      <c r="P1492" s="18">
        <v>0.56999999999999995</v>
      </c>
      <c r="Q1492" s="18">
        <v>0.6</v>
      </c>
      <c r="R1492" s="18">
        <v>0.49</v>
      </c>
      <c r="S1492" s="18">
        <v>0.48</v>
      </c>
      <c r="T1492" s="18">
        <v>0.39</v>
      </c>
      <c r="U1492" s="16"/>
      <c r="V1492" s="16"/>
      <c r="W1492" s="16" t="s">
        <v>40</v>
      </c>
      <c r="X1492" s="19">
        <v>0</v>
      </c>
      <c r="Y1492" s="20">
        <v>0</v>
      </c>
      <c r="Z1492" s="21">
        <v>4660008012380</v>
      </c>
    </row>
    <row r="1493" spans="1:26" ht="12" customHeight="1" outlineLevel="4" x14ac:dyDescent="0.2">
      <c r="A1493" s="14" t="s">
        <v>2941</v>
      </c>
      <c r="B1493" s="26" t="s">
        <v>2942</v>
      </c>
      <c r="C1493" s="52"/>
      <c r="D1493" s="55">
        <f t="shared" si="23"/>
        <v>0</v>
      </c>
      <c r="E1493" s="63" t="str">
        <f>HYPERLINK("https://www.sds-group.ru/product/nakonechnik-shtyrevoy-vtulochnyy-izolirovannyy-f-8-mm-1-5-mm-nshvi-1-5-8-e-1-5-8-e1508-che-06-0406-A/", "Инфо")</f>
        <v>Инфо</v>
      </c>
      <c r="F1493" s="16" t="s">
        <v>1001</v>
      </c>
      <c r="G1493" s="15"/>
      <c r="H1493" s="15"/>
      <c r="I1493" s="15"/>
      <c r="J1493" s="17">
        <v>495</v>
      </c>
      <c r="K1493" s="15"/>
      <c r="L1493" s="17">
        <v>10</v>
      </c>
      <c r="M1493" s="17">
        <v>10</v>
      </c>
      <c r="N1493" s="17">
        <v>10</v>
      </c>
      <c r="O1493" s="18">
        <v>72.39</v>
      </c>
      <c r="P1493" s="18">
        <v>59.34</v>
      </c>
      <c r="Q1493" s="18">
        <v>61.53</v>
      </c>
      <c r="R1493" s="18">
        <v>50.43</v>
      </c>
      <c r="S1493" s="18">
        <v>49.23</v>
      </c>
      <c r="T1493" s="18">
        <v>40.35</v>
      </c>
      <c r="U1493" s="16"/>
      <c r="V1493" s="16"/>
      <c r="W1493" s="16" t="s">
        <v>40</v>
      </c>
      <c r="X1493" s="19">
        <v>8.9999999999999993E-3</v>
      </c>
      <c r="Y1493" s="20">
        <v>1.4999999999999999E-4</v>
      </c>
      <c r="Z1493" s="21">
        <v>4601004121553</v>
      </c>
    </row>
    <row r="1494" spans="1:26" ht="12" customHeight="1" outlineLevel="4" x14ac:dyDescent="0.2">
      <c r="A1494" s="14" t="s">
        <v>2943</v>
      </c>
      <c r="B1494" s="26" t="s">
        <v>2944</v>
      </c>
      <c r="C1494" s="52"/>
      <c r="D1494" s="55">
        <f t="shared" si="23"/>
        <v>0</v>
      </c>
      <c r="E1494" s="63" t="str">
        <f>HYPERLINK("https://www.sds-group.ru/product/nakonechnik-shtyrevoy-vtulochnyy-izolirovannyy-f-8-mm-1-5-mm-nshvi-1-5-8-chernyy-rexant-08-0814/", "Инфо")</f>
        <v>Инфо</v>
      </c>
      <c r="F1494" s="16" t="s">
        <v>39</v>
      </c>
      <c r="G1494" s="15"/>
      <c r="H1494" s="15"/>
      <c r="I1494" s="15"/>
      <c r="J1494" s="22">
        <v>160710</v>
      </c>
      <c r="K1494" s="15" t="s">
        <v>1650</v>
      </c>
      <c r="L1494" s="22">
        <v>1000</v>
      </c>
      <c r="M1494" s="22">
        <v>80000</v>
      </c>
      <c r="N1494" s="22">
        <v>1000</v>
      </c>
      <c r="O1494" s="18">
        <v>0.87</v>
      </c>
      <c r="P1494" s="18">
        <v>0.71</v>
      </c>
      <c r="Q1494" s="18">
        <v>0.74</v>
      </c>
      <c r="R1494" s="18">
        <v>0.61</v>
      </c>
      <c r="S1494" s="18">
        <v>0.59</v>
      </c>
      <c r="T1494" s="18">
        <v>0.48</v>
      </c>
      <c r="U1494" s="16"/>
      <c r="V1494" s="16"/>
      <c r="W1494" s="16" t="s">
        <v>40</v>
      </c>
      <c r="X1494" s="19">
        <v>0</v>
      </c>
      <c r="Y1494" s="20">
        <v>0</v>
      </c>
      <c r="Z1494" s="21">
        <v>4660008012397</v>
      </c>
    </row>
    <row r="1495" spans="1:26" ht="12" customHeight="1" outlineLevel="4" x14ac:dyDescent="0.2">
      <c r="A1495" s="14" t="s">
        <v>2945</v>
      </c>
      <c r="B1495" s="26" t="s">
        <v>2946</v>
      </c>
      <c r="C1495" s="52"/>
      <c r="D1495" s="55">
        <f t="shared" si="23"/>
        <v>0</v>
      </c>
      <c r="E1495" s="63" t="str">
        <f>HYPERLINK("https://www.sds-group.ru/product/nakonechnik-shtyrevoy-vtulochnyy-izolirovannyy-f-8-mm-2-5-mm-nshvi-2-5-8-e-2-5-8-e2508-sin-06-0407-A/", "Инфо")</f>
        <v>Инфо</v>
      </c>
      <c r="F1495" s="16" t="s">
        <v>1001</v>
      </c>
      <c r="G1495" s="15"/>
      <c r="H1495" s="15"/>
      <c r="I1495" s="15"/>
      <c r="J1495" s="17">
        <v>842</v>
      </c>
      <c r="K1495" s="15"/>
      <c r="L1495" s="17">
        <v>10</v>
      </c>
      <c r="M1495" s="17">
        <v>10</v>
      </c>
      <c r="N1495" s="17">
        <v>10</v>
      </c>
      <c r="O1495" s="18">
        <v>73.650000000000006</v>
      </c>
      <c r="P1495" s="18">
        <v>60.37</v>
      </c>
      <c r="Q1495" s="18">
        <v>62.6</v>
      </c>
      <c r="R1495" s="18">
        <v>51.31</v>
      </c>
      <c r="S1495" s="18">
        <v>50.08</v>
      </c>
      <c r="T1495" s="18">
        <v>41.05</v>
      </c>
      <c r="U1495" s="16"/>
      <c r="V1495" s="16"/>
      <c r="W1495" s="16" t="s">
        <v>40</v>
      </c>
      <c r="X1495" s="19">
        <v>8.9999999999999993E-3</v>
      </c>
      <c r="Y1495" s="20">
        <v>1.5200000000000001E-4</v>
      </c>
      <c r="Z1495" s="21">
        <v>4601004121560</v>
      </c>
    </row>
    <row r="1496" spans="1:26" ht="12" customHeight="1" outlineLevel="4" x14ac:dyDescent="0.2">
      <c r="A1496" s="14" t="s">
        <v>2947</v>
      </c>
      <c r="B1496" s="26" t="s">
        <v>2948</v>
      </c>
      <c r="C1496" s="52"/>
      <c r="D1496" s="55">
        <f t="shared" si="23"/>
        <v>0</v>
      </c>
      <c r="E1496" s="63" t="str">
        <f>HYPERLINK("https://www.sds-group.ru/product/nakonechnik-shtyrevoy-vtulochnyy-izolirovannyy-f-8-mm-2-5-mm-nshvi-2-5-8-siniy-rexant-08-0815/", "Инфо")</f>
        <v>Инфо</v>
      </c>
      <c r="F1496" s="16" t="s">
        <v>39</v>
      </c>
      <c r="G1496" s="15"/>
      <c r="H1496" s="15"/>
      <c r="I1496" s="15"/>
      <c r="J1496" s="22">
        <v>127720</v>
      </c>
      <c r="K1496" s="15" t="s">
        <v>1650</v>
      </c>
      <c r="L1496" s="22">
        <v>1000</v>
      </c>
      <c r="M1496" s="22">
        <v>60000</v>
      </c>
      <c r="N1496" s="22">
        <v>1000</v>
      </c>
      <c r="O1496" s="18">
        <v>0.81</v>
      </c>
      <c r="P1496" s="18">
        <v>0.66</v>
      </c>
      <c r="Q1496" s="18">
        <v>0.69</v>
      </c>
      <c r="R1496" s="18">
        <v>0.56999999999999995</v>
      </c>
      <c r="S1496" s="18">
        <v>0.55000000000000004</v>
      </c>
      <c r="T1496" s="18">
        <v>0.45</v>
      </c>
      <c r="U1496" s="16"/>
      <c r="V1496" s="16"/>
      <c r="W1496" s="16" t="s">
        <v>40</v>
      </c>
      <c r="X1496" s="19">
        <v>0</v>
      </c>
      <c r="Y1496" s="20">
        <v>9.9999999999999995E-7</v>
      </c>
      <c r="Z1496" s="21">
        <v>4660008012403</v>
      </c>
    </row>
    <row r="1497" spans="1:26" ht="12" customHeight="1" outlineLevel="4" x14ac:dyDescent="0.2">
      <c r="A1497" s="14" t="s">
        <v>2949</v>
      </c>
      <c r="B1497" s="26" t="s">
        <v>2950</v>
      </c>
      <c r="C1497" s="52"/>
      <c r="D1497" s="55">
        <f t="shared" si="23"/>
        <v>0</v>
      </c>
      <c r="E1497" s="63" t="str">
        <f>HYPERLINK("https://www.sds-group.ru/product/nakonechnik-shtyrevoy-vtulochnyy-izolirovannyy-f-8-mm-2h0-5-mm-nshvi-2-0-5-8-ngi2-0-5-8-bely-08-2801/", "Инфо")</f>
        <v>Инфо</v>
      </c>
      <c r="F1497" s="16" t="s">
        <v>39</v>
      </c>
      <c r="G1497" s="15"/>
      <c r="H1497" s="15"/>
      <c r="I1497" s="15"/>
      <c r="J1497" s="22">
        <v>43120</v>
      </c>
      <c r="K1497" s="15" t="s">
        <v>1665</v>
      </c>
      <c r="L1497" s="22">
        <v>1000</v>
      </c>
      <c r="M1497" s="22">
        <v>60000</v>
      </c>
      <c r="N1497" s="22">
        <v>1000</v>
      </c>
      <c r="O1497" s="18">
        <v>1.41</v>
      </c>
      <c r="P1497" s="18">
        <v>1.1599999999999999</v>
      </c>
      <c r="Q1497" s="18">
        <v>1.2</v>
      </c>
      <c r="R1497" s="18">
        <v>0.98</v>
      </c>
      <c r="S1497" s="18">
        <v>0.96</v>
      </c>
      <c r="T1497" s="18">
        <v>0.79</v>
      </c>
      <c r="U1497" s="16"/>
      <c r="V1497" s="16"/>
      <c r="W1497" s="16" t="s">
        <v>40</v>
      </c>
      <c r="X1497" s="19">
        <v>0</v>
      </c>
      <c r="Y1497" s="20">
        <v>9.9999999999999995E-7</v>
      </c>
      <c r="Z1497" s="21">
        <v>4601004020740</v>
      </c>
    </row>
    <row r="1498" spans="1:26" ht="12" customHeight="1" outlineLevel="4" x14ac:dyDescent="0.2">
      <c r="A1498" s="14" t="s">
        <v>2951</v>
      </c>
      <c r="B1498" s="26" t="s">
        <v>2952</v>
      </c>
      <c r="C1498" s="52"/>
      <c r="D1498" s="55">
        <f t="shared" si="23"/>
        <v>0</v>
      </c>
      <c r="E1498" s="63" t="str">
        <f>HYPERLINK("https://www.sds-group.ru/product/nakonechnik-shtyrevoy-vtulochnyy-izolirovannyy-f-8-mm-2h0-75-mm-nshvi-2-0-75-8-ngi2-0-75-8-s-08-2802/", "Инфо")</f>
        <v>Инфо</v>
      </c>
      <c r="F1498" s="16" t="s">
        <v>39</v>
      </c>
      <c r="G1498" s="15"/>
      <c r="H1498" s="15"/>
      <c r="I1498" s="15"/>
      <c r="J1498" s="22">
        <v>54400</v>
      </c>
      <c r="K1498" s="15" t="s">
        <v>2750</v>
      </c>
      <c r="L1498" s="22">
        <v>1000</v>
      </c>
      <c r="M1498" s="22">
        <v>20000</v>
      </c>
      <c r="N1498" s="22">
        <v>1000</v>
      </c>
      <c r="O1498" s="18">
        <v>1.48</v>
      </c>
      <c r="P1498" s="18">
        <v>1.21</v>
      </c>
      <c r="Q1498" s="18">
        <v>1.26</v>
      </c>
      <c r="R1498" s="18">
        <v>1.03</v>
      </c>
      <c r="S1498" s="18">
        <v>1.01</v>
      </c>
      <c r="T1498" s="18">
        <v>0.83</v>
      </c>
      <c r="U1498" s="16"/>
      <c r="V1498" s="16"/>
      <c r="W1498" s="16" t="s">
        <v>40</v>
      </c>
      <c r="X1498" s="19">
        <v>0</v>
      </c>
      <c r="Y1498" s="20">
        <v>9.9999999999999995E-7</v>
      </c>
      <c r="Z1498" s="21">
        <v>4601004020757</v>
      </c>
    </row>
    <row r="1499" spans="1:26" ht="12" customHeight="1" outlineLevel="4" x14ac:dyDescent="0.2">
      <c r="A1499" s="14" t="s">
        <v>2953</v>
      </c>
      <c r="B1499" s="26" t="s">
        <v>2954</v>
      </c>
      <c r="C1499" s="52"/>
      <c r="D1499" s="55">
        <f t="shared" si="23"/>
        <v>0</v>
      </c>
      <c r="E1499" s="63" t="str">
        <f>HYPERLINK("https://www.sds-group.ru/product/nakonechnik-shtyrevoy-vtulochnyy-izolirovannyy-f-8-mm-2h1-mm-nshvi-2-1-0-8-ngi2-1-0-8-krasny-08-2803/", "Инфо")</f>
        <v>Инфо</v>
      </c>
      <c r="F1499" s="16" t="s">
        <v>39</v>
      </c>
      <c r="G1499" s="15"/>
      <c r="H1499" s="15"/>
      <c r="I1499" s="15"/>
      <c r="J1499" s="22">
        <v>58300</v>
      </c>
      <c r="K1499" s="15"/>
      <c r="L1499" s="22">
        <v>1000</v>
      </c>
      <c r="M1499" s="22">
        <v>20000</v>
      </c>
      <c r="N1499" s="22">
        <v>1000</v>
      </c>
      <c r="O1499" s="18">
        <v>1.71</v>
      </c>
      <c r="P1499" s="18">
        <v>1.4</v>
      </c>
      <c r="Q1499" s="18">
        <v>1.45</v>
      </c>
      <c r="R1499" s="18">
        <v>1.19</v>
      </c>
      <c r="S1499" s="18">
        <v>1.1599999999999999</v>
      </c>
      <c r="T1499" s="18">
        <v>0.95</v>
      </c>
      <c r="U1499" s="16"/>
      <c r="V1499" s="16"/>
      <c r="W1499" s="16" t="s">
        <v>40</v>
      </c>
      <c r="X1499" s="19">
        <v>0</v>
      </c>
      <c r="Y1499" s="20">
        <v>9.9999999999999995E-7</v>
      </c>
      <c r="Z1499" s="21">
        <v>4601004020764</v>
      </c>
    </row>
    <row r="1500" spans="1:26" ht="12" customHeight="1" outlineLevel="4" x14ac:dyDescent="0.2">
      <c r="A1500" s="14" t="s">
        <v>2955</v>
      </c>
      <c r="B1500" s="26" t="s">
        <v>2956</v>
      </c>
      <c r="C1500" s="52"/>
      <c r="D1500" s="55">
        <f t="shared" si="23"/>
        <v>0</v>
      </c>
      <c r="E1500" s="63" t="str">
        <f>HYPERLINK("https://www.sds-group.ru/product/nakonechnik-shtyrevoy-vtulochnyy-izolirovannyy-f-8-mm-2h1-5-mm-nshvi-2-1-5-8-ngi2-1-5-8-cher-08-2806/", "Инфо")</f>
        <v>Инфо</v>
      </c>
      <c r="F1500" s="16" t="s">
        <v>39</v>
      </c>
      <c r="G1500" s="15"/>
      <c r="H1500" s="15"/>
      <c r="I1500" s="15"/>
      <c r="J1500" s="22">
        <v>31400</v>
      </c>
      <c r="K1500" s="15" t="s">
        <v>2750</v>
      </c>
      <c r="L1500" s="17">
        <v>500</v>
      </c>
      <c r="M1500" s="22">
        <v>40000</v>
      </c>
      <c r="N1500" s="17">
        <v>500</v>
      </c>
      <c r="O1500" s="18">
        <v>1.93</v>
      </c>
      <c r="P1500" s="18">
        <v>1.58</v>
      </c>
      <c r="Q1500" s="18">
        <v>1.64</v>
      </c>
      <c r="R1500" s="18">
        <v>1.34</v>
      </c>
      <c r="S1500" s="18">
        <v>1.31</v>
      </c>
      <c r="T1500" s="18">
        <v>1.07</v>
      </c>
      <c r="U1500" s="16"/>
      <c r="V1500" s="16"/>
      <c r="W1500" s="16" t="s">
        <v>40</v>
      </c>
      <c r="X1500" s="19">
        <v>0</v>
      </c>
      <c r="Y1500" s="20">
        <v>9.9999999999999995E-7</v>
      </c>
      <c r="Z1500" s="21">
        <v>4601004020771</v>
      </c>
    </row>
    <row r="1501" spans="1:26" ht="12" customHeight="1" outlineLevel="4" x14ac:dyDescent="0.2">
      <c r="A1501" s="14" t="s">
        <v>2957</v>
      </c>
      <c r="B1501" s="26" t="s">
        <v>2958</v>
      </c>
      <c r="C1501" s="52"/>
      <c r="D1501" s="55">
        <f t="shared" si="23"/>
        <v>0</v>
      </c>
      <c r="E1501" s="63" t="str">
        <f>HYPERLINK("https://www.sds-group.ru/product/nakonechnik-shtyrevoy-vtulochnyy-izolirovannyy-f-9-mm-4-mm-nshvi-4-0-9-seryy-rexant-08-0821/", "Инфо")</f>
        <v>Инфо</v>
      </c>
      <c r="F1501" s="16" t="s">
        <v>39</v>
      </c>
      <c r="G1501" s="15"/>
      <c r="H1501" s="15"/>
      <c r="I1501" s="15"/>
      <c r="J1501" s="16" t="s">
        <v>100</v>
      </c>
      <c r="K1501" s="15" t="s">
        <v>1650</v>
      </c>
      <c r="L1501" s="22">
        <v>1000</v>
      </c>
      <c r="M1501" s="22">
        <v>40000</v>
      </c>
      <c r="N1501" s="22">
        <v>1000</v>
      </c>
      <c r="O1501" s="18">
        <v>1.23</v>
      </c>
      <c r="P1501" s="18">
        <v>1.01</v>
      </c>
      <c r="Q1501" s="18">
        <v>1.05</v>
      </c>
      <c r="R1501" s="18">
        <v>0.86</v>
      </c>
      <c r="S1501" s="18">
        <v>0.84</v>
      </c>
      <c r="T1501" s="18">
        <v>0.69</v>
      </c>
      <c r="U1501" s="16"/>
      <c r="V1501" s="16"/>
      <c r="W1501" s="16" t="s">
        <v>40</v>
      </c>
      <c r="X1501" s="19">
        <v>0</v>
      </c>
      <c r="Y1501" s="20">
        <v>9.9999999999999995E-7</v>
      </c>
      <c r="Z1501" s="21">
        <v>4660008012427</v>
      </c>
    </row>
    <row r="1502" spans="1:26" ht="12.95" customHeight="1" outlineLevel="3" x14ac:dyDescent="0.2">
      <c r="A1502" s="76" t="s">
        <v>2959</v>
      </c>
      <c r="B1502" s="76"/>
      <c r="C1502" s="77"/>
      <c r="D1502" s="58"/>
      <c r="E1502" s="68"/>
      <c r="F1502" s="13"/>
      <c r="G1502" s="13"/>
      <c r="H1502" s="13"/>
      <c r="I1502" s="13"/>
      <c r="J1502" s="13"/>
      <c r="K1502" s="13"/>
      <c r="L1502" s="13"/>
      <c r="M1502" s="13"/>
      <c r="N1502" s="13"/>
      <c r="O1502" s="13"/>
      <c r="P1502" s="13"/>
      <c r="Q1502" s="13"/>
      <c r="R1502" s="13"/>
      <c r="S1502" s="13"/>
      <c r="T1502" s="13"/>
      <c r="U1502" s="13"/>
      <c r="V1502" s="13"/>
      <c r="W1502" s="13"/>
      <c r="X1502" s="13"/>
      <c r="Y1502" s="13"/>
      <c r="Z1502" s="13"/>
    </row>
    <row r="1503" spans="1:26" ht="12" customHeight="1" outlineLevel="4" x14ac:dyDescent="0.2">
      <c r="A1503" s="14" t="s">
        <v>2960</v>
      </c>
      <c r="B1503" s="26" t="s">
        <v>2961</v>
      </c>
      <c r="C1503" s="52"/>
      <c r="D1503" s="55">
        <f t="shared" si="23"/>
        <v>0</v>
      </c>
      <c r="E1503" s="63" t="str">
        <f>HYPERLINK("https://www.sds-group.ru/product/nakonechnik-vilochnyy-rexant-4-5-mm-1-1-5-mm-nv-1-5-4-08-0171/", "Инфо")</f>
        <v>Инфо</v>
      </c>
      <c r="F1503" s="16" t="s">
        <v>39</v>
      </c>
      <c r="G1503" s="15"/>
      <c r="H1503" s="15"/>
      <c r="I1503" s="15"/>
      <c r="J1503" s="22">
        <v>37000</v>
      </c>
      <c r="K1503" s="15" t="s">
        <v>2924</v>
      </c>
      <c r="L1503" s="17">
        <v>500</v>
      </c>
      <c r="M1503" s="22">
        <v>60000</v>
      </c>
      <c r="N1503" s="17">
        <v>500</v>
      </c>
      <c r="O1503" s="18">
        <v>3.78</v>
      </c>
      <c r="P1503" s="18">
        <v>3.1</v>
      </c>
      <c r="Q1503" s="18">
        <v>3.21</v>
      </c>
      <c r="R1503" s="18">
        <v>2.63</v>
      </c>
      <c r="S1503" s="18">
        <v>2.57</v>
      </c>
      <c r="T1503" s="18">
        <v>2.11</v>
      </c>
      <c r="U1503" s="16"/>
      <c r="V1503" s="16"/>
      <c r="W1503" s="16" t="s">
        <v>40</v>
      </c>
      <c r="X1503" s="19">
        <v>0</v>
      </c>
      <c r="Y1503" s="20">
        <v>9.9999999999999995E-7</v>
      </c>
      <c r="Z1503" s="21">
        <v>4601004019867</v>
      </c>
    </row>
    <row r="1504" spans="1:26" ht="12" customHeight="1" outlineLevel="4" x14ac:dyDescent="0.2">
      <c r="A1504" s="32" t="s">
        <v>2962</v>
      </c>
      <c r="B1504" s="74" t="s">
        <v>2963</v>
      </c>
      <c r="C1504" s="50"/>
      <c r="D1504" s="53">
        <f t="shared" si="23"/>
        <v>0</v>
      </c>
      <c r="E1504" s="60" t="str">
        <f>HYPERLINK("https://www.sds-group.ru/product/nakonechnik-vilochnyy-rexant-5-5-mm-1-1-5-mm-nv-1-5-5-08-0172/", "Инфо")</f>
        <v>Инфо</v>
      </c>
      <c r="F1504" s="34" t="s">
        <v>39</v>
      </c>
      <c r="G1504" s="33"/>
      <c r="H1504" s="33" t="s">
        <v>40</v>
      </c>
      <c r="I1504" s="33"/>
      <c r="J1504" s="39">
        <v>1600</v>
      </c>
      <c r="K1504" s="33"/>
      <c r="L1504" s="35">
        <v>100</v>
      </c>
      <c r="M1504" s="39">
        <v>20000</v>
      </c>
      <c r="N1504" s="35">
        <v>100</v>
      </c>
      <c r="O1504" s="36">
        <v>4.3600000000000003</v>
      </c>
      <c r="P1504" s="36">
        <v>3.57</v>
      </c>
      <c r="Q1504" s="36">
        <v>3.05</v>
      </c>
      <c r="R1504" s="36">
        <v>2.5</v>
      </c>
      <c r="S1504" s="36">
        <v>2.96</v>
      </c>
      <c r="T1504" s="36">
        <v>2.4300000000000002</v>
      </c>
      <c r="U1504" s="34"/>
      <c r="V1504" s="34"/>
      <c r="W1504" s="34"/>
      <c r="X1504" s="37">
        <v>0</v>
      </c>
      <c r="Y1504" s="38">
        <v>9.9999999999999995E-7</v>
      </c>
      <c r="Z1504" s="21">
        <v>4601004019874</v>
      </c>
    </row>
    <row r="1505" spans="1:26" ht="12" customHeight="1" outlineLevel="4" x14ac:dyDescent="0.2">
      <c r="A1505" s="14" t="s">
        <v>2964</v>
      </c>
      <c r="B1505" s="26" t="s">
        <v>2965</v>
      </c>
      <c r="C1505" s="52"/>
      <c r="D1505" s="55">
        <f t="shared" si="23"/>
        <v>0</v>
      </c>
      <c r="E1505" s="63" t="str">
        <f>HYPERLINK("https://www.sds-group.ru/product/nakonechnik-vilochnyy-rexant-6-5-mm-1-1-5-mm-nv-1-5-6-08-0173/", "Инфо")</f>
        <v>Инфо</v>
      </c>
      <c r="F1505" s="16" t="s">
        <v>39</v>
      </c>
      <c r="G1505" s="15"/>
      <c r="H1505" s="15"/>
      <c r="I1505" s="15"/>
      <c r="J1505" s="16" t="s">
        <v>100</v>
      </c>
      <c r="K1505" s="15" t="s">
        <v>1650</v>
      </c>
      <c r="L1505" s="17">
        <v>100</v>
      </c>
      <c r="M1505" s="22">
        <v>20000</v>
      </c>
      <c r="N1505" s="17">
        <v>100</v>
      </c>
      <c r="O1505" s="18">
        <v>5.94</v>
      </c>
      <c r="P1505" s="18">
        <v>4.87</v>
      </c>
      <c r="Q1505" s="18">
        <v>5.05</v>
      </c>
      <c r="R1505" s="18">
        <v>4.1399999999999997</v>
      </c>
      <c r="S1505" s="18">
        <v>4.04</v>
      </c>
      <c r="T1505" s="18">
        <v>3.31</v>
      </c>
      <c r="U1505" s="16"/>
      <c r="V1505" s="16"/>
      <c r="W1505" s="16" t="s">
        <v>40</v>
      </c>
      <c r="X1505" s="19">
        <v>1E-3</v>
      </c>
      <c r="Y1505" s="20">
        <v>9.9999999999999995E-7</v>
      </c>
      <c r="Z1505" s="21">
        <v>4601004019881</v>
      </c>
    </row>
    <row r="1506" spans="1:26" ht="12" customHeight="1" outlineLevel="4" x14ac:dyDescent="0.2">
      <c r="A1506" s="14" t="s">
        <v>2966</v>
      </c>
      <c r="B1506" s="26" t="s">
        <v>2967</v>
      </c>
      <c r="C1506" s="52"/>
      <c r="D1506" s="55">
        <f t="shared" si="23"/>
        <v>0</v>
      </c>
      <c r="E1506" s="63" t="str">
        <f>HYPERLINK("https://www.sds-group.ru/product/nakonechnik-koltsevoy-rexant-5-2-mm-0-5-0-8mm-nk-5-0-5-0-8-v-upakovke-10-sht-06-0423-A/", "Инфо")</f>
        <v>Инфо</v>
      </c>
      <c r="F1506" s="16" t="s">
        <v>1001</v>
      </c>
      <c r="G1506" s="15"/>
      <c r="H1506" s="15"/>
      <c r="I1506" s="15"/>
      <c r="J1506" s="17">
        <v>172</v>
      </c>
      <c r="K1506" s="15"/>
      <c r="L1506" s="17">
        <v>10</v>
      </c>
      <c r="M1506" s="17">
        <v>10</v>
      </c>
      <c r="N1506" s="17">
        <v>10</v>
      </c>
      <c r="O1506" s="18">
        <v>132.15</v>
      </c>
      <c r="P1506" s="18">
        <v>108.32</v>
      </c>
      <c r="Q1506" s="18">
        <v>112.33</v>
      </c>
      <c r="R1506" s="18">
        <v>92.07</v>
      </c>
      <c r="S1506" s="18">
        <v>89.86</v>
      </c>
      <c r="T1506" s="18">
        <v>73.66</v>
      </c>
      <c r="U1506" s="16"/>
      <c r="V1506" s="16"/>
      <c r="W1506" s="16" t="s">
        <v>40</v>
      </c>
      <c r="X1506" s="19">
        <v>1.4E-2</v>
      </c>
      <c r="Y1506" s="20">
        <v>1.6100000000000001E-4</v>
      </c>
      <c r="Z1506" s="21">
        <v>4601004121690</v>
      </c>
    </row>
    <row r="1507" spans="1:26" ht="12" customHeight="1" outlineLevel="4" x14ac:dyDescent="0.2">
      <c r="A1507" s="14" t="s">
        <v>2968</v>
      </c>
      <c r="B1507" s="26" t="s">
        <v>2969</v>
      </c>
      <c r="C1507" s="52"/>
      <c r="D1507" s="55">
        <f t="shared" si="23"/>
        <v>0</v>
      </c>
      <c r="E1507" s="63" t="str">
        <f>HYPERLINK("https://www.sds-group.ru/product/nakonechnik-koltsevoy-rexant-6-2-mm-0-5-0-8mm-nk-6-0-5-0-8-v-upak-10-sht-06-0424-A/", "Инфо")</f>
        <v>Инфо</v>
      </c>
      <c r="F1507" s="16" t="s">
        <v>1001</v>
      </c>
      <c r="G1507" s="15"/>
      <c r="H1507" s="15"/>
      <c r="I1507" s="15"/>
      <c r="J1507" s="17">
        <v>262</v>
      </c>
      <c r="K1507" s="15"/>
      <c r="L1507" s="17">
        <v>10</v>
      </c>
      <c r="M1507" s="17">
        <v>10</v>
      </c>
      <c r="N1507" s="17">
        <v>10</v>
      </c>
      <c r="O1507" s="18">
        <v>120.23</v>
      </c>
      <c r="P1507" s="18">
        <v>98.55</v>
      </c>
      <c r="Q1507" s="18">
        <v>102.2</v>
      </c>
      <c r="R1507" s="18">
        <v>83.77</v>
      </c>
      <c r="S1507" s="18">
        <v>81.760000000000005</v>
      </c>
      <c r="T1507" s="18">
        <v>67.02</v>
      </c>
      <c r="U1507" s="16"/>
      <c r="V1507" s="16"/>
      <c r="W1507" s="16" t="s">
        <v>40</v>
      </c>
      <c r="X1507" s="19">
        <v>1.2999999999999999E-2</v>
      </c>
      <c r="Y1507" s="20">
        <v>1.5300000000000001E-4</v>
      </c>
      <c r="Z1507" s="21">
        <v>4601004121706</v>
      </c>
    </row>
    <row r="1508" spans="1:26" ht="12" customHeight="1" outlineLevel="4" x14ac:dyDescent="0.2">
      <c r="A1508" s="14" t="s">
        <v>2970</v>
      </c>
      <c r="B1508" s="26" t="s">
        <v>2971</v>
      </c>
      <c r="C1508" s="52"/>
      <c r="D1508" s="55">
        <f t="shared" si="23"/>
        <v>0</v>
      </c>
      <c r="E1508" s="63" t="str">
        <f>HYPERLINK("https://www.sds-group.ru/product/nakonechnik-koltsevoy-rexant-3-5-mm-0-5-0-8-mm-nk-3-0-5-0-8-08-0072/", "Инфо")</f>
        <v>Инфо</v>
      </c>
      <c r="F1508" s="16" t="s">
        <v>39</v>
      </c>
      <c r="G1508" s="15"/>
      <c r="H1508" s="15"/>
      <c r="I1508" s="15"/>
      <c r="J1508" s="22">
        <v>17500</v>
      </c>
      <c r="K1508" s="15" t="s">
        <v>2706</v>
      </c>
      <c r="L1508" s="17">
        <v>500</v>
      </c>
      <c r="M1508" s="22">
        <v>40000</v>
      </c>
      <c r="N1508" s="17">
        <v>500</v>
      </c>
      <c r="O1508" s="18">
        <v>2.68</v>
      </c>
      <c r="P1508" s="18">
        <v>2.2000000000000002</v>
      </c>
      <c r="Q1508" s="18">
        <v>2.2799999999999998</v>
      </c>
      <c r="R1508" s="18">
        <v>1.87</v>
      </c>
      <c r="S1508" s="18">
        <v>1.82</v>
      </c>
      <c r="T1508" s="18">
        <v>1.49</v>
      </c>
      <c r="U1508" s="16"/>
      <c r="V1508" s="16"/>
      <c r="W1508" s="16" t="s">
        <v>40</v>
      </c>
      <c r="X1508" s="19">
        <v>0</v>
      </c>
      <c r="Y1508" s="20">
        <v>9.9999999999999995E-7</v>
      </c>
      <c r="Z1508" s="21">
        <v>4601004019720</v>
      </c>
    </row>
    <row r="1509" spans="1:26" ht="12" customHeight="1" outlineLevel="4" x14ac:dyDescent="0.2">
      <c r="A1509" s="14" t="s">
        <v>2972</v>
      </c>
      <c r="B1509" s="26" t="s">
        <v>2973</v>
      </c>
      <c r="C1509" s="52"/>
      <c r="D1509" s="55">
        <f t="shared" si="23"/>
        <v>0</v>
      </c>
      <c r="E1509" s="63" t="str">
        <f>HYPERLINK("https://www.sds-group.ru/product/nakonechnik-koltsevoy-rexant-4-3-mm-0-5-0-8-mm-nk-4-0-5-0-8-08-0076/", "Инфо")</f>
        <v>Инфо</v>
      </c>
      <c r="F1509" s="16" t="s">
        <v>39</v>
      </c>
      <c r="G1509" s="15"/>
      <c r="H1509" s="15"/>
      <c r="I1509" s="15"/>
      <c r="J1509" s="16" t="s">
        <v>100</v>
      </c>
      <c r="K1509" s="15" t="s">
        <v>1650</v>
      </c>
      <c r="L1509" s="17">
        <v>500</v>
      </c>
      <c r="M1509" s="22">
        <v>20000</v>
      </c>
      <c r="N1509" s="17">
        <v>500</v>
      </c>
      <c r="O1509" s="18">
        <v>3.2</v>
      </c>
      <c r="P1509" s="18">
        <v>2.62</v>
      </c>
      <c r="Q1509" s="18">
        <v>2.72</v>
      </c>
      <c r="R1509" s="18">
        <v>2.23</v>
      </c>
      <c r="S1509" s="18">
        <v>2.1800000000000002</v>
      </c>
      <c r="T1509" s="18">
        <v>1.79</v>
      </c>
      <c r="U1509" s="16"/>
      <c r="V1509" s="16"/>
      <c r="W1509" s="16" t="s">
        <v>40</v>
      </c>
      <c r="X1509" s="19">
        <v>1E-3</v>
      </c>
      <c r="Y1509" s="20">
        <v>9.9999999999999995E-7</v>
      </c>
      <c r="Z1509" s="21">
        <v>4601004019768</v>
      </c>
    </row>
    <row r="1510" spans="1:26" ht="12" customHeight="1" outlineLevel="4" x14ac:dyDescent="0.2">
      <c r="A1510" s="14" t="s">
        <v>2974</v>
      </c>
      <c r="B1510" s="26" t="s">
        <v>2975</v>
      </c>
      <c r="C1510" s="52"/>
      <c r="D1510" s="55">
        <f t="shared" si="23"/>
        <v>0</v>
      </c>
      <c r="E1510" s="63" t="str">
        <f>HYPERLINK("https://www.sds-group.ru/product/nakonechnik-koltsevoy-rexant-5-2-mm-0-5-0-8-mm-nk-5-0-5-0-8-08-0073/", "Инфо")</f>
        <v>Инфо</v>
      </c>
      <c r="F1510" s="16" t="s">
        <v>39</v>
      </c>
      <c r="G1510" s="15"/>
      <c r="H1510" s="15"/>
      <c r="I1510" s="15"/>
      <c r="J1510" s="22">
        <v>57600</v>
      </c>
      <c r="K1510" s="15" t="s">
        <v>1665</v>
      </c>
      <c r="L1510" s="17">
        <v>500</v>
      </c>
      <c r="M1510" s="22">
        <v>20000</v>
      </c>
      <c r="N1510" s="17">
        <v>500</v>
      </c>
      <c r="O1510" s="18">
        <v>3.7</v>
      </c>
      <c r="P1510" s="18">
        <v>3.03</v>
      </c>
      <c r="Q1510" s="18">
        <v>3.15</v>
      </c>
      <c r="R1510" s="18">
        <v>2.58</v>
      </c>
      <c r="S1510" s="18">
        <v>2.52</v>
      </c>
      <c r="T1510" s="18">
        <v>2.0699999999999998</v>
      </c>
      <c r="U1510" s="16"/>
      <c r="V1510" s="16"/>
      <c r="W1510" s="16" t="s">
        <v>40</v>
      </c>
      <c r="X1510" s="19">
        <v>1E-3</v>
      </c>
      <c r="Y1510" s="20">
        <v>9.9999999999999995E-7</v>
      </c>
      <c r="Z1510" s="21">
        <v>4601004019737</v>
      </c>
    </row>
    <row r="1511" spans="1:26" ht="12" customHeight="1" outlineLevel="4" x14ac:dyDescent="0.2">
      <c r="A1511" s="14" t="s">
        <v>2976</v>
      </c>
      <c r="B1511" s="26" t="s">
        <v>2977</v>
      </c>
      <c r="C1511" s="52"/>
      <c r="D1511" s="55">
        <f t="shared" si="23"/>
        <v>0</v>
      </c>
      <c r="E1511" s="63" t="str">
        <f>HYPERLINK("https://www.sds-group.ru/product/nakonechnik-koltsevoy-rexant-6-2-mm-0-5-0-8-mm-nk-6-0-5-0-8-08-0074/", "Инфо")</f>
        <v>Инфо</v>
      </c>
      <c r="F1511" s="16" t="s">
        <v>39</v>
      </c>
      <c r="G1511" s="15"/>
      <c r="H1511" s="15"/>
      <c r="I1511" s="15"/>
      <c r="J1511" s="22">
        <v>6900</v>
      </c>
      <c r="K1511" s="15" t="s">
        <v>1650</v>
      </c>
      <c r="L1511" s="17">
        <v>500</v>
      </c>
      <c r="M1511" s="22">
        <v>20000</v>
      </c>
      <c r="N1511" s="17">
        <v>500</v>
      </c>
      <c r="O1511" s="18">
        <v>2.94</v>
      </c>
      <c r="P1511" s="18">
        <v>2.41</v>
      </c>
      <c r="Q1511" s="18">
        <v>2.5</v>
      </c>
      <c r="R1511" s="18">
        <v>2.0499999999999998</v>
      </c>
      <c r="S1511" s="18">
        <v>2</v>
      </c>
      <c r="T1511" s="18">
        <v>1.64</v>
      </c>
      <c r="U1511" s="16"/>
      <c r="V1511" s="16"/>
      <c r="W1511" s="16" t="s">
        <v>40</v>
      </c>
      <c r="X1511" s="19">
        <v>1E-3</v>
      </c>
      <c r="Y1511" s="20">
        <v>9.9999999999999995E-7</v>
      </c>
      <c r="Z1511" s="21">
        <v>4601004019744</v>
      </c>
    </row>
    <row r="1512" spans="1:26" ht="12" customHeight="1" outlineLevel="4" x14ac:dyDescent="0.2">
      <c r="A1512" s="14" t="s">
        <v>2978</v>
      </c>
      <c r="B1512" s="26" t="s">
        <v>2979</v>
      </c>
      <c r="C1512" s="52"/>
      <c r="D1512" s="55">
        <f t="shared" si="23"/>
        <v>0</v>
      </c>
      <c r="E1512" s="63" t="str">
        <f>HYPERLINK("https://www.sds-group.ru/product/nakonechnik-koltsevoy-rexant-8-2-mm-1-0-1-5-mm-nk-8-1-0-1-5-08-0075/", "Инфо")</f>
        <v>Инфо</v>
      </c>
      <c r="F1512" s="16" t="s">
        <v>39</v>
      </c>
      <c r="G1512" s="15"/>
      <c r="H1512" s="15"/>
      <c r="I1512" s="15"/>
      <c r="J1512" s="22">
        <v>7300</v>
      </c>
      <c r="K1512" s="15" t="s">
        <v>2750</v>
      </c>
      <c r="L1512" s="17">
        <v>100</v>
      </c>
      <c r="M1512" s="22">
        <v>20000</v>
      </c>
      <c r="N1512" s="17">
        <v>100</v>
      </c>
      <c r="O1512" s="18">
        <v>4.55</v>
      </c>
      <c r="P1512" s="18">
        <v>3.73</v>
      </c>
      <c r="Q1512" s="18">
        <v>3.87</v>
      </c>
      <c r="R1512" s="18">
        <v>3.17</v>
      </c>
      <c r="S1512" s="18">
        <v>3.09</v>
      </c>
      <c r="T1512" s="18">
        <v>2.5299999999999998</v>
      </c>
      <c r="U1512" s="16"/>
      <c r="V1512" s="16"/>
      <c r="W1512" s="16" t="s">
        <v>40</v>
      </c>
      <c r="X1512" s="19">
        <v>1E-3</v>
      </c>
      <c r="Y1512" s="20">
        <v>9.9999999999999995E-7</v>
      </c>
      <c r="Z1512" s="21">
        <v>4601004019751</v>
      </c>
    </row>
    <row r="1513" spans="1:26" ht="12" customHeight="1" outlineLevel="4" x14ac:dyDescent="0.2">
      <c r="A1513" s="14" t="s">
        <v>2980</v>
      </c>
      <c r="B1513" s="26" t="s">
        <v>2981</v>
      </c>
      <c r="C1513" s="52"/>
      <c r="D1513" s="55">
        <f t="shared" si="23"/>
        <v>0</v>
      </c>
      <c r="E1513" s="63" t="str">
        <f>HYPERLINK("https://www.sds-group.ru/product/nakonechnik-shtiftovoy-ploskiy-kabelnyy-nshp-10-12-rexant-08-1718/", "Инфо")</f>
        <v>Инфо</v>
      </c>
      <c r="F1513" s="16" t="s">
        <v>39</v>
      </c>
      <c r="G1513" s="15"/>
      <c r="H1513" s="15"/>
      <c r="I1513" s="15"/>
      <c r="J1513" s="16" t="s">
        <v>100</v>
      </c>
      <c r="K1513" s="15"/>
      <c r="L1513" s="17">
        <v>20</v>
      </c>
      <c r="M1513" s="22">
        <v>10000</v>
      </c>
      <c r="N1513" s="17">
        <v>20</v>
      </c>
      <c r="O1513" s="18">
        <v>38.47</v>
      </c>
      <c r="P1513" s="18">
        <v>31.53</v>
      </c>
      <c r="Q1513" s="18">
        <v>32.700000000000003</v>
      </c>
      <c r="R1513" s="18">
        <v>26.8</v>
      </c>
      <c r="S1513" s="18">
        <v>26.16</v>
      </c>
      <c r="T1513" s="18">
        <v>21.44</v>
      </c>
      <c r="U1513" s="16"/>
      <c r="V1513" s="16"/>
      <c r="W1513" s="16" t="s">
        <v>40</v>
      </c>
      <c r="X1513" s="19">
        <v>1E-3</v>
      </c>
      <c r="Y1513" s="20">
        <v>3.9999999999999998E-6</v>
      </c>
      <c r="Z1513" s="21">
        <v>4601004136663</v>
      </c>
    </row>
    <row r="1514" spans="1:26" ht="12" customHeight="1" outlineLevel="4" x14ac:dyDescent="0.2">
      <c r="A1514" s="14" t="s">
        <v>2982</v>
      </c>
      <c r="B1514" s="26" t="s">
        <v>2983</v>
      </c>
      <c r="C1514" s="52"/>
      <c r="D1514" s="55">
        <f t="shared" si="23"/>
        <v>0</v>
      </c>
      <c r="E1514" s="63" t="str">
        <f>HYPERLINK("https://www.sds-group.ru/product/nakonechnik-shtiftovoy-ploskiy-kabelnyy-nshp-16-13-rexant-08-1725/", "Инфо")</f>
        <v>Инфо</v>
      </c>
      <c r="F1514" s="16" t="s">
        <v>39</v>
      </c>
      <c r="G1514" s="15"/>
      <c r="H1514" s="15"/>
      <c r="I1514" s="15"/>
      <c r="J1514" s="16" t="s">
        <v>100</v>
      </c>
      <c r="K1514" s="15" t="s">
        <v>1590</v>
      </c>
      <c r="L1514" s="17">
        <v>20</v>
      </c>
      <c r="M1514" s="22">
        <v>5000</v>
      </c>
      <c r="N1514" s="17">
        <v>20</v>
      </c>
      <c r="O1514" s="18">
        <v>56.06</v>
      </c>
      <c r="P1514" s="18">
        <v>45.95</v>
      </c>
      <c r="Q1514" s="18">
        <v>47.65</v>
      </c>
      <c r="R1514" s="18">
        <v>39.06</v>
      </c>
      <c r="S1514" s="18">
        <v>38.119999999999997</v>
      </c>
      <c r="T1514" s="18">
        <v>31.25</v>
      </c>
      <c r="U1514" s="16"/>
      <c r="V1514" s="16"/>
      <c r="W1514" s="16" t="s">
        <v>40</v>
      </c>
      <c r="X1514" s="19">
        <v>4.0000000000000001E-3</v>
      </c>
      <c r="Y1514" s="20">
        <v>3.0000000000000001E-6</v>
      </c>
      <c r="Z1514" s="21">
        <v>4601004136656</v>
      </c>
    </row>
    <row r="1515" spans="1:26" ht="12" customHeight="1" outlineLevel="4" x14ac:dyDescent="0.2">
      <c r="A1515" s="32" t="s">
        <v>2984</v>
      </c>
      <c r="B1515" s="74" t="s">
        <v>2985</v>
      </c>
      <c r="C1515" s="50"/>
      <c r="D1515" s="53">
        <f t="shared" si="23"/>
        <v>0</v>
      </c>
      <c r="E1515" s="60" t="str">
        <f>HYPERLINK("https://www.sds-group.ru/product/nakonechnik-shtiftovoy-ploskiy-kabelnyy-nshp-2-5-12-rexant-08-1708/", "Инфо")</f>
        <v>Инфо</v>
      </c>
      <c r="F1515" s="34" t="s">
        <v>39</v>
      </c>
      <c r="G1515" s="33"/>
      <c r="H1515" s="33" t="s">
        <v>40</v>
      </c>
      <c r="I1515" s="33"/>
      <c r="J1515" s="39">
        <v>5950</v>
      </c>
      <c r="K1515" s="33"/>
      <c r="L1515" s="35">
        <v>50</v>
      </c>
      <c r="M1515" s="39">
        <v>12000</v>
      </c>
      <c r="N1515" s="35">
        <v>50</v>
      </c>
      <c r="O1515" s="36">
        <v>7.74</v>
      </c>
      <c r="P1515" s="36">
        <v>6.34</v>
      </c>
      <c r="Q1515" s="36">
        <v>5.42</v>
      </c>
      <c r="R1515" s="36">
        <v>4.4400000000000004</v>
      </c>
      <c r="S1515" s="36">
        <v>5.26</v>
      </c>
      <c r="T1515" s="36">
        <v>4.3099999999999996</v>
      </c>
      <c r="U1515" s="34"/>
      <c r="V1515" s="34"/>
      <c r="W1515" s="34"/>
      <c r="X1515" s="37">
        <v>1E-3</v>
      </c>
      <c r="Y1515" s="38">
        <v>9.9999999999999995E-7</v>
      </c>
      <c r="Z1515" s="21">
        <v>4601004136649</v>
      </c>
    </row>
    <row r="1516" spans="1:26" ht="12" customHeight="1" outlineLevel="4" x14ac:dyDescent="0.2">
      <c r="A1516" s="14" t="s">
        <v>2986</v>
      </c>
      <c r="B1516" s="26" t="s">
        <v>2987</v>
      </c>
      <c r="C1516" s="52"/>
      <c r="D1516" s="55">
        <f t="shared" si="23"/>
        <v>0</v>
      </c>
      <c r="E1516" s="63" t="str">
        <f>HYPERLINK("https://www.sds-group.ru/product/nakonechnik-shtiftovoy-ploskiy-kabelnyy-nshp-25-15-rexant-08-1730/", "Инфо")</f>
        <v>Инфо</v>
      </c>
      <c r="F1516" s="16" t="s">
        <v>39</v>
      </c>
      <c r="G1516" s="15"/>
      <c r="H1516" s="15"/>
      <c r="I1516" s="15"/>
      <c r="J1516" s="22">
        <v>10170</v>
      </c>
      <c r="K1516" s="15" t="s">
        <v>1590</v>
      </c>
      <c r="L1516" s="17">
        <v>10</v>
      </c>
      <c r="M1516" s="22">
        <v>3000</v>
      </c>
      <c r="N1516" s="17">
        <v>10</v>
      </c>
      <c r="O1516" s="18">
        <v>85.36</v>
      </c>
      <c r="P1516" s="18">
        <v>69.97</v>
      </c>
      <c r="Q1516" s="18">
        <v>72.56</v>
      </c>
      <c r="R1516" s="18">
        <v>59.48</v>
      </c>
      <c r="S1516" s="18">
        <v>58.04</v>
      </c>
      <c r="T1516" s="18">
        <v>47.57</v>
      </c>
      <c r="U1516" s="16"/>
      <c r="V1516" s="16"/>
      <c r="W1516" s="16" t="s">
        <v>40</v>
      </c>
      <c r="X1516" s="19">
        <v>6.0000000000000001E-3</v>
      </c>
      <c r="Y1516" s="20">
        <v>3.9999999999999998E-6</v>
      </c>
      <c r="Z1516" s="21">
        <v>4601004136687</v>
      </c>
    </row>
    <row r="1517" spans="1:26" ht="12" customHeight="1" outlineLevel="4" x14ac:dyDescent="0.2">
      <c r="A1517" s="14" t="s">
        <v>2988</v>
      </c>
      <c r="B1517" s="26" t="s">
        <v>2989</v>
      </c>
      <c r="C1517" s="52"/>
      <c r="D1517" s="55">
        <f t="shared" si="23"/>
        <v>0</v>
      </c>
      <c r="E1517" s="63" t="str">
        <f>HYPERLINK("https://www.sds-group.ru/product/nakonechnik-shtiftovoy-ploskiy-kabelnyy-nshp-35-20-rexant-08-1735/", "Инфо")</f>
        <v>Инфо</v>
      </c>
      <c r="F1517" s="16" t="s">
        <v>39</v>
      </c>
      <c r="G1517" s="15"/>
      <c r="H1517" s="15"/>
      <c r="I1517" s="15"/>
      <c r="J1517" s="22">
        <v>12530</v>
      </c>
      <c r="K1517" s="15" t="s">
        <v>2798</v>
      </c>
      <c r="L1517" s="17">
        <v>10</v>
      </c>
      <c r="M1517" s="22">
        <v>2000</v>
      </c>
      <c r="N1517" s="17">
        <v>10</v>
      </c>
      <c r="O1517" s="18">
        <v>147.15</v>
      </c>
      <c r="P1517" s="18">
        <v>120.61</v>
      </c>
      <c r="Q1517" s="18">
        <v>125.08</v>
      </c>
      <c r="R1517" s="18">
        <v>102.52</v>
      </c>
      <c r="S1517" s="18">
        <v>100.06</v>
      </c>
      <c r="T1517" s="18">
        <v>82.02</v>
      </c>
      <c r="U1517" s="16"/>
      <c r="V1517" s="16"/>
      <c r="W1517" s="16" t="s">
        <v>40</v>
      </c>
      <c r="X1517" s="19">
        <v>0.01</v>
      </c>
      <c r="Y1517" s="20">
        <v>6.9999999999999999E-6</v>
      </c>
      <c r="Z1517" s="21">
        <v>4601004136694</v>
      </c>
    </row>
    <row r="1518" spans="1:26" ht="12" customHeight="1" outlineLevel="4" x14ac:dyDescent="0.2">
      <c r="A1518" s="14" t="s">
        <v>2990</v>
      </c>
      <c r="B1518" s="26" t="s">
        <v>2991</v>
      </c>
      <c r="C1518" s="52"/>
      <c r="D1518" s="55">
        <f t="shared" si="23"/>
        <v>0</v>
      </c>
      <c r="E1518" s="63" t="str">
        <f>HYPERLINK("https://www.sds-group.ru/product/nakonechnik-shtiftovoy-ploskiy-kabelnyy-nshp-50-20-rexant-08-1740/", "Инфо")</f>
        <v>Инфо</v>
      </c>
      <c r="F1518" s="16" t="s">
        <v>39</v>
      </c>
      <c r="G1518" s="15"/>
      <c r="H1518" s="15"/>
      <c r="I1518" s="15"/>
      <c r="J1518" s="22">
        <v>7820</v>
      </c>
      <c r="K1518" s="15" t="s">
        <v>1590</v>
      </c>
      <c r="L1518" s="17">
        <v>10</v>
      </c>
      <c r="M1518" s="22">
        <v>1000</v>
      </c>
      <c r="N1518" s="17">
        <v>10</v>
      </c>
      <c r="O1518" s="18">
        <v>240.11</v>
      </c>
      <c r="P1518" s="18">
        <v>196.81</v>
      </c>
      <c r="Q1518" s="18">
        <v>204.09</v>
      </c>
      <c r="R1518" s="18">
        <v>167.29</v>
      </c>
      <c r="S1518" s="18">
        <v>163.27000000000001</v>
      </c>
      <c r="T1518" s="18">
        <v>133.83000000000001</v>
      </c>
      <c r="U1518" s="16"/>
      <c r="V1518" s="16"/>
      <c r="W1518" s="16" t="s">
        <v>40</v>
      </c>
      <c r="X1518" s="19">
        <v>1.6E-2</v>
      </c>
      <c r="Y1518" s="20">
        <v>1.2E-5</v>
      </c>
      <c r="Z1518" s="21">
        <v>4601004136700</v>
      </c>
    </row>
    <row r="1519" spans="1:26" ht="12" customHeight="1" outlineLevel="4" x14ac:dyDescent="0.2">
      <c r="A1519" s="14" t="s">
        <v>2992</v>
      </c>
      <c r="B1519" s="26" t="s">
        <v>2993</v>
      </c>
      <c r="C1519" s="52"/>
      <c r="D1519" s="55">
        <f t="shared" si="23"/>
        <v>0</v>
      </c>
      <c r="E1519" s="63" t="str">
        <f>HYPERLINK("https://www.sds-group.ru/product/nakonechnik-shtiftovoy-ploskiy-kabelnyy-nshp-6-0-12-rexant-08-1713/", "Инфо")</f>
        <v>Инфо</v>
      </c>
      <c r="F1519" s="16" t="s">
        <v>39</v>
      </c>
      <c r="G1519" s="15"/>
      <c r="H1519" s="15"/>
      <c r="I1519" s="15"/>
      <c r="J1519" s="22">
        <v>11860</v>
      </c>
      <c r="K1519" s="15"/>
      <c r="L1519" s="17">
        <v>100</v>
      </c>
      <c r="M1519" s="22">
        <v>12000</v>
      </c>
      <c r="N1519" s="17">
        <v>100</v>
      </c>
      <c r="O1519" s="18">
        <v>17.239999999999998</v>
      </c>
      <c r="P1519" s="18">
        <v>14.13</v>
      </c>
      <c r="Q1519" s="18">
        <v>14.65</v>
      </c>
      <c r="R1519" s="18">
        <v>12.01</v>
      </c>
      <c r="S1519" s="18">
        <v>11.72</v>
      </c>
      <c r="T1519" s="18">
        <v>9.61</v>
      </c>
      <c r="U1519" s="16"/>
      <c r="V1519" s="16"/>
      <c r="W1519" s="16" t="s">
        <v>40</v>
      </c>
      <c r="X1519" s="19">
        <v>1E-3</v>
      </c>
      <c r="Y1519" s="20">
        <v>9.9999999999999995E-7</v>
      </c>
      <c r="Z1519" s="21">
        <v>4601004136632</v>
      </c>
    </row>
    <row r="1520" spans="1:26" ht="12" customHeight="1" outlineLevel="4" x14ac:dyDescent="0.2">
      <c r="A1520" s="14" t="s">
        <v>2994</v>
      </c>
      <c r="B1520" s="26" t="s">
        <v>2995</v>
      </c>
      <c r="C1520" s="52"/>
      <c r="D1520" s="55">
        <f t="shared" si="23"/>
        <v>0</v>
      </c>
      <c r="E1520" s="63" t="str">
        <f>HYPERLINK("https://www.sds-group.ru/product/nakonechnik-shtiftovoy-ploskiy-kabelnyy-nshp-70-25-rexant-08-1745/", "Инфо")</f>
        <v>Инфо</v>
      </c>
      <c r="F1520" s="16" t="s">
        <v>39</v>
      </c>
      <c r="G1520" s="15"/>
      <c r="H1520" s="15"/>
      <c r="I1520" s="15"/>
      <c r="J1520" s="22">
        <v>3660</v>
      </c>
      <c r="K1520" s="15" t="s">
        <v>2798</v>
      </c>
      <c r="L1520" s="17">
        <v>10</v>
      </c>
      <c r="M1520" s="17">
        <v>500</v>
      </c>
      <c r="N1520" s="17">
        <v>10</v>
      </c>
      <c r="O1520" s="18">
        <v>366.99</v>
      </c>
      <c r="P1520" s="18">
        <v>300.81</v>
      </c>
      <c r="Q1520" s="18">
        <v>311.94</v>
      </c>
      <c r="R1520" s="18">
        <v>255.69</v>
      </c>
      <c r="S1520" s="18">
        <v>249.55</v>
      </c>
      <c r="T1520" s="18">
        <v>204.55</v>
      </c>
      <c r="U1520" s="16"/>
      <c r="V1520" s="16"/>
      <c r="W1520" s="16" t="s">
        <v>40</v>
      </c>
      <c r="X1520" s="19">
        <v>0.03</v>
      </c>
      <c r="Y1520" s="20">
        <v>4.0000000000000003E-5</v>
      </c>
      <c r="Z1520" s="21">
        <v>4601004136717</v>
      </c>
    </row>
    <row r="1521" spans="1:26" ht="12" customHeight="1" outlineLevel="4" x14ac:dyDescent="0.2">
      <c r="A1521" s="14" t="s">
        <v>2996</v>
      </c>
      <c r="B1521" s="26" t="s">
        <v>2997</v>
      </c>
      <c r="C1521" s="52"/>
      <c r="D1521" s="55">
        <f t="shared" si="23"/>
        <v>0</v>
      </c>
      <c r="E1521" s="63" t="str">
        <f>HYPERLINK("https://www.sds-group.ru/product/nakonechnik-shtiftovoy-ploskiy-kabelnyy-nshp-95-25-rexant-08-1750/", "Инфо")</f>
        <v>Инфо</v>
      </c>
      <c r="F1521" s="16" t="s">
        <v>39</v>
      </c>
      <c r="G1521" s="15"/>
      <c r="H1521" s="15"/>
      <c r="I1521" s="15"/>
      <c r="J1521" s="16" t="s">
        <v>100</v>
      </c>
      <c r="K1521" s="15" t="s">
        <v>1590</v>
      </c>
      <c r="L1521" s="17">
        <v>10</v>
      </c>
      <c r="M1521" s="17">
        <v>500</v>
      </c>
      <c r="N1521" s="17">
        <v>10</v>
      </c>
      <c r="O1521" s="18">
        <v>548.24</v>
      </c>
      <c r="P1521" s="18">
        <v>449.38</v>
      </c>
      <c r="Q1521" s="18">
        <v>438.59</v>
      </c>
      <c r="R1521" s="18">
        <v>359.5</v>
      </c>
      <c r="S1521" s="18">
        <v>372.8</v>
      </c>
      <c r="T1521" s="18">
        <v>305.57</v>
      </c>
      <c r="U1521" s="16"/>
      <c r="V1521" s="16"/>
      <c r="W1521" s="16" t="s">
        <v>40</v>
      </c>
      <c r="X1521" s="19">
        <v>4.3999999999999997E-2</v>
      </c>
      <c r="Y1521" s="20">
        <v>6.0000000000000002E-5</v>
      </c>
      <c r="Z1521" s="21">
        <v>4601004136670</v>
      </c>
    </row>
    <row r="1522" spans="1:26" ht="12" customHeight="1" outlineLevel="4" x14ac:dyDescent="0.2">
      <c r="A1522" s="32" t="s">
        <v>2998</v>
      </c>
      <c r="B1522" s="74" t="s">
        <v>2999</v>
      </c>
      <c r="C1522" s="50"/>
      <c r="D1522" s="53">
        <f t="shared" si="23"/>
        <v>0</v>
      </c>
      <c r="E1522" s="60" t="str">
        <f>HYPERLINK("https://www.sds-group.ru/product/nakonechnik-shtyrevoy-vtulochnyy-l-6-mm-0-75-mm-nshv-0-75-6-ng-0-75-6-rexant-08-0802/", "Инфо")</f>
        <v>Инфо</v>
      </c>
      <c r="F1522" s="34" t="s">
        <v>39</v>
      </c>
      <c r="G1522" s="33"/>
      <c r="H1522" s="33" t="s">
        <v>40</v>
      </c>
      <c r="I1522" s="33"/>
      <c r="J1522" s="39">
        <v>115500</v>
      </c>
      <c r="K1522" s="33"/>
      <c r="L1522" s="35">
        <v>100</v>
      </c>
      <c r="M1522" s="39">
        <v>192000</v>
      </c>
      <c r="N1522" s="35">
        <v>100</v>
      </c>
      <c r="O1522" s="36">
        <v>0.52</v>
      </c>
      <c r="P1522" s="36">
        <v>0.43</v>
      </c>
      <c r="Q1522" s="36">
        <v>0.36</v>
      </c>
      <c r="R1522" s="36">
        <v>0.3</v>
      </c>
      <c r="S1522" s="36">
        <v>0.35</v>
      </c>
      <c r="T1522" s="36">
        <v>0.28999999999999998</v>
      </c>
      <c r="U1522" s="34"/>
      <c r="V1522" s="34"/>
      <c r="W1522" s="34"/>
      <c r="X1522" s="37">
        <v>0</v>
      </c>
      <c r="Y1522" s="38">
        <v>0</v>
      </c>
      <c r="Z1522" s="21">
        <v>4601004020429</v>
      </c>
    </row>
    <row r="1523" spans="1:26" ht="12.95" customHeight="1" outlineLevel="3" x14ac:dyDescent="0.2">
      <c r="A1523" s="76" t="s">
        <v>3000</v>
      </c>
      <c r="B1523" s="76"/>
      <c r="C1523" s="77"/>
      <c r="D1523" s="58"/>
      <c r="E1523" s="68"/>
      <c r="F1523" s="13"/>
      <c r="G1523" s="13"/>
      <c r="H1523" s="13"/>
      <c r="I1523" s="13"/>
      <c r="J1523" s="13"/>
      <c r="K1523" s="13"/>
      <c r="L1523" s="13"/>
      <c r="M1523" s="13"/>
      <c r="N1523" s="13"/>
      <c r="O1523" s="13"/>
      <c r="P1523" s="13"/>
      <c r="Q1523" s="13"/>
      <c r="R1523" s="13"/>
      <c r="S1523" s="13"/>
      <c r="T1523" s="13"/>
      <c r="U1523" s="13"/>
      <c r="V1523" s="13"/>
      <c r="W1523" s="13"/>
      <c r="X1523" s="13"/>
      <c r="Y1523" s="13"/>
      <c r="Z1523" s="13"/>
    </row>
    <row r="1524" spans="1:26" ht="12" customHeight="1" outlineLevel="4" x14ac:dyDescent="0.2">
      <c r="A1524" s="14" t="s">
        <v>3001</v>
      </c>
      <c r="B1524" s="26" t="s">
        <v>3002</v>
      </c>
      <c r="C1524" s="52"/>
      <c r="D1524" s="55">
        <f t="shared" si="23"/>
        <v>0</v>
      </c>
      <c r="E1524" s="63" t="str">
        <f>HYPERLINK("https://www.sds-group.ru/product/soedinitelnaya-gilza-izolirovannaya-l-26-mm-0-5-1-5-mm-gsi-1-5-gsi-0-5-1-5-krasnaya-rexant-08-0711/", "Инфо")</f>
        <v>Инфо</v>
      </c>
      <c r="F1524" s="16" t="s">
        <v>39</v>
      </c>
      <c r="G1524" s="15"/>
      <c r="H1524" s="15"/>
      <c r="I1524" s="15"/>
      <c r="J1524" s="22">
        <v>32070</v>
      </c>
      <c r="K1524" s="15" t="s">
        <v>1665</v>
      </c>
      <c r="L1524" s="17">
        <v>100</v>
      </c>
      <c r="M1524" s="22">
        <v>20000</v>
      </c>
      <c r="N1524" s="17">
        <v>100</v>
      </c>
      <c r="O1524" s="18">
        <v>4.9000000000000004</v>
      </c>
      <c r="P1524" s="18">
        <v>4.0199999999999996</v>
      </c>
      <c r="Q1524" s="18">
        <v>4.17</v>
      </c>
      <c r="R1524" s="18">
        <v>3.42</v>
      </c>
      <c r="S1524" s="18">
        <v>3.33</v>
      </c>
      <c r="T1524" s="18">
        <v>2.73</v>
      </c>
      <c r="U1524" s="16"/>
      <c r="V1524" s="16"/>
      <c r="W1524" s="16" t="s">
        <v>40</v>
      </c>
      <c r="X1524" s="19">
        <v>1E-3</v>
      </c>
      <c r="Y1524" s="20">
        <v>1.9999999999999999E-6</v>
      </c>
      <c r="Z1524" s="21">
        <v>4660008012489</v>
      </c>
    </row>
    <row r="1525" spans="1:26" ht="12" customHeight="1" outlineLevel="4" x14ac:dyDescent="0.2">
      <c r="A1525" s="14" t="s">
        <v>3003</v>
      </c>
      <c r="B1525" s="26" t="s">
        <v>3004</v>
      </c>
      <c r="C1525" s="52"/>
      <c r="D1525" s="55">
        <f t="shared" si="23"/>
        <v>0</v>
      </c>
      <c r="E1525" s="63" t="str">
        <f>HYPERLINK("https://www.sds-group.ru/product/soedinitelnaya-gilza-izolirovannaya-l-26-mm-0-5-1-5-mm-gsi-1-5-gsi-0-5-1-5-krasnaya-v-upak-06-0428-A/", "Инфо")</f>
        <v>Инфо</v>
      </c>
      <c r="F1525" s="16" t="s">
        <v>1001</v>
      </c>
      <c r="G1525" s="15"/>
      <c r="H1525" s="15"/>
      <c r="I1525" s="15"/>
      <c r="J1525" s="17">
        <v>281</v>
      </c>
      <c r="K1525" s="15"/>
      <c r="L1525" s="17">
        <v>10</v>
      </c>
      <c r="M1525" s="17">
        <v>10</v>
      </c>
      <c r="N1525" s="17">
        <v>10</v>
      </c>
      <c r="O1525" s="18">
        <v>71.12</v>
      </c>
      <c r="P1525" s="18">
        <v>58.3</v>
      </c>
      <c r="Q1525" s="18">
        <v>60.45</v>
      </c>
      <c r="R1525" s="18">
        <v>49.55</v>
      </c>
      <c r="S1525" s="18">
        <v>48.36</v>
      </c>
      <c r="T1525" s="18">
        <v>39.64</v>
      </c>
      <c r="U1525" s="16"/>
      <c r="V1525" s="16"/>
      <c r="W1525" s="16" t="s">
        <v>40</v>
      </c>
      <c r="X1525" s="19">
        <v>1.2E-2</v>
      </c>
      <c r="Y1525" s="20">
        <v>3.4099999999999999E-4</v>
      </c>
      <c r="Z1525" s="21">
        <v>4601004121744</v>
      </c>
    </row>
    <row r="1526" spans="1:26" ht="12" customHeight="1" outlineLevel="4" x14ac:dyDescent="0.2">
      <c r="A1526" s="14" t="s">
        <v>3005</v>
      </c>
      <c r="B1526" s="26" t="s">
        <v>3006</v>
      </c>
      <c r="C1526" s="52"/>
      <c r="D1526" s="55">
        <f t="shared" si="23"/>
        <v>0</v>
      </c>
      <c r="E1526" s="63" t="str">
        <f>HYPERLINK("https://www.sds-group.ru/product/soedinitelnaya-gilza-izolirovannaya-l-26-mm-1-5-2-5-mm-gsi-2-5-gsi-1-5-2-5-sinyaya-rexant-08-0721/", "Инфо")</f>
        <v>Инфо</v>
      </c>
      <c r="F1526" s="16" t="s">
        <v>39</v>
      </c>
      <c r="G1526" s="15"/>
      <c r="H1526" s="15"/>
      <c r="I1526" s="15"/>
      <c r="J1526" s="16" t="s">
        <v>100</v>
      </c>
      <c r="K1526" s="15" t="s">
        <v>1665</v>
      </c>
      <c r="L1526" s="17">
        <v>100</v>
      </c>
      <c r="M1526" s="22">
        <v>16000</v>
      </c>
      <c r="N1526" s="17">
        <v>100</v>
      </c>
      <c r="O1526" s="18">
        <v>5.38</v>
      </c>
      <c r="P1526" s="18">
        <v>4.41</v>
      </c>
      <c r="Q1526" s="18">
        <v>4.57</v>
      </c>
      <c r="R1526" s="18">
        <v>3.75</v>
      </c>
      <c r="S1526" s="18">
        <v>3.66</v>
      </c>
      <c r="T1526" s="18">
        <v>3</v>
      </c>
      <c r="U1526" s="16"/>
      <c r="V1526" s="16"/>
      <c r="W1526" s="16" t="s">
        <v>40</v>
      </c>
      <c r="X1526" s="19">
        <v>1E-3</v>
      </c>
      <c r="Y1526" s="20">
        <v>3.0000000000000001E-6</v>
      </c>
      <c r="Z1526" s="21">
        <v>4660008012496</v>
      </c>
    </row>
    <row r="1527" spans="1:26" ht="12" customHeight="1" outlineLevel="4" x14ac:dyDescent="0.2">
      <c r="A1527" s="14" t="s">
        <v>3007</v>
      </c>
      <c r="B1527" s="26" t="s">
        <v>3008</v>
      </c>
      <c r="C1527" s="52"/>
      <c r="D1527" s="55">
        <f t="shared" si="23"/>
        <v>0</v>
      </c>
      <c r="E1527" s="63" t="str">
        <f>HYPERLINK("https://www.sds-group.ru/product/soedinitelnaya-gilza-izolirovannaya-l-26-mm-1-5-2-5-mm-gsi-2-5-gsi-1-5-2-5-sinyaya-v-upak--06-0431-A/", "Инфо")</f>
        <v>Инфо</v>
      </c>
      <c r="F1527" s="16" t="s">
        <v>1001</v>
      </c>
      <c r="G1527" s="15"/>
      <c r="H1527" s="15"/>
      <c r="I1527" s="15"/>
      <c r="J1527" s="17">
        <v>395</v>
      </c>
      <c r="K1527" s="15"/>
      <c r="L1527" s="17">
        <v>10</v>
      </c>
      <c r="M1527" s="17">
        <v>10</v>
      </c>
      <c r="N1527" s="17">
        <v>10</v>
      </c>
      <c r="O1527" s="18">
        <v>175.44</v>
      </c>
      <c r="P1527" s="18">
        <v>143.80000000000001</v>
      </c>
      <c r="Q1527" s="18">
        <v>149.12</v>
      </c>
      <c r="R1527" s="18">
        <v>122.23</v>
      </c>
      <c r="S1527" s="18">
        <v>119.3</v>
      </c>
      <c r="T1527" s="18">
        <v>97.79</v>
      </c>
      <c r="U1527" s="16"/>
      <c r="V1527" s="16"/>
      <c r="W1527" s="16" t="s">
        <v>40</v>
      </c>
      <c r="X1527" s="19">
        <v>1.6E-2</v>
      </c>
      <c r="Y1527" s="20">
        <v>1.3899999999999999E-4</v>
      </c>
      <c r="Z1527" s="21">
        <v>4601004121775</v>
      </c>
    </row>
    <row r="1528" spans="1:26" ht="12" customHeight="1" outlineLevel="4" x14ac:dyDescent="0.2">
      <c r="A1528" s="14" t="s">
        <v>3009</v>
      </c>
      <c r="B1528" s="26" t="s">
        <v>3010</v>
      </c>
      <c r="C1528" s="52"/>
      <c r="D1528" s="55">
        <f t="shared" si="23"/>
        <v>0</v>
      </c>
      <c r="E1528" s="63" t="str">
        <f>HYPERLINK("https://www.sds-group.ru/product/soedinitelnaya-gilza-izolirovannaya-l-26-mm-2-5-4-mm-gsi-4-0-gsi-2-5-4-0-chernaya-rexant-08-0725/", "Инфо")</f>
        <v>Инфо</v>
      </c>
      <c r="F1528" s="16" t="s">
        <v>39</v>
      </c>
      <c r="G1528" s="15"/>
      <c r="H1528" s="15"/>
      <c r="I1528" s="15"/>
      <c r="J1528" s="16" t="s">
        <v>100</v>
      </c>
      <c r="K1528" s="15" t="s">
        <v>210</v>
      </c>
      <c r="L1528" s="17">
        <v>100</v>
      </c>
      <c r="M1528" s="22">
        <v>7200</v>
      </c>
      <c r="N1528" s="17">
        <v>100</v>
      </c>
      <c r="O1528" s="18">
        <v>11.38</v>
      </c>
      <c r="P1528" s="18">
        <v>9.33</v>
      </c>
      <c r="Q1528" s="18">
        <v>9.67</v>
      </c>
      <c r="R1528" s="18">
        <v>7.93</v>
      </c>
      <c r="S1528" s="18">
        <v>7.74</v>
      </c>
      <c r="T1528" s="18">
        <v>6.34</v>
      </c>
      <c r="U1528" s="16"/>
      <c r="V1528" s="16"/>
      <c r="W1528" s="16" t="s">
        <v>40</v>
      </c>
      <c r="X1528" s="19">
        <v>2E-3</v>
      </c>
      <c r="Y1528" s="20">
        <v>3.0000000000000001E-6</v>
      </c>
      <c r="Z1528" s="21">
        <v>4601004020368</v>
      </c>
    </row>
    <row r="1529" spans="1:26" ht="12" customHeight="1" outlineLevel="4" x14ac:dyDescent="0.2">
      <c r="A1529" s="14" t="s">
        <v>3011</v>
      </c>
      <c r="B1529" s="26" t="s">
        <v>3012</v>
      </c>
      <c r="C1529" s="52"/>
      <c r="D1529" s="55">
        <f t="shared" si="23"/>
        <v>0</v>
      </c>
      <c r="E1529" s="63" t="str">
        <f>HYPERLINK("https://www.sds-group.ru/product/soedinitelnaya-gilza-izolirovannaya-l-26-mm-4-6-mm-gsi-6-0-gsi-4-0-6-0-zheltaya-rexant-08-0731/", "Инфо")</f>
        <v>Инфо</v>
      </c>
      <c r="F1529" s="16" t="s">
        <v>39</v>
      </c>
      <c r="G1529" s="15"/>
      <c r="H1529" s="15"/>
      <c r="I1529" s="15"/>
      <c r="J1529" s="22">
        <v>16300</v>
      </c>
      <c r="K1529" s="15" t="s">
        <v>210</v>
      </c>
      <c r="L1529" s="17">
        <v>100</v>
      </c>
      <c r="M1529" s="22">
        <v>10000</v>
      </c>
      <c r="N1529" s="17">
        <v>100</v>
      </c>
      <c r="O1529" s="18">
        <v>9.9700000000000006</v>
      </c>
      <c r="P1529" s="18">
        <v>8.17</v>
      </c>
      <c r="Q1529" s="18">
        <v>8.4700000000000006</v>
      </c>
      <c r="R1529" s="18">
        <v>6.94</v>
      </c>
      <c r="S1529" s="18">
        <v>6.78</v>
      </c>
      <c r="T1529" s="18">
        <v>5.56</v>
      </c>
      <c r="U1529" s="16"/>
      <c r="V1529" s="16"/>
      <c r="W1529" s="16" t="s">
        <v>40</v>
      </c>
      <c r="X1529" s="19">
        <v>2E-3</v>
      </c>
      <c r="Y1529" s="20">
        <v>3.9999999999999998E-6</v>
      </c>
      <c r="Z1529" s="21">
        <v>4660008012502</v>
      </c>
    </row>
    <row r="1530" spans="1:26" ht="12" customHeight="1" outlineLevel="4" x14ac:dyDescent="0.2">
      <c r="A1530" s="14" t="s">
        <v>3013</v>
      </c>
      <c r="B1530" s="26" t="s">
        <v>3014</v>
      </c>
      <c r="C1530" s="52"/>
      <c r="D1530" s="55">
        <f t="shared" si="23"/>
        <v>0</v>
      </c>
      <c r="E1530" s="63" t="str">
        <f>HYPERLINK("https://www.sds-group.ru/product/soedinitelnaya-gilza-izolirovannaya-l-27-3-mm-neylon-0-5-1-5-mm-gsi-n-1-5-gsi-n-0-5-1-5-kras-08-0717/", "Инфо")</f>
        <v>Инфо</v>
      </c>
      <c r="F1530" s="16" t="s">
        <v>39</v>
      </c>
      <c r="G1530" s="15"/>
      <c r="H1530" s="15"/>
      <c r="I1530" s="15"/>
      <c r="J1530" s="16" t="s">
        <v>100</v>
      </c>
      <c r="K1530" s="15" t="s">
        <v>1665</v>
      </c>
      <c r="L1530" s="17">
        <v>100</v>
      </c>
      <c r="M1530" s="22">
        <v>12000</v>
      </c>
      <c r="N1530" s="17">
        <v>100</v>
      </c>
      <c r="O1530" s="18">
        <v>8.9499999999999993</v>
      </c>
      <c r="P1530" s="18">
        <v>7.34</v>
      </c>
      <c r="Q1530" s="18">
        <v>7.61</v>
      </c>
      <c r="R1530" s="18">
        <v>6.24</v>
      </c>
      <c r="S1530" s="18">
        <v>6.09</v>
      </c>
      <c r="T1530" s="18">
        <v>4.99</v>
      </c>
      <c r="U1530" s="16"/>
      <c r="V1530" s="16"/>
      <c r="W1530" s="16" t="s">
        <v>40</v>
      </c>
      <c r="X1530" s="19">
        <v>1E-3</v>
      </c>
      <c r="Y1530" s="20">
        <v>1.9999999999999999E-6</v>
      </c>
      <c r="Z1530" s="21">
        <v>4601004020313</v>
      </c>
    </row>
    <row r="1531" spans="1:26" ht="12" customHeight="1" outlineLevel="4" x14ac:dyDescent="0.2">
      <c r="A1531" s="14" t="s">
        <v>3015</v>
      </c>
      <c r="B1531" s="26" t="s">
        <v>3016</v>
      </c>
      <c r="C1531" s="52"/>
      <c r="D1531" s="55">
        <f t="shared" si="23"/>
        <v>0</v>
      </c>
      <c r="E1531" s="63" t="str">
        <f>HYPERLINK("https://www.sds-group.ru/product/soedinitelnaya-gilza-izolirovannaya-l-27-3-mm-neylon-1-5-2-5-mm-gsi-n-2-5-gsi-n-1-5-2-5-siny-08-0723/", "Инфо")</f>
        <v>Инфо</v>
      </c>
      <c r="F1531" s="16" t="s">
        <v>39</v>
      </c>
      <c r="G1531" s="15"/>
      <c r="H1531" s="15"/>
      <c r="I1531" s="15"/>
      <c r="J1531" s="16" t="s">
        <v>100</v>
      </c>
      <c r="K1531" s="15" t="s">
        <v>1650</v>
      </c>
      <c r="L1531" s="17">
        <v>100</v>
      </c>
      <c r="M1531" s="22">
        <v>10000</v>
      </c>
      <c r="N1531" s="17">
        <v>100</v>
      </c>
      <c r="O1531" s="18">
        <v>8.6199999999999992</v>
      </c>
      <c r="P1531" s="18">
        <v>7.07</v>
      </c>
      <c r="Q1531" s="18">
        <v>7.33</v>
      </c>
      <c r="R1531" s="18">
        <v>6.01</v>
      </c>
      <c r="S1531" s="18">
        <v>5.86</v>
      </c>
      <c r="T1531" s="18">
        <v>4.8</v>
      </c>
      <c r="U1531" s="16"/>
      <c r="V1531" s="16"/>
      <c r="W1531" s="16" t="s">
        <v>40</v>
      </c>
      <c r="X1531" s="19">
        <v>1E-3</v>
      </c>
      <c r="Y1531" s="20">
        <v>1.9999999999999999E-6</v>
      </c>
      <c r="Z1531" s="21">
        <v>4601004020344</v>
      </c>
    </row>
    <row r="1532" spans="1:26" ht="12" customHeight="1" outlineLevel="4" x14ac:dyDescent="0.2">
      <c r="A1532" s="32" t="s">
        <v>3017</v>
      </c>
      <c r="B1532" s="74" t="s">
        <v>3018</v>
      </c>
      <c r="C1532" s="50"/>
      <c r="D1532" s="53">
        <f t="shared" si="23"/>
        <v>0</v>
      </c>
      <c r="E1532" s="60" t="str">
        <f>HYPERLINK("https://www.sds-group.ru/product/soedinitelnaya-gilza-izolirovannaya-l-27-3-mm-neylon-4-6-mm-gsi-n-6-0-gsi-n-4-0-6-0-zheltaya-08-0732/", "Инфо")</f>
        <v>Инфо</v>
      </c>
      <c r="F1532" s="34" t="s">
        <v>39</v>
      </c>
      <c r="G1532" s="33"/>
      <c r="H1532" s="33" t="s">
        <v>40</v>
      </c>
      <c r="I1532" s="33"/>
      <c r="J1532" s="39">
        <v>17300</v>
      </c>
      <c r="K1532" s="33"/>
      <c r="L1532" s="35">
        <v>100</v>
      </c>
      <c r="M1532" s="39">
        <v>10000</v>
      </c>
      <c r="N1532" s="35">
        <v>100</v>
      </c>
      <c r="O1532" s="36">
        <v>9.1199999999999992</v>
      </c>
      <c r="P1532" s="36">
        <v>7.48</v>
      </c>
      <c r="Q1532" s="36">
        <v>6.38</v>
      </c>
      <c r="R1532" s="36">
        <v>5.23</v>
      </c>
      <c r="S1532" s="36">
        <v>6.2</v>
      </c>
      <c r="T1532" s="36">
        <v>5.08</v>
      </c>
      <c r="U1532" s="34"/>
      <c r="V1532" s="34"/>
      <c r="W1532" s="34"/>
      <c r="X1532" s="37">
        <v>1E-3</v>
      </c>
      <c r="Y1532" s="38">
        <v>3.0000000000000001E-6</v>
      </c>
      <c r="Z1532" s="21">
        <v>4601004020382</v>
      </c>
    </row>
    <row r="1533" spans="1:26" ht="12" customHeight="1" outlineLevel="4" x14ac:dyDescent="0.2">
      <c r="A1533" s="14" t="s">
        <v>3019</v>
      </c>
      <c r="B1533" s="26" t="s">
        <v>3020</v>
      </c>
      <c r="C1533" s="52"/>
      <c r="D1533" s="55">
        <f t="shared" si="23"/>
        <v>0</v>
      </c>
      <c r="E1533" s="63" t="str">
        <f>HYPERLINK("https://www.sds-group.ru/product/soedinitelnaya-gilza-izolirovannaya-l-32-mm-6-10-mm-gsi-10-gsi-6-0-10-0-krasnaya-rexant-08-0735/", "Инфо")</f>
        <v>Инфо</v>
      </c>
      <c r="F1533" s="16" t="s">
        <v>39</v>
      </c>
      <c r="G1533" s="15"/>
      <c r="H1533" s="15"/>
      <c r="I1533" s="15"/>
      <c r="J1533" s="16" t="s">
        <v>100</v>
      </c>
      <c r="K1533" s="15" t="s">
        <v>1650</v>
      </c>
      <c r="L1533" s="17">
        <v>100</v>
      </c>
      <c r="M1533" s="22">
        <v>4000</v>
      </c>
      <c r="N1533" s="17">
        <v>100</v>
      </c>
      <c r="O1533" s="18">
        <v>27.88</v>
      </c>
      <c r="P1533" s="18">
        <v>22.85</v>
      </c>
      <c r="Q1533" s="18">
        <v>23.7</v>
      </c>
      <c r="R1533" s="18">
        <v>19.43</v>
      </c>
      <c r="S1533" s="18">
        <v>18.96</v>
      </c>
      <c r="T1533" s="18">
        <v>15.54</v>
      </c>
      <c r="U1533" s="16"/>
      <c r="V1533" s="16"/>
      <c r="W1533" s="16" t="s">
        <v>40</v>
      </c>
      <c r="X1533" s="19">
        <v>1E-3</v>
      </c>
      <c r="Y1533" s="20">
        <v>1.9999999999999999E-6</v>
      </c>
      <c r="Z1533" s="21">
        <v>4601004020405</v>
      </c>
    </row>
    <row r="1534" spans="1:26" ht="12" customHeight="1" outlineLevel="4" x14ac:dyDescent="0.2">
      <c r="A1534" s="14" t="s">
        <v>3021</v>
      </c>
      <c r="B1534" s="26" t="s">
        <v>3022</v>
      </c>
      <c r="C1534" s="52"/>
      <c r="D1534" s="55">
        <f t="shared" si="23"/>
        <v>0</v>
      </c>
      <c r="E1534" s="63" t="str">
        <f>HYPERLINK("https://www.sds-group.ru/product/soedinitelnaya-gilza-izolirovannaya-termousazhivaemaya-l-37-mm-0-5-1-mm-gsi-t-1-0-gsi-t-0-5--08-0718/", "Инфо")</f>
        <v>Инфо</v>
      </c>
      <c r="F1534" s="16" t="s">
        <v>39</v>
      </c>
      <c r="G1534" s="15"/>
      <c r="H1534" s="15"/>
      <c r="I1534" s="15"/>
      <c r="J1534" s="16" t="s">
        <v>100</v>
      </c>
      <c r="K1534" s="15" t="s">
        <v>1650</v>
      </c>
      <c r="L1534" s="17">
        <v>100</v>
      </c>
      <c r="M1534" s="22">
        <v>12500</v>
      </c>
      <c r="N1534" s="17">
        <v>100</v>
      </c>
      <c r="O1534" s="18">
        <v>15.69</v>
      </c>
      <c r="P1534" s="18">
        <v>12.86</v>
      </c>
      <c r="Q1534" s="18">
        <v>13.34</v>
      </c>
      <c r="R1534" s="18">
        <v>10.93</v>
      </c>
      <c r="S1534" s="18">
        <v>10.67</v>
      </c>
      <c r="T1534" s="18">
        <v>8.75</v>
      </c>
      <c r="U1534" s="16"/>
      <c r="V1534" s="16"/>
      <c r="W1534" s="16" t="s">
        <v>40</v>
      </c>
      <c r="X1534" s="19">
        <v>1E-3</v>
      </c>
      <c r="Y1534" s="20">
        <v>3.9999999999999998E-6</v>
      </c>
      <c r="Z1534" s="21">
        <v>4601004020320</v>
      </c>
    </row>
    <row r="1535" spans="1:26" ht="12" customHeight="1" outlineLevel="4" x14ac:dyDescent="0.2">
      <c r="A1535" s="14" t="s">
        <v>3023</v>
      </c>
      <c r="B1535" s="26" t="s">
        <v>3024</v>
      </c>
      <c r="C1535" s="52"/>
      <c r="D1535" s="55">
        <f t="shared" si="23"/>
        <v>0</v>
      </c>
      <c r="E1535" s="63" t="str">
        <f>HYPERLINK("https://www.sds-group.ru/product/soedinitelnaya-gilza-izolirovannaya-termousazhivaemaya-l-37-mm-0-5-1-mm-gsi-t-1-0-gsi-t-0--06-0430-A/", "Инфо")</f>
        <v>Инфо</v>
      </c>
      <c r="F1535" s="16" t="s">
        <v>1001</v>
      </c>
      <c r="G1535" s="15"/>
      <c r="H1535" s="15"/>
      <c r="I1535" s="15"/>
      <c r="J1535" s="16" t="s">
        <v>100</v>
      </c>
      <c r="K1535" s="15"/>
      <c r="L1535" s="17">
        <v>5</v>
      </c>
      <c r="M1535" s="17">
        <v>10</v>
      </c>
      <c r="N1535" s="17">
        <v>5</v>
      </c>
      <c r="O1535" s="18">
        <v>282.48</v>
      </c>
      <c r="P1535" s="18">
        <v>231.54</v>
      </c>
      <c r="Q1535" s="18">
        <v>240.11</v>
      </c>
      <c r="R1535" s="18">
        <v>196.81</v>
      </c>
      <c r="S1535" s="18">
        <v>192.09</v>
      </c>
      <c r="T1535" s="18">
        <v>157.44999999999999</v>
      </c>
      <c r="U1535" s="16"/>
      <c r="V1535" s="16"/>
      <c r="W1535" s="16" t="s">
        <v>40</v>
      </c>
      <c r="X1535" s="19">
        <v>0.02</v>
      </c>
      <c r="Y1535" s="20">
        <v>1.3999999999999999E-4</v>
      </c>
      <c r="Z1535" s="21">
        <v>4601004121768</v>
      </c>
    </row>
    <row r="1536" spans="1:26" ht="12" customHeight="1" outlineLevel="4" x14ac:dyDescent="0.2">
      <c r="A1536" s="14" t="s">
        <v>3025</v>
      </c>
      <c r="B1536" s="26" t="s">
        <v>3026</v>
      </c>
      <c r="C1536" s="52"/>
      <c r="D1536" s="55">
        <f t="shared" si="23"/>
        <v>0</v>
      </c>
      <c r="E1536" s="63" t="str">
        <f>HYPERLINK("https://www.sds-group.ru/product/soedinitelnaya-gilza-izolirovannaya-termousazhivaemaya-l-37-mm-1-5-2-5-mm-gsi-t-2-5-gsi-t-1--08-0724/", "Инфо")</f>
        <v>Инфо</v>
      </c>
      <c r="F1536" s="16" t="s">
        <v>39</v>
      </c>
      <c r="G1536" s="15"/>
      <c r="H1536" s="15"/>
      <c r="I1536" s="15"/>
      <c r="J1536" s="22">
        <v>8900</v>
      </c>
      <c r="K1536" s="15" t="s">
        <v>1650</v>
      </c>
      <c r="L1536" s="17">
        <v>100</v>
      </c>
      <c r="M1536" s="22">
        <v>6000</v>
      </c>
      <c r="N1536" s="17">
        <v>100</v>
      </c>
      <c r="O1536" s="18">
        <v>18.309999999999999</v>
      </c>
      <c r="P1536" s="18">
        <v>15.01</v>
      </c>
      <c r="Q1536" s="18">
        <v>15.56</v>
      </c>
      <c r="R1536" s="18">
        <v>12.75</v>
      </c>
      <c r="S1536" s="18">
        <v>12.45</v>
      </c>
      <c r="T1536" s="18">
        <v>10.199999999999999</v>
      </c>
      <c r="U1536" s="16"/>
      <c r="V1536" s="16"/>
      <c r="W1536" s="16" t="s">
        <v>40</v>
      </c>
      <c r="X1536" s="19">
        <v>2E-3</v>
      </c>
      <c r="Y1536" s="20">
        <v>3.9999999999999998E-6</v>
      </c>
      <c r="Z1536" s="21">
        <v>4601004020351</v>
      </c>
    </row>
    <row r="1537" spans="1:26" ht="12" customHeight="1" outlineLevel="4" x14ac:dyDescent="0.2">
      <c r="A1537" s="14" t="s">
        <v>3027</v>
      </c>
      <c r="B1537" s="26" t="s">
        <v>3028</v>
      </c>
      <c r="C1537" s="52"/>
      <c r="D1537" s="55">
        <f t="shared" si="23"/>
        <v>0</v>
      </c>
      <c r="E1537" s="63" t="str">
        <f>HYPERLINK("https://www.sds-group.ru/product/soedinitelnaya-gilza-izolirovannaya-termousazhivaemaya-l-52-mm-4-6-mm-gsi-t-6-0-gsi-t-6-0-4--08-0733/", "Инфо")</f>
        <v>Инфо</v>
      </c>
      <c r="F1537" s="16" t="s">
        <v>39</v>
      </c>
      <c r="G1537" s="15"/>
      <c r="H1537" s="15"/>
      <c r="I1537" s="15"/>
      <c r="J1537" s="22">
        <v>13200</v>
      </c>
      <c r="K1537" s="15" t="s">
        <v>1650</v>
      </c>
      <c r="L1537" s="17">
        <v>100</v>
      </c>
      <c r="M1537" s="22">
        <v>10000</v>
      </c>
      <c r="N1537" s="17">
        <v>100</v>
      </c>
      <c r="O1537" s="18">
        <v>25.82</v>
      </c>
      <c r="P1537" s="18">
        <v>21.16</v>
      </c>
      <c r="Q1537" s="18">
        <v>21.95</v>
      </c>
      <c r="R1537" s="18">
        <v>17.989999999999998</v>
      </c>
      <c r="S1537" s="18">
        <v>17.559999999999999</v>
      </c>
      <c r="T1537" s="18">
        <v>14.39</v>
      </c>
      <c r="U1537" s="16"/>
      <c r="V1537" s="16"/>
      <c r="W1537" s="16" t="s">
        <v>40</v>
      </c>
      <c r="X1537" s="19">
        <v>2E-3</v>
      </c>
      <c r="Y1537" s="20">
        <v>5.0000000000000004E-6</v>
      </c>
      <c r="Z1537" s="21">
        <v>4601004020399</v>
      </c>
    </row>
    <row r="1538" spans="1:26" ht="12.95" customHeight="1" outlineLevel="3" x14ac:dyDescent="0.2">
      <c r="A1538" s="76" t="s">
        <v>3029</v>
      </c>
      <c r="B1538" s="76"/>
      <c r="C1538" s="77"/>
      <c r="D1538" s="58"/>
      <c r="E1538" s="68"/>
      <c r="F1538" s="13"/>
      <c r="G1538" s="13"/>
      <c r="H1538" s="13"/>
      <c r="I1538" s="13"/>
      <c r="J1538" s="13"/>
      <c r="K1538" s="13"/>
      <c r="L1538" s="13"/>
      <c r="M1538" s="13"/>
      <c r="N1538" s="13"/>
      <c r="O1538" s="13"/>
      <c r="P1538" s="13"/>
      <c r="Q1538" s="13"/>
      <c r="R1538" s="13"/>
      <c r="S1538" s="13"/>
      <c r="T1538" s="13"/>
      <c r="U1538" s="13"/>
      <c r="V1538" s="13"/>
      <c r="W1538" s="13"/>
      <c r="X1538" s="13"/>
      <c r="Y1538" s="13"/>
      <c r="Z1538" s="13"/>
    </row>
    <row r="1539" spans="1:26" ht="12" customHeight="1" outlineLevel="4" x14ac:dyDescent="0.2">
      <c r="A1539" s="14" t="s">
        <v>3030</v>
      </c>
      <c r="B1539" s="26" t="s">
        <v>3031</v>
      </c>
      <c r="C1539" s="52"/>
      <c r="D1539" s="55">
        <f t="shared" si="23"/>
        <v>0</v>
      </c>
      <c r="E1539" s="63" t="str">
        <f>HYPERLINK("https://www.sds-group.ru/product/gilza-kabelnaya-izolirovannaya-pk-t-0-34-termousazhivaemaya-pod-payku-l-26-mm-0-25-0-34-mm-b-08-0751/", "Инфо")</f>
        <v>Инфо</v>
      </c>
      <c r="F1539" s="16" t="s">
        <v>39</v>
      </c>
      <c r="G1539" s="15"/>
      <c r="H1539" s="15"/>
      <c r="I1539" s="15"/>
      <c r="J1539" s="22">
        <v>6520</v>
      </c>
      <c r="K1539" s="15" t="s">
        <v>2750</v>
      </c>
      <c r="L1539" s="17">
        <v>50</v>
      </c>
      <c r="M1539" s="22">
        <v>10000</v>
      </c>
      <c r="N1539" s="17">
        <v>50</v>
      </c>
      <c r="O1539" s="18">
        <v>22.95</v>
      </c>
      <c r="P1539" s="18">
        <v>18.809999999999999</v>
      </c>
      <c r="Q1539" s="18">
        <v>19.510000000000002</v>
      </c>
      <c r="R1539" s="18">
        <v>15.99</v>
      </c>
      <c r="S1539" s="18">
        <v>15.61</v>
      </c>
      <c r="T1539" s="18">
        <v>12.8</v>
      </c>
      <c r="U1539" s="16"/>
      <c r="V1539" s="16"/>
      <c r="W1539" s="16" t="s">
        <v>40</v>
      </c>
      <c r="X1539" s="19">
        <v>0</v>
      </c>
      <c r="Y1539" s="20">
        <v>5.0000000000000004E-6</v>
      </c>
      <c r="Z1539" s="21">
        <v>4601004043404</v>
      </c>
    </row>
    <row r="1540" spans="1:26" ht="12" customHeight="1" outlineLevel="4" x14ac:dyDescent="0.2">
      <c r="A1540" s="14" t="s">
        <v>3032</v>
      </c>
      <c r="B1540" s="26" t="s">
        <v>3033</v>
      </c>
      <c r="C1540" s="52"/>
      <c r="D1540" s="55">
        <f t="shared" si="23"/>
        <v>0</v>
      </c>
      <c r="E1540" s="63" t="str">
        <f>HYPERLINK("https://www.sds-group.ru/product/gilza-kabelnaya-izolirovannaya-pk-t-1-5-termousazhivaemaya-pod-payku-l-40-mm-0-5-1-5-mm-kras-08-0752/", "Инфо")</f>
        <v>Инфо</v>
      </c>
      <c r="F1540" s="16" t="s">
        <v>39</v>
      </c>
      <c r="G1540" s="15"/>
      <c r="H1540" s="15"/>
      <c r="I1540" s="15"/>
      <c r="J1540" s="16" t="s">
        <v>100</v>
      </c>
      <c r="K1540" s="15" t="s">
        <v>210</v>
      </c>
      <c r="L1540" s="17">
        <v>50</v>
      </c>
      <c r="M1540" s="22">
        <v>10000</v>
      </c>
      <c r="N1540" s="17">
        <v>50</v>
      </c>
      <c r="O1540" s="18">
        <v>29.15</v>
      </c>
      <c r="P1540" s="18">
        <v>23.89</v>
      </c>
      <c r="Q1540" s="18">
        <v>24.78</v>
      </c>
      <c r="R1540" s="18">
        <v>20.309999999999999</v>
      </c>
      <c r="S1540" s="18">
        <v>19.82</v>
      </c>
      <c r="T1540" s="18">
        <v>16.25</v>
      </c>
      <c r="U1540" s="16"/>
      <c r="V1540" s="16"/>
      <c r="W1540" s="16" t="s">
        <v>40</v>
      </c>
      <c r="X1540" s="19">
        <v>1E-3</v>
      </c>
      <c r="Y1540" s="20">
        <v>3.0000000000000001E-6</v>
      </c>
      <c r="Z1540" s="21">
        <v>4601004043367</v>
      </c>
    </row>
    <row r="1541" spans="1:26" ht="12" customHeight="1" outlineLevel="4" x14ac:dyDescent="0.2">
      <c r="A1541" s="14" t="s">
        <v>3034</v>
      </c>
      <c r="B1541" s="26" t="s">
        <v>3035</v>
      </c>
      <c r="C1541" s="52"/>
      <c r="D1541" s="55">
        <f t="shared" si="23"/>
        <v>0</v>
      </c>
      <c r="E1541" s="63" t="str">
        <f>HYPERLINK("https://www.sds-group.ru/product/gilza-kabelnaya-izolirovannaya-pk-t-2-5-termousazhivaemaya-pod-payku-l-40-mm-1-5-2-5-mm-siny-08-0753/", "Инфо")</f>
        <v>Инфо</v>
      </c>
      <c r="F1541" s="16" t="s">
        <v>39</v>
      </c>
      <c r="G1541" s="15"/>
      <c r="H1541" s="15"/>
      <c r="I1541" s="15"/>
      <c r="J1541" s="16" t="s">
        <v>100</v>
      </c>
      <c r="K1541" s="15" t="s">
        <v>1650</v>
      </c>
      <c r="L1541" s="17">
        <v>50</v>
      </c>
      <c r="M1541" s="22">
        <v>10000</v>
      </c>
      <c r="N1541" s="17">
        <v>50</v>
      </c>
      <c r="O1541" s="18">
        <v>29.53</v>
      </c>
      <c r="P1541" s="18">
        <v>24.2</v>
      </c>
      <c r="Q1541" s="18">
        <v>25.1</v>
      </c>
      <c r="R1541" s="18">
        <v>20.57</v>
      </c>
      <c r="S1541" s="18">
        <v>20.079999999999998</v>
      </c>
      <c r="T1541" s="18">
        <v>16.46</v>
      </c>
      <c r="U1541" s="16"/>
      <c r="V1541" s="16"/>
      <c r="W1541" s="16" t="s">
        <v>40</v>
      </c>
      <c r="X1541" s="19">
        <v>1E-3</v>
      </c>
      <c r="Y1541" s="20">
        <v>5.0000000000000004E-6</v>
      </c>
      <c r="Z1541" s="21">
        <v>4601004043374</v>
      </c>
    </row>
    <row r="1542" spans="1:26" ht="12" customHeight="1" outlineLevel="4" x14ac:dyDescent="0.2">
      <c r="A1542" s="14" t="s">
        <v>3036</v>
      </c>
      <c r="B1542" s="26" t="s">
        <v>3037</v>
      </c>
      <c r="C1542" s="52"/>
      <c r="D1542" s="55">
        <f t="shared" si="23"/>
        <v>0</v>
      </c>
      <c r="E1542" s="63" t="str">
        <f>HYPERLINK("https://www.sds-group.ru/product/gilza-kabelnaya-izolirovannaya-pk-t-6-0-termousazhivaemaya-pod-payku-l-40-mm-4-0-6-0-mm-zhel-08-0754/", "Инфо")</f>
        <v>Инфо</v>
      </c>
      <c r="F1542" s="16" t="s">
        <v>39</v>
      </c>
      <c r="G1542" s="15"/>
      <c r="H1542" s="15"/>
      <c r="I1542" s="15"/>
      <c r="J1542" s="16" t="s">
        <v>100</v>
      </c>
      <c r="K1542" s="15" t="s">
        <v>2750</v>
      </c>
      <c r="L1542" s="17">
        <v>50</v>
      </c>
      <c r="M1542" s="22">
        <v>10000</v>
      </c>
      <c r="N1542" s="17">
        <v>50</v>
      </c>
      <c r="O1542" s="18">
        <v>34.450000000000003</v>
      </c>
      <c r="P1542" s="18">
        <v>28.24</v>
      </c>
      <c r="Q1542" s="18">
        <v>29.28</v>
      </c>
      <c r="R1542" s="18">
        <v>24</v>
      </c>
      <c r="S1542" s="18">
        <v>23.43</v>
      </c>
      <c r="T1542" s="18">
        <v>19.2</v>
      </c>
      <c r="U1542" s="16"/>
      <c r="V1542" s="16"/>
      <c r="W1542" s="16" t="s">
        <v>40</v>
      </c>
      <c r="X1542" s="19">
        <v>1E-3</v>
      </c>
      <c r="Y1542" s="20">
        <v>1.5999999999999999E-5</v>
      </c>
      <c r="Z1542" s="21">
        <v>4601004043381</v>
      </c>
    </row>
    <row r="1543" spans="1:26" ht="12.95" customHeight="1" outlineLevel="2" x14ac:dyDescent="0.2">
      <c r="A1543" s="76" t="s">
        <v>3038</v>
      </c>
      <c r="B1543" s="76"/>
      <c r="C1543" s="77"/>
      <c r="D1543" s="58"/>
      <c r="E1543" s="68"/>
      <c r="F1543" s="13"/>
      <c r="G1543" s="13"/>
      <c r="H1543" s="13"/>
      <c r="I1543" s="13"/>
      <c r="J1543" s="13"/>
      <c r="K1543" s="13"/>
      <c r="L1543" s="13"/>
      <c r="M1543" s="13"/>
      <c r="N1543" s="13"/>
      <c r="O1543" s="13"/>
      <c r="P1543" s="13"/>
      <c r="Q1543" s="13"/>
      <c r="R1543" s="13"/>
      <c r="S1543" s="13"/>
      <c r="T1543" s="13"/>
      <c r="U1543" s="13"/>
      <c r="V1543" s="13"/>
      <c r="W1543" s="13"/>
      <c r="X1543" s="13"/>
      <c r="Y1543" s="13"/>
      <c r="Z1543" s="13"/>
    </row>
    <row r="1544" spans="1:26" ht="12.95" customHeight="1" outlineLevel="3" x14ac:dyDescent="0.2">
      <c r="A1544" s="76" t="s">
        <v>3039</v>
      </c>
      <c r="B1544" s="76"/>
      <c r="C1544" s="77"/>
      <c r="D1544" s="58"/>
      <c r="E1544" s="68"/>
      <c r="F1544" s="13"/>
      <c r="G1544" s="13"/>
      <c r="H1544" s="13"/>
      <c r="I1544" s="13"/>
      <c r="J1544" s="13"/>
      <c r="K1544" s="13"/>
      <c r="L1544" s="13"/>
      <c r="M1544" s="13"/>
      <c r="N1544" s="13"/>
      <c r="O1544" s="13"/>
      <c r="P1544" s="13"/>
      <c r="Q1544" s="13"/>
      <c r="R1544" s="13"/>
      <c r="S1544" s="13"/>
      <c r="T1544" s="13"/>
      <c r="U1544" s="13"/>
      <c r="V1544" s="13"/>
      <c r="W1544" s="13"/>
      <c r="X1544" s="13"/>
      <c r="Y1544" s="13"/>
      <c r="Z1544" s="13"/>
    </row>
    <row r="1545" spans="1:26" ht="12" customHeight="1" outlineLevel="4" x14ac:dyDescent="0.2">
      <c r="A1545" s="14" t="s">
        <v>3040</v>
      </c>
      <c r="B1545" s="26" t="s">
        <v>3041</v>
      </c>
      <c r="C1545" s="52"/>
      <c r="D1545" s="55">
        <f t="shared" ref="D1545:D1608" si="24">C1545*(O1545-O1545*$G$3)</f>
        <v>0</v>
      </c>
      <c r="E1545" s="63" t="str">
        <f>HYPERLINK("https://www.sds-group.ru/product/klemma-smk-222-421-prohodnaya-1-polyus-0-08-4-mm-seraya-5-sht-up-rexant-07-5240-05/", "Инфо")</f>
        <v>Инфо</v>
      </c>
      <c r="F1545" s="16" t="s">
        <v>1001</v>
      </c>
      <c r="G1545" s="15"/>
      <c r="H1545" s="15"/>
      <c r="I1545" s="15"/>
      <c r="J1545" s="17">
        <v>80</v>
      </c>
      <c r="K1545" s="15" t="s">
        <v>1650</v>
      </c>
      <c r="L1545" s="17">
        <v>5</v>
      </c>
      <c r="M1545" s="17">
        <v>400</v>
      </c>
      <c r="N1545" s="17">
        <v>5</v>
      </c>
      <c r="O1545" s="18">
        <v>265.92</v>
      </c>
      <c r="P1545" s="18">
        <v>217.97</v>
      </c>
      <c r="Q1545" s="18">
        <v>226.03</v>
      </c>
      <c r="R1545" s="18">
        <v>185.27</v>
      </c>
      <c r="S1545" s="18">
        <v>180.83</v>
      </c>
      <c r="T1545" s="18">
        <v>148.22</v>
      </c>
      <c r="U1545" s="16"/>
      <c r="V1545" s="16"/>
      <c r="W1545" s="16" t="s">
        <v>40</v>
      </c>
      <c r="X1545" s="19">
        <v>2.8000000000000001E-2</v>
      </c>
      <c r="Y1545" s="20">
        <v>9.8999999999999994E-5</v>
      </c>
      <c r="Z1545" s="21">
        <v>4601004253179</v>
      </c>
    </row>
    <row r="1546" spans="1:26" ht="12" customHeight="1" outlineLevel="4" x14ac:dyDescent="0.2">
      <c r="A1546" s="14" t="s">
        <v>3042</v>
      </c>
      <c r="B1546" s="26" t="s">
        <v>3043</v>
      </c>
      <c r="C1546" s="52"/>
      <c r="D1546" s="55">
        <f t="shared" si="24"/>
        <v>0</v>
      </c>
      <c r="E1546" s="63" t="str">
        <f>HYPERLINK("https://www.sds-group.ru/product/klemma-smk-222-421-prohodnaya-1-polyus-0-08-4-mm-seraya-50-sht-up-rexant-07-5240/", "Инфо")</f>
        <v>Инфо</v>
      </c>
      <c r="F1546" s="16" t="s">
        <v>39</v>
      </c>
      <c r="G1546" s="15"/>
      <c r="H1546" s="15"/>
      <c r="I1546" s="15"/>
      <c r="J1546" s="16" t="s">
        <v>100</v>
      </c>
      <c r="K1546" s="15" t="s">
        <v>1650</v>
      </c>
      <c r="L1546" s="17">
        <v>50</v>
      </c>
      <c r="M1546" s="22">
        <v>2500</v>
      </c>
      <c r="N1546" s="17">
        <v>50</v>
      </c>
      <c r="O1546" s="18">
        <v>25.39</v>
      </c>
      <c r="P1546" s="18">
        <v>20.81</v>
      </c>
      <c r="Q1546" s="18">
        <v>21.58</v>
      </c>
      <c r="R1546" s="18">
        <v>17.690000000000001</v>
      </c>
      <c r="S1546" s="18">
        <v>17.27</v>
      </c>
      <c r="T1546" s="18">
        <v>14.16</v>
      </c>
      <c r="U1546" s="16"/>
      <c r="V1546" s="16"/>
      <c r="W1546" s="16" t="s">
        <v>40</v>
      </c>
      <c r="X1546" s="19">
        <v>5.0000000000000001E-3</v>
      </c>
      <c r="Y1546" s="20">
        <v>1.1E-5</v>
      </c>
      <c r="Z1546" s="21">
        <v>4601004197381</v>
      </c>
    </row>
    <row r="1547" spans="1:26" ht="12" customHeight="1" outlineLevel="4" x14ac:dyDescent="0.2">
      <c r="A1547" s="14" t="s">
        <v>3044</v>
      </c>
      <c r="B1547" s="26" t="s">
        <v>3045</v>
      </c>
      <c r="C1547" s="52"/>
      <c r="D1547" s="55">
        <f t="shared" si="24"/>
        <v>0</v>
      </c>
      <c r="E1547" s="63" t="str">
        <f>HYPERLINK("https://www.sds-group.ru/product/klemma-smk-222-421p-prohodnaya-1-polyus-s-montazhnoy-ploschadkoy-0-08-4-mm-seraya-5-sht-u-07-6261-05/", "Инфо")</f>
        <v>Инфо</v>
      </c>
      <c r="F1547" s="16" t="s">
        <v>1001</v>
      </c>
      <c r="G1547" s="15"/>
      <c r="H1547" s="15"/>
      <c r="I1547" s="15"/>
      <c r="J1547" s="17">
        <v>11</v>
      </c>
      <c r="K1547" s="15" t="s">
        <v>1650</v>
      </c>
      <c r="L1547" s="17">
        <v>5</v>
      </c>
      <c r="M1547" s="17">
        <v>400</v>
      </c>
      <c r="N1547" s="17">
        <v>5</v>
      </c>
      <c r="O1547" s="18">
        <v>272.63</v>
      </c>
      <c r="P1547" s="18">
        <v>223.47</v>
      </c>
      <c r="Q1547" s="18">
        <v>231.74</v>
      </c>
      <c r="R1547" s="18">
        <v>189.95</v>
      </c>
      <c r="S1547" s="18">
        <v>185.39</v>
      </c>
      <c r="T1547" s="18">
        <v>151.96</v>
      </c>
      <c r="U1547" s="16"/>
      <c r="V1547" s="16"/>
      <c r="W1547" s="16" t="s">
        <v>40</v>
      </c>
      <c r="X1547" s="19">
        <v>2.5000000000000001E-2</v>
      </c>
      <c r="Y1547" s="20">
        <v>1.2E-4</v>
      </c>
      <c r="Z1547" s="21">
        <v>4601004253193</v>
      </c>
    </row>
    <row r="1548" spans="1:26" ht="12" customHeight="1" outlineLevel="4" x14ac:dyDescent="0.2">
      <c r="A1548" s="14" t="s">
        <v>3046</v>
      </c>
      <c r="B1548" s="26" t="s">
        <v>3047</v>
      </c>
      <c r="C1548" s="52"/>
      <c r="D1548" s="55">
        <f t="shared" si="24"/>
        <v>0</v>
      </c>
      <c r="E1548" s="63" t="str">
        <f>HYPERLINK("https://www.sds-group.ru/product/klemma-smk-222-421p-prohodnaya-1-polyus-s-montazhnoy-ploschadkoy-0-08-4-mm-seraya-50-sht-up--07-6261/", "Инфо")</f>
        <v>Инфо</v>
      </c>
      <c r="F1548" s="16" t="s">
        <v>39</v>
      </c>
      <c r="G1548" s="15"/>
      <c r="H1548" s="15"/>
      <c r="I1548" s="15"/>
      <c r="J1548" s="22">
        <v>23800</v>
      </c>
      <c r="K1548" s="15"/>
      <c r="L1548" s="17">
        <v>50</v>
      </c>
      <c r="M1548" s="22">
        <v>2000</v>
      </c>
      <c r="N1548" s="17">
        <v>50</v>
      </c>
      <c r="O1548" s="18">
        <v>49.25</v>
      </c>
      <c r="P1548" s="18">
        <v>40.369999999999997</v>
      </c>
      <c r="Q1548" s="18">
        <v>41.86</v>
      </c>
      <c r="R1548" s="18">
        <v>34.31</v>
      </c>
      <c r="S1548" s="18">
        <v>33.49</v>
      </c>
      <c r="T1548" s="18">
        <v>27.45</v>
      </c>
      <c r="U1548" s="16"/>
      <c r="V1548" s="16"/>
      <c r="W1548" s="16" t="s">
        <v>40</v>
      </c>
      <c r="X1548" s="19">
        <v>4.0000000000000001E-3</v>
      </c>
      <c r="Y1548" s="20">
        <v>9.0000000000000002E-6</v>
      </c>
      <c r="Z1548" s="21">
        <v>4601004182332</v>
      </c>
    </row>
    <row r="1549" spans="1:26" ht="12" customHeight="1" outlineLevel="4" x14ac:dyDescent="0.2">
      <c r="A1549" s="14" t="s">
        <v>3048</v>
      </c>
      <c r="B1549" s="26" t="s">
        <v>3049</v>
      </c>
      <c r="C1549" s="52"/>
      <c r="D1549" s="55">
        <f t="shared" si="24"/>
        <v>0</v>
      </c>
      <c r="E1549" s="63" t="str">
        <f>HYPERLINK("https://www.sds-group.ru/product/klemma-smk-222-421r-prohodnaya-razemnaya-1-polyus-seraya-0-2-2-5-4mm-50-sht-up-rexant-07-5261/", "Инфо")</f>
        <v>Инфо</v>
      </c>
      <c r="F1549" s="16" t="s">
        <v>39</v>
      </c>
      <c r="G1549" s="15"/>
      <c r="H1549" s="15"/>
      <c r="I1549" s="15"/>
      <c r="J1549" s="22">
        <v>4300</v>
      </c>
      <c r="K1549" s="15"/>
      <c r="L1549" s="17">
        <v>50</v>
      </c>
      <c r="M1549" s="22">
        <v>2500</v>
      </c>
      <c r="N1549" s="17">
        <v>50</v>
      </c>
      <c r="O1549" s="18">
        <v>60.64</v>
      </c>
      <c r="P1549" s="18">
        <v>49.7</v>
      </c>
      <c r="Q1549" s="18">
        <v>51.54</v>
      </c>
      <c r="R1549" s="18">
        <v>42.25</v>
      </c>
      <c r="S1549" s="18">
        <v>41.24</v>
      </c>
      <c r="T1549" s="18">
        <v>33.799999999999997</v>
      </c>
      <c r="U1549" s="16"/>
      <c r="V1549" s="16"/>
      <c r="W1549" s="16" t="s">
        <v>40</v>
      </c>
      <c r="X1549" s="19">
        <v>5.0000000000000001E-3</v>
      </c>
      <c r="Y1549" s="20">
        <v>1.1E-5</v>
      </c>
      <c r="Z1549" s="21">
        <v>4601004278776</v>
      </c>
    </row>
    <row r="1550" spans="1:26" ht="12" customHeight="1" outlineLevel="4" x14ac:dyDescent="0.2">
      <c r="A1550" s="32" t="s">
        <v>3050</v>
      </c>
      <c r="B1550" s="74" t="s">
        <v>3051</v>
      </c>
      <c r="C1550" s="50"/>
      <c r="D1550" s="53">
        <f t="shared" si="24"/>
        <v>0</v>
      </c>
      <c r="E1550" s="60" t="str">
        <f>HYPERLINK("https://www.sds-group.ru/product/klemma-smk-222-421r-prohodnaya-razemnaya-1-polyus-seraya-0-2-2-5-4mm-blister-5-sht-up-rexa-07-5261-5/", "Инфо")</f>
        <v>Инфо</v>
      </c>
      <c r="F1550" s="34" t="s">
        <v>1001</v>
      </c>
      <c r="G1550" s="33"/>
      <c r="H1550" s="33" t="s">
        <v>40</v>
      </c>
      <c r="I1550" s="33"/>
      <c r="J1550" s="34" t="s">
        <v>100</v>
      </c>
      <c r="K1550" s="33"/>
      <c r="L1550" s="35">
        <v>1</v>
      </c>
      <c r="M1550" s="35">
        <v>10</v>
      </c>
      <c r="N1550" s="35">
        <v>1</v>
      </c>
      <c r="O1550" s="36">
        <v>343.85</v>
      </c>
      <c r="P1550" s="36">
        <v>281.83999999999997</v>
      </c>
      <c r="Q1550" s="36">
        <v>292.27</v>
      </c>
      <c r="R1550" s="36">
        <v>239.57</v>
      </c>
      <c r="S1550" s="36">
        <v>233.82</v>
      </c>
      <c r="T1550" s="36">
        <v>191.66</v>
      </c>
      <c r="U1550" s="34"/>
      <c r="V1550" s="34"/>
      <c r="W1550" s="34" t="s">
        <v>40</v>
      </c>
      <c r="X1550" s="37">
        <v>0.03</v>
      </c>
      <c r="Y1550" s="38">
        <v>1.47E-4</v>
      </c>
      <c r="Z1550" s="21">
        <v>4601004327863</v>
      </c>
    </row>
    <row r="1551" spans="1:26" ht="12" customHeight="1" outlineLevel="4" x14ac:dyDescent="0.2">
      <c r="A1551" s="14" t="s">
        <v>3052</v>
      </c>
      <c r="B1551" s="26" t="s">
        <v>3053</v>
      </c>
      <c r="C1551" s="52"/>
      <c r="D1551" s="55">
        <f t="shared" si="24"/>
        <v>0</v>
      </c>
      <c r="E1551" s="63" t="str">
        <f>HYPERLINK("https://www.sds-group.ru/product/klemma-smk-222-422-prohodnaya-2-polyusa-0-08-4-mm-seraya-25-sht-up-rexant-07-6263-2/", "Инфо")</f>
        <v>Инфо</v>
      </c>
      <c r="F1551" s="16" t="s">
        <v>39</v>
      </c>
      <c r="G1551" s="15"/>
      <c r="H1551" s="15"/>
      <c r="I1551" s="15"/>
      <c r="J1551" s="16" t="s">
        <v>100</v>
      </c>
      <c r="K1551" s="15" t="s">
        <v>1650</v>
      </c>
      <c r="L1551" s="17">
        <v>25</v>
      </c>
      <c r="M1551" s="22">
        <v>2500</v>
      </c>
      <c r="N1551" s="17">
        <v>25</v>
      </c>
      <c r="O1551" s="18">
        <v>40.25</v>
      </c>
      <c r="P1551" s="18">
        <v>32.99</v>
      </c>
      <c r="Q1551" s="18">
        <v>34.21</v>
      </c>
      <c r="R1551" s="18">
        <v>28.04</v>
      </c>
      <c r="S1551" s="18">
        <v>27.37</v>
      </c>
      <c r="T1551" s="18">
        <v>22.43</v>
      </c>
      <c r="U1551" s="16"/>
      <c r="V1551" s="16"/>
      <c r="W1551" s="16" t="s">
        <v>40</v>
      </c>
      <c r="X1551" s="19">
        <v>8.0000000000000002E-3</v>
      </c>
      <c r="Y1551" s="20">
        <v>1.5E-5</v>
      </c>
      <c r="Z1551" s="21">
        <v>4601004182318</v>
      </c>
    </row>
    <row r="1552" spans="1:26" ht="12" customHeight="1" outlineLevel="4" x14ac:dyDescent="0.2">
      <c r="A1552" s="14" t="s">
        <v>3054</v>
      </c>
      <c r="B1552" s="26" t="s">
        <v>3055</v>
      </c>
      <c r="C1552" s="52"/>
      <c r="D1552" s="55">
        <f t="shared" si="24"/>
        <v>0</v>
      </c>
      <c r="E1552" s="63" t="str">
        <f>HYPERLINK("https://www.sds-group.ru/product/klemma-smk-222-422-prohodnaya-2-polyusa-0-08-4-mm-seraya-5-sht-up-rexant-07-6263-2-05/", "Инфо")</f>
        <v>Инфо</v>
      </c>
      <c r="F1552" s="16" t="s">
        <v>1001</v>
      </c>
      <c r="G1552" s="15"/>
      <c r="H1552" s="15"/>
      <c r="I1552" s="15"/>
      <c r="J1552" s="16" t="s">
        <v>100</v>
      </c>
      <c r="K1552" s="15" t="s">
        <v>1650</v>
      </c>
      <c r="L1552" s="17">
        <v>5</v>
      </c>
      <c r="M1552" s="17">
        <v>250</v>
      </c>
      <c r="N1552" s="17">
        <v>5</v>
      </c>
      <c r="O1552" s="18">
        <v>329.15</v>
      </c>
      <c r="P1552" s="18">
        <v>269.8</v>
      </c>
      <c r="Q1552" s="18">
        <v>279.77999999999997</v>
      </c>
      <c r="R1552" s="18">
        <v>229.33</v>
      </c>
      <c r="S1552" s="18">
        <v>223.82</v>
      </c>
      <c r="T1552" s="18">
        <v>183.46</v>
      </c>
      <c r="U1552" s="16"/>
      <c r="V1552" s="16"/>
      <c r="W1552" s="16" t="s">
        <v>40</v>
      </c>
      <c r="X1552" s="19">
        <v>4.2000000000000003E-2</v>
      </c>
      <c r="Y1552" s="20">
        <v>1.47E-4</v>
      </c>
      <c r="Z1552" s="21">
        <v>4601004253209</v>
      </c>
    </row>
    <row r="1553" spans="1:26" ht="12" customHeight="1" outlineLevel="4" x14ac:dyDescent="0.2">
      <c r="A1553" s="14" t="s">
        <v>3056</v>
      </c>
      <c r="B1553" s="26" t="s">
        <v>3057</v>
      </c>
      <c r="C1553" s="52"/>
      <c r="D1553" s="55">
        <f t="shared" si="24"/>
        <v>0</v>
      </c>
      <c r="E1553" s="63" t="str">
        <f>HYPERLINK("https://www.sds-group.ru/product/klemma-smk-222-422p-prohodnaya-2-polyusa-s-montazhnoy-ploschadkoy-0-08-4-mm-seraya-50-sht-up-07-6262/", "Инфо")</f>
        <v>Инфо</v>
      </c>
      <c r="F1553" s="16" t="s">
        <v>39</v>
      </c>
      <c r="G1553" s="15"/>
      <c r="H1553" s="15"/>
      <c r="I1553" s="15"/>
      <c r="J1553" s="22">
        <v>5000</v>
      </c>
      <c r="K1553" s="15" t="s">
        <v>210</v>
      </c>
      <c r="L1553" s="17">
        <v>50</v>
      </c>
      <c r="M1553" s="22">
        <v>1500</v>
      </c>
      <c r="N1553" s="17">
        <v>50</v>
      </c>
      <c r="O1553" s="18">
        <v>46.04</v>
      </c>
      <c r="P1553" s="18">
        <v>37.74</v>
      </c>
      <c r="Q1553" s="18">
        <v>39.130000000000003</v>
      </c>
      <c r="R1553" s="18">
        <v>32.07</v>
      </c>
      <c r="S1553" s="18">
        <v>31.31</v>
      </c>
      <c r="T1553" s="18">
        <v>25.66</v>
      </c>
      <c r="U1553" s="16"/>
      <c r="V1553" s="16"/>
      <c r="W1553" s="16" t="s">
        <v>40</v>
      </c>
      <c r="X1553" s="19">
        <v>8.0000000000000002E-3</v>
      </c>
      <c r="Y1553" s="20">
        <v>2.5000000000000001E-5</v>
      </c>
      <c r="Z1553" s="21">
        <v>4601004182349</v>
      </c>
    </row>
    <row r="1554" spans="1:26" ht="12" customHeight="1" outlineLevel="4" x14ac:dyDescent="0.2">
      <c r="A1554" s="14" t="s">
        <v>3058</v>
      </c>
      <c r="B1554" s="26" t="s">
        <v>3059</v>
      </c>
      <c r="C1554" s="52"/>
      <c r="D1554" s="55">
        <f t="shared" si="24"/>
        <v>0</v>
      </c>
      <c r="E1554" s="63" t="str">
        <f>HYPERLINK("https://www.sds-group.ru/product/klemma-smk-222-422p-prohodnaya-2-polyusa-s-montazhnoy-ploschadkoy-0-08-4-mm-seraya-blister-07-6262-5/", "Инфо")</f>
        <v>Инфо</v>
      </c>
      <c r="F1554" s="16" t="s">
        <v>1001</v>
      </c>
      <c r="G1554" s="15"/>
      <c r="H1554" s="15"/>
      <c r="I1554" s="15"/>
      <c r="J1554" s="16" t="s">
        <v>100</v>
      </c>
      <c r="K1554" s="15" t="s">
        <v>1650</v>
      </c>
      <c r="L1554" s="17">
        <v>5</v>
      </c>
      <c r="M1554" s="17">
        <v>250</v>
      </c>
      <c r="N1554" s="17">
        <v>5</v>
      </c>
      <c r="O1554" s="18">
        <v>330.5</v>
      </c>
      <c r="P1554" s="18">
        <v>270.89999999999998</v>
      </c>
      <c r="Q1554" s="18">
        <v>280.93</v>
      </c>
      <c r="R1554" s="18">
        <v>230.27</v>
      </c>
      <c r="S1554" s="18">
        <v>224.74</v>
      </c>
      <c r="T1554" s="18">
        <v>184.21</v>
      </c>
      <c r="U1554" s="16"/>
      <c r="V1554" s="16"/>
      <c r="W1554" s="16" t="s">
        <v>40</v>
      </c>
      <c r="X1554" s="19">
        <v>4.9000000000000002E-2</v>
      </c>
      <c r="Y1554" s="20">
        <v>1.5899999999999999E-4</v>
      </c>
      <c r="Z1554" s="21">
        <v>4601004238213</v>
      </c>
    </row>
    <row r="1555" spans="1:26" ht="12" customHeight="1" outlineLevel="4" x14ac:dyDescent="0.2">
      <c r="A1555" s="14" t="s">
        <v>3060</v>
      </c>
      <c r="B1555" s="26" t="s">
        <v>3061</v>
      </c>
      <c r="C1555" s="52"/>
      <c r="D1555" s="55">
        <f t="shared" si="24"/>
        <v>0</v>
      </c>
      <c r="E1555" s="63" t="str">
        <f>HYPERLINK("https://www.sds-group.ru/product/klemma-smk-222-422r-prohodnaya-razemnaya-2-polyusa-seraya-0-2-2-5-4mm-50-sht-up-rexant-07-5262/", "Инфо")</f>
        <v>Инфо</v>
      </c>
      <c r="F1555" s="16" t="s">
        <v>39</v>
      </c>
      <c r="G1555" s="15"/>
      <c r="H1555" s="15"/>
      <c r="I1555" s="15"/>
      <c r="J1555" s="22">
        <v>4650</v>
      </c>
      <c r="K1555" s="15" t="s">
        <v>940</v>
      </c>
      <c r="L1555" s="17">
        <v>50</v>
      </c>
      <c r="M1555" s="22">
        <v>2500</v>
      </c>
      <c r="N1555" s="17">
        <v>50</v>
      </c>
      <c r="O1555" s="18">
        <v>106.13</v>
      </c>
      <c r="P1555" s="18">
        <v>86.99</v>
      </c>
      <c r="Q1555" s="18">
        <v>90.21</v>
      </c>
      <c r="R1555" s="18">
        <v>73.94</v>
      </c>
      <c r="S1555" s="18">
        <v>72.17</v>
      </c>
      <c r="T1555" s="18">
        <v>59.16</v>
      </c>
      <c r="U1555" s="16"/>
      <c r="V1555" s="16"/>
      <c r="W1555" s="16" t="s">
        <v>40</v>
      </c>
      <c r="X1555" s="19">
        <v>8.9999999999999993E-3</v>
      </c>
      <c r="Y1555" s="20">
        <v>3.1999999999999999E-5</v>
      </c>
      <c r="Z1555" s="21">
        <v>4601004278738</v>
      </c>
    </row>
    <row r="1556" spans="1:26" ht="12" customHeight="1" outlineLevel="4" x14ac:dyDescent="0.2">
      <c r="A1556" s="14" t="s">
        <v>3062</v>
      </c>
      <c r="B1556" s="26" t="s">
        <v>3063</v>
      </c>
      <c r="C1556" s="52"/>
      <c r="D1556" s="55">
        <f t="shared" si="24"/>
        <v>0</v>
      </c>
      <c r="E1556" s="63" t="str">
        <f>HYPERLINK("https://www.sds-group.ru/product/klemma-smk-222-422r-prohodnaya-razemnaya-2-polyusa-seraya-0-2-2-5-4mm-blister-5-sht-up-rex-07-5262-5/", "Инфо")</f>
        <v>Инфо</v>
      </c>
      <c r="F1556" s="16" t="s">
        <v>1001</v>
      </c>
      <c r="G1556" s="15"/>
      <c r="H1556" s="15"/>
      <c r="I1556" s="15"/>
      <c r="J1556" s="16" t="s">
        <v>100</v>
      </c>
      <c r="K1556" s="15"/>
      <c r="L1556" s="17">
        <v>5</v>
      </c>
      <c r="M1556" s="17">
        <v>10</v>
      </c>
      <c r="N1556" s="17">
        <v>5</v>
      </c>
      <c r="O1556" s="18">
        <v>478.01</v>
      </c>
      <c r="P1556" s="18">
        <v>391.81</v>
      </c>
      <c r="Q1556" s="18">
        <v>382.41</v>
      </c>
      <c r="R1556" s="18">
        <v>313.45</v>
      </c>
      <c r="S1556" s="18">
        <v>325.05</v>
      </c>
      <c r="T1556" s="18">
        <v>266.43</v>
      </c>
      <c r="U1556" s="16"/>
      <c r="V1556" s="16"/>
      <c r="W1556" s="16" t="s">
        <v>40</v>
      </c>
      <c r="X1556" s="19">
        <v>5.0999999999999997E-2</v>
      </c>
      <c r="Y1556" s="20">
        <v>2.5799999999999998E-4</v>
      </c>
      <c r="Z1556" s="21">
        <v>4601004327818</v>
      </c>
    </row>
    <row r="1557" spans="1:26" ht="12" customHeight="1" outlineLevel="4" x14ac:dyDescent="0.2">
      <c r="A1557" s="14" t="s">
        <v>3064</v>
      </c>
      <c r="B1557" s="26" t="s">
        <v>3065</v>
      </c>
      <c r="C1557" s="52"/>
      <c r="D1557" s="55">
        <f t="shared" si="24"/>
        <v>0</v>
      </c>
      <c r="E1557" s="63" t="str">
        <f>HYPERLINK("https://www.sds-group.ru/product/klemma-smk-222-423-prohodnaya-3-polyusa-0-08-4-mm-seraya-25-sht-up-rexant-07-6263-3/", "Инфо")</f>
        <v>Инфо</v>
      </c>
      <c r="F1557" s="16" t="s">
        <v>39</v>
      </c>
      <c r="G1557" s="15"/>
      <c r="H1557" s="15"/>
      <c r="I1557" s="15"/>
      <c r="J1557" s="16" t="s">
        <v>100</v>
      </c>
      <c r="K1557" s="15" t="s">
        <v>1650</v>
      </c>
      <c r="L1557" s="17">
        <v>25</v>
      </c>
      <c r="M1557" s="22">
        <v>1500</v>
      </c>
      <c r="N1557" s="17">
        <v>25</v>
      </c>
      <c r="O1557" s="18">
        <v>54.05</v>
      </c>
      <c r="P1557" s="18">
        <v>44.3</v>
      </c>
      <c r="Q1557" s="18">
        <v>45.94</v>
      </c>
      <c r="R1557" s="18">
        <v>37.659999999999997</v>
      </c>
      <c r="S1557" s="18">
        <v>36.75</v>
      </c>
      <c r="T1557" s="18">
        <v>30.12</v>
      </c>
      <c r="U1557" s="16"/>
      <c r="V1557" s="16"/>
      <c r="W1557" s="16" t="s">
        <v>40</v>
      </c>
      <c r="X1557" s="19">
        <v>1.0999999999999999E-2</v>
      </c>
      <c r="Y1557" s="20">
        <v>2.3E-5</v>
      </c>
      <c r="Z1557" s="21">
        <v>4601004182325</v>
      </c>
    </row>
    <row r="1558" spans="1:26" ht="12" customHeight="1" outlineLevel="4" x14ac:dyDescent="0.2">
      <c r="A1558" s="14" t="s">
        <v>3066</v>
      </c>
      <c r="B1558" s="26" t="s">
        <v>3067</v>
      </c>
      <c r="C1558" s="52"/>
      <c r="D1558" s="55">
        <f t="shared" si="24"/>
        <v>0</v>
      </c>
      <c r="E1558" s="63" t="str">
        <f>HYPERLINK("https://www.sds-group.ru/product/klemma-smk-222-423-prohodnaya-3-polyusa-0-08-4-mm-seraya-5-sht-up-rexant-07-6263-3-05/", "Инфо")</f>
        <v>Инфо</v>
      </c>
      <c r="F1558" s="16" t="s">
        <v>1001</v>
      </c>
      <c r="G1558" s="15"/>
      <c r="H1558" s="15"/>
      <c r="I1558" s="15"/>
      <c r="J1558" s="16" t="s">
        <v>100</v>
      </c>
      <c r="K1558" s="15" t="s">
        <v>1650</v>
      </c>
      <c r="L1558" s="17">
        <v>5</v>
      </c>
      <c r="M1558" s="17">
        <v>200</v>
      </c>
      <c r="N1558" s="17">
        <v>5</v>
      </c>
      <c r="O1558" s="18">
        <v>440.95</v>
      </c>
      <c r="P1558" s="18">
        <v>361.43</v>
      </c>
      <c r="Q1558" s="18">
        <v>374.81</v>
      </c>
      <c r="R1558" s="18">
        <v>307.22000000000003</v>
      </c>
      <c r="S1558" s="18">
        <v>299.85000000000002</v>
      </c>
      <c r="T1558" s="18">
        <v>245.78</v>
      </c>
      <c r="U1558" s="16"/>
      <c r="V1558" s="16"/>
      <c r="W1558" s="16" t="s">
        <v>40</v>
      </c>
      <c r="X1558" s="19">
        <v>0.06</v>
      </c>
      <c r="Y1558" s="20">
        <v>2.4000000000000001E-4</v>
      </c>
      <c r="Z1558" s="21">
        <v>4601004253216</v>
      </c>
    </row>
    <row r="1559" spans="1:26" ht="12" customHeight="1" outlineLevel="4" x14ac:dyDescent="0.2">
      <c r="A1559" s="14" t="s">
        <v>3068</v>
      </c>
      <c r="B1559" s="26" t="s">
        <v>3069</v>
      </c>
      <c r="C1559" s="52"/>
      <c r="D1559" s="55">
        <f t="shared" si="24"/>
        <v>0</v>
      </c>
      <c r="E1559" s="63" t="str">
        <f>HYPERLINK("https://www.sds-group.ru/product/klemma-smk-222-423p-prohodnaya-3-polyusa-s-montazhnoy-ploschadkoy-0-08-4-mm-seraya-25-sht-up-07-6263/", "Инфо")</f>
        <v>Инфо</v>
      </c>
      <c r="F1559" s="16" t="s">
        <v>39</v>
      </c>
      <c r="G1559" s="15"/>
      <c r="H1559" s="15"/>
      <c r="I1559" s="15"/>
      <c r="J1559" s="22">
        <v>11725</v>
      </c>
      <c r="K1559" s="15" t="s">
        <v>2706</v>
      </c>
      <c r="L1559" s="17">
        <v>25</v>
      </c>
      <c r="M1559" s="22">
        <v>2000</v>
      </c>
      <c r="N1559" s="17">
        <v>25</v>
      </c>
      <c r="O1559" s="18">
        <v>69.98</v>
      </c>
      <c r="P1559" s="18">
        <v>57.36</v>
      </c>
      <c r="Q1559" s="18">
        <v>59.48</v>
      </c>
      <c r="R1559" s="18">
        <v>48.75</v>
      </c>
      <c r="S1559" s="18">
        <v>47.59</v>
      </c>
      <c r="T1559" s="18">
        <v>39.01</v>
      </c>
      <c r="U1559" s="16"/>
      <c r="V1559" s="16"/>
      <c r="W1559" s="16" t="s">
        <v>40</v>
      </c>
      <c r="X1559" s="19">
        <v>1.2E-2</v>
      </c>
      <c r="Y1559" s="20">
        <v>3.4999999999999997E-5</v>
      </c>
      <c r="Z1559" s="21">
        <v>4601004182356</v>
      </c>
    </row>
    <row r="1560" spans="1:26" ht="12" customHeight="1" outlineLevel="4" x14ac:dyDescent="0.2">
      <c r="A1560" s="14" t="s">
        <v>3070</v>
      </c>
      <c r="B1560" s="26" t="s">
        <v>3071</v>
      </c>
      <c r="C1560" s="52"/>
      <c r="D1560" s="55">
        <f t="shared" si="24"/>
        <v>0</v>
      </c>
      <c r="E1560" s="63" t="str">
        <f>HYPERLINK("https://www.sds-group.ru/product/klemma-smk-222-423p-prohodnaya-3-polyusa-s-montazhnoy-ploschadkoy-0-08-4-mm-seraya-blister-07-6263-5/", "Инфо")</f>
        <v>Инфо</v>
      </c>
      <c r="F1560" s="16" t="s">
        <v>1001</v>
      </c>
      <c r="G1560" s="15"/>
      <c r="H1560" s="15"/>
      <c r="I1560" s="15"/>
      <c r="J1560" s="16" t="s">
        <v>100</v>
      </c>
      <c r="K1560" s="15" t="s">
        <v>1650</v>
      </c>
      <c r="L1560" s="17">
        <v>5</v>
      </c>
      <c r="M1560" s="17">
        <v>200</v>
      </c>
      <c r="N1560" s="17">
        <v>5</v>
      </c>
      <c r="O1560" s="18">
        <v>438.52</v>
      </c>
      <c r="P1560" s="18">
        <v>359.44</v>
      </c>
      <c r="Q1560" s="18">
        <v>350.82</v>
      </c>
      <c r="R1560" s="18">
        <v>287.56</v>
      </c>
      <c r="S1560" s="18">
        <v>298.19</v>
      </c>
      <c r="T1560" s="18">
        <v>244.42</v>
      </c>
      <c r="U1560" s="16"/>
      <c r="V1560" s="16"/>
      <c r="W1560" s="16" t="s">
        <v>40</v>
      </c>
      <c r="X1560" s="19">
        <v>6.3E-2</v>
      </c>
      <c r="Y1560" s="20">
        <v>1.94E-4</v>
      </c>
      <c r="Z1560" s="21">
        <v>4601004238183</v>
      </c>
    </row>
    <row r="1561" spans="1:26" ht="12" customHeight="1" outlineLevel="4" x14ac:dyDescent="0.2">
      <c r="A1561" s="14" t="s">
        <v>3072</v>
      </c>
      <c r="B1561" s="26" t="s">
        <v>3073</v>
      </c>
      <c r="C1561" s="52"/>
      <c r="D1561" s="55">
        <f t="shared" si="24"/>
        <v>0</v>
      </c>
      <c r="E1561" s="63" t="str">
        <f>HYPERLINK("https://www.sds-group.ru/product/klemma-smk-222-423r-prohodnaya-razemnaya-3-polyusa-seraya-0-2-2-5-4mm-40-sht-up-rexant-07-5263/", "Инфо")</f>
        <v>Инфо</v>
      </c>
      <c r="F1561" s="16" t="s">
        <v>39</v>
      </c>
      <c r="G1561" s="15"/>
      <c r="H1561" s="15"/>
      <c r="I1561" s="15"/>
      <c r="J1561" s="17">
        <v>480</v>
      </c>
      <c r="K1561" s="15" t="s">
        <v>925</v>
      </c>
      <c r="L1561" s="17">
        <v>40</v>
      </c>
      <c r="M1561" s="22">
        <v>2000</v>
      </c>
      <c r="N1561" s="17">
        <v>40</v>
      </c>
      <c r="O1561" s="18">
        <v>157.66</v>
      </c>
      <c r="P1561" s="18">
        <v>129.22999999999999</v>
      </c>
      <c r="Q1561" s="18">
        <v>134.01</v>
      </c>
      <c r="R1561" s="18">
        <v>109.84</v>
      </c>
      <c r="S1561" s="18">
        <v>107.21</v>
      </c>
      <c r="T1561" s="18">
        <v>87.88</v>
      </c>
      <c r="U1561" s="16"/>
      <c r="V1561" s="16"/>
      <c r="W1561" s="16" t="s">
        <v>40</v>
      </c>
      <c r="X1561" s="19">
        <v>1.2999999999999999E-2</v>
      </c>
      <c r="Y1561" s="20">
        <v>3.6999999999999998E-5</v>
      </c>
      <c r="Z1561" s="21">
        <v>4601004278745</v>
      </c>
    </row>
    <row r="1562" spans="1:26" ht="12" customHeight="1" outlineLevel="4" x14ac:dyDescent="0.2">
      <c r="A1562" s="14" t="s">
        <v>3074</v>
      </c>
      <c r="B1562" s="26" t="s">
        <v>3075</v>
      </c>
      <c r="C1562" s="52"/>
      <c r="D1562" s="55">
        <f t="shared" si="24"/>
        <v>0</v>
      </c>
      <c r="E1562" s="63" t="str">
        <f>HYPERLINK("https://www.sds-group.ru/product/klemma-smk-222-423r-prohodnaya-razemnaya-3-polyusa-seraya-0-2-2-5-4mm-blister-5-sht-up-rex-07-5263-5/", "Инфо")</f>
        <v>Инфо</v>
      </c>
      <c r="F1562" s="16" t="s">
        <v>1001</v>
      </c>
      <c r="G1562" s="15"/>
      <c r="H1562" s="15"/>
      <c r="I1562" s="15"/>
      <c r="J1562" s="17">
        <v>213</v>
      </c>
      <c r="K1562" s="15"/>
      <c r="L1562" s="17">
        <v>1</v>
      </c>
      <c r="M1562" s="17">
        <v>10</v>
      </c>
      <c r="N1562" s="17">
        <v>1</v>
      </c>
      <c r="O1562" s="18">
        <v>643.91</v>
      </c>
      <c r="P1562" s="18">
        <v>527.79999999999995</v>
      </c>
      <c r="Q1562" s="18">
        <v>515.13</v>
      </c>
      <c r="R1562" s="18">
        <v>422.24</v>
      </c>
      <c r="S1562" s="18">
        <v>437.86</v>
      </c>
      <c r="T1562" s="18">
        <v>358.9</v>
      </c>
      <c r="U1562" s="16"/>
      <c r="V1562" s="16"/>
      <c r="W1562" s="16" t="s">
        <v>40</v>
      </c>
      <c r="X1562" s="19">
        <v>7.1999999999999995E-2</v>
      </c>
      <c r="Y1562" s="20">
        <v>3.57E-4</v>
      </c>
      <c r="Z1562" s="21">
        <v>4601004327771</v>
      </c>
    </row>
    <row r="1563" spans="1:26" ht="12" customHeight="1" outlineLevel="4" x14ac:dyDescent="0.2">
      <c r="A1563" s="14" t="s">
        <v>3076</v>
      </c>
      <c r="B1563" s="26" t="s">
        <v>3077</v>
      </c>
      <c r="C1563" s="52"/>
      <c r="D1563" s="55">
        <f t="shared" si="24"/>
        <v>0</v>
      </c>
      <c r="E1563" s="63" t="str">
        <f>HYPERLINK("https://www.sds-group.ru/product/klemma-smk-222-424-prohodnaya-4-polyusa-0-08-4mm-seraya-25-sht-up-rexant-07-5246/", "Инфо")</f>
        <v>Инфо</v>
      </c>
      <c r="F1563" s="16" t="s">
        <v>39</v>
      </c>
      <c r="G1563" s="15"/>
      <c r="H1563" s="15"/>
      <c r="I1563" s="15"/>
      <c r="J1563" s="17">
        <v>675</v>
      </c>
      <c r="K1563" s="15" t="s">
        <v>210</v>
      </c>
      <c r="L1563" s="17">
        <v>25</v>
      </c>
      <c r="M1563" s="22">
        <v>1000</v>
      </c>
      <c r="N1563" s="17">
        <v>25</v>
      </c>
      <c r="O1563" s="18">
        <v>91.31</v>
      </c>
      <c r="P1563" s="18">
        <v>74.84</v>
      </c>
      <c r="Q1563" s="18">
        <v>77.61</v>
      </c>
      <c r="R1563" s="18">
        <v>63.61</v>
      </c>
      <c r="S1563" s="18">
        <v>62.09</v>
      </c>
      <c r="T1563" s="18">
        <v>50.89</v>
      </c>
      <c r="U1563" s="16"/>
      <c r="V1563" s="16"/>
      <c r="W1563" s="16" t="s">
        <v>40</v>
      </c>
      <c r="X1563" s="19">
        <v>1.6E-2</v>
      </c>
      <c r="Y1563" s="20">
        <v>5.0000000000000002E-5</v>
      </c>
      <c r="Z1563" s="21">
        <v>4601004278844</v>
      </c>
    </row>
    <row r="1564" spans="1:26" ht="12" customHeight="1" outlineLevel="4" x14ac:dyDescent="0.2">
      <c r="A1564" s="14" t="s">
        <v>3078</v>
      </c>
      <c r="B1564" s="26" t="s">
        <v>3079</v>
      </c>
      <c r="C1564" s="52"/>
      <c r="D1564" s="55">
        <f t="shared" si="24"/>
        <v>0</v>
      </c>
      <c r="E1564" s="63" t="str">
        <f>HYPERLINK("https://www.sds-group.ru/product/klemma-smk-222-424p-prohodnaya-4-polyusa-s-montazhnoy-ploschadkoy-0-08-4-mm-seraya-25-sht-up-07-6264/", "Инфо")</f>
        <v>Инфо</v>
      </c>
      <c r="F1564" s="16" t="s">
        <v>39</v>
      </c>
      <c r="G1564" s="15"/>
      <c r="H1564" s="15"/>
      <c r="I1564" s="15"/>
      <c r="J1564" s="16" t="s">
        <v>100</v>
      </c>
      <c r="K1564" s="15" t="s">
        <v>1650</v>
      </c>
      <c r="L1564" s="17">
        <v>25</v>
      </c>
      <c r="M1564" s="22">
        <v>1000</v>
      </c>
      <c r="N1564" s="17">
        <v>25</v>
      </c>
      <c r="O1564" s="18">
        <v>112.68</v>
      </c>
      <c r="P1564" s="18">
        <v>92.36</v>
      </c>
      <c r="Q1564" s="18">
        <v>95.78</v>
      </c>
      <c r="R1564" s="18">
        <v>78.510000000000005</v>
      </c>
      <c r="S1564" s="18">
        <v>76.62</v>
      </c>
      <c r="T1564" s="18">
        <v>62.8</v>
      </c>
      <c r="U1564" s="16"/>
      <c r="V1564" s="16"/>
      <c r="W1564" s="16" t="s">
        <v>40</v>
      </c>
      <c r="X1564" s="19">
        <v>1.4E-2</v>
      </c>
      <c r="Y1564" s="20">
        <v>3.8999999999999999E-5</v>
      </c>
      <c r="Z1564" s="21">
        <v>4601004182363</v>
      </c>
    </row>
    <row r="1565" spans="1:26" ht="12" customHeight="1" outlineLevel="4" x14ac:dyDescent="0.2">
      <c r="A1565" s="14" t="s">
        <v>3080</v>
      </c>
      <c r="B1565" s="26" t="s">
        <v>3081</v>
      </c>
      <c r="C1565" s="52"/>
      <c r="D1565" s="55">
        <f t="shared" si="24"/>
        <v>0</v>
      </c>
      <c r="E1565" s="63" t="str">
        <f>HYPERLINK("https://www.sds-group.ru/product/klemma-smk-222-424p-prohodnaya-4-polyusa-s-montazhnoy-ploschadkoy-0-08-4-mm-seraya-blister-07-6264-5/", "Инфо")</f>
        <v>Инфо</v>
      </c>
      <c r="F1565" s="16" t="s">
        <v>1001</v>
      </c>
      <c r="G1565" s="15"/>
      <c r="H1565" s="15"/>
      <c r="I1565" s="15"/>
      <c r="J1565" s="16" t="s">
        <v>100</v>
      </c>
      <c r="K1565" s="15" t="s">
        <v>1650</v>
      </c>
      <c r="L1565" s="17">
        <v>1</v>
      </c>
      <c r="M1565" s="17">
        <v>200</v>
      </c>
      <c r="N1565" s="17">
        <v>1</v>
      </c>
      <c r="O1565" s="18">
        <v>686.32</v>
      </c>
      <c r="P1565" s="18">
        <v>562.55999999999995</v>
      </c>
      <c r="Q1565" s="18">
        <v>549.05999999999995</v>
      </c>
      <c r="R1565" s="18">
        <v>450.05</v>
      </c>
      <c r="S1565" s="18">
        <v>466.7</v>
      </c>
      <c r="T1565" s="18">
        <v>382.54</v>
      </c>
      <c r="U1565" s="16"/>
      <c r="V1565" s="16"/>
      <c r="W1565" s="16" t="s">
        <v>40</v>
      </c>
      <c r="X1565" s="19">
        <v>8.1000000000000003E-2</v>
      </c>
      <c r="Y1565" s="20">
        <v>3.4900000000000003E-4</v>
      </c>
      <c r="Z1565" s="21">
        <v>4601004238190</v>
      </c>
    </row>
    <row r="1566" spans="1:26" ht="12" customHeight="1" outlineLevel="4" x14ac:dyDescent="0.2">
      <c r="A1566" s="14" t="s">
        <v>3082</v>
      </c>
      <c r="B1566" s="26" t="s">
        <v>3083</v>
      </c>
      <c r="C1566" s="52"/>
      <c r="D1566" s="55">
        <f t="shared" si="24"/>
        <v>0</v>
      </c>
      <c r="E1566" s="63" t="str">
        <f>HYPERLINK("https://www.sds-group.ru/product/klemma-smk-222-424r-prohodnaya-razemnaya-4-polyusa-seraya-0-2-2-5-4mm-20-sht-up-rexant-07-5264/", "Инфо")</f>
        <v>Инфо</v>
      </c>
      <c r="F1566" s="16" t="s">
        <v>39</v>
      </c>
      <c r="G1566" s="15"/>
      <c r="H1566" s="15"/>
      <c r="I1566" s="15"/>
      <c r="J1566" s="16" t="s">
        <v>100</v>
      </c>
      <c r="K1566" s="15" t="s">
        <v>925</v>
      </c>
      <c r="L1566" s="17">
        <v>20</v>
      </c>
      <c r="M1566" s="22">
        <v>1000</v>
      </c>
      <c r="N1566" s="17">
        <v>20</v>
      </c>
      <c r="O1566" s="18">
        <v>180.48</v>
      </c>
      <c r="P1566" s="18">
        <v>147.93</v>
      </c>
      <c r="Q1566" s="18">
        <v>153.41</v>
      </c>
      <c r="R1566" s="18">
        <v>125.75</v>
      </c>
      <c r="S1566" s="18">
        <v>122.73</v>
      </c>
      <c r="T1566" s="18">
        <v>100.6</v>
      </c>
      <c r="U1566" s="16"/>
      <c r="V1566" s="16"/>
      <c r="W1566" s="16" t="s">
        <v>40</v>
      </c>
      <c r="X1566" s="19">
        <v>1.7999999999999999E-2</v>
      </c>
      <c r="Y1566" s="20">
        <v>6.8999999999999997E-5</v>
      </c>
      <c r="Z1566" s="21">
        <v>4601004278752</v>
      </c>
    </row>
    <row r="1567" spans="1:26" ht="12" customHeight="1" outlineLevel="4" x14ac:dyDescent="0.2">
      <c r="A1567" s="14" t="s">
        <v>3084</v>
      </c>
      <c r="B1567" s="26" t="s">
        <v>3085</v>
      </c>
      <c r="C1567" s="52"/>
      <c r="D1567" s="55">
        <f t="shared" si="24"/>
        <v>0</v>
      </c>
      <c r="E1567" s="63" t="str">
        <f>HYPERLINK("https://www.sds-group.ru/product/klemma-smk-222-425-prohodnaya-5-polyusov-0-08-4mm-seraya-30-sht-up-rexant-07-5245/", "Инфо")</f>
        <v>Инфо</v>
      </c>
      <c r="F1567" s="16" t="s">
        <v>39</v>
      </c>
      <c r="G1567" s="15"/>
      <c r="H1567" s="15"/>
      <c r="I1567" s="15"/>
      <c r="J1567" s="22">
        <v>2340</v>
      </c>
      <c r="K1567" s="15" t="s">
        <v>1665</v>
      </c>
      <c r="L1567" s="17">
        <v>30</v>
      </c>
      <c r="M1567" s="22">
        <v>1200</v>
      </c>
      <c r="N1567" s="17">
        <v>30</v>
      </c>
      <c r="O1567" s="18">
        <v>110.51</v>
      </c>
      <c r="P1567" s="18">
        <v>90.58</v>
      </c>
      <c r="Q1567" s="18">
        <v>93.93</v>
      </c>
      <c r="R1567" s="18">
        <v>76.989999999999995</v>
      </c>
      <c r="S1567" s="18">
        <v>75.150000000000006</v>
      </c>
      <c r="T1567" s="18">
        <v>61.6</v>
      </c>
      <c r="U1567" s="16"/>
      <c r="V1567" s="16"/>
      <c r="W1567" s="16" t="s">
        <v>40</v>
      </c>
      <c r="X1567" s="19">
        <v>1.7000000000000001E-2</v>
      </c>
      <c r="Y1567" s="20">
        <v>4.1E-5</v>
      </c>
      <c r="Z1567" s="21">
        <v>4601004278790</v>
      </c>
    </row>
    <row r="1568" spans="1:26" ht="12" customHeight="1" outlineLevel="4" x14ac:dyDescent="0.2">
      <c r="A1568" s="14" t="s">
        <v>3086</v>
      </c>
      <c r="B1568" s="26" t="s">
        <v>3087</v>
      </c>
      <c r="C1568" s="52"/>
      <c r="D1568" s="55">
        <f t="shared" si="24"/>
        <v>0</v>
      </c>
      <c r="E1568" s="63" t="str">
        <f>HYPERLINK("https://www.sds-group.ru/product/klemma-smk-222-425p-prohodnaya-5-polyusov-s-montazhnoy-ploschadkoy-0-08-4-mm-seraya-20-sht-u-07-6265/", "Инфо")</f>
        <v>Инфо</v>
      </c>
      <c r="F1568" s="16" t="s">
        <v>39</v>
      </c>
      <c r="G1568" s="15"/>
      <c r="H1568" s="15"/>
      <c r="I1568" s="15"/>
      <c r="J1568" s="22">
        <v>5720</v>
      </c>
      <c r="K1568" s="15" t="s">
        <v>1650</v>
      </c>
      <c r="L1568" s="17">
        <v>20</v>
      </c>
      <c r="M1568" s="22">
        <v>1000</v>
      </c>
      <c r="N1568" s="17">
        <v>20</v>
      </c>
      <c r="O1568" s="18">
        <v>135.29</v>
      </c>
      <c r="P1568" s="18">
        <v>110.89</v>
      </c>
      <c r="Q1568" s="18">
        <v>115</v>
      </c>
      <c r="R1568" s="18">
        <v>94.26</v>
      </c>
      <c r="S1568" s="18">
        <v>92</v>
      </c>
      <c r="T1568" s="18">
        <v>75.41</v>
      </c>
      <c r="U1568" s="16"/>
      <c r="V1568" s="16"/>
      <c r="W1568" s="16" t="s">
        <v>40</v>
      </c>
      <c r="X1568" s="19">
        <v>1.7999999999999999E-2</v>
      </c>
      <c r="Y1568" s="20">
        <v>4.8999999999999998E-5</v>
      </c>
      <c r="Z1568" s="21">
        <v>4601004182370</v>
      </c>
    </row>
    <row r="1569" spans="1:26" ht="12" customHeight="1" outlineLevel="4" x14ac:dyDescent="0.2">
      <c r="A1569" s="14" t="s">
        <v>3088</v>
      </c>
      <c r="B1569" s="26" t="s">
        <v>3089</v>
      </c>
      <c r="C1569" s="52"/>
      <c r="D1569" s="55">
        <f t="shared" si="24"/>
        <v>0</v>
      </c>
      <c r="E1569" s="63" t="str">
        <f>HYPERLINK("https://www.sds-group.ru/product/klemma-smk-222-425p-prohodnaya-5-polyusov-s-montazhnoy-ploschadkoy-0-08-4-mm-seraya-bliste-07-6265-4/", "Инфо")</f>
        <v>Инфо</v>
      </c>
      <c r="F1569" s="16" t="s">
        <v>1001</v>
      </c>
      <c r="G1569" s="15"/>
      <c r="H1569" s="15"/>
      <c r="I1569" s="15"/>
      <c r="J1569" s="17">
        <v>96</v>
      </c>
      <c r="K1569" s="15" t="s">
        <v>2706</v>
      </c>
      <c r="L1569" s="17">
        <v>1</v>
      </c>
      <c r="M1569" s="17">
        <v>200</v>
      </c>
      <c r="N1569" s="17">
        <v>1</v>
      </c>
      <c r="O1569" s="18">
        <v>644.92999999999995</v>
      </c>
      <c r="P1569" s="18">
        <v>528.63</v>
      </c>
      <c r="Q1569" s="18">
        <v>515.94000000000005</v>
      </c>
      <c r="R1569" s="18">
        <v>422.9</v>
      </c>
      <c r="S1569" s="18">
        <v>438.55</v>
      </c>
      <c r="T1569" s="18">
        <v>359.47</v>
      </c>
      <c r="U1569" s="16"/>
      <c r="V1569" s="16"/>
      <c r="W1569" s="16" t="s">
        <v>40</v>
      </c>
      <c r="X1569" s="19">
        <v>7.6999999999999999E-2</v>
      </c>
      <c r="Y1569" s="20">
        <v>2.61E-4</v>
      </c>
      <c r="Z1569" s="21">
        <v>4601004238206</v>
      </c>
    </row>
    <row r="1570" spans="1:26" ht="12" customHeight="1" outlineLevel="4" x14ac:dyDescent="0.2">
      <c r="A1570" s="32" t="s">
        <v>3090</v>
      </c>
      <c r="B1570" s="74" t="s">
        <v>3091</v>
      </c>
      <c r="C1570" s="50"/>
      <c r="D1570" s="53">
        <f t="shared" si="24"/>
        <v>0</v>
      </c>
      <c r="E1570" s="60" t="str">
        <f>HYPERLINK("https://www.sds-group.ru/product/klemma-smk-222-425r-prohodnaya-razemnaya-5-polyusov-seraya-0-2-2-5-4mm-20-sht-up-rexant-07-5265/", "Инфо")</f>
        <v>Инфо</v>
      </c>
      <c r="F1570" s="34" t="s">
        <v>39</v>
      </c>
      <c r="G1570" s="33"/>
      <c r="H1570" s="33" t="s">
        <v>40</v>
      </c>
      <c r="I1570" s="33"/>
      <c r="J1570" s="39">
        <v>1195</v>
      </c>
      <c r="K1570" s="33"/>
      <c r="L1570" s="35">
        <v>20</v>
      </c>
      <c r="M1570" s="39">
        <v>1000</v>
      </c>
      <c r="N1570" s="35">
        <v>20</v>
      </c>
      <c r="O1570" s="36">
        <v>140.62</v>
      </c>
      <c r="P1570" s="36">
        <v>115.26</v>
      </c>
      <c r="Q1570" s="36">
        <v>119.53</v>
      </c>
      <c r="R1570" s="36">
        <v>97.98</v>
      </c>
      <c r="S1570" s="36">
        <v>95.62</v>
      </c>
      <c r="T1570" s="36">
        <v>78.38</v>
      </c>
      <c r="U1570" s="34"/>
      <c r="V1570" s="34"/>
      <c r="W1570" s="34" t="s">
        <v>40</v>
      </c>
      <c r="X1570" s="37">
        <v>2.1000000000000001E-2</v>
      </c>
      <c r="Y1570" s="38">
        <v>6.3E-5</v>
      </c>
      <c r="Z1570" s="21">
        <v>4601004278769</v>
      </c>
    </row>
    <row r="1571" spans="1:26" ht="12" customHeight="1" outlineLevel="4" x14ac:dyDescent="0.2">
      <c r="A1571" s="14" t="s">
        <v>3092</v>
      </c>
      <c r="B1571" s="26" t="s">
        <v>3093</v>
      </c>
      <c r="C1571" s="52"/>
      <c r="D1571" s="55">
        <f t="shared" si="24"/>
        <v>0</v>
      </c>
      <c r="E1571" s="63" t="str">
        <f>HYPERLINK("https://www.sds-group.ru/product/klemma-smk-2h2-prohodnaya-razvetvitelnaya-2-polyusa-s-montazhnoy-ploschadkoy-1-vvod-2-vyvoda-07-5235/", "Инфо")</f>
        <v>Инфо</v>
      </c>
      <c r="F1571" s="16" t="s">
        <v>39</v>
      </c>
      <c r="G1571" s="15"/>
      <c r="H1571" s="15"/>
      <c r="I1571" s="15"/>
      <c r="J1571" s="16" t="s">
        <v>100</v>
      </c>
      <c r="K1571" s="15" t="s">
        <v>1650</v>
      </c>
      <c r="L1571" s="17">
        <v>50</v>
      </c>
      <c r="M1571" s="22">
        <v>2000</v>
      </c>
      <c r="N1571" s="17">
        <v>50</v>
      </c>
      <c r="O1571" s="18">
        <v>52.21</v>
      </c>
      <c r="P1571" s="18">
        <v>42.8</v>
      </c>
      <c r="Q1571" s="18">
        <v>44.38</v>
      </c>
      <c r="R1571" s="18">
        <v>36.380000000000003</v>
      </c>
      <c r="S1571" s="18">
        <v>35.5</v>
      </c>
      <c r="T1571" s="18">
        <v>29.1</v>
      </c>
      <c r="U1571" s="16"/>
      <c r="V1571" s="16"/>
      <c r="W1571" s="16" t="s">
        <v>40</v>
      </c>
      <c r="X1571" s="19">
        <v>1.0999999999999999E-2</v>
      </c>
      <c r="Y1571" s="20">
        <v>2.5000000000000001E-5</v>
      </c>
      <c r="Z1571" s="21">
        <v>4601004199576</v>
      </c>
    </row>
    <row r="1572" spans="1:26" ht="12" customHeight="1" outlineLevel="4" x14ac:dyDescent="0.2">
      <c r="A1572" s="14" t="s">
        <v>3094</v>
      </c>
      <c r="B1572" s="26" t="s">
        <v>3095</v>
      </c>
      <c r="C1572" s="52"/>
      <c r="D1572" s="55">
        <f t="shared" si="24"/>
        <v>0</v>
      </c>
      <c r="E1572" s="63" t="str">
        <f>HYPERLINK("https://www.sds-group.ru/product/klemma-smk-2h2-prohodnaya-razvetvitelnaya-2-polyusa-s-montazhnoy-ploschadkoy-1-vvod-2-vyv-07-5235-05/", "Инфо")</f>
        <v>Инфо</v>
      </c>
      <c r="F1572" s="16" t="s">
        <v>1001</v>
      </c>
      <c r="G1572" s="15"/>
      <c r="H1572" s="15"/>
      <c r="I1572" s="15"/>
      <c r="J1572" s="16" t="s">
        <v>100</v>
      </c>
      <c r="K1572" s="15" t="s">
        <v>1650</v>
      </c>
      <c r="L1572" s="17">
        <v>5</v>
      </c>
      <c r="M1572" s="17">
        <v>200</v>
      </c>
      <c r="N1572" s="17">
        <v>5</v>
      </c>
      <c r="O1572" s="18">
        <v>539.41</v>
      </c>
      <c r="P1572" s="18">
        <v>442.14</v>
      </c>
      <c r="Q1572" s="18">
        <v>431.53</v>
      </c>
      <c r="R1572" s="18">
        <v>353.71</v>
      </c>
      <c r="S1572" s="18">
        <v>366.8</v>
      </c>
      <c r="T1572" s="18">
        <v>300.66000000000003</v>
      </c>
      <c r="U1572" s="16"/>
      <c r="V1572" s="16"/>
      <c r="W1572" s="16" t="s">
        <v>40</v>
      </c>
      <c r="X1572" s="19">
        <v>5.8999999999999997E-2</v>
      </c>
      <c r="Y1572" s="20">
        <v>2.02E-4</v>
      </c>
      <c r="Z1572" s="21">
        <v>4601004253094</v>
      </c>
    </row>
    <row r="1573" spans="1:26" ht="12" customHeight="1" outlineLevel="4" x14ac:dyDescent="0.2">
      <c r="A1573" s="14" t="s">
        <v>3096</v>
      </c>
      <c r="B1573" s="26" t="s">
        <v>3097</v>
      </c>
      <c r="C1573" s="52"/>
      <c r="D1573" s="55">
        <f t="shared" si="24"/>
        <v>0</v>
      </c>
      <c r="E1573" s="63" t="str">
        <f>HYPERLINK("https://www.sds-group.ru/product/klemma-smk-2h3-prohodnaya-razvetvitelnaya-2-polyusa-s-montazhnoy-ploschadkoy-1-vvod-3-vyvoda-07-5234/", "Инфо")</f>
        <v>Инфо</v>
      </c>
      <c r="F1573" s="16" t="s">
        <v>39</v>
      </c>
      <c r="G1573" s="15"/>
      <c r="H1573" s="15"/>
      <c r="I1573" s="15"/>
      <c r="J1573" s="16" t="s">
        <v>100</v>
      </c>
      <c r="K1573" s="15" t="s">
        <v>1650</v>
      </c>
      <c r="L1573" s="17">
        <v>25</v>
      </c>
      <c r="M1573" s="22">
        <v>1500</v>
      </c>
      <c r="N1573" s="17">
        <v>25</v>
      </c>
      <c r="O1573" s="18">
        <v>95.18</v>
      </c>
      <c r="P1573" s="18">
        <v>78.02</v>
      </c>
      <c r="Q1573" s="18">
        <v>80.900000000000006</v>
      </c>
      <c r="R1573" s="18">
        <v>66.31</v>
      </c>
      <c r="S1573" s="18">
        <v>64.72</v>
      </c>
      <c r="T1573" s="18">
        <v>53.05</v>
      </c>
      <c r="U1573" s="16"/>
      <c r="V1573" s="16"/>
      <c r="W1573" s="16" t="s">
        <v>40</v>
      </c>
      <c r="X1573" s="19">
        <v>1.4E-2</v>
      </c>
      <c r="Y1573" s="20">
        <v>3.1999999999999999E-5</v>
      </c>
      <c r="Z1573" s="21">
        <v>4601004280687</v>
      </c>
    </row>
    <row r="1574" spans="1:26" ht="12" customHeight="1" outlineLevel="4" x14ac:dyDescent="0.2">
      <c r="A1574" s="14" t="s">
        <v>3098</v>
      </c>
      <c r="B1574" s="26" t="s">
        <v>3099</v>
      </c>
      <c r="C1574" s="52"/>
      <c r="D1574" s="55">
        <f t="shared" si="24"/>
        <v>0</v>
      </c>
      <c r="E1574" s="63" t="str">
        <f>HYPERLINK("https://www.sds-group.ru/product/klemma-smk-2h3-prohodnaya-razvetvitelnaya-2-polyusa-s-montazhnoy-ploschadkoy-1-vvod-3-vyv-07-5234-05/", "Инфо")</f>
        <v>Инфо</v>
      </c>
      <c r="F1574" s="16" t="s">
        <v>1001</v>
      </c>
      <c r="G1574" s="15"/>
      <c r="H1574" s="15"/>
      <c r="I1574" s="15"/>
      <c r="J1574" s="16" t="s">
        <v>100</v>
      </c>
      <c r="K1574" s="15" t="s">
        <v>1650</v>
      </c>
      <c r="L1574" s="17">
        <v>5</v>
      </c>
      <c r="M1574" s="17">
        <v>200</v>
      </c>
      <c r="N1574" s="17">
        <v>5</v>
      </c>
      <c r="O1574" s="18">
        <v>557.74</v>
      </c>
      <c r="P1574" s="18">
        <v>457.16</v>
      </c>
      <c r="Q1574" s="18">
        <v>446.19</v>
      </c>
      <c r="R1574" s="18">
        <v>365.73</v>
      </c>
      <c r="S1574" s="18">
        <v>379.26</v>
      </c>
      <c r="T1574" s="18">
        <v>310.87</v>
      </c>
      <c r="U1574" s="16"/>
      <c r="V1574" s="16"/>
      <c r="W1574" s="16" t="s">
        <v>40</v>
      </c>
      <c r="X1574" s="19">
        <v>7.5999999999999998E-2</v>
      </c>
      <c r="Y1574" s="20">
        <v>2.4800000000000001E-4</v>
      </c>
      <c r="Z1574" s="21">
        <v>4601004253100</v>
      </c>
    </row>
    <row r="1575" spans="1:26" ht="12" customHeight="1" outlineLevel="4" x14ac:dyDescent="0.2">
      <c r="A1575" s="14" t="s">
        <v>3100</v>
      </c>
      <c r="B1575" s="26" t="s">
        <v>3101</v>
      </c>
      <c r="C1575" s="52"/>
      <c r="D1575" s="55">
        <f t="shared" si="24"/>
        <v>0</v>
      </c>
      <c r="E1575" s="63" t="str">
        <f>HYPERLINK("https://www.sds-group.ru/product/klemma-smk-2h4-prohodnaya-razvetvitelnaya-2-polyusa-s-montazhnoy-ploschadkoy-1-vvod-4-vyvoda-07-5231/", "Инфо")</f>
        <v>Инфо</v>
      </c>
      <c r="F1575" s="16" t="s">
        <v>39</v>
      </c>
      <c r="G1575" s="15"/>
      <c r="H1575" s="15"/>
      <c r="I1575" s="15"/>
      <c r="J1575" s="16" t="s">
        <v>100</v>
      </c>
      <c r="K1575" s="15" t="s">
        <v>1650</v>
      </c>
      <c r="L1575" s="17">
        <v>25</v>
      </c>
      <c r="M1575" s="22">
        <v>1000</v>
      </c>
      <c r="N1575" s="17">
        <v>25</v>
      </c>
      <c r="O1575" s="18">
        <v>140.37</v>
      </c>
      <c r="P1575" s="18">
        <v>115.06</v>
      </c>
      <c r="Q1575" s="18">
        <v>119.31</v>
      </c>
      <c r="R1575" s="18">
        <v>97.8</v>
      </c>
      <c r="S1575" s="18">
        <v>95.45</v>
      </c>
      <c r="T1575" s="18">
        <v>78.239999999999995</v>
      </c>
      <c r="U1575" s="16"/>
      <c r="V1575" s="16"/>
      <c r="W1575" s="16" t="s">
        <v>40</v>
      </c>
      <c r="X1575" s="19">
        <v>1.9E-2</v>
      </c>
      <c r="Y1575" s="20">
        <v>7.3999999999999996E-5</v>
      </c>
      <c r="Z1575" s="21">
        <v>4601004278875</v>
      </c>
    </row>
    <row r="1576" spans="1:26" ht="12" customHeight="1" outlineLevel="4" x14ac:dyDescent="0.2">
      <c r="A1576" s="14" t="s">
        <v>3102</v>
      </c>
      <c r="B1576" s="26" t="s">
        <v>3103</v>
      </c>
      <c r="C1576" s="52"/>
      <c r="D1576" s="55">
        <f t="shared" si="24"/>
        <v>0</v>
      </c>
      <c r="E1576" s="63" t="str">
        <f>HYPERLINK("https://www.sds-group.ru/product/klemma-smk-3h2-prohodnaya-razvetvitelnaya-3-polyusa-s-montazhnoy-ploschadkoy-1-vvod-2-vyvoda-07-5233/", "Инфо")</f>
        <v>Инфо</v>
      </c>
      <c r="F1576" s="16" t="s">
        <v>39</v>
      </c>
      <c r="G1576" s="15"/>
      <c r="H1576" s="15"/>
      <c r="I1576" s="15"/>
      <c r="J1576" s="22">
        <v>6200</v>
      </c>
      <c r="K1576" s="15" t="s">
        <v>1650</v>
      </c>
      <c r="L1576" s="17">
        <v>50</v>
      </c>
      <c r="M1576" s="22">
        <v>1500</v>
      </c>
      <c r="N1576" s="17">
        <v>50</v>
      </c>
      <c r="O1576" s="18">
        <v>123.62</v>
      </c>
      <c r="P1576" s="18">
        <v>101.33</v>
      </c>
      <c r="Q1576" s="18">
        <v>105.08</v>
      </c>
      <c r="R1576" s="18">
        <v>86.13</v>
      </c>
      <c r="S1576" s="18">
        <v>84.06</v>
      </c>
      <c r="T1576" s="18">
        <v>68.900000000000006</v>
      </c>
      <c r="U1576" s="16"/>
      <c r="V1576" s="16"/>
      <c r="W1576" s="16" t="s">
        <v>40</v>
      </c>
      <c r="X1576" s="19">
        <v>1.6E-2</v>
      </c>
      <c r="Y1576" s="20">
        <v>4.3000000000000002E-5</v>
      </c>
      <c r="Z1576" s="21">
        <v>4601004199590</v>
      </c>
    </row>
    <row r="1577" spans="1:26" ht="12" customHeight="1" outlineLevel="4" x14ac:dyDescent="0.2">
      <c r="A1577" s="14" t="s">
        <v>3104</v>
      </c>
      <c r="B1577" s="26" t="s">
        <v>3105</v>
      </c>
      <c r="C1577" s="52"/>
      <c r="D1577" s="55">
        <f t="shared" si="24"/>
        <v>0</v>
      </c>
      <c r="E1577" s="63" t="str">
        <f>HYPERLINK("https://www.sds-group.ru/product/klemma-smk-3h2-prohodnaya-razvetvitelnaya-3-polyusa-s-montazhnoy-ploschadkoy-1-vvod-2-vyv-07-5233-05/", "Инфо")</f>
        <v>Инфо</v>
      </c>
      <c r="F1577" s="16" t="s">
        <v>1001</v>
      </c>
      <c r="G1577" s="15"/>
      <c r="H1577" s="15"/>
      <c r="I1577" s="15"/>
      <c r="J1577" s="16" t="s">
        <v>100</v>
      </c>
      <c r="K1577" s="15" t="s">
        <v>210</v>
      </c>
      <c r="L1577" s="17">
        <v>1</v>
      </c>
      <c r="M1577" s="17">
        <v>200</v>
      </c>
      <c r="N1577" s="17">
        <v>1</v>
      </c>
      <c r="O1577" s="18">
        <v>1158.56</v>
      </c>
      <c r="P1577" s="18">
        <v>949.64</v>
      </c>
      <c r="Q1577" s="18">
        <v>926.85</v>
      </c>
      <c r="R1577" s="18">
        <v>759.71</v>
      </c>
      <c r="S1577" s="18">
        <v>787.82</v>
      </c>
      <c r="T1577" s="18">
        <v>645.75</v>
      </c>
      <c r="U1577" s="16"/>
      <c r="V1577" s="16"/>
      <c r="W1577" s="16" t="s">
        <v>40</v>
      </c>
      <c r="X1577" s="19">
        <v>9.9000000000000005E-2</v>
      </c>
      <c r="Y1577" s="20">
        <v>3.6400000000000001E-4</v>
      </c>
      <c r="Z1577" s="21">
        <v>4601004253117</v>
      </c>
    </row>
    <row r="1578" spans="1:26" ht="12" customHeight="1" outlineLevel="4" x14ac:dyDescent="0.2">
      <c r="A1578" s="14" t="s">
        <v>3106</v>
      </c>
      <c r="B1578" s="26" t="s">
        <v>3107</v>
      </c>
      <c r="C1578" s="52"/>
      <c r="D1578" s="55">
        <f t="shared" si="24"/>
        <v>0</v>
      </c>
      <c r="E1578" s="63" t="str">
        <f>HYPERLINK("https://www.sds-group.ru/product/klemma-smk-3h3-prohodnaya-razvetvitelnaya-3-polyusa-s-montazhnoy-ploschadkoy-1-vvod-3-vyvoda-07-5232/", "Инфо")</f>
        <v>Инфо</v>
      </c>
      <c r="F1578" s="16" t="s">
        <v>39</v>
      </c>
      <c r="G1578" s="15"/>
      <c r="H1578" s="15"/>
      <c r="I1578" s="15"/>
      <c r="J1578" s="22">
        <v>4400</v>
      </c>
      <c r="K1578" s="15"/>
      <c r="L1578" s="17">
        <v>50</v>
      </c>
      <c r="M1578" s="22">
        <v>1000</v>
      </c>
      <c r="N1578" s="17">
        <v>50</v>
      </c>
      <c r="O1578" s="18">
        <v>357.85</v>
      </c>
      <c r="P1578" s="18">
        <v>293.32</v>
      </c>
      <c r="Q1578" s="18">
        <v>304.17</v>
      </c>
      <c r="R1578" s="18">
        <v>249.32</v>
      </c>
      <c r="S1578" s="18">
        <v>243.34</v>
      </c>
      <c r="T1578" s="18">
        <v>199.46</v>
      </c>
      <c r="U1578" s="16"/>
      <c r="V1578" s="16"/>
      <c r="W1578" s="16" t="s">
        <v>40</v>
      </c>
      <c r="X1578" s="19">
        <v>1.9E-2</v>
      </c>
      <c r="Y1578" s="20">
        <v>4.6999999999999997E-5</v>
      </c>
      <c r="Z1578" s="21">
        <v>4601004199606</v>
      </c>
    </row>
    <row r="1579" spans="1:26" ht="12" customHeight="1" outlineLevel="4" x14ac:dyDescent="0.2">
      <c r="A1579" s="14" t="s">
        <v>3108</v>
      </c>
      <c r="B1579" s="26" t="s">
        <v>3109</v>
      </c>
      <c r="C1579" s="52"/>
      <c r="D1579" s="55">
        <f t="shared" si="24"/>
        <v>0</v>
      </c>
      <c r="E1579" s="63" t="str">
        <f>HYPERLINK("https://www.sds-group.ru/product/klemma-smk-3h3-prohodnaya-razvetvitelnaya-3-polyusa-s-montazhnoy-ploschadkoy-1-vvod-3-vyv-07-5232-04/", "Инфо")</f>
        <v>Инфо</v>
      </c>
      <c r="F1579" s="16" t="s">
        <v>1001</v>
      </c>
      <c r="G1579" s="15"/>
      <c r="H1579" s="15"/>
      <c r="I1579" s="15"/>
      <c r="J1579" s="17">
        <v>69</v>
      </c>
      <c r="K1579" s="15" t="s">
        <v>210</v>
      </c>
      <c r="L1579" s="17">
        <v>1</v>
      </c>
      <c r="M1579" s="17">
        <v>200</v>
      </c>
      <c r="N1579" s="17">
        <v>1</v>
      </c>
      <c r="O1579" s="18">
        <v>972.96</v>
      </c>
      <c r="P1579" s="18">
        <v>797.51</v>
      </c>
      <c r="Q1579" s="18">
        <v>778.37</v>
      </c>
      <c r="R1579" s="18">
        <v>638.01</v>
      </c>
      <c r="S1579" s="18">
        <v>661.61</v>
      </c>
      <c r="T1579" s="18">
        <v>542.29999999999995</v>
      </c>
      <c r="U1579" s="16"/>
      <c r="V1579" s="16"/>
      <c r="W1579" s="16" t="s">
        <v>40</v>
      </c>
      <c r="X1579" s="19">
        <v>8.5000000000000006E-2</v>
      </c>
      <c r="Y1579" s="20">
        <v>2.61E-4</v>
      </c>
      <c r="Z1579" s="21">
        <v>4601004266766</v>
      </c>
    </row>
    <row r="1580" spans="1:26" ht="12" customHeight="1" outlineLevel="4" x14ac:dyDescent="0.2">
      <c r="A1580" s="14" t="s">
        <v>3110</v>
      </c>
      <c r="B1580" s="26" t="s">
        <v>3111</v>
      </c>
      <c r="C1580" s="52"/>
      <c r="D1580" s="55">
        <f t="shared" si="24"/>
        <v>0</v>
      </c>
      <c r="E1580" s="63" t="str">
        <f>HYPERLINK("https://www.sds-group.ru/product/klemma-smk-3h4-prohodnaya-razvetvitelnaya-3-polyusa-s-montazhnoy-ploschadkoy-1-vvod-4-vyvoda-07-5248/", "Инфо")</f>
        <v>Инфо</v>
      </c>
      <c r="F1580" s="16" t="s">
        <v>39</v>
      </c>
      <c r="G1580" s="15"/>
      <c r="H1580" s="15"/>
      <c r="I1580" s="15"/>
      <c r="J1580" s="16" t="s">
        <v>100</v>
      </c>
      <c r="K1580" s="15" t="s">
        <v>1665</v>
      </c>
      <c r="L1580" s="17">
        <v>10</v>
      </c>
      <c r="M1580" s="17">
        <v>500</v>
      </c>
      <c r="N1580" s="17">
        <v>10</v>
      </c>
      <c r="O1580" s="18">
        <v>167.02</v>
      </c>
      <c r="P1580" s="18">
        <v>136.9</v>
      </c>
      <c r="Q1580" s="18">
        <v>141.97</v>
      </c>
      <c r="R1580" s="18">
        <v>116.37</v>
      </c>
      <c r="S1580" s="18">
        <v>113.57</v>
      </c>
      <c r="T1580" s="18">
        <v>93.09</v>
      </c>
      <c r="U1580" s="16"/>
      <c r="V1580" s="16"/>
      <c r="W1580" s="16" t="s">
        <v>40</v>
      </c>
      <c r="X1580" s="19">
        <v>2.7E-2</v>
      </c>
      <c r="Y1580" s="20">
        <v>7.7999999999999999E-5</v>
      </c>
      <c r="Z1580" s="21">
        <v>4601004285187</v>
      </c>
    </row>
    <row r="1581" spans="1:26" ht="12" customHeight="1" outlineLevel="4" x14ac:dyDescent="0.2">
      <c r="A1581" s="14" t="s">
        <v>3112</v>
      </c>
      <c r="B1581" s="26" t="s">
        <v>3113</v>
      </c>
      <c r="C1581" s="52"/>
      <c r="D1581" s="55">
        <f t="shared" si="24"/>
        <v>0</v>
      </c>
      <c r="E1581" s="63" t="str">
        <f>HYPERLINK("https://www.sds-group.ru/product/klemma-smk-3h4-prohodnaya-razvetvitelnaya-3-polyusa-s-montazhnoy-ploschadkoy-1-vvod-4-vyvo-07-5248-4/", "Инфо")</f>
        <v>Инфо</v>
      </c>
      <c r="F1581" s="16" t="s">
        <v>1001</v>
      </c>
      <c r="G1581" s="15"/>
      <c r="H1581" s="15"/>
      <c r="I1581" s="15"/>
      <c r="J1581" s="17">
        <v>236</v>
      </c>
      <c r="K1581" s="15"/>
      <c r="L1581" s="17">
        <v>1</v>
      </c>
      <c r="M1581" s="17">
        <v>10</v>
      </c>
      <c r="N1581" s="17">
        <v>1</v>
      </c>
      <c r="O1581" s="18">
        <v>1086.17</v>
      </c>
      <c r="P1581" s="18">
        <v>890.3</v>
      </c>
      <c r="Q1581" s="18">
        <v>868.94</v>
      </c>
      <c r="R1581" s="18">
        <v>712.25</v>
      </c>
      <c r="S1581" s="18">
        <v>738.6</v>
      </c>
      <c r="T1581" s="18">
        <v>605.41</v>
      </c>
      <c r="U1581" s="16"/>
      <c r="V1581" s="16"/>
      <c r="W1581" s="16" t="s">
        <v>40</v>
      </c>
      <c r="X1581" s="19">
        <v>0.113</v>
      </c>
      <c r="Y1581" s="20">
        <v>3.6999999999999999E-4</v>
      </c>
      <c r="Z1581" s="21">
        <v>4601004327870</v>
      </c>
    </row>
    <row r="1582" spans="1:26" ht="12" customHeight="1" outlineLevel="4" x14ac:dyDescent="0.2">
      <c r="A1582" s="14" t="s">
        <v>3114</v>
      </c>
      <c r="B1582" s="26" t="s">
        <v>3115</v>
      </c>
      <c r="C1582" s="52"/>
      <c r="D1582" s="55">
        <f t="shared" si="24"/>
        <v>0</v>
      </c>
      <c r="E1582" s="63" t="str">
        <f>HYPERLINK("https://www.sds-group.ru/product/klemma-smk-4h2-prohodnaya-razvetvitelnaya-4-polyusa-s-montazhnoy-ploschadkoy-1-vvod-2-vyvoda-07-5247/", "Инфо")</f>
        <v>Инфо</v>
      </c>
      <c r="F1582" s="16" t="s">
        <v>39</v>
      </c>
      <c r="G1582" s="15"/>
      <c r="H1582" s="15"/>
      <c r="I1582" s="15"/>
      <c r="J1582" s="22">
        <v>2320</v>
      </c>
      <c r="K1582" s="15"/>
      <c r="L1582" s="17">
        <v>20</v>
      </c>
      <c r="M1582" s="22">
        <v>1000</v>
      </c>
      <c r="N1582" s="17">
        <v>20</v>
      </c>
      <c r="O1582" s="18">
        <v>143.16999999999999</v>
      </c>
      <c r="P1582" s="18">
        <v>117.35</v>
      </c>
      <c r="Q1582" s="18">
        <v>121.69</v>
      </c>
      <c r="R1582" s="18">
        <v>99.75</v>
      </c>
      <c r="S1582" s="18">
        <v>97.36</v>
      </c>
      <c r="T1582" s="18">
        <v>79.8</v>
      </c>
      <c r="U1582" s="16"/>
      <c r="V1582" s="16"/>
      <c r="W1582" s="16" t="s">
        <v>40</v>
      </c>
      <c r="X1582" s="19">
        <v>2.1000000000000001E-2</v>
      </c>
      <c r="Y1582" s="20">
        <v>4.6E-5</v>
      </c>
      <c r="Z1582" s="21">
        <v>4601004285170</v>
      </c>
    </row>
    <row r="1583" spans="1:26" ht="12" customHeight="1" outlineLevel="4" x14ac:dyDescent="0.2">
      <c r="A1583" s="14" t="s">
        <v>3116</v>
      </c>
      <c r="B1583" s="26" t="s">
        <v>3117</v>
      </c>
      <c r="C1583" s="52"/>
      <c r="D1583" s="55">
        <f t="shared" si="24"/>
        <v>0</v>
      </c>
      <c r="E1583" s="63" t="str">
        <f>HYPERLINK("https://www.sds-group.ru/product/klemma-smk-4h2-prohodnaya-razvetvitelnaya-4-polyusa-s-montazhnoy-ploschadkoy-1-vvod-2-vyvo-07-5247-4/", "Инфо")</f>
        <v>Инфо</v>
      </c>
      <c r="F1583" s="16" t="s">
        <v>1001</v>
      </c>
      <c r="G1583" s="15"/>
      <c r="H1583" s="15"/>
      <c r="I1583" s="15"/>
      <c r="J1583" s="17">
        <v>16</v>
      </c>
      <c r="K1583" s="15"/>
      <c r="L1583" s="17">
        <v>1</v>
      </c>
      <c r="M1583" s="17">
        <v>10</v>
      </c>
      <c r="N1583" s="17">
        <v>1</v>
      </c>
      <c r="O1583" s="18">
        <v>910.97</v>
      </c>
      <c r="P1583" s="18">
        <v>746.7</v>
      </c>
      <c r="Q1583" s="18">
        <v>728.78</v>
      </c>
      <c r="R1583" s="18">
        <v>597.36</v>
      </c>
      <c r="S1583" s="18">
        <v>619.46</v>
      </c>
      <c r="T1583" s="18">
        <v>507.75</v>
      </c>
      <c r="U1583" s="16"/>
      <c r="V1583" s="16"/>
      <c r="W1583" s="16" t="s">
        <v>40</v>
      </c>
      <c r="X1583" s="19">
        <v>9.4E-2</v>
      </c>
      <c r="Y1583" s="20">
        <v>3.6999999999999999E-4</v>
      </c>
      <c r="Z1583" s="21">
        <v>4601004327726</v>
      </c>
    </row>
    <row r="1584" spans="1:26" ht="12" customHeight="1" outlineLevel="4" x14ac:dyDescent="0.2">
      <c r="A1584" s="14" t="s">
        <v>3118</v>
      </c>
      <c r="B1584" s="26" t="s">
        <v>3119</v>
      </c>
      <c r="C1584" s="52"/>
      <c r="D1584" s="55">
        <f t="shared" si="24"/>
        <v>0</v>
      </c>
      <c r="E1584" s="63" t="str">
        <f>HYPERLINK("https://www.sds-group.ru/product/korobka-vlagozaschitnaya-gelevaya-dlya-klemm-smk-2-provodnyh-rexant-07-5000-1/", "Инфо")</f>
        <v>Инфо</v>
      </c>
      <c r="F1584" s="16" t="s">
        <v>39</v>
      </c>
      <c r="G1584" s="15"/>
      <c r="H1584" s="15"/>
      <c r="I1584" s="15"/>
      <c r="J1584" s="22">
        <v>1150</v>
      </c>
      <c r="K1584" s="15"/>
      <c r="L1584" s="17">
        <v>12</v>
      </c>
      <c r="M1584" s="17">
        <v>240</v>
      </c>
      <c r="N1584" s="17">
        <v>12</v>
      </c>
      <c r="O1584" s="18">
        <v>518.47</v>
      </c>
      <c r="P1584" s="18">
        <v>424.98</v>
      </c>
      <c r="Q1584" s="18">
        <v>414.78</v>
      </c>
      <c r="R1584" s="18">
        <v>339.98</v>
      </c>
      <c r="S1584" s="18">
        <v>352.56</v>
      </c>
      <c r="T1584" s="18">
        <v>288.98</v>
      </c>
      <c r="U1584" s="16"/>
      <c r="V1584" s="16"/>
      <c r="W1584" s="16" t="s">
        <v>40</v>
      </c>
      <c r="X1584" s="19">
        <v>1.4999999999999999E-2</v>
      </c>
      <c r="Y1584" s="20">
        <v>6.0000000000000002E-5</v>
      </c>
      <c r="Z1584" s="21">
        <v>4601004280731</v>
      </c>
    </row>
    <row r="1585" spans="1:26" ht="12" customHeight="1" outlineLevel="4" x14ac:dyDescent="0.2">
      <c r="A1585" s="14" t="s">
        <v>3120</v>
      </c>
      <c r="B1585" s="26" t="s">
        <v>3121</v>
      </c>
      <c r="C1585" s="52"/>
      <c r="D1585" s="55">
        <f t="shared" si="24"/>
        <v>0</v>
      </c>
      <c r="E1585" s="63" t="str">
        <f>HYPERLINK("https://www.sds-group.ru/product/korobka-vlagozaschitnaya-gelevaya-dlya-klemm-smk-3-provodnyh-rexant-07-5000-2/", "Инфо")</f>
        <v>Инфо</v>
      </c>
      <c r="F1585" s="16" t="s">
        <v>39</v>
      </c>
      <c r="G1585" s="15"/>
      <c r="H1585" s="15"/>
      <c r="I1585" s="15"/>
      <c r="J1585" s="22">
        <v>2340</v>
      </c>
      <c r="K1585" s="15"/>
      <c r="L1585" s="17">
        <v>10</v>
      </c>
      <c r="M1585" s="17">
        <v>240</v>
      </c>
      <c r="N1585" s="17">
        <v>10</v>
      </c>
      <c r="O1585" s="18">
        <v>636.70000000000005</v>
      </c>
      <c r="P1585" s="18">
        <v>521.89</v>
      </c>
      <c r="Q1585" s="18">
        <v>509.36</v>
      </c>
      <c r="R1585" s="18">
        <v>417.51</v>
      </c>
      <c r="S1585" s="18">
        <v>432.96</v>
      </c>
      <c r="T1585" s="18">
        <v>354.89</v>
      </c>
      <c r="U1585" s="16"/>
      <c r="V1585" s="16"/>
      <c r="W1585" s="16" t="s">
        <v>40</v>
      </c>
      <c r="X1585" s="19">
        <v>2.7E-2</v>
      </c>
      <c r="Y1585" s="20">
        <v>8.2000000000000001E-5</v>
      </c>
      <c r="Z1585" s="21">
        <v>4601004280694</v>
      </c>
    </row>
    <row r="1586" spans="1:26" ht="12" customHeight="1" outlineLevel="4" x14ac:dyDescent="0.2">
      <c r="A1586" s="14" t="s">
        <v>3122</v>
      </c>
      <c r="B1586" s="26" t="s">
        <v>3123</v>
      </c>
      <c r="C1586" s="52"/>
      <c r="D1586" s="55">
        <f t="shared" si="24"/>
        <v>0</v>
      </c>
      <c r="E1586" s="63" t="str">
        <f>HYPERLINK("https://www.sds-group.ru/product/korobka-vlagozaschitnaya-gelevaya-dlya-klemm-smk-5-provodnyh-rexant-07-5000-3/", "Инфо")</f>
        <v>Инфо</v>
      </c>
      <c r="F1586" s="16" t="s">
        <v>39</v>
      </c>
      <c r="G1586" s="15"/>
      <c r="H1586" s="15"/>
      <c r="I1586" s="15"/>
      <c r="J1586" s="22">
        <v>2504</v>
      </c>
      <c r="K1586" s="15"/>
      <c r="L1586" s="17">
        <v>7</v>
      </c>
      <c r="M1586" s="17">
        <v>147</v>
      </c>
      <c r="N1586" s="17">
        <v>7</v>
      </c>
      <c r="O1586" s="18">
        <v>788.31</v>
      </c>
      <c r="P1586" s="18">
        <v>646.16</v>
      </c>
      <c r="Q1586" s="18">
        <v>630.65</v>
      </c>
      <c r="R1586" s="18">
        <v>516.92999999999995</v>
      </c>
      <c r="S1586" s="18">
        <v>536.04999999999995</v>
      </c>
      <c r="T1586" s="18">
        <v>439.39</v>
      </c>
      <c r="U1586" s="16"/>
      <c r="V1586" s="16"/>
      <c r="W1586" s="16" t="s">
        <v>40</v>
      </c>
      <c r="X1586" s="19">
        <v>3.5000000000000003E-2</v>
      </c>
      <c r="Y1586" s="20">
        <v>1.2300000000000001E-4</v>
      </c>
      <c r="Z1586" s="21">
        <v>4601004280748</v>
      </c>
    </row>
    <row r="1587" spans="1:26" ht="12" customHeight="1" outlineLevel="4" x14ac:dyDescent="0.2">
      <c r="A1587" s="14" t="s">
        <v>3124</v>
      </c>
      <c r="B1587" s="26" t="s">
        <v>3125</v>
      </c>
      <c r="C1587" s="52"/>
      <c r="D1587" s="55">
        <f t="shared" si="24"/>
        <v>0</v>
      </c>
      <c r="E1587" s="63" t="str">
        <f>HYPERLINK("https://www.sds-group.ru/product/universalnaya-klemma-smk-222-412-2-provodnaya-prozrachnaya-0-08-2-5-4-mm-50-sht-up-rexant-07-5252-1/", "Инфо")</f>
        <v>Инфо</v>
      </c>
      <c r="F1587" s="16" t="s">
        <v>39</v>
      </c>
      <c r="G1587" s="15"/>
      <c r="H1587" s="15"/>
      <c r="I1587" s="15"/>
      <c r="J1587" s="22">
        <v>46720</v>
      </c>
      <c r="K1587" s="15" t="s">
        <v>1650</v>
      </c>
      <c r="L1587" s="17">
        <v>50</v>
      </c>
      <c r="M1587" s="22">
        <v>4000</v>
      </c>
      <c r="N1587" s="17">
        <v>50</v>
      </c>
      <c r="O1587" s="18">
        <v>15.03</v>
      </c>
      <c r="P1587" s="18">
        <v>12.32</v>
      </c>
      <c r="Q1587" s="18">
        <v>12.78</v>
      </c>
      <c r="R1587" s="18">
        <v>10.48</v>
      </c>
      <c r="S1587" s="18">
        <v>10.220000000000001</v>
      </c>
      <c r="T1587" s="18">
        <v>8.3800000000000008</v>
      </c>
      <c r="U1587" s="16"/>
      <c r="V1587" s="16"/>
      <c r="W1587" s="16" t="s">
        <v>40</v>
      </c>
      <c r="X1587" s="19">
        <v>4.0000000000000001E-3</v>
      </c>
      <c r="Y1587" s="20">
        <v>1.2999999999999999E-5</v>
      </c>
      <c r="Z1587" s="21">
        <v>4601004064133</v>
      </c>
    </row>
    <row r="1588" spans="1:26" ht="12" customHeight="1" outlineLevel="4" x14ac:dyDescent="0.2">
      <c r="A1588" s="14" t="s">
        <v>3126</v>
      </c>
      <c r="B1588" s="26" t="s">
        <v>3127</v>
      </c>
      <c r="C1588" s="52"/>
      <c r="D1588" s="55">
        <f t="shared" si="24"/>
        <v>0</v>
      </c>
      <c r="E1588" s="63" t="str">
        <f>HYPERLINK("https://www.sds-group.ru/product/universalnaya-klemma-smk-222-412-2-provodnaya-prozrachnaya-0-08-2-5-4-mm-blister-10-sht--06-0203-B10/", "Инфо")</f>
        <v>Инфо</v>
      </c>
      <c r="F1588" s="16" t="s">
        <v>1001</v>
      </c>
      <c r="G1588" s="15"/>
      <c r="H1588" s="15"/>
      <c r="I1588" s="15"/>
      <c r="J1588" s="16" t="s">
        <v>100</v>
      </c>
      <c r="K1588" s="15" t="s">
        <v>1650</v>
      </c>
      <c r="L1588" s="17">
        <v>10</v>
      </c>
      <c r="M1588" s="17">
        <v>200</v>
      </c>
      <c r="N1588" s="17">
        <v>10</v>
      </c>
      <c r="O1588" s="18">
        <v>242.56</v>
      </c>
      <c r="P1588" s="18">
        <v>198.82</v>
      </c>
      <c r="Q1588" s="18">
        <v>206.18</v>
      </c>
      <c r="R1588" s="18">
        <v>169</v>
      </c>
      <c r="S1588" s="18">
        <v>164.94</v>
      </c>
      <c r="T1588" s="18">
        <v>135.19999999999999</v>
      </c>
      <c r="U1588" s="16"/>
      <c r="V1588" s="16"/>
      <c r="W1588" s="16" t="s">
        <v>40</v>
      </c>
      <c r="X1588" s="19">
        <v>4.1000000000000002E-2</v>
      </c>
      <c r="Y1588" s="20">
        <v>1.2999999999999999E-4</v>
      </c>
      <c r="Z1588" s="21">
        <v>4601004123151</v>
      </c>
    </row>
    <row r="1589" spans="1:26" ht="12" customHeight="1" outlineLevel="4" x14ac:dyDescent="0.2">
      <c r="A1589" s="14" t="s">
        <v>3128</v>
      </c>
      <c r="B1589" s="26" t="s">
        <v>3129</v>
      </c>
      <c r="C1589" s="52"/>
      <c r="D1589" s="55">
        <f t="shared" si="24"/>
        <v>0</v>
      </c>
      <c r="E1589" s="63" t="str">
        <f>HYPERLINK("https://www.sds-group.ru/product/universalnaya-klemma-smk-222-412-2-provodnaya-prozrachnaya-0-08-2-5-4-mm-blister-5-sht-up-06-0203-A5/", "Инфо")</f>
        <v>Инфо</v>
      </c>
      <c r="F1589" s="16" t="s">
        <v>1001</v>
      </c>
      <c r="G1589" s="15"/>
      <c r="H1589" s="15"/>
      <c r="I1589" s="15"/>
      <c r="J1589" s="16" t="s">
        <v>100</v>
      </c>
      <c r="K1589" s="15" t="s">
        <v>1650</v>
      </c>
      <c r="L1589" s="17">
        <v>10</v>
      </c>
      <c r="M1589" s="17">
        <v>400</v>
      </c>
      <c r="N1589" s="17">
        <v>10</v>
      </c>
      <c r="O1589" s="18">
        <v>121.27</v>
      </c>
      <c r="P1589" s="18">
        <v>99.4</v>
      </c>
      <c r="Q1589" s="18">
        <v>103.08</v>
      </c>
      <c r="R1589" s="18">
        <v>84.49</v>
      </c>
      <c r="S1589" s="18">
        <v>82.46</v>
      </c>
      <c r="T1589" s="18">
        <v>67.59</v>
      </c>
      <c r="U1589" s="16"/>
      <c r="V1589" s="16"/>
      <c r="W1589" s="16" t="s">
        <v>40</v>
      </c>
      <c r="X1589" s="19">
        <v>2.1999999999999999E-2</v>
      </c>
      <c r="Y1589" s="20">
        <v>1E-4</v>
      </c>
      <c r="Z1589" s="21">
        <v>4601004123007</v>
      </c>
    </row>
    <row r="1590" spans="1:26" ht="12" customHeight="1" outlineLevel="4" x14ac:dyDescent="0.2">
      <c r="A1590" s="14" t="s">
        <v>3130</v>
      </c>
      <c r="B1590" s="26" t="s">
        <v>3131</v>
      </c>
      <c r="C1590" s="52"/>
      <c r="D1590" s="55">
        <f t="shared" si="24"/>
        <v>0</v>
      </c>
      <c r="E1590" s="63" t="str">
        <f>HYPERLINK("https://www.sds-group.ru/product/universalnaya-klemma-smk-222-412-2-provodnaya-seraya-0-08-2-5-4-mm-20-sht-up-rexant-07-5252-4-20/", "Инфо")</f>
        <v>Инфо</v>
      </c>
      <c r="F1590" s="16" t="s">
        <v>1001</v>
      </c>
      <c r="G1590" s="15"/>
      <c r="H1590" s="15"/>
      <c r="I1590" s="15"/>
      <c r="J1590" s="16" t="s">
        <v>100</v>
      </c>
      <c r="K1590" s="15" t="s">
        <v>1650</v>
      </c>
      <c r="L1590" s="17">
        <v>5</v>
      </c>
      <c r="M1590" s="17">
        <v>100</v>
      </c>
      <c r="N1590" s="17">
        <v>5</v>
      </c>
      <c r="O1590" s="18">
        <v>472.3</v>
      </c>
      <c r="P1590" s="18">
        <v>387.13</v>
      </c>
      <c r="Q1590" s="18">
        <v>377.84</v>
      </c>
      <c r="R1590" s="18">
        <v>309.7</v>
      </c>
      <c r="S1590" s="18">
        <v>321.16000000000003</v>
      </c>
      <c r="T1590" s="18">
        <v>263.25</v>
      </c>
      <c r="U1590" s="16"/>
      <c r="V1590" s="16"/>
      <c r="W1590" s="16" t="s">
        <v>40</v>
      </c>
      <c r="X1590" s="19">
        <v>8.4000000000000005E-2</v>
      </c>
      <c r="Y1590" s="20">
        <v>3.6000000000000002E-4</v>
      </c>
      <c r="Z1590" s="21">
        <v>4601004226135</v>
      </c>
    </row>
    <row r="1591" spans="1:26" ht="12" customHeight="1" outlineLevel="4" x14ac:dyDescent="0.2">
      <c r="A1591" s="14" t="s">
        <v>3132</v>
      </c>
      <c r="B1591" s="26" t="s">
        <v>3133</v>
      </c>
      <c r="C1591" s="52"/>
      <c r="D1591" s="55">
        <f t="shared" si="24"/>
        <v>0</v>
      </c>
      <c r="E1591" s="63" t="str">
        <f>HYPERLINK("https://www.sds-group.ru/product/universalnaya-klemma-smk-222-412-2-provodnaya-seraya-0-08-2-5-4-mm-blister-10-sht-up-rex-06-0200-B10/", "Инфо")</f>
        <v>Инфо</v>
      </c>
      <c r="F1591" s="16" t="s">
        <v>1001</v>
      </c>
      <c r="G1591" s="15"/>
      <c r="H1591" s="15"/>
      <c r="I1591" s="15"/>
      <c r="J1591" s="16" t="s">
        <v>100</v>
      </c>
      <c r="K1591" s="15" t="s">
        <v>1650</v>
      </c>
      <c r="L1591" s="17">
        <v>10</v>
      </c>
      <c r="M1591" s="17">
        <v>200</v>
      </c>
      <c r="N1591" s="17">
        <v>10</v>
      </c>
      <c r="O1591" s="18">
        <v>242.56</v>
      </c>
      <c r="P1591" s="18">
        <v>198.82</v>
      </c>
      <c r="Q1591" s="18">
        <v>206.18</v>
      </c>
      <c r="R1591" s="18">
        <v>169</v>
      </c>
      <c r="S1591" s="18">
        <v>164.94</v>
      </c>
      <c r="T1591" s="18">
        <v>135.19999999999999</v>
      </c>
      <c r="U1591" s="16"/>
      <c r="V1591" s="16"/>
      <c r="W1591" s="16" t="s">
        <v>40</v>
      </c>
      <c r="X1591" s="19">
        <v>4.1000000000000002E-2</v>
      </c>
      <c r="Y1591" s="20">
        <v>1.2999999999999999E-4</v>
      </c>
      <c r="Z1591" s="21">
        <v>4601004123120</v>
      </c>
    </row>
    <row r="1592" spans="1:26" ht="12" customHeight="1" outlineLevel="4" x14ac:dyDescent="0.2">
      <c r="A1592" s="14" t="s">
        <v>3134</v>
      </c>
      <c r="B1592" s="26" t="s">
        <v>3135</v>
      </c>
      <c r="C1592" s="52"/>
      <c r="D1592" s="55">
        <f t="shared" si="24"/>
        <v>0</v>
      </c>
      <c r="E1592" s="63" t="str">
        <f>HYPERLINK("https://www.sds-group.ru/product/universalnaya-klemma-smk-222-412-2-provodnaya-seraya-0-08-2-5-4-mm-blister-5-sht-up-rexan-06-0200-A5/", "Инфо")</f>
        <v>Инфо</v>
      </c>
      <c r="F1592" s="16" t="s">
        <v>1001</v>
      </c>
      <c r="G1592" s="15"/>
      <c r="H1592" s="15"/>
      <c r="I1592" s="15"/>
      <c r="J1592" s="16" t="s">
        <v>100</v>
      </c>
      <c r="K1592" s="15" t="s">
        <v>1650</v>
      </c>
      <c r="L1592" s="17">
        <v>10</v>
      </c>
      <c r="M1592" s="17">
        <v>400</v>
      </c>
      <c r="N1592" s="17">
        <v>10</v>
      </c>
      <c r="O1592" s="18">
        <v>120.9</v>
      </c>
      <c r="P1592" s="18">
        <v>99.1</v>
      </c>
      <c r="Q1592" s="18">
        <v>102.77</v>
      </c>
      <c r="R1592" s="18">
        <v>84.24</v>
      </c>
      <c r="S1592" s="18">
        <v>82.21</v>
      </c>
      <c r="T1592" s="18">
        <v>67.39</v>
      </c>
      <c r="U1592" s="16"/>
      <c r="V1592" s="16"/>
      <c r="W1592" s="16" t="s">
        <v>40</v>
      </c>
      <c r="X1592" s="19">
        <v>2.1999999999999999E-2</v>
      </c>
      <c r="Y1592" s="20">
        <v>9.5000000000000005E-5</v>
      </c>
      <c r="Z1592" s="21">
        <v>4601004122970</v>
      </c>
    </row>
    <row r="1593" spans="1:26" ht="12" customHeight="1" outlineLevel="4" x14ac:dyDescent="0.2">
      <c r="A1593" s="14" t="s">
        <v>3136</v>
      </c>
      <c r="B1593" s="26" t="s">
        <v>3137</v>
      </c>
      <c r="C1593" s="52"/>
      <c r="D1593" s="55">
        <f t="shared" si="24"/>
        <v>0</v>
      </c>
      <c r="E1593" s="63" t="str">
        <f>HYPERLINK("https://www.sds-group.ru/product/universalnaya-klemma-smk-222-412-2-provodnaya-seraya-0-08-2-5-4-mm-50-sht-up-rexant-07-5252-4/", "Инфо")</f>
        <v>Инфо</v>
      </c>
      <c r="F1593" s="16" t="s">
        <v>39</v>
      </c>
      <c r="G1593" s="15"/>
      <c r="H1593" s="15"/>
      <c r="I1593" s="15"/>
      <c r="J1593" s="22">
        <v>325100</v>
      </c>
      <c r="K1593" s="15" t="s">
        <v>210</v>
      </c>
      <c r="L1593" s="17">
        <v>50</v>
      </c>
      <c r="M1593" s="22">
        <v>4000</v>
      </c>
      <c r="N1593" s="17">
        <v>50</v>
      </c>
      <c r="O1593" s="18">
        <v>14.31</v>
      </c>
      <c r="P1593" s="18">
        <v>11.73</v>
      </c>
      <c r="Q1593" s="18">
        <v>12.16</v>
      </c>
      <c r="R1593" s="18">
        <v>9.9700000000000006</v>
      </c>
      <c r="S1593" s="18">
        <v>9.73</v>
      </c>
      <c r="T1593" s="18">
        <v>7.98</v>
      </c>
      <c r="U1593" s="16"/>
      <c r="V1593" s="16"/>
      <c r="W1593" s="16" t="s">
        <v>40</v>
      </c>
      <c r="X1593" s="19">
        <v>4.0000000000000001E-3</v>
      </c>
      <c r="Y1593" s="20">
        <v>1.2999999999999999E-5</v>
      </c>
      <c r="Z1593" s="21">
        <v>4601004035904</v>
      </c>
    </row>
    <row r="1594" spans="1:26" ht="12" customHeight="1" outlineLevel="4" x14ac:dyDescent="0.2">
      <c r="A1594" s="14" t="s">
        <v>3138</v>
      </c>
      <c r="B1594" s="26" t="s">
        <v>3139</v>
      </c>
      <c r="C1594" s="52"/>
      <c r="D1594" s="55">
        <f t="shared" si="24"/>
        <v>0</v>
      </c>
      <c r="E1594" s="63" t="str">
        <f>HYPERLINK("https://www.sds-group.ru/product/universalnaya-klemma-smk-222-413-3-provodnaya-prozrachnaya-0-08-2-5-4-mm-50-sht-up-rexant-07-5253-1/", "Инфо")</f>
        <v>Инфо</v>
      </c>
      <c r="F1594" s="16" t="s">
        <v>39</v>
      </c>
      <c r="G1594" s="15"/>
      <c r="H1594" s="15"/>
      <c r="I1594" s="15"/>
      <c r="J1594" s="22">
        <v>41250</v>
      </c>
      <c r="K1594" s="15" t="s">
        <v>1650</v>
      </c>
      <c r="L1594" s="17">
        <v>50</v>
      </c>
      <c r="M1594" s="22">
        <v>4000</v>
      </c>
      <c r="N1594" s="17">
        <v>50</v>
      </c>
      <c r="O1594" s="18">
        <v>20.52</v>
      </c>
      <c r="P1594" s="18">
        <v>16.82</v>
      </c>
      <c r="Q1594" s="18">
        <v>17.440000000000001</v>
      </c>
      <c r="R1594" s="18">
        <v>14.3</v>
      </c>
      <c r="S1594" s="18">
        <v>13.95</v>
      </c>
      <c r="T1594" s="18">
        <v>11.43</v>
      </c>
      <c r="U1594" s="16"/>
      <c r="V1594" s="16"/>
      <c r="W1594" s="16" t="s">
        <v>40</v>
      </c>
      <c r="X1594" s="19">
        <v>4.0000000000000001E-3</v>
      </c>
      <c r="Y1594" s="20">
        <v>1.1E-5</v>
      </c>
      <c r="Z1594" s="21">
        <v>4601004064089</v>
      </c>
    </row>
    <row r="1595" spans="1:26" ht="12" customHeight="1" outlineLevel="4" x14ac:dyDescent="0.2">
      <c r="A1595" s="14" t="s">
        <v>3140</v>
      </c>
      <c r="B1595" s="26" t="s">
        <v>3141</v>
      </c>
      <c r="C1595" s="52"/>
      <c r="D1595" s="55">
        <f t="shared" si="24"/>
        <v>0</v>
      </c>
      <c r="E1595" s="63" t="str">
        <f>HYPERLINK("https://www.sds-group.ru/product/universalnaya-klemma-smk-222-413-3-provodnaya-prozrachnaya-0-08-2-5-4-mm-blister-10-sht--06-0204-B10/", "Инфо")</f>
        <v>Инфо</v>
      </c>
      <c r="F1595" s="16" t="s">
        <v>1001</v>
      </c>
      <c r="G1595" s="15"/>
      <c r="H1595" s="15"/>
      <c r="I1595" s="15"/>
      <c r="J1595" s="16" t="s">
        <v>100</v>
      </c>
      <c r="K1595" s="15" t="s">
        <v>1650</v>
      </c>
      <c r="L1595" s="17">
        <v>10</v>
      </c>
      <c r="M1595" s="17">
        <v>150</v>
      </c>
      <c r="N1595" s="17">
        <v>10</v>
      </c>
      <c r="O1595" s="18">
        <v>319.67</v>
      </c>
      <c r="P1595" s="18">
        <v>262.02</v>
      </c>
      <c r="Q1595" s="18">
        <v>271.72000000000003</v>
      </c>
      <c r="R1595" s="18">
        <v>222.72</v>
      </c>
      <c r="S1595" s="18">
        <v>217.38</v>
      </c>
      <c r="T1595" s="18">
        <v>178.18</v>
      </c>
      <c r="U1595" s="16"/>
      <c r="V1595" s="16"/>
      <c r="W1595" s="16" t="s">
        <v>40</v>
      </c>
      <c r="X1595" s="19">
        <v>5.1999999999999998E-2</v>
      </c>
      <c r="Y1595" s="20">
        <v>1.83E-4</v>
      </c>
      <c r="Z1595" s="21">
        <v>4601004123168</v>
      </c>
    </row>
    <row r="1596" spans="1:26" ht="12" customHeight="1" outlineLevel="4" x14ac:dyDescent="0.2">
      <c r="A1596" s="14" t="s">
        <v>3142</v>
      </c>
      <c r="B1596" s="26" t="s">
        <v>3143</v>
      </c>
      <c r="C1596" s="52"/>
      <c r="D1596" s="55">
        <f t="shared" si="24"/>
        <v>0</v>
      </c>
      <c r="E1596" s="63" t="str">
        <f>HYPERLINK("https://www.sds-group.ru/product/universalnaya-klemma-smk-222-413-3-provodnaya-prozrachnaya-0-08-2-5-4-mm-blister-5-sht-up-06-0204-B5/", "Инфо")</f>
        <v>Инфо</v>
      </c>
      <c r="F1596" s="16" t="s">
        <v>1001</v>
      </c>
      <c r="G1596" s="15"/>
      <c r="H1596" s="15"/>
      <c r="I1596" s="15"/>
      <c r="J1596" s="16" t="s">
        <v>100</v>
      </c>
      <c r="K1596" s="15" t="s">
        <v>1650</v>
      </c>
      <c r="L1596" s="17">
        <v>10</v>
      </c>
      <c r="M1596" s="17">
        <v>300</v>
      </c>
      <c r="N1596" s="17">
        <v>10</v>
      </c>
      <c r="O1596" s="18">
        <v>159.85</v>
      </c>
      <c r="P1596" s="18">
        <v>131.02000000000001</v>
      </c>
      <c r="Q1596" s="18">
        <v>135.87</v>
      </c>
      <c r="R1596" s="18">
        <v>111.37</v>
      </c>
      <c r="S1596" s="18">
        <v>108.7</v>
      </c>
      <c r="T1596" s="18">
        <v>89.1</v>
      </c>
      <c r="U1596" s="16"/>
      <c r="V1596" s="16"/>
      <c r="W1596" s="16" t="s">
        <v>40</v>
      </c>
      <c r="X1596" s="19">
        <v>2.8000000000000001E-2</v>
      </c>
      <c r="Y1596" s="20">
        <v>1.1400000000000001E-4</v>
      </c>
      <c r="Z1596" s="21">
        <v>4601004123014</v>
      </c>
    </row>
    <row r="1597" spans="1:26" ht="12" customHeight="1" outlineLevel="4" x14ac:dyDescent="0.2">
      <c r="A1597" s="14" t="s">
        <v>3144</v>
      </c>
      <c r="B1597" s="26" t="s">
        <v>3145</v>
      </c>
      <c r="C1597" s="52"/>
      <c r="D1597" s="55">
        <f t="shared" si="24"/>
        <v>0</v>
      </c>
      <c r="E1597" s="63" t="str">
        <f>HYPERLINK("https://www.sds-group.ru/product/universalnaya-klemma-smk-222-413-3-provodnaya-seraya-0-08-2-5-4-mm-20-sht-up-rexant-07-5253-4-20/", "Инфо")</f>
        <v>Инфо</v>
      </c>
      <c r="F1597" s="16" t="s">
        <v>1001</v>
      </c>
      <c r="G1597" s="15"/>
      <c r="H1597" s="15"/>
      <c r="I1597" s="15"/>
      <c r="J1597" s="16" t="s">
        <v>100</v>
      </c>
      <c r="K1597" s="15" t="s">
        <v>1650</v>
      </c>
      <c r="L1597" s="17">
        <v>1</v>
      </c>
      <c r="M1597" s="17">
        <v>80</v>
      </c>
      <c r="N1597" s="17">
        <v>1</v>
      </c>
      <c r="O1597" s="18">
        <v>621.63</v>
      </c>
      <c r="P1597" s="18">
        <v>509.53</v>
      </c>
      <c r="Q1597" s="18">
        <v>497.3</v>
      </c>
      <c r="R1597" s="18">
        <v>407.62</v>
      </c>
      <c r="S1597" s="18">
        <v>422.71</v>
      </c>
      <c r="T1597" s="18">
        <v>346.48</v>
      </c>
      <c r="U1597" s="16"/>
      <c r="V1597" s="16"/>
      <c r="W1597" s="16" t="s">
        <v>40</v>
      </c>
      <c r="X1597" s="19">
        <v>0.104</v>
      </c>
      <c r="Y1597" s="20">
        <v>3.2699999999999998E-4</v>
      </c>
      <c r="Z1597" s="21">
        <v>4601004226142</v>
      </c>
    </row>
    <row r="1598" spans="1:26" ht="12" customHeight="1" outlineLevel="4" x14ac:dyDescent="0.2">
      <c r="A1598" s="14" t="s">
        <v>3146</v>
      </c>
      <c r="B1598" s="26" t="s">
        <v>3147</v>
      </c>
      <c r="C1598" s="52"/>
      <c r="D1598" s="55">
        <f t="shared" si="24"/>
        <v>0</v>
      </c>
      <c r="E1598" s="63" t="str">
        <f>HYPERLINK("https://www.sds-group.ru/product/universalnaya-klemma-smk-222-413-3-provodnaya-seraya-0-08-2-5-4-mm-50-sht-up-rexant-07-5253-4/", "Инфо")</f>
        <v>Инфо</v>
      </c>
      <c r="F1598" s="16" t="s">
        <v>39</v>
      </c>
      <c r="G1598" s="15"/>
      <c r="H1598" s="15"/>
      <c r="I1598" s="15"/>
      <c r="J1598" s="22">
        <v>161735</v>
      </c>
      <c r="K1598" s="15" t="s">
        <v>210</v>
      </c>
      <c r="L1598" s="17">
        <v>50</v>
      </c>
      <c r="M1598" s="22">
        <v>4000</v>
      </c>
      <c r="N1598" s="17">
        <v>50</v>
      </c>
      <c r="O1598" s="18">
        <v>21.49</v>
      </c>
      <c r="P1598" s="18">
        <v>17.61</v>
      </c>
      <c r="Q1598" s="18">
        <v>18.27</v>
      </c>
      <c r="R1598" s="18">
        <v>14.98</v>
      </c>
      <c r="S1598" s="18">
        <v>14.61</v>
      </c>
      <c r="T1598" s="18">
        <v>11.98</v>
      </c>
      <c r="U1598" s="16"/>
      <c r="V1598" s="16"/>
      <c r="W1598" s="16" t="s">
        <v>40</v>
      </c>
      <c r="X1598" s="19">
        <v>5.0000000000000001E-3</v>
      </c>
      <c r="Y1598" s="20">
        <v>1.2999999999999999E-5</v>
      </c>
      <c r="Z1598" s="21">
        <v>4601004035911</v>
      </c>
    </row>
    <row r="1599" spans="1:26" ht="12" customHeight="1" outlineLevel="4" x14ac:dyDescent="0.2">
      <c r="A1599" s="14" t="s">
        <v>3148</v>
      </c>
      <c r="B1599" s="26" t="s">
        <v>3149</v>
      </c>
      <c r="C1599" s="52"/>
      <c r="D1599" s="55">
        <f t="shared" si="24"/>
        <v>0</v>
      </c>
      <c r="E1599" s="63" t="str">
        <f>HYPERLINK("https://www.sds-group.ru/product/universalnaya-klemma-smk-222-413-3-provodnaya-seraya-0-08-2-5-4-mm-blister-10-sht-up-rex-06-0201-B10/", "Инфо")</f>
        <v>Инфо</v>
      </c>
      <c r="F1599" s="16" t="s">
        <v>1001</v>
      </c>
      <c r="G1599" s="15"/>
      <c r="H1599" s="15"/>
      <c r="I1599" s="15"/>
      <c r="J1599" s="16" t="s">
        <v>100</v>
      </c>
      <c r="K1599" s="15" t="s">
        <v>1650</v>
      </c>
      <c r="L1599" s="17">
        <v>10</v>
      </c>
      <c r="M1599" s="17">
        <v>150</v>
      </c>
      <c r="N1599" s="17">
        <v>10</v>
      </c>
      <c r="O1599" s="18">
        <v>319.67</v>
      </c>
      <c r="P1599" s="18">
        <v>262.02</v>
      </c>
      <c r="Q1599" s="18">
        <v>271.72000000000003</v>
      </c>
      <c r="R1599" s="18">
        <v>222.72</v>
      </c>
      <c r="S1599" s="18">
        <v>217.38</v>
      </c>
      <c r="T1599" s="18">
        <v>178.18</v>
      </c>
      <c r="U1599" s="16"/>
      <c r="V1599" s="16"/>
      <c r="W1599" s="16" t="s">
        <v>40</v>
      </c>
      <c r="X1599" s="19">
        <v>5.3999999999999999E-2</v>
      </c>
      <c r="Y1599" s="20">
        <v>1.7899999999999999E-4</v>
      </c>
      <c r="Z1599" s="21">
        <v>4601004123137</v>
      </c>
    </row>
    <row r="1600" spans="1:26" ht="12" customHeight="1" outlineLevel="4" x14ac:dyDescent="0.2">
      <c r="A1600" s="14" t="s">
        <v>3150</v>
      </c>
      <c r="B1600" s="26" t="s">
        <v>3151</v>
      </c>
      <c r="C1600" s="52"/>
      <c r="D1600" s="55">
        <f t="shared" si="24"/>
        <v>0</v>
      </c>
      <c r="E1600" s="63" t="str">
        <f>HYPERLINK("https://www.sds-group.ru/product/universalnaya-klemma-smk-222-413-3-provodnaya-seraya-0-08-2-5-4-mm-blister-5-sht-up-rexan-06-0201-B5/", "Инфо")</f>
        <v>Инфо</v>
      </c>
      <c r="F1600" s="16" t="s">
        <v>1001</v>
      </c>
      <c r="G1600" s="15"/>
      <c r="H1600" s="15"/>
      <c r="I1600" s="15"/>
      <c r="J1600" s="16" t="s">
        <v>100</v>
      </c>
      <c r="K1600" s="15" t="s">
        <v>1650</v>
      </c>
      <c r="L1600" s="17">
        <v>10</v>
      </c>
      <c r="M1600" s="17">
        <v>300</v>
      </c>
      <c r="N1600" s="17">
        <v>10</v>
      </c>
      <c r="O1600" s="18">
        <v>159.85</v>
      </c>
      <c r="P1600" s="18">
        <v>131.02000000000001</v>
      </c>
      <c r="Q1600" s="18">
        <v>135.87</v>
      </c>
      <c r="R1600" s="18">
        <v>111.37</v>
      </c>
      <c r="S1600" s="18">
        <v>108.7</v>
      </c>
      <c r="T1600" s="18">
        <v>89.1</v>
      </c>
      <c r="U1600" s="16"/>
      <c r="V1600" s="16"/>
      <c r="W1600" s="16" t="s">
        <v>40</v>
      </c>
      <c r="X1600" s="19">
        <v>2.9000000000000001E-2</v>
      </c>
      <c r="Y1600" s="20">
        <v>1.1400000000000001E-4</v>
      </c>
      <c r="Z1600" s="21">
        <v>4601004122987</v>
      </c>
    </row>
    <row r="1601" spans="1:26" ht="12" customHeight="1" outlineLevel="4" x14ac:dyDescent="0.2">
      <c r="A1601" s="14" t="s">
        <v>3152</v>
      </c>
      <c r="B1601" s="26" t="s">
        <v>3153</v>
      </c>
      <c r="C1601" s="52"/>
      <c r="D1601" s="55">
        <f t="shared" si="24"/>
        <v>0</v>
      </c>
      <c r="E1601" s="63" t="str">
        <f>HYPERLINK("https://www.sds-group.ru/product/universalnaya-klemma-smk-222-414-4-provodnaya-seraya-0-08-2-5-4-mm-50-sht-up-rexant-07-5254-4/", "Инфо")</f>
        <v>Инфо</v>
      </c>
      <c r="F1601" s="16" t="s">
        <v>39</v>
      </c>
      <c r="G1601" s="15"/>
      <c r="H1601" s="15"/>
      <c r="I1601" s="15"/>
      <c r="J1601" s="22">
        <v>80350</v>
      </c>
      <c r="K1601" s="15" t="s">
        <v>210</v>
      </c>
      <c r="L1601" s="17">
        <v>50</v>
      </c>
      <c r="M1601" s="22">
        <v>3000</v>
      </c>
      <c r="N1601" s="17">
        <v>50</v>
      </c>
      <c r="O1601" s="18">
        <v>41.8</v>
      </c>
      <c r="P1601" s="18">
        <v>34.26</v>
      </c>
      <c r="Q1601" s="18">
        <v>35.53</v>
      </c>
      <c r="R1601" s="18">
        <v>29.12</v>
      </c>
      <c r="S1601" s="18">
        <v>28.42</v>
      </c>
      <c r="T1601" s="18">
        <v>23.3</v>
      </c>
      <c r="U1601" s="16"/>
      <c r="V1601" s="16"/>
      <c r="W1601" s="16" t="s">
        <v>40</v>
      </c>
      <c r="X1601" s="19">
        <v>7.0000000000000001E-3</v>
      </c>
      <c r="Y1601" s="20">
        <v>1.5999999999999999E-5</v>
      </c>
      <c r="Z1601" s="21">
        <v>4601004269675</v>
      </c>
    </row>
    <row r="1602" spans="1:26" ht="12" customHeight="1" outlineLevel="4" x14ac:dyDescent="0.2">
      <c r="A1602" s="14" t="s">
        <v>3154</v>
      </c>
      <c r="B1602" s="26" t="s">
        <v>3155</v>
      </c>
      <c r="C1602" s="52"/>
      <c r="D1602" s="55">
        <f t="shared" si="24"/>
        <v>0</v>
      </c>
      <c r="E1602" s="63" t="str">
        <f>HYPERLINK("https://www.sds-group.ru/product/universalnaya-klemma-smk-222-414-4-provodnaya-seraya-0-08-2-5-4-mm-blister-10-sht-up-re-07-5254-4-10/", "Инфо")</f>
        <v>Инфо</v>
      </c>
      <c r="F1602" s="16" t="s">
        <v>1001</v>
      </c>
      <c r="G1602" s="15"/>
      <c r="H1602" s="15"/>
      <c r="I1602" s="15"/>
      <c r="J1602" s="17">
        <v>10</v>
      </c>
      <c r="K1602" s="15" t="s">
        <v>1650</v>
      </c>
      <c r="L1602" s="17">
        <v>5</v>
      </c>
      <c r="M1602" s="17">
        <v>100</v>
      </c>
      <c r="N1602" s="17">
        <v>5</v>
      </c>
      <c r="O1602" s="18">
        <v>486.91</v>
      </c>
      <c r="P1602" s="18">
        <v>399.11</v>
      </c>
      <c r="Q1602" s="18">
        <v>413.87</v>
      </c>
      <c r="R1602" s="18">
        <v>339.24</v>
      </c>
      <c r="S1602" s="18">
        <v>331.1</v>
      </c>
      <c r="T1602" s="18">
        <v>271.39</v>
      </c>
      <c r="U1602" s="16"/>
      <c r="V1602" s="16"/>
      <c r="W1602" s="16" t="s">
        <v>40</v>
      </c>
      <c r="X1602" s="19">
        <v>6.8000000000000005E-2</v>
      </c>
      <c r="Y1602" s="20">
        <v>2.43E-4</v>
      </c>
      <c r="Z1602" s="21">
        <v>4601004269668</v>
      </c>
    </row>
    <row r="1603" spans="1:26" ht="12" customHeight="1" outlineLevel="4" x14ac:dyDescent="0.2">
      <c r="A1603" s="14" t="s">
        <v>3156</v>
      </c>
      <c r="B1603" s="26" t="s">
        <v>3157</v>
      </c>
      <c r="C1603" s="52"/>
      <c r="D1603" s="55">
        <f t="shared" si="24"/>
        <v>0</v>
      </c>
      <c r="E1603" s="63" t="str">
        <f>HYPERLINK("https://www.sds-group.ru/product/universalnaya-klemma-smk-222-414-4-provodnaya-seraya-0-08-2-5-4-mm-blister-5-sht-up-rex-07-5254-4-05/", "Инфо")</f>
        <v>Инфо</v>
      </c>
      <c r="F1603" s="16" t="s">
        <v>1001</v>
      </c>
      <c r="G1603" s="15"/>
      <c r="H1603" s="15"/>
      <c r="I1603" s="15"/>
      <c r="J1603" s="16" t="s">
        <v>100</v>
      </c>
      <c r="K1603" s="15" t="s">
        <v>1650</v>
      </c>
      <c r="L1603" s="17">
        <v>10</v>
      </c>
      <c r="M1603" s="17">
        <v>100</v>
      </c>
      <c r="N1603" s="17">
        <v>10</v>
      </c>
      <c r="O1603" s="18">
        <v>251.37</v>
      </c>
      <c r="P1603" s="18">
        <v>206.04</v>
      </c>
      <c r="Q1603" s="18">
        <v>213.66</v>
      </c>
      <c r="R1603" s="18">
        <v>175.13</v>
      </c>
      <c r="S1603" s="18">
        <v>170.93</v>
      </c>
      <c r="T1603" s="18">
        <v>140.11000000000001</v>
      </c>
      <c r="U1603" s="16"/>
      <c r="V1603" s="16"/>
      <c r="W1603" s="16" t="s">
        <v>40</v>
      </c>
      <c r="X1603" s="19">
        <v>3.5999999999999997E-2</v>
      </c>
      <c r="Y1603" s="20">
        <v>1.7799999999999999E-4</v>
      </c>
      <c r="Z1603" s="21">
        <v>4601004269651</v>
      </c>
    </row>
    <row r="1604" spans="1:26" ht="12" customHeight="1" outlineLevel="4" x14ac:dyDescent="0.2">
      <c r="A1604" s="14" t="s">
        <v>3158</v>
      </c>
      <c r="B1604" s="26" t="s">
        <v>3159</v>
      </c>
      <c r="C1604" s="52"/>
      <c r="D1604" s="55">
        <f t="shared" si="24"/>
        <v>0</v>
      </c>
      <c r="E1604" s="63" t="str">
        <f>HYPERLINK("https://www.sds-group.ru/product/universalnaya-klemma-smk-222-415-5-provodnaya-prozrachnaya-0-08-2-5-4-mm-40-sht-up-rexant-07-5255-1/", "Инфо")</f>
        <v>Инфо</v>
      </c>
      <c r="F1604" s="16" t="s">
        <v>39</v>
      </c>
      <c r="G1604" s="15"/>
      <c r="H1604" s="15"/>
      <c r="I1604" s="15"/>
      <c r="J1604" s="16" t="s">
        <v>100</v>
      </c>
      <c r="K1604" s="15" t="s">
        <v>1650</v>
      </c>
      <c r="L1604" s="17">
        <v>40</v>
      </c>
      <c r="M1604" s="22">
        <v>2000</v>
      </c>
      <c r="N1604" s="17">
        <v>40</v>
      </c>
      <c r="O1604" s="18">
        <v>28.46</v>
      </c>
      <c r="P1604" s="18">
        <v>23.33</v>
      </c>
      <c r="Q1604" s="18">
        <v>24.19</v>
      </c>
      <c r="R1604" s="18">
        <v>19.829999999999998</v>
      </c>
      <c r="S1604" s="18">
        <v>19.350000000000001</v>
      </c>
      <c r="T1604" s="18">
        <v>15.86</v>
      </c>
      <c r="U1604" s="16"/>
      <c r="V1604" s="16"/>
      <c r="W1604" s="16" t="s">
        <v>40</v>
      </c>
      <c r="X1604" s="19">
        <v>3.0000000000000001E-3</v>
      </c>
      <c r="Y1604" s="20">
        <v>1.7E-5</v>
      </c>
      <c r="Z1604" s="21">
        <v>4601004064096</v>
      </c>
    </row>
    <row r="1605" spans="1:26" ht="12" customHeight="1" outlineLevel="4" x14ac:dyDescent="0.2">
      <c r="A1605" s="32" t="s">
        <v>3160</v>
      </c>
      <c r="B1605" s="74" t="s">
        <v>3161</v>
      </c>
      <c r="C1605" s="50"/>
      <c r="D1605" s="53">
        <f t="shared" si="24"/>
        <v>0</v>
      </c>
      <c r="E1605" s="60" t="str">
        <f>HYPERLINK("https://www.sds-group.ru/product/universalnaya-klemma-smk-222-415-5-provodnaya-prozrachnaya-0-08-2-5-4-mm-blister-10-sht--06-0205-C10/", "Инфо")</f>
        <v>Инфо</v>
      </c>
      <c r="F1605" s="34" t="s">
        <v>1001</v>
      </c>
      <c r="G1605" s="33"/>
      <c r="H1605" s="33" t="s">
        <v>40</v>
      </c>
      <c r="I1605" s="33"/>
      <c r="J1605" s="35">
        <v>26</v>
      </c>
      <c r="K1605" s="33"/>
      <c r="L1605" s="35">
        <v>1</v>
      </c>
      <c r="M1605" s="35">
        <v>10</v>
      </c>
      <c r="N1605" s="35">
        <v>1</v>
      </c>
      <c r="O1605" s="36">
        <v>321.06</v>
      </c>
      <c r="P1605" s="36">
        <v>263.16000000000003</v>
      </c>
      <c r="Q1605" s="36">
        <v>224.74</v>
      </c>
      <c r="R1605" s="36">
        <v>184.21</v>
      </c>
      <c r="S1605" s="36">
        <v>218.32</v>
      </c>
      <c r="T1605" s="36">
        <v>178.95</v>
      </c>
      <c r="U1605" s="34"/>
      <c r="V1605" s="34"/>
      <c r="W1605" s="34"/>
      <c r="X1605" s="37">
        <v>8.1000000000000003E-2</v>
      </c>
      <c r="Y1605" s="38">
        <v>3.68E-4</v>
      </c>
      <c r="Z1605" s="21">
        <v>4601004123175</v>
      </c>
    </row>
    <row r="1606" spans="1:26" ht="12" customHeight="1" outlineLevel="4" x14ac:dyDescent="0.2">
      <c r="A1606" s="32" t="s">
        <v>3162</v>
      </c>
      <c r="B1606" s="74" t="s">
        <v>3163</v>
      </c>
      <c r="C1606" s="50"/>
      <c r="D1606" s="53">
        <f t="shared" si="24"/>
        <v>0</v>
      </c>
      <c r="E1606" s="60" t="str">
        <f>HYPERLINK("https://www.sds-group.ru/product/universalnaya-klemma-smk-222-415-5-provodnaya-prozrachnaya-0-08-2-5-4-mm-blister-5-sht-up-06-0205-B5/", "Инфо")</f>
        <v>Инфо</v>
      </c>
      <c r="F1606" s="34" t="s">
        <v>1001</v>
      </c>
      <c r="G1606" s="33"/>
      <c r="H1606" s="33" t="s">
        <v>40</v>
      </c>
      <c r="I1606" s="33"/>
      <c r="J1606" s="35">
        <v>112</v>
      </c>
      <c r="K1606" s="33"/>
      <c r="L1606" s="35">
        <v>1</v>
      </c>
      <c r="M1606" s="35">
        <v>10</v>
      </c>
      <c r="N1606" s="35">
        <v>1</v>
      </c>
      <c r="O1606" s="36">
        <v>271.24</v>
      </c>
      <c r="P1606" s="36">
        <v>222.33</v>
      </c>
      <c r="Q1606" s="36">
        <v>189.87</v>
      </c>
      <c r="R1606" s="36">
        <v>155.63</v>
      </c>
      <c r="S1606" s="36">
        <v>184.44</v>
      </c>
      <c r="T1606" s="36">
        <v>151.18</v>
      </c>
      <c r="U1606" s="34"/>
      <c r="V1606" s="34"/>
      <c r="W1606" s="34"/>
      <c r="X1606" s="37">
        <v>4.5999999999999999E-2</v>
      </c>
      <c r="Y1606" s="38">
        <v>2.4800000000000001E-4</v>
      </c>
      <c r="Z1606" s="21">
        <v>4601004123021</v>
      </c>
    </row>
    <row r="1607" spans="1:26" ht="12" customHeight="1" outlineLevel="4" x14ac:dyDescent="0.2">
      <c r="A1607" s="14" t="s">
        <v>3164</v>
      </c>
      <c r="B1607" s="26" t="s">
        <v>3165</v>
      </c>
      <c r="C1607" s="52"/>
      <c r="D1607" s="55">
        <f t="shared" si="24"/>
        <v>0</v>
      </c>
      <c r="E1607" s="63" t="str">
        <f>HYPERLINK("https://www.sds-group.ru/product/universalnaya-klemma-smk-222-415-5-provodnaya-seraya-0-08-2-5-4-mm-40-sht-up-rexant-07-5255-4/", "Инфо")</f>
        <v>Инфо</v>
      </c>
      <c r="F1607" s="16" t="s">
        <v>39</v>
      </c>
      <c r="G1607" s="15"/>
      <c r="H1607" s="15"/>
      <c r="I1607" s="15"/>
      <c r="J1607" s="16" t="s">
        <v>100</v>
      </c>
      <c r="K1607" s="15" t="s">
        <v>1055</v>
      </c>
      <c r="L1607" s="17">
        <v>40</v>
      </c>
      <c r="M1607" s="22">
        <v>2000</v>
      </c>
      <c r="N1607" s="17">
        <v>40</v>
      </c>
      <c r="O1607" s="18">
        <v>28.6</v>
      </c>
      <c r="P1607" s="18">
        <v>23.44</v>
      </c>
      <c r="Q1607" s="18">
        <v>24.31</v>
      </c>
      <c r="R1607" s="18">
        <v>19.93</v>
      </c>
      <c r="S1607" s="18">
        <v>19.45</v>
      </c>
      <c r="T1607" s="18">
        <v>15.94</v>
      </c>
      <c r="U1607" s="16"/>
      <c r="V1607" s="16"/>
      <c r="W1607" s="16" t="s">
        <v>40</v>
      </c>
      <c r="X1607" s="19">
        <v>8.9999999999999993E-3</v>
      </c>
      <c r="Y1607" s="20">
        <v>2.1999999999999999E-5</v>
      </c>
      <c r="Z1607" s="21">
        <v>4601004035898</v>
      </c>
    </row>
    <row r="1608" spans="1:26" ht="12" customHeight="1" outlineLevel="4" x14ac:dyDescent="0.2">
      <c r="A1608" s="14" t="s">
        <v>3166</v>
      </c>
      <c r="B1608" s="26" t="s">
        <v>3167</v>
      </c>
      <c r="C1608" s="52"/>
      <c r="D1608" s="55">
        <f t="shared" si="24"/>
        <v>0</v>
      </c>
      <c r="E1608" s="63" t="str">
        <f>HYPERLINK("https://www.sds-group.ru/product/universalnaya-klemma-smk-222-415-5-provodnaya-seraya-0-08-2-5-4-mm-blister-10-sht-up-rex-06-0202-C10/", "Инфо")</f>
        <v>Инфо</v>
      </c>
      <c r="F1608" s="16" t="s">
        <v>1001</v>
      </c>
      <c r="G1608" s="15"/>
      <c r="H1608" s="15"/>
      <c r="I1608" s="15"/>
      <c r="J1608" s="17">
        <v>66</v>
      </c>
      <c r="K1608" s="15" t="s">
        <v>210</v>
      </c>
      <c r="L1608" s="17">
        <v>10</v>
      </c>
      <c r="M1608" s="17">
        <v>120</v>
      </c>
      <c r="N1608" s="17">
        <v>10</v>
      </c>
      <c r="O1608" s="18">
        <v>378.13</v>
      </c>
      <c r="P1608" s="18">
        <v>309.94</v>
      </c>
      <c r="Q1608" s="18">
        <v>302.5</v>
      </c>
      <c r="R1608" s="18">
        <v>247.95</v>
      </c>
      <c r="S1608" s="18">
        <v>257.13</v>
      </c>
      <c r="T1608" s="18">
        <v>210.76</v>
      </c>
      <c r="U1608" s="16"/>
      <c r="V1608" s="16"/>
      <c r="W1608" s="16" t="s">
        <v>40</v>
      </c>
      <c r="X1608" s="19">
        <v>8.5000000000000006E-2</v>
      </c>
      <c r="Y1608" s="20">
        <v>2.6800000000000001E-4</v>
      </c>
      <c r="Z1608" s="21">
        <v>4601004123144</v>
      </c>
    </row>
    <row r="1609" spans="1:26" ht="12" customHeight="1" outlineLevel="4" x14ac:dyDescent="0.2">
      <c r="A1609" s="14" t="s">
        <v>3168</v>
      </c>
      <c r="B1609" s="26" t="s">
        <v>3169</v>
      </c>
      <c r="C1609" s="52"/>
      <c r="D1609" s="55">
        <f t="shared" ref="D1609:D1672" si="25">C1609*(O1609-O1609*$G$3)</f>
        <v>0</v>
      </c>
      <c r="E1609" s="63" t="str">
        <f>HYPERLINK("https://www.sds-group.ru/product/universalnaya-klemma-smk-222-415-5-provodnaya-seraya-0-08-2-5-4-mm-blister-5-sht-up-rexan-06-0202-B5/", "Инфо")</f>
        <v>Инфо</v>
      </c>
      <c r="F1609" s="16" t="s">
        <v>1001</v>
      </c>
      <c r="G1609" s="15"/>
      <c r="H1609" s="15"/>
      <c r="I1609" s="15"/>
      <c r="J1609" s="16" t="s">
        <v>100</v>
      </c>
      <c r="K1609" s="15" t="s">
        <v>1650</v>
      </c>
      <c r="L1609" s="17">
        <v>10</v>
      </c>
      <c r="M1609" s="17">
        <v>250</v>
      </c>
      <c r="N1609" s="17">
        <v>10</v>
      </c>
      <c r="O1609" s="18">
        <v>280.47000000000003</v>
      </c>
      <c r="P1609" s="18">
        <v>229.89</v>
      </c>
      <c r="Q1609" s="18">
        <v>238.4</v>
      </c>
      <c r="R1609" s="18">
        <v>195.41</v>
      </c>
      <c r="S1609" s="18">
        <v>190.72</v>
      </c>
      <c r="T1609" s="18">
        <v>156.33000000000001</v>
      </c>
      <c r="U1609" s="16"/>
      <c r="V1609" s="16"/>
      <c r="W1609" s="16" t="s">
        <v>40</v>
      </c>
      <c r="X1609" s="19">
        <v>4.2999999999999997E-2</v>
      </c>
      <c r="Y1609" s="20">
        <v>1.4100000000000001E-4</v>
      </c>
      <c r="Z1609" s="21">
        <v>4601004122994</v>
      </c>
    </row>
    <row r="1610" spans="1:26" ht="12" customHeight="1" outlineLevel="4" x14ac:dyDescent="0.2">
      <c r="A1610" s="14" t="s">
        <v>3170</v>
      </c>
      <c r="B1610" s="26" t="s">
        <v>3171</v>
      </c>
      <c r="C1610" s="52"/>
      <c r="D1610" s="55">
        <f t="shared" si="25"/>
        <v>0</v>
      </c>
      <c r="E1610" s="63" t="str">
        <f>HYPERLINK("https://www.sds-group.ru/product/universalnaya-klemma-smk-222-418-8-provodnaya-seraya-0-08-2-5-4mm-20-sht-up-rexant-07-5258-4/", "Инфо")</f>
        <v>Инфо</v>
      </c>
      <c r="F1610" s="16" t="s">
        <v>39</v>
      </c>
      <c r="G1610" s="15"/>
      <c r="H1610" s="15"/>
      <c r="I1610" s="15"/>
      <c r="J1610" s="16" t="s">
        <v>100</v>
      </c>
      <c r="K1610" s="15" t="s">
        <v>1650</v>
      </c>
      <c r="L1610" s="17">
        <v>20</v>
      </c>
      <c r="M1610" s="22">
        <v>2400</v>
      </c>
      <c r="N1610" s="17">
        <v>20</v>
      </c>
      <c r="O1610" s="18">
        <v>58.05</v>
      </c>
      <c r="P1610" s="18">
        <v>47.58</v>
      </c>
      <c r="Q1610" s="18">
        <v>49.34</v>
      </c>
      <c r="R1610" s="18">
        <v>40.44</v>
      </c>
      <c r="S1610" s="18">
        <v>39.47</v>
      </c>
      <c r="T1610" s="18">
        <v>32.35</v>
      </c>
      <c r="U1610" s="16"/>
      <c r="V1610" s="16"/>
      <c r="W1610" s="16" t="s">
        <v>40</v>
      </c>
      <c r="X1610" s="19">
        <v>0.01</v>
      </c>
      <c r="Y1610" s="20">
        <v>2.0000000000000002E-5</v>
      </c>
      <c r="Z1610" s="21">
        <v>4601004278813</v>
      </c>
    </row>
    <row r="1611" spans="1:26" ht="12" customHeight="1" outlineLevel="4" x14ac:dyDescent="0.2">
      <c r="A1611" s="14" t="s">
        <v>3172</v>
      </c>
      <c r="B1611" s="26" t="s">
        <v>3173</v>
      </c>
      <c r="C1611" s="52"/>
      <c r="D1611" s="55">
        <f t="shared" si="25"/>
        <v>0</v>
      </c>
      <c r="E1611" s="63" t="str">
        <f>HYPERLINK("https://www.sds-group.ru/product/universalnaya-klemma-smk-222-612-221-612-2-provodnaya-seraya-0-5-4-6-mm-50-sht-up-rexant-07-5270/", "Инфо")</f>
        <v>Инфо</v>
      </c>
      <c r="F1611" s="16" t="s">
        <v>39</v>
      </c>
      <c r="G1611" s="15"/>
      <c r="H1611" s="15"/>
      <c r="I1611" s="15"/>
      <c r="J1611" s="22">
        <v>3900</v>
      </c>
      <c r="K1611" s="15" t="s">
        <v>1665</v>
      </c>
      <c r="L1611" s="17">
        <v>50</v>
      </c>
      <c r="M1611" s="22">
        <v>3000</v>
      </c>
      <c r="N1611" s="17">
        <v>50</v>
      </c>
      <c r="O1611" s="18">
        <v>40.22</v>
      </c>
      <c r="P1611" s="18">
        <v>32.97</v>
      </c>
      <c r="Q1611" s="18">
        <v>34.19</v>
      </c>
      <c r="R1611" s="18">
        <v>28.02</v>
      </c>
      <c r="S1611" s="18">
        <v>27.35</v>
      </c>
      <c r="T1611" s="18">
        <v>22.42</v>
      </c>
      <c r="U1611" s="16"/>
      <c r="V1611" s="16"/>
      <c r="W1611" s="16" t="s">
        <v>40</v>
      </c>
      <c r="X1611" s="19">
        <v>5.0000000000000001E-3</v>
      </c>
      <c r="Y1611" s="20">
        <v>1.2999999999999999E-5</v>
      </c>
      <c r="Z1611" s="21">
        <v>4601004280779</v>
      </c>
    </row>
    <row r="1612" spans="1:26" ht="12" customHeight="1" outlineLevel="4" x14ac:dyDescent="0.2">
      <c r="A1612" s="14" t="s">
        <v>3174</v>
      </c>
      <c r="B1612" s="26" t="s">
        <v>3175</v>
      </c>
      <c r="C1612" s="52"/>
      <c r="D1612" s="55">
        <f t="shared" si="25"/>
        <v>0</v>
      </c>
      <c r="E1612" s="63" t="str">
        <f>HYPERLINK("https://www.sds-group.ru/product/universalnaya-klemma-smk-222-612-221-612-2-provodnaya-seraya-0-5-4-6-mm-blister-5-sht-up-r-07-5270-5/", "Инфо")</f>
        <v>Инфо</v>
      </c>
      <c r="F1612" s="16" t="s">
        <v>1001</v>
      </c>
      <c r="G1612" s="15"/>
      <c r="H1612" s="15"/>
      <c r="I1612" s="15"/>
      <c r="J1612" s="17">
        <v>49</v>
      </c>
      <c r="K1612" s="15"/>
      <c r="L1612" s="17">
        <v>5</v>
      </c>
      <c r="M1612" s="17">
        <v>10</v>
      </c>
      <c r="N1612" s="17">
        <v>5</v>
      </c>
      <c r="O1612" s="18">
        <v>278.67</v>
      </c>
      <c r="P1612" s="18">
        <v>228.42</v>
      </c>
      <c r="Q1612" s="18">
        <v>236.87</v>
      </c>
      <c r="R1612" s="18">
        <v>194.16</v>
      </c>
      <c r="S1612" s="18">
        <v>189.5</v>
      </c>
      <c r="T1612" s="18">
        <v>155.33000000000001</v>
      </c>
      <c r="U1612" s="16"/>
      <c r="V1612" s="16"/>
      <c r="W1612" s="16" t="s">
        <v>40</v>
      </c>
      <c r="X1612" s="19">
        <v>2.5999999999999999E-2</v>
      </c>
      <c r="Y1612" s="20">
        <v>1.4999999999999999E-4</v>
      </c>
      <c r="Z1612" s="21">
        <v>4601004327764</v>
      </c>
    </row>
    <row r="1613" spans="1:26" ht="12" customHeight="1" outlineLevel="4" x14ac:dyDescent="0.2">
      <c r="A1613" s="14" t="s">
        <v>3176</v>
      </c>
      <c r="B1613" s="26" t="s">
        <v>3177</v>
      </c>
      <c r="C1613" s="52"/>
      <c r="D1613" s="55">
        <f t="shared" si="25"/>
        <v>0</v>
      </c>
      <c r="E1613" s="63" t="str">
        <f>HYPERLINK("https://www.sds-group.ru/product/universalnaya-klemma-smk-222-613-221-613-3-provodnaya-seraya-0-5-4-6-mm-25-sht-up-rexant-07-5271/", "Инфо")</f>
        <v>Инфо</v>
      </c>
      <c r="F1613" s="16" t="s">
        <v>39</v>
      </c>
      <c r="G1613" s="15"/>
      <c r="H1613" s="15"/>
      <c r="I1613" s="15"/>
      <c r="J1613" s="16" t="s">
        <v>100</v>
      </c>
      <c r="K1613" s="15" t="s">
        <v>1650</v>
      </c>
      <c r="L1613" s="17">
        <v>25</v>
      </c>
      <c r="M1613" s="22">
        <v>2000</v>
      </c>
      <c r="N1613" s="17">
        <v>25</v>
      </c>
      <c r="O1613" s="18">
        <v>43.54</v>
      </c>
      <c r="P1613" s="18">
        <v>35.69</v>
      </c>
      <c r="Q1613" s="18">
        <v>37.01</v>
      </c>
      <c r="R1613" s="18">
        <v>30.34</v>
      </c>
      <c r="S1613" s="18">
        <v>29.61</v>
      </c>
      <c r="T1613" s="18">
        <v>24.27</v>
      </c>
      <c r="U1613" s="16"/>
      <c r="V1613" s="16"/>
      <c r="W1613" s="16" t="s">
        <v>40</v>
      </c>
      <c r="X1613" s="19">
        <v>7.0000000000000001E-3</v>
      </c>
      <c r="Y1613" s="20">
        <v>2.6999999999999999E-5</v>
      </c>
      <c r="Z1613" s="21">
        <v>4601004280717</v>
      </c>
    </row>
    <row r="1614" spans="1:26" ht="12" customHeight="1" outlineLevel="4" x14ac:dyDescent="0.2">
      <c r="A1614" s="14" t="s">
        <v>3178</v>
      </c>
      <c r="B1614" s="26" t="s">
        <v>3179</v>
      </c>
      <c r="C1614" s="52"/>
      <c r="D1614" s="55">
        <f t="shared" si="25"/>
        <v>0</v>
      </c>
      <c r="E1614" s="63" t="str">
        <f>HYPERLINK("https://www.sds-group.ru/product/universalnaya-klemma-smk-222-613-221-613-3-provodnaya-seraya-0-5-4-6-mm-blister-5-sht-up-r-07-5271-5/", "Инфо")</f>
        <v>Инфо</v>
      </c>
      <c r="F1614" s="16" t="s">
        <v>1001</v>
      </c>
      <c r="G1614" s="15"/>
      <c r="H1614" s="15"/>
      <c r="I1614" s="15"/>
      <c r="J1614" s="17">
        <v>101</v>
      </c>
      <c r="K1614" s="15"/>
      <c r="L1614" s="17">
        <v>5</v>
      </c>
      <c r="M1614" s="17">
        <v>10</v>
      </c>
      <c r="N1614" s="17">
        <v>5</v>
      </c>
      <c r="O1614" s="18">
        <v>365.76</v>
      </c>
      <c r="P1614" s="18">
        <v>299.8</v>
      </c>
      <c r="Q1614" s="18">
        <v>310.89999999999998</v>
      </c>
      <c r="R1614" s="18">
        <v>254.84</v>
      </c>
      <c r="S1614" s="18">
        <v>248.72</v>
      </c>
      <c r="T1614" s="18">
        <v>203.87</v>
      </c>
      <c r="U1614" s="16"/>
      <c r="V1614" s="16"/>
      <c r="W1614" s="16" t="s">
        <v>40</v>
      </c>
      <c r="X1614" s="19">
        <v>3.7999999999999999E-2</v>
      </c>
      <c r="Y1614" s="20">
        <v>2.5599999999999999E-4</v>
      </c>
      <c r="Z1614" s="21">
        <v>4601004327757</v>
      </c>
    </row>
    <row r="1615" spans="1:26" ht="12" customHeight="1" outlineLevel="4" x14ac:dyDescent="0.2">
      <c r="A1615" s="14" t="s">
        <v>3180</v>
      </c>
      <c r="B1615" s="26" t="s">
        <v>3181</v>
      </c>
      <c r="C1615" s="52"/>
      <c r="D1615" s="55">
        <f t="shared" si="25"/>
        <v>0</v>
      </c>
      <c r="E1615" s="63" t="str">
        <f>HYPERLINK("https://www.sds-group.ru/product/universalnaya-klemma-smk-222-615-221-615-5-provodnaya-seraya-0-5-4-6-mm-15-sht-up-rexant-07-5273/", "Инфо")</f>
        <v>Инфо</v>
      </c>
      <c r="F1615" s="16" t="s">
        <v>39</v>
      </c>
      <c r="G1615" s="15"/>
      <c r="H1615" s="15"/>
      <c r="I1615" s="15"/>
      <c r="J1615" s="17">
        <v>630</v>
      </c>
      <c r="K1615" s="15" t="s">
        <v>1650</v>
      </c>
      <c r="L1615" s="17">
        <v>15</v>
      </c>
      <c r="M1615" s="22">
        <v>1500</v>
      </c>
      <c r="N1615" s="17">
        <v>15</v>
      </c>
      <c r="O1615" s="18">
        <v>57.9</v>
      </c>
      <c r="P1615" s="18">
        <v>47.46</v>
      </c>
      <c r="Q1615" s="18">
        <v>49.22</v>
      </c>
      <c r="R1615" s="18">
        <v>40.340000000000003</v>
      </c>
      <c r="S1615" s="18">
        <v>39.369999999999997</v>
      </c>
      <c r="T1615" s="18">
        <v>32.270000000000003</v>
      </c>
      <c r="U1615" s="16"/>
      <c r="V1615" s="16"/>
      <c r="W1615" s="16" t="s">
        <v>40</v>
      </c>
      <c r="X1615" s="19">
        <v>1.0999999999999999E-2</v>
      </c>
      <c r="Y1615" s="20">
        <v>3.1000000000000001E-5</v>
      </c>
      <c r="Z1615" s="21">
        <v>4601004280762</v>
      </c>
    </row>
    <row r="1616" spans="1:26" ht="12" customHeight="1" outlineLevel="4" x14ac:dyDescent="0.2">
      <c r="A1616" s="14" t="s">
        <v>3182</v>
      </c>
      <c r="B1616" s="26" t="s">
        <v>3183</v>
      </c>
      <c r="C1616" s="52"/>
      <c r="D1616" s="55">
        <f t="shared" si="25"/>
        <v>0</v>
      </c>
      <c r="E1616" s="63" t="str">
        <f>HYPERLINK("https://www.sds-group.ru/product/universalnaya-klemma-smk-222-615-221-615-5-provodnaya-seraya-0-5-4-6-mm-blister-5-sht-up-r-07-5273-5/", "Инфо")</f>
        <v>Инфо</v>
      </c>
      <c r="F1616" s="16" t="s">
        <v>1001</v>
      </c>
      <c r="G1616" s="15"/>
      <c r="H1616" s="15"/>
      <c r="I1616" s="15"/>
      <c r="J1616" s="17">
        <v>96</v>
      </c>
      <c r="K1616" s="15"/>
      <c r="L1616" s="17">
        <v>5</v>
      </c>
      <c r="M1616" s="17">
        <v>10</v>
      </c>
      <c r="N1616" s="17">
        <v>5</v>
      </c>
      <c r="O1616" s="18">
        <v>590.41</v>
      </c>
      <c r="P1616" s="18">
        <v>483.94</v>
      </c>
      <c r="Q1616" s="18">
        <v>472.33</v>
      </c>
      <c r="R1616" s="18">
        <v>387.16</v>
      </c>
      <c r="S1616" s="18">
        <v>401.48</v>
      </c>
      <c r="T1616" s="18">
        <v>329.08</v>
      </c>
      <c r="U1616" s="16"/>
      <c r="V1616" s="16"/>
      <c r="W1616" s="16" t="s">
        <v>40</v>
      </c>
      <c r="X1616" s="19">
        <v>5.1999999999999998E-2</v>
      </c>
      <c r="Y1616" s="20">
        <v>2.42E-4</v>
      </c>
      <c r="Z1616" s="21">
        <v>4601004327788</v>
      </c>
    </row>
    <row r="1617" spans="1:26" ht="12" customHeight="1" outlineLevel="4" x14ac:dyDescent="0.2">
      <c r="A1617" s="14" t="s">
        <v>3184</v>
      </c>
      <c r="B1617" s="26" t="s">
        <v>3185</v>
      </c>
      <c r="C1617" s="52"/>
      <c r="D1617" s="55">
        <f t="shared" si="25"/>
        <v>0</v>
      </c>
      <c r="E1617" s="63" t="str">
        <f>HYPERLINK("https://www.sds-group.ru/product/universalnaya-kompaktnaya-klemma-smk-221-412-2-provodnaya-do-4-0-mm-20-sht-up-rexant-07-5202-20/", "Инфо")</f>
        <v>Инфо</v>
      </c>
      <c r="F1617" s="16" t="s">
        <v>1001</v>
      </c>
      <c r="G1617" s="15"/>
      <c r="H1617" s="15"/>
      <c r="I1617" s="15"/>
      <c r="J1617" s="17">
        <v>83</v>
      </c>
      <c r="K1617" s="15" t="s">
        <v>1665</v>
      </c>
      <c r="L1617" s="17">
        <v>5</v>
      </c>
      <c r="M1617" s="17">
        <v>100</v>
      </c>
      <c r="N1617" s="17">
        <v>5</v>
      </c>
      <c r="O1617" s="18">
        <v>447.51</v>
      </c>
      <c r="P1617" s="18">
        <v>366.81</v>
      </c>
      <c r="Q1617" s="18">
        <v>358.01</v>
      </c>
      <c r="R1617" s="18">
        <v>293.45</v>
      </c>
      <c r="S1617" s="18">
        <v>304.31</v>
      </c>
      <c r="T1617" s="18">
        <v>249.43</v>
      </c>
      <c r="U1617" s="16"/>
      <c r="V1617" s="16"/>
      <c r="W1617" s="16" t="s">
        <v>40</v>
      </c>
      <c r="X1617" s="19">
        <v>6.8000000000000005E-2</v>
      </c>
      <c r="Y1617" s="20">
        <v>1.83E-4</v>
      </c>
      <c r="Z1617" s="21">
        <v>4601004224230</v>
      </c>
    </row>
    <row r="1618" spans="1:26" ht="12" customHeight="1" outlineLevel="4" x14ac:dyDescent="0.2">
      <c r="A1618" s="14" t="s">
        <v>3186</v>
      </c>
      <c r="B1618" s="26" t="s">
        <v>3187</v>
      </c>
      <c r="C1618" s="52"/>
      <c r="D1618" s="55">
        <f t="shared" si="25"/>
        <v>0</v>
      </c>
      <c r="E1618" s="63" t="str">
        <f>HYPERLINK("https://www.sds-group.ru/product/universalnaya-kompaktnaya-klemma-smk-221-412-2-provodnaya-do-4-0-mm-50-sht-up-rexant-07-5202/", "Инфо")</f>
        <v>Инфо</v>
      </c>
      <c r="F1618" s="16" t="s">
        <v>39</v>
      </c>
      <c r="G1618" s="15"/>
      <c r="H1618" s="15"/>
      <c r="I1618" s="15"/>
      <c r="J1618" s="16" t="s">
        <v>100</v>
      </c>
      <c r="K1618" s="15" t="s">
        <v>1650</v>
      </c>
      <c r="L1618" s="17">
        <v>50</v>
      </c>
      <c r="M1618" s="22">
        <v>4000</v>
      </c>
      <c r="N1618" s="17">
        <v>50</v>
      </c>
      <c r="O1618" s="18">
        <v>15.64</v>
      </c>
      <c r="P1618" s="18">
        <v>12.82</v>
      </c>
      <c r="Q1618" s="18">
        <v>13.29</v>
      </c>
      <c r="R1618" s="18">
        <v>10.89</v>
      </c>
      <c r="S1618" s="18">
        <v>10.64</v>
      </c>
      <c r="T1618" s="18">
        <v>8.7200000000000006</v>
      </c>
      <c r="U1618" s="16"/>
      <c r="V1618" s="16"/>
      <c r="W1618" s="16" t="s">
        <v>40</v>
      </c>
      <c r="X1618" s="19">
        <v>4.0000000000000001E-3</v>
      </c>
      <c r="Y1618" s="20">
        <v>1.2999999999999999E-5</v>
      </c>
      <c r="Z1618" s="21">
        <v>4601004103009</v>
      </c>
    </row>
    <row r="1619" spans="1:26" ht="12" customHeight="1" outlineLevel="4" x14ac:dyDescent="0.2">
      <c r="A1619" s="14" t="s">
        <v>3188</v>
      </c>
      <c r="B1619" s="26" t="s">
        <v>3189</v>
      </c>
      <c r="C1619" s="52"/>
      <c r="D1619" s="55">
        <f t="shared" si="25"/>
        <v>0</v>
      </c>
      <c r="E1619" s="63" t="str">
        <f>HYPERLINK("https://www.sds-group.ru/product/universalnaya-kompaktnaya-klemma-smk-221-412-2-provodnaya-do-4-0-mm-blister-10-sht-up-re-06-0216-A10/", "Инфо")</f>
        <v>Инфо</v>
      </c>
      <c r="F1619" s="16" t="s">
        <v>1001</v>
      </c>
      <c r="G1619" s="15"/>
      <c r="H1619" s="15"/>
      <c r="I1619" s="15"/>
      <c r="J1619" s="16" t="s">
        <v>100</v>
      </c>
      <c r="K1619" s="15" t="s">
        <v>210</v>
      </c>
      <c r="L1619" s="17">
        <v>10</v>
      </c>
      <c r="M1619" s="17">
        <v>200</v>
      </c>
      <c r="N1619" s="17">
        <v>10</v>
      </c>
      <c r="O1619" s="18">
        <v>226.63</v>
      </c>
      <c r="P1619" s="18">
        <v>185.76</v>
      </c>
      <c r="Q1619" s="18">
        <v>192.64</v>
      </c>
      <c r="R1619" s="18">
        <v>157.9</v>
      </c>
      <c r="S1619" s="18">
        <v>154.11000000000001</v>
      </c>
      <c r="T1619" s="18">
        <v>126.32</v>
      </c>
      <c r="U1619" s="16"/>
      <c r="V1619" s="16"/>
      <c r="W1619" s="16" t="s">
        <v>40</v>
      </c>
      <c r="X1619" s="19">
        <v>3.5999999999999997E-2</v>
      </c>
      <c r="Y1619" s="20">
        <v>1.2999999999999999E-4</v>
      </c>
      <c r="Z1619" s="21">
        <v>4601004134034</v>
      </c>
    </row>
    <row r="1620" spans="1:26" ht="12" customHeight="1" outlineLevel="4" x14ac:dyDescent="0.2">
      <c r="A1620" s="14" t="s">
        <v>3190</v>
      </c>
      <c r="B1620" s="26" t="s">
        <v>3191</v>
      </c>
      <c r="C1620" s="52"/>
      <c r="D1620" s="55">
        <f t="shared" si="25"/>
        <v>0</v>
      </c>
      <c r="E1620" s="63" t="str">
        <f>HYPERLINK("https://www.sds-group.ru/product/universalnaya-kompaktnaya-klemma-smk-221-412-2-provodnaya-do-4-0-mm-blister-5-sht-up-rexa-06-0216-A5/", "Инфо")</f>
        <v>Инфо</v>
      </c>
      <c r="F1620" s="16" t="s">
        <v>1001</v>
      </c>
      <c r="G1620" s="15"/>
      <c r="H1620" s="15"/>
      <c r="I1620" s="15"/>
      <c r="J1620" s="16" t="s">
        <v>100</v>
      </c>
      <c r="K1620" s="15" t="s">
        <v>1650</v>
      </c>
      <c r="L1620" s="17">
        <v>10</v>
      </c>
      <c r="M1620" s="17">
        <v>400</v>
      </c>
      <c r="N1620" s="17">
        <v>10</v>
      </c>
      <c r="O1620" s="18">
        <v>113.32</v>
      </c>
      <c r="P1620" s="18">
        <v>92.89</v>
      </c>
      <c r="Q1620" s="18">
        <v>96.32</v>
      </c>
      <c r="R1620" s="18">
        <v>78.95</v>
      </c>
      <c r="S1620" s="18">
        <v>77.06</v>
      </c>
      <c r="T1620" s="18">
        <v>63.16</v>
      </c>
      <c r="U1620" s="16"/>
      <c r="V1620" s="16"/>
      <c r="W1620" s="16" t="s">
        <v>40</v>
      </c>
      <c r="X1620" s="19">
        <v>1.9E-2</v>
      </c>
      <c r="Y1620" s="20">
        <v>1.0399999999999999E-4</v>
      </c>
      <c r="Z1620" s="21">
        <v>4601004134058</v>
      </c>
    </row>
    <row r="1621" spans="1:26" ht="12" customHeight="1" outlineLevel="4" x14ac:dyDescent="0.2">
      <c r="A1621" s="14" t="s">
        <v>3192</v>
      </c>
      <c r="B1621" s="26" t="s">
        <v>3193</v>
      </c>
      <c r="C1621" s="52"/>
      <c r="D1621" s="55">
        <f t="shared" si="25"/>
        <v>0</v>
      </c>
      <c r="E1621" s="63" t="str">
        <f>HYPERLINK("https://www.sds-group.ru/product/universalnaya-kompaktnaya-klemma-smk-221-413-3-provodnaya-do-4-0-mm-20-sht-up-rexant-07-5203-20/", "Инфо")</f>
        <v>Инфо</v>
      </c>
      <c r="F1621" s="16" t="s">
        <v>1001</v>
      </c>
      <c r="G1621" s="15"/>
      <c r="H1621" s="15"/>
      <c r="I1621" s="15"/>
      <c r="J1621" s="16" t="s">
        <v>100</v>
      </c>
      <c r="K1621" s="15" t="s">
        <v>1665</v>
      </c>
      <c r="L1621" s="17">
        <v>5</v>
      </c>
      <c r="M1621" s="17">
        <v>80</v>
      </c>
      <c r="N1621" s="17">
        <v>5</v>
      </c>
      <c r="O1621" s="18">
        <v>545.77</v>
      </c>
      <c r="P1621" s="18">
        <v>447.35</v>
      </c>
      <c r="Q1621" s="18">
        <v>436.62</v>
      </c>
      <c r="R1621" s="18">
        <v>357.89</v>
      </c>
      <c r="S1621" s="18">
        <v>371.12</v>
      </c>
      <c r="T1621" s="18">
        <v>304.2</v>
      </c>
      <c r="U1621" s="16"/>
      <c r="V1621" s="16"/>
      <c r="W1621" s="16" t="s">
        <v>40</v>
      </c>
      <c r="X1621" s="19">
        <v>9.8000000000000004E-2</v>
      </c>
      <c r="Y1621" s="20">
        <v>3.21E-4</v>
      </c>
      <c r="Z1621" s="21">
        <v>4601004224216</v>
      </c>
    </row>
    <row r="1622" spans="1:26" ht="12" customHeight="1" outlineLevel="4" x14ac:dyDescent="0.2">
      <c r="A1622" s="14" t="s">
        <v>3194</v>
      </c>
      <c r="B1622" s="26" t="s">
        <v>3195</v>
      </c>
      <c r="C1622" s="52"/>
      <c r="D1622" s="55">
        <f t="shared" si="25"/>
        <v>0</v>
      </c>
      <c r="E1622" s="63" t="str">
        <f>HYPERLINK("https://www.sds-group.ru/product/universalnaya-kompaktnaya-klemma-smk-221-413-3-provodnaya-do-4-0-mm-50-sht-up-rexant-07-5203/", "Инфо")</f>
        <v>Инфо</v>
      </c>
      <c r="F1622" s="16" t="s">
        <v>39</v>
      </c>
      <c r="G1622" s="15"/>
      <c r="H1622" s="15"/>
      <c r="I1622" s="15"/>
      <c r="J1622" s="17">
        <v>250</v>
      </c>
      <c r="K1622" s="15" t="s">
        <v>1650</v>
      </c>
      <c r="L1622" s="17">
        <v>50</v>
      </c>
      <c r="M1622" s="22">
        <v>4000</v>
      </c>
      <c r="N1622" s="17">
        <v>50</v>
      </c>
      <c r="O1622" s="18">
        <v>19.18</v>
      </c>
      <c r="P1622" s="18">
        <v>15.72</v>
      </c>
      <c r="Q1622" s="18">
        <v>16.3</v>
      </c>
      <c r="R1622" s="18">
        <v>13.36</v>
      </c>
      <c r="S1622" s="18">
        <v>13.04</v>
      </c>
      <c r="T1622" s="18">
        <v>10.69</v>
      </c>
      <c r="U1622" s="16"/>
      <c r="V1622" s="16"/>
      <c r="W1622" s="16" t="s">
        <v>40</v>
      </c>
      <c r="X1622" s="19">
        <v>3.0000000000000001E-3</v>
      </c>
      <c r="Y1622" s="20">
        <v>7.9999999999999996E-6</v>
      </c>
      <c r="Z1622" s="21">
        <v>4601004102996</v>
      </c>
    </row>
    <row r="1623" spans="1:26" ht="12" customHeight="1" outlineLevel="4" x14ac:dyDescent="0.2">
      <c r="A1623" s="14" t="s">
        <v>3196</v>
      </c>
      <c r="B1623" s="26" t="s">
        <v>3197</v>
      </c>
      <c r="C1623" s="52"/>
      <c r="D1623" s="55">
        <f t="shared" si="25"/>
        <v>0</v>
      </c>
      <c r="E1623" s="63" t="str">
        <f>HYPERLINK("https://www.sds-group.ru/product/universalnaya-kompaktnaya-klemma-smk-221-413-3-provodnaya-do-4-0-mm-blister-10-sht-up-re-06-0217-A10/", "Инфо")</f>
        <v>Инфо</v>
      </c>
      <c r="F1623" s="16" t="s">
        <v>1001</v>
      </c>
      <c r="G1623" s="15"/>
      <c r="H1623" s="15"/>
      <c r="I1623" s="15"/>
      <c r="J1623" s="17">
        <v>2</v>
      </c>
      <c r="K1623" s="15" t="s">
        <v>2706</v>
      </c>
      <c r="L1623" s="17">
        <v>10</v>
      </c>
      <c r="M1623" s="17">
        <v>150</v>
      </c>
      <c r="N1623" s="17">
        <v>10</v>
      </c>
      <c r="O1623" s="18">
        <v>383.13</v>
      </c>
      <c r="P1623" s="18">
        <v>314.04000000000002</v>
      </c>
      <c r="Q1623" s="18">
        <v>306.5</v>
      </c>
      <c r="R1623" s="18">
        <v>251.23</v>
      </c>
      <c r="S1623" s="18">
        <v>260.52999999999997</v>
      </c>
      <c r="T1623" s="18">
        <v>213.55</v>
      </c>
      <c r="U1623" s="16"/>
      <c r="V1623" s="16"/>
      <c r="W1623" s="16" t="s">
        <v>40</v>
      </c>
      <c r="X1623" s="19">
        <v>5.0999999999999997E-2</v>
      </c>
      <c r="Y1623" s="20">
        <v>1.7200000000000001E-4</v>
      </c>
      <c r="Z1623" s="21">
        <v>4601004134041</v>
      </c>
    </row>
    <row r="1624" spans="1:26" ht="12" customHeight="1" outlineLevel="4" x14ac:dyDescent="0.2">
      <c r="A1624" s="14" t="s">
        <v>3198</v>
      </c>
      <c r="B1624" s="26" t="s">
        <v>3199</v>
      </c>
      <c r="C1624" s="52"/>
      <c r="D1624" s="55">
        <f t="shared" si="25"/>
        <v>0</v>
      </c>
      <c r="E1624" s="63" t="str">
        <f>HYPERLINK("https://www.sds-group.ru/product/universalnaya-kompaktnaya-klemma-smk-221-413-3-provodnaya-do-4-0-mm-blister-5-sht-up-rexa-06-0217-A5/", "Инфо")</f>
        <v>Инфо</v>
      </c>
      <c r="F1624" s="16" t="s">
        <v>1001</v>
      </c>
      <c r="G1624" s="15"/>
      <c r="H1624" s="15"/>
      <c r="I1624" s="15"/>
      <c r="J1624" s="16" t="s">
        <v>100</v>
      </c>
      <c r="K1624" s="15" t="s">
        <v>1650</v>
      </c>
      <c r="L1624" s="17">
        <v>10</v>
      </c>
      <c r="M1624" s="17">
        <v>300</v>
      </c>
      <c r="N1624" s="17">
        <v>10</v>
      </c>
      <c r="O1624" s="18">
        <v>191.55</v>
      </c>
      <c r="P1624" s="18">
        <v>157.01</v>
      </c>
      <c r="Q1624" s="18">
        <v>162.82</v>
      </c>
      <c r="R1624" s="18">
        <v>133.46</v>
      </c>
      <c r="S1624" s="18">
        <v>130.25</v>
      </c>
      <c r="T1624" s="18">
        <v>106.76</v>
      </c>
      <c r="U1624" s="16"/>
      <c r="V1624" s="16"/>
      <c r="W1624" s="16" t="s">
        <v>40</v>
      </c>
      <c r="X1624" s="19">
        <v>2.7E-2</v>
      </c>
      <c r="Y1624" s="20">
        <v>1.15E-4</v>
      </c>
      <c r="Z1624" s="21">
        <v>4601004134027</v>
      </c>
    </row>
    <row r="1625" spans="1:26" ht="12" customHeight="1" outlineLevel="4" x14ac:dyDescent="0.2">
      <c r="A1625" s="14" t="s">
        <v>3200</v>
      </c>
      <c r="B1625" s="26" t="s">
        <v>3201</v>
      </c>
      <c r="C1625" s="52"/>
      <c r="D1625" s="55">
        <f t="shared" si="25"/>
        <v>0</v>
      </c>
      <c r="E1625" s="63" t="str">
        <f>HYPERLINK("https://www.sds-group.ru/product/universalnaya-kompaktnaya-klemma-smk-221-415-5-provodnaya-do-4-0-mm-blister-5-sht-up-rexa-06-0215-A5/", "Инфо")</f>
        <v>Инфо</v>
      </c>
      <c r="F1625" s="16" t="s">
        <v>1001</v>
      </c>
      <c r="G1625" s="15"/>
      <c r="H1625" s="15"/>
      <c r="I1625" s="15"/>
      <c r="J1625" s="17">
        <v>38</v>
      </c>
      <c r="K1625" s="15" t="s">
        <v>1650</v>
      </c>
      <c r="L1625" s="17">
        <v>10</v>
      </c>
      <c r="M1625" s="17">
        <v>250</v>
      </c>
      <c r="N1625" s="17">
        <v>10</v>
      </c>
      <c r="O1625" s="18">
        <v>342.09</v>
      </c>
      <c r="P1625" s="18">
        <v>280.39999999999998</v>
      </c>
      <c r="Q1625" s="18">
        <v>290.77999999999997</v>
      </c>
      <c r="R1625" s="18">
        <v>238.34</v>
      </c>
      <c r="S1625" s="18">
        <v>232.62</v>
      </c>
      <c r="T1625" s="18">
        <v>190.67</v>
      </c>
      <c r="U1625" s="16"/>
      <c r="V1625" s="16"/>
      <c r="W1625" s="16" t="s">
        <v>40</v>
      </c>
      <c r="X1625" s="19">
        <v>3.2000000000000001E-2</v>
      </c>
      <c r="Y1625" s="20">
        <v>1.63E-4</v>
      </c>
      <c r="Z1625" s="21">
        <v>4601004133464</v>
      </c>
    </row>
    <row r="1626" spans="1:26" ht="12" customHeight="1" outlineLevel="4" x14ac:dyDescent="0.2">
      <c r="A1626" s="14" t="s">
        <v>3202</v>
      </c>
      <c r="B1626" s="26" t="s">
        <v>3203</v>
      </c>
      <c r="C1626" s="52"/>
      <c r="D1626" s="55">
        <f t="shared" si="25"/>
        <v>0</v>
      </c>
      <c r="E1626" s="63" t="str">
        <f>HYPERLINK("https://www.sds-group.ru/product/universalnaya-kompaktnaya-klemma-smk-221-415-5-provodnaya-do-4-0-mm-40-sht-up-rexant-07-5205/", "Инфо")</f>
        <v>Инфо</v>
      </c>
      <c r="F1626" s="16" t="s">
        <v>39</v>
      </c>
      <c r="G1626" s="15"/>
      <c r="H1626" s="15"/>
      <c r="I1626" s="15"/>
      <c r="J1626" s="17">
        <v>80</v>
      </c>
      <c r="K1626" s="15" t="s">
        <v>1650</v>
      </c>
      <c r="L1626" s="17">
        <v>40</v>
      </c>
      <c r="M1626" s="22">
        <v>2000</v>
      </c>
      <c r="N1626" s="17">
        <v>40</v>
      </c>
      <c r="O1626" s="18">
        <v>28.07</v>
      </c>
      <c r="P1626" s="18">
        <v>23.01</v>
      </c>
      <c r="Q1626" s="18">
        <v>23.86</v>
      </c>
      <c r="R1626" s="18">
        <v>19.559999999999999</v>
      </c>
      <c r="S1626" s="18">
        <v>19.09</v>
      </c>
      <c r="T1626" s="18">
        <v>15.65</v>
      </c>
      <c r="U1626" s="16"/>
      <c r="V1626" s="16"/>
      <c r="W1626" s="16" t="s">
        <v>40</v>
      </c>
      <c r="X1626" s="19">
        <v>5.0000000000000001E-3</v>
      </c>
      <c r="Y1626" s="20">
        <v>9.0000000000000002E-6</v>
      </c>
      <c r="Z1626" s="21">
        <v>4601004103016</v>
      </c>
    </row>
    <row r="1627" spans="1:26" ht="12.95" customHeight="1" outlineLevel="3" x14ac:dyDescent="0.2">
      <c r="A1627" s="76" t="s">
        <v>3204</v>
      </c>
      <c r="B1627" s="76"/>
      <c r="C1627" s="77"/>
      <c r="D1627" s="58"/>
      <c r="E1627" s="68"/>
      <c r="F1627" s="13"/>
      <c r="G1627" s="13"/>
      <c r="H1627" s="13"/>
      <c r="I1627" s="13"/>
      <c r="J1627" s="13"/>
      <c r="K1627" s="13"/>
      <c r="L1627" s="13"/>
      <c r="M1627" s="13"/>
      <c r="N1627" s="13"/>
      <c r="O1627" s="13"/>
      <c r="P1627" s="13"/>
      <c r="Q1627" s="13"/>
      <c r="R1627" s="13"/>
      <c r="S1627" s="13"/>
      <c r="T1627" s="13"/>
      <c r="U1627" s="13"/>
      <c r="V1627" s="13"/>
      <c r="W1627" s="13"/>
      <c r="X1627" s="13"/>
      <c r="Y1627" s="13"/>
      <c r="Z1627" s="13"/>
    </row>
    <row r="1628" spans="1:26" ht="12" customHeight="1" outlineLevel="4" x14ac:dyDescent="0.2">
      <c r="A1628" s="14" t="s">
        <v>3205</v>
      </c>
      <c r="B1628" s="26" t="s">
        <v>3206</v>
      </c>
      <c r="C1628" s="52"/>
      <c r="D1628" s="55">
        <f t="shared" si="25"/>
        <v>0</v>
      </c>
      <c r="E1628" s="63" t="str">
        <f>HYPERLINK("https://www.sds-group.ru/product/ekspress-klemma-rexant-smk-2273-202-2-provodnaya-0-5-2-5-mm-prozrachnaya-100-sht-up-07-3211/", "Инфо")</f>
        <v>Инфо</v>
      </c>
      <c r="F1628" s="16" t="s">
        <v>39</v>
      </c>
      <c r="G1628" s="15"/>
      <c r="H1628" s="15"/>
      <c r="I1628" s="15"/>
      <c r="J1628" s="16" t="s">
        <v>100</v>
      </c>
      <c r="K1628" s="15" t="s">
        <v>1665</v>
      </c>
      <c r="L1628" s="17">
        <v>100</v>
      </c>
      <c r="M1628" s="22">
        <v>10000</v>
      </c>
      <c r="N1628" s="17">
        <v>100</v>
      </c>
      <c r="O1628" s="18">
        <v>7.28</v>
      </c>
      <c r="P1628" s="18">
        <v>5.97</v>
      </c>
      <c r="Q1628" s="18">
        <v>6.19</v>
      </c>
      <c r="R1628" s="18">
        <v>5.07</v>
      </c>
      <c r="S1628" s="18">
        <v>4.95</v>
      </c>
      <c r="T1628" s="18">
        <v>4.0599999999999996</v>
      </c>
      <c r="U1628" s="16"/>
      <c r="V1628" s="16"/>
      <c r="W1628" s="16" t="s">
        <v>40</v>
      </c>
      <c r="X1628" s="19">
        <v>1E-3</v>
      </c>
      <c r="Y1628" s="20">
        <v>7.9999999999999996E-6</v>
      </c>
      <c r="Z1628" s="21">
        <v>4601004227842</v>
      </c>
    </row>
    <row r="1629" spans="1:26" ht="12" customHeight="1" outlineLevel="4" x14ac:dyDescent="0.2">
      <c r="A1629" s="14" t="s">
        <v>3207</v>
      </c>
      <c r="B1629" s="26" t="s">
        <v>3208</v>
      </c>
      <c r="C1629" s="52"/>
      <c r="D1629" s="55">
        <f t="shared" si="25"/>
        <v>0</v>
      </c>
      <c r="E1629" s="63" t="str">
        <f>HYPERLINK("https://www.sds-group.ru/product/ekspress-klemma-rexant-smk-2273-203-3-provodnaya-0-5-2-5-mm-prozrachnaya-100-sht-up-07-3212/", "Инфо")</f>
        <v>Инфо</v>
      </c>
      <c r="F1629" s="16" t="s">
        <v>39</v>
      </c>
      <c r="G1629" s="15"/>
      <c r="H1629" s="15"/>
      <c r="I1629" s="15"/>
      <c r="J1629" s="16" t="s">
        <v>100</v>
      </c>
      <c r="K1629" s="15" t="s">
        <v>1650</v>
      </c>
      <c r="L1629" s="17">
        <v>100</v>
      </c>
      <c r="M1629" s="22">
        <v>6000</v>
      </c>
      <c r="N1629" s="17">
        <v>100</v>
      </c>
      <c r="O1629" s="18">
        <v>10.6</v>
      </c>
      <c r="P1629" s="18">
        <v>8.69</v>
      </c>
      <c r="Q1629" s="18">
        <v>9.01</v>
      </c>
      <c r="R1629" s="18">
        <v>7.39</v>
      </c>
      <c r="S1629" s="18">
        <v>7.21</v>
      </c>
      <c r="T1629" s="18">
        <v>5.91</v>
      </c>
      <c r="U1629" s="16"/>
      <c r="V1629" s="16"/>
      <c r="W1629" s="16" t="s">
        <v>40</v>
      </c>
      <c r="X1629" s="19">
        <v>1E-3</v>
      </c>
      <c r="Y1629" s="20">
        <v>3.0000000000000001E-6</v>
      </c>
      <c r="Z1629" s="21">
        <v>4601004227750</v>
      </c>
    </row>
    <row r="1630" spans="1:26" ht="12" customHeight="1" outlineLevel="4" x14ac:dyDescent="0.2">
      <c r="A1630" s="14" t="s">
        <v>3209</v>
      </c>
      <c r="B1630" s="26" t="s">
        <v>3210</v>
      </c>
      <c r="C1630" s="52"/>
      <c r="D1630" s="55">
        <f t="shared" si="25"/>
        <v>0</v>
      </c>
      <c r="E1630" s="63" t="str">
        <f>HYPERLINK("https://www.sds-group.ru/product/ekspress-klemma-rexant-smk-2273-204-4-provodnaya-0-5-2-5-mm-prozrachnaya-100-sht-up-07-3213/", "Инфо")</f>
        <v>Инфо</v>
      </c>
      <c r="F1630" s="16" t="s">
        <v>39</v>
      </c>
      <c r="G1630" s="15"/>
      <c r="H1630" s="15"/>
      <c r="I1630" s="15"/>
      <c r="J1630" s="17">
        <v>600</v>
      </c>
      <c r="K1630" s="15" t="s">
        <v>210</v>
      </c>
      <c r="L1630" s="17">
        <v>100</v>
      </c>
      <c r="M1630" s="22">
        <v>6000</v>
      </c>
      <c r="N1630" s="17">
        <v>100</v>
      </c>
      <c r="O1630" s="18">
        <v>12.29</v>
      </c>
      <c r="P1630" s="18">
        <v>10.07</v>
      </c>
      <c r="Q1630" s="18">
        <v>10.45</v>
      </c>
      <c r="R1630" s="18">
        <v>8.57</v>
      </c>
      <c r="S1630" s="18">
        <v>8.36</v>
      </c>
      <c r="T1630" s="18">
        <v>6.85</v>
      </c>
      <c r="U1630" s="16"/>
      <c r="V1630" s="16"/>
      <c r="W1630" s="16" t="s">
        <v>40</v>
      </c>
      <c r="X1630" s="19">
        <v>2E-3</v>
      </c>
      <c r="Y1630" s="20">
        <v>3.0000000000000001E-6</v>
      </c>
      <c r="Z1630" s="21">
        <v>4601004227767</v>
      </c>
    </row>
    <row r="1631" spans="1:26" ht="12" customHeight="1" outlineLevel="4" x14ac:dyDescent="0.2">
      <c r="A1631" s="14" t="s">
        <v>3211</v>
      </c>
      <c r="B1631" s="26" t="s">
        <v>3212</v>
      </c>
      <c r="C1631" s="52"/>
      <c r="D1631" s="55">
        <f t="shared" si="25"/>
        <v>0</v>
      </c>
      <c r="E1631" s="63" t="str">
        <f>HYPERLINK("https://www.sds-group.ru/product/ekspress-klemma-rexant-smk-2273-205-5-provodnaya-0-5-2-5-mm-prozrachnaya-100-sht-up-07-3214/", "Инфо")</f>
        <v>Инфо</v>
      </c>
      <c r="F1631" s="16" t="s">
        <v>39</v>
      </c>
      <c r="G1631" s="15"/>
      <c r="H1631" s="15"/>
      <c r="I1631" s="15"/>
      <c r="J1631" s="22">
        <v>19700</v>
      </c>
      <c r="K1631" s="15" t="s">
        <v>1650</v>
      </c>
      <c r="L1631" s="17">
        <v>100</v>
      </c>
      <c r="M1631" s="22">
        <v>5000</v>
      </c>
      <c r="N1631" s="17">
        <v>100</v>
      </c>
      <c r="O1631" s="18">
        <v>14.51</v>
      </c>
      <c r="P1631" s="18">
        <v>11.89</v>
      </c>
      <c r="Q1631" s="18">
        <v>12.33</v>
      </c>
      <c r="R1631" s="18">
        <v>10.11</v>
      </c>
      <c r="S1631" s="18">
        <v>9.8699999999999992</v>
      </c>
      <c r="T1631" s="18">
        <v>8.09</v>
      </c>
      <c r="U1631" s="16"/>
      <c r="V1631" s="16"/>
      <c r="W1631" s="16" t="s">
        <v>40</v>
      </c>
      <c r="X1631" s="19">
        <v>2E-3</v>
      </c>
      <c r="Y1631" s="20">
        <v>3.9999999999999998E-6</v>
      </c>
      <c r="Z1631" s="21">
        <v>4601004227774</v>
      </c>
    </row>
    <row r="1632" spans="1:26" ht="12" customHeight="1" outlineLevel="4" x14ac:dyDescent="0.2">
      <c r="A1632" s="32" t="s">
        <v>3213</v>
      </c>
      <c r="B1632" s="74" t="s">
        <v>3214</v>
      </c>
      <c r="C1632" s="50"/>
      <c r="D1632" s="53">
        <f t="shared" si="25"/>
        <v>0</v>
      </c>
      <c r="E1632" s="60" t="str">
        <f>HYPERLINK("https://www.sds-group.ru/product/ekspress-klemma-rexant-smk-2273-205-5-provodnaya-0-5-2-5-mm-prozrachnaya-blister-5-sht-up-07-3214-5/", "Инфо")</f>
        <v>Инфо</v>
      </c>
      <c r="F1632" s="34" t="s">
        <v>1001</v>
      </c>
      <c r="G1632" s="33"/>
      <c r="H1632" s="33" t="s">
        <v>40</v>
      </c>
      <c r="I1632" s="33"/>
      <c r="J1632" s="35">
        <v>51</v>
      </c>
      <c r="K1632" s="33"/>
      <c r="L1632" s="35">
        <v>1</v>
      </c>
      <c r="M1632" s="35">
        <v>60</v>
      </c>
      <c r="N1632" s="35">
        <v>1</v>
      </c>
      <c r="O1632" s="36">
        <v>64.8</v>
      </c>
      <c r="P1632" s="36">
        <v>53.11</v>
      </c>
      <c r="Q1632" s="36">
        <v>45.36</v>
      </c>
      <c r="R1632" s="36">
        <v>37.18</v>
      </c>
      <c r="S1632" s="36">
        <v>44.06</v>
      </c>
      <c r="T1632" s="36">
        <v>36.11</v>
      </c>
      <c r="U1632" s="34"/>
      <c r="V1632" s="34"/>
      <c r="W1632" s="34"/>
      <c r="X1632" s="37">
        <v>1.7000000000000001E-2</v>
      </c>
      <c r="Y1632" s="38">
        <v>1.47E-4</v>
      </c>
      <c r="Z1632" s="21">
        <v>4601004227552</v>
      </c>
    </row>
    <row r="1633" spans="1:26" ht="12" customHeight="1" outlineLevel="4" x14ac:dyDescent="0.2">
      <c r="A1633" s="14" t="s">
        <v>3215</v>
      </c>
      <c r="B1633" s="26" t="s">
        <v>3216</v>
      </c>
      <c r="C1633" s="52"/>
      <c r="D1633" s="55">
        <f t="shared" si="25"/>
        <v>0</v>
      </c>
      <c r="E1633" s="63" t="str">
        <f>HYPERLINK("https://www.sds-group.ru/product/ekspress-klemma-rexant-smk-2273-206-6-provodnaya-0-5-2-5-mm-prozrachnaya-100-sht-up-07-3209/", "Инфо")</f>
        <v>Инфо</v>
      </c>
      <c r="F1633" s="16" t="s">
        <v>39</v>
      </c>
      <c r="G1633" s="15"/>
      <c r="H1633" s="15"/>
      <c r="I1633" s="15"/>
      <c r="J1633" s="22">
        <v>2500</v>
      </c>
      <c r="K1633" s="15" t="s">
        <v>1665</v>
      </c>
      <c r="L1633" s="17">
        <v>100</v>
      </c>
      <c r="M1633" s="22">
        <v>3000</v>
      </c>
      <c r="N1633" s="17">
        <v>100</v>
      </c>
      <c r="O1633" s="18">
        <v>13.35</v>
      </c>
      <c r="P1633" s="18">
        <v>10.94</v>
      </c>
      <c r="Q1633" s="18">
        <v>11.35</v>
      </c>
      <c r="R1633" s="18">
        <v>9.3000000000000007</v>
      </c>
      <c r="S1633" s="18">
        <v>9.08</v>
      </c>
      <c r="T1633" s="18">
        <v>7.44</v>
      </c>
      <c r="U1633" s="16"/>
      <c r="V1633" s="16"/>
      <c r="W1633" s="16" t="s">
        <v>40</v>
      </c>
      <c r="X1633" s="19">
        <v>2E-3</v>
      </c>
      <c r="Y1633" s="20">
        <v>9.0000000000000002E-6</v>
      </c>
      <c r="Z1633" s="21">
        <v>4601004240209</v>
      </c>
    </row>
    <row r="1634" spans="1:26" ht="12" customHeight="1" outlineLevel="4" x14ac:dyDescent="0.2">
      <c r="A1634" s="14" t="s">
        <v>3217</v>
      </c>
      <c r="B1634" s="26" t="s">
        <v>3218</v>
      </c>
      <c r="C1634" s="52"/>
      <c r="D1634" s="55">
        <f t="shared" si="25"/>
        <v>0</v>
      </c>
      <c r="E1634" s="63" t="str">
        <f>HYPERLINK("https://www.sds-group.ru/product/ekspress-klemma-s-pastoy-rexant-smk-2273-242-2-provodnaya-0-5-2-5-mm-prozrachnaya-100-sht-up-07-3216/", "Инфо")</f>
        <v>Инфо</v>
      </c>
      <c r="F1634" s="16" t="s">
        <v>39</v>
      </c>
      <c r="G1634" s="15"/>
      <c r="H1634" s="15"/>
      <c r="I1634" s="15"/>
      <c r="J1634" s="16" t="s">
        <v>100</v>
      </c>
      <c r="K1634" s="15" t="s">
        <v>2798</v>
      </c>
      <c r="L1634" s="17">
        <v>100</v>
      </c>
      <c r="M1634" s="22">
        <v>10000</v>
      </c>
      <c r="N1634" s="17">
        <v>100</v>
      </c>
      <c r="O1634" s="18">
        <v>10.56</v>
      </c>
      <c r="P1634" s="18">
        <v>8.66</v>
      </c>
      <c r="Q1634" s="18">
        <v>8.98</v>
      </c>
      <c r="R1634" s="18">
        <v>7.36</v>
      </c>
      <c r="S1634" s="18">
        <v>7.18</v>
      </c>
      <c r="T1634" s="18">
        <v>5.89</v>
      </c>
      <c r="U1634" s="16"/>
      <c r="V1634" s="16"/>
      <c r="W1634" s="16" t="s">
        <v>40</v>
      </c>
      <c r="X1634" s="19">
        <v>1E-3</v>
      </c>
      <c r="Y1634" s="20">
        <v>6.9999999999999999E-6</v>
      </c>
      <c r="Z1634" s="21">
        <v>4601004227798</v>
      </c>
    </row>
    <row r="1635" spans="1:26" ht="12" customHeight="1" outlineLevel="4" x14ac:dyDescent="0.2">
      <c r="A1635" s="32" t="s">
        <v>3219</v>
      </c>
      <c r="B1635" s="74" t="s">
        <v>3220</v>
      </c>
      <c r="C1635" s="50"/>
      <c r="D1635" s="53">
        <f t="shared" si="25"/>
        <v>0</v>
      </c>
      <c r="E1635" s="60" t="str">
        <f>HYPERLINK("https://www.sds-group.ru/product/ekspress-klemma-s-pastoy-rexant-smk-2273-242-2-provodnaya-0-5-2-5-mm-prozrachnaya-blister--07-3216-5/", "Инфо")</f>
        <v>Инфо</v>
      </c>
      <c r="F1635" s="34" t="s">
        <v>1001</v>
      </c>
      <c r="G1635" s="33"/>
      <c r="H1635" s="33" t="s">
        <v>40</v>
      </c>
      <c r="I1635" s="33"/>
      <c r="J1635" s="35">
        <v>122</v>
      </c>
      <c r="K1635" s="33"/>
      <c r="L1635" s="35">
        <v>1</v>
      </c>
      <c r="M1635" s="35">
        <v>60</v>
      </c>
      <c r="N1635" s="35">
        <v>1</v>
      </c>
      <c r="O1635" s="36">
        <v>88.81</v>
      </c>
      <c r="P1635" s="36">
        <v>72.8</v>
      </c>
      <c r="Q1635" s="36">
        <v>75.489999999999995</v>
      </c>
      <c r="R1635" s="36">
        <v>61.88</v>
      </c>
      <c r="S1635" s="36">
        <v>60.39</v>
      </c>
      <c r="T1635" s="36">
        <v>49.5</v>
      </c>
      <c r="U1635" s="34"/>
      <c r="V1635" s="34"/>
      <c r="W1635" s="34" t="s">
        <v>40</v>
      </c>
      <c r="X1635" s="37">
        <v>1.2E-2</v>
      </c>
      <c r="Y1635" s="38">
        <v>1.45E-4</v>
      </c>
      <c r="Z1635" s="21">
        <v>4601004227569</v>
      </c>
    </row>
    <row r="1636" spans="1:26" ht="12" customHeight="1" outlineLevel="4" x14ac:dyDescent="0.2">
      <c r="A1636" s="14" t="s">
        <v>3221</v>
      </c>
      <c r="B1636" s="26" t="s">
        <v>3222</v>
      </c>
      <c r="C1636" s="52"/>
      <c r="D1636" s="55">
        <f t="shared" si="25"/>
        <v>0</v>
      </c>
      <c r="E1636" s="63" t="str">
        <f>HYPERLINK("https://www.sds-group.ru/product/ekspress-klemma-s-pastoy-rexant-smk-2273-243-3-provodnaya-0-5-2-5-mm-prozrachnaya-100-sht-up-07-3217/", "Инфо")</f>
        <v>Инфо</v>
      </c>
      <c r="F1636" s="16" t="s">
        <v>39</v>
      </c>
      <c r="G1636" s="15"/>
      <c r="H1636" s="15"/>
      <c r="I1636" s="15"/>
      <c r="J1636" s="16" t="s">
        <v>100</v>
      </c>
      <c r="K1636" s="15" t="s">
        <v>210</v>
      </c>
      <c r="L1636" s="17">
        <v>100</v>
      </c>
      <c r="M1636" s="22">
        <v>6000</v>
      </c>
      <c r="N1636" s="17">
        <v>100</v>
      </c>
      <c r="O1636" s="18">
        <v>12.52</v>
      </c>
      <c r="P1636" s="18">
        <v>10.26</v>
      </c>
      <c r="Q1636" s="18">
        <v>10.64</v>
      </c>
      <c r="R1636" s="18">
        <v>8.7200000000000006</v>
      </c>
      <c r="S1636" s="18">
        <v>8.51</v>
      </c>
      <c r="T1636" s="18">
        <v>6.98</v>
      </c>
      <c r="U1636" s="16"/>
      <c r="V1636" s="16"/>
      <c r="W1636" s="16" t="s">
        <v>40</v>
      </c>
      <c r="X1636" s="19">
        <v>2E-3</v>
      </c>
      <c r="Y1636" s="20">
        <v>6.0000000000000002E-6</v>
      </c>
      <c r="Z1636" s="21">
        <v>4601004227804</v>
      </c>
    </row>
    <row r="1637" spans="1:26" ht="12" customHeight="1" outlineLevel="4" x14ac:dyDescent="0.2">
      <c r="A1637" s="14" t="s">
        <v>3223</v>
      </c>
      <c r="B1637" s="26" t="s">
        <v>3224</v>
      </c>
      <c r="C1637" s="52"/>
      <c r="D1637" s="55">
        <f t="shared" si="25"/>
        <v>0</v>
      </c>
      <c r="E1637" s="63" t="str">
        <f>HYPERLINK("https://www.sds-group.ru/product/ekspress-klemma-s-pastoy-rexant-smk-2273-243-3-provodnaya-0-5-2-5-mm-prozrachnaya-blister--07-3217-5/", "Инфо")</f>
        <v>Инфо</v>
      </c>
      <c r="F1637" s="16" t="s">
        <v>1001</v>
      </c>
      <c r="G1637" s="15"/>
      <c r="H1637" s="15"/>
      <c r="I1637" s="15"/>
      <c r="J1637" s="16" t="s">
        <v>100</v>
      </c>
      <c r="K1637" s="15"/>
      <c r="L1637" s="17">
        <v>10</v>
      </c>
      <c r="M1637" s="17">
        <v>60</v>
      </c>
      <c r="N1637" s="17">
        <v>10</v>
      </c>
      <c r="O1637" s="18">
        <v>97.46</v>
      </c>
      <c r="P1637" s="18">
        <v>79.89</v>
      </c>
      <c r="Q1637" s="18">
        <v>82.84</v>
      </c>
      <c r="R1637" s="18">
        <v>67.900000000000006</v>
      </c>
      <c r="S1637" s="18">
        <v>66.27</v>
      </c>
      <c r="T1637" s="18">
        <v>54.32</v>
      </c>
      <c r="U1637" s="16"/>
      <c r="V1637" s="16"/>
      <c r="W1637" s="16" t="s">
        <v>40</v>
      </c>
      <c r="X1637" s="19">
        <v>1.2999999999999999E-2</v>
      </c>
      <c r="Y1637" s="20">
        <v>1.3999999999999999E-4</v>
      </c>
      <c r="Z1637" s="21">
        <v>4601004227576</v>
      </c>
    </row>
    <row r="1638" spans="1:26" ht="12" customHeight="1" outlineLevel="4" x14ac:dyDescent="0.2">
      <c r="A1638" s="14" t="s">
        <v>3225</v>
      </c>
      <c r="B1638" s="26" t="s">
        <v>3226</v>
      </c>
      <c r="C1638" s="52"/>
      <c r="D1638" s="55">
        <f t="shared" si="25"/>
        <v>0</v>
      </c>
      <c r="E1638" s="63" t="str">
        <f>HYPERLINK("https://www.sds-group.ru/product/ekspress-klemma-s-pastoy-rexant-smk-2273-244-4-provodnaya-0-5-2-5-mm-prozrachnaya-100-sht-up-07-3218/", "Инфо")</f>
        <v>Инфо</v>
      </c>
      <c r="F1638" s="16" t="s">
        <v>39</v>
      </c>
      <c r="G1638" s="15"/>
      <c r="H1638" s="15"/>
      <c r="I1638" s="15"/>
      <c r="J1638" s="16" t="s">
        <v>100</v>
      </c>
      <c r="K1638" s="15" t="s">
        <v>1665</v>
      </c>
      <c r="L1638" s="17">
        <v>100</v>
      </c>
      <c r="M1638" s="22">
        <v>5000</v>
      </c>
      <c r="N1638" s="17">
        <v>100</v>
      </c>
      <c r="O1638" s="18">
        <v>14.34</v>
      </c>
      <c r="P1638" s="18">
        <v>11.75</v>
      </c>
      <c r="Q1638" s="18">
        <v>12.19</v>
      </c>
      <c r="R1638" s="18">
        <v>9.99</v>
      </c>
      <c r="S1638" s="18">
        <v>9.75</v>
      </c>
      <c r="T1638" s="18">
        <v>7.99</v>
      </c>
      <c r="U1638" s="16"/>
      <c r="V1638" s="16"/>
      <c r="W1638" s="16" t="s">
        <v>40</v>
      </c>
      <c r="X1638" s="19">
        <v>2E-3</v>
      </c>
      <c r="Y1638" s="20">
        <v>9.0000000000000002E-6</v>
      </c>
      <c r="Z1638" s="21">
        <v>4601004227811</v>
      </c>
    </row>
    <row r="1639" spans="1:26" ht="12" customHeight="1" outlineLevel="4" x14ac:dyDescent="0.2">
      <c r="A1639" s="14" t="s">
        <v>3227</v>
      </c>
      <c r="B1639" s="26" t="s">
        <v>3228</v>
      </c>
      <c r="C1639" s="52"/>
      <c r="D1639" s="55">
        <f t="shared" si="25"/>
        <v>0</v>
      </c>
      <c r="E1639" s="63" t="str">
        <f>HYPERLINK("https://www.sds-group.ru/product/ekspress-klemma-s-pastoy-rexant-smk-2273-245-5-provodnaya-0-5-2-5-mm-prozrachnaya-100-sht-up-07-3219/", "Инфо")</f>
        <v>Инфо</v>
      </c>
      <c r="F1639" s="16" t="s">
        <v>39</v>
      </c>
      <c r="G1639" s="15"/>
      <c r="H1639" s="15"/>
      <c r="I1639" s="15"/>
      <c r="J1639" s="16" t="s">
        <v>100</v>
      </c>
      <c r="K1639" s="15" t="s">
        <v>1650</v>
      </c>
      <c r="L1639" s="17">
        <v>100</v>
      </c>
      <c r="M1639" s="22">
        <v>6000</v>
      </c>
      <c r="N1639" s="17">
        <v>100</v>
      </c>
      <c r="O1639" s="18">
        <v>15.27</v>
      </c>
      <c r="P1639" s="18">
        <v>12.52</v>
      </c>
      <c r="Q1639" s="18">
        <v>12.98</v>
      </c>
      <c r="R1639" s="18">
        <v>10.64</v>
      </c>
      <c r="S1639" s="18">
        <v>10.38</v>
      </c>
      <c r="T1639" s="18">
        <v>8.51</v>
      </c>
      <c r="U1639" s="16"/>
      <c r="V1639" s="16"/>
      <c r="W1639" s="16" t="s">
        <v>40</v>
      </c>
      <c r="X1639" s="19">
        <v>2E-3</v>
      </c>
      <c r="Y1639" s="20">
        <v>9.0000000000000002E-6</v>
      </c>
      <c r="Z1639" s="21">
        <v>4601004227828</v>
      </c>
    </row>
    <row r="1640" spans="1:26" ht="12" customHeight="1" outlineLevel="4" x14ac:dyDescent="0.2">
      <c r="A1640" s="14" t="s">
        <v>3229</v>
      </c>
      <c r="B1640" s="26" t="s">
        <v>3230</v>
      </c>
      <c r="C1640" s="52"/>
      <c r="D1640" s="55">
        <f t="shared" si="25"/>
        <v>0</v>
      </c>
      <c r="E1640" s="63" t="str">
        <f>HYPERLINK("https://www.sds-group.ru/product/ekspress-klemma-s-pastoy-rexant-smk-2273-246-6-provodnaya-0-5-2-5-mm-prozrachnaya-100-sht-up-07-3210/", "Инфо")</f>
        <v>Инфо</v>
      </c>
      <c r="F1640" s="16" t="s">
        <v>39</v>
      </c>
      <c r="G1640" s="15"/>
      <c r="H1640" s="15"/>
      <c r="I1640" s="15"/>
      <c r="J1640" s="22">
        <v>2900</v>
      </c>
      <c r="K1640" s="15" t="s">
        <v>1650</v>
      </c>
      <c r="L1640" s="17">
        <v>100</v>
      </c>
      <c r="M1640" s="22">
        <v>10000</v>
      </c>
      <c r="N1640" s="17">
        <v>100</v>
      </c>
      <c r="O1640" s="18">
        <v>20.92</v>
      </c>
      <c r="P1640" s="18">
        <v>17.149999999999999</v>
      </c>
      <c r="Q1640" s="18">
        <v>17.78</v>
      </c>
      <c r="R1640" s="18">
        <v>14.57</v>
      </c>
      <c r="S1640" s="18">
        <v>14.23</v>
      </c>
      <c r="T1640" s="18">
        <v>11.66</v>
      </c>
      <c r="U1640" s="16"/>
      <c r="V1640" s="16"/>
      <c r="W1640" s="16" t="s">
        <v>40</v>
      </c>
      <c r="X1640" s="19">
        <v>3.0000000000000001E-3</v>
      </c>
      <c r="Y1640" s="20">
        <v>7.9999999999999996E-6</v>
      </c>
      <c r="Z1640" s="21">
        <v>4601004240216</v>
      </c>
    </row>
    <row r="1641" spans="1:26" ht="12" customHeight="1" outlineLevel="4" x14ac:dyDescent="0.2">
      <c r="A1641" s="14" t="s">
        <v>3231</v>
      </c>
      <c r="B1641" s="26" t="s">
        <v>3232</v>
      </c>
      <c r="C1641" s="52"/>
      <c r="D1641" s="55">
        <f t="shared" si="25"/>
        <v>0</v>
      </c>
      <c r="E1641" s="63" t="str">
        <f>HYPERLINK("https://www.sds-group.ru/product/ekspress-klemma-s-pastoy-rexant-smk-2273-248-8-provodnaya-0-5-2-5-mm-prozrachnaya-50-sht-up-07-5230/", "Инфо")</f>
        <v>Инфо</v>
      </c>
      <c r="F1641" s="16" t="s">
        <v>39</v>
      </c>
      <c r="G1641" s="15"/>
      <c r="H1641" s="15"/>
      <c r="I1641" s="15"/>
      <c r="J1641" s="16" t="s">
        <v>100</v>
      </c>
      <c r="K1641" s="15"/>
      <c r="L1641" s="17">
        <v>50</v>
      </c>
      <c r="M1641" s="22">
        <v>2500</v>
      </c>
      <c r="N1641" s="17">
        <v>50</v>
      </c>
      <c r="O1641" s="18">
        <v>26.25</v>
      </c>
      <c r="P1641" s="18">
        <v>21.52</v>
      </c>
      <c r="Q1641" s="18">
        <v>22.31</v>
      </c>
      <c r="R1641" s="18">
        <v>18.29</v>
      </c>
      <c r="S1641" s="18">
        <v>17.850000000000001</v>
      </c>
      <c r="T1641" s="18">
        <v>14.63</v>
      </c>
      <c r="U1641" s="16"/>
      <c r="V1641" s="16"/>
      <c r="W1641" s="16" t="s">
        <v>40</v>
      </c>
      <c r="X1641" s="19">
        <v>3.0000000000000001E-3</v>
      </c>
      <c r="Y1641" s="20">
        <v>6.9999999999999999E-6</v>
      </c>
      <c r="Z1641" s="21">
        <v>4601004227835</v>
      </c>
    </row>
    <row r="1642" spans="1:26" ht="12" customHeight="1" outlineLevel="4" x14ac:dyDescent="0.2">
      <c r="A1642" s="32" t="s">
        <v>3233</v>
      </c>
      <c r="B1642" s="74" t="s">
        <v>3234</v>
      </c>
      <c r="C1642" s="50"/>
      <c r="D1642" s="53">
        <f t="shared" si="25"/>
        <v>0</v>
      </c>
      <c r="E1642" s="60" t="str">
        <f>HYPERLINK("https://www.sds-group.ru/product/ekspress-klemma-s-pastoy-rexant-smk-2273-248-8-provodnaya-0-5-2-5-mm-prozrachnaya-blister--07-5230-6/", "Инфо")</f>
        <v>Инфо</v>
      </c>
      <c r="F1642" s="34" t="s">
        <v>1001</v>
      </c>
      <c r="G1642" s="33"/>
      <c r="H1642" s="33" t="s">
        <v>40</v>
      </c>
      <c r="I1642" s="33"/>
      <c r="J1642" s="35">
        <v>54</v>
      </c>
      <c r="K1642" s="33"/>
      <c r="L1642" s="35">
        <v>1</v>
      </c>
      <c r="M1642" s="35">
        <v>60</v>
      </c>
      <c r="N1642" s="35">
        <v>1</v>
      </c>
      <c r="O1642" s="36">
        <v>198.77</v>
      </c>
      <c r="P1642" s="36">
        <v>162.93</v>
      </c>
      <c r="Q1642" s="36">
        <v>139.13999999999999</v>
      </c>
      <c r="R1642" s="36">
        <v>114.05</v>
      </c>
      <c r="S1642" s="36">
        <v>135.16</v>
      </c>
      <c r="T1642" s="36">
        <v>110.79</v>
      </c>
      <c r="U1642" s="34"/>
      <c r="V1642" s="34"/>
      <c r="W1642" s="34"/>
      <c r="X1642" s="37">
        <v>2.3E-2</v>
      </c>
      <c r="Y1642" s="38">
        <v>1.35E-4</v>
      </c>
      <c r="Z1642" s="21">
        <v>4601004227613</v>
      </c>
    </row>
    <row r="1643" spans="1:26" ht="12" customHeight="1" outlineLevel="4" x14ac:dyDescent="0.2">
      <c r="A1643" s="14" t="s">
        <v>3235</v>
      </c>
      <c r="B1643" s="26" t="s">
        <v>3236</v>
      </c>
      <c r="C1643" s="52"/>
      <c r="D1643" s="55">
        <f t="shared" si="25"/>
        <v>0</v>
      </c>
      <c r="E1643" s="63" t="str">
        <f>HYPERLINK("https://www.sds-group.ru/product/ekspress-klemma-s-pastoy-smk-773-302-2-provodnaya-do-2-5-mm-seraya-100-sht-up-rexant-07-3020/", "Инфо")</f>
        <v>Инфо</v>
      </c>
      <c r="F1643" s="16" t="s">
        <v>39</v>
      </c>
      <c r="G1643" s="15"/>
      <c r="H1643" s="15"/>
      <c r="I1643" s="15"/>
      <c r="J1643" s="22">
        <v>14900</v>
      </c>
      <c r="K1643" s="15" t="s">
        <v>3237</v>
      </c>
      <c r="L1643" s="17">
        <v>100</v>
      </c>
      <c r="M1643" s="22">
        <v>5000</v>
      </c>
      <c r="N1643" s="17">
        <v>100</v>
      </c>
      <c r="O1643" s="18">
        <v>10.34</v>
      </c>
      <c r="P1643" s="18">
        <v>8.48</v>
      </c>
      <c r="Q1643" s="18">
        <v>8.7899999999999991</v>
      </c>
      <c r="R1643" s="18">
        <v>7.2</v>
      </c>
      <c r="S1643" s="18">
        <v>7.03</v>
      </c>
      <c r="T1643" s="18">
        <v>5.76</v>
      </c>
      <c r="U1643" s="16"/>
      <c r="V1643" s="16"/>
      <c r="W1643" s="16" t="s">
        <v>40</v>
      </c>
      <c r="X1643" s="19">
        <v>2E-3</v>
      </c>
      <c r="Y1643" s="20">
        <v>3.9999999999999998E-6</v>
      </c>
      <c r="Z1643" s="21">
        <v>4601004006416</v>
      </c>
    </row>
    <row r="1644" spans="1:26" ht="12" customHeight="1" outlineLevel="4" x14ac:dyDescent="0.2">
      <c r="A1644" s="14" t="s">
        <v>3238</v>
      </c>
      <c r="B1644" s="26" t="s">
        <v>3239</v>
      </c>
      <c r="C1644" s="52"/>
      <c r="D1644" s="55">
        <f t="shared" si="25"/>
        <v>0</v>
      </c>
      <c r="E1644" s="63" t="str">
        <f>HYPERLINK("https://www.sds-group.ru/product/ekspress-klemma-s-pastoy-smk-773-304-4-provodnaya-do-2-5-mm-seraya-100-sht-up-rexant-07-3040/", "Инфо")</f>
        <v>Инфо</v>
      </c>
      <c r="F1644" s="16" t="s">
        <v>39</v>
      </c>
      <c r="G1644" s="15"/>
      <c r="H1644" s="15"/>
      <c r="I1644" s="15"/>
      <c r="J1644" s="22">
        <v>39700</v>
      </c>
      <c r="K1644" s="15" t="s">
        <v>2798</v>
      </c>
      <c r="L1644" s="17">
        <v>100</v>
      </c>
      <c r="M1644" s="22">
        <v>5000</v>
      </c>
      <c r="N1644" s="17">
        <v>100</v>
      </c>
      <c r="O1644" s="18">
        <v>13.39</v>
      </c>
      <c r="P1644" s="18">
        <v>10.98</v>
      </c>
      <c r="Q1644" s="18">
        <v>11.38</v>
      </c>
      <c r="R1644" s="18">
        <v>9.33</v>
      </c>
      <c r="S1644" s="18">
        <v>9.11</v>
      </c>
      <c r="T1644" s="18">
        <v>7.47</v>
      </c>
      <c r="U1644" s="16"/>
      <c r="V1644" s="16"/>
      <c r="W1644" s="16" t="s">
        <v>40</v>
      </c>
      <c r="X1644" s="19">
        <v>3.0000000000000001E-3</v>
      </c>
      <c r="Y1644" s="20">
        <v>6.0000000000000002E-6</v>
      </c>
      <c r="Z1644" s="21">
        <v>4601004006386</v>
      </c>
    </row>
    <row r="1645" spans="1:26" ht="12" customHeight="1" outlineLevel="4" x14ac:dyDescent="0.2">
      <c r="A1645" s="32" t="s">
        <v>3240</v>
      </c>
      <c r="B1645" s="74" t="s">
        <v>3241</v>
      </c>
      <c r="C1645" s="50"/>
      <c r="D1645" s="53">
        <f t="shared" si="25"/>
        <v>0</v>
      </c>
      <c r="E1645" s="60" t="str">
        <f>HYPERLINK("https://www.sds-group.ru/product/ekspress-klemma-s-pastoy-smk-773-306-6-provodnaya-do-2-5-mm-seraya-blister-5sht-rexant-06-0208-B5/", "Инфо")</f>
        <v>Инфо</v>
      </c>
      <c r="F1645" s="34" t="s">
        <v>1001</v>
      </c>
      <c r="G1645" s="33"/>
      <c r="H1645" s="33" t="s">
        <v>40</v>
      </c>
      <c r="I1645" s="33"/>
      <c r="J1645" s="35">
        <v>19</v>
      </c>
      <c r="K1645" s="33"/>
      <c r="L1645" s="35">
        <v>1</v>
      </c>
      <c r="M1645" s="35">
        <v>10</v>
      </c>
      <c r="N1645" s="35">
        <v>1</v>
      </c>
      <c r="O1645" s="36">
        <v>255.77</v>
      </c>
      <c r="P1645" s="36">
        <v>209.65</v>
      </c>
      <c r="Q1645" s="36">
        <v>179.04</v>
      </c>
      <c r="R1645" s="36">
        <v>146.75</v>
      </c>
      <c r="S1645" s="36">
        <v>173.92</v>
      </c>
      <c r="T1645" s="36">
        <v>142.56</v>
      </c>
      <c r="U1645" s="34"/>
      <c r="V1645" s="34"/>
      <c r="W1645" s="34"/>
      <c r="X1645" s="37">
        <v>2.8000000000000001E-2</v>
      </c>
      <c r="Y1645" s="38">
        <v>2.5799999999999998E-4</v>
      </c>
      <c r="Z1645" s="21">
        <v>4601004123052</v>
      </c>
    </row>
    <row r="1646" spans="1:26" ht="12" customHeight="1" outlineLevel="4" x14ac:dyDescent="0.2">
      <c r="A1646" s="14" t="s">
        <v>3242</v>
      </c>
      <c r="B1646" s="26" t="s">
        <v>3243</v>
      </c>
      <c r="C1646" s="52"/>
      <c r="D1646" s="55">
        <f t="shared" si="25"/>
        <v>0</v>
      </c>
      <c r="E1646" s="63" t="str">
        <f>HYPERLINK("https://www.sds-group.ru/product/ekspress-klemma-s-pastoy-smk-773-306-6-provodnaya-do-2-5-mm-seraya-50-sht-up-rexant-07-3060/", "Инфо")</f>
        <v>Инфо</v>
      </c>
      <c r="F1646" s="16" t="s">
        <v>39</v>
      </c>
      <c r="G1646" s="15"/>
      <c r="H1646" s="15"/>
      <c r="I1646" s="15"/>
      <c r="J1646" s="22">
        <v>8850</v>
      </c>
      <c r="K1646" s="15"/>
      <c r="L1646" s="17">
        <v>50</v>
      </c>
      <c r="M1646" s="22">
        <v>3000</v>
      </c>
      <c r="N1646" s="17">
        <v>50</v>
      </c>
      <c r="O1646" s="18">
        <v>19.07</v>
      </c>
      <c r="P1646" s="18">
        <v>15.63</v>
      </c>
      <c r="Q1646" s="18">
        <v>16.21</v>
      </c>
      <c r="R1646" s="18">
        <v>13.29</v>
      </c>
      <c r="S1646" s="18">
        <v>12.97</v>
      </c>
      <c r="T1646" s="18">
        <v>10.63</v>
      </c>
      <c r="U1646" s="16"/>
      <c r="V1646" s="16"/>
      <c r="W1646" s="16" t="s">
        <v>40</v>
      </c>
      <c r="X1646" s="19">
        <v>4.0000000000000001E-3</v>
      </c>
      <c r="Y1646" s="20">
        <v>1.1E-5</v>
      </c>
      <c r="Z1646" s="21">
        <v>4601004006409</v>
      </c>
    </row>
    <row r="1647" spans="1:26" ht="12" customHeight="1" outlineLevel="4" x14ac:dyDescent="0.2">
      <c r="A1647" s="32" t="s">
        <v>3244</v>
      </c>
      <c r="B1647" s="74" t="s">
        <v>3245</v>
      </c>
      <c r="C1647" s="50"/>
      <c r="D1647" s="53">
        <f t="shared" si="25"/>
        <v>0</v>
      </c>
      <c r="E1647" s="60" t="str">
        <f>HYPERLINK("https://www.sds-group.ru/product/ekspress-klemma-s-pastoy-smk-773-308-8-provodnaya-do-2-5-mm-seraya-blister-10sht-rexant-06-0209-B10/", "Инфо")</f>
        <v>Инфо</v>
      </c>
      <c r="F1647" s="34" t="s">
        <v>1001</v>
      </c>
      <c r="G1647" s="33"/>
      <c r="H1647" s="33" t="s">
        <v>40</v>
      </c>
      <c r="I1647" s="33"/>
      <c r="J1647" s="35">
        <v>139</v>
      </c>
      <c r="K1647" s="33"/>
      <c r="L1647" s="35">
        <v>1</v>
      </c>
      <c r="M1647" s="35">
        <v>10</v>
      </c>
      <c r="N1647" s="35">
        <v>1</v>
      </c>
      <c r="O1647" s="36">
        <v>212.71</v>
      </c>
      <c r="P1647" s="36">
        <v>174.35</v>
      </c>
      <c r="Q1647" s="36">
        <v>148.9</v>
      </c>
      <c r="R1647" s="36">
        <v>122.05</v>
      </c>
      <c r="S1647" s="36">
        <v>144.63999999999999</v>
      </c>
      <c r="T1647" s="36">
        <v>118.56</v>
      </c>
      <c r="U1647" s="34"/>
      <c r="V1647" s="34"/>
      <c r="W1647" s="34"/>
      <c r="X1647" s="37">
        <v>0.06</v>
      </c>
      <c r="Y1647" s="38">
        <v>2.5999999999999998E-4</v>
      </c>
      <c r="Z1647" s="21">
        <v>4601004123212</v>
      </c>
    </row>
    <row r="1648" spans="1:26" ht="12" customHeight="1" outlineLevel="4" x14ac:dyDescent="0.2">
      <c r="A1648" s="32" t="s">
        <v>3246</v>
      </c>
      <c r="B1648" s="74" t="s">
        <v>3247</v>
      </c>
      <c r="C1648" s="50"/>
      <c r="D1648" s="53">
        <f t="shared" si="25"/>
        <v>0</v>
      </c>
      <c r="E1648" s="60" t="str">
        <f>HYPERLINK("https://www.sds-group.ru/product/ekspress-klemma-s-pastoy-smk-773-308-8-provodnaya-do-2-5-mm-seraya-50-sht-up-rexant-07-3080/", "Инфо")</f>
        <v>Инфо</v>
      </c>
      <c r="F1648" s="34" t="s">
        <v>39</v>
      </c>
      <c r="G1648" s="33"/>
      <c r="H1648" s="33" t="s">
        <v>40</v>
      </c>
      <c r="I1648" s="33"/>
      <c r="J1648" s="39">
        <v>1850</v>
      </c>
      <c r="K1648" s="33"/>
      <c r="L1648" s="35">
        <v>50</v>
      </c>
      <c r="M1648" s="39">
        <v>3000</v>
      </c>
      <c r="N1648" s="35">
        <v>50</v>
      </c>
      <c r="O1648" s="36">
        <v>18.32</v>
      </c>
      <c r="P1648" s="36">
        <v>15.02</v>
      </c>
      <c r="Q1648" s="36">
        <v>12.82</v>
      </c>
      <c r="R1648" s="36">
        <v>10.51</v>
      </c>
      <c r="S1648" s="36">
        <v>12.46</v>
      </c>
      <c r="T1648" s="36">
        <v>10.210000000000001</v>
      </c>
      <c r="U1648" s="34"/>
      <c r="V1648" s="34"/>
      <c r="W1648" s="34"/>
      <c r="X1648" s="37">
        <v>6.0000000000000001E-3</v>
      </c>
      <c r="Y1648" s="38">
        <v>2.0000000000000002E-5</v>
      </c>
      <c r="Z1648" s="21">
        <v>4601004046313</v>
      </c>
    </row>
    <row r="1649" spans="1:26" ht="12" customHeight="1" outlineLevel="4" x14ac:dyDescent="0.2">
      <c r="A1649" s="14" t="s">
        <v>3248</v>
      </c>
      <c r="B1649" s="26" t="s">
        <v>3249</v>
      </c>
      <c r="C1649" s="52"/>
      <c r="D1649" s="55">
        <f t="shared" si="25"/>
        <v>0</v>
      </c>
      <c r="E1649" s="63" t="str">
        <f>HYPERLINK("https://www.sds-group.ru/product/ekspress-klemma-smk-2273-202r-prohodnaya-razemnaya-2-polyusa-0-5-2-5mm-50-sht-up-rexant-07-5241/", "Инфо")</f>
        <v>Инфо</v>
      </c>
      <c r="F1649" s="16" t="s">
        <v>39</v>
      </c>
      <c r="G1649" s="15"/>
      <c r="H1649" s="15"/>
      <c r="I1649" s="15"/>
      <c r="J1649" s="16" t="s">
        <v>100</v>
      </c>
      <c r="K1649" s="15" t="s">
        <v>1665</v>
      </c>
      <c r="L1649" s="17">
        <v>50</v>
      </c>
      <c r="M1649" s="22">
        <v>2500</v>
      </c>
      <c r="N1649" s="17">
        <v>50</v>
      </c>
      <c r="O1649" s="18">
        <v>59.52</v>
      </c>
      <c r="P1649" s="18">
        <v>48.79</v>
      </c>
      <c r="Q1649" s="18">
        <v>50.59</v>
      </c>
      <c r="R1649" s="18">
        <v>41.47</v>
      </c>
      <c r="S1649" s="18">
        <v>40.47</v>
      </c>
      <c r="T1649" s="18">
        <v>33.17</v>
      </c>
      <c r="U1649" s="16"/>
      <c r="V1649" s="16"/>
      <c r="W1649" s="16" t="s">
        <v>40</v>
      </c>
      <c r="X1649" s="19">
        <v>5.0000000000000001E-3</v>
      </c>
      <c r="Y1649" s="20">
        <v>1.1E-5</v>
      </c>
      <c r="Z1649" s="21">
        <v>4601004278882</v>
      </c>
    </row>
    <row r="1650" spans="1:26" ht="12" customHeight="1" outlineLevel="4" x14ac:dyDescent="0.2">
      <c r="A1650" s="14" t="s">
        <v>3250</v>
      </c>
      <c r="B1650" s="26" t="s">
        <v>3251</v>
      </c>
      <c r="C1650" s="52"/>
      <c r="D1650" s="55">
        <f t="shared" si="25"/>
        <v>0</v>
      </c>
      <c r="E1650" s="63" t="str">
        <f>HYPERLINK("https://www.sds-group.ru/product/ekspress-klemma-smk-2273-203r-prohodnaya-razemnaya-3-polyusa-0-5-2-5mm-50-sht-up-rexant-07-5242/", "Инфо")</f>
        <v>Инфо</v>
      </c>
      <c r="F1650" s="16" t="s">
        <v>39</v>
      </c>
      <c r="G1650" s="15"/>
      <c r="H1650" s="15"/>
      <c r="I1650" s="15"/>
      <c r="J1650" s="16" t="s">
        <v>100</v>
      </c>
      <c r="K1650" s="15" t="s">
        <v>1665</v>
      </c>
      <c r="L1650" s="17">
        <v>50</v>
      </c>
      <c r="M1650" s="22">
        <v>2500</v>
      </c>
      <c r="N1650" s="17">
        <v>50</v>
      </c>
      <c r="O1650" s="18">
        <v>129.93</v>
      </c>
      <c r="P1650" s="18">
        <v>106.5</v>
      </c>
      <c r="Q1650" s="18">
        <v>110.44</v>
      </c>
      <c r="R1650" s="18">
        <v>90.52</v>
      </c>
      <c r="S1650" s="18">
        <v>88.35</v>
      </c>
      <c r="T1650" s="18">
        <v>72.42</v>
      </c>
      <c r="U1650" s="16"/>
      <c r="V1650" s="16"/>
      <c r="W1650" s="16" t="s">
        <v>40</v>
      </c>
      <c r="X1650" s="19">
        <v>6.0000000000000001E-3</v>
      </c>
      <c r="Y1650" s="20">
        <v>2.0000000000000002E-5</v>
      </c>
      <c r="Z1650" s="21">
        <v>4601004278868</v>
      </c>
    </row>
    <row r="1651" spans="1:26" ht="12" customHeight="1" outlineLevel="4" x14ac:dyDescent="0.2">
      <c r="A1651" s="14" t="s">
        <v>3252</v>
      </c>
      <c r="B1651" s="26" t="s">
        <v>3253</v>
      </c>
      <c r="C1651" s="52"/>
      <c r="D1651" s="55">
        <f t="shared" si="25"/>
        <v>0</v>
      </c>
      <c r="E1651" s="63" t="str">
        <f>HYPERLINK("https://www.sds-group.ru/product/ekspress-klemma-smk-2273-203r-prohodnaya-razemnaya-3-polyusa-0-5-2-5mm-blister-5-sht-up-re-07-5242-5/", "Инфо")</f>
        <v>Инфо</v>
      </c>
      <c r="F1651" s="16" t="s">
        <v>1001</v>
      </c>
      <c r="G1651" s="15"/>
      <c r="H1651" s="15"/>
      <c r="I1651" s="15"/>
      <c r="J1651" s="17">
        <v>31</v>
      </c>
      <c r="K1651" s="15"/>
      <c r="L1651" s="17">
        <v>5</v>
      </c>
      <c r="M1651" s="17">
        <v>10</v>
      </c>
      <c r="N1651" s="17">
        <v>5</v>
      </c>
      <c r="O1651" s="18">
        <v>602.66999999999996</v>
      </c>
      <c r="P1651" s="18">
        <v>493.99</v>
      </c>
      <c r="Q1651" s="18">
        <v>482.14</v>
      </c>
      <c r="R1651" s="18">
        <v>395.2</v>
      </c>
      <c r="S1651" s="18">
        <v>409.82</v>
      </c>
      <c r="T1651" s="18">
        <v>335.92</v>
      </c>
      <c r="U1651" s="16"/>
      <c r="V1651" s="16"/>
      <c r="W1651" s="16" t="s">
        <v>40</v>
      </c>
      <c r="X1651" s="19">
        <v>3.5000000000000003E-2</v>
      </c>
      <c r="Y1651" s="20">
        <v>1.4899999999999999E-4</v>
      </c>
      <c r="Z1651" s="21">
        <v>4601004327801</v>
      </c>
    </row>
    <row r="1652" spans="1:26" ht="12" customHeight="1" outlineLevel="4" x14ac:dyDescent="0.2">
      <c r="A1652" s="14" t="s">
        <v>3254</v>
      </c>
      <c r="B1652" s="26" t="s">
        <v>3255</v>
      </c>
      <c r="C1652" s="52"/>
      <c r="D1652" s="55">
        <f t="shared" si="25"/>
        <v>0</v>
      </c>
      <c r="E1652" s="63" t="str">
        <f>HYPERLINK("https://www.sds-group.ru/product/ekspress-klemma-smk-2273-208-8-provodnaya-0-5-2-5-mm-prozrachnaya-50-sht-up-rexant-07-3215/", "Инфо")</f>
        <v>Инфо</v>
      </c>
      <c r="F1652" s="16" t="s">
        <v>39</v>
      </c>
      <c r="G1652" s="15"/>
      <c r="H1652" s="15"/>
      <c r="I1652" s="15"/>
      <c r="J1652" s="16" t="s">
        <v>100</v>
      </c>
      <c r="K1652" s="15"/>
      <c r="L1652" s="17">
        <v>50</v>
      </c>
      <c r="M1652" s="22">
        <v>2500</v>
      </c>
      <c r="N1652" s="17">
        <v>50</v>
      </c>
      <c r="O1652" s="18">
        <v>20.350000000000001</v>
      </c>
      <c r="P1652" s="18">
        <v>16.68</v>
      </c>
      <c r="Q1652" s="18">
        <v>17.3</v>
      </c>
      <c r="R1652" s="18">
        <v>14.18</v>
      </c>
      <c r="S1652" s="18">
        <v>13.84</v>
      </c>
      <c r="T1652" s="18">
        <v>11.34</v>
      </c>
      <c r="U1652" s="16"/>
      <c r="V1652" s="16"/>
      <c r="W1652" s="16" t="s">
        <v>40</v>
      </c>
      <c r="X1652" s="19">
        <v>3.0000000000000001E-3</v>
      </c>
      <c r="Y1652" s="20">
        <v>6.9999999999999999E-6</v>
      </c>
      <c r="Z1652" s="21">
        <v>4601004227781</v>
      </c>
    </row>
    <row r="1653" spans="1:26" ht="12" customHeight="1" outlineLevel="4" x14ac:dyDescent="0.2">
      <c r="A1653" s="32" t="s">
        <v>3256</v>
      </c>
      <c r="B1653" s="74" t="s">
        <v>3257</v>
      </c>
      <c r="C1653" s="50"/>
      <c r="D1653" s="53">
        <f t="shared" si="25"/>
        <v>0</v>
      </c>
      <c r="E1653" s="60" t="str">
        <f>HYPERLINK("https://www.sds-group.ru/product/ekspress-klemma-smk-2273-2x2r-prohodnaya-razemnaya-2-polyusa-2h2-provodnaya-0-5-2-5mm-50-sht-07-5243/", "Инфо")</f>
        <v>Инфо</v>
      </c>
      <c r="F1653" s="34" t="s">
        <v>39</v>
      </c>
      <c r="G1653" s="33"/>
      <c r="H1653" s="33" t="s">
        <v>40</v>
      </c>
      <c r="I1653" s="33"/>
      <c r="J1653" s="39">
        <v>1500</v>
      </c>
      <c r="K1653" s="33"/>
      <c r="L1653" s="35">
        <v>50</v>
      </c>
      <c r="M1653" s="39">
        <v>2500</v>
      </c>
      <c r="N1653" s="35">
        <v>50</v>
      </c>
      <c r="O1653" s="36">
        <v>88.39</v>
      </c>
      <c r="P1653" s="36">
        <v>72.45</v>
      </c>
      <c r="Q1653" s="36">
        <v>75.13</v>
      </c>
      <c r="R1653" s="36">
        <v>61.58</v>
      </c>
      <c r="S1653" s="36">
        <v>60.11</v>
      </c>
      <c r="T1653" s="36">
        <v>49.27</v>
      </c>
      <c r="U1653" s="34"/>
      <c r="V1653" s="34"/>
      <c r="W1653" s="34" t="s">
        <v>40</v>
      </c>
      <c r="X1653" s="37">
        <v>7.0000000000000001E-3</v>
      </c>
      <c r="Y1653" s="38">
        <v>1.8E-5</v>
      </c>
      <c r="Z1653" s="21">
        <v>4601004278851</v>
      </c>
    </row>
    <row r="1654" spans="1:26" ht="12" customHeight="1" outlineLevel="4" x14ac:dyDescent="0.2">
      <c r="A1654" s="32" t="s">
        <v>3258</v>
      </c>
      <c r="B1654" s="74" t="s">
        <v>3259</v>
      </c>
      <c r="C1654" s="50"/>
      <c r="D1654" s="53">
        <f t="shared" si="25"/>
        <v>0</v>
      </c>
      <c r="E1654" s="60" t="str">
        <f>HYPERLINK("https://www.sds-group.ru/product/ekspress-klemma-smk-2273-2x2r-prohodnaya-razemnaya-2-polyusa-2h2-provodnaya-0-5-2-5mm-blis-07-5243-5/", "Инфо")</f>
        <v>Инфо</v>
      </c>
      <c r="F1654" s="34" t="s">
        <v>1001</v>
      </c>
      <c r="G1654" s="33"/>
      <c r="H1654" s="33" t="s">
        <v>40</v>
      </c>
      <c r="I1654" s="33"/>
      <c r="J1654" s="35">
        <v>89</v>
      </c>
      <c r="K1654" s="33"/>
      <c r="L1654" s="35">
        <v>5</v>
      </c>
      <c r="M1654" s="35">
        <v>10</v>
      </c>
      <c r="N1654" s="35">
        <v>5</v>
      </c>
      <c r="O1654" s="36">
        <v>478.01</v>
      </c>
      <c r="P1654" s="36">
        <v>391.81</v>
      </c>
      <c r="Q1654" s="36">
        <v>382.41</v>
      </c>
      <c r="R1654" s="36">
        <v>313.45</v>
      </c>
      <c r="S1654" s="36">
        <v>325.05</v>
      </c>
      <c r="T1654" s="36">
        <v>266.43</v>
      </c>
      <c r="U1654" s="34"/>
      <c r="V1654" s="34"/>
      <c r="W1654" s="34" t="s">
        <v>40</v>
      </c>
      <c r="X1654" s="37">
        <v>4.2999999999999997E-2</v>
      </c>
      <c r="Y1654" s="38">
        <v>2.3900000000000001E-4</v>
      </c>
      <c r="Z1654" s="21">
        <v>4601004327825</v>
      </c>
    </row>
    <row r="1655" spans="1:26" ht="12" customHeight="1" outlineLevel="4" x14ac:dyDescent="0.2">
      <c r="A1655" s="32" t="s">
        <v>3260</v>
      </c>
      <c r="B1655" s="74" t="s">
        <v>3261</v>
      </c>
      <c r="C1655" s="50"/>
      <c r="D1655" s="53">
        <f t="shared" si="25"/>
        <v>0</v>
      </c>
      <c r="E1655" s="60" t="str">
        <f>HYPERLINK("https://www.sds-group.ru/product/ekspress-klemma-smk-2273-2x3r-prohodnaya-razemnaya-3-polyusa-3h2-provodnaya-0-5-2-5mm-50-sht-07-5244/", "Инфо")</f>
        <v>Инфо</v>
      </c>
      <c r="F1655" s="34" t="s">
        <v>39</v>
      </c>
      <c r="G1655" s="33"/>
      <c r="H1655" s="33" t="s">
        <v>40</v>
      </c>
      <c r="I1655" s="33"/>
      <c r="J1655" s="35">
        <v>200</v>
      </c>
      <c r="K1655" s="33"/>
      <c r="L1655" s="35">
        <v>50</v>
      </c>
      <c r="M1655" s="39">
        <v>2500</v>
      </c>
      <c r="N1655" s="35">
        <v>50</v>
      </c>
      <c r="O1655" s="36">
        <v>162.19999999999999</v>
      </c>
      <c r="P1655" s="36">
        <v>132.94999999999999</v>
      </c>
      <c r="Q1655" s="36">
        <v>137.87</v>
      </c>
      <c r="R1655" s="36">
        <v>113.01</v>
      </c>
      <c r="S1655" s="36">
        <v>110.3</v>
      </c>
      <c r="T1655" s="36">
        <v>90.41</v>
      </c>
      <c r="U1655" s="34"/>
      <c r="V1655" s="34"/>
      <c r="W1655" s="34" t="s">
        <v>40</v>
      </c>
      <c r="X1655" s="37">
        <v>0.01</v>
      </c>
      <c r="Y1655" s="38">
        <v>2.5999999999999998E-5</v>
      </c>
      <c r="Z1655" s="21">
        <v>4601004278806</v>
      </c>
    </row>
    <row r="1656" spans="1:26" ht="12" customHeight="1" outlineLevel="4" x14ac:dyDescent="0.2">
      <c r="A1656" s="14" t="s">
        <v>3262</v>
      </c>
      <c r="B1656" s="26" t="s">
        <v>3263</v>
      </c>
      <c r="C1656" s="52"/>
      <c r="D1656" s="55">
        <f t="shared" si="25"/>
        <v>0</v>
      </c>
      <c r="E1656" s="63" t="str">
        <f>HYPERLINK("https://www.sds-group.ru/product/ekspress-klemma-smk-773-174-s-pastoy-4-provodnaya-0-75-6-mm-50-sht-up-rexant-07-5279/", "Инфо")</f>
        <v>Инфо</v>
      </c>
      <c r="F1656" s="16" t="s">
        <v>39</v>
      </c>
      <c r="G1656" s="15"/>
      <c r="H1656" s="15"/>
      <c r="I1656" s="15"/>
      <c r="J1656" s="22">
        <v>2300</v>
      </c>
      <c r="K1656" s="15"/>
      <c r="L1656" s="17">
        <v>50</v>
      </c>
      <c r="M1656" s="22">
        <v>2500</v>
      </c>
      <c r="N1656" s="17">
        <v>50</v>
      </c>
      <c r="O1656" s="18">
        <v>40.520000000000003</v>
      </c>
      <c r="P1656" s="18">
        <v>33.21</v>
      </c>
      <c r="Q1656" s="18">
        <v>34.44</v>
      </c>
      <c r="R1656" s="18">
        <v>28.23</v>
      </c>
      <c r="S1656" s="18">
        <v>27.55</v>
      </c>
      <c r="T1656" s="18">
        <v>22.58</v>
      </c>
      <c r="U1656" s="16"/>
      <c r="V1656" s="16"/>
      <c r="W1656" s="16" t="s">
        <v>40</v>
      </c>
      <c r="X1656" s="19">
        <v>8.9999999999999993E-3</v>
      </c>
      <c r="Y1656" s="20">
        <v>1.9000000000000001E-5</v>
      </c>
      <c r="Z1656" s="21">
        <v>4601004280724</v>
      </c>
    </row>
    <row r="1657" spans="1:26" ht="12" customHeight="1" outlineLevel="4" x14ac:dyDescent="0.2">
      <c r="A1657" s="32" t="s">
        <v>3264</v>
      </c>
      <c r="B1657" s="74" t="s">
        <v>3265</v>
      </c>
      <c r="C1657" s="50"/>
      <c r="D1657" s="53">
        <f t="shared" si="25"/>
        <v>0</v>
      </c>
      <c r="E1657" s="60" t="str">
        <f>HYPERLINK("https://www.sds-group.ru/product/ekspress-klemma-smk-773-602-s-pastoy-2-provodnaya-0-75-4-mm-50-sht-up-rexant-07-5274/", "Инфо")</f>
        <v>Инфо</v>
      </c>
      <c r="F1657" s="34" t="s">
        <v>39</v>
      </c>
      <c r="G1657" s="33"/>
      <c r="H1657" s="33" t="s">
        <v>40</v>
      </c>
      <c r="I1657" s="33"/>
      <c r="J1657" s="39">
        <v>4900</v>
      </c>
      <c r="K1657" s="33"/>
      <c r="L1657" s="35">
        <v>50</v>
      </c>
      <c r="M1657" s="39">
        <v>5000</v>
      </c>
      <c r="N1657" s="35">
        <v>50</v>
      </c>
      <c r="O1657" s="36">
        <v>16.46</v>
      </c>
      <c r="P1657" s="36">
        <v>13.49</v>
      </c>
      <c r="Q1657" s="36">
        <v>11.52</v>
      </c>
      <c r="R1657" s="36">
        <v>9.44</v>
      </c>
      <c r="S1657" s="36">
        <v>11.19</v>
      </c>
      <c r="T1657" s="36">
        <v>9.17</v>
      </c>
      <c r="U1657" s="34"/>
      <c r="V1657" s="34"/>
      <c r="W1657" s="34"/>
      <c r="X1657" s="37">
        <v>2E-3</v>
      </c>
      <c r="Y1657" s="38">
        <v>5.0000000000000004E-6</v>
      </c>
      <c r="Z1657" s="21">
        <v>4601004280755</v>
      </c>
    </row>
    <row r="1658" spans="1:26" ht="12" customHeight="1" outlineLevel="4" x14ac:dyDescent="0.2">
      <c r="A1658" s="14" t="s">
        <v>3266</v>
      </c>
      <c r="B1658" s="26" t="s">
        <v>3267</v>
      </c>
      <c r="C1658" s="52"/>
      <c r="D1658" s="55">
        <f t="shared" si="25"/>
        <v>0</v>
      </c>
      <c r="E1658" s="63" t="str">
        <f>HYPERLINK("https://www.sds-group.ru/product/ekspress-klemma-smk-773-604-s-pastoy-4-provodnaya-0-75-4-mm-50-sht-up-rexant-07-5275/", "Инфо")</f>
        <v>Инфо</v>
      </c>
      <c r="F1658" s="16" t="s">
        <v>39</v>
      </c>
      <c r="G1658" s="15"/>
      <c r="H1658" s="15"/>
      <c r="I1658" s="15"/>
      <c r="J1658" s="16" t="s">
        <v>100</v>
      </c>
      <c r="K1658" s="15" t="s">
        <v>1650</v>
      </c>
      <c r="L1658" s="17">
        <v>50</v>
      </c>
      <c r="M1658" s="22">
        <v>2500</v>
      </c>
      <c r="N1658" s="17">
        <v>50</v>
      </c>
      <c r="O1658" s="18">
        <v>22.32</v>
      </c>
      <c r="P1658" s="18">
        <v>18.3</v>
      </c>
      <c r="Q1658" s="18">
        <v>18.97</v>
      </c>
      <c r="R1658" s="18">
        <v>15.55</v>
      </c>
      <c r="S1658" s="18">
        <v>15.18</v>
      </c>
      <c r="T1658" s="18">
        <v>12.44</v>
      </c>
      <c r="U1658" s="16"/>
      <c r="V1658" s="16"/>
      <c r="W1658" s="16" t="s">
        <v>40</v>
      </c>
      <c r="X1658" s="19">
        <v>3.0000000000000001E-3</v>
      </c>
      <c r="Y1658" s="20">
        <v>6.0000000000000002E-6</v>
      </c>
      <c r="Z1658" s="21">
        <v>4601004280670</v>
      </c>
    </row>
    <row r="1659" spans="1:26" ht="12" customHeight="1" outlineLevel="4" x14ac:dyDescent="0.2">
      <c r="A1659" s="14" t="s">
        <v>3268</v>
      </c>
      <c r="B1659" s="26" t="s">
        <v>3269</v>
      </c>
      <c r="C1659" s="52"/>
      <c r="D1659" s="55">
        <f t="shared" si="25"/>
        <v>0</v>
      </c>
      <c r="E1659" s="63" t="str">
        <f>HYPERLINK("https://www.sds-group.ru/product/ekspress-klemma-smk-773-606-s-pastoy-6-provodnaya-0-75-4-mm-50-sht-up-rexant-07-5276/", "Инфо")</f>
        <v>Инфо</v>
      </c>
      <c r="F1659" s="16" t="s">
        <v>39</v>
      </c>
      <c r="G1659" s="15"/>
      <c r="H1659" s="15"/>
      <c r="I1659" s="15"/>
      <c r="J1659" s="16" t="s">
        <v>100</v>
      </c>
      <c r="K1659" s="15" t="s">
        <v>2798</v>
      </c>
      <c r="L1659" s="17">
        <v>50</v>
      </c>
      <c r="M1659" s="22">
        <v>2500</v>
      </c>
      <c r="N1659" s="17">
        <v>50</v>
      </c>
      <c r="O1659" s="18">
        <v>33.53</v>
      </c>
      <c r="P1659" s="18">
        <v>27.48</v>
      </c>
      <c r="Q1659" s="18">
        <v>28.5</v>
      </c>
      <c r="R1659" s="18">
        <v>23.36</v>
      </c>
      <c r="S1659" s="18">
        <v>22.8</v>
      </c>
      <c r="T1659" s="18">
        <v>18.690000000000001</v>
      </c>
      <c r="U1659" s="16"/>
      <c r="V1659" s="16"/>
      <c r="W1659" s="16" t="s">
        <v>40</v>
      </c>
      <c r="X1659" s="19">
        <v>4.0000000000000001E-3</v>
      </c>
      <c r="Y1659" s="20">
        <v>7.9999999999999996E-6</v>
      </c>
      <c r="Z1659" s="21">
        <v>4601004280700</v>
      </c>
    </row>
    <row r="1660" spans="1:26" ht="12.95" customHeight="1" outlineLevel="3" x14ac:dyDescent="0.2">
      <c r="A1660" s="76" t="s">
        <v>3270</v>
      </c>
      <c r="B1660" s="76"/>
      <c r="C1660" s="77"/>
      <c r="D1660" s="58"/>
      <c r="E1660" s="68"/>
      <c r="F1660" s="13"/>
      <c r="G1660" s="13"/>
      <c r="H1660" s="13"/>
      <c r="I1660" s="13"/>
      <c r="J1660" s="13"/>
      <c r="K1660" s="13"/>
      <c r="L1660" s="13"/>
      <c r="M1660" s="13"/>
      <c r="N1660" s="13"/>
      <c r="O1660" s="13"/>
      <c r="P1660" s="13"/>
      <c r="Q1660" s="13"/>
      <c r="R1660" s="13"/>
      <c r="S1660" s="13"/>
      <c r="T1660" s="13"/>
      <c r="U1660" s="13"/>
      <c r="V1660" s="13"/>
      <c r="W1660" s="13"/>
      <c r="X1660" s="13"/>
      <c r="Y1660" s="13"/>
      <c r="Z1660" s="13"/>
    </row>
    <row r="1661" spans="1:26" ht="12" customHeight="1" outlineLevel="4" x14ac:dyDescent="0.2">
      <c r="A1661" s="14" t="s">
        <v>3271</v>
      </c>
      <c r="B1661" s="26" t="s">
        <v>3272</v>
      </c>
      <c r="C1661" s="52"/>
      <c r="D1661" s="55">
        <f t="shared" si="25"/>
        <v>0</v>
      </c>
      <c r="E1661" s="63" t="str">
        <f>HYPERLINK("https://www.sds-group.ru/product/klemma-smk-222-221d-222-2411-analog-222-4111d-prohodnaya-1-polyusnaya-na-din-reyku-0-2-2-5-m-07-5289/", "Инфо")</f>
        <v>Инфо</v>
      </c>
      <c r="F1661" s="16" t="s">
        <v>39</v>
      </c>
      <c r="G1661" s="15"/>
      <c r="H1661" s="15"/>
      <c r="I1661" s="15"/>
      <c r="J1661" s="22">
        <v>2220</v>
      </c>
      <c r="K1661" s="15"/>
      <c r="L1661" s="17">
        <v>60</v>
      </c>
      <c r="M1661" s="22">
        <v>2500</v>
      </c>
      <c r="N1661" s="17">
        <v>60</v>
      </c>
      <c r="O1661" s="18">
        <v>52.44</v>
      </c>
      <c r="P1661" s="18">
        <v>42.98</v>
      </c>
      <c r="Q1661" s="18">
        <v>44.57</v>
      </c>
      <c r="R1661" s="18">
        <v>36.53</v>
      </c>
      <c r="S1661" s="18">
        <v>35.659999999999997</v>
      </c>
      <c r="T1661" s="18">
        <v>29.23</v>
      </c>
      <c r="U1661" s="16"/>
      <c r="V1661" s="16"/>
      <c r="W1661" s="16" t="s">
        <v>40</v>
      </c>
      <c r="X1661" s="19">
        <v>7.0000000000000001E-3</v>
      </c>
      <c r="Y1661" s="20">
        <v>1.5999999999999999E-5</v>
      </c>
      <c r="Z1661" s="21">
        <v>4601004308244</v>
      </c>
    </row>
    <row r="1662" spans="1:26" ht="12" customHeight="1" outlineLevel="4" x14ac:dyDescent="0.2">
      <c r="A1662" s="14" t="s">
        <v>3273</v>
      </c>
      <c r="B1662" s="26" t="s">
        <v>3274</v>
      </c>
      <c r="C1662" s="52"/>
      <c r="D1662" s="55">
        <f t="shared" si="25"/>
        <v>0</v>
      </c>
      <c r="E1662" s="63" t="str">
        <f>HYPERLINK("https://www.sds-group.ru/product/klemma-smk-222-2521d-prohodnaya-1-polyusnaya-na-din-reyku-6-25-mm-seraya-30-sht-up-rexant-07-5292/", "Инфо")</f>
        <v>Инфо</v>
      </c>
      <c r="F1662" s="16" t="s">
        <v>39</v>
      </c>
      <c r="G1662" s="15"/>
      <c r="H1662" s="15"/>
      <c r="I1662" s="15"/>
      <c r="J1662" s="22">
        <v>3150</v>
      </c>
      <c r="K1662" s="15"/>
      <c r="L1662" s="17">
        <v>30</v>
      </c>
      <c r="M1662" s="17">
        <v>900</v>
      </c>
      <c r="N1662" s="17">
        <v>30</v>
      </c>
      <c r="O1662" s="18">
        <v>314.61</v>
      </c>
      <c r="P1662" s="18">
        <v>257.88</v>
      </c>
      <c r="Q1662" s="18">
        <v>267.42</v>
      </c>
      <c r="R1662" s="18">
        <v>219.2</v>
      </c>
      <c r="S1662" s="18">
        <v>213.93</v>
      </c>
      <c r="T1662" s="18">
        <v>175.35</v>
      </c>
      <c r="U1662" s="16"/>
      <c r="V1662" s="16"/>
      <c r="W1662" s="16" t="s">
        <v>40</v>
      </c>
      <c r="X1662" s="19">
        <v>2.5999999999999999E-2</v>
      </c>
      <c r="Y1662" s="20">
        <v>6.9999999999999994E-5</v>
      </c>
      <c r="Z1662" s="21">
        <v>4601004308268</v>
      </c>
    </row>
    <row r="1663" spans="1:26" ht="12" customHeight="1" outlineLevel="4" x14ac:dyDescent="0.2">
      <c r="A1663" s="14" t="s">
        <v>3275</v>
      </c>
      <c r="B1663" s="26" t="s">
        <v>3276</v>
      </c>
      <c r="C1663" s="52"/>
      <c r="D1663" s="55">
        <f t="shared" si="25"/>
        <v>0</v>
      </c>
      <c r="E1663" s="63" t="str">
        <f>HYPERLINK("https://www.sds-group.ru/product/klemma-smk-222-421-pt-4-3-vyvoda-rychag-pruzhina-na-din-reyku-0-5-4-mm-seraya-40-sht-up-rexa-07-5293/", "Инфо")</f>
        <v>Инфо</v>
      </c>
      <c r="F1663" s="16" t="s">
        <v>39</v>
      </c>
      <c r="G1663" s="15"/>
      <c r="H1663" s="15"/>
      <c r="I1663" s="15"/>
      <c r="J1663" s="22">
        <v>2520</v>
      </c>
      <c r="K1663" s="15"/>
      <c r="L1663" s="17">
        <v>40</v>
      </c>
      <c r="M1663" s="22">
        <v>2000</v>
      </c>
      <c r="N1663" s="17">
        <v>40</v>
      </c>
      <c r="O1663" s="18">
        <v>133.69999999999999</v>
      </c>
      <c r="P1663" s="18">
        <v>109.59</v>
      </c>
      <c r="Q1663" s="18">
        <v>113.65</v>
      </c>
      <c r="R1663" s="18">
        <v>93.16</v>
      </c>
      <c r="S1663" s="18">
        <v>90.92</v>
      </c>
      <c r="T1663" s="18">
        <v>74.52</v>
      </c>
      <c r="U1663" s="16"/>
      <c r="V1663" s="16"/>
      <c r="W1663" s="16" t="s">
        <v>40</v>
      </c>
      <c r="X1663" s="19">
        <v>1.0999999999999999E-2</v>
      </c>
      <c r="Y1663" s="20">
        <v>2.3E-5</v>
      </c>
      <c r="Z1663" s="21">
        <v>4601004308275</v>
      </c>
    </row>
    <row r="1664" spans="1:26" ht="12" customHeight="1" outlineLevel="4" x14ac:dyDescent="0.2">
      <c r="A1664" s="14" t="s">
        <v>3277</v>
      </c>
      <c r="B1664" s="26" t="s">
        <v>3278</v>
      </c>
      <c r="C1664" s="52"/>
      <c r="D1664" s="55">
        <f t="shared" si="25"/>
        <v>0</v>
      </c>
      <c r="E1664" s="63" t="str">
        <f>HYPERLINK("https://www.sds-group.ru/product/klemma-smk-222-421d-prohodnaya-1-polyusnaya-s-krepleniem-na-din-reyku-0-08-4-mm-seraya-25--07-6263-1/", "Инфо")</f>
        <v>Инфо</v>
      </c>
      <c r="F1664" s="16" t="s">
        <v>39</v>
      </c>
      <c r="G1664" s="15"/>
      <c r="H1664" s="15"/>
      <c r="I1664" s="15"/>
      <c r="J1664" s="22">
        <v>4350</v>
      </c>
      <c r="K1664" s="15" t="s">
        <v>1650</v>
      </c>
      <c r="L1664" s="17">
        <v>25</v>
      </c>
      <c r="M1664" s="22">
        <v>1500</v>
      </c>
      <c r="N1664" s="17">
        <v>25</v>
      </c>
      <c r="O1664" s="18">
        <v>34.39</v>
      </c>
      <c r="P1664" s="18">
        <v>28.19</v>
      </c>
      <c r="Q1664" s="18">
        <v>29.23</v>
      </c>
      <c r="R1664" s="18">
        <v>23.96</v>
      </c>
      <c r="S1664" s="18">
        <v>23.39</v>
      </c>
      <c r="T1664" s="18">
        <v>19.170000000000002</v>
      </c>
      <c r="U1664" s="16"/>
      <c r="V1664" s="16"/>
      <c r="W1664" s="16" t="s">
        <v>40</v>
      </c>
      <c r="X1664" s="19">
        <v>8.0000000000000002E-3</v>
      </c>
      <c r="Y1664" s="20">
        <v>2.5999999999999998E-5</v>
      </c>
      <c r="Z1664" s="21">
        <v>4601004182738</v>
      </c>
    </row>
    <row r="1665" spans="1:26" ht="12" customHeight="1" outlineLevel="4" x14ac:dyDescent="0.2">
      <c r="A1665" s="14" t="s">
        <v>3279</v>
      </c>
      <c r="B1665" s="26" t="s">
        <v>3280</v>
      </c>
      <c r="C1665" s="52"/>
      <c r="D1665" s="55">
        <f t="shared" si="25"/>
        <v>0</v>
      </c>
      <c r="E1665" s="63" t="str">
        <f>HYPERLINK("https://www.sds-group.ru/product/klemma-smk-222-421d-prohodnaya-1-polyusnaya-s-krepleniem-na-din-reyku-0-08-4-mm-seraya--07-6263-1-05/", "Инфо")</f>
        <v>Инфо</v>
      </c>
      <c r="F1665" s="16" t="s">
        <v>1001</v>
      </c>
      <c r="G1665" s="15"/>
      <c r="H1665" s="15"/>
      <c r="I1665" s="15"/>
      <c r="J1665" s="16" t="s">
        <v>100</v>
      </c>
      <c r="K1665" s="15" t="s">
        <v>1650</v>
      </c>
      <c r="L1665" s="17">
        <v>5</v>
      </c>
      <c r="M1665" s="17">
        <v>100</v>
      </c>
      <c r="N1665" s="17">
        <v>5</v>
      </c>
      <c r="O1665" s="18">
        <v>310</v>
      </c>
      <c r="P1665" s="18">
        <v>254.1</v>
      </c>
      <c r="Q1665" s="18">
        <v>263.5</v>
      </c>
      <c r="R1665" s="18">
        <v>215.98</v>
      </c>
      <c r="S1665" s="18">
        <v>210.8</v>
      </c>
      <c r="T1665" s="18">
        <v>172.79</v>
      </c>
      <c r="U1665" s="16"/>
      <c r="V1665" s="16"/>
      <c r="W1665" s="16" t="s">
        <v>40</v>
      </c>
      <c r="X1665" s="19">
        <v>4.1000000000000002E-2</v>
      </c>
      <c r="Y1665" s="20">
        <v>2.5500000000000002E-4</v>
      </c>
      <c r="Z1665" s="21">
        <v>4601004253186</v>
      </c>
    </row>
    <row r="1666" spans="1:26" ht="12" customHeight="1" outlineLevel="4" x14ac:dyDescent="0.2">
      <c r="A1666" s="14" t="s">
        <v>3281</v>
      </c>
      <c r="B1666" s="26" t="s">
        <v>3282</v>
      </c>
      <c r="C1666" s="52"/>
      <c r="D1666" s="55">
        <f t="shared" si="25"/>
        <v>0</v>
      </c>
      <c r="E1666" s="63" t="str">
        <f>HYPERLINK("https://www.sds-group.ru/product/klemma-smk-222-422d-prohodnaya-2-polyusnaya-s-krepleniem-na-din-reyku-0-08-4-mm-seraya-50-sh-07-5239/", "Инфо")</f>
        <v>Инфо</v>
      </c>
      <c r="F1666" s="16" t="s">
        <v>39</v>
      </c>
      <c r="G1666" s="15"/>
      <c r="H1666" s="15"/>
      <c r="I1666" s="15"/>
      <c r="J1666" s="22">
        <v>9650</v>
      </c>
      <c r="K1666" s="15" t="s">
        <v>1665</v>
      </c>
      <c r="L1666" s="17">
        <v>50</v>
      </c>
      <c r="M1666" s="22">
        <v>1500</v>
      </c>
      <c r="N1666" s="17">
        <v>50</v>
      </c>
      <c r="O1666" s="18">
        <v>61.47</v>
      </c>
      <c r="P1666" s="18">
        <v>50.39</v>
      </c>
      <c r="Q1666" s="18">
        <v>52.25</v>
      </c>
      <c r="R1666" s="18">
        <v>42.83</v>
      </c>
      <c r="S1666" s="18">
        <v>41.8</v>
      </c>
      <c r="T1666" s="18">
        <v>34.26</v>
      </c>
      <c r="U1666" s="16"/>
      <c r="V1666" s="16"/>
      <c r="W1666" s="16" t="s">
        <v>40</v>
      </c>
      <c r="X1666" s="19">
        <v>1.0999999999999999E-2</v>
      </c>
      <c r="Y1666" s="20">
        <v>3.1000000000000001E-5</v>
      </c>
      <c r="Z1666" s="21">
        <v>4601004199613</v>
      </c>
    </row>
    <row r="1667" spans="1:26" ht="12" customHeight="1" outlineLevel="4" x14ac:dyDescent="0.2">
      <c r="A1667" s="14" t="s">
        <v>3283</v>
      </c>
      <c r="B1667" s="26" t="s">
        <v>3284</v>
      </c>
      <c r="C1667" s="52"/>
      <c r="D1667" s="55">
        <f t="shared" si="25"/>
        <v>0</v>
      </c>
      <c r="E1667" s="63" t="str">
        <f>HYPERLINK("https://www.sds-group.ru/product/klemma-smk-222-422d-prohodnaya-2-polyusnaya-s-krepleniem-na-din-reyku-0-08-4-mm-seraya-5--07-5239-05/", "Инфо")</f>
        <v>Инфо</v>
      </c>
      <c r="F1667" s="16" t="s">
        <v>1001</v>
      </c>
      <c r="G1667" s="15"/>
      <c r="H1667" s="15"/>
      <c r="I1667" s="15"/>
      <c r="J1667" s="17">
        <v>74</v>
      </c>
      <c r="K1667" s="15" t="s">
        <v>210</v>
      </c>
      <c r="L1667" s="17">
        <v>5</v>
      </c>
      <c r="M1667" s="17">
        <v>10</v>
      </c>
      <c r="N1667" s="17">
        <v>5</v>
      </c>
      <c r="O1667" s="18">
        <v>450.33</v>
      </c>
      <c r="P1667" s="18">
        <v>369.12</v>
      </c>
      <c r="Q1667" s="18">
        <v>382.78</v>
      </c>
      <c r="R1667" s="18">
        <v>313.75</v>
      </c>
      <c r="S1667" s="18">
        <v>306.22000000000003</v>
      </c>
      <c r="T1667" s="18">
        <v>251</v>
      </c>
      <c r="U1667" s="16"/>
      <c r="V1667" s="16"/>
      <c r="W1667" s="16" t="s">
        <v>40</v>
      </c>
      <c r="X1667" s="19">
        <v>6.2E-2</v>
      </c>
      <c r="Y1667" s="20">
        <v>2.61E-4</v>
      </c>
      <c r="Z1667" s="21">
        <v>4601004253131</v>
      </c>
    </row>
    <row r="1668" spans="1:26" ht="12" customHeight="1" outlineLevel="4" x14ac:dyDescent="0.2">
      <c r="A1668" s="14" t="s">
        <v>3285</v>
      </c>
      <c r="B1668" s="26" t="s">
        <v>3286</v>
      </c>
      <c r="C1668" s="52"/>
      <c r="D1668" s="55">
        <f t="shared" si="25"/>
        <v>0</v>
      </c>
      <c r="E1668" s="63" t="str">
        <f>HYPERLINK("https://www.sds-group.ru/product/klemma-smk-222-423d-prohodnaya-3-polyusnaya-s-krepleniem-na-din-reyku-0-08-4-mm-seraya-50-sh-07-5238/", "Инфо")</f>
        <v>Инфо</v>
      </c>
      <c r="F1668" s="16" t="s">
        <v>39</v>
      </c>
      <c r="G1668" s="15"/>
      <c r="H1668" s="15"/>
      <c r="I1668" s="15"/>
      <c r="J1668" s="22">
        <v>3400</v>
      </c>
      <c r="K1668" s="15" t="s">
        <v>1665</v>
      </c>
      <c r="L1668" s="17">
        <v>50</v>
      </c>
      <c r="M1668" s="22">
        <v>1200</v>
      </c>
      <c r="N1668" s="17">
        <v>50</v>
      </c>
      <c r="O1668" s="18">
        <v>79.84</v>
      </c>
      <c r="P1668" s="18">
        <v>65.44</v>
      </c>
      <c r="Q1668" s="18">
        <v>67.86</v>
      </c>
      <c r="R1668" s="18">
        <v>55.62</v>
      </c>
      <c r="S1668" s="18">
        <v>54.29</v>
      </c>
      <c r="T1668" s="18">
        <v>44.5</v>
      </c>
      <c r="U1668" s="16"/>
      <c r="V1668" s="16"/>
      <c r="W1668" s="16" t="s">
        <v>40</v>
      </c>
      <c r="X1668" s="19">
        <v>1.4E-2</v>
      </c>
      <c r="Y1668" s="20">
        <v>3.8000000000000002E-5</v>
      </c>
      <c r="Z1668" s="21">
        <v>4601004199545</v>
      </c>
    </row>
    <row r="1669" spans="1:26" ht="12" customHeight="1" outlineLevel="4" x14ac:dyDescent="0.2">
      <c r="A1669" s="14" t="s">
        <v>3287</v>
      </c>
      <c r="B1669" s="26" t="s">
        <v>3288</v>
      </c>
      <c r="C1669" s="52"/>
      <c r="D1669" s="55">
        <f t="shared" si="25"/>
        <v>0</v>
      </c>
      <c r="E1669" s="63" t="str">
        <f>HYPERLINK("https://www.sds-group.ru/product/klemma-smk-222-423d-prohodnaya-3-polyusnaya-s-krepleniem-na-din-reyku-0-08-4-mm-seraya-5--07-5238-05/", "Инфо")</f>
        <v>Инфо</v>
      </c>
      <c r="F1669" s="16" t="s">
        <v>1001</v>
      </c>
      <c r="G1669" s="15"/>
      <c r="H1669" s="15"/>
      <c r="I1669" s="15"/>
      <c r="J1669" s="17">
        <v>112</v>
      </c>
      <c r="K1669" s="15" t="s">
        <v>210</v>
      </c>
      <c r="L1669" s="17">
        <v>5</v>
      </c>
      <c r="M1669" s="17">
        <v>100</v>
      </c>
      <c r="N1669" s="17">
        <v>5</v>
      </c>
      <c r="O1669" s="18">
        <v>571.70000000000005</v>
      </c>
      <c r="P1669" s="18">
        <v>468.61</v>
      </c>
      <c r="Q1669" s="18">
        <v>457.36</v>
      </c>
      <c r="R1669" s="18">
        <v>374.89</v>
      </c>
      <c r="S1669" s="18">
        <v>388.76</v>
      </c>
      <c r="T1669" s="18">
        <v>318.66000000000003</v>
      </c>
      <c r="U1669" s="16"/>
      <c r="V1669" s="16"/>
      <c r="W1669" s="16" t="s">
        <v>40</v>
      </c>
      <c r="X1669" s="19">
        <v>7.5999999999999998E-2</v>
      </c>
      <c r="Y1669" s="20">
        <v>2.5799999999999998E-4</v>
      </c>
      <c r="Z1669" s="21">
        <v>4601004253148</v>
      </c>
    </row>
    <row r="1670" spans="1:26" ht="12" customHeight="1" outlineLevel="4" x14ac:dyDescent="0.2">
      <c r="A1670" s="14" t="s">
        <v>3289</v>
      </c>
      <c r="B1670" s="26" t="s">
        <v>3290</v>
      </c>
      <c r="C1670" s="52"/>
      <c r="D1670" s="55">
        <f t="shared" si="25"/>
        <v>0</v>
      </c>
      <c r="E1670" s="63" t="str">
        <f>HYPERLINK("https://www.sds-group.ru/product/klemma-smk-222-424d-prohodnaya-4-polyusnaya-s-krepleniem-na-din-reyku-0-08-4-mm-seraya-50-sh-07-5237/", "Инфо")</f>
        <v>Инфо</v>
      </c>
      <c r="F1670" s="16" t="s">
        <v>39</v>
      </c>
      <c r="G1670" s="15"/>
      <c r="H1670" s="15"/>
      <c r="I1670" s="15"/>
      <c r="J1670" s="16" t="s">
        <v>100</v>
      </c>
      <c r="K1670" s="15" t="s">
        <v>1650</v>
      </c>
      <c r="L1670" s="17">
        <v>50</v>
      </c>
      <c r="M1670" s="22">
        <v>1000</v>
      </c>
      <c r="N1670" s="17">
        <v>50</v>
      </c>
      <c r="O1670" s="18">
        <v>119.92</v>
      </c>
      <c r="P1670" s="18">
        <v>98.3</v>
      </c>
      <c r="Q1670" s="18">
        <v>101.93</v>
      </c>
      <c r="R1670" s="18">
        <v>83.55</v>
      </c>
      <c r="S1670" s="18">
        <v>81.55</v>
      </c>
      <c r="T1670" s="18">
        <v>66.84</v>
      </c>
      <c r="U1670" s="16"/>
      <c r="V1670" s="16"/>
      <c r="W1670" s="16" t="s">
        <v>40</v>
      </c>
      <c r="X1670" s="19">
        <v>1.7000000000000001E-2</v>
      </c>
      <c r="Y1670" s="20">
        <v>4.8000000000000001E-5</v>
      </c>
      <c r="Z1670" s="21">
        <v>4601004199552</v>
      </c>
    </row>
    <row r="1671" spans="1:26" ht="12" customHeight="1" outlineLevel="4" x14ac:dyDescent="0.2">
      <c r="A1671" s="14" t="s">
        <v>3291</v>
      </c>
      <c r="B1671" s="26" t="s">
        <v>3292</v>
      </c>
      <c r="C1671" s="52"/>
      <c r="D1671" s="55">
        <f t="shared" si="25"/>
        <v>0</v>
      </c>
      <c r="E1671" s="63" t="str">
        <f>HYPERLINK("https://www.sds-group.ru/product/klemma-smk-222-425d-prohodnaya-5-polyusnaya-s-krepleniem-na-din-reyku-0-08-4-mm-seraya-20-sh-07-5236/", "Инфо")</f>
        <v>Инфо</v>
      </c>
      <c r="F1671" s="16" t="s">
        <v>39</v>
      </c>
      <c r="G1671" s="15"/>
      <c r="H1671" s="15"/>
      <c r="I1671" s="15"/>
      <c r="J1671" s="17">
        <v>400</v>
      </c>
      <c r="K1671" s="15" t="s">
        <v>1665</v>
      </c>
      <c r="L1671" s="17">
        <v>20</v>
      </c>
      <c r="M1671" s="17">
        <v>800</v>
      </c>
      <c r="N1671" s="17">
        <v>20</v>
      </c>
      <c r="O1671" s="18">
        <v>186.26</v>
      </c>
      <c r="P1671" s="18">
        <v>152.66999999999999</v>
      </c>
      <c r="Q1671" s="18">
        <v>158.32</v>
      </c>
      <c r="R1671" s="18">
        <v>129.77000000000001</v>
      </c>
      <c r="S1671" s="18">
        <v>126.66</v>
      </c>
      <c r="T1671" s="18">
        <v>103.82</v>
      </c>
      <c r="U1671" s="16"/>
      <c r="V1671" s="16"/>
      <c r="W1671" s="16" t="s">
        <v>40</v>
      </c>
      <c r="X1671" s="19">
        <v>2.3E-2</v>
      </c>
      <c r="Y1671" s="20">
        <v>8.7999999999999998E-5</v>
      </c>
      <c r="Z1671" s="21">
        <v>4601004237520</v>
      </c>
    </row>
    <row r="1672" spans="1:26" ht="12" customHeight="1" outlineLevel="4" x14ac:dyDescent="0.2">
      <c r="A1672" s="14" t="s">
        <v>3293</v>
      </c>
      <c r="B1672" s="26" t="s">
        <v>3294</v>
      </c>
      <c r="C1672" s="52"/>
      <c r="D1672" s="55">
        <f t="shared" si="25"/>
        <v>0</v>
      </c>
      <c r="E1672" s="63" t="str">
        <f>HYPERLINK("https://www.sds-group.ru/product/klemma-smk-222-425d-prohodnaya-5-polyusnaya-s-krepleniem-na-din-reyku-0-08-4-mm-seraya-4--07-5236-04/", "Инфо")</f>
        <v>Инфо</v>
      </c>
      <c r="F1672" s="16" t="s">
        <v>1001</v>
      </c>
      <c r="G1672" s="15"/>
      <c r="H1672" s="15"/>
      <c r="I1672" s="15"/>
      <c r="J1672" s="16" t="s">
        <v>100</v>
      </c>
      <c r="K1672" s="15" t="s">
        <v>2750</v>
      </c>
      <c r="L1672" s="17">
        <v>1</v>
      </c>
      <c r="M1672" s="17">
        <v>100</v>
      </c>
      <c r="N1672" s="17">
        <v>1</v>
      </c>
      <c r="O1672" s="18">
        <v>990.36</v>
      </c>
      <c r="P1672" s="18">
        <v>811.77</v>
      </c>
      <c r="Q1672" s="18">
        <v>792.29</v>
      </c>
      <c r="R1672" s="18">
        <v>649.41999999999996</v>
      </c>
      <c r="S1672" s="18">
        <v>673.44</v>
      </c>
      <c r="T1672" s="18">
        <v>552</v>
      </c>
      <c r="U1672" s="16"/>
      <c r="V1672" s="16"/>
      <c r="W1672" s="16" t="s">
        <v>40</v>
      </c>
      <c r="X1672" s="19">
        <v>8.8999999999999996E-2</v>
      </c>
      <c r="Y1672" s="20">
        <v>3.6099999999999999E-4</v>
      </c>
      <c r="Z1672" s="21">
        <v>4601004253162</v>
      </c>
    </row>
    <row r="1673" spans="1:26" ht="12" customHeight="1" outlineLevel="4" x14ac:dyDescent="0.2">
      <c r="A1673" s="14" t="s">
        <v>3295</v>
      </c>
      <c r="B1673" s="26" t="s">
        <v>3296</v>
      </c>
      <c r="C1673" s="52"/>
      <c r="D1673" s="55">
        <f t="shared" ref="D1673:D1736" si="26">C1673*(O1673-O1673*$G$3)</f>
        <v>0</v>
      </c>
      <c r="E1673" s="63" t="str">
        <f>HYPERLINK("https://www.sds-group.ru/product/klemma-smk-222-621-pt-6-3-vyvoda-rychag-pruzhina-na-din-reyku-1-6-mm-seraya-50-sht-up-rexant-07-5294/", "Инфо")</f>
        <v>Инфо</v>
      </c>
      <c r="F1673" s="16" t="s">
        <v>39</v>
      </c>
      <c r="G1673" s="15"/>
      <c r="H1673" s="15"/>
      <c r="I1673" s="15"/>
      <c r="J1673" s="22">
        <v>4350</v>
      </c>
      <c r="K1673" s="15"/>
      <c r="L1673" s="17">
        <v>50</v>
      </c>
      <c r="M1673" s="22">
        <v>1500</v>
      </c>
      <c r="N1673" s="17">
        <v>50</v>
      </c>
      <c r="O1673" s="18">
        <v>163.41999999999999</v>
      </c>
      <c r="P1673" s="18">
        <v>133.94999999999999</v>
      </c>
      <c r="Q1673" s="18">
        <v>138.91</v>
      </c>
      <c r="R1673" s="18">
        <v>113.86</v>
      </c>
      <c r="S1673" s="18">
        <v>111.13</v>
      </c>
      <c r="T1673" s="18">
        <v>91.09</v>
      </c>
      <c r="U1673" s="16"/>
      <c r="V1673" s="16"/>
      <c r="W1673" s="16" t="s">
        <v>40</v>
      </c>
      <c r="X1673" s="19">
        <v>1.2999999999999999E-2</v>
      </c>
      <c r="Y1673" s="20">
        <v>2.0999999999999999E-5</v>
      </c>
      <c r="Z1673" s="21">
        <v>4601004308282</v>
      </c>
    </row>
    <row r="1674" spans="1:26" ht="12" customHeight="1" outlineLevel="4" x14ac:dyDescent="0.2">
      <c r="A1674" s="14" t="s">
        <v>3297</v>
      </c>
      <c r="B1674" s="26" t="s">
        <v>3298</v>
      </c>
      <c r="C1674" s="52"/>
      <c r="D1674" s="55">
        <f t="shared" si="26"/>
        <v>0</v>
      </c>
      <c r="E1674" s="63" t="str">
        <f>HYPERLINK("https://www.sds-group.ru/product/klemma-smk-222-621d-prohodnaya-1-polyusnaya-na-din-reyku-1-6-mm-seraya-60-sht-up-rexant-07-5291/", "Инфо")</f>
        <v>Инфо</v>
      </c>
      <c r="F1674" s="16" t="s">
        <v>39</v>
      </c>
      <c r="G1674" s="15"/>
      <c r="H1674" s="15"/>
      <c r="I1674" s="15"/>
      <c r="J1674" s="22">
        <v>1320</v>
      </c>
      <c r="K1674" s="15"/>
      <c r="L1674" s="17">
        <v>60</v>
      </c>
      <c r="M1674" s="22">
        <v>1800</v>
      </c>
      <c r="N1674" s="17">
        <v>60</v>
      </c>
      <c r="O1674" s="18">
        <v>101.48</v>
      </c>
      <c r="P1674" s="18">
        <v>83.18</v>
      </c>
      <c r="Q1674" s="18">
        <v>86.26</v>
      </c>
      <c r="R1674" s="18">
        <v>70.7</v>
      </c>
      <c r="S1674" s="18">
        <v>69.010000000000005</v>
      </c>
      <c r="T1674" s="18">
        <v>56.57</v>
      </c>
      <c r="U1674" s="16"/>
      <c r="V1674" s="16"/>
      <c r="W1674" s="16" t="s">
        <v>40</v>
      </c>
      <c r="X1674" s="19">
        <v>1.0999999999999999E-2</v>
      </c>
      <c r="Y1674" s="20">
        <v>1.7E-5</v>
      </c>
      <c r="Z1674" s="21">
        <v>4601004308251</v>
      </c>
    </row>
    <row r="1675" spans="1:26" ht="12" customHeight="1" outlineLevel="4" x14ac:dyDescent="0.2">
      <c r="A1675" s="14" t="s">
        <v>3299</v>
      </c>
      <c r="B1675" s="26" t="s">
        <v>3300</v>
      </c>
      <c r="C1675" s="52"/>
      <c r="D1675" s="55">
        <f t="shared" si="26"/>
        <v>0</v>
      </c>
      <c r="E1675" s="63" t="str">
        <f>HYPERLINK("https://www.sds-group.ru/product/klemma-smk-2h3d-prohodnaya-razvetvitelnaya-2-polyusa-na-din-reyku-0-08-4-mm-1-vvod-3-vyvoda--07-5281/", "Инфо")</f>
        <v>Инфо</v>
      </c>
      <c r="F1675" s="16" t="s">
        <v>39</v>
      </c>
      <c r="G1675" s="15"/>
      <c r="H1675" s="15"/>
      <c r="I1675" s="15"/>
      <c r="J1675" s="22">
        <v>2250</v>
      </c>
      <c r="K1675" s="15"/>
      <c r="L1675" s="17">
        <v>25</v>
      </c>
      <c r="M1675" s="22">
        <v>1250</v>
      </c>
      <c r="N1675" s="17">
        <v>25</v>
      </c>
      <c r="O1675" s="18">
        <v>147.77000000000001</v>
      </c>
      <c r="P1675" s="18">
        <v>121.12</v>
      </c>
      <c r="Q1675" s="18">
        <v>125.6</v>
      </c>
      <c r="R1675" s="18">
        <v>102.95</v>
      </c>
      <c r="S1675" s="18">
        <v>100.48</v>
      </c>
      <c r="T1675" s="18">
        <v>82.36</v>
      </c>
      <c r="U1675" s="16"/>
      <c r="V1675" s="16"/>
      <c r="W1675" s="16" t="s">
        <v>40</v>
      </c>
      <c r="X1675" s="19">
        <v>1.7000000000000001E-2</v>
      </c>
      <c r="Y1675" s="20">
        <v>6.0999999999999999E-5</v>
      </c>
      <c r="Z1675" s="21">
        <v>4601004301528</v>
      </c>
    </row>
    <row r="1676" spans="1:26" ht="12" customHeight="1" outlineLevel="4" x14ac:dyDescent="0.2">
      <c r="A1676" s="14" t="s">
        <v>3301</v>
      </c>
      <c r="B1676" s="26" t="s">
        <v>3302</v>
      </c>
      <c r="C1676" s="52"/>
      <c r="D1676" s="55">
        <f t="shared" si="26"/>
        <v>0</v>
      </c>
      <c r="E1676" s="63" t="str">
        <f>HYPERLINK("https://www.sds-group.ru/product/klemma-smk-3h2d-prohodnaya-razvetvitelnaya-3-polyusa-na-din-reyku-0-08-4-mm-1-vvod-2-vyvoda--07-5283/", "Инфо")</f>
        <v>Инфо</v>
      </c>
      <c r="F1676" s="16" t="s">
        <v>39</v>
      </c>
      <c r="G1676" s="15"/>
      <c r="H1676" s="15"/>
      <c r="I1676" s="15"/>
      <c r="J1676" s="22">
        <v>1380</v>
      </c>
      <c r="K1676" s="15"/>
      <c r="L1676" s="17">
        <v>20</v>
      </c>
      <c r="M1676" s="22">
        <v>1000</v>
      </c>
      <c r="N1676" s="17">
        <v>20</v>
      </c>
      <c r="O1676" s="18">
        <v>152.33000000000001</v>
      </c>
      <c r="P1676" s="18">
        <v>124.86</v>
      </c>
      <c r="Q1676" s="18">
        <v>129.47999999999999</v>
      </c>
      <c r="R1676" s="18">
        <v>106.13</v>
      </c>
      <c r="S1676" s="18">
        <v>103.58</v>
      </c>
      <c r="T1676" s="18">
        <v>84.9</v>
      </c>
      <c r="U1676" s="16"/>
      <c r="V1676" s="16"/>
      <c r="W1676" s="16" t="s">
        <v>40</v>
      </c>
      <c r="X1676" s="19">
        <v>2.1000000000000001E-2</v>
      </c>
      <c r="Y1676" s="20">
        <v>7.4999999999999993E-5</v>
      </c>
      <c r="Z1676" s="21">
        <v>4601004301504</v>
      </c>
    </row>
    <row r="1677" spans="1:26" ht="12" customHeight="1" outlineLevel="4" x14ac:dyDescent="0.2">
      <c r="A1677" s="14" t="s">
        <v>3303</v>
      </c>
      <c r="B1677" s="26" t="s">
        <v>3304</v>
      </c>
      <c r="C1677" s="52"/>
      <c r="D1677" s="55">
        <f t="shared" si="26"/>
        <v>0</v>
      </c>
      <c r="E1677" s="63" t="str">
        <f>HYPERLINK("https://www.sds-group.ru/product/klemma-smk-3h3d-prohodnaya-razvetvitelnaya-3-polyusa-na-din-reyku-0-08-4-mm-1-vvod-3-vyvoda--07-5284/", "Инфо")</f>
        <v>Инфо</v>
      </c>
      <c r="F1677" s="16" t="s">
        <v>39</v>
      </c>
      <c r="G1677" s="15"/>
      <c r="H1677" s="15"/>
      <c r="I1677" s="15"/>
      <c r="J1677" s="22">
        <v>1680</v>
      </c>
      <c r="K1677" s="15"/>
      <c r="L1677" s="17">
        <v>15</v>
      </c>
      <c r="M1677" s="17">
        <v>750</v>
      </c>
      <c r="N1677" s="17">
        <v>15</v>
      </c>
      <c r="O1677" s="18">
        <v>321.56</v>
      </c>
      <c r="P1677" s="18">
        <v>263.57</v>
      </c>
      <c r="Q1677" s="18">
        <v>273.33</v>
      </c>
      <c r="R1677" s="18">
        <v>224.04</v>
      </c>
      <c r="S1677" s="18">
        <v>218.66</v>
      </c>
      <c r="T1677" s="18">
        <v>179.23</v>
      </c>
      <c r="U1677" s="16"/>
      <c r="V1677" s="16"/>
      <c r="W1677" s="16" t="s">
        <v>40</v>
      </c>
      <c r="X1677" s="19">
        <v>2.5999999999999999E-2</v>
      </c>
      <c r="Y1677" s="20">
        <v>1.02E-4</v>
      </c>
      <c r="Z1677" s="21">
        <v>4601004301535</v>
      </c>
    </row>
    <row r="1678" spans="1:26" ht="12" customHeight="1" outlineLevel="4" x14ac:dyDescent="0.2">
      <c r="A1678" s="40" t="s">
        <v>3305</v>
      </c>
      <c r="B1678" s="75" t="s">
        <v>3306</v>
      </c>
      <c r="C1678" s="51"/>
      <c r="D1678" s="54">
        <f t="shared" si="26"/>
        <v>0</v>
      </c>
      <c r="E1678" s="61" t="str">
        <f>HYPERLINK("https://www.sds-group.ru/product/markery-dlya-klemm-smk-222-221d-bez-simvolov-2-5-4-mm-rexant-07-5299/", "Инфо")</f>
        <v>Инфо</v>
      </c>
      <c r="F1678" s="42" t="s">
        <v>39</v>
      </c>
      <c r="G1678" s="41" t="s">
        <v>40</v>
      </c>
      <c r="H1678" s="41" t="s">
        <v>40</v>
      </c>
      <c r="I1678" s="41"/>
      <c r="J1678" s="47">
        <v>1400</v>
      </c>
      <c r="K1678" s="41"/>
      <c r="L1678" s="43">
        <v>50</v>
      </c>
      <c r="M1678" s="47">
        <v>1500</v>
      </c>
      <c r="N1678" s="43">
        <v>50</v>
      </c>
      <c r="O1678" s="44">
        <v>13.22</v>
      </c>
      <c r="P1678" s="44">
        <v>10.84</v>
      </c>
      <c r="Q1678" s="44">
        <v>9.25</v>
      </c>
      <c r="R1678" s="44">
        <v>7.58</v>
      </c>
      <c r="S1678" s="44">
        <v>8.99</v>
      </c>
      <c r="T1678" s="44">
        <v>7.37</v>
      </c>
      <c r="U1678" s="42"/>
      <c r="V1678" s="42"/>
      <c r="W1678" s="42"/>
      <c r="X1678" s="45">
        <v>1E-3</v>
      </c>
      <c r="Y1678" s="46">
        <v>1.5E-5</v>
      </c>
      <c r="Z1678" s="21">
        <v>4601004301467</v>
      </c>
    </row>
    <row r="1679" spans="1:26" ht="12" customHeight="1" outlineLevel="4" x14ac:dyDescent="0.2">
      <c r="A1679" s="40" t="s">
        <v>3307</v>
      </c>
      <c r="B1679" s="75" t="s">
        <v>3308</v>
      </c>
      <c r="C1679" s="51"/>
      <c r="D1679" s="54">
        <f t="shared" si="26"/>
        <v>0</v>
      </c>
      <c r="E1679" s="61" t="str">
        <f>HYPERLINK("https://www.sds-group.ru/product/markery-dlya-klemm-smk-bez-simvolov-6-10-mm-rexant-07-5227/", "Инфо")</f>
        <v>Инфо</v>
      </c>
      <c r="F1679" s="42" t="s">
        <v>39</v>
      </c>
      <c r="G1679" s="41" t="s">
        <v>40</v>
      </c>
      <c r="H1679" s="41" t="s">
        <v>40</v>
      </c>
      <c r="I1679" s="41"/>
      <c r="J1679" s="47">
        <v>1400</v>
      </c>
      <c r="K1679" s="41"/>
      <c r="L1679" s="43">
        <v>50</v>
      </c>
      <c r="M1679" s="47">
        <v>1500</v>
      </c>
      <c r="N1679" s="43">
        <v>50</v>
      </c>
      <c r="O1679" s="44">
        <v>15.87</v>
      </c>
      <c r="P1679" s="44">
        <v>13.01</v>
      </c>
      <c r="Q1679" s="44">
        <v>11.11</v>
      </c>
      <c r="R1679" s="44">
        <v>9.11</v>
      </c>
      <c r="S1679" s="44">
        <v>10.79</v>
      </c>
      <c r="T1679" s="44">
        <v>8.84</v>
      </c>
      <c r="U1679" s="42"/>
      <c r="V1679" s="42"/>
      <c r="W1679" s="42"/>
      <c r="X1679" s="45">
        <v>1E-3</v>
      </c>
      <c r="Y1679" s="46">
        <v>1.5999999999999999E-5</v>
      </c>
      <c r="Z1679" s="21">
        <v>4601004301610</v>
      </c>
    </row>
    <row r="1680" spans="1:26" ht="12" customHeight="1" outlineLevel="4" x14ac:dyDescent="0.2">
      <c r="A1680" s="32" t="s">
        <v>3309</v>
      </c>
      <c r="B1680" s="74" t="s">
        <v>3310</v>
      </c>
      <c r="C1680" s="50"/>
      <c r="D1680" s="53">
        <f t="shared" si="26"/>
        <v>0</v>
      </c>
      <c r="E1680" s="60" t="str">
        <f>HYPERLINK("https://www.sds-group.ru/product/peremychka-dlya-klemm-smk-222-421d-10pin-rexant-07-5250/", "Инфо")</f>
        <v>Инфо</v>
      </c>
      <c r="F1680" s="34" t="s">
        <v>39</v>
      </c>
      <c r="G1680" s="33"/>
      <c r="H1680" s="33" t="s">
        <v>40</v>
      </c>
      <c r="I1680" s="33"/>
      <c r="J1680" s="35">
        <v>410</v>
      </c>
      <c r="K1680" s="33"/>
      <c r="L1680" s="35">
        <v>10</v>
      </c>
      <c r="M1680" s="39">
        <v>1000</v>
      </c>
      <c r="N1680" s="35">
        <v>10</v>
      </c>
      <c r="O1680" s="36">
        <v>70.67</v>
      </c>
      <c r="P1680" s="36">
        <v>57.93</v>
      </c>
      <c r="Q1680" s="36">
        <v>60.07</v>
      </c>
      <c r="R1680" s="36">
        <v>49.24</v>
      </c>
      <c r="S1680" s="36">
        <v>48.06</v>
      </c>
      <c r="T1680" s="36">
        <v>39.39</v>
      </c>
      <c r="U1680" s="34"/>
      <c r="V1680" s="34"/>
      <c r="W1680" s="34" t="s">
        <v>40</v>
      </c>
      <c r="X1680" s="37">
        <v>5.0000000000000001E-3</v>
      </c>
      <c r="Y1680" s="38">
        <v>1.1E-5</v>
      </c>
      <c r="Z1680" s="21">
        <v>4601004278783</v>
      </c>
    </row>
    <row r="1681" spans="1:26" ht="12.95" customHeight="1" outlineLevel="2" x14ac:dyDescent="0.2">
      <c r="A1681" s="76" t="s">
        <v>3311</v>
      </c>
      <c r="B1681" s="76"/>
      <c r="C1681" s="77"/>
      <c r="D1681" s="58"/>
      <c r="E1681" s="68"/>
      <c r="F1681" s="13"/>
      <c r="G1681" s="13"/>
      <c r="H1681" s="13"/>
      <c r="I1681" s="13"/>
      <c r="J1681" s="13"/>
      <c r="K1681" s="13"/>
      <c r="L1681" s="13"/>
      <c r="M1681" s="13"/>
      <c r="N1681" s="13"/>
      <c r="O1681" s="13"/>
      <c r="P1681" s="13"/>
      <c r="Q1681" s="13"/>
      <c r="R1681" s="13"/>
      <c r="S1681" s="13"/>
      <c r="T1681" s="13"/>
      <c r="U1681" s="13"/>
      <c r="V1681" s="13"/>
      <c r="W1681" s="13"/>
      <c r="X1681" s="13"/>
      <c r="Y1681" s="13"/>
      <c r="Z1681" s="13"/>
    </row>
    <row r="1682" spans="1:26" ht="12.95" customHeight="1" outlineLevel="3" x14ac:dyDescent="0.2">
      <c r="A1682" s="76" t="s">
        <v>3312</v>
      </c>
      <c r="B1682" s="76"/>
      <c r="C1682" s="77"/>
      <c r="D1682" s="58"/>
      <c r="E1682" s="68"/>
      <c r="F1682" s="13"/>
      <c r="G1682" s="13"/>
      <c r="H1682" s="13"/>
      <c r="I1682" s="13"/>
      <c r="J1682" s="13"/>
      <c r="K1682" s="13"/>
      <c r="L1682" s="13"/>
      <c r="M1682" s="13"/>
      <c r="N1682" s="13"/>
      <c r="O1682" s="13"/>
      <c r="P1682" s="13"/>
      <c r="Q1682" s="13"/>
      <c r="R1682" s="13"/>
      <c r="S1682" s="13"/>
      <c r="T1682" s="13"/>
      <c r="U1682" s="13"/>
      <c r="V1682" s="13"/>
      <c r="W1682" s="13"/>
      <c r="X1682" s="13"/>
      <c r="Y1682" s="13"/>
      <c r="Z1682" s="13"/>
    </row>
    <row r="1683" spans="1:26" ht="12" customHeight="1" outlineLevel="4" x14ac:dyDescent="0.2">
      <c r="A1683" s="14" t="s">
        <v>3313</v>
      </c>
      <c r="B1683" s="26" t="s">
        <v>3314</v>
      </c>
      <c r="C1683" s="52"/>
      <c r="D1683" s="55">
        <f t="shared" si="26"/>
        <v>0</v>
      </c>
      <c r="E1683" s="63" t="str">
        <f>HYPERLINK("https://www.sds-group.ru/product/nakonechnik-mednyy-luzhenyy-tml-10-5-5-10mm-5mm-gost-7386-80-v-upak-100-sht-rexant-07-5307-5/", "Инфо")</f>
        <v>Инфо</v>
      </c>
      <c r="F1683" s="16" t="s">
        <v>39</v>
      </c>
      <c r="G1683" s="15"/>
      <c r="H1683" s="15"/>
      <c r="I1683" s="15"/>
      <c r="J1683" s="22">
        <v>1300</v>
      </c>
      <c r="K1683" s="15"/>
      <c r="L1683" s="17">
        <v>100</v>
      </c>
      <c r="M1683" s="22">
        <v>1300</v>
      </c>
      <c r="N1683" s="17">
        <v>100</v>
      </c>
      <c r="O1683" s="18">
        <v>66</v>
      </c>
      <c r="P1683" s="18">
        <v>54.1</v>
      </c>
      <c r="Q1683" s="18">
        <v>56.1</v>
      </c>
      <c r="R1683" s="18">
        <v>45.98</v>
      </c>
      <c r="S1683" s="18">
        <v>44.88</v>
      </c>
      <c r="T1683" s="18">
        <v>36.79</v>
      </c>
      <c r="U1683" s="16"/>
      <c r="V1683" s="16"/>
      <c r="W1683" s="16" t="s">
        <v>40</v>
      </c>
      <c r="X1683" s="19">
        <v>7.0000000000000001E-3</v>
      </c>
      <c r="Y1683" s="20">
        <v>3.9999999999999998E-6</v>
      </c>
      <c r="Z1683" s="21">
        <v>4601004195400</v>
      </c>
    </row>
    <row r="1684" spans="1:26" ht="12" customHeight="1" outlineLevel="4" x14ac:dyDescent="0.2">
      <c r="A1684" s="14" t="s">
        <v>3315</v>
      </c>
      <c r="B1684" s="26" t="s">
        <v>3316</v>
      </c>
      <c r="C1684" s="52"/>
      <c r="D1684" s="55">
        <f t="shared" si="26"/>
        <v>0</v>
      </c>
      <c r="E1684" s="63" t="str">
        <f>HYPERLINK("https://www.sds-group.ru/product/nakonechnik-mednyy-luzhenyy-tml-10-6-5-10mm-6mm-gost-7386-80-v-upak-100-sht-rexant-07-5308-5/", "Инфо")</f>
        <v>Инфо</v>
      </c>
      <c r="F1684" s="16" t="s">
        <v>39</v>
      </c>
      <c r="G1684" s="15"/>
      <c r="H1684" s="15"/>
      <c r="I1684" s="15"/>
      <c r="J1684" s="22">
        <v>9300</v>
      </c>
      <c r="K1684" s="15"/>
      <c r="L1684" s="17">
        <v>100</v>
      </c>
      <c r="M1684" s="22">
        <v>1300</v>
      </c>
      <c r="N1684" s="17">
        <v>100</v>
      </c>
      <c r="O1684" s="18">
        <v>67.62</v>
      </c>
      <c r="P1684" s="18">
        <v>55.43</v>
      </c>
      <c r="Q1684" s="18">
        <v>57.48</v>
      </c>
      <c r="R1684" s="18">
        <v>47.11</v>
      </c>
      <c r="S1684" s="18">
        <v>45.98</v>
      </c>
      <c r="T1684" s="18">
        <v>37.69</v>
      </c>
      <c r="U1684" s="16"/>
      <c r="V1684" s="16"/>
      <c r="W1684" s="16" t="s">
        <v>40</v>
      </c>
      <c r="X1684" s="19">
        <v>7.0000000000000001E-3</v>
      </c>
      <c r="Y1684" s="20">
        <v>3.9999999999999998E-6</v>
      </c>
      <c r="Z1684" s="21">
        <v>4601004195417</v>
      </c>
    </row>
    <row r="1685" spans="1:26" ht="12" customHeight="1" outlineLevel="4" x14ac:dyDescent="0.2">
      <c r="A1685" s="14" t="s">
        <v>3317</v>
      </c>
      <c r="B1685" s="26" t="s">
        <v>3318</v>
      </c>
      <c r="C1685" s="52"/>
      <c r="D1685" s="55">
        <f t="shared" si="26"/>
        <v>0</v>
      </c>
      <c r="E1685" s="63" t="str">
        <f>HYPERLINK("https://www.sds-group.ru/product/nakonechnik-mednyy-luzhenyy-tml-10-8-5-10mm-8mm-gost-7386-80-v-upak-100-sht-rexant-07-5309-5/", "Инфо")</f>
        <v>Инфо</v>
      </c>
      <c r="F1685" s="16" t="s">
        <v>39</v>
      </c>
      <c r="G1685" s="15"/>
      <c r="H1685" s="15"/>
      <c r="I1685" s="15"/>
      <c r="J1685" s="17">
        <v>300</v>
      </c>
      <c r="K1685" s="15" t="s">
        <v>3319</v>
      </c>
      <c r="L1685" s="17">
        <v>100</v>
      </c>
      <c r="M1685" s="22">
        <v>1300</v>
      </c>
      <c r="N1685" s="17">
        <v>100</v>
      </c>
      <c r="O1685" s="18">
        <v>66.099999999999994</v>
      </c>
      <c r="P1685" s="18">
        <v>54.18</v>
      </c>
      <c r="Q1685" s="18">
        <v>56.19</v>
      </c>
      <c r="R1685" s="18">
        <v>46.06</v>
      </c>
      <c r="S1685" s="18">
        <v>44.95</v>
      </c>
      <c r="T1685" s="18">
        <v>36.840000000000003</v>
      </c>
      <c r="U1685" s="16"/>
      <c r="V1685" s="16"/>
      <c r="W1685" s="16" t="s">
        <v>40</v>
      </c>
      <c r="X1685" s="19">
        <v>7.0000000000000001E-3</v>
      </c>
      <c r="Y1685" s="20">
        <v>3.9999999999999998E-6</v>
      </c>
      <c r="Z1685" s="21">
        <v>4601004195424</v>
      </c>
    </row>
    <row r="1686" spans="1:26" ht="12" customHeight="1" outlineLevel="4" x14ac:dyDescent="0.2">
      <c r="A1686" s="14" t="s">
        <v>3320</v>
      </c>
      <c r="B1686" s="26" t="s">
        <v>3321</v>
      </c>
      <c r="C1686" s="52"/>
      <c r="D1686" s="55">
        <f t="shared" si="26"/>
        <v>0</v>
      </c>
      <c r="E1686" s="63" t="str">
        <f>HYPERLINK("https://www.sds-group.ru/product/nakonechnik-mednyy-luzhenyy-tml-10-6-5-10mm-6mm-gost-7386-80-v-upak-5-sht-rexant-07-5308/", "Инфо")</f>
        <v>Инфо</v>
      </c>
      <c r="F1686" s="16" t="s">
        <v>39</v>
      </c>
      <c r="G1686" s="15"/>
      <c r="H1686" s="15"/>
      <c r="I1686" s="15"/>
      <c r="J1686" s="17">
        <v>820</v>
      </c>
      <c r="K1686" s="15"/>
      <c r="L1686" s="17">
        <v>10</v>
      </c>
      <c r="M1686" s="17">
        <v>500</v>
      </c>
      <c r="N1686" s="17">
        <v>10</v>
      </c>
      <c r="O1686" s="18">
        <v>66.7</v>
      </c>
      <c r="P1686" s="18">
        <v>54.67</v>
      </c>
      <c r="Q1686" s="18">
        <v>56.7</v>
      </c>
      <c r="R1686" s="18">
        <v>46.48</v>
      </c>
      <c r="S1686" s="18">
        <v>45.36</v>
      </c>
      <c r="T1686" s="18">
        <v>37.18</v>
      </c>
      <c r="U1686" s="16"/>
      <c r="V1686" s="16"/>
      <c r="W1686" s="16" t="s">
        <v>40</v>
      </c>
      <c r="X1686" s="19">
        <v>8.0000000000000002E-3</v>
      </c>
      <c r="Y1686" s="20">
        <v>3.1000000000000001E-5</v>
      </c>
      <c r="Z1686" s="21">
        <v>4601004136861</v>
      </c>
    </row>
    <row r="1687" spans="1:26" ht="12" customHeight="1" outlineLevel="4" x14ac:dyDescent="0.2">
      <c r="A1687" s="14" t="s">
        <v>3322</v>
      </c>
      <c r="B1687" s="26" t="s">
        <v>3323</v>
      </c>
      <c r="C1687" s="52"/>
      <c r="D1687" s="55">
        <f t="shared" si="26"/>
        <v>0</v>
      </c>
      <c r="E1687" s="63" t="str">
        <f>HYPERLINK("https://www.sds-group.ru/product/nakonechnik-mednyy-luzhenyy-tml-10-8-5-10mm-8mm-gost-7386-80-v-upak-5-sht-rexant-07-5309/", "Инфо")</f>
        <v>Инфо</v>
      </c>
      <c r="F1687" s="16" t="s">
        <v>39</v>
      </c>
      <c r="G1687" s="15"/>
      <c r="H1687" s="15"/>
      <c r="I1687" s="15"/>
      <c r="J1687" s="17">
        <v>840</v>
      </c>
      <c r="K1687" s="15"/>
      <c r="L1687" s="17">
        <v>10</v>
      </c>
      <c r="M1687" s="17">
        <v>500</v>
      </c>
      <c r="N1687" s="17">
        <v>10</v>
      </c>
      <c r="O1687" s="18">
        <v>66.58</v>
      </c>
      <c r="P1687" s="18">
        <v>54.57</v>
      </c>
      <c r="Q1687" s="18">
        <v>56.59</v>
      </c>
      <c r="R1687" s="18">
        <v>46.39</v>
      </c>
      <c r="S1687" s="18">
        <v>45.27</v>
      </c>
      <c r="T1687" s="18">
        <v>37.11</v>
      </c>
      <c r="U1687" s="16"/>
      <c r="V1687" s="16"/>
      <c r="W1687" s="16" t="s">
        <v>40</v>
      </c>
      <c r="X1687" s="19">
        <v>8.9999999999999993E-3</v>
      </c>
      <c r="Y1687" s="20">
        <v>6.4999999999999994E-5</v>
      </c>
      <c r="Z1687" s="21">
        <v>4601004136885</v>
      </c>
    </row>
    <row r="1688" spans="1:26" ht="12" customHeight="1" outlineLevel="4" x14ac:dyDescent="0.2">
      <c r="A1688" s="14" t="s">
        <v>3324</v>
      </c>
      <c r="B1688" s="26" t="s">
        <v>3325</v>
      </c>
      <c r="C1688" s="52"/>
      <c r="D1688" s="55">
        <f t="shared" si="26"/>
        <v>0</v>
      </c>
      <c r="E1688" s="63" t="str">
        <f>HYPERLINK("https://www.sds-group.ru/product/nakonechnik-mednyy-luzhenyy-tml-120-12-17-120mm-12mm-gost-7386-80-v-upak-2-sht-rexant-07-5331/", "Инфо")</f>
        <v>Инфо</v>
      </c>
      <c r="F1688" s="16" t="s">
        <v>39</v>
      </c>
      <c r="G1688" s="15"/>
      <c r="H1688" s="15"/>
      <c r="I1688" s="15"/>
      <c r="J1688" s="17">
        <v>440</v>
      </c>
      <c r="K1688" s="15"/>
      <c r="L1688" s="17">
        <v>2</v>
      </c>
      <c r="M1688" s="17">
        <v>100</v>
      </c>
      <c r="N1688" s="17">
        <v>2</v>
      </c>
      <c r="O1688" s="18">
        <v>610.28</v>
      </c>
      <c r="P1688" s="18">
        <v>500.23</v>
      </c>
      <c r="Q1688" s="18">
        <v>518.74</v>
      </c>
      <c r="R1688" s="18">
        <v>425.2</v>
      </c>
      <c r="S1688" s="18">
        <v>414.99</v>
      </c>
      <c r="T1688" s="18">
        <v>340.16</v>
      </c>
      <c r="U1688" s="16"/>
      <c r="V1688" s="16"/>
      <c r="W1688" s="16" t="s">
        <v>40</v>
      </c>
      <c r="X1688" s="19">
        <v>8.6999999999999994E-2</v>
      </c>
      <c r="Y1688" s="20">
        <v>9.3999999999999994E-5</v>
      </c>
      <c r="Z1688" s="21">
        <v>4601004136809</v>
      </c>
    </row>
    <row r="1689" spans="1:26" ht="12" customHeight="1" outlineLevel="4" x14ac:dyDescent="0.2">
      <c r="A1689" s="14" t="s">
        <v>3326</v>
      </c>
      <c r="B1689" s="26" t="s">
        <v>3327</v>
      </c>
      <c r="C1689" s="52"/>
      <c r="D1689" s="55">
        <f t="shared" si="26"/>
        <v>0</v>
      </c>
      <c r="E1689" s="63" t="str">
        <f>HYPERLINK("https://www.sds-group.ru/product/nakonechnik-mednyy-luzhenyy-tml-120-12-17-120mm-12mm-gost-7386-80-v-upak-20sht-rexant-07-5331-5/", "Инфо")</f>
        <v>Инфо</v>
      </c>
      <c r="F1689" s="16" t="s">
        <v>39</v>
      </c>
      <c r="G1689" s="15"/>
      <c r="H1689" s="15"/>
      <c r="I1689" s="15" t="s">
        <v>3328</v>
      </c>
      <c r="J1689" s="17">
        <v>95</v>
      </c>
      <c r="K1689" s="15" t="s">
        <v>1408</v>
      </c>
      <c r="L1689" s="17">
        <v>20</v>
      </c>
      <c r="M1689" s="17">
        <v>120</v>
      </c>
      <c r="N1689" s="17">
        <v>20</v>
      </c>
      <c r="O1689" s="18">
        <v>584.17999999999995</v>
      </c>
      <c r="P1689" s="18">
        <v>478.84</v>
      </c>
      <c r="Q1689" s="18">
        <v>496.55</v>
      </c>
      <c r="R1689" s="18">
        <v>407.01</v>
      </c>
      <c r="S1689" s="18">
        <v>397.24</v>
      </c>
      <c r="T1689" s="18">
        <v>325.61</v>
      </c>
      <c r="U1689" s="16"/>
      <c r="V1689" s="16"/>
      <c r="W1689" s="16" t="s">
        <v>40</v>
      </c>
      <c r="X1689" s="19">
        <v>0.105</v>
      </c>
      <c r="Y1689" s="20">
        <v>2.0000000000000001E-4</v>
      </c>
      <c r="Z1689" s="21">
        <v>4601004195608</v>
      </c>
    </row>
    <row r="1690" spans="1:26" ht="12" customHeight="1" outlineLevel="4" x14ac:dyDescent="0.2">
      <c r="A1690" s="14" t="s">
        <v>3329</v>
      </c>
      <c r="B1690" s="26" t="s">
        <v>3330</v>
      </c>
      <c r="C1690" s="52"/>
      <c r="D1690" s="55">
        <f t="shared" si="26"/>
        <v>0</v>
      </c>
      <c r="E1690" s="63" t="str">
        <f>HYPERLINK("https://www.sds-group.ru/product/nakonechnik-mednyy-luzhenyy-tml-120-16-17-120mm-16mm-gost-7386-80-v-upak-25-sht-rexant-07-5332-5/", "Инфо")</f>
        <v>Инфо</v>
      </c>
      <c r="F1690" s="16" t="s">
        <v>39</v>
      </c>
      <c r="G1690" s="15"/>
      <c r="H1690" s="15"/>
      <c r="I1690" s="15" t="s">
        <v>3328</v>
      </c>
      <c r="J1690" s="17">
        <v>360</v>
      </c>
      <c r="K1690" s="15"/>
      <c r="L1690" s="17">
        <v>25</v>
      </c>
      <c r="M1690" s="17">
        <v>120</v>
      </c>
      <c r="N1690" s="17">
        <v>25</v>
      </c>
      <c r="O1690" s="18">
        <v>494.8</v>
      </c>
      <c r="P1690" s="18">
        <v>405.57</v>
      </c>
      <c r="Q1690" s="18">
        <v>346.36</v>
      </c>
      <c r="R1690" s="18">
        <v>283.89999999999998</v>
      </c>
      <c r="S1690" s="18">
        <v>336.46</v>
      </c>
      <c r="T1690" s="18">
        <v>275.79000000000002</v>
      </c>
      <c r="U1690" s="16"/>
      <c r="V1690" s="16"/>
      <c r="W1690" s="16"/>
      <c r="X1690" s="19">
        <v>0.105</v>
      </c>
      <c r="Y1690" s="20">
        <v>2.0000000000000001E-4</v>
      </c>
      <c r="Z1690" s="21">
        <v>4601004195615</v>
      </c>
    </row>
    <row r="1691" spans="1:26" ht="12" customHeight="1" outlineLevel="4" x14ac:dyDescent="0.2">
      <c r="A1691" s="14" t="s">
        <v>3331</v>
      </c>
      <c r="B1691" s="26" t="s">
        <v>3332</v>
      </c>
      <c r="C1691" s="52"/>
      <c r="D1691" s="55">
        <f t="shared" si="26"/>
        <v>0</v>
      </c>
      <c r="E1691" s="63" t="str">
        <f>HYPERLINK("https://www.sds-group.ru/product/nakonechnik-medniy-lujeniy-tml-16-6-6-16mm-sup2-oslash-6mm-gost-7386-80-v-upak-100sht-rexant-25554/", "Инфо")</f>
        <v>Инфо</v>
      </c>
      <c r="F1691" s="16" t="s">
        <v>39</v>
      </c>
      <c r="G1691" s="15"/>
      <c r="H1691" s="15"/>
      <c r="I1691" s="15"/>
      <c r="J1691" s="22">
        <v>3400</v>
      </c>
      <c r="K1691" s="15"/>
      <c r="L1691" s="17">
        <v>100</v>
      </c>
      <c r="M1691" s="22">
        <v>1100</v>
      </c>
      <c r="N1691" s="17">
        <v>100</v>
      </c>
      <c r="O1691" s="18">
        <v>73.290000000000006</v>
      </c>
      <c r="P1691" s="18">
        <v>60.07</v>
      </c>
      <c r="Q1691" s="18">
        <v>62.3</v>
      </c>
      <c r="R1691" s="18">
        <v>51.07</v>
      </c>
      <c r="S1691" s="18">
        <v>49.84</v>
      </c>
      <c r="T1691" s="18">
        <v>40.85</v>
      </c>
      <c r="U1691" s="16"/>
      <c r="V1691" s="16"/>
      <c r="W1691" s="16" t="s">
        <v>40</v>
      </c>
      <c r="X1691" s="19">
        <v>8.9999999999999993E-3</v>
      </c>
      <c r="Y1691" s="20">
        <v>3.9999999999999998E-6</v>
      </c>
      <c r="Z1691" s="21">
        <v>4601004195431</v>
      </c>
    </row>
    <row r="1692" spans="1:26" ht="12" customHeight="1" outlineLevel="4" x14ac:dyDescent="0.2">
      <c r="A1692" s="14" t="s">
        <v>3333</v>
      </c>
      <c r="B1692" s="26" t="s">
        <v>3334</v>
      </c>
      <c r="C1692" s="52"/>
      <c r="D1692" s="55">
        <f t="shared" si="26"/>
        <v>0</v>
      </c>
      <c r="E1692" s="63" t="str">
        <f>HYPERLINK("https://www.sds-group.ru/product/nakonechnik-mednyy-luzhenyy-tml-16-8-6-16mm-8mm-gost-7386-80-v-upak-100-sht-rexant-07-5311-5/", "Инфо")</f>
        <v>Инфо</v>
      </c>
      <c r="F1692" s="16" t="s">
        <v>39</v>
      </c>
      <c r="G1692" s="15"/>
      <c r="H1692" s="15"/>
      <c r="I1692" s="15"/>
      <c r="J1692" s="22">
        <v>15300</v>
      </c>
      <c r="K1692" s="15"/>
      <c r="L1692" s="17">
        <v>100</v>
      </c>
      <c r="M1692" s="22">
        <v>1100</v>
      </c>
      <c r="N1692" s="17">
        <v>100</v>
      </c>
      <c r="O1692" s="18">
        <v>73.8</v>
      </c>
      <c r="P1692" s="18">
        <v>60.49</v>
      </c>
      <c r="Q1692" s="18">
        <v>62.73</v>
      </c>
      <c r="R1692" s="18">
        <v>51.42</v>
      </c>
      <c r="S1692" s="18">
        <v>50.18</v>
      </c>
      <c r="T1692" s="18">
        <v>41.13</v>
      </c>
      <c r="U1692" s="16"/>
      <c r="V1692" s="16"/>
      <c r="W1692" s="16" t="s">
        <v>40</v>
      </c>
      <c r="X1692" s="19">
        <v>8.9999999999999993E-3</v>
      </c>
      <c r="Y1692" s="20">
        <v>6.0000000000000002E-6</v>
      </c>
      <c r="Z1692" s="21">
        <v>4601004195448</v>
      </c>
    </row>
    <row r="1693" spans="1:26" ht="12" customHeight="1" outlineLevel="4" x14ac:dyDescent="0.2">
      <c r="A1693" s="14" t="s">
        <v>3335</v>
      </c>
      <c r="B1693" s="26" t="s">
        <v>3336</v>
      </c>
      <c r="C1693" s="52"/>
      <c r="D1693" s="55">
        <f t="shared" si="26"/>
        <v>0</v>
      </c>
      <c r="E1693" s="63" t="str">
        <f>HYPERLINK("https://www.sds-group.ru/product/nakonechnik-mednyy-luzhenyy-tml-16-6-6-16mm-6mm-gost-7386-80-v-upak-5-sht-rexant-07-5310/", "Инфо")</f>
        <v>Инфо</v>
      </c>
      <c r="F1693" s="16" t="s">
        <v>39</v>
      </c>
      <c r="G1693" s="15"/>
      <c r="H1693" s="15"/>
      <c r="I1693" s="15"/>
      <c r="J1693" s="16" t="s">
        <v>100</v>
      </c>
      <c r="K1693" s="15"/>
      <c r="L1693" s="17">
        <v>10</v>
      </c>
      <c r="M1693" s="17">
        <v>500</v>
      </c>
      <c r="N1693" s="17">
        <v>10</v>
      </c>
      <c r="O1693" s="18">
        <v>79.010000000000005</v>
      </c>
      <c r="P1693" s="18">
        <v>64.760000000000005</v>
      </c>
      <c r="Q1693" s="18">
        <v>67.16</v>
      </c>
      <c r="R1693" s="18">
        <v>55.05</v>
      </c>
      <c r="S1693" s="18">
        <v>53.73</v>
      </c>
      <c r="T1693" s="18">
        <v>44.04</v>
      </c>
      <c r="U1693" s="16"/>
      <c r="V1693" s="16"/>
      <c r="W1693" s="16" t="s">
        <v>40</v>
      </c>
      <c r="X1693" s="19">
        <v>1.0999999999999999E-2</v>
      </c>
      <c r="Y1693" s="20">
        <v>4.6999999999999997E-5</v>
      </c>
      <c r="Z1693" s="21">
        <v>4601004136892</v>
      </c>
    </row>
    <row r="1694" spans="1:26" ht="12" customHeight="1" outlineLevel="4" x14ac:dyDescent="0.2">
      <c r="A1694" s="14" t="s">
        <v>3337</v>
      </c>
      <c r="B1694" s="26" t="s">
        <v>3338</v>
      </c>
      <c r="C1694" s="52"/>
      <c r="D1694" s="55">
        <f t="shared" si="26"/>
        <v>0</v>
      </c>
      <c r="E1694" s="63" t="str">
        <f>HYPERLINK("https://www.sds-group.ru/product/nakonechnik-mednyy-luzhenyy-tml-16-8-6-16mm-8mm-gost-7386-80-v-upak-5-sht-rexant-07-5311/", "Инфо")</f>
        <v>Инфо</v>
      </c>
      <c r="F1694" s="16" t="s">
        <v>39</v>
      </c>
      <c r="G1694" s="15"/>
      <c r="H1694" s="15"/>
      <c r="I1694" s="15"/>
      <c r="J1694" s="16" t="s">
        <v>100</v>
      </c>
      <c r="K1694" s="15"/>
      <c r="L1694" s="17">
        <v>10</v>
      </c>
      <c r="M1694" s="17">
        <v>500</v>
      </c>
      <c r="N1694" s="17">
        <v>10</v>
      </c>
      <c r="O1694" s="18">
        <v>79.22</v>
      </c>
      <c r="P1694" s="18">
        <v>64.930000000000007</v>
      </c>
      <c r="Q1694" s="18">
        <v>67.34</v>
      </c>
      <c r="R1694" s="18">
        <v>55.2</v>
      </c>
      <c r="S1694" s="18">
        <v>53.87</v>
      </c>
      <c r="T1694" s="18">
        <v>44.16</v>
      </c>
      <c r="U1694" s="16"/>
      <c r="V1694" s="16"/>
      <c r="W1694" s="16" t="s">
        <v>40</v>
      </c>
      <c r="X1694" s="19">
        <v>8.0000000000000002E-3</v>
      </c>
      <c r="Y1694" s="20">
        <v>4.6E-5</v>
      </c>
      <c r="Z1694" s="21">
        <v>4601004136908</v>
      </c>
    </row>
    <row r="1695" spans="1:26" ht="12" customHeight="1" outlineLevel="4" x14ac:dyDescent="0.2">
      <c r="A1695" s="32" t="s">
        <v>3339</v>
      </c>
      <c r="B1695" s="74" t="s">
        <v>3340</v>
      </c>
      <c r="C1695" s="50"/>
      <c r="D1695" s="53">
        <f t="shared" si="26"/>
        <v>0</v>
      </c>
      <c r="E1695" s="60" t="str">
        <f>HYPERLINK("https://www.sds-group.ru/product/nakonechnik-mednyy-luzhenyy-tml-2-5-4-2-6-2-5mm-4mm-gost-7386-80-v-upak-10-sht-rexant-07-5300-3/", "Инфо")</f>
        <v>Инфо</v>
      </c>
      <c r="F1695" s="34" t="s">
        <v>39</v>
      </c>
      <c r="G1695" s="33"/>
      <c r="H1695" s="33" t="s">
        <v>40</v>
      </c>
      <c r="I1695" s="33"/>
      <c r="J1695" s="34" t="s">
        <v>100</v>
      </c>
      <c r="K1695" s="33"/>
      <c r="L1695" s="35">
        <v>10</v>
      </c>
      <c r="M1695" s="35">
        <v>100</v>
      </c>
      <c r="N1695" s="35">
        <v>10</v>
      </c>
      <c r="O1695" s="36">
        <v>19.829999999999998</v>
      </c>
      <c r="P1695" s="36">
        <v>16.25</v>
      </c>
      <c r="Q1695" s="36">
        <v>13.88</v>
      </c>
      <c r="R1695" s="36">
        <v>11.38</v>
      </c>
      <c r="S1695" s="36">
        <v>13.48</v>
      </c>
      <c r="T1695" s="36">
        <v>11.05</v>
      </c>
      <c r="U1695" s="34"/>
      <c r="V1695" s="34"/>
      <c r="W1695" s="34"/>
      <c r="X1695" s="37">
        <v>3.0000000000000001E-3</v>
      </c>
      <c r="Y1695" s="38">
        <v>2.3E-5</v>
      </c>
      <c r="Z1695" s="21">
        <v>4601004191808</v>
      </c>
    </row>
    <row r="1696" spans="1:26" ht="12" customHeight="1" outlineLevel="4" x14ac:dyDescent="0.2">
      <c r="A1696" s="14" t="s">
        <v>3341</v>
      </c>
      <c r="B1696" s="26" t="s">
        <v>3342</v>
      </c>
      <c r="C1696" s="52"/>
      <c r="D1696" s="55">
        <f t="shared" si="26"/>
        <v>0</v>
      </c>
      <c r="E1696" s="63" t="str">
        <f>HYPERLINK("https://www.sds-group.ru/product/nakonechnik-mednyy-luzhenyy-tml-2-5-4-2-6-2-5mm-4mm-gost-7386-80-v-upak-100-sht-rexant-07-5300/", "Инфо")</f>
        <v>Инфо</v>
      </c>
      <c r="F1696" s="16" t="s">
        <v>39</v>
      </c>
      <c r="G1696" s="15"/>
      <c r="H1696" s="15"/>
      <c r="I1696" s="15"/>
      <c r="J1696" s="16" t="s">
        <v>100</v>
      </c>
      <c r="K1696" s="15" t="s">
        <v>1888</v>
      </c>
      <c r="L1696" s="17">
        <v>100</v>
      </c>
      <c r="M1696" s="17">
        <v>100</v>
      </c>
      <c r="N1696" s="17">
        <v>100</v>
      </c>
      <c r="O1696" s="18">
        <v>24.46</v>
      </c>
      <c r="P1696" s="18">
        <v>20.05</v>
      </c>
      <c r="Q1696" s="18">
        <v>20.79</v>
      </c>
      <c r="R1696" s="18">
        <v>17.04</v>
      </c>
      <c r="S1696" s="18">
        <v>16.63</v>
      </c>
      <c r="T1696" s="18">
        <v>13.63</v>
      </c>
      <c r="U1696" s="16"/>
      <c r="V1696" s="16"/>
      <c r="W1696" s="16" t="s">
        <v>40</v>
      </c>
      <c r="X1696" s="19">
        <v>2E-3</v>
      </c>
      <c r="Y1696" s="20">
        <v>0</v>
      </c>
      <c r="Z1696" s="21">
        <v>4601004190733</v>
      </c>
    </row>
    <row r="1697" spans="1:26" ht="12" customHeight="1" outlineLevel="4" x14ac:dyDescent="0.2">
      <c r="A1697" s="14" t="s">
        <v>3343</v>
      </c>
      <c r="B1697" s="26" t="s">
        <v>3344</v>
      </c>
      <c r="C1697" s="52"/>
      <c r="D1697" s="55">
        <f t="shared" si="26"/>
        <v>0</v>
      </c>
      <c r="E1697" s="63" t="str">
        <f>HYPERLINK("https://www.sds-group.ru/product/nakonechnik-mednyy-luzhenyy-tml-2-5-5-2-6-2-5mm-5mm-gost-7386-80-v-upak-10-sht-rexant-07-5301/", "Инфо")</f>
        <v>Инфо</v>
      </c>
      <c r="F1697" s="16" t="s">
        <v>39</v>
      </c>
      <c r="G1697" s="15"/>
      <c r="H1697" s="15"/>
      <c r="I1697" s="15"/>
      <c r="J1697" s="16" t="s">
        <v>100</v>
      </c>
      <c r="K1697" s="15"/>
      <c r="L1697" s="17">
        <v>10</v>
      </c>
      <c r="M1697" s="22">
        <v>1000</v>
      </c>
      <c r="N1697" s="17">
        <v>10</v>
      </c>
      <c r="O1697" s="18">
        <v>24.9</v>
      </c>
      <c r="P1697" s="18">
        <v>20.41</v>
      </c>
      <c r="Q1697" s="18">
        <v>21.17</v>
      </c>
      <c r="R1697" s="18">
        <v>17.350000000000001</v>
      </c>
      <c r="S1697" s="18">
        <v>16.93</v>
      </c>
      <c r="T1697" s="18">
        <v>13.88</v>
      </c>
      <c r="U1697" s="16"/>
      <c r="V1697" s="16"/>
      <c r="W1697" s="16" t="s">
        <v>40</v>
      </c>
      <c r="X1697" s="19">
        <v>3.0000000000000001E-3</v>
      </c>
      <c r="Y1697" s="20">
        <v>2.5999999999999998E-5</v>
      </c>
      <c r="Z1697" s="21">
        <v>4601004137295</v>
      </c>
    </row>
    <row r="1698" spans="1:26" ht="12" customHeight="1" outlineLevel="4" x14ac:dyDescent="0.2">
      <c r="A1698" s="14" t="s">
        <v>3345</v>
      </c>
      <c r="B1698" s="26" t="s">
        <v>3346</v>
      </c>
      <c r="C1698" s="52"/>
      <c r="D1698" s="55">
        <f t="shared" si="26"/>
        <v>0</v>
      </c>
      <c r="E1698" s="63" t="str">
        <f>HYPERLINK("https://www.sds-group.ru/product/nakonechnik-mednyy-luzhenyy-tml-2-5-5-2-6-2-5mm-5mm-gost-7386-80-v-upak-100-sht-rexant-07-5301-5/", "Инфо")</f>
        <v>Инфо</v>
      </c>
      <c r="F1698" s="16" t="s">
        <v>39</v>
      </c>
      <c r="G1698" s="15"/>
      <c r="H1698" s="15"/>
      <c r="I1698" s="15"/>
      <c r="J1698" s="22">
        <v>4000</v>
      </c>
      <c r="K1698" s="15" t="s">
        <v>1888</v>
      </c>
      <c r="L1698" s="17">
        <v>100</v>
      </c>
      <c r="M1698" s="22">
        <v>4000</v>
      </c>
      <c r="N1698" s="17">
        <v>100</v>
      </c>
      <c r="O1698" s="18">
        <v>24.46</v>
      </c>
      <c r="P1698" s="18">
        <v>20.05</v>
      </c>
      <c r="Q1698" s="18">
        <v>20.79</v>
      </c>
      <c r="R1698" s="18">
        <v>17.04</v>
      </c>
      <c r="S1698" s="18">
        <v>16.63</v>
      </c>
      <c r="T1698" s="18">
        <v>13.63</v>
      </c>
      <c r="U1698" s="16"/>
      <c r="V1698" s="16"/>
      <c r="W1698" s="16" t="s">
        <v>40</v>
      </c>
      <c r="X1698" s="19">
        <v>3.0000000000000001E-3</v>
      </c>
      <c r="Y1698" s="20">
        <v>0</v>
      </c>
      <c r="Z1698" s="21">
        <v>4601004195349</v>
      </c>
    </row>
    <row r="1699" spans="1:26" ht="12" customHeight="1" outlineLevel="4" x14ac:dyDescent="0.2">
      <c r="A1699" s="14" t="s">
        <v>3347</v>
      </c>
      <c r="B1699" s="26" t="s">
        <v>3348</v>
      </c>
      <c r="C1699" s="52"/>
      <c r="D1699" s="55">
        <f t="shared" si="26"/>
        <v>0</v>
      </c>
      <c r="E1699" s="63" t="str">
        <f>HYPERLINK("https://www.sds-group.ru/product/nakonechnik-mednyy-luzhenyy-tml-2-5-6-2-6-2-5mm-6mm-gost-7386-80-v-upak-10-sht-rexant-07-5302/", "Инфо")</f>
        <v>Инфо</v>
      </c>
      <c r="F1699" s="16" t="s">
        <v>39</v>
      </c>
      <c r="G1699" s="15"/>
      <c r="H1699" s="15"/>
      <c r="I1699" s="15"/>
      <c r="J1699" s="22">
        <v>1050</v>
      </c>
      <c r="K1699" s="15"/>
      <c r="L1699" s="17">
        <v>10</v>
      </c>
      <c r="M1699" s="22">
        <v>1000</v>
      </c>
      <c r="N1699" s="17">
        <v>10</v>
      </c>
      <c r="O1699" s="18">
        <v>25.19</v>
      </c>
      <c r="P1699" s="18">
        <v>20.65</v>
      </c>
      <c r="Q1699" s="18">
        <v>21.41</v>
      </c>
      <c r="R1699" s="18">
        <v>17.55</v>
      </c>
      <c r="S1699" s="18">
        <v>17.13</v>
      </c>
      <c r="T1699" s="18">
        <v>14.04</v>
      </c>
      <c r="U1699" s="16"/>
      <c r="V1699" s="16"/>
      <c r="W1699" s="16" t="s">
        <v>40</v>
      </c>
      <c r="X1699" s="19">
        <v>3.0000000000000001E-3</v>
      </c>
      <c r="Y1699" s="20">
        <v>3.1999999999999999E-5</v>
      </c>
      <c r="Z1699" s="21">
        <v>4601004137301</v>
      </c>
    </row>
    <row r="1700" spans="1:26" ht="12" customHeight="1" outlineLevel="4" x14ac:dyDescent="0.2">
      <c r="A1700" s="14" t="s">
        <v>3349</v>
      </c>
      <c r="B1700" s="26" t="s">
        <v>3350</v>
      </c>
      <c r="C1700" s="52"/>
      <c r="D1700" s="55">
        <f t="shared" si="26"/>
        <v>0</v>
      </c>
      <c r="E1700" s="63" t="str">
        <f>HYPERLINK("https://www.sds-group.ru/product/nakonechnik-mednyy-luzhenyy-tml-2-5-6-2-6-2-5mm-6mm-gost-7386-80-v-upak-100-sht-rexant-07-5302-5/", "Инфо")</f>
        <v>Инфо</v>
      </c>
      <c r="F1700" s="16" t="s">
        <v>39</v>
      </c>
      <c r="G1700" s="15"/>
      <c r="H1700" s="15"/>
      <c r="I1700" s="15"/>
      <c r="J1700" s="22">
        <v>3700</v>
      </c>
      <c r="K1700" s="15" t="s">
        <v>1408</v>
      </c>
      <c r="L1700" s="17">
        <v>100</v>
      </c>
      <c r="M1700" s="22">
        <v>4000</v>
      </c>
      <c r="N1700" s="17">
        <v>100</v>
      </c>
      <c r="O1700" s="18">
        <v>24.52</v>
      </c>
      <c r="P1700" s="18">
        <v>20.100000000000001</v>
      </c>
      <c r="Q1700" s="18">
        <v>20.84</v>
      </c>
      <c r="R1700" s="18">
        <v>17.079999999999998</v>
      </c>
      <c r="S1700" s="18">
        <v>16.670000000000002</v>
      </c>
      <c r="T1700" s="18">
        <v>13.66</v>
      </c>
      <c r="U1700" s="16"/>
      <c r="V1700" s="16"/>
      <c r="W1700" s="16" t="s">
        <v>40</v>
      </c>
      <c r="X1700" s="19">
        <v>3.0000000000000001E-3</v>
      </c>
      <c r="Y1700" s="20">
        <v>1.9999999999999999E-6</v>
      </c>
      <c r="Z1700" s="21">
        <v>4601004195356</v>
      </c>
    </row>
    <row r="1701" spans="1:26" ht="12" customHeight="1" outlineLevel="4" x14ac:dyDescent="0.2">
      <c r="A1701" s="14" t="s">
        <v>3351</v>
      </c>
      <c r="B1701" s="26" t="s">
        <v>3352</v>
      </c>
      <c r="C1701" s="52"/>
      <c r="D1701" s="55">
        <f t="shared" si="26"/>
        <v>0</v>
      </c>
      <c r="E1701" s="63" t="str">
        <f>HYPERLINK("https://www.sds-group.ru/product/nakonechnik-mednyy-luzhenyy-tml-25-10-8-25mm-10mm-gost-7386-80-v-upak-100sht-rexant-07-5315-5/", "Инфо")</f>
        <v>Инфо</v>
      </c>
      <c r="F1701" s="16" t="s">
        <v>39</v>
      </c>
      <c r="G1701" s="15"/>
      <c r="H1701" s="15"/>
      <c r="I1701" s="15"/>
      <c r="J1701" s="17">
        <v>800</v>
      </c>
      <c r="K1701" s="15"/>
      <c r="L1701" s="17">
        <v>100</v>
      </c>
      <c r="M1701" s="17">
        <v>700</v>
      </c>
      <c r="N1701" s="17">
        <v>100</v>
      </c>
      <c r="O1701" s="18">
        <v>114.45</v>
      </c>
      <c r="P1701" s="18">
        <v>93.81</v>
      </c>
      <c r="Q1701" s="18">
        <v>97.28</v>
      </c>
      <c r="R1701" s="18">
        <v>79.739999999999995</v>
      </c>
      <c r="S1701" s="18">
        <v>77.83</v>
      </c>
      <c r="T1701" s="18">
        <v>63.8</v>
      </c>
      <c r="U1701" s="16"/>
      <c r="V1701" s="16"/>
      <c r="W1701" s="16" t="s">
        <v>40</v>
      </c>
      <c r="X1701" s="19">
        <v>1.4E-2</v>
      </c>
      <c r="Y1701" s="20">
        <v>6.0000000000000002E-6</v>
      </c>
      <c r="Z1701" s="21">
        <v>4601004195479</v>
      </c>
    </row>
    <row r="1702" spans="1:26" ht="12" customHeight="1" outlineLevel="4" x14ac:dyDescent="0.2">
      <c r="A1702" s="14" t="s">
        <v>3353</v>
      </c>
      <c r="B1702" s="26" t="s">
        <v>3354</v>
      </c>
      <c r="C1702" s="52"/>
      <c r="D1702" s="55">
        <f t="shared" si="26"/>
        <v>0</v>
      </c>
      <c r="E1702" s="63" t="str">
        <f>HYPERLINK("https://www.sds-group.ru/product/nakonechnik-medniy-lujeniy-tml-25-10-8-25mm-sup2-oslash-10mm-gost-7386-80-v-upak-5-sht-rexant-10117/", "Инфо")</f>
        <v>Инфо</v>
      </c>
      <c r="F1702" s="16" t="s">
        <v>39</v>
      </c>
      <c r="G1702" s="15"/>
      <c r="H1702" s="15"/>
      <c r="I1702" s="15"/>
      <c r="J1702" s="22">
        <v>1630</v>
      </c>
      <c r="K1702" s="15"/>
      <c r="L1702" s="17">
        <v>10</v>
      </c>
      <c r="M1702" s="17">
        <v>500</v>
      </c>
      <c r="N1702" s="17">
        <v>10</v>
      </c>
      <c r="O1702" s="18">
        <v>114.38</v>
      </c>
      <c r="P1702" s="18">
        <v>93.75</v>
      </c>
      <c r="Q1702" s="18">
        <v>97.22</v>
      </c>
      <c r="R1702" s="18">
        <v>79.69</v>
      </c>
      <c r="S1702" s="18">
        <v>77.78</v>
      </c>
      <c r="T1702" s="18">
        <v>63.75</v>
      </c>
      <c r="U1702" s="16"/>
      <c r="V1702" s="16"/>
      <c r="W1702" s="16" t="s">
        <v>40</v>
      </c>
      <c r="X1702" s="19">
        <v>6.0000000000000001E-3</v>
      </c>
      <c r="Y1702" s="20">
        <v>2.6999999999999999E-5</v>
      </c>
      <c r="Z1702" s="21">
        <v>4601004136939</v>
      </c>
    </row>
    <row r="1703" spans="1:26" ht="12" customHeight="1" outlineLevel="4" x14ac:dyDescent="0.2">
      <c r="A1703" s="14" t="s">
        <v>3355</v>
      </c>
      <c r="B1703" s="26" t="s">
        <v>3356</v>
      </c>
      <c r="C1703" s="52"/>
      <c r="D1703" s="55">
        <f t="shared" si="26"/>
        <v>0</v>
      </c>
      <c r="E1703" s="63" t="str">
        <f>HYPERLINK("https://www.sds-group.ru/product/nakonechnik-mednyy-luzhenyy-tml-25-6-8-25mm-6mm-gost-7386-80-v-upak-100-sht-rexant-07-5312-5/", "Инфо")</f>
        <v>Инфо</v>
      </c>
      <c r="F1703" s="16" t="s">
        <v>39</v>
      </c>
      <c r="G1703" s="15"/>
      <c r="H1703" s="15"/>
      <c r="I1703" s="15"/>
      <c r="J1703" s="22">
        <v>5600</v>
      </c>
      <c r="K1703" s="15" t="s">
        <v>1408</v>
      </c>
      <c r="L1703" s="17">
        <v>100</v>
      </c>
      <c r="M1703" s="17">
        <v>700</v>
      </c>
      <c r="N1703" s="17">
        <v>100</v>
      </c>
      <c r="O1703" s="18">
        <v>102.82</v>
      </c>
      <c r="P1703" s="18">
        <v>84.28</v>
      </c>
      <c r="Q1703" s="18">
        <v>87.4</v>
      </c>
      <c r="R1703" s="18">
        <v>71.64</v>
      </c>
      <c r="S1703" s="18">
        <v>69.92</v>
      </c>
      <c r="T1703" s="18">
        <v>57.31</v>
      </c>
      <c r="U1703" s="16"/>
      <c r="V1703" s="16"/>
      <c r="W1703" s="16" t="s">
        <v>40</v>
      </c>
      <c r="X1703" s="19">
        <v>1.4E-2</v>
      </c>
      <c r="Y1703" s="20">
        <v>6.0000000000000002E-6</v>
      </c>
      <c r="Z1703" s="21">
        <v>4601004195455</v>
      </c>
    </row>
    <row r="1704" spans="1:26" ht="12" customHeight="1" outlineLevel="4" x14ac:dyDescent="0.2">
      <c r="A1704" s="14" t="s">
        <v>3357</v>
      </c>
      <c r="B1704" s="26" t="s">
        <v>3358</v>
      </c>
      <c r="C1704" s="52"/>
      <c r="D1704" s="55">
        <f t="shared" si="26"/>
        <v>0</v>
      </c>
      <c r="E1704" s="63" t="str">
        <f>HYPERLINK("https://www.sds-group.ru/product/nakonechnik-mednyy-luzhenyy-tml-25-8-7-25mm-8mm-gost-7386-80-v-upak-10-sht-rexant-07-5313-3/", "Инфо")</f>
        <v>Инфо</v>
      </c>
      <c r="F1704" s="16" t="s">
        <v>39</v>
      </c>
      <c r="G1704" s="15"/>
      <c r="H1704" s="15"/>
      <c r="I1704" s="15"/>
      <c r="J1704" s="17">
        <v>470</v>
      </c>
      <c r="K1704" s="15"/>
      <c r="L1704" s="17">
        <v>10</v>
      </c>
      <c r="M1704" s="22">
        <v>1000</v>
      </c>
      <c r="N1704" s="17">
        <v>10</v>
      </c>
      <c r="O1704" s="18">
        <v>96.96</v>
      </c>
      <c r="P1704" s="18">
        <v>79.48</v>
      </c>
      <c r="Q1704" s="18">
        <v>82.42</v>
      </c>
      <c r="R1704" s="18">
        <v>67.56</v>
      </c>
      <c r="S1704" s="18">
        <v>65.930000000000007</v>
      </c>
      <c r="T1704" s="18">
        <v>54.04</v>
      </c>
      <c r="U1704" s="16"/>
      <c r="V1704" s="16"/>
      <c r="W1704" s="16" t="s">
        <v>40</v>
      </c>
      <c r="X1704" s="19">
        <v>1.0999999999999999E-2</v>
      </c>
      <c r="Y1704" s="20">
        <v>2.9E-5</v>
      </c>
      <c r="Z1704" s="21">
        <v>4601004190009</v>
      </c>
    </row>
    <row r="1705" spans="1:26" ht="12" customHeight="1" outlineLevel="4" x14ac:dyDescent="0.2">
      <c r="A1705" s="14" t="s">
        <v>3359</v>
      </c>
      <c r="B1705" s="26" t="s">
        <v>3360</v>
      </c>
      <c r="C1705" s="52"/>
      <c r="D1705" s="55">
        <f t="shared" si="26"/>
        <v>0</v>
      </c>
      <c r="E1705" s="63" t="str">
        <f>HYPERLINK("https://www.sds-group.ru/product/nakonechnik-mednyy-luzhenyy-tml-25-8-7-25mm-8mm-gost-7386-80-v-upak-100-sht-rexant-07-5313-5/", "Инфо")</f>
        <v>Инфо</v>
      </c>
      <c r="F1705" s="16" t="s">
        <v>39</v>
      </c>
      <c r="G1705" s="15"/>
      <c r="H1705" s="15"/>
      <c r="I1705" s="15"/>
      <c r="J1705" s="22">
        <v>4000</v>
      </c>
      <c r="K1705" s="15" t="s">
        <v>1888</v>
      </c>
      <c r="L1705" s="17">
        <v>100</v>
      </c>
      <c r="M1705" s="22">
        <v>1000</v>
      </c>
      <c r="N1705" s="17">
        <v>100</v>
      </c>
      <c r="O1705" s="18">
        <v>92.35</v>
      </c>
      <c r="P1705" s="18">
        <v>75.7</v>
      </c>
      <c r="Q1705" s="18">
        <v>78.5</v>
      </c>
      <c r="R1705" s="18">
        <v>64.34</v>
      </c>
      <c r="S1705" s="18">
        <v>62.8</v>
      </c>
      <c r="T1705" s="18">
        <v>51.48</v>
      </c>
      <c r="U1705" s="16"/>
      <c r="V1705" s="16"/>
      <c r="W1705" s="16" t="s">
        <v>40</v>
      </c>
      <c r="X1705" s="19">
        <v>1.0999999999999999E-2</v>
      </c>
      <c r="Y1705" s="20">
        <v>9.0000000000000002E-6</v>
      </c>
      <c r="Z1705" s="21">
        <v>4601004192393</v>
      </c>
    </row>
    <row r="1706" spans="1:26" ht="12" customHeight="1" outlineLevel="4" x14ac:dyDescent="0.2">
      <c r="A1706" s="14" t="s">
        <v>3361</v>
      </c>
      <c r="B1706" s="26" t="s">
        <v>3362</v>
      </c>
      <c r="C1706" s="52"/>
      <c r="D1706" s="55">
        <f t="shared" si="26"/>
        <v>0</v>
      </c>
      <c r="E1706" s="63" t="str">
        <f>HYPERLINK("https://www.sds-group.ru/product/nakonechnik-mednyy-luzhenyy-tml-25-8-8-25mm-8mm-gost-7386-80-v-upak-100-sht-rexant-07-5314-5/", "Инфо")</f>
        <v>Инфо</v>
      </c>
      <c r="F1706" s="16" t="s">
        <v>39</v>
      </c>
      <c r="G1706" s="15"/>
      <c r="H1706" s="15"/>
      <c r="I1706" s="15"/>
      <c r="J1706" s="22">
        <v>4200</v>
      </c>
      <c r="K1706" s="15"/>
      <c r="L1706" s="17">
        <v>100</v>
      </c>
      <c r="M1706" s="17">
        <v>700</v>
      </c>
      <c r="N1706" s="17">
        <v>100</v>
      </c>
      <c r="O1706" s="18">
        <v>113.59</v>
      </c>
      <c r="P1706" s="18">
        <v>93.11</v>
      </c>
      <c r="Q1706" s="18">
        <v>96.55</v>
      </c>
      <c r="R1706" s="18">
        <v>79.14</v>
      </c>
      <c r="S1706" s="18">
        <v>77.239999999999995</v>
      </c>
      <c r="T1706" s="18">
        <v>63.31</v>
      </c>
      <c r="U1706" s="16"/>
      <c r="V1706" s="16"/>
      <c r="W1706" s="16" t="s">
        <v>40</v>
      </c>
      <c r="X1706" s="19">
        <v>1.4E-2</v>
      </c>
      <c r="Y1706" s="20">
        <v>6.0000000000000002E-6</v>
      </c>
      <c r="Z1706" s="21">
        <v>4601004195462</v>
      </c>
    </row>
    <row r="1707" spans="1:26" ht="12" customHeight="1" outlineLevel="4" x14ac:dyDescent="0.2">
      <c r="A1707" s="14" t="s">
        <v>3363</v>
      </c>
      <c r="B1707" s="26" t="s">
        <v>3364</v>
      </c>
      <c r="C1707" s="52"/>
      <c r="D1707" s="55">
        <f t="shared" si="26"/>
        <v>0</v>
      </c>
      <c r="E1707" s="63" t="str">
        <f>HYPERLINK("https://www.sds-group.ru/product/nakonechnik-mednyy-luzhenyy-tml-25-8-8-25mm-8mm-gost-7386-80-v-upak-5-sht-rexant-07-5314/", "Инфо")</f>
        <v>Инфо</v>
      </c>
      <c r="F1707" s="16" t="s">
        <v>39</v>
      </c>
      <c r="G1707" s="15"/>
      <c r="H1707" s="15"/>
      <c r="I1707" s="15"/>
      <c r="J1707" s="22">
        <v>1400</v>
      </c>
      <c r="K1707" s="15"/>
      <c r="L1707" s="17">
        <v>10</v>
      </c>
      <c r="M1707" s="17">
        <v>500</v>
      </c>
      <c r="N1707" s="17">
        <v>10</v>
      </c>
      <c r="O1707" s="18">
        <v>115.96</v>
      </c>
      <c r="P1707" s="18">
        <v>95.05</v>
      </c>
      <c r="Q1707" s="18">
        <v>98.57</v>
      </c>
      <c r="R1707" s="18">
        <v>80.8</v>
      </c>
      <c r="S1707" s="18">
        <v>78.849999999999994</v>
      </c>
      <c r="T1707" s="18">
        <v>64.63</v>
      </c>
      <c r="U1707" s="16"/>
      <c r="V1707" s="16"/>
      <c r="W1707" s="16" t="s">
        <v>40</v>
      </c>
      <c r="X1707" s="19">
        <v>1.4E-2</v>
      </c>
      <c r="Y1707" s="20">
        <v>4.0000000000000003E-5</v>
      </c>
      <c r="Z1707" s="21">
        <v>4601004136922</v>
      </c>
    </row>
    <row r="1708" spans="1:26" ht="12" customHeight="1" outlineLevel="4" x14ac:dyDescent="0.2">
      <c r="A1708" s="14" t="s">
        <v>3365</v>
      </c>
      <c r="B1708" s="26" t="s">
        <v>3366</v>
      </c>
      <c r="C1708" s="52"/>
      <c r="D1708" s="55">
        <f t="shared" si="26"/>
        <v>0</v>
      </c>
      <c r="E1708" s="63" t="str">
        <f>HYPERLINK("https://www.sds-group.ru/product/nakonechnik-mednyy-luzhenyy-tml-35-10-10-35mm-10mm-gost-7386-80-v-upak-50-sht-rexant-07-5320-5/", "Инфо")</f>
        <v>Инфо</v>
      </c>
      <c r="F1708" s="16" t="s">
        <v>39</v>
      </c>
      <c r="G1708" s="15"/>
      <c r="H1708" s="15"/>
      <c r="I1708" s="15"/>
      <c r="J1708" s="22">
        <v>2850</v>
      </c>
      <c r="K1708" s="15" t="s">
        <v>1408</v>
      </c>
      <c r="L1708" s="17">
        <v>50</v>
      </c>
      <c r="M1708" s="17">
        <v>500</v>
      </c>
      <c r="N1708" s="17">
        <v>50</v>
      </c>
      <c r="O1708" s="18">
        <v>173.53</v>
      </c>
      <c r="P1708" s="18">
        <v>142.24</v>
      </c>
      <c r="Q1708" s="18">
        <v>147.5</v>
      </c>
      <c r="R1708" s="18">
        <v>120.9</v>
      </c>
      <c r="S1708" s="18">
        <v>118</v>
      </c>
      <c r="T1708" s="18">
        <v>96.72</v>
      </c>
      <c r="U1708" s="16"/>
      <c r="V1708" s="16"/>
      <c r="W1708" s="16" t="s">
        <v>40</v>
      </c>
      <c r="X1708" s="19">
        <v>2.1000000000000001E-2</v>
      </c>
      <c r="Y1708" s="20">
        <v>1.7E-5</v>
      </c>
      <c r="Z1708" s="21">
        <v>4601004195523</v>
      </c>
    </row>
    <row r="1709" spans="1:26" ht="12" customHeight="1" outlineLevel="4" x14ac:dyDescent="0.2">
      <c r="A1709" s="14" t="s">
        <v>3367</v>
      </c>
      <c r="B1709" s="26" t="s">
        <v>3368</v>
      </c>
      <c r="C1709" s="52"/>
      <c r="D1709" s="55">
        <f t="shared" si="26"/>
        <v>0</v>
      </c>
      <c r="E1709" s="63" t="str">
        <f>HYPERLINK("https://www.sds-group.ru/product/nakonechnik-medniy-lujeniy-tml-35-10-9-35mm-sup2-oslash-10mm-gost-7386-80-v-upak-5-sht-rexant-10119/", "Инфо")</f>
        <v>Инфо</v>
      </c>
      <c r="F1709" s="16" t="s">
        <v>39</v>
      </c>
      <c r="G1709" s="15"/>
      <c r="H1709" s="15"/>
      <c r="I1709" s="15"/>
      <c r="J1709" s="17">
        <v>170</v>
      </c>
      <c r="K1709" s="15"/>
      <c r="L1709" s="17">
        <v>5</v>
      </c>
      <c r="M1709" s="17">
        <v>250</v>
      </c>
      <c r="N1709" s="17">
        <v>5</v>
      </c>
      <c r="O1709" s="18">
        <v>152.4</v>
      </c>
      <c r="P1709" s="18">
        <v>124.92</v>
      </c>
      <c r="Q1709" s="18">
        <v>129.54</v>
      </c>
      <c r="R1709" s="18">
        <v>106.18</v>
      </c>
      <c r="S1709" s="18">
        <v>103.63</v>
      </c>
      <c r="T1709" s="18">
        <v>84.94</v>
      </c>
      <c r="U1709" s="16"/>
      <c r="V1709" s="16"/>
      <c r="W1709" s="16" t="s">
        <v>40</v>
      </c>
      <c r="X1709" s="19">
        <v>1.9E-2</v>
      </c>
      <c r="Y1709" s="20">
        <v>3.8999999999999999E-5</v>
      </c>
      <c r="Z1709" s="21">
        <v>4601004136953</v>
      </c>
    </row>
    <row r="1710" spans="1:26" ht="12" customHeight="1" outlineLevel="4" x14ac:dyDescent="0.2">
      <c r="A1710" s="14" t="s">
        <v>3369</v>
      </c>
      <c r="B1710" s="26" t="s">
        <v>3370</v>
      </c>
      <c r="C1710" s="52"/>
      <c r="D1710" s="55">
        <f t="shared" si="26"/>
        <v>0</v>
      </c>
      <c r="E1710" s="63" t="str">
        <f>HYPERLINK("https://www.sds-group.ru/product/nakonechnik-mednyy-luzhenyy-tml-35-10-9-35mm-10mm-gost-7386-80-v-upak-50sht-rexant-07-5317-3/", "Инфо")</f>
        <v>Инфо</v>
      </c>
      <c r="F1710" s="16" t="s">
        <v>39</v>
      </c>
      <c r="G1710" s="15"/>
      <c r="H1710" s="15"/>
      <c r="I1710" s="15"/>
      <c r="J1710" s="22">
        <v>2750</v>
      </c>
      <c r="K1710" s="15" t="s">
        <v>1408</v>
      </c>
      <c r="L1710" s="17">
        <v>50</v>
      </c>
      <c r="M1710" s="17">
        <v>500</v>
      </c>
      <c r="N1710" s="17">
        <v>50</v>
      </c>
      <c r="O1710" s="18">
        <v>151.94999999999999</v>
      </c>
      <c r="P1710" s="18">
        <v>124.55</v>
      </c>
      <c r="Q1710" s="18">
        <v>129.16</v>
      </c>
      <c r="R1710" s="18">
        <v>105.87</v>
      </c>
      <c r="S1710" s="18">
        <v>103.33</v>
      </c>
      <c r="T1710" s="18">
        <v>84.7</v>
      </c>
      <c r="U1710" s="16"/>
      <c r="V1710" s="16"/>
      <c r="W1710" s="16" t="s">
        <v>40</v>
      </c>
      <c r="X1710" s="19">
        <v>1.7000000000000001E-2</v>
      </c>
      <c r="Y1710" s="20">
        <v>1.1E-5</v>
      </c>
      <c r="Z1710" s="21">
        <v>4601004195493</v>
      </c>
    </row>
    <row r="1711" spans="1:26" ht="12" customHeight="1" outlineLevel="4" x14ac:dyDescent="0.2">
      <c r="A1711" s="14" t="s">
        <v>3371</v>
      </c>
      <c r="B1711" s="26" t="s">
        <v>3372</v>
      </c>
      <c r="C1711" s="52"/>
      <c r="D1711" s="55">
        <f t="shared" si="26"/>
        <v>0</v>
      </c>
      <c r="E1711" s="63" t="str">
        <f>HYPERLINK("https://www.sds-group.ru/product/nakonechnik-mednyy-luzhenyy-tml-35-12-10-35mm-12mm-gost-7386-80-v-upak-5-sht-rexant-07-5321/", "Инфо")</f>
        <v>Инфо</v>
      </c>
      <c r="F1711" s="16" t="s">
        <v>39</v>
      </c>
      <c r="G1711" s="15"/>
      <c r="H1711" s="15"/>
      <c r="I1711" s="15"/>
      <c r="J1711" s="17">
        <v>840</v>
      </c>
      <c r="K1711" s="15"/>
      <c r="L1711" s="17">
        <v>5</v>
      </c>
      <c r="M1711" s="17">
        <v>250</v>
      </c>
      <c r="N1711" s="17">
        <v>5</v>
      </c>
      <c r="O1711" s="18">
        <v>173.07</v>
      </c>
      <c r="P1711" s="18">
        <v>141.86000000000001</v>
      </c>
      <c r="Q1711" s="18">
        <v>147.11000000000001</v>
      </c>
      <c r="R1711" s="18">
        <v>120.58</v>
      </c>
      <c r="S1711" s="18">
        <v>117.69</v>
      </c>
      <c r="T1711" s="18">
        <v>96.47</v>
      </c>
      <c r="U1711" s="16"/>
      <c r="V1711" s="16"/>
      <c r="W1711" s="16" t="s">
        <v>40</v>
      </c>
      <c r="X1711" s="19">
        <v>2.3E-2</v>
      </c>
      <c r="Y1711" s="20">
        <v>5.1E-5</v>
      </c>
      <c r="Z1711" s="21">
        <v>4601004136991</v>
      </c>
    </row>
    <row r="1712" spans="1:26" ht="12" customHeight="1" outlineLevel="4" x14ac:dyDescent="0.2">
      <c r="A1712" s="14" t="s">
        <v>3373</v>
      </c>
      <c r="B1712" s="26" t="s">
        <v>3374</v>
      </c>
      <c r="C1712" s="52"/>
      <c r="D1712" s="55">
        <f t="shared" si="26"/>
        <v>0</v>
      </c>
      <c r="E1712" s="63" t="str">
        <f>HYPERLINK("https://www.sds-group.ru/product/nakonechnik-mednyy-luzhenyy-tml-35-12-10-35mm-12mm-gost-7386-80-v-upak-50-sht-rexant-07-5321-5/", "Инфо")</f>
        <v>Инфо</v>
      </c>
      <c r="F1712" s="16" t="s">
        <v>39</v>
      </c>
      <c r="G1712" s="15"/>
      <c r="H1712" s="15"/>
      <c r="I1712" s="15"/>
      <c r="J1712" s="16" t="s">
        <v>100</v>
      </c>
      <c r="K1712" s="15" t="s">
        <v>1408</v>
      </c>
      <c r="L1712" s="17">
        <v>50</v>
      </c>
      <c r="M1712" s="17">
        <v>500</v>
      </c>
      <c r="N1712" s="17">
        <v>50</v>
      </c>
      <c r="O1712" s="18">
        <v>174.39</v>
      </c>
      <c r="P1712" s="18">
        <v>142.94</v>
      </c>
      <c r="Q1712" s="18">
        <v>148.22999999999999</v>
      </c>
      <c r="R1712" s="18">
        <v>121.5</v>
      </c>
      <c r="S1712" s="18">
        <v>118.59</v>
      </c>
      <c r="T1712" s="18">
        <v>97.2</v>
      </c>
      <c r="U1712" s="16"/>
      <c r="V1712" s="16"/>
      <c r="W1712" s="16" t="s">
        <v>40</v>
      </c>
      <c r="X1712" s="19">
        <v>2.1999999999999999E-2</v>
      </c>
      <c r="Y1712" s="20">
        <v>1.1E-5</v>
      </c>
      <c r="Z1712" s="21">
        <v>4601004195530</v>
      </c>
    </row>
    <row r="1713" spans="1:26" ht="12" customHeight="1" outlineLevel="4" x14ac:dyDescent="0.2">
      <c r="A1713" s="14" t="s">
        <v>3375</v>
      </c>
      <c r="B1713" s="26" t="s">
        <v>3376</v>
      </c>
      <c r="C1713" s="52"/>
      <c r="D1713" s="55">
        <f t="shared" si="26"/>
        <v>0</v>
      </c>
      <c r="E1713" s="63" t="str">
        <f>HYPERLINK("https://www.sds-group.ru/product/nakonechnik-mednyy-luzhenyy-tml-35-8-10-35mm-8mm-gost-7386-80-v-upak-5-sht-rexant-07-5319/", "Инфо")</f>
        <v>Инфо</v>
      </c>
      <c r="F1713" s="16" t="s">
        <v>39</v>
      </c>
      <c r="G1713" s="15"/>
      <c r="H1713" s="15"/>
      <c r="I1713" s="15"/>
      <c r="J1713" s="17">
        <v>250</v>
      </c>
      <c r="K1713" s="15"/>
      <c r="L1713" s="17">
        <v>5</v>
      </c>
      <c r="M1713" s="17">
        <v>100</v>
      </c>
      <c r="N1713" s="17">
        <v>5</v>
      </c>
      <c r="O1713" s="18">
        <v>174.06</v>
      </c>
      <c r="P1713" s="18">
        <v>142.66999999999999</v>
      </c>
      <c r="Q1713" s="18">
        <v>147.94999999999999</v>
      </c>
      <c r="R1713" s="18">
        <v>121.27</v>
      </c>
      <c r="S1713" s="18">
        <v>118.36</v>
      </c>
      <c r="T1713" s="18">
        <v>97.02</v>
      </c>
      <c r="U1713" s="16"/>
      <c r="V1713" s="16"/>
      <c r="W1713" s="16" t="s">
        <v>40</v>
      </c>
      <c r="X1713" s="19">
        <v>2.4E-2</v>
      </c>
      <c r="Y1713" s="20">
        <v>5.1999999999999997E-5</v>
      </c>
      <c r="Z1713" s="21">
        <v>4601004136977</v>
      </c>
    </row>
    <row r="1714" spans="1:26" ht="12" customHeight="1" outlineLevel="4" x14ac:dyDescent="0.2">
      <c r="A1714" s="14" t="s">
        <v>3377</v>
      </c>
      <c r="B1714" s="26" t="s">
        <v>3378</v>
      </c>
      <c r="C1714" s="52"/>
      <c r="D1714" s="55">
        <f t="shared" si="26"/>
        <v>0</v>
      </c>
      <c r="E1714" s="63" t="str">
        <f>HYPERLINK("https://www.sds-group.ru/product/nakonechnik-mednyy-luzhenyy-tml-35-8-10-35mm-8mm-gost-7386-80-v-upak-50-sht-rexant-07-5319-5/", "Инфо")</f>
        <v>Инфо</v>
      </c>
      <c r="F1714" s="16" t="s">
        <v>39</v>
      </c>
      <c r="G1714" s="15"/>
      <c r="H1714" s="15"/>
      <c r="I1714" s="15"/>
      <c r="J1714" s="22">
        <v>2100</v>
      </c>
      <c r="K1714" s="15"/>
      <c r="L1714" s="17">
        <v>50</v>
      </c>
      <c r="M1714" s="17">
        <v>500</v>
      </c>
      <c r="N1714" s="17">
        <v>50</v>
      </c>
      <c r="O1714" s="18">
        <v>174.08</v>
      </c>
      <c r="P1714" s="18">
        <v>142.69</v>
      </c>
      <c r="Q1714" s="18">
        <v>147.97</v>
      </c>
      <c r="R1714" s="18">
        <v>121.29</v>
      </c>
      <c r="S1714" s="18">
        <v>118.37</v>
      </c>
      <c r="T1714" s="18">
        <v>97.02</v>
      </c>
      <c r="U1714" s="16"/>
      <c r="V1714" s="16"/>
      <c r="W1714" s="16" t="s">
        <v>40</v>
      </c>
      <c r="X1714" s="19">
        <v>2.1000000000000001E-2</v>
      </c>
      <c r="Y1714" s="20">
        <v>1.2E-5</v>
      </c>
      <c r="Z1714" s="21">
        <v>4601004195516</v>
      </c>
    </row>
    <row r="1715" spans="1:26" ht="12" customHeight="1" outlineLevel="4" x14ac:dyDescent="0.2">
      <c r="A1715" s="14" t="s">
        <v>3379</v>
      </c>
      <c r="B1715" s="26" t="s">
        <v>3380</v>
      </c>
      <c r="C1715" s="52"/>
      <c r="D1715" s="55">
        <f t="shared" si="26"/>
        <v>0</v>
      </c>
      <c r="E1715" s="63" t="str">
        <f>HYPERLINK("https://www.sds-group.ru/product/nakonechnik-mednyy-luzhenyy-tml-35-8-9-35mm-8mm-gost-7386-80-v-upak-100-sht-rexant-07-5316-5/", "Инфо")</f>
        <v>Инфо</v>
      </c>
      <c r="F1715" s="16" t="s">
        <v>39</v>
      </c>
      <c r="G1715" s="15"/>
      <c r="H1715" s="15"/>
      <c r="I1715" s="15"/>
      <c r="J1715" s="22">
        <v>2000</v>
      </c>
      <c r="K1715" s="15" t="s">
        <v>3319</v>
      </c>
      <c r="L1715" s="17">
        <v>100</v>
      </c>
      <c r="M1715" s="17">
        <v>500</v>
      </c>
      <c r="N1715" s="17">
        <v>100</v>
      </c>
      <c r="O1715" s="18">
        <v>152.38999999999999</v>
      </c>
      <c r="P1715" s="18">
        <v>124.91</v>
      </c>
      <c r="Q1715" s="18">
        <v>129.53</v>
      </c>
      <c r="R1715" s="18">
        <v>106.17</v>
      </c>
      <c r="S1715" s="18">
        <v>103.63</v>
      </c>
      <c r="T1715" s="18">
        <v>84.94</v>
      </c>
      <c r="U1715" s="16"/>
      <c r="V1715" s="16"/>
      <c r="W1715" s="16" t="s">
        <v>40</v>
      </c>
      <c r="X1715" s="19">
        <v>0.02</v>
      </c>
      <c r="Y1715" s="20">
        <v>1.0000000000000001E-5</v>
      </c>
      <c r="Z1715" s="21">
        <v>4601004195486</v>
      </c>
    </row>
    <row r="1716" spans="1:26" ht="12" customHeight="1" outlineLevel="4" x14ac:dyDescent="0.2">
      <c r="A1716" s="14" t="s">
        <v>3381</v>
      </c>
      <c r="B1716" s="26" t="s">
        <v>3382</v>
      </c>
      <c r="C1716" s="52"/>
      <c r="D1716" s="55">
        <f t="shared" si="26"/>
        <v>0</v>
      </c>
      <c r="E1716" s="63" t="str">
        <f>HYPERLINK("https://www.sds-group.ru/product/nakonechnik-mednyy-luzhenyy-tml-35-8-9-35mm-8mm-gost-7386-80-v-upak-5-sht-rexant-07-5316/", "Инфо")</f>
        <v>Инфо</v>
      </c>
      <c r="F1716" s="16" t="s">
        <v>39</v>
      </c>
      <c r="G1716" s="15"/>
      <c r="H1716" s="15"/>
      <c r="I1716" s="15"/>
      <c r="J1716" s="22">
        <v>1840</v>
      </c>
      <c r="K1716" s="15"/>
      <c r="L1716" s="17">
        <v>5</v>
      </c>
      <c r="M1716" s="17">
        <v>250</v>
      </c>
      <c r="N1716" s="17">
        <v>5</v>
      </c>
      <c r="O1716" s="18">
        <v>150.97</v>
      </c>
      <c r="P1716" s="18">
        <v>123.75</v>
      </c>
      <c r="Q1716" s="18">
        <v>128.32</v>
      </c>
      <c r="R1716" s="18">
        <v>105.18</v>
      </c>
      <c r="S1716" s="18">
        <v>102.66</v>
      </c>
      <c r="T1716" s="18">
        <v>84.15</v>
      </c>
      <c r="U1716" s="16"/>
      <c r="V1716" s="16"/>
      <c r="W1716" s="16" t="s">
        <v>40</v>
      </c>
      <c r="X1716" s="19">
        <v>2.1000000000000001E-2</v>
      </c>
      <c r="Y1716" s="20">
        <v>5.1E-5</v>
      </c>
      <c r="Z1716" s="21">
        <v>4601004136946</v>
      </c>
    </row>
    <row r="1717" spans="1:26" ht="12" customHeight="1" outlineLevel="4" x14ac:dyDescent="0.2">
      <c r="A1717" s="14" t="s">
        <v>3383</v>
      </c>
      <c r="B1717" s="26" t="s">
        <v>3384</v>
      </c>
      <c r="C1717" s="52"/>
      <c r="D1717" s="55">
        <f t="shared" si="26"/>
        <v>0</v>
      </c>
      <c r="E1717" s="63" t="str">
        <f>HYPERLINK("https://www.sds-group.ru/product/nakonechnik-mednyy-luzhenyy-tml-4-6-3-4mm-6mm-gost-7386-80-v-upak-10-sht-rexant-07-5304/", "Инфо")</f>
        <v>Инфо</v>
      </c>
      <c r="F1717" s="16" t="s">
        <v>39</v>
      </c>
      <c r="G1717" s="15"/>
      <c r="H1717" s="15"/>
      <c r="I1717" s="15"/>
      <c r="J1717" s="22">
        <v>1400</v>
      </c>
      <c r="K1717" s="15"/>
      <c r="L1717" s="17">
        <v>10</v>
      </c>
      <c r="M1717" s="22">
        <v>1000</v>
      </c>
      <c r="N1717" s="17">
        <v>10</v>
      </c>
      <c r="O1717" s="18">
        <v>26.42</v>
      </c>
      <c r="P1717" s="18">
        <v>21.66</v>
      </c>
      <c r="Q1717" s="18">
        <v>22.46</v>
      </c>
      <c r="R1717" s="18">
        <v>18.41</v>
      </c>
      <c r="S1717" s="18">
        <v>17.97</v>
      </c>
      <c r="T1717" s="18">
        <v>14.73</v>
      </c>
      <c r="U1717" s="16"/>
      <c r="V1717" s="16"/>
      <c r="W1717" s="16" t="s">
        <v>40</v>
      </c>
      <c r="X1717" s="19">
        <v>3.0000000000000001E-3</v>
      </c>
      <c r="Y1717" s="20">
        <v>2.4000000000000001E-5</v>
      </c>
      <c r="Z1717" s="21">
        <v>4601004137325</v>
      </c>
    </row>
    <row r="1718" spans="1:26" ht="12" customHeight="1" outlineLevel="4" x14ac:dyDescent="0.2">
      <c r="A1718" s="14" t="s">
        <v>3385</v>
      </c>
      <c r="B1718" s="26" t="s">
        <v>3386</v>
      </c>
      <c r="C1718" s="52"/>
      <c r="D1718" s="55">
        <f t="shared" si="26"/>
        <v>0</v>
      </c>
      <c r="E1718" s="63" t="str">
        <f>HYPERLINK("https://www.sds-group.ru/product/nakonechnik-mednyy-luzhenyy-tml-4-6-3-4mm-6mm-gost-7386-80-v-upak-100-sht-rexant-07-5304-5/", "Инфо")</f>
        <v>Инфо</v>
      </c>
      <c r="F1718" s="16" t="s">
        <v>39</v>
      </c>
      <c r="G1718" s="15"/>
      <c r="H1718" s="15"/>
      <c r="I1718" s="15"/>
      <c r="J1718" s="22">
        <v>12600</v>
      </c>
      <c r="K1718" s="15"/>
      <c r="L1718" s="17">
        <v>100</v>
      </c>
      <c r="M1718" s="22">
        <v>3500</v>
      </c>
      <c r="N1718" s="17">
        <v>100</v>
      </c>
      <c r="O1718" s="18">
        <v>24.54</v>
      </c>
      <c r="P1718" s="18">
        <v>20.11</v>
      </c>
      <c r="Q1718" s="18">
        <v>20.86</v>
      </c>
      <c r="R1718" s="18">
        <v>17.100000000000001</v>
      </c>
      <c r="S1718" s="18">
        <v>16.690000000000001</v>
      </c>
      <c r="T1718" s="18">
        <v>13.68</v>
      </c>
      <c r="U1718" s="16"/>
      <c r="V1718" s="16"/>
      <c r="W1718" s="16" t="s">
        <v>40</v>
      </c>
      <c r="X1718" s="19">
        <v>3.0000000000000001E-3</v>
      </c>
      <c r="Y1718" s="20">
        <v>1.9999999999999999E-6</v>
      </c>
      <c r="Z1718" s="21">
        <v>4601004195370</v>
      </c>
    </row>
    <row r="1719" spans="1:26" ht="12" customHeight="1" outlineLevel="4" x14ac:dyDescent="0.2">
      <c r="A1719" s="14" t="s">
        <v>3387</v>
      </c>
      <c r="B1719" s="26" t="s">
        <v>3388</v>
      </c>
      <c r="C1719" s="52"/>
      <c r="D1719" s="55">
        <f t="shared" si="26"/>
        <v>0</v>
      </c>
      <c r="E1719" s="63" t="str">
        <f>HYPERLINK("https://www.sds-group.ru/product/nakonechnik-mednyy-luzhenyy-tml-50-10-11-50mm-10mm-gost-7386-80-v-upak-5-sht-rexant-07-5323/", "Инфо")</f>
        <v>Инфо</v>
      </c>
      <c r="F1719" s="16" t="s">
        <v>39</v>
      </c>
      <c r="G1719" s="15"/>
      <c r="H1719" s="15"/>
      <c r="I1719" s="15"/>
      <c r="J1719" s="22">
        <v>2310</v>
      </c>
      <c r="K1719" s="15"/>
      <c r="L1719" s="17">
        <v>5</v>
      </c>
      <c r="M1719" s="17">
        <v>250</v>
      </c>
      <c r="N1719" s="17">
        <v>5</v>
      </c>
      <c r="O1719" s="18">
        <v>194.97</v>
      </c>
      <c r="P1719" s="18">
        <v>159.81</v>
      </c>
      <c r="Q1719" s="18">
        <v>165.72</v>
      </c>
      <c r="R1719" s="18">
        <v>135.84</v>
      </c>
      <c r="S1719" s="18">
        <v>132.58000000000001</v>
      </c>
      <c r="T1719" s="18">
        <v>108.67</v>
      </c>
      <c r="U1719" s="16"/>
      <c r="V1719" s="16"/>
      <c r="W1719" s="16" t="s">
        <v>40</v>
      </c>
      <c r="X1719" s="19">
        <v>2.3E-2</v>
      </c>
      <c r="Y1719" s="20">
        <v>4.6999999999999997E-5</v>
      </c>
      <c r="Z1719" s="21">
        <v>4601004137004</v>
      </c>
    </row>
    <row r="1720" spans="1:26" ht="12" customHeight="1" outlineLevel="4" x14ac:dyDescent="0.2">
      <c r="A1720" s="14" t="s">
        <v>3389</v>
      </c>
      <c r="B1720" s="26" t="s">
        <v>3390</v>
      </c>
      <c r="C1720" s="52"/>
      <c r="D1720" s="55">
        <f t="shared" si="26"/>
        <v>0</v>
      </c>
      <c r="E1720" s="63" t="str">
        <f>HYPERLINK("https://www.sds-group.ru/product/nakonechnik-mednyy-luzhenyy-tml-50-10-11-50mm-10mm-gost-7386-80-v-upak-50-sht-rexant-07-5323-5/", "Инфо")</f>
        <v>Инфо</v>
      </c>
      <c r="F1720" s="16" t="s">
        <v>39</v>
      </c>
      <c r="G1720" s="15"/>
      <c r="H1720" s="15"/>
      <c r="I1720" s="15"/>
      <c r="J1720" s="22">
        <v>2450</v>
      </c>
      <c r="K1720" s="15"/>
      <c r="L1720" s="17">
        <v>50</v>
      </c>
      <c r="M1720" s="17">
        <v>400</v>
      </c>
      <c r="N1720" s="17">
        <v>50</v>
      </c>
      <c r="O1720" s="18">
        <v>189.26</v>
      </c>
      <c r="P1720" s="18">
        <v>155.13</v>
      </c>
      <c r="Q1720" s="18">
        <v>160.87</v>
      </c>
      <c r="R1720" s="18">
        <v>131.86000000000001</v>
      </c>
      <c r="S1720" s="18">
        <v>128.69999999999999</v>
      </c>
      <c r="T1720" s="18">
        <v>105.49</v>
      </c>
      <c r="U1720" s="16"/>
      <c r="V1720" s="16"/>
      <c r="W1720" s="16" t="s">
        <v>40</v>
      </c>
      <c r="X1720" s="19">
        <v>2.4E-2</v>
      </c>
      <c r="Y1720" s="20">
        <v>1.2999999999999999E-5</v>
      </c>
      <c r="Z1720" s="21">
        <v>4601004195547</v>
      </c>
    </row>
    <row r="1721" spans="1:26" ht="12" customHeight="1" outlineLevel="4" x14ac:dyDescent="0.2">
      <c r="A1721" s="14" t="s">
        <v>3391</v>
      </c>
      <c r="B1721" s="26" t="s">
        <v>3392</v>
      </c>
      <c r="C1721" s="52"/>
      <c r="D1721" s="55">
        <f t="shared" si="26"/>
        <v>0</v>
      </c>
      <c r="E1721" s="63" t="str">
        <f>HYPERLINK("https://www.sds-group.ru/product/nakonechnik-mednyy-luzhenyy-tml-50-12-11-50mm-12mm-gost-7386-80-v-upak-5-sht-rexant-07-5324/", "Инфо")</f>
        <v>Инфо</v>
      </c>
      <c r="F1721" s="16" t="s">
        <v>39</v>
      </c>
      <c r="G1721" s="15"/>
      <c r="H1721" s="15"/>
      <c r="I1721" s="15"/>
      <c r="J1721" s="17">
        <v>340</v>
      </c>
      <c r="K1721" s="15"/>
      <c r="L1721" s="17">
        <v>5</v>
      </c>
      <c r="M1721" s="17">
        <v>250</v>
      </c>
      <c r="N1721" s="17">
        <v>5</v>
      </c>
      <c r="O1721" s="18">
        <v>190.33</v>
      </c>
      <c r="P1721" s="18">
        <v>156.01</v>
      </c>
      <c r="Q1721" s="18">
        <v>161.78</v>
      </c>
      <c r="R1721" s="18">
        <v>132.61000000000001</v>
      </c>
      <c r="S1721" s="18">
        <v>129.41999999999999</v>
      </c>
      <c r="T1721" s="18">
        <v>106.08</v>
      </c>
      <c r="U1721" s="16"/>
      <c r="V1721" s="16"/>
      <c r="W1721" s="16" t="s">
        <v>40</v>
      </c>
      <c r="X1721" s="19">
        <v>2.4E-2</v>
      </c>
      <c r="Y1721" s="20">
        <v>5.3999999999999998E-5</v>
      </c>
      <c r="Z1721" s="21">
        <v>4601004137011</v>
      </c>
    </row>
    <row r="1722" spans="1:26" ht="12" customHeight="1" outlineLevel="4" x14ac:dyDescent="0.2">
      <c r="A1722" s="14" t="s">
        <v>3393</v>
      </c>
      <c r="B1722" s="26" t="s">
        <v>3394</v>
      </c>
      <c r="C1722" s="52"/>
      <c r="D1722" s="55">
        <f t="shared" si="26"/>
        <v>0</v>
      </c>
      <c r="E1722" s="63" t="str">
        <f>HYPERLINK("https://www.sds-group.ru/product/nakonechnik-mednyy-luzhenyy-tml-50-12-11-50mm-12mm-gost-7386-80-v-upak-50-sht-rexant-07-5324-5/", "Инфо")</f>
        <v>Инфо</v>
      </c>
      <c r="F1722" s="16" t="s">
        <v>39</v>
      </c>
      <c r="G1722" s="15"/>
      <c r="H1722" s="15"/>
      <c r="I1722" s="15"/>
      <c r="J1722" s="16" t="s">
        <v>100</v>
      </c>
      <c r="K1722" s="15" t="s">
        <v>1408</v>
      </c>
      <c r="L1722" s="17">
        <v>50</v>
      </c>
      <c r="M1722" s="17">
        <v>400</v>
      </c>
      <c r="N1722" s="17">
        <v>50</v>
      </c>
      <c r="O1722" s="18">
        <v>190.19</v>
      </c>
      <c r="P1722" s="18">
        <v>155.88999999999999</v>
      </c>
      <c r="Q1722" s="18">
        <v>161.66</v>
      </c>
      <c r="R1722" s="18">
        <v>132.51</v>
      </c>
      <c r="S1722" s="18">
        <v>129.33000000000001</v>
      </c>
      <c r="T1722" s="18">
        <v>106.01</v>
      </c>
      <c r="U1722" s="16"/>
      <c r="V1722" s="16"/>
      <c r="W1722" s="16" t="s">
        <v>40</v>
      </c>
      <c r="X1722" s="19">
        <v>2.1000000000000001E-2</v>
      </c>
      <c r="Y1722" s="20">
        <v>1.2999999999999999E-5</v>
      </c>
      <c r="Z1722" s="21">
        <v>4601004195554</v>
      </c>
    </row>
    <row r="1723" spans="1:26" ht="12" customHeight="1" outlineLevel="4" x14ac:dyDescent="0.2">
      <c r="A1723" s="14" t="s">
        <v>3395</v>
      </c>
      <c r="B1723" s="26" t="s">
        <v>3396</v>
      </c>
      <c r="C1723" s="52"/>
      <c r="D1723" s="55">
        <f t="shared" si="26"/>
        <v>0</v>
      </c>
      <c r="E1723" s="63" t="str">
        <f>HYPERLINK("https://www.sds-group.ru/product/nakonechnik-mednyy-luzhenyy-tml-50-8-11-50mm-8mm-gost-7386-80-v-upak-5-sht-rexant-07-5322-4/", "Инфо")</f>
        <v>Инфо</v>
      </c>
      <c r="F1723" s="16" t="s">
        <v>39</v>
      </c>
      <c r="G1723" s="15"/>
      <c r="H1723" s="15"/>
      <c r="I1723" s="15"/>
      <c r="J1723" s="17">
        <v>545</v>
      </c>
      <c r="K1723" s="15"/>
      <c r="L1723" s="17">
        <v>5</v>
      </c>
      <c r="M1723" s="17">
        <v>50</v>
      </c>
      <c r="N1723" s="17">
        <v>5</v>
      </c>
      <c r="O1723" s="18">
        <v>190.22</v>
      </c>
      <c r="P1723" s="18">
        <v>155.91999999999999</v>
      </c>
      <c r="Q1723" s="18">
        <v>161.69</v>
      </c>
      <c r="R1723" s="18">
        <v>132.53</v>
      </c>
      <c r="S1723" s="18">
        <v>129.35</v>
      </c>
      <c r="T1723" s="18">
        <v>106.02</v>
      </c>
      <c r="U1723" s="16"/>
      <c r="V1723" s="16"/>
      <c r="W1723" s="16" t="s">
        <v>40</v>
      </c>
      <c r="X1723" s="19">
        <v>1.9E-2</v>
      </c>
      <c r="Y1723" s="20">
        <v>4.8999999999999998E-5</v>
      </c>
      <c r="Z1723" s="21">
        <v>4601004190023</v>
      </c>
    </row>
    <row r="1724" spans="1:26" ht="12" customHeight="1" outlineLevel="4" x14ac:dyDescent="0.2">
      <c r="A1724" s="14" t="s">
        <v>3397</v>
      </c>
      <c r="B1724" s="26" t="s">
        <v>3398</v>
      </c>
      <c r="C1724" s="52"/>
      <c r="D1724" s="55">
        <f t="shared" si="26"/>
        <v>0</v>
      </c>
      <c r="E1724" s="63" t="str">
        <f>HYPERLINK("https://www.sds-group.ru/product/nakonechnik-mednyy-luzhenyy-tml-50-8-11-50mm-8mm-gost-7386-80-v-upak-50-sht-rexant-07-5322-5/", "Инфо")</f>
        <v>Инфо</v>
      </c>
      <c r="F1724" s="16" t="s">
        <v>39</v>
      </c>
      <c r="G1724" s="15"/>
      <c r="H1724" s="15"/>
      <c r="I1724" s="15"/>
      <c r="J1724" s="22">
        <v>1300</v>
      </c>
      <c r="K1724" s="15"/>
      <c r="L1724" s="17">
        <v>50</v>
      </c>
      <c r="M1724" s="17">
        <v>200</v>
      </c>
      <c r="N1724" s="17">
        <v>50</v>
      </c>
      <c r="O1724" s="18">
        <v>189.75</v>
      </c>
      <c r="P1724" s="18">
        <v>155.53</v>
      </c>
      <c r="Q1724" s="18">
        <v>161.29</v>
      </c>
      <c r="R1724" s="18">
        <v>132.19999999999999</v>
      </c>
      <c r="S1724" s="18">
        <v>129.03</v>
      </c>
      <c r="T1724" s="18">
        <v>105.76</v>
      </c>
      <c r="U1724" s="16"/>
      <c r="V1724" s="16"/>
      <c r="W1724" s="16" t="s">
        <v>40</v>
      </c>
      <c r="X1724" s="19">
        <v>2.3E-2</v>
      </c>
      <c r="Y1724" s="20">
        <v>3.8999999999999999E-5</v>
      </c>
      <c r="Z1724" s="21">
        <v>4601004190016</v>
      </c>
    </row>
    <row r="1725" spans="1:26" ht="12" customHeight="1" outlineLevel="4" x14ac:dyDescent="0.2">
      <c r="A1725" s="14" t="s">
        <v>3399</v>
      </c>
      <c r="B1725" s="26" t="s">
        <v>3400</v>
      </c>
      <c r="C1725" s="52"/>
      <c r="D1725" s="55">
        <f t="shared" si="26"/>
        <v>0</v>
      </c>
      <c r="E1725" s="63" t="str">
        <f>HYPERLINK("https://www.sds-group.ru/product/nakonechnik-mednyy-luzhenyy-tml-6-6-4-6mm-6mm-gost-7386-80-v-upak-100sht-rexant-07-5306-5/", "Инфо")</f>
        <v>Инфо</v>
      </c>
      <c r="F1725" s="16" t="s">
        <v>39</v>
      </c>
      <c r="G1725" s="15"/>
      <c r="H1725" s="15"/>
      <c r="I1725" s="15"/>
      <c r="J1725" s="22">
        <v>25300</v>
      </c>
      <c r="K1725" s="15" t="s">
        <v>1888</v>
      </c>
      <c r="L1725" s="17">
        <v>100</v>
      </c>
      <c r="M1725" s="22">
        <v>3500</v>
      </c>
      <c r="N1725" s="17">
        <v>100</v>
      </c>
      <c r="O1725" s="18">
        <v>27.13</v>
      </c>
      <c r="P1725" s="18">
        <v>22.24</v>
      </c>
      <c r="Q1725" s="18">
        <v>23.06</v>
      </c>
      <c r="R1725" s="18">
        <v>18.899999999999999</v>
      </c>
      <c r="S1725" s="18">
        <v>18.45</v>
      </c>
      <c r="T1725" s="18">
        <v>15.12</v>
      </c>
      <c r="U1725" s="16"/>
      <c r="V1725" s="16"/>
      <c r="W1725" s="16" t="s">
        <v>40</v>
      </c>
      <c r="X1725" s="19">
        <v>4.0000000000000001E-3</v>
      </c>
      <c r="Y1725" s="20">
        <v>1.9999999999999999E-6</v>
      </c>
      <c r="Z1725" s="21">
        <v>4601004195394</v>
      </c>
    </row>
    <row r="1726" spans="1:26" ht="12" customHeight="1" outlineLevel="4" x14ac:dyDescent="0.2">
      <c r="A1726" s="14" t="s">
        <v>3401</v>
      </c>
      <c r="B1726" s="26" t="s">
        <v>3402</v>
      </c>
      <c r="C1726" s="52"/>
      <c r="D1726" s="55">
        <f t="shared" si="26"/>
        <v>0</v>
      </c>
      <c r="E1726" s="63" t="str">
        <f>HYPERLINK("https://www.sds-group.ru/product/nakonechnik-mednyy-luzhenyy-tml-6-5-4-6mm-5mm-gost-7386-80-v-upak-100-sht-rexant-07-5305-5/", "Инфо")</f>
        <v>Инфо</v>
      </c>
      <c r="F1726" s="16" t="s">
        <v>39</v>
      </c>
      <c r="G1726" s="15"/>
      <c r="H1726" s="15"/>
      <c r="I1726" s="15"/>
      <c r="J1726" s="22">
        <v>6100</v>
      </c>
      <c r="K1726" s="15"/>
      <c r="L1726" s="17">
        <v>100</v>
      </c>
      <c r="M1726" s="22">
        <v>3500</v>
      </c>
      <c r="N1726" s="17">
        <v>100</v>
      </c>
      <c r="O1726" s="18">
        <v>27.31</v>
      </c>
      <c r="P1726" s="18">
        <v>22.39</v>
      </c>
      <c r="Q1726" s="18">
        <v>23.21</v>
      </c>
      <c r="R1726" s="18">
        <v>19.02</v>
      </c>
      <c r="S1726" s="18">
        <v>18.57</v>
      </c>
      <c r="T1726" s="18">
        <v>15.22</v>
      </c>
      <c r="U1726" s="16"/>
      <c r="V1726" s="16"/>
      <c r="W1726" s="16" t="s">
        <v>40</v>
      </c>
      <c r="X1726" s="19">
        <v>3.0000000000000001E-3</v>
      </c>
      <c r="Y1726" s="20">
        <v>9.9999999999999995E-7</v>
      </c>
      <c r="Z1726" s="21">
        <v>4601004195387</v>
      </c>
    </row>
    <row r="1727" spans="1:26" ht="12" customHeight="1" outlineLevel="4" x14ac:dyDescent="0.2">
      <c r="A1727" s="14" t="s">
        <v>3403</v>
      </c>
      <c r="B1727" s="26" t="s">
        <v>3404</v>
      </c>
      <c r="C1727" s="52"/>
      <c r="D1727" s="55">
        <f t="shared" si="26"/>
        <v>0</v>
      </c>
      <c r="E1727" s="63" t="str">
        <f>HYPERLINK("https://www.sds-group.ru/product/nakonechnik-mednyy-luzhenyy-tml-6-6-4-6mm-6mm-gost-7386-80-v-upak-10-sht-rexant-07-5306/", "Инфо")</f>
        <v>Инфо</v>
      </c>
      <c r="F1727" s="16" t="s">
        <v>39</v>
      </c>
      <c r="G1727" s="15"/>
      <c r="H1727" s="15"/>
      <c r="I1727" s="15"/>
      <c r="J1727" s="22">
        <v>4480</v>
      </c>
      <c r="K1727" s="15"/>
      <c r="L1727" s="17">
        <v>10</v>
      </c>
      <c r="M1727" s="22">
        <v>1000</v>
      </c>
      <c r="N1727" s="17">
        <v>10</v>
      </c>
      <c r="O1727" s="18">
        <v>36.17</v>
      </c>
      <c r="P1727" s="18">
        <v>29.65</v>
      </c>
      <c r="Q1727" s="18">
        <v>30.74</v>
      </c>
      <c r="R1727" s="18">
        <v>25.2</v>
      </c>
      <c r="S1727" s="18">
        <v>24.6</v>
      </c>
      <c r="T1727" s="18">
        <v>20.16</v>
      </c>
      <c r="U1727" s="16"/>
      <c r="V1727" s="16"/>
      <c r="W1727" s="16" t="s">
        <v>40</v>
      </c>
      <c r="X1727" s="19">
        <v>4.0000000000000001E-3</v>
      </c>
      <c r="Y1727" s="20">
        <v>2.3E-5</v>
      </c>
      <c r="Z1727" s="21">
        <v>4601004137349</v>
      </c>
    </row>
    <row r="1728" spans="1:26" ht="12" customHeight="1" outlineLevel="4" x14ac:dyDescent="0.2">
      <c r="A1728" s="14" t="s">
        <v>3405</v>
      </c>
      <c r="B1728" s="26" t="s">
        <v>3406</v>
      </c>
      <c r="C1728" s="52"/>
      <c r="D1728" s="55">
        <f t="shared" si="26"/>
        <v>0</v>
      </c>
      <c r="E1728" s="63" t="str">
        <f>HYPERLINK("https://www.sds-group.ru/product/nakonechnik-mednyy-luzhenyy-tml-70-10-13-70mm-10mm-gost-7386-80-v-upak-2-sht-rexant-07-5325/", "Инфо")</f>
        <v>Инфо</v>
      </c>
      <c r="F1728" s="16" t="s">
        <v>39</v>
      </c>
      <c r="G1728" s="15"/>
      <c r="H1728" s="15"/>
      <c r="I1728" s="15"/>
      <c r="J1728" s="22">
        <v>1942</v>
      </c>
      <c r="K1728" s="15"/>
      <c r="L1728" s="17">
        <v>10</v>
      </c>
      <c r="M1728" s="17">
        <v>100</v>
      </c>
      <c r="N1728" s="17">
        <v>10</v>
      </c>
      <c r="O1728" s="18">
        <v>222.37</v>
      </c>
      <c r="P1728" s="18">
        <v>182.27</v>
      </c>
      <c r="Q1728" s="18">
        <v>189.01</v>
      </c>
      <c r="R1728" s="18">
        <v>154.93</v>
      </c>
      <c r="S1728" s="18">
        <v>151.21</v>
      </c>
      <c r="T1728" s="18">
        <v>123.94</v>
      </c>
      <c r="U1728" s="16"/>
      <c r="V1728" s="16"/>
      <c r="W1728" s="16" t="s">
        <v>40</v>
      </c>
      <c r="X1728" s="19">
        <v>3.2000000000000001E-2</v>
      </c>
      <c r="Y1728" s="20">
        <v>9.6000000000000002E-5</v>
      </c>
      <c r="Z1728" s="21">
        <v>4601004136762</v>
      </c>
    </row>
    <row r="1729" spans="1:26" ht="12" customHeight="1" outlineLevel="4" x14ac:dyDescent="0.2">
      <c r="A1729" s="14" t="s">
        <v>3407</v>
      </c>
      <c r="B1729" s="26" t="s">
        <v>3408</v>
      </c>
      <c r="C1729" s="52"/>
      <c r="D1729" s="55">
        <f t="shared" si="26"/>
        <v>0</v>
      </c>
      <c r="E1729" s="63" t="str">
        <f>HYPERLINK("https://www.sds-group.ru/product/nakonechnik-mednyy-luzhenyy-tml-70-10-13-70mm-10mm-gost-7386-80-v-upak-25-sht-rexant-07-5325-5/", "Инфо")</f>
        <v>Инфо</v>
      </c>
      <c r="F1729" s="16" t="s">
        <v>39</v>
      </c>
      <c r="G1729" s="15"/>
      <c r="H1729" s="15"/>
      <c r="I1729" s="15"/>
      <c r="J1729" s="22">
        <v>4425</v>
      </c>
      <c r="K1729" s="15" t="s">
        <v>1408</v>
      </c>
      <c r="L1729" s="17">
        <v>25</v>
      </c>
      <c r="M1729" s="17">
        <v>350</v>
      </c>
      <c r="N1729" s="17">
        <v>25</v>
      </c>
      <c r="O1729" s="18">
        <v>223.26</v>
      </c>
      <c r="P1729" s="18">
        <v>183</v>
      </c>
      <c r="Q1729" s="18">
        <v>189.77</v>
      </c>
      <c r="R1729" s="18">
        <v>155.55000000000001</v>
      </c>
      <c r="S1729" s="18">
        <v>151.82</v>
      </c>
      <c r="T1729" s="18">
        <v>124.44</v>
      </c>
      <c r="U1729" s="16"/>
      <c r="V1729" s="16"/>
      <c r="W1729" s="16" t="s">
        <v>40</v>
      </c>
      <c r="X1729" s="19">
        <v>2.8000000000000001E-2</v>
      </c>
      <c r="Y1729" s="20">
        <v>2.5000000000000001E-5</v>
      </c>
      <c r="Z1729" s="21">
        <v>4601004195561</v>
      </c>
    </row>
    <row r="1730" spans="1:26" ht="12" customHeight="1" outlineLevel="4" x14ac:dyDescent="0.2">
      <c r="A1730" s="14" t="s">
        <v>3409</v>
      </c>
      <c r="B1730" s="26" t="s">
        <v>3410</v>
      </c>
      <c r="C1730" s="52"/>
      <c r="D1730" s="55">
        <f t="shared" si="26"/>
        <v>0</v>
      </c>
      <c r="E1730" s="63" t="str">
        <f>HYPERLINK("https://www.sds-group.ru/product/nakonechnik-mednyy-luzhenyy-tml-70-12-13-70mm-12mm-gost-7386-80-v-upak-2-sht-rexant-07-5326/", "Инфо")</f>
        <v>Инфо</v>
      </c>
      <c r="F1730" s="16" t="s">
        <v>39</v>
      </c>
      <c r="G1730" s="15"/>
      <c r="H1730" s="15"/>
      <c r="I1730" s="15"/>
      <c r="J1730" s="17">
        <v>34</v>
      </c>
      <c r="K1730" s="15"/>
      <c r="L1730" s="17">
        <v>10</v>
      </c>
      <c r="M1730" s="17">
        <v>100</v>
      </c>
      <c r="N1730" s="17">
        <v>10</v>
      </c>
      <c r="O1730" s="18">
        <v>238.79</v>
      </c>
      <c r="P1730" s="18">
        <v>195.73</v>
      </c>
      <c r="Q1730" s="18">
        <v>202.97</v>
      </c>
      <c r="R1730" s="18">
        <v>166.37</v>
      </c>
      <c r="S1730" s="18">
        <v>162.38</v>
      </c>
      <c r="T1730" s="18">
        <v>133.1</v>
      </c>
      <c r="U1730" s="16"/>
      <c r="V1730" s="16"/>
      <c r="W1730" s="16" t="s">
        <v>40</v>
      </c>
      <c r="X1730" s="19">
        <v>3.2000000000000001E-2</v>
      </c>
      <c r="Y1730" s="20">
        <v>1.07E-4</v>
      </c>
      <c r="Z1730" s="21">
        <v>4601004136779</v>
      </c>
    </row>
    <row r="1731" spans="1:26" ht="12" customHeight="1" outlineLevel="4" x14ac:dyDescent="0.2">
      <c r="A1731" s="14" t="s">
        <v>3411</v>
      </c>
      <c r="B1731" s="26" t="s">
        <v>3412</v>
      </c>
      <c r="C1731" s="52"/>
      <c r="D1731" s="55">
        <f t="shared" si="26"/>
        <v>0</v>
      </c>
      <c r="E1731" s="63" t="str">
        <f>HYPERLINK("https://www.sds-group.ru/product/nakonechnik-mednyy-luzhenyy-tml-70-12-13-70mm-12mm-gost-7386-80-v-upak-25-sht-rexant-07-5326-5/", "Инфо")</f>
        <v>Инфо</v>
      </c>
      <c r="F1731" s="16" t="s">
        <v>39</v>
      </c>
      <c r="G1731" s="15"/>
      <c r="H1731" s="15"/>
      <c r="I1731" s="15"/>
      <c r="J1731" s="22">
        <v>2050</v>
      </c>
      <c r="K1731" s="15"/>
      <c r="L1731" s="17">
        <v>25</v>
      </c>
      <c r="M1731" s="17">
        <v>350</v>
      </c>
      <c r="N1731" s="17">
        <v>25</v>
      </c>
      <c r="O1731" s="18">
        <v>223.24</v>
      </c>
      <c r="P1731" s="18">
        <v>182.98</v>
      </c>
      <c r="Q1731" s="18">
        <v>189.75</v>
      </c>
      <c r="R1731" s="18">
        <v>155.53</v>
      </c>
      <c r="S1731" s="18">
        <v>151.80000000000001</v>
      </c>
      <c r="T1731" s="18">
        <v>124.43</v>
      </c>
      <c r="U1731" s="16"/>
      <c r="V1731" s="16"/>
      <c r="W1731" s="16" t="s">
        <v>40</v>
      </c>
      <c r="X1731" s="19">
        <v>2.7E-2</v>
      </c>
      <c r="Y1731" s="20">
        <v>1.5E-5</v>
      </c>
      <c r="Z1731" s="21">
        <v>4601004195578</v>
      </c>
    </row>
    <row r="1732" spans="1:26" ht="12" customHeight="1" outlineLevel="4" x14ac:dyDescent="0.2">
      <c r="A1732" s="14" t="s">
        <v>3413</v>
      </c>
      <c r="B1732" s="26" t="s">
        <v>3414</v>
      </c>
      <c r="C1732" s="52"/>
      <c r="D1732" s="55">
        <f t="shared" si="26"/>
        <v>0</v>
      </c>
      <c r="E1732" s="63" t="str">
        <f>HYPERLINK("https://www.sds-group.ru/product/nakonechnik-mednyy-luzhenyy-tml-95-10-15-95mm-10mm-gost-7386-80-v-upak-25-sht-rexant-07-5327-5/", "Инфо")</f>
        <v>Инфо</v>
      </c>
      <c r="F1732" s="16" t="s">
        <v>39</v>
      </c>
      <c r="G1732" s="15"/>
      <c r="H1732" s="15"/>
      <c r="I1732" s="15" t="s">
        <v>3415</v>
      </c>
      <c r="J1732" s="22">
        <v>2350</v>
      </c>
      <c r="K1732" s="15"/>
      <c r="L1732" s="17">
        <v>25</v>
      </c>
      <c r="M1732" s="17">
        <v>200</v>
      </c>
      <c r="N1732" s="17">
        <v>25</v>
      </c>
      <c r="O1732" s="18">
        <v>386.78</v>
      </c>
      <c r="P1732" s="18">
        <v>317.02999999999997</v>
      </c>
      <c r="Q1732" s="18">
        <v>328.76</v>
      </c>
      <c r="R1732" s="18">
        <v>269.48</v>
      </c>
      <c r="S1732" s="18">
        <v>263.01</v>
      </c>
      <c r="T1732" s="18">
        <v>215.58</v>
      </c>
      <c r="U1732" s="16"/>
      <c r="V1732" s="16"/>
      <c r="W1732" s="16" t="s">
        <v>40</v>
      </c>
      <c r="X1732" s="19">
        <v>0.05</v>
      </c>
      <c r="Y1732" s="20">
        <v>3.8000000000000002E-5</v>
      </c>
      <c r="Z1732" s="21">
        <v>4601004195585</v>
      </c>
    </row>
    <row r="1733" spans="1:26" ht="12" customHeight="1" outlineLevel="4" x14ac:dyDescent="0.2">
      <c r="A1733" s="14" t="s">
        <v>3416</v>
      </c>
      <c r="B1733" s="26" t="s">
        <v>3417</v>
      </c>
      <c r="C1733" s="52"/>
      <c r="D1733" s="55">
        <f t="shared" si="26"/>
        <v>0</v>
      </c>
      <c r="E1733" s="63" t="str">
        <f>HYPERLINK("https://www.sds-group.ru/product/nakonechnik-mednyy-luzhenyy-tml-95-12-15-95mm-12mm-gost-7386-80-v-upak-2-sht-rexant-07-5328/", "Инфо")</f>
        <v>Инфо</v>
      </c>
      <c r="F1733" s="16" t="s">
        <v>39</v>
      </c>
      <c r="G1733" s="15"/>
      <c r="H1733" s="15"/>
      <c r="I1733" s="15"/>
      <c r="J1733" s="17">
        <v>200</v>
      </c>
      <c r="K1733" s="15"/>
      <c r="L1733" s="17">
        <v>2</v>
      </c>
      <c r="M1733" s="17">
        <v>100</v>
      </c>
      <c r="N1733" s="17">
        <v>2</v>
      </c>
      <c r="O1733" s="18">
        <v>385.45</v>
      </c>
      <c r="P1733" s="18">
        <v>315.94</v>
      </c>
      <c r="Q1733" s="18">
        <v>327.63</v>
      </c>
      <c r="R1733" s="18">
        <v>268.55</v>
      </c>
      <c r="S1733" s="18">
        <v>262.11</v>
      </c>
      <c r="T1733" s="18">
        <v>214.84</v>
      </c>
      <c r="U1733" s="16"/>
      <c r="V1733" s="16"/>
      <c r="W1733" s="16" t="s">
        <v>40</v>
      </c>
      <c r="X1733" s="19">
        <v>5.0999999999999997E-2</v>
      </c>
      <c r="Y1733" s="20">
        <v>1.21E-4</v>
      </c>
      <c r="Z1733" s="21">
        <v>4601004136793</v>
      </c>
    </row>
    <row r="1734" spans="1:26" ht="12" customHeight="1" outlineLevel="4" x14ac:dyDescent="0.2">
      <c r="A1734" s="14" t="s">
        <v>3418</v>
      </c>
      <c r="B1734" s="26" t="s">
        <v>3419</v>
      </c>
      <c r="C1734" s="52"/>
      <c r="D1734" s="55">
        <f t="shared" si="26"/>
        <v>0</v>
      </c>
      <c r="E1734" s="63" t="str">
        <f>HYPERLINK("https://www.sds-group.ru/product/nakonechnik-mednyy-luzhenyy-tml-95-12-15-95mm-12mm-gost-7386-80-v-upak-25-sht-rexant-07-5328-3/", "Инфо")</f>
        <v>Инфо</v>
      </c>
      <c r="F1734" s="16" t="s">
        <v>39</v>
      </c>
      <c r="G1734" s="15"/>
      <c r="H1734" s="15"/>
      <c r="I1734" s="15" t="s">
        <v>3415</v>
      </c>
      <c r="J1734" s="17">
        <v>725</v>
      </c>
      <c r="K1734" s="15" t="s">
        <v>1408</v>
      </c>
      <c r="L1734" s="17">
        <v>25</v>
      </c>
      <c r="M1734" s="17">
        <v>200</v>
      </c>
      <c r="N1734" s="17">
        <v>25</v>
      </c>
      <c r="O1734" s="18">
        <v>386</v>
      </c>
      <c r="P1734" s="18">
        <v>316.39</v>
      </c>
      <c r="Q1734" s="18">
        <v>328.1</v>
      </c>
      <c r="R1734" s="18">
        <v>268.93</v>
      </c>
      <c r="S1734" s="18">
        <v>262.48</v>
      </c>
      <c r="T1734" s="18">
        <v>215.15</v>
      </c>
      <c r="U1734" s="16"/>
      <c r="V1734" s="16"/>
      <c r="W1734" s="16" t="s">
        <v>40</v>
      </c>
      <c r="X1734" s="19">
        <v>4.8000000000000001E-2</v>
      </c>
      <c r="Y1734" s="20">
        <v>5.5000000000000002E-5</v>
      </c>
      <c r="Z1734" s="21">
        <v>4601004195592</v>
      </c>
    </row>
    <row r="1735" spans="1:26" ht="12" customHeight="1" outlineLevel="4" x14ac:dyDescent="0.2">
      <c r="A1735" s="14" t="s">
        <v>3420</v>
      </c>
      <c r="B1735" s="26" t="s">
        <v>3421</v>
      </c>
      <c r="C1735" s="52"/>
      <c r="D1735" s="55">
        <f t="shared" si="26"/>
        <v>0</v>
      </c>
      <c r="E1735" s="63" t="str">
        <f>HYPERLINK("https://www.sds-group.ru/product/nakonechnik-mednyy-luzhenyy-tml-r-10-6-10mm-6mm-v-upak-100-sht-rexant-07-5308-6/", "Инфо")</f>
        <v>Инфо</v>
      </c>
      <c r="F1735" s="16" t="s">
        <v>39</v>
      </c>
      <c r="G1735" s="15"/>
      <c r="H1735" s="15"/>
      <c r="I1735" s="15"/>
      <c r="J1735" s="22">
        <v>8500</v>
      </c>
      <c r="K1735" s="15"/>
      <c r="L1735" s="17">
        <v>100</v>
      </c>
      <c r="M1735" s="17">
        <v>100</v>
      </c>
      <c r="N1735" s="17">
        <v>100</v>
      </c>
      <c r="O1735" s="18">
        <v>48.75</v>
      </c>
      <c r="P1735" s="18">
        <v>39.96</v>
      </c>
      <c r="Q1735" s="18">
        <v>41.44</v>
      </c>
      <c r="R1735" s="18">
        <v>33.97</v>
      </c>
      <c r="S1735" s="18">
        <v>33.15</v>
      </c>
      <c r="T1735" s="18">
        <v>27.17</v>
      </c>
      <c r="U1735" s="16"/>
      <c r="V1735" s="16"/>
      <c r="W1735" s="16" t="s">
        <v>40</v>
      </c>
      <c r="X1735" s="19">
        <v>3.0000000000000001E-3</v>
      </c>
      <c r="Y1735" s="20">
        <v>1.9999999999999999E-6</v>
      </c>
      <c r="Z1735" s="21">
        <v>4601004190245</v>
      </c>
    </row>
    <row r="1736" spans="1:26" ht="12" customHeight="1" outlineLevel="4" x14ac:dyDescent="0.2">
      <c r="A1736" s="14" t="s">
        <v>3422</v>
      </c>
      <c r="B1736" s="26" t="s">
        <v>3423</v>
      </c>
      <c r="C1736" s="52"/>
      <c r="D1736" s="55">
        <f t="shared" si="26"/>
        <v>0</v>
      </c>
      <c r="E1736" s="63" t="str">
        <f>HYPERLINK("https://www.sds-group.ru/product/nakonechnik-mednyy-luzhenyy-tml-r-10-6-10mm-6mm-v-upak-5-sht-rexant-07-5308-2/", "Инфо")</f>
        <v>Инфо</v>
      </c>
      <c r="F1736" s="16" t="s">
        <v>39</v>
      </c>
      <c r="G1736" s="15"/>
      <c r="H1736" s="15"/>
      <c r="I1736" s="15"/>
      <c r="J1736" s="22">
        <v>1175</v>
      </c>
      <c r="K1736" s="15"/>
      <c r="L1736" s="17">
        <v>10</v>
      </c>
      <c r="M1736" s="17">
        <v>500</v>
      </c>
      <c r="N1736" s="17">
        <v>10</v>
      </c>
      <c r="O1736" s="18">
        <v>63.31</v>
      </c>
      <c r="P1736" s="18">
        <v>51.89</v>
      </c>
      <c r="Q1736" s="18">
        <v>53.81</v>
      </c>
      <c r="R1736" s="18">
        <v>44.11</v>
      </c>
      <c r="S1736" s="18">
        <v>43.05</v>
      </c>
      <c r="T1736" s="18">
        <v>35.29</v>
      </c>
      <c r="U1736" s="16"/>
      <c r="V1736" s="16"/>
      <c r="W1736" s="16" t="s">
        <v>40</v>
      </c>
      <c r="X1736" s="19">
        <v>4.0000000000000001E-3</v>
      </c>
      <c r="Y1736" s="20">
        <v>2.3E-5</v>
      </c>
      <c r="Z1736" s="21">
        <v>4601004190238</v>
      </c>
    </row>
    <row r="1737" spans="1:26" ht="12" customHeight="1" outlineLevel="4" x14ac:dyDescent="0.2">
      <c r="A1737" s="14" t="s">
        <v>3424</v>
      </c>
      <c r="B1737" s="26" t="s">
        <v>3425</v>
      </c>
      <c r="C1737" s="52"/>
      <c r="D1737" s="55">
        <f t="shared" ref="D1737:D1800" si="27">C1737*(O1737-O1737*$G$3)</f>
        <v>0</v>
      </c>
      <c r="E1737" s="63" t="str">
        <f>HYPERLINK("https://www.sds-group.ru/product/nakonechnik-mednyy-luzhenyy-tml-r-10-8-10mm-8mm-v-upak-100-sht-rexant-07-5309-6/", "Инфо")</f>
        <v>Инфо</v>
      </c>
      <c r="F1737" s="16" t="s">
        <v>39</v>
      </c>
      <c r="G1737" s="15"/>
      <c r="H1737" s="15"/>
      <c r="I1737" s="15"/>
      <c r="J1737" s="22">
        <v>13900</v>
      </c>
      <c r="K1737" s="15" t="s">
        <v>1408</v>
      </c>
      <c r="L1737" s="17">
        <v>100</v>
      </c>
      <c r="M1737" s="17">
        <v>1</v>
      </c>
      <c r="N1737" s="17">
        <v>100</v>
      </c>
      <c r="O1737" s="18">
        <v>47.5</v>
      </c>
      <c r="P1737" s="18">
        <v>38.93</v>
      </c>
      <c r="Q1737" s="18">
        <v>40.380000000000003</v>
      </c>
      <c r="R1737" s="18">
        <v>33.1</v>
      </c>
      <c r="S1737" s="18">
        <v>32.299999999999997</v>
      </c>
      <c r="T1737" s="18">
        <v>26.48</v>
      </c>
      <c r="U1737" s="16"/>
      <c r="V1737" s="16"/>
      <c r="W1737" s="16" t="s">
        <v>40</v>
      </c>
      <c r="X1737" s="19">
        <v>3.0000000000000001E-3</v>
      </c>
      <c r="Y1737" s="20">
        <v>6.0000000000000002E-6</v>
      </c>
      <c r="Z1737" s="21">
        <v>4601004190269</v>
      </c>
    </row>
    <row r="1738" spans="1:26" ht="12" customHeight="1" outlineLevel="4" x14ac:dyDescent="0.2">
      <c r="A1738" s="14" t="s">
        <v>3426</v>
      </c>
      <c r="B1738" s="26" t="s">
        <v>3427</v>
      </c>
      <c r="C1738" s="52"/>
      <c r="D1738" s="55">
        <f t="shared" si="27"/>
        <v>0</v>
      </c>
      <c r="E1738" s="63" t="str">
        <f>HYPERLINK("https://www.sds-group.ru/product/nakonechnik-mednyy-luzhenyy-tml-r-10-8-10mm-8mm-v-upak-5-sht-rexant-07-5309-2/", "Инфо")</f>
        <v>Инфо</v>
      </c>
      <c r="F1738" s="16" t="s">
        <v>39</v>
      </c>
      <c r="G1738" s="15"/>
      <c r="H1738" s="15"/>
      <c r="I1738" s="15"/>
      <c r="J1738" s="22">
        <v>2110</v>
      </c>
      <c r="K1738" s="15"/>
      <c r="L1738" s="17">
        <v>10</v>
      </c>
      <c r="M1738" s="17">
        <v>1</v>
      </c>
      <c r="N1738" s="17">
        <v>10</v>
      </c>
      <c r="O1738" s="18">
        <v>60.5</v>
      </c>
      <c r="P1738" s="18">
        <v>49.59</v>
      </c>
      <c r="Q1738" s="18">
        <v>51.43</v>
      </c>
      <c r="R1738" s="18">
        <v>42.16</v>
      </c>
      <c r="S1738" s="18">
        <v>41.14</v>
      </c>
      <c r="T1738" s="18">
        <v>33.72</v>
      </c>
      <c r="U1738" s="16"/>
      <c r="V1738" s="16"/>
      <c r="W1738" s="16" t="s">
        <v>40</v>
      </c>
      <c r="X1738" s="19">
        <v>2E-3</v>
      </c>
      <c r="Y1738" s="20">
        <v>1.5999999999999999E-5</v>
      </c>
      <c r="Z1738" s="21">
        <v>4601004190252</v>
      </c>
    </row>
    <row r="1739" spans="1:26" ht="12" customHeight="1" outlineLevel="4" x14ac:dyDescent="0.2">
      <c r="A1739" s="14" t="s">
        <v>3428</v>
      </c>
      <c r="B1739" s="26" t="s">
        <v>3429</v>
      </c>
      <c r="C1739" s="52"/>
      <c r="D1739" s="55">
        <f t="shared" si="27"/>
        <v>0</v>
      </c>
      <c r="E1739" s="63" t="str">
        <f>HYPERLINK("https://www.sds-group.ru/product/nakonechnik-mednyy-luzhenyy-tml-r-16-6-16mm-6mm-v-upak-100-sht-rexant-07-5310-6/", "Инфо")</f>
        <v>Инфо</v>
      </c>
      <c r="F1739" s="16" t="s">
        <v>39</v>
      </c>
      <c r="G1739" s="15"/>
      <c r="H1739" s="15"/>
      <c r="I1739" s="15"/>
      <c r="J1739" s="16" t="s">
        <v>100</v>
      </c>
      <c r="K1739" s="15" t="s">
        <v>1888</v>
      </c>
      <c r="L1739" s="17">
        <v>100</v>
      </c>
      <c r="M1739" s="17">
        <v>100</v>
      </c>
      <c r="N1739" s="17">
        <v>100</v>
      </c>
      <c r="O1739" s="18">
        <v>61.63</v>
      </c>
      <c r="P1739" s="18">
        <v>50.52</v>
      </c>
      <c r="Q1739" s="18">
        <v>52.39</v>
      </c>
      <c r="R1739" s="18">
        <v>42.94</v>
      </c>
      <c r="S1739" s="18">
        <v>41.91</v>
      </c>
      <c r="T1739" s="18">
        <v>34.35</v>
      </c>
      <c r="U1739" s="16"/>
      <c r="V1739" s="16"/>
      <c r="W1739" s="16" t="s">
        <v>40</v>
      </c>
      <c r="X1739" s="19">
        <v>6.0000000000000001E-3</v>
      </c>
      <c r="Y1739" s="20">
        <v>3.9999999999999998E-6</v>
      </c>
      <c r="Z1739" s="21">
        <v>4601004190283</v>
      </c>
    </row>
    <row r="1740" spans="1:26" ht="12" customHeight="1" outlineLevel="4" x14ac:dyDescent="0.2">
      <c r="A1740" s="14" t="s">
        <v>3430</v>
      </c>
      <c r="B1740" s="26" t="s">
        <v>3431</v>
      </c>
      <c r="C1740" s="52"/>
      <c r="D1740" s="55">
        <f t="shared" si="27"/>
        <v>0</v>
      </c>
      <c r="E1740" s="63" t="str">
        <f>HYPERLINK("https://www.sds-group.ru/product/nakonechnik-mednyy-luzhenyy-tml-r-16-6-16mm-6mm-v-upak-5-sht-rexant-07-5310-3/", "Инфо")</f>
        <v>Инфо</v>
      </c>
      <c r="F1740" s="16" t="s">
        <v>39</v>
      </c>
      <c r="G1740" s="15"/>
      <c r="H1740" s="15"/>
      <c r="I1740" s="15"/>
      <c r="J1740" s="17">
        <v>55</v>
      </c>
      <c r="K1740" s="15"/>
      <c r="L1740" s="17">
        <v>10</v>
      </c>
      <c r="M1740" s="17">
        <v>500</v>
      </c>
      <c r="N1740" s="17">
        <v>10</v>
      </c>
      <c r="O1740" s="18">
        <v>73.849999999999994</v>
      </c>
      <c r="P1740" s="18">
        <v>60.53</v>
      </c>
      <c r="Q1740" s="18">
        <v>62.77</v>
      </c>
      <c r="R1740" s="18">
        <v>51.45</v>
      </c>
      <c r="S1740" s="18">
        <v>50.22</v>
      </c>
      <c r="T1740" s="18">
        <v>41.16</v>
      </c>
      <c r="U1740" s="16"/>
      <c r="V1740" s="16"/>
      <c r="W1740" s="16" t="s">
        <v>40</v>
      </c>
      <c r="X1740" s="19">
        <v>6.0000000000000001E-3</v>
      </c>
      <c r="Y1740" s="20">
        <v>1.5999999999999999E-5</v>
      </c>
      <c r="Z1740" s="21">
        <v>4601004190276</v>
      </c>
    </row>
    <row r="1741" spans="1:26" ht="12" customHeight="1" outlineLevel="4" x14ac:dyDescent="0.2">
      <c r="A1741" s="14" t="s">
        <v>3432</v>
      </c>
      <c r="B1741" s="26" t="s">
        <v>3433</v>
      </c>
      <c r="C1741" s="52"/>
      <c r="D1741" s="55">
        <f t="shared" si="27"/>
        <v>0</v>
      </c>
      <c r="E1741" s="63" t="str">
        <f>HYPERLINK("https://www.sds-group.ru/product/nakonechnik-mednyy-luzhenyy-tml-r-16-8-16mm-8mm-v-upak-100-sht-rexant-07-5311-6/", "Инфо")</f>
        <v>Инфо</v>
      </c>
      <c r="F1741" s="16" t="s">
        <v>39</v>
      </c>
      <c r="G1741" s="15"/>
      <c r="H1741" s="15"/>
      <c r="I1741" s="15"/>
      <c r="J1741" s="22">
        <v>21400</v>
      </c>
      <c r="K1741" s="15"/>
      <c r="L1741" s="17">
        <v>100</v>
      </c>
      <c r="M1741" s="17">
        <v>100</v>
      </c>
      <c r="N1741" s="17">
        <v>100</v>
      </c>
      <c r="O1741" s="18">
        <v>63.18</v>
      </c>
      <c r="P1741" s="18">
        <v>51.79</v>
      </c>
      <c r="Q1741" s="18">
        <v>53.7</v>
      </c>
      <c r="R1741" s="18">
        <v>44.02</v>
      </c>
      <c r="S1741" s="18">
        <v>42.96</v>
      </c>
      <c r="T1741" s="18">
        <v>35.21</v>
      </c>
      <c r="U1741" s="16"/>
      <c r="V1741" s="16"/>
      <c r="W1741" s="16" t="s">
        <v>40</v>
      </c>
      <c r="X1741" s="19">
        <v>6.0000000000000001E-3</v>
      </c>
      <c r="Y1741" s="20">
        <v>3.9999999999999998E-6</v>
      </c>
      <c r="Z1741" s="21">
        <v>4601004190306</v>
      </c>
    </row>
    <row r="1742" spans="1:26" ht="12" customHeight="1" outlineLevel="4" x14ac:dyDescent="0.2">
      <c r="A1742" s="14" t="s">
        <v>3434</v>
      </c>
      <c r="B1742" s="26" t="s">
        <v>3435</v>
      </c>
      <c r="C1742" s="52"/>
      <c r="D1742" s="55">
        <f t="shared" si="27"/>
        <v>0</v>
      </c>
      <c r="E1742" s="63" t="str">
        <f>HYPERLINK("https://www.sds-group.ru/product/nakonechnik-medniy-lujeniy-tml-r-16-8-16mm-sup2-oslash-8mm-v-upak-5-sht-rexant-25238/", "Инфо")</f>
        <v>Инфо</v>
      </c>
      <c r="F1742" s="16" t="s">
        <v>39</v>
      </c>
      <c r="G1742" s="15"/>
      <c r="H1742" s="15"/>
      <c r="I1742" s="15"/>
      <c r="J1742" s="16" t="s">
        <v>100</v>
      </c>
      <c r="K1742" s="15"/>
      <c r="L1742" s="17">
        <v>10</v>
      </c>
      <c r="M1742" s="17">
        <v>500</v>
      </c>
      <c r="N1742" s="17">
        <v>10</v>
      </c>
      <c r="O1742" s="18">
        <v>71.69</v>
      </c>
      <c r="P1742" s="18">
        <v>58.76</v>
      </c>
      <c r="Q1742" s="18">
        <v>60.94</v>
      </c>
      <c r="R1742" s="18">
        <v>49.95</v>
      </c>
      <c r="S1742" s="18">
        <v>48.75</v>
      </c>
      <c r="T1742" s="18">
        <v>39.96</v>
      </c>
      <c r="U1742" s="16"/>
      <c r="V1742" s="16"/>
      <c r="W1742" s="16" t="s">
        <v>40</v>
      </c>
      <c r="X1742" s="19">
        <v>5.0000000000000001E-3</v>
      </c>
      <c r="Y1742" s="20">
        <v>1.1E-5</v>
      </c>
      <c r="Z1742" s="21">
        <v>4601004190290</v>
      </c>
    </row>
    <row r="1743" spans="1:26" ht="12" customHeight="1" outlineLevel="4" x14ac:dyDescent="0.2">
      <c r="A1743" s="14" t="s">
        <v>3436</v>
      </c>
      <c r="B1743" s="26" t="s">
        <v>3437</v>
      </c>
      <c r="C1743" s="52"/>
      <c r="D1743" s="55">
        <f t="shared" si="27"/>
        <v>0</v>
      </c>
      <c r="E1743" s="63" t="str">
        <f>HYPERLINK("https://www.sds-group.ru/product/nakonechnik-mednyy-luzhenyy-tml-r-2-5-4-2-5mm-4mm-gost-7386-80-v-upak-100-sht-rexant-07-5300-4/", "Инфо")</f>
        <v>Инфо</v>
      </c>
      <c r="F1743" s="16" t="s">
        <v>39</v>
      </c>
      <c r="G1743" s="15"/>
      <c r="H1743" s="15"/>
      <c r="I1743" s="15"/>
      <c r="J1743" s="16" t="s">
        <v>100</v>
      </c>
      <c r="K1743" s="15" t="s">
        <v>1888</v>
      </c>
      <c r="L1743" s="17">
        <v>100</v>
      </c>
      <c r="M1743" s="17">
        <v>100</v>
      </c>
      <c r="N1743" s="17">
        <v>100</v>
      </c>
      <c r="O1743" s="18">
        <v>15.31</v>
      </c>
      <c r="P1743" s="18">
        <v>12.55</v>
      </c>
      <c r="Q1743" s="18">
        <v>10.72</v>
      </c>
      <c r="R1743" s="18">
        <v>8.7899999999999991</v>
      </c>
      <c r="S1743" s="18">
        <v>10.41</v>
      </c>
      <c r="T1743" s="18">
        <v>8.5299999999999994</v>
      </c>
      <c r="U1743" s="16"/>
      <c r="V1743" s="16"/>
      <c r="W1743" s="16"/>
      <c r="X1743" s="19">
        <v>2E-3</v>
      </c>
      <c r="Y1743" s="20">
        <v>9.0000000000000002E-6</v>
      </c>
      <c r="Z1743" s="21">
        <v>4601004190092</v>
      </c>
    </row>
    <row r="1744" spans="1:26" ht="12" customHeight="1" outlineLevel="4" x14ac:dyDescent="0.2">
      <c r="A1744" s="14" t="s">
        <v>3438</v>
      </c>
      <c r="B1744" s="26" t="s">
        <v>3439</v>
      </c>
      <c r="C1744" s="52"/>
      <c r="D1744" s="55">
        <f t="shared" si="27"/>
        <v>0</v>
      </c>
      <c r="E1744" s="63" t="str">
        <f>HYPERLINK("https://www.sds-group.ru/product/nakonechnik-mednyy-luzhenyy-tml-r-25-10-25mm-10mm-v-upak-100-sht-rexant-07-5315-6/", "Инфо")</f>
        <v>Инфо</v>
      </c>
      <c r="F1744" s="16" t="s">
        <v>39</v>
      </c>
      <c r="G1744" s="15"/>
      <c r="H1744" s="15"/>
      <c r="I1744" s="15"/>
      <c r="J1744" s="16" t="s">
        <v>100</v>
      </c>
      <c r="K1744" s="15" t="s">
        <v>1888</v>
      </c>
      <c r="L1744" s="17">
        <v>100</v>
      </c>
      <c r="M1744" s="17">
        <v>100</v>
      </c>
      <c r="N1744" s="17">
        <v>100</v>
      </c>
      <c r="O1744" s="18">
        <v>89.29</v>
      </c>
      <c r="P1744" s="18">
        <v>73.19</v>
      </c>
      <c r="Q1744" s="18">
        <v>75.900000000000006</v>
      </c>
      <c r="R1744" s="18">
        <v>62.21</v>
      </c>
      <c r="S1744" s="18">
        <v>60.72</v>
      </c>
      <c r="T1744" s="18">
        <v>49.77</v>
      </c>
      <c r="U1744" s="16"/>
      <c r="V1744" s="16"/>
      <c r="W1744" s="16" t="s">
        <v>40</v>
      </c>
      <c r="X1744" s="19">
        <v>8.0000000000000002E-3</v>
      </c>
      <c r="Y1744" s="20">
        <v>3.9999999999999998E-6</v>
      </c>
      <c r="Z1744" s="21">
        <v>4601004190368</v>
      </c>
    </row>
    <row r="1745" spans="1:26" ht="12" customHeight="1" outlineLevel="4" x14ac:dyDescent="0.2">
      <c r="A1745" s="14" t="s">
        <v>3440</v>
      </c>
      <c r="B1745" s="26" t="s">
        <v>3441</v>
      </c>
      <c r="C1745" s="52"/>
      <c r="D1745" s="55">
        <f t="shared" si="27"/>
        <v>0</v>
      </c>
      <c r="E1745" s="63" t="str">
        <f>HYPERLINK("https://www.sds-group.ru/product/nakonechnik-medniy-lujeniy-tml-r-25-10-25mm-sup2-oslash-10mm-v-upak-5-sht-rexant-25165/", "Инфо")</f>
        <v>Инфо</v>
      </c>
      <c r="F1745" s="16" t="s">
        <v>39</v>
      </c>
      <c r="G1745" s="15"/>
      <c r="H1745" s="15"/>
      <c r="I1745" s="15"/>
      <c r="J1745" s="17">
        <v>460</v>
      </c>
      <c r="K1745" s="15"/>
      <c r="L1745" s="17">
        <v>10</v>
      </c>
      <c r="M1745" s="22">
        <v>1000</v>
      </c>
      <c r="N1745" s="17">
        <v>10</v>
      </c>
      <c r="O1745" s="18">
        <v>101.03</v>
      </c>
      <c r="P1745" s="18">
        <v>82.81</v>
      </c>
      <c r="Q1745" s="18">
        <v>85.88</v>
      </c>
      <c r="R1745" s="18">
        <v>70.39</v>
      </c>
      <c r="S1745" s="18">
        <v>68.7</v>
      </c>
      <c r="T1745" s="18">
        <v>56.31</v>
      </c>
      <c r="U1745" s="16"/>
      <c r="V1745" s="16"/>
      <c r="W1745" s="16" t="s">
        <v>40</v>
      </c>
      <c r="X1745" s="19">
        <v>1.0999999999999999E-2</v>
      </c>
      <c r="Y1745" s="20">
        <v>1.1E-5</v>
      </c>
      <c r="Z1745" s="21">
        <v>4601004190351</v>
      </c>
    </row>
    <row r="1746" spans="1:26" ht="12" customHeight="1" outlineLevel="4" x14ac:dyDescent="0.2">
      <c r="A1746" s="14" t="s">
        <v>3442</v>
      </c>
      <c r="B1746" s="26" t="s">
        <v>3443</v>
      </c>
      <c r="C1746" s="52"/>
      <c r="D1746" s="55">
        <f t="shared" si="27"/>
        <v>0</v>
      </c>
      <c r="E1746" s="63" t="str">
        <f>HYPERLINK("https://www.sds-group.ru/product/nakonechnik-mednyy-luzhenyy-tml-r-25-6-25mm-6mm-v-upak-100-sht-rexant-07-5312-6/", "Инфо")</f>
        <v>Инфо</v>
      </c>
      <c r="F1746" s="16" t="s">
        <v>39</v>
      </c>
      <c r="G1746" s="15"/>
      <c r="H1746" s="15"/>
      <c r="I1746" s="15"/>
      <c r="J1746" s="16" t="s">
        <v>100</v>
      </c>
      <c r="K1746" s="15" t="s">
        <v>1888</v>
      </c>
      <c r="L1746" s="17">
        <v>100</v>
      </c>
      <c r="M1746" s="17">
        <v>100</v>
      </c>
      <c r="N1746" s="17">
        <v>100</v>
      </c>
      <c r="O1746" s="18">
        <v>87.68</v>
      </c>
      <c r="P1746" s="18">
        <v>71.87</v>
      </c>
      <c r="Q1746" s="18">
        <v>74.53</v>
      </c>
      <c r="R1746" s="18">
        <v>61.09</v>
      </c>
      <c r="S1746" s="18">
        <v>59.62</v>
      </c>
      <c r="T1746" s="18">
        <v>48.87</v>
      </c>
      <c r="U1746" s="16"/>
      <c r="V1746" s="16"/>
      <c r="W1746" s="16" t="s">
        <v>40</v>
      </c>
      <c r="X1746" s="19">
        <v>8.0000000000000002E-3</v>
      </c>
      <c r="Y1746" s="20">
        <v>3.9999999999999998E-6</v>
      </c>
      <c r="Z1746" s="21">
        <v>4601004190320</v>
      </c>
    </row>
    <row r="1747" spans="1:26" ht="12" customHeight="1" outlineLevel="4" x14ac:dyDescent="0.2">
      <c r="A1747" s="14" t="s">
        <v>3444</v>
      </c>
      <c r="B1747" s="26" t="s">
        <v>3445</v>
      </c>
      <c r="C1747" s="52"/>
      <c r="D1747" s="55">
        <f t="shared" si="27"/>
        <v>0</v>
      </c>
      <c r="E1747" s="63" t="str">
        <f>HYPERLINK("https://www.sds-group.ru/product/nakonechnik-mednyy-luzhenyy-tml-r-25-6-25mm-6mm-v-upak-5-sht-rexant-07-5312-2/", "Инфо")</f>
        <v>Инфо</v>
      </c>
      <c r="F1747" s="16" t="s">
        <v>39</v>
      </c>
      <c r="G1747" s="15"/>
      <c r="H1747" s="15"/>
      <c r="I1747" s="15"/>
      <c r="J1747" s="22">
        <v>1550</v>
      </c>
      <c r="K1747" s="15"/>
      <c r="L1747" s="17">
        <v>10</v>
      </c>
      <c r="M1747" s="17">
        <v>500</v>
      </c>
      <c r="N1747" s="17">
        <v>10</v>
      </c>
      <c r="O1747" s="18">
        <v>92.73</v>
      </c>
      <c r="P1747" s="18">
        <v>76.010000000000005</v>
      </c>
      <c r="Q1747" s="18">
        <v>78.819999999999993</v>
      </c>
      <c r="R1747" s="18">
        <v>64.61</v>
      </c>
      <c r="S1747" s="18">
        <v>63.06</v>
      </c>
      <c r="T1747" s="18">
        <v>51.69</v>
      </c>
      <c r="U1747" s="16"/>
      <c r="V1747" s="16"/>
      <c r="W1747" s="16" t="s">
        <v>40</v>
      </c>
      <c r="X1747" s="19">
        <v>5.0000000000000001E-3</v>
      </c>
      <c r="Y1747" s="20">
        <v>9.0000000000000002E-6</v>
      </c>
      <c r="Z1747" s="21">
        <v>4601004190313</v>
      </c>
    </row>
    <row r="1748" spans="1:26" ht="12" customHeight="1" outlineLevel="4" x14ac:dyDescent="0.2">
      <c r="A1748" s="14" t="s">
        <v>3446</v>
      </c>
      <c r="B1748" s="26" t="s">
        <v>3447</v>
      </c>
      <c r="C1748" s="52"/>
      <c r="D1748" s="55">
        <f t="shared" si="27"/>
        <v>0</v>
      </c>
      <c r="E1748" s="63" t="str">
        <f>HYPERLINK("https://www.sds-group.ru/product/nakonechnik-mednyy-luzhenyy-tml-r-25-8-25mm-8mm-v-upak-100-sht-rexant-07-5314-6/", "Инфо")</f>
        <v>Инфо</v>
      </c>
      <c r="F1748" s="16" t="s">
        <v>39</v>
      </c>
      <c r="G1748" s="15"/>
      <c r="H1748" s="15"/>
      <c r="I1748" s="15"/>
      <c r="J1748" s="17">
        <v>800</v>
      </c>
      <c r="K1748" s="15" t="s">
        <v>1888</v>
      </c>
      <c r="L1748" s="17">
        <v>100</v>
      </c>
      <c r="M1748" s="17">
        <v>100</v>
      </c>
      <c r="N1748" s="17">
        <v>100</v>
      </c>
      <c r="O1748" s="18">
        <v>87.67</v>
      </c>
      <c r="P1748" s="18">
        <v>71.86</v>
      </c>
      <c r="Q1748" s="18">
        <v>74.52</v>
      </c>
      <c r="R1748" s="18">
        <v>61.08</v>
      </c>
      <c r="S1748" s="18">
        <v>59.62</v>
      </c>
      <c r="T1748" s="18">
        <v>48.87</v>
      </c>
      <c r="U1748" s="16"/>
      <c r="V1748" s="16"/>
      <c r="W1748" s="16" t="s">
        <v>40</v>
      </c>
      <c r="X1748" s="19">
        <v>8.0000000000000002E-3</v>
      </c>
      <c r="Y1748" s="20">
        <v>3.9999999999999998E-6</v>
      </c>
      <c r="Z1748" s="21">
        <v>4601004190344</v>
      </c>
    </row>
    <row r="1749" spans="1:26" ht="12" customHeight="1" outlineLevel="4" x14ac:dyDescent="0.2">
      <c r="A1749" s="14" t="s">
        <v>3448</v>
      </c>
      <c r="B1749" s="26" t="s">
        <v>3449</v>
      </c>
      <c r="C1749" s="52"/>
      <c r="D1749" s="55">
        <f t="shared" si="27"/>
        <v>0</v>
      </c>
      <c r="E1749" s="63" t="str">
        <f>HYPERLINK("https://www.sds-group.ru/product/nakonechnik-medniy-lujeniy-tml-r-25-8-25mm-sup2-oslash-8mm-v-upak-5-sht-rexant-25163/", "Инфо")</f>
        <v>Инфо</v>
      </c>
      <c r="F1749" s="16" t="s">
        <v>39</v>
      </c>
      <c r="G1749" s="15"/>
      <c r="H1749" s="15"/>
      <c r="I1749" s="15"/>
      <c r="J1749" s="22">
        <v>2590</v>
      </c>
      <c r="K1749" s="15"/>
      <c r="L1749" s="17">
        <v>10</v>
      </c>
      <c r="M1749" s="17">
        <v>50</v>
      </c>
      <c r="N1749" s="17">
        <v>10</v>
      </c>
      <c r="O1749" s="18">
        <v>97.35</v>
      </c>
      <c r="P1749" s="18">
        <v>79.8</v>
      </c>
      <c r="Q1749" s="18">
        <v>82.75</v>
      </c>
      <c r="R1749" s="18">
        <v>67.83</v>
      </c>
      <c r="S1749" s="18">
        <v>66.2</v>
      </c>
      <c r="T1749" s="18">
        <v>54.26</v>
      </c>
      <c r="U1749" s="16"/>
      <c r="V1749" s="16"/>
      <c r="W1749" s="16" t="s">
        <v>40</v>
      </c>
      <c r="X1749" s="19">
        <v>6.0000000000000001E-3</v>
      </c>
      <c r="Y1749" s="20">
        <v>1.8E-5</v>
      </c>
      <c r="Z1749" s="21">
        <v>4601004190337</v>
      </c>
    </row>
    <row r="1750" spans="1:26" ht="12" customHeight="1" outlineLevel="4" x14ac:dyDescent="0.2">
      <c r="A1750" s="14" t="s">
        <v>3450</v>
      </c>
      <c r="B1750" s="26" t="s">
        <v>3451</v>
      </c>
      <c r="C1750" s="52"/>
      <c r="D1750" s="55">
        <f t="shared" si="27"/>
        <v>0</v>
      </c>
      <c r="E1750" s="63" t="str">
        <f>HYPERLINK("https://www.sds-group.ru/product/nakonechnik-mednyy-luzhenyy-tml-r-35-10-35mm-10mm-v-upak-100-sht-rexant-07-5317-6/", "Инфо")</f>
        <v>Инфо</v>
      </c>
      <c r="F1750" s="16" t="s">
        <v>39</v>
      </c>
      <c r="G1750" s="15"/>
      <c r="H1750" s="15"/>
      <c r="I1750" s="15"/>
      <c r="J1750" s="17">
        <v>400</v>
      </c>
      <c r="K1750" s="15" t="s">
        <v>1888</v>
      </c>
      <c r="L1750" s="17">
        <v>100</v>
      </c>
      <c r="M1750" s="17">
        <v>800</v>
      </c>
      <c r="N1750" s="17">
        <v>100</v>
      </c>
      <c r="O1750" s="18">
        <v>118.58</v>
      </c>
      <c r="P1750" s="18">
        <v>97.2</v>
      </c>
      <c r="Q1750" s="18">
        <v>100.79</v>
      </c>
      <c r="R1750" s="18">
        <v>82.61</v>
      </c>
      <c r="S1750" s="18">
        <v>80.63</v>
      </c>
      <c r="T1750" s="18">
        <v>66.09</v>
      </c>
      <c r="U1750" s="16"/>
      <c r="V1750" s="16"/>
      <c r="W1750" s="16" t="s">
        <v>40</v>
      </c>
      <c r="X1750" s="19">
        <v>1.0999999999999999E-2</v>
      </c>
      <c r="Y1750" s="20">
        <v>6.0000000000000002E-6</v>
      </c>
      <c r="Z1750" s="21">
        <v>4601004190405</v>
      </c>
    </row>
    <row r="1751" spans="1:26" ht="12" customHeight="1" outlineLevel="4" x14ac:dyDescent="0.2">
      <c r="A1751" s="14" t="s">
        <v>3452</v>
      </c>
      <c r="B1751" s="26" t="s">
        <v>3453</v>
      </c>
      <c r="C1751" s="52"/>
      <c r="D1751" s="55">
        <f t="shared" si="27"/>
        <v>0</v>
      </c>
      <c r="E1751" s="63" t="str">
        <f>HYPERLINK("https://www.sds-group.ru/product/nakonechnik-mednyy-luzhenyy-tml-r-35-8-35mm-8mm-v-upak-5-sht-rexant-07-5316-3/", "Инфо")</f>
        <v>Инфо</v>
      </c>
      <c r="F1751" s="16" t="s">
        <v>39</v>
      </c>
      <c r="G1751" s="15"/>
      <c r="H1751" s="15"/>
      <c r="I1751" s="15"/>
      <c r="J1751" s="22">
        <v>7095</v>
      </c>
      <c r="K1751" s="15"/>
      <c r="L1751" s="17">
        <v>10</v>
      </c>
      <c r="M1751" s="17">
        <v>500</v>
      </c>
      <c r="N1751" s="17">
        <v>10</v>
      </c>
      <c r="O1751" s="18">
        <v>128.80000000000001</v>
      </c>
      <c r="P1751" s="18">
        <v>105.57</v>
      </c>
      <c r="Q1751" s="18">
        <v>109.48</v>
      </c>
      <c r="R1751" s="18">
        <v>89.74</v>
      </c>
      <c r="S1751" s="18">
        <v>87.58</v>
      </c>
      <c r="T1751" s="18">
        <v>71.790000000000006</v>
      </c>
      <c r="U1751" s="16"/>
      <c r="V1751" s="16"/>
      <c r="W1751" s="16" t="s">
        <v>40</v>
      </c>
      <c r="X1751" s="19">
        <v>1.4E-2</v>
      </c>
      <c r="Y1751" s="20">
        <v>1.2E-5</v>
      </c>
      <c r="Z1751" s="21">
        <v>4601004190375</v>
      </c>
    </row>
    <row r="1752" spans="1:26" ht="12" customHeight="1" outlineLevel="4" x14ac:dyDescent="0.2">
      <c r="A1752" s="14" t="s">
        <v>3454</v>
      </c>
      <c r="B1752" s="26" t="s">
        <v>3455</v>
      </c>
      <c r="C1752" s="52"/>
      <c r="D1752" s="55">
        <f t="shared" si="27"/>
        <v>0</v>
      </c>
      <c r="E1752" s="63" t="str">
        <f>HYPERLINK("https://www.sds-group.ru/product/nakonechnik-medniy-lujeniy-tml-r-4-5-4mm-sup2-oslash-5mm-v-upak-100-sht-rexant-25225/", "Инфо")</f>
        <v>Инфо</v>
      </c>
      <c r="F1752" s="16" t="s">
        <v>39</v>
      </c>
      <c r="G1752" s="15"/>
      <c r="H1752" s="15"/>
      <c r="I1752" s="15"/>
      <c r="J1752" s="16" t="s">
        <v>100</v>
      </c>
      <c r="K1752" s="15" t="s">
        <v>1408</v>
      </c>
      <c r="L1752" s="17">
        <v>100</v>
      </c>
      <c r="M1752" s="17">
        <v>100</v>
      </c>
      <c r="N1752" s="17">
        <v>100</v>
      </c>
      <c r="O1752" s="18">
        <v>16.100000000000001</v>
      </c>
      <c r="P1752" s="18">
        <v>13.2</v>
      </c>
      <c r="Q1752" s="18">
        <v>11.27</v>
      </c>
      <c r="R1752" s="18">
        <v>9.24</v>
      </c>
      <c r="S1752" s="18">
        <v>10.95</v>
      </c>
      <c r="T1752" s="18">
        <v>8.98</v>
      </c>
      <c r="U1752" s="16"/>
      <c r="V1752" s="16"/>
      <c r="W1752" s="16"/>
      <c r="X1752" s="19">
        <v>2E-3</v>
      </c>
      <c r="Y1752" s="20">
        <v>3.9999999999999998E-6</v>
      </c>
      <c r="Z1752" s="21">
        <v>4601004190160</v>
      </c>
    </row>
    <row r="1753" spans="1:26" ht="12" customHeight="1" outlineLevel="4" x14ac:dyDescent="0.2">
      <c r="A1753" s="14" t="s">
        <v>3456</v>
      </c>
      <c r="B1753" s="26" t="s">
        <v>3457</v>
      </c>
      <c r="C1753" s="52"/>
      <c r="D1753" s="55">
        <f t="shared" si="27"/>
        <v>0</v>
      </c>
      <c r="E1753" s="63" t="str">
        <f>HYPERLINK("https://www.sds-group.ru/product/nakonechnik-mednyy-luzhenyy-tml-r-4-6-4mm-6mm-v-upak-10-sht-rexant-07-5304-2/", "Инфо")</f>
        <v>Инфо</v>
      </c>
      <c r="F1753" s="16" t="s">
        <v>39</v>
      </c>
      <c r="G1753" s="15"/>
      <c r="H1753" s="15"/>
      <c r="I1753" s="15"/>
      <c r="J1753" s="16" t="s">
        <v>100</v>
      </c>
      <c r="K1753" s="15"/>
      <c r="L1753" s="17">
        <v>10</v>
      </c>
      <c r="M1753" s="22">
        <v>1000</v>
      </c>
      <c r="N1753" s="17">
        <v>10</v>
      </c>
      <c r="O1753" s="18">
        <v>24.44</v>
      </c>
      <c r="P1753" s="18">
        <v>20.03</v>
      </c>
      <c r="Q1753" s="18">
        <v>20.77</v>
      </c>
      <c r="R1753" s="18">
        <v>17.02</v>
      </c>
      <c r="S1753" s="18">
        <v>16.62</v>
      </c>
      <c r="T1753" s="18">
        <v>13.62</v>
      </c>
      <c r="U1753" s="16"/>
      <c r="V1753" s="16"/>
      <c r="W1753" s="16" t="s">
        <v>40</v>
      </c>
      <c r="X1753" s="19">
        <v>3.0000000000000001E-3</v>
      </c>
      <c r="Y1753" s="20">
        <v>2.8E-5</v>
      </c>
      <c r="Z1753" s="21">
        <v>4601004190177</v>
      </c>
    </row>
    <row r="1754" spans="1:26" ht="12" customHeight="1" outlineLevel="4" x14ac:dyDescent="0.2">
      <c r="A1754" s="14" t="s">
        <v>3458</v>
      </c>
      <c r="B1754" s="26" t="s">
        <v>3459</v>
      </c>
      <c r="C1754" s="52"/>
      <c r="D1754" s="55">
        <f t="shared" si="27"/>
        <v>0</v>
      </c>
      <c r="E1754" s="63" t="str">
        <f>HYPERLINK("https://www.sds-group.ru/product/nakonechnik-mednyy-luzhenyy-tml-r-4-6-4mm-6mm-v-upak-100-sht-rexant-07-5304-6/", "Инфо")</f>
        <v>Инфо</v>
      </c>
      <c r="F1754" s="16" t="s">
        <v>39</v>
      </c>
      <c r="G1754" s="15"/>
      <c r="H1754" s="15"/>
      <c r="I1754" s="15"/>
      <c r="J1754" s="22">
        <v>2800</v>
      </c>
      <c r="K1754" s="15" t="s">
        <v>1888</v>
      </c>
      <c r="L1754" s="17">
        <v>100</v>
      </c>
      <c r="M1754" s="17">
        <v>100</v>
      </c>
      <c r="N1754" s="17">
        <v>100</v>
      </c>
      <c r="O1754" s="18">
        <v>21.52</v>
      </c>
      <c r="P1754" s="18">
        <v>17.64</v>
      </c>
      <c r="Q1754" s="18">
        <v>18.29</v>
      </c>
      <c r="R1754" s="18">
        <v>14.99</v>
      </c>
      <c r="S1754" s="18">
        <v>14.63</v>
      </c>
      <c r="T1754" s="18">
        <v>11.99</v>
      </c>
      <c r="U1754" s="16"/>
      <c r="V1754" s="16"/>
      <c r="W1754" s="16" t="s">
        <v>40</v>
      </c>
      <c r="X1754" s="19">
        <v>2E-3</v>
      </c>
      <c r="Y1754" s="20">
        <v>7.9999999999999996E-6</v>
      </c>
      <c r="Z1754" s="21">
        <v>4601004190184</v>
      </c>
    </row>
    <row r="1755" spans="1:26" ht="12" customHeight="1" outlineLevel="4" x14ac:dyDescent="0.2">
      <c r="A1755" s="14" t="s">
        <v>3460</v>
      </c>
      <c r="B1755" s="26" t="s">
        <v>3461</v>
      </c>
      <c r="C1755" s="52"/>
      <c r="D1755" s="55">
        <f t="shared" si="27"/>
        <v>0</v>
      </c>
      <c r="E1755" s="63" t="str">
        <f>HYPERLINK("https://www.sds-group.ru/product/nakonechnik-medniy-lujeniy-tml-r-50-10-50mm-sup2-oslash-10mm-v-upak-5-sht-rexant-25171/", "Инфо")</f>
        <v>Инфо</v>
      </c>
      <c r="F1755" s="16" t="s">
        <v>39</v>
      </c>
      <c r="G1755" s="15"/>
      <c r="H1755" s="15"/>
      <c r="I1755" s="15"/>
      <c r="J1755" s="22">
        <v>1250</v>
      </c>
      <c r="K1755" s="15"/>
      <c r="L1755" s="17">
        <v>5</v>
      </c>
      <c r="M1755" s="22">
        <v>1000</v>
      </c>
      <c r="N1755" s="17">
        <v>5</v>
      </c>
      <c r="O1755" s="18">
        <v>164.55</v>
      </c>
      <c r="P1755" s="18">
        <v>134.88</v>
      </c>
      <c r="Q1755" s="18">
        <v>139.87</v>
      </c>
      <c r="R1755" s="18">
        <v>114.65</v>
      </c>
      <c r="S1755" s="18">
        <v>111.89</v>
      </c>
      <c r="T1755" s="18">
        <v>91.71</v>
      </c>
      <c r="U1755" s="16"/>
      <c r="V1755" s="16"/>
      <c r="W1755" s="16" t="s">
        <v>40</v>
      </c>
      <c r="X1755" s="19">
        <v>1.6E-2</v>
      </c>
      <c r="Y1755" s="20">
        <v>4.1E-5</v>
      </c>
      <c r="Z1755" s="21">
        <v>4601004190412</v>
      </c>
    </row>
    <row r="1756" spans="1:26" ht="12" customHeight="1" outlineLevel="4" x14ac:dyDescent="0.2">
      <c r="A1756" s="14" t="s">
        <v>3462</v>
      </c>
      <c r="B1756" s="26" t="s">
        <v>3463</v>
      </c>
      <c r="C1756" s="52"/>
      <c r="D1756" s="55">
        <f t="shared" si="27"/>
        <v>0</v>
      </c>
      <c r="E1756" s="63" t="str">
        <f>HYPERLINK("https://www.sds-group.ru/product/nakonechnik-mednyy-luzhenyy-tml-r-50-10-50mm-10mm-v-upak-50-sht-rexant-07-5323-6/", "Инфо")</f>
        <v>Инфо</v>
      </c>
      <c r="F1756" s="16" t="s">
        <v>39</v>
      </c>
      <c r="G1756" s="15"/>
      <c r="H1756" s="15"/>
      <c r="I1756" s="15"/>
      <c r="J1756" s="22">
        <v>7650</v>
      </c>
      <c r="K1756" s="15"/>
      <c r="L1756" s="17">
        <v>50</v>
      </c>
      <c r="M1756" s="17">
        <v>50</v>
      </c>
      <c r="N1756" s="17">
        <v>50</v>
      </c>
      <c r="O1756" s="18">
        <v>153.37</v>
      </c>
      <c r="P1756" s="18">
        <v>125.71</v>
      </c>
      <c r="Q1756" s="18">
        <v>130.36000000000001</v>
      </c>
      <c r="R1756" s="18">
        <v>106.85</v>
      </c>
      <c r="S1756" s="18">
        <v>104.29</v>
      </c>
      <c r="T1756" s="18">
        <v>85.48</v>
      </c>
      <c r="U1756" s="16"/>
      <c r="V1756" s="16"/>
      <c r="W1756" s="16" t="s">
        <v>40</v>
      </c>
      <c r="X1756" s="19">
        <v>1.4999999999999999E-2</v>
      </c>
      <c r="Y1756" s="20">
        <v>1.5E-5</v>
      </c>
      <c r="Z1756" s="21">
        <v>4601004190429</v>
      </c>
    </row>
    <row r="1757" spans="1:26" ht="12" customHeight="1" outlineLevel="4" x14ac:dyDescent="0.2">
      <c r="A1757" s="14" t="s">
        <v>3464</v>
      </c>
      <c r="B1757" s="26" t="s">
        <v>3465</v>
      </c>
      <c r="C1757" s="52"/>
      <c r="D1757" s="55">
        <f t="shared" si="27"/>
        <v>0</v>
      </c>
      <c r="E1757" s="63" t="str">
        <f>HYPERLINK("https://www.sds-group.ru/product/nakonechnik-medniy-lujeniy-tml-r-6-5-6mm-sup2-oslash-5mm-v-upak-100-sht-rexant-25229/", "Инфо")</f>
        <v>Инфо</v>
      </c>
      <c r="F1757" s="16" t="s">
        <v>39</v>
      </c>
      <c r="G1757" s="15"/>
      <c r="H1757" s="15"/>
      <c r="I1757" s="15"/>
      <c r="J1757" s="22">
        <v>5200</v>
      </c>
      <c r="K1757" s="15" t="s">
        <v>1408</v>
      </c>
      <c r="L1757" s="17">
        <v>100</v>
      </c>
      <c r="M1757" s="17">
        <v>100</v>
      </c>
      <c r="N1757" s="17">
        <v>100</v>
      </c>
      <c r="O1757" s="18">
        <v>19.05</v>
      </c>
      <c r="P1757" s="18">
        <v>15.61</v>
      </c>
      <c r="Q1757" s="18">
        <v>13.34</v>
      </c>
      <c r="R1757" s="18">
        <v>10.93</v>
      </c>
      <c r="S1757" s="18">
        <v>12.95</v>
      </c>
      <c r="T1757" s="18">
        <v>10.61</v>
      </c>
      <c r="U1757" s="16"/>
      <c r="V1757" s="16"/>
      <c r="W1757" s="16"/>
      <c r="X1757" s="19">
        <v>2E-3</v>
      </c>
      <c r="Y1757" s="20">
        <v>9.9999999999999995E-7</v>
      </c>
      <c r="Z1757" s="21">
        <v>4601004190207</v>
      </c>
    </row>
    <row r="1758" spans="1:26" ht="12" customHeight="1" outlineLevel="4" x14ac:dyDescent="0.2">
      <c r="A1758" s="14" t="s">
        <v>3466</v>
      </c>
      <c r="B1758" s="26" t="s">
        <v>3467</v>
      </c>
      <c r="C1758" s="52"/>
      <c r="D1758" s="55">
        <f t="shared" si="27"/>
        <v>0</v>
      </c>
      <c r="E1758" s="63" t="str">
        <f>HYPERLINK("https://www.sds-group.ru/product/nakonechnik-mednyy-luzhenyy-tml-r-6-6-6mm-6mm-v-upak-10-sht-rexant-07-5306-2/", "Инфо")</f>
        <v>Инфо</v>
      </c>
      <c r="F1758" s="16" t="s">
        <v>39</v>
      </c>
      <c r="G1758" s="15"/>
      <c r="H1758" s="15"/>
      <c r="I1758" s="15"/>
      <c r="J1758" s="16" t="s">
        <v>100</v>
      </c>
      <c r="K1758" s="15"/>
      <c r="L1758" s="17">
        <v>50</v>
      </c>
      <c r="M1758" s="22">
        <v>1000</v>
      </c>
      <c r="N1758" s="17">
        <v>50</v>
      </c>
      <c r="O1758" s="18">
        <v>27.84</v>
      </c>
      <c r="P1758" s="18">
        <v>22.82</v>
      </c>
      <c r="Q1758" s="18">
        <v>23.66</v>
      </c>
      <c r="R1758" s="18">
        <v>19.39</v>
      </c>
      <c r="S1758" s="18">
        <v>18.93</v>
      </c>
      <c r="T1758" s="18">
        <v>15.52</v>
      </c>
      <c r="U1758" s="16"/>
      <c r="V1758" s="16"/>
      <c r="W1758" s="16" t="s">
        <v>40</v>
      </c>
      <c r="X1758" s="19">
        <v>3.0000000000000001E-3</v>
      </c>
      <c r="Y1758" s="20">
        <v>6.9999999999999999E-6</v>
      </c>
      <c r="Z1758" s="21">
        <v>4601004190214</v>
      </c>
    </row>
    <row r="1759" spans="1:26" ht="12" customHeight="1" outlineLevel="4" x14ac:dyDescent="0.2">
      <c r="A1759" s="14" t="s">
        <v>3468</v>
      </c>
      <c r="B1759" s="26" t="s">
        <v>3469</v>
      </c>
      <c r="C1759" s="52"/>
      <c r="D1759" s="55">
        <f t="shared" si="27"/>
        <v>0</v>
      </c>
      <c r="E1759" s="63" t="str">
        <f>HYPERLINK("https://www.sds-group.ru/product/nakonechnik-mednyy-luzhenyy-tml-r-6-6-6mm-6mm-v-upak-100-sht-rexant-07-5306-6/", "Инфо")</f>
        <v>Инфо</v>
      </c>
      <c r="F1759" s="16" t="s">
        <v>39</v>
      </c>
      <c r="G1759" s="15"/>
      <c r="H1759" s="15"/>
      <c r="I1759" s="15"/>
      <c r="J1759" s="22">
        <v>30200</v>
      </c>
      <c r="K1759" s="15" t="s">
        <v>1888</v>
      </c>
      <c r="L1759" s="17">
        <v>100</v>
      </c>
      <c r="M1759" s="17">
        <v>500</v>
      </c>
      <c r="N1759" s="17">
        <v>100</v>
      </c>
      <c r="O1759" s="18">
        <v>25.87</v>
      </c>
      <c r="P1759" s="18">
        <v>21.2</v>
      </c>
      <c r="Q1759" s="18">
        <v>21.99</v>
      </c>
      <c r="R1759" s="18">
        <v>18.02</v>
      </c>
      <c r="S1759" s="18">
        <v>17.59</v>
      </c>
      <c r="T1759" s="18">
        <v>14.42</v>
      </c>
      <c r="U1759" s="16"/>
      <c r="V1759" s="16"/>
      <c r="W1759" s="16" t="s">
        <v>40</v>
      </c>
      <c r="X1759" s="19">
        <v>2E-3</v>
      </c>
      <c r="Y1759" s="20">
        <v>9.9999999999999995E-7</v>
      </c>
      <c r="Z1759" s="21">
        <v>4601004190221</v>
      </c>
    </row>
    <row r="1760" spans="1:26" ht="12.95" customHeight="1" outlineLevel="3" x14ac:dyDescent="0.2">
      <c r="A1760" s="76" t="s">
        <v>3470</v>
      </c>
      <c r="B1760" s="76"/>
      <c r="C1760" s="77"/>
      <c r="D1760" s="58"/>
      <c r="E1760" s="68"/>
      <c r="F1760" s="13"/>
      <c r="G1760" s="13"/>
      <c r="H1760" s="13"/>
      <c r="I1760" s="13"/>
      <c r="J1760" s="13"/>
      <c r="K1760" s="13"/>
      <c r="L1760" s="13"/>
      <c r="M1760" s="13"/>
      <c r="N1760" s="13"/>
      <c r="O1760" s="13"/>
      <c r="P1760" s="13"/>
      <c r="Q1760" s="13"/>
      <c r="R1760" s="13"/>
      <c r="S1760" s="13"/>
      <c r="T1760" s="13"/>
      <c r="U1760" s="13"/>
      <c r="V1760" s="13"/>
      <c r="W1760" s="13"/>
      <c r="X1760" s="13"/>
      <c r="Y1760" s="13"/>
      <c r="Z1760" s="13"/>
    </row>
    <row r="1761" spans="1:26" ht="12" customHeight="1" outlineLevel="4" x14ac:dyDescent="0.2">
      <c r="A1761" s="14" t="s">
        <v>3471</v>
      </c>
      <c r="B1761" s="26" t="s">
        <v>3472</v>
      </c>
      <c r="C1761" s="52"/>
      <c r="D1761" s="55">
        <f t="shared" si="27"/>
        <v>0</v>
      </c>
      <c r="E1761" s="63" t="str">
        <f>HYPERLINK("https://www.sds-group.ru/product/nakonechnik-mednyy-tm-10-6-5-10mm-6mm-v-upak-100-sht-rexant-07-5308-3/", "Инфо")</f>
        <v>Инфо</v>
      </c>
      <c r="F1761" s="16" t="s">
        <v>39</v>
      </c>
      <c r="G1761" s="15"/>
      <c r="H1761" s="15"/>
      <c r="I1761" s="15"/>
      <c r="J1761" s="22">
        <v>31800</v>
      </c>
      <c r="K1761" s="15"/>
      <c r="L1761" s="17">
        <v>100</v>
      </c>
      <c r="M1761" s="22">
        <v>1300</v>
      </c>
      <c r="N1761" s="17">
        <v>100</v>
      </c>
      <c r="O1761" s="18">
        <v>60.26</v>
      </c>
      <c r="P1761" s="18">
        <v>49.39</v>
      </c>
      <c r="Q1761" s="18">
        <v>51.22</v>
      </c>
      <c r="R1761" s="18">
        <v>41.98</v>
      </c>
      <c r="S1761" s="18">
        <v>40.98</v>
      </c>
      <c r="T1761" s="18">
        <v>33.590000000000003</v>
      </c>
      <c r="U1761" s="16"/>
      <c r="V1761" s="16"/>
      <c r="W1761" s="16" t="s">
        <v>40</v>
      </c>
      <c r="X1761" s="19">
        <v>8.0000000000000002E-3</v>
      </c>
      <c r="Y1761" s="20">
        <v>3.0000000000000001E-6</v>
      </c>
      <c r="Z1761" s="21">
        <v>4601004195271</v>
      </c>
    </row>
    <row r="1762" spans="1:26" ht="12" customHeight="1" outlineLevel="4" x14ac:dyDescent="0.2">
      <c r="A1762" s="14" t="s">
        <v>3473</v>
      </c>
      <c r="B1762" s="26" t="s">
        <v>3474</v>
      </c>
      <c r="C1762" s="52"/>
      <c r="D1762" s="55">
        <f t="shared" si="27"/>
        <v>0</v>
      </c>
      <c r="E1762" s="63" t="str">
        <f>HYPERLINK("https://www.sds-group.ru/product/nakonechnik-mednyy-tm-10-8-5-10mm-8mm-v-upak-100-sht-rexant-07-5309-3/", "Инфо")</f>
        <v>Инфо</v>
      </c>
      <c r="F1762" s="16" t="s">
        <v>39</v>
      </c>
      <c r="G1762" s="15"/>
      <c r="H1762" s="15"/>
      <c r="I1762" s="15"/>
      <c r="J1762" s="22">
        <v>2000</v>
      </c>
      <c r="K1762" s="15"/>
      <c r="L1762" s="17">
        <v>100</v>
      </c>
      <c r="M1762" s="22">
        <v>1300</v>
      </c>
      <c r="N1762" s="17">
        <v>100</v>
      </c>
      <c r="O1762" s="18">
        <v>60.11</v>
      </c>
      <c r="P1762" s="18">
        <v>49.27</v>
      </c>
      <c r="Q1762" s="18">
        <v>51.09</v>
      </c>
      <c r="R1762" s="18">
        <v>41.88</v>
      </c>
      <c r="S1762" s="18">
        <v>40.869999999999997</v>
      </c>
      <c r="T1762" s="18">
        <v>33.5</v>
      </c>
      <c r="U1762" s="16"/>
      <c r="V1762" s="16"/>
      <c r="W1762" s="16" t="s">
        <v>40</v>
      </c>
      <c r="X1762" s="19">
        <v>7.0000000000000001E-3</v>
      </c>
      <c r="Y1762" s="20">
        <v>5.0000000000000004E-6</v>
      </c>
      <c r="Z1762" s="21">
        <v>4601004195288</v>
      </c>
    </row>
    <row r="1763" spans="1:26" ht="12" customHeight="1" outlineLevel="4" x14ac:dyDescent="0.2">
      <c r="A1763" s="14" t="s">
        <v>3475</v>
      </c>
      <c r="B1763" s="26" t="s">
        <v>3476</v>
      </c>
      <c r="C1763" s="52"/>
      <c r="D1763" s="55">
        <f t="shared" si="27"/>
        <v>0</v>
      </c>
      <c r="E1763" s="63" t="str">
        <f>HYPERLINK("https://www.sds-group.ru/product/nakonechnik-mednyy-tm-10-6-5-10mm-6mm-v-upak-5-sht-rexant-07-5308-1/", "Инфо")</f>
        <v>Инфо</v>
      </c>
      <c r="F1763" s="16" t="s">
        <v>39</v>
      </c>
      <c r="G1763" s="15"/>
      <c r="H1763" s="15"/>
      <c r="I1763" s="15"/>
      <c r="J1763" s="22">
        <v>3005</v>
      </c>
      <c r="K1763" s="15"/>
      <c r="L1763" s="17">
        <v>10</v>
      </c>
      <c r="M1763" s="17">
        <v>500</v>
      </c>
      <c r="N1763" s="17">
        <v>10</v>
      </c>
      <c r="O1763" s="18">
        <v>67.48</v>
      </c>
      <c r="P1763" s="18">
        <v>55.31</v>
      </c>
      <c r="Q1763" s="18">
        <v>57.36</v>
      </c>
      <c r="R1763" s="18">
        <v>47.02</v>
      </c>
      <c r="S1763" s="18">
        <v>45.89</v>
      </c>
      <c r="T1763" s="18">
        <v>37.61</v>
      </c>
      <c r="U1763" s="16"/>
      <c r="V1763" s="16"/>
      <c r="W1763" s="16" t="s">
        <v>40</v>
      </c>
      <c r="X1763" s="19">
        <v>8.9999999999999993E-3</v>
      </c>
      <c r="Y1763" s="20">
        <v>3.6999999999999998E-5</v>
      </c>
      <c r="Z1763" s="21">
        <v>4601004137028</v>
      </c>
    </row>
    <row r="1764" spans="1:26" ht="12" customHeight="1" outlineLevel="4" x14ac:dyDescent="0.2">
      <c r="A1764" s="14" t="s">
        <v>3477</v>
      </c>
      <c r="B1764" s="26" t="s">
        <v>3478</v>
      </c>
      <c r="C1764" s="52"/>
      <c r="D1764" s="55">
        <f t="shared" si="27"/>
        <v>0</v>
      </c>
      <c r="E1764" s="63" t="str">
        <f>HYPERLINK("https://www.sds-group.ru/product/nakonechnik-mednyy-tm-10-8-5-10mm-8mm-v-upak-5-sht-rexant-07-5309-1/", "Инфо")</f>
        <v>Инфо</v>
      </c>
      <c r="F1764" s="16" t="s">
        <v>39</v>
      </c>
      <c r="G1764" s="15"/>
      <c r="H1764" s="15"/>
      <c r="I1764" s="15"/>
      <c r="J1764" s="17">
        <v>670</v>
      </c>
      <c r="K1764" s="15"/>
      <c r="L1764" s="17">
        <v>10</v>
      </c>
      <c r="M1764" s="17">
        <v>500</v>
      </c>
      <c r="N1764" s="17">
        <v>10</v>
      </c>
      <c r="O1764" s="18">
        <v>65.930000000000007</v>
      </c>
      <c r="P1764" s="18">
        <v>54.04</v>
      </c>
      <c r="Q1764" s="18">
        <v>56.04</v>
      </c>
      <c r="R1764" s="18">
        <v>45.93</v>
      </c>
      <c r="S1764" s="18">
        <v>44.83</v>
      </c>
      <c r="T1764" s="18">
        <v>36.75</v>
      </c>
      <c r="U1764" s="16"/>
      <c r="V1764" s="16"/>
      <c r="W1764" s="16" t="s">
        <v>40</v>
      </c>
      <c r="X1764" s="19">
        <v>8.9999999999999993E-3</v>
      </c>
      <c r="Y1764" s="20">
        <v>3.1000000000000001E-5</v>
      </c>
      <c r="Z1764" s="21">
        <v>4601004137035</v>
      </c>
    </row>
    <row r="1765" spans="1:26" ht="12" customHeight="1" outlineLevel="4" x14ac:dyDescent="0.2">
      <c r="A1765" s="14" t="s">
        <v>3479</v>
      </c>
      <c r="B1765" s="26" t="s">
        <v>3480</v>
      </c>
      <c r="C1765" s="52"/>
      <c r="D1765" s="55">
        <f t="shared" si="27"/>
        <v>0</v>
      </c>
      <c r="E1765" s="63" t="str">
        <f>HYPERLINK("https://www.sds-group.ru/product/nakonechnik-mednyy-tm-16-6-6-16mm-6mm-v-upak-100-sht-rexant-07-5310-2/", "Инфо")</f>
        <v>Инфо</v>
      </c>
      <c r="F1765" s="16" t="s">
        <v>39</v>
      </c>
      <c r="G1765" s="15"/>
      <c r="H1765" s="15"/>
      <c r="I1765" s="15"/>
      <c r="J1765" s="22">
        <v>16500</v>
      </c>
      <c r="K1765" s="15" t="s">
        <v>1408</v>
      </c>
      <c r="L1765" s="17">
        <v>100</v>
      </c>
      <c r="M1765" s="17">
        <v>800</v>
      </c>
      <c r="N1765" s="17">
        <v>100</v>
      </c>
      <c r="O1765" s="18">
        <v>69.06</v>
      </c>
      <c r="P1765" s="18">
        <v>56.61</v>
      </c>
      <c r="Q1765" s="18">
        <v>58.7</v>
      </c>
      <c r="R1765" s="18">
        <v>48.11</v>
      </c>
      <c r="S1765" s="18">
        <v>46.96</v>
      </c>
      <c r="T1765" s="18">
        <v>38.49</v>
      </c>
      <c r="U1765" s="16"/>
      <c r="V1765" s="16"/>
      <c r="W1765" s="16" t="s">
        <v>40</v>
      </c>
      <c r="X1765" s="19">
        <v>8.9999999999999993E-3</v>
      </c>
      <c r="Y1765" s="20">
        <v>5.0000000000000004E-6</v>
      </c>
      <c r="Z1765" s="21">
        <v>4601004190658</v>
      </c>
    </row>
    <row r="1766" spans="1:26" ht="12" customHeight="1" outlineLevel="4" x14ac:dyDescent="0.2">
      <c r="A1766" s="14" t="s">
        <v>3481</v>
      </c>
      <c r="B1766" s="26" t="s">
        <v>3482</v>
      </c>
      <c r="C1766" s="52"/>
      <c r="D1766" s="55">
        <f t="shared" si="27"/>
        <v>0</v>
      </c>
      <c r="E1766" s="63" t="str">
        <f>HYPERLINK("https://www.sds-group.ru/product/nakonechnik-mednyy-tm-16-8-6-16mm-8mm-v-upak-100-sht-rexant-07-5311-3/", "Инфо")</f>
        <v>Инфо</v>
      </c>
      <c r="F1766" s="16" t="s">
        <v>39</v>
      </c>
      <c r="G1766" s="15"/>
      <c r="H1766" s="15"/>
      <c r="I1766" s="15"/>
      <c r="J1766" s="22">
        <v>2200</v>
      </c>
      <c r="K1766" s="15"/>
      <c r="L1766" s="17">
        <v>100</v>
      </c>
      <c r="M1766" s="22">
        <v>1100</v>
      </c>
      <c r="N1766" s="17">
        <v>100</v>
      </c>
      <c r="O1766" s="18">
        <v>69.06</v>
      </c>
      <c r="P1766" s="18">
        <v>56.61</v>
      </c>
      <c r="Q1766" s="18">
        <v>58.7</v>
      </c>
      <c r="R1766" s="18">
        <v>48.11</v>
      </c>
      <c r="S1766" s="18">
        <v>46.96</v>
      </c>
      <c r="T1766" s="18">
        <v>38.49</v>
      </c>
      <c r="U1766" s="16"/>
      <c r="V1766" s="16"/>
      <c r="W1766" s="16" t="s">
        <v>40</v>
      </c>
      <c r="X1766" s="19">
        <v>8.0000000000000002E-3</v>
      </c>
      <c r="Y1766" s="20">
        <v>6.0000000000000002E-6</v>
      </c>
      <c r="Z1766" s="21">
        <v>4601004195295</v>
      </c>
    </row>
    <row r="1767" spans="1:26" ht="12" customHeight="1" outlineLevel="4" x14ac:dyDescent="0.2">
      <c r="A1767" s="14" t="s">
        <v>3483</v>
      </c>
      <c r="B1767" s="26" t="s">
        <v>3484</v>
      </c>
      <c r="C1767" s="52"/>
      <c r="D1767" s="55">
        <f t="shared" si="27"/>
        <v>0</v>
      </c>
      <c r="E1767" s="63" t="str">
        <f>HYPERLINK("https://www.sds-group.ru/product/nakonechnik-mednyy-tm-16-8-6-16mm-8mm-v-upak-5-sht-rexant-07-5311-1/", "Инфо")</f>
        <v>Инфо</v>
      </c>
      <c r="F1767" s="16" t="s">
        <v>39</v>
      </c>
      <c r="G1767" s="15"/>
      <c r="H1767" s="15"/>
      <c r="I1767" s="15"/>
      <c r="J1767" s="22">
        <v>2040</v>
      </c>
      <c r="K1767" s="15"/>
      <c r="L1767" s="17">
        <v>10</v>
      </c>
      <c r="M1767" s="17">
        <v>500</v>
      </c>
      <c r="N1767" s="17">
        <v>10</v>
      </c>
      <c r="O1767" s="18">
        <v>76.3</v>
      </c>
      <c r="P1767" s="18">
        <v>62.54</v>
      </c>
      <c r="Q1767" s="18">
        <v>64.86</v>
      </c>
      <c r="R1767" s="18">
        <v>53.16</v>
      </c>
      <c r="S1767" s="18">
        <v>51.88</v>
      </c>
      <c r="T1767" s="18">
        <v>42.52</v>
      </c>
      <c r="U1767" s="16"/>
      <c r="V1767" s="16"/>
      <c r="W1767" s="16" t="s">
        <v>40</v>
      </c>
      <c r="X1767" s="19">
        <v>8.0000000000000002E-3</v>
      </c>
      <c r="Y1767" s="20">
        <v>3.1999999999999999E-5</v>
      </c>
      <c r="Z1767" s="21">
        <v>4601004137042</v>
      </c>
    </row>
    <row r="1768" spans="1:26" ht="12" customHeight="1" outlineLevel="4" x14ac:dyDescent="0.2">
      <c r="A1768" s="32" t="s">
        <v>3485</v>
      </c>
      <c r="B1768" s="74" t="s">
        <v>3486</v>
      </c>
      <c r="C1768" s="50"/>
      <c r="D1768" s="53">
        <f t="shared" si="27"/>
        <v>0</v>
      </c>
      <c r="E1768" s="60" t="str">
        <f>HYPERLINK("https://www.sds-group.ru/product/nakonechnik-medniy-tm-2-5-4-2-6-2-5mm-sup2-oslash-4mm-v-upak-100-sht-rexant-25297/", "Инфо")</f>
        <v>Инфо</v>
      </c>
      <c r="F1768" s="34" t="s">
        <v>39</v>
      </c>
      <c r="G1768" s="33"/>
      <c r="H1768" s="33" t="s">
        <v>40</v>
      </c>
      <c r="I1768" s="33"/>
      <c r="J1768" s="39">
        <v>3600</v>
      </c>
      <c r="K1768" s="33"/>
      <c r="L1768" s="35">
        <v>100</v>
      </c>
      <c r="M1768" s="35">
        <v>100</v>
      </c>
      <c r="N1768" s="35">
        <v>100</v>
      </c>
      <c r="O1768" s="36">
        <v>9.6</v>
      </c>
      <c r="P1768" s="36">
        <v>7.87</v>
      </c>
      <c r="Q1768" s="36">
        <v>6.72</v>
      </c>
      <c r="R1768" s="36">
        <v>5.51</v>
      </c>
      <c r="S1768" s="36">
        <v>6.53</v>
      </c>
      <c r="T1768" s="36">
        <v>5.35</v>
      </c>
      <c r="U1768" s="34"/>
      <c r="V1768" s="34"/>
      <c r="W1768" s="34"/>
      <c r="X1768" s="37">
        <v>3.0000000000000001E-3</v>
      </c>
      <c r="Y1768" s="38">
        <v>1.0000000000000001E-5</v>
      </c>
      <c r="Z1768" s="21">
        <v>4601004190634</v>
      </c>
    </row>
    <row r="1769" spans="1:26" ht="12" customHeight="1" outlineLevel="4" x14ac:dyDescent="0.2">
      <c r="A1769" s="14" t="s">
        <v>3487</v>
      </c>
      <c r="B1769" s="26" t="s">
        <v>3488</v>
      </c>
      <c r="C1769" s="52"/>
      <c r="D1769" s="55">
        <f t="shared" si="27"/>
        <v>0</v>
      </c>
      <c r="E1769" s="63" t="str">
        <f>HYPERLINK("https://www.sds-group.ru/product/nakonechnik-mednyy-tm-25-10-8-25mm-10mm-v-upak-100-sht-rexant-07-5315-3/", "Инфо")</f>
        <v>Инфо</v>
      </c>
      <c r="F1769" s="16" t="s">
        <v>39</v>
      </c>
      <c r="G1769" s="15"/>
      <c r="H1769" s="15"/>
      <c r="I1769" s="15"/>
      <c r="J1769" s="22">
        <v>1600</v>
      </c>
      <c r="K1769" s="15"/>
      <c r="L1769" s="17">
        <v>100</v>
      </c>
      <c r="M1769" s="17">
        <v>700</v>
      </c>
      <c r="N1769" s="17">
        <v>100</v>
      </c>
      <c r="O1769" s="18">
        <v>107.77</v>
      </c>
      <c r="P1769" s="18">
        <v>88.34</v>
      </c>
      <c r="Q1769" s="18">
        <v>91.6</v>
      </c>
      <c r="R1769" s="18">
        <v>75.08</v>
      </c>
      <c r="S1769" s="18">
        <v>73.28</v>
      </c>
      <c r="T1769" s="18">
        <v>60.07</v>
      </c>
      <c r="U1769" s="16"/>
      <c r="V1769" s="16"/>
      <c r="W1769" s="16" t="s">
        <v>40</v>
      </c>
      <c r="X1769" s="19">
        <v>1.2999999999999999E-2</v>
      </c>
      <c r="Y1769" s="20">
        <v>7.9999999999999996E-6</v>
      </c>
      <c r="Z1769" s="21">
        <v>4601004195318</v>
      </c>
    </row>
    <row r="1770" spans="1:26" ht="12" customHeight="1" outlineLevel="4" x14ac:dyDescent="0.2">
      <c r="A1770" s="14" t="s">
        <v>3489</v>
      </c>
      <c r="B1770" s="26" t="s">
        <v>3490</v>
      </c>
      <c r="C1770" s="52"/>
      <c r="D1770" s="55">
        <f t="shared" si="27"/>
        <v>0</v>
      </c>
      <c r="E1770" s="63" t="str">
        <f>HYPERLINK("https://www.sds-group.ru/product/nakonechnik-mednyy-tm-25-8-7-25mm-8mm-v-upak-100-sht-rexant-07-5313-2/", "Инфо")</f>
        <v>Инфо</v>
      </c>
      <c r="F1770" s="16" t="s">
        <v>39</v>
      </c>
      <c r="G1770" s="15"/>
      <c r="H1770" s="15"/>
      <c r="I1770" s="15"/>
      <c r="J1770" s="22">
        <v>38800</v>
      </c>
      <c r="K1770" s="15"/>
      <c r="L1770" s="17">
        <v>100</v>
      </c>
      <c r="M1770" s="22">
        <v>1000</v>
      </c>
      <c r="N1770" s="17">
        <v>100</v>
      </c>
      <c r="O1770" s="18">
        <v>85.9</v>
      </c>
      <c r="P1770" s="18">
        <v>70.41</v>
      </c>
      <c r="Q1770" s="18">
        <v>73.02</v>
      </c>
      <c r="R1770" s="18">
        <v>59.85</v>
      </c>
      <c r="S1770" s="18">
        <v>58.41</v>
      </c>
      <c r="T1770" s="18">
        <v>47.88</v>
      </c>
      <c r="U1770" s="16"/>
      <c r="V1770" s="16"/>
      <c r="W1770" s="16" t="s">
        <v>40</v>
      </c>
      <c r="X1770" s="19">
        <v>1.0999999999999999E-2</v>
      </c>
      <c r="Y1770" s="20">
        <v>9.0000000000000002E-6</v>
      </c>
      <c r="Z1770" s="21">
        <v>4601004190665</v>
      </c>
    </row>
    <row r="1771" spans="1:26" ht="12" customHeight="1" outlineLevel="4" x14ac:dyDescent="0.2">
      <c r="A1771" s="14" t="s">
        <v>3491</v>
      </c>
      <c r="B1771" s="26" t="s">
        <v>3492</v>
      </c>
      <c r="C1771" s="52"/>
      <c r="D1771" s="55">
        <f t="shared" si="27"/>
        <v>0</v>
      </c>
      <c r="E1771" s="63" t="str">
        <f>HYPERLINK("https://www.sds-group.ru/product/nakonechnik-mednyy-tm-25-8-7-25mm-8mm-v-upak-5-sht-rexant-07-5313-1/", "Инфо")</f>
        <v>Инфо</v>
      </c>
      <c r="F1771" s="16" t="s">
        <v>39</v>
      </c>
      <c r="G1771" s="15"/>
      <c r="H1771" s="15"/>
      <c r="I1771" s="15"/>
      <c r="J1771" s="17">
        <v>500</v>
      </c>
      <c r="K1771" s="15"/>
      <c r="L1771" s="17">
        <v>10</v>
      </c>
      <c r="M1771" s="17">
        <v>500</v>
      </c>
      <c r="N1771" s="17">
        <v>10</v>
      </c>
      <c r="O1771" s="18">
        <v>95.08</v>
      </c>
      <c r="P1771" s="18">
        <v>77.930000000000007</v>
      </c>
      <c r="Q1771" s="18">
        <v>80.819999999999993</v>
      </c>
      <c r="R1771" s="18">
        <v>66.25</v>
      </c>
      <c r="S1771" s="18">
        <v>64.650000000000006</v>
      </c>
      <c r="T1771" s="18">
        <v>52.99</v>
      </c>
      <c r="U1771" s="16"/>
      <c r="V1771" s="16"/>
      <c r="W1771" s="16" t="s">
        <v>40</v>
      </c>
      <c r="X1771" s="19">
        <v>0.01</v>
      </c>
      <c r="Y1771" s="20">
        <v>4.1999999999999998E-5</v>
      </c>
      <c r="Z1771" s="21">
        <v>4601004191242</v>
      </c>
    </row>
    <row r="1772" spans="1:26" ht="12" customHeight="1" outlineLevel="4" x14ac:dyDescent="0.2">
      <c r="A1772" s="14" t="s">
        <v>3493</v>
      </c>
      <c r="B1772" s="26" t="s">
        <v>3494</v>
      </c>
      <c r="C1772" s="52"/>
      <c r="D1772" s="55">
        <f t="shared" si="27"/>
        <v>0</v>
      </c>
      <c r="E1772" s="63" t="str">
        <f>HYPERLINK("https://www.sds-group.ru/product/nakonechnik-mednyy-tm-25-8-8-25mm-8mm-v-upak-100-sht-rexant-07-5314-3/", "Инфо")</f>
        <v>Инфо</v>
      </c>
      <c r="F1772" s="16" t="s">
        <v>39</v>
      </c>
      <c r="G1772" s="15"/>
      <c r="H1772" s="15"/>
      <c r="I1772" s="15"/>
      <c r="J1772" s="16" t="s">
        <v>100</v>
      </c>
      <c r="K1772" s="15" t="s">
        <v>1888</v>
      </c>
      <c r="L1772" s="17">
        <v>100</v>
      </c>
      <c r="M1772" s="17">
        <v>700</v>
      </c>
      <c r="N1772" s="17">
        <v>100</v>
      </c>
      <c r="O1772" s="18">
        <v>99.79</v>
      </c>
      <c r="P1772" s="18">
        <v>81.8</v>
      </c>
      <c r="Q1772" s="18">
        <v>84.82</v>
      </c>
      <c r="R1772" s="18">
        <v>69.52</v>
      </c>
      <c r="S1772" s="18">
        <v>67.86</v>
      </c>
      <c r="T1772" s="18">
        <v>55.62</v>
      </c>
      <c r="U1772" s="16"/>
      <c r="V1772" s="16"/>
      <c r="W1772" s="16" t="s">
        <v>40</v>
      </c>
      <c r="X1772" s="19">
        <v>1.4E-2</v>
      </c>
      <c r="Y1772" s="20">
        <v>7.9999999999999996E-6</v>
      </c>
      <c r="Z1772" s="21">
        <v>4601004195301</v>
      </c>
    </row>
    <row r="1773" spans="1:26" ht="12" customHeight="1" outlineLevel="4" x14ac:dyDescent="0.2">
      <c r="A1773" s="14" t="s">
        <v>3495</v>
      </c>
      <c r="B1773" s="26" t="s">
        <v>3496</v>
      </c>
      <c r="C1773" s="52"/>
      <c r="D1773" s="55">
        <f t="shared" si="27"/>
        <v>0</v>
      </c>
      <c r="E1773" s="63" t="str">
        <f>HYPERLINK("https://www.sds-group.ru/product/nakonechnik-mednyy-tm-25-10-8-25mm-10mm-v-upak-5-sht-rexant-07-5315-1/", "Инфо")</f>
        <v>Инфо</v>
      </c>
      <c r="F1773" s="16" t="s">
        <v>39</v>
      </c>
      <c r="G1773" s="15"/>
      <c r="H1773" s="15"/>
      <c r="I1773" s="15"/>
      <c r="J1773" s="17">
        <v>625</v>
      </c>
      <c r="K1773" s="15"/>
      <c r="L1773" s="17">
        <v>10</v>
      </c>
      <c r="M1773" s="17">
        <v>500</v>
      </c>
      <c r="N1773" s="17">
        <v>10</v>
      </c>
      <c r="O1773" s="18">
        <v>123.98</v>
      </c>
      <c r="P1773" s="18">
        <v>101.62</v>
      </c>
      <c r="Q1773" s="18">
        <v>105.38</v>
      </c>
      <c r="R1773" s="18">
        <v>86.38</v>
      </c>
      <c r="S1773" s="18">
        <v>84.31</v>
      </c>
      <c r="T1773" s="18">
        <v>69.11</v>
      </c>
      <c r="U1773" s="16"/>
      <c r="V1773" s="16"/>
      <c r="W1773" s="16" t="s">
        <v>40</v>
      </c>
      <c r="X1773" s="19">
        <v>1.2999999999999999E-2</v>
      </c>
      <c r="Y1773" s="20">
        <v>3.6000000000000001E-5</v>
      </c>
      <c r="Z1773" s="21">
        <v>4601004137066</v>
      </c>
    </row>
    <row r="1774" spans="1:26" ht="12" customHeight="1" outlineLevel="4" x14ac:dyDescent="0.2">
      <c r="A1774" s="14" t="s">
        <v>3497</v>
      </c>
      <c r="B1774" s="26" t="s">
        <v>3498</v>
      </c>
      <c r="C1774" s="52"/>
      <c r="D1774" s="55">
        <f t="shared" si="27"/>
        <v>0</v>
      </c>
      <c r="E1774" s="63" t="str">
        <f>HYPERLINK("https://www.sds-group.ru/product/nakonechnik-medniy-tm-25-8-8-16mm-sup2-oslash-8mm-v-upak-5-sht-rexant-15601/", "Инфо")</f>
        <v>Инфо</v>
      </c>
      <c r="F1774" s="16" t="s">
        <v>39</v>
      </c>
      <c r="G1774" s="15"/>
      <c r="H1774" s="15"/>
      <c r="I1774" s="15"/>
      <c r="J1774" s="16" t="s">
        <v>100</v>
      </c>
      <c r="K1774" s="15"/>
      <c r="L1774" s="17">
        <v>10</v>
      </c>
      <c r="M1774" s="17">
        <v>500</v>
      </c>
      <c r="N1774" s="17">
        <v>10</v>
      </c>
      <c r="O1774" s="18">
        <v>107.98</v>
      </c>
      <c r="P1774" s="18">
        <v>88.51</v>
      </c>
      <c r="Q1774" s="18">
        <v>91.78</v>
      </c>
      <c r="R1774" s="18">
        <v>75.23</v>
      </c>
      <c r="S1774" s="18">
        <v>73.430000000000007</v>
      </c>
      <c r="T1774" s="18">
        <v>60.19</v>
      </c>
      <c r="U1774" s="16"/>
      <c r="V1774" s="16"/>
      <c r="W1774" s="16" t="s">
        <v>40</v>
      </c>
      <c r="X1774" s="19">
        <v>1.2999999999999999E-2</v>
      </c>
      <c r="Y1774" s="20">
        <v>3.6999999999999998E-5</v>
      </c>
      <c r="Z1774" s="21">
        <v>4601004137059</v>
      </c>
    </row>
    <row r="1775" spans="1:26" ht="12" customHeight="1" outlineLevel="4" x14ac:dyDescent="0.2">
      <c r="A1775" s="14" t="s">
        <v>3499</v>
      </c>
      <c r="B1775" s="26" t="s">
        <v>3500</v>
      </c>
      <c r="C1775" s="52"/>
      <c r="D1775" s="55">
        <f t="shared" si="27"/>
        <v>0</v>
      </c>
      <c r="E1775" s="63" t="str">
        <f>HYPERLINK("https://www.sds-group.ru/product/nakonechnik-mednyy-tm-35-10-10-35mm-10mm-v-upak-5-sht-rexant-07-5320-1/", "Инфо")</f>
        <v>Инфо</v>
      </c>
      <c r="F1775" s="16" t="s">
        <v>39</v>
      </c>
      <c r="G1775" s="15"/>
      <c r="H1775" s="15"/>
      <c r="I1775" s="15"/>
      <c r="J1775" s="17">
        <v>985</v>
      </c>
      <c r="K1775" s="15"/>
      <c r="L1775" s="17">
        <v>5</v>
      </c>
      <c r="M1775" s="17">
        <v>50</v>
      </c>
      <c r="N1775" s="17">
        <v>5</v>
      </c>
      <c r="O1775" s="18">
        <v>160.22999999999999</v>
      </c>
      <c r="P1775" s="18">
        <v>131.34</v>
      </c>
      <c r="Q1775" s="18">
        <v>136.19999999999999</v>
      </c>
      <c r="R1775" s="18">
        <v>111.64</v>
      </c>
      <c r="S1775" s="18">
        <v>108.96</v>
      </c>
      <c r="T1775" s="18">
        <v>89.31</v>
      </c>
      <c r="U1775" s="16"/>
      <c r="V1775" s="16"/>
      <c r="W1775" s="16" t="s">
        <v>40</v>
      </c>
      <c r="X1775" s="19">
        <v>1.9E-2</v>
      </c>
      <c r="Y1775" s="20">
        <v>3.6000000000000001E-5</v>
      </c>
      <c r="Z1775" s="21">
        <v>4601004191273</v>
      </c>
    </row>
    <row r="1776" spans="1:26" ht="12" customHeight="1" outlineLevel="4" x14ac:dyDescent="0.2">
      <c r="A1776" s="14" t="s">
        <v>3501</v>
      </c>
      <c r="B1776" s="26" t="s">
        <v>3502</v>
      </c>
      <c r="C1776" s="52"/>
      <c r="D1776" s="55">
        <f t="shared" si="27"/>
        <v>0</v>
      </c>
      <c r="E1776" s="63" t="str">
        <f>HYPERLINK("https://www.sds-group.ru/product/nakonechnik-mednyy-tm-35-10-10-35mm-10mm-v-upak-50-sht-rexant-07-5320-2/", "Инфо")</f>
        <v>Инфо</v>
      </c>
      <c r="F1776" s="16" t="s">
        <v>39</v>
      </c>
      <c r="G1776" s="15"/>
      <c r="H1776" s="15"/>
      <c r="I1776" s="15"/>
      <c r="J1776" s="22">
        <v>2700</v>
      </c>
      <c r="K1776" s="15"/>
      <c r="L1776" s="17">
        <v>50</v>
      </c>
      <c r="M1776" s="17">
        <v>200</v>
      </c>
      <c r="N1776" s="17">
        <v>50</v>
      </c>
      <c r="O1776" s="18">
        <v>165.67</v>
      </c>
      <c r="P1776" s="18">
        <v>135.80000000000001</v>
      </c>
      <c r="Q1776" s="18">
        <v>140.82</v>
      </c>
      <c r="R1776" s="18">
        <v>115.43</v>
      </c>
      <c r="S1776" s="18">
        <v>112.66</v>
      </c>
      <c r="T1776" s="18">
        <v>92.34</v>
      </c>
      <c r="U1776" s="16"/>
      <c r="V1776" s="16"/>
      <c r="W1776" s="16" t="s">
        <v>40</v>
      </c>
      <c r="X1776" s="19">
        <v>0.02</v>
      </c>
      <c r="Y1776" s="20">
        <v>1.2999999999999999E-5</v>
      </c>
      <c r="Z1776" s="21">
        <v>4601004192348</v>
      </c>
    </row>
    <row r="1777" spans="1:26" ht="12" customHeight="1" outlineLevel="4" x14ac:dyDescent="0.2">
      <c r="A1777" s="14" t="s">
        <v>3503</v>
      </c>
      <c r="B1777" s="26" t="s">
        <v>3504</v>
      </c>
      <c r="C1777" s="52"/>
      <c r="D1777" s="55">
        <f t="shared" si="27"/>
        <v>0</v>
      </c>
      <c r="E1777" s="63" t="str">
        <f>HYPERLINK("https://www.sds-group.ru/product/nakonechnik-mednyy-tm-35-10-9-35mm-10mm-v-upak-5-sht-rexant-07-5317-1/", "Инфо")</f>
        <v>Инфо</v>
      </c>
      <c r="F1777" s="16" t="s">
        <v>39</v>
      </c>
      <c r="G1777" s="15"/>
      <c r="H1777" s="15"/>
      <c r="I1777" s="15"/>
      <c r="J1777" s="17">
        <v>525</v>
      </c>
      <c r="K1777" s="15"/>
      <c r="L1777" s="17">
        <v>5</v>
      </c>
      <c r="M1777" s="17">
        <v>50</v>
      </c>
      <c r="N1777" s="17">
        <v>5</v>
      </c>
      <c r="O1777" s="18">
        <v>145.66999999999999</v>
      </c>
      <c r="P1777" s="18">
        <v>119.4</v>
      </c>
      <c r="Q1777" s="18">
        <v>123.82</v>
      </c>
      <c r="R1777" s="18">
        <v>101.49</v>
      </c>
      <c r="S1777" s="18">
        <v>99.06</v>
      </c>
      <c r="T1777" s="18">
        <v>81.2</v>
      </c>
      <c r="U1777" s="16"/>
      <c r="V1777" s="16"/>
      <c r="W1777" s="16" t="s">
        <v>40</v>
      </c>
      <c r="X1777" s="19">
        <v>1.4E-2</v>
      </c>
      <c r="Y1777" s="20">
        <v>3.3000000000000003E-5</v>
      </c>
      <c r="Z1777" s="21">
        <v>4601004191266</v>
      </c>
    </row>
    <row r="1778" spans="1:26" ht="12" customHeight="1" outlineLevel="4" x14ac:dyDescent="0.2">
      <c r="A1778" s="14" t="s">
        <v>3505</v>
      </c>
      <c r="B1778" s="26" t="s">
        <v>3506</v>
      </c>
      <c r="C1778" s="52"/>
      <c r="D1778" s="55">
        <f t="shared" si="27"/>
        <v>0</v>
      </c>
      <c r="E1778" s="63" t="str">
        <f>HYPERLINK("https://www.sds-group.ru/product/nakonechnik-mednyy-tm-35-10-9-35mm-10mm-v-upak-50-sht-rexant-07-5317-2/", "Инфо")</f>
        <v>Инфо</v>
      </c>
      <c r="F1778" s="16" t="s">
        <v>39</v>
      </c>
      <c r="G1778" s="15"/>
      <c r="H1778" s="15"/>
      <c r="I1778" s="15"/>
      <c r="J1778" s="22">
        <v>1950</v>
      </c>
      <c r="K1778" s="15" t="s">
        <v>3319</v>
      </c>
      <c r="L1778" s="17">
        <v>50</v>
      </c>
      <c r="M1778" s="17">
        <v>400</v>
      </c>
      <c r="N1778" s="17">
        <v>50</v>
      </c>
      <c r="O1778" s="18">
        <v>138.74</v>
      </c>
      <c r="P1778" s="18">
        <v>113.72</v>
      </c>
      <c r="Q1778" s="18">
        <v>117.93</v>
      </c>
      <c r="R1778" s="18">
        <v>96.66</v>
      </c>
      <c r="S1778" s="18">
        <v>94.34</v>
      </c>
      <c r="T1778" s="18">
        <v>77.33</v>
      </c>
      <c r="U1778" s="16"/>
      <c r="V1778" s="16"/>
      <c r="W1778" s="16" t="s">
        <v>40</v>
      </c>
      <c r="X1778" s="19">
        <v>1.7000000000000001E-2</v>
      </c>
      <c r="Y1778" s="20">
        <v>1.2999999999999999E-5</v>
      </c>
      <c r="Z1778" s="21">
        <v>4601004192331</v>
      </c>
    </row>
    <row r="1779" spans="1:26" ht="12" customHeight="1" outlineLevel="4" x14ac:dyDescent="0.2">
      <c r="A1779" s="14" t="s">
        <v>3507</v>
      </c>
      <c r="B1779" s="26" t="s">
        <v>3508</v>
      </c>
      <c r="C1779" s="52"/>
      <c r="D1779" s="55">
        <f t="shared" si="27"/>
        <v>0</v>
      </c>
      <c r="E1779" s="63" t="str">
        <f>HYPERLINK("https://www.sds-group.ru/product/nakonechnik-mednyy-tm-35-8-10-35mm-8mm-v-upak-50-sht-rexant-07-5319-3/", "Инфо")</f>
        <v>Инфо</v>
      </c>
      <c r="F1779" s="16" t="s">
        <v>39</v>
      </c>
      <c r="G1779" s="15"/>
      <c r="H1779" s="15"/>
      <c r="I1779" s="15"/>
      <c r="J1779" s="22">
        <v>1750</v>
      </c>
      <c r="K1779" s="15" t="s">
        <v>1408</v>
      </c>
      <c r="L1779" s="17">
        <v>50</v>
      </c>
      <c r="M1779" s="17">
        <v>500</v>
      </c>
      <c r="N1779" s="17">
        <v>50</v>
      </c>
      <c r="O1779" s="18">
        <v>136.71</v>
      </c>
      <c r="P1779" s="18">
        <v>112.06</v>
      </c>
      <c r="Q1779" s="18">
        <v>95.7</v>
      </c>
      <c r="R1779" s="18">
        <v>78.44</v>
      </c>
      <c r="S1779" s="18">
        <v>92.96</v>
      </c>
      <c r="T1779" s="18">
        <v>76.2</v>
      </c>
      <c r="U1779" s="16"/>
      <c r="V1779" s="16"/>
      <c r="W1779" s="16"/>
      <c r="X1779" s="19">
        <v>2.3E-2</v>
      </c>
      <c r="Y1779" s="20">
        <v>1.5E-5</v>
      </c>
      <c r="Z1779" s="21">
        <v>4601004195325</v>
      </c>
    </row>
    <row r="1780" spans="1:26" ht="12" customHeight="1" outlineLevel="4" x14ac:dyDescent="0.2">
      <c r="A1780" s="14" t="s">
        <v>3509</v>
      </c>
      <c r="B1780" s="26" t="s">
        <v>3510</v>
      </c>
      <c r="C1780" s="52"/>
      <c r="D1780" s="55">
        <f t="shared" si="27"/>
        <v>0</v>
      </c>
      <c r="E1780" s="63" t="str">
        <f>HYPERLINK("https://www.sds-group.ru/product/nakonechnik-mednyy-tm-35-8-9-35mm-8mm-v-upak-5-sht-rexant-07-5316-1/", "Инфо")</f>
        <v>Инфо</v>
      </c>
      <c r="F1780" s="16" t="s">
        <v>39</v>
      </c>
      <c r="G1780" s="15"/>
      <c r="H1780" s="15"/>
      <c r="I1780" s="15"/>
      <c r="J1780" s="22">
        <v>2085</v>
      </c>
      <c r="K1780" s="15"/>
      <c r="L1780" s="17">
        <v>5</v>
      </c>
      <c r="M1780" s="17">
        <v>500</v>
      </c>
      <c r="N1780" s="17">
        <v>5</v>
      </c>
      <c r="O1780" s="18">
        <v>150.58000000000001</v>
      </c>
      <c r="P1780" s="18">
        <v>123.43</v>
      </c>
      <c r="Q1780" s="18">
        <v>127.99</v>
      </c>
      <c r="R1780" s="18">
        <v>104.91</v>
      </c>
      <c r="S1780" s="18">
        <v>102.39</v>
      </c>
      <c r="T1780" s="18">
        <v>83.93</v>
      </c>
      <c r="U1780" s="16"/>
      <c r="V1780" s="16"/>
      <c r="W1780" s="16" t="s">
        <v>40</v>
      </c>
      <c r="X1780" s="19">
        <v>1.7999999999999999E-2</v>
      </c>
      <c r="Y1780" s="20">
        <v>4.1999999999999998E-5</v>
      </c>
      <c r="Z1780" s="21">
        <v>4601004191259</v>
      </c>
    </row>
    <row r="1781" spans="1:26" ht="12" customHeight="1" outlineLevel="4" x14ac:dyDescent="0.2">
      <c r="A1781" s="14" t="s">
        <v>3511</v>
      </c>
      <c r="B1781" s="26" t="s">
        <v>3512</v>
      </c>
      <c r="C1781" s="52"/>
      <c r="D1781" s="55">
        <f t="shared" si="27"/>
        <v>0</v>
      </c>
      <c r="E1781" s="63" t="str">
        <f>HYPERLINK("https://www.sds-group.ru/product/nakonechnik-mednyy-tm-35-8-9-35mm-8mm-v-upak-50-sht-rexant-07-5316-2/", "Инфо")</f>
        <v>Инфо</v>
      </c>
      <c r="F1781" s="16" t="s">
        <v>39</v>
      </c>
      <c r="G1781" s="15"/>
      <c r="H1781" s="15"/>
      <c r="I1781" s="15"/>
      <c r="J1781" s="22">
        <v>31550</v>
      </c>
      <c r="K1781" s="15"/>
      <c r="L1781" s="17">
        <v>50</v>
      </c>
      <c r="M1781" s="17">
        <v>400</v>
      </c>
      <c r="N1781" s="17">
        <v>50</v>
      </c>
      <c r="O1781" s="18">
        <v>138.74</v>
      </c>
      <c r="P1781" s="18">
        <v>113.72</v>
      </c>
      <c r="Q1781" s="18">
        <v>117.93</v>
      </c>
      <c r="R1781" s="18">
        <v>96.66</v>
      </c>
      <c r="S1781" s="18">
        <v>94.34</v>
      </c>
      <c r="T1781" s="18">
        <v>77.33</v>
      </c>
      <c r="U1781" s="16"/>
      <c r="V1781" s="16"/>
      <c r="W1781" s="16" t="s">
        <v>40</v>
      </c>
      <c r="X1781" s="19">
        <v>1.9E-2</v>
      </c>
      <c r="Y1781" s="20">
        <v>1.8E-5</v>
      </c>
      <c r="Z1781" s="21">
        <v>4601004192324</v>
      </c>
    </row>
    <row r="1782" spans="1:26" ht="12" customHeight="1" outlineLevel="4" x14ac:dyDescent="0.2">
      <c r="A1782" s="14" t="s">
        <v>3513</v>
      </c>
      <c r="B1782" s="26" t="s">
        <v>3514</v>
      </c>
      <c r="C1782" s="52"/>
      <c r="D1782" s="55">
        <f t="shared" si="27"/>
        <v>0</v>
      </c>
      <c r="E1782" s="63" t="str">
        <f>HYPERLINK("https://www.sds-group.ru/product/nakonechnik-medniy-tm-4-5-3-4mm-sup2-oslash-5mm-v-upak-100-sht-rexant-25299/", "Инфо")</f>
        <v>Инфо</v>
      </c>
      <c r="F1782" s="16" t="s">
        <v>39</v>
      </c>
      <c r="G1782" s="15"/>
      <c r="H1782" s="15"/>
      <c r="I1782" s="15"/>
      <c r="J1782" s="22">
        <v>8800</v>
      </c>
      <c r="K1782" s="15"/>
      <c r="L1782" s="17">
        <v>100</v>
      </c>
      <c r="M1782" s="17">
        <v>1</v>
      </c>
      <c r="N1782" s="17">
        <v>100</v>
      </c>
      <c r="O1782" s="18">
        <v>20.7</v>
      </c>
      <c r="P1782" s="18">
        <v>16.97</v>
      </c>
      <c r="Q1782" s="18">
        <v>14.49</v>
      </c>
      <c r="R1782" s="18">
        <v>11.88</v>
      </c>
      <c r="S1782" s="18">
        <v>14.08</v>
      </c>
      <c r="T1782" s="18">
        <v>11.54</v>
      </c>
      <c r="U1782" s="16"/>
      <c r="V1782" s="16"/>
      <c r="W1782" s="16"/>
      <c r="X1782" s="19">
        <v>3.0000000000000001E-3</v>
      </c>
      <c r="Y1782" s="20">
        <v>5.0000000000000004E-6</v>
      </c>
      <c r="Z1782" s="21">
        <v>4601004190641</v>
      </c>
    </row>
    <row r="1783" spans="1:26" ht="12" customHeight="1" outlineLevel="4" x14ac:dyDescent="0.2">
      <c r="A1783" s="14" t="s">
        <v>3515</v>
      </c>
      <c r="B1783" s="26" t="s">
        <v>3516</v>
      </c>
      <c r="C1783" s="52"/>
      <c r="D1783" s="55">
        <f t="shared" si="27"/>
        <v>0</v>
      </c>
      <c r="E1783" s="63" t="str">
        <f>HYPERLINK("https://www.sds-group.ru/product/nakonechnik-mednyy-tm-50-10-11-50mm-11mm-v-upak-50-sht-rexant-07-5323-2/", "Инфо")</f>
        <v>Инфо</v>
      </c>
      <c r="F1783" s="16" t="s">
        <v>39</v>
      </c>
      <c r="G1783" s="15"/>
      <c r="H1783" s="15"/>
      <c r="I1783" s="15"/>
      <c r="J1783" s="16" t="s">
        <v>100</v>
      </c>
      <c r="K1783" s="15" t="s">
        <v>3319</v>
      </c>
      <c r="L1783" s="17">
        <v>50</v>
      </c>
      <c r="M1783" s="17">
        <v>400</v>
      </c>
      <c r="N1783" s="17">
        <v>50</v>
      </c>
      <c r="O1783" s="18">
        <v>180.67</v>
      </c>
      <c r="P1783" s="18">
        <v>148.09</v>
      </c>
      <c r="Q1783" s="18">
        <v>153.57</v>
      </c>
      <c r="R1783" s="18">
        <v>125.88</v>
      </c>
      <c r="S1783" s="18">
        <v>122.86</v>
      </c>
      <c r="T1783" s="18">
        <v>100.7</v>
      </c>
      <c r="U1783" s="16"/>
      <c r="V1783" s="16"/>
      <c r="W1783" s="16" t="s">
        <v>40</v>
      </c>
      <c r="X1783" s="19">
        <v>2.1999999999999999E-2</v>
      </c>
      <c r="Y1783" s="20">
        <v>1.8E-5</v>
      </c>
      <c r="Z1783" s="21">
        <v>4601004192362</v>
      </c>
    </row>
    <row r="1784" spans="1:26" ht="12" customHeight="1" outlineLevel="4" x14ac:dyDescent="0.2">
      <c r="A1784" s="14" t="s">
        <v>3517</v>
      </c>
      <c r="B1784" s="26" t="s">
        <v>3518</v>
      </c>
      <c r="C1784" s="52"/>
      <c r="D1784" s="55">
        <f t="shared" si="27"/>
        <v>0</v>
      </c>
      <c r="E1784" s="63" t="str">
        <f>HYPERLINK("https://www.sds-group.ru/product/nakonechnik-mednyy-tm-50-12-11-50mm-11mm-v-upak-50-sht-rexant-07-5324-2/", "Инфо")</f>
        <v>Инфо</v>
      </c>
      <c r="F1784" s="16" t="s">
        <v>39</v>
      </c>
      <c r="G1784" s="15"/>
      <c r="H1784" s="15"/>
      <c r="I1784" s="15"/>
      <c r="J1784" s="16" t="s">
        <v>100</v>
      </c>
      <c r="K1784" s="15" t="s">
        <v>1888</v>
      </c>
      <c r="L1784" s="17">
        <v>50</v>
      </c>
      <c r="M1784" s="17">
        <v>200</v>
      </c>
      <c r="N1784" s="17">
        <v>50</v>
      </c>
      <c r="O1784" s="18">
        <v>180.67</v>
      </c>
      <c r="P1784" s="18">
        <v>148.09</v>
      </c>
      <c r="Q1784" s="18">
        <v>153.57</v>
      </c>
      <c r="R1784" s="18">
        <v>125.88</v>
      </c>
      <c r="S1784" s="18">
        <v>122.86</v>
      </c>
      <c r="T1784" s="18">
        <v>100.7</v>
      </c>
      <c r="U1784" s="16"/>
      <c r="V1784" s="16"/>
      <c r="W1784" s="16" t="s">
        <v>40</v>
      </c>
      <c r="X1784" s="19">
        <v>0.02</v>
      </c>
      <c r="Y1784" s="20">
        <v>1.8E-5</v>
      </c>
      <c r="Z1784" s="21">
        <v>4601004192379</v>
      </c>
    </row>
    <row r="1785" spans="1:26" ht="12" customHeight="1" outlineLevel="4" x14ac:dyDescent="0.2">
      <c r="A1785" s="14" t="s">
        <v>3519</v>
      </c>
      <c r="B1785" s="26" t="s">
        <v>3520</v>
      </c>
      <c r="C1785" s="52"/>
      <c r="D1785" s="55">
        <f t="shared" si="27"/>
        <v>0</v>
      </c>
      <c r="E1785" s="63" t="str">
        <f>HYPERLINK("https://www.sds-group.ru/product/nakonechnik-mednyy-tm-50-8-11-50mm-8mm-v-upak-5-sht-rexant-07-5322-1/", "Инфо")</f>
        <v>Инфо</v>
      </c>
      <c r="F1785" s="16" t="s">
        <v>39</v>
      </c>
      <c r="G1785" s="15"/>
      <c r="H1785" s="15"/>
      <c r="I1785" s="15"/>
      <c r="J1785" s="17">
        <v>895</v>
      </c>
      <c r="K1785" s="15"/>
      <c r="L1785" s="17">
        <v>5</v>
      </c>
      <c r="M1785" s="17">
        <v>50</v>
      </c>
      <c r="N1785" s="17">
        <v>5</v>
      </c>
      <c r="O1785" s="18">
        <v>189.7</v>
      </c>
      <c r="P1785" s="18">
        <v>155.49</v>
      </c>
      <c r="Q1785" s="18">
        <v>161.25</v>
      </c>
      <c r="R1785" s="18">
        <v>132.16999999999999</v>
      </c>
      <c r="S1785" s="18">
        <v>129</v>
      </c>
      <c r="T1785" s="18">
        <v>105.74</v>
      </c>
      <c r="U1785" s="16"/>
      <c r="V1785" s="16"/>
      <c r="W1785" s="16" t="s">
        <v>40</v>
      </c>
      <c r="X1785" s="19">
        <v>3.2000000000000001E-2</v>
      </c>
      <c r="Y1785" s="20">
        <v>4.1E-5</v>
      </c>
      <c r="Z1785" s="21">
        <v>4601004191280</v>
      </c>
    </row>
    <row r="1786" spans="1:26" ht="12" customHeight="1" outlineLevel="4" x14ac:dyDescent="0.2">
      <c r="A1786" s="14" t="s">
        <v>3521</v>
      </c>
      <c r="B1786" s="26" t="s">
        <v>3522</v>
      </c>
      <c r="C1786" s="52"/>
      <c r="D1786" s="55">
        <f t="shared" si="27"/>
        <v>0</v>
      </c>
      <c r="E1786" s="63" t="str">
        <f>HYPERLINK("https://www.sds-group.ru/product/nakonechnik-mednyy-tm-50-8-11-50mm-8mm-v-upak-50-sht-rexant-07-5322-2/", "Инфо")</f>
        <v>Инфо</v>
      </c>
      <c r="F1786" s="16" t="s">
        <v>39</v>
      </c>
      <c r="G1786" s="15"/>
      <c r="H1786" s="15"/>
      <c r="I1786" s="15"/>
      <c r="J1786" s="22">
        <v>32500</v>
      </c>
      <c r="K1786" s="15"/>
      <c r="L1786" s="17">
        <v>50</v>
      </c>
      <c r="M1786" s="17">
        <v>100</v>
      </c>
      <c r="N1786" s="17">
        <v>50</v>
      </c>
      <c r="O1786" s="18">
        <v>178.55</v>
      </c>
      <c r="P1786" s="18">
        <v>146.35</v>
      </c>
      <c r="Q1786" s="18">
        <v>151.77000000000001</v>
      </c>
      <c r="R1786" s="18">
        <v>124.4</v>
      </c>
      <c r="S1786" s="18">
        <v>121.41</v>
      </c>
      <c r="T1786" s="18">
        <v>99.52</v>
      </c>
      <c r="U1786" s="16"/>
      <c r="V1786" s="16"/>
      <c r="W1786" s="16" t="s">
        <v>40</v>
      </c>
      <c r="X1786" s="19">
        <v>2.3E-2</v>
      </c>
      <c r="Y1786" s="20">
        <v>4.3000000000000002E-5</v>
      </c>
      <c r="Z1786" s="21">
        <v>4601004192355</v>
      </c>
    </row>
    <row r="1787" spans="1:26" ht="12" customHeight="1" outlineLevel="4" x14ac:dyDescent="0.2">
      <c r="A1787" s="14" t="s">
        <v>3523</v>
      </c>
      <c r="B1787" s="26" t="s">
        <v>3524</v>
      </c>
      <c r="C1787" s="52"/>
      <c r="D1787" s="55">
        <f t="shared" si="27"/>
        <v>0</v>
      </c>
      <c r="E1787" s="63" t="str">
        <f>HYPERLINK("https://www.sds-group.ru/product/nakonechnik-mednyy-tm-6-5-4-6mm-5mm-v-upak-100sht-rexant-07-5305-3/", "Инфо")</f>
        <v>Инфо</v>
      </c>
      <c r="F1787" s="16" t="s">
        <v>39</v>
      </c>
      <c r="G1787" s="15"/>
      <c r="H1787" s="15"/>
      <c r="I1787" s="15"/>
      <c r="J1787" s="22">
        <v>24300</v>
      </c>
      <c r="K1787" s="15" t="s">
        <v>3319</v>
      </c>
      <c r="L1787" s="17">
        <v>100</v>
      </c>
      <c r="M1787" s="22">
        <v>3500</v>
      </c>
      <c r="N1787" s="17">
        <v>100</v>
      </c>
      <c r="O1787" s="18">
        <v>28.22</v>
      </c>
      <c r="P1787" s="18">
        <v>23.13</v>
      </c>
      <c r="Q1787" s="18">
        <v>23.99</v>
      </c>
      <c r="R1787" s="18">
        <v>19.66</v>
      </c>
      <c r="S1787" s="18">
        <v>19.190000000000001</v>
      </c>
      <c r="T1787" s="18">
        <v>15.73</v>
      </c>
      <c r="U1787" s="16"/>
      <c r="V1787" s="16"/>
      <c r="W1787" s="16" t="s">
        <v>40</v>
      </c>
      <c r="X1787" s="19">
        <v>3.0000000000000001E-3</v>
      </c>
      <c r="Y1787" s="20">
        <v>3.9999999999999998E-6</v>
      </c>
      <c r="Z1787" s="21">
        <v>4601004195257</v>
      </c>
    </row>
    <row r="1788" spans="1:26" ht="12" customHeight="1" outlineLevel="4" x14ac:dyDescent="0.2">
      <c r="A1788" s="14" t="s">
        <v>3525</v>
      </c>
      <c r="B1788" s="26" t="s">
        <v>3526</v>
      </c>
      <c r="C1788" s="52"/>
      <c r="D1788" s="55">
        <f t="shared" si="27"/>
        <v>0</v>
      </c>
      <c r="E1788" s="63" t="str">
        <f>HYPERLINK("https://www.sds-group.ru/product/nakonechnik-mednyy-tm-6-6-4-6mm-6mm-v-upak-100sht-rexant-07-5306-3/", "Инфо")</f>
        <v>Инфо</v>
      </c>
      <c r="F1788" s="16" t="s">
        <v>39</v>
      </c>
      <c r="G1788" s="15"/>
      <c r="H1788" s="15"/>
      <c r="I1788" s="15"/>
      <c r="J1788" s="22">
        <v>7200</v>
      </c>
      <c r="K1788" s="15"/>
      <c r="L1788" s="17">
        <v>100</v>
      </c>
      <c r="M1788" s="22">
        <v>3500</v>
      </c>
      <c r="N1788" s="17">
        <v>100</v>
      </c>
      <c r="O1788" s="18">
        <v>27.09</v>
      </c>
      <c r="P1788" s="18">
        <v>22.2</v>
      </c>
      <c r="Q1788" s="18">
        <v>23.03</v>
      </c>
      <c r="R1788" s="18">
        <v>18.88</v>
      </c>
      <c r="S1788" s="18">
        <v>18.420000000000002</v>
      </c>
      <c r="T1788" s="18">
        <v>15.1</v>
      </c>
      <c r="U1788" s="16"/>
      <c r="V1788" s="16"/>
      <c r="W1788" s="16" t="s">
        <v>40</v>
      </c>
      <c r="X1788" s="19">
        <v>3.0000000000000001E-3</v>
      </c>
      <c r="Y1788" s="20">
        <v>3.9999999999999998E-6</v>
      </c>
      <c r="Z1788" s="21">
        <v>4601004195264</v>
      </c>
    </row>
    <row r="1789" spans="1:26" ht="12" customHeight="1" outlineLevel="4" x14ac:dyDescent="0.2">
      <c r="A1789" s="14" t="s">
        <v>3527</v>
      </c>
      <c r="B1789" s="26" t="s">
        <v>3528</v>
      </c>
      <c r="C1789" s="52"/>
      <c r="D1789" s="55">
        <f t="shared" si="27"/>
        <v>0</v>
      </c>
      <c r="E1789" s="63" t="str">
        <f>HYPERLINK("https://www.sds-group.ru/product/nakonechnik-mednyy-tm-70-10-13-70mm-13mm-v-upak-25-sht-rexant-07-5325-2/", "Инфо")</f>
        <v>Инфо</v>
      </c>
      <c r="F1789" s="16" t="s">
        <v>39</v>
      </c>
      <c r="G1789" s="15"/>
      <c r="H1789" s="15"/>
      <c r="I1789" s="15"/>
      <c r="J1789" s="22">
        <v>13400</v>
      </c>
      <c r="K1789" s="15"/>
      <c r="L1789" s="17">
        <v>25</v>
      </c>
      <c r="M1789" s="17">
        <v>300</v>
      </c>
      <c r="N1789" s="17">
        <v>25</v>
      </c>
      <c r="O1789" s="18">
        <v>210.29</v>
      </c>
      <c r="P1789" s="18">
        <v>172.37</v>
      </c>
      <c r="Q1789" s="18">
        <v>178.75</v>
      </c>
      <c r="R1789" s="18">
        <v>146.52000000000001</v>
      </c>
      <c r="S1789" s="18">
        <v>143</v>
      </c>
      <c r="T1789" s="18">
        <v>117.21</v>
      </c>
      <c r="U1789" s="16"/>
      <c r="V1789" s="16"/>
      <c r="W1789" s="16" t="s">
        <v>40</v>
      </c>
      <c r="X1789" s="19">
        <v>2.8000000000000001E-2</v>
      </c>
      <c r="Y1789" s="20">
        <v>1.9000000000000001E-5</v>
      </c>
      <c r="Z1789" s="21">
        <v>4601004192041</v>
      </c>
    </row>
    <row r="1790" spans="1:26" ht="12" customHeight="1" outlineLevel="4" x14ac:dyDescent="0.2">
      <c r="A1790" s="14" t="s">
        <v>3529</v>
      </c>
      <c r="B1790" s="26" t="s">
        <v>3530</v>
      </c>
      <c r="C1790" s="52"/>
      <c r="D1790" s="55">
        <f t="shared" si="27"/>
        <v>0</v>
      </c>
      <c r="E1790" s="63" t="str">
        <f>HYPERLINK("https://www.sds-group.ru/product/nakonechnik-mednyy-tm-70-12-13-70mm-12mm-v-upak-25-sht-rexant-07-5326-2/", "Инфо")</f>
        <v>Инфо</v>
      </c>
      <c r="F1790" s="16" t="s">
        <v>39</v>
      </c>
      <c r="G1790" s="15"/>
      <c r="H1790" s="15"/>
      <c r="I1790" s="15"/>
      <c r="J1790" s="16" t="s">
        <v>100</v>
      </c>
      <c r="K1790" s="15" t="s">
        <v>1888</v>
      </c>
      <c r="L1790" s="17">
        <v>25</v>
      </c>
      <c r="M1790" s="17">
        <v>200</v>
      </c>
      <c r="N1790" s="17">
        <v>25</v>
      </c>
      <c r="O1790" s="18">
        <v>210.29</v>
      </c>
      <c r="P1790" s="18">
        <v>172.37</v>
      </c>
      <c r="Q1790" s="18">
        <v>178.75</v>
      </c>
      <c r="R1790" s="18">
        <v>146.52000000000001</v>
      </c>
      <c r="S1790" s="18">
        <v>143</v>
      </c>
      <c r="T1790" s="18">
        <v>117.21</v>
      </c>
      <c r="U1790" s="16"/>
      <c r="V1790" s="16"/>
      <c r="W1790" s="16" t="s">
        <v>40</v>
      </c>
      <c r="X1790" s="19">
        <v>2.8000000000000001E-2</v>
      </c>
      <c r="Y1790" s="20">
        <v>2.8E-5</v>
      </c>
      <c r="Z1790" s="21">
        <v>4601004192058</v>
      </c>
    </row>
    <row r="1791" spans="1:26" ht="12" customHeight="1" outlineLevel="4" x14ac:dyDescent="0.2">
      <c r="A1791" s="14" t="s">
        <v>3531</v>
      </c>
      <c r="B1791" s="26" t="s">
        <v>3532</v>
      </c>
      <c r="C1791" s="52"/>
      <c r="D1791" s="55">
        <f t="shared" si="27"/>
        <v>0</v>
      </c>
      <c r="E1791" s="63" t="str">
        <f>HYPERLINK("https://www.sds-group.ru/product/nakonechnik-mednyy-tm-70-12-13-70mm-12mm-v-upak-5-sht-rexant-07-5326-1/", "Инфо")</f>
        <v>Инфо</v>
      </c>
      <c r="F1791" s="16" t="s">
        <v>39</v>
      </c>
      <c r="G1791" s="15"/>
      <c r="H1791" s="15"/>
      <c r="I1791" s="15"/>
      <c r="J1791" s="17">
        <v>190</v>
      </c>
      <c r="K1791" s="15"/>
      <c r="L1791" s="17">
        <v>5</v>
      </c>
      <c r="M1791" s="17">
        <v>50</v>
      </c>
      <c r="N1791" s="17">
        <v>5</v>
      </c>
      <c r="O1791" s="18">
        <v>220.82</v>
      </c>
      <c r="P1791" s="18">
        <v>181</v>
      </c>
      <c r="Q1791" s="18">
        <v>187.7</v>
      </c>
      <c r="R1791" s="18">
        <v>153.85</v>
      </c>
      <c r="S1791" s="18">
        <v>150.16</v>
      </c>
      <c r="T1791" s="18">
        <v>123.08</v>
      </c>
      <c r="U1791" s="16"/>
      <c r="V1791" s="16"/>
      <c r="W1791" s="16" t="s">
        <v>40</v>
      </c>
      <c r="X1791" s="19">
        <v>2.5999999999999999E-2</v>
      </c>
      <c r="Y1791" s="20">
        <v>3.8000000000000002E-5</v>
      </c>
      <c r="Z1791" s="21">
        <v>4601004191327</v>
      </c>
    </row>
    <row r="1792" spans="1:26" ht="12" customHeight="1" outlineLevel="4" x14ac:dyDescent="0.2">
      <c r="A1792" s="14" t="s">
        <v>3533</v>
      </c>
      <c r="B1792" s="26" t="s">
        <v>3534</v>
      </c>
      <c r="C1792" s="52"/>
      <c r="D1792" s="55">
        <f t="shared" si="27"/>
        <v>0</v>
      </c>
      <c r="E1792" s="63" t="str">
        <f>HYPERLINK("https://www.sds-group.ru/product/nakonechnik-mednyy-tm-95-10-15-95mm-10mm-v-upak-25-sht-rexant-07-5327-2/", "Инфо")</f>
        <v>Инфо</v>
      </c>
      <c r="F1792" s="16" t="s">
        <v>39</v>
      </c>
      <c r="G1792" s="15"/>
      <c r="H1792" s="15"/>
      <c r="I1792" s="15" t="s">
        <v>3535</v>
      </c>
      <c r="J1792" s="22">
        <v>6150</v>
      </c>
      <c r="K1792" s="15" t="s">
        <v>1408</v>
      </c>
      <c r="L1792" s="17">
        <v>25</v>
      </c>
      <c r="M1792" s="17">
        <v>200</v>
      </c>
      <c r="N1792" s="17">
        <v>25</v>
      </c>
      <c r="O1792" s="18">
        <v>363.56</v>
      </c>
      <c r="P1792" s="18">
        <v>298</v>
      </c>
      <c r="Q1792" s="18">
        <v>309.02999999999997</v>
      </c>
      <c r="R1792" s="18">
        <v>253.3</v>
      </c>
      <c r="S1792" s="18">
        <v>247.22</v>
      </c>
      <c r="T1792" s="18">
        <v>202.64</v>
      </c>
      <c r="U1792" s="16"/>
      <c r="V1792" s="16"/>
      <c r="W1792" s="16" t="s">
        <v>40</v>
      </c>
      <c r="X1792" s="19">
        <v>5.2999999999999999E-2</v>
      </c>
      <c r="Y1792" s="20">
        <v>6.9999999999999994E-5</v>
      </c>
      <c r="Z1792" s="21">
        <v>4601004192065</v>
      </c>
    </row>
    <row r="1793" spans="1:26" ht="12" customHeight="1" outlineLevel="4" x14ac:dyDescent="0.2">
      <c r="A1793" s="14" t="s">
        <v>3536</v>
      </c>
      <c r="B1793" s="26" t="s">
        <v>3537</v>
      </c>
      <c r="C1793" s="52"/>
      <c r="D1793" s="55">
        <f t="shared" si="27"/>
        <v>0</v>
      </c>
      <c r="E1793" s="63" t="str">
        <f>HYPERLINK("https://www.sds-group.ru/product/nakonechnik-mednyy-tm-120-12-17-120mm-12mm-v-upak-10-sht-rexant-07-5331-2/", "Инфо")</f>
        <v>Инфо</v>
      </c>
      <c r="F1793" s="16" t="s">
        <v>39</v>
      </c>
      <c r="G1793" s="15"/>
      <c r="H1793" s="15"/>
      <c r="I1793" s="15" t="s">
        <v>3538</v>
      </c>
      <c r="J1793" s="22">
        <v>1080</v>
      </c>
      <c r="K1793" s="15"/>
      <c r="L1793" s="17">
        <v>10</v>
      </c>
      <c r="M1793" s="17">
        <v>120</v>
      </c>
      <c r="N1793" s="17">
        <v>10</v>
      </c>
      <c r="O1793" s="18">
        <v>519.96</v>
      </c>
      <c r="P1793" s="18">
        <v>426.2</v>
      </c>
      <c r="Q1793" s="18">
        <v>415.97</v>
      </c>
      <c r="R1793" s="18">
        <v>340.96</v>
      </c>
      <c r="S1793" s="18">
        <v>353.57</v>
      </c>
      <c r="T1793" s="18">
        <v>289.81</v>
      </c>
      <c r="U1793" s="16"/>
      <c r="V1793" s="16"/>
      <c r="W1793" s="16" t="s">
        <v>40</v>
      </c>
      <c r="X1793" s="19">
        <v>8.3000000000000004E-2</v>
      </c>
      <c r="Y1793" s="20">
        <v>1.18E-4</v>
      </c>
      <c r="Z1793" s="21">
        <v>4601004191686</v>
      </c>
    </row>
    <row r="1794" spans="1:26" ht="12" customHeight="1" outlineLevel="4" x14ac:dyDescent="0.2">
      <c r="A1794" s="14" t="s">
        <v>3539</v>
      </c>
      <c r="B1794" s="26" t="s">
        <v>3540</v>
      </c>
      <c r="C1794" s="52"/>
      <c r="D1794" s="55">
        <f t="shared" si="27"/>
        <v>0</v>
      </c>
      <c r="E1794" s="63" t="str">
        <f>HYPERLINK("https://www.sds-group.ru/product/nakonechnik-mednyy-tm-150-16-19-150mm-16mm-v-upak-10-sht-rexant-07-5336-2/", "Инфо")</f>
        <v>Инфо</v>
      </c>
      <c r="F1794" s="16" t="s">
        <v>39</v>
      </c>
      <c r="G1794" s="15"/>
      <c r="H1794" s="15"/>
      <c r="I1794" s="15" t="s">
        <v>3538</v>
      </c>
      <c r="J1794" s="17">
        <v>300</v>
      </c>
      <c r="K1794" s="15" t="s">
        <v>1408</v>
      </c>
      <c r="L1794" s="17">
        <v>10</v>
      </c>
      <c r="M1794" s="17">
        <v>90</v>
      </c>
      <c r="N1794" s="17">
        <v>10</v>
      </c>
      <c r="O1794" s="18">
        <v>781.03</v>
      </c>
      <c r="P1794" s="18">
        <v>640.19000000000005</v>
      </c>
      <c r="Q1794" s="18">
        <v>624.82000000000005</v>
      </c>
      <c r="R1794" s="18">
        <v>512.15</v>
      </c>
      <c r="S1794" s="18">
        <v>531.1</v>
      </c>
      <c r="T1794" s="18">
        <v>435.33</v>
      </c>
      <c r="U1794" s="16"/>
      <c r="V1794" s="16"/>
      <c r="W1794" s="16" t="s">
        <v>40</v>
      </c>
      <c r="X1794" s="19">
        <v>0.11600000000000001</v>
      </c>
      <c r="Y1794" s="20">
        <v>1.5899999999999999E-4</v>
      </c>
      <c r="Z1794" s="21">
        <v>4601004191709</v>
      </c>
    </row>
    <row r="1795" spans="1:26" ht="12" customHeight="1" outlineLevel="4" x14ac:dyDescent="0.2">
      <c r="A1795" s="14" t="s">
        <v>3541</v>
      </c>
      <c r="B1795" s="26" t="s">
        <v>3542</v>
      </c>
      <c r="C1795" s="52"/>
      <c r="D1795" s="55">
        <f t="shared" si="27"/>
        <v>0</v>
      </c>
      <c r="E1795" s="63" t="str">
        <f>HYPERLINK("https://www.sds-group.ru/product/nakonechnik-medniy-tm-185-16-21-185mm-sup2-oslash-16mm-v-upak-10-sht-rexant-pod-zakaz-25250/", "Инфо")</f>
        <v>Инфо</v>
      </c>
      <c r="F1795" s="16" t="s">
        <v>39</v>
      </c>
      <c r="G1795" s="15"/>
      <c r="H1795" s="15"/>
      <c r="I1795" s="15" t="s">
        <v>3543</v>
      </c>
      <c r="J1795" s="16" t="s">
        <v>100</v>
      </c>
      <c r="K1795" s="15"/>
      <c r="L1795" s="17">
        <v>10</v>
      </c>
      <c r="M1795" s="17">
        <v>10</v>
      </c>
      <c r="N1795" s="17">
        <v>10</v>
      </c>
      <c r="O1795" s="18">
        <v>876.45</v>
      </c>
      <c r="P1795" s="18">
        <v>718.4</v>
      </c>
      <c r="Q1795" s="18">
        <v>701.16</v>
      </c>
      <c r="R1795" s="18">
        <v>574.72</v>
      </c>
      <c r="S1795" s="18">
        <v>595.99</v>
      </c>
      <c r="T1795" s="18">
        <v>488.52</v>
      </c>
      <c r="U1795" s="16"/>
      <c r="V1795" s="16"/>
      <c r="W1795" s="16" t="s">
        <v>40</v>
      </c>
      <c r="X1795" s="19">
        <v>0.18099999999999999</v>
      </c>
      <c r="Y1795" s="20">
        <v>2.0000000000000001E-4</v>
      </c>
      <c r="Z1795" s="21">
        <v>4601004191716</v>
      </c>
    </row>
    <row r="1796" spans="1:26" ht="12" customHeight="1" outlineLevel="4" x14ac:dyDescent="0.2">
      <c r="A1796" s="14" t="s">
        <v>3544</v>
      </c>
      <c r="B1796" s="26" t="s">
        <v>3545</v>
      </c>
      <c r="C1796" s="52"/>
      <c r="D1796" s="55">
        <f t="shared" si="27"/>
        <v>0</v>
      </c>
      <c r="E1796" s="63" t="str">
        <f>HYPERLINK("https://www.sds-group.ru/product/nakonechnik-mednyy-tm-240-16-24-240mm-16mm-v-upak-5-sht-rexant-pod-zakaz-07-5343-2/", "Инфо")</f>
        <v>Инфо</v>
      </c>
      <c r="F1796" s="16" t="s">
        <v>39</v>
      </c>
      <c r="G1796" s="15"/>
      <c r="H1796" s="15"/>
      <c r="I1796" s="15" t="s">
        <v>3543</v>
      </c>
      <c r="J1796" s="17">
        <v>750</v>
      </c>
      <c r="K1796" s="15"/>
      <c r="L1796" s="17">
        <v>5</v>
      </c>
      <c r="M1796" s="17">
        <v>50</v>
      </c>
      <c r="N1796" s="17">
        <v>5</v>
      </c>
      <c r="O1796" s="18">
        <v>1534.96</v>
      </c>
      <c r="P1796" s="18">
        <v>1258.1600000000001</v>
      </c>
      <c r="Q1796" s="18">
        <v>1212.6199999999999</v>
      </c>
      <c r="R1796" s="18">
        <v>993.95</v>
      </c>
      <c r="S1796" s="18">
        <v>1043.77</v>
      </c>
      <c r="T1796" s="18">
        <v>855.55</v>
      </c>
      <c r="U1796" s="16"/>
      <c r="V1796" s="16"/>
      <c r="W1796" s="16" t="s">
        <v>40</v>
      </c>
      <c r="X1796" s="19">
        <v>0.23599999999999999</v>
      </c>
      <c r="Y1796" s="20">
        <v>2.7E-4</v>
      </c>
      <c r="Z1796" s="21">
        <v>4601004191358</v>
      </c>
    </row>
    <row r="1797" spans="1:26" ht="12.95" customHeight="1" outlineLevel="3" x14ac:dyDescent="0.2">
      <c r="A1797" s="76" t="s">
        <v>3546</v>
      </c>
      <c r="B1797" s="76"/>
      <c r="C1797" s="77"/>
      <c r="D1797" s="58"/>
      <c r="E1797" s="68"/>
      <c r="F1797" s="13"/>
      <c r="G1797" s="13"/>
      <c r="H1797" s="13"/>
      <c r="I1797" s="13"/>
      <c r="J1797" s="13"/>
      <c r="K1797" s="13"/>
      <c r="L1797" s="13"/>
      <c r="M1797" s="13"/>
      <c r="N1797" s="13"/>
      <c r="O1797" s="13"/>
      <c r="P1797" s="13"/>
      <c r="Q1797" s="13"/>
      <c r="R1797" s="13"/>
      <c r="S1797" s="13"/>
      <c r="T1797" s="13"/>
      <c r="U1797" s="13"/>
      <c r="V1797" s="13"/>
      <c r="W1797" s="13"/>
      <c r="X1797" s="13"/>
      <c r="Y1797" s="13"/>
      <c r="Z1797" s="13"/>
    </row>
    <row r="1798" spans="1:26" ht="12" customHeight="1" outlineLevel="4" x14ac:dyDescent="0.2">
      <c r="A1798" s="14" t="s">
        <v>3547</v>
      </c>
      <c r="B1798" s="26" t="s">
        <v>3548</v>
      </c>
      <c r="C1798" s="52"/>
      <c r="D1798" s="55">
        <f t="shared" si="27"/>
        <v>0</v>
      </c>
      <c r="E1798" s="63" t="str">
        <f>HYPERLINK("https://www.sds-group.ru/product/nakonechnik-alyuminieviy-ta-120-12-14-v-upak-25sht-rexant-25351/", "Инфо")</f>
        <v>Инфо</v>
      </c>
      <c r="F1798" s="16" t="s">
        <v>39</v>
      </c>
      <c r="G1798" s="15"/>
      <c r="H1798" s="15"/>
      <c r="I1798" s="15" t="s">
        <v>3535</v>
      </c>
      <c r="J1798" s="22">
        <v>19200</v>
      </c>
      <c r="K1798" s="15"/>
      <c r="L1798" s="17">
        <v>25</v>
      </c>
      <c r="M1798" s="17">
        <v>200</v>
      </c>
      <c r="N1798" s="17">
        <v>25</v>
      </c>
      <c r="O1798" s="18">
        <v>127.32</v>
      </c>
      <c r="P1798" s="18">
        <v>104.36</v>
      </c>
      <c r="Q1798" s="18">
        <v>89.12</v>
      </c>
      <c r="R1798" s="18">
        <v>73.05</v>
      </c>
      <c r="S1798" s="18">
        <v>86.58</v>
      </c>
      <c r="T1798" s="18">
        <v>70.97</v>
      </c>
      <c r="U1798" s="16"/>
      <c r="V1798" s="16"/>
      <c r="W1798" s="16"/>
      <c r="X1798" s="19">
        <v>0.06</v>
      </c>
      <c r="Y1798" s="20">
        <v>4.0000000000000003E-5</v>
      </c>
      <c r="Z1798" s="21">
        <v>4601004191990</v>
      </c>
    </row>
    <row r="1799" spans="1:26" ht="12" customHeight="1" outlineLevel="4" x14ac:dyDescent="0.2">
      <c r="A1799" s="14" t="s">
        <v>3549</v>
      </c>
      <c r="B1799" s="26" t="s">
        <v>3550</v>
      </c>
      <c r="C1799" s="52"/>
      <c r="D1799" s="55">
        <f t="shared" si="27"/>
        <v>0</v>
      </c>
      <c r="E1799" s="63" t="str">
        <f>HYPERLINK("https://www.sds-group.ru/product/nakonechnik-alyuminieviy-ta-150-16-17-v-upak-10-sht-rexant-25271/", "Инфо")</f>
        <v>Инфо</v>
      </c>
      <c r="F1799" s="16" t="s">
        <v>39</v>
      </c>
      <c r="G1799" s="15"/>
      <c r="H1799" s="15"/>
      <c r="I1799" s="15" t="s">
        <v>3538</v>
      </c>
      <c r="J1799" s="22">
        <v>5050</v>
      </c>
      <c r="K1799" s="15" t="s">
        <v>1408</v>
      </c>
      <c r="L1799" s="17">
        <v>10</v>
      </c>
      <c r="M1799" s="17">
        <v>200</v>
      </c>
      <c r="N1799" s="17">
        <v>10</v>
      </c>
      <c r="O1799" s="18">
        <v>165.76</v>
      </c>
      <c r="P1799" s="18">
        <v>135.87</v>
      </c>
      <c r="Q1799" s="18">
        <v>140.9</v>
      </c>
      <c r="R1799" s="18">
        <v>115.49</v>
      </c>
      <c r="S1799" s="18">
        <v>112.72</v>
      </c>
      <c r="T1799" s="18">
        <v>92.39</v>
      </c>
      <c r="U1799" s="16"/>
      <c r="V1799" s="16"/>
      <c r="W1799" s="16" t="s">
        <v>40</v>
      </c>
      <c r="X1799" s="19">
        <v>6.0999999999999999E-2</v>
      </c>
      <c r="Y1799" s="20">
        <v>1.25E-4</v>
      </c>
      <c r="Z1799" s="21">
        <v>4601004191785</v>
      </c>
    </row>
    <row r="1800" spans="1:26" ht="12" customHeight="1" outlineLevel="4" x14ac:dyDescent="0.2">
      <c r="A1800" s="14" t="s">
        <v>3551</v>
      </c>
      <c r="B1800" s="26" t="s">
        <v>3552</v>
      </c>
      <c r="C1800" s="52"/>
      <c r="D1800" s="55">
        <f t="shared" si="27"/>
        <v>0</v>
      </c>
      <c r="E1800" s="63" t="str">
        <f>HYPERLINK("https://www.sds-group.ru/product/nakonechnik-alyuminievyy-ta-16-8-5-4-v-upak-100-sht-rexant-07-4400/", "Инфо")</f>
        <v>Инфо</v>
      </c>
      <c r="F1800" s="16" t="s">
        <v>39</v>
      </c>
      <c r="G1800" s="15"/>
      <c r="H1800" s="15"/>
      <c r="I1800" s="15"/>
      <c r="J1800" s="22">
        <v>3900</v>
      </c>
      <c r="K1800" s="15" t="s">
        <v>3319</v>
      </c>
      <c r="L1800" s="17">
        <v>100</v>
      </c>
      <c r="M1800" s="17">
        <v>600</v>
      </c>
      <c r="N1800" s="17">
        <v>100</v>
      </c>
      <c r="O1800" s="18">
        <v>29.99</v>
      </c>
      <c r="P1800" s="18">
        <v>24.58</v>
      </c>
      <c r="Q1800" s="18">
        <v>25.49</v>
      </c>
      <c r="R1800" s="18">
        <v>20.89</v>
      </c>
      <c r="S1800" s="18">
        <v>20.39</v>
      </c>
      <c r="T1800" s="18">
        <v>16.71</v>
      </c>
      <c r="U1800" s="16"/>
      <c r="V1800" s="16"/>
      <c r="W1800" s="16" t="s">
        <v>40</v>
      </c>
      <c r="X1800" s="19">
        <v>8.0000000000000002E-3</v>
      </c>
      <c r="Y1800" s="20">
        <v>1.2999999999999999E-5</v>
      </c>
      <c r="Z1800" s="21">
        <v>4601004190573</v>
      </c>
    </row>
    <row r="1801" spans="1:26" ht="12" customHeight="1" outlineLevel="4" x14ac:dyDescent="0.2">
      <c r="A1801" s="14" t="s">
        <v>3553</v>
      </c>
      <c r="B1801" s="26" t="s">
        <v>3554</v>
      </c>
      <c r="C1801" s="52"/>
      <c r="D1801" s="55">
        <f t="shared" ref="D1801:D1864" si="28">C1801*(O1801-O1801*$G$3)</f>
        <v>0</v>
      </c>
      <c r="E1801" s="63" t="str">
        <f>HYPERLINK("https://www.sds-group.ru/product/nakonechnik-alyuminievyy-ta-185-16-19-v-upak-10-sht-rexant-pod-zakaz-07-4408/", "Инфо")</f>
        <v>Инфо</v>
      </c>
      <c r="F1801" s="16" t="s">
        <v>39</v>
      </c>
      <c r="G1801" s="15"/>
      <c r="H1801" s="15"/>
      <c r="I1801" s="15" t="s">
        <v>3555</v>
      </c>
      <c r="J1801" s="22">
        <v>8360</v>
      </c>
      <c r="K1801" s="15"/>
      <c r="L1801" s="17">
        <v>10</v>
      </c>
      <c r="M1801" s="17">
        <v>170</v>
      </c>
      <c r="N1801" s="17">
        <v>10</v>
      </c>
      <c r="O1801" s="18">
        <v>191.73</v>
      </c>
      <c r="P1801" s="18">
        <v>157.16</v>
      </c>
      <c r="Q1801" s="18">
        <v>162.97</v>
      </c>
      <c r="R1801" s="18">
        <v>133.58000000000001</v>
      </c>
      <c r="S1801" s="18">
        <v>130.38</v>
      </c>
      <c r="T1801" s="18">
        <v>106.87</v>
      </c>
      <c r="U1801" s="16"/>
      <c r="V1801" s="16"/>
      <c r="W1801" s="16" t="s">
        <v>40</v>
      </c>
      <c r="X1801" s="19">
        <v>6.8000000000000005E-2</v>
      </c>
      <c r="Y1801" s="20">
        <v>1.01E-4</v>
      </c>
      <c r="Z1801" s="21">
        <v>4601004191600</v>
      </c>
    </row>
    <row r="1802" spans="1:26" ht="12" customHeight="1" outlineLevel="4" x14ac:dyDescent="0.2">
      <c r="A1802" s="14" t="s">
        <v>3556</v>
      </c>
      <c r="B1802" s="26" t="s">
        <v>3557</v>
      </c>
      <c r="C1802" s="52"/>
      <c r="D1802" s="55">
        <f t="shared" si="28"/>
        <v>0</v>
      </c>
      <c r="E1802" s="63" t="str">
        <f>HYPERLINK("https://www.sds-group.ru/product/nakonechnik-alyuminievyy-ta-240-20-20-v-upak-10-sht-rexant-pod-zakaz-07-4410/", "Инфо")</f>
        <v>Инфо</v>
      </c>
      <c r="F1802" s="16" t="s">
        <v>39</v>
      </c>
      <c r="G1802" s="15"/>
      <c r="H1802" s="15"/>
      <c r="I1802" s="15" t="s">
        <v>3555</v>
      </c>
      <c r="J1802" s="22">
        <v>9480</v>
      </c>
      <c r="K1802" s="15" t="s">
        <v>1408</v>
      </c>
      <c r="L1802" s="17">
        <v>10</v>
      </c>
      <c r="M1802" s="17">
        <v>110</v>
      </c>
      <c r="N1802" s="17">
        <v>10</v>
      </c>
      <c r="O1802" s="18">
        <v>234.45</v>
      </c>
      <c r="P1802" s="18">
        <v>192.17</v>
      </c>
      <c r="Q1802" s="18">
        <v>199.28</v>
      </c>
      <c r="R1802" s="18">
        <v>163.34</v>
      </c>
      <c r="S1802" s="18">
        <v>159.43</v>
      </c>
      <c r="T1802" s="18">
        <v>130.68</v>
      </c>
      <c r="U1802" s="16"/>
      <c r="V1802" s="16"/>
      <c r="W1802" s="16" t="s">
        <v>40</v>
      </c>
      <c r="X1802" s="19">
        <v>7.6999999999999999E-2</v>
      </c>
      <c r="Y1802" s="20">
        <v>1.6799999999999999E-4</v>
      </c>
      <c r="Z1802" s="21">
        <v>4601004191624</v>
      </c>
    </row>
    <row r="1803" spans="1:26" ht="12" customHeight="1" outlineLevel="4" x14ac:dyDescent="0.2">
      <c r="A1803" s="14" t="s">
        <v>3558</v>
      </c>
      <c r="B1803" s="26" t="s">
        <v>3559</v>
      </c>
      <c r="C1803" s="52"/>
      <c r="D1803" s="55">
        <f t="shared" si="28"/>
        <v>0</v>
      </c>
      <c r="E1803" s="63" t="str">
        <f>HYPERLINK("https://www.sds-group.ru/product/nakonechnik-alyuminievyy-ta-25-8-7-v-upak-100-sht-rexant-07-4401/", "Инфо")</f>
        <v>Инфо</v>
      </c>
      <c r="F1803" s="16" t="s">
        <v>39</v>
      </c>
      <c r="G1803" s="15"/>
      <c r="H1803" s="15"/>
      <c r="I1803" s="15"/>
      <c r="J1803" s="22">
        <v>13500</v>
      </c>
      <c r="K1803" s="15" t="s">
        <v>1408</v>
      </c>
      <c r="L1803" s="17">
        <v>100</v>
      </c>
      <c r="M1803" s="17">
        <v>400</v>
      </c>
      <c r="N1803" s="17">
        <v>100</v>
      </c>
      <c r="O1803" s="18">
        <v>39.01</v>
      </c>
      <c r="P1803" s="18">
        <v>31.98</v>
      </c>
      <c r="Q1803" s="18">
        <v>33.159999999999997</v>
      </c>
      <c r="R1803" s="18">
        <v>27.18</v>
      </c>
      <c r="S1803" s="18">
        <v>26.53</v>
      </c>
      <c r="T1803" s="18">
        <v>21.75</v>
      </c>
      <c r="U1803" s="16"/>
      <c r="V1803" s="16"/>
      <c r="W1803" s="16" t="s">
        <v>40</v>
      </c>
      <c r="X1803" s="19">
        <v>0.01</v>
      </c>
      <c r="Y1803" s="20">
        <v>1.2999999999999999E-5</v>
      </c>
      <c r="Z1803" s="21">
        <v>4601004190580</v>
      </c>
    </row>
    <row r="1804" spans="1:26" ht="12" customHeight="1" outlineLevel="4" x14ac:dyDescent="0.2">
      <c r="A1804" s="14" t="s">
        <v>3560</v>
      </c>
      <c r="B1804" s="26" t="s">
        <v>3561</v>
      </c>
      <c r="C1804" s="52"/>
      <c r="D1804" s="55">
        <f t="shared" si="28"/>
        <v>0</v>
      </c>
      <c r="E1804" s="63" t="str">
        <f>HYPERLINK("https://www.sds-group.ru/product/nakonechnik-alyuminievyy-ta-35-10-8-v-upak-50-sht-rexant-07-4402/", "Инфо")</f>
        <v>Инфо</v>
      </c>
      <c r="F1804" s="16" t="s">
        <v>39</v>
      </c>
      <c r="G1804" s="15"/>
      <c r="H1804" s="15"/>
      <c r="I1804" s="15" t="s">
        <v>3562</v>
      </c>
      <c r="J1804" s="22">
        <v>21750</v>
      </c>
      <c r="K1804" s="15"/>
      <c r="L1804" s="17">
        <v>50</v>
      </c>
      <c r="M1804" s="17">
        <v>700</v>
      </c>
      <c r="N1804" s="17">
        <v>50</v>
      </c>
      <c r="O1804" s="18">
        <v>49.4</v>
      </c>
      <c r="P1804" s="18">
        <v>40.49</v>
      </c>
      <c r="Q1804" s="18">
        <v>41.99</v>
      </c>
      <c r="R1804" s="18">
        <v>34.42</v>
      </c>
      <c r="S1804" s="18">
        <v>33.590000000000003</v>
      </c>
      <c r="T1804" s="18">
        <v>27.53</v>
      </c>
      <c r="U1804" s="16"/>
      <c r="V1804" s="16"/>
      <c r="W1804" s="16" t="s">
        <v>40</v>
      </c>
      <c r="X1804" s="19">
        <v>1.4E-2</v>
      </c>
      <c r="Y1804" s="20">
        <v>3.1000000000000001E-5</v>
      </c>
      <c r="Z1804" s="21">
        <v>4601004192225</v>
      </c>
    </row>
    <row r="1805" spans="1:26" ht="12" customHeight="1" outlineLevel="4" x14ac:dyDescent="0.2">
      <c r="A1805" s="14" t="s">
        <v>3563</v>
      </c>
      <c r="B1805" s="26" t="s">
        <v>3564</v>
      </c>
      <c r="C1805" s="52"/>
      <c r="D1805" s="55">
        <f t="shared" si="28"/>
        <v>0</v>
      </c>
      <c r="E1805" s="63" t="str">
        <f>HYPERLINK("https://www.sds-group.ru/product/nakonechnik-alyuminieviy-ta-50-10-9-v-upak-50-sht-rexant-25348/", "Инфо")</f>
        <v>Инфо</v>
      </c>
      <c r="F1805" s="16" t="s">
        <v>39</v>
      </c>
      <c r="G1805" s="15"/>
      <c r="H1805" s="15"/>
      <c r="I1805" s="15"/>
      <c r="J1805" s="16" t="s">
        <v>100</v>
      </c>
      <c r="K1805" s="15"/>
      <c r="L1805" s="17">
        <v>50</v>
      </c>
      <c r="M1805" s="17">
        <v>1</v>
      </c>
      <c r="N1805" s="17">
        <v>50</v>
      </c>
      <c r="O1805" s="18">
        <v>61.62</v>
      </c>
      <c r="P1805" s="18">
        <v>50.51</v>
      </c>
      <c r="Q1805" s="18">
        <v>52.38</v>
      </c>
      <c r="R1805" s="18">
        <v>42.93</v>
      </c>
      <c r="S1805" s="18">
        <v>41.9</v>
      </c>
      <c r="T1805" s="18">
        <v>34.340000000000003</v>
      </c>
      <c r="U1805" s="16"/>
      <c r="V1805" s="16"/>
      <c r="W1805" s="16" t="s">
        <v>40</v>
      </c>
      <c r="X1805" s="19">
        <v>2.1999999999999999E-2</v>
      </c>
      <c r="Y1805" s="20">
        <v>2.9E-5</v>
      </c>
      <c r="Z1805" s="21">
        <v>4601004192232</v>
      </c>
    </row>
    <row r="1806" spans="1:26" ht="12" customHeight="1" outlineLevel="4" x14ac:dyDescent="0.2">
      <c r="A1806" s="14" t="s">
        <v>3565</v>
      </c>
      <c r="B1806" s="26" t="s">
        <v>3566</v>
      </c>
      <c r="C1806" s="52"/>
      <c r="D1806" s="55">
        <f t="shared" si="28"/>
        <v>0</v>
      </c>
      <c r="E1806" s="63" t="str">
        <f>HYPERLINK("https://www.sds-group.ru/product/nakonechnik-alyuminievyy-ta-70-10-12-v-upak-25-sht-rexant-07-4404/", "Инфо")</f>
        <v>Инфо</v>
      </c>
      <c r="F1806" s="16" t="s">
        <v>39</v>
      </c>
      <c r="G1806" s="15"/>
      <c r="H1806" s="15"/>
      <c r="I1806" s="15" t="s">
        <v>3567</v>
      </c>
      <c r="J1806" s="22">
        <v>27975</v>
      </c>
      <c r="K1806" s="15"/>
      <c r="L1806" s="17">
        <v>25</v>
      </c>
      <c r="M1806" s="17">
        <v>1</v>
      </c>
      <c r="N1806" s="17">
        <v>25</v>
      </c>
      <c r="O1806" s="18">
        <v>81.819999999999993</v>
      </c>
      <c r="P1806" s="18">
        <v>67.069999999999993</v>
      </c>
      <c r="Q1806" s="18">
        <v>69.55</v>
      </c>
      <c r="R1806" s="18">
        <v>57.01</v>
      </c>
      <c r="S1806" s="18">
        <v>55.64</v>
      </c>
      <c r="T1806" s="18">
        <v>45.61</v>
      </c>
      <c r="U1806" s="16"/>
      <c r="V1806" s="16"/>
      <c r="W1806" s="16" t="s">
        <v>40</v>
      </c>
      <c r="X1806" s="19">
        <v>2.8000000000000001E-2</v>
      </c>
      <c r="Y1806" s="20">
        <v>4.8999999999999998E-5</v>
      </c>
      <c r="Z1806" s="21">
        <v>4601004191976</v>
      </c>
    </row>
    <row r="1807" spans="1:26" ht="12" customHeight="1" outlineLevel="4" x14ac:dyDescent="0.2">
      <c r="A1807" s="14" t="s">
        <v>3568</v>
      </c>
      <c r="B1807" s="26" t="s">
        <v>3569</v>
      </c>
      <c r="C1807" s="52"/>
      <c r="D1807" s="55">
        <f t="shared" si="28"/>
        <v>0</v>
      </c>
      <c r="E1807" s="63" t="str">
        <f>HYPERLINK("https://www.sds-group.ru/product/nakonechnik-alyuminievyy-ta-95-12-13-v-upak-25-sht-rexant-07-4415/", "Инфо")</f>
        <v>Инфо</v>
      </c>
      <c r="F1807" s="16" t="s">
        <v>39</v>
      </c>
      <c r="G1807" s="15"/>
      <c r="H1807" s="15"/>
      <c r="I1807" s="15"/>
      <c r="J1807" s="22">
        <v>25300</v>
      </c>
      <c r="K1807" s="15"/>
      <c r="L1807" s="17">
        <v>25</v>
      </c>
      <c r="M1807" s="17">
        <v>1</v>
      </c>
      <c r="N1807" s="17">
        <v>25</v>
      </c>
      <c r="O1807" s="18">
        <v>93.25</v>
      </c>
      <c r="P1807" s="18">
        <v>76.430000000000007</v>
      </c>
      <c r="Q1807" s="18">
        <v>79.260000000000005</v>
      </c>
      <c r="R1807" s="18">
        <v>64.97</v>
      </c>
      <c r="S1807" s="18">
        <v>63.41</v>
      </c>
      <c r="T1807" s="18">
        <v>51.98</v>
      </c>
      <c r="U1807" s="16"/>
      <c r="V1807" s="16"/>
      <c r="W1807" s="16" t="s">
        <v>40</v>
      </c>
      <c r="X1807" s="19">
        <v>3.4000000000000002E-2</v>
      </c>
      <c r="Y1807" s="20">
        <v>5.0000000000000002E-5</v>
      </c>
      <c r="Z1807" s="21">
        <v>4601004191983</v>
      </c>
    </row>
    <row r="1808" spans="1:26" ht="12" customHeight="1" outlineLevel="4" x14ac:dyDescent="0.2">
      <c r="A1808" s="14" t="s">
        <v>3570</v>
      </c>
      <c r="B1808" s="26" t="s">
        <v>3571</v>
      </c>
      <c r="C1808" s="52"/>
      <c r="D1808" s="55">
        <f t="shared" si="28"/>
        <v>0</v>
      </c>
      <c r="E1808" s="63" t="str">
        <f>HYPERLINK("https://www.sds-group.ru/product/nakonechnik-shtiftovoy-alyuminievyy-luzhenyy-nshal-16-14-v-upak-50-sht-rexant-07-4411-1/", "Инфо")</f>
        <v>Инфо</v>
      </c>
      <c r="F1808" s="16" t="s">
        <v>39</v>
      </c>
      <c r="G1808" s="15"/>
      <c r="H1808" s="15"/>
      <c r="I1808" s="15" t="s">
        <v>3572</v>
      </c>
      <c r="J1808" s="16" t="s">
        <v>100</v>
      </c>
      <c r="K1808" s="15" t="s">
        <v>1888</v>
      </c>
      <c r="L1808" s="17">
        <v>50</v>
      </c>
      <c r="M1808" s="22">
        <v>1000</v>
      </c>
      <c r="N1808" s="17">
        <v>50</v>
      </c>
      <c r="O1808" s="18">
        <v>47.54</v>
      </c>
      <c r="P1808" s="18">
        <v>38.97</v>
      </c>
      <c r="Q1808" s="18">
        <v>40.409999999999997</v>
      </c>
      <c r="R1808" s="18">
        <v>33.119999999999997</v>
      </c>
      <c r="S1808" s="18">
        <v>32.33</v>
      </c>
      <c r="T1808" s="18">
        <v>26.5</v>
      </c>
      <c r="U1808" s="16"/>
      <c r="V1808" s="16"/>
      <c r="W1808" s="16" t="s">
        <v>40</v>
      </c>
      <c r="X1808" s="19">
        <v>6.0000000000000001E-3</v>
      </c>
      <c r="Y1808" s="20">
        <v>1.2999999999999999E-5</v>
      </c>
      <c r="Z1808" s="21">
        <v>4601004192263</v>
      </c>
    </row>
    <row r="1809" spans="1:26" ht="12" customHeight="1" outlineLevel="4" x14ac:dyDescent="0.2">
      <c r="A1809" s="14" t="s">
        <v>3573</v>
      </c>
      <c r="B1809" s="26" t="s">
        <v>3574</v>
      </c>
      <c r="C1809" s="52"/>
      <c r="D1809" s="55">
        <f t="shared" si="28"/>
        <v>0</v>
      </c>
      <c r="E1809" s="63" t="str">
        <f>HYPERLINK("https://www.sds-group.ru/product/nakonechnik-shtiftovoy-alyuminievyy-luzhenyy-nshal-25-15-v-upak-50-sht-rexant-07-4413-1/", "Инфо")</f>
        <v>Инфо</v>
      </c>
      <c r="F1809" s="16" t="s">
        <v>39</v>
      </c>
      <c r="G1809" s="15"/>
      <c r="H1809" s="15"/>
      <c r="I1809" s="15"/>
      <c r="J1809" s="16" t="s">
        <v>100</v>
      </c>
      <c r="K1809" s="15" t="s">
        <v>1888</v>
      </c>
      <c r="L1809" s="17">
        <v>50</v>
      </c>
      <c r="M1809" s="17">
        <v>800</v>
      </c>
      <c r="N1809" s="17">
        <v>50</v>
      </c>
      <c r="O1809" s="18">
        <v>72.569999999999993</v>
      </c>
      <c r="P1809" s="18">
        <v>59.48</v>
      </c>
      <c r="Q1809" s="18">
        <v>61.68</v>
      </c>
      <c r="R1809" s="18">
        <v>50.56</v>
      </c>
      <c r="S1809" s="18">
        <v>49.35</v>
      </c>
      <c r="T1809" s="18">
        <v>40.450000000000003</v>
      </c>
      <c r="U1809" s="16"/>
      <c r="V1809" s="16"/>
      <c r="W1809" s="16" t="s">
        <v>40</v>
      </c>
      <c r="X1809" s="19">
        <v>8.0000000000000002E-3</v>
      </c>
      <c r="Y1809" s="20">
        <v>1.2999999999999999E-5</v>
      </c>
      <c r="Z1809" s="21">
        <v>4601004192270</v>
      </c>
    </row>
    <row r="1810" spans="1:26" ht="12" customHeight="1" outlineLevel="4" x14ac:dyDescent="0.2">
      <c r="A1810" s="14" t="s">
        <v>3575</v>
      </c>
      <c r="B1810" s="26" t="s">
        <v>3576</v>
      </c>
      <c r="C1810" s="52"/>
      <c r="D1810" s="55">
        <f t="shared" si="28"/>
        <v>0</v>
      </c>
      <c r="E1810" s="63" t="str">
        <f>HYPERLINK("https://www.sds-group.ru/product/nakonechnik-shtiftovoy-alyuminievyy-luzhenyy-nshal-35-20-v-upak-30-sht-rexant-07-4414-1/", "Инфо")</f>
        <v>Инфо</v>
      </c>
      <c r="F1810" s="16" t="s">
        <v>39</v>
      </c>
      <c r="G1810" s="15"/>
      <c r="H1810" s="15"/>
      <c r="I1810" s="15"/>
      <c r="J1810" s="16" t="s">
        <v>100</v>
      </c>
      <c r="K1810" s="15" t="s">
        <v>1888</v>
      </c>
      <c r="L1810" s="17">
        <v>30</v>
      </c>
      <c r="M1810" s="17">
        <v>600</v>
      </c>
      <c r="N1810" s="17">
        <v>30</v>
      </c>
      <c r="O1810" s="18">
        <v>85.93</v>
      </c>
      <c r="P1810" s="18">
        <v>70.430000000000007</v>
      </c>
      <c r="Q1810" s="18">
        <v>60.15</v>
      </c>
      <c r="R1810" s="18">
        <v>49.3</v>
      </c>
      <c r="S1810" s="18">
        <v>58.43</v>
      </c>
      <c r="T1810" s="18">
        <v>47.89</v>
      </c>
      <c r="U1810" s="16"/>
      <c r="V1810" s="16"/>
      <c r="W1810" s="16"/>
      <c r="X1810" s="19">
        <v>0.01</v>
      </c>
      <c r="Y1810" s="20">
        <v>2.9E-5</v>
      </c>
      <c r="Z1810" s="21">
        <v>4601004192102</v>
      </c>
    </row>
    <row r="1811" spans="1:26" ht="12" customHeight="1" outlineLevel="4" x14ac:dyDescent="0.2">
      <c r="A1811" s="14" t="s">
        <v>3577</v>
      </c>
      <c r="B1811" s="26" t="s">
        <v>3578</v>
      </c>
      <c r="C1811" s="52"/>
      <c r="D1811" s="55">
        <f t="shared" si="28"/>
        <v>0</v>
      </c>
      <c r="E1811" s="63" t="str">
        <f>HYPERLINK("https://www.sds-group.ru/product/nakonechnik-shtiftovoy-alyuminievyy-nsha-16-14-v-upak-50-sht-rexant-07-4411/", "Инфо")</f>
        <v>Инфо</v>
      </c>
      <c r="F1811" s="16" t="s">
        <v>39</v>
      </c>
      <c r="G1811" s="15"/>
      <c r="H1811" s="15"/>
      <c r="I1811" s="15"/>
      <c r="J1811" s="16" t="s">
        <v>100</v>
      </c>
      <c r="K1811" s="15"/>
      <c r="L1811" s="17">
        <v>50</v>
      </c>
      <c r="M1811" s="17">
        <v>50</v>
      </c>
      <c r="N1811" s="17">
        <v>50</v>
      </c>
      <c r="O1811" s="18">
        <v>38.72</v>
      </c>
      <c r="P1811" s="18">
        <v>31.74</v>
      </c>
      <c r="Q1811" s="18">
        <v>32.909999999999997</v>
      </c>
      <c r="R1811" s="18">
        <v>26.98</v>
      </c>
      <c r="S1811" s="18">
        <v>26.33</v>
      </c>
      <c r="T1811" s="18">
        <v>21.58</v>
      </c>
      <c r="U1811" s="16"/>
      <c r="V1811" s="16"/>
      <c r="W1811" s="16" t="s">
        <v>40</v>
      </c>
      <c r="X1811" s="19">
        <v>6.0000000000000001E-3</v>
      </c>
      <c r="Y1811" s="20">
        <v>1.1E-5</v>
      </c>
      <c r="Z1811" s="21">
        <v>4601004192249</v>
      </c>
    </row>
    <row r="1812" spans="1:26" ht="12" customHeight="1" outlineLevel="4" x14ac:dyDescent="0.2">
      <c r="A1812" s="14" t="s">
        <v>3579</v>
      </c>
      <c r="B1812" s="26" t="s">
        <v>3580</v>
      </c>
      <c r="C1812" s="52"/>
      <c r="D1812" s="55">
        <f t="shared" si="28"/>
        <v>0</v>
      </c>
      <c r="E1812" s="63" t="str">
        <f>HYPERLINK("https://www.sds-group.ru/product/nakonechnik-shtiftovoy-alyuminievyy-nsha-35-20-v-upak-30-sht-rexant-07-4414/", "Инфо")</f>
        <v>Инфо</v>
      </c>
      <c r="F1812" s="16" t="s">
        <v>39</v>
      </c>
      <c r="G1812" s="15"/>
      <c r="H1812" s="15"/>
      <c r="I1812" s="15"/>
      <c r="J1812" s="17">
        <v>150</v>
      </c>
      <c r="K1812" s="15"/>
      <c r="L1812" s="17">
        <v>30</v>
      </c>
      <c r="M1812" s="17">
        <v>600</v>
      </c>
      <c r="N1812" s="17">
        <v>30</v>
      </c>
      <c r="O1812" s="18">
        <v>90.87</v>
      </c>
      <c r="P1812" s="18">
        <v>74.48</v>
      </c>
      <c r="Q1812" s="18">
        <v>77.239999999999995</v>
      </c>
      <c r="R1812" s="18">
        <v>63.31</v>
      </c>
      <c r="S1812" s="18">
        <v>61.79</v>
      </c>
      <c r="T1812" s="18">
        <v>50.65</v>
      </c>
      <c r="U1812" s="16"/>
      <c r="V1812" s="16"/>
      <c r="W1812" s="16" t="s">
        <v>40</v>
      </c>
      <c r="X1812" s="19">
        <v>0.01</v>
      </c>
      <c r="Y1812" s="20">
        <v>1.1E-4</v>
      </c>
      <c r="Z1812" s="21">
        <v>4601004192096</v>
      </c>
    </row>
    <row r="1813" spans="1:26" ht="12.95" customHeight="1" outlineLevel="3" x14ac:dyDescent="0.2">
      <c r="A1813" s="76" t="s">
        <v>3581</v>
      </c>
      <c r="B1813" s="76"/>
      <c r="C1813" s="77"/>
      <c r="D1813" s="58"/>
      <c r="E1813" s="68"/>
      <c r="F1813" s="13"/>
      <c r="G1813" s="13"/>
      <c r="H1813" s="13"/>
      <c r="I1813" s="13"/>
      <c r="J1813" s="13"/>
      <c r="K1813" s="13"/>
      <c r="L1813" s="13"/>
      <c r="M1813" s="13"/>
      <c r="N1813" s="13"/>
      <c r="O1813" s="13"/>
      <c r="P1813" s="13"/>
      <c r="Q1813" s="13"/>
      <c r="R1813" s="13"/>
      <c r="S1813" s="13"/>
      <c r="T1813" s="13"/>
      <c r="U1813" s="13"/>
      <c r="V1813" s="13"/>
      <c r="W1813" s="13"/>
      <c r="X1813" s="13"/>
      <c r="Y1813" s="13"/>
      <c r="Z1813" s="13"/>
    </row>
    <row r="1814" spans="1:26" ht="12" customHeight="1" outlineLevel="4" x14ac:dyDescent="0.2">
      <c r="A1814" s="14" t="s">
        <v>3582</v>
      </c>
      <c r="B1814" s="26" t="s">
        <v>3583</v>
      </c>
      <c r="C1814" s="52"/>
      <c r="D1814" s="55">
        <f t="shared" si="28"/>
        <v>0</v>
      </c>
      <c r="E1814" s="63" t="str">
        <f>HYPERLINK("https://www.sds-group.ru/product/nakonechnik-alyumomednyy-tam-50-10-9-v-upak-50-sht-rexant-07-8453/", "Инфо")</f>
        <v>Инфо</v>
      </c>
      <c r="F1814" s="16" t="s">
        <v>39</v>
      </c>
      <c r="G1814" s="15"/>
      <c r="H1814" s="15"/>
      <c r="I1814" s="15"/>
      <c r="J1814" s="16" t="s">
        <v>100</v>
      </c>
      <c r="K1814" s="15" t="s">
        <v>1408</v>
      </c>
      <c r="L1814" s="17">
        <v>50</v>
      </c>
      <c r="M1814" s="17">
        <v>450</v>
      </c>
      <c r="N1814" s="17">
        <v>50</v>
      </c>
      <c r="O1814" s="18">
        <v>133.26</v>
      </c>
      <c r="P1814" s="18">
        <v>109.23</v>
      </c>
      <c r="Q1814" s="18">
        <v>113.27</v>
      </c>
      <c r="R1814" s="18">
        <v>92.84</v>
      </c>
      <c r="S1814" s="18">
        <v>90.62</v>
      </c>
      <c r="T1814" s="18">
        <v>74.28</v>
      </c>
      <c r="U1814" s="16"/>
      <c r="V1814" s="16"/>
      <c r="W1814" s="16" t="s">
        <v>40</v>
      </c>
      <c r="X1814" s="19">
        <v>2.3E-2</v>
      </c>
      <c r="Y1814" s="20">
        <v>4.3000000000000002E-5</v>
      </c>
      <c r="Z1814" s="21">
        <v>4601004192287</v>
      </c>
    </row>
    <row r="1815" spans="1:26" ht="12.95" customHeight="1" outlineLevel="3" x14ac:dyDescent="0.2">
      <c r="A1815" s="76" t="s">
        <v>3584</v>
      </c>
      <c r="B1815" s="76"/>
      <c r="C1815" s="77"/>
      <c r="D1815" s="58"/>
      <c r="E1815" s="68"/>
      <c r="F1815" s="13"/>
      <c r="G1815" s="13"/>
      <c r="H1815" s="13"/>
      <c r="I1815" s="13"/>
      <c r="J1815" s="13"/>
      <c r="K1815" s="13"/>
      <c r="L1815" s="13"/>
      <c r="M1815" s="13"/>
      <c r="N1815" s="13"/>
      <c r="O1815" s="13"/>
      <c r="P1815" s="13"/>
      <c r="Q1815" s="13"/>
      <c r="R1815" s="13"/>
      <c r="S1815" s="13"/>
      <c r="T1815" s="13"/>
      <c r="U1815" s="13"/>
      <c r="V1815" s="13"/>
      <c r="W1815" s="13"/>
      <c r="X1815" s="13"/>
      <c r="Y1815" s="13"/>
      <c r="Z1815" s="13"/>
    </row>
    <row r="1816" spans="1:26" ht="12" customHeight="1" outlineLevel="4" x14ac:dyDescent="0.2">
      <c r="A1816" s="14" t="s">
        <v>3585</v>
      </c>
      <c r="B1816" s="26" t="s">
        <v>3586</v>
      </c>
      <c r="C1816" s="52"/>
      <c r="D1816" s="55">
        <f t="shared" si="28"/>
        <v>0</v>
      </c>
      <c r="E1816" s="63" t="str">
        <f>HYPERLINK("https://www.sds-group.ru/product/nakonechnik-shtiftovoy-mednyy-luzhenyy-nshml-10-5-5h13-10mm-5-5mm-v-upak-50-sht-rexant-07-8461/", "Инфо")</f>
        <v>Инфо</v>
      </c>
      <c r="F1816" s="16" t="s">
        <v>39</v>
      </c>
      <c r="G1816" s="15"/>
      <c r="H1816" s="15"/>
      <c r="I1816" s="15"/>
      <c r="J1816" s="22">
        <v>3950</v>
      </c>
      <c r="K1816" s="15"/>
      <c r="L1816" s="17">
        <v>50</v>
      </c>
      <c r="M1816" s="22">
        <v>1800</v>
      </c>
      <c r="N1816" s="17">
        <v>50</v>
      </c>
      <c r="O1816" s="18">
        <v>46.18</v>
      </c>
      <c r="P1816" s="18">
        <v>37.85</v>
      </c>
      <c r="Q1816" s="18">
        <v>39.25</v>
      </c>
      <c r="R1816" s="18">
        <v>32.17</v>
      </c>
      <c r="S1816" s="18">
        <v>31.4</v>
      </c>
      <c r="T1816" s="18">
        <v>25.74</v>
      </c>
      <c r="U1816" s="16"/>
      <c r="V1816" s="16"/>
      <c r="W1816" s="16" t="s">
        <v>40</v>
      </c>
      <c r="X1816" s="19">
        <v>2E-3</v>
      </c>
      <c r="Y1816" s="20">
        <v>5.0000000000000004E-6</v>
      </c>
      <c r="Z1816" s="21">
        <v>4601004192126</v>
      </c>
    </row>
    <row r="1817" spans="1:26" ht="12" customHeight="1" outlineLevel="4" x14ac:dyDescent="0.2">
      <c r="A1817" s="14" t="s">
        <v>3587</v>
      </c>
      <c r="B1817" s="26" t="s">
        <v>3588</v>
      </c>
      <c r="C1817" s="52"/>
      <c r="D1817" s="55">
        <f t="shared" si="28"/>
        <v>0</v>
      </c>
      <c r="E1817" s="63" t="str">
        <f>HYPERLINK("https://www.sds-group.ru/product/nakonechnik-shtiftovoy-mednyy-luzhenyy-nshml-10-7h13-10mm-7mm-v-upak-50-sht-rexant-07-8462/", "Инфо")</f>
        <v>Инфо</v>
      </c>
      <c r="F1817" s="16" t="s">
        <v>39</v>
      </c>
      <c r="G1817" s="15"/>
      <c r="H1817" s="15"/>
      <c r="I1817" s="15"/>
      <c r="J1817" s="22">
        <v>3600</v>
      </c>
      <c r="K1817" s="15"/>
      <c r="L1817" s="17">
        <v>50</v>
      </c>
      <c r="M1817" s="22">
        <v>1800</v>
      </c>
      <c r="N1817" s="17">
        <v>50</v>
      </c>
      <c r="O1817" s="18">
        <v>45.38</v>
      </c>
      <c r="P1817" s="18">
        <v>37.200000000000003</v>
      </c>
      <c r="Q1817" s="18">
        <v>38.57</v>
      </c>
      <c r="R1817" s="18">
        <v>31.61</v>
      </c>
      <c r="S1817" s="18">
        <v>30.86</v>
      </c>
      <c r="T1817" s="18">
        <v>25.3</v>
      </c>
      <c r="U1817" s="16"/>
      <c r="V1817" s="16"/>
      <c r="W1817" s="16" t="s">
        <v>40</v>
      </c>
      <c r="X1817" s="19">
        <v>3.0000000000000001E-3</v>
      </c>
      <c r="Y1817" s="20">
        <v>7.9999999999999996E-6</v>
      </c>
      <c r="Z1817" s="21">
        <v>4601004192133</v>
      </c>
    </row>
    <row r="1818" spans="1:26" ht="12" customHeight="1" outlineLevel="4" x14ac:dyDescent="0.2">
      <c r="A1818" s="14" t="s">
        <v>3589</v>
      </c>
      <c r="B1818" s="26" t="s">
        <v>3590</v>
      </c>
      <c r="C1818" s="52"/>
      <c r="D1818" s="55">
        <f t="shared" si="28"/>
        <v>0</v>
      </c>
      <c r="E1818" s="63" t="str">
        <f>HYPERLINK("https://www.sds-group.ru/product/nakonechnik-shtiftovoy-mednyy-luzhenyy-nshml-16-5-5h14-16mm-5-5mm-v-upak-50-sht-rexant-07-8463/", "Инфо")</f>
        <v>Инфо</v>
      </c>
      <c r="F1818" s="16" t="s">
        <v>39</v>
      </c>
      <c r="G1818" s="15"/>
      <c r="H1818" s="15"/>
      <c r="I1818" s="15"/>
      <c r="J1818" s="16" t="s">
        <v>100</v>
      </c>
      <c r="K1818" s="15" t="s">
        <v>1888</v>
      </c>
      <c r="L1818" s="17">
        <v>50</v>
      </c>
      <c r="M1818" s="22">
        <v>1500</v>
      </c>
      <c r="N1818" s="17">
        <v>50</v>
      </c>
      <c r="O1818" s="18">
        <v>54.84</v>
      </c>
      <c r="P1818" s="18">
        <v>44.95</v>
      </c>
      <c r="Q1818" s="18">
        <v>46.61</v>
      </c>
      <c r="R1818" s="18">
        <v>38.200000000000003</v>
      </c>
      <c r="S1818" s="18">
        <v>37.29</v>
      </c>
      <c r="T1818" s="18">
        <v>30.57</v>
      </c>
      <c r="U1818" s="16"/>
      <c r="V1818" s="16"/>
      <c r="W1818" s="16" t="s">
        <v>40</v>
      </c>
      <c r="X1818" s="19">
        <v>4.0000000000000001E-3</v>
      </c>
      <c r="Y1818" s="20">
        <v>6.0000000000000002E-6</v>
      </c>
      <c r="Z1818" s="21">
        <v>4601004192140</v>
      </c>
    </row>
    <row r="1819" spans="1:26" ht="12" customHeight="1" outlineLevel="4" x14ac:dyDescent="0.2">
      <c r="A1819" s="14" t="s">
        <v>3591</v>
      </c>
      <c r="B1819" s="26" t="s">
        <v>3592</v>
      </c>
      <c r="C1819" s="52"/>
      <c r="D1819" s="55">
        <f t="shared" si="28"/>
        <v>0</v>
      </c>
      <c r="E1819" s="63" t="str">
        <f>HYPERLINK("https://www.sds-group.ru/product/nakonechnik-shtiftovoy-mednyy-luzhenyy-nshml-16-7h14-16mm-7mm-v-upak-50-sht-rexant-07-8464/", "Инфо")</f>
        <v>Инфо</v>
      </c>
      <c r="F1819" s="16" t="s">
        <v>39</v>
      </c>
      <c r="G1819" s="15"/>
      <c r="H1819" s="15"/>
      <c r="I1819" s="15"/>
      <c r="J1819" s="16" t="s">
        <v>100</v>
      </c>
      <c r="K1819" s="15" t="s">
        <v>1888</v>
      </c>
      <c r="L1819" s="17">
        <v>50</v>
      </c>
      <c r="M1819" s="17">
        <v>50</v>
      </c>
      <c r="N1819" s="17">
        <v>50</v>
      </c>
      <c r="O1819" s="18">
        <v>54.75</v>
      </c>
      <c r="P1819" s="18">
        <v>44.88</v>
      </c>
      <c r="Q1819" s="18">
        <v>46.54</v>
      </c>
      <c r="R1819" s="18">
        <v>38.15</v>
      </c>
      <c r="S1819" s="18">
        <v>37.229999999999997</v>
      </c>
      <c r="T1819" s="18">
        <v>30.52</v>
      </c>
      <c r="U1819" s="16"/>
      <c r="V1819" s="16"/>
      <c r="W1819" s="16" t="s">
        <v>40</v>
      </c>
      <c r="X1819" s="19">
        <v>4.0000000000000001E-3</v>
      </c>
      <c r="Y1819" s="20">
        <v>1.4E-5</v>
      </c>
      <c r="Z1819" s="21">
        <v>4601004192157</v>
      </c>
    </row>
    <row r="1820" spans="1:26" ht="12" customHeight="1" outlineLevel="4" x14ac:dyDescent="0.2">
      <c r="A1820" s="14" t="s">
        <v>3593</v>
      </c>
      <c r="B1820" s="26" t="s">
        <v>3594</v>
      </c>
      <c r="C1820" s="52"/>
      <c r="D1820" s="55">
        <f t="shared" si="28"/>
        <v>0</v>
      </c>
      <c r="E1820" s="63" t="str">
        <f>HYPERLINK("https://www.sds-group.ru/product/nakonechnik-shtiftovoy-mednyy-luzhenyy-nshml-25-7h15-25mm-7mm-v-upak-25-sht-rexant-07-8465/", "Инфо")</f>
        <v>Инфо</v>
      </c>
      <c r="F1820" s="16" t="s">
        <v>39</v>
      </c>
      <c r="G1820" s="15"/>
      <c r="H1820" s="15"/>
      <c r="I1820" s="15"/>
      <c r="J1820" s="22">
        <v>8250</v>
      </c>
      <c r="K1820" s="15"/>
      <c r="L1820" s="17">
        <v>25</v>
      </c>
      <c r="M1820" s="22">
        <v>1200</v>
      </c>
      <c r="N1820" s="17">
        <v>25</v>
      </c>
      <c r="O1820" s="18">
        <v>86.43</v>
      </c>
      <c r="P1820" s="18">
        <v>70.84</v>
      </c>
      <c r="Q1820" s="18">
        <v>73.47</v>
      </c>
      <c r="R1820" s="18">
        <v>60.22</v>
      </c>
      <c r="S1820" s="18">
        <v>58.77</v>
      </c>
      <c r="T1820" s="18">
        <v>48.17</v>
      </c>
      <c r="U1820" s="16"/>
      <c r="V1820" s="16"/>
      <c r="W1820" s="16" t="s">
        <v>40</v>
      </c>
      <c r="X1820" s="19">
        <v>6.0000000000000001E-3</v>
      </c>
      <c r="Y1820" s="20">
        <v>1.2999999999999999E-5</v>
      </c>
      <c r="Z1820" s="21">
        <v>4601004191877</v>
      </c>
    </row>
    <row r="1821" spans="1:26" ht="12" customHeight="1" outlineLevel="4" x14ac:dyDescent="0.2">
      <c r="A1821" s="14" t="s">
        <v>3595</v>
      </c>
      <c r="B1821" s="26" t="s">
        <v>3596</v>
      </c>
      <c r="C1821" s="52"/>
      <c r="D1821" s="55">
        <f t="shared" si="28"/>
        <v>0</v>
      </c>
      <c r="E1821" s="63" t="str">
        <f>HYPERLINK("https://www.sds-group.ru/product/nakonechnik-shtiftovoy-mednyy-luzhenyy-nshml-35-7h20-35mm-7mm-v-upak-25-sht-rexant-07-8466/", "Инфо")</f>
        <v>Инфо</v>
      </c>
      <c r="F1821" s="16" t="s">
        <v>39</v>
      </c>
      <c r="G1821" s="15"/>
      <c r="H1821" s="15"/>
      <c r="I1821" s="15"/>
      <c r="J1821" s="16" t="s">
        <v>100</v>
      </c>
      <c r="K1821" s="15" t="s">
        <v>1408</v>
      </c>
      <c r="L1821" s="17">
        <v>25</v>
      </c>
      <c r="M1821" s="22">
        <v>1000</v>
      </c>
      <c r="N1821" s="17">
        <v>25</v>
      </c>
      <c r="O1821" s="18">
        <v>148.88</v>
      </c>
      <c r="P1821" s="18">
        <v>122.03</v>
      </c>
      <c r="Q1821" s="18">
        <v>126.55</v>
      </c>
      <c r="R1821" s="18">
        <v>103.73</v>
      </c>
      <c r="S1821" s="18">
        <v>101.24</v>
      </c>
      <c r="T1821" s="18">
        <v>82.98</v>
      </c>
      <c r="U1821" s="16"/>
      <c r="V1821" s="16"/>
      <c r="W1821" s="16" t="s">
        <v>40</v>
      </c>
      <c r="X1821" s="19">
        <v>0.01</v>
      </c>
      <c r="Y1821" s="20">
        <v>1.9000000000000001E-5</v>
      </c>
      <c r="Z1821" s="21">
        <v>4601004191884</v>
      </c>
    </row>
    <row r="1822" spans="1:26" ht="12" customHeight="1" outlineLevel="4" x14ac:dyDescent="0.2">
      <c r="A1822" s="14" t="s">
        <v>3597</v>
      </c>
      <c r="B1822" s="26" t="s">
        <v>3598</v>
      </c>
      <c r="C1822" s="52"/>
      <c r="D1822" s="55">
        <f t="shared" si="28"/>
        <v>0</v>
      </c>
      <c r="E1822" s="63" t="str">
        <f>HYPERLINK("https://www.sds-group.ru/product/nakonechnik-shtiftovoy-mednyy-luzhenyy-nshml-50-7h20-50mm-7mm-v-upak-10-sht-rexant-07-8467/", "Инфо")</f>
        <v>Инфо</v>
      </c>
      <c r="F1822" s="16" t="s">
        <v>39</v>
      </c>
      <c r="G1822" s="15"/>
      <c r="H1822" s="15"/>
      <c r="I1822" s="15"/>
      <c r="J1822" s="22">
        <v>1600</v>
      </c>
      <c r="K1822" s="15" t="s">
        <v>1408</v>
      </c>
      <c r="L1822" s="17">
        <v>10</v>
      </c>
      <c r="M1822" s="17">
        <v>800</v>
      </c>
      <c r="N1822" s="17">
        <v>10</v>
      </c>
      <c r="O1822" s="18">
        <v>218.08</v>
      </c>
      <c r="P1822" s="18">
        <v>178.75</v>
      </c>
      <c r="Q1822" s="18">
        <v>185.37</v>
      </c>
      <c r="R1822" s="18">
        <v>151.94</v>
      </c>
      <c r="S1822" s="18">
        <v>148.29</v>
      </c>
      <c r="T1822" s="18">
        <v>121.55</v>
      </c>
      <c r="U1822" s="16"/>
      <c r="V1822" s="16"/>
      <c r="W1822" s="16" t="s">
        <v>40</v>
      </c>
      <c r="X1822" s="19">
        <v>1.4999999999999999E-2</v>
      </c>
      <c r="Y1822" s="20">
        <v>3.1999999999999999E-5</v>
      </c>
      <c r="Z1822" s="21">
        <v>4601004191501</v>
      </c>
    </row>
    <row r="1823" spans="1:26" ht="12" customHeight="1" outlineLevel="4" x14ac:dyDescent="0.2">
      <c r="A1823" s="14" t="s">
        <v>3599</v>
      </c>
      <c r="B1823" s="26" t="s">
        <v>3600</v>
      </c>
      <c r="C1823" s="52"/>
      <c r="D1823" s="55">
        <f t="shared" si="28"/>
        <v>0</v>
      </c>
      <c r="E1823" s="63" t="str">
        <f>HYPERLINK("https://www.sds-group.ru/product/nakonechnik-shtiftovoy-mednyy-luzhenyy-nshml-6-5-5h12-6mm-5-5mm-v-upak-50-sht-rexant-07-8460/", "Инфо")</f>
        <v>Инфо</v>
      </c>
      <c r="F1823" s="16" t="s">
        <v>39</v>
      </c>
      <c r="G1823" s="15"/>
      <c r="H1823" s="15"/>
      <c r="I1823" s="15"/>
      <c r="J1823" s="16" t="s">
        <v>100</v>
      </c>
      <c r="K1823" s="15" t="s">
        <v>1408</v>
      </c>
      <c r="L1823" s="17">
        <v>50</v>
      </c>
      <c r="M1823" s="22">
        <v>3500</v>
      </c>
      <c r="N1823" s="17">
        <v>50</v>
      </c>
      <c r="O1823" s="18">
        <v>23.88</v>
      </c>
      <c r="P1823" s="18">
        <v>19.57</v>
      </c>
      <c r="Q1823" s="18">
        <v>20.3</v>
      </c>
      <c r="R1823" s="18">
        <v>16.64</v>
      </c>
      <c r="S1823" s="18">
        <v>16.239999999999998</v>
      </c>
      <c r="T1823" s="18">
        <v>13.31</v>
      </c>
      <c r="U1823" s="16"/>
      <c r="V1823" s="16"/>
      <c r="W1823" s="16" t="s">
        <v>40</v>
      </c>
      <c r="X1823" s="19">
        <v>2E-3</v>
      </c>
      <c r="Y1823" s="20">
        <v>7.9999999999999996E-6</v>
      </c>
      <c r="Z1823" s="21">
        <v>4601004192119</v>
      </c>
    </row>
    <row r="1824" spans="1:26" ht="12.95" customHeight="1" outlineLevel="3" x14ac:dyDescent="0.2">
      <c r="A1824" s="76" t="s">
        <v>3601</v>
      </c>
      <c r="B1824" s="76"/>
      <c r="C1824" s="77"/>
      <c r="D1824" s="58"/>
      <c r="E1824" s="68"/>
      <c r="F1824" s="13"/>
      <c r="G1824" s="13"/>
      <c r="H1824" s="13"/>
      <c r="I1824" s="13"/>
      <c r="J1824" s="13"/>
      <c r="K1824" s="13"/>
      <c r="L1824" s="13"/>
      <c r="M1824" s="13"/>
      <c r="N1824" s="13"/>
      <c r="O1824" s="13"/>
      <c r="P1824" s="13"/>
      <c r="Q1824" s="13"/>
      <c r="R1824" s="13"/>
      <c r="S1824" s="13"/>
      <c r="T1824" s="13"/>
      <c r="U1824" s="13"/>
      <c r="V1824" s="13"/>
      <c r="W1824" s="13"/>
      <c r="X1824" s="13"/>
      <c r="Y1824" s="13"/>
      <c r="Z1824" s="13"/>
    </row>
    <row r="1825" spans="1:26" ht="12" customHeight="1" outlineLevel="4" x14ac:dyDescent="0.2">
      <c r="A1825" s="14" t="s">
        <v>3602</v>
      </c>
      <c r="B1825" s="26" t="s">
        <v>3603</v>
      </c>
      <c r="C1825" s="52"/>
      <c r="D1825" s="55">
        <f t="shared" si="28"/>
        <v>0</v>
      </c>
      <c r="E1825" s="63" t="str">
        <f>HYPERLINK("https://www.sds-group.ru/product/gilza-kabelnaya-gml-95-15-95mm-sup2-oslash-15mm-gost-23469-3-79-v-upak-25sht-rexant-25583/", "Инфо")</f>
        <v>Инфо</v>
      </c>
      <c r="F1825" s="16" t="s">
        <v>39</v>
      </c>
      <c r="G1825" s="15"/>
      <c r="H1825" s="15"/>
      <c r="I1825" s="15" t="s">
        <v>3535</v>
      </c>
      <c r="J1825" s="17">
        <v>100</v>
      </c>
      <c r="K1825" s="15"/>
      <c r="L1825" s="17">
        <v>25</v>
      </c>
      <c r="M1825" s="17">
        <v>200</v>
      </c>
      <c r="N1825" s="17">
        <v>25</v>
      </c>
      <c r="O1825" s="18">
        <v>377.78</v>
      </c>
      <c r="P1825" s="18">
        <v>309.66000000000003</v>
      </c>
      <c r="Q1825" s="18">
        <v>321.11</v>
      </c>
      <c r="R1825" s="18">
        <v>263.2</v>
      </c>
      <c r="S1825" s="18">
        <v>256.89</v>
      </c>
      <c r="T1825" s="18">
        <v>210.57</v>
      </c>
      <c r="U1825" s="16"/>
      <c r="V1825" s="16"/>
      <c r="W1825" s="16" t="s">
        <v>40</v>
      </c>
      <c r="X1825" s="19">
        <v>6.4000000000000001E-2</v>
      </c>
      <c r="Y1825" s="20">
        <v>8.0000000000000007E-5</v>
      </c>
      <c r="Z1825" s="21">
        <v>4601004342217</v>
      </c>
    </row>
    <row r="1826" spans="1:26" ht="12" customHeight="1" outlineLevel="4" x14ac:dyDescent="0.2">
      <c r="A1826" s="14" t="s">
        <v>3604</v>
      </c>
      <c r="B1826" s="26" t="s">
        <v>3605</v>
      </c>
      <c r="C1826" s="52"/>
      <c r="D1826" s="55">
        <f t="shared" si="28"/>
        <v>0</v>
      </c>
      <c r="E1826" s="63" t="str">
        <f>HYPERLINK("https://www.sds-group.ru/product/gilza-mednaya-luzhenaya-gml-10-5-10mm-5mm-gost-23469-3-79-v-upak-100-sht-rexant-07-5354-2/", "Инфо")</f>
        <v>Инфо</v>
      </c>
      <c r="F1826" s="16" t="s">
        <v>39</v>
      </c>
      <c r="G1826" s="15"/>
      <c r="H1826" s="15"/>
      <c r="I1826" s="15"/>
      <c r="J1826" s="16" t="s">
        <v>100</v>
      </c>
      <c r="K1826" s="15" t="s">
        <v>1408</v>
      </c>
      <c r="L1826" s="17">
        <v>100</v>
      </c>
      <c r="M1826" s="22">
        <v>1500</v>
      </c>
      <c r="N1826" s="17">
        <v>100</v>
      </c>
      <c r="O1826" s="18">
        <v>55.65</v>
      </c>
      <c r="P1826" s="18">
        <v>45.61</v>
      </c>
      <c r="Q1826" s="18">
        <v>47.3</v>
      </c>
      <c r="R1826" s="18">
        <v>38.770000000000003</v>
      </c>
      <c r="S1826" s="18">
        <v>37.840000000000003</v>
      </c>
      <c r="T1826" s="18">
        <v>31.02</v>
      </c>
      <c r="U1826" s="16"/>
      <c r="V1826" s="16"/>
      <c r="W1826" s="16" t="s">
        <v>40</v>
      </c>
      <c r="X1826" s="19">
        <v>6.0000000000000001E-3</v>
      </c>
      <c r="Y1826" s="20">
        <v>5.0000000000000004E-6</v>
      </c>
      <c r="Z1826" s="21">
        <v>4601004195073</v>
      </c>
    </row>
    <row r="1827" spans="1:26" ht="12" customHeight="1" outlineLevel="4" x14ac:dyDescent="0.2">
      <c r="A1827" s="14" t="s">
        <v>3606</v>
      </c>
      <c r="B1827" s="26" t="s">
        <v>3607</v>
      </c>
      <c r="C1827" s="52"/>
      <c r="D1827" s="55">
        <f t="shared" si="28"/>
        <v>0</v>
      </c>
      <c r="E1827" s="63" t="str">
        <f>HYPERLINK("https://www.sds-group.ru/product/gilza-mednaya-luzhenaya-gml-10-5-10mm-5mm-gost-23469-3-79-v-upak-5-sht-rexant-07-5354/", "Инфо")</f>
        <v>Инфо</v>
      </c>
      <c r="F1827" s="16" t="s">
        <v>39</v>
      </c>
      <c r="G1827" s="15"/>
      <c r="H1827" s="15"/>
      <c r="I1827" s="15"/>
      <c r="J1827" s="16" t="s">
        <v>100</v>
      </c>
      <c r="K1827" s="15"/>
      <c r="L1827" s="17">
        <v>10</v>
      </c>
      <c r="M1827" s="17">
        <v>500</v>
      </c>
      <c r="N1827" s="17">
        <v>10</v>
      </c>
      <c r="O1827" s="18">
        <v>56.96</v>
      </c>
      <c r="P1827" s="18">
        <v>46.69</v>
      </c>
      <c r="Q1827" s="18">
        <v>48.42</v>
      </c>
      <c r="R1827" s="18">
        <v>39.69</v>
      </c>
      <c r="S1827" s="18">
        <v>38.729999999999997</v>
      </c>
      <c r="T1827" s="18">
        <v>31.75</v>
      </c>
      <c r="U1827" s="16"/>
      <c r="V1827" s="16"/>
      <c r="W1827" s="16" t="s">
        <v>40</v>
      </c>
      <c r="X1827" s="19">
        <v>7.0000000000000001E-3</v>
      </c>
      <c r="Y1827" s="20">
        <v>4.6999999999999997E-5</v>
      </c>
      <c r="Z1827" s="21">
        <v>4601004137165</v>
      </c>
    </row>
    <row r="1828" spans="1:26" ht="12" customHeight="1" outlineLevel="4" x14ac:dyDescent="0.2">
      <c r="A1828" s="14" t="s">
        <v>3608</v>
      </c>
      <c r="B1828" s="26" t="s">
        <v>3609</v>
      </c>
      <c r="C1828" s="52"/>
      <c r="D1828" s="55">
        <f t="shared" si="28"/>
        <v>0</v>
      </c>
      <c r="E1828" s="63" t="str">
        <f>HYPERLINK("https://www.sds-group.ru/product/gilza-mednaya-luzhenaya-gml-16-6-16mm-6mm-gost-23469-3-79-v-upak-100-sht-rexant-07-5355-2/", "Инфо")</f>
        <v>Инфо</v>
      </c>
      <c r="F1828" s="16" t="s">
        <v>39</v>
      </c>
      <c r="G1828" s="15"/>
      <c r="H1828" s="15"/>
      <c r="I1828" s="15"/>
      <c r="J1828" s="17">
        <v>300</v>
      </c>
      <c r="K1828" s="15" t="s">
        <v>1888</v>
      </c>
      <c r="L1828" s="17">
        <v>100</v>
      </c>
      <c r="M1828" s="22">
        <v>1300</v>
      </c>
      <c r="N1828" s="17">
        <v>100</v>
      </c>
      <c r="O1828" s="18">
        <v>53.66</v>
      </c>
      <c r="P1828" s="18">
        <v>43.98</v>
      </c>
      <c r="Q1828" s="18">
        <v>45.61</v>
      </c>
      <c r="R1828" s="18">
        <v>37.39</v>
      </c>
      <c r="S1828" s="18">
        <v>36.49</v>
      </c>
      <c r="T1828" s="18">
        <v>29.91</v>
      </c>
      <c r="U1828" s="16"/>
      <c r="V1828" s="16"/>
      <c r="W1828" s="16" t="s">
        <v>40</v>
      </c>
      <c r="X1828" s="19">
        <v>7.0000000000000001E-3</v>
      </c>
      <c r="Y1828" s="20">
        <v>5.0000000000000004E-6</v>
      </c>
      <c r="Z1828" s="21">
        <v>4601004195080</v>
      </c>
    </row>
    <row r="1829" spans="1:26" ht="12" customHeight="1" outlineLevel="4" x14ac:dyDescent="0.2">
      <c r="A1829" s="14" t="s">
        <v>3610</v>
      </c>
      <c r="B1829" s="26" t="s">
        <v>3611</v>
      </c>
      <c r="C1829" s="52"/>
      <c r="D1829" s="55">
        <f t="shared" si="28"/>
        <v>0</v>
      </c>
      <c r="E1829" s="63" t="str">
        <f>HYPERLINK("https://www.sds-group.ru/product/gilza-mednaya-luzhenaya-gml-2-5-2-6-2-5mm-2-6mm-gost-23469-3-79-v-upak-100-sht-rexant-07-5351-2/", "Инфо")</f>
        <v>Инфо</v>
      </c>
      <c r="F1829" s="16" t="s">
        <v>39</v>
      </c>
      <c r="G1829" s="15"/>
      <c r="H1829" s="15"/>
      <c r="I1829" s="15"/>
      <c r="J1829" s="16" t="s">
        <v>100</v>
      </c>
      <c r="K1829" s="15" t="s">
        <v>1888</v>
      </c>
      <c r="L1829" s="17">
        <v>100</v>
      </c>
      <c r="M1829" s="22">
        <v>5000</v>
      </c>
      <c r="N1829" s="17">
        <v>100</v>
      </c>
      <c r="O1829" s="18">
        <v>16.63</v>
      </c>
      <c r="P1829" s="18">
        <v>13.63</v>
      </c>
      <c r="Q1829" s="18">
        <v>14.14</v>
      </c>
      <c r="R1829" s="18">
        <v>11.59</v>
      </c>
      <c r="S1829" s="18">
        <v>11.31</v>
      </c>
      <c r="T1829" s="18">
        <v>9.27</v>
      </c>
      <c r="U1829" s="16"/>
      <c r="V1829" s="16"/>
      <c r="W1829" s="16" t="s">
        <v>40</v>
      </c>
      <c r="X1829" s="19">
        <v>2E-3</v>
      </c>
      <c r="Y1829" s="20">
        <v>3.9999999999999998E-6</v>
      </c>
      <c r="Z1829" s="21">
        <v>4601004195660</v>
      </c>
    </row>
    <row r="1830" spans="1:26" ht="12" customHeight="1" outlineLevel="4" x14ac:dyDescent="0.2">
      <c r="A1830" s="14" t="s">
        <v>3612</v>
      </c>
      <c r="B1830" s="26" t="s">
        <v>3613</v>
      </c>
      <c r="C1830" s="52"/>
      <c r="D1830" s="55">
        <f t="shared" si="28"/>
        <v>0</v>
      </c>
      <c r="E1830" s="63" t="str">
        <f>HYPERLINK("https://www.sds-group.ru/product/gilza-kabelnaya-mednaya-lujenaya-gml-25-7-25mm-sup2-oslash-7mm-gost-23469-3-79-v-upak-100-sht-rexant-25263/", "Инфо")</f>
        <v>Инфо</v>
      </c>
      <c r="F1830" s="16" t="s">
        <v>39</v>
      </c>
      <c r="G1830" s="15"/>
      <c r="H1830" s="15"/>
      <c r="I1830" s="15" t="s">
        <v>3555</v>
      </c>
      <c r="J1830" s="22">
        <v>2400</v>
      </c>
      <c r="K1830" s="15"/>
      <c r="L1830" s="17">
        <v>100</v>
      </c>
      <c r="M1830" s="17">
        <v>200</v>
      </c>
      <c r="N1830" s="17">
        <v>100</v>
      </c>
      <c r="O1830" s="18">
        <v>105.01</v>
      </c>
      <c r="P1830" s="18">
        <v>86.07</v>
      </c>
      <c r="Q1830" s="18">
        <v>89.26</v>
      </c>
      <c r="R1830" s="18">
        <v>73.16</v>
      </c>
      <c r="S1830" s="18">
        <v>71.41</v>
      </c>
      <c r="T1830" s="18">
        <v>58.53</v>
      </c>
      <c r="U1830" s="16"/>
      <c r="V1830" s="16"/>
      <c r="W1830" s="16" t="s">
        <v>40</v>
      </c>
      <c r="X1830" s="19">
        <v>1.6E-2</v>
      </c>
      <c r="Y1830" s="20">
        <v>2.0000000000000002E-5</v>
      </c>
      <c r="Z1830" s="21">
        <v>4601004190726</v>
      </c>
    </row>
    <row r="1831" spans="1:26" ht="12" customHeight="1" outlineLevel="4" x14ac:dyDescent="0.2">
      <c r="A1831" s="14" t="s">
        <v>3614</v>
      </c>
      <c r="B1831" s="26" t="s">
        <v>3615</v>
      </c>
      <c r="C1831" s="52"/>
      <c r="D1831" s="55">
        <f t="shared" si="28"/>
        <v>0</v>
      </c>
      <c r="E1831" s="63" t="str">
        <f>HYPERLINK("https://www.sds-group.ru/product/gilza-mednaya-luzhenaya-gml-25-8-25mm-8mm-gost-23469-3-79-v-upak-100-sht-rexant-07-5356-2/", "Инфо")</f>
        <v>Инфо</v>
      </c>
      <c r="F1831" s="16" t="s">
        <v>39</v>
      </c>
      <c r="G1831" s="15"/>
      <c r="H1831" s="15"/>
      <c r="I1831" s="15"/>
      <c r="J1831" s="22">
        <v>2093</v>
      </c>
      <c r="K1831" s="15"/>
      <c r="L1831" s="17">
        <v>100</v>
      </c>
      <c r="M1831" s="17">
        <v>800</v>
      </c>
      <c r="N1831" s="17">
        <v>100</v>
      </c>
      <c r="O1831" s="18">
        <v>94.29</v>
      </c>
      <c r="P1831" s="18">
        <v>77.290000000000006</v>
      </c>
      <c r="Q1831" s="18">
        <v>80.150000000000006</v>
      </c>
      <c r="R1831" s="18">
        <v>65.7</v>
      </c>
      <c r="S1831" s="18">
        <v>64.12</v>
      </c>
      <c r="T1831" s="18">
        <v>52.56</v>
      </c>
      <c r="U1831" s="16"/>
      <c r="V1831" s="16"/>
      <c r="W1831" s="16" t="s">
        <v>40</v>
      </c>
      <c r="X1831" s="19">
        <v>1.2E-2</v>
      </c>
      <c r="Y1831" s="20">
        <v>6.0000000000000002E-6</v>
      </c>
      <c r="Z1831" s="21">
        <v>4601004195097</v>
      </c>
    </row>
    <row r="1832" spans="1:26" ht="12" customHeight="1" outlineLevel="4" x14ac:dyDescent="0.2">
      <c r="A1832" s="14" t="s">
        <v>3616</v>
      </c>
      <c r="B1832" s="26" t="s">
        <v>3617</v>
      </c>
      <c r="C1832" s="52"/>
      <c r="D1832" s="55">
        <f t="shared" si="28"/>
        <v>0</v>
      </c>
      <c r="E1832" s="63" t="str">
        <f>HYPERLINK("https://www.sds-group.ru/product/gilza-mednaya-luzhenaya-gml-25-8-25mm-8mm-gost-23469-3-79-v-upak-5-sht-rexant-07-5356/", "Инфо")</f>
        <v>Инфо</v>
      </c>
      <c r="F1832" s="16" t="s">
        <v>39</v>
      </c>
      <c r="G1832" s="15"/>
      <c r="H1832" s="15"/>
      <c r="I1832" s="15"/>
      <c r="J1832" s="16" t="s">
        <v>100</v>
      </c>
      <c r="K1832" s="15"/>
      <c r="L1832" s="17">
        <v>10</v>
      </c>
      <c r="M1832" s="17">
        <v>500</v>
      </c>
      <c r="N1832" s="17">
        <v>10</v>
      </c>
      <c r="O1832" s="18">
        <v>103.32</v>
      </c>
      <c r="P1832" s="18">
        <v>84.69</v>
      </c>
      <c r="Q1832" s="18">
        <v>87.82</v>
      </c>
      <c r="R1832" s="18">
        <v>71.98</v>
      </c>
      <c r="S1832" s="18">
        <v>70.260000000000005</v>
      </c>
      <c r="T1832" s="18">
        <v>57.59</v>
      </c>
      <c r="U1832" s="16"/>
      <c r="V1832" s="16"/>
      <c r="W1832" s="16" t="s">
        <v>40</v>
      </c>
      <c r="X1832" s="19">
        <v>1.2999999999999999E-2</v>
      </c>
      <c r="Y1832" s="20">
        <v>4.3000000000000002E-5</v>
      </c>
      <c r="Z1832" s="21">
        <v>4601004137240</v>
      </c>
    </row>
    <row r="1833" spans="1:26" ht="12" customHeight="1" outlineLevel="4" x14ac:dyDescent="0.2">
      <c r="A1833" s="14" t="s">
        <v>3618</v>
      </c>
      <c r="B1833" s="26" t="s">
        <v>3619</v>
      </c>
      <c r="C1833" s="52"/>
      <c r="D1833" s="55">
        <f t="shared" si="28"/>
        <v>0</v>
      </c>
      <c r="E1833" s="63" t="str">
        <f>HYPERLINK("https://www.sds-group.ru/product/gilza-mednaya-luzhenaya-gml-35-10-35mm-10mm-gost-23469-3-79-v-upak-5-sht-rexant-07-5357/", "Инфо")</f>
        <v>Инфо</v>
      </c>
      <c r="F1833" s="16" t="s">
        <v>39</v>
      </c>
      <c r="G1833" s="15"/>
      <c r="H1833" s="15"/>
      <c r="I1833" s="15"/>
      <c r="J1833" s="17">
        <v>730</v>
      </c>
      <c r="K1833" s="15"/>
      <c r="L1833" s="17">
        <v>10</v>
      </c>
      <c r="M1833" s="17">
        <v>250</v>
      </c>
      <c r="N1833" s="17">
        <v>10</v>
      </c>
      <c r="O1833" s="18">
        <v>147.38999999999999</v>
      </c>
      <c r="P1833" s="18">
        <v>120.81</v>
      </c>
      <c r="Q1833" s="18">
        <v>125.28</v>
      </c>
      <c r="R1833" s="18">
        <v>102.69</v>
      </c>
      <c r="S1833" s="18">
        <v>100.23</v>
      </c>
      <c r="T1833" s="18">
        <v>82.16</v>
      </c>
      <c r="U1833" s="16"/>
      <c r="V1833" s="16"/>
      <c r="W1833" s="16" t="s">
        <v>40</v>
      </c>
      <c r="X1833" s="19">
        <v>1.9E-2</v>
      </c>
      <c r="Y1833" s="20">
        <v>5.1999999999999997E-5</v>
      </c>
      <c r="Z1833" s="21">
        <v>4601004137189</v>
      </c>
    </row>
    <row r="1834" spans="1:26" ht="12" customHeight="1" outlineLevel="4" x14ac:dyDescent="0.2">
      <c r="A1834" s="14" t="s">
        <v>3620</v>
      </c>
      <c r="B1834" s="26" t="s">
        <v>3621</v>
      </c>
      <c r="C1834" s="52"/>
      <c r="D1834" s="55">
        <f t="shared" si="28"/>
        <v>0</v>
      </c>
      <c r="E1834" s="63" t="str">
        <f>HYPERLINK("https://www.sds-group.ru/product/gilza-mednaya-luzhenaya-gml-35-10-35mm-10mm-gost-23469-3-79-v-upak-50-sht-rexant-07-5357-2/", "Инфо")</f>
        <v>Инфо</v>
      </c>
      <c r="F1834" s="16" t="s">
        <v>39</v>
      </c>
      <c r="G1834" s="15"/>
      <c r="H1834" s="15"/>
      <c r="I1834" s="15"/>
      <c r="J1834" s="22">
        <v>1600</v>
      </c>
      <c r="K1834" s="15"/>
      <c r="L1834" s="17">
        <v>50</v>
      </c>
      <c r="M1834" s="17">
        <v>500</v>
      </c>
      <c r="N1834" s="17">
        <v>50</v>
      </c>
      <c r="O1834" s="18">
        <v>133.66999999999999</v>
      </c>
      <c r="P1834" s="18">
        <v>109.57</v>
      </c>
      <c r="Q1834" s="18">
        <v>113.62</v>
      </c>
      <c r="R1834" s="18">
        <v>93.13</v>
      </c>
      <c r="S1834" s="18">
        <v>90.9</v>
      </c>
      <c r="T1834" s="18">
        <v>74.510000000000005</v>
      </c>
      <c r="U1834" s="16"/>
      <c r="V1834" s="16"/>
      <c r="W1834" s="16" t="s">
        <v>40</v>
      </c>
      <c r="X1834" s="19">
        <v>1.7999999999999999E-2</v>
      </c>
      <c r="Y1834" s="20">
        <v>1.5E-5</v>
      </c>
      <c r="Z1834" s="21">
        <v>4601004195103</v>
      </c>
    </row>
    <row r="1835" spans="1:26" ht="12" customHeight="1" outlineLevel="4" x14ac:dyDescent="0.2">
      <c r="A1835" s="14" t="s">
        <v>3622</v>
      </c>
      <c r="B1835" s="26" t="s">
        <v>3623</v>
      </c>
      <c r="C1835" s="52"/>
      <c r="D1835" s="55">
        <f t="shared" si="28"/>
        <v>0</v>
      </c>
      <c r="E1835" s="63" t="str">
        <f>HYPERLINK("https://www.sds-group.ru/product/gilza-mednaya-luzhenaya-gml-35-9-35mm-9mm-gost-23469-3-79-v-upak-50-sht-rexant-07-5366/", "Инфо")</f>
        <v>Инфо</v>
      </c>
      <c r="F1835" s="16" t="s">
        <v>39</v>
      </c>
      <c r="G1835" s="15"/>
      <c r="H1835" s="15"/>
      <c r="I1835" s="15"/>
      <c r="J1835" s="17">
        <v>500</v>
      </c>
      <c r="K1835" s="15" t="s">
        <v>1408</v>
      </c>
      <c r="L1835" s="17">
        <v>50</v>
      </c>
      <c r="M1835" s="17">
        <v>300</v>
      </c>
      <c r="N1835" s="17">
        <v>50</v>
      </c>
      <c r="O1835" s="18">
        <v>132.03</v>
      </c>
      <c r="P1835" s="18">
        <v>108.22</v>
      </c>
      <c r="Q1835" s="18">
        <v>112.23</v>
      </c>
      <c r="R1835" s="18">
        <v>91.99</v>
      </c>
      <c r="S1835" s="18">
        <v>89.78</v>
      </c>
      <c r="T1835" s="18">
        <v>73.59</v>
      </c>
      <c r="U1835" s="16"/>
      <c r="V1835" s="16"/>
      <c r="W1835" s="16" t="s">
        <v>40</v>
      </c>
      <c r="X1835" s="19">
        <v>1.6E-2</v>
      </c>
      <c r="Y1835" s="20">
        <v>2.0999999999999999E-5</v>
      </c>
      <c r="Z1835" s="21">
        <v>4601004192386</v>
      </c>
    </row>
    <row r="1836" spans="1:26" ht="12" customHeight="1" outlineLevel="4" x14ac:dyDescent="0.2">
      <c r="A1836" s="14" t="s">
        <v>3624</v>
      </c>
      <c r="B1836" s="26" t="s">
        <v>3625</v>
      </c>
      <c r="C1836" s="52"/>
      <c r="D1836" s="55">
        <f t="shared" si="28"/>
        <v>0</v>
      </c>
      <c r="E1836" s="63" t="str">
        <f>HYPERLINK("https://www.sds-group.ru/product/gilza-mednaya-luzhenaya-gml-4-3-4mm-3mm-gost-23469-3-79-v-upak-10-sht-rexant-07-5352/", "Инфо")</f>
        <v>Инфо</v>
      </c>
      <c r="F1836" s="16" t="s">
        <v>39</v>
      </c>
      <c r="G1836" s="15"/>
      <c r="H1836" s="15"/>
      <c r="I1836" s="15"/>
      <c r="J1836" s="22">
        <v>5900</v>
      </c>
      <c r="K1836" s="15"/>
      <c r="L1836" s="17">
        <v>10</v>
      </c>
      <c r="M1836" s="22">
        <v>1000</v>
      </c>
      <c r="N1836" s="17">
        <v>10</v>
      </c>
      <c r="O1836" s="18">
        <v>27.49</v>
      </c>
      <c r="P1836" s="18">
        <v>22.53</v>
      </c>
      <c r="Q1836" s="18">
        <v>23.37</v>
      </c>
      <c r="R1836" s="18">
        <v>19.16</v>
      </c>
      <c r="S1836" s="18">
        <v>18.690000000000001</v>
      </c>
      <c r="T1836" s="18">
        <v>15.32</v>
      </c>
      <c r="U1836" s="16"/>
      <c r="V1836" s="16"/>
      <c r="W1836" s="16" t="s">
        <v>40</v>
      </c>
      <c r="X1836" s="19">
        <v>2E-3</v>
      </c>
      <c r="Y1836" s="20">
        <v>9.0000000000000002E-6</v>
      </c>
      <c r="Z1836" s="21">
        <v>4601004137424</v>
      </c>
    </row>
    <row r="1837" spans="1:26" ht="12" customHeight="1" outlineLevel="4" x14ac:dyDescent="0.2">
      <c r="A1837" s="14" t="s">
        <v>3626</v>
      </c>
      <c r="B1837" s="26" t="s">
        <v>3627</v>
      </c>
      <c r="C1837" s="52"/>
      <c r="D1837" s="55">
        <f t="shared" si="28"/>
        <v>0</v>
      </c>
      <c r="E1837" s="63" t="str">
        <f>HYPERLINK("https://www.sds-group.ru/product/gilza-mednaya-luzhenaya-gml-4-3-4mm-3mm-gost-23469-3-79-v-upak-100-sht-rexant-07-5352-2/", "Инфо")</f>
        <v>Инфо</v>
      </c>
      <c r="F1837" s="16" t="s">
        <v>39</v>
      </c>
      <c r="G1837" s="15"/>
      <c r="H1837" s="15"/>
      <c r="I1837" s="15"/>
      <c r="J1837" s="17">
        <v>700</v>
      </c>
      <c r="K1837" s="15" t="s">
        <v>1888</v>
      </c>
      <c r="L1837" s="17">
        <v>100</v>
      </c>
      <c r="M1837" s="22">
        <v>4000</v>
      </c>
      <c r="N1837" s="17">
        <v>100</v>
      </c>
      <c r="O1837" s="18">
        <v>22.89</v>
      </c>
      <c r="P1837" s="18">
        <v>18.760000000000002</v>
      </c>
      <c r="Q1837" s="18">
        <v>19.46</v>
      </c>
      <c r="R1837" s="18">
        <v>15.95</v>
      </c>
      <c r="S1837" s="18">
        <v>15.57</v>
      </c>
      <c r="T1837" s="18">
        <v>12.76</v>
      </c>
      <c r="U1837" s="16"/>
      <c r="V1837" s="16"/>
      <c r="W1837" s="16" t="s">
        <v>40</v>
      </c>
      <c r="X1837" s="19">
        <v>2E-3</v>
      </c>
      <c r="Y1837" s="20">
        <v>3.0000000000000001E-6</v>
      </c>
      <c r="Z1837" s="21">
        <v>4601004195059</v>
      </c>
    </row>
    <row r="1838" spans="1:26" ht="12" customHeight="1" outlineLevel="4" x14ac:dyDescent="0.2">
      <c r="A1838" s="14" t="s">
        <v>3628</v>
      </c>
      <c r="B1838" s="26" t="s">
        <v>3629</v>
      </c>
      <c r="C1838" s="52"/>
      <c r="D1838" s="55">
        <f t="shared" si="28"/>
        <v>0</v>
      </c>
      <c r="E1838" s="63" t="str">
        <f>HYPERLINK("https://www.sds-group.ru/product/gilza-mednaya-luzhenaya-gml-50-11-50mm-11mm-gost-23469-3-79-v-upak-50-sht-rexant-07-5358-2/", "Инфо")</f>
        <v>Инфо</v>
      </c>
      <c r="F1838" s="16" t="s">
        <v>39</v>
      </c>
      <c r="G1838" s="15"/>
      <c r="H1838" s="15"/>
      <c r="I1838" s="15"/>
      <c r="J1838" s="22">
        <v>1300</v>
      </c>
      <c r="K1838" s="15" t="s">
        <v>3319</v>
      </c>
      <c r="L1838" s="17">
        <v>50</v>
      </c>
      <c r="M1838" s="17">
        <v>500</v>
      </c>
      <c r="N1838" s="17">
        <v>50</v>
      </c>
      <c r="O1838" s="18">
        <v>136.78</v>
      </c>
      <c r="P1838" s="18">
        <v>112.11</v>
      </c>
      <c r="Q1838" s="18">
        <v>95.75</v>
      </c>
      <c r="R1838" s="18">
        <v>78.48</v>
      </c>
      <c r="S1838" s="18">
        <v>93.01</v>
      </c>
      <c r="T1838" s="18">
        <v>76.239999999999995</v>
      </c>
      <c r="U1838" s="16"/>
      <c r="V1838" s="16"/>
      <c r="W1838" s="16"/>
      <c r="X1838" s="19">
        <v>0.02</v>
      </c>
      <c r="Y1838" s="20">
        <v>1.7E-5</v>
      </c>
      <c r="Z1838" s="21">
        <v>4601004195110</v>
      </c>
    </row>
    <row r="1839" spans="1:26" ht="12" customHeight="1" outlineLevel="4" x14ac:dyDescent="0.2">
      <c r="A1839" s="14" t="s">
        <v>3630</v>
      </c>
      <c r="B1839" s="26" t="s">
        <v>3631</v>
      </c>
      <c r="C1839" s="52"/>
      <c r="D1839" s="55">
        <f t="shared" si="28"/>
        <v>0</v>
      </c>
      <c r="E1839" s="63" t="str">
        <f>HYPERLINK("https://www.sds-group.ru/product/gilza-mednaya-luzhenaya-gml-6-4-6mm-4mm-gost-23469-3-79-v-upak-10-sht-rexant-07-5353/", "Инфо")</f>
        <v>Инфо</v>
      </c>
      <c r="F1839" s="16" t="s">
        <v>39</v>
      </c>
      <c r="G1839" s="15"/>
      <c r="H1839" s="15"/>
      <c r="I1839" s="15"/>
      <c r="J1839" s="22">
        <v>18840</v>
      </c>
      <c r="K1839" s="15"/>
      <c r="L1839" s="17">
        <v>10</v>
      </c>
      <c r="M1839" s="22">
        <v>1000</v>
      </c>
      <c r="N1839" s="17">
        <v>10</v>
      </c>
      <c r="O1839" s="18">
        <v>27.91</v>
      </c>
      <c r="P1839" s="18">
        <v>22.88</v>
      </c>
      <c r="Q1839" s="18">
        <v>23.72</v>
      </c>
      <c r="R1839" s="18">
        <v>19.440000000000001</v>
      </c>
      <c r="S1839" s="18">
        <v>18.98</v>
      </c>
      <c r="T1839" s="18">
        <v>15.56</v>
      </c>
      <c r="U1839" s="16"/>
      <c r="V1839" s="16"/>
      <c r="W1839" s="16" t="s">
        <v>40</v>
      </c>
      <c r="X1839" s="19">
        <v>4.0000000000000001E-3</v>
      </c>
      <c r="Y1839" s="20">
        <v>9.0000000000000002E-6</v>
      </c>
      <c r="Z1839" s="21">
        <v>4601004137431</v>
      </c>
    </row>
    <row r="1840" spans="1:26" ht="12" customHeight="1" outlineLevel="4" x14ac:dyDescent="0.2">
      <c r="A1840" s="14" t="s">
        <v>3632</v>
      </c>
      <c r="B1840" s="26" t="s">
        <v>3633</v>
      </c>
      <c r="C1840" s="52"/>
      <c r="D1840" s="55">
        <f t="shared" si="28"/>
        <v>0</v>
      </c>
      <c r="E1840" s="63" t="str">
        <f>HYPERLINK("https://www.sds-group.ru/product/gilza-mednaya-luzhenaya-gml-6-4-6mm-4mm-gost-23469-3-79-v-upak-100-sht-rexant-07-5353-2/", "Инфо")</f>
        <v>Инфо</v>
      </c>
      <c r="F1840" s="16" t="s">
        <v>39</v>
      </c>
      <c r="G1840" s="15"/>
      <c r="H1840" s="15"/>
      <c r="I1840" s="15"/>
      <c r="J1840" s="16" t="s">
        <v>100</v>
      </c>
      <c r="K1840" s="15"/>
      <c r="L1840" s="17">
        <v>100</v>
      </c>
      <c r="M1840" s="22">
        <v>3000</v>
      </c>
      <c r="N1840" s="17">
        <v>100</v>
      </c>
      <c r="O1840" s="18">
        <v>27.89</v>
      </c>
      <c r="P1840" s="18">
        <v>22.86</v>
      </c>
      <c r="Q1840" s="18">
        <v>23.71</v>
      </c>
      <c r="R1840" s="18">
        <v>19.43</v>
      </c>
      <c r="S1840" s="18">
        <v>18.97</v>
      </c>
      <c r="T1840" s="18">
        <v>15.55</v>
      </c>
      <c r="U1840" s="16"/>
      <c r="V1840" s="16"/>
      <c r="W1840" s="16" t="s">
        <v>40</v>
      </c>
      <c r="X1840" s="19">
        <v>3.0000000000000001E-3</v>
      </c>
      <c r="Y1840" s="20">
        <v>3.0000000000000001E-6</v>
      </c>
      <c r="Z1840" s="21">
        <v>4601004195066</v>
      </c>
    </row>
    <row r="1841" spans="1:26" ht="12" customHeight="1" outlineLevel="4" x14ac:dyDescent="0.2">
      <c r="A1841" s="14" t="s">
        <v>3634</v>
      </c>
      <c r="B1841" s="26" t="s">
        <v>3635</v>
      </c>
      <c r="C1841" s="52"/>
      <c r="D1841" s="55">
        <f t="shared" si="28"/>
        <v>0</v>
      </c>
      <c r="E1841" s="63" t="str">
        <f>HYPERLINK("https://www.sds-group.ru/product/gilza-mednaya-lujenaya-gml-70-13-70mm-sup2-oslash-13mm-gost-23469-3-79-v-upak-25sht-rexant-25582/", "Инфо")</f>
        <v>Инфо</v>
      </c>
      <c r="F1841" s="16" t="s">
        <v>39</v>
      </c>
      <c r="G1841" s="15"/>
      <c r="H1841" s="15"/>
      <c r="I1841" s="15" t="s">
        <v>3636</v>
      </c>
      <c r="J1841" s="22">
        <v>1050</v>
      </c>
      <c r="K1841" s="15"/>
      <c r="L1841" s="17">
        <v>25</v>
      </c>
      <c r="M1841" s="17">
        <v>400</v>
      </c>
      <c r="N1841" s="17">
        <v>25</v>
      </c>
      <c r="O1841" s="18">
        <v>212.46</v>
      </c>
      <c r="P1841" s="18">
        <v>174.15</v>
      </c>
      <c r="Q1841" s="18">
        <v>180.59</v>
      </c>
      <c r="R1841" s="18">
        <v>148.02000000000001</v>
      </c>
      <c r="S1841" s="18">
        <v>144.47</v>
      </c>
      <c r="T1841" s="18">
        <v>118.42</v>
      </c>
      <c r="U1841" s="16"/>
      <c r="V1841" s="16"/>
      <c r="W1841" s="16" t="s">
        <v>40</v>
      </c>
      <c r="X1841" s="19">
        <v>3.1E-2</v>
      </c>
      <c r="Y1841" s="20">
        <v>1.5999999999999999E-5</v>
      </c>
      <c r="Z1841" s="21">
        <v>4601004195127</v>
      </c>
    </row>
    <row r="1842" spans="1:26" ht="12.95" customHeight="1" outlineLevel="3" x14ac:dyDescent="0.2">
      <c r="A1842" s="76" t="s">
        <v>3637</v>
      </c>
      <c r="B1842" s="76"/>
      <c r="C1842" s="77"/>
      <c r="D1842" s="58"/>
      <c r="E1842" s="68"/>
      <c r="F1842" s="13"/>
      <c r="G1842" s="13"/>
      <c r="H1842" s="13"/>
      <c r="I1842" s="13"/>
      <c r="J1842" s="13"/>
      <c r="K1842" s="13"/>
      <c r="L1842" s="13"/>
      <c r="M1842" s="13"/>
      <c r="N1842" s="13"/>
      <c r="O1842" s="13"/>
      <c r="P1842" s="13"/>
      <c r="Q1842" s="13"/>
      <c r="R1842" s="13"/>
      <c r="S1842" s="13"/>
      <c r="T1842" s="13"/>
      <c r="U1842" s="13"/>
      <c r="V1842" s="13"/>
      <c r="W1842" s="13"/>
      <c r="X1842" s="13"/>
      <c r="Y1842" s="13"/>
      <c r="Z1842" s="13"/>
    </row>
    <row r="1843" spans="1:26" ht="12" customHeight="1" outlineLevel="4" x14ac:dyDescent="0.2">
      <c r="A1843" s="14" t="s">
        <v>3638</v>
      </c>
      <c r="B1843" s="26" t="s">
        <v>3639</v>
      </c>
      <c r="C1843" s="52"/>
      <c r="D1843" s="55">
        <f t="shared" si="28"/>
        <v>0</v>
      </c>
      <c r="E1843" s="63" t="str">
        <f>HYPERLINK("https://www.sds-group.ru/product/soedinitelnaya-gilza-l-15mm-0-5-1-5mm-gml-din-1-5-rexant-08-0712/", "Инфо")</f>
        <v>Инфо</v>
      </c>
      <c r="F1843" s="16" t="s">
        <v>39</v>
      </c>
      <c r="G1843" s="15"/>
      <c r="H1843" s="15"/>
      <c r="I1843" s="15"/>
      <c r="J1843" s="16" t="s">
        <v>100</v>
      </c>
      <c r="K1843" s="15" t="s">
        <v>1650</v>
      </c>
      <c r="L1843" s="17">
        <v>100</v>
      </c>
      <c r="M1843" s="22">
        <v>20000</v>
      </c>
      <c r="N1843" s="17">
        <v>100</v>
      </c>
      <c r="O1843" s="18">
        <v>10.4</v>
      </c>
      <c r="P1843" s="18">
        <v>8.52</v>
      </c>
      <c r="Q1843" s="18">
        <v>8.84</v>
      </c>
      <c r="R1843" s="18">
        <v>7.25</v>
      </c>
      <c r="S1843" s="18">
        <v>7.07</v>
      </c>
      <c r="T1843" s="18">
        <v>5.8</v>
      </c>
      <c r="U1843" s="16"/>
      <c r="V1843" s="16"/>
      <c r="W1843" s="16" t="s">
        <v>40</v>
      </c>
      <c r="X1843" s="19">
        <v>0</v>
      </c>
      <c r="Y1843" s="20">
        <v>9.9999999999999995E-7</v>
      </c>
      <c r="Z1843" s="21">
        <v>4601004020269</v>
      </c>
    </row>
    <row r="1844" spans="1:26" ht="12" customHeight="1" outlineLevel="4" x14ac:dyDescent="0.2">
      <c r="A1844" s="14" t="s">
        <v>3640</v>
      </c>
      <c r="B1844" s="26" t="s">
        <v>3641</v>
      </c>
      <c r="C1844" s="52"/>
      <c r="D1844" s="55">
        <f t="shared" si="28"/>
        <v>0</v>
      </c>
      <c r="E1844" s="63" t="str">
        <f>HYPERLINK("https://www.sds-group.ru/product/soedinitelnaya-gilza-l-15mm-1-5-2-5mm-gml-din-2-5-rexant-08-0722/", "Инфо")</f>
        <v>Инфо</v>
      </c>
      <c r="F1844" s="16" t="s">
        <v>39</v>
      </c>
      <c r="G1844" s="15"/>
      <c r="H1844" s="15"/>
      <c r="I1844" s="15"/>
      <c r="J1844" s="16" t="s">
        <v>100</v>
      </c>
      <c r="K1844" s="15" t="s">
        <v>1650</v>
      </c>
      <c r="L1844" s="17">
        <v>100</v>
      </c>
      <c r="M1844" s="22">
        <v>10000</v>
      </c>
      <c r="N1844" s="17">
        <v>100</v>
      </c>
      <c r="O1844" s="18">
        <v>11.96</v>
      </c>
      <c r="P1844" s="18">
        <v>9.8000000000000007</v>
      </c>
      <c r="Q1844" s="18">
        <v>10.17</v>
      </c>
      <c r="R1844" s="18">
        <v>8.34</v>
      </c>
      <c r="S1844" s="18">
        <v>8.1300000000000008</v>
      </c>
      <c r="T1844" s="18">
        <v>6.66</v>
      </c>
      <c r="U1844" s="16"/>
      <c r="V1844" s="16"/>
      <c r="W1844" s="16" t="s">
        <v>40</v>
      </c>
      <c r="X1844" s="19">
        <v>1E-3</v>
      </c>
      <c r="Y1844" s="20">
        <v>3.9999999999999998E-6</v>
      </c>
      <c r="Z1844" s="21">
        <v>4601004020337</v>
      </c>
    </row>
    <row r="1845" spans="1:26" ht="12" customHeight="1" outlineLevel="4" x14ac:dyDescent="0.2">
      <c r="A1845" s="14" t="s">
        <v>3642</v>
      </c>
      <c r="B1845" s="26" t="s">
        <v>3643</v>
      </c>
      <c r="C1845" s="52"/>
      <c r="D1845" s="55">
        <f t="shared" si="28"/>
        <v>0</v>
      </c>
      <c r="E1845" s="63" t="str">
        <f>HYPERLINK("https://www.sds-group.ru/product/soedinitelnaya-gilza-l-15mm-2-5-4mm-gml-din-4-rexant-08-0728/", "Инфо")</f>
        <v>Инфо</v>
      </c>
      <c r="F1845" s="16" t="s">
        <v>39</v>
      </c>
      <c r="G1845" s="15"/>
      <c r="H1845" s="15"/>
      <c r="I1845" s="15"/>
      <c r="J1845" s="16" t="s">
        <v>100</v>
      </c>
      <c r="K1845" s="15" t="s">
        <v>210</v>
      </c>
      <c r="L1845" s="17">
        <v>100</v>
      </c>
      <c r="M1845" s="22">
        <v>20000</v>
      </c>
      <c r="N1845" s="17">
        <v>100</v>
      </c>
      <c r="O1845" s="18">
        <v>19.2</v>
      </c>
      <c r="P1845" s="18">
        <v>15.74</v>
      </c>
      <c r="Q1845" s="18">
        <v>16.32</v>
      </c>
      <c r="R1845" s="18">
        <v>13.38</v>
      </c>
      <c r="S1845" s="18">
        <v>13.06</v>
      </c>
      <c r="T1845" s="18">
        <v>10.7</v>
      </c>
      <c r="U1845" s="16"/>
      <c r="V1845" s="16"/>
      <c r="W1845" s="16" t="s">
        <v>40</v>
      </c>
      <c r="X1845" s="19">
        <v>1E-3</v>
      </c>
      <c r="Y1845" s="20">
        <v>1.9999999999999999E-6</v>
      </c>
      <c r="Z1845" s="21">
        <v>4601004020375</v>
      </c>
    </row>
    <row r="1846" spans="1:26" ht="12" customHeight="1" outlineLevel="4" x14ac:dyDescent="0.2">
      <c r="A1846" s="14" t="s">
        <v>3644</v>
      </c>
      <c r="B1846" s="26" t="s">
        <v>3645</v>
      </c>
      <c r="C1846" s="52"/>
      <c r="D1846" s="55">
        <f t="shared" si="28"/>
        <v>0</v>
      </c>
      <c r="E1846" s="63" t="str">
        <f>HYPERLINK("https://www.sds-group.ru/product/soedinitelnaya-gilza-l-15mm-4-6mm-gml-din-6-rexant-08-0742/", "Инфо")</f>
        <v>Инфо</v>
      </c>
      <c r="F1846" s="16" t="s">
        <v>39</v>
      </c>
      <c r="G1846" s="15"/>
      <c r="H1846" s="15"/>
      <c r="I1846" s="15"/>
      <c r="J1846" s="22">
        <v>3500</v>
      </c>
      <c r="K1846" s="15" t="s">
        <v>2798</v>
      </c>
      <c r="L1846" s="17">
        <v>100</v>
      </c>
      <c r="M1846" s="22">
        <v>20000</v>
      </c>
      <c r="N1846" s="17">
        <v>100</v>
      </c>
      <c r="O1846" s="18">
        <v>18.07</v>
      </c>
      <c r="P1846" s="18">
        <v>14.81</v>
      </c>
      <c r="Q1846" s="18">
        <v>15.36</v>
      </c>
      <c r="R1846" s="18">
        <v>12.59</v>
      </c>
      <c r="S1846" s="18">
        <v>12.29</v>
      </c>
      <c r="T1846" s="18">
        <v>10.07</v>
      </c>
      <c r="U1846" s="16"/>
      <c r="V1846" s="16"/>
      <c r="W1846" s="16" t="s">
        <v>40</v>
      </c>
      <c r="X1846" s="19">
        <v>1E-3</v>
      </c>
      <c r="Y1846" s="20">
        <v>9.9999999999999995E-7</v>
      </c>
      <c r="Z1846" s="21">
        <v>4601004020412</v>
      </c>
    </row>
    <row r="1847" spans="1:26" ht="12" customHeight="1" outlineLevel="4" x14ac:dyDescent="0.2">
      <c r="A1847" s="14" t="s">
        <v>3646</v>
      </c>
      <c r="B1847" s="26" t="s">
        <v>3647</v>
      </c>
      <c r="C1847" s="52"/>
      <c r="D1847" s="55">
        <f t="shared" si="28"/>
        <v>0</v>
      </c>
      <c r="E1847" s="63" t="str">
        <f>HYPERLINK("https://www.sds-group.ru/product/soedinitelnaya-gilza-l-21mm-10mm-gml-din-10-rexant-08-0713/", "Инфо")</f>
        <v>Инфо</v>
      </c>
      <c r="F1847" s="16" t="s">
        <v>39</v>
      </c>
      <c r="G1847" s="15"/>
      <c r="H1847" s="15"/>
      <c r="I1847" s="15"/>
      <c r="J1847" s="16" t="s">
        <v>100</v>
      </c>
      <c r="K1847" s="15" t="s">
        <v>1650</v>
      </c>
      <c r="L1847" s="17">
        <v>50</v>
      </c>
      <c r="M1847" s="22">
        <v>4000</v>
      </c>
      <c r="N1847" s="17">
        <v>50</v>
      </c>
      <c r="O1847" s="18">
        <v>34.44</v>
      </c>
      <c r="P1847" s="18">
        <v>28.23</v>
      </c>
      <c r="Q1847" s="18">
        <v>29.27</v>
      </c>
      <c r="R1847" s="18">
        <v>23.99</v>
      </c>
      <c r="S1847" s="18">
        <v>23.42</v>
      </c>
      <c r="T1847" s="18">
        <v>19.2</v>
      </c>
      <c r="U1847" s="16"/>
      <c r="V1847" s="16"/>
      <c r="W1847" s="16" t="s">
        <v>40</v>
      </c>
      <c r="X1847" s="19">
        <v>3.0000000000000001E-3</v>
      </c>
      <c r="Y1847" s="20">
        <v>6.0000000000000002E-6</v>
      </c>
      <c r="Z1847" s="21">
        <v>4601004020917</v>
      </c>
    </row>
    <row r="1848" spans="1:26" ht="12" customHeight="1" outlineLevel="4" x14ac:dyDescent="0.2">
      <c r="A1848" s="14" t="s">
        <v>3648</v>
      </c>
      <c r="B1848" s="26" t="s">
        <v>3649</v>
      </c>
      <c r="C1848" s="52"/>
      <c r="D1848" s="55">
        <f t="shared" si="28"/>
        <v>0</v>
      </c>
      <c r="E1848" s="63" t="str">
        <f>HYPERLINK("https://www.sds-group.ru/product/soedinitelnaya-gilza-l-26mm-16mm-gml-din-16-rexant-08-0714/", "Инфо")</f>
        <v>Инфо</v>
      </c>
      <c r="F1848" s="16" t="s">
        <v>39</v>
      </c>
      <c r="G1848" s="15"/>
      <c r="H1848" s="15"/>
      <c r="I1848" s="15"/>
      <c r="J1848" s="16" t="s">
        <v>100</v>
      </c>
      <c r="K1848" s="15" t="s">
        <v>2798</v>
      </c>
      <c r="L1848" s="17">
        <v>50</v>
      </c>
      <c r="M1848" s="22">
        <v>1600</v>
      </c>
      <c r="N1848" s="17">
        <v>50</v>
      </c>
      <c r="O1848" s="18">
        <v>61.9</v>
      </c>
      <c r="P1848" s="18">
        <v>50.74</v>
      </c>
      <c r="Q1848" s="18">
        <v>52.62</v>
      </c>
      <c r="R1848" s="18">
        <v>43.13</v>
      </c>
      <c r="S1848" s="18">
        <v>42.09</v>
      </c>
      <c r="T1848" s="18">
        <v>34.5</v>
      </c>
      <c r="U1848" s="16"/>
      <c r="V1848" s="16"/>
      <c r="W1848" s="16" t="s">
        <v>40</v>
      </c>
      <c r="X1848" s="19">
        <v>6.0000000000000001E-3</v>
      </c>
      <c r="Y1848" s="20">
        <v>6.0000000000000002E-6</v>
      </c>
      <c r="Z1848" s="21">
        <v>4601004020924</v>
      </c>
    </row>
    <row r="1849" spans="1:26" ht="12.95" customHeight="1" outlineLevel="3" x14ac:dyDescent="0.2">
      <c r="A1849" s="76" t="s">
        <v>3650</v>
      </c>
      <c r="B1849" s="76"/>
      <c r="C1849" s="77"/>
      <c r="D1849" s="58"/>
      <c r="E1849" s="68"/>
      <c r="F1849" s="13"/>
      <c r="G1849" s="13"/>
      <c r="H1849" s="13"/>
      <c r="I1849" s="13"/>
      <c r="J1849" s="13"/>
      <c r="K1849" s="13"/>
      <c r="L1849" s="13"/>
      <c r="M1849" s="13"/>
      <c r="N1849" s="13"/>
      <c r="O1849" s="13"/>
      <c r="P1849" s="13"/>
      <c r="Q1849" s="13"/>
      <c r="R1849" s="13"/>
      <c r="S1849" s="13"/>
      <c r="T1849" s="13"/>
      <c r="U1849" s="13"/>
      <c r="V1849" s="13"/>
      <c r="W1849" s="13"/>
      <c r="X1849" s="13"/>
      <c r="Y1849" s="13"/>
      <c r="Z1849" s="13"/>
    </row>
    <row r="1850" spans="1:26" ht="12" customHeight="1" outlineLevel="4" x14ac:dyDescent="0.2">
      <c r="A1850" s="14" t="s">
        <v>3651</v>
      </c>
      <c r="B1850" s="26" t="s">
        <v>3652</v>
      </c>
      <c r="C1850" s="52"/>
      <c r="D1850" s="55">
        <f t="shared" si="28"/>
        <v>0</v>
      </c>
      <c r="E1850" s="63" t="str">
        <f>HYPERLINK("https://www.sds-group.ru/product/gilza-kabelnaya-mednaya-gm-120-17-120mm-17mm-v-upak-10-sht-rexant-07-5361-4/", "Инфо")</f>
        <v>Инфо</v>
      </c>
      <c r="F1850" s="16" t="s">
        <v>39</v>
      </c>
      <c r="G1850" s="15"/>
      <c r="H1850" s="15"/>
      <c r="I1850" s="15" t="s">
        <v>3538</v>
      </c>
      <c r="J1850" s="22">
        <v>1740</v>
      </c>
      <c r="K1850" s="15"/>
      <c r="L1850" s="17">
        <v>10</v>
      </c>
      <c r="M1850" s="17">
        <v>10</v>
      </c>
      <c r="N1850" s="17">
        <v>10</v>
      </c>
      <c r="O1850" s="18">
        <v>577.80999999999995</v>
      </c>
      <c r="P1850" s="18">
        <v>473.61</v>
      </c>
      <c r="Q1850" s="18">
        <v>491.14</v>
      </c>
      <c r="R1850" s="18">
        <v>402.57</v>
      </c>
      <c r="S1850" s="18">
        <v>392.91</v>
      </c>
      <c r="T1850" s="18">
        <v>322.06</v>
      </c>
      <c r="U1850" s="16"/>
      <c r="V1850" s="16"/>
      <c r="W1850" s="16" t="s">
        <v>40</v>
      </c>
      <c r="X1850" s="19">
        <v>9.0999999999999998E-2</v>
      </c>
      <c r="Y1850" s="20">
        <v>2.0000000000000002E-5</v>
      </c>
      <c r="Z1850" s="21">
        <v>4601004191532</v>
      </c>
    </row>
    <row r="1851" spans="1:26" ht="12" customHeight="1" outlineLevel="4" x14ac:dyDescent="0.2">
      <c r="A1851" s="14" t="s">
        <v>3653</v>
      </c>
      <c r="B1851" s="26" t="s">
        <v>3654</v>
      </c>
      <c r="C1851" s="52"/>
      <c r="D1851" s="55">
        <f t="shared" si="28"/>
        <v>0</v>
      </c>
      <c r="E1851" s="63" t="str">
        <f>HYPERLINK("https://www.sds-group.ru/product/gilza-kabelnaya-mednaya-gm-150-19-150mm-19mm-v-upak-10-sht-rexant-07-5362-4/", "Инфо")</f>
        <v>Инфо</v>
      </c>
      <c r="F1851" s="16" t="s">
        <v>39</v>
      </c>
      <c r="G1851" s="15"/>
      <c r="H1851" s="15"/>
      <c r="I1851" s="15" t="s">
        <v>3538</v>
      </c>
      <c r="J1851" s="16" t="s">
        <v>100</v>
      </c>
      <c r="K1851" s="15"/>
      <c r="L1851" s="17">
        <v>10</v>
      </c>
      <c r="M1851" s="17">
        <v>10</v>
      </c>
      <c r="N1851" s="17">
        <v>10</v>
      </c>
      <c r="O1851" s="18">
        <v>772.85</v>
      </c>
      <c r="P1851" s="18">
        <v>633.48</v>
      </c>
      <c r="Q1851" s="18">
        <v>656.92</v>
      </c>
      <c r="R1851" s="18">
        <v>538.46</v>
      </c>
      <c r="S1851" s="18">
        <v>525.54</v>
      </c>
      <c r="T1851" s="18">
        <v>430.77</v>
      </c>
      <c r="U1851" s="16"/>
      <c r="V1851" s="16"/>
      <c r="W1851" s="16" t="s">
        <v>40</v>
      </c>
      <c r="X1851" s="19">
        <v>9.6000000000000002E-2</v>
      </c>
      <c r="Y1851" s="20">
        <v>7.7999999999999999E-5</v>
      </c>
      <c r="Z1851" s="21">
        <v>4601004191549</v>
      </c>
    </row>
    <row r="1852" spans="1:26" ht="12" customHeight="1" outlineLevel="4" x14ac:dyDescent="0.2">
      <c r="A1852" s="14" t="s">
        <v>3655</v>
      </c>
      <c r="B1852" s="26" t="s">
        <v>3656</v>
      </c>
      <c r="C1852" s="52"/>
      <c r="D1852" s="55">
        <f t="shared" si="28"/>
        <v>0</v>
      </c>
      <c r="E1852" s="63" t="str">
        <f>HYPERLINK("https://www.sds-group.ru/product/gilza-kabelnaya-mednaya-gm-185-21-185mm-21mm-v-upak-10-sht-rexant-pod-zakaz-07-5363-4/", "Инфо")</f>
        <v>Инфо</v>
      </c>
      <c r="F1852" s="16" t="s">
        <v>39</v>
      </c>
      <c r="G1852" s="15"/>
      <c r="H1852" s="15"/>
      <c r="I1852" s="15" t="s">
        <v>3543</v>
      </c>
      <c r="J1852" s="16" t="s">
        <v>100</v>
      </c>
      <c r="K1852" s="15"/>
      <c r="L1852" s="17">
        <v>10</v>
      </c>
      <c r="M1852" s="17">
        <v>10</v>
      </c>
      <c r="N1852" s="17">
        <v>10</v>
      </c>
      <c r="O1852" s="18">
        <v>1005.68</v>
      </c>
      <c r="P1852" s="18">
        <v>824.33</v>
      </c>
      <c r="Q1852" s="18">
        <v>854.83</v>
      </c>
      <c r="R1852" s="18">
        <v>700.68</v>
      </c>
      <c r="S1852" s="18">
        <v>683.86</v>
      </c>
      <c r="T1852" s="18">
        <v>560.54</v>
      </c>
      <c r="U1852" s="16"/>
      <c r="V1852" s="16"/>
      <c r="W1852" s="16" t="s">
        <v>40</v>
      </c>
      <c r="X1852" s="19">
        <v>0.151</v>
      </c>
      <c r="Y1852" s="20">
        <v>2.0000000000000002E-5</v>
      </c>
      <c r="Z1852" s="21">
        <v>4601004191556</v>
      </c>
    </row>
    <row r="1853" spans="1:26" ht="12" customHeight="1" outlineLevel="4" x14ac:dyDescent="0.2">
      <c r="A1853" s="14" t="s">
        <v>3657</v>
      </c>
      <c r="B1853" s="26" t="s">
        <v>3658</v>
      </c>
      <c r="C1853" s="52"/>
      <c r="D1853" s="55">
        <f t="shared" si="28"/>
        <v>0</v>
      </c>
      <c r="E1853" s="63" t="str">
        <f>HYPERLINK("https://www.sds-group.ru/product/gilza-kabelnaya-mednaya-gm-240-24-240mm-24mm-v-upak-5-sht-rexant-pod-zakaz-07-5367-4/", "Инфо")</f>
        <v>Инфо</v>
      </c>
      <c r="F1853" s="16" t="s">
        <v>39</v>
      </c>
      <c r="G1853" s="15"/>
      <c r="H1853" s="15"/>
      <c r="I1853" s="15" t="s">
        <v>3543</v>
      </c>
      <c r="J1853" s="16" t="s">
        <v>100</v>
      </c>
      <c r="K1853" s="15"/>
      <c r="L1853" s="17">
        <v>5</v>
      </c>
      <c r="M1853" s="17">
        <v>5</v>
      </c>
      <c r="N1853" s="17">
        <v>5</v>
      </c>
      <c r="O1853" s="18">
        <v>1664.93</v>
      </c>
      <c r="P1853" s="18">
        <v>1364.7</v>
      </c>
      <c r="Q1853" s="18">
        <v>1415.19</v>
      </c>
      <c r="R1853" s="18">
        <v>1159.99</v>
      </c>
      <c r="S1853" s="18">
        <v>1132.1500000000001</v>
      </c>
      <c r="T1853" s="18">
        <v>927.99</v>
      </c>
      <c r="U1853" s="16"/>
      <c r="V1853" s="16"/>
      <c r="W1853" s="16" t="s">
        <v>40</v>
      </c>
      <c r="X1853" s="19">
        <v>0.23499999999999999</v>
      </c>
      <c r="Y1853" s="20">
        <v>4.0000000000000002E-4</v>
      </c>
      <c r="Z1853" s="21">
        <v>4601004191204</v>
      </c>
    </row>
    <row r="1854" spans="1:26" ht="12" customHeight="1" outlineLevel="4" x14ac:dyDescent="0.2">
      <c r="A1854" s="14" t="s">
        <v>3659</v>
      </c>
      <c r="B1854" s="26" t="s">
        <v>3660</v>
      </c>
      <c r="C1854" s="52"/>
      <c r="D1854" s="55">
        <f t="shared" si="28"/>
        <v>0</v>
      </c>
      <c r="E1854" s="63" t="str">
        <f>HYPERLINK("https://www.sds-group.ru/product/gilza-mednaya-gm-10-5-10mm-5mm-v-upak-5-sht-rexant-07-5354-1/", "Инфо")</f>
        <v>Инфо</v>
      </c>
      <c r="F1854" s="16" t="s">
        <v>39</v>
      </c>
      <c r="G1854" s="15"/>
      <c r="H1854" s="15"/>
      <c r="I1854" s="15"/>
      <c r="J1854" s="22">
        <v>3355</v>
      </c>
      <c r="K1854" s="15"/>
      <c r="L1854" s="17">
        <v>10</v>
      </c>
      <c r="M1854" s="17">
        <v>500</v>
      </c>
      <c r="N1854" s="17">
        <v>10</v>
      </c>
      <c r="O1854" s="18">
        <v>57.8</v>
      </c>
      <c r="P1854" s="18">
        <v>47.38</v>
      </c>
      <c r="Q1854" s="18">
        <v>49.13</v>
      </c>
      <c r="R1854" s="18">
        <v>40.270000000000003</v>
      </c>
      <c r="S1854" s="18">
        <v>39.299999999999997</v>
      </c>
      <c r="T1854" s="18">
        <v>32.21</v>
      </c>
      <c r="U1854" s="16"/>
      <c r="V1854" s="16"/>
      <c r="W1854" s="16" t="s">
        <v>40</v>
      </c>
      <c r="X1854" s="19">
        <v>6.0000000000000001E-3</v>
      </c>
      <c r="Y1854" s="20">
        <v>1.4E-5</v>
      </c>
      <c r="Z1854" s="21">
        <v>4601004137202</v>
      </c>
    </row>
    <row r="1855" spans="1:26" ht="12" customHeight="1" outlineLevel="4" x14ac:dyDescent="0.2">
      <c r="A1855" s="14" t="s">
        <v>3661</v>
      </c>
      <c r="B1855" s="26" t="s">
        <v>3662</v>
      </c>
      <c r="C1855" s="52"/>
      <c r="D1855" s="55">
        <f t="shared" si="28"/>
        <v>0</v>
      </c>
      <c r="E1855" s="63" t="str">
        <f>HYPERLINK("https://www.sds-group.ru/product/gilza-mednaya-gm-10-5-10mm-5mm-v-upak-100-sht-rexant-07-5354-3/", "Инфо")</f>
        <v>Инфо</v>
      </c>
      <c r="F1855" s="16" t="s">
        <v>39</v>
      </c>
      <c r="G1855" s="15"/>
      <c r="H1855" s="15"/>
      <c r="I1855" s="15"/>
      <c r="J1855" s="22">
        <v>118400</v>
      </c>
      <c r="K1855" s="15" t="s">
        <v>3319</v>
      </c>
      <c r="L1855" s="17">
        <v>100</v>
      </c>
      <c r="M1855" s="22">
        <v>1500</v>
      </c>
      <c r="N1855" s="17">
        <v>100</v>
      </c>
      <c r="O1855" s="18">
        <v>53.36</v>
      </c>
      <c r="P1855" s="18">
        <v>43.74</v>
      </c>
      <c r="Q1855" s="18">
        <v>45.36</v>
      </c>
      <c r="R1855" s="18">
        <v>37.18</v>
      </c>
      <c r="S1855" s="18">
        <v>36.28</v>
      </c>
      <c r="T1855" s="18">
        <v>29.74</v>
      </c>
      <c r="U1855" s="16"/>
      <c r="V1855" s="16"/>
      <c r="W1855" s="16" t="s">
        <v>40</v>
      </c>
      <c r="X1855" s="19">
        <v>6.0000000000000001E-3</v>
      </c>
      <c r="Y1855" s="20">
        <v>5.0000000000000004E-6</v>
      </c>
      <c r="Z1855" s="21">
        <v>4601004195196</v>
      </c>
    </row>
    <row r="1856" spans="1:26" ht="12" customHeight="1" outlineLevel="4" x14ac:dyDescent="0.2">
      <c r="A1856" s="14" t="s">
        <v>3663</v>
      </c>
      <c r="B1856" s="26" t="s">
        <v>3664</v>
      </c>
      <c r="C1856" s="52"/>
      <c r="D1856" s="55">
        <f t="shared" si="28"/>
        <v>0</v>
      </c>
      <c r="E1856" s="63" t="str">
        <f>HYPERLINK("https://www.sds-group.ru/product/gilza-mednaya-gm-16-6-16mm-6mm-v-upak-100-sht-rexant-07-5355-3/", "Инфо")</f>
        <v>Инфо</v>
      </c>
      <c r="F1856" s="16" t="s">
        <v>39</v>
      </c>
      <c r="G1856" s="15"/>
      <c r="H1856" s="15"/>
      <c r="I1856" s="15"/>
      <c r="J1856" s="22">
        <v>51700</v>
      </c>
      <c r="K1856" s="15"/>
      <c r="L1856" s="17">
        <v>100</v>
      </c>
      <c r="M1856" s="22">
        <v>1300</v>
      </c>
      <c r="N1856" s="17">
        <v>100</v>
      </c>
      <c r="O1856" s="18">
        <v>63.24</v>
      </c>
      <c r="P1856" s="18">
        <v>51.84</v>
      </c>
      <c r="Q1856" s="18">
        <v>53.75</v>
      </c>
      <c r="R1856" s="18">
        <v>44.06</v>
      </c>
      <c r="S1856" s="18">
        <v>43</v>
      </c>
      <c r="T1856" s="18">
        <v>35.25</v>
      </c>
      <c r="U1856" s="16"/>
      <c r="V1856" s="16"/>
      <c r="W1856" s="16" t="s">
        <v>40</v>
      </c>
      <c r="X1856" s="19">
        <v>7.0000000000000001E-3</v>
      </c>
      <c r="Y1856" s="20">
        <v>5.0000000000000004E-6</v>
      </c>
      <c r="Z1856" s="21">
        <v>4601004195189</v>
      </c>
    </row>
    <row r="1857" spans="1:26" ht="12" customHeight="1" outlineLevel="4" x14ac:dyDescent="0.2">
      <c r="A1857" s="14" t="s">
        <v>3665</v>
      </c>
      <c r="B1857" s="26" t="s">
        <v>3666</v>
      </c>
      <c r="C1857" s="52"/>
      <c r="D1857" s="55">
        <f t="shared" si="28"/>
        <v>0</v>
      </c>
      <c r="E1857" s="63" t="str">
        <f>HYPERLINK("https://www.sds-group.ru/product/gilza-mednaya-gm-16-6-16mm-6mm-v-upak-5-sht-rexant-07-5355-1/", "Инфо")</f>
        <v>Инфо</v>
      </c>
      <c r="F1857" s="16" t="s">
        <v>39</v>
      </c>
      <c r="G1857" s="15"/>
      <c r="H1857" s="15"/>
      <c r="I1857" s="15"/>
      <c r="J1857" s="22">
        <v>3875</v>
      </c>
      <c r="K1857" s="15"/>
      <c r="L1857" s="17">
        <v>10</v>
      </c>
      <c r="M1857" s="17">
        <v>500</v>
      </c>
      <c r="N1857" s="17">
        <v>10</v>
      </c>
      <c r="O1857" s="18">
        <v>72.09</v>
      </c>
      <c r="P1857" s="18">
        <v>59.09</v>
      </c>
      <c r="Q1857" s="18">
        <v>61.28</v>
      </c>
      <c r="R1857" s="18">
        <v>50.23</v>
      </c>
      <c r="S1857" s="18">
        <v>49.02</v>
      </c>
      <c r="T1857" s="18">
        <v>40.18</v>
      </c>
      <c r="U1857" s="16"/>
      <c r="V1857" s="16"/>
      <c r="W1857" s="16" t="s">
        <v>40</v>
      </c>
      <c r="X1857" s="19">
        <v>8.9999999999999993E-3</v>
      </c>
      <c r="Y1857" s="20">
        <v>1.9999999999999999E-6</v>
      </c>
      <c r="Z1857" s="21">
        <v>4601004137219</v>
      </c>
    </row>
    <row r="1858" spans="1:26" ht="12" customHeight="1" outlineLevel="4" x14ac:dyDescent="0.2">
      <c r="A1858" s="14" t="s">
        <v>3667</v>
      </c>
      <c r="B1858" s="26" t="s">
        <v>3668</v>
      </c>
      <c r="C1858" s="52"/>
      <c r="D1858" s="55">
        <f t="shared" si="28"/>
        <v>0</v>
      </c>
      <c r="E1858" s="63" t="str">
        <f>HYPERLINK("https://www.sds-group.ru/product/gilza-mednaya-gm-2-5-2-6-2-5mm-2-6mm-v-upak-100-sht-rexant-07-5351-3/", "Инфо")</f>
        <v>Инфо</v>
      </c>
      <c r="F1858" s="16" t="s">
        <v>39</v>
      </c>
      <c r="G1858" s="15"/>
      <c r="H1858" s="15"/>
      <c r="I1858" s="15"/>
      <c r="J1858" s="22">
        <v>10100</v>
      </c>
      <c r="K1858" s="15" t="s">
        <v>3319</v>
      </c>
      <c r="L1858" s="17">
        <v>100</v>
      </c>
      <c r="M1858" s="22">
        <v>5000</v>
      </c>
      <c r="N1858" s="17">
        <v>100</v>
      </c>
      <c r="O1858" s="18">
        <v>20.25</v>
      </c>
      <c r="P1858" s="18">
        <v>16.600000000000001</v>
      </c>
      <c r="Q1858" s="18">
        <v>17.21</v>
      </c>
      <c r="R1858" s="18">
        <v>14.11</v>
      </c>
      <c r="S1858" s="18">
        <v>13.77</v>
      </c>
      <c r="T1858" s="18">
        <v>11.29</v>
      </c>
      <c r="U1858" s="16"/>
      <c r="V1858" s="16"/>
      <c r="W1858" s="16" t="s">
        <v>40</v>
      </c>
      <c r="X1858" s="19">
        <v>2E-3</v>
      </c>
      <c r="Y1858" s="20">
        <v>3.9999999999999998E-6</v>
      </c>
      <c r="Z1858" s="21">
        <v>4601004195226</v>
      </c>
    </row>
    <row r="1859" spans="1:26" ht="12" customHeight="1" outlineLevel="4" x14ac:dyDescent="0.2">
      <c r="A1859" s="14" t="s">
        <v>3669</v>
      </c>
      <c r="B1859" s="26" t="s">
        <v>3670</v>
      </c>
      <c r="C1859" s="52"/>
      <c r="D1859" s="55">
        <f t="shared" si="28"/>
        <v>0</v>
      </c>
      <c r="E1859" s="63" t="str">
        <f>HYPERLINK("https://www.sds-group.ru/product/gilza-mednaya-gm-25-8-25mm-8mm-v-upak-100-sht-rexant-07-5356-3/", "Инфо")</f>
        <v>Инфо</v>
      </c>
      <c r="F1859" s="16" t="s">
        <v>39</v>
      </c>
      <c r="G1859" s="15"/>
      <c r="H1859" s="15"/>
      <c r="I1859" s="15"/>
      <c r="J1859" s="22">
        <v>9500</v>
      </c>
      <c r="K1859" s="15" t="s">
        <v>3319</v>
      </c>
      <c r="L1859" s="17">
        <v>100</v>
      </c>
      <c r="M1859" s="17">
        <v>800</v>
      </c>
      <c r="N1859" s="17">
        <v>100</v>
      </c>
      <c r="O1859" s="18">
        <v>108.28</v>
      </c>
      <c r="P1859" s="18">
        <v>88.75</v>
      </c>
      <c r="Q1859" s="18">
        <v>92.04</v>
      </c>
      <c r="R1859" s="18">
        <v>75.44</v>
      </c>
      <c r="S1859" s="18">
        <v>73.63</v>
      </c>
      <c r="T1859" s="18">
        <v>60.35</v>
      </c>
      <c r="U1859" s="16"/>
      <c r="V1859" s="16"/>
      <c r="W1859" s="16" t="s">
        <v>40</v>
      </c>
      <c r="X1859" s="19">
        <v>1.2E-2</v>
      </c>
      <c r="Y1859" s="20">
        <v>6.9999999999999999E-6</v>
      </c>
      <c r="Z1859" s="21">
        <v>4601004195172</v>
      </c>
    </row>
    <row r="1860" spans="1:26" ht="12" customHeight="1" outlineLevel="4" x14ac:dyDescent="0.2">
      <c r="A1860" s="14" t="s">
        <v>3671</v>
      </c>
      <c r="B1860" s="26" t="s">
        <v>3672</v>
      </c>
      <c r="C1860" s="52"/>
      <c r="D1860" s="55">
        <f t="shared" si="28"/>
        <v>0</v>
      </c>
      <c r="E1860" s="63" t="str">
        <f>HYPERLINK("https://www.sds-group.ru/product/gilza-mednaya-gm-25-8-25mm-8mm-v-upak-5-sht-rexant-07-5356-1/", "Инфо")</f>
        <v>Инфо</v>
      </c>
      <c r="F1860" s="16" t="s">
        <v>39</v>
      </c>
      <c r="G1860" s="15"/>
      <c r="H1860" s="15"/>
      <c r="I1860" s="15"/>
      <c r="J1860" s="22">
        <v>1700</v>
      </c>
      <c r="K1860" s="15"/>
      <c r="L1860" s="17">
        <v>10</v>
      </c>
      <c r="M1860" s="17">
        <v>500</v>
      </c>
      <c r="N1860" s="17">
        <v>10</v>
      </c>
      <c r="O1860" s="18">
        <v>118.31</v>
      </c>
      <c r="P1860" s="18">
        <v>96.98</v>
      </c>
      <c r="Q1860" s="18">
        <v>100.56</v>
      </c>
      <c r="R1860" s="18">
        <v>82.43</v>
      </c>
      <c r="S1860" s="18">
        <v>80.45</v>
      </c>
      <c r="T1860" s="18">
        <v>65.94</v>
      </c>
      <c r="U1860" s="16"/>
      <c r="V1860" s="16"/>
      <c r="W1860" s="16" t="s">
        <v>40</v>
      </c>
      <c r="X1860" s="19">
        <v>1.2999999999999999E-2</v>
      </c>
      <c r="Y1860" s="20">
        <v>3.3000000000000003E-5</v>
      </c>
      <c r="Z1860" s="21">
        <v>4601004137226</v>
      </c>
    </row>
    <row r="1861" spans="1:26" ht="12" customHeight="1" outlineLevel="4" x14ac:dyDescent="0.2">
      <c r="A1861" s="14" t="s">
        <v>3673</v>
      </c>
      <c r="B1861" s="26" t="s">
        <v>3674</v>
      </c>
      <c r="C1861" s="52"/>
      <c r="D1861" s="55">
        <f t="shared" si="28"/>
        <v>0</v>
      </c>
      <c r="E1861" s="63" t="str">
        <f>HYPERLINK("https://www.sds-group.ru/product/gilza-mednaya-gm-35-10-35mm-10mm-v-upak-50-sht-rexant-07-5357-3/", "Инфо")</f>
        <v>Инфо</v>
      </c>
      <c r="F1861" s="16" t="s">
        <v>39</v>
      </c>
      <c r="G1861" s="15"/>
      <c r="H1861" s="15"/>
      <c r="I1861" s="15"/>
      <c r="J1861" s="16" t="s">
        <v>100</v>
      </c>
      <c r="K1861" s="15"/>
      <c r="L1861" s="17">
        <v>50</v>
      </c>
      <c r="M1861" s="17">
        <v>500</v>
      </c>
      <c r="N1861" s="17">
        <v>50</v>
      </c>
      <c r="O1861" s="18">
        <v>147.63</v>
      </c>
      <c r="P1861" s="18">
        <v>121.01</v>
      </c>
      <c r="Q1861" s="18">
        <v>125.49</v>
      </c>
      <c r="R1861" s="18">
        <v>102.86</v>
      </c>
      <c r="S1861" s="18">
        <v>100.39</v>
      </c>
      <c r="T1861" s="18">
        <v>82.29</v>
      </c>
      <c r="U1861" s="16"/>
      <c r="V1861" s="16"/>
      <c r="W1861" s="16" t="s">
        <v>40</v>
      </c>
      <c r="X1861" s="19">
        <v>1.7999999999999999E-2</v>
      </c>
      <c r="Y1861" s="20">
        <v>1.5999999999999999E-5</v>
      </c>
      <c r="Z1861" s="21">
        <v>4601004195165</v>
      </c>
    </row>
    <row r="1862" spans="1:26" ht="12" customHeight="1" outlineLevel="4" x14ac:dyDescent="0.2">
      <c r="A1862" s="14" t="s">
        <v>3675</v>
      </c>
      <c r="B1862" s="26" t="s">
        <v>3676</v>
      </c>
      <c r="C1862" s="52"/>
      <c r="D1862" s="55">
        <f t="shared" si="28"/>
        <v>0</v>
      </c>
      <c r="E1862" s="63" t="str">
        <f>HYPERLINK("https://www.sds-group.ru/product/gilza-mednaya-gm-4-3-4mm-3mm-v-upak-10-sht-rexant-07-5352-1/", "Инфо")</f>
        <v>Инфо</v>
      </c>
      <c r="F1862" s="16" t="s">
        <v>39</v>
      </c>
      <c r="G1862" s="15"/>
      <c r="H1862" s="15"/>
      <c r="I1862" s="15"/>
      <c r="J1862" s="22">
        <v>9320</v>
      </c>
      <c r="K1862" s="15"/>
      <c r="L1862" s="17">
        <v>10</v>
      </c>
      <c r="M1862" s="22">
        <v>1000</v>
      </c>
      <c r="N1862" s="17">
        <v>10</v>
      </c>
      <c r="O1862" s="18">
        <v>32.32</v>
      </c>
      <c r="P1862" s="18">
        <v>26.49</v>
      </c>
      <c r="Q1862" s="18">
        <v>27.47</v>
      </c>
      <c r="R1862" s="18">
        <v>22.52</v>
      </c>
      <c r="S1862" s="18">
        <v>21.98</v>
      </c>
      <c r="T1862" s="18">
        <v>18.02</v>
      </c>
      <c r="U1862" s="16"/>
      <c r="V1862" s="16"/>
      <c r="W1862" s="16" t="s">
        <v>40</v>
      </c>
      <c r="X1862" s="19">
        <v>2E-3</v>
      </c>
      <c r="Y1862" s="20">
        <v>2.0000000000000002E-5</v>
      </c>
      <c r="Z1862" s="21">
        <v>4601004137448</v>
      </c>
    </row>
    <row r="1863" spans="1:26" ht="12" customHeight="1" outlineLevel="4" x14ac:dyDescent="0.2">
      <c r="A1863" s="14" t="s">
        <v>3677</v>
      </c>
      <c r="B1863" s="26" t="s">
        <v>3678</v>
      </c>
      <c r="C1863" s="52"/>
      <c r="D1863" s="55">
        <f t="shared" si="28"/>
        <v>0</v>
      </c>
      <c r="E1863" s="63" t="str">
        <f>HYPERLINK("https://www.sds-group.ru/product/gilza-mednaya-gm-4-3-4mm-3mm-v-upak-100-sht-rexant-07-5352-3/", "Инфо")</f>
        <v>Инфо</v>
      </c>
      <c r="F1863" s="16" t="s">
        <v>39</v>
      </c>
      <c r="G1863" s="15"/>
      <c r="H1863" s="15"/>
      <c r="I1863" s="15"/>
      <c r="J1863" s="22">
        <v>83500</v>
      </c>
      <c r="K1863" s="15" t="s">
        <v>1408</v>
      </c>
      <c r="L1863" s="17">
        <v>100</v>
      </c>
      <c r="M1863" s="22">
        <v>4000</v>
      </c>
      <c r="N1863" s="17">
        <v>100</v>
      </c>
      <c r="O1863" s="18">
        <v>28.01</v>
      </c>
      <c r="P1863" s="18">
        <v>22.96</v>
      </c>
      <c r="Q1863" s="18">
        <v>23.81</v>
      </c>
      <c r="R1863" s="18">
        <v>19.52</v>
      </c>
      <c r="S1863" s="18">
        <v>19.05</v>
      </c>
      <c r="T1863" s="18">
        <v>15.61</v>
      </c>
      <c r="U1863" s="16"/>
      <c r="V1863" s="16"/>
      <c r="W1863" s="16" t="s">
        <v>40</v>
      </c>
      <c r="X1863" s="19">
        <v>2E-3</v>
      </c>
      <c r="Y1863" s="20">
        <v>3.9999999999999998E-6</v>
      </c>
      <c r="Z1863" s="21">
        <v>4601004195219</v>
      </c>
    </row>
    <row r="1864" spans="1:26" ht="12" customHeight="1" outlineLevel="4" x14ac:dyDescent="0.2">
      <c r="A1864" s="14" t="s">
        <v>3679</v>
      </c>
      <c r="B1864" s="26" t="s">
        <v>3680</v>
      </c>
      <c r="C1864" s="52"/>
      <c r="D1864" s="55">
        <f t="shared" si="28"/>
        <v>0</v>
      </c>
      <c r="E1864" s="63" t="str">
        <f>HYPERLINK("https://www.sds-group.ru/product/gilza-mednaya-gm-50-11-50mm-sup2-oslash-11mm-v-upak-50-sht-rexant-25396/", "Инфо")</f>
        <v>Инфо</v>
      </c>
      <c r="F1864" s="16" t="s">
        <v>39</v>
      </c>
      <c r="G1864" s="15"/>
      <c r="H1864" s="15"/>
      <c r="I1864" s="15" t="s">
        <v>3681</v>
      </c>
      <c r="J1864" s="17">
        <v>550</v>
      </c>
      <c r="K1864" s="15" t="s">
        <v>1408</v>
      </c>
      <c r="L1864" s="17">
        <v>50</v>
      </c>
      <c r="M1864" s="17">
        <v>1</v>
      </c>
      <c r="N1864" s="17">
        <v>50</v>
      </c>
      <c r="O1864" s="18">
        <v>166.78</v>
      </c>
      <c r="P1864" s="18">
        <v>136.69999999999999</v>
      </c>
      <c r="Q1864" s="18">
        <v>141.76</v>
      </c>
      <c r="R1864" s="18">
        <v>116.2</v>
      </c>
      <c r="S1864" s="18">
        <v>113.41</v>
      </c>
      <c r="T1864" s="18">
        <v>92.96</v>
      </c>
      <c r="U1864" s="16"/>
      <c r="V1864" s="16"/>
      <c r="W1864" s="16" t="s">
        <v>40</v>
      </c>
      <c r="X1864" s="19">
        <v>2.5999999999999999E-2</v>
      </c>
      <c r="Y1864" s="20">
        <v>4.0000000000000003E-5</v>
      </c>
      <c r="Z1864" s="21">
        <v>4601004192195</v>
      </c>
    </row>
    <row r="1865" spans="1:26" ht="12" customHeight="1" outlineLevel="4" x14ac:dyDescent="0.2">
      <c r="A1865" s="14" t="s">
        <v>3682</v>
      </c>
      <c r="B1865" s="26" t="s">
        <v>3683</v>
      </c>
      <c r="C1865" s="52"/>
      <c r="D1865" s="55">
        <f t="shared" ref="D1865:D1928" si="29">C1865*(O1865-O1865*$G$3)</f>
        <v>0</v>
      </c>
      <c r="E1865" s="63" t="str">
        <f>HYPERLINK("https://www.sds-group.ru/product/gilza-mednaya-gm-6-4-6mm-4mm-v-upak-10-sht-rexant-07-5353-1/", "Инфо")</f>
        <v>Инфо</v>
      </c>
      <c r="F1865" s="16" t="s">
        <v>39</v>
      </c>
      <c r="G1865" s="15"/>
      <c r="H1865" s="15"/>
      <c r="I1865" s="15"/>
      <c r="J1865" s="22">
        <v>11900</v>
      </c>
      <c r="K1865" s="15"/>
      <c r="L1865" s="17">
        <v>10</v>
      </c>
      <c r="M1865" s="22">
        <v>1000</v>
      </c>
      <c r="N1865" s="17">
        <v>10</v>
      </c>
      <c r="O1865" s="18">
        <v>32.020000000000003</v>
      </c>
      <c r="P1865" s="18">
        <v>26.25</v>
      </c>
      <c r="Q1865" s="18">
        <v>27.22</v>
      </c>
      <c r="R1865" s="18">
        <v>22.31</v>
      </c>
      <c r="S1865" s="18">
        <v>21.77</v>
      </c>
      <c r="T1865" s="18">
        <v>17.84</v>
      </c>
      <c r="U1865" s="16"/>
      <c r="V1865" s="16"/>
      <c r="W1865" s="16" t="s">
        <v>40</v>
      </c>
      <c r="X1865" s="19">
        <v>3.0000000000000001E-3</v>
      </c>
      <c r="Y1865" s="20">
        <v>2.4000000000000001E-5</v>
      </c>
      <c r="Z1865" s="21">
        <v>4601004137271</v>
      </c>
    </row>
    <row r="1866" spans="1:26" ht="12" customHeight="1" outlineLevel="4" x14ac:dyDescent="0.2">
      <c r="A1866" s="14" t="s">
        <v>3684</v>
      </c>
      <c r="B1866" s="26" t="s">
        <v>3685</v>
      </c>
      <c r="C1866" s="52"/>
      <c r="D1866" s="55">
        <f t="shared" si="29"/>
        <v>0</v>
      </c>
      <c r="E1866" s="63" t="str">
        <f>HYPERLINK("https://www.sds-group.ru/product/gilza-mednaya-gm-6-4-6mm-4mm-v-upak-100-sht-rexant-07-5353-3/", "Инфо")</f>
        <v>Инфо</v>
      </c>
      <c r="F1866" s="16" t="s">
        <v>39</v>
      </c>
      <c r="G1866" s="15"/>
      <c r="H1866" s="15"/>
      <c r="I1866" s="15"/>
      <c r="J1866" s="22">
        <v>175300</v>
      </c>
      <c r="K1866" s="15"/>
      <c r="L1866" s="17">
        <v>100</v>
      </c>
      <c r="M1866" s="22">
        <v>3000</v>
      </c>
      <c r="N1866" s="17">
        <v>100</v>
      </c>
      <c r="O1866" s="18">
        <v>33.840000000000003</v>
      </c>
      <c r="P1866" s="18">
        <v>27.74</v>
      </c>
      <c r="Q1866" s="18">
        <v>28.76</v>
      </c>
      <c r="R1866" s="18">
        <v>23.57</v>
      </c>
      <c r="S1866" s="18">
        <v>23.01</v>
      </c>
      <c r="T1866" s="18">
        <v>18.86</v>
      </c>
      <c r="U1866" s="16"/>
      <c r="V1866" s="16"/>
      <c r="W1866" s="16" t="s">
        <v>40</v>
      </c>
      <c r="X1866" s="19">
        <v>3.0000000000000001E-3</v>
      </c>
      <c r="Y1866" s="20">
        <v>3.9999999999999998E-6</v>
      </c>
      <c r="Z1866" s="21">
        <v>4601004195202</v>
      </c>
    </row>
    <row r="1867" spans="1:26" ht="12" customHeight="1" outlineLevel="4" x14ac:dyDescent="0.2">
      <c r="A1867" s="14" t="s">
        <v>3686</v>
      </c>
      <c r="B1867" s="26" t="s">
        <v>3687</v>
      </c>
      <c r="C1867" s="52"/>
      <c r="D1867" s="55">
        <f t="shared" si="29"/>
        <v>0</v>
      </c>
      <c r="E1867" s="63" t="str">
        <f>HYPERLINK("https://www.sds-group.ru/product/gilza-mednaya-gm-70-13-70mm-13mm-v-upak-25-sht-rexant-07-5359-4/", "Инфо")</f>
        <v>Инфо</v>
      </c>
      <c r="F1867" s="16" t="s">
        <v>39</v>
      </c>
      <c r="G1867" s="15"/>
      <c r="H1867" s="15"/>
      <c r="I1867" s="15"/>
      <c r="J1867" s="22">
        <v>2150</v>
      </c>
      <c r="K1867" s="15"/>
      <c r="L1867" s="17">
        <v>25</v>
      </c>
      <c r="M1867" s="17">
        <v>25</v>
      </c>
      <c r="N1867" s="17">
        <v>25</v>
      </c>
      <c r="O1867" s="18">
        <v>211.02</v>
      </c>
      <c r="P1867" s="18">
        <v>172.97</v>
      </c>
      <c r="Q1867" s="18">
        <v>179.37</v>
      </c>
      <c r="R1867" s="18">
        <v>147.02000000000001</v>
      </c>
      <c r="S1867" s="18">
        <v>143.49</v>
      </c>
      <c r="T1867" s="18">
        <v>117.61</v>
      </c>
      <c r="U1867" s="16"/>
      <c r="V1867" s="16"/>
      <c r="W1867" s="16" t="s">
        <v>40</v>
      </c>
      <c r="X1867" s="19">
        <v>2.5999999999999999E-2</v>
      </c>
      <c r="Y1867" s="20">
        <v>3.6000000000000001E-5</v>
      </c>
      <c r="Z1867" s="21">
        <v>4601004340022</v>
      </c>
    </row>
    <row r="1868" spans="1:26" ht="12" customHeight="1" outlineLevel="4" x14ac:dyDescent="0.2">
      <c r="A1868" s="14" t="s">
        <v>3688</v>
      </c>
      <c r="B1868" s="26" t="s">
        <v>3689</v>
      </c>
      <c r="C1868" s="52"/>
      <c r="D1868" s="55">
        <f t="shared" si="29"/>
        <v>0</v>
      </c>
      <c r="E1868" s="63" t="str">
        <f>HYPERLINK("https://www.sds-group.ru/product/gilza-kabelnaya-mednaya-gm-95-15-25mm-sup2-oslash-7mm-v-upak-25-sht-rexant-25398/", "Инфо")</f>
        <v>Инфо</v>
      </c>
      <c r="F1868" s="16" t="s">
        <v>39</v>
      </c>
      <c r="G1868" s="15"/>
      <c r="H1868" s="15"/>
      <c r="I1868" s="15" t="s">
        <v>3535</v>
      </c>
      <c r="J1868" s="16" t="s">
        <v>100</v>
      </c>
      <c r="K1868" s="15" t="s">
        <v>1888</v>
      </c>
      <c r="L1868" s="17">
        <v>25</v>
      </c>
      <c r="M1868" s="17">
        <v>200</v>
      </c>
      <c r="N1868" s="17">
        <v>25</v>
      </c>
      <c r="O1868" s="18">
        <v>371.9</v>
      </c>
      <c r="P1868" s="18">
        <v>304.83999999999997</v>
      </c>
      <c r="Q1868" s="18">
        <v>316.12</v>
      </c>
      <c r="R1868" s="18">
        <v>259.11</v>
      </c>
      <c r="S1868" s="18">
        <v>252.89</v>
      </c>
      <c r="T1868" s="18">
        <v>207.29</v>
      </c>
      <c r="U1868" s="16"/>
      <c r="V1868" s="16"/>
      <c r="W1868" s="16" t="s">
        <v>40</v>
      </c>
      <c r="X1868" s="19">
        <v>6.4000000000000001E-2</v>
      </c>
      <c r="Y1868" s="20">
        <v>8.0000000000000007E-5</v>
      </c>
      <c r="Z1868" s="21">
        <v>4601004191938</v>
      </c>
    </row>
    <row r="1869" spans="1:26" ht="12.95" customHeight="1" outlineLevel="3" x14ac:dyDescent="0.2">
      <c r="A1869" s="76" t="s">
        <v>3690</v>
      </c>
      <c r="B1869" s="76"/>
      <c r="C1869" s="77"/>
      <c r="D1869" s="58"/>
      <c r="E1869" s="68"/>
      <c r="F1869" s="13"/>
      <c r="G1869" s="13"/>
      <c r="H1869" s="13"/>
      <c r="I1869" s="13"/>
      <c r="J1869" s="13"/>
      <c r="K1869" s="13"/>
      <c r="L1869" s="13"/>
      <c r="M1869" s="13"/>
      <c r="N1869" s="13"/>
      <c r="O1869" s="13"/>
      <c r="P1869" s="13"/>
      <c r="Q1869" s="13"/>
      <c r="R1869" s="13"/>
      <c r="S1869" s="13"/>
      <c r="T1869" s="13"/>
      <c r="U1869" s="13"/>
      <c r="V1869" s="13"/>
      <c r="W1869" s="13"/>
      <c r="X1869" s="13"/>
      <c r="Y1869" s="13"/>
      <c r="Z1869" s="13"/>
    </row>
    <row r="1870" spans="1:26" ht="12" customHeight="1" outlineLevel="4" x14ac:dyDescent="0.2">
      <c r="A1870" s="14" t="s">
        <v>3691</v>
      </c>
      <c r="B1870" s="26" t="s">
        <v>3692</v>
      </c>
      <c r="C1870" s="52"/>
      <c r="D1870" s="55">
        <f t="shared" si="29"/>
        <v>0</v>
      </c>
      <c r="E1870" s="63" t="str">
        <f>HYPERLINK("https://www.sds-group.ru/product/gilza-kabelnaya-alyuminievaya-ga-16-5-4-16mm-5-4mm-v-upak-100-sht-rexant-07-5355-7/", "Инфо")</f>
        <v>Инфо</v>
      </c>
      <c r="F1870" s="16" t="s">
        <v>39</v>
      </c>
      <c r="G1870" s="15"/>
      <c r="H1870" s="15"/>
      <c r="I1870" s="15"/>
      <c r="J1870" s="22">
        <v>31000</v>
      </c>
      <c r="K1870" s="15"/>
      <c r="L1870" s="17">
        <v>100</v>
      </c>
      <c r="M1870" s="17">
        <v>100</v>
      </c>
      <c r="N1870" s="17">
        <v>100</v>
      </c>
      <c r="O1870" s="18">
        <v>34.64</v>
      </c>
      <c r="P1870" s="18">
        <v>28.39</v>
      </c>
      <c r="Q1870" s="18">
        <v>29.44</v>
      </c>
      <c r="R1870" s="18">
        <v>24.13</v>
      </c>
      <c r="S1870" s="18">
        <v>23.56</v>
      </c>
      <c r="T1870" s="18">
        <v>19.309999999999999</v>
      </c>
      <c r="U1870" s="16"/>
      <c r="V1870" s="16"/>
      <c r="W1870" s="16" t="s">
        <v>40</v>
      </c>
      <c r="X1870" s="19">
        <v>8.0000000000000002E-3</v>
      </c>
      <c r="Y1870" s="20">
        <v>1.1E-5</v>
      </c>
      <c r="Z1870" s="21">
        <v>4601004190559</v>
      </c>
    </row>
    <row r="1871" spans="1:26" ht="12" customHeight="1" outlineLevel="4" x14ac:dyDescent="0.2">
      <c r="A1871" s="14" t="s">
        <v>3693</v>
      </c>
      <c r="B1871" s="26" t="s">
        <v>3694</v>
      </c>
      <c r="C1871" s="52"/>
      <c r="D1871" s="55">
        <f t="shared" si="29"/>
        <v>0</v>
      </c>
      <c r="E1871" s="63" t="str">
        <f>HYPERLINK("https://www.sds-group.ru/product/gilza-kabelnaya-alyuminievaya-ga-120-14-120mm-14mm-v-upak-25-sht-rexant-07-5361-7/", "Инфо")</f>
        <v>Инфо</v>
      </c>
      <c r="F1871" s="16" t="s">
        <v>39</v>
      </c>
      <c r="G1871" s="15"/>
      <c r="H1871" s="15"/>
      <c r="I1871" s="15" t="s">
        <v>3535</v>
      </c>
      <c r="J1871" s="22">
        <v>5125</v>
      </c>
      <c r="K1871" s="15"/>
      <c r="L1871" s="17">
        <v>25</v>
      </c>
      <c r="M1871" s="17">
        <v>25</v>
      </c>
      <c r="N1871" s="17">
        <v>25</v>
      </c>
      <c r="O1871" s="18">
        <v>159.19999999999999</v>
      </c>
      <c r="P1871" s="18">
        <v>130.49</v>
      </c>
      <c r="Q1871" s="18">
        <v>135.32</v>
      </c>
      <c r="R1871" s="18">
        <v>110.92</v>
      </c>
      <c r="S1871" s="18">
        <v>108.26</v>
      </c>
      <c r="T1871" s="18">
        <v>88.74</v>
      </c>
      <c r="U1871" s="16"/>
      <c r="V1871" s="16"/>
      <c r="W1871" s="16" t="s">
        <v>40</v>
      </c>
      <c r="X1871" s="19">
        <v>5.2999999999999999E-2</v>
      </c>
      <c r="Y1871" s="20">
        <v>7.7000000000000001E-5</v>
      </c>
      <c r="Z1871" s="21">
        <v>4601004191969</v>
      </c>
    </row>
    <row r="1872" spans="1:26" ht="12" customHeight="1" outlineLevel="4" x14ac:dyDescent="0.2">
      <c r="A1872" s="14" t="s">
        <v>3695</v>
      </c>
      <c r="B1872" s="26" t="s">
        <v>3696</v>
      </c>
      <c r="C1872" s="52"/>
      <c r="D1872" s="55">
        <f t="shared" si="29"/>
        <v>0</v>
      </c>
      <c r="E1872" s="63" t="str">
        <f>HYPERLINK("https://www.sds-group.ru/product/gilza-kabelnaya-alyuminievaya-ga-150-17-150mm-sup2-oslash-17mm-v-upak-10-sht-rexant-25273/", "Инфо")</f>
        <v>Инфо</v>
      </c>
      <c r="F1872" s="16" t="s">
        <v>39</v>
      </c>
      <c r="G1872" s="15"/>
      <c r="H1872" s="15"/>
      <c r="I1872" s="15" t="s">
        <v>3538</v>
      </c>
      <c r="J1872" s="22">
        <v>3200</v>
      </c>
      <c r="K1872" s="15"/>
      <c r="L1872" s="17">
        <v>10</v>
      </c>
      <c r="M1872" s="17">
        <v>10</v>
      </c>
      <c r="N1872" s="17">
        <v>10</v>
      </c>
      <c r="O1872" s="18">
        <v>183.92</v>
      </c>
      <c r="P1872" s="18">
        <v>150.75</v>
      </c>
      <c r="Q1872" s="18">
        <v>156.33000000000001</v>
      </c>
      <c r="R1872" s="18">
        <v>128.13999999999999</v>
      </c>
      <c r="S1872" s="18">
        <v>125.07</v>
      </c>
      <c r="T1872" s="18">
        <v>102.52</v>
      </c>
      <c r="U1872" s="16"/>
      <c r="V1872" s="16"/>
      <c r="W1872" s="16" t="s">
        <v>40</v>
      </c>
      <c r="X1872" s="19">
        <v>5.8000000000000003E-2</v>
      </c>
      <c r="Y1872" s="20">
        <v>1.25E-4</v>
      </c>
      <c r="Z1872" s="21">
        <v>4601004191792</v>
      </c>
    </row>
    <row r="1873" spans="1:26" ht="12" customHeight="1" outlineLevel="4" x14ac:dyDescent="0.2">
      <c r="A1873" s="14" t="s">
        <v>3697</v>
      </c>
      <c r="B1873" s="26" t="s">
        <v>3698</v>
      </c>
      <c r="C1873" s="52"/>
      <c r="D1873" s="55">
        <f t="shared" si="29"/>
        <v>0</v>
      </c>
      <c r="E1873" s="63" t="str">
        <f>HYPERLINK("https://www.sds-group.ru/product/gilza-kabelnaya-alyuminievaya-ga-185-19-185mm-sup2-oslash-19mm-v-upak-10-sht-rexant-pod-zakaz-25342/", "Инфо")</f>
        <v>Инфо</v>
      </c>
      <c r="F1873" s="16" t="s">
        <v>39</v>
      </c>
      <c r="G1873" s="15"/>
      <c r="H1873" s="15"/>
      <c r="I1873" s="15" t="s">
        <v>3543</v>
      </c>
      <c r="J1873" s="17">
        <v>600</v>
      </c>
      <c r="K1873" s="15"/>
      <c r="L1873" s="17">
        <v>10</v>
      </c>
      <c r="M1873" s="17">
        <v>10</v>
      </c>
      <c r="N1873" s="17">
        <v>10</v>
      </c>
      <c r="O1873" s="18">
        <v>201.07</v>
      </c>
      <c r="P1873" s="18">
        <v>164.81</v>
      </c>
      <c r="Q1873" s="18">
        <v>170.91</v>
      </c>
      <c r="R1873" s="18">
        <v>140.09</v>
      </c>
      <c r="S1873" s="18">
        <v>136.72999999999999</v>
      </c>
      <c r="T1873" s="18">
        <v>112.07</v>
      </c>
      <c r="U1873" s="16"/>
      <c r="V1873" s="16"/>
      <c r="W1873" s="16" t="s">
        <v>40</v>
      </c>
      <c r="X1873" s="19">
        <v>6.6000000000000003E-2</v>
      </c>
      <c r="Y1873" s="20">
        <v>1.25E-4</v>
      </c>
      <c r="Z1873" s="21">
        <v>4601004191587</v>
      </c>
    </row>
    <row r="1874" spans="1:26" ht="12" customHeight="1" outlineLevel="4" x14ac:dyDescent="0.2">
      <c r="A1874" s="14" t="s">
        <v>3699</v>
      </c>
      <c r="B1874" s="26" t="s">
        <v>3700</v>
      </c>
      <c r="C1874" s="52"/>
      <c r="D1874" s="55">
        <f t="shared" si="29"/>
        <v>0</v>
      </c>
      <c r="E1874" s="63" t="str">
        <f>HYPERLINK("https://www.sds-group.ru/product/gilza-kabelnaya-alyuminievaya-ga-240-20-240mm-sup2-oslash-20mm-v-upak-10-sht-rexant-pod-zakaz-25344/", "Инфо")</f>
        <v>Инфо</v>
      </c>
      <c r="F1874" s="16" t="s">
        <v>39</v>
      </c>
      <c r="G1874" s="15"/>
      <c r="H1874" s="15"/>
      <c r="I1874" s="15" t="s">
        <v>3543</v>
      </c>
      <c r="J1874" s="22">
        <v>6050</v>
      </c>
      <c r="K1874" s="15"/>
      <c r="L1874" s="17">
        <v>10</v>
      </c>
      <c r="M1874" s="17">
        <v>130</v>
      </c>
      <c r="N1874" s="17">
        <v>10</v>
      </c>
      <c r="O1874" s="18">
        <v>244.23</v>
      </c>
      <c r="P1874" s="18">
        <v>200.19</v>
      </c>
      <c r="Q1874" s="18">
        <v>207.6</v>
      </c>
      <c r="R1874" s="18">
        <v>170.16</v>
      </c>
      <c r="S1874" s="18">
        <v>166.08</v>
      </c>
      <c r="T1874" s="18">
        <v>136.13</v>
      </c>
      <c r="U1874" s="16"/>
      <c r="V1874" s="16"/>
      <c r="W1874" s="16" t="s">
        <v>40</v>
      </c>
      <c r="X1874" s="19">
        <v>7.3999999999999996E-2</v>
      </c>
      <c r="Y1874" s="20">
        <v>1.6200000000000001E-4</v>
      </c>
      <c r="Z1874" s="21">
        <v>4601004191594</v>
      </c>
    </row>
    <row r="1875" spans="1:26" ht="12" customHeight="1" outlineLevel="4" x14ac:dyDescent="0.2">
      <c r="A1875" s="14" t="s">
        <v>3701</v>
      </c>
      <c r="B1875" s="26" t="s">
        <v>3702</v>
      </c>
      <c r="C1875" s="52"/>
      <c r="D1875" s="55">
        <f t="shared" si="29"/>
        <v>0</v>
      </c>
      <c r="E1875" s="63" t="str">
        <f>HYPERLINK("https://www.sds-group.ru/product/gilza-kabelnaya-alyuminievaya-ga-25-7-25mm-7mm-v-upak-50-sht-rexant-07-5356-7/", "Инфо")</f>
        <v>Инфо</v>
      </c>
      <c r="F1875" s="16" t="s">
        <v>39</v>
      </c>
      <c r="G1875" s="15"/>
      <c r="H1875" s="15"/>
      <c r="I1875" s="15"/>
      <c r="J1875" s="22">
        <v>12800</v>
      </c>
      <c r="K1875" s="15" t="s">
        <v>1408</v>
      </c>
      <c r="L1875" s="17">
        <v>50</v>
      </c>
      <c r="M1875" s="17">
        <v>1</v>
      </c>
      <c r="N1875" s="17">
        <v>50</v>
      </c>
      <c r="O1875" s="18">
        <v>41.24</v>
      </c>
      <c r="P1875" s="18">
        <v>33.799999999999997</v>
      </c>
      <c r="Q1875" s="18">
        <v>35.049999999999997</v>
      </c>
      <c r="R1875" s="18">
        <v>28.73</v>
      </c>
      <c r="S1875" s="18">
        <v>28.04</v>
      </c>
      <c r="T1875" s="18">
        <v>22.98</v>
      </c>
      <c r="U1875" s="16"/>
      <c r="V1875" s="16"/>
      <c r="W1875" s="16" t="s">
        <v>40</v>
      </c>
      <c r="X1875" s="19">
        <v>1.2E-2</v>
      </c>
      <c r="Y1875" s="20">
        <v>7.9999999999999996E-6</v>
      </c>
      <c r="Z1875" s="21">
        <v>4601004190566</v>
      </c>
    </row>
    <row r="1876" spans="1:26" ht="12" customHeight="1" outlineLevel="4" x14ac:dyDescent="0.2">
      <c r="A1876" s="14" t="s">
        <v>3703</v>
      </c>
      <c r="B1876" s="26" t="s">
        <v>3704</v>
      </c>
      <c r="C1876" s="52"/>
      <c r="D1876" s="55">
        <f t="shared" si="29"/>
        <v>0</v>
      </c>
      <c r="E1876" s="63" t="str">
        <f>HYPERLINK("https://www.sds-group.ru/product/gilza-kabelnaya-alyuminievaya-ga-35-8-35mm-8mm-v-upak-50-sht-rexant-07-5357-7/", "Инфо")</f>
        <v>Инфо</v>
      </c>
      <c r="F1876" s="16" t="s">
        <v>39</v>
      </c>
      <c r="G1876" s="15"/>
      <c r="H1876" s="15"/>
      <c r="I1876" s="15" t="s">
        <v>3562</v>
      </c>
      <c r="J1876" s="22">
        <v>7300</v>
      </c>
      <c r="K1876" s="15" t="s">
        <v>1408</v>
      </c>
      <c r="L1876" s="17">
        <v>50</v>
      </c>
      <c r="M1876" s="17">
        <v>150</v>
      </c>
      <c r="N1876" s="17">
        <v>50</v>
      </c>
      <c r="O1876" s="18">
        <v>42.87</v>
      </c>
      <c r="P1876" s="18">
        <v>35.14</v>
      </c>
      <c r="Q1876" s="18">
        <v>30.01</v>
      </c>
      <c r="R1876" s="18">
        <v>24.6</v>
      </c>
      <c r="S1876" s="18">
        <v>29.15</v>
      </c>
      <c r="T1876" s="18">
        <v>23.89</v>
      </c>
      <c r="U1876" s="16"/>
      <c r="V1876" s="16"/>
      <c r="W1876" s="16"/>
      <c r="X1876" s="19">
        <v>1.9E-2</v>
      </c>
      <c r="Y1876" s="20">
        <v>3.4999999999999997E-5</v>
      </c>
      <c r="Z1876" s="21">
        <v>4601004192201</v>
      </c>
    </row>
    <row r="1877" spans="1:26" ht="12" customHeight="1" outlineLevel="4" x14ac:dyDescent="0.2">
      <c r="A1877" s="14" t="s">
        <v>3705</v>
      </c>
      <c r="B1877" s="26" t="s">
        <v>3706</v>
      </c>
      <c r="C1877" s="52"/>
      <c r="D1877" s="55">
        <f t="shared" si="29"/>
        <v>0</v>
      </c>
      <c r="E1877" s="63" t="str">
        <f>HYPERLINK("https://www.sds-group.ru/product/gilza-kabelnaya-alyuminievaya-ga-50-9-50mm-9mm-v-upak-50-sht-rexant-07-5358-7/", "Инфо")</f>
        <v>Инфо</v>
      </c>
      <c r="F1877" s="16" t="s">
        <v>39</v>
      </c>
      <c r="G1877" s="15"/>
      <c r="H1877" s="15"/>
      <c r="I1877" s="15"/>
      <c r="J1877" s="22">
        <v>6100</v>
      </c>
      <c r="K1877" s="15"/>
      <c r="L1877" s="17">
        <v>50</v>
      </c>
      <c r="M1877" s="17">
        <v>50</v>
      </c>
      <c r="N1877" s="17">
        <v>50</v>
      </c>
      <c r="O1877" s="18">
        <v>75.95</v>
      </c>
      <c r="P1877" s="18">
        <v>62.25</v>
      </c>
      <c r="Q1877" s="18">
        <v>64.56</v>
      </c>
      <c r="R1877" s="18">
        <v>52.92</v>
      </c>
      <c r="S1877" s="18">
        <v>51.65</v>
      </c>
      <c r="T1877" s="18">
        <v>42.34</v>
      </c>
      <c r="U1877" s="16"/>
      <c r="V1877" s="16"/>
      <c r="W1877" s="16" t="s">
        <v>40</v>
      </c>
      <c r="X1877" s="19">
        <v>2.1999999999999999E-2</v>
      </c>
      <c r="Y1877" s="20">
        <v>4.3000000000000002E-5</v>
      </c>
      <c r="Z1877" s="21">
        <v>4601004192218</v>
      </c>
    </row>
    <row r="1878" spans="1:26" ht="12" customHeight="1" outlineLevel="4" x14ac:dyDescent="0.2">
      <c r="A1878" s="14" t="s">
        <v>3707</v>
      </c>
      <c r="B1878" s="26" t="s">
        <v>3708</v>
      </c>
      <c r="C1878" s="52"/>
      <c r="D1878" s="55">
        <f t="shared" si="29"/>
        <v>0</v>
      </c>
      <c r="E1878" s="63" t="str">
        <f>HYPERLINK("https://www.sds-group.ru/product/gilza-kabelnaya-alyuminievaya-ga-70-12-70mm-12mm-v-upak-25-sht-rexant-07-5359-7/", "Инфо")</f>
        <v>Инфо</v>
      </c>
      <c r="F1878" s="16" t="s">
        <v>39</v>
      </c>
      <c r="G1878" s="15"/>
      <c r="H1878" s="15"/>
      <c r="I1878" s="15"/>
      <c r="J1878" s="22">
        <v>5150</v>
      </c>
      <c r="K1878" s="15"/>
      <c r="L1878" s="17">
        <v>25</v>
      </c>
      <c r="M1878" s="17">
        <v>1</v>
      </c>
      <c r="N1878" s="17">
        <v>25</v>
      </c>
      <c r="O1878" s="18">
        <v>91.83</v>
      </c>
      <c r="P1878" s="18">
        <v>75.27</v>
      </c>
      <c r="Q1878" s="18">
        <v>78.06</v>
      </c>
      <c r="R1878" s="18">
        <v>63.98</v>
      </c>
      <c r="S1878" s="18">
        <v>62.44</v>
      </c>
      <c r="T1878" s="18">
        <v>51.18</v>
      </c>
      <c r="U1878" s="16"/>
      <c r="V1878" s="16"/>
      <c r="W1878" s="16" t="s">
        <v>40</v>
      </c>
      <c r="X1878" s="19">
        <v>2.9000000000000001E-2</v>
      </c>
      <c r="Y1878" s="20">
        <v>4.0000000000000003E-5</v>
      </c>
      <c r="Z1878" s="21">
        <v>4601004191945</v>
      </c>
    </row>
    <row r="1879" spans="1:26" ht="12" customHeight="1" outlineLevel="4" x14ac:dyDescent="0.2">
      <c r="A1879" s="14" t="s">
        <v>3709</v>
      </c>
      <c r="B1879" s="26" t="s">
        <v>3710</v>
      </c>
      <c r="C1879" s="52"/>
      <c r="D1879" s="55">
        <f t="shared" si="29"/>
        <v>0</v>
      </c>
      <c r="E1879" s="63" t="str">
        <f>HYPERLINK("https://www.sds-group.ru/product/gilza-kabelnaya-alyuminievaya-ga-95-13-95mm-sup2-oslash-13mm-v-upak-25-sht-rexant-25338/", "Инфо")</f>
        <v>Инфо</v>
      </c>
      <c r="F1879" s="16" t="s">
        <v>39</v>
      </c>
      <c r="G1879" s="15"/>
      <c r="H1879" s="15"/>
      <c r="I1879" s="15" t="s">
        <v>3535</v>
      </c>
      <c r="J1879" s="22">
        <v>2400</v>
      </c>
      <c r="K1879" s="15"/>
      <c r="L1879" s="17">
        <v>25</v>
      </c>
      <c r="M1879" s="17">
        <v>25</v>
      </c>
      <c r="N1879" s="17">
        <v>25</v>
      </c>
      <c r="O1879" s="18">
        <v>113.13</v>
      </c>
      <c r="P1879" s="18">
        <v>92.73</v>
      </c>
      <c r="Q1879" s="18">
        <v>96.16</v>
      </c>
      <c r="R1879" s="18">
        <v>78.819999999999993</v>
      </c>
      <c r="S1879" s="18">
        <v>76.930000000000007</v>
      </c>
      <c r="T1879" s="18">
        <v>63.06</v>
      </c>
      <c r="U1879" s="16"/>
      <c r="V1879" s="16"/>
      <c r="W1879" s="16" t="s">
        <v>40</v>
      </c>
      <c r="X1879" s="19">
        <v>4.1000000000000002E-2</v>
      </c>
      <c r="Y1879" s="20">
        <v>4.0000000000000003E-5</v>
      </c>
      <c r="Z1879" s="21">
        <v>4601004191952</v>
      </c>
    </row>
    <row r="1880" spans="1:26" ht="12.95" customHeight="1" outlineLevel="3" x14ac:dyDescent="0.2">
      <c r="A1880" s="76" t="s">
        <v>3711</v>
      </c>
      <c r="B1880" s="76"/>
      <c r="C1880" s="77"/>
      <c r="D1880" s="58"/>
      <c r="E1880" s="68"/>
      <c r="F1880" s="13"/>
      <c r="G1880" s="13"/>
      <c r="H1880" s="13"/>
      <c r="I1880" s="13"/>
      <c r="J1880" s="13"/>
      <c r="K1880" s="13"/>
      <c r="L1880" s="13"/>
      <c r="M1880" s="13"/>
      <c r="N1880" s="13"/>
      <c r="O1880" s="13"/>
      <c r="P1880" s="13"/>
      <c r="Q1880" s="13"/>
      <c r="R1880" s="13"/>
      <c r="S1880" s="13"/>
      <c r="T1880" s="13"/>
      <c r="U1880" s="13"/>
      <c r="V1880" s="13"/>
      <c r="W1880" s="13"/>
      <c r="X1880" s="13"/>
      <c r="Y1880" s="13"/>
      <c r="Z1880" s="13"/>
    </row>
    <row r="1881" spans="1:26" ht="12" customHeight="1" outlineLevel="4" x14ac:dyDescent="0.2">
      <c r="A1881" s="14" t="s">
        <v>3712</v>
      </c>
      <c r="B1881" s="26" t="s">
        <v>3713</v>
      </c>
      <c r="C1881" s="52"/>
      <c r="D1881" s="55">
        <f t="shared" si="29"/>
        <v>0</v>
      </c>
      <c r="E1881" s="63" t="str">
        <f>HYPERLINK("https://www.sds-group.ru/product/shayba-alyumomednaya-sham-24-11-v-upak-100-sht-rexant-07-4151/", "Инфо")</f>
        <v>Инфо</v>
      </c>
      <c r="F1881" s="16" t="s">
        <v>39</v>
      </c>
      <c r="G1881" s="15"/>
      <c r="H1881" s="15"/>
      <c r="I1881" s="15"/>
      <c r="J1881" s="22">
        <v>4600</v>
      </c>
      <c r="K1881" s="15"/>
      <c r="L1881" s="17">
        <v>100</v>
      </c>
      <c r="M1881" s="22">
        <v>2500</v>
      </c>
      <c r="N1881" s="17">
        <v>100</v>
      </c>
      <c r="O1881" s="18">
        <v>192.39</v>
      </c>
      <c r="P1881" s="18">
        <v>157.69999999999999</v>
      </c>
      <c r="Q1881" s="18">
        <v>163.53</v>
      </c>
      <c r="R1881" s="18">
        <v>134.04</v>
      </c>
      <c r="S1881" s="18">
        <v>130.83000000000001</v>
      </c>
      <c r="T1881" s="18">
        <v>107.24</v>
      </c>
      <c r="U1881" s="16"/>
      <c r="V1881" s="16"/>
      <c r="W1881" s="16" t="s">
        <v>40</v>
      </c>
      <c r="X1881" s="19">
        <v>2E-3</v>
      </c>
      <c r="Y1881" s="20">
        <v>5.0000000000000004E-6</v>
      </c>
      <c r="Z1881" s="21">
        <v>4601004190689</v>
      </c>
    </row>
    <row r="1882" spans="1:26" ht="12" customHeight="1" outlineLevel="4" x14ac:dyDescent="0.2">
      <c r="A1882" s="14" t="s">
        <v>3714</v>
      </c>
      <c r="B1882" s="26" t="s">
        <v>3715</v>
      </c>
      <c r="C1882" s="52"/>
      <c r="D1882" s="55">
        <f t="shared" si="29"/>
        <v>0</v>
      </c>
      <c r="E1882" s="63" t="str">
        <f>HYPERLINK("https://www.sds-group.ru/product/shayba-alyumomednaya-sham-28-13-v-upak-100-sht-rexant-07-4152/", "Инфо")</f>
        <v>Инфо</v>
      </c>
      <c r="F1882" s="16" t="s">
        <v>39</v>
      </c>
      <c r="G1882" s="15"/>
      <c r="H1882" s="15"/>
      <c r="I1882" s="15"/>
      <c r="J1882" s="16" t="s">
        <v>100</v>
      </c>
      <c r="K1882" s="15" t="s">
        <v>1408</v>
      </c>
      <c r="L1882" s="17">
        <v>100</v>
      </c>
      <c r="M1882" s="22">
        <v>2500</v>
      </c>
      <c r="N1882" s="17">
        <v>100</v>
      </c>
      <c r="O1882" s="18">
        <v>198.22</v>
      </c>
      <c r="P1882" s="18">
        <v>162.47999999999999</v>
      </c>
      <c r="Q1882" s="18">
        <v>168.49</v>
      </c>
      <c r="R1882" s="18">
        <v>138.11000000000001</v>
      </c>
      <c r="S1882" s="18">
        <v>134.79</v>
      </c>
      <c r="T1882" s="18">
        <v>110.48</v>
      </c>
      <c r="U1882" s="16"/>
      <c r="V1882" s="16"/>
      <c r="W1882" s="16" t="s">
        <v>40</v>
      </c>
      <c r="X1882" s="19">
        <v>3.0000000000000001E-3</v>
      </c>
      <c r="Y1882" s="20">
        <v>7.9999999999999996E-6</v>
      </c>
      <c r="Z1882" s="21">
        <v>4601004190696</v>
      </c>
    </row>
    <row r="1883" spans="1:26" ht="12" customHeight="1" outlineLevel="4" x14ac:dyDescent="0.2">
      <c r="A1883" s="14" t="s">
        <v>3716</v>
      </c>
      <c r="B1883" s="26" t="s">
        <v>3717</v>
      </c>
      <c r="C1883" s="52"/>
      <c r="D1883" s="55">
        <f t="shared" si="29"/>
        <v>0</v>
      </c>
      <c r="E1883" s="63" t="str">
        <f>HYPERLINK("https://www.sds-group.ru/product/shayba-alyumomednaya-sham-40-17-v-upak-100-sht-rexant-07-4153/", "Инфо")</f>
        <v>Инфо</v>
      </c>
      <c r="F1883" s="16" t="s">
        <v>39</v>
      </c>
      <c r="G1883" s="15"/>
      <c r="H1883" s="15"/>
      <c r="I1883" s="15"/>
      <c r="J1883" s="17">
        <v>600</v>
      </c>
      <c r="K1883" s="15" t="s">
        <v>1408</v>
      </c>
      <c r="L1883" s="17">
        <v>100</v>
      </c>
      <c r="M1883" s="17">
        <v>500</v>
      </c>
      <c r="N1883" s="17">
        <v>100</v>
      </c>
      <c r="O1883" s="18">
        <v>286.2</v>
      </c>
      <c r="P1883" s="18">
        <v>234.59</v>
      </c>
      <c r="Q1883" s="18">
        <v>243.27</v>
      </c>
      <c r="R1883" s="18">
        <v>199.4</v>
      </c>
      <c r="S1883" s="18">
        <v>194.62</v>
      </c>
      <c r="T1883" s="18">
        <v>159.52000000000001</v>
      </c>
      <c r="U1883" s="16"/>
      <c r="V1883" s="16"/>
      <c r="W1883" s="16" t="s">
        <v>40</v>
      </c>
      <c r="X1883" s="19">
        <v>5.0000000000000001E-3</v>
      </c>
      <c r="Y1883" s="20">
        <v>1.0000000000000001E-5</v>
      </c>
      <c r="Z1883" s="21">
        <v>4601004190702</v>
      </c>
    </row>
    <row r="1884" spans="1:26" ht="12.95" customHeight="1" outlineLevel="2" x14ac:dyDescent="0.2">
      <c r="A1884" s="76" t="s">
        <v>3718</v>
      </c>
      <c r="B1884" s="76"/>
      <c r="C1884" s="77"/>
      <c r="D1884" s="58"/>
      <c r="E1884" s="68"/>
      <c r="F1884" s="13"/>
      <c r="G1884" s="13"/>
      <c r="H1884" s="13"/>
      <c r="I1884" s="13"/>
      <c r="J1884" s="13"/>
      <c r="K1884" s="13"/>
      <c r="L1884" s="13"/>
      <c r="M1884" s="13"/>
      <c r="N1884" s="13"/>
      <c r="O1884" s="13"/>
      <c r="P1884" s="13"/>
      <c r="Q1884" s="13"/>
      <c r="R1884" s="13"/>
      <c r="S1884" s="13"/>
      <c r="T1884" s="13"/>
      <c r="U1884" s="13"/>
      <c r="V1884" s="13"/>
      <c r="W1884" s="13"/>
      <c r="X1884" s="13"/>
      <c r="Y1884" s="13"/>
      <c r="Z1884" s="13"/>
    </row>
    <row r="1885" spans="1:26" ht="12.95" customHeight="1" outlineLevel="3" x14ac:dyDescent="0.2">
      <c r="A1885" s="76" t="s">
        <v>3719</v>
      </c>
      <c r="B1885" s="76"/>
      <c r="C1885" s="77"/>
      <c r="D1885" s="58"/>
      <c r="E1885" s="68"/>
      <c r="F1885" s="13"/>
      <c r="G1885" s="13"/>
      <c r="H1885" s="13"/>
      <c r="I1885" s="13"/>
      <c r="J1885" s="13"/>
      <c r="K1885" s="13"/>
      <c r="L1885" s="13"/>
      <c r="M1885" s="13"/>
      <c r="N1885" s="13"/>
      <c r="O1885" s="13"/>
      <c r="P1885" s="13"/>
      <c r="Q1885" s="13"/>
      <c r="R1885" s="13"/>
      <c r="S1885" s="13"/>
      <c r="T1885" s="13"/>
      <c r="U1885" s="13"/>
      <c r="V1885" s="13"/>
      <c r="W1885" s="13"/>
      <c r="X1885" s="13"/>
      <c r="Y1885" s="13"/>
      <c r="Z1885" s="13"/>
    </row>
    <row r="1886" spans="1:26" ht="12" customHeight="1" outlineLevel="4" x14ac:dyDescent="0.2">
      <c r="A1886" s="32" t="s">
        <v>3720</v>
      </c>
      <c r="B1886" s="74" t="s">
        <v>3721</v>
      </c>
      <c r="C1886" s="50"/>
      <c r="D1886" s="53">
        <f t="shared" si="29"/>
        <v>0</v>
      </c>
      <c r="E1886" s="60" t="str">
        <f>HYPERLINK("https://www.sds-group.ru/product/klemmnaya-vintovaya-kolodka-kv-10-4-10-tok-10-a-polipropilen-zheltyy-rexant-10-sht-up-07-5010-3/", "Инфо")</f>
        <v>Инфо</v>
      </c>
      <c r="F1886" s="34" t="s">
        <v>39</v>
      </c>
      <c r="G1886" s="33"/>
      <c r="H1886" s="33" t="s">
        <v>40</v>
      </c>
      <c r="I1886" s="33"/>
      <c r="J1886" s="39">
        <v>3560</v>
      </c>
      <c r="K1886" s="33"/>
      <c r="L1886" s="35">
        <v>10</v>
      </c>
      <c r="M1886" s="35">
        <v>500</v>
      </c>
      <c r="N1886" s="35">
        <v>10</v>
      </c>
      <c r="O1886" s="36">
        <v>77.709999999999994</v>
      </c>
      <c r="P1886" s="36">
        <v>63.7</v>
      </c>
      <c r="Q1886" s="36">
        <v>66.05</v>
      </c>
      <c r="R1886" s="36">
        <v>54.14</v>
      </c>
      <c r="S1886" s="36">
        <v>52.84</v>
      </c>
      <c r="T1886" s="36">
        <v>43.31</v>
      </c>
      <c r="U1886" s="34"/>
      <c r="V1886" s="34"/>
      <c r="W1886" s="34" t="s">
        <v>40</v>
      </c>
      <c r="X1886" s="37">
        <v>2.9000000000000001E-2</v>
      </c>
      <c r="Y1886" s="38">
        <v>5.1E-5</v>
      </c>
      <c r="Z1886" s="21">
        <v>4601004186590</v>
      </c>
    </row>
    <row r="1887" spans="1:26" ht="12" customHeight="1" outlineLevel="4" x14ac:dyDescent="0.2">
      <c r="A1887" s="14" t="s">
        <v>3722</v>
      </c>
      <c r="B1887" s="26" t="s">
        <v>3723</v>
      </c>
      <c r="C1887" s="52"/>
      <c r="D1887" s="55">
        <f t="shared" si="29"/>
        <v>0</v>
      </c>
      <c r="E1887" s="63" t="str">
        <f>HYPERLINK("https://www.sds-group.ru/product/klemmnaya-vintovaya-kolodka-kv-10-4-10-tok-10-a-polipropilen-siniy-rexant-10-sht-up-07-5010-4/", "Инфо")</f>
        <v>Инфо</v>
      </c>
      <c r="F1887" s="16" t="s">
        <v>39</v>
      </c>
      <c r="G1887" s="15"/>
      <c r="H1887" s="15"/>
      <c r="I1887" s="15"/>
      <c r="J1887" s="22">
        <v>4950</v>
      </c>
      <c r="K1887" s="15"/>
      <c r="L1887" s="17">
        <v>10</v>
      </c>
      <c r="M1887" s="17">
        <v>500</v>
      </c>
      <c r="N1887" s="17">
        <v>10</v>
      </c>
      <c r="O1887" s="18">
        <v>91.73</v>
      </c>
      <c r="P1887" s="18">
        <v>75.19</v>
      </c>
      <c r="Q1887" s="18">
        <v>77.97</v>
      </c>
      <c r="R1887" s="18">
        <v>63.91</v>
      </c>
      <c r="S1887" s="18">
        <v>62.38</v>
      </c>
      <c r="T1887" s="18">
        <v>51.13</v>
      </c>
      <c r="U1887" s="16"/>
      <c r="V1887" s="16"/>
      <c r="W1887" s="16" t="s">
        <v>40</v>
      </c>
      <c r="X1887" s="19">
        <v>2.9000000000000001E-2</v>
      </c>
      <c r="Y1887" s="20">
        <v>4.8999999999999998E-5</v>
      </c>
      <c r="Z1887" s="21">
        <v>4601004186774</v>
      </c>
    </row>
    <row r="1888" spans="1:26" ht="12" customHeight="1" outlineLevel="4" x14ac:dyDescent="0.2">
      <c r="A1888" s="32" t="s">
        <v>3724</v>
      </c>
      <c r="B1888" s="74" t="s">
        <v>3725</v>
      </c>
      <c r="C1888" s="50"/>
      <c r="D1888" s="53">
        <f t="shared" si="29"/>
        <v>0</v>
      </c>
      <c r="E1888" s="60" t="str">
        <f>HYPERLINK("https://www.sds-group.ru/product/klemmnaya-vintovaya-kolodka-kv-12-4-12-tok-16-a-polipropilen-zheltyy-rexant-10-sht-up-07-5012-3/", "Инфо")</f>
        <v>Инфо</v>
      </c>
      <c r="F1888" s="34" t="s">
        <v>39</v>
      </c>
      <c r="G1888" s="33"/>
      <c r="H1888" s="33" t="s">
        <v>40</v>
      </c>
      <c r="I1888" s="33"/>
      <c r="J1888" s="39">
        <v>2280</v>
      </c>
      <c r="K1888" s="33"/>
      <c r="L1888" s="35">
        <v>10</v>
      </c>
      <c r="M1888" s="35">
        <v>500</v>
      </c>
      <c r="N1888" s="35">
        <v>10</v>
      </c>
      <c r="O1888" s="36">
        <v>112.12</v>
      </c>
      <c r="P1888" s="36">
        <v>91.9</v>
      </c>
      <c r="Q1888" s="36">
        <v>78.48</v>
      </c>
      <c r="R1888" s="36">
        <v>64.33</v>
      </c>
      <c r="S1888" s="36">
        <v>76.239999999999995</v>
      </c>
      <c r="T1888" s="36">
        <v>62.49</v>
      </c>
      <c r="U1888" s="34"/>
      <c r="V1888" s="34"/>
      <c r="W1888" s="34"/>
      <c r="X1888" s="37">
        <v>0.04</v>
      </c>
      <c r="Y1888" s="38">
        <v>6.0999999999999999E-5</v>
      </c>
      <c r="Z1888" s="21">
        <v>4601004186613</v>
      </c>
    </row>
    <row r="1889" spans="1:26" ht="12" customHeight="1" outlineLevel="4" x14ac:dyDescent="0.2">
      <c r="A1889" s="14" t="s">
        <v>3726</v>
      </c>
      <c r="B1889" s="26" t="s">
        <v>3727</v>
      </c>
      <c r="C1889" s="52"/>
      <c r="D1889" s="55">
        <f t="shared" si="29"/>
        <v>0</v>
      </c>
      <c r="E1889" s="63" t="str">
        <f>HYPERLINK("https://www.sds-group.ru/product/klemmnaya-vintovaya-kolodka-kv-12-4-12-tok-16-a-polipropilen-siniy-rexant-10-sht-up-07-5012-4/", "Инфо")</f>
        <v>Инфо</v>
      </c>
      <c r="F1889" s="16" t="s">
        <v>39</v>
      </c>
      <c r="G1889" s="15"/>
      <c r="H1889" s="15"/>
      <c r="I1889" s="15"/>
      <c r="J1889" s="17">
        <v>420</v>
      </c>
      <c r="K1889" s="15" t="s">
        <v>1665</v>
      </c>
      <c r="L1889" s="17">
        <v>10</v>
      </c>
      <c r="M1889" s="17">
        <v>500</v>
      </c>
      <c r="N1889" s="17">
        <v>10</v>
      </c>
      <c r="O1889" s="18">
        <v>118.21</v>
      </c>
      <c r="P1889" s="18">
        <v>96.89</v>
      </c>
      <c r="Q1889" s="18">
        <v>100.48</v>
      </c>
      <c r="R1889" s="18">
        <v>82.36</v>
      </c>
      <c r="S1889" s="18">
        <v>80.38</v>
      </c>
      <c r="T1889" s="18">
        <v>65.89</v>
      </c>
      <c r="U1889" s="16"/>
      <c r="V1889" s="16"/>
      <c r="W1889" s="16" t="s">
        <v>40</v>
      </c>
      <c r="X1889" s="19">
        <v>3.9E-2</v>
      </c>
      <c r="Y1889" s="20">
        <v>5.3000000000000001E-5</v>
      </c>
      <c r="Z1889" s="21">
        <v>4601004186798</v>
      </c>
    </row>
    <row r="1890" spans="1:26" ht="12" customHeight="1" outlineLevel="4" x14ac:dyDescent="0.2">
      <c r="A1890" s="32" t="s">
        <v>3728</v>
      </c>
      <c r="B1890" s="74" t="s">
        <v>3729</v>
      </c>
      <c r="C1890" s="50"/>
      <c r="D1890" s="53">
        <f t="shared" si="29"/>
        <v>0</v>
      </c>
      <c r="E1890" s="60" t="str">
        <f>HYPERLINK("https://www.sds-group.ru/product/klemmnaya-vintovaya-kolodka-kv-14-6-14-tok-20-a-polipropilen-zheltyy-rexant-10-sht-up-07-5014-3/", "Инфо")</f>
        <v>Инфо</v>
      </c>
      <c r="F1890" s="34" t="s">
        <v>39</v>
      </c>
      <c r="G1890" s="33"/>
      <c r="H1890" s="33" t="s">
        <v>40</v>
      </c>
      <c r="I1890" s="33"/>
      <c r="J1890" s="39">
        <v>1900</v>
      </c>
      <c r="K1890" s="33"/>
      <c r="L1890" s="35">
        <v>10</v>
      </c>
      <c r="M1890" s="35">
        <v>500</v>
      </c>
      <c r="N1890" s="35">
        <v>10</v>
      </c>
      <c r="O1890" s="36">
        <v>69.94</v>
      </c>
      <c r="P1890" s="36">
        <v>57.33</v>
      </c>
      <c r="Q1890" s="36">
        <v>48.96</v>
      </c>
      <c r="R1890" s="36">
        <v>40.130000000000003</v>
      </c>
      <c r="S1890" s="36">
        <v>47.56</v>
      </c>
      <c r="T1890" s="36">
        <v>38.979999999999997</v>
      </c>
      <c r="U1890" s="34"/>
      <c r="V1890" s="34"/>
      <c r="W1890" s="34"/>
      <c r="X1890" s="37">
        <v>4.2999999999999997E-2</v>
      </c>
      <c r="Y1890" s="38">
        <v>5.8999999999999998E-5</v>
      </c>
      <c r="Z1890" s="21">
        <v>4601004186637</v>
      </c>
    </row>
    <row r="1891" spans="1:26" ht="12" customHeight="1" outlineLevel="4" x14ac:dyDescent="0.2">
      <c r="A1891" s="32" t="s">
        <v>3730</v>
      </c>
      <c r="B1891" s="74" t="s">
        <v>3731</v>
      </c>
      <c r="C1891" s="50"/>
      <c r="D1891" s="53">
        <f t="shared" si="29"/>
        <v>0</v>
      </c>
      <c r="E1891" s="60" t="str">
        <f>HYPERLINK("https://www.sds-group.ru/product/klemmnaya-vintovaya-kolodka-kv-14-6-14-tok-20-a-polipropilen-siniy-rexant-10-sht-up-07-5014-4/", "Инфо")</f>
        <v>Инфо</v>
      </c>
      <c r="F1891" s="34" t="s">
        <v>39</v>
      </c>
      <c r="G1891" s="33"/>
      <c r="H1891" s="33" t="s">
        <v>40</v>
      </c>
      <c r="I1891" s="33"/>
      <c r="J1891" s="35">
        <v>10</v>
      </c>
      <c r="K1891" s="33" t="s">
        <v>210</v>
      </c>
      <c r="L1891" s="35">
        <v>10</v>
      </c>
      <c r="M1891" s="35">
        <v>500</v>
      </c>
      <c r="N1891" s="35">
        <v>10</v>
      </c>
      <c r="O1891" s="36">
        <v>118.5</v>
      </c>
      <c r="P1891" s="36">
        <v>97.13</v>
      </c>
      <c r="Q1891" s="36">
        <v>100.73</v>
      </c>
      <c r="R1891" s="36">
        <v>82.57</v>
      </c>
      <c r="S1891" s="36">
        <v>80.58</v>
      </c>
      <c r="T1891" s="36">
        <v>66.05</v>
      </c>
      <c r="U1891" s="34"/>
      <c r="V1891" s="34"/>
      <c r="W1891" s="34" t="s">
        <v>40</v>
      </c>
      <c r="X1891" s="37">
        <v>0.04</v>
      </c>
      <c r="Y1891" s="38">
        <v>6.2000000000000003E-5</v>
      </c>
      <c r="Z1891" s="21">
        <v>4601004186811</v>
      </c>
    </row>
    <row r="1892" spans="1:26" ht="12" customHeight="1" outlineLevel="4" x14ac:dyDescent="0.2">
      <c r="A1892" s="32" t="s">
        <v>3732</v>
      </c>
      <c r="B1892" s="74" t="s">
        <v>3733</v>
      </c>
      <c r="C1892" s="50"/>
      <c r="D1892" s="53">
        <f t="shared" si="29"/>
        <v>0</v>
      </c>
      <c r="E1892" s="60" t="str">
        <f>HYPERLINK("https://www.sds-group.ru/product/klemmnaya-vintovaya-kolodka-kv-16-6-16-tok-30-a-polipropilen-zheltyy-rexant-10-sht-up-07-5016-3/", "Инфо")</f>
        <v>Инфо</v>
      </c>
      <c r="F1892" s="34" t="s">
        <v>39</v>
      </c>
      <c r="G1892" s="33"/>
      <c r="H1892" s="33" t="s">
        <v>40</v>
      </c>
      <c r="I1892" s="33"/>
      <c r="J1892" s="35">
        <v>370</v>
      </c>
      <c r="K1892" s="33"/>
      <c r="L1892" s="35">
        <v>10</v>
      </c>
      <c r="M1892" s="35">
        <v>300</v>
      </c>
      <c r="N1892" s="35">
        <v>10</v>
      </c>
      <c r="O1892" s="36">
        <v>140.93</v>
      </c>
      <c r="P1892" s="36">
        <v>115.52</v>
      </c>
      <c r="Q1892" s="36">
        <v>119.79</v>
      </c>
      <c r="R1892" s="36">
        <v>98.19</v>
      </c>
      <c r="S1892" s="36">
        <v>95.83</v>
      </c>
      <c r="T1892" s="36">
        <v>78.55</v>
      </c>
      <c r="U1892" s="34"/>
      <c r="V1892" s="34"/>
      <c r="W1892" s="34" t="s">
        <v>40</v>
      </c>
      <c r="X1892" s="37">
        <v>5.8000000000000003E-2</v>
      </c>
      <c r="Y1892" s="38">
        <v>1.02E-4</v>
      </c>
      <c r="Z1892" s="21">
        <v>4601004186651</v>
      </c>
    </row>
    <row r="1893" spans="1:26" ht="12" customHeight="1" outlineLevel="4" x14ac:dyDescent="0.2">
      <c r="A1893" s="14" t="s">
        <v>3734</v>
      </c>
      <c r="B1893" s="26" t="s">
        <v>3735</v>
      </c>
      <c r="C1893" s="52"/>
      <c r="D1893" s="55">
        <f t="shared" si="29"/>
        <v>0</v>
      </c>
      <c r="E1893" s="63" t="str">
        <f>HYPERLINK("https://www.sds-group.ru/product/klemmnaya-vintovaya-kolodka-kv-16-6-16-tok-30-a-polipropilen-siniy-rexant-10-sht-up-07-5016-4/", "Инфо")</f>
        <v>Инфо</v>
      </c>
      <c r="F1893" s="16" t="s">
        <v>39</v>
      </c>
      <c r="G1893" s="15"/>
      <c r="H1893" s="15"/>
      <c r="I1893" s="15"/>
      <c r="J1893" s="22">
        <v>1090</v>
      </c>
      <c r="K1893" s="15"/>
      <c r="L1893" s="17">
        <v>10</v>
      </c>
      <c r="M1893" s="17">
        <v>300</v>
      </c>
      <c r="N1893" s="17">
        <v>10</v>
      </c>
      <c r="O1893" s="18">
        <v>169.55</v>
      </c>
      <c r="P1893" s="18">
        <v>138.97999999999999</v>
      </c>
      <c r="Q1893" s="18">
        <v>144.12</v>
      </c>
      <c r="R1893" s="18">
        <v>118.13</v>
      </c>
      <c r="S1893" s="18">
        <v>115.29</v>
      </c>
      <c r="T1893" s="18">
        <v>94.5</v>
      </c>
      <c r="U1893" s="16"/>
      <c r="V1893" s="16"/>
      <c r="W1893" s="16" t="s">
        <v>40</v>
      </c>
      <c r="X1893" s="19">
        <v>6.2E-2</v>
      </c>
      <c r="Y1893" s="20">
        <v>9.6000000000000002E-5</v>
      </c>
      <c r="Z1893" s="21">
        <v>4601004186835</v>
      </c>
    </row>
    <row r="1894" spans="1:26" ht="12" customHeight="1" outlineLevel="4" x14ac:dyDescent="0.2">
      <c r="A1894" s="32" t="s">
        <v>3736</v>
      </c>
      <c r="B1894" s="74" t="s">
        <v>3737</v>
      </c>
      <c r="C1894" s="50"/>
      <c r="D1894" s="53">
        <f t="shared" si="29"/>
        <v>0</v>
      </c>
      <c r="E1894" s="60" t="str">
        <f>HYPERLINK("https://www.sds-group.ru/product/klemmnaya-vintovaya-kolodka-kv-25-10-25-tok-60-a-polipropilen-zheltyy-rexant-10-sht-up-07-5025-3/", "Инфо")</f>
        <v>Инфо</v>
      </c>
      <c r="F1894" s="34" t="s">
        <v>39</v>
      </c>
      <c r="G1894" s="33"/>
      <c r="H1894" s="33" t="s">
        <v>40</v>
      </c>
      <c r="I1894" s="33"/>
      <c r="J1894" s="39">
        <v>2430</v>
      </c>
      <c r="K1894" s="33"/>
      <c r="L1894" s="35">
        <v>10</v>
      </c>
      <c r="M1894" s="35">
        <v>200</v>
      </c>
      <c r="N1894" s="35">
        <v>10</v>
      </c>
      <c r="O1894" s="36">
        <v>117.03</v>
      </c>
      <c r="P1894" s="36">
        <v>95.93</v>
      </c>
      <c r="Q1894" s="36">
        <v>81.92</v>
      </c>
      <c r="R1894" s="36">
        <v>67.150000000000006</v>
      </c>
      <c r="S1894" s="36">
        <v>79.58</v>
      </c>
      <c r="T1894" s="36">
        <v>65.23</v>
      </c>
      <c r="U1894" s="34"/>
      <c r="V1894" s="34"/>
      <c r="W1894" s="34"/>
      <c r="X1894" s="37">
        <v>9.5000000000000001E-2</v>
      </c>
      <c r="Y1894" s="38">
        <v>1.47E-4</v>
      </c>
      <c r="Z1894" s="21">
        <v>4601004186675</v>
      </c>
    </row>
    <row r="1895" spans="1:26" ht="12" customHeight="1" outlineLevel="4" x14ac:dyDescent="0.2">
      <c r="A1895" s="32" t="s">
        <v>3738</v>
      </c>
      <c r="B1895" s="74" t="s">
        <v>3739</v>
      </c>
      <c r="C1895" s="50"/>
      <c r="D1895" s="53">
        <f t="shared" si="29"/>
        <v>0</v>
      </c>
      <c r="E1895" s="60" t="str">
        <f>HYPERLINK("https://www.sds-group.ru/product/klemmnaya-vintovaya-kolodka-kv-25-10-25-tok-60-a-polipropilen-siniy-rexant-10-sht-up-07-5025-4/", "Инфо")</f>
        <v>Инфо</v>
      </c>
      <c r="F1895" s="34" t="s">
        <v>39</v>
      </c>
      <c r="G1895" s="33"/>
      <c r="H1895" s="33" t="s">
        <v>40</v>
      </c>
      <c r="I1895" s="33"/>
      <c r="J1895" s="39">
        <v>1120</v>
      </c>
      <c r="K1895" s="33"/>
      <c r="L1895" s="35">
        <v>10</v>
      </c>
      <c r="M1895" s="35">
        <v>200</v>
      </c>
      <c r="N1895" s="35">
        <v>10</v>
      </c>
      <c r="O1895" s="36">
        <v>216.45</v>
      </c>
      <c r="P1895" s="36">
        <v>177.42</v>
      </c>
      <c r="Q1895" s="36">
        <v>173.16</v>
      </c>
      <c r="R1895" s="36">
        <v>141.93</v>
      </c>
      <c r="S1895" s="36">
        <v>147.19</v>
      </c>
      <c r="T1895" s="36">
        <v>120.65</v>
      </c>
      <c r="U1895" s="34"/>
      <c r="V1895" s="34"/>
      <c r="W1895" s="34" t="s">
        <v>40</v>
      </c>
      <c r="X1895" s="37">
        <v>9.5000000000000001E-2</v>
      </c>
      <c r="Y1895" s="38">
        <v>1.4899999999999999E-4</v>
      </c>
      <c r="Z1895" s="21">
        <v>4601004186859</v>
      </c>
    </row>
    <row r="1896" spans="1:26" ht="12" customHeight="1" outlineLevel="4" x14ac:dyDescent="0.2">
      <c r="A1896" s="32" t="s">
        <v>3740</v>
      </c>
      <c r="B1896" s="74" t="s">
        <v>3741</v>
      </c>
      <c r="C1896" s="50"/>
      <c r="D1896" s="53">
        <f t="shared" si="29"/>
        <v>0</v>
      </c>
      <c r="E1896" s="60" t="str">
        <f>HYPERLINK("https://www.sds-group.ru/product/klemmnaya-vintovaya-kolodka-kv-35-10-35-tok-80-a-polipropilen-chernyy-rexant-10-sht-up-07-5035-2/", "Инфо")</f>
        <v>Инфо</v>
      </c>
      <c r="F1896" s="34" t="s">
        <v>39</v>
      </c>
      <c r="G1896" s="33"/>
      <c r="H1896" s="33" t="s">
        <v>40</v>
      </c>
      <c r="I1896" s="33"/>
      <c r="J1896" s="35">
        <v>840</v>
      </c>
      <c r="K1896" s="33"/>
      <c r="L1896" s="35">
        <v>10</v>
      </c>
      <c r="M1896" s="35">
        <v>100</v>
      </c>
      <c r="N1896" s="35">
        <v>10</v>
      </c>
      <c r="O1896" s="36">
        <v>220.27</v>
      </c>
      <c r="P1896" s="36">
        <v>180.55</v>
      </c>
      <c r="Q1896" s="36">
        <v>154.19</v>
      </c>
      <c r="R1896" s="36">
        <v>126.39</v>
      </c>
      <c r="S1896" s="36">
        <v>149.78</v>
      </c>
      <c r="T1896" s="36">
        <v>122.77</v>
      </c>
      <c r="U1896" s="34"/>
      <c r="V1896" s="34"/>
      <c r="W1896" s="34"/>
      <c r="X1896" s="37">
        <v>0.14399999999999999</v>
      </c>
      <c r="Y1896" s="38">
        <v>1.9100000000000001E-4</v>
      </c>
      <c r="Z1896" s="21">
        <v>4601004186934</v>
      </c>
    </row>
    <row r="1897" spans="1:26" ht="12" customHeight="1" outlineLevel="4" x14ac:dyDescent="0.2">
      <c r="A1897" s="32" t="s">
        <v>3742</v>
      </c>
      <c r="B1897" s="74" t="s">
        <v>3743</v>
      </c>
      <c r="C1897" s="50"/>
      <c r="D1897" s="53">
        <f t="shared" si="29"/>
        <v>0</v>
      </c>
      <c r="E1897" s="60" t="str">
        <f>HYPERLINK("https://www.sds-group.ru/product/klemmnaya-vintovaya-kolodka-kv-35-10-35-tok-80-a-polietilen-belyy-rexant-10-sht-up-07-5035/", "Инфо")</f>
        <v>Инфо</v>
      </c>
      <c r="F1897" s="34" t="s">
        <v>39</v>
      </c>
      <c r="G1897" s="33"/>
      <c r="H1897" s="33" t="s">
        <v>40</v>
      </c>
      <c r="I1897" s="33"/>
      <c r="J1897" s="35">
        <v>160</v>
      </c>
      <c r="K1897" s="33" t="s">
        <v>210</v>
      </c>
      <c r="L1897" s="35">
        <v>10</v>
      </c>
      <c r="M1897" s="35">
        <v>120</v>
      </c>
      <c r="N1897" s="35">
        <v>10</v>
      </c>
      <c r="O1897" s="36">
        <v>356.87</v>
      </c>
      <c r="P1897" s="36">
        <v>292.52</v>
      </c>
      <c r="Q1897" s="36">
        <v>285.5</v>
      </c>
      <c r="R1897" s="36">
        <v>234.02</v>
      </c>
      <c r="S1897" s="36">
        <v>242.67</v>
      </c>
      <c r="T1897" s="36">
        <v>198.91</v>
      </c>
      <c r="U1897" s="34"/>
      <c r="V1897" s="34"/>
      <c r="W1897" s="34" t="s">
        <v>40</v>
      </c>
      <c r="X1897" s="37">
        <v>0.14399999999999999</v>
      </c>
      <c r="Y1897" s="38">
        <v>1.9699999999999999E-4</v>
      </c>
      <c r="Z1897" s="21">
        <v>4601004186910</v>
      </c>
    </row>
    <row r="1898" spans="1:26" ht="12" customHeight="1" outlineLevel="4" x14ac:dyDescent="0.2">
      <c r="A1898" s="32" t="s">
        <v>3744</v>
      </c>
      <c r="B1898" s="74" t="s">
        <v>3745</v>
      </c>
      <c r="C1898" s="50"/>
      <c r="D1898" s="53">
        <f t="shared" si="29"/>
        <v>0</v>
      </c>
      <c r="E1898" s="60" t="str">
        <f>HYPERLINK("https://www.sds-group.ru/product/klemmnaya-vintovaya-kolodka-kv-35-10-35-tok-80-a-polipropilen-zheltyy-rexant-10-sht-up-07-5035-3/", "Инфо")</f>
        <v>Инфо</v>
      </c>
      <c r="F1898" s="34" t="s">
        <v>39</v>
      </c>
      <c r="G1898" s="33"/>
      <c r="H1898" s="33" t="s">
        <v>40</v>
      </c>
      <c r="I1898" s="33"/>
      <c r="J1898" s="35">
        <v>520</v>
      </c>
      <c r="K1898" s="33"/>
      <c r="L1898" s="35">
        <v>10</v>
      </c>
      <c r="M1898" s="35">
        <v>120</v>
      </c>
      <c r="N1898" s="35">
        <v>10</v>
      </c>
      <c r="O1898" s="36">
        <v>220.27</v>
      </c>
      <c r="P1898" s="36">
        <v>180.55</v>
      </c>
      <c r="Q1898" s="36">
        <v>154.19</v>
      </c>
      <c r="R1898" s="36">
        <v>126.39</v>
      </c>
      <c r="S1898" s="36">
        <v>149.78</v>
      </c>
      <c r="T1898" s="36">
        <v>122.77</v>
      </c>
      <c r="U1898" s="34"/>
      <c r="V1898" s="34"/>
      <c r="W1898" s="34"/>
      <c r="X1898" s="37">
        <v>0.14499999999999999</v>
      </c>
      <c r="Y1898" s="38">
        <v>1.8799999999999999E-4</v>
      </c>
      <c r="Z1898" s="21">
        <v>4601004186699</v>
      </c>
    </row>
    <row r="1899" spans="1:26" ht="12" customHeight="1" outlineLevel="4" x14ac:dyDescent="0.2">
      <c r="A1899" s="14" t="s">
        <v>3746</v>
      </c>
      <c r="B1899" s="26" t="s">
        <v>3747</v>
      </c>
      <c r="C1899" s="52"/>
      <c r="D1899" s="55">
        <f t="shared" si="29"/>
        <v>0</v>
      </c>
      <c r="E1899" s="63" t="str">
        <f>HYPERLINK("https://www.sds-group.ru/product/klemmnaya-vintovaya-kolodka-kv-35-10-35-tok-80-a-polipropilen-siniy-rexant-10-sht-up-07-5035-4/", "Инфо")</f>
        <v>Инфо</v>
      </c>
      <c r="F1899" s="16" t="s">
        <v>39</v>
      </c>
      <c r="G1899" s="15"/>
      <c r="H1899" s="15"/>
      <c r="I1899" s="15"/>
      <c r="J1899" s="17">
        <v>210</v>
      </c>
      <c r="K1899" s="15" t="s">
        <v>1665</v>
      </c>
      <c r="L1899" s="17">
        <v>10</v>
      </c>
      <c r="M1899" s="17">
        <v>120</v>
      </c>
      <c r="N1899" s="17">
        <v>10</v>
      </c>
      <c r="O1899" s="18">
        <v>358.84</v>
      </c>
      <c r="P1899" s="18">
        <v>294.13</v>
      </c>
      <c r="Q1899" s="18">
        <v>287.07</v>
      </c>
      <c r="R1899" s="18">
        <v>235.3</v>
      </c>
      <c r="S1899" s="18">
        <v>244.01</v>
      </c>
      <c r="T1899" s="18">
        <v>200.01</v>
      </c>
      <c r="U1899" s="16"/>
      <c r="V1899" s="16"/>
      <c r="W1899" s="16" t="s">
        <v>40</v>
      </c>
      <c r="X1899" s="19">
        <v>0.14399999999999999</v>
      </c>
      <c r="Y1899" s="20">
        <v>1.8799999999999999E-4</v>
      </c>
      <c r="Z1899" s="21">
        <v>4601004186873</v>
      </c>
    </row>
    <row r="1900" spans="1:26" ht="12" customHeight="1" outlineLevel="4" x14ac:dyDescent="0.2">
      <c r="A1900" s="14" t="s">
        <v>3748</v>
      </c>
      <c r="B1900" s="26" t="s">
        <v>3749</v>
      </c>
      <c r="C1900" s="52"/>
      <c r="D1900" s="55">
        <f t="shared" si="29"/>
        <v>0</v>
      </c>
      <c r="E1900" s="63" t="str">
        <f>HYPERLINK("https://www.sds-group.ru/product/klemmnaya-vintovaya-kolodka-kv-4-1-5-4-tok-3-a-polipropilen-zheltyy-rexant-10-sht-up-07-5004-3/", "Инфо")</f>
        <v>Инфо</v>
      </c>
      <c r="F1900" s="16" t="s">
        <v>39</v>
      </c>
      <c r="G1900" s="15"/>
      <c r="H1900" s="15"/>
      <c r="I1900" s="15"/>
      <c r="J1900" s="22">
        <v>3270</v>
      </c>
      <c r="K1900" s="15"/>
      <c r="L1900" s="17">
        <v>10</v>
      </c>
      <c r="M1900" s="22">
        <v>1200</v>
      </c>
      <c r="N1900" s="17">
        <v>10</v>
      </c>
      <c r="O1900" s="18">
        <v>59.22</v>
      </c>
      <c r="P1900" s="18">
        <v>48.54</v>
      </c>
      <c r="Q1900" s="18">
        <v>50.34</v>
      </c>
      <c r="R1900" s="18">
        <v>41.26</v>
      </c>
      <c r="S1900" s="18">
        <v>40.270000000000003</v>
      </c>
      <c r="T1900" s="18">
        <v>33.01</v>
      </c>
      <c r="U1900" s="16"/>
      <c r="V1900" s="16"/>
      <c r="W1900" s="16" t="s">
        <v>40</v>
      </c>
      <c r="X1900" s="19">
        <v>1.4E-2</v>
      </c>
      <c r="Y1900" s="20">
        <v>2.1999999999999999E-5</v>
      </c>
      <c r="Z1900" s="21">
        <v>4601004186958</v>
      </c>
    </row>
    <row r="1901" spans="1:26" ht="12" customHeight="1" outlineLevel="4" x14ac:dyDescent="0.2">
      <c r="A1901" s="14" t="s">
        <v>3750</v>
      </c>
      <c r="B1901" s="26" t="s">
        <v>3751</v>
      </c>
      <c r="C1901" s="52"/>
      <c r="D1901" s="55">
        <f t="shared" si="29"/>
        <v>0</v>
      </c>
      <c r="E1901" s="63" t="str">
        <f>HYPERLINK("https://www.sds-group.ru/product/klemmnaya-vintovaya-kolodka-kv-4-1-5-4-tok-3-a-polipropilen-siniy-rexant-10-sht-up-07-5004-4/", "Инфо")</f>
        <v>Инфо</v>
      </c>
      <c r="F1901" s="16" t="s">
        <v>39</v>
      </c>
      <c r="G1901" s="15"/>
      <c r="H1901" s="15"/>
      <c r="I1901" s="15"/>
      <c r="J1901" s="22">
        <v>6840</v>
      </c>
      <c r="K1901" s="15"/>
      <c r="L1901" s="17">
        <v>10</v>
      </c>
      <c r="M1901" s="22">
        <v>1200</v>
      </c>
      <c r="N1901" s="17">
        <v>10</v>
      </c>
      <c r="O1901" s="18">
        <v>50.65</v>
      </c>
      <c r="P1901" s="18">
        <v>41.52</v>
      </c>
      <c r="Q1901" s="18">
        <v>43.05</v>
      </c>
      <c r="R1901" s="18">
        <v>35.29</v>
      </c>
      <c r="S1901" s="18">
        <v>34.44</v>
      </c>
      <c r="T1901" s="18">
        <v>28.23</v>
      </c>
      <c r="U1901" s="16"/>
      <c r="V1901" s="16"/>
      <c r="W1901" s="16" t="s">
        <v>40</v>
      </c>
      <c r="X1901" s="19">
        <v>1.4999999999999999E-2</v>
      </c>
      <c r="Y1901" s="20">
        <v>2.1999999999999999E-5</v>
      </c>
      <c r="Z1901" s="21">
        <v>4601004186736</v>
      </c>
    </row>
    <row r="1902" spans="1:26" ht="12" customHeight="1" outlineLevel="4" x14ac:dyDescent="0.2">
      <c r="A1902" s="32" t="s">
        <v>3752</v>
      </c>
      <c r="B1902" s="74" t="s">
        <v>3753</v>
      </c>
      <c r="C1902" s="50"/>
      <c r="D1902" s="53">
        <f t="shared" si="29"/>
        <v>0</v>
      </c>
      <c r="E1902" s="60" t="str">
        <f>HYPERLINK("https://www.sds-group.ru/product/klemmnaya-vintovaya-kolodka-kv-40-25-40-tok-100-a-polipropilen-zheltyy-rexant-10-sht-up-07-5040-3/", "Инфо")</f>
        <v>Инфо</v>
      </c>
      <c r="F1902" s="34" t="s">
        <v>39</v>
      </c>
      <c r="G1902" s="33"/>
      <c r="H1902" s="33" t="s">
        <v>40</v>
      </c>
      <c r="I1902" s="33"/>
      <c r="J1902" s="39">
        <v>1350</v>
      </c>
      <c r="K1902" s="33"/>
      <c r="L1902" s="35">
        <v>10</v>
      </c>
      <c r="M1902" s="35">
        <v>100</v>
      </c>
      <c r="N1902" s="35">
        <v>10</v>
      </c>
      <c r="O1902" s="36">
        <v>261.19</v>
      </c>
      <c r="P1902" s="36">
        <v>214.09</v>
      </c>
      <c r="Q1902" s="36">
        <v>182.83</v>
      </c>
      <c r="R1902" s="36">
        <v>149.86000000000001</v>
      </c>
      <c r="S1902" s="36">
        <v>177.61</v>
      </c>
      <c r="T1902" s="36">
        <v>145.58000000000001</v>
      </c>
      <c r="U1902" s="34"/>
      <c r="V1902" s="34"/>
      <c r="W1902" s="34"/>
      <c r="X1902" s="37">
        <v>0.192</v>
      </c>
      <c r="Y1902" s="38">
        <v>2.4499999999999999E-4</v>
      </c>
      <c r="Z1902" s="21">
        <v>4601004186712</v>
      </c>
    </row>
    <row r="1903" spans="1:26" ht="12" customHeight="1" outlineLevel="4" x14ac:dyDescent="0.2">
      <c r="A1903" s="32" t="s">
        <v>3754</v>
      </c>
      <c r="B1903" s="74" t="s">
        <v>3755</v>
      </c>
      <c r="C1903" s="50"/>
      <c r="D1903" s="53">
        <f t="shared" si="29"/>
        <v>0</v>
      </c>
      <c r="E1903" s="60" t="str">
        <f>HYPERLINK("https://www.sds-group.ru/product/klemmnaya-vintovaya-kolodka-kv-40-25-40-tok-100-a-polipropilen-siniy-rexant-10-sht-up-07-5040-4/", "Инфо")</f>
        <v>Инфо</v>
      </c>
      <c r="F1903" s="34" t="s">
        <v>39</v>
      </c>
      <c r="G1903" s="33"/>
      <c r="H1903" s="33" t="s">
        <v>40</v>
      </c>
      <c r="I1903" s="33"/>
      <c r="J1903" s="39">
        <v>1080</v>
      </c>
      <c r="K1903" s="33"/>
      <c r="L1903" s="35">
        <v>10</v>
      </c>
      <c r="M1903" s="35">
        <v>100</v>
      </c>
      <c r="N1903" s="35">
        <v>10</v>
      </c>
      <c r="O1903" s="36">
        <v>276.86</v>
      </c>
      <c r="P1903" s="36">
        <v>226.93</v>
      </c>
      <c r="Q1903" s="36">
        <v>193.8</v>
      </c>
      <c r="R1903" s="36">
        <v>158.85</v>
      </c>
      <c r="S1903" s="36">
        <v>188.26</v>
      </c>
      <c r="T1903" s="36">
        <v>154.31</v>
      </c>
      <c r="U1903" s="34"/>
      <c r="V1903" s="34"/>
      <c r="W1903" s="34"/>
      <c r="X1903" s="37">
        <v>0.19</v>
      </c>
      <c r="Y1903" s="38">
        <v>2.5799999999999998E-4</v>
      </c>
      <c r="Z1903" s="21">
        <v>4601004186897</v>
      </c>
    </row>
    <row r="1904" spans="1:26" ht="12" customHeight="1" outlineLevel="4" x14ac:dyDescent="0.2">
      <c r="A1904" s="32" t="s">
        <v>3756</v>
      </c>
      <c r="B1904" s="74" t="s">
        <v>3757</v>
      </c>
      <c r="C1904" s="50"/>
      <c r="D1904" s="53">
        <f t="shared" si="29"/>
        <v>0</v>
      </c>
      <c r="E1904" s="60" t="str">
        <f>HYPERLINK("https://www.sds-group.ru/product/klemmnaya-vintovaya-kolodka-kv-6-2-5-6-tok-6-a-polipropilen-zheltyy-rexant-10-sht-up-07-5006-3/", "Инфо")</f>
        <v>Инфо</v>
      </c>
      <c r="F1904" s="34" t="s">
        <v>39</v>
      </c>
      <c r="G1904" s="33"/>
      <c r="H1904" s="33" t="s">
        <v>40</v>
      </c>
      <c r="I1904" s="33"/>
      <c r="J1904" s="39">
        <v>4090</v>
      </c>
      <c r="K1904" s="33"/>
      <c r="L1904" s="35">
        <v>10</v>
      </c>
      <c r="M1904" s="39">
        <v>1200</v>
      </c>
      <c r="N1904" s="35">
        <v>10</v>
      </c>
      <c r="O1904" s="36">
        <v>33.44</v>
      </c>
      <c r="P1904" s="36">
        <v>27.41</v>
      </c>
      <c r="Q1904" s="36">
        <v>23.41</v>
      </c>
      <c r="R1904" s="36">
        <v>19.190000000000001</v>
      </c>
      <c r="S1904" s="36">
        <v>22.74</v>
      </c>
      <c r="T1904" s="36">
        <v>18.64</v>
      </c>
      <c r="U1904" s="34"/>
      <c r="V1904" s="34"/>
      <c r="W1904" s="34"/>
      <c r="X1904" s="37">
        <v>1.6E-2</v>
      </c>
      <c r="Y1904" s="38">
        <v>1.5999999999999999E-5</v>
      </c>
      <c r="Z1904" s="21">
        <v>4601004186576</v>
      </c>
    </row>
    <row r="1905" spans="1:26" ht="12" customHeight="1" outlineLevel="4" x14ac:dyDescent="0.2">
      <c r="A1905" s="14" t="s">
        <v>3758</v>
      </c>
      <c r="B1905" s="26" t="s">
        <v>3759</v>
      </c>
      <c r="C1905" s="52"/>
      <c r="D1905" s="55">
        <f t="shared" si="29"/>
        <v>0</v>
      </c>
      <c r="E1905" s="63" t="str">
        <f>HYPERLINK("https://www.sds-group.ru/product/klemmnaya-kolodka-vintovaya-kv-4-1-5-4-mm-tok-3-a-polietilen-belyy-zvi-smartkip-07-5004-5/", "Инфо")</f>
        <v>Инфо</v>
      </c>
      <c r="F1905" s="16" t="s">
        <v>39</v>
      </c>
      <c r="G1905" s="15"/>
      <c r="H1905" s="15"/>
      <c r="I1905" s="15"/>
      <c r="J1905" s="22">
        <v>4130</v>
      </c>
      <c r="K1905" s="15" t="s">
        <v>1650</v>
      </c>
      <c r="L1905" s="17">
        <v>10</v>
      </c>
      <c r="M1905" s="22">
        <v>1200</v>
      </c>
      <c r="N1905" s="17">
        <v>10</v>
      </c>
      <c r="O1905" s="18">
        <v>49.07</v>
      </c>
      <c r="P1905" s="18">
        <v>40.22</v>
      </c>
      <c r="Q1905" s="18">
        <v>41.71</v>
      </c>
      <c r="R1905" s="18">
        <v>34.19</v>
      </c>
      <c r="S1905" s="18">
        <v>33.369999999999997</v>
      </c>
      <c r="T1905" s="18">
        <v>27.35</v>
      </c>
      <c r="U1905" s="16"/>
      <c r="V1905" s="16"/>
      <c r="W1905" s="16" t="s">
        <v>40</v>
      </c>
      <c r="X1905" s="19">
        <v>1.4E-2</v>
      </c>
      <c r="Y1905" s="20">
        <v>2.1999999999999999E-5</v>
      </c>
      <c r="Z1905" s="21">
        <v>4601004103061</v>
      </c>
    </row>
    <row r="1906" spans="1:26" ht="12" customHeight="1" outlineLevel="4" x14ac:dyDescent="0.2">
      <c r="A1906" s="14" t="s">
        <v>3760</v>
      </c>
      <c r="B1906" s="26" t="s">
        <v>3761</v>
      </c>
      <c r="C1906" s="52"/>
      <c r="D1906" s="55">
        <f t="shared" si="29"/>
        <v>0</v>
      </c>
      <c r="E1906" s="63" t="str">
        <f>HYPERLINK("https://www.sds-group.ru/product/klemmnaya-kolodka-vintovaya-kv-4-1-5-4-mm-tok-3-a-polietilen-belyy-zvi-rexant-07-5004/", "Инфо")</f>
        <v>Инфо</v>
      </c>
      <c r="F1906" s="16" t="s">
        <v>39</v>
      </c>
      <c r="G1906" s="15"/>
      <c r="H1906" s="15"/>
      <c r="I1906" s="15"/>
      <c r="J1906" s="22">
        <v>6690</v>
      </c>
      <c r="K1906" s="15" t="s">
        <v>3762</v>
      </c>
      <c r="L1906" s="17">
        <v>10</v>
      </c>
      <c r="M1906" s="17">
        <v>500</v>
      </c>
      <c r="N1906" s="17">
        <v>10</v>
      </c>
      <c r="O1906" s="18">
        <v>54.46</v>
      </c>
      <c r="P1906" s="18">
        <v>44.64</v>
      </c>
      <c r="Q1906" s="18">
        <v>46.29</v>
      </c>
      <c r="R1906" s="18">
        <v>37.94</v>
      </c>
      <c r="S1906" s="18">
        <v>37.03</v>
      </c>
      <c r="T1906" s="18">
        <v>30.35</v>
      </c>
      <c r="U1906" s="16"/>
      <c r="V1906" s="16"/>
      <c r="W1906" s="16" t="s">
        <v>40</v>
      </c>
      <c r="X1906" s="19">
        <v>1.7999999999999999E-2</v>
      </c>
      <c r="Y1906" s="20">
        <v>3.1999999999999999E-5</v>
      </c>
      <c r="Z1906" s="21">
        <v>4660008017927</v>
      </c>
    </row>
    <row r="1907" spans="1:26" ht="12" customHeight="1" outlineLevel="4" x14ac:dyDescent="0.2">
      <c r="A1907" s="14" t="s">
        <v>3763</v>
      </c>
      <c r="B1907" s="26" t="s">
        <v>3764</v>
      </c>
      <c r="C1907" s="52"/>
      <c r="D1907" s="55">
        <f t="shared" si="29"/>
        <v>0</v>
      </c>
      <c r="E1907" s="63" t="str">
        <f>HYPERLINK("https://www.sds-group.ru/product/klemmnaya-kolodka-vintovaya-kv-4-1-5-4-mm-tok-3-a-polipropilen-chernyy-zvi-rexant-07-5004-2/", "Инфо")</f>
        <v>Инфо</v>
      </c>
      <c r="F1907" s="16" t="s">
        <v>39</v>
      </c>
      <c r="G1907" s="15"/>
      <c r="H1907" s="15"/>
      <c r="I1907" s="15"/>
      <c r="J1907" s="22">
        <v>2340</v>
      </c>
      <c r="K1907" s="15" t="s">
        <v>2798</v>
      </c>
      <c r="L1907" s="17">
        <v>10</v>
      </c>
      <c r="M1907" s="22">
        <v>1200</v>
      </c>
      <c r="N1907" s="17">
        <v>10</v>
      </c>
      <c r="O1907" s="18">
        <v>56.53</v>
      </c>
      <c r="P1907" s="18">
        <v>46.34</v>
      </c>
      <c r="Q1907" s="18">
        <v>48.05</v>
      </c>
      <c r="R1907" s="18">
        <v>39.39</v>
      </c>
      <c r="S1907" s="18">
        <v>38.44</v>
      </c>
      <c r="T1907" s="18">
        <v>31.51</v>
      </c>
      <c r="U1907" s="16"/>
      <c r="V1907" s="16"/>
      <c r="W1907" s="16" t="s">
        <v>40</v>
      </c>
      <c r="X1907" s="19">
        <v>1.4E-2</v>
      </c>
      <c r="Y1907" s="20">
        <v>2.3E-5</v>
      </c>
      <c r="Z1907" s="21">
        <v>4601004022751</v>
      </c>
    </row>
    <row r="1908" spans="1:26" ht="12" customHeight="1" outlineLevel="4" x14ac:dyDescent="0.2">
      <c r="A1908" s="14" t="s">
        <v>3765</v>
      </c>
      <c r="B1908" s="26" t="s">
        <v>3766</v>
      </c>
      <c r="C1908" s="52"/>
      <c r="D1908" s="55">
        <f t="shared" si="29"/>
        <v>0</v>
      </c>
      <c r="E1908" s="63" t="str">
        <f>HYPERLINK("https://www.sds-group.ru/product/klemmnaya-kolodka-vintovaya-kv-6-2-5-6-mm-tok-6-a-polietilen-belyy-zvi-smartkip-07-5006-5/", "Инфо")</f>
        <v>Инфо</v>
      </c>
      <c r="F1908" s="16" t="s">
        <v>39</v>
      </c>
      <c r="G1908" s="15"/>
      <c r="H1908" s="15"/>
      <c r="I1908" s="15"/>
      <c r="J1908" s="22">
        <v>2340</v>
      </c>
      <c r="K1908" s="15" t="s">
        <v>1650</v>
      </c>
      <c r="L1908" s="17">
        <v>10</v>
      </c>
      <c r="M1908" s="22">
        <v>1200</v>
      </c>
      <c r="N1908" s="17">
        <v>10</v>
      </c>
      <c r="O1908" s="18">
        <v>59.28</v>
      </c>
      <c r="P1908" s="18">
        <v>48.59</v>
      </c>
      <c r="Q1908" s="18">
        <v>50.39</v>
      </c>
      <c r="R1908" s="18">
        <v>41.3</v>
      </c>
      <c r="S1908" s="18">
        <v>40.31</v>
      </c>
      <c r="T1908" s="18">
        <v>33.04</v>
      </c>
      <c r="U1908" s="16"/>
      <c r="V1908" s="16"/>
      <c r="W1908" s="16" t="s">
        <v>40</v>
      </c>
      <c r="X1908" s="19">
        <v>1.4E-2</v>
      </c>
      <c r="Y1908" s="20">
        <v>2.0999999999999999E-5</v>
      </c>
      <c r="Z1908" s="21">
        <v>4601004103030</v>
      </c>
    </row>
    <row r="1909" spans="1:26" ht="12" customHeight="1" outlineLevel="4" x14ac:dyDescent="0.2">
      <c r="A1909" s="14" t="s">
        <v>3767</v>
      </c>
      <c r="B1909" s="26" t="s">
        <v>3768</v>
      </c>
      <c r="C1909" s="52"/>
      <c r="D1909" s="55">
        <f t="shared" si="29"/>
        <v>0</v>
      </c>
      <c r="E1909" s="63" t="str">
        <f>HYPERLINK("https://www.sds-group.ru/product/klemmnaya-kolodka-vintovaya-kv-6-2-5-6-mm-tok-6-a-polietilen-belyy-zvi-rexant-07-5006/", "Инфо")</f>
        <v>Инфо</v>
      </c>
      <c r="F1909" s="16" t="s">
        <v>39</v>
      </c>
      <c r="G1909" s="15"/>
      <c r="H1909" s="15"/>
      <c r="I1909" s="15"/>
      <c r="J1909" s="22">
        <v>13570</v>
      </c>
      <c r="K1909" s="15" t="s">
        <v>1126</v>
      </c>
      <c r="L1909" s="17">
        <v>10</v>
      </c>
      <c r="M1909" s="17">
        <v>500</v>
      </c>
      <c r="N1909" s="17">
        <v>10</v>
      </c>
      <c r="O1909" s="18">
        <v>70.52</v>
      </c>
      <c r="P1909" s="18">
        <v>57.8</v>
      </c>
      <c r="Q1909" s="18">
        <v>59.94</v>
      </c>
      <c r="R1909" s="18">
        <v>49.13</v>
      </c>
      <c r="S1909" s="18">
        <v>47.95</v>
      </c>
      <c r="T1909" s="18">
        <v>39.299999999999997</v>
      </c>
      <c r="U1909" s="16"/>
      <c r="V1909" s="16"/>
      <c r="W1909" s="16" t="s">
        <v>40</v>
      </c>
      <c r="X1909" s="19">
        <v>2.4E-2</v>
      </c>
      <c r="Y1909" s="20">
        <v>3.1999999999999999E-5</v>
      </c>
      <c r="Z1909" s="21">
        <v>4610003608521</v>
      </c>
    </row>
    <row r="1910" spans="1:26" ht="12" customHeight="1" outlineLevel="4" x14ac:dyDescent="0.2">
      <c r="A1910" s="14" t="s">
        <v>3769</v>
      </c>
      <c r="B1910" s="26" t="s">
        <v>3770</v>
      </c>
      <c r="C1910" s="52"/>
      <c r="D1910" s="55">
        <f t="shared" si="29"/>
        <v>0</v>
      </c>
      <c r="E1910" s="63" t="str">
        <f>HYPERLINK("https://www.sds-group.ru/product/klemmnaya-kolodka-vintovaya-kv-6-2-5-6-mm-tok-6-a-polipropilen-chernyy-zvi-rexant-07-5006-2/", "Инфо")</f>
        <v>Инфо</v>
      </c>
      <c r="F1910" s="16" t="s">
        <v>39</v>
      </c>
      <c r="G1910" s="15"/>
      <c r="H1910" s="15"/>
      <c r="I1910" s="15"/>
      <c r="J1910" s="22">
        <v>11230</v>
      </c>
      <c r="K1910" s="15"/>
      <c r="L1910" s="17">
        <v>10</v>
      </c>
      <c r="M1910" s="22">
        <v>1200</v>
      </c>
      <c r="N1910" s="17">
        <v>10</v>
      </c>
      <c r="O1910" s="18">
        <v>63.8</v>
      </c>
      <c r="P1910" s="18">
        <v>52.3</v>
      </c>
      <c r="Q1910" s="18">
        <v>54.23</v>
      </c>
      <c r="R1910" s="18">
        <v>44.45</v>
      </c>
      <c r="S1910" s="18">
        <v>43.38</v>
      </c>
      <c r="T1910" s="18">
        <v>35.56</v>
      </c>
      <c r="U1910" s="16"/>
      <c r="V1910" s="16"/>
      <c r="W1910" s="16" t="s">
        <v>40</v>
      </c>
      <c r="X1910" s="19">
        <v>1.6E-2</v>
      </c>
      <c r="Y1910" s="20">
        <v>2.5000000000000001E-5</v>
      </c>
      <c r="Z1910" s="21">
        <v>4601004022768</v>
      </c>
    </row>
    <row r="1911" spans="1:26" ht="12" customHeight="1" outlineLevel="4" x14ac:dyDescent="0.2">
      <c r="A1911" s="14" t="s">
        <v>3771</v>
      </c>
      <c r="B1911" s="26" t="s">
        <v>3772</v>
      </c>
      <c r="C1911" s="52"/>
      <c r="D1911" s="55">
        <f t="shared" si="29"/>
        <v>0</v>
      </c>
      <c r="E1911" s="63" t="str">
        <f>HYPERLINK("https://www.sds-group.ru/product/klemmnaya-kolodka-vintovaya-kv-10-4-10-mm-tok-10-a-polipropilen-chernyy-individualnaya-u-07-5010-2-7/", "Инфо")</f>
        <v>Инфо</v>
      </c>
      <c r="F1911" s="16" t="s">
        <v>39</v>
      </c>
      <c r="G1911" s="15"/>
      <c r="H1911" s="15"/>
      <c r="I1911" s="15"/>
      <c r="J1911" s="17">
        <v>598</v>
      </c>
      <c r="K1911" s="15"/>
      <c r="L1911" s="17">
        <v>10</v>
      </c>
      <c r="M1911" s="17">
        <v>200</v>
      </c>
      <c r="N1911" s="17">
        <v>10</v>
      </c>
      <c r="O1911" s="18">
        <v>211.26</v>
      </c>
      <c r="P1911" s="18">
        <v>173.16</v>
      </c>
      <c r="Q1911" s="18">
        <v>179.57</v>
      </c>
      <c r="R1911" s="18">
        <v>147.19</v>
      </c>
      <c r="S1911" s="18">
        <v>143.66</v>
      </c>
      <c r="T1911" s="18">
        <v>117.75</v>
      </c>
      <c r="U1911" s="16"/>
      <c r="V1911" s="16"/>
      <c r="W1911" s="16" t="s">
        <v>40</v>
      </c>
      <c r="X1911" s="19">
        <v>3.3000000000000002E-2</v>
      </c>
      <c r="Y1911" s="20">
        <v>2.1900000000000001E-4</v>
      </c>
      <c r="Z1911" s="21">
        <v>4601004161658</v>
      </c>
    </row>
    <row r="1912" spans="1:26" ht="12" customHeight="1" outlineLevel="4" x14ac:dyDescent="0.2">
      <c r="A1912" s="14" t="s">
        <v>3773</v>
      </c>
      <c r="B1912" s="26" t="s">
        <v>3774</v>
      </c>
      <c r="C1912" s="52"/>
      <c r="D1912" s="55">
        <f t="shared" si="29"/>
        <v>0</v>
      </c>
      <c r="E1912" s="63" t="str">
        <f>HYPERLINK("https://www.sds-group.ru/product/klemmnaya-kolodka-vintovaya-kv-10-4-10-mm-tok-10-a-polietilen-belyy-zvi-individualnaya-upa-07-5010-1/", "Инфо")</f>
        <v>Инфо</v>
      </c>
      <c r="F1912" s="16" t="s">
        <v>1001</v>
      </c>
      <c r="G1912" s="15"/>
      <c r="H1912" s="15"/>
      <c r="I1912" s="15"/>
      <c r="J1912" s="17">
        <v>292</v>
      </c>
      <c r="K1912" s="15"/>
      <c r="L1912" s="17">
        <v>10</v>
      </c>
      <c r="M1912" s="17">
        <v>300</v>
      </c>
      <c r="N1912" s="17">
        <v>10</v>
      </c>
      <c r="O1912" s="18">
        <v>145.41</v>
      </c>
      <c r="P1912" s="18">
        <v>119.19</v>
      </c>
      <c r="Q1912" s="18">
        <v>123.6</v>
      </c>
      <c r="R1912" s="18">
        <v>101.31</v>
      </c>
      <c r="S1912" s="18">
        <v>98.88</v>
      </c>
      <c r="T1912" s="18">
        <v>81.05</v>
      </c>
      <c r="U1912" s="16"/>
      <c r="V1912" s="16"/>
      <c r="W1912" s="16" t="s">
        <v>40</v>
      </c>
      <c r="X1912" s="19">
        <v>3.5999999999999997E-2</v>
      </c>
      <c r="Y1912" s="20">
        <v>1.8200000000000001E-4</v>
      </c>
      <c r="Z1912" s="21">
        <v>4601004253896</v>
      </c>
    </row>
    <row r="1913" spans="1:26" ht="12" customHeight="1" outlineLevel="4" x14ac:dyDescent="0.2">
      <c r="A1913" s="14" t="s">
        <v>3775</v>
      </c>
      <c r="B1913" s="26" t="s">
        <v>3776</v>
      </c>
      <c r="C1913" s="52"/>
      <c r="D1913" s="55">
        <f t="shared" si="29"/>
        <v>0</v>
      </c>
      <c r="E1913" s="63" t="str">
        <f>HYPERLINK("https://www.sds-group.ru/product/klemmnaya-kolodka-vintovaya-kv-10-4-10-mm-tok-10-a-polietilen-belyy-zvi-smartkip-07-5010-5/", "Инфо")</f>
        <v>Инфо</v>
      </c>
      <c r="F1913" s="16" t="s">
        <v>39</v>
      </c>
      <c r="G1913" s="15"/>
      <c r="H1913" s="15"/>
      <c r="I1913" s="15"/>
      <c r="J1913" s="22">
        <v>1780</v>
      </c>
      <c r="K1913" s="15" t="s">
        <v>1650</v>
      </c>
      <c r="L1913" s="17">
        <v>10</v>
      </c>
      <c r="M1913" s="22">
        <v>1000</v>
      </c>
      <c r="N1913" s="17">
        <v>10</v>
      </c>
      <c r="O1913" s="18">
        <v>84.59</v>
      </c>
      <c r="P1913" s="18">
        <v>69.34</v>
      </c>
      <c r="Q1913" s="18">
        <v>71.900000000000006</v>
      </c>
      <c r="R1913" s="18">
        <v>58.93</v>
      </c>
      <c r="S1913" s="18">
        <v>57.52</v>
      </c>
      <c r="T1913" s="18">
        <v>47.15</v>
      </c>
      <c r="U1913" s="16"/>
      <c r="V1913" s="16"/>
      <c r="W1913" s="16" t="s">
        <v>40</v>
      </c>
      <c r="X1913" s="19">
        <v>1.7000000000000001E-2</v>
      </c>
      <c r="Y1913" s="20">
        <v>3.1000000000000001E-5</v>
      </c>
      <c r="Z1913" s="21">
        <v>4601004103047</v>
      </c>
    </row>
    <row r="1914" spans="1:26" ht="12" customHeight="1" outlineLevel="4" x14ac:dyDescent="0.2">
      <c r="A1914" s="14" t="s">
        <v>3777</v>
      </c>
      <c r="B1914" s="26" t="s">
        <v>3778</v>
      </c>
      <c r="C1914" s="52"/>
      <c r="D1914" s="55">
        <f t="shared" si="29"/>
        <v>0</v>
      </c>
      <c r="E1914" s="63" t="str">
        <f>HYPERLINK("https://www.sds-group.ru/product/klemmnaya-kolodka-vintovaya-kv-10-4-10-mm-tok-10-a-polietilen-belyy-zvi-rexant-07-5010/", "Инфо")</f>
        <v>Инфо</v>
      </c>
      <c r="F1914" s="16" t="s">
        <v>39</v>
      </c>
      <c r="G1914" s="15"/>
      <c r="H1914" s="15"/>
      <c r="I1914" s="15"/>
      <c r="J1914" s="22">
        <v>14280</v>
      </c>
      <c r="K1914" s="15" t="s">
        <v>1035</v>
      </c>
      <c r="L1914" s="17">
        <v>10</v>
      </c>
      <c r="M1914" s="17">
        <v>500</v>
      </c>
      <c r="N1914" s="17">
        <v>10</v>
      </c>
      <c r="O1914" s="18">
        <v>92.8</v>
      </c>
      <c r="P1914" s="18">
        <v>76.069999999999993</v>
      </c>
      <c r="Q1914" s="18">
        <v>78.88</v>
      </c>
      <c r="R1914" s="18">
        <v>64.66</v>
      </c>
      <c r="S1914" s="18">
        <v>63.1</v>
      </c>
      <c r="T1914" s="18">
        <v>51.72</v>
      </c>
      <c r="U1914" s="16"/>
      <c r="V1914" s="16"/>
      <c r="W1914" s="16" t="s">
        <v>40</v>
      </c>
      <c r="X1914" s="19">
        <v>3.4000000000000002E-2</v>
      </c>
      <c r="Y1914" s="20">
        <v>5.5999999999999999E-5</v>
      </c>
      <c r="Z1914" s="21">
        <v>4610003608538</v>
      </c>
    </row>
    <row r="1915" spans="1:26" ht="12" customHeight="1" outlineLevel="4" x14ac:dyDescent="0.2">
      <c r="A1915" s="14" t="s">
        <v>3779</v>
      </c>
      <c r="B1915" s="26" t="s">
        <v>3780</v>
      </c>
      <c r="C1915" s="52"/>
      <c r="D1915" s="55">
        <f t="shared" si="29"/>
        <v>0</v>
      </c>
      <c r="E1915" s="63" t="str">
        <f>HYPERLINK("https://www.sds-group.ru/product/klemmnaya-kolodka-vintovaya-kv-10-4-10-mm-tok-10-a-polipropilen-chernyy-zvi-rexant-07-5010-2/", "Инфо")</f>
        <v>Инфо</v>
      </c>
      <c r="F1915" s="16" t="s">
        <v>39</v>
      </c>
      <c r="G1915" s="15"/>
      <c r="H1915" s="15"/>
      <c r="I1915" s="15"/>
      <c r="J1915" s="16" t="s">
        <v>100</v>
      </c>
      <c r="K1915" s="15" t="s">
        <v>2798</v>
      </c>
      <c r="L1915" s="17">
        <v>10</v>
      </c>
      <c r="M1915" s="17">
        <v>800</v>
      </c>
      <c r="N1915" s="17">
        <v>10</v>
      </c>
      <c r="O1915" s="18">
        <v>82.01</v>
      </c>
      <c r="P1915" s="18">
        <v>67.22</v>
      </c>
      <c r="Q1915" s="18">
        <v>69.709999999999994</v>
      </c>
      <c r="R1915" s="18">
        <v>57.14</v>
      </c>
      <c r="S1915" s="18">
        <v>55.77</v>
      </c>
      <c r="T1915" s="18">
        <v>45.71</v>
      </c>
      <c r="U1915" s="16"/>
      <c r="V1915" s="16"/>
      <c r="W1915" s="16" t="s">
        <v>40</v>
      </c>
      <c r="X1915" s="19">
        <v>2.9000000000000001E-2</v>
      </c>
      <c r="Y1915" s="20">
        <v>4.6E-5</v>
      </c>
      <c r="Z1915" s="21">
        <v>4601004022775</v>
      </c>
    </row>
    <row r="1916" spans="1:26" ht="12" customHeight="1" outlineLevel="4" x14ac:dyDescent="0.2">
      <c r="A1916" s="14" t="s">
        <v>3781</v>
      </c>
      <c r="B1916" s="26" t="s">
        <v>3782</v>
      </c>
      <c r="C1916" s="52"/>
      <c r="D1916" s="55">
        <f t="shared" si="29"/>
        <v>0</v>
      </c>
      <c r="E1916" s="63" t="str">
        <f>HYPERLINK("https://www.sds-group.ru/product/klemmnaya-kolodka-vintovaya-kv-12-4-12-mm-tok-16-a-polietilen-belyy-zvi-individualnaya-up-07-5012-01/", "Инфо")</f>
        <v>Инфо</v>
      </c>
      <c r="F1916" s="16" t="s">
        <v>1001</v>
      </c>
      <c r="G1916" s="15"/>
      <c r="H1916" s="15"/>
      <c r="I1916" s="15"/>
      <c r="J1916" s="17">
        <v>51</v>
      </c>
      <c r="K1916" s="15"/>
      <c r="L1916" s="17">
        <v>10</v>
      </c>
      <c r="M1916" s="17">
        <v>250</v>
      </c>
      <c r="N1916" s="17">
        <v>10</v>
      </c>
      <c r="O1916" s="18">
        <v>220.48</v>
      </c>
      <c r="P1916" s="18">
        <v>180.72</v>
      </c>
      <c r="Q1916" s="18">
        <v>187.41</v>
      </c>
      <c r="R1916" s="18">
        <v>153.61000000000001</v>
      </c>
      <c r="S1916" s="18">
        <v>149.93</v>
      </c>
      <c r="T1916" s="18">
        <v>122.89</v>
      </c>
      <c r="U1916" s="16"/>
      <c r="V1916" s="16"/>
      <c r="W1916" s="16" t="s">
        <v>40</v>
      </c>
      <c r="X1916" s="19">
        <v>4.3999999999999997E-2</v>
      </c>
      <c r="Y1916" s="20">
        <v>2.24E-4</v>
      </c>
      <c r="Z1916" s="21">
        <v>4601004253476</v>
      </c>
    </row>
    <row r="1917" spans="1:26" ht="12" customHeight="1" outlineLevel="4" x14ac:dyDescent="0.2">
      <c r="A1917" s="14" t="s">
        <v>3783</v>
      </c>
      <c r="B1917" s="26" t="s">
        <v>3784</v>
      </c>
      <c r="C1917" s="52"/>
      <c r="D1917" s="55">
        <f t="shared" si="29"/>
        <v>0</v>
      </c>
      <c r="E1917" s="63" t="str">
        <f>HYPERLINK("https://www.sds-group.ru/product/klemmnaya-kolodka-vintovaya-kv-12-4-12-mm-tok-16-a-polietilen-belyy-zvi-smartkip-07-5012-5/", "Инфо")</f>
        <v>Инфо</v>
      </c>
      <c r="F1917" s="16" t="s">
        <v>39</v>
      </c>
      <c r="G1917" s="15"/>
      <c r="H1917" s="15"/>
      <c r="I1917" s="15"/>
      <c r="J1917" s="22">
        <v>1070</v>
      </c>
      <c r="K1917" s="15" t="s">
        <v>2706</v>
      </c>
      <c r="L1917" s="17">
        <v>10</v>
      </c>
      <c r="M1917" s="17">
        <v>500</v>
      </c>
      <c r="N1917" s="17">
        <v>10</v>
      </c>
      <c r="O1917" s="18">
        <v>108.27</v>
      </c>
      <c r="P1917" s="18">
        <v>88.75</v>
      </c>
      <c r="Q1917" s="18">
        <v>92.03</v>
      </c>
      <c r="R1917" s="18">
        <v>75.430000000000007</v>
      </c>
      <c r="S1917" s="18">
        <v>73.62</v>
      </c>
      <c r="T1917" s="18">
        <v>60.34</v>
      </c>
      <c r="U1917" s="16"/>
      <c r="V1917" s="16"/>
      <c r="W1917" s="16" t="s">
        <v>40</v>
      </c>
      <c r="X1917" s="19">
        <v>0.03</v>
      </c>
      <c r="Y1917" s="20">
        <v>5.3999999999999998E-5</v>
      </c>
      <c r="Z1917" s="21">
        <v>4601004103054</v>
      </c>
    </row>
    <row r="1918" spans="1:26" ht="12" customHeight="1" outlineLevel="4" x14ac:dyDescent="0.2">
      <c r="A1918" s="14" t="s">
        <v>3785</v>
      </c>
      <c r="B1918" s="26" t="s">
        <v>3786</v>
      </c>
      <c r="C1918" s="52"/>
      <c r="D1918" s="55">
        <f t="shared" si="29"/>
        <v>0</v>
      </c>
      <c r="E1918" s="63" t="str">
        <f>HYPERLINK("https://www.sds-group.ru/product/klemmnaya-kolodka-vintovaya-kv-12-4-12-mm-tok-16-a-polietilen-belyy-zvi-rexant-07-5012/", "Инфо")</f>
        <v>Инфо</v>
      </c>
      <c r="F1918" s="16" t="s">
        <v>39</v>
      </c>
      <c r="G1918" s="15"/>
      <c r="H1918" s="15"/>
      <c r="I1918" s="15"/>
      <c r="J1918" s="22">
        <v>6350</v>
      </c>
      <c r="K1918" s="15" t="s">
        <v>2924</v>
      </c>
      <c r="L1918" s="17">
        <v>10</v>
      </c>
      <c r="M1918" s="17">
        <v>500</v>
      </c>
      <c r="N1918" s="17">
        <v>10</v>
      </c>
      <c r="O1918" s="18">
        <v>118.78</v>
      </c>
      <c r="P1918" s="18">
        <v>97.36</v>
      </c>
      <c r="Q1918" s="18">
        <v>100.96</v>
      </c>
      <c r="R1918" s="18">
        <v>82.75</v>
      </c>
      <c r="S1918" s="18">
        <v>80.77</v>
      </c>
      <c r="T1918" s="18">
        <v>66.2</v>
      </c>
      <c r="U1918" s="16"/>
      <c r="V1918" s="16"/>
      <c r="W1918" s="16" t="s">
        <v>40</v>
      </c>
      <c r="X1918" s="19">
        <v>3.9E-2</v>
      </c>
      <c r="Y1918" s="20">
        <v>6.0999999999999999E-5</v>
      </c>
      <c r="Z1918" s="21">
        <v>4601004000247</v>
      </c>
    </row>
    <row r="1919" spans="1:26" ht="12" customHeight="1" outlineLevel="4" x14ac:dyDescent="0.2">
      <c r="A1919" s="14" t="s">
        <v>3787</v>
      </c>
      <c r="B1919" s="26" t="s">
        <v>3788</v>
      </c>
      <c r="C1919" s="52"/>
      <c r="D1919" s="55">
        <f t="shared" si="29"/>
        <v>0</v>
      </c>
      <c r="E1919" s="63" t="str">
        <f>HYPERLINK("https://www.sds-group.ru/product/klemmnaya-kolodka-vintovaya-kv-12-4-12-mm-tok-16-a-polipropilen-chernyy-zvi-rexant-07-5012-2/", "Инфо")</f>
        <v>Инфо</v>
      </c>
      <c r="F1919" s="16" t="s">
        <v>39</v>
      </c>
      <c r="G1919" s="15"/>
      <c r="H1919" s="15"/>
      <c r="I1919" s="15"/>
      <c r="J1919" s="17">
        <v>550</v>
      </c>
      <c r="K1919" s="15" t="s">
        <v>2706</v>
      </c>
      <c r="L1919" s="17">
        <v>10</v>
      </c>
      <c r="M1919" s="17">
        <v>500</v>
      </c>
      <c r="N1919" s="17">
        <v>10</v>
      </c>
      <c r="O1919" s="18">
        <v>120.15</v>
      </c>
      <c r="P1919" s="18">
        <v>98.48</v>
      </c>
      <c r="Q1919" s="18">
        <v>102.13</v>
      </c>
      <c r="R1919" s="18">
        <v>83.71</v>
      </c>
      <c r="S1919" s="18">
        <v>81.7</v>
      </c>
      <c r="T1919" s="18">
        <v>66.97</v>
      </c>
      <c r="U1919" s="16"/>
      <c r="V1919" s="16"/>
      <c r="W1919" s="16" t="s">
        <v>40</v>
      </c>
      <c r="X1919" s="19">
        <v>0.04</v>
      </c>
      <c r="Y1919" s="20">
        <v>6.0000000000000002E-5</v>
      </c>
      <c r="Z1919" s="21">
        <v>4601004022782</v>
      </c>
    </row>
    <row r="1920" spans="1:26" ht="12" customHeight="1" outlineLevel="4" x14ac:dyDescent="0.2">
      <c r="A1920" s="14" t="s">
        <v>3789</v>
      </c>
      <c r="B1920" s="26" t="s">
        <v>3790</v>
      </c>
      <c r="C1920" s="52"/>
      <c r="D1920" s="55">
        <f t="shared" si="29"/>
        <v>0</v>
      </c>
      <c r="E1920" s="63" t="str">
        <f>HYPERLINK("https://www.sds-group.ru/product/klemmnaya-kolodka-vintovaya-kv-14-6-14-mm-tok-20-a-polipropilen-chernyy-individualnaya-u-07-5014-2-7/", "Инфо")</f>
        <v>Инфо</v>
      </c>
      <c r="F1920" s="16" t="s">
        <v>39</v>
      </c>
      <c r="G1920" s="15"/>
      <c r="H1920" s="15"/>
      <c r="I1920" s="15"/>
      <c r="J1920" s="17">
        <v>181</v>
      </c>
      <c r="K1920" s="15"/>
      <c r="L1920" s="17">
        <v>5</v>
      </c>
      <c r="M1920" s="17">
        <v>50</v>
      </c>
      <c r="N1920" s="17">
        <v>5</v>
      </c>
      <c r="O1920" s="18">
        <v>316.35000000000002</v>
      </c>
      <c r="P1920" s="18">
        <v>259.3</v>
      </c>
      <c r="Q1920" s="18">
        <v>268.89999999999998</v>
      </c>
      <c r="R1920" s="18">
        <v>220.41</v>
      </c>
      <c r="S1920" s="18">
        <v>215.12</v>
      </c>
      <c r="T1920" s="18">
        <v>176.33</v>
      </c>
      <c r="U1920" s="16"/>
      <c r="V1920" s="16"/>
      <c r="W1920" s="16" t="s">
        <v>40</v>
      </c>
      <c r="X1920" s="19">
        <v>4.5999999999999999E-2</v>
      </c>
      <c r="Y1920" s="20">
        <v>4.2999999999999999E-4</v>
      </c>
      <c r="Z1920" s="21">
        <v>4601004161665</v>
      </c>
    </row>
    <row r="1921" spans="1:26" ht="12" customHeight="1" outlineLevel="4" x14ac:dyDescent="0.2">
      <c r="A1921" s="14" t="s">
        <v>3791</v>
      </c>
      <c r="B1921" s="26" t="s">
        <v>3792</v>
      </c>
      <c r="C1921" s="52"/>
      <c r="D1921" s="55">
        <f t="shared" si="29"/>
        <v>0</v>
      </c>
      <c r="E1921" s="63" t="str">
        <f>HYPERLINK("https://www.sds-group.ru/product/klemmnaya-kolodka-vintovaya-kv-14-6-14-mm-tok-20-a-polietilen-belyy-zvi-rexant-07-5014/", "Инфо")</f>
        <v>Инфо</v>
      </c>
      <c r="F1921" s="16" t="s">
        <v>39</v>
      </c>
      <c r="G1921" s="15"/>
      <c r="H1921" s="15"/>
      <c r="I1921" s="15"/>
      <c r="J1921" s="22">
        <v>1420</v>
      </c>
      <c r="K1921" s="15" t="s">
        <v>1665</v>
      </c>
      <c r="L1921" s="17">
        <v>10</v>
      </c>
      <c r="M1921" s="17">
        <v>500</v>
      </c>
      <c r="N1921" s="17">
        <v>10</v>
      </c>
      <c r="O1921" s="18">
        <v>140.86000000000001</v>
      </c>
      <c r="P1921" s="18">
        <v>115.46</v>
      </c>
      <c r="Q1921" s="18">
        <v>119.73</v>
      </c>
      <c r="R1921" s="18">
        <v>98.14</v>
      </c>
      <c r="S1921" s="18">
        <v>95.78</v>
      </c>
      <c r="T1921" s="18">
        <v>78.510000000000005</v>
      </c>
      <c r="U1921" s="16"/>
      <c r="V1921" s="16"/>
      <c r="W1921" s="16" t="s">
        <v>40</v>
      </c>
      <c r="X1921" s="19">
        <v>0.04</v>
      </c>
      <c r="Y1921" s="20">
        <v>6.3999999999999997E-5</v>
      </c>
      <c r="Z1921" s="21">
        <v>4601004000254</v>
      </c>
    </row>
    <row r="1922" spans="1:26" ht="12" customHeight="1" outlineLevel="4" x14ac:dyDescent="0.2">
      <c r="A1922" s="14" t="s">
        <v>3793</v>
      </c>
      <c r="B1922" s="26" t="s">
        <v>3794</v>
      </c>
      <c r="C1922" s="52"/>
      <c r="D1922" s="55">
        <f t="shared" si="29"/>
        <v>0</v>
      </c>
      <c r="E1922" s="63" t="str">
        <f>HYPERLINK("https://www.sds-group.ru/product/klemmnaya-kolodka-vintovaya-kv-16-6-16-mm-tok-30-a-polietilen-belyy-zvi-smartkip-07-5016-5/", "Инфо")</f>
        <v>Инфо</v>
      </c>
      <c r="F1922" s="16" t="s">
        <v>39</v>
      </c>
      <c r="G1922" s="15"/>
      <c r="H1922" s="15"/>
      <c r="I1922" s="15"/>
      <c r="J1922" s="17">
        <v>840</v>
      </c>
      <c r="K1922" s="15" t="s">
        <v>2924</v>
      </c>
      <c r="L1922" s="17">
        <v>10</v>
      </c>
      <c r="M1922" s="17">
        <v>300</v>
      </c>
      <c r="N1922" s="17">
        <v>10</v>
      </c>
      <c r="O1922" s="18">
        <v>159.28</v>
      </c>
      <c r="P1922" s="18">
        <v>130.56</v>
      </c>
      <c r="Q1922" s="18">
        <v>135.38999999999999</v>
      </c>
      <c r="R1922" s="18">
        <v>110.98</v>
      </c>
      <c r="S1922" s="18">
        <v>108.31</v>
      </c>
      <c r="T1922" s="18">
        <v>88.78</v>
      </c>
      <c r="U1922" s="16"/>
      <c r="V1922" s="16"/>
      <c r="W1922" s="16" t="s">
        <v>40</v>
      </c>
      <c r="X1922" s="19">
        <v>4.7E-2</v>
      </c>
      <c r="Y1922" s="20">
        <v>9.0000000000000006E-5</v>
      </c>
      <c r="Z1922" s="21">
        <v>4601004141001</v>
      </c>
    </row>
    <row r="1923" spans="1:26" ht="12" customHeight="1" outlineLevel="4" x14ac:dyDescent="0.2">
      <c r="A1923" s="14" t="s">
        <v>3795</v>
      </c>
      <c r="B1923" s="26" t="s">
        <v>3796</v>
      </c>
      <c r="C1923" s="52"/>
      <c r="D1923" s="55">
        <f t="shared" si="29"/>
        <v>0</v>
      </c>
      <c r="E1923" s="63" t="str">
        <f>HYPERLINK("https://www.sds-group.ru/product/klemmnaya-kolodka-vintovaya-kv-16-6-16-mm-tok-30-a-polietilen-belyy-zvi-rexant-07-5016/", "Инфо")</f>
        <v>Инфо</v>
      </c>
      <c r="F1923" s="16" t="s">
        <v>39</v>
      </c>
      <c r="G1923" s="15"/>
      <c r="H1923" s="15"/>
      <c r="I1923" s="15"/>
      <c r="J1923" s="16" t="s">
        <v>100</v>
      </c>
      <c r="K1923" s="15" t="s">
        <v>2798</v>
      </c>
      <c r="L1923" s="17">
        <v>10</v>
      </c>
      <c r="M1923" s="17">
        <v>300</v>
      </c>
      <c r="N1923" s="17">
        <v>10</v>
      </c>
      <c r="O1923" s="18">
        <v>132.6</v>
      </c>
      <c r="P1923" s="18">
        <v>108.69</v>
      </c>
      <c r="Q1923" s="18">
        <v>112.71</v>
      </c>
      <c r="R1923" s="18">
        <v>92.39</v>
      </c>
      <c r="S1923" s="18">
        <v>90.17</v>
      </c>
      <c r="T1923" s="18">
        <v>73.91</v>
      </c>
      <c r="U1923" s="16"/>
      <c r="V1923" s="16"/>
      <c r="W1923" s="16" t="s">
        <v>40</v>
      </c>
      <c r="X1923" s="19">
        <v>5.7000000000000002E-2</v>
      </c>
      <c r="Y1923" s="20">
        <v>9.7999999999999997E-5</v>
      </c>
      <c r="Z1923" s="21">
        <v>4601004000261</v>
      </c>
    </row>
    <row r="1924" spans="1:26" ht="12" customHeight="1" outlineLevel="4" x14ac:dyDescent="0.2">
      <c r="A1924" s="14" t="s">
        <v>3797</v>
      </c>
      <c r="B1924" s="26" t="s">
        <v>3798</v>
      </c>
      <c r="C1924" s="52"/>
      <c r="D1924" s="55">
        <f t="shared" si="29"/>
        <v>0</v>
      </c>
      <c r="E1924" s="63" t="str">
        <f>HYPERLINK("https://www.sds-group.ru/product/klemmnaya-kolodka-vintovaya-kv-16-6-16-mm-tok-30-a-polipropilen-chernyy-zvi-rexant-07-5016-2/", "Инфо")</f>
        <v>Инфо</v>
      </c>
      <c r="F1924" s="16" t="s">
        <v>39</v>
      </c>
      <c r="G1924" s="15"/>
      <c r="H1924" s="15"/>
      <c r="I1924" s="15"/>
      <c r="J1924" s="16" t="s">
        <v>100</v>
      </c>
      <c r="K1924" s="15" t="s">
        <v>210</v>
      </c>
      <c r="L1924" s="17">
        <v>10</v>
      </c>
      <c r="M1924" s="17">
        <v>300</v>
      </c>
      <c r="N1924" s="17">
        <v>10</v>
      </c>
      <c r="O1924" s="18">
        <v>140.6</v>
      </c>
      <c r="P1924" s="18">
        <v>115.25</v>
      </c>
      <c r="Q1924" s="18">
        <v>119.51</v>
      </c>
      <c r="R1924" s="18">
        <v>97.96</v>
      </c>
      <c r="S1924" s="18">
        <v>95.61</v>
      </c>
      <c r="T1924" s="18">
        <v>78.37</v>
      </c>
      <c r="U1924" s="16"/>
      <c r="V1924" s="16"/>
      <c r="W1924" s="16" t="s">
        <v>40</v>
      </c>
      <c r="X1924" s="19">
        <v>0.06</v>
      </c>
      <c r="Y1924" s="20">
        <v>8.8999999999999995E-5</v>
      </c>
      <c r="Z1924" s="21">
        <v>4601004022812</v>
      </c>
    </row>
    <row r="1925" spans="1:26" ht="12" customHeight="1" outlineLevel="4" x14ac:dyDescent="0.2">
      <c r="A1925" s="14" t="s">
        <v>3799</v>
      </c>
      <c r="B1925" s="26" t="s">
        <v>3800</v>
      </c>
      <c r="C1925" s="52"/>
      <c r="D1925" s="55">
        <f t="shared" si="29"/>
        <v>0</v>
      </c>
      <c r="E1925" s="63" t="str">
        <f>HYPERLINK("https://www.sds-group.ru/product/klemmnaya-kolodka-vintovaya-kv-25-10-25-mm-tok-60-a-polietilen-belyy-individualnaya-upakov-07-5025-1/", "Инфо")</f>
        <v>Инфо</v>
      </c>
      <c r="F1925" s="16" t="s">
        <v>1001</v>
      </c>
      <c r="G1925" s="15"/>
      <c r="H1925" s="15"/>
      <c r="I1925" s="15"/>
      <c r="J1925" s="17">
        <v>118</v>
      </c>
      <c r="K1925" s="15"/>
      <c r="L1925" s="17">
        <v>5</v>
      </c>
      <c r="M1925" s="17">
        <v>50</v>
      </c>
      <c r="N1925" s="17">
        <v>5</v>
      </c>
      <c r="O1925" s="18">
        <v>542.5</v>
      </c>
      <c r="P1925" s="18">
        <v>444.67</v>
      </c>
      <c r="Q1925" s="18">
        <v>542.5</v>
      </c>
      <c r="R1925" s="18">
        <v>444.67</v>
      </c>
      <c r="S1925" s="18">
        <v>368.9</v>
      </c>
      <c r="T1925" s="18">
        <v>302.38</v>
      </c>
      <c r="U1925" s="16"/>
      <c r="V1925" s="16"/>
      <c r="W1925" s="16" t="s">
        <v>40</v>
      </c>
      <c r="X1925" s="19">
        <v>0.109</v>
      </c>
      <c r="Y1925" s="20">
        <v>4.6900000000000002E-4</v>
      </c>
      <c r="Z1925" s="21">
        <v>4601004236530</v>
      </c>
    </row>
    <row r="1926" spans="1:26" ht="12" customHeight="1" outlineLevel="4" x14ac:dyDescent="0.2">
      <c r="A1926" s="14" t="s">
        <v>3801</v>
      </c>
      <c r="B1926" s="26" t="s">
        <v>3802</v>
      </c>
      <c r="C1926" s="52"/>
      <c r="D1926" s="55">
        <f t="shared" si="29"/>
        <v>0</v>
      </c>
      <c r="E1926" s="63" t="str">
        <f>HYPERLINK("https://www.sds-group.ru/product/klemmnaya-kolodka-vintovaya-kv-25-10-25-mm-tok-60-a-polietilen-belyy-zvi-rexant-07-5025/", "Инфо")</f>
        <v>Инфо</v>
      </c>
      <c r="F1926" s="16" t="s">
        <v>39</v>
      </c>
      <c r="G1926" s="15"/>
      <c r="H1926" s="15"/>
      <c r="I1926" s="15"/>
      <c r="J1926" s="17">
        <v>920</v>
      </c>
      <c r="K1926" s="15" t="s">
        <v>2798</v>
      </c>
      <c r="L1926" s="17">
        <v>10</v>
      </c>
      <c r="M1926" s="17">
        <v>200</v>
      </c>
      <c r="N1926" s="17">
        <v>10</v>
      </c>
      <c r="O1926" s="18">
        <v>278.61</v>
      </c>
      <c r="P1926" s="18">
        <v>228.37</v>
      </c>
      <c r="Q1926" s="18">
        <v>236.82</v>
      </c>
      <c r="R1926" s="18">
        <v>194.11</v>
      </c>
      <c r="S1926" s="18">
        <v>189.45</v>
      </c>
      <c r="T1926" s="18">
        <v>155.29</v>
      </c>
      <c r="U1926" s="16"/>
      <c r="V1926" s="16"/>
      <c r="W1926" s="16" t="s">
        <v>40</v>
      </c>
      <c r="X1926" s="19">
        <v>9.7000000000000003E-2</v>
      </c>
      <c r="Y1926" s="20">
        <v>1.7899999999999999E-4</v>
      </c>
      <c r="Z1926" s="21">
        <v>4601004000278</v>
      </c>
    </row>
    <row r="1927" spans="1:26" ht="12" customHeight="1" outlineLevel="4" x14ac:dyDescent="0.2">
      <c r="A1927" s="14" t="s">
        <v>3803</v>
      </c>
      <c r="B1927" s="26" t="s">
        <v>3804</v>
      </c>
      <c r="C1927" s="52"/>
      <c r="D1927" s="55">
        <f t="shared" si="29"/>
        <v>0</v>
      </c>
      <c r="E1927" s="63" t="str">
        <f>HYPERLINK("https://www.sds-group.ru/product/klemmnaya-kolodka-vintovaya-kv-25-10-25-mm-tok-60-a-polipropilen-chernyy-zvi-rexant-07-5025-2/", "Инфо")</f>
        <v>Инфо</v>
      </c>
      <c r="F1927" s="16" t="s">
        <v>39</v>
      </c>
      <c r="G1927" s="15"/>
      <c r="H1927" s="15"/>
      <c r="I1927" s="15"/>
      <c r="J1927" s="16" t="s">
        <v>100</v>
      </c>
      <c r="K1927" s="15" t="s">
        <v>2798</v>
      </c>
      <c r="L1927" s="17">
        <v>10</v>
      </c>
      <c r="M1927" s="17">
        <v>200</v>
      </c>
      <c r="N1927" s="17">
        <v>10</v>
      </c>
      <c r="O1927" s="18">
        <v>272.02</v>
      </c>
      <c r="P1927" s="18">
        <v>222.97</v>
      </c>
      <c r="Q1927" s="18">
        <v>231.22</v>
      </c>
      <c r="R1927" s="18">
        <v>189.52</v>
      </c>
      <c r="S1927" s="18">
        <v>184.97</v>
      </c>
      <c r="T1927" s="18">
        <v>151.61000000000001</v>
      </c>
      <c r="U1927" s="16"/>
      <c r="V1927" s="16"/>
      <c r="W1927" s="16" t="s">
        <v>40</v>
      </c>
      <c r="X1927" s="19">
        <v>9.5000000000000001E-2</v>
      </c>
      <c r="Y1927" s="20">
        <v>1.5200000000000001E-4</v>
      </c>
      <c r="Z1927" s="21">
        <v>4601004022799</v>
      </c>
    </row>
    <row r="1928" spans="1:26" ht="12" customHeight="1" outlineLevel="4" x14ac:dyDescent="0.2">
      <c r="A1928" s="32" t="s">
        <v>3805</v>
      </c>
      <c r="B1928" s="74" t="s">
        <v>3806</v>
      </c>
      <c r="C1928" s="50"/>
      <c r="D1928" s="53">
        <f t="shared" si="29"/>
        <v>0</v>
      </c>
      <c r="E1928" s="60" t="str">
        <f>HYPERLINK("https://www.sds-group.ru/product/klemmnaya-kolodka-vintovaya-kv-4-1-5-4-mm-tok-3-a-polipropilen-chernyy-zvi-individualna-07-5004-2-01/", "Инфо")</f>
        <v>Инфо</v>
      </c>
      <c r="F1928" s="34" t="s">
        <v>1001</v>
      </c>
      <c r="G1928" s="33"/>
      <c r="H1928" s="33" t="s">
        <v>40</v>
      </c>
      <c r="I1928" s="33"/>
      <c r="J1928" s="35">
        <v>60</v>
      </c>
      <c r="K1928" s="33"/>
      <c r="L1928" s="35">
        <v>1</v>
      </c>
      <c r="M1928" s="35">
        <v>50</v>
      </c>
      <c r="N1928" s="35">
        <v>1</v>
      </c>
      <c r="O1928" s="36">
        <v>89.19</v>
      </c>
      <c r="P1928" s="36">
        <v>73.11</v>
      </c>
      <c r="Q1928" s="36">
        <v>75.81</v>
      </c>
      <c r="R1928" s="36">
        <v>62.14</v>
      </c>
      <c r="S1928" s="36">
        <v>60.65</v>
      </c>
      <c r="T1928" s="36">
        <v>49.71</v>
      </c>
      <c r="U1928" s="34"/>
      <c r="V1928" s="34"/>
      <c r="W1928" s="34" t="s">
        <v>40</v>
      </c>
      <c r="X1928" s="37">
        <v>1.7999999999999999E-2</v>
      </c>
      <c r="Y1928" s="38">
        <v>1.8100000000000001E-4</v>
      </c>
      <c r="Z1928" s="21">
        <v>4601004253247</v>
      </c>
    </row>
    <row r="1929" spans="1:26" ht="12" customHeight="1" outlineLevel="4" x14ac:dyDescent="0.2">
      <c r="A1929" s="14" t="s">
        <v>3807</v>
      </c>
      <c r="B1929" s="26" t="s">
        <v>3808</v>
      </c>
      <c r="C1929" s="52"/>
      <c r="D1929" s="55">
        <f t="shared" ref="D1929:D1992" si="30">C1929*(O1929-O1929*$G$3)</f>
        <v>0</v>
      </c>
      <c r="E1929" s="63" t="str">
        <f>HYPERLINK("https://www.sds-group.ru/product/klemmnaya-kolodka-vintovaya-kv-4-1-5-4-mm-tok-3-a-polietilen-belyy-zvi-individualnaya-upak-07-5004-1/", "Инфо")</f>
        <v>Инфо</v>
      </c>
      <c r="F1929" s="16" t="s">
        <v>1001</v>
      </c>
      <c r="G1929" s="15"/>
      <c r="H1929" s="15"/>
      <c r="I1929" s="15"/>
      <c r="J1929" s="16" t="s">
        <v>100</v>
      </c>
      <c r="K1929" s="15"/>
      <c r="L1929" s="17">
        <v>10</v>
      </c>
      <c r="M1929" s="17">
        <v>50</v>
      </c>
      <c r="N1929" s="17">
        <v>10</v>
      </c>
      <c r="O1929" s="18">
        <v>80.37</v>
      </c>
      <c r="P1929" s="18">
        <v>65.88</v>
      </c>
      <c r="Q1929" s="18">
        <v>68.31</v>
      </c>
      <c r="R1929" s="18">
        <v>55.99</v>
      </c>
      <c r="S1929" s="18">
        <v>54.65</v>
      </c>
      <c r="T1929" s="18">
        <v>44.8</v>
      </c>
      <c r="U1929" s="16"/>
      <c r="V1929" s="16"/>
      <c r="W1929" s="16" t="s">
        <v>40</v>
      </c>
      <c r="X1929" s="19">
        <v>2.1000000000000001E-2</v>
      </c>
      <c r="Y1929" s="20">
        <v>1.7899999999999999E-4</v>
      </c>
      <c r="Z1929" s="21">
        <v>4601004253919</v>
      </c>
    </row>
    <row r="1930" spans="1:26" ht="12" customHeight="1" outlineLevel="4" x14ac:dyDescent="0.2">
      <c r="A1930" s="14" t="s">
        <v>3809</v>
      </c>
      <c r="B1930" s="26" t="s">
        <v>3810</v>
      </c>
      <c r="C1930" s="52"/>
      <c r="D1930" s="55">
        <f t="shared" si="30"/>
        <v>0</v>
      </c>
      <c r="E1930" s="63" t="str">
        <f>HYPERLINK("https://www.sds-group.ru/product/klemmnaya-kolodka-vintovaya-kv-6-2-5-6-mm-tok-6-a-polipropilen-chernyy-zvi-individualna-07-5006-2-01/", "Инфо")</f>
        <v>Инфо</v>
      </c>
      <c r="F1930" s="16" t="s">
        <v>1001</v>
      </c>
      <c r="G1930" s="15"/>
      <c r="H1930" s="15"/>
      <c r="I1930" s="15"/>
      <c r="J1930" s="17">
        <v>20</v>
      </c>
      <c r="K1930" s="15"/>
      <c r="L1930" s="17">
        <v>10</v>
      </c>
      <c r="M1930" s="17">
        <v>50</v>
      </c>
      <c r="N1930" s="17">
        <v>10</v>
      </c>
      <c r="O1930" s="18">
        <v>135.86000000000001</v>
      </c>
      <c r="P1930" s="18">
        <v>111.36</v>
      </c>
      <c r="Q1930" s="18">
        <v>135.86000000000001</v>
      </c>
      <c r="R1930" s="18">
        <v>111.36</v>
      </c>
      <c r="S1930" s="18">
        <v>92.38</v>
      </c>
      <c r="T1930" s="18">
        <v>75.72</v>
      </c>
      <c r="U1930" s="16"/>
      <c r="V1930" s="16"/>
      <c r="W1930" s="16" t="s">
        <v>40</v>
      </c>
      <c r="X1930" s="19">
        <v>2.1000000000000001E-2</v>
      </c>
      <c r="Y1930" s="20">
        <v>1.8200000000000001E-4</v>
      </c>
      <c r="Z1930" s="21">
        <v>4601004253063</v>
      </c>
    </row>
    <row r="1931" spans="1:26" ht="12" customHeight="1" outlineLevel="4" x14ac:dyDescent="0.2">
      <c r="A1931" s="32" t="s">
        <v>3811</v>
      </c>
      <c r="B1931" s="74" t="s">
        <v>3812</v>
      </c>
      <c r="C1931" s="50"/>
      <c r="D1931" s="53">
        <f t="shared" si="30"/>
        <v>0</v>
      </c>
      <c r="E1931" s="60" t="str">
        <f>HYPERLINK("https://www.sds-group.ru/product/klemmnaya-kolodka-vintovaya-kv-6-2-5-6-mm-tok-6-a-polietilen-belyy-zvi-individualnaya-upak-07-5006-1/", "Инфо")</f>
        <v>Инфо</v>
      </c>
      <c r="F1931" s="34" t="s">
        <v>1001</v>
      </c>
      <c r="G1931" s="33"/>
      <c r="H1931" s="33" t="s">
        <v>40</v>
      </c>
      <c r="I1931" s="33"/>
      <c r="J1931" s="34" t="s">
        <v>100</v>
      </c>
      <c r="K1931" s="33"/>
      <c r="L1931" s="35">
        <v>1</v>
      </c>
      <c r="M1931" s="35">
        <v>50</v>
      </c>
      <c r="N1931" s="35">
        <v>1</v>
      </c>
      <c r="O1931" s="36">
        <v>104.78</v>
      </c>
      <c r="P1931" s="36">
        <v>85.89</v>
      </c>
      <c r="Q1931" s="36">
        <v>89.06</v>
      </c>
      <c r="R1931" s="36">
        <v>73</v>
      </c>
      <c r="S1931" s="36">
        <v>71.25</v>
      </c>
      <c r="T1931" s="36">
        <v>58.4</v>
      </c>
      <c r="U1931" s="34"/>
      <c r="V1931" s="34"/>
      <c r="W1931" s="34" t="s">
        <v>40</v>
      </c>
      <c r="X1931" s="37">
        <v>2.7E-2</v>
      </c>
      <c r="Y1931" s="38">
        <v>1.83E-4</v>
      </c>
      <c r="Z1931" s="21">
        <v>4601004253926</v>
      </c>
    </row>
    <row r="1932" spans="1:26" ht="12" customHeight="1" outlineLevel="4" x14ac:dyDescent="0.2">
      <c r="A1932" s="14" t="s">
        <v>3813</v>
      </c>
      <c r="B1932" s="26" t="s">
        <v>3814</v>
      </c>
      <c r="C1932" s="52"/>
      <c r="D1932" s="55">
        <f t="shared" si="30"/>
        <v>0</v>
      </c>
      <c r="E1932" s="63" t="str">
        <f>HYPERLINK("https://www.sds-group.ru/product/kolodka-klemmnaya-vintovaya-kv-6-6a-2-5-6mm-polipropilen-siniy-zvi-10-sht-up-rexant-07-5006-4/", "Инфо")</f>
        <v>Инфо</v>
      </c>
      <c r="F1932" s="16" t="s">
        <v>39</v>
      </c>
      <c r="G1932" s="15"/>
      <c r="H1932" s="15"/>
      <c r="I1932" s="15"/>
      <c r="J1932" s="22">
        <v>5860</v>
      </c>
      <c r="K1932" s="15"/>
      <c r="L1932" s="17">
        <v>10</v>
      </c>
      <c r="M1932" s="22">
        <v>1200</v>
      </c>
      <c r="N1932" s="17">
        <v>10</v>
      </c>
      <c r="O1932" s="18">
        <v>58.85</v>
      </c>
      <c r="P1932" s="18">
        <v>48.24</v>
      </c>
      <c r="Q1932" s="18">
        <v>50.02</v>
      </c>
      <c r="R1932" s="18">
        <v>41</v>
      </c>
      <c r="S1932" s="18">
        <v>40.020000000000003</v>
      </c>
      <c r="T1932" s="18">
        <v>32.799999999999997</v>
      </c>
      <c r="U1932" s="16"/>
      <c r="V1932" s="16"/>
      <c r="W1932" s="16" t="s">
        <v>40</v>
      </c>
      <c r="X1932" s="19">
        <v>1.6E-2</v>
      </c>
      <c r="Y1932" s="20">
        <v>2.5000000000000001E-5</v>
      </c>
      <c r="Z1932" s="21">
        <v>4601004186750</v>
      </c>
    </row>
    <row r="1933" spans="1:26" ht="12" customHeight="1" outlineLevel="4" x14ac:dyDescent="0.2">
      <c r="A1933" s="32" t="s">
        <v>3815</v>
      </c>
      <c r="B1933" s="74" t="s">
        <v>3816</v>
      </c>
      <c r="C1933" s="50"/>
      <c r="D1933" s="53">
        <f t="shared" si="30"/>
        <v>0</v>
      </c>
      <c r="E1933" s="60" t="str">
        <f>HYPERLINK("https://www.sds-group.ru/product/kolodka-klemmnaya-kv-10-10a-10-mm-individualnaya-upakovka-1-sht-up-proconnect-07-5010-9/", "Инфо")</f>
        <v>Инфо</v>
      </c>
      <c r="F1933" s="34" t="s">
        <v>1001</v>
      </c>
      <c r="G1933" s="33"/>
      <c r="H1933" s="33" t="s">
        <v>40</v>
      </c>
      <c r="I1933" s="33"/>
      <c r="J1933" s="34" t="s">
        <v>100</v>
      </c>
      <c r="K1933" s="33"/>
      <c r="L1933" s="35">
        <v>1</v>
      </c>
      <c r="M1933" s="35">
        <v>300</v>
      </c>
      <c r="N1933" s="35">
        <v>1</v>
      </c>
      <c r="O1933" s="36">
        <v>234.6</v>
      </c>
      <c r="P1933" s="36">
        <v>192.3</v>
      </c>
      <c r="Q1933" s="36">
        <v>164.22</v>
      </c>
      <c r="R1933" s="36">
        <v>134.61000000000001</v>
      </c>
      <c r="S1933" s="36">
        <v>159.53</v>
      </c>
      <c r="T1933" s="36">
        <v>130.76</v>
      </c>
      <c r="U1933" s="34"/>
      <c r="V1933" s="34"/>
      <c r="W1933" s="34"/>
      <c r="X1933" s="37">
        <v>2.3E-2</v>
      </c>
      <c r="Y1933" s="38">
        <v>4.4099999999999999E-4</v>
      </c>
      <c r="Z1933" s="21">
        <v>4601004096981</v>
      </c>
    </row>
    <row r="1934" spans="1:26" ht="12" customHeight="1" outlineLevel="4" x14ac:dyDescent="0.2">
      <c r="A1934" s="32" t="s">
        <v>3817</v>
      </c>
      <c r="B1934" s="74" t="s">
        <v>3818</v>
      </c>
      <c r="C1934" s="50"/>
      <c r="D1934" s="53">
        <f t="shared" si="30"/>
        <v>0</v>
      </c>
      <c r="E1934" s="60" t="str">
        <f>HYPERLINK("https://www.sds-group.ru/product/kolodka-klemmnaya-kv-12-16a-12-mm-individualnaya-upakovka-1-sht-up-proconnect-07-5012-9/", "Инфо")</f>
        <v>Инфо</v>
      </c>
      <c r="F1934" s="34" t="s">
        <v>1001</v>
      </c>
      <c r="G1934" s="33"/>
      <c r="H1934" s="33" t="s">
        <v>40</v>
      </c>
      <c r="I1934" s="33"/>
      <c r="J1934" s="35">
        <v>4</v>
      </c>
      <c r="K1934" s="33"/>
      <c r="L1934" s="35">
        <v>1</v>
      </c>
      <c r="M1934" s="35">
        <v>250</v>
      </c>
      <c r="N1934" s="35">
        <v>1</v>
      </c>
      <c r="O1934" s="36">
        <v>275.3</v>
      </c>
      <c r="P1934" s="36">
        <v>225.66</v>
      </c>
      <c r="Q1934" s="36">
        <v>192.71</v>
      </c>
      <c r="R1934" s="36">
        <v>157.96</v>
      </c>
      <c r="S1934" s="36">
        <v>187.2</v>
      </c>
      <c r="T1934" s="36">
        <v>153.44</v>
      </c>
      <c r="U1934" s="34"/>
      <c r="V1934" s="34"/>
      <c r="W1934" s="34"/>
      <c r="X1934" s="37">
        <v>4.2000000000000003E-2</v>
      </c>
      <c r="Y1934" s="38">
        <v>2.2699999999999999E-4</v>
      </c>
      <c r="Z1934" s="21">
        <v>4601004096998</v>
      </c>
    </row>
    <row r="1935" spans="1:26" ht="12.95" customHeight="1" outlineLevel="3" x14ac:dyDescent="0.2">
      <c r="A1935" s="76" t="s">
        <v>3819</v>
      </c>
      <c r="B1935" s="76"/>
      <c r="C1935" s="77"/>
      <c r="D1935" s="58"/>
      <c r="E1935" s="68"/>
      <c r="F1935" s="13"/>
      <c r="G1935" s="13"/>
      <c r="H1935" s="13"/>
      <c r="I1935" s="13"/>
      <c r="J1935" s="13"/>
      <c r="K1935" s="13"/>
      <c r="L1935" s="13"/>
      <c r="M1935" s="13"/>
      <c r="N1935" s="13"/>
      <c r="O1935" s="13"/>
      <c r="P1935" s="13"/>
      <c r="Q1935" s="13"/>
      <c r="R1935" s="13"/>
      <c r="S1935" s="13"/>
      <c r="T1935" s="13"/>
      <c r="U1935" s="13"/>
      <c r="V1935" s="13"/>
      <c r="W1935" s="13"/>
      <c r="X1935" s="13"/>
      <c r="Y1935" s="13"/>
      <c r="Z1935" s="13"/>
    </row>
    <row r="1936" spans="1:26" ht="12" customHeight="1" outlineLevel="4" x14ac:dyDescent="0.2">
      <c r="A1936" s="32" t="s">
        <v>3820</v>
      </c>
      <c r="B1936" s="74" t="s">
        <v>3821</v>
      </c>
      <c r="C1936" s="50"/>
      <c r="D1936" s="53">
        <f t="shared" si="30"/>
        <v>0</v>
      </c>
      <c r="E1936" s="60" t="str">
        <f>HYPERLINK("https://www.sds-group.ru/product/soedinitelnyy-izoliruyuschiy-zazhim-rexant-siz-3-1-5-6-mm-oranzhevyy-10-sht-06-0232-B10/", "Инфо")</f>
        <v>Инфо</v>
      </c>
      <c r="F1936" s="34" t="s">
        <v>1001</v>
      </c>
      <c r="G1936" s="33"/>
      <c r="H1936" s="33" t="s">
        <v>40</v>
      </c>
      <c r="I1936" s="33"/>
      <c r="J1936" s="34" t="s">
        <v>100</v>
      </c>
      <c r="K1936" s="33"/>
      <c r="L1936" s="35">
        <v>1</v>
      </c>
      <c r="M1936" s="35">
        <v>10</v>
      </c>
      <c r="N1936" s="35">
        <v>1</v>
      </c>
      <c r="O1936" s="36">
        <v>94.16</v>
      </c>
      <c r="P1936" s="36">
        <v>77.180000000000007</v>
      </c>
      <c r="Q1936" s="36">
        <v>94.16</v>
      </c>
      <c r="R1936" s="36">
        <v>77.180000000000007</v>
      </c>
      <c r="S1936" s="36">
        <v>64.03</v>
      </c>
      <c r="T1936" s="36">
        <v>52.48</v>
      </c>
      <c r="U1936" s="34"/>
      <c r="V1936" s="34"/>
      <c r="W1936" s="34" t="s">
        <v>40</v>
      </c>
      <c r="X1936" s="37">
        <v>2.1999999999999999E-2</v>
      </c>
      <c r="Y1936" s="38">
        <v>2.32E-4</v>
      </c>
      <c r="Z1936" s="21">
        <v>4601004122802</v>
      </c>
    </row>
    <row r="1937" spans="1:26" ht="12" customHeight="1" outlineLevel="4" x14ac:dyDescent="0.2">
      <c r="A1937" s="32" t="s">
        <v>3822</v>
      </c>
      <c r="B1937" s="74" t="s">
        <v>3823</v>
      </c>
      <c r="C1937" s="50"/>
      <c r="D1937" s="53">
        <f t="shared" si="30"/>
        <v>0</v>
      </c>
      <c r="E1937" s="60" t="str">
        <f>HYPERLINK("https://www.sds-group.ru/product/soedinitelnyy-izoliruyuschiy-zazhim-rexant-siz-4-1-5-9-5-mm-zheltyy-10-sht-06-0233-B10/", "Инфо")</f>
        <v>Инфо</v>
      </c>
      <c r="F1937" s="34" t="s">
        <v>1001</v>
      </c>
      <c r="G1937" s="33"/>
      <c r="H1937" s="33" t="s">
        <v>40</v>
      </c>
      <c r="I1937" s="33"/>
      <c r="J1937" s="35">
        <v>56</v>
      </c>
      <c r="K1937" s="33"/>
      <c r="L1937" s="35">
        <v>1</v>
      </c>
      <c r="M1937" s="35">
        <v>10</v>
      </c>
      <c r="N1937" s="35">
        <v>1</v>
      </c>
      <c r="O1937" s="36">
        <v>99.08</v>
      </c>
      <c r="P1937" s="36">
        <v>81.209999999999994</v>
      </c>
      <c r="Q1937" s="36">
        <v>99.08</v>
      </c>
      <c r="R1937" s="36">
        <v>81.209999999999994</v>
      </c>
      <c r="S1937" s="36">
        <v>67.37</v>
      </c>
      <c r="T1937" s="36">
        <v>55.22</v>
      </c>
      <c r="U1937" s="34"/>
      <c r="V1937" s="34"/>
      <c r="W1937" s="34" t="s">
        <v>40</v>
      </c>
      <c r="X1937" s="37">
        <v>2.8000000000000001E-2</v>
      </c>
      <c r="Y1937" s="38">
        <v>2.3800000000000001E-4</v>
      </c>
      <c r="Z1937" s="21">
        <v>4601004122796</v>
      </c>
    </row>
    <row r="1938" spans="1:26" ht="12" customHeight="1" outlineLevel="4" x14ac:dyDescent="0.2">
      <c r="A1938" s="32" t="s">
        <v>3824</v>
      </c>
      <c r="B1938" s="74" t="s">
        <v>3825</v>
      </c>
      <c r="C1938" s="50"/>
      <c r="D1938" s="53">
        <f t="shared" si="30"/>
        <v>0</v>
      </c>
      <c r="E1938" s="60" t="str">
        <f>HYPERLINK("https://www.sds-group.ru/product/soedinitelnyy-izoliruyuschiy-zazhim-rexant-s-lepestkami-siz-11-9-8-mm-1-8-5-mm-zheltyy-100-s-08-0750/", "Инфо")</f>
        <v>Инфо</v>
      </c>
      <c r="F1938" s="34" t="s">
        <v>39</v>
      </c>
      <c r="G1938" s="33"/>
      <c r="H1938" s="33" t="s">
        <v>40</v>
      </c>
      <c r="I1938" s="33"/>
      <c r="J1938" s="39">
        <v>57200</v>
      </c>
      <c r="K1938" s="33"/>
      <c r="L1938" s="35">
        <v>100</v>
      </c>
      <c r="M1938" s="39">
        <v>5000</v>
      </c>
      <c r="N1938" s="35">
        <v>100</v>
      </c>
      <c r="O1938" s="36">
        <v>2.08</v>
      </c>
      <c r="P1938" s="36">
        <v>1.7</v>
      </c>
      <c r="Q1938" s="36">
        <v>1.46</v>
      </c>
      <c r="R1938" s="36">
        <v>1.2</v>
      </c>
      <c r="S1938" s="36">
        <v>1.41</v>
      </c>
      <c r="T1938" s="36">
        <v>1.1599999999999999</v>
      </c>
      <c r="U1938" s="34"/>
      <c r="V1938" s="34"/>
      <c r="W1938" s="34"/>
      <c r="X1938" s="37">
        <v>2E-3</v>
      </c>
      <c r="Y1938" s="38">
        <v>6.0000000000000002E-6</v>
      </c>
      <c r="Z1938" s="21">
        <v>4601004197817</v>
      </c>
    </row>
    <row r="1939" spans="1:26" ht="12" customHeight="1" outlineLevel="4" x14ac:dyDescent="0.2">
      <c r="A1939" s="32" t="s">
        <v>3826</v>
      </c>
      <c r="B1939" s="74" t="s">
        <v>3827</v>
      </c>
      <c r="C1939" s="50"/>
      <c r="D1939" s="53">
        <f t="shared" si="30"/>
        <v>0</v>
      </c>
      <c r="E1939" s="60" t="str">
        <f>HYPERLINK("https://www.sds-group.ru/product/soedinitelnyy-izoliruyuschiy-zazhim-rexant-s-lepestkami-siz-12-11-2-mm-1-12-75-mm-korichnevy-08-0756/", "Инфо")</f>
        <v>Инфо</v>
      </c>
      <c r="F1939" s="34" t="s">
        <v>39</v>
      </c>
      <c r="G1939" s="33"/>
      <c r="H1939" s="33" t="s">
        <v>40</v>
      </c>
      <c r="I1939" s="33"/>
      <c r="J1939" s="39">
        <v>99500</v>
      </c>
      <c r="K1939" s="33"/>
      <c r="L1939" s="35">
        <v>100</v>
      </c>
      <c r="M1939" s="39">
        <v>5000</v>
      </c>
      <c r="N1939" s="35">
        <v>100</v>
      </c>
      <c r="O1939" s="36">
        <v>4.22</v>
      </c>
      <c r="P1939" s="36">
        <v>3.46</v>
      </c>
      <c r="Q1939" s="36">
        <v>3.59</v>
      </c>
      <c r="R1939" s="36">
        <v>2.94</v>
      </c>
      <c r="S1939" s="36">
        <v>2.87</v>
      </c>
      <c r="T1939" s="36">
        <v>2.35</v>
      </c>
      <c r="U1939" s="34"/>
      <c r="V1939" s="34"/>
      <c r="W1939" s="34" t="s">
        <v>40</v>
      </c>
      <c r="X1939" s="37">
        <v>2E-3</v>
      </c>
      <c r="Y1939" s="38">
        <v>6.9999999999999999E-6</v>
      </c>
      <c r="Z1939" s="21">
        <v>4601004197763</v>
      </c>
    </row>
    <row r="1940" spans="1:26" ht="12" customHeight="1" outlineLevel="4" x14ac:dyDescent="0.2">
      <c r="A1940" s="32" t="s">
        <v>3828</v>
      </c>
      <c r="B1940" s="74" t="s">
        <v>3829</v>
      </c>
      <c r="C1940" s="50"/>
      <c r="D1940" s="53">
        <f t="shared" si="30"/>
        <v>0</v>
      </c>
      <c r="E1940" s="60" t="str">
        <f>HYPERLINK("https://www.sds-group.ru/product/soedinitelnyy-izoliruyuschiy-zazhim-rexant-s-lepestkami-siz-13-13-mm-1-5-16-mm-krasnyy-100-s-08-0758/", "Инфо")</f>
        <v>Инфо</v>
      </c>
      <c r="F1940" s="34" t="s">
        <v>39</v>
      </c>
      <c r="G1940" s="33"/>
      <c r="H1940" s="33" t="s">
        <v>40</v>
      </c>
      <c r="I1940" s="33"/>
      <c r="J1940" s="39">
        <v>35300</v>
      </c>
      <c r="K1940" s="33"/>
      <c r="L1940" s="35">
        <v>100</v>
      </c>
      <c r="M1940" s="39">
        <v>4500</v>
      </c>
      <c r="N1940" s="35">
        <v>100</v>
      </c>
      <c r="O1940" s="36">
        <v>3.72</v>
      </c>
      <c r="P1940" s="36">
        <v>3.05</v>
      </c>
      <c r="Q1940" s="36">
        <v>2.6</v>
      </c>
      <c r="R1940" s="36">
        <v>2.13</v>
      </c>
      <c r="S1940" s="36">
        <v>2.5299999999999998</v>
      </c>
      <c r="T1940" s="36">
        <v>2.0699999999999998</v>
      </c>
      <c r="U1940" s="34"/>
      <c r="V1940" s="34"/>
      <c r="W1940" s="34"/>
      <c r="X1940" s="37">
        <v>4.0000000000000001E-3</v>
      </c>
      <c r="Y1940" s="38">
        <v>9.0000000000000002E-6</v>
      </c>
      <c r="Z1940" s="21">
        <v>4601004197770</v>
      </c>
    </row>
    <row r="1941" spans="1:26" ht="12" customHeight="1" outlineLevel="4" x14ac:dyDescent="0.2">
      <c r="A1941" s="32" t="s">
        <v>3830</v>
      </c>
      <c r="B1941" s="74" t="s">
        <v>3831</v>
      </c>
      <c r="C1941" s="50"/>
      <c r="D1941" s="53">
        <f t="shared" si="30"/>
        <v>0</v>
      </c>
      <c r="E1941" s="60" t="str">
        <f>HYPERLINK("https://www.sds-group.ru/product/soedinitelnyy-izoliruyuschiy-zazhim-rexant-s-lepestkami-siz-15-14-9-mm-4-16-mm-seryy-50-sht--08-0759/", "Инфо")</f>
        <v>Инфо</v>
      </c>
      <c r="F1941" s="34" t="s">
        <v>39</v>
      </c>
      <c r="G1941" s="33"/>
      <c r="H1941" s="33" t="s">
        <v>40</v>
      </c>
      <c r="I1941" s="33"/>
      <c r="J1941" s="39">
        <v>55000</v>
      </c>
      <c r="K1941" s="33"/>
      <c r="L1941" s="35">
        <v>50</v>
      </c>
      <c r="M1941" s="39">
        <v>2500</v>
      </c>
      <c r="N1941" s="35">
        <v>50</v>
      </c>
      <c r="O1941" s="36">
        <v>5.09</v>
      </c>
      <c r="P1941" s="36">
        <v>4.17</v>
      </c>
      <c r="Q1941" s="36">
        <v>3.56</v>
      </c>
      <c r="R1941" s="36">
        <v>2.92</v>
      </c>
      <c r="S1941" s="36">
        <v>3.46</v>
      </c>
      <c r="T1941" s="36">
        <v>2.84</v>
      </c>
      <c r="U1941" s="34"/>
      <c r="V1941" s="34"/>
      <c r="W1941" s="34"/>
      <c r="X1941" s="37">
        <v>5.0000000000000001E-3</v>
      </c>
      <c r="Y1941" s="38">
        <v>1.4E-5</v>
      </c>
      <c r="Z1941" s="21">
        <v>4601004197824</v>
      </c>
    </row>
    <row r="1942" spans="1:26" ht="12" customHeight="1" outlineLevel="4" x14ac:dyDescent="0.2">
      <c r="A1942" s="32" t="s">
        <v>3832</v>
      </c>
      <c r="B1942" s="74" t="s">
        <v>3833</v>
      </c>
      <c r="C1942" s="50"/>
      <c r="D1942" s="53">
        <f t="shared" si="30"/>
        <v>0</v>
      </c>
      <c r="E1942" s="60" t="str">
        <f>HYPERLINK("https://www.sds-group.ru/product/soedinitelnyy-izoliruyuschiy-zazhim-rexant-s-lepestkami-siz-17-17-8-mm-5-32-mm-siniy-50-sht--08-0782/", "Инфо")</f>
        <v>Инфо</v>
      </c>
      <c r="F1942" s="34" t="s">
        <v>39</v>
      </c>
      <c r="G1942" s="33"/>
      <c r="H1942" s="33" t="s">
        <v>40</v>
      </c>
      <c r="I1942" s="33"/>
      <c r="J1942" s="39">
        <v>11150</v>
      </c>
      <c r="K1942" s="33"/>
      <c r="L1942" s="35">
        <v>50</v>
      </c>
      <c r="M1942" s="39">
        <v>1500</v>
      </c>
      <c r="N1942" s="35">
        <v>50</v>
      </c>
      <c r="O1942" s="36">
        <v>7.34</v>
      </c>
      <c r="P1942" s="36">
        <v>6.02</v>
      </c>
      <c r="Q1942" s="36">
        <v>5.14</v>
      </c>
      <c r="R1942" s="36">
        <v>4.21</v>
      </c>
      <c r="S1942" s="36">
        <v>4.99</v>
      </c>
      <c r="T1942" s="36">
        <v>4.09</v>
      </c>
      <c r="U1942" s="34"/>
      <c r="V1942" s="34"/>
      <c r="W1942" s="34"/>
      <c r="X1942" s="37">
        <v>8.0000000000000002E-3</v>
      </c>
      <c r="Y1942" s="38">
        <v>2.4000000000000001E-5</v>
      </c>
      <c r="Z1942" s="21">
        <v>4601004197831</v>
      </c>
    </row>
    <row r="1943" spans="1:26" ht="12" customHeight="1" outlineLevel="4" x14ac:dyDescent="0.2">
      <c r="A1943" s="14" t="s">
        <v>3834</v>
      </c>
      <c r="B1943" s="26" t="s">
        <v>3835</v>
      </c>
      <c r="C1943" s="52"/>
      <c r="D1943" s="55">
        <f t="shared" si="30"/>
        <v>0</v>
      </c>
      <c r="E1943" s="63" t="str">
        <f>HYPERLINK("https://www.sds-group.ru/product/soedinitelnyy-izoliruyuschiy-zazhim-siz-1-2-7-mm-1-0-2-75-mm-seryy-rexant-07-5216/", "Инфо")</f>
        <v>Инфо</v>
      </c>
      <c r="F1943" s="16" t="s">
        <v>39</v>
      </c>
      <c r="G1943" s="15"/>
      <c r="H1943" s="15"/>
      <c r="I1943" s="15"/>
      <c r="J1943" s="22">
        <v>11400</v>
      </c>
      <c r="K1943" s="15" t="s">
        <v>3762</v>
      </c>
      <c r="L1943" s="22">
        <v>1000</v>
      </c>
      <c r="M1943" s="22">
        <v>13000</v>
      </c>
      <c r="N1943" s="22">
        <v>1000</v>
      </c>
      <c r="O1943" s="18">
        <v>1.65</v>
      </c>
      <c r="P1943" s="18">
        <v>1.35</v>
      </c>
      <c r="Q1943" s="18">
        <v>1.4</v>
      </c>
      <c r="R1943" s="18">
        <v>1.1499999999999999</v>
      </c>
      <c r="S1943" s="18">
        <v>1.1200000000000001</v>
      </c>
      <c r="T1943" s="18">
        <v>0.92</v>
      </c>
      <c r="U1943" s="16"/>
      <c r="V1943" s="16"/>
      <c r="W1943" s="16" t="s">
        <v>40</v>
      </c>
      <c r="X1943" s="19">
        <v>1E-3</v>
      </c>
      <c r="Y1943" s="20">
        <v>1.9999999999999999E-6</v>
      </c>
      <c r="Z1943" s="21">
        <v>4601004053069</v>
      </c>
    </row>
    <row r="1944" spans="1:26" ht="12" customHeight="1" outlineLevel="4" x14ac:dyDescent="0.2">
      <c r="A1944" s="14" t="s">
        <v>3836</v>
      </c>
      <c r="B1944" s="26" t="s">
        <v>3837</v>
      </c>
      <c r="C1944" s="52"/>
      <c r="D1944" s="55">
        <f t="shared" si="30"/>
        <v>0</v>
      </c>
      <c r="E1944" s="63" t="str">
        <f>HYPERLINK("https://www.sds-group.ru/product/soedinitelnyy-izoliruyuschiy-zazhim-siz-2-3-0-mm-1-0-3-75-mm-siniy-rexant-07-5217/", "Инфо")</f>
        <v>Инфо</v>
      </c>
      <c r="F1944" s="16" t="s">
        <v>39</v>
      </c>
      <c r="G1944" s="15"/>
      <c r="H1944" s="15"/>
      <c r="I1944" s="15"/>
      <c r="J1944" s="22">
        <v>385100</v>
      </c>
      <c r="K1944" s="15"/>
      <c r="L1944" s="17">
        <v>500</v>
      </c>
      <c r="M1944" s="22">
        <v>8000</v>
      </c>
      <c r="N1944" s="17">
        <v>500</v>
      </c>
      <c r="O1944" s="18">
        <v>2.13</v>
      </c>
      <c r="P1944" s="18">
        <v>1.75</v>
      </c>
      <c r="Q1944" s="18">
        <v>1.81</v>
      </c>
      <c r="R1944" s="18">
        <v>1.48</v>
      </c>
      <c r="S1944" s="18">
        <v>1.45</v>
      </c>
      <c r="T1944" s="18">
        <v>1.19</v>
      </c>
      <c r="U1944" s="16"/>
      <c r="V1944" s="16"/>
      <c r="W1944" s="16" t="s">
        <v>40</v>
      </c>
      <c r="X1944" s="19">
        <v>1E-3</v>
      </c>
      <c r="Y1944" s="20">
        <v>1.9999999999999999E-6</v>
      </c>
      <c r="Z1944" s="21">
        <v>4601004053014</v>
      </c>
    </row>
    <row r="1945" spans="1:26" ht="12" customHeight="1" outlineLevel="4" x14ac:dyDescent="0.2">
      <c r="A1945" s="14" t="s">
        <v>3838</v>
      </c>
      <c r="B1945" s="26" t="s">
        <v>3839</v>
      </c>
      <c r="C1945" s="52"/>
      <c r="D1945" s="55">
        <f t="shared" si="30"/>
        <v>0</v>
      </c>
      <c r="E1945" s="63" t="str">
        <f>HYPERLINK("https://www.sds-group.ru/product/soedinitelnyy-izoliruyuschiy-zazhim-siz-3-3-3-mm-1-5-5-75-mm-oranzhevyy-rexant-07-5218/", "Инфо")</f>
        <v>Инфо</v>
      </c>
      <c r="F1945" s="16" t="s">
        <v>39</v>
      </c>
      <c r="G1945" s="15"/>
      <c r="H1945" s="15"/>
      <c r="I1945" s="15"/>
      <c r="J1945" s="22">
        <v>55300</v>
      </c>
      <c r="K1945" s="15" t="s">
        <v>3762</v>
      </c>
      <c r="L1945" s="17">
        <v>500</v>
      </c>
      <c r="M1945" s="22">
        <v>4800</v>
      </c>
      <c r="N1945" s="17">
        <v>500</v>
      </c>
      <c r="O1945" s="18">
        <v>3.45</v>
      </c>
      <c r="P1945" s="18">
        <v>2.83</v>
      </c>
      <c r="Q1945" s="18">
        <v>2.93</v>
      </c>
      <c r="R1945" s="18">
        <v>2.4</v>
      </c>
      <c r="S1945" s="18">
        <v>2.35</v>
      </c>
      <c r="T1945" s="18">
        <v>1.93</v>
      </c>
      <c r="U1945" s="16"/>
      <c r="V1945" s="16"/>
      <c r="W1945" s="16" t="s">
        <v>40</v>
      </c>
      <c r="X1945" s="19">
        <v>1E-3</v>
      </c>
      <c r="Y1945" s="20">
        <v>3.9999999999999998E-6</v>
      </c>
      <c r="Z1945" s="21">
        <v>4601004053021</v>
      </c>
    </row>
    <row r="1946" spans="1:26" ht="12" customHeight="1" outlineLevel="4" x14ac:dyDescent="0.2">
      <c r="A1946" s="14" t="s">
        <v>3840</v>
      </c>
      <c r="B1946" s="26" t="s">
        <v>3841</v>
      </c>
      <c r="C1946" s="52"/>
      <c r="D1946" s="55">
        <f t="shared" si="30"/>
        <v>0</v>
      </c>
      <c r="E1946" s="63" t="str">
        <f>HYPERLINK("https://www.sds-group.ru/product/soedinitelnyy-izoliruyuschiy-zazhim-siz-4-4-8-mm-1-5-10-5-mm-zheltyy-rexant-07-5219/", "Инфо")</f>
        <v>Инфо</v>
      </c>
      <c r="F1946" s="16" t="s">
        <v>39</v>
      </c>
      <c r="G1946" s="15"/>
      <c r="H1946" s="15"/>
      <c r="I1946" s="15"/>
      <c r="J1946" s="22">
        <v>4700</v>
      </c>
      <c r="K1946" s="15" t="s">
        <v>3762</v>
      </c>
      <c r="L1946" s="17">
        <v>100</v>
      </c>
      <c r="M1946" s="22">
        <v>4800</v>
      </c>
      <c r="N1946" s="17">
        <v>100</v>
      </c>
      <c r="O1946" s="18">
        <v>4.42</v>
      </c>
      <c r="P1946" s="18">
        <v>3.62</v>
      </c>
      <c r="Q1946" s="18">
        <v>3.76</v>
      </c>
      <c r="R1946" s="18">
        <v>3.08</v>
      </c>
      <c r="S1946" s="18">
        <v>3.01</v>
      </c>
      <c r="T1946" s="18">
        <v>2.4700000000000002</v>
      </c>
      <c r="U1946" s="16"/>
      <c r="V1946" s="16"/>
      <c r="W1946" s="16" t="s">
        <v>40</v>
      </c>
      <c r="X1946" s="19">
        <v>2E-3</v>
      </c>
      <c r="Y1946" s="20">
        <v>6.0000000000000002E-6</v>
      </c>
      <c r="Z1946" s="21">
        <v>4601004053038</v>
      </c>
    </row>
    <row r="1947" spans="1:26" ht="12" customHeight="1" outlineLevel="4" x14ac:dyDescent="0.2">
      <c r="A1947" s="32" t="s">
        <v>3842</v>
      </c>
      <c r="B1947" s="74" t="s">
        <v>3843</v>
      </c>
      <c r="C1947" s="50"/>
      <c r="D1947" s="53">
        <f t="shared" si="30"/>
        <v>0</v>
      </c>
      <c r="E1947" s="60" t="str">
        <f>HYPERLINK("https://www.sds-group.ru/product/soedinitelnyy-izoliruyuschiy-zazhim-siz-5-5-4-mm-4-0-13-0-mm-krasnyy-10-sht-up-rexant-07-5220-10/", "Инфо")</f>
        <v>Инфо</v>
      </c>
      <c r="F1947" s="34" t="s">
        <v>1001</v>
      </c>
      <c r="G1947" s="33"/>
      <c r="H1947" s="33" t="s">
        <v>40</v>
      </c>
      <c r="I1947" s="33"/>
      <c r="J1947" s="35">
        <v>25</v>
      </c>
      <c r="K1947" s="33"/>
      <c r="L1947" s="35">
        <v>1</v>
      </c>
      <c r="M1947" s="35">
        <v>10</v>
      </c>
      <c r="N1947" s="35">
        <v>1</v>
      </c>
      <c r="O1947" s="36">
        <v>141.49</v>
      </c>
      <c r="P1947" s="36">
        <v>115.98</v>
      </c>
      <c r="Q1947" s="36">
        <v>99.04</v>
      </c>
      <c r="R1947" s="36">
        <v>81.180000000000007</v>
      </c>
      <c r="S1947" s="36">
        <v>96.21</v>
      </c>
      <c r="T1947" s="36">
        <v>78.86</v>
      </c>
      <c r="U1947" s="34"/>
      <c r="V1947" s="34"/>
      <c r="W1947" s="34"/>
      <c r="X1947" s="37">
        <v>3.6999999999999998E-2</v>
      </c>
      <c r="Y1947" s="38">
        <v>2.4800000000000001E-4</v>
      </c>
      <c r="Z1947" s="21">
        <v>4601004253087</v>
      </c>
    </row>
    <row r="1948" spans="1:26" ht="12" customHeight="1" outlineLevel="4" x14ac:dyDescent="0.2">
      <c r="A1948" s="14" t="s">
        <v>3844</v>
      </c>
      <c r="B1948" s="26" t="s">
        <v>3845</v>
      </c>
      <c r="C1948" s="52"/>
      <c r="D1948" s="55">
        <f t="shared" si="30"/>
        <v>0</v>
      </c>
      <c r="E1948" s="63" t="str">
        <f>HYPERLINK("https://www.sds-group.ru/product/soedinitelnyy-izoliruyuschiy-zazhim-siz-5-5-4-mm-3-0-17-0-mm-krasnyy-rexant-07-5220/", "Инфо")</f>
        <v>Инфо</v>
      </c>
      <c r="F1948" s="16" t="s">
        <v>39</v>
      </c>
      <c r="G1948" s="15"/>
      <c r="H1948" s="15"/>
      <c r="I1948" s="15"/>
      <c r="J1948" s="16" t="s">
        <v>100</v>
      </c>
      <c r="K1948" s="15" t="s">
        <v>3762</v>
      </c>
      <c r="L1948" s="17">
        <v>100</v>
      </c>
      <c r="M1948" s="22">
        <v>4000</v>
      </c>
      <c r="N1948" s="17">
        <v>100</v>
      </c>
      <c r="O1948" s="18">
        <v>6.37</v>
      </c>
      <c r="P1948" s="18">
        <v>5.22</v>
      </c>
      <c r="Q1948" s="18">
        <v>5.41</v>
      </c>
      <c r="R1948" s="18">
        <v>4.43</v>
      </c>
      <c r="S1948" s="18">
        <v>4.33</v>
      </c>
      <c r="T1948" s="18">
        <v>3.55</v>
      </c>
      <c r="U1948" s="16"/>
      <c r="V1948" s="16"/>
      <c r="W1948" s="16" t="s">
        <v>40</v>
      </c>
      <c r="X1948" s="19">
        <v>3.0000000000000001E-3</v>
      </c>
      <c r="Y1948" s="20">
        <v>9.0000000000000002E-6</v>
      </c>
      <c r="Z1948" s="21">
        <v>4601004053045</v>
      </c>
    </row>
    <row r="1949" spans="1:26" ht="12.95" customHeight="1" outlineLevel="3" x14ac:dyDescent="0.2">
      <c r="A1949" s="76" t="s">
        <v>3846</v>
      </c>
      <c r="B1949" s="76"/>
      <c r="C1949" s="77"/>
      <c r="D1949" s="58"/>
      <c r="E1949" s="68"/>
      <c r="F1949" s="13"/>
      <c r="G1949" s="13"/>
      <c r="H1949" s="13"/>
      <c r="I1949" s="13"/>
      <c r="J1949" s="13"/>
      <c r="K1949" s="13"/>
      <c r="L1949" s="13"/>
      <c r="M1949" s="13"/>
      <c r="N1949" s="13"/>
      <c r="O1949" s="13"/>
      <c r="P1949" s="13"/>
      <c r="Q1949" s="13"/>
      <c r="R1949" s="13"/>
      <c r="S1949" s="13"/>
      <c r="T1949" s="13"/>
      <c r="U1949" s="13"/>
      <c r="V1949" s="13"/>
      <c r="W1949" s="13"/>
      <c r="X1949" s="13"/>
      <c r="Y1949" s="13"/>
      <c r="Z1949" s="13"/>
    </row>
    <row r="1950" spans="1:26" ht="12" customHeight="1" outlineLevel="4" x14ac:dyDescent="0.2">
      <c r="A1950" s="14" t="s">
        <v>3847</v>
      </c>
      <c r="B1950" s="26" t="s">
        <v>3848</v>
      </c>
      <c r="C1950" s="52"/>
      <c r="D1950" s="55">
        <f t="shared" si="30"/>
        <v>0</v>
      </c>
      <c r="E1950" s="63" t="str">
        <f>HYPERLINK("https://www.sds-group.ru/product/kontsevaya-izolirovannaya-zaglushka-kiz-1-2-8-mm-1-0-2-5-mm-rexant-08-0701/", "Инфо")</f>
        <v>Инфо</v>
      </c>
      <c r="F1950" s="16" t="s">
        <v>39</v>
      </c>
      <c r="G1950" s="15"/>
      <c r="H1950" s="15"/>
      <c r="I1950" s="15"/>
      <c r="J1950" s="16" t="s">
        <v>100</v>
      </c>
      <c r="K1950" s="15" t="s">
        <v>1650</v>
      </c>
      <c r="L1950" s="22">
        <v>1000</v>
      </c>
      <c r="M1950" s="22">
        <v>20000</v>
      </c>
      <c r="N1950" s="22">
        <v>1000</v>
      </c>
      <c r="O1950" s="18">
        <v>1.53</v>
      </c>
      <c r="P1950" s="18">
        <v>1.25</v>
      </c>
      <c r="Q1950" s="18">
        <v>1.3</v>
      </c>
      <c r="R1950" s="18">
        <v>1.07</v>
      </c>
      <c r="S1950" s="18">
        <v>1.04</v>
      </c>
      <c r="T1950" s="18">
        <v>0.85</v>
      </c>
      <c r="U1950" s="16"/>
      <c r="V1950" s="16"/>
      <c r="W1950" s="16" t="s">
        <v>40</v>
      </c>
      <c r="X1950" s="19">
        <v>0</v>
      </c>
      <c r="Y1950" s="20">
        <v>9.9999999999999995E-7</v>
      </c>
      <c r="Z1950" s="21">
        <v>4601004020214</v>
      </c>
    </row>
    <row r="1951" spans="1:26" ht="12" customHeight="1" outlineLevel="4" x14ac:dyDescent="0.2">
      <c r="A1951" s="14" t="s">
        <v>3849</v>
      </c>
      <c r="B1951" s="26" t="s">
        <v>3850</v>
      </c>
      <c r="C1951" s="52"/>
      <c r="D1951" s="55">
        <f t="shared" si="30"/>
        <v>0</v>
      </c>
      <c r="E1951" s="63" t="str">
        <f>HYPERLINK("https://www.sds-group.ru/product/kontsevaya-izolirovannaya-zaglushka-kiz-2-3-0-mm-1-5-4-0-mm-rexant-08-0702/", "Инфо")</f>
        <v>Инфо</v>
      </c>
      <c r="F1951" s="16" t="s">
        <v>39</v>
      </c>
      <c r="G1951" s="15"/>
      <c r="H1951" s="15"/>
      <c r="I1951" s="15"/>
      <c r="J1951" s="22">
        <v>20600</v>
      </c>
      <c r="K1951" s="15" t="s">
        <v>1650</v>
      </c>
      <c r="L1951" s="22">
        <v>1000</v>
      </c>
      <c r="M1951" s="22">
        <v>20000</v>
      </c>
      <c r="N1951" s="22">
        <v>1000</v>
      </c>
      <c r="O1951" s="18">
        <v>1.71</v>
      </c>
      <c r="P1951" s="18">
        <v>1.4</v>
      </c>
      <c r="Q1951" s="18">
        <v>1.45</v>
      </c>
      <c r="R1951" s="18">
        <v>1.19</v>
      </c>
      <c r="S1951" s="18">
        <v>1.1599999999999999</v>
      </c>
      <c r="T1951" s="18">
        <v>0.95</v>
      </c>
      <c r="U1951" s="16"/>
      <c r="V1951" s="16"/>
      <c r="W1951" s="16" t="s">
        <v>40</v>
      </c>
      <c r="X1951" s="19">
        <v>0</v>
      </c>
      <c r="Y1951" s="20">
        <v>1.9999999999999999E-6</v>
      </c>
      <c r="Z1951" s="21">
        <v>4601004020221</v>
      </c>
    </row>
    <row r="1952" spans="1:26" ht="12" customHeight="1" outlineLevel="4" x14ac:dyDescent="0.2">
      <c r="A1952" s="32" t="s">
        <v>3851</v>
      </c>
      <c r="B1952" s="74" t="s">
        <v>3852</v>
      </c>
      <c r="C1952" s="50"/>
      <c r="D1952" s="53">
        <f t="shared" si="30"/>
        <v>0</v>
      </c>
      <c r="E1952" s="60" t="str">
        <f>HYPERLINK("https://www.sds-group.ru/product/kontsevaya-izolirovannaya-zaglushka-kiz-5-4-0-mm-2-5-5-5-mm-rexant-08-0703/", "Инфо")</f>
        <v>Инфо</v>
      </c>
      <c r="F1952" s="34" t="s">
        <v>39</v>
      </c>
      <c r="G1952" s="33"/>
      <c r="H1952" s="33" t="s">
        <v>40</v>
      </c>
      <c r="I1952" s="33"/>
      <c r="J1952" s="34" t="s">
        <v>100</v>
      </c>
      <c r="K1952" s="33" t="s">
        <v>2706</v>
      </c>
      <c r="L1952" s="35">
        <v>100</v>
      </c>
      <c r="M1952" s="39">
        <v>10000</v>
      </c>
      <c r="N1952" s="35">
        <v>100</v>
      </c>
      <c r="O1952" s="36">
        <v>2.93</v>
      </c>
      <c r="P1952" s="36">
        <v>2.4</v>
      </c>
      <c r="Q1952" s="36">
        <v>2.4900000000000002</v>
      </c>
      <c r="R1952" s="36">
        <v>2.04</v>
      </c>
      <c r="S1952" s="36">
        <v>1.99</v>
      </c>
      <c r="T1952" s="36">
        <v>1.63</v>
      </c>
      <c r="U1952" s="34"/>
      <c r="V1952" s="34"/>
      <c r="W1952" s="34" t="s">
        <v>40</v>
      </c>
      <c r="X1952" s="37">
        <v>1E-3</v>
      </c>
      <c r="Y1952" s="38">
        <v>3.0000000000000001E-6</v>
      </c>
      <c r="Z1952" s="21">
        <v>4601004020238</v>
      </c>
    </row>
    <row r="1953" spans="1:26" ht="12" customHeight="1" outlineLevel="4" x14ac:dyDescent="0.2">
      <c r="A1953" s="14" t="s">
        <v>3853</v>
      </c>
      <c r="B1953" s="26" t="s">
        <v>3854</v>
      </c>
      <c r="C1953" s="52"/>
      <c r="D1953" s="55">
        <f t="shared" si="30"/>
        <v>0</v>
      </c>
      <c r="E1953" s="63" t="str">
        <f>HYPERLINK("https://www.sds-group.ru/product/kontsevaya-izolirovannaya-zaglushka-kiz-6-4-8-mm-3-0-8-0-mm-rexant-08-0704/", "Инфо")</f>
        <v>Инфо</v>
      </c>
      <c r="F1953" s="16" t="s">
        <v>39</v>
      </c>
      <c r="G1953" s="15"/>
      <c r="H1953" s="15"/>
      <c r="I1953" s="15"/>
      <c r="J1953" s="16" t="s">
        <v>100</v>
      </c>
      <c r="K1953" s="15"/>
      <c r="L1953" s="17">
        <v>100</v>
      </c>
      <c r="M1953" s="22">
        <v>20000</v>
      </c>
      <c r="N1953" s="17">
        <v>100</v>
      </c>
      <c r="O1953" s="18">
        <v>15.17</v>
      </c>
      <c r="P1953" s="18">
        <v>12.43</v>
      </c>
      <c r="Q1953" s="18">
        <v>12.89</v>
      </c>
      <c r="R1953" s="18">
        <v>10.57</v>
      </c>
      <c r="S1953" s="18">
        <v>10.32</v>
      </c>
      <c r="T1953" s="18">
        <v>8.4600000000000009</v>
      </c>
      <c r="U1953" s="16"/>
      <c r="V1953" s="16"/>
      <c r="W1953" s="16" t="s">
        <v>40</v>
      </c>
      <c r="X1953" s="19">
        <v>1E-3</v>
      </c>
      <c r="Y1953" s="20">
        <v>6.0000000000000002E-6</v>
      </c>
      <c r="Z1953" s="21">
        <v>4601004020245</v>
      </c>
    </row>
    <row r="1954" spans="1:26" ht="12" customHeight="1" outlineLevel="4" x14ac:dyDescent="0.2">
      <c r="A1954" s="32" t="s">
        <v>3855</v>
      </c>
      <c r="B1954" s="74" t="s">
        <v>3856</v>
      </c>
      <c r="C1954" s="50"/>
      <c r="D1954" s="53">
        <f t="shared" si="30"/>
        <v>0</v>
      </c>
      <c r="E1954" s="60" t="str">
        <f>HYPERLINK("https://www.sds-group.ru/product/kontsevaya-izolirovannaya-zaglushka-kiz-7-5-5-mm-8-0-10-0-mm-rexant-08-0705/", "Инфо")</f>
        <v>Инфо</v>
      </c>
      <c r="F1954" s="34" t="s">
        <v>39</v>
      </c>
      <c r="G1954" s="33"/>
      <c r="H1954" s="33" t="s">
        <v>40</v>
      </c>
      <c r="I1954" s="33"/>
      <c r="J1954" s="39">
        <v>25500</v>
      </c>
      <c r="K1954" s="33"/>
      <c r="L1954" s="35">
        <v>100</v>
      </c>
      <c r="M1954" s="39">
        <v>5000</v>
      </c>
      <c r="N1954" s="35">
        <v>100</v>
      </c>
      <c r="O1954" s="36">
        <v>5.15</v>
      </c>
      <c r="P1954" s="36">
        <v>4.22</v>
      </c>
      <c r="Q1954" s="36">
        <v>3.61</v>
      </c>
      <c r="R1954" s="36">
        <v>2.96</v>
      </c>
      <c r="S1954" s="36">
        <v>3.5</v>
      </c>
      <c r="T1954" s="36">
        <v>2.87</v>
      </c>
      <c r="U1954" s="34"/>
      <c r="V1954" s="34"/>
      <c r="W1954" s="34"/>
      <c r="X1954" s="37">
        <v>1E-3</v>
      </c>
      <c r="Y1954" s="38">
        <v>3.0000000000000001E-6</v>
      </c>
      <c r="Z1954" s="21">
        <v>4601004020252</v>
      </c>
    </row>
    <row r="1955" spans="1:26" ht="12.95" customHeight="1" outlineLevel="3" x14ac:dyDescent="0.2">
      <c r="A1955" s="76" t="s">
        <v>3857</v>
      </c>
      <c r="B1955" s="76"/>
      <c r="C1955" s="77"/>
      <c r="D1955" s="58"/>
      <c r="E1955" s="68"/>
      <c r="F1955" s="13"/>
      <c r="G1955" s="13"/>
      <c r="H1955" s="13"/>
      <c r="I1955" s="13"/>
      <c r="J1955" s="13"/>
      <c r="K1955" s="13"/>
      <c r="L1955" s="13"/>
      <c r="M1955" s="13"/>
      <c r="N1955" s="13"/>
      <c r="O1955" s="13"/>
      <c r="P1955" s="13"/>
      <c r="Q1955" s="13"/>
      <c r="R1955" s="13"/>
      <c r="S1955" s="13"/>
      <c r="T1955" s="13"/>
      <c r="U1955" s="13"/>
      <c r="V1955" s="13"/>
      <c r="W1955" s="13"/>
      <c r="X1955" s="13"/>
      <c r="Y1955" s="13"/>
      <c r="Z1955" s="13"/>
    </row>
    <row r="1956" spans="1:26" ht="12" customHeight="1" outlineLevel="4" x14ac:dyDescent="0.2">
      <c r="A1956" s="32" t="s">
        <v>3858</v>
      </c>
      <c r="B1956" s="74" t="s">
        <v>3859</v>
      </c>
      <c r="C1956" s="50"/>
      <c r="D1956" s="53">
        <f t="shared" si="30"/>
        <v>0</v>
      </c>
      <c r="E1956" s="60" t="str">
        <f>HYPERLINK("https://www.sds-group.ru/product/kontsevoy-zazhim-vintovoy-izolirovannyy-kzvi-1-5-mm-5h1-20-sht-up-rexant-07-5700/", "Инфо")</f>
        <v>Инфо</v>
      </c>
      <c r="F1956" s="34" t="s">
        <v>39</v>
      </c>
      <c r="G1956" s="33"/>
      <c r="H1956" s="33" t="s">
        <v>40</v>
      </c>
      <c r="I1956" s="33"/>
      <c r="J1956" s="35">
        <v>540</v>
      </c>
      <c r="K1956" s="33"/>
      <c r="L1956" s="35">
        <v>20</v>
      </c>
      <c r="M1956" s="39">
        <v>1600</v>
      </c>
      <c r="N1956" s="35">
        <v>20</v>
      </c>
      <c r="O1956" s="36">
        <v>23.85</v>
      </c>
      <c r="P1956" s="36">
        <v>19.55</v>
      </c>
      <c r="Q1956" s="36">
        <v>16.7</v>
      </c>
      <c r="R1956" s="36">
        <v>13.69</v>
      </c>
      <c r="S1956" s="36">
        <v>16.22</v>
      </c>
      <c r="T1956" s="36">
        <v>13.3</v>
      </c>
      <c r="U1956" s="34"/>
      <c r="V1956" s="34"/>
      <c r="W1956" s="34"/>
      <c r="X1956" s="37">
        <v>8.0000000000000002E-3</v>
      </c>
      <c r="Y1956" s="38">
        <v>1.5999999999999999E-5</v>
      </c>
      <c r="Z1956" s="21">
        <v>4601004182387</v>
      </c>
    </row>
    <row r="1957" spans="1:26" ht="12" customHeight="1" outlineLevel="4" x14ac:dyDescent="0.2">
      <c r="A1957" s="14" t="s">
        <v>3860</v>
      </c>
      <c r="B1957" s="26" t="s">
        <v>3861</v>
      </c>
      <c r="C1957" s="52"/>
      <c r="D1957" s="55">
        <f t="shared" si="30"/>
        <v>0</v>
      </c>
      <c r="E1957" s="63" t="str">
        <f>HYPERLINK("https://www.sds-group.ru/product/kontsevoy-zazhim-vintovoy-izolirovannyy-kzvi-10-mm-10h1-10-sht-up-rexant-07-5710/", "Инфо")</f>
        <v>Инфо</v>
      </c>
      <c r="F1957" s="16" t="s">
        <v>39</v>
      </c>
      <c r="G1957" s="15"/>
      <c r="H1957" s="15"/>
      <c r="I1957" s="15"/>
      <c r="J1957" s="22">
        <v>1850</v>
      </c>
      <c r="K1957" s="15"/>
      <c r="L1957" s="17">
        <v>10</v>
      </c>
      <c r="M1957" s="17">
        <v>300</v>
      </c>
      <c r="N1957" s="17">
        <v>10</v>
      </c>
      <c r="O1957" s="18">
        <v>270.43</v>
      </c>
      <c r="P1957" s="18">
        <v>221.66</v>
      </c>
      <c r="Q1957" s="18">
        <v>229.87</v>
      </c>
      <c r="R1957" s="18">
        <v>188.42</v>
      </c>
      <c r="S1957" s="18">
        <v>183.89</v>
      </c>
      <c r="T1957" s="18">
        <v>150.72999999999999</v>
      </c>
      <c r="U1957" s="16"/>
      <c r="V1957" s="16"/>
      <c r="W1957" s="16" t="s">
        <v>40</v>
      </c>
      <c r="X1957" s="19">
        <v>2.5000000000000001E-2</v>
      </c>
      <c r="Y1957" s="20">
        <v>4.5000000000000003E-5</v>
      </c>
      <c r="Z1957" s="21">
        <v>4601004182486</v>
      </c>
    </row>
    <row r="1958" spans="1:26" ht="12" customHeight="1" outlineLevel="4" x14ac:dyDescent="0.2">
      <c r="A1958" s="14" t="s">
        <v>3862</v>
      </c>
      <c r="B1958" s="26" t="s">
        <v>3863</v>
      </c>
      <c r="C1958" s="52"/>
      <c r="D1958" s="55">
        <f t="shared" si="30"/>
        <v>0</v>
      </c>
      <c r="E1958" s="63" t="str">
        <f>HYPERLINK("https://www.sds-group.ru/product/kontsevoy-zazhim-vintovoy-izolirovannyy-kzvi-10-mm-5h1-10-sht-up-rexant-07-5704/", "Инфо")</f>
        <v>Инфо</v>
      </c>
      <c r="F1958" s="16" t="s">
        <v>39</v>
      </c>
      <c r="G1958" s="15"/>
      <c r="H1958" s="15"/>
      <c r="I1958" s="15"/>
      <c r="J1958" s="22">
        <v>1620</v>
      </c>
      <c r="K1958" s="15" t="s">
        <v>1665</v>
      </c>
      <c r="L1958" s="17">
        <v>10</v>
      </c>
      <c r="M1958" s="17">
        <v>500</v>
      </c>
      <c r="N1958" s="17">
        <v>10</v>
      </c>
      <c r="O1958" s="18">
        <v>154.63999999999999</v>
      </c>
      <c r="P1958" s="18">
        <v>126.75</v>
      </c>
      <c r="Q1958" s="18">
        <v>131.44</v>
      </c>
      <c r="R1958" s="18">
        <v>107.74</v>
      </c>
      <c r="S1958" s="18">
        <v>105.16</v>
      </c>
      <c r="T1958" s="18">
        <v>86.2</v>
      </c>
      <c r="U1958" s="16"/>
      <c r="V1958" s="16"/>
      <c r="W1958" s="16" t="s">
        <v>40</v>
      </c>
      <c r="X1958" s="19">
        <v>3.5000000000000003E-2</v>
      </c>
      <c r="Y1958" s="20">
        <v>5.5999999999999999E-5</v>
      </c>
      <c r="Z1958" s="21">
        <v>4601004182424</v>
      </c>
    </row>
    <row r="1959" spans="1:26" ht="12" customHeight="1" outlineLevel="4" x14ac:dyDescent="0.2">
      <c r="A1959" s="14" t="s">
        <v>3864</v>
      </c>
      <c r="B1959" s="26" t="s">
        <v>3865</v>
      </c>
      <c r="C1959" s="52"/>
      <c r="D1959" s="55">
        <f t="shared" si="30"/>
        <v>0</v>
      </c>
      <c r="E1959" s="63" t="str">
        <f>HYPERLINK("https://www.sds-group.ru/product/kontsevoy-zazhim-vintovoy-izolirovannyy-kzvi-16-mm-10h1-10-sht-up-rexant-07-5711/", "Инфо")</f>
        <v>Инфо</v>
      </c>
      <c r="F1959" s="16" t="s">
        <v>39</v>
      </c>
      <c r="G1959" s="15"/>
      <c r="H1959" s="15"/>
      <c r="I1959" s="15"/>
      <c r="J1959" s="17">
        <v>510</v>
      </c>
      <c r="K1959" s="15"/>
      <c r="L1959" s="17">
        <v>10</v>
      </c>
      <c r="M1959" s="17">
        <v>120</v>
      </c>
      <c r="N1959" s="17">
        <v>10</v>
      </c>
      <c r="O1959" s="18">
        <v>561.75</v>
      </c>
      <c r="P1959" s="18">
        <v>460.45</v>
      </c>
      <c r="Q1959" s="18">
        <v>449.4</v>
      </c>
      <c r="R1959" s="18">
        <v>368.36</v>
      </c>
      <c r="S1959" s="18">
        <v>381.99</v>
      </c>
      <c r="T1959" s="18">
        <v>313.11</v>
      </c>
      <c r="U1959" s="16"/>
      <c r="V1959" s="16"/>
      <c r="W1959" s="16" t="s">
        <v>40</v>
      </c>
      <c r="X1959" s="19">
        <v>0.152</v>
      </c>
      <c r="Y1959" s="20">
        <v>2.42E-4</v>
      </c>
      <c r="Z1959" s="21">
        <v>4601004182493</v>
      </c>
    </row>
    <row r="1960" spans="1:26" ht="12" customHeight="1" outlineLevel="4" x14ac:dyDescent="0.2">
      <c r="A1960" s="32" t="s">
        <v>3866</v>
      </c>
      <c r="B1960" s="74" t="s">
        <v>3867</v>
      </c>
      <c r="C1960" s="50"/>
      <c r="D1960" s="53">
        <f t="shared" si="30"/>
        <v>0</v>
      </c>
      <c r="E1960" s="60" t="str">
        <f>HYPERLINK("https://www.sds-group.ru/product/kontsevoy-zazhim-vintovoy-izolirovannyy-kzvi-16-mm-5h1-10-sht-up-rexant-07-5705/", "Инфо")</f>
        <v>Инфо</v>
      </c>
      <c r="F1960" s="34" t="s">
        <v>39</v>
      </c>
      <c r="G1960" s="33"/>
      <c r="H1960" s="33" t="s">
        <v>40</v>
      </c>
      <c r="I1960" s="33"/>
      <c r="J1960" s="39">
        <v>1150</v>
      </c>
      <c r="K1960" s="33"/>
      <c r="L1960" s="35">
        <v>10</v>
      </c>
      <c r="M1960" s="35">
        <v>320</v>
      </c>
      <c r="N1960" s="35">
        <v>10</v>
      </c>
      <c r="O1960" s="36">
        <v>272.72000000000003</v>
      </c>
      <c r="P1960" s="36">
        <v>223.54</v>
      </c>
      <c r="Q1960" s="36">
        <v>231.81</v>
      </c>
      <c r="R1960" s="36">
        <v>190.01</v>
      </c>
      <c r="S1960" s="36">
        <v>185.45</v>
      </c>
      <c r="T1960" s="36">
        <v>152.01</v>
      </c>
      <c r="U1960" s="34"/>
      <c r="V1960" s="34"/>
      <c r="W1960" s="34" t="s">
        <v>40</v>
      </c>
      <c r="X1960" s="37">
        <v>7.4999999999999997E-2</v>
      </c>
      <c r="Y1960" s="38">
        <v>1.05E-4</v>
      </c>
      <c r="Z1960" s="21">
        <v>4601004182431</v>
      </c>
    </row>
    <row r="1961" spans="1:26" ht="12" customHeight="1" outlineLevel="4" x14ac:dyDescent="0.2">
      <c r="A1961" s="32" t="s">
        <v>3868</v>
      </c>
      <c r="B1961" s="74" t="s">
        <v>3869</v>
      </c>
      <c r="C1961" s="50"/>
      <c r="D1961" s="53">
        <f t="shared" si="30"/>
        <v>0</v>
      </c>
      <c r="E1961" s="60" t="str">
        <f>HYPERLINK("https://www.sds-group.ru/product/kontsevoy-zazhim-vintovoy-izolirovannyy-kzvi-2-5-mm-10h1-10-sht-up-rexant-07-5707/", "Инфо")</f>
        <v>Инфо</v>
      </c>
      <c r="F1961" s="34" t="s">
        <v>39</v>
      </c>
      <c r="G1961" s="33"/>
      <c r="H1961" s="33" t="s">
        <v>40</v>
      </c>
      <c r="I1961" s="33"/>
      <c r="J1961" s="35">
        <v>990</v>
      </c>
      <c r="K1961" s="33"/>
      <c r="L1961" s="35">
        <v>10</v>
      </c>
      <c r="M1961" s="35">
        <v>800</v>
      </c>
      <c r="N1961" s="35">
        <v>10</v>
      </c>
      <c r="O1961" s="36">
        <v>83.13</v>
      </c>
      <c r="P1961" s="36">
        <v>68.14</v>
      </c>
      <c r="Q1961" s="36">
        <v>70.66</v>
      </c>
      <c r="R1961" s="36">
        <v>57.92</v>
      </c>
      <c r="S1961" s="36">
        <v>56.53</v>
      </c>
      <c r="T1961" s="36">
        <v>46.34</v>
      </c>
      <c r="U1961" s="34"/>
      <c r="V1961" s="34"/>
      <c r="W1961" s="34" t="s">
        <v>40</v>
      </c>
      <c r="X1961" s="37">
        <v>0.02</v>
      </c>
      <c r="Y1961" s="38">
        <v>3.6000000000000001E-5</v>
      </c>
      <c r="Z1961" s="21">
        <v>4601004182455</v>
      </c>
    </row>
    <row r="1962" spans="1:26" ht="12" customHeight="1" outlineLevel="4" x14ac:dyDescent="0.2">
      <c r="A1962" s="14" t="s">
        <v>3870</v>
      </c>
      <c r="B1962" s="26" t="s">
        <v>3871</v>
      </c>
      <c r="C1962" s="52"/>
      <c r="D1962" s="55">
        <f t="shared" si="30"/>
        <v>0</v>
      </c>
      <c r="E1962" s="63" t="str">
        <f>HYPERLINK("https://www.sds-group.ru/product/kontsevoy-zazhim-vintovoy-izolirovannyy-kzvi-4-mm-10h1-10-sht-up-rexant-07-5708/", "Инфо")</f>
        <v>Инфо</v>
      </c>
      <c r="F1962" s="16" t="s">
        <v>39</v>
      </c>
      <c r="G1962" s="15"/>
      <c r="H1962" s="15"/>
      <c r="I1962" s="15"/>
      <c r="J1962" s="22">
        <v>2670</v>
      </c>
      <c r="K1962" s="15"/>
      <c r="L1962" s="17">
        <v>10</v>
      </c>
      <c r="M1962" s="17">
        <v>800</v>
      </c>
      <c r="N1962" s="17">
        <v>10</v>
      </c>
      <c r="O1962" s="18">
        <v>114.5</v>
      </c>
      <c r="P1962" s="18">
        <v>93.85</v>
      </c>
      <c r="Q1962" s="18">
        <v>97.33</v>
      </c>
      <c r="R1962" s="18">
        <v>79.78</v>
      </c>
      <c r="S1962" s="18">
        <v>77.86</v>
      </c>
      <c r="T1962" s="18">
        <v>63.82</v>
      </c>
      <c r="U1962" s="16"/>
      <c r="V1962" s="16"/>
      <c r="W1962" s="16" t="s">
        <v>40</v>
      </c>
      <c r="X1962" s="19">
        <v>2.5000000000000001E-2</v>
      </c>
      <c r="Y1962" s="20">
        <v>4.3000000000000002E-5</v>
      </c>
      <c r="Z1962" s="21">
        <v>4601004182462</v>
      </c>
    </row>
    <row r="1963" spans="1:26" ht="12" customHeight="1" outlineLevel="4" x14ac:dyDescent="0.2">
      <c r="A1963" s="14" t="s">
        <v>3872</v>
      </c>
      <c r="B1963" s="26" t="s">
        <v>3873</v>
      </c>
      <c r="C1963" s="52"/>
      <c r="D1963" s="55">
        <f t="shared" si="30"/>
        <v>0</v>
      </c>
      <c r="E1963" s="63" t="str">
        <f>HYPERLINK("https://www.sds-group.ru/product/kontsevoy-zazhim-vintovoy-izolirovannyy-kzvi-6-mm-10h1-10-sht-up-rexant-07-5709/", "Инфо")</f>
        <v>Инфо</v>
      </c>
      <c r="F1963" s="16" t="s">
        <v>39</v>
      </c>
      <c r="G1963" s="15"/>
      <c r="H1963" s="15"/>
      <c r="I1963" s="15"/>
      <c r="J1963" s="16" t="s">
        <v>100</v>
      </c>
      <c r="K1963" s="15" t="s">
        <v>1650</v>
      </c>
      <c r="L1963" s="17">
        <v>10</v>
      </c>
      <c r="M1963" s="17">
        <v>500</v>
      </c>
      <c r="N1963" s="17">
        <v>10</v>
      </c>
      <c r="O1963" s="18">
        <v>190.3</v>
      </c>
      <c r="P1963" s="18">
        <v>155.97999999999999</v>
      </c>
      <c r="Q1963" s="18">
        <v>161.76</v>
      </c>
      <c r="R1963" s="18">
        <v>132.59</v>
      </c>
      <c r="S1963" s="18">
        <v>129.4</v>
      </c>
      <c r="T1963" s="18">
        <v>106.07</v>
      </c>
      <c r="U1963" s="16"/>
      <c r="V1963" s="16"/>
      <c r="W1963" s="16" t="s">
        <v>40</v>
      </c>
      <c r="X1963" s="19">
        <v>3.7999999999999999E-2</v>
      </c>
      <c r="Y1963" s="20">
        <v>7.7999999999999999E-5</v>
      </c>
      <c r="Z1963" s="21">
        <v>4601004182479</v>
      </c>
    </row>
    <row r="1964" spans="1:26" ht="12" customHeight="1" outlineLevel="4" x14ac:dyDescent="0.2">
      <c r="A1964" s="14" t="s">
        <v>3874</v>
      </c>
      <c r="B1964" s="26" t="s">
        <v>3875</v>
      </c>
      <c r="C1964" s="52"/>
      <c r="D1964" s="55">
        <f t="shared" si="30"/>
        <v>0</v>
      </c>
      <c r="E1964" s="63" t="str">
        <f>HYPERLINK("https://www.sds-group.ru/product/kontsevoy-zazhim-vintovoy-izolirovannyy-kzvi-6-mm-5h1-10-sht-up-rexant-07-5703/", "Инфо")</f>
        <v>Инфо</v>
      </c>
      <c r="F1964" s="16" t="s">
        <v>39</v>
      </c>
      <c r="G1964" s="15"/>
      <c r="H1964" s="15"/>
      <c r="I1964" s="15"/>
      <c r="J1964" s="22">
        <v>1530</v>
      </c>
      <c r="K1964" s="15" t="s">
        <v>1150</v>
      </c>
      <c r="L1964" s="17">
        <v>10</v>
      </c>
      <c r="M1964" s="22">
        <v>1000</v>
      </c>
      <c r="N1964" s="17">
        <v>10</v>
      </c>
      <c r="O1964" s="18">
        <v>96.77</v>
      </c>
      <c r="P1964" s="18">
        <v>79.319999999999993</v>
      </c>
      <c r="Q1964" s="18">
        <v>82.25</v>
      </c>
      <c r="R1964" s="18">
        <v>67.42</v>
      </c>
      <c r="S1964" s="18">
        <v>65.8</v>
      </c>
      <c r="T1964" s="18">
        <v>53.93</v>
      </c>
      <c r="U1964" s="16"/>
      <c r="V1964" s="16"/>
      <c r="W1964" s="16" t="s">
        <v>40</v>
      </c>
      <c r="X1964" s="19">
        <v>0.02</v>
      </c>
      <c r="Y1964" s="20">
        <v>4.0000000000000003E-5</v>
      </c>
      <c r="Z1964" s="21">
        <v>4601004182417</v>
      </c>
    </row>
    <row r="1965" spans="1:26" ht="12.95" customHeight="1" outlineLevel="3" x14ac:dyDescent="0.2">
      <c r="A1965" s="76" t="s">
        <v>3876</v>
      </c>
      <c r="B1965" s="76"/>
      <c r="C1965" s="77"/>
      <c r="D1965" s="58"/>
      <c r="E1965" s="68"/>
      <c r="F1965" s="13"/>
      <c r="G1965" s="13"/>
      <c r="H1965" s="13"/>
      <c r="I1965" s="13"/>
      <c r="J1965" s="13"/>
      <c r="K1965" s="13"/>
      <c r="L1965" s="13"/>
      <c r="M1965" s="13"/>
      <c r="N1965" s="13"/>
      <c r="O1965" s="13"/>
      <c r="P1965" s="13"/>
      <c r="Q1965" s="13"/>
      <c r="R1965" s="13"/>
      <c r="S1965" s="13"/>
      <c r="T1965" s="13"/>
      <c r="U1965" s="13"/>
      <c r="V1965" s="13"/>
      <c r="W1965" s="13"/>
      <c r="X1965" s="13"/>
      <c r="Y1965" s="13"/>
      <c r="Z1965" s="13"/>
    </row>
    <row r="1966" spans="1:26" ht="12" customHeight="1" outlineLevel="4" x14ac:dyDescent="0.2">
      <c r="A1966" s="14" t="s">
        <v>3877</v>
      </c>
      <c r="B1966" s="26" t="s">
        <v>3878</v>
      </c>
      <c r="C1966" s="52"/>
      <c r="D1966" s="55">
        <f t="shared" si="30"/>
        <v>0</v>
      </c>
      <c r="E1966" s="63" t="str">
        <f>HYPERLINK("https://www.sds-group.ru/product/klemma-pruzhinnaya-soedinitelnaya-ksp-2-polyusnaya-100-sht-up-rexant-07-6214/", "Инфо")</f>
        <v>Инфо</v>
      </c>
      <c r="F1966" s="16" t="s">
        <v>39</v>
      </c>
      <c r="G1966" s="15"/>
      <c r="H1966" s="15"/>
      <c r="I1966" s="15"/>
      <c r="J1966" s="22">
        <v>1300</v>
      </c>
      <c r="K1966" s="15" t="s">
        <v>2706</v>
      </c>
      <c r="L1966" s="17">
        <v>100</v>
      </c>
      <c r="M1966" s="22">
        <v>2000</v>
      </c>
      <c r="N1966" s="17">
        <v>100</v>
      </c>
      <c r="O1966" s="18">
        <v>48.81</v>
      </c>
      <c r="P1966" s="18">
        <v>40.01</v>
      </c>
      <c r="Q1966" s="18">
        <v>41.49</v>
      </c>
      <c r="R1966" s="18">
        <v>34.01</v>
      </c>
      <c r="S1966" s="18">
        <v>33.19</v>
      </c>
      <c r="T1966" s="18">
        <v>27.2</v>
      </c>
      <c r="U1966" s="16"/>
      <c r="V1966" s="16"/>
      <c r="W1966" s="16" t="s">
        <v>40</v>
      </c>
      <c r="X1966" s="19">
        <v>6.0000000000000001E-3</v>
      </c>
      <c r="Y1966" s="20">
        <v>1.7E-5</v>
      </c>
      <c r="Z1966" s="21">
        <v>4601004182530</v>
      </c>
    </row>
    <row r="1967" spans="1:26" ht="12" customHeight="1" outlineLevel="4" x14ac:dyDescent="0.2">
      <c r="A1967" s="14" t="s">
        <v>3879</v>
      </c>
      <c r="B1967" s="26" t="s">
        <v>3880</v>
      </c>
      <c r="C1967" s="52"/>
      <c r="D1967" s="55">
        <f t="shared" si="30"/>
        <v>0</v>
      </c>
      <c r="E1967" s="63" t="str">
        <f>HYPERLINK("https://www.sds-group.ru/product/klemma-pruzhinnaya-soedinitelnaya-ksp-2-polyusnaya-s-montazhnymi-nozhkami-100-sht-up-rexan-07-6214-1/", "Инфо")</f>
        <v>Инфо</v>
      </c>
      <c r="F1967" s="16" t="s">
        <v>39</v>
      </c>
      <c r="G1967" s="15"/>
      <c r="H1967" s="15"/>
      <c r="I1967" s="15"/>
      <c r="J1967" s="22">
        <v>1200</v>
      </c>
      <c r="K1967" s="15" t="s">
        <v>2798</v>
      </c>
      <c r="L1967" s="17">
        <v>100</v>
      </c>
      <c r="M1967" s="22">
        <v>2000</v>
      </c>
      <c r="N1967" s="17">
        <v>100</v>
      </c>
      <c r="O1967" s="18">
        <v>37.78</v>
      </c>
      <c r="P1967" s="18">
        <v>30.97</v>
      </c>
      <c r="Q1967" s="18">
        <v>32.11</v>
      </c>
      <c r="R1967" s="18">
        <v>26.32</v>
      </c>
      <c r="S1967" s="18">
        <v>25.69</v>
      </c>
      <c r="T1967" s="18">
        <v>21.06</v>
      </c>
      <c r="U1967" s="16"/>
      <c r="V1967" s="16"/>
      <c r="W1967" s="16" t="s">
        <v>40</v>
      </c>
      <c r="X1967" s="19">
        <v>6.0000000000000001E-3</v>
      </c>
      <c r="Y1967" s="20">
        <v>1.7E-5</v>
      </c>
      <c r="Z1967" s="21">
        <v>4601004182547</v>
      </c>
    </row>
    <row r="1968" spans="1:26" ht="12" customHeight="1" outlineLevel="4" x14ac:dyDescent="0.2">
      <c r="A1968" s="14" t="s">
        <v>3881</v>
      </c>
      <c r="B1968" s="26" t="s">
        <v>3882</v>
      </c>
      <c r="C1968" s="52"/>
      <c r="D1968" s="55">
        <f t="shared" si="30"/>
        <v>0</v>
      </c>
      <c r="E1968" s="63" t="str">
        <f>HYPERLINK("https://www.sds-group.ru/product/klemma-pruzhinnaya-soedinitelnaya-ksp-3-polyusnaya-100-sht-up-rexant-07-6215/", "Инфо")</f>
        <v>Инфо</v>
      </c>
      <c r="F1968" s="16" t="s">
        <v>39</v>
      </c>
      <c r="G1968" s="15"/>
      <c r="H1968" s="15"/>
      <c r="I1968" s="15"/>
      <c r="J1968" s="22">
        <v>2500</v>
      </c>
      <c r="K1968" s="15"/>
      <c r="L1968" s="17">
        <v>100</v>
      </c>
      <c r="M1968" s="22">
        <v>1000</v>
      </c>
      <c r="N1968" s="17">
        <v>100</v>
      </c>
      <c r="O1968" s="18">
        <v>62.82</v>
      </c>
      <c r="P1968" s="18">
        <v>51.49</v>
      </c>
      <c r="Q1968" s="18">
        <v>53.4</v>
      </c>
      <c r="R1968" s="18">
        <v>43.77</v>
      </c>
      <c r="S1968" s="18">
        <v>42.72</v>
      </c>
      <c r="T1968" s="18">
        <v>35.020000000000003</v>
      </c>
      <c r="U1968" s="16"/>
      <c r="V1968" s="16"/>
      <c r="W1968" s="16" t="s">
        <v>40</v>
      </c>
      <c r="X1968" s="19">
        <v>8.9999999999999993E-3</v>
      </c>
      <c r="Y1968" s="20">
        <v>2.6999999999999999E-5</v>
      </c>
      <c r="Z1968" s="21">
        <v>4601004182561</v>
      </c>
    </row>
    <row r="1969" spans="1:26" ht="12" customHeight="1" outlineLevel="4" x14ac:dyDescent="0.2">
      <c r="A1969" s="14" t="s">
        <v>3883</v>
      </c>
      <c r="B1969" s="26" t="s">
        <v>3884</v>
      </c>
      <c r="C1969" s="52"/>
      <c r="D1969" s="55">
        <f t="shared" si="30"/>
        <v>0</v>
      </c>
      <c r="E1969" s="63" t="str">
        <f>HYPERLINK("https://www.sds-group.ru/product/klemma-pruzhinnaya-soedinitelnaya-ksp-3-polyusnaya-s-montazhnymi-nozhkami-100-sht-up-rexan-07-6215-1/", "Инфо")</f>
        <v>Инфо</v>
      </c>
      <c r="F1969" s="16" t="s">
        <v>39</v>
      </c>
      <c r="G1969" s="15"/>
      <c r="H1969" s="15"/>
      <c r="I1969" s="15"/>
      <c r="J1969" s="16" t="s">
        <v>100</v>
      </c>
      <c r="K1969" s="15" t="s">
        <v>3237</v>
      </c>
      <c r="L1969" s="17">
        <v>100</v>
      </c>
      <c r="M1969" s="22">
        <v>1000</v>
      </c>
      <c r="N1969" s="17">
        <v>100</v>
      </c>
      <c r="O1969" s="18">
        <v>56.43</v>
      </c>
      <c r="P1969" s="18">
        <v>46.25</v>
      </c>
      <c r="Q1969" s="18">
        <v>47.97</v>
      </c>
      <c r="R1969" s="18">
        <v>39.32</v>
      </c>
      <c r="S1969" s="18">
        <v>38.369999999999997</v>
      </c>
      <c r="T1969" s="18">
        <v>31.45</v>
      </c>
      <c r="U1969" s="16"/>
      <c r="V1969" s="16"/>
      <c r="W1969" s="16" t="s">
        <v>40</v>
      </c>
      <c r="X1969" s="19">
        <v>8.0000000000000002E-3</v>
      </c>
      <c r="Y1969" s="20">
        <v>2.3E-5</v>
      </c>
      <c r="Z1969" s="21">
        <v>4601004182578</v>
      </c>
    </row>
    <row r="1970" spans="1:26" ht="12" customHeight="1" outlineLevel="4" x14ac:dyDescent="0.2">
      <c r="A1970" s="14" t="s">
        <v>3885</v>
      </c>
      <c r="B1970" s="26" t="s">
        <v>3886</v>
      </c>
      <c r="C1970" s="52"/>
      <c r="D1970" s="55">
        <f t="shared" si="30"/>
        <v>0</v>
      </c>
      <c r="E1970" s="63" t="str">
        <f>HYPERLINK("https://www.sds-group.ru/product/klemma-pruzhinnaya-soedinitelnaya-ksp-3-polyusnaya-s-zazemleniem-i-s-montazhnymi-nozhkami--07-6215-2/", "Инфо")</f>
        <v>Инфо</v>
      </c>
      <c r="F1970" s="16" t="s">
        <v>39</v>
      </c>
      <c r="G1970" s="15"/>
      <c r="H1970" s="15"/>
      <c r="I1970" s="15"/>
      <c r="J1970" s="22">
        <v>6000</v>
      </c>
      <c r="K1970" s="15" t="s">
        <v>1650</v>
      </c>
      <c r="L1970" s="17">
        <v>100</v>
      </c>
      <c r="M1970" s="22">
        <v>1000</v>
      </c>
      <c r="N1970" s="17">
        <v>100</v>
      </c>
      <c r="O1970" s="18">
        <v>66.89</v>
      </c>
      <c r="P1970" s="18">
        <v>54.83</v>
      </c>
      <c r="Q1970" s="18">
        <v>56.86</v>
      </c>
      <c r="R1970" s="18">
        <v>46.61</v>
      </c>
      <c r="S1970" s="18">
        <v>45.49</v>
      </c>
      <c r="T1970" s="18">
        <v>37.29</v>
      </c>
      <c r="U1970" s="16"/>
      <c r="V1970" s="16"/>
      <c r="W1970" s="16" t="s">
        <v>40</v>
      </c>
      <c r="X1970" s="19">
        <v>8.9999999999999993E-3</v>
      </c>
      <c r="Y1970" s="20">
        <v>2.8E-5</v>
      </c>
      <c r="Z1970" s="21">
        <v>4601004182585</v>
      </c>
    </row>
    <row r="1971" spans="1:26" ht="12" customHeight="1" outlineLevel="4" x14ac:dyDescent="0.2">
      <c r="A1971" s="14" t="s">
        <v>3887</v>
      </c>
      <c r="B1971" s="26" t="s">
        <v>3888</v>
      </c>
      <c r="C1971" s="52"/>
      <c r="D1971" s="55">
        <f t="shared" si="30"/>
        <v>0</v>
      </c>
      <c r="E1971" s="63" t="str">
        <f>HYPERLINK("https://www.sds-group.ru/product/klemma-pruzhinnaya-soedinitelnaya-ksp-4-polyusnaya-s-montazhnymi-nozhkami-50-sht-up-rexant-07-6216-1/", "Инфо")</f>
        <v>Инфо</v>
      </c>
      <c r="F1971" s="16" t="s">
        <v>39</v>
      </c>
      <c r="G1971" s="15"/>
      <c r="H1971" s="15"/>
      <c r="I1971" s="15"/>
      <c r="J1971" s="16" t="s">
        <v>100</v>
      </c>
      <c r="K1971" s="15" t="s">
        <v>210</v>
      </c>
      <c r="L1971" s="17">
        <v>50</v>
      </c>
      <c r="M1971" s="22">
        <v>1000</v>
      </c>
      <c r="N1971" s="17">
        <v>50</v>
      </c>
      <c r="O1971" s="18">
        <v>81.849999999999994</v>
      </c>
      <c r="P1971" s="18">
        <v>67.09</v>
      </c>
      <c r="Q1971" s="18">
        <v>69.569999999999993</v>
      </c>
      <c r="R1971" s="18">
        <v>57.02</v>
      </c>
      <c r="S1971" s="18">
        <v>55.66</v>
      </c>
      <c r="T1971" s="18">
        <v>45.62</v>
      </c>
      <c r="U1971" s="16"/>
      <c r="V1971" s="16"/>
      <c r="W1971" s="16" t="s">
        <v>40</v>
      </c>
      <c r="X1971" s="19">
        <v>1.0999999999999999E-2</v>
      </c>
      <c r="Y1971" s="20">
        <v>4.8000000000000001E-5</v>
      </c>
      <c r="Z1971" s="21">
        <v>4601004182608</v>
      </c>
    </row>
    <row r="1972" spans="1:26" ht="12" customHeight="1" outlineLevel="4" x14ac:dyDescent="0.2">
      <c r="A1972" s="14" t="s">
        <v>3889</v>
      </c>
      <c r="B1972" s="26" t="s">
        <v>3890</v>
      </c>
      <c r="C1972" s="52"/>
      <c r="D1972" s="55">
        <f t="shared" si="30"/>
        <v>0</v>
      </c>
      <c r="E1972" s="63" t="str">
        <f>HYPERLINK("https://www.sds-group.ru/product/klemma-pruzhinnaya-soedinitelnaya-ksp-4-polyusnaya-s-zazemleniem-i-s-montazhnymi-nozhkami--07-6216-2/", "Инфо")</f>
        <v>Инфо</v>
      </c>
      <c r="F1972" s="16" t="s">
        <v>39</v>
      </c>
      <c r="G1972" s="15"/>
      <c r="H1972" s="15"/>
      <c r="I1972" s="15"/>
      <c r="J1972" s="16" t="s">
        <v>100</v>
      </c>
      <c r="K1972" s="15" t="s">
        <v>1650</v>
      </c>
      <c r="L1972" s="17">
        <v>50</v>
      </c>
      <c r="M1972" s="22">
        <v>1000</v>
      </c>
      <c r="N1972" s="17">
        <v>50</v>
      </c>
      <c r="O1972" s="18">
        <v>62.44</v>
      </c>
      <c r="P1972" s="18">
        <v>51.18</v>
      </c>
      <c r="Q1972" s="18">
        <v>53.07</v>
      </c>
      <c r="R1972" s="18">
        <v>43.5</v>
      </c>
      <c r="S1972" s="18">
        <v>42.46</v>
      </c>
      <c r="T1972" s="18">
        <v>34.799999999999997</v>
      </c>
      <c r="U1972" s="16"/>
      <c r="V1972" s="16"/>
      <c r="W1972" s="16" t="s">
        <v>40</v>
      </c>
      <c r="X1972" s="19">
        <v>1.4E-2</v>
      </c>
      <c r="Y1972" s="20">
        <v>4.8000000000000001E-5</v>
      </c>
      <c r="Z1972" s="21">
        <v>4601004182615</v>
      </c>
    </row>
    <row r="1973" spans="1:26" ht="12" customHeight="1" outlineLevel="4" x14ac:dyDescent="0.2">
      <c r="A1973" s="32" t="s">
        <v>3891</v>
      </c>
      <c r="B1973" s="74" t="s">
        <v>3892</v>
      </c>
      <c r="C1973" s="50"/>
      <c r="D1973" s="53">
        <f t="shared" si="30"/>
        <v>0</v>
      </c>
      <c r="E1973" s="60" t="str">
        <f>HYPERLINK("https://www.sds-group.ru/product/klemma-pruzhinnaya-soedinitelnaya-ksp-5-polyusnaya-50-sht-up-rexant-07-6217/", "Инфо")</f>
        <v>Инфо</v>
      </c>
      <c r="F1973" s="34" t="s">
        <v>39</v>
      </c>
      <c r="G1973" s="33"/>
      <c r="H1973" s="33" t="s">
        <v>40</v>
      </c>
      <c r="I1973" s="33"/>
      <c r="J1973" s="39">
        <v>1400</v>
      </c>
      <c r="K1973" s="33"/>
      <c r="L1973" s="35">
        <v>50</v>
      </c>
      <c r="M1973" s="39">
        <v>1000</v>
      </c>
      <c r="N1973" s="35">
        <v>50</v>
      </c>
      <c r="O1973" s="36">
        <v>83.87</v>
      </c>
      <c r="P1973" s="36">
        <v>68.75</v>
      </c>
      <c r="Q1973" s="36">
        <v>71.290000000000006</v>
      </c>
      <c r="R1973" s="36">
        <v>58.43</v>
      </c>
      <c r="S1973" s="36">
        <v>57.03</v>
      </c>
      <c r="T1973" s="36">
        <v>46.75</v>
      </c>
      <c r="U1973" s="34"/>
      <c r="V1973" s="34"/>
      <c r="W1973" s="34" t="s">
        <v>40</v>
      </c>
      <c r="X1973" s="37">
        <v>1.4E-2</v>
      </c>
      <c r="Y1973" s="38">
        <v>4.0000000000000003E-5</v>
      </c>
      <c r="Z1973" s="21">
        <v>4601004182622</v>
      </c>
    </row>
    <row r="1974" spans="1:26" ht="12" customHeight="1" outlineLevel="4" x14ac:dyDescent="0.2">
      <c r="A1974" s="32" t="s">
        <v>3893</v>
      </c>
      <c r="B1974" s="74" t="s">
        <v>3894</v>
      </c>
      <c r="C1974" s="50"/>
      <c r="D1974" s="53">
        <f t="shared" si="30"/>
        <v>0</v>
      </c>
      <c r="E1974" s="60" t="str">
        <f>HYPERLINK("https://www.sds-group.ru/product/klemma-pruzhinnaya-soedinitelnaya-ksp-5-polyusnaya-s-zazemleniem-i-s-montazhnymi-nozhkami--07-6217-2/", "Инфо")</f>
        <v>Инфо</v>
      </c>
      <c r="F1974" s="34" t="s">
        <v>39</v>
      </c>
      <c r="G1974" s="33"/>
      <c r="H1974" s="33" t="s">
        <v>40</v>
      </c>
      <c r="I1974" s="33"/>
      <c r="J1974" s="39">
        <v>1050</v>
      </c>
      <c r="K1974" s="33"/>
      <c r="L1974" s="35">
        <v>50</v>
      </c>
      <c r="M1974" s="39">
        <v>1000</v>
      </c>
      <c r="N1974" s="35">
        <v>50</v>
      </c>
      <c r="O1974" s="36">
        <v>97.38</v>
      </c>
      <c r="P1974" s="36">
        <v>79.819999999999993</v>
      </c>
      <c r="Q1974" s="36">
        <v>82.77</v>
      </c>
      <c r="R1974" s="36">
        <v>67.84</v>
      </c>
      <c r="S1974" s="36">
        <v>66.22</v>
      </c>
      <c r="T1974" s="36">
        <v>54.28</v>
      </c>
      <c r="U1974" s="34"/>
      <c r="V1974" s="34"/>
      <c r="W1974" s="34" t="s">
        <v>40</v>
      </c>
      <c r="X1974" s="37">
        <v>1.6E-2</v>
      </c>
      <c r="Y1974" s="38">
        <v>4.3999999999999999E-5</v>
      </c>
      <c r="Z1974" s="21">
        <v>4601004182646</v>
      </c>
    </row>
    <row r="1975" spans="1:26" ht="12.95" customHeight="1" outlineLevel="3" x14ac:dyDescent="0.2">
      <c r="A1975" s="76" t="s">
        <v>3895</v>
      </c>
      <c r="B1975" s="76"/>
      <c r="C1975" s="77"/>
      <c r="D1975" s="58"/>
      <c r="E1975" s="68"/>
      <c r="F1975" s="13"/>
      <c r="G1975" s="13"/>
      <c r="H1975" s="13"/>
      <c r="I1975" s="13"/>
      <c r="J1975" s="13"/>
      <c r="K1975" s="13"/>
      <c r="L1975" s="13"/>
      <c r="M1975" s="13"/>
      <c r="N1975" s="13"/>
      <c r="O1975" s="13"/>
      <c r="P1975" s="13"/>
      <c r="Q1975" s="13"/>
      <c r="R1975" s="13"/>
      <c r="S1975" s="13"/>
      <c r="T1975" s="13"/>
      <c r="U1975" s="13"/>
      <c r="V1975" s="13"/>
      <c r="W1975" s="13"/>
      <c r="X1975" s="13"/>
      <c r="Y1975" s="13"/>
      <c r="Z1975" s="13"/>
    </row>
    <row r="1976" spans="1:26" ht="12" customHeight="1" outlineLevel="4" x14ac:dyDescent="0.2">
      <c r="A1976" s="14" t="s">
        <v>3896</v>
      </c>
      <c r="B1976" s="26" t="s">
        <v>3897</v>
      </c>
      <c r="C1976" s="52"/>
      <c r="D1976" s="55">
        <f t="shared" si="30"/>
        <v>0</v>
      </c>
      <c r="E1976" s="63" t="str">
        <f>HYPERLINK("https://www.sds-group.ru/product/stroitelno-montazhnaya-klemma-smk-224-101-dlya-svetilnika-na-1-provodnik-0-2-2-5-0-14-2-5-mm-07-2401/", "Инфо")</f>
        <v>Инфо</v>
      </c>
      <c r="F1976" s="16" t="s">
        <v>39</v>
      </c>
      <c r="G1976" s="15"/>
      <c r="H1976" s="15"/>
      <c r="I1976" s="15"/>
      <c r="J1976" s="22">
        <v>13300</v>
      </c>
      <c r="K1976" s="15"/>
      <c r="L1976" s="17">
        <v>100</v>
      </c>
      <c r="M1976" s="22">
        <v>6000</v>
      </c>
      <c r="N1976" s="17">
        <v>100</v>
      </c>
      <c r="O1976" s="18">
        <v>18.55</v>
      </c>
      <c r="P1976" s="18">
        <v>15.2</v>
      </c>
      <c r="Q1976" s="18">
        <v>15.77</v>
      </c>
      <c r="R1976" s="18">
        <v>12.93</v>
      </c>
      <c r="S1976" s="18">
        <v>12.61</v>
      </c>
      <c r="T1976" s="18">
        <v>10.34</v>
      </c>
      <c r="U1976" s="16"/>
      <c r="V1976" s="16"/>
      <c r="W1976" s="16" t="s">
        <v>40</v>
      </c>
      <c r="X1976" s="19">
        <v>2E-3</v>
      </c>
      <c r="Y1976" s="20">
        <v>6.9999999999999999E-6</v>
      </c>
      <c r="Z1976" s="21">
        <v>4601004182509</v>
      </c>
    </row>
    <row r="1977" spans="1:26" ht="12" customHeight="1" outlineLevel="4" x14ac:dyDescent="0.2">
      <c r="A1977" s="32" t="s">
        <v>3898</v>
      </c>
      <c r="B1977" s="74" t="s">
        <v>3899</v>
      </c>
      <c r="C1977" s="50"/>
      <c r="D1977" s="53">
        <f t="shared" si="30"/>
        <v>0</v>
      </c>
      <c r="E1977" s="60" t="str">
        <f>HYPERLINK("https://www.sds-group.ru/product/stroitelno-montazhnaya-klemma-smk-224-112-dlya-svetilnika-na-2-provodnika-0-2-2-5-0-14-2-5-m-07-2411/", "Инфо")</f>
        <v>Инфо</v>
      </c>
      <c r="F1977" s="34" t="s">
        <v>39</v>
      </c>
      <c r="G1977" s="33"/>
      <c r="H1977" s="33" t="s">
        <v>40</v>
      </c>
      <c r="I1977" s="33"/>
      <c r="J1977" s="34" t="s">
        <v>100</v>
      </c>
      <c r="K1977" s="33"/>
      <c r="L1977" s="35">
        <v>100</v>
      </c>
      <c r="M1977" s="39">
        <v>2000</v>
      </c>
      <c r="N1977" s="35">
        <v>100</v>
      </c>
      <c r="O1977" s="36">
        <v>15.29</v>
      </c>
      <c r="P1977" s="36">
        <v>12.53</v>
      </c>
      <c r="Q1977" s="36">
        <v>10.7</v>
      </c>
      <c r="R1977" s="36">
        <v>8.77</v>
      </c>
      <c r="S1977" s="36">
        <v>10.4</v>
      </c>
      <c r="T1977" s="36">
        <v>8.52</v>
      </c>
      <c r="U1977" s="34"/>
      <c r="V1977" s="34"/>
      <c r="W1977" s="34"/>
      <c r="X1977" s="37">
        <v>3.0000000000000001E-3</v>
      </c>
      <c r="Y1977" s="38">
        <v>1.0000000000000001E-5</v>
      </c>
      <c r="Z1977" s="21">
        <v>4601004182516</v>
      </c>
    </row>
    <row r="1978" spans="1:26" ht="12" customHeight="1" outlineLevel="4" x14ac:dyDescent="0.2">
      <c r="A1978" s="32" t="s">
        <v>3900</v>
      </c>
      <c r="B1978" s="74" t="s">
        <v>3901</v>
      </c>
      <c r="C1978" s="50"/>
      <c r="D1978" s="53">
        <f t="shared" si="30"/>
        <v>0</v>
      </c>
      <c r="E1978" s="60" t="str">
        <f>HYPERLINK("https://www.sds-group.ru/product/stroitelno-montajnaya-klemma-smk-224-201-dlya-svetilnika-na-2-provodnika-1-0-2-5-0-5-2-5-mm-sup2-5-sht-up-rexant-28566/", "Инфо")</f>
        <v>Инфо</v>
      </c>
      <c r="F1978" s="34" t="s">
        <v>1001</v>
      </c>
      <c r="G1978" s="33"/>
      <c r="H1978" s="33" t="s">
        <v>40</v>
      </c>
      <c r="I1978" s="33"/>
      <c r="J1978" s="35">
        <v>1</v>
      </c>
      <c r="K1978" s="33"/>
      <c r="L1978" s="35">
        <v>1</v>
      </c>
      <c r="M1978" s="35">
        <v>10</v>
      </c>
      <c r="N1978" s="35">
        <v>1</v>
      </c>
      <c r="O1978" s="36">
        <v>417.26</v>
      </c>
      <c r="P1978" s="36">
        <v>342.02</v>
      </c>
      <c r="Q1978" s="36">
        <v>292.08</v>
      </c>
      <c r="R1978" s="36">
        <v>239.41</v>
      </c>
      <c r="S1978" s="36">
        <v>283.74</v>
      </c>
      <c r="T1978" s="36">
        <v>232.57</v>
      </c>
      <c r="U1978" s="34"/>
      <c r="V1978" s="34"/>
      <c r="W1978" s="34"/>
      <c r="X1978" s="37">
        <v>3.5000000000000003E-2</v>
      </c>
      <c r="Y1978" s="38">
        <v>2.4800000000000001E-4</v>
      </c>
      <c r="Z1978" s="21">
        <v>4601004253230</v>
      </c>
    </row>
    <row r="1979" spans="1:26" ht="12" customHeight="1" outlineLevel="4" x14ac:dyDescent="0.2">
      <c r="A1979" s="14" t="s">
        <v>3902</v>
      </c>
      <c r="B1979" s="26" t="s">
        <v>3903</v>
      </c>
      <c r="C1979" s="52"/>
      <c r="D1979" s="55">
        <f t="shared" si="30"/>
        <v>0</v>
      </c>
      <c r="E1979" s="63" t="str">
        <f>HYPERLINK("https://www.sds-group.ru/product/stroitelno-montazhnaya-klemma-smk-224-201-dlya-svetilnika-na-gibkie-provodniki-0-2-2-5-0-14--07-2402/", "Инфо")</f>
        <v>Инфо</v>
      </c>
      <c r="F1979" s="16" t="s">
        <v>39</v>
      </c>
      <c r="G1979" s="15"/>
      <c r="H1979" s="15"/>
      <c r="I1979" s="15"/>
      <c r="J1979" s="22">
        <v>8750</v>
      </c>
      <c r="K1979" s="15"/>
      <c r="L1979" s="17">
        <v>50</v>
      </c>
      <c r="M1979" s="22">
        <v>2000</v>
      </c>
      <c r="N1979" s="17">
        <v>50</v>
      </c>
      <c r="O1979" s="18">
        <v>61.78</v>
      </c>
      <c r="P1979" s="18">
        <v>50.64</v>
      </c>
      <c r="Q1979" s="18">
        <v>52.51</v>
      </c>
      <c r="R1979" s="18">
        <v>43.04</v>
      </c>
      <c r="S1979" s="18">
        <v>42.01</v>
      </c>
      <c r="T1979" s="18">
        <v>34.43</v>
      </c>
      <c r="U1979" s="16"/>
      <c r="V1979" s="16"/>
      <c r="W1979" s="16" t="s">
        <v>40</v>
      </c>
      <c r="X1979" s="19">
        <v>6.0000000000000001E-3</v>
      </c>
      <c r="Y1979" s="20">
        <v>2.5000000000000001E-5</v>
      </c>
      <c r="Z1979" s="21">
        <v>4601004230583</v>
      </c>
    </row>
    <row r="1980" spans="1:26" ht="12.95" customHeight="1" outlineLevel="3" x14ac:dyDescent="0.2">
      <c r="A1980" s="76" t="s">
        <v>3904</v>
      </c>
      <c r="B1980" s="76"/>
      <c r="C1980" s="77"/>
      <c r="D1980" s="58"/>
      <c r="E1980" s="68"/>
      <c r="F1980" s="13"/>
      <c r="G1980" s="13"/>
      <c r="H1980" s="13"/>
      <c r="I1980" s="13"/>
      <c r="J1980" s="13"/>
      <c r="K1980" s="13"/>
      <c r="L1980" s="13"/>
      <c r="M1980" s="13"/>
      <c r="N1980" s="13"/>
      <c r="O1980" s="13"/>
      <c r="P1980" s="13"/>
      <c r="Q1980" s="13"/>
      <c r="R1980" s="13"/>
      <c r="S1980" s="13"/>
      <c r="T1980" s="13"/>
      <c r="U1980" s="13"/>
      <c r="V1980" s="13"/>
      <c r="W1980" s="13"/>
      <c r="X1980" s="13"/>
      <c r="Y1980" s="13"/>
      <c r="Z1980" s="13"/>
    </row>
    <row r="1981" spans="1:26" ht="12" customHeight="1" outlineLevel="4" x14ac:dyDescent="0.2">
      <c r="A1981" s="14" t="s">
        <v>3905</v>
      </c>
      <c r="B1981" s="26" t="s">
        <v>3906</v>
      </c>
      <c r="C1981" s="52"/>
      <c r="D1981" s="55">
        <f t="shared" si="30"/>
        <v>0</v>
      </c>
      <c r="E1981" s="63" t="str">
        <f>HYPERLINK("https://www.sds-group.ru/product/klemma-keramicheskaya-vintovaya-kv-10-mm-2-pary-kontaktov-s-krepezhnym-otverstiem-100-sht-up-07-6222/", "Инфо")</f>
        <v>Инфо</v>
      </c>
      <c r="F1981" s="16" t="s">
        <v>39</v>
      </c>
      <c r="G1981" s="15"/>
      <c r="H1981" s="15"/>
      <c r="I1981" s="15"/>
      <c r="J1981" s="16" t="s">
        <v>100</v>
      </c>
      <c r="K1981" s="15" t="s">
        <v>1650</v>
      </c>
      <c r="L1981" s="17">
        <v>100</v>
      </c>
      <c r="M1981" s="17">
        <v>800</v>
      </c>
      <c r="N1981" s="17">
        <v>100</v>
      </c>
      <c r="O1981" s="18">
        <v>98.38</v>
      </c>
      <c r="P1981" s="18">
        <v>80.64</v>
      </c>
      <c r="Q1981" s="18">
        <v>83.62</v>
      </c>
      <c r="R1981" s="18">
        <v>68.540000000000006</v>
      </c>
      <c r="S1981" s="18">
        <v>66.900000000000006</v>
      </c>
      <c r="T1981" s="18">
        <v>54.84</v>
      </c>
      <c r="U1981" s="16"/>
      <c r="V1981" s="16"/>
      <c r="W1981" s="16" t="s">
        <v>40</v>
      </c>
      <c r="X1981" s="19">
        <v>2.8000000000000001E-2</v>
      </c>
      <c r="Y1981" s="20">
        <v>2.0999999999999999E-5</v>
      </c>
      <c r="Z1981" s="21">
        <v>4601004182653</v>
      </c>
    </row>
    <row r="1982" spans="1:26" ht="12" customHeight="1" outlineLevel="4" x14ac:dyDescent="0.2">
      <c r="A1982" s="14" t="s">
        <v>3907</v>
      </c>
      <c r="B1982" s="26" t="s">
        <v>3908</v>
      </c>
      <c r="C1982" s="52"/>
      <c r="D1982" s="55">
        <f t="shared" si="30"/>
        <v>0</v>
      </c>
      <c r="E1982" s="63" t="str">
        <f>HYPERLINK("https://www.sds-group.ru/product/klemma-keramicheskaya-vintovaya-kv-10-mm-3-pary-kontaktov-s-krepezhnym-otverstiem-84-sht-up--07-6226/", "Инфо")</f>
        <v>Инфо</v>
      </c>
      <c r="F1982" s="16" t="s">
        <v>39</v>
      </c>
      <c r="G1982" s="15"/>
      <c r="H1982" s="15"/>
      <c r="I1982" s="15"/>
      <c r="J1982" s="17">
        <v>420</v>
      </c>
      <c r="K1982" s="15" t="s">
        <v>210</v>
      </c>
      <c r="L1982" s="17">
        <v>84</v>
      </c>
      <c r="M1982" s="17">
        <v>840</v>
      </c>
      <c r="N1982" s="17">
        <v>84</v>
      </c>
      <c r="O1982" s="18">
        <v>123.45</v>
      </c>
      <c r="P1982" s="18">
        <v>101.19</v>
      </c>
      <c r="Q1982" s="18">
        <v>104.93</v>
      </c>
      <c r="R1982" s="18">
        <v>86.01</v>
      </c>
      <c r="S1982" s="18">
        <v>83.95</v>
      </c>
      <c r="T1982" s="18">
        <v>68.81</v>
      </c>
      <c r="U1982" s="16"/>
      <c r="V1982" s="16"/>
      <c r="W1982" s="16" t="s">
        <v>40</v>
      </c>
      <c r="X1982" s="19">
        <v>3.6999999999999998E-2</v>
      </c>
      <c r="Y1982" s="20">
        <v>2.5000000000000001E-5</v>
      </c>
      <c r="Z1982" s="21">
        <v>4601004231443</v>
      </c>
    </row>
    <row r="1983" spans="1:26" ht="12" customHeight="1" outlineLevel="4" x14ac:dyDescent="0.2">
      <c r="A1983" s="14" t="s">
        <v>3909</v>
      </c>
      <c r="B1983" s="26" t="s">
        <v>3910</v>
      </c>
      <c r="C1983" s="52"/>
      <c r="D1983" s="55">
        <f t="shared" si="30"/>
        <v>0</v>
      </c>
      <c r="E1983" s="63" t="str">
        <f>HYPERLINK("https://www.sds-group.ru/product/klemma-keramicheskaya-vintovaya-kv-12-mm-2-pary-kontaktov-s-krepezhnym-otverstiem-50-sht-up--07-6223/", "Инфо")</f>
        <v>Инфо</v>
      </c>
      <c r="F1983" s="16" t="s">
        <v>39</v>
      </c>
      <c r="G1983" s="15"/>
      <c r="H1983" s="15"/>
      <c r="I1983" s="15"/>
      <c r="J1983" s="22">
        <v>3250</v>
      </c>
      <c r="K1983" s="15"/>
      <c r="L1983" s="17">
        <v>50</v>
      </c>
      <c r="M1983" s="17">
        <v>500</v>
      </c>
      <c r="N1983" s="17">
        <v>50</v>
      </c>
      <c r="O1983" s="18">
        <v>123.89</v>
      </c>
      <c r="P1983" s="18">
        <v>101.55</v>
      </c>
      <c r="Q1983" s="18">
        <v>105.31</v>
      </c>
      <c r="R1983" s="18">
        <v>86.32</v>
      </c>
      <c r="S1983" s="18">
        <v>84.25</v>
      </c>
      <c r="T1983" s="18">
        <v>69.06</v>
      </c>
      <c r="U1983" s="16"/>
      <c r="V1983" s="16"/>
      <c r="W1983" s="16" t="s">
        <v>40</v>
      </c>
      <c r="X1983" s="19">
        <v>5.0999999999999997E-2</v>
      </c>
      <c r="Y1983" s="20">
        <v>4.1E-5</v>
      </c>
      <c r="Z1983" s="21">
        <v>4601004182677</v>
      </c>
    </row>
    <row r="1984" spans="1:26" ht="12" customHeight="1" outlineLevel="4" x14ac:dyDescent="0.2">
      <c r="A1984" s="14" t="s">
        <v>3911</v>
      </c>
      <c r="B1984" s="26" t="s">
        <v>3912</v>
      </c>
      <c r="C1984" s="52"/>
      <c r="D1984" s="55">
        <f t="shared" si="30"/>
        <v>0</v>
      </c>
      <c r="E1984" s="63" t="str">
        <f>HYPERLINK("https://www.sds-group.ru/product/klemma-keramicheskaya-vintovaya-kv-12-mm-3-pary-kontaktov-s-krepezhnym-otverstiem-45-sht-up--07-6227/", "Инфо")</f>
        <v>Инфо</v>
      </c>
      <c r="F1984" s="16" t="s">
        <v>39</v>
      </c>
      <c r="G1984" s="15"/>
      <c r="H1984" s="15"/>
      <c r="I1984" s="15"/>
      <c r="J1984" s="22">
        <v>5625</v>
      </c>
      <c r="K1984" s="15" t="s">
        <v>1665</v>
      </c>
      <c r="L1984" s="17">
        <v>45</v>
      </c>
      <c r="M1984" s="17">
        <v>450</v>
      </c>
      <c r="N1984" s="17">
        <v>45</v>
      </c>
      <c r="O1984" s="18">
        <v>179.03</v>
      </c>
      <c r="P1984" s="18">
        <v>146.75</v>
      </c>
      <c r="Q1984" s="18">
        <v>152.18</v>
      </c>
      <c r="R1984" s="18">
        <v>124.74</v>
      </c>
      <c r="S1984" s="18">
        <v>121.74</v>
      </c>
      <c r="T1984" s="18">
        <v>99.79</v>
      </c>
      <c r="U1984" s="16"/>
      <c r="V1984" s="16"/>
      <c r="W1984" s="16" t="s">
        <v>40</v>
      </c>
      <c r="X1984" s="19">
        <v>5.8000000000000003E-2</v>
      </c>
      <c r="Y1984" s="20">
        <v>4.5000000000000003E-5</v>
      </c>
      <c r="Z1984" s="21">
        <v>4601004231450</v>
      </c>
    </row>
    <row r="1985" spans="1:26" ht="12" customHeight="1" outlineLevel="4" x14ac:dyDescent="0.2">
      <c r="A1985" s="14" t="s">
        <v>3913</v>
      </c>
      <c r="B1985" s="26" t="s">
        <v>3914</v>
      </c>
      <c r="C1985" s="52"/>
      <c r="D1985" s="55">
        <f t="shared" si="30"/>
        <v>0</v>
      </c>
      <c r="E1985" s="63" t="str">
        <f>HYPERLINK("https://www.sds-group.ru/product/klemma-keramicheskaya-vintovaya-kv-16-mm-2-pary-kontaktov-s-krepezhnym-otverstiem-50-sht-up--07-6224/", "Инфо")</f>
        <v>Инфо</v>
      </c>
      <c r="F1985" s="16" t="s">
        <v>39</v>
      </c>
      <c r="G1985" s="15"/>
      <c r="H1985" s="15"/>
      <c r="I1985" s="15"/>
      <c r="J1985" s="22">
        <v>6150</v>
      </c>
      <c r="K1985" s="15" t="s">
        <v>2750</v>
      </c>
      <c r="L1985" s="17">
        <v>50</v>
      </c>
      <c r="M1985" s="17">
        <v>500</v>
      </c>
      <c r="N1985" s="17">
        <v>50</v>
      </c>
      <c r="O1985" s="18">
        <v>138.44999999999999</v>
      </c>
      <c r="P1985" s="18">
        <v>113.48</v>
      </c>
      <c r="Q1985" s="18">
        <v>117.68</v>
      </c>
      <c r="R1985" s="18">
        <v>96.46</v>
      </c>
      <c r="S1985" s="18">
        <v>94.15</v>
      </c>
      <c r="T1985" s="18">
        <v>77.17</v>
      </c>
      <c r="U1985" s="16"/>
      <c r="V1985" s="16"/>
      <c r="W1985" s="16" t="s">
        <v>40</v>
      </c>
      <c r="X1985" s="19">
        <v>4.8000000000000001E-2</v>
      </c>
      <c r="Y1985" s="20">
        <v>4.0000000000000003E-5</v>
      </c>
      <c r="Z1985" s="21">
        <v>4601004182684</v>
      </c>
    </row>
    <row r="1986" spans="1:26" ht="12" customHeight="1" outlineLevel="4" x14ac:dyDescent="0.2">
      <c r="A1986" s="14" t="s">
        <v>3915</v>
      </c>
      <c r="B1986" s="26" t="s">
        <v>3916</v>
      </c>
      <c r="C1986" s="52"/>
      <c r="D1986" s="55">
        <f t="shared" si="30"/>
        <v>0</v>
      </c>
      <c r="E1986" s="63" t="str">
        <f>HYPERLINK("https://www.sds-group.ru/product/klemma-keramicheskaya-vintovaya-kv-16-mm-3-pary-kontaktov-s-krepezhnym-otverstiem-rexant-45--07-6228/", "Инфо")</f>
        <v>Инфо</v>
      </c>
      <c r="F1986" s="16" t="s">
        <v>39</v>
      </c>
      <c r="G1986" s="15"/>
      <c r="H1986" s="15"/>
      <c r="I1986" s="15"/>
      <c r="J1986" s="22">
        <v>6525</v>
      </c>
      <c r="K1986" s="15" t="s">
        <v>1650</v>
      </c>
      <c r="L1986" s="17">
        <v>45</v>
      </c>
      <c r="M1986" s="17">
        <v>450</v>
      </c>
      <c r="N1986" s="17">
        <v>45</v>
      </c>
      <c r="O1986" s="18">
        <v>218.51</v>
      </c>
      <c r="P1986" s="18">
        <v>179.11</v>
      </c>
      <c r="Q1986" s="18">
        <v>185.73</v>
      </c>
      <c r="R1986" s="18">
        <v>152.24</v>
      </c>
      <c r="S1986" s="18">
        <v>148.59</v>
      </c>
      <c r="T1986" s="18">
        <v>121.8</v>
      </c>
      <c r="U1986" s="16"/>
      <c r="V1986" s="16"/>
      <c r="W1986" s="16" t="s">
        <v>40</v>
      </c>
      <c r="X1986" s="19">
        <v>5.8999999999999997E-2</v>
      </c>
      <c r="Y1986" s="20">
        <v>4.6E-5</v>
      </c>
      <c r="Z1986" s="21">
        <v>4601004182721</v>
      </c>
    </row>
    <row r="1987" spans="1:26" ht="12" customHeight="1" outlineLevel="4" x14ac:dyDescent="0.2">
      <c r="A1987" s="14" t="s">
        <v>3917</v>
      </c>
      <c r="B1987" s="26" t="s">
        <v>3918</v>
      </c>
      <c r="C1987" s="52"/>
      <c r="D1987" s="55">
        <f t="shared" si="30"/>
        <v>0</v>
      </c>
      <c r="E1987" s="63" t="str">
        <f>HYPERLINK("https://www.sds-group.ru/product/klemma-keramicheskaya-vintovaya-kv-4-mm-2-pary-kontaktov-s-krepezhnym-otverstiem-100-sht-up--07-6221/", "Инфо")</f>
        <v>Инфо</v>
      </c>
      <c r="F1987" s="16" t="s">
        <v>39</v>
      </c>
      <c r="G1987" s="15"/>
      <c r="H1987" s="15"/>
      <c r="I1987" s="15"/>
      <c r="J1987" s="22">
        <v>5400</v>
      </c>
      <c r="K1987" s="15" t="s">
        <v>210</v>
      </c>
      <c r="L1987" s="17">
        <v>100</v>
      </c>
      <c r="M1987" s="22">
        <v>1000</v>
      </c>
      <c r="N1987" s="17">
        <v>100</v>
      </c>
      <c r="O1987" s="18">
        <v>65.540000000000006</v>
      </c>
      <c r="P1987" s="18">
        <v>53.72</v>
      </c>
      <c r="Q1987" s="18">
        <v>55.71</v>
      </c>
      <c r="R1987" s="18">
        <v>45.66</v>
      </c>
      <c r="S1987" s="18">
        <v>44.57</v>
      </c>
      <c r="T1987" s="18">
        <v>36.53</v>
      </c>
      <c r="U1987" s="16"/>
      <c r="V1987" s="16"/>
      <c r="W1987" s="16" t="s">
        <v>40</v>
      </c>
      <c r="X1987" s="19">
        <v>2.1000000000000001E-2</v>
      </c>
      <c r="Y1987" s="20">
        <v>1.5999999999999999E-5</v>
      </c>
      <c r="Z1987" s="21">
        <v>4601004182660</v>
      </c>
    </row>
    <row r="1988" spans="1:26" ht="12" customHeight="1" outlineLevel="4" x14ac:dyDescent="0.2">
      <c r="A1988" s="14" t="s">
        <v>3919</v>
      </c>
      <c r="B1988" s="26" t="s">
        <v>3920</v>
      </c>
      <c r="C1988" s="52"/>
      <c r="D1988" s="55">
        <f t="shared" si="30"/>
        <v>0</v>
      </c>
      <c r="E1988" s="63" t="str">
        <f>HYPERLINK("https://www.sds-group.ru/product/klemma-keramicheskaya-vintovaya-kv-4-mm-3-pary-kontaktov-s-krepezhnym-otverstiem-100-sht-up--07-6225/", "Инфо")</f>
        <v>Инфо</v>
      </c>
      <c r="F1988" s="16" t="s">
        <v>39</v>
      </c>
      <c r="G1988" s="15"/>
      <c r="H1988" s="15"/>
      <c r="I1988" s="15"/>
      <c r="J1988" s="22">
        <v>23400</v>
      </c>
      <c r="K1988" s="15" t="s">
        <v>210</v>
      </c>
      <c r="L1988" s="17">
        <v>100</v>
      </c>
      <c r="M1988" s="22">
        <v>1000</v>
      </c>
      <c r="N1988" s="17">
        <v>100</v>
      </c>
      <c r="O1988" s="18">
        <v>103.3</v>
      </c>
      <c r="P1988" s="18">
        <v>84.67</v>
      </c>
      <c r="Q1988" s="18">
        <v>87.81</v>
      </c>
      <c r="R1988" s="18">
        <v>71.98</v>
      </c>
      <c r="S1988" s="18">
        <v>70.239999999999995</v>
      </c>
      <c r="T1988" s="18">
        <v>57.57</v>
      </c>
      <c r="U1988" s="16"/>
      <c r="V1988" s="16"/>
      <c r="W1988" s="16" t="s">
        <v>40</v>
      </c>
      <c r="X1988" s="19">
        <v>2.4E-2</v>
      </c>
      <c r="Y1988" s="20">
        <v>2.0000000000000002E-5</v>
      </c>
      <c r="Z1988" s="21">
        <v>4601004231436</v>
      </c>
    </row>
    <row r="1989" spans="1:26" ht="12.95" customHeight="1" outlineLevel="3" x14ac:dyDescent="0.2">
      <c r="A1989" s="76" t="s">
        <v>3921</v>
      </c>
      <c r="B1989" s="76"/>
      <c r="C1989" s="77"/>
      <c r="D1989" s="58"/>
      <c r="E1989" s="68"/>
      <c r="F1989" s="13"/>
      <c r="G1989" s="13"/>
      <c r="H1989" s="13"/>
      <c r="I1989" s="13"/>
      <c r="J1989" s="13"/>
      <c r="K1989" s="13"/>
      <c r="L1989" s="13"/>
      <c r="M1989" s="13"/>
      <c r="N1989" s="13"/>
      <c r="O1989" s="13"/>
      <c r="P1989" s="13"/>
      <c r="Q1989" s="13"/>
      <c r="R1989" s="13"/>
      <c r="S1989" s="13"/>
      <c r="T1989" s="13"/>
      <c r="U1989" s="13"/>
      <c r="V1989" s="13"/>
      <c r="W1989" s="13"/>
      <c r="X1989" s="13"/>
      <c r="Y1989" s="13"/>
      <c r="Z1989" s="13"/>
    </row>
    <row r="1990" spans="1:26" ht="12" customHeight="1" outlineLevel="4" x14ac:dyDescent="0.2">
      <c r="A1990" s="14" t="s">
        <v>3922</v>
      </c>
      <c r="B1990" s="26" t="s">
        <v>3923</v>
      </c>
      <c r="C1990" s="52"/>
      <c r="D1990" s="55">
        <f t="shared" si="30"/>
        <v>0</v>
      </c>
      <c r="E1990" s="63" t="str">
        <f>HYPERLINK("https://www.sds-group.ru/product/otvetvitel-pitaniya-0-5-0-75-mm-ov-krasnyy-rexant-08-0791/", "Инфо")</f>
        <v>Инфо</v>
      </c>
      <c r="F1990" s="16" t="s">
        <v>39</v>
      </c>
      <c r="G1990" s="15"/>
      <c r="H1990" s="15"/>
      <c r="I1990" s="15"/>
      <c r="J1990" s="22">
        <v>4900</v>
      </c>
      <c r="K1990" s="15" t="s">
        <v>2706</v>
      </c>
      <c r="L1990" s="17">
        <v>100</v>
      </c>
      <c r="M1990" s="22">
        <v>5000</v>
      </c>
      <c r="N1990" s="17">
        <v>100</v>
      </c>
      <c r="O1990" s="18">
        <v>19.62</v>
      </c>
      <c r="P1990" s="18">
        <v>16.079999999999998</v>
      </c>
      <c r="Q1990" s="18">
        <v>16.68</v>
      </c>
      <c r="R1990" s="18">
        <v>13.67</v>
      </c>
      <c r="S1990" s="18">
        <v>13.34</v>
      </c>
      <c r="T1990" s="18">
        <v>10.93</v>
      </c>
      <c r="U1990" s="16"/>
      <c r="V1990" s="16"/>
      <c r="W1990" s="16" t="s">
        <v>40</v>
      </c>
      <c r="X1990" s="19">
        <v>2E-3</v>
      </c>
      <c r="Y1990" s="20">
        <v>6.0000000000000002E-6</v>
      </c>
      <c r="Z1990" s="21">
        <v>4660008012588</v>
      </c>
    </row>
    <row r="1991" spans="1:26" ht="12" customHeight="1" outlineLevel="4" x14ac:dyDescent="0.2">
      <c r="A1991" s="14" t="s">
        <v>3924</v>
      </c>
      <c r="B1991" s="26" t="s">
        <v>3925</v>
      </c>
      <c r="C1991" s="52"/>
      <c r="D1991" s="55">
        <f t="shared" si="30"/>
        <v>0</v>
      </c>
      <c r="E1991" s="63" t="str">
        <f>HYPERLINK("https://www.sds-group.ru/product/otvetvitel-pitaniya-0-5-1-0-mm-ov-1-zpo-1-0-5-1-5-krasnyy-rexant-08-0761/", "Инфо")</f>
        <v>Инфо</v>
      </c>
      <c r="F1991" s="16" t="s">
        <v>39</v>
      </c>
      <c r="G1991" s="15"/>
      <c r="H1991" s="15"/>
      <c r="I1991" s="15"/>
      <c r="J1991" s="16" t="s">
        <v>100</v>
      </c>
      <c r="K1991" s="15" t="s">
        <v>2706</v>
      </c>
      <c r="L1991" s="17">
        <v>100</v>
      </c>
      <c r="M1991" s="22">
        <v>10000</v>
      </c>
      <c r="N1991" s="17">
        <v>100</v>
      </c>
      <c r="O1991" s="18">
        <v>6.21</v>
      </c>
      <c r="P1991" s="18">
        <v>5.09</v>
      </c>
      <c r="Q1991" s="18">
        <v>5.28</v>
      </c>
      <c r="R1991" s="18">
        <v>4.33</v>
      </c>
      <c r="S1991" s="18">
        <v>4.22</v>
      </c>
      <c r="T1991" s="18">
        <v>3.46</v>
      </c>
      <c r="U1991" s="16"/>
      <c r="V1991" s="16"/>
      <c r="W1991" s="16" t="s">
        <v>40</v>
      </c>
      <c r="X1991" s="19">
        <v>2E-3</v>
      </c>
      <c r="Y1991" s="20">
        <v>6.9999999999999999E-6</v>
      </c>
      <c r="Z1991" s="21">
        <v>4660008012526</v>
      </c>
    </row>
    <row r="1992" spans="1:26" ht="12" customHeight="1" outlineLevel="4" x14ac:dyDescent="0.2">
      <c r="A1992" s="14" t="s">
        <v>3926</v>
      </c>
      <c r="B1992" s="26" t="s">
        <v>3927</v>
      </c>
      <c r="C1992" s="52"/>
      <c r="D1992" s="55">
        <f t="shared" si="30"/>
        <v>0</v>
      </c>
      <c r="E1992" s="63" t="str">
        <f>HYPERLINK("https://www.sds-group.ru/product/otvetvitel-pitaniya-1-0-2-5-mm-ov-2-zpo-1-1-0-2-5-siniy-rexant-08-0771/", "Инфо")</f>
        <v>Инфо</v>
      </c>
      <c r="F1992" s="16" t="s">
        <v>39</v>
      </c>
      <c r="G1992" s="15"/>
      <c r="H1992" s="15"/>
      <c r="I1992" s="15"/>
      <c r="J1992" s="16" t="s">
        <v>100</v>
      </c>
      <c r="K1992" s="15" t="s">
        <v>2750</v>
      </c>
      <c r="L1992" s="17">
        <v>100</v>
      </c>
      <c r="M1992" s="22">
        <v>10000</v>
      </c>
      <c r="N1992" s="17">
        <v>100</v>
      </c>
      <c r="O1992" s="18">
        <v>6.22</v>
      </c>
      <c r="P1992" s="18">
        <v>5.0999999999999996</v>
      </c>
      <c r="Q1992" s="18">
        <v>5.29</v>
      </c>
      <c r="R1992" s="18">
        <v>4.34</v>
      </c>
      <c r="S1992" s="18">
        <v>4.2300000000000004</v>
      </c>
      <c r="T1992" s="18">
        <v>3.47</v>
      </c>
      <c r="U1992" s="16"/>
      <c r="V1992" s="16"/>
      <c r="W1992" s="16" t="s">
        <v>40</v>
      </c>
      <c r="X1992" s="19">
        <v>2E-3</v>
      </c>
      <c r="Y1992" s="20">
        <v>6.9999999999999999E-6</v>
      </c>
      <c r="Z1992" s="21">
        <v>4660008012540</v>
      </c>
    </row>
    <row r="1993" spans="1:26" ht="12" customHeight="1" outlineLevel="4" x14ac:dyDescent="0.2">
      <c r="A1993" s="32" t="s">
        <v>3928</v>
      </c>
      <c r="B1993" s="74" t="s">
        <v>3929</v>
      </c>
      <c r="C1993" s="50"/>
      <c r="D1993" s="53">
        <f t="shared" ref="D1993:D2056" si="31">C1993*(O1993-O1993*$G$3)</f>
        <v>0</v>
      </c>
      <c r="E1993" s="60" t="str">
        <f>HYPERLINK("https://www.sds-group.ru/product/otvetvitel-pitaniya-1-0-2-5-mm-ov-2-zpo-1-1-0-2-5-siniy-v-upak-5-sht-rexant-06-0427-A/", "Инфо")</f>
        <v>Инфо</v>
      </c>
      <c r="F1993" s="34" t="s">
        <v>1001</v>
      </c>
      <c r="G1993" s="33"/>
      <c r="H1993" s="33" t="s">
        <v>40</v>
      </c>
      <c r="I1993" s="33"/>
      <c r="J1993" s="35">
        <v>129</v>
      </c>
      <c r="K1993" s="33"/>
      <c r="L1993" s="35">
        <v>1</v>
      </c>
      <c r="M1993" s="35">
        <v>10</v>
      </c>
      <c r="N1993" s="35">
        <v>1</v>
      </c>
      <c r="O1993" s="36">
        <v>121.87</v>
      </c>
      <c r="P1993" s="36">
        <v>99.89</v>
      </c>
      <c r="Q1993" s="36">
        <v>103.59</v>
      </c>
      <c r="R1993" s="36">
        <v>84.91</v>
      </c>
      <c r="S1993" s="36">
        <v>82.87</v>
      </c>
      <c r="T1993" s="36">
        <v>67.930000000000007</v>
      </c>
      <c r="U1993" s="34"/>
      <c r="V1993" s="34"/>
      <c r="W1993" s="34" t="s">
        <v>40</v>
      </c>
      <c r="X1993" s="37">
        <v>1.4999999999999999E-2</v>
      </c>
      <c r="Y1993" s="38">
        <v>1.4200000000000001E-4</v>
      </c>
      <c r="Z1993" s="21">
        <v>4601004121737</v>
      </c>
    </row>
    <row r="1994" spans="1:26" ht="12" customHeight="1" outlineLevel="4" x14ac:dyDescent="0.2">
      <c r="A1994" s="14" t="s">
        <v>3930</v>
      </c>
      <c r="B1994" s="26" t="s">
        <v>3931</v>
      </c>
      <c r="C1994" s="52"/>
      <c r="D1994" s="55">
        <f t="shared" si="31"/>
        <v>0</v>
      </c>
      <c r="E1994" s="63" t="str">
        <f>HYPERLINK("https://www.sds-group.ru/product/otvetvitel-pitaniya-4-0-6-0-mm-ov-3-zpo-1-4-0-6-0-zheltyy-rexant-08-0781/", "Инфо")</f>
        <v>Инфо</v>
      </c>
      <c r="F1994" s="16" t="s">
        <v>39</v>
      </c>
      <c r="G1994" s="15"/>
      <c r="H1994" s="15"/>
      <c r="I1994" s="15"/>
      <c r="J1994" s="22">
        <v>15300</v>
      </c>
      <c r="K1994" s="15"/>
      <c r="L1994" s="17">
        <v>100</v>
      </c>
      <c r="M1994" s="22">
        <v>4000</v>
      </c>
      <c r="N1994" s="17">
        <v>100</v>
      </c>
      <c r="O1994" s="18">
        <v>11.86</v>
      </c>
      <c r="P1994" s="18">
        <v>9.7200000000000006</v>
      </c>
      <c r="Q1994" s="18">
        <v>10.08</v>
      </c>
      <c r="R1994" s="18">
        <v>8.26</v>
      </c>
      <c r="S1994" s="18">
        <v>8.06</v>
      </c>
      <c r="T1994" s="18">
        <v>6.61</v>
      </c>
      <c r="U1994" s="16"/>
      <c r="V1994" s="16"/>
      <c r="W1994" s="16" t="s">
        <v>40</v>
      </c>
      <c r="X1994" s="19">
        <v>3.0000000000000001E-3</v>
      </c>
      <c r="Y1994" s="20">
        <v>1.2E-5</v>
      </c>
      <c r="Z1994" s="21">
        <v>4660008012564</v>
      </c>
    </row>
    <row r="1995" spans="1:26" ht="12.95" customHeight="1" outlineLevel="3" x14ac:dyDescent="0.2">
      <c r="A1995" s="76" t="s">
        <v>3932</v>
      </c>
      <c r="B1995" s="76"/>
      <c r="C1995" s="77"/>
      <c r="D1995" s="58"/>
      <c r="E1995" s="68"/>
      <c r="F1995" s="13"/>
      <c r="G1995" s="13"/>
      <c r="H1995" s="13"/>
      <c r="I1995" s="13"/>
      <c r="J1995" s="13"/>
      <c r="K1995" s="13"/>
      <c r="L1995" s="13"/>
      <c r="M1995" s="13"/>
      <c r="N1995" s="13"/>
      <c r="O1995" s="13"/>
      <c r="P1995" s="13"/>
      <c r="Q1995" s="13"/>
      <c r="R1995" s="13"/>
      <c r="S1995" s="13"/>
      <c r="T1995" s="13"/>
      <c r="U1995" s="13"/>
      <c r="V1995" s="13"/>
      <c r="W1995" s="13"/>
      <c r="X1995" s="13"/>
      <c r="Y1995" s="13"/>
      <c r="Z1995" s="13"/>
    </row>
    <row r="1996" spans="1:26" ht="12" customHeight="1" outlineLevel="4" x14ac:dyDescent="0.2">
      <c r="A1996" s="14" t="s">
        <v>3933</v>
      </c>
      <c r="B1996" s="26" t="s">
        <v>3934</v>
      </c>
      <c r="C1996" s="52"/>
      <c r="D1996" s="55">
        <f t="shared" si="31"/>
        <v>0</v>
      </c>
      <c r="E1996" s="63" t="str">
        <f>HYPERLINK("https://www.sds-group.ru/product/zazhim-otvetvitelnyy-u-731m-4-10-1-5-10-mm-ip20-szhim-oreh-rexant-07-0731/", "Инфо")</f>
        <v>Инфо</v>
      </c>
      <c r="F1996" s="16" t="s">
        <v>39</v>
      </c>
      <c r="G1996" s="15"/>
      <c r="H1996" s="15"/>
      <c r="I1996" s="15"/>
      <c r="J1996" s="22">
        <v>4736</v>
      </c>
      <c r="K1996" s="15" t="s">
        <v>1590</v>
      </c>
      <c r="L1996" s="17">
        <v>20</v>
      </c>
      <c r="M1996" s="17">
        <v>360</v>
      </c>
      <c r="N1996" s="17">
        <v>20</v>
      </c>
      <c r="O1996" s="18">
        <v>72.08</v>
      </c>
      <c r="P1996" s="18">
        <v>59.08</v>
      </c>
      <c r="Q1996" s="18">
        <v>61.27</v>
      </c>
      <c r="R1996" s="18">
        <v>50.22</v>
      </c>
      <c r="S1996" s="18">
        <v>49.01</v>
      </c>
      <c r="T1996" s="18">
        <v>40.17</v>
      </c>
      <c r="U1996" s="16"/>
      <c r="V1996" s="16"/>
      <c r="W1996" s="16" t="s">
        <v>40</v>
      </c>
      <c r="X1996" s="19">
        <v>3.9E-2</v>
      </c>
      <c r="Y1996" s="20">
        <v>8.2999999999999998E-5</v>
      </c>
      <c r="Z1996" s="21">
        <v>4601004259775</v>
      </c>
    </row>
    <row r="1997" spans="1:26" ht="12" customHeight="1" outlineLevel="4" x14ac:dyDescent="0.2">
      <c r="A1997" s="14" t="s">
        <v>3935</v>
      </c>
      <c r="B1997" s="26" t="s">
        <v>3936</v>
      </c>
      <c r="C1997" s="52"/>
      <c r="D1997" s="55">
        <f t="shared" si="31"/>
        <v>0</v>
      </c>
      <c r="E1997" s="63" t="str">
        <f>HYPERLINK("https://www.sds-group.ru/product/zazhim-otvetvitelnyy-u-733m-16-35-1-5-10-mm-ip20-szhim-oreh-rexant-07-0733/", "Инфо")</f>
        <v>Инфо</v>
      </c>
      <c r="F1997" s="16" t="s">
        <v>39</v>
      </c>
      <c r="G1997" s="15"/>
      <c r="H1997" s="15"/>
      <c r="I1997" s="15"/>
      <c r="J1997" s="16" t="s">
        <v>100</v>
      </c>
      <c r="K1997" s="15" t="s">
        <v>940</v>
      </c>
      <c r="L1997" s="17">
        <v>20</v>
      </c>
      <c r="M1997" s="17">
        <v>360</v>
      </c>
      <c r="N1997" s="17">
        <v>20</v>
      </c>
      <c r="O1997" s="18">
        <v>72.5</v>
      </c>
      <c r="P1997" s="18">
        <v>59.43</v>
      </c>
      <c r="Q1997" s="18">
        <v>61.63</v>
      </c>
      <c r="R1997" s="18">
        <v>50.52</v>
      </c>
      <c r="S1997" s="18">
        <v>49.3</v>
      </c>
      <c r="T1997" s="18">
        <v>40.409999999999997</v>
      </c>
      <c r="U1997" s="16"/>
      <c r="V1997" s="16"/>
      <c r="W1997" s="16" t="s">
        <v>40</v>
      </c>
      <c r="X1997" s="19">
        <v>0.04</v>
      </c>
      <c r="Y1997" s="20">
        <v>8.1000000000000004E-5</v>
      </c>
      <c r="Z1997" s="21">
        <v>4601004259515</v>
      </c>
    </row>
    <row r="1998" spans="1:26" ht="12" customHeight="1" outlineLevel="4" x14ac:dyDescent="0.2">
      <c r="A1998" s="14" t="s">
        <v>3937</v>
      </c>
      <c r="B1998" s="26" t="s">
        <v>3938</v>
      </c>
      <c r="C1998" s="52"/>
      <c r="D1998" s="55">
        <f t="shared" si="31"/>
        <v>0</v>
      </c>
      <c r="E1998" s="63" t="str">
        <f>HYPERLINK("https://www.sds-group.ru/product/zazhim-otvetvitelnyy-u-734m-16-35-16-25-mm-ip20-szhim-oreh-rexant-07-0734/", "Инфо")</f>
        <v>Инфо</v>
      </c>
      <c r="F1998" s="16" t="s">
        <v>39</v>
      </c>
      <c r="G1998" s="15"/>
      <c r="H1998" s="15"/>
      <c r="I1998" s="15"/>
      <c r="J1998" s="22">
        <v>2199</v>
      </c>
      <c r="K1998" s="15" t="s">
        <v>1590</v>
      </c>
      <c r="L1998" s="17">
        <v>20</v>
      </c>
      <c r="M1998" s="17">
        <v>360</v>
      </c>
      <c r="N1998" s="17">
        <v>20</v>
      </c>
      <c r="O1998" s="18">
        <v>74.84</v>
      </c>
      <c r="P1998" s="18">
        <v>61.34</v>
      </c>
      <c r="Q1998" s="18">
        <v>63.61</v>
      </c>
      <c r="R1998" s="18">
        <v>52.14</v>
      </c>
      <c r="S1998" s="18">
        <v>50.89</v>
      </c>
      <c r="T1998" s="18">
        <v>41.71</v>
      </c>
      <c r="U1998" s="16"/>
      <c r="V1998" s="16"/>
      <c r="W1998" s="16" t="s">
        <v>40</v>
      </c>
      <c r="X1998" s="19">
        <v>3.9E-2</v>
      </c>
      <c r="Y1998" s="20">
        <v>7.8999999999999996E-5</v>
      </c>
      <c r="Z1998" s="21">
        <v>4601004259539</v>
      </c>
    </row>
    <row r="1999" spans="1:26" ht="12" customHeight="1" outlineLevel="4" x14ac:dyDescent="0.2">
      <c r="A1999" s="14" t="s">
        <v>3939</v>
      </c>
      <c r="B1999" s="26" t="s">
        <v>3940</v>
      </c>
      <c r="C1999" s="52"/>
      <c r="D1999" s="55">
        <f t="shared" si="31"/>
        <v>0</v>
      </c>
      <c r="E1999" s="63" t="str">
        <f>HYPERLINK("https://www.sds-group.ru/product/zazhim-otvetvitelnyy-u-739m-4-10-1-5-2-5-mm-ip20-szhim-oreh-rexant-07-0739/", "Инфо")</f>
        <v>Инфо</v>
      </c>
      <c r="F1999" s="16" t="s">
        <v>39</v>
      </c>
      <c r="G1999" s="15"/>
      <c r="H1999" s="15"/>
      <c r="I1999" s="15"/>
      <c r="J1999" s="17">
        <v>678</v>
      </c>
      <c r="K1999" s="15" t="s">
        <v>922</v>
      </c>
      <c r="L1999" s="17">
        <v>20</v>
      </c>
      <c r="M1999" s="17">
        <v>360</v>
      </c>
      <c r="N1999" s="17">
        <v>20</v>
      </c>
      <c r="O1999" s="18">
        <v>71.87</v>
      </c>
      <c r="P1999" s="18">
        <v>58.91</v>
      </c>
      <c r="Q1999" s="18">
        <v>61.09</v>
      </c>
      <c r="R1999" s="18">
        <v>50.07</v>
      </c>
      <c r="S1999" s="18">
        <v>48.87</v>
      </c>
      <c r="T1999" s="18">
        <v>40.06</v>
      </c>
      <c r="U1999" s="16"/>
      <c r="V1999" s="16"/>
      <c r="W1999" s="16" t="s">
        <v>40</v>
      </c>
      <c r="X1999" s="19">
        <v>3.4000000000000002E-2</v>
      </c>
      <c r="Y1999" s="20">
        <v>5.7000000000000003E-5</v>
      </c>
      <c r="Z1999" s="21">
        <v>4601004259553</v>
      </c>
    </row>
    <row r="2000" spans="1:26" ht="12" customHeight="1" outlineLevel="4" x14ac:dyDescent="0.2">
      <c r="A2000" s="14" t="s">
        <v>3941</v>
      </c>
      <c r="B2000" s="26" t="s">
        <v>3942</v>
      </c>
      <c r="C2000" s="52"/>
      <c r="D2000" s="55">
        <f t="shared" si="31"/>
        <v>0</v>
      </c>
      <c r="E2000" s="63" t="str">
        <f>HYPERLINK("https://www.sds-group.ru/product/zazhim-otvetvitelnyy-u-859m-50-70-4-35-mm-ip20-szhim-oreh-rexant-07-0859/", "Инфо")</f>
        <v>Инфо</v>
      </c>
      <c r="F2000" s="16" t="s">
        <v>39</v>
      </c>
      <c r="G2000" s="15"/>
      <c r="H2000" s="15"/>
      <c r="I2000" s="15"/>
      <c r="J2000" s="16" t="s">
        <v>100</v>
      </c>
      <c r="K2000" s="15" t="s">
        <v>1590</v>
      </c>
      <c r="L2000" s="17">
        <v>1</v>
      </c>
      <c r="M2000" s="17">
        <v>120</v>
      </c>
      <c r="N2000" s="17">
        <v>1</v>
      </c>
      <c r="O2000" s="18">
        <v>205.68</v>
      </c>
      <c r="P2000" s="18">
        <v>168.59</v>
      </c>
      <c r="Q2000" s="18">
        <v>174.83</v>
      </c>
      <c r="R2000" s="18">
        <v>143.30000000000001</v>
      </c>
      <c r="S2000" s="18">
        <v>139.86000000000001</v>
      </c>
      <c r="T2000" s="18">
        <v>114.64</v>
      </c>
      <c r="U2000" s="16"/>
      <c r="V2000" s="16"/>
      <c r="W2000" s="16" t="s">
        <v>40</v>
      </c>
      <c r="X2000" s="19">
        <v>0.14000000000000001</v>
      </c>
      <c r="Y2000" s="20">
        <v>2.34E-4</v>
      </c>
      <c r="Z2000" s="21">
        <v>4601004259577</v>
      </c>
    </row>
    <row r="2001" spans="1:26" ht="12" customHeight="1" outlineLevel="4" x14ac:dyDescent="0.2">
      <c r="A2001" s="14" t="s">
        <v>3943</v>
      </c>
      <c r="B2001" s="26" t="s">
        <v>3944</v>
      </c>
      <c r="C2001" s="52"/>
      <c r="D2001" s="55">
        <f t="shared" si="31"/>
        <v>0</v>
      </c>
      <c r="E2001" s="64"/>
      <c r="F2001" s="16" t="s">
        <v>39</v>
      </c>
      <c r="G2001" s="15"/>
      <c r="H2001" s="15"/>
      <c r="I2001" s="15"/>
      <c r="J2001" s="16" t="s">
        <v>100</v>
      </c>
      <c r="K2001" s="15" t="s">
        <v>922</v>
      </c>
      <c r="L2001" s="17">
        <v>8</v>
      </c>
      <c r="M2001" s="17">
        <v>32</v>
      </c>
      <c r="N2001" s="17">
        <v>8</v>
      </c>
      <c r="O2001" s="18">
        <v>452.57</v>
      </c>
      <c r="P2001" s="18">
        <v>370.96</v>
      </c>
      <c r="Q2001" s="18">
        <v>384.68</v>
      </c>
      <c r="R2001" s="18">
        <v>315.31</v>
      </c>
      <c r="S2001" s="18">
        <v>307.75</v>
      </c>
      <c r="T2001" s="18">
        <v>252.25</v>
      </c>
      <c r="U2001" s="16"/>
      <c r="V2001" s="16"/>
      <c r="W2001" s="16" t="s">
        <v>40</v>
      </c>
      <c r="X2001" s="19">
        <v>0.39100000000000001</v>
      </c>
      <c r="Y2001" s="20">
        <v>7.5699999999999997E-4</v>
      </c>
      <c r="Z2001" s="21">
        <v>4601004259591</v>
      </c>
    </row>
    <row r="2002" spans="1:26" ht="12.95" customHeight="1" outlineLevel="2" x14ac:dyDescent="0.2">
      <c r="A2002" s="76" t="s">
        <v>3945</v>
      </c>
      <c r="B2002" s="76"/>
      <c r="C2002" s="77"/>
      <c r="D2002" s="58"/>
      <c r="E2002" s="68"/>
      <c r="F2002" s="13"/>
      <c r="G2002" s="13"/>
      <c r="H2002" s="13"/>
      <c r="I2002" s="13"/>
      <c r="J2002" s="13"/>
      <c r="K2002" s="13"/>
      <c r="L2002" s="13"/>
      <c r="M2002" s="13"/>
      <c r="N2002" s="13"/>
      <c r="O2002" s="13"/>
      <c r="P2002" s="13"/>
      <c r="Q2002" s="13"/>
      <c r="R2002" s="13"/>
      <c r="S2002" s="13"/>
      <c r="T2002" s="13"/>
      <c r="U2002" s="13"/>
      <c r="V2002" s="13"/>
      <c r="W2002" s="13"/>
      <c r="X2002" s="13"/>
      <c r="Y2002" s="13"/>
      <c r="Z2002" s="13"/>
    </row>
    <row r="2003" spans="1:26" ht="12.95" customHeight="1" outlineLevel="3" x14ac:dyDescent="0.2">
      <c r="A2003" s="76" t="s">
        <v>3946</v>
      </c>
      <c r="B2003" s="76"/>
      <c r="C2003" s="77"/>
      <c r="D2003" s="58"/>
      <c r="E2003" s="68"/>
      <c r="F2003" s="13"/>
      <c r="G2003" s="13"/>
      <c r="H2003" s="13"/>
      <c r="I2003" s="13"/>
      <c r="J2003" s="13"/>
      <c r="K2003" s="13"/>
      <c r="L2003" s="13"/>
      <c r="M2003" s="13"/>
      <c r="N2003" s="13"/>
      <c r="O2003" s="13"/>
      <c r="P2003" s="13"/>
      <c r="Q2003" s="13"/>
      <c r="R2003" s="13"/>
      <c r="S2003" s="13"/>
      <c r="T2003" s="13"/>
      <c r="U2003" s="13"/>
      <c r="V2003" s="13"/>
      <c r="W2003" s="13"/>
      <c r="X2003" s="13"/>
      <c r="Y2003" s="13"/>
      <c r="Z2003" s="13"/>
    </row>
    <row r="2004" spans="1:26" ht="12" customHeight="1" outlineLevel="4" x14ac:dyDescent="0.2">
      <c r="A2004" s="14" t="s">
        <v>3947</v>
      </c>
      <c r="B2004" s="26" t="s">
        <v>3948</v>
      </c>
      <c r="C2004" s="52"/>
      <c r="D2004" s="55">
        <f t="shared" si="31"/>
        <v>0</v>
      </c>
      <c r="E2004" s="63" t="str">
        <f>HYPERLINK("https://www.sds-group.ru/product/221-412-universalnaya-kompaktnaya-klemma-2-kontaktnaya-do-4-0-mm-100-sht-up-wago-07-5161/", "Инфо")</f>
        <v>Инфо</v>
      </c>
      <c r="F2004" s="16" t="s">
        <v>39</v>
      </c>
      <c r="G2004" s="15"/>
      <c r="H2004" s="15"/>
      <c r="I2004" s="15"/>
      <c r="J2004" s="22">
        <v>19200</v>
      </c>
      <c r="K2004" s="15"/>
      <c r="L2004" s="17">
        <v>100</v>
      </c>
      <c r="M2004" s="22">
        <v>2200</v>
      </c>
      <c r="N2004" s="17">
        <v>100</v>
      </c>
      <c r="O2004" s="18">
        <v>95.69</v>
      </c>
      <c r="P2004" s="18">
        <v>78.430000000000007</v>
      </c>
      <c r="Q2004" s="18">
        <v>81.34</v>
      </c>
      <c r="R2004" s="18">
        <v>66.67</v>
      </c>
      <c r="S2004" s="18">
        <v>65.069999999999993</v>
      </c>
      <c r="T2004" s="18">
        <v>53.34</v>
      </c>
      <c r="U2004" s="16"/>
      <c r="V2004" s="16"/>
      <c r="W2004" s="16" t="s">
        <v>40</v>
      </c>
      <c r="X2004" s="19">
        <v>2E-3</v>
      </c>
      <c r="Y2004" s="20">
        <v>3.9999999999999998E-6</v>
      </c>
      <c r="Z2004" s="21">
        <v>4050821897125</v>
      </c>
    </row>
    <row r="2005" spans="1:26" ht="12" customHeight="1" outlineLevel="4" x14ac:dyDescent="0.2">
      <c r="A2005" s="14" t="s">
        <v>3949</v>
      </c>
      <c r="B2005" s="26" t="s">
        <v>3950</v>
      </c>
      <c r="C2005" s="52"/>
      <c r="D2005" s="55">
        <f t="shared" si="31"/>
        <v>0</v>
      </c>
      <c r="E2005" s="63" t="str">
        <f>HYPERLINK("https://www.sds-group.ru/product/221-415-universalnaya-kompaktnaya-klemma-5-kontaktnaya-do-4-0-mm-25-sht-up-wago-07-5165/", "Инфо")</f>
        <v>Инфо</v>
      </c>
      <c r="F2005" s="16" t="s">
        <v>39</v>
      </c>
      <c r="G2005" s="15"/>
      <c r="H2005" s="15"/>
      <c r="I2005" s="15"/>
      <c r="J2005" s="22">
        <v>4627</v>
      </c>
      <c r="K2005" s="15"/>
      <c r="L2005" s="17">
        <v>25</v>
      </c>
      <c r="M2005" s="22">
        <v>3000</v>
      </c>
      <c r="N2005" s="17">
        <v>25</v>
      </c>
      <c r="O2005" s="18">
        <v>162.16999999999999</v>
      </c>
      <c r="P2005" s="18">
        <v>132.93</v>
      </c>
      <c r="Q2005" s="18">
        <v>137.84</v>
      </c>
      <c r="R2005" s="18">
        <v>112.98</v>
      </c>
      <c r="S2005" s="18">
        <v>110.28</v>
      </c>
      <c r="T2005" s="18">
        <v>90.39</v>
      </c>
      <c r="U2005" s="16"/>
      <c r="V2005" s="16"/>
      <c r="W2005" s="16" t="s">
        <v>40</v>
      </c>
      <c r="X2005" s="19">
        <v>5.0000000000000001E-3</v>
      </c>
      <c r="Y2005" s="20">
        <v>1.7E-5</v>
      </c>
      <c r="Z2005" s="21">
        <v>4055143234658</v>
      </c>
    </row>
    <row r="2006" spans="1:26" ht="12" customHeight="1" outlineLevel="4" x14ac:dyDescent="0.2">
      <c r="A2006" s="14" t="s">
        <v>3951</v>
      </c>
      <c r="B2006" s="26" t="s">
        <v>3952</v>
      </c>
      <c r="C2006" s="52"/>
      <c r="D2006" s="55">
        <f t="shared" si="31"/>
        <v>0</v>
      </c>
      <c r="E2006" s="63" t="str">
        <f>HYPERLINK("https://www.sds-group.ru/product/222-413-universalnaya-klemma-3-provodnaya-seraya-0-08-2-5-4-mm-50-sht-up-wago-07-5153/", "Инфо")</f>
        <v>Инфо</v>
      </c>
      <c r="F2006" s="16" t="s">
        <v>39</v>
      </c>
      <c r="G2006" s="15"/>
      <c r="H2006" s="15"/>
      <c r="I2006" s="15"/>
      <c r="J2006" s="22">
        <v>2650</v>
      </c>
      <c r="K2006" s="15"/>
      <c r="L2006" s="17">
        <v>50</v>
      </c>
      <c r="M2006" s="22">
        <v>5000</v>
      </c>
      <c r="N2006" s="17">
        <v>50</v>
      </c>
      <c r="O2006" s="18">
        <v>106.35</v>
      </c>
      <c r="P2006" s="18">
        <v>87.17</v>
      </c>
      <c r="Q2006" s="18">
        <v>90.4</v>
      </c>
      <c r="R2006" s="18">
        <v>74.099999999999994</v>
      </c>
      <c r="S2006" s="18">
        <v>72.319999999999993</v>
      </c>
      <c r="T2006" s="18">
        <v>59.28</v>
      </c>
      <c r="U2006" s="16"/>
      <c r="V2006" s="16"/>
      <c r="W2006" s="16" t="s">
        <v>40</v>
      </c>
      <c r="X2006" s="19">
        <v>5.0000000000000001E-3</v>
      </c>
      <c r="Y2006" s="20">
        <v>1.1E-5</v>
      </c>
      <c r="Z2006" s="21">
        <v>4017332955676</v>
      </c>
    </row>
    <row r="2007" spans="1:26" ht="12" customHeight="1" outlineLevel="4" x14ac:dyDescent="0.2">
      <c r="A2007" s="14" t="s">
        <v>3953</v>
      </c>
      <c r="B2007" s="26" t="s">
        <v>3954</v>
      </c>
      <c r="C2007" s="52"/>
      <c r="D2007" s="55">
        <f t="shared" si="31"/>
        <v>0</v>
      </c>
      <c r="E2007" s="63" t="str">
        <f>HYPERLINK("https://www.sds-group.ru/product/222-415-universalnaya-klemma-5-provodnaya-seraya-0-08-2-5-4-mm-40-sht-up-wago-07-5155/", "Инфо")</f>
        <v>Инфо</v>
      </c>
      <c r="F2007" s="16" t="s">
        <v>39</v>
      </c>
      <c r="G2007" s="15"/>
      <c r="H2007" s="15"/>
      <c r="I2007" s="15"/>
      <c r="J2007" s="22">
        <v>3400</v>
      </c>
      <c r="K2007" s="15"/>
      <c r="L2007" s="17">
        <v>40</v>
      </c>
      <c r="M2007" s="17">
        <v>400</v>
      </c>
      <c r="N2007" s="17">
        <v>40</v>
      </c>
      <c r="O2007" s="18">
        <v>172.26</v>
      </c>
      <c r="P2007" s="18">
        <v>141.19999999999999</v>
      </c>
      <c r="Q2007" s="18">
        <v>146.41999999999999</v>
      </c>
      <c r="R2007" s="18">
        <v>120.02</v>
      </c>
      <c r="S2007" s="18">
        <v>117.14</v>
      </c>
      <c r="T2007" s="18">
        <v>96.02</v>
      </c>
      <c r="U2007" s="16"/>
      <c r="V2007" s="16"/>
      <c r="W2007" s="16" t="s">
        <v>40</v>
      </c>
      <c r="X2007" s="19">
        <v>7.0000000000000001E-3</v>
      </c>
      <c r="Y2007" s="20">
        <v>1.5E-5</v>
      </c>
      <c r="Z2007" s="21">
        <v>4044918805728</v>
      </c>
    </row>
    <row r="2008" spans="1:26" ht="12" customHeight="1" outlineLevel="4" x14ac:dyDescent="0.2">
      <c r="A2008" s="32" t="s">
        <v>3955</v>
      </c>
      <c r="B2008" s="74" t="s">
        <v>3956</v>
      </c>
      <c r="C2008" s="50"/>
      <c r="D2008" s="53">
        <f t="shared" si="31"/>
        <v>0</v>
      </c>
      <c r="E2008" s="60" t="str">
        <f>HYPERLINK("https://www.sds-group.ru/product/2273-208-ekspress-klemma-8-provodnaya-do-2-5-mm-50-sht-up-wago-07-5135/", "Инфо")</f>
        <v>Инфо</v>
      </c>
      <c r="F2008" s="34" t="s">
        <v>39</v>
      </c>
      <c r="G2008" s="33"/>
      <c r="H2008" s="33" t="s">
        <v>40</v>
      </c>
      <c r="I2008" s="33"/>
      <c r="J2008" s="39">
        <v>7300</v>
      </c>
      <c r="K2008" s="33"/>
      <c r="L2008" s="35">
        <v>50</v>
      </c>
      <c r="M2008" s="39">
        <v>6000</v>
      </c>
      <c r="N2008" s="35">
        <v>50</v>
      </c>
      <c r="O2008" s="36">
        <v>53.57</v>
      </c>
      <c r="P2008" s="36">
        <v>43.91</v>
      </c>
      <c r="Q2008" s="36">
        <v>37.5</v>
      </c>
      <c r="R2008" s="36">
        <v>30.74</v>
      </c>
      <c r="S2008" s="36">
        <v>36.43</v>
      </c>
      <c r="T2008" s="36">
        <v>29.86</v>
      </c>
      <c r="U2008" s="34"/>
      <c r="V2008" s="34"/>
      <c r="W2008" s="34"/>
      <c r="X2008" s="37">
        <v>3.0000000000000001E-3</v>
      </c>
      <c r="Y2008" s="38">
        <v>7.9999999999999996E-6</v>
      </c>
      <c r="Z2008" s="21">
        <v>4050821027881</v>
      </c>
    </row>
    <row r="2009" spans="1:26" ht="12.95" customHeight="1" outlineLevel="3" x14ac:dyDescent="0.2">
      <c r="A2009" s="76" t="s">
        <v>3957</v>
      </c>
      <c r="B2009" s="76"/>
      <c r="C2009" s="77"/>
      <c r="D2009" s="58"/>
      <c r="E2009" s="68"/>
      <c r="F2009" s="13"/>
      <c r="G2009" s="13"/>
      <c r="H2009" s="13"/>
      <c r="I2009" s="13"/>
      <c r="J2009" s="13"/>
      <c r="K2009" s="13"/>
      <c r="L2009" s="13"/>
      <c r="M2009" s="13"/>
      <c r="N2009" s="13"/>
      <c r="O2009" s="13"/>
      <c r="P2009" s="13"/>
      <c r="Q2009" s="13"/>
      <c r="R2009" s="13"/>
      <c r="S2009" s="13"/>
      <c r="T2009" s="13"/>
      <c r="U2009" s="13"/>
      <c r="V2009" s="13"/>
      <c r="W2009" s="13"/>
      <c r="X2009" s="13"/>
      <c r="Y2009" s="13"/>
      <c r="Z2009" s="13"/>
    </row>
    <row r="2010" spans="1:26" ht="12" customHeight="1" outlineLevel="4" x14ac:dyDescent="0.2">
      <c r="A2010" s="14" t="s">
        <v>3958</v>
      </c>
      <c r="B2010" s="26" t="s">
        <v>3959</v>
      </c>
      <c r="C2010" s="52"/>
      <c r="D2010" s="55">
        <f t="shared" si="31"/>
        <v>0</v>
      </c>
      <c r="E2010" s="63" t="str">
        <f>HYPERLINK("https://www.sds-group.ru/product/221-412-universalnaya-kompaktnaya-klemma-2-kontaktnaya-do-4-0-mm-20-sht-up-wago-07-5161-20/", "Инфо")</f>
        <v>Инфо</v>
      </c>
      <c r="F2010" s="16" t="s">
        <v>1001</v>
      </c>
      <c r="G2010" s="15"/>
      <c r="H2010" s="15"/>
      <c r="I2010" s="15"/>
      <c r="J2010" s="16" t="s">
        <v>100</v>
      </c>
      <c r="K2010" s="15"/>
      <c r="L2010" s="17">
        <v>1</v>
      </c>
      <c r="M2010" s="17">
        <v>60</v>
      </c>
      <c r="N2010" s="17">
        <v>1</v>
      </c>
      <c r="O2010" s="18">
        <v>1948.92</v>
      </c>
      <c r="P2010" s="18">
        <v>1597.48</v>
      </c>
      <c r="Q2010" s="18">
        <v>1539.65</v>
      </c>
      <c r="R2010" s="18">
        <v>1262.01</v>
      </c>
      <c r="S2010" s="18">
        <v>1325.27</v>
      </c>
      <c r="T2010" s="18">
        <v>1086.29</v>
      </c>
      <c r="U2010" s="16"/>
      <c r="V2010" s="16"/>
      <c r="W2010" s="16" t="s">
        <v>40</v>
      </c>
      <c r="X2010" s="19">
        <v>4.3999999999999997E-2</v>
      </c>
      <c r="Y2010" s="20">
        <v>2.8299999999999999E-4</v>
      </c>
      <c r="Z2010" s="21">
        <v>4601004085596</v>
      </c>
    </row>
    <row r="2011" spans="1:26" ht="12" customHeight="1" outlineLevel="4" x14ac:dyDescent="0.2">
      <c r="A2011" s="14" t="s">
        <v>3960</v>
      </c>
      <c r="B2011" s="26" t="s">
        <v>3961</v>
      </c>
      <c r="C2011" s="52"/>
      <c r="D2011" s="55">
        <f t="shared" si="31"/>
        <v>0</v>
      </c>
      <c r="E2011" s="63" t="str">
        <f>HYPERLINK("https://www.sds-group.ru/product/221-412-universalnaya-kompaktnaya-klemma-2-kontaktnaya-do-4-0-mm-5-sht-up-wago-07-5161-05/", "Инфо")</f>
        <v>Инфо</v>
      </c>
      <c r="F2011" s="16" t="s">
        <v>1001</v>
      </c>
      <c r="G2011" s="15"/>
      <c r="H2011" s="15"/>
      <c r="I2011" s="15"/>
      <c r="J2011" s="16" t="s">
        <v>100</v>
      </c>
      <c r="K2011" s="15"/>
      <c r="L2011" s="17">
        <v>5</v>
      </c>
      <c r="M2011" s="17">
        <v>10</v>
      </c>
      <c r="N2011" s="17">
        <v>5</v>
      </c>
      <c r="O2011" s="18">
        <v>502.21</v>
      </c>
      <c r="P2011" s="18">
        <v>411.65</v>
      </c>
      <c r="Q2011" s="18">
        <v>401.77</v>
      </c>
      <c r="R2011" s="18">
        <v>329.32</v>
      </c>
      <c r="S2011" s="18">
        <v>341.5</v>
      </c>
      <c r="T2011" s="18">
        <v>279.92</v>
      </c>
      <c r="U2011" s="16"/>
      <c r="V2011" s="16"/>
      <c r="W2011" s="16" t="s">
        <v>40</v>
      </c>
      <c r="X2011" s="19">
        <v>1.6E-2</v>
      </c>
      <c r="Y2011" s="20">
        <v>1.45E-4</v>
      </c>
      <c r="Z2011" s="21">
        <v>4601004085589</v>
      </c>
    </row>
    <row r="2012" spans="1:26" ht="12" customHeight="1" outlineLevel="4" x14ac:dyDescent="0.2">
      <c r="A2012" s="14" t="s">
        <v>3962</v>
      </c>
      <c r="B2012" s="26" t="s">
        <v>3963</v>
      </c>
      <c r="C2012" s="52"/>
      <c r="D2012" s="55">
        <f t="shared" si="31"/>
        <v>0</v>
      </c>
      <c r="E2012" s="63" t="str">
        <f>HYPERLINK("https://www.sds-group.ru/product/221-413-universalnaya-kompaktnaya-klemma-3-kontaktnaya-do-4-0-mm-5-sht-up-wago-07-5163-05/", "Инфо")</f>
        <v>Инфо</v>
      </c>
      <c r="F2012" s="16" t="s">
        <v>1001</v>
      </c>
      <c r="G2012" s="15"/>
      <c r="H2012" s="15"/>
      <c r="I2012" s="15"/>
      <c r="J2012" s="16" t="s">
        <v>100</v>
      </c>
      <c r="K2012" s="15"/>
      <c r="L2012" s="17">
        <v>1</v>
      </c>
      <c r="M2012" s="17">
        <v>10</v>
      </c>
      <c r="N2012" s="17">
        <v>1</v>
      </c>
      <c r="O2012" s="18">
        <v>665.95</v>
      </c>
      <c r="P2012" s="18">
        <v>545.86</v>
      </c>
      <c r="Q2012" s="18">
        <v>532.76</v>
      </c>
      <c r="R2012" s="18">
        <v>436.69</v>
      </c>
      <c r="S2012" s="18">
        <v>452.85</v>
      </c>
      <c r="T2012" s="18">
        <v>371.19</v>
      </c>
      <c r="U2012" s="16"/>
      <c r="V2012" s="16"/>
      <c r="W2012" s="16" t="s">
        <v>40</v>
      </c>
      <c r="X2012" s="19">
        <v>0.02</v>
      </c>
      <c r="Y2012" s="20">
        <v>1.3999999999999999E-4</v>
      </c>
      <c r="Z2012" s="21">
        <v>4601004085565</v>
      </c>
    </row>
    <row r="2013" spans="1:26" ht="12" customHeight="1" outlineLevel="4" x14ac:dyDescent="0.2">
      <c r="A2013" s="14" t="s">
        <v>3964</v>
      </c>
      <c r="B2013" s="26" t="s">
        <v>3965</v>
      </c>
      <c r="C2013" s="52"/>
      <c r="D2013" s="55">
        <f t="shared" si="31"/>
        <v>0</v>
      </c>
      <c r="E2013" s="63" t="str">
        <f>HYPERLINK("https://www.sds-group.ru/product/221-415-universalnaya-kompaktnaya-klemma-5-kontaktnaya-do-4-0-mm-5-sht-up-wago-07-5165-05/", "Инфо")</f>
        <v>Инфо</v>
      </c>
      <c r="F2013" s="16" t="s">
        <v>1001</v>
      </c>
      <c r="G2013" s="15"/>
      <c r="H2013" s="15"/>
      <c r="I2013" s="15"/>
      <c r="J2013" s="17">
        <v>20</v>
      </c>
      <c r="K2013" s="15"/>
      <c r="L2013" s="17">
        <v>1</v>
      </c>
      <c r="M2013" s="17">
        <v>10</v>
      </c>
      <c r="N2013" s="17">
        <v>1</v>
      </c>
      <c r="O2013" s="18">
        <v>985.66</v>
      </c>
      <c r="P2013" s="18">
        <v>807.92</v>
      </c>
      <c r="Q2013" s="18">
        <v>788.53</v>
      </c>
      <c r="R2013" s="18">
        <v>646.34</v>
      </c>
      <c r="S2013" s="18">
        <v>670.25</v>
      </c>
      <c r="T2013" s="18">
        <v>549.39</v>
      </c>
      <c r="U2013" s="16"/>
      <c r="V2013" s="16"/>
      <c r="W2013" s="16" t="s">
        <v>40</v>
      </c>
      <c r="X2013" s="19">
        <v>2.8000000000000001E-2</v>
      </c>
      <c r="Y2013" s="20">
        <v>1.5100000000000001E-4</v>
      </c>
      <c r="Z2013" s="21">
        <v>4601004085664</v>
      </c>
    </row>
    <row r="2014" spans="1:26" ht="12" customHeight="1" outlineLevel="4" x14ac:dyDescent="0.2">
      <c r="A2014" s="14" t="s">
        <v>3966</v>
      </c>
      <c r="B2014" s="26" t="s">
        <v>3967</v>
      </c>
      <c r="C2014" s="52"/>
      <c r="D2014" s="55">
        <f t="shared" si="31"/>
        <v>0</v>
      </c>
      <c r="E2014" s="63" t="str">
        <f>HYPERLINK("https://www.sds-group.ru/product/222-412-universalnaya-klemma-2-provodnaya-seraya-0-08-2-5-4-mm-20-sht-up-wago-07-5152-20/", "Инфо")</f>
        <v>Инфо</v>
      </c>
      <c r="F2014" s="16" t="s">
        <v>1001</v>
      </c>
      <c r="G2014" s="15"/>
      <c r="H2014" s="15"/>
      <c r="I2014" s="15"/>
      <c r="J2014" s="16" t="s">
        <v>100</v>
      </c>
      <c r="K2014" s="15"/>
      <c r="L2014" s="17">
        <v>1</v>
      </c>
      <c r="M2014" s="17">
        <v>10</v>
      </c>
      <c r="N2014" s="17">
        <v>1</v>
      </c>
      <c r="O2014" s="18">
        <v>1697.64</v>
      </c>
      <c r="P2014" s="18">
        <v>1391.51</v>
      </c>
      <c r="Q2014" s="18">
        <v>1341.14</v>
      </c>
      <c r="R2014" s="18">
        <v>1099.3</v>
      </c>
      <c r="S2014" s="18">
        <v>1154.4000000000001</v>
      </c>
      <c r="T2014" s="18">
        <v>946.23</v>
      </c>
      <c r="U2014" s="16"/>
      <c r="V2014" s="16"/>
      <c r="W2014" s="16" t="s">
        <v>40</v>
      </c>
      <c r="X2014" s="19">
        <v>7.5999999999999998E-2</v>
      </c>
      <c r="Y2014" s="20">
        <v>3.7399999999999998E-4</v>
      </c>
      <c r="Z2014" s="21">
        <v>4601004085541</v>
      </c>
    </row>
    <row r="2015" spans="1:26" ht="12" customHeight="1" outlineLevel="4" x14ac:dyDescent="0.2">
      <c r="A2015" s="14" t="s">
        <v>3968</v>
      </c>
      <c r="B2015" s="26" t="s">
        <v>3969</v>
      </c>
      <c r="C2015" s="52"/>
      <c r="D2015" s="55">
        <f t="shared" si="31"/>
        <v>0</v>
      </c>
      <c r="E2015" s="63" t="str">
        <f>HYPERLINK("https://www.sds-group.ru/product/2273-203-ekcpress-klemma-3-provodnaya-do-2-5-mm-20-sht-up-wago-07-5132-20/", "Инфо")</f>
        <v>Инфо</v>
      </c>
      <c r="F2015" s="16" t="s">
        <v>1001</v>
      </c>
      <c r="G2015" s="15"/>
      <c r="H2015" s="15"/>
      <c r="I2015" s="15"/>
      <c r="J2015" s="17">
        <v>18</v>
      </c>
      <c r="K2015" s="15"/>
      <c r="L2015" s="17">
        <v>1</v>
      </c>
      <c r="M2015" s="17">
        <v>60</v>
      </c>
      <c r="N2015" s="17">
        <v>1</v>
      </c>
      <c r="O2015" s="18">
        <v>843.69</v>
      </c>
      <c r="P2015" s="18">
        <v>691.55</v>
      </c>
      <c r="Q2015" s="18">
        <v>674.95</v>
      </c>
      <c r="R2015" s="18">
        <v>553.24</v>
      </c>
      <c r="S2015" s="18">
        <v>573.71</v>
      </c>
      <c r="T2015" s="18">
        <v>470.25</v>
      </c>
      <c r="U2015" s="16"/>
      <c r="V2015" s="16"/>
      <c r="W2015" s="16" t="s">
        <v>40</v>
      </c>
      <c r="X2015" s="19">
        <v>2.8000000000000001E-2</v>
      </c>
      <c r="Y2015" s="20">
        <v>1.4300000000000001E-4</v>
      </c>
      <c r="Z2015" s="21">
        <v>4601004085442</v>
      </c>
    </row>
    <row r="2016" spans="1:26" ht="12" customHeight="1" outlineLevel="4" x14ac:dyDescent="0.2">
      <c r="A2016" s="14" t="s">
        <v>3970</v>
      </c>
      <c r="B2016" s="26" t="s">
        <v>3971</v>
      </c>
      <c r="C2016" s="52"/>
      <c r="D2016" s="55">
        <f t="shared" si="31"/>
        <v>0</v>
      </c>
      <c r="E2016" s="63" t="str">
        <f>HYPERLINK("https://www.sds-group.ru/product/2273-203-ekcpress-klemma-3-provodnaya-do-2-5-mm-5-sht-up-wago-07-5132-05/", "Инфо")</f>
        <v>Инфо</v>
      </c>
      <c r="F2016" s="16" t="s">
        <v>1001</v>
      </c>
      <c r="G2016" s="15"/>
      <c r="H2016" s="15"/>
      <c r="I2016" s="15"/>
      <c r="J2016" s="16" t="s">
        <v>100</v>
      </c>
      <c r="K2016" s="15"/>
      <c r="L2016" s="17">
        <v>5</v>
      </c>
      <c r="M2016" s="17">
        <v>60</v>
      </c>
      <c r="N2016" s="17">
        <v>5</v>
      </c>
      <c r="O2016" s="18">
        <v>244.84</v>
      </c>
      <c r="P2016" s="18">
        <v>200.69</v>
      </c>
      <c r="Q2016" s="18">
        <v>208.11</v>
      </c>
      <c r="R2016" s="18">
        <v>170.58</v>
      </c>
      <c r="S2016" s="18">
        <v>166.49</v>
      </c>
      <c r="T2016" s="18">
        <v>136.47</v>
      </c>
      <c r="U2016" s="16"/>
      <c r="V2016" s="16"/>
      <c r="W2016" s="16" t="s">
        <v>40</v>
      </c>
      <c r="X2016" s="19">
        <v>1.2E-2</v>
      </c>
      <c r="Y2016" s="20">
        <v>1.4799999999999999E-4</v>
      </c>
      <c r="Z2016" s="21">
        <v>4601004006560</v>
      </c>
    </row>
    <row r="2017" spans="1:26" ht="12" customHeight="1" outlineLevel="4" x14ac:dyDescent="0.2">
      <c r="A2017" s="14" t="s">
        <v>3972</v>
      </c>
      <c r="B2017" s="26" t="s">
        <v>3973</v>
      </c>
      <c r="C2017" s="52"/>
      <c r="D2017" s="55">
        <f t="shared" si="31"/>
        <v>0</v>
      </c>
      <c r="E2017" s="63" t="str">
        <f>HYPERLINK("https://www.sds-group.ru/product/2273-205-ekcpress-klemma-5-provodnaya-do-2-5-mm-20-sht-up-wago-07-5134-20/", "Инфо")</f>
        <v>Инфо</v>
      </c>
      <c r="F2017" s="16" t="s">
        <v>1001</v>
      </c>
      <c r="G2017" s="15"/>
      <c r="H2017" s="15"/>
      <c r="I2017" s="15"/>
      <c r="J2017" s="16" t="s">
        <v>100</v>
      </c>
      <c r="K2017" s="15"/>
      <c r="L2017" s="17">
        <v>1</v>
      </c>
      <c r="M2017" s="17">
        <v>60</v>
      </c>
      <c r="N2017" s="17">
        <v>1</v>
      </c>
      <c r="O2017" s="18">
        <v>958.25</v>
      </c>
      <c r="P2017" s="18">
        <v>785.45</v>
      </c>
      <c r="Q2017" s="18">
        <v>766.6</v>
      </c>
      <c r="R2017" s="18">
        <v>628.36</v>
      </c>
      <c r="S2017" s="18">
        <v>651.61</v>
      </c>
      <c r="T2017" s="18">
        <v>534.11</v>
      </c>
      <c r="U2017" s="16"/>
      <c r="V2017" s="16"/>
      <c r="W2017" s="16" t="s">
        <v>40</v>
      </c>
      <c r="X2017" s="19">
        <v>4.2000000000000003E-2</v>
      </c>
      <c r="Y2017" s="20">
        <v>2.7099999999999997E-4</v>
      </c>
      <c r="Z2017" s="21">
        <v>4601004085480</v>
      </c>
    </row>
    <row r="2018" spans="1:26" ht="12" customHeight="1" outlineLevel="4" x14ac:dyDescent="0.2">
      <c r="A2018" s="32" t="s">
        <v>3974</v>
      </c>
      <c r="B2018" s="74" t="s">
        <v>3975</v>
      </c>
      <c r="C2018" s="50"/>
      <c r="D2018" s="53">
        <f t="shared" si="31"/>
        <v>0</v>
      </c>
      <c r="E2018" s="60" t="str">
        <f>HYPERLINK("https://www.sds-group.ru/product/2273-248-ekcpress-klemma-s-pastoy-8-provodnaya-do-2-5-mm-6-sht-up-wago-07-5145-06/", "Инфо")</f>
        <v>Инфо</v>
      </c>
      <c r="F2018" s="34" t="s">
        <v>1001</v>
      </c>
      <c r="G2018" s="33"/>
      <c r="H2018" s="33" t="s">
        <v>40</v>
      </c>
      <c r="I2018" s="33"/>
      <c r="J2018" s="35">
        <v>8</v>
      </c>
      <c r="K2018" s="33"/>
      <c r="L2018" s="35">
        <v>10</v>
      </c>
      <c r="M2018" s="35">
        <v>60</v>
      </c>
      <c r="N2018" s="35">
        <v>10</v>
      </c>
      <c r="O2018" s="36">
        <v>502.46</v>
      </c>
      <c r="P2018" s="36">
        <v>411.85</v>
      </c>
      <c r="Q2018" s="36">
        <v>351.72</v>
      </c>
      <c r="R2018" s="36">
        <v>288.3</v>
      </c>
      <c r="S2018" s="36">
        <v>341.67</v>
      </c>
      <c r="T2018" s="36">
        <v>280.06</v>
      </c>
      <c r="U2018" s="34"/>
      <c r="V2018" s="34"/>
      <c r="W2018" s="34"/>
      <c r="X2018" s="37">
        <v>0.03</v>
      </c>
      <c r="Y2018" s="38">
        <v>3.2200000000000002E-4</v>
      </c>
      <c r="Z2018" s="21">
        <v>4601004085411</v>
      </c>
    </row>
    <row r="2019" spans="1:26" ht="12.95" customHeight="1" outlineLevel="2" x14ac:dyDescent="0.2">
      <c r="A2019" s="76" t="s">
        <v>3976</v>
      </c>
      <c r="B2019" s="76"/>
      <c r="C2019" s="77"/>
      <c r="D2019" s="58"/>
      <c r="E2019" s="68"/>
      <c r="F2019" s="13"/>
      <c r="G2019" s="13"/>
      <c r="H2019" s="13"/>
      <c r="I2019" s="13"/>
      <c r="J2019" s="13"/>
      <c r="K2019" s="13"/>
      <c r="L2019" s="13"/>
      <c r="M2019" s="13"/>
      <c r="N2019" s="13"/>
      <c r="O2019" s="13"/>
      <c r="P2019" s="13"/>
      <c r="Q2019" s="13"/>
      <c r="R2019" s="13"/>
      <c r="S2019" s="13"/>
      <c r="T2019" s="13"/>
      <c r="U2019" s="13"/>
      <c r="V2019" s="13"/>
      <c r="W2019" s="13"/>
      <c r="X2019" s="13"/>
      <c r="Y2019" s="13"/>
      <c r="Z2019" s="13"/>
    </row>
    <row r="2020" spans="1:26" ht="12" customHeight="1" outlineLevel="3" x14ac:dyDescent="0.2">
      <c r="A2020" s="14" t="s">
        <v>3977</v>
      </c>
      <c r="B2020" s="26" t="s">
        <v>3978</v>
      </c>
      <c r="C2020" s="52"/>
      <c r="D2020" s="55">
        <f t="shared" si="31"/>
        <v>0</v>
      </c>
      <c r="E2020" s="63" t="str">
        <f>HYPERLINK("https://www.sds-group.ru/product/kabelnyy-konnektor-i-obraznyy-3pin-0-5-1-5mm2-ip68-rexant-07-5960/", "Инфо")</f>
        <v>Инфо</v>
      </c>
      <c r="F2020" s="16" t="s">
        <v>39</v>
      </c>
      <c r="G2020" s="15"/>
      <c r="H2020" s="15"/>
      <c r="I2020" s="15"/>
      <c r="J2020" s="17">
        <v>624</v>
      </c>
      <c r="K2020" s="15" t="s">
        <v>1665</v>
      </c>
      <c r="L2020" s="17">
        <v>1</v>
      </c>
      <c r="M2020" s="17">
        <v>300</v>
      </c>
      <c r="N2020" s="17">
        <v>1</v>
      </c>
      <c r="O2020" s="18">
        <v>470.23</v>
      </c>
      <c r="P2020" s="18">
        <v>385.43</v>
      </c>
      <c r="Q2020" s="18">
        <v>376.18</v>
      </c>
      <c r="R2020" s="18">
        <v>308.33999999999997</v>
      </c>
      <c r="S2020" s="18">
        <v>319.76</v>
      </c>
      <c r="T2020" s="18">
        <v>262.10000000000002</v>
      </c>
      <c r="U2020" s="16"/>
      <c r="V2020" s="16"/>
      <c r="W2020" s="16" t="s">
        <v>40</v>
      </c>
      <c r="X2020" s="19">
        <v>3.5000000000000003E-2</v>
      </c>
      <c r="Y2020" s="20">
        <v>1.9000000000000001E-5</v>
      </c>
      <c r="Z2020" s="21">
        <v>4601004184312</v>
      </c>
    </row>
    <row r="2021" spans="1:26" ht="12" customHeight="1" outlineLevel="3" x14ac:dyDescent="0.2">
      <c r="A2021" s="14" t="s">
        <v>3979</v>
      </c>
      <c r="B2021" s="26" t="s">
        <v>3980</v>
      </c>
      <c r="C2021" s="52"/>
      <c r="D2021" s="55">
        <f t="shared" si="31"/>
        <v>0</v>
      </c>
      <c r="E2021" s="63" t="str">
        <f>HYPERLINK("https://www.sds-group.ru/product/kabelnyy-konnektor-i-obraznyy-3pin-0-5-2-5mm2-ip68-rexant-07-5961/", "Инфо")</f>
        <v>Инфо</v>
      </c>
      <c r="F2021" s="16" t="s">
        <v>39</v>
      </c>
      <c r="G2021" s="15"/>
      <c r="H2021" s="15"/>
      <c r="I2021" s="15"/>
      <c r="J2021" s="17">
        <v>681</v>
      </c>
      <c r="K2021" s="15" t="s">
        <v>2706</v>
      </c>
      <c r="L2021" s="17">
        <v>1</v>
      </c>
      <c r="M2021" s="17">
        <v>300</v>
      </c>
      <c r="N2021" s="17">
        <v>1</v>
      </c>
      <c r="O2021" s="18">
        <v>544.74</v>
      </c>
      <c r="P2021" s="18">
        <v>446.51</v>
      </c>
      <c r="Q2021" s="18">
        <v>435.79</v>
      </c>
      <c r="R2021" s="18">
        <v>357.2</v>
      </c>
      <c r="S2021" s="18">
        <v>370.42</v>
      </c>
      <c r="T2021" s="18">
        <v>303.62</v>
      </c>
      <c r="U2021" s="16"/>
      <c r="V2021" s="16"/>
      <c r="W2021" s="16" t="s">
        <v>40</v>
      </c>
      <c r="X2021" s="19">
        <v>0.06</v>
      </c>
      <c r="Y2021" s="20">
        <v>1.8799999999999999E-4</v>
      </c>
      <c r="Z2021" s="21">
        <v>4601004184305</v>
      </c>
    </row>
    <row r="2022" spans="1:26" ht="12" customHeight="1" outlineLevel="3" x14ac:dyDescent="0.2">
      <c r="A2022" s="14" t="s">
        <v>3981</v>
      </c>
      <c r="B2022" s="26" t="s">
        <v>3982</v>
      </c>
      <c r="C2022" s="52"/>
      <c r="D2022" s="55">
        <f t="shared" si="31"/>
        <v>0</v>
      </c>
      <c r="E2022" s="63" t="str">
        <f>HYPERLINK("https://www.sds-group.ru/product/kabelnyy-konnektor-i-obraznyy-5pin-ip68-rexant-07-5963/", "Инфо")</f>
        <v>Инфо</v>
      </c>
      <c r="F2022" s="16" t="s">
        <v>39</v>
      </c>
      <c r="G2022" s="15"/>
      <c r="H2022" s="15"/>
      <c r="I2022" s="15"/>
      <c r="J2022" s="17">
        <v>647</v>
      </c>
      <c r="K2022" s="15" t="s">
        <v>1650</v>
      </c>
      <c r="L2022" s="17">
        <v>5</v>
      </c>
      <c r="M2022" s="17">
        <v>300</v>
      </c>
      <c r="N2022" s="17">
        <v>5</v>
      </c>
      <c r="O2022" s="18">
        <v>371.6</v>
      </c>
      <c r="P2022" s="18">
        <v>304.58999999999997</v>
      </c>
      <c r="Q2022" s="18">
        <v>297.27999999999997</v>
      </c>
      <c r="R2022" s="18">
        <v>243.67</v>
      </c>
      <c r="S2022" s="18">
        <v>252.69</v>
      </c>
      <c r="T2022" s="18">
        <v>207.12</v>
      </c>
      <c r="U2022" s="16"/>
      <c r="V2022" s="16"/>
      <c r="W2022" s="16" t="s">
        <v>40</v>
      </c>
      <c r="X2022" s="19">
        <v>6.3E-2</v>
      </c>
      <c r="Y2022" s="20">
        <v>2.2800000000000001E-4</v>
      </c>
      <c r="Z2022" s="21">
        <v>4601004184336</v>
      </c>
    </row>
    <row r="2023" spans="1:26" ht="12" customHeight="1" outlineLevel="3" x14ac:dyDescent="0.2">
      <c r="A2023" s="14" t="s">
        <v>3983</v>
      </c>
      <c r="B2023" s="26" t="s">
        <v>3984</v>
      </c>
      <c r="C2023" s="52"/>
      <c r="D2023" s="55">
        <f t="shared" si="31"/>
        <v>0</v>
      </c>
      <c r="E2023" s="63" t="str">
        <f>HYPERLINK("https://www.sds-group.ru/product/kabelnyy-konnektor-t-obraznyy-3pin-0-5-2-5mm2-ip68-rexant-07-5962/", "Инфо")</f>
        <v>Инфо</v>
      </c>
      <c r="F2023" s="16" t="s">
        <v>39</v>
      </c>
      <c r="G2023" s="15"/>
      <c r="H2023" s="15"/>
      <c r="I2023" s="15"/>
      <c r="J2023" s="16" t="s">
        <v>100</v>
      </c>
      <c r="K2023" s="15" t="s">
        <v>1650</v>
      </c>
      <c r="L2023" s="17">
        <v>5</v>
      </c>
      <c r="M2023" s="17">
        <v>120</v>
      </c>
      <c r="N2023" s="17">
        <v>5</v>
      </c>
      <c r="O2023" s="18">
        <v>606.29999999999995</v>
      </c>
      <c r="P2023" s="18">
        <v>496.97</v>
      </c>
      <c r="Q2023" s="18">
        <v>485.04</v>
      </c>
      <c r="R2023" s="18">
        <v>397.57</v>
      </c>
      <c r="S2023" s="18">
        <v>412.28</v>
      </c>
      <c r="T2023" s="18">
        <v>337.93</v>
      </c>
      <c r="U2023" s="16"/>
      <c r="V2023" s="16"/>
      <c r="W2023" s="16" t="s">
        <v>40</v>
      </c>
      <c r="X2023" s="19">
        <v>8.5000000000000006E-2</v>
      </c>
      <c r="Y2023" s="20">
        <v>3.7300000000000001E-4</v>
      </c>
      <c r="Z2023" s="21">
        <v>4601004184329</v>
      </c>
    </row>
    <row r="2024" spans="1:26" ht="12.95" customHeight="1" outlineLevel="2" x14ac:dyDescent="0.2">
      <c r="A2024" s="76" t="s">
        <v>3985</v>
      </c>
      <c r="B2024" s="76"/>
      <c r="C2024" s="77"/>
      <c r="D2024" s="58"/>
      <c r="E2024" s="68"/>
      <c r="F2024" s="13"/>
      <c r="G2024" s="13"/>
      <c r="H2024" s="13"/>
      <c r="I2024" s="13"/>
      <c r="J2024" s="13"/>
      <c r="K2024" s="13"/>
      <c r="L2024" s="13"/>
      <c r="M2024" s="13"/>
      <c r="N2024" s="13"/>
      <c r="O2024" s="13"/>
      <c r="P2024" s="13"/>
      <c r="Q2024" s="13"/>
      <c r="R2024" s="13"/>
      <c r="S2024" s="13"/>
      <c r="T2024" s="13"/>
      <c r="U2024" s="13"/>
      <c r="V2024" s="13"/>
      <c r="W2024" s="13"/>
      <c r="X2024" s="13"/>
      <c r="Y2024" s="13"/>
      <c r="Z2024" s="13"/>
    </row>
    <row r="2025" spans="1:26" ht="12" customHeight="1" outlineLevel="3" x14ac:dyDescent="0.2">
      <c r="A2025" s="14" t="s">
        <v>3986</v>
      </c>
      <c r="B2025" s="26" t="s">
        <v>3987</v>
      </c>
      <c r="C2025" s="52"/>
      <c r="D2025" s="55">
        <f t="shared" si="31"/>
        <v>0</v>
      </c>
      <c r="E2025" s="63" t="str">
        <f>HYPERLINK("https://www.sds-group.ru/product/nabor-vtulochnyh-nakonechnikov-dvoynyh-nshvi-2-2h0-75-mm-2h1-mm-2h1-5-mm-2h2-5-mm-v-bokse-te-08-1930/", "Инфо")</f>
        <v>Инфо</v>
      </c>
      <c r="F2025" s="16" t="s">
        <v>39</v>
      </c>
      <c r="G2025" s="15"/>
      <c r="H2025" s="15"/>
      <c r="I2025" s="15"/>
      <c r="J2025" s="17">
        <v>464</v>
      </c>
      <c r="K2025" s="15" t="s">
        <v>2750</v>
      </c>
      <c r="L2025" s="17">
        <v>1</v>
      </c>
      <c r="M2025" s="17">
        <v>80</v>
      </c>
      <c r="N2025" s="17">
        <v>1</v>
      </c>
      <c r="O2025" s="18">
        <v>836.12</v>
      </c>
      <c r="P2025" s="18">
        <v>685.34</v>
      </c>
      <c r="Q2025" s="18">
        <v>668.9</v>
      </c>
      <c r="R2025" s="18">
        <v>548.28</v>
      </c>
      <c r="S2025" s="18">
        <v>568.55999999999995</v>
      </c>
      <c r="T2025" s="18">
        <v>466.03</v>
      </c>
      <c r="U2025" s="16"/>
      <c r="V2025" s="16"/>
      <c r="W2025" s="16" t="s">
        <v>40</v>
      </c>
      <c r="X2025" s="19">
        <v>8.1000000000000003E-2</v>
      </c>
      <c r="Y2025" s="20">
        <v>4.08E-4</v>
      </c>
      <c r="Z2025" s="21">
        <v>4601004019409</v>
      </c>
    </row>
    <row r="2026" spans="1:26" ht="12" customHeight="1" outlineLevel="3" x14ac:dyDescent="0.2">
      <c r="A2026" s="14" t="s">
        <v>3988</v>
      </c>
      <c r="B2026" s="26" t="s">
        <v>3989</v>
      </c>
      <c r="C2026" s="52"/>
      <c r="D2026" s="55">
        <f t="shared" si="31"/>
        <v>0</v>
      </c>
      <c r="E2026" s="63" t="str">
        <f>HYPERLINK("https://www.sds-group.ru/product/nabor-vtulochnyh-nakonechnikov-nshvi-0-5-mm-0-75-mm-1-mm-1-5-mm-2-5-mm-v-bokse-e-400-rexant-08-1910/", "Инфо")</f>
        <v>Инфо</v>
      </c>
      <c r="F2026" s="16" t="s">
        <v>39</v>
      </c>
      <c r="G2026" s="15"/>
      <c r="H2026" s="15"/>
      <c r="I2026" s="15"/>
      <c r="J2026" s="17">
        <v>584</v>
      </c>
      <c r="K2026" s="15" t="s">
        <v>1650</v>
      </c>
      <c r="L2026" s="17">
        <v>1</v>
      </c>
      <c r="M2026" s="17">
        <v>80</v>
      </c>
      <c r="N2026" s="17">
        <v>1</v>
      </c>
      <c r="O2026" s="18">
        <v>723.72</v>
      </c>
      <c r="P2026" s="18">
        <v>593.21</v>
      </c>
      <c r="Q2026" s="18">
        <v>578.98</v>
      </c>
      <c r="R2026" s="18">
        <v>474.57</v>
      </c>
      <c r="S2026" s="18">
        <v>492.13</v>
      </c>
      <c r="T2026" s="18">
        <v>403.39</v>
      </c>
      <c r="U2026" s="16"/>
      <c r="V2026" s="16"/>
      <c r="W2026" s="16" t="s">
        <v>40</v>
      </c>
      <c r="X2026" s="19">
        <v>0.10100000000000001</v>
      </c>
      <c r="Y2026" s="20">
        <v>3.8299999999999999E-4</v>
      </c>
      <c r="Z2026" s="21">
        <v>4601004019393</v>
      </c>
    </row>
    <row r="2027" spans="1:26" ht="12" customHeight="1" outlineLevel="3" x14ac:dyDescent="0.2">
      <c r="A2027" s="14" t="s">
        <v>3990</v>
      </c>
      <c r="B2027" s="26" t="s">
        <v>3991</v>
      </c>
      <c r="C2027" s="52"/>
      <c r="D2027" s="55">
        <f t="shared" si="31"/>
        <v>0</v>
      </c>
      <c r="E2027" s="63" t="str">
        <f>HYPERLINK("https://www.sds-group.ru/product/nabor-nakonechnikov-i-klemm-universalnyy-nki-nvi-rpip-rpim-it-300-rexant-08-1950/", "Инфо")</f>
        <v>Инфо</v>
      </c>
      <c r="F2027" s="16" t="s">
        <v>39</v>
      </c>
      <c r="G2027" s="15"/>
      <c r="H2027" s="15"/>
      <c r="I2027" s="15"/>
      <c r="J2027" s="17">
        <v>4</v>
      </c>
      <c r="K2027" s="15" t="s">
        <v>210</v>
      </c>
      <c r="L2027" s="17">
        <v>1</v>
      </c>
      <c r="M2027" s="17">
        <v>50</v>
      </c>
      <c r="N2027" s="17">
        <v>1</v>
      </c>
      <c r="O2027" s="18">
        <v>2903.44</v>
      </c>
      <c r="P2027" s="18">
        <v>2379.87</v>
      </c>
      <c r="Q2027" s="18">
        <v>2322.75</v>
      </c>
      <c r="R2027" s="18">
        <v>1903.89</v>
      </c>
      <c r="S2027" s="18">
        <v>1974.34</v>
      </c>
      <c r="T2027" s="18">
        <v>1618.31</v>
      </c>
      <c r="U2027" s="16"/>
      <c r="V2027" s="16"/>
      <c r="W2027" s="16" t="s">
        <v>40</v>
      </c>
      <c r="X2027" s="19">
        <v>0.25600000000000001</v>
      </c>
      <c r="Y2027" s="20">
        <v>1.0020000000000001E-3</v>
      </c>
      <c r="Z2027" s="21">
        <v>4601004019416</v>
      </c>
    </row>
    <row r="2028" spans="1:26" ht="12.95" customHeight="1" outlineLevel="2" x14ac:dyDescent="0.2">
      <c r="A2028" s="76" t="s">
        <v>3992</v>
      </c>
      <c r="B2028" s="76"/>
      <c r="C2028" s="77"/>
      <c r="D2028" s="58"/>
      <c r="E2028" s="68"/>
      <c r="F2028" s="13"/>
      <c r="G2028" s="13"/>
      <c r="H2028" s="13"/>
      <c r="I2028" s="13"/>
      <c r="J2028" s="13"/>
      <c r="K2028" s="13"/>
      <c r="L2028" s="13"/>
      <c r="M2028" s="13"/>
      <c r="N2028" s="13"/>
      <c r="O2028" s="13"/>
      <c r="P2028" s="13"/>
      <c r="Q2028" s="13"/>
      <c r="R2028" s="13"/>
      <c r="S2028" s="13"/>
      <c r="T2028" s="13"/>
      <c r="U2028" s="13"/>
      <c r="V2028" s="13"/>
      <c r="W2028" s="13"/>
      <c r="X2028" s="13"/>
      <c r="Y2028" s="13"/>
      <c r="Z2028" s="13"/>
    </row>
    <row r="2029" spans="1:26" ht="12" customHeight="1" outlineLevel="3" x14ac:dyDescent="0.2">
      <c r="A2029" s="14" t="s">
        <v>3993</v>
      </c>
      <c r="B2029" s="26" t="s">
        <v>3994</v>
      </c>
      <c r="C2029" s="52"/>
      <c r="D2029" s="55">
        <f t="shared" si="31"/>
        <v>0</v>
      </c>
      <c r="E2029" s="63" t="str">
        <f>HYPERLINK("https://www.sds-group.ru/product/soedinitelnyy-kabel-2-kontaktnyy-2pin-germetichnyy-ip67-2h0-35-mm-belyy-rexant-11-9320/", "Инфо")</f>
        <v>Инфо</v>
      </c>
      <c r="F2029" s="16" t="s">
        <v>39</v>
      </c>
      <c r="G2029" s="15"/>
      <c r="H2029" s="15"/>
      <c r="I2029" s="15"/>
      <c r="J2029" s="22">
        <v>1196</v>
      </c>
      <c r="K2029" s="15" t="s">
        <v>998</v>
      </c>
      <c r="L2029" s="17">
        <v>10</v>
      </c>
      <c r="M2029" s="17">
        <v>250</v>
      </c>
      <c r="N2029" s="17">
        <v>10</v>
      </c>
      <c r="O2029" s="18">
        <v>208.63</v>
      </c>
      <c r="P2029" s="18">
        <v>171.01</v>
      </c>
      <c r="Q2029" s="18">
        <v>177.34</v>
      </c>
      <c r="R2029" s="18">
        <v>145.36000000000001</v>
      </c>
      <c r="S2029" s="18">
        <v>141.87</v>
      </c>
      <c r="T2029" s="18">
        <v>116.29</v>
      </c>
      <c r="U2029" s="16"/>
      <c r="V2029" s="16"/>
      <c r="W2029" s="16" t="s">
        <v>40</v>
      </c>
      <c r="X2029" s="19">
        <v>1.4E-2</v>
      </c>
      <c r="Y2029" s="20">
        <v>6.0999999999999999E-5</v>
      </c>
      <c r="Z2029" s="21">
        <v>4601004018044</v>
      </c>
    </row>
    <row r="2030" spans="1:26" ht="12" customHeight="1" outlineLevel="3" x14ac:dyDescent="0.2">
      <c r="A2030" s="14" t="s">
        <v>3995</v>
      </c>
      <c r="B2030" s="26" t="s">
        <v>3996</v>
      </c>
      <c r="C2030" s="52"/>
      <c r="D2030" s="55">
        <f t="shared" si="31"/>
        <v>0</v>
      </c>
      <c r="E2030" s="63" t="str">
        <f>HYPERLINK("https://www.sds-group.ru/product/soedinitelnyy-kabel-2-kontaktnyy-2pin-germetichnyy-ip67-2h1-0mm-belyy-rexant-11-9820/", "Инфо")</f>
        <v>Инфо</v>
      </c>
      <c r="F2030" s="16" t="s">
        <v>39</v>
      </c>
      <c r="G2030" s="15"/>
      <c r="H2030" s="15"/>
      <c r="I2030" s="15"/>
      <c r="J2030" s="22">
        <v>2493</v>
      </c>
      <c r="K2030" s="15" t="s">
        <v>1035</v>
      </c>
      <c r="L2030" s="17">
        <v>10</v>
      </c>
      <c r="M2030" s="17">
        <v>250</v>
      </c>
      <c r="N2030" s="17">
        <v>10</v>
      </c>
      <c r="O2030" s="18">
        <v>417.78</v>
      </c>
      <c r="P2030" s="18">
        <v>342.44</v>
      </c>
      <c r="Q2030" s="18">
        <v>355.11</v>
      </c>
      <c r="R2030" s="18">
        <v>291.07</v>
      </c>
      <c r="S2030" s="18">
        <v>284.08999999999997</v>
      </c>
      <c r="T2030" s="18">
        <v>232.86</v>
      </c>
      <c r="U2030" s="16"/>
      <c r="V2030" s="16"/>
      <c r="W2030" s="16" t="s">
        <v>40</v>
      </c>
      <c r="X2030" s="19">
        <v>4.3999999999999997E-2</v>
      </c>
      <c r="Y2030" s="20">
        <v>1.18E-4</v>
      </c>
      <c r="Z2030" s="21">
        <v>4601004018006</v>
      </c>
    </row>
    <row r="2031" spans="1:26" ht="12" customHeight="1" outlineLevel="3" x14ac:dyDescent="0.2">
      <c r="A2031" s="14" t="s">
        <v>3997</v>
      </c>
      <c r="B2031" s="26" t="s">
        <v>3998</v>
      </c>
      <c r="C2031" s="52"/>
      <c r="D2031" s="55">
        <f t="shared" si="31"/>
        <v>0</v>
      </c>
      <c r="E2031" s="63" t="str">
        <f>HYPERLINK("https://www.sds-group.ru/product/soedinitelnyy-kabel-3-kontaktnyy-3pin-germetichnyy-ip67-3h0-5mm-belyy-rexant-11-9530/", "Инфо")</f>
        <v>Инфо</v>
      </c>
      <c r="F2031" s="16" t="s">
        <v>39</v>
      </c>
      <c r="G2031" s="15"/>
      <c r="H2031" s="15"/>
      <c r="I2031" s="15"/>
      <c r="J2031" s="17">
        <v>708</v>
      </c>
      <c r="K2031" s="15"/>
      <c r="L2031" s="17">
        <v>10</v>
      </c>
      <c r="M2031" s="17">
        <v>250</v>
      </c>
      <c r="N2031" s="17">
        <v>10</v>
      </c>
      <c r="O2031" s="18">
        <v>286.45</v>
      </c>
      <c r="P2031" s="18">
        <v>234.8</v>
      </c>
      <c r="Q2031" s="18">
        <v>243.48</v>
      </c>
      <c r="R2031" s="18">
        <v>199.57</v>
      </c>
      <c r="S2031" s="18">
        <v>194.79</v>
      </c>
      <c r="T2031" s="18">
        <v>159.66</v>
      </c>
      <c r="U2031" s="16"/>
      <c r="V2031" s="16"/>
      <c r="W2031" s="16" t="s">
        <v>40</v>
      </c>
      <c r="X2031" s="19">
        <v>4.2000000000000003E-2</v>
      </c>
      <c r="Y2031" s="20">
        <v>1.3200000000000001E-4</v>
      </c>
      <c r="Z2031" s="21">
        <v>4601004018075</v>
      </c>
    </row>
    <row r="2032" spans="1:26" ht="12" customHeight="1" outlineLevel="3" x14ac:dyDescent="0.2">
      <c r="A2032" s="14" t="s">
        <v>3999</v>
      </c>
      <c r="B2032" s="26" t="s">
        <v>4000</v>
      </c>
      <c r="C2032" s="52"/>
      <c r="D2032" s="55">
        <f t="shared" si="31"/>
        <v>0</v>
      </c>
      <c r="E2032" s="63" t="str">
        <f>HYPERLINK("https://www.sds-group.ru/product/soedinitelnyy-kabel-4-kontaktnyy-4pin-germetichnyy-ip67-4h0-75mm-belyy-rexant-11-9440/", "Инфо")</f>
        <v>Инфо</v>
      </c>
      <c r="F2032" s="16" t="s">
        <v>39</v>
      </c>
      <c r="G2032" s="15"/>
      <c r="H2032" s="15"/>
      <c r="I2032" s="15"/>
      <c r="J2032" s="22">
        <v>2846</v>
      </c>
      <c r="K2032" s="15"/>
      <c r="L2032" s="17">
        <v>10</v>
      </c>
      <c r="M2032" s="17">
        <v>250</v>
      </c>
      <c r="N2032" s="17">
        <v>10</v>
      </c>
      <c r="O2032" s="18">
        <v>209.13</v>
      </c>
      <c r="P2032" s="18">
        <v>171.42</v>
      </c>
      <c r="Q2032" s="18">
        <v>177.76</v>
      </c>
      <c r="R2032" s="18">
        <v>145.69999999999999</v>
      </c>
      <c r="S2032" s="18">
        <v>142.21</v>
      </c>
      <c r="T2032" s="18">
        <v>116.57</v>
      </c>
      <c r="U2032" s="16"/>
      <c r="V2032" s="16"/>
      <c r="W2032" s="16" t="s">
        <v>40</v>
      </c>
      <c r="X2032" s="19">
        <v>4.5999999999999999E-2</v>
      </c>
      <c r="Y2032" s="20">
        <v>1.13E-4</v>
      </c>
      <c r="Z2032" s="21">
        <v>4601004018068</v>
      </c>
    </row>
    <row r="2033" spans="1:26" ht="12" customHeight="1" outlineLevel="3" x14ac:dyDescent="0.2">
      <c r="A2033" s="14" t="s">
        <v>4001</v>
      </c>
      <c r="B2033" s="26" t="s">
        <v>4002</v>
      </c>
      <c r="C2033" s="52"/>
      <c r="D2033" s="55">
        <f t="shared" si="31"/>
        <v>0</v>
      </c>
      <c r="E2033" s="63" t="str">
        <f>HYPERLINK("https://www.sds-group.ru/product/soedinitelnyy-kabel-5-kontaktnyy-5pin-germetichnyy-ip67-5h0-5mm-belyy-rexant-11-9450/", "Инфо")</f>
        <v>Инфо</v>
      </c>
      <c r="F2033" s="16" t="s">
        <v>39</v>
      </c>
      <c r="G2033" s="15"/>
      <c r="H2033" s="15"/>
      <c r="I2033" s="15"/>
      <c r="J2033" s="17">
        <v>465</v>
      </c>
      <c r="K2033" s="15"/>
      <c r="L2033" s="17">
        <v>5</v>
      </c>
      <c r="M2033" s="17">
        <v>250</v>
      </c>
      <c r="N2033" s="17">
        <v>5</v>
      </c>
      <c r="O2033" s="18">
        <v>457.37</v>
      </c>
      <c r="P2033" s="18">
        <v>374.89</v>
      </c>
      <c r="Q2033" s="18">
        <v>388.76</v>
      </c>
      <c r="R2033" s="18">
        <v>318.66000000000003</v>
      </c>
      <c r="S2033" s="18">
        <v>311.01</v>
      </c>
      <c r="T2033" s="18">
        <v>254.93</v>
      </c>
      <c r="U2033" s="16"/>
      <c r="V2033" s="16"/>
      <c r="W2033" s="16" t="s">
        <v>40</v>
      </c>
      <c r="X2033" s="19">
        <v>4.7E-2</v>
      </c>
      <c r="Y2033" s="20">
        <v>1.2400000000000001E-4</v>
      </c>
      <c r="Z2033" s="21">
        <v>4601004018051</v>
      </c>
    </row>
    <row r="2034" spans="1:26" ht="12.95" customHeight="1" outlineLevel="1" x14ac:dyDescent="0.2">
      <c r="A2034" s="78" t="s">
        <v>4003</v>
      </c>
      <c r="B2034" s="78"/>
      <c r="C2034" s="79"/>
      <c r="D2034" s="57"/>
      <c r="E2034" s="67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</row>
    <row r="2035" spans="1:26" ht="12.95" customHeight="1" outlineLevel="2" x14ac:dyDescent="0.2">
      <c r="A2035" s="76" t="s">
        <v>4004</v>
      </c>
      <c r="B2035" s="76"/>
      <c r="C2035" s="77"/>
      <c r="D2035" s="58"/>
      <c r="E2035" s="68"/>
      <c r="F2035" s="13"/>
      <c r="G2035" s="13"/>
      <c r="H2035" s="13"/>
      <c r="I2035" s="13"/>
      <c r="J2035" s="13"/>
      <c r="K2035" s="13"/>
      <c r="L2035" s="13"/>
      <c r="M2035" s="13"/>
      <c r="N2035" s="13"/>
      <c r="O2035" s="13"/>
      <c r="P2035" s="13"/>
      <c r="Q2035" s="13"/>
      <c r="R2035" s="13"/>
      <c r="S2035" s="13"/>
      <c r="T2035" s="13"/>
      <c r="U2035" s="13"/>
      <c r="V2035" s="13"/>
      <c r="W2035" s="13"/>
      <c r="X2035" s="13"/>
      <c r="Y2035" s="13"/>
      <c r="Z2035" s="13"/>
    </row>
    <row r="2036" spans="1:26" ht="12.95" customHeight="1" outlineLevel="3" x14ac:dyDescent="0.2">
      <c r="A2036" s="76" t="s">
        <v>4005</v>
      </c>
      <c r="B2036" s="76"/>
      <c r="C2036" s="77"/>
      <c r="D2036" s="58"/>
      <c r="E2036" s="68"/>
      <c r="F2036" s="13"/>
      <c r="G2036" s="13"/>
      <c r="H2036" s="13"/>
      <c r="I2036" s="13"/>
      <c r="J2036" s="13"/>
      <c r="K2036" s="13"/>
      <c r="L2036" s="13"/>
      <c r="M2036" s="13"/>
      <c r="N2036" s="13"/>
      <c r="O2036" s="13"/>
      <c r="P2036" s="13"/>
      <c r="Q2036" s="13"/>
      <c r="R2036" s="13"/>
      <c r="S2036" s="13"/>
      <c r="T2036" s="13"/>
      <c r="U2036" s="13"/>
      <c r="V2036" s="13"/>
      <c r="W2036" s="13"/>
      <c r="X2036" s="13"/>
      <c r="Y2036" s="13"/>
      <c r="Z2036" s="13"/>
    </row>
    <row r="2037" spans="1:26" ht="12" customHeight="1" outlineLevel="4" x14ac:dyDescent="0.2">
      <c r="A2037" s="14" t="s">
        <v>4006</v>
      </c>
      <c r="B2037" s="26" t="s">
        <v>4007</v>
      </c>
      <c r="C2037" s="52"/>
      <c r="D2037" s="55">
        <f t="shared" si="31"/>
        <v>0</v>
      </c>
      <c r="E2037" s="63" t="str">
        <f>HYPERLINK("https://www.sds-group.ru/product/trubka-termousazhivaemaya-tut-hf-2-1-10-5-prozrachnaya-rexant-21-0009/", "Инфо")</f>
        <v>Инфо</v>
      </c>
      <c r="F2037" s="16" t="s">
        <v>39</v>
      </c>
      <c r="G2037" s="15"/>
      <c r="H2037" s="15"/>
      <c r="I2037" s="15"/>
      <c r="J2037" s="22">
        <v>6450</v>
      </c>
      <c r="K2037" s="15" t="s">
        <v>4008</v>
      </c>
      <c r="L2037" s="17">
        <v>50</v>
      </c>
      <c r="M2037" s="17">
        <v>800</v>
      </c>
      <c r="N2037" s="17">
        <v>50</v>
      </c>
      <c r="O2037" s="18">
        <v>34.08</v>
      </c>
      <c r="P2037" s="18">
        <v>27.93</v>
      </c>
      <c r="Q2037" s="18">
        <v>28.97</v>
      </c>
      <c r="R2037" s="18">
        <v>23.75</v>
      </c>
      <c r="S2037" s="18">
        <v>23.17</v>
      </c>
      <c r="T2037" s="18">
        <v>18.989999999999998</v>
      </c>
      <c r="U2037" s="16"/>
      <c r="V2037" s="16"/>
      <c r="W2037" s="16" t="s">
        <v>40</v>
      </c>
      <c r="X2037" s="19">
        <v>1.2E-2</v>
      </c>
      <c r="Y2037" s="20">
        <v>7.2000000000000002E-5</v>
      </c>
      <c r="Z2037" s="21">
        <v>4601004022546</v>
      </c>
    </row>
    <row r="2038" spans="1:26" ht="12" customHeight="1" outlineLevel="4" x14ac:dyDescent="0.2">
      <c r="A2038" s="14" t="s">
        <v>4009</v>
      </c>
      <c r="B2038" s="26" t="s">
        <v>4010</v>
      </c>
      <c r="C2038" s="52"/>
      <c r="D2038" s="55">
        <f t="shared" si="31"/>
        <v>0</v>
      </c>
      <c r="E2038" s="63" t="str">
        <f>HYPERLINK("https://www.sds-group.ru/product/trubka-termousazhivaemaya-tut-hf-2-1-13-6-5-prozrachnaya-rexant-21-3009/", "Инфо")</f>
        <v>Инфо</v>
      </c>
      <c r="F2038" s="16" t="s">
        <v>39</v>
      </c>
      <c r="G2038" s="15"/>
      <c r="H2038" s="15"/>
      <c r="I2038" s="15"/>
      <c r="J2038" s="22">
        <v>2400</v>
      </c>
      <c r="K2038" s="15"/>
      <c r="L2038" s="17">
        <v>50</v>
      </c>
      <c r="M2038" s="17">
        <v>600</v>
      </c>
      <c r="N2038" s="17">
        <v>50</v>
      </c>
      <c r="O2038" s="18">
        <v>43.63</v>
      </c>
      <c r="P2038" s="18">
        <v>35.76</v>
      </c>
      <c r="Q2038" s="18">
        <v>37.090000000000003</v>
      </c>
      <c r="R2038" s="18">
        <v>30.4</v>
      </c>
      <c r="S2038" s="18">
        <v>29.67</v>
      </c>
      <c r="T2038" s="18">
        <v>24.32</v>
      </c>
      <c r="U2038" s="16"/>
      <c r="V2038" s="16"/>
      <c r="W2038" s="16" t="s">
        <v>40</v>
      </c>
      <c r="X2038" s="19">
        <v>2.1000000000000001E-2</v>
      </c>
      <c r="Y2038" s="20">
        <v>1.1E-4</v>
      </c>
      <c r="Z2038" s="21">
        <v>4601004022515</v>
      </c>
    </row>
    <row r="2039" spans="1:26" ht="12" customHeight="1" outlineLevel="4" x14ac:dyDescent="0.2">
      <c r="A2039" s="14" t="s">
        <v>4011</v>
      </c>
      <c r="B2039" s="26" t="s">
        <v>4012</v>
      </c>
      <c r="C2039" s="52"/>
      <c r="D2039" s="55">
        <f t="shared" si="31"/>
        <v>0</v>
      </c>
      <c r="E2039" s="63" t="str">
        <f>HYPERLINK("https://www.sds-group.ru/product/trubka-termousazhivaemaya-tut-hf-2-1-15-7-5-prozrachnaya-rexant-21-5009/", "Инфо")</f>
        <v>Инфо</v>
      </c>
      <c r="F2039" s="16" t="s">
        <v>39</v>
      </c>
      <c r="G2039" s="15"/>
      <c r="H2039" s="15"/>
      <c r="I2039" s="15"/>
      <c r="J2039" s="16" t="s">
        <v>100</v>
      </c>
      <c r="K2039" s="15" t="s">
        <v>4013</v>
      </c>
      <c r="L2039" s="17">
        <v>50</v>
      </c>
      <c r="M2039" s="17">
        <v>500</v>
      </c>
      <c r="N2039" s="17">
        <v>50</v>
      </c>
      <c r="O2039" s="18">
        <v>63.87</v>
      </c>
      <c r="P2039" s="18">
        <v>52.35</v>
      </c>
      <c r="Q2039" s="18">
        <v>54.29</v>
      </c>
      <c r="R2039" s="18">
        <v>44.5</v>
      </c>
      <c r="S2039" s="18">
        <v>43.43</v>
      </c>
      <c r="T2039" s="18">
        <v>35.6</v>
      </c>
      <c r="U2039" s="16"/>
      <c r="V2039" s="16"/>
      <c r="W2039" s="16" t="s">
        <v>40</v>
      </c>
      <c r="X2039" s="19">
        <v>2.4E-2</v>
      </c>
      <c r="Y2039" s="20">
        <v>1.35E-4</v>
      </c>
      <c r="Z2039" s="21">
        <v>4601004022522</v>
      </c>
    </row>
    <row r="2040" spans="1:26" ht="12" customHeight="1" outlineLevel="4" x14ac:dyDescent="0.2">
      <c r="A2040" s="14" t="s">
        <v>4014</v>
      </c>
      <c r="B2040" s="26" t="s">
        <v>4015</v>
      </c>
      <c r="C2040" s="52"/>
      <c r="D2040" s="55">
        <f t="shared" si="31"/>
        <v>0</v>
      </c>
      <c r="E2040" s="63" t="str">
        <f>HYPERLINK("https://www.sds-group.ru/product/trubka-termousazhivaemaya-tut-hf-2-1-20-10-prozrachnaya-rexant-22-0009/", "Инфо")</f>
        <v>Инфо</v>
      </c>
      <c r="F2040" s="16" t="s">
        <v>39</v>
      </c>
      <c r="G2040" s="15"/>
      <c r="H2040" s="15"/>
      <c r="I2040" s="15"/>
      <c r="J2040" s="22">
        <v>1567</v>
      </c>
      <c r="K2040" s="15" t="s">
        <v>4013</v>
      </c>
      <c r="L2040" s="17">
        <v>10</v>
      </c>
      <c r="M2040" s="17">
        <v>400</v>
      </c>
      <c r="N2040" s="17">
        <v>10</v>
      </c>
      <c r="O2040" s="18">
        <v>99.44</v>
      </c>
      <c r="P2040" s="18">
        <v>81.510000000000005</v>
      </c>
      <c r="Q2040" s="18">
        <v>84.52</v>
      </c>
      <c r="R2040" s="18">
        <v>69.28</v>
      </c>
      <c r="S2040" s="18">
        <v>67.62</v>
      </c>
      <c r="T2040" s="18">
        <v>55.43</v>
      </c>
      <c r="U2040" s="16"/>
      <c r="V2040" s="16"/>
      <c r="W2040" s="16" t="s">
        <v>40</v>
      </c>
      <c r="X2040" s="19">
        <v>2.9000000000000001E-2</v>
      </c>
      <c r="Y2040" s="20">
        <v>8.3999999999999995E-5</v>
      </c>
      <c r="Z2040" s="21">
        <v>4601004023369</v>
      </c>
    </row>
    <row r="2041" spans="1:26" ht="12" customHeight="1" outlineLevel="4" x14ac:dyDescent="0.2">
      <c r="A2041" s="14" t="s">
        <v>4016</v>
      </c>
      <c r="B2041" s="26" t="s">
        <v>4017</v>
      </c>
      <c r="C2041" s="52"/>
      <c r="D2041" s="55">
        <f t="shared" si="31"/>
        <v>0</v>
      </c>
      <c r="E2041" s="63" t="str">
        <f>HYPERLINK("https://www.sds-group.ru/product/trubka-termousazhivaemaya-tut-hf-2-1-25-12-5-prozrachnaya-rexant-22-5009/", "Инфо")</f>
        <v>Инфо</v>
      </c>
      <c r="F2041" s="16" t="s">
        <v>39</v>
      </c>
      <c r="G2041" s="15"/>
      <c r="H2041" s="15"/>
      <c r="I2041" s="15"/>
      <c r="J2041" s="16" t="s">
        <v>100</v>
      </c>
      <c r="K2041" s="15" t="s">
        <v>4013</v>
      </c>
      <c r="L2041" s="17">
        <v>10</v>
      </c>
      <c r="M2041" s="17">
        <v>300</v>
      </c>
      <c r="N2041" s="17">
        <v>10</v>
      </c>
      <c r="O2041" s="18">
        <v>151.79</v>
      </c>
      <c r="P2041" s="18">
        <v>124.42</v>
      </c>
      <c r="Q2041" s="18">
        <v>129.02000000000001</v>
      </c>
      <c r="R2041" s="18">
        <v>105.75</v>
      </c>
      <c r="S2041" s="18">
        <v>103.22</v>
      </c>
      <c r="T2041" s="18">
        <v>84.61</v>
      </c>
      <c r="U2041" s="16"/>
      <c r="V2041" s="16"/>
      <c r="W2041" s="16" t="s">
        <v>40</v>
      </c>
      <c r="X2041" s="19">
        <v>4.9000000000000002E-2</v>
      </c>
      <c r="Y2041" s="20">
        <v>3.2000000000000003E-4</v>
      </c>
      <c r="Z2041" s="21">
        <v>4601004022904</v>
      </c>
    </row>
    <row r="2042" spans="1:26" ht="12" customHeight="1" outlineLevel="4" x14ac:dyDescent="0.2">
      <c r="A2042" s="14" t="s">
        <v>4018</v>
      </c>
      <c r="B2042" s="26" t="s">
        <v>4019</v>
      </c>
      <c r="C2042" s="52"/>
      <c r="D2042" s="55">
        <f t="shared" si="31"/>
        <v>0</v>
      </c>
      <c r="E2042" s="63" t="str">
        <f>HYPERLINK("https://www.sds-group.ru/product/trubka-termousazhivaemaya-tut-hf-2-1-3-5-1-75-prozrachnaya-rexant-20-3509/", "Инфо")</f>
        <v>Инфо</v>
      </c>
      <c r="F2042" s="16" t="s">
        <v>39</v>
      </c>
      <c r="G2042" s="15"/>
      <c r="H2042" s="15"/>
      <c r="I2042" s="15"/>
      <c r="J2042" s="22">
        <v>6100</v>
      </c>
      <c r="K2042" s="15" t="s">
        <v>4020</v>
      </c>
      <c r="L2042" s="17">
        <v>50</v>
      </c>
      <c r="M2042" s="22">
        <v>1000</v>
      </c>
      <c r="N2042" s="17">
        <v>50</v>
      </c>
      <c r="O2042" s="18">
        <v>15.71</v>
      </c>
      <c r="P2042" s="18">
        <v>12.88</v>
      </c>
      <c r="Q2042" s="18">
        <v>13.35</v>
      </c>
      <c r="R2042" s="18">
        <v>10.94</v>
      </c>
      <c r="S2042" s="18">
        <v>10.68</v>
      </c>
      <c r="T2042" s="18">
        <v>8.75</v>
      </c>
      <c r="U2042" s="16"/>
      <c r="V2042" s="16"/>
      <c r="W2042" s="16" t="s">
        <v>40</v>
      </c>
      <c r="X2042" s="19">
        <v>4.0000000000000001E-3</v>
      </c>
      <c r="Y2042" s="20">
        <v>4.0000000000000003E-5</v>
      </c>
      <c r="Z2042" s="21">
        <v>4601004022539</v>
      </c>
    </row>
    <row r="2043" spans="1:26" ht="12" customHeight="1" outlineLevel="4" x14ac:dyDescent="0.2">
      <c r="A2043" s="14" t="s">
        <v>4021</v>
      </c>
      <c r="B2043" s="26" t="s">
        <v>4022</v>
      </c>
      <c r="C2043" s="52"/>
      <c r="D2043" s="55">
        <f t="shared" si="31"/>
        <v>0</v>
      </c>
      <c r="E2043" s="63" t="str">
        <f>HYPERLINK("https://www.sds-group.ru/product/trubka-termousazhivaemaya-tut-hf-2-1-3-1-5-prozrachnaya-rexant-20-3009/", "Инфо")</f>
        <v>Инфо</v>
      </c>
      <c r="F2043" s="16" t="s">
        <v>39</v>
      </c>
      <c r="G2043" s="15"/>
      <c r="H2043" s="15"/>
      <c r="I2043" s="15"/>
      <c r="J2043" s="22">
        <v>10800</v>
      </c>
      <c r="K2043" s="15"/>
      <c r="L2043" s="17">
        <v>50</v>
      </c>
      <c r="M2043" s="22">
        <v>1000</v>
      </c>
      <c r="N2043" s="17">
        <v>50</v>
      </c>
      <c r="O2043" s="18">
        <v>14.54</v>
      </c>
      <c r="P2043" s="18">
        <v>11.92</v>
      </c>
      <c r="Q2043" s="18">
        <v>12.36</v>
      </c>
      <c r="R2043" s="18">
        <v>10.130000000000001</v>
      </c>
      <c r="S2043" s="18">
        <v>9.89</v>
      </c>
      <c r="T2043" s="18">
        <v>8.11</v>
      </c>
      <c r="U2043" s="16"/>
      <c r="V2043" s="16"/>
      <c r="W2043" s="16" t="s">
        <v>40</v>
      </c>
      <c r="X2043" s="19">
        <v>4.0000000000000001E-3</v>
      </c>
      <c r="Y2043" s="20">
        <v>4.8999999999999998E-5</v>
      </c>
      <c r="Z2043" s="21">
        <v>4601004129498</v>
      </c>
    </row>
    <row r="2044" spans="1:26" ht="12" customHeight="1" outlineLevel="4" x14ac:dyDescent="0.2">
      <c r="A2044" s="14" t="s">
        <v>4023</v>
      </c>
      <c r="B2044" s="26" t="s">
        <v>4024</v>
      </c>
      <c r="C2044" s="52"/>
      <c r="D2044" s="55">
        <f t="shared" si="31"/>
        <v>0</v>
      </c>
      <c r="E2044" s="63" t="str">
        <f>HYPERLINK("https://www.sds-group.ru/product/trubka-termousazhivaemaya-tut-hf-2-1-4-2-prozrachnaya-rexant-20-4009/", "Инфо")</f>
        <v>Инфо</v>
      </c>
      <c r="F2044" s="16" t="s">
        <v>39</v>
      </c>
      <c r="G2044" s="15"/>
      <c r="H2044" s="15"/>
      <c r="I2044" s="15"/>
      <c r="J2044" s="22">
        <v>2950</v>
      </c>
      <c r="K2044" s="15" t="s">
        <v>4008</v>
      </c>
      <c r="L2044" s="17">
        <v>50</v>
      </c>
      <c r="M2044" s="22">
        <v>1000</v>
      </c>
      <c r="N2044" s="17">
        <v>50</v>
      </c>
      <c r="O2044" s="18">
        <v>17.52</v>
      </c>
      <c r="P2044" s="18">
        <v>14.36</v>
      </c>
      <c r="Q2044" s="18">
        <v>14.89</v>
      </c>
      <c r="R2044" s="18">
        <v>12.2</v>
      </c>
      <c r="S2044" s="18">
        <v>11.91</v>
      </c>
      <c r="T2044" s="18">
        <v>9.76</v>
      </c>
      <c r="U2044" s="16"/>
      <c r="V2044" s="16"/>
      <c r="W2044" s="16" t="s">
        <v>40</v>
      </c>
      <c r="X2044" s="19">
        <v>5.0000000000000001E-3</v>
      </c>
      <c r="Y2044" s="20">
        <v>5.7000000000000003E-5</v>
      </c>
      <c r="Z2044" s="21">
        <v>4601004129504</v>
      </c>
    </row>
    <row r="2045" spans="1:26" ht="12" customHeight="1" outlineLevel="4" x14ac:dyDescent="0.2">
      <c r="A2045" s="14" t="s">
        <v>4025</v>
      </c>
      <c r="B2045" s="26" t="s">
        <v>4026</v>
      </c>
      <c r="C2045" s="52"/>
      <c r="D2045" s="55">
        <f t="shared" si="31"/>
        <v>0</v>
      </c>
      <c r="E2045" s="63" t="str">
        <f>HYPERLINK("https://www.sds-group.ru/product/trubka-termousazhivaemaya-tut-hf-2-1-5-2-5-prozrachnaya-rexant-20-5009/", "Инфо")</f>
        <v>Инфо</v>
      </c>
      <c r="F2045" s="16" t="s">
        <v>39</v>
      </c>
      <c r="G2045" s="15"/>
      <c r="H2045" s="15"/>
      <c r="I2045" s="15"/>
      <c r="J2045" s="22">
        <v>6500</v>
      </c>
      <c r="K2045" s="15" t="s">
        <v>1272</v>
      </c>
      <c r="L2045" s="17">
        <v>50</v>
      </c>
      <c r="M2045" s="22">
        <v>1500</v>
      </c>
      <c r="N2045" s="17">
        <v>50</v>
      </c>
      <c r="O2045" s="18">
        <v>20.68</v>
      </c>
      <c r="P2045" s="18">
        <v>16.95</v>
      </c>
      <c r="Q2045" s="18">
        <v>17.579999999999998</v>
      </c>
      <c r="R2045" s="18">
        <v>14.41</v>
      </c>
      <c r="S2045" s="18">
        <v>14.06</v>
      </c>
      <c r="T2045" s="18">
        <v>11.52</v>
      </c>
      <c r="U2045" s="16"/>
      <c r="V2045" s="16"/>
      <c r="W2045" s="16" t="s">
        <v>40</v>
      </c>
      <c r="X2045" s="19">
        <v>5.0000000000000001E-3</v>
      </c>
      <c r="Y2045" s="20">
        <v>4.3999999999999999E-5</v>
      </c>
      <c r="Z2045" s="21">
        <v>4601004022508</v>
      </c>
    </row>
    <row r="2046" spans="1:26" ht="12" customHeight="1" outlineLevel="4" x14ac:dyDescent="0.2">
      <c r="A2046" s="14" t="s">
        <v>4027</v>
      </c>
      <c r="B2046" s="26" t="s">
        <v>4028</v>
      </c>
      <c r="C2046" s="52"/>
      <c r="D2046" s="55">
        <f t="shared" si="31"/>
        <v>0</v>
      </c>
      <c r="E2046" s="63" t="str">
        <f>HYPERLINK("https://www.sds-group.ru/product/trubka-termousazhivaemaya-tut-hf-2-1-6-3-prozrachnaya-rexant-20-6009/", "Инфо")</f>
        <v>Инфо</v>
      </c>
      <c r="F2046" s="16" t="s">
        <v>39</v>
      </c>
      <c r="G2046" s="15"/>
      <c r="H2046" s="15"/>
      <c r="I2046" s="15"/>
      <c r="J2046" s="17">
        <v>800</v>
      </c>
      <c r="K2046" s="15" t="s">
        <v>4029</v>
      </c>
      <c r="L2046" s="17">
        <v>50</v>
      </c>
      <c r="M2046" s="22">
        <v>1500</v>
      </c>
      <c r="N2046" s="17">
        <v>50</v>
      </c>
      <c r="O2046" s="18">
        <v>23.81</v>
      </c>
      <c r="P2046" s="18">
        <v>19.52</v>
      </c>
      <c r="Q2046" s="18">
        <v>20.239999999999998</v>
      </c>
      <c r="R2046" s="18">
        <v>16.59</v>
      </c>
      <c r="S2046" s="18">
        <v>16.190000000000001</v>
      </c>
      <c r="T2046" s="18">
        <v>13.27</v>
      </c>
      <c r="U2046" s="16"/>
      <c r="V2046" s="16"/>
      <c r="W2046" s="16" t="s">
        <v>40</v>
      </c>
      <c r="X2046" s="19">
        <v>8.0000000000000002E-3</v>
      </c>
      <c r="Y2046" s="20">
        <v>9.0000000000000006E-5</v>
      </c>
      <c r="Z2046" s="21">
        <v>4601004022492</v>
      </c>
    </row>
    <row r="2047" spans="1:26" ht="12" customHeight="1" outlineLevel="4" x14ac:dyDescent="0.2">
      <c r="A2047" s="14" t="s">
        <v>4030</v>
      </c>
      <c r="B2047" s="26" t="s">
        <v>4031</v>
      </c>
      <c r="C2047" s="52"/>
      <c r="D2047" s="55">
        <f t="shared" si="31"/>
        <v>0</v>
      </c>
      <c r="E2047" s="63" t="str">
        <f>HYPERLINK("https://www.sds-group.ru/product/trubka-termousazhivaemaya-tut-hf-2-1-8-4-prozrachnaya-rexant-20-8009/", "Инфо")</f>
        <v>Инфо</v>
      </c>
      <c r="F2047" s="16" t="s">
        <v>39</v>
      </c>
      <c r="G2047" s="15"/>
      <c r="H2047" s="15"/>
      <c r="I2047" s="15"/>
      <c r="J2047" s="22">
        <v>5850</v>
      </c>
      <c r="K2047" s="15"/>
      <c r="L2047" s="17">
        <v>50</v>
      </c>
      <c r="M2047" s="22">
        <v>1000</v>
      </c>
      <c r="N2047" s="17">
        <v>50</v>
      </c>
      <c r="O2047" s="18">
        <v>26.71</v>
      </c>
      <c r="P2047" s="18">
        <v>21.89</v>
      </c>
      <c r="Q2047" s="18">
        <v>22.7</v>
      </c>
      <c r="R2047" s="18">
        <v>18.61</v>
      </c>
      <c r="S2047" s="18">
        <v>18.16</v>
      </c>
      <c r="T2047" s="18">
        <v>14.89</v>
      </c>
      <c r="U2047" s="16"/>
      <c r="V2047" s="16"/>
      <c r="W2047" s="16" t="s">
        <v>40</v>
      </c>
      <c r="X2047" s="19">
        <v>1.2E-2</v>
      </c>
      <c r="Y2047" s="20">
        <v>6.6000000000000005E-5</v>
      </c>
      <c r="Z2047" s="21">
        <v>4601004129511</v>
      </c>
    </row>
    <row r="2048" spans="1:26" ht="12.95" customHeight="1" outlineLevel="3" x14ac:dyDescent="0.2">
      <c r="A2048" s="76" t="s">
        <v>4032</v>
      </c>
      <c r="B2048" s="76"/>
      <c r="C2048" s="77"/>
      <c r="D2048" s="58"/>
      <c r="E2048" s="68"/>
      <c r="F2048" s="13"/>
      <c r="G2048" s="13"/>
      <c r="H2048" s="13"/>
      <c r="I2048" s="13"/>
      <c r="J2048" s="13"/>
      <c r="K2048" s="13"/>
      <c r="L2048" s="13"/>
      <c r="M2048" s="13"/>
      <c r="N2048" s="13"/>
      <c r="O2048" s="13"/>
      <c r="P2048" s="13"/>
      <c r="Q2048" s="13"/>
      <c r="R2048" s="13"/>
      <c r="S2048" s="13"/>
      <c r="T2048" s="13"/>
      <c r="U2048" s="13"/>
      <c r="V2048" s="13"/>
      <c r="W2048" s="13"/>
      <c r="X2048" s="13"/>
      <c r="Y2048" s="13"/>
      <c r="Z2048" s="13"/>
    </row>
    <row r="2049" spans="1:26" ht="12" customHeight="1" outlineLevel="4" x14ac:dyDescent="0.2">
      <c r="A2049" s="32" t="s">
        <v>4033</v>
      </c>
      <c r="B2049" s="74" t="s">
        <v>4034</v>
      </c>
      <c r="C2049" s="50"/>
      <c r="D2049" s="53">
        <f t="shared" si="31"/>
        <v>0</v>
      </c>
      <c r="E2049" s="60" t="str">
        <f>HYPERLINK("https://www.sds-group.ru/product/trubka-termousazhivaemaya-tut-hf-2-1-10-5-belaya-proconnect-55-1001/", "Инфо")</f>
        <v>Инфо</v>
      </c>
      <c r="F2049" s="34" t="s">
        <v>39</v>
      </c>
      <c r="G2049" s="33"/>
      <c r="H2049" s="33" t="s">
        <v>40</v>
      </c>
      <c r="I2049" s="33"/>
      <c r="J2049" s="39">
        <v>3890</v>
      </c>
      <c r="K2049" s="33"/>
      <c r="L2049" s="35">
        <v>50</v>
      </c>
      <c r="M2049" s="35">
        <v>800</v>
      </c>
      <c r="N2049" s="35">
        <v>50</v>
      </c>
      <c r="O2049" s="36">
        <v>17.88</v>
      </c>
      <c r="P2049" s="36">
        <v>14.66</v>
      </c>
      <c r="Q2049" s="36">
        <v>12.52</v>
      </c>
      <c r="R2049" s="36">
        <v>10.26</v>
      </c>
      <c r="S2049" s="36">
        <v>12.16</v>
      </c>
      <c r="T2049" s="36">
        <v>9.9700000000000006</v>
      </c>
      <c r="U2049" s="34"/>
      <c r="V2049" s="34"/>
      <c r="W2049" s="34"/>
      <c r="X2049" s="37">
        <v>1.2E-2</v>
      </c>
      <c r="Y2049" s="38">
        <v>1E-4</v>
      </c>
      <c r="Z2049" s="21">
        <v>4601004298682</v>
      </c>
    </row>
    <row r="2050" spans="1:26" ht="12" customHeight="1" outlineLevel="4" x14ac:dyDescent="0.2">
      <c r="A2050" s="32" t="s">
        <v>4035</v>
      </c>
      <c r="B2050" s="74" t="s">
        <v>4036</v>
      </c>
      <c r="C2050" s="50"/>
      <c r="D2050" s="53">
        <f t="shared" si="31"/>
        <v>0</v>
      </c>
      <c r="E2050" s="60" t="str">
        <f>HYPERLINK("https://www.sds-group.ru/product/trubka-termousazhivaemaya-tut-hf-2-1-10-5-zheltaya-proconnect-55-1002/", "Инфо")</f>
        <v>Инфо</v>
      </c>
      <c r="F2050" s="34" t="s">
        <v>39</v>
      </c>
      <c r="G2050" s="33"/>
      <c r="H2050" s="33" t="s">
        <v>40</v>
      </c>
      <c r="I2050" s="33"/>
      <c r="J2050" s="39">
        <v>1800</v>
      </c>
      <c r="K2050" s="33"/>
      <c r="L2050" s="35">
        <v>50</v>
      </c>
      <c r="M2050" s="35">
        <v>800</v>
      </c>
      <c r="N2050" s="35">
        <v>50</v>
      </c>
      <c r="O2050" s="36">
        <v>17.63</v>
      </c>
      <c r="P2050" s="36">
        <v>14.45</v>
      </c>
      <c r="Q2050" s="36">
        <v>12.34</v>
      </c>
      <c r="R2050" s="36">
        <v>10.11</v>
      </c>
      <c r="S2050" s="36">
        <v>11.99</v>
      </c>
      <c r="T2050" s="36">
        <v>9.83</v>
      </c>
      <c r="U2050" s="34"/>
      <c r="V2050" s="34"/>
      <c r="W2050" s="34"/>
      <c r="X2050" s="37">
        <v>1.2E-2</v>
      </c>
      <c r="Y2050" s="38">
        <v>1E-4</v>
      </c>
      <c r="Z2050" s="21">
        <v>4601004298699</v>
      </c>
    </row>
    <row r="2051" spans="1:26" ht="12" customHeight="1" outlineLevel="4" x14ac:dyDescent="0.2">
      <c r="A2051" s="32" t="s">
        <v>4037</v>
      </c>
      <c r="B2051" s="74" t="s">
        <v>4038</v>
      </c>
      <c r="C2051" s="50"/>
      <c r="D2051" s="53">
        <f t="shared" si="31"/>
        <v>0</v>
      </c>
      <c r="E2051" s="60" t="str">
        <f>HYPERLINK("https://www.sds-group.ru/product/trubka-termousazhivaemaya-tut-hf-2-1-10-5-zelenaya-proconnect-55-1003/", "Инфо")</f>
        <v>Инфо</v>
      </c>
      <c r="F2051" s="34" t="s">
        <v>39</v>
      </c>
      <c r="G2051" s="33"/>
      <c r="H2051" s="33" t="s">
        <v>40</v>
      </c>
      <c r="I2051" s="33"/>
      <c r="J2051" s="39">
        <v>1200</v>
      </c>
      <c r="K2051" s="33"/>
      <c r="L2051" s="35">
        <v>50</v>
      </c>
      <c r="M2051" s="35">
        <v>800</v>
      </c>
      <c r="N2051" s="35">
        <v>50</v>
      </c>
      <c r="O2051" s="36">
        <v>21.7</v>
      </c>
      <c r="P2051" s="36">
        <v>17.79</v>
      </c>
      <c r="Q2051" s="36">
        <v>15.19</v>
      </c>
      <c r="R2051" s="36">
        <v>12.45</v>
      </c>
      <c r="S2051" s="36">
        <v>14.76</v>
      </c>
      <c r="T2051" s="36">
        <v>12.1</v>
      </c>
      <c r="U2051" s="34"/>
      <c r="V2051" s="34"/>
      <c r="W2051" s="34"/>
      <c r="X2051" s="37">
        <v>1.2E-2</v>
      </c>
      <c r="Y2051" s="38">
        <v>1E-4</v>
      </c>
      <c r="Z2051" s="21">
        <v>4601004298767</v>
      </c>
    </row>
    <row r="2052" spans="1:26" ht="12" customHeight="1" outlineLevel="4" x14ac:dyDescent="0.2">
      <c r="A2052" s="32" t="s">
        <v>4039</v>
      </c>
      <c r="B2052" s="74" t="s">
        <v>4040</v>
      </c>
      <c r="C2052" s="50"/>
      <c r="D2052" s="53">
        <f t="shared" si="31"/>
        <v>0</v>
      </c>
      <c r="E2052" s="60" t="str">
        <f>HYPERLINK("https://www.sds-group.ru/product/trubka-termousazhivaemaya-tut-hf-2-1-10-5-krasnaya-proconnect-55-1004/", "Инфо")</f>
        <v>Инфо</v>
      </c>
      <c r="F2052" s="34" t="s">
        <v>39</v>
      </c>
      <c r="G2052" s="33"/>
      <c r="H2052" s="33" t="s">
        <v>40</v>
      </c>
      <c r="I2052" s="33"/>
      <c r="J2052" s="39">
        <v>5050</v>
      </c>
      <c r="K2052" s="33"/>
      <c r="L2052" s="35">
        <v>50</v>
      </c>
      <c r="M2052" s="35">
        <v>800</v>
      </c>
      <c r="N2052" s="35">
        <v>50</v>
      </c>
      <c r="O2052" s="36">
        <v>13.4</v>
      </c>
      <c r="P2052" s="36">
        <v>10.98</v>
      </c>
      <c r="Q2052" s="36">
        <v>9.3800000000000008</v>
      </c>
      <c r="R2052" s="36">
        <v>7.69</v>
      </c>
      <c r="S2052" s="36">
        <v>9.11</v>
      </c>
      <c r="T2052" s="36">
        <v>7.47</v>
      </c>
      <c r="U2052" s="34"/>
      <c r="V2052" s="34"/>
      <c r="W2052" s="34"/>
      <c r="X2052" s="37">
        <v>1.2E-2</v>
      </c>
      <c r="Y2052" s="38">
        <v>1E-4</v>
      </c>
      <c r="Z2052" s="21">
        <v>4601004298729</v>
      </c>
    </row>
    <row r="2053" spans="1:26" ht="12" customHeight="1" outlineLevel="4" x14ac:dyDescent="0.2">
      <c r="A2053" s="32" t="s">
        <v>4041</v>
      </c>
      <c r="B2053" s="74" t="s">
        <v>4042</v>
      </c>
      <c r="C2053" s="50"/>
      <c r="D2053" s="53">
        <f t="shared" si="31"/>
        <v>0</v>
      </c>
      <c r="E2053" s="60" t="str">
        <f>HYPERLINK("https://www.sds-group.ru/product/trubka-termousazhivaemaya-tut-hf-2-1-10-5-sinyaya-proconnect-55-1005/", "Инфо")</f>
        <v>Инфо</v>
      </c>
      <c r="F2053" s="34" t="s">
        <v>39</v>
      </c>
      <c r="G2053" s="33"/>
      <c r="H2053" s="33" t="s">
        <v>40</v>
      </c>
      <c r="I2053" s="33"/>
      <c r="J2053" s="39">
        <v>3400</v>
      </c>
      <c r="K2053" s="33"/>
      <c r="L2053" s="35">
        <v>50</v>
      </c>
      <c r="M2053" s="35">
        <v>800</v>
      </c>
      <c r="N2053" s="35">
        <v>50</v>
      </c>
      <c r="O2053" s="36">
        <v>13.4</v>
      </c>
      <c r="P2053" s="36">
        <v>10.98</v>
      </c>
      <c r="Q2053" s="36">
        <v>9.3800000000000008</v>
      </c>
      <c r="R2053" s="36">
        <v>7.69</v>
      </c>
      <c r="S2053" s="36">
        <v>9.11</v>
      </c>
      <c r="T2053" s="36">
        <v>7.47</v>
      </c>
      <c r="U2053" s="34"/>
      <c r="V2053" s="34"/>
      <c r="W2053" s="34"/>
      <c r="X2053" s="37">
        <v>1.2E-2</v>
      </c>
      <c r="Y2053" s="38">
        <v>1E-4</v>
      </c>
      <c r="Z2053" s="21">
        <v>4601004298705</v>
      </c>
    </row>
    <row r="2054" spans="1:26" ht="12" customHeight="1" outlineLevel="4" x14ac:dyDescent="0.2">
      <c r="A2054" s="32" t="s">
        <v>4043</v>
      </c>
      <c r="B2054" s="74" t="s">
        <v>4044</v>
      </c>
      <c r="C2054" s="50"/>
      <c r="D2054" s="53">
        <f t="shared" si="31"/>
        <v>0</v>
      </c>
      <c r="E2054" s="60" t="str">
        <f>HYPERLINK("https://www.sds-group.ru/product/trubka-termousazhivaemaya-tut-hf-2-1-10-5-chernaya-proconnect-55-1006/", "Инфо")</f>
        <v>Инфо</v>
      </c>
      <c r="F2054" s="34" t="s">
        <v>39</v>
      </c>
      <c r="G2054" s="33"/>
      <c r="H2054" s="33" t="s">
        <v>40</v>
      </c>
      <c r="I2054" s="33"/>
      <c r="J2054" s="39">
        <v>5950</v>
      </c>
      <c r="K2054" s="33"/>
      <c r="L2054" s="35">
        <v>50</v>
      </c>
      <c r="M2054" s="35">
        <v>800</v>
      </c>
      <c r="N2054" s="35">
        <v>50</v>
      </c>
      <c r="O2054" s="36">
        <v>16.91</v>
      </c>
      <c r="P2054" s="36">
        <v>13.86</v>
      </c>
      <c r="Q2054" s="36">
        <v>11.84</v>
      </c>
      <c r="R2054" s="36">
        <v>9.6999999999999993</v>
      </c>
      <c r="S2054" s="36">
        <v>11.5</v>
      </c>
      <c r="T2054" s="36">
        <v>9.43</v>
      </c>
      <c r="U2054" s="34"/>
      <c r="V2054" s="34"/>
      <c r="W2054" s="34"/>
      <c r="X2054" s="37">
        <v>1.2E-2</v>
      </c>
      <c r="Y2054" s="38">
        <v>1E-4</v>
      </c>
      <c r="Z2054" s="21">
        <v>4601004298613</v>
      </c>
    </row>
    <row r="2055" spans="1:26" ht="12" customHeight="1" outlineLevel="4" x14ac:dyDescent="0.2">
      <c r="A2055" s="32" t="s">
        <v>4045</v>
      </c>
      <c r="B2055" s="74" t="s">
        <v>4046</v>
      </c>
      <c r="C2055" s="50"/>
      <c r="D2055" s="53">
        <f t="shared" si="31"/>
        <v>0</v>
      </c>
      <c r="E2055" s="60" t="str">
        <f>HYPERLINK("https://www.sds-group.ru/product/trubka-termousazhivaemaya-tut-hf-2-1-12-6-belaya-proconnect-55-1201/", "Инфо")</f>
        <v>Инфо</v>
      </c>
      <c r="F2055" s="34" t="s">
        <v>39</v>
      </c>
      <c r="G2055" s="33"/>
      <c r="H2055" s="33" t="s">
        <v>40</v>
      </c>
      <c r="I2055" s="33"/>
      <c r="J2055" s="39">
        <v>2300</v>
      </c>
      <c r="K2055" s="33"/>
      <c r="L2055" s="35">
        <v>50</v>
      </c>
      <c r="M2055" s="35">
        <v>800</v>
      </c>
      <c r="N2055" s="35">
        <v>50</v>
      </c>
      <c r="O2055" s="36">
        <v>19.3</v>
      </c>
      <c r="P2055" s="36">
        <v>15.82</v>
      </c>
      <c r="Q2055" s="36">
        <v>13.51</v>
      </c>
      <c r="R2055" s="36">
        <v>11.07</v>
      </c>
      <c r="S2055" s="36">
        <v>13.12</v>
      </c>
      <c r="T2055" s="36">
        <v>10.75</v>
      </c>
      <c r="U2055" s="34"/>
      <c r="V2055" s="34"/>
      <c r="W2055" s="34"/>
      <c r="X2055" s="37">
        <v>1.2E-2</v>
      </c>
      <c r="Y2055" s="38">
        <v>1.6799999999999999E-4</v>
      </c>
      <c r="Z2055" s="21">
        <v>4601004298859</v>
      </c>
    </row>
    <row r="2056" spans="1:26" ht="12" customHeight="1" outlineLevel="4" x14ac:dyDescent="0.2">
      <c r="A2056" s="32" t="s">
        <v>4047</v>
      </c>
      <c r="B2056" s="74" t="s">
        <v>4048</v>
      </c>
      <c r="C2056" s="50"/>
      <c r="D2056" s="53">
        <f t="shared" si="31"/>
        <v>0</v>
      </c>
      <c r="E2056" s="60" t="str">
        <f>HYPERLINK("https://www.sds-group.ru/product/trubka-termousazhivaemaya-tut-hf-2-1-12-6-zheltaya-proconnect-55-1202/", "Инфо")</f>
        <v>Инфо</v>
      </c>
      <c r="F2056" s="34" t="s">
        <v>39</v>
      </c>
      <c r="G2056" s="33"/>
      <c r="H2056" s="33" t="s">
        <v>40</v>
      </c>
      <c r="I2056" s="33"/>
      <c r="J2056" s="39">
        <v>2800</v>
      </c>
      <c r="K2056" s="33"/>
      <c r="L2056" s="35">
        <v>50</v>
      </c>
      <c r="M2056" s="35">
        <v>800</v>
      </c>
      <c r="N2056" s="35">
        <v>50</v>
      </c>
      <c r="O2056" s="36">
        <v>17.52</v>
      </c>
      <c r="P2056" s="36">
        <v>14.36</v>
      </c>
      <c r="Q2056" s="36">
        <v>12.26</v>
      </c>
      <c r="R2056" s="36">
        <v>10.050000000000001</v>
      </c>
      <c r="S2056" s="36">
        <v>11.91</v>
      </c>
      <c r="T2056" s="36">
        <v>9.76</v>
      </c>
      <c r="U2056" s="34"/>
      <c r="V2056" s="34"/>
      <c r="W2056" s="34"/>
      <c r="X2056" s="37">
        <v>1.2E-2</v>
      </c>
      <c r="Y2056" s="38">
        <v>1.6799999999999999E-4</v>
      </c>
      <c r="Z2056" s="21">
        <v>4601004298750</v>
      </c>
    </row>
    <row r="2057" spans="1:26" ht="12" customHeight="1" outlineLevel="4" x14ac:dyDescent="0.2">
      <c r="A2057" s="32" t="s">
        <v>4049</v>
      </c>
      <c r="B2057" s="74" t="s">
        <v>4050</v>
      </c>
      <c r="C2057" s="50"/>
      <c r="D2057" s="53">
        <f t="shared" ref="D2057:D2120" si="32">C2057*(O2057-O2057*$G$3)</f>
        <v>0</v>
      </c>
      <c r="E2057" s="60" t="str">
        <f>HYPERLINK("https://www.sds-group.ru/product/trubka-termousazhivaemaya-tut-hf-2-1-12-6-zelenaya-proconnect-55-1203/", "Инфо")</f>
        <v>Инфо</v>
      </c>
      <c r="F2057" s="34" t="s">
        <v>39</v>
      </c>
      <c r="G2057" s="33"/>
      <c r="H2057" s="33" t="s">
        <v>40</v>
      </c>
      <c r="I2057" s="33"/>
      <c r="J2057" s="35">
        <v>950</v>
      </c>
      <c r="K2057" s="33"/>
      <c r="L2057" s="35">
        <v>50</v>
      </c>
      <c r="M2057" s="35">
        <v>800</v>
      </c>
      <c r="N2057" s="35">
        <v>50</v>
      </c>
      <c r="O2057" s="36">
        <v>26.52</v>
      </c>
      <c r="P2057" s="36">
        <v>21.74</v>
      </c>
      <c r="Q2057" s="36">
        <v>18.559999999999999</v>
      </c>
      <c r="R2057" s="36">
        <v>15.21</v>
      </c>
      <c r="S2057" s="36">
        <v>18.03</v>
      </c>
      <c r="T2057" s="36">
        <v>14.78</v>
      </c>
      <c r="U2057" s="34"/>
      <c r="V2057" s="34"/>
      <c r="W2057" s="34"/>
      <c r="X2057" s="37">
        <v>1.2E-2</v>
      </c>
      <c r="Y2057" s="38">
        <v>1.6799999999999999E-4</v>
      </c>
      <c r="Z2057" s="21">
        <v>4601004298668</v>
      </c>
    </row>
    <row r="2058" spans="1:26" ht="12" customHeight="1" outlineLevel="4" x14ac:dyDescent="0.2">
      <c r="A2058" s="32" t="s">
        <v>4051</v>
      </c>
      <c r="B2058" s="74" t="s">
        <v>4052</v>
      </c>
      <c r="C2058" s="50"/>
      <c r="D2058" s="53">
        <f t="shared" si="32"/>
        <v>0</v>
      </c>
      <c r="E2058" s="60" t="str">
        <f>HYPERLINK("https://www.sds-group.ru/product/trubka-termousazhivaemaya-tut-hf-2-1-12-6-krasnaya-proconnect-55-1204/", "Инфо")</f>
        <v>Инфо</v>
      </c>
      <c r="F2058" s="34" t="s">
        <v>39</v>
      </c>
      <c r="G2058" s="33"/>
      <c r="H2058" s="33" t="s">
        <v>40</v>
      </c>
      <c r="I2058" s="33"/>
      <c r="J2058" s="39">
        <v>3300</v>
      </c>
      <c r="K2058" s="33"/>
      <c r="L2058" s="35">
        <v>50</v>
      </c>
      <c r="M2058" s="35">
        <v>800</v>
      </c>
      <c r="N2058" s="35">
        <v>50</v>
      </c>
      <c r="O2058" s="36">
        <v>18.14</v>
      </c>
      <c r="P2058" s="36">
        <v>14.87</v>
      </c>
      <c r="Q2058" s="36">
        <v>12.7</v>
      </c>
      <c r="R2058" s="36">
        <v>10.41</v>
      </c>
      <c r="S2058" s="36">
        <v>12.34</v>
      </c>
      <c r="T2058" s="36">
        <v>10.11</v>
      </c>
      <c r="U2058" s="34"/>
      <c r="V2058" s="34"/>
      <c r="W2058" s="34"/>
      <c r="X2058" s="37">
        <v>1.2E-2</v>
      </c>
      <c r="Y2058" s="38">
        <v>1.6799999999999999E-4</v>
      </c>
      <c r="Z2058" s="21">
        <v>4601004298781</v>
      </c>
    </row>
    <row r="2059" spans="1:26" ht="12" customHeight="1" outlineLevel="4" x14ac:dyDescent="0.2">
      <c r="A2059" s="32" t="s">
        <v>4053</v>
      </c>
      <c r="B2059" s="74" t="s">
        <v>4054</v>
      </c>
      <c r="C2059" s="50"/>
      <c r="D2059" s="53">
        <f t="shared" si="32"/>
        <v>0</v>
      </c>
      <c r="E2059" s="60" t="str">
        <f>HYPERLINK("https://www.sds-group.ru/product/trubka-termousazhivaemaya-tut-hf-2-1-12-6-sinyaya-proconnect-55-1205/", "Инфо")</f>
        <v>Инфо</v>
      </c>
      <c r="F2059" s="34" t="s">
        <v>39</v>
      </c>
      <c r="G2059" s="33"/>
      <c r="H2059" s="33" t="s">
        <v>40</v>
      </c>
      <c r="I2059" s="33"/>
      <c r="J2059" s="39">
        <v>2850</v>
      </c>
      <c r="K2059" s="33"/>
      <c r="L2059" s="35">
        <v>50</v>
      </c>
      <c r="M2059" s="35">
        <v>800</v>
      </c>
      <c r="N2059" s="35">
        <v>50</v>
      </c>
      <c r="O2059" s="36">
        <v>18.14</v>
      </c>
      <c r="P2059" s="36">
        <v>14.87</v>
      </c>
      <c r="Q2059" s="36">
        <v>12.7</v>
      </c>
      <c r="R2059" s="36">
        <v>10.41</v>
      </c>
      <c r="S2059" s="36">
        <v>12.34</v>
      </c>
      <c r="T2059" s="36">
        <v>10.11</v>
      </c>
      <c r="U2059" s="34"/>
      <c r="V2059" s="34"/>
      <c r="W2059" s="34"/>
      <c r="X2059" s="37">
        <v>1.2E-2</v>
      </c>
      <c r="Y2059" s="38">
        <v>1.6799999999999999E-4</v>
      </c>
      <c r="Z2059" s="21">
        <v>4601004298866</v>
      </c>
    </row>
    <row r="2060" spans="1:26" ht="12" customHeight="1" outlineLevel="4" x14ac:dyDescent="0.2">
      <c r="A2060" s="32" t="s">
        <v>4055</v>
      </c>
      <c r="B2060" s="74" t="s">
        <v>4056</v>
      </c>
      <c r="C2060" s="50"/>
      <c r="D2060" s="53">
        <f t="shared" si="32"/>
        <v>0</v>
      </c>
      <c r="E2060" s="60" t="str">
        <f>HYPERLINK("https://www.sds-group.ru/product/trubka-termousazhivaemaya-tut-hf-2-1-12-6-chernaya-proconnect-55-1206/", "Инфо")</f>
        <v>Инфо</v>
      </c>
      <c r="F2060" s="34" t="s">
        <v>39</v>
      </c>
      <c r="G2060" s="33"/>
      <c r="H2060" s="33" t="s">
        <v>40</v>
      </c>
      <c r="I2060" s="33"/>
      <c r="J2060" s="39">
        <v>4050</v>
      </c>
      <c r="K2060" s="33"/>
      <c r="L2060" s="35">
        <v>50</v>
      </c>
      <c r="M2060" s="35">
        <v>800</v>
      </c>
      <c r="N2060" s="35">
        <v>50</v>
      </c>
      <c r="O2060" s="36">
        <v>24.19</v>
      </c>
      <c r="P2060" s="36">
        <v>19.829999999999998</v>
      </c>
      <c r="Q2060" s="36">
        <v>16.93</v>
      </c>
      <c r="R2060" s="36">
        <v>13.88</v>
      </c>
      <c r="S2060" s="36">
        <v>16.45</v>
      </c>
      <c r="T2060" s="36">
        <v>13.48</v>
      </c>
      <c r="U2060" s="34"/>
      <c r="V2060" s="34"/>
      <c r="W2060" s="34"/>
      <c r="X2060" s="37">
        <v>1.2E-2</v>
      </c>
      <c r="Y2060" s="38">
        <v>1.6799999999999999E-4</v>
      </c>
      <c r="Z2060" s="21">
        <v>4601004298743</v>
      </c>
    </row>
    <row r="2061" spans="1:26" ht="12" customHeight="1" outlineLevel="4" x14ac:dyDescent="0.2">
      <c r="A2061" s="32" t="s">
        <v>4057</v>
      </c>
      <c r="B2061" s="74" t="s">
        <v>4058</v>
      </c>
      <c r="C2061" s="50"/>
      <c r="D2061" s="53">
        <f t="shared" si="32"/>
        <v>0</v>
      </c>
      <c r="E2061" s="60" t="str">
        <f>HYPERLINK("https://www.sds-group.ru/product/trubka-termousazhivaemaya-tut-hf-2-1-15-7-5-belaya-proconnect-55-1501/", "Инфо")</f>
        <v>Инфо</v>
      </c>
      <c r="F2061" s="34" t="s">
        <v>39</v>
      </c>
      <c r="G2061" s="33"/>
      <c r="H2061" s="33" t="s">
        <v>40</v>
      </c>
      <c r="I2061" s="33"/>
      <c r="J2061" s="39">
        <v>1550</v>
      </c>
      <c r="K2061" s="33"/>
      <c r="L2061" s="35">
        <v>50</v>
      </c>
      <c r="M2061" s="35">
        <v>500</v>
      </c>
      <c r="N2061" s="35">
        <v>50</v>
      </c>
      <c r="O2061" s="36">
        <v>35.57</v>
      </c>
      <c r="P2061" s="36">
        <v>29.16</v>
      </c>
      <c r="Q2061" s="36">
        <v>24.9</v>
      </c>
      <c r="R2061" s="36">
        <v>20.41</v>
      </c>
      <c r="S2061" s="36">
        <v>24.19</v>
      </c>
      <c r="T2061" s="36">
        <v>19.829999999999998</v>
      </c>
      <c r="U2061" s="34"/>
      <c r="V2061" s="34"/>
      <c r="W2061" s="34"/>
      <c r="X2061" s="37">
        <v>2.5000000000000001E-2</v>
      </c>
      <c r="Y2061" s="38">
        <v>1.35E-4</v>
      </c>
      <c r="Z2061" s="21">
        <v>4601004299092</v>
      </c>
    </row>
    <row r="2062" spans="1:26" ht="12" customHeight="1" outlineLevel="4" x14ac:dyDescent="0.2">
      <c r="A2062" s="32" t="s">
        <v>4059</v>
      </c>
      <c r="B2062" s="74" t="s">
        <v>4060</v>
      </c>
      <c r="C2062" s="50"/>
      <c r="D2062" s="53">
        <f t="shared" si="32"/>
        <v>0</v>
      </c>
      <c r="E2062" s="60" t="str">
        <f>HYPERLINK("https://www.sds-group.ru/product/trubka-termousazhivaemaya-tut-hf-2-1-15-7-5-zheltaya-proconnect-55-1502/", "Инфо")</f>
        <v>Инфо</v>
      </c>
      <c r="F2062" s="34" t="s">
        <v>39</v>
      </c>
      <c r="G2062" s="33"/>
      <c r="H2062" s="33" t="s">
        <v>40</v>
      </c>
      <c r="I2062" s="33"/>
      <c r="J2062" s="39">
        <v>1000</v>
      </c>
      <c r="K2062" s="33"/>
      <c r="L2062" s="35">
        <v>50</v>
      </c>
      <c r="M2062" s="35">
        <v>500</v>
      </c>
      <c r="N2062" s="35">
        <v>50</v>
      </c>
      <c r="O2062" s="36">
        <v>33.71</v>
      </c>
      <c r="P2062" s="36">
        <v>27.63</v>
      </c>
      <c r="Q2062" s="36">
        <v>23.6</v>
      </c>
      <c r="R2062" s="36">
        <v>19.34</v>
      </c>
      <c r="S2062" s="36">
        <v>22.92</v>
      </c>
      <c r="T2062" s="36">
        <v>18.79</v>
      </c>
      <c r="U2062" s="34"/>
      <c r="V2062" s="34"/>
      <c r="W2062" s="34"/>
      <c r="X2062" s="37">
        <v>2.5000000000000001E-2</v>
      </c>
      <c r="Y2062" s="38">
        <v>1.35E-4</v>
      </c>
      <c r="Z2062" s="21">
        <v>4601004299108</v>
      </c>
    </row>
    <row r="2063" spans="1:26" ht="12" customHeight="1" outlineLevel="4" x14ac:dyDescent="0.2">
      <c r="A2063" s="32" t="s">
        <v>4061</v>
      </c>
      <c r="B2063" s="74" t="s">
        <v>4062</v>
      </c>
      <c r="C2063" s="50"/>
      <c r="D2063" s="53">
        <f t="shared" si="32"/>
        <v>0</v>
      </c>
      <c r="E2063" s="60" t="str">
        <f>HYPERLINK("https://www.sds-group.ru/product/trubka-termousazhivaemaya-tut-hf-2-1-15-7-5-krasnaya-proconnect-55-1504/", "Инфо")</f>
        <v>Инфо</v>
      </c>
      <c r="F2063" s="34" t="s">
        <v>39</v>
      </c>
      <c r="G2063" s="33"/>
      <c r="H2063" s="33" t="s">
        <v>40</v>
      </c>
      <c r="I2063" s="33"/>
      <c r="J2063" s="35">
        <v>100</v>
      </c>
      <c r="K2063" s="33"/>
      <c r="L2063" s="35">
        <v>50</v>
      </c>
      <c r="M2063" s="35">
        <v>500</v>
      </c>
      <c r="N2063" s="35">
        <v>50</v>
      </c>
      <c r="O2063" s="36">
        <v>48.53</v>
      </c>
      <c r="P2063" s="36">
        <v>39.78</v>
      </c>
      <c r="Q2063" s="36">
        <v>33.97</v>
      </c>
      <c r="R2063" s="36">
        <v>27.84</v>
      </c>
      <c r="S2063" s="36">
        <v>33</v>
      </c>
      <c r="T2063" s="36">
        <v>27.05</v>
      </c>
      <c r="U2063" s="34"/>
      <c r="V2063" s="34"/>
      <c r="W2063" s="34"/>
      <c r="X2063" s="37">
        <v>2.5000000000000001E-2</v>
      </c>
      <c r="Y2063" s="38">
        <v>1.35E-4</v>
      </c>
      <c r="Z2063" s="21">
        <v>4601004299078</v>
      </c>
    </row>
    <row r="2064" spans="1:26" ht="12" customHeight="1" outlineLevel="4" x14ac:dyDescent="0.2">
      <c r="A2064" s="32" t="s">
        <v>4063</v>
      </c>
      <c r="B2064" s="74" t="s">
        <v>4064</v>
      </c>
      <c r="C2064" s="50"/>
      <c r="D2064" s="53">
        <f t="shared" si="32"/>
        <v>0</v>
      </c>
      <c r="E2064" s="60" t="str">
        <f>HYPERLINK("https://www.sds-group.ru/product/trubka-termousazhivaemaya-tut-hf-2-1-15-7-5-sinyaya-proconnect-55-1505/", "Инфо")</f>
        <v>Инфо</v>
      </c>
      <c r="F2064" s="34" t="s">
        <v>39</v>
      </c>
      <c r="G2064" s="33"/>
      <c r="H2064" s="33" t="s">
        <v>40</v>
      </c>
      <c r="I2064" s="33"/>
      <c r="J2064" s="35">
        <v>600</v>
      </c>
      <c r="K2064" s="33"/>
      <c r="L2064" s="35">
        <v>50</v>
      </c>
      <c r="M2064" s="35">
        <v>500</v>
      </c>
      <c r="N2064" s="35">
        <v>50</v>
      </c>
      <c r="O2064" s="36">
        <v>37.340000000000003</v>
      </c>
      <c r="P2064" s="36">
        <v>30.61</v>
      </c>
      <c r="Q2064" s="36">
        <v>26.14</v>
      </c>
      <c r="R2064" s="36">
        <v>21.43</v>
      </c>
      <c r="S2064" s="36">
        <v>25.39</v>
      </c>
      <c r="T2064" s="36">
        <v>20.81</v>
      </c>
      <c r="U2064" s="34"/>
      <c r="V2064" s="34"/>
      <c r="W2064" s="34"/>
      <c r="X2064" s="37">
        <v>2.5000000000000001E-2</v>
      </c>
      <c r="Y2064" s="38">
        <v>1.35E-4</v>
      </c>
      <c r="Z2064" s="21">
        <v>4601004299245</v>
      </c>
    </row>
    <row r="2065" spans="1:26" ht="12" customHeight="1" outlineLevel="4" x14ac:dyDescent="0.2">
      <c r="A2065" s="32" t="s">
        <v>4065</v>
      </c>
      <c r="B2065" s="74" t="s">
        <v>4066</v>
      </c>
      <c r="C2065" s="50"/>
      <c r="D2065" s="53">
        <f t="shared" si="32"/>
        <v>0</v>
      </c>
      <c r="E2065" s="60" t="str">
        <f>HYPERLINK("https://www.sds-group.ru/product/trubka-termousazhivaemaya-tut-hf-2-1-15-7-5-chernaya-proconnect-55-1506/", "Инфо")</f>
        <v>Инфо</v>
      </c>
      <c r="F2065" s="34" t="s">
        <v>39</v>
      </c>
      <c r="G2065" s="33"/>
      <c r="H2065" s="33" t="s">
        <v>40</v>
      </c>
      <c r="I2065" s="33"/>
      <c r="J2065" s="39">
        <v>2450</v>
      </c>
      <c r="K2065" s="33"/>
      <c r="L2065" s="35">
        <v>50</v>
      </c>
      <c r="M2065" s="35">
        <v>500</v>
      </c>
      <c r="N2065" s="35">
        <v>50</v>
      </c>
      <c r="O2065" s="36">
        <v>46.1</v>
      </c>
      <c r="P2065" s="36">
        <v>37.79</v>
      </c>
      <c r="Q2065" s="36">
        <v>32.270000000000003</v>
      </c>
      <c r="R2065" s="36">
        <v>26.45</v>
      </c>
      <c r="S2065" s="36">
        <v>31.35</v>
      </c>
      <c r="T2065" s="36">
        <v>25.7</v>
      </c>
      <c r="U2065" s="34"/>
      <c r="V2065" s="34"/>
      <c r="W2065" s="34"/>
      <c r="X2065" s="37">
        <v>2.5000000000000001E-2</v>
      </c>
      <c r="Y2065" s="38">
        <v>1.35E-4</v>
      </c>
      <c r="Z2065" s="21">
        <v>4601004299221</v>
      </c>
    </row>
    <row r="2066" spans="1:26" ht="12" customHeight="1" outlineLevel="4" x14ac:dyDescent="0.2">
      <c r="A2066" s="32" t="s">
        <v>4067</v>
      </c>
      <c r="B2066" s="74" t="s">
        <v>4068</v>
      </c>
      <c r="C2066" s="50"/>
      <c r="D2066" s="53">
        <f t="shared" si="32"/>
        <v>0</v>
      </c>
      <c r="E2066" s="60" t="str">
        <f>HYPERLINK("https://www.sds-group.ru/product/trubka-termousazhivaemaya-tut-hf-2-1-18-9-belaya-proconnect-55-1801/", "Инфо")</f>
        <v>Инфо</v>
      </c>
      <c r="F2066" s="34" t="s">
        <v>39</v>
      </c>
      <c r="G2066" s="33"/>
      <c r="H2066" s="33" t="s">
        <v>40</v>
      </c>
      <c r="I2066" s="33"/>
      <c r="J2066" s="39">
        <v>1150</v>
      </c>
      <c r="K2066" s="33"/>
      <c r="L2066" s="35">
        <v>50</v>
      </c>
      <c r="M2066" s="35">
        <v>400</v>
      </c>
      <c r="N2066" s="35">
        <v>50</v>
      </c>
      <c r="O2066" s="36">
        <v>39.18</v>
      </c>
      <c r="P2066" s="36">
        <v>32.11</v>
      </c>
      <c r="Q2066" s="36">
        <v>27.43</v>
      </c>
      <c r="R2066" s="36">
        <v>22.48</v>
      </c>
      <c r="S2066" s="36">
        <v>26.64</v>
      </c>
      <c r="T2066" s="36">
        <v>21.84</v>
      </c>
      <c r="U2066" s="34"/>
      <c r="V2066" s="34"/>
      <c r="W2066" s="34"/>
      <c r="X2066" s="37">
        <v>3.1E-2</v>
      </c>
      <c r="Y2066" s="38">
        <v>1.4999999999999999E-4</v>
      </c>
      <c r="Z2066" s="21">
        <v>4601004299214</v>
      </c>
    </row>
    <row r="2067" spans="1:26" ht="12" customHeight="1" outlineLevel="4" x14ac:dyDescent="0.2">
      <c r="A2067" s="32" t="s">
        <v>4069</v>
      </c>
      <c r="B2067" s="74" t="s">
        <v>4070</v>
      </c>
      <c r="C2067" s="50"/>
      <c r="D2067" s="53">
        <f t="shared" si="32"/>
        <v>0</v>
      </c>
      <c r="E2067" s="60" t="str">
        <f>HYPERLINK("https://www.sds-group.ru/product/trubka-termousazhivaemaya-tut-hf-2-1-18-9-zheltaya-proconnect-55-1802/", "Инфо")</f>
        <v>Инфо</v>
      </c>
      <c r="F2067" s="34" t="s">
        <v>39</v>
      </c>
      <c r="G2067" s="33"/>
      <c r="H2067" s="33" t="s">
        <v>40</v>
      </c>
      <c r="I2067" s="33"/>
      <c r="J2067" s="35">
        <v>200</v>
      </c>
      <c r="K2067" s="33"/>
      <c r="L2067" s="35">
        <v>50</v>
      </c>
      <c r="M2067" s="35">
        <v>400</v>
      </c>
      <c r="N2067" s="35">
        <v>50</v>
      </c>
      <c r="O2067" s="36">
        <v>63.29</v>
      </c>
      <c r="P2067" s="36">
        <v>51.88</v>
      </c>
      <c r="Q2067" s="36">
        <v>44.3</v>
      </c>
      <c r="R2067" s="36">
        <v>36.31</v>
      </c>
      <c r="S2067" s="36">
        <v>43.04</v>
      </c>
      <c r="T2067" s="36">
        <v>35.28</v>
      </c>
      <c r="U2067" s="34"/>
      <c r="V2067" s="34"/>
      <c r="W2067" s="34"/>
      <c r="X2067" s="37">
        <v>3.1E-2</v>
      </c>
      <c r="Y2067" s="38">
        <v>1.4999999999999999E-4</v>
      </c>
      <c r="Z2067" s="21">
        <v>4601004299238</v>
      </c>
    </row>
    <row r="2068" spans="1:26" ht="12" customHeight="1" outlineLevel="4" x14ac:dyDescent="0.2">
      <c r="A2068" s="32" t="s">
        <v>4071</v>
      </c>
      <c r="B2068" s="74" t="s">
        <v>4072</v>
      </c>
      <c r="C2068" s="50"/>
      <c r="D2068" s="53">
        <f t="shared" si="32"/>
        <v>0</v>
      </c>
      <c r="E2068" s="60" t="str">
        <f>HYPERLINK("https://www.sds-group.ru/product/trubka-termousazhivaemaya-tut-hf-2-1-18-9-zelenaya-proconnect-55-1803/", "Инфо")</f>
        <v>Инфо</v>
      </c>
      <c r="F2068" s="34" t="s">
        <v>39</v>
      </c>
      <c r="G2068" s="33"/>
      <c r="H2068" s="33" t="s">
        <v>40</v>
      </c>
      <c r="I2068" s="33"/>
      <c r="J2068" s="35">
        <v>150</v>
      </c>
      <c r="K2068" s="33"/>
      <c r="L2068" s="35">
        <v>50</v>
      </c>
      <c r="M2068" s="35">
        <v>400</v>
      </c>
      <c r="N2068" s="35">
        <v>50</v>
      </c>
      <c r="O2068" s="36">
        <v>70.59</v>
      </c>
      <c r="P2068" s="36">
        <v>57.86</v>
      </c>
      <c r="Q2068" s="36">
        <v>49.41</v>
      </c>
      <c r="R2068" s="36">
        <v>40.5</v>
      </c>
      <c r="S2068" s="36">
        <v>48</v>
      </c>
      <c r="T2068" s="36">
        <v>39.340000000000003</v>
      </c>
      <c r="U2068" s="34"/>
      <c r="V2068" s="34"/>
      <c r="W2068" s="34"/>
      <c r="X2068" s="37">
        <v>3.1E-2</v>
      </c>
      <c r="Y2068" s="38">
        <v>1.4999999999999999E-4</v>
      </c>
      <c r="Z2068" s="21">
        <v>4601004299207</v>
      </c>
    </row>
    <row r="2069" spans="1:26" ht="12" customHeight="1" outlineLevel="4" x14ac:dyDescent="0.2">
      <c r="A2069" s="32" t="s">
        <v>4073</v>
      </c>
      <c r="B2069" s="74" t="s">
        <v>4074</v>
      </c>
      <c r="C2069" s="50"/>
      <c r="D2069" s="53">
        <f t="shared" si="32"/>
        <v>0</v>
      </c>
      <c r="E2069" s="60" t="str">
        <f>HYPERLINK("https://www.sds-group.ru/product/trubka-termousazhivaemaya-tut-hf-2-1-18-9-krasnaya-proconnect-55-1804/", "Инфо")</f>
        <v>Инфо</v>
      </c>
      <c r="F2069" s="34" t="s">
        <v>39</v>
      </c>
      <c r="G2069" s="33"/>
      <c r="H2069" s="33" t="s">
        <v>40</v>
      </c>
      <c r="I2069" s="33"/>
      <c r="J2069" s="35">
        <v>350</v>
      </c>
      <c r="K2069" s="33"/>
      <c r="L2069" s="35">
        <v>50</v>
      </c>
      <c r="M2069" s="35">
        <v>400</v>
      </c>
      <c r="N2069" s="35">
        <v>50</v>
      </c>
      <c r="O2069" s="36">
        <v>66.81</v>
      </c>
      <c r="P2069" s="36">
        <v>54.76</v>
      </c>
      <c r="Q2069" s="36">
        <v>46.77</v>
      </c>
      <c r="R2069" s="36">
        <v>38.340000000000003</v>
      </c>
      <c r="S2069" s="36">
        <v>45.43</v>
      </c>
      <c r="T2069" s="36">
        <v>37.24</v>
      </c>
      <c r="U2069" s="34"/>
      <c r="V2069" s="34"/>
      <c r="W2069" s="34"/>
      <c r="X2069" s="37">
        <v>3.1E-2</v>
      </c>
      <c r="Y2069" s="38">
        <v>1.4999999999999999E-4</v>
      </c>
      <c r="Z2069" s="21">
        <v>4601004299184</v>
      </c>
    </row>
    <row r="2070" spans="1:26" ht="12" customHeight="1" outlineLevel="4" x14ac:dyDescent="0.2">
      <c r="A2070" s="32" t="s">
        <v>4075</v>
      </c>
      <c r="B2070" s="74" t="s">
        <v>4076</v>
      </c>
      <c r="C2070" s="50"/>
      <c r="D2070" s="53">
        <f t="shared" si="32"/>
        <v>0</v>
      </c>
      <c r="E2070" s="60" t="str">
        <f>HYPERLINK("https://www.sds-group.ru/product/trubka-termousazhivaemaya-tut-hf-2-1-18-9-sinyaya-proconnect-55-1805/", "Инфо")</f>
        <v>Инфо</v>
      </c>
      <c r="F2070" s="34" t="s">
        <v>39</v>
      </c>
      <c r="G2070" s="33"/>
      <c r="H2070" s="33" t="s">
        <v>40</v>
      </c>
      <c r="I2070" s="33"/>
      <c r="J2070" s="39">
        <v>1300</v>
      </c>
      <c r="K2070" s="33"/>
      <c r="L2070" s="35">
        <v>50</v>
      </c>
      <c r="M2070" s="35">
        <v>400</v>
      </c>
      <c r="N2070" s="35">
        <v>50</v>
      </c>
      <c r="O2070" s="36">
        <v>39.18</v>
      </c>
      <c r="P2070" s="36">
        <v>32.11</v>
      </c>
      <c r="Q2070" s="36">
        <v>27.43</v>
      </c>
      <c r="R2070" s="36">
        <v>22.48</v>
      </c>
      <c r="S2070" s="36">
        <v>26.64</v>
      </c>
      <c r="T2070" s="36">
        <v>21.84</v>
      </c>
      <c r="U2070" s="34"/>
      <c r="V2070" s="34"/>
      <c r="W2070" s="34"/>
      <c r="X2070" s="37">
        <v>3.1E-2</v>
      </c>
      <c r="Y2070" s="38">
        <v>1.4999999999999999E-4</v>
      </c>
      <c r="Z2070" s="21">
        <v>4601004299191</v>
      </c>
    </row>
    <row r="2071" spans="1:26" ht="12" customHeight="1" outlineLevel="4" x14ac:dyDescent="0.2">
      <c r="A2071" s="32" t="s">
        <v>4077</v>
      </c>
      <c r="B2071" s="74" t="s">
        <v>4078</v>
      </c>
      <c r="C2071" s="50"/>
      <c r="D2071" s="53">
        <f t="shared" si="32"/>
        <v>0</v>
      </c>
      <c r="E2071" s="60" t="str">
        <f>HYPERLINK("https://www.sds-group.ru/product/trubka-termousazhivaemaya-tut-hf-2-1-18-9-chernaya-proconnect-55-1806/", "Инфо")</f>
        <v>Инфо</v>
      </c>
      <c r="F2071" s="34" t="s">
        <v>39</v>
      </c>
      <c r="G2071" s="33"/>
      <c r="H2071" s="33" t="s">
        <v>40</v>
      </c>
      <c r="I2071" s="33"/>
      <c r="J2071" s="35">
        <v>900</v>
      </c>
      <c r="K2071" s="33"/>
      <c r="L2071" s="35">
        <v>50</v>
      </c>
      <c r="M2071" s="35">
        <v>400</v>
      </c>
      <c r="N2071" s="35">
        <v>50</v>
      </c>
      <c r="O2071" s="36">
        <v>60.48</v>
      </c>
      <c r="P2071" s="36">
        <v>49.57</v>
      </c>
      <c r="Q2071" s="36">
        <v>42.34</v>
      </c>
      <c r="R2071" s="36">
        <v>34.700000000000003</v>
      </c>
      <c r="S2071" s="36">
        <v>41.13</v>
      </c>
      <c r="T2071" s="36">
        <v>33.71</v>
      </c>
      <c r="U2071" s="34"/>
      <c r="V2071" s="34"/>
      <c r="W2071" s="34"/>
      <c r="X2071" s="37">
        <v>3.1E-2</v>
      </c>
      <c r="Y2071" s="38">
        <v>1.4999999999999999E-4</v>
      </c>
      <c r="Z2071" s="21">
        <v>4601004299177</v>
      </c>
    </row>
    <row r="2072" spans="1:26" ht="12" customHeight="1" outlineLevel="4" x14ac:dyDescent="0.2">
      <c r="A2072" s="32" t="s">
        <v>4079</v>
      </c>
      <c r="B2072" s="74" t="s">
        <v>4080</v>
      </c>
      <c r="C2072" s="50"/>
      <c r="D2072" s="53">
        <f t="shared" si="32"/>
        <v>0</v>
      </c>
      <c r="E2072" s="60" t="str">
        <f>HYPERLINK("https://www.sds-group.ru/product/trubka-termousazhivaemaya-tut-hf-2-1-2-1-zelenaya-proconnect-55-0203/", "Инфо")</f>
        <v>Инфо</v>
      </c>
      <c r="F2072" s="34" t="s">
        <v>39</v>
      </c>
      <c r="G2072" s="33"/>
      <c r="H2072" s="33" t="s">
        <v>40</v>
      </c>
      <c r="I2072" s="33"/>
      <c r="J2072" s="39">
        <v>1700</v>
      </c>
      <c r="K2072" s="33"/>
      <c r="L2072" s="35">
        <v>50</v>
      </c>
      <c r="M2072" s="39">
        <v>4000</v>
      </c>
      <c r="N2072" s="35">
        <v>50</v>
      </c>
      <c r="O2072" s="36">
        <v>7.92</v>
      </c>
      <c r="P2072" s="36">
        <v>6.49</v>
      </c>
      <c r="Q2072" s="36">
        <v>5.54</v>
      </c>
      <c r="R2072" s="36">
        <v>4.54</v>
      </c>
      <c r="S2072" s="36">
        <v>5.39</v>
      </c>
      <c r="T2072" s="36">
        <v>4.42</v>
      </c>
      <c r="U2072" s="34"/>
      <c r="V2072" s="34"/>
      <c r="W2072" s="34"/>
      <c r="X2072" s="37">
        <v>4.0000000000000001E-3</v>
      </c>
      <c r="Y2072" s="38">
        <v>1.5E-5</v>
      </c>
      <c r="Z2072" s="21">
        <v>4601004298545</v>
      </c>
    </row>
    <row r="2073" spans="1:26" ht="12" customHeight="1" outlineLevel="4" x14ac:dyDescent="0.2">
      <c r="A2073" s="32" t="s">
        <v>4081</v>
      </c>
      <c r="B2073" s="74" t="s">
        <v>4082</v>
      </c>
      <c r="C2073" s="50"/>
      <c r="D2073" s="53">
        <f t="shared" si="32"/>
        <v>0</v>
      </c>
      <c r="E2073" s="60" t="str">
        <f>HYPERLINK("https://www.sds-group.ru/product/trubka-termousazhivaemaya-tut-hf-2-1-2-1-krasnaya-proconnect-55-0204/", "Инфо")</f>
        <v>Инфо</v>
      </c>
      <c r="F2073" s="34" t="s">
        <v>39</v>
      </c>
      <c r="G2073" s="33"/>
      <c r="H2073" s="33" t="s">
        <v>40</v>
      </c>
      <c r="I2073" s="33"/>
      <c r="J2073" s="39">
        <v>2550</v>
      </c>
      <c r="K2073" s="33"/>
      <c r="L2073" s="35">
        <v>50</v>
      </c>
      <c r="M2073" s="39">
        <v>4000</v>
      </c>
      <c r="N2073" s="35">
        <v>50</v>
      </c>
      <c r="O2073" s="36">
        <v>8.5500000000000007</v>
      </c>
      <c r="P2073" s="36">
        <v>7.01</v>
      </c>
      <c r="Q2073" s="36">
        <v>5.99</v>
      </c>
      <c r="R2073" s="36">
        <v>4.91</v>
      </c>
      <c r="S2073" s="36">
        <v>5.81</v>
      </c>
      <c r="T2073" s="36">
        <v>4.76</v>
      </c>
      <c r="U2073" s="34"/>
      <c r="V2073" s="34"/>
      <c r="W2073" s="34"/>
      <c r="X2073" s="37">
        <v>4.0000000000000001E-3</v>
      </c>
      <c r="Y2073" s="38">
        <v>1.5E-5</v>
      </c>
      <c r="Z2073" s="21">
        <v>4601004298477</v>
      </c>
    </row>
    <row r="2074" spans="1:26" ht="12" customHeight="1" outlineLevel="4" x14ac:dyDescent="0.2">
      <c r="A2074" s="32" t="s">
        <v>4083</v>
      </c>
      <c r="B2074" s="74" t="s">
        <v>4084</v>
      </c>
      <c r="C2074" s="50"/>
      <c r="D2074" s="53">
        <f t="shared" si="32"/>
        <v>0</v>
      </c>
      <c r="E2074" s="60" t="str">
        <f>HYPERLINK("https://www.sds-group.ru/product/trubka-termousazhivaemaya-tut-hf-2-1-2-1-chernaya-proconnect-55-0206/", "Инфо")</f>
        <v>Инфо</v>
      </c>
      <c r="F2074" s="34" t="s">
        <v>39</v>
      </c>
      <c r="G2074" s="33"/>
      <c r="H2074" s="33" t="s">
        <v>40</v>
      </c>
      <c r="I2074" s="33"/>
      <c r="J2074" s="39">
        <v>14700</v>
      </c>
      <c r="K2074" s="33"/>
      <c r="L2074" s="35">
        <v>50</v>
      </c>
      <c r="M2074" s="39">
        <v>4000</v>
      </c>
      <c r="N2074" s="35">
        <v>50</v>
      </c>
      <c r="O2074" s="36">
        <v>4.79</v>
      </c>
      <c r="P2074" s="36">
        <v>3.93</v>
      </c>
      <c r="Q2074" s="36">
        <v>3.35</v>
      </c>
      <c r="R2074" s="36">
        <v>2.75</v>
      </c>
      <c r="S2074" s="36">
        <v>3.26</v>
      </c>
      <c r="T2074" s="36">
        <v>2.67</v>
      </c>
      <c r="U2074" s="34"/>
      <c r="V2074" s="34"/>
      <c r="W2074" s="34"/>
      <c r="X2074" s="37">
        <v>4.0000000000000001E-3</v>
      </c>
      <c r="Y2074" s="38">
        <v>1.5E-5</v>
      </c>
      <c r="Z2074" s="21">
        <v>4601004298521</v>
      </c>
    </row>
    <row r="2075" spans="1:26" ht="12" customHeight="1" outlineLevel="4" x14ac:dyDescent="0.2">
      <c r="A2075" s="32" t="s">
        <v>4085</v>
      </c>
      <c r="B2075" s="74" t="s">
        <v>4086</v>
      </c>
      <c r="C2075" s="50"/>
      <c r="D2075" s="53">
        <f t="shared" si="32"/>
        <v>0</v>
      </c>
      <c r="E2075" s="60" t="str">
        <f>HYPERLINK("https://www.sds-group.ru/product/trubka-termousazhivaemaya-tut-hf-2-1-20-10-zheltaya-proconnect-55-2002/", "Инфо")</f>
        <v>Инфо</v>
      </c>
      <c r="F2075" s="34" t="s">
        <v>39</v>
      </c>
      <c r="G2075" s="33"/>
      <c r="H2075" s="33" t="s">
        <v>40</v>
      </c>
      <c r="I2075" s="33"/>
      <c r="J2075" s="35">
        <v>30</v>
      </c>
      <c r="K2075" s="33"/>
      <c r="L2075" s="35">
        <v>10</v>
      </c>
      <c r="M2075" s="35">
        <v>400</v>
      </c>
      <c r="N2075" s="35">
        <v>10</v>
      </c>
      <c r="O2075" s="36">
        <v>55.4</v>
      </c>
      <c r="P2075" s="36">
        <v>45.41</v>
      </c>
      <c r="Q2075" s="36">
        <v>38.78</v>
      </c>
      <c r="R2075" s="36">
        <v>31.79</v>
      </c>
      <c r="S2075" s="36">
        <v>37.67</v>
      </c>
      <c r="T2075" s="36">
        <v>30.88</v>
      </c>
      <c r="U2075" s="34"/>
      <c r="V2075" s="34"/>
      <c r="W2075" s="34"/>
      <c r="X2075" s="37">
        <v>2.9000000000000001E-2</v>
      </c>
      <c r="Y2075" s="38">
        <v>4.0000000000000002E-4</v>
      </c>
      <c r="Z2075" s="21">
        <v>4601004299290</v>
      </c>
    </row>
    <row r="2076" spans="1:26" ht="12" customHeight="1" outlineLevel="4" x14ac:dyDescent="0.2">
      <c r="A2076" s="32" t="s">
        <v>4087</v>
      </c>
      <c r="B2076" s="74" t="s">
        <v>4088</v>
      </c>
      <c r="C2076" s="50"/>
      <c r="D2076" s="53">
        <f t="shared" si="32"/>
        <v>0</v>
      </c>
      <c r="E2076" s="60" t="str">
        <f>HYPERLINK("https://www.sds-group.ru/product/trubka-termousazhivaemaya-tut-hf-2-1-20-10-sinyaya-proconnect-55-2005/", "Инфо")</f>
        <v>Инфо</v>
      </c>
      <c r="F2076" s="34" t="s">
        <v>39</v>
      </c>
      <c r="G2076" s="33"/>
      <c r="H2076" s="33" t="s">
        <v>40</v>
      </c>
      <c r="I2076" s="33"/>
      <c r="J2076" s="39">
        <v>1130</v>
      </c>
      <c r="K2076" s="33"/>
      <c r="L2076" s="35">
        <v>10</v>
      </c>
      <c r="M2076" s="35">
        <v>400</v>
      </c>
      <c r="N2076" s="35">
        <v>10</v>
      </c>
      <c r="O2076" s="36">
        <v>38.270000000000003</v>
      </c>
      <c r="P2076" s="36">
        <v>31.37</v>
      </c>
      <c r="Q2076" s="36">
        <v>26.79</v>
      </c>
      <c r="R2076" s="36">
        <v>21.96</v>
      </c>
      <c r="S2076" s="36">
        <v>26.02</v>
      </c>
      <c r="T2076" s="36">
        <v>21.33</v>
      </c>
      <c r="U2076" s="34"/>
      <c r="V2076" s="34"/>
      <c r="W2076" s="34"/>
      <c r="X2076" s="37">
        <v>2.9000000000000001E-2</v>
      </c>
      <c r="Y2076" s="38">
        <v>4.0000000000000002E-4</v>
      </c>
      <c r="Z2076" s="21">
        <v>4601004299498</v>
      </c>
    </row>
    <row r="2077" spans="1:26" ht="12" customHeight="1" outlineLevel="4" x14ac:dyDescent="0.2">
      <c r="A2077" s="32" t="s">
        <v>4089</v>
      </c>
      <c r="B2077" s="74" t="s">
        <v>4090</v>
      </c>
      <c r="C2077" s="50"/>
      <c r="D2077" s="53">
        <f t="shared" si="32"/>
        <v>0</v>
      </c>
      <c r="E2077" s="60" t="str">
        <f>HYPERLINK("https://www.sds-group.ru/product/trubka-termousazhivaemaya-tut-hf-2-1-20-10-chernaya-proconnect-55-2006/", "Инфо")</f>
        <v>Инфо</v>
      </c>
      <c r="F2077" s="34" t="s">
        <v>39</v>
      </c>
      <c r="G2077" s="33"/>
      <c r="H2077" s="33" t="s">
        <v>40</v>
      </c>
      <c r="I2077" s="33"/>
      <c r="J2077" s="35">
        <v>50</v>
      </c>
      <c r="K2077" s="33"/>
      <c r="L2077" s="35">
        <v>10</v>
      </c>
      <c r="M2077" s="35">
        <v>300</v>
      </c>
      <c r="N2077" s="35">
        <v>10</v>
      </c>
      <c r="O2077" s="36">
        <v>64.34</v>
      </c>
      <c r="P2077" s="36">
        <v>52.74</v>
      </c>
      <c r="Q2077" s="36">
        <v>45.04</v>
      </c>
      <c r="R2077" s="36">
        <v>36.92</v>
      </c>
      <c r="S2077" s="36">
        <v>43.75</v>
      </c>
      <c r="T2077" s="36">
        <v>35.86</v>
      </c>
      <c r="U2077" s="34"/>
      <c r="V2077" s="34"/>
      <c r="W2077" s="34"/>
      <c r="X2077" s="37">
        <v>2.9000000000000001E-2</v>
      </c>
      <c r="Y2077" s="38">
        <v>4.0000000000000002E-4</v>
      </c>
      <c r="Z2077" s="21">
        <v>4601004299283</v>
      </c>
    </row>
    <row r="2078" spans="1:26" ht="12" customHeight="1" outlineLevel="4" x14ac:dyDescent="0.2">
      <c r="A2078" s="32" t="s">
        <v>4091</v>
      </c>
      <c r="B2078" s="74" t="s">
        <v>4092</v>
      </c>
      <c r="C2078" s="50"/>
      <c r="D2078" s="53">
        <f t="shared" si="32"/>
        <v>0</v>
      </c>
      <c r="E2078" s="60" t="str">
        <f>HYPERLINK("https://www.sds-group.ru/product/trubka-termousazhivaemaya-tut-hf-2-1-25-12-5-zelenaya-proconnect-55-2503/", "Инфо")</f>
        <v>Инфо</v>
      </c>
      <c r="F2078" s="34" t="s">
        <v>39</v>
      </c>
      <c r="G2078" s="33"/>
      <c r="H2078" s="33" t="s">
        <v>40</v>
      </c>
      <c r="I2078" s="33"/>
      <c r="J2078" s="35">
        <v>190</v>
      </c>
      <c r="K2078" s="33"/>
      <c r="L2078" s="35">
        <v>10</v>
      </c>
      <c r="M2078" s="35">
        <v>300</v>
      </c>
      <c r="N2078" s="35">
        <v>10</v>
      </c>
      <c r="O2078" s="36">
        <v>85.15</v>
      </c>
      <c r="P2078" s="36">
        <v>69.8</v>
      </c>
      <c r="Q2078" s="36">
        <v>59.61</v>
      </c>
      <c r="R2078" s="36">
        <v>48.86</v>
      </c>
      <c r="S2078" s="36">
        <v>57.9</v>
      </c>
      <c r="T2078" s="36">
        <v>47.46</v>
      </c>
      <c r="U2078" s="34"/>
      <c r="V2078" s="34"/>
      <c r="W2078" s="34"/>
      <c r="X2078" s="37">
        <v>0.04</v>
      </c>
      <c r="Y2078" s="38">
        <v>5.9999999999999995E-4</v>
      </c>
      <c r="Z2078" s="21">
        <v>4601004299368</v>
      </c>
    </row>
    <row r="2079" spans="1:26" ht="12" customHeight="1" outlineLevel="4" x14ac:dyDescent="0.2">
      <c r="A2079" s="32" t="s">
        <v>4093</v>
      </c>
      <c r="B2079" s="74" t="s">
        <v>4094</v>
      </c>
      <c r="C2079" s="50"/>
      <c r="D2079" s="53">
        <f t="shared" si="32"/>
        <v>0</v>
      </c>
      <c r="E2079" s="60" t="str">
        <f>HYPERLINK("https://www.sds-group.ru/product/trubka-termousazhivaemaya-tut-hf-2-1-3-1-5-belaya-proconnect-55-0301/", "Инфо")</f>
        <v>Инфо</v>
      </c>
      <c r="F2079" s="34" t="s">
        <v>39</v>
      </c>
      <c r="G2079" s="33"/>
      <c r="H2079" s="33" t="s">
        <v>40</v>
      </c>
      <c r="I2079" s="33"/>
      <c r="J2079" s="39">
        <v>2350</v>
      </c>
      <c r="K2079" s="33"/>
      <c r="L2079" s="35">
        <v>50</v>
      </c>
      <c r="M2079" s="39">
        <v>1500</v>
      </c>
      <c r="N2079" s="35">
        <v>50</v>
      </c>
      <c r="O2079" s="36">
        <v>11.45</v>
      </c>
      <c r="P2079" s="36">
        <v>9.39</v>
      </c>
      <c r="Q2079" s="36">
        <v>8.02</v>
      </c>
      <c r="R2079" s="36">
        <v>6.57</v>
      </c>
      <c r="S2079" s="36">
        <v>7.79</v>
      </c>
      <c r="T2079" s="36">
        <v>6.39</v>
      </c>
      <c r="U2079" s="34"/>
      <c r="V2079" s="34"/>
      <c r="W2079" s="34"/>
      <c r="X2079" s="37">
        <v>6.0000000000000001E-3</v>
      </c>
      <c r="Y2079" s="38">
        <v>2.9E-5</v>
      </c>
      <c r="Z2079" s="21">
        <v>4601004299054</v>
      </c>
    </row>
    <row r="2080" spans="1:26" ht="12" customHeight="1" outlineLevel="4" x14ac:dyDescent="0.2">
      <c r="A2080" s="32" t="s">
        <v>4095</v>
      </c>
      <c r="B2080" s="74" t="s">
        <v>4096</v>
      </c>
      <c r="C2080" s="50"/>
      <c r="D2080" s="53">
        <f t="shared" si="32"/>
        <v>0</v>
      </c>
      <c r="E2080" s="60" t="str">
        <f>HYPERLINK("https://www.sds-group.ru/product/trubka-termousazhivaemaya-tut-hf-2-1-30-15-belaya-proconnect-55-3001/", "Инфо")</f>
        <v>Инфо</v>
      </c>
      <c r="F2080" s="34" t="s">
        <v>39</v>
      </c>
      <c r="G2080" s="33"/>
      <c r="H2080" s="33" t="s">
        <v>40</v>
      </c>
      <c r="I2080" s="33"/>
      <c r="J2080" s="35">
        <v>400</v>
      </c>
      <c r="K2080" s="33"/>
      <c r="L2080" s="35">
        <v>10</v>
      </c>
      <c r="M2080" s="35">
        <v>250</v>
      </c>
      <c r="N2080" s="35">
        <v>10</v>
      </c>
      <c r="O2080" s="36">
        <v>85.3</v>
      </c>
      <c r="P2080" s="36">
        <v>69.92</v>
      </c>
      <c r="Q2080" s="36">
        <v>59.71</v>
      </c>
      <c r="R2080" s="36">
        <v>48.94</v>
      </c>
      <c r="S2080" s="36">
        <v>58</v>
      </c>
      <c r="T2080" s="36">
        <v>47.54</v>
      </c>
      <c r="U2080" s="34"/>
      <c r="V2080" s="34"/>
      <c r="W2080" s="34"/>
      <c r="X2080" s="37">
        <v>5.8000000000000003E-2</v>
      </c>
      <c r="Y2080" s="38">
        <v>5.9999999999999995E-4</v>
      </c>
      <c r="Z2080" s="21">
        <v>4601004299429</v>
      </c>
    </row>
    <row r="2081" spans="1:26" ht="12" customHeight="1" outlineLevel="4" x14ac:dyDescent="0.2">
      <c r="A2081" s="32" t="s">
        <v>4097</v>
      </c>
      <c r="B2081" s="74" t="s">
        <v>4098</v>
      </c>
      <c r="C2081" s="50"/>
      <c r="D2081" s="53">
        <f t="shared" si="32"/>
        <v>0</v>
      </c>
      <c r="E2081" s="60" t="str">
        <f>HYPERLINK("https://www.sds-group.ru/product/trubka-termousazhivaemaya-tut-hf-2-1-30-15-krasnaya-proconnect-55-3004/", "Инфо")</f>
        <v>Инфо</v>
      </c>
      <c r="F2081" s="34" t="s">
        <v>39</v>
      </c>
      <c r="G2081" s="33"/>
      <c r="H2081" s="33" t="s">
        <v>40</v>
      </c>
      <c r="I2081" s="33"/>
      <c r="J2081" s="35">
        <v>320</v>
      </c>
      <c r="K2081" s="33"/>
      <c r="L2081" s="35">
        <v>10</v>
      </c>
      <c r="M2081" s="35">
        <v>250</v>
      </c>
      <c r="N2081" s="35">
        <v>10</v>
      </c>
      <c r="O2081" s="36">
        <v>100.51</v>
      </c>
      <c r="P2081" s="36">
        <v>82.39</v>
      </c>
      <c r="Q2081" s="36">
        <v>70.36</v>
      </c>
      <c r="R2081" s="36">
        <v>57.67</v>
      </c>
      <c r="S2081" s="36">
        <v>68.349999999999994</v>
      </c>
      <c r="T2081" s="36">
        <v>56.02</v>
      </c>
      <c r="U2081" s="34"/>
      <c r="V2081" s="34"/>
      <c r="W2081" s="34"/>
      <c r="X2081" s="37">
        <v>5.8000000000000003E-2</v>
      </c>
      <c r="Y2081" s="38">
        <v>5.9999999999999995E-4</v>
      </c>
      <c r="Z2081" s="21">
        <v>4601004299412</v>
      </c>
    </row>
    <row r="2082" spans="1:26" ht="12" customHeight="1" outlineLevel="4" x14ac:dyDescent="0.2">
      <c r="A2082" s="32" t="s">
        <v>4099</v>
      </c>
      <c r="B2082" s="74" t="s">
        <v>4100</v>
      </c>
      <c r="C2082" s="50"/>
      <c r="D2082" s="53">
        <f t="shared" si="32"/>
        <v>0</v>
      </c>
      <c r="E2082" s="60" t="str">
        <f>HYPERLINK("https://www.sds-group.ru/product/trubka-termousazhivaemaya-tut-hf-2-1-4-2-zelenaya-proconnect-55-0403/", "Инфо")</f>
        <v>Инфо</v>
      </c>
      <c r="F2082" s="34" t="s">
        <v>39</v>
      </c>
      <c r="G2082" s="33"/>
      <c r="H2082" s="33" t="s">
        <v>40</v>
      </c>
      <c r="I2082" s="33"/>
      <c r="J2082" s="39">
        <v>1940</v>
      </c>
      <c r="K2082" s="33"/>
      <c r="L2082" s="35">
        <v>50</v>
      </c>
      <c r="M2082" s="39">
        <v>2000</v>
      </c>
      <c r="N2082" s="35">
        <v>50</v>
      </c>
      <c r="O2082" s="36">
        <v>12.6</v>
      </c>
      <c r="P2082" s="36">
        <v>10.33</v>
      </c>
      <c r="Q2082" s="36">
        <v>8.82</v>
      </c>
      <c r="R2082" s="36">
        <v>7.23</v>
      </c>
      <c r="S2082" s="36">
        <v>8.57</v>
      </c>
      <c r="T2082" s="36">
        <v>7.02</v>
      </c>
      <c r="U2082" s="34"/>
      <c r="V2082" s="34"/>
      <c r="W2082" s="34"/>
      <c r="X2082" s="37">
        <v>7.0000000000000001E-3</v>
      </c>
      <c r="Y2082" s="38">
        <v>3.6000000000000001E-5</v>
      </c>
      <c r="Z2082" s="21">
        <v>4601004298514</v>
      </c>
    </row>
    <row r="2083" spans="1:26" ht="12" customHeight="1" outlineLevel="4" x14ac:dyDescent="0.2">
      <c r="A2083" s="32" t="s">
        <v>4101</v>
      </c>
      <c r="B2083" s="74" t="s">
        <v>4102</v>
      </c>
      <c r="C2083" s="50"/>
      <c r="D2083" s="53">
        <f t="shared" si="32"/>
        <v>0</v>
      </c>
      <c r="E2083" s="60" t="str">
        <f>HYPERLINK("https://www.sds-group.ru/product/trubka-termousazhivaemaya-tut-hf-2-1-4-2-chernaya-proconnect-55-0406/", "Инфо")</f>
        <v>Инфо</v>
      </c>
      <c r="F2083" s="34" t="s">
        <v>39</v>
      </c>
      <c r="G2083" s="33"/>
      <c r="H2083" s="33" t="s">
        <v>40</v>
      </c>
      <c r="I2083" s="33"/>
      <c r="J2083" s="39">
        <v>13300</v>
      </c>
      <c r="K2083" s="33"/>
      <c r="L2083" s="35">
        <v>50</v>
      </c>
      <c r="M2083" s="39">
        <v>2000</v>
      </c>
      <c r="N2083" s="35">
        <v>50</v>
      </c>
      <c r="O2083" s="36">
        <v>10.62</v>
      </c>
      <c r="P2083" s="36">
        <v>8.6999999999999993</v>
      </c>
      <c r="Q2083" s="36">
        <v>7.43</v>
      </c>
      <c r="R2083" s="36">
        <v>6.09</v>
      </c>
      <c r="S2083" s="36">
        <v>7.22</v>
      </c>
      <c r="T2083" s="36">
        <v>5.92</v>
      </c>
      <c r="U2083" s="34"/>
      <c r="V2083" s="34"/>
      <c r="W2083" s="34"/>
      <c r="X2083" s="37">
        <v>6.0000000000000001E-3</v>
      </c>
      <c r="Y2083" s="38">
        <v>4.5000000000000003E-5</v>
      </c>
      <c r="Z2083" s="21">
        <v>4601004298620</v>
      </c>
    </row>
    <row r="2084" spans="1:26" ht="12" customHeight="1" outlineLevel="4" x14ac:dyDescent="0.2">
      <c r="A2084" s="32" t="s">
        <v>4103</v>
      </c>
      <c r="B2084" s="74" t="s">
        <v>4104</v>
      </c>
      <c r="C2084" s="50"/>
      <c r="D2084" s="53">
        <f t="shared" si="32"/>
        <v>0</v>
      </c>
      <c r="E2084" s="60" t="str">
        <f>HYPERLINK("https://www.sds-group.ru/product/trubka-termousazhivaemaya-tut-hf-2-1-40-20-belaya-proconnect-55-4001/", "Инфо")</f>
        <v>Инфо</v>
      </c>
      <c r="F2084" s="34" t="s">
        <v>39</v>
      </c>
      <c r="G2084" s="33"/>
      <c r="H2084" s="33" t="s">
        <v>40</v>
      </c>
      <c r="I2084" s="33"/>
      <c r="J2084" s="35">
        <v>10</v>
      </c>
      <c r="K2084" s="33"/>
      <c r="L2084" s="35">
        <v>10</v>
      </c>
      <c r="M2084" s="35">
        <v>200</v>
      </c>
      <c r="N2084" s="35">
        <v>10</v>
      </c>
      <c r="O2084" s="36">
        <v>182.97</v>
      </c>
      <c r="P2084" s="36">
        <v>149.97999999999999</v>
      </c>
      <c r="Q2084" s="36">
        <v>128.08000000000001</v>
      </c>
      <c r="R2084" s="36">
        <v>104.98</v>
      </c>
      <c r="S2084" s="36">
        <v>124.42</v>
      </c>
      <c r="T2084" s="36">
        <v>101.98</v>
      </c>
      <c r="U2084" s="34"/>
      <c r="V2084" s="34"/>
      <c r="W2084" s="34"/>
      <c r="X2084" s="37">
        <v>6.8000000000000005E-2</v>
      </c>
      <c r="Y2084" s="38">
        <v>3.6000000000000002E-4</v>
      </c>
      <c r="Z2084" s="21">
        <v>4601004299450</v>
      </c>
    </row>
    <row r="2085" spans="1:26" ht="12" customHeight="1" outlineLevel="4" x14ac:dyDescent="0.2">
      <c r="A2085" s="32" t="s">
        <v>4105</v>
      </c>
      <c r="B2085" s="74" t="s">
        <v>4106</v>
      </c>
      <c r="C2085" s="50"/>
      <c r="D2085" s="53">
        <f t="shared" si="32"/>
        <v>0</v>
      </c>
      <c r="E2085" s="60" t="str">
        <f>HYPERLINK("https://www.sds-group.ru/product/trubka-termousazhivaemaya-tut-hf-2-1-40-20-chernaya-proconnect-55-4006/", "Инфо")</f>
        <v>Инфо</v>
      </c>
      <c r="F2085" s="34" t="s">
        <v>39</v>
      </c>
      <c r="G2085" s="33"/>
      <c r="H2085" s="33" t="s">
        <v>40</v>
      </c>
      <c r="I2085" s="33"/>
      <c r="J2085" s="35">
        <v>340</v>
      </c>
      <c r="K2085" s="33"/>
      <c r="L2085" s="35">
        <v>10</v>
      </c>
      <c r="M2085" s="35">
        <v>200</v>
      </c>
      <c r="N2085" s="35">
        <v>10</v>
      </c>
      <c r="O2085" s="36">
        <v>166.06</v>
      </c>
      <c r="P2085" s="36">
        <v>136.11000000000001</v>
      </c>
      <c r="Q2085" s="36">
        <v>116.24</v>
      </c>
      <c r="R2085" s="36">
        <v>95.28</v>
      </c>
      <c r="S2085" s="36">
        <v>112.92</v>
      </c>
      <c r="T2085" s="36">
        <v>92.56</v>
      </c>
      <c r="U2085" s="34"/>
      <c r="V2085" s="34"/>
      <c r="W2085" s="34"/>
      <c r="X2085" s="37">
        <v>6.8000000000000005E-2</v>
      </c>
      <c r="Y2085" s="38">
        <v>3.6000000000000002E-4</v>
      </c>
      <c r="Z2085" s="21">
        <v>4601004299436</v>
      </c>
    </row>
    <row r="2086" spans="1:26" ht="12" customHeight="1" outlineLevel="4" x14ac:dyDescent="0.2">
      <c r="A2086" s="32" t="s">
        <v>4107</v>
      </c>
      <c r="B2086" s="74" t="s">
        <v>4108</v>
      </c>
      <c r="C2086" s="50"/>
      <c r="D2086" s="53">
        <f t="shared" si="32"/>
        <v>0</v>
      </c>
      <c r="E2086" s="60" t="str">
        <f>HYPERLINK("https://www.sds-group.ru/product/trubka-termousazhivaemaya-tut-hf-2-1-50-25-belaya-proconnect-55-5001/", "Инфо")</f>
        <v>Инфо</v>
      </c>
      <c r="F2086" s="34" t="s">
        <v>39</v>
      </c>
      <c r="G2086" s="33"/>
      <c r="H2086" s="33" t="s">
        <v>40</v>
      </c>
      <c r="I2086" s="33"/>
      <c r="J2086" s="35">
        <v>630</v>
      </c>
      <c r="K2086" s="33"/>
      <c r="L2086" s="35">
        <v>10</v>
      </c>
      <c r="M2086" s="35">
        <v>80</v>
      </c>
      <c r="N2086" s="35">
        <v>10</v>
      </c>
      <c r="O2086" s="36">
        <v>134.06</v>
      </c>
      <c r="P2086" s="36">
        <v>109.89</v>
      </c>
      <c r="Q2086" s="36">
        <v>93.84</v>
      </c>
      <c r="R2086" s="36">
        <v>76.92</v>
      </c>
      <c r="S2086" s="36">
        <v>91.16</v>
      </c>
      <c r="T2086" s="36">
        <v>74.72</v>
      </c>
      <c r="U2086" s="34"/>
      <c r="V2086" s="34"/>
      <c r="W2086" s="34"/>
      <c r="X2086" s="37">
        <v>8.6999999999999994E-2</v>
      </c>
      <c r="Y2086" s="38">
        <v>5.9999999999999995E-4</v>
      </c>
      <c r="Z2086" s="21">
        <v>4601004299481</v>
      </c>
    </row>
    <row r="2087" spans="1:26" ht="12" customHeight="1" outlineLevel="4" x14ac:dyDescent="0.2">
      <c r="A2087" s="32" t="s">
        <v>4109</v>
      </c>
      <c r="B2087" s="74" t="s">
        <v>4110</v>
      </c>
      <c r="C2087" s="50"/>
      <c r="D2087" s="53">
        <f t="shared" si="32"/>
        <v>0</v>
      </c>
      <c r="E2087" s="60" t="str">
        <f>HYPERLINK("https://www.sds-group.ru/product/trubka-termousazhivaemaya-tut-hf-2-1-50-25-krasnaya-proconnect-55-5004/", "Инфо")</f>
        <v>Инфо</v>
      </c>
      <c r="F2087" s="34" t="s">
        <v>39</v>
      </c>
      <c r="G2087" s="33"/>
      <c r="H2087" s="33" t="s">
        <v>40</v>
      </c>
      <c r="I2087" s="33"/>
      <c r="J2087" s="35">
        <v>350</v>
      </c>
      <c r="K2087" s="33"/>
      <c r="L2087" s="35">
        <v>10</v>
      </c>
      <c r="M2087" s="35">
        <v>80</v>
      </c>
      <c r="N2087" s="35">
        <v>10</v>
      </c>
      <c r="O2087" s="36">
        <v>139.24</v>
      </c>
      <c r="P2087" s="36">
        <v>114.13</v>
      </c>
      <c r="Q2087" s="36">
        <v>97.47</v>
      </c>
      <c r="R2087" s="36">
        <v>79.89</v>
      </c>
      <c r="S2087" s="36">
        <v>94.68</v>
      </c>
      <c r="T2087" s="36">
        <v>77.61</v>
      </c>
      <c r="U2087" s="34"/>
      <c r="V2087" s="34"/>
      <c r="W2087" s="34"/>
      <c r="X2087" s="37">
        <v>8.6999999999999994E-2</v>
      </c>
      <c r="Y2087" s="38">
        <v>5.9999999999999995E-4</v>
      </c>
      <c r="Z2087" s="21">
        <v>4601004299474</v>
      </c>
    </row>
    <row r="2088" spans="1:26" ht="12" customHeight="1" outlineLevel="4" x14ac:dyDescent="0.2">
      <c r="A2088" s="32" t="s">
        <v>4111</v>
      </c>
      <c r="B2088" s="74" t="s">
        <v>4112</v>
      </c>
      <c r="C2088" s="50"/>
      <c r="D2088" s="53">
        <f t="shared" si="32"/>
        <v>0</v>
      </c>
      <c r="E2088" s="60" t="str">
        <f>HYPERLINK("https://www.sds-group.ru/product/trubka-termousazhivaemaya-tut-hf-2-1-50-25-chernaya-proconnect-55-5006/", "Инфо")</f>
        <v>Инфо</v>
      </c>
      <c r="F2088" s="34" t="s">
        <v>39</v>
      </c>
      <c r="G2088" s="33"/>
      <c r="H2088" s="33" t="s">
        <v>40</v>
      </c>
      <c r="I2088" s="33"/>
      <c r="J2088" s="39">
        <v>1090</v>
      </c>
      <c r="K2088" s="33"/>
      <c r="L2088" s="35">
        <v>10</v>
      </c>
      <c r="M2088" s="35">
        <v>80</v>
      </c>
      <c r="N2088" s="35">
        <v>10</v>
      </c>
      <c r="O2088" s="36">
        <v>169.17</v>
      </c>
      <c r="P2088" s="36">
        <v>138.66</v>
      </c>
      <c r="Q2088" s="36">
        <v>118.42</v>
      </c>
      <c r="R2088" s="36">
        <v>97.07</v>
      </c>
      <c r="S2088" s="36">
        <v>115.04</v>
      </c>
      <c r="T2088" s="36">
        <v>94.3</v>
      </c>
      <c r="U2088" s="34"/>
      <c r="V2088" s="34"/>
      <c r="W2088" s="34"/>
      <c r="X2088" s="37">
        <v>8.6999999999999994E-2</v>
      </c>
      <c r="Y2088" s="38">
        <v>5.9999999999999995E-4</v>
      </c>
      <c r="Z2088" s="21">
        <v>4601004299467</v>
      </c>
    </row>
    <row r="2089" spans="1:26" ht="12" customHeight="1" outlineLevel="4" x14ac:dyDescent="0.2">
      <c r="A2089" s="32" t="s">
        <v>4113</v>
      </c>
      <c r="B2089" s="74" t="s">
        <v>4114</v>
      </c>
      <c r="C2089" s="50"/>
      <c r="D2089" s="53">
        <f t="shared" si="32"/>
        <v>0</v>
      </c>
      <c r="E2089" s="60" t="str">
        <f>HYPERLINK("https://www.sds-group.ru/product/trubka-termousazhivaemaya-tut-hf-2-1-6-3-belaya-proconnect-55-0601/", "Инфо")</f>
        <v>Инфо</v>
      </c>
      <c r="F2089" s="34" t="s">
        <v>39</v>
      </c>
      <c r="G2089" s="33"/>
      <c r="H2089" s="33" t="s">
        <v>40</v>
      </c>
      <c r="I2089" s="33"/>
      <c r="J2089" s="39">
        <v>1450</v>
      </c>
      <c r="K2089" s="33"/>
      <c r="L2089" s="35">
        <v>50</v>
      </c>
      <c r="M2089" s="39">
        <v>1500</v>
      </c>
      <c r="N2089" s="35">
        <v>50</v>
      </c>
      <c r="O2089" s="36">
        <v>16.559999999999999</v>
      </c>
      <c r="P2089" s="36">
        <v>13.57</v>
      </c>
      <c r="Q2089" s="36">
        <v>11.59</v>
      </c>
      <c r="R2089" s="36">
        <v>9.5</v>
      </c>
      <c r="S2089" s="36">
        <v>11.26</v>
      </c>
      <c r="T2089" s="36">
        <v>9.23</v>
      </c>
      <c r="U2089" s="34"/>
      <c r="V2089" s="34"/>
      <c r="W2089" s="34"/>
      <c r="X2089" s="37">
        <v>8.9999999999999993E-3</v>
      </c>
      <c r="Y2089" s="38">
        <v>7.2000000000000002E-5</v>
      </c>
      <c r="Z2089" s="21">
        <v>4601004298606</v>
      </c>
    </row>
    <row r="2090" spans="1:26" ht="12" customHeight="1" outlineLevel="4" x14ac:dyDescent="0.2">
      <c r="A2090" s="32" t="s">
        <v>4115</v>
      </c>
      <c r="B2090" s="74" t="s">
        <v>4116</v>
      </c>
      <c r="C2090" s="50"/>
      <c r="D2090" s="53">
        <f t="shared" si="32"/>
        <v>0</v>
      </c>
      <c r="E2090" s="60" t="str">
        <f>HYPERLINK("https://www.sds-group.ru/product/trubka-termousazhivaemaya-tut-hf-2-1-6-3-zelenaya-proconnect-55-0603/", "Инфо")</f>
        <v>Инфо</v>
      </c>
      <c r="F2090" s="34" t="s">
        <v>39</v>
      </c>
      <c r="G2090" s="33"/>
      <c r="H2090" s="33" t="s">
        <v>40</v>
      </c>
      <c r="I2090" s="33"/>
      <c r="J2090" s="39">
        <v>1650</v>
      </c>
      <c r="K2090" s="33"/>
      <c r="L2090" s="35">
        <v>50</v>
      </c>
      <c r="M2090" s="39">
        <v>1500</v>
      </c>
      <c r="N2090" s="35">
        <v>50</v>
      </c>
      <c r="O2090" s="36">
        <v>14.19</v>
      </c>
      <c r="P2090" s="36">
        <v>11.63</v>
      </c>
      <c r="Q2090" s="36">
        <v>9.93</v>
      </c>
      <c r="R2090" s="36">
        <v>8.14</v>
      </c>
      <c r="S2090" s="36">
        <v>9.65</v>
      </c>
      <c r="T2090" s="36">
        <v>7.91</v>
      </c>
      <c r="U2090" s="34"/>
      <c r="V2090" s="34"/>
      <c r="W2090" s="34"/>
      <c r="X2090" s="37">
        <v>8.9999999999999993E-3</v>
      </c>
      <c r="Y2090" s="38">
        <v>7.2000000000000002E-5</v>
      </c>
      <c r="Z2090" s="21">
        <v>4601004298590</v>
      </c>
    </row>
    <row r="2091" spans="1:26" ht="12" customHeight="1" outlineLevel="4" x14ac:dyDescent="0.2">
      <c r="A2091" s="32" t="s">
        <v>4117</v>
      </c>
      <c r="B2091" s="74" t="s">
        <v>4118</v>
      </c>
      <c r="C2091" s="50"/>
      <c r="D2091" s="53">
        <f t="shared" si="32"/>
        <v>0</v>
      </c>
      <c r="E2091" s="60" t="str">
        <f>HYPERLINK("https://www.sds-group.ru/product/trubka-termousazhivaemaya-tut-hf-2-1-6-3-krasnaya-proconnect-55-0604/", "Инфо")</f>
        <v>Инфо</v>
      </c>
      <c r="F2091" s="34" t="s">
        <v>39</v>
      </c>
      <c r="G2091" s="33"/>
      <c r="H2091" s="33" t="s">
        <v>40</v>
      </c>
      <c r="I2091" s="33"/>
      <c r="J2091" s="39">
        <v>1350</v>
      </c>
      <c r="K2091" s="33"/>
      <c r="L2091" s="35">
        <v>50</v>
      </c>
      <c r="M2091" s="39">
        <v>1500</v>
      </c>
      <c r="N2091" s="35">
        <v>50</v>
      </c>
      <c r="O2091" s="36">
        <v>16.559999999999999</v>
      </c>
      <c r="P2091" s="36">
        <v>13.57</v>
      </c>
      <c r="Q2091" s="36">
        <v>11.59</v>
      </c>
      <c r="R2091" s="36">
        <v>9.5</v>
      </c>
      <c r="S2091" s="36">
        <v>11.26</v>
      </c>
      <c r="T2091" s="36">
        <v>9.23</v>
      </c>
      <c r="U2091" s="34"/>
      <c r="V2091" s="34"/>
      <c r="W2091" s="34"/>
      <c r="X2091" s="37">
        <v>8.9999999999999993E-3</v>
      </c>
      <c r="Y2091" s="38">
        <v>7.2000000000000002E-5</v>
      </c>
      <c r="Z2091" s="21">
        <v>4601004298583</v>
      </c>
    </row>
    <row r="2092" spans="1:26" ht="12" customHeight="1" outlineLevel="4" x14ac:dyDescent="0.2">
      <c r="A2092" s="32" t="s">
        <v>4119</v>
      </c>
      <c r="B2092" s="74" t="s">
        <v>4120</v>
      </c>
      <c r="C2092" s="50"/>
      <c r="D2092" s="53">
        <f t="shared" si="32"/>
        <v>0</v>
      </c>
      <c r="E2092" s="60" t="str">
        <f>HYPERLINK("https://www.sds-group.ru/product/trubka-termousazhivaemaya-tut-hf-2-1-6-3-sinyaya-proconnect-55-0605/", "Инфо")</f>
        <v>Инфо</v>
      </c>
      <c r="F2092" s="34" t="s">
        <v>39</v>
      </c>
      <c r="G2092" s="33"/>
      <c r="H2092" s="33" t="s">
        <v>40</v>
      </c>
      <c r="I2092" s="33"/>
      <c r="J2092" s="39">
        <v>1350</v>
      </c>
      <c r="K2092" s="33"/>
      <c r="L2092" s="35">
        <v>50</v>
      </c>
      <c r="M2092" s="39">
        <v>1500</v>
      </c>
      <c r="N2092" s="35">
        <v>50</v>
      </c>
      <c r="O2092" s="36">
        <v>16.559999999999999</v>
      </c>
      <c r="P2092" s="36">
        <v>13.57</v>
      </c>
      <c r="Q2092" s="36">
        <v>11.59</v>
      </c>
      <c r="R2092" s="36">
        <v>9.5</v>
      </c>
      <c r="S2092" s="36">
        <v>11.26</v>
      </c>
      <c r="T2092" s="36">
        <v>9.23</v>
      </c>
      <c r="U2092" s="34"/>
      <c r="V2092" s="34"/>
      <c r="W2092" s="34"/>
      <c r="X2092" s="37">
        <v>0.01</v>
      </c>
      <c r="Y2092" s="38">
        <v>6.2000000000000003E-5</v>
      </c>
      <c r="Z2092" s="21">
        <v>4601004298576</v>
      </c>
    </row>
    <row r="2093" spans="1:26" ht="12" customHeight="1" outlineLevel="4" x14ac:dyDescent="0.2">
      <c r="A2093" s="32" t="s">
        <v>4121</v>
      </c>
      <c r="B2093" s="74" t="s">
        <v>4122</v>
      </c>
      <c r="C2093" s="50"/>
      <c r="D2093" s="53">
        <f t="shared" si="32"/>
        <v>0</v>
      </c>
      <c r="E2093" s="60" t="str">
        <f>HYPERLINK("https://www.sds-group.ru/product/trubka-termousazhivaemaya-tut-hf-2-1-6-3-chernaya-proconnect-55-0606/", "Инфо")</f>
        <v>Инфо</v>
      </c>
      <c r="F2093" s="34" t="s">
        <v>39</v>
      </c>
      <c r="G2093" s="33"/>
      <c r="H2093" s="33" t="s">
        <v>40</v>
      </c>
      <c r="I2093" s="33"/>
      <c r="J2093" s="39">
        <v>2650</v>
      </c>
      <c r="K2093" s="33"/>
      <c r="L2093" s="35">
        <v>50</v>
      </c>
      <c r="M2093" s="39">
        <v>1500</v>
      </c>
      <c r="N2093" s="35">
        <v>50</v>
      </c>
      <c r="O2093" s="36">
        <v>16.420000000000002</v>
      </c>
      <c r="P2093" s="36">
        <v>13.46</v>
      </c>
      <c r="Q2093" s="36">
        <v>11.49</v>
      </c>
      <c r="R2093" s="36">
        <v>9.42</v>
      </c>
      <c r="S2093" s="36">
        <v>11.17</v>
      </c>
      <c r="T2093" s="36">
        <v>9.16</v>
      </c>
      <c r="U2093" s="34"/>
      <c r="V2093" s="34"/>
      <c r="W2093" s="34"/>
      <c r="X2093" s="37">
        <v>8.9999999999999993E-3</v>
      </c>
      <c r="Y2093" s="38">
        <v>7.2000000000000002E-5</v>
      </c>
      <c r="Z2093" s="21">
        <v>4601004298453</v>
      </c>
    </row>
    <row r="2094" spans="1:26" ht="12" customHeight="1" outlineLevel="4" x14ac:dyDescent="0.2">
      <c r="A2094" s="32" t="s">
        <v>4123</v>
      </c>
      <c r="B2094" s="74" t="s">
        <v>4124</v>
      </c>
      <c r="C2094" s="50"/>
      <c r="D2094" s="53">
        <f t="shared" si="32"/>
        <v>0</v>
      </c>
      <c r="E2094" s="60" t="str">
        <f>HYPERLINK("https://www.sds-group.ru/product/trubka-termousazhivaemaya-tut-hf-2-1-60-30-belaya-proconnect-55-6001/", "Инфо")</f>
        <v>Инфо</v>
      </c>
      <c r="F2094" s="34" t="s">
        <v>39</v>
      </c>
      <c r="G2094" s="33"/>
      <c r="H2094" s="33" t="s">
        <v>40</v>
      </c>
      <c r="I2094" s="33"/>
      <c r="J2094" s="35">
        <v>430</v>
      </c>
      <c r="K2094" s="33"/>
      <c r="L2094" s="35">
        <v>10</v>
      </c>
      <c r="M2094" s="35">
        <v>50</v>
      </c>
      <c r="N2094" s="35">
        <v>10</v>
      </c>
      <c r="O2094" s="36">
        <v>153.53</v>
      </c>
      <c r="P2094" s="36">
        <v>125.84</v>
      </c>
      <c r="Q2094" s="36">
        <v>107.47</v>
      </c>
      <c r="R2094" s="36">
        <v>88.09</v>
      </c>
      <c r="S2094" s="36">
        <v>104.4</v>
      </c>
      <c r="T2094" s="36">
        <v>85.57</v>
      </c>
      <c r="U2094" s="34"/>
      <c r="V2094" s="34"/>
      <c r="W2094" s="34"/>
      <c r="X2094" s="37">
        <v>9.9000000000000005E-2</v>
      </c>
      <c r="Y2094" s="38">
        <v>5.5000000000000003E-4</v>
      </c>
      <c r="Z2094" s="21">
        <v>4601004164574</v>
      </c>
    </row>
    <row r="2095" spans="1:26" ht="12" customHeight="1" outlineLevel="4" x14ac:dyDescent="0.2">
      <c r="A2095" s="32" t="s">
        <v>4125</v>
      </c>
      <c r="B2095" s="74" t="s">
        <v>4126</v>
      </c>
      <c r="C2095" s="50"/>
      <c r="D2095" s="53">
        <f t="shared" si="32"/>
        <v>0</v>
      </c>
      <c r="E2095" s="60" t="str">
        <f>HYPERLINK("https://www.sds-group.ru/product/trubka-termousazhivaemaya-tut-hf-2-1-60-30-zheltaya-proconnect-55-6002/", "Инфо")</f>
        <v>Инфо</v>
      </c>
      <c r="F2095" s="34" t="s">
        <v>39</v>
      </c>
      <c r="G2095" s="33"/>
      <c r="H2095" s="33" t="s">
        <v>40</v>
      </c>
      <c r="I2095" s="33"/>
      <c r="J2095" s="39">
        <v>1560</v>
      </c>
      <c r="K2095" s="33"/>
      <c r="L2095" s="35">
        <v>10</v>
      </c>
      <c r="M2095" s="35">
        <v>50</v>
      </c>
      <c r="N2095" s="35">
        <v>10</v>
      </c>
      <c r="O2095" s="36">
        <v>130.36000000000001</v>
      </c>
      <c r="P2095" s="36">
        <v>106.85</v>
      </c>
      <c r="Q2095" s="36">
        <v>91.25</v>
      </c>
      <c r="R2095" s="36">
        <v>74.8</v>
      </c>
      <c r="S2095" s="36">
        <v>88.64</v>
      </c>
      <c r="T2095" s="36">
        <v>72.66</v>
      </c>
      <c r="U2095" s="34"/>
      <c r="V2095" s="34"/>
      <c r="W2095" s="34"/>
      <c r="X2095" s="37">
        <v>9.9000000000000005E-2</v>
      </c>
      <c r="Y2095" s="38">
        <v>5.5000000000000003E-4</v>
      </c>
      <c r="Z2095" s="21">
        <v>4601004164536</v>
      </c>
    </row>
    <row r="2096" spans="1:26" ht="12" customHeight="1" outlineLevel="4" x14ac:dyDescent="0.2">
      <c r="A2096" s="32" t="s">
        <v>4127</v>
      </c>
      <c r="B2096" s="74" t="s">
        <v>4128</v>
      </c>
      <c r="C2096" s="50"/>
      <c r="D2096" s="53">
        <f t="shared" si="32"/>
        <v>0</v>
      </c>
      <c r="E2096" s="60" t="str">
        <f>HYPERLINK("https://www.sds-group.ru/product/trubka-termousazhivaemaya-tut-hf-2-1-60-30-zhelto-zelenaya-proconnect-55-6007/", "Инфо")</f>
        <v>Инфо</v>
      </c>
      <c r="F2096" s="34" t="s">
        <v>39</v>
      </c>
      <c r="G2096" s="33"/>
      <c r="H2096" s="33" t="s">
        <v>40</v>
      </c>
      <c r="I2096" s="33"/>
      <c r="J2096" s="39">
        <v>2600</v>
      </c>
      <c r="K2096" s="33"/>
      <c r="L2096" s="35">
        <v>10</v>
      </c>
      <c r="M2096" s="35">
        <v>50</v>
      </c>
      <c r="N2096" s="35">
        <v>10</v>
      </c>
      <c r="O2096" s="36">
        <v>239.08</v>
      </c>
      <c r="P2096" s="36">
        <v>195.97</v>
      </c>
      <c r="Q2096" s="36">
        <v>167.36</v>
      </c>
      <c r="R2096" s="36">
        <v>137.18</v>
      </c>
      <c r="S2096" s="36">
        <v>162.57</v>
      </c>
      <c r="T2096" s="36">
        <v>133.25</v>
      </c>
      <c r="U2096" s="34"/>
      <c r="V2096" s="34"/>
      <c r="W2096" s="34"/>
      <c r="X2096" s="37">
        <v>9.9000000000000005E-2</v>
      </c>
      <c r="Y2096" s="38">
        <v>5.5000000000000003E-4</v>
      </c>
      <c r="Z2096" s="21">
        <v>4601004164581</v>
      </c>
    </row>
    <row r="2097" spans="1:26" ht="12" customHeight="1" outlineLevel="4" x14ac:dyDescent="0.2">
      <c r="A2097" s="32" t="s">
        <v>4129</v>
      </c>
      <c r="B2097" s="74" t="s">
        <v>4130</v>
      </c>
      <c r="C2097" s="50"/>
      <c r="D2097" s="53">
        <f t="shared" si="32"/>
        <v>0</v>
      </c>
      <c r="E2097" s="60" t="str">
        <f>HYPERLINK("https://www.sds-group.ru/product/trubka-termousazhivaemaya-tut-hf-2-1-60-30-krasnaya-proconnect-55-6004/", "Инфо")</f>
        <v>Инфо</v>
      </c>
      <c r="F2097" s="34" t="s">
        <v>39</v>
      </c>
      <c r="G2097" s="33"/>
      <c r="H2097" s="33" t="s">
        <v>40</v>
      </c>
      <c r="I2097" s="33"/>
      <c r="J2097" s="35">
        <v>340</v>
      </c>
      <c r="K2097" s="33"/>
      <c r="L2097" s="35">
        <v>10</v>
      </c>
      <c r="M2097" s="35">
        <v>50</v>
      </c>
      <c r="N2097" s="35">
        <v>10</v>
      </c>
      <c r="O2097" s="36">
        <v>247.01</v>
      </c>
      <c r="P2097" s="36">
        <v>202.47</v>
      </c>
      <c r="Q2097" s="36">
        <v>172.91</v>
      </c>
      <c r="R2097" s="36">
        <v>141.72999999999999</v>
      </c>
      <c r="S2097" s="36">
        <v>167.97</v>
      </c>
      <c r="T2097" s="36">
        <v>137.68</v>
      </c>
      <c r="U2097" s="34"/>
      <c r="V2097" s="34"/>
      <c r="W2097" s="34"/>
      <c r="X2097" s="37">
        <v>9.9000000000000005E-2</v>
      </c>
      <c r="Y2097" s="38">
        <v>5.5000000000000003E-4</v>
      </c>
      <c r="Z2097" s="21">
        <v>4601004164567</v>
      </c>
    </row>
    <row r="2098" spans="1:26" ht="12" customHeight="1" outlineLevel="4" x14ac:dyDescent="0.2">
      <c r="A2098" s="32" t="s">
        <v>4131</v>
      </c>
      <c r="B2098" s="74" t="s">
        <v>4132</v>
      </c>
      <c r="C2098" s="50"/>
      <c r="D2098" s="53">
        <f t="shared" si="32"/>
        <v>0</v>
      </c>
      <c r="E2098" s="60" t="str">
        <f>HYPERLINK("https://www.sds-group.ru/product/trubka-termousazhivaemaya-tut-hf-2-1-60-30-sinyaya-proconnect-55-6005/", "Инфо")</f>
        <v>Инфо</v>
      </c>
      <c r="F2098" s="34" t="s">
        <v>39</v>
      </c>
      <c r="G2098" s="33"/>
      <c r="H2098" s="33" t="s">
        <v>40</v>
      </c>
      <c r="I2098" s="33"/>
      <c r="J2098" s="35">
        <v>400</v>
      </c>
      <c r="K2098" s="33"/>
      <c r="L2098" s="35">
        <v>10</v>
      </c>
      <c r="M2098" s="35">
        <v>50</v>
      </c>
      <c r="N2098" s="35">
        <v>10</v>
      </c>
      <c r="O2098" s="36">
        <v>289.70999999999998</v>
      </c>
      <c r="P2098" s="36">
        <v>237.47</v>
      </c>
      <c r="Q2098" s="36">
        <v>202.8</v>
      </c>
      <c r="R2098" s="36">
        <v>166.23</v>
      </c>
      <c r="S2098" s="36">
        <v>197</v>
      </c>
      <c r="T2098" s="36">
        <v>161.47999999999999</v>
      </c>
      <c r="U2098" s="34"/>
      <c r="V2098" s="34"/>
      <c r="W2098" s="34"/>
      <c r="X2098" s="37">
        <v>9.9000000000000005E-2</v>
      </c>
      <c r="Y2098" s="38">
        <v>5.5000000000000003E-4</v>
      </c>
      <c r="Z2098" s="21">
        <v>4601004164543</v>
      </c>
    </row>
    <row r="2099" spans="1:26" ht="12" customHeight="1" outlineLevel="4" x14ac:dyDescent="0.2">
      <c r="A2099" s="32" t="s">
        <v>4133</v>
      </c>
      <c r="B2099" s="74" t="s">
        <v>4134</v>
      </c>
      <c r="C2099" s="50"/>
      <c r="D2099" s="53">
        <f t="shared" si="32"/>
        <v>0</v>
      </c>
      <c r="E2099" s="60" t="str">
        <f>HYPERLINK("https://www.sds-group.ru/product/trubka-termousazhivaemaya-tut-hf-2-1-8-4-belaya-proconnect-55-0801/", "Инфо")</f>
        <v>Инфо</v>
      </c>
      <c r="F2099" s="34" t="s">
        <v>39</v>
      </c>
      <c r="G2099" s="33"/>
      <c r="H2099" s="33" t="s">
        <v>40</v>
      </c>
      <c r="I2099" s="33"/>
      <c r="J2099" s="39">
        <v>6280</v>
      </c>
      <c r="K2099" s="33"/>
      <c r="L2099" s="35">
        <v>50</v>
      </c>
      <c r="M2099" s="39">
        <v>1000</v>
      </c>
      <c r="N2099" s="35">
        <v>50</v>
      </c>
      <c r="O2099" s="36">
        <v>13.15</v>
      </c>
      <c r="P2099" s="36">
        <v>10.78</v>
      </c>
      <c r="Q2099" s="36">
        <v>9.2100000000000009</v>
      </c>
      <c r="R2099" s="36">
        <v>7.55</v>
      </c>
      <c r="S2099" s="36">
        <v>8.94</v>
      </c>
      <c r="T2099" s="36">
        <v>7.33</v>
      </c>
      <c r="U2099" s="34"/>
      <c r="V2099" s="34"/>
      <c r="W2099" s="34"/>
      <c r="X2099" s="37">
        <v>0.01</v>
      </c>
      <c r="Y2099" s="38">
        <v>1.45E-4</v>
      </c>
      <c r="Z2099" s="21">
        <v>4601004298675</v>
      </c>
    </row>
    <row r="2100" spans="1:26" ht="12" customHeight="1" outlineLevel="4" x14ac:dyDescent="0.2">
      <c r="A2100" s="32" t="s">
        <v>4135</v>
      </c>
      <c r="B2100" s="74" t="s">
        <v>4136</v>
      </c>
      <c r="C2100" s="50"/>
      <c r="D2100" s="53">
        <f t="shared" si="32"/>
        <v>0</v>
      </c>
      <c r="E2100" s="60" t="str">
        <f>HYPERLINK("https://www.sds-group.ru/product/trubka-termousazhivaemaya-tut-hf-2-1-8-4-zheltaya-proconnect-55-0802/", "Инфо")</f>
        <v>Инфо</v>
      </c>
      <c r="F2100" s="34" t="s">
        <v>39</v>
      </c>
      <c r="G2100" s="33"/>
      <c r="H2100" s="33" t="s">
        <v>40</v>
      </c>
      <c r="I2100" s="33"/>
      <c r="J2100" s="39">
        <v>2750</v>
      </c>
      <c r="K2100" s="33"/>
      <c r="L2100" s="35">
        <v>50</v>
      </c>
      <c r="M2100" s="39">
        <v>1000</v>
      </c>
      <c r="N2100" s="35">
        <v>50</v>
      </c>
      <c r="O2100" s="36">
        <v>12.46</v>
      </c>
      <c r="P2100" s="36">
        <v>10.210000000000001</v>
      </c>
      <c r="Q2100" s="36">
        <v>8.7200000000000006</v>
      </c>
      <c r="R2100" s="36">
        <v>7.15</v>
      </c>
      <c r="S2100" s="36">
        <v>8.4700000000000006</v>
      </c>
      <c r="T2100" s="36">
        <v>6.94</v>
      </c>
      <c r="U2100" s="34"/>
      <c r="V2100" s="34"/>
      <c r="W2100" s="34"/>
      <c r="X2100" s="37">
        <v>0.01</v>
      </c>
      <c r="Y2100" s="38">
        <v>1.45E-4</v>
      </c>
      <c r="Z2100" s="21">
        <v>4601004298644</v>
      </c>
    </row>
    <row r="2101" spans="1:26" ht="12" customHeight="1" outlineLevel="4" x14ac:dyDescent="0.2">
      <c r="A2101" s="32" t="s">
        <v>4137</v>
      </c>
      <c r="B2101" s="74" t="s">
        <v>4138</v>
      </c>
      <c r="C2101" s="50"/>
      <c r="D2101" s="53">
        <f t="shared" si="32"/>
        <v>0</v>
      </c>
      <c r="E2101" s="60" t="str">
        <f>HYPERLINK("https://www.sds-group.ru/product/trubka-termousazhivaemaya-tut-hf-2-1-8-4-zelenaya-proconnect-55-0803/", "Инфо")</f>
        <v>Инфо</v>
      </c>
      <c r="F2101" s="34" t="s">
        <v>39</v>
      </c>
      <c r="G2101" s="33"/>
      <c r="H2101" s="33" t="s">
        <v>40</v>
      </c>
      <c r="I2101" s="33"/>
      <c r="J2101" s="35">
        <v>50</v>
      </c>
      <c r="K2101" s="33"/>
      <c r="L2101" s="35">
        <v>50</v>
      </c>
      <c r="M2101" s="39">
        <v>1000</v>
      </c>
      <c r="N2101" s="35">
        <v>50</v>
      </c>
      <c r="O2101" s="36">
        <v>14.63</v>
      </c>
      <c r="P2101" s="36">
        <v>11.99</v>
      </c>
      <c r="Q2101" s="36">
        <v>10.24</v>
      </c>
      <c r="R2101" s="36">
        <v>8.39</v>
      </c>
      <c r="S2101" s="36">
        <v>9.9499999999999993</v>
      </c>
      <c r="T2101" s="36">
        <v>8.16</v>
      </c>
      <c r="U2101" s="34"/>
      <c r="V2101" s="34"/>
      <c r="W2101" s="34"/>
      <c r="X2101" s="37">
        <v>0.01</v>
      </c>
      <c r="Y2101" s="38">
        <v>1.45E-4</v>
      </c>
      <c r="Z2101" s="21">
        <v>4601004298637</v>
      </c>
    </row>
    <row r="2102" spans="1:26" ht="12" customHeight="1" outlineLevel="4" x14ac:dyDescent="0.2">
      <c r="A2102" s="32" t="s">
        <v>4139</v>
      </c>
      <c r="B2102" s="74" t="s">
        <v>4140</v>
      </c>
      <c r="C2102" s="50"/>
      <c r="D2102" s="53">
        <f t="shared" si="32"/>
        <v>0</v>
      </c>
      <c r="E2102" s="60" t="str">
        <f>HYPERLINK("https://www.sds-group.ru/product/trubka-termousazhivaemaya-tut-hf-2-1-8-4-krasnaya-proconnect-55-0804/", "Инфо")</f>
        <v>Инфо</v>
      </c>
      <c r="F2102" s="34" t="s">
        <v>39</v>
      </c>
      <c r="G2102" s="33"/>
      <c r="H2102" s="33" t="s">
        <v>40</v>
      </c>
      <c r="I2102" s="33"/>
      <c r="J2102" s="39">
        <v>3350</v>
      </c>
      <c r="K2102" s="33"/>
      <c r="L2102" s="35">
        <v>50</v>
      </c>
      <c r="M2102" s="39">
        <v>1000</v>
      </c>
      <c r="N2102" s="35">
        <v>50</v>
      </c>
      <c r="O2102" s="36">
        <v>14.86</v>
      </c>
      <c r="P2102" s="36">
        <v>12.18</v>
      </c>
      <c r="Q2102" s="36">
        <v>10.4</v>
      </c>
      <c r="R2102" s="36">
        <v>8.52</v>
      </c>
      <c r="S2102" s="36">
        <v>10.1</v>
      </c>
      <c r="T2102" s="36">
        <v>8.2799999999999994</v>
      </c>
      <c r="U2102" s="34"/>
      <c r="V2102" s="34"/>
      <c r="W2102" s="34"/>
      <c r="X2102" s="37">
        <v>0.01</v>
      </c>
      <c r="Y2102" s="38">
        <v>1.45E-4</v>
      </c>
      <c r="Z2102" s="21">
        <v>4601004298712</v>
      </c>
    </row>
    <row r="2103" spans="1:26" ht="12" customHeight="1" outlineLevel="4" x14ac:dyDescent="0.2">
      <c r="A2103" s="32" t="s">
        <v>4141</v>
      </c>
      <c r="B2103" s="74" t="s">
        <v>4142</v>
      </c>
      <c r="C2103" s="50"/>
      <c r="D2103" s="53">
        <f t="shared" si="32"/>
        <v>0</v>
      </c>
      <c r="E2103" s="60" t="str">
        <f>HYPERLINK("https://www.sds-group.ru/product/trubka-termousazhivaemaya-tut-hf-2-1-8-4-sinyaya-proconnect-55-0805/", "Инфо")</f>
        <v>Инфо</v>
      </c>
      <c r="F2103" s="34" t="s">
        <v>39</v>
      </c>
      <c r="G2103" s="33"/>
      <c r="H2103" s="33" t="s">
        <v>40</v>
      </c>
      <c r="I2103" s="33"/>
      <c r="J2103" s="39">
        <v>3150</v>
      </c>
      <c r="K2103" s="33"/>
      <c r="L2103" s="35">
        <v>50</v>
      </c>
      <c r="M2103" s="39">
        <v>1000</v>
      </c>
      <c r="N2103" s="35">
        <v>50</v>
      </c>
      <c r="O2103" s="36">
        <v>16.579999999999998</v>
      </c>
      <c r="P2103" s="36">
        <v>13.59</v>
      </c>
      <c r="Q2103" s="36">
        <v>11.61</v>
      </c>
      <c r="R2103" s="36">
        <v>9.52</v>
      </c>
      <c r="S2103" s="36">
        <v>11.27</v>
      </c>
      <c r="T2103" s="36">
        <v>9.24</v>
      </c>
      <c r="U2103" s="34"/>
      <c r="V2103" s="34"/>
      <c r="W2103" s="34"/>
      <c r="X2103" s="37">
        <v>0.01</v>
      </c>
      <c r="Y2103" s="38">
        <v>1.45E-4</v>
      </c>
      <c r="Z2103" s="21">
        <v>4601004298651</v>
      </c>
    </row>
    <row r="2104" spans="1:26" ht="12.95" customHeight="1" outlineLevel="3" x14ac:dyDescent="0.2">
      <c r="A2104" s="76" t="s">
        <v>4143</v>
      </c>
      <c r="B2104" s="76"/>
      <c r="C2104" s="77"/>
      <c r="D2104" s="58"/>
      <c r="E2104" s="68"/>
      <c r="F2104" s="13"/>
      <c r="G2104" s="13"/>
      <c r="H2104" s="13"/>
      <c r="I2104" s="13"/>
      <c r="J2104" s="13"/>
      <c r="K2104" s="13"/>
      <c r="L2104" s="13"/>
      <c r="M2104" s="13"/>
      <c r="N2104" s="13"/>
      <c r="O2104" s="13"/>
      <c r="P2104" s="13"/>
      <c r="Q2104" s="13"/>
      <c r="R2104" s="13"/>
      <c r="S2104" s="13"/>
      <c r="T2104" s="13"/>
      <c r="U2104" s="13"/>
      <c r="V2104" s="13"/>
      <c r="W2104" s="13"/>
      <c r="X2104" s="13"/>
      <c r="Y2104" s="13"/>
      <c r="Z2104" s="13"/>
    </row>
    <row r="2105" spans="1:26" ht="12" customHeight="1" outlineLevel="4" x14ac:dyDescent="0.2">
      <c r="A2105" s="14" t="s">
        <v>4144</v>
      </c>
      <c r="B2105" s="26" t="s">
        <v>4145</v>
      </c>
      <c r="C2105" s="52"/>
      <c r="D2105" s="55">
        <f t="shared" si="32"/>
        <v>0</v>
      </c>
      <c r="E2105" s="63" t="str">
        <f>HYPERLINK("https://www.sds-group.ru/product/trubka-termousazhivaemaya-tutng-ls-2-1-1-5-0-75-belaya-rexant-20-1501/", "Инфо")</f>
        <v>Инфо</v>
      </c>
      <c r="F2105" s="16" t="s">
        <v>39</v>
      </c>
      <c r="G2105" s="15"/>
      <c r="H2105" s="15"/>
      <c r="I2105" s="15"/>
      <c r="J2105" s="22">
        <v>24300</v>
      </c>
      <c r="K2105" s="15"/>
      <c r="L2105" s="17">
        <v>50</v>
      </c>
      <c r="M2105" s="22">
        <v>5000</v>
      </c>
      <c r="N2105" s="17">
        <v>50</v>
      </c>
      <c r="O2105" s="18">
        <v>12.97</v>
      </c>
      <c r="P2105" s="18">
        <v>10.63</v>
      </c>
      <c r="Q2105" s="18">
        <v>11.8</v>
      </c>
      <c r="R2105" s="18">
        <v>9.67</v>
      </c>
      <c r="S2105" s="18">
        <v>8.82</v>
      </c>
      <c r="T2105" s="18">
        <v>7.23</v>
      </c>
      <c r="U2105" s="16"/>
      <c r="V2105" s="16"/>
      <c r="W2105" s="16" t="s">
        <v>40</v>
      </c>
      <c r="X2105" s="19">
        <v>2E-3</v>
      </c>
      <c r="Y2105" s="20">
        <v>4.1999999999999998E-5</v>
      </c>
      <c r="Z2105" s="21">
        <v>4601004349933</v>
      </c>
    </row>
    <row r="2106" spans="1:26" ht="12" customHeight="1" outlineLevel="4" x14ac:dyDescent="0.2">
      <c r="A2106" s="14" t="s">
        <v>4146</v>
      </c>
      <c r="B2106" s="26" t="s">
        <v>4147</v>
      </c>
      <c r="C2106" s="52"/>
      <c r="D2106" s="55">
        <f t="shared" si="32"/>
        <v>0</v>
      </c>
      <c r="E2106" s="63" t="str">
        <f>HYPERLINK("https://www.sds-group.ru/product/trubka-termousazhivaemaya-tutng-ls-2-1-1-5-0-75-zheltaya-rexant-20-1502/", "Инфо")</f>
        <v>Инфо</v>
      </c>
      <c r="F2106" s="16" t="s">
        <v>39</v>
      </c>
      <c r="G2106" s="15"/>
      <c r="H2106" s="15"/>
      <c r="I2106" s="15"/>
      <c r="J2106" s="22">
        <v>1900</v>
      </c>
      <c r="K2106" s="15" t="s">
        <v>1519</v>
      </c>
      <c r="L2106" s="17">
        <v>50</v>
      </c>
      <c r="M2106" s="22">
        <v>5000</v>
      </c>
      <c r="N2106" s="17">
        <v>50</v>
      </c>
      <c r="O2106" s="18">
        <v>12.97</v>
      </c>
      <c r="P2106" s="18">
        <v>10.63</v>
      </c>
      <c r="Q2106" s="18">
        <v>11.8</v>
      </c>
      <c r="R2106" s="18">
        <v>9.67</v>
      </c>
      <c r="S2106" s="18">
        <v>8.82</v>
      </c>
      <c r="T2106" s="18">
        <v>7.23</v>
      </c>
      <c r="U2106" s="16"/>
      <c r="V2106" s="16"/>
      <c r="W2106" s="16" t="s">
        <v>40</v>
      </c>
      <c r="X2106" s="19">
        <v>2E-3</v>
      </c>
      <c r="Y2106" s="20">
        <v>4.1999999999999998E-5</v>
      </c>
      <c r="Z2106" s="21">
        <v>4601004351455</v>
      </c>
    </row>
    <row r="2107" spans="1:26" ht="12" customHeight="1" outlineLevel="4" x14ac:dyDescent="0.2">
      <c r="A2107" s="14" t="s">
        <v>4148</v>
      </c>
      <c r="B2107" s="26" t="s">
        <v>4149</v>
      </c>
      <c r="C2107" s="52"/>
      <c r="D2107" s="55">
        <f t="shared" si="32"/>
        <v>0</v>
      </c>
      <c r="E2107" s="63" t="str">
        <f>HYPERLINK("https://www.sds-group.ru/product/trubka-termousazhivaemaya-tutng-ls-2-1-1-5-0-75-zhelto-zelenaya-rexant-20-1507/", "Инфо")</f>
        <v>Инфо</v>
      </c>
      <c r="F2107" s="16" t="s">
        <v>39</v>
      </c>
      <c r="G2107" s="15"/>
      <c r="H2107" s="15"/>
      <c r="I2107" s="15"/>
      <c r="J2107" s="16" t="s">
        <v>100</v>
      </c>
      <c r="K2107" s="15" t="s">
        <v>4150</v>
      </c>
      <c r="L2107" s="17">
        <v>50</v>
      </c>
      <c r="M2107" s="22">
        <v>5000</v>
      </c>
      <c r="N2107" s="17">
        <v>50</v>
      </c>
      <c r="O2107" s="18">
        <v>26.7</v>
      </c>
      <c r="P2107" s="18">
        <v>21.89</v>
      </c>
      <c r="Q2107" s="18">
        <v>24.3</v>
      </c>
      <c r="R2107" s="18">
        <v>19.920000000000002</v>
      </c>
      <c r="S2107" s="18">
        <v>18.16</v>
      </c>
      <c r="T2107" s="18">
        <v>14.89</v>
      </c>
      <c r="U2107" s="16"/>
      <c r="V2107" s="16"/>
      <c r="W2107" s="16" t="s">
        <v>40</v>
      </c>
      <c r="X2107" s="19">
        <v>2E-3</v>
      </c>
      <c r="Y2107" s="20">
        <v>4.1999999999999998E-5</v>
      </c>
      <c r="Z2107" s="21">
        <v>4601004351820</v>
      </c>
    </row>
    <row r="2108" spans="1:26" ht="12" customHeight="1" outlineLevel="4" x14ac:dyDescent="0.2">
      <c r="A2108" s="14" t="s">
        <v>4151</v>
      </c>
      <c r="B2108" s="26" t="s">
        <v>4152</v>
      </c>
      <c r="C2108" s="52"/>
      <c r="D2108" s="55">
        <f t="shared" si="32"/>
        <v>0</v>
      </c>
      <c r="E2108" s="63" t="str">
        <f>HYPERLINK("https://www.sds-group.ru/product/trubka-termousazhivaemaya-tutng-ls-2-1-1-5-0-75-zelenaya-rexant-20-1503/", "Инфо")</f>
        <v>Инфо</v>
      </c>
      <c r="F2108" s="16" t="s">
        <v>39</v>
      </c>
      <c r="G2108" s="15"/>
      <c r="H2108" s="15"/>
      <c r="I2108" s="15"/>
      <c r="J2108" s="22">
        <v>6100</v>
      </c>
      <c r="K2108" s="15"/>
      <c r="L2108" s="17">
        <v>50</v>
      </c>
      <c r="M2108" s="22">
        <v>5000</v>
      </c>
      <c r="N2108" s="17">
        <v>50</v>
      </c>
      <c r="O2108" s="18">
        <v>12.97</v>
      </c>
      <c r="P2108" s="18">
        <v>10.63</v>
      </c>
      <c r="Q2108" s="18">
        <v>11.8</v>
      </c>
      <c r="R2108" s="18">
        <v>9.67</v>
      </c>
      <c r="S2108" s="18">
        <v>8.82</v>
      </c>
      <c r="T2108" s="18">
        <v>7.23</v>
      </c>
      <c r="U2108" s="16"/>
      <c r="V2108" s="16"/>
      <c r="W2108" s="16" t="s">
        <v>40</v>
      </c>
      <c r="X2108" s="19">
        <v>2E-3</v>
      </c>
      <c r="Y2108" s="20">
        <v>4.1999999999999998E-5</v>
      </c>
      <c r="Z2108" s="21">
        <v>4601004350861</v>
      </c>
    </row>
    <row r="2109" spans="1:26" ht="12" customHeight="1" outlineLevel="4" x14ac:dyDescent="0.2">
      <c r="A2109" s="14" t="s">
        <v>4153</v>
      </c>
      <c r="B2109" s="26" t="s">
        <v>4154</v>
      </c>
      <c r="C2109" s="52"/>
      <c r="D2109" s="55">
        <f t="shared" si="32"/>
        <v>0</v>
      </c>
      <c r="E2109" s="63" t="str">
        <f>HYPERLINK("https://www.sds-group.ru/product/trubka-termousazhivaemaya-tutng-ls-2-1-1-5-0-75-krasnaya-rexant-20-1504/", "Инфо")</f>
        <v>Инфо</v>
      </c>
      <c r="F2109" s="16" t="s">
        <v>39</v>
      </c>
      <c r="G2109" s="15"/>
      <c r="H2109" s="15"/>
      <c r="I2109" s="15"/>
      <c r="J2109" s="22">
        <v>9550</v>
      </c>
      <c r="K2109" s="15" t="s">
        <v>4020</v>
      </c>
      <c r="L2109" s="17">
        <v>50</v>
      </c>
      <c r="M2109" s="22">
        <v>5000</v>
      </c>
      <c r="N2109" s="17">
        <v>50</v>
      </c>
      <c r="O2109" s="18">
        <v>12.97</v>
      </c>
      <c r="P2109" s="18">
        <v>10.63</v>
      </c>
      <c r="Q2109" s="18">
        <v>11.8</v>
      </c>
      <c r="R2109" s="18">
        <v>9.67</v>
      </c>
      <c r="S2109" s="18">
        <v>8.82</v>
      </c>
      <c r="T2109" s="18">
        <v>7.23</v>
      </c>
      <c r="U2109" s="16"/>
      <c r="V2109" s="16"/>
      <c r="W2109" s="16" t="s">
        <v>40</v>
      </c>
      <c r="X2109" s="19">
        <v>2E-3</v>
      </c>
      <c r="Y2109" s="20">
        <v>4.1999999999999998E-5</v>
      </c>
      <c r="Z2109" s="21">
        <v>4601004350311</v>
      </c>
    </row>
    <row r="2110" spans="1:26" ht="12" customHeight="1" outlineLevel="4" x14ac:dyDescent="0.2">
      <c r="A2110" s="14" t="s">
        <v>4155</v>
      </c>
      <c r="B2110" s="26" t="s">
        <v>4156</v>
      </c>
      <c r="C2110" s="52"/>
      <c r="D2110" s="55">
        <f t="shared" si="32"/>
        <v>0</v>
      </c>
      <c r="E2110" s="63" t="str">
        <f>HYPERLINK("https://www.sds-group.ru/product/trubka-termousazhivaemaya-tutng-ls-2-1-1-5-0-75-sinyaya-rexant-20-1505/", "Инфо")</f>
        <v>Инфо</v>
      </c>
      <c r="F2110" s="16" t="s">
        <v>39</v>
      </c>
      <c r="G2110" s="15"/>
      <c r="H2110" s="15"/>
      <c r="I2110" s="15"/>
      <c r="J2110" s="22">
        <v>10750</v>
      </c>
      <c r="K2110" s="15" t="s">
        <v>4150</v>
      </c>
      <c r="L2110" s="17">
        <v>50</v>
      </c>
      <c r="M2110" s="22">
        <v>5000</v>
      </c>
      <c r="N2110" s="17">
        <v>50</v>
      </c>
      <c r="O2110" s="18">
        <v>12.97</v>
      </c>
      <c r="P2110" s="18">
        <v>10.63</v>
      </c>
      <c r="Q2110" s="18">
        <v>11.8</v>
      </c>
      <c r="R2110" s="18">
        <v>9.67</v>
      </c>
      <c r="S2110" s="18">
        <v>8.82</v>
      </c>
      <c r="T2110" s="18">
        <v>7.23</v>
      </c>
      <c r="U2110" s="16"/>
      <c r="V2110" s="16"/>
      <c r="W2110" s="16" t="s">
        <v>40</v>
      </c>
      <c r="X2110" s="19">
        <v>2E-3</v>
      </c>
      <c r="Y2110" s="20">
        <v>4.1999999999999998E-5</v>
      </c>
      <c r="Z2110" s="21">
        <v>4601004350649</v>
      </c>
    </row>
    <row r="2111" spans="1:26" ht="12" customHeight="1" outlineLevel="4" x14ac:dyDescent="0.2">
      <c r="A2111" s="14" t="s">
        <v>4157</v>
      </c>
      <c r="B2111" s="26" t="s">
        <v>4158</v>
      </c>
      <c r="C2111" s="52"/>
      <c r="D2111" s="55">
        <f t="shared" si="32"/>
        <v>0</v>
      </c>
      <c r="E2111" s="63" t="str">
        <f>HYPERLINK("https://www.sds-group.ru/product/trubka-termousazhivaemaya-tutng-ls-2-1-1-5-0-75-chernaya-rexant-20-1506/", "Инфо")</f>
        <v>Инфо</v>
      </c>
      <c r="F2111" s="16" t="s">
        <v>39</v>
      </c>
      <c r="G2111" s="15"/>
      <c r="H2111" s="15"/>
      <c r="I2111" s="15"/>
      <c r="J2111" s="22">
        <v>1450</v>
      </c>
      <c r="K2111" s="15" t="s">
        <v>1004</v>
      </c>
      <c r="L2111" s="17">
        <v>50</v>
      </c>
      <c r="M2111" s="22">
        <v>5000</v>
      </c>
      <c r="N2111" s="17">
        <v>50</v>
      </c>
      <c r="O2111" s="18">
        <v>12.2</v>
      </c>
      <c r="P2111" s="18">
        <v>10</v>
      </c>
      <c r="Q2111" s="18">
        <v>11.1</v>
      </c>
      <c r="R2111" s="18">
        <v>9.1</v>
      </c>
      <c r="S2111" s="18">
        <v>8.3000000000000007</v>
      </c>
      <c r="T2111" s="18">
        <v>6.8</v>
      </c>
      <c r="U2111" s="16"/>
      <c r="V2111" s="16"/>
      <c r="W2111" s="16" t="s">
        <v>40</v>
      </c>
      <c r="X2111" s="19">
        <v>2E-3</v>
      </c>
      <c r="Y2111" s="20">
        <v>4.1999999999999998E-5</v>
      </c>
      <c r="Z2111" s="21">
        <v>4601004345072</v>
      </c>
    </row>
    <row r="2112" spans="1:26" ht="12" customHeight="1" outlineLevel="4" x14ac:dyDescent="0.2">
      <c r="A2112" s="14" t="s">
        <v>4159</v>
      </c>
      <c r="B2112" s="26" t="s">
        <v>4160</v>
      </c>
      <c r="C2112" s="52"/>
      <c r="D2112" s="55">
        <f t="shared" si="32"/>
        <v>0</v>
      </c>
      <c r="E2112" s="63" t="str">
        <f>HYPERLINK("https://www.sds-group.ru/product/trubka-termousazhivaemaya-tutng-ls-2-1-1-0-5-belaya-rexant-20-1001/", "Инфо")</f>
        <v>Инфо</v>
      </c>
      <c r="F2112" s="16" t="s">
        <v>39</v>
      </c>
      <c r="G2112" s="15"/>
      <c r="H2112" s="15"/>
      <c r="I2112" s="15"/>
      <c r="J2112" s="16" t="s">
        <v>100</v>
      </c>
      <c r="K2112" s="15" t="s">
        <v>1004</v>
      </c>
      <c r="L2112" s="17">
        <v>50</v>
      </c>
      <c r="M2112" s="22">
        <v>5000</v>
      </c>
      <c r="N2112" s="17">
        <v>50</v>
      </c>
      <c r="O2112" s="18">
        <v>12.77</v>
      </c>
      <c r="P2112" s="18">
        <v>10.47</v>
      </c>
      <c r="Q2112" s="18">
        <v>11.62</v>
      </c>
      <c r="R2112" s="18">
        <v>9.52</v>
      </c>
      <c r="S2112" s="18">
        <v>8.68</v>
      </c>
      <c r="T2112" s="18">
        <v>7.11</v>
      </c>
      <c r="U2112" s="16"/>
      <c r="V2112" s="16"/>
      <c r="W2112" s="16" t="s">
        <v>40</v>
      </c>
      <c r="X2112" s="19">
        <v>2E-3</v>
      </c>
      <c r="Y2112" s="20">
        <v>6.9999999999999999E-6</v>
      </c>
      <c r="Z2112" s="21">
        <v>4601004349971</v>
      </c>
    </row>
    <row r="2113" spans="1:26" ht="12" customHeight="1" outlineLevel="4" x14ac:dyDescent="0.2">
      <c r="A2113" s="14" t="s">
        <v>4161</v>
      </c>
      <c r="B2113" s="26" t="s">
        <v>4162</v>
      </c>
      <c r="C2113" s="52"/>
      <c r="D2113" s="55">
        <f t="shared" si="32"/>
        <v>0</v>
      </c>
      <c r="E2113" s="63" t="str">
        <f>HYPERLINK("https://www.sds-group.ru/product/trubka-termousazhivaemaya-tutng-ls-2-1-1-0-5-zheltaya-rexant-20-1002/", "Инфо")</f>
        <v>Инфо</v>
      </c>
      <c r="F2113" s="16" t="s">
        <v>39</v>
      </c>
      <c r="G2113" s="15"/>
      <c r="H2113" s="15"/>
      <c r="I2113" s="15"/>
      <c r="J2113" s="22">
        <v>3850</v>
      </c>
      <c r="K2113" s="15" t="s">
        <v>1004</v>
      </c>
      <c r="L2113" s="17">
        <v>50</v>
      </c>
      <c r="M2113" s="22">
        <v>5000</v>
      </c>
      <c r="N2113" s="17">
        <v>50</v>
      </c>
      <c r="O2113" s="18">
        <v>12.77</v>
      </c>
      <c r="P2113" s="18">
        <v>10.47</v>
      </c>
      <c r="Q2113" s="18">
        <v>11.62</v>
      </c>
      <c r="R2113" s="18">
        <v>9.52</v>
      </c>
      <c r="S2113" s="18">
        <v>8.68</v>
      </c>
      <c r="T2113" s="18">
        <v>7.11</v>
      </c>
      <c r="U2113" s="16"/>
      <c r="V2113" s="16"/>
      <c r="W2113" s="16" t="s">
        <v>40</v>
      </c>
      <c r="X2113" s="19">
        <v>2E-3</v>
      </c>
      <c r="Y2113" s="20">
        <v>6.9999999999999999E-6</v>
      </c>
      <c r="Z2113" s="21">
        <v>4601004351417</v>
      </c>
    </row>
    <row r="2114" spans="1:26" ht="12" customHeight="1" outlineLevel="4" x14ac:dyDescent="0.2">
      <c r="A2114" s="14" t="s">
        <v>4163</v>
      </c>
      <c r="B2114" s="26" t="s">
        <v>4164</v>
      </c>
      <c r="C2114" s="52"/>
      <c r="D2114" s="55">
        <f t="shared" si="32"/>
        <v>0</v>
      </c>
      <c r="E2114" s="63" t="str">
        <f>HYPERLINK("https://www.sds-group.ru/product/trubka-termousazhivaemaya-tutng-ls-2-1-1-0-5-zelenaya-rexant-20-1003/", "Инфо")</f>
        <v>Инфо</v>
      </c>
      <c r="F2114" s="16" t="s">
        <v>39</v>
      </c>
      <c r="G2114" s="15"/>
      <c r="H2114" s="15"/>
      <c r="I2114" s="15"/>
      <c r="J2114" s="22">
        <v>1950</v>
      </c>
      <c r="K2114" s="15" t="s">
        <v>1519</v>
      </c>
      <c r="L2114" s="17">
        <v>50</v>
      </c>
      <c r="M2114" s="22">
        <v>5000</v>
      </c>
      <c r="N2114" s="17">
        <v>50</v>
      </c>
      <c r="O2114" s="18">
        <v>12.77</v>
      </c>
      <c r="P2114" s="18">
        <v>10.47</v>
      </c>
      <c r="Q2114" s="18">
        <v>11.62</v>
      </c>
      <c r="R2114" s="18">
        <v>9.52</v>
      </c>
      <c r="S2114" s="18">
        <v>8.68</v>
      </c>
      <c r="T2114" s="18">
        <v>7.11</v>
      </c>
      <c r="U2114" s="16"/>
      <c r="V2114" s="16"/>
      <c r="W2114" s="16" t="s">
        <v>40</v>
      </c>
      <c r="X2114" s="19">
        <v>2E-3</v>
      </c>
      <c r="Y2114" s="20">
        <v>6.9999999999999999E-6</v>
      </c>
      <c r="Z2114" s="21">
        <v>4601004350816</v>
      </c>
    </row>
    <row r="2115" spans="1:26" ht="12" customHeight="1" outlineLevel="4" x14ac:dyDescent="0.2">
      <c r="A2115" s="14" t="s">
        <v>4165</v>
      </c>
      <c r="B2115" s="26" t="s">
        <v>4166</v>
      </c>
      <c r="C2115" s="52"/>
      <c r="D2115" s="55">
        <f t="shared" si="32"/>
        <v>0</v>
      </c>
      <c r="E2115" s="63" t="str">
        <f>HYPERLINK("https://www.sds-group.ru/product/trubka-termousazhivaemaya-tutng-ls-2-1-1-0-5-krasnaya-rexant-20-1004/", "Инфо")</f>
        <v>Инфо</v>
      </c>
      <c r="F2115" s="16" t="s">
        <v>39</v>
      </c>
      <c r="G2115" s="15"/>
      <c r="H2115" s="15"/>
      <c r="I2115" s="15"/>
      <c r="J2115" s="22">
        <v>12150</v>
      </c>
      <c r="K2115" s="15" t="s">
        <v>1004</v>
      </c>
      <c r="L2115" s="17">
        <v>50</v>
      </c>
      <c r="M2115" s="22">
        <v>5000</v>
      </c>
      <c r="N2115" s="17">
        <v>50</v>
      </c>
      <c r="O2115" s="18">
        <v>12.77</v>
      </c>
      <c r="P2115" s="18">
        <v>10.47</v>
      </c>
      <c r="Q2115" s="18">
        <v>11.62</v>
      </c>
      <c r="R2115" s="18">
        <v>9.52</v>
      </c>
      <c r="S2115" s="18">
        <v>8.68</v>
      </c>
      <c r="T2115" s="18">
        <v>7.11</v>
      </c>
      <c r="U2115" s="16"/>
      <c r="V2115" s="16"/>
      <c r="W2115" s="16" t="s">
        <v>40</v>
      </c>
      <c r="X2115" s="19">
        <v>2E-3</v>
      </c>
      <c r="Y2115" s="20">
        <v>6.9999999999999999E-6</v>
      </c>
      <c r="Z2115" s="21">
        <v>4601004350212</v>
      </c>
    </row>
    <row r="2116" spans="1:26" ht="12" customHeight="1" outlineLevel="4" x14ac:dyDescent="0.2">
      <c r="A2116" s="14" t="s">
        <v>4167</v>
      </c>
      <c r="B2116" s="26" t="s">
        <v>4168</v>
      </c>
      <c r="C2116" s="52"/>
      <c r="D2116" s="55">
        <f t="shared" si="32"/>
        <v>0</v>
      </c>
      <c r="E2116" s="63" t="str">
        <f>HYPERLINK("https://www.sds-group.ru/product/trubka-termousazhivaemaya-tutng-ls-2-1-1-0-5-sinyaya-rexant-20-1005/", "Инфо")</f>
        <v>Инфо</v>
      </c>
      <c r="F2116" s="16" t="s">
        <v>39</v>
      </c>
      <c r="G2116" s="15"/>
      <c r="H2116" s="15"/>
      <c r="I2116" s="15"/>
      <c r="J2116" s="22">
        <v>5200</v>
      </c>
      <c r="K2116" s="15"/>
      <c r="L2116" s="17">
        <v>50</v>
      </c>
      <c r="M2116" s="22">
        <v>5000</v>
      </c>
      <c r="N2116" s="17">
        <v>50</v>
      </c>
      <c r="O2116" s="18">
        <v>12.77</v>
      </c>
      <c r="P2116" s="18">
        <v>10.47</v>
      </c>
      <c r="Q2116" s="18">
        <v>11.62</v>
      </c>
      <c r="R2116" s="18">
        <v>9.52</v>
      </c>
      <c r="S2116" s="18">
        <v>8.68</v>
      </c>
      <c r="T2116" s="18">
        <v>7.11</v>
      </c>
      <c r="U2116" s="16"/>
      <c r="V2116" s="16"/>
      <c r="W2116" s="16" t="s">
        <v>40</v>
      </c>
      <c r="X2116" s="19">
        <v>2E-3</v>
      </c>
      <c r="Y2116" s="20">
        <v>6.9999999999999999E-6</v>
      </c>
      <c r="Z2116" s="21">
        <v>4601004350663</v>
      </c>
    </row>
    <row r="2117" spans="1:26" ht="12" customHeight="1" outlineLevel="4" x14ac:dyDescent="0.2">
      <c r="A2117" s="14" t="s">
        <v>4169</v>
      </c>
      <c r="B2117" s="26" t="s">
        <v>4170</v>
      </c>
      <c r="C2117" s="52"/>
      <c r="D2117" s="55">
        <f t="shared" si="32"/>
        <v>0</v>
      </c>
      <c r="E2117" s="63" t="str">
        <f>HYPERLINK("https://www.sds-group.ru/product/trubka-termousazhivaemaya-tutng-ls-2-1-1-0-5-chernaya-rexant-20-1006/", "Инфо")</f>
        <v>Инфо</v>
      </c>
      <c r="F2117" s="16" t="s">
        <v>39</v>
      </c>
      <c r="G2117" s="15"/>
      <c r="H2117" s="15"/>
      <c r="I2117" s="15"/>
      <c r="J2117" s="16" t="s">
        <v>100</v>
      </c>
      <c r="K2117" s="15" t="s">
        <v>1004</v>
      </c>
      <c r="L2117" s="17">
        <v>50</v>
      </c>
      <c r="M2117" s="22">
        <v>5000</v>
      </c>
      <c r="N2117" s="17">
        <v>50</v>
      </c>
      <c r="O2117" s="18">
        <v>11.13</v>
      </c>
      <c r="P2117" s="18">
        <v>9.1199999999999992</v>
      </c>
      <c r="Q2117" s="18">
        <v>10.130000000000001</v>
      </c>
      <c r="R2117" s="18">
        <v>8.3000000000000007</v>
      </c>
      <c r="S2117" s="18">
        <v>7.57</v>
      </c>
      <c r="T2117" s="18">
        <v>6.2</v>
      </c>
      <c r="U2117" s="16"/>
      <c r="V2117" s="16"/>
      <c r="W2117" s="16" t="s">
        <v>40</v>
      </c>
      <c r="X2117" s="19">
        <v>2E-3</v>
      </c>
      <c r="Y2117" s="20">
        <v>6.9999999999999999E-6</v>
      </c>
      <c r="Z2117" s="21">
        <v>4601004344938</v>
      </c>
    </row>
    <row r="2118" spans="1:26" ht="12" customHeight="1" outlineLevel="4" x14ac:dyDescent="0.2">
      <c r="A2118" s="14" t="s">
        <v>4171</v>
      </c>
      <c r="B2118" s="26" t="s">
        <v>4172</v>
      </c>
      <c r="C2118" s="52"/>
      <c r="D2118" s="55">
        <f t="shared" si="32"/>
        <v>0</v>
      </c>
      <c r="E2118" s="63" t="str">
        <f>HYPERLINK("https://www.sds-group.ru/product/trubka-termousazhivaemaya-tutng-ls-2-1-10-5-belaya-rexant-21-0001/", "Инфо")</f>
        <v>Инфо</v>
      </c>
      <c r="F2118" s="16" t="s">
        <v>39</v>
      </c>
      <c r="G2118" s="15"/>
      <c r="H2118" s="15"/>
      <c r="I2118" s="15"/>
      <c r="J2118" s="22">
        <v>11746</v>
      </c>
      <c r="K2118" s="15" t="s">
        <v>4150</v>
      </c>
      <c r="L2118" s="17">
        <v>50</v>
      </c>
      <c r="M2118" s="17">
        <v>800</v>
      </c>
      <c r="N2118" s="17">
        <v>50</v>
      </c>
      <c r="O2118" s="18">
        <v>37.950000000000003</v>
      </c>
      <c r="P2118" s="18">
        <v>31.11</v>
      </c>
      <c r="Q2118" s="18">
        <v>34.53</v>
      </c>
      <c r="R2118" s="18">
        <v>28.3</v>
      </c>
      <c r="S2118" s="18">
        <v>25.81</v>
      </c>
      <c r="T2118" s="18">
        <v>21.16</v>
      </c>
      <c r="U2118" s="16"/>
      <c r="V2118" s="16"/>
      <c r="W2118" s="16" t="s">
        <v>40</v>
      </c>
      <c r="X2118" s="19">
        <v>1.2E-2</v>
      </c>
      <c r="Y2118" s="20">
        <v>7.2000000000000002E-5</v>
      </c>
      <c r="Z2118" s="21">
        <v>4601004349858</v>
      </c>
    </row>
    <row r="2119" spans="1:26" ht="12" customHeight="1" outlineLevel="4" x14ac:dyDescent="0.2">
      <c r="A2119" s="14" t="s">
        <v>4173</v>
      </c>
      <c r="B2119" s="26" t="s">
        <v>4174</v>
      </c>
      <c r="C2119" s="52"/>
      <c r="D2119" s="55">
        <f t="shared" si="32"/>
        <v>0</v>
      </c>
      <c r="E2119" s="63" t="str">
        <f>HYPERLINK("https://www.sds-group.ru/product/trubka-termousazhivaemaya-tutng-ls-2-1-10-5-zheltaya-rexant-21-0002/", "Инфо")</f>
        <v>Инфо</v>
      </c>
      <c r="F2119" s="16" t="s">
        <v>39</v>
      </c>
      <c r="G2119" s="15"/>
      <c r="H2119" s="15"/>
      <c r="I2119" s="15"/>
      <c r="J2119" s="22">
        <v>4550</v>
      </c>
      <c r="K2119" s="15" t="s">
        <v>1004</v>
      </c>
      <c r="L2119" s="17">
        <v>50</v>
      </c>
      <c r="M2119" s="17">
        <v>800</v>
      </c>
      <c r="N2119" s="17">
        <v>50</v>
      </c>
      <c r="O2119" s="18">
        <v>37.950000000000003</v>
      </c>
      <c r="P2119" s="18">
        <v>31.11</v>
      </c>
      <c r="Q2119" s="18">
        <v>34.53</v>
      </c>
      <c r="R2119" s="18">
        <v>28.3</v>
      </c>
      <c r="S2119" s="18">
        <v>25.81</v>
      </c>
      <c r="T2119" s="18">
        <v>21.16</v>
      </c>
      <c r="U2119" s="16"/>
      <c r="V2119" s="16"/>
      <c r="W2119" s="16" t="s">
        <v>40</v>
      </c>
      <c r="X2119" s="19">
        <v>1.2E-2</v>
      </c>
      <c r="Y2119" s="20">
        <v>7.2000000000000002E-5</v>
      </c>
      <c r="Z2119" s="21">
        <v>4601004351370</v>
      </c>
    </row>
    <row r="2120" spans="1:26" ht="12" customHeight="1" outlineLevel="4" x14ac:dyDescent="0.2">
      <c r="A2120" s="14" t="s">
        <v>4175</v>
      </c>
      <c r="B2120" s="26" t="s">
        <v>4176</v>
      </c>
      <c r="C2120" s="52"/>
      <c r="D2120" s="55">
        <f t="shared" si="32"/>
        <v>0</v>
      </c>
      <c r="E2120" s="63" t="str">
        <f>HYPERLINK("https://www.sds-group.ru/product/trubka-termousazhivaemaya-tutng-ls-2-1-10-5-zhelto-zelenaya-rexant-21-0007/", "Инфо")</f>
        <v>Инфо</v>
      </c>
      <c r="F2120" s="16" t="s">
        <v>39</v>
      </c>
      <c r="G2120" s="15"/>
      <c r="H2120" s="15"/>
      <c r="I2120" s="15"/>
      <c r="J2120" s="17">
        <v>50</v>
      </c>
      <c r="K2120" s="15" t="s">
        <v>1004</v>
      </c>
      <c r="L2120" s="17">
        <v>50</v>
      </c>
      <c r="M2120" s="17">
        <v>800</v>
      </c>
      <c r="N2120" s="17">
        <v>50</v>
      </c>
      <c r="O2120" s="18">
        <v>43.28</v>
      </c>
      <c r="P2120" s="18">
        <v>35.479999999999997</v>
      </c>
      <c r="Q2120" s="18">
        <v>39.380000000000003</v>
      </c>
      <c r="R2120" s="18">
        <v>32.28</v>
      </c>
      <c r="S2120" s="18">
        <v>29.43</v>
      </c>
      <c r="T2120" s="18">
        <v>24.12</v>
      </c>
      <c r="U2120" s="16"/>
      <c r="V2120" s="16"/>
      <c r="W2120" s="16" t="s">
        <v>40</v>
      </c>
      <c r="X2120" s="19">
        <v>1.2E-2</v>
      </c>
      <c r="Y2120" s="20">
        <v>7.2000000000000002E-5</v>
      </c>
      <c r="Z2120" s="21">
        <v>4601004351868</v>
      </c>
    </row>
    <row r="2121" spans="1:26" ht="12" customHeight="1" outlineLevel="4" x14ac:dyDescent="0.2">
      <c r="A2121" s="14" t="s">
        <v>4177</v>
      </c>
      <c r="B2121" s="26" t="s">
        <v>4178</v>
      </c>
      <c r="C2121" s="52"/>
      <c r="D2121" s="55">
        <f t="shared" ref="D2121:D2184" si="33">C2121*(O2121-O2121*$G$3)</f>
        <v>0</v>
      </c>
      <c r="E2121" s="63" t="str">
        <f>HYPERLINK("https://www.sds-group.ru/product/trubka-termousazhivaemaya-tutng-ls-2-1-10-5-zelenaya-rexant-21-0003/", "Инфо")</f>
        <v>Инфо</v>
      </c>
      <c r="F2121" s="16" t="s">
        <v>39</v>
      </c>
      <c r="G2121" s="15"/>
      <c r="H2121" s="15"/>
      <c r="I2121" s="15"/>
      <c r="J2121" s="22">
        <v>4500</v>
      </c>
      <c r="K2121" s="15" t="s">
        <v>1004</v>
      </c>
      <c r="L2121" s="17">
        <v>50</v>
      </c>
      <c r="M2121" s="17">
        <v>800</v>
      </c>
      <c r="N2121" s="17">
        <v>50</v>
      </c>
      <c r="O2121" s="18">
        <v>37.950000000000003</v>
      </c>
      <c r="P2121" s="18">
        <v>31.11</v>
      </c>
      <c r="Q2121" s="18">
        <v>34.53</v>
      </c>
      <c r="R2121" s="18">
        <v>28.3</v>
      </c>
      <c r="S2121" s="18">
        <v>25.81</v>
      </c>
      <c r="T2121" s="18">
        <v>21.16</v>
      </c>
      <c r="U2121" s="16"/>
      <c r="V2121" s="16"/>
      <c r="W2121" s="16" t="s">
        <v>40</v>
      </c>
      <c r="X2121" s="19">
        <v>1.2E-2</v>
      </c>
      <c r="Y2121" s="20">
        <v>7.2000000000000002E-5</v>
      </c>
      <c r="Z2121" s="21">
        <v>4601004350694</v>
      </c>
    </row>
    <row r="2122" spans="1:26" ht="12" customHeight="1" outlineLevel="4" x14ac:dyDescent="0.2">
      <c r="A2122" s="14" t="s">
        <v>4179</v>
      </c>
      <c r="B2122" s="26" t="s">
        <v>4180</v>
      </c>
      <c r="C2122" s="52"/>
      <c r="D2122" s="55">
        <f t="shared" si="33"/>
        <v>0</v>
      </c>
      <c r="E2122" s="63" t="str">
        <f>HYPERLINK("https://www.sds-group.ru/product/trubka-termousazhivaemaya-tutng-ls-2-1-10-5-krasnaya-rexant-21-0004/", "Инфо")</f>
        <v>Инфо</v>
      </c>
      <c r="F2122" s="16" t="s">
        <v>39</v>
      </c>
      <c r="G2122" s="15"/>
      <c r="H2122" s="15"/>
      <c r="I2122" s="15"/>
      <c r="J2122" s="22">
        <v>7997</v>
      </c>
      <c r="K2122" s="15" t="s">
        <v>1004</v>
      </c>
      <c r="L2122" s="17">
        <v>50</v>
      </c>
      <c r="M2122" s="17">
        <v>800</v>
      </c>
      <c r="N2122" s="17">
        <v>50</v>
      </c>
      <c r="O2122" s="18">
        <v>37.950000000000003</v>
      </c>
      <c r="P2122" s="18">
        <v>31.11</v>
      </c>
      <c r="Q2122" s="18">
        <v>34.53</v>
      </c>
      <c r="R2122" s="18">
        <v>28.3</v>
      </c>
      <c r="S2122" s="18">
        <v>25.81</v>
      </c>
      <c r="T2122" s="18">
        <v>21.16</v>
      </c>
      <c r="U2122" s="16"/>
      <c r="V2122" s="16"/>
      <c r="W2122" s="16" t="s">
        <v>40</v>
      </c>
      <c r="X2122" s="19">
        <v>1.2E-2</v>
      </c>
      <c r="Y2122" s="20">
        <v>7.2000000000000002E-5</v>
      </c>
      <c r="Z2122" s="21">
        <v>4601004350298</v>
      </c>
    </row>
    <row r="2123" spans="1:26" ht="12" customHeight="1" outlineLevel="4" x14ac:dyDescent="0.2">
      <c r="A2123" s="14" t="s">
        <v>4181</v>
      </c>
      <c r="B2123" s="26" t="s">
        <v>4182</v>
      </c>
      <c r="C2123" s="52"/>
      <c r="D2123" s="55">
        <f t="shared" si="33"/>
        <v>0</v>
      </c>
      <c r="E2123" s="63" t="str">
        <f>HYPERLINK("https://www.sds-group.ru/product/trubka-termousazhivaemaya-tutng-ls-2-1-10-5-seraya-rexant-21-0010/", "Инфо")</f>
        <v>Инфо</v>
      </c>
      <c r="F2123" s="16" t="s">
        <v>39</v>
      </c>
      <c r="G2123" s="15"/>
      <c r="H2123" s="15"/>
      <c r="I2123" s="15"/>
      <c r="J2123" s="17">
        <v>100</v>
      </c>
      <c r="K2123" s="15" t="s">
        <v>4183</v>
      </c>
      <c r="L2123" s="17">
        <v>50</v>
      </c>
      <c r="M2123" s="17">
        <v>800</v>
      </c>
      <c r="N2123" s="17">
        <v>50</v>
      </c>
      <c r="O2123" s="18">
        <v>37.950000000000003</v>
      </c>
      <c r="P2123" s="18">
        <v>31.11</v>
      </c>
      <c r="Q2123" s="18">
        <v>34.53</v>
      </c>
      <c r="R2123" s="18">
        <v>28.3</v>
      </c>
      <c r="S2123" s="18">
        <v>25.81</v>
      </c>
      <c r="T2123" s="18">
        <v>21.16</v>
      </c>
      <c r="U2123" s="16"/>
      <c r="V2123" s="16"/>
      <c r="W2123" s="16" t="s">
        <v>40</v>
      </c>
      <c r="X2123" s="19">
        <v>1.2E-2</v>
      </c>
      <c r="Y2123" s="20">
        <v>7.2000000000000002E-5</v>
      </c>
      <c r="Z2123" s="21">
        <v>4601004350915</v>
      </c>
    </row>
    <row r="2124" spans="1:26" ht="12" customHeight="1" outlineLevel="4" x14ac:dyDescent="0.2">
      <c r="A2124" s="14" t="s">
        <v>4184</v>
      </c>
      <c r="B2124" s="26" t="s">
        <v>4185</v>
      </c>
      <c r="C2124" s="52"/>
      <c r="D2124" s="55">
        <f t="shared" si="33"/>
        <v>0</v>
      </c>
      <c r="E2124" s="63" t="str">
        <f>HYPERLINK("https://www.sds-group.ru/product/trubka-termousazhivaemaya-tutng-ls-2-1-10-5-sinyaya-rexant-21-0006/", "Инфо")</f>
        <v>Инфо</v>
      </c>
      <c r="F2124" s="16" t="s">
        <v>39</v>
      </c>
      <c r="G2124" s="15"/>
      <c r="H2124" s="15"/>
      <c r="I2124" s="15"/>
      <c r="J2124" s="22">
        <v>5345</v>
      </c>
      <c r="K2124" s="15" t="s">
        <v>1004</v>
      </c>
      <c r="L2124" s="17">
        <v>50</v>
      </c>
      <c r="M2124" s="17">
        <v>800</v>
      </c>
      <c r="N2124" s="17">
        <v>50</v>
      </c>
      <c r="O2124" s="18">
        <v>37.950000000000003</v>
      </c>
      <c r="P2124" s="18">
        <v>31.11</v>
      </c>
      <c r="Q2124" s="18">
        <v>34.53</v>
      </c>
      <c r="R2124" s="18">
        <v>28.3</v>
      </c>
      <c r="S2124" s="18">
        <v>25.81</v>
      </c>
      <c r="T2124" s="18">
        <v>21.16</v>
      </c>
      <c r="U2124" s="16"/>
      <c r="V2124" s="16"/>
      <c r="W2124" s="16" t="s">
        <v>40</v>
      </c>
      <c r="X2124" s="19">
        <v>1.2E-2</v>
      </c>
      <c r="Y2124" s="20">
        <v>7.2000000000000002E-5</v>
      </c>
      <c r="Z2124" s="21">
        <v>4601004350601</v>
      </c>
    </row>
    <row r="2125" spans="1:26" ht="12" customHeight="1" outlineLevel="4" x14ac:dyDescent="0.2">
      <c r="A2125" s="14" t="s">
        <v>4186</v>
      </c>
      <c r="B2125" s="26" t="s">
        <v>4187</v>
      </c>
      <c r="C2125" s="52"/>
      <c r="D2125" s="55">
        <f t="shared" si="33"/>
        <v>0</v>
      </c>
      <c r="E2125" s="63" t="str">
        <f>HYPERLINK("https://www.sds-group.ru/product/trubka-termousazhivaemaya-tutng-ls-2-1-10-5-chernaya-rexant-21-0008/", "Инфо")</f>
        <v>Инфо</v>
      </c>
      <c r="F2125" s="16" t="s">
        <v>39</v>
      </c>
      <c r="G2125" s="15"/>
      <c r="H2125" s="15"/>
      <c r="I2125" s="15"/>
      <c r="J2125" s="22">
        <v>1250</v>
      </c>
      <c r="K2125" s="15" t="s">
        <v>1004</v>
      </c>
      <c r="L2125" s="17">
        <v>50</v>
      </c>
      <c r="M2125" s="17">
        <v>800</v>
      </c>
      <c r="N2125" s="17">
        <v>50</v>
      </c>
      <c r="O2125" s="18">
        <v>36.15</v>
      </c>
      <c r="P2125" s="18">
        <v>29.63</v>
      </c>
      <c r="Q2125" s="18">
        <v>32.9</v>
      </c>
      <c r="R2125" s="18">
        <v>26.97</v>
      </c>
      <c r="S2125" s="18">
        <v>24.58</v>
      </c>
      <c r="T2125" s="18">
        <v>20.149999999999999</v>
      </c>
      <c r="U2125" s="16"/>
      <c r="V2125" s="16"/>
      <c r="W2125" s="16" t="s">
        <v>40</v>
      </c>
      <c r="X2125" s="19">
        <v>1.2E-2</v>
      </c>
      <c r="Y2125" s="20">
        <v>7.2000000000000002E-5</v>
      </c>
      <c r="Z2125" s="21">
        <v>4601004344952</v>
      </c>
    </row>
    <row r="2126" spans="1:26" ht="12" customHeight="1" outlineLevel="4" x14ac:dyDescent="0.2">
      <c r="A2126" s="14" t="s">
        <v>4188</v>
      </c>
      <c r="B2126" s="26" t="s">
        <v>4189</v>
      </c>
      <c r="C2126" s="52"/>
      <c r="D2126" s="55">
        <f t="shared" si="33"/>
        <v>0</v>
      </c>
      <c r="E2126" s="63" t="str">
        <f>HYPERLINK("https://www.sds-group.ru/product/trubka-termousazhivaemaya-tutng-ls-2-1-100-50-chernaya-rexant-25-0100/", "Инфо")</f>
        <v>Инфо</v>
      </c>
      <c r="F2126" s="16" t="s">
        <v>39</v>
      </c>
      <c r="G2126" s="15"/>
      <c r="H2126" s="15"/>
      <c r="I2126" s="15"/>
      <c r="J2126" s="16" t="s">
        <v>100</v>
      </c>
      <c r="K2126" s="15" t="s">
        <v>4183</v>
      </c>
      <c r="L2126" s="17">
        <v>10</v>
      </c>
      <c r="M2126" s="17">
        <v>50</v>
      </c>
      <c r="N2126" s="17">
        <v>10</v>
      </c>
      <c r="O2126" s="18">
        <v>703.28</v>
      </c>
      <c r="P2126" s="18">
        <v>576.46</v>
      </c>
      <c r="Q2126" s="18">
        <v>604.82000000000005</v>
      </c>
      <c r="R2126" s="18">
        <v>495.75</v>
      </c>
      <c r="S2126" s="18">
        <v>478.23</v>
      </c>
      <c r="T2126" s="18">
        <v>391.99</v>
      </c>
      <c r="U2126" s="16"/>
      <c r="V2126" s="16"/>
      <c r="W2126" s="16" t="s">
        <v>40</v>
      </c>
      <c r="X2126" s="19">
        <v>0.23699999999999999</v>
      </c>
      <c r="Y2126" s="20">
        <v>6.6699999999999995E-4</v>
      </c>
      <c r="Z2126" s="21">
        <v>4601004345010</v>
      </c>
    </row>
    <row r="2127" spans="1:26" ht="12" customHeight="1" outlineLevel="4" x14ac:dyDescent="0.2">
      <c r="A2127" s="14" t="s">
        <v>4190</v>
      </c>
      <c r="B2127" s="26" t="s">
        <v>4191</v>
      </c>
      <c r="C2127" s="52"/>
      <c r="D2127" s="55">
        <f t="shared" si="33"/>
        <v>0</v>
      </c>
      <c r="E2127" s="63" t="str">
        <f>HYPERLINK("https://www.sds-group.ru/product/trubka-termousazhivaemaya-tutng-ls-2-1-12-6-belaya-rexant-21-2001/", "Инфо")</f>
        <v>Инфо</v>
      </c>
      <c r="F2127" s="16" t="s">
        <v>39</v>
      </c>
      <c r="G2127" s="15"/>
      <c r="H2127" s="15"/>
      <c r="I2127" s="15"/>
      <c r="J2127" s="22">
        <v>4500</v>
      </c>
      <c r="K2127" s="15" t="s">
        <v>1004</v>
      </c>
      <c r="L2127" s="17">
        <v>50</v>
      </c>
      <c r="M2127" s="17">
        <v>800</v>
      </c>
      <c r="N2127" s="17">
        <v>50</v>
      </c>
      <c r="O2127" s="18">
        <v>40.450000000000003</v>
      </c>
      <c r="P2127" s="18">
        <v>33.159999999999997</v>
      </c>
      <c r="Q2127" s="18">
        <v>36.81</v>
      </c>
      <c r="R2127" s="18">
        <v>30.17</v>
      </c>
      <c r="S2127" s="18">
        <v>27.51</v>
      </c>
      <c r="T2127" s="18">
        <v>22.55</v>
      </c>
      <c r="U2127" s="16"/>
      <c r="V2127" s="16"/>
      <c r="W2127" s="16" t="s">
        <v>40</v>
      </c>
      <c r="X2127" s="19">
        <v>1.6E-2</v>
      </c>
      <c r="Y2127" s="20">
        <v>6.3E-5</v>
      </c>
      <c r="Z2127" s="21">
        <v>4601004350021</v>
      </c>
    </row>
    <row r="2128" spans="1:26" ht="12" customHeight="1" outlineLevel="4" x14ac:dyDescent="0.2">
      <c r="A2128" s="14" t="s">
        <v>4192</v>
      </c>
      <c r="B2128" s="26" t="s">
        <v>4193</v>
      </c>
      <c r="C2128" s="52"/>
      <c r="D2128" s="55">
        <f t="shared" si="33"/>
        <v>0</v>
      </c>
      <c r="E2128" s="63" t="str">
        <f>HYPERLINK("https://www.sds-group.ru/product/trubka-termousazhivaemaya-tutng-ls-2-1-12-6-zheltaya-rexant-21-2002/", "Инфо")</f>
        <v>Инфо</v>
      </c>
      <c r="F2128" s="16" t="s">
        <v>39</v>
      </c>
      <c r="G2128" s="15"/>
      <c r="H2128" s="15"/>
      <c r="I2128" s="15"/>
      <c r="J2128" s="22">
        <v>3400</v>
      </c>
      <c r="K2128" s="15" t="s">
        <v>1004</v>
      </c>
      <c r="L2128" s="17">
        <v>50</v>
      </c>
      <c r="M2128" s="17">
        <v>800</v>
      </c>
      <c r="N2128" s="17">
        <v>50</v>
      </c>
      <c r="O2128" s="18">
        <v>40.450000000000003</v>
      </c>
      <c r="P2128" s="18">
        <v>33.159999999999997</v>
      </c>
      <c r="Q2128" s="18">
        <v>36.81</v>
      </c>
      <c r="R2128" s="18">
        <v>30.17</v>
      </c>
      <c r="S2128" s="18">
        <v>27.51</v>
      </c>
      <c r="T2128" s="18">
        <v>22.55</v>
      </c>
      <c r="U2128" s="16"/>
      <c r="V2128" s="16"/>
      <c r="W2128" s="16" t="s">
        <v>40</v>
      </c>
      <c r="X2128" s="19">
        <v>1.6E-2</v>
      </c>
      <c r="Y2128" s="20">
        <v>6.3E-5</v>
      </c>
      <c r="Z2128" s="21">
        <v>4601004351462</v>
      </c>
    </row>
    <row r="2129" spans="1:26" ht="12" customHeight="1" outlineLevel="4" x14ac:dyDescent="0.2">
      <c r="A2129" s="14" t="s">
        <v>4194</v>
      </c>
      <c r="B2129" s="26" t="s">
        <v>4195</v>
      </c>
      <c r="C2129" s="52"/>
      <c r="D2129" s="55">
        <f t="shared" si="33"/>
        <v>0</v>
      </c>
      <c r="E2129" s="63" t="str">
        <f>HYPERLINK("https://www.sds-group.ru/product/trubka-termousazhivaemaya-tutng-ls-2-1-12-6-zhelto-zelenaya-rexant-21-2007/", "Инфо")</f>
        <v>Инфо</v>
      </c>
      <c r="F2129" s="16" t="s">
        <v>39</v>
      </c>
      <c r="G2129" s="15"/>
      <c r="H2129" s="15"/>
      <c r="I2129" s="15"/>
      <c r="J2129" s="17">
        <v>500</v>
      </c>
      <c r="K2129" s="15" t="s">
        <v>4183</v>
      </c>
      <c r="L2129" s="17">
        <v>50</v>
      </c>
      <c r="M2129" s="17">
        <v>800</v>
      </c>
      <c r="N2129" s="17">
        <v>50</v>
      </c>
      <c r="O2129" s="18">
        <v>68.680000000000007</v>
      </c>
      <c r="P2129" s="18">
        <v>56.3</v>
      </c>
      <c r="Q2129" s="18">
        <v>62.5</v>
      </c>
      <c r="R2129" s="18">
        <v>51.23</v>
      </c>
      <c r="S2129" s="18">
        <v>46.7</v>
      </c>
      <c r="T2129" s="18">
        <v>38.28</v>
      </c>
      <c r="U2129" s="16"/>
      <c r="V2129" s="16"/>
      <c r="W2129" s="16" t="s">
        <v>40</v>
      </c>
      <c r="X2129" s="19">
        <v>1.6E-2</v>
      </c>
      <c r="Y2129" s="20">
        <v>6.3E-5</v>
      </c>
      <c r="Z2129" s="21">
        <v>4601004351905</v>
      </c>
    </row>
    <row r="2130" spans="1:26" ht="12" customHeight="1" outlineLevel="4" x14ac:dyDescent="0.2">
      <c r="A2130" s="14" t="s">
        <v>4196</v>
      </c>
      <c r="B2130" s="26" t="s">
        <v>4197</v>
      </c>
      <c r="C2130" s="52"/>
      <c r="D2130" s="55">
        <f t="shared" si="33"/>
        <v>0</v>
      </c>
      <c r="E2130" s="63" t="str">
        <f>HYPERLINK("https://www.sds-group.ru/product/trubka-termousazhivaemaya-tutng-ls-2-1-12-6-zelenaya-rexant-21-2003/", "Инфо")</f>
        <v>Инфо</v>
      </c>
      <c r="F2130" s="16" t="s">
        <v>39</v>
      </c>
      <c r="G2130" s="15"/>
      <c r="H2130" s="15"/>
      <c r="I2130" s="15"/>
      <c r="J2130" s="22">
        <v>3400</v>
      </c>
      <c r="K2130" s="15" t="s">
        <v>4183</v>
      </c>
      <c r="L2130" s="17">
        <v>50</v>
      </c>
      <c r="M2130" s="17">
        <v>800</v>
      </c>
      <c r="N2130" s="17">
        <v>50</v>
      </c>
      <c r="O2130" s="18">
        <v>40.450000000000003</v>
      </c>
      <c r="P2130" s="18">
        <v>33.159999999999997</v>
      </c>
      <c r="Q2130" s="18">
        <v>36.81</v>
      </c>
      <c r="R2130" s="18">
        <v>30.17</v>
      </c>
      <c r="S2130" s="18">
        <v>27.51</v>
      </c>
      <c r="T2130" s="18">
        <v>22.55</v>
      </c>
      <c r="U2130" s="16"/>
      <c r="V2130" s="16"/>
      <c r="W2130" s="16" t="s">
        <v>40</v>
      </c>
      <c r="X2130" s="19">
        <v>1.6E-2</v>
      </c>
      <c r="Y2130" s="20">
        <v>6.3E-5</v>
      </c>
      <c r="Z2130" s="21">
        <v>4601004350687</v>
      </c>
    </row>
    <row r="2131" spans="1:26" ht="12" customHeight="1" outlineLevel="4" x14ac:dyDescent="0.2">
      <c r="A2131" s="14" t="s">
        <v>4198</v>
      </c>
      <c r="B2131" s="26" t="s">
        <v>4199</v>
      </c>
      <c r="C2131" s="52"/>
      <c r="D2131" s="55">
        <f t="shared" si="33"/>
        <v>0</v>
      </c>
      <c r="E2131" s="63" t="str">
        <f>HYPERLINK("https://www.sds-group.ru/product/trubka-termousazhivaemaya-tutng-ls-2-1-12-6-krasnaya-rexant-21-2004/", "Инфо")</f>
        <v>Инфо</v>
      </c>
      <c r="F2131" s="16" t="s">
        <v>39</v>
      </c>
      <c r="G2131" s="15"/>
      <c r="H2131" s="15"/>
      <c r="I2131" s="15"/>
      <c r="J2131" s="22">
        <v>5600</v>
      </c>
      <c r="K2131" s="15" t="s">
        <v>1004</v>
      </c>
      <c r="L2131" s="17">
        <v>50</v>
      </c>
      <c r="M2131" s="17">
        <v>800</v>
      </c>
      <c r="N2131" s="17">
        <v>50</v>
      </c>
      <c r="O2131" s="18">
        <v>40.450000000000003</v>
      </c>
      <c r="P2131" s="18">
        <v>33.159999999999997</v>
      </c>
      <c r="Q2131" s="18">
        <v>36.81</v>
      </c>
      <c r="R2131" s="18">
        <v>30.17</v>
      </c>
      <c r="S2131" s="18">
        <v>27.51</v>
      </c>
      <c r="T2131" s="18">
        <v>22.55</v>
      </c>
      <c r="U2131" s="16"/>
      <c r="V2131" s="16"/>
      <c r="W2131" s="16" t="s">
        <v>40</v>
      </c>
      <c r="X2131" s="19">
        <v>1.6E-2</v>
      </c>
      <c r="Y2131" s="20">
        <v>6.3E-5</v>
      </c>
      <c r="Z2131" s="21">
        <v>4601004350366</v>
      </c>
    </row>
    <row r="2132" spans="1:26" ht="12" customHeight="1" outlineLevel="4" x14ac:dyDescent="0.2">
      <c r="A2132" s="14" t="s">
        <v>4200</v>
      </c>
      <c r="B2132" s="26" t="s">
        <v>4201</v>
      </c>
      <c r="C2132" s="52"/>
      <c r="D2132" s="55">
        <f t="shared" si="33"/>
        <v>0</v>
      </c>
      <c r="E2132" s="63" t="str">
        <f>HYPERLINK("https://www.sds-group.ru/product/trubka-termousazhivaemaya-tutng-ls-2-1-12-6-seraya-rexant-21-2010/", "Инфо")</f>
        <v>Инфо</v>
      </c>
      <c r="F2132" s="16" t="s">
        <v>39</v>
      </c>
      <c r="G2132" s="15"/>
      <c r="H2132" s="15"/>
      <c r="I2132" s="15"/>
      <c r="J2132" s="22">
        <v>1700</v>
      </c>
      <c r="K2132" s="15" t="s">
        <v>4150</v>
      </c>
      <c r="L2132" s="17">
        <v>50</v>
      </c>
      <c r="M2132" s="17">
        <v>800</v>
      </c>
      <c r="N2132" s="17">
        <v>50</v>
      </c>
      <c r="O2132" s="18">
        <v>40.450000000000003</v>
      </c>
      <c r="P2132" s="18">
        <v>33.159999999999997</v>
      </c>
      <c r="Q2132" s="18">
        <v>36.81</v>
      </c>
      <c r="R2132" s="18">
        <v>30.17</v>
      </c>
      <c r="S2132" s="18">
        <v>27.51</v>
      </c>
      <c r="T2132" s="18">
        <v>22.55</v>
      </c>
      <c r="U2132" s="16"/>
      <c r="V2132" s="16"/>
      <c r="W2132" s="16" t="s">
        <v>40</v>
      </c>
      <c r="X2132" s="19">
        <v>1.6E-2</v>
      </c>
      <c r="Y2132" s="20">
        <v>6.3E-5</v>
      </c>
      <c r="Z2132" s="21">
        <v>4601004351004</v>
      </c>
    </row>
    <row r="2133" spans="1:26" ht="12" customHeight="1" outlineLevel="4" x14ac:dyDescent="0.2">
      <c r="A2133" s="14" t="s">
        <v>4202</v>
      </c>
      <c r="B2133" s="26" t="s">
        <v>4203</v>
      </c>
      <c r="C2133" s="52"/>
      <c r="D2133" s="55">
        <f t="shared" si="33"/>
        <v>0</v>
      </c>
      <c r="E2133" s="63" t="str">
        <f>HYPERLINK("https://www.sds-group.ru/product/trubka-termousazhivaemaya-tutng-ls-2-1-12-6-sinyaya-rexant-21-2005/", "Инфо")</f>
        <v>Инфо</v>
      </c>
      <c r="F2133" s="16" t="s">
        <v>39</v>
      </c>
      <c r="G2133" s="15"/>
      <c r="H2133" s="15"/>
      <c r="I2133" s="15"/>
      <c r="J2133" s="22">
        <v>4400</v>
      </c>
      <c r="K2133" s="15" t="s">
        <v>4183</v>
      </c>
      <c r="L2133" s="17">
        <v>50</v>
      </c>
      <c r="M2133" s="17">
        <v>800</v>
      </c>
      <c r="N2133" s="17">
        <v>50</v>
      </c>
      <c r="O2133" s="18">
        <v>40.450000000000003</v>
      </c>
      <c r="P2133" s="18">
        <v>33.159999999999997</v>
      </c>
      <c r="Q2133" s="18">
        <v>36.81</v>
      </c>
      <c r="R2133" s="18">
        <v>30.17</v>
      </c>
      <c r="S2133" s="18">
        <v>27.51</v>
      </c>
      <c r="T2133" s="18">
        <v>22.55</v>
      </c>
      <c r="U2133" s="16"/>
      <c r="V2133" s="16"/>
      <c r="W2133" s="16" t="s">
        <v>40</v>
      </c>
      <c r="X2133" s="19">
        <v>1.6E-2</v>
      </c>
      <c r="Y2133" s="20">
        <v>6.3E-5</v>
      </c>
      <c r="Z2133" s="21">
        <v>4601004350533</v>
      </c>
    </row>
    <row r="2134" spans="1:26" ht="12" customHeight="1" outlineLevel="4" x14ac:dyDescent="0.2">
      <c r="A2134" s="14" t="s">
        <v>4204</v>
      </c>
      <c r="B2134" s="26" t="s">
        <v>4205</v>
      </c>
      <c r="C2134" s="52"/>
      <c r="D2134" s="55">
        <f t="shared" si="33"/>
        <v>0</v>
      </c>
      <c r="E2134" s="63" t="str">
        <f>HYPERLINK("https://www.sds-group.ru/product/trubka-termousazhivaemaya-tutng-ls-2-1-12-6-chernaya-rexant-21-2006/", "Инфо")</f>
        <v>Инфо</v>
      </c>
      <c r="F2134" s="16" t="s">
        <v>39</v>
      </c>
      <c r="G2134" s="15"/>
      <c r="H2134" s="15"/>
      <c r="I2134" s="15"/>
      <c r="J2134" s="22">
        <v>14793</v>
      </c>
      <c r="K2134" s="15" t="s">
        <v>1004</v>
      </c>
      <c r="L2134" s="17">
        <v>50</v>
      </c>
      <c r="M2134" s="17">
        <v>800</v>
      </c>
      <c r="N2134" s="17">
        <v>50</v>
      </c>
      <c r="O2134" s="18">
        <v>38.520000000000003</v>
      </c>
      <c r="P2134" s="18">
        <v>31.57</v>
      </c>
      <c r="Q2134" s="18">
        <v>35.049999999999997</v>
      </c>
      <c r="R2134" s="18">
        <v>28.73</v>
      </c>
      <c r="S2134" s="18">
        <v>26.19</v>
      </c>
      <c r="T2134" s="18">
        <v>21.47</v>
      </c>
      <c r="U2134" s="16"/>
      <c r="V2134" s="16"/>
      <c r="W2134" s="16" t="s">
        <v>40</v>
      </c>
      <c r="X2134" s="19">
        <v>1.6E-2</v>
      </c>
      <c r="Y2134" s="20">
        <v>6.3E-5</v>
      </c>
      <c r="Z2134" s="21">
        <v>4601004344907</v>
      </c>
    </row>
    <row r="2135" spans="1:26" ht="12" customHeight="1" outlineLevel="4" x14ac:dyDescent="0.2">
      <c r="A2135" s="14" t="s">
        <v>4206</v>
      </c>
      <c r="B2135" s="26" t="s">
        <v>4207</v>
      </c>
      <c r="C2135" s="52"/>
      <c r="D2135" s="55">
        <f t="shared" si="33"/>
        <v>0</v>
      </c>
      <c r="E2135" s="63" t="str">
        <f>HYPERLINK("https://www.sds-group.ru/product/trubka-termousazhivaemaya-tutng-ls-2-1-120-60-chernaya-rexant-25-0120/", "Инфо")</f>
        <v>Инфо</v>
      </c>
      <c r="F2135" s="16" t="s">
        <v>39</v>
      </c>
      <c r="G2135" s="15"/>
      <c r="H2135" s="15"/>
      <c r="I2135" s="15"/>
      <c r="J2135" s="16" t="s">
        <v>100</v>
      </c>
      <c r="K2135" s="15" t="s">
        <v>1004</v>
      </c>
      <c r="L2135" s="17">
        <v>10</v>
      </c>
      <c r="M2135" s="17">
        <v>40</v>
      </c>
      <c r="N2135" s="17">
        <v>10</v>
      </c>
      <c r="O2135" s="18">
        <v>874.18</v>
      </c>
      <c r="P2135" s="18">
        <v>716.54</v>
      </c>
      <c r="Q2135" s="18">
        <v>751.79</v>
      </c>
      <c r="R2135" s="18">
        <v>616.22</v>
      </c>
      <c r="S2135" s="18">
        <v>594.44000000000005</v>
      </c>
      <c r="T2135" s="18">
        <v>487.25</v>
      </c>
      <c r="U2135" s="16"/>
      <c r="V2135" s="16"/>
      <c r="W2135" s="16" t="s">
        <v>40</v>
      </c>
      <c r="X2135" s="19">
        <v>0.32400000000000001</v>
      </c>
      <c r="Y2135" s="20">
        <v>1.786E-3</v>
      </c>
      <c r="Z2135" s="21">
        <v>4601004345034</v>
      </c>
    </row>
    <row r="2136" spans="1:26" ht="12" customHeight="1" outlineLevel="4" x14ac:dyDescent="0.2">
      <c r="A2136" s="14" t="s">
        <v>4208</v>
      </c>
      <c r="B2136" s="26" t="s">
        <v>4209</v>
      </c>
      <c r="C2136" s="52"/>
      <c r="D2136" s="55">
        <f t="shared" si="33"/>
        <v>0</v>
      </c>
      <c r="E2136" s="63" t="str">
        <f>HYPERLINK("https://www.sds-group.ru/product/trubka-termousazhivaemaya-tutng-ls-2-1-13-6-5-belaya-rexant-21-3001/", "Инфо")</f>
        <v>Инфо</v>
      </c>
      <c r="F2136" s="16" t="s">
        <v>39</v>
      </c>
      <c r="G2136" s="15"/>
      <c r="H2136" s="15"/>
      <c r="I2136" s="15"/>
      <c r="J2136" s="22">
        <v>2350</v>
      </c>
      <c r="K2136" s="15"/>
      <c r="L2136" s="17">
        <v>50</v>
      </c>
      <c r="M2136" s="17">
        <v>600</v>
      </c>
      <c r="N2136" s="17">
        <v>50</v>
      </c>
      <c r="O2136" s="18">
        <v>48.26</v>
      </c>
      <c r="P2136" s="18">
        <v>39.56</v>
      </c>
      <c r="Q2136" s="18">
        <v>43.92</v>
      </c>
      <c r="R2136" s="18">
        <v>36</v>
      </c>
      <c r="S2136" s="18">
        <v>32.82</v>
      </c>
      <c r="T2136" s="18">
        <v>26.9</v>
      </c>
      <c r="U2136" s="16"/>
      <c r="V2136" s="16"/>
      <c r="W2136" s="16" t="s">
        <v>40</v>
      </c>
      <c r="X2136" s="19">
        <v>2.1000000000000001E-2</v>
      </c>
      <c r="Y2136" s="20">
        <v>1.1E-4</v>
      </c>
      <c r="Z2136" s="21">
        <v>4601004349995</v>
      </c>
    </row>
    <row r="2137" spans="1:26" ht="12" customHeight="1" outlineLevel="4" x14ac:dyDescent="0.2">
      <c r="A2137" s="14" t="s">
        <v>4210</v>
      </c>
      <c r="B2137" s="26" t="s">
        <v>4211</v>
      </c>
      <c r="C2137" s="52"/>
      <c r="D2137" s="55">
        <f t="shared" si="33"/>
        <v>0</v>
      </c>
      <c r="E2137" s="63" t="str">
        <f>HYPERLINK("https://www.sds-group.ru/product/trubka-termousazhivaemaya-tutng-ls-2-1-13-6-5-zheltaya-rexant-21-3002/", "Инфо")</f>
        <v>Инфо</v>
      </c>
      <c r="F2137" s="16" t="s">
        <v>39</v>
      </c>
      <c r="G2137" s="15"/>
      <c r="H2137" s="15"/>
      <c r="I2137" s="15"/>
      <c r="J2137" s="22">
        <v>2400</v>
      </c>
      <c r="K2137" s="15"/>
      <c r="L2137" s="17">
        <v>50</v>
      </c>
      <c r="M2137" s="17">
        <v>600</v>
      </c>
      <c r="N2137" s="17">
        <v>50</v>
      </c>
      <c r="O2137" s="18">
        <v>48.26</v>
      </c>
      <c r="P2137" s="18">
        <v>39.56</v>
      </c>
      <c r="Q2137" s="18">
        <v>43.92</v>
      </c>
      <c r="R2137" s="18">
        <v>36</v>
      </c>
      <c r="S2137" s="18">
        <v>32.82</v>
      </c>
      <c r="T2137" s="18">
        <v>26.9</v>
      </c>
      <c r="U2137" s="16"/>
      <c r="V2137" s="16"/>
      <c r="W2137" s="16" t="s">
        <v>40</v>
      </c>
      <c r="X2137" s="19">
        <v>2.1000000000000001E-2</v>
      </c>
      <c r="Y2137" s="20">
        <v>1.1E-4</v>
      </c>
      <c r="Z2137" s="21">
        <v>4601004351264</v>
      </c>
    </row>
    <row r="2138" spans="1:26" ht="12" customHeight="1" outlineLevel="4" x14ac:dyDescent="0.2">
      <c r="A2138" s="14" t="s">
        <v>4212</v>
      </c>
      <c r="B2138" s="26" t="s">
        <v>4213</v>
      </c>
      <c r="C2138" s="52"/>
      <c r="D2138" s="55">
        <f t="shared" si="33"/>
        <v>0</v>
      </c>
      <c r="E2138" s="63" t="str">
        <f>HYPERLINK("https://www.sds-group.ru/product/trubka-termousazhivaemaya-tutng-ls-2-1-13-6-5-zelenaya-rexant-21-3003/", "Инфо")</f>
        <v>Инфо</v>
      </c>
      <c r="F2138" s="16" t="s">
        <v>39</v>
      </c>
      <c r="G2138" s="15"/>
      <c r="H2138" s="15"/>
      <c r="I2138" s="15"/>
      <c r="J2138" s="22">
        <v>1800</v>
      </c>
      <c r="K2138" s="15"/>
      <c r="L2138" s="17">
        <v>50</v>
      </c>
      <c r="M2138" s="17">
        <v>600</v>
      </c>
      <c r="N2138" s="17">
        <v>50</v>
      </c>
      <c r="O2138" s="18">
        <v>48.26</v>
      </c>
      <c r="P2138" s="18">
        <v>39.56</v>
      </c>
      <c r="Q2138" s="18">
        <v>43.92</v>
      </c>
      <c r="R2138" s="18">
        <v>36</v>
      </c>
      <c r="S2138" s="18">
        <v>32.82</v>
      </c>
      <c r="T2138" s="18">
        <v>26.9</v>
      </c>
      <c r="U2138" s="16"/>
      <c r="V2138" s="16"/>
      <c r="W2138" s="16" t="s">
        <v>40</v>
      </c>
      <c r="X2138" s="19">
        <v>2.1000000000000001E-2</v>
      </c>
      <c r="Y2138" s="20">
        <v>1.1E-4</v>
      </c>
      <c r="Z2138" s="21">
        <v>4601004350793</v>
      </c>
    </row>
    <row r="2139" spans="1:26" ht="12" customHeight="1" outlineLevel="4" x14ac:dyDescent="0.2">
      <c r="A2139" s="14" t="s">
        <v>4214</v>
      </c>
      <c r="B2139" s="26" t="s">
        <v>4215</v>
      </c>
      <c r="C2139" s="52"/>
      <c r="D2139" s="55">
        <f t="shared" si="33"/>
        <v>0</v>
      </c>
      <c r="E2139" s="63" t="str">
        <f>HYPERLINK("https://www.sds-group.ru/product/trubka-termousazhivaemaya-tutng-ls-2-1-13-6-5-krasnaya-rexant-21-3004/", "Инфо")</f>
        <v>Инфо</v>
      </c>
      <c r="F2139" s="16" t="s">
        <v>39</v>
      </c>
      <c r="G2139" s="15"/>
      <c r="H2139" s="15"/>
      <c r="I2139" s="15"/>
      <c r="J2139" s="17">
        <v>900</v>
      </c>
      <c r="K2139" s="15" t="s">
        <v>4183</v>
      </c>
      <c r="L2139" s="17">
        <v>50</v>
      </c>
      <c r="M2139" s="17">
        <v>600</v>
      </c>
      <c r="N2139" s="17">
        <v>50</v>
      </c>
      <c r="O2139" s="18">
        <v>48.26</v>
      </c>
      <c r="P2139" s="18">
        <v>39.56</v>
      </c>
      <c r="Q2139" s="18">
        <v>43.92</v>
      </c>
      <c r="R2139" s="18">
        <v>36</v>
      </c>
      <c r="S2139" s="18">
        <v>32.82</v>
      </c>
      <c r="T2139" s="18">
        <v>26.9</v>
      </c>
      <c r="U2139" s="16"/>
      <c r="V2139" s="16"/>
      <c r="W2139" s="16" t="s">
        <v>40</v>
      </c>
      <c r="X2139" s="19">
        <v>2.1000000000000001E-2</v>
      </c>
      <c r="Y2139" s="20">
        <v>1.1E-4</v>
      </c>
      <c r="Z2139" s="21">
        <v>4601004350175</v>
      </c>
    </row>
    <row r="2140" spans="1:26" ht="12" customHeight="1" outlineLevel="4" x14ac:dyDescent="0.2">
      <c r="A2140" s="14" t="s">
        <v>4216</v>
      </c>
      <c r="B2140" s="26" t="s">
        <v>4217</v>
      </c>
      <c r="C2140" s="52"/>
      <c r="D2140" s="55">
        <f t="shared" si="33"/>
        <v>0</v>
      </c>
      <c r="E2140" s="63" t="str">
        <f>HYPERLINK("https://www.sds-group.ru/product/trubka-termousazhivaemaya-tutng-ls-2-1-13-6-5-sinyaya-rexant-21-3006/", "Инфо")</f>
        <v>Инфо</v>
      </c>
      <c r="F2140" s="16" t="s">
        <v>39</v>
      </c>
      <c r="G2140" s="15"/>
      <c r="H2140" s="15"/>
      <c r="I2140" s="15"/>
      <c r="J2140" s="22">
        <v>10050</v>
      </c>
      <c r="K2140" s="15"/>
      <c r="L2140" s="17">
        <v>50</v>
      </c>
      <c r="M2140" s="17">
        <v>600</v>
      </c>
      <c r="N2140" s="17">
        <v>50</v>
      </c>
      <c r="O2140" s="18">
        <v>48.26</v>
      </c>
      <c r="P2140" s="18">
        <v>39.56</v>
      </c>
      <c r="Q2140" s="18">
        <v>43.92</v>
      </c>
      <c r="R2140" s="18">
        <v>36</v>
      </c>
      <c r="S2140" s="18">
        <v>32.82</v>
      </c>
      <c r="T2140" s="18">
        <v>26.9</v>
      </c>
      <c r="U2140" s="16"/>
      <c r="V2140" s="16"/>
      <c r="W2140" s="16" t="s">
        <v>40</v>
      </c>
      <c r="X2140" s="19">
        <v>2.1000000000000001E-2</v>
      </c>
      <c r="Y2140" s="20">
        <v>1.1E-4</v>
      </c>
      <c r="Z2140" s="21">
        <v>4601004350472</v>
      </c>
    </row>
    <row r="2141" spans="1:26" ht="12" customHeight="1" outlineLevel="4" x14ac:dyDescent="0.2">
      <c r="A2141" s="14" t="s">
        <v>4218</v>
      </c>
      <c r="B2141" s="26" t="s">
        <v>4219</v>
      </c>
      <c r="C2141" s="52"/>
      <c r="D2141" s="55">
        <f t="shared" si="33"/>
        <v>0</v>
      </c>
      <c r="E2141" s="63" t="str">
        <f>HYPERLINK("https://www.sds-group.ru/product/trubka-termousazhivaemaya-tutng-ls-2-1-13-6-5-chernaya-rexant-21-3008/", "Инфо")</f>
        <v>Инфо</v>
      </c>
      <c r="F2141" s="16" t="s">
        <v>39</v>
      </c>
      <c r="G2141" s="15"/>
      <c r="H2141" s="15"/>
      <c r="I2141" s="15"/>
      <c r="J2141" s="22">
        <v>7835</v>
      </c>
      <c r="K2141" s="15" t="s">
        <v>4183</v>
      </c>
      <c r="L2141" s="17">
        <v>50</v>
      </c>
      <c r="M2141" s="17">
        <v>600</v>
      </c>
      <c r="N2141" s="17">
        <v>50</v>
      </c>
      <c r="O2141" s="18">
        <v>47.82</v>
      </c>
      <c r="P2141" s="18">
        <v>39.200000000000003</v>
      </c>
      <c r="Q2141" s="18">
        <v>43.52</v>
      </c>
      <c r="R2141" s="18">
        <v>35.67</v>
      </c>
      <c r="S2141" s="18">
        <v>32.520000000000003</v>
      </c>
      <c r="T2141" s="18">
        <v>26.66</v>
      </c>
      <c r="U2141" s="16"/>
      <c r="V2141" s="16"/>
      <c r="W2141" s="16" t="s">
        <v>40</v>
      </c>
      <c r="X2141" s="19">
        <v>2.1000000000000001E-2</v>
      </c>
      <c r="Y2141" s="20">
        <v>1.1E-4</v>
      </c>
      <c r="Z2141" s="21">
        <v>4601004345171</v>
      </c>
    </row>
    <row r="2142" spans="1:26" ht="12" customHeight="1" outlineLevel="4" x14ac:dyDescent="0.2">
      <c r="A2142" s="14" t="s">
        <v>4220</v>
      </c>
      <c r="B2142" s="26" t="s">
        <v>4221</v>
      </c>
      <c r="C2142" s="52"/>
      <c r="D2142" s="55">
        <f t="shared" si="33"/>
        <v>0</v>
      </c>
      <c r="E2142" s="63" t="str">
        <f>HYPERLINK("https://www.sds-group.ru/product/trubka-termousazhivaemaya-tutng-ls-2-1-15-7-5-belaya-rexant-21-5001/", "Инфо")</f>
        <v>Инфо</v>
      </c>
      <c r="F2142" s="16" t="s">
        <v>39</v>
      </c>
      <c r="G2142" s="15"/>
      <c r="H2142" s="15"/>
      <c r="I2142" s="15"/>
      <c r="J2142" s="22">
        <v>4450</v>
      </c>
      <c r="K2142" s="15" t="s">
        <v>4150</v>
      </c>
      <c r="L2142" s="17">
        <v>50</v>
      </c>
      <c r="M2142" s="17">
        <v>500</v>
      </c>
      <c r="N2142" s="17">
        <v>50</v>
      </c>
      <c r="O2142" s="18">
        <v>65.33</v>
      </c>
      <c r="P2142" s="18">
        <v>53.55</v>
      </c>
      <c r="Q2142" s="18">
        <v>59.45</v>
      </c>
      <c r="R2142" s="18">
        <v>48.73</v>
      </c>
      <c r="S2142" s="18">
        <v>44.42</v>
      </c>
      <c r="T2142" s="18">
        <v>36.409999999999997</v>
      </c>
      <c r="U2142" s="16"/>
      <c r="V2142" s="16"/>
      <c r="W2142" s="16" t="s">
        <v>40</v>
      </c>
      <c r="X2142" s="19">
        <v>2.5999999999999999E-2</v>
      </c>
      <c r="Y2142" s="20">
        <v>7.2999999999999999E-5</v>
      </c>
      <c r="Z2142" s="21">
        <v>4601004349834</v>
      </c>
    </row>
    <row r="2143" spans="1:26" ht="12" customHeight="1" outlineLevel="4" x14ac:dyDescent="0.2">
      <c r="A2143" s="14" t="s">
        <v>4222</v>
      </c>
      <c r="B2143" s="26" t="s">
        <v>4223</v>
      </c>
      <c r="C2143" s="52"/>
      <c r="D2143" s="55">
        <f t="shared" si="33"/>
        <v>0</v>
      </c>
      <c r="E2143" s="63" t="str">
        <f>HYPERLINK("https://www.sds-group.ru/product/trubka-termousazhivaemaya-tutng-ls-2-1-15-7-5-zheltaya-rexant-21-5002/", "Инфо")</f>
        <v>Инфо</v>
      </c>
      <c r="F2143" s="16" t="s">
        <v>39</v>
      </c>
      <c r="G2143" s="15"/>
      <c r="H2143" s="15"/>
      <c r="I2143" s="15"/>
      <c r="J2143" s="22">
        <v>1750</v>
      </c>
      <c r="K2143" s="15" t="s">
        <v>1004</v>
      </c>
      <c r="L2143" s="17">
        <v>50</v>
      </c>
      <c r="M2143" s="17">
        <v>500</v>
      </c>
      <c r="N2143" s="17">
        <v>50</v>
      </c>
      <c r="O2143" s="18">
        <v>65.33</v>
      </c>
      <c r="P2143" s="18">
        <v>53.55</v>
      </c>
      <c r="Q2143" s="18">
        <v>59.45</v>
      </c>
      <c r="R2143" s="18">
        <v>48.73</v>
      </c>
      <c r="S2143" s="18">
        <v>44.42</v>
      </c>
      <c r="T2143" s="18">
        <v>36.409999999999997</v>
      </c>
      <c r="U2143" s="16"/>
      <c r="V2143" s="16"/>
      <c r="W2143" s="16" t="s">
        <v>40</v>
      </c>
      <c r="X2143" s="19">
        <v>2.4E-2</v>
      </c>
      <c r="Y2143" s="20">
        <v>1.35E-4</v>
      </c>
      <c r="Z2143" s="21">
        <v>4601004351318</v>
      </c>
    </row>
    <row r="2144" spans="1:26" ht="12" customHeight="1" outlineLevel="4" x14ac:dyDescent="0.2">
      <c r="A2144" s="14" t="s">
        <v>4224</v>
      </c>
      <c r="B2144" s="26" t="s">
        <v>4225</v>
      </c>
      <c r="C2144" s="52"/>
      <c r="D2144" s="55">
        <f t="shared" si="33"/>
        <v>0</v>
      </c>
      <c r="E2144" s="63" t="str">
        <f>HYPERLINK("https://www.sds-group.ru/product/trubka-termousazhivaemaya-tutng-ls-2-1-15-7-5-zhelto-zelenaya-rexant-21-5007/", "Инфо")</f>
        <v>Инфо</v>
      </c>
      <c r="F2144" s="16" t="s">
        <v>39</v>
      </c>
      <c r="G2144" s="15"/>
      <c r="H2144" s="15"/>
      <c r="I2144" s="15"/>
      <c r="J2144" s="16" t="s">
        <v>100</v>
      </c>
      <c r="K2144" s="15" t="s">
        <v>1004</v>
      </c>
      <c r="L2144" s="17">
        <v>50</v>
      </c>
      <c r="M2144" s="17">
        <v>500</v>
      </c>
      <c r="N2144" s="17">
        <v>50</v>
      </c>
      <c r="O2144" s="18">
        <v>97.39</v>
      </c>
      <c r="P2144" s="18">
        <v>79.83</v>
      </c>
      <c r="Q2144" s="18">
        <v>88.62</v>
      </c>
      <c r="R2144" s="18">
        <v>72.64</v>
      </c>
      <c r="S2144" s="18">
        <v>66.23</v>
      </c>
      <c r="T2144" s="18">
        <v>54.29</v>
      </c>
      <c r="U2144" s="16"/>
      <c r="V2144" s="16"/>
      <c r="W2144" s="16" t="s">
        <v>40</v>
      </c>
      <c r="X2144" s="19">
        <v>2.4E-2</v>
      </c>
      <c r="Y2144" s="20">
        <v>1.35E-4</v>
      </c>
      <c r="Z2144" s="21">
        <v>4601004351851</v>
      </c>
    </row>
    <row r="2145" spans="1:26" ht="12" customHeight="1" outlineLevel="4" x14ac:dyDescent="0.2">
      <c r="A2145" s="14" t="s">
        <v>4226</v>
      </c>
      <c r="B2145" s="26" t="s">
        <v>4227</v>
      </c>
      <c r="C2145" s="52"/>
      <c r="D2145" s="55">
        <f t="shared" si="33"/>
        <v>0</v>
      </c>
      <c r="E2145" s="63" t="str">
        <f>HYPERLINK("https://www.sds-group.ru/product/trubka-termousazhivaemaya-tutng-ls-2-1-15-7-5-zelenaya-rexant-21-5003/", "Инфо")</f>
        <v>Инфо</v>
      </c>
      <c r="F2145" s="16" t="s">
        <v>39</v>
      </c>
      <c r="G2145" s="15"/>
      <c r="H2145" s="15"/>
      <c r="I2145" s="15"/>
      <c r="J2145" s="17">
        <v>650</v>
      </c>
      <c r="K2145" s="15" t="s">
        <v>1004</v>
      </c>
      <c r="L2145" s="17">
        <v>50</v>
      </c>
      <c r="M2145" s="17">
        <v>500</v>
      </c>
      <c r="N2145" s="17">
        <v>50</v>
      </c>
      <c r="O2145" s="18">
        <v>65.33</v>
      </c>
      <c r="P2145" s="18">
        <v>53.55</v>
      </c>
      <c r="Q2145" s="18">
        <v>59.45</v>
      </c>
      <c r="R2145" s="18">
        <v>48.73</v>
      </c>
      <c r="S2145" s="18">
        <v>44.42</v>
      </c>
      <c r="T2145" s="18">
        <v>36.409999999999997</v>
      </c>
      <c r="U2145" s="16"/>
      <c r="V2145" s="16"/>
      <c r="W2145" s="16" t="s">
        <v>40</v>
      </c>
      <c r="X2145" s="19">
        <v>2.4E-2</v>
      </c>
      <c r="Y2145" s="20">
        <v>1.35E-4</v>
      </c>
      <c r="Z2145" s="21">
        <v>4601004350878</v>
      </c>
    </row>
    <row r="2146" spans="1:26" ht="12" customHeight="1" outlineLevel="4" x14ac:dyDescent="0.2">
      <c r="A2146" s="14" t="s">
        <v>4228</v>
      </c>
      <c r="B2146" s="26" t="s">
        <v>4229</v>
      </c>
      <c r="C2146" s="52"/>
      <c r="D2146" s="55">
        <f t="shared" si="33"/>
        <v>0</v>
      </c>
      <c r="E2146" s="63" t="str">
        <f>HYPERLINK("https://www.sds-group.ru/product/trubka-termousazhivaemaya-tutng-ls-2-1-15-7-5-krasnaya-rexant-21-5004/", "Инфо")</f>
        <v>Инфо</v>
      </c>
      <c r="F2146" s="16" t="s">
        <v>39</v>
      </c>
      <c r="G2146" s="15"/>
      <c r="H2146" s="15"/>
      <c r="I2146" s="15"/>
      <c r="J2146" s="22">
        <v>7250</v>
      </c>
      <c r="K2146" s="15" t="s">
        <v>4183</v>
      </c>
      <c r="L2146" s="17">
        <v>50</v>
      </c>
      <c r="M2146" s="17">
        <v>500</v>
      </c>
      <c r="N2146" s="17">
        <v>50</v>
      </c>
      <c r="O2146" s="18">
        <v>65.319999999999993</v>
      </c>
      <c r="P2146" s="18">
        <v>53.54</v>
      </c>
      <c r="Q2146" s="18">
        <v>59.44</v>
      </c>
      <c r="R2146" s="18">
        <v>48.72</v>
      </c>
      <c r="S2146" s="18">
        <v>44.42</v>
      </c>
      <c r="T2146" s="18">
        <v>36.409999999999997</v>
      </c>
      <c r="U2146" s="16"/>
      <c r="V2146" s="16"/>
      <c r="W2146" s="16" t="s">
        <v>40</v>
      </c>
      <c r="X2146" s="19">
        <v>2.4E-2</v>
      </c>
      <c r="Y2146" s="20">
        <v>1.35E-4</v>
      </c>
      <c r="Z2146" s="21">
        <v>4601004350281</v>
      </c>
    </row>
    <row r="2147" spans="1:26" ht="12" customHeight="1" outlineLevel="4" x14ac:dyDescent="0.2">
      <c r="A2147" s="14" t="s">
        <v>4230</v>
      </c>
      <c r="B2147" s="26" t="s">
        <v>4231</v>
      </c>
      <c r="C2147" s="52"/>
      <c r="D2147" s="55">
        <f t="shared" si="33"/>
        <v>0</v>
      </c>
      <c r="E2147" s="63" t="str">
        <f>HYPERLINK("https://www.sds-group.ru/product/trubka-termousazhivaemaya-tutng-ls-2-1-15-7-5-seraya-rexant-21-5010/", "Инфо")</f>
        <v>Инфо</v>
      </c>
      <c r="F2147" s="16" t="s">
        <v>39</v>
      </c>
      <c r="G2147" s="15"/>
      <c r="H2147" s="15"/>
      <c r="I2147" s="15"/>
      <c r="J2147" s="17">
        <v>150</v>
      </c>
      <c r="K2147" s="15" t="s">
        <v>1004</v>
      </c>
      <c r="L2147" s="17">
        <v>50</v>
      </c>
      <c r="M2147" s="17">
        <v>500</v>
      </c>
      <c r="N2147" s="17">
        <v>50</v>
      </c>
      <c r="O2147" s="18">
        <v>65.33</v>
      </c>
      <c r="P2147" s="18">
        <v>53.55</v>
      </c>
      <c r="Q2147" s="18">
        <v>59.45</v>
      </c>
      <c r="R2147" s="18">
        <v>48.73</v>
      </c>
      <c r="S2147" s="18">
        <v>44.42</v>
      </c>
      <c r="T2147" s="18">
        <v>36.409999999999997</v>
      </c>
      <c r="U2147" s="16"/>
      <c r="V2147" s="16"/>
      <c r="W2147" s="16" t="s">
        <v>40</v>
      </c>
      <c r="X2147" s="19">
        <v>2.4E-2</v>
      </c>
      <c r="Y2147" s="20">
        <v>1.35E-4</v>
      </c>
      <c r="Z2147" s="21">
        <v>4601004350939</v>
      </c>
    </row>
    <row r="2148" spans="1:26" ht="12" customHeight="1" outlineLevel="4" x14ac:dyDescent="0.2">
      <c r="A2148" s="14" t="s">
        <v>4232</v>
      </c>
      <c r="B2148" s="26" t="s">
        <v>4233</v>
      </c>
      <c r="C2148" s="52"/>
      <c r="D2148" s="55">
        <f t="shared" si="33"/>
        <v>0</v>
      </c>
      <c r="E2148" s="63" t="str">
        <f>HYPERLINK("https://www.sds-group.ru/product/trubka-termousazhivaemaya-tutng-ls-2-1-15-7-5-sinyaya-rexant-21-5005/", "Инфо")</f>
        <v>Инфо</v>
      </c>
      <c r="F2148" s="16" t="s">
        <v>39</v>
      </c>
      <c r="G2148" s="15"/>
      <c r="H2148" s="15"/>
      <c r="I2148" s="15"/>
      <c r="J2148" s="22">
        <v>4850</v>
      </c>
      <c r="K2148" s="15" t="s">
        <v>4150</v>
      </c>
      <c r="L2148" s="17">
        <v>50</v>
      </c>
      <c r="M2148" s="17">
        <v>500</v>
      </c>
      <c r="N2148" s="17">
        <v>50</v>
      </c>
      <c r="O2148" s="18">
        <v>65.33</v>
      </c>
      <c r="P2148" s="18">
        <v>53.55</v>
      </c>
      <c r="Q2148" s="18">
        <v>59.45</v>
      </c>
      <c r="R2148" s="18">
        <v>48.73</v>
      </c>
      <c r="S2148" s="18">
        <v>44.42</v>
      </c>
      <c r="T2148" s="18">
        <v>36.409999999999997</v>
      </c>
      <c r="U2148" s="16"/>
      <c r="V2148" s="16"/>
      <c r="W2148" s="16" t="s">
        <v>40</v>
      </c>
      <c r="X2148" s="19">
        <v>2.4E-2</v>
      </c>
      <c r="Y2148" s="20">
        <v>1.35E-4</v>
      </c>
      <c r="Z2148" s="21">
        <v>4601004350502</v>
      </c>
    </row>
    <row r="2149" spans="1:26" ht="12" customHeight="1" outlineLevel="4" x14ac:dyDescent="0.2">
      <c r="A2149" s="14" t="s">
        <v>4234</v>
      </c>
      <c r="B2149" s="26" t="s">
        <v>4235</v>
      </c>
      <c r="C2149" s="52"/>
      <c r="D2149" s="55">
        <f t="shared" si="33"/>
        <v>0</v>
      </c>
      <c r="E2149" s="63" t="str">
        <f>HYPERLINK("https://www.sds-group.ru/product/trubka-termousazhivaemaya-tutng-ls-2-1-15-7-5-chernaya-rexant-21-5006/", "Инфо")</f>
        <v>Инфо</v>
      </c>
      <c r="F2149" s="16" t="s">
        <v>39</v>
      </c>
      <c r="G2149" s="15"/>
      <c r="H2149" s="15"/>
      <c r="I2149" s="15"/>
      <c r="J2149" s="22">
        <v>9135</v>
      </c>
      <c r="K2149" s="15" t="s">
        <v>1004</v>
      </c>
      <c r="L2149" s="17">
        <v>50</v>
      </c>
      <c r="M2149" s="17">
        <v>500</v>
      </c>
      <c r="N2149" s="17">
        <v>50</v>
      </c>
      <c r="O2149" s="18">
        <v>62.76</v>
      </c>
      <c r="P2149" s="18">
        <v>51.44</v>
      </c>
      <c r="Q2149" s="18">
        <v>57.11</v>
      </c>
      <c r="R2149" s="18">
        <v>46.81</v>
      </c>
      <c r="S2149" s="18">
        <v>42.68</v>
      </c>
      <c r="T2149" s="18">
        <v>34.979999999999997</v>
      </c>
      <c r="U2149" s="16"/>
      <c r="V2149" s="16"/>
      <c r="W2149" s="16" t="s">
        <v>40</v>
      </c>
      <c r="X2149" s="19">
        <v>2.4E-2</v>
      </c>
      <c r="Y2149" s="20">
        <v>1.35E-4</v>
      </c>
      <c r="Z2149" s="21">
        <v>4601004345041</v>
      </c>
    </row>
    <row r="2150" spans="1:26" ht="12" customHeight="1" outlineLevel="4" x14ac:dyDescent="0.2">
      <c r="A2150" s="14" t="s">
        <v>4236</v>
      </c>
      <c r="B2150" s="26" t="s">
        <v>4237</v>
      </c>
      <c r="C2150" s="52"/>
      <c r="D2150" s="55">
        <f t="shared" si="33"/>
        <v>0</v>
      </c>
      <c r="E2150" s="63" t="str">
        <f>HYPERLINK("https://www.sds-group.ru/product/trubka-termousazhivaemaya-tutng-ls-2-1-18-9-krasnaya-rexant-21-8004/", "Инфо")</f>
        <v>Инфо</v>
      </c>
      <c r="F2150" s="16" t="s">
        <v>39</v>
      </c>
      <c r="G2150" s="15"/>
      <c r="H2150" s="15"/>
      <c r="I2150" s="15"/>
      <c r="J2150" s="22">
        <v>1100</v>
      </c>
      <c r="K2150" s="15" t="s">
        <v>4150</v>
      </c>
      <c r="L2150" s="17">
        <v>50</v>
      </c>
      <c r="M2150" s="17">
        <v>400</v>
      </c>
      <c r="N2150" s="17">
        <v>50</v>
      </c>
      <c r="O2150" s="18">
        <v>84.45</v>
      </c>
      <c r="P2150" s="18">
        <v>69.22</v>
      </c>
      <c r="Q2150" s="18">
        <v>76.849999999999994</v>
      </c>
      <c r="R2150" s="18">
        <v>62.99</v>
      </c>
      <c r="S2150" s="18">
        <v>57.43</v>
      </c>
      <c r="T2150" s="18">
        <v>47.07</v>
      </c>
      <c r="U2150" s="16"/>
      <c r="V2150" s="16"/>
      <c r="W2150" s="16" t="s">
        <v>40</v>
      </c>
      <c r="X2150" s="19">
        <v>3.1E-2</v>
      </c>
      <c r="Y2150" s="20">
        <v>1.44E-4</v>
      </c>
      <c r="Z2150" s="21">
        <v>4601004350168</v>
      </c>
    </row>
    <row r="2151" spans="1:26" ht="12" customHeight="1" outlineLevel="4" x14ac:dyDescent="0.2">
      <c r="A2151" s="14" t="s">
        <v>4238</v>
      </c>
      <c r="B2151" s="26" t="s">
        <v>4239</v>
      </c>
      <c r="C2151" s="52"/>
      <c r="D2151" s="55">
        <f t="shared" si="33"/>
        <v>0</v>
      </c>
      <c r="E2151" s="63" t="str">
        <f>HYPERLINK("https://www.sds-group.ru/product/trubka-termousazhivaemaya-tutng-ls-2-1-18-9-chernaya-rexant-21-8006/", "Инфо")</f>
        <v>Инфо</v>
      </c>
      <c r="F2151" s="16" t="s">
        <v>39</v>
      </c>
      <c r="G2151" s="15"/>
      <c r="H2151" s="15"/>
      <c r="I2151" s="15"/>
      <c r="J2151" s="22">
        <v>5344</v>
      </c>
      <c r="K2151" s="15" t="s">
        <v>4183</v>
      </c>
      <c r="L2151" s="17">
        <v>50</v>
      </c>
      <c r="M2151" s="17">
        <v>400</v>
      </c>
      <c r="N2151" s="17">
        <v>50</v>
      </c>
      <c r="O2151" s="18">
        <v>84.44</v>
      </c>
      <c r="P2151" s="18">
        <v>69.209999999999994</v>
      </c>
      <c r="Q2151" s="18">
        <v>76.84</v>
      </c>
      <c r="R2151" s="18">
        <v>62.98</v>
      </c>
      <c r="S2151" s="18">
        <v>57.42</v>
      </c>
      <c r="T2151" s="18">
        <v>47.07</v>
      </c>
      <c r="U2151" s="16"/>
      <c r="V2151" s="16"/>
      <c r="W2151" s="16" t="s">
        <v>40</v>
      </c>
      <c r="X2151" s="19">
        <v>3.1E-2</v>
      </c>
      <c r="Y2151" s="20">
        <v>1.44E-4</v>
      </c>
      <c r="Z2151" s="21">
        <v>4601004345140</v>
      </c>
    </row>
    <row r="2152" spans="1:26" ht="12" customHeight="1" outlineLevel="4" x14ac:dyDescent="0.2">
      <c r="A2152" s="14" t="s">
        <v>4240</v>
      </c>
      <c r="B2152" s="26" t="s">
        <v>4241</v>
      </c>
      <c r="C2152" s="52"/>
      <c r="D2152" s="55">
        <f t="shared" si="33"/>
        <v>0</v>
      </c>
      <c r="E2152" s="63" t="str">
        <f>HYPERLINK("https://www.sds-group.ru/product/trubka-termousazhivaemaya-tutng-ls-2-1-19-9-5-belaya-rexant-21-9001/", "Инфо")</f>
        <v>Инфо</v>
      </c>
      <c r="F2152" s="16" t="s">
        <v>39</v>
      </c>
      <c r="G2152" s="15"/>
      <c r="H2152" s="15"/>
      <c r="I2152" s="15"/>
      <c r="J2152" s="22">
        <v>1210</v>
      </c>
      <c r="K2152" s="15"/>
      <c r="L2152" s="17">
        <v>10</v>
      </c>
      <c r="M2152" s="17">
        <v>400</v>
      </c>
      <c r="N2152" s="17">
        <v>10</v>
      </c>
      <c r="O2152" s="18">
        <v>89.57</v>
      </c>
      <c r="P2152" s="18">
        <v>73.42</v>
      </c>
      <c r="Q2152" s="18">
        <v>81.510000000000005</v>
      </c>
      <c r="R2152" s="18">
        <v>66.81</v>
      </c>
      <c r="S2152" s="18">
        <v>60.91</v>
      </c>
      <c r="T2152" s="18">
        <v>49.93</v>
      </c>
      <c r="U2152" s="16"/>
      <c r="V2152" s="16"/>
      <c r="W2152" s="16" t="s">
        <v>40</v>
      </c>
      <c r="X2152" s="19">
        <v>2.7E-2</v>
      </c>
      <c r="Y2152" s="20">
        <v>2.7999999999999998E-4</v>
      </c>
      <c r="Z2152" s="21">
        <v>4601004349902</v>
      </c>
    </row>
    <row r="2153" spans="1:26" ht="12" customHeight="1" outlineLevel="4" x14ac:dyDescent="0.2">
      <c r="A2153" s="14" t="s">
        <v>4242</v>
      </c>
      <c r="B2153" s="26" t="s">
        <v>4243</v>
      </c>
      <c r="C2153" s="52"/>
      <c r="D2153" s="55">
        <f t="shared" si="33"/>
        <v>0</v>
      </c>
      <c r="E2153" s="63" t="str">
        <f>HYPERLINK("https://www.sds-group.ru/product/trubka-termousazhivaemaya-tutng-ls-2-1-19-9-5-zheltaya-rexant-21-9002/", "Инфо")</f>
        <v>Инфо</v>
      </c>
      <c r="F2153" s="16" t="s">
        <v>39</v>
      </c>
      <c r="G2153" s="15"/>
      <c r="H2153" s="15"/>
      <c r="I2153" s="15"/>
      <c r="J2153" s="17">
        <v>590</v>
      </c>
      <c r="K2153" s="15"/>
      <c r="L2153" s="17">
        <v>10</v>
      </c>
      <c r="M2153" s="17">
        <v>400</v>
      </c>
      <c r="N2153" s="17">
        <v>10</v>
      </c>
      <c r="O2153" s="18">
        <v>89.57</v>
      </c>
      <c r="P2153" s="18">
        <v>73.42</v>
      </c>
      <c r="Q2153" s="18">
        <v>81.510000000000005</v>
      </c>
      <c r="R2153" s="18">
        <v>66.81</v>
      </c>
      <c r="S2153" s="18">
        <v>60.91</v>
      </c>
      <c r="T2153" s="18">
        <v>49.93</v>
      </c>
      <c r="U2153" s="16"/>
      <c r="V2153" s="16"/>
      <c r="W2153" s="16" t="s">
        <v>40</v>
      </c>
      <c r="X2153" s="19">
        <v>2.7E-2</v>
      </c>
      <c r="Y2153" s="20">
        <v>2.7999999999999998E-4</v>
      </c>
      <c r="Z2153" s="21">
        <v>4601004351301</v>
      </c>
    </row>
    <row r="2154" spans="1:26" ht="12" customHeight="1" outlineLevel="4" x14ac:dyDescent="0.2">
      <c r="A2154" s="14" t="s">
        <v>4244</v>
      </c>
      <c r="B2154" s="26" t="s">
        <v>4245</v>
      </c>
      <c r="C2154" s="52"/>
      <c r="D2154" s="55">
        <f t="shared" si="33"/>
        <v>0</v>
      </c>
      <c r="E2154" s="63" t="str">
        <f>HYPERLINK("https://www.sds-group.ru/product/trubka-termousazhivaemaya-tutng-ls-2-1-19-9-5-zelenaya-rexant-21-9003/", "Инфо")</f>
        <v>Инфо</v>
      </c>
      <c r="F2154" s="16" t="s">
        <v>39</v>
      </c>
      <c r="G2154" s="15"/>
      <c r="H2154" s="15"/>
      <c r="I2154" s="15"/>
      <c r="J2154" s="17">
        <v>640</v>
      </c>
      <c r="K2154" s="15"/>
      <c r="L2154" s="17">
        <v>10</v>
      </c>
      <c r="M2154" s="17">
        <v>400</v>
      </c>
      <c r="N2154" s="17">
        <v>10</v>
      </c>
      <c r="O2154" s="18">
        <v>89.57</v>
      </c>
      <c r="P2154" s="18">
        <v>73.42</v>
      </c>
      <c r="Q2154" s="18">
        <v>81.510000000000005</v>
      </c>
      <c r="R2154" s="18">
        <v>66.81</v>
      </c>
      <c r="S2154" s="18">
        <v>60.91</v>
      </c>
      <c r="T2154" s="18">
        <v>49.93</v>
      </c>
      <c r="U2154" s="16"/>
      <c r="V2154" s="16"/>
      <c r="W2154" s="16" t="s">
        <v>40</v>
      </c>
      <c r="X2154" s="19">
        <v>2.7E-2</v>
      </c>
      <c r="Y2154" s="20">
        <v>2.7999999999999998E-4</v>
      </c>
      <c r="Z2154" s="21">
        <v>4601004350724</v>
      </c>
    </row>
    <row r="2155" spans="1:26" ht="12" customHeight="1" outlineLevel="4" x14ac:dyDescent="0.2">
      <c r="A2155" s="14" t="s">
        <v>4246</v>
      </c>
      <c r="B2155" s="26" t="s">
        <v>4247</v>
      </c>
      <c r="C2155" s="52"/>
      <c r="D2155" s="55">
        <f t="shared" si="33"/>
        <v>0</v>
      </c>
      <c r="E2155" s="63" t="str">
        <f>HYPERLINK("https://www.sds-group.ru/product/trubka-termousazhivaemaya-tutng-ls-2-1-19-9-5-krasnaya-rexant-21-9004/", "Инфо")</f>
        <v>Инфо</v>
      </c>
      <c r="F2155" s="16" t="s">
        <v>39</v>
      </c>
      <c r="G2155" s="15"/>
      <c r="H2155" s="15"/>
      <c r="I2155" s="15"/>
      <c r="J2155" s="17">
        <v>810</v>
      </c>
      <c r="K2155" s="15" t="s">
        <v>4020</v>
      </c>
      <c r="L2155" s="17">
        <v>10</v>
      </c>
      <c r="M2155" s="17">
        <v>400</v>
      </c>
      <c r="N2155" s="17">
        <v>10</v>
      </c>
      <c r="O2155" s="18">
        <v>89.57</v>
      </c>
      <c r="P2155" s="18">
        <v>73.42</v>
      </c>
      <c r="Q2155" s="18">
        <v>81.510000000000005</v>
      </c>
      <c r="R2155" s="18">
        <v>66.81</v>
      </c>
      <c r="S2155" s="18">
        <v>60.91</v>
      </c>
      <c r="T2155" s="18">
        <v>49.93</v>
      </c>
      <c r="U2155" s="16"/>
      <c r="V2155" s="16"/>
      <c r="W2155" s="16" t="s">
        <v>40</v>
      </c>
      <c r="X2155" s="19">
        <v>2.7E-2</v>
      </c>
      <c r="Y2155" s="20">
        <v>2.7999999999999998E-4</v>
      </c>
      <c r="Z2155" s="21">
        <v>4601004350199</v>
      </c>
    </row>
    <row r="2156" spans="1:26" ht="12" customHeight="1" outlineLevel="4" x14ac:dyDescent="0.2">
      <c r="A2156" s="14" t="s">
        <v>4248</v>
      </c>
      <c r="B2156" s="26" t="s">
        <v>4249</v>
      </c>
      <c r="C2156" s="52"/>
      <c r="D2156" s="55">
        <f t="shared" si="33"/>
        <v>0</v>
      </c>
      <c r="E2156" s="63" t="str">
        <f>HYPERLINK("https://www.sds-group.ru/product/trubka-termousazhivaemaya-tutng-ls-2-1-19-9-5-chernaya-rexant-21-9006/", "Инфо")</f>
        <v>Инфо</v>
      </c>
      <c r="F2156" s="16" t="s">
        <v>39</v>
      </c>
      <c r="G2156" s="15"/>
      <c r="H2156" s="15"/>
      <c r="I2156" s="15"/>
      <c r="J2156" s="22">
        <v>3320</v>
      </c>
      <c r="K2156" s="15" t="s">
        <v>4183</v>
      </c>
      <c r="L2156" s="17">
        <v>10</v>
      </c>
      <c r="M2156" s="17">
        <v>400</v>
      </c>
      <c r="N2156" s="17">
        <v>10</v>
      </c>
      <c r="O2156" s="18">
        <v>85.31</v>
      </c>
      <c r="P2156" s="18">
        <v>69.930000000000007</v>
      </c>
      <c r="Q2156" s="18">
        <v>77.63</v>
      </c>
      <c r="R2156" s="18">
        <v>63.63</v>
      </c>
      <c r="S2156" s="18">
        <v>58.01</v>
      </c>
      <c r="T2156" s="18">
        <v>47.55</v>
      </c>
      <c r="U2156" s="16"/>
      <c r="V2156" s="16"/>
      <c r="W2156" s="16" t="s">
        <v>40</v>
      </c>
      <c r="X2156" s="19">
        <v>2.7E-2</v>
      </c>
      <c r="Y2156" s="20">
        <v>2.7999999999999998E-4</v>
      </c>
      <c r="Z2156" s="21">
        <v>4601004345058</v>
      </c>
    </row>
    <row r="2157" spans="1:26" ht="12" customHeight="1" outlineLevel="4" x14ac:dyDescent="0.2">
      <c r="A2157" s="14" t="s">
        <v>4250</v>
      </c>
      <c r="B2157" s="26" t="s">
        <v>4251</v>
      </c>
      <c r="C2157" s="52"/>
      <c r="D2157" s="55">
        <f t="shared" si="33"/>
        <v>0</v>
      </c>
      <c r="E2157" s="63" t="str">
        <f>HYPERLINK("https://www.sds-group.ru/product/trubka-termousazhivaemaya-tutng-ls-2-1-2-5-1-25-belaya-rexant-20-2501/", "Инфо")</f>
        <v>Инфо</v>
      </c>
      <c r="F2157" s="16" t="s">
        <v>39</v>
      </c>
      <c r="G2157" s="15"/>
      <c r="H2157" s="15"/>
      <c r="I2157" s="15"/>
      <c r="J2157" s="22">
        <v>1550</v>
      </c>
      <c r="K2157" s="15"/>
      <c r="L2157" s="17">
        <v>50</v>
      </c>
      <c r="M2157" s="22">
        <v>2000</v>
      </c>
      <c r="N2157" s="17">
        <v>50</v>
      </c>
      <c r="O2157" s="18">
        <v>14.7</v>
      </c>
      <c r="P2157" s="18">
        <v>12.05</v>
      </c>
      <c r="Q2157" s="18">
        <v>13.38</v>
      </c>
      <c r="R2157" s="18">
        <v>10.97</v>
      </c>
      <c r="S2157" s="18">
        <v>10</v>
      </c>
      <c r="T2157" s="18">
        <v>8.1999999999999993</v>
      </c>
      <c r="U2157" s="16"/>
      <c r="V2157" s="16"/>
      <c r="W2157" s="16" t="s">
        <v>40</v>
      </c>
      <c r="X2157" s="19">
        <v>3.0000000000000001E-3</v>
      </c>
      <c r="Y2157" s="20">
        <v>3.6000000000000001E-5</v>
      </c>
      <c r="Z2157" s="21">
        <v>4601004349957</v>
      </c>
    </row>
    <row r="2158" spans="1:26" ht="12" customHeight="1" outlineLevel="4" x14ac:dyDescent="0.2">
      <c r="A2158" s="14" t="s">
        <v>4252</v>
      </c>
      <c r="B2158" s="26" t="s">
        <v>4253</v>
      </c>
      <c r="C2158" s="52"/>
      <c r="D2158" s="55">
        <f t="shared" si="33"/>
        <v>0</v>
      </c>
      <c r="E2158" s="63" t="str">
        <f>HYPERLINK("https://www.sds-group.ru/product/trubka-termousazhivaemaya-tutng-ls-2-1-2-5-1-25-zheltaya-rexant-20-2502/", "Инфо")</f>
        <v>Инфо</v>
      </c>
      <c r="F2158" s="16" t="s">
        <v>39</v>
      </c>
      <c r="G2158" s="15"/>
      <c r="H2158" s="15"/>
      <c r="I2158" s="15"/>
      <c r="J2158" s="22">
        <v>2950</v>
      </c>
      <c r="K2158" s="15" t="s">
        <v>4183</v>
      </c>
      <c r="L2158" s="17">
        <v>50</v>
      </c>
      <c r="M2158" s="22">
        <v>3000</v>
      </c>
      <c r="N2158" s="17">
        <v>50</v>
      </c>
      <c r="O2158" s="18">
        <v>12.38</v>
      </c>
      <c r="P2158" s="18">
        <v>10.15</v>
      </c>
      <c r="Q2158" s="18">
        <v>11.27</v>
      </c>
      <c r="R2158" s="18">
        <v>9.24</v>
      </c>
      <c r="S2158" s="18">
        <v>8.42</v>
      </c>
      <c r="T2158" s="18">
        <v>6.9</v>
      </c>
      <c r="U2158" s="16"/>
      <c r="V2158" s="16"/>
      <c r="W2158" s="16" t="s">
        <v>40</v>
      </c>
      <c r="X2158" s="19">
        <v>3.0000000000000001E-3</v>
      </c>
      <c r="Y2158" s="20">
        <v>3.6000000000000001E-5</v>
      </c>
      <c r="Z2158" s="21">
        <v>4601004351431</v>
      </c>
    </row>
    <row r="2159" spans="1:26" ht="12" customHeight="1" outlineLevel="4" x14ac:dyDescent="0.2">
      <c r="A2159" s="14" t="s">
        <v>4254</v>
      </c>
      <c r="B2159" s="26" t="s">
        <v>4255</v>
      </c>
      <c r="C2159" s="52"/>
      <c r="D2159" s="55">
        <f t="shared" si="33"/>
        <v>0</v>
      </c>
      <c r="E2159" s="63" t="str">
        <f>HYPERLINK("https://www.sds-group.ru/product/trubka-termousazhivaemaya-tutng-ls-2-1-2-5-1-25-zelenaya-rexant-20-2503/", "Инфо")</f>
        <v>Инфо</v>
      </c>
      <c r="F2159" s="16" t="s">
        <v>39</v>
      </c>
      <c r="G2159" s="15"/>
      <c r="H2159" s="15"/>
      <c r="I2159" s="15"/>
      <c r="J2159" s="22">
        <v>4550</v>
      </c>
      <c r="K2159" s="15" t="s">
        <v>4020</v>
      </c>
      <c r="L2159" s="17">
        <v>50</v>
      </c>
      <c r="M2159" s="22">
        <v>3000</v>
      </c>
      <c r="N2159" s="17">
        <v>50</v>
      </c>
      <c r="O2159" s="18">
        <v>12.38</v>
      </c>
      <c r="P2159" s="18">
        <v>10.15</v>
      </c>
      <c r="Q2159" s="18">
        <v>11.27</v>
      </c>
      <c r="R2159" s="18">
        <v>9.24</v>
      </c>
      <c r="S2159" s="18">
        <v>8.42</v>
      </c>
      <c r="T2159" s="18">
        <v>6.9</v>
      </c>
      <c r="U2159" s="16"/>
      <c r="V2159" s="16"/>
      <c r="W2159" s="16" t="s">
        <v>40</v>
      </c>
      <c r="X2159" s="19">
        <v>3.0000000000000001E-3</v>
      </c>
      <c r="Y2159" s="20">
        <v>3.6000000000000001E-5</v>
      </c>
      <c r="Z2159" s="21">
        <v>4601004350809</v>
      </c>
    </row>
    <row r="2160" spans="1:26" ht="12" customHeight="1" outlineLevel="4" x14ac:dyDescent="0.2">
      <c r="A2160" s="14" t="s">
        <v>4256</v>
      </c>
      <c r="B2160" s="26" t="s">
        <v>4257</v>
      </c>
      <c r="C2160" s="52"/>
      <c r="D2160" s="55">
        <f t="shared" si="33"/>
        <v>0</v>
      </c>
      <c r="E2160" s="63" t="str">
        <f>HYPERLINK("https://www.sds-group.ru/product/trubka-termousazhivaemaya-tutng-ls-2-1-2-5-1-25-krasnaya-rexant-20-2504/", "Инфо")</f>
        <v>Инфо</v>
      </c>
      <c r="F2160" s="16" t="s">
        <v>39</v>
      </c>
      <c r="G2160" s="15"/>
      <c r="H2160" s="15"/>
      <c r="I2160" s="15"/>
      <c r="J2160" s="22">
        <v>9750</v>
      </c>
      <c r="K2160" s="15" t="s">
        <v>1519</v>
      </c>
      <c r="L2160" s="17">
        <v>50</v>
      </c>
      <c r="M2160" s="22">
        <v>3000</v>
      </c>
      <c r="N2160" s="17">
        <v>50</v>
      </c>
      <c r="O2160" s="18">
        <v>12.38</v>
      </c>
      <c r="P2160" s="18">
        <v>10.15</v>
      </c>
      <c r="Q2160" s="18">
        <v>11.27</v>
      </c>
      <c r="R2160" s="18">
        <v>9.24</v>
      </c>
      <c r="S2160" s="18">
        <v>8.42</v>
      </c>
      <c r="T2160" s="18">
        <v>6.9</v>
      </c>
      <c r="U2160" s="16"/>
      <c r="V2160" s="16"/>
      <c r="W2160" s="16" t="s">
        <v>40</v>
      </c>
      <c r="X2160" s="19">
        <v>3.0000000000000001E-3</v>
      </c>
      <c r="Y2160" s="20">
        <v>3.6000000000000001E-5</v>
      </c>
      <c r="Z2160" s="21">
        <v>4601004350335</v>
      </c>
    </row>
    <row r="2161" spans="1:26" ht="12" customHeight="1" outlineLevel="4" x14ac:dyDescent="0.2">
      <c r="A2161" s="14" t="s">
        <v>4258</v>
      </c>
      <c r="B2161" s="26" t="s">
        <v>4259</v>
      </c>
      <c r="C2161" s="52"/>
      <c r="D2161" s="55">
        <f t="shared" si="33"/>
        <v>0</v>
      </c>
      <c r="E2161" s="63" t="str">
        <f>HYPERLINK("https://www.sds-group.ru/product/trubka-termousazhivaemaya-tutng-ls-2-1-2-5-1-25-sinyaya-rexant-20-2505/", "Инфо")</f>
        <v>Инфо</v>
      </c>
      <c r="F2161" s="16" t="s">
        <v>39</v>
      </c>
      <c r="G2161" s="15"/>
      <c r="H2161" s="15"/>
      <c r="I2161" s="15"/>
      <c r="J2161" s="22">
        <v>2650</v>
      </c>
      <c r="K2161" s="15" t="s">
        <v>4183</v>
      </c>
      <c r="L2161" s="17">
        <v>50</v>
      </c>
      <c r="M2161" s="22">
        <v>3000</v>
      </c>
      <c r="N2161" s="17">
        <v>50</v>
      </c>
      <c r="O2161" s="18">
        <v>12.38</v>
      </c>
      <c r="P2161" s="18">
        <v>10.15</v>
      </c>
      <c r="Q2161" s="18">
        <v>11.27</v>
      </c>
      <c r="R2161" s="18">
        <v>9.24</v>
      </c>
      <c r="S2161" s="18">
        <v>8.42</v>
      </c>
      <c r="T2161" s="18">
        <v>6.9</v>
      </c>
      <c r="U2161" s="16"/>
      <c r="V2161" s="16"/>
      <c r="W2161" s="16" t="s">
        <v>40</v>
      </c>
      <c r="X2161" s="19">
        <v>3.0000000000000001E-3</v>
      </c>
      <c r="Y2161" s="20">
        <v>3.6000000000000001E-5</v>
      </c>
      <c r="Z2161" s="21">
        <v>4601004350618</v>
      </c>
    </row>
    <row r="2162" spans="1:26" ht="12" customHeight="1" outlineLevel="4" x14ac:dyDescent="0.2">
      <c r="A2162" s="14" t="s">
        <v>4260</v>
      </c>
      <c r="B2162" s="26" t="s">
        <v>4261</v>
      </c>
      <c r="C2162" s="52"/>
      <c r="D2162" s="55">
        <f t="shared" si="33"/>
        <v>0</v>
      </c>
      <c r="E2162" s="63" t="str">
        <f>HYPERLINK("https://www.sds-group.ru/product/trubka-termousazhivaemaya-tutng-ls-2-1-2-5-1-25-chernaya-rexant-20-2506/", "Инфо")</f>
        <v>Инфо</v>
      </c>
      <c r="F2162" s="16" t="s">
        <v>39</v>
      </c>
      <c r="G2162" s="15"/>
      <c r="H2162" s="15"/>
      <c r="I2162" s="15"/>
      <c r="J2162" s="22">
        <v>14785</v>
      </c>
      <c r="K2162" s="15" t="s">
        <v>1004</v>
      </c>
      <c r="L2162" s="17">
        <v>50</v>
      </c>
      <c r="M2162" s="22">
        <v>2000</v>
      </c>
      <c r="N2162" s="17">
        <v>50</v>
      </c>
      <c r="O2162" s="18">
        <v>12.97</v>
      </c>
      <c r="P2162" s="18">
        <v>10.63</v>
      </c>
      <c r="Q2162" s="18">
        <v>11.8</v>
      </c>
      <c r="R2162" s="18">
        <v>9.67</v>
      </c>
      <c r="S2162" s="18">
        <v>8.82</v>
      </c>
      <c r="T2162" s="18">
        <v>7.23</v>
      </c>
      <c r="U2162" s="16"/>
      <c r="V2162" s="16"/>
      <c r="W2162" s="16" t="s">
        <v>40</v>
      </c>
      <c r="X2162" s="19">
        <v>4.0000000000000001E-3</v>
      </c>
      <c r="Y2162" s="20">
        <v>1.7E-5</v>
      </c>
      <c r="Z2162" s="21">
        <v>4601004345096</v>
      </c>
    </row>
    <row r="2163" spans="1:26" ht="12" customHeight="1" outlineLevel="4" x14ac:dyDescent="0.2">
      <c r="A2163" s="14" t="s">
        <v>4262</v>
      </c>
      <c r="B2163" s="26" t="s">
        <v>4263</v>
      </c>
      <c r="C2163" s="52"/>
      <c r="D2163" s="55">
        <f t="shared" si="33"/>
        <v>0</v>
      </c>
      <c r="E2163" s="63" t="str">
        <f>HYPERLINK("https://www.sds-group.ru/product/trubka-termousazhivaemaya-tutng-ls-2-1-2-1-belaya-rexant-20-2001/", "Инфо")</f>
        <v>Инфо</v>
      </c>
      <c r="F2163" s="16" t="s">
        <v>39</v>
      </c>
      <c r="G2163" s="15"/>
      <c r="H2163" s="15"/>
      <c r="I2163" s="15"/>
      <c r="J2163" s="22">
        <v>16550</v>
      </c>
      <c r="K2163" s="15" t="s">
        <v>1004</v>
      </c>
      <c r="L2163" s="17">
        <v>50</v>
      </c>
      <c r="M2163" s="22">
        <v>2000</v>
      </c>
      <c r="N2163" s="17">
        <v>50</v>
      </c>
      <c r="O2163" s="18">
        <v>12.7</v>
      </c>
      <c r="P2163" s="18">
        <v>10.41</v>
      </c>
      <c r="Q2163" s="18">
        <v>11.56</v>
      </c>
      <c r="R2163" s="18">
        <v>9.48</v>
      </c>
      <c r="S2163" s="18">
        <v>8.64</v>
      </c>
      <c r="T2163" s="18">
        <v>7.08</v>
      </c>
      <c r="U2163" s="16"/>
      <c r="V2163" s="16"/>
      <c r="W2163" s="16" t="s">
        <v>40</v>
      </c>
      <c r="X2163" s="19">
        <v>2E-3</v>
      </c>
      <c r="Y2163" s="20">
        <v>2.0999999999999999E-5</v>
      </c>
      <c r="Z2163" s="21">
        <v>4601004349889</v>
      </c>
    </row>
    <row r="2164" spans="1:26" ht="12" customHeight="1" outlineLevel="4" x14ac:dyDescent="0.2">
      <c r="A2164" s="14" t="s">
        <v>4264</v>
      </c>
      <c r="B2164" s="26" t="s">
        <v>4265</v>
      </c>
      <c r="C2164" s="52"/>
      <c r="D2164" s="55">
        <f t="shared" si="33"/>
        <v>0</v>
      </c>
      <c r="E2164" s="63" t="str">
        <f>HYPERLINK("https://www.sds-group.ru/product/trubka-termousazhivaemaya-tutng-ls-2-1-2-1-zheltaya-rexant-20-2002/", "Инфо")</f>
        <v>Инфо</v>
      </c>
      <c r="F2164" s="16" t="s">
        <v>39</v>
      </c>
      <c r="G2164" s="15"/>
      <c r="H2164" s="15"/>
      <c r="I2164" s="15"/>
      <c r="J2164" s="22">
        <v>4700</v>
      </c>
      <c r="K2164" s="15" t="s">
        <v>1004</v>
      </c>
      <c r="L2164" s="17">
        <v>50</v>
      </c>
      <c r="M2164" s="22">
        <v>2000</v>
      </c>
      <c r="N2164" s="17">
        <v>50</v>
      </c>
      <c r="O2164" s="18">
        <v>12.7</v>
      </c>
      <c r="P2164" s="18">
        <v>10.41</v>
      </c>
      <c r="Q2164" s="18">
        <v>11.56</v>
      </c>
      <c r="R2164" s="18">
        <v>9.48</v>
      </c>
      <c r="S2164" s="18">
        <v>8.64</v>
      </c>
      <c r="T2164" s="18">
        <v>7.08</v>
      </c>
      <c r="U2164" s="16"/>
      <c r="V2164" s="16"/>
      <c r="W2164" s="16" t="s">
        <v>40</v>
      </c>
      <c r="X2164" s="19">
        <v>2E-3</v>
      </c>
      <c r="Y2164" s="20">
        <v>2.0999999999999999E-5</v>
      </c>
      <c r="Z2164" s="21">
        <v>4601004351271</v>
      </c>
    </row>
    <row r="2165" spans="1:26" ht="12" customHeight="1" outlineLevel="4" x14ac:dyDescent="0.2">
      <c r="A2165" s="14" t="s">
        <v>4266</v>
      </c>
      <c r="B2165" s="26" t="s">
        <v>4267</v>
      </c>
      <c r="C2165" s="52"/>
      <c r="D2165" s="55">
        <f t="shared" si="33"/>
        <v>0</v>
      </c>
      <c r="E2165" s="63" t="str">
        <f>HYPERLINK("https://www.sds-group.ru/product/trubka-termousazhivaemaya-tutng-ls-2-1-2-1-zhelto-zelenaya-rexant-20-2007/", "Инфо")</f>
        <v>Инфо</v>
      </c>
      <c r="F2165" s="16" t="s">
        <v>39</v>
      </c>
      <c r="G2165" s="15"/>
      <c r="H2165" s="15"/>
      <c r="I2165" s="15"/>
      <c r="J2165" s="22">
        <v>6100</v>
      </c>
      <c r="K2165" s="15"/>
      <c r="L2165" s="17">
        <v>50</v>
      </c>
      <c r="M2165" s="22">
        <v>4000</v>
      </c>
      <c r="N2165" s="17">
        <v>50</v>
      </c>
      <c r="O2165" s="18">
        <v>25.77</v>
      </c>
      <c r="P2165" s="18">
        <v>21.12</v>
      </c>
      <c r="Q2165" s="18">
        <v>23.45</v>
      </c>
      <c r="R2165" s="18">
        <v>19.22</v>
      </c>
      <c r="S2165" s="18">
        <v>17.52</v>
      </c>
      <c r="T2165" s="18">
        <v>14.36</v>
      </c>
      <c r="U2165" s="16"/>
      <c r="V2165" s="16"/>
      <c r="W2165" s="16" t="s">
        <v>40</v>
      </c>
      <c r="X2165" s="19">
        <v>2E-3</v>
      </c>
      <c r="Y2165" s="20">
        <v>2.0999999999999999E-5</v>
      </c>
      <c r="Z2165" s="21">
        <v>4601004351912</v>
      </c>
    </row>
    <row r="2166" spans="1:26" ht="12" customHeight="1" outlineLevel="4" x14ac:dyDescent="0.2">
      <c r="A2166" s="14" t="s">
        <v>4268</v>
      </c>
      <c r="B2166" s="26" t="s">
        <v>4269</v>
      </c>
      <c r="C2166" s="52"/>
      <c r="D2166" s="55">
        <f t="shared" si="33"/>
        <v>0</v>
      </c>
      <c r="E2166" s="63" t="str">
        <f>HYPERLINK("https://www.sds-group.ru/product/trubka-termousazhivaemaya-tutng-ls-2-1-2-1-zelenaya-rexant-20-2003/", "Инфо")</f>
        <v>Инфо</v>
      </c>
      <c r="F2166" s="16" t="s">
        <v>39</v>
      </c>
      <c r="G2166" s="15"/>
      <c r="H2166" s="15"/>
      <c r="I2166" s="15"/>
      <c r="J2166" s="22">
        <v>9850</v>
      </c>
      <c r="K2166" s="15"/>
      <c r="L2166" s="17">
        <v>50</v>
      </c>
      <c r="M2166" s="22">
        <v>2000</v>
      </c>
      <c r="N2166" s="17">
        <v>50</v>
      </c>
      <c r="O2166" s="18">
        <v>12.7</v>
      </c>
      <c r="P2166" s="18">
        <v>10.41</v>
      </c>
      <c r="Q2166" s="18">
        <v>11.56</v>
      </c>
      <c r="R2166" s="18">
        <v>9.48</v>
      </c>
      <c r="S2166" s="18">
        <v>8.64</v>
      </c>
      <c r="T2166" s="18">
        <v>7.08</v>
      </c>
      <c r="U2166" s="16"/>
      <c r="V2166" s="16"/>
      <c r="W2166" s="16" t="s">
        <v>40</v>
      </c>
      <c r="X2166" s="19">
        <v>2E-3</v>
      </c>
      <c r="Y2166" s="20">
        <v>2.0999999999999999E-5</v>
      </c>
      <c r="Z2166" s="21">
        <v>4601004350830</v>
      </c>
    </row>
    <row r="2167" spans="1:26" ht="12" customHeight="1" outlineLevel="4" x14ac:dyDescent="0.2">
      <c r="A2167" s="14" t="s">
        <v>4270</v>
      </c>
      <c r="B2167" s="26" t="s">
        <v>4271</v>
      </c>
      <c r="C2167" s="52"/>
      <c r="D2167" s="55">
        <f t="shared" si="33"/>
        <v>0</v>
      </c>
      <c r="E2167" s="63" t="str">
        <f>HYPERLINK("https://www.sds-group.ru/product/trubka-termousazhivaemaya-tutng-ls-2-1-2-1-krasnaya-rexant-20-2004/", "Инфо")</f>
        <v>Инфо</v>
      </c>
      <c r="F2167" s="16" t="s">
        <v>39</v>
      </c>
      <c r="G2167" s="15"/>
      <c r="H2167" s="15"/>
      <c r="I2167" s="15"/>
      <c r="J2167" s="22">
        <v>15250</v>
      </c>
      <c r="K2167" s="15" t="s">
        <v>1519</v>
      </c>
      <c r="L2167" s="17">
        <v>50</v>
      </c>
      <c r="M2167" s="22">
        <v>2000</v>
      </c>
      <c r="N2167" s="17">
        <v>50</v>
      </c>
      <c r="O2167" s="18">
        <v>12.7</v>
      </c>
      <c r="P2167" s="18">
        <v>10.41</v>
      </c>
      <c r="Q2167" s="18">
        <v>11.56</v>
      </c>
      <c r="R2167" s="18">
        <v>9.48</v>
      </c>
      <c r="S2167" s="18">
        <v>8.64</v>
      </c>
      <c r="T2167" s="18">
        <v>7.08</v>
      </c>
      <c r="U2167" s="16"/>
      <c r="V2167" s="16"/>
      <c r="W2167" s="16" t="s">
        <v>40</v>
      </c>
      <c r="X2167" s="19">
        <v>2E-3</v>
      </c>
      <c r="Y2167" s="20">
        <v>2.0999999999999999E-5</v>
      </c>
      <c r="Z2167" s="21">
        <v>4601004350359</v>
      </c>
    </row>
    <row r="2168" spans="1:26" ht="12" customHeight="1" outlineLevel="4" x14ac:dyDescent="0.2">
      <c r="A2168" s="14" t="s">
        <v>4272</v>
      </c>
      <c r="B2168" s="26" t="s">
        <v>4273</v>
      </c>
      <c r="C2168" s="52"/>
      <c r="D2168" s="55">
        <f t="shared" si="33"/>
        <v>0</v>
      </c>
      <c r="E2168" s="63" t="str">
        <f>HYPERLINK("https://www.sds-group.ru/product/trubka-termousazhivaemaya-tutng-ls-2-1-2-1-seraya-rexant-20-2010/", "Инфо")</f>
        <v>Инфо</v>
      </c>
      <c r="F2168" s="16" t="s">
        <v>39</v>
      </c>
      <c r="G2168" s="15"/>
      <c r="H2168" s="15"/>
      <c r="I2168" s="15"/>
      <c r="J2168" s="22">
        <v>14550</v>
      </c>
      <c r="K2168" s="15"/>
      <c r="L2168" s="17">
        <v>50</v>
      </c>
      <c r="M2168" s="22">
        <v>4000</v>
      </c>
      <c r="N2168" s="17">
        <v>50</v>
      </c>
      <c r="O2168" s="18">
        <v>11.1</v>
      </c>
      <c r="P2168" s="18">
        <v>9.1</v>
      </c>
      <c r="Q2168" s="18">
        <v>10.1</v>
      </c>
      <c r="R2168" s="18">
        <v>8.2799999999999994</v>
      </c>
      <c r="S2168" s="18">
        <v>7.55</v>
      </c>
      <c r="T2168" s="18">
        <v>6.19</v>
      </c>
      <c r="U2168" s="16"/>
      <c r="V2168" s="16"/>
      <c r="W2168" s="16" t="s">
        <v>40</v>
      </c>
      <c r="X2168" s="19">
        <v>2E-3</v>
      </c>
      <c r="Y2168" s="20">
        <v>2.0999999999999999E-5</v>
      </c>
      <c r="Z2168" s="21">
        <v>4601004351028</v>
      </c>
    </row>
    <row r="2169" spans="1:26" ht="12" customHeight="1" outlineLevel="4" x14ac:dyDescent="0.2">
      <c r="A2169" s="14" t="s">
        <v>4274</v>
      </c>
      <c r="B2169" s="26" t="s">
        <v>4275</v>
      </c>
      <c r="C2169" s="52"/>
      <c r="D2169" s="55">
        <f t="shared" si="33"/>
        <v>0</v>
      </c>
      <c r="E2169" s="63" t="str">
        <f>HYPERLINK("https://www.sds-group.ru/product/trubka-termousazhivaemaya-tutng-ls-2-1-2-1-sinyaya-rexant-20-2005/", "Инфо")</f>
        <v>Инфо</v>
      </c>
      <c r="F2169" s="16" t="s">
        <v>39</v>
      </c>
      <c r="G2169" s="15"/>
      <c r="H2169" s="15"/>
      <c r="I2169" s="15"/>
      <c r="J2169" s="22">
        <v>15650</v>
      </c>
      <c r="K2169" s="15"/>
      <c r="L2169" s="17">
        <v>50</v>
      </c>
      <c r="M2169" s="22">
        <v>4000</v>
      </c>
      <c r="N2169" s="17">
        <v>50</v>
      </c>
      <c r="O2169" s="18">
        <v>12.7</v>
      </c>
      <c r="P2169" s="18">
        <v>10.41</v>
      </c>
      <c r="Q2169" s="18">
        <v>11.56</v>
      </c>
      <c r="R2169" s="18">
        <v>9.48</v>
      </c>
      <c r="S2169" s="18">
        <v>8.64</v>
      </c>
      <c r="T2169" s="18">
        <v>7.08</v>
      </c>
      <c r="U2169" s="16"/>
      <c r="V2169" s="16"/>
      <c r="W2169" s="16" t="s">
        <v>40</v>
      </c>
      <c r="X2169" s="19">
        <v>2E-3</v>
      </c>
      <c r="Y2169" s="20">
        <v>2.0999999999999999E-5</v>
      </c>
      <c r="Z2169" s="21">
        <v>4601004350489</v>
      </c>
    </row>
    <row r="2170" spans="1:26" ht="12" customHeight="1" outlineLevel="4" x14ac:dyDescent="0.2">
      <c r="A2170" s="14" t="s">
        <v>4276</v>
      </c>
      <c r="B2170" s="26" t="s">
        <v>4277</v>
      </c>
      <c r="C2170" s="52"/>
      <c r="D2170" s="55">
        <f t="shared" si="33"/>
        <v>0</v>
      </c>
      <c r="E2170" s="63" t="str">
        <f>HYPERLINK("https://www.sds-group.ru/product/trubka-termousazhivaemaya-tutng-ls-2-1-2-1-chernaya-rexant-20-2006/", "Инфо")</f>
        <v>Инфо</v>
      </c>
      <c r="F2170" s="16" t="s">
        <v>39</v>
      </c>
      <c r="G2170" s="15"/>
      <c r="H2170" s="15"/>
      <c r="I2170" s="15"/>
      <c r="J2170" s="22">
        <v>27981</v>
      </c>
      <c r="K2170" s="15" t="s">
        <v>1004</v>
      </c>
      <c r="L2170" s="17">
        <v>50</v>
      </c>
      <c r="M2170" s="22">
        <v>2000</v>
      </c>
      <c r="N2170" s="17">
        <v>50</v>
      </c>
      <c r="O2170" s="18">
        <v>12.11</v>
      </c>
      <c r="P2170" s="18">
        <v>9.93</v>
      </c>
      <c r="Q2170" s="18">
        <v>11.02</v>
      </c>
      <c r="R2170" s="18">
        <v>9.0299999999999994</v>
      </c>
      <c r="S2170" s="18">
        <v>8.23</v>
      </c>
      <c r="T2170" s="18">
        <v>6.75</v>
      </c>
      <c r="U2170" s="16"/>
      <c r="V2170" s="16"/>
      <c r="W2170" s="16" t="s">
        <v>40</v>
      </c>
      <c r="X2170" s="19">
        <v>2E-3</v>
      </c>
      <c r="Y2170" s="20">
        <v>2.0999999999999999E-5</v>
      </c>
      <c r="Z2170" s="21">
        <v>4601004345133</v>
      </c>
    </row>
    <row r="2171" spans="1:26" ht="12" customHeight="1" outlineLevel="4" x14ac:dyDescent="0.2">
      <c r="A2171" s="14" t="s">
        <v>4278</v>
      </c>
      <c r="B2171" s="26" t="s">
        <v>4279</v>
      </c>
      <c r="C2171" s="52"/>
      <c r="D2171" s="55">
        <f t="shared" si="33"/>
        <v>0</v>
      </c>
      <c r="E2171" s="63" t="str">
        <f>HYPERLINK("https://www.sds-group.ru/product/trubka-termousazhivaemaya-tutng-ls-2-1-20-10-belaya-rexant-22-0001/", "Инфо")</f>
        <v>Инфо</v>
      </c>
      <c r="F2171" s="16" t="s">
        <v>39</v>
      </c>
      <c r="G2171" s="15"/>
      <c r="H2171" s="15"/>
      <c r="I2171" s="15"/>
      <c r="J2171" s="22">
        <v>5570</v>
      </c>
      <c r="K2171" s="15"/>
      <c r="L2171" s="17">
        <v>10</v>
      </c>
      <c r="M2171" s="17">
        <v>400</v>
      </c>
      <c r="N2171" s="17">
        <v>10</v>
      </c>
      <c r="O2171" s="18">
        <v>86.96</v>
      </c>
      <c r="P2171" s="18">
        <v>71.28</v>
      </c>
      <c r="Q2171" s="18">
        <v>79.13</v>
      </c>
      <c r="R2171" s="18">
        <v>64.86</v>
      </c>
      <c r="S2171" s="18">
        <v>59.13</v>
      </c>
      <c r="T2171" s="18">
        <v>48.47</v>
      </c>
      <c r="U2171" s="16"/>
      <c r="V2171" s="16"/>
      <c r="W2171" s="16" t="s">
        <v>40</v>
      </c>
      <c r="X2171" s="19">
        <v>3.4000000000000002E-2</v>
      </c>
      <c r="Y2171" s="20">
        <v>3.5E-4</v>
      </c>
      <c r="Z2171" s="21">
        <v>4601004349865</v>
      </c>
    </row>
    <row r="2172" spans="1:26" ht="12" customHeight="1" outlineLevel="4" x14ac:dyDescent="0.2">
      <c r="A2172" s="14" t="s">
        <v>4280</v>
      </c>
      <c r="B2172" s="26" t="s">
        <v>4281</v>
      </c>
      <c r="C2172" s="52"/>
      <c r="D2172" s="55">
        <f t="shared" si="33"/>
        <v>0</v>
      </c>
      <c r="E2172" s="63" t="str">
        <f>HYPERLINK("https://www.sds-group.ru/product/trubka-termousazhivaemaya-tutng-ls-2-1-20-10-zheltaya-rexant-22-0002/", "Инфо")</f>
        <v>Инфо</v>
      </c>
      <c r="F2172" s="16" t="s">
        <v>39</v>
      </c>
      <c r="G2172" s="15"/>
      <c r="H2172" s="15"/>
      <c r="I2172" s="15"/>
      <c r="J2172" s="17">
        <v>650</v>
      </c>
      <c r="K2172" s="15" t="s">
        <v>1004</v>
      </c>
      <c r="L2172" s="17">
        <v>10</v>
      </c>
      <c r="M2172" s="17">
        <v>400</v>
      </c>
      <c r="N2172" s="17">
        <v>10</v>
      </c>
      <c r="O2172" s="18">
        <v>86.96</v>
      </c>
      <c r="P2172" s="18">
        <v>71.28</v>
      </c>
      <c r="Q2172" s="18">
        <v>79.13</v>
      </c>
      <c r="R2172" s="18">
        <v>64.86</v>
      </c>
      <c r="S2172" s="18">
        <v>59.13</v>
      </c>
      <c r="T2172" s="18">
        <v>48.47</v>
      </c>
      <c r="U2172" s="16"/>
      <c r="V2172" s="16"/>
      <c r="W2172" s="16" t="s">
        <v>40</v>
      </c>
      <c r="X2172" s="19">
        <v>3.4000000000000002E-2</v>
      </c>
      <c r="Y2172" s="20">
        <v>3.5E-4</v>
      </c>
      <c r="Z2172" s="21">
        <v>4601004351424</v>
      </c>
    </row>
    <row r="2173" spans="1:26" ht="12" customHeight="1" outlineLevel="4" x14ac:dyDescent="0.2">
      <c r="A2173" s="14" t="s">
        <v>4282</v>
      </c>
      <c r="B2173" s="26" t="s">
        <v>4283</v>
      </c>
      <c r="C2173" s="52"/>
      <c r="D2173" s="55">
        <f t="shared" si="33"/>
        <v>0</v>
      </c>
      <c r="E2173" s="63" t="str">
        <f>HYPERLINK("https://www.sds-group.ru/product/trubka-termousazhivaemaya-tutng-ls-2-1-20-10-zhelto-zelenaya-rexant-22-0007/", "Инфо")</f>
        <v>Инфо</v>
      </c>
      <c r="F2173" s="16" t="s">
        <v>39</v>
      </c>
      <c r="G2173" s="15"/>
      <c r="H2173" s="15"/>
      <c r="I2173" s="15"/>
      <c r="J2173" s="16" t="s">
        <v>100</v>
      </c>
      <c r="K2173" s="15" t="s">
        <v>1004</v>
      </c>
      <c r="L2173" s="17">
        <v>10</v>
      </c>
      <c r="M2173" s="17">
        <v>400</v>
      </c>
      <c r="N2173" s="17">
        <v>10</v>
      </c>
      <c r="O2173" s="18">
        <v>140.94999999999999</v>
      </c>
      <c r="P2173" s="18">
        <v>115.53</v>
      </c>
      <c r="Q2173" s="18">
        <v>128.26</v>
      </c>
      <c r="R2173" s="18">
        <v>105.13</v>
      </c>
      <c r="S2173" s="18">
        <v>95.85</v>
      </c>
      <c r="T2173" s="18">
        <v>78.569999999999993</v>
      </c>
      <c r="U2173" s="16"/>
      <c r="V2173" s="16"/>
      <c r="W2173" s="16" t="s">
        <v>40</v>
      </c>
      <c r="X2173" s="19">
        <v>3.5999999999999997E-2</v>
      </c>
      <c r="Y2173" s="20">
        <v>7.4999999999999993E-5</v>
      </c>
      <c r="Z2173" s="21">
        <v>4601004351776</v>
      </c>
    </row>
    <row r="2174" spans="1:26" ht="12" customHeight="1" outlineLevel="4" x14ac:dyDescent="0.2">
      <c r="A2174" s="14" t="s">
        <v>4284</v>
      </c>
      <c r="B2174" s="26" t="s">
        <v>4285</v>
      </c>
      <c r="C2174" s="52"/>
      <c r="D2174" s="55">
        <f t="shared" si="33"/>
        <v>0</v>
      </c>
      <c r="E2174" s="63" t="str">
        <f>HYPERLINK("https://www.sds-group.ru/product/trubka-termousazhivaemaya-tutng-ls-2-1-20-10-zelenaya-rexant-22-0003/", "Инфо")</f>
        <v>Инфо</v>
      </c>
      <c r="F2174" s="16" t="s">
        <v>39</v>
      </c>
      <c r="G2174" s="15"/>
      <c r="H2174" s="15"/>
      <c r="I2174" s="15"/>
      <c r="J2174" s="17">
        <v>280</v>
      </c>
      <c r="K2174" s="15" t="s">
        <v>1004</v>
      </c>
      <c r="L2174" s="17">
        <v>10</v>
      </c>
      <c r="M2174" s="17">
        <v>400</v>
      </c>
      <c r="N2174" s="17">
        <v>10</v>
      </c>
      <c r="O2174" s="18">
        <v>86.96</v>
      </c>
      <c r="P2174" s="18">
        <v>71.28</v>
      </c>
      <c r="Q2174" s="18">
        <v>79.13</v>
      </c>
      <c r="R2174" s="18">
        <v>64.86</v>
      </c>
      <c r="S2174" s="18">
        <v>59.13</v>
      </c>
      <c r="T2174" s="18">
        <v>48.47</v>
      </c>
      <c r="U2174" s="16"/>
      <c r="V2174" s="16"/>
      <c r="W2174" s="16" t="s">
        <v>40</v>
      </c>
      <c r="X2174" s="19">
        <v>3.4000000000000002E-2</v>
      </c>
      <c r="Y2174" s="20">
        <v>3.5E-4</v>
      </c>
      <c r="Z2174" s="21">
        <v>4601004350908</v>
      </c>
    </row>
    <row r="2175" spans="1:26" ht="12" customHeight="1" outlineLevel="4" x14ac:dyDescent="0.2">
      <c r="A2175" s="14" t="s">
        <v>4286</v>
      </c>
      <c r="B2175" s="26" t="s">
        <v>4287</v>
      </c>
      <c r="C2175" s="52"/>
      <c r="D2175" s="55">
        <f t="shared" si="33"/>
        <v>0</v>
      </c>
      <c r="E2175" s="63" t="str">
        <f>HYPERLINK("https://www.sds-group.ru/product/trubka-termousazhivaemaya-tutng-ls-2-1-20-10-krasnaya-rexant-22-0004/", "Инфо")</f>
        <v>Инфо</v>
      </c>
      <c r="F2175" s="16" t="s">
        <v>39</v>
      </c>
      <c r="G2175" s="15"/>
      <c r="H2175" s="15"/>
      <c r="I2175" s="15"/>
      <c r="J2175" s="16" t="s">
        <v>100</v>
      </c>
      <c r="K2175" s="15" t="s">
        <v>1004</v>
      </c>
      <c r="L2175" s="17">
        <v>10</v>
      </c>
      <c r="M2175" s="17">
        <v>400</v>
      </c>
      <c r="N2175" s="17">
        <v>10</v>
      </c>
      <c r="O2175" s="18">
        <v>86.96</v>
      </c>
      <c r="P2175" s="18">
        <v>71.28</v>
      </c>
      <c r="Q2175" s="18">
        <v>79.13</v>
      </c>
      <c r="R2175" s="18">
        <v>64.86</v>
      </c>
      <c r="S2175" s="18">
        <v>59.13</v>
      </c>
      <c r="T2175" s="18">
        <v>48.47</v>
      </c>
      <c r="U2175" s="16"/>
      <c r="V2175" s="16"/>
      <c r="W2175" s="16" t="s">
        <v>40</v>
      </c>
      <c r="X2175" s="19">
        <v>3.4000000000000002E-2</v>
      </c>
      <c r="Y2175" s="20">
        <v>3.5E-4</v>
      </c>
      <c r="Z2175" s="21">
        <v>4601004350373</v>
      </c>
    </row>
    <row r="2176" spans="1:26" ht="12" customHeight="1" outlineLevel="4" x14ac:dyDescent="0.2">
      <c r="A2176" s="14" t="s">
        <v>4288</v>
      </c>
      <c r="B2176" s="26" t="s">
        <v>4289</v>
      </c>
      <c r="C2176" s="52"/>
      <c r="D2176" s="55">
        <f t="shared" si="33"/>
        <v>0</v>
      </c>
      <c r="E2176" s="63" t="str">
        <f>HYPERLINK("https://www.sds-group.ru/product/trubka-termousazhivaemaya-tutng-ls-2-1-20-10-seraya-rexant-22-0010/", "Инфо")</f>
        <v>Инфо</v>
      </c>
      <c r="F2176" s="16" t="s">
        <v>39</v>
      </c>
      <c r="G2176" s="15"/>
      <c r="H2176" s="15"/>
      <c r="I2176" s="15"/>
      <c r="J2176" s="17">
        <v>550</v>
      </c>
      <c r="K2176" s="15" t="s">
        <v>1004</v>
      </c>
      <c r="L2176" s="17">
        <v>10</v>
      </c>
      <c r="M2176" s="17">
        <v>400</v>
      </c>
      <c r="N2176" s="17">
        <v>10</v>
      </c>
      <c r="O2176" s="18">
        <v>92.56</v>
      </c>
      <c r="P2176" s="18">
        <v>75.87</v>
      </c>
      <c r="Q2176" s="18">
        <v>84.23</v>
      </c>
      <c r="R2176" s="18">
        <v>69.040000000000006</v>
      </c>
      <c r="S2176" s="18">
        <v>62.94</v>
      </c>
      <c r="T2176" s="18">
        <v>51.59</v>
      </c>
      <c r="U2176" s="16"/>
      <c r="V2176" s="16"/>
      <c r="W2176" s="16" t="s">
        <v>40</v>
      </c>
      <c r="X2176" s="19">
        <v>3.6999999999999998E-2</v>
      </c>
      <c r="Y2176" s="20">
        <v>7.4999999999999993E-5</v>
      </c>
      <c r="Z2176" s="21">
        <v>4601004351011</v>
      </c>
    </row>
    <row r="2177" spans="1:26" ht="12" customHeight="1" outlineLevel="4" x14ac:dyDescent="0.2">
      <c r="A2177" s="14" t="s">
        <v>4290</v>
      </c>
      <c r="B2177" s="26" t="s">
        <v>4291</v>
      </c>
      <c r="C2177" s="52"/>
      <c r="D2177" s="55">
        <f t="shared" si="33"/>
        <v>0</v>
      </c>
      <c r="E2177" s="63" t="str">
        <f>HYPERLINK("https://www.sds-group.ru/product/trubka-termousazhivaemaya-tutng-ls-2-1-20-10-sinyaya-rexant-22-0006/", "Инфо")</f>
        <v>Инфо</v>
      </c>
      <c r="F2177" s="16" t="s">
        <v>39</v>
      </c>
      <c r="G2177" s="15"/>
      <c r="H2177" s="15"/>
      <c r="I2177" s="15"/>
      <c r="J2177" s="16" t="s">
        <v>100</v>
      </c>
      <c r="K2177" s="15" t="s">
        <v>1004</v>
      </c>
      <c r="L2177" s="17">
        <v>10</v>
      </c>
      <c r="M2177" s="17">
        <v>400</v>
      </c>
      <c r="N2177" s="17">
        <v>10</v>
      </c>
      <c r="O2177" s="18">
        <v>86.96</v>
      </c>
      <c r="P2177" s="18">
        <v>71.28</v>
      </c>
      <c r="Q2177" s="18">
        <v>79.13</v>
      </c>
      <c r="R2177" s="18">
        <v>64.86</v>
      </c>
      <c r="S2177" s="18">
        <v>59.13</v>
      </c>
      <c r="T2177" s="18">
        <v>48.47</v>
      </c>
      <c r="U2177" s="16"/>
      <c r="V2177" s="16"/>
      <c r="W2177" s="16" t="s">
        <v>40</v>
      </c>
      <c r="X2177" s="19">
        <v>3.4000000000000002E-2</v>
      </c>
      <c r="Y2177" s="20">
        <v>3.5E-4</v>
      </c>
      <c r="Z2177" s="21">
        <v>4601004350557</v>
      </c>
    </row>
    <row r="2178" spans="1:26" ht="12" customHeight="1" outlineLevel="4" x14ac:dyDescent="0.2">
      <c r="A2178" s="14" t="s">
        <v>4292</v>
      </c>
      <c r="B2178" s="26" t="s">
        <v>4293</v>
      </c>
      <c r="C2178" s="52"/>
      <c r="D2178" s="55">
        <f t="shared" si="33"/>
        <v>0</v>
      </c>
      <c r="E2178" s="63" t="str">
        <f>HYPERLINK("https://www.sds-group.ru/product/trubka-termousazhivaemaya-tutng-ls-2-1-20-10-chernyy-rexant-22-0008/", "Инфо")</f>
        <v>Инфо</v>
      </c>
      <c r="F2178" s="16" t="s">
        <v>39</v>
      </c>
      <c r="G2178" s="15"/>
      <c r="H2178" s="15"/>
      <c r="I2178" s="15"/>
      <c r="J2178" s="22">
        <v>7932</v>
      </c>
      <c r="K2178" s="15" t="s">
        <v>1004</v>
      </c>
      <c r="L2178" s="17">
        <v>10</v>
      </c>
      <c r="M2178" s="17">
        <v>400</v>
      </c>
      <c r="N2178" s="17">
        <v>10</v>
      </c>
      <c r="O2178" s="18">
        <v>89.8</v>
      </c>
      <c r="P2178" s="18">
        <v>73.61</v>
      </c>
      <c r="Q2178" s="18">
        <v>81.72</v>
      </c>
      <c r="R2178" s="18">
        <v>66.98</v>
      </c>
      <c r="S2178" s="18">
        <v>61.06</v>
      </c>
      <c r="T2178" s="18">
        <v>50.05</v>
      </c>
      <c r="U2178" s="16"/>
      <c r="V2178" s="16"/>
      <c r="W2178" s="16" t="s">
        <v>40</v>
      </c>
      <c r="X2178" s="19">
        <v>3.4000000000000002E-2</v>
      </c>
      <c r="Y2178" s="20">
        <v>3.5E-4</v>
      </c>
      <c r="Z2178" s="21">
        <v>4601004345188</v>
      </c>
    </row>
    <row r="2179" spans="1:26" ht="12" customHeight="1" outlineLevel="4" x14ac:dyDescent="0.2">
      <c r="A2179" s="14" t="s">
        <v>4294</v>
      </c>
      <c r="B2179" s="26" t="s">
        <v>4295</v>
      </c>
      <c r="C2179" s="52"/>
      <c r="D2179" s="55">
        <f t="shared" si="33"/>
        <v>0</v>
      </c>
      <c r="E2179" s="63" t="str">
        <f>HYPERLINK("https://www.sds-group.ru/product/trubka-termousazhivaemaya-tutng-ls-2-1-22-11-belaya-rexant-22-2001/", "Инфо")</f>
        <v>Инфо</v>
      </c>
      <c r="F2179" s="16" t="s">
        <v>39</v>
      </c>
      <c r="G2179" s="15"/>
      <c r="H2179" s="15"/>
      <c r="I2179" s="15"/>
      <c r="J2179" s="17">
        <v>120</v>
      </c>
      <c r="K2179" s="15" t="s">
        <v>1004</v>
      </c>
      <c r="L2179" s="17">
        <v>10</v>
      </c>
      <c r="M2179" s="17">
        <v>350</v>
      </c>
      <c r="N2179" s="17">
        <v>10</v>
      </c>
      <c r="O2179" s="18">
        <v>124.96</v>
      </c>
      <c r="P2179" s="18">
        <v>102.43</v>
      </c>
      <c r="Q2179" s="18">
        <v>113.71</v>
      </c>
      <c r="R2179" s="18">
        <v>93.2</v>
      </c>
      <c r="S2179" s="18">
        <v>84.97</v>
      </c>
      <c r="T2179" s="18">
        <v>69.650000000000006</v>
      </c>
      <c r="U2179" s="16"/>
      <c r="V2179" s="16"/>
      <c r="W2179" s="16" t="s">
        <v>40</v>
      </c>
      <c r="X2179" s="19">
        <v>3.9E-2</v>
      </c>
      <c r="Y2179" s="20">
        <v>2.7999999999999998E-4</v>
      </c>
      <c r="Z2179" s="21">
        <v>4601004350007</v>
      </c>
    </row>
    <row r="2180" spans="1:26" ht="12" customHeight="1" outlineLevel="4" x14ac:dyDescent="0.2">
      <c r="A2180" s="14" t="s">
        <v>4296</v>
      </c>
      <c r="B2180" s="26" t="s">
        <v>4297</v>
      </c>
      <c r="C2180" s="52"/>
      <c r="D2180" s="55">
        <f t="shared" si="33"/>
        <v>0</v>
      </c>
      <c r="E2180" s="63" t="str">
        <f>HYPERLINK("https://www.sds-group.ru/product/trubka-termousazhivaemaya-tutng-ls-2-1-22-11-zheltaya-rexant-22-2002/", "Инфо")</f>
        <v>Инфо</v>
      </c>
      <c r="F2180" s="16" t="s">
        <v>39</v>
      </c>
      <c r="G2180" s="15"/>
      <c r="H2180" s="15"/>
      <c r="I2180" s="15"/>
      <c r="J2180" s="22">
        <v>3320</v>
      </c>
      <c r="K2180" s="15"/>
      <c r="L2180" s="17">
        <v>10</v>
      </c>
      <c r="M2180" s="17">
        <v>350</v>
      </c>
      <c r="N2180" s="17">
        <v>10</v>
      </c>
      <c r="O2180" s="18">
        <v>124.96</v>
      </c>
      <c r="P2180" s="18">
        <v>102.43</v>
      </c>
      <c r="Q2180" s="18">
        <v>113.71</v>
      </c>
      <c r="R2180" s="18">
        <v>93.2</v>
      </c>
      <c r="S2180" s="18">
        <v>84.97</v>
      </c>
      <c r="T2180" s="18">
        <v>69.650000000000006</v>
      </c>
      <c r="U2180" s="16"/>
      <c r="V2180" s="16"/>
      <c r="W2180" s="16" t="s">
        <v>40</v>
      </c>
      <c r="X2180" s="19">
        <v>3.9E-2</v>
      </c>
      <c r="Y2180" s="20">
        <v>2.7999999999999998E-4</v>
      </c>
      <c r="Z2180" s="21">
        <v>4601004351356</v>
      </c>
    </row>
    <row r="2181" spans="1:26" ht="12" customHeight="1" outlineLevel="4" x14ac:dyDescent="0.2">
      <c r="A2181" s="14" t="s">
        <v>4298</v>
      </c>
      <c r="B2181" s="26" t="s">
        <v>4299</v>
      </c>
      <c r="C2181" s="52"/>
      <c r="D2181" s="55">
        <f t="shared" si="33"/>
        <v>0</v>
      </c>
      <c r="E2181" s="63" t="str">
        <f>HYPERLINK("https://www.sds-group.ru/product/trubka-termousazhivaemaya-tutng-ls-2-1-22-11-zelenaya-rexant-22-2003/", "Инфо")</f>
        <v>Инфо</v>
      </c>
      <c r="F2181" s="16" t="s">
        <v>39</v>
      </c>
      <c r="G2181" s="15"/>
      <c r="H2181" s="15"/>
      <c r="I2181" s="15"/>
      <c r="J2181" s="22">
        <v>2640</v>
      </c>
      <c r="K2181" s="15"/>
      <c r="L2181" s="17">
        <v>10</v>
      </c>
      <c r="M2181" s="17">
        <v>350</v>
      </c>
      <c r="N2181" s="17">
        <v>10</v>
      </c>
      <c r="O2181" s="18">
        <v>124.96</v>
      </c>
      <c r="P2181" s="18">
        <v>102.43</v>
      </c>
      <c r="Q2181" s="18">
        <v>113.71</v>
      </c>
      <c r="R2181" s="18">
        <v>93.2</v>
      </c>
      <c r="S2181" s="18">
        <v>84.97</v>
      </c>
      <c r="T2181" s="18">
        <v>69.650000000000006</v>
      </c>
      <c r="U2181" s="16"/>
      <c r="V2181" s="16"/>
      <c r="W2181" s="16" t="s">
        <v>40</v>
      </c>
      <c r="X2181" s="19">
        <v>3.9E-2</v>
      </c>
      <c r="Y2181" s="20">
        <v>2.7999999999999998E-4</v>
      </c>
      <c r="Z2181" s="21">
        <v>4601004350748</v>
      </c>
    </row>
    <row r="2182" spans="1:26" ht="12" customHeight="1" outlineLevel="4" x14ac:dyDescent="0.2">
      <c r="A2182" s="14" t="s">
        <v>4300</v>
      </c>
      <c r="B2182" s="26" t="s">
        <v>4301</v>
      </c>
      <c r="C2182" s="52"/>
      <c r="D2182" s="55">
        <f t="shared" si="33"/>
        <v>0</v>
      </c>
      <c r="E2182" s="63" t="str">
        <f>HYPERLINK("https://www.sds-group.ru/product/trubka-termousazhivaemaya-tutng-ls-2-1-22-11-krasnaya-rexant-22-2004/", "Инфо")</f>
        <v>Инфо</v>
      </c>
      <c r="F2182" s="16" t="s">
        <v>39</v>
      </c>
      <c r="G2182" s="15"/>
      <c r="H2182" s="15"/>
      <c r="I2182" s="15"/>
      <c r="J2182" s="17">
        <v>790</v>
      </c>
      <c r="K2182" s="15"/>
      <c r="L2182" s="17">
        <v>10</v>
      </c>
      <c r="M2182" s="17">
        <v>350</v>
      </c>
      <c r="N2182" s="17">
        <v>10</v>
      </c>
      <c r="O2182" s="18">
        <v>124.96</v>
      </c>
      <c r="P2182" s="18">
        <v>102.43</v>
      </c>
      <c r="Q2182" s="18">
        <v>113.71</v>
      </c>
      <c r="R2182" s="18">
        <v>93.2</v>
      </c>
      <c r="S2182" s="18">
        <v>84.97</v>
      </c>
      <c r="T2182" s="18">
        <v>69.650000000000006</v>
      </c>
      <c r="U2182" s="16"/>
      <c r="V2182" s="16"/>
      <c r="W2182" s="16" t="s">
        <v>40</v>
      </c>
      <c r="X2182" s="19">
        <v>3.9E-2</v>
      </c>
      <c r="Y2182" s="20">
        <v>2.7999999999999998E-4</v>
      </c>
      <c r="Z2182" s="21">
        <v>4601004350304</v>
      </c>
    </row>
    <row r="2183" spans="1:26" ht="12" customHeight="1" outlineLevel="4" x14ac:dyDescent="0.2">
      <c r="A2183" s="14" t="s">
        <v>4302</v>
      </c>
      <c r="B2183" s="26" t="s">
        <v>4303</v>
      </c>
      <c r="C2183" s="52"/>
      <c r="D2183" s="55">
        <f t="shared" si="33"/>
        <v>0</v>
      </c>
      <c r="E2183" s="63" t="str">
        <f>HYPERLINK("https://www.sds-group.ru/product/trubka-termousazhivaemaya-tutng-ls-2-1-22-11-chernaya-rexant-22-2006/", "Инфо")</f>
        <v>Инфо</v>
      </c>
      <c r="F2183" s="16" t="s">
        <v>39</v>
      </c>
      <c r="G2183" s="15"/>
      <c r="H2183" s="15"/>
      <c r="I2183" s="15"/>
      <c r="J2183" s="22">
        <v>4633</v>
      </c>
      <c r="K2183" s="15"/>
      <c r="L2183" s="17">
        <v>10</v>
      </c>
      <c r="M2183" s="17">
        <v>350</v>
      </c>
      <c r="N2183" s="17">
        <v>10</v>
      </c>
      <c r="O2183" s="18">
        <v>119.02</v>
      </c>
      <c r="P2183" s="18">
        <v>97.56</v>
      </c>
      <c r="Q2183" s="18">
        <v>108.31</v>
      </c>
      <c r="R2183" s="18">
        <v>88.78</v>
      </c>
      <c r="S2183" s="18">
        <v>80.930000000000007</v>
      </c>
      <c r="T2183" s="18">
        <v>66.34</v>
      </c>
      <c r="U2183" s="16"/>
      <c r="V2183" s="16"/>
      <c r="W2183" s="16" t="s">
        <v>40</v>
      </c>
      <c r="X2183" s="19">
        <v>3.9E-2</v>
      </c>
      <c r="Y2183" s="20">
        <v>2.7999999999999998E-4</v>
      </c>
      <c r="Z2183" s="21">
        <v>4601004344976</v>
      </c>
    </row>
    <row r="2184" spans="1:26" ht="12" customHeight="1" outlineLevel="4" x14ac:dyDescent="0.2">
      <c r="A2184" s="14" t="s">
        <v>4304</v>
      </c>
      <c r="B2184" s="26" t="s">
        <v>4305</v>
      </c>
      <c r="C2184" s="52"/>
      <c r="D2184" s="55">
        <f t="shared" si="33"/>
        <v>0</v>
      </c>
      <c r="E2184" s="63" t="str">
        <f>HYPERLINK("https://www.sds-group.ru/product/trubka-termousazhivaemaya-tutng-ls-2-1-25-12-5-belaya-rexant-22-5001/", "Инфо")</f>
        <v>Инфо</v>
      </c>
      <c r="F2184" s="16" t="s">
        <v>39</v>
      </c>
      <c r="G2184" s="15"/>
      <c r="H2184" s="15"/>
      <c r="I2184" s="15"/>
      <c r="J2184" s="22">
        <v>1480</v>
      </c>
      <c r="K2184" s="15" t="s">
        <v>4183</v>
      </c>
      <c r="L2184" s="17">
        <v>10</v>
      </c>
      <c r="M2184" s="17">
        <v>300</v>
      </c>
      <c r="N2184" s="17">
        <v>10</v>
      </c>
      <c r="O2184" s="18">
        <v>128.29</v>
      </c>
      <c r="P2184" s="18">
        <v>105.16</v>
      </c>
      <c r="Q2184" s="18">
        <v>116.74</v>
      </c>
      <c r="R2184" s="18">
        <v>95.69</v>
      </c>
      <c r="S2184" s="18">
        <v>87.24</v>
      </c>
      <c r="T2184" s="18">
        <v>71.510000000000005</v>
      </c>
      <c r="U2184" s="16"/>
      <c r="V2184" s="16"/>
      <c r="W2184" s="16" t="s">
        <v>40</v>
      </c>
      <c r="X2184" s="19">
        <v>4.9000000000000002E-2</v>
      </c>
      <c r="Y2184" s="20">
        <v>3.2000000000000003E-4</v>
      </c>
      <c r="Z2184" s="21">
        <v>4601004349896</v>
      </c>
    </row>
    <row r="2185" spans="1:26" ht="12" customHeight="1" outlineLevel="4" x14ac:dyDescent="0.2">
      <c r="A2185" s="14" t="s">
        <v>4306</v>
      </c>
      <c r="B2185" s="26" t="s">
        <v>4307</v>
      </c>
      <c r="C2185" s="52"/>
      <c r="D2185" s="55">
        <f t="shared" ref="D2185:D2248" si="34">C2185*(O2185-O2185*$G$3)</f>
        <v>0</v>
      </c>
      <c r="E2185" s="63" t="str">
        <f>HYPERLINK("https://www.sds-group.ru/product/trubka-termousazhivaemaya-tutng-ls-2-1-25-12-5-zheltaya-rexant-22-5002/", "Инфо")</f>
        <v>Инфо</v>
      </c>
      <c r="F2185" s="16" t="s">
        <v>39</v>
      </c>
      <c r="G2185" s="15"/>
      <c r="H2185" s="15"/>
      <c r="I2185" s="15"/>
      <c r="J2185" s="17">
        <v>180</v>
      </c>
      <c r="K2185" s="15" t="s">
        <v>4183</v>
      </c>
      <c r="L2185" s="17">
        <v>10</v>
      </c>
      <c r="M2185" s="17">
        <v>300</v>
      </c>
      <c r="N2185" s="17">
        <v>10</v>
      </c>
      <c r="O2185" s="18">
        <v>121.88</v>
      </c>
      <c r="P2185" s="18">
        <v>99.9</v>
      </c>
      <c r="Q2185" s="18">
        <v>110.91</v>
      </c>
      <c r="R2185" s="18">
        <v>90.91</v>
      </c>
      <c r="S2185" s="18">
        <v>82.88</v>
      </c>
      <c r="T2185" s="18">
        <v>67.930000000000007</v>
      </c>
      <c r="U2185" s="16"/>
      <c r="V2185" s="16"/>
      <c r="W2185" s="16" t="s">
        <v>40</v>
      </c>
      <c r="X2185" s="19">
        <v>4.9000000000000002E-2</v>
      </c>
      <c r="Y2185" s="20">
        <v>3.2000000000000003E-4</v>
      </c>
      <c r="Z2185" s="21">
        <v>4601004351400</v>
      </c>
    </row>
    <row r="2186" spans="1:26" ht="12" customHeight="1" outlineLevel="4" x14ac:dyDescent="0.2">
      <c r="A2186" s="14" t="s">
        <v>4308</v>
      </c>
      <c r="B2186" s="26" t="s">
        <v>4309</v>
      </c>
      <c r="C2186" s="52"/>
      <c r="D2186" s="55">
        <f t="shared" si="34"/>
        <v>0</v>
      </c>
      <c r="E2186" s="63" t="str">
        <f>HYPERLINK("https://www.sds-group.ru/product/trubka-termousazhivaemaya-tutng-ls-2-1-25-12-5-zhelto-zelenaya-rexant-22-5007/", "Инфо")</f>
        <v>Инфо</v>
      </c>
      <c r="F2186" s="16" t="s">
        <v>39</v>
      </c>
      <c r="G2186" s="15"/>
      <c r="H2186" s="15"/>
      <c r="I2186" s="15"/>
      <c r="J2186" s="17">
        <v>250</v>
      </c>
      <c r="K2186" s="15" t="s">
        <v>1519</v>
      </c>
      <c r="L2186" s="17">
        <v>10</v>
      </c>
      <c r="M2186" s="17">
        <v>300</v>
      </c>
      <c r="N2186" s="17">
        <v>10</v>
      </c>
      <c r="O2186" s="18">
        <v>202.45</v>
      </c>
      <c r="P2186" s="18">
        <v>165.94</v>
      </c>
      <c r="Q2186" s="18">
        <v>184.23</v>
      </c>
      <c r="R2186" s="18">
        <v>151.01</v>
      </c>
      <c r="S2186" s="18">
        <v>137.66999999999999</v>
      </c>
      <c r="T2186" s="18">
        <v>112.84</v>
      </c>
      <c r="U2186" s="16"/>
      <c r="V2186" s="16"/>
      <c r="W2186" s="16" t="s">
        <v>40</v>
      </c>
      <c r="X2186" s="19">
        <v>4.9000000000000002E-2</v>
      </c>
      <c r="Y2186" s="20">
        <v>3.2000000000000003E-4</v>
      </c>
      <c r="Z2186" s="21">
        <v>4601004351769</v>
      </c>
    </row>
    <row r="2187" spans="1:26" ht="12" customHeight="1" outlineLevel="4" x14ac:dyDescent="0.2">
      <c r="A2187" s="14" t="s">
        <v>4310</v>
      </c>
      <c r="B2187" s="26" t="s">
        <v>4311</v>
      </c>
      <c r="C2187" s="52"/>
      <c r="D2187" s="55">
        <f t="shared" si="34"/>
        <v>0</v>
      </c>
      <c r="E2187" s="63" t="str">
        <f>HYPERLINK("https://www.sds-group.ru/product/trubka-termousazhivaemaya-tutng-ls-2-1-25-12-5-zelenaya-rexant-22-5003/", "Инфо")</f>
        <v>Инфо</v>
      </c>
      <c r="F2187" s="16" t="s">
        <v>39</v>
      </c>
      <c r="G2187" s="15"/>
      <c r="H2187" s="15"/>
      <c r="I2187" s="15"/>
      <c r="J2187" s="22">
        <v>1360</v>
      </c>
      <c r="K2187" s="15" t="s">
        <v>1004</v>
      </c>
      <c r="L2187" s="17">
        <v>10</v>
      </c>
      <c r="M2187" s="17">
        <v>300</v>
      </c>
      <c r="N2187" s="17">
        <v>10</v>
      </c>
      <c r="O2187" s="18">
        <v>121.88</v>
      </c>
      <c r="P2187" s="18">
        <v>99.9</v>
      </c>
      <c r="Q2187" s="18">
        <v>110.91</v>
      </c>
      <c r="R2187" s="18">
        <v>90.91</v>
      </c>
      <c r="S2187" s="18">
        <v>82.88</v>
      </c>
      <c r="T2187" s="18">
        <v>67.930000000000007</v>
      </c>
      <c r="U2187" s="16"/>
      <c r="V2187" s="16"/>
      <c r="W2187" s="16" t="s">
        <v>40</v>
      </c>
      <c r="X2187" s="19">
        <v>4.9000000000000002E-2</v>
      </c>
      <c r="Y2187" s="20">
        <v>3.2000000000000003E-4</v>
      </c>
      <c r="Z2187" s="21">
        <v>4601004350779</v>
      </c>
    </row>
    <row r="2188" spans="1:26" ht="12" customHeight="1" outlineLevel="4" x14ac:dyDescent="0.2">
      <c r="A2188" s="14" t="s">
        <v>4312</v>
      </c>
      <c r="B2188" s="26" t="s">
        <v>4313</v>
      </c>
      <c r="C2188" s="52"/>
      <c r="D2188" s="55">
        <f t="shared" si="34"/>
        <v>0</v>
      </c>
      <c r="E2188" s="63" t="str">
        <f>HYPERLINK("https://www.sds-group.ru/product/trubka-termousazhivaemaya-tutng-ls-2-1-25-12-5-krasnaya-rexant-22-5004/", "Инфо")</f>
        <v>Инфо</v>
      </c>
      <c r="F2188" s="16" t="s">
        <v>39</v>
      </c>
      <c r="G2188" s="15"/>
      <c r="H2188" s="15"/>
      <c r="I2188" s="15"/>
      <c r="J2188" s="22">
        <v>2240</v>
      </c>
      <c r="K2188" s="15" t="s">
        <v>4183</v>
      </c>
      <c r="L2188" s="17">
        <v>10</v>
      </c>
      <c r="M2188" s="17">
        <v>300</v>
      </c>
      <c r="N2188" s="17">
        <v>10</v>
      </c>
      <c r="O2188" s="18">
        <v>121.88</v>
      </c>
      <c r="P2188" s="18">
        <v>99.9</v>
      </c>
      <c r="Q2188" s="18">
        <v>110.91</v>
      </c>
      <c r="R2188" s="18">
        <v>90.91</v>
      </c>
      <c r="S2188" s="18">
        <v>82.88</v>
      </c>
      <c r="T2188" s="18">
        <v>67.930000000000007</v>
      </c>
      <c r="U2188" s="16"/>
      <c r="V2188" s="16"/>
      <c r="W2188" s="16" t="s">
        <v>40</v>
      </c>
      <c r="X2188" s="19">
        <v>4.9000000000000002E-2</v>
      </c>
      <c r="Y2188" s="20">
        <v>3.2000000000000003E-4</v>
      </c>
      <c r="Z2188" s="21">
        <v>4601004350144</v>
      </c>
    </row>
    <row r="2189" spans="1:26" ht="12" customHeight="1" outlineLevel="4" x14ac:dyDescent="0.2">
      <c r="A2189" s="14" t="s">
        <v>4314</v>
      </c>
      <c r="B2189" s="26" t="s">
        <v>4315</v>
      </c>
      <c r="C2189" s="52"/>
      <c r="D2189" s="55">
        <f t="shared" si="34"/>
        <v>0</v>
      </c>
      <c r="E2189" s="63" t="str">
        <f>HYPERLINK("https://www.sds-group.ru/product/trubka-termousazhivaemaya-tutng-ls-2-1-25-12-5-seraya-rexant-22-5010/", "Инфо")</f>
        <v>Инфо</v>
      </c>
      <c r="F2189" s="16" t="s">
        <v>39</v>
      </c>
      <c r="G2189" s="15"/>
      <c r="H2189" s="15"/>
      <c r="I2189" s="15"/>
      <c r="J2189" s="22">
        <v>1280</v>
      </c>
      <c r="K2189" s="15" t="s">
        <v>4183</v>
      </c>
      <c r="L2189" s="17">
        <v>10</v>
      </c>
      <c r="M2189" s="17">
        <v>300</v>
      </c>
      <c r="N2189" s="17">
        <v>10</v>
      </c>
      <c r="O2189" s="18">
        <v>121.88</v>
      </c>
      <c r="P2189" s="18">
        <v>99.9</v>
      </c>
      <c r="Q2189" s="18">
        <v>110.91</v>
      </c>
      <c r="R2189" s="18">
        <v>90.91</v>
      </c>
      <c r="S2189" s="18">
        <v>82.88</v>
      </c>
      <c r="T2189" s="18">
        <v>67.930000000000007</v>
      </c>
      <c r="U2189" s="16"/>
      <c r="V2189" s="16"/>
      <c r="W2189" s="16" t="s">
        <v>40</v>
      </c>
      <c r="X2189" s="19">
        <v>4.9000000000000002E-2</v>
      </c>
      <c r="Y2189" s="20">
        <v>3.2000000000000003E-4</v>
      </c>
      <c r="Z2189" s="21">
        <v>4601004350922</v>
      </c>
    </row>
    <row r="2190" spans="1:26" ht="12" customHeight="1" outlineLevel="4" x14ac:dyDescent="0.2">
      <c r="A2190" s="14" t="s">
        <v>4316</v>
      </c>
      <c r="B2190" s="26" t="s">
        <v>4317</v>
      </c>
      <c r="C2190" s="52"/>
      <c r="D2190" s="55">
        <f t="shared" si="34"/>
        <v>0</v>
      </c>
      <c r="E2190" s="63" t="str">
        <f>HYPERLINK("https://www.sds-group.ru/product/trubka-termousazhivaemaya-tutng-ls-2-1-25-12-5-sinyaya-rexant-22-5006/", "Инфо")</f>
        <v>Инфо</v>
      </c>
      <c r="F2190" s="16" t="s">
        <v>39</v>
      </c>
      <c r="G2190" s="15"/>
      <c r="H2190" s="15"/>
      <c r="I2190" s="15"/>
      <c r="J2190" s="17">
        <v>910</v>
      </c>
      <c r="K2190" s="15" t="s">
        <v>1519</v>
      </c>
      <c r="L2190" s="17">
        <v>10</v>
      </c>
      <c r="M2190" s="17">
        <v>300</v>
      </c>
      <c r="N2190" s="17">
        <v>10</v>
      </c>
      <c r="O2190" s="18">
        <v>121.88</v>
      </c>
      <c r="P2190" s="18">
        <v>99.9</v>
      </c>
      <c r="Q2190" s="18">
        <v>110.91</v>
      </c>
      <c r="R2190" s="18">
        <v>90.91</v>
      </c>
      <c r="S2190" s="18">
        <v>82.88</v>
      </c>
      <c r="T2190" s="18">
        <v>67.930000000000007</v>
      </c>
      <c r="U2190" s="16"/>
      <c r="V2190" s="16"/>
      <c r="W2190" s="16" t="s">
        <v>40</v>
      </c>
      <c r="X2190" s="19">
        <v>4.9000000000000002E-2</v>
      </c>
      <c r="Y2190" s="20">
        <v>3.2000000000000003E-4</v>
      </c>
      <c r="Z2190" s="21">
        <v>4601004350595</v>
      </c>
    </row>
    <row r="2191" spans="1:26" ht="12" customHeight="1" outlineLevel="4" x14ac:dyDescent="0.2">
      <c r="A2191" s="14" t="s">
        <v>4318</v>
      </c>
      <c r="B2191" s="26" t="s">
        <v>4319</v>
      </c>
      <c r="C2191" s="52"/>
      <c r="D2191" s="55">
        <f t="shared" si="34"/>
        <v>0</v>
      </c>
      <c r="E2191" s="63" t="str">
        <f>HYPERLINK("https://www.sds-group.ru/product/trubka-termousazhivaemaya-tutng-ls-2-1-25-12-5-chernaya-rexant-22-5008/", "Инфо")</f>
        <v>Инфо</v>
      </c>
      <c r="F2191" s="16" t="s">
        <v>39</v>
      </c>
      <c r="G2191" s="15"/>
      <c r="H2191" s="15"/>
      <c r="I2191" s="15"/>
      <c r="J2191" s="22">
        <v>14237</v>
      </c>
      <c r="K2191" s="15" t="s">
        <v>1004</v>
      </c>
      <c r="L2191" s="17">
        <v>10</v>
      </c>
      <c r="M2191" s="17">
        <v>300</v>
      </c>
      <c r="N2191" s="17">
        <v>10</v>
      </c>
      <c r="O2191" s="18">
        <v>116.08</v>
      </c>
      <c r="P2191" s="18">
        <v>95.15</v>
      </c>
      <c r="Q2191" s="18">
        <v>105.63</v>
      </c>
      <c r="R2191" s="18">
        <v>86.58</v>
      </c>
      <c r="S2191" s="18">
        <v>78.930000000000007</v>
      </c>
      <c r="T2191" s="18">
        <v>64.7</v>
      </c>
      <c r="U2191" s="16"/>
      <c r="V2191" s="16"/>
      <c r="W2191" s="16" t="s">
        <v>40</v>
      </c>
      <c r="X2191" s="19">
        <v>4.9000000000000002E-2</v>
      </c>
      <c r="Y2191" s="20">
        <v>3.2000000000000003E-4</v>
      </c>
      <c r="Z2191" s="21">
        <v>4601004345119</v>
      </c>
    </row>
    <row r="2192" spans="1:26" ht="12" customHeight="1" outlineLevel="4" x14ac:dyDescent="0.2">
      <c r="A2192" s="14" t="s">
        <v>4320</v>
      </c>
      <c r="B2192" s="26" t="s">
        <v>4321</v>
      </c>
      <c r="C2192" s="52"/>
      <c r="D2192" s="55">
        <f t="shared" si="34"/>
        <v>0</v>
      </c>
      <c r="E2192" s="63" t="str">
        <f>HYPERLINK("https://www.sds-group.ru/product/trubka-termousazhivaemaya-tutng-ls-2-1-3-5-1-75-belaya-rexant-20-3501/", "Инфо")</f>
        <v>Инфо</v>
      </c>
      <c r="F2192" s="16" t="s">
        <v>39</v>
      </c>
      <c r="G2192" s="15"/>
      <c r="H2192" s="15"/>
      <c r="I2192" s="15"/>
      <c r="J2192" s="22">
        <v>11600</v>
      </c>
      <c r="K2192" s="15"/>
      <c r="L2192" s="17">
        <v>50</v>
      </c>
      <c r="M2192" s="22">
        <v>1000</v>
      </c>
      <c r="N2192" s="17">
        <v>50</v>
      </c>
      <c r="O2192" s="18">
        <v>13.67</v>
      </c>
      <c r="P2192" s="18">
        <v>11.2</v>
      </c>
      <c r="Q2192" s="18">
        <v>12.44</v>
      </c>
      <c r="R2192" s="18">
        <v>10.199999999999999</v>
      </c>
      <c r="S2192" s="18">
        <v>9.3000000000000007</v>
      </c>
      <c r="T2192" s="18">
        <v>7.62</v>
      </c>
      <c r="U2192" s="16"/>
      <c r="V2192" s="16"/>
      <c r="W2192" s="16" t="s">
        <v>40</v>
      </c>
      <c r="X2192" s="19">
        <v>4.0000000000000001E-3</v>
      </c>
      <c r="Y2192" s="20">
        <v>4.0000000000000003E-5</v>
      </c>
      <c r="Z2192" s="21">
        <v>4601004349841</v>
      </c>
    </row>
    <row r="2193" spans="1:26" ht="12" customHeight="1" outlineLevel="4" x14ac:dyDescent="0.2">
      <c r="A2193" s="14" t="s">
        <v>4322</v>
      </c>
      <c r="B2193" s="26" t="s">
        <v>4323</v>
      </c>
      <c r="C2193" s="52"/>
      <c r="D2193" s="55">
        <f t="shared" si="34"/>
        <v>0</v>
      </c>
      <c r="E2193" s="63" t="str">
        <f>HYPERLINK("https://www.sds-group.ru/product/trubka-termousazhivaemaya-tutng-ls-2-1-3-5-1-75-zheltaya-rexant-20-3502/", "Инфо")</f>
        <v>Инфо</v>
      </c>
      <c r="F2193" s="16" t="s">
        <v>39</v>
      </c>
      <c r="G2193" s="15"/>
      <c r="H2193" s="15"/>
      <c r="I2193" s="15"/>
      <c r="J2193" s="22">
        <v>3550</v>
      </c>
      <c r="K2193" s="15" t="s">
        <v>4183</v>
      </c>
      <c r="L2193" s="17">
        <v>50</v>
      </c>
      <c r="M2193" s="22">
        <v>2000</v>
      </c>
      <c r="N2193" s="17">
        <v>50</v>
      </c>
      <c r="O2193" s="18">
        <v>13.67</v>
      </c>
      <c r="P2193" s="18">
        <v>11.2</v>
      </c>
      <c r="Q2193" s="18">
        <v>12.44</v>
      </c>
      <c r="R2193" s="18">
        <v>10.199999999999999</v>
      </c>
      <c r="S2193" s="18">
        <v>9.3000000000000007</v>
      </c>
      <c r="T2193" s="18">
        <v>7.62</v>
      </c>
      <c r="U2193" s="16"/>
      <c r="V2193" s="16"/>
      <c r="W2193" s="16" t="s">
        <v>40</v>
      </c>
      <c r="X2193" s="19">
        <v>4.0000000000000001E-3</v>
      </c>
      <c r="Y2193" s="20">
        <v>4.0000000000000003E-5</v>
      </c>
      <c r="Z2193" s="21">
        <v>4601004351493</v>
      </c>
    </row>
    <row r="2194" spans="1:26" ht="12" customHeight="1" outlineLevel="4" x14ac:dyDescent="0.2">
      <c r="A2194" s="14" t="s">
        <v>4324</v>
      </c>
      <c r="B2194" s="26" t="s">
        <v>4325</v>
      </c>
      <c r="C2194" s="52"/>
      <c r="D2194" s="55">
        <f t="shared" si="34"/>
        <v>0</v>
      </c>
      <c r="E2194" s="63" t="str">
        <f>HYPERLINK("https://www.sds-group.ru/product/trubka-termousazhivaemaya-tutng-ls-2-1-3-5-1-75-zelenaya-rexant-20-3503/", "Инфо")</f>
        <v>Инфо</v>
      </c>
      <c r="F2194" s="16" t="s">
        <v>39</v>
      </c>
      <c r="G2194" s="15"/>
      <c r="H2194" s="15"/>
      <c r="I2194" s="15"/>
      <c r="J2194" s="22">
        <v>5950</v>
      </c>
      <c r="K2194" s="15"/>
      <c r="L2194" s="17">
        <v>50</v>
      </c>
      <c r="M2194" s="22">
        <v>2000</v>
      </c>
      <c r="N2194" s="17">
        <v>50</v>
      </c>
      <c r="O2194" s="18">
        <v>13.67</v>
      </c>
      <c r="P2194" s="18">
        <v>11.2</v>
      </c>
      <c r="Q2194" s="18">
        <v>12.44</v>
      </c>
      <c r="R2194" s="18">
        <v>10.199999999999999</v>
      </c>
      <c r="S2194" s="18">
        <v>9.3000000000000007</v>
      </c>
      <c r="T2194" s="18">
        <v>7.62</v>
      </c>
      <c r="U2194" s="16"/>
      <c r="V2194" s="16"/>
      <c r="W2194" s="16" t="s">
        <v>40</v>
      </c>
      <c r="X2194" s="19">
        <v>4.0000000000000001E-3</v>
      </c>
      <c r="Y2194" s="20">
        <v>4.0000000000000003E-5</v>
      </c>
      <c r="Z2194" s="21">
        <v>4601004350854</v>
      </c>
    </row>
    <row r="2195" spans="1:26" ht="12" customHeight="1" outlineLevel="4" x14ac:dyDescent="0.2">
      <c r="A2195" s="14" t="s">
        <v>4326</v>
      </c>
      <c r="B2195" s="26" t="s">
        <v>4327</v>
      </c>
      <c r="C2195" s="52"/>
      <c r="D2195" s="55">
        <f t="shared" si="34"/>
        <v>0</v>
      </c>
      <c r="E2195" s="63" t="str">
        <f>HYPERLINK("https://www.sds-group.ru/product/trubka-termousazhivaemaya-tutng-ls-2-1-3-5-1-75-krasnaya-rexant-20-3504/", "Инфо")</f>
        <v>Инфо</v>
      </c>
      <c r="F2195" s="16" t="s">
        <v>39</v>
      </c>
      <c r="G2195" s="15"/>
      <c r="H2195" s="15"/>
      <c r="I2195" s="15"/>
      <c r="J2195" s="22">
        <v>13350</v>
      </c>
      <c r="K2195" s="15"/>
      <c r="L2195" s="17">
        <v>50</v>
      </c>
      <c r="M2195" s="22">
        <v>1000</v>
      </c>
      <c r="N2195" s="17">
        <v>50</v>
      </c>
      <c r="O2195" s="18">
        <v>13.67</v>
      </c>
      <c r="P2195" s="18">
        <v>11.2</v>
      </c>
      <c r="Q2195" s="18">
        <v>12.44</v>
      </c>
      <c r="R2195" s="18">
        <v>10.199999999999999</v>
      </c>
      <c r="S2195" s="18">
        <v>9.3000000000000007</v>
      </c>
      <c r="T2195" s="18">
        <v>7.62</v>
      </c>
      <c r="U2195" s="16"/>
      <c r="V2195" s="16"/>
      <c r="W2195" s="16" t="s">
        <v>40</v>
      </c>
      <c r="X2195" s="19">
        <v>4.0000000000000001E-3</v>
      </c>
      <c r="Y2195" s="20">
        <v>4.0000000000000003E-5</v>
      </c>
      <c r="Z2195" s="21">
        <v>4601004350397</v>
      </c>
    </row>
    <row r="2196" spans="1:26" ht="12" customHeight="1" outlineLevel="4" x14ac:dyDescent="0.2">
      <c r="A2196" s="14" t="s">
        <v>4328</v>
      </c>
      <c r="B2196" s="26" t="s">
        <v>4329</v>
      </c>
      <c r="C2196" s="52"/>
      <c r="D2196" s="55">
        <f t="shared" si="34"/>
        <v>0</v>
      </c>
      <c r="E2196" s="63" t="str">
        <f>HYPERLINK("https://www.sds-group.ru/product/trubka-termousazhivaemaya-tutng-ls-2-1-3-5-1-75-sinyaya-rexant-20-3505/", "Инфо")</f>
        <v>Инфо</v>
      </c>
      <c r="F2196" s="16" t="s">
        <v>39</v>
      </c>
      <c r="G2196" s="15"/>
      <c r="H2196" s="15"/>
      <c r="I2196" s="15"/>
      <c r="J2196" s="22">
        <v>6800</v>
      </c>
      <c r="K2196" s="15"/>
      <c r="L2196" s="17">
        <v>50</v>
      </c>
      <c r="M2196" s="22">
        <v>2000</v>
      </c>
      <c r="N2196" s="17">
        <v>50</v>
      </c>
      <c r="O2196" s="18">
        <v>13.67</v>
      </c>
      <c r="P2196" s="18">
        <v>11.2</v>
      </c>
      <c r="Q2196" s="18">
        <v>12.44</v>
      </c>
      <c r="R2196" s="18">
        <v>10.199999999999999</v>
      </c>
      <c r="S2196" s="18">
        <v>9.3000000000000007</v>
      </c>
      <c r="T2196" s="18">
        <v>7.62</v>
      </c>
      <c r="U2196" s="16"/>
      <c r="V2196" s="16"/>
      <c r="W2196" s="16" t="s">
        <v>40</v>
      </c>
      <c r="X2196" s="19">
        <v>4.0000000000000001E-3</v>
      </c>
      <c r="Y2196" s="20">
        <v>4.0000000000000003E-5</v>
      </c>
      <c r="Z2196" s="21">
        <v>4601004350632</v>
      </c>
    </row>
    <row r="2197" spans="1:26" ht="12" customHeight="1" outlineLevel="4" x14ac:dyDescent="0.2">
      <c r="A2197" s="14" t="s">
        <v>4330</v>
      </c>
      <c r="B2197" s="26" t="s">
        <v>4331</v>
      </c>
      <c r="C2197" s="52"/>
      <c r="D2197" s="55">
        <f t="shared" si="34"/>
        <v>0</v>
      </c>
      <c r="E2197" s="63" t="str">
        <f>HYPERLINK("https://www.sds-group.ru/product/trubka-termousazhivaemaya-tutng-ls-2-1-3-5-1-75-chernaya-rexant-20-3506/", "Инфо")</f>
        <v>Инфо</v>
      </c>
      <c r="F2197" s="16" t="s">
        <v>39</v>
      </c>
      <c r="G2197" s="15"/>
      <c r="H2197" s="15"/>
      <c r="I2197" s="15"/>
      <c r="J2197" s="22">
        <v>22685</v>
      </c>
      <c r="K2197" s="15" t="s">
        <v>1004</v>
      </c>
      <c r="L2197" s="17">
        <v>50</v>
      </c>
      <c r="M2197" s="22">
        <v>2000</v>
      </c>
      <c r="N2197" s="17">
        <v>50</v>
      </c>
      <c r="O2197" s="18">
        <v>13.83</v>
      </c>
      <c r="P2197" s="18">
        <v>11.34</v>
      </c>
      <c r="Q2197" s="18">
        <v>12.59</v>
      </c>
      <c r="R2197" s="18">
        <v>10.32</v>
      </c>
      <c r="S2197" s="18">
        <v>9.4</v>
      </c>
      <c r="T2197" s="18">
        <v>7.7</v>
      </c>
      <c r="U2197" s="16"/>
      <c r="V2197" s="16"/>
      <c r="W2197" s="16" t="s">
        <v>40</v>
      </c>
      <c r="X2197" s="19">
        <v>4.0000000000000001E-3</v>
      </c>
      <c r="Y2197" s="20">
        <v>4.0000000000000003E-5</v>
      </c>
      <c r="Z2197" s="21">
        <v>4601004345102</v>
      </c>
    </row>
    <row r="2198" spans="1:26" ht="12" customHeight="1" outlineLevel="4" x14ac:dyDescent="0.2">
      <c r="A2198" s="14" t="s">
        <v>4332</v>
      </c>
      <c r="B2198" s="26" t="s">
        <v>4333</v>
      </c>
      <c r="C2198" s="52"/>
      <c r="D2198" s="55">
        <f t="shared" si="34"/>
        <v>0</v>
      </c>
      <c r="E2198" s="63" t="str">
        <f>HYPERLINK("https://www.sds-group.ru/product/trubka-termousazhivaemaya-tutng-ls-2-1-3-1-5-belaya-rexant-20-3001/", "Инфо")</f>
        <v>Инфо</v>
      </c>
      <c r="F2198" s="16" t="s">
        <v>39</v>
      </c>
      <c r="G2198" s="15"/>
      <c r="H2198" s="15"/>
      <c r="I2198" s="15"/>
      <c r="J2198" s="22">
        <v>12897</v>
      </c>
      <c r="K2198" s="15" t="s">
        <v>1004</v>
      </c>
      <c r="L2198" s="17">
        <v>50</v>
      </c>
      <c r="M2198" s="22">
        <v>3000</v>
      </c>
      <c r="N2198" s="17">
        <v>50</v>
      </c>
      <c r="O2198" s="18">
        <v>14.38</v>
      </c>
      <c r="P2198" s="18">
        <v>11.79</v>
      </c>
      <c r="Q2198" s="18">
        <v>13.09</v>
      </c>
      <c r="R2198" s="18">
        <v>10.73</v>
      </c>
      <c r="S2198" s="18">
        <v>9.7799999999999994</v>
      </c>
      <c r="T2198" s="18">
        <v>8.02</v>
      </c>
      <c r="U2198" s="16"/>
      <c r="V2198" s="16"/>
      <c r="W2198" s="16" t="s">
        <v>40</v>
      </c>
      <c r="X2198" s="19">
        <v>4.0000000000000001E-3</v>
      </c>
      <c r="Y2198" s="20">
        <v>4.8999999999999998E-5</v>
      </c>
      <c r="Z2198" s="21">
        <v>4601004349964</v>
      </c>
    </row>
    <row r="2199" spans="1:26" ht="12" customHeight="1" outlineLevel="4" x14ac:dyDescent="0.2">
      <c r="A2199" s="14" t="s">
        <v>4334</v>
      </c>
      <c r="B2199" s="26" t="s">
        <v>4335</v>
      </c>
      <c r="C2199" s="52"/>
      <c r="D2199" s="55">
        <f t="shared" si="34"/>
        <v>0</v>
      </c>
      <c r="E2199" s="63" t="str">
        <f>HYPERLINK("https://www.sds-group.ru/product/trubka-termousazhivaemaya-tutng-ls-2-1-3-1-5-zheltaya-rexant-20-3002/", "Инфо")</f>
        <v>Инфо</v>
      </c>
      <c r="F2199" s="16" t="s">
        <v>39</v>
      </c>
      <c r="G2199" s="15"/>
      <c r="H2199" s="15"/>
      <c r="I2199" s="15"/>
      <c r="J2199" s="22">
        <v>7296</v>
      </c>
      <c r="K2199" s="15" t="s">
        <v>1004</v>
      </c>
      <c r="L2199" s="17">
        <v>50</v>
      </c>
      <c r="M2199" s="22">
        <v>3000</v>
      </c>
      <c r="N2199" s="17">
        <v>50</v>
      </c>
      <c r="O2199" s="18">
        <v>14.38</v>
      </c>
      <c r="P2199" s="18">
        <v>11.79</v>
      </c>
      <c r="Q2199" s="18">
        <v>13.09</v>
      </c>
      <c r="R2199" s="18">
        <v>10.73</v>
      </c>
      <c r="S2199" s="18">
        <v>9.7799999999999994</v>
      </c>
      <c r="T2199" s="18">
        <v>8.02</v>
      </c>
      <c r="U2199" s="16"/>
      <c r="V2199" s="16"/>
      <c r="W2199" s="16" t="s">
        <v>40</v>
      </c>
      <c r="X2199" s="19">
        <v>4.0000000000000001E-3</v>
      </c>
      <c r="Y2199" s="20">
        <v>4.8999999999999998E-5</v>
      </c>
      <c r="Z2199" s="21">
        <v>4601004351387</v>
      </c>
    </row>
    <row r="2200" spans="1:26" ht="12" customHeight="1" outlineLevel="4" x14ac:dyDescent="0.2">
      <c r="A2200" s="14" t="s">
        <v>4336</v>
      </c>
      <c r="B2200" s="26" t="s">
        <v>4337</v>
      </c>
      <c r="C2200" s="52"/>
      <c r="D2200" s="55">
        <f t="shared" si="34"/>
        <v>0</v>
      </c>
      <c r="E2200" s="63" t="str">
        <f>HYPERLINK("https://www.sds-group.ru/product/trubka-termousazhivaemaya-tutng-ls-2-1-3-1-5-zhelto-zelenaya-rexant-20-3007/", "Инфо")</f>
        <v>Инфо</v>
      </c>
      <c r="F2200" s="16" t="s">
        <v>39</v>
      </c>
      <c r="G2200" s="15"/>
      <c r="H2200" s="15"/>
      <c r="I2200" s="15"/>
      <c r="J2200" s="22">
        <v>2700</v>
      </c>
      <c r="K2200" s="15" t="s">
        <v>1519</v>
      </c>
      <c r="L2200" s="17">
        <v>50</v>
      </c>
      <c r="M2200" s="22">
        <v>3000</v>
      </c>
      <c r="N2200" s="17">
        <v>50</v>
      </c>
      <c r="O2200" s="18">
        <v>28.75</v>
      </c>
      <c r="P2200" s="18">
        <v>23.57</v>
      </c>
      <c r="Q2200" s="18">
        <v>26.16</v>
      </c>
      <c r="R2200" s="18">
        <v>21.44</v>
      </c>
      <c r="S2200" s="18">
        <v>19.55</v>
      </c>
      <c r="T2200" s="18">
        <v>16.02</v>
      </c>
      <c r="U2200" s="16"/>
      <c r="V2200" s="16"/>
      <c r="W2200" s="16" t="s">
        <v>40</v>
      </c>
      <c r="X2200" s="19">
        <v>4.0000000000000001E-3</v>
      </c>
      <c r="Y2200" s="20">
        <v>4.8999999999999998E-5</v>
      </c>
      <c r="Z2200" s="21">
        <v>4601004351837</v>
      </c>
    </row>
    <row r="2201" spans="1:26" ht="12" customHeight="1" outlineLevel="4" x14ac:dyDescent="0.2">
      <c r="A2201" s="14" t="s">
        <v>4338</v>
      </c>
      <c r="B2201" s="26" t="s">
        <v>4339</v>
      </c>
      <c r="C2201" s="52"/>
      <c r="D2201" s="55">
        <f t="shared" si="34"/>
        <v>0</v>
      </c>
      <c r="E2201" s="63" t="str">
        <f>HYPERLINK("https://www.sds-group.ru/product/trubka-termousazhivaemaya-tutng-ls-2-1-3-1-5-zelenaya-rexant-20-3003/", "Инфо")</f>
        <v>Инфо</v>
      </c>
      <c r="F2201" s="16" t="s">
        <v>39</v>
      </c>
      <c r="G2201" s="15"/>
      <c r="H2201" s="15"/>
      <c r="I2201" s="15"/>
      <c r="J2201" s="22">
        <v>10995</v>
      </c>
      <c r="K2201" s="15" t="s">
        <v>4183</v>
      </c>
      <c r="L2201" s="17">
        <v>50</v>
      </c>
      <c r="M2201" s="22">
        <v>3000</v>
      </c>
      <c r="N2201" s="17">
        <v>50</v>
      </c>
      <c r="O2201" s="18">
        <v>14.38</v>
      </c>
      <c r="P2201" s="18">
        <v>11.79</v>
      </c>
      <c r="Q2201" s="18">
        <v>13.09</v>
      </c>
      <c r="R2201" s="18">
        <v>10.73</v>
      </c>
      <c r="S2201" s="18">
        <v>9.7799999999999994</v>
      </c>
      <c r="T2201" s="18">
        <v>8.02</v>
      </c>
      <c r="U2201" s="16"/>
      <c r="V2201" s="16"/>
      <c r="W2201" s="16" t="s">
        <v>40</v>
      </c>
      <c r="X2201" s="19">
        <v>4.0000000000000001E-3</v>
      </c>
      <c r="Y2201" s="20">
        <v>4.8999999999999998E-5</v>
      </c>
      <c r="Z2201" s="21">
        <v>4601004350731</v>
      </c>
    </row>
    <row r="2202" spans="1:26" ht="12" customHeight="1" outlineLevel="4" x14ac:dyDescent="0.2">
      <c r="A2202" s="14" t="s">
        <v>4340</v>
      </c>
      <c r="B2202" s="26" t="s">
        <v>4341</v>
      </c>
      <c r="C2202" s="52"/>
      <c r="D2202" s="55">
        <f t="shared" si="34"/>
        <v>0</v>
      </c>
      <c r="E2202" s="63" t="str">
        <f>HYPERLINK("https://www.sds-group.ru/product/trubka-termousazhivaemaya-tutng-ls-2-1-3-1-5-krasnaya-rexant-20-3004/", "Инфо")</f>
        <v>Инфо</v>
      </c>
      <c r="F2202" s="16" t="s">
        <v>39</v>
      </c>
      <c r="G2202" s="15"/>
      <c r="H2202" s="15"/>
      <c r="I2202" s="15"/>
      <c r="J2202" s="22">
        <v>22944</v>
      </c>
      <c r="K2202" s="15" t="s">
        <v>1004</v>
      </c>
      <c r="L2202" s="17">
        <v>50</v>
      </c>
      <c r="M2202" s="22">
        <v>3000</v>
      </c>
      <c r="N2202" s="17">
        <v>50</v>
      </c>
      <c r="O2202" s="18">
        <v>14.38</v>
      </c>
      <c r="P2202" s="18">
        <v>11.79</v>
      </c>
      <c r="Q2202" s="18">
        <v>13.09</v>
      </c>
      <c r="R2202" s="18">
        <v>10.73</v>
      </c>
      <c r="S2202" s="18">
        <v>9.7799999999999994</v>
      </c>
      <c r="T2202" s="18">
        <v>8.02</v>
      </c>
      <c r="U2202" s="16"/>
      <c r="V2202" s="16"/>
      <c r="W2202" s="16" t="s">
        <v>40</v>
      </c>
      <c r="X2202" s="19">
        <v>4.0000000000000001E-3</v>
      </c>
      <c r="Y2202" s="20">
        <v>4.8999999999999998E-5</v>
      </c>
      <c r="Z2202" s="21">
        <v>4601004350380</v>
      </c>
    </row>
    <row r="2203" spans="1:26" ht="12" customHeight="1" outlineLevel="4" x14ac:dyDescent="0.2">
      <c r="A2203" s="14" t="s">
        <v>4342</v>
      </c>
      <c r="B2203" s="26" t="s">
        <v>4343</v>
      </c>
      <c r="C2203" s="52"/>
      <c r="D2203" s="55">
        <f t="shared" si="34"/>
        <v>0</v>
      </c>
      <c r="E2203" s="63" t="str">
        <f>HYPERLINK("https://www.sds-group.ru/product/trubka-termousazhivaemaya-tutng-ls-2-1-3-1-5-seraya-rexant-20-3010/", "Инфо")</f>
        <v>Инфо</v>
      </c>
      <c r="F2203" s="16" t="s">
        <v>39</v>
      </c>
      <c r="G2203" s="15"/>
      <c r="H2203" s="15"/>
      <c r="I2203" s="15"/>
      <c r="J2203" s="22">
        <v>5400</v>
      </c>
      <c r="K2203" s="15"/>
      <c r="L2203" s="17">
        <v>50</v>
      </c>
      <c r="M2203" s="22">
        <v>3000</v>
      </c>
      <c r="N2203" s="17">
        <v>50</v>
      </c>
      <c r="O2203" s="18">
        <v>14.38</v>
      </c>
      <c r="P2203" s="18">
        <v>11.79</v>
      </c>
      <c r="Q2203" s="18">
        <v>13.09</v>
      </c>
      <c r="R2203" s="18">
        <v>10.73</v>
      </c>
      <c r="S2203" s="18">
        <v>9.7799999999999994</v>
      </c>
      <c r="T2203" s="18">
        <v>8.02</v>
      </c>
      <c r="U2203" s="16"/>
      <c r="V2203" s="16"/>
      <c r="W2203" s="16" t="s">
        <v>40</v>
      </c>
      <c r="X2203" s="19">
        <v>4.0000000000000001E-3</v>
      </c>
      <c r="Y2203" s="20">
        <v>4.8999999999999998E-5</v>
      </c>
      <c r="Z2203" s="21">
        <v>4601004350977</v>
      </c>
    </row>
    <row r="2204" spans="1:26" ht="12" customHeight="1" outlineLevel="4" x14ac:dyDescent="0.2">
      <c r="A2204" s="14" t="s">
        <v>4344</v>
      </c>
      <c r="B2204" s="26" t="s">
        <v>4345</v>
      </c>
      <c r="C2204" s="52"/>
      <c r="D2204" s="55">
        <f t="shared" si="34"/>
        <v>0</v>
      </c>
      <c r="E2204" s="63" t="str">
        <f>HYPERLINK("https://www.sds-group.ru/product/trubka-termousazhivaemaya-tutng-ls-2-1-3-1-5-sinyaya-rexant-20-3005/", "Инфо")</f>
        <v>Инфо</v>
      </c>
      <c r="F2204" s="16" t="s">
        <v>39</v>
      </c>
      <c r="G2204" s="15"/>
      <c r="H2204" s="15"/>
      <c r="I2204" s="15"/>
      <c r="J2204" s="22">
        <v>21000</v>
      </c>
      <c r="K2204" s="15" t="s">
        <v>1519</v>
      </c>
      <c r="L2204" s="17">
        <v>50</v>
      </c>
      <c r="M2204" s="22">
        <v>3000</v>
      </c>
      <c r="N2204" s="17">
        <v>50</v>
      </c>
      <c r="O2204" s="18">
        <v>14.38</v>
      </c>
      <c r="P2204" s="18">
        <v>11.79</v>
      </c>
      <c r="Q2204" s="18">
        <v>13.09</v>
      </c>
      <c r="R2204" s="18">
        <v>10.73</v>
      </c>
      <c r="S2204" s="18">
        <v>9.7799999999999994</v>
      </c>
      <c r="T2204" s="18">
        <v>8.02</v>
      </c>
      <c r="U2204" s="16"/>
      <c r="V2204" s="16"/>
      <c r="W2204" s="16" t="s">
        <v>40</v>
      </c>
      <c r="X2204" s="19">
        <v>4.0000000000000001E-3</v>
      </c>
      <c r="Y2204" s="20">
        <v>4.8999999999999998E-5</v>
      </c>
      <c r="Z2204" s="21">
        <v>4601004350519</v>
      </c>
    </row>
    <row r="2205" spans="1:26" ht="12" customHeight="1" outlineLevel="4" x14ac:dyDescent="0.2">
      <c r="A2205" s="14" t="s">
        <v>4346</v>
      </c>
      <c r="B2205" s="26" t="s">
        <v>4347</v>
      </c>
      <c r="C2205" s="52"/>
      <c r="D2205" s="55">
        <f t="shared" si="34"/>
        <v>0</v>
      </c>
      <c r="E2205" s="63" t="str">
        <f>HYPERLINK("https://www.sds-group.ru/product/trubka-termousazhivaemaya-tutng-ls-2-1-3-1-5-chernaya-rexant-20-3006/", "Инфо")</f>
        <v>Инфо</v>
      </c>
      <c r="F2205" s="16" t="s">
        <v>39</v>
      </c>
      <c r="G2205" s="15"/>
      <c r="H2205" s="15"/>
      <c r="I2205" s="15"/>
      <c r="J2205" s="22">
        <v>64479</v>
      </c>
      <c r="K2205" s="15" t="s">
        <v>1004</v>
      </c>
      <c r="L2205" s="17">
        <v>50</v>
      </c>
      <c r="M2205" s="22">
        <v>3000</v>
      </c>
      <c r="N2205" s="17">
        <v>50</v>
      </c>
      <c r="O2205" s="18">
        <v>13.71</v>
      </c>
      <c r="P2205" s="18">
        <v>11.24</v>
      </c>
      <c r="Q2205" s="18">
        <v>12.48</v>
      </c>
      <c r="R2205" s="18">
        <v>10.23</v>
      </c>
      <c r="S2205" s="18">
        <v>9.32</v>
      </c>
      <c r="T2205" s="18">
        <v>7.64</v>
      </c>
      <c r="U2205" s="16"/>
      <c r="V2205" s="16"/>
      <c r="W2205" s="16" t="s">
        <v>40</v>
      </c>
      <c r="X2205" s="19">
        <v>4.0000000000000001E-3</v>
      </c>
      <c r="Y2205" s="20">
        <v>4.8999999999999998E-5</v>
      </c>
      <c r="Z2205" s="21">
        <v>4601004345157</v>
      </c>
    </row>
    <row r="2206" spans="1:26" ht="12" customHeight="1" outlineLevel="4" x14ac:dyDescent="0.2">
      <c r="A2206" s="14" t="s">
        <v>4348</v>
      </c>
      <c r="B2206" s="26" t="s">
        <v>4349</v>
      </c>
      <c r="C2206" s="52"/>
      <c r="D2206" s="55">
        <f t="shared" si="34"/>
        <v>0</v>
      </c>
      <c r="E2206" s="63" t="str">
        <f>HYPERLINK("https://www.sds-group.ru/product/trubka-termousazhivaemaya-tutng-ls-2-1-30-15-belaya-rexant-23-0001/", "Инфо")</f>
        <v>Инфо</v>
      </c>
      <c r="F2206" s="16" t="s">
        <v>39</v>
      </c>
      <c r="G2206" s="15"/>
      <c r="H2206" s="15"/>
      <c r="I2206" s="15"/>
      <c r="J2206" s="22">
        <v>1000</v>
      </c>
      <c r="K2206" s="15" t="s">
        <v>1004</v>
      </c>
      <c r="L2206" s="17">
        <v>10</v>
      </c>
      <c r="M2206" s="17">
        <v>150</v>
      </c>
      <c r="N2206" s="17">
        <v>10</v>
      </c>
      <c r="O2206" s="18">
        <v>143.69</v>
      </c>
      <c r="P2206" s="18">
        <v>117.78</v>
      </c>
      <c r="Q2206" s="18">
        <v>130.76</v>
      </c>
      <c r="R2206" s="18">
        <v>107.18</v>
      </c>
      <c r="S2206" s="18">
        <v>97.71</v>
      </c>
      <c r="T2206" s="18">
        <v>80.09</v>
      </c>
      <c r="U2206" s="16"/>
      <c r="V2206" s="16"/>
      <c r="W2206" s="16" t="s">
        <v>40</v>
      </c>
      <c r="X2206" s="19">
        <v>6.3E-2</v>
      </c>
      <c r="Y2206" s="20">
        <v>2.9999999999999997E-4</v>
      </c>
      <c r="Z2206" s="21">
        <v>4601004349940</v>
      </c>
    </row>
    <row r="2207" spans="1:26" ht="12" customHeight="1" outlineLevel="4" x14ac:dyDescent="0.2">
      <c r="A2207" s="14" t="s">
        <v>4350</v>
      </c>
      <c r="B2207" s="26" t="s">
        <v>4351</v>
      </c>
      <c r="C2207" s="52"/>
      <c r="D2207" s="55">
        <f t="shared" si="34"/>
        <v>0</v>
      </c>
      <c r="E2207" s="63" t="str">
        <f>HYPERLINK("https://www.sds-group.ru/product/trubka-termousazhivaemaya-tutng-ls-2-1-30-15-zheltaya-rexant-23-0002/", "Инфо")</f>
        <v>Инфо</v>
      </c>
      <c r="F2207" s="16" t="s">
        <v>39</v>
      </c>
      <c r="G2207" s="15"/>
      <c r="H2207" s="15"/>
      <c r="I2207" s="15"/>
      <c r="J2207" s="16" t="s">
        <v>100</v>
      </c>
      <c r="K2207" s="15" t="s">
        <v>1004</v>
      </c>
      <c r="L2207" s="17">
        <v>10</v>
      </c>
      <c r="M2207" s="17">
        <v>150</v>
      </c>
      <c r="N2207" s="17">
        <v>10</v>
      </c>
      <c r="O2207" s="18">
        <v>143.69</v>
      </c>
      <c r="P2207" s="18">
        <v>117.78</v>
      </c>
      <c r="Q2207" s="18">
        <v>130.76</v>
      </c>
      <c r="R2207" s="18">
        <v>107.18</v>
      </c>
      <c r="S2207" s="18">
        <v>97.71</v>
      </c>
      <c r="T2207" s="18">
        <v>80.09</v>
      </c>
      <c r="U2207" s="16"/>
      <c r="V2207" s="16"/>
      <c r="W2207" s="16" t="s">
        <v>40</v>
      </c>
      <c r="X2207" s="19">
        <v>6.3E-2</v>
      </c>
      <c r="Y2207" s="20">
        <v>2.9999999999999997E-4</v>
      </c>
      <c r="Z2207" s="21">
        <v>4601004351295</v>
      </c>
    </row>
    <row r="2208" spans="1:26" ht="12" customHeight="1" outlineLevel="4" x14ac:dyDescent="0.2">
      <c r="A2208" s="14" t="s">
        <v>4352</v>
      </c>
      <c r="B2208" s="26" t="s">
        <v>4353</v>
      </c>
      <c r="C2208" s="52"/>
      <c r="D2208" s="55">
        <f t="shared" si="34"/>
        <v>0</v>
      </c>
      <c r="E2208" s="63" t="str">
        <f>HYPERLINK("https://www.sds-group.ru/product/trubka-termousazhivaemaya-tutng-ls-2-1-30-15-zhelto-zelenaya-rexant-23-0007/", "Инфо")</f>
        <v>Инфо</v>
      </c>
      <c r="F2208" s="16" t="s">
        <v>39</v>
      </c>
      <c r="G2208" s="15"/>
      <c r="H2208" s="15"/>
      <c r="I2208" s="15"/>
      <c r="J2208" s="16" t="s">
        <v>100</v>
      </c>
      <c r="K2208" s="15" t="s">
        <v>1004</v>
      </c>
      <c r="L2208" s="17">
        <v>10</v>
      </c>
      <c r="M2208" s="17">
        <v>150</v>
      </c>
      <c r="N2208" s="17">
        <v>10</v>
      </c>
      <c r="O2208" s="18">
        <v>269.02999999999997</v>
      </c>
      <c r="P2208" s="18">
        <v>220.52</v>
      </c>
      <c r="Q2208" s="18">
        <v>244.82</v>
      </c>
      <c r="R2208" s="18">
        <v>200.67</v>
      </c>
      <c r="S2208" s="18">
        <v>182.94</v>
      </c>
      <c r="T2208" s="18">
        <v>149.94999999999999</v>
      </c>
      <c r="U2208" s="16"/>
      <c r="V2208" s="16"/>
      <c r="W2208" s="16" t="s">
        <v>40</v>
      </c>
      <c r="X2208" s="19">
        <v>6.3E-2</v>
      </c>
      <c r="Y2208" s="20">
        <v>2.9999999999999997E-4</v>
      </c>
      <c r="Z2208" s="21">
        <v>4601004351806</v>
      </c>
    </row>
    <row r="2209" spans="1:26" ht="12" customHeight="1" outlineLevel="4" x14ac:dyDescent="0.2">
      <c r="A2209" s="14" t="s">
        <v>4354</v>
      </c>
      <c r="B2209" s="26" t="s">
        <v>4355</v>
      </c>
      <c r="C2209" s="52"/>
      <c r="D2209" s="55">
        <f t="shared" si="34"/>
        <v>0</v>
      </c>
      <c r="E2209" s="63" t="str">
        <f>HYPERLINK("https://www.sds-group.ru/product/trubka-termousazhivaemaya-tutng-ls-2-1-30-15-zelenaya-rexant-23-0003/", "Инфо")</f>
        <v>Инфо</v>
      </c>
      <c r="F2209" s="16" t="s">
        <v>39</v>
      </c>
      <c r="G2209" s="15"/>
      <c r="H2209" s="15"/>
      <c r="I2209" s="15"/>
      <c r="J2209" s="16" t="s">
        <v>100</v>
      </c>
      <c r="K2209" s="15" t="s">
        <v>1004</v>
      </c>
      <c r="L2209" s="17">
        <v>10</v>
      </c>
      <c r="M2209" s="17">
        <v>150</v>
      </c>
      <c r="N2209" s="17">
        <v>10</v>
      </c>
      <c r="O2209" s="18">
        <v>143.69</v>
      </c>
      <c r="P2209" s="18">
        <v>117.78</v>
      </c>
      <c r="Q2209" s="18">
        <v>130.76</v>
      </c>
      <c r="R2209" s="18">
        <v>107.18</v>
      </c>
      <c r="S2209" s="18">
        <v>97.71</v>
      </c>
      <c r="T2209" s="18">
        <v>80.09</v>
      </c>
      <c r="U2209" s="16"/>
      <c r="V2209" s="16"/>
      <c r="W2209" s="16" t="s">
        <v>40</v>
      </c>
      <c r="X2209" s="19">
        <v>6.3E-2</v>
      </c>
      <c r="Y2209" s="20">
        <v>2.9999999999999997E-4</v>
      </c>
      <c r="Z2209" s="21">
        <v>4601004350786</v>
      </c>
    </row>
    <row r="2210" spans="1:26" ht="12" customHeight="1" outlineLevel="4" x14ac:dyDescent="0.2">
      <c r="A2210" s="14" t="s">
        <v>4356</v>
      </c>
      <c r="B2210" s="26" t="s">
        <v>4357</v>
      </c>
      <c r="C2210" s="52"/>
      <c r="D2210" s="55">
        <f t="shared" si="34"/>
        <v>0</v>
      </c>
      <c r="E2210" s="63" t="str">
        <f>HYPERLINK("https://www.sds-group.ru/product/trubka-termousazhivaemaya-tutng-ls-2-1-30-15-krasnaya-rexant-23-0004/", "Инфо")</f>
        <v>Инфо</v>
      </c>
      <c r="F2210" s="16" t="s">
        <v>39</v>
      </c>
      <c r="G2210" s="15"/>
      <c r="H2210" s="15"/>
      <c r="I2210" s="15"/>
      <c r="J2210" s="16" t="s">
        <v>100</v>
      </c>
      <c r="K2210" s="15" t="s">
        <v>1004</v>
      </c>
      <c r="L2210" s="17">
        <v>10</v>
      </c>
      <c r="M2210" s="17">
        <v>150</v>
      </c>
      <c r="N2210" s="17">
        <v>10</v>
      </c>
      <c r="O2210" s="18">
        <v>143.69</v>
      </c>
      <c r="P2210" s="18">
        <v>117.78</v>
      </c>
      <c r="Q2210" s="18">
        <v>130.76</v>
      </c>
      <c r="R2210" s="18">
        <v>107.18</v>
      </c>
      <c r="S2210" s="18">
        <v>97.71</v>
      </c>
      <c r="T2210" s="18">
        <v>80.09</v>
      </c>
      <c r="U2210" s="16"/>
      <c r="V2210" s="16"/>
      <c r="W2210" s="16" t="s">
        <v>40</v>
      </c>
      <c r="X2210" s="19">
        <v>6.3E-2</v>
      </c>
      <c r="Y2210" s="20">
        <v>2.9999999999999997E-4</v>
      </c>
      <c r="Z2210" s="21">
        <v>4601004350205</v>
      </c>
    </row>
    <row r="2211" spans="1:26" ht="12" customHeight="1" outlineLevel="4" x14ac:dyDescent="0.2">
      <c r="A2211" s="14" t="s">
        <v>4358</v>
      </c>
      <c r="B2211" s="26" t="s">
        <v>4359</v>
      </c>
      <c r="C2211" s="52"/>
      <c r="D2211" s="55">
        <f t="shared" si="34"/>
        <v>0</v>
      </c>
      <c r="E2211" s="63" t="str">
        <f>HYPERLINK("https://www.sds-group.ru/product/trubka-termousazhivaemaya-tutng-ls-2-1-30-15-sinyaya-rexant-23-0005/", "Инфо")</f>
        <v>Инфо</v>
      </c>
      <c r="F2211" s="16" t="s">
        <v>39</v>
      </c>
      <c r="G2211" s="15"/>
      <c r="H2211" s="15"/>
      <c r="I2211" s="15"/>
      <c r="J2211" s="16" t="s">
        <v>100</v>
      </c>
      <c r="K2211" s="15" t="s">
        <v>1004</v>
      </c>
      <c r="L2211" s="17">
        <v>10</v>
      </c>
      <c r="M2211" s="17">
        <v>150</v>
      </c>
      <c r="N2211" s="17">
        <v>10</v>
      </c>
      <c r="O2211" s="18">
        <v>143.69</v>
      </c>
      <c r="P2211" s="18">
        <v>117.78</v>
      </c>
      <c r="Q2211" s="18">
        <v>130.76</v>
      </c>
      <c r="R2211" s="18">
        <v>107.18</v>
      </c>
      <c r="S2211" s="18">
        <v>97.71</v>
      </c>
      <c r="T2211" s="18">
        <v>80.09</v>
      </c>
      <c r="U2211" s="16"/>
      <c r="V2211" s="16"/>
      <c r="W2211" s="16" t="s">
        <v>40</v>
      </c>
      <c r="X2211" s="19">
        <v>6.3E-2</v>
      </c>
      <c r="Y2211" s="20">
        <v>2.9999999999999997E-4</v>
      </c>
      <c r="Z2211" s="21">
        <v>4601004350571</v>
      </c>
    </row>
    <row r="2212" spans="1:26" ht="12" customHeight="1" outlineLevel="4" x14ac:dyDescent="0.2">
      <c r="A2212" s="14" t="s">
        <v>4360</v>
      </c>
      <c r="B2212" s="26" t="s">
        <v>4361</v>
      </c>
      <c r="C2212" s="52"/>
      <c r="D2212" s="55">
        <f t="shared" si="34"/>
        <v>0</v>
      </c>
      <c r="E2212" s="63" t="str">
        <f>HYPERLINK("https://www.sds-group.ru/product/trubka-termousazhivaemaya-tutng-ls-2-1-30-15-chernaya-rexant-23-0006/", "Инфо")</f>
        <v>Инфо</v>
      </c>
      <c r="F2212" s="16" t="s">
        <v>39</v>
      </c>
      <c r="G2212" s="15"/>
      <c r="H2212" s="15"/>
      <c r="I2212" s="15"/>
      <c r="J2212" s="22">
        <v>1377</v>
      </c>
      <c r="K2212" s="15" t="s">
        <v>1004</v>
      </c>
      <c r="L2212" s="17">
        <v>10</v>
      </c>
      <c r="M2212" s="17">
        <v>150</v>
      </c>
      <c r="N2212" s="17">
        <v>10</v>
      </c>
      <c r="O2212" s="18">
        <v>165.07</v>
      </c>
      <c r="P2212" s="18">
        <v>135.30000000000001</v>
      </c>
      <c r="Q2212" s="18">
        <v>150.21</v>
      </c>
      <c r="R2212" s="18">
        <v>123.12</v>
      </c>
      <c r="S2212" s="18">
        <v>112.25</v>
      </c>
      <c r="T2212" s="18">
        <v>92.01</v>
      </c>
      <c r="U2212" s="16"/>
      <c r="V2212" s="16"/>
      <c r="W2212" s="16" t="s">
        <v>40</v>
      </c>
      <c r="X2212" s="19">
        <v>6.3E-2</v>
      </c>
      <c r="Y2212" s="20">
        <v>2.9999999999999997E-4</v>
      </c>
      <c r="Z2212" s="21">
        <v>4601004345065</v>
      </c>
    </row>
    <row r="2213" spans="1:26" ht="12" customHeight="1" outlineLevel="4" x14ac:dyDescent="0.2">
      <c r="A2213" s="14" t="s">
        <v>4362</v>
      </c>
      <c r="B2213" s="26" t="s">
        <v>4363</v>
      </c>
      <c r="C2213" s="52"/>
      <c r="D2213" s="55">
        <f t="shared" si="34"/>
        <v>0</v>
      </c>
      <c r="E2213" s="63" t="str">
        <f>HYPERLINK("https://www.sds-group.ru/product/trubka-termousazhivaemaya-tutng-ls-2-1-35-17-5-belaya-rexant-23-5001/", "Инфо")</f>
        <v>Инфо</v>
      </c>
      <c r="F2213" s="16" t="s">
        <v>39</v>
      </c>
      <c r="G2213" s="15"/>
      <c r="H2213" s="15"/>
      <c r="I2213" s="15"/>
      <c r="J2213" s="17">
        <v>650</v>
      </c>
      <c r="K2213" s="15" t="s">
        <v>4183</v>
      </c>
      <c r="L2213" s="17">
        <v>10</v>
      </c>
      <c r="M2213" s="17">
        <v>200</v>
      </c>
      <c r="N2213" s="17">
        <v>10</v>
      </c>
      <c r="O2213" s="18">
        <v>243.24</v>
      </c>
      <c r="P2213" s="18">
        <v>199.38</v>
      </c>
      <c r="Q2213" s="18">
        <v>221.35</v>
      </c>
      <c r="R2213" s="18">
        <v>181.43</v>
      </c>
      <c r="S2213" s="18">
        <v>165.4</v>
      </c>
      <c r="T2213" s="18">
        <v>135.57</v>
      </c>
      <c r="U2213" s="16"/>
      <c r="V2213" s="16"/>
      <c r="W2213" s="16" t="s">
        <v>40</v>
      </c>
      <c r="X2213" s="19">
        <v>7.3999999999999996E-2</v>
      </c>
      <c r="Y2213" s="20">
        <v>1.8200000000000001E-4</v>
      </c>
      <c r="Z2213" s="21">
        <v>4601004349919</v>
      </c>
    </row>
    <row r="2214" spans="1:26" ht="12" customHeight="1" outlineLevel="4" x14ac:dyDescent="0.2">
      <c r="A2214" s="14" t="s">
        <v>4364</v>
      </c>
      <c r="B2214" s="26" t="s">
        <v>4365</v>
      </c>
      <c r="C2214" s="52"/>
      <c r="D2214" s="55">
        <f t="shared" si="34"/>
        <v>0</v>
      </c>
      <c r="E2214" s="63" t="str">
        <f>HYPERLINK("https://www.sds-group.ru/product/trubka-termousazhivaemaya-tutng-ls-2-1-35-17-5-zheltaya-rexant-23-5002/", "Инфо")</f>
        <v>Инфо</v>
      </c>
      <c r="F2214" s="16" t="s">
        <v>39</v>
      </c>
      <c r="G2214" s="15"/>
      <c r="H2214" s="15"/>
      <c r="I2214" s="15"/>
      <c r="J2214" s="17">
        <v>560</v>
      </c>
      <c r="K2214" s="15" t="s">
        <v>4150</v>
      </c>
      <c r="L2214" s="17">
        <v>10</v>
      </c>
      <c r="M2214" s="17">
        <v>200</v>
      </c>
      <c r="N2214" s="17">
        <v>10</v>
      </c>
      <c r="O2214" s="18">
        <v>243.24</v>
      </c>
      <c r="P2214" s="18">
        <v>199.38</v>
      </c>
      <c r="Q2214" s="18">
        <v>221.35</v>
      </c>
      <c r="R2214" s="18">
        <v>181.43</v>
      </c>
      <c r="S2214" s="18">
        <v>165.4</v>
      </c>
      <c r="T2214" s="18">
        <v>135.57</v>
      </c>
      <c r="U2214" s="16"/>
      <c r="V2214" s="16"/>
      <c r="W2214" s="16" t="s">
        <v>40</v>
      </c>
      <c r="X2214" s="19">
        <v>5.1999999999999998E-2</v>
      </c>
      <c r="Y2214" s="20">
        <v>1.4999999999999999E-4</v>
      </c>
      <c r="Z2214" s="21">
        <v>4601004351288</v>
      </c>
    </row>
    <row r="2215" spans="1:26" ht="12" customHeight="1" outlineLevel="4" x14ac:dyDescent="0.2">
      <c r="A2215" s="14" t="s">
        <v>4366</v>
      </c>
      <c r="B2215" s="26" t="s">
        <v>4367</v>
      </c>
      <c r="C2215" s="52"/>
      <c r="D2215" s="55">
        <f t="shared" si="34"/>
        <v>0</v>
      </c>
      <c r="E2215" s="63" t="str">
        <f>HYPERLINK("https://www.sds-group.ru/product/trubka-termousazhivaemaya-tutng-ls-2-1-35-17-5-zhelto-zelenaya-rexant-23-5008/", "Инфо")</f>
        <v>Инфо</v>
      </c>
      <c r="F2215" s="16" t="s">
        <v>39</v>
      </c>
      <c r="G2215" s="15"/>
      <c r="H2215" s="15"/>
      <c r="I2215" s="15"/>
      <c r="J2215" s="17">
        <v>780</v>
      </c>
      <c r="K2215" s="15"/>
      <c r="L2215" s="17">
        <v>10</v>
      </c>
      <c r="M2215" s="17">
        <v>200</v>
      </c>
      <c r="N2215" s="17">
        <v>10</v>
      </c>
      <c r="O2215" s="18">
        <v>424.1</v>
      </c>
      <c r="P2215" s="18">
        <v>347.62</v>
      </c>
      <c r="Q2215" s="18">
        <v>364.73</v>
      </c>
      <c r="R2215" s="18">
        <v>298.95999999999998</v>
      </c>
      <c r="S2215" s="18">
        <v>288.39</v>
      </c>
      <c r="T2215" s="18">
        <v>236.39</v>
      </c>
      <c r="U2215" s="16"/>
      <c r="V2215" s="16"/>
      <c r="W2215" s="16" t="s">
        <v>40</v>
      </c>
      <c r="X2215" s="19">
        <v>7.3999999999999996E-2</v>
      </c>
      <c r="Y2215" s="20">
        <v>1.4999999999999999E-4</v>
      </c>
      <c r="Z2215" s="21">
        <v>4601004351875</v>
      </c>
    </row>
    <row r="2216" spans="1:26" ht="12" customHeight="1" outlineLevel="4" x14ac:dyDescent="0.2">
      <c r="A2216" s="14" t="s">
        <v>4368</v>
      </c>
      <c r="B2216" s="26" t="s">
        <v>4369</v>
      </c>
      <c r="C2216" s="52"/>
      <c r="D2216" s="55">
        <f t="shared" si="34"/>
        <v>0</v>
      </c>
      <c r="E2216" s="63" t="str">
        <f>HYPERLINK("https://www.sds-group.ru/product/trubka-termousazhivaemaya-tutng-ls-2-1-35-17-5-zelenaya-rexant-23-5003/", "Инфо")</f>
        <v>Инфо</v>
      </c>
      <c r="F2216" s="16" t="s">
        <v>39</v>
      </c>
      <c r="G2216" s="15"/>
      <c r="H2216" s="15"/>
      <c r="I2216" s="15"/>
      <c r="J2216" s="22">
        <v>1100</v>
      </c>
      <c r="K2216" s="15" t="s">
        <v>4150</v>
      </c>
      <c r="L2216" s="17">
        <v>10</v>
      </c>
      <c r="M2216" s="17">
        <v>200</v>
      </c>
      <c r="N2216" s="17">
        <v>10</v>
      </c>
      <c r="O2216" s="18">
        <v>243.24</v>
      </c>
      <c r="P2216" s="18">
        <v>199.38</v>
      </c>
      <c r="Q2216" s="18">
        <v>221.35</v>
      </c>
      <c r="R2216" s="18">
        <v>181.43</v>
      </c>
      <c r="S2216" s="18">
        <v>165.4</v>
      </c>
      <c r="T2216" s="18">
        <v>135.57</v>
      </c>
      <c r="U2216" s="16"/>
      <c r="V2216" s="16"/>
      <c r="W2216" s="16" t="s">
        <v>40</v>
      </c>
      <c r="X2216" s="19">
        <v>7.0000000000000007E-2</v>
      </c>
      <c r="Y2216" s="20">
        <v>1.75E-4</v>
      </c>
      <c r="Z2216" s="21">
        <v>4601004350762</v>
      </c>
    </row>
    <row r="2217" spans="1:26" ht="12" customHeight="1" outlineLevel="4" x14ac:dyDescent="0.2">
      <c r="A2217" s="14" t="s">
        <v>4370</v>
      </c>
      <c r="B2217" s="26" t="s">
        <v>4371</v>
      </c>
      <c r="C2217" s="52"/>
      <c r="D2217" s="55">
        <f t="shared" si="34"/>
        <v>0</v>
      </c>
      <c r="E2217" s="63" t="str">
        <f>HYPERLINK("https://www.sds-group.ru/product/trubka-termousazhivaemaya-tutng-ls-2-1-35-17-5-krasnaya-rexant-23-5004/", "Инфо")</f>
        <v>Инфо</v>
      </c>
      <c r="F2217" s="16" t="s">
        <v>39</v>
      </c>
      <c r="G2217" s="15"/>
      <c r="H2217" s="15"/>
      <c r="I2217" s="15"/>
      <c r="J2217" s="17">
        <v>860</v>
      </c>
      <c r="K2217" s="15" t="s">
        <v>4150</v>
      </c>
      <c r="L2217" s="17">
        <v>10</v>
      </c>
      <c r="M2217" s="17">
        <v>200</v>
      </c>
      <c r="N2217" s="17">
        <v>10</v>
      </c>
      <c r="O2217" s="18">
        <v>243.24</v>
      </c>
      <c r="P2217" s="18">
        <v>199.38</v>
      </c>
      <c r="Q2217" s="18">
        <v>221.35</v>
      </c>
      <c r="R2217" s="18">
        <v>181.43</v>
      </c>
      <c r="S2217" s="18">
        <v>165.4</v>
      </c>
      <c r="T2217" s="18">
        <v>135.57</v>
      </c>
      <c r="U2217" s="16"/>
      <c r="V2217" s="16"/>
      <c r="W2217" s="16" t="s">
        <v>40</v>
      </c>
      <c r="X2217" s="19">
        <v>7.3999999999999996E-2</v>
      </c>
      <c r="Y2217" s="20">
        <v>1.8200000000000001E-4</v>
      </c>
      <c r="Z2217" s="21">
        <v>4601004350250</v>
      </c>
    </row>
    <row r="2218" spans="1:26" ht="12" customHeight="1" outlineLevel="4" x14ac:dyDescent="0.2">
      <c r="A2218" s="14" t="s">
        <v>4372</v>
      </c>
      <c r="B2218" s="26" t="s">
        <v>4373</v>
      </c>
      <c r="C2218" s="52"/>
      <c r="D2218" s="55">
        <f t="shared" si="34"/>
        <v>0</v>
      </c>
      <c r="E2218" s="63" t="str">
        <f>HYPERLINK("https://www.sds-group.ru/product/trubka-termousazhivaemaya-tutng-ls-2-1-35-17-5-sinyaya-rexant-23-5007/", "Инфо")</f>
        <v>Инфо</v>
      </c>
      <c r="F2218" s="16" t="s">
        <v>39</v>
      </c>
      <c r="G2218" s="15"/>
      <c r="H2218" s="15"/>
      <c r="I2218" s="15"/>
      <c r="J2218" s="17">
        <v>970</v>
      </c>
      <c r="K2218" s="15" t="s">
        <v>4150</v>
      </c>
      <c r="L2218" s="17">
        <v>10</v>
      </c>
      <c r="M2218" s="17">
        <v>200</v>
      </c>
      <c r="N2218" s="17">
        <v>10</v>
      </c>
      <c r="O2218" s="18">
        <v>243.24</v>
      </c>
      <c r="P2218" s="18">
        <v>199.38</v>
      </c>
      <c r="Q2218" s="18">
        <v>221.35</v>
      </c>
      <c r="R2218" s="18">
        <v>181.43</v>
      </c>
      <c r="S2218" s="18">
        <v>165.4</v>
      </c>
      <c r="T2218" s="18">
        <v>135.57</v>
      </c>
      <c r="U2218" s="16"/>
      <c r="V2218" s="16"/>
      <c r="W2218" s="16" t="s">
        <v>40</v>
      </c>
      <c r="X2218" s="19">
        <v>5.1999999999999998E-2</v>
      </c>
      <c r="Y2218" s="20">
        <v>1.4999999999999999E-4</v>
      </c>
      <c r="Z2218" s="21">
        <v>4601004350588</v>
      </c>
    </row>
    <row r="2219" spans="1:26" ht="12" customHeight="1" outlineLevel="4" x14ac:dyDescent="0.2">
      <c r="A2219" s="14" t="s">
        <v>4374</v>
      </c>
      <c r="B2219" s="26" t="s">
        <v>4375</v>
      </c>
      <c r="C2219" s="52"/>
      <c r="D2219" s="55">
        <f t="shared" si="34"/>
        <v>0</v>
      </c>
      <c r="E2219" s="63" t="str">
        <f>HYPERLINK("https://www.sds-group.ru/product/trubka-termousazhivaemaya-tutng-ls-2-1-35-17-5-chernaya-rexant-23-5006/", "Инфо")</f>
        <v>Инфо</v>
      </c>
      <c r="F2219" s="16" t="s">
        <v>39</v>
      </c>
      <c r="G2219" s="15"/>
      <c r="H2219" s="15"/>
      <c r="I2219" s="15"/>
      <c r="J2219" s="22">
        <v>2360</v>
      </c>
      <c r="K2219" s="15" t="s">
        <v>4183</v>
      </c>
      <c r="L2219" s="17">
        <v>10</v>
      </c>
      <c r="M2219" s="17">
        <v>200</v>
      </c>
      <c r="N2219" s="17">
        <v>10</v>
      </c>
      <c r="O2219" s="18">
        <v>197.63</v>
      </c>
      <c r="P2219" s="18">
        <v>161.99</v>
      </c>
      <c r="Q2219" s="18">
        <v>179.84</v>
      </c>
      <c r="R2219" s="18">
        <v>147.41</v>
      </c>
      <c r="S2219" s="18">
        <v>134.38999999999999</v>
      </c>
      <c r="T2219" s="18">
        <v>110.16</v>
      </c>
      <c r="U2219" s="16"/>
      <c r="V2219" s="16"/>
      <c r="W2219" s="16" t="s">
        <v>40</v>
      </c>
      <c r="X2219" s="19">
        <v>7.3999999999999996E-2</v>
      </c>
      <c r="Y2219" s="20">
        <v>1.6699999999999999E-4</v>
      </c>
      <c r="Z2219" s="21">
        <v>4601004345003</v>
      </c>
    </row>
    <row r="2220" spans="1:26" ht="12" customHeight="1" outlineLevel="4" x14ac:dyDescent="0.2">
      <c r="A2220" s="14" t="s">
        <v>4376</v>
      </c>
      <c r="B2220" s="26" t="s">
        <v>4377</v>
      </c>
      <c r="C2220" s="52"/>
      <c r="D2220" s="55">
        <f t="shared" si="34"/>
        <v>0</v>
      </c>
      <c r="E2220" s="63" t="str">
        <f>HYPERLINK("https://www.sds-group.ru/product/trubka-termousazhivaemaya-tutng-ls-2-1-4-2-belaya-rexant-20-4001/", "Инфо")</f>
        <v>Инфо</v>
      </c>
      <c r="F2220" s="16" t="s">
        <v>39</v>
      </c>
      <c r="G2220" s="15"/>
      <c r="H2220" s="15"/>
      <c r="I2220" s="15"/>
      <c r="J2220" s="22">
        <v>32294</v>
      </c>
      <c r="K2220" s="15" t="s">
        <v>4183</v>
      </c>
      <c r="L2220" s="17">
        <v>50</v>
      </c>
      <c r="M2220" s="22">
        <v>2000</v>
      </c>
      <c r="N2220" s="17">
        <v>50</v>
      </c>
      <c r="O2220" s="18">
        <v>16.36</v>
      </c>
      <c r="P2220" s="18">
        <v>13.41</v>
      </c>
      <c r="Q2220" s="18">
        <v>14.89</v>
      </c>
      <c r="R2220" s="18">
        <v>12.2</v>
      </c>
      <c r="S2220" s="18">
        <v>11.12</v>
      </c>
      <c r="T2220" s="18">
        <v>9.11</v>
      </c>
      <c r="U2220" s="16"/>
      <c r="V2220" s="16"/>
      <c r="W2220" s="16" t="s">
        <v>40</v>
      </c>
      <c r="X2220" s="19">
        <v>5.0000000000000001E-3</v>
      </c>
      <c r="Y2220" s="20">
        <v>5.7000000000000003E-5</v>
      </c>
      <c r="Z2220" s="21">
        <v>4601004349988</v>
      </c>
    </row>
    <row r="2221" spans="1:26" ht="12" customHeight="1" outlineLevel="4" x14ac:dyDescent="0.2">
      <c r="A2221" s="14" t="s">
        <v>4378</v>
      </c>
      <c r="B2221" s="26" t="s">
        <v>4379</v>
      </c>
      <c r="C2221" s="52"/>
      <c r="D2221" s="55">
        <f t="shared" si="34"/>
        <v>0</v>
      </c>
      <c r="E2221" s="63" t="str">
        <f>HYPERLINK("https://www.sds-group.ru/product/trubka-termousazhivaemaya-tutng-ls-2-1-4-2-zheltaya-rexant-20-4002/", "Инфо")</f>
        <v>Инфо</v>
      </c>
      <c r="F2221" s="16" t="s">
        <v>39</v>
      </c>
      <c r="G2221" s="15"/>
      <c r="H2221" s="15"/>
      <c r="I2221" s="15"/>
      <c r="J2221" s="22">
        <v>10296</v>
      </c>
      <c r="K2221" s="15" t="s">
        <v>1004</v>
      </c>
      <c r="L2221" s="17">
        <v>50</v>
      </c>
      <c r="M2221" s="22">
        <v>2000</v>
      </c>
      <c r="N2221" s="17">
        <v>50</v>
      </c>
      <c r="O2221" s="18">
        <v>16.36</v>
      </c>
      <c r="P2221" s="18">
        <v>13.41</v>
      </c>
      <c r="Q2221" s="18">
        <v>14.89</v>
      </c>
      <c r="R2221" s="18">
        <v>12.2</v>
      </c>
      <c r="S2221" s="18">
        <v>11.12</v>
      </c>
      <c r="T2221" s="18">
        <v>9.11</v>
      </c>
      <c r="U2221" s="16"/>
      <c r="V2221" s="16"/>
      <c r="W2221" s="16" t="s">
        <v>40</v>
      </c>
      <c r="X2221" s="19">
        <v>5.0000000000000001E-3</v>
      </c>
      <c r="Y2221" s="20">
        <v>5.7000000000000003E-5</v>
      </c>
      <c r="Z2221" s="21">
        <v>4601004351332</v>
      </c>
    </row>
    <row r="2222" spans="1:26" ht="12" customHeight="1" outlineLevel="4" x14ac:dyDescent="0.2">
      <c r="A2222" s="14" t="s">
        <v>4380</v>
      </c>
      <c r="B2222" s="26" t="s">
        <v>4381</v>
      </c>
      <c r="C2222" s="52"/>
      <c r="D2222" s="55">
        <f t="shared" si="34"/>
        <v>0</v>
      </c>
      <c r="E2222" s="63" t="str">
        <f>HYPERLINK("https://www.sds-group.ru/product/trubka-termousazhivaemaya-tutng-ls-2-1-4-2-zhelto-zelenaya-rexant-20-4007/", "Инфо")</f>
        <v>Инфо</v>
      </c>
      <c r="F2222" s="16" t="s">
        <v>39</v>
      </c>
      <c r="G2222" s="15"/>
      <c r="H2222" s="15"/>
      <c r="I2222" s="15"/>
      <c r="J2222" s="22">
        <v>3250</v>
      </c>
      <c r="K2222" s="15" t="s">
        <v>4183</v>
      </c>
      <c r="L2222" s="17">
        <v>50</v>
      </c>
      <c r="M2222" s="22">
        <v>2000</v>
      </c>
      <c r="N2222" s="17">
        <v>50</v>
      </c>
      <c r="O2222" s="18">
        <v>25.87</v>
      </c>
      <c r="P2222" s="18">
        <v>21.2</v>
      </c>
      <c r="Q2222" s="18">
        <v>23.54</v>
      </c>
      <c r="R2222" s="18">
        <v>19.3</v>
      </c>
      <c r="S2222" s="18">
        <v>17.59</v>
      </c>
      <c r="T2222" s="18">
        <v>14.42</v>
      </c>
      <c r="U2222" s="16"/>
      <c r="V2222" s="16"/>
      <c r="W2222" s="16" t="s">
        <v>40</v>
      </c>
      <c r="X2222" s="19">
        <v>5.0000000000000001E-3</v>
      </c>
      <c r="Y2222" s="20">
        <v>5.7000000000000003E-5</v>
      </c>
      <c r="Z2222" s="21">
        <v>4601004351783</v>
      </c>
    </row>
    <row r="2223" spans="1:26" ht="12" customHeight="1" outlineLevel="4" x14ac:dyDescent="0.2">
      <c r="A2223" s="14" t="s">
        <v>4382</v>
      </c>
      <c r="B2223" s="26" t="s">
        <v>4383</v>
      </c>
      <c r="C2223" s="52"/>
      <c r="D2223" s="55">
        <f t="shared" si="34"/>
        <v>0</v>
      </c>
      <c r="E2223" s="63" t="str">
        <f>HYPERLINK("https://www.sds-group.ru/product/trubka-termousazhivaemaya-tutng-ls-2-1-4-2-zelenyy-rexant-20-4003/", "Инфо")</f>
        <v>Инфо</v>
      </c>
      <c r="F2223" s="16" t="s">
        <v>39</v>
      </c>
      <c r="G2223" s="15"/>
      <c r="H2223" s="15"/>
      <c r="I2223" s="15"/>
      <c r="J2223" s="22">
        <v>6797</v>
      </c>
      <c r="K2223" s="15" t="s">
        <v>4183</v>
      </c>
      <c r="L2223" s="17">
        <v>50</v>
      </c>
      <c r="M2223" s="22">
        <v>2000</v>
      </c>
      <c r="N2223" s="17">
        <v>50</v>
      </c>
      <c r="O2223" s="18">
        <v>16.36</v>
      </c>
      <c r="P2223" s="18">
        <v>13.41</v>
      </c>
      <c r="Q2223" s="18">
        <v>14.89</v>
      </c>
      <c r="R2223" s="18">
        <v>12.2</v>
      </c>
      <c r="S2223" s="18">
        <v>11.12</v>
      </c>
      <c r="T2223" s="18">
        <v>9.11</v>
      </c>
      <c r="U2223" s="16"/>
      <c r="V2223" s="16"/>
      <c r="W2223" s="16" t="s">
        <v>40</v>
      </c>
      <c r="X2223" s="19">
        <v>5.0000000000000001E-3</v>
      </c>
      <c r="Y2223" s="20">
        <v>5.7000000000000003E-5</v>
      </c>
      <c r="Z2223" s="21">
        <v>4601004351745</v>
      </c>
    </row>
    <row r="2224" spans="1:26" ht="12" customHeight="1" outlineLevel="4" x14ac:dyDescent="0.2">
      <c r="A2224" s="14" t="s">
        <v>4384</v>
      </c>
      <c r="B2224" s="26" t="s">
        <v>4385</v>
      </c>
      <c r="C2224" s="52"/>
      <c r="D2224" s="55">
        <f t="shared" si="34"/>
        <v>0</v>
      </c>
      <c r="E2224" s="63" t="str">
        <f>HYPERLINK("https://www.sds-group.ru/product/trubka-termousazhivaemaya-tutng-ls-2-1-4-2-krasnaya-rexant-20-4004/", "Инфо")</f>
        <v>Инфо</v>
      </c>
      <c r="F2224" s="16" t="s">
        <v>39</v>
      </c>
      <c r="G2224" s="15"/>
      <c r="H2224" s="15"/>
      <c r="I2224" s="15"/>
      <c r="J2224" s="22">
        <v>19696</v>
      </c>
      <c r="K2224" s="15" t="s">
        <v>1004</v>
      </c>
      <c r="L2224" s="17">
        <v>50</v>
      </c>
      <c r="M2224" s="22">
        <v>2000</v>
      </c>
      <c r="N2224" s="17">
        <v>50</v>
      </c>
      <c r="O2224" s="18">
        <v>16.36</v>
      </c>
      <c r="P2224" s="18">
        <v>13.41</v>
      </c>
      <c r="Q2224" s="18">
        <v>14.89</v>
      </c>
      <c r="R2224" s="18">
        <v>12.2</v>
      </c>
      <c r="S2224" s="18">
        <v>11.12</v>
      </c>
      <c r="T2224" s="18">
        <v>9.11</v>
      </c>
      <c r="U2224" s="16"/>
      <c r="V2224" s="16"/>
      <c r="W2224" s="16" t="s">
        <v>40</v>
      </c>
      <c r="X2224" s="19">
        <v>5.0000000000000001E-3</v>
      </c>
      <c r="Y2224" s="20">
        <v>5.7000000000000003E-5</v>
      </c>
      <c r="Z2224" s="21">
        <v>4601004350151</v>
      </c>
    </row>
    <row r="2225" spans="1:26" ht="12" customHeight="1" outlineLevel="4" x14ac:dyDescent="0.2">
      <c r="A2225" s="14" t="s">
        <v>4386</v>
      </c>
      <c r="B2225" s="26" t="s">
        <v>4387</v>
      </c>
      <c r="C2225" s="52"/>
      <c r="D2225" s="55">
        <f t="shared" si="34"/>
        <v>0</v>
      </c>
      <c r="E2225" s="63" t="str">
        <f>HYPERLINK("https://www.sds-group.ru/product/trubka-termousazhivaemaya-tutng-ls-2-1-4-2-seraya-rexant-20-4010/", "Инфо")</f>
        <v>Инфо</v>
      </c>
      <c r="F2225" s="16" t="s">
        <v>39</v>
      </c>
      <c r="G2225" s="15"/>
      <c r="H2225" s="15"/>
      <c r="I2225" s="15"/>
      <c r="J2225" s="22">
        <v>10650</v>
      </c>
      <c r="K2225" s="15"/>
      <c r="L2225" s="17">
        <v>50</v>
      </c>
      <c r="M2225" s="22">
        <v>2000</v>
      </c>
      <c r="N2225" s="17">
        <v>50</v>
      </c>
      <c r="O2225" s="18">
        <v>16.36</v>
      </c>
      <c r="P2225" s="18">
        <v>13.41</v>
      </c>
      <c r="Q2225" s="18">
        <v>14.89</v>
      </c>
      <c r="R2225" s="18">
        <v>12.2</v>
      </c>
      <c r="S2225" s="18">
        <v>11.12</v>
      </c>
      <c r="T2225" s="18">
        <v>9.11</v>
      </c>
      <c r="U2225" s="16"/>
      <c r="V2225" s="16"/>
      <c r="W2225" s="16" t="s">
        <v>40</v>
      </c>
      <c r="X2225" s="19">
        <v>5.0000000000000001E-3</v>
      </c>
      <c r="Y2225" s="20">
        <v>5.7000000000000003E-5</v>
      </c>
      <c r="Z2225" s="21">
        <v>4601004350960</v>
      </c>
    </row>
    <row r="2226" spans="1:26" ht="12" customHeight="1" outlineLevel="4" x14ac:dyDescent="0.2">
      <c r="A2226" s="14" t="s">
        <v>4388</v>
      </c>
      <c r="B2226" s="26" t="s">
        <v>4389</v>
      </c>
      <c r="C2226" s="52"/>
      <c r="D2226" s="55">
        <f t="shared" si="34"/>
        <v>0</v>
      </c>
      <c r="E2226" s="63" t="str">
        <f>HYPERLINK("https://www.sds-group.ru/product/trubka-termousazhivaemaya-tutng-ls-2-1-4-2-sinyaya-rexant-20-4005/", "Инфо")</f>
        <v>Инфо</v>
      </c>
      <c r="F2226" s="16" t="s">
        <v>39</v>
      </c>
      <c r="G2226" s="15"/>
      <c r="H2226" s="15"/>
      <c r="I2226" s="15"/>
      <c r="J2226" s="22">
        <v>16250</v>
      </c>
      <c r="K2226" s="15" t="s">
        <v>4183</v>
      </c>
      <c r="L2226" s="17">
        <v>50</v>
      </c>
      <c r="M2226" s="22">
        <v>2000</v>
      </c>
      <c r="N2226" s="17">
        <v>50</v>
      </c>
      <c r="O2226" s="18">
        <v>16.36</v>
      </c>
      <c r="P2226" s="18">
        <v>13.41</v>
      </c>
      <c r="Q2226" s="18">
        <v>14.89</v>
      </c>
      <c r="R2226" s="18">
        <v>12.2</v>
      </c>
      <c r="S2226" s="18">
        <v>11.12</v>
      </c>
      <c r="T2226" s="18">
        <v>9.11</v>
      </c>
      <c r="U2226" s="16"/>
      <c r="V2226" s="16"/>
      <c r="W2226" s="16" t="s">
        <v>40</v>
      </c>
      <c r="X2226" s="19">
        <v>5.0000000000000001E-3</v>
      </c>
      <c r="Y2226" s="20">
        <v>5.7000000000000003E-5</v>
      </c>
      <c r="Z2226" s="21">
        <v>4601004350496</v>
      </c>
    </row>
    <row r="2227" spans="1:26" ht="12" customHeight="1" outlineLevel="4" x14ac:dyDescent="0.2">
      <c r="A2227" s="14" t="s">
        <v>4390</v>
      </c>
      <c r="B2227" s="26" t="s">
        <v>4391</v>
      </c>
      <c r="C2227" s="52"/>
      <c r="D2227" s="55">
        <f t="shared" si="34"/>
        <v>0</v>
      </c>
      <c r="E2227" s="63" t="str">
        <f>HYPERLINK("https://www.sds-group.ru/product/trubka-termousazhivaemaya-tutng-ls-2-1-4-2-chernaya-rexant-20-4006/", "Инфо")</f>
        <v>Инфо</v>
      </c>
      <c r="F2227" s="16" t="s">
        <v>39</v>
      </c>
      <c r="G2227" s="15"/>
      <c r="H2227" s="15"/>
      <c r="I2227" s="15"/>
      <c r="J2227" s="22">
        <v>44730</v>
      </c>
      <c r="K2227" s="15" t="s">
        <v>1004</v>
      </c>
      <c r="L2227" s="17">
        <v>50</v>
      </c>
      <c r="M2227" s="22">
        <v>1000</v>
      </c>
      <c r="N2227" s="17">
        <v>50</v>
      </c>
      <c r="O2227" s="18">
        <v>15.58</v>
      </c>
      <c r="P2227" s="18">
        <v>12.77</v>
      </c>
      <c r="Q2227" s="18">
        <v>14.18</v>
      </c>
      <c r="R2227" s="18">
        <v>11.62</v>
      </c>
      <c r="S2227" s="18">
        <v>10.59</v>
      </c>
      <c r="T2227" s="18">
        <v>8.68</v>
      </c>
      <c r="U2227" s="16"/>
      <c r="V2227" s="16"/>
      <c r="W2227" s="16" t="s">
        <v>40</v>
      </c>
      <c r="X2227" s="19">
        <v>5.0000000000000001E-3</v>
      </c>
      <c r="Y2227" s="20">
        <v>5.7000000000000003E-5</v>
      </c>
      <c r="Z2227" s="21">
        <v>4601004345164</v>
      </c>
    </row>
    <row r="2228" spans="1:26" ht="12" customHeight="1" outlineLevel="4" x14ac:dyDescent="0.2">
      <c r="A2228" s="14" t="s">
        <v>4392</v>
      </c>
      <c r="B2228" s="26" t="s">
        <v>4393</v>
      </c>
      <c r="C2228" s="52"/>
      <c r="D2228" s="55">
        <f t="shared" si="34"/>
        <v>0</v>
      </c>
      <c r="E2228" s="63" t="str">
        <f>HYPERLINK("https://www.sds-group.ru/product/trubka-termousazhivaemaya-tutng-ls-2-1-40-20-belaya-rexant-24-0001/", "Инфо")</f>
        <v>Инфо</v>
      </c>
      <c r="F2228" s="16" t="s">
        <v>39</v>
      </c>
      <c r="G2228" s="15"/>
      <c r="H2228" s="15"/>
      <c r="I2228" s="15"/>
      <c r="J2228" s="17">
        <v>410</v>
      </c>
      <c r="K2228" s="15" t="s">
        <v>4183</v>
      </c>
      <c r="L2228" s="17">
        <v>10</v>
      </c>
      <c r="M2228" s="17">
        <v>100</v>
      </c>
      <c r="N2228" s="17">
        <v>10</v>
      </c>
      <c r="O2228" s="18">
        <v>199.44</v>
      </c>
      <c r="P2228" s="18">
        <v>163.47999999999999</v>
      </c>
      <c r="Q2228" s="18">
        <v>181.49</v>
      </c>
      <c r="R2228" s="18">
        <v>148.76</v>
      </c>
      <c r="S2228" s="18">
        <v>135.62</v>
      </c>
      <c r="T2228" s="18">
        <v>111.16</v>
      </c>
      <c r="U2228" s="16"/>
      <c r="V2228" s="16"/>
      <c r="W2228" s="16" t="s">
        <v>40</v>
      </c>
      <c r="X2228" s="19">
        <v>8.2000000000000003E-2</v>
      </c>
      <c r="Y2228" s="20">
        <v>2.1000000000000001E-4</v>
      </c>
      <c r="Z2228" s="21">
        <v>4601004350069</v>
      </c>
    </row>
    <row r="2229" spans="1:26" ht="12" customHeight="1" outlineLevel="4" x14ac:dyDescent="0.2">
      <c r="A2229" s="14" t="s">
        <v>4394</v>
      </c>
      <c r="B2229" s="26" t="s">
        <v>4395</v>
      </c>
      <c r="C2229" s="52"/>
      <c r="D2229" s="55">
        <f t="shared" si="34"/>
        <v>0</v>
      </c>
      <c r="E2229" s="63" t="str">
        <f>HYPERLINK("https://www.sds-group.ru/product/trubka-termousazhivaemaya-tutng-ls-2-1-40-20-zheltaya-rexant-24-0002/", "Инфо")</f>
        <v>Инфо</v>
      </c>
      <c r="F2229" s="16" t="s">
        <v>39</v>
      </c>
      <c r="G2229" s="15"/>
      <c r="H2229" s="15"/>
      <c r="I2229" s="15"/>
      <c r="J2229" s="16" t="s">
        <v>100</v>
      </c>
      <c r="K2229" s="15" t="s">
        <v>1004</v>
      </c>
      <c r="L2229" s="17">
        <v>10</v>
      </c>
      <c r="M2229" s="17">
        <v>150</v>
      </c>
      <c r="N2229" s="17">
        <v>10</v>
      </c>
      <c r="O2229" s="18">
        <v>199.44</v>
      </c>
      <c r="P2229" s="18">
        <v>163.47999999999999</v>
      </c>
      <c r="Q2229" s="18">
        <v>181.49</v>
      </c>
      <c r="R2229" s="18">
        <v>148.76</v>
      </c>
      <c r="S2229" s="18">
        <v>135.62</v>
      </c>
      <c r="T2229" s="18">
        <v>111.16</v>
      </c>
      <c r="U2229" s="16"/>
      <c r="V2229" s="16"/>
      <c r="W2229" s="16" t="s">
        <v>40</v>
      </c>
      <c r="X2229" s="19">
        <v>8.2000000000000003E-2</v>
      </c>
      <c r="Y2229" s="20">
        <v>2.1000000000000001E-4</v>
      </c>
      <c r="Z2229" s="21">
        <v>4601004351486</v>
      </c>
    </row>
    <row r="2230" spans="1:26" ht="12" customHeight="1" outlineLevel="4" x14ac:dyDescent="0.2">
      <c r="A2230" s="14" t="s">
        <v>4396</v>
      </c>
      <c r="B2230" s="26" t="s">
        <v>4397</v>
      </c>
      <c r="C2230" s="52"/>
      <c r="D2230" s="55">
        <f t="shared" si="34"/>
        <v>0</v>
      </c>
      <c r="E2230" s="63" t="str">
        <f>HYPERLINK("https://www.sds-group.ru/product/trubka-termousazhivaemaya-tutng-ls-2-1-40-20-zhelto-zelenaya-rexant-24-0008/", "Инфо")</f>
        <v>Инфо</v>
      </c>
      <c r="F2230" s="16" t="s">
        <v>39</v>
      </c>
      <c r="G2230" s="15"/>
      <c r="H2230" s="15"/>
      <c r="I2230" s="15"/>
      <c r="J2230" s="17">
        <v>330</v>
      </c>
      <c r="K2230" s="15" t="s">
        <v>1004</v>
      </c>
      <c r="L2230" s="17">
        <v>10</v>
      </c>
      <c r="M2230" s="17">
        <v>150</v>
      </c>
      <c r="N2230" s="17">
        <v>10</v>
      </c>
      <c r="O2230" s="18">
        <v>374.59</v>
      </c>
      <c r="P2230" s="18">
        <v>307.04000000000002</v>
      </c>
      <c r="Q2230" s="18">
        <v>340.88</v>
      </c>
      <c r="R2230" s="18">
        <v>279.41000000000003</v>
      </c>
      <c r="S2230" s="18">
        <v>254.72</v>
      </c>
      <c r="T2230" s="18">
        <v>208.79</v>
      </c>
      <c r="U2230" s="16"/>
      <c r="V2230" s="16"/>
      <c r="W2230" s="16" t="s">
        <v>40</v>
      </c>
      <c r="X2230" s="19">
        <v>8.2000000000000003E-2</v>
      </c>
      <c r="Y2230" s="20">
        <v>2.1000000000000001E-4</v>
      </c>
      <c r="Z2230" s="21">
        <v>4601004351899</v>
      </c>
    </row>
    <row r="2231" spans="1:26" ht="12" customHeight="1" outlineLevel="4" x14ac:dyDescent="0.2">
      <c r="A2231" s="14" t="s">
        <v>4398</v>
      </c>
      <c r="B2231" s="26" t="s">
        <v>4399</v>
      </c>
      <c r="C2231" s="52"/>
      <c r="D2231" s="55">
        <f t="shared" si="34"/>
        <v>0</v>
      </c>
      <c r="E2231" s="63" t="str">
        <f>HYPERLINK("https://www.sds-group.ru/product/trubka-termousazhivaemaya-tutng-ls-2-1-40-20-zelenyy-rexant-24-0003/", "Инфо")</f>
        <v>Инфо</v>
      </c>
      <c r="F2231" s="16" t="s">
        <v>39</v>
      </c>
      <c r="G2231" s="15"/>
      <c r="H2231" s="15"/>
      <c r="I2231" s="15"/>
      <c r="J2231" s="16" t="s">
        <v>100</v>
      </c>
      <c r="K2231" s="15" t="s">
        <v>1004</v>
      </c>
      <c r="L2231" s="17">
        <v>10</v>
      </c>
      <c r="M2231" s="17">
        <v>100</v>
      </c>
      <c r="N2231" s="17">
        <v>10</v>
      </c>
      <c r="O2231" s="18">
        <v>199.44</v>
      </c>
      <c r="P2231" s="18">
        <v>163.47999999999999</v>
      </c>
      <c r="Q2231" s="18">
        <v>181.49</v>
      </c>
      <c r="R2231" s="18">
        <v>148.76</v>
      </c>
      <c r="S2231" s="18">
        <v>135.62</v>
      </c>
      <c r="T2231" s="18">
        <v>111.16</v>
      </c>
      <c r="U2231" s="16"/>
      <c r="V2231" s="16"/>
      <c r="W2231" s="16" t="s">
        <v>40</v>
      </c>
      <c r="X2231" s="19">
        <v>8.2000000000000003E-2</v>
      </c>
      <c r="Y2231" s="20">
        <v>2.1000000000000001E-4</v>
      </c>
      <c r="Z2231" s="21">
        <v>4601004351882</v>
      </c>
    </row>
    <row r="2232" spans="1:26" ht="12" customHeight="1" outlineLevel="4" x14ac:dyDescent="0.2">
      <c r="A2232" s="14" t="s">
        <v>4400</v>
      </c>
      <c r="B2232" s="26" t="s">
        <v>4401</v>
      </c>
      <c r="C2232" s="52"/>
      <c r="D2232" s="55">
        <f t="shared" si="34"/>
        <v>0</v>
      </c>
      <c r="E2232" s="63" t="str">
        <f>HYPERLINK("https://www.sds-group.ru/product/trubka-termousazhivaemaya-tutng-ls-2-1-40-20-krasnaya-rexant-24-0004/", "Инфо")</f>
        <v>Инфо</v>
      </c>
      <c r="F2232" s="16" t="s">
        <v>39</v>
      </c>
      <c r="G2232" s="15"/>
      <c r="H2232" s="15"/>
      <c r="I2232" s="15"/>
      <c r="J2232" s="16" t="s">
        <v>100</v>
      </c>
      <c r="K2232" s="15" t="s">
        <v>1004</v>
      </c>
      <c r="L2232" s="17">
        <v>10</v>
      </c>
      <c r="M2232" s="17">
        <v>100</v>
      </c>
      <c r="N2232" s="17">
        <v>10</v>
      </c>
      <c r="O2232" s="18">
        <v>199.44</v>
      </c>
      <c r="P2232" s="18">
        <v>163.47999999999999</v>
      </c>
      <c r="Q2232" s="18">
        <v>181.49</v>
      </c>
      <c r="R2232" s="18">
        <v>148.76</v>
      </c>
      <c r="S2232" s="18">
        <v>135.62</v>
      </c>
      <c r="T2232" s="18">
        <v>111.16</v>
      </c>
      <c r="U2232" s="16"/>
      <c r="V2232" s="16"/>
      <c r="W2232" s="16" t="s">
        <v>40</v>
      </c>
      <c r="X2232" s="19">
        <v>8.2000000000000003E-2</v>
      </c>
      <c r="Y2232" s="20">
        <v>2.1000000000000001E-4</v>
      </c>
      <c r="Z2232" s="21">
        <v>4601004350236</v>
      </c>
    </row>
    <row r="2233" spans="1:26" ht="12" customHeight="1" outlineLevel="4" x14ac:dyDescent="0.2">
      <c r="A2233" s="14" t="s">
        <v>4402</v>
      </c>
      <c r="B2233" s="26" t="s">
        <v>4403</v>
      </c>
      <c r="C2233" s="52"/>
      <c r="D2233" s="55">
        <f t="shared" si="34"/>
        <v>0</v>
      </c>
      <c r="E2233" s="63" t="str">
        <f>HYPERLINK("https://www.sds-group.ru/product/trubka-termousazhivaemaya-tutng-ls-2-1-40-20-sinyaya-rexant-24-0006/", "Инфо")</f>
        <v>Инфо</v>
      </c>
      <c r="F2233" s="16" t="s">
        <v>39</v>
      </c>
      <c r="G2233" s="15"/>
      <c r="H2233" s="15"/>
      <c r="I2233" s="15"/>
      <c r="J2233" s="17">
        <v>950</v>
      </c>
      <c r="K2233" s="15" t="s">
        <v>1004</v>
      </c>
      <c r="L2233" s="17">
        <v>10</v>
      </c>
      <c r="M2233" s="17">
        <v>100</v>
      </c>
      <c r="N2233" s="17">
        <v>10</v>
      </c>
      <c r="O2233" s="18">
        <v>199.44</v>
      </c>
      <c r="P2233" s="18">
        <v>163.47999999999999</v>
      </c>
      <c r="Q2233" s="18">
        <v>181.49</v>
      </c>
      <c r="R2233" s="18">
        <v>148.76</v>
      </c>
      <c r="S2233" s="18">
        <v>135.62</v>
      </c>
      <c r="T2233" s="18">
        <v>111.16</v>
      </c>
      <c r="U2233" s="16"/>
      <c r="V2233" s="16"/>
      <c r="W2233" s="16" t="s">
        <v>40</v>
      </c>
      <c r="X2233" s="19">
        <v>8.2000000000000003E-2</v>
      </c>
      <c r="Y2233" s="20">
        <v>2.1000000000000001E-4</v>
      </c>
      <c r="Z2233" s="21">
        <v>4601004351752</v>
      </c>
    </row>
    <row r="2234" spans="1:26" ht="12" customHeight="1" outlineLevel="4" x14ac:dyDescent="0.2">
      <c r="A2234" s="14" t="s">
        <v>4404</v>
      </c>
      <c r="B2234" s="26" t="s">
        <v>4405</v>
      </c>
      <c r="C2234" s="52"/>
      <c r="D2234" s="55">
        <f t="shared" si="34"/>
        <v>0</v>
      </c>
      <c r="E2234" s="63" t="str">
        <f>HYPERLINK("https://www.sds-group.ru/product/trubka-termousazhivaemaya-tutng-ls-2-1-40-20-chernaya-rexant-24-0007/", "Инфо")</f>
        <v>Инфо</v>
      </c>
      <c r="F2234" s="16" t="s">
        <v>39</v>
      </c>
      <c r="G2234" s="15"/>
      <c r="H2234" s="15"/>
      <c r="I2234" s="15"/>
      <c r="J2234" s="17">
        <v>200</v>
      </c>
      <c r="K2234" s="15" t="s">
        <v>1004</v>
      </c>
      <c r="L2234" s="17">
        <v>10</v>
      </c>
      <c r="M2234" s="17">
        <v>100</v>
      </c>
      <c r="N2234" s="17">
        <v>10</v>
      </c>
      <c r="O2234" s="18">
        <v>206.51</v>
      </c>
      <c r="P2234" s="18">
        <v>169.27</v>
      </c>
      <c r="Q2234" s="18">
        <v>187.92</v>
      </c>
      <c r="R2234" s="18">
        <v>154.03</v>
      </c>
      <c r="S2234" s="18">
        <v>140.43</v>
      </c>
      <c r="T2234" s="18">
        <v>115.11</v>
      </c>
      <c r="U2234" s="16"/>
      <c r="V2234" s="16"/>
      <c r="W2234" s="16" t="s">
        <v>40</v>
      </c>
      <c r="X2234" s="19">
        <v>8.2000000000000003E-2</v>
      </c>
      <c r="Y2234" s="20">
        <v>2.1000000000000001E-4</v>
      </c>
      <c r="Z2234" s="21">
        <v>4601004344945</v>
      </c>
    </row>
    <row r="2235" spans="1:26" ht="12" customHeight="1" outlineLevel="4" x14ac:dyDescent="0.2">
      <c r="A2235" s="14" t="s">
        <v>4406</v>
      </c>
      <c r="B2235" s="26" t="s">
        <v>4407</v>
      </c>
      <c r="C2235" s="52"/>
      <c r="D2235" s="55">
        <f t="shared" si="34"/>
        <v>0</v>
      </c>
      <c r="E2235" s="63" t="str">
        <f>HYPERLINK("https://www.sds-group.ru/product/trubka-termousazhivaemaya-tutng-ls-2-1-5-2-5-belaya-rexant-20-5001/", "Инфо")</f>
        <v>Инфо</v>
      </c>
      <c r="F2235" s="16" t="s">
        <v>39</v>
      </c>
      <c r="G2235" s="15"/>
      <c r="H2235" s="15"/>
      <c r="I2235" s="15"/>
      <c r="J2235" s="22">
        <v>14796</v>
      </c>
      <c r="K2235" s="15" t="s">
        <v>4183</v>
      </c>
      <c r="L2235" s="17">
        <v>50</v>
      </c>
      <c r="M2235" s="22">
        <v>1500</v>
      </c>
      <c r="N2235" s="17">
        <v>50</v>
      </c>
      <c r="O2235" s="18">
        <v>22.08</v>
      </c>
      <c r="P2235" s="18">
        <v>18.100000000000001</v>
      </c>
      <c r="Q2235" s="18">
        <v>20.09</v>
      </c>
      <c r="R2235" s="18">
        <v>16.47</v>
      </c>
      <c r="S2235" s="18">
        <v>15.01</v>
      </c>
      <c r="T2235" s="18">
        <v>12.3</v>
      </c>
      <c r="U2235" s="16"/>
      <c r="V2235" s="16"/>
      <c r="W2235" s="16" t="s">
        <v>40</v>
      </c>
      <c r="X2235" s="19">
        <v>5.0000000000000001E-3</v>
      </c>
      <c r="Y2235" s="20">
        <v>4.3999999999999999E-5</v>
      </c>
      <c r="Z2235" s="21">
        <v>4601004350014</v>
      </c>
    </row>
    <row r="2236" spans="1:26" ht="12" customHeight="1" outlineLevel="4" x14ac:dyDescent="0.2">
      <c r="A2236" s="14" t="s">
        <v>4408</v>
      </c>
      <c r="B2236" s="26" t="s">
        <v>4409</v>
      </c>
      <c r="C2236" s="52"/>
      <c r="D2236" s="55">
        <f t="shared" si="34"/>
        <v>0</v>
      </c>
      <c r="E2236" s="63" t="str">
        <f>HYPERLINK("https://www.sds-group.ru/product/trubka-termousazhivaemaya-tutng-ls-2-1-5-2-5-zheltaya-rexant-20-5002/", "Инфо")</f>
        <v>Инфо</v>
      </c>
      <c r="F2236" s="16" t="s">
        <v>39</v>
      </c>
      <c r="G2236" s="15"/>
      <c r="H2236" s="15"/>
      <c r="I2236" s="15"/>
      <c r="J2236" s="22">
        <v>19500</v>
      </c>
      <c r="K2236" s="15"/>
      <c r="L2236" s="17">
        <v>50</v>
      </c>
      <c r="M2236" s="22">
        <v>1500</v>
      </c>
      <c r="N2236" s="17">
        <v>50</v>
      </c>
      <c r="O2236" s="18">
        <v>22.08</v>
      </c>
      <c r="P2236" s="18">
        <v>18.100000000000001</v>
      </c>
      <c r="Q2236" s="18">
        <v>20.09</v>
      </c>
      <c r="R2236" s="18">
        <v>16.47</v>
      </c>
      <c r="S2236" s="18">
        <v>15.01</v>
      </c>
      <c r="T2236" s="18">
        <v>12.3</v>
      </c>
      <c r="U2236" s="16"/>
      <c r="V2236" s="16"/>
      <c r="W2236" s="16" t="s">
        <v>40</v>
      </c>
      <c r="X2236" s="19">
        <v>5.0000000000000001E-3</v>
      </c>
      <c r="Y2236" s="20">
        <v>4.3999999999999999E-5</v>
      </c>
      <c r="Z2236" s="21">
        <v>4601004351448</v>
      </c>
    </row>
    <row r="2237" spans="1:26" ht="12" customHeight="1" outlineLevel="4" x14ac:dyDescent="0.2">
      <c r="A2237" s="14" t="s">
        <v>4410</v>
      </c>
      <c r="B2237" s="26" t="s">
        <v>4411</v>
      </c>
      <c r="C2237" s="52"/>
      <c r="D2237" s="55">
        <f t="shared" si="34"/>
        <v>0</v>
      </c>
      <c r="E2237" s="63" t="str">
        <f>HYPERLINK("https://www.sds-group.ru/product/trubka-termousazhivaemaya-tutng-ls-2-1-5-2-5-zelenaya-rexant-20-5003/", "Инфо")</f>
        <v>Инфо</v>
      </c>
      <c r="F2237" s="16" t="s">
        <v>39</v>
      </c>
      <c r="G2237" s="15"/>
      <c r="H2237" s="15"/>
      <c r="I2237" s="15"/>
      <c r="J2237" s="22">
        <v>12700</v>
      </c>
      <c r="K2237" s="15" t="s">
        <v>1519</v>
      </c>
      <c r="L2237" s="17">
        <v>50</v>
      </c>
      <c r="M2237" s="22">
        <v>1500</v>
      </c>
      <c r="N2237" s="17">
        <v>50</v>
      </c>
      <c r="O2237" s="18">
        <v>22.08</v>
      </c>
      <c r="P2237" s="18">
        <v>18.100000000000001</v>
      </c>
      <c r="Q2237" s="18">
        <v>20.09</v>
      </c>
      <c r="R2237" s="18">
        <v>16.47</v>
      </c>
      <c r="S2237" s="18">
        <v>15.01</v>
      </c>
      <c r="T2237" s="18">
        <v>12.3</v>
      </c>
      <c r="U2237" s="16"/>
      <c r="V2237" s="16"/>
      <c r="W2237" s="16" t="s">
        <v>40</v>
      </c>
      <c r="X2237" s="19">
        <v>5.0000000000000001E-3</v>
      </c>
      <c r="Y2237" s="20">
        <v>4.3999999999999999E-5</v>
      </c>
      <c r="Z2237" s="21">
        <v>4601004350847</v>
      </c>
    </row>
    <row r="2238" spans="1:26" ht="12" customHeight="1" outlineLevel="4" x14ac:dyDescent="0.2">
      <c r="A2238" s="14" t="s">
        <v>4412</v>
      </c>
      <c r="B2238" s="26" t="s">
        <v>4413</v>
      </c>
      <c r="C2238" s="52"/>
      <c r="D2238" s="55">
        <f t="shared" si="34"/>
        <v>0</v>
      </c>
      <c r="E2238" s="63" t="str">
        <f>HYPERLINK("https://www.sds-group.ru/product/trubka-termousazhivaemaya-tutng-ls-2-1-5-2-5-krasnaya-rexant-20-5004/", "Инфо")</f>
        <v>Инфо</v>
      </c>
      <c r="F2238" s="16" t="s">
        <v>39</v>
      </c>
      <c r="G2238" s="15"/>
      <c r="H2238" s="15"/>
      <c r="I2238" s="15"/>
      <c r="J2238" s="22">
        <v>23346</v>
      </c>
      <c r="K2238" s="15" t="s">
        <v>1004</v>
      </c>
      <c r="L2238" s="17">
        <v>50</v>
      </c>
      <c r="M2238" s="22">
        <v>1500</v>
      </c>
      <c r="N2238" s="17">
        <v>50</v>
      </c>
      <c r="O2238" s="18">
        <v>22.08</v>
      </c>
      <c r="P2238" s="18">
        <v>18.100000000000001</v>
      </c>
      <c r="Q2238" s="18">
        <v>20.09</v>
      </c>
      <c r="R2238" s="18">
        <v>16.47</v>
      </c>
      <c r="S2238" s="18">
        <v>15.01</v>
      </c>
      <c r="T2238" s="18">
        <v>12.3</v>
      </c>
      <c r="U2238" s="16"/>
      <c r="V2238" s="16"/>
      <c r="W2238" s="16" t="s">
        <v>40</v>
      </c>
      <c r="X2238" s="19">
        <v>5.0000000000000001E-3</v>
      </c>
      <c r="Y2238" s="20">
        <v>4.3999999999999999E-5</v>
      </c>
      <c r="Z2238" s="21">
        <v>4601004350182</v>
      </c>
    </row>
    <row r="2239" spans="1:26" ht="12" customHeight="1" outlineLevel="4" x14ac:dyDescent="0.2">
      <c r="A2239" s="14" t="s">
        <v>4414</v>
      </c>
      <c r="B2239" s="26" t="s">
        <v>4415</v>
      </c>
      <c r="C2239" s="52"/>
      <c r="D2239" s="55">
        <f t="shared" si="34"/>
        <v>0</v>
      </c>
      <c r="E2239" s="63" t="str">
        <f>HYPERLINK("https://www.sds-group.ru/product/trubka-termousazhivaemaya-tutng-ls-2-1-5-2-5-seraya-rexant-20-5010/", "Инфо")</f>
        <v>Инфо</v>
      </c>
      <c r="F2239" s="16" t="s">
        <v>39</v>
      </c>
      <c r="G2239" s="15"/>
      <c r="H2239" s="15"/>
      <c r="I2239" s="15"/>
      <c r="J2239" s="22">
        <v>5550</v>
      </c>
      <c r="K2239" s="15"/>
      <c r="L2239" s="17">
        <v>50</v>
      </c>
      <c r="M2239" s="22">
        <v>1500</v>
      </c>
      <c r="N2239" s="17">
        <v>50</v>
      </c>
      <c r="O2239" s="18">
        <v>22.08</v>
      </c>
      <c r="P2239" s="18">
        <v>18.100000000000001</v>
      </c>
      <c r="Q2239" s="18">
        <v>20.09</v>
      </c>
      <c r="R2239" s="18">
        <v>16.47</v>
      </c>
      <c r="S2239" s="18">
        <v>15.01</v>
      </c>
      <c r="T2239" s="18">
        <v>12.3</v>
      </c>
      <c r="U2239" s="16"/>
      <c r="V2239" s="16"/>
      <c r="W2239" s="16" t="s">
        <v>40</v>
      </c>
      <c r="X2239" s="19">
        <v>5.0000000000000001E-3</v>
      </c>
      <c r="Y2239" s="20">
        <v>4.3999999999999999E-5</v>
      </c>
      <c r="Z2239" s="21">
        <v>4601004350953</v>
      </c>
    </row>
    <row r="2240" spans="1:26" ht="12" customHeight="1" outlineLevel="4" x14ac:dyDescent="0.2">
      <c r="A2240" s="14" t="s">
        <v>4416</v>
      </c>
      <c r="B2240" s="26" t="s">
        <v>4417</v>
      </c>
      <c r="C2240" s="52"/>
      <c r="D2240" s="55">
        <f t="shared" si="34"/>
        <v>0</v>
      </c>
      <c r="E2240" s="63" t="str">
        <f>HYPERLINK("https://www.sds-group.ru/product/trubka-termousazhivaemaya-tutng-ls-2-1-5-2-5-sinyaya-rexant-20-5005/", "Инфо")</f>
        <v>Инфо</v>
      </c>
      <c r="F2240" s="16" t="s">
        <v>39</v>
      </c>
      <c r="G2240" s="15"/>
      <c r="H2240" s="15"/>
      <c r="I2240" s="15"/>
      <c r="J2240" s="22">
        <v>19545</v>
      </c>
      <c r="K2240" s="15"/>
      <c r="L2240" s="17">
        <v>50</v>
      </c>
      <c r="M2240" s="22">
        <v>1500</v>
      </c>
      <c r="N2240" s="17">
        <v>50</v>
      </c>
      <c r="O2240" s="18">
        <v>22.08</v>
      </c>
      <c r="P2240" s="18">
        <v>18.100000000000001</v>
      </c>
      <c r="Q2240" s="18">
        <v>20.09</v>
      </c>
      <c r="R2240" s="18">
        <v>16.47</v>
      </c>
      <c r="S2240" s="18">
        <v>15.01</v>
      </c>
      <c r="T2240" s="18">
        <v>12.3</v>
      </c>
      <c r="U2240" s="16"/>
      <c r="V2240" s="16"/>
      <c r="W2240" s="16" t="s">
        <v>40</v>
      </c>
      <c r="X2240" s="19">
        <v>5.0000000000000001E-3</v>
      </c>
      <c r="Y2240" s="20">
        <v>4.3999999999999999E-5</v>
      </c>
      <c r="Z2240" s="21">
        <v>4601004350670</v>
      </c>
    </row>
    <row r="2241" spans="1:26" ht="12" customHeight="1" outlineLevel="4" x14ac:dyDescent="0.2">
      <c r="A2241" s="14" t="s">
        <v>4418</v>
      </c>
      <c r="B2241" s="26" t="s">
        <v>4419</v>
      </c>
      <c r="C2241" s="52"/>
      <c r="D2241" s="55">
        <f t="shared" si="34"/>
        <v>0</v>
      </c>
      <c r="E2241" s="63" t="str">
        <f>HYPERLINK("https://www.sds-group.ru/product/trubka-termousazhivaemaya-tutng-ls-2-1-5-2-5-chernaya-rexant-20-5006/", "Инфо")</f>
        <v>Инфо</v>
      </c>
      <c r="F2241" s="16" t="s">
        <v>39</v>
      </c>
      <c r="G2241" s="15"/>
      <c r="H2241" s="15"/>
      <c r="I2241" s="15"/>
      <c r="J2241" s="22">
        <v>40880</v>
      </c>
      <c r="K2241" s="15" t="s">
        <v>1004</v>
      </c>
      <c r="L2241" s="17">
        <v>50</v>
      </c>
      <c r="M2241" s="22">
        <v>1000</v>
      </c>
      <c r="N2241" s="17">
        <v>50</v>
      </c>
      <c r="O2241" s="18">
        <v>21.02</v>
      </c>
      <c r="P2241" s="18">
        <v>17.23</v>
      </c>
      <c r="Q2241" s="18">
        <v>19.13</v>
      </c>
      <c r="R2241" s="18">
        <v>15.68</v>
      </c>
      <c r="S2241" s="18">
        <v>14.29</v>
      </c>
      <c r="T2241" s="18">
        <v>11.71</v>
      </c>
      <c r="U2241" s="16"/>
      <c r="V2241" s="16"/>
      <c r="W2241" s="16" t="s">
        <v>40</v>
      </c>
      <c r="X2241" s="19">
        <v>5.0000000000000001E-3</v>
      </c>
      <c r="Y2241" s="20">
        <v>4.3999999999999999E-5</v>
      </c>
      <c r="Z2241" s="21">
        <v>4601004344969</v>
      </c>
    </row>
    <row r="2242" spans="1:26" ht="12" customHeight="1" outlineLevel="4" x14ac:dyDescent="0.2">
      <c r="A2242" s="14" t="s">
        <v>4420</v>
      </c>
      <c r="B2242" s="26" t="s">
        <v>4421</v>
      </c>
      <c r="C2242" s="52"/>
      <c r="D2242" s="55">
        <f t="shared" si="34"/>
        <v>0</v>
      </c>
      <c r="E2242" s="63" t="str">
        <f>HYPERLINK("https://www.sds-group.ru/product/trubka-termousazhivaemaya-tutng-ls-2-1-50-25-belaya-rexant-25-0001/", "Инфо")</f>
        <v>Инфо</v>
      </c>
      <c r="F2242" s="16" t="s">
        <v>39</v>
      </c>
      <c r="G2242" s="15"/>
      <c r="H2242" s="15"/>
      <c r="I2242" s="15"/>
      <c r="J2242" s="17">
        <v>930</v>
      </c>
      <c r="K2242" s="15" t="s">
        <v>1519</v>
      </c>
      <c r="L2242" s="17">
        <v>10</v>
      </c>
      <c r="M2242" s="17">
        <v>80</v>
      </c>
      <c r="N2242" s="17">
        <v>10</v>
      </c>
      <c r="O2242" s="18">
        <v>321.07</v>
      </c>
      <c r="P2242" s="18">
        <v>263.17</v>
      </c>
      <c r="Q2242" s="18">
        <v>292.17</v>
      </c>
      <c r="R2242" s="18">
        <v>239.48</v>
      </c>
      <c r="S2242" s="18">
        <v>218.33</v>
      </c>
      <c r="T2242" s="18">
        <v>178.96</v>
      </c>
      <c r="U2242" s="16"/>
      <c r="V2242" s="16"/>
      <c r="W2242" s="16" t="s">
        <v>40</v>
      </c>
      <c r="X2242" s="19">
        <v>0.109</v>
      </c>
      <c r="Y2242" s="20">
        <v>3.6000000000000002E-4</v>
      </c>
      <c r="Z2242" s="21">
        <v>4601004350052</v>
      </c>
    </row>
    <row r="2243" spans="1:26" ht="12" customHeight="1" outlineLevel="4" x14ac:dyDescent="0.2">
      <c r="A2243" s="14" t="s">
        <v>4422</v>
      </c>
      <c r="B2243" s="26" t="s">
        <v>4423</v>
      </c>
      <c r="C2243" s="52"/>
      <c r="D2243" s="55">
        <f t="shared" si="34"/>
        <v>0</v>
      </c>
      <c r="E2243" s="63" t="str">
        <f>HYPERLINK("https://www.sds-group.ru/product/trubka-termousazhivaemaya-tutng-ls-2-1-50-25-zheltaya-rexant-25-0002/", "Инфо")</f>
        <v>Инфо</v>
      </c>
      <c r="F2243" s="16" t="s">
        <v>39</v>
      </c>
      <c r="G2243" s="15"/>
      <c r="H2243" s="15"/>
      <c r="I2243" s="15"/>
      <c r="J2243" s="16" t="s">
        <v>100</v>
      </c>
      <c r="K2243" s="15" t="s">
        <v>1004</v>
      </c>
      <c r="L2243" s="17">
        <v>10</v>
      </c>
      <c r="M2243" s="17">
        <v>80</v>
      </c>
      <c r="N2243" s="17">
        <v>10</v>
      </c>
      <c r="O2243" s="18">
        <v>321.08</v>
      </c>
      <c r="P2243" s="18">
        <v>263.18</v>
      </c>
      <c r="Q2243" s="18">
        <v>292.18</v>
      </c>
      <c r="R2243" s="18">
        <v>239.49</v>
      </c>
      <c r="S2243" s="18">
        <v>218.33</v>
      </c>
      <c r="T2243" s="18">
        <v>178.96</v>
      </c>
      <c r="U2243" s="16"/>
      <c r="V2243" s="16"/>
      <c r="W2243" s="16" t="s">
        <v>40</v>
      </c>
      <c r="X2243" s="19">
        <v>0.109</v>
      </c>
      <c r="Y2243" s="20">
        <v>3.6000000000000002E-4</v>
      </c>
      <c r="Z2243" s="21">
        <v>4601004351349</v>
      </c>
    </row>
    <row r="2244" spans="1:26" ht="12" customHeight="1" outlineLevel="4" x14ac:dyDescent="0.2">
      <c r="A2244" s="14" t="s">
        <v>4424</v>
      </c>
      <c r="B2244" s="26" t="s">
        <v>4425</v>
      </c>
      <c r="C2244" s="52"/>
      <c r="D2244" s="55">
        <f t="shared" si="34"/>
        <v>0</v>
      </c>
      <c r="E2244" s="63" t="str">
        <f>HYPERLINK("https://www.sds-group.ru/product/trubka-termousazhivaemaya-tutng-ls-2-1-50-25-zhelto-zelenaya-rexant-25-0007/", "Инфо")</f>
        <v>Инфо</v>
      </c>
      <c r="F2244" s="16" t="s">
        <v>39</v>
      </c>
      <c r="G2244" s="15"/>
      <c r="H2244" s="15"/>
      <c r="I2244" s="15"/>
      <c r="J2244" s="16" t="s">
        <v>100</v>
      </c>
      <c r="K2244" s="15" t="s">
        <v>1004</v>
      </c>
      <c r="L2244" s="17">
        <v>10</v>
      </c>
      <c r="M2244" s="17">
        <v>100</v>
      </c>
      <c r="N2244" s="17">
        <v>10</v>
      </c>
      <c r="O2244" s="18">
        <v>476.46</v>
      </c>
      <c r="P2244" s="18">
        <v>390.54</v>
      </c>
      <c r="Q2244" s="18">
        <v>409.76</v>
      </c>
      <c r="R2244" s="18">
        <v>335.87</v>
      </c>
      <c r="S2244" s="18">
        <v>323.99</v>
      </c>
      <c r="T2244" s="18">
        <v>265.57</v>
      </c>
      <c r="U2244" s="16"/>
      <c r="V2244" s="16"/>
      <c r="W2244" s="16" t="s">
        <v>40</v>
      </c>
      <c r="X2244" s="19">
        <v>0.109</v>
      </c>
      <c r="Y2244" s="20">
        <v>3.6000000000000002E-4</v>
      </c>
      <c r="Z2244" s="21">
        <v>4601004351790</v>
      </c>
    </row>
    <row r="2245" spans="1:26" ht="12" customHeight="1" outlineLevel="4" x14ac:dyDescent="0.2">
      <c r="A2245" s="14" t="s">
        <v>4426</v>
      </c>
      <c r="B2245" s="26" t="s">
        <v>4427</v>
      </c>
      <c r="C2245" s="52"/>
      <c r="D2245" s="55">
        <f t="shared" si="34"/>
        <v>0</v>
      </c>
      <c r="E2245" s="63" t="str">
        <f>HYPERLINK("https://www.sds-group.ru/product/trubka-termousazhivaemaya-tutng-ls-2-1-50-25-zelenaya-rexant-25-0003/", "Инфо")</f>
        <v>Инфо</v>
      </c>
      <c r="F2245" s="16" t="s">
        <v>39</v>
      </c>
      <c r="G2245" s="15"/>
      <c r="H2245" s="15"/>
      <c r="I2245" s="15"/>
      <c r="J2245" s="16" t="s">
        <v>100</v>
      </c>
      <c r="K2245" s="15" t="s">
        <v>1004</v>
      </c>
      <c r="L2245" s="17">
        <v>10</v>
      </c>
      <c r="M2245" s="17">
        <v>80</v>
      </c>
      <c r="N2245" s="17">
        <v>10</v>
      </c>
      <c r="O2245" s="18">
        <v>321.07</v>
      </c>
      <c r="P2245" s="18">
        <v>263.17</v>
      </c>
      <c r="Q2245" s="18">
        <v>292.17</v>
      </c>
      <c r="R2245" s="18">
        <v>239.48</v>
      </c>
      <c r="S2245" s="18">
        <v>218.33</v>
      </c>
      <c r="T2245" s="18">
        <v>178.96</v>
      </c>
      <c r="U2245" s="16"/>
      <c r="V2245" s="16"/>
      <c r="W2245" s="16" t="s">
        <v>40</v>
      </c>
      <c r="X2245" s="19">
        <v>0.109</v>
      </c>
      <c r="Y2245" s="20">
        <v>3.6000000000000002E-4</v>
      </c>
      <c r="Z2245" s="21">
        <v>4601004350885</v>
      </c>
    </row>
    <row r="2246" spans="1:26" ht="12" customHeight="1" outlineLevel="4" x14ac:dyDescent="0.2">
      <c r="A2246" s="14" t="s">
        <v>4428</v>
      </c>
      <c r="B2246" s="26" t="s">
        <v>4429</v>
      </c>
      <c r="C2246" s="52"/>
      <c r="D2246" s="55">
        <f t="shared" si="34"/>
        <v>0</v>
      </c>
      <c r="E2246" s="63" t="str">
        <f>HYPERLINK("https://www.sds-group.ru/product/trubka-termousazhivaemaya-tutng-ls-2-1-50-25-krasnaya-rexant-25-0004/", "Инфо")</f>
        <v>Инфо</v>
      </c>
      <c r="F2246" s="16" t="s">
        <v>39</v>
      </c>
      <c r="G2246" s="15"/>
      <c r="H2246" s="15"/>
      <c r="I2246" s="15"/>
      <c r="J2246" s="16" t="s">
        <v>100</v>
      </c>
      <c r="K2246" s="15" t="s">
        <v>1004</v>
      </c>
      <c r="L2246" s="17">
        <v>10</v>
      </c>
      <c r="M2246" s="17">
        <v>80</v>
      </c>
      <c r="N2246" s="17">
        <v>10</v>
      </c>
      <c r="O2246" s="18">
        <v>321.08</v>
      </c>
      <c r="P2246" s="18">
        <v>263.18</v>
      </c>
      <c r="Q2246" s="18">
        <v>292.18</v>
      </c>
      <c r="R2246" s="18">
        <v>239.49</v>
      </c>
      <c r="S2246" s="18">
        <v>218.33</v>
      </c>
      <c r="T2246" s="18">
        <v>178.96</v>
      </c>
      <c r="U2246" s="16"/>
      <c r="V2246" s="16"/>
      <c r="W2246" s="16" t="s">
        <v>40</v>
      </c>
      <c r="X2246" s="19">
        <v>0.109</v>
      </c>
      <c r="Y2246" s="20">
        <v>3.6000000000000002E-4</v>
      </c>
      <c r="Z2246" s="21">
        <v>4601004350229</v>
      </c>
    </row>
    <row r="2247" spans="1:26" ht="12" customHeight="1" outlineLevel="4" x14ac:dyDescent="0.2">
      <c r="A2247" s="14" t="s">
        <v>4430</v>
      </c>
      <c r="B2247" s="26" t="s">
        <v>4431</v>
      </c>
      <c r="C2247" s="52"/>
      <c r="D2247" s="55">
        <f t="shared" si="34"/>
        <v>0</v>
      </c>
      <c r="E2247" s="63" t="str">
        <f>HYPERLINK("https://www.sds-group.ru/product/trubka-termousazhivaemaya-tutng-ls-2-1-50-25-sinyaya-rexant-25-0005/", "Инфо")</f>
        <v>Инфо</v>
      </c>
      <c r="F2247" s="16" t="s">
        <v>39</v>
      </c>
      <c r="G2247" s="15"/>
      <c r="H2247" s="15"/>
      <c r="I2247" s="15"/>
      <c r="J2247" s="17">
        <v>780</v>
      </c>
      <c r="K2247" s="15" t="s">
        <v>1519</v>
      </c>
      <c r="L2247" s="17">
        <v>10</v>
      </c>
      <c r="M2247" s="17">
        <v>80</v>
      </c>
      <c r="N2247" s="17">
        <v>10</v>
      </c>
      <c r="O2247" s="18">
        <v>321.07</v>
      </c>
      <c r="P2247" s="18">
        <v>263.17</v>
      </c>
      <c r="Q2247" s="18">
        <v>292.17</v>
      </c>
      <c r="R2247" s="18">
        <v>239.48</v>
      </c>
      <c r="S2247" s="18">
        <v>218.33</v>
      </c>
      <c r="T2247" s="18">
        <v>178.96</v>
      </c>
      <c r="U2247" s="16"/>
      <c r="V2247" s="16"/>
      <c r="W2247" s="16" t="s">
        <v>40</v>
      </c>
      <c r="X2247" s="19">
        <v>0.109</v>
      </c>
      <c r="Y2247" s="20">
        <v>3.6000000000000002E-4</v>
      </c>
      <c r="Z2247" s="21">
        <v>4601004350540</v>
      </c>
    </row>
    <row r="2248" spans="1:26" ht="12" customHeight="1" outlineLevel="4" x14ac:dyDescent="0.2">
      <c r="A2248" s="14" t="s">
        <v>4432</v>
      </c>
      <c r="B2248" s="26" t="s">
        <v>4433</v>
      </c>
      <c r="C2248" s="52"/>
      <c r="D2248" s="55">
        <f t="shared" si="34"/>
        <v>0</v>
      </c>
      <c r="E2248" s="63" t="str">
        <f>HYPERLINK("https://www.sds-group.ru/product/trubka-termousazhivaemaya-tutng-ls-2-1-50-25-chernaya-rexant-25-0006/", "Инфо")</f>
        <v>Инфо</v>
      </c>
      <c r="F2248" s="16" t="s">
        <v>39</v>
      </c>
      <c r="G2248" s="15"/>
      <c r="H2248" s="15"/>
      <c r="I2248" s="15"/>
      <c r="J2248" s="22">
        <v>3100</v>
      </c>
      <c r="K2248" s="15" t="s">
        <v>1004</v>
      </c>
      <c r="L2248" s="17">
        <v>10</v>
      </c>
      <c r="M2248" s="17">
        <v>80</v>
      </c>
      <c r="N2248" s="17">
        <v>10</v>
      </c>
      <c r="O2248" s="18">
        <v>290.33</v>
      </c>
      <c r="P2248" s="18">
        <v>237.98</v>
      </c>
      <c r="Q2248" s="18">
        <v>264.2</v>
      </c>
      <c r="R2248" s="18">
        <v>216.56</v>
      </c>
      <c r="S2248" s="18">
        <v>197.42</v>
      </c>
      <c r="T2248" s="18">
        <v>161.82</v>
      </c>
      <c r="U2248" s="16"/>
      <c r="V2248" s="16"/>
      <c r="W2248" s="16" t="s">
        <v>40</v>
      </c>
      <c r="X2248" s="19">
        <v>0.109</v>
      </c>
      <c r="Y2248" s="20">
        <v>3.6000000000000002E-4</v>
      </c>
      <c r="Z2248" s="21">
        <v>4601004344921</v>
      </c>
    </row>
    <row r="2249" spans="1:26" ht="12" customHeight="1" outlineLevel="4" x14ac:dyDescent="0.2">
      <c r="A2249" s="14" t="s">
        <v>4434</v>
      </c>
      <c r="B2249" s="26" t="s">
        <v>4435</v>
      </c>
      <c r="C2249" s="52"/>
      <c r="D2249" s="55">
        <f t="shared" ref="D2249:D2312" si="35">C2249*(O2249-O2249*$G$3)</f>
        <v>0</v>
      </c>
      <c r="E2249" s="63" t="str">
        <f>HYPERLINK("https://www.sds-group.ru/product/trubka-termousazhivaemaya-tutng-ls-2-1-6-3-belaya-rexant-20-6001/", "Инфо")</f>
        <v>Инфо</v>
      </c>
      <c r="F2249" s="16" t="s">
        <v>39</v>
      </c>
      <c r="G2249" s="15"/>
      <c r="H2249" s="15"/>
      <c r="I2249" s="15"/>
      <c r="J2249" s="22">
        <v>6340</v>
      </c>
      <c r="K2249" s="15" t="s">
        <v>1004</v>
      </c>
      <c r="L2249" s="17">
        <v>50</v>
      </c>
      <c r="M2249" s="22">
        <v>1500</v>
      </c>
      <c r="N2249" s="17">
        <v>50</v>
      </c>
      <c r="O2249" s="18">
        <v>21.65</v>
      </c>
      <c r="P2249" s="18">
        <v>17.75</v>
      </c>
      <c r="Q2249" s="18">
        <v>19.7</v>
      </c>
      <c r="R2249" s="18">
        <v>16.149999999999999</v>
      </c>
      <c r="S2249" s="18">
        <v>14.72</v>
      </c>
      <c r="T2249" s="18">
        <v>12.07</v>
      </c>
      <c r="U2249" s="16"/>
      <c r="V2249" s="16"/>
      <c r="W2249" s="16" t="s">
        <v>40</v>
      </c>
      <c r="X2249" s="19">
        <v>8.0000000000000002E-3</v>
      </c>
      <c r="Y2249" s="20">
        <v>9.0000000000000006E-5</v>
      </c>
      <c r="Z2249" s="21">
        <v>4601004350045</v>
      </c>
    </row>
    <row r="2250" spans="1:26" ht="12" customHeight="1" outlineLevel="4" x14ac:dyDescent="0.2">
      <c r="A2250" s="14" t="s">
        <v>4436</v>
      </c>
      <c r="B2250" s="26" t="s">
        <v>4437</v>
      </c>
      <c r="C2250" s="52"/>
      <c r="D2250" s="55">
        <f t="shared" si="35"/>
        <v>0</v>
      </c>
      <c r="E2250" s="63" t="str">
        <f>HYPERLINK("https://www.sds-group.ru/product/trubka-termousazhivaemaya-tutng-ls-2-1-6-3-zheltaya-rexant-20-6002/", "Инфо")</f>
        <v>Инфо</v>
      </c>
      <c r="F2250" s="16" t="s">
        <v>39</v>
      </c>
      <c r="G2250" s="15"/>
      <c r="H2250" s="15"/>
      <c r="I2250" s="15"/>
      <c r="J2250" s="22">
        <v>26640</v>
      </c>
      <c r="K2250" s="15" t="s">
        <v>1519</v>
      </c>
      <c r="L2250" s="17">
        <v>50</v>
      </c>
      <c r="M2250" s="22">
        <v>1500</v>
      </c>
      <c r="N2250" s="17">
        <v>50</v>
      </c>
      <c r="O2250" s="18">
        <v>21.65</v>
      </c>
      <c r="P2250" s="18">
        <v>17.75</v>
      </c>
      <c r="Q2250" s="18">
        <v>19.7</v>
      </c>
      <c r="R2250" s="18">
        <v>16.149999999999999</v>
      </c>
      <c r="S2250" s="18">
        <v>14.72</v>
      </c>
      <c r="T2250" s="18">
        <v>12.07</v>
      </c>
      <c r="U2250" s="16"/>
      <c r="V2250" s="16"/>
      <c r="W2250" s="16" t="s">
        <v>40</v>
      </c>
      <c r="X2250" s="19">
        <v>8.0000000000000002E-3</v>
      </c>
      <c r="Y2250" s="20">
        <v>9.0000000000000006E-5</v>
      </c>
      <c r="Z2250" s="21">
        <v>4601004351479</v>
      </c>
    </row>
    <row r="2251" spans="1:26" ht="12" customHeight="1" outlineLevel="4" x14ac:dyDescent="0.2">
      <c r="A2251" s="14" t="s">
        <v>4438</v>
      </c>
      <c r="B2251" s="26" t="s">
        <v>4439</v>
      </c>
      <c r="C2251" s="52"/>
      <c r="D2251" s="55">
        <f t="shared" si="35"/>
        <v>0</v>
      </c>
      <c r="E2251" s="63" t="str">
        <f>HYPERLINK("https://www.sds-group.ru/product/trubka-termousazhivaemaya-tutng-ls-2-1-6-3-zhelto-zelenaya-rexant-20-6007/", "Инфо")</f>
        <v>Инфо</v>
      </c>
      <c r="F2251" s="16" t="s">
        <v>39</v>
      </c>
      <c r="G2251" s="15"/>
      <c r="H2251" s="15"/>
      <c r="I2251" s="15"/>
      <c r="J2251" s="16" t="s">
        <v>100</v>
      </c>
      <c r="K2251" s="15" t="s">
        <v>1004</v>
      </c>
      <c r="L2251" s="17">
        <v>50</v>
      </c>
      <c r="M2251" s="22">
        <v>1500</v>
      </c>
      <c r="N2251" s="17">
        <v>50</v>
      </c>
      <c r="O2251" s="18">
        <v>40.630000000000003</v>
      </c>
      <c r="P2251" s="18">
        <v>33.299999999999997</v>
      </c>
      <c r="Q2251" s="18">
        <v>36.97</v>
      </c>
      <c r="R2251" s="18">
        <v>30.3</v>
      </c>
      <c r="S2251" s="18">
        <v>27.63</v>
      </c>
      <c r="T2251" s="18">
        <v>22.65</v>
      </c>
      <c r="U2251" s="16"/>
      <c r="V2251" s="16"/>
      <c r="W2251" s="16" t="s">
        <v>40</v>
      </c>
      <c r="X2251" s="19">
        <v>8.0000000000000002E-3</v>
      </c>
      <c r="Y2251" s="20">
        <v>9.0000000000000006E-5</v>
      </c>
      <c r="Z2251" s="21">
        <v>4601004351844</v>
      </c>
    </row>
    <row r="2252" spans="1:26" ht="12" customHeight="1" outlineLevel="4" x14ac:dyDescent="0.2">
      <c r="A2252" s="14" t="s">
        <v>4440</v>
      </c>
      <c r="B2252" s="26" t="s">
        <v>4441</v>
      </c>
      <c r="C2252" s="52"/>
      <c r="D2252" s="55">
        <f t="shared" si="35"/>
        <v>0</v>
      </c>
      <c r="E2252" s="63" t="str">
        <f>HYPERLINK("https://www.sds-group.ru/product/trubka-termousazhivaemaya-tutng-ls-2-1-6-3-zelenaya-rexant-20-6003/", "Инфо")</f>
        <v>Инфо</v>
      </c>
      <c r="F2252" s="16" t="s">
        <v>39</v>
      </c>
      <c r="G2252" s="15"/>
      <c r="H2252" s="15"/>
      <c r="I2252" s="15"/>
      <c r="J2252" s="22">
        <v>13043</v>
      </c>
      <c r="K2252" s="15" t="s">
        <v>4183</v>
      </c>
      <c r="L2252" s="17">
        <v>50</v>
      </c>
      <c r="M2252" s="22">
        <v>1000</v>
      </c>
      <c r="N2252" s="17">
        <v>50</v>
      </c>
      <c r="O2252" s="18">
        <v>21.65</v>
      </c>
      <c r="P2252" s="18">
        <v>17.75</v>
      </c>
      <c r="Q2252" s="18">
        <v>19.7</v>
      </c>
      <c r="R2252" s="18">
        <v>16.149999999999999</v>
      </c>
      <c r="S2252" s="18">
        <v>14.72</v>
      </c>
      <c r="T2252" s="18">
        <v>12.07</v>
      </c>
      <c r="U2252" s="16"/>
      <c r="V2252" s="16"/>
      <c r="W2252" s="16" t="s">
        <v>40</v>
      </c>
      <c r="X2252" s="19">
        <v>8.9999999999999993E-3</v>
      </c>
      <c r="Y2252" s="20">
        <v>7.4999999999999993E-5</v>
      </c>
      <c r="Z2252" s="21">
        <v>4601004350755</v>
      </c>
    </row>
    <row r="2253" spans="1:26" ht="12" customHeight="1" outlineLevel="4" x14ac:dyDescent="0.2">
      <c r="A2253" s="14" t="s">
        <v>4442</v>
      </c>
      <c r="B2253" s="26" t="s">
        <v>4443</v>
      </c>
      <c r="C2253" s="52"/>
      <c r="D2253" s="55">
        <f t="shared" si="35"/>
        <v>0</v>
      </c>
      <c r="E2253" s="63" t="str">
        <f>HYPERLINK("https://www.sds-group.ru/product/trubka-termousazhivaemaya-tutng-ls-2-1-6-3-krasnaya-rexant-20-6004/", "Инфо")</f>
        <v>Инфо</v>
      </c>
      <c r="F2253" s="16" t="s">
        <v>39</v>
      </c>
      <c r="G2253" s="15"/>
      <c r="H2253" s="15"/>
      <c r="I2253" s="15"/>
      <c r="J2253" s="22">
        <v>21396</v>
      </c>
      <c r="K2253" s="15" t="s">
        <v>4183</v>
      </c>
      <c r="L2253" s="17">
        <v>50</v>
      </c>
      <c r="M2253" s="22">
        <v>1500</v>
      </c>
      <c r="N2253" s="17">
        <v>50</v>
      </c>
      <c r="O2253" s="18">
        <v>21.65</v>
      </c>
      <c r="P2253" s="18">
        <v>17.75</v>
      </c>
      <c r="Q2253" s="18">
        <v>19.7</v>
      </c>
      <c r="R2253" s="18">
        <v>16.149999999999999</v>
      </c>
      <c r="S2253" s="18">
        <v>14.72</v>
      </c>
      <c r="T2253" s="18">
        <v>12.07</v>
      </c>
      <c r="U2253" s="16"/>
      <c r="V2253" s="16"/>
      <c r="W2253" s="16" t="s">
        <v>40</v>
      </c>
      <c r="X2253" s="19">
        <v>8.0000000000000002E-3</v>
      </c>
      <c r="Y2253" s="20">
        <v>9.0000000000000006E-5</v>
      </c>
      <c r="Z2253" s="21">
        <v>4601004350274</v>
      </c>
    </row>
    <row r="2254" spans="1:26" ht="12" customHeight="1" outlineLevel="4" x14ac:dyDescent="0.2">
      <c r="A2254" s="14" t="s">
        <v>4444</v>
      </c>
      <c r="B2254" s="26" t="s">
        <v>4445</v>
      </c>
      <c r="C2254" s="52"/>
      <c r="D2254" s="55">
        <f t="shared" si="35"/>
        <v>0</v>
      </c>
      <c r="E2254" s="63" t="str">
        <f>HYPERLINK("https://www.sds-group.ru/product/trubka-termousazhivaemaya-tutng-ls-2-1-6-3-seraya-rexant-20-6010/", "Инфо")</f>
        <v>Инфо</v>
      </c>
      <c r="F2254" s="16" t="s">
        <v>39</v>
      </c>
      <c r="G2254" s="15"/>
      <c r="H2254" s="15"/>
      <c r="I2254" s="15"/>
      <c r="J2254" s="22">
        <v>6500</v>
      </c>
      <c r="K2254" s="15"/>
      <c r="L2254" s="17">
        <v>50</v>
      </c>
      <c r="M2254" s="22">
        <v>1500</v>
      </c>
      <c r="N2254" s="17">
        <v>50</v>
      </c>
      <c r="O2254" s="18">
        <v>21.65</v>
      </c>
      <c r="P2254" s="18">
        <v>17.75</v>
      </c>
      <c r="Q2254" s="18">
        <v>19.7</v>
      </c>
      <c r="R2254" s="18">
        <v>16.149999999999999</v>
      </c>
      <c r="S2254" s="18">
        <v>14.72</v>
      </c>
      <c r="T2254" s="18">
        <v>12.07</v>
      </c>
      <c r="U2254" s="16"/>
      <c r="V2254" s="16"/>
      <c r="W2254" s="16" t="s">
        <v>40</v>
      </c>
      <c r="X2254" s="19">
        <v>8.0000000000000002E-3</v>
      </c>
      <c r="Y2254" s="20">
        <v>9.0000000000000006E-5</v>
      </c>
      <c r="Z2254" s="21">
        <v>4601004350991</v>
      </c>
    </row>
    <row r="2255" spans="1:26" ht="12" customHeight="1" outlineLevel="4" x14ac:dyDescent="0.2">
      <c r="A2255" s="14" t="s">
        <v>4446</v>
      </c>
      <c r="B2255" s="26" t="s">
        <v>4447</v>
      </c>
      <c r="C2255" s="52"/>
      <c r="D2255" s="55">
        <f t="shared" si="35"/>
        <v>0</v>
      </c>
      <c r="E2255" s="63" t="str">
        <f>HYPERLINK("https://www.sds-group.ru/product/trubka-termousazhivaemaya-tutng-ls-2-1-6-3-sinyaya-rexant-20-6005/", "Инфо")</f>
        <v>Инфо</v>
      </c>
      <c r="F2255" s="16" t="s">
        <v>39</v>
      </c>
      <c r="G2255" s="15"/>
      <c r="H2255" s="15"/>
      <c r="I2255" s="15"/>
      <c r="J2255" s="22">
        <v>14846</v>
      </c>
      <c r="K2255" s="15" t="s">
        <v>1004</v>
      </c>
      <c r="L2255" s="17">
        <v>50</v>
      </c>
      <c r="M2255" s="22">
        <v>1500</v>
      </c>
      <c r="N2255" s="17">
        <v>50</v>
      </c>
      <c r="O2255" s="18">
        <v>21.65</v>
      </c>
      <c r="P2255" s="18">
        <v>17.75</v>
      </c>
      <c r="Q2255" s="18">
        <v>19.7</v>
      </c>
      <c r="R2255" s="18">
        <v>16.149999999999999</v>
      </c>
      <c r="S2255" s="18">
        <v>14.72</v>
      </c>
      <c r="T2255" s="18">
        <v>12.07</v>
      </c>
      <c r="U2255" s="16"/>
      <c r="V2255" s="16"/>
      <c r="W2255" s="16" t="s">
        <v>40</v>
      </c>
      <c r="X2255" s="19">
        <v>8.0000000000000002E-3</v>
      </c>
      <c r="Y2255" s="20">
        <v>9.0000000000000006E-5</v>
      </c>
      <c r="Z2255" s="21">
        <v>4601004350564</v>
      </c>
    </row>
    <row r="2256" spans="1:26" ht="12" customHeight="1" outlineLevel="4" x14ac:dyDescent="0.2">
      <c r="A2256" s="14" t="s">
        <v>4448</v>
      </c>
      <c r="B2256" s="26" t="s">
        <v>4449</v>
      </c>
      <c r="C2256" s="52"/>
      <c r="D2256" s="55">
        <f t="shared" si="35"/>
        <v>0</v>
      </c>
      <c r="E2256" s="63" t="str">
        <f>HYPERLINK("https://www.sds-group.ru/product/trubka-termousazhivaemaya-tutng-ls-2-1-6-3-chernaya-rexant-20-6006/", "Инфо")</f>
        <v>Инфо</v>
      </c>
      <c r="F2256" s="16" t="s">
        <v>39</v>
      </c>
      <c r="G2256" s="15"/>
      <c r="H2256" s="15"/>
      <c r="I2256" s="15"/>
      <c r="J2256" s="22">
        <v>23811</v>
      </c>
      <c r="K2256" s="15" t="s">
        <v>1004</v>
      </c>
      <c r="L2256" s="17">
        <v>50</v>
      </c>
      <c r="M2256" s="22">
        <v>1500</v>
      </c>
      <c r="N2256" s="17">
        <v>50</v>
      </c>
      <c r="O2256" s="18">
        <v>22.58</v>
      </c>
      <c r="P2256" s="18">
        <v>18.510000000000002</v>
      </c>
      <c r="Q2256" s="18">
        <v>20.55</v>
      </c>
      <c r="R2256" s="18">
        <v>16.84</v>
      </c>
      <c r="S2256" s="18">
        <v>15.35</v>
      </c>
      <c r="T2256" s="18">
        <v>12.58</v>
      </c>
      <c r="U2256" s="16"/>
      <c r="V2256" s="16"/>
      <c r="W2256" s="16" t="s">
        <v>40</v>
      </c>
      <c r="X2256" s="19">
        <v>8.0000000000000002E-3</v>
      </c>
      <c r="Y2256" s="20">
        <v>9.0000000000000006E-5</v>
      </c>
      <c r="Z2256" s="21">
        <v>4601004344990</v>
      </c>
    </row>
    <row r="2257" spans="1:26" ht="12" customHeight="1" outlineLevel="4" x14ac:dyDescent="0.2">
      <c r="A2257" s="14" t="s">
        <v>4450</v>
      </c>
      <c r="B2257" s="26" t="s">
        <v>4451</v>
      </c>
      <c r="C2257" s="52"/>
      <c r="D2257" s="55">
        <f t="shared" si="35"/>
        <v>0</v>
      </c>
      <c r="E2257" s="63" t="str">
        <f>HYPERLINK("https://www.sds-group.ru/product/trubka-termousazhivaemaya-tutng-ls-2-1-60-30-belaya-rexant-25-0061/", "Инфо")</f>
        <v>Инфо</v>
      </c>
      <c r="F2257" s="16" t="s">
        <v>39</v>
      </c>
      <c r="G2257" s="15"/>
      <c r="H2257" s="15"/>
      <c r="I2257" s="15"/>
      <c r="J2257" s="17">
        <v>310</v>
      </c>
      <c r="K2257" s="15" t="s">
        <v>4020</v>
      </c>
      <c r="L2257" s="17">
        <v>10</v>
      </c>
      <c r="M2257" s="17">
        <v>50</v>
      </c>
      <c r="N2257" s="17">
        <v>10</v>
      </c>
      <c r="O2257" s="18">
        <v>359.91</v>
      </c>
      <c r="P2257" s="18">
        <v>295.01</v>
      </c>
      <c r="Q2257" s="18">
        <v>309.52</v>
      </c>
      <c r="R2257" s="18">
        <v>253.7</v>
      </c>
      <c r="S2257" s="18">
        <v>244.74</v>
      </c>
      <c r="T2257" s="18">
        <v>200.61</v>
      </c>
      <c r="U2257" s="16"/>
      <c r="V2257" s="16"/>
      <c r="W2257" s="16" t="s">
        <v>40</v>
      </c>
      <c r="X2257" s="19">
        <v>0.11</v>
      </c>
      <c r="Y2257" s="20">
        <v>2.0000000000000001E-4</v>
      </c>
      <c r="Z2257" s="21">
        <v>4601004350076</v>
      </c>
    </row>
    <row r="2258" spans="1:26" ht="12" customHeight="1" outlineLevel="4" x14ac:dyDescent="0.2">
      <c r="A2258" s="14" t="s">
        <v>4452</v>
      </c>
      <c r="B2258" s="26" t="s">
        <v>4453</v>
      </c>
      <c r="C2258" s="52"/>
      <c r="D2258" s="55">
        <f t="shared" si="35"/>
        <v>0</v>
      </c>
      <c r="E2258" s="63" t="str">
        <f>HYPERLINK("https://www.sds-group.ru/product/trubka-termousazhivaemaya-tutng-ls-2-1-60-30-zheltaya-rexant-25-0062/", "Инфо")</f>
        <v>Инфо</v>
      </c>
      <c r="F2258" s="16" t="s">
        <v>39</v>
      </c>
      <c r="G2258" s="15"/>
      <c r="H2258" s="15"/>
      <c r="I2258" s="15"/>
      <c r="J2258" s="16" t="s">
        <v>100</v>
      </c>
      <c r="K2258" s="15" t="s">
        <v>1004</v>
      </c>
      <c r="L2258" s="17">
        <v>10</v>
      </c>
      <c r="M2258" s="17">
        <v>50</v>
      </c>
      <c r="N2258" s="17">
        <v>10</v>
      </c>
      <c r="O2258" s="18">
        <v>359.91</v>
      </c>
      <c r="P2258" s="18">
        <v>295.01</v>
      </c>
      <c r="Q2258" s="18">
        <v>309.52</v>
      </c>
      <c r="R2258" s="18">
        <v>253.7</v>
      </c>
      <c r="S2258" s="18">
        <v>244.74</v>
      </c>
      <c r="T2258" s="18">
        <v>200.61</v>
      </c>
      <c r="U2258" s="16"/>
      <c r="V2258" s="16"/>
      <c r="W2258" s="16" t="s">
        <v>40</v>
      </c>
      <c r="X2258" s="19">
        <v>0.11</v>
      </c>
      <c r="Y2258" s="20">
        <v>2.0000000000000001E-4</v>
      </c>
      <c r="Z2258" s="21">
        <v>4601004351394</v>
      </c>
    </row>
    <row r="2259" spans="1:26" ht="12" customHeight="1" outlineLevel="4" x14ac:dyDescent="0.2">
      <c r="A2259" s="14" t="s">
        <v>4454</v>
      </c>
      <c r="B2259" s="26" t="s">
        <v>4455</v>
      </c>
      <c r="C2259" s="52"/>
      <c r="D2259" s="55">
        <f t="shared" si="35"/>
        <v>0</v>
      </c>
      <c r="E2259" s="63" t="str">
        <f>HYPERLINK("https://www.sds-group.ru/product/trubka-termousazhivaemaya-tutng-ls-2-1-60-30-zelenaya-rexant-25-0063/", "Инфо")</f>
        <v>Инфо</v>
      </c>
      <c r="F2259" s="16" t="s">
        <v>39</v>
      </c>
      <c r="G2259" s="15"/>
      <c r="H2259" s="15"/>
      <c r="I2259" s="15"/>
      <c r="J2259" s="16" t="s">
        <v>100</v>
      </c>
      <c r="K2259" s="15" t="s">
        <v>1004</v>
      </c>
      <c r="L2259" s="17">
        <v>10</v>
      </c>
      <c r="M2259" s="17">
        <v>50</v>
      </c>
      <c r="N2259" s="17">
        <v>10</v>
      </c>
      <c r="O2259" s="18">
        <v>359.91</v>
      </c>
      <c r="P2259" s="18">
        <v>295.01</v>
      </c>
      <c r="Q2259" s="18">
        <v>309.52</v>
      </c>
      <c r="R2259" s="18">
        <v>253.7</v>
      </c>
      <c r="S2259" s="18">
        <v>244.74</v>
      </c>
      <c r="T2259" s="18">
        <v>200.61</v>
      </c>
      <c r="U2259" s="16"/>
      <c r="V2259" s="16"/>
      <c r="W2259" s="16" t="s">
        <v>40</v>
      </c>
      <c r="X2259" s="19">
        <v>0.11</v>
      </c>
      <c r="Y2259" s="20">
        <v>2.0000000000000001E-4</v>
      </c>
      <c r="Z2259" s="21">
        <v>4601004350823</v>
      </c>
    </row>
    <row r="2260" spans="1:26" ht="12" customHeight="1" outlineLevel="4" x14ac:dyDescent="0.2">
      <c r="A2260" s="14" t="s">
        <v>4456</v>
      </c>
      <c r="B2260" s="26" t="s">
        <v>4457</v>
      </c>
      <c r="C2260" s="52"/>
      <c r="D2260" s="55">
        <f t="shared" si="35"/>
        <v>0</v>
      </c>
      <c r="E2260" s="63" t="str">
        <f>HYPERLINK("https://www.sds-group.ru/product/trubka-termousazhivaemaya-tutng-ls-2-1-60-30-krasnaya-rexant-25-0064/", "Инфо")</f>
        <v>Инфо</v>
      </c>
      <c r="F2260" s="16" t="s">
        <v>39</v>
      </c>
      <c r="G2260" s="15"/>
      <c r="H2260" s="15"/>
      <c r="I2260" s="15"/>
      <c r="J2260" s="16" t="s">
        <v>100</v>
      </c>
      <c r="K2260" s="15" t="s">
        <v>1004</v>
      </c>
      <c r="L2260" s="17">
        <v>10</v>
      </c>
      <c r="M2260" s="17">
        <v>50</v>
      </c>
      <c r="N2260" s="17">
        <v>10</v>
      </c>
      <c r="O2260" s="18">
        <v>359.91</v>
      </c>
      <c r="P2260" s="18">
        <v>295.01</v>
      </c>
      <c r="Q2260" s="18">
        <v>309.52</v>
      </c>
      <c r="R2260" s="18">
        <v>253.7</v>
      </c>
      <c r="S2260" s="18">
        <v>244.74</v>
      </c>
      <c r="T2260" s="18">
        <v>200.61</v>
      </c>
      <c r="U2260" s="16"/>
      <c r="V2260" s="16"/>
      <c r="W2260" s="16" t="s">
        <v>40</v>
      </c>
      <c r="X2260" s="19">
        <v>0.11</v>
      </c>
      <c r="Y2260" s="20">
        <v>2.0000000000000001E-4</v>
      </c>
      <c r="Z2260" s="21">
        <v>4601004350328</v>
      </c>
    </row>
    <row r="2261" spans="1:26" ht="12" customHeight="1" outlineLevel="4" x14ac:dyDescent="0.2">
      <c r="A2261" s="14" t="s">
        <v>4458</v>
      </c>
      <c r="B2261" s="26" t="s">
        <v>4459</v>
      </c>
      <c r="C2261" s="52"/>
      <c r="D2261" s="55">
        <f t="shared" si="35"/>
        <v>0</v>
      </c>
      <c r="E2261" s="63" t="str">
        <f>HYPERLINK("https://www.sds-group.ru/product/trubka-termousazhivaemaya-tutng-ls-2-1-60-30-chernaya-rexant-25-0060/", "Инфо")</f>
        <v>Инфо</v>
      </c>
      <c r="F2261" s="16" t="s">
        <v>39</v>
      </c>
      <c r="G2261" s="15"/>
      <c r="H2261" s="15"/>
      <c r="I2261" s="15"/>
      <c r="J2261" s="16" t="s">
        <v>100</v>
      </c>
      <c r="K2261" s="15" t="s">
        <v>1004</v>
      </c>
      <c r="L2261" s="17">
        <v>10</v>
      </c>
      <c r="M2261" s="17">
        <v>100</v>
      </c>
      <c r="N2261" s="17">
        <v>10</v>
      </c>
      <c r="O2261" s="18">
        <v>381.18</v>
      </c>
      <c r="P2261" s="18">
        <v>312.44</v>
      </c>
      <c r="Q2261" s="18">
        <v>346.87</v>
      </c>
      <c r="R2261" s="18">
        <v>284.32</v>
      </c>
      <c r="S2261" s="18">
        <v>259.2</v>
      </c>
      <c r="T2261" s="18">
        <v>212.46</v>
      </c>
      <c r="U2261" s="16"/>
      <c r="V2261" s="16"/>
      <c r="W2261" s="16" t="s">
        <v>40</v>
      </c>
      <c r="X2261" s="19">
        <v>0.11</v>
      </c>
      <c r="Y2261" s="20">
        <v>2.0000000000000001E-4</v>
      </c>
      <c r="Z2261" s="21">
        <v>4601004344983</v>
      </c>
    </row>
    <row r="2262" spans="1:26" ht="12" customHeight="1" outlineLevel="4" x14ac:dyDescent="0.2">
      <c r="A2262" s="14" t="s">
        <v>4460</v>
      </c>
      <c r="B2262" s="26" t="s">
        <v>4461</v>
      </c>
      <c r="C2262" s="52"/>
      <c r="D2262" s="55">
        <f t="shared" si="35"/>
        <v>0</v>
      </c>
      <c r="E2262" s="63" t="str">
        <f>HYPERLINK("https://www.sds-group.ru/product/trubka-termousazhivaemaya-tutng-ls-2-1-7-3-5-belaya-rexant-20-7001/", "Инфо")</f>
        <v>Инфо</v>
      </c>
      <c r="F2262" s="16" t="s">
        <v>39</v>
      </c>
      <c r="G2262" s="15"/>
      <c r="H2262" s="15"/>
      <c r="I2262" s="15"/>
      <c r="J2262" s="22">
        <v>7000</v>
      </c>
      <c r="K2262" s="15"/>
      <c r="L2262" s="17">
        <v>50</v>
      </c>
      <c r="M2262" s="22">
        <v>1000</v>
      </c>
      <c r="N2262" s="17">
        <v>50</v>
      </c>
      <c r="O2262" s="18">
        <v>31.78</v>
      </c>
      <c r="P2262" s="18">
        <v>26.05</v>
      </c>
      <c r="Q2262" s="18">
        <v>28.92</v>
      </c>
      <c r="R2262" s="18">
        <v>23.7</v>
      </c>
      <c r="S2262" s="18">
        <v>21.61</v>
      </c>
      <c r="T2262" s="18">
        <v>17.71</v>
      </c>
      <c r="U2262" s="16"/>
      <c r="V2262" s="16"/>
      <c r="W2262" s="16" t="s">
        <v>40</v>
      </c>
      <c r="X2262" s="19">
        <v>8.9999999999999993E-3</v>
      </c>
      <c r="Y2262" s="20">
        <v>4.5000000000000003E-5</v>
      </c>
      <c r="Z2262" s="21">
        <v>4601004349872</v>
      </c>
    </row>
    <row r="2263" spans="1:26" ht="12" customHeight="1" outlineLevel="4" x14ac:dyDescent="0.2">
      <c r="A2263" s="14" t="s">
        <v>4462</v>
      </c>
      <c r="B2263" s="26" t="s">
        <v>4463</v>
      </c>
      <c r="C2263" s="52"/>
      <c r="D2263" s="55">
        <f t="shared" si="35"/>
        <v>0</v>
      </c>
      <c r="E2263" s="63" t="str">
        <f>HYPERLINK("https://www.sds-group.ru/product/trubka-termousazhivaemaya-tutng-ls-2-1-7-3-5-zheltaya-rexant-20-7002/", "Инфо")</f>
        <v>Инфо</v>
      </c>
      <c r="F2263" s="16" t="s">
        <v>39</v>
      </c>
      <c r="G2263" s="15"/>
      <c r="H2263" s="15"/>
      <c r="I2263" s="15"/>
      <c r="J2263" s="22">
        <v>4450</v>
      </c>
      <c r="K2263" s="15"/>
      <c r="L2263" s="17">
        <v>50</v>
      </c>
      <c r="M2263" s="22">
        <v>1000</v>
      </c>
      <c r="N2263" s="17">
        <v>50</v>
      </c>
      <c r="O2263" s="18">
        <v>31.78</v>
      </c>
      <c r="P2263" s="18">
        <v>26.05</v>
      </c>
      <c r="Q2263" s="18">
        <v>28.92</v>
      </c>
      <c r="R2263" s="18">
        <v>23.7</v>
      </c>
      <c r="S2263" s="18">
        <v>21.61</v>
      </c>
      <c r="T2263" s="18">
        <v>17.71</v>
      </c>
      <c r="U2263" s="16"/>
      <c r="V2263" s="16"/>
      <c r="W2263" s="16" t="s">
        <v>40</v>
      </c>
      <c r="X2263" s="19">
        <v>8.9999999999999993E-3</v>
      </c>
      <c r="Y2263" s="20">
        <v>4.5000000000000003E-5</v>
      </c>
      <c r="Z2263" s="21">
        <v>4601004351257</v>
      </c>
    </row>
    <row r="2264" spans="1:26" ht="12" customHeight="1" outlineLevel="4" x14ac:dyDescent="0.2">
      <c r="A2264" s="14" t="s">
        <v>4464</v>
      </c>
      <c r="B2264" s="26" t="s">
        <v>4465</v>
      </c>
      <c r="C2264" s="52"/>
      <c r="D2264" s="55">
        <f t="shared" si="35"/>
        <v>0</v>
      </c>
      <c r="E2264" s="63" t="str">
        <f>HYPERLINK("https://www.sds-group.ru/product/trubka-termousazhivaemaya-tutng-ls-2-1-7-3-5-zelenaya-rexant-20-7003/", "Инфо")</f>
        <v>Инфо</v>
      </c>
      <c r="F2264" s="16" t="s">
        <v>39</v>
      </c>
      <c r="G2264" s="15"/>
      <c r="H2264" s="15"/>
      <c r="I2264" s="15"/>
      <c r="J2264" s="22">
        <v>2850</v>
      </c>
      <c r="K2264" s="15"/>
      <c r="L2264" s="17">
        <v>50</v>
      </c>
      <c r="M2264" s="22">
        <v>1000</v>
      </c>
      <c r="N2264" s="17">
        <v>50</v>
      </c>
      <c r="O2264" s="18">
        <v>31.78</v>
      </c>
      <c r="P2264" s="18">
        <v>26.05</v>
      </c>
      <c r="Q2264" s="18">
        <v>28.92</v>
      </c>
      <c r="R2264" s="18">
        <v>23.7</v>
      </c>
      <c r="S2264" s="18">
        <v>21.61</v>
      </c>
      <c r="T2264" s="18">
        <v>17.71</v>
      </c>
      <c r="U2264" s="16"/>
      <c r="V2264" s="16"/>
      <c r="W2264" s="16" t="s">
        <v>40</v>
      </c>
      <c r="X2264" s="19">
        <v>8.9999999999999993E-3</v>
      </c>
      <c r="Y2264" s="20">
        <v>4.5000000000000003E-5</v>
      </c>
      <c r="Z2264" s="21">
        <v>4601004350700</v>
      </c>
    </row>
    <row r="2265" spans="1:26" ht="12" customHeight="1" outlineLevel="4" x14ac:dyDescent="0.2">
      <c r="A2265" s="14" t="s">
        <v>4466</v>
      </c>
      <c r="B2265" s="26" t="s">
        <v>4467</v>
      </c>
      <c r="C2265" s="52"/>
      <c r="D2265" s="55">
        <f t="shared" si="35"/>
        <v>0</v>
      </c>
      <c r="E2265" s="63" t="str">
        <f>HYPERLINK("https://www.sds-group.ru/product/trubka-termousazhivaemaya-tutng-ls-2-1-7-3-5-krasnaya-rexant-20-7004/", "Инфо")</f>
        <v>Инфо</v>
      </c>
      <c r="F2265" s="16" t="s">
        <v>39</v>
      </c>
      <c r="G2265" s="15"/>
      <c r="H2265" s="15"/>
      <c r="I2265" s="15"/>
      <c r="J2265" s="22">
        <v>15700</v>
      </c>
      <c r="K2265" s="15"/>
      <c r="L2265" s="17">
        <v>50</v>
      </c>
      <c r="M2265" s="22">
        <v>1000</v>
      </c>
      <c r="N2265" s="17">
        <v>50</v>
      </c>
      <c r="O2265" s="18">
        <v>31.78</v>
      </c>
      <c r="P2265" s="18">
        <v>26.05</v>
      </c>
      <c r="Q2265" s="18">
        <v>28.92</v>
      </c>
      <c r="R2265" s="18">
        <v>23.7</v>
      </c>
      <c r="S2265" s="18">
        <v>21.61</v>
      </c>
      <c r="T2265" s="18">
        <v>17.71</v>
      </c>
      <c r="U2265" s="16"/>
      <c r="V2265" s="16"/>
      <c r="W2265" s="16" t="s">
        <v>40</v>
      </c>
      <c r="X2265" s="19">
        <v>8.9999999999999993E-3</v>
      </c>
      <c r="Y2265" s="20">
        <v>4.5000000000000003E-5</v>
      </c>
      <c r="Z2265" s="21">
        <v>4601004350243</v>
      </c>
    </row>
    <row r="2266" spans="1:26" ht="12" customHeight="1" outlineLevel="4" x14ac:dyDescent="0.2">
      <c r="A2266" s="14" t="s">
        <v>4468</v>
      </c>
      <c r="B2266" s="26" t="s">
        <v>4469</v>
      </c>
      <c r="C2266" s="52"/>
      <c r="D2266" s="55">
        <f t="shared" si="35"/>
        <v>0</v>
      </c>
      <c r="E2266" s="63" t="str">
        <f>HYPERLINK("https://www.sds-group.ru/product/trubka-termousazhivaemaya-tutng-ls-2-1-7-3-5-seraya-rexant-20-7010/", "Инфо")</f>
        <v>Инфо</v>
      </c>
      <c r="F2266" s="16" t="s">
        <v>39</v>
      </c>
      <c r="G2266" s="15"/>
      <c r="H2266" s="15"/>
      <c r="I2266" s="15"/>
      <c r="J2266" s="22">
        <v>2800</v>
      </c>
      <c r="K2266" s="15"/>
      <c r="L2266" s="17">
        <v>50</v>
      </c>
      <c r="M2266" s="22">
        <v>1000</v>
      </c>
      <c r="N2266" s="17">
        <v>50</v>
      </c>
      <c r="O2266" s="18">
        <v>31.78</v>
      </c>
      <c r="P2266" s="18">
        <v>26.05</v>
      </c>
      <c r="Q2266" s="18">
        <v>28.92</v>
      </c>
      <c r="R2266" s="18">
        <v>23.7</v>
      </c>
      <c r="S2266" s="18">
        <v>21.61</v>
      </c>
      <c r="T2266" s="18">
        <v>17.71</v>
      </c>
      <c r="U2266" s="16"/>
      <c r="V2266" s="16"/>
      <c r="W2266" s="16" t="s">
        <v>40</v>
      </c>
      <c r="X2266" s="19">
        <v>8.9999999999999993E-3</v>
      </c>
      <c r="Y2266" s="20">
        <v>4.5000000000000003E-5</v>
      </c>
      <c r="Z2266" s="21">
        <v>4601004350984</v>
      </c>
    </row>
    <row r="2267" spans="1:26" ht="12" customHeight="1" outlineLevel="4" x14ac:dyDescent="0.2">
      <c r="A2267" s="14" t="s">
        <v>4470</v>
      </c>
      <c r="B2267" s="26" t="s">
        <v>4471</v>
      </c>
      <c r="C2267" s="52"/>
      <c r="D2267" s="55">
        <f t="shared" si="35"/>
        <v>0</v>
      </c>
      <c r="E2267" s="63" t="str">
        <f>HYPERLINK("https://www.sds-group.ru/product/trubka-termousazhivaemaya-tutng-ls-2-1-7-3-5-sinyaya-rexant-20-7005/", "Инфо")</f>
        <v>Инфо</v>
      </c>
      <c r="F2267" s="16" t="s">
        <v>39</v>
      </c>
      <c r="G2267" s="15"/>
      <c r="H2267" s="15"/>
      <c r="I2267" s="15"/>
      <c r="J2267" s="22">
        <v>15100</v>
      </c>
      <c r="K2267" s="15"/>
      <c r="L2267" s="17">
        <v>50</v>
      </c>
      <c r="M2267" s="22">
        <v>1000</v>
      </c>
      <c r="N2267" s="17">
        <v>50</v>
      </c>
      <c r="O2267" s="18">
        <v>31.78</v>
      </c>
      <c r="P2267" s="18">
        <v>26.05</v>
      </c>
      <c r="Q2267" s="18">
        <v>28.92</v>
      </c>
      <c r="R2267" s="18">
        <v>23.7</v>
      </c>
      <c r="S2267" s="18">
        <v>21.61</v>
      </c>
      <c r="T2267" s="18">
        <v>17.71</v>
      </c>
      <c r="U2267" s="16"/>
      <c r="V2267" s="16"/>
      <c r="W2267" s="16" t="s">
        <v>40</v>
      </c>
      <c r="X2267" s="19">
        <v>8.9999999999999993E-3</v>
      </c>
      <c r="Y2267" s="20">
        <v>4.5000000000000003E-5</v>
      </c>
      <c r="Z2267" s="21">
        <v>4601004350625</v>
      </c>
    </row>
    <row r="2268" spans="1:26" ht="12" customHeight="1" outlineLevel="4" x14ac:dyDescent="0.2">
      <c r="A2268" s="14" t="s">
        <v>4472</v>
      </c>
      <c r="B2268" s="26" t="s">
        <v>4473</v>
      </c>
      <c r="C2268" s="52"/>
      <c r="D2268" s="55">
        <f t="shared" si="35"/>
        <v>0</v>
      </c>
      <c r="E2268" s="63" t="str">
        <f>HYPERLINK("https://www.sds-group.ru/product/trubka-termousazhivaemaya-tutng-ls-2-1-7-3-5-chernaya-rexant-20-7006/", "Инфо")</f>
        <v>Инфо</v>
      </c>
      <c r="F2268" s="16" t="s">
        <v>39</v>
      </c>
      <c r="G2268" s="15"/>
      <c r="H2268" s="15"/>
      <c r="I2268" s="15"/>
      <c r="J2268" s="16" t="s">
        <v>100</v>
      </c>
      <c r="K2268" s="15" t="s">
        <v>1004</v>
      </c>
      <c r="L2268" s="17">
        <v>50</v>
      </c>
      <c r="M2268" s="22">
        <v>1000</v>
      </c>
      <c r="N2268" s="17">
        <v>50</v>
      </c>
      <c r="O2268" s="18">
        <v>28.6</v>
      </c>
      <c r="P2268" s="18">
        <v>23.44</v>
      </c>
      <c r="Q2268" s="18">
        <v>26.03</v>
      </c>
      <c r="R2268" s="18">
        <v>21.34</v>
      </c>
      <c r="S2268" s="18">
        <v>19.45</v>
      </c>
      <c r="T2268" s="18">
        <v>15.94</v>
      </c>
      <c r="U2268" s="16"/>
      <c r="V2268" s="16"/>
      <c r="W2268" s="16" t="s">
        <v>40</v>
      </c>
      <c r="X2268" s="19">
        <v>8.9999999999999993E-3</v>
      </c>
      <c r="Y2268" s="20">
        <v>4.5000000000000003E-5</v>
      </c>
      <c r="Z2268" s="21">
        <v>4601004344914</v>
      </c>
    </row>
    <row r="2269" spans="1:26" ht="12" customHeight="1" outlineLevel="4" x14ac:dyDescent="0.2">
      <c r="A2269" s="14" t="s">
        <v>4474</v>
      </c>
      <c r="B2269" s="26" t="s">
        <v>4475</v>
      </c>
      <c r="C2269" s="52"/>
      <c r="D2269" s="55">
        <f t="shared" si="35"/>
        <v>0</v>
      </c>
      <c r="E2269" s="63" t="str">
        <f>HYPERLINK("https://www.sds-group.ru/product/trubka-termousazhivaemaya-tutng-ls-2-1-8-4-belaya-rexant-20-8001/", "Инфо")</f>
        <v>Инфо</v>
      </c>
      <c r="F2269" s="16" t="s">
        <v>39</v>
      </c>
      <c r="G2269" s="15"/>
      <c r="H2269" s="15"/>
      <c r="I2269" s="15"/>
      <c r="J2269" s="22">
        <v>12191</v>
      </c>
      <c r="K2269" s="15" t="s">
        <v>1519</v>
      </c>
      <c r="L2269" s="17">
        <v>50</v>
      </c>
      <c r="M2269" s="22">
        <v>1000</v>
      </c>
      <c r="N2269" s="17">
        <v>50</v>
      </c>
      <c r="O2269" s="18">
        <v>30.52</v>
      </c>
      <c r="P2269" s="18">
        <v>25.02</v>
      </c>
      <c r="Q2269" s="18">
        <v>27.77</v>
      </c>
      <c r="R2269" s="18">
        <v>22.76</v>
      </c>
      <c r="S2269" s="18">
        <v>20.75</v>
      </c>
      <c r="T2269" s="18">
        <v>17.010000000000002</v>
      </c>
      <c r="U2269" s="16"/>
      <c r="V2269" s="16"/>
      <c r="W2269" s="16" t="s">
        <v>40</v>
      </c>
      <c r="X2269" s="19">
        <v>1.2E-2</v>
      </c>
      <c r="Y2269" s="20">
        <v>6.6000000000000005E-5</v>
      </c>
      <c r="Z2269" s="21">
        <v>4601004350038</v>
      </c>
    </row>
    <row r="2270" spans="1:26" ht="12" customHeight="1" outlineLevel="4" x14ac:dyDescent="0.2">
      <c r="A2270" s="14" t="s">
        <v>4476</v>
      </c>
      <c r="B2270" s="26" t="s">
        <v>4477</v>
      </c>
      <c r="C2270" s="52"/>
      <c r="D2270" s="55">
        <f t="shared" si="35"/>
        <v>0</v>
      </c>
      <c r="E2270" s="63" t="str">
        <f>HYPERLINK("https://www.sds-group.ru/product/trubka-termousazhivaemaya-tutng-ls-2-1-8-4-zheltaya-rexant-20-8002/", "Инфо")</f>
        <v>Инфо</v>
      </c>
      <c r="F2270" s="16" t="s">
        <v>39</v>
      </c>
      <c r="G2270" s="15"/>
      <c r="H2270" s="15"/>
      <c r="I2270" s="15"/>
      <c r="J2270" s="22">
        <v>3650</v>
      </c>
      <c r="K2270" s="15" t="s">
        <v>4183</v>
      </c>
      <c r="L2270" s="17">
        <v>50</v>
      </c>
      <c r="M2270" s="22">
        <v>1000</v>
      </c>
      <c r="N2270" s="17">
        <v>50</v>
      </c>
      <c r="O2270" s="18">
        <v>30.52</v>
      </c>
      <c r="P2270" s="18">
        <v>25.02</v>
      </c>
      <c r="Q2270" s="18">
        <v>27.77</v>
      </c>
      <c r="R2270" s="18">
        <v>22.76</v>
      </c>
      <c r="S2270" s="18">
        <v>20.75</v>
      </c>
      <c r="T2270" s="18">
        <v>17.010000000000002</v>
      </c>
      <c r="U2270" s="16"/>
      <c r="V2270" s="16"/>
      <c r="W2270" s="16" t="s">
        <v>40</v>
      </c>
      <c r="X2270" s="19">
        <v>1.2E-2</v>
      </c>
      <c r="Y2270" s="20">
        <v>6.6000000000000005E-5</v>
      </c>
      <c r="Z2270" s="21">
        <v>4601004351363</v>
      </c>
    </row>
    <row r="2271" spans="1:26" ht="12" customHeight="1" outlineLevel="4" x14ac:dyDescent="0.2">
      <c r="A2271" s="14" t="s">
        <v>4478</v>
      </c>
      <c r="B2271" s="26" t="s">
        <v>4479</v>
      </c>
      <c r="C2271" s="52"/>
      <c r="D2271" s="55">
        <f t="shared" si="35"/>
        <v>0</v>
      </c>
      <c r="E2271" s="63" t="str">
        <f>HYPERLINK("https://www.sds-group.ru/product/trubka-termousazhivaemaya-tutng-ls-2-1-8-4-zhelto-zelenaya-rexant-20-8007/", "Инфо")</f>
        <v>Инфо</v>
      </c>
      <c r="F2271" s="16" t="s">
        <v>39</v>
      </c>
      <c r="G2271" s="15"/>
      <c r="H2271" s="15"/>
      <c r="I2271" s="15"/>
      <c r="J2271" s="22">
        <v>2950</v>
      </c>
      <c r="K2271" s="15" t="s">
        <v>1519</v>
      </c>
      <c r="L2271" s="17">
        <v>50</v>
      </c>
      <c r="M2271" s="22">
        <v>1000</v>
      </c>
      <c r="N2271" s="17">
        <v>50</v>
      </c>
      <c r="O2271" s="18">
        <v>43.68</v>
      </c>
      <c r="P2271" s="18">
        <v>35.799999999999997</v>
      </c>
      <c r="Q2271" s="18">
        <v>39.75</v>
      </c>
      <c r="R2271" s="18">
        <v>32.58</v>
      </c>
      <c r="S2271" s="18">
        <v>29.7</v>
      </c>
      <c r="T2271" s="18">
        <v>24.34</v>
      </c>
      <c r="U2271" s="16"/>
      <c r="V2271" s="16"/>
      <c r="W2271" s="16" t="s">
        <v>40</v>
      </c>
      <c r="X2271" s="19">
        <v>1.2E-2</v>
      </c>
      <c r="Y2271" s="20">
        <v>6.6000000000000005E-5</v>
      </c>
      <c r="Z2271" s="21">
        <v>4601004351813</v>
      </c>
    </row>
    <row r="2272" spans="1:26" ht="12" customHeight="1" outlineLevel="4" x14ac:dyDescent="0.2">
      <c r="A2272" s="14" t="s">
        <v>4480</v>
      </c>
      <c r="B2272" s="26" t="s">
        <v>4481</v>
      </c>
      <c r="C2272" s="52"/>
      <c r="D2272" s="55">
        <f t="shared" si="35"/>
        <v>0</v>
      </c>
      <c r="E2272" s="63" t="str">
        <f>HYPERLINK("https://www.sds-group.ru/product/trubka-termousazhivaemaya-tutng-ls-2-1-8-4-zelenaya-rexant-20-8003/", "Инфо")</f>
        <v>Инфо</v>
      </c>
      <c r="F2272" s="16" t="s">
        <v>39</v>
      </c>
      <c r="G2272" s="15"/>
      <c r="H2272" s="15"/>
      <c r="I2272" s="15"/>
      <c r="J2272" s="22">
        <v>6350</v>
      </c>
      <c r="K2272" s="15" t="s">
        <v>4183</v>
      </c>
      <c r="L2272" s="17">
        <v>50</v>
      </c>
      <c r="M2272" s="22">
        <v>1000</v>
      </c>
      <c r="N2272" s="17">
        <v>50</v>
      </c>
      <c r="O2272" s="18">
        <v>30.52</v>
      </c>
      <c r="P2272" s="18">
        <v>25.02</v>
      </c>
      <c r="Q2272" s="18">
        <v>27.77</v>
      </c>
      <c r="R2272" s="18">
        <v>22.76</v>
      </c>
      <c r="S2272" s="18">
        <v>20.75</v>
      </c>
      <c r="T2272" s="18">
        <v>17.010000000000002</v>
      </c>
      <c r="U2272" s="16"/>
      <c r="V2272" s="16"/>
      <c r="W2272" s="16" t="s">
        <v>40</v>
      </c>
      <c r="X2272" s="19">
        <v>1.2E-2</v>
      </c>
      <c r="Y2272" s="20">
        <v>6.6000000000000005E-5</v>
      </c>
      <c r="Z2272" s="21">
        <v>4601004350717</v>
      </c>
    </row>
    <row r="2273" spans="1:26" ht="12" customHeight="1" outlineLevel="4" x14ac:dyDescent="0.2">
      <c r="A2273" s="14" t="s">
        <v>4482</v>
      </c>
      <c r="B2273" s="26" t="s">
        <v>4483</v>
      </c>
      <c r="C2273" s="52"/>
      <c r="D2273" s="55">
        <f t="shared" si="35"/>
        <v>0</v>
      </c>
      <c r="E2273" s="63" t="str">
        <f>HYPERLINK("https://www.sds-group.ru/product/trubka-termousazhivaemaya-tutng-ls-2-1-8-4-krasnaya-rexant-20-8004/", "Инфо")</f>
        <v>Инфо</v>
      </c>
      <c r="F2273" s="16" t="s">
        <v>39</v>
      </c>
      <c r="G2273" s="15"/>
      <c r="H2273" s="15"/>
      <c r="I2273" s="15"/>
      <c r="J2273" s="22">
        <v>6600</v>
      </c>
      <c r="K2273" s="15" t="s">
        <v>1004</v>
      </c>
      <c r="L2273" s="17">
        <v>50</v>
      </c>
      <c r="M2273" s="22">
        <v>1000</v>
      </c>
      <c r="N2273" s="17">
        <v>50</v>
      </c>
      <c r="O2273" s="18">
        <v>30.52</v>
      </c>
      <c r="P2273" s="18">
        <v>25.02</v>
      </c>
      <c r="Q2273" s="18">
        <v>27.77</v>
      </c>
      <c r="R2273" s="18">
        <v>22.76</v>
      </c>
      <c r="S2273" s="18">
        <v>20.75</v>
      </c>
      <c r="T2273" s="18">
        <v>17.010000000000002</v>
      </c>
      <c r="U2273" s="16"/>
      <c r="V2273" s="16"/>
      <c r="W2273" s="16" t="s">
        <v>40</v>
      </c>
      <c r="X2273" s="19">
        <v>1.2E-2</v>
      </c>
      <c r="Y2273" s="20">
        <v>6.6000000000000005E-5</v>
      </c>
      <c r="Z2273" s="21">
        <v>4601004350342</v>
      </c>
    </row>
    <row r="2274" spans="1:26" ht="12" customHeight="1" outlineLevel="4" x14ac:dyDescent="0.2">
      <c r="A2274" s="14" t="s">
        <v>4484</v>
      </c>
      <c r="B2274" s="26" t="s">
        <v>4485</v>
      </c>
      <c r="C2274" s="52"/>
      <c r="D2274" s="55">
        <f t="shared" si="35"/>
        <v>0</v>
      </c>
      <c r="E2274" s="63" t="str">
        <f>HYPERLINK("https://www.sds-group.ru/product/trubka-termousazhivaemaya-tutng-ls-2-1-8-4-seraya-rexant-20-8010/", "Инфо")</f>
        <v>Инфо</v>
      </c>
      <c r="F2274" s="16" t="s">
        <v>39</v>
      </c>
      <c r="G2274" s="15"/>
      <c r="H2274" s="15"/>
      <c r="I2274" s="15"/>
      <c r="J2274" s="22">
        <v>1000</v>
      </c>
      <c r="K2274" s="15" t="s">
        <v>1004</v>
      </c>
      <c r="L2274" s="17">
        <v>50</v>
      </c>
      <c r="M2274" s="22">
        <v>1000</v>
      </c>
      <c r="N2274" s="17">
        <v>50</v>
      </c>
      <c r="O2274" s="18">
        <v>36.229999999999997</v>
      </c>
      <c r="P2274" s="18">
        <v>29.7</v>
      </c>
      <c r="Q2274" s="18">
        <v>32.97</v>
      </c>
      <c r="R2274" s="18">
        <v>27.02</v>
      </c>
      <c r="S2274" s="18">
        <v>24.64</v>
      </c>
      <c r="T2274" s="18">
        <v>20.2</v>
      </c>
      <c r="U2274" s="16"/>
      <c r="V2274" s="16"/>
      <c r="W2274" s="16" t="s">
        <v>40</v>
      </c>
      <c r="X2274" s="19">
        <v>1.2E-2</v>
      </c>
      <c r="Y2274" s="20">
        <v>6.6000000000000005E-5</v>
      </c>
      <c r="Z2274" s="21">
        <v>4601004350946</v>
      </c>
    </row>
    <row r="2275" spans="1:26" ht="12" customHeight="1" outlineLevel="4" x14ac:dyDescent="0.2">
      <c r="A2275" s="14" t="s">
        <v>4486</v>
      </c>
      <c r="B2275" s="26" t="s">
        <v>4487</v>
      </c>
      <c r="C2275" s="52"/>
      <c r="D2275" s="55">
        <f t="shared" si="35"/>
        <v>0</v>
      </c>
      <c r="E2275" s="63" t="str">
        <f>HYPERLINK("https://www.sds-group.ru/product/trubka-termousazhivaemaya-tutng-ls-2-1-8-4-sinyaya-rexant-20-8005/", "Инфо")</f>
        <v>Инфо</v>
      </c>
      <c r="F2275" s="16" t="s">
        <v>39</v>
      </c>
      <c r="G2275" s="15"/>
      <c r="H2275" s="15"/>
      <c r="I2275" s="15"/>
      <c r="J2275" s="22">
        <v>6500</v>
      </c>
      <c r="K2275" s="15" t="s">
        <v>1004</v>
      </c>
      <c r="L2275" s="17">
        <v>50</v>
      </c>
      <c r="M2275" s="22">
        <v>1000</v>
      </c>
      <c r="N2275" s="17">
        <v>50</v>
      </c>
      <c r="O2275" s="18">
        <v>30.52</v>
      </c>
      <c r="P2275" s="18">
        <v>25.02</v>
      </c>
      <c r="Q2275" s="18">
        <v>27.77</v>
      </c>
      <c r="R2275" s="18">
        <v>22.76</v>
      </c>
      <c r="S2275" s="18">
        <v>20.75</v>
      </c>
      <c r="T2275" s="18">
        <v>17.010000000000002</v>
      </c>
      <c r="U2275" s="16"/>
      <c r="V2275" s="16"/>
      <c r="W2275" s="16" t="s">
        <v>40</v>
      </c>
      <c r="X2275" s="19">
        <v>1.2E-2</v>
      </c>
      <c r="Y2275" s="20">
        <v>6.6000000000000005E-5</v>
      </c>
      <c r="Z2275" s="21">
        <v>4601004350526</v>
      </c>
    </row>
    <row r="2276" spans="1:26" ht="12" customHeight="1" outlineLevel="4" x14ac:dyDescent="0.2">
      <c r="A2276" s="14" t="s">
        <v>4488</v>
      </c>
      <c r="B2276" s="26" t="s">
        <v>4489</v>
      </c>
      <c r="C2276" s="52"/>
      <c r="D2276" s="55">
        <f t="shared" si="35"/>
        <v>0</v>
      </c>
      <c r="E2276" s="63" t="str">
        <f>HYPERLINK("https://www.sds-group.ru/product/trubka-termousazhivaemaya-tutng-ls-2-1-8-4-chernaya-rexant-20-8006/", "Инфо")</f>
        <v>Инфо</v>
      </c>
      <c r="F2276" s="16" t="s">
        <v>39</v>
      </c>
      <c r="G2276" s="15"/>
      <c r="H2276" s="15"/>
      <c r="I2276" s="15"/>
      <c r="J2276" s="17">
        <v>450</v>
      </c>
      <c r="K2276" s="15" t="s">
        <v>1004</v>
      </c>
      <c r="L2276" s="17">
        <v>50</v>
      </c>
      <c r="M2276" s="22">
        <v>1000</v>
      </c>
      <c r="N2276" s="17">
        <v>50</v>
      </c>
      <c r="O2276" s="18">
        <v>30.78</v>
      </c>
      <c r="P2276" s="18">
        <v>25.23</v>
      </c>
      <c r="Q2276" s="18">
        <v>28.01</v>
      </c>
      <c r="R2276" s="18">
        <v>22.96</v>
      </c>
      <c r="S2276" s="18">
        <v>20.93</v>
      </c>
      <c r="T2276" s="18">
        <v>17.16</v>
      </c>
      <c r="U2276" s="16"/>
      <c r="V2276" s="16"/>
      <c r="W2276" s="16" t="s">
        <v>40</v>
      </c>
      <c r="X2276" s="19">
        <v>1.2E-2</v>
      </c>
      <c r="Y2276" s="20">
        <v>6.6000000000000005E-5</v>
      </c>
      <c r="Z2276" s="21">
        <v>4601004345126</v>
      </c>
    </row>
    <row r="2277" spans="1:26" ht="12" customHeight="1" outlineLevel="4" x14ac:dyDescent="0.2">
      <c r="A2277" s="14" t="s">
        <v>4490</v>
      </c>
      <c r="B2277" s="26" t="s">
        <v>4491</v>
      </c>
      <c r="C2277" s="52"/>
      <c r="D2277" s="55">
        <f t="shared" si="35"/>
        <v>0</v>
      </c>
      <c r="E2277" s="63" t="str">
        <f>HYPERLINK("https://www.sds-group.ru/product/trubka-termousazhivaemaya-tutng-ls-2-1-80-40-chernaya-rexant-25-0080/", "Инфо")</f>
        <v>Инфо</v>
      </c>
      <c r="F2277" s="16" t="s">
        <v>39</v>
      </c>
      <c r="G2277" s="15"/>
      <c r="H2277" s="15"/>
      <c r="I2277" s="15"/>
      <c r="J2277" s="16" t="s">
        <v>100</v>
      </c>
      <c r="K2277" s="15" t="s">
        <v>1004</v>
      </c>
      <c r="L2277" s="17">
        <v>10</v>
      </c>
      <c r="M2277" s="17">
        <v>50</v>
      </c>
      <c r="N2277" s="17">
        <v>10</v>
      </c>
      <c r="O2277" s="18">
        <v>512.04</v>
      </c>
      <c r="P2277" s="18">
        <v>419.7</v>
      </c>
      <c r="Q2277" s="18">
        <v>440.35</v>
      </c>
      <c r="R2277" s="18">
        <v>360.94</v>
      </c>
      <c r="S2277" s="18">
        <v>348.19</v>
      </c>
      <c r="T2277" s="18">
        <v>285.39999999999998</v>
      </c>
      <c r="U2277" s="16"/>
      <c r="V2277" s="16"/>
      <c r="W2277" s="16" t="s">
        <v>40</v>
      </c>
      <c r="X2277" s="19">
        <v>0.193</v>
      </c>
      <c r="Y2277" s="20">
        <v>6.6699999999999995E-4</v>
      </c>
      <c r="Z2277" s="21">
        <v>4601004345027</v>
      </c>
    </row>
    <row r="2278" spans="1:26" ht="12" customHeight="1" outlineLevel="4" x14ac:dyDescent="0.2">
      <c r="A2278" s="14" t="s">
        <v>4492</v>
      </c>
      <c r="B2278" s="26" t="s">
        <v>4493</v>
      </c>
      <c r="C2278" s="52"/>
      <c r="D2278" s="55">
        <f t="shared" si="35"/>
        <v>0</v>
      </c>
      <c r="E2278" s="63" t="str">
        <f>HYPERLINK("https://www.sds-group.ru/product/trubka-termousazhivaemaya-tutng-ls-2-1-9-4-5-belaya-rexant-20-9001/", "Инфо")</f>
        <v>Инфо</v>
      </c>
      <c r="F2278" s="16" t="s">
        <v>39</v>
      </c>
      <c r="G2278" s="15"/>
      <c r="H2278" s="15"/>
      <c r="I2278" s="15"/>
      <c r="J2278" s="22">
        <v>6500</v>
      </c>
      <c r="K2278" s="15" t="s">
        <v>1004</v>
      </c>
      <c r="L2278" s="17">
        <v>50</v>
      </c>
      <c r="M2278" s="17">
        <v>800</v>
      </c>
      <c r="N2278" s="17">
        <v>50</v>
      </c>
      <c r="O2278" s="18">
        <v>33.46</v>
      </c>
      <c r="P2278" s="18">
        <v>27.43</v>
      </c>
      <c r="Q2278" s="18">
        <v>30.45</v>
      </c>
      <c r="R2278" s="18">
        <v>24.96</v>
      </c>
      <c r="S2278" s="18">
        <v>22.75</v>
      </c>
      <c r="T2278" s="18">
        <v>18.649999999999999</v>
      </c>
      <c r="U2278" s="16"/>
      <c r="V2278" s="16"/>
      <c r="W2278" s="16" t="s">
        <v>40</v>
      </c>
      <c r="X2278" s="19">
        <v>1.2E-2</v>
      </c>
      <c r="Y2278" s="20">
        <v>6.6000000000000005E-5</v>
      </c>
      <c r="Z2278" s="21">
        <v>4601004349926</v>
      </c>
    </row>
    <row r="2279" spans="1:26" ht="12" customHeight="1" outlineLevel="4" x14ac:dyDescent="0.2">
      <c r="A2279" s="14" t="s">
        <v>4494</v>
      </c>
      <c r="B2279" s="26" t="s">
        <v>4495</v>
      </c>
      <c r="C2279" s="52"/>
      <c r="D2279" s="55">
        <f t="shared" si="35"/>
        <v>0</v>
      </c>
      <c r="E2279" s="63" t="str">
        <f>HYPERLINK("https://www.sds-group.ru/product/trubka-termousazhivaemaya-tutng-ls-2-1-9-4-5-zheltaya-rexant-20-9002/", "Инфо")</f>
        <v>Инфо</v>
      </c>
      <c r="F2279" s="16" t="s">
        <v>39</v>
      </c>
      <c r="G2279" s="15"/>
      <c r="H2279" s="15"/>
      <c r="I2279" s="15"/>
      <c r="J2279" s="22">
        <v>1300</v>
      </c>
      <c r="K2279" s="15"/>
      <c r="L2279" s="17">
        <v>50</v>
      </c>
      <c r="M2279" s="22">
        <v>1000</v>
      </c>
      <c r="N2279" s="17">
        <v>50</v>
      </c>
      <c r="O2279" s="18">
        <v>33.46</v>
      </c>
      <c r="P2279" s="18">
        <v>27.43</v>
      </c>
      <c r="Q2279" s="18">
        <v>30.45</v>
      </c>
      <c r="R2279" s="18">
        <v>24.96</v>
      </c>
      <c r="S2279" s="18">
        <v>22.75</v>
      </c>
      <c r="T2279" s="18">
        <v>18.649999999999999</v>
      </c>
      <c r="U2279" s="16"/>
      <c r="V2279" s="16"/>
      <c r="W2279" s="16" t="s">
        <v>40</v>
      </c>
      <c r="X2279" s="19">
        <v>1.2E-2</v>
      </c>
      <c r="Y2279" s="20">
        <v>6.6000000000000005E-5</v>
      </c>
      <c r="Z2279" s="21">
        <v>4601004351325</v>
      </c>
    </row>
    <row r="2280" spans="1:26" ht="12" customHeight="1" outlineLevel="4" x14ac:dyDescent="0.2">
      <c r="A2280" s="14" t="s">
        <v>4496</v>
      </c>
      <c r="B2280" s="26" t="s">
        <v>4497</v>
      </c>
      <c r="C2280" s="52"/>
      <c r="D2280" s="55">
        <f t="shared" si="35"/>
        <v>0</v>
      </c>
      <c r="E2280" s="63" t="str">
        <f>HYPERLINK("https://www.sds-group.ru/product/trubka-termousazhivaemaya-tutng-ls-2-1-9-4-5-zelenaya-rexant-20-9003/", "Инфо")</f>
        <v>Инфо</v>
      </c>
      <c r="F2280" s="16" t="s">
        <v>39</v>
      </c>
      <c r="G2280" s="15"/>
      <c r="H2280" s="15"/>
      <c r="I2280" s="15"/>
      <c r="J2280" s="22">
        <v>1200</v>
      </c>
      <c r="K2280" s="15" t="s">
        <v>4183</v>
      </c>
      <c r="L2280" s="17">
        <v>50</v>
      </c>
      <c r="M2280" s="22">
        <v>1000</v>
      </c>
      <c r="N2280" s="17">
        <v>50</v>
      </c>
      <c r="O2280" s="18">
        <v>33.46</v>
      </c>
      <c r="P2280" s="18">
        <v>27.43</v>
      </c>
      <c r="Q2280" s="18">
        <v>30.45</v>
      </c>
      <c r="R2280" s="18">
        <v>24.96</v>
      </c>
      <c r="S2280" s="18">
        <v>22.75</v>
      </c>
      <c r="T2280" s="18">
        <v>18.649999999999999</v>
      </c>
      <c r="U2280" s="16"/>
      <c r="V2280" s="16"/>
      <c r="W2280" s="16" t="s">
        <v>40</v>
      </c>
      <c r="X2280" s="19">
        <v>1.2E-2</v>
      </c>
      <c r="Y2280" s="20">
        <v>6.6000000000000005E-5</v>
      </c>
      <c r="Z2280" s="21">
        <v>4601004350892</v>
      </c>
    </row>
    <row r="2281" spans="1:26" ht="12" customHeight="1" outlineLevel="4" x14ac:dyDescent="0.2">
      <c r="A2281" s="14" t="s">
        <v>4498</v>
      </c>
      <c r="B2281" s="26" t="s">
        <v>4499</v>
      </c>
      <c r="C2281" s="52"/>
      <c r="D2281" s="55">
        <f t="shared" si="35"/>
        <v>0</v>
      </c>
      <c r="E2281" s="63" t="str">
        <f>HYPERLINK("https://www.sds-group.ru/product/trubka-termousazhivaemaya-tutng-ls-2-1-9-4-5-krasnaya-rexant-20-9004/", "Инфо")</f>
        <v>Инфо</v>
      </c>
      <c r="F2281" s="16" t="s">
        <v>39</v>
      </c>
      <c r="G2281" s="15"/>
      <c r="H2281" s="15"/>
      <c r="I2281" s="15"/>
      <c r="J2281" s="22">
        <v>4300</v>
      </c>
      <c r="K2281" s="15"/>
      <c r="L2281" s="17">
        <v>50</v>
      </c>
      <c r="M2281" s="22">
        <v>1000</v>
      </c>
      <c r="N2281" s="17">
        <v>50</v>
      </c>
      <c r="O2281" s="18">
        <v>33.46</v>
      </c>
      <c r="P2281" s="18">
        <v>27.43</v>
      </c>
      <c r="Q2281" s="18">
        <v>30.45</v>
      </c>
      <c r="R2281" s="18">
        <v>24.96</v>
      </c>
      <c r="S2281" s="18">
        <v>22.75</v>
      </c>
      <c r="T2281" s="18">
        <v>18.649999999999999</v>
      </c>
      <c r="U2281" s="16"/>
      <c r="V2281" s="16"/>
      <c r="W2281" s="16" t="s">
        <v>40</v>
      </c>
      <c r="X2281" s="19">
        <v>1.2E-2</v>
      </c>
      <c r="Y2281" s="20">
        <v>6.6000000000000005E-5</v>
      </c>
      <c r="Z2281" s="21">
        <v>4601004350267</v>
      </c>
    </row>
    <row r="2282" spans="1:26" ht="12" customHeight="1" outlineLevel="4" x14ac:dyDescent="0.2">
      <c r="A2282" s="14" t="s">
        <v>4500</v>
      </c>
      <c r="B2282" s="26" t="s">
        <v>4501</v>
      </c>
      <c r="C2282" s="52"/>
      <c r="D2282" s="55">
        <f t="shared" si="35"/>
        <v>0</v>
      </c>
      <c r="E2282" s="63" t="str">
        <f>HYPERLINK("https://www.sds-group.ru/product/trubka-termousazhivaemaya-tutng-ls-2-1-9-4-5-sinyaya-rexant-20-9005/", "Инфо")</f>
        <v>Инфо</v>
      </c>
      <c r="F2282" s="16" t="s">
        <v>39</v>
      </c>
      <c r="G2282" s="15"/>
      <c r="H2282" s="15"/>
      <c r="I2282" s="15"/>
      <c r="J2282" s="22">
        <v>2900</v>
      </c>
      <c r="K2282" s="15"/>
      <c r="L2282" s="17">
        <v>50</v>
      </c>
      <c r="M2282" s="22">
        <v>1000</v>
      </c>
      <c r="N2282" s="17">
        <v>50</v>
      </c>
      <c r="O2282" s="18">
        <v>33.46</v>
      </c>
      <c r="P2282" s="18">
        <v>27.43</v>
      </c>
      <c r="Q2282" s="18">
        <v>30.45</v>
      </c>
      <c r="R2282" s="18">
        <v>24.96</v>
      </c>
      <c r="S2282" s="18">
        <v>22.75</v>
      </c>
      <c r="T2282" s="18">
        <v>18.649999999999999</v>
      </c>
      <c r="U2282" s="16"/>
      <c r="V2282" s="16"/>
      <c r="W2282" s="16" t="s">
        <v>40</v>
      </c>
      <c r="X2282" s="19">
        <v>1.2E-2</v>
      </c>
      <c r="Y2282" s="20">
        <v>6.6000000000000005E-5</v>
      </c>
      <c r="Z2282" s="21">
        <v>4601004350656</v>
      </c>
    </row>
    <row r="2283" spans="1:26" ht="12" customHeight="1" outlineLevel="4" x14ac:dyDescent="0.2">
      <c r="A2283" s="14" t="s">
        <v>4502</v>
      </c>
      <c r="B2283" s="26" t="s">
        <v>4503</v>
      </c>
      <c r="C2283" s="52"/>
      <c r="D2283" s="55">
        <f t="shared" si="35"/>
        <v>0</v>
      </c>
      <c r="E2283" s="63" t="str">
        <f>HYPERLINK("https://www.sds-group.ru/product/trubka-termousazhivaemaya-tutng-ls-2-1-9-4-5-chernaya-rexant-20-9006/", "Инфо")</f>
        <v>Инфо</v>
      </c>
      <c r="F2283" s="16" t="s">
        <v>39</v>
      </c>
      <c r="G2283" s="15"/>
      <c r="H2283" s="15"/>
      <c r="I2283" s="15"/>
      <c r="J2283" s="22">
        <v>6150</v>
      </c>
      <c r="K2283" s="15" t="s">
        <v>1004</v>
      </c>
      <c r="L2283" s="17">
        <v>50</v>
      </c>
      <c r="M2283" s="22">
        <v>1000</v>
      </c>
      <c r="N2283" s="17">
        <v>50</v>
      </c>
      <c r="O2283" s="18">
        <v>31.87</v>
      </c>
      <c r="P2283" s="18">
        <v>26.12</v>
      </c>
      <c r="Q2283" s="18">
        <v>29</v>
      </c>
      <c r="R2283" s="18">
        <v>23.77</v>
      </c>
      <c r="S2283" s="18">
        <v>21.67</v>
      </c>
      <c r="T2283" s="18">
        <v>17.760000000000002</v>
      </c>
      <c r="U2283" s="16"/>
      <c r="V2283" s="16"/>
      <c r="W2283" s="16" t="s">
        <v>40</v>
      </c>
      <c r="X2283" s="19">
        <v>1.2E-2</v>
      </c>
      <c r="Y2283" s="20">
        <v>6.6000000000000005E-5</v>
      </c>
      <c r="Z2283" s="21">
        <v>4601004345089</v>
      </c>
    </row>
    <row r="2284" spans="1:26" ht="12.95" customHeight="1" outlineLevel="3" x14ac:dyDescent="0.2">
      <c r="A2284" s="76" t="s">
        <v>4504</v>
      </c>
      <c r="B2284" s="76"/>
      <c r="C2284" s="77"/>
      <c r="D2284" s="58"/>
      <c r="E2284" s="68"/>
      <c r="F2284" s="13"/>
      <c r="G2284" s="13"/>
      <c r="H2284" s="13"/>
      <c r="I2284" s="13"/>
      <c r="J2284" s="13"/>
      <c r="K2284" s="13"/>
      <c r="L2284" s="13"/>
      <c r="M2284" s="13"/>
      <c r="N2284" s="13"/>
      <c r="O2284" s="13"/>
      <c r="P2284" s="13"/>
      <c r="Q2284" s="13"/>
      <c r="R2284" s="13"/>
      <c r="S2284" s="13"/>
      <c r="T2284" s="13"/>
      <c r="U2284" s="13"/>
      <c r="V2284" s="13"/>
      <c r="W2284" s="13"/>
      <c r="X2284" s="13"/>
      <c r="Y2284" s="13"/>
      <c r="Z2284" s="13"/>
    </row>
    <row r="2285" spans="1:26" ht="12" customHeight="1" outlineLevel="4" x14ac:dyDescent="0.2">
      <c r="A2285" s="32" t="s">
        <v>4505</v>
      </c>
      <c r="B2285" s="74" t="s">
        <v>4180</v>
      </c>
      <c r="C2285" s="50"/>
      <c r="D2285" s="53">
        <f t="shared" si="35"/>
        <v>0</v>
      </c>
      <c r="E2285" s="60" t="str">
        <f>HYPERLINK("https://www.sds-group.ru/product/trubka-termousazhivaemaya-tutng-ls-2-1-10-5-krasnaya-rexant-49-1004/", "Инфо")</f>
        <v>Инфо</v>
      </c>
      <c r="F2285" s="34" t="s">
        <v>1767</v>
      </c>
      <c r="G2285" s="33"/>
      <c r="H2285" s="33" t="s">
        <v>40</v>
      </c>
      <c r="I2285" s="33"/>
      <c r="J2285" s="39">
        <v>1400</v>
      </c>
      <c r="K2285" s="33"/>
      <c r="L2285" s="35">
        <v>100</v>
      </c>
      <c r="M2285" s="39">
        <v>1300</v>
      </c>
      <c r="N2285" s="35">
        <v>100</v>
      </c>
      <c r="O2285" s="36">
        <v>18.89</v>
      </c>
      <c r="P2285" s="36">
        <v>15.48</v>
      </c>
      <c r="Q2285" s="36">
        <v>13.22</v>
      </c>
      <c r="R2285" s="36">
        <v>10.84</v>
      </c>
      <c r="S2285" s="36">
        <v>12.85</v>
      </c>
      <c r="T2285" s="36">
        <v>10.53</v>
      </c>
      <c r="U2285" s="34"/>
      <c r="V2285" s="34"/>
      <c r="W2285" s="34"/>
      <c r="X2285" s="37">
        <v>1.2999999999999999E-2</v>
      </c>
      <c r="Y2285" s="38">
        <v>5.8999999999999998E-5</v>
      </c>
      <c r="Z2285" s="21">
        <v>4601004069848</v>
      </c>
    </row>
    <row r="2286" spans="1:26" ht="12" customHeight="1" outlineLevel="4" x14ac:dyDescent="0.2">
      <c r="A2286" s="14" t="s">
        <v>4506</v>
      </c>
      <c r="B2286" s="26" t="s">
        <v>4187</v>
      </c>
      <c r="C2286" s="52"/>
      <c r="D2286" s="55">
        <f t="shared" si="35"/>
        <v>0</v>
      </c>
      <c r="E2286" s="63" t="str">
        <f>HYPERLINK("https://www.sds-group.ru/product/trubka-termousazhivaemaya-tutng-ls-2-1-10-5-chernaya-rexant-49-1006/", "Инфо")</f>
        <v>Инфо</v>
      </c>
      <c r="F2286" s="16" t="s">
        <v>1767</v>
      </c>
      <c r="G2286" s="15"/>
      <c r="H2286" s="15"/>
      <c r="I2286" s="15"/>
      <c r="J2286" s="16" t="s">
        <v>100</v>
      </c>
      <c r="K2286" s="15" t="s">
        <v>4183</v>
      </c>
      <c r="L2286" s="17">
        <v>100</v>
      </c>
      <c r="M2286" s="22">
        <v>1200</v>
      </c>
      <c r="N2286" s="17">
        <v>100</v>
      </c>
      <c r="O2286" s="18">
        <v>28.4</v>
      </c>
      <c r="P2286" s="18">
        <v>23.28</v>
      </c>
      <c r="Q2286" s="18">
        <v>25.84</v>
      </c>
      <c r="R2286" s="18">
        <v>21.18</v>
      </c>
      <c r="S2286" s="18">
        <v>19.309999999999999</v>
      </c>
      <c r="T2286" s="18">
        <v>15.83</v>
      </c>
      <c r="U2286" s="16"/>
      <c r="V2286" s="16"/>
      <c r="W2286" s="16" t="s">
        <v>40</v>
      </c>
      <c r="X2286" s="19">
        <v>1.6E-2</v>
      </c>
      <c r="Y2286" s="20">
        <v>5.8E-5</v>
      </c>
      <c r="Z2286" s="21">
        <v>4601004069855</v>
      </c>
    </row>
    <row r="2287" spans="1:26" ht="12" customHeight="1" outlineLevel="4" x14ac:dyDescent="0.2">
      <c r="A2287" s="14" t="s">
        <v>4507</v>
      </c>
      <c r="B2287" s="26" t="s">
        <v>4205</v>
      </c>
      <c r="C2287" s="52"/>
      <c r="D2287" s="55">
        <f t="shared" si="35"/>
        <v>0</v>
      </c>
      <c r="E2287" s="63" t="str">
        <f>HYPERLINK("https://www.sds-group.ru/product/trubka-termousazhivaemaya-tutng-ls-2-1-12-6-chernaya-rexant-49-1206/", "Инфо")</f>
        <v>Инфо</v>
      </c>
      <c r="F2287" s="16" t="s">
        <v>1767</v>
      </c>
      <c r="G2287" s="15"/>
      <c r="H2287" s="15"/>
      <c r="I2287" s="15"/>
      <c r="J2287" s="16" t="s">
        <v>100</v>
      </c>
      <c r="K2287" s="15" t="s">
        <v>1004</v>
      </c>
      <c r="L2287" s="17">
        <v>100</v>
      </c>
      <c r="M2287" s="22">
        <v>1100</v>
      </c>
      <c r="N2287" s="17">
        <v>100</v>
      </c>
      <c r="O2287" s="18">
        <v>33.9</v>
      </c>
      <c r="P2287" s="18">
        <v>27.79</v>
      </c>
      <c r="Q2287" s="18">
        <v>30.85</v>
      </c>
      <c r="R2287" s="18">
        <v>25.29</v>
      </c>
      <c r="S2287" s="18">
        <v>23.05</v>
      </c>
      <c r="T2287" s="18">
        <v>18.89</v>
      </c>
      <c r="U2287" s="16"/>
      <c r="V2287" s="16"/>
      <c r="W2287" s="16" t="s">
        <v>40</v>
      </c>
      <c r="X2287" s="19">
        <v>2.1000000000000001E-2</v>
      </c>
      <c r="Y2287" s="20">
        <v>6.9999999999999994E-5</v>
      </c>
      <c r="Z2287" s="21">
        <v>4601004069862</v>
      </c>
    </row>
    <row r="2288" spans="1:26" ht="12" customHeight="1" outlineLevel="4" x14ac:dyDescent="0.2">
      <c r="A2288" s="14" t="s">
        <v>4508</v>
      </c>
      <c r="B2288" s="26" t="s">
        <v>4235</v>
      </c>
      <c r="C2288" s="52"/>
      <c r="D2288" s="55">
        <f t="shared" si="35"/>
        <v>0</v>
      </c>
      <c r="E2288" s="63" t="str">
        <f>HYPERLINK("https://www.sds-group.ru/product/trubka-termousazhivaemaya-tutng-ls-2-1-15-7-5-chernaya-rexant-49-1506/", "Инфо")</f>
        <v>Инфо</v>
      </c>
      <c r="F2288" s="16" t="s">
        <v>1767</v>
      </c>
      <c r="G2288" s="15"/>
      <c r="H2288" s="15"/>
      <c r="I2288" s="15"/>
      <c r="J2288" s="22">
        <v>7500</v>
      </c>
      <c r="K2288" s="15"/>
      <c r="L2288" s="17">
        <v>100</v>
      </c>
      <c r="M2288" s="17">
        <v>900</v>
      </c>
      <c r="N2288" s="17">
        <v>100</v>
      </c>
      <c r="O2288" s="18">
        <v>50.68</v>
      </c>
      <c r="P2288" s="18">
        <v>41.54</v>
      </c>
      <c r="Q2288" s="18">
        <v>46.12</v>
      </c>
      <c r="R2288" s="18">
        <v>37.799999999999997</v>
      </c>
      <c r="S2288" s="18">
        <v>34.46</v>
      </c>
      <c r="T2288" s="18">
        <v>28.25</v>
      </c>
      <c r="U2288" s="16"/>
      <c r="V2288" s="16"/>
      <c r="W2288" s="16" t="s">
        <v>40</v>
      </c>
      <c r="X2288" s="19">
        <v>2.5000000000000001E-2</v>
      </c>
      <c r="Y2288" s="20">
        <v>8.5000000000000006E-5</v>
      </c>
      <c r="Z2288" s="21">
        <v>4601004069879</v>
      </c>
    </row>
    <row r="2289" spans="1:26" ht="12" customHeight="1" outlineLevel="4" x14ac:dyDescent="0.2">
      <c r="A2289" s="14" t="s">
        <v>4509</v>
      </c>
      <c r="B2289" s="26" t="s">
        <v>4277</v>
      </c>
      <c r="C2289" s="52"/>
      <c r="D2289" s="55">
        <f t="shared" si="35"/>
        <v>0</v>
      </c>
      <c r="E2289" s="63" t="str">
        <f>HYPERLINK("https://www.sds-group.ru/product/trubka-termousazhivaemaya-tutng-ls-2-1-2-1-chernaya-rexant-49-0206/", "Инфо")</f>
        <v>Инфо</v>
      </c>
      <c r="F2289" s="16" t="s">
        <v>1767</v>
      </c>
      <c r="G2289" s="15"/>
      <c r="H2289" s="15"/>
      <c r="I2289" s="15"/>
      <c r="J2289" s="17">
        <v>200</v>
      </c>
      <c r="K2289" s="15" t="s">
        <v>4183</v>
      </c>
      <c r="L2289" s="17">
        <v>200</v>
      </c>
      <c r="M2289" s="22">
        <v>3000</v>
      </c>
      <c r="N2289" s="17">
        <v>200</v>
      </c>
      <c r="O2289" s="18">
        <v>8.67</v>
      </c>
      <c r="P2289" s="18">
        <v>7.11</v>
      </c>
      <c r="Q2289" s="18">
        <v>7.89</v>
      </c>
      <c r="R2289" s="18">
        <v>6.47</v>
      </c>
      <c r="S2289" s="18">
        <v>5.9</v>
      </c>
      <c r="T2289" s="18">
        <v>4.84</v>
      </c>
      <c r="U2289" s="16"/>
      <c r="V2289" s="16"/>
      <c r="W2289" s="16" t="s">
        <v>40</v>
      </c>
      <c r="X2289" s="19">
        <v>4.0000000000000001E-3</v>
      </c>
      <c r="Y2289" s="20">
        <v>3.3000000000000003E-5</v>
      </c>
      <c r="Z2289" s="21">
        <v>4601004069688</v>
      </c>
    </row>
    <row r="2290" spans="1:26" ht="12" customHeight="1" outlineLevel="4" x14ac:dyDescent="0.2">
      <c r="A2290" s="14" t="s">
        <v>4510</v>
      </c>
      <c r="B2290" s="26" t="s">
        <v>4347</v>
      </c>
      <c r="C2290" s="52"/>
      <c r="D2290" s="55">
        <f t="shared" si="35"/>
        <v>0</v>
      </c>
      <c r="E2290" s="63" t="str">
        <f>HYPERLINK("https://www.sds-group.ru/product/trubka-termousazhivaemaya-tutng-ls-2-1-3-1-5-chernaya-rexant-49-0306/", "Инфо")</f>
        <v>Инфо</v>
      </c>
      <c r="F2290" s="16" t="s">
        <v>1767</v>
      </c>
      <c r="G2290" s="15"/>
      <c r="H2290" s="15"/>
      <c r="I2290" s="15"/>
      <c r="J2290" s="16" t="s">
        <v>100</v>
      </c>
      <c r="K2290" s="15" t="s">
        <v>1004</v>
      </c>
      <c r="L2290" s="17">
        <v>200</v>
      </c>
      <c r="M2290" s="22">
        <v>2200</v>
      </c>
      <c r="N2290" s="17">
        <v>200</v>
      </c>
      <c r="O2290" s="18">
        <v>11.67</v>
      </c>
      <c r="P2290" s="18">
        <v>9.57</v>
      </c>
      <c r="Q2290" s="18">
        <v>10.62</v>
      </c>
      <c r="R2290" s="18">
        <v>8.6999999999999993</v>
      </c>
      <c r="S2290" s="18">
        <v>7.94</v>
      </c>
      <c r="T2290" s="18">
        <v>6.51</v>
      </c>
      <c r="U2290" s="16"/>
      <c r="V2290" s="16"/>
      <c r="W2290" s="16" t="s">
        <v>40</v>
      </c>
      <c r="X2290" s="19">
        <v>5.0000000000000001E-3</v>
      </c>
      <c r="Y2290" s="20">
        <v>4.5000000000000003E-5</v>
      </c>
      <c r="Z2290" s="21">
        <v>4601004069701</v>
      </c>
    </row>
    <row r="2291" spans="1:26" ht="12" customHeight="1" outlineLevel="4" x14ac:dyDescent="0.2">
      <c r="A2291" s="14" t="s">
        <v>4511</v>
      </c>
      <c r="B2291" s="26" t="s">
        <v>4391</v>
      </c>
      <c r="C2291" s="52"/>
      <c r="D2291" s="55">
        <f t="shared" si="35"/>
        <v>0</v>
      </c>
      <c r="E2291" s="63" t="str">
        <f>HYPERLINK("https://www.sds-group.ru/product/trubka-termousazhivaemaya-tutng-ls-2-1-4-2-chernaya-rexant-49-0406/", "Инфо")</f>
        <v>Инфо</v>
      </c>
      <c r="F2291" s="16" t="s">
        <v>1767</v>
      </c>
      <c r="G2291" s="15"/>
      <c r="H2291" s="15"/>
      <c r="I2291" s="15"/>
      <c r="J2291" s="22">
        <v>7200</v>
      </c>
      <c r="K2291" s="15" t="s">
        <v>1004</v>
      </c>
      <c r="L2291" s="17">
        <v>200</v>
      </c>
      <c r="M2291" s="22">
        <v>1600</v>
      </c>
      <c r="N2291" s="17">
        <v>200</v>
      </c>
      <c r="O2291" s="18">
        <v>14.83</v>
      </c>
      <c r="P2291" s="18">
        <v>12.16</v>
      </c>
      <c r="Q2291" s="18">
        <v>13.5</v>
      </c>
      <c r="R2291" s="18">
        <v>11.07</v>
      </c>
      <c r="S2291" s="18">
        <v>10.08</v>
      </c>
      <c r="T2291" s="18">
        <v>8.26</v>
      </c>
      <c r="U2291" s="16"/>
      <c r="V2291" s="16"/>
      <c r="W2291" s="16" t="s">
        <v>40</v>
      </c>
      <c r="X2291" s="19">
        <v>6.0000000000000001E-3</v>
      </c>
      <c r="Y2291" s="20">
        <v>7.1000000000000005E-5</v>
      </c>
      <c r="Z2291" s="21">
        <v>4601004069732</v>
      </c>
    </row>
    <row r="2292" spans="1:26" ht="12" customHeight="1" outlineLevel="4" x14ac:dyDescent="0.2">
      <c r="A2292" s="32" t="s">
        <v>4512</v>
      </c>
      <c r="B2292" s="74" t="s">
        <v>4413</v>
      </c>
      <c r="C2292" s="50"/>
      <c r="D2292" s="53">
        <f t="shared" si="35"/>
        <v>0</v>
      </c>
      <c r="E2292" s="60" t="str">
        <f>HYPERLINK("https://www.sds-group.ru/product/trubka-termousazhivaemaya-tutng-ls-2-1-5-2-5-krasnaya-rexant-49-0504/", "Инфо")</f>
        <v>Инфо</v>
      </c>
      <c r="F2292" s="34" t="s">
        <v>1767</v>
      </c>
      <c r="G2292" s="33"/>
      <c r="H2292" s="33" t="s">
        <v>40</v>
      </c>
      <c r="I2292" s="33"/>
      <c r="J2292" s="39">
        <v>4500</v>
      </c>
      <c r="K2292" s="33"/>
      <c r="L2292" s="35">
        <v>100</v>
      </c>
      <c r="M2292" s="39">
        <v>1000</v>
      </c>
      <c r="N2292" s="35">
        <v>100</v>
      </c>
      <c r="O2292" s="36">
        <v>8.5500000000000007</v>
      </c>
      <c r="P2292" s="36">
        <v>7.01</v>
      </c>
      <c r="Q2292" s="36">
        <v>5.99</v>
      </c>
      <c r="R2292" s="36">
        <v>4.91</v>
      </c>
      <c r="S2292" s="36">
        <v>5.81</v>
      </c>
      <c r="T2292" s="36">
        <v>4.76</v>
      </c>
      <c r="U2292" s="34"/>
      <c r="V2292" s="34"/>
      <c r="W2292" s="34"/>
      <c r="X2292" s="37">
        <v>7.0000000000000001E-3</v>
      </c>
      <c r="Y2292" s="38">
        <v>9.0000000000000006E-5</v>
      </c>
      <c r="Z2292" s="21">
        <v>4601004069749</v>
      </c>
    </row>
    <row r="2293" spans="1:26" ht="12" customHeight="1" outlineLevel="4" x14ac:dyDescent="0.2">
      <c r="A2293" s="14" t="s">
        <v>4513</v>
      </c>
      <c r="B2293" s="26" t="s">
        <v>4419</v>
      </c>
      <c r="C2293" s="52"/>
      <c r="D2293" s="55">
        <f t="shared" si="35"/>
        <v>0</v>
      </c>
      <c r="E2293" s="63" t="str">
        <f>HYPERLINK("https://www.sds-group.ru/product/trubka-termousazhivaemaya-tutng-ls-2-1-5-2-5-chernaya-rexant-49-0506/", "Инфо")</f>
        <v>Инфо</v>
      </c>
      <c r="F2293" s="16" t="s">
        <v>1767</v>
      </c>
      <c r="G2293" s="15"/>
      <c r="H2293" s="15"/>
      <c r="I2293" s="15"/>
      <c r="J2293" s="22">
        <v>13500</v>
      </c>
      <c r="K2293" s="15"/>
      <c r="L2293" s="17">
        <v>100</v>
      </c>
      <c r="M2293" s="22">
        <v>1000</v>
      </c>
      <c r="N2293" s="17">
        <v>100</v>
      </c>
      <c r="O2293" s="18">
        <v>20.18</v>
      </c>
      <c r="P2293" s="18">
        <v>16.54</v>
      </c>
      <c r="Q2293" s="18">
        <v>18.36</v>
      </c>
      <c r="R2293" s="18">
        <v>15.05</v>
      </c>
      <c r="S2293" s="18">
        <v>13.72</v>
      </c>
      <c r="T2293" s="18">
        <v>11.25</v>
      </c>
      <c r="U2293" s="16"/>
      <c r="V2293" s="16"/>
      <c r="W2293" s="16" t="s">
        <v>40</v>
      </c>
      <c r="X2293" s="19">
        <v>1.0999999999999999E-2</v>
      </c>
      <c r="Y2293" s="20">
        <v>1E-4</v>
      </c>
      <c r="Z2293" s="21">
        <v>4601004069763</v>
      </c>
    </row>
    <row r="2294" spans="1:26" ht="12" customHeight="1" outlineLevel="4" x14ac:dyDescent="0.2">
      <c r="A2294" s="14" t="s">
        <v>4514</v>
      </c>
      <c r="B2294" s="26" t="s">
        <v>4449</v>
      </c>
      <c r="C2294" s="52"/>
      <c r="D2294" s="55">
        <f t="shared" si="35"/>
        <v>0</v>
      </c>
      <c r="E2294" s="63" t="str">
        <f>HYPERLINK("https://www.sds-group.ru/product/trubka-termousazhivaemaya-tutng-ls-2-1-6-3-chernaya-rexant-49-0606/", "Инфо")</f>
        <v>Инфо</v>
      </c>
      <c r="F2294" s="16" t="s">
        <v>1767</v>
      </c>
      <c r="G2294" s="15"/>
      <c r="H2294" s="15"/>
      <c r="I2294" s="15"/>
      <c r="J2294" s="22">
        <v>51900</v>
      </c>
      <c r="K2294" s="15" t="s">
        <v>4183</v>
      </c>
      <c r="L2294" s="17">
        <v>100</v>
      </c>
      <c r="M2294" s="17">
        <v>800</v>
      </c>
      <c r="N2294" s="17">
        <v>100</v>
      </c>
      <c r="O2294" s="18">
        <v>21.44</v>
      </c>
      <c r="P2294" s="18">
        <v>17.57</v>
      </c>
      <c r="Q2294" s="18">
        <v>19.510000000000002</v>
      </c>
      <c r="R2294" s="18">
        <v>15.99</v>
      </c>
      <c r="S2294" s="18">
        <v>14.58</v>
      </c>
      <c r="T2294" s="18">
        <v>11.95</v>
      </c>
      <c r="U2294" s="16"/>
      <c r="V2294" s="16"/>
      <c r="W2294" s="16" t="s">
        <v>40</v>
      </c>
      <c r="X2294" s="19">
        <v>1.4E-2</v>
      </c>
      <c r="Y2294" s="20">
        <v>1.26E-4</v>
      </c>
      <c r="Z2294" s="21">
        <v>4601004069794</v>
      </c>
    </row>
    <row r="2295" spans="1:26" ht="12" customHeight="1" outlineLevel="4" x14ac:dyDescent="0.2">
      <c r="A2295" s="32" t="s">
        <v>4515</v>
      </c>
      <c r="B2295" s="74" t="s">
        <v>4483</v>
      </c>
      <c r="C2295" s="50"/>
      <c r="D2295" s="53">
        <f t="shared" si="35"/>
        <v>0</v>
      </c>
      <c r="E2295" s="60" t="str">
        <f>HYPERLINK("https://www.sds-group.ru/product/trubka-termousazhivaemaya-tutng-ls-2-1-8-4-krasnaya-rexant-49-0804/", "Инфо")</f>
        <v>Инфо</v>
      </c>
      <c r="F2295" s="34" t="s">
        <v>1767</v>
      </c>
      <c r="G2295" s="33"/>
      <c r="H2295" s="33" t="s">
        <v>40</v>
      </c>
      <c r="I2295" s="33"/>
      <c r="J2295" s="39">
        <v>2400</v>
      </c>
      <c r="K2295" s="33"/>
      <c r="L2295" s="35">
        <v>100</v>
      </c>
      <c r="M2295" s="39">
        <v>1400</v>
      </c>
      <c r="N2295" s="35">
        <v>100</v>
      </c>
      <c r="O2295" s="36">
        <v>16.93</v>
      </c>
      <c r="P2295" s="36">
        <v>13.88</v>
      </c>
      <c r="Q2295" s="36">
        <v>11.85</v>
      </c>
      <c r="R2295" s="36">
        <v>9.7100000000000009</v>
      </c>
      <c r="S2295" s="36">
        <v>11.51</v>
      </c>
      <c r="T2295" s="36">
        <v>9.43</v>
      </c>
      <c r="U2295" s="34"/>
      <c r="V2295" s="34"/>
      <c r="W2295" s="34"/>
      <c r="X2295" s="37">
        <v>1.4E-2</v>
      </c>
      <c r="Y2295" s="38">
        <v>5.1E-5</v>
      </c>
      <c r="Z2295" s="21">
        <v>4601004069817</v>
      </c>
    </row>
    <row r="2296" spans="1:26" ht="12" customHeight="1" outlineLevel="4" x14ac:dyDescent="0.2">
      <c r="A2296" s="14" t="s">
        <v>4516</v>
      </c>
      <c r="B2296" s="26" t="s">
        <v>4489</v>
      </c>
      <c r="C2296" s="52"/>
      <c r="D2296" s="55">
        <f t="shared" si="35"/>
        <v>0</v>
      </c>
      <c r="E2296" s="63" t="str">
        <f>HYPERLINK("https://www.sds-group.ru/product/trubka-termousazhivaemaya-tutng-ls-2-1-8-4-chernaya-rexant-49-0806/", "Инфо")</f>
        <v>Инфо</v>
      </c>
      <c r="F2296" s="16" t="s">
        <v>1767</v>
      </c>
      <c r="G2296" s="15"/>
      <c r="H2296" s="15"/>
      <c r="I2296" s="15"/>
      <c r="J2296" s="22">
        <v>22300</v>
      </c>
      <c r="K2296" s="15" t="s">
        <v>1004</v>
      </c>
      <c r="L2296" s="17">
        <v>100</v>
      </c>
      <c r="M2296" s="22">
        <v>1400</v>
      </c>
      <c r="N2296" s="17">
        <v>100</v>
      </c>
      <c r="O2296" s="18">
        <v>24.32</v>
      </c>
      <c r="P2296" s="18">
        <v>19.93</v>
      </c>
      <c r="Q2296" s="18">
        <v>22.13</v>
      </c>
      <c r="R2296" s="18">
        <v>18.14</v>
      </c>
      <c r="S2296" s="18">
        <v>16.54</v>
      </c>
      <c r="T2296" s="18">
        <v>13.56</v>
      </c>
      <c r="U2296" s="16"/>
      <c r="V2296" s="16"/>
      <c r="W2296" s="16" t="s">
        <v>40</v>
      </c>
      <c r="X2296" s="19">
        <v>1.4E-2</v>
      </c>
      <c r="Y2296" s="20">
        <v>5.1E-5</v>
      </c>
      <c r="Z2296" s="21">
        <v>4601004069824</v>
      </c>
    </row>
    <row r="2297" spans="1:26" ht="12.95" customHeight="1" outlineLevel="3" x14ac:dyDescent="0.2">
      <c r="A2297" s="76" t="s">
        <v>4517</v>
      </c>
      <c r="B2297" s="76"/>
      <c r="C2297" s="77"/>
      <c r="D2297" s="58"/>
      <c r="E2297" s="68"/>
      <c r="F2297" s="13"/>
      <c r="G2297" s="13"/>
      <c r="H2297" s="13"/>
      <c r="I2297" s="13"/>
      <c r="J2297" s="13"/>
      <c r="K2297" s="13"/>
      <c r="L2297" s="13"/>
      <c r="M2297" s="13"/>
      <c r="N2297" s="13"/>
      <c r="O2297" s="13"/>
      <c r="P2297" s="13"/>
      <c r="Q2297" s="13"/>
      <c r="R2297" s="13"/>
      <c r="S2297" s="13"/>
      <c r="T2297" s="13"/>
      <c r="U2297" s="13"/>
      <c r="V2297" s="13"/>
      <c r="W2297" s="13"/>
      <c r="X2297" s="13"/>
      <c r="Y2297" s="13"/>
      <c r="Z2297" s="13"/>
    </row>
    <row r="2298" spans="1:26" ht="12" customHeight="1" outlineLevel="4" x14ac:dyDescent="0.2">
      <c r="A2298" s="14" t="s">
        <v>4518</v>
      </c>
      <c r="B2298" s="26" t="s">
        <v>4519</v>
      </c>
      <c r="C2298" s="52"/>
      <c r="D2298" s="55">
        <f t="shared" si="35"/>
        <v>0</v>
      </c>
      <c r="E2298" s="63" t="str">
        <f>HYPERLINK("https://www.sds-group.ru/product/trubka-termousazhivaemaya-kleevaya-ttk-2-1-12-7-6-4-chernaya-rexant-26-2105/", "Инфо")</f>
        <v>Инфо</v>
      </c>
      <c r="F2298" s="16" t="s">
        <v>39</v>
      </c>
      <c r="G2298" s="15"/>
      <c r="H2298" s="15"/>
      <c r="I2298" s="15"/>
      <c r="J2298" s="17">
        <v>330</v>
      </c>
      <c r="K2298" s="15" t="s">
        <v>4029</v>
      </c>
      <c r="L2298" s="17">
        <v>10</v>
      </c>
      <c r="M2298" s="17">
        <v>150</v>
      </c>
      <c r="N2298" s="17">
        <v>10</v>
      </c>
      <c r="O2298" s="18">
        <v>120.44</v>
      </c>
      <c r="P2298" s="18">
        <v>98.72</v>
      </c>
      <c r="Q2298" s="18">
        <v>109.6</v>
      </c>
      <c r="R2298" s="18">
        <v>89.84</v>
      </c>
      <c r="S2298" s="18">
        <v>81.900000000000006</v>
      </c>
      <c r="T2298" s="18">
        <v>67.13</v>
      </c>
      <c r="U2298" s="16"/>
      <c r="V2298" s="16"/>
      <c r="W2298" s="16" t="s">
        <v>40</v>
      </c>
      <c r="X2298" s="19">
        <v>3.5999999999999997E-2</v>
      </c>
      <c r="Y2298" s="20">
        <v>2.22E-4</v>
      </c>
      <c r="Z2298" s="21">
        <v>4601004345287</v>
      </c>
    </row>
    <row r="2299" spans="1:26" ht="12" customHeight="1" outlineLevel="4" x14ac:dyDescent="0.2">
      <c r="A2299" s="14" t="s">
        <v>4520</v>
      </c>
      <c r="B2299" s="26" t="s">
        <v>4521</v>
      </c>
      <c r="C2299" s="52"/>
      <c r="D2299" s="55">
        <f t="shared" si="35"/>
        <v>0</v>
      </c>
      <c r="E2299" s="63" t="str">
        <f>HYPERLINK("https://www.sds-group.ru/product/trubka-termousazhivaemaya-kleevaya-ttk-2-1-15-9-7-9-chernaya-rexant-26-2106/", "Инфо")</f>
        <v>Инфо</v>
      </c>
      <c r="F2299" s="16" t="s">
        <v>39</v>
      </c>
      <c r="G2299" s="15"/>
      <c r="H2299" s="15"/>
      <c r="I2299" s="15"/>
      <c r="J2299" s="16" t="s">
        <v>100</v>
      </c>
      <c r="K2299" s="15" t="s">
        <v>4013</v>
      </c>
      <c r="L2299" s="17">
        <v>10</v>
      </c>
      <c r="M2299" s="17">
        <v>120</v>
      </c>
      <c r="N2299" s="17">
        <v>10</v>
      </c>
      <c r="O2299" s="18">
        <v>200.76</v>
      </c>
      <c r="P2299" s="18">
        <v>164.56</v>
      </c>
      <c r="Q2299" s="18">
        <v>182.69</v>
      </c>
      <c r="R2299" s="18">
        <v>149.75</v>
      </c>
      <c r="S2299" s="18">
        <v>136.52000000000001</v>
      </c>
      <c r="T2299" s="18">
        <v>111.9</v>
      </c>
      <c r="U2299" s="16"/>
      <c r="V2299" s="16"/>
      <c r="W2299" s="16" t="s">
        <v>40</v>
      </c>
      <c r="X2299" s="19">
        <v>0.04</v>
      </c>
      <c r="Y2299" s="20">
        <v>3.1E-4</v>
      </c>
      <c r="Z2299" s="21">
        <v>4601004345263</v>
      </c>
    </row>
    <row r="2300" spans="1:26" ht="12" customHeight="1" outlineLevel="4" x14ac:dyDescent="0.2">
      <c r="A2300" s="14" t="s">
        <v>4522</v>
      </c>
      <c r="B2300" s="26" t="s">
        <v>4523</v>
      </c>
      <c r="C2300" s="52"/>
      <c r="D2300" s="55">
        <f t="shared" si="35"/>
        <v>0</v>
      </c>
      <c r="E2300" s="63" t="str">
        <f>HYPERLINK("https://www.sds-group.ru/product/trubka-termousazhivaemaya-kleevaya-ttk-2-1-19-1-9-5-chernaya-rexant-26-2107/", "Инфо")</f>
        <v>Инфо</v>
      </c>
      <c r="F2300" s="16" t="s">
        <v>39</v>
      </c>
      <c r="G2300" s="15"/>
      <c r="H2300" s="15"/>
      <c r="I2300" s="15"/>
      <c r="J2300" s="16" t="s">
        <v>100</v>
      </c>
      <c r="K2300" s="15" t="s">
        <v>4013</v>
      </c>
      <c r="L2300" s="17">
        <v>10</v>
      </c>
      <c r="M2300" s="17">
        <v>100</v>
      </c>
      <c r="N2300" s="17">
        <v>10</v>
      </c>
      <c r="O2300" s="18">
        <v>206.66</v>
      </c>
      <c r="P2300" s="18">
        <v>169.39</v>
      </c>
      <c r="Q2300" s="18">
        <v>188.06</v>
      </c>
      <c r="R2300" s="18">
        <v>154.15</v>
      </c>
      <c r="S2300" s="18">
        <v>140.53</v>
      </c>
      <c r="T2300" s="18">
        <v>115.19</v>
      </c>
      <c r="U2300" s="16"/>
      <c r="V2300" s="16"/>
      <c r="W2300" s="16" t="s">
        <v>40</v>
      </c>
      <c r="X2300" s="19">
        <v>0.05</v>
      </c>
      <c r="Y2300" s="20">
        <v>3.3300000000000002E-4</v>
      </c>
      <c r="Z2300" s="21">
        <v>4601004345270</v>
      </c>
    </row>
    <row r="2301" spans="1:26" ht="12" customHeight="1" outlineLevel="4" x14ac:dyDescent="0.2">
      <c r="A2301" s="14" t="s">
        <v>4524</v>
      </c>
      <c r="B2301" s="26" t="s">
        <v>4525</v>
      </c>
      <c r="C2301" s="52"/>
      <c r="D2301" s="55">
        <f t="shared" si="35"/>
        <v>0</v>
      </c>
      <c r="E2301" s="63" t="str">
        <f>HYPERLINK("https://www.sds-group.ru/product/trubka-termousazhivaemaya-kleevaya-ttk-2-1-25-4-12-7-chernaya-rexant-26-2108/", "Инфо")</f>
        <v>Инфо</v>
      </c>
      <c r="F2301" s="16" t="s">
        <v>39</v>
      </c>
      <c r="G2301" s="15"/>
      <c r="H2301" s="15"/>
      <c r="I2301" s="15"/>
      <c r="J2301" s="16" t="s">
        <v>100</v>
      </c>
      <c r="K2301" s="15" t="s">
        <v>4013</v>
      </c>
      <c r="L2301" s="17">
        <v>5</v>
      </c>
      <c r="M2301" s="17">
        <v>100</v>
      </c>
      <c r="N2301" s="17">
        <v>5</v>
      </c>
      <c r="O2301" s="18">
        <v>308.49</v>
      </c>
      <c r="P2301" s="18">
        <v>252.86</v>
      </c>
      <c r="Q2301" s="18">
        <v>280.73</v>
      </c>
      <c r="R2301" s="18">
        <v>230.11</v>
      </c>
      <c r="S2301" s="18">
        <v>209.77</v>
      </c>
      <c r="T2301" s="18">
        <v>171.94</v>
      </c>
      <c r="U2301" s="16"/>
      <c r="V2301" s="16"/>
      <c r="W2301" s="16" t="s">
        <v>40</v>
      </c>
      <c r="X2301" s="19">
        <v>6.5000000000000002E-2</v>
      </c>
      <c r="Y2301" s="20">
        <v>3.3500000000000001E-4</v>
      </c>
      <c r="Z2301" s="21">
        <v>4601004345218</v>
      </c>
    </row>
    <row r="2302" spans="1:26" ht="12" customHeight="1" outlineLevel="4" x14ac:dyDescent="0.2">
      <c r="A2302" s="14" t="s">
        <v>4526</v>
      </c>
      <c r="B2302" s="26" t="s">
        <v>4527</v>
      </c>
      <c r="C2302" s="52"/>
      <c r="D2302" s="55">
        <f t="shared" si="35"/>
        <v>0</v>
      </c>
      <c r="E2302" s="63" t="str">
        <f>HYPERLINK("https://www.sds-group.ru/product/trubka-termousazhivaemaya-kleevaya-ttk-2-1-3-2-1-6-chernaya-rexant-26-2101/", "Инфо")</f>
        <v>Инфо</v>
      </c>
      <c r="F2302" s="16" t="s">
        <v>39</v>
      </c>
      <c r="G2302" s="15"/>
      <c r="H2302" s="15"/>
      <c r="I2302" s="15"/>
      <c r="J2302" s="16" t="s">
        <v>100</v>
      </c>
      <c r="K2302" s="15" t="s">
        <v>4013</v>
      </c>
      <c r="L2302" s="17">
        <v>10</v>
      </c>
      <c r="M2302" s="17">
        <v>720</v>
      </c>
      <c r="N2302" s="17">
        <v>10</v>
      </c>
      <c r="O2302" s="18">
        <v>30.52</v>
      </c>
      <c r="P2302" s="18">
        <v>25.02</v>
      </c>
      <c r="Q2302" s="18">
        <v>27.77</v>
      </c>
      <c r="R2302" s="18">
        <v>22.76</v>
      </c>
      <c r="S2302" s="18">
        <v>20.75</v>
      </c>
      <c r="T2302" s="18">
        <v>17.010000000000002</v>
      </c>
      <c r="U2302" s="16"/>
      <c r="V2302" s="16"/>
      <c r="W2302" s="16" t="s">
        <v>40</v>
      </c>
      <c r="X2302" s="19">
        <v>8.9999999999999993E-3</v>
      </c>
      <c r="Y2302" s="20">
        <v>4.8000000000000001E-5</v>
      </c>
      <c r="Z2302" s="21">
        <v>4601004345195</v>
      </c>
    </row>
    <row r="2303" spans="1:26" ht="12" customHeight="1" outlineLevel="4" x14ac:dyDescent="0.2">
      <c r="A2303" s="14" t="s">
        <v>4528</v>
      </c>
      <c r="B2303" s="26" t="s">
        <v>4529</v>
      </c>
      <c r="C2303" s="52"/>
      <c r="D2303" s="55">
        <f t="shared" si="35"/>
        <v>0</v>
      </c>
      <c r="E2303" s="63" t="str">
        <f>HYPERLINK("https://www.sds-group.ru/product/trubka-termousazhivaemaya-kleevaya-ttk-2-1-38-1-19-5-chernaya-rexant-26-2109/", "Инфо")</f>
        <v>Инфо</v>
      </c>
      <c r="F2303" s="16" t="s">
        <v>39</v>
      </c>
      <c r="G2303" s="15"/>
      <c r="H2303" s="15"/>
      <c r="I2303" s="15"/>
      <c r="J2303" s="16" t="s">
        <v>100</v>
      </c>
      <c r="K2303" s="15" t="s">
        <v>4013</v>
      </c>
      <c r="L2303" s="17">
        <v>4</v>
      </c>
      <c r="M2303" s="17">
        <v>48</v>
      </c>
      <c r="N2303" s="17">
        <v>4</v>
      </c>
      <c r="O2303" s="18">
        <v>437.09</v>
      </c>
      <c r="P2303" s="18">
        <v>358.27</v>
      </c>
      <c r="Q2303" s="18">
        <v>375.9</v>
      </c>
      <c r="R2303" s="18">
        <v>308.11</v>
      </c>
      <c r="S2303" s="18">
        <v>297.22000000000003</v>
      </c>
      <c r="T2303" s="18">
        <v>243.62</v>
      </c>
      <c r="U2303" s="16"/>
      <c r="V2303" s="16"/>
      <c r="W2303" s="16" t="s">
        <v>40</v>
      </c>
      <c r="X2303" s="19">
        <v>0.47299999999999998</v>
      </c>
      <c r="Y2303" s="20">
        <v>7.2900000000000005E-4</v>
      </c>
      <c r="Z2303" s="21">
        <v>4601004345256</v>
      </c>
    </row>
    <row r="2304" spans="1:26" ht="12" customHeight="1" outlineLevel="4" x14ac:dyDescent="0.2">
      <c r="A2304" s="14" t="s">
        <v>4530</v>
      </c>
      <c r="B2304" s="26" t="s">
        <v>4531</v>
      </c>
      <c r="C2304" s="52"/>
      <c r="D2304" s="55">
        <f t="shared" si="35"/>
        <v>0</v>
      </c>
      <c r="E2304" s="63" t="str">
        <f>HYPERLINK("https://www.sds-group.ru/product/trubka-termousazhivaemaya-kleevaya-ttk-2-1-4-8-2-4-chernaya-rexant-26-2102/", "Инфо")</f>
        <v>Инфо</v>
      </c>
      <c r="F2304" s="16" t="s">
        <v>39</v>
      </c>
      <c r="G2304" s="15"/>
      <c r="H2304" s="15"/>
      <c r="I2304" s="15"/>
      <c r="J2304" s="17">
        <v>5</v>
      </c>
      <c r="K2304" s="15" t="s">
        <v>4013</v>
      </c>
      <c r="L2304" s="17">
        <v>10</v>
      </c>
      <c r="M2304" s="17">
        <v>400</v>
      </c>
      <c r="N2304" s="17">
        <v>10</v>
      </c>
      <c r="O2304" s="18">
        <v>39.340000000000003</v>
      </c>
      <c r="P2304" s="18">
        <v>32.25</v>
      </c>
      <c r="Q2304" s="18">
        <v>35.799999999999997</v>
      </c>
      <c r="R2304" s="18">
        <v>29.34</v>
      </c>
      <c r="S2304" s="18">
        <v>26.75</v>
      </c>
      <c r="T2304" s="18">
        <v>21.93</v>
      </c>
      <c r="U2304" s="16"/>
      <c r="V2304" s="16"/>
      <c r="W2304" s="16" t="s">
        <v>40</v>
      </c>
      <c r="X2304" s="19">
        <v>1.4999999999999999E-2</v>
      </c>
      <c r="Y2304" s="20">
        <v>8.5000000000000006E-5</v>
      </c>
      <c r="Z2304" s="21">
        <v>4601004345232</v>
      </c>
    </row>
    <row r="2305" spans="1:26" ht="12" customHeight="1" outlineLevel="4" x14ac:dyDescent="0.2">
      <c r="A2305" s="14" t="s">
        <v>4532</v>
      </c>
      <c r="B2305" s="26" t="s">
        <v>4533</v>
      </c>
      <c r="C2305" s="52"/>
      <c r="D2305" s="55">
        <f t="shared" si="35"/>
        <v>0</v>
      </c>
      <c r="E2305" s="63" t="str">
        <f>HYPERLINK("https://www.sds-group.ru/product/trubka-termousazhivaemaya-kleevaya-ttk-2-1-50-8-25-4-chernaya-rexant-26-2110/", "Инфо")</f>
        <v>Инфо</v>
      </c>
      <c r="F2305" s="16" t="s">
        <v>39</v>
      </c>
      <c r="G2305" s="15"/>
      <c r="H2305" s="15"/>
      <c r="I2305" s="15"/>
      <c r="J2305" s="17">
        <v>990</v>
      </c>
      <c r="K2305" s="15" t="s">
        <v>4029</v>
      </c>
      <c r="L2305" s="17">
        <v>2</v>
      </c>
      <c r="M2305" s="17">
        <v>32</v>
      </c>
      <c r="N2305" s="17">
        <v>2</v>
      </c>
      <c r="O2305" s="18">
        <v>642.14</v>
      </c>
      <c r="P2305" s="18">
        <v>526.34</v>
      </c>
      <c r="Q2305" s="18">
        <v>552.24</v>
      </c>
      <c r="R2305" s="18">
        <v>452.66</v>
      </c>
      <c r="S2305" s="18">
        <v>436.66</v>
      </c>
      <c r="T2305" s="18">
        <v>357.92</v>
      </c>
      <c r="U2305" s="16"/>
      <c r="V2305" s="16"/>
      <c r="W2305" s="16" t="s">
        <v>40</v>
      </c>
      <c r="X2305" s="19">
        <v>0.183</v>
      </c>
      <c r="Y2305" s="20">
        <v>1.016E-3</v>
      </c>
      <c r="Z2305" s="21">
        <v>4601004345249</v>
      </c>
    </row>
    <row r="2306" spans="1:26" ht="12" customHeight="1" outlineLevel="4" x14ac:dyDescent="0.2">
      <c r="A2306" s="14" t="s">
        <v>4534</v>
      </c>
      <c r="B2306" s="26" t="s">
        <v>4535</v>
      </c>
      <c r="C2306" s="52"/>
      <c r="D2306" s="55">
        <f t="shared" si="35"/>
        <v>0</v>
      </c>
      <c r="E2306" s="63" t="str">
        <f>HYPERLINK("https://www.sds-group.ru/product/trubka-termousazhivaemaya-kleevaya-ttk-2-1-6-4-3-2-chernaya-rexant-26-2103/", "Инфо")</f>
        <v>Инфо</v>
      </c>
      <c r="F2306" s="16" t="s">
        <v>39</v>
      </c>
      <c r="G2306" s="15"/>
      <c r="H2306" s="15"/>
      <c r="I2306" s="15"/>
      <c r="J2306" s="16" t="s">
        <v>100</v>
      </c>
      <c r="K2306" s="15" t="s">
        <v>4013</v>
      </c>
      <c r="L2306" s="17">
        <v>10</v>
      </c>
      <c r="M2306" s="17">
        <v>300</v>
      </c>
      <c r="N2306" s="17">
        <v>10</v>
      </c>
      <c r="O2306" s="18">
        <v>51.24</v>
      </c>
      <c r="P2306" s="18">
        <v>42</v>
      </c>
      <c r="Q2306" s="18">
        <v>46.63</v>
      </c>
      <c r="R2306" s="18">
        <v>38.22</v>
      </c>
      <c r="S2306" s="18">
        <v>34.840000000000003</v>
      </c>
      <c r="T2306" s="18">
        <v>28.56</v>
      </c>
      <c r="U2306" s="16"/>
      <c r="V2306" s="16"/>
      <c r="W2306" s="16" t="s">
        <v>40</v>
      </c>
      <c r="X2306" s="19">
        <v>1.7999999999999999E-2</v>
      </c>
      <c r="Y2306" s="20">
        <v>1.1400000000000001E-4</v>
      </c>
      <c r="Z2306" s="21">
        <v>4601004345201</v>
      </c>
    </row>
    <row r="2307" spans="1:26" ht="12" customHeight="1" outlineLevel="4" x14ac:dyDescent="0.2">
      <c r="A2307" s="14" t="s">
        <v>4536</v>
      </c>
      <c r="B2307" s="26" t="s">
        <v>4537</v>
      </c>
      <c r="C2307" s="52"/>
      <c r="D2307" s="55">
        <f t="shared" si="35"/>
        <v>0</v>
      </c>
      <c r="E2307" s="63" t="str">
        <f>HYPERLINK("https://www.sds-group.ru/product/trubka-termousazhivaemaya-kleevaya-ttk-2-1-9-5-4-8-chernaya-rexant-26-2104/", "Инфо")</f>
        <v>Инфо</v>
      </c>
      <c r="F2307" s="16" t="s">
        <v>39</v>
      </c>
      <c r="G2307" s="15"/>
      <c r="H2307" s="15"/>
      <c r="I2307" s="15"/>
      <c r="J2307" s="16" t="s">
        <v>100</v>
      </c>
      <c r="K2307" s="15" t="s">
        <v>4013</v>
      </c>
      <c r="L2307" s="17">
        <v>10</v>
      </c>
      <c r="M2307" s="17">
        <v>200</v>
      </c>
      <c r="N2307" s="17">
        <v>10</v>
      </c>
      <c r="O2307" s="18">
        <v>79.45</v>
      </c>
      <c r="P2307" s="18">
        <v>65.12</v>
      </c>
      <c r="Q2307" s="18">
        <v>72.3</v>
      </c>
      <c r="R2307" s="18">
        <v>59.26</v>
      </c>
      <c r="S2307" s="18">
        <v>54.03</v>
      </c>
      <c r="T2307" s="18">
        <v>44.29</v>
      </c>
      <c r="U2307" s="16"/>
      <c r="V2307" s="16"/>
      <c r="W2307" s="16" t="s">
        <v>40</v>
      </c>
      <c r="X2307" s="19">
        <v>3.1E-2</v>
      </c>
      <c r="Y2307" s="20">
        <v>1.6699999999999999E-4</v>
      </c>
      <c r="Z2307" s="21">
        <v>4601004345225</v>
      </c>
    </row>
    <row r="2308" spans="1:26" ht="12.95" customHeight="1" outlineLevel="3" x14ac:dyDescent="0.2">
      <c r="A2308" s="76" t="s">
        <v>4538</v>
      </c>
      <c r="B2308" s="76"/>
      <c r="C2308" s="77"/>
      <c r="D2308" s="58"/>
      <c r="E2308" s="68"/>
      <c r="F2308" s="13"/>
      <c r="G2308" s="13"/>
      <c r="H2308" s="13"/>
      <c r="I2308" s="13"/>
      <c r="J2308" s="13"/>
      <c r="K2308" s="13"/>
      <c r="L2308" s="13"/>
      <c r="M2308" s="13"/>
      <c r="N2308" s="13"/>
      <c r="O2308" s="13"/>
      <c r="P2308" s="13"/>
      <c r="Q2308" s="13"/>
      <c r="R2308" s="13"/>
      <c r="S2308" s="13"/>
      <c r="T2308" s="13"/>
      <c r="U2308" s="13"/>
      <c r="V2308" s="13"/>
      <c r="W2308" s="13"/>
      <c r="X2308" s="13"/>
      <c r="Y2308" s="13"/>
      <c r="Z2308" s="13"/>
    </row>
    <row r="2309" spans="1:26" ht="12" customHeight="1" outlineLevel="4" x14ac:dyDescent="0.2">
      <c r="A2309" s="14" t="s">
        <v>4539</v>
      </c>
      <c r="B2309" s="26" t="s">
        <v>4540</v>
      </c>
      <c r="C2309" s="52"/>
      <c r="D2309" s="55">
        <f t="shared" si="35"/>
        <v>0</v>
      </c>
      <c r="E2309" s="63" t="str">
        <f>HYPERLINK("https://www.sds-group.ru/product/trubka-termousazhivaemaya-kleevaya-ttk-3-1-12-4-krasnaya-rexant-26-1204/", "Инфо")</f>
        <v>Инфо</v>
      </c>
      <c r="F2309" s="16" t="s">
        <v>39</v>
      </c>
      <c r="G2309" s="15"/>
      <c r="H2309" s="15"/>
      <c r="I2309" s="15"/>
      <c r="J2309" s="22">
        <v>1150</v>
      </c>
      <c r="K2309" s="15" t="s">
        <v>1004</v>
      </c>
      <c r="L2309" s="17">
        <v>10</v>
      </c>
      <c r="M2309" s="17">
        <v>150</v>
      </c>
      <c r="N2309" s="17">
        <v>10</v>
      </c>
      <c r="O2309" s="18">
        <v>164.45</v>
      </c>
      <c r="P2309" s="18">
        <v>134.80000000000001</v>
      </c>
      <c r="Q2309" s="18">
        <v>149.65</v>
      </c>
      <c r="R2309" s="18">
        <v>122.66</v>
      </c>
      <c r="S2309" s="18">
        <v>111.83</v>
      </c>
      <c r="T2309" s="18">
        <v>91.66</v>
      </c>
      <c r="U2309" s="16"/>
      <c r="V2309" s="16"/>
      <c r="W2309" s="16" t="s">
        <v>40</v>
      </c>
      <c r="X2309" s="19">
        <v>4.4999999999999998E-2</v>
      </c>
      <c r="Y2309" s="20">
        <v>2.2699999999999999E-4</v>
      </c>
      <c r="Z2309" s="21">
        <v>4601004342910</v>
      </c>
    </row>
    <row r="2310" spans="1:26" ht="12" customHeight="1" outlineLevel="4" x14ac:dyDescent="0.2">
      <c r="A2310" s="14" t="s">
        <v>4541</v>
      </c>
      <c r="B2310" s="26" t="s">
        <v>4542</v>
      </c>
      <c r="C2310" s="52"/>
      <c r="D2310" s="55">
        <f t="shared" si="35"/>
        <v>0</v>
      </c>
      <c r="E2310" s="63" t="str">
        <f>HYPERLINK("https://www.sds-group.ru/product/trubka-termousazhivaemaya-kleevaya-ttk-3-1-12-4-prozrachnaya-rexant-26-1209/", "Инфо")</f>
        <v>Инфо</v>
      </c>
      <c r="F2310" s="16" t="s">
        <v>39</v>
      </c>
      <c r="G2310" s="15"/>
      <c r="H2310" s="15"/>
      <c r="I2310" s="15"/>
      <c r="J2310" s="16" t="s">
        <v>100</v>
      </c>
      <c r="K2310" s="15" t="s">
        <v>1004</v>
      </c>
      <c r="L2310" s="17">
        <v>10</v>
      </c>
      <c r="M2310" s="17">
        <v>150</v>
      </c>
      <c r="N2310" s="17">
        <v>10</v>
      </c>
      <c r="O2310" s="18">
        <v>164.45</v>
      </c>
      <c r="P2310" s="18">
        <v>134.80000000000001</v>
      </c>
      <c r="Q2310" s="18">
        <v>149.65</v>
      </c>
      <c r="R2310" s="18">
        <v>122.66</v>
      </c>
      <c r="S2310" s="18">
        <v>111.83</v>
      </c>
      <c r="T2310" s="18">
        <v>91.66</v>
      </c>
      <c r="U2310" s="16"/>
      <c r="V2310" s="16"/>
      <c r="W2310" s="16" t="s">
        <v>40</v>
      </c>
      <c r="X2310" s="19">
        <v>3.6999999999999998E-2</v>
      </c>
      <c r="Y2310" s="20">
        <v>2.2900000000000001E-4</v>
      </c>
      <c r="Z2310" s="21">
        <v>4601004342927</v>
      </c>
    </row>
    <row r="2311" spans="1:26" ht="12" customHeight="1" outlineLevel="4" x14ac:dyDescent="0.2">
      <c r="A2311" s="40" t="s">
        <v>4543</v>
      </c>
      <c r="B2311" s="75" t="s">
        <v>4544</v>
      </c>
      <c r="C2311" s="51"/>
      <c r="D2311" s="54">
        <f t="shared" si="35"/>
        <v>0</v>
      </c>
      <c r="E2311" s="61" t="str">
        <f>HYPERLINK("https://www.sds-group.ru/product/trubka-termousazhivaemaya-kleevaya-ttk-3-1-12-4-chernaya-rexant-26-0012-1/", "Инфо")</f>
        <v>Инфо</v>
      </c>
      <c r="F2311" s="42" t="s">
        <v>1767</v>
      </c>
      <c r="G2311" s="41" t="s">
        <v>40</v>
      </c>
      <c r="H2311" s="41"/>
      <c r="I2311" s="41"/>
      <c r="J2311" s="47">
        <v>12850</v>
      </c>
      <c r="K2311" s="41" t="s">
        <v>4008</v>
      </c>
      <c r="L2311" s="43">
        <v>25</v>
      </c>
      <c r="M2311" s="43">
        <v>150</v>
      </c>
      <c r="N2311" s="43">
        <v>25</v>
      </c>
      <c r="O2311" s="44">
        <v>128.06</v>
      </c>
      <c r="P2311" s="44">
        <v>104.97</v>
      </c>
      <c r="Q2311" s="44">
        <v>108.85</v>
      </c>
      <c r="R2311" s="44">
        <v>89.22</v>
      </c>
      <c r="S2311" s="44">
        <v>87.08</v>
      </c>
      <c r="T2311" s="44">
        <v>71.38</v>
      </c>
      <c r="U2311" s="42"/>
      <c r="V2311" s="42"/>
      <c r="W2311" s="42" t="s">
        <v>40</v>
      </c>
      <c r="X2311" s="45">
        <v>5.5E-2</v>
      </c>
      <c r="Y2311" s="46">
        <v>3.48E-4</v>
      </c>
      <c r="Z2311" s="21">
        <v>4601004341371</v>
      </c>
    </row>
    <row r="2312" spans="1:26" ht="12" customHeight="1" outlineLevel="4" x14ac:dyDescent="0.2">
      <c r="A2312" s="14" t="s">
        <v>4545</v>
      </c>
      <c r="B2312" s="26" t="s">
        <v>4544</v>
      </c>
      <c r="C2312" s="52"/>
      <c r="D2312" s="55">
        <f t="shared" si="35"/>
        <v>0</v>
      </c>
      <c r="E2312" s="63" t="str">
        <f>HYPERLINK("https://www.sds-group.ru/product/trubka-termousazhivaemaya-kleevaya-ttk-3-1-12-4-chernaya-rexant-21-2008/", "Инфо")</f>
        <v>Инфо</v>
      </c>
      <c r="F2312" s="16" t="s">
        <v>39</v>
      </c>
      <c r="G2312" s="15"/>
      <c r="H2312" s="15"/>
      <c r="I2312" s="15"/>
      <c r="J2312" s="22">
        <v>1536</v>
      </c>
      <c r="K2312" s="15" t="s">
        <v>1004</v>
      </c>
      <c r="L2312" s="17">
        <v>10</v>
      </c>
      <c r="M2312" s="17">
        <v>150</v>
      </c>
      <c r="N2312" s="17">
        <v>10</v>
      </c>
      <c r="O2312" s="18">
        <v>142.82</v>
      </c>
      <c r="P2312" s="18">
        <v>117.07</v>
      </c>
      <c r="Q2312" s="18">
        <v>129.97</v>
      </c>
      <c r="R2312" s="18">
        <v>106.53</v>
      </c>
      <c r="S2312" s="18">
        <v>97.12</v>
      </c>
      <c r="T2312" s="18">
        <v>79.61</v>
      </c>
      <c r="U2312" s="16"/>
      <c r="V2312" s="16"/>
      <c r="W2312" s="16" t="s">
        <v>40</v>
      </c>
      <c r="X2312" s="19">
        <v>3.9E-2</v>
      </c>
      <c r="Y2312" s="20">
        <v>2.52E-4</v>
      </c>
      <c r="Z2312" s="21">
        <v>4601004342880</v>
      </c>
    </row>
    <row r="2313" spans="1:26" ht="12" customHeight="1" outlineLevel="4" x14ac:dyDescent="0.2">
      <c r="A2313" s="14" t="s">
        <v>4546</v>
      </c>
      <c r="B2313" s="26" t="s">
        <v>4547</v>
      </c>
      <c r="C2313" s="52"/>
      <c r="D2313" s="55">
        <f t="shared" ref="D2313:D2376" si="36">C2313*(O2313-O2313*$G$3)</f>
        <v>0</v>
      </c>
      <c r="E2313" s="63" t="str">
        <f>HYPERLINK("https://www.sds-group.ru/product/trubka-termousazhivaemaya-kleevaya-ttk-3-1-18-6-krasnaya-rexant-26-1804/", "Инфо")</f>
        <v>Инфо</v>
      </c>
      <c r="F2313" s="16" t="s">
        <v>39</v>
      </c>
      <c r="G2313" s="15"/>
      <c r="H2313" s="15"/>
      <c r="I2313" s="15"/>
      <c r="J2313" s="17">
        <v>300</v>
      </c>
      <c r="K2313" s="15" t="s">
        <v>1004</v>
      </c>
      <c r="L2313" s="17">
        <v>10</v>
      </c>
      <c r="M2313" s="17">
        <v>100</v>
      </c>
      <c r="N2313" s="17">
        <v>10</v>
      </c>
      <c r="O2313" s="18">
        <v>319.79000000000002</v>
      </c>
      <c r="P2313" s="18">
        <v>262.12</v>
      </c>
      <c r="Q2313" s="18">
        <v>291.01</v>
      </c>
      <c r="R2313" s="18">
        <v>238.53</v>
      </c>
      <c r="S2313" s="18">
        <v>217.46</v>
      </c>
      <c r="T2313" s="18">
        <v>178.25</v>
      </c>
      <c r="U2313" s="16"/>
      <c r="V2313" s="16"/>
      <c r="W2313" s="16" t="s">
        <v>40</v>
      </c>
      <c r="X2313" s="19">
        <v>6.6000000000000003E-2</v>
      </c>
      <c r="Y2313" s="20">
        <v>3.3799999999999998E-4</v>
      </c>
      <c r="Z2313" s="21">
        <v>4601004342941</v>
      </c>
    </row>
    <row r="2314" spans="1:26" ht="12" customHeight="1" outlineLevel="4" x14ac:dyDescent="0.2">
      <c r="A2314" s="14" t="s">
        <v>4548</v>
      </c>
      <c r="B2314" s="26" t="s">
        <v>4549</v>
      </c>
      <c r="C2314" s="52"/>
      <c r="D2314" s="55">
        <f t="shared" si="36"/>
        <v>0</v>
      </c>
      <c r="E2314" s="63" t="str">
        <f>HYPERLINK("https://www.sds-group.ru/product/trubka-termousazhivaemaya-kleevaya-ttk-3-1-18-6-prozrachnaya-rexant-26-1809/", "Инфо")</f>
        <v>Инфо</v>
      </c>
      <c r="F2314" s="16" t="s">
        <v>39</v>
      </c>
      <c r="G2314" s="15"/>
      <c r="H2314" s="15"/>
      <c r="I2314" s="15"/>
      <c r="J2314" s="16" t="s">
        <v>100</v>
      </c>
      <c r="K2314" s="15" t="s">
        <v>1004</v>
      </c>
      <c r="L2314" s="17">
        <v>10</v>
      </c>
      <c r="M2314" s="17">
        <v>100</v>
      </c>
      <c r="N2314" s="17">
        <v>10</v>
      </c>
      <c r="O2314" s="18">
        <v>316.24</v>
      </c>
      <c r="P2314" s="18">
        <v>259.20999999999998</v>
      </c>
      <c r="Q2314" s="18">
        <v>287.77999999999997</v>
      </c>
      <c r="R2314" s="18">
        <v>235.89</v>
      </c>
      <c r="S2314" s="18">
        <v>215.04</v>
      </c>
      <c r="T2314" s="18">
        <v>176.26</v>
      </c>
      <c r="U2314" s="16"/>
      <c r="V2314" s="16"/>
      <c r="W2314" s="16" t="s">
        <v>40</v>
      </c>
      <c r="X2314" s="19">
        <v>5.7000000000000002E-2</v>
      </c>
      <c r="Y2314" s="20">
        <v>3.4299999999999999E-4</v>
      </c>
      <c r="Z2314" s="21">
        <v>4601004342958</v>
      </c>
    </row>
    <row r="2315" spans="1:26" ht="12" customHeight="1" outlineLevel="4" x14ac:dyDescent="0.2">
      <c r="A2315" s="40" t="s">
        <v>4550</v>
      </c>
      <c r="B2315" s="75" t="s">
        <v>4551</v>
      </c>
      <c r="C2315" s="51"/>
      <c r="D2315" s="54">
        <f t="shared" si="36"/>
        <v>0</v>
      </c>
      <c r="E2315" s="61" t="str">
        <f>HYPERLINK("https://www.sds-group.ru/product/trubka-termousazhivaemaya-kleevaya-ttk-3-1-18-6-chernaya-rexant-26-0018-1/", "Инфо")</f>
        <v>Инфо</v>
      </c>
      <c r="F2315" s="42" t="s">
        <v>1767</v>
      </c>
      <c r="G2315" s="41" t="s">
        <v>40</v>
      </c>
      <c r="H2315" s="41"/>
      <c r="I2315" s="41"/>
      <c r="J2315" s="43">
        <v>200</v>
      </c>
      <c r="K2315" s="41" t="s">
        <v>4008</v>
      </c>
      <c r="L2315" s="43">
        <v>25</v>
      </c>
      <c r="M2315" s="43">
        <v>200</v>
      </c>
      <c r="N2315" s="43">
        <v>25</v>
      </c>
      <c r="O2315" s="44">
        <v>231.84</v>
      </c>
      <c r="P2315" s="44">
        <v>190.03</v>
      </c>
      <c r="Q2315" s="44">
        <v>197.06</v>
      </c>
      <c r="R2315" s="44">
        <v>161.52000000000001</v>
      </c>
      <c r="S2315" s="44">
        <v>157.65</v>
      </c>
      <c r="T2315" s="44">
        <v>129.22</v>
      </c>
      <c r="U2315" s="42"/>
      <c r="V2315" s="42"/>
      <c r="W2315" s="42" t="s">
        <v>40</v>
      </c>
      <c r="X2315" s="45">
        <v>8.6999999999999994E-2</v>
      </c>
      <c r="Y2315" s="46">
        <v>3.9300000000000001E-4</v>
      </c>
      <c r="Z2315" s="21">
        <v>4601004341456</v>
      </c>
    </row>
    <row r="2316" spans="1:26" ht="12" customHeight="1" outlineLevel="4" x14ac:dyDescent="0.2">
      <c r="A2316" s="14" t="s">
        <v>4552</v>
      </c>
      <c r="B2316" s="26" t="s">
        <v>4551</v>
      </c>
      <c r="C2316" s="52"/>
      <c r="D2316" s="55">
        <f t="shared" si="36"/>
        <v>0</v>
      </c>
      <c r="E2316" s="63" t="str">
        <f>HYPERLINK("https://www.sds-group.ru/product/trubka-termousazhivaemaya-kleevaya-ttk-3-1-18-6-chernaya-rexant-21-9008/", "Инфо")</f>
        <v>Инфо</v>
      </c>
      <c r="F2316" s="16" t="s">
        <v>39</v>
      </c>
      <c r="G2316" s="15"/>
      <c r="H2316" s="15"/>
      <c r="I2316" s="15"/>
      <c r="J2316" s="16" t="s">
        <v>100</v>
      </c>
      <c r="K2316" s="15" t="s">
        <v>1004</v>
      </c>
      <c r="L2316" s="17">
        <v>10</v>
      </c>
      <c r="M2316" s="17">
        <v>100</v>
      </c>
      <c r="N2316" s="17">
        <v>10</v>
      </c>
      <c r="O2316" s="18">
        <v>262.95999999999998</v>
      </c>
      <c r="P2316" s="18">
        <v>215.54</v>
      </c>
      <c r="Q2316" s="18">
        <v>239.29</v>
      </c>
      <c r="R2316" s="18">
        <v>196.14</v>
      </c>
      <c r="S2316" s="18">
        <v>178.81</v>
      </c>
      <c r="T2316" s="18">
        <v>146.57</v>
      </c>
      <c r="U2316" s="16"/>
      <c r="V2316" s="16"/>
      <c r="W2316" s="16" t="s">
        <v>40</v>
      </c>
      <c r="X2316" s="19">
        <v>2.7E-2</v>
      </c>
      <c r="Y2316" s="20">
        <v>2.7999999999999998E-4</v>
      </c>
      <c r="Z2316" s="21">
        <v>4601004342897</v>
      </c>
    </row>
    <row r="2317" spans="1:26" ht="12" customHeight="1" outlineLevel="4" x14ac:dyDescent="0.2">
      <c r="A2317" s="40" t="s">
        <v>4553</v>
      </c>
      <c r="B2317" s="75" t="s">
        <v>4554</v>
      </c>
      <c r="C2317" s="51"/>
      <c r="D2317" s="54">
        <f t="shared" si="36"/>
        <v>0</v>
      </c>
      <c r="E2317" s="61" t="str">
        <f>HYPERLINK("https://www.sds-group.ru/product/trubka-termousazhivaemaya-kleevaya-ttk-3-1-20-6-chernaya-rexant-26-0020-1/", "Инфо")</f>
        <v>Инфо</v>
      </c>
      <c r="F2317" s="42" t="s">
        <v>1767</v>
      </c>
      <c r="G2317" s="41" t="s">
        <v>40</v>
      </c>
      <c r="H2317" s="41"/>
      <c r="I2317" s="41"/>
      <c r="J2317" s="43">
        <v>725</v>
      </c>
      <c r="K2317" s="41" t="s">
        <v>4183</v>
      </c>
      <c r="L2317" s="43">
        <v>25</v>
      </c>
      <c r="M2317" s="43">
        <v>200</v>
      </c>
      <c r="N2317" s="43">
        <v>25</v>
      </c>
      <c r="O2317" s="44">
        <v>249.81</v>
      </c>
      <c r="P2317" s="44">
        <v>204.76</v>
      </c>
      <c r="Q2317" s="44">
        <v>212.34</v>
      </c>
      <c r="R2317" s="44">
        <v>174.05</v>
      </c>
      <c r="S2317" s="44">
        <v>169.87</v>
      </c>
      <c r="T2317" s="44">
        <v>139.24</v>
      </c>
      <c r="U2317" s="42"/>
      <c r="V2317" s="42"/>
      <c r="W2317" s="42" t="s">
        <v>40</v>
      </c>
      <c r="X2317" s="45">
        <v>8.5000000000000006E-2</v>
      </c>
      <c r="Y2317" s="46">
        <v>3.88E-4</v>
      </c>
      <c r="Z2317" s="21">
        <v>4601004341449</v>
      </c>
    </row>
    <row r="2318" spans="1:26" ht="12" customHeight="1" outlineLevel="4" x14ac:dyDescent="0.2">
      <c r="A2318" s="14" t="s">
        <v>4555</v>
      </c>
      <c r="B2318" s="26" t="s">
        <v>4556</v>
      </c>
      <c r="C2318" s="52"/>
      <c r="D2318" s="55">
        <f t="shared" si="36"/>
        <v>0</v>
      </c>
      <c r="E2318" s="63" t="str">
        <f>HYPERLINK("https://www.sds-group.ru/product/trubka-termousazhivaemaya-kleevaya-ttk-3-1-24-8-krasnaya-rexant-26-2404/", "Инфо")</f>
        <v>Инфо</v>
      </c>
      <c r="F2318" s="16" t="s">
        <v>39</v>
      </c>
      <c r="G2318" s="15"/>
      <c r="H2318" s="15"/>
      <c r="I2318" s="15"/>
      <c r="J2318" s="17">
        <v>520</v>
      </c>
      <c r="K2318" s="15" t="s">
        <v>4183</v>
      </c>
      <c r="L2318" s="17">
        <v>5</v>
      </c>
      <c r="M2318" s="17">
        <v>100</v>
      </c>
      <c r="N2318" s="17">
        <v>5</v>
      </c>
      <c r="O2318" s="18">
        <v>437.45</v>
      </c>
      <c r="P2318" s="18">
        <v>358.57</v>
      </c>
      <c r="Q2318" s="18">
        <v>376.21</v>
      </c>
      <c r="R2318" s="18">
        <v>308.37</v>
      </c>
      <c r="S2318" s="18">
        <v>297.47000000000003</v>
      </c>
      <c r="T2318" s="18">
        <v>243.83</v>
      </c>
      <c r="U2318" s="16"/>
      <c r="V2318" s="16"/>
      <c r="W2318" s="16" t="s">
        <v>40</v>
      </c>
      <c r="X2318" s="19">
        <v>6.2E-2</v>
      </c>
      <c r="Y2318" s="20">
        <v>6.4000000000000005E-4</v>
      </c>
      <c r="Z2318" s="21">
        <v>4601004342972</v>
      </c>
    </row>
    <row r="2319" spans="1:26" ht="12" customHeight="1" outlineLevel="4" x14ac:dyDescent="0.2">
      <c r="A2319" s="14" t="s">
        <v>4557</v>
      </c>
      <c r="B2319" s="26" t="s">
        <v>4558</v>
      </c>
      <c r="C2319" s="52"/>
      <c r="D2319" s="55">
        <f t="shared" si="36"/>
        <v>0</v>
      </c>
      <c r="E2319" s="63" t="str">
        <f>HYPERLINK("https://www.sds-group.ru/product/trubka-termousazhivaemaya-kleevaya-ttk-3-1-24-8-prozrachnaya-rexant-26-2409/", "Инфо")</f>
        <v>Инфо</v>
      </c>
      <c r="F2319" s="16" t="s">
        <v>39</v>
      </c>
      <c r="G2319" s="15"/>
      <c r="H2319" s="15"/>
      <c r="I2319" s="15"/>
      <c r="J2319" s="22">
        <v>1593</v>
      </c>
      <c r="K2319" s="15" t="s">
        <v>1004</v>
      </c>
      <c r="L2319" s="17">
        <v>5</v>
      </c>
      <c r="M2319" s="17">
        <v>100</v>
      </c>
      <c r="N2319" s="17">
        <v>5</v>
      </c>
      <c r="O2319" s="18">
        <v>437.45</v>
      </c>
      <c r="P2319" s="18">
        <v>358.57</v>
      </c>
      <c r="Q2319" s="18">
        <v>376.21</v>
      </c>
      <c r="R2319" s="18">
        <v>308.37</v>
      </c>
      <c r="S2319" s="18">
        <v>297.47000000000003</v>
      </c>
      <c r="T2319" s="18">
        <v>243.83</v>
      </c>
      <c r="U2319" s="16"/>
      <c r="V2319" s="16"/>
      <c r="W2319" s="16" t="s">
        <v>40</v>
      </c>
      <c r="X2319" s="19">
        <v>6.2E-2</v>
      </c>
      <c r="Y2319" s="20">
        <v>6.4000000000000005E-4</v>
      </c>
      <c r="Z2319" s="21">
        <v>4601004342989</v>
      </c>
    </row>
    <row r="2320" spans="1:26" ht="12" customHeight="1" outlineLevel="4" x14ac:dyDescent="0.2">
      <c r="A2320" s="14" t="s">
        <v>4559</v>
      </c>
      <c r="B2320" s="26" t="s">
        <v>4560</v>
      </c>
      <c r="C2320" s="52"/>
      <c r="D2320" s="55">
        <f t="shared" si="36"/>
        <v>0</v>
      </c>
      <c r="E2320" s="63" t="str">
        <f>HYPERLINK("https://www.sds-group.ru/product/trubka-termousazhivaemaya-kleevaya-ttk-3-1-24-8-chernaya-rexant-26-0024/", "Инфо")</f>
        <v>Инфо</v>
      </c>
      <c r="F2320" s="16" t="s">
        <v>39</v>
      </c>
      <c r="G2320" s="15"/>
      <c r="H2320" s="15"/>
      <c r="I2320" s="15"/>
      <c r="J2320" s="22">
        <v>3742</v>
      </c>
      <c r="K2320" s="15" t="s">
        <v>1004</v>
      </c>
      <c r="L2320" s="17">
        <v>5</v>
      </c>
      <c r="M2320" s="17">
        <v>100</v>
      </c>
      <c r="N2320" s="17">
        <v>5</v>
      </c>
      <c r="O2320" s="18">
        <v>406.27</v>
      </c>
      <c r="P2320" s="18">
        <v>333.01</v>
      </c>
      <c r="Q2320" s="18">
        <v>349.39</v>
      </c>
      <c r="R2320" s="18">
        <v>286.39</v>
      </c>
      <c r="S2320" s="18">
        <v>276.26</v>
      </c>
      <c r="T2320" s="18">
        <v>226.44</v>
      </c>
      <c r="U2320" s="16"/>
      <c r="V2320" s="16"/>
      <c r="W2320" s="16" t="s">
        <v>40</v>
      </c>
      <c r="X2320" s="19">
        <v>8.3000000000000004E-2</v>
      </c>
      <c r="Y2320" s="20">
        <v>3.3500000000000001E-4</v>
      </c>
      <c r="Z2320" s="21">
        <v>4601004342903</v>
      </c>
    </row>
    <row r="2321" spans="1:26" ht="12" customHeight="1" outlineLevel="4" x14ac:dyDescent="0.2">
      <c r="A2321" s="40" t="s">
        <v>4561</v>
      </c>
      <c r="B2321" s="75" t="s">
        <v>4562</v>
      </c>
      <c r="C2321" s="51"/>
      <c r="D2321" s="54">
        <f t="shared" si="36"/>
        <v>0</v>
      </c>
      <c r="E2321" s="61" t="str">
        <f>HYPERLINK("https://www.sds-group.ru/product/trubka-termousazhivaemaya-kleevaya-ttk-3-1-25-8-chernaya-rexant-26-0025-1/", "Инфо")</f>
        <v>Инфо</v>
      </c>
      <c r="F2321" s="42" t="s">
        <v>1767</v>
      </c>
      <c r="G2321" s="41" t="s">
        <v>40</v>
      </c>
      <c r="H2321" s="41"/>
      <c r="I2321" s="41"/>
      <c r="J2321" s="47">
        <v>5550</v>
      </c>
      <c r="K2321" s="41" t="s">
        <v>4008</v>
      </c>
      <c r="L2321" s="43">
        <v>25</v>
      </c>
      <c r="M2321" s="43">
        <v>175</v>
      </c>
      <c r="N2321" s="43">
        <v>25</v>
      </c>
      <c r="O2321" s="44">
        <v>374.16</v>
      </c>
      <c r="P2321" s="44">
        <v>306.69</v>
      </c>
      <c r="Q2321" s="44">
        <v>299.33</v>
      </c>
      <c r="R2321" s="44">
        <v>245.35</v>
      </c>
      <c r="S2321" s="44">
        <v>254.43</v>
      </c>
      <c r="T2321" s="44">
        <v>208.55</v>
      </c>
      <c r="U2321" s="42"/>
      <c r="V2321" s="42"/>
      <c r="W2321" s="42" t="s">
        <v>40</v>
      </c>
      <c r="X2321" s="45">
        <v>0.11600000000000001</v>
      </c>
      <c r="Y2321" s="46">
        <v>4.7699999999999999E-4</v>
      </c>
      <c r="Z2321" s="21">
        <v>4601004341432</v>
      </c>
    </row>
    <row r="2322" spans="1:26" ht="12" customHeight="1" outlineLevel="4" x14ac:dyDescent="0.2">
      <c r="A2322" s="14" t="s">
        <v>4563</v>
      </c>
      <c r="B2322" s="26" t="s">
        <v>4564</v>
      </c>
      <c r="C2322" s="52"/>
      <c r="D2322" s="55">
        <f t="shared" si="36"/>
        <v>0</v>
      </c>
      <c r="E2322" s="63" t="str">
        <f>HYPERLINK("https://www.sds-group.ru/product/trubka-termousazhivaemaya-kleevaya-ttk-3-1-3-1-krasnaya-rexant-26-3004/", "Инфо")</f>
        <v>Инфо</v>
      </c>
      <c r="F2322" s="16" t="s">
        <v>39</v>
      </c>
      <c r="G2322" s="15"/>
      <c r="H2322" s="15"/>
      <c r="I2322" s="15"/>
      <c r="J2322" s="16" t="s">
        <v>100</v>
      </c>
      <c r="K2322" s="15" t="s">
        <v>1004</v>
      </c>
      <c r="L2322" s="17">
        <v>10</v>
      </c>
      <c r="M2322" s="17">
        <v>720</v>
      </c>
      <c r="N2322" s="17">
        <v>10</v>
      </c>
      <c r="O2322" s="18">
        <v>42.68</v>
      </c>
      <c r="P2322" s="18">
        <v>34.979999999999997</v>
      </c>
      <c r="Q2322" s="18">
        <v>38.840000000000003</v>
      </c>
      <c r="R2322" s="18">
        <v>31.84</v>
      </c>
      <c r="S2322" s="18">
        <v>29.02</v>
      </c>
      <c r="T2322" s="18">
        <v>23.79</v>
      </c>
      <c r="U2322" s="16"/>
      <c r="V2322" s="16"/>
      <c r="W2322" s="16" t="s">
        <v>40</v>
      </c>
      <c r="X2322" s="19">
        <v>0.01</v>
      </c>
      <c r="Y2322" s="20">
        <v>6.0000000000000002E-5</v>
      </c>
      <c r="Z2322" s="21">
        <v>4601004342262</v>
      </c>
    </row>
    <row r="2323" spans="1:26" ht="12" customHeight="1" outlineLevel="4" x14ac:dyDescent="0.2">
      <c r="A2323" s="14" t="s">
        <v>4565</v>
      </c>
      <c r="B2323" s="26" t="s">
        <v>4566</v>
      </c>
      <c r="C2323" s="52"/>
      <c r="D2323" s="55">
        <f t="shared" si="36"/>
        <v>0</v>
      </c>
      <c r="E2323" s="63" t="str">
        <f>HYPERLINK("https://www.sds-group.ru/product/trubka-termousazhivaemaya-kleevaya-ttk-3-1-3-1-prozrachnaya-rexant-26-3009/", "Инфо")</f>
        <v>Инфо</v>
      </c>
      <c r="F2323" s="16" t="s">
        <v>39</v>
      </c>
      <c r="G2323" s="15"/>
      <c r="H2323" s="15"/>
      <c r="I2323" s="15"/>
      <c r="J2323" s="16" t="s">
        <v>100</v>
      </c>
      <c r="K2323" s="15" t="s">
        <v>1004</v>
      </c>
      <c r="L2323" s="17">
        <v>10</v>
      </c>
      <c r="M2323" s="17">
        <v>720</v>
      </c>
      <c r="N2323" s="17">
        <v>10</v>
      </c>
      <c r="O2323" s="18">
        <v>42.68</v>
      </c>
      <c r="P2323" s="18">
        <v>34.979999999999997</v>
      </c>
      <c r="Q2323" s="18">
        <v>38.840000000000003</v>
      </c>
      <c r="R2323" s="18">
        <v>31.84</v>
      </c>
      <c r="S2323" s="18">
        <v>29.02</v>
      </c>
      <c r="T2323" s="18">
        <v>23.79</v>
      </c>
      <c r="U2323" s="16"/>
      <c r="V2323" s="16"/>
      <c r="W2323" s="16" t="s">
        <v>40</v>
      </c>
      <c r="X2323" s="19">
        <v>8.9999999999999993E-3</v>
      </c>
      <c r="Y2323" s="20">
        <v>4.6999999999999997E-5</v>
      </c>
      <c r="Z2323" s="21">
        <v>4601004343009</v>
      </c>
    </row>
    <row r="2324" spans="1:26" ht="12" customHeight="1" outlineLevel="4" x14ac:dyDescent="0.2">
      <c r="A2324" s="40" t="s">
        <v>4567</v>
      </c>
      <c r="B2324" s="75" t="s">
        <v>4568</v>
      </c>
      <c r="C2324" s="51"/>
      <c r="D2324" s="54">
        <f t="shared" si="36"/>
        <v>0</v>
      </c>
      <c r="E2324" s="61" t="str">
        <f>HYPERLINK("https://www.sds-group.ru/product/trubka-termousazhivaemaya-kleevaya-ttk-3-1-3-1-chernaya-rexant-26-0003-1/", "Инфо")</f>
        <v>Инфо</v>
      </c>
      <c r="F2324" s="42" t="s">
        <v>1767</v>
      </c>
      <c r="G2324" s="41" t="s">
        <v>40</v>
      </c>
      <c r="H2324" s="41"/>
      <c r="I2324" s="41"/>
      <c r="J2324" s="47">
        <v>82800</v>
      </c>
      <c r="K2324" s="41"/>
      <c r="L2324" s="43">
        <v>200</v>
      </c>
      <c r="M2324" s="47">
        <v>2600</v>
      </c>
      <c r="N2324" s="43">
        <v>200</v>
      </c>
      <c r="O2324" s="44">
        <v>33.17</v>
      </c>
      <c r="P2324" s="44">
        <v>27.19</v>
      </c>
      <c r="Q2324" s="44">
        <v>28.19</v>
      </c>
      <c r="R2324" s="44">
        <v>23.11</v>
      </c>
      <c r="S2324" s="44">
        <v>22.56</v>
      </c>
      <c r="T2324" s="44">
        <v>18.489999999999998</v>
      </c>
      <c r="U2324" s="42"/>
      <c r="V2324" s="42"/>
      <c r="W2324" s="42" t="s">
        <v>40</v>
      </c>
      <c r="X2324" s="45">
        <v>1.2E-2</v>
      </c>
      <c r="Y2324" s="46">
        <v>5.0000000000000002E-5</v>
      </c>
      <c r="Z2324" s="21">
        <v>4601004341395</v>
      </c>
    </row>
    <row r="2325" spans="1:26" ht="12" customHeight="1" outlineLevel="4" x14ac:dyDescent="0.2">
      <c r="A2325" s="14" t="s">
        <v>4569</v>
      </c>
      <c r="B2325" s="26" t="s">
        <v>4568</v>
      </c>
      <c r="C2325" s="52"/>
      <c r="D2325" s="55">
        <f t="shared" si="36"/>
        <v>0</v>
      </c>
      <c r="E2325" s="63" t="str">
        <f>HYPERLINK("https://www.sds-group.ru/product/trubka-termousazhivaemaya-kleevaya-ttk-3-1-3-1-chernaya-rexant-26-0003/", "Инфо")</f>
        <v>Инфо</v>
      </c>
      <c r="F2325" s="16" t="s">
        <v>39</v>
      </c>
      <c r="G2325" s="15"/>
      <c r="H2325" s="15"/>
      <c r="I2325" s="15"/>
      <c r="J2325" s="22">
        <v>18847</v>
      </c>
      <c r="K2325" s="15" t="s">
        <v>1004</v>
      </c>
      <c r="L2325" s="17">
        <v>10</v>
      </c>
      <c r="M2325" s="17">
        <v>720</v>
      </c>
      <c r="N2325" s="17">
        <v>10</v>
      </c>
      <c r="O2325" s="18">
        <v>35.99</v>
      </c>
      <c r="P2325" s="18">
        <v>29.5</v>
      </c>
      <c r="Q2325" s="18">
        <v>32.75</v>
      </c>
      <c r="R2325" s="18">
        <v>26.84</v>
      </c>
      <c r="S2325" s="18">
        <v>24.47</v>
      </c>
      <c r="T2325" s="18">
        <v>20.059999999999999</v>
      </c>
      <c r="U2325" s="16"/>
      <c r="V2325" s="16"/>
      <c r="W2325" s="16" t="s">
        <v>40</v>
      </c>
      <c r="X2325" s="19">
        <v>0.01</v>
      </c>
      <c r="Y2325" s="20">
        <v>4.6999999999999997E-5</v>
      </c>
      <c r="Z2325" s="21">
        <v>4601004342248</v>
      </c>
    </row>
    <row r="2326" spans="1:26" ht="12" customHeight="1" outlineLevel="4" x14ac:dyDescent="0.2">
      <c r="A2326" s="40" t="s">
        <v>4570</v>
      </c>
      <c r="B2326" s="75" t="s">
        <v>4571</v>
      </c>
      <c r="C2326" s="51"/>
      <c r="D2326" s="54">
        <f t="shared" si="36"/>
        <v>0</v>
      </c>
      <c r="E2326" s="61" t="str">
        <f>HYPERLINK("https://www.sds-group.ru/product/trubka-termousazhivaemaya-kleevaya-ttk-3-1-30-10-chernaya-rexant-26-0030-1/", "Инфо")</f>
        <v>Инфо</v>
      </c>
      <c r="F2326" s="42" t="s">
        <v>1767</v>
      </c>
      <c r="G2326" s="41" t="s">
        <v>40</v>
      </c>
      <c r="H2326" s="41"/>
      <c r="I2326" s="41"/>
      <c r="J2326" s="47">
        <v>3325</v>
      </c>
      <c r="K2326" s="41" t="s">
        <v>4008</v>
      </c>
      <c r="L2326" s="43">
        <v>25</v>
      </c>
      <c r="M2326" s="43">
        <v>150</v>
      </c>
      <c r="N2326" s="43">
        <v>25</v>
      </c>
      <c r="O2326" s="44">
        <v>448.3</v>
      </c>
      <c r="P2326" s="44">
        <v>367.46</v>
      </c>
      <c r="Q2326" s="44">
        <v>358.64</v>
      </c>
      <c r="R2326" s="44">
        <v>293.97000000000003</v>
      </c>
      <c r="S2326" s="44">
        <v>304.83999999999997</v>
      </c>
      <c r="T2326" s="44">
        <v>249.87</v>
      </c>
      <c r="U2326" s="42"/>
      <c r="V2326" s="42"/>
      <c r="W2326" s="42" t="s">
        <v>40</v>
      </c>
      <c r="X2326" s="45">
        <v>0.13</v>
      </c>
      <c r="Y2326" s="46">
        <v>5.7799999999999995E-4</v>
      </c>
      <c r="Z2326" s="21">
        <v>4601004341425</v>
      </c>
    </row>
    <row r="2327" spans="1:26" ht="12" customHeight="1" outlineLevel="4" x14ac:dyDescent="0.2">
      <c r="A2327" s="14" t="s">
        <v>4572</v>
      </c>
      <c r="B2327" s="26" t="s">
        <v>4573</v>
      </c>
      <c r="C2327" s="52"/>
      <c r="D2327" s="55">
        <f t="shared" si="36"/>
        <v>0</v>
      </c>
      <c r="E2327" s="63" t="str">
        <f>HYPERLINK("https://www.sds-group.ru/product/trubka-termousazhivaemaya-kleevaya-ttk-3-1-4-8-1-6-krasnaya-rexant-26-4804/", "Инфо")</f>
        <v>Инфо</v>
      </c>
      <c r="F2327" s="16" t="s">
        <v>39</v>
      </c>
      <c r="G2327" s="15"/>
      <c r="H2327" s="15"/>
      <c r="I2327" s="15"/>
      <c r="J2327" s="17">
        <v>430</v>
      </c>
      <c r="K2327" s="15" t="s">
        <v>1004</v>
      </c>
      <c r="L2327" s="17">
        <v>10</v>
      </c>
      <c r="M2327" s="17">
        <v>400</v>
      </c>
      <c r="N2327" s="17">
        <v>10</v>
      </c>
      <c r="O2327" s="18">
        <v>55.42</v>
      </c>
      <c r="P2327" s="18">
        <v>45.43</v>
      </c>
      <c r="Q2327" s="18">
        <v>50.43</v>
      </c>
      <c r="R2327" s="18">
        <v>41.34</v>
      </c>
      <c r="S2327" s="18">
        <v>37.69</v>
      </c>
      <c r="T2327" s="18">
        <v>30.89</v>
      </c>
      <c r="U2327" s="16"/>
      <c r="V2327" s="16"/>
      <c r="W2327" s="16" t="s">
        <v>40</v>
      </c>
      <c r="X2327" s="19">
        <v>1.4E-2</v>
      </c>
      <c r="Y2327" s="20">
        <v>1.6000000000000001E-4</v>
      </c>
      <c r="Z2327" s="21">
        <v>4601004342279</v>
      </c>
    </row>
    <row r="2328" spans="1:26" ht="12" customHeight="1" outlineLevel="4" x14ac:dyDescent="0.2">
      <c r="A2328" s="14" t="s">
        <v>4574</v>
      </c>
      <c r="B2328" s="26" t="s">
        <v>4575</v>
      </c>
      <c r="C2328" s="52"/>
      <c r="D2328" s="55">
        <f t="shared" si="36"/>
        <v>0</v>
      </c>
      <c r="E2328" s="63" t="str">
        <f>HYPERLINK("https://www.sds-group.ru/product/trubka-termousazhivaemaya-kleevaya-ttk-3-1-4-8-1-6-prozrachnaya-rexant-26-4809/", "Инфо")</f>
        <v>Инфо</v>
      </c>
      <c r="F2328" s="16" t="s">
        <v>39</v>
      </c>
      <c r="G2328" s="15"/>
      <c r="H2328" s="15"/>
      <c r="I2328" s="15"/>
      <c r="J2328" s="17">
        <v>620</v>
      </c>
      <c r="K2328" s="15" t="s">
        <v>1004</v>
      </c>
      <c r="L2328" s="17">
        <v>10</v>
      </c>
      <c r="M2328" s="17">
        <v>400</v>
      </c>
      <c r="N2328" s="17">
        <v>10</v>
      </c>
      <c r="O2328" s="18">
        <v>55.41</v>
      </c>
      <c r="P2328" s="18">
        <v>45.42</v>
      </c>
      <c r="Q2328" s="18">
        <v>50.42</v>
      </c>
      <c r="R2328" s="18">
        <v>41.33</v>
      </c>
      <c r="S2328" s="18">
        <v>37.68</v>
      </c>
      <c r="T2328" s="18">
        <v>30.89</v>
      </c>
      <c r="U2328" s="16"/>
      <c r="V2328" s="16"/>
      <c r="W2328" s="16" t="s">
        <v>40</v>
      </c>
      <c r="X2328" s="19">
        <v>1.4E-2</v>
      </c>
      <c r="Y2328" s="20">
        <v>1.6000000000000001E-4</v>
      </c>
      <c r="Z2328" s="21">
        <v>4601004343023</v>
      </c>
    </row>
    <row r="2329" spans="1:26" ht="12" customHeight="1" outlineLevel="4" x14ac:dyDescent="0.2">
      <c r="A2329" s="40" t="s">
        <v>4576</v>
      </c>
      <c r="B2329" s="75" t="s">
        <v>4577</v>
      </c>
      <c r="C2329" s="51"/>
      <c r="D2329" s="54">
        <f t="shared" si="36"/>
        <v>0</v>
      </c>
      <c r="E2329" s="61" t="str">
        <f>HYPERLINK("https://www.sds-group.ru/product/trubka-termousazhivaemaya-kleevaya-ttk-3-1-4-8-1-6-chernaya-rexant-26-0004-1/", "Инфо")</f>
        <v>Инфо</v>
      </c>
      <c r="F2329" s="42" t="s">
        <v>1767</v>
      </c>
      <c r="G2329" s="41" t="s">
        <v>40</v>
      </c>
      <c r="H2329" s="41"/>
      <c r="I2329" s="41"/>
      <c r="J2329" s="47">
        <v>26200</v>
      </c>
      <c r="K2329" s="41" t="s">
        <v>4008</v>
      </c>
      <c r="L2329" s="43">
        <v>100</v>
      </c>
      <c r="M2329" s="47">
        <v>1300</v>
      </c>
      <c r="N2329" s="43">
        <v>100</v>
      </c>
      <c r="O2329" s="44">
        <v>45.41</v>
      </c>
      <c r="P2329" s="44">
        <v>37.22</v>
      </c>
      <c r="Q2329" s="44">
        <v>38.6</v>
      </c>
      <c r="R2329" s="44">
        <v>31.64</v>
      </c>
      <c r="S2329" s="44">
        <v>30.88</v>
      </c>
      <c r="T2329" s="44">
        <v>25.31</v>
      </c>
      <c r="U2329" s="42"/>
      <c r="V2329" s="42"/>
      <c r="W2329" s="42" t="s">
        <v>40</v>
      </c>
      <c r="X2329" s="45">
        <v>1.7000000000000001E-2</v>
      </c>
      <c r="Y2329" s="46">
        <v>1.01E-4</v>
      </c>
      <c r="Z2329" s="21">
        <v>4601004341500</v>
      </c>
    </row>
    <row r="2330" spans="1:26" ht="12" customHeight="1" outlineLevel="4" x14ac:dyDescent="0.2">
      <c r="A2330" s="14" t="s">
        <v>4578</v>
      </c>
      <c r="B2330" s="26" t="s">
        <v>4577</v>
      </c>
      <c r="C2330" s="52"/>
      <c r="D2330" s="55">
        <f t="shared" si="36"/>
        <v>0</v>
      </c>
      <c r="E2330" s="63" t="str">
        <f>HYPERLINK("https://www.sds-group.ru/product/trubka-termousazhivaemaya-kleevaya-ttk-3-1-4-8-1-6-chernaya-rexant-20-4808/", "Инфо")</f>
        <v>Инфо</v>
      </c>
      <c r="F2330" s="16" t="s">
        <v>39</v>
      </c>
      <c r="G2330" s="15"/>
      <c r="H2330" s="15"/>
      <c r="I2330" s="15"/>
      <c r="J2330" s="22">
        <v>18853</v>
      </c>
      <c r="K2330" s="15" t="s">
        <v>1004</v>
      </c>
      <c r="L2330" s="17">
        <v>10</v>
      </c>
      <c r="M2330" s="17">
        <v>400</v>
      </c>
      <c r="N2330" s="17">
        <v>10</v>
      </c>
      <c r="O2330" s="18">
        <v>49.26</v>
      </c>
      <c r="P2330" s="18">
        <v>40.380000000000003</v>
      </c>
      <c r="Q2330" s="18">
        <v>44.83</v>
      </c>
      <c r="R2330" s="18">
        <v>36.75</v>
      </c>
      <c r="S2330" s="18">
        <v>33.5</v>
      </c>
      <c r="T2330" s="18">
        <v>27.46</v>
      </c>
      <c r="U2330" s="16"/>
      <c r="V2330" s="16"/>
      <c r="W2330" s="16" t="s">
        <v>40</v>
      </c>
      <c r="X2330" s="19">
        <v>8.9999999999999993E-3</v>
      </c>
      <c r="Y2330" s="20">
        <v>5.4000000000000001E-4</v>
      </c>
      <c r="Z2330" s="21">
        <v>4601004342224</v>
      </c>
    </row>
    <row r="2331" spans="1:26" ht="12" customHeight="1" outlineLevel="4" x14ac:dyDescent="0.2">
      <c r="A2331" s="40" t="s">
        <v>4579</v>
      </c>
      <c r="B2331" s="75" t="s">
        <v>4580</v>
      </c>
      <c r="C2331" s="51"/>
      <c r="D2331" s="54">
        <f t="shared" si="36"/>
        <v>0</v>
      </c>
      <c r="E2331" s="61" t="str">
        <f>HYPERLINK("https://www.sds-group.ru/product/trubka-termousazhivaemaya-kleevaya-ttk-3-1-40-13-chernaya-rexant-26-0040-1/", "Инфо")</f>
        <v>Инфо</v>
      </c>
      <c r="F2331" s="42" t="s">
        <v>1767</v>
      </c>
      <c r="G2331" s="41" t="s">
        <v>40</v>
      </c>
      <c r="H2331" s="41"/>
      <c r="I2331" s="41"/>
      <c r="J2331" s="42" t="s">
        <v>100</v>
      </c>
      <c r="K2331" s="41" t="s">
        <v>4008</v>
      </c>
      <c r="L2331" s="43">
        <v>25</v>
      </c>
      <c r="M2331" s="43">
        <v>100</v>
      </c>
      <c r="N2331" s="43">
        <v>25</v>
      </c>
      <c r="O2331" s="44">
        <v>538.54</v>
      </c>
      <c r="P2331" s="44">
        <v>441.43</v>
      </c>
      <c r="Q2331" s="44">
        <v>430.83</v>
      </c>
      <c r="R2331" s="44">
        <v>353.14</v>
      </c>
      <c r="S2331" s="44">
        <v>366.21</v>
      </c>
      <c r="T2331" s="44">
        <v>300.17</v>
      </c>
      <c r="U2331" s="42"/>
      <c r="V2331" s="42"/>
      <c r="W2331" s="42" t="s">
        <v>40</v>
      </c>
      <c r="X2331" s="45">
        <v>0.17199999999999999</v>
      </c>
      <c r="Y2331" s="46">
        <v>7.2300000000000001E-4</v>
      </c>
      <c r="Z2331" s="21">
        <v>4601004341418</v>
      </c>
    </row>
    <row r="2332" spans="1:26" ht="12" customHeight="1" outlineLevel="4" x14ac:dyDescent="0.2">
      <c r="A2332" s="40" t="s">
        <v>4581</v>
      </c>
      <c r="B2332" s="75" t="s">
        <v>4582</v>
      </c>
      <c r="C2332" s="51"/>
      <c r="D2332" s="54">
        <f t="shared" si="36"/>
        <v>0</v>
      </c>
      <c r="E2332" s="61" t="str">
        <f>HYPERLINK("https://www.sds-group.ru/product/trubka-termousazhivaemaya-kleevaya-ttk-3-1-50-17-chernaya-rexant-26-0050-1/", "Инфо")</f>
        <v>Инфо</v>
      </c>
      <c r="F2332" s="42" t="s">
        <v>1767</v>
      </c>
      <c r="G2332" s="41" t="s">
        <v>40</v>
      </c>
      <c r="H2332" s="41"/>
      <c r="I2332" s="41"/>
      <c r="J2332" s="47">
        <v>1250</v>
      </c>
      <c r="K2332" s="41" t="s">
        <v>4008</v>
      </c>
      <c r="L2332" s="43">
        <v>25</v>
      </c>
      <c r="M2332" s="43">
        <v>100</v>
      </c>
      <c r="N2332" s="43">
        <v>25</v>
      </c>
      <c r="O2332" s="44">
        <v>749.26</v>
      </c>
      <c r="P2332" s="44">
        <v>614.15</v>
      </c>
      <c r="Q2332" s="44">
        <v>599.41</v>
      </c>
      <c r="R2332" s="44">
        <v>491.32</v>
      </c>
      <c r="S2332" s="44">
        <v>509.5</v>
      </c>
      <c r="T2332" s="44">
        <v>417.62</v>
      </c>
      <c r="U2332" s="42"/>
      <c r="V2332" s="42"/>
      <c r="W2332" s="42" t="s">
        <v>40</v>
      </c>
      <c r="X2332" s="45">
        <v>0.219</v>
      </c>
      <c r="Y2332" s="46">
        <v>8.3299999999999997E-4</v>
      </c>
      <c r="Z2332" s="21">
        <v>4601004341401</v>
      </c>
    </row>
    <row r="2333" spans="1:26" ht="12" customHeight="1" outlineLevel="4" x14ac:dyDescent="0.2">
      <c r="A2333" s="14" t="s">
        <v>4583</v>
      </c>
      <c r="B2333" s="26" t="s">
        <v>4584</v>
      </c>
      <c r="C2333" s="52"/>
      <c r="D2333" s="55">
        <f t="shared" si="36"/>
        <v>0</v>
      </c>
      <c r="E2333" s="63" t="str">
        <f>HYPERLINK("https://www.sds-group.ru/product/trubka-termousazhivaemaya-kleevaya-ttk-3-1-6-2-krasnaya-rexant-26-6004/", "Инфо")</f>
        <v>Инфо</v>
      </c>
      <c r="F2333" s="16" t="s">
        <v>39</v>
      </c>
      <c r="G2333" s="15"/>
      <c r="H2333" s="15"/>
      <c r="I2333" s="15"/>
      <c r="J2333" s="22">
        <v>2190</v>
      </c>
      <c r="K2333" s="15" t="s">
        <v>1004</v>
      </c>
      <c r="L2333" s="17">
        <v>10</v>
      </c>
      <c r="M2333" s="17">
        <v>300</v>
      </c>
      <c r="N2333" s="17">
        <v>10</v>
      </c>
      <c r="O2333" s="18">
        <v>71.22</v>
      </c>
      <c r="P2333" s="18">
        <v>58.38</v>
      </c>
      <c r="Q2333" s="18">
        <v>64.81</v>
      </c>
      <c r="R2333" s="18">
        <v>53.12</v>
      </c>
      <c r="S2333" s="18">
        <v>48.43</v>
      </c>
      <c r="T2333" s="18">
        <v>39.700000000000003</v>
      </c>
      <c r="U2333" s="16"/>
      <c r="V2333" s="16"/>
      <c r="W2333" s="16" t="s">
        <v>40</v>
      </c>
      <c r="X2333" s="19">
        <v>0.02</v>
      </c>
      <c r="Y2333" s="20">
        <v>1.6000000000000001E-4</v>
      </c>
      <c r="Z2333" s="21">
        <v>4601004342286</v>
      </c>
    </row>
    <row r="2334" spans="1:26" ht="12" customHeight="1" outlineLevel="4" x14ac:dyDescent="0.2">
      <c r="A2334" s="14" t="s">
        <v>4585</v>
      </c>
      <c r="B2334" s="26" t="s">
        <v>4586</v>
      </c>
      <c r="C2334" s="52"/>
      <c r="D2334" s="55">
        <f t="shared" si="36"/>
        <v>0</v>
      </c>
      <c r="E2334" s="63" t="str">
        <f>HYPERLINK("https://www.sds-group.ru/product/trubka-termousazhivaemaya-kleevaya-ttk-3-1-6-2-prozrachnaya-rexant-26-6009/", "Инфо")</f>
        <v>Инфо</v>
      </c>
      <c r="F2334" s="16" t="s">
        <v>39</v>
      </c>
      <c r="G2334" s="15"/>
      <c r="H2334" s="15"/>
      <c r="I2334" s="15"/>
      <c r="J2334" s="16" t="s">
        <v>100</v>
      </c>
      <c r="K2334" s="15" t="s">
        <v>1004</v>
      </c>
      <c r="L2334" s="17">
        <v>10</v>
      </c>
      <c r="M2334" s="17">
        <v>300</v>
      </c>
      <c r="N2334" s="17">
        <v>10</v>
      </c>
      <c r="O2334" s="18">
        <v>71.22</v>
      </c>
      <c r="P2334" s="18">
        <v>58.38</v>
      </c>
      <c r="Q2334" s="18">
        <v>64.81</v>
      </c>
      <c r="R2334" s="18">
        <v>53.12</v>
      </c>
      <c r="S2334" s="18">
        <v>48.43</v>
      </c>
      <c r="T2334" s="18">
        <v>39.700000000000003</v>
      </c>
      <c r="U2334" s="16"/>
      <c r="V2334" s="16"/>
      <c r="W2334" s="16" t="s">
        <v>40</v>
      </c>
      <c r="X2334" s="19">
        <v>0.02</v>
      </c>
      <c r="Y2334" s="20">
        <v>1.6000000000000001E-4</v>
      </c>
      <c r="Z2334" s="21">
        <v>4601004343030</v>
      </c>
    </row>
    <row r="2335" spans="1:26" ht="12" customHeight="1" outlineLevel="4" x14ac:dyDescent="0.2">
      <c r="A2335" s="40" t="s">
        <v>4587</v>
      </c>
      <c r="B2335" s="75" t="s">
        <v>4588</v>
      </c>
      <c r="C2335" s="51"/>
      <c r="D2335" s="54">
        <f t="shared" si="36"/>
        <v>0</v>
      </c>
      <c r="E2335" s="61" t="str">
        <f>HYPERLINK("https://www.sds-group.ru/product/trubka-termousazhivaemaya-kleevaya-ttk-3-1-6-2-chernaya-rexant-26-0006-1/", "Инфо")</f>
        <v>Инфо</v>
      </c>
      <c r="F2335" s="42" t="s">
        <v>1767</v>
      </c>
      <c r="G2335" s="41" t="s">
        <v>40</v>
      </c>
      <c r="H2335" s="41"/>
      <c r="I2335" s="41"/>
      <c r="J2335" s="47">
        <v>18600</v>
      </c>
      <c r="K2335" s="41" t="s">
        <v>4008</v>
      </c>
      <c r="L2335" s="43">
        <v>100</v>
      </c>
      <c r="M2335" s="47">
        <v>1000</v>
      </c>
      <c r="N2335" s="43">
        <v>100</v>
      </c>
      <c r="O2335" s="44">
        <v>55.23</v>
      </c>
      <c r="P2335" s="44">
        <v>45.27</v>
      </c>
      <c r="Q2335" s="44">
        <v>46.95</v>
      </c>
      <c r="R2335" s="44">
        <v>38.479999999999997</v>
      </c>
      <c r="S2335" s="44">
        <v>37.56</v>
      </c>
      <c r="T2335" s="44">
        <v>30.79</v>
      </c>
      <c r="U2335" s="42"/>
      <c r="V2335" s="42"/>
      <c r="W2335" s="42" t="s">
        <v>40</v>
      </c>
      <c r="X2335" s="45">
        <v>2.1000000000000001E-2</v>
      </c>
      <c r="Y2335" s="46">
        <v>1.3799999999999999E-4</v>
      </c>
      <c r="Z2335" s="21">
        <v>4601004341494</v>
      </c>
    </row>
    <row r="2336" spans="1:26" ht="12" customHeight="1" outlineLevel="4" x14ac:dyDescent="0.2">
      <c r="A2336" s="14" t="s">
        <v>4589</v>
      </c>
      <c r="B2336" s="26" t="s">
        <v>4588</v>
      </c>
      <c r="C2336" s="52"/>
      <c r="D2336" s="55">
        <f t="shared" si="36"/>
        <v>0</v>
      </c>
      <c r="E2336" s="63" t="str">
        <f>HYPERLINK("https://www.sds-group.ru/product/trubka-termousazhivaemaya-kleevaya-ttk-3-1-6-2-chernaya-rexant-20-6008/", "Инфо")</f>
        <v>Инфо</v>
      </c>
      <c r="F2336" s="16" t="s">
        <v>39</v>
      </c>
      <c r="G2336" s="15"/>
      <c r="H2336" s="15"/>
      <c r="I2336" s="15"/>
      <c r="J2336" s="22">
        <v>7590</v>
      </c>
      <c r="K2336" s="15" t="s">
        <v>1004</v>
      </c>
      <c r="L2336" s="17">
        <v>10</v>
      </c>
      <c r="M2336" s="17">
        <v>300</v>
      </c>
      <c r="N2336" s="17">
        <v>10</v>
      </c>
      <c r="O2336" s="18">
        <v>65.31</v>
      </c>
      <c r="P2336" s="18">
        <v>53.53</v>
      </c>
      <c r="Q2336" s="18">
        <v>59.43</v>
      </c>
      <c r="R2336" s="18">
        <v>48.71</v>
      </c>
      <c r="S2336" s="18">
        <v>44.41</v>
      </c>
      <c r="T2336" s="18">
        <v>36.4</v>
      </c>
      <c r="U2336" s="16"/>
      <c r="V2336" s="16"/>
      <c r="W2336" s="16" t="s">
        <v>40</v>
      </c>
      <c r="X2336" s="19">
        <v>1.7000000000000001E-2</v>
      </c>
      <c r="Y2336" s="20">
        <v>1.4999999999999999E-4</v>
      </c>
      <c r="Z2336" s="21">
        <v>4601004342231</v>
      </c>
    </row>
    <row r="2337" spans="1:26" ht="12" customHeight="1" outlineLevel="4" x14ac:dyDescent="0.2">
      <c r="A2337" s="14" t="s">
        <v>4590</v>
      </c>
      <c r="B2337" s="26" t="s">
        <v>4591</v>
      </c>
      <c r="C2337" s="52"/>
      <c r="D2337" s="55">
        <f t="shared" si="36"/>
        <v>0</v>
      </c>
      <c r="E2337" s="63" t="str">
        <f>HYPERLINK("https://www.sds-group.ru/product/trubka-termousazhivaemaya-kleevaya-ttk-3-1-9-3-krasnaya-rexant-26-9004/", "Инфо")</f>
        <v>Инфо</v>
      </c>
      <c r="F2337" s="16" t="s">
        <v>39</v>
      </c>
      <c r="G2337" s="15"/>
      <c r="H2337" s="15"/>
      <c r="I2337" s="15"/>
      <c r="J2337" s="17">
        <v>40</v>
      </c>
      <c r="K2337" s="15" t="s">
        <v>1004</v>
      </c>
      <c r="L2337" s="17">
        <v>10</v>
      </c>
      <c r="M2337" s="17">
        <v>200</v>
      </c>
      <c r="N2337" s="17">
        <v>10</v>
      </c>
      <c r="O2337" s="18">
        <v>107.12</v>
      </c>
      <c r="P2337" s="18">
        <v>87.8</v>
      </c>
      <c r="Q2337" s="18">
        <v>97.48</v>
      </c>
      <c r="R2337" s="18">
        <v>79.900000000000006</v>
      </c>
      <c r="S2337" s="18">
        <v>72.84</v>
      </c>
      <c r="T2337" s="18">
        <v>59.7</v>
      </c>
      <c r="U2337" s="16"/>
      <c r="V2337" s="16"/>
      <c r="W2337" s="16" t="s">
        <v>40</v>
      </c>
      <c r="X2337" s="19">
        <v>2.9000000000000001E-2</v>
      </c>
      <c r="Y2337" s="20">
        <v>2.7999999999999998E-4</v>
      </c>
      <c r="Z2337" s="21">
        <v>4601004342293</v>
      </c>
    </row>
    <row r="2338" spans="1:26" ht="12" customHeight="1" outlineLevel="4" x14ac:dyDescent="0.2">
      <c r="A2338" s="14" t="s">
        <v>4592</v>
      </c>
      <c r="B2338" s="26" t="s">
        <v>4593</v>
      </c>
      <c r="C2338" s="52"/>
      <c r="D2338" s="55">
        <f t="shared" si="36"/>
        <v>0</v>
      </c>
      <c r="E2338" s="63" t="str">
        <f>HYPERLINK("https://www.sds-group.ru/product/trubka-termousazhivaemaya-kleevaya-ttk-3-1-9-3-prozrachnaya-rexant-26-9009/", "Инфо")</f>
        <v>Инфо</v>
      </c>
      <c r="F2338" s="16" t="s">
        <v>39</v>
      </c>
      <c r="G2338" s="15"/>
      <c r="H2338" s="15"/>
      <c r="I2338" s="15"/>
      <c r="J2338" s="16" t="s">
        <v>100</v>
      </c>
      <c r="K2338" s="15" t="s">
        <v>1004</v>
      </c>
      <c r="L2338" s="17">
        <v>10</v>
      </c>
      <c r="M2338" s="17">
        <v>200</v>
      </c>
      <c r="N2338" s="17">
        <v>10</v>
      </c>
      <c r="O2338" s="18">
        <v>107.12</v>
      </c>
      <c r="P2338" s="18">
        <v>87.8</v>
      </c>
      <c r="Q2338" s="18">
        <v>97.48</v>
      </c>
      <c r="R2338" s="18">
        <v>79.900000000000006</v>
      </c>
      <c r="S2338" s="18">
        <v>72.84</v>
      </c>
      <c r="T2338" s="18">
        <v>59.7</v>
      </c>
      <c r="U2338" s="16"/>
      <c r="V2338" s="16"/>
      <c r="W2338" s="16" t="s">
        <v>40</v>
      </c>
      <c r="X2338" s="19">
        <v>2.9000000000000001E-2</v>
      </c>
      <c r="Y2338" s="20">
        <v>2.7999999999999998E-4</v>
      </c>
      <c r="Z2338" s="21">
        <v>4601004343054</v>
      </c>
    </row>
    <row r="2339" spans="1:26" ht="12" customHeight="1" outlineLevel="4" x14ac:dyDescent="0.2">
      <c r="A2339" s="40" t="s">
        <v>4594</v>
      </c>
      <c r="B2339" s="75" t="s">
        <v>4595</v>
      </c>
      <c r="C2339" s="51"/>
      <c r="D2339" s="54">
        <f t="shared" si="36"/>
        <v>0</v>
      </c>
      <c r="E2339" s="61" t="str">
        <f>HYPERLINK("https://www.sds-group.ru/product/trubka-termousazhivaemaya-kleevaya-ttk-3-1-9-3-chernaya-rexant-26-0009-1/", "Инфо")</f>
        <v>Инфо</v>
      </c>
      <c r="F2339" s="42" t="s">
        <v>1767</v>
      </c>
      <c r="G2339" s="41" t="s">
        <v>40</v>
      </c>
      <c r="H2339" s="41"/>
      <c r="I2339" s="41"/>
      <c r="J2339" s="47">
        <v>3250</v>
      </c>
      <c r="K2339" s="41" t="s">
        <v>4183</v>
      </c>
      <c r="L2339" s="43">
        <v>50</v>
      </c>
      <c r="M2339" s="43">
        <v>350</v>
      </c>
      <c r="N2339" s="43">
        <v>50</v>
      </c>
      <c r="O2339" s="44">
        <v>82.48</v>
      </c>
      <c r="P2339" s="44">
        <v>67.61</v>
      </c>
      <c r="Q2339" s="44">
        <v>70.11</v>
      </c>
      <c r="R2339" s="44">
        <v>57.47</v>
      </c>
      <c r="S2339" s="44">
        <v>56.09</v>
      </c>
      <c r="T2339" s="44">
        <v>45.98</v>
      </c>
      <c r="U2339" s="42"/>
      <c r="V2339" s="42"/>
      <c r="W2339" s="42" t="s">
        <v>40</v>
      </c>
      <c r="X2339" s="45">
        <v>3.4000000000000002E-2</v>
      </c>
      <c r="Y2339" s="46">
        <v>2.5999999999999998E-4</v>
      </c>
      <c r="Z2339" s="21">
        <v>4601004341487</v>
      </c>
    </row>
    <row r="2340" spans="1:26" ht="12" customHeight="1" outlineLevel="4" x14ac:dyDescent="0.2">
      <c r="A2340" s="14" t="s">
        <v>4596</v>
      </c>
      <c r="B2340" s="26" t="s">
        <v>4595</v>
      </c>
      <c r="C2340" s="52"/>
      <c r="D2340" s="55">
        <f t="shared" si="36"/>
        <v>0</v>
      </c>
      <c r="E2340" s="63" t="str">
        <f>HYPERLINK("https://www.sds-group.ru/product/trubka-termousazhivaemaya-kleevaya-ttk-3-1-9-3-chernaya-rexant-26-0009/", "Инфо")</f>
        <v>Инфо</v>
      </c>
      <c r="F2340" s="16" t="s">
        <v>39</v>
      </c>
      <c r="G2340" s="15"/>
      <c r="H2340" s="15"/>
      <c r="I2340" s="15"/>
      <c r="J2340" s="16" t="s">
        <v>100</v>
      </c>
      <c r="K2340" s="15" t="s">
        <v>1004</v>
      </c>
      <c r="L2340" s="17">
        <v>10</v>
      </c>
      <c r="M2340" s="17">
        <v>200</v>
      </c>
      <c r="N2340" s="17">
        <v>10</v>
      </c>
      <c r="O2340" s="18">
        <v>89.55</v>
      </c>
      <c r="P2340" s="18">
        <v>73.400000000000006</v>
      </c>
      <c r="Q2340" s="18">
        <v>81.489999999999995</v>
      </c>
      <c r="R2340" s="18">
        <v>66.8</v>
      </c>
      <c r="S2340" s="18">
        <v>60.89</v>
      </c>
      <c r="T2340" s="18">
        <v>49.91</v>
      </c>
      <c r="U2340" s="16"/>
      <c r="V2340" s="16"/>
      <c r="W2340" s="16" t="s">
        <v>40</v>
      </c>
      <c r="X2340" s="19">
        <v>3.1E-2</v>
      </c>
      <c r="Y2340" s="20">
        <v>1.6799999999999999E-4</v>
      </c>
      <c r="Z2340" s="21">
        <v>4601004342255</v>
      </c>
    </row>
    <row r="2341" spans="1:26" ht="12.95" customHeight="1" outlineLevel="3" x14ac:dyDescent="0.2">
      <c r="A2341" s="76" t="s">
        <v>4597</v>
      </c>
      <c r="B2341" s="76"/>
      <c r="C2341" s="77"/>
      <c r="D2341" s="58"/>
      <c r="E2341" s="68"/>
      <c r="F2341" s="13"/>
      <c r="G2341" s="13"/>
      <c r="H2341" s="13"/>
      <c r="I2341" s="13"/>
      <c r="J2341" s="13"/>
      <c r="K2341" s="13"/>
      <c r="L2341" s="13"/>
      <c r="M2341" s="13"/>
      <c r="N2341" s="13"/>
      <c r="O2341" s="13"/>
      <c r="P2341" s="13"/>
      <c r="Q2341" s="13"/>
      <c r="R2341" s="13"/>
      <c r="S2341" s="13"/>
      <c r="T2341" s="13"/>
      <c r="U2341" s="13"/>
      <c r="V2341" s="13"/>
      <c r="W2341" s="13"/>
      <c r="X2341" s="13"/>
      <c r="Y2341" s="13"/>
      <c r="Z2341" s="13"/>
    </row>
    <row r="2342" spans="1:26" ht="12" customHeight="1" outlineLevel="4" x14ac:dyDescent="0.2">
      <c r="A2342" s="14" t="s">
        <v>4598</v>
      </c>
      <c r="B2342" s="26" t="s">
        <v>4599</v>
      </c>
      <c r="C2342" s="52"/>
      <c r="D2342" s="55">
        <f t="shared" si="36"/>
        <v>0</v>
      </c>
      <c r="E2342" s="63" t="str">
        <f>HYPERLINK("https://www.sds-group.ru/product/trubka-termousazhivaemaya-srednestennaya-kleevaya-sttk-3-4-1-160-50-chernaya-rexant-26-0160/", "Инфо")</f>
        <v>Инфо</v>
      </c>
      <c r="F2342" s="16" t="s">
        <v>39</v>
      </c>
      <c r="G2342" s="15"/>
      <c r="H2342" s="15"/>
      <c r="I2342" s="15"/>
      <c r="J2342" s="16" t="s">
        <v>100</v>
      </c>
      <c r="K2342" s="15" t="s">
        <v>4183</v>
      </c>
      <c r="L2342" s="17">
        <v>1</v>
      </c>
      <c r="M2342" s="17">
        <v>15</v>
      </c>
      <c r="N2342" s="17">
        <v>1</v>
      </c>
      <c r="O2342" s="18">
        <v>2726.83</v>
      </c>
      <c r="P2342" s="18">
        <v>2235.11</v>
      </c>
      <c r="Q2342" s="18">
        <v>2263.27</v>
      </c>
      <c r="R2342" s="18">
        <v>1855.14</v>
      </c>
      <c r="S2342" s="18">
        <v>1854.24</v>
      </c>
      <c r="T2342" s="18">
        <v>1519.87</v>
      </c>
      <c r="U2342" s="16"/>
      <c r="V2342" s="16"/>
      <c r="W2342" s="16" t="s">
        <v>40</v>
      </c>
      <c r="X2342" s="19">
        <v>1.1080000000000001</v>
      </c>
      <c r="Y2342" s="20">
        <v>8.2459999999999999E-3</v>
      </c>
      <c r="Z2342" s="21">
        <v>4601004027930</v>
      </c>
    </row>
    <row r="2343" spans="1:26" ht="12" customHeight="1" outlineLevel="4" x14ac:dyDescent="0.2">
      <c r="A2343" s="14" t="s">
        <v>4600</v>
      </c>
      <c r="B2343" s="26" t="s">
        <v>4601</v>
      </c>
      <c r="C2343" s="52"/>
      <c r="D2343" s="55">
        <f t="shared" si="36"/>
        <v>0</v>
      </c>
      <c r="E2343" s="63" t="str">
        <f>HYPERLINK("https://www.sds-group.ru/product/trubka-termousazhivaemaya-srednestennaya-kleevaya-sttk-3-4-1-180-58-chernaya-rexant-26-0180/", "Инфо")</f>
        <v>Инфо</v>
      </c>
      <c r="F2343" s="16" t="s">
        <v>39</v>
      </c>
      <c r="G2343" s="15"/>
      <c r="H2343" s="15"/>
      <c r="I2343" s="15"/>
      <c r="J2343" s="17">
        <v>1</v>
      </c>
      <c r="K2343" s="15" t="s">
        <v>1004</v>
      </c>
      <c r="L2343" s="17">
        <v>1</v>
      </c>
      <c r="M2343" s="17">
        <v>25</v>
      </c>
      <c r="N2343" s="17">
        <v>1</v>
      </c>
      <c r="O2343" s="18">
        <v>4076.66</v>
      </c>
      <c r="P2343" s="18">
        <v>3341.52</v>
      </c>
      <c r="Q2343" s="18">
        <v>3179.79</v>
      </c>
      <c r="R2343" s="18">
        <v>2606.39</v>
      </c>
      <c r="S2343" s="18">
        <v>2772.13</v>
      </c>
      <c r="T2343" s="18">
        <v>2272.2399999999998</v>
      </c>
      <c r="U2343" s="16"/>
      <c r="V2343" s="16"/>
      <c r="W2343" s="16" t="s">
        <v>40</v>
      </c>
      <c r="X2343" s="19">
        <v>1.2090000000000001</v>
      </c>
      <c r="Y2343" s="20">
        <v>8.2590000000000007E-3</v>
      </c>
      <c r="Z2343" s="21">
        <v>4601004028012</v>
      </c>
    </row>
    <row r="2344" spans="1:26" ht="12" customHeight="1" outlineLevel="4" x14ac:dyDescent="0.2">
      <c r="A2344" s="14" t="s">
        <v>4602</v>
      </c>
      <c r="B2344" s="26" t="s">
        <v>4603</v>
      </c>
      <c r="C2344" s="52"/>
      <c r="D2344" s="55">
        <f t="shared" si="36"/>
        <v>0</v>
      </c>
      <c r="E2344" s="63" t="str">
        <f>HYPERLINK("https://www.sds-group.ru/product/trubka-termousazhivaemaya-srednestennaya-kleevaya-sttk-3-4-1-33-8-chernaya-rexant-26-0033/", "Инфо")</f>
        <v>Инфо</v>
      </c>
      <c r="F2344" s="16" t="s">
        <v>39</v>
      </c>
      <c r="G2344" s="15"/>
      <c r="H2344" s="15"/>
      <c r="I2344" s="15"/>
      <c r="J2344" s="16" t="s">
        <v>100</v>
      </c>
      <c r="K2344" s="15" t="s">
        <v>1004</v>
      </c>
      <c r="L2344" s="17">
        <v>4</v>
      </c>
      <c r="M2344" s="17">
        <v>48</v>
      </c>
      <c r="N2344" s="17">
        <v>4</v>
      </c>
      <c r="O2344" s="18">
        <v>470.78</v>
      </c>
      <c r="P2344" s="18">
        <v>385.89</v>
      </c>
      <c r="Q2344" s="18">
        <v>404.87</v>
      </c>
      <c r="R2344" s="18">
        <v>331.86</v>
      </c>
      <c r="S2344" s="18">
        <v>320.13</v>
      </c>
      <c r="T2344" s="18">
        <v>262.39999999999998</v>
      </c>
      <c r="U2344" s="16"/>
      <c r="V2344" s="16"/>
      <c r="W2344" s="16" t="s">
        <v>40</v>
      </c>
      <c r="X2344" s="19">
        <v>0.17100000000000001</v>
      </c>
      <c r="Y2344" s="20">
        <v>1.7179999999999999E-3</v>
      </c>
      <c r="Z2344" s="21">
        <v>4601004343078</v>
      </c>
    </row>
    <row r="2345" spans="1:26" ht="12" customHeight="1" outlineLevel="4" x14ac:dyDescent="0.2">
      <c r="A2345" s="14" t="s">
        <v>4604</v>
      </c>
      <c r="B2345" s="26" t="s">
        <v>4605</v>
      </c>
      <c r="C2345" s="52"/>
      <c r="D2345" s="55">
        <f t="shared" si="36"/>
        <v>0</v>
      </c>
      <c r="E2345" s="63" t="str">
        <f>HYPERLINK("https://www.sds-group.ru/product/trubka-termousazhivaemaya-srednestennaya-kleevaya-sttk-3-4-1-55-16-chernaya-rexant-26-0055/", "Инфо")</f>
        <v>Инфо</v>
      </c>
      <c r="F2345" s="16" t="s">
        <v>39</v>
      </c>
      <c r="G2345" s="15"/>
      <c r="H2345" s="15"/>
      <c r="I2345" s="15"/>
      <c r="J2345" s="17">
        <v>8</v>
      </c>
      <c r="K2345" s="15" t="s">
        <v>1004</v>
      </c>
      <c r="L2345" s="17">
        <v>2</v>
      </c>
      <c r="M2345" s="17">
        <v>32</v>
      </c>
      <c r="N2345" s="17">
        <v>2</v>
      </c>
      <c r="O2345" s="18">
        <v>744.58</v>
      </c>
      <c r="P2345" s="18">
        <v>610.30999999999995</v>
      </c>
      <c r="Q2345" s="18">
        <v>640.34</v>
      </c>
      <c r="R2345" s="18">
        <v>524.87</v>
      </c>
      <c r="S2345" s="18">
        <v>506.31</v>
      </c>
      <c r="T2345" s="18">
        <v>415.01</v>
      </c>
      <c r="U2345" s="16"/>
      <c r="V2345" s="16"/>
      <c r="W2345" s="16" t="s">
        <v>40</v>
      </c>
      <c r="X2345" s="19">
        <v>0.30199999999999999</v>
      </c>
      <c r="Y2345" s="20">
        <v>3.6909999999999998E-3</v>
      </c>
      <c r="Z2345" s="21">
        <v>4601004343085</v>
      </c>
    </row>
    <row r="2346" spans="1:26" ht="12" customHeight="1" outlineLevel="4" x14ac:dyDescent="0.2">
      <c r="A2346" s="14" t="s">
        <v>4606</v>
      </c>
      <c r="B2346" s="26" t="s">
        <v>4607</v>
      </c>
      <c r="C2346" s="52"/>
      <c r="D2346" s="55">
        <f t="shared" si="36"/>
        <v>0</v>
      </c>
      <c r="E2346" s="63" t="str">
        <f>HYPERLINK("https://www.sds-group.ru/product/trubka-termousazhivaemaya-srednestennaya-kleevaya-sttk-3-4-1-75-22-chernaya-rexant-26-0075/", "Инфо")</f>
        <v>Инфо</v>
      </c>
      <c r="F2346" s="16" t="s">
        <v>39</v>
      </c>
      <c r="G2346" s="15"/>
      <c r="H2346" s="15"/>
      <c r="I2346" s="15"/>
      <c r="J2346" s="16" t="s">
        <v>100</v>
      </c>
      <c r="K2346" s="15" t="s">
        <v>1004</v>
      </c>
      <c r="L2346" s="17">
        <v>2</v>
      </c>
      <c r="M2346" s="17">
        <v>20</v>
      </c>
      <c r="N2346" s="17">
        <v>2</v>
      </c>
      <c r="O2346" s="18">
        <v>1123.98</v>
      </c>
      <c r="P2346" s="18">
        <v>921.3</v>
      </c>
      <c r="Q2346" s="18">
        <v>966.62</v>
      </c>
      <c r="R2346" s="18">
        <v>792.31</v>
      </c>
      <c r="S2346" s="18">
        <v>764.31</v>
      </c>
      <c r="T2346" s="18">
        <v>626.48</v>
      </c>
      <c r="U2346" s="16"/>
      <c r="V2346" s="16"/>
      <c r="W2346" s="16" t="s">
        <v>40</v>
      </c>
      <c r="X2346" s="19">
        <v>0.45400000000000001</v>
      </c>
      <c r="Y2346" s="20">
        <v>4.1279999999999997E-3</v>
      </c>
      <c r="Z2346" s="21">
        <v>4601004343092</v>
      </c>
    </row>
    <row r="2347" spans="1:26" ht="12" customHeight="1" outlineLevel="4" x14ac:dyDescent="0.2">
      <c r="A2347" s="14" t="s">
        <v>4608</v>
      </c>
      <c r="B2347" s="26" t="s">
        <v>4609</v>
      </c>
      <c r="C2347" s="52"/>
      <c r="D2347" s="55">
        <f t="shared" si="36"/>
        <v>0</v>
      </c>
      <c r="E2347" s="63" t="str">
        <f>HYPERLINK("https://www.sds-group.ru/product/trubka-termousazhivaemaya-srednestennaya-kleevaya-sttk-3-4-1-95-29-chernaya-rexant-26-0095/", "Инфо")</f>
        <v>Инфо</v>
      </c>
      <c r="F2347" s="16" t="s">
        <v>39</v>
      </c>
      <c r="G2347" s="15"/>
      <c r="H2347" s="15"/>
      <c r="I2347" s="15"/>
      <c r="J2347" s="16" t="s">
        <v>100</v>
      </c>
      <c r="K2347" s="15" t="s">
        <v>1004</v>
      </c>
      <c r="L2347" s="17">
        <v>2</v>
      </c>
      <c r="M2347" s="17">
        <v>20</v>
      </c>
      <c r="N2347" s="17">
        <v>2</v>
      </c>
      <c r="O2347" s="18">
        <v>1396.23</v>
      </c>
      <c r="P2347" s="18">
        <v>1144.45</v>
      </c>
      <c r="Q2347" s="18">
        <v>1186.8</v>
      </c>
      <c r="R2347" s="18">
        <v>972.79</v>
      </c>
      <c r="S2347" s="18">
        <v>949.44</v>
      </c>
      <c r="T2347" s="18">
        <v>778.23</v>
      </c>
      <c r="U2347" s="16"/>
      <c r="V2347" s="16"/>
      <c r="W2347" s="16" t="s">
        <v>40</v>
      </c>
      <c r="X2347" s="19">
        <v>0.60799999999999998</v>
      </c>
      <c r="Y2347" s="20">
        <v>4.1330000000000004E-3</v>
      </c>
      <c r="Z2347" s="21">
        <v>4601004343108</v>
      </c>
    </row>
    <row r="2348" spans="1:26" ht="12.95" customHeight="1" outlineLevel="3" x14ac:dyDescent="0.2">
      <c r="A2348" s="76" t="s">
        <v>4610</v>
      </c>
      <c r="B2348" s="76"/>
      <c r="C2348" s="77"/>
      <c r="D2348" s="58"/>
      <c r="E2348" s="68"/>
      <c r="F2348" s="13"/>
      <c r="G2348" s="13"/>
      <c r="H2348" s="13"/>
      <c r="I2348" s="13"/>
      <c r="J2348" s="13"/>
      <c r="K2348" s="13"/>
      <c r="L2348" s="13"/>
      <c r="M2348" s="13"/>
      <c r="N2348" s="13"/>
      <c r="O2348" s="13"/>
      <c r="P2348" s="13"/>
      <c r="Q2348" s="13"/>
      <c r="R2348" s="13"/>
      <c r="S2348" s="13"/>
      <c r="T2348" s="13"/>
      <c r="U2348" s="13"/>
      <c r="V2348" s="13"/>
      <c r="W2348" s="13"/>
      <c r="X2348" s="13"/>
      <c r="Y2348" s="13"/>
      <c r="Z2348" s="13"/>
    </row>
    <row r="2349" spans="1:26" ht="12" customHeight="1" outlineLevel="4" x14ac:dyDescent="0.2">
      <c r="A2349" s="14" t="s">
        <v>4611</v>
      </c>
      <c r="B2349" s="26" t="s">
        <v>4612</v>
      </c>
      <c r="C2349" s="52"/>
      <c r="D2349" s="55">
        <f t="shared" si="36"/>
        <v>0</v>
      </c>
      <c r="E2349" s="63" t="str">
        <f>HYPERLINK("https://www.sds-group.ru/product/trubka-termousazhivaemaya-kleevaya-ttk-4-1-12-3-chernaya-rexant-23-1206/", "Инфо")</f>
        <v>Инфо</v>
      </c>
      <c r="F2349" s="16" t="s">
        <v>39</v>
      </c>
      <c r="G2349" s="15"/>
      <c r="H2349" s="15"/>
      <c r="I2349" s="15"/>
      <c r="J2349" s="16" t="s">
        <v>100</v>
      </c>
      <c r="K2349" s="15" t="s">
        <v>1004</v>
      </c>
      <c r="L2349" s="17">
        <v>10</v>
      </c>
      <c r="M2349" s="17">
        <v>150</v>
      </c>
      <c r="N2349" s="17">
        <v>10</v>
      </c>
      <c r="O2349" s="18">
        <v>163.03</v>
      </c>
      <c r="P2349" s="18">
        <v>133.63</v>
      </c>
      <c r="Q2349" s="18">
        <v>148.36000000000001</v>
      </c>
      <c r="R2349" s="18">
        <v>121.61</v>
      </c>
      <c r="S2349" s="18">
        <v>110.86</v>
      </c>
      <c r="T2349" s="18">
        <v>90.87</v>
      </c>
      <c r="U2349" s="16"/>
      <c r="V2349" s="16"/>
      <c r="W2349" s="16" t="s">
        <v>40</v>
      </c>
      <c r="X2349" s="19">
        <v>4.2999999999999997E-2</v>
      </c>
      <c r="Y2349" s="20">
        <v>2.24E-4</v>
      </c>
      <c r="Z2349" s="21">
        <v>4601004343115</v>
      </c>
    </row>
    <row r="2350" spans="1:26" ht="12" customHeight="1" outlineLevel="4" x14ac:dyDescent="0.2">
      <c r="A2350" s="14" t="s">
        <v>4613</v>
      </c>
      <c r="B2350" s="26" t="s">
        <v>4614</v>
      </c>
      <c r="C2350" s="52"/>
      <c r="D2350" s="55">
        <f t="shared" si="36"/>
        <v>0</v>
      </c>
      <c r="E2350" s="63" t="str">
        <f>HYPERLINK("https://www.sds-group.ru/product/trubka-termousazhivaemaya-kleevaya-ttk-4-1-16-4-chernaya-rexant-23-1606/", "Инфо")</f>
        <v>Инфо</v>
      </c>
      <c r="F2350" s="16" t="s">
        <v>39</v>
      </c>
      <c r="G2350" s="15"/>
      <c r="H2350" s="15"/>
      <c r="I2350" s="15"/>
      <c r="J2350" s="16" t="s">
        <v>100</v>
      </c>
      <c r="K2350" s="15" t="s">
        <v>1004</v>
      </c>
      <c r="L2350" s="17">
        <v>10</v>
      </c>
      <c r="M2350" s="17">
        <v>120</v>
      </c>
      <c r="N2350" s="17">
        <v>10</v>
      </c>
      <c r="O2350" s="18">
        <v>230.92</v>
      </c>
      <c r="P2350" s="18">
        <v>189.28</v>
      </c>
      <c r="Q2350" s="18">
        <v>210.14</v>
      </c>
      <c r="R2350" s="18">
        <v>172.25</v>
      </c>
      <c r="S2350" s="18">
        <v>157.03</v>
      </c>
      <c r="T2350" s="18">
        <v>128.71</v>
      </c>
      <c r="U2350" s="16"/>
      <c r="V2350" s="16"/>
      <c r="W2350" s="16" t="s">
        <v>40</v>
      </c>
      <c r="X2350" s="19">
        <v>5.0999999999999997E-2</v>
      </c>
      <c r="Y2350" s="20">
        <v>2.7999999999999998E-4</v>
      </c>
      <c r="Z2350" s="21">
        <v>4601004343122</v>
      </c>
    </row>
    <row r="2351" spans="1:26" ht="12" customHeight="1" outlineLevel="4" x14ac:dyDescent="0.2">
      <c r="A2351" s="14" t="s">
        <v>4615</v>
      </c>
      <c r="B2351" s="26" t="s">
        <v>4616</v>
      </c>
      <c r="C2351" s="52"/>
      <c r="D2351" s="55">
        <f t="shared" si="36"/>
        <v>0</v>
      </c>
      <c r="E2351" s="63" t="str">
        <f>HYPERLINK("https://www.sds-group.ru/product/trubka-termousazhivaemaya-kleevaya-ttk-4-1-24-6-chernaya-rexant-23-2406/", "Инфо")</f>
        <v>Инфо</v>
      </c>
      <c r="F2351" s="16" t="s">
        <v>39</v>
      </c>
      <c r="G2351" s="15"/>
      <c r="H2351" s="15"/>
      <c r="I2351" s="15"/>
      <c r="J2351" s="22">
        <v>1300</v>
      </c>
      <c r="K2351" s="15" t="s">
        <v>1004</v>
      </c>
      <c r="L2351" s="17">
        <v>20</v>
      </c>
      <c r="M2351" s="17">
        <v>100</v>
      </c>
      <c r="N2351" s="17">
        <v>20</v>
      </c>
      <c r="O2351" s="18">
        <v>406.83</v>
      </c>
      <c r="P2351" s="18">
        <v>333.47</v>
      </c>
      <c r="Q2351" s="18">
        <v>370.22</v>
      </c>
      <c r="R2351" s="18">
        <v>303.45999999999998</v>
      </c>
      <c r="S2351" s="18">
        <v>276.64</v>
      </c>
      <c r="T2351" s="18">
        <v>226.75</v>
      </c>
      <c r="U2351" s="16"/>
      <c r="V2351" s="16"/>
      <c r="W2351" s="16" t="s">
        <v>40</v>
      </c>
      <c r="X2351" s="19">
        <v>8.5999999999999993E-2</v>
      </c>
      <c r="Y2351" s="20">
        <v>3.3500000000000001E-4</v>
      </c>
      <c r="Z2351" s="21">
        <v>4601004343139</v>
      </c>
    </row>
    <row r="2352" spans="1:26" ht="12" customHeight="1" outlineLevel="4" x14ac:dyDescent="0.2">
      <c r="A2352" s="14" t="s">
        <v>4617</v>
      </c>
      <c r="B2352" s="26" t="s">
        <v>4618</v>
      </c>
      <c r="C2352" s="52"/>
      <c r="D2352" s="55">
        <f t="shared" si="36"/>
        <v>0</v>
      </c>
      <c r="E2352" s="63" t="str">
        <f>HYPERLINK("https://www.sds-group.ru/product/trubka-termousazhivaemaya-kleevaya-ttk-4-1-32-8-chernaya-rexant-23-3206/", "Инфо")</f>
        <v>Инфо</v>
      </c>
      <c r="F2352" s="16" t="s">
        <v>39</v>
      </c>
      <c r="G2352" s="15"/>
      <c r="H2352" s="15"/>
      <c r="I2352" s="15"/>
      <c r="J2352" s="22">
        <v>1800</v>
      </c>
      <c r="K2352" s="15" t="s">
        <v>4183</v>
      </c>
      <c r="L2352" s="17">
        <v>5</v>
      </c>
      <c r="M2352" s="17">
        <v>50</v>
      </c>
      <c r="N2352" s="17">
        <v>5</v>
      </c>
      <c r="O2352" s="18">
        <v>582.25</v>
      </c>
      <c r="P2352" s="18">
        <v>477.25</v>
      </c>
      <c r="Q2352" s="18">
        <v>500.74</v>
      </c>
      <c r="R2352" s="18">
        <v>410.44</v>
      </c>
      <c r="S2352" s="18">
        <v>395.93</v>
      </c>
      <c r="T2352" s="18">
        <v>324.52999999999997</v>
      </c>
      <c r="U2352" s="16"/>
      <c r="V2352" s="16"/>
      <c r="W2352" s="16" t="s">
        <v>40</v>
      </c>
      <c r="X2352" s="19">
        <v>0.13900000000000001</v>
      </c>
      <c r="Y2352" s="20">
        <v>6.7100000000000005E-4</v>
      </c>
      <c r="Z2352" s="21">
        <v>4601004343146</v>
      </c>
    </row>
    <row r="2353" spans="1:26" ht="12" customHeight="1" outlineLevel="4" x14ac:dyDescent="0.2">
      <c r="A2353" s="14" t="s">
        <v>4619</v>
      </c>
      <c r="B2353" s="26" t="s">
        <v>4620</v>
      </c>
      <c r="C2353" s="52"/>
      <c r="D2353" s="55">
        <f t="shared" si="36"/>
        <v>0</v>
      </c>
      <c r="E2353" s="63" t="str">
        <f>HYPERLINK("https://www.sds-group.ru/product/trubka-termousazhivaemaya-kleevaya-ttk-4-1-4-1-chernaya-rexant-23-4006/", "Инфо")</f>
        <v>Инфо</v>
      </c>
      <c r="F2353" s="16" t="s">
        <v>39</v>
      </c>
      <c r="G2353" s="15"/>
      <c r="H2353" s="15"/>
      <c r="I2353" s="15"/>
      <c r="J2353" s="16" t="s">
        <v>100</v>
      </c>
      <c r="K2353" s="15" t="s">
        <v>1004</v>
      </c>
      <c r="L2353" s="17">
        <v>10</v>
      </c>
      <c r="M2353" s="17">
        <v>400</v>
      </c>
      <c r="N2353" s="17">
        <v>10</v>
      </c>
      <c r="O2353" s="18">
        <v>56.61</v>
      </c>
      <c r="P2353" s="18">
        <v>46.4</v>
      </c>
      <c r="Q2353" s="18">
        <v>51.52</v>
      </c>
      <c r="R2353" s="18">
        <v>42.23</v>
      </c>
      <c r="S2353" s="18">
        <v>38.49</v>
      </c>
      <c r="T2353" s="18">
        <v>31.55</v>
      </c>
      <c r="U2353" s="16"/>
      <c r="V2353" s="16"/>
      <c r="W2353" s="16" t="s">
        <v>40</v>
      </c>
      <c r="X2353" s="19">
        <v>1.4999999999999999E-2</v>
      </c>
      <c r="Y2353" s="20">
        <v>8.3999999999999995E-5</v>
      </c>
      <c r="Z2353" s="21">
        <v>4601004343153</v>
      </c>
    </row>
    <row r="2354" spans="1:26" ht="12" customHeight="1" outlineLevel="4" x14ac:dyDescent="0.2">
      <c r="A2354" s="14" t="s">
        <v>4621</v>
      </c>
      <c r="B2354" s="26" t="s">
        <v>4622</v>
      </c>
      <c r="C2354" s="52"/>
      <c r="D2354" s="55">
        <f t="shared" si="36"/>
        <v>0</v>
      </c>
      <c r="E2354" s="63" t="str">
        <f>HYPERLINK("https://www.sds-group.ru/product/trubka-termousazhivaemaya-kleevaya-ttk-4-1-52-13-chernaya-rexant-23-5206/", "Инфо")</f>
        <v>Инфо</v>
      </c>
      <c r="F2354" s="16" t="s">
        <v>39</v>
      </c>
      <c r="G2354" s="15"/>
      <c r="H2354" s="15"/>
      <c r="I2354" s="15"/>
      <c r="J2354" s="16" t="s">
        <v>100</v>
      </c>
      <c r="K2354" s="15" t="s">
        <v>4183</v>
      </c>
      <c r="L2354" s="17">
        <v>2</v>
      </c>
      <c r="M2354" s="17">
        <v>24</v>
      </c>
      <c r="N2354" s="17">
        <v>2</v>
      </c>
      <c r="O2354" s="18">
        <v>955.12</v>
      </c>
      <c r="P2354" s="18">
        <v>782.89</v>
      </c>
      <c r="Q2354" s="18">
        <v>821.4</v>
      </c>
      <c r="R2354" s="18">
        <v>673.28</v>
      </c>
      <c r="S2354" s="18">
        <v>649.48</v>
      </c>
      <c r="T2354" s="18">
        <v>532.36</v>
      </c>
      <c r="U2354" s="16"/>
      <c r="V2354" s="16"/>
      <c r="W2354" s="16" t="s">
        <v>40</v>
      </c>
      <c r="X2354" s="19">
        <v>0.27300000000000002</v>
      </c>
      <c r="Y2354" s="20">
        <v>1.3960000000000001E-3</v>
      </c>
      <c r="Z2354" s="21">
        <v>4601004343160</v>
      </c>
    </row>
    <row r="2355" spans="1:26" ht="12" customHeight="1" outlineLevel="4" x14ac:dyDescent="0.2">
      <c r="A2355" s="14" t="s">
        <v>4623</v>
      </c>
      <c r="B2355" s="26" t="s">
        <v>4624</v>
      </c>
      <c r="C2355" s="52"/>
      <c r="D2355" s="55">
        <f t="shared" si="36"/>
        <v>0</v>
      </c>
      <c r="E2355" s="63" t="str">
        <f>HYPERLINK("https://www.sds-group.ru/product/trubka-termousazhivaemaya-kleevaya-ttk-4-1-6-1-5-chernaya-rexant-23-6006/", "Инфо")</f>
        <v>Инфо</v>
      </c>
      <c r="F2355" s="16" t="s">
        <v>39</v>
      </c>
      <c r="G2355" s="15"/>
      <c r="H2355" s="15"/>
      <c r="I2355" s="15"/>
      <c r="J2355" s="16" t="s">
        <v>100</v>
      </c>
      <c r="K2355" s="15" t="s">
        <v>1004</v>
      </c>
      <c r="L2355" s="17">
        <v>10</v>
      </c>
      <c r="M2355" s="17">
        <v>300</v>
      </c>
      <c r="N2355" s="17">
        <v>10</v>
      </c>
      <c r="O2355" s="18">
        <v>79.989999999999995</v>
      </c>
      <c r="P2355" s="18">
        <v>65.569999999999993</v>
      </c>
      <c r="Q2355" s="18">
        <v>72.790000000000006</v>
      </c>
      <c r="R2355" s="18">
        <v>59.66</v>
      </c>
      <c r="S2355" s="18">
        <v>54.39</v>
      </c>
      <c r="T2355" s="18">
        <v>44.58</v>
      </c>
      <c r="U2355" s="16"/>
      <c r="V2355" s="16"/>
      <c r="W2355" s="16" t="s">
        <v>40</v>
      </c>
      <c r="X2355" s="19">
        <v>1.7999999999999999E-2</v>
      </c>
      <c r="Y2355" s="20">
        <v>1.12E-4</v>
      </c>
      <c r="Z2355" s="21">
        <v>4601004343177</v>
      </c>
    </row>
    <row r="2356" spans="1:26" ht="12" customHeight="1" outlineLevel="4" x14ac:dyDescent="0.2">
      <c r="A2356" s="14" t="s">
        <v>4625</v>
      </c>
      <c r="B2356" s="26" t="s">
        <v>4626</v>
      </c>
      <c r="C2356" s="52"/>
      <c r="D2356" s="55">
        <f t="shared" si="36"/>
        <v>0</v>
      </c>
      <c r="E2356" s="63" t="str">
        <f>HYPERLINK("https://www.sds-group.ru/product/trubka-termousazhivaemaya-kleevaya-ttk-4-1-8-2-chernaya-rexant-23-9006/", "Инфо")</f>
        <v>Инфо</v>
      </c>
      <c r="F2356" s="16" t="s">
        <v>39</v>
      </c>
      <c r="G2356" s="15"/>
      <c r="H2356" s="15"/>
      <c r="I2356" s="15"/>
      <c r="J2356" s="16" t="s">
        <v>100</v>
      </c>
      <c r="K2356" s="15" t="s">
        <v>1004</v>
      </c>
      <c r="L2356" s="17">
        <v>10</v>
      </c>
      <c r="M2356" s="17">
        <v>200</v>
      </c>
      <c r="N2356" s="17">
        <v>10</v>
      </c>
      <c r="O2356" s="18">
        <v>114.22</v>
      </c>
      <c r="P2356" s="18">
        <v>93.62</v>
      </c>
      <c r="Q2356" s="18">
        <v>103.94</v>
      </c>
      <c r="R2356" s="18">
        <v>85.2</v>
      </c>
      <c r="S2356" s="18">
        <v>77.67</v>
      </c>
      <c r="T2356" s="18">
        <v>63.66</v>
      </c>
      <c r="U2356" s="16"/>
      <c r="V2356" s="16"/>
      <c r="W2356" s="16" t="s">
        <v>40</v>
      </c>
      <c r="X2356" s="19">
        <v>2.9000000000000001E-2</v>
      </c>
      <c r="Y2356" s="20">
        <v>1.6799999999999999E-4</v>
      </c>
      <c r="Z2356" s="21">
        <v>4601004343184</v>
      </c>
    </row>
    <row r="2357" spans="1:26" ht="12.95" customHeight="1" outlineLevel="3" x14ac:dyDescent="0.2">
      <c r="A2357" s="76" t="s">
        <v>4627</v>
      </c>
      <c r="B2357" s="76"/>
      <c r="C2357" s="77"/>
      <c r="D2357" s="58"/>
      <c r="E2357" s="68"/>
      <c r="F2357" s="13"/>
      <c r="G2357" s="13"/>
      <c r="H2357" s="13"/>
      <c r="I2357" s="13"/>
      <c r="J2357" s="13"/>
      <c r="K2357" s="13"/>
      <c r="L2357" s="13"/>
      <c r="M2357" s="13"/>
      <c r="N2357" s="13"/>
      <c r="O2357" s="13"/>
      <c r="P2357" s="13"/>
      <c r="Q2357" s="13"/>
      <c r="R2357" s="13"/>
      <c r="S2357" s="13"/>
      <c r="T2357" s="13"/>
      <c r="U2357" s="13"/>
      <c r="V2357" s="13"/>
      <c r="W2357" s="13"/>
      <c r="X2357" s="13"/>
      <c r="Y2357" s="13"/>
      <c r="Z2357" s="13"/>
    </row>
    <row r="2358" spans="1:26" ht="12" customHeight="1" outlineLevel="4" x14ac:dyDescent="0.2">
      <c r="A2358" s="14" t="s">
        <v>4628</v>
      </c>
      <c r="B2358" s="26" t="s">
        <v>4629</v>
      </c>
      <c r="C2358" s="52"/>
      <c r="D2358" s="55">
        <f t="shared" si="36"/>
        <v>0</v>
      </c>
      <c r="E2358" s="63" t="str">
        <f>HYPERLINK("https://www.sds-group.ru/product/trubka-termousazhivaemaya-kleevaya-ttk-6-1-115-19-chernaya-rexant-23-0115/", "Инфо")</f>
        <v>Инфо</v>
      </c>
      <c r="F2358" s="16" t="s">
        <v>39</v>
      </c>
      <c r="G2358" s="15"/>
      <c r="H2358" s="15"/>
      <c r="I2358" s="15"/>
      <c r="J2358" s="16" t="s">
        <v>100</v>
      </c>
      <c r="K2358" s="15" t="s">
        <v>4013</v>
      </c>
      <c r="L2358" s="17">
        <v>1</v>
      </c>
      <c r="M2358" s="17">
        <v>30</v>
      </c>
      <c r="N2358" s="17">
        <v>1</v>
      </c>
      <c r="O2358" s="18">
        <v>5702.11</v>
      </c>
      <c r="P2358" s="18">
        <v>4673.8599999999997</v>
      </c>
      <c r="Q2358" s="18">
        <v>4846.79</v>
      </c>
      <c r="R2358" s="18">
        <v>3972.78</v>
      </c>
      <c r="S2358" s="18">
        <v>3877.43</v>
      </c>
      <c r="T2358" s="18">
        <v>3178.22</v>
      </c>
      <c r="U2358" s="16"/>
      <c r="V2358" s="16"/>
      <c r="W2358" s="16" t="s">
        <v>40</v>
      </c>
      <c r="X2358" s="19">
        <v>0.75800000000000001</v>
      </c>
      <c r="Y2358" s="20">
        <v>2.6670000000000001E-3</v>
      </c>
      <c r="Z2358" s="21">
        <v>4601004129801</v>
      </c>
    </row>
    <row r="2359" spans="1:26" ht="12" customHeight="1" outlineLevel="4" x14ac:dyDescent="0.2">
      <c r="A2359" s="14" t="s">
        <v>4630</v>
      </c>
      <c r="B2359" s="26" t="s">
        <v>4631</v>
      </c>
      <c r="C2359" s="52"/>
      <c r="D2359" s="55">
        <f t="shared" si="36"/>
        <v>0</v>
      </c>
      <c r="E2359" s="63" t="str">
        <f>HYPERLINK("https://www.sds-group.ru/product/trubka-termousazhivaemaya-kleevaya-ttk-6-1-130-22-chernaya-rexant-23-0130/", "Инфо")</f>
        <v>Инфо</v>
      </c>
      <c r="F2359" s="16" t="s">
        <v>39</v>
      </c>
      <c r="G2359" s="15"/>
      <c r="H2359" s="15"/>
      <c r="I2359" s="15"/>
      <c r="J2359" s="17">
        <v>4</v>
      </c>
      <c r="K2359" s="15" t="s">
        <v>4013</v>
      </c>
      <c r="L2359" s="17">
        <v>1</v>
      </c>
      <c r="M2359" s="17">
        <v>30</v>
      </c>
      <c r="N2359" s="17">
        <v>1</v>
      </c>
      <c r="O2359" s="18">
        <v>7439.1</v>
      </c>
      <c r="P2359" s="18">
        <v>6097.62</v>
      </c>
      <c r="Q2359" s="18">
        <v>5802.5</v>
      </c>
      <c r="R2359" s="18">
        <v>4756.1499999999996</v>
      </c>
      <c r="S2359" s="18">
        <v>5058.59</v>
      </c>
      <c r="T2359" s="18">
        <v>4146.3900000000003</v>
      </c>
      <c r="U2359" s="16"/>
      <c r="V2359" s="16"/>
      <c r="W2359" s="16" t="s">
        <v>40</v>
      </c>
      <c r="X2359" s="19">
        <v>0.73799999999999999</v>
      </c>
      <c r="Y2359" s="20">
        <v>4.0000000000000001E-3</v>
      </c>
      <c r="Z2359" s="21">
        <v>4601004129818</v>
      </c>
    </row>
    <row r="2360" spans="1:26" ht="12" customHeight="1" outlineLevel="4" x14ac:dyDescent="0.2">
      <c r="A2360" s="14" t="s">
        <v>4632</v>
      </c>
      <c r="B2360" s="26" t="s">
        <v>4633</v>
      </c>
      <c r="C2360" s="52"/>
      <c r="D2360" s="55">
        <f t="shared" si="36"/>
        <v>0</v>
      </c>
      <c r="E2360" s="63" t="str">
        <f>HYPERLINK("https://www.sds-group.ru/product/trubka-termousazhivaemaya-kleevaya-ttk-6-1-19-3-2-chernaya-rexant-23-0019/", "Инфо")</f>
        <v>Инфо</v>
      </c>
      <c r="F2360" s="16" t="s">
        <v>39</v>
      </c>
      <c r="G2360" s="15"/>
      <c r="H2360" s="15"/>
      <c r="I2360" s="15"/>
      <c r="J2360" s="16" t="s">
        <v>100</v>
      </c>
      <c r="K2360" s="15" t="s">
        <v>4013</v>
      </c>
      <c r="L2360" s="17">
        <v>4</v>
      </c>
      <c r="M2360" s="17">
        <v>200</v>
      </c>
      <c r="N2360" s="17">
        <v>4</v>
      </c>
      <c r="O2360" s="18">
        <v>910.26</v>
      </c>
      <c r="P2360" s="18">
        <v>746.11</v>
      </c>
      <c r="Q2360" s="18">
        <v>782.82</v>
      </c>
      <c r="R2360" s="18">
        <v>641.66</v>
      </c>
      <c r="S2360" s="18">
        <v>618.98</v>
      </c>
      <c r="T2360" s="18">
        <v>507.36</v>
      </c>
      <c r="U2360" s="16"/>
      <c r="V2360" s="16"/>
      <c r="W2360" s="16" t="s">
        <v>40</v>
      </c>
      <c r="X2360" s="19">
        <v>4.7E-2</v>
      </c>
      <c r="Y2360" s="20">
        <v>8.3299999999999997E-4</v>
      </c>
      <c r="Z2360" s="21">
        <v>4601004345294</v>
      </c>
    </row>
    <row r="2361" spans="1:26" ht="12" customHeight="1" outlineLevel="4" x14ac:dyDescent="0.2">
      <c r="A2361" s="14" t="s">
        <v>4634</v>
      </c>
      <c r="B2361" s="26" t="s">
        <v>4635</v>
      </c>
      <c r="C2361" s="52"/>
      <c r="D2361" s="55">
        <f t="shared" si="36"/>
        <v>0</v>
      </c>
      <c r="E2361" s="63" t="str">
        <f>HYPERLINK("https://www.sds-group.ru/product/trubka-termousazhivaemaya-kleevaya-ttk-6-1-33-5-5-chernaya-rexant-23-0033/", "Инфо")</f>
        <v>Инфо</v>
      </c>
      <c r="F2361" s="16" t="s">
        <v>39</v>
      </c>
      <c r="G2361" s="15"/>
      <c r="H2361" s="15"/>
      <c r="I2361" s="15"/>
      <c r="J2361" s="17">
        <v>142</v>
      </c>
      <c r="K2361" s="15" t="s">
        <v>4013</v>
      </c>
      <c r="L2361" s="17">
        <v>2</v>
      </c>
      <c r="M2361" s="17">
        <v>50</v>
      </c>
      <c r="N2361" s="17">
        <v>2</v>
      </c>
      <c r="O2361" s="18">
        <v>1440.16</v>
      </c>
      <c r="P2361" s="18">
        <v>1180.46</v>
      </c>
      <c r="Q2361" s="18">
        <v>1224.1400000000001</v>
      </c>
      <c r="R2361" s="18">
        <v>1003.39</v>
      </c>
      <c r="S2361" s="18">
        <v>979.31</v>
      </c>
      <c r="T2361" s="18">
        <v>802.71</v>
      </c>
      <c r="U2361" s="16"/>
      <c r="V2361" s="16"/>
      <c r="W2361" s="16" t="s">
        <v>40</v>
      </c>
      <c r="X2361" s="19">
        <v>0.192</v>
      </c>
      <c r="Y2361" s="20">
        <v>1.64E-3</v>
      </c>
      <c r="Z2361" s="21">
        <v>4601004345317</v>
      </c>
    </row>
    <row r="2362" spans="1:26" ht="12" customHeight="1" outlineLevel="4" x14ac:dyDescent="0.2">
      <c r="A2362" s="14" t="s">
        <v>4636</v>
      </c>
      <c r="B2362" s="26" t="s">
        <v>4637</v>
      </c>
      <c r="C2362" s="52"/>
      <c r="D2362" s="55">
        <f t="shared" si="36"/>
        <v>0</v>
      </c>
      <c r="E2362" s="63" t="str">
        <f>HYPERLINK("https://www.sds-group.ru/product/trubka-termousazhivaemaya-kleevaya-ttk-6-1-51-8-5-chernaya-rexant-23-0051/", "Инфо")</f>
        <v>Инфо</v>
      </c>
      <c r="F2362" s="16" t="s">
        <v>39</v>
      </c>
      <c r="G2362" s="15"/>
      <c r="H2362" s="15"/>
      <c r="I2362" s="15"/>
      <c r="J2362" s="17">
        <v>43</v>
      </c>
      <c r="K2362" s="15" t="s">
        <v>4013</v>
      </c>
      <c r="L2362" s="17">
        <v>2</v>
      </c>
      <c r="M2362" s="17">
        <v>20</v>
      </c>
      <c r="N2362" s="17">
        <v>2</v>
      </c>
      <c r="O2362" s="18">
        <v>2743.29</v>
      </c>
      <c r="P2362" s="18">
        <v>2248.6</v>
      </c>
      <c r="Q2362" s="18">
        <v>2276.9299999999998</v>
      </c>
      <c r="R2362" s="18">
        <v>1866.34</v>
      </c>
      <c r="S2362" s="18">
        <v>1865.44</v>
      </c>
      <c r="T2362" s="18">
        <v>1529.05</v>
      </c>
      <c r="U2362" s="16"/>
      <c r="V2362" s="16"/>
      <c r="W2362" s="16" t="s">
        <v>40</v>
      </c>
      <c r="X2362" s="19">
        <v>0.29299999999999998</v>
      </c>
      <c r="Y2362" s="20">
        <v>4.143E-3</v>
      </c>
      <c r="Z2362" s="21">
        <v>4601004345300</v>
      </c>
    </row>
    <row r="2363" spans="1:26" ht="12" customHeight="1" outlineLevel="4" x14ac:dyDescent="0.2">
      <c r="A2363" s="14" t="s">
        <v>4638</v>
      </c>
      <c r="B2363" s="26" t="s">
        <v>4639</v>
      </c>
      <c r="C2363" s="52"/>
      <c r="D2363" s="55">
        <f t="shared" si="36"/>
        <v>0</v>
      </c>
      <c r="E2363" s="63" t="str">
        <f>HYPERLINK("https://www.sds-group.ru/product/trubka-termousazhivaemaya-kleevaya-ttk-6-1-70-12-chernaya-rexant-23-0070/", "Инфо")</f>
        <v>Инфо</v>
      </c>
      <c r="F2363" s="16" t="s">
        <v>39</v>
      </c>
      <c r="G2363" s="15"/>
      <c r="H2363" s="15"/>
      <c r="I2363" s="15"/>
      <c r="J2363" s="17">
        <v>713</v>
      </c>
      <c r="K2363" s="15" t="s">
        <v>4008</v>
      </c>
      <c r="L2363" s="17">
        <v>2</v>
      </c>
      <c r="M2363" s="17">
        <v>20</v>
      </c>
      <c r="N2363" s="17">
        <v>2</v>
      </c>
      <c r="O2363" s="18">
        <v>3598.29</v>
      </c>
      <c r="P2363" s="18">
        <v>2949.42</v>
      </c>
      <c r="Q2363" s="18">
        <v>3058.55</v>
      </c>
      <c r="R2363" s="18">
        <v>2507.0100000000002</v>
      </c>
      <c r="S2363" s="18">
        <v>2446.84</v>
      </c>
      <c r="T2363" s="18">
        <v>2005.61</v>
      </c>
      <c r="U2363" s="16"/>
      <c r="V2363" s="16"/>
      <c r="W2363" s="16" t="s">
        <v>40</v>
      </c>
      <c r="X2363" s="19">
        <v>0.379</v>
      </c>
      <c r="Y2363" s="20">
        <v>4.13E-3</v>
      </c>
      <c r="Z2363" s="21">
        <v>4601004345324</v>
      </c>
    </row>
    <row r="2364" spans="1:26" ht="12.95" customHeight="1" outlineLevel="3" x14ac:dyDescent="0.2">
      <c r="A2364" s="76" t="s">
        <v>4640</v>
      </c>
      <c r="B2364" s="76"/>
      <c r="C2364" s="77"/>
      <c r="D2364" s="58"/>
      <c r="E2364" s="68"/>
      <c r="F2364" s="13"/>
      <c r="G2364" s="13"/>
      <c r="H2364" s="13"/>
      <c r="I2364" s="13"/>
      <c r="J2364" s="13"/>
      <c r="K2364" s="13"/>
      <c r="L2364" s="13"/>
      <c r="M2364" s="13"/>
      <c r="N2364" s="13"/>
      <c r="O2364" s="13"/>
      <c r="P2364" s="13"/>
      <c r="Q2364" s="13"/>
      <c r="R2364" s="13"/>
      <c r="S2364" s="13"/>
      <c r="T2364" s="13"/>
      <c r="U2364" s="13"/>
      <c r="V2364" s="13"/>
      <c r="W2364" s="13"/>
      <c r="X2364" s="13"/>
      <c r="Y2364" s="13"/>
      <c r="Z2364" s="13"/>
    </row>
    <row r="2365" spans="1:26" ht="12" customHeight="1" outlineLevel="4" x14ac:dyDescent="0.2">
      <c r="A2365" s="32" t="s">
        <v>4641</v>
      </c>
      <c r="B2365" s="74" t="s">
        <v>4642</v>
      </c>
      <c r="C2365" s="50"/>
      <c r="D2365" s="53">
        <f t="shared" si="36"/>
        <v>0</v>
      </c>
      <c r="E2365" s="60" t="str">
        <f>HYPERLINK("https://www.sds-group.ru/product/trubka-termousazhivaemaya-tut-ng-ls-2-1-10-5-belaya-rolik-2-44m-rexant-29-0051/", "Инфо")</f>
        <v>Инфо</v>
      </c>
      <c r="F2365" s="34" t="s">
        <v>39</v>
      </c>
      <c r="G2365" s="33"/>
      <c r="H2365" s="33" t="s">
        <v>40</v>
      </c>
      <c r="I2365" s="33"/>
      <c r="J2365" s="39">
        <v>6850</v>
      </c>
      <c r="K2365" s="33"/>
      <c r="L2365" s="35">
        <v>1</v>
      </c>
      <c r="M2365" s="35">
        <v>200</v>
      </c>
      <c r="N2365" s="35">
        <v>1</v>
      </c>
      <c r="O2365" s="36">
        <v>123.25</v>
      </c>
      <c r="P2365" s="36">
        <v>101.02</v>
      </c>
      <c r="Q2365" s="36">
        <v>86.28</v>
      </c>
      <c r="R2365" s="36">
        <v>70.72</v>
      </c>
      <c r="S2365" s="36">
        <v>83.81</v>
      </c>
      <c r="T2365" s="36">
        <v>68.7</v>
      </c>
      <c r="U2365" s="34"/>
      <c r="V2365" s="34"/>
      <c r="W2365" s="34"/>
      <c r="X2365" s="37">
        <v>4.4999999999999998E-2</v>
      </c>
      <c r="Y2365" s="38">
        <v>3.5199999999999999E-4</v>
      </c>
      <c r="Z2365" s="21">
        <v>4601004173064</v>
      </c>
    </row>
    <row r="2366" spans="1:26" ht="12" customHeight="1" outlineLevel="4" x14ac:dyDescent="0.2">
      <c r="A2366" s="32" t="s">
        <v>4643</v>
      </c>
      <c r="B2366" s="74" t="s">
        <v>4644</v>
      </c>
      <c r="C2366" s="50"/>
      <c r="D2366" s="53">
        <f t="shared" si="36"/>
        <v>0</v>
      </c>
      <c r="E2366" s="60" t="str">
        <f>HYPERLINK("https://www.sds-group.ru/product/trubka-termousazhivaemaya-tut-ng-ls-2-1-10-5-krasnaya-rolik-2-44m-rexant-29-0054/", "Инфо")</f>
        <v>Инфо</v>
      </c>
      <c r="F2366" s="34" t="s">
        <v>39</v>
      </c>
      <c r="G2366" s="33"/>
      <c r="H2366" s="33" t="s">
        <v>40</v>
      </c>
      <c r="I2366" s="33"/>
      <c r="J2366" s="39">
        <v>6566</v>
      </c>
      <c r="K2366" s="33"/>
      <c r="L2366" s="35">
        <v>1</v>
      </c>
      <c r="M2366" s="35">
        <v>200</v>
      </c>
      <c r="N2366" s="35">
        <v>1</v>
      </c>
      <c r="O2366" s="36">
        <v>123.25</v>
      </c>
      <c r="P2366" s="36">
        <v>101.02</v>
      </c>
      <c r="Q2366" s="36">
        <v>86.28</v>
      </c>
      <c r="R2366" s="36">
        <v>70.72</v>
      </c>
      <c r="S2366" s="36">
        <v>83.81</v>
      </c>
      <c r="T2366" s="36">
        <v>68.7</v>
      </c>
      <c r="U2366" s="34"/>
      <c r="V2366" s="34"/>
      <c r="W2366" s="34"/>
      <c r="X2366" s="37">
        <v>4.3999999999999997E-2</v>
      </c>
      <c r="Y2366" s="38">
        <v>3.6299999999999999E-4</v>
      </c>
      <c r="Z2366" s="21">
        <v>4601004173125</v>
      </c>
    </row>
    <row r="2367" spans="1:26" ht="12" customHeight="1" outlineLevel="4" x14ac:dyDescent="0.2">
      <c r="A2367" s="32" t="s">
        <v>4645</v>
      </c>
      <c r="B2367" s="74" t="s">
        <v>4646</v>
      </c>
      <c r="C2367" s="50"/>
      <c r="D2367" s="53">
        <f t="shared" si="36"/>
        <v>0</v>
      </c>
      <c r="E2367" s="60" t="str">
        <f>HYPERLINK("https://www.sds-group.ru/product/trubka-termousazhivaemaya-tut-ng-ls-2-1-10-5-sinyaya-rolik-2-44m-rexant-29-0055/", "Инфо")</f>
        <v>Инфо</v>
      </c>
      <c r="F2367" s="34" t="s">
        <v>39</v>
      </c>
      <c r="G2367" s="33"/>
      <c r="H2367" s="33" t="s">
        <v>40</v>
      </c>
      <c r="I2367" s="33"/>
      <c r="J2367" s="39">
        <v>8563</v>
      </c>
      <c r="K2367" s="33"/>
      <c r="L2367" s="35">
        <v>1</v>
      </c>
      <c r="M2367" s="35">
        <v>200</v>
      </c>
      <c r="N2367" s="35">
        <v>1</v>
      </c>
      <c r="O2367" s="36">
        <v>123.25</v>
      </c>
      <c r="P2367" s="36">
        <v>101.02</v>
      </c>
      <c r="Q2367" s="36">
        <v>86.28</v>
      </c>
      <c r="R2367" s="36">
        <v>70.72</v>
      </c>
      <c r="S2367" s="36">
        <v>83.81</v>
      </c>
      <c r="T2367" s="36">
        <v>68.7</v>
      </c>
      <c r="U2367" s="34"/>
      <c r="V2367" s="34"/>
      <c r="W2367" s="34"/>
      <c r="X2367" s="37">
        <v>4.5999999999999999E-2</v>
      </c>
      <c r="Y2367" s="38">
        <v>3.5799999999999997E-4</v>
      </c>
      <c r="Z2367" s="21">
        <v>4601004173187</v>
      </c>
    </row>
    <row r="2368" spans="1:26" ht="12" customHeight="1" outlineLevel="4" x14ac:dyDescent="0.2">
      <c r="A2368" s="32" t="s">
        <v>4647</v>
      </c>
      <c r="B2368" s="74" t="s">
        <v>4648</v>
      </c>
      <c r="C2368" s="50"/>
      <c r="D2368" s="53">
        <f t="shared" si="36"/>
        <v>0</v>
      </c>
      <c r="E2368" s="60" t="str">
        <f>HYPERLINK("https://www.sds-group.ru/product/trubka-termousazhivaemaya-tut-ng-ls-2-1-3-1-5-belaya-rolik-2-44m-rexant-29-0001/", "Инфо")</f>
        <v>Инфо</v>
      </c>
      <c r="F2368" s="34" t="s">
        <v>39</v>
      </c>
      <c r="G2368" s="33"/>
      <c r="H2368" s="33" t="s">
        <v>40</v>
      </c>
      <c r="I2368" s="33"/>
      <c r="J2368" s="39">
        <v>3044</v>
      </c>
      <c r="K2368" s="33"/>
      <c r="L2368" s="35">
        <v>1</v>
      </c>
      <c r="M2368" s="35">
        <v>300</v>
      </c>
      <c r="N2368" s="35">
        <v>1</v>
      </c>
      <c r="O2368" s="36">
        <v>97.16</v>
      </c>
      <c r="P2368" s="36">
        <v>79.64</v>
      </c>
      <c r="Q2368" s="36">
        <v>82.59</v>
      </c>
      <c r="R2368" s="36">
        <v>67.7</v>
      </c>
      <c r="S2368" s="36">
        <v>66.069999999999993</v>
      </c>
      <c r="T2368" s="36">
        <v>54.16</v>
      </c>
      <c r="U2368" s="34"/>
      <c r="V2368" s="34"/>
      <c r="W2368" s="34" t="s">
        <v>40</v>
      </c>
      <c r="X2368" s="37">
        <v>1.9E-2</v>
      </c>
      <c r="Y2368" s="38">
        <v>1.9100000000000001E-4</v>
      </c>
      <c r="Z2368" s="21">
        <v>4601004173194</v>
      </c>
    </row>
    <row r="2369" spans="1:26" ht="12" customHeight="1" outlineLevel="4" x14ac:dyDescent="0.2">
      <c r="A2369" s="32" t="s">
        <v>4649</v>
      </c>
      <c r="B2369" s="74" t="s">
        <v>4650</v>
      </c>
      <c r="C2369" s="50"/>
      <c r="D2369" s="53">
        <f t="shared" si="36"/>
        <v>0</v>
      </c>
      <c r="E2369" s="60" t="str">
        <f>HYPERLINK("https://www.sds-group.ru/product/trubka-termousazhivaemaya-tut-ng-ls-2-1-3-1-5-krasnaya-rolik-2-44m-rexant-29-0004/", "Инфо")</f>
        <v>Инфо</v>
      </c>
      <c r="F2369" s="34" t="s">
        <v>39</v>
      </c>
      <c r="G2369" s="33"/>
      <c r="H2369" s="33" t="s">
        <v>40</v>
      </c>
      <c r="I2369" s="33"/>
      <c r="J2369" s="39">
        <v>6075</v>
      </c>
      <c r="K2369" s="33"/>
      <c r="L2369" s="35">
        <v>1</v>
      </c>
      <c r="M2369" s="35">
        <v>300</v>
      </c>
      <c r="N2369" s="35">
        <v>1</v>
      </c>
      <c r="O2369" s="36">
        <v>82.49</v>
      </c>
      <c r="P2369" s="36">
        <v>67.61</v>
      </c>
      <c r="Q2369" s="36">
        <v>57.74</v>
      </c>
      <c r="R2369" s="36">
        <v>47.33</v>
      </c>
      <c r="S2369" s="36">
        <v>56.09</v>
      </c>
      <c r="T2369" s="36">
        <v>45.98</v>
      </c>
      <c r="U2369" s="34"/>
      <c r="V2369" s="34"/>
      <c r="W2369" s="34"/>
      <c r="X2369" s="37">
        <v>1.9E-2</v>
      </c>
      <c r="Y2369" s="38">
        <v>1.9599999999999999E-4</v>
      </c>
      <c r="Z2369" s="21">
        <v>4601004173071</v>
      </c>
    </row>
    <row r="2370" spans="1:26" ht="12" customHeight="1" outlineLevel="4" x14ac:dyDescent="0.2">
      <c r="A2370" s="32" t="s">
        <v>4651</v>
      </c>
      <c r="B2370" s="74" t="s">
        <v>4652</v>
      </c>
      <c r="C2370" s="50"/>
      <c r="D2370" s="53">
        <f t="shared" si="36"/>
        <v>0</v>
      </c>
      <c r="E2370" s="60" t="str">
        <f>HYPERLINK("https://www.sds-group.ru/product/trubka-termousazhivaemaya-tut-ng-ls-2-1-3-1-5-sinyaya-rolik-2-44m-rexant-29-0005/", "Инфо")</f>
        <v>Инфо</v>
      </c>
      <c r="F2370" s="34" t="s">
        <v>39</v>
      </c>
      <c r="G2370" s="33"/>
      <c r="H2370" s="33" t="s">
        <v>40</v>
      </c>
      <c r="I2370" s="33"/>
      <c r="J2370" s="39">
        <v>10459</v>
      </c>
      <c r="K2370" s="33"/>
      <c r="L2370" s="35">
        <v>1</v>
      </c>
      <c r="M2370" s="35">
        <v>300</v>
      </c>
      <c r="N2370" s="35">
        <v>1</v>
      </c>
      <c r="O2370" s="36">
        <v>82.49</v>
      </c>
      <c r="P2370" s="36">
        <v>67.61</v>
      </c>
      <c r="Q2370" s="36">
        <v>57.74</v>
      </c>
      <c r="R2370" s="36">
        <v>47.33</v>
      </c>
      <c r="S2370" s="36">
        <v>56.09</v>
      </c>
      <c r="T2370" s="36">
        <v>45.98</v>
      </c>
      <c r="U2370" s="34"/>
      <c r="V2370" s="34"/>
      <c r="W2370" s="34"/>
      <c r="X2370" s="37">
        <v>1.9E-2</v>
      </c>
      <c r="Y2370" s="38">
        <v>2.0000000000000001E-4</v>
      </c>
      <c r="Z2370" s="21">
        <v>4601004173132</v>
      </c>
    </row>
    <row r="2371" spans="1:26" ht="12" customHeight="1" outlineLevel="4" x14ac:dyDescent="0.2">
      <c r="A2371" s="32" t="s">
        <v>4653</v>
      </c>
      <c r="B2371" s="74" t="s">
        <v>4654</v>
      </c>
      <c r="C2371" s="50"/>
      <c r="D2371" s="53">
        <f t="shared" si="36"/>
        <v>0</v>
      </c>
      <c r="E2371" s="60" t="str">
        <f>HYPERLINK("https://www.sds-group.ru/product/trubka-termousazhivaemaya-tut-ng-ls-2-1-3-1-5-chernaya-rolik-2-44m-rexant-29-0006/", "Инфо")</f>
        <v>Инфо</v>
      </c>
      <c r="F2371" s="34" t="s">
        <v>39</v>
      </c>
      <c r="G2371" s="33"/>
      <c r="H2371" s="33" t="s">
        <v>40</v>
      </c>
      <c r="I2371" s="33"/>
      <c r="J2371" s="39">
        <v>3141</v>
      </c>
      <c r="K2371" s="33"/>
      <c r="L2371" s="35">
        <v>1</v>
      </c>
      <c r="M2371" s="35">
        <v>300</v>
      </c>
      <c r="N2371" s="35">
        <v>1</v>
      </c>
      <c r="O2371" s="36">
        <v>97.16</v>
      </c>
      <c r="P2371" s="36">
        <v>79.64</v>
      </c>
      <c r="Q2371" s="36">
        <v>82.59</v>
      </c>
      <c r="R2371" s="36">
        <v>67.7</v>
      </c>
      <c r="S2371" s="36">
        <v>66.069999999999993</v>
      </c>
      <c r="T2371" s="36">
        <v>54.16</v>
      </c>
      <c r="U2371" s="34"/>
      <c r="V2371" s="34"/>
      <c r="W2371" s="34" t="s">
        <v>40</v>
      </c>
      <c r="X2371" s="37">
        <v>1.9E-2</v>
      </c>
      <c r="Y2371" s="38">
        <v>1.8599999999999999E-4</v>
      </c>
      <c r="Z2371" s="21">
        <v>4601004179318</v>
      </c>
    </row>
    <row r="2372" spans="1:26" ht="12" customHeight="1" outlineLevel="4" x14ac:dyDescent="0.2">
      <c r="A2372" s="32" t="s">
        <v>4655</v>
      </c>
      <c r="B2372" s="74" t="s">
        <v>4656</v>
      </c>
      <c r="C2372" s="50"/>
      <c r="D2372" s="53">
        <f t="shared" si="36"/>
        <v>0</v>
      </c>
      <c r="E2372" s="60" t="str">
        <f>HYPERLINK("https://www.sds-group.ru/product/trubka-termousazhivaemaya-tut-ng-ls-2-1-4-2-belaya-rolik-2-44m-rexant-29-0011/", "Инфо")</f>
        <v>Инфо</v>
      </c>
      <c r="F2372" s="34" t="s">
        <v>39</v>
      </c>
      <c r="G2372" s="33"/>
      <c r="H2372" s="33" t="s">
        <v>40</v>
      </c>
      <c r="I2372" s="33"/>
      <c r="J2372" s="39">
        <v>4365</v>
      </c>
      <c r="K2372" s="33"/>
      <c r="L2372" s="35">
        <v>1</v>
      </c>
      <c r="M2372" s="35">
        <v>300</v>
      </c>
      <c r="N2372" s="35">
        <v>1</v>
      </c>
      <c r="O2372" s="36">
        <v>105.87</v>
      </c>
      <c r="P2372" s="36">
        <v>86.78</v>
      </c>
      <c r="Q2372" s="36">
        <v>89.99</v>
      </c>
      <c r="R2372" s="36">
        <v>73.760000000000005</v>
      </c>
      <c r="S2372" s="36">
        <v>71.989999999999995</v>
      </c>
      <c r="T2372" s="36">
        <v>59.01</v>
      </c>
      <c r="U2372" s="34"/>
      <c r="V2372" s="34"/>
      <c r="W2372" s="34" t="s">
        <v>40</v>
      </c>
      <c r="X2372" s="37">
        <v>2.1999999999999999E-2</v>
      </c>
      <c r="Y2372" s="38">
        <v>1.9599999999999999E-4</v>
      </c>
      <c r="Z2372" s="21">
        <v>4601004173026</v>
      </c>
    </row>
    <row r="2373" spans="1:26" ht="12" customHeight="1" outlineLevel="4" x14ac:dyDescent="0.2">
      <c r="A2373" s="32" t="s">
        <v>4657</v>
      </c>
      <c r="B2373" s="74" t="s">
        <v>4658</v>
      </c>
      <c r="C2373" s="50"/>
      <c r="D2373" s="53">
        <f t="shared" si="36"/>
        <v>0</v>
      </c>
      <c r="E2373" s="60" t="str">
        <f>HYPERLINK("https://www.sds-group.ru/product/trubka-termousazhivaemaya-tut-ng-ls-2-1-4-2-krasnaya-rolik-2-44m-rexant-29-0014/", "Инфо")</f>
        <v>Инфо</v>
      </c>
      <c r="F2373" s="34" t="s">
        <v>39</v>
      </c>
      <c r="G2373" s="33"/>
      <c r="H2373" s="33" t="s">
        <v>40</v>
      </c>
      <c r="I2373" s="33"/>
      <c r="J2373" s="39">
        <v>17562</v>
      </c>
      <c r="K2373" s="33"/>
      <c r="L2373" s="35">
        <v>1</v>
      </c>
      <c r="M2373" s="35">
        <v>300</v>
      </c>
      <c r="N2373" s="35">
        <v>1</v>
      </c>
      <c r="O2373" s="36">
        <v>89.89</v>
      </c>
      <c r="P2373" s="36">
        <v>73.680000000000007</v>
      </c>
      <c r="Q2373" s="36">
        <v>62.92</v>
      </c>
      <c r="R2373" s="36">
        <v>51.57</v>
      </c>
      <c r="S2373" s="36">
        <v>61.13</v>
      </c>
      <c r="T2373" s="36">
        <v>50.11</v>
      </c>
      <c r="U2373" s="34"/>
      <c r="V2373" s="34"/>
      <c r="W2373" s="34"/>
      <c r="X2373" s="37">
        <v>2.1999999999999999E-2</v>
      </c>
      <c r="Y2373" s="38">
        <v>1.94E-4</v>
      </c>
      <c r="Z2373" s="21">
        <v>4601004173088</v>
      </c>
    </row>
    <row r="2374" spans="1:26" ht="12" customHeight="1" outlineLevel="4" x14ac:dyDescent="0.2">
      <c r="A2374" s="32" t="s">
        <v>4659</v>
      </c>
      <c r="B2374" s="74" t="s">
        <v>4660</v>
      </c>
      <c r="C2374" s="50"/>
      <c r="D2374" s="53">
        <f t="shared" si="36"/>
        <v>0</v>
      </c>
      <c r="E2374" s="60" t="str">
        <f>HYPERLINK("https://www.sds-group.ru/product/trubka-termousazhivaemaya-tut-ng-ls-2-1-4-2-sinyaya-rolik-2-44m-rexant-29-0015/", "Инфо")</f>
        <v>Инфо</v>
      </c>
      <c r="F2374" s="34" t="s">
        <v>39</v>
      </c>
      <c r="G2374" s="33"/>
      <c r="H2374" s="33" t="s">
        <v>40</v>
      </c>
      <c r="I2374" s="33"/>
      <c r="J2374" s="39">
        <v>12514</v>
      </c>
      <c r="K2374" s="33"/>
      <c r="L2374" s="35">
        <v>1</v>
      </c>
      <c r="M2374" s="35">
        <v>300</v>
      </c>
      <c r="N2374" s="35">
        <v>1</v>
      </c>
      <c r="O2374" s="36">
        <v>89.89</v>
      </c>
      <c r="P2374" s="36">
        <v>73.680000000000007</v>
      </c>
      <c r="Q2374" s="36">
        <v>62.92</v>
      </c>
      <c r="R2374" s="36">
        <v>51.57</v>
      </c>
      <c r="S2374" s="36">
        <v>61.13</v>
      </c>
      <c r="T2374" s="36">
        <v>50.11</v>
      </c>
      <c r="U2374" s="34"/>
      <c r="V2374" s="34"/>
      <c r="W2374" s="34"/>
      <c r="X2374" s="37">
        <v>2.3E-2</v>
      </c>
      <c r="Y2374" s="38">
        <v>1.93E-4</v>
      </c>
      <c r="Z2374" s="21">
        <v>4601004173149</v>
      </c>
    </row>
    <row r="2375" spans="1:26" ht="12" customHeight="1" outlineLevel="4" x14ac:dyDescent="0.2">
      <c r="A2375" s="32" t="s">
        <v>4661</v>
      </c>
      <c r="B2375" s="74" t="s">
        <v>4662</v>
      </c>
      <c r="C2375" s="50"/>
      <c r="D2375" s="53">
        <f t="shared" si="36"/>
        <v>0</v>
      </c>
      <c r="E2375" s="60" t="str">
        <f>HYPERLINK("https://www.sds-group.ru/product/trubka-termousazhivaemaya-tut-ng-ls-2-1-4-2-chernaya-rolik-2-44m-rexant-29-0016/", "Инфо")</f>
        <v>Инфо</v>
      </c>
      <c r="F2375" s="34" t="s">
        <v>39</v>
      </c>
      <c r="G2375" s="33"/>
      <c r="H2375" s="33" t="s">
        <v>40</v>
      </c>
      <c r="I2375" s="33"/>
      <c r="J2375" s="39">
        <v>4289</v>
      </c>
      <c r="K2375" s="33"/>
      <c r="L2375" s="35">
        <v>1</v>
      </c>
      <c r="M2375" s="35">
        <v>300</v>
      </c>
      <c r="N2375" s="35">
        <v>1</v>
      </c>
      <c r="O2375" s="36">
        <v>105.87</v>
      </c>
      <c r="P2375" s="36">
        <v>86.78</v>
      </c>
      <c r="Q2375" s="36">
        <v>89.99</v>
      </c>
      <c r="R2375" s="36">
        <v>73.760000000000005</v>
      </c>
      <c r="S2375" s="36">
        <v>71.989999999999995</v>
      </c>
      <c r="T2375" s="36">
        <v>59.01</v>
      </c>
      <c r="U2375" s="34"/>
      <c r="V2375" s="34"/>
      <c r="W2375" s="34" t="s">
        <v>40</v>
      </c>
      <c r="X2375" s="37">
        <v>2.1999999999999999E-2</v>
      </c>
      <c r="Y2375" s="38">
        <v>1.93E-4</v>
      </c>
      <c r="Z2375" s="21">
        <v>4601004179295</v>
      </c>
    </row>
    <row r="2376" spans="1:26" ht="12" customHeight="1" outlineLevel="4" x14ac:dyDescent="0.2">
      <c r="A2376" s="32" t="s">
        <v>4663</v>
      </c>
      <c r="B2376" s="74" t="s">
        <v>4664</v>
      </c>
      <c r="C2376" s="50"/>
      <c r="D2376" s="53">
        <f t="shared" si="36"/>
        <v>0</v>
      </c>
      <c r="E2376" s="60" t="str">
        <f>HYPERLINK("https://www.sds-group.ru/product/trubka-termousazhivaemaya-tut-ng-ls-2-1-5-2-5-belaya-rolik-2-44m-rexant-29-0021/", "Инфо")</f>
        <v>Инфо</v>
      </c>
      <c r="F2376" s="34" t="s">
        <v>39</v>
      </c>
      <c r="G2376" s="33"/>
      <c r="H2376" s="33" t="s">
        <v>40</v>
      </c>
      <c r="I2376" s="33"/>
      <c r="J2376" s="39">
        <v>13198</v>
      </c>
      <c r="K2376" s="33"/>
      <c r="L2376" s="35">
        <v>1</v>
      </c>
      <c r="M2376" s="35">
        <v>250</v>
      </c>
      <c r="N2376" s="35">
        <v>1</v>
      </c>
      <c r="O2376" s="36">
        <v>94.42</v>
      </c>
      <c r="P2376" s="36">
        <v>77.39</v>
      </c>
      <c r="Q2376" s="36">
        <v>66.09</v>
      </c>
      <c r="R2376" s="36">
        <v>54.17</v>
      </c>
      <c r="S2376" s="36">
        <v>64.209999999999994</v>
      </c>
      <c r="T2376" s="36">
        <v>52.63</v>
      </c>
      <c r="U2376" s="34"/>
      <c r="V2376" s="34"/>
      <c r="W2376" s="34"/>
      <c r="X2376" s="37">
        <v>2.8000000000000001E-2</v>
      </c>
      <c r="Y2376" s="38">
        <v>2.33E-4</v>
      </c>
      <c r="Z2376" s="21">
        <v>4601004173033</v>
      </c>
    </row>
    <row r="2377" spans="1:26" ht="12" customHeight="1" outlineLevel="4" x14ac:dyDescent="0.2">
      <c r="A2377" s="32" t="s">
        <v>4665</v>
      </c>
      <c r="B2377" s="74" t="s">
        <v>4666</v>
      </c>
      <c r="C2377" s="50"/>
      <c r="D2377" s="53">
        <f t="shared" ref="D2377:D2440" si="37">C2377*(O2377-O2377*$G$3)</f>
        <v>0</v>
      </c>
      <c r="E2377" s="60" t="str">
        <f>HYPERLINK("https://www.sds-group.ru/product/trubka-termousazhivaemaya-tut-ng-ls-2-1-5-2-5-krasnaya-rolik-2-44m-rexant-29-0024/", "Инфо")</f>
        <v>Инфо</v>
      </c>
      <c r="F2377" s="34" t="s">
        <v>39</v>
      </c>
      <c r="G2377" s="33"/>
      <c r="H2377" s="33" t="s">
        <v>40</v>
      </c>
      <c r="I2377" s="33"/>
      <c r="J2377" s="39">
        <v>1001</v>
      </c>
      <c r="K2377" s="33"/>
      <c r="L2377" s="35">
        <v>1</v>
      </c>
      <c r="M2377" s="35">
        <v>250</v>
      </c>
      <c r="N2377" s="35">
        <v>1</v>
      </c>
      <c r="O2377" s="36">
        <v>94.42</v>
      </c>
      <c r="P2377" s="36">
        <v>77.39</v>
      </c>
      <c r="Q2377" s="36">
        <v>66.09</v>
      </c>
      <c r="R2377" s="36">
        <v>54.17</v>
      </c>
      <c r="S2377" s="36">
        <v>64.209999999999994</v>
      </c>
      <c r="T2377" s="36">
        <v>52.63</v>
      </c>
      <c r="U2377" s="34"/>
      <c r="V2377" s="34"/>
      <c r="W2377" s="34"/>
      <c r="X2377" s="37">
        <v>2.8000000000000001E-2</v>
      </c>
      <c r="Y2377" s="38">
        <v>2.33E-4</v>
      </c>
      <c r="Z2377" s="21">
        <v>4601004173095</v>
      </c>
    </row>
    <row r="2378" spans="1:26" ht="12" customHeight="1" outlineLevel="4" x14ac:dyDescent="0.2">
      <c r="A2378" s="32" t="s">
        <v>4667</v>
      </c>
      <c r="B2378" s="74" t="s">
        <v>4668</v>
      </c>
      <c r="C2378" s="50"/>
      <c r="D2378" s="53">
        <f t="shared" si="37"/>
        <v>0</v>
      </c>
      <c r="E2378" s="60" t="str">
        <f>HYPERLINK("https://www.sds-group.ru/product/trubka-termousazhivaemaya-tut-ng-ls-2-1-5-2-5-sinyaya-rolik-2-44m-rexant-29-0025/", "Инфо")</f>
        <v>Инфо</v>
      </c>
      <c r="F2378" s="34" t="s">
        <v>39</v>
      </c>
      <c r="G2378" s="33"/>
      <c r="H2378" s="33" t="s">
        <v>40</v>
      </c>
      <c r="I2378" s="33"/>
      <c r="J2378" s="39">
        <v>11468</v>
      </c>
      <c r="K2378" s="33"/>
      <c r="L2378" s="35">
        <v>1</v>
      </c>
      <c r="M2378" s="35">
        <v>250</v>
      </c>
      <c r="N2378" s="35">
        <v>1</v>
      </c>
      <c r="O2378" s="36">
        <v>99.66</v>
      </c>
      <c r="P2378" s="36">
        <v>81.69</v>
      </c>
      <c r="Q2378" s="36">
        <v>69.760000000000005</v>
      </c>
      <c r="R2378" s="36">
        <v>57.18</v>
      </c>
      <c r="S2378" s="36">
        <v>67.77</v>
      </c>
      <c r="T2378" s="36">
        <v>55.55</v>
      </c>
      <c r="U2378" s="34"/>
      <c r="V2378" s="34"/>
      <c r="W2378" s="34"/>
      <c r="X2378" s="37">
        <v>2.7E-2</v>
      </c>
      <c r="Y2378" s="38">
        <v>2.3599999999999999E-4</v>
      </c>
      <c r="Z2378" s="21">
        <v>4601004173156</v>
      </c>
    </row>
    <row r="2379" spans="1:26" ht="12" customHeight="1" outlineLevel="4" x14ac:dyDescent="0.2">
      <c r="A2379" s="32" t="s">
        <v>4669</v>
      </c>
      <c r="B2379" s="74" t="s">
        <v>4670</v>
      </c>
      <c r="C2379" s="50"/>
      <c r="D2379" s="53">
        <f t="shared" si="37"/>
        <v>0</v>
      </c>
      <c r="E2379" s="60" t="str">
        <f>HYPERLINK("https://www.sds-group.ru/product/trubka-termousazhivaemaya-tut-ng-ls-2-1-5-2-5-chernaya-rolik-2-44m-rexant-29-0026/", "Инфо")</f>
        <v>Инфо</v>
      </c>
      <c r="F2379" s="34" t="s">
        <v>39</v>
      </c>
      <c r="G2379" s="33"/>
      <c r="H2379" s="33" t="s">
        <v>40</v>
      </c>
      <c r="I2379" s="33"/>
      <c r="J2379" s="39">
        <v>1066</v>
      </c>
      <c r="K2379" s="33"/>
      <c r="L2379" s="35">
        <v>1</v>
      </c>
      <c r="M2379" s="35">
        <v>250</v>
      </c>
      <c r="N2379" s="35">
        <v>1</v>
      </c>
      <c r="O2379" s="36">
        <v>111.2</v>
      </c>
      <c r="P2379" s="36">
        <v>91.15</v>
      </c>
      <c r="Q2379" s="36">
        <v>94.52</v>
      </c>
      <c r="R2379" s="36">
        <v>77.48</v>
      </c>
      <c r="S2379" s="36">
        <v>75.62</v>
      </c>
      <c r="T2379" s="36">
        <v>61.98</v>
      </c>
      <c r="U2379" s="34"/>
      <c r="V2379" s="34"/>
      <c r="W2379" s="34" t="s">
        <v>40</v>
      </c>
      <c r="X2379" s="37">
        <v>2.9000000000000001E-2</v>
      </c>
      <c r="Y2379" s="38">
        <v>2.72E-4</v>
      </c>
      <c r="Z2379" s="21">
        <v>4601004179301</v>
      </c>
    </row>
    <row r="2380" spans="1:26" ht="12" customHeight="1" outlineLevel="4" x14ac:dyDescent="0.2">
      <c r="A2380" s="32" t="s">
        <v>4671</v>
      </c>
      <c r="B2380" s="74" t="s">
        <v>4672</v>
      </c>
      <c r="C2380" s="50"/>
      <c r="D2380" s="53">
        <f t="shared" si="37"/>
        <v>0</v>
      </c>
      <c r="E2380" s="60" t="str">
        <f>HYPERLINK("https://www.sds-group.ru/product/trubka-termousazhivaemaya-tut-ng-ls-2-1-6-3-belaya-rolik-2-44m-rexant-29-0031/", "Инфо")</f>
        <v>Инфо</v>
      </c>
      <c r="F2380" s="34" t="s">
        <v>39</v>
      </c>
      <c r="G2380" s="33"/>
      <c r="H2380" s="33" t="s">
        <v>40</v>
      </c>
      <c r="I2380" s="33"/>
      <c r="J2380" s="39">
        <v>7090</v>
      </c>
      <c r="K2380" s="33"/>
      <c r="L2380" s="35">
        <v>1</v>
      </c>
      <c r="M2380" s="35">
        <v>250</v>
      </c>
      <c r="N2380" s="35">
        <v>1</v>
      </c>
      <c r="O2380" s="36">
        <v>102.2</v>
      </c>
      <c r="P2380" s="36">
        <v>83.77</v>
      </c>
      <c r="Q2380" s="36">
        <v>71.540000000000006</v>
      </c>
      <c r="R2380" s="36">
        <v>58.64</v>
      </c>
      <c r="S2380" s="36">
        <v>69.5</v>
      </c>
      <c r="T2380" s="36">
        <v>56.97</v>
      </c>
      <c r="U2380" s="34"/>
      <c r="V2380" s="34"/>
      <c r="W2380" s="34"/>
      <c r="X2380" s="37">
        <v>0.03</v>
      </c>
      <c r="Y2380" s="38">
        <v>3.6000000000000001E-5</v>
      </c>
      <c r="Z2380" s="21">
        <v>4601004173040</v>
      </c>
    </row>
    <row r="2381" spans="1:26" ht="12" customHeight="1" outlineLevel="4" x14ac:dyDescent="0.2">
      <c r="A2381" s="32" t="s">
        <v>4673</v>
      </c>
      <c r="B2381" s="74" t="s">
        <v>4674</v>
      </c>
      <c r="C2381" s="50"/>
      <c r="D2381" s="53">
        <f t="shared" si="37"/>
        <v>0</v>
      </c>
      <c r="E2381" s="60" t="str">
        <f>HYPERLINK("https://www.sds-group.ru/product/trubka-termousazhivaemaya-tut-ng-ls-2-1-6-3-krasnaya-rolik-2-44m-rexant-29-0034/", "Инфо")</f>
        <v>Инфо</v>
      </c>
      <c r="F2381" s="34" t="s">
        <v>39</v>
      </c>
      <c r="G2381" s="33"/>
      <c r="H2381" s="33" t="s">
        <v>40</v>
      </c>
      <c r="I2381" s="33"/>
      <c r="J2381" s="39">
        <v>14831</v>
      </c>
      <c r="K2381" s="33"/>
      <c r="L2381" s="35">
        <v>1</v>
      </c>
      <c r="M2381" s="35">
        <v>250</v>
      </c>
      <c r="N2381" s="35">
        <v>1</v>
      </c>
      <c r="O2381" s="36">
        <v>102.2</v>
      </c>
      <c r="P2381" s="36">
        <v>83.77</v>
      </c>
      <c r="Q2381" s="36">
        <v>71.540000000000006</v>
      </c>
      <c r="R2381" s="36">
        <v>58.64</v>
      </c>
      <c r="S2381" s="36">
        <v>69.5</v>
      </c>
      <c r="T2381" s="36">
        <v>56.97</v>
      </c>
      <c r="U2381" s="34"/>
      <c r="V2381" s="34"/>
      <c r="W2381" s="34"/>
      <c r="X2381" s="37">
        <v>0.03</v>
      </c>
      <c r="Y2381" s="38">
        <v>2.3800000000000001E-4</v>
      </c>
      <c r="Z2381" s="21">
        <v>4601004173101</v>
      </c>
    </row>
    <row r="2382" spans="1:26" ht="12" customHeight="1" outlineLevel="4" x14ac:dyDescent="0.2">
      <c r="A2382" s="32" t="s">
        <v>4675</v>
      </c>
      <c r="B2382" s="74" t="s">
        <v>4676</v>
      </c>
      <c r="C2382" s="50"/>
      <c r="D2382" s="53">
        <f t="shared" si="37"/>
        <v>0</v>
      </c>
      <c r="E2382" s="60" t="str">
        <f>HYPERLINK("https://www.sds-group.ru/product/trubka-termousazhivaemaya-tut-ng-ls-2-1-6-3-sinyaya-rolik-2-44m-rexant-29-0035/", "Инфо")</f>
        <v>Инфо</v>
      </c>
      <c r="F2382" s="34" t="s">
        <v>39</v>
      </c>
      <c r="G2382" s="33"/>
      <c r="H2382" s="33" t="s">
        <v>40</v>
      </c>
      <c r="I2382" s="33"/>
      <c r="J2382" s="39">
        <v>14582</v>
      </c>
      <c r="K2382" s="33"/>
      <c r="L2382" s="35">
        <v>1</v>
      </c>
      <c r="M2382" s="35">
        <v>250</v>
      </c>
      <c r="N2382" s="35">
        <v>1</v>
      </c>
      <c r="O2382" s="36">
        <v>102.2</v>
      </c>
      <c r="P2382" s="36">
        <v>83.77</v>
      </c>
      <c r="Q2382" s="36">
        <v>71.540000000000006</v>
      </c>
      <c r="R2382" s="36">
        <v>58.64</v>
      </c>
      <c r="S2382" s="36">
        <v>69.5</v>
      </c>
      <c r="T2382" s="36">
        <v>56.97</v>
      </c>
      <c r="U2382" s="34"/>
      <c r="V2382" s="34"/>
      <c r="W2382" s="34"/>
      <c r="X2382" s="37">
        <v>0.03</v>
      </c>
      <c r="Y2382" s="38">
        <v>2.33E-4</v>
      </c>
      <c r="Z2382" s="21">
        <v>4601004173163</v>
      </c>
    </row>
    <row r="2383" spans="1:26" ht="12" customHeight="1" outlineLevel="4" x14ac:dyDescent="0.2">
      <c r="A2383" s="32" t="s">
        <v>4677</v>
      </c>
      <c r="B2383" s="74" t="s">
        <v>4678</v>
      </c>
      <c r="C2383" s="50"/>
      <c r="D2383" s="53">
        <f t="shared" si="37"/>
        <v>0</v>
      </c>
      <c r="E2383" s="60" t="str">
        <f>HYPERLINK("https://www.sds-group.ru/product/trubka-termousazhivaemaya-tut-ng-ls-2-1-6-3-chernaya-rolik-2-44m-rexant-29-0036/", "Инфо")</f>
        <v>Инфо</v>
      </c>
      <c r="F2383" s="34" t="s">
        <v>39</v>
      </c>
      <c r="G2383" s="33"/>
      <c r="H2383" s="33" t="s">
        <v>40</v>
      </c>
      <c r="I2383" s="33"/>
      <c r="J2383" s="39">
        <v>7808</v>
      </c>
      <c r="K2383" s="33"/>
      <c r="L2383" s="35">
        <v>1</v>
      </c>
      <c r="M2383" s="35">
        <v>250</v>
      </c>
      <c r="N2383" s="35">
        <v>1</v>
      </c>
      <c r="O2383" s="36">
        <v>107.88</v>
      </c>
      <c r="P2383" s="36">
        <v>88.43</v>
      </c>
      <c r="Q2383" s="36">
        <v>75.52</v>
      </c>
      <c r="R2383" s="36">
        <v>61.9</v>
      </c>
      <c r="S2383" s="36">
        <v>73.36</v>
      </c>
      <c r="T2383" s="36">
        <v>60.13</v>
      </c>
      <c r="U2383" s="34"/>
      <c r="V2383" s="34"/>
      <c r="W2383" s="34"/>
      <c r="X2383" s="37">
        <v>3.3000000000000002E-2</v>
      </c>
      <c r="Y2383" s="38">
        <v>2.7900000000000001E-4</v>
      </c>
      <c r="Z2383" s="21">
        <v>4601004179332</v>
      </c>
    </row>
    <row r="2384" spans="1:26" ht="12" customHeight="1" outlineLevel="4" x14ac:dyDescent="0.2">
      <c r="A2384" s="32" t="s">
        <v>4679</v>
      </c>
      <c r="B2384" s="74" t="s">
        <v>4680</v>
      </c>
      <c r="C2384" s="50"/>
      <c r="D2384" s="53">
        <f t="shared" si="37"/>
        <v>0</v>
      </c>
      <c r="E2384" s="60" t="str">
        <f>HYPERLINK("https://www.sds-group.ru/product/trubka-termousazhivaemaya-tut-ng-ls-2-1-8-4-belaya-rolik-2-44m-rexant-29-0041/", "Инфо")</f>
        <v>Инфо</v>
      </c>
      <c r="F2384" s="34" t="s">
        <v>39</v>
      </c>
      <c r="G2384" s="33"/>
      <c r="H2384" s="33" t="s">
        <v>40</v>
      </c>
      <c r="I2384" s="33"/>
      <c r="J2384" s="39">
        <v>3645</v>
      </c>
      <c r="K2384" s="33"/>
      <c r="L2384" s="35">
        <v>1</v>
      </c>
      <c r="M2384" s="35">
        <v>200</v>
      </c>
      <c r="N2384" s="35">
        <v>1</v>
      </c>
      <c r="O2384" s="36">
        <v>107.93</v>
      </c>
      <c r="P2384" s="36">
        <v>88.47</v>
      </c>
      <c r="Q2384" s="36">
        <v>75.55</v>
      </c>
      <c r="R2384" s="36">
        <v>61.93</v>
      </c>
      <c r="S2384" s="36">
        <v>73.39</v>
      </c>
      <c r="T2384" s="36">
        <v>60.16</v>
      </c>
      <c r="U2384" s="34"/>
      <c r="V2384" s="34"/>
      <c r="W2384" s="34"/>
      <c r="X2384" s="37">
        <v>0.04</v>
      </c>
      <c r="Y2384" s="38">
        <v>2.9100000000000003E-4</v>
      </c>
      <c r="Z2384" s="21">
        <v>4601004173057</v>
      </c>
    </row>
    <row r="2385" spans="1:26" ht="12" customHeight="1" outlineLevel="4" x14ac:dyDescent="0.2">
      <c r="A2385" s="32" t="s">
        <v>4681</v>
      </c>
      <c r="B2385" s="74" t="s">
        <v>4682</v>
      </c>
      <c r="C2385" s="50"/>
      <c r="D2385" s="53">
        <f t="shared" si="37"/>
        <v>0</v>
      </c>
      <c r="E2385" s="60" t="str">
        <f>HYPERLINK("https://www.sds-group.ru/product/trubka-termousazhivaemaya-tut-ng-ls-2-1-8-4-krasnaya-rolik-2-44m-rexant-29-0044/", "Инфо")</f>
        <v>Инфо</v>
      </c>
      <c r="F2385" s="34" t="s">
        <v>39</v>
      </c>
      <c r="G2385" s="33"/>
      <c r="H2385" s="33" t="s">
        <v>40</v>
      </c>
      <c r="I2385" s="33"/>
      <c r="J2385" s="39">
        <v>9443</v>
      </c>
      <c r="K2385" s="33"/>
      <c r="L2385" s="35">
        <v>1</v>
      </c>
      <c r="M2385" s="35">
        <v>200</v>
      </c>
      <c r="N2385" s="35">
        <v>1</v>
      </c>
      <c r="O2385" s="36">
        <v>107.93</v>
      </c>
      <c r="P2385" s="36">
        <v>88.47</v>
      </c>
      <c r="Q2385" s="36">
        <v>75.55</v>
      </c>
      <c r="R2385" s="36">
        <v>61.93</v>
      </c>
      <c r="S2385" s="36">
        <v>73.39</v>
      </c>
      <c r="T2385" s="36">
        <v>60.16</v>
      </c>
      <c r="U2385" s="34"/>
      <c r="V2385" s="34"/>
      <c r="W2385" s="34"/>
      <c r="X2385" s="37">
        <v>0.04</v>
      </c>
      <c r="Y2385" s="38">
        <v>3.0499999999999999E-4</v>
      </c>
      <c r="Z2385" s="21">
        <v>4601004173118</v>
      </c>
    </row>
    <row r="2386" spans="1:26" ht="12" customHeight="1" outlineLevel="4" x14ac:dyDescent="0.2">
      <c r="A2386" s="32" t="s">
        <v>4683</v>
      </c>
      <c r="B2386" s="74" t="s">
        <v>4684</v>
      </c>
      <c r="C2386" s="50"/>
      <c r="D2386" s="53">
        <f t="shared" si="37"/>
        <v>0</v>
      </c>
      <c r="E2386" s="60" t="str">
        <f>HYPERLINK("https://www.sds-group.ru/product/trubka-termousazhivaemaya-tut-ng-ls-2-1-8-4-sinyaya-rolik-2-44m-rexant-29-0045/", "Инфо")</f>
        <v>Инфо</v>
      </c>
      <c r="F2386" s="34" t="s">
        <v>39</v>
      </c>
      <c r="G2386" s="33"/>
      <c r="H2386" s="33" t="s">
        <v>40</v>
      </c>
      <c r="I2386" s="33"/>
      <c r="J2386" s="39">
        <v>7638</v>
      </c>
      <c r="K2386" s="33"/>
      <c r="L2386" s="35">
        <v>1</v>
      </c>
      <c r="M2386" s="35">
        <v>200</v>
      </c>
      <c r="N2386" s="35">
        <v>1</v>
      </c>
      <c r="O2386" s="36">
        <v>107.93</v>
      </c>
      <c r="P2386" s="36">
        <v>88.47</v>
      </c>
      <c r="Q2386" s="36">
        <v>75.55</v>
      </c>
      <c r="R2386" s="36">
        <v>61.93</v>
      </c>
      <c r="S2386" s="36">
        <v>73.39</v>
      </c>
      <c r="T2386" s="36">
        <v>60.16</v>
      </c>
      <c r="U2386" s="34"/>
      <c r="V2386" s="34"/>
      <c r="W2386" s="34"/>
      <c r="X2386" s="37">
        <v>4.2000000000000003E-2</v>
      </c>
      <c r="Y2386" s="38">
        <v>2.9100000000000003E-4</v>
      </c>
      <c r="Z2386" s="21">
        <v>4601004173170</v>
      </c>
    </row>
    <row r="2387" spans="1:26" ht="12" customHeight="1" outlineLevel="4" x14ac:dyDescent="0.2">
      <c r="A2387" s="32" t="s">
        <v>4685</v>
      </c>
      <c r="B2387" s="74" t="s">
        <v>4686</v>
      </c>
      <c r="C2387" s="50"/>
      <c r="D2387" s="53">
        <f t="shared" si="37"/>
        <v>0</v>
      </c>
      <c r="E2387" s="60" t="str">
        <f>HYPERLINK("https://www.sds-group.ru/product/trubka-termousazhivaemaya-tut-ng-ls-2-1-8-4-chernaya-rolik-2-44m-rexant-29-0046/", "Инфо")</f>
        <v>Инфо</v>
      </c>
      <c r="F2387" s="34" t="s">
        <v>39</v>
      </c>
      <c r="G2387" s="33"/>
      <c r="H2387" s="33" t="s">
        <v>40</v>
      </c>
      <c r="I2387" s="33"/>
      <c r="J2387" s="35">
        <v>503</v>
      </c>
      <c r="K2387" s="33"/>
      <c r="L2387" s="35">
        <v>1</v>
      </c>
      <c r="M2387" s="35">
        <v>200</v>
      </c>
      <c r="N2387" s="35">
        <v>1</v>
      </c>
      <c r="O2387" s="36">
        <v>127.12</v>
      </c>
      <c r="P2387" s="36">
        <v>104.2</v>
      </c>
      <c r="Q2387" s="36">
        <v>108.05</v>
      </c>
      <c r="R2387" s="36">
        <v>88.57</v>
      </c>
      <c r="S2387" s="36">
        <v>86.44</v>
      </c>
      <c r="T2387" s="36">
        <v>70.849999999999994</v>
      </c>
      <c r="U2387" s="34"/>
      <c r="V2387" s="34"/>
      <c r="W2387" s="34" t="s">
        <v>40</v>
      </c>
      <c r="X2387" s="37">
        <v>4.1000000000000002E-2</v>
      </c>
      <c r="Y2387" s="38">
        <v>2.8499999999999999E-4</v>
      </c>
      <c r="Z2387" s="21">
        <v>4601004179349</v>
      </c>
    </row>
    <row r="2388" spans="1:26" ht="12.95" customHeight="1" outlineLevel="3" x14ac:dyDescent="0.2">
      <c r="A2388" s="76" t="s">
        <v>4687</v>
      </c>
      <c r="B2388" s="76"/>
      <c r="C2388" s="77"/>
      <c r="D2388" s="58"/>
      <c r="E2388" s="68"/>
      <c r="F2388" s="13"/>
      <c r="G2388" s="13"/>
      <c r="H2388" s="13"/>
      <c r="I2388" s="13"/>
      <c r="J2388" s="13"/>
      <c r="K2388" s="13"/>
      <c r="L2388" s="13"/>
      <c r="M2388" s="13"/>
      <c r="N2388" s="13"/>
      <c r="O2388" s="13"/>
      <c r="P2388" s="13"/>
      <c r="Q2388" s="13"/>
      <c r="R2388" s="13"/>
      <c r="S2388" s="13"/>
      <c r="T2388" s="13"/>
      <c r="U2388" s="13"/>
      <c r="V2388" s="13"/>
      <c r="W2388" s="13"/>
      <c r="X2388" s="13"/>
      <c r="Y2388" s="13"/>
      <c r="Z2388" s="13"/>
    </row>
    <row r="2389" spans="1:26" ht="12" customHeight="1" outlineLevel="4" x14ac:dyDescent="0.2">
      <c r="A2389" s="14" t="s">
        <v>4688</v>
      </c>
      <c r="B2389" s="26" t="s">
        <v>4689</v>
      </c>
      <c r="C2389" s="52"/>
      <c r="D2389" s="55">
        <f t="shared" si="37"/>
        <v>0</v>
      </c>
      <c r="E2389" s="63" t="str">
        <f>HYPERLINK("https://www.sds-group.ru/product/nabor-termousazhivaemyh-trubok-4-ttk-3-1-upak-126-sht-rexant-29-0134/", "Инфо")</f>
        <v>Инфо</v>
      </c>
      <c r="F2389" s="16" t="s">
        <v>39</v>
      </c>
      <c r="G2389" s="15"/>
      <c r="H2389" s="15"/>
      <c r="I2389" s="15"/>
      <c r="J2389" s="17">
        <v>31</v>
      </c>
      <c r="K2389" s="15" t="s">
        <v>4183</v>
      </c>
      <c r="L2389" s="17">
        <v>1</v>
      </c>
      <c r="M2389" s="17">
        <v>52</v>
      </c>
      <c r="N2389" s="17">
        <v>1</v>
      </c>
      <c r="O2389" s="18">
        <v>1429.7</v>
      </c>
      <c r="P2389" s="18">
        <v>1171.8900000000001</v>
      </c>
      <c r="Q2389" s="18">
        <v>1215.25</v>
      </c>
      <c r="R2389" s="18">
        <v>996.11</v>
      </c>
      <c r="S2389" s="18">
        <v>972.2</v>
      </c>
      <c r="T2389" s="18">
        <v>796.89</v>
      </c>
      <c r="U2389" s="16"/>
      <c r="V2389" s="16"/>
      <c r="W2389" s="16" t="s">
        <v>40</v>
      </c>
      <c r="X2389" s="19">
        <v>0.218</v>
      </c>
      <c r="Y2389" s="20">
        <v>1.1739999999999999E-3</v>
      </c>
      <c r="Z2389" s="21">
        <v>4601004173323</v>
      </c>
    </row>
    <row r="2390" spans="1:26" ht="12" customHeight="1" outlineLevel="4" x14ac:dyDescent="0.2">
      <c r="A2390" s="14" t="s">
        <v>4690</v>
      </c>
      <c r="B2390" s="26" t="s">
        <v>4691</v>
      </c>
      <c r="C2390" s="52"/>
      <c r="D2390" s="55">
        <f t="shared" si="37"/>
        <v>0</v>
      </c>
      <c r="E2390" s="63" t="str">
        <f>HYPERLINK("https://www.sds-group.ru/product/nabor-kleevyh-termousazhivaemyh-trubok-7-ttk-3-1-upak-7-sht-po-10-sm-rexant-29-0107/", "Инфо")</f>
        <v>Инфо</v>
      </c>
      <c r="F2390" s="16" t="s">
        <v>1001</v>
      </c>
      <c r="G2390" s="15"/>
      <c r="H2390" s="15"/>
      <c r="I2390" s="15"/>
      <c r="J2390" s="22">
        <v>3889</v>
      </c>
      <c r="K2390" s="15" t="s">
        <v>1004</v>
      </c>
      <c r="L2390" s="17">
        <v>10</v>
      </c>
      <c r="M2390" s="17">
        <v>250</v>
      </c>
      <c r="N2390" s="17">
        <v>10</v>
      </c>
      <c r="O2390" s="18">
        <v>132.16</v>
      </c>
      <c r="P2390" s="18">
        <v>108.33</v>
      </c>
      <c r="Q2390" s="18">
        <v>120.27</v>
      </c>
      <c r="R2390" s="18">
        <v>98.58</v>
      </c>
      <c r="S2390" s="18">
        <v>89.87</v>
      </c>
      <c r="T2390" s="18">
        <v>73.66</v>
      </c>
      <c r="U2390" s="16"/>
      <c r="V2390" s="16"/>
      <c r="W2390" s="16" t="s">
        <v>40</v>
      </c>
      <c r="X2390" s="19">
        <v>1.9E-2</v>
      </c>
      <c r="Y2390" s="20">
        <v>1.6200000000000001E-4</v>
      </c>
      <c r="Z2390" s="21">
        <v>4601004028241</v>
      </c>
    </row>
    <row r="2391" spans="1:26" ht="12" customHeight="1" outlineLevel="4" x14ac:dyDescent="0.2">
      <c r="A2391" s="14" t="s">
        <v>4692</v>
      </c>
      <c r="B2391" s="26" t="s">
        <v>4693</v>
      </c>
      <c r="C2391" s="52"/>
      <c r="D2391" s="55">
        <f t="shared" si="37"/>
        <v>0</v>
      </c>
      <c r="E2391" s="63" t="str">
        <f>HYPERLINK("https://www.sds-group.ru/product/nabor-termousazhivaemyh-trubok-1-avto-tut-ng-ls-2-1-upak-10-sht-po-10sm-rexant-29-0101/", "Инфо")</f>
        <v>Инфо</v>
      </c>
      <c r="F2391" s="16" t="s">
        <v>1001</v>
      </c>
      <c r="G2391" s="15"/>
      <c r="H2391" s="15"/>
      <c r="I2391" s="15"/>
      <c r="J2391" s="22">
        <v>30262</v>
      </c>
      <c r="K2391" s="15" t="s">
        <v>1058</v>
      </c>
      <c r="L2391" s="17">
        <v>10</v>
      </c>
      <c r="M2391" s="17">
        <v>250</v>
      </c>
      <c r="N2391" s="17">
        <v>10</v>
      </c>
      <c r="O2391" s="18">
        <v>70.3</v>
      </c>
      <c r="P2391" s="18">
        <v>57.62</v>
      </c>
      <c r="Q2391" s="18">
        <v>63.97</v>
      </c>
      <c r="R2391" s="18">
        <v>52.43</v>
      </c>
      <c r="S2391" s="18">
        <v>47.8</v>
      </c>
      <c r="T2391" s="18">
        <v>39.18</v>
      </c>
      <c r="U2391" s="16"/>
      <c r="V2391" s="16"/>
      <c r="W2391" s="16" t="s">
        <v>40</v>
      </c>
      <c r="X2391" s="19">
        <v>1.0999999999999999E-2</v>
      </c>
      <c r="Y2391" s="20">
        <v>1.34E-4</v>
      </c>
      <c r="Z2391" s="21">
        <v>4660008010836</v>
      </c>
    </row>
    <row r="2392" spans="1:26" ht="12" customHeight="1" outlineLevel="4" x14ac:dyDescent="0.2">
      <c r="A2392" s="14" t="s">
        <v>4694</v>
      </c>
      <c r="B2392" s="26" t="s">
        <v>4695</v>
      </c>
      <c r="C2392" s="52"/>
      <c r="D2392" s="55">
        <f t="shared" si="37"/>
        <v>0</v>
      </c>
      <c r="E2392" s="63" t="str">
        <f>HYPERLINK("https://www.sds-group.ru/product/nabor-termousazhivaemyh-trubok-1-tut-ng-ls-2-1-chernyy-upak-305sht-rexant-29-0131/", "Инфо")</f>
        <v>Инфо</v>
      </c>
      <c r="F2392" s="16" t="s">
        <v>39</v>
      </c>
      <c r="G2392" s="15"/>
      <c r="H2392" s="15"/>
      <c r="I2392" s="15"/>
      <c r="J2392" s="22">
        <v>1209</v>
      </c>
      <c r="K2392" s="15"/>
      <c r="L2392" s="17">
        <v>1</v>
      </c>
      <c r="M2392" s="17">
        <v>36</v>
      </c>
      <c r="N2392" s="17">
        <v>1</v>
      </c>
      <c r="O2392" s="18">
        <v>1003.71</v>
      </c>
      <c r="P2392" s="18">
        <v>822.71</v>
      </c>
      <c r="Q2392" s="18">
        <v>863.19</v>
      </c>
      <c r="R2392" s="18">
        <v>707.53</v>
      </c>
      <c r="S2392" s="18">
        <v>682.52</v>
      </c>
      <c r="T2392" s="18">
        <v>559.44000000000005</v>
      </c>
      <c r="U2392" s="16"/>
      <c r="V2392" s="16"/>
      <c r="W2392" s="16" t="s">
        <v>40</v>
      </c>
      <c r="X2392" s="19">
        <v>0.23899999999999999</v>
      </c>
      <c r="Y2392" s="20">
        <v>1.787E-3</v>
      </c>
      <c r="Z2392" s="21">
        <v>4601004173330</v>
      </c>
    </row>
    <row r="2393" spans="1:26" ht="12" customHeight="1" outlineLevel="4" x14ac:dyDescent="0.2">
      <c r="A2393" s="14" t="s">
        <v>4696</v>
      </c>
      <c r="B2393" s="26" t="s">
        <v>4697</v>
      </c>
      <c r="C2393" s="52"/>
      <c r="D2393" s="55">
        <f t="shared" si="37"/>
        <v>0</v>
      </c>
      <c r="E2393" s="63" t="str">
        <f>HYPERLINK("https://www.sds-group.ru/product/nabor-termousazhivaemyh-trubok-11-tut-ng-ls-2-1-2-1-upak-21sht-rexant-29-0111/", "Инфо")</f>
        <v>Инфо</v>
      </c>
      <c r="F2393" s="16" t="s">
        <v>4698</v>
      </c>
      <c r="G2393" s="15"/>
      <c r="H2393" s="15"/>
      <c r="I2393" s="15"/>
      <c r="J2393" s="16" t="s">
        <v>100</v>
      </c>
      <c r="K2393" s="15" t="s">
        <v>1004</v>
      </c>
      <c r="L2393" s="17">
        <v>10</v>
      </c>
      <c r="M2393" s="17">
        <v>600</v>
      </c>
      <c r="N2393" s="17">
        <v>10</v>
      </c>
      <c r="O2393" s="18">
        <v>42.4</v>
      </c>
      <c r="P2393" s="18">
        <v>34.75</v>
      </c>
      <c r="Q2393" s="18">
        <v>38.58</v>
      </c>
      <c r="R2393" s="18">
        <v>31.62</v>
      </c>
      <c r="S2393" s="18">
        <v>28.83</v>
      </c>
      <c r="T2393" s="18">
        <v>23.63</v>
      </c>
      <c r="U2393" s="16"/>
      <c r="V2393" s="16"/>
      <c r="W2393" s="16" t="s">
        <v>40</v>
      </c>
      <c r="X2393" s="19">
        <v>1.0999999999999999E-2</v>
      </c>
      <c r="Y2393" s="20">
        <v>2.3900000000000001E-4</v>
      </c>
      <c r="Z2393" s="21">
        <v>4601004286306</v>
      </c>
    </row>
    <row r="2394" spans="1:26" ht="12" customHeight="1" outlineLevel="4" x14ac:dyDescent="0.2">
      <c r="A2394" s="14" t="s">
        <v>4699</v>
      </c>
      <c r="B2394" s="26" t="s">
        <v>4700</v>
      </c>
      <c r="C2394" s="52"/>
      <c r="D2394" s="55">
        <f t="shared" si="37"/>
        <v>0</v>
      </c>
      <c r="E2394" s="63" t="str">
        <f>HYPERLINK("https://www.sds-group.ru/product/nabor-termousazhivaemyh-trubok-12-tut-ng-ls-2-1-3-1-5-upak-21sht-rexant-29-0112/", "Инфо")</f>
        <v>Инфо</v>
      </c>
      <c r="F2394" s="16" t="s">
        <v>4698</v>
      </c>
      <c r="G2394" s="15"/>
      <c r="H2394" s="15"/>
      <c r="I2394" s="15"/>
      <c r="J2394" s="22">
        <v>1569</v>
      </c>
      <c r="K2394" s="15" t="s">
        <v>4701</v>
      </c>
      <c r="L2394" s="17">
        <v>10</v>
      </c>
      <c r="M2394" s="17">
        <v>600</v>
      </c>
      <c r="N2394" s="17">
        <v>10</v>
      </c>
      <c r="O2394" s="18">
        <v>57.69</v>
      </c>
      <c r="P2394" s="18">
        <v>47.29</v>
      </c>
      <c r="Q2394" s="18">
        <v>52.5</v>
      </c>
      <c r="R2394" s="18">
        <v>43.03</v>
      </c>
      <c r="S2394" s="18">
        <v>39.229999999999997</v>
      </c>
      <c r="T2394" s="18">
        <v>32.159999999999997</v>
      </c>
      <c r="U2394" s="16"/>
      <c r="V2394" s="16"/>
      <c r="W2394" s="16" t="s">
        <v>40</v>
      </c>
      <c r="X2394" s="19">
        <v>1.2E-2</v>
      </c>
      <c r="Y2394" s="20">
        <v>1.4100000000000001E-4</v>
      </c>
      <c r="Z2394" s="21">
        <v>4601004286283</v>
      </c>
    </row>
    <row r="2395" spans="1:26" ht="12" customHeight="1" outlineLevel="4" x14ac:dyDescent="0.2">
      <c r="A2395" s="14" t="s">
        <v>4702</v>
      </c>
      <c r="B2395" s="26" t="s">
        <v>4703</v>
      </c>
      <c r="C2395" s="52"/>
      <c r="D2395" s="55">
        <f t="shared" si="37"/>
        <v>0</v>
      </c>
      <c r="E2395" s="63" t="str">
        <f>HYPERLINK("https://www.sds-group.ru/product/nabor-termousazhivaemyh-trubok-13-tut-ng-ls-2-1-4-2-upak-21sht-rexant-29-0113/", "Инфо")</f>
        <v>Инфо</v>
      </c>
      <c r="F2395" s="16" t="s">
        <v>4698</v>
      </c>
      <c r="G2395" s="15"/>
      <c r="H2395" s="15"/>
      <c r="I2395" s="15"/>
      <c r="J2395" s="22">
        <v>2438</v>
      </c>
      <c r="K2395" s="15" t="s">
        <v>1058</v>
      </c>
      <c r="L2395" s="17">
        <v>10</v>
      </c>
      <c r="M2395" s="17">
        <v>600</v>
      </c>
      <c r="N2395" s="17">
        <v>10</v>
      </c>
      <c r="O2395" s="18">
        <v>53.25</v>
      </c>
      <c r="P2395" s="18">
        <v>43.65</v>
      </c>
      <c r="Q2395" s="18">
        <v>48.46</v>
      </c>
      <c r="R2395" s="18">
        <v>39.72</v>
      </c>
      <c r="S2395" s="18">
        <v>36.21</v>
      </c>
      <c r="T2395" s="18">
        <v>29.68</v>
      </c>
      <c r="U2395" s="16"/>
      <c r="V2395" s="16"/>
      <c r="W2395" s="16" t="s">
        <v>40</v>
      </c>
      <c r="X2395" s="19">
        <v>1.2999999999999999E-2</v>
      </c>
      <c r="Y2395" s="20">
        <v>1.2799999999999999E-4</v>
      </c>
      <c r="Z2395" s="21">
        <v>4601004286405</v>
      </c>
    </row>
    <row r="2396" spans="1:26" ht="12" customHeight="1" outlineLevel="4" x14ac:dyDescent="0.2">
      <c r="A2396" s="14" t="s">
        <v>4704</v>
      </c>
      <c r="B2396" s="26" t="s">
        <v>4705</v>
      </c>
      <c r="C2396" s="52"/>
      <c r="D2396" s="55">
        <f t="shared" si="37"/>
        <v>0</v>
      </c>
      <c r="E2396" s="63" t="str">
        <f>HYPERLINK("https://www.sds-group.ru/product/nabor-termousazhivaemyh-trubok-14-tut-ng-ls-2-1-5-2-5-upak-21sht-rexant-29-0114/", "Инфо")</f>
        <v>Инфо</v>
      </c>
      <c r="F2396" s="16" t="s">
        <v>4698</v>
      </c>
      <c r="G2396" s="15"/>
      <c r="H2396" s="15"/>
      <c r="I2396" s="15"/>
      <c r="J2396" s="17">
        <v>349</v>
      </c>
      <c r="K2396" s="15" t="s">
        <v>1058</v>
      </c>
      <c r="L2396" s="17">
        <v>10</v>
      </c>
      <c r="M2396" s="17">
        <v>400</v>
      </c>
      <c r="N2396" s="17">
        <v>10</v>
      </c>
      <c r="O2396" s="18">
        <v>70.33</v>
      </c>
      <c r="P2396" s="18">
        <v>57.65</v>
      </c>
      <c r="Q2396" s="18">
        <v>64</v>
      </c>
      <c r="R2396" s="18">
        <v>52.46</v>
      </c>
      <c r="S2396" s="18">
        <v>47.82</v>
      </c>
      <c r="T2396" s="18">
        <v>39.200000000000003</v>
      </c>
      <c r="U2396" s="16"/>
      <c r="V2396" s="16"/>
      <c r="W2396" s="16" t="s">
        <v>40</v>
      </c>
      <c r="X2396" s="19">
        <v>1.9E-2</v>
      </c>
      <c r="Y2396" s="20">
        <v>1.4999999999999999E-4</v>
      </c>
      <c r="Z2396" s="21">
        <v>4601004286290</v>
      </c>
    </row>
    <row r="2397" spans="1:26" ht="12" customHeight="1" outlineLevel="4" x14ac:dyDescent="0.2">
      <c r="A2397" s="14" t="s">
        <v>4706</v>
      </c>
      <c r="B2397" s="26" t="s">
        <v>4707</v>
      </c>
      <c r="C2397" s="52"/>
      <c r="D2397" s="55">
        <f t="shared" si="37"/>
        <v>0</v>
      </c>
      <c r="E2397" s="63" t="str">
        <f>HYPERLINK("https://www.sds-group.ru/product/nabor-termousazhivaemyh-trubok-15-tut-ng-ls-2-1-6-3-upak-21sht-rexant-29-0115/", "Инфо")</f>
        <v>Инфо</v>
      </c>
      <c r="F2397" s="16" t="s">
        <v>4698</v>
      </c>
      <c r="G2397" s="15"/>
      <c r="H2397" s="15"/>
      <c r="I2397" s="15"/>
      <c r="J2397" s="22">
        <v>6489</v>
      </c>
      <c r="K2397" s="15"/>
      <c r="L2397" s="17">
        <v>10</v>
      </c>
      <c r="M2397" s="17">
        <v>400</v>
      </c>
      <c r="N2397" s="17">
        <v>10</v>
      </c>
      <c r="O2397" s="18">
        <v>71.42</v>
      </c>
      <c r="P2397" s="18">
        <v>58.54</v>
      </c>
      <c r="Q2397" s="18">
        <v>64.989999999999995</v>
      </c>
      <c r="R2397" s="18">
        <v>53.27</v>
      </c>
      <c r="S2397" s="18">
        <v>48.57</v>
      </c>
      <c r="T2397" s="18">
        <v>39.81</v>
      </c>
      <c r="U2397" s="16"/>
      <c r="V2397" s="16"/>
      <c r="W2397" s="16" t="s">
        <v>40</v>
      </c>
      <c r="X2397" s="19">
        <v>1.9E-2</v>
      </c>
      <c r="Y2397" s="20">
        <v>1.64E-4</v>
      </c>
      <c r="Z2397" s="21">
        <v>4601004286313</v>
      </c>
    </row>
    <row r="2398" spans="1:26" ht="12" customHeight="1" outlineLevel="4" x14ac:dyDescent="0.2">
      <c r="A2398" s="14" t="s">
        <v>4708</v>
      </c>
      <c r="B2398" s="26" t="s">
        <v>4709</v>
      </c>
      <c r="C2398" s="52"/>
      <c r="D2398" s="55">
        <f t="shared" si="37"/>
        <v>0</v>
      </c>
      <c r="E2398" s="63" t="str">
        <f>HYPERLINK("https://www.sds-group.ru/product/nabor-termousazhivaemyh-trubok-16-tut-ng-ls-2-1-8-4-upak-21sht-rexant-29-0116/", "Инфо")</f>
        <v>Инфо</v>
      </c>
      <c r="F2398" s="16" t="s">
        <v>4698</v>
      </c>
      <c r="G2398" s="15"/>
      <c r="H2398" s="15"/>
      <c r="I2398" s="15"/>
      <c r="J2398" s="17">
        <v>418</v>
      </c>
      <c r="K2398" s="15" t="s">
        <v>1058</v>
      </c>
      <c r="L2398" s="17">
        <v>10</v>
      </c>
      <c r="M2398" s="17">
        <v>400</v>
      </c>
      <c r="N2398" s="17">
        <v>10</v>
      </c>
      <c r="O2398" s="18">
        <v>76.290000000000006</v>
      </c>
      <c r="P2398" s="18">
        <v>62.53</v>
      </c>
      <c r="Q2398" s="18">
        <v>69.42</v>
      </c>
      <c r="R2398" s="18">
        <v>56.9</v>
      </c>
      <c r="S2398" s="18">
        <v>51.88</v>
      </c>
      <c r="T2398" s="18">
        <v>42.52</v>
      </c>
      <c r="U2398" s="16"/>
      <c r="V2398" s="16"/>
      <c r="W2398" s="16" t="s">
        <v>40</v>
      </c>
      <c r="X2398" s="19">
        <v>2.3E-2</v>
      </c>
      <c r="Y2398" s="20">
        <v>9.3999999999999994E-5</v>
      </c>
      <c r="Z2398" s="21">
        <v>4601004286320</v>
      </c>
    </row>
    <row r="2399" spans="1:26" ht="12" customHeight="1" outlineLevel="4" x14ac:dyDescent="0.2">
      <c r="A2399" s="14" t="s">
        <v>4710</v>
      </c>
      <c r="B2399" s="26" t="s">
        <v>4711</v>
      </c>
      <c r="C2399" s="52"/>
      <c r="D2399" s="55">
        <f t="shared" si="37"/>
        <v>0</v>
      </c>
      <c r="E2399" s="63" t="str">
        <f>HYPERLINK("https://www.sds-group.ru/product/nabor-termousazhivaemyh-trubok-17-tut-ng-ls-2-1-10-5-upak-21sht-rexant-29-0117/", "Инфо")</f>
        <v>Инфо</v>
      </c>
      <c r="F2399" s="16" t="s">
        <v>4698</v>
      </c>
      <c r="G2399" s="15"/>
      <c r="H2399" s="15"/>
      <c r="I2399" s="15"/>
      <c r="J2399" s="16" t="s">
        <v>100</v>
      </c>
      <c r="K2399" s="15" t="s">
        <v>1004</v>
      </c>
      <c r="L2399" s="17">
        <v>10</v>
      </c>
      <c r="M2399" s="17">
        <v>400</v>
      </c>
      <c r="N2399" s="17">
        <v>10</v>
      </c>
      <c r="O2399" s="18">
        <v>90.99</v>
      </c>
      <c r="P2399" s="18">
        <v>74.58</v>
      </c>
      <c r="Q2399" s="18">
        <v>82.8</v>
      </c>
      <c r="R2399" s="18">
        <v>67.87</v>
      </c>
      <c r="S2399" s="18">
        <v>61.87</v>
      </c>
      <c r="T2399" s="18">
        <v>50.71</v>
      </c>
      <c r="U2399" s="16"/>
      <c r="V2399" s="16"/>
      <c r="W2399" s="16" t="s">
        <v>40</v>
      </c>
      <c r="X2399" s="19">
        <v>2.5999999999999999E-2</v>
      </c>
      <c r="Y2399" s="20">
        <v>9.6000000000000002E-5</v>
      </c>
      <c r="Z2399" s="21">
        <v>4601004286337</v>
      </c>
    </row>
    <row r="2400" spans="1:26" ht="12" customHeight="1" outlineLevel="4" x14ac:dyDescent="0.2">
      <c r="A2400" s="14" t="s">
        <v>4712</v>
      </c>
      <c r="B2400" s="26" t="s">
        <v>4713</v>
      </c>
      <c r="C2400" s="52"/>
      <c r="D2400" s="55">
        <f t="shared" si="37"/>
        <v>0</v>
      </c>
      <c r="E2400" s="63" t="str">
        <f>HYPERLINK("https://www.sds-group.ru/product/nabor-termousazhivaemyh-trubok-18-tut-ng-ls-2-1-12-6-upak-21sht-rexant-29-0118/", "Инфо")</f>
        <v>Инфо</v>
      </c>
      <c r="F2400" s="16" t="s">
        <v>4698</v>
      </c>
      <c r="G2400" s="15"/>
      <c r="H2400" s="15"/>
      <c r="I2400" s="15"/>
      <c r="J2400" s="17">
        <v>2</v>
      </c>
      <c r="K2400" s="15" t="s">
        <v>1058</v>
      </c>
      <c r="L2400" s="17">
        <v>10</v>
      </c>
      <c r="M2400" s="17">
        <v>400</v>
      </c>
      <c r="N2400" s="17">
        <v>10</v>
      </c>
      <c r="O2400" s="18">
        <v>101.69</v>
      </c>
      <c r="P2400" s="18">
        <v>83.35</v>
      </c>
      <c r="Q2400" s="18">
        <v>92.54</v>
      </c>
      <c r="R2400" s="18">
        <v>75.849999999999994</v>
      </c>
      <c r="S2400" s="18">
        <v>69.150000000000006</v>
      </c>
      <c r="T2400" s="18">
        <v>56.68</v>
      </c>
      <c r="U2400" s="16"/>
      <c r="V2400" s="16"/>
      <c r="W2400" s="16" t="s">
        <v>40</v>
      </c>
      <c r="X2400" s="19">
        <v>3.1E-2</v>
      </c>
      <c r="Y2400" s="20">
        <v>9.0000000000000006E-5</v>
      </c>
      <c r="Z2400" s="21">
        <v>4601004286344</v>
      </c>
    </row>
    <row r="2401" spans="1:26" ht="12" customHeight="1" outlineLevel="4" x14ac:dyDescent="0.2">
      <c r="A2401" s="14" t="s">
        <v>4714</v>
      </c>
      <c r="B2401" s="26" t="s">
        <v>4715</v>
      </c>
      <c r="C2401" s="52"/>
      <c r="D2401" s="55">
        <f t="shared" si="37"/>
        <v>0</v>
      </c>
      <c r="E2401" s="63" t="str">
        <f>HYPERLINK("https://www.sds-group.ru/product/nabor-termousazhivaemyh-trubok-19-tut-ng-ls-2-1-15-7-5-upak-21sht-rexant-29-0119/", "Инфо")</f>
        <v>Инфо</v>
      </c>
      <c r="F2401" s="16" t="s">
        <v>4698</v>
      </c>
      <c r="G2401" s="15"/>
      <c r="H2401" s="15"/>
      <c r="I2401" s="15"/>
      <c r="J2401" s="16" t="s">
        <v>100</v>
      </c>
      <c r="K2401" s="15" t="s">
        <v>1004</v>
      </c>
      <c r="L2401" s="17">
        <v>10</v>
      </c>
      <c r="M2401" s="17">
        <v>200</v>
      </c>
      <c r="N2401" s="17">
        <v>10</v>
      </c>
      <c r="O2401" s="18">
        <v>162.28</v>
      </c>
      <c r="P2401" s="18">
        <v>133.02000000000001</v>
      </c>
      <c r="Q2401" s="18">
        <v>147.66999999999999</v>
      </c>
      <c r="R2401" s="18">
        <v>121.04</v>
      </c>
      <c r="S2401" s="18">
        <v>110.35</v>
      </c>
      <c r="T2401" s="18">
        <v>90.45</v>
      </c>
      <c r="U2401" s="16"/>
      <c r="V2401" s="16"/>
      <c r="W2401" s="16" t="s">
        <v>40</v>
      </c>
      <c r="X2401" s="19">
        <v>4.5999999999999999E-2</v>
      </c>
      <c r="Y2401" s="20">
        <v>1.7200000000000001E-4</v>
      </c>
      <c r="Z2401" s="21">
        <v>4601004286351</v>
      </c>
    </row>
    <row r="2402" spans="1:26" ht="12" customHeight="1" outlineLevel="4" x14ac:dyDescent="0.2">
      <c r="A2402" s="14" t="s">
        <v>4716</v>
      </c>
      <c r="B2402" s="26" t="s">
        <v>4717</v>
      </c>
      <c r="C2402" s="52"/>
      <c r="D2402" s="55">
        <f t="shared" si="37"/>
        <v>0</v>
      </c>
      <c r="E2402" s="63" t="str">
        <f>HYPERLINK("https://www.sds-group.ru/product/nabor-termousazhivaemyh-trubok-2-avto-plyus-tut-ng-ls-2-1-upak-20-sht-po-10-sm-rexant-29-0102/", "Инфо")</f>
        <v>Инфо</v>
      </c>
      <c r="F2402" s="16" t="s">
        <v>1001</v>
      </c>
      <c r="G2402" s="15"/>
      <c r="H2402" s="15"/>
      <c r="I2402" s="15"/>
      <c r="J2402" s="22">
        <v>28920</v>
      </c>
      <c r="K2402" s="15" t="s">
        <v>1094</v>
      </c>
      <c r="L2402" s="17">
        <v>10</v>
      </c>
      <c r="M2402" s="17">
        <v>250</v>
      </c>
      <c r="N2402" s="17">
        <v>10</v>
      </c>
      <c r="O2402" s="18">
        <v>114.72</v>
      </c>
      <c r="P2402" s="18">
        <v>94.03</v>
      </c>
      <c r="Q2402" s="18">
        <v>104.4</v>
      </c>
      <c r="R2402" s="18">
        <v>85.57</v>
      </c>
      <c r="S2402" s="18">
        <v>78.010000000000005</v>
      </c>
      <c r="T2402" s="18">
        <v>63.94</v>
      </c>
      <c r="U2402" s="16"/>
      <c r="V2402" s="16"/>
      <c r="W2402" s="16" t="s">
        <v>40</v>
      </c>
      <c r="X2402" s="19">
        <v>2.1000000000000001E-2</v>
      </c>
      <c r="Y2402" s="20">
        <v>1.65E-4</v>
      </c>
      <c r="Z2402" s="21">
        <v>4660008010843</v>
      </c>
    </row>
    <row r="2403" spans="1:26" ht="12" customHeight="1" outlineLevel="4" x14ac:dyDescent="0.2">
      <c r="A2403" s="14" t="s">
        <v>4718</v>
      </c>
      <c r="B2403" s="26" t="s">
        <v>4719</v>
      </c>
      <c r="C2403" s="52"/>
      <c r="D2403" s="55">
        <f t="shared" si="37"/>
        <v>0</v>
      </c>
      <c r="E2403" s="63" t="str">
        <f>HYPERLINK("https://www.sds-group.ru/product/nabor-termousazhivaemyh-trubok-2-tut-ng-ls-2-1-chernyy-upak-260sht-rexant-29-0132/", "Инфо")</f>
        <v>Инфо</v>
      </c>
      <c r="F2403" s="16" t="s">
        <v>39</v>
      </c>
      <c r="G2403" s="15"/>
      <c r="H2403" s="15"/>
      <c r="I2403" s="15"/>
      <c r="J2403" s="17">
        <v>640</v>
      </c>
      <c r="K2403" s="15" t="s">
        <v>4720</v>
      </c>
      <c r="L2403" s="17">
        <v>1</v>
      </c>
      <c r="M2403" s="17">
        <v>36</v>
      </c>
      <c r="N2403" s="17">
        <v>1</v>
      </c>
      <c r="O2403" s="18">
        <v>1149.2</v>
      </c>
      <c r="P2403" s="18">
        <v>941.97</v>
      </c>
      <c r="Q2403" s="18">
        <v>976.82</v>
      </c>
      <c r="R2403" s="18">
        <v>800.67</v>
      </c>
      <c r="S2403" s="18">
        <v>781.46</v>
      </c>
      <c r="T2403" s="18">
        <v>640.54</v>
      </c>
      <c r="U2403" s="16"/>
      <c r="V2403" s="16"/>
      <c r="W2403" s="16" t="s">
        <v>40</v>
      </c>
      <c r="X2403" s="19">
        <v>0.32300000000000001</v>
      </c>
      <c r="Y2403" s="20">
        <v>1.614E-3</v>
      </c>
      <c r="Z2403" s="21">
        <v>4601004173309</v>
      </c>
    </row>
    <row r="2404" spans="1:26" ht="12" customHeight="1" outlineLevel="4" x14ac:dyDescent="0.2">
      <c r="A2404" s="14" t="s">
        <v>4721</v>
      </c>
      <c r="B2404" s="26" t="s">
        <v>4722</v>
      </c>
      <c r="C2404" s="52"/>
      <c r="D2404" s="55">
        <f t="shared" si="37"/>
        <v>0</v>
      </c>
      <c r="E2404" s="63" t="str">
        <f>HYPERLINK("https://www.sds-group.ru/product/nabor-termousazhivaemyh-trubok-20-tut-ng-ls-2-1-20-10-upak-21sht-rexant-29-0120/", "Инфо")</f>
        <v>Инфо</v>
      </c>
      <c r="F2404" s="16" t="s">
        <v>4698</v>
      </c>
      <c r="G2404" s="15"/>
      <c r="H2404" s="15"/>
      <c r="I2404" s="15"/>
      <c r="J2404" s="17">
        <v>126</v>
      </c>
      <c r="K2404" s="15" t="s">
        <v>1058</v>
      </c>
      <c r="L2404" s="17">
        <v>10</v>
      </c>
      <c r="M2404" s="17">
        <v>100</v>
      </c>
      <c r="N2404" s="17">
        <v>10</v>
      </c>
      <c r="O2404" s="18">
        <v>192.21</v>
      </c>
      <c r="P2404" s="18">
        <v>157.55000000000001</v>
      </c>
      <c r="Q2404" s="18">
        <v>174.91</v>
      </c>
      <c r="R2404" s="18">
        <v>143.37</v>
      </c>
      <c r="S2404" s="18">
        <v>130.69999999999999</v>
      </c>
      <c r="T2404" s="18">
        <v>107.13</v>
      </c>
      <c r="U2404" s="16"/>
      <c r="V2404" s="16"/>
      <c r="W2404" s="16" t="s">
        <v>40</v>
      </c>
      <c r="X2404" s="19">
        <v>6.4000000000000001E-2</v>
      </c>
      <c r="Y2404" s="20">
        <v>2.2000000000000001E-4</v>
      </c>
      <c r="Z2404" s="21">
        <v>4601004286368</v>
      </c>
    </row>
    <row r="2405" spans="1:26" ht="12" customHeight="1" outlineLevel="4" x14ac:dyDescent="0.2">
      <c r="A2405" s="14" t="s">
        <v>4723</v>
      </c>
      <c r="B2405" s="26" t="s">
        <v>4724</v>
      </c>
      <c r="C2405" s="52"/>
      <c r="D2405" s="55">
        <f t="shared" si="37"/>
        <v>0</v>
      </c>
      <c r="E2405" s="63" t="str">
        <f>HYPERLINK("https://www.sds-group.ru/product/nabor-termousazhivaemyh-trubok-21-tut-ng-ls-2-1-25-12-5-upak-21sht-rexant-29-0121/", "Инфо")</f>
        <v>Инфо</v>
      </c>
      <c r="F2405" s="16" t="s">
        <v>4698</v>
      </c>
      <c r="G2405" s="15"/>
      <c r="H2405" s="15"/>
      <c r="I2405" s="15"/>
      <c r="J2405" s="17">
        <v>130</v>
      </c>
      <c r="K2405" s="15" t="s">
        <v>4720</v>
      </c>
      <c r="L2405" s="17">
        <v>10</v>
      </c>
      <c r="M2405" s="17">
        <v>100</v>
      </c>
      <c r="N2405" s="17">
        <v>10</v>
      </c>
      <c r="O2405" s="18">
        <v>278.18</v>
      </c>
      <c r="P2405" s="18">
        <v>228.02</v>
      </c>
      <c r="Q2405" s="18">
        <v>253.14</v>
      </c>
      <c r="R2405" s="18">
        <v>207.49</v>
      </c>
      <c r="S2405" s="18">
        <v>189.16</v>
      </c>
      <c r="T2405" s="18">
        <v>155.05000000000001</v>
      </c>
      <c r="U2405" s="16"/>
      <c r="V2405" s="16"/>
      <c r="W2405" s="16" t="s">
        <v>40</v>
      </c>
      <c r="X2405" s="19">
        <v>8.6999999999999994E-2</v>
      </c>
      <c r="Y2405" s="20">
        <v>2.8299999999999999E-4</v>
      </c>
      <c r="Z2405" s="21">
        <v>4601004286375</v>
      </c>
    </row>
    <row r="2406" spans="1:26" ht="12" customHeight="1" outlineLevel="4" x14ac:dyDescent="0.2">
      <c r="A2406" s="14" t="s">
        <v>4725</v>
      </c>
      <c r="B2406" s="26" t="s">
        <v>4726</v>
      </c>
      <c r="C2406" s="52"/>
      <c r="D2406" s="55">
        <f t="shared" si="37"/>
        <v>0</v>
      </c>
      <c r="E2406" s="63" t="str">
        <f>HYPERLINK("https://www.sds-group.ru/product/nabor-termousazhivaemyh-trubok-22-tut-ng-ls-2-1-35-17-5-upak-21sht-rexant-29-0122/", "Инфо")</f>
        <v>Инфо</v>
      </c>
      <c r="F2406" s="16" t="s">
        <v>4698</v>
      </c>
      <c r="G2406" s="15"/>
      <c r="H2406" s="15"/>
      <c r="I2406" s="15"/>
      <c r="J2406" s="17">
        <v>99</v>
      </c>
      <c r="K2406" s="15" t="s">
        <v>1094</v>
      </c>
      <c r="L2406" s="17">
        <v>5</v>
      </c>
      <c r="M2406" s="17">
        <v>100</v>
      </c>
      <c r="N2406" s="17">
        <v>5</v>
      </c>
      <c r="O2406" s="18">
        <v>379.33</v>
      </c>
      <c r="P2406" s="18">
        <v>310.93</v>
      </c>
      <c r="Q2406" s="18">
        <v>345.19</v>
      </c>
      <c r="R2406" s="18">
        <v>282.94</v>
      </c>
      <c r="S2406" s="18">
        <v>257.94</v>
      </c>
      <c r="T2406" s="18">
        <v>211.43</v>
      </c>
      <c r="U2406" s="16"/>
      <c r="V2406" s="16"/>
      <c r="W2406" s="16" t="s">
        <v>40</v>
      </c>
      <c r="X2406" s="19">
        <v>0.17499999999999999</v>
      </c>
      <c r="Y2406" s="20">
        <v>7.2000000000000015E-4</v>
      </c>
      <c r="Z2406" s="21">
        <v>4601004286382</v>
      </c>
    </row>
    <row r="2407" spans="1:26" ht="12" customHeight="1" outlineLevel="4" x14ac:dyDescent="0.2">
      <c r="A2407" s="14" t="s">
        <v>4727</v>
      </c>
      <c r="B2407" s="26" t="s">
        <v>4728</v>
      </c>
      <c r="C2407" s="52"/>
      <c r="D2407" s="55">
        <f t="shared" si="37"/>
        <v>0</v>
      </c>
      <c r="E2407" s="63" t="str">
        <f>HYPERLINK("https://www.sds-group.ru/product/nabor-termousazhivaemyh-trubok-23-tut-ng-ls-2-1-40-20-upak-21sht-rexant-29-0123/", "Инфо")</f>
        <v>Инфо</v>
      </c>
      <c r="F2407" s="16" t="s">
        <v>4698</v>
      </c>
      <c r="G2407" s="15"/>
      <c r="H2407" s="15"/>
      <c r="I2407" s="15"/>
      <c r="J2407" s="17">
        <v>62</v>
      </c>
      <c r="K2407" s="15" t="s">
        <v>4720</v>
      </c>
      <c r="L2407" s="17">
        <v>5</v>
      </c>
      <c r="M2407" s="17">
        <v>100</v>
      </c>
      <c r="N2407" s="17">
        <v>5</v>
      </c>
      <c r="O2407" s="18">
        <v>452.93</v>
      </c>
      <c r="P2407" s="18">
        <v>371.25</v>
      </c>
      <c r="Q2407" s="18">
        <v>389.52</v>
      </c>
      <c r="R2407" s="18">
        <v>319.27999999999997</v>
      </c>
      <c r="S2407" s="18">
        <v>307.99</v>
      </c>
      <c r="T2407" s="18">
        <v>252.45</v>
      </c>
      <c r="U2407" s="16"/>
      <c r="V2407" s="16"/>
      <c r="W2407" s="16" t="s">
        <v>40</v>
      </c>
      <c r="X2407" s="19">
        <v>0.129</v>
      </c>
      <c r="Y2407" s="20">
        <v>3.6299999999999999E-4</v>
      </c>
      <c r="Z2407" s="21">
        <v>4601004286399</v>
      </c>
    </row>
    <row r="2408" spans="1:26" ht="12" customHeight="1" outlineLevel="4" x14ac:dyDescent="0.2">
      <c r="A2408" s="14" t="s">
        <v>4729</v>
      </c>
      <c r="B2408" s="26" t="s">
        <v>4730</v>
      </c>
      <c r="C2408" s="52"/>
      <c r="D2408" s="55">
        <f t="shared" si="37"/>
        <v>0</v>
      </c>
      <c r="E2408" s="63" t="str">
        <f>HYPERLINK("https://www.sds-group.ru/product/nabor-termousazhivaemyh-trubok-24-tut-ng-ls-2-1-50-25-upak-21sht-rexant-29-0124/", "Инфо")</f>
        <v>Инфо</v>
      </c>
      <c r="F2408" s="16" t="s">
        <v>4698</v>
      </c>
      <c r="G2408" s="15"/>
      <c r="H2408" s="15"/>
      <c r="I2408" s="15"/>
      <c r="J2408" s="17">
        <v>92</v>
      </c>
      <c r="K2408" s="15" t="s">
        <v>1094</v>
      </c>
      <c r="L2408" s="17">
        <v>5</v>
      </c>
      <c r="M2408" s="17">
        <v>100</v>
      </c>
      <c r="N2408" s="17">
        <v>5</v>
      </c>
      <c r="O2408" s="18">
        <v>555.22</v>
      </c>
      <c r="P2408" s="18">
        <v>455.1</v>
      </c>
      <c r="Q2408" s="18">
        <v>477.49</v>
      </c>
      <c r="R2408" s="18">
        <v>391.39</v>
      </c>
      <c r="S2408" s="18">
        <v>377.55</v>
      </c>
      <c r="T2408" s="18">
        <v>309.47000000000003</v>
      </c>
      <c r="U2408" s="16"/>
      <c r="V2408" s="16"/>
      <c r="W2408" s="16" t="s">
        <v>40</v>
      </c>
      <c r="X2408" s="19">
        <v>0.251</v>
      </c>
      <c r="Y2408" s="20">
        <v>1.036E-3</v>
      </c>
      <c r="Z2408" s="21">
        <v>4601004286412</v>
      </c>
    </row>
    <row r="2409" spans="1:26" ht="12" customHeight="1" outlineLevel="4" x14ac:dyDescent="0.2">
      <c r="A2409" s="14" t="s">
        <v>4731</v>
      </c>
      <c r="B2409" s="26" t="s">
        <v>4732</v>
      </c>
      <c r="C2409" s="52"/>
      <c r="D2409" s="55">
        <f t="shared" si="37"/>
        <v>0</v>
      </c>
      <c r="E2409" s="63" t="str">
        <f>HYPERLINK("https://www.sds-group.ru/product/nabor-termousazhivaemyh-trubok-3-tut-ng-ls-2-1-4-tsveta-upak-288sht-rexant-29-0133/", "Инфо")</f>
        <v>Инфо</v>
      </c>
      <c r="F2409" s="16" t="s">
        <v>39</v>
      </c>
      <c r="G2409" s="15"/>
      <c r="H2409" s="15"/>
      <c r="I2409" s="15"/>
      <c r="J2409" s="16" t="s">
        <v>100</v>
      </c>
      <c r="K2409" s="15" t="s">
        <v>4701</v>
      </c>
      <c r="L2409" s="17">
        <v>1</v>
      </c>
      <c r="M2409" s="17">
        <v>48</v>
      </c>
      <c r="N2409" s="17">
        <v>1</v>
      </c>
      <c r="O2409" s="18">
        <v>1203.3399999999999</v>
      </c>
      <c r="P2409" s="18">
        <v>986.34</v>
      </c>
      <c r="Q2409" s="18">
        <v>1034.8699999999999</v>
      </c>
      <c r="R2409" s="18">
        <v>848.25</v>
      </c>
      <c r="S2409" s="18">
        <v>818.27</v>
      </c>
      <c r="T2409" s="18">
        <v>670.71</v>
      </c>
      <c r="U2409" s="16"/>
      <c r="V2409" s="16"/>
      <c r="W2409" s="16" t="s">
        <v>40</v>
      </c>
      <c r="X2409" s="19">
        <v>0.20100000000000001</v>
      </c>
      <c r="Y2409" s="20">
        <v>1.163E-3</v>
      </c>
      <c r="Z2409" s="21">
        <v>4601004173316</v>
      </c>
    </row>
    <row r="2410" spans="1:26" ht="12" customHeight="1" outlineLevel="4" x14ac:dyDescent="0.2">
      <c r="A2410" s="14" t="s">
        <v>4733</v>
      </c>
      <c r="B2410" s="26" t="s">
        <v>4734</v>
      </c>
      <c r="C2410" s="52"/>
      <c r="D2410" s="55">
        <f t="shared" si="37"/>
        <v>0</v>
      </c>
      <c r="E2410" s="63" t="str">
        <f>HYPERLINK("https://www.sds-group.ru/product/nabor-termousazhivaemyh-trubok-3-elektro-plyus-tut-ng-ls-2-1-upak-13-sht-po-10-sm-rexant-29-0103/", "Инфо")</f>
        <v>Инфо</v>
      </c>
      <c r="F2410" s="16" t="s">
        <v>1001</v>
      </c>
      <c r="G2410" s="15"/>
      <c r="H2410" s="15"/>
      <c r="I2410" s="15"/>
      <c r="J2410" s="22">
        <v>32126</v>
      </c>
      <c r="K2410" s="15" t="s">
        <v>1058</v>
      </c>
      <c r="L2410" s="17">
        <v>10</v>
      </c>
      <c r="M2410" s="17">
        <v>250</v>
      </c>
      <c r="N2410" s="17">
        <v>10</v>
      </c>
      <c r="O2410" s="18">
        <v>84.21</v>
      </c>
      <c r="P2410" s="18">
        <v>69.02</v>
      </c>
      <c r="Q2410" s="18">
        <v>76.63</v>
      </c>
      <c r="R2410" s="18">
        <v>62.81</v>
      </c>
      <c r="S2410" s="18">
        <v>57.26</v>
      </c>
      <c r="T2410" s="18">
        <v>46.93</v>
      </c>
      <c r="U2410" s="16"/>
      <c r="V2410" s="16"/>
      <c r="W2410" s="16" t="s">
        <v>40</v>
      </c>
      <c r="X2410" s="19">
        <v>1.6E-2</v>
      </c>
      <c r="Y2410" s="20">
        <v>1.3100000000000001E-4</v>
      </c>
      <c r="Z2410" s="21">
        <v>4660008010850</v>
      </c>
    </row>
    <row r="2411" spans="1:26" ht="12" customHeight="1" outlineLevel="4" x14ac:dyDescent="0.2">
      <c r="A2411" s="14" t="s">
        <v>4735</v>
      </c>
      <c r="B2411" s="26" t="s">
        <v>4736</v>
      </c>
      <c r="C2411" s="52"/>
      <c r="D2411" s="55">
        <f t="shared" si="37"/>
        <v>0</v>
      </c>
      <c r="E2411" s="63" t="str">
        <f>HYPERLINK("https://www.sds-group.ru/product/nabor-termousazhivaemyh-trubok-4-elektro-tut-ng-ls-2-1-upak-20-sht-po-10sm-rexant-29-0104/", "Инфо")</f>
        <v>Инфо</v>
      </c>
      <c r="F2411" s="16" t="s">
        <v>1001</v>
      </c>
      <c r="G2411" s="15"/>
      <c r="H2411" s="15"/>
      <c r="I2411" s="15"/>
      <c r="J2411" s="22">
        <v>14164</v>
      </c>
      <c r="K2411" s="15" t="s">
        <v>1058</v>
      </c>
      <c r="L2411" s="17">
        <v>10</v>
      </c>
      <c r="M2411" s="17">
        <v>250</v>
      </c>
      <c r="N2411" s="17">
        <v>10</v>
      </c>
      <c r="O2411" s="18">
        <v>84.39</v>
      </c>
      <c r="P2411" s="18">
        <v>69.17</v>
      </c>
      <c r="Q2411" s="18">
        <v>76.790000000000006</v>
      </c>
      <c r="R2411" s="18">
        <v>62.94</v>
      </c>
      <c r="S2411" s="18">
        <v>57.39</v>
      </c>
      <c r="T2411" s="18">
        <v>47.04</v>
      </c>
      <c r="U2411" s="16"/>
      <c r="V2411" s="16"/>
      <c r="W2411" s="16" t="s">
        <v>40</v>
      </c>
      <c r="X2411" s="19">
        <v>0.01</v>
      </c>
      <c r="Y2411" s="20">
        <v>1.3200000000000001E-4</v>
      </c>
      <c r="Z2411" s="21">
        <v>4660008010867</v>
      </c>
    </row>
    <row r="2412" spans="1:26" ht="12" customHeight="1" outlineLevel="4" x14ac:dyDescent="0.2">
      <c r="A2412" s="14" t="s">
        <v>4737</v>
      </c>
      <c r="B2412" s="26" t="s">
        <v>4738</v>
      </c>
      <c r="C2412" s="52"/>
      <c r="D2412" s="55">
        <f t="shared" si="37"/>
        <v>0</v>
      </c>
      <c r="E2412" s="63" t="str">
        <f>HYPERLINK("https://www.sds-group.ru/product/nabor-termousazhivaemyh-trubok-5-standart-tut-ng-ls-2-1-upak-18-sht-po-10-sm-rexant-29-0105/", "Инфо")</f>
        <v>Инфо</v>
      </c>
      <c r="F2412" s="16" t="s">
        <v>1001</v>
      </c>
      <c r="G2412" s="15"/>
      <c r="H2412" s="15"/>
      <c r="I2412" s="15"/>
      <c r="J2412" s="22">
        <v>18852</v>
      </c>
      <c r="K2412" s="15" t="s">
        <v>1094</v>
      </c>
      <c r="L2412" s="17">
        <v>10</v>
      </c>
      <c r="M2412" s="17">
        <v>250</v>
      </c>
      <c r="N2412" s="17">
        <v>10</v>
      </c>
      <c r="O2412" s="18">
        <v>92.6</v>
      </c>
      <c r="P2412" s="18">
        <v>75.900000000000006</v>
      </c>
      <c r="Q2412" s="18">
        <v>84.27</v>
      </c>
      <c r="R2412" s="18">
        <v>69.069999999999993</v>
      </c>
      <c r="S2412" s="18">
        <v>62.97</v>
      </c>
      <c r="T2412" s="18">
        <v>51.61</v>
      </c>
      <c r="U2412" s="16"/>
      <c r="V2412" s="16"/>
      <c r="W2412" s="16" t="s">
        <v>40</v>
      </c>
      <c r="X2412" s="19">
        <v>1.7999999999999999E-2</v>
      </c>
      <c r="Y2412" s="20">
        <v>1.63E-4</v>
      </c>
      <c r="Z2412" s="21">
        <v>4660008011208</v>
      </c>
    </row>
    <row r="2413" spans="1:26" ht="12" customHeight="1" outlineLevel="4" x14ac:dyDescent="0.2">
      <c r="A2413" s="14" t="s">
        <v>4739</v>
      </c>
      <c r="B2413" s="26" t="s">
        <v>4740</v>
      </c>
      <c r="C2413" s="52"/>
      <c r="D2413" s="55">
        <f t="shared" si="37"/>
        <v>0</v>
      </c>
      <c r="E2413" s="63" t="str">
        <f>HYPERLINK("https://www.sds-group.ru/product/nabor-termousazhivaemyh-trubok-6-maksimum-tut-ng-ls-2-1-upak-14-sht-po-10-sm-rexant-29-0106/", "Инфо")</f>
        <v>Инфо</v>
      </c>
      <c r="F2413" s="16" t="s">
        <v>1001</v>
      </c>
      <c r="G2413" s="15"/>
      <c r="H2413" s="15"/>
      <c r="I2413" s="15"/>
      <c r="J2413" s="22">
        <v>9075</v>
      </c>
      <c r="K2413" s="15" t="s">
        <v>1094</v>
      </c>
      <c r="L2413" s="17">
        <v>10</v>
      </c>
      <c r="M2413" s="17">
        <v>250</v>
      </c>
      <c r="N2413" s="17">
        <v>10</v>
      </c>
      <c r="O2413" s="18">
        <v>105.55</v>
      </c>
      <c r="P2413" s="18">
        <v>86.52</v>
      </c>
      <c r="Q2413" s="18">
        <v>96.05</v>
      </c>
      <c r="R2413" s="18">
        <v>78.73</v>
      </c>
      <c r="S2413" s="18">
        <v>71.77</v>
      </c>
      <c r="T2413" s="18">
        <v>58.83</v>
      </c>
      <c r="U2413" s="16"/>
      <c r="V2413" s="16"/>
      <c r="W2413" s="16" t="s">
        <v>40</v>
      </c>
      <c r="X2413" s="19">
        <v>2.1000000000000001E-2</v>
      </c>
      <c r="Y2413" s="20">
        <v>1.34E-4</v>
      </c>
      <c r="Z2413" s="21">
        <v>4660008011215</v>
      </c>
    </row>
    <row r="2414" spans="1:26" ht="12" customHeight="1" outlineLevel="4" x14ac:dyDescent="0.2">
      <c r="A2414" s="14" t="s">
        <v>4741</v>
      </c>
      <c r="B2414" s="26" t="s">
        <v>4742</v>
      </c>
      <c r="C2414" s="52"/>
      <c r="D2414" s="55">
        <f t="shared" si="37"/>
        <v>0</v>
      </c>
      <c r="E2414" s="63" t="str">
        <f>HYPERLINK("https://www.sds-group.ru/product/nabor-termousazhivaemyh-trubok-tut-ng-ls-2-1-10-5-pyat-tsvetov-rexant-29-0160/", "Инфо")</f>
        <v>Инфо</v>
      </c>
      <c r="F2414" s="16" t="s">
        <v>1001</v>
      </c>
      <c r="G2414" s="15"/>
      <c r="H2414" s="15"/>
      <c r="I2414" s="15"/>
      <c r="J2414" s="17">
        <v>252</v>
      </c>
      <c r="K2414" s="15" t="s">
        <v>1058</v>
      </c>
      <c r="L2414" s="17">
        <v>1</v>
      </c>
      <c r="M2414" s="17">
        <v>16</v>
      </c>
      <c r="N2414" s="17">
        <v>1</v>
      </c>
      <c r="O2414" s="18">
        <v>1817.29</v>
      </c>
      <c r="P2414" s="18">
        <v>1489.58</v>
      </c>
      <c r="Q2414" s="18">
        <v>1508.35</v>
      </c>
      <c r="R2414" s="18">
        <v>1236.3499999999999</v>
      </c>
      <c r="S2414" s="18">
        <v>1235.76</v>
      </c>
      <c r="T2414" s="18">
        <v>1012.92</v>
      </c>
      <c r="U2414" s="16"/>
      <c r="V2414" s="16"/>
      <c r="W2414" s="16" t="s">
        <v>40</v>
      </c>
      <c r="X2414" s="19">
        <v>0.74299999999999999</v>
      </c>
      <c r="Y2414" s="20">
        <v>2.4380000000000001E-3</v>
      </c>
      <c r="Z2414" s="21">
        <v>4601004057975</v>
      </c>
    </row>
    <row r="2415" spans="1:26" ht="12" customHeight="1" outlineLevel="4" x14ac:dyDescent="0.2">
      <c r="A2415" s="14" t="s">
        <v>4743</v>
      </c>
      <c r="B2415" s="26" t="s">
        <v>4744</v>
      </c>
      <c r="C2415" s="52"/>
      <c r="D2415" s="55">
        <f t="shared" si="37"/>
        <v>0</v>
      </c>
      <c r="E2415" s="63" t="str">
        <f>HYPERLINK("https://www.sds-group.ru/product/nabor-termousazhivaemyh-trubok-tut-ng-ls-2-1-12-6-pyat-tsvetov-rexant-29-0162/", "Инфо")</f>
        <v>Инфо</v>
      </c>
      <c r="F2415" s="16" t="s">
        <v>1001</v>
      </c>
      <c r="G2415" s="15"/>
      <c r="H2415" s="15"/>
      <c r="I2415" s="15"/>
      <c r="J2415" s="17">
        <v>140</v>
      </c>
      <c r="K2415" s="15" t="s">
        <v>1094</v>
      </c>
      <c r="L2415" s="17">
        <v>1</v>
      </c>
      <c r="M2415" s="17">
        <v>16</v>
      </c>
      <c r="N2415" s="17">
        <v>1</v>
      </c>
      <c r="O2415" s="18">
        <v>1998.53</v>
      </c>
      <c r="P2415" s="18">
        <v>1638.14</v>
      </c>
      <c r="Q2415" s="18">
        <v>1698.75</v>
      </c>
      <c r="R2415" s="18">
        <v>1392.42</v>
      </c>
      <c r="S2415" s="18">
        <v>1359</v>
      </c>
      <c r="T2415" s="18">
        <v>1113.93</v>
      </c>
      <c r="U2415" s="16"/>
      <c r="V2415" s="16"/>
      <c r="W2415" s="16" t="s">
        <v>40</v>
      </c>
      <c r="X2415" s="19">
        <v>0.85799999999999998</v>
      </c>
      <c r="Y2415" s="20">
        <v>2.5000000000000001E-3</v>
      </c>
      <c r="Z2415" s="21">
        <v>4601004129757</v>
      </c>
    </row>
    <row r="2416" spans="1:26" ht="12" customHeight="1" outlineLevel="4" x14ac:dyDescent="0.2">
      <c r="A2416" s="14" t="s">
        <v>4745</v>
      </c>
      <c r="B2416" s="26" t="s">
        <v>4746</v>
      </c>
      <c r="C2416" s="52"/>
      <c r="D2416" s="55">
        <f t="shared" si="37"/>
        <v>0</v>
      </c>
      <c r="E2416" s="63" t="str">
        <f>HYPERLINK("https://www.sds-group.ru/product/nabor-termousazhivaemyh-trubok-tut-ng-ls-2-1-15-7-5-pyat-tsvetov-rexant-29-0165/", "Инфо")</f>
        <v>Инфо</v>
      </c>
      <c r="F2416" s="16" t="s">
        <v>1001</v>
      </c>
      <c r="G2416" s="15"/>
      <c r="H2416" s="15"/>
      <c r="I2416" s="15"/>
      <c r="J2416" s="17">
        <v>90</v>
      </c>
      <c r="K2416" s="15" t="s">
        <v>1094</v>
      </c>
      <c r="L2416" s="17">
        <v>1</v>
      </c>
      <c r="M2416" s="17">
        <v>10</v>
      </c>
      <c r="N2416" s="17">
        <v>1</v>
      </c>
      <c r="O2416" s="18">
        <v>2998.22</v>
      </c>
      <c r="P2416" s="18">
        <v>2457.56</v>
      </c>
      <c r="Q2416" s="18">
        <v>2548.4899999999998</v>
      </c>
      <c r="R2416" s="18">
        <v>2088.9299999999998</v>
      </c>
      <c r="S2416" s="18">
        <v>2038.79</v>
      </c>
      <c r="T2416" s="18">
        <v>1671.14</v>
      </c>
      <c r="U2416" s="16"/>
      <c r="V2416" s="16"/>
      <c r="W2416" s="16" t="s">
        <v>40</v>
      </c>
      <c r="X2416" s="19">
        <v>1.2849999999999999</v>
      </c>
      <c r="Y2416" s="20">
        <v>4.0000000000000001E-3</v>
      </c>
      <c r="Z2416" s="21">
        <v>4601004129764</v>
      </c>
    </row>
    <row r="2417" spans="1:26" ht="12" customHeight="1" outlineLevel="4" x14ac:dyDescent="0.2">
      <c r="A2417" s="14" t="s">
        <v>4747</v>
      </c>
      <c r="B2417" s="26" t="s">
        <v>4748</v>
      </c>
      <c r="C2417" s="52"/>
      <c r="D2417" s="55">
        <f t="shared" si="37"/>
        <v>0</v>
      </c>
      <c r="E2417" s="63" t="str">
        <f>HYPERLINK("https://www.sds-group.ru/product/nabor-termousazhivaemyh-trubok-tut-ng-ls-2-1-2-1-pyat-tsvetov-rexant-29-0151/", "Инфо")</f>
        <v>Инфо</v>
      </c>
      <c r="F2417" s="16" t="s">
        <v>1001</v>
      </c>
      <c r="G2417" s="15"/>
      <c r="H2417" s="15"/>
      <c r="I2417" s="15"/>
      <c r="J2417" s="17">
        <v>664</v>
      </c>
      <c r="K2417" s="15" t="s">
        <v>4701</v>
      </c>
      <c r="L2417" s="17">
        <v>1</v>
      </c>
      <c r="M2417" s="17">
        <v>60</v>
      </c>
      <c r="N2417" s="17">
        <v>1</v>
      </c>
      <c r="O2417" s="18">
        <v>504.96</v>
      </c>
      <c r="P2417" s="18">
        <v>413.9</v>
      </c>
      <c r="Q2417" s="18">
        <v>434.27</v>
      </c>
      <c r="R2417" s="18">
        <v>355.96</v>
      </c>
      <c r="S2417" s="18">
        <v>343.37</v>
      </c>
      <c r="T2417" s="18">
        <v>281.45</v>
      </c>
      <c r="U2417" s="16"/>
      <c r="V2417" s="16"/>
      <c r="W2417" s="16" t="s">
        <v>40</v>
      </c>
      <c r="X2417" s="19">
        <v>0.16</v>
      </c>
      <c r="Y2417" s="20">
        <v>1.1670000000000001E-3</v>
      </c>
      <c r="Z2417" s="21">
        <v>4601004129740</v>
      </c>
    </row>
    <row r="2418" spans="1:26" ht="12" customHeight="1" outlineLevel="4" x14ac:dyDescent="0.2">
      <c r="A2418" s="14" t="s">
        <v>4749</v>
      </c>
      <c r="B2418" s="26" t="s">
        <v>4750</v>
      </c>
      <c r="C2418" s="52"/>
      <c r="D2418" s="55">
        <f t="shared" si="37"/>
        <v>0</v>
      </c>
      <c r="E2418" s="63" t="str">
        <f>HYPERLINK("https://www.sds-group.ru/product/nabor-termousazhivaemyh-trubok-tut-ng-ls-2-1-20-10-pyat-tsvetov-rexant-29-0170/", "Инфо")</f>
        <v>Инфо</v>
      </c>
      <c r="F2418" s="16" t="s">
        <v>1001</v>
      </c>
      <c r="G2418" s="15"/>
      <c r="H2418" s="15"/>
      <c r="I2418" s="15"/>
      <c r="J2418" s="17">
        <v>185</v>
      </c>
      <c r="K2418" s="15" t="s">
        <v>1094</v>
      </c>
      <c r="L2418" s="17">
        <v>1</v>
      </c>
      <c r="M2418" s="17">
        <v>8</v>
      </c>
      <c r="N2418" s="17">
        <v>1</v>
      </c>
      <c r="O2418" s="18">
        <v>3141.01</v>
      </c>
      <c r="P2418" s="18">
        <v>2574.6</v>
      </c>
      <c r="Q2418" s="18">
        <v>2669.86</v>
      </c>
      <c r="R2418" s="18">
        <v>2188.41</v>
      </c>
      <c r="S2418" s="18">
        <v>2135.89</v>
      </c>
      <c r="T2418" s="18">
        <v>1750.73</v>
      </c>
      <c r="U2418" s="16"/>
      <c r="V2418" s="16"/>
      <c r="W2418" s="16" t="s">
        <v>40</v>
      </c>
      <c r="X2418" s="19">
        <v>1.038</v>
      </c>
      <c r="Y2418" s="20">
        <v>4.7730000000000003E-3</v>
      </c>
      <c r="Z2418" s="21">
        <v>4601004129771</v>
      </c>
    </row>
    <row r="2419" spans="1:26" ht="12" customHeight="1" outlineLevel="4" x14ac:dyDescent="0.2">
      <c r="A2419" s="14" t="s">
        <v>4751</v>
      </c>
      <c r="B2419" s="26" t="s">
        <v>4752</v>
      </c>
      <c r="C2419" s="52"/>
      <c r="D2419" s="55">
        <f t="shared" si="37"/>
        <v>0</v>
      </c>
      <c r="E2419" s="63" t="str">
        <f>HYPERLINK("https://www.sds-group.ru/product/nabor-termousazhivaemyh-trubok-tut-ng-ls-2-1-25-12-5-pyat-tsvetov-rexant-29-0175/", "Инфо")</f>
        <v>Инфо</v>
      </c>
      <c r="F2419" s="16" t="s">
        <v>1001</v>
      </c>
      <c r="G2419" s="15"/>
      <c r="H2419" s="15"/>
      <c r="I2419" s="15"/>
      <c r="J2419" s="17">
        <v>130</v>
      </c>
      <c r="K2419" s="15" t="s">
        <v>4701</v>
      </c>
      <c r="L2419" s="17">
        <v>1</v>
      </c>
      <c r="M2419" s="17">
        <v>6</v>
      </c>
      <c r="N2419" s="17">
        <v>1</v>
      </c>
      <c r="O2419" s="18">
        <v>3215.11</v>
      </c>
      <c r="P2419" s="18">
        <v>2635.34</v>
      </c>
      <c r="Q2419" s="18">
        <v>2507.79</v>
      </c>
      <c r="R2419" s="18">
        <v>2055.5700000000002</v>
      </c>
      <c r="S2419" s="18">
        <v>2186.27</v>
      </c>
      <c r="T2419" s="18">
        <v>1792.02</v>
      </c>
      <c r="U2419" s="16"/>
      <c r="V2419" s="16"/>
      <c r="W2419" s="16" t="s">
        <v>40</v>
      </c>
      <c r="X2419" s="19">
        <v>1.4830000000000001</v>
      </c>
      <c r="Y2419" s="20">
        <v>5.5560000000000002E-3</v>
      </c>
      <c r="Z2419" s="21">
        <v>4601004129788</v>
      </c>
    </row>
    <row r="2420" spans="1:26" ht="12" customHeight="1" outlineLevel="4" x14ac:dyDescent="0.2">
      <c r="A2420" s="14" t="s">
        <v>4753</v>
      </c>
      <c r="B2420" s="26" t="s">
        <v>4754</v>
      </c>
      <c r="C2420" s="52"/>
      <c r="D2420" s="55">
        <f t="shared" si="37"/>
        <v>0</v>
      </c>
      <c r="E2420" s="63" t="str">
        <f>HYPERLINK("https://www.sds-group.ru/product/nabor-termousazhivaemyh-trubok-tut-ng-ls-2-1-3-5-1-75-pyat-tsvetov-rexant-29-0153/", "Инфо")</f>
        <v>Инфо</v>
      </c>
      <c r="F2420" s="16" t="s">
        <v>1001</v>
      </c>
      <c r="G2420" s="15"/>
      <c r="H2420" s="15"/>
      <c r="I2420" s="15"/>
      <c r="J2420" s="17">
        <v>722</v>
      </c>
      <c r="K2420" s="15"/>
      <c r="L2420" s="17">
        <v>1</v>
      </c>
      <c r="M2420" s="17">
        <v>40</v>
      </c>
      <c r="N2420" s="17">
        <v>1</v>
      </c>
      <c r="O2420" s="18">
        <v>757.71</v>
      </c>
      <c r="P2420" s="18">
        <v>621.07000000000005</v>
      </c>
      <c r="Q2420" s="18">
        <v>651.63</v>
      </c>
      <c r="R2420" s="18">
        <v>534.12</v>
      </c>
      <c r="S2420" s="18">
        <v>515.24</v>
      </c>
      <c r="T2420" s="18">
        <v>422.33</v>
      </c>
      <c r="U2420" s="16"/>
      <c r="V2420" s="16"/>
      <c r="W2420" s="16" t="s">
        <v>40</v>
      </c>
      <c r="X2420" s="19">
        <v>0.23799999999999999</v>
      </c>
      <c r="Y2420" s="20">
        <v>1.75E-3</v>
      </c>
      <c r="Z2420" s="21">
        <v>4601004057920</v>
      </c>
    </row>
    <row r="2421" spans="1:26" ht="12" customHeight="1" outlineLevel="4" x14ac:dyDescent="0.2">
      <c r="A2421" s="14" t="s">
        <v>4755</v>
      </c>
      <c r="B2421" s="26" t="s">
        <v>4756</v>
      </c>
      <c r="C2421" s="52"/>
      <c r="D2421" s="55">
        <f t="shared" si="37"/>
        <v>0</v>
      </c>
      <c r="E2421" s="63" t="str">
        <f>HYPERLINK("https://www.sds-group.ru/product/nabor-termousazhivaemyh-trubok-tut-ng-ls-2-1-3-1-5-pyat-tsvetov-rexant-29-0152/", "Инфо")</f>
        <v>Инфо</v>
      </c>
      <c r="F2421" s="16" t="s">
        <v>1001</v>
      </c>
      <c r="G2421" s="15"/>
      <c r="H2421" s="15"/>
      <c r="I2421" s="15"/>
      <c r="J2421" s="22">
        <v>1251</v>
      </c>
      <c r="K2421" s="15" t="s">
        <v>1058</v>
      </c>
      <c r="L2421" s="17">
        <v>1</v>
      </c>
      <c r="M2421" s="17">
        <v>60</v>
      </c>
      <c r="N2421" s="17">
        <v>1</v>
      </c>
      <c r="O2421" s="18">
        <v>568.82000000000005</v>
      </c>
      <c r="P2421" s="18">
        <v>466.25</v>
      </c>
      <c r="Q2421" s="18">
        <v>489.19</v>
      </c>
      <c r="R2421" s="18">
        <v>400.98</v>
      </c>
      <c r="S2421" s="18">
        <v>386.8</v>
      </c>
      <c r="T2421" s="18">
        <v>317.05</v>
      </c>
      <c r="U2421" s="16"/>
      <c r="V2421" s="16"/>
      <c r="W2421" s="16" t="s">
        <v>40</v>
      </c>
      <c r="X2421" s="19">
        <v>0.17799999999999999</v>
      </c>
      <c r="Y2421" s="20">
        <v>1.1670000000000001E-3</v>
      </c>
      <c r="Z2421" s="21">
        <v>4601004057982</v>
      </c>
    </row>
    <row r="2422" spans="1:26" ht="12" customHeight="1" outlineLevel="4" x14ac:dyDescent="0.2">
      <c r="A2422" s="14" t="s">
        <v>4757</v>
      </c>
      <c r="B2422" s="26" t="s">
        <v>4758</v>
      </c>
      <c r="C2422" s="52"/>
      <c r="D2422" s="55">
        <f t="shared" si="37"/>
        <v>0</v>
      </c>
      <c r="E2422" s="63" t="str">
        <f>HYPERLINK("https://www.sds-group.ru/product/nabor-termousazhivaemyh-trubok-tut-ng-ls-2-1-4-2-pyat-tsvetov-rexant-29-0154/", "Инфо")</f>
        <v>Инфо</v>
      </c>
      <c r="F2422" s="16" t="s">
        <v>1001</v>
      </c>
      <c r="G2422" s="15"/>
      <c r="H2422" s="15"/>
      <c r="I2422" s="15"/>
      <c r="J2422" s="17">
        <v>409</v>
      </c>
      <c r="K2422" s="15" t="s">
        <v>4183</v>
      </c>
      <c r="L2422" s="17">
        <v>1</v>
      </c>
      <c r="M2422" s="17">
        <v>40</v>
      </c>
      <c r="N2422" s="17">
        <v>1</v>
      </c>
      <c r="O2422" s="18">
        <v>732.8</v>
      </c>
      <c r="P2422" s="18">
        <v>600.66</v>
      </c>
      <c r="Q2422" s="18">
        <v>630.21</v>
      </c>
      <c r="R2422" s="18">
        <v>516.57000000000005</v>
      </c>
      <c r="S2422" s="18">
        <v>498.3</v>
      </c>
      <c r="T2422" s="18">
        <v>408.44</v>
      </c>
      <c r="U2422" s="16"/>
      <c r="V2422" s="16"/>
      <c r="W2422" s="16" t="s">
        <v>40</v>
      </c>
      <c r="X2422" s="19">
        <v>0.28100000000000003</v>
      </c>
      <c r="Y2422" s="20">
        <v>1.786E-3</v>
      </c>
      <c r="Z2422" s="21">
        <v>4601004057937</v>
      </c>
    </row>
    <row r="2423" spans="1:26" ht="12" customHeight="1" outlineLevel="4" x14ac:dyDescent="0.2">
      <c r="A2423" s="14" t="s">
        <v>4759</v>
      </c>
      <c r="B2423" s="26" t="s">
        <v>4760</v>
      </c>
      <c r="C2423" s="52"/>
      <c r="D2423" s="55">
        <f t="shared" si="37"/>
        <v>0</v>
      </c>
      <c r="E2423" s="63" t="str">
        <f>HYPERLINK("https://www.sds-group.ru/product/nabor-termousazhivaemyh-trubok-tut-ng-ls-2-1-5-2-5-pyat-tsvetov-rexant-29-0155/", "Инфо")</f>
        <v>Инфо</v>
      </c>
      <c r="F2423" s="16" t="s">
        <v>1001</v>
      </c>
      <c r="G2423" s="15"/>
      <c r="H2423" s="15"/>
      <c r="I2423" s="15"/>
      <c r="J2423" s="17">
        <v>199</v>
      </c>
      <c r="K2423" s="15" t="s">
        <v>4720</v>
      </c>
      <c r="L2423" s="17">
        <v>1</v>
      </c>
      <c r="M2423" s="17">
        <v>30</v>
      </c>
      <c r="N2423" s="17">
        <v>1</v>
      </c>
      <c r="O2423" s="18">
        <v>998.91</v>
      </c>
      <c r="P2423" s="18">
        <v>818.78</v>
      </c>
      <c r="Q2423" s="18">
        <v>849.07</v>
      </c>
      <c r="R2423" s="18">
        <v>695.96</v>
      </c>
      <c r="S2423" s="18">
        <v>679.26</v>
      </c>
      <c r="T2423" s="18">
        <v>556.77</v>
      </c>
      <c r="U2423" s="16"/>
      <c r="V2423" s="16"/>
      <c r="W2423" s="16" t="s">
        <v>40</v>
      </c>
      <c r="X2423" s="19">
        <v>0.36199999999999999</v>
      </c>
      <c r="Y2423" s="20">
        <v>2.3570000000000002E-3</v>
      </c>
      <c r="Z2423" s="21">
        <v>4601004057944</v>
      </c>
    </row>
    <row r="2424" spans="1:26" ht="12" customHeight="1" outlineLevel="4" x14ac:dyDescent="0.2">
      <c r="A2424" s="14" t="s">
        <v>4761</v>
      </c>
      <c r="B2424" s="26" t="s">
        <v>4762</v>
      </c>
      <c r="C2424" s="52"/>
      <c r="D2424" s="55">
        <f t="shared" si="37"/>
        <v>0</v>
      </c>
      <c r="E2424" s="63" t="str">
        <f>HYPERLINK("https://www.sds-group.ru/product/nabor-termousazhivaemyh-trubok-tut-ng-ls-2-1-6-3-pyat-tsvetov-rexant-29-0156/", "Инфо")</f>
        <v>Инфо</v>
      </c>
      <c r="F2424" s="16" t="s">
        <v>1001</v>
      </c>
      <c r="G2424" s="15"/>
      <c r="H2424" s="15"/>
      <c r="I2424" s="15"/>
      <c r="J2424" s="17">
        <v>696</v>
      </c>
      <c r="K2424" s="15" t="s">
        <v>4183</v>
      </c>
      <c r="L2424" s="17">
        <v>1</v>
      </c>
      <c r="M2424" s="17">
        <v>30</v>
      </c>
      <c r="N2424" s="17">
        <v>1</v>
      </c>
      <c r="O2424" s="18">
        <v>1172.33</v>
      </c>
      <c r="P2424" s="18">
        <v>960.93</v>
      </c>
      <c r="Q2424" s="18">
        <v>996.48</v>
      </c>
      <c r="R2424" s="18">
        <v>816.79</v>
      </c>
      <c r="S2424" s="18">
        <v>797.18</v>
      </c>
      <c r="T2424" s="18">
        <v>653.42999999999995</v>
      </c>
      <c r="U2424" s="16"/>
      <c r="V2424" s="16"/>
      <c r="W2424" s="16" t="s">
        <v>40</v>
      </c>
      <c r="X2424" s="19">
        <v>0.45800000000000002</v>
      </c>
      <c r="Y2424" s="20">
        <v>3.1670000000000001E-3</v>
      </c>
      <c r="Z2424" s="21">
        <v>4601004057951</v>
      </c>
    </row>
    <row r="2425" spans="1:26" ht="12" customHeight="1" outlineLevel="4" x14ac:dyDescent="0.2">
      <c r="A2425" s="14" t="s">
        <v>4763</v>
      </c>
      <c r="B2425" s="26" t="s">
        <v>4764</v>
      </c>
      <c r="C2425" s="52"/>
      <c r="D2425" s="55">
        <f t="shared" si="37"/>
        <v>0</v>
      </c>
      <c r="E2425" s="63" t="str">
        <f>HYPERLINK("https://www.sds-group.ru/product/nabor-termousazhivaemyh-trubok-tut-ng-ls-2-1-8-4-pyat-tsvetov-rexant-29-0158/", "Инфо")</f>
        <v>Инфо</v>
      </c>
      <c r="F2425" s="16" t="s">
        <v>1001</v>
      </c>
      <c r="G2425" s="15"/>
      <c r="H2425" s="15"/>
      <c r="I2425" s="15"/>
      <c r="J2425" s="17">
        <v>529</v>
      </c>
      <c r="K2425" s="15" t="s">
        <v>1058</v>
      </c>
      <c r="L2425" s="17">
        <v>1</v>
      </c>
      <c r="M2425" s="17">
        <v>20</v>
      </c>
      <c r="N2425" s="17">
        <v>1</v>
      </c>
      <c r="O2425" s="18">
        <v>1454.27</v>
      </c>
      <c r="P2425" s="18">
        <v>1192.02</v>
      </c>
      <c r="Q2425" s="18">
        <v>1236.1300000000001</v>
      </c>
      <c r="R2425" s="18">
        <v>1013.22</v>
      </c>
      <c r="S2425" s="18">
        <v>988.9</v>
      </c>
      <c r="T2425" s="18">
        <v>810.57</v>
      </c>
      <c r="U2425" s="16"/>
      <c r="V2425" s="16"/>
      <c r="W2425" s="16" t="s">
        <v>40</v>
      </c>
      <c r="X2425" s="19">
        <v>0.626</v>
      </c>
      <c r="Y2425" s="20">
        <v>1.9719999999999998E-3</v>
      </c>
      <c r="Z2425" s="21">
        <v>4601004057968</v>
      </c>
    </row>
    <row r="2426" spans="1:26" ht="12.95" customHeight="1" outlineLevel="3" x14ac:dyDescent="0.2">
      <c r="A2426" s="76" t="s">
        <v>4765</v>
      </c>
      <c r="B2426" s="76"/>
      <c r="C2426" s="77"/>
      <c r="D2426" s="58"/>
      <c r="E2426" s="68"/>
      <c r="F2426" s="13"/>
      <c r="G2426" s="13"/>
      <c r="H2426" s="13"/>
      <c r="I2426" s="13"/>
      <c r="J2426" s="13"/>
      <c r="K2426" s="13"/>
      <c r="L2426" s="13"/>
      <c r="M2426" s="13"/>
      <c r="N2426" s="13"/>
      <c r="O2426" s="13"/>
      <c r="P2426" s="13"/>
      <c r="Q2426" s="13"/>
      <c r="R2426" s="13"/>
      <c r="S2426" s="13"/>
      <c r="T2426" s="13"/>
      <c r="U2426" s="13"/>
      <c r="V2426" s="13"/>
      <c r="W2426" s="13"/>
      <c r="X2426" s="13"/>
      <c r="Y2426" s="13"/>
      <c r="Z2426" s="13"/>
    </row>
    <row r="2427" spans="1:26" ht="12" customHeight="1" outlineLevel="4" x14ac:dyDescent="0.2">
      <c r="A2427" s="40" t="s">
        <v>4766</v>
      </c>
      <c r="B2427" s="75" t="s">
        <v>4767</v>
      </c>
      <c r="C2427" s="51"/>
      <c r="D2427" s="54">
        <f t="shared" si="37"/>
        <v>0</v>
      </c>
      <c r="E2427" s="61" t="str">
        <f>HYPERLINK("https://www.sds-group.ru/product/trubka-termousazhivaemaya-tut-hf-2-1-10-5-belaya-rexant-21-0001-1/", "Инфо")</f>
        <v>Инфо</v>
      </c>
      <c r="F2427" s="42" t="s">
        <v>1767</v>
      </c>
      <c r="G2427" s="41" t="s">
        <v>40</v>
      </c>
      <c r="H2427" s="41"/>
      <c r="I2427" s="41"/>
      <c r="J2427" s="47">
        <v>1800</v>
      </c>
      <c r="K2427" s="41" t="s">
        <v>1094</v>
      </c>
      <c r="L2427" s="43">
        <v>100</v>
      </c>
      <c r="M2427" s="47">
        <v>1900</v>
      </c>
      <c r="N2427" s="43">
        <v>100</v>
      </c>
      <c r="O2427" s="44">
        <v>28.17</v>
      </c>
      <c r="P2427" s="44">
        <v>23.09</v>
      </c>
      <c r="Q2427" s="44">
        <v>23.94</v>
      </c>
      <c r="R2427" s="44">
        <v>19.62</v>
      </c>
      <c r="S2427" s="44">
        <v>19.16</v>
      </c>
      <c r="T2427" s="44">
        <v>15.7</v>
      </c>
      <c r="U2427" s="42"/>
      <c r="V2427" s="42"/>
      <c r="W2427" s="42" t="s">
        <v>40</v>
      </c>
      <c r="X2427" s="45">
        <v>1.4E-2</v>
      </c>
      <c r="Y2427" s="46">
        <v>6.3E-5</v>
      </c>
      <c r="Z2427" s="21">
        <v>4601004341012</v>
      </c>
    </row>
    <row r="2428" spans="1:26" ht="12" customHeight="1" outlineLevel="4" x14ac:dyDescent="0.2">
      <c r="A2428" s="40" t="s">
        <v>4768</v>
      </c>
      <c r="B2428" s="75" t="s">
        <v>4769</v>
      </c>
      <c r="C2428" s="51"/>
      <c r="D2428" s="54">
        <f t="shared" si="37"/>
        <v>0</v>
      </c>
      <c r="E2428" s="61" t="str">
        <f>HYPERLINK("https://www.sds-group.ru/product/trubka-termousazhivaemaya-tut-hf-2-1-10-5-krasnaya-rexant-21-0004-1/", "Инфо")</f>
        <v>Инфо</v>
      </c>
      <c r="F2428" s="42" t="s">
        <v>1767</v>
      </c>
      <c r="G2428" s="41" t="s">
        <v>40</v>
      </c>
      <c r="H2428" s="41"/>
      <c r="I2428" s="41"/>
      <c r="J2428" s="47">
        <v>1700</v>
      </c>
      <c r="K2428" s="41" t="s">
        <v>1094</v>
      </c>
      <c r="L2428" s="43">
        <v>100</v>
      </c>
      <c r="M2428" s="47">
        <v>1900</v>
      </c>
      <c r="N2428" s="43">
        <v>100</v>
      </c>
      <c r="O2428" s="44">
        <v>28.17</v>
      </c>
      <c r="P2428" s="44">
        <v>23.09</v>
      </c>
      <c r="Q2428" s="44">
        <v>23.94</v>
      </c>
      <c r="R2428" s="44">
        <v>19.62</v>
      </c>
      <c r="S2428" s="44">
        <v>19.16</v>
      </c>
      <c r="T2428" s="44">
        <v>15.7</v>
      </c>
      <c r="U2428" s="42"/>
      <c r="V2428" s="42"/>
      <c r="W2428" s="42" t="s">
        <v>40</v>
      </c>
      <c r="X2428" s="45">
        <v>1.2999999999999999E-2</v>
      </c>
      <c r="Y2428" s="46">
        <v>6.6000000000000005E-5</v>
      </c>
      <c r="Z2428" s="21">
        <v>4601004341029</v>
      </c>
    </row>
    <row r="2429" spans="1:26" ht="12" customHeight="1" outlineLevel="4" x14ac:dyDescent="0.2">
      <c r="A2429" s="40" t="s">
        <v>4770</v>
      </c>
      <c r="B2429" s="75" t="s">
        <v>4771</v>
      </c>
      <c r="C2429" s="51"/>
      <c r="D2429" s="54">
        <f t="shared" si="37"/>
        <v>0</v>
      </c>
      <c r="E2429" s="61" t="str">
        <f>HYPERLINK("https://www.sds-group.ru/product/trubka-termousazhivaemaya-tut-hf-2-1-10-5-chernaya-rexant-21-0008-1/", "Инфо")</f>
        <v>Инфо</v>
      </c>
      <c r="F2429" s="42" t="s">
        <v>1767</v>
      </c>
      <c r="G2429" s="41" t="s">
        <v>40</v>
      </c>
      <c r="H2429" s="41"/>
      <c r="I2429" s="41"/>
      <c r="J2429" s="47">
        <v>1700</v>
      </c>
      <c r="K2429" s="41" t="s">
        <v>1094</v>
      </c>
      <c r="L2429" s="43">
        <v>100</v>
      </c>
      <c r="M2429" s="47">
        <v>1900</v>
      </c>
      <c r="N2429" s="43">
        <v>100</v>
      </c>
      <c r="O2429" s="44">
        <v>25.56</v>
      </c>
      <c r="P2429" s="44">
        <v>20.95</v>
      </c>
      <c r="Q2429" s="44">
        <v>21.73</v>
      </c>
      <c r="R2429" s="44">
        <v>17.809999999999999</v>
      </c>
      <c r="S2429" s="44">
        <v>17.38</v>
      </c>
      <c r="T2429" s="44">
        <v>14.25</v>
      </c>
      <c r="U2429" s="42"/>
      <c r="V2429" s="42"/>
      <c r="W2429" s="42" t="s">
        <v>40</v>
      </c>
      <c r="X2429" s="45">
        <v>1.2999999999999999E-2</v>
      </c>
      <c r="Y2429" s="46">
        <v>7.2999999999999999E-5</v>
      </c>
      <c r="Z2429" s="21">
        <v>4601004341036</v>
      </c>
    </row>
    <row r="2430" spans="1:26" ht="12" customHeight="1" outlineLevel="4" x14ac:dyDescent="0.2">
      <c r="A2430" s="40" t="s">
        <v>4772</v>
      </c>
      <c r="B2430" s="75" t="s">
        <v>4773</v>
      </c>
      <c r="C2430" s="51"/>
      <c r="D2430" s="54">
        <f t="shared" si="37"/>
        <v>0</v>
      </c>
      <c r="E2430" s="61" t="str">
        <f>HYPERLINK("https://www.sds-group.ru/product/trubka-termousazhivaemaya-tut-hf-2-1-12-6-belaya-rexant-21-2001-1/", "Инфо")</f>
        <v>Инфо</v>
      </c>
      <c r="F2430" s="42" t="s">
        <v>1767</v>
      </c>
      <c r="G2430" s="41" t="s">
        <v>40</v>
      </c>
      <c r="H2430" s="41"/>
      <c r="I2430" s="41"/>
      <c r="J2430" s="47">
        <v>1600</v>
      </c>
      <c r="K2430" s="41" t="s">
        <v>1094</v>
      </c>
      <c r="L2430" s="43">
        <v>100</v>
      </c>
      <c r="M2430" s="47">
        <v>1700</v>
      </c>
      <c r="N2430" s="43">
        <v>100</v>
      </c>
      <c r="O2430" s="44">
        <v>32.5</v>
      </c>
      <c r="P2430" s="44">
        <v>26.64</v>
      </c>
      <c r="Q2430" s="44">
        <v>27.63</v>
      </c>
      <c r="R2430" s="44">
        <v>22.65</v>
      </c>
      <c r="S2430" s="44">
        <v>22.1</v>
      </c>
      <c r="T2430" s="44">
        <v>18.11</v>
      </c>
      <c r="U2430" s="42"/>
      <c r="V2430" s="42"/>
      <c r="W2430" s="42" t="s">
        <v>40</v>
      </c>
      <c r="X2430" s="45">
        <v>1.6E-2</v>
      </c>
      <c r="Y2430" s="46">
        <v>6.8999999999999997E-5</v>
      </c>
      <c r="Z2430" s="21">
        <v>4601004341081</v>
      </c>
    </row>
    <row r="2431" spans="1:26" ht="12" customHeight="1" outlineLevel="4" x14ac:dyDescent="0.2">
      <c r="A2431" s="40" t="s">
        <v>4774</v>
      </c>
      <c r="B2431" s="75" t="s">
        <v>4775</v>
      </c>
      <c r="C2431" s="51"/>
      <c r="D2431" s="54">
        <f t="shared" si="37"/>
        <v>0</v>
      </c>
      <c r="E2431" s="61" t="str">
        <f>HYPERLINK("https://www.sds-group.ru/product/trubka-termousazhivaemaya-tut-hf-2-1-12-6-krasnaya-rexant-21-2004-1/", "Инфо")</f>
        <v>Инфо</v>
      </c>
      <c r="F2431" s="42" t="s">
        <v>1767</v>
      </c>
      <c r="G2431" s="41" t="s">
        <v>40</v>
      </c>
      <c r="H2431" s="41"/>
      <c r="I2431" s="41"/>
      <c r="J2431" s="42" t="s">
        <v>100</v>
      </c>
      <c r="K2431" s="41" t="s">
        <v>1094</v>
      </c>
      <c r="L2431" s="43">
        <v>100</v>
      </c>
      <c r="M2431" s="47">
        <v>1700</v>
      </c>
      <c r="N2431" s="43">
        <v>100</v>
      </c>
      <c r="O2431" s="44">
        <v>32.5</v>
      </c>
      <c r="P2431" s="44">
        <v>26.64</v>
      </c>
      <c r="Q2431" s="44">
        <v>27.63</v>
      </c>
      <c r="R2431" s="44">
        <v>22.65</v>
      </c>
      <c r="S2431" s="44">
        <v>22.1</v>
      </c>
      <c r="T2431" s="44">
        <v>18.11</v>
      </c>
      <c r="U2431" s="42"/>
      <c r="V2431" s="42"/>
      <c r="W2431" s="42" t="s">
        <v>40</v>
      </c>
      <c r="X2431" s="45">
        <v>1.4999999999999999E-2</v>
      </c>
      <c r="Y2431" s="46">
        <v>6.0999999999999999E-5</v>
      </c>
      <c r="Z2431" s="21">
        <v>4601004341098</v>
      </c>
    </row>
    <row r="2432" spans="1:26" ht="12" customHeight="1" outlineLevel="4" x14ac:dyDescent="0.2">
      <c r="A2432" s="40" t="s">
        <v>4776</v>
      </c>
      <c r="B2432" s="75" t="s">
        <v>4777</v>
      </c>
      <c r="C2432" s="51"/>
      <c r="D2432" s="54">
        <f t="shared" si="37"/>
        <v>0</v>
      </c>
      <c r="E2432" s="61" t="str">
        <f>HYPERLINK("https://www.sds-group.ru/product/trubka-termousazhivaemaya-tut-hf-2-1-12-6-chernaya-rexant-21-2006-1/", "Инфо")</f>
        <v>Инфо</v>
      </c>
      <c r="F2432" s="42" t="s">
        <v>1767</v>
      </c>
      <c r="G2432" s="41" t="s">
        <v>40</v>
      </c>
      <c r="H2432" s="41"/>
      <c r="I2432" s="41"/>
      <c r="J2432" s="42" t="s">
        <v>100</v>
      </c>
      <c r="K2432" s="41" t="s">
        <v>1094</v>
      </c>
      <c r="L2432" s="43">
        <v>100</v>
      </c>
      <c r="M2432" s="47">
        <v>1700</v>
      </c>
      <c r="N2432" s="43">
        <v>100</v>
      </c>
      <c r="O2432" s="44">
        <v>29.68</v>
      </c>
      <c r="P2432" s="44">
        <v>24.33</v>
      </c>
      <c r="Q2432" s="44">
        <v>25.23</v>
      </c>
      <c r="R2432" s="44">
        <v>20.68</v>
      </c>
      <c r="S2432" s="44">
        <v>20.18</v>
      </c>
      <c r="T2432" s="44">
        <v>16.54</v>
      </c>
      <c r="U2432" s="42"/>
      <c r="V2432" s="42"/>
      <c r="W2432" s="42" t="s">
        <v>40</v>
      </c>
      <c r="X2432" s="45">
        <v>1.4999999999999999E-2</v>
      </c>
      <c r="Y2432" s="46">
        <v>6.9999999999999994E-5</v>
      </c>
      <c r="Z2432" s="21">
        <v>4601004341104</v>
      </c>
    </row>
    <row r="2433" spans="1:26" ht="12" customHeight="1" outlineLevel="4" x14ac:dyDescent="0.2">
      <c r="A2433" s="40" t="s">
        <v>4778</v>
      </c>
      <c r="B2433" s="75" t="s">
        <v>4779</v>
      </c>
      <c r="C2433" s="51"/>
      <c r="D2433" s="54">
        <f t="shared" si="37"/>
        <v>0</v>
      </c>
      <c r="E2433" s="61" t="str">
        <f>HYPERLINK("https://www.sds-group.ru/product/trubka-termousazhivaemaya-tut-hf-2-1-16-8-belaya-rexant-21-6001-1/", "Инфо")</f>
        <v>Инфо</v>
      </c>
      <c r="F2433" s="42" t="s">
        <v>1767</v>
      </c>
      <c r="G2433" s="41" t="s">
        <v>40</v>
      </c>
      <c r="H2433" s="41"/>
      <c r="I2433" s="41"/>
      <c r="J2433" s="47">
        <v>1750</v>
      </c>
      <c r="K2433" s="41" t="s">
        <v>1094</v>
      </c>
      <c r="L2433" s="43">
        <v>50</v>
      </c>
      <c r="M2433" s="43">
        <v>700</v>
      </c>
      <c r="N2433" s="43">
        <v>50</v>
      </c>
      <c r="O2433" s="44">
        <v>50.68</v>
      </c>
      <c r="P2433" s="44">
        <v>41.54</v>
      </c>
      <c r="Q2433" s="44">
        <v>43.08</v>
      </c>
      <c r="R2433" s="44">
        <v>35.31</v>
      </c>
      <c r="S2433" s="44">
        <v>34.46</v>
      </c>
      <c r="T2433" s="44">
        <v>28.25</v>
      </c>
      <c r="U2433" s="42"/>
      <c r="V2433" s="42"/>
      <c r="W2433" s="42" t="s">
        <v>40</v>
      </c>
      <c r="X2433" s="45">
        <v>2.1999999999999999E-2</v>
      </c>
      <c r="Y2433" s="46">
        <v>7.8999999999999996E-5</v>
      </c>
      <c r="Z2433" s="21">
        <v>4601004341388</v>
      </c>
    </row>
    <row r="2434" spans="1:26" ht="12" customHeight="1" outlineLevel="4" x14ac:dyDescent="0.2">
      <c r="A2434" s="40" t="s">
        <v>4780</v>
      </c>
      <c r="B2434" s="75" t="s">
        <v>4781</v>
      </c>
      <c r="C2434" s="51"/>
      <c r="D2434" s="54">
        <f t="shared" si="37"/>
        <v>0</v>
      </c>
      <c r="E2434" s="61" t="str">
        <f>HYPERLINK("https://www.sds-group.ru/product/trubka-termousazhivaemaya-tut-hf-2-1-16-8-krasnaya-rexant-21-6004-1/", "Инфо")</f>
        <v>Инфо</v>
      </c>
      <c r="F2434" s="42" t="s">
        <v>1767</v>
      </c>
      <c r="G2434" s="41" t="s">
        <v>40</v>
      </c>
      <c r="H2434" s="41"/>
      <c r="I2434" s="41"/>
      <c r="J2434" s="43">
        <v>850</v>
      </c>
      <c r="K2434" s="41" t="s">
        <v>1094</v>
      </c>
      <c r="L2434" s="43">
        <v>50</v>
      </c>
      <c r="M2434" s="43">
        <v>700</v>
      </c>
      <c r="N2434" s="43">
        <v>50</v>
      </c>
      <c r="O2434" s="44">
        <v>50.68</v>
      </c>
      <c r="P2434" s="44">
        <v>41.54</v>
      </c>
      <c r="Q2434" s="44">
        <v>43.08</v>
      </c>
      <c r="R2434" s="44">
        <v>35.31</v>
      </c>
      <c r="S2434" s="44">
        <v>34.46</v>
      </c>
      <c r="T2434" s="44">
        <v>28.25</v>
      </c>
      <c r="U2434" s="42"/>
      <c r="V2434" s="42"/>
      <c r="W2434" s="42" t="s">
        <v>40</v>
      </c>
      <c r="X2434" s="45">
        <v>2.1999999999999999E-2</v>
      </c>
      <c r="Y2434" s="46">
        <v>7.8999999999999996E-5</v>
      </c>
      <c r="Z2434" s="21">
        <v>4601004341166</v>
      </c>
    </row>
    <row r="2435" spans="1:26" ht="12" customHeight="1" outlineLevel="4" x14ac:dyDescent="0.2">
      <c r="A2435" s="40" t="s">
        <v>4782</v>
      </c>
      <c r="B2435" s="75" t="s">
        <v>4783</v>
      </c>
      <c r="C2435" s="51"/>
      <c r="D2435" s="54">
        <f t="shared" si="37"/>
        <v>0</v>
      </c>
      <c r="E2435" s="61" t="str">
        <f>HYPERLINK("https://www.sds-group.ru/product/trubka-termousazhivaemaya-tut-hf-2-1-16-8-chernaya-rexant-21-6006-1/", "Инфо")</f>
        <v>Инфо</v>
      </c>
      <c r="F2435" s="42" t="s">
        <v>1767</v>
      </c>
      <c r="G2435" s="41" t="s">
        <v>40</v>
      </c>
      <c r="H2435" s="41"/>
      <c r="I2435" s="41"/>
      <c r="J2435" s="47">
        <v>4450</v>
      </c>
      <c r="K2435" s="41" t="s">
        <v>1094</v>
      </c>
      <c r="L2435" s="43">
        <v>50</v>
      </c>
      <c r="M2435" s="43">
        <v>700</v>
      </c>
      <c r="N2435" s="43">
        <v>50</v>
      </c>
      <c r="O2435" s="44">
        <v>46.25</v>
      </c>
      <c r="P2435" s="44">
        <v>37.909999999999997</v>
      </c>
      <c r="Q2435" s="44">
        <v>39.31</v>
      </c>
      <c r="R2435" s="44">
        <v>32.22</v>
      </c>
      <c r="S2435" s="44">
        <v>31.45</v>
      </c>
      <c r="T2435" s="44">
        <v>25.78</v>
      </c>
      <c r="U2435" s="42"/>
      <c r="V2435" s="42"/>
      <c r="W2435" s="42" t="s">
        <v>40</v>
      </c>
      <c r="X2435" s="45">
        <v>0.02</v>
      </c>
      <c r="Y2435" s="46">
        <v>7.6000000000000004E-5</v>
      </c>
      <c r="Z2435" s="21">
        <v>4601004341180</v>
      </c>
    </row>
    <row r="2436" spans="1:26" ht="12" customHeight="1" outlineLevel="4" x14ac:dyDescent="0.2">
      <c r="A2436" s="40" t="s">
        <v>4784</v>
      </c>
      <c r="B2436" s="75" t="s">
        <v>4785</v>
      </c>
      <c r="C2436" s="51"/>
      <c r="D2436" s="54">
        <f t="shared" si="37"/>
        <v>0</v>
      </c>
      <c r="E2436" s="61" t="str">
        <f>HYPERLINK("https://www.sds-group.ru/product/trubka-termousazhivaemaya-tut-hf-2-1-2-1-belaya-rexant-20-2001-1/", "Инфо")</f>
        <v>Инфо</v>
      </c>
      <c r="F2436" s="42" t="s">
        <v>1767</v>
      </c>
      <c r="G2436" s="41" t="s">
        <v>40</v>
      </c>
      <c r="H2436" s="41"/>
      <c r="I2436" s="41"/>
      <c r="J2436" s="47">
        <v>2400</v>
      </c>
      <c r="K2436" s="41" t="s">
        <v>1094</v>
      </c>
      <c r="L2436" s="43">
        <v>200</v>
      </c>
      <c r="M2436" s="47">
        <v>4000</v>
      </c>
      <c r="N2436" s="43">
        <v>200</v>
      </c>
      <c r="O2436" s="44">
        <v>9.4600000000000009</v>
      </c>
      <c r="P2436" s="44">
        <v>7.75</v>
      </c>
      <c r="Q2436" s="44">
        <v>8.0399999999999991</v>
      </c>
      <c r="R2436" s="44">
        <v>6.59</v>
      </c>
      <c r="S2436" s="44">
        <v>6.43</v>
      </c>
      <c r="T2436" s="44">
        <v>5.27</v>
      </c>
      <c r="U2436" s="42"/>
      <c r="V2436" s="42"/>
      <c r="W2436" s="42" t="s">
        <v>40</v>
      </c>
      <c r="X2436" s="45">
        <v>3.0000000000000001E-3</v>
      </c>
      <c r="Y2436" s="46">
        <v>2.8E-5</v>
      </c>
      <c r="Z2436" s="21">
        <v>4601004340800</v>
      </c>
    </row>
    <row r="2437" spans="1:26" ht="12" customHeight="1" outlineLevel="4" x14ac:dyDescent="0.2">
      <c r="A2437" s="40" t="s">
        <v>4786</v>
      </c>
      <c r="B2437" s="75" t="s">
        <v>4787</v>
      </c>
      <c r="C2437" s="51"/>
      <c r="D2437" s="54">
        <f t="shared" si="37"/>
        <v>0</v>
      </c>
      <c r="E2437" s="61" t="str">
        <f>HYPERLINK("https://www.sds-group.ru/product/trubka-termousazhivaemaya-tut-hf-2-1-2-1-krasnaya-rexant-20-2004-1/", "Инфо")</f>
        <v>Инфо</v>
      </c>
      <c r="F2437" s="42" t="s">
        <v>1767</v>
      </c>
      <c r="G2437" s="41" t="s">
        <v>40</v>
      </c>
      <c r="H2437" s="41"/>
      <c r="I2437" s="41"/>
      <c r="J2437" s="42" t="s">
        <v>100</v>
      </c>
      <c r="K2437" s="41" t="s">
        <v>1094</v>
      </c>
      <c r="L2437" s="43">
        <v>200</v>
      </c>
      <c r="M2437" s="47">
        <v>4000</v>
      </c>
      <c r="N2437" s="43">
        <v>200</v>
      </c>
      <c r="O2437" s="44">
        <v>9.4600000000000009</v>
      </c>
      <c r="P2437" s="44">
        <v>7.75</v>
      </c>
      <c r="Q2437" s="44">
        <v>8.0399999999999991</v>
      </c>
      <c r="R2437" s="44">
        <v>6.59</v>
      </c>
      <c r="S2437" s="44">
        <v>6.43</v>
      </c>
      <c r="T2437" s="44">
        <v>5.27</v>
      </c>
      <c r="U2437" s="42"/>
      <c r="V2437" s="42"/>
      <c r="W2437" s="42" t="s">
        <v>40</v>
      </c>
      <c r="X2437" s="45">
        <v>3.0000000000000001E-3</v>
      </c>
      <c r="Y2437" s="46">
        <v>2.8E-5</v>
      </c>
      <c r="Z2437" s="21">
        <v>4601004340589</v>
      </c>
    </row>
    <row r="2438" spans="1:26" ht="12" customHeight="1" outlineLevel="4" x14ac:dyDescent="0.2">
      <c r="A2438" s="40" t="s">
        <v>4788</v>
      </c>
      <c r="B2438" s="75" t="s">
        <v>4789</v>
      </c>
      <c r="C2438" s="51"/>
      <c r="D2438" s="54">
        <f t="shared" si="37"/>
        <v>0</v>
      </c>
      <c r="E2438" s="61" t="str">
        <f>HYPERLINK("https://www.sds-group.ru/product/trubka-termousazhivaemaya-tut-hf-2-1-2-1-chernaya-rexant-20-2006-1/", "Инфо")</f>
        <v>Инфо</v>
      </c>
      <c r="F2438" s="42" t="s">
        <v>1767</v>
      </c>
      <c r="G2438" s="41" t="s">
        <v>40</v>
      </c>
      <c r="H2438" s="41"/>
      <c r="I2438" s="41"/>
      <c r="J2438" s="47">
        <v>10200</v>
      </c>
      <c r="K2438" s="41" t="s">
        <v>1094</v>
      </c>
      <c r="L2438" s="43">
        <v>200</v>
      </c>
      <c r="M2438" s="47">
        <v>4000</v>
      </c>
      <c r="N2438" s="43">
        <v>200</v>
      </c>
      <c r="O2438" s="44">
        <v>8.61</v>
      </c>
      <c r="P2438" s="44">
        <v>7.06</v>
      </c>
      <c r="Q2438" s="44">
        <v>7.32</v>
      </c>
      <c r="R2438" s="44">
        <v>6</v>
      </c>
      <c r="S2438" s="44">
        <v>5.85</v>
      </c>
      <c r="T2438" s="44">
        <v>4.8</v>
      </c>
      <c r="U2438" s="42"/>
      <c r="V2438" s="42"/>
      <c r="W2438" s="42" t="s">
        <v>40</v>
      </c>
      <c r="X2438" s="45">
        <v>3.0000000000000001E-3</v>
      </c>
      <c r="Y2438" s="46">
        <v>2.8E-5</v>
      </c>
      <c r="Z2438" s="21">
        <v>4601004340596</v>
      </c>
    </row>
    <row r="2439" spans="1:26" ht="12" customHeight="1" outlineLevel="4" x14ac:dyDescent="0.2">
      <c r="A2439" s="40" t="s">
        <v>4790</v>
      </c>
      <c r="B2439" s="75" t="s">
        <v>4791</v>
      </c>
      <c r="C2439" s="51"/>
      <c r="D2439" s="54">
        <f t="shared" si="37"/>
        <v>0</v>
      </c>
      <c r="E2439" s="61" t="str">
        <f>HYPERLINK("https://www.sds-group.ru/product/trubka-termousazhivaemaya-tut-hf-2-1-20-10-belaya-rexant-22-0001-1/", "Инфо")</f>
        <v>Инфо</v>
      </c>
      <c r="F2439" s="42" t="s">
        <v>1767</v>
      </c>
      <c r="G2439" s="41" t="s">
        <v>40</v>
      </c>
      <c r="H2439" s="41"/>
      <c r="I2439" s="41"/>
      <c r="J2439" s="43">
        <v>50</v>
      </c>
      <c r="K2439" s="41" t="s">
        <v>1094</v>
      </c>
      <c r="L2439" s="43">
        <v>50</v>
      </c>
      <c r="M2439" s="43">
        <v>550</v>
      </c>
      <c r="N2439" s="43">
        <v>50</v>
      </c>
      <c r="O2439" s="44">
        <v>73.91</v>
      </c>
      <c r="P2439" s="44">
        <v>60.58</v>
      </c>
      <c r="Q2439" s="44">
        <v>62.82</v>
      </c>
      <c r="R2439" s="44">
        <v>51.49</v>
      </c>
      <c r="S2439" s="44">
        <v>50.26</v>
      </c>
      <c r="T2439" s="44">
        <v>41.2</v>
      </c>
      <c r="U2439" s="42"/>
      <c r="V2439" s="42"/>
      <c r="W2439" s="42" t="s">
        <v>40</v>
      </c>
      <c r="X2439" s="45">
        <v>0.03</v>
      </c>
      <c r="Y2439" s="46">
        <v>8.8999999999999995E-5</v>
      </c>
      <c r="Z2439" s="21">
        <v>4601004341302</v>
      </c>
    </row>
    <row r="2440" spans="1:26" ht="12" customHeight="1" outlineLevel="4" x14ac:dyDescent="0.2">
      <c r="A2440" s="40" t="s">
        <v>4792</v>
      </c>
      <c r="B2440" s="75" t="s">
        <v>4793</v>
      </c>
      <c r="C2440" s="51"/>
      <c r="D2440" s="54">
        <f t="shared" si="37"/>
        <v>0</v>
      </c>
      <c r="E2440" s="61" t="str">
        <f>HYPERLINK("https://www.sds-group.ru/product/trubka-termousazhivaemaya-tut-hf-2-1-20-10-krasnaya-rexant-22-0004-1/", "Инфо")</f>
        <v>Инфо</v>
      </c>
      <c r="F2440" s="42" t="s">
        <v>1767</v>
      </c>
      <c r="G2440" s="41" t="s">
        <v>40</v>
      </c>
      <c r="H2440" s="41"/>
      <c r="I2440" s="41"/>
      <c r="J2440" s="43">
        <v>450</v>
      </c>
      <c r="K2440" s="41" t="s">
        <v>1094</v>
      </c>
      <c r="L2440" s="43">
        <v>50</v>
      </c>
      <c r="M2440" s="43">
        <v>550</v>
      </c>
      <c r="N2440" s="43">
        <v>50</v>
      </c>
      <c r="O2440" s="44">
        <v>73.91</v>
      </c>
      <c r="P2440" s="44">
        <v>60.58</v>
      </c>
      <c r="Q2440" s="44">
        <v>62.82</v>
      </c>
      <c r="R2440" s="44">
        <v>51.49</v>
      </c>
      <c r="S2440" s="44">
        <v>50.26</v>
      </c>
      <c r="T2440" s="44">
        <v>41.2</v>
      </c>
      <c r="U2440" s="42"/>
      <c r="V2440" s="42"/>
      <c r="W2440" s="42" t="s">
        <v>40</v>
      </c>
      <c r="X2440" s="45">
        <v>2.9000000000000001E-2</v>
      </c>
      <c r="Y2440" s="46">
        <v>7.4999999999999993E-5</v>
      </c>
      <c r="Z2440" s="21">
        <v>4601004341319</v>
      </c>
    </row>
    <row r="2441" spans="1:26" ht="12" customHeight="1" outlineLevel="4" x14ac:dyDescent="0.2">
      <c r="A2441" s="40" t="s">
        <v>4794</v>
      </c>
      <c r="B2441" s="75" t="s">
        <v>4795</v>
      </c>
      <c r="C2441" s="51"/>
      <c r="D2441" s="54">
        <f t="shared" ref="D2441:D2504" si="38">C2441*(O2441-O2441*$G$3)</f>
        <v>0</v>
      </c>
      <c r="E2441" s="61" t="str">
        <f>HYPERLINK("https://www.sds-group.ru/product/trubka-termousazhivaemaya-tut-hf-2-1-20-10-chernaya-rexant-22-0008-1/", "Инфо")</f>
        <v>Инфо</v>
      </c>
      <c r="F2441" s="42" t="s">
        <v>1767</v>
      </c>
      <c r="G2441" s="41" t="s">
        <v>40</v>
      </c>
      <c r="H2441" s="41"/>
      <c r="I2441" s="41"/>
      <c r="J2441" s="47">
        <v>2550</v>
      </c>
      <c r="K2441" s="41" t="s">
        <v>1094</v>
      </c>
      <c r="L2441" s="43">
        <v>50</v>
      </c>
      <c r="M2441" s="43">
        <v>550</v>
      </c>
      <c r="N2441" s="43">
        <v>50</v>
      </c>
      <c r="O2441" s="44">
        <v>67.3</v>
      </c>
      <c r="P2441" s="44">
        <v>55.16</v>
      </c>
      <c r="Q2441" s="44">
        <v>57.21</v>
      </c>
      <c r="R2441" s="44">
        <v>46.89</v>
      </c>
      <c r="S2441" s="44">
        <v>45.76</v>
      </c>
      <c r="T2441" s="44">
        <v>37.51</v>
      </c>
      <c r="U2441" s="42"/>
      <c r="V2441" s="42"/>
      <c r="W2441" s="42" t="s">
        <v>40</v>
      </c>
      <c r="X2441" s="45">
        <v>3.1E-2</v>
      </c>
      <c r="Y2441" s="46">
        <v>9.1000000000000003E-5</v>
      </c>
      <c r="Z2441" s="21">
        <v>4601004341326</v>
      </c>
    </row>
    <row r="2442" spans="1:26" ht="12" customHeight="1" outlineLevel="4" x14ac:dyDescent="0.2">
      <c r="A2442" s="40" t="s">
        <v>4796</v>
      </c>
      <c r="B2442" s="75" t="s">
        <v>4797</v>
      </c>
      <c r="C2442" s="51"/>
      <c r="D2442" s="54">
        <f t="shared" si="38"/>
        <v>0</v>
      </c>
      <c r="E2442" s="61" t="str">
        <f>HYPERLINK("https://www.sds-group.ru/product/trubka-termousazhivaemaya-tut-hf-2-1-25-12-5-belaya-rexant-22-5001-1/", "Инфо")</f>
        <v>Инфо</v>
      </c>
      <c r="F2442" s="42" t="s">
        <v>1767</v>
      </c>
      <c r="G2442" s="41" t="s">
        <v>40</v>
      </c>
      <c r="H2442" s="41"/>
      <c r="I2442" s="41"/>
      <c r="J2442" s="43">
        <v>125</v>
      </c>
      <c r="K2442" s="41" t="s">
        <v>1094</v>
      </c>
      <c r="L2442" s="43">
        <v>25</v>
      </c>
      <c r="M2442" s="43">
        <v>250</v>
      </c>
      <c r="N2442" s="43">
        <v>25</v>
      </c>
      <c r="O2442" s="44">
        <v>102.84</v>
      </c>
      <c r="P2442" s="44">
        <v>84.3</v>
      </c>
      <c r="Q2442" s="44">
        <v>87.41</v>
      </c>
      <c r="R2442" s="44">
        <v>71.650000000000006</v>
      </c>
      <c r="S2442" s="44">
        <v>69.930000000000007</v>
      </c>
      <c r="T2442" s="44">
        <v>57.32</v>
      </c>
      <c r="U2442" s="42"/>
      <c r="V2442" s="42"/>
      <c r="W2442" s="42" t="s">
        <v>40</v>
      </c>
      <c r="X2442" s="45">
        <v>4.3999999999999997E-2</v>
      </c>
      <c r="Y2442" s="46">
        <v>1.47E-4</v>
      </c>
      <c r="Z2442" s="21">
        <v>4601004341470</v>
      </c>
    </row>
    <row r="2443" spans="1:26" ht="12" customHeight="1" outlineLevel="4" x14ac:dyDescent="0.2">
      <c r="A2443" s="40" t="s">
        <v>4798</v>
      </c>
      <c r="B2443" s="75" t="s">
        <v>4799</v>
      </c>
      <c r="C2443" s="51"/>
      <c r="D2443" s="54">
        <f t="shared" si="38"/>
        <v>0</v>
      </c>
      <c r="E2443" s="61" t="str">
        <f>HYPERLINK("https://www.sds-group.ru/product/trubka-termousazhivaemaya-tut-hf-2-1-25-12-5-krasnaya-rexant-22-5004-1/", "Инфо")</f>
        <v>Инфо</v>
      </c>
      <c r="F2443" s="42" t="s">
        <v>1767</v>
      </c>
      <c r="G2443" s="41" t="s">
        <v>40</v>
      </c>
      <c r="H2443" s="41"/>
      <c r="I2443" s="41"/>
      <c r="J2443" s="43">
        <v>425</v>
      </c>
      <c r="K2443" s="41" t="s">
        <v>1094</v>
      </c>
      <c r="L2443" s="43">
        <v>25</v>
      </c>
      <c r="M2443" s="43">
        <v>250</v>
      </c>
      <c r="N2443" s="43">
        <v>25</v>
      </c>
      <c r="O2443" s="44">
        <v>102.84</v>
      </c>
      <c r="P2443" s="44">
        <v>84.3</v>
      </c>
      <c r="Q2443" s="44">
        <v>87.41</v>
      </c>
      <c r="R2443" s="44">
        <v>71.650000000000006</v>
      </c>
      <c r="S2443" s="44">
        <v>69.930000000000007</v>
      </c>
      <c r="T2443" s="44">
        <v>57.32</v>
      </c>
      <c r="U2443" s="42"/>
      <c r="V2443" s="42"/>
      <c r="W2443" s="42" t="s">
        <v>40</v>
      </c>
      <c r="X2443" s="45">
        <v>3.7999999999999999E-2</v>
      </c>
      <c r="Y2443" s="46">
        <v>1.4899999999999999E-4</v>
      </c>
      <c r="Z2443" s="21">
        <v>4601004341517</v>
      </c>
    </row>
    <row r="2444" spans="1:26" ht="12" customHeight="1" outlineLevel="4" x14ac:dyDescent="0.2">
      <c r="A2444" s="40" t="s">
        <v>4800</v>
      </c>
      <c r="B2444" s="75" t="s">
        <v>4801</v>
      </c>
      <c r="C2444" s="51"/>
      <c r="D2444" s="54">
        <f t="shared" si="38"/>
        <v>0</v>
      </c>
      <c r="E2444" s="61" t="str">
        <f>HYPERLINK("https://www.sds-group.ru/product/trubka-termousazhivaemaya-tut-hf-2-1-25-12-5-chernaya-rexant-22-5008-1/", "Инфо")</f>
        <v>Инфо</v>
      </c>
      <c r="F2444" s="42" t="s">
        <v>1767</v>
      </c>
      <c r="G2444" s="41" t="s">
        <v>40</v>
      </c>
      <c r="H2444" s="41"/>
      <c r="I2444" s="41"/>
      <c r="J2444" s="47">
        <v>2475</v>
      </c>
      <c r="K2444" s="41" t="s">
        <v>1094</v>
      </c>
      <c r="L2444" s="43">
        <v>25</v>
      </c>
      <c r="M2444" s="43">
        <v>250</v>
      </c>
      <c r="N2444" s="43">
        <v>25</v>
      </c>
      <c r="O2444" s="44">
        <v>93.77</v>
      </c>
      <c r="P2444" s="44">
        <v>76.86</v>
      </c>
      <c r="Q2444" s="44">
        <v>79.7</v>
      </c>
      <c r="R2444" s="44">
        <v>65.33</v>
      </c>
      <c r="S2444" s="44">
        <v>63.76</v>
      </c>
      <c r="T2444" s="44">
        <v>52.26</v>
      </c>
      <c r="U2444" s="42"/>
      <c r="V2444" s="42"/>
      <c r="W2444" s="42" t="s">
        <v>40</v>
      </c>
      <c r="X2444" s="45">
        <v>3.7999999999999999E-2</v>
      </c>
      <c r="Y2444" s="46">
        <v>1.4799999999999999E-4</v>
      </c>
      <c r="Z2444" s="21">
        <v>4601004341524</v>
      </c>
    </row>
    <row r="2445" spans="1:26" ht="12" customHeight="1" outlineLevel="4" x14ac:dyDescent="0.2">
      <c r="A2445" s="40" t="s">
        <v>4802</v>
      </c>
      <c r="B2445" s="75" t="s">
        <v>4803</v>
      </c>
      <c r="C2445" s="51"/>
      <c r="D2445" s="54">
        <f t="shared" si="38"/>
        <v>0</v>
      </c>
      <c r="E2445" s="61" t="str">
        <f>HYPERLINK("https://www.sds-group.ru/product/trubka-termousazhivaemaya-tut-hf-2-1-3-1-5-belaya-rexant-20-3001-1/", "Инфо")</f>
        <v>Инфо</v>
      </c>
      <c r="F2445" s="42" t="s">
        <v>1767</v>
      </c>
      <c r="G2445" s="41" t="s">
        <v>40</v>
      </c>
      <c r="H2445" s="41"/>
      <c r="I2445" s="41"/>
      <c r="J2445" s="47">
        <v>6800</v>
      </c>
      <c r="K2445" s="41" t="s">
        <v>1094</v>
      </c>
      <c r="L2445" s="43">
        <v>200</v>
      </c>
      <c r="M2445" s="47">
        <v>4000</v>
      </c>
      <c r="N2445" s="43">
        <v>200</v>
      </c>
      <c r="O2445" s="44">
        <v>11.7</v>
      </c>
      <c r="P2445" s="44">
        <v>9.59</v>
      </c>
      <c r="Q2445" s="44">
        <v>9.9499999999999993</v>
      </c>
      <c r="R2445" s="44">
        <v>8.16</v>
      </c>
      <c r="S2445" s="44">
        <v>7.96</v>
      </c>
      <c r="T2445" s="44">
        <v>6.52</v>
      </c>
      <c r="U2445" s="42"/>
      <c r="V2445" s="42"/>
      <c r="W2445" s="42" t="s">
        <v>40</v>
      </c>
      <c r="X2445" s="45">
        <v>4.0000000000000001E-3</v>
      </c>
      <c r="Y2445" s="46">
        <v>3.6999999999999998E-5</v>
      </c>
      <c r="Z2445" s="21">
        <v>4601004340657</v>
      </c>
    </row>
    <row r="2446" spans="1:26" ht="12" customHeight="1" outlineLevel="4" x14ac:dyDescent="0.2">
      <c r="A2446" s="40" t="s">
        <v>4804</v>
      </c>
      <c r="B2446" s="75" t="s">
        <v>4805</v>
      </c>
      <c r="C2446" s="51"/>
      <c r="D2446" s="54">
        <f t="shared" si="38"/>
        <v>0</v>
      </c>
      <c r="E2446" s="61" t="str">
        <f>HYPERLINK("https://www.sds-group.ru/product/trubka-termousazhivaemaya-tut-hf-2-1-3-1-5-krasnaya-rexant-20-3004-1/", "Инфо")</f>
        <v>Инфо</v>
      </c>
      <c r="F2446" s="42" t="s">
        <v>1767</v>
      </c>
      <c r="G2446" s="41" t="s">
        <v>40</v>
      </c>
      <c r="H2446" s="41"/>
      <c r="I2446" s="41"/>
      <c r="J2446" s="42" t="s">
        <v>100</v>
      </c>
      <c r="K2446" s="41" t="s">
        <v>1094</v>
      </c>
      <c r="L2446" s="43">
        <v>200</v>
      </c>
      <c r="M2446" s="47">
        <v>4000</v>
      </c>
      <c r="N2446" s="43">
        <v>200</v>
      </c>
      <c r="O2446" s="44">
        <v>11.7</v>
      </c>
      <c r="P2446" s="44">
        <v>9.59</v>
      </c>
      <c r="Q2446" s="44">
        <v>9.9499999999999993</v>
      </c>
      <c r="R2446" s="44">
        <v>8.16</v>
      </c>
      <c r="S2446" s="44">
        <v>7.96</v>
      </c>
      <c r="T2446" s="44">
        <v>6.52</v>
      </c>
      <c r="U2446" s="42"/>
      <c r="V2446" s="42"/>
      <c r="W2446" s="42" t="s">
        <v>40</v>
      </c>
      <c r="X2446" s="45">
        <v>4.0000000000000001E-3</v>
      </c>
      <c r="Y2446" s="46">
        <v>3.6999999999999998E-5</v>
      </c>
      <c r="Z2446" s="21">
        <v>4601004340664</v>
      </c>
    </row>
    <row r="2447" spans="1:26" ht="12" customHeight="1" outlineLevel="4" x14ac:dyDescent="0.2">
      <c r="A2447" s="40" t="s">
        <v>4806</v>
      </c>
      <c r="B2447" s="75" t="s">
        <v>4807</v>
      </c>
      <c r="C2447" s="51"/>
      <c r="D2447" s="54">
        <f t="shared" si="38"/>
        <v>0</v>
      </c>
      <c r="E2447" s="61" t="str">
        <f>HYPERLINK("https://www.sds-group.ru/product/trubka-termousazhivaemaya-tut-hf-2-1-3-1-5-chernaya-rexant-20-3006-1/", "Инфо")</f>
        <v>Инфо</v>
      </c>
      <c r="F2447" s="42" t="s">
        <v>1767</v>
      </c>
      <c r="G2447" s="41" t="s">
        <v>40</v>
      </c>
      <c r="H2447" s="41"/>
      <c r="I2447" s="41"/>
      <c r="J2447" s="42" t="s">
        <v>100</v>
      </c>
      <c r="K2447" s="41" t="s">
        <v>1094</v>
      </c>
      <c r="L2447" s="43">
        <v>200</v>
      </c>
      <c r="M2447" s="47">
        <v>4000</v>
      </c>
      <c r="N2447" s="43">
        <v>200</v>
      </c>
      <c r="O2447" s="44">
        <v>10.61</v>
      </c>
      <c r="P2447" s="44">
        <v>8.6999999999999993</v>
      </c>
      <c r="Q2447" s="44">
        <v>9.02</v>
      </c>
      <c r="R2447" s="44">
        <v>7.39</v>
      </c>
      <c r="S2447" s="44">
        <v>7.21</v>
      </c>
      <c r="T2447" s="44">
        <v>5.91</v>
      </c>
      <c r="U2447" s="42"/>
      <c r="V2447" s="42"/>
      <c r="W2447" s="42" t="s">
        <v>40</v>
      </c>
      <c r="X2447" s="45">
        <v>4.0000000000000001E-3</v>
      </c>
      <c r="Y2447" s="46">
        <v>3.6999999999999998E-5</v>
      </c>
      <c r="Z2447" s="21">
        <v>4601004340671</v>
      </c>
    </row>
    <row r="2448" spans="1:26" ht="12" customHeight="1" outlineLevel="4" x14ac:dyDescent="0.2">
      <c r="A2448" s="40" t="s">
        <v>4808</v>
      </c>
      <c r="B2448" s="75" t="s">
        <v>4809</v>
      </c>
      <c r="C2448" s="51"/>
      <c r="D2448" s="54">
        <f t="shared" si="38"/>
        <v>0</v>
      </c>
      <c r="E2448" s="61" t="str">
        <f>HYPERLINK("https://www.sds-group.ru/product/trubka-termousazhivaemaya-tut-hf-2-1-30-15-belaya-rexant-23-0001-1/", "Инфо")</f>
        <v>Инфо</v>
      </c>
      <c r="F2448" s="42" t="s">
        <v>1767</v>
      </c>
      <c r="G2448" s="41" t="s">
        <v>40</v>
      </c>
      <c r="H2448" s="41"/>
      <c r="I2448" s="41"/>
      <c r="J2448" s="43">
        <v>200</v>
      </c>
      <c r="K2448" s="41" t="s">
        <v>1094</v>
      </c>
      <c r="L2448" s="43">
        <v>25</v>
      </c>
      <c r="M2448" s="43">
        <v>250</v>
      </c>
      <c r="N2448" s="43">
        <v>25</v>
      </c>
      <c r="O2448" s="44">
        <v>136.58000000000001</v>
      </c>
      <c r="P2448" s="44">
        <v>111.95</v>
      </c>
      <c r="Q2448" s="44">
        <v>116.09</v>
      </c>
      <c r="R2448" s="44">
        <v>95.16</v>
      </c>
      <c r="S2448" s="44">
        <v>92.87</v>
      </c>
      <c r="T2448" s="44">
        <v>76.12</v>
      </c>
      <c r="U2448" s="42"/>
      <c r="V2448" s="42"/>
      <c r="W2448" s="42" t="s">
        <v>40</v>
      </c>
      <c r="X2448" s="45">
        <v>4.9000000000000002E-2</v>
      </c>
      <c r="Y2448" s="46">
        <v>1.95E-4</v>
      </c>
      <c r="Z2448" s="21">
        <v>4601004341579</v>
      </c>
    </row>
    <row r="2449" spans="1:26" ht="12" customHeight="1" outlineLevel="4" x14ac:dyDescent="0.2">
      <c r="A2449" s="40" t="s">
        <v>4810</v>
      </c>
      <c r="B2449" s="75" t="s">
        <v>4811</v>
      </c>
      <c r="C2449" s="51"/>
      <c r="D2449" s="54">
        <f t="shared" si="38"/>
        <v>0</v>
      </c>
      <c r="E2449" s="61" t="str">
        <f>HYPERLINK("https://www.sds-group.ru/product/trubka-termousazhivaemaya-tut-hf-2-1-30-15-krasnaya-rexant-23-0004-1/", "Инфо")</f>
        <v>Инфо</v>
      </c>
      <c r="F2449" s="42" t="s">
        <v>1767</v>
      </c>
      <c r="G2449" s="41" t="s">
        <v>40</v>
      </c>
      <c r="H2449" s="41"/>
      <c r="I2449" s="41"/>
      <c r="J2449" s="43">
        <v>75</v>
      </c>
      <c r="K2449" s="41" t="s">
        <v>1094</v>
      </c>
      <c r="L2449" s="43">
        <v>25</v>
      </c>
      <c r="M2449" s="43">
        <v>250</v>
      </c>
      <c r="N2449" s="43">
        <v>25</v>
      </c>
      <c r="O2449" s="44">
        <v>136.58000000000001</v>
      </c>
      <c r="P2449" s="44">
        <v>111.95</v>
      </c>
      <c r="Q2449" s="44">
        <v>116.09</v>
      </c>
      <c r="R2449" s="44">
        <v>95.16</v>
      </c>
      <c r="S2449" s="44">
        <v>92.87</v>
      </c>
      <c r="T2449" s="44">
        <v>76.12</v>
      </c>
      <c r="U2449" s="42"/>
      <c r="V2449" s="42"/>
      <c r="W2449" s="42" t="s">
        <v>40</v>
      </c>
      <c r="X2449" s="45">
        <v>0.05</v>
      </c>
      <c r="Y2449" s="46">
        <v>1.4300000000000001E-4</v>
      </c>
      <c r="Z2449" s="21">
        <v>4601004341586</v>
      </c>
    </row>
    <row r="2450" spans="1:26" ht="12" customHeight="1" outlineLevel="4" x14ac:dyDescent="0.2">
      <c r="A2450" s="40" t="s">
        <v>4812</v>
      </c>
      <c r="B2450" s="75" t="s">
        <v>4813</v>
      </c>
      <c r="C2450" s="51"/>
      <c r="D2450" s="54">
        <f t="shared" si="38"/>
        <v>0</v>
      </c>
      <c r="E2450" s="61" t="str">
        <f>HYPERLINK("https://www.sds-group.ru/product/trubka-termousazhivaemaya-tut-hf-2-1-30-15-chernaya-rexant-23-0006-1/", "Инфо")</f>
        <v>Инфо</v>
      </c>
      <c r="F2450" s="42" t="s">
        <v>1767</v>
      </c>
      <c r="G2450" s="41" t="s">
        <v>40</v>
      </c>
      <c r="H2450" s="41"/>
      <c r="I2450" s="41"/>
      <c r="J2450" s="47">
        <v>1525</v>
      </c>
      <c r="K2450" s="41" t="s">
        <v>1094</v>
      </c>
      <c r="L2450" s="43">
        <v>25</v>
      </c>
      <c r="M2450" s="43">
        <v>250</v>
      </c>
      <c r="N2450" s="43">
        <v>25</v>
      </c>
      <c r="O2450" s="44">
        <v>123.76</v>
      </c>
      <c r="P2450" s="44">
        <v>101.44</v>
      </c>
      <c r="Q2450" s="44">
        <v>105.2</v>
      </c>
      <c r="R2450" s="44">
        <v>86.23</v>
      </c>
      <c r="S2450" s="44">
        <v>84.16</v>
      </c>
      <c r="T2450" s="44">
        <v>68.98</v>
      </c>
      <c r="U2450" s="42"/>
      <c r="V2450" s="42"/>
      <c r="W2450" s="42" t="s">
        <v>40</v>
      </c>
      <c r="X2450" s="45">
        <v>5.0999999999999997E-2</v>
      </c>
      <c r="Y2450" s="46">
        <v>1.4899999999999999E-4</v>
      </c>
      <c r="Z2450" s="21">
        <v>4601004341593</v>
      </c>
    </row>
    <row r="2451" spans="1:26" ht="12" customHeight="1" outlineLevel="4" x14ac:dyDescent="0.2">
      <c r="A2451" s="40" t="s">
        <v>4814</v>
      </c>
      <c r="B2451" s="75" t="s">
        <v>4815</v>
      </c>
      <c r="C2451" s="51"/>
      <c r="D2451" s="54">
        <f t="shared" si="38"/>
        <v>0</v>
      </c>
      <c r="E2451" s="61" t="str">
        <f>HYPERLINK("https://www.sds-group.ru/product/trubka-termousazhivaemaya-tut-hf-2-1-4-2-belaya-rexant-20-4001-1/", "Инфо")</f>
        <v>Инфо</v>
      </c>
      <c r="F2451" s="42" t="s">
        <v>1767</v>
      </c>
      <c r="G2451" s="41" t="s">
        <v>40</v>
      </c>
      <c r="H2451" s="41"/>
      <c r="I2451" s="41"/>
      <c r="J2451" s="47">
        <v>7400</v>
      </c>
      <c r="K2451" s="41" t="s">
        <v>1094</v>
      </c>
      <c r="L2451" s="43">
        <v>200</v>
      </c>
      <c r="M2451" s="47">
        <v>2200</v>
      </c>
      <c r="N2451" s="43">
        <v>200</v>
      </c>
      <c r="O2451" s="44">
        <v>14.74</v>
      </c>
      <c r="P2451" s="44">
        <v>12.08</v>
      </c>
      <c r="Q2451" s="44">
        <v>12.53</v>
      </c>
      <c r="R2451" s="44">
        <v>10.27</v>
      </c>
      <c r="S2451" s="44">
        <v>10.02</v>
      </c>
      <c r="T2451" s="44">
        <v>8.2100000000000009</v>
      </c>
      <c r="U2451" s="42"/>
      <c r="V2451" s="42"/>
      <c r="W2451" s="42" t="s">
        <v>40</v>
      </c>
      <c r="X2451" s="45">
        <v>6.0000000000000001E-3</v>
      </c>
      <c r="Y2451" s="46">
        <v>5.7000000000000003E-5</v>
      </c>
      <c r="Z2451" s="21">
        <v>4601004340725</v>
      </c>
    </row>
    <row r="2452" spans="1:26" ht="12" customHeight="1" outlineLevel="4" x14ac:dyDescent="0.2">
      <c r="A2452" s="40" t="s">
        <v>4816</v>
      </c>
      <c r="B2452" s="75" t="s">
        <v>4817</v>
      </c>
      <c r="C2452" s="51"/>
      <c r="D2452" s="54">
        <f t="shared" si="38"/>
        <v>0</v>
      </c>
      <c r="E2452" s="61" t="str">
        <f>HYPERLINK("https://www.sds-group.ru/product/trubka-termousazhivaemaya-tut-hf-2-1-4-2-krasnaya-rexant-20-4004-1/", "Инфо")</f>
        <v>Инфо</v>
      </c>
      <c r="F2452" s="42" t="s">
        <v>1767</v>
      </c>
      <c r="G2452" s="41" t="s">
        <v>40</v>
      </c>
      <c r="H2452" s="41"/>
      <c r="I2452" s="41"/>
      <c r="J2452" s="47">
        <v>3800</v>
      </c>
      <c r="K2452" s="41" t="s">
        <v>1094</v>
      </c>
      <c r="L2452" s="43">
        <v>200</v>
      </c>
      <c r="M2452" s="47">
        <v>2200</v>
      </c>
      <c r="N2452" s="43">
        <v>200</v>
      </c>
      <c r="O2452" s="44">
        <v>14.74</v>
      </c>
      <c r="P2452" s="44">
        <v>12.08</v>
      </c>
      <c r="Q2452" s="44">
        <v>12.53</v>
      </c>
      <c r="R2452" s="44">
        <v>10.27</v>
      </c>
      <c r="S2452" s="44">
        <v>10.02</v>
      </c>
      <c r="T2452" s="44">
        <v>8.2100000000000009</v>
      </c>
      <c r="U2452" s="42"/>
      <c r="V2452" s="42"/>
      <c r="W2452" s="42" t="s">
        <v>40</v>
      </c>
      <c r="X2452" s="45">
        <v>6.0000000000000001E-3</v>
      </c>
      <c r="Y2452" s="46">
        <v>5.8E-5</v>
      </c>
      <c r="Z2452" s="21">
        <v>4601004340732</v>
      </c>
    </row>
    <row r="2453" spans="1:26" ht="12" customHeight="1" outlineLevel="4" x14ac:dyDescent="0.2">
      <c r="A2453" s="40" t="s">
        <v>4818</v>
      </c>
      <c r="B2453" s="75" t="s">
        <v>4819</v>
      </c>
      <c r="C2453" s="51"/>
      <c r="D2453" s="54">
        <f t="shared" si="38"/>
        <v>0</v>
      </c>
      <c r="E2453" s="61" t="str">
        <f>HYPERLINK("https://www.sds-group.ru/product/trubka-termousazhivaemaya-tut-hf-2-1-4-2-chernaya-rexant-20-4006-1/", "Инфо")</f>
        <v>Инфо</v>
      </c>
      <c r="F2453" s="42" t="s">
        <v>1767</v>
      </c>
      <c r="G2453" s="41" t="s">
        <v>40</v>
      </c>
      <c r="H2453" s="41"/>
      <c r="I2453" s="41"/>
      <c r="J2453" s="47">
        <v>23400</v>
      </c>
      <c r="K2453" s="41" t="s">
        <v>1094</v>
      </c>
      <c r="L2453" s="43">
        <v>200</v>
      </c>
      <c r="M2453" s="47">
        <v>2200</v>
      </c>
      <c r="N2453" s="43">
        <v>200</v>
      </c>
      <c r="O2453" s="44">
        <v>13.36</v>
      </c>
      <c r="P2453" s="44">
        <v>10.95</v>
      </c>
      <c r="Q2453" s="44">
        <v>11.36</v>
      </c>
      <c r="R2453" s="44">
        <v>9.31</v>
      </c>
      <c r="S2453" s="44">
        <v>9.08</v>
      </c>
      <c r="T2453" s="44">
        <v>7.44</v>
      </c>
      <c r="U2453" s="42"/>
      <c r="V2453" s="42"/>
      <c r="W2453" s="42" t="s">
        <v>40</v>
      </c>
      <c r="X2453" s="45">
        <v>6.0000000000000001E-3</v>
      </c>
      <c r="Y2453" s="46">
        <v>5.5000000000000002E-5</v>
      </c>
      <c r="Z2453" s="21">
        <v>4601004340749</v>
      </c>
    </row>
    <row r="2454" spans="1:26" ht="12" customHeight="1" outlineLevel="4" x14ac:dyDescent="0.2">
      <c r="A2454" s="40" t="s">
        <v>4820</v>
      </c>
      <c r="B2454" s="75" t="s">
        <v>4821</v>
      </c>
      <c r="C2454" s="51"/>
      <c r="D2454" s="54">
        <f t="shared" si="38"/>
        <v>0</v>
      </c>
      <c r="E2454" s="61" t="str">
        <f>HYPERLINK("https://www.sds-group.ru/product/trubka-termousazhivaemaya-tut-hf-2-1-40-20-krasnaya-rexant-24-0004-1/", "Инфо")</f>
        <v>Инфо</v>
      </c>
      <c r="F2454" s="42" t="s">
        <v>1767</v>
      </c>
      <c r="G2454" s="41" t="s">
        <v>40</v>
      </c>
      <c r="H2454" s="41"/>
      <c r="I2454" s="41"/>
      <c r="J2454" s="42" t="s">
        <v>100</v>
      </c>
      <c r="K2454" s="41" t="s">
        <v>1094</v>
      </c>
      <c r="L2454" s="43">
        <v>25</v>
      </c>
      <c r="M2454" s="43">
        <v>200</v>
      </c>
      <c r="N2454" s="43">
        <v>25</v>
      </c>
      <c r="O2454" s="44">
        <v>186.7</v>
      </c>
      <c r="P2454" s="44">
        <v>153.03</v>
      </c>
      <c r="Q2454" s="44">
        <v>158.69999999999999</v>
      </c>
      <c r="R2454" s="44">
        <v>130.08000000000001</v>
      </c>
      <c r="S2454" s="44">
        <v>126.96</v>
      </c>
      <c r="T2454" s="44">
        <v>104.07</v>
      </c>
      <c r="U2454" s="42"/>
      <c r="V2454" s="42"/>
      <c r="W2454" s="42" t="s">
        <v>40</v>
      </c>
      <c r="X2454" s="45">
        <v>7.5999999999999998E-2</v>
      </c>
      <c r="Y2454" s="46">
        <v>2.3599999999999999E-4</v>
      </c>
      <c r="Z2454" s="21">
        <v>4601004341661</v>
      </c>
    </row>
    <row r="2455" spans="1:26" ht="12" customHeight="1" outlineLevel="4" x14ac:dyDescent="0.2">
      <c r="A2455" s="40" t="s">
        <v>4822</v>
      </c>
      <c r="B2455" s="75" t="s">
        <v>4823</v>
      </c>
      <c r="C2455" s="51"/>
      <c r="D2455" s="54">
        <f t="shared" si="38"/>
        <v>0</v>
      </c>
      <c r="E2455" s="61" t="str">
        <f>HYPERLINK("https://www.sds-group.ru/product/trubka-termousazhivaemaya-tut-hf-2-1-40-20-chernaya-rexant-24-0007-1/", "Инфо")</f>
        <v>Инфо</v>
      </c>
      <c r="F2455" s="42" t="s">
        <v>1767</v>
      </c>
      <c r="G2455" s="41" t="s">
        <v>40</v>
      </c>
      <c r="H2455" s="41"/>
      <c r="I2455" s="41"/>
      <c r="J2455" s="47">
        <v>1125</v>
      </c>
      <c r="K2455" s="41" t="s">
        <v>1094</v>
      </c>
      <c r="L2455" s="43">
        <v>25</v>
      </c>
      <c r="M2455" s="43">
        <v>200</v>
      </c>
      <c r="N2455" s="43">
        <v>25</v>
      </c>
      <c r="O2455" s="44">
        <v>169.76</v>
      </c>
      <c r="P2455" s="44">
        <v>139.15</v>
      </c>
      <c r="Q2455" s="44">
        <v>144.30000000000001</v>
      </c>
      <c r="R2455" s="44">
        <v>118.28</v>
      </c>
      <c r="S2455" s="44">
        <v>115.44</v>
      </c>
      <c r="T2455" s="44">
        <v>94.62</v>
      </c>
      <c r="U2455" s="42"/>
      <c r="V2455" s="42"/>
      <c r="W2455" s="42" t="s">
        <v>40</v>
      </c>
      <c r="X2455" s="45">
        <v>7.6999999999999999E-2</v>
      </c>
      <c r="Y2455" s="46">
        <v>2.3499999999999999E-4</v>
      </c>
      <c r="Z2455" s="21">
        <v>4601004341678</v>
      </c>
    </row>
    <row r="2456" spans="1:26" ht="12" customHeight="1" outlineLevel="4" x14ac:dyDescent="0.2">
      <c r="A2456" s="40" t="s">
        <v>4824</v>
      </c>
      <c r="B2456" s="75" t="s">
        <v>4825</v>
      </c>
      <c r="C2456" s="51"/>
      <c r="D2456" s="54">
        <f t="shared" si="38"/>
        <v>0</v>
      </c>
      <c r="E2456" s="61" t="str">
        <f>HYPERLINK("https://www.sds-group.ru/product/trubka-termousazhivaemaya-tut-hf-2-1-6-3-belaya-rexant-20-6001-1/", "Инфо")</f>
        <v>Инфо</v>
      </c>
      <c r="F2456" s="42" t="s">
        <v>1767</v>
      </c>
      <c r="G2456" s="41" t="s">
        <v>40</v>
      </c>
      <c r="H2456" s="41"/>
      <c r="I2456" s="41"/>
      <c r="J2456" s="47">
        <v>5200</v>
      </c>
      <c r="K2456" s="41" t="s">
        <v>1094</v>
      </c>
      <c r="L2456" s="43">
        <v>100</v>
      </c>
      <c r="M2456" s="43">
        <v>700</v>
      </c>
      <c r="N2456" s="43">
        <v>100</v>
      </c>
      <c r="O2456" s="44">
        <v>22.09</v>
      </c>
      <c r="P2456" s="44">
        <v>18.11</v>
      </c>
      <c r="Q2456" s="44">
        <v>18.78</v>
      </c>
      <c r="R2456" s="44">
        <v>15.39</v>
      </c>
      <c r="S2456" s="44">
        <v>15.02</v>
      </c>
      <c r="T2456" s="44">
        <v>12.31</v>
      </c>
      <c r="U2456" s="42"/>
      <c r="V2456" s="42"/>
      <c r="W2456" s="42" t="s">
        <v>40</v>
      </c>
      <c r="X2456" s="45">
        <v>1.0999999999999999E-2</v>
      </c>
      <c r="Y2456" s="46">
        <v>1.08E-4</v>
      </c>
      <c r="Z2456" s="21">
        <v>4601004340862</v>
      </c>
    </row>
    <row r="2457" spans="1:26" ht="12" customHeight="1" outlineLevel="4" x14ac:dyDescent="0.2">
      <c r="A2457" s="40" t="s">
        <v>4826</v>
      </c>
      <c r="B2457" s="75" t="s">
        <v>4827</v>
      </c>
      <c r="C2457" s="51"/>
      <c r="D2457" s="54">
        <f t="shared" si="38"/>
        <v>0</v>
      </c>
      <c r="E2457" s="61" t="str">
        <f>HYPERLINK("https://www.sds-group.ru/product/trubka-termousazhivaemaya-tut-hf-2-1-6-3-krasnaya-rexant-20-6004-1/", "Инфо")</f>
        <v>Инфо</v>
      </c>
      <c r="F2457" s="42" t="s">
        <v>1767</v>
      </c>
      <c r="G2457" s="41" t="s">
        <v>40</v>
      </c>
      <c r="H2457" s="41"/>
      <c r="I2457" s="41"/>
      <c r="J2457" s="47">
        <v>3800</v>
      </c>
      <c r="K2457" s="41" t="s">
        <v>1094</v>
      </c>
      <c r="L2457" s="43">
        <v>100</v>
      </c>
      <c r="M2457" s="43">
        <v>700</v>
      </c>
      <c r="N2457" s="43">
        <v>100</v>
      </c>
      <c r="O2457" s="44">
        <v>22.09</v>
      </c>
      <c r="P2457" s="44">
        <v>18.11</v>
      </c>
      <c r="Q2457" s="44">
        <v>18.78</v>
      </c>
      <c r="R2457" s="44">
        <v>15.39</v>
      </c>
      <c r="S2457" s="44">
        <v>15.02</v>
      </c>
      <c r="T2457" s="44">
        <v>12.31</v>
      </c>
      <c r="U2457" s="42"/>
      <c r="V2457" s="42"/>
      <c r="W2457" s="42" t="s">
        <v>40</v>
      </c>
      <c r="X2457" s="45">
        <v>1.0999999999999999E-2</v>
      </c>
      <c r="Y2457" s="46">
        <v>1.07E-4</v>
      </c>
      <c r="Z2457" s="21">
        <v>4601004340879</v>
      </c>
    </row>
    <row r="2458" spans="1:26" ht="12" customHeight="1" outlineLevel="4" x14ac:dyDescent="0.2">
      <c r="A2458" s="40" t="s">
        <v>4828</v>
      </c>
      <c r="B2458" s="75" t="s">
        <v>4829</v>
      </c>
      <c r="C2458" s="51"/>
      <c r="D2458" s="54">
        <f t="shared" si="38"/>
        <v>0</v>
      </c>
      <c r="E2458" s="61" t="str">
        <f>HYPERLINK("https://www.sds-group.ru/product/trubka-termousazhivaemaya-tut-hf-2-1-6-3-chernaya-rexant-20-6006-1/", "Инфо")</f>
        <v>Инфо</v>
      </c>
      <c r="F2458" s="42" t="s">
        <v>1767</v>
      </c>
      <c r="G2458" s="41" t="s">
        <v>40</v>
      </c>
      <c r="H2458" s="41"/>
      <c r="I2458" s="41"/>
      <c r="J2458" s="47">
        <v>15400</v>
      </c>
      <c r="K2458" s="41" t="s">
        <v>1094</v>
      </c>
      <c r="L2458" s="43">
        <v>100</v>
      </c>
      <c r="M2458" s="43">
        <v>700</v>
      </c>
      <c r="N2458" s="43">
        <v>100</v>
      </c>
      <c r="O2458" s="44">
        <v>20.170000000000002</v>
      </c>
      <c r="P2458" s="44">
        <v>16.53</v>
      </c>
      <c r="Q2458" s="44">
        <v>17.14</v>
      </c>
      <c r="R2458" s="44">
        <v>14.05</v>
      </c>
      <c r="S2458" s="44">
        <v>13.72</v>
      </c>
      <c r="T2458" s="44">
        <v>11.25</v>
      </c>
      <c r="U2458" s="42"/>
      <c r="V2458" s="42"/>
      <c r="W2458" s="42" t="s">
        <v>40</v>
      </c>
      <c r="X2458" s="45">
        <v>1.0999999999999999E-2</v>
      </c>
      <c r="Y2458" s="46">
        <v>1.08E-4</v>
      </c>
      <c r="Z2458" s="21">
        <v>4601004340886</v>
      </c>
    </row>
    <row r="2459" spans="1:26" ht="12" customHeight="1" outlineLevel="4" x14ac:dyDescent="0.2">
      <c r="A2459" s="40" t="s">
        <v>4830</v>
      </c>
      <c r="B2459" s="75" t="s">
        <v>4831</v>
      </c>
      <c r="C2459" s="51"/>
      <c r="D2459" s="54">
        <f t="shared" si="38"/>
        <v>0</v>
      </c>
      <c r="E2459" s="61" t="str">
        <f>HYPERLINK("https://www.sds-group.ru/product/trubka-termousazhivaemaya-tut-hf-2-1-8-4-belaya-rexant-20-8001-1/", "Инфо")</f>
        <v>Инфо</v>
      </c>
      <c r="F2459" s="42" t="s">
        <v>1767</v>
      </c>
      <c r="G2459" s="41" t="s">
        <v>40</v>
      </c>
      <c r="H2459" s="41"/>
      <c r="I2459" s="41"/>
      <c r="J2459" s="47">
        <v>2000</v>
      </c>
      <c r="K2459" s="41" t="s">
        <v>1094</v>
      </c>
      <c r="L2459" s="43">
        <v>100</v>
      </c>
      <c r="M2459" s="47">
        <v>2100</v>
      </c>
      <c r="N2459" s="43">
        <v>100</v>
      </c>
      <c r="O2459" s="44">
        <v>24.57</v>
      </c>
      <c r="P2459" s="44">
        <v>20.14</v>
      </c>
      <c r="Q2459" s="44">
        <v>20.88</v>
      </c>
      <c r="R2459" s="44">
        <v>17.11</v>
      </c>
      <c r="S2459" s="44">
        <v>16.71</v>
      </c>
      <c r="T2459" s="44">
        <v>13.7</v>
      </c>
      <c r="U2459" s="42"/>
      <c r="V2459" s="42"/>
      <c r="W2459" s="42" t="s">
        <v>40</v>
      </c>
      <c r="X2459" s="45">
        <v>1.0999999999999999E-2</v>
      </c>
      <c r="Y2459" s="46">
        <v>5.5999999999999999E-5</v>
      </c>
      <c r="Z2459" s="21">
        <v>4601004340930</v>
      </c>
    </row>
    <row r="2460" spans="1:26" ht="12" customHeight="1" outlineLevel="4" x14ac:dyDescent="0.2">
      <c r="A2460" s="40" t="s">
        <v>4832</v>
      </c>
      <c r="B2460" s="75" t="s">
        <v>4833</v>
      </c>
      <c r="C2460" s="51"/>
      <c r="D2460" s="54">
        <f t="shared" si="38"/>
        <v>0</v>
      </c>
      <c r="E2460" s="61" t="str">
        <f>HYPERLINK("https://www.sds-group.ru/product/trubka-termousazhivaemaya-tut-hf-2-1-8-4-krasnaya-rexant-20-8004-1/", "Инфо")</f>
        <v>Инфо</v>
      </c>
      <c r="F2460" s="42" t="s">
        <v>1767</v>
      </c>
      <c r="G2460" s="41" t="s">
        <v>40</v>
      </c>
      <c r="H2460" s="41"/>
      <c r="I2460" s="41"/>
      <c r="J2460" s="47">
        <v>1100</v>
      </c>
      <c r="K2460" s="41" t="s">
        <v>1094</v>
      </c>
      <c r="L2460" s="43">
        <v>100</v>
      </c>
      <c r="M2460" s="47">
        <v>2100</v>
      </c>
      <c r="N2460" s="43">
        <v>100</v>
      </c>
      <c r="O2460" s="44">
        <v>24.57</v>
      </c>
      <c r="P2460" s="44">
        <v>20.14</v>
      </c>
      <c r="Q2460" s="44">
        <v>20.88</v>
      </c>
      <c r="R2460" s="44">
        <v>17.11</v>
      </c>
      <c r="S2460" s="44">
        <v>16.71</v>
      </c>
      <c r="T2460" s="44">
        <v>13.7</v>
      </c>
      <c r="U2460" s="42"/>
      <c r="V2460" s="42"/>
      <c r="W2460" s="42" t="s">
        <v>40</v>
      </c>
      <c r="X2460" s="45">
        <v>1.0999999999999999E-2</v>
      </c>
      <c r="Y2460" s="46">
        <v>5.5000000000000002E-5</v>
      </c>
      <c r="Z2460" s="21">
        <v>4601004340947</v>
      </c>
    </row>
    <row r="2461" spans="1:26" ht="12" customHeight="1" outlineLevel="4" x14ac:dyDescent="0.2">
      <c r="A2461" s="40" t="s">
        <v>4834</v>
      </c>
      <c r="B2461" s="75" t="s">
        <v>4835</v>
      </c>
      <c r="C2461" s="51"/>
      <c r="D2461" s="54">
        <f t="shared" si="38"/>
        <v>0</v>
      </c>
      <c r="E2461" s="61" t="str">
        <f>HYPERLINK("https://www.sds-group.ru/product/trubka-termousazhivaemaya-tut-hf-2-1-8-4-chernaya-rexant-20-8006-1/", "Инфо")</f>
        <v>Инфо</v>
      </c>
      <c r="F2461" s="42" t="s">
        <v>1767</v>
      </c>
      <c r="G2461" s="41" t="s">
        <v>40</v>
      </c>
      <c r="H2461" s="41"/>
      <c r="I2461" s="41"/>
      <c r="J2461" s="42" t="s">
        <v>100</v>
      </c>
      <c r="K2461" s="41" t="s">
        <v>1094</v>
      </c>
      <c r="L2461" s="43">
        <v>100</v>
      </c>
      <c r="M2461" s="47">
        <v>2100</v>
      </c>
      <c r="N2461" s="43">
        <v>100</v>
      </c>
      <c r="O2461" s="44">
        <v>22.29</v>
      </c>
      <c r="P2461" s="44">
        <v>18.27</v>
      </c>
      <c r="Q2461" s="44">
        <v>18.95</v>
      </c>
      <c r="R2461" s="44">
        <v>15.53</v>
      </c>
      <c r="S2461" s="44">
        <v>15.16</v>
      </c>
      <c r="T2461" s="44">
        <v>12.43</v>
      </c>
      <c r="U2461" s="42"/>
      <c r="V2461" s="42"/>
      <c r="W2461" s="42" t="s">
        <v>40</v>
      </c>
      <c r="X2461" s="45">
        <v>0.01</v>
      </c>
      <c r="Y2461" s="46">
        <v>5.7000000000000003E-5</v>
      </c>
      <c r="Z2461" s="21">
        <v>4601004340954</v>
      </c>
    </row>
    <row r="2462" spans="1:26" ht="12.95" customHeight="1" outlineLevel="2" x14ac:dyDescent="0.2">
      <c r="A2462" s="76" t="s">
        <v>4836</v>
      </c>
      <c r="B2462" s="76"/>
      <c r="C2462" s="77"/>
      <c r="D2462" s="58"/>
      <c r="E2462" s="68"/>
      <c r="F2462" s="13"/>
      <c r="G2462" s="13"/>
      <c r="H2462" s="13"/>
      <c r="I2462" s="13"/>
      <c r="J2462" s="13"/>
      <c r="K2462" s="13"/>
      <c r="L2462" s="13"/>
      <c r="M2462" s="13"/>
      <c r="N2462" s="13"/>
      <c r="O2462" s="13"/>
      <c r="P2462" s="13"/>
      <c r="Q2462" s="13"/>
      <c r="R2462" s="13"/>
      <c r="S2462" s="13"/>
      <c r="T2462" s="13"/>
      <c r="U2462" s="13"/>
      <c r="V2462" s="13"/>
      <c r="W2462" s="13"/>
      <c r="X2462" s="13"/>
      <c r="Y2462" s="13"/>
      <c r="Z2462" s="13"/>
    </row>
    <row r="2463" spans="1:26" ht="12" customHeight="1" outlineLevel="3" x14ac:dyDescent="0.2">
      <c r="A2463" s="14" t="s">
        <v>4837</v>
      </c>
      <c r="B2463" s="26" t="s">
        <v>4838</v>
      </c>
      <c r="C2463" s="52"/>
      <c r="D2463" s="55">
        <f t="shared" si="38"/>
        <v>0</v>
      </c>
      <c r="E2463" s="63" t="str">
        <f>HYPERLINK("https://www.sds-group.ru/product/termousazhivaemaya-lenta-kleevaya-tlk-25h0-8-krasnaya-5m-rexant-48-9004/", "Инфо")</f>
        <v>Инфо</v>
      </c>
      <c r="F2463" s="16" t="s">
        <v>4839</v>
      </c>
      <c r="G2463" s="15"/>
      <c r="H2463" s="15"/>
      <c r="I2463" s="15"/>
      <c r="J2463" s="16" t="s">
        <v>100</v>
      </c>
      <c r="K2463" s="15" t="s">
        <v>1004</v>
      </c>
      <c r="L2463" s="17">
        <v>5</v>
      </c>
      <c r="M2463" s="17">
        <v>100</v>
      </c>
      <c r="N2463" s="17">
        <v>5</v>
      </c>
      <c r="O2463" s="18">
        <v>512.79999999999995</v>
      </c>
      <c r="P2463" s="18">
        <v>420.33</v>
      </c>
      <c r="Q2463" s="18">
        <v>441.01</v>
      </c>
      <c r="R2463" s="18">
        <v>361.48</v>
      </c>
      <c r="S2463" s="18">
        <v>348.7</v>
      </c>
      <c r="T2463" s="18">
        <v>285.82</v>
      </c>
      <c r="U2463" s="16"/>
      <c r="V2463" s="16"/>
      <c r="W2463" s="16" t="s">
        <v>40</v>
      </c>
      <c r="X2463" s="19">
        <v>0.14699999999999999</v>
      </c>
      <c r="Y2463" s="20">
        <v>2.0000000000000001E-4</v>
      </c>
      <c r="Z2463" s="21">
        <v>4601004098039</v>
      </c>
    </row>
    <row r="2464" spans="1:26" ht="12" customHeight="1" outlineLevel="3" x14ac:dyDescent="0.2">
      <c r="A2464" s="14" t="s">
        <v>4840</v>
      </c>
      <c r="B2464" s="26" t="s">
        <v>4841</v>
      </c>
      <c r="C2464" s="52"/>
      <c r="D2464" s="55">
        <f t="shared" si="38"/>
        <v>0</v>
      </c>
      <c r="E2464" s="63" t="str">
        <f>HYPERLINK("https://www.sds-group.ru/product/termousazhivaemaya-lenta-kleevaya-tlk-25h0-8-chernaya-5m-rexant-48-9006/", "Инфо")</f>
        <v>Инфо</v>
      </c>
      <c r="F2464" s="16" t="s">
        <v>4839</v>
      </c>
      <c r="G2464" s="15"/>
      <c r="H2464" s="15"/>
      <c r="I2464" s="15"/>
      <c r="J2464" s="16" t="s">
        <v>100</v>
      </c>
      <c r="K2464" s="15" t="s">
        <v>1004</v>
      </c>
      <c r="L2464" s="17">
        <v>5</v>
      </c>
      <c r="M2464" s="17">
        <v>100</v>
      </c>
      <c r="N2464" s="17">
        <v>5</v>
      </c>
      <c r="O2464" s="18">
        <v>512.79999999999995</v>
      </c>
      <c r="P2464" s="18">
        <v>420.33</v>
      </c>
      <c r="Q2464" s="18">
        <v>441.01</v>
      </c>
      <c r="R2464" s="18">
        <v>361.48</v>
      </c>
      <c r="S2464" s="18">
        <v>348.7</v>
      </c>
      <c r="T2464" s="18">
        <v>285.82</v>
      </c>
      <c r="U2464" s="16"/>
      <c r="V2464" s="16"/>
      <c r="W2464" s="16" t="s">
        <v>40</v>
      </c>
      <c r="X2464" s="19">
        <v>0.14899999999999999</v>
      </c>
      <c r="Y2464" s="20">
        <v>2.22E-4</v>
      </c>
      <c r="Z2464" s="21">
        <v>4601004098107</v>
      </c>
    </row>
    <row r="2465" spans="1:26" ht="12" customHeight="1" outlineLevel="3" x14ac:dyDescent="0.2">
      <c r="A2465" s="14" t="s">
        <v>4842</v>
      </c>
      <c r="B2465" s="26" t="s">
        <v>4843</v>
      </c>
      <c r="C2465" s="52"/>
      <c r="D2465" s="55">
        <f t="shared" si="38"/>
        <v>0</v>
      </c>
      <c r="E2465" s="63" t="str">
        <f>HYPERLINK("https://www.sds-group.ru/product/termousazhivaemaya-lenta-kleevaya-tlk-25h1-chernaya-5m-rexant-48-9026/", "Инфо")</f>
        <v>Инфо</v>
      </c>
      <c r="F2465" s="16" t="s">
        <v>4839</v>
      </c>
      <c r="G2465" s="15"/>
      <c r="H2465" s="15"/>
      <c r="I2465" s="15"/>
      <c r="J2465" s="16" t="s">
        <v>100</v>
      </c>
      <c r="K2465" s="15" t="s">
        <v>4183</v>
      </c>
      <c r="L2465" s="17">
        <v>1</v>
      </c>
      <c r="M2465" s="17">
        <v>100</v>
      </c>
      <c r="N2465" s="17">
        <v>1</v>
      </c>
      <c r="O2465" s="18">
        <v>797.63</v>
      </c>
      <c r="P2465" s="18">
        <v>653.79999999999995</v>
      </c>
      <c r="Q2465" s="18">
        <v>685.96</v>
      </c>
      <c r="R2465" s="18">
        <v>562.26</v>
      </c>
      <c r="S2465" s="18">
        <v>542.39</v>
      </c>
      <c r="T2465" s="18">
        <v>444.58</v>
      </c>
      <c r="U2465" s="16"/>
      <c r="V2465" s="16"/>
      <c r="W2465" s="16" t="s">
        <v>40</v>
      </c>
      <c r="X2465" s="19">
        <v>0.14799999999999999</v>
      </c>
      <c r="Y2465" s="20">
        <v>4.6700000000000002E-4</v>
      </c>
      <c r="Z2465" s="21">
        <v>4601004098084</v>
      </c>
    </row>
    <row r="2466" spans="1:26" ht="12" customHeight="1" outlineLevel="3" x14ac:dyDescent="0.2">
      <c r="A2466" s="14" t="s">
        <v>4844</v>
      </c>
      <c r="B2466" s="26" t="s">
        <v>4845</v>
      </c>
      <c r="C2466" s="52"/>
      <c r="D2466" s="55">
        <f t="shared" si="38"/>
        <v>0</v>
      </c>
      <c r="E2466" s="63" t="str">
        <f>HYPERLINK("https://www.sds-group.ru/product/termousazhivaemaya-lenta-kleevaya-tlk-50h0-8-zheltaya-5m-rexant-48-9012/", "Инфо")</f>
        <v>Инфо</v>
      </c>
      <c r="F2466" s="16" t="s">
        <v>4839</v>
      </c>
      <c r="G2466" s="15"/>
      <c r="H2466" s="15"/>
      <c r="I2466" s="15"/>
      <c r="J2466" s="17">
        <v>304</v>
      </c>
      <c r="K2466" s="15" t="s">
        <v>4183</v>
      </c>
      <c r="L2466" s="17">
        <v>1</v>
      </c>
      <c r="M2466" s="17">
        <v>50</v>
      </c>
      <c r="N2466" s="17">
        <v>1</v>
      </c>
      <c r="O2466" s="18">
        <v>1045.19</v>
      </c>
      <c r="P2466" s="18">
        <v>856.71</v>
      </c>
      <c r="Q2466" s="18">
        <v>888.41</v>
      </c>
      <c r="R2466" s="18">
        <v>728.2</v>
      </c>
      <c r="S2466" s="18">
        <v>710.73</v>
      </c>
      <c r="T2466" s="18">
        <v>582.57000000000005</v>
      </c>
      <c r="U2466" s="16"/>
      <c r="V2466" s="16"/>
      <c r="W2466" s="16" t="s">
        <v>40</v>
      </c>
      <c r="X2466" s="19">
        <v>0.29799999999999999</v>
      </c>
      <c r="Y2466" s="20">
        <v>4.0000000000000002E-4</v>
      </c>
      <c r="Z2466" s="21">
        <v>4601004098077</v>
      </c>
    </row>
    <row r="2467" spans="1:26" ht="12" customHeight="1" outlineLevel="3" x14ac:dyDescent="0.2">
      <c r="A2467" s="14" t="s">
        <v>4846</v>
      </c>
      <c r="B2467" s="26" t="s">
        <v>4847</v>
      </c>
      <c r="C2467" s="52"/>
      <c r="D2467" s="55">
        <f t="shared" si="38"/>
        <v>0</v>
      </c>
      <c r="E2467" s="63" t="str">
        <f>HYPERLINK("https://www.sds-group.ru/product/termousazhivaemaya-lenta-kleevaya-tlk-50h0-8-zelenaya-5m-rexant-48-9013/", "Инфо")</f>
        <v>Инфо</v>
      </c>
      <c r="F2467" s="16" t="s">
        <v>4839</v>
      </c>
      <c r="G2467" s="15"/>
      <c r="H2467" s="15"/>
      <c r="I2467" s="15"/>
      <c r="J2467" s="16" t="s">
        <v>100</v>
      </c>
      <c r="K2467" s="15" t="s">
        <v>1004</v>
      </c>
      <c r="L2467" s="17">
        <v>1</v>
      </c>
      <c r="M2467" s="17">
        <v>50</v>
      </c>
      <c r="N2467" s="17">
        <v>1</v>
      </c>
      <c r="O2467" s="18">
        <v>1045.19</v>
      </c>
      <c r="P2467" s="18">
        <v>856.71</v>
      </c>
      <c r="Q2467" s="18">
        <v>888.41</v>
      </c>
      <c r="R2467" s="18">
        <v>728.2</v>
      </c>
      <c r="S2467" s="18">
        <v>710.73</v>
      </c>
      <c r="T2467" s="18">
        <v>582.57000000000005</v>
      </c>
      <c r="U2467" s="16"/>
      <c r="V2467" s="16"/>
      <c r="W2467" s="16" t="s">
        <v>40</v>
      </c>
      <c r="X2467" s="19">
        <v>0.27700000000000002</v>
      </c>
      <c r="Y2467" s="20">
        <v>4.4499999999999997E-4</v>
      </c>
      <c r="Z2467" s="21">
        <v>4601004098060</v>
      </c>
    </row>
    <row r="2468" spans="1:26" ht="12" customHeight="1" outlineLevel="3" x14ac:dyDescent="0.2">
      <c r="A2468" s="14" t="s">
        <v>4848</v>
      </c>
      <c r="B2468" s="26" t="s">
        <v>4849</v>
      </c>
      <c r="C2468" s="52"/>
      <c r="D2468" s="55">
        <f t="shared" si="38"/>
        <v>0</v>
      </c>
      <c r="E2468" s="63" t="str">
        <f>HYPERLINK("https://www.sds-group.ru/product/termousazhivaemaya-lenta-kleevaya-tlk-50h0-8-krasnaya-5m-rexant-48-9014/", "Инфо")</f>
        <v>Инфо</v>
      </c>
      <c r="F2468" s="16" t="s">
        <v>4839</v>
      </c>
      <c r="G2468" s="15"/>
      <c r="H2468" s="15"/>
      <c r="I2468" s="15"/>
      <c r="J2468" s="17">
        <v>231</v>
      </c>
      <c r="K2468" s="15" t="s">
        <v>4183</v>
      </c>
      <c r="L2468" s="17">
        <v>1</v>
      </c>
      <c r="M2468" s="17">
        <v>50</v>
      </c>
      <c r="N2468" s="17">
        <v>1</v>
      </c>
      <c r="O2468" s="18">
        <v>1045.21</v>
      </c>
      <c r="P2468" s="18">
        <v>856.73</v>
      </c>
      <c r="Q2468" s="18">
        <v>898.88</v>
      </c>
      <c r="R2468" s="18">
        <v>736.79</v>
      </c>
      <c r="S2468" s="18">
        <v>710.74</v>
      </c>
      <c r="T2468" s="18">
        <v>582.57000000000005</v>
      </c>
      <c r="U2468" s="16"/>
      <c r="V2468" s="16"/>
      <c r="W2468" s="16" t="s">
        <v>40</v>
      </c>
      <c r="X2468" s="19">
        <v>0.28699999999999998</v>
      </c>
      <c r="Y2468" s="20">
        <v>1.1130000000000001E-3</v>
      </c>
      <c r="Z2468" s="21">
        <v>4601004098053</v>
      </c>
    </row>
    <row r="2469" spans="1:26" ht="12" customHeight="1" outlineLevel="3" x14ac:dyDescent="0.2">
      <c r="A2469" s="14" t="s">
        <v>4850</v>
      </c>
      <c r="B2469" s="26" t="s">
        <v>4851</v>
      </c>
      <c r="C2469" s="52"/>
      <c r="D2469" s="55">
        <f t="shared" si="38"/>
        <v>0</v>
      </c>
      <c r="E2469" s="63" t="str">
        <f>HYPERLINK("https://www.sds-group.ru/product/termousazhivaemaya-lenta-kleevaya-tlk-50h0-8-chernaya-5m-rexant-48-9016/", "Инфо")</f>
        <v>Инфо</v>
      </c>
      <c r="F2469" s="16" t="s">
        <v>4839</v>
      </c>
      <c r="G2469" s="15"/>
      <c r="H2469" s="15"/>
      <c r="I2469" s="15"/>
      <c r="J2469" s="17">
        <v>320</v>
      </c>
      <c r="K2469" s="15" t="s">
        <v>4183</v>
      </c>
      <c r="L2469" s="17">
        <v>1</v>
      </c>
      <c r="M2469" s="17">
        <v>50</v>
      </c>
      <c r="N2469" s="17">
        <v>1</v>
      </c>
      <c r="O2469" s="18">
        <v>1175.24</v>
      </c>
      <c r="P2469" s="18">
        <v>963.31</v>
      </c>
      <c r="Q2469" s="18">
        <v>1010.71</v>
      </c>
      <c r="R2469" s="18">
        <v>828.45</v>
      </c>
      <c r="S2469" s="18">
        <v>799.16</v>
      </c>
      <c r="T2469" s="18">
        <v>655.04999999999995</v>
      </c>
      <c r="U2469" s="16"/>
      <c r="V2469" s="16"/>
      <c r="W2469" s="16" t="s">
        <v>40</v>
      </c>
      <c r="X2469" s="19">
        <v>0.28999999999999998</v>
      </c>
      <c r="Y2469" s="20">
        <v>4.66E-4</v>
      </c>
      <c r="Z2469" s="21">
        <v>4601004098046</v>
      </c>
    </row>
    <row r="2470" spans="1:26" ht="12.95" customHeight="1" outlineLevel="2" x14ac:dyDescent="0.2">
      <c r="A2470" s="76" t="s">
        <v>4852</v>
      </c>
      <c r="B2470" s="76"/>
      <c r="C2470" s="77"/>
      <c r="D2470" s="58"/>
      <c r="E2470" s="68"/>
      <c r="F2470" s="13"/>
      <c r="G2470" s="13"/>
      <c r="H2470" s="13"/>
      <c r="I2470" s="13"/>
      <c r="J2470" s="13"/>
      <c r="K2470" s="13"/>
      <c r="L2470" s="13"/>
      <c r="M2470" s="13"/>
      <c r="N2470" s="13"/>
      <c r="O2470" s="13"/>
      <c r="P2470" s="13"/>
      <c r="Q2470" s="13"/>
      <c r="R2470" s="13"/>
      <c r="S2470" s="13"/>
      <c r="T2470" s="13"/>
      <c r="U2470" s="13"/>
      <c r="V2470" s="13"/>
      <c r="W2470" s="13"/>
      <c r="X2470" s="13"/>
      <c r="Y2470" s="13"/>
      <c r="Z2470" s="13"/>
    </row>
    <row r="2471" spans="1:26" ht="12" customHeight="1" outlineLevel="3" x14ac:dyDescent="0.2">
      <c r="A2471" s="32" t="s">
        <v>4853</v>
      </c>
      <c r="B2471" s="74" t="s">
        <v>4854</v>
      </c>
      <c r="C2471" s="50"/>
      <c r="D2471" s="53">
        <f t="shared" si="38"/>
        <v>0</v>
      </c>
      <c r="E2471" s="60" t="str">
        <f>HYPERLINK("https://www.sds-group.ru/product/termousazhivaemaya-perchatka-na-3-zhily-87-0-46-0-mm-chernaya-rexant-48-3087/", "Инфо")</f>
        <v>Инфо</v>
      </c>
      <c r="F2471" s="34" t="s">
        <v>39</v>
      </c>
      <c r="G2471" s="33"/>
      <c r="H2471" s="33" t="s">
        <v>40</v>
      </c>
      <c r="I2471" s="33"/>
      <c r="J2471" s="35">
        <v>456</v>
      </c>
      <c r="K2471" s="33"/>
      <c r="L2471" s="35">
        <v>1</v>
      </c>
      <c r="M2471" s="35">
        <v>100</v>
      </c>
      <c r="N2471" s="35">
        <v>1</v>
      </c>
      <c r="O2471" s="36">
        <v>252.32</v>
      </c>
      <c r="P2471" s="36">
        <v>206.82</v>
      </c>
      <c r="Q2471" s="36">
        <v>176.62</v>
      </c>
      <c r="R2471" s="36">
        <v>144.77000000000001</v>
      </c>
      <c r="S2471" s="36">
        <v>171.58</v>
      </c>
      <c r="T2471" s="36">
        <v>140.63999999999999</v>
      </c>
      <c r="U2471" s="34"/>
      <c r="V2471" s="34"/>
      <c r="W2471" s="34"/>
      <c r="X2471" s="37">
        <v>0.126</v>
      </c>
      <c r="Y2471" s="38">
        <v>3.3649999999999999E-3</v>
      </c>
      <c r="Z2471" s="21">
        <v>4601004064980</v>
      </c>
    </row>
    <row r="2472" spans="1:26" ht="12" customHeight="1" outlineLevel="3" x14ac:dyDescent="0.2">
      <c r="A2472" s="32" t="s">
        <v>4855</v>
      </c>
      <c r="B2472" s="74" t="s">
        <v>4856</v>
      </c>
      <c r="C2472" s="50"/>
      <c r="D2472" s="53">
        <f t="shared" si="38"/>
        <v>0</v>
      </c>
      <c r="E2472" s="60" t="str">
        <f>HYPERLINK("https://www.sds-group.ru/product/termousazhivaemaya-perchatka-na-4-zhily-90-0-45-0-mm-chernaya-rexant-48-4090/", "Инфо")</f>
        <v>Инфо</v>
      </c>
      <c r="F2472" s="34" t="s">
        <v>39</v>
      </c>
      <c r="G2472" s="33"/>
      <c r="H2472" s="33" t="s">
        <v>40</v>
      </c>
      <c r="I2472" s="33"/>
      <c r="J2472" s="35">
        <v>120</v>
      </c>
      <c r="K2472" s="33"/>
      <c r="L2472" s="35">
        <v>1</v>
      </c>
      <c r="M2472" s="35">
        <v>60</v>
      </c>
      <c r="N2472" s="35">
        <v>1</v>
      </c>
      <c r="O2472" s="36">
        <v>279.37</v>
      </c>
      <c r="P2472" s="36">
        <v>228.99</v>
      </c>
      <c r="Q2472" s="36">
        <v>195.56</v>
      </c>
      <c r="R2472" s="36">
        <v>160.30000000000001</v>
      </c>
      <c r="S2472" s="36">
        <v>189.97</v>
      </c>
      <c r="T2472" s="36">
        <v>155.71</v>
      </c>
      <c r="U2472" s="34"/>
      <c r="V2472" s="34"/>
      <c r="W2472" s="34"/>
      <c r="X2472" s="37">
        <v>0.14899999999999999</v>
      </c>
      <c r="Y2472" s="38">
        <v>4.287E-3</v>
      </c>
      <c r="Z2472" s="21">
        <v>4601004065055</v>
      </c>
    </row>
    <row r="2473" spans="1:26" ht="12" customHeight="1" outlineLevel="3" x14ac:dyDescent="0.2">
      <c r="A2473" s="32" t="s">
        <v>4857</v>
      </c>
      <c r="B2473" s="74" t="s">
        <v>4858</v>
      </c>
      <c r="C2473" s="50"/>
      <c r="D2473" s="53">
        <f t="shared" si="38"/>
        <v>0</v>
      </c>
      <c r="E2473" s="60" t="str">
        <f>HYPERLINK("https://www.sds-group.ru/product/termousazhivaemyy-kolpak-kapa-120-0-57-0-mm-chernyy-rexant-48-1120/", "Инфо")</f>
        <v>Инфо</v>
      </c>
      <c r="F2473" s="34" t="s">
        <v>39</v>
      </c>
      <c r="G2473" s="33"/>
      <c r="H2473" s="33" t="s">
        <v>40</v>
      </c>
      <c r="I2473" s="33"/>
      <c r="J2473" s="35">
        <v>14</v>
      </c>
      <c r="K2473" s="33"/>
      <c r="L2473" s="35">
        <v>1</v>
      </c>
      <c r="M2473" s="35">
        <v>75</v>
      </c>
      <c r="N2473" s="35">
        <v>1</v>
      </c>
      <c r="O2473" s="36">
        <v>347.93</v>
      </c>
      <c r="P2473" s="36">
        <v>285.19</v>
      </c>
      <c r="Q2473" s="36">
        <v>243.55</v>
      </c>
      <c r="R2473" s="36">
        <v>199.63</v>
      </c>
      <c r="S2473" s="36">
        <v>236.59</v>
      </c>
      <c r="T2473" s="36">
        <v>193.93</v>
      </c>
      <c r="U2473" s="34"/>
      <c r="V2473" s="34"/>
      <c r="W2473" s="34"/>
      <c r="X2473" s="37">
        <v>0.13100000000000001</v>
      </c>
      <c r="Y2473" s="38">
        <v>3.457E-3</v>
      </c>
      <c r="Z2473" s="21">
        <v>4601004064898</v>
      </c>
    </row>
    <row r="2474" spans="1:26" ht="12.95" customHeight="1" outlineLevel="2" x14ac:dyDescent="0.2">
      <c r="A2474" s="76" t="s">
        <v>4859</v>
      </c>
      <c r="B2474" s="76"/>
      <c r="C2474" s="77"/>
      <c r="D2474" s="58"/>
      <c r="E2474" s="68"/>
      <c r="F2474" s="13"/>
      <c r="G2474" s="13"/>
      <c r="H2474" s="13"/>
      <c r="I2474" s="13"/>
      <c r="J2474" s="13"/>
      <c r="K2474" s="13"/>
      <c r="L2474" s="13"/>
      <c r="M2474" s="13"/>
      <c r="N2474" s="13"/>
      <c r="O2474" s="13"/>
      <c r="P2474" s="13"/>
      <c r="Q2474" s="13"/>
      <c r="R2474" s="13"/>
      <c r="S2474" s="13"/>
      <c r="T2474" s="13"/>
      <c r="U2474" s="13"/>
      <c r="V2474" s="13"/>
      <c r="W2474" s="13"/>
      <c r="X2474" s="13"/>
      <c r="Y2474" s="13"/>
      <c r="Z2474" s="13"/>
    </row>
    <row r="2475" spans="1:26" ht="12.95" customHeight="1" outlineLevel="3" x14ac:dyDescent="0.2">
      <c r="A2475" s="76" t="s">
        <v>4860</v>
      </c>
      <c r="B2475" s="76"/>
      <c r="C2475" s="77"/>
      <c r="D2475" s="58"/>
      <c r="E2475" s="68"/>
      <c r="F2475" s="13"/>
      <c r="G2475" s="13"/>
      <c r="H2475" s="13"/>
      <c r="I2475" s="13"/>
      <c r="J2475" s="13"/>
      <c r="K2475" s="13"/>
      <c r="L2475" s="13"/>
      <c r="M2475" s="13"/>
      <c r="N2475" s="13"/>
      <c r="O2475" s="13"/>
      <c r="P2475" s="13"/>
      <c r="Q2475" s="13"/>
      <c r="R2475" s="13"/>
      <c r="S2475" s="13"/>
      <c r="T2475" s="13"/>
      <c r="U2475" s="13"/>
      <c r="V2475" s="13"/>
      <c r="W2475" s="13"/>
      <c r="X2475" s="13"/>
      <c r="Y2475" s="13"/>
      <c r="Z2475" s="13"/>
    </row>
    <row r="2476" spans="1:26" ht="12" customHeight="1" outlineLevel="4" x14ac:dyDescent="0.2">
      <c r="A2476" s="14" t="s">
        <v>4861</v>
      </c>
      <c r="B2476" s="26" t="s">
        <v>4862</v>
      </c>
      <c r="C2476" s="52"/>
      <c r="D2476" s="55">
        <f t="shared" si="38"/>
        <v>0</v>
      </c>
      <c r="E2476" s="63" t="str">
        <f>HYPERLINK("https://www.sds-group.ru/product/izolenta-pvh-0-13h15mm-10m-belaya-kranz-KR-09-2001/", "Инфо")</f>
        <v>Инфо</v>
      </c>
      <c r="F2476" s="16" t="s">
        <v>4839</v>
      </c>
      <c r="G2476" s="15"/>
      <c r="H2476" s="15"/>
      <c r="I2476" s="15"/>
      <c r="J2476" s="22">
        <v>7038</v>
      </c>
      <c r="K2476" s="15" t="s">
        <v>4863</v>
      </c>
      <c r="L2476" s="17">
        <v>10</v>
      </c>
      <c r="M2476" s="17">
        <v>500</v>
      </c>
      <c r="N2476" s="17">
        <v>10</v>
      </c>
      <c r="O2476" s="18">
        <v>41.03</v>
      </c>
      <c r="P2476" s="18">
        <v>33.630000000000003</v>
      </c>
      <c r="Q2476" s="18">
        <v>37.340000000000003</v>
      </c>
      <c r="R2476" s="18">
        <v>30.61</v>
      </c>
      <c r="S2476" s="18">
        <v>27.9</v>
      </c>
      <c r="T2476" s="18">
        <v>22.87</v>
      </c>
      <c r="U2476" s="16"/>
      <c r="V2476" s="16"/>
      <c r="W2476" s="16" t="s">
        <v>40</v>
      </c>
      <c r="X2476" s="19">
        <v>3.4000000000000002E-2</v>
      </c>
      <c r="Y2476" s="20">
        <v>7.8999999999999996E-5</v>
      </c>
      <c r="Z2476" s="21">
        <v>4601004225633</v>
      </c>
    </row>
    <row r="2477" spans="1:26" ht="12" customHeight="1" outlineLevel="4" x14ac:dyDescent="0.2">
      <c r="A2477" s="14" t="s">
        <v>4864</v>
      </c>
      <c r="B2477" s="26" t="s">
        <v>4865</v>
      </c>
      <c r="C2477" s="52"/>
      <c r="D2477" s="55">
        <f t="shared" si="38"/>
        <v>0</v>
      </c>
      <c r="E2477" s="63" t="str">
        <f>HYPERLINK("https://www.sds-group.ru/product/izolenta-pvh-0-13h15mm-10m-zheltaya-kranz-KR-09-2002/", "Инфо")</f>
        <v>Инфо</v>
      </c>
      <c r="F2477" s="16" t="s">
        <v>4839</v>
      </c>
      <c r="G2477" s="15"/>
      <c r="H2477" s="15"/>
      <c r="I2477" s="15"/>
      <c r="J2477" s="22">
        <v>3379</v>
      </c>
      <c r="K2477" s="15" t="s">
        <v>4866</v>
      </c>
      <c r="L2477" s="17">
        <v>10</v>
      </c>
      <c r="M2477" s="17">
        <v>500</v>
      </c>
      <c r="N2477" s="17">
        <v>10</v>
      </c>
      <c r="O2477" s="18">
        <v>41.03</v>
      </c>
      <c r="P2477" s="18">
        <v>33.630000000000003</v>
      </c>
      <c r="Q2477" s="18">
        <v>37.340000000000003</v>
      </c>
      <c r="R2477" s="18">
        <v>30.61</v>
      </c>
      <c r="S2477" s="18">
        <v>27.9</v>
      </c>
      <c r="T2477" s="18">
        <v>22.87</v>
      </c>
      <c r="U2477" s="16"/>
      <c r="V2477" s="16"/>
      <c r="W2477" s="16" t="s">
        <v>40</v>
      </c>
      <c r="X2477" s="19">
        <v>3.3000000000000002E-2</v>
      </c>
      <c r="Y2477" s="20">
        <v>7.3999999999999996E-5</v>
      </c>
      <c r="Z2477" s="21">
        <v>4601004225237</v>
      </c>
    </row>
    <row r="2478" spans="1:26" ht="12" customHeight="1" outlineLevel="4" x14ac:dyDescent="0.2">
      <c r="A2478" s="14" t="s">
        <v>4867</v>
      </c>
      <c r="B2478" s="26" t="s">
        <v>4868</v>
      </c>
      <c r="C2478" s="52"/>
      <c r="D2478" s="55">
        <f t="shared" si="38"/>
        <v>0</v>
      </c>
      <c r="E2478" s="63" t="str">
        <f>HYPERLINK("https://www.sds-group.ru/product/izolenta-pvh-0-13h15mm-10m-zhelto-zelenaya-kranz-KR-09-2007/", "Инфо")</f>
        <v>Инфо</v>
      </c>
      <c r="F2478" s="16" t="s">
        <v>4839</v>
      </c>
      <c r="G2478" s="15"/>
      <c r="H2478" s="15"/>
      <c r="I2478" s="15"/>
      <c r="J2478" s="22">
        <v>3119</v>
      </c>
      <c r="K2478" s="15" t="s">
        <v>4866</v>
      </c>
      <c r="L2478" s="17">
        <v>10</v>
      </c>
      <c r="M2478" s="17">
        <v>500</v>
      </c>
      <c r="N2478" s="17">
        <v>10</v>
      </c>
      <c r="O2478" s="18">
        <v>46.7</v>
      </c>
      <c r="P2478" s="18">
        <v>38.28</v>
      </c>
      <c r="Q2478" s="18">
        <v>42.5</v>
      </c>
      <c r="R2478" s="18">
        <v>34.840000000000003</v>
      </c>
      <c r="S2478" s="18">
        <v>31.76</v>
      </c>
      <c r="T2478" s="18">
        <v>26.03</v>
      </c>
      <c r="U2478" s="16"/>
      <c r="V2478" s="16"/>
      <c r="W2478" s="16" t="s">
        <v>40</v>
      </c>
      <c r="X2478" s="19">
        <v>3.3000000000000002E-2</v>
      </c>
      <c r="Y2478" s="20">
        <v>7.7999999999999999E-5</v>
      </c>
      <c r="Z2478" s="21">
        <v>4601004225251</v>
      </c>
    </row>
    <row r="2479" spans="1:26" ht="12" customHeight="1" outlineLevel="4" x14ac:dyDescent="0.2">
      <c r="A2479" s="14" t="s">
        <v>4869</v>
      </c>
      <c r="B2479" s="26" t="s">
        <v>4870</v>
      </c>
      <c r="C2479" s="52"/>
      <c r="D2479" s="55">
        <f t="shared" si="38"/>
        <v>0</v>
      </c>
      <c r="E2479" s="63" t="str">
        <f>HYPERLINK("https://www.sds-group.ru/product/izolenta-pvh-0-13h15mm-10m-zelenaya-kranz-KR-09-2003/", "Инфо")</f>
        <v>Инфо</v>
      </c>
      <c r="F2479" s="16" t="s">
        <v>4839</v>
      </c>
      <c r="G2479" s="15"/>
      <c r="H2479" s="15"/>
      <c r="I2479" s="15"/>
      <c r="J2479" s="22">
        <v>2940</v>
      </c>
      <c r="K2479" s="15" t="s">
        <v>4866</v>
      </c>
      <c r="L2479" s="17">
        <v>10</v>
      </c>
      <c r="M2479" s="17">
        <v>500</v>
      </c>
      <c r="N2479" s="17">
        <v>10</v>
      </c>
      <c r="O2479" s="18">
        <v>41.03</v>
      </c>
      <c r="P2479" s="18">
        <v>33.630000000000003</v>
      </c>
      <c r="Q2479" s="18">
        <v>37.340000000000003</v>
      </c>
      <c r="R2479" s="18">
        <v>30.61</v>
      </c>
      <c r="S2479" s="18">
        <v>27.9</v>
      </c>
      <c r="T2479" s="18">
        <v>22.87</v>
      </c>
      <c r="U2479" s="16"/>
      <c r="V2479" s="16"/>
      <c r="W2479" s="16" t="s">
        <v>40</v>
      </c>
      <c r="X2479" s="19">
        <v>3.3000000000000002E-2</v>
      </c>
      <c r="Y2479" s="20">
        <v>7.6000000000000004E-5</v>
      </c>
      <c r="Z2479" s="21">
        <v>4601004225275</v>
      </c>
    </row>
    <row r="2480" spans="1:26" ht="12" customHeight="1" outlineLevel="4" x14ac:dyDescent="0.2">
      <c r="A2480" s="14" t="s">
        <v>4871</v>
      </c>
      <c r="B2480" s="26" t="s">
        <v>4872</v>
      </c>
      <c r="C2480" s="52"/>
      <c r="D2480" s="55">
        <f t="shared" si="38"/>
        <v>0</v>
      </c>
      <c r="E2480" s="63" t="str">
        <f>HYPERLINK("https://www.sds-group.ru/product/izolenta-pvh-0-13h15mm-10m-krasnaya-kranz-KR-09-2004/", "Инфо")</f>
        <v>Инфо</v>
      </c>
      <c r="F2480" s="16" t="s">
        <v>4839</v>
      </c>
      <c r="G2480" s="15"/>
      <c r="H2480" s="15"/>
      <c r="I2480" s="15"/>
      <c r="J2480" s="22">
        <v>10214</v>
      </c>
      <c r="K2480" s="15" t="s">
        <v>4866</v>
      </c>
      <c r="L2480" s="17">
        <v>10</v>
      </c>
      <c r="M2480" s="17">
        <v>500</v>
      </c>
      <c r="N2480" s="17">
        <v>10</v>
      </c>
      <c r="O2480" s="18">
        <v>41.03</v>
      </c>
      <c r="P2480" s="18">
        <v>33.630000000000003</v>
      </c>
      <c r="Q2480" s="18">
        <v>37.340000000000003</v>
      </c>
      <c r="R2480" s="18">
        <v>30.61</v>
      </c>
      <c r="S2480" s="18">
        <v>27.9</v>
      </c>
      <c r="T2480" s="18">
        <v>22.87</v>
      </c>
      <c r="U2480" s="16"/>
      <c r="V2480" s="16"/>
      <c r="W2480" s="16" t="s">
        <v>40</v>
      </c>
      <c r="X2480" s="19">
        <v>3.4000000000000002E-2</v>
      </c>
      <c r="Y2480" s="20">
        <v>7.6000000000000004E-5</v>
      </c>
      <c r="Z2480" s="21">
        <v>4601004225299</v>
      </c>
    </row>
    <row r="2481" spans="1:26" ht="12" customHeight="1" outlineLevel="4" x14ac:dyDescent="0.2">
      <c r="A2481" s="14" t="s">
        <v>4873</v>
      </c>
      <c r="B2481" s="26" t="s">
        <v>4874</v>
      </c>
      <c r="C2481" s="52"/>
      <c r="D2481" s="55">
        <f t="shared" si="38"/>
        <v>0</v>
      </c>
      <c r="E2481" s="63" t="str">
        <f>HYPERLINK("https://www.sds-group.ru/product/izolenta-pvh-0-13h15mm-10m-sinyaya-kranz-KR-09-2005/", "Инфо")</f>
        <v>Инфо</v>
      </c>
      <c r="F2481" s="16" t="s">
        <v>4839</v>
      </c>
      <c r="G2481" s="15"/>
      <c r="H2481" s="15"/>
      <c r="I2481" s="15"/>
      <c r="J2481" s="16" t="s">
        <v>100</v>
      </c>
      <c r="K2481" s="15" t="s">
        <v>4863</v>
      </c>
      <c r="L2481" s="17">
        <v>10</v>
      </c>
      <c r="M2481" s="17">
        <v>500</v>
      </c>
      <c r="N2481" s="17">
        <v>10</v>
      </c>
      <c r="O2481" s="18">
        <v>41.03</v>
      </c>
      <c r="P2481" s="18">
        <v>33.630000000000003</v>
      </c>
      <c r="Q2481" s="18">
        <v>37.340000000000003</v>
      </c>
      <c r="R2481" s="18">
        <v>30.61</v>
      </c>
      <c r="S2481" s="18">
        <v>27.9</v>
      </c>
      <c r="T2481" s="18">
        <v>22.87</v>
      </c>
      <c r="U2481" s="16"/>
      <c r="V2481" s="16"/>
      <c r="W2481" s="16" t="s">
        <v>40</v>
      </c>
      <c r="X2481" s="19">
        <v>3.3000000000000002E-2</v>
      </c>
      <c r="Y2481" s="20">
        <v>7.2999999999999999E-5</v>
      </c>
      <c r="Z2481" s="21">
        <v>4601004225312</v>
      </c>
    </row>
    <row r="2482" spans="1:26" ht="12" customHeight="1" outlineLevel="4" x14ac:dyDescent="0.2">
      <c r="A2482" s="14" t="s">
        <v>4875</v>
      </c>
      <c r="B2482" s="26" t="s">
        <v>4876</v>
      </c>
      <c r="C2482" s="52"/>
      <c r="D2482" s="55">
        <f t="shared" si="38"/>
        <v>0</v>
      </c>
      <c r="E2482" s="63" t="str">
        <f>HYPERLINK("https://www.sds-group.ru/product/izolenta-pvh-0-13h15mm-10m-chernaya-kranz-KR-09-2006/", "Инфо")</f>
        <v>Инфо</v>
      </c>
      <c r="F2482" s="16" t="s">
        <v>4839</v>
      </c>
      <c r="G2482" s="15"/>
      <c r="H2482" s="15"/>
      <c r="I2482" s="15"/>
      <c r="J2482" s="22">
        <v>37717</v>
      </c>
      <c r="K2482" s="15" t="s">
        <v>4863</v>
      </c>
      <c r="L2482" s="17">
        <v>10</v>
      </c>
      <c r="M2482" s="17">
        <v>500</v>
      </c>
      <c r="N2482" s="17">
        <v>10</v>
      </c>
      <c r="O2482" s="18">
        <v>41.03</v>
      </c>
      <c r="P2482" s="18">
        <v>33.630000000000003</v>
      </c>
      <c r="Q2482" s="18">
        <v>37.340000000000003</v>
      </c>
      <c r="R2482" s="18">
        <v>30.61</v>
      </c>
      <c r="S2482" s="18">
        <v>27.9</v>
      </c>
      <c r="T2482" s="18">
        <v>22.87</v>
      </c>
      <c r="U2482" s="16"/>
      <c r="V2482" s="16"/>
      <c r="W2482" s="16" t="s">
        <v>40</v>
      </c>
      <c r="X2482" s="19">
        <v>3.4000000000000002E-2</v>
      </c>
      <c r="Y2482" s="20">
        <v>7.4999999999999993E-5</v>
      </c>
      <c r="Z2482" s="21">
        <v>4601004225336</v>
      </c>
    </row>
    <row r="2483" spans="1:26" ht="12" customHeight="1" outlineLevel="4" x14ac:dyDescent="0.2">
      <c r="A2483" s="14" t="s">
        <v>4877</v>
      </c>
      <c r="B2483" s="26" t="s">
        <v>4878</v>
      </c>
      <c r="C2483" s="52"/>
      <c r="D2483" s="55">
        <f t="shared" si="38"/>
        <v>0</v>
      </c>
      <c r="E2483" s="63" t="str">
        <f>HYPERLINK("https://www.sds-group.ru/product/izolenta-pvh-0-13h15mm-20m-belaya-kranz-KR-09-2601/", "Инфо")</f>
        <v>Инфо</v>
      </c>
      <c r="F2483" s="16" t="s">
        <v>4839</v>
      </c>
      <c r="G2483" s="15"/>
      <c r="H2483" s="15"/>
      <c r="I2483" s="15"/>
      <c r="J2483" s="22">
        <v>10085</v>
      </c>
      <c r="K2483" s="15" t="s">
        <v>4863</v>
      </c>
      <c r="L2483" s="17">
        <v>10</v>
      </c>
      <c r="M2483" s="17">
        <v>200</v>
      </c>
      <c r="N2483" s="17">
        <v>10</v>
      </c>
      <c r="O2483" s="18">
        <v>69.42</v>
      </c>
      <c r="P2483" s="18">
        <v>56.9</v>
      </c>
      <c r="Q2483" s="18">
        <v>63.17</v>
      </c>
      <c r="R2483" s="18">
        <v>51.78</v>
      </c>
      <c r="S2483" s="18">
        <v>47.21</v>
      </c>
      <c r="T2483" s="18">
        <v>38.700000000000003</v>
      </c>
      <c r="U2483" s="16"/>
      <c r="V2483" s="16"/>
      <c r="W2483" s="16" t="s">
        <v>40</v>
      </c>
      <c r="X2483" s="19">
        <v>5.1999999999999998E-2</v>
      </c>
      <c r="Y2483" s="20">
        <v>9.6000000000000002E-5</v>
      </c>
      <c r="Z2483" s="21">
        <v>4601004225350</v>
      </c>
    </row>
    <row r="2484" spans="1:26" ht="12" customHeight="1" outlineLevel="4" x14ac:dyDescent="0.2">
      <c r="A2484" s="14" t="s">
        <v>4879</v>
      </c>
      <c r="B2484" s="26" t="s">
        <v>4880</v>
      </c>
      <c r="C2484" s="52"/>
      <c r="D2484" s="55">
        <f t="shared" si="38"/>
        <v>0</v>
      </c>
      <c r="E2484" s="63" t="str">
        <f>HYPERLINK("https://www.sds-group.ru/product/izolenta-pvh-0-13h15mm-20m-zheltaya-kranz-KR-09-2602/", "Инфо")</f>
        <v>Инфо</v>
      </c>
      <c r="F2484" s="16" t="s">
        <v>4839</v>
      </c>
      <c r="G2484" s="15"/>
      <c r="H2484" s="15"/>
      <c r="I2484" s="15"/>
      <c r="J2484" s="22">
        <v>6575</v>
      </c>
      <c r="K2484" s="15" t="s">
        <v>4866</v>
      </c>
      <c r="L2484" s="17">
        <v>10</v>
      </c>
      <c r="M2484" s="17">
        <v>200</v>
      </c>
      <c r="N2484" s="17">
        <v>10</v>
      </c>
      <c r="O2484" s="18">
        <v>69.42</v>
      </c>
      <c r="P2484" s="18">
        <v>56.9</v>
      </c>
      <c r="Q2484" s="18">
        <v>63.17</v>
      </c>
      <c r="R2484" s="18">
        <v>51.78</v>
      </c>
      <c r="S2484" s="18">
        <v>47.21</v>
      </c>
      <c r="T2484" s="18">
        <v>38.700000000000003</v>
      </c>
      <c r="U2484" s="16"/>
      <c r="V2484" s="16"/>
      <c r="W2484" s="16" t="s">
        <v>40</v>
      </c>
      <c r="X2484" s="19">
        <v>0.05</v>
      </c>
      <c r="Y2484" s="20">
        <v>9.2999999999999997E-5</v>
      </c>
      <c r="Z2484" s="21">
        <v>4601004225374</v>
      </c>
    </row>
    <row r="2485" spans="1:26" ht="12" customHeight="1" outlineLevel="4" x14ac:dyDescent="0.2">
      <c r="A2485" s="14" t="s">
        <v>4881</v>
      </c>
      <c r="B2485" s="26" t="s">
        <v>4882</v>
      </c>
      <c r="C2485" s="52"/>
      <c r="D2485" s="55">
        <f t="shared" si="38"/>
        <v>0</v>
      </c>
      <c r="E2485" s="63" t="str">
        <f>HYPERLINK("https://www.sds-group.ru/product/izolenta-pvh-0-13h15mm-20m-zelenaya-kranz-KR-09-2603/", "Инфо")</f>
        <v>Инфо</v>
      </c>
      <c r="F2485" s="16" t="s">
        <v>4839</v>
      </c>
      <c r="G2485" s="15"/>
      <c r="H2485" s="15"/>
      <c r="I2485" s="15"/>
      <c r="J2485" s="22">
        <v>6375</v>
      </c>
      <c r="K2485" s="15" t="s">
        <v>4866</v>
      </c>
      <c r="L2485" s="17">
        <v>10</v>
      </c>
      <c r="M2485" s="17">
        <v>200</v>
      </c>
      <c r="N2485" s="17">
        <v>10</v>
      </c>
      <c r="O2485" s="18">
        <v>69.42</v>
      </c>
      <c r="P2485" s="18">
        <v>56.9</v>
      </c>
      <c r="Q2485" s="18">
        <v>63.17</v>
      </c>
      <c r="R2485" s="18">
        <v>51.78</v>
      </c>
      <c r="S2485" s="18">
        <v>47.21</v>
      </c>
      <c r="T2485" s="18">
        <v>38.700000000000003</v>
      </c>
      <c r="U2485" s="16"/>
      <c r="V2485" s="16"/>
      <c r="W2485" s="16" t="s">
        <v>40</v>
      </c>
      <c r="X2485" s="19">
        <v>5.0999999999999997E-2</v>
      </c>
      <c r="Y2485" s="20">
        <v>9.8999999999999994E-5</v>
      </c>
      <c r="Z2485" s="21">
        <v>4601004225398</v>
      </c>
    </row>
    <row r="2486" spans="1:26" ht="12" customHeight="1" outlineLevel="4" x14ac:dyDescent="0.2">
      <c r="A2486" s="14" t="s">
        <v>4883</v>
      </c>
      <c r="B2486" s="26" t="s">
        <v>4884</v>
      </c>
      <c r="C2486" s="52"/>
      <c r="D2486" s="55">
        <f t="shared" si="38"/>
        <v>0</v>
      </c>
      <c r="E2486" s="63" t="str">
        <f>HYPERLINK("https://www.sds-group.ru/product/izolenta-pvh-0-13h15mm-20m-krasnaya-kranz-KR-09-2604/", "Инфо")</f>
        <v>Инфо</v>
      </c>
      <c r="F2486" s="16" t="s">
        <v>4839</v>
      </c>
      <c r="G2486" s="15"/>
      <c r="H2486" s="15"/>
      <c r="I2486" s="15"/>
      <c r="J2486" s="22">
        <v>5040</v>
      </c>
      <c r="K2486" s="15" t="s">
        <v>4866</v>
      </c>
      <c r="L2486" s="17">
        <v>10</v>
      </c>
      <c r="M2486" s="17">
        <v>200</v>
      </c>
      <c r="N2486" s="17">
        <v>10</v>
      </c>
      <c r="O2486" s="18">
        <v>69.42</v>
      </c>
      <c r="P2486" s="18">
        <v>56.9</v>
      </c>
      <c r="Q2486" s="18">
        <v>63.17</v>
      </c>
      <c r="R2486" s="18">
        <v>51.78</v>
      </c>
      <c r="S2486" s="18">
        <v>47.21</v>
      </c>
      <c r="T2486" s="18">
        <v>38.700000000000003</v>
      </c>
      <c r="U2486" s="16"/>
      <c r="V2486" s="16"/>
      <c r="W2486" s="16" t="s">
        <v>40</v>
      </c>
      <c r="X2486" s="19">
        <v>5.0999999999999997E-2</v>
      </c>
      <c r="Y2486" s="20">
        <v>9.5000000000000005E-5</v>
      </c>
      <c r="Z2486" s="21">
        <v>4601004225411</v>
      </c>
    </row>
    <row r="2487" spans="1:26" ht="12" customHeight="1" outlineLevel="4" x14ac:dyDescent="0.2">
      <c r="A2487" s="14" t="s">
        <v>4885</v>
      </c>
      <c r="B2487" s="26" t="s">
        <v>4886</v>
      </c>
      <c r="C2487" s="52"/>
      <c r="D2487" s="55">
        <f t="shared" si="38"/>
        <v>0</v>
      </c>
      <c r="E2487" s="63" t="str">
        <f>HYPERLINK("https://www.sds-group.ru/product/izolenta-pvh-0-13h15mm-20m-sinyaya-kranz-KR-09-2605/", "Инфо")</f>
        <v>Инфо</v>
      </c>
      <c r="F2487" s="16" t="s">
        <v>4839</v>
      </c>
      <c r="G2487" s="15"/>
      <c r="H2487" s="15"/>
      <c r="I2487" s="15"/>
      <c r="J2487" s="16" t="s">
        <v>100</v>
      </c>
      <c r="K2487" s="15" t="s">
        <v>4863</v>
      </c>
      <c r="L2487" s="17">
        <v>10</v>
      </c>
      <c r="M2487" s="17">
        <v>200</v>
      </c>
      <c r="N2487" s="17">
        <v>10</v>
      </c>
      <c r="O2487" s="18">
        <v>69.42</v>
      </c>
      <c r="P2487" s="18">
        <v>56.9</v>
      </c>
      <c r="Q2487" s="18">
        <v>63.17</v>
      </c>
      <c r="R2487" s="18">
        <v>51.78</v>
      </c>
      <c r="S2487" s="18">
        <v>47.21</v>
      </c>
      <c r="T2487" s="18">
        <v>38.700000000000003</v>
      </c>
      <c r="U2487" s="16"/>
      <c r="V2487" s="16"/>
      <c r="W2487" s="16" t="s">
        <v>40</v>
      </c>
      <c r="X2487" s="19">
        <v>0.05</v>
      </c>
      <c r="Y2487" s="20">
        <v>9.7999999999999997E-5</v>
      </c>
      <c r="Z2487" s="21">
        <v>4601004225435</v>
      </c>
    </row>
    <row r="2488" spans="1:26" ht="12" customHeight="1" outlineLevel="4" x14ac:dyDescent="0.2">
      <c r="A2488" s="14" t="s">
        <v>4887</v>
      </c>
      <c r="B2488" s="26" t="s">
        <v>4888</v>
      </c>
      <c r="C2488" s="52"/>
      <c r="D2488" s="55">
        <f t="shared" si="38"/>
        <v>0</v>
      </c>
      <c r="E2488" s="63" t="str">
        <f>HYPERLINK("https://www.sds-group.ru/product/izolenta-pvh-0-13h15mm-20m-chernaya-kranz-KR-09-2606/", "Инфо")</f>
        <v>Инфо</v>
      </c>
      <c r="F2488" s="16" t="s">
        <v>4839</v>
      </c>
      <c r="G2488" s="15"/>
      <c r="H2488" s="15"/>
      <c r="I2488" s="15"/>
      <c r="J2488" s="22">
        <v>12896</v>
      </c>
      <c r="K2488" s="15" t="s">
        <v>4863</v>
      </c>
      <c r="L2488" s="17">
        <v>10</v>
      </c>
      <c r="M2488" s="17">
        <v>200</v>
      </c>
      <c r="N2488" s="17">
        <v>10</v>
      </c>
      <c r="O2488" s="18">
        <v>69.42</v>
      </c>
      <c r="P2488" s="18">
        <v>56.9</v>
      </c>
      <c r="Q2488" s="18">
        <v>63.17</v>
      </c>
      <c r="R2488" s="18">
        <v>51.78</v>
      </c>
      <c r="S2488" s="18">
        <v>47.21</v>
      </c>
      <c r="T2488" s="18">
        <v>38.700000000000003</v>
      </c>
      <c r="U2488" s="16"/>
      <c r="V2488" s="16"/>
      <c r="W2488" s="16" t="s">
        <v>40</v>
      </c>
      <c r="X2488" s="19">
        <v>0.05</v>
      </c>
      <c r="Y2488" s="20">
        <v>9.6000000000000002E-5</v>
      </c>
      <c r="Z2488" s="21">
        <v>4601004225459</v>
      </c>
    </row>
    <row r="2489" spans="1:26" ht="12" customHeight="1" outlineLevel="4" x14ac:dyDescent="0.2">
      <c r="A2489" s="14" t="s">
        <v>4889</v>
      </c>
      <c r="B2489" s="26" t="s">
        <v>4890</v>
      </c>
      <c r="C2489" s="52"/>
      <c r="D2489" s="55">
        <f t="shared" si="38"/>
        <v>0</v>
      </c>
      <c r="E2489" s="63" t="str">
        <f>HYPERLINK("https://www.sds-group.ru/product/izolenta-pvh-0-13h15mm-25m-belaya-kranz-KR-09-2101/", "Инфо")</f>
        <v>Инфо</v>
      </c>
      <c r="F2489" s="16" t="s">
        <v>4839</v>
      </c>
      <c r="G2489" s="15"/>
      <c r="H2489" s="15"/>
      <c r="I2489" s="15"/>
      <c r="J2489" s="22">
        <v>11666</v>
      </c>
      <c r="K2489" s="15"/>
      <c r="L2489" s="17">
        <v>5</v>
      </c>
      <c r="M2489" s="17">
        <v>200</v>
      </c>
      <c r="N2489" s="17">
        <v>5</v>
      </c>
      <c r="O2489" s="18">
        <v>78.16</v>
      </c>
      <c r="P2489" s="18">
        <v>64.069999999999993</v>
      </c>
      <c r="Q2489" s="18">
        <v>71.13</v>
      </c>
      <c r="R2489" s="18">
        <v>58.3</v>
      </c>
      <c r="S2489" s="18">
        <v>53.15</v>
      </c>
      <c r="T2489" s="18">
        <v>43.57</v>
      </c>
      <c r="U2489" s="16"/>
      <c r="V2489" s="16"/>
      <c r="W2489" s="16" t="s">
        <v>40</v>
      </c>
      <c r="X2489" s="19">
        <v>6.3E-2</v>
      </c>
      <c r="Y2489" s="20">
        <v>1.11E-4</v>
      </c>
      <c r="Z2489" s="21">
        <v>4601004225954</v>
      </c>
    </row>
    <row r="2490" spans="1:26" ht="12" customHeight="1" outlineLevel="4" x14ac:dyDescent="0.2">
      <c r="A2490" s="14" t="s">
        <v>4891</v>
      </c>
      <c r="B2490" s="26" t="s">
        <v>4892</v>
      </c>
      <c r="C2490" s="52"/>
      <c r="D2490" s="55">
        <f t="shared" si="38"/>
        <v>0</v>
      </c>
      <c r="E2490" s="63" t="str">
        <f>HYPERLINK("https://www.sds-group.ru/product/izolenta-pvh-0-13h15-mm-25-m-zheltaya-kranz-KR-09-2102/", "Инфо")</f>
        <v>Инфо</v>
      </c>
      <c r="F2490" s="16" t="s">
        <v>4839</v>
      </c>
      <c r="G2490" s="15"/>
      <c r="H2490" s="15"/>
      <c r="I2490" s="15"/>
      <c r="J2490" s="17">
        <v>226</v>
      </c>
      <c r="K2490" s="15" t="s">
        <v>4863</v>
      </c>
      <c r="L2490" s="17">
        <v>5</v>
      </c>
      <c r="M2490" s="17">
        <v>200</v>
      </c>
      <c r="N2490" s="17">
        <v>5</v>
      </c>
      <c r="O2490" s="18">
        <v>78.16</v>
      </c>
      <c r="P2490" s="18">
        <v>64.069999999999993</v>
      </c>
      <c r="Q2490" s="18">
        <v>71.13</v>
      </c>
      <c r="R2490" s="18">
        <v>58.3</v>
      </c>
      <c r="S2490" s="18">
        <v>53.15</v>
      </c>
      <c r="T2490" s="18">
        <v>43.57</v>
      </c>
      <c r="U2490" s="16"/>
      <c r="V2490" s="16"/>
      <c r="W2490" s="16" t="s">
        <v>40</v>
      </c>
      <c r="X2490" s="19">
        <v>6.4000000000000001E-2</v>
      </c>
      <c r="Y2490" s="20">
        <v>1.13E-4</v>
      </c>
      <c r="Z2490" s="21">
        <v>4601004225657</v>
      </c>
    </row>
    <row r="2491" spans="1:26" ht="12" customHeight="1" outlineLevel="4" x14ac:dyDescent="0.2">
      <c r="A2491" s="14" t="s">
        <v>4893</v>
      </c>
      <c r="B2491" s="26" t="s">
        <v>4894</v>
      </c>
      <c r="C2491" s="52"/>
      <c r="D2491" s="55">
        <f t="shared" si="38"/>
        <v>0</v>
      </c>
      <c r="E2491" s="63" t="str">
        <f>HYPERLINK("https://www.sds-group.ru/product/izolenta-pvh-0-13h15mm-25m-zhelto-zelenaya-kranz-KR-09-2107/", "Инфо")</f>
        <v>Инфо</v>
      </c>
      <c r="F2491" s="16" t="s">
        <v>4839</v>
      </c>
      <c r="G2491" s="15"/>
      <c r="H2491" s="15"/>
      <c r="I2491" s="15"/>
      <c r="J2491" s="22">
        <v>2165</v>
      </c>
      <c r="K2491" s="15" t="s">
        <v>4863</v>
      </c>
      <c r="L2491" s="17">
        <v>5</v>
      </c>
      <c r="M2491" s="17">
        <v>200</v>
      </c>
      <c r="N2491" s="17">
        <v>5</v>
      </c>
      <c r="O2491" s="18">
        <v>86.23</v>
      </c>
      <c r="P2491" s="18">
        <v>70.680000000000007</v>
      </c>
      <c r="Q2491" s="18">
        <v>78.47</v>
      </c>
      <c r="R2491" s="18">
        <v>64.319999999999993</v>
      </c>
      <c r="S2491" s="18">
        <v>58.64</v>
      </c>
      <c r="T2491" s="18">
        <v>48.07</v>
      </c>
      <c r="U2491" s="16"/>
      <c r="V2491" s="16"/>
      <c r="W2491" s="16" t="s">
        <v>40</v>
      </c>
      <c r="X2491" s="19">
        <v>6.4000000000000001E-2</v>
      </c>
      <c r="Y2491" s="20">
        <v>1.12E-4</v>
      </c>
      <c r="Z2491" s="21">
        <v>4601004225671</v>
      </c>
    </row>
    <row r="2492" spans="1:26" ht="12" customHeight="1" outlineLevel="4" x14ac:dyDescent="0.2">
      <c r="A2492" s="14" t="s">
        <v>4895</v>
      </c>
      <c r="B2492" s="26" t="s">
        <v>4896</v>
      </c>
      <c r="C2492" s="52"/>
      <c r="D2492" s="55">
        <f t="shared" si="38"/>
        <v>0</v>
      </c>
      <c r="E2492" s="63" t="str">
        <f>HYPERLINK("https://www.sds-group.ru/product/izolenta-pvh-0-13h15mm-25m-zelenaya-kranz-KR-09-2103/", "Инфо")</f>
        <v>Инфо</v>
      </c>
      <c r="F2492" s="16" t="s">
        <v>4839</v>
      </c>
      <c r="G2492" s="15"/>
      <c r="H2492" s="15"/>
      <c r="I2492" s="15"/>
      <c r="J2492" s="17">
        <v>207</v>
      </c>
      <c r="K2492" s="15" t="s">
        <v>4866</v>
      </c>
      <c r="L2492" s="17">
        <v>5</v>
      </c>
      <c r="M2492" s="17">
        <v>200</v>
      </c>
      <c r="N2492" s="17">
        <v>5</v>
      </c>
      <c r="O2492" s="18">
        <v>78.16</v>
      </c>
      <c r="P2492" s="18">
        <v>64.069999999999993</v>
      </c>
      <c r="Q2492" s="18">
        <v>71.13</v>
      </c>
      <c r="R2492" s="18">
        <v>58.3</v>
      </c>
      <c r="S2492" s="18">
        <v>53.15</v>
      </c>
      <c r="T2492" s="18">
        <v>43.57</v>
      </c>
      <c r="U2492" s="16"/>
      <c r="V2492" s="16"/>
      <c r="W2492" s="16" t="s">
        <v>40</v>
      </c>
      <c r="X2492" s="19">
        <v>6.4000000000000001E-2</v>
      </c>
      <c r="Y2492" s="20">
        <v>1.15E-4</v>
      </c>
      <c r="Z2492" s="21">
        <v>4601004225695</v>
      </c>
    </row>
    <row r="2493" spans="1:26" ht="12" customHeight="1" outlineLevel="4" x14ac:dyDescent="0.2">
      <c r="A2493" s="14" t="s">
        <v>4897</v>
      </c>
      <c r="B2493" s="26" t="s">
        <v>4898</v>
      </c>
      <c r="C2493" s="52"/>
      <c r="D2493" s="55">
        <f t="shared" si="38"/>
        <v>0</v>
      </c>
      <c r="E2493" s="63" t="str">
        <f>HYPERLINK("https://www.sds-group.ru/product/izolenta-pvh-0-13h15mm-25m-krasnaya-kranz-KR-09-2104/", "Инфо")</f>
        <v>Инфо</v>
      </c>
      <c r="F2493" s="16" t="s">
        <v>4839</v>
      </c>
      <c r="G2493" s="15"/>
      <c r="H2493" s="15"/>
      <c r="I2493" s="15"/>
      <c r="J2493" s="22">
        <v>3155</v>
      </c>
      <c r="K2493" s="15" t="s">
        <v>4899</v>
      </c>
      <c r="L2493" s="17">
        <v>5</v>
      </c>
      <c r="M2493" s="17">
        <v>200</v>
      </c>
      <c r="N2493" s="17">
        <v>5</v>
      </c>
      <c r="O2493" s="18">
        <v>78.16</v>
      </c>
      <c r="P2493" s="18">
        <v>64.069999999999993</v>
      </c>
      <c r="Q2493" s="18">
        <v>71.13</v>
      </c>
      <c r="R2493" s="18">
        <v>58.3</v>
      </c>
      <c r="S2493" s="18">
        <v>53.15</v>
      </c>
      <c r="T2493" s="18">
        <v>43.57</v>
      </c>
      <c r="U2493" s="16"/>
      <c r="V2493" s="16"/>
      <c r="W2493" s="16" t="s">
        <v>40</v>
      </c>
      <c r="X2493" s="19">
        <v>6.3E-2</v>
      </c>
      <c r="Y2493" s="20">
        <v>1.0900000000000001E-4</v>
      </c>
      <c r="Z2493" s="21">
        <v>4601004225718</v>
      </c>
    </row>
    <row r="2494" spans="1:26" ht="12" customHeight="1" outlineLevel="4" x14ac:dyDescent="0.2">
      <c r="A2494" s="14" t="s">
        <v>4900</v>
      </c>
      <c r="B2494" s="26" t="s">
        <v>4901</v>
      </c>
      <c r="C2494" s="52"/>
      <c r="D2494" s="55">
        <f t="shared" si="38"/>
        <v>0</v>
      </c>
      <c r="E2494" s="63" t="str">
        <f>HYPERLINK("https://www.sds-group.ru/product/izolenta-pvh-0-13h15mm-25m-seraya-kranz-KR-09-2108/", "Инфо")</f>
        <v>Инфо</v>
      </c>
      <c r="F2494" s="16" t="s">
        <v>4839</v>
      </c>
      <c r="G2494" s="15"/>
      <c r="H2494" s="15"/>
      <c r="I2494" s="15"/>
      <c r="J2494" s="22">
        <v>10232</v>
      </c>
      <c r="K2494" s="15" t="s">
        <v>4866</v>
      </c>
      <c r="L2494" s="17">
        <v>5</v>
      </c>
      <c r="M2494" s="17">
        <v>200</v>
      </c>
      <c r="N2494" s="17">
        <v>5</v>
      </c>
      <c r="O2494" s="18">
        <v>78.16</v>
      </c>
      <c r="P2494" s="18">
        <v>64.069999999999993</v>
      </c>
      <c r="Q2494" s="18">
        <v>71.13</v>
      </c>
      <c r="R2494" s="18">
        <v>58.3</v>
      </c>
      <c r="S2494" s="18">
        <v>53.15</v>
      </c>
      <c r="T2494" s="18">
        <v>43.57</v>
      </c>
      <c r="U2494" s="16"/>
      <c r="V2494" s="16"/>
      <c r="W2494" s="16" t="s">
        <v>40</v>
      </c>
      <c r="X2494" s="19">
        <v>6.3E-2</v>
      </c>
      <c r="Y2494" s="20">
        <v>1.1400000000000001E-4</v>
      </c>
      <c r="Z2494" s="21">
        <v>4601004225732</v>
      </c>
    </row>
    <row r="2495" spans="1:26" ht="12" customHeight="1" outlineLevel="4" x14ac:dyDescent="0.2">
      <c r="A2495" s="14" t="s">
        <v>4902</v>
      </c>
      <c r="B2495" s="26" t="s">
        <v>4903</v>
      </c>
      <c r="C2495" s="52"/>
      <c r="D2495" s="55">
        <f t="shared" si="38"/>
        <v>0</v>
      </c>
      <c r="E2495" s="63" t="str">
        <f>HYPERLINK("https://www.sds-group.ru/product/izolenta-pvh-0-13h15mm-25m-sinyaya-kranz-KR-09-2105/", "Инфо")</f>
        <v>Инфо</v>
      </c>
      <c r="F2495" s="16" t="s">
        <v>4839</v>
      </c>
      <c r="G2495" s="15"/>
      <c r="H2495" s="15"/>
      <c r="I2495" s="15"/>
      <c r="J2495" s="22">
        <v>7720</v>
      </c>
      <c r="K2495" s="15" t="s">
        <v>4866</v>
      </c>
      <c r="L2495" s="17">
        <v>5</v>
      </c>
      <c r="M2495" s="17">
        <v>200</v>
      </c>
      <c r="N2495" s="17">
        <v>5</v>
      </c>
      <c r="O2495" s="18">
        <v>78.16</v>
      </c>
      <c r="P2495" s="18">
        <v>64.069999999999993</v>
      </c>
      <c r="Q2495" s="18">
        <v>71.13</v>
      </c>
      <c r="R2495" s="18">
        <v>58.3</v>
      </c>
      <c r="S2495" s="18">
        <v>53.15</v>
      </c>
      <c r="T2495" s="18">
        <v>43.57</v>
      </c>
      <c r="U2495" s="16"/>
      <c r="V2495" s="16"/>
      <c r="W2495" s="16" t="s">
        <v>40</v>
      </c>
      <c r="X2495" s="19">
        <v>6.4000000000000001E-2</v>
      </c>
      <c r="Y2495" s="20">
        <v>1.08E-4</v>
      </c>
      <c r="Z2495" s="21">
        <v>4601004225756</v>
      </c>
    </row>
    <row r="2496" spans="1:26" ht="12" customHeight="1" outlineLevel="4" x14ac:dyDescent="0.2">
      <c r="A2496" s="14" t="s">
        <v>4904</v>
      </c>
      <c r="B2496" s="26" t="s">
        <v>4905</v>
      </c>
      <c r="C2496" s="52"/>
      <c r="D2496" s="55">
        <f t="shared" si="38"/>
        <v>0</v>
      </c>
      <c r="E2496" s="63" t="str">
        <f>HYPERLINK("https://www.sds-group.ru/product/izolenta-pvh-0-13h15mm-25m-chernaya-kranz-KR-09-2106/", "Инфо")</f>
        <v>Инфо</v>
      </c>
      <c r="F2496" s="16" t="s">
        <v>4839</v>
      </c>
      <c r="G2496" s="15"/>
      <c r="H2496" s="15"/>
      <c r="I2496" s="15"/>
      <c r="J2496" s="22">
        <v>14122</v>
      </c>
      <c r="K2496" s="15" t="s">
        <v>4863</v>
      </c>
      <c r="L2496" s="17">
        <v>5</v>
      </c>
      <c r="M2496" s="17">
        <v>200</v>
      </c>
      <c r="N2496" s="17">
        <v>5</v>
      </c>
      <c r="O2496" s="18">
        <v>78.16</v>
      </c>
      <c r="P2496" s="18">
        <v>64.069999999999993</v>
      </c>
      <c r="Q2496" s="18">
        <v>71.13</v>
      </c>
      <c r="R2496" s="18">
        <v>58.3</v>
      </c>
      <c r="S2496" s="18">
        <v>53.15</v>
      </c>
      <c r="T2496" s="18">
        <v>43.57</v>
      </c>
      <c r="U2496" s="16"/>
      <c r="V2496" s="16"/>
      <c r="W2496" s="16" t="s">
        <v>40</v>
      </c>
      <c r="X2496" s="19">
        <v>6.4000000000000001E-2</v>
      </c>
      <c r="Y2496" s="20">
        <v>1.1400000000000001E-4</v>
      </c>
      <c r="Z2496" s="21">
        <v>4601004225770</v>
      </c>
    </row>
    <row r="2497" spans="1:26" ht="12" customHeight="1" outlineLevel="4" x14ac:dyDescent="0.2">
      <c r="A2497" s="14" t="s">
        <v>4906</v>
      </c>
      <c r="B2497" s="26" t="s">
        <v>4907</v>
      </c>
      <c r="C2497" s="52"/>
      <c r="D2497" s="55">
        <f t="shared" si="38"/>
        <v>0</v>
      </c>
      <c r="E2497" s="63" t="str">
        <f>HYPERLINK("https://www.sds-group.ru/product/izolenta-pvh-0-13h19mm-25m-belaya-kranz-KR-09-2201/", "Инфо")</f>
        <v>Инфо</v>
      </c>
      <c r="F2497" s="16" t="s">
        <v>4839</v>
      </c>
      <c r="G2497" s="15"/>
      <c r="H2497" s="15"/>
      <c r="I2497" s="15"/>
      <c r="J2497" s="22">
        <v>36561</v>
      </c>
      <c r="K2497" s="15" t="s">
        <v>4866</v>
      </c>
      <c r="L2497" s="17">
        <v>5</v>
      </c>
      <c r="M2497" s="17">
        <v>200</v>
      </c>
      <c r="N2497" s="17">
        <v>5</v>
      </c>
      <c r="O2497" s="18">
        <v>106.41</v>
      </c>
      <c r="P2497" s="18">
        <v>87.22</v>
      </c>
      <c r="Q2497" s="18">
        <v>96.83</v>
      </c>
      <c r="R2497" s="18">
        <v>79.37</v>
      </c>
      <c r="S2497" s="18">
        <v>72.36</v>
      </c>
      <c r="T2497" s="18">
        <v>59.31</v>
      </c>
      <c r="U2497" s="16"/>
      <c r="V2497" s="16"/>
      <c r="W2497" s="16" t="s">
        <v>40</v>
      </c>
      <c r="X2497" s="19">
        <v>7.5999999999999998E-2</v>
      </c>
      <c r="Y2497" s="20">
        <v>1.35E-4</v>
      </c>
      <c r="Z2497" s="21">
        <v>4601004225794</v>
      </c>
    </row>
    <row r="2498" spans="1:26" ht="12" customHeight="1" outlineLevel="4" x14ac:dyDescent="0.2">
      <c r="A2498" s="14" t="s">
        <v>4908</v>
      </c>
      <c r="B2498" s="26" t="s">
        <v>4909</v>
      </c>
      <c r="C2498" s="52"/>
      <c r="D2498" s="55">
        <f t="shared" si="38"/>
        <v>0</v>
      </c>
      <c r="E2498" s="63" t="str">
        <f>HYPERLINK("https://www.sds-group.ru/product/izolenta-pvh-0-13h19mm-25m-zheltaya-kranz-KR-09-2202/", "Инфо")</f>
        <v>Инфо</v>
      </c>
      <c r="F2498" s="16" t="s">
        <v>4839</v>
      </c>
      <c r="G2498" s="15"/>
      <c r="H2498" s="15"/>
      <c r="I2498" s="15"/>
      <c r="J2498" s="22">
        <v>6892</v>
      </c>
      <c r="K2498" s="15" t="s">
        <v>4866</v>
      </c>
      <c r="L2498" s="17">
        <v>5</v>
      </c>
      <c r="M2498" s="17">
        <v>200</v>
      </c>
      <c r="N2498" s="17">
        <v>5</v>
      </c>
      <c r="O2498" s="18">
        <v>106.41</v>
      </c>
      <c r="P2498" s="18">
        <v>87.22</v>
      </c>
      <c r="Q2498" s="18">
        <v>96.83</v>
      </c>
      <c r="R2498" s="18">
        <v>79.37</v>
      </c>
      <c r="S2498" s="18">
        <v>72.36</v>
      </c>
      <c r="T2498" s="18">
        <v>59.31</v>
      </c>
      <c r="U2498" s="16"/>
      <c r="V2498" s="16"/>
      <c r="W2498" s="16" t="s">
        <v>40</v>
      </c>
      <c r="X2498" s="19">
        <v>7.6999999999999999E-2</v>
      </c>
      <c r="Y2498" s="20">
        <v>1.36E-4</v>
      </c>
      <c r="Z2498" s="21">
        <v>4601004225817</v>
      </c>
    </row>
    <row r="2499" spans="1:26" ht="12" customHeight="1" outlineLevel="4" x14ac:dyDescent="0.2">
      <c r="A2499" s="14" t="s">
        <v>4910</v>
      </c>
      <c r="B2499" s="26" t="s">
        <v>4911</v>
      </c>
      <c r="C2499" s="52"/>
      <c r="D2499" s="55">
        <f t="shared" si="38"/>
        <v>0</v>
      </c>
      <c r="E2499" s="63" t="str">
        <f>HYPERLINK("https://www.sds-group.ru/product/izolenta-pvh-0-13h19mm-25m-zhelto-zelenaya-kranz-KR-09-2207/", "Инфо")</f>
        <v>Инфо</v>
      </c>
      <c r="F2499" s="16" t="s">
        <v>4839</v>
      </c>
      <c r="G2499" s="15"/>
      <c r="H2499" s="15"/>
      <c r="I2499" s="15"/>
      <c r="J2499" s="22">
        <v>9401</v>
      </c>
      <c r="K2499" s="15" t="s">
        <v>4866</v>
      </c>
      <c r="L2499" s="17">
        <v>5</v>
      </c>
      <c r="M2499" s="17">
        <v>200</v>
      </c>
      <c r="N2499" s="17">
        <v>5</v>
      </c>
      <c r="O2499" s="18">
        <v>117.45</v>
      </c>
      <c r="P2499" s="18">
        <v>96.27</v>
      </c>
      <c r="Q2499" s="18">
        <v>106.88</v>
      </c>
      <c r="R2499" s="18">
        <v>87.61</v>
      </c>
      <c r="S2499" s="18">
        <v>79.87</v>
      </c>
      <c r="T2499" s="18">
        <v>65.47</v>
      </c>
      <c r="U2499" s="16"/>
      <c r="V2499" s="16"/>
      <c r="W2499" s="16" t="s">
        <v>40</v>
      </c>
      <c r="X2499" s="19">
        <v>7.5999999999999998E-2</v>
      </c>
      <c r="Y2499" s="20">
        <v>1.2999999999999999E-4</v>
      </c>
      <c r="Z2499" s="21">
        <v>4601004225831</v>
      </c>
    </row>
    <row r="2500" spans="1:26" ht="12" customHeight="1" outlineLevel="4" x14ac:dyDescent="0.2">
      <c r="A2500" s="14" t="s">
        <v>4912</v>
      </c>
      <c r="B2500" s="26" t="s">
        <v>4913</v>
      </c>
      <c r="C2500" s="52"/>
      <c r="D2500" s="55">
        <f t="shared" si="38"/>
        <v>0</v>
      </c>
      <c r="E2500" s="63" t="str">
        <f>HYPERLINK("https://www.sds-group.ru/product/izolenta-pvh-0-13h19mm-25m-zelenaya-kranz-KR-09-2203/", "Инфо")</f>
        <v>Инфо</v>
      </c>
      <c r="F2500" s="16" t="s">
        <v>4839</v>
      </c>
      <c r="G2500" s="15"/>
      <c r="H2500" s="15"/>
      <c r="I2500" s="15"/>
      <c r="J2500" s="22">
        <v>5360</v>
      </c>
      <c r="K2500" s="15" t="s">
        <v>4866</v>
      </c>
      <c r="L2500" s="17">
        <v>5</v>
      </c>
      <c r="M2500" s="17">
        <v>200</v>
      </c>
      <c r="N2500" s="17">
        <v>5</v>
      </c>
      <c r="O2500" s="18">
        <v>106.41</v>
      </c>
      <c r="P2500" s="18">
        <v>87.22</v>
      </c>
      <c r="Q2500" s="18">
        <v>96.83</v>
      </c>
      <c r="R2500" s="18">
        <v>79.37</v>
      </c>
      <c r="S2500" s="18">
        <v>72.36</v>
      </c>
      <c r="T2500" s="18">
        <v>59.31</v>
      </c>
      <c r="U2500" s="16"/>
      <c r="V2500" s="16"/>
      <c r="W2500" s="16" t="s">
        <v>40</v>
      </c>
      <c r="X2500" s="19">
        <v>7.6999999999999999E-2</v>
      </c>
      <c r="Y2500" s="20">
        <v>1.26E-4</v>
      </c>
      <c r="Z2500" s="21">
        <v>4601004225855</v>
      </c>
    </row>
    <row r="2501" spans="1:26" ht="12" customHeight="1" outlineLevel="4" x14ac:dyDescent="0.2">
      <c r="A2501" s="14" t="s">
        <v>4914</v>
      </c>
      <c r="B2501" s="26" t="s">
        <v>4915</v>
      </c>
      <c r="C2501" s="52"/>
      <c r="D2501" s="55">
        <f t="shared" si="38"/>
        <v>0</v>
      </c>
      <c r="E2501" s="63" t="str">
        <f>HYPERLINK("https://www.sds-group.ru/product/izolenta-pvh-0-13h19mm-25m-krasnaya-kranz-KR-09-2204/", "Инфо")</f>
        <v>Инфо</v>
      </c>
      <c r="F2501" s="16" t="s">
        <v>4839</v>
      </c>
      <c r="G2501" s="15"/>
      <c r="H2501" s="15"/>
      <c r="I2501" s="15"/>
      <c r="J2501" s="22">
        <v>7985</v>
      </c>
      <c r="K2501" s="15" t="s">
        <v>4866</v>
      </c>
      <c r="L2501" s="17">
        <v>5</v>
      </c>
      <c r="M2501" s="17">
        <v>200</v>
      </c>
      <c r="N2501" s="17">
        <v>5</v>
      </c>
      <c r="O2501" s="18">
        <v>106.41</v>
      </c>
      <c r="P2501" s="18">
        <v>87.22</v>
      </c>
      <c r="Q2501" s="18">
        <v>96.83</v>
      </c>
      <c r="R2501" s="18">
        <v>79.37</v>
      </c>
      <c r="S2501" s="18">
        <v>72.36</v>
      </c>
      <c r="T2501" s="18">
        <v>59.31</v>
      </c>
      <c r="U2501" s="16"/>
      <c r="V2501" s="16"/>
      <c r="W2501" s="16" t="s">
        <v>40</v>
      </c>
      <c r="X2501" s="19">
        <v>7.6999999999999999E-2</v>
      </c>
      <c r="Y2501" s="20">
        <v>1.3200000000000001E-4</v>
      </c>
      <c r="Z2501" s="21">
        <v>4601004225879</v>
      </c>
    </row>
    <row r="2502" spans="1:26" ht="12" customHeight="1" outlineLevel="4" x14ac:dyDescent="0.2">
      <c r="A2502" s="14" t="s">
        <v>4916</v>
      </c>
      <c r="B2502" s="26" t="s">
        <v>4917</v>
      </c>
      <c r="C2502" s="52"/>
      <c r="D2502" s="55">
        <f t="shared" si="38"/>
        <v>0</v>
      </c>
      <c r="E2502" s="63" t="str">
        <f>HYPERLINK("https://www.sds-group.ru/product/izolenta-pvh-0-13h19mm-25m-seraya-kranz-KR-09-2208/", "Инфо")</f>
        <v>Инфо</v>
      </c>
      <c r="F2502" s="16" t="s">
        <v>4839</v>
      </c>
      <c r="G2502" s="15"/>
      <c r="H2502" s="15"/>
      <c r="I2502" s="15"/>
      <c r="J2502" s="22">
        <v>34517</v>
      </c>
      <c r="K2502" s="15" t="s">
        <v>4863</v>
      </c>
      <c r="L2502" s="17">
        <v>5</v>
      </c>
      <c r="M2502" s="17">
        <v>200</v>
      </c>
      <c r="N2502" s="17">
        <v>5</v>
      </c>
      <c r="O2502" s="18">
        <v>106.41</v>
      </c>
      <c r="P2502" s="18">
        <v>87.22</v>
      </c>
      <c r="Q2502" s="18">
        <v>96.83</v>
      </c>
      <c r="R2502" s="18">
        <v>79.37</v>
      </c>
      <c r="S2502" s="18">
        <v>72.36</v>
      </c>
      <c r="T2502" s="18">
        <v>59.31</v>
      </c>
      <c r="U2502" s="16"/>
      <c r="V2502" s="16"/>
      <c r="W2502" s="16" t="s">
        <v>40</v>
      </c>
      <c r="X2502" s="19">
        <v>7.5999999999999998E-2</v>
      </c>
      <c r="Y2502" s="20">
        <v>1.34E-4</v>
      </c>
      <c r="Z2502" s="21">
        <v>4601004225893</v>
      </c>
    </row>
    <row r="2503" spans="1:26" ht="12" customHeight="1" outlineLevel="4" x14ac:dyDescent="0.2">
      <c r="A2503" s="14" t="s">
        <v>4918</v>
      </c>
      <c r="B2503" s="26" t="s">
        <v>4919</v>
      </c>
      <c r="C2503" s="52"/>
      <c r="D2503" s="55">
        <f t="shared" si="38"/>
        <v>0</v>
      </c>
      <c r="E2503" s="63" t="str">
        <f>HYPERLINK("https://www.sds-group.ru/product/izolenta-pvh-0-13h19mm-25m-sinyaya-kranz-KR-09-2205/", "Инфо")</f>
        <v>Инфо</v>
      </c>
      <c r="F2503" s="16" t="s">
        <v>4839</v>
      </c>
      <c r="G2503" s="15"/>
      <c r="H2503" s="15"/>
      <c r="I2503" s="15"/>
      <c r="J2503" s="22">
        <v>24551</v>
      </c>
      <c r="K2503" s="15" t="s">
        <v>4866</v>
      </c>
      <c r="L2503" s="17">
        <v>5</v>
      </c>
      <c r="M2503" s="17">
        <v>200</v>
      </c>
      <c r="N2503" s="17">
        <v>5</v>
      </c>
      <c r="O2503" s="18">
        <v>106.41</v>
      </c>
      <c r="P2503" s="18">
        <v>87.22</v>
      </c>
      <c r="Q2503" s="18">
        <v>96.83</v>
      </c>
      <c r="R2503" s="18">
        <v>79.37</v>
      </c>
      <c r="S2503" s="18">
        <v>72.36</v>
      </c>
      <c r="T2503" s="18">
        <v>59.31</v>
      </c>
      <c r="U2503" s="16"/>
      <c r="V2503" s="16"/>
      <c r="W2503" s="16" t="s">
        <v>40</v>
      </c>
      <c r="X2503" s="19">
        <v>7.4999999999999997E-2</v>
      </c>
      <c r="Y2503" s="20">
        <v>1.27E-4</v>
      </c>
      <c r="Z2503" s="21">
        <v>4601004225916</v>
      </c>
    </row>
    <row r="2504" spans="1:26" ht="12" customHeight="1" outlineLevel="4" x14ac:dyDescent="0.2">
      <c r="A2504" s="14" t="s">
        <v>4920</v>
      </c>
      <c r="B2504" s="26" t="s">
        <v>4921</v>
      </c>
      <c r="C2504" s="52"/>
      <c r="D2504" s="55">
        <f t="shared" si="38"/>
        <v>0</v>
      </c>
      <c r="E2504" s="63" t="str">
        <f>HYPERLINK("https://www.sds-group.ru/product/izolenta-pvh-0-13h19mm-25m-chernaya-kranz-KR-09-2206/", "Инфо")</f>
        <v>Инфо</v>
      </c>
      <c r="F2504" s="16" t="s">
        <v>4839</v>
      </c>
      <c r="G2504" s="15"/>
      <c r="H2504" s="15"/>
      <c r="I2504" s="15"/>
      <c r="J2504" s="22">
        <v>86296</v>
      </c>
      <c r="K2504" s="15" t="s">
        <v>4863</v>
      </c>
      <c r="L2504" s="17">
        <v>5</v>
      </c>
      <c r="M2504" s="17">
        <v>200</v>
      </c>
      <c r="N2504" s="17">
        <v>5</v>
      </c>
      <c r="O2504" s="18">
        <v>106.41</v>
      </c>
      <c r="P2504" s="18">
        <v>87.22</v>
      </c>
      <c r="Q2504" s="18">
        <v>96.83</v>
      </c>
      <c r="R2504" s="18">
        <v>79.37</v>
      </c>
      <c r="S2504" s="18">
        <v>72.36</v>
      </c>
      <c r="T2504" s="18">
        <v>59.31</v>
      </c>
      <c r="U2504" s="16"/>
      <c r="V2504" s="16"/>
      <c r="W2504" s="16" t="s">
        <v>40</v>
      </c>
      <c r="X2504" s="19">
        <v>7.8E-2</v>
      </c>
      <c r="Y2504" s="20">
        <v>1.36E-4</v>
      </c>
      <c r="Z2504" s="21">
        <v>4601004225930</v>
      </c>
    </row>
    <row r="2505" spans="1:26" ht="12" customHeight="1" outlineLevel="4" x14ac:dyDescent="0.2">
      <c r="A2505" s="14" t="s">
        <v>4922</v>
      </c>
      <c r="B2505" s="26" t="s">
        <v>4923</v>
      </c>
      <c r="C2505" s="52"/>
      <c r="D2505" s="55">
        <f t="shared" ref="D2505:D2568" si="39">C2505*(O2505-O2505*$G$3)</f>
        <v>0</v>
      </c>
      <c r="E2505" s="63" t="str">
        <f>HYPERLINK("https://www.sds-group.ru/product/nabor-izolyatsionnyh-lent-avto-4-tsveta-kranz-KR-09-2011/", "Инфо")</f>
        <v>Инфо</v>
      </c>
      <c r="F2505" s="16" t="s">
        <v>4698</v>
      </c>
      <c r="G2505" s="15"/>
      <c r="H2505" s="15"/>
      <c r="I2505" s="15"/>
      <c r="J2505" s="22">
        <v>11079</v>
      </c>
      <c r="K2505" s="15" t="s">
        <v>4866</v>
      </c>
      <c r="L2505" s="17">
        <v>10</v>
      </c>
      <c r="M2505" s="17">
        <v>200</v>
      </c>
      <c r="N2505" s="17">
        <v>10</v>
      </c>
      <c r="O2505" s="18">
        <v>96.31</v>
      </c>
      <c r="P2505" s="18">
        <v>78.94</v>
      </c>
      <c r="Q2505" s="18">
        <v>67.42</v>
      </c>
      <c r="R2505" s="18">
        <v>55.26</v>
      </c>
      <c r="S2505" s="18">
        <v>65.489999999999995</v>
      </c>
      <c r="T2505" s="18">
        <v>53.68</v>
      </c>
      <c r="U2505" s="16"/>
      <c r="V2505" s="16"/>
      <c r="W2505" s="16"/>
      <c r="X2505" s="19">
        <v>7.6999999999999999E-2</v>
      </c>
      <c r="Y2505" s="20">
        <v>2.3499999999999999E-4</v>
      </c>
      <c r="Z2505" s="21">
        <v>4601004226128</v>
      </c>
    </row>
    <row r="2506" spans="1:26" ht="12" customHeight="1" outlineLevel="4" x14ac:dyDescent="0.2">
      <c r="A2506" s="14" t="s">
        <v>4924</v>
      </c>
      <c r="B2506" s="26" t="s">
        <v>4925</v>
      </c>
      <c r="C2506" s="52"/>
      <c r="D2506" s="55">
        <f t="shared" si="39"/>
        <v>0</v>
      </c>
      <c r="E2506" s="63" t="str">
        <f>HYPERLINK("https://www.sds-group.ru/product/nabor-izolyatsionnyh-lent-0-13h15mm-10m-7-tsvetov-kranz-KR-09-2010-E/", "Инфо")</f>
        <v>Инфо</v>
      </c>
      <c r="F2506" s="16" t="s">
        <v>4698</v>
      </c>
      <c r="G2506" s="15"/>
      <c r="H2506" s="15"/>
      <c r="I2506" s="15"/>
      <c r="J2506" s="22">
        <v>37005</v>
      </c>
      <c r="K2506" s="15" t="s">
        <v>4926</v>
      </c>
      <c r="L2506" s="17">
        <v>5</v>
      </c>
      <c r="M2506" s="17">
        <v>80</v>
      </c>
      <c r="N2506" s="17">
        <v>5</v>
      </c>
      <c r="O2506" s="18">
        <v>258.20999999999998</v>
      </c>
      <c r="P2506" s="18">
        <v>211.65</v>
      </c>
      <c r="Q2506" s="18">
        <v>180.75</v>
      </c>
      <c r="R2506" s="18">
        <v>148.16</v>
      </c>
      <c r="S2506" s="18">
        <v>175.58</v>
      </c>
      <c r="T2506" s="18">
        <v>143.91999999999999</v>
      </c>
      <c r="U2506" s="16"/>
      <c r="V2506" s="16"/>
      <c r="W2506" s="16"/>
      <c r="X2506" s="19">
        <v>0.224</v>
      </c>
      <c r="Y2506" s="20">
        <v>4.9799999999999996E-4</v>
      </c>
      <c r="Z2506" s="21">
        <v>4601004225978</v>
      </c>
    </row>
    <row r="2507" spans="1:26" ht="12.95" customHeight="1" outlineLevel="3" x14ac:dyDescent="0.2">
      <c r="A2507" s="76" t="s">
        <v>4927</v>
      </c>
      <c r="B2507" s="76"/>
      <c r="C2507" s="77"/>
      <c r="D2507" s="58"/>
      <c r="E2507" s="68"/>
      <c r="F2507" s="13"/>
      <c r="G2507" s="13"/>
      <c r="H2507" s="13"/>
      <c r="I2507" s="13"/>
      <c r="J2507" s="13"/>
      <c r="K2507" s="13"/>
      <c r="L2507" s="13"/>
      <c r="M2507" s="13"/>
      <c r="N2507" s="13"/>
      <c r="O2507" s="13"/>
      <c r="P2507" s="13"/>
      <c r="Q2507" s="13"/>
      <c r="R2507" s="13"/>
      <c r="S2507" s="13"/>
      <c r="T2507" s="13"/>
      <c r="U2507" s="13"/>
      <c r="V2507" s="13"/>
      <c r="W2507" s="13"/>
      <c r="X2507" s="13"/>
      <c r="Y2507" s="13"/>
      <c r="Z2507" s="13"/>
    </row>
    <row r="2508" spans="1:26" ht="12" customHeight="1" outlineLevel="4" x14ac:dyDescent="0.2">
      <c r="A2508" s="14" t="s">
        <v>4928</v>
      </c>
      <c r="B2508" s="26" t="s">
        <v>4929</v>
      </c>
      <c r="C2508" s="52"/>
      <c r="D2508" s="55">
        <f t="shared" si="39"/>
        <v>0</v>
      </c>
      <c r="E2508" s="63" t="str">
        <f>HYPERLINK("https://www.sds-group.ru/product/izolenta-pvh-professionalnaya-0-18h19mm-20m-chernaya-kranz-KR-09-2806/", "Инфо")</f>
        <v>Инфо</v>
      </c>
      <c r="F2508" s="16" t="s">
        <v>4839</v>
      </c>
      <c r="G2508" s="15"/>
      <c r="H2508" s="15"/>
      <c r="I2508" s="15"/>
      <c r="J2508" s="22">
        <v>49207</v>
      </c>
      <c r="K2508" s="15" t="s">
        <v>4863</v>
      </c>
      <c r="L2508" s="17">
        <v>10</v>
      </c>
      <c r="M2508" s="17">
        <v>200</v>
      </c>
      <c r="N2508" s="17">
        <v>10</v>
      </c>
      <c r="O2508" s="18">
        <v>120.03</v>
      </c>
      <c r="P2508" s="18">
        <v>98.39</v>
      </c>
      <c r="Q2508" s="18">
        <v>109.23</v>
      </c>
      <c r="R2508" s="18">
        <v>89.53</v>
      </c>
      <c r="S2508" s="18">
        <v>81.62</v>
      </c>
      <c r="T2508" s="18">
        <v>66.900000000000006</v>
      </c>
      <c r="U2508" s="16"/>
      <c r="V2508" s="16"/>
      <c r="W2508" s="16" t="s">
        <v>40</v>
      </c>
      <c r="X2508" s="19">
        <v>0.10299999999999999</v>
      </c>
      <c r="Y2508" s="20">
        <v>1.4899999999999999E-4</v>
      </c>
      <c r="Z2508" s="21">
        <v>4601004225619</v>
      </c>
    </row>
    <row r="2509" spans="1:26" ht="12" customHeight="1" outlineLevel="4" x14ac:dyDescent="0.2">
      <c r="A2509" s="14" t="s">
        <v>4930</v>
      </c>
      <c r="B2509" s="26" t="s">
        <v>4931</v>
      </c>
      <c r="C2509" s="52"/>
      <c r="D2509" s="55">
        <f t="shared" si="39"/>
        <v>0</v>
      </c>
      <c r="E2509" s="63" t="str">
        <f>HYPERLINK("https://www.sds-group.ru/product/izolenta-pvh-professionalnaya-0-18h19mm-20m-belaya-kranz-KR-09-2801/", "Инфо")</f>
        <v>Инфо</v>
      </c>
      <c r="F2509" s="16" t="s">
        <v>4839</v>
      </c>
      <c r="G2509" s="15"/>
      <c r="H2509" s="15"/>
      <c r="I2509" s="15"/>
      <c r="J2509" s="22">
        <v>21027</v>
      </c>
      <c r="K2509" s="15" t="s">
        <v>4863</v>
      </c>
      <c r="L2509" s="17">
        <v>10</v>
      </c>
      <c r="M2509" s="17">
        <v>200</v>
      </c>
      <c r="N2509" s="17">
        <v>10</v>
      </c>
      <c r="O2509" s="18">
        <v>120.03</v>
      </c>
      <c r="P2509" s="18">
        <v>98.39</v>
      </c>
      <c r="Q2509" s="18">
        <v>109.23</v>
      </c>
      <c r="R2509" s="18">
        <v>89.53</v>
      </c>
      <c r="S2509" s="18">
        <v>81.62</v>
      </c>
      <c r="T2509" s="18">
        <v>66.900000000000006</v>
      </c>
      <c r="U2509" s="16"/>
      <c r="V2509" s="16"/>
      <c r="W2509" s="16" t="s">
        <v>40</v>
      </c>
      <c r="X2509" s="19">
        <v>0.104</v>
      </c>
      <c r="Y2509" s="20">
        <v>1.5200000000000001E-4</v>
      </c>
      <c r="Z2509" s="21">
        <v>4601004225473</v>
      </c>
    </row>
    <row r="2510" spans="1:26" ht="12" customHeight="1" outlineLevel="4" x14ac:dyDescent="0.2">
      <c r="A2510" s="14" t="s">
        <v>4932</v>
      </c>
      <c r="B2510" s="26" t="s">
        <v>4933</v>
      </c>
      <c r="C2510" s="52"/>
      <c r="D2510" s="55">
        <f t="shared" si="39"/>
        <v>0</v>
      </c>
      <c r="E2510" s="63" t="str">
        <f>HYPERLINK("https://www.sds-group.ru/product/izolenta-pvh-professionalnaya-0-18h19mm-20m-zheltaya-kranz-KR-09-2802/", "Инфо")</f>
        <v>Инфо</v>
      </c>
      <c r="F2510" s="16" t="s">
        <v>4839</v>
      </c>
      <c r="G2510" s="15"/>
      <c r="H2510" s="15"/>
      <c r="I2510" s="15"/>
      <c r="J2510" s="22">
        <v>11336</v>
      </c>
      <c r="K2510" s="15" t="s">
        <v>4863</v>
      </c>
      <c r="L2510" s="17">
        <v>10</v>
      </c>
      <c r="M2510" s="17">
        <v>200</v>
      </c>
      <c r="N2510" s="17">
        <v>10</v>
      </c>
      <c r="O2510" s="18">
        <v>120.03</v>
      </c>
      <c r="P2510" s="18">
        <v>98.39</v>
      </c>
      <c r="Q2510" s="18">
        <v>109.23</v>
      </c>
      <c r="R2510" s="18">
        <v>89.53</v>
      </c>
      <c r="S2510" s="18">
        <v>81.62</v>
      </c>
      <c r="T2510" s="18">
        <v>66.900000000000006</v>
      </c>
      <c r="U2510" s="16"/>
      <c r="V2510" s="16"/>
      <c r="W2510" s="16" t="s">
        <v>40</v>
      </c>
      <c r="X2510" s="19">
        <v>0.104</v>
      </c>
      <c r="Y2510" s="20">
        <v>1.56E-4</v>
      </c>
      <c r="Z2510" s="21">
        <v>4601004225497</v>
      </c>
    </row>
    <row r="2511" spans="1:26" ht="12" customHeight="1" outlineLevel="4" x14ac:dyDescent="0.2">
      <c r="A2511" s="14" t="s">
        <v>4934</v>
      </c>
      <c r="B2511" s="26" t="s">
        <v>4935</v>
      </c>
      <c r="C2511" s="52"/>
      <c r="D2511" s="55">
        <f t="shared" si="39"/>
        <v>0</v>
      </c>
      <c r="E2511" s="63" t="str">
        <f>HYPERLINK("https://www.sds-group.ru/product/izolenta-pvh-professionalnaya-0-18h19mm-20m-zhelto-zelenaya-kranz-KR-09-2807/", "Инфо")</f>
        <v>Инфо</v>
      </c>
      <c r="F2511" s="16" t="s">
        <v>4839</v>
      </c>
      <c r="G2511" s="15"/>
      <c r="H2511" s="15"/>
      <c r="I2511" s="15"/>
      <c r="J2511" s="22">
        <v>10948</v>
      </c>
      <c r="K2511" s="15" t="s">
        <v>4863</v>
      </c>
      <c r="L2511" s="17">
        <v>10</v>
      </c>
      <c r="M2511" s="17">
        <v>200</v>
      </c>
      <c r="N2511" s="17">
        <v>10</v>
      </c>
      <c r="O2511" s="18">
        <v>133.54</v>
      </c>
      <c r="P2511" s="18">
        <v>109.46</v>
      </c>
      <c r="Q2511" s="18">
        <v>121.52</v>
      </c>
      <c r="R2511" s="18">
        <v>99.61</v>
      </c>
      <c r="S2511" s="18">
        <v>90.81</v>
      </c>
      <c r="T2511" s="18">
        <v>74.430000000000007</v>
      </c>
      <c r="U2511" s="16"/>
      <c r="V2511" s="16"/>
      <c r="W2511" s="16" t="s">
        <v>40</v>
      </c>
      <c r="X2511" s="19">
        <v>0.10299999999999999</v>
      </c>
      <c r="Y2511" s="20">
        <v>1.5100000000000001E-4</v>
      </c>
      <c r="Z2511" s="21">
        <v>4601004225510</v>
      </c>
    </row>
    <row r="2512" spans="1:26" ht="12" customHeight="1" outlineLevel="4" x14ac:dyDescent="0.2">
      <c r="A2512" s="14" t="s">
        <v>4936</v>
      </c>
      <c r="B2512" s="26" t="s">
        <v>4937</v>
      </c>
      <c r="C2512" s="52"/>
      <c r="D2512" s="55">
        <f t="shared" si="39"/>
        <v>0</v>
      </c>
      <c r="E2512" s="63" t="str">
        <f>HYPERLINK("https://www.sds-group.ru/product/izolenta-pvh-professionalnaya-0-18h19mm-20m-zelenaya-kranz-KR-09-2803/", "Инфо")</f>
        <v>Инфо</v>
      </c>
      <c r="F2512" s="16" t="s">
        <v>4839</v>
      </c>
      <c r="G2512" s="15"/>
      <c r="H2512" s="15"/>
      <c r="I2512" s="15"/>
      <c r="J2512" s="22">
        <v>13281</v>
      </c>
      <c r="K2512" s="15" t="s">
        <v>4863</v>
      </c>
      <c r="L2512" s="17">
        <v>10</v>
      </c>
      <c r="M2512" s="17">
        <v>200</v>
      </c>
      <c r="N2512" s="17">
        <v>10</v>
      </c>
      <c r="O2512" s="18">
        <v>120.03</v>
      </c>
      <c r="P2512" s="18">
        <v>98.39</v>
      </c>
      <c r="Q2512" s="18">
        <v>109.23</v>
      </c>
      <c r="R2512" s="18">
        <v>89.53</v>
      </c>
      <c r="S2512" s="18">
        <v>81.62</v>
      </c>
      <c r="T2512" s="18">
        <v>66.900000000000006</v>
      </c>
      <c r="U2512" s="16"/>
      <c r="V2512" s="16"/>
      <c r="W2512" s="16" t="s">
        <v>40</v>
      </c>
      <c r="X2512" s="19">
        <v>0.10299999999999999</v>
      </c>
      <c r="Y2512" s="20">
        <v>1.5300000000000001E-4</v>
      </c>
      <c r="Z2512" s="21">
        <v>4601004225534</v>
      </c>
    </row>
    <row r="2513" spans="1:26" ht="12" customHeight="1" outlineLevel="4" x14ac:dyDescent="0.2">
      <c r="A2513" s="14" t="s">
        <v>4938</v>
      </c>
      <c r="B2513" s="26" t="s">
        <v>4939</v>
      </c>
      <c r="C2513" s="52"/>
      <c r="D2513" s="55">
        <f t="shared" si="39"/>
        <v>0</v>
      </c>
      <c r="E2513" s="63" t="str">
        <f>HYPERLINK("https://www.sds-group.ru/product/izolenta-pvh-professionalnaya-0-18h19mm-h-20m-krasnaya-kranz-KR-09-2804/", "Инфо")</f>
        <v>Инфо</v>
      </c>
      <c r="F2513" s="16" t="s">
        <v>4839</v>
      </c>
      <c r="G2513" s="15"/>
      <c r="H2513" s="15"/>
      <c r="I2513" s="15"/>
      <c r="J2513" s="17">
        <v>143</v>
      </c>
      <c r="K2513" s="15" t="s">
        <v>4863</v>
      </c>
      <c r="L2513" s="17">
        <v>10</v>
      </c>
      <c r="M2513" s="17">
        <v>200</v>
      </c>
      <c r="N2513" s="17">
        <v>10</v>
      </c>
      <c r="O2513" s="18">
        <v>120.03</v>
      </c>
      <c r="P2513" s="18">
        <v>98.39</v>
      </c>
      <c r="Q2513" s="18">
        <v>109.23</v>
      </c>
      <c r="R2513" s="18">
        <v>89.53</v>
      </c>
      <c r="S2513" s="18">
        <v>81.62</v>
      </c>
      <c r="T2513" s="18">
        <v>66.900000000000006</v>
      </c>
      <c r="U2513" s="16"/>
      <c r="V2513" s="16"/>
      <c r="W2513" s="16" t="s">
        <v>40</v>
      </c>
      <c r="X2513" s="19">
        <v>0.10199999999999999</v>
      </c>
      <c r="Y2513" s="20">
        <v>1.54E-4</v>
      </c>
      <c r="Z2513" s="21">
        <v>4601004225558</v>
      </c>
    </row>
    <row r="2514" spans="1:26" ht="12" customHeight="1" outlineLevel="4" x14ac:dyDescent="0.2">
      <c r="A2514" s="14" t="s">
        <v>4940</v>
      </c>
      <c r="B2514" s="26" t="s">
        <v>4941</v>
      </c>
      <c r="C2514" s="52"/>
      <c r="D2514" s="55">
        <f t="shared" si="39"/>
        <v>0</v>
      </c>
      <c r="E2514" s="63" t="str">
        <f>HYPERLINK("https://www.sds-group.ru/product/izolenta-pvh-professionalnaya-0-18h19mm-20m-seraya-kranz-KR-09-2808/", "Инфо")</f>
        <v>Инфо</v>
      </c>
      <c r="F2514" s="16" t="s">
        <v>4839</v>
      </c>
      <c r="G2514" s="15"/>
      <c r="H2514" s="15"/>
      <c r="I2514" s="15"/>
      <c r="J2514" s="22">
        <v>22610</v>
      </c>
      <c r="K2514" s="15" t="s">
        <v>4863</v>
      </c>
      <c r="L2514" s="17">
        <v>10</v>
      </c>
      <c r="M2514" s="17">
        <v>200</v>
      </c>
      <c r="N2514" s="17">
        <v>10</v>
      </c>
      <c r="O2514" s="18">
        <v>120.03</v>
      </c>
      <c r="P2514" s="18">
        <v>98.39</v>
      </c>
      <c r="Q2514" s="18">
        <v>109.23</v>
      </c>
      <c r="R2514" s="18">
        <v>89.53</v>
      </c>
      <c r="S2514" s="18">
        <v>81.62</v>
      </c>
      <c r="T2514" s="18">
        <v>66.900000000000006</v>
      </c>
      <c r="U2514" s="16"/>
      <c r="V2514" s="16"/>
      <c r="W2514" s="16" t="s">
        <v>40</v>
      </c>
      <c r="X2514" s="19">
        <v>0.10100000000000001</v>
      </c>
      <c r="Y2514" s="20">
        <v>1.55E-4</v>
      </c>
      <c r="Z2514" s="21">
        <v>4601004225572</v>
      </c>
    </row>
    <row r="2515" spans="1:26" ht="12" customHeight="1" outlineLevel="4" x14ac:dyDescent="0.2">
      <c r="A2515" s="14" t="s">
        <v>4942</v>
      </c>
      <c r="B2515" s="26" t="s">
        <v>4943</v>
      </c>
      <c r="C2515" s="52"/>
      <c r="D2515" s="55">
        <f t="shared" si="39"/>
        <v>0</v>
      </c>
      <c r="E2515" s="63" t="str">
        <f>HYPERLINK("https://www.sds-group.ru/product/izolenta-pvh-professionalnaya-0-18h19mm-20m-sinyaya-kranz-KR-09-2805/", "Инфо")</f>
        <v>Инфо</v>
      </c>
      <c r="F2515" s="16" t="s">
        <v>4839</v>
      </c>
      <c r="G2515" s="15"/>
      <c r="H2515" s="15"/>
      <c r="I2515" s="15"/>
      <c r="J2515" s="16" t="s">
        <v>100</v>
      </c>
      <c r="K2515" s="15" t="s">
        <v>4863</v>
      </c>
      <c r="L2515" s="17">
        <v>10</v>
      </c>
      <c r="M2515" s="17">
        <v>200</v>
      </c>
      <c r="N2515" s="17">
        <v>10</v>
      </c>
      <c r="O2515" s="18">
        <v>120.03</v>
      </c>
      <c r="P2515" s="18">
        <v>98.39</v>
      </c>
      <c r="Q2515" s="18">
        <v>109.23</v>
      </c>
      <c r="R2515" s="18">
        <v>89.53</v>
      </c>
      <c r="S2515" s="18">
        <v>81.62</v>
      </c>
      <c r="T2515" s="18">
        <v>66.900000000000006</v>
      </c>
      <c r="U2515" s="16"/>
      <c r="V2515" s="16"/>
      <c r="W2515" s="16" t="s">
        <v>40</v>
      </c>
      <c r="X2515" s="19">
        <v>0.1</v>
      </c>
      <c r="Y2515" s="20">
        <v>1.5200000000000001E-4</v>
      </c>
      <c r="Z2515" s="21">
        <v>4601004225596</v>
      </c>
    </row>
    <row r="2516" spans="1:26" ht="12" customHeight="1" outlineLevel="4" x14ac:dyDescent="0.2">
      <c r="A2516" s="40" t="s">
        <v>4944</v>
      </c>
      <c r="B2516" s="75" t="s">
        <v>4945</v>
      </c>
      <c r="C2516" s="51"/>
      <c r="D2516" s="54">
        <f t="shared" si="39"/>
        <v>0</v>
      </c>
      <c r="E2516" s="61" t="str">
        <f>HYPERLINK("https://www.sds-group.ru/product/izolenta-pvh-professionalnaya-0-18h50mm-10m-chernaya-kranz-KR-09-2850/", "Инфо")</f>
        <v>Инфо</v>
      </c>
      <c r="F2516" s="42" t="s">
        <v>4839</v>
      </c>
      <c r="G2516" s="41" t="s">
        <v>40</v>
      </c>
      <c r="H2516" s="41"/>
      <c r="I2516" s="41"/>
      <c r="J2516" s="43">
        <v>379</v>
      </c>
      <c r="K2516" s="41" t="s">
        <v>4926</v>
      </c>
      <c r="L2516" s="43">
        <v>5</v>
      </c>
      <c r="M2516" s="43">
        <v>100</v>
      </c>
      <c r="N2516" s="43">
        <v>5</v>
      </c>
      <c r="O2516" s="44">
        <v>136.97</v>
      </c>
      <c r="P2516" s="44">
        <v>112.27</v>
      </c>
      <c r="Q2516" s="44">
        <v>116.42</v>
      </c>
      <c r="R2516" s="44">
        <v>95.43</v>
      </c>
      <c r="S2516" s="44">
        <v>93.14</v>
      </c>
      <c r="T2516" s="44">
        <v>76.34</v>
      </c>
      <c r="U2516" s="42"/>
      <c r="V2516" s="42"/>
      <c r="W2516" s="42" t="s">
        <v>40</v>
      </c>
      <c r="X2516" s="45">
        <v>0.14599999999999999</v>
      </c>
      <c r="Y2516" s="46">
        <v>2.5599999999999999E-4</v>
      </c>
      <c r="Z2516" s="21">
        <v>4601004342712</v>
      </c>
    </row>
    <row r="2517" spans="1:26" ht="12" customHeight="1" outlineLevel="4" x14ac:dyDescent="0.2">
      <c r="A2517" s="40" t="s">
        <v>4946</v>
      </c>
      <c r="B2517" s="75" t="s">
        <v>4947</v>
      </c>
      <c r="C2517" s="51"/>
      <c r="D2517" s="54">
        <f t="shared" si="39"/>
        <v>0</v>
      </c>
      <c r="E2517" s="61" t="str">
        <f>HYPERLINK("https://www.sds-group.ru/product/izolenta-pvh-professionalnaya-morozostoykaya-0-18h19mm-20m-chernaya-kranz-KR-09-2826/", "Инфо")</f>
        <v>Инфо</v>
      </c>
      <c r="F2517" s="42" t="s">
        <v>4839</v>
      </c>
      <c r="G2517" s="41" t="s">
        <v>40</v>
      </c>
      <c r="H2517" s="41"/>
      <c r="I2517" s="41"/>
      <c r="J2517" s="47">
        <v>8073</v>
      </c>
      <c r="K2517" s="41"/>
      <c r="L2517" s="43">
        <v>5</v>
      </c>
      <c r="M2517" s="43">
        <v>120</v>
      </c>
      <c r="N2517" s="43">
        <v>5</v>
      </c>
      <c r="O2517" s="44">
        <v>331.89</v>
      </c>
      <c r="P2517" s="44">
        <v>272.04000000000002</v>
      </c>
      <c r="Q2517" s="44">
        <v>302.02</v>
      </c>
      <c r="R2517" s="44">
        <v>247.56</v>
      </c>
      <c r="S2517" s="44">
        <v>225.69</v>
      </c>
      <c r="T2517" s="44">
        <v>184.99</v>
      </c>
      <c r="U2517" s="42"/>
      <c r="V2517" s="42"/>
      <c r="W2517" s="42" t="s">
        <v>40</v>
      </c>
      <c r="X2517" s="45">
        <v>0.125</v>
      </c>
      <c r="Y2517" s="46">
        <v>2.4699999999999999E-4</v>
      </c>
      <c r="Z2517" s="21">
        <v>4601004335271</v>
      </c>
    </row>
    <row r="2518" spans="1:26" ht="12" customHeight="1" outlineLevel="4" x14ac:dyDescent="0.2">
      <c r="A2518" s="40" t="s">
        <v>4948</v>
      </c>
      <c r="B2518" s="75" t="s">
        <v>4949</v>
      </c>
      <c r="C2518" s="51"/>
      <c r="D2518" s="54">
        <f t="shared" si="39"/>
        <v>0</v>
      </c>
      <c r="E2518" s="61" t="str">
        <f>HYPERLINK("https://www.sds-group.ru/product/izolenta-pvh-professionalnaya-termostoykaya-0-18h19mm-20m-chernaya-kranz-KR-09-2816/", "Инфо")</f>
        <v>Инфо</v>
      </c>
      <c r="F2518" s="42" t="s">
        <v>4839</v>
      </c>
      <c r="G2518" s="41" t="s">
        <v>40</v>
      </c>
      <c r="H2518" s="41"/>
      <c r="I2518" s="41"/>
      <c r="J2518" s="47">
        <v>10181</v>
      </c>
      <c r="K2518" s="41"/>
      <c r="L2518" s="43">
        <v>5</v>
      </c>
      <c r="M2518" s="43">
        <v>120</v>
      </c>
      <c r="N2518" s="43">
        <v>5</v>
      </c>
      <c r="O2518" s="44">
        <v>289.16000000000003</v>
      </c>
      <c r="P2518" s="44">
        <v>237.02</v>
      </c>
      <c r="Q2518" s="44">
        <v>263.14</v>
      </c>
      <c r="R2518" s="44">
        <v>215.69</v>
      </c>
      <c r="S2518" s="44">
        <v>196.63</v>
      </c>
      <c r="T2518" s="44">
        <v>161.16999999999999</v>
      </c>
      <c r="U2518" s="42"/>
      <c r="V2518" s="42"/>
      <c r="W2518" s="42" t="s">
        <v>40</v>
      </c>
      <c r="X2518" s="45">
        <v>0.127</v>
      </c>
      <c r="Y2518" s="46">
        <v>2.5399999999999999E-4</v>
      </c>
      <c r="Z2518" s="21">
        <v>4601004335264</v>
      </c>
    </row>
    <row r="2519" spans="1:26" ht="12.95" customHeight="1" outlineLevel="2" x14ac:dyDescent="0.2">
      <c r="A2519" s="76" t="s">
        <v>4950</v>
      </c>
      <c r="B2519" s="76"/>
      <c r="C2519" s="77"/>
      <c r="D2519" s="58"/>
      <c r="E2519" s="68"/>
      <c r="F2519" s="13"/>
      <c r="G2519" s="13"/>
      <c r="H2519" s="13"/>
      <c r="I2519" s="13"/>
      <c r="J2519" s="13"/>
      <c r="K2519" s="13"/>
      <c r="L2519" s="13"/>
      <c r="M2519" s="13"/>
      <c r="N2519" s="13"/>
      <c r="O2519" s="13"/>
      <c r="P2519" s="13"/>
      <c r="Q2519" s="13"/>
      <c r="R2519" s="13"/>
      <c r="S2519" s="13"/>
      <c r="T2519" s="13"/>
      <c r="U2519" s="13"/>
      <c r="V2519" s="13"/>
      <c r="W2519" s="13"/>
      <c r="X2519" s="13"/>
      <c r="Y2519" s="13"/>
      <c r="Z2519" s="13"/>
    </row>
    <row r="2520" spans="1:26" ht="12" customHeight="1" outlineLevel="3" x14ac:dyDescent="0.2">
      <c r="A2520" s="14" t="s">
        <v>4951</v>
      </c>
      <c r="B2520" s="26" t="s">
        <v>4952</v>
      </c>
      <c r="C2520" s="52"/>
      <c r="D2520" s="55">
        <f t="shared" si="39"/>
        <v>0</v>
      </c>
      <c r="E2520" s="63" t="str">
        <f>HYPERLINK("https://www.sds-group.ru/product/izolenta-h-b-15h0-35-mm-rolik-10-m-100-g-1-pol-rexant-09-2405/", "Инфо")</f>
        <v>Инфо</v>
      </c>
      <c r="F2520" s="16" t="s">
        <v>4839</v>
      </c>
      <c r="G2520" s="15"/>
      <c r="H2520" s="15"/>
      <c r="I2520" s="15"/>
      <c r="J2520" s="17">
        <v>693</v>
      </c>
      <c r="K2520" s="15" t="s">
        <v>1408</v>
      </c>
      <c r="L2520" s="17">
        <v>5</v>
      </c>
      <c r="M2520" s="17">
        <v>180</v>
      </c>
      <c r="N2520" s="17">
        <v>5</v>
      </c>
      <c r="O2520" s="18">
        <v>126.59</v>
      </c>
      <c r="P2520" s="18">
        <v>103.76</v>
      </c>
      <c r="Q2520" s="18">
        <v>107.6</v>
      </c>
      <c r="R2520" s="18">
        <v>88.2</v>
      </c>
      <c r="S2520" s="18">
        <v>86.08</v>
      </c>
      <c r="T2520" s="18">
        <v>70.56</v>
      </c>
      <c r="U2520" s="16"/>
      <c r="V2520" s="16"/>
      <c r="W2520" s="16" t="s">
        <v>40</v>
      </c>
      <c r="X2520" s="19">
        <v>9.5000000000000001E-2</v>
      </c>
      <c r="Y2520" s="20">
        <v>2.0599999999999999E-4</v>
      </c>
      <c r="Z2520" s="21">
        <v>4601004130937</v>
      </c>
    </row>
    <row r="2521" spans="1:26" ht="12" customHeight="1" outlineLevel="3" x14ac:dyDescent="0.2">
      <c r="A2521" s="14" t="s">
        <v>4953</v>
      </c>
      <c r="B2521" s="26" t="s">
        <v>4954</v>
      </c>
      <c r="C2521" s="52"/>
      <c r="D2521" s="55">
        <f t="shared" si="39"/>
        <v>0</v>
      </c>
      <c r="E2521" s="63" t="str">
        <f>HYPERLINK("https://www.sds-group.ru/product/izolenta-h-b-15h0-35-mm-rolik-20-m-200-g-1-pol-rexant-09-2406/", "Инфо")</f>
        <v>Инфо</v>
      </c>
      <c r="F2521" s="16" t="s">
        <v>4839</v>
      </c>
      <c r="G2521" s="15"/>
      <c r="H2521" s="15"/>
      <c r="I2521" s="15"/>
      <c r="J2521" s="22">
        <v>1484</v>
      </c>
      <c r="K2521" s="15" t="s">
        <v>1408</v>
      </c>
      <c r="L2521" s="17">
        <v>5</v>
      </c>
      <c r="M2521" s="17">
        <v>90</v>
      </c>
      <c r="N2521" s="17">
        <v>5</v>
      </c>
      <c r="O2521" s="18">
        <v>247.31</v>
      </c>
      <c r="P2521" s="18">
        <v>202.71</v>
      </c>
      <c r="Q2521" s="18">
        <v>210.21</v>
      </c>
      <c r="R2521" s="18">
        <v>172.3</v>
      </c>
      <c r="S2521" s="18">
        <v>168.17</v>
      </c>
      <c r="T2521" s="18">
        <v>137.84</v>
      </c>
      <c r="U2521" s="16"/>
      <c r="V2521" s="16"/>
      <c r="W2521" s="16" t="s">
        <v>40</v>
      </c>
      <c r="X2521" s="19">
        <v>0.193</v>
      </c>
      <c r="Y2521" s="20">
        <v>3.1500000000000001E-4</v>
      </c>
      <c r="Z2521" s="21">
        <v>4601004130944</v>
      </c>
    </row>
    <row r="2522" spans="1:26" ht="12" customHeight="1" outlineLevel="3" x14ac:dyDescent="0.2">
      <c r="A2522" s="14" t="s">
        <v>4955</v>
      </c>
      <c r="B2522" s="26" t="s">
        <v>4956</v>
      </c>
      <c r="C2522" s="52"/>
      <c r="D2522" s="55">
        <f t="shared" si="39"/>
        <v>0</v>
      </c>
      <c r="E2522" s="63" t="str">
        <f>HYPERLINK("https://www.sds-group.ru/product/izolenta-h-b-15h0-35-mm-rolik-30-m-300-g-1-pol-rexant-09-2407/", "Инфо")</f>
        <v>Инфо</v>
      </c>
      <c r="F2522" s="16" t="s">
        <v>4839</v>
      </c>
      <c r="G2522" s="15"/>
      <c r="H2522" s="15"/>
      <c r="I2522" s="15"/>
      <c r="J2522" s="17">
        <v>571</v>
      </c>
      <c r="K2522" s="15" t="s">
        <v>1408</v>
      </c>
      <c r="L2522" s="17">
        <v>5</v>
      </c>
      <c r="M2522" s="17">
        <v>60</v>
      </c>
      <c r="N2522" s="17">
        <v>5</v>
      </c>
      <c r="O2522" s="18">
        <v>365.58</v>
      </c>
      <c r="P2522" s="18">
        <v>299.66000000000003</v>
      </c>
      <c r="Q2522" s="18">
        <v>310.74</v>
      </c>
      <c r="R2522" s="18">
        <v>254.7</v>
      </c>
      <c r="S2522" s="18">
        <v>248.59</v>
      </c>
      <c r="T2522" s="18">
        <v>203.76</v>
      </c>
      <c r="U2522" s="16"/>
      <c r="V2522" s="16"/>
      <c r="W2522" s="16" t="s">
        <v>40</v>
      </c>
      <c r="X2522" s="19">
        <v>0.29699999999999999</v>
      </c>
      <c r="Y2522" s="20">
        <v>4.3600000000000003E-4</v>
      </c>
      <c r="Z2522" s="21">
        <v>4601004130951</v>
      </c>
    </row>
    <row r="2523" spans="1:26" ht="12" customHeight="1" outlineLevel="3" x14ac:dyDescent="0.2">
      <c r="A2523" s="14" t="s">
        <v>4957</v>
      </c>
      <c r="B2523" s="26" t="s">
        <v>4958</v>
      </c>
      <c r="C2523" s="52"/>
      <c r="D2523" s="55">
        <f t="shared" si="39"/>
        <v>0</v>
      </c>
      <c r="E2523" s="63" t="str">
        <f>HYPERLINK("https://www.sds-group.ru/product/izolenta-h-b-15h0-35-mm-rolik-50-m-500-g-1-pol-rexant-09-2412/", "Инфо")</f>
        <v>Инфо</v>
      </c>
      <c r="F2523" s="16" t="s">
        <v>4839</v>
      </c>
      <c r="G2523" s="15"/>
      <c r="H2523" s="15"/>
      <c r="I2523" s="15"/>
      <c r="J2523" s="17">
        <v>364</v>
      </c>
      <c r="K2523" s="15"/>
      <c r="L2523" s="17">
        <v>5</v>
      </c>
      <c r="M2523" s="17">
        <v>40</v>
      </c>
      <c r="N2523" s="17">
        <v>5</v>
      </c>
      <c r="O2523" s="18">
        <v>583.33000000000004</v>
      </c>
      <c r="P2523" s="18">
        <v>478.14</v>
      </c>
      <c r="Q2523" s="18">
        <v>466.66</v>
      </c>
      <c r="R2523" s="18">
        <v>382.51</v>
      </c>
      <c r="S2523" s="18">
        <v>396.66</v>
      </c>
      <c r="T2523" s="18">
        <v>325.13</v>
      </c>
      <c r="U2523" s="16"/>
      <c r="V2523" s="16"/>
      <c r="W2523" s="16" t="s">
        <v>40</v>
      </c>
      <c r="X2523" s="19">
        <v>0.496</v>
      </c>
      <c r="Y2523" s="20">
        <v>6.6699999999999995E-4</v>
      </c>
      <c r="Z2523" s="21">
        <v>4601004130968</v>
      </c>
    </row>
    <row r="2524" spans="1:26" ht="12" customHeight="1" outlineLevel="3" x14ac:dyDescent="0.2">
      <c r="A2524" s="14" t="s">
        <v>4959</v>
      </c>
      <c r="B2524" s="26" t="s">
        <v>4960</v>
      </c>
      <c r="C2524" s="52"/>
      <c r="D2524" s="55">
        <f t="shared" si="39"/>
        <v>0</v>
      </c>
      <c r="E2524" s="63" t="str">
        <f>HYPERLINK("https://www.sds-group.ru/product/izolenta-h-b-18h0-35-mm-rolik-15-m-180-g-1-pol-rexant-09-2401/", "Инфо")</f>
        <v>Инфо</v>
      </c>
      <c r="F2524" s="16" t="s">
        <v>4839</v>
      </c>
      <c r="G2524" s="15"/>
      <c r="H2524" s="15"/>
      <c r="I2524" s="15"/>
      <c r="J2524" s="17">
        <v>910</v>
      </c>
      <c r="K2524" s="15" t="s">
        <v>1408</v>
      </c>
      <c r="L2524" s="17">
        <v>5</v>
      </c>
      <c r="M2524" s="17">
        <v>80</v>
      </c>
      <c r="N2524" s="17">
        <v>5</v>
      </c>
      <c r="O2524" s="18">
        <v>209.59</v>
      </c>
      <c r="P2524" s="18">
        <v>171.8</v>
      </c>
      <c r="Q2524" s="18">
        <v>178.15</v>
      </c>
      <c r="R2524" s="18">
        <v>146.02000000000001</v>
      </c>
      <c r="S2524" s="18">
        <v>142.52000000000001</v>
      </c>
      <c r="T2524" s="18">
        <v>116.82</v>
      </c>
      <c r="U2524" s="16"/>
      <c r="V2524" s="16"/>
      <c r="W2524" s="16" t="s">
        <v>40</v>
      </c>
      <c r="X2524" s="19">
        <v>0.19800000000000001</v>
      </c>
      <c r="Y2524" s="20">
        <v>2.9999999999999997E-4</v>
      </c>
      <c r="Z2524" s="21">
        <v>4610003605674</v>
      </c>
    </row>
    <row r="2525" spans="1:26" ht="12" customHeight="1" outlineLevel="3" x14ac:dyDescent="0.2">
      <c r="A2525" s="14" t="s">
        <v>4961</v>
      </c>
      <c r="B2525" s="26" t="s">
        <v>4962</v>
      </c>
      <c r="C2525" s="52"/>
      <c r="D2525" s="55">
        <f t="shared" si="39"/>
        <v>0</v>
      </c>
      <c r="E2525" s="63" t="str">
        <f>HYPERLINK("https://www.sds-group.ru/product/izolenta-h-b-20h0-35-mm-rolik-16-7-m-200-g-1-pol-rexant-09-2402/", "Инфо")</f>
        <v>Инфо</v>
      </c>
      <c r="F2525" s="16" t="s">
        <v>4839</v>
      </c>
      <c r="G2525" s="15"/>
      <c r="H2525" s="15"/>
      <c r="I2525" s="15"/>
      <c r="J2525" s="22">
        <v>1744</v>
      </c>
      <c r="K2525" s="15" t="s">
        <v>1408</v>
      </c>
      <c r="L2525" s="17">
        <v>5</v>
      </c>
      <c r="M2525" s="17">
        <v>72</v>
      </c>
      <c r="N2525" s="17">
        <v>5</v>
      </c>
      <c r="O2525" s="18">
        <v>233.83</v>
      </c>
      <c r="P2525" s="18">
        <v>191.66</v>
      </c>
      <c r="Q2525" s="18">
        <v>198.76</v>
      </c>
      <c r="R2525" s="18">
        <v>162.91999999999999</v>
      </c>
      <c r="S2525" s="18">
        <v>159</v>
      </c>
      <c r="T2525" s="18">
        <v>130.33000000000001</v>
      </c>
      <c r="U2525" s="16"/>
      <c r="V2525" s="16"/>
      <c r="W2525" s="16" t="s">
        <v>40</v>
      </c>
      <c r="X2525" s="19">
        <v>0.20599999999999999</v>
      </c>
      <c r="Y2525" s="20">
        <v>4.0000000000000002E-4</v>
      </c>
      <c r="Z2525" s="21">
        <v>4601004131002</v>
      </c>
    </row>
    <row r="2526" spans="1:26" ht="12" customHeight="1" outlineLevel="3" x14ac:dyDescent="0.2">
      <c r="A2526" s="14" t="s">
        <v>4963</v>
      </c>
      <c r="B2526" s="26" t="s">
        <v>4964</v>
      </c>
      <c r="C2526" s="52"/>
      <c r="D2526" s="55">
        <f t="shared" si="39"/>
        <v>0</v>
      </c>
      <c r="E2526" s="63" t="str">
        <f>HYPERLINK("https://www.sds-group.ru/product/izolenta-h-b-20h0-35-mm-rolik-6-7-m-80-g-1-pol-rexant-09-2403/", "Инфо")</f>
        <v>Инфо</v>
      </c>
      <c r="F2526" s="16" t="s">
        <v>4839</v>
      </c>
      <c r="G2526" s="15"/>
      <c r="H2526" s="15"/>
      <c r="I2526" s="15"/>
      <c r="J2526" s="22">
        <v>1393</v>
      </c>
      <c r="K2526" s="15" t="s">
        <v>1408</v>
      </c>
      <c r="L2526" s="17">
        <v>5</v>
      </c>
      <c r="M2526" s="17">
        <v>120</v>
      </c>
      <c r="N2526" s="17">
        <v>5</v>
      </c>
      <c r="O2526" s="18">
        <v>96.28</v>
      </c>
      <c r="P2526" s="18">
        <v>78.92</v>
      </c>
      <c r="Q2526" s="18">
        <v>81.84</v>
      </c>
      <c r="R2526" s="18">
        <v>67.08</v>
      </c>
      <c r="S2526" s="18">
        <v>65.47</v>
      </c>
      <c r="T2526" s="18">
        <v>53.66</v>
      </c>
      <c r="U2526" s="16"/>
      <c r="V2526" s="16"/>
      <c r="W2526" s="16" t="s">
        <v>40</v>
      </c>
      <c r="X2526" s="19">
        <v>8.7999999999999995E-2</v>
      </c>
      <c r="Y2526" s="20">
        <v>2.1599999999999999E-4</v>
      </c>
      <c r="Z2526" s="21">
        <v>4601004130913</v>
      </c>
    </row>
    <row r="2527" spans="1:26" ht="12" customHeight="1" outlineLevel="3" x14ac:dyDescent="0.2">
      <c r="A2527" s="14" t="s">
        <v>4965</v>
      </c>
      <c r="B2527" s="26" t="s">
        <v>4966</v>
      </c>
      <c r="C2527" s="52"/>
      <c r="D2527" s="55">
        <f t="shared" si="39"/>
        <v>0</v>
      </c>
      <c r="E2527" s="63" t="str">
        <f>HYPERLINK("https://www.sds-group.ru/product/izolenta-h-b-20h0-35-mm-rolik-8-3-m-110-g-1-pol-rexant-09-2404/", "Инфо")</f>
        <v>Инфо</v>
      </c>
      <c r="F2527" s="16" t="s">
        <v>4839</v>
      </c>
      <c r="G2527" s="15"/>
      <c r="H2527" s="15"/>
      <c r="I2527" s="15"/>
      <c r="J2527" s="16" t="s">
        <v>100</v>
      </c>
      <c r="K2527" s="15" t="s">
        <v>1408</v>
      </c>
      <c r="L2527" s="17">
        <v>5</v>
      </c>
      <c r="M2527" s="17">
        <v>132</v>
      </c>
      <c r="N2527" s="17">
        <v>5</v>
      </c>
      <c r="O2527" s="18">
        <v>135.08000000000001</v>
      </c>
      <c r="P2527" s="18">
        <v>110.72</v>
      </c>
      <c r="Q2527" s="18">
        <v>114.82</v>
      </c>
      <c r="R2527" s="18">
        <v>94.11</v>
      </c>
      <c r="S2527" s="18">
        <v>91.85</v>
      </c>
      <c r="T2527" s="18">
        <v>75.290000000000006</v>
      </c>
      <c r="U2527" s="16"/>
      <c r="V2527" s="16"/>
      <c r="W2527" s="16" t="s">
        <v>40</v>
      </c>
      <c r="X2527" s="19">
        <v>0.11700000000000001</v>
      </c>
      <c r="Y2527" s="20">
        <v>2.1900000000000001E-4</v>
      </c>
      <c r="Z2527" s="21">
        <v>4601004130920</v>
      </c>
    </row>
    <row r="2528" spans="1:26" ht="12" customHeight="1" outlineLevel="3" x14ac:dyDescent="0.2">
      <c r="A2528" s="14" t="s">
        <v>4967</v>
      </c>
      <c r="B2528" s="26" t="s">
        <v>4968</v>
      </c>
      <c r="C2528" s="52"/>
      <c r="D2528" s="55">
        <f t="shared" si="39"/>
        <v>0</v>
      </c>
      <c r="E2528" s="63" t="str">
        <f>HYPERLINK("https://www.sds-group.ru/product/izolenta-hb-18h0-35-mm-rolik-11-3-m-80-g-2-pol-proconnect-09-2409-4/", "Инфо")</f>
        <v>Инфо</v>
      </c>
      <c r="F2528" s="16" t="s">
        <v>4839</v>
      </c>
      <c r="G2528" s="15"/>
      <c r="H2528" s="15"/>
      <c r="I2528" s="15"/>
      <c r="J2528" s="22">
        <v>1588</v>
      </c>
      <c r="K2528" s="15"/>
      <c r="L2528" s="17">
        <v>5</v>
      </c>
      <c r="M2528" s="17">
        <v>80</v>
      </c>
      <c r="N2528" s="17">
        <v>5</v>
      </c>
      <c r="O2528" s="18">
        <v>221.97</v>
      </c>
      <c r="P2528" s="18">
        <v>181.94</v>
      </c>
      <c r="Q2528" s="18">
        <v>188.67</v>
      </c>
      <c r="R2528" s="18">
        <v>154.65</v>
      </c>
      <c r="S2528" s="18">
        <v>150.94</v>
      </c>
      <c r="T2528" s="18">
        <v>123.72</v>
      </c>
      <c r="U2528" s="16"/>
      <c r="V2528" s="16"/>
      <c r="W2528" s="16" t="s">
        <v>40</v>
      </c>
      <c r="X2528" s="19">
        <v>8.5000000000000006E-2</v>
      </c>
      <c r="Y2528" s="20">
        <v>2.14E-4</v>
      </c>
      <c r="Z2528" s="21">
        <v>4601004057074</v>
      </c>
    </row>
    <row r="2529" spans="1:26" ht="12" customHeight="1" outlineLevel="3" x14ac:dyDescent="0.2">
      <c r="A2529" s="14" t="s">
        <v>4969</v>
      </c>
      <c r="B2529" s="26" t="s">
        <v>4970</v>
      </c>
      <c r="C2529" s="52"/>
      <c r="D2529" s="55">
        <f t="shared" si="39"/>
        <v>0</v>
      </c>
      <c r="E2529" s="63" t="str">
        <f>HYPERLINK("https://www.sds-group.ru/product/izolenta-hb-18h0-35-mm-rolik-16-4-m-110-g-2-pol-proconnect-09-2411-4/", "Инфо")</f>
        <v>Инфо</v>
      </c>
      <c r="F2529" s="16" t="s">
        <v>4839</v>
      </c>
      <c r="G2529" s="15"/>
      <c r="H2529" s="15"/>
      <c r="I2529" s="15"/>
      <c r="J2529" s="22">
        <v>1999</v>
      </c>
      <c r="K2529" s="15"/>
      <c r="L2529" s="17">
        <v>5</v>
      </c>
      <c r="M2529" s="17">
        <v>80</v>
      </c>
      <c r="N2529" s="17">
        <v>5</v>
      </c>
      <c r="O2529" s="18">
        <v>283.29000000000002</v>
      </c>
      <c r="P2529" s="18">
        <v>232.2</v>
      </c>
      <c r="Q2529" s="18">
        <v>240.8</v>
      </c>
      <c r="R2529" s="18">
        <v>197.38</v>
      </c>
      <c r="S2529" s="18">
        <v>192.64</v>
      </c>
      <c r="T2529" s="18">
        <v>157.9</v>
      </c>
      <c r="U2529" s="16"/>
      <c r="V2529" s="16"/>
      <c r="W2529" s="16" t="s">
        <v>40</v>
      </c>
      <c r="X2529" s="19">
        <v>0.123</v>
      </c>
      <c r="Y2529" s="20">
        <v>2.05E-4</v>
      </c>
      <c r="Z2529" s="21">
        <v>4601004057081</v>
      </c>
    </row>
    <row r="2530" spans="1:26" ht="12" customHeight="1" outlineLevel="3" x14ac:dyDescent="0.2">
      <c r="A2530" s="14" t="s">
        <v>4971</v>
      </c>
      <c r="B2530" s="26" t="s">
        <v>4972</v>
      </c>
      <c r="C2530" s="52"/>
      <c r="D2530" s="55">
        <f t="shared" si="39"/>
        <v>0</v>
      </c>
      <c r="E2530" s="63" t="str">
        <f>HYPERLINK("https://www.sds-group.ru/product/izolenta-hb-18h0-35-mm-rolik-31-9-m-200-g-2-pol-proconnect-09-2421-4/", "Инфо")</f>
        <v>Инфо</v>
      </c>
      <c r="F2530" s="16" t="s">
        <v>4839</v>
      </c>
      <c r="G2530" s="15"/>
      <c r="H2530" s="15"/>
      <c r="I2530" s="15"/>
      <c r="J2530" s="22">
        <v>1290</v>
      </c>
      <c r="K2530" s="15"/>
      <c r="L2530" s="17">
        <v>5</v>
      </c>
      <c r="M2530" s="17">
        <v>60</v>
      </c>
      <c r="N2530" s="17">
        <v>5</v>
      </c>
      <c r="O2530" s="18">
        <v>495.87</v>
      </c>
      <c r="P2530" s="18">
        <v>406.45</v>
      </c>
      <c r="Q2530" s="18">
        <v>421.49</v>
      </c>
      <c r="R2530" s="18">
        <v>345.48</v>
      </c>
      <c r="S2530" s="18">
        <v>337.19</v>
      </c>
      <c r="T2530" s="18">
        <v>276.39</v>
      </c>
      <c r="U2530" s="16"/>
      <c r="V2530" s="16"/>
      <c r="W2530" s="16" t="s">
        <v>40</v>
      </c>
      <c r="X2530" s="19">
        <v>0.2</v>
      </c>
      <c r="Y2530" s="20">
        <v>2.8200000000000002E-4</v>
      </c>
      <c r="Z2530" s="21">
        <v>4601004057098</v>
      </c>
    </row>
    <row r="2531" spans="1:26" ht="12.95" customHeight="1" outlineLevel="2" x14ac:dyDescent="0.2">
      <c r="A2531" s="76" t="s">
        <v>4973</v>
      </c>
      <c r="B2531" s="76"/>
      <c r="C2531" s="77"/>
      <c r="D2531" s="58"/>
      <c r="E2531" s="68"/>
      <c r="F2531" s="13"/>
      <c r="G2531" s="13"/>
      <c r="H2531" s="13"/>
      <c r="I2531" s="13"/>
      <c r="J2531" s="13"/>
      <c r="K2531" s="13"/>
      <c r="L2531" s="13"/>
      <c r="M2531" s="13"/>
      <c r="N2531" s="13"/>
      <c r="O2531" s="13"/>
      <c r="P2531" s="13"/>
      <c r="Q2531" s="13"/>
      <c r="R2531" s="13"/>
      <c r="S2531" s="13"/>
      <c r="T2531" s="13"/>
      <c r="U2531" s="13"/>
      <c r="V2531" s="13"/>
      <c r="W2531" s="13"/>
      <c r="X2531" s="13"/>
      <c r="Y2531" s="13"/>
      <c r="Z2531" s="13"/>
    </row>
    <row r="2532" spans="1:26" ht="12.95" customHeight="1" outlineLevel="3" x14ac:dyDescent="0.2">
      <c r="A2532" s="76" t="s">
        <v>4974</v>
      </c>
      <c r="B2532" s="76"/>
      <c r="C2532" s="77"/>
      <c r="D2532" s="58"/>
      <c r="E2532" s="68"/>
      <c r="F2532" s="13"/>
      <c r="G2532" s="13"/>
      <c r="H2532" s="13"/>
      <c r="I2532" s="13"/>
      <c r="J2532" s="13"/>
      <c r="K2532" s="13"/>
      <c r="L2532" s="13"/>
      <c r="M2532" s="13"/>
      <c r="N2532" s="13"/>
      <c r="O2532" s="13"/>
      <c r="P2532" s="13"/>
      <c r="Q2532" s="13"/>
      <c r="R2532" s="13"/>
      <c r="S2532" s="13"/>
      <c r="T2532" s="13"/>
      <c r="U2532" s="13"/>
      <c r="V2532" s="13"/>
      <c r="W2532" s="13"/>
      <c r="X2532" s="13"/>
      <c r="Y2532" s="13"/>
      <c r="Z2532" s="13"/>
    </row>
    <row r="2533" spans="1:26" ht="12" customHeight="1" outlineLevel="4" x14ac:dyDescent="0.2">
      <c r="A2533" s="14" t="s">
        <v>4975</v>
      </c>
      <c r="B2533" s="26" t="s">
        <v>4976</v>
      </c>
      <c r="C2533" s="52"/>
      <c r="D2533" s="55">
        <f t="shared" si="39"/>
        <v>0</v>
      </c>
      <c r="E2533" s="63" t="str">
        <f>HYPERLINK("https://www.sds-group.ru/product/izolenta-vysokovoltnaya-samoslipayuschayasya-do-10kv-0-76h25-mm-5-m-kranz-KR-09-2510/", "Инфо")</f>
        <v>Инфо</v>
      </c>
      <c r="F2533" s="16" t="s">
        <v>4839</v>
      </c>
      <c r="G2533" s="15"/>
      <c r="H2533" s="15"/>
      <c r="I2533" s="15"/>
      <c r="J2533" s="17">
        <v>723</v>
      </c>
      <c r="K2533" s="15" t="s">
        <v>4863</v>
      </c>
      <c r="L2533" s="17">
        <v>5</v>
      </c>
      <c r="M2533" s="17">
        <v>60</v>
      </c>
      <c r="N2533" s="17">
        <v>5</v>
      </c>
      <c r="O2533" s="18">
        <v>292.39999999999998</v>
      </c>
      <c r="P2533" s="18">
        <v>239.67</v>
      </c>
      <c r="Q2533" s="18">
        <v>248.54</v>
      </c>
      <c r="R2533" s="18">
        <v>203.72</v>
      </c>
      <c r="S2533" s="18">
        <v>198.83</v>
      </c>
      <c r="T2533" s="18">
        <v>162.97999999999999</v>
      </c>
      <c r="U2533" s="16"/>
      <c r="V2533" s="16"/>
      <c r="W2533" s="16" t="s">
        <v>40</v>
      </c>
      <c r="X2533" s="19">
        <v>0.21299999999999999</v>
      </c>
      <c r="Y2533" s="20">
        <v>3.3799999999999998E-4</v>
      </c>
      <c r="Z2533" s="21">
        <v>4601004226012</v>
      </c>
    </row>
    <row r="2534" spans="1:26" ht="12" customHeight="1" outlineLevel="4" x14ac:dyDescent="0.2">
      <c r="A2534" s="14" t="s">
        <v>4977</v>
      </c>
      <c r="B2534" s="26" t="s">
        <v>4978</v>
      </c>
      <c r="C2534" s="52"/>
      <c r="D2534" s="55">
        <f t="shared" si="39"/>
        <v>0</v>
      </c>
      <c r="E2534" s="63" t="str">
        <f>HYPERLINK("https://www.sds-group.ru/product/izolenta-vysokovoltnaya-kranz-samoslipayuschayasya-do-25kv-0-8h15-mm-5-m-KR-09-2512/", "Инфо")</f>
        <v>Инфо</v>
      </c>
      <c r="F2534" s="16" t="s">
        <v>4839</v>
      </c>
      <c r="G2534" s="15"/>
      <c r="H2534" s="15"/>
      <c r="I2534" s="15"/>
      <c r="J2534" s="16" t="s">
        <v>100</v>
      </c>
      <c r="K2534" s="15" t="s">
        <v>4863</v>
      </c>
      <c r="L2534" s="17">
        <v>5</v>
      </c>
      <c r="M2534" s="17">
        <v>120</v>
      </c>
      <c r="N2534" s="17">
        <v>5</v>
      </c>
      <c r="O2534" s="18">
        <v>269.01</v>
      </c>
      <c r="P2534" s="18">
        <v>220.5</v>
      </c>
      <c r="Q2534" s="18">
        <v>228.66</v>
      </c>
      <c r="R2534" s="18">
        <v>187.43</v>
      </c>
      <c r="S2534" s="18">
        <v>182.93</v>
      </c>
      <c r="T2534" s="18">
        <v>149.94</v>
      </c>
      <c r="U2534" s="16"/>
      <c r="V2534" s="16"/>
      <c r="W2534" s="16" t="s">
        <v>40</v>
      </c>
      <c r="X2534" s="19">
        <v>0.13100000000000001</v>
      </c>
      <c r="Y2534" s="20">
        <v>2.1800000000000001E-4</v>
      </c>
      <c r="Z2534" s="21">
        <v>4601004225985</v>
      </c>
    </row>
    <row r="2535" spans="1:26" ht="12" customHeight="1" outlineLevel="4" x14ac:dyDescent="0.2">
      <c r="A2535" s="14" t="s">
        <v>4979</v>
      </c>
      <c r="B2535" s="26" t="s">
        <v>4980</v>
      </c>
      <c r="C2535" s="52"/>
      <c r="D2535" s="55">
        <f t="shared" si="39"/>
        <v>0</v>
      </c>
      <c r="E2535" s="63" t="str">
        <f>HYPERLINK("https://www.sds-group.ru/product/izolenta-vysokovoltnaya-kranz-samoslipayuschayasya-do-25kv-0-8h20-mm-10-m-KR-09-2513/", "Инфо")</f>
        <v>Инфо</v>
      </c>
      <c r="F2535" s="16" t="s">
        <v>4839</v>
      </c>
      <c r="G2535" s="15"/>
      <c r="H2535" s="15"/>
      <c r="I2535" s="15"/>
      <c r="J2535" s="17">
        <v>774</v>
      </c>
      <c r="K2535" s="15" t="s">
        <v>4926</v>
      </c>
      <c r="L2535" s="17">
        <v>1</v>
      </c>
      <c r="M2535" s="17">
        <v>40</v>
      </c>
      <c r="N2535" s="17">
        <v>1</v>
      </c>
      <c r="O2535" s="18">
        <v>636.32000000000005</v>
      </c>
      <c r="P2535" s="18">
        <v>521.57000000000005</v>
      </c>
      <c r="Q2535" s="18">
        <v>509.06</v>
      </c>
      <c r="R2535" s="18">
        <v>417.26</v>
      </c>
      <c r="S2535" s="18">
        <v>432.7</v>
      </c>
      <c r="T2535" s="18">
        <v>354.67</v>
      </c>
      <c r="U2535" s="16"/>
      <c r="V2535" s="16"/>
      <c r="W2535" s="16" t="s">
        <v>40</v>
      </c>
      <c r="X2535" s="19">
        <v>0.33200000000000002</v>
      </c>
      <c r="Y2535" s="20">
        <v>4.4700000000000002E-4</v>
      </c>
      <c r="Z2535" s="21">
        <v>4601004225992</v>
      </c>
    </row>
    <row r="2536" spans="1:26" ht="12" customHeight="1" outlineLevel="4" x14ac:dyDescent="0.2">
      <c r="A2536" s="14" t="s">
        <v>4981</v>
      </c>
      <c r="B2536" s="26" t="s">
        <v>4982</v>
      </c>
      <c r="C2536" s="52"/>
      <c r="D2536" s="55">
        <f t="shared" si="39"/>
        <v>0</v>
      </c>
      <c r="E2536" s="63" t="str">
        <f>HYPERLINK("https://www.sds-group.ru/product/izolenta-vysokovoltnaya-samoslipayuschayasya-do-1kv-0-76h25-mm-5-m-kranz-KR-09-2511/", "Инфо")</f>
        <v>Инфо</v>
      </c>
      <c r="F2536" s="16" t="s">
        <v>4839</v>
      </c>
      <c r="G2536" s="15"/>
      <c r="H2536" s="15"/>
      <c r="I2536" s="15"/>
      <c r="J2536" s="22">
        <v>3794</v>
      </c>
      <c r="K2536" s="15" t="s">
        <v>4863</v>
      </c>
      <c r="L2536" s="17">
        <v>5</v>
      </c>
      <c r="M2536" s="17">
        <v>60</v>
      </c>
      <c r="N2536" s="17">
        <v>5</v>
      </c>
      <c r="O2536" s="18">
        <v>280.48</v>
      </c>
      <c r="P2536" s="18">
        <v>229.9</v>
      </c>
      <c r="Q2536" s="18">
        <v>238.41</v>
      </c>
      <c r="R2536" s="18">
        <v>195.42</v>
      </c>
      <c r="S2536" s="18">
        <v>190.73</v>
      </c>
      <c r="T2536" s="18">
        <v>156.34</v>
      </c>
      <c r="U2536" s="16"/>
      <c r="V2536" s="16"/>
      <c r="W2536" s="16" t="s">
        <v>40</v>
      </c>
      <c r="X2536" s="19">
        <v>0.21099999999999999</v>
      </c>
      <c r="Y2536" s="20">
        <v>3.2899999999999997E-4</v>
      </c>
      <c r="Z2536" s="21">
        <v>4601004226005</v>
      </c>
    </row>
    <row r="2537" spans="1:26" ht="12.95" customHeight="1" outlineLevel="3" x14ac:dyDescent="0.2">
      <c r="A2537" s="76" t="s">
        <v>4983</v>
      </c>
      <c r="B2537" s="76"/>
      <c r="C2537" s="77"/>
      <c r="D2537" s="58"/>
      <c r="E2537" s="68"/>
      <c r="F2537" s="13"/>
      <c r="G2537" s="13"/>
      <c r="H2537" s="13"/>
      <c r="I2537" s="13"/>
      <c r="J2537" s="13"/>
      <c r="K2537" s="13"/>
      <c r="L2537" s="13"/>
      <c r="M2537" s="13"/>
      <c r="N2537" s="13"/>
      <c r="O2537" s="13"/>
      <c r="P2537" s="13"/>
      <c r="Q2537" s="13"/>
      <c r="R2537" s="13"/>
      <c r="S2537" s="13"/>
      <c r="T2537" s="13"/>
      <c r="U2537" s="13"/>
      <c r="V2537" s="13"/>
      <c r="W2537" s="13"/>
      <c r="X2537" s="13"/>
      <c r="Y2537" s="13"/>
      <c r="Z2537" s="13"/>
    </row>
    <row r="2538" spans="1:26" ht="12" customHeight="1" outlineLevel="4" x14ac:dyDescent="0.2">
      <c r="A2538" s="14" t="s">
        <v>4984</v>
      </c>
      <c r="B2538" s="26" t="s">
        <v>4985</v>
      </c>
      <c r="C2538" s="52"/>
      <c r="D2538" s="55">
        <f t="shared" si="39"/>
        <v>0</v>
      </c>
      <c r="E2538" s="63" t="str">
        <f>HYPERLINK("https://www.sds-group.ru/product/izolenta-avtomobilnaya-kranz-poliester-0-17h19-mm-25-m-KR-09-2916/", "Инфо")</f>
        <v>Инфо</v>
      </c>
      <c r="F2538" s="16" t="s">
        <v>4839</v>
      </c>
      <c r="G2538" s="15"/>
      <c r="H2538" s="15"/>
      <c r="I2538" s="15"/>
      <c r="J2538" s="22">
        <v>3805</v>
      </c>
      <c r="K2538" s="15" t="s">
        <v>4863</v>
      </c>
      <c r="L2538" s="17">
        <v>5</v>
      </c>
      <c r="M2538" s="17">
        <v>120</v>
      </c>
      <c r="N2538" s="17">
        <v>5</v>
      </c>
      <c r="O2538" s="18">
        <v>369.71</v>
      </c>
      <c r="P2538" s="18">
        <v>303.04000000000002</v>
      </c>
      <c r="Q2538" s="18">
        <v>314.25</v>
      </c>
      <c r="R2538" s="18">
        <v>257.58</v>
      </c>
      <c r="S2538" s="18">
        <v>251.4</v>
      </c>
      <c r="T2538" s="18">
        <v>206.07</v>
      </c>
      <c r="U2538" s="16"/>
      <c r="V2538" s="16"/>
      <c r="W2538" s="16" t="s">
        <v>40</v>
      </c>
      <c r="X2538" s="19">
        <v>0.11899999999999999</v>
      </c>
      <c r="Y2538" s="20">
        <v>2.9700000000000001E-4</v>
      </c>
      <c r="Z2538" s="21">
        <v>4601004226029</v>
      </c>
    </row>
    <row r="2539" spans="1:26" ht="12" customHeight="1" outlineLevel="4" x14ac:dyDescent="0.2">
      <c r="A2539" s="14" t="s">
        <v>4986</v>
      </c>
      <c r="B2539" s="26" t="s">
        <v>4987</v>
      </c>
      <c r="C2539" s="52"/>
      <c r="D2539" s="55">
        <f t="shared" si="39"/>
        <v>0</v>
      </c>
      <c r="E2539" s="63" t="str">
        <f>HYPERLINK("https://www.sds-group.ru/product/izolenta-avtomobilnaya-kranz-poliester-0-17h25-mm-25-m-KR-09-2916-1/", "Инфо")</f>
        <v>Инфо</v>
      </c>
      <c r="F2539" s="16" t="s">
        <v>4839</v>
      </c>
      <c r="G2539" s="15"/>
      <c r="H2539" s="15"/>
      <c r="I2539" s="15"/>
      <c r="J2539" s="22">
        <v>2922</v>
      </c>
      <c r="K2539" s="15" t="s">
        <v>4863</v>
      </c>
      <c r="L2539" s="17">
        <v>5</v>
      </c>
      <c r="M2539" s="17">
        <v>120</v>
      </c>
      <c r="N2539" s="17">
        <v>5</v>
      </c>
      <c r="O2539" s="18">
        <v>475.81</v>
      </c>
      <c r="P2539" s="18">
        <v>390.01</v>
      </c>
      <c r="Q2539" s="18">
        <v>404.44</v>
      </c>
      <c r="R2539" s="18">
        <v>331.51</v>
      </c>
      <c r="S2539" s="18">
        <v>323.55</v>
      </c>
      <c r="T2539" s="18">
        <v>265.2</v>
      </c>
      <c r="U2539" s="16"/>
      <c r="V2539" s="16"/>
      <c r="W2539" s="16" t="s">
        <v>40</v>
      </c>
      <c r="X2539" s="19">
        <v>0.152</v>
      </c>
      <c r="Y2539" s="20">
        <v>3.6200000000000002E-4</v>
      </c>
      <c r="Z2539" s="21">
        <v>4601004226036</v>
      </c>
    </row>
    <row r="2540" spans="1:26" ht="12" customHeight="1" outlineLevel="4" x14ac:dyDescent="0.2">
      <c r="A2540" s="14" t="s">
        <v>4988</v>
      </c>
      <c r="B2540" s="26" t="s">
        <v>4989</v>
      </c>
      <c r="C2540" s="52"/>
      <c r="D2540" s="55">
        <f t="shared" si="39"/>
        <v>0</v>
      </c>
      <c r="E2540" s="63" t="str">
        <f>HYPERLINK("https://www.sds-group.ru/product/izolenta-avtomobilnaya-flis-0-3h19-mm-15-m-kranz-KR-09-2906/", "Инфо")</f>
        <v>Инфо</v>
      </c>
      <c r="F2540" s="16" t="s">
        <v>4839</v>
      </c>
      <c r="G2540" s="15"/>
      <c r="H2540" s="15"/>
      <c r="I2540" s="15"/>
      <c r="J2540" s="22">
        <v>18997</v>
      </c>
      <c r="K2540" s="15" t="s">
        <v>4863</v>
      </c>
      <c r="L2540" s="17">
        <v>5</v>
      </c>
      <c r="M2540" s="17">
        <v>120</v>
      </c>
      <c r="N2540" s="17">
        <v>5</v>
      </c>
      <c r="O2540" s="18">
        <v>226.63</v>
      </c>
      <c r="P2540" s="18">
        <v>185.76</v>
      </c>
      <c r="Q2540" s="18">
        <v>192.64</v>
      </c>
      <c r="R2540" s="18">
        <v>157.9</v>
      </c>
      <c r="S2540" s="18">
        <v>154.11000000000001</v>
      </c>
      <c r="T2540" s="18">
        <v>126.32</v>
      </c>
      <c r="U2540" s="16"/>
      <c r="V2540" s="16"/>
      <c r="W2540" s="16" t="s">
        <v>40</v>
      </c>
      <c r="X2540" s="19">
        <v>7.0000000000000007E-2</v>
      </c>
      <c r="Y2540" s="20">
        <v>2.9300000000000002E-4</v>
      </c>
      <c r="Z2540" s="21">
        <v>4601004226043</v>
      </c>
    </row>
    <row r="2541" spans="1:26" ht="12" customHeight="1" outlineLevel="4" x14ac:dyDescent="0.2">
      <c r="A2541" s="14" t="s">
        <v>4990</v>
      </c>
      <c r="B2541" s="26" t="s">
        <v>4991</v>
      </c>
      <c r="C2541" s="52"/>
      <c r="D2541" s="55">
        <f t="shared" si="39"/>
        <v>0</v>
      </c>
      <c r="E2541" s="63" t="str">
        <f>HYPERLINK("https://www.sds-group.ru/product/izolenta-avtomobilnaya-flis-0-3h25-mm-15-m-kranz-KR-09-2906-1/", "Инфо")</f>
        <v>Инфо</v>
      </c>
      <c r="F2541" s="16" t="s">
        <v>4839</v>
      </c>
      <c r="G2541" s="15"/>
      <c r="H2541" s="15"/>
      <c r="I2541" s="15"/>
      <c r="J2541" s="22">
        <v>9365</v>
      </c>
      <c r="K2541" s="15" t="s">
        <v>4863</v>
      </c>
      <c r="L2541" s="17">
        <v>5</v>
      </c>
      <c r="M2541" s="17">
        <v>120</v>
      </c>
      <c r="N2541" s="17">
        <v>5</v>
      </c>
      <c r="O2541" s="18">
        <v>323.36</v>
      </c>
      <c r="P2541" s="18">
        <v>265.05</v>
      </c>
      <c r="Q2541" s="18">
        <v>274.86</v>
      </c>
      <c r="R2541" s="18">
        <v>225.3</v>
      </c>
      <c r="S2541" s="18">
        <v>219.88</v>
      </c>
      <c r="T2541" s="18">
        <v>180.23</v>
      </c>
      <c r="U2541" s="16"/>
      <c r="V2541" s="16"/>
      <c r="W2541" s="16" t="s">
        <v>40</v>
      </c>
      <c r="X2541" s="19">
        <v>8.5999999999999993E-2</v>
      </c>
      <c r="Y2541" s="20">
        <v>3.7199999999999999E-4</v>
      </c>
      <c r="Z2541" s="21">
        <v>4601004226050</v>
      </c>
    </row>
    <row r="2542" spans="1:26" ht="12.95" customHeight="1" outlineLevel="3" x14ac:dyDescent="0.2">
      <c r="A2542" s="76" t="s">
        <v>4992</v>
      </c>
      <c r="B2542" s="76"/>
      <c r="C2542" s="77"/>
      <c r="D2542" s="58"/>
      <c r="E2542" s="68"/>
      <c r="F2542" s="13"/>
      <c r="G2542" s="13"/>
      <c r="H2542" s="13"/>
      <c r="I2542" s="13"/>
      <c r="J2542" s="13"/>
      <c r="K2542" s="13"/>
      <c r="L2542" s="13"/>
      <c r="M2542" s="13"/>
      <c r="N2542" s="13"/>
      <c r="O2542" s="13"/>
      <c r="P2542" s="13"/>
      <c r="Q2542" s="13"/>
      <c r="R2542" s="13"/>
      <c r="S2542" s="13"/>
      <c r="T2542" s="13"/>
      <c r="U2542" s="13"/>
      <c r="V2542" s="13"/>
      <c r="W2542" s="13"/>
      <c r="X2542" s="13"/>
      <c r="Y2542" s="13"/>
      <c r="Z2542" s="13"/>
    </row>
    <row r="2543" spans="1:26" ht="12" customHeight="1" outlineLevel="4" x14ac:dyDescent="0.2">
      <c r="A2543" s="14" t="s">
        <v>4993</v>
      </c>
      <c r="B2543" s="26" t="s">
        <v>4994</v>
      </c>
      <c r="C2543" s="52"/>
      <c r="D2543" s="55">
        <f t="shared" si="39"/>
        <v>0</v>
      </c>
      <c r="E2543" s="63" t="str">
        <f>HYPERLINK("https://www.sds-group.ru/product/lenta-ograditelnaya-opasnaya-zona-75-mm-h-250-m-belo-krasnaya-rexant-19-3027/", "Инфо")</f>
        <v>Инфо</v>
      </c>
      <c r="F2543" s="16" t="s">
        <v>39</v>
      </c>
      <c r="G2543" s="15"/>
      <c r="H2543" s="15"/>
      <c r="I2543" s="15"/>
      <c r="J2543" s="22">
        <v>1297</v>
      </c>
      <c r="K2543" s="15"/>
      <c r="L2543" s="17">
        <v>1</v>
      </c>
      <c r="M2543" s="17">
        <v>5</v>
      </c>
      <c r="N2543" s="17">
        <v>1</v>
      </c>
      <c r="O2543" s="18">
        <v>714.28</v>
      </c>
      <c r="P2543" s="18">
        <v>585.48</v>
      </c>
      <c r="Q2543" s="18">
        <v>571.41999999999996</v>
      </c>
      <c r="R2543" s="18">
        <v>468.38</v>
      </c>
      <c r="S2543" s="18">
        <v>485.71</v>
      </c>
      <c r="T2543" s="18">
        <v>398.12</v>
      </c>
      <c r="U2543" s="16"/>
      <c r="V2543" s="16"/>
      <c r="W2543" s="16" t="s">
        <v>40</v>
      </c>
      <c r="X2543" s="19">
        <v>0.82699999999999996</v>
      </c>
      <c r="Y2543" s="20">
        <v>1.498E-3</v>
      </c>
      <c r="Z2543" s="21">
        <v>4601004234277</v>
      </c>
    </row>
    <row r="2544" spans="1:26" ht="12" customHeight="1" outlineLevel="4" x14ac:dyDescent="0.2">
      <c r="A2544" s="14" t="s">
        <v>4995</v>
      </c>
      <c r="B2544" s="26" t="s">
        <v>4996</v>
      </c>
      <c r="C2544" s="52"/>
      <c r="D2544" s="55">
        <f t="shared" si="39"/>
        <v>0</v>
      </c>
      <c r="E2544" s="63" t="str">
        <f>HYPERLINK("https://www.sds-group.ru/product/lenta-ograditelnaya-prohod-zapreschen-75-mm-h-250-m-belo-krasnaya-rexant-19-3026/", "Инфо")</f>
        <v>Инфо</v>
      </c>
      <c r="F2544" s="16" t="s">
        <v>39</v>
      </c>
      <c r="G2544" s="15"/>
      <c r="H2544" s="15"/>
      <c r="I2544" s="15"/>
      <c r="J2544" s="17">
        <v>886</v>
      </c>
      <c r="K2544" s="15"/>
      <c r="L2544" s="17">
        <v>1</v>
      </c>
      <c r="M2544" s="17">
        <v>5</v>
      </c>
      <c r="N2544" s="17">
        <v>1</v>
      </c>
      <c r="O2544" s="18">
        <v>711.55</v>
      </c>
      <c r="P2544" s="18">
        <v>583.24</v>
      </c>
      <c r="Q2544" s="18">
        <v>569.24</v>
      </c>
      <c r="R2544" s="18">
        <v>466.59</v>
      </c>
      <c r="S2544" s="18">
        <v>483.85</v>
      </c>
      <c r="T2544" s="18">
        <v>396.6</v>
      </c>
      <c r="U2544" s="16"/>
      <c r="V2544" s="16"/>
      <c r="W2544" s="16" t="s">
        <v>40</v>
      </c>
      <c r="X2544" s="19">
        <v>1.0980000000000001</v>
      </c>
      <c r="Y2544" s="20">
        <v>1.6479999999999999E-3</v>
      </c>
      <c r="Z2544" s="21">
        <v>4601004234260</v>
      </c>
    </row>
    <row r="2545" spans="1:26" ht="12" customHeight="1" outlineLevel="4" x14ac:dyDescent="0.2">
      <c r="A2545" s="14" t="s">
        <v>4997</v>
      </c>
      <c r="B2545" s="26" t="s">
        <v>4998</v>
      </c>
      <c r="C2545" s="52"/>
      <c r="D2545" s="55">
        <f t="shared" si="39"/>
        <v>0</v>
      </c>
      <c r="E2545" s="63" t="str">
        <f>HYPERLINK("https://www.sds-group.ru/product/lenta-ograditelnaya-75-mm-h-100-m-belo-krasnaya-proconnect-19-3135/", "Инфо")</f>
        <v>Инфо</v>
      </c>
      <c r="F2545" s="16" t="s">
        <v>39</v>
      </c>
      <c r="G2545" s="15"/>
      <c r="H2545" s="15"/>
      <c r="I2545" s="15"/>
      <c r="J2545" s="22">
        <v>2789</v>
      </c>
      <c r="K2545" s="15" t="s">
        <v>1888</v>
      </c>
      <c r="L2545" s="17">
        <v>10</v>
      </c>
      <c r="M2545" s="17">
        <v>5</v>
      </c>
      <c r="N2545" s="17">
        <v>10</v>
      </c>
      <c r="O2545" s="18">
        <v>206.12</v>
      </c>
      <c r="P2545" s="18">
        <v>168.95</v>
      </c>
      <c r="Q2545" s="18">
        <v>175.2</v>
      </c>
      <c r="R2545" s="18">
        <v>143.61000000000001</v>
      </c>
      <c r="S2545" s="18">
        <v>140.16</v>
      </c>
      <c r="T2545" s="18">
        <v>114.89</v>
      </c>
      <c r="U2545" s="16"/>
      <c r="V2545" s="16"/>
      <c r="W2545" s="16" t="s">
        <v>40</v>
      </c>
      <c r="X2545" s="19">
        <v>0.34399999999999997</v>
      </c>
      <c r="Y2545" s="20">
        <v>1.0629999999999999E-3</v>
      </c>
      <c r="Z2545" s="21">
        <v>4601004022034</v>
      </c>
    </row>
    <row r="2546" spans="1:26" ht="12" customHeight="1" outlineLevel="4" x14ac:dyDescent="0.2">
      <c r="A2546" s="14" t="s">
        <v>4999</v>
      </c>
      <c r="B2546" s="26" t="s">
        <v>5000</v>
      </c>
      <c r="C2546" s="52"/>
      <c r="D2546" s="55">
        <f t="shared" si="39"/>
        <v>0</v>
      </c>
      <c r="E2546" s="63" t="str">
        <f>HYPERLINK("https://www.sds-group.ru/product/lenta-ograditelnaya-75-mm-h-100-m-belo-krasnaya-rexant-19-3150/", "Инфо")</f>
        <v>Инфо</v>
      </c>
      <c r="F2546" s="16" t="s">
        <v>39</v>
      </c>
      <c r="G2546" s="15"/>
      <c r="H2546" s="15"/>
      <c r="I2546" s="15"/>
      <c r="J2546" s="17">
        <v>226</v>
      </c>
      <c r="K2546" s="15"/>
      <c r="L2546" s="17">
        <v>5</v>
      </c>
      <c r="M2546" s="17">
        <v>5</v>
      </c>
      <c r="N2546" s="17">
        <v>5</v>
      </c>
      <c r="O2546" s="18">
        <v>293.57</v>
      </c>
      <c r="P2546" s="18">
        <v>240.63</v>
      </c>
      <c r="Q2546" s="18">
        <v>205.5</v>
      </c>
      <c r="R2546" s="18">
        <v>168.44</v>
      </c>
      <c r="S2546" s="18">
        <v>199.63</v>
      </c>
      <c r="T2546" s="18">
        <v>163.63</v>
      </c>
      <c r="U2546" s="16"/>
      <c r="V2546" s="16"/>
      <c r="W2546" s="16"/>
      <c r="X2546" s="19">
        <v>0.41899999999999998</v>
      </c>
      <c r="Y2546" s="20">
        <v>1.0529999999999999E-3</v>
      </c>
      <c r="Z2546" s="21">
        <v>4601004022027</v>
      </c>
    </row>
    <row r="2547" spans="1:26" ht="12" customHeight="1" outlineLevel="4" x14ac:dyDescent="0.2">
      <c r="A2547" s="14" t="s">
        <v>5001</v>
      </c>
      <c r="B2547" s="26" t="s">
        <v>5002</v>
      </c>
      <c r="C2547" s="52"/>
      <c r="D2547" s="55">
        <f t="shared" si="39"/>
        <v>0</v>
      </c>
      <c r="E2547" s="63" t="str">
        <f>HYPERLINK("https://www.sds-group.ru/product/lenta-ograditelnaya-75-mm-h-250-m-belo-krasnaya-proconnect-19-3235/", "Инфо")</f>
        <v>Инфо</v>
      </c>
      <c r="F2547" s="16" t="s">
        <v>39</v>
      </c>
      <c r="G2547" s="15"/>
      <c r="H2547" s="15"/>
      <c r="I2547" s="15"/>
      <c r="J2547" s="22">
        <v>2308</v>
      </c>
      <c r="K2547" s="15" t="s">
        <v>1888</v>
      </c>
      <c r="L2547" s="17">
        <v>5</v>
      </c>
      <c r="M2547" s="17">
        <v>5</v>
      </c>
      <c r="N2547" s="17">
        <v>5</v>
      </c>
      <c r="O2547" s="18">
        <v>492.91</v>
      </c>
      <c r="P2547" s="18">
        <v>404.02</v>
      </c>
      <c r="Q2547" s="18">
        <v>394.33</v>
      </c>
      <c r="R2547" s="18">
        <v>323.22000000000003</v>
      </c>
      <c r="S2547" s="18">
        <v>335.18</v>
      </c>
      <c r="T2547" s="18">
        <v>274.74</v>
      </c>
      <c r="U2547" s="16"/>
      <c r="V2547" s="16"/>
      <c r="W2547" s="16" t="s">
        <v>40</v>
      </c>
      <c r="X2547" s="19">
        <v>0.67900000000000005</v>
      </c>
      <c r="Y2547" s="20">
        <v>1.333E-3</v>
      </c>
      <c r="Z2547" s="21">
        <v>4601004022041</v>
      </c>
    </row>
    <row r="2548" spans="1:26" ht="12" customHeight="1" outlineLevel="4" x14ac:dyDescent="0.2">
      <c r="A2548" s="14" t="s">
        <v>5003</v>
      </c>
      <c r="B2548" s="26" t="s">
        <v>5004</v>
      </c>
      <c r="C2548" s="52"/>
      <c r="D2548" s="55">
        <f t="shared" si="39"/>
        <v>0</v>
      </c>
      <c r="E2548" s="63" t="str">
        <f>HYPERLINK("https://www.sds-group.ru/product/lenta-ograditelnaya-75-mm-h-250-m-belo-krasnaya-rexant-19-3250/", "Инфо")</f>
        <v>Инфо</v>
      </c>
      <c r="F2548" s="16" t="s">
        <v>39</v>
      </c>
      <c r="G2548" s="15"/>
      <c r="H2548" s="15"/>
      <c r="I2548" s="15"/>
      <c r="J2548" s="16" t="s">
        <v>100</v>
      </c>
      <c r="K2548" s="15" t="s">
        <v>1408</v>
      </c>
      <c r="L2548" s="17">
        <v>1</v>
      </c>
      <c r="M2548" s="17">
        <v>5</v>
      </c>
      <c r="N2548" s="17">
        <v>1</v>
      </c>
      <c r="O2548" s="18">
        <v>677.81</v>
      </c>
      <c r="P2548" s="18">
        <v>555.58000000000004</v>
      </c>
      <c r="Q2548" s="18">
        <v>542.25</v>
      </c>
      <c r="R2548" s="18">
        <v>444.47</v>
      </c>
      <c r="S2548" s="18">
        <v>460.91</v>
      </c>
      <c r="T2548" s="18">
        <v>377.8</v>
      </c>
      <c r="U2548" s="16"/>
      <c r="V2548" s="16"/>
      <c r="W2548" s="16" t="s">
        <v>40</v>
      </c>
      <c r="X2548" s="19">
        <v>0.91400000000000003</v>
      </c>
      <c r="Y2548" s="20">
        <v>1.846E-3</v>
      </c>
      <c r="Z2548" s="21">
        <v>4601004022003</v>
      </c>
    </row>
    <row r="2549" spans="1:26" ht="12" customHeight="1" outlineLevel="4" x14ac:dyDescent="0.2">
      <c r="A2549" s="14" t="s">
        <v>5005</v>
      </c>
      <c r="B2549" s="26" t="s">
        <v>5006</v>
      </c>
      <c r="C2549" s="52"/>
      <c r="D2549" s="55">
        <f t="shared" si="39"/>
        <v>0</v>
      </c>
      <c r="E2549" s="63" t="str">
        <f>HYPERLINK("https://www.sds-group.ru/product/lenta-ograditelnaya-75-mm-h-50-m-belo-krasnaya-proconnect-19-3136/", "Инфо")</f>
        <v>Инфо</v>
      </c>
      <c r="F2549" s="16" t="s">
        <v>39</v>
      </c>
      <c r="G2549" s="15"/>
      <c r="H2549" s="15"/>
      <c r="I2549" s="15"/>
      <c r="J2549" s="16" t="s">
        <v>100</v>
      </c>
      <c r="K2549" s="15" t="s">
        <v>1888</v>
      </c>
      <c r="L2549" s="17">
        <v>10</v>
      </c>
      <c r="M2549" s="17">
        <v>5</v>
      </c>
      <c r="N2549" s="17">
        <v>10</v>
      </c>
      <c r="O2549" s="18">
        <v>132.72</v>
      </c>
      <c r="P2549" s="18">
        <v>108.79</v>
      </c>
      <c r="Q2549" s="18">
        <v>112.81</v>
      </c>
      <c r="R2549" s="18">
        <v>92.47</v>
      </c>
      <c r="S2549" s="18">
        <v>90.25</v>
      </c>
      <c r="T2549" s="18">
        <v>73.98</v>
      </c>
      <c r="U2549" s="16"/>
      <c r="V2549" s="16"/>
      <c r="W2549" s="16" t="s">
        <v>40</v>
      </c>
      <c r="X2549" s="19">
        <v>0.20499999999999999</v>
      </c>
      <c r="Y2549" s="20">
        <v>7.5100000000000004E-4</v>
      </c>
      <c r="Z2549" s="21">
        <v>4601004030657</v>
      </c>
    </row>
    <row r="2550" spans="1:26" ht="12" customHeight="1" outlineLevel="4" x14ac:dyDescent="0.2">
      <c r="A2550" s="14" t="s">
        <v>5007</v>
      </c>
      <c r="B2550" s="26" t="s">
        <v>5008</v>
      </c>
      <c r="C2550" s="52"/>
      <c r="D2550" s="55">
        <f t="shared" si="39"/>
        <v>0</v>
      </c>
      <c r="E2550" s="63" t="str">
        <f>HYPERLINK("https://www.sds-group.ru/product/lenta-signalnaya-vnimanie-vodoprovod-200-mm-h-250-m-belo-sinyaya-rexant-19-3022/", "Инфо")</f>
        <v>Инфо</v>
      </c>
      <c r="F2550" s="16" t="s">
        <v>39</v>
      </c>
      <c r="G2550" s="15"/>
      <c r="H2550" s="15"/>
      <c r="I2550" s="15"/>
      <c r="J2550" s="16" t="s">
        <v>100</v>
      </c>
      <c r="K2550" s="15"/>
      <c r="L2550" s="17">
        <v>1</v>
      </c>
      <c r="M2550" s="17">
        <v>2</v>
      </c>
      <c r="N2550" s="17">
        <v>1</v>
      </c>
      <c r="O2550" s="18">
        <v>6043.56</v>
      </c>
      <c r="P2550" s="18">
        <v>4953.74</v>
      </c>
      <c r="Q2550" s="18">
        <v>4411.8</v>
      </c>
      <c r="R2550" s="18">
        <v>3616.23</v>
      </c>
      <c r="S2550" s="18">
        <v>4109.62</v>
      </c>
      <c r="T2550" s="18">
        <v>3368.54</v>
      </c>
      <c r="U2550" s="16"/>
      <c r="V2550" s="16"/>
      <c r="W2550" s="16" t="s">
        <v>40</v>
      </c>
      <c r="X2550" s="19">
        <v>7.5330000000000004</v>
      </c>
      <c r="Y2550" s="20">
        <v>1.3742000000000001E-2</v>
      </c>
      <c r="Z2550" s="21">
        <v>4601004234239</v>
      </c>
    </row>
    <row r="2551" spans="1:26" ht="12" customHeight="1" outlineLevel="4" x14ac:dyDescent="0.2">
      <c r="A2551" s="14" t="s">
        <v>5009</v>
      </c>
      <c r="B2551" s="26" t="s">
        <v>5010</v>
      </c>
      <c r="C2551" s="52"/>
      <c r="D2551" s="55">
        <f t="shared" si="39"/>
        <v>0</v>
      </c>
      <c r="E2551" s="63" t="str">
        <f>HYPERLINK("https://www.sds-group.ru/product/lenta-signalnaya-vnimanie-kanalizatsiya-200-mm-h-250-m-belo-chernaya-rexant-19-3024/", "Инфо")</f>
        <v>Инфо</v>
      </c>
      <c r="F2551" s="16" t="s">
        <v>39</v>
      </c>
      <c r="G2551" s="15"/>
      <c r="H2551" s="15"/>
      <c r="I2551" s="15"/>
      <c r="J2551" s="17">
        <v>34</v>
      </c>
      <c r="K2551" s="15"/>
      <c r="L2551" s="17">
        <v>1</v>
      </c>
      <c r="M2551" s="17">
        <v>2</v>
      </c>
      <c r="N2551" s="17">
        <v>1</v>
      </c>
      <c r="O2551" s="18">
        <v>6043.56</v>
      </c>
      <c r="P2551" s="18">
        <v>4953.74</v>
      </c>
      <c r="Q2551" s="18">
        <v>4411.8</v>
      </c>
      <c r="R2551" s="18">
        <v>3616.23</v>
      </c>
      <c r="S2551" s="18">
        <v>4109.62</v>
      </c>
      <c r="T2551" s="18">
        <v>3368.54</v>
      </c>
      <c r="U2551" s="16"/>
      <c r="V2551" s="16"/>
      <c r="W2551" s="16" t="s">
        <v>40</v>
      </c>
      <c r="X2551" s="19">
        <v>8.9190000000000005</v>
      </c>
      <c r="Y2551" s="20">
        <v>1.4479000000000001E-2</v>
      </c>
      <c r="Z2551" s="21">
        <v>4601004234253</v>
      </c>
    </row>
    <row r="2552" spans="1:26" ht="12" customHeight="1" outlineLevel="4" x14ac:dyDescent="0.2">
      <c r="A2552" s="14" t="s">
        <v>5011</v>
      </c>
      <c r="B2552" s="26" t="s">
        <v>5012</v>
      </c>
      <c r="C2552" s="52"/>
      <c r="D2552" s="55">
        <f t="shared" si="39"/>
        <v>0</v>
      </c>
      <c r="E2552" s="63" t="str">
        <f>HYPERLINK("https://www.sds-group.ru/product/lenta-signalnaya-vnimanie-teploset-200-mm-h-250-m-belo-krasnaya-rexant-19-3023/", "Инфо")</f>
        <v>Инфо</v>
      </c>
      <c r="F2552" s="16" t="s">
        <v>39</v>
      </c>
      <c r="G2552" s="15"/>
      <c r="H2552" s="15"/>
      <c r="I2552" s="15"/>
      <c r="J2552" s="16" t="s">
        <v>100</v>
      </c>
      <c r="K2552" s="15" t="s">
        <v>1888</v>
      </c>
      <c r="L2552" s="17">
        <v>1</v>
      </c>
      <c r="M2552" s="17">
        <v>2</v>
      </c>
      <c r="N2552" s="17">
        <v>1</v>
      </c>
      <c r="O2552" s="18">
        <v>6043.56</v>
      </c>
      <c r="P2552" s="18">
        <v>4953.74</v>
      </c>
      <c r="Q2552" s="18">
        <v>4411.8</v>
      </c>
      <c r="R2552" s="18">
        <v>3616.23</v>
      </c>
      <c r="S2552" s="18">
        <v>4109.62</v>
      </c>
      <c r="T2552" s="18">
        <v>3368.54</v>
      </c>
      <c r="U2552" s="16"/>
      <c r="V2552" s="16"/>
      <c r="W2552" s="16" t="s">
        <v>40</v>
      </c>
      <c r="X2552" s="19">
        <v>8.625</v>
      </c>
      <c r="Y2552" s="20">
        <v>1.2588999999999999E-2</v>
      </c>
      <c r="Z2552" s="21">
        <v>4601004234246</v>
      </c>
    </row>
    <row r="2553" spans="1:26" ht="12" customHeight="1" outlineLevel="4" x14ac:dyDescent="0.2">
      <c r="A2553" s="14" t="s">
        <v>5013</v>
      </c>
      <c r="B2553" s="26" t="s">
        <v>5014</v>
      </c>
      <c r="C2553" s="52"/>
      <c r="D2553" s="55">
        <f t="shared" si="39"/>
        <v>0</v>
      </c>
      <c r="E2553" s="63" t="str">
        <f>HYPERLINK("https://www.sds-group.ru/product/lenta-signalnaya-ne-kopat-nizhe-kabel-100-mm-h-250-m-oranzhevo-chernaya-rexant-19-3019/", "Инфо")</f>
        <v>Инфо</v>
      </c>
      <c r="F2553" s="16" t="s">
        <v>39</v>
      </c>
      <c r="G2553" s="15"/>
      <c r="H2553" s="15"/>
      <c r="I2553" s="15"/>
      <c r="J2553" s="16" t="s">
        <v>100</v>
      </c>
      <c r="K2553" s="15" t="s">
        <v>1888</v>
      </c>
      <c r="L2553" s="17">
        <v>1</v>
      </c>
      <c r="M2553" s="17">
        <v>5</v>
      </c>
      <c r="N2553" s="17">
        <v>1</v>
      </c>
      <c r="O2553" s="18">
        <v>2732.37</v>
      </c>
      <c r="P2553" s="18">
        <v>2239.65</v>
      </c>
      <c r="Q2553" s="18">
        <v>2103.92</v>
      </c>
      <c r="R2553" s="18">
        <v>1724.52</v>
      </c>
      <c r="S2553" s="18">
        <v>1858.01</v>
      </c>
      <c r="T2553" s="18">
        <v>1522.96</v>
      </c>
      <c r="U2553" s="16"/>
      <c r="V2553" s="16"/>
      <c r="W2553" s="16" t="s">
        <v>40</v>
      </c>
      <c r="X2553" s="19">
        <v>4.2619999999999996</v>
      </c>
      <c r="Y2553" s="20">
        <v>6.94E-3</v>
      </c>
      <c r="Z2553" s="21">
        <v>4601004234185</v>
      </c>
    </row>
    <row r="2554" spans="1:26" ht="12" customHeight="1" outlineLevel="4" x14ac:dyDescent="0.2">
      <c r="A2554" s="14" t="s">
        <v>5015</v>
      </c>
      <c r="B2554" s="26" t="s">
        <v>5016</v>
      </c>
      <c r="C2554" s="52"/>
      <c r="D2554" s="55">
        <f t="shared" si="39"/>
        <v>0</v>
      </c>
      <c r="E2554" s="63" t="str">
        <f>HYPERLINK("https://www.sds-group.ru/product/lenta-signalnaya-ne-kopat-nizhe-kabel-40-mm-h-250-m-oranzhevo-chernaya-rexant-19-3016/", "Инфо")</f>
        <v>Инфо</v>
      </c>
      <c r="F2554" s="16" t="s">
        <v>39</v>
      </c>
      <c r="G2554" s="15"/>
      <c r="H2554" s="15"/>
      <c r="I2554" s="15"/>
      <c r="J2554" s="17">
        <v>34</v>
      </c>
      <c r="K2554" s="15"/>
      <c r="L2554" s="17">
        <v>1</v>
      </c>
      <c r="M2554" s="17">
        <v>5</v>
      </c>
      <c r="N2554" s="17">
        <v>1</v>
      </c>
      <c r="O2554" s="18">
        <v>1248.68</v>
      </c>
      <c r="P2554" s="18">
        <v>1023.51</v>
      </c>
      <c r="Q2554" s="18">
        <v>998.94</v>
      </c>
      <c r="R2554" s="18">
        <v>818.8</v>
      </c>
      <c r="S2554" s="18">
        <v>849.1</v>
      </c>
      <c r="T2554" s="18">
        <v>695.98</v>
      </c>
      <c r="U2554" s="16"/>
      <c r="V2554" s="16"/>
      <c r="W2554" s="16" t="s">
        <v>40</v>
      </c>
      <c r="X2554" s="19">
        <v>1.7210000000000001</v>
      </c>
      <c r="Y2554" s="20">
        <v>2.8679999999999999E-3</v>
      </c>
      <c r="Z2554" s="21">
        <v>4601004234284</v>
      </c>
    </row>
    <row r="2555" spans="1:26" ht="12" customHeight="1" outlineLevel="4" x14ac:dyDescent="0.2">
      <c r="A2555" s="14" t="s">
        <v>5017</v>
      </c>
      <c r="B2555" s="26" t="s">
        <v>5018</v>
      </c>
      <c r="C2555" s="52"/>
      <c r="D2555" s="55">
        <f t="shared" si="39"/>
        <v>0</v>
      </c>
      <c r="E2555" s="63" t="str">
        <f>HYPERLINK("https://www.sds-group.ru/product/lenta-signalnaya-ne-kopat-nizhe-kabel-50-mm-h-250-m-oranzhevo-chernaya-rexant-19-3017/", "Инфо")</f>
        <v>Инфо</v>
      </c>
      <c r="F2555" s="16" t="s">
        <v>39</v>
      </c>
      <c r="G2555" s="15"/>
      <c r="H2555" s="15"/>
      <c r="I2555" s="15"/>
      <c r="J2555" s="17">
        <v>25</v>
      </c>
      <c r="K2555" s="15" t="s">
        <v>1888</v>
      </c>
      <c r="L2555" s="17">
        <v>1</v>
      </c>
      <c r="M2555" s="17">
        <v>5</v>
      </c>
      <c r="N2555" s="17">
        <v>1</v>
      </c>
      <c r="O2555" s="18">
        <v>1496.07</v>
      </c>
      <c r="P2555" s="18">
        <v>1226.29</v>
      </c>
      <c r="Q2555" s="18">
        <v>1181.9000000000001</v>
      </c>
      <c r="R2555" s="18">
        <v>968.77</v>
      </c>
      <c r="S2555" s="18">
        <v>1017.33</v>
      </c>
      <c r="T2555" s="18">
        <v>833.88</v>
      </c>
      <c r="U2555" s="16"/>
      <c r="V2555" s="16"/>
      <c r="W2555" s="16" t="s">
        <v>40</v>
      </c>
      <c r="X2555" s="19">
        <v>2.028</v>
      </c>
      <c r="Y2555" s="20">
        <v>4.2509999999999996E-3</v>
      </c>
      <c r="Z2555" s="21">
        <v>4601004234161</v>
      </c>
    </row>
    <row r="2556" spans="1:26" ht="12" customHeight="1" outlineLevel="4" x14ac:dyDescent="0.2">
      <c r="A2556" s="14" t="s">
        <v>5019</v>
      </c>
      <c r="B2556" s="26" t="s">
        <v>5020</v>
      </c>
      <c r="C2556" s="52"/>
      <c r="D2556" s="55">
        <f t="shared" si="39"/>
        <v>0</v>
      </c>
      <c r="E2556" s="63" t="str">
        <f>HYPERLINK("https://www.sds-group.ru/product/lenta-signalnaya-ne-kopat-nizhe-kabel-75-mm-h-250-m-oranzhevo-chernaya-rexant-19-3018/", "Инфо")</f>
        <v>Инфо</v>
      </c>
      <c r="F2556" s="16" t="s">
        <v>39</v>
      </c>
      <c r="G2556" s="15"/>
      <c r="H2556" s="15"/>
      <c r="I2556" s="15"/>
      <c r="J2556" s="16" t="s">
        <v>100</v>
      </c>
      <c r="K2556" s="15" t="s">
        <v>1888</v>
      </c>
      <c r="L2556" s="17">
        <v>1</v>
      </c>
      <c r="M2556" s="17">
        <v>5</v>
      </c>
      <c r="N2556" s="17">
        <v>1</v>
      </c>
      <c r="O2556" s="18">
        <v>2244.61</v>
      </c>
      <c r="P2556" s="18">
        <v>1839.84</v>
      </c>
      <c r="Q2556" s="18">
        <v>1773.24</v>
      </c>
      <c r="R2556" s="18">
        <v>1453.48</v>
      </c>
      <c r="S2556" s="18">
        <v>1526.33</v>
      </c>
      <c r="T2556" s="18">
        <v>1251.0899999999999</v>
      </c>
      <c r="U2556" s="16"/>
      <c r="V2556" s="16"/>
      <c r="W2556" s="16" t="s">
        <v>40</v>
      </c>
      <c r="X2556" s="19">
        <v>3.331</v>
      </c>
      <c r="Y2556" s="20">
        <v>5.3169999999999997E-3</v>
      </c>
      <c r="Z2556" s="21">
        <v>4601004234178</v>
      </c>
    </row>
    <row r="2557" spans="1:26" ht="12" customHeight="1" outlineLevel="4" x14ac:dyDescent="0.2">
      <c r="A2557" s="14" t="s">
        <v>5021</v>
      </c>
      <c r="B2557" s="26" t="s">
        <v>5022</v>
      </c>
      <c r="C2557" s="52"/>
      <c r="D2557" s="55">
        <f t="shared" si="39"/>
        <v>0</v>
      </c>
      <c r="E2557" s="63" t="str">
        <f>HYPERLINK("https://www.sds-group.ru/product/lenta-signalnaya-opasno-gaz-200-mm-h-100-m-zhelto-krasnaya-rexant-19-3040/", "Инфо")</f>
        <v>Инфо</v>
      </c>
      <c r="F2557" s="16" t="s">
        <v>39</v>
      </c>
      <c r="G2557" s="15"/>
      <c r="H2557" s="15"/>
      <c r="I2557" s="15"/>
      <c r="J2557" s="17">
        <v>182</v>
      </c>
      <c r="K2557" s="15" t="s">
        <v>1408</v>
      </c>
      <c r="L2557" s="17">
        <v>1</v>
      </c>
      <c r="M2557" s="17">
        <v>2</v>
      </c>
      <c r="N2557" s="17">
        <v>1</v>
      </c>
      <c r="O2557" s="18">
        <v>723.46</v>
      </c>
      <c r="P2557" s="18">
        <v>593</v>
      </c>
      <c r="Q2557" s="18">
        <v>578.77</v>
      </c>
      <c r="R2557" s="18">
        <v>474.4</v>
      </c>
      <c r="S2557" s="18">
        <v>491.95</v>
      </c>
      <c r="T2557" s="18">
        <v>403.24</v>
      </c>
      <c r="U2557" s="16"/>
      <c r="V2557" s="16"/>
      <c r="W2557" s="16" t="s">
        <v>40</v>
      </c>
      <c r="X2557" s="19">
        <v>1.1859999999999999</v>
      </c>
      <c r="Y2557" s="20">
        <v>2.9819999999999998E-3</v>
      </c>
      <c r="Z2557" s="21">
        <v>4601004077041</v>
      </c>
    </row>
    <row r="2558" spans="1:26" ht="12" customHeight="1" outlineLevel="4" x14ac:dyDescent="0.2">
      <c r="A2558" s="14" t="s">
        <v>5023</v>
      </c>
      <c r="B2558" s="26" t="s">
        <v>5024</v>
      </c>
      <c r="C2558" s="52"/>
      <c r="D2558" s="55">
        <f t="shared" si="39"/>
        <v>0</v>
      </c>
      <c r="E2558" s="63" t="str">
        <f>HYPERLINK("https://www.sds-group.ru/product/lenta-signalnaya-ostorozhno-kabel-150-mm-h-100-m-krasno-chernaya-rexant-19-3015/", "Инфо")</f>
        <v>Инфо</v>
      </c>
      <c r="F2558" s="16" t="s">
        <v>39</v>
      </c>
      <c r="G2558" s="15"/>
      <c r="H2558" s="15"/>
      <c r="I2558" s="15"/>
      <c r="J2558" s="16" t="s">
        <v>100</v>
      </c>
      <c r="K2558" s="15" t="s">
        <v>1888</v>
      </c>
      <c r="L2558" s="17">
        <v>1</v>
      </c>
      <c r="M2558" s="17">
        <v>3</v>
      </c>
      <c r="N2558" s="17">
        <v>1</v>
      </c>
      <c r="O2558" s="18">
        <v>1532.99</v>
      </c>
      <c r="P2558" s="18">
        <v>1256.55</v>
      </c>
      <c r="Q2558" s="18">
        <v>1211.06</v>
      </c>
      <c r="R2558" s="18">
        <v>992.67</v>
      </c>
      <c r="S2558" s="18">
        <v>1042.43</v>
      </c>
      <c r="T2558" s="18">
        <v>854.45</v>
      </c>
      <c r="U2558" s="16"/>
      <c r="V2558" s="16"/>
      <c r="W2558" s="16" t="s">
        <v>40</v>
      </c>
      <c r="X2558" s="19">
        <v>2.46</v>
      </c>
      <c r="Y2558" s="20">
        <v>4.5170000000000002E-3</v>
      </c>
      <c r="Z2558" s="21">
        <v>4601004022010</v>
      </c>
    </row>
    <row r="2559" spans="1:26" ht="12" customHeight="1" outlineLevel="4" x14ac:dyDescent="0.2">
      <c r="A2559" s="14" t="s">
        <v>5025</v>
      </c>
      <c r="B2559" s="26" t="s">
        <v>5026</v>
      </c>
      <c r="C2559" s="52"/>
      <c r="D2559" s="55">
        <f t="shared" si="39"/>
        <v>0</v>
      </c>
      <c r="E2559" s="63" t="str">
        <f>HYPERLINK("https://www.sds-group.ru/product/lenta-signalnaya-ostorozhno-kabel-250-mm-h-100-m-krasno-chernaya-rexant-19-3025/", "Инфо")</f>
        <v>Инфо</v>
      </c>
      <c r="F2559" s="16" t="s">
        <v>39</v>
      </c>
      <c r="G2559" s="15"/>
      <c r="H2559" s="15"/>
      <c r="I2559" s="15"/>
      <c r="J2559" s="16" t="s">
        <v>100</v>
      </c>
      <c r="K2559" s="15" t="s">
        <v>1381</v>
      </c>
      <c r="L2559" s="17">
        <v>1</v>
      </c>
      <c r="M2559" s="17">
        <v>1</v>
      </c>
      <c r="N2559" s="17">
        <v>1</v>
      </c>
      <c r="O2559" s="18">
        <v>2570.65</v>
      </c>
      <c r="P2559" s="18">
        <v>2107.09</v>
      </c>
      <c r="Q2559" s="18">
        <v>1979.4</v>
      </c>
      <c r="R2559" s="18">
        <v>1622.46</v>
      </c>
      <c r="S2559" s="18">
        <v>1748.04</v>
      </c>
      <c r="T2559" s="18">
        <v>1432.82</v>
      </c>
      <c r="U2559" s="16"/>
      <c r="V2559" s="16"/>
      <c r="W2559" s="16" t="s">
        <v>40</v>
      </c>
      <c r="X2559" s="19">
        <v>4.4779999999999998</v>
      </c>
      <c r="Y2559" s="20">
        <v>7.3619999999999996E-3</v>
      </c>
      <c r="Z2559" s="21">
        <v>4601004021990</v>
      </c>
    </row>
    <row r="2560" spans="1:26" ht="12" customHeight="1" outlineLevel="4" x14ac:dyDescent="0.2">
      <c r="A2560" s="14" t="s">
        <v>5027</v>
      </c>
      <c r="B2560" s="26" t="s">
        <v>5028</v>
      </c>
      <c r="C2560" s="52"/>
      <c r="D2560" s="55">
        <f t="shared" si="39"/>
        <v>0</v>
      </c>
      <c r="E2560" s="63" t="str">
        <f>HYPERLINK("https://www.sds-group.ru/product/lenta-signalnaya-ostorozhno-kabel-300-mm-h-100-m-krasno-chernaya-rexant-19-3030/", "Инфо")</f>
        <v>Инфо</v>
      </c>
      <c r="F2560" s="16" t="s">
        <v>39</v>
      </c>
      <c r="G2560" s="15"/>
      <c r="H2560" s="15"/>
      <c r="I2560" s="15"/>
      <c r="J2560" s="16" t="s">
        <v>100</v>
      </c>
      <c r="K2560" s="15" t="s">
        <v>1381</v>
      </c>
      <c r="L2560" s="17">
        <v>1</v>
      </c>
      <c r="M2560" s="17">
        <v>1</v>
      </c>
      <c r="N2560" s="17">
        <v>1</v>
      </c>
      <c r="O2560" s="18">
        <v>3332.5</v>
      </c>
      <c r="P2560" s="18">
        <v>2731.56</v>
      </c>
      <c r="Q2560" s="18">
        <v>2566.0300000000002</v>
      </c>
      <c r="R2560" s="18">
        <v>2103.3000000000002</v>
      </c>
      <c r="S2560" s="18">
        <v>2266.1</v>
      </c>
      <c r="T2560" s="18">
        <v>1857.46</v>
      </c>
      <c r="U2560" s="16"/>
      <c r="V2560" s="16"/>
      <c r="W2560" s="16" t="s">
        <v>40</v>
      </c>
      <c r="X2560" s="19">
        <v>5.1749999999999998</v>
      </c>
      <c r="Y2560" s="20">
        <v>9.5820000000000002E-3</v>
      </c>
      <c r="Z2560" s="21">
        <v>4601004021983</v>
      </c>
    </row>
    <row r="2561" spans="1:26" ht="12" customHeight="1" outlineLevel="4" x14ac:dyDescent="0.2">
      <c r="A2561" s="14" t="s">
        <v>5029</v>
      </c>
      <c r="B2561" s="26" t="s">
        <v>5030</v>
      </c>
      <c r="C2561" s="52"/>
      <c r="D2561" s="55">
        <f t="shared" si="39"/>
        <v>0</v>
      </c>
      <c r="E2561" s="63" t="str">
        <f>HYPERLINK("https://www.sds-group.ru/product/lenta-signalnaya-ostorozhno-kabel-450-mm-h-100-m-krasno-chernaya-rexant-19-3045/", "Инфо")</f>
        <v>Инфо</v>
      </c>
      <c r="F2561" s="16" t="s">
        <v>39</v>
      </c>
      <c r="G2561" s="15"/>
      <c r="H2561" s="15"/>
      <c r="I2561" s="15"/>
      <c r="J2561" s="17">
        <v>20</v>
      </c>
      <c r="K2561" s="15" t="s">
        <v>1381</v>
      </c>
      <c r="L2561" s="17">
        <v>1</v>
      </c>
      <c r="M2561" s="17">
        <v>1</v>
      </c>
      <c r="N2561" s="17">
        <v>1</v>
      </c>
      <c r="O2561" s="18">
        <v>4964.18</v>
      </c>
      <c r="P2561" s="18">
        <v>4069</v>
      </c>
      <c r="Q2561" s="18">
        <v>3623.85</v>
      </c>
      <c r="R2561" s="18">
        <v>2970.37</v>
      </c>
      <c r="S2561" s="18">
        <v>3375.64</v>
      </c>
      <c r="T2561" s="18">
        <v>2766.92</v>
      </c>
      <c r="U2561" s="16"/>
      <c r="V2561" s="16"/>
      <c r="W2561" s="16" t="s">
        <v>40</v>
      </c>
      <c r="X2561" s="19">
        <v>7.9779999999999998</v>
      </c>
      <c r="Y2561" s="20">
        <v>1.4345E-2</v>
      </c>
      <c r="Z2561" s="21">
        <v>4601004234192</v>
      </c>
    </row>
    <row r="2562" spans="1:26" ht="12" customHeight="1" outlineLevel="4" x14ac:dyDescent="0.2">
      <c r="A2562" s="14" t="s">
        <v>5031</v>
      </c>
      <c r="B2562" s="26" t="s">
        <v>5032</v>
      </c>
      <c r="C2562" s="52"/>
      <c r="D2562" s="55">
        <f t="shared" si="39"/>
        <v>0</v>
      </c>
      <c r="E2562" s="63" t="str">
        <f>HYPERLINK("https://www.sds-group.ru/product/lenta-signalnaya-ostorozhno-kabel-600-mm-h-100-m-krasno-chernaya-rexant-19-3060/", "Инфо")</f>
        <v>Инфо</v>
      </c>
      <c r="F2562" s="16" t="s">
        <v>39</v>
      </c>
      <c r="G2562" s="15"/>
      <c r="H2562" s="15"/>
      <c r="I2562" s="15"/>
      <c r="J2562" s="16" t="s">
        <v>100</v>
      </c>
      <c r="K2562" s="15" t="s">
        <v>1888</v>
      </c>
      <c r="L2562" s="17">
        <v>1</v>
      </c>
      <c r="M2562" s="17">
        <v>1</v>
      </c>
      <c r="N2562" s="17">
        <v>1</v>
      </c>
      <c r="O2562" s="18">
        <v>5958.4</v>
      </c>
      <c r="P2562" s="18">
        <v>4883.93</v>
      </c>
      <c r="Q2562" s="18">
        <v>4349.63</v>
      </c>
      <c r="R2562" s="18">
        <v>3565.27</v>
      </c>
      <c r="S2562" s="18">
        <v>4051.71</v>
      </c>
      <c r="T2562" s="18">
        <v>3321.07</v>
      </c>
      <c r="U2562" s="16"/>
      <c r="V2562" s="16"/>
      <c r="W2562" s="16" t="s">
        <v>40</v>
      </c>
      <c r="X2562" s="19">
        <v>10.426</v>
      </c>
      <c r="Y2562" s="20">
        <v>1.9355000000000001E-2</v>
      </c>
      <c r="Z2562" s="21">
        <v>4601004234208</v>
      </c>
    </row>
    <row r="2563" spans="1:26" ht="12" customHeight="1" outlineLevel="4" x14ac:dyDescent="0.2">
      <c r="A2563" s="14" t="s">
        <v>5033</v>
      </c>
      <c r="B2563" s="26" t="s">
        <v>5034</v>
      </c>
      <c r="C2563" s="52"/>
      <c r="D2563" s="55">
        <f t="shared" si="39"/>
        <v>0</v>
      </c>
      <c r="E2563" s="63" t="str">
        <f>HYPERLINK("https://www.sds-group.ru/product/lenta-signalnaya-ostorozhno-opticheskiy-kabel-40-mm-h-500-m-zhelto-chernaya-rexant-19-3020/", "Инфо")</f>
        <v>Инфо</v>
      </c>
      <c r="F2563" s="16" t="s">
        <v>39</v>
      </c>
      <c r="G2563" s="15"/>
      <c r="H2563" s="15"/>
      <c r="I2563" s="15"/>
      <c r="J2563" s="17">
        <v>118</v>
      </c>
      <c r="K2563" s="15" t="s">
        <v>1888</v>
      </c>
      <c r="L2563" s="17">
        <v>1</v>
      </c>
      <c r="M2563" s="17">
        <v>5</v>
      </c>
      <c r="N2563" s="17">
        <v>1</v>
      </c>
      <c r="O2563" s="18">
        <v>970.39</v>
      </c>
      <c r="P2563" s="18">
        <v>795.4</v>
      </c>
      <c r="Q2563" s="18">
        <v>776.31</v>
      </c>
      <c r="R2563" s="18">
        <v>636.32000000000005</v>
      </c>
      <c r="S2563" s="18">
        <v>659.87</v>
      </c>
      <c r="T2563" s="18">
        <v>540.88</v>
      </c>
      <c r="U2563" s="16"/>
      <c r="V2563" s="16"/>
      <c r="W2563" s="16" t="s">
        <v>40</v>
      </c>
      <c r="X2563" s="19">
        <v>1.419</v>
      </c>
      <c r="Y2563" s="20">
        <v>2.2820000000000002E-3</v>
      </c>
      <c r="Z2563" s="21">
        <v>4601004234215</v>
      </c>
    </row>
    <row r="2564" spans="1:26" ht="12" customHeight="1" outlineLevel="4" x14ac:dyDescent="0.2">
      <c r="A2564" s="14" t="s">
        <v>5035</v>
      </c>
      <c r="B2564" s="26" t="s">
        <v>5036</v>
      </c>
      <c r="C2564" s="52"/>
      <c r="D2564" s="55">
        <f t="shared" si="39"/>
        <v>0</v>
      </c>
      <c r="E2564" s="63" t="str">
        <f>HYPERLINK("https://www.sds-group.ru/product/lenta-signalnaya-ostorozhno-opticheskiy-kabel-70-mm-h-500-m-zhelto-chernaya-rexant-19-3021/", "Инфо")</f>
        <v>Инфо</v>
      </c>
      <c r="F2564" s="16" t="s">
        <v>39</v>
      </c>
      <c r="G2564" s="15"/>
      <c r="H2564" s="15"/>
      <c r="I2564" s="15"/>
      <c r="J2564" s="17">
        <v>140</v>
      </c>
      <c r="K2564" s="15" t="s">
        <v>1888</v>
      </c>
      <c r="L2564" s="17">
        <v>1</v>
      </c>
      <c r="M2564" s="17">
        <v>5</v>
      </c>
      <c r="N2564" s="17">
        <v>1</v>
      </c>
      <c r="O2564" s="18">
        <v>1449.2</v>
      </c>
      <c r="P2564" s="18">
        <v>1187.8699999999999</v>
      </c>
      <c r="Q2564" s="18">
        <v>1144.8699999999999</v>
      </c>
      <c r="R2564" s="18">
        <v>938.42</v>
      </c>
      <c r="S2564" s="18">
        <v>985.46</v>
      </c>
      <c r="T2564" s="18">
        <v>807.75</v>
      </c>
      <c r="U2564" s="16"/>
      <c r="V2564" s="16"/>
      <c r="W2564" s="16" t="s">
        <v>40</v>
      </c>
      <c r="X2564" s="19">
        <v>2.3580000000000001</v>
      </c>
      <c r="Y2564" s="20">
        <v>3.0630000000000002E-3</v>
      </c>
      <c r="Z2564" s="21">
        <v>4601004234222</v>
      </c>
    </row>
    <row r="2565" spans="1:26" ht="12.95" customHeight="1" outlineLevel="2" x14ac:dyDescent="0.2">
      <c r="A2565" s="76" t="s">
        <v>5037</v>
      </c>
      <c r="B2565" s="76"/>
      <c r="C2565" s="77"/>
      <c r="D2565" s="58"/>
      <c r="E2565" s="68"/>
      <c r="F2565" s="13"/>
      <c r="G2565" s="13"/>
      <c r="H2565" s="13"/>
      <c r="I2565" s="13"/>
      <c r="J2565" s="13"/>
      <c r="K2565" s="13"/>
      <c r="L2565" s="13"/>
      <c r="M2565" s="13"/>
      <c r="N2565" s="13"/>
      <c r="O2565" s="13"/>
      <c r="P2565" s="13"/>
      <c r="Q2565" s="13"/>
      <c r="R2565" s="13"/>
      <c r="S2565" s="13"/>
      <c r="T2565" s="13"/>
      <c r="U2565" s="13"/>
      <c r="V2565" s="13"/>
      <c r="W2565" s="13"/>
      <c r="X2565" s="13"/>
      <c r="Y2565" s="13"/>
      <c r="Z2565" s="13"/>
    </row>
    <row r="2566" spans="1:26" ht="12" customHeight="1" outlineLevel="3" x14ac:dyDescent="0.2">
      <c r="A2566" s="14" t="s">
        <v>5038</v>
      </c>
      <c r="B2566" s="26" t="s">
        <v>5039</v>
      </c>
      <c r="C2566" s="52"/>
      <c r="D2566" s="55">
        <f t="shared" si="39"/>
        <v>0</v>
      </c>
      <c r="E2566" s="63" t="str">
        <f>HYPERLINK("https://www.sds-group.ru/product/trubka-kembrik-tv-40-pvh-belyy-10-mm-rexant-49-5010/", "Инфо")</f>
        <v>Инфо</v>
      </c>
      <c r="F2566" s="16" t="s">
        <v>1767</v>
      </c>
      <c r="G2566" s="15"/>
      <c r="H2566" s="15"/>
      <c r="I2566" s="15"/>
      <c r="J2566" s="22">
        <v>61500</v>
      </c>
      <c r="K2566" s="15" t="s">
        <v>1408</v>
      </c>
      <c r="L2566" s="17">
        <v>100</v>
      </c>
      <c r="M2566" s="17">
        <v>200</v>
      </c>
      <c r="N2566" s="17">
        <v>100</v>
      </c>
      <c r="O2566" s="18">
        <v>20.22</v>
      </c>
      <c r="P2566" s="18">
        <v>16.57</v>
      </c>
      <c r="Q2566" s="18">
        <v>17.190000000000001</v>
      </c>
      <c r="R2566" s="18">
        <v>14.09</v>
      </c>
      <c r="S2566" s="18">
        <v>13.75</v>
      </c>
      <c r="T2566" s="18">
        <v>11.27</v>
      </c>
      <c r="U2566" s="16"/>
      <c r="V2566" s="16"/>
      <c r="W2566" s="16" t="s">
        <v>40</v>
      </c>
      <c r="X2566" s="19">
        <v>3.1E-2</v>
      </c>
      <c r="Y2566" s="20">
        <v>1.84E-4</v>
      </c>
      <c r="Z2566" s="21">
        <v>4601004138452</v>
      </c>
    </row>
    <row r="2567" spans="1:26" ht="12" customHeight="1" outlineLevel="3" x14ac:dyDescent="0.2">
      <c r="A2567" s="14" t="s">
        <v>5040</v>
      </c>
      <c r="B2567" s="26" t="s">
        <v>5041</v>
      </c>
      <c r="C2567" s="52"/>
      <c r="D2567" s="55">
        <f t="shared" si="39"/>
        <v>0</v>
      </c>
      <c r="E2567" s="63" t="str">
        <f>HYPERLINK("https://www.sds-group.ru/product/trubka-kembrik-tv-40-pvh-belyy-12-mm-rexant-49-5011/", "Инфо")</f>
        <v>Инфо</v>
      </c>
      <c r="F2567" s="16" t="s">
        <v>1767</v>
      </c>
      <c r="G2567" s="15"/>
      <c r="H2567" s="15"/>
      <c r="I2567" s="15"/>
      <c r="J2567" s="22">
        <v>57000</v>
      </c>
      <c r="K2567" s="15" t="s">
        <v>1888</v>
      </c>
      <c r="L2567" s="17">
        <v>100</v>
      </c>
      <c r="M2567" s="17">
        <v>200</v>
      </c>
      <c r="N2567" s="17">
        <v>100</v>
      </c>
      <c r="O2567" s="18">
        <v>24.37</v>
      </c>
      <c r="P2567" s="18">
        <v>19.98</v>
      </c>
      <c r="Q2567" s="18">
        <v>20.71</v>
      </c>
      <c r="R2567" s="18">
        <v>16.98</v>
      </c>
      <c r="S2567" s="18">
        <v>16.57</v>
      </c>
      <c r="T2567" s="18">
        <v>13.58</v>
      </c>
      <c r="U2567" s="16"/>
      <c r="V2567" s="16"/>
      <c r="W2567" s="16" t="s">
        <v>40</v>
      </c>
      <c r="X2567" s="19">
        <v>0.04</v>
      </c>
      <c r="Y2567" s="20">
        <v>1.11E-4</v>
      </c>
      <c r="Z2567" s="21">
        <v>4601004133761</v>
      </c>
    </row>
    <row r="2568" spans="1:26" ht="12" customHeight="1" outlineLevel="3" x14ac:dyDescent="0.2">
      <c r="A2568" s="14" t="s">
        <v>5042</v>
      </c>
      <c r="B2568" s="26" t="s">
        <v>5043</v>
      </c>
      <c r="C2568" s="52"/>
      <c r="D2568" s="55">
        <f t="shared" si="39"/>
        <v>0</v>
      </c>
      <c r="E2568" s="63" t="str">
        <f>HYPERLINK("https://www.sds-group.ru/product/trubka-kembrik-tv-40-pvh-belyy-14-mm-rexant-49-5012/", "Инфо")</f>
        <v>Инфо</v>
      </c>
      <c r="F2568" s="16" t="s">
        <v>1767</v>
      </c>
      <c r="G2568" s="15"/>
      <c r="H2568" s="15"/>
      <c r="I2568" s="15"/>
      <c r="J2568" s="22">
        <v>10600</v>
      </c>
      <c r="K2568" s="15" t="s">
        <v>1888</v>
      </c>
      <c r="L2568" s="17">
        <v>100</v>
      </c>
      <c r="M2568" s="17">
        <v>200</v>
      </c>
      <c r="N2568" s="17">
        <v>100</v>
      </c>
      <c r="O2568" s="18">
        <v>31.21</v>
      </c>
      <c r="P2568" s="18">
        <v>25.58</v>
      </c>
      <c r="Q2568" s="18">
        <v>26.53</v>
      </c>
      <c r="R2568" s="18">
        <v>21.75</v>
      </c>
      <c r="S2568" s="18">
        <v>21.22</v>
      </c>
      <c r="T2568" s="18">
        <v>17.39</v>
      </c>
      <c r="U2568" s="16"/>
      <c r="V2568" s="16"/>
      <c r="W2568" s="16" t="s">
        <v>40</v>
      </c>
      <c r="X2568" s="19">
        <v>5.5E-2</v>
      </c>
      <c r="Y2568" s="20">
        <v>1.16E-4</v>
      </c>
      <c r="Z2568" s="21">
        <v>4601004133778</v>
      </c>
    </row>
    <row r="2569" spans="1:26" ht="12" customHeight="1" outlineLevel="3" x14ac:dyDescent="0.2">
      <c r="A2569" s="14" t="s">
        <v>5044</v>
      </c>
      <c r="B2569" s="26" t="s">
        <v>5045</v>
      </c>
      <c r="C2569" s="52"/>
      <c r="D2569" s="55">
        <f t="shared" ref="D2569:D2632" si="40">C2569*(O2569-O2569*$G$3)</f>
        <v>0</v>
      </c>
      <c r="E2569" s="63" t="str">
        <f>HYPERLINK("https://www.sds-group.ru/product/trubka-kembrik-tv-40-pvh-belyy-16-mm-rexant-49-5013/", "Инфо")</f>
        <v>Инфо</v>
      </c>
      <c r="F2569" s="16" t="s">
        <v>1767</v>
      </c>
      <c r="G2569" s="15"/>
      <c r="H2569" s="15"/>
      <c r="I2569" s="15"/>
      <c r="J2569" s="17">
        <v>300</v>
      </c>
      <c r="K2569" s="15" t="s">
        <v>1888</v>
      </c>
      <c r="L2569" s="17">
        <v>100</v>
      </c>
      <c r="M2569" s="17">
        <v>200</v>
      </c>
      <c r="N2569" s="17">
        <v>100</v>
      </c>
      <c r="O2569" s="18">
        <v>40.93</v>
      </c>
      <c r="P2569" s="18">
        <v>33.549999999999997</v>
      </c>
      <c r="Q2569" s="18">
        <v>34.79</v>
      </c>
      <c r="R2569" s="18">
        <v>28.52</v>
      </c>
      <c r="S2569" s="18">
        <v>27.83</v>
      </c>
      <c r="T2569" s="18">
        <v>22.81</v>
      </c>
      <c r="U2569" s="16"/>
      <c r="V2569" s="16"/>
      <c r="W2569" s="16" t="s">
        <v>40</v>
      </c>
      <c r="X2569" s="19">
        <v>6.8000000000000005E-2</v>
      </c>
      <c r="Y2569" s="20">
        <v>1.8100000000000001E-4</v>
      </c>
      <c r="Z2569" s="21">
        <v>4601004133785</v>
      </c>
    </row>
    <row r="2570" spans="1:26" ht="12" customHeight="1" outlineLevel="3" x14ac:dyDescent="0.2">
      <c r="A2570" s="14" t="s">
        <v>5046</v>
      </c>
      <c r="B2570" s="26" t="s">
        <v>5047</v>
      </c>
      <c r="C2570" s="52"/>
      <c r="D2570" s="55">
        <f t="shared" si="40"/>
        <v>0</v>
      </c>
      <c r="E2570" s="63" t="str">
        <f>HYPERLINK("https://www.sds-group.ru/product/trubka-kembrik-tv-40-pvh-belyy-18-mm-rexant-49-5014/", "Инфо")</f>
        <v>Инфо</v>
      </c>
      <c r="F2570" s="16" t="s">
        <v>1767</v>
      </c>
      <c r="G2570" s="15"/>
      <c r="H2570" s="15"/>
      <c r="I2570" s="15"/>
      <c r="J2570" s="17">
        <v>600</v>
      </c>
      <c r="K2570" s="15" t="s">
        <v>1408</v>
      </c>
      <c r="L2570" s="17">
        <v>50</v>
      </c>
      <c r="M2570" s="17">
        <v>100</v>
      </c>
      <c r="N2570" s="17">
        <v>50</v>
      </c>
      <c r="O2570" s="18">
        <v>50.45</v>
      </c>
      <c r="P2570" s="18">
        <v>41.35</v>
      </c>
      <c r="Q2570" s="18">
        <v>42.88</v>
      </c>
      <c r="R2570" s="18">
        <v>35.15</v>
      </c>
      <c r="S2570" s="18">
        <v>34.31</v>
      </c>
      <c r="T2570" s="18">
        <v>28.12</v>
      </c>
      <c r="U2570" s="16"/>
      <c r="V2570" s="16"/>
      <c r="W2570" s="16" t="s">
        <v>40</v>
      </c>
      <c r="X2570" s="19">
        <v>8.5000000000000006E-2</v>
      </c>
      <c r="Y2570" s="20">
        <v>2.5500000000000002E-4</v>
      </c>
      <c r="Z2570" s="21">
        <v>4601004133792</v>
      </c>
    </row>
    <row r="2571" spans="1:26" ht="12" customHeight="1" outlineLevel="3" x14ac:dyDescent="0.2">
      <c r="A2571" s="14" t="s">
        <v>5048</v>
      </c>
      <c r="B2571" s="26" t="s">
        <v>5049</v>
      </c>
      <c r="C2571" s="52"/>
      <c r="D2571" s="55">
        <f t="shared" si="40"/>
        <v>0</v>
      </c>
      <c r="E2571" s="63" t="str">
        <f>HYPERLINK("https://www.sds-group.ru/product/trubka-kembrik-tv-40-pvh-belyy-20-mm-rexant-49-5015/", "Инфо")</f>
        <v>Инфо</v>
      </c>
      <c r="F2571" s="16" t="s">
        <v>1767</v>
      </c>
      <c r="G2571" s="15"/>
      <c r="H2571" s="15"/>
      <c r="I2571" s="15"/>
      <c r="J2571" s="22">
        <v>3250</v>
      </c>
      <c r="K2571" s="15" t="s">
        <v>1888</v>
      </c>
      <c r="L2571" s="17">
        <v>50</v>
      </c>
      <c r="M2571" s="17">
        <v>100</v>
      </c>
      <c r="N2571" s="17">
        <v>50</v>
      </c>
      <c r="O2571" s="18">
        <v>64.83</v>
      </c>
      <c r="P2571" s="18">
        <v>53.14</v>
      </c>
      <c r="Q2571" s="18">
        <v>55.11</v>
      </c>
      <c r="R2571" s="18">
        <v>45.17</v>
      </c>
      <c r="S2571" s="18">
        <v>44.08</v>
      </c>
      <c r="T2571" s="18">
        <v>36.130000000000003</v>
      </c>
      <c r="U2571" s="16"/>
      <c r="V2571" s="16"/>
      <c r="W2571" s="16" t="s">
        <v>40</v>
      </c>
      <c r="X2571" s="19">
        <v>0.10299999999999999</v>
      </c>
      <c r="Y2571" s="20">
        <v>2.9100000000000003E-4</v>
      </c>
      <c r="Z2571" s="21">
        <v>4601004133808</v>
      </c>
    </row>
    <row r="2572" spans="1:26" ht="12" customHeight="1" outlineLevel="3" x14ac:dyDescent="0.2">
      <c r="A2572" s="14" t="s">
        <v>5050</v>
      </c>
      <c r="B2572" s="26" t="s">
        <v>5051</v>
      </c>
      <c r="C2572" s="52"/>
      <c r="D2572" s="55">
        <f t="shared" si="40"/>
        <v>0</v>
      </c>
      <c r="E2572" s="63" t="str">
        <f>HYPERLINK("https://www.sds-group.ru/product/trubka-kembrik-tv-40-pvh-belyy-22-mm-rexant-49-5016/", "Инфо")</f>
        <v>Инфо</v>
      </c>
      <c r="F2572" s="16" t="s">
        <v>1767</v>
      </c>
      <c r="G2572" s="15"/>
      <c r="H2572" s="15"/>
      <c r="I2572" s="15"/>
      <c r="J2572" s="17">
        <v>250</v>
      </c>
      <c r="K2572" s="15" t="s">
        <v>1408</v>
      </c>
      <c r="L2572" s="17">
        <v>50</v>
      </c>
      <c r="M2572" s="17">
        <v>100</v>
      </c>
      <c r="N2572" s="17">
        <v>50</v>
      </c>
      <c r="O2572" s="18">
        <v>75.260000000000005</v>
      </c>
      <c r="P2572" s="18">
        <v>61.69</v>
      </c>
      <c r="Q2572" s="18">
        <v>63.97</v>
      </c>
      <c r="R2572" s="18">
        <v>52.43</v>
      </c>
      <c r="S2572" s="18">
        <v>51.18</v>
      </c>
      <c r="T2572" s="18">
        <v>41.95</v>
      </c>
      <c r="U2572" s="16"/>
      <c r="V2572" s="16"/>
      <c r="W2572" s="16" t="s">
        <v>40</v>
      </c>
      <c r="X2572" s="19">
        <v>0.11700000000000001</v>
      </c>
      <c r="Y2572" s="20">
        <v>2.61E-4</v>
      </c>
      <c r="Z2572" s="21">
        <v>4601004133822</v>
      </c>
    </row>
    <row r="2573" spans="1:26" ht="12" customHeight="1" outlineLevel="3" x14ac:dyDescent="0.2">
      <c r="A2573" s="14" t="s">
        <v>5052</v>
      </c>
      <c r="B2573" s="26" t="s">
        <v>5053</v>
      </c>
      <c r="C2573" s="52"/>
      <c r="D2573" s="55">
        <f t="shared" si="40"/>
        <v>0</v>
      </c>
      <c r="E2573" s="63" t="str">
        <f>HYPERLINK("https://www.sds-group.ru/product/trubka-kembrik-tv-40-pvh-belyy-25-mm-rexant-49-5017/", "Инфо")</f>
        <v>Инфо</v>
      </c>
      <c r="F2573" s="16" t="s">
        <v>1767</v>
      </c>
      <c r="G2573" s="15"/>
      <c r="H2573" s="15"/>
      <c r="I2573" s="15"/>
      <c r="J2573" s="17">
        <v>850</v>
      </c>
      <c r="K2573" s="15" t="s">
        <v>1888</v>
      </c>
      <c r="L2573" s="17">
        <v>50</v>
      </c>
      <c r="M2573" s="17">
        <v>100</v>
      </c>
      <c r="N2573" s="17">
        <v>50</v>
      </c>
      <c r="O2573" s="18">
        <v>83.11</v>
      </c>
      <c r="P2573" s="18">
        <v>68.12</v>
      </c>
      <c r="Q2573" s="18">
        <v>70.64</v>
      </c>
      <c r="R2573" s="18">
        <v>57.9</v>
      </c>
      <c r="S2573" s="18">
        <v>56.51</v>
      </c>
      <c r="T2573" s="18">
        <v>46.32</v>
      </c>
      <c r="U2573" s="16"/>
      <c r="V2573" s="16"/>
      <c r="W2573" s="16" t="s">
        <v>40</v>
      </c>
      <c r="X2573" s="19">
        <v>0.14499999999999999</v>
      </c>
      <c r="Y2573" s="20">
        <v>2.9E-4</v>
      </c>
      <c r="Z2573" s="21">
        <v>4601004133839</v>
      </c>
    </row>
    <row r="2574" spans="1:26" ht="12" customHeight="1" outlineLevel="3" x14ac:dyDescent="0.2">
      <c r="A2574" s="14" t="s">
        <v>5054</v>
      </c>
      <c r="B2574" s="26" t="s">
        <v>5055</v>
      </c>
      <c r="C2574" s="52"/>
      <c r="D2574" s="55">
        <f t="shared" si="40"/>
        <v>0</v>
      </c>
      <c r="E2574" s="63" t="str">
        <f>HYPERLINK("https://www.sds-group.ru/product/trubka-kembrik-tv-40-pvh-belyy-30-mm-rexant-49-5018/", "Инфо")</f>
        <v>Инфо</v>
      </c>
      <c r="F2574" s="16" t="s">
        <v>1767</v>
      </c>
      <c r="G2574" s="15"/>
      <c r="H2574" s="15"/>
      <c r="I2574" s="15"/>
      <c r="J2574" s="17">
        <v>550</v>
      </c>
      <c r="K2574" s="15"/>
      <c r="L2574" s="17">
        <v>50</v>
      </c>
      <c r="M2574" s="17">
        <v>100</v>
      </c>
      <c r="N2574" s="17">
        <v>50</v>
      </c>
      <c r="O2574" s="18">
        <v>119.73</v>
      </c>
      <c r="P2574" s="18">
        <v>98.14</v>
      </c>
      <c r="Q2574" s="18">
        <v>101.77</v>
      </c>
      <c r="R2574" s="18">
        <v>83.42</v>
      </c>
      <c r="S2574" s="18">
        <v>81.42</v>
      </c>
      <c r="T2574" s="18">
        <v>66.739999999999995</v>
      </c>
      <c r="U2574" s="16"/>
      <c r="V2574" s="16"/>
      <c r="W2574" s="16" t="s">
        <v>40</v>
      </c>
      <c r="X2574" s="19">
        <v>0.20100000000000001</v>
      </c>
      <c r="Y2574" s="20">
        <v>4.2999999999999999E-4</v>
      </c>
      <c r="Z2574" s="21">
        <v>4601004133815</v>
      </c>
    </row>
    <row r="2575" spans="1:26" ht="12" customHeight="1" outlineLevel="3" x14ac:dyDescent="0.2">
      <c r="A2575" s="14" t="s">
        <v>5056</v>
      </c>
      <c r="B2575" s="26" t="s">
        <v>5057</v>
      </c>
      <c r="C2575" s="52"/>
      <c r="D2575" s="55">
        <f t="shared" si="40"/>
        <v>0</v>
      </c>
      <c r="E2575" s="63" t="str">
        <f>HYPERLINK("https://www.sds-group.ru/product/trubka-kembrik-tv-40-pvh-belyy-4-mm-rexant-49-5004/", "Инфо")</f>
        <v>Инфо</v>
      </c>
      <c r="F2575" s="16" t="s">
        <v>1767</v>
      </c>
      <c r="G2575" s="15"/>
      <c r="H2575" s="15"/>
      <c r="I2575" s="15"/>
      <c r="J2575" s="22">
        <v>87000</v>
      </c>
      <c r="K2575" s="15" t="s">
        <v>1408</v>
      </c>
      <c r="L2575" s="17">
        <v>300</v>
      </c>
      <c r="M2575" s="17">
        <v>600</v>
      </c>
      <c r="N2575" s="17">
        <v>300</v>
      </c>
      <c r="O2575" s="18">
        <v>8.52</v>
      </c>
      <c r="P2575" s="18">
        <v>6.98</v>
      </c>
      <c r="Q2575" s="18">
        <v>7.24</v>
      </c>
      <c r="R2575" s="18">
        <v>5.93</v>
      </c>
      <c r="S2575" s="18">
        <v>5.79</v>
      </c>
      <c r="T2575" s="18">
        <v>4.75</v>
      </c>
      <c r="U2575" s="16"/>
      <c r="V2575" s="16"/>
      <c r="W2575" s="16" t="s">
        <v>40</v>
      </c>
      <c r="X2575" s="19">
        <v>1.0999999999999999E-2</v>
      </c>
      <c r="Y2575" s="20">
        <v>4.3999999999999999E-5</v>
      </c>
      <c r="Z2575" s="21">
        <v>4601004300781</v>
      </c>
    </row>
    <row r="2576" spans="1:26" ht="12" customHeight="1" outlineLevel="3" x14ac:dyDescent="0.2">
      <c r="A2576" s="14" t="s">
        <v>5058</v>
      </c>
      <c r="B2576" s="26" t="s">
        <v>5059</v>
      </c>
      <c r="C2576" s="52"/>
      <c r="D2576" s="55">
        <f t="shared" si="40"/>
        <v>0</v>
      </c>
      <c r="E2576" s="63" t="str">
        <f>HYPERLINK("https://www.sds-group.ru/product/trubka-kembrik-tv-40-pvh-belyy-5-mm-rexant-49-5005/", "Инфо")</f>
        <v>Инфо</v>
      </c>
      <c r="F2576" s="16" t="s">
        <v>1767</v>
      </c>
      <c r="G2576" s="15"/>
      <c r="H2576" s="15"/>
      <c r="I2576" s="15"/>
      <c r="J2576" s="22">
        <v>40200</v>
      </c>
      <c r="K2576" s="15"/>
      <c r="L2576" s="17">
        <v>300</v>
      </c>
      <c r="M2576" s="17">
        <v>600</v>
      </c>
      <c r="N2576" s="17">
        <v>300</v>
      </c>
      <c r="O2576" s="18">
        <v>9.94</v>
      </c>
      <c r="P2576" s="18">
        <v>8.15</v>
      </c>
      <c r="Q2576" s="18">
        <v>8.4499999999999993</v>
      </c>
      <c r="R2576" s="18">
        <v>6.93</v>
      </c>
      <c r="S2576" s="18">
        <v>6.76</v>
      </c>
      <c r="T2576" s="18">
        <v>5.54</v>
      </c>
      <c r="U2576" s="16"/>
      <c r="V2576" s="16"/>
      <c r="W2576" s="16" t="s">
        <v>40</v>
      </c>
      <c r="X2576" s="19">
        <v>1.2999999999999999E-2</v>
      </c>
      <c r="Y2576" s="20">
        <v>6.0999999999999999E-5</v>
      </c>
      <c r="Z2576" s="21">
        <v>4601004133709</v>
      </c>
    </row>
    <row r="2577" spans="1:26" ht="12" customHeight="1" outlineLevel="3" x14ac:dyDescent="0.2">
      <c r="A2577" s="14" t="s">
        <v>5060</v>
      </c>
      <c r="B2577" s="26" t="s">
        <v>5061</v>
      </c>
      <c r="C2577" s="52"/>
      <c r="D2577" s="55">
        <f t="shared" si="40"/>
        <v>0</v>
      </c>
      <c r="E2577" s="63" t="str">
        <f>HYPERLINK("https://www.sds-group.ru/product/trubka-kembrik-tv-40-pvh-belyy-6-mm-rexant-49-5006/", "Инфо")</f>
        <v>Инфо</v>
      </c>
      <c r="F2577" s="16" t="s">
        <v>1767</v>
      </c>
      <c r="G2577" s="15"/>
      <c r="H2577" s="15"/>
      <c r="I2577" s="15"/>
      <c r="J2577" s="22">
        <v>50800</v>
      </c>
      <c r="K2577" s="15"/>
      <c r="L2577" s="17">
        <v>200</v>
      </c>
      <c r="M2577" s="17">
        <v>400</v>
      </c>
      <c r="N2577" s="17">
        <v>200</v>
      </c>
      <c r="O2577" s="18">
        <v>11.05</v>
      </c>
      <c r="P2577" s="18">
        <v>9.06</v>
      </c>
      <c r="Q2577" s="18">
        <v>9.39</v>
      </c>
      <c r="R2577" s="18">
        <v>7.7</v>
      </c>
      <c r="S2577" s="18">
        <v>7.51</v>
      </c>
      <c r="T2577" s="18">
        <v>6.16</v>
      </c>
      <c r="U2577" s="16"/>
      <c r="V2577" s="16"/>
      <c r="W2577" s="16" t="s">
        <v>40</v>
      </c>
      <c r="X2577" s="19">
        <v>1.9E-2</v>
      </c>
      <c r="Y2577" s="20">
        <v>1.0399999999999999E-4</v>
      </c>
      <c r="Z2577" s="21">
        <v>4601004300828</v>
      </c>
    </row>
    <row r="2578" spans="1:26" ht="12" customHeight="1" outlineLevel="3" x14ac:dyDescent="0.2">
      <c r="A2578" s="14" t="s">
        <v>5062</v>
      </c>
      <c r="B2578" s="26" t="s">
        <v>5063</v>
      </c>
      <c r="C2578" s="52"/>
      <c r="D2578" s="55">
        <f t="shared" si="40"/>
        <v>0</v>
      </c>
      <c r="E2578" s="63" t="str">
        <f>HYPERLINK("https://www.sds-group.ru/product/trubka-kembrik-tv-40-pvh-belyy-7-mm-rexant-49-5007/", "Инфо")</f>
        <v>Инфо</v>
      </c>
      <c r="F2578" s="16" t="s">
        <v>1767</v>
      </c>
      <c r="G2578" s="15"/>
      <c r="H2578" s="15"/>
      <c r="I2578" s="15"/>
      <c r="J2578" s="22">
        <v>5000</v>
      </c>
      <c r="K2578" s="15"/>
      <c r="L2578" s="17">
        <v>200</v>
      </c>
      <c r="M2578" s="17">
        <v>400</v>
      </c>
      <c r="N2578" s="17">
        <v>200</v>
      </c>
      <c r="O2578" s="18">
        <v>13.25</v>
      </c>
      <c r="P2578" s="18">
        <v>10.86</v>
      </c>
      <c r="Q2578" s="18">
        <v>11.26</v>
      </c>
      <c r="R2578" s="18">
        <v>9.23</v>
      </c>
      <c r="S2578" s="18">
        <v>9.01</v>
      </c>
      <c r="T2578" s="18">
        <v>7.39</v>
      </c>
      <c r="U2578" s="16"/>
      <c r="V2578" s="16"/>
      <c r="W2578" s="16" t="s">
        <v>40</v>
      </c>
      <c r="X2578" s="19">
        <v>2.3E-2</v>
      </c>
      <c r="Y2578" s="20">
        <v>9.7999999999999997E-5</v>
      </c>
      <c r="Z2578" s="21">
        <v>4601004133723</v>
      </c>
    </row>
    <row r="2579" spans="1:26" ht="12" customHeight="1" outlineLevel="3" x14ac:dyDescent="0.2">
      <c r="A2579" s="14" t="s">
        <v>5064</v>
      </c>
      <c r="B2579" s="26" t="s">
        <v>5065</v>
      </c>
      <c r="C2579" s="52"/>
      <c r="D2579" s="55">
        <f t="shared" si="40"/>
        <v>0</v>
      </c>
      <c r="E2579" s="63" t="str">
        <f>HYPERLINK("https://www.sds-group.ru/product/trubka-kembrik-tv-40-pvh-belyy-8-mm-rexant-49-5008/", "Инфо")</f>
        <v>Инфо</v>
      </c>
      <c r="F2579" s="16" t="s">
        <v>1767</v>
      </c>
      <c r="G2579" s="15"/>
      <c r="H2579" s="15"/>
      <c r="I2579" s="15"/>
      <c r="J2579" s="22">
        <v>82640</v>
      </c>
      <c r="K2579" s="15" t="s">
        <v>1408</v>
      </c>
      <c r="L2579" s="17">
        <v>150</v>
      </c>
      <c r="M2579" s="17">
        <v>300</v>
      </c>
      <c r="N2579" s="17">
        <v>150</v>
      </c>
      <c r="O2579" s="18">
        <v>15.42</v>
      </c>
      <c r="P2579" s="18">
        <v>12.64</v>
      </c>
      <c r="Q2579" s="18">
        <v>13.11</v>
      </c>
      <c r="R2579" s="18">
        <v>10.75</v>
      </c>
      <c r="S2579" s="18">
        <v>10.49</v>
      </c>
      <c r="T2579" s="18">
        <v>8.6</v>
      </c>
      <c r="U2579" s="16"/>
      <c r="V2579" s="16"/>
      <c r="W2579" s="16" t="s">
        <v>40</v>
      </c>
      <c r="X2579" s="19">
        <v>2.7E-2</v>
      </c>
      <c r="Y2579" s="20">
        <v>1.3799999999999999E-4</v>
      </c>
      <c r="Z2579" s="21">
        <v>4601004300873</v>
      </c>
    </row>
    <row r="2580" spans="1:26" ht="12" customHeight="1" outlineLevel="3" x14ac:dyDescent="0.2">
      <c r="A2580" s="14" t="s">
        <v>5066</v>
      </c>
      <c r="B2580" s="26" t="s">
        <v>5067</v>
      </c>
      <c r="C2580" s="52"/>
      <c r="D2580" s="55">
        <f t="shared" si="40"/>
        <v>0</v>
      </c>
      <c r="E2580" s="63" t="str">
        <f>HYPERLINK("https://www.sds-group.ru/product/trubka-kembrik-tv-40-pvh-belyy-9-mm-rexant-49-5009/", "Инфо")</f>
        <v>Инфо</v>
      </c>
      <c r="F2580" s="16" t="s">
        <v>1767</v>
      </c>
      <c r="G2580" s="15"/>
      <c r="H2580" s="15"/>
      <c r="I2580" s="15"/>
      <c r="J2580" s="22">
        <v>1700</v>
      </c>
      <c r="K2580" s="15"/>
      <c r="L2580" s="17">
        <v>100</v>
      </c>
      <c r="M2580" s="17">
        <v>200</v>
      </c>
      <c r="N2580" s="17">
        <v>100</v>
      </c>
      <c r="O2580" s="18">
        <v>17.62</v>
      </c>
      <c r="P2580" s="18">
        <v>14.44</v>
      </c>
      <c r="Q2580" s="18">
        <v>14.98</v>
      </c>
      <c r="R2580" s="18">
        <v>12.28</v>
      </c>
      <c r="S2580" s="18">
        <v>11.98</v>
      </c>
      <c r="T2580" s="18">
        <v>9.82</v>
      </c>
      <c r="U2580" s="16"/>
      <c r="V2580" s="16"/>
      <c r="W2580" s="16" t="s">
        <v>40</v>
      </c>
      <c r="X2580" s="19">
        <v>3.1E-2</v>
      </c>
      <c r="Y2580" s="20">
        <v>1.8200000000000001E-4</v>
      </c>
      <c r="Z2580" s="21">
        <v>4601004138445</v>
      </c>
    </row>
    <row r="2581" spans="1:26" ht="12" customHeight="1" outlineLevel="3" x14ac:dyDescent="0.2">
      <c r="A2581" s="32" t="s">
        <v>5068</v>
      </c>
      <c r="B2581" s="74" t="s">
        <v>5069</v>
      </c>
      <c r="C2581" s="50"/>
      <c r="D2581" s="53">
        <f t="shared" si="40"/>
        <v>0</v>
      </c>
      <c r="E2581" s="60" t="str">
        <f>HYPERLINK("https://www.sds-group.ru/product/trubka-kembrik-tv-40-pvh-chernyy-1-5-mm-rexant-49-5001-1/", "Инфо")</f>
        <v>Инфо</v>
      </c>
      <c r="F2581" s="34" t="s">
        <v>1767</v>
      </c>
      <c r="G2581" s="33"/>
      <c r="H2581" s="33" t="s">
        <v>40</v>
      </c>
      <c r="I2581" s="33"/>
      <c r="J2581" s="35">
        <v>400</v>
      </c>
      <c r="K2581" s="33"/>
      <c r="L2581" s="35">
        <v>400</v>
      </c>
      <c r="M2581" s="35">
        <v>800</v>
      </c>
      <c r="N2581" s="35">
        <v>400</v>
      </c>
      <c r="O2581" s="36">
        <v>5.5</v>
      </c>
      <c r="P2581" s="36">
        <v>4.51</v>
      </c>
      <c r="Q2581" s="36">
        <v>4.68</v>
      </c>
      <c r="R2581" s="36">
        <v>3.84</v>
      </c>
      <c r="S2581" s="36">
        <v>3.74</v>
      </c>
      <c r="T2581" s="36">
        <v>3.07</v>
      </c>
      <c r="U2581" s="34"/>
      <c r="V2581" s="34"/>
      <c r="W2581" s="34" t="s">
        <v>40</v>
      </c>
      <c r="X2581" s="37">
        <v>6.0000000000000001E-3</v>
      </c>
      <c r="Y2581" s="38">
        <v>2.1999999999999999E-5</v>
      </c>
      <c r="Z2581" s="21">
        <v>4601004300729</v>
      </c>
    </row>
    <row r="2582" spans="1:26" ht="12" customHeight="1" outlineLevel="3" x14ac:dyDescent="0.2">
      <c r="A2582" s="14" t="s">
        <v>5070</v>
      </c>
      <c r="B2582" s="26" t="s">
        <v>5071</v>
      </c>
      <c r="C2582" s="52"/>
      <c r="D2582" s="55">
        <f t="shared" si="40"/>
        <v>0</v>
      </c>
      <c r="E2582" s="63" t="str">
        <f>HYPERLINK("https://www.sds-group.ru/product/trubka-kembrik-tv-40-pvh-chernyy-10-mm-rexant-49-5010-1/", "Инфо")</f>
        <v>Инфо</v>
      </c>
      <c r="F2582" s="16" t="s">
        <v>1767</v>
      </c>
      <c r="G2582" s="15"/>
      <c r="H2582" s="15"/>
      <c r="I2582" s="15"/>
      <c r="J2582" s="22">
        <v>8900</v>
      </c>
      <c r="K2582" s="15"/>
      <c r="L2582" s="17">
        <v>100</v>
      </c>
      <c r="M2582" s="17">
        <v>200</v>
      </c>
      <c r="N2582" s="17">
        <v>100</v>
      </c>
      <c r="O2582" s="18">
        <v>23.85</v>
      </c>
      <c r="P2582" s="18">
        <v>19.55</v>
      </c>
      <c r="Q2582" s="18">
        <v>20.27</v>
      </c>
      <c r="R2582" s="18">
        <v>16.61</v>
      </c>
      <c r="S2582" s="18">
        <v>16.22</v>
      </c>
      <c r="T2582" s="18">
        <v>13.3</v>
      </c>
      <c r="U2582" s="16"/>
      <c r="V2582" s="16"/>
      <c r="W2582" s="16" t="s">
        <v>40</v>
      </c>
      <c r="X2582" s="19">
        <v>3.7999999999999999E-2</v>
      </c>
      <c r="Y2582" s="20">
        <v>2.2499999999999999E-4</v>
      </c>
      <c r="Z2582" s="21">
        <v>4610042345128</v>
      </c>
    </row>
    <row r="2583" spans="1:26" ht="12" customHeight="1" outlineLevel="3" x14ac:dyDescent="0.2">
      <c r="A2583" s="14" t="s">
        <v>5072</v>
      </c>
      <c r="B2583" s="26" t="s">
        <v>5073</v>
      </c>
      <c r="C2583" s="52"/>
      <c r="D2583" s="55">
        <f t="shared" si="40"/>
        <v>0</v>
      </c>
      <c r="E2583" s="63" t="str">
        <f>HYPERLINK("https://www.sds-group.ru/product/trubka-kembrik-tv-40-pvh-chernyy-12-mm-rexant-49-5011-1/", "Инфо")</f>
        <v>Инфо</v>
      </c>
      <c r="F2583" s="16" t="s">
        <v>1767</v>
      </c>
      <c r="G2583" s="15"/>
      <c r="H2583" s="15"/>
      <c r="I2583" s="15"/>
      <c r="J2583" s="22">
        <v>2100</v>
      </c>
      <c r="K2583" s="15"/>
      <c r="L2583" s="17">
        <v>100</v>
      </c>
      <c r="M2583" s="17">
        <v>200</v>
      </c>
      <c r="N2583" s="17">
        <v>100</v>
      </c>
      <c r="O2583" s="18">
        <v>24.99</v>
      </c>
      <c r="P2583" s="18">
        <v>20.48</v>
      </c>
      <c r="Q2583" s="18">
        <v>21.24</v>
      </c>
      <c r="R2583" s="18">
        <v>17.41</v>
      </c>
      <c r="S2583" s="18">
        <v>16.989999999999998</v>
      </c>
      <c r="T2583" s="18">
        <v>13.93</v>
      </c>
      <c r="U2583" s="16"/>
      <c r="V2583" s="16"/>
      <c r="W2583" s="16" t="s">
        <v>40</v>
      </c>
      <c r="X2583" s="19">
        <v>4.2000000000000003E-2</v>
      </c>
      <c r="Y2583" s="20">
        <v>1.76E-4</v>
      </c>
      <c r="Z2583" s="21">
        <v>4601004234529</v>
      </c>
    </row>
    <row r="2584" spans="1:26" ht="12" customHeight="1" outlineLevel="3" x14ac:dyDescent="0.2">
      <c r="A2584" s="14" t="s">
        <v>5074</v>
      </c>
      <c r="B2584" s="26" t="s">
        <v>5075</v>
      </c>
      <c r="C2584" s="52"/>
      <c r="D2584" s="55">
        <f t="shared" si="40"/>
        <v>0</v>
      </c>
      <c r="E2584" s="63" t="str">
        <f>HYPERLINK("https://www.sds-group.ru/product/trubka-kembrik-tv-40-pvh-chernyy-14-mm-rexant-49-5012-1/", "Инфо")</f>
        <v>Инфо</v>
      </c>
      <c r="F2584" s="16" t="s">
        <v>1767</v>
      </c>
      <c r="G2584" s="15"/>
      <c r="H2584" s="15"/>
      <c r="I2584" s="15"/>
      <c r="J2584" s="22">
        <v>1300</v>
      </c>
      <c r="K2584" s="15"/>
      <c r="L2584" s="17">
        <v>100</v>
      </c>
      <c r="M2584" s="17">
        <v>200</v>
      </c>
      <c r="N2584" s="17">
        <v>100</v>
      </c>
      <c r="O2584" s="18">
        <v>31.25</v>
      </c>
      <c r="P2584" s="18">
        <v>25.61</v>
      </c>
      <c r="Q2584" s="18">
        <v>26.56</v>
      </c>
      <c r="R2584" s="18">
        <v>21.77</v>
      </c>
      <c r="S2584" s="18">
        <v>21.25</v>
      </c>
      <c r="T2584" s="18">
        <v>17.420000000000002</v>
      </c>
      <c r="U2584" s="16"/>
      <c r="V2584" s="16"/>
      <c r="W2584" s="16" t="s">
        <v>40</v>
      </c>
      <c r="X2584" s="19">
        <v>5.3999999999999999E-2</v>
      </c>
      <c r="Y2584" s="20">
        <v>1.6899999999999999E-4</v>
      </c>
      <c r="Z2584" s="21">
        <v>4601004234536</v>
      </c>
    </row>
    <row r="2585" spans="1:26" ht="12" customHeight="1" outlineLevel="3" x14ac:dyDescent="0.2">
      <c r="A2585" s="32" t="s">
        <v>5076</v>
      </c>
      <c r="B2585" s="74" t="s">
        <v>5077</v>
      </c>
      <c r="C2585" s="50"/>
      <c r="D2585" s="53">
        <f t="shared" si="40"/>
        <v>0</v>
      </c>
      <c r="E2585" s="60" t="str">
        <f>HYPERLINK("https://www.sds-group.ru/product/trubka-kembrik-tv-40-pvh-chernyy-2-mm-rexant-49-5002-1/", "Инфо")</f>
        <v>Инфо</v>
      </c>
      <c r="F2585" s="34" t="s">
        <v>1767</v>
      </c>
      <c r="G2585" s="33"/>
      <c r="H2585" s="33" t="s">
        <v>40</v>
      </c>
      <c r="I2585" s="33"/>
      <c r="J2585" s="35">
        <v>800</v>
      </c>
      <c r="K2585" s="33"/>
      <c r="L2585" s="35">
        <v>400</v>
      </c>
      <c r="M2585" s="35">
        <v>800</v>
      </c>
      <c r="N2585" s="35">
        <v>400</v>
      </c>
      <c r="O2585" s="36">
        <v>5.75</v>
      </c>
      <c r="P2585" s="36">
        <v>4.71</v>
      </c>
      <c r="Q2585" s="36">
        <v>4.8899999999999997</v>
      </c>
      <c r="R2585" s="36">
        <v>4.01</v>
      </c>
      <c r="S2585" s="36">
        <v>3.91</v>
      </c>
      <c r="T2585" s="36">
        <v>3.2</v>
      </c>
      <c r="U2585" s="34"/>
      <c r="V2585" s="34"/>
      <c r="W2585" s="34" t="s">
        <v>40</v>
      </c>
      <c r="X2585" s="37">
        <v>5.0000000000000001E-3</v>
      </c>
      <c r="Y2585" s="38">
        <v>2.8E-5</v>
      </c>
      <c r="Z2585" s="21">
        <v>4601004300750</v>
      </c>
    </row>
    <row r="2586" spans="1:26" ht="12" customHeight="1" outlineLevel="3" x14ac:dyDescent="0.2">
      <c r="A2586" s="32" t="s">
        <v>5078</v>
      </c>
      <c r="B2586" s="74" t="s">
        <v>5079</v>
      </c>
      <c r="C2586" s="50"/>
      <c r="D2586" s="53">
        <f t="shared" si="40"/>
        <v>0</v>
      </c>
      <c r="E2586" s="60" t="str">
        <f>HYPERLINK("https://www.sds-group.ru/product/trubka-kembrik-tv-40-pvh-chernyy-3-mm-rexant-49-5003-1/", "Инфо")</f>
        <v>Инфо</v>
      </c>
      <c r="F2586" s="34" t="s">
        <v>1767</v>
      </c>
      <c r="G2586" s="33"/>
      <c r="H2586" s="33" t="s">
        <v>40</v>
      </c>
      <c r="I2586" s="33"/>
      <c r="J2586" s="39">
        <v>3600</v>
      </c>
      <c r="K2586" s="33"/>
      <c r="L2586" s="35">
        <v>400</v>
      </c>
      <c r="M2586" s="35">
        <v>800</v>
      </c>
      <c r="N2586" s="35">
        <v>400</v>
      </c>
      <c r="O2586" s="36">
        <v>5.98</v>
      </c>
      <c r="P2586" s="36">
        <v>4.9000000000000004</v>
      </c>
      <c r="Q2586" s="36">
        <v>5.08</v>
      </c>
      <c r="R2586" s="36">
        <v>4.16</v>
      </c>
      <c r="S2586" s="36">
        <v>4.07</v>
      </c>
      <c r="T2586" s="36">
        <v>3.34</v>
      </c>
      <c r="U2586" s="34"/>
      <c r="V2586" s="34"/>
      <c r="W2586" s="34" t="s">
        <v>40</v>
      </c>
      <c r="X2586" s="37">
        <v>7.0000000000000001E-3</v>
      </c>
      <c r="Y2586" s="38">
        <v>3.0000000000000001E-5</v>
      </c>
      <c r="Z2586" s="21">
        <v>4601004300774</v>
      </c>
    </row>
    <row r="2587" spans="1:26" ht="12" customHeight="1" outlineLevel="3" x14ac:dyDescent="0.2">
      <c r="A2587" s="14" t="s">
        <v>5080</v>
      </c>
      <c r="B2587" s="26" t="s">
        <v>5081</v>
      </c>
      <c r="C2587" s="52"/>
      <c r="D2587" s="55">
        <f t="shared" si="40"/>
        <v>0</v>
      </c>
      <c r="E2587" s="63" t="str">
        <f>HYPERLINK("https://www.sds-group.ru/product/trubka-kembrik-tv-40-pvh-chernyy-4-mm-rexant-49-5004-1/", "Инфо")</f>
        <v>Инфо</v>
      </c>
      <c r="F2587" s="16" t="s">
        <v>1767</v>
      </c>
      <c r="G2587" s="15"/>
      <c r="H2587" s="15"/>
      <c r="I2587" s="15"/>
      <c r="J2587" s="22">
        <v>3000</v>
      </c>
      <c r="K2587" s="15"/>
      <c r="L2587" s="17">
        <v>300</v>
      </c>
      <c r="M2587" s="17">
        <v>600</v>
      </c>
      <c r="N2587" s="17">
        <v>300</v>
      </c>
      <c r="O2587" s="18">
        <v>8</v>
      </c>
      <c r="P2587" s="18">
        <v>6.56</v>
      </c>
      <c r="Q2587" s="18">
        <v>6.8</v>
      </c>
      <c r="R2587" s="18">
        <v>5.57</v>
      </c>
      <c r="S2587" s="18">
        <v>5.44</v>
      </c>
      <c r="T2587" s="18">
        <v>4.46</v>
      </c>
      <c r="U2587" s="16"/>
      <c r="V2587" s="16"/>
      <c r="W2587" s="16" t="s">
        <v>40</v>
      </c>
      <c r="X2587" s="19">
        <v>1.2E-2</v>
      </c>
      <c r="Y2587" s="20">
        <v>5.3999999999999998E-5</v>
      </c>
      <c r="Z2587" s="21">
        <v>4601004300798</v>
      </c>
    </row>
    <row r="2588" spans="1:26" ht="12" customHeight="1" outlineLevel="3" x14ac:dyDescent="0.2">
      <c r="A2588" s="14" t="s">
        <v>5082</v>
      </c>
      <c r="B2588" s="26" t="s">
        <v>5083</v>
      </c>
      <c r="C2588" s="52"/>
      <c r="D2588" s="55">
        <f t="shared" si="40"/>
        <v>0</v>
      </c>
      <c r="E2588" s="63" t="str">
        <f>HYPERLINK("https://www.sds-group.ru/product/trubka-kembrik-tv-40-pvh-chernyy-5-mm-rexant-49-5005-1/", "Инфо")</f>
        <v>Инфо</v>
      </c>
      <c r="F2588" s="16" t="s">
        <v>1767</v>
      </c>
      <c r="G2588" s="15"/>
      <c r="H2588" s="15"/>
      <c r="I2588" s="15"/>
      <c r="J2588" s="22">
        <v>5400</v>
      </c>
      <c r="K2588" s="15"/>
      <c r="L2588" s="17">
        <v>300</v>
      </c>
      <c r="M2588" s="17">
        <v>600</v>
      </c>
      <c r="N2588" s="17">
        <v>300</v>
      </c>
      <c r="O2588" s="18">
        <v>11.77</v>
      </c>
      <c r="P2588" s="18">
        <v>9.65</v>
      </c>
      <c r="Q2588" s="18">
        <v>10</v>
      </c>
      <c r="R2588" s="18">
        <v>8.1999999999999993</v>
      </c>
      <c r="S2588" s="18">
        <v>8</v>
      </c>
      <c r="T2588" s="18">
        <v>6.56</v>
      </c>
      <c r="U2588" s="16"/>
      <c r="V2588" s="16"/>
      <c r="W2588" s="16" t="s">
        <v>40</v>
      </c>
      <c r="X2588" s="19">
        <v>1.2E-2</v>
      </c>
      <c r="Y2588" s="20">
        <v>7.1000000000000005E-5</v>
      </c>
      <c r="Z2588" s="21">
        <v>4601004234468</v>
      </c>
    </row>
    <row r="2589" spans="1:26" ht="12" customHeight="1" outlineLevel="3" x14ac:dyDescent="0.2">
      <c r="A2589" s="14" t="s">
        <v>5084</v>
      </c>
      <c r="B2589" s="26" t="s">
        <v>5085</v>
      </c>
      <c r="C2589" s="52"/>
      <c r="D2589" s="55">
        <f t="shared" si="40"/>
        <v>0</v>
      </c>
      <c r="E2589" s="63" t="str">
        <f>HYPERLINK("https://www.sds-group.ru/product/trubka-kembrik-tv-40-pvh-chernyy-6-mm-rexant-49-5006-1/", "Инфо")</f>
        <v>Инфо</v>
      </c>
      <c r="F2589" s="16" t="s">
        <v>1767</v>
      </c>
      <c r="G2589" s="15"/>
      <c r="H2589" s="15"/>
      <c r="I2589" s="15"/>
      <c r="J2589" s="22">
        <v>4800</v>
      </c>
      <c r="K2589" s="15"/>
      <c r="L2589" s="17">
        <v>200</v>
      </c>
      <c r="M2589" s="17">
        <v>400</v>
      </c>
      <c r="N2589" s="17">
        <v>200</v>
      </c>
      <c r="O2589" s="18">
        <v>14.38</v>
      </c>
      <c r="P2589" s="18">
        <v>11.79</v>
      </c>
      <c r="Q2589" s="18">
        <v>12.22</v>
      </c>
      <c r="R2589" s="18">
        <v>10.02</v>
      </c>
      <c r="S2589" s="18">
        <v>9.7799999999999994</v>
      </c>
      <c r="T2589" s="18">
        <v>8.02</v>
      </c>
      <c r="U2589" s="16"/>
      <c r="V2589" s="16"/>
      <c r="W2589" s="16" t="s">
        <v>40</v>
      </c>
      <c r="X2589" s="19">
        <v>1.4999999999999999E-2</v>
      </c>
      <c r="Y2589" s="20">
        <v>9.2999999999999997E-5</v>
      </c>
      <c r="Z2589" s="21">
        <v>4601004300835</v>
      </c>
    </row>
    <row r="2590" spans="1:26" ht="12" customHeight="1" outlineLevel="3" x14ac:dyDescent="0.2">
      <c r="A2590" s="14" t="s">
        <v>5086</v>
      </c>
      <c r="B2590" s="26" t="s">
        <v>5087</v>
      </c>
      <c r="C2590" s="52"/>
      <c r="D2590" s="55">
        <f t="shared" si="40"/>
        <v>0</v>
      </c>
      <c r="E2590" s="63" t="str">
        <f>HYPERLINK("https://www.sds-group.ru/product/trubka-kembrik-tv-40-pvh-chernyy-7-mm-rexant-49-5007-1/", "Инфо")</f>
        <v>Инфо</v>
      </c>
      <c r="F2590" s="16" t="s">
        <v>1767</v>
      </c>
      <c r="G2590" s="15"/>
      <c r="H2590" s="15"/>
      <c r="I2590" s="15"/>
      <c r="J2590" s="22">
        <v>2600</v>
      </c>
      <c r="K2590" s="15"/>
      <c r="L2590" s="17">
        <v>200</v>
      </c>
      <c r="M2590" s="17">
        <v>400</v>
      </c>
      <c r="N2590" s="17">
        <v>200</v>
      </c>
      <c r="O2590" s="18">
        <v>16.07</v>
      </c>
      <c r="P2590" s="18">
        <v>13.17</v>
      </c>
      <c r="Q2590" s="18">
        <v>13.66</v>
      </c>
      <c r="R2590" s="18">
        <v>11.2</v>
      </c>
      <c r="S2590" s="18">
        <v>10.93</v>
      </c>
      <c r="T2590" s="18">
        <v>8.9600000000000009</v>
      </c>
      <c r="U2590" s="16"/>
      <c r="V2590" s="16"/>
      <c r="W2590" s="16" t="s">
        <v>40</v>
      </c>
      <c r="X2590" s="19">
        <v>2.3E-2</v>
      </c>
      <c r="Y2590" s="20">
        <v>9.8999999999999994E-5</v>
      </c>
      <c r="Z2590" s="21">
        <v>4601004234482</v>
      </c>
    </row>
    <row r="2591" spans="1:26" ht="12" customHeight="1" outlineLevel="3" x14ac:dyDescent="0.2">
      <c r="A2591" s="14" t="s">
        <v>5088</v>
      </c>
      <c r="B2591" s="26" t="s">
        <v>5089</v>
      </c>
      <c r="C2591" s="52"/>
      <c r="D2591" s="55">
        <f t="shared" si="40"/>
        <v>0</v>
      </c>
      <c r="E2591" s="63" t="str">
        <f>HYPERLINK("https://www.sds-group.ru/product/trubka-kembrik-tv-40-pvh-chernyy-8-mm-rexant-49-5008-1/", "Инфо")</f>
        <v>Инфо</v>
      </c>
      <c r="F2591" s="16" t="s">
        <v>1767</v>
      </c>
      <c r="G2591" s="15"/>
      <c r="H2591" s="15"/>
      <c r="I2591" s="15"/>
      <c r="J2591" s="22">
        <v>3450</v>
      </c>
      <c r="K2591" s="15"/>
      <c r="L2591" s="17">
        <v>150</v>
      </c>
      <c r="M2591" s="17">
        <v>300</v>
      </c>
      <c r="N2591" s="17">
        <v>150</v>
      </c>
      <c r="O2591" s="18">
        <v>17.88</v>
      </c>
      <c r="P2591" s="18">
        <v>14.66</v>
      </c>
      <c r="Q2591" s="18">
        <v>15.2</v>
      </c>
      <c r="R2591" s="18">
        <v>12.46</v>
      </c>
      <c r="S2591" s="18">
        <v>12.16</v>
      </c>
      <c r="T2591" s="18">
        <v>9.9700000000000006</v>
      </c>
      <c r="U2591" s="16"/>
      <c r="V2591" s="16"/>
      <c r="W2591" s="16" t="s">
        <v>40</v>
      </c>
      <c r="X2591" s="19">
        <v>2.8000000000000001E-2</v>
      </c>
      <c r="Y2591" s="20">
        <v>1.15E-4</v>
      </c>
      <c r="Z2591" s="21">
        <v>4601004300866</v>
      </c>
    </row>
    <row r="2592" spans="1:26" ht="12" customHeight="1" outlineLevel="3" x14ac:dyDescent="0.2">
      <c r="A2592" s="14" t="s">
        <v>5090</v>
      </c>
      <c r="B2592" s="26" t="s">
        <v>5091</v>
      </c>
      <c r="C2592" s="52"/>
      <c r="D2592" s="55">
        <f t="shared" si="40"/>
        <v>0</v>
      </c>
      <c r="E2592" s="63" t="str">
        <f>HYPERLINK("https://www.sds-group.ru/product/trubka-kembrik-tv-40-pvh-belyy-2-mm-rexant-49-5002/", "Инфо")</f>
        <v>Инфо</v>
      </c>
      <c r="F2592" s="16" t="s">
        <v>1767</v>
      </c>
      <c r="G2592" s="15"/>
      <c r="H2592" s="15"/>
      <c r="I2592" s="15"/>
      <c r="J2592" s="22">
        <v>21200</v>
      </c>
      <c r="K2592" s="15" t="s">
        <v>1408</v>
      </c>
      <c r="L2592" s="17">
        <v>400</v>
      </c>
      <c r="M2592" s="17">
        <v>800</v>
      </c>
      <c r="N2592" s="17">
        <v>400</v>
      </c>
      <c r="O2592" s="18">
        <v>5.7</v>
      </c>
      <c r="P2592" s="18">
        <v>4.67</v>
      </c>
      <c r="Q2592" s="18">
        <v>4.8499999999999996</v>
      </c>
      <c r="R2592" s="18">
        <v>3.98</v>
      </c>
      <c r="S2592" s="18">
        <v>3.88</v>
      </c>
      <c r="T2592" s="18">
        <v>3.18</v>
      </c>
      <c r="U2592" s="16"/>
      <c r="V2592" s="16"/>
      <c r="W2592" s="16" t="s">
        <v>40</v>
      </c>
      <c r="X2592" s="19">
        <v>6.0000000000000001E-3</v>
      </c>
      <c r="Y2592" s="20">
        <v>3.8999999999999999E-5</v>
      </c>
      <c r="Z2592" s="21">
        <v>4601004300743</v>
      </c>
    </row>
    <row r="2593" spans="1:26" ht="12" customHeight="1" outlineLevel="3" x14ac:dyDescent="0.2">
      <c r="A2593" s="14" t="s">
        <v>5092</v>
      </c>
      <c r="B2593" s="26" t="s">
        <v>5093</v>
      </c>
      <c r="C2593" s="52"/>
      <c r="D2593" s="55">
        <f t="shared" si="40"/>
        <v>0</v>
      </c>
      <c r="E2593" s="63" t="str">
        <f>HYPERLINK("https://www.sds-group.ru/product/trubka-kembrik-tv-40-pvh-belyy-3-mm-rexant-49-5003/", "Инфо")</f>
        <v>Инфо</v>
      </c>
      <c r="F2593" s="16" t="s">
        <v>1767</v>
      </c>
      <c r="G2593" s="15"/>
      <c r="H2593" s="15"/>
      <c r="I2593" s="15"/>
      <c r="J2593" s="22">
        <v>30000</v>
      </c>
      <c r="K2593" s="15"/>
      <c r="L2593" s="17">
        <v>400</v>
      </c>
      <c r="M2593" s="17">
        <v>800</v>
      </c>
      <c r="N2593" s="17">
        <v>400</v>
      </c>
      <c r="O2593" s="18">
        <v>6.49</v>
      </c>
      <c r="P2593" s="18">
        <v>5.32</v>
      </c>
      <c r="Q2593" s="18">
        <v>5.52</v>
      </c>
      <c r="R2593" s="18">
        <v>4.5199999999999996</v>
      </c>
      <c r="S2593" s="18">
        <v>4.41</v>
      </c>
      <c r="T2593" s="18">
        <v>3.61</v>
      </c>
      <c r="U2593" s="16"/>
      <c r="V2593" s="16"/>
      <c r="W2593" s="16" t="s">
        <v>40</v>
      </c>
      <c r="X2593" s="19">
        <v>8.9999999999999993E-3</v>
      </c>
      <c r="Y2593" s="20">
        <v>3.1999999999999999E-5</v>
      </c>
      <c r="Z2593" s="21">
        <v>4601004300767</v>
      </c>
    </row>
    <row r="2594" spans="1:26" ht="12.95" customHeight="1" outlineLevel="1" x14ac:dyDescent="0.2">
      <c r="A2594" s="78" t="s">
        <v>5094</v>
      </c>
      <c r="B2594" s="78"/>
      <c r="C2594" s="79"/>
      <c r="D2594" s="57"/>
      <c r="E2594" s="67"/>
      <c r="F2594" s="12"/>
      <c r="G2594" s="12"/>
      <c r="H2594" s="12"/>
      <c r="I2594" s="12"/>
      <c r="J2594" s="12"/>
      <c r="K2594" s="12"/>
      <c r="L2594" s="12"/>
      <c r="M2594" s="12"/>
      <c r="N2594" s="12"/>
      <c r="O2594" s="12"/>
      <c r="P2594" s="12"/>
      <c r="Q2594" s="12"/>
      <c r="R2594" s="12"/>
      <c r="S2594" s="12"/>
      <c r="T2594" s="12"/>
      <c r="U2594" s="12"/>
      <c r="V2594" s="12"/>
      <c r="W2594" s="12"/>
      <c r="X2594" s="12"/>
      <c r="Y2594" s="12"/>
      <c r="Z2594" s="12"/>
    </row>
    <row r="2595" spans="1:26" ht="12.95" customHeight="1" outlineLevel="2" x14ac:dyDescent="0.2">
      <c r="A2595" s="76" t="s">
        <v>5095</v>
      </c>
      <c r="B2595" s="76"/>
      <c r="C2595" s="77"/>
      <c r="D2595" s="58"/>
      <c r="E2595" s="68"/>
      <c r="F2595" s="13"/>
      <c r="G2595" s="13"/>
      <c r="H2595" s="13"/>
      <c r="I2595" s="13"/>
      <c r="J2595" s="13"/>
      <c r="K2595" s="13"/>
      <c r="L2595" s="13"/>
      <c r="M2595" s="13"/>
      <c r="N2595" s="13"/>
      <c r="O2595" s="13"/>
      <c r="P2595" s="13"/>
      <c r="Q2595" s="13"/>
      <c r="R2595" s="13"/>
      <c r="S2595" s="13"/>
      <c r="T2595" s="13"/>
      <c r="U2595" s="13"/>
      <c r="V2595" s="13"/>
      <c r="W2595" s="13"/>
      <c r="X2595" s="13"/>
      <c r="Y2595" s="13"/>
      <c r="Z2595" s="13"/>
    </row>
    <row r="2596" spans="1:26" ht="12.95" customHeight="1" outlineLevel="3" x14ac:dyDescent="0.2">
      <c r="A2596" s="76" t="s">
        <v>5096</v>
      </c>
      <c r="B2596" s="76"/>
      <c r="C2596" s="77"/>
      <c r="D2596" s="58"/>
      <c r="E2596" s="68"/>
      <c r="F2596" s="13"/>
      <c r="G2596" s="13"/>
      <c r="H2596" s="13"/>
      <c r="I2596" s="13"/>
      <c r="J2596" s="13"/>
      <c r="K2596" s="13"/>
      <c r="L2596" s="13"/>
      <c r="M2596" s="13"/>
      <c r="N2596" s="13"/>
      <c r="O2596" s="13"/>
      <c r="P2596" s="13"/>
      <c r="Q2596" s="13"/>
      <c r="R2596" s="13"/>
      <c r="S2596" s="13"/>
      <c r="T2596" s="13"/>
      <c r="U2596" s="13"/>
      <c r="V2596" s="13"/>
      <c r="W2596" s="13"/>
      <c r="X2596" s="13"/>
      <c r="Y2596" s="13"/>
      <c r="Z2596" s="13"/>
    </row>
    <row r="2597" spans="1:26" ht="12" customHeight="1" outlineLevel="4" x14ac:dyDescent="0.2">
      <c r="A2597" s="14" t="s">
        <v>5097</v>
      </c>
      <c r="B2597" s="26" t="s">
        <v>5098</v>
      </c>
      <c r="C2597" s="52"/>
      <c r="D2597" s="55">
        <f t="shared" si="40"/>
        <v>0</v>
      </c>
      <c r="E2597" s="63" t="str">
        <f>HYPERLINK("https://www.sds-group.ru/product/vyklyuchatel-klavishnyy-12v-15a-3s-vkl-vykl-zelenyy-s-podsvetkoy-mini-rexant-36-2173/", "Инфо")</f>
        <v>Инфо</v>
      </c>
      <c r="F2597" s="16" t="s">
        <v>39</v>
      </c>
      <c r="G2597" s="15"/>
      <c r="H2597" s="15"/>
      <c r="I2597" s="15"/>
      <c r="J2597" s="22">
        <v>4040</v>
      </c>
      <c r="K2597" s="15" t="s">
        <v>883</v>
      </c>
      <c r="L2597" s="17">
        <v>10</v>
      </c>
      <c r="M2597" s="22">
        <v>2500</v>
      </c>
      <c r="N2597" s="17">
        <v>10</v>
      </c>
      <c r="O2597" s="18">
        <v>76.319999999999993</v>
      </c>
      <c r="P2597" s="18">
        <v>62.56</v>
      </c>
      <c r="Q2597" s="18">
        <v>64.87</v>
      </c>
      <c r="R2597" s="18">
        <v>53.17</v>
      </c>
      <c r="S2597" s="18">
        <v>51.9</v>
      </c>
      <c r="T2597" s="18">
        <v>42.54</v>
      </c>
      <c r="U2597" s="16"/>
      <c r="V2597" s="16"/>
      <c r="W2597" s="16" t="s">
        <v>40</v>
      </c>
      <c r="X2597" s="19">
        <v>5.0000000000000001E-3</v>
      </c>
      <c r="Y2597" s="20">
        <v>1.5E-5</v>
      </c>
      <c r="Z2597" s="21">
        <v>4601004066243</v>
      </c>
    </row>
    <row r="2598" spans="1:26" ht="12" customHeight="1" outlineLevel="4" x14ac:dyDescent="0.2">
      <c r="A2598" s="14" t="s">
        <v>5099</v>
      </c>
      <c r="B2598" s="26" t="s">
        <v>5100</v>
      </c>
      <c r="C2598" s="52"/>
      <c r="D2598" s="55">
        <f t="shared" si="40"/>
        <v>0</v>
      </c>
      <c r="E2598" s="63" t="str">
        <f>HYPERLINK("https://www.sds-group.ru/product/vyklyuchatel-klavishnyy-12v-15a-3s-vkl-vykl-krasnyy-s-podsvetkoy-mini-rexant-36-2170/", "Инфо")</f>
        <v>Инфо</v>
      </c>
      <c r="F2598" s="16" t="s">
        <v>39</v>
      </c>
      <c r="G2598" s="15"/>
      <c r="H2598" s="15"/>
      <c r="I2598" s="15"/>
      <c r="J2598" s="22">
        <v>8900</v>
      </c>
      <c r="K2598" s="15"/>
      <c r="L2598" s="17">
        <v>10</v>
      </c>
      <c r="M2598" s="22">
        <v>3000</v>
      </c>
      <c r="N2598" s="17">
        <v>10</v>
      </c>
      <c r="O2598" s="18">
        <v>76.319999999999993</v>
      </c>
      <c r="P2598" s="18">
        <v>62.56</v>
      </c>
      <c r="Q2598" s="18">
        <v>64.87</v>
      </c>
      <c r="R2598" s="18">
        <v>53.17</v>
      </c>
      <c r="S2598" s="18">
        <v>51.9</v>
      </c>
      <c r="T2598" s="18">
        <v>42.54</v>
      </c>
      <c r="U2598" s="16"/>
      <c r="V2598" s="16"/>
      <c r="W2598" s="16" t="s">
        <v>40</v>
      </c>
      <c r="X2598" s="19">
        <v>5.0000000000000001E-3</v>
      </c>
      <c r="Y2598" s="20">
        <v>1.2999999999999999E-5</v>
      </c>
      <c r="Z2598" s="21">
        <v>4601004066212</v>
      </c>
    </row>
    <row r="2599" spans="1:26" ht="12" customHeight="1" outlineLevel="4" x14ac:dyDescent="0.2">
      <c r="A2599" s="32" t="s">
        <v>5101</v>
      </c>
      <c r="B2599" s="74" t="s">
        <v>5102</v>
      </c>
      <c r="C2599" s="50"/>
      <c r="D2599" s="53">
        <f t="shared" si="40"/>
        <v>0</v>
      </c>
      <c r="E2599" s="60" t="str">
        <f>HYPERLINK("https://www.sds-group.ru/product/vyklyuchatel-klavishnyy-12v-15a-3s-vkl-vykl-siniy-s-podsvetkoy-mini-rexant-36-2171/", "Инфо")</f>
        <v>Инфо</v>
      </c>
      <c r="F2599" s="34" t="s">
        <v>39</v>
      </c>
      <c r="G2599" s="33"/>
      <c r="H2599" s="33" t="s">
        <v>40</v>
      </c>
      <c r="I2599" s="33"/>
      <c r="J2599" s="39">
        <v>3040</v>
      </c>
      <c r="K2599" s="33"/>
      <c r="L2599" s="35">
        <v>10</v>
      </c>
      <c r="M2599" s="39">
        <v>2000</v>
      </c>
      <c r="N2599" s="35">
        <v>10</v>
      </c>
      <c r="O2599" s="36">
        <v>72.5</v>
      </c>
      <c r="P2599" s="36">
        <v>59.43</v>
      </c>
      <c r="Q2599" s="36">
        <v>50.75</v>
      </c>
      <c r="R2599" s="36">
        <v>41.6</v>
      </c>
      <c r="S2599" s="36">
        <v>49.3</v>
      </c>
      <c r="T2599" s="36">
        <v>40.409999999999997</v>
      </c>
      <c r="U2599" s="34"/>
      <c r="V2599" s="34"/>
      <c r="W2599" s="34"/>
      <c r="X2599" s="37">
        <v>5.0000000000000001E-3</v>
      </c>
      <c r="Y2599" s="38">
        <v>1.9000000000000001E-5</v>
      </c>
      <c r="Z2599" s="21">
        <v>4601004066229</v>
      </c>
    </row>
    <row r="2600" spans="1:26" ht="12" customHeight="1" outlineLevel="4" x14ac:dyDescent="0.2">
      <c r="A2600" s="32" t="s">
        <v>5103</v>
      </c>
      <c r="B2600" s="74" t="s">
        <v>5104</v>
      </c>
      <c r="C2600" s="50"/>
      <c r="D2600" s="53">
        <f t="shared" si="40"/>
        <v>0</v>
      </c>
      <c r="E2600" s="60" t="str">
        <f>HYPERLINK("https://www.sds-group.ru/product/vyklyuchatel-klavishnyy-12v-35a-4s-vkl-vykl-s-zheltoy-podsvetkoy-rexant-36-4442/", "Инфо")</f>
        <v>Инфо</v>
      </c>
      <c r="F2600" s="34" t="s">
        <v>39</v>
      </c>
      <c r="G2600" s="33"/>
      <c r="H2600" s="33" t="s">
        <v>40</v>
      </c>
      <c r="I2600" s="33"/>
      <c r="J2600" s="35">
        <v>980</v>
      </c>
      <c r="K2600" s="33"/>
      <c r="L2600" s="35">
        <v>10</v>
      </c>
      <c r="M2600" s="35">
        <v>500</v>
      </c>
      <c r="N2600" s="35">
        <v>10</v>
      </c>
      <c r="O2600" s="36">
        <v>215.2</v>
      </c>
      <c r="P2600" s="36">
        <v>176.39</v>
      </c>
      <c r="Q2600" s="36">
        <v>150.63999999999999</v>
      </c>
      <c r="R2600" s="36">
        <v>123.48</v>
      </c>
      <c r="S2600" s="36">
        <v>146.34</v>
      </c>
      <c r="T2600" s="36">
        <v>119.95</v>
      </c>
      <c r="U2600" s="34"/>
      <c r="V2600" s="34"/>
      <c r="W2600" s="34"/>
      <c r="X2600" s="37">
        <v>0.02</v>
      </c>
      <c r="Y2600" s="38">
        <v>6.9999999999999994E-5</v>
      </c>
      <c r="Z2600" s="21">
        <v>4601004066946</v>
      </c>
    </row>
    <row r="2601" spans="1:26" ht="12" customHeight="1" outlineLevel="4" x14ac:dyDescent="0.2">
      <c r="A2601" s="32" t="s">
        <v>5105</v>
      </c>
      <c r="B2601" s="74" t="s">
        <v>5106</v>
      </c>
      <c r="C2601" s="50"/>
      <c r="D2601" s="53">
        <f t="shared" si="40"/>
        <v>0</v>
      </c>
      <c r="E2601" s="60" t="str">
        <f>HYPERLINK("https://www.sds-group.ru/product/vyklyuchatel-klavishnyy-12v-35a-4s-vkl-vykl-s-zelenoy-podsvetkoy-rexant-36-4441/", "Инфо")</f>
        <v>Инфо</v>
      </c>
      <c r="F2601" s="34" t="s">
        <v>39</v>
      </c>
      <c r="G2601" s="33"/>
      <c r="H2601" s="33" t="s">
        <v>40</v>
      </c>
      <c r="I2601" s="33"/>
      <c r="J2601" s="35">
        <v>730</v>
      </c>
      <c r="K2601" s="33"/>
      <c r="L2601" s="35">
        <v>10</v>
      </c>
      <c r="M2601" s="35">
        <v>500</v>
      </c>
      <c r="N2601" s="35">
        <v>10</v>
      </c>
      <c r="O2601" s="36">
        <v>262.49</v>
      </c>
      <c r="P2601" s="36">
        <v>215.16</v>
      </c>
      <c r="Q2601" s="36">
        <v>223.12</v>
      </c>
      <c r="R2601" s="36">
        <v>182.89</v>
      </c>
      <c r="S2601" s="36">
        <v>178.49</v>
      </c>
      <c r="T2601" s="36">
        <v>146.30000000000001</v>
      </c>
      <c r="U2601" s="34"/>
      <c r="V2601" s="34"/>
      <c r="W2601" s="34" t="s">
        <v>40</v>
      </c>
      <c r="X2601" s="37">
        <v>0.02</v>
      </c>
      <c r="Y2601" s="38">
        <v>7.4999999999999993E-5</v>
      </c>
      <c r="Z2601" s="21">
        <v>4601004066939</v>
      </c>
    </row>
    <row r="2602" spans="1:26" ht="12" customHeight="1" outlineLevel="4" x14ac:dyDescent="0.2">
      <c r="A2602" s="32" t="s">
        <v>5107</v>
      </c>
      <c r="B2602" s="74" t="s">
        <v>5108</v>
      </c>
      <c r="C2602" s="50"/>
      <c r="D2602" s="53">
        <f t="shared" si="40"/>
        <v>0</v>
      </c>
      <c r="E2602" s="60" t="str">
        <f>HYPERLINK("https://www.sds-group.ru/product/vyklyuchatel-klavishnyy-12v-35a-4s-vkl-vykl-s-siney-podsvetkoy-rexant-36-4443/", "Инфо")</f>
        <v>Инфо</v>
      </c>
      <c r="F2602" s="34" t="s">
        <v>39</v>
      </c>
      <c r="G2602" s="33"/>
      <c r="H2602" s="33" t="s">
        <v>40</v>
      </c>
      <c r="I2602" s="33"/>
      <c r="J2602" s="35">
        <v>860</v>
      </c>
      <c r="K2602" s="33"/>
      <c r="L2602" s="35">
        <v>10</v>
      </c>
      <c r="M2602" s="35">
        <v>500</v>
      </c>
      <c r="N2602" s="35">
        <v>10</v>
      </c>
      <c r="O2602" s="36">
        <v>261.83</v>
      </c>
      <c r="P2602" s="36">
        <v>214.61</v>
      </c>
      <c r="Q2602" s="36">
        <v>183.28</v>
      </c>
      <c r="R2602" s="36">
        <v>150.22999999999999</v>
      </c>
      <c r="S2602" s="36">
        <v>178.04</v>
      </c>
      <c r="T2602" s="36">
        <v>145.93</v>
      </c>
      <c r="U2602" s="34"/>
      <c r="V2602" s="34"/>
      <c r="W2602" s="34"/>
      <c r="X2602" s="37">
        <v>1.9E-2</v>
      </c>
      <c r="Y2602" s="38">
        <v>7.2000000000000002E-5</v>
      </c>
      <c r="Z2602" s="21">
        <v>4601004066953</v>
      </c>
    </row>
    <row r="2603" spans="1:26" ht="12" customHeight="1" outlineLevel="4" x14ac:dyDescent="0.2">
      <c r="A2603" s="14" t="s">
        <v>5109</v>
      </c>
      <c r="B2603" s="26" t="s">
        <v>5110</v>
      </c>
      <c r="C2603" s="52"/>
      <c r="D2603" s="55">
        <f t="shared" si="40"/>
        <v>0</v>
      </c>
      <c r="E2603" s="63" t="str">
        <f>HYPERLINK("https://www.sds-group.ru/product/vyklyuchatel-klavishnyy-kruglyy-12v-20a-3s-vkl-vykl-zheltyy-s-podsvetkoy-rexant-36-2587/", "Инфо")</f>
        <v>Инфо</v>
      </c>
      <c r="F2603" s="16" t="s">
        <v>39</v>
      </c>
      <c r="G2603" s="15"/>
      <c r="H2603" s="15"/>
      <c r="I2603" s="15"/>
      <c r="J2603" s="22">
        <v>4520</v>
      </c>
      <c r="K2603" s="15"/>
      <c r="L2603" s="17">
        <v>10</v>
      </c>
      <c r="M2603" s="22">
        <v>3000</v>
      </c>
      <c r="N2603" s="17">
        <v>10</v>
      </c>
      <c r="O2603" s="18">
        <v>73.010000000000005</v>
      </c>
      <c r="P2603" s="18">
        <v>59.84</v>
      </c>
      <c r="Q2603" s="18">
        <v>62.06</v>
      </c>
      <c r="R2603" s="18">
        <v>50.87</v>
      </c>
      <c r="S2603" s="18">
        <v>49.65</v>
      </c>
      <c r="T2603" s="18">
        <v>40.700000000000003</v>
      </c>
      <c r="U2603" s="16"/>
      <c r="V2603" s="16"/>
      <c r="W2603" s="16" t="s">
        <v>40</v>
      </c>
      <c r="X2603" s="19">
        <v>5.0000000000000001E-3</v>
      </c>
      <c r="Y2603" s="20">
        <v>1.4E-5</v>
      </c>
      <c r="Z2603" s="21">
        <v>4601004066748</v>
      </c>
    </row>
    <row r="2604" spans="1:26" ht="12" customHeight="1" outlineLevel="4" x14ac:dyDescent="0.2">
      <c r="A2604" s="14" t="s">
        <v>5111</v>
      </c>
      <c r="B2604" s="26" t="s">
        <v>5112</v>
      </c>
      <c r="C2604" s="52"/>
      <c r="D2604" s="55">
        <f t="shared" si="40"/>
        <v>0</v>
      </c>
      <c r="E2604" s="63" t="str">
        <f>HYPERLINK("https://www.sds-group.ru/product/vyklyuchatel-klavishnyy-kruglyy-12v-20a-3s-vkl-vykl-zelenyy-s-podsvetkoy-rexant-36-2588/", "Инфо")</f>
        <v>Инфо</v>
      </c>
      <c r="F2604" s="16" t="s">
        <v>39</v>
      </c>
      <c r="G2604" s="15"/>
      <c r="H2604" s="15"/>
      <c r="I2604" s="15"/>
      <c r="J2604" s="22">
        <v>9570</v>
      </c>
      <c r="K2604" s="15"/>
      <c r="L2604" s="17">
        <v>10</v>
      </c>
      <c r="M2604" s="22">
        <v>3000</v>
      </c>
      <c r="N2604" s="17">
        <v>10</v>
      </c>
      <c r="O2604" s="18">
        <v>76.66</v>
      </c>
      <c r="P2604" s="18">
        <v>62.84</v>
      </c>
      <c r="Q2604" s="18">
        <v>65.16</v>
      </c>
      <c r="R2604" s="18">
        <v>53.41</v>
      </c>
      <c r="S2604" s="18">
        <v>52.13</v>
      </c>
      <c r="T2604" s="18">
        <v>42.73</v>
      </c>
      <c r="U2604" s="16"/>
      <c r="V2604" s="16"/>
      <c r="W2604" s="16" t="s">
        <v>40</v>
      </c>
      <c r="X2604" s="19">
        <v>5.0000000000000001E-3</v>
      </c>
      <c r="Y2604" s="20">
        <v>1.8E-5</v>
      </c>
      <c r="Z2604" s="21">
        <v>4601004066755</v>
      </c>
    </row>
    <row r="2605" spans="1:26" ht="12" customHeight="1" outlineLevel="4" x14ac:dyDescent="0.2">
      <c r="A2605" s="14" t="s">
        <v>5113</v>
      </c>
      <c r="B2605" s="26" t="s">
        <v>5114</v>
      </c>
      <c r="C2605" s="52"/>
      <c r="D2605" s="55">
        <f t="shared" si="40"/>
        <v>0</v>
      </c>
      <c r="E2605" s="63" t="str">
        <f>HYPERLINK("https://www.sds-group.ru/product/vyklyuchatel-klavishnyy-kruglyy-12v-20a-3s-vkl-vykl-krasnyy-s-podsvetkoy-rexant-36-2585/", "Инфо")</f>
        <v>Инфо</v>
      </c>
      <c r="F2605" s="16" t="s">
        <v>39</v>
      </c>
      <c r="G2605" s="15"/>
      <c r="H2605" s="15"/>
      <c r="I2605" s="15"/>
      <c r="J2605" s="22">
        <v>10410</v>
      </c>
      <c r="K2605" s="15" t="s">
        <v>1058</v>
      </c>
      <c r="L2605" s="17">
        <v>10</v>
      </c>
      <c r="M2605" s="22">
        <v>3000</v>
      </c>
      <c r="N2605" s="17">
        <v>10</v>
      </c>
      <c r="O2605" s="18">
        <v>80.7</v>
      </c>
      <c r="P2605" s="18">
        <v>66.150000000000006</v>
      </c>
      <c r="Q2605" s="18">
        <v>68.599999999999994</v>
      </c>
      <c r="R2605" s="18">
        <v>56.23</v>
      </c>
      <c r="S2605" s="18">
        <v>54.88</v>
      </c>
      <c r="T2605" s="18">
        <v>44.98</v>
      </c>
      <c r="U2605" s="16"/>
      <c r="V2605" s="16"/>
      <c r="W2605" s="16" t="s">
        <v>40</v>
      </c>
      <c r="X2605" s="19">
        <v>6.0000000000000001E-3</v>
      </c>
      <c r="Y2605" s="20">
        <v>1.5E-5</v>
      </c>
      <c r="Z2605" s="21">
        <v>4601004066724</v>
      </c>
    </row>
    <row r="2606" spans="1:26" ht="12" customHeight="1" outlineLevel="4" x14ac:dyDescent="0.2">
      <c r="A2606" s="14" t="s">
        <v>5115</v>
      </c>
      <c r="B2606" s="26" t="s">
        <v>5116</v>
      </c>
      <c r="C2606" s="52"/>
      <c r="D2606" s="55">
        <f t="shared" si="40"/>
        <v>0</v>
      </c>
      <c r="E2606" s="63" t="str">
        <f>HYPERLINK("https://www.sds-group.ru/product/vyklyuchatel-klavishnyy-kruglyy-12v-20a-3s-vkl-vykl-chernyy-s-zelenoy-podsvetkoy-rexant-36-2583/", "Инфо")</f>
        <v>Инфо</v>
      </c>
      <c r="F2606" s="16" t="s">
        <v>39</v>
      </c>
      <c r="G2606" s="15"/>
      <c r="H2606" s="15"/>
      <c r="I2606" s="15"/>
      <c r="J2606" s="22">
        <v>9714</v>
      </c>
      <c r="K2606" s="15"/>
      <c r="L2606" s="17">
        <v>10</v>
      </c>
      <c r="M2606" s="22">
        <v>3000</v>
      </c>
      <c r="N2606" s="17">
        <v>10</v>
      </c>
      <c r="O2606" s="18">
        <v>78.77</v>
      </c>
      <c r="P2606" s="18">
        <v>64.569999999999993</v>
      </c>
      <c r="Q2606" s="18">
        <v>66.95</v>
      </c>
      <c r="R2606" s="18">
        <v>54.88</v>
      </c>
      <c r="S2606" s="18">
        <v>53.56</v>
      </c>
      <c r="T2606" s="18">
        <v>43.9</v>
      </c>
      <c r="U2606" s="16"/>
      <c r="V2606" s="16"/>
      <c r="W2606" s="16" t="s">
        <v>40</v>
      </c>
      <c r="X2606" s="19">
        <v>6.0000000000000001E-3</v>
      </c>
      <c r="Y2606" s="20">
        <v>1.4E-5</v>
      </c>
      <c r="Z2606" s="21">
        <v>4601004066717</v>
      </c>
    </row>
    <row r="2607" spans="1:26" ht="12" customHeight="1" outlineLevel="4" x14ac:dyDescent="0.2">
      <c r="A2607" s="14" t="s">
        <v>5117</v>
      </c>
      <c r="B2607" s="26" t="s">
        <v>5118</v>
      </c>
      <c r="C2607" s="52"/>
      <c r="D2607" s="55">
        <f t="shared" si="40"/>
        <v>0</v>
      </c>
      <c r="E2607" s="63" t="str">
        <f>HYPERLINK("https://www.sds-group.ru/product/vyklyuchatel-klavishnyy-kruglyy-12v-20a-3s-vkl-vykl-chernyy-s-krasnoy-podsvetkoy-rexant-36-2580/", "Инфо")</f>
        <v>Инфо</v>
      </c>
      <c r="F2607" s="16" t="s">
        <v>39</v>
      </c>
      <c r="G2607" s="15"/>
      <c r="H2607" s="15"/>
      <c r="I2607" s="15"/>
      <c r="J2607" s="22">
        <v>11500</v>
      </c>
      <c r="K2607" s="15"/>
      <c r="L2607" s="17">
        <v>10</v>
      </c>
      <c r="M2607" s="22">
        <v>3000</v>
      </c>
      <c r="N2607" s="17">
        <v>10</v>
      </c>
      <c r="O2607" s="18">
        <v>85.76</v>
      </c>
      <c r="P2607" s="18">
        <v>70.3</v>
      </c>
      <c r="Q2607" s="18">
        <v>72.900000000000006</v>
      </c>
      <c r="R2607" s="18">
        <v>59.75</v>
      </c>
      <c r="S2607" s="18">
        <v>58.32</v>
      </c>
      <c r="T2607" s="18">
        <v>47.8</v>
      </c>
      <c r="U2607" s="16"/>
      <c r="V2607" s="16"/>
      <c r="W2607" s="16" t="s">
        <v>40</v>
      </c>
      <c r="X2607" s="19">
        <v>6.0000000000000001E-3</v>
      </c>
      <c r="Y2607" s="20">
        <v>1.5E-5</v>
      </c>
      <c r="Z2607" s="21">
        <v>4601004064645</v>
      </c>
    </row>
    <row r="2608" spans="1:26" ht="12" customHeight="1" outlineLevel="4" x14ac:dyDescent="0.2">
      <c r="A2608" s="14" t="s">
        <v>5119</v>
      </c>
      <c r="B2608" s="26" t="s">
        <v>5120</v>
      </c>
      <c r="C2608" s="52"/>
      <c r="D2608" s="55">
        <f t="shared" si="40"/>
        <v>0</v>
      </c>
      <c r="E2608" s="63" t="str">
        <f>HYPERLINK("https://www.sds-group.ru/product/vyklyuchatel-klavishnyy-kruglyy-12v-20a-3s-vkl-vykl-chernyy-s-siney-podsvetkoy-rexant-36-2581/", "Инфо")</f>
        <v>Инфо</v>
      </c>
      <c r="F2608" s="16" t="s">
        <v>39</v>
      </c>
      <c r="G2608" s="15"/>
      <c r="H2608" s="15"/>
      <c r="I2608" s="15"/>
      <c r="J2608" s="22">
        <v>8600</v>
      </c>
      <c r="K2608" s="15"/>
      <c r="L2608" s="17">
        <v>10</v>
      </c>
      <c r="M2608" s="22">
        <v>3000</v>
      </c>
      <c r="N2608" s="17">
        <v>10</v>
      </c>
      <c r="O2608" s="18">
        <v>78.77</v>
      </c>
      <c r="P2608" s="18">
        <v>64.569999999999993</v>
      </c>
      <c r="Q2608" s="18">
        <v>66.95</v>
      </c>
      <c r="R2608" s="18">
        <v>54.88</v>
      </c>
      <c r="S2608" s="18">
        <v>53.56</v>
      </c>
      <c r="T2608" s="18">
        <v>43.9</v>
      </c>
      <c r="U2608" s="16"/>
      <c r="V2608" s="16"/>
      <c r="W2608" s="16" t="s">
        <v>40</v>
      </c>
      <c r="X2608" s="19">
        <v>6.0000000000000001E-3</v>
      </c>
      <c r="Y2608" s="20">
        <v>1.4E-5</v>
      </c>
      <c r="Z2608" s="21">
        <v>4601004066700</v>
      </c>
    </row>
    <row r="2609" spans="1:26" ht="12" customHeight="1" outlineLevel="4" x14ac:dyDescent="0.2">
      <c r="A2609" s="14" t="s">
        <v>5121</v>
      </c>
      <c r="B2609" s="26" t="s">
        <v>5122</v>
      </c>
      <c r="C2609" s="52"/>
      <c r="D2609" s="55">
        <f t="shared" si="40"/>
        <v>0</v>
      </c>
      <c r="E2609" s="63" t="str">
        <f>HYPERLINK("https://www.sds-group.ru/product/vyklyuchatel-klavishnyy-ovalnyy-12v-30a-3s-vkl-vykl-chernyy-s-krasnoy-podsvetkoy-rexant-36-2670/", "Инфо")</f>
        <v>Инфо</v>
      </c>
      <c r="F2609" s="16" t="s">
        <v>39</v>
      </c>
      <c r="G2609" s="15"/>
      <c r="H2609" s="15"/>
      <c r="I2609" s="15"/>
      <c r="J2609" s="22">
        <v>1080</v>
      </c>
      <c r="K2609" s="15"/>
      <c r="L2609" s="17">
        <v>10</v>
      </c>
      <c r="M2609" s="22">
        <v>1000</v>
      </c>
      <c r="N2609" s="17">
        <v>10</v>
      </c>
      <c r="O2609" s="18">
        <v>251.7</v>
      </c>
      <c r="P2609" s="18">
        <v>206.31</v>
      </c>
      <c r="Q2609" s="18">
        <v>213.95</v>
      </c>
      <c r="R2609" s="18">
        <v>175.37</v>
      </c>
      <c r="S2609" s="18">
        <v>171.16</v>
      </c>
      <c r="T2609" s="18">
        <v>140.30000000000001</v>
      </c>
      <c r="U2609" s="16"/>
      <c r="V2609" s="16"/>
      <c r="W2609" s="16" t="s">
        <v>40</v>
      </c>
      <c r="X2609" s="19">
        <v>0.01</v>
      </c>
      <c r="Y2609" s="20">
        <v>3.0000000000000001E-5</v>
      </c>
      <c r="Z2609" s="21">
        <v>4601004066861</v>
      </c>
    </row>
    <row r="2610" spans="1:26" ht="12" customHeight="1" outlineLevel="4" x14ac:dyDescent="0.2">
      <c r="A2610" s="32" t="s">
        <v>5123</v>
      </c>
      <c r="B2610" s="74" t="s">
        <v>5124</v>
      </c>
      <c r="C2610" s="50"/>
      <c r="D2610" s="53">
        <f t="shared" si="40"/>
        <v>0</v>
      </c>
      <c r="E2610" s="60" t="str">
        <f>HYPERLINK("https://www.sds-group.ru/product/vyklyuchatel-klavishnyy-ovalnyy-12v-30a-3s-vkl-vykl-chernyy-s-siney-podsvetkoy-rexant-36-2671/", "Инфо")</f>
        <v>Инфо</v>
      </c>
      <c r="F2610" s="34" t="s">
        <v>39</v>
      </c>
      <c r="G2610" s="33"/>
      <c r="H2610" s="33" t="s">
        <v>40</v>
      </c>
      <c r="I2610" s="33"/>
      <c r="J2610" s="35">
        <v>580</v>
      </c>
      <c r="K2610" s="33"/>
      <c r="L2610" s="35">
        <v>10</v>
      </c>
      <c r="M2610" s="39">
        <v>1000</v>
      </c>
      <c r="N2610" s="35">
        <v>10</v>
      </c>
      <c r="O2610" s="36">
        <v>227.69</v>
      </c>
      <c r="P2610" s="36">
        <v>186.63</v>
      </c>
      <c r="Q2610" s="36">
        <v>159.38</v>
      </c>
      <c r="R2610" s="36">
        <v>130.63999999999999</v>
      </c>
      <c r="S2610" s="36">
        <v>154.83000000000001</v>
      </c>
      <c r="T2610" s="36">
        <v>126.91</v>
      </c>
      <c r="U2610" s="34"/>
      <c r="V2610" s="34"/>
      <c r="W2610" s="34"/>
      <c r="X2610" s="37">
        <v>0.01</v>
      </c>
      <c r="Y2610" s="38">
        <v>2.8E-5</v>
      </c>
      <c r="Z2610" s="21">
        <v>4601004066878</v>
      </c>
    </row>
    <row r="2611" spans="1:26" ht="12" customHeight="1" outlineLevel="4" x14ac:dyDescent="0.2">
      <c r="A2611" s="14" t="s">
        <v>5125</v>
      </c>
      <c r="B2611" s="26" t="s">
        <v>5126</v>
      </c>
      <c r="C2611" s="52"/>
      <c r="D2611" s="55">
        <f t="shared" si="40"/>
        <v>0</v>
      </c>
      <c r="E2611" s="63" t="str">
        <f>HYPERLINK("https://www.sds-group.ru/product/pereklyuchatel-steklopodemnika-klavishnyy-12v-20a-5s-vkl-vykl-vkl-chernyy-rexant-36-4410/", "Инфо")</f>
        <v>Инфо</v>
      </c>
      <c r="F2611" s="16" t="s">
        <v>39</v>
      </c>
      <c r="G2611" s="15"/>
      <c r="H2611" s="15"/>
      <c r="I2611" s="15"/>
      <c r="J2611" s="16" t="s">
        <v>100</v>
      </c>
      <c r="K2611" s="15" t="s">
        <v>883</v>
      </c>
      <c r="L2611" s="17">
        <v>10</v>
      </c>
      <c r="M2611" s="22">
        <v>1000</v>
      </c>
      <c r="N2611" s="17">
        <v>10</v>
      </c>
      <c r="O2611" s="18">
        <v>366.57</v>
      </c>
      <c r="P2611" s="18">
        <v>300.47000000000003</v>
      </c>
      <c r="Q2611" s="18">
        <v>311.58</v>
      </c>
      <c r="R2611" s="18">
        <v>255.39</v>
      </c>
      <c r="S2611" s="18">
        <v>249.27</v>
      </c>
      <c r="T2611" s="18">
        <v>204.32</v>
      </c>
      <c r="U2611" s="16"/>
      <c r="V2611" s="16"/>
      <c r="W2611" s="16" t="s">
        <v>40</v>
      </c>
      <c r="X2611" s="19">
        <v>1.4999999999999999E-2</v>
      </c>
      <c r="Y2611" s="20">
        <v>3.8000000000000002E-5</v>
      </c>
      <c r="Z2611" s="21">
        <v>4601004037816</v>
      </c>
    </row>
    <row r="2612" spans="1:26" ht="12" customHeight="1" outlineLevel="4" x14ac:dyDescent="0.2">
      <c r="A2612" s="32" t="s">
        <v>5127</v>
      </c>
      <c r="B2612" s="74" t="s">
        <v>5128</v>
      </c>
      <c r="C2612" s="50"/>
      <c r="D2612" s="53">
        <f t="shared" si="40"/>
        <v>0</v>
      </c>
      <c r="E2612" s="60" t="str">
        <f>HYPERLINK("https://www.sds-group.ru/product/pereklyuchatel-steklopodemnika-klavishnyy-12v-20a-6s-vkl-vykl-vkl-chernyy-s-podsvetkoy-i-pro-36-4430/", "Инфо")</f>
        <v>Инфо</v>
      </c>
      <c r="F2612" s="34" t="s">
        <v>39</v>
      </c>
      <c r="G2612" s="33"/>
      <c r="H2612" s="33" t="s">
        <v>40</v>
      </c>
      <c r="I2612" s="33"/>
      <c r="J2612" s="34" t="s">
        <v>100</v>
      </c>
      <c r="K2612" s="33"/>
      <c r="L2612" s="35">
        <v>10</v>
      </c>
      <c r="M2612" s="35">
        <v>500</v>
      </c>
      <c r="N2612" s="35">
        <v>10</v>
      </c>
      <c r="O2612" s="36">
        <v>289.64999999999998</v>
      </c>
      <c r="P2612" s="36">
        <v>237.42</v>
      </c>
      <c r="Q2612" s="36">
        <v>202.76</v>
      </c>
      <c r="R2612" s="36">
        <v>166.2</v>
      </c>
      <c r="S2612" s="36">
        <v>196.96</v>
      </c>
      <c r="T2612" s="36">
        <v>161.44</v>
      </c>
      <c r="U2612" s="34"/>
      <c r="V2612" s="34"/>
      <c r="W2612" s="34"/>
      <c r="X2612" s="37">
        <v>2.1999999999999999E-2</v>
      </c>
      <c r="Y2612" s="38">
        <v>1.2300000000000001E-4</v>
      </c>
      <c r="Z2612" s="21">
        <v>4601004037809</v>
      </c>
    </row>
    <row r="2613" spans="1:26" ht="12.95" customHeight="1" outlineLevel="3" x14ac:dyDescent="0.2">
      <c r="A2613" s="76" t="s">
        <v>5129</v>
      </c>
      <c r="B2613" s="76"/>
      <c r="C2613" s="77"/>
      <c r="D2613" s="58"/>
      <c r="E2613" s="68"/>
      <c r="F2613" s="13"/>
      <c r="G2613" s="13"/>
      <c r="H2613" s="13"/>
      <c r="I2613" s="13"/>
      <c r="J2613" s="13"/>
      <c r="K2613" s="13"/>
      <c r="L2613" s="13"/>
      <c r="M2613" s="13"/>
      <c r="N2613" s="13"/>
      <c r="O2613" s="13"/>
      <c r="P2613" s="13"/>
      <c r="Q2613" s="13"/>
      <c r="R2613" s="13"/>
      <c r="S2613" s="13"/>
      <c r="T2613" s="13"/>
      <c r="U2613" s="13"/>
      <c r="V2613" s="13"/>
      <c r="W2613" s="13"/>
      <c r="X2613" s="13"/>
      <c r="Y2613" s="13"/>
      <c r="Z2613" s="13"/>
    </row>
    <row r="2614" spans="1:26" ht="12" customHeight="1" outlineLevel="4" x14ac:dyDescent="0.2">
      <c r="A2614" s="14" t="s">
        <v>5130</v>
      </c>
      <c r="B2614" s="26" t="s">
        <v>5131</v>
      </c>
      <c r="C2614" s="52"/>
      <c r="D2614" s="55">
        <f t="shared" si="40"/>
        <v>0</v>
      </c>
      <c r="E2614" s="63" t="str">
        <f>HYPERLINK("https://www.sds-group.ru/product/vyklyuchatel-klavishnyy-24v-15a-3s-vkl-vykl-krasnyy-s-podsvetkoy-mini-rexant-36-2165/", "Инфо")</f>
        <v>Инфо</v>
      </c>
      <c r="F2614" s="16" t="s">
        <v>39</v>
      </c>
      <c r="G2614" s="15"/>
      <c r="H2614" s="15"/>
      <c r="I2614" s="15"/>
      <c r="J2614" s="16" t="s">
        <v>100</v>
      </c>
      <c r="K2614" s="15" t="s">
        <v>1058</v>
      </c>
      <c r="L2614" s="17">
        <v>10</v>
      </c>
      <c r="M2614" s="22">
        <v>2000</v>
      </c>
      <c r="N2614" s="17">
        <v>10</v>
      </c>
      <c r="O2614" s="18">
        <v>70.55</v>
      </c>
      <c r="P2614" s="18">
        <v>57.83</v>
      </c>
      <c r="Q2614" s="18">
        <v>59.97</v>
      </c>
      <c r="R2614" s="18">
        <v>49.16</v>
      </c>
      <c r="S2614" s="18">
        <v>47.97</v>
      </c>
      <c r="T2614" s="18">
        <v>39.32</v>
      </c>
      <c r="U2614" s="16"/>
      <c r="V2614" s="16"/>
      <c r="W2614" s="16" t="s">
        <v>40</v>
      </c>
      <c r="X2614" s="19">
        <v>5.0000000000000001E-3</v>
      </c>
      <c r="Y2614" s="20">
        <v>1.5E-5</v>
      </c>
      <c r="Z2614" s="21">
        <v>4601004118126</v>
      </c>
    </row>
    <row r="2615" spans="1:26" ht="12.95" customHeight="1" outlineLevel="3" x14ac:dyDescent="0.2">
      <c r="A2615" s="76" t="s">
        <v>5132</v>
      </c>
      <c r="B2615" s="76"/>
      <c r="C2615" s="77"/>
      <c r="D2615" s="58"/>
      <c r="E2615" s="68"/>
      <c r="F2615" s="13"/>
      <c r="G2615" s="13"/>
      <c r="H2615" s="13"/>
      <c r="I2615" s="13"/>
      <c r="J2615" s="13"/>
      <c r="K2615" s="13"/>
      <c r="L2615" s="13"/>
      <c r="M2615" s="13"/>
      <c r="N2615" s="13"/>
      <c r="O2615" s="13"/>
      <c r="P2615" s="13"/>
      <c r="Q2615" s="13"/>
      <c r="R2615" s="13"/>
      <c r="S2615" s="13"/>
      <c r="T2615" s="13"/>
      <c r="U2615" s="13"/>
      <c r="V2615" s="13"/>
      <c r="W2615" s="13"/>
      <c r="X2615" s="13"/>
      <c r="Y2615" s="13"/>
      <c r="Z2615" s="13"/>
    </row>
    <row r="2616" spans="1:26" ht="12" customHeight="1" outlineLevel="4" x14ac:dyDescent="0.2">
      <c r="A2616" s="14" t="s">
        <v>5133</v>
      </c>
      <c r="B2616" s="26" t="s">
        <v>5134</v>
      </c>
      <c r="C2616" s="52"/>
      <c r="D2616" s="55">
        <f t="shared" si="40"/>
        <v>0</v>
      </c>
      <c r="E2616" s="63" t="str">
        <f>HYPERLINK("https://www.sds-group.ru/product/vyklyuchatel-klavishnyy-250v-15a-3s-vkl-vykl-zheltyy-s-podsvetkoy-rexant-36-2212/", "Инфо")</f>
        <v>Инфо</v>
      </c>
      <c r="F2616" s="16" t="s">
        <v>39</v>
      </c>
      <c r="G2616" s="15"/>
      <c r="H2616" s="15"/>
      <c r="I2616" s="15"/>
      <c r="J2616" s="22">
        <v>6634</v>
      </c>
      <c r="K2616" s="15"/>
      <c r="L2616" s="17">
        <v>10</v>
      </c>
      <c r="M2616" s="22">
        <v>2500</v>
      </c>
      <c r="N2616" s="17">
        <v>10</v>
      </c>
      <c r="O2616" s="18">
        <v>56.1</v>
      </c>
      <c r="P2616" s="18">
        <v>45.98</v>
      </c>
      <c r="Q2616" s="18">
        <v>47.69</v>
      </c>
      <c r="R2616" s="18">
        <v>39.090000000000003</v>
      </c>
      <c r="S2616" s="18">
        <v>38.15</v>
      </c>
      <c r="T2616" s="18">
        <v>31.27</v>
      </c>
      <c r="U2616" s="16"/>
      <c r="V2616" s="16"/>
      <c r="W2616" s="16" t="s">
        <v>40</v>
      </c>
      <c r="X2616" s="19">
        <v>7.0000000000000001E-3</v>
      </c>
      <c r="Y2616" s="20">
        <v>2.8E-5</v>
      </c>
      <c r="Z2616" s="21">
        <v>4601004066304</v>
      </c>
    </row>
    <row r="2617" spans="1:26" ht="12" customHeight="1" outlineLevel="4" x14ac:dyDescent="0.2">
      <c r="A2617" s="14" t="s">
        <v>5135</v>
      </c>
      <c r="B2617" s="26" t="s">
        <v>5136</v>
      </c>
      <c r="C2617" s="52"/>
      <c r="D2617" s="55">
        <f t="shared" si="40"/>
        <v>0</v>
      </c>
      <c r="E2617" s="63" t="str">
        <f>HYPERLINK("https://www.sds-group.ru/product/vyklyuchatel-klavishnyy-250v-15a-3s-vkl-vykl-zelenyy-s-podsvetkoy-rexant-36-2213/", "Инфо")</f>
        <v>Инфо</v>
      </c>
      <c r="F2617" s="16" t="s">
        <v>39</v>
      </c>
      <c r="G2617" s="15"/>
      <c r="H2617" s="15"/>
      <c r="I2617" s="15"/>
      <c r="J2617" s="22">
        <v>5070</v>
      </c>
      <c r="K2617" s="15" t="s">
        <v>1058</v>
      </c>
      <c r="L2617" s="17">
        <v>10</v>
      </c>
      <c r="M2617" s="17">
        <v>960</v>
      </c>
      <c r="N2617" s="17">
        <v>10</v>
      </c>
      <c r="O2617" s="18">
        <v>57.72</v>
      </c>
      <c r="P2617" s="18">
        <v>47.31</v>
      </c>
      <c r="Q2617" s="18">
        <v>49.06</v>
      </c>
      <c r="R2617" s="18">
        <v>40.21</v>
      </c>
      <c r="S2617" s="18">
        <v>39.25</v>
      </c>
      <c r="T2617" s="18">
        <v>32.17</v>
      </c>
      <c r="U2617" s="16"/>
      <c r="V2617" s="16"/>
      <c r="W2617" s="16" t="s">
        <v>40</v>
      </c>
      <c r="X2617" s="19">
        <v>8.0000000000000002E-3</v>
      </c>
      <c r="Y2617" s="20">
        <v>2.9E-5</v>
      </c>
      <c r="Z2617" s="21">
        <v>4601004066311</v>
      </c>
    </row>
    <row r="2618" spans="1:26" ht="12" customHeight="1" outlineLevel="4" x14ac:dyDescent="0.2">
      <c r="A2618" s="32" t="s">
        <v>5137</v>
      </c>
      <c r="B2618" s="74" t="s">
        <v>5136</v>
      </c>
      <c r="C2618" s="50"/>
      <c r="D2618" s="53">
        <f t="shared" si="40"/>
        <v>0</v>
      </c>
      <c r="E2618" s="60" t="str">
        <f>HYPERLINK("https://www.sds-group.ru/product/vyklyuchatel-klavishnyy-250v-15a-3s-vkl-vykl-zelenyy-s-podsvetkoy-rexant-36-2226/", "Инфо")</f>
        <v>Инфо</v>
      </c>
      <c r="F2618" s="34" t="s">
        <v>39</v>
      </c>
      <c r="G2618" s="33"/>
      <c r="H2618" s="33" t="s">
        <v>40</v>
      </c>
      <c r="I2618" s="33"/>
      <c r="J2618" s="39">
        <v>6100</v>
      </c>
      <c r="K2618" s="33"/>
      <c r="L2618" s="35">
        <v>10</v>
      </c>
      <c r="M2618" s="35">
        <v>960</v>
      </c>
      <c r="N2618" s="35">
        <v>10</v>
      </c>
      <c r="O2618" s="36">
        <v>64.69</v>
      </c>
      <c r="P2618" s="36">
        <v>53.02</v>
      </c>
      <c r="Q2618" s="36">
        <v>45.28</v>
      </c>
      <c r="R2618" s="36">
        <v>37.11</v>
      </c>
      <c r="S2618" s="36">
        <v>43.99</v>
      </c>
      <c r="T2618" s="36">
        <v>36.06</v>
      </c>
      <c r="U2618" s="34"/>
      <c r="V2618" s="34"/>
      <c r="W2618" s="34"/>
      <c r="X2618" s="37">
        <v>8.0000000000000002E-3</v>
      </c>
      <c r="Y2618" s="38">
        <v>2.9E-5</v>
      </c>
      <c r="Z2618" s="21">
        <v>4601004066335</v>
      </c>
    </row>
    <row r="2619" spans="1:26" ht="12" customHeight="1" outlineLevel="4" x14ac:dyDescent="0.2">
      <c r="A2619" s="14" t="s">
        <v>5138</v>
      </c>
      <c r="B2619" s="26" t="s">
        <v>5139</v>
      </c>
      <c r="C2619" s="52"/>
      <c r="D2619" s="55">
        <f t="shared" si="40"/>
        <v>0</v>
      </c>
      <c r="E2619" s="63" t="str">
        <f>HYPERLINK("https://www.sds-group.ru/product/vyklyuchatel-klavishnyy-250v-15a-3s-vkl-vykl-krasnyy-s-podsvetkoy-rexant-36-2210/", "Инфо")</f>
        <v>Инфо</v>
      </c>
      <c r="F2619" s="16" t="s">
        <v>39</v>
      </c>
      <c r="G2619" s="15"/>
      <c r="H2619" s="15"/>
      <c r="I2619" s="15"/>
      <c r="J2619" s="22">
        <v>68070</v>
      </c>
      <c r="K2619" s="15"/>
      <c r="L2619" s="17">
        <v>10</v>
      </c>
      <c r="M2619" s="22">
        <v>1250</v>
      </c>
      <c r="N2619" s="17">
        <v>10</v>
      </c>
      <c r="O2619" s="18">
        <v>59.48</v>
      </c>
      <c r="P2619" s="18">
        <v>48.75</v>
      </c>
      <c r="Q2619" s="18">
        <v>50.56</v>
      </c>
      <c r="R2619" s="18">
        <v>41.44</v>
      </c>
      <c r="S2619" s="18">
        <v>40.450000000000003</v>
      </c>
      <c r="T2619" s="18">
        <v>33.159999999999997</v>
      </c>
      <c r="U2619" s="16"/>
      <c r="V2619" s="16"/>
      <c r="W2619" s="16" t="s">
        <v>40</v>
      </c>
      <c r="X2619" s="19">
        <v>7.0000000000000001E-3</v>
      </c>
      <c r="Y2619" s="20">
        <v>3.1000000000000001E-5</v>
      </c>
      <c r="Z2619" s="21">
        <v>4601004066298</v>
      </c>
    </row>
    <row r="2620" spans="1:26" ht="12" customHeight="1" outlineLevel="4" x14ac:dyDescent="0.2">
      <c r="A2620" s="14" t="s">
        <v>5140</v>
      </c>
      <c r="B2620" s="26" t="s">
        <v>5139</v>
      </c>
      <c r="C2620" s="52"/>
      <c r="D2620" s="55">
        <f t="shared" si="40"/>
        <v>0</v>
      </c>
      <c r="E2620" s="63" t="str">
        <f>HYPERLINK("https://www.sds-group.ru/product/vyklyuchatel-klavishnyy-250v-15a-3s-vkl-vykl-krasnyy-s-podsvetkoy-rexant-36-2225/", "Инфо")</f>
        <v>Инфо</v>
      </c>
      <c r="F2620" s="16" t="s">
        <v>39</v>
      </c>
      <c r="G2620" s="15"/>
      <c r="H2620" s="15"/>
      <c r="I2620" s="15"/>
      <c r="J2620" s="22">
        <v>10830</v>
      </c>
      <c r="K2620" s="15" t="s">
        <v>1058</v>
      </c>
      <c r="L2620" s="17">
        <v>10</v>
      </c>
      <c r="M2620" s="17">
        <v>960</v>
      </c>
      <c r="N2620" s="17">
        <v>10</v>
      </c>
      <c r="O2620" s="18">
        <v>72.010000000000005</v>
      </c>
      <c r="P2620" s="18">
        <v>59.02</v>
      </c>
      <c r="Q2620" s="18">
        <v>61.21</v>
      </c>
      <c r="R2620" s="18">
        <v>50.17</v>
      </c>
      <c r="S2620" s="18">
        <v>48.97</v>
      </c>
      <c r="T2620" s="18">
        <v>40.14</v>
      </c>
      <c r="U2620" s="16"/>
      <c r="V2620" s="16"/>
      <c r="W2620" s="16" t="s">
        <v>40</v>
      </c>
      <c r="X2620" s="19">
        <v>8.0000000000000002E-3</v>
      </c>
      <c r="Y2620" s="20">
        <v>2.9E-5</v>
      </c>
      <c r="Z2620" s="21">
        <v>4601004066328</v>
      </c>
    </row>
    <row r="2621" spans="1:26" ht="12" customHeight="1" outlineLevel="4" x14ac:dyDescent="0.2">
      <c r="A2621" s="14" t="s">
        <v>5141</v>
      </c>
      <c r="B2621" s="26" t="s">
        <v>5142</v>
      </c>
      <c r="C2621" s="52"/>
      <c r="D2621" s="55">
        <f t="shared" si="40"/>
        <v>0</v>
      </c>
      <c r="E2621" s="63" t="str">
        <f>HYPERLINK("https://www.sds-group.ru/product/vyklyuchatel-klavishnyy-250v-15a-3s-vkl-vykl-siniy-s-podsvetkoy-rexant-36-2211/", "Инфо")</f>
        <v>Инфо</v>
      </c>
      <c r="F2621" s="16" t="s">
        <v>39</v>
      </c>
      <c r="G2621" s="15"/>
      <c r="H2621" s="15"/>
      <c r="I2621" s="15"/>
      <c r="J2621" s="22">
        <v>5890</v>
      </c>
      <c r="K2621" s="15" t="s">
        <v>1126</v>
      </c>
      <c r="L2621" s="17">
        <v>10</v>
      </c>
      <c r="M2621" s="22">
        <v>1250</v>
      </c>
      <c r="N2621" s="17">
        <v>10</v>
      </c>
      <c r="O2621" s="18">
        <v>57.72</v>
      </c>
      <c r="P2621" s="18">
        <v>47.31</v>
      </c>
      <c r="Q2621" s="18">
        <v>49.06</v>
      </c>
      <c r="R2621" s="18">
        <v>40.21</v>
      </c>
      <c r="S2621" s="18">
        <v>39.25</v>
      </c>
      <c r="T2621" s="18">
        <v>32.17</v>
      </c>
      <c r="U2621" s="16"/>
      <c r="V2621" s="16"/>
      <c r="W2621" s="16" t="s">
        <v>40</v>
      </c>
      <c r="X2621" s="19">
        <v>8.0000000000000002E-3</v>
      </c>
      <c r="Y2621" s="20">
        <v>3.0000000000000001E-5</v>
      </c>
      <c r="Z2621" s="21">
        <v>4601004064492</v>
      </c>
    </row>
    <row r="2622" spans="1:26" ht="12" customHeight="1" outlineLevel="4" x14ac:dyDescent="0.2">
      <c r="A2622" s="14" t="s">
        <v>5143</v>
      </c>
      <c r="B2622" s="26" t="s">
        <v>5144</v>
      </c>
      <c r="C2622" s="52"/>
      <c r="D2622" s="55">
        <f t="shared" si="40"/>
        <v>0</v>
      </c>
      <c r="E2622" s="63" t="str">
        <f>HYPERLINK("https://www.sds-group.ru/product/vyklyuchatel-klavishnyy-250v-15a-4s-vkl-vykl-zheltyy-s-podsvetkoy-i-vlagozaschitoy-rexant-36-2363/", "Инфо")</f>
        <v>Инфо</v>
      </c>
      <c r="F2622" s="16" t="s">
        <v>39</v>
      </c>
      <c r="G2622" s="15"/>
      <c r="H2622" s="15"/>
      <c r="I2622" s="15"/>
      <c r="J2622" s="22">
        <v>1100</v>
      </c>
      <c r="K2622" s="15" t="s">
        <v>1055</v>
      </c>
      <c r="L2622" s="17">
        <v>10</v>
      </c>
      <c r="M2622" s="17">
        <v>500</v>
      </c>
      <c r="N2622" s="17">
        <v>10</v>
      </c>
      <c r="O2622" s="18">
        <v>242.6</v>
      </c>
      <c r="P2622" s="18">
        <v>198.85</v>
      </c>
      <c r="Q2622" s="18">
        <v>206.21</v>
      </c>
      <c r="R2622" s="18">
        <v>169.02</v>
      </c>
      <c r="S2622" s="18">
        <v>164.97</v>
      </c>
      <c r="T2622" s="18">
        <v>135.22</v>
      </c>
      <c r="U2622" s="16"/>
      <c r="V2622" s="16"/>
      <c r="W2622" s="16" t="s">
        <v>40</v>
      </c>
      <c r="X2622" s="19">
        <v>1.9E-2</v>
      </c>
      <c r="Y2622" s="20">
        <v>8.2999999999999998E-5</v>
      </c>
      <c r="Z2622" s="21">
        <v>4601004066441</v>
      </c>
    </row>
    <row r="2623" spans="1:26" ht="12" customHeight="1" outlineLevel="4" x14ac:dyDescent="0.2">
      <c r="A2623" s="14" t="s">
        <v>5145</v>
      </c>
      <c r="B2623" s="26" t="s">
        <v>5146</v>
      </c>
      <c r="C2623" s="52"/>
      <c r="D2623" s="55">
        <f t="shared" si="40"/>
        <v>0</v>
      </c>
      <c r="E2623" s="63" t="str">
        <f>HYPERLINK("https://www.sds-group.ru/product/vyklyuchatel-klavishnyy-250v-15a-4s-vkl-vykl-zelenyy-s-podsvetkoy-i-vlagozaschitoy-rexant-36-2362/", "Инфо")</f>
        <v>Инфо</v>
      </c>
      <c r="F2623" s="16" t="s">
        <v>39</v>
      </c>
      <c r="G2623" s="15"/>
      <c r="H2623" s="15"/>
      <c r="I2623" s="15"/>
      <c r="J2623" s="22">
        <v>4090</v>
      </c>
      <c r="K2623" s="15" t="s">
        <v>883</v>
      </c>
      <c r="L2623" s="17">
        <v>10</v>
      </c>
      <c r="M2623" s="17">
        <v>400</v>
      </c>
      <c r="N2623" s="17">
        <v>10</v>
      </c>
      <c r="O2623" s="18">
        <v>242.6</v>
      </c>
      <c r="P2623" s="18">
        <v>198.85</v>
      </c>
      <c r="Q2623" s="18">
        <v>206.21</v>
      </c>
      <c r="R2623" s="18">
        <v>169.02</v>
      </c>
      <c r="S2623" s="18">
        <v>164.97</v>
      </c>
      <c r="T2623" s="18">
        <v>135.22</v>
      </c>
      <c r="U2623" s="16"/>
      <c r="V2623" s="16"/>
      <c r="W2623" s="16" t="s">
        <v>40</v>
      </c>
      <c r="X2623" s="19">
        <v>1.9E-2</v>
      </c>
      <c r="Y2623" s="20">
        <v>7.1000000000000005E-5</v>
      </c>
      <c r="Z2623" s="21">
        <v>4601004066434</v>
      </c>
    </row>
    <row r="2624" spans="1:26" ht="12" customHeight="1" outlineLevel="4" x14ac:dyDescent="0.2">
      <c r="A2624" s="14" t="s">
        <v>5147</v>
      </c>
      <c r="B2624" s="26" t="s">
        <v>5148</v>
      </c>
      <c r="C2624" s="52"/>
      <c r="D2624" s="55">
        <f t="shared" si="40"/>
        <v>0</v>
      </c>
      <c r="E2624" s="63" t="str">
        <f>HYPERLINK("https://www.sds-group.ru/product/vyklyuchatel-klavishnyy-250v-15a-4s-vkl-vykl-krasnyy-s-podsvetkoy-i-vlagozaschitoy-1-sht-u-36-2360-1/", "Инфо")</f>
        <v>Инфо</v>
      </c>
      <c r="F2624" s="16" t="s">
        <v>39</v>
      </c>
      <c r="G2624" s="15"/>
      <c r="H2624" s="15"/>
      <c r="I2624" s="15"/>
      <c r="J2624" s="17">
        <v>386</v>
      </c>
      <c r="K2624" s="15"/>
      <c r="L2624" s="17">
        <v>10</v>
      </c>
      <c r="M2624" s="17">
        <v>200</v>
      </c>
      <c r="N2624" s="17">
        <v>10</v>
      </c>
      <c r="O2624" s="18">
        <v>268.75</v>
      </c>
      <c r="P2624" s="18">
        <v>220.29</v>
      </c>
      <c r="Q2624" s="18">
        <v>228.44</v>
      </c>
      <c r="R2624" s="18">
        <v>187.25</v>
      </c>
      <c r="S2624" s="18">
        <v>182.75</v>
      </c>
      <c r="T2624" s="18">
        <v>149.80000000000001</v>
      </c>
      <c r="U2624" s="16"/>
      <c r="V2624" s="16"/>
      <c r="W2624" s="16" t="s">
        <v>40</v>
      </c>
      <c r="X2624" s="19">
        <v>1.7000000000000001E-2</v>
      </c>
      <c r="Y2624" s="20">
        <v>1.1E-4</v>
      </c>
      <c r="Z2624" s="21">
        <v>4601004117648</v>
      </c>
    </row>
    <row r="2625" spans="1:26" ht="12" customHeight="1" outlineLevel="4" x14ac:dyDescent="0.2">
      <c r="A2625" s="14" t="s">
        <v>5149</v>
      </c>
      <c r="B2625" s="26" t="s">
        <v>5148</v>
      </c>
      <c r="C2625" s="52"/>
      <c r="D2625" s="55">
        <f t="shared" si="40"/>
        <v>0</v>
      </c>
      <c r="E2625" s="63" t="str">
        <f>HYPERLINK("https://www.sds-group.ru/product/vyklyuchatel-klavishnyy-250v-15a-4s-vkl-vykl-krasnyy-s-podsvetkoy-i-vlagozaschitoy-1-sht-u-06-0307-C/", "Инфо")</f>
        <v>Инфо</v>
      </c>
      <c r="F2625" s="16" t="s">
        <v>39</v>
      </c>
      <c r="G2625" s="15"/>
      <c r="H2625" s="15"/>
      <c r="I2625" s="15"/>
      <c r="J2625" s="17">
        <v>1</v>
      </c>
      <c r="K2625" s="15"/>
      <c r="L2625" s="17">
        <v>5</v>
      </c>
      <c r="M2625" s="17">
        <v>10</v>
      </c>
      <c r="N2625" s="17">
        <v>5</v>
      </c>
      <c r="O2625" s="18">
        <v>316.27</v>
      </c>
      <c r="P2625" s="18">
        <v>259.24</v>
      </c>
      <c r="Q2625" s="18">
        <v>268.83</v>
      </c>
      <c r="R2625" s="18">
        <v>220.35</v>
      </c>
      <c r="S2625" s="18">
        <v>215.06</v>
      </c>
      <c r="T2625" s="18">
        <v>176.28</v>
      </c>
      <c r="U2625" s="16"/>
      <c r="V2625" s="16"/>
      <c r="W2625" s="16" t="s">
        <v>40</v>
      </c>
      <c r="X2625" s="19">
        <v>2.9000000000000001E-2</v>
      </c>
      <c r="Y2625" s="20">
        <v>3.6499999999999998E-4</v>
      </c>
      <c r="Z2625" s="21">
        <v>4601004120563</v>
      </c>
    </row>
    <row r="2626" spans="1:26" ht="12" customHeight="1" outlineLevel="4" x14ac:dyDescent="0.2">
      <c r="A2626" s="14" t="s">
        <v>5150</v>
      </c>
      <c r="B2626" s="26" t="s">
        <v>5151</v>
      </c>
      <c r="C2626" s="52"/>
      <c r="D2626" s="55">
        <f t="shared" si="40"/>
        <v>0</v>
      </c>
      <c r="E2626" s="63" t="str">
        <f>HYPERLINK("https://www.sds-group.ru/product/vyklyuchatel-klavishnyy-250v-15a-4s-vkl-vykl-krasnyy-s-podsvetkoy-i-vlagozaschitoy-rexant-36-2360/", "Инфо")</f>
        <v>Инфо</v>
      </c>
      <c r="F2626" s="16" t="s">
        <v>39</v>
      </c>
      <c r="G2626" s="15"/>
      <c r="H2626" s="15"/>
      <c r="I2626" s="15"/>
      <c r="J2626" s="22">
        <v>8243</v>
      </c>
      <c r="K2626" s="15" t="s">
        <v>883</v>
      </c>
      <c r="L2626" s="17">
        <v>10</v>
      </c>
      <c r="M2626" s="17">
        <v>400</v>
      </c>
      <c r="N2626" s="17">
        <v>10</v>
      </c>
      <c r="O2626" s="18">
        <v>242.6</v>
      </c>
      <c r="P2626" s="18">
        <v>198.85</v>
      </c>
      <c r="Q2626" s="18">
        <v>206.21</v>
      </c>
      <c r="R2626" s="18">
        <v>169.02</v>
      </c>
      <c r="S2626" s="18">
        <v>164.97</v>
      </c>
      <c r="T2626" s="18">
        <v>135.22</v>
      </c>
      <c r="U2626" s="16"/>
      <c r="V2626" s="16"/>
      <c r="W2626" s="16" t="s">
        <v>40</v>
      </c>
      <c r="X2626" s="19">
        <v>0.02</v>
      </c>
      <c r="Y2626" s="20">
        <v>7.6000000000000004E-5</v>
      </c>
      <c r="Z2626" s="21">
        <v>4601004066410</v>
      </c>
    </row>
    <row r="2627" spans="1:26" ht="12" customHeight="1" outlineLevel="4" x14ac:dyDescent="0.2">
      <c r="A2627" s="14" t="s">
        <v>5152</v>
      </c>
      <c r="B2627" s="26" t="s">
        <v>5153</v>
      </c>
      <c r="C2627" s="52"/>
      <c r="D2627" s="55">
        <f t="shared" si="40"/>
        <v>0</v>
      </c>
      <c r="E2627" s="63" t="str">
        <f>HYPERLINK("https://www.sds-group.ru/product/vyklyuchatel-klavishnyy-250v-15a-4s-vkl-vykl-siniy-s-podsvetkoy-i-vlagozaschitoy-rexant-36-2361/", "Инфо")</f>
        <v>Инфо</v>
      </c>
      <c r="F2627" s="16" t="s">
        <v>39</v>
      </c>
      <c r="G2627" s="15"/>
      <c r="H2627" s="15"/>
      <c r="I2627" s="15"/>
      <c r="J2627" s="17">
        <v>210</v>
      </c>
      <c r="K2627" s="15" t="s">
        <v>1126</v>
      </c>
      <c r="L2627" s="17">
        <v>10</v>
      </c>
      <c r="M2627" s="17">
        <v>500</v>
      </c>
      <c r="N2627" s="17">
        <v>10</v>
      </c>
      <c r="O2627" s="18">
        <v>255.38</v>
      </c>
      <c r="P2627" s="18">
        <v>209.33</v>
      </c>
      <c r="Q2627" s="18">
        <v>217.07</v>
      </c>
      <c r="R2627" s="18">
        <v>177.93</v>
      </c>
      <c r="S2627" s="18">
        <v>173.66</v>
      </c>
      <c r="T2627" s="18">
        <v>142.34</v>
      </c>
      <c r="U2627" s="16"/>
      <c r="V2627" s="16"/>
      <c r="W2627" s="16" t="s">
        <v>40</v>
      </c>
      <c r="X2627" s="19">
        <v>0.02</v>
      </c>
      <c r="Y2627" s="20">
        <v>7.2999999999999999E-5</v>
      </c>
      <c r="Z2627" s="21">
        <v>4601004066427</v>
      </c>
    </row>
    <row r="2628" spans="1:26" ht="12" customHeight="1" outlineLevel="4" x14ac:dyDescent="0.2">
      <c r="A2628" s="14" t="s">
        <v>5154</v>
      </c>
      <c r="B2628" s="26" t="s">
        <v>5155</v>
      </c>
      <c r="C2628" s="52"/>
      <c r="D2628" s="55">
        <f t="shared" si="40"/>
        <v>0</v>
      </c>
      <c r="E2628" s="63" t="str">
        <f>HYPERLINK("https://www.sds-group.ru/product/vyklyuchatel-klavishnyy-250v-15a-4s-vkl-vykl-chernyy-rexant-36-2310/", "Инфо")</f>
        <v>Инфо</v>
      </c>
      <c r="F2628" s="16" t="s">
        <v>39</v>
      </c>
      <c r="G2628" s="15"/>
      <c r="H2628" s="15"/>
      <c r="I2628" s="15"/>
      <c r="J2628" s="22">
        <v>11330</v>
      </c>
      <c r="K2628" s="15"/>
      <c r="L2628" s="17">
        <v>10</v>
      </c>
      <c r="M2628" s="17">
        <v>720</v>
      </c>
      <c r="N2628" s="17">
        <v>10</v>
      </c>
      <c r="O2628" s="18">
        <v>79.2</v>
      </c>
      <c r="P2628" s="18">
        <v>64.92</v>
      </c>
      <c r="Q2628" s="18">
        <v>67.319999999999993</v>
      </c>
      <c r="R2628" s="18">
        <v>55.18</v>
      </c>
      <c r="S2628" s="18">
        <v>53.86</v>
      </c>
      <c r="T2628" s="18">
        <v>44.15</v>
      </c>
      <c r="U2628" s="16"/>
      <c r="V2628" s="16"/>
      <c r="W2628" s="16" t="s">
        <v>40</v>
      </c>
      <c r="X2628" s="19">
        <v>1.4E-2</v>
      </c>
      <c r="Y2628" s="20">
        <v>6.0999999999999999E-5</v>
      </c>
      <c r="Z2628" s="21">
        <v>4601004066342</v>
      </c>
    </row>
    <row r="2629" spans="1:26" ht="12" customHeight="1" outlineLevel="4" x14ac:dyDescent="0.2">
      <c r="A2629" s="14" t="s">
        <v>5156</v>
      </c>
      <c r="B2629" s="26" t="s">
        <v>5157</v>
      </c>
      <c r="C2629" s="52"/>
      <c r="D2629" s="55">
        <f t="shared" si="40"/>
        <v>0</v>
      </c>
      <c r="E2629" s="63" t="str">
        <f>HYPERLINK("https://www.sds-group.ru/product/vyklyuchatel-klavishnyy-250v-15a-4s-vykl-vkl-chernyy-bez-fiksatsii-rexant-36-2380/", "Инфо")</f>
        <v>Инфо</v>
      </c>
      <c r="F2629" s="16" t="s">
        <v>39</v>
      </c>
      <c r="G2629" s="15"/>
      <c r="H2629" s="15"/>
      <c r="I2629" s="15"/>
      <c r="J2629" s="22">
        <v>5070</v>
      </c>
      <c r="K2629" s="15"/>
      <c r="L2629" s="17">
        <v>10</v>
      </c>
      <c r="M2629" s="17">
        <v>500</v>
      </c>
      <c r="N2629" s="17">
        <v>10</v>
      </c>
      <c r="O2629" s="18">
        <v>84.76</v>
      </c>
      <c r="P2629" s="18">
        <v>69.48</v>
      </c>
      <c r="Q2629" s="18">
        <v>72.05</v>
      </c>
      <c r="R2629" s="18">
        <v>59.06</v>
      </c>
      <c r="S2629" s="18">
        <v>57.64</v>
      </c>
      <c r="T2629" s="18">
        <v>47.25</v>
      </c>
      <c r="U2629" s="16"/>
      <c r="V2629" s="16"/>
      <c r="W2629" s="16" t="s">
        <v>40</v>
      </c>
      <c r="X2629" s="19">
        <v>1.6E-2</v>
      </c>
      <c r="Y2629" s="20">
        <v>6.0999999999999999E-5</v>
      </c>
      <c r="Z2629" s="21">
        <v>4601004066472</v>
      </c>
    </row>
    <row r="2630" spans="1:26" ht="12" customHeight="1" outlineLevel="4" x14ac:dyDescent="0.2">
      <c r="A2630" s="14" t="s">
        <v>5158</v>
      </c>
      <c r="B2630" s="26" t="s">
        <v>5159</v>
      </c>
      <c r="C2630" s="52"/>
      <c r="D2630" s="55">
        <f t="shared" si="40"/>
        <v>0</v>
      </c>
      <c r="E2630" s="63" t="str">
        <f>HYPERLINK("https://www.sds-group.ru/product/vyklyuchatel-klavishnyy-250v-15a-6s-vkl-vykl-zelenyy-s-podsvetkoy-dvoynoy-rexant-36-2412/", "Инфо")</f>
        <v>Инфо</v>
      </c>
      <c r="F2630" s="16" t="s">
        <v>39</v>
      </c>
      <c r="G2630" s="15"/>
      <c r="H2630" s="15"/>
      <c r="I2630" s="15"/>
      <c r="J2630" s="22">
        <v>5790</v>
      </c>
      <c r="K2630" s="15"/>
      <c r="L2630" s="17">
        <v>10</v>
      </c>
      <c r="M2630" s="17">
        <v>500</v>
      </c>
      <c r="N2630" s="17">
        <v>10</v>
      </c>
      <c r="O2630" s="18">
        <v>128.84</v>
      </c>
      <c r="P2630" s="18">
        <v>105.61</v>
      </c>
      <c r="Q2630" s="18">
        <v>109.51</v>
      </c>
      <c r="R2630" s="18">
        <v>89.76</v>
      </c>
      <c r="S2630" s="18">
        <v>87.61</v>
      </c>
      <c r="T2630" s="18">
        <v>71.81</v>
      </c>
      <c r="U2630" s="16"/>
      <c r="V2630" s="16"/>
      <c r="W2630" s="16" t="s">
        <v>40</v>
      </c>
      <c r="X2630" s="19">
        <v>1.7999999999999999E-2</v>
      </c>
      <c r="Y2630" s="20">
        <v>6.2000000000000003E-5</v>
      </c>
      <c r="Z2630" s="21">
        <v>4601004066519</v>
      </c>
    </row>
    <row r="2631" spans="1:26" ht="12" customHeight="1" outlineLevel="4" x14ac:dyDescent="0.2">
      <c r="A2631" s="14" t="s">
        <v>5160</v>
      </c>
      <c r="B2631" s="26" t="s">
        <v>5161</v>
      </c>
      <c r="C2631" s="52"/>
      <c r="D2631" s="55">
        <f t="shared" si="40"/>
        <v>0</v>
      </c>
      <c r="E2631" s="63" t="str">
        <f>HYPERLINK("https://www.sds-group.ru/product/vyklyuchatel-klavishnyy-250v-15a-6s-vkl-vykl-krasnyy-s-podsvetkoy-dvoynoy-rexant-36-2410/", "Инфо")</f>
        <v>Инфо</v>
      </c>
      <c r="F2631" s="16" t="s">
        <v>39</v>
      </c>
      <c r="G2631" s="15"/>
      <c r="H2631" s="15"/>
      <c r="I2631" s="15"/>
      <c r="J2631" s="22">
        <v>19200</v>
      </c>
      <c r="K2631" s="15" t="s">
        <v>1058</v>
      </c>
      <c r="L2631" s="17">
        <v>10</v>
      </c>
      <c r="M2631" s="17">
        <v>500</v>
      </c>
      <c r="N2631" s="17">
        <v>10</v>
      </c>
      <c r="O2631" s="18">
        <v>122.71</v>
      </c>
      <c r="P2631" s="18">
        <v>100.58</v>
      </c>
      <c r="Q2631" s="18">
        <v>104.3</v>
      </c>
      <c r="R2631" s="18">
        <v>85.49</v>
      </c>
      <c r="S2631" s="18">
        <v>83.44</v>
      </c>
      <c r="T2631" s="18">
        <v>68.39</v>
      </c>
      <c r="U2631" s="16"/>
      <c r="V2631" s="16"/>
      <c r="W2631" s="16" t="s">
        <v>40</v>
      </c>
      <c r="X2631" s="19">
        <v>1.7999999999999999E-2</v>
      </c>
      <c r="Y2631" s="20">
        <v>6.0999999999999999E-5</v>
      </c>
      <c r="Z2631" s="21">
        <v>4601004064515</v>
      </c>
    </row>
    <row r="2632" spans="1:26" ht="12" customHeight="1" outlineLevel="4" x14ac:dyDescent="0.2">
      <c r="A2632" s="14" t="s">
        <v>5162</v>
      </c>
      <c r="B2632" s="26" t="s">
        <v>5163</v>
      </c>
      <c r="C2632" s="52"/>
      <c r="D2632" s="55">
        <f t="shared" si="40"/>
        <v>0</v>
      </c>
      <c r="E2632" s="63" t="str">
        <f>HYPERLINK("https://www.sds-group.ru/product/vyklyuchatel-klavishnyy-250v-15a-6s-vkl-vykl-krasnyy-zelenyy-s-podsvetkoy-dvoynoy-rexant-36-2450/", "Инфо")</f>
        <v>Инфо</v>
      </c>
      <c r="F2632" s="16" t="s">
        <v>39</v>
      </c>
      <c r="G2632" s="15"/>
      <c r="H2632" s="15"/>
      <c r="I2632" s="15"/>
      <c r="J2632" s="22">
        <v>6400</v>
      </c>
      <c r="K2632" s="15" t="s">
        <v>1055</v>
      </c>
      <c r="L2632" s="17">
        <v>10</v>
      </c>
      <c r="M2632" s="17">
        <v>500</v>
      </c>
      <c r="N2632" s="17">
        <v>10</v>
      </c>
      <c r="O2632" s="18">
        <v>130.02000000000001</v>
      </c>
      <c r="P2632" s="18">
        <v>106.57</v>
      </c>
      <c r="Q2632" s="18">
        <v>110.52</v>
      </c>
      <c r="R2632" s="18">
        <v>90.59</v>
      </c>
      <c r="S2632" s="18">
        <v>88.41</v>
      </c>
      <c r="T2632" s="18">
        <v>72.47</v>
      </c>
      <c r="U2632" s="16"/>
      <c r="V2632" s="16"/>
      <c r="W2632" s="16" t="s">
        <v>40</v>
      </c>
      <c r="X2632" s="19">
        <v>1.7999999999999999E-2</v>
      </c>
      <c r="Y2632" s="20">
        <v>5.8999999999999998E-5</v>
      </c>
      <c r="Z2632" s="21">
        <v>4601004066540</v>
      </c>
    </row>
    <row r="2633" spans="1:26" ht="12" customHeight="1" outlineLevel="4" x14ac:dyDescent="0.2">
      <c r="A2633" s="14" t="s">
        <v>5164</v>
      </c>
      <c r="B2633" s="26" t="s">
        <v>5165</v>
      </c>
      <c r="C2633" s="52"/>
      <c r="D2633" s="55">
        <f t="shared" ref="D2633:D2696" si="41">C2633*(O2633-O2633*$G$3)</f>
        <v>0</v>
      </c>
      <c r="E2633" s="63" t="str">
        <f>HYPERLINK("https://www.sds-group.ru/product/vyklyuchatel-klavishnyy-250v-15a-6s-vkl-vykl-siniy-s-podsvetkoy-dvoynoy-rexant-36-2411/", "Инфо")</f>
        <v>Инфо</v>
      </c>
      <c r="F2633" s="16" t="s">
        <v>39</v>
      </c>
      <c r="G2633" s="15"/>
      <c r="H2633" s="15"/>
      <c r="I2633" s="15"/>
      <c r="J2633" s="22">
        <v>1250</v>
      </c>
      <c r="K2633" s="15"/>
      <c r="L2633" s="17">
        <v>10</v>
      </c>
      <c r="M2633" s="17">
        <v>500</v>
      </c>
      <c r="N2633" s="17">
        <v>10</v>
      </c>
      <c r="O2633" s="18">
        <v>128.84</v>
      </c>
      <c r="P2633" s="18">
        <v>105.61</v>
      </c>
      <c r="Q2633" s="18">
        <v>109.51</v>
      </c>
      <c r="R2633" s="18">
        <v>89.76</v>
      </c>
      <c r="S2633" s="18">
        <v>87.61</v>
      </c>
      <c r="T2633" s="18">
        <v>71.81</v>
      </c>
      <c r="U2633" s="16"/>
      <c r="V2633" s="16"/>
      <c r="W2633" s="16" t="s">
        <v>40</v>
      </c>
      <c r="X2633" s="19">
        <v>1.7999999999999999E-2</v>
      </c>
      <c r="Y2633" s="20">
        <v>6.0999999999999999E-5</v>
      </c>
      <c r="Z2633" s="21">
        <v>4601004066502</v>
      </c>
    </row>
    <row r="2634" spans="1:26" ht="12" customHeight="1" outlineLevel="4" x14ac:dyDescent="0.2">
      <c r="A2634" s="14" t="s">
        <v>5166</v>
      </c>
      <c r="B2634" s="26" t="s">
        <v>5167</v>
      </c>
      <c r="C2634" s="52"/>
      <c r="D2634" s="55">
        <f t="shared" si="41"/>
        <v>0</v>
      </c>
      <c r="E2634" s="63" t="str">
        <f>HYPERLINK("https://www.sds-group.ru/product/vyklyuchatel-klavishnyy-250v-15a-6s-vkl-vykl-chernyy-s-podsvetkoy-dvoynoy-rexant-36-2430/", "Инфо")</f>
        <v>Инфо</v>
      </c>
      <c r="F2634" s="16" t="s">
        <v>39</v>
      </c>
      <c r="G2634" s="15"/>
      <c r="H2634" s="15"/>
      <c r="I2634" s="15"/>
      <c r="J2634" s="22">
        <v>2250</v>
      </c>
      <c r="K2634" s="15"/>
      <c r="L2634" s="17">
        <v>10</v>
      </c>
      <c r="M2634" s="17">
        <v>500</v>
      </c>
      <c r="N2634" s="17">
        <v>10</v>
      </c>
      <c r="O2634" s="18">
        <v>129.16</v>
      </c>
      <c r="P2634" s="18">
        <v>105.87</v>
      </c>
      <c r="Q2634" s="18">
        <v>109.79</v>
      </c>
      <c r="R2634" s="18">
        <v>89.99</v>
      </c>
      <c r="S2634" s="18">
        <v>87.83</v>
      </c>
      <c r="T2634" s="18">
        <v>71.989999999999995</v>
      </c>
      <c r="U2634" s="16"/>
      <c r="V2634" s="16"/>
      <c r="W2634" s="16" t="s">
        <v>40</v>
      </c>
      <c r="X2634" s="19">
        <v>1.7999999999999999E-2</v>
      </c>
      <c r="Y2634" s="20">
        <v>5.8E-5</v>
      </c>
      <c r="Z2634" s="21">
        <v>4601004066533</v>
      </c>
    </row>
    <row r="2635" spans="1:26" ht="12" customHeight="1" outlineLevel="4" x14ac:dyDescent="0.2">
      <c r="A2635" s="14" t="s">
        <v>5168</v>
      </c>
      <c r="B2635" s="26" t="s">
        <v>5169</v>
      </c>
      <c r="C2635" s="52"/>
      <c r="D2635" s="55">
        <f t="shared" si="41"/>
        <v>0</v>
      </c>
      <c r="E2635" s="63" t="str">
        <f>HYPERLINK("https://www.sds-group.ru/product/vyklyuchatel-klavishnyy-250v-15a-6s-vkl-vykl-vkl-chernyy-s-neytralyu-1-sht-up-rexant-36-2370-1/", "Инфо")</f>
        <v>Инфо</v>
      </c>
      <c r="F2635" s="16" t="s">
        <v>39</v>
      </c>
      <c r="G2635" s="15"/>
      <c r="H2635" s="15"/>
      <c r="I2635" s="15"/>
      <c r="J2635" s="17">
        <v>123</v>
      </c>
      <c r="K2635" s="15"/>
      <c r="L2635" s="17">
        <v>10</v>
      </c>
      <c r="M2635" s="17">
        <v>200</v>
      </c>
      <c r="N2635" s="17">
        <v>10</v>
      </c>
      <c r="O2635" s="18">
        <v>193.72</v>
      </c>
      <c r="P2635" s="18">
        <v>158.79</v>
      </c>
      <c r="Q2635" s="18">
        <v>164.66</v>
      </c>
      <c r="R2635" s="18">
        <v>134.97</v>
      </c>
      <c r="S2635" s="18">
        <v>131.72999999999999</v>
      </c>
      <c r="T2635" s="18">
        <v>107.98</v>
      </c>
      <c r="U2635" s="16"/>
      <c r="V2635" s="16"/>
      <c r="W2635" s="16" t="s">
        <v>40</v>
      </c>
      <c r="X2635" s="19">
        <v>1.4E-2</v>
      </c>
      <c r="Y2635" s="20">
        <v>1.44E-4</v>
      </c>
      <c r="Z2635" s="21">
        <v>4601004117655</v>
      </c>
    </row>
    <row r="2636" spans="1:26" ht="12" customHeight="1" outlineLevel="4" x14ac:dyDescent="0.2">
      <c r="A2636" s="14" t="s">
        <v>5170</v>
      </c>
      <c r="B2636" s="26" t="s">
        <v>5171</v>
      </c>
      <c r="C2636" s="52"/>
      <c r="D2636" s="55">
        <f t="shared" si="41"/>
        <v>0</v>
      </c>
      <c r="E2636" s="63" t="str">
        <f>HYPERLINK("https://www.sds-group.ru/product/vyklyuchatel-klavishnyy-250v-16a-4s-vkl-vykl-zheltyy-s-podsvetkoy-rexant-36-2333/", "Инфо")</f>
        <v>Инфо</v>
      </c>
      <c r="F2636" s="16" t="s">
        <v>39</v>
      </c>
      <c r="G2636" s="15"/>
      <c r="H2636" s="15"/>
      <c r="I2636" s="15"/>
      <c r="J2636" s="17">
        <v>930</v>
      </c>
      <c r="K2636" s="15" t="s">
        <v>1055</v>
      </c>
      <c r="L2636" s="17">
        <v>10</v>
      </c>
      <c r="M2636" s="17">
        <v>500</v>
      </c>
      <c r="N2636" s="17">
        <v>10</v>
      </c>
      <c r="O2636" s="18">
        <v>98.62</v>
      </c>
      <c r="P2636" s="18">
        <v>80.84</v>
      </c>
      <c r="Q2636" s="18">
        <v>83.83</v>
      </c>
      <c r="R2636" s="18">
        <v>68.709999999999994</v>
      </c>
      <c r="S2636" s="18">
        <v>67.06</v>
      </c>
      <c r="T2636" s="18">
        <v>54.97</v>
      </c>
      <c r="U2636" s="16"/>
      <c r="V2636" s="16"/>
      <c r="W2636" s="16" t="s">
        <v>40</v>
      </c>
      <c r="X2636" s="19">
        <v>1.6E-2</v>
      </c>
      <c r="Y2636" s="20">
        <v>6.0999999999999999E-5</v>
      </c>
      <c r="Z2636" s="21">
        <v>4601004066366</v>
      </c>
    </row>
    <row r="2637" spans="1:26" ht="12" customHeight="1" outlineLevel="4" x14ac:dyDescent="0.2">
      <c r="A2637" s="14" t="s">
        <v>5172</v>
      </c>
      <c r="B2637" s="26" t="s">
        <v>5173</v>
      </c>
      <c r="C2637" s="52"/>
      <c r="D2637" s="55">
        <f t="shared" si="41"/>
        <v>0</v>
      </c>
      <c r="E2637" s="63" t="str">
        <f>HYPERLINK("https://www.sds-group.ru/product/vyklyuchatel-klavishnyy-250v-16a-4s-vkl-vykl-zelenyy-s-podsvetkoy-1-sht-up-rexant-36-2332-1/", "Инфо")</f>
        <v>Инфо</v>
      </c>
      <c r="F2637" s="16" t="s">
        <v>39</v>
      </c>
      <c r="G2637" s="15"/>
      <c r="H2637" s="15"/>
      <c r="I2637" s="15"/>
      <c r="J2637" s="16" t="s">
        <v>100</v>
      </c>
      <c r="K2637" s="15"/>
      <c r="L2637" s="17">
        <v>10</v>
      </c>
      <c r="M2637" s="17">
        <v>50</v>
      </c>
      <c r="N2637" s="17">
        <v>10</v>
      </c>
      <c r="O2637" s="18">
        <v>126.06</v>
      </c>
      <c r="P2637" s="18">
        <v>103.33</v>
      </c>
      <c r="Q2637" s="18">
        <v>107.15</v>
      </c>
      <c r="R2637" s="18">
        <v>87.83</v>
      </c>
      <c r="S2637" s="18">
        <v>85.72</v>
      </c>
      <c r="T2637" s="18">
        <v>70.260000000000005</v>
      </c>
      <c r="U2637" s="16"/>
      <c r="V2637" s="16"/>
      <c r="W2637" s="16" t="s">
        <v>40</v>
      </c>
      <c r="X2637" s="19">
        <v>1.2999999999999999E-2</v>
      </c>
      <c r="Y2637" s="20">
        <v>7.3999999999999996E-5</v>
      </c>
      <c r="Z2637" s="21">
        <v>4601004117617</v>
      </c>
    </row>
    <row r="2638" spans="1:26" ht="12" customHeight="1" outlineLevel="4" x14ac:dyDescent="0.2">
      <c r="A2638" s="14" t="s">
        <v>5174</v>
      </c>
      <c r="B2638" s="26" t="s">
        <v>5173</v>
      </c>
      <c r="C2638" s="52"/>
      <c r="D2638" s="55">
        <f t="shared" si="41"/>
        <v>0</v>
      </c>
      <c r="E2638" s="63" t="str">
        <f>HYPERLINK("https://www.sds-group.ru/product/vyklyuchatel-klavishnyy-250v-16a-4s-vkl-vykl-zelenyy-s-podsvetkoy-1-sht-up-rexant-06-0304-B/", "Инфо")</f>
        <v>Инфо</v>
      </c>
      <c r="F2638" s="16" t="s">
        <v>39</v>
      </c>
      <c r="G2638" s="15"/>
      <c r="H2638" s="15"/>
      <c r="I2638" s="15"/>
      <c r="J2638" s="17">
        <v>1</v>
      </c>
      <c r="K2638" s="15"/>
      <c r="L2638" s="17">
        <v>5</v>
      </c>
      <c r="M2638" s="17">
        <v>10</v>
      </c>
      <c r="N2638" s="17">
        <v>5</v>
      </c>
      <c r="O2638" s="18">
        <v>184.42</v>
      </c>
      <c r="P2638" s="18">
        <v>151.16</v>
      </c>
      <c r="Q2638" s="18">
        <v>156.76</v>
      </c>
      <c r="R2638" s="18">
        <v>128.49</v>
      </c>
      <c r="S2638" s="18">
        <v>125.41</v>
      </c>
      <c r="T2638" s="18">
        <v>102.8</v>
      </c>
      <c r="U2638" s="16"/>
      <c r="V2638" s="16"/>
      <c r="W2638" s="16" t="s">
        <v>40</v>
      </c>
      <c r="X2638" s="19">
        <v>2.1999999999999999E-2</v>
      </c>
      <c r="Y2638" s="20">
        <v>2.4699999999999999E-4</v>
      </c>
      <c r="Z2638" s="21">
        <v>4601004120532</v>
      </c>
    </row>
    <row r="2639" spans="1:26" ht="12" customHeight="1" outlineLevel="4" x14ac:dyDescent="0.2">
      <c r="A2639" s="14" t="s">
        <v>5175</v>
      </c>
      <c r="B2639" s="26" t="s">
        <v>5176</v>
      </c>
      <c r="C2639" s="52"/>
      <c r="D2639" s="55">
        <f t="shared" si="41"/>
        <v>0</v>
      </c>
      <c r="E2639" s="63" t="str">
        <f>HYPERLINK("https://www.sds-group.ru/product/vyklyuchatel-klavishnyy-250v-16a-4s-vkl-vykl-zelenyy-s-podsvetkoy-rexant-36-2332/", "Инфо")</f>
        <v>Инфо</v>
      </c>
      <c r="F2639" s="16" t="s">
        <v>39</v>
      </c>
      <c r="G2639" s="15"/>
      <c r="H2639" s="15"/>
      <c r="I2639" s="15"/>
      <c r="J2639" s="22">
        <v>26910</v>
      </c>
      <c r="K2639" s="15"/>
      <c r="L2639" s="17">
        <v>10</v>
      </c>
      <c r="M2639" s="17">
        <v>500</v>
      </c>
      <c r="N2639" s="17">
        <v>10</v>
      </c>
      <c r="O2639" s="18">
        <v>96.91</v>
      </c>
      <c r="P2639" s="18">
        <v>79.430000000000007</v>
      </c>
      <c r="Q2639" s="18">
        <v>82.37</v>
      </c>
      <c r="R2639" s="18">
        <v>67.52</v>
      </c>
      <c r="S2639" s="18">
        <v>65.900000000000006</v>
      </c>
      <c r="T2639" s="18">
        <v>54.02</v>
      </c>
      <c r="U2639" s="16"/>
      <c r="V2639" s="16"/>
      <c r="W2639" s="16" t="s">
        <v>40</v>
      </c>
      <c r="X2639" s="19">
        <v>1.4999999999999999E-2</v>
      </c>
      <c r="Y2639" s="20">
        <v>5.8999999999999998E-5</v>
      </c>
      <c r="Z2639" s="21">
        <v>4601004064546</v>
      </c>
    </row>
    <row r="2640" spans="1:26" ht="12" customHeight="1" outlineLevel="4" x14ac:dyDescent="0.2">
      <c r="A2640" s="14" t="s">
        <v>5177</v>
      </c>
      <c r="B2640" s="26" t="s">
        <v>5178</v>
      </c>
      <c r="C2640" s="52"/>
      <c r="D2640" s="55">
        <f t="shared" si="41"/>
        <v>0</v>
      </c>
      <c r="E2640" s="63" t="str">
        <f>HYPERLINK("https://www.sds-group.ru/product/vyklyuchatel-klavishnyy-250v-16a-4s-vkl-vykl-krasnyy-s-podsvetkoy-1-sht-up-rexant-36-2330-1/", "Инфо")</f>
        <v>Инфо</v>
      </c>
      <c r="F2640" s="16" t="s">
        <v>39</v>
      </c>
      <c r="G2640" s="15"/>
      <c r="H2640" s="15"/>
      <c r="I2640" s="15"/>
      <c r="J2640" s="22">
        <v>2549</v>
      </c>
      <c r="K2640" s="15"/>
      <c r="L2640" s="17">
        <v>10</v>
      </c>
      <c r="M2640" s="17">
        <v>200</v>
      </c>
      <c r="N2640" s="17">
        <v>10</v>
      </c>
      <c r="O2640" s="18">
        <v>138.04</v>
      </c>
      <c r="P2640" s="18">
        <v>113.15</v>
      </c>
      <c r="Q2640" s="18">
        <v>117.33</v>
      </c>
      <c r="R2640" s="18">
        <v>96.17</v>
      </c>
      <c r="S2640" s="18">
        <v>93.87</v>
      </c>
      <c r="T2640" s="18">
        <v>76.94</v>
      </c>
      <c r="U2640" s="16"/>
      <c r="V2640" s="16"/>
      <c r="W2640" s="16" t="s">
        <v>40</v>
      </c>
      <c r="X2640" s="19">
        <v>1.2999999999999999E-2</v>
      </c>
      <c r="Y2640" s="20">
        <v>7.2000000000000002E-5</v>
      </c>
      <c r="Z2640" s="21">
        <v>4601004117600</v>
      </c>
    </row>
    <row r="2641" spans="1:26" ht="12" customHeight="1" outlineLevel="4" x14ac:dyDescent="0.2">
      <c r="A2641" s="14" t="s">
        <v>5179</v>
      </c>
      <c r="B2641" s="26" t="s">
        <v>5178</v>
      </c>
      <c r="C2641" s="52"/>
      <c r="D2641" s="55">
        <f t="shared" si="41"/>
        <v>0</v>
      </c>
      <c r="E2641" s="63" t="str">
        <f>HYPERLINK("https://www.sds-group.ru/product/vyklyuchatel-klavishnyy-250v-16a-4s-vkl-vykl-krasnyy-s-podsvetkoy-1-sht-up-rexant-06-0303-B/", "Инфо")</f>
        <v>Инфо</v>
      </c>
      <c r="F2641" s="16" t="s">
        <v>39</v>
      </c>
      <c r="G2641" s="15"/>
      <c r="H2641" s="15"/>
      <c r="I2641" s="15"/>
      <c r="J2641" s="17">
        <v>75</v>
      </c>
      <c r="K2641" s="15"/>
      <c r="L2641" s="17">
        <v>5</v>
      </c>
      <c r="M2641" s="17">
        <v>10</v>
      </c>
      <c r="N2641" s="17">
        <v>5</v>
      </c>
      <c r="O2641" s="18">
        <v>158.07</v>
      </c>
      <c r="P2641" s="18">
        <v>129.57</v>
      </c>
      <c r="Q2641" s="18">
        <v>134.36000000000001</v>
      </c>
      <c r="R2641" s="18">
        <v>110.13</v>
      </c>
      <c r="S2641" s="18">
        <v>107.49</v>
      </c>
      <c r="T2641" s="18">
        <v>88.11</v>
      </c>
      <c r="U2641" s="16"/>
      <c r="V2641" s="16"/>
      <c r="W2641" s="16" t="s">
        <v>40</v>
      </c>
      <c r="X2641" s="19">
        <v>1.6E-2</v>
      </c>
      <c r="Y2641" s="20">
        <v>1.7200000000000001E-4</v>
      </c>
      <c r="Z2641" s="21">
        <v>4601004120525</v>
      </c>
    </row>
    <row r="2642" spans="1:26" ht="12" customHeight="1" outlineLevel="4" x14ac:dyDescent="0.2">
      <c r="A2642" s="14" t="s">
        <v>5180</v>
      </c>
      <c r="B2642" s="26" t="s">
        <v>5181</v>
      </c>
      <c r="C2642" s="52"/>
      <c r="D2642" s="55">
        <f t="shared" si="41"/>
        <v>0</v>
      </c>
      <c r="E2642" s="63" t="str">
        <f>HYPERLINK("https://www.sds-group.ru/product/vyklyuchatel-klavishnyy-250v-16a-4s-vkl-vykl-krasnyy-s-podsvetkoy-rexant-36-2330/", "Инфо")</f>
        <v>Инфо</v>
      </c>
      <c r="F2642" s="16" t="s">
        <v>39</v>
      </c>
      <c r="G2642" s="15"/>
      <c r="H2642" s="15"/>
      <c r="I2642" s="15"/>
      <c r="J2642" s="22">
        <v>30850</v>
      </c>
      <c r="K2642" s="15" t="s">
        <v>1126</v>
      </c>
      <c r="L2642" s="17">
        <v>10</v>
      </c>
      <c r="M2642" s="17">
        <v>500</v>
      </c>
      <c r="N2642" s="17">
        <v>10</v>
      </c>
      <c r="O2642" s="18">
        <v>96.77</v>
      </c>
      <c r="P2642" s="18">
        <v>79.319999999999993</v>
      </c>
      <c r="Q2642" s="18">
        <v>82.25</v>
      </c>
      <c r="R2642" s="18">
        <v>67.42</v>
      </c>
      <c r="S2642" s="18">
        <v>65.8</v>
      </c>
      <c r="T2642" s="18">
        <v>53.93</v>
      </c>
      <c r="U2642" s="16"/>
      <c r="V2642" s="16"/>
      <c r="W2642" s="16" t="s">
        <v>40</v>
      </c>
      <c r="X2642" s="19">
        <v>1.4999999999999999E-2</v>
      </c>
      <c r="Y2642" s="20">
        <v>5.8999999999999998E-5</v>
      </c>
      <c r="Z2642" s="21">
        <v>4601004064553</v>
      </c>
    </row>
    <row r="2643" spans="1:26" ht="12" customHeight="1" outlineLevel="4" x14ac:dyDescent="0.2">
      <c r="A2643" s="14" t="s">
        <v>5182</v>
      </c>
      <c r="B2643" s="26" t="s">
        <v>5183</v>
      </c>
      <c r="C2643" s="52"/>
      <c r="D2643" s="55">
        <f t="shared" si="41"/>
        <v>0</v>
      </c>
      <c r="E2643" s="63" t="str">
        <f>HYPERLINK("https://www.sds-group.ru/product/vyklyuchatel-klavishnyy-250v-16a-4s-vkl-vykl-siniy-s-podsvetkoy-1-sht-up-rexant-36-2331-1/", "Инфо")</f>
        <v>Инфо</v>
      </c>
      <c r="F2643" s="16" t="s">
        <v>39</v>
      </c>
      <c r="G2643" s="15"/>
      <c r="H2643" s="15"/>
      <c r="I2643" s="15"/>
      <c r="J2643" s="16" t="s">
        <v>100</v>
      </c>
      <c r="K2643" s="15"/>
      <c r="L2643" s="17">
        <v>10</v>
      </c>
      <c r="M2643" s="17">
        <v>200</v>
      </c>
      <c r="N2643" s="17">
        <v>10</v>
      </c>
      <c r="O2643" s="18">
        <v>138.93</v>
      </c>
      <c r="P2643" s="18">
        <v>113.88</v>
      </c>
      <c r="Q2643" s="18">
        <v>118.09</v>
      </c>
      <c r="R2643" s="18">
        <v>96.8</v>
      </c>
      <c r="S2643" s="18">
        <v>94.47</v>
      </c>
      <c r="T2643" s="18">
        <v>77.430000000000007</v>
      </c>
      <c r="U2643" s="16"/>
      <c r="V2643" s="16"/>
      <c r="W2643" s="16" t="s">
        <v>40</v>
      </c>
      <c r="X2643" s="19">
        <v>1.2999999999999999E-2</v>
      </c>
      <c r="Y2643" s="20">
        <v>9.2E-5</v>
      </c>
      <c r="Z2643" s="21">
        <v>4601004117631</v>
      </c>
    </row>
    <row r="2644" spans="1:26" ht="12" customHeight="1" outlineLevel="4" x14ac:dyDescent="0.2">
      <c r="A2644" s="14" t="s">
        <v>5184</v>
      </c>
      <c r="B2644" s="26" t="s">
        <v>5183</v>
      </c>
      <c r="C2644" s="52"/>
      <c r="D2644" s="55">
        <f t="shared" si="41"/>
        <v>0</v>
      </c>
      <c r="E2644" s="63" t="str">
        <f>HYPERLINK("https://www.sds-group.ru/product/vyklyuchatel-klavishnyy-250v-16a-4s-vkl-vykl-siniy-s-podsvetkoy-1-sht-up-rexant-06-0306-B/", "Инфо")</f>
        <v>Инфо</v>
      </c>
      <c r="F2644" s="16" t="s">
        <v>39</v>
      </c>
      <c r="G2644" s="15"/>
      <c r="H2644" s="15"/>
      <c r="I2644" s="15"/>
      <c r="J2644" s="17">
        <v>30</v>
      </c>
      <c r="K2644" s="15"/>
      <c r="L2644" s="17">
        <v>5</v>
      </c>
      <c r="M2644" s="17">
        <v>10</v>
      </c>
      <c r="N2644" s="17">
        <v>5</v>
      </c>
      <c r="O2644" s="18">
        <v>154.68</v>
      </c>
      <c r="P2644" s="18">
        <v>126.79</v>
      </c>
      <c r="Q2644" s="18">
        <v>131.47999999999999</v>
      </c>
      <c r="R2644" s="18">
        <v>107.77</v>
      </c>
      <c r="S2644" s="18">
        <v>105.18</v>
      </c>
      <c r="T2644" s="18">
        <v>86.21</v>
      </c>
      <c r="U2644" s="16"/>
      <c r="V2644" s="16"/>
      <c r="W2644" s="16" t="s">
        <v>40</v>
      </c>
      <c r="X2644" s="19">
        <v>2.1999999999999999E-2</v>
      </c>
      <c r="Y2644" s="20">
        <v>2.52E-4</v>
      </c>
      <c r="Z2644" s="21">
        <v>4601004120556</v>
      </c>
    </row>
    <row r="2645" spans="1:26" ht="12" customHeight="1" outlineLevel="4" x14ac:dyDescent="0.2">
      <c r="A2645" s="14" t="s">
        <v>5185</v>
      </c>
      <c r="B2645" s="26" t="s">
        <v>5186</v>
      </c>
      <c r="C2645" s="52"/>
      <c r="D2645" s="55">
        <f t="shared" si="41"/>
        <v>0</v>
      </c>
      <c r="E2645" s="63" t="str">
        <f>HYPERLINK("https://www.sds-group.ru/product/vyklyuchatel-klavishnyy-250v-16a-4s-vkl-vykl-siniy-s-podsvetkoy-rexant-36-2331/", "Инфо")</f>
        <v>Инфо</v>
      </c>
      <c r="F2645" s="16" t="s">
        <v>39</v>
      </c>
      <c r="G2645" s="15"/>
      <c r="H2645" s="15"/>
      <c r="I2645" s="15"/>
      <c r="J2645" s="22">
        <v>7300</v>
      </c>
      <c r="K2645" s="15" t="s">
        <v>1058</v>
      </c>
      <c r="L2645" s="17">
        <v>10</v>
      </c>
      <c r="M2645" s="17">
        <v>500</v>
      </c>
      <c r="N2645" s="17">
        <v>10</v>
      </c>
      <c r="O2645" s="18">
        <v>98.6</v>
      </c>
      <c r="P2645" s="18">
        <v>80.819999999999993</v>
      </c>
      <c r="Q2645" s="18">
        <v>83.81</v>
      </c>
      <c r="R2645" s="18">
        <v>68.7</v>
      </c>
      <c r="S2645" s="18">
        <v>67.05</v>
      </c>
      <c r="T2645" s="18">
        <v>54.96</v>
      </c>
      <c r="U2645" s="16"/>
      <c r="V2645" s="16"/>
      <c r="W2645" s="16" t="s">
        <v>40</v>
      </c>
      <c r="X2645" s="19">
        <v>1.6E-2</v>
      </c>
      <c r="Y2645" s="20">
        <v>5.8999999999999998E-5</v>
      </c>
      <c r="Z2645" s="21">
        <v>4601004066359</v>
      </c>
    </row>
    <row r="2646" spans="1:26" ht="12" customHeight="1" outlineLevel="4" x14ac:dyDescent="0.2">
      <c r="A2646" s="14" t="s">
        <v>5187</v>
      </c>
      <c r="B2646" s="26" t="s">
        <v>5188</v>
      </c>
      <c r="C2646" s="52"/>
      <c r="D2646" s="55">
        <f t="shared" si="41"/>
        <v>0</v>
      </c>
      <c r="E2646" s="63" t="str">
        <f>HYPERLINK("https://www.sds-group.ru/product/vyklyuchatel-klavishnyy-250v-20a-4s-vkl-vykl-krasnyy-s-podsvetkoy-rexant-36-2340/", "Инфо")</f>
        <v>Инфо</v>
      </c>
      <c r="F2646" s="16" t="s">
        <v>39</v>
      </c>
      <c r="G2646" s="15"/>
      <c r="H2646" s="15"/>
      <c r="I2646" s="15"/>
      <c r="J2646" s="22">
        <v>38840</v>
      </c>
      <c r="K2646" s="15"/>
      <c r="L2646" s="17">
        <v>10</v>
      </c>
      <c r="M2646" s="17">
        <v>500</v>
      </c>
      <c r="N2646" s="17">
        <v>10</v>
      </c>
      <c r="O2646" s="18">
        <v>104.2</v>
      </c>
      <c r="P2646" s="18">
        <v>85.41</v>
      </c>
      <c r="Q2646" s="18">
        <v>88.57</v>
      </c>
      <c r="R2646" s="18">
        <v>72.599999999999994</v>
      </c>
      <c r="S2646" s="18">
        <v>70.86</v>
      </c>
      <c r="T2646" s="18">
        <v>58.08</v>
      </c>
      <c r="U2646" s="16"/>
      <c r="V2646" s="16"/>
      <c r="W2646" s="16" t="s">
        <v>40</v>
      </c>
      <c r="X2646" s="19">
        <v>1.4999999999999999E-2</v>
      </c>
      <c r="Y2646" s="20">
        <v>5.8E-5</v>
      </c>
      <c r="Z2646" s="21">
        <v>4601004068407</v>
      </c>
    </row>
    <row r="2647" spans="1:26" ht="12" customHeight="1" outlineLevel="4" x14ac:dyDescent="0.2">
      <c r="A2647" s="14" t="s">
        <v>5189</v>
      </c>
      <c r="B2647" s="26" t="s">
        <v>5190</v>
      </c>
      <c r="C2647" s="52"/>
      <c r="D2647" s="55">
        <f t="shared" si="41"/>
        <v>0</v>
      </c>
      <c r="E2647" s="63" t="str">
        <f>HYPERLINK("https://www.sds-group.ru/product/vyklyuchatel-klavishnyy-250v-25a-4s-vkl-vykl-krasnyy-s-podsvetkoy-rexant-36-2343/", "Инфо")</f>
        <v>Инфо</v>
      </c>
      <c r="F2647" s="16" t="s">
        <v>39</v>
      </c>
      <c r="G2647" s="15"/>
      <c r="H2647" s="15"/>
      <c r="I2647" s="15"/>
      <c r="J2647" s="22">
        <v>17790</v>
      </c>
      <c r="K2647" s="15" t="s">
        <v>1126</v>
      </c>
      <c r="L2647" s="17">
        <v>10</v>
      </c>
      <c r="M2647" s="17">
        <v>720</v>
      </c>
      <c r="N2647" s="17">
        <v>10</v>
      </c>
      <c r="O2647" s="18">
        <v>228.86</v>
      </c>
      <c r="P2647" s="18">
        <v>187.59</v>
      </c>
      <c r="Q2647" s="18">
        <v>194.53</v>
      </c>
      <c r="R2647" s="18">
        <v>159.44999999999999</v>
      </c>
      <c r="S2647" s="18">
        <v>155.62</v>
      </c>
      <c r="T2647" s="18">
        <v>127.56</v>
      </c>
      <c r="U2647" s="16"/>
      <c r="V2647" s="16"/>
      <c r="W2647" s="16" t="s">
        <v>40</v>
      </c>
      <c r="X2647" s="19">
        <v>1.7999999999999999E-2</v>
      </c>
      <c r="Y2647" s="20">
        <v>5.8999999999999998E-5</v>
      </c>
      <c r="Z2647" s="21">
        <v>4601004133105</v>
      </c>
    </row>
    <row r="2648" spans="1:26" ht="12" customHeight="1" outlineLevel="4" x14ac:dyDescent="0.2">
      <c r="A2648" s="14" t="s">
        <v>5191</v>
      </c>
      <c r="B2648" s="26" t="s">
        <v>5192</v>
      </c>
      <c r="C2648" s="52"/>
      <c r="D2648" s="55">
        <f t="shared" si="41"/>
        <v>0</v>
      </c>
      <c r="E2648" s="63" t="str">
        <f>HYPERLINK("https://www.sds-group.ru/product/vyklyuchatel-klavishnyy-250v-30a-4s-vkl-vykl-krasnyy-s-podsvetkoy-rexant-36-2346/", "Инфо")</f>
        <v>Инфо</v>
      </c>
      <c r="F2648" s="16" t="s">
        <v>39</v>
      </c>
      <c r="G2648" s="15"/>
      <c r="H2648" s="15"/>
      <c r="I2648" s="15"/>
      <c r="J2648" s="22">
        <v>8600</v>
      </c>
      <c r="K2648" s="15" t="s">
        <v>1058</v>
      </c>
      <c r="L2648" s="17">
        <v>10</v>
      </c>
      <c r="M2648" s="17">
        <v>720</v>
      </c>
      <c r="N2648" s="17">
        <v>10</v>
      </c>
      <c r="O2648" s="18">
        <v>241.73</v>
      </c>
      <c r="P2648" s="18">
        <v>198.14</v>
      </c>
      <c r="Q2648" s="18">
        <v>205.47</v>
      </c>
      <c r="R2648" s="18">
        <v>168.42</v>
      </c>
      <c r="S2648" s="18">
        <v>164.38</v>
      </c>
      <c r="T2648" s="18">
        <v>134.74</v>
      </c>
      <c r="U2648" s="16"/>
      <c r="V2648" s="16"/>
      <c r="W2648" s="16" t="s">
        <v>40</v>
      </c>
      <c r="X2648" s="19">
        <v>1.7999999999999999E-2</v>
      </c>
      <c r="Y2648" s="20">
        <v>6.0000000000000002E-5</v>
      </c>
      <c r="Z2648" s="21">
        <v>4601004133051</v>
      </c>
    </row>
    <row r="2649" spans="1:26" ht="12" customHeight="1" outlineLevel="4" x14ac:dyDescent="0.2">
      <c r="A2649" s="14" t="s">
        <v>5193</v>
      </c>
      <c r="B2649" s="26" t="s">
        <v>5194</v>
      </c>
      <c r="C2649" s="52"/>
      <c r="D2649" s="55">
        <f t="shared" si="41"/>
        <v>0</v>
      </c>
      <c r="E2649" s="63" t="str">
        <f>HYPERLINK("https://www.sds-group.ru/product/vyklyuchatel-klavishnyy-250v-3a-2s-vkl-vykl-krasnyy-mikro-rexant-36-2011/", "Инфо")</f>
        <v>Инфо</v>
      </c>
      <c r="F2649" s="16" t="s">
        <v>39</v>
      </c>
      <c r="G2649" s="15"/>
      <c r="H2649" s="15"/>
      <c r="I2649" s="15"/>
      <c r="J2649" s="22">
        <v>28840</v>
      </c>
      <c r="K2649" s="15"/>
      <c r="L2649" s="17">
        <v>10</v>
      </c>
      <c r="M2649" s="22">
        <v>5000</v>
      </c>
      <c r="N2649" s="17">
        <v>10</v>
      </c>
      <c r="O2649" s="18">
        <v>24.49</v>
      </c>
      <c r="P2649" s="18">
        <v>20.07</v>
      </c>
      <c r="Q2649" s="18">
        <v>20.82</v>
      </c>
      <c r="R2649" s="18">
        <v>17.07</v>
      </c>
      <c r="S2649" s="18">
        <v>16.649999999999999</v>
      </c>
      <c r="T2649" s="18">
        <v>13.65</v>
      </c>
      <c r="U2649" s="16"/>
      <c r="V2649" s="16"/>
      <c r="W2649" s="16" t="s">
        <v>40</v>
      </c>
      <c r="X2649" s="19">
        <v>2E-3</v>
      </c>
      <c r="Y2649" s="20">
        <v>6.0000000000000002E-6</v>
      </c>
      <c r="Z2649" s="21">
        <v>4601004064577</v>
      </c>
    </row>
    <row r="2650" spans="1:26" ht="12" customHeight="1" outlineLevel="4" x14ac:dyDescent="0.2">
      <c r="A2650" s="14" t="s">
        <v>5195</v>
      </c>
      <c r="B2650" s="26" t="s">
        <v>5196</v>
      </c>
      <c r="C2650" s="52"/>
      <c r="D2650" s="55">
        <f t="shared" si="41"/>
        <v>0</v>
      </c>
      <c r="E2650" s="63" t="str">
        <f>HYPERLINK("https://www.sds-group.ru/product/vyklyuchatel-klavishnyy-250v-3a-2s-vkl-vykl-chernyy-mikro-rexant-36-2010/", "Инфо")</f>
        <v>Инфо</v>
      </c>
      <c r="F2650" s="16" t="s">
        <v>39</v>
      </c>
      <c r="G2650" s="15"/>
      <c r="H2650" s="15"/>
      <c r="I2650" s="15"/>
      <c r="J2650" s="22">
        <v>18360</v>
      </c>
      <c r="K2650" s="15"/>
      <c r="L2650" s="17">
        <v>10</v>
      </c>
      <c r="M2650" s="22">
        <v>5000</v>
      </c>
      <c r="N2650" s="17">
        <v>10</v>
      </c>
      <c r="O2650" s="18">
        <v>23.27</v>
      </c>
      <c r="P2650" s="18">
        <v>19.07</v>
      </c>
      <c r="Q2650" s="18">
        <v>19.78</v>
      </c>
      <c r="R2650" s="18">
        <v>16.21</v>
      </c>
      <c r="S2650" s="18">
        <v>15.82</v>
      </c>
      <c r="T2650" s="18">
        <v>12.97</v>
      </c>
      <c r="U2650" s="16"/>
      <c r="V2650" s="16"/>
      <c r="W2650" s="16" t="s">
        <v>40</v>
      </c>
      <c r="X2650" s="19">
        <v>2E-3</v>
      </c>
      <c r="Y2650" s="20">
        <v>9.0000000000000002E-6</v>
      </c>
      <c r="Z2650" s="21">
        <v>4601004064584</v>
      </c>
    </row>
    <row r="2651" spans="1:26" ht="12" customHeight="1" outlineLevel="4" x14ac:dyDescent="0.2">
      <c r="A2651" s="14" t="s">
        <v>5197</v>
      </c>
      <c r="B2651" s="26" t="s">
        <v>5198</v>
      </c>
      <c r="C2651" s="52"/>
      <c r="D2651" s="55">
        <f t="shared" si="41"/>
        <v>0</v>
      </c>
      <c r="E2651" s="63" t="str">
        <f>HYPERLINK("https://www.sds-group.ru/product/vyklyuchatel-klavishnyy-250v-6a-2s-vkl-vykl-krasnyy-mini-rexant-36-2051/", "Инфо")</f>
        <v>Инфо</v>
      </c>
      <c r="F2651" s="16" t="s">
        <v>39</v>
      </c>
      <c r="G2651" s="15"/>
      <c r="H2651" s="15"/>
      <c r="I2651" s="15"/>
      <c r="J2651" s="22">
        <v>8750</v>
      </c>
      <c r="K2651" s="15"/>
      <c r="L2651" s="17">
        <v>10</v>
      </c>
      <c r="M2651" s="22">
        <v>5000</v>
      </c>
      <c r="N2651" s="17">
        <v>10</v>
      </c>
      <c r="O2651" s="18">
        <v>38.799999999999997</v>
      </c>
      <c r="P2651" s="18">
        <v>31.8</v>
      </c>
      <c r="Q2651" s="18">
        <v>32.979999999999997</v>
      </c>
      <c r="R2651" s="18">
        <v>27.03</v>
      </c>
      <c r="S2651" s="18">
        <v>26.38</v>
      </c>
      <c r="T2651" s="18">
        <v>21.62</v>
      </c>
      <c r="U2651" s="16"/>
      <c r="V2651" s="16"/>
      <c r="W2651" s="16" t="s">
        <v>40</v>
      </c>
      <c r="X2651" s="19">
        <v>3.0000000000000001E-3</v>
      </c>
      <c r="Y2651" s="20">
        <v>1.1E-5</v>
      </c>
      <c r="Z2651" s="21">
        <v>4601004064591</v>
      </c>
    </row>
    <row r="2652" spans="1:26" ht="12" customHeight="1" outlineLevel="4" x14ac:dyDescent="0.2">
      <c r="A2652" s="14" t="s">
        <v>5199</v>
      </c>
      <c r="B2652" s="26" t="s">
        <v>5198</v>
      </c>
      <c r="C2652" s="52"/>
      <c r="D2652" s="55">
        <f t="shared" si="41"/>
        <v>0</v>
      </c>
      <c r="E2652" s="63" t="str">
        <f>HYPERLINK("https://www.sds-group.ru/product/vyklyuchatel-klavishnyy-250v-6a-2s-vkl-vykl-krasnyy-mini-rexant-36-2111/", "Инфо")</f>
        <v>Инфо</v>
      </c>
      <c r="F2652" s="16" t="s">
        <v>39</v>
      </c>
      <c r="G2652" s="15"/>
      <c r="H2652" s="15"/>
      <c r="I2652" s="15"/>
      <c r="J2652" s="16" t="s">
        <v>100</v>
      </c>
      <c r="K2652" s="15" t="s">
        <v>1055</v>
      </c>
      <c r="L2652" s="17">
        <v>10</v>
      </c>
      <c r="M2652" s="22">
        <v>5000</v>
      </c>
      <c r="N2652" s="17">
        <v>10</v>
      </c>
      <c r="O2652" s="18">
        <v>36.15</v>
      </c>
      <c r="P2652" s="18">
        <v>29.63</v>
      </c>
      <c r="Q2652" s="18">
        <v>30.73</v>
      </c>
      <c r="R2652" s="18">
        <v>25.19</v>
      </c>
      <c r="S2652" s="18">
        <v>24.58</v>
      </c>
      <c r="T2652" s="18">
        <v>20.149999999999999</v>
      </c>
      <c r="U2652" s="16"/>
      <c r="V2652" s="16"/>
      <c r="W2652" s="16" t="s">
        <v>40</v>
      </c>
      <c r="X2652" s="19">
        <v>3.0000000000000001E-3</v>
      </c>
      <c r="Y2652" s="20">
        <v>1.1E-5</v>
      </c>
      <c r="Z2652" s="21">
        <v>4601004066069</v>
      </c>
    </row>
    <row r="2653" spans="1:26" ht="12" customHeight="1" outlineLevel="4" x14ac:dyDescent="0.2">
      <c r="A2653" s="14" t="s">
        <v>5200</v>
      </c>
      <c r="B2653" s="26" t="s">
        <v>5201</v>
      </c>
      <c r="C2653" s="52"/>
      <c r="D2653" s="55">
        <f t="shared" si="41"/>
        <v>0</v>
      </c>
      <c r="E2653" s="63" t="str">
        <f>HYPERLINK("https://www.sds-group.ru/product/vyklyuchatel-klavishnyy-250v-6a-2s-vkl-vykl-chernyy-mini-rexant-36-2050/", "Инфо")</f>
        <v>Инфо</v>
      </c>
      <c r="F2653" s="16" t="s">
        <v>39</v>
      </c>
      <c r="G2653" s="15"/>
      <c r="H2653" s="15"/>
      <c r="I2653" s="15"/>
      <c r="J2653" s="16" t="s">
        <v>100</v>
      </c>
      <c r="K2653" s="15" t="s">
        <v>1058</v>
      </c>
      <c r="L2653" s="17">
        <v>10</v>
      </c>
      <c r="M2653" s="22">
        <v>5000</v>
      </c>
      <c r="N2653" s="17">
        <v>10</v>
      </c>
      <c r="O2653" s="18">
        <v>33.630000000000003</v>
      </c>
      <c r="P2653" s="18">
        <v>27.57</v>
      </c>
      <c r="Q2653" s="18">
        <v>28.59</v>
      </c>
      <c r="R2653" s="18">
        <v>23.43</v>
      </c>
      <c r="S2653" s="18">
        <v>22.87</v>
      </c>
      <c r="T2653" s="18">
        <v>18.75</v>
      </c>
      <c r="U2653" s="16"/>
      <c r="V2653" s="16"/>
      <c r="W2653" s="16" t="s">
        <v>40</v>
      </c>
      <c r="X2653" s="19">
        <v>3.0000000000000001E-3</v>
      </c>
      <c r="Y2653" s="20">
        <v>9.0000000000000002E-6</v>
      </c>
      <c r="Z2653" s="21">
        <v>4601004064607</v>
      </c>
    </row>
    <row r="2654" spans="1:26" ht="12" customHeight="1" outlineLevel="4" x14ac:dyDescent="0.2">
      <c r="A2654" s="14" t="s">
        <v>5202</v>
      </c>
      <c r="B2654" s="26" t="s">
        <v>5201</v>
      </c>
      <c r="C2654" s="52"/>
      <c r="D2654" s="55">
        <f t="shared" si="41"/>
        <v>0</v>
      </c>
      <c r="E2654" s="63" t="str">
        <f>HYPERLINK("https://www.sds-group.ru/product/vyklyuchatel-klavishnyy-250v-6a-2s-vkl-vykl-chernyy-mini-rexant-36-2110/", "Инфо")</f>
        <v>Инфо</v>
      </c>
      <c r="F2654" s="16" t="s">
        <v>39</v>
      </c>
      <c r="G2654" s="15"/>
      <c r="H2654" s="15"/>
      <c r="I2654" s="15"/>
      <c r="J2654" s="22">
        <v>23530</v>
      </c>
      <c r="K2654" s="15" t="s">
        <v>1058</v>
      </c>
      <c r="L2654" s="17">
        <v>10</v>
      </c>
      <c r="M2654" s="22">
        <v>5000</v>
      </c>
      <c r="N2654" s="17">
        <v>10</v>
      </c>
      <c r="O2654" s="18">
        <v>34.39</v>
      </c>
      <c r="P2654" s="18">
        <v>28.19</v>
      </c>
      <c r="Q2654" s="18">
        <v>29.23</v>
      </c>
      <c r="R2654" s="18">
        <v>23.96</v>
      </c>
      <c r="S2654" s="18">
        <v>23.39</v>
      </c>
      <c r="T2654" s="18">
        <v>19.170000000000002</v>
      </c>
      <c r="U2654" s="16"/>
      <c r="V2654" s="16"/>
      <c r="W2654" s="16" t="s">
        <v>40</v>
      </c>
      <c r="X2654" s="19">
        <v>4.0000000000000001E-3</v>
      </c>
      <c r="Y2654" s="20">
        <v>1.2E-5</v>
      </c>
      <c r="Z2654" s="21">
        <v>4601004064614</v>
      </c>
    </row>
    <row r="2655" spans="1:26" ht="12" customHeight="1" outlineLevel="4" x14ac:dyDescent="0.2">
      <c r="A2655" s="32" t="s">
        <v>5203</v>
      </c>
      <c r="B2655" s="74" t="s">
        <v>5204</v>
      </c>
      <c r="C2655" s="50"/>
      <c r="D2655" s="53">
        <f t="shared" si="41"/>
        <v>0</v>
      </c>
      <c r="E2655" s="60" t="str">
        <f>HYPERLINK("https://www.sds-group.ru/product/vyklyuchatel-klavishnyy-250v-6a-3s-vkl-vykl-zelenyy-s-podsvetkoy-mini-rexant-36-2153/", "Инфо")</f>
        <v>Инфо</v>
      </c>
      <c r="F2655" s="34" t="s">
        <v>39</v>
      </c>
      <c r="G2655" s="33"/>
      <c r="H2655" s="33" t="s">
        <v>40</v>
      </c>
      <c r="I2655" s="33"/>
      <c r="J2655" s="39">
        <v>2940</v>
      </c>
      <c r="K2655" s="33"/>
      <c r="L2655" s="35">
        <v>10</v>
      </c>
      <c r="M2655" s="39">
        <v>1000</v>
      </c>
      <c r="N2655" s="35">
        <v>10</v>
      </c>
      <c r="O2655" s="36">
        <v>58.59</v>
      </c>
      <c r="P2655" s="36">
        <v>48.02</v>
      </c>
      <c r="Q2655" s="36">
        <v>49.8</v>
      </c>
      <c r="R2655" s="36">
        <v>40.82</v>
      </c>
      <c r="S2655" s="36">
        <v>39.840000000000003</v>
      </c>
      <c r="T2655" s="36">
        <v>32.659999999999997</v>
      </c>
      <c r="U2655" s="34"/>
      <c r="V2655" s="34"/>
      <c r="W2655" s="34" t="s">
        <v>40</v>
      </c>
      <c r="X2655" s="37">
        <v>4.0000000000000001E-3</v>
      </c>
      <c r="Y2655" s="38">
        <v>1.5E-5</v>
      </c>
      <c r="Z2655" s="21">
        <v>4601004066168</v>
      </c>
    </row>
    <row r="2656" spans="1:26" ht="12" customHeight="1" outlineLevel="4" x14ac:dyDescent="0.2">
      <c r="A2656" s="14" t="s">
        <v>5205</v>
      </c>
      <c r="B2656" s="26" t="s">
        <v>5206</v>
      </c>
      <c r="C2656" s="52"/>
      <c r="D2656" s="55">
        <f t="shared" si="41"/>
        <v>0</v>
      </c>
      <c r="E2656" s="63" t="str">
        <f>HYPERLINK("https://www.sds-group.ru/product/vyklyuchatel-klavishnyy-250v-6a-3s-vkl-vykl-krasnyy-s-podsvetkoy-mini-rexant-36-2150/", "Инфо")</f>
        <v>Инфо</v>
      </c>
      <c r="F2656" s="16" t="s">
        <v>39</v>
      </c>
      <c r="G2656" s="15"/>
      <c r="H2656" s="15"/>
      <c r="I2656" s="15"/>
      <c r="J2656" s="22">
        <v>6520</v>
      </c>
      <c r="K2656" s="15"/>
      <c r="L2656" s="17">
        <v>10</v>
      </c>
      <c r="M2656" s="22">
        <v>3000</v>
      </c>
      <c r="N2656" s="17">
        <v>10</v>
      </c>
      <c r="O2656" s="18">
        <v>58.12</v>
      </c>
      <c r="P2656" s="18">
        <v>47.64</v>
      </c>
      <c r="Q2656" s="18">
        <v>49.4</v>
      </c>
      <c r="R2656" s="18">
        <v>40.49</v>
      </c>
      <c r="S2656" s="18">
        <v>39.520000000000003</v>
      </c>
      <c r="T2656" s="18">
        <v>32.39</v>
      </c>
      <c r="U2656" s="16"/>
      <c r="V2656" s="16"/>
      <c r="W2656" s="16" t="s">
        <v>40</v>
      </c>
      <c r="X2656" s="19">
        <v>5.0000000000000001E-3</v>
      </c>
      <c r="Y2656" s="20">
        <v>1.4E-5</v>
      </c>
      <c r="Z2656" s="21">
        <v>4601004066144</v>
      </c>
    </row>
    <row r="2657" spans="1:26" ht="12" customHeight="1" outlineLevel="4" x14ac:dyDescent="0.2">
      <c r="A2657" s="32" t="s">
        <v>5207</v>
      </c>
      <c r="B2657" s="74" t="s">
        <v>5208</v>
      </c>
      <c r="C2657" s="50"/>
      <c r="D2657" s="53">
        <f t="shared" si="41"/>
        <v>0</v>
      </c>
      <c r="E2657" s="60" t="str">
        <f>HYPERLINK("https://www.sds-group.ru/product/vyklyuchatel-klavishnyy-250v-6a-4s-vkl-vykl-zheltyy-s-podsvetkoy-mini-rexant-36-2192/", "Инфо")</f>
        <v>Инфо</v>
      </c>
      <c r="F2657" s="34" t="s">
        <v>39</v>
      </c>
      <c r="G2657" s="33"/>
      <c r="H2657" s="33" t="s">
        <v>40</v>
      </c>
      <c r="I2657" s="33"/>
      <c r="J2657" s="39">
        <v>5180</v>
      </c>
      <c r="K2657" s="33"/>
      <c r="L2657" s="35">
        <v>10</v>
      </c>
      <c r="M2657" s="39">
        <v>1000</v>
      </c>
      <c r="N2657" s="35">
        <v>10</v>
      </c>
      <c r="O2657" s="36">
        <v>15.93</v>
      </c>
      <c r="P2657" s="36">
        <v>13.06</v>
      </c>
      <c r="Q2657" s="36">
        <v>11.15</v>
      </c>
      <c r="R2657" s="36">
        <v>9.14</v>
      </c>
      <c r="S2657" s="36">
        <v>10.83</v>
      </c>
      <c r="T2657" s="36">
        <v>8.8800000000000008</v>
      </c>
      <c r="U2657" s="34"/>
      <c r="V2657" s="34"/>
      <c r="W2657" s="34"/>
      <c r="X2657" s="37">
        <v>5.0000000000000001E-3</v>
      </c>
      <c r="Y2657" s="38">
        <v>2.6999999999999999E-5</v>
      </c>
      <c r="Z2657" s="21">
        <v>4601004066274</v>
      </c>
    </row>
    <row r="2658" spans="1:26" ht="12" customHeight="1" outlineLevel="4" x14ac:dyDescent="0.2">
      <c r="A2658" s="14" t="s">
        <v>5209</v>
      </c>
      <c r="B2658" s="26" t="s">
        <v>5210</v>
      </c>
      <c r="C2658" s="52"/>
      <c r="D2658" s="55">
        <f t="shared" si="41"/>
        <v>0</v>
      </c>
      <c r="E2658" s="63" t="str">
        <f>HYPERLINK("https://www.sds-group.ru/product/vyklyuchatel-klavishnyy-250v-6a-4s-vkl-vykl-krasnyy-s-podsvetkoy-mini-1-sht-up-rexant-36-2190-1/", "Инфо")</f>
        <v>Инфо</v>
      </c>
      <c r="F2658" s="16" t="s">
        <v>39</v>
      </c>
      <c r="G2658" s="15"/>
      <c r="H2658" s="15"/>
      <c r="I2658" s="15"/>
      <c r="J2658" s="16" t="s">
        <v>100</v>
      </c>
      <c r="K2658" s="15"/>
      <c r="L2658" s="17">
        <v>10</v>
      </c>
      <c r="M2658" s="17">
        <v>50</v>
      </c>
      <c r="N2658" s="17">
        <v>10</v>
      </c>
      <c r="O2658" s="18">
        <v>100.28</v>
      </c>
      <c r="P2658" s="18">
        <v>82.2</v>
      </c>
      <c r="Q2658" s="18">
        <v>85.24</v>
      </c>
      <c r="R2658" s="18">
        <v>69.87</v>
      </c>
      <c r="S2658" s="18">
        <v>68.19</v>
      </c>
      <c r="T2658" s="18">
        <v>55.89</v>
      </c>
      <c r="U2658" s="16"/>
      <c r="V2658" s="16"/>
      <c r="W2658" s="16" t="s">
        <v>40</v>
      </c>
      <c r="X2658" s="19">
        <v>1.0999999999999999E-2</v>
      </c>
      <c r="Y2658" s="20">
        <v>1.9000000000000001E-4</v>
      </c>
      <c r="Z2658" s="21">
        <v>4601004117952</v>
      </c>
    </row>
    <row r="2659" spans="1:26" ht="12" customHeight="1" outlineLevel="4" x14ac:dyDescent="0.2">
      <c r="A2659" s="14" t="s">
        <v>5211</v>
      </c>
      <c r="B2659" s="26" t="s">
        <v>5210</v>
      </c>
      <c r="C2659" s="52"/>
      <c r="D2659" s="55">
        <f t="shared" si="41"/>
        <v>0</v>
      </c>
      <c r="E2659" s="63" t="str">
        <f>HYPERLINK("https://www.sds-group.ru/product/vyklyuchatel-klavishnyy-250v-6a-4s-vkl-vykl-krasnyy-s-podsvetkoy-mini-1-sht-up-rexant-06-0300-A/", "Инфо")</f>
        <v>Инфо</v>
      </c>
      <c r="F2659" s="16" t="s">
        <v>39</v>
      </c>
      <c r="G2659" s="15"/>
      <c r="H2659" s="15"/>
      <c r="I2659" s="15"/>
      <c r="J2659" s="17">
        <v>115</v>
      </c>
      <c r="K2659" s="15"/>
      <c r="L2659" s="17">
        <v>5</v>
      </c>
      <c r="M2659" s="17">
        <v>10</v>
      </c>
      <c r="N2659" s="17">
        <v>5</v>
      </c>
      <c r="O2659" s="18">
        <v>132.52000000000001</v>
      </c>
      <c r="P2659" s="18">
        <v>108.62</v>
      </c>
      <c r="Q2659" s="18">
        <v>112.64</v>
      </c>
      <c r="R2659" s="18">
        <v>92.33</v>
      </c>
      <c r="S2659" s="18">
        <v>90.11</v>
      </c>
      <c r="T2659" s="18">
        <v>73.86</v>
      </c>
      <c r="U2659" s="16"/>
      <c r="V2659" s="16"/>
      <c r="W2659" s="16" t="s">
        <v>40</v>
      </c>
      <c r="X2659" s="19">
        <v>1.0999999999999999E-2</v>
      </c>
      <c r="Y2659" s="20">
        <v>1.25E-4</v>
      </c>
      <c r="Z2659" s="21">
        <v>4601004121508</v>
      </c>
    </row>
    <row r="2660" spans="1:26" ht="12" customHeight="1" outlineLevel="4" x14ac:dyDescent="0.2">
      <c r="A2660" s="14" t="s">
        <v>5212</v>
      </c>
      <c r="B2660" s="26" t="s">
        <v>5213</v>
      </c>
      <c r="C2660" s="52"/>
      <c r="D2660" s="55">
        <f t="shared" si="41"/>
        <v>0</v>
      </c>
      <c r="E2660" s="63" t="str">
        <f>HYPERLINK("https://www.sds-group.ru/product/vyklyuchatel-klavishnyy-250v-6a-4s-vkl-vykl-krasnyy-s-podsvetkoy-mini-rexant-36-2190/", "Инфо")</f>
        <v>Инфо</v>
      </c>
      <c r="F2660" s="16" t="s">
        <v>39</v>
      </c>
      <c r="G2660" s="15"/>
      <c r="H2660" s="15"/>
      <c r="I2660" s="15"/>
      <c r="J2660" s="16" t="s">
        <v>100</v>
      </c>
      <c r="K2660" s="15" t="s">
        <v>1126</v>
      </c>
      <c r="L2660" s="17">
        <v>10</v>
      </c>
      <c r="M2660" s="22">
        <v>3000</v>
      </c>
      <c r="N2660" s="17">
        <v>10</v>
      </c>
      <c r="O2660" s="18">
        <v>77.03</v>
      </c>
      <c r="P2660" s="18">
        <v>63.14</v>
      </c>
      <c r="Q2660" s="18">
        <v>65.48</v>
      </c>
      <c r="R2660" s="18">
        <v>53.67</v>
      </c>
      <c r="S2660" s="18">
        <v>52.38</v>
      </c>
      <c r="T2660" s="18">
        <v>42.93</v>
      </c>
      <c r="U2660" s="16"/>
      <c r="V2660" s="16"/>
      <c r="W2660" s="16" t="s">
        <v>40</v>
      </c>
      <c r="X2660" s="19">
        <v>5.0000000000000001E-3</v>
      </c>
      <c r="Y2660" s="20">
        <v>1.8E-5</v>
      </c>
      <c r="Z2660" s="21">
        <v>4601004064621</v>
      </c>
    </row>
    <row r="2661" spans="1:26" ht="12" customHeight="1" outlineLevel="4" x14ac:dyDescent="0.2">
      <c r="A2661" s="32" t="s">
        <v>5214</v>
      </c>
      <c r="B2661" s="74" t="s">
        <v>5215</v>
      </c>
      <c r="C2661" s="50"/>
      <c r="D2661" s="53">
        <f t="shared" si="41"/>
        <v>0</v>
      </c>
      <c r="E2661" s="60" t="str">
        <f>HYPERLINK("https://www.sds-group.ru/product/vyklyuchatel-klavishnyy-250v-6a-4s-vkl-vykl-siniy-s-podsvetkoy-mini-rexant-36-2191/", "Инфо")</f>
        <v>Инфо</v>
      </c>
      <c r="F2661" s="34" t="s">
        <v>39</v>
      </c>
      <c r="G2661" s="33"/>
      <c r="H2661" s="33" t="s">
        <v>40</v>
      </c>
      <c r="I2661" s="33"/>
      <c r="J2661" s="39">
        <v>3710</v>
      </c>
      <c r="K2661" s="33"/>
      <c r="L2661" s="35">
        <v>10</v>
      </c>
      <c r="M2661" s="39">
        <v>3000</v>
      </c>
      <c r="N2661" s="35">
        <v>10</v>
      </c>
      <c r="O2661" s="36">
        <v>55.16</v>
      </c>
      <c r="P2661" s="36">
        <v>45.21</v>
      </c>
      <c r="Q2661" s="36">
        <v>46.89</v>
      </c>
      <c r="R2661" s="36">
        <v>38.43</v>
      </c>
      <c r="S2661" s="36">
        <v>37.51</v>
      </c>
      <c r="T2661" s="36">
        <v>30.75</v>
      </c>
      <c r="U2661" s="34"/>
      <c r="V2661" s="34"/>
      <c r="W2661" s="34" t="s">
        <v>40</v>
      </c>
      <c r="X2661" s="37">
        <v>5.0000000000000001E-3</v>
      </c>
      <c r="Y2661" s="38">
        <v>2.0999999999999999E-5</v>
      </c>
      <c r="Z2661" s="21">
        <v>4601004066267</v>
      </c>
    </row>
    <row r="2662" spans="1:26" ht="12" customHeight="1" outlineLevel="4" x14ac:dyDescent="0.2">
      <c r="A2662" s="14" t="s">
        <v>5216</v>
      </c>
      <c r="B2662" s="26" t="s">
        <v>5217</v>
      </c>
      <c r="C2662" s="52"/>
      <c r="D2662" s="55">
        <f t="shared" si="41"/>
        <v>0</v>
      </c>
      <c r="E2662" s="63" t="str">
        <f>HYPERLINK("https://www.sds-group.ru/product/vyklyuchatel-klavishnyy-250v-6a-4s-vkl-vykl-chernyy-mini-rexant-36-2146/", "Инфо")</f>
        <v>Инфо</v>
      </c>
      <c r="F2662" s="16" t="s">
        <v>39</v>
      </c>
      <c r="G2662" s="15"/>
      <c r="H2662" s="15"/>
      <c r="I2662" s="15"/>
      <c r="J2662" s="22">
        <v>6620</v>
      </c>
      <c r="K2662" s="15"/>
      <c r="L2662" s="17">
        <v>10</v>
      </c>
      <c r="M2662" s="22">
        <v>3000</v>
      </c>
      <c r="N2662" s="17">
        <v>10</v>
      </c>
      <c r="O2662" s="18">
        <v>60.11</v>
      </c>
      <c r="P2662" s="18">
        <v>49.27</v>
      </c>
      <c r="Q2662" s="18">
        <v>51.09</v>
      </c>
      <c r="R2662" s="18">
        <v>41.88</v>
      </c>
      <c r="S2662" s="18">
        <v>40.869999999999997</v>
      </c>
      <c r="T2662" s="18">
        <v>33.5</v>
      </c>
      <c r="U2662" s="16"/>
      <c r="V2662" s="16"/>
      <c r="W2662" s="16" t="s">
        <v>40</v>
      </c>
      <c r="X2662" s="19">
        <v>5.0000000000000001E-3</v>
      </c>
      <c r="Y2662" s="20">
        <v>1.5E-5</v>
      </c>
      <c r="Z2662" s="21">
        <v>4601004066137</v>
      </c>
    </row>
    <row r="2663" spans="1:26" ht="12" customHeight="1" outlineLevel="4" x14ac:dyDescent="0.2">
      <c r="A2663" s="32" t="s">
        <v>5218</v>
      </c>
      <c r="B2663" s="74" t="s">
        <v>5219</v>
      </c>
      <c r="C2663" s="50"/>
      <c r="D2663" s="53">
        <f t="shared" si="41"/>
        <v>0</v>
      </c>
      <c r="E2663" s="60" t="str">
        <f>HYPERLINK("https://www.sds-group.ru/product/vyklyuchatel-klavishnyy-250v-6a-6s-vkl-vykl-krasnyy-s-podsvetkoy-dvoynoy-mini-rexant-36-2160/", "Инфо")</f>
        <v>Инфо</v>
      </c>
      <c r="F2663" s="34" t="s">
        <v>39</v>
      </c>
      <c r="G2663" s="33"/>
      <c r="H2663" s="33" t="s">
        <v>40</v>
      </c>
      <c r="I2663" s="33"/>
      <c r="J2663" s="39">
        <v>2800</v>
      </c>
      <c r="K2663" s="33"/>
      <c r="L2663" s="35">
        <v>10</v>
      </c>
      <c r="M2663" s="39">
        <v>1000</v>
      </c>
      <c r="N2663" s="35">
        <v>10</v>
      </c>
      <c r="O2663" s="36">
        <v>105.23</v>
      </c>
      <c r="P2663" s="36">
        <v>86.25</v>
      </c>
      <c r="Q2663" s="36">
        <v>89.45</v>
      </c>
      <c r="R2663" s="36">
        <v>73.319999999999993</v>
      </c>
      <c r="S2663" s="36">
        <v>71.56</v>
      </c>
      <c r="T2663" s="36">
        <v>58.66</v>
      </c>
      <c r="U2663" s="34"/>
      <c r="V2663" s="34"/>
      <c r="W2663" s="34" t="s">
        <v>40</v>
      </c>
      <c r="X2663" s="37">
        <v>8.9999999999999993E-3</v>
      </c>
      <c r="Y2663" s="38">
        <v>2.5999999999999998E-5</v>
      </c>
      <c r="Z2663" s="21">
        <v>4601004066175</v>
      </c>
    </row>
    <row r="2664" spans="1:26" ht="12" customHeight="1" outlineLevel="4" x14ac:dyDescent="0.2">
      <c r="A2664" s="14" t="s">
        <v>5220</v>
      </c>
      <c r="B2664" s="26" t="s">
        <v>5221</v>
      </c>
      <c r="C2664" s="52"/>
      <c r="D2664" s="55">
        <f t="shared" si="41"/>
        <v>0</v>
      </c>
      <c r="E2664" s="63" t="str">
        <f>HYPERLINK("https://www.sds-group.ru/product/vyklyuchatel-klavishnyy-kruglyy-250v-3a-2s-vkl-vykl-krasnyy-mikro-rexant-36-2511/", "Инфо")</f>
        <v>Инфо</v>
      </c>
      <c r="F2664" s="16" t="s">
        <v>39</v>
      </c>
      <c r="G2664" s="15"/>
      <c r="H2664" s="15"/>
      <c r="I2664" s="15"/>
      <c r="J2664" s="22">
        <v>11460</v>
      </c>
      <c r="K2664" s="15" t="s">
        <v>1058</v>
      </c>
      <c r="L2664" s="17">
        <v>10</v>
      </c>
      <c r="M2664" s="22">
        <v>3000</v>
      </c>
      <c r="N2664" s="17">
        <v>10</v>
      </c>
      <c r="O2664" s="18">
        <v>40.840000000000003</v>
      </c>
      <c r="P2664" s="18">
        <v>33.479999999999997</v>
      </c>
      <c r="Q2664" s="18">
        <v>34.71</v>
      </c>
      <c r="R2664" s="18">
        <v>28.45</v>
      </c>
      <c r="S2664" s="18">
        <v>27.77</v>
      </c>
      <c r="T2664" s="18">
        <v>22.76</v>
      </c>
      <c r="U2664" s="16"/>
      <c r="V2664" s="16"/>
      <c r="W2664" s="16" t="s">
        <v>40</v>
      </c>
      <c r="X2664" s="19">
        <v>2E-3</v>
      </c>
      <c r="Y2664" s="20">
        <v>9.0000000000000002E-6</v>
      </c>
      <c r="Z2664" s="21">
        <v>4601004064652</v>
      </c>
    </row>
    <row r="2665" spans="1:26" ht="12" customHeight="1" outlineLevel="4" x14ac:dyDescent="0.2">
      <c r="A2665" s="14" t="s">
        <v>5222</v>
      </c>
      <c r="B2665" s="26" t="s">
        <v>5223</v>
      </c>
      <c r="C2665" s="52"/>
      <c r="D2665" s="55">
        <f t="shared" si="41"/>
        <v>0</v>
      </c>
      <c r="E2665" s="63" t="str">
        <f>HYPERLINK("https://www.sds-group.ru/product/vyklyuchatel-klavishnyy-kruglyy-250v-3a-2s-vkl-vykl-chernyy-mikro-rexant-36-2510/", "Инфо")</f>
        <v>Инфо</v>
      </c>
      <c r="F2665" s="16" t="s">
        <v>39</v>
      </c>
      <c r="G2665" s="15"/>
      <c r="H2665" s="15"/>
      <c r="I2665" s="15"/>
      <c r="J2665" s="22">
        <v>17880</v>
      </c>
      <c r="K2665" s="15" t="s">
        <v>1055</v>
      </c>
      <c r="L2665" s="17">
        <v>10</v>
      </c>
      <c r="M2665" s="22">
        <v>5000</v>
      </c>
      <c r="N2665" s="17">
        <v>10</v>
      </c>
      <c r="O2665" s="18">
        <v>38.799999999999997</v>
      </c>
      <c r="P2665" s="18">
        <v>31.8</v>
      </c>
      <c r="Q2665" s="18">
        <v>32.979999999999997</v>
      </c>
      <c r="R2665" s="18">
        <v>27.03</v>
      </c>
      <c r="S2665" s="18">
        <v>26.38</v>
      </c>
      <c r="T2665" s="18">
        <v>21.62</v>
      </c>
      <c r="U2665" s="16"/>
      <c r="V2665" s="16"/>
      <c r="W2665" s="16" t="s">
        <v>40</v>
      </c>
      <c r="X2665" s="19">
        <v>2E-3</v>
      </c>
      <c r="Y2665" s="20">
        <v>6.9999999999999999E-6</v>
      </c>
      <c r="Z2665" s="21">
        <v>4601004066564</v>
      </c>
    </row>
    <row r="2666" spans="1:26" ht="12" customHeight="1" outlineLevel="4" x14ac:dyDescent="0.2">
      <c r="A2666" s="32" t="s">
        <v>5224</v>
      </c>
      <c r="B2666" s="74" t="s">
        <v>5225</v>
      </c>
      <c r="C2666" s="50"/>
      <c r="D2666" s="53">
        <f t="shared" si="41"/>
        <v>0</v>
      </c>
      <c r="E2666" s="60" t="str">
        <f>HYPERLINK("https://www.sds-group.ru/product/vyklyuchatel-klavishnyy-kruglyy-250v-3a-3s-vkl-vykl-zheltyy-s-podsvetkoy-mikro-rexant-36-2532/", "Инфо")</f>
        <v>Инфо</v>
      </c>
      <c r="F2666" s="34" t="s">
        <v>39</v>
      </c>
      <c r="G2666" s="33"/>
      <c r="H2666" s="33" t="s">
        <v>40</v>
      </c>
      <c r="I2666" s="33"/>
      <c r="J2666" s="39">
        <v>1990</v>
      </c>
      <c r="K2666" s="33"/>
      <c r="L2666" s="35">
        <v>10</v>
      </c>
      <c r="M2666" s="39">
        <v>3000</v>
      </c>
      <c r="N2666" s="35">
        <v>10</v>
      </c>
      <c r="O2666" s="36">
        <v>59.81</v>
      </c>
      <c r="P2666" s="36">
        <v>49.02</v>
      </c>
      <c r="Q2666" s="36">
        <v>41.87</v>
      </c>
      <c r="R2666" s="36">
        <v>34.32</v>
      </c>
      <c r="S2666" s="36">
        <v>40.67</v>
      </c>
      <c r="T2666" s="36">
        <v>33.340000000000003</v>
      </c>
      <c r="U2666" s="34"/>
      <c r="V2666" s="34"/>
      <c r="W2666" s="34"/>
      <c r="X2666" s="37">
        <v>2E-3</v>
      </c>
      <c r="Y2666" s="38">
        <v>2.0000000000000002E-5</v>
      </c>
      <c r="Z2666" s="21">
        <v>4601004066618</v>
      </c>
    </row>
    <row r="2667" spans="1:26" ht="12" customHeight="1" outlineLevel="4" x14ac:dyDescent="0.2">
      <c r="A2667" s="14" t="s">
        <v>5226</v>
      </c>
      <c r="B2667" s="26" t="s">
        <v>5227</v>
      </c>
      <c r="C2667" s="52"/>
      <c r="D2667" s="55">
        <f t="shared" si="41"/>
        <v>0</v>
      </c>
      <c r="E2667" s="63" t="str">
        <f>HYPERLINK("https://www.sds-group.ru/product/vyklyuchatel-klavishnyy-kruglyy-250v-3a-3s-vkl-vykl-zelenyy-s-podsvetkoy-mikro-rexant-36-2533/", "Инфо")</f>
        <v>Инфо</v>
      </c>
      <c r="F2667" s="16" t="s">
        <v>39</v>
      </c>
      <c r="G2667" s="15"/>
      <c r="H2667" s="15"/>
      <c r="I2667" s="15"/>
      <c r="J2667" s="22">
        <v>9080</v>
      </c>
      <c r="K2667" s="15"/>
      <c r="L2667" s="17">
        <v>10</v>
      </c>
      <c r="M2667" s="22">
        <v>3000</v>
      </c>
      <c r="N2667" s="17">
        <v>10</v>
      </c>
      <c r="O2667" s="18">
        <v>76.53</v>
      </c>
      <c r="P2667" s="18">
        <v>62.73</v>
      </c>
      <c r="Q2667" s="18">
        <v>65.05</v>
      </c>
      <c r="R2667" s="18">
        <v>53.32</v>
      </c>
      <c r="S2667" s="18">
        <v>52.04</v>
      </c>
      <c r="T2667" s="18">
        <v>42.66</v>
      </c>
      <c r="U2667" s="16"/>
      <c r="V2667" s="16"/>
      <c r="W2667" s="16" t="s">
        <v>40</v>
      </c>
      <c r="X2667" s="19">
        <v>3.0000000000000001E-3</v>
      </c>
      <c r="Y2667" s="20">
        <v>1.2E-5</v>
      </c>
      <c r="Z2667" s="21">
        <v>4601004066625</v>
      </c>
    </row>
    <row r="2668" spans="1:26" ht="12" customHeight="1" outlineLevel="4" x14ac:dyDescent="0.2">
      <c r="A2668" s="14" t="s">
        <v>5228</v>
      </c>
      <c r="B2668" s="26" t="s">
        <v>5229</v>
      </c>
      <c r="C2668" s="52"/>
      <c r="D2668" s="55">
        <f t="shared" si="41"/>
        <v>0</v>
      </c>
      <c r="E2668" s="63" t="str">
        <f>HYPERLINK("https://www.sds-group.ru/product/vyklyuchatel-klavishnyy-kruglyy-250v-3a-3s-vkl-vykl-krasnyy-s-podsvetkoy-mikro-1-sht-up-re-36-2530-1/", "Инфо")</f>
        <v>Инфо</v>
      </c>
      <c r="F2668" s="16" t="s">
        <v>39</v>
      </c>
      <c r="G2668" s="15"/>
      <c r="H2668" s="15"/>
      <c r="I2668" s="15"/>
      <c r="J2668" s="16" t="s">
        <v>100</v>
      </c>
      <c r="K2668" s="15"/>
      <c r="L2668" s="17">
        <v>10</v>
      </c>
      <c r="M2668" s="17">
        <v>50</v>
      </c>
      <c r="N2668" s="17">
        <v>10</v>
      </c>
      <c r="O2668" s="18">
        <v>111.96</v>
      </c>
      <c r="P2668" s="18">
        <v>91.77</v>
      </c>
      <c r="Q2668" s="18">
        <v>95.17</v>
      </c>
      <c r="R2668" s="18">
        <v>78.010000000000005</v>
      </c>
      <c r="S2668" s="18">
        <v>76.13</v>
      </c>
      <c r="T2668" s="18">
        <v>62.4</v>
      </c>
      <c r="U2668" s="16"/>
      <c r="V2668" s="16"/>
      <c r="W2668" s="16" t="s">
        <v>40</v>
      </c>
      <c r="X2668" s="19">
        <v>1.0999999999999999E-2</v>
      </c>
      <c r="Y2668" s="20">
        <v>1.8200000000000001E-4</v>
      </c>
      <c r="Z2668" s="21">
        <v>4601004117679</v>
      </c>
    </row>
    <row r="2669" spans="1:26" ht="12" customHeight="1" outlineLevel="4" x14ac:dyDescent="0.2">
      <c r="A2669" s="14" t="s">
        <v>5230</v>
      </c>
      <c r="B2669" s="26" t="s">
        <v>5231</v>
      </c>
      <c r="C2669" s="52"/>
      <c r="D2669" s="55">
        <f t="shared" si="41"/>
        <v>0</v>
      </c>
      <c r="E2669" s="63" t="str">
        <f>HYPERLINK("https://www.sds-group.ru/product/vyklyuchatel-klavishnyy-kruglyy-250v-3a-3s-vkl-vykl-krasnyy-s-podsvetkoy-mikro-rexant-36-2530/", "Инфо")</f>
        <v>Инфо</v>
      </c>
      <c r="F2669" s="16" t="s">
        <v>39</v>
      </c>
      <c r="G2669" s="15"/>
      <c r="H2669" s="15"/>
      <c r="I2669" s="15"/>
      <c r="J2669" s="16" t="s">
        <v>100</v>
      </c>
      <c r="K2669" s="15" t="s">
        <v>1058</v>
      </c>
      <c r="L2669" s="17">
        <v>10</v>
      </c>
      <c r="M2669" s="22">
        <v>3000</v>
      </c>
      <c r="N2669" s="17">
        <v>10</v>
      </c>
      <c r="O2669" s="18">
        <v>88.36</v>
      </c>
      <c r="P2669" s="18">
        <v>72.430000000000007</v>
      </c>
      <c r="Q2669" s="18">
        <v>75.11</v>
      </c>
      <c r="R2669" s="18">
        <v>61.57</v>
      </c>
      <c r="S2669" s="18">
        <v>60.08</v>
      </c>
      <c r="T2669" s="18">
        <v>49.25</v>
      </c>
      <c r="U2669" s="16"/>
      <c r="V2669" s="16"/>
      <c r="W2669" s="16" t="s">
        <v>40</v>
      </c>
      <c r="X2669" s="19">
        <v>2E-3</v>
      </c>
      <c r="Y2669" s="20">
        <v>9.0000000000000002E-6</v>
      </c>
      <c r="Z2669" s="21">
        <v>4601004066595</v>
      </c>
    </row>
    <row r="2670" spans="1:26" ht="12" customHeight="1" outlineLevel="4" x14ac:dyDescent="0.2">
      <c r="A2670" s="32" t="s">
        <v>5232</v>
      </c>
      <c r="B2670" s="74" t="s">
        <v>5233</v>
      </c>
      <c r="C2670" s="50"/>
      <c r="D2670" s="53">
        <f t="shared" si="41"/>
        <v>0</v>
      </c>
      <c r="E2670" s="60" t="str">
        <f>HYPERLINK("https://www.sds-group.ru/product/vyklyuchatel-klavishnyy-kruglyy-250v-3a-3s-vkl-vykl-siniy-s-podsvetkoy-mikro-rexant-36-2531/", "Инфо")</f>
        <v>Инфо</v>
      </c>
      <c r="F2670" s="34" t="s">
        <v>39</v>
      </c>
      <c r="G2670" s="33"/>
      <c r="H2670" s="33" t="s">
        <v>40</v>
      </c>
      <c r="I2670" s="33"/>
      <c r="J2670" s="39">
        <v>1550</v>
      </c>
      <c r="K2670" s="33"/>
      <c r="L2670" s="35">
        <v>10</v>
      </c>
      <c r="M2670" s="39">
        <v>3000</v>
      </c>
      <c r="N2670" s="35">
        <v>10</v>
      </c>
      <c r="O2670" s="36">
        <v>76.53</v>
      </c>
      <c r="P2670" s="36">
        <v>62.73</v>
      </c>
      <c r="Q2670" s="36">
        <v>65.05</v>
      </c>
      <c r="R2670" s="36">
        <v>53.32</v>
      </c>
      <c r="S2670" s="36">
        <v>52.04</v>
      </c>
      <c r="T2670" s="36">
        <v>42.66</v>
      </c>
      <c r="U2670" s="34"/>
      <c r="V2670" s="34"/>
      <c r="W2670" s="34" t="s">
        <v>40</v>
      </c>
      <c r="X2670" s="37">
        <v>2E-3</v>
      </c>
      <c r="Y2670" s="38">
        <v>9.0000000000000002E-6</v>
      </c>
      <c r="Z2670" s="21">
        <v>4601004066601</v>
      </c>
    </row>
    <row r="2671" spans="1:26" ht="12" customHeight="1" outlineLevel="4" x14ac:dyDescent="0.2">
      <c r="A2671" s="14" t="s">
        <v>5234</v>
      </c>
      <c r="B2671" s="26" t="s">
        <v>5235</v>
      </c>
      <c r="C2671" s="52"/>
      <c r="D2671" s="55">
        <f t="shared" si="41"/>
        <v>0</v>
      </c>
      <c r="E2671" s="63" t="str">
        <f>HYPERLINK("https://www.sds-group.ru/product/vyklyuchatel-klavishnyy-kruglyy-250v-6a-2s-vkl-vykl-krasnyy-rexant-36-2560/", "Инфо")</f>
        <v>Инфо</v>
      </c>
      <c r="F2671" s="16" t="s">
        <v>39</v>
      </c>
      <c r="G2671" s="15"/>
      <c r="H2671" s="15"/>
      <c r="I2671" s="15"/>
      <c r="J2671" s="22">
        <v>15780</v>
      </c>
      <c r="K2671" s="15" t="s">
        <v>1055</v>
      </c>
      <c r="L2671" s="17">
        <v>10</v>
      </c>
      <c r="M2671" s="22">
        <v>3000</v>
      </c>
      <c r="N2671" s="17">
        <v>10</v>
      </c>
      <c r="O2671" s="18">
        <v>40.28</v>
      </c>
      <c r="P2671" s="18">
        <v>33.020000000000003</v>
      </c>
      <c r="Q2671" s="18">
        <v>34.24</v>
      </c>
      <c r="R2671" s="18">
        <v>28.07</v>
      </c>
      <c r="S2671" s="18">
        <v>27.39</v>
      </c>
      <c r="T2671" s="18">
        <v>22.45</v>
      </c>
      <c r="U2671" s="16"/>
      <c r="V2671" s="16"/>
      <c r="W2671" s="16" t="s">
        <v>40</v>
      </c>
      <c r="X2671" s="19">
        <v>5.0000000000000001E-3</v>
      </c>
      <c r="Y2671" s="20">
        <v>1.8E-5</v>
      </c>
      <c r="Z2671" s="21">
        <v>4601004066663</v>
      </c>
    </row>
    <row r="2672" spans="1:26" ht="12" customHeight="1" outlineLevel="4" x14ac:dyDescent="0.2">
      <c r="A2672" s="14" t="s">
        <v>5236</v>
      </c>
      <c r="B2672" s="26" t="s">
        <v>5237</v>
      </c>
      <c r="C2672" s="52"/>
      <c r="D2672" s="55">
        <f t="shared" si="41"/>
        <v>0</v>
      </c>
      <c r="E2672" s="63" t="str">
        <f>HYPERLINK("https://www.sds-group.ru/product/vyklyuchatel-klavishnyy-kruglyy-250v-6a-2s-vkl-vykl-chernyy-rexant-36-2550/", "Инфо")</f>
        <v>Инфо</v>
      </c>
      <c r="F2672" s="16" t="s">
        <v>39</v>
      </c>
      <c r="G2672" s="15"/>
      <c r="H2672" s="15"/>
      <c r="I2672" s="15"/>
      <c r="J2672" s="22">
        <v>54404</v>
      </c>
      <c r="K2672" s="15"/>
      <c r="L2672" s="17">
        <v>10</v>
      </c>
      <c r="M2672" s="22">
        <v>3000</v>
      </c>
      <c r="N2672" s="17">
        <v>10</v>
      </c>
      <c r="O2672" s="18">
        <v>42.3</v>
      </c>
      <c r="P2672" s="18">
        <v>34.67</v>
      </c>
      <c r="Q2672" s="18">
        <v>35.96</v>
      </c>
      <c r="R2672" s="18">
        <v>29.48</v>
      </c>
      <c r="S2672" s="18">
        <v>28.76</v>
      </c>
      <c r="T2672" s="18">
        <v>23.57</v>
      </c>
      <c r="U2672" s="16"/>
      <c r="V2672" s="16"/>
      <c r="W2672" s="16" t="s">
        <v>40</v>
      </c>
      <c r="X2672" s="19">
        <v>5.0000000000000001E-3</v>
      </c>
      <c r="Y2672" s="20">
        <v>1.4E-5</v>
      </c>
      <c r="Z2672" s="21">
        <v>4601004066656</v>
      </c>
    </row>
    <row r="2673" spans="1:26" ht="12" customHeight="1" outlineLevel="4" x14ac:dyDescent="0.2">
      <c r="A2673" s="14" t="s">
        <v>5238</v>
      </c>
      <c r="B2673" s="26" t="s">
        <v>5239</v>
      </c>
      <c r="C2673" s="52"/>
      <c r="D2673" s="55">
        <f t="shared" si="41"/>
        <v>0</v>
      </c>
      <c r="E2673" s="63" t="str">
        <f>HYPERLINK("https://www.sds-group.ru/product/vyklyuchatel-klavishnyy-kruglyy-250v-6a-3c-vkl-vykl-siniy-s-podsvetkoy-i-vlagozaschitoy-rexa-36-2596/", "Инфо")</f>
        <v>Инфо</v>
      </c>
      <c r="F2673" s="16" t="s">
        <v>39</v>
      </c>
      <c r="G2673" s="15"/>
      <c r="H2673" s="15"/>
      <c r="I2673" s="15"/>
      <c r="J2673" s="16" t="s">
        <v>100</v>
      </c>
      <c r="K2673" s="15" t="s">
        <v>883</v>
      </c>
      <c r="L2673" s="17">
        <v>10</v>
      </c>
      <c r="M2673" s="22">
        <v>1000</v>
      </c>
      <c r="N2673" s="17">
        <v>10</v>
      </c>
      <c r="O2673" s="18">
        <v>207.87</v>
      </c>
      <c r="P2673" s="18">
        <v>170.39</v>
      </c>
      <c r="Q2673" s="18">
        <v>176.69</v>
      </c>
      <c r="R2673" s="18">
        <v>144.83000000000001</v>
      </c>
      <c r="S2673" s="18">
        <v>141.35</v>
      </c>
      <c r="T2673" s="18">
        <v>115.86</v>
      </c>
      <c r="U2673" s="16"/>
      <c r="V2673" s="16"/>
      <c r="W2673" s="16" t="s">
        <v>40</v>
      </c>
      <c r="X2673" s="19">
        <v>8.0000000000000002E-3</v>
      </c>
      <c r="Y2673" s="20">
        <v>2.5000000000000001E-5</v>
      </c>
      <c r="Z2673" s="21">
        <v>4601004066809</v>
      </c>
    </row>
    <row r="2674" spans="1:26" ht="12" customHeight="1" outlineLevel="4" x14ac:dyDescent="0.2">
      <c r="A2674" s="32" t="s">
        <v>5240</v>
      </c>
      <c r="B2674" s="74" t="s">
        <v>5241</v>
      </c>
      <c r="C2674" s="50"/>
      <c r="D2674" s="53">
        <f t="shared" si="41"/>
        <v>0</v>
      </c>
      <c r="E2674" s="60" t="str">
        <f>HYPERLINK("https://www.sds-group.ru/product/vyklyuchatel-klavishnyy-kruglyy-250v-6a-3s-vkl-vykl-zheltyy-s-podsvetkoy-rexant-36-2572/", "Инфо")</f>
        <v>Инфо</v>
      </c>
      <c r="F2674" s="34" t="s">
        <v>39</v>
      </c>
      <c r="G2674" s="33"/>
      <c r="H2674" s="33" t="s">
        <v>40</v>
      </c>
      <c r="I2674" s="33"/>
      <c r="J2674" s="39">
        <v>9220</v>
      </c>
      <c r="K2674" s="33"/>
      <c r="L2674" s="35">
        <v>10</v>
      </c>
      <c r="M2674" s="39">
        <v>3000</v>
      </c>
      <c r="N2674" s="35">
        <v>10</v>
      </c>
      <c r="O2674" s="36">
        <v>56.75</v>
      </c>
      <c r="P2674" s="36">
        <v>46.52</v>
      </c>
      <c r="Q2674" s="36">
        <v>39.729999999999997</v>
      </c>
      <c r="R2674" s="36">
        <v>32.57</v>
      </c>
      <c r="S2674" s="36">
        <v>38.590000000000003</v>
      </c>
      <c r="T2674" s="36">
        <v>31.63</v>
      </c>
      <c r="U2674" s="34"/>
      <c r="V2674" s="34"/>
      <c r="W2674" s="34"/>
      <c r="X2674" s="37">
        <v>5.0000000000000001E-3</v>
      </c>
      <c r="Y2674" s="38">
        <v>1.5E-5</v>
      </c>
      <c r="Z2674" s="21">
        <v>4601004066687</v>
      </c>
    </row>
    <row r="2675" spans="1:26" ht="12" customHeight="1" outlineLevel="4" x14ac:dyDescent="0.2">
      <c r="A2675" s="14" t="s">
        <v>5242</v>
      </c>
      <c r="B2675" s="26" t="s">
        <v>5243</v>
      </c>
      <c r="C2675" s="52"/>
      <c r="D2675" s="55">
        <f t="shared" si="41"/>
        <v>0</v>
      </c>
      <c r="E2675" s="63" t="str">
        <f>HYPERLINK("https://www.sds-group.ru/product/vyklyuchatel-klavishnyy-kruglyy-250v-6a-3s-vkl-vykl-zelenyy-s-podsvetkoy-rexant-36-2573/", "Инфо")</f>
        <v>Инфо</v>
      </c>
      <c r="F2675" s="16" t="s">
        <v>39</v>
      </c>
      <c r="G2675" s="15"/>
      <c r="H2675" s="15"/>
      <c r="I2675" s="15"/>
      <c r="J2675" s="22">
        <v>37087</v>
      </c>
      <c r="K2675" s="15"/>
      <c r="L2675" s="17">
        <v>10</v>
      </c>
      <c r="M2675" s="22">
        <v>3000</v>
      </c>
      <c r="N2675" s="17">
        <v>10</v>
      </c>
      <c r="O2675" s="18">
        <v>56.75</v>
      </c>
      <c r="P2675" s="18">
        <v>46.52</v>
      </c>
      <c r="Q2675" s="18">
        <v>48.24</v>
      </c>
      <c r="R2675" s="18">
        <v>39.54</v>
      </c>
      <c r="S2675" s="18">
        <v>38.590000000000003</v>
      </c>
      <c r="T2675" s="18">
        <v>31.63</v>
      </c>
      <c r="U2675" s="16"/>
      <c r="V2675" s="16"/>
      <c r="W2675" s="16" t="s">
        <v>40</v>
      </c>
      <c r="X2675" s="19">
        <v>5.0000000000000001E-3</v>
      </c>
      <c r="Y2675" s="20">
        <v>1.5E-5</v>
      </c>
      <c r="Z2675" s="21">
        <v>4601004066694</v>
      </c>
    </row>
    <row r="2676" spans="1:26" ht="12" customHeight="1" outlineLevel="4" x14ac:dyDescent="0.2">
      <c r="A2676" s="14" t="s">
        <v>5244</v>
      </c>
      <c r="B2676" s="26" t="s">
        <v>5245</v>
      </c>
      <c r="C2676" s="52"/>
      <c r="D2676" s="55">
        <f t="shared" si="41"/>
        <v>0</v>
      </c>
      <c r="E2676" s="63" t="str">
        <f>HYPERLINK("https://www.sds-group.ru/product/vyklyuchatel-klavishnyy-kruglyy-250v-6a-3s-vkl-vykl-krasnyy-s-podsvetkoy-rexant-36-2570/", "Инфо")</f>
        <v>Инфо</v>
      </c>
      <c r="F2676" s="16" t="s">
        <v>39</v>
      </c>
      <c r="G2676" s="15"/>
      <c r="H2676" s="15"/>
      <c r="I2676" s="15"/>
      <c r="J2676" s="22">
        <v>14431</v>
      </c>
      <c r="K2676" s="15" t="s">
        <v>1055</v>
      </c>
      <c r="L2676" s="17">
        <v>10</v>
      </c>
      <c r="M2676" s="22">
        <v>3000</v>
      </c>
      <c r="N2676" s="17">
        <v>10</v>
      </c>
      <c r="O2676" s="18">
        <v>71.52</v>
      </c>
      <c r="P2676" s="18">
        <v>58.62</v>
      </c>
      <c r="Q2676" s="18">
        <v>60.79</v>
      </c>
      <c r="R2676" s="18">
        <v>49.83</v>
      </c>
      <c r="S2676" s="18">
        <v>48.63</v>
      </c>
      <c r="T2676" s="18">
        <v>39.86</v>
      </c>
      <c r="U2676" s="16"/>
      <c r="V2676" s="16"/>
      <c r="W2676" s="16" t="s">
        <v>40</v>
      </c>
      <c r="X2676" s="19">
        <v>6.0000000000000001E-3</v>
      </c>
      <c r="Y2676" s="20">
        <v>1.5E-5</v>
      </c>
      <c r="Z2676" s="21">
        <v>4601004064669</v>
      </c>
    </row>
    <row r="2677" spans="1:26" ht="12" customHeight="1" outlineLevel="4" x14ac:dyDescent="0.2">
      <c r="A2677" s="14" t="s">
        <v>5246</v>
      </c>
      <c r="B2677" s="26" t="s">
        <v>5247</v>
      </c>
      <c r="C2677" s="52"/>
      <c r="D2677" s="55">
        <f t="shared" si="41"/>
        <v>0</v>
      </c>
      <c r="E2677" s="63" t="str">
        <f>HYPERLINK("https://www.sds-group.ru/product/vyklyuchatel-klavishnyy-kruglyy-250v-6a-3s-vkl-vykl-krasnyy-s-podsvetkoy-i-vlagozaschitoy-re-36-2595/", "Инфо")</f>
        <v>Инфо</v>
      </c>
      <c r="F2677" s="16" t="s">
        <v>39</v>
      </c>
      <c r="G2677" s="15"/>
      <c r="H2677" s="15"/>
      <c r="I2677" s="15"/>
      <c r="J2677" s="22">
        <v>6380</v>
      </c>
      <c r="K2677" s="15"/>
      <c r="L2677" s="17">
        <v>10</v>
      </c>
      <c r="M2677" s="22">
        <v>2000</v>
      </c>
      <c r="N2677" s="17">
        <v>10</v>
      </c>
      <c r="O2677" s="18">
        <v>207.87</v>
      </c>
      <c r="P2677" s="18">
        <v>170.39</v>
      </c>
      <c r="Q2677" s="18">
        <v>176.69</v>
      </c>
      <c r="R2677" s="18">
        <v>144.83000000000001</v>
      </c>
      <c r="S2677" s="18">
        <v>141.35</v>
      </c>
      <c r="T2677" s="18">
        <v>115.86</v>
      </c>
      <c r="U2677" s="16"/>
      <c r="V2677" s="16"/>
      <c r="W2677" s="16" t="s">
        <v>40</v>
      </c>
      <c r="X2677" s="19">
        <v>4.0000000000000001E-3</v>
      </c>
      <c r="Y2677" s="20">
        <v>2.0999999999999999E-5</v>
      </c>
      <c r="Z2677" s="21">
        <v>4601004066793</v>
      </c>
    </row>
    <row r="2678" spans="1:26" ht="12" customHeight="1" outlineLevel="4" x14ac:dyDescent="0.2">
      <c r="A2678" s="14" t="s">
        <v>5248</v>
      </c>
      <c r="B2678" s="26" t="s">
        <v>5249</v>
      </c>
      <c r="C2678" s="52"/>
      <c r="D2678" s="55">
        <f t="shared" si="41"/>
        <v>0</v>
      </c>
      <c r="E2678" s="63" t="str">
        <f>HYPERLINK("https://www.sds-group.ru/product/vyklyuchatel-klavishnyy-kruglyy-250v-6a-3s-vkl-vykl-siniy-s-podsvetkoy-rexant-36-2571/", "Инфо")</f>
        <v>Инфо</v>
      </c>
      <c r="F2678" s="16" t="s">
        <v>39</v>
      </c>
      <c r="G2678" s="15"/>
      <c r="H2678" s="15"/>
      <c r="I2678" s="15"/>
      <c r="J2678" s="22">
        <v>32480</v>
      </c>
      <c r="K2678" s="15"/>
      <c r="L2678" s="17">
        <v>10</v>
      </c>
      <c r="M2678" s="22">
        <v>3000</v>
      </c>
      <c r="N2678" s="17">
        <v>10</v>
      </c>
      <c r="O2678" s="18">
        <v>56.75</v>
      </c>
      <c r="P2678" s="18">
        <v>46.52</v>
      </c>
      <c r="Q2678" s="18">
        <v>48.24</v>
      </c>
      <c r="R2678" s="18">
        <v>39.54</v>
      </c>
      <c r="S2678" s="18">
        <v>38.590000000000003</v>
      </c>
      <c r="T2678" s="18">
        <v>31.63</v>
      </c>
      <c r="U2678" s="16"/>
      <c r="V2678" s="16"/>
      <c r="W2678" s="16" t="s">
        <v>40</v>
      </c>
      <c r="X2678" s="19">
        <v>5.0000000000000001E-3</v>
      </c>
      <c r="Y2678" s="20">
        <v>1.5E-5</v>
      </c>
      <c r="Z2678" s="21">
        <v>4601004066670</v>
      </c>
    </row>
    <row r="2679" spans="1:26" ht="12" customHeight="1" outlineLevel="4" x14ac:dyDescent="0.2">
      <c r="A2679" s="32" t="s">
        <v>5250</v>
      </c>
      <c r="B2679" s="74" t="s">
        <v>5249</v>
      </c>
      <c r="C2679" s="50"/>
      <c r="D2679" s="53">
        <f t="shared" si="41"/>
        <v>0</v>
      </c>
      <c r="E2679" s="60" t="str">
        <f>HYPERLINK("https://www.sds-group.ru/product/vyklyuchatel-klavishnyy-kruglyy-250v-6a-3s-vkl-vykl-siniy-s-podsvetkoy-rexant-36-2601/", "Инфо")</f>
        <v>Инфо</v>
      </c>
      <c r="F2679" s="34" t="s">
        <v>39</v>
      </c>
      <c r="G2679" s="33"/>
      <c r="H2679" s="33" t="s">
        <v>40</v>
      </c>
      <c r="I2679" s="33"/>
      <c r="J2679" s="35">
        <v>130</v>
      </c>
      <c r="K2679" s="33"/>
      <c r="L2679" s="35">
        <v>10</v>
      </c>
      <c r="M2679" s="39">
        <v>2000</v>
      </c>
      <c r="N2679" s="35">
        <v>10</v>
      </c>
      <c r="O2679" s="36">
        <v>22.36</v>
      </c>
      <c r="P2679" s="36">
        <v>18.329999999999998</v>
      </c>
      <c r="Q2679" s="36">
        <v>15.65</v>
      </c>
      <c r="R2679" s="36">
        <v>12.83</v>
      </c>
      <c r="S2679" s="36">
        <v>15.2</v>
      </c>
      <c r="T2679" s="36">
        <v>12.46</v>
      </c>
      <c r="U2679" s="34"/>
      <c r="V2679" s="34"/>
      <c r="W2679" s="34"/>
      <c r="X2679" s="37">
        <v>6.0000000000000001E-3</v>
      </c>
      <c r="Y2679" s="38">
        <v>3.3000000000000003E-5</v>
      </c>
      <c r="Z2679" s="21">
        <v>4601004133310</v>
      </c>
    </row>
    <row r="2680" spans="1:26" ht="12" customHeight="1" outlineLevel="4" x14ac:dyDescent="0.2">
      <c r="A2680" s="14" t="s">
        <v>5251</v>
      </c>
      <c r="B2680" s="26" t="s">
        <v>5252</v>
      </c>
      <c r="C2680" s="52"/>
      <c r="D2680" s="55">
        <f t="shared" si="41"/>
        <v>0</v>
      </c>
      <c r="E2680" s="63" t="str">
        <f>HYPERLINK("https://www.sds-group.ru/product/pereklyuchatel-klavishnyy-250v-15a-3s-vkl-vykl-vkl-chernyy-s-neytralyu-rexant-36-2220/", "Инфо")</f>
        <v>Инфо</v>
      </c>
      <c r="F2680" s="16" t="s">
        <v>39</v>
      </c>
      <c r="G2680" s="15"/>
      <c r="H2680" s="15"/>
      <c r="I2680" s="15"/>
      <c r="J2680" s="22">
        <v>8084</v>
      </c>
      <c r="K2680" s="15" t="s">
        <v>1126</v>
      </c>
      <c r="L2680" s="17">
        <v>10</v>
      </c>
      <c r="M2680" s="22">
        <v>1250</v>
      </c>
      <c r="N2680" s="17">
        <v>10</v>
      </c>
      <c r="O2680" s="18">
        <v>93.53</v>
      </c>
      <c r="P2680" s="18">
        <v>76.66</v>
      </c>
      <c r="Q2680" s="18">
        <v>79.5</v>
      </c>
      <c r="R2680" s="18">
        <v>65.16</v>
      </c>
      <c r="S2680" s="18">
        <v>63.6</v>
      </c>
      <c r="T2680" s="18">
        <v>52.13</v>
      </c>
      <c r="U2680" s="16"/>
      <c r="V2680" s="16"/>
      <c r="W2680" s="16" t="s">
        <v>40</v>
      </c>
      <c r="X2680" s="19">
        <v>8.0000000000000002E-3</v>
      </c>
      <c r="Y2680" s="20">
        <v>2.4000000000000001E-5</v>
      </c>
      <c r="Z2680" s="21">
        <v>4601004064508</v>
      </c>
    </row>
    <row r="2681" spans="1:26" ht="12" customHeight="1" outlineLevel="4" x14ac:dyDescent="0.2">
      <c r="A2681" s="14" t="s">
        <v>5253</v>
      </c>
      <c r="B2681" s="26" t="s">
        <v>5254</v>
      </c>
      <c r="C2681" s="52"/>
      <c r="D2681" s="55">
        <f t="shared" si="41"/>
        <v>0</v>
      </c>
      <c r="E2681" s="63" t="str">
        <f>HYPERLINK("https://www.sds-group.ru/product/pereklyuchatel-klavishnyy-250v-15a-6s-vkl-vykl-vkl-chernyy-s-neytralyu-bez-fiksatsii-rexant-36-2375/", "Инфо")</f>
        <v>Инфо</v>
      </c>
      <c r="F2681" s="16" t="s">
        <v>39</v>
      </c>
      <c r="G2681" s="15"/>
      <c r="H2681" s="15"/>
      <c r="I2681" s="15"/>
      <c r="J2681" s="22">
        <v>4090</v>
      </c>
      <c r="K2681" s="15"/>
      <c r="L2681" s="17">
        <v>10</v>
      </c>
      <c r="M2681" s="17">
        <v>500</v>
      </c>
      <c r="N2681" s="17">
        <v>10</v>
      </c>
      <c r="O2681" s="18">
        <v>139.49</v>
      </c>
      <c r="P2681" s="18">
        <v>114.34</v>
      </c>
      <c r="Q2681" s="18">
        <v>118.57</v>
      </c>
      <c r="R2681" s="18">
        <v>97.19</v>
      </c>
      <c r="S2681" s="18">
        <v>94.85</v>
      </c>
      <c r="T2681" s="18">
        <v>77.75</v>
      </c>
      <c r="U2681" s="16"/>
      <c r="V2681" s="16"/>
      <c r="W2681" s="16" t="s">
        <v>40</v>
      </c>
      <c r="X2681" s="19">
        <v>1.7000000000000001E-2</v>
      </c>
      <c r="Y2681" s="20">
        <v>6.0000000000000002E-5</v>
      </c>
      <c r="Z2681" s="21">
        <v>4601004066465</v>
      </c>
    </row>
    <row r="2682" spans="1:26" ht="12" customHeight="1" outlineLevel="4" x14ac:dyDescent="0.2">
      <c r="A2682" s="14" t="s">
        <v>5255</v>
      </c>
      <c r="B2682" s="26" t="s">
        <v>5256</v>
      </c>
      <c r="C2682" s="52"/>
      <c r="D2682" s="55">
        <f t="shared" si="41"/>
        <v>0</v>
      </c>
      <c r="E2682" s="63" t="str">
        <f>HYPERLINK("https://www.sds-group.ru/product/pereklyuchatel-klavishnyy-250v-15a-6s-vkl-vkl-zelenyy-s-podsvetkoy-rexant-36-2352/", "Инфо")</f>
        <v>Инфо</v>
      </c>
      <c r="F2682" s="16" t="s">
        <v>39</v>
      </c>
      <c r="G2682" s="15"/>
      <c r="H2682" s="15"/>
      <c r="I2682" s="15"/>
      <c r="J2682" s="22">
        <v>4000</v>
      </c>
      <c r="K2682" s="15"/>
      <c r="L2682" s="17">
        <v>10</v>
      </c>
      <c r="M2682" s="17">
        <v>500</v>
      </c>
      <c r="N2682" s="17">
        <v>10</v>
      </c>
      <c r="O2682" s="18">
        <v>113.22</v>
      </c>
      <c r="P2682" s="18">
        <v>92.8</v>
      </c>
      <c r="Q2682" s="18">
        <v>96.24</v>
      </c>
      <c r="R2682" s="18">
        <v>78.89</v>
      </c>
      <c r="S2682" s="18">
        <v>76.989999999999995</v>
      </c>
      <c r="T2682" s="18">
        <v>63.11</v>
      </c>
      <c r="U2682" s="16"/>
      <c r="V2682" s="16"/>
      <c r="W2682" s="16" t="s">
        <v>40</v>
      </c>
      <c r="X2682" s="19">
        <v>1.7000000000000001E-2</v>
      </c>
      <c r="Y2682" s="20">
        <v>5.8999999999999998E-5</v>
      </c>
      <c r="Z2682" s="21">
        <v>4601004066397</v>
      </c>
    </row>
    <row r="2683" spans="1:26" ht="12" customHeight="1" outlineLevel="4" x14ac:dyDescent="0.2">
      <c r="A2683" s="14" t="s">
        <v>5257</v>
      </c>
      <c r="B2683" s="26" t="s">
        <v>5258</v>
      </c>
      <c r="C2683" s="52"/>
      <c r="D2683" s="55">
        <f t="shared" si="41"/>
        <v>0</v>
      </c>
      <c r="E2683" s="63" t="str">
        <f>HYPERLINK("https://www.sds-group.ru/product/pereklyuchatel-klavishnyy-250v-15a-6s-vkl-vkl-krasnyy-s-podsvetkoy-1-sht-up-rexant-36-2350-1/", "Инфо")</f>
        <v>Инфо</v>
      </c>
      <c r="F2683" s="16" t="s">
        <v>39</v>
      </c>
      <c r="G2683" s="15"/>
      <c r="H2683" s="15"/>
      <c r="I2683" s="15"/>
      <c r="J2683" s="17">
        <v>187</v>
      </c>
      <c r="K2683" s="15"/>
      <c r="L2683" s="17">
        <v>10</v>
      </c>
      <c r="M2683" s="17">
        <v>200</v>
      </c>
      <c r="N2683" s="17">
        <v>10</v>
      </c>
      <c r="O2683" s="18">
        <v>127.15</v>
      </c>
      <c r="P2683" s="18">
        <v>104.22</v>
      </c>
      <c r="Q2683" s="18">
        <v>108.08</v>
      </c>
      <c r="R2683" s="18">
        <v>88.59</v>
      </c>
      <c r="S2683" s="18">
        <v>86.46</v>
      </c>
      <c r="T2683" s="18">
        <v>70.87</v>
      </c>
      <c r="U2683" s="16"/>
      <c r="V2683" s="16"/>
      <c r="W2683" s="16" t="s">
        <v>40</v>
      </c>
      <c r="X2683" s="19">
        <v>1.4E-2</v>
      </c>
      <c r="Y2683" s="20">
        <v>9.3999999999999994E-5</v>
      </c>
      <c r="Z2683" s="21">
        <v>4601004117624</v>
      </c>
    </row>
    <row r="2684" spans="1:26" ht="12" customHeight="1" outlineLevel="4" x14ac:dyDescent="0.2">
      <c r="A2684" s="14" t="s">
        <v>5259</v>
      </c>
      <c r="B2684" s="26" t="s">
        <v>5260</v>
      </c>
      <c r="C2684" s="52"/>
      <c r="D2684" s="55">
        <f t="shared" si="41"/>
        <v>0</v>
      </c>
      <c r="E2684" s="63" t="str">
        <f>HYPERLINK("https://www.sds-group.ru/product/pereklyuchatel-klavishnyy-250v-15a-6s-vkl-vkl-krasnyy-s-podsvetkoy-rexant-36-2350/", "Инфо")</f>
        <v>Инфо</v>
      </c>
      <c r="F2684" s="16" t="s">
        <v>39</v>
      </c>
      <c r="G2684" s="15"/>
      <c r="H2684" s="15"/>
      <c r="I2684" s="15"/>
      <c r="J2684" s="22">
        <v>17470</v>
      </c>
      <c r="K2684" s="15"/>
      <c r="L2684" s="17">
        <v>10</v>
      </c>
      <c r="M2684" s="17">
        <v>500</v>
      </c>
      <c r="N2684" s="17">
        <v>10</v>
      </c>
      <c r="O2684" s="18">
        <v>113.22</v>
      </c>
      <c r="P2684" s="18">
        <v>92.8</v>
      </c>
      <c r="Q2684" s="18">
        <v>96.24</v>
      </c>
      <c r="R2684" s="18">
        <v>78.89</v>
      </c>
      <c r="S2684" s="18">
        <v>76.989999999999995</v>
      </c>
      <c r="T2684" s="18">
        <v>63.11</v>
      </c>
      <c r="U2684" s="16"/>
      <c r="V2684" s="16"/>
      <c r="W2684" s="16" t="s">
        <v>40</v>
      </c>
      <c r="X2684" s="19">
        <v>1.7000000000000001E-2</v>
      </c>
      <c r="Y2684" s="20">
        <v>6.0999999999999999E-5</v>
      </c>
      <c r="Z2684" s="21">
        <v>4601004064539</v>
      </c>
    </row>
    <row r="2685" spans="1:26" ht="12" customHeight="1" outlineLevel="4" x14ac:dyDescent="0.2">
      <c r="A2685" s="32" t="s">
        <v>5261</v>
      </c>
      <c r="B2685" s="74" t="s">
        <v>5262</v>
      </c>
      <c r="C2685" s="50"/>
      <c r="D2685" s="53">
        <f t="shared" si="41"/>
        <v>0</v>
      </c>
      <c r="E2685" s="60" t="str">
        <f>HYPERLINK("https://www.sds-group.ru/product/pereklyuchatel-klavishnyy-250v-15a-6s-vkl-vkl-siniy-s-podsvetkoy-rexant-36-2351/", "Инфо")</f>
        <v>Инфо</v>
      </c>
      <c r="F2685" s="34" t="s">
        <v>39</v>
      </c>
      <c r="G2685" s="33"/>
      <c r="H2685" s="33" t="s">
        <v>40</v>
      </c>
      <c r="I2685" s="33"/>
      <c r="J2685" s="39">
        <v>2350</v>
      </c>
      <c r="K2685" s="33"/>
      <c r="L2685" s="35">
        <v>10</v>
      </c>
      <c r="M2685" s="35">
        <v>500</v>
      </c>
      <c r="N2685" s="35">
        <v>10</v>
      </c>
      <c r="O2685" s="36">
        <v>112.89</v>
      </c>
      <c r="P2685" s="36">
        <v>92.53</v>
      </c>
      <c r="Q2685" s="36">
        <v>79.02</v>
      </c>
      <c r="R2685" s="36">
        <v>64.77</v>
      </c>
      <c r="S2685" s="36">
        <v>76.77</v>
      </c>
      <c r="T2685" s="36">
        <v>62.93</v>
      </c>
      <c r="U2685" s="34"/>
      <c r="V2685" s="34"/>
      <c r="W2685" s="34"/>
      <c r="X2685" s="37">
        <v>1.7000000000000001E-2</v>
      </c>
      <c r="Y2685" s="38">
        <v>6.0000000000000002E-5</v>
      </c>
      <c r="Z2685" s="21">
        <v>4601004066373</v>
      </c>
    </row>
    <row r="2686" spans="1:26" ht="12" customHeight="1" outlineLevel="4" x14ac:dyDescent="0.2">
      <c r="A2686" s="14" t="s">
        <v>5263</v>
      </c>
      <c r="B2686" s="26" t="s">
        <v>5264</v>
      </c>
      <c r="C2686" s="52"/>
      <c r="D2686" s="55">
        <f t="shared" si="41"/>
        <v>0</v>
      </c>
      <c r="E2686" s="63" t="str">
        <f>HYPERLINK("https://www.sds-group.ru/product/pereklyuchatel-klavishnyy-250v-15a-6s-vkl-vykl-vkl-zelenyy-s-podsvetkoy-i-neytralyu-rexant-36-2392/", "Инфо")</f>
        <v>Инфо</v>
      </c>
      <c r="F2686" s="16" t="s">
        <v>39</v>
      </c>
      <c r="G2686" s="15"/>
      <c r="H2686" s="15"/>
      <c r="I2686" s="15"/>
      <c r="J2686" s="22">
        <v>2730</v>
      </c>
      <c r="K2686" s="15"/>
      <c r="L2686" s="17">
        <v>10</v>
      </c>
      <c r="M2686" s="17">
        <v>500</v>
      </c>
      <c r="N2686" s="17">
        <v>10</v>
      </c>
      <c r="O2686" s="18">
        <v>139.49</v>
      </c>
      <c r="P2686" s="18">
        <v>114.34</v>
      </c>
      <c r="Q2686" s="18">
        <v>118.57</v>
      </c>
      <c r="R2686" s="18">
        <v>97.19</v>
      </c>
      <c r="S2686" s="18">
        <v>94.85</v>
      </c>
      <c r="T2686" s="18">
        <v>77.75</v>
      </c>
      <c r="U2686" s="16"/>
      <c r="V2686" s="16"/>
      <c r="W2686" s="16" t="s">
        <v>40</v>
      </c>
      <c r="X2686" s="19">
        <v>1.7000000000000001E-2</v>
      </c>
      <c r="Y2686" s="20">
        <v>5.5999999999999999E-5</v>
      </c>
      <c r="Z2686" s="21">
        <v>4601004066496</v>
      </c>
    </row>
    <row r="2687" spans="1:26" ht="12" customHeight="1" outlineLevel="4" x14ac:dyDescent="0.2">
      <c r="A2687" s="14" t="s">
        <v>5265</v>
      </c>
      <c r="B2687" s="26" t="s">
        <v>5266</v>
      </c>
      <c r="C2687" s="52"/>
      <c r="D2687" s="55">
        <f t="shared" si="41"/>
        <v>0</v>
      </c>
      <c r="E2687" s="63" t="str">
        <f>HYPERLINK("https://www.sds-group.ru/product/pereklyuchatel-klavishnyy-250v-15a-6s-vkl-vykl-vkl-krasnyy-s-podsvetkoy-i-neytralyu-rexant-36-2390/", "Инфо")</f>
        <v>Инфо</v>
      </c>
      <c r="F2687" s="16" t="s">
        <v>39</v>
      </c>
      <c r="G2687" s="15"/>
      <c r="H2687" s="15"/>
      <c r="I2687" s="15"/>
      <c r="J2687" s="22">
        <v>3000</v>
      </c>
      <c r="K2687" s="15" t="s">
        <v>1055</v>
      </c>
      <c r="L2687" s="17">
        <v>10</v>
      </c>
      <c r="M2687" s="17">
        <v>500</v>
      </c>
      <c r="N2687" s="17">
        <v>10</v>
      </c>
      <c r="O2687" s="18">
        <v>139.49</v>
      </c>
      <c r="P2687" s="18">
        <v>114.34</v>
      </c>
      <c r="Q2687" s="18">
        <v>118.57</v>
      </c>
      <c r="R2687" s="18">
        <v>97.19</v>
      </c>
      <c r="S2687" s="18">
        <v>94.85</v>
      </c>
      <c r="T2687" s="18">
        <v>77.75</v>
      </c>
      <c r="U2687" s="16"/>
      <c r="V2687" s="16"/>
      <c r="W2687" s="16" t="s">
        <v>40</v>
      </c>
      <c r="X2687" s="19">
        <v>1.7000000000000001E-2</v>
      </c>
      <c r="Y2687" s="20">
        <v>5.8E-5</v>
      </c>
      <c r="Z2687" s="21">
        <v>4601004064522</v>
      </c>
    </row>
    <row r="2688" spans="1:26" ht="12" customHeight="1" outlineLevel="4" x14ac:dyDescent="0.2">
      <c r="A2688" s="14" t="s">
        <v>5267</v>
      </c>
      <c r="B2688" s="26" t="s">
        <v>5268</v>
      </c>
      <c r="C2688" s="52"/>
      <c r="D2688" s="55">
        <f t="shared" si="41"/>
        <v>0</v>
      </c>
      <c r="E2688" s="63" t="str">
        <f>HYPERLINK("https://www.sds-group.ru/product/pereklyuchatel-klavishnyy-250v-15a-6s-vkl-vykl-vkl-chernyy-s-neytralyu-1-sht-up-rexant-06-0308-B/", "Инфо")</f>
        <v>Инфо</v>
      </c>
      <c r="F2688" s="16" t="s">
        <v>39</v>
      </c>
      <c r="G2688" s="15"/>
      <c r="H2688" s="15"/>
      <c r="I2688" s="15"/>
      <c r="J2688" s="17">
        <v>189</v>
      </c>
      <c r="K2688" s="15"/>
      <c r="L2688" s="17">
        <v>5</v>
      </c>
      <c r="M2688" s="17">
        <v>10</v>
      </c>
      <c r="N2688" s="17">
        <v>5</v>
      </c>
      <c r="O2688" s="18">
        <v>221.33</v>
      </c>
      <c r="P2688" s="18">
        <v>181.42</v>
      </c>
      <c r="Q2688" s="18">
        <v>188.13</v>
      </c>
      <c r="R2688" s="18">
        <v>154.19999999999999</v>
      </c>
      <c r="S2688" s="18">
        <v>150.5</v>
      </c>
      <c r="T2688" s="18">
        <v>123.36</v>
      </c>
      <c r="U2688" s="16"/>
      <c r="V2688" s="16"/>
      <c r="W2688" s="16" t="s">
        <v>40</v>
      </c>
      <c r="X2688" s="19">
        <v>2.4E-2</v>
      </c>
      <c r="Y2688" s="20">
        <v>2.99E-4</v>
      </c>
      <c r="Z2688" s="21">
        <v>4601004120570</v>
      </c>
    </row>
    <row r="2689" spans="1:26" ht="12" customHeight="1" outlineLevel="4" x14ac:dyDescent="0.2">
      <c r="A2689" s="14" t="s">
        <v>5269</v>
      </c>
      <c r="B2689" s="26" t="s">
        <v>5270</v>
      </c>
      <c r="C2689" s="52"/>
      <c r="D2689" s="55">
        <f t="shared" si="41"/>
        <v>0</v>
      </c>
      <c r="E2689" s="63" t="str">
        <f>HYPERLINK("https://www.sds-group.ru/product/pereklyuchatel-klavishnyy-250v-15a-6s-vkl-vykl-vkl-chernyy-s-neytralyu-rexant-36-2370/", "Инфо")</f>
        <v>Инфо</v>
      </c>
      <c r="F2689" s="16" t="s">
        <v>39</v>
      </c>
      <c r="G2689" s="15"/>
      <c r="H2689" s="15"/>
      <c r="I2689" s="15"/>
      <c r="J2689" s="22">
        <v>11140</v>
      </c>
      <c r="K2689" s="15"/>
      <c r="L2689" s="17">
        <v>10</v>
      </c>
      <c r="M2689" s="17">
        <v>500</v>
      </c>
      <c r="N2689" s="17">
        <v>10</v>
      </c>
      <c r="O2689" s="18">
        <v>132.15</v>
      </c>
      <c r="P2689" s="18">
        <v>108.32</v>
      </c>
      <c r="Q2689" s="18">
        <v>112.33</v>
      </c>
      <c r="R2689" s="18">
        <v>92.07</v>
      </c>
      <c r="S2689" s="18">
        <v>89.86</v>
      </c>
      <c r="T2689" s="18">
        <v>73.66</v>
      </c>
      <c r="U2689" s="16"/>
      <c r="V2689" s="16"/>
      <c r="W2689" s="16" t="s">
        <v>40</v>
      </c>
      <c r="X2689" s="19">
        <v>1.7000000000000001E-2</v>
      </c>
      <c r="Y2689" s="20">
        <v>6.0999999999999999E-5</v>
      </c>
      <c r="Z2689" s="21">
        <v>4601004066458</v>
      </c>
    </row>
    <row r="2690" spans="1:26" ht="12" customHeight="1" outlineLevel="4" x14ac:dyDescent="0.2">
      <c r="A2690" s="32" t="s">
        <v>5271</v>
      </c>
      <c r="B2690" s="74" t="s">
        <v>5272</v>
      </c>
      <c r="C2690" s="50"/>
      <c r="D2690" s="53">
        <f t="shared" si="41"/>
        <v>0</v>
      </c>
      <c r="E2690" s="60" t="str">
        <f>HYPERLINK("https://www.sds-group.ru/product/pereklyuchatel-klavishnyy-250v-3a-3s-vkl-vkl-krasnyy-mikro-rexant-36-2031/", "Инфо")</f>
        <v>Инфо</v>
      </c>
      <c r="F2690" s="34" t="s">
        <v>39</v>
      </c>
      <c r="G2690" s="33"/>
      <c r="H2690" s="33" t="s">
        <v>40</v>
      </c>
      <c r="I2690" s="33"/>
      <c r="J2690" s="39">
        <v>3190</v>
      </c>
      <c r="K2690" s="33"/>
      <c r="L2690" s="35">
        <v>10</v>
      </c>
      <c r="M2690" s="39">
        <v>2000</v>
      </c>
      <c r="N2690" s="35">
        <v>10</v>
      </c>
      <c r="O2690" s="36">
        <v>26.53</v>
      </c>
      <c r="P2690" s="36">
        <v>21.75</v>
      </c>
      <c r="Q2690" s="36">
        <v>18.57</v>
      </c>
      <c r="R2690" s="36">
        <v>15.22</v>
      </c>
      <c r="S2690" s="36">
        <v>18.04</v>
      </c>
      <c r="T2690" s="36">
        <v>14.79</v>
      </c>
      <c r="U2690" s="34"/>
      <c r="V2690" s="34"/>
      <c r="W2690" s="34"/>
      <c r="X2690" s="37">
        <v>2E-3</v>
      </c>
      <c r="Y2690" s="38">
        <v>6.9999999999999999E-6</v>
      </c>
      <c r="Z2690" s="21">
        <v>4601004066052</v>
      </c>
    </row>
    <row r="2691" spans="1:26" ht="12" customHeight="1" outlineLevel="4" x14ac:dyDescent="0.2">
      <c r="A2691" s="14" t="s">
        <v>5273</v>
      </c>
      <c r="B2691" s="26" t="s">
        <v>5274</v>
      </c>
      <c r="C2691" s="52"/>
      <c r="D2691" s="55">
        <f t="shared" si="41"/>
        <v>0</v>
      </c>
      <c r="E2691" s="63" t="str">
        <f>HYPERLINK("https://www.sds-group.ru/product/pereklyuchatel-klavishnyy-250v-3a-3s-vkl-vkl-chernyy-mikro-rexant-36-2030/", "Инфо")</f>
        <v>Инфо</v>
      </c>
      <c r="F2691" s="16" t="s">
        <v>39</v>
      </c>
      <c r="G2691" s="15"/>
      <c r="H2691" s="15"/>
      <c r="I2691" s="15"/>
      <c r="J2691" s="22">
        <v>9140</v>
      </c>
      <c r="K2691" s="15"/>
      <c r="L2691" s="17">
        <v>10</v>
      </c>
      <c r="M2691" s="22">
        <v>3000</v>
      </c>
      <c r="N2691" s="17">
        <v>10</v>
      </c>
      <c r="O2691" s="18">
        <v>25.29</v>
      </c>
      <c r="P2691" s="18">
        <v>20.73</v>
      </c>
      <c r="Q2691" s="18">
        <v>21.5</v>
      </c>
      <c r="R2691" s="18">
        <v>17.62</v>
      </c>
      <c r="S2691" s="18">
        <v>17.2</v>
      </c>
      <c r="T2691" s="18">
        <v>14.1</v>
      </c>
      <c r="U2691" s="16"/>
      <c r="V2691" s="16"/>
      <c r="W2691" s="16" t="s">
        <v>40</v>
      </c>
      <c r="X2691" s="19">
        <v>2E-3</v>
      </c>
      <c r="Y2691" s="20">
        <v>1.8E-5</v>
      </c>
      <c r="Z2691" s="21">
        <v>4601004067912</v>
      </c>
    </row>
    <row r="2692" spans="1:26" ht="12" customHeight="1" outlineLevel="4" x14ac:dyDescent="0.2">
      <c r="A2692" s="32" t="s">
        <v>5275</v>
      </c>
      <c r="B2692" s="74" t="s">
        <v>5276</v>
      </c>
      <c r="C2692" s="50"/>
      <c r="D2692" s="53">
        <f t="shared" si="41"/>
        <v>0</v>
      </c>
      <c r="E2692" s="60" t="str">
        <f>HYPERLINK("https://www.sds-group.ru/product/pereklyuchatel-klavishnyy-250v-6a-3s-vkl-vkl-krasnyy-mini-rexant-36-2131/", "Инфо")</f>
        <v>Инфо</v>
      </c>
      <c r="F2692" s="34" t="s">
        <v>39</v>
      </c>
      <c r="G2692" s="33"/>
      <c r="H2692" s="33" t="s">
        <v>40</v>
      </c>
      <c r="I2692" s="33"/>
      <c r="J2692" s="39">
        <v>3770</v>
      </c>
      <c r="K2692" s="33"/>
      <c r="L2692" s="35">
        <v>10</v>
      </c>
      <c r="M2692" s="39">
        <v>3000</v>
      </c>
      <c r="N2692" s="35">
        <v>10</v>
      </c>
      <c r="O2692" s="36">
        <v>42.42</v>
      </c>
      <c r="P2692" s="36">
        <v>34.770000000000003</v>
      </c>
      <c r="Q2692" s="36">
        <v>36.06</v>
      </c>
      <c r="R2692" s="36">
        <v>29.56</v>
      </c>
      <c r="S2692" s="36">
        <v>28.85</v>
      </c>
      <c r="T2692" s="36">
        <v>23.65</v>
      </c>
      <c r="U2692" s="34"/>
      <c r="V2692" s="34"/>
      <c r="W2692" s="34" t="s">
        <v>40</v>
      </c>
      <c r="X2692" s="37">
        <v>4.0000000000000001E-3</v>
      </c>
      <c r="Y2692" s="38">
        <v>1.2E-5</v>
      </c>
      <c r="Z2692" s="21">
        <v>4601004066090</v>
      </c>
    </row>
    <row r="2693" spans="1:26" ht="12" customHeight="1" outlineLevel="4" x14ac:dyDescent="0.2">
      <c r="A2693" s="14" t="s">
        <v>5277</v>
      </c>
      <c r="B2693" s="26" t="s">
        <v>5278</v>
      </c>
      <c r="C2693" s="52"/>
      <c r="D2693" s="55">
        <f t="shared" si="41"/>
        <v>0</v>
      </c>
      <c r="E2693" s="63" t="str">
        <f>HYPERLINK("https://www.sds-group.ru/product/pereklyuchatel-klavishnyy-250v-6a-3s-vkl-vkl-chernyy-mini-rexant-36-2130/", "Инфо")</f>
        <v>Инфо</v>
      </c>
      <c r="F2693" s="16" t="s">
        <v>39</v>
      </c>
      <c r="G2693" s="15"/>
      <c r="H2693" s="15"/>
      <c r="I2693" s="15"/>
      <c r="J2693" s="22">
        <v>9040</v>
      </c>
      <c r="K2693" s="15"/>
      <c r="L2693" s="17">
        <v>10</v>
      </c>
      <c r="M2693" s="22">
        <v>3000</v>
      </c>
      <c r="N2693" s="17">
        <v>10</v>
      </c>
      <c r="O2693" s="18">
        <v>40.340000000000003</v>
      </c>
      <c r="P2693" s="18">
        <v>33.07</v>
      </c>
      <c r="Q2693" s="18">
        <v>34.29</v>
      </c>
      <c r="R2693" s="18">
        <v>28.11</v>
      </c>
      <c r="S2693" s="18">
        <v>27.43</v>
      </c>
      <c r="T2693" s="18">
        <v>22.48</v>
      </c>
      <c r="U2693" s="16"/>
      <c r="V2693" s="16"/>
      <c r="W2693" s="16" t="s">
        <v>40</v>
      </c>
      <c r="X2693" s="19">
        <v>4.0000000000000001E-3</v>
      </c>
      <c r="Y2693" s="20">
        <v>1.4E-5</v>
      </c>
      <c r="Z2693" s="21">
        <v>4601004066083</v>
      </c>
    </row>
    <row r="2694" spans="1:26" ht="12" customHeight="1" outlineLevel="4" x14ac:dyDescent="0.2">
      <c r="A2694" s="14" t="s">
        <v>5279</v>
      </c>
      <c r="B2694" s="26" t="s">
        <v>5280</v>
      </c>
      <c r="C2694" s="52"/>
      <c r="D2694" s="55">
        <f t="shared" si="41"/>
        <v>0</v>
      </c>
      <c r="E2694" s="63" t="str">
        <f>HYPERLINK("https://www.sds-group.ru/product/pereklyuchatel-klavishnyy-250v-6a-3s-vkl-vykl-vkl-chernyy-s-neytralyu-mini-rexant-36-2145/", "Инфо")</f>
        <v>Инфо</v>
      </c>
      <c r="F2694" s="16" t="s">
        <v>39</v>
      </c>
      <c r="G2694" s="15"/>
      <c r="H2694" s="15"/>
      <c r="I2694" s="15"/>
      <c r="J2694" s="16" t="s">
        <v>100</v>
      </c>
      <c r="K2694" s="15" t="s">
        <v>1058</v>
      </c>
      <c r="L2694" s="17">
        <v>10</v>
      </c>
      <c r="M2694" s="22">
        <v>3000</v>
      </c>
      <c r="N2694" s="17">
        <v>10</v>
      </c>
      <c r="O2694" s="18">
        <v>47.47</v>
      </c>
      <c r="P2694" s="18">
        <v>38.909999999999997</v>
      </c>
      <c r="Q2694" s="18">
        <v>40.35</v>
      </c>
      <c r="R2694" s="18">
        <v>33.07</v>
      </c>
      <c r="S2694" s="18">
        <v>32.28</v>
      </c>
      <c r="T2694" s="18">
        <v>26.46</v>
      </c>
      <c r="U2694" s="16"/>
      <c r="V2694" s="16"/>
      <c r="W2694" s="16" t="s">
        <v>40</v>
      </c>
      <c r="X2694" s="19">
        <v>5.0000000000000001E-3</v>
      </c>
      <c r="Y2694" s="20">
        <v>1.5E-5</v>
      </c>
      <c r="Z2694" s="21">
        <v>4601004066632</v>
      </c>
    </row>
    <row r="2695" spans="1:26" ht="12.95" customHeight="1" outlineLevel="3" x14ac:dyDescent="0.2">
      <c r="A2695" s="76" t="s">
        <v>5281</v>
      </c>
      <c r="B2695" s="76"/>
      <c r="C2695" s="77"/>
      <c r="D2695" s="58"/>
      <c r="E2695" s="68"/>
      <c r="F2695" s="13"/>
      <c r="G2695" s="13"/>
      <c r="H2695" s="13"/>
      <c r="I2695" s="13"/>
      <c r="J2695" s="13"/>
      <c r="K2695" s="13"/>
      <c r="L2695" s="13"/>
      <c r="M2695" s="13"/>
      <c r="N2695" s="13"/>
      <c r="O2695" s="13"/>
      <c r="P2695" s="13"/>
      <c r="Q2695" s="13"/>
      <c r="R2695" s="13"/>
      <c r="S2695" s="13"/>
      <c r="T2695" s="13"/>
      <c r="U2695" s="13"/>
      <c r="V2695" s="13"/>
      <c r="W2695" s="13"/>
      <c r="X2695" s="13"/>
      <c r="Y2695" s="13"/>
      <c r="Z2695" s="13"/>
    </row>
    <row r="2696" spans="1:26" ht="12" customHeight="1" outlineLevel="4" x14ac:dyDescent="0.2">
      <c r="A2696" s="32" t="s">
        <v>5282</v>
      </c>
      <c r="B2696" s="74" t="s">
        <v>5283</v>
      </c>
      <c r="C2696" s="50"/>
      <c r="D2696" s="53">
        <f t="shared" si="41"/>
        <v>0</v>
      </c>
      <c r="E2696" s="60" t="str">
        <f>HYPERLINK("https://www.sds-group.ru/product/vlagozaschitnyy-kolpachok-dlya-klavishnyh-vyklyuchateley-rexant-36-2490/", "Инфо")</f>
        <v>Инфо</v>
      </c>
      <c r="F2696" s="34" t="s">
        <v>39</v>
      </c>
      <c r="G2696" s="33"/>
      <c r="H2696" s="33" t="s">
        <v>40</v>
      </c>
      <c r="I2696" s="33"/>
      <c r="J2696" s="39">
        <v>4220</v>
      </c>
      <c r="K2696" s="33"/>
      <c r="L2696" s="35">
        <v>10</v>
      </c>
      <c r="M2696" s="39">
        <v>2000</v>
      </c>
      <c r="N2696" s="35">
        <v>10</v>
      </c>
      <c r="O2696" s="36">
        <v>26.8</v>
      </c>
      <c r="P2696" s="36">
        <v>21.97</v>
      </c>
      <c r="Q2696" s="36">
        <v>22.78</v>
      </c>
      <c r="R2696" s="36">
        <v>18.670000000000002</v>
      </c>
      <c r="S2696" s="36">
        <v>18.22</v>
      </c>
      <c r="T2696" s="36">
        <v>14.93</v>
      </c>
      <c r="U2696" s="34"/>
      <c r="V2696" s="34"/>
      <c r="W2696" s="34" t="s">
        <v>40</v>
      </c>
      <c r="X2696" s="37">
        <v>4.0000000000000001E-3</v>
      </c>
      <c r="Y2696" s="38">
        <v>2.1999999999999999E-5</v>
      </c>
      <c r="Z2696" s="21">
        <v>4601004066557</v>
      </c>
    </row>
    <row r="2697" spans="1:26" ht="12.95" customHeight="1" outlineLevel="2" x14ac:dyDescent="0.2">
      <c r="A2697" s="76" t="s">
        <v>5284</v>
      </c>
      <c r="B2697" s="76"/>
      <c r="C2697" s="77"/>
      <c r="D2697" s="58"/>
      <c r="E2697" s="68"/>
      <c r="F2697" s="13"/>
      <c r="G2697" s="13"/>
      <c r="H2697" s="13"/>
      <c r="I2697" s="13"/>
      <c r="J2697" s="13"/>
      <c r="K2697" s="13"/>
      <c r="L2697" s="13"/>
      <c r="M2697" s="13"/>
      <c r="N2697" s="13"/>
      <c r="O2697" s="13"/>
      <c r="P2697" s="13"/>
      <c r="Q2697" s="13"/>
      <c r="R2697" s="13"/>
      <c r="S2697" s="13"/>
      <c r="T2697" s="13"/>
      <c r="U2697" s="13"/>
      <c r="V2697" s="13"/>
      <c r="W2697" s="13"/>
      <c r="X2697" s="13"/>
      <c r="Y2697" s="13"/>
      <c r="Z2697" s="13"/>
    </row>
    <row r="2698" spans="1:26" ht="12" customHeight="1" outlineLevel="3" x14ac:dyDescent="0.2">
      <c r="A2698" s="14" t="s">
        <v>5285</v>
      </c>
      <c r="B2698" s="26" t="s">
        <v>5286</v>
      </c>
      <c r="C2698" s="52"/>
      <c r="D2698" s="55">
        <f t="shared" ref="D2698:D2760" si="42">C2698*(O2698-O2698*$G$3)</f>
        <v>0</v>
      </c>
      <c r="E2698" s="63" t="str">
        <f>HYPERLINK("https://www.sds-group.ru/product/vyklyuchatel-knopka-250v-1-a-2s-vykl-vkl-bez-fiksatsii-zelenaya-pbs-11v-rexant-36-3042/", "Инфо")</f>
        <v>Инфо</v>
      </c>
      <c r="F2698" s="16" t="s">
        <v>39</v>
      </c>
      <c r="G2698" s="15"/>
      <c r="H2698" s="15"/>
      <c r="I2698" s="15"/>
      <c r="J2698" s="16" t="s">
        <v>100</v>
      </c>
      <c r="K2698" s="15" t="s">
        <v>1055</v>
      </c>
      <c r="L2698" s="17">
        <v>10</v>
      </c>
      <c r="M2698" s="22">
        <v>3000</v>
      </c>
      <c r="N2698" s="17">
        <v>10</v>
      </c>
      <c r="O2698" s="18">
        <v>42.15</v>
      </c>
      <c r="P2698" s="18">
        <v>34.549999999999997</v>
      </c>
      <c r="Q2698" s="18">
        <v>35.83</v>
      </c>
      <c r="R2698" s="18">
        <v>29.37</v>
      </c>
      <c r="S2698" s="18">
        <v>28.66</v>
      </c>
      <c r="T2698" s="18">
        <v>23.49</v>
      </c>
      <c r="U2698" s="16"/>
      <c r="V2698" s="16"/>
      <c r="W2698" s="16" t="s">
        <v>40</v>
      </c>
      <c r="X2698" s="19">
        <v>5.0000000000000001E-3</v>
      </c>
      <c r="Y2698" s="20">
        <v>1.4E-5</v>
      </c>
      <c r="Z2698" s="21">
        <v>4601004067066</v>
      </c>
    </row>
    <row r="2699" spans="1:26" ht="12" customHeight="1" outlineLevel="3" x14ac:dyDescent="0.2">
      <c r="A2699" s="14" t="s">
        <v>5287</v>
      </c>
      <c r="B2699" s="26" t="s">
        <v>5288</v>
      </c>
      <c r="C2699" s="52"/>
      <c r="D2699" s="55">
        <f t="shared" si="42"/>
        <v>0</v>
      </c>
      <c r="E2699" s="63" t="str">
        <f>HYPERLINK("https://www.sds-group.ru/product/vyklyuchatel-knopka-250v-1-a-2s-vykl-vkl-bez-fiksatsii-krasnaya-pbs-11v-rexant-36-3040/", "Инфо")</f>
        <v>Инфо</v>
      </c>
      <c r="F2699" s="16" t="s">
        <v>39</v>
      </c>
      <c r="G2699" s="15"/>
      <c r="H2699" s="15"/>
      <c r="I2699" s="15"/>
      <c r="J2699" s="22">
        <v>20430</v>
      </c>
      <c r="K2699" s="15"/>
      <c r="L2699" s="17">
        <v>10</v>
      </c>
      <c r="M2699" s="22">
        <v>3000</v>
      </c>
      <c r="N2699" s="17">
        <v>10</v>
      </c>
      <c r="O2699" s="18">
        <v>42.15</v>
      </c>
      <c r="P2699" s="18">
        <v>34.549999999999997</v>
      </c>
      <c r="Q2699" s="18">
        <v>35.83</v>
      </c>
      <c r="R2699" s="18">
        <v>29.37</v>
      </c>
      <c r="S2699" s="18">
        <v>28.66</v>
      </c>
      <c r="T2699" s="18">
        <v>23.49</v>
      </c>
      <c r="U2699" s="16"/>
      <c r="V2699" s="16"/>
      <c r="W2699" s="16" t="s">
        <v>40</v>
      </c>
      <c r="X2699" s="19">
        <v>5.0000000000000001E-3</v>
      </c>
      <c r="Y2699" s="20">
        <v>1.2999999999999999E-5</v>
      </c>
      <c r="Z2699" s="21">
        <v>4601004067042</v>
      </c>
    </row>
    <row r="2700" spans="1:26" ht="12" customHeight="1" outlineLevel="3" x14ac:dyDescent="0.2">
      <c r="A2700" s="14" t="s">
        <v>5289</v>
      </c>
      <c r="B2700" s="26" t="s">
        <v>5290</v>
      </c>
      <c r="C2700" s="52"/>
      <c r="D2700" s="55">
        <f t="shared" si="42"/>
        <v>0</v>
      </c>
      <c r="E2700" s="63" t="str">
        <f>HYPERLINK("https://www.sds-group.ru/product/vyklyuchatel-knopka-250v-1a-2s-vkl-vykl-belyy-pbs-17a2-dlya-nastolnoy-lampy-rexant-36-3010/", "Инфо")</f>
        <v>Инфо</v>
      </c>
      <c r="F2700" s="16" t="s">
        <v>39</v>
      </c>
      <c r="G2700" s="15"/>
      <c r="H2700" s="15"/>
      <c r="I2700" s="15"/>
      <c r="J2700" s="22">
        <v>9290</v>
      </c>
      <c r="K2700" s="15"/>
      <c r="L2700" s="17">
        <v>10</v>
      </c>
      <c r="M2700" s="22">
        <v>3000</v>
      </c>
      <c r="N2700" s="17">
        <v>10</v>
      </c>
      <c r="O2700" s="18">
        <v>50.57</v>
      </c>
      <c r="P2700" s="18">
        <v>41.45</v>
      </c>
      <c r="Q2700" s="18">
        <v>42.98</v>
      </c>
      <c r="R2700" s="18">
        <v>35.229999999999997</v>
      </c>
      <c r="S2700" s="18">
        <v>34.39</v>
      </c>
      <c r="T2700" s="18">
        <v>28.19</v>
      </c>
      <c r="U2700" s="16"/>
      <c r="V2700" s="16"/>
      <c r="W2700" s="16" t="s">
        <v>40</v>
      </c>
      <c r="X2700" s="19">
        <v>4.0000000000000001E-3</v>
      </c>
      <c r="Y2700" s="20">
        <v>1.2E-5</v>
      </c>
      <c r="Z2700" s="21">
        <v>4601004066960</v>
      </c>
    </row>
    <row r="2701" spans="1:26" ht="12" customHeight="1" outlineLevel="3" x14ac:dyDescent="0.2">
      <c r="A2701" s="32" t="s">
        <v>5291</v>
      </c>
      <c r="B2701" s="74" t="s">
        <v>5292</v>
      </c>
      <c r="C2701" s="50"/>
      <c r="D2701" s="53">
        <f t="shared" si="42"/>
        <v>0</v>
      </c>
      <c r="E2701" s="60" t="str">
        <f>HYPERLINK("https://www.sds-group.ru/product/vyklyuchatel-knopka-250v-1a-2s-vkl-vykl-zelenaya-pbs-11a-rexant-36-3032/", "Инфо")</f>
        <v>Инфо</v>
      </c>
      <c r="F2701" s="34" t="s">
        <v>39</v>
      </c>
      <c r="G2701" s="33"/>
      <c r="H2701" s="33" t="s">
        <v>40</v>
      </c>
      <c r="I2701" s="33"/>
      <c r="J2701" s="39">
        <v>4210</v>
      </c>
      <c r="K2701" s="33"/>
      <c r="L2701" s="35">
        <v>10</v>
      </c>
      <c r="M2701" s="39">
        <v>3000</v>
      </c>
      <c r="N2701" s="35">
        <v>10</v>
      </c>
      <c r="O2701" s="36">
        <v>39.46</v>
      </c>
      <c r="P2701" s="36">
        <v>32.340000000000003</v>
      </c>
      <c r="Q2701" s="36">
        <v>33.54</v>
      </c>
      <c r="R2701" s="36">
        <v>27.49</v>
      </c>
      <c r="S2701" s="36">
        <v>26.83</v>
      </c>
      <c r="T2701" s="36">
        <v>21.99</v>
      </c>
      <c r="U2701" s="34"/>
      <c r="V2701" s="34"/>
      <c r="W2701" s="34" t="s">
        <v>40</v>
      </c>
      <c r="X2701" s="37">
        <v>5.0000000000000001E-3</v>
      </c>
      <c r="Y2701" s="38">
        <v>1.2999999999999999E-5</v>
      </c>
      <c r="Z2701" s="21">
        <v>4601004067028</v>
      </c>
    </row>
    <row r="2702" spans="1:26" ht="12" customHeight="1" outlineLevel="3" x14ac:dyDescent="0.2">
      <c r="A2702" s="14" t="s">
        <v>5293</v>
      </c>
      <c r="B2702" s="26" t="s">
        <v>5294</v>
      </c>
      <c r="C2702" s="52"/>
      <c r="D2702" s="55">
        <f t="shared" si="42"/>
        <v>0</v>
      </c>
      <c r="E2702" s="63" t="str">
        <f>HYPERLINK("https://www.sds-group.ru/product/vyklyuchatel-knopka-250v-1a-2s-vkl-vykl-krasnaya-pbs-11a-rexant-36-3030/", "Инфо")</f>
        <v>Инфо</v>
      </c>
      <c r="F2702" s="16" t="s">
        <v>39</v>
      </c>
      <c r="G2702" s="15"/>
      <c r="H2702" s="15"/>
      <c r="I2702" s="15"/>
      <c r="J2702" s="22">
        <v>10960</v>
      </c>
      <c r="K2702" s="15"/>
      <c r="L2702" s="17">
        <v>10</v>
      </c>
      <c r="M2702" s="22">
        <v>3000</v>
      </c>
      <c r="N2702" s="17">
        <v>10</v>
      </c>
      <c r="O2702" s="18">
        <v>44.51</v>
      </c>
      <c r="P2702" s="18">
        <v>36.479999999999997</v>
      </c>
      <c r="Q2702" s="18">
        <v>37.83</v>
      </c>
      <c r="R2702" s="18">
        <v>31.01</v>
      </c>
      <c r="S2702" s="18">
        <v>30.27</v>
      </c>
      <c r="T2702" s="18">
        <v>24.81</v>
      </c>
      <c r="U2702" s="16"/>
      <c r="V2702" s="16"/>
      <c r="W2702" s="16" t="s">
        <v>40</v>
      </c>
      <c r="X2702" s="19">
        <v>5.0000000000000001E-3</v>
      </c>
      <c r="Y2702" s="20">
        <v>1.2999999999999999E-5</v>
      </c>
      <c r="Z2702" s="21">
        <v>4601004064683</v>
      </c>
    </row>
    <row r="2703" spans="1:26" ht="12" customHeight="1" outlineLevel="3" x14ac:dyDescent="0.2">
      <c r="A2703" s="32" t="s">
        <v>5295</v>
      </c>
      <c r="B2703" s="74" t="s">
        <v>5296</v>
      </c>
      <c r="C2703" s="50"/>
      <c r="D2703" s="53">
        <f t="shared" si="42"/>
        <v>0</v>
      </c>
      <c r="E2703" s="60" t="str">
        <f>HYPERLINK("https://www.sds-group.ru/product/vyklyuchatel-knopka-250v-1a-2s-vkl-vykl-krasnaya-pbs-16a-rexant-36-3060/", "Инфо")</f>
        <v>Инфо</v>
      </c>
      <c r="F2703" s="34" t="s">
        <v>39</v>
      </c>
      <c r="G2703" s="33"/>
      <c r="H2703" s="33" t="s">
        <v>40</v>
      </c>
      <c r="I2703" s="33"/>
      <c r="J2703" s="39">
        <v>1380</v>
      </c>
      <c r="K2703" s="33"/>
      <c r="L2703" s="35">
        <v>10</v>
      </c>
      <c r="M2703" s="39">
        <v>2000</v>
      </c>
      <c r="N2703" s="35">
        <v>10</v>
      </c>
      <c r="O2703" s="36">
        <v>117.37</v>
      </c>
      <c r="P2703" s="36">
        <v>96.2</v>
      </c>
      <c r="Q2703" s="36">
        <v>82.16</v>
      </c>
      <c r="R2703" s="36">
        <v>67.34</v>
      </c>
      <c r="S2703" s="36">
        <v>79.81</v>
      </c>
      <c r="T2703" s="36">
        <v>65.42</v>
      </c>
      <c r="U2703" s="34"/>
      <c r="V2703" s="34"/>
      <c r="W2703" s="34"/>
      <c r="X2703" s="37">
        <v>6.0000000000000001E-3</v>
      </c>
      <c r="Y2703" s="38">
        <v>1.8E-5</v>
      </c>
      <c r="Z2703" s="21">
        <v>4601004067240</v>
      </c>
    </row>
    <row r="2704" spans="1:26" ht="12" customHeight="1" outlineLevel="3" x14ac:dyDescent="0.2">
      <c r="A2704" s="32" t="s">
        <v>5297</v>
      </c>
      <c r="B2704" s="74" t="s">
        <v>5298</v>
      </c>
      <c r="C2704" s="50"/>
      <c r="D2704" s="53">
        <f t="shared" si="42"/>
        <v>0</v>
      </c>
      <c r="E2704" s="60" t="str">
        <f>HYPERLINK("https://www.sds-group.ru/product/vyklyuchatel-knopka-250v-1a-2s-vykl-vkl-bez-fiksatsii-zheltaya-mikro-pbs-33v-rexant-36-3052/", "Инфо")</f>
        <v>Инфо</v>
      </c>
      <c r="F2704" s="34" t="s">
        <v>39</v>
      </c>
      <c r="G2704" s="33"/>
      <c r="H2704" s="33" t="s">
        <v>40</v>
      </c>
      <c r="I2704" s="33"/>
      <c r="J2704" s="39">
        <v>1010</v>
      </c>
      <c r="K2704" s="33"/>
      <c r="L2704" s="35">
        <v>10</v>
      </c>
      <c r="M2704" s="39">
        <v>2000</v>
      </c>
      <c r="N2704" s="35">
        <v>10</v>
      </c>
      <c r="O2704" s="36">
        <v>100.44</v>
      </c>
      <c r="P2704" s="36">
        <v>82.33</v>
      </c>
      <c r="Q2704" s="36">
        <v>85.37</v>
      </c>
      <c r="R2704" s="36">
        <v>69.98</v>
      </c>
      <c r="S2704" s="36">
        <v>68.3</v>
      </c>
      <c r="T2704" s="36">
        <v>55.98</v>
      </c>
      <c r="U2704" s="34"/>
      <c r="V2704" s="34"/>
      <c r="W2704" s="34" t="s">
        <v>40</v>
      </c>
      <c r="X2704" s="37">
        <v>4.0000000000000001E-3</v>
      </c>
      <c r="Y2704" s="38">
        <v>1.1E-5</v>
      </c>
      <c r="Z2704" s="21">
        <v>4601004067103</v>
      </c>
    </row>
    <row r="2705" spans="1:26" ht="12" customHeight="1" outlineLevel="3" x14ac:dyDescent="0.2">
      <c r="A2705" s="14" t="s">
        <v>5299</v>
      </c>
      <c r="B2705" s="26" t="s">
        <v>5300</v>
      </c>
      <c r="C2705" s="52"/>
      <c r="D2705" s="55">
        <f t="shared" si="42"/>
        <v>0</v>
      </c>
      <c r="E2705" s="63" t="str">
        <f>HYPERLINK("https://www.sds-group.ru/product/vyklyuchatel-knopka-250v-1a-2s-vykl-vkl-bez-fiksatsii-zelenaya-mikro-pbs-33v-rexant-36-3053/", "Инфо")</f>
        <v>Инфо</v>
      </c>
      <c r="F2705" s="16" t="s">
        <v>39</v>
      </c>
      <c r="G2705" s="15"/>
      <c r="H2705" s="15"/>
      <c r="I2705" s="15"/>
      <c r="J2705" s="22">
        <v>3860</v>
      </c>
      <c r="K2705" s="15"/>
      <c r="L2705" s="17">
        <v>10</v>
      </c>
      <c r="M2705" s="22">
        <v>2000</v>
      </c>
      <c r="N2705" s="17">
        <v>10</v>
      </c>
      <c r="O2705" s="18">
        <v>108.48</v>
      </c>
      <c r="P2705" s="18">
        <v>88.92</v>
      </c>
      <c r="Q2705" s="18">
        <v>92.21</v>
      </c>
      <c r="R2705" s="18">
        <v>75.58</v>
      </c>
      <c r="S2705" s="18">
        <v>73.77</v>
      </c>
      <c r="T2705" s="18">
        <v>60.47</v>
      </c>
      <c r="U2705" s="16"/>
      <c r="V2705" s="16"/>
      <c r="W2705" s="16" t="s">
        <v>40</v>
      </c>
      <c r="X2705" s="19">
        <v>4.0000000000000001E-3</v>
      </c>
      <c r="Y2705" s="20">
        <v>1.2E-5</v>
      </c>
      <c r="Z2705" s="21">
        <v>4601004067110</v>
      </c>
    </row>
    <row r="2706" spans="1:26" ht="12" customHeight="1" outlineLevel="3" x14ac:dyDescent="0.2">
      <c r="A2706" s="14" t="s">
        <v>5301</v>
      </c>
      <c r="B2706" s="26" t="s">
        <v>5302</v>
      </c>
      <c r="C2706" s="52"/>
      <c r="D2706" s="55">
        <f t="shared" si="42"/>
        <v>0</v>
      </c>
      <c r="E2706" s="63" t="str">
        <f>HYPERLINK("https://www.sds-group.ru/product/vyklyuchatel-knopka-250v-1a-2s-vykl-vkl-bez-fiksatsii-krasnaya-mikro-pbs-33v-rexant-36-3050/", "Инфо")</f>
        <v>Инфо</v>
      </c>
      <c r="F2706" s="16" t="s">
        <v>39</v>
      </c>
      <c r="G2706" s="15"/>
      <c r="H2706" s="15"/>
      <c r="I2706" s="15"/>
      <c r="J2706" s="22">
        <v>12800</v>
      </c>
      <c r="K2706" s="15"/>
      <c r="L2706" s="17">
        <v>10</v>
      </c>
      <c r="M2706" s="22">
        <v>4000</v>
      </c>
      <c r="N2706" s="17">
        <v>10</v>
      </c>
      <c r="O2706" s="18">
        <v>113.91</v>
      </c>
      <c r="P2706" s="18">
        <v>93.37</v>
      </c>
      <c r="Q2706" s="18">
        <v>96.82</v>
      </c>
      <c r="R2706" s="18">
        <v>79.36</v>
      </c>
      <c r="S2706" s="18">
        <v>77.459999999999994</v>
      </c>
      <c r="T2706" s="18">
        <v>63.49</v>
      </c>
      <c r="U2706" s="16"/>
      <c r="V2706" s="16"/>
      <c r="W2706" s="16" t="s">
        <v>40</v>
      </c>
      <c r="X2706" s="19">
        <v>4.0000000000000001E-3</v>
      </c>
      <c r="Y2706" s="20">
        <v>1.1E-5</v>
      </c>
      <c r="Z2706" s="21">
        <v>4601004064676</v>
      </c>
    </row>
    <row r="2707" spans="1:26" ht="12" customHeight="1" outlineLevel="3" x14ac:dyDescent="0.2">
      <c r="A2707" s="32" t="s">
        <v>5303</v>
      </c>
      <c r="B2707" s="74" t="s">
        <v>5304</v>
      </c>
      <c r="C2707" s="50"/>
      <c r="D2707" s="53">
        <f t="shared" si="42"/>
        <v>0</v>
      </c>
      <c r="E2707" s="60" t="str">
        <f>HYPERLINK("https://www.sds-group.ru/product/vyklyuchatel-knopka-250v-1a-2s-vykl-vkl-bez-fiksatsii-sinyaya-mikro-pbs-33v-rexant-36-3051/", "Инфо")</f>
        <v>Инфо</v>
      </c>
      <c r="F2707" s="34" t="s">
        <v>39</v>
      </c>
      <c r="G2707" s="33"/>
      <c r="H2707" s="33" t="s">
        <v>40</v>
      </c>
      <c r="I2707" s="33"/>
      <c r="J2707" s="39">
        <v>6020</v>
      </c>
      <c r="K2707" s="33"/>
      <c r="L2707" s="35">
        <v>10</v>
      </c>
      <c r="M2707" s="39">
        <v>4000</v>
      </c>
      <c r="N2707" s="35">
        <v>10</v>
      </c>
      <c r="O2707" s="36">
        <v>97.22</v>
      </c>
      <c r="P2707" s="36">
        <v>79.69</v>
      </c>
      <c r="Q2707" s="36">
        <v>68.05</v>
      </c>
      <c r="R2707" s="36">
        <v>55.78</v>
      </c>
      <c r="S2707" s="36">
        <v>66.11</v>
      </c>
      <c r="T2707" s="36">
        <v>54.19</v>
      </c>
      <c r="U2707" s="34"/>
      <c r="V2707" s="34"/>
      <c r="W2707" s="34"/>
      <c r="X2707" s="37">
        <v>4.0000000000000001E-3</v>
      </c>
      <c r="Y2707" s="38">
        <v>9.0000000000000002E-6</v>
      </c>
      <c r="Z2707" s="21">
        <v>4601004067097</v>
      </c>
    </row>
    <row r="2708" spans="1:26" ht="12" customHeight="1" outlineLevel="3" x14ac:dyDescent="0.2">
      <c r="A2708" s="32" t="s">
        <v>5305</v>
      </c>
      <c r="B2708" s="74" t="s">
        <v>5306</v>
      </c>
      <c r="C2708" s="50"/>
      <c r="D2708" s="53">
        <f t="shared" si="42"/>
        <v>0</v>
      </c>
      <c r="E2708" s="60" t="str">
        <f>HYPERLINK("https://www.sds-group.ru/product/vyklyuchatel-knopka-250v-2-5a-2s-vkl-vykl-bez-fiksatsii-belyy-pbs-19s-mebelnaya-rexant-36-3020/", "Инфо")</f>
        <v>Инфо</v>
      </c>
      <c r="F2708" s="34" t="s">
        <v>39</v>
      </c>
      <c r="G2708" s="33"/>
      <c r="H2708" s="33" t="s">
        <v>40</v>
      </c>
      <c r="I2708" s="33"/>
      <c r="J2708" s="39">
        <v>1340</v>
      </c>
      <c r="K2708" s="33"/>
      <c r="L2708" s="35">
        <v>10</v>
      </c>
      <c r="M2708" s="39">
        <v>1000</v>
      </c>
      <c r="N2708" s="35">
        <v>10</v>
      </c>
      <c r="O2708" s="36">
        <v>122.98</v>
      </c>
      <c r="P2708" s="36">
        <v>100.8</v>
      </c>
      <c r="Q2708" s="36">
        <v>86.09</v>
      </c>
      <c r="R2708" s="36">
        <v>70.569999999999993</v>
      </c>
      <c r="S2708" s="36">
        <v>83.63</v>
      </c>
      <c r="T2708" s="36">
        <v>68.55</v>
      </c>
      <c r="U2708" s="34"/>
      <c r="V2708" s="34"/>
      <c r="W2708" s="34"/>
      <c r="X2708" s="37">
        <v>5.0000000000000001E-3</v>
      </c>
      <c r="Y2708" s="38">
        <v>3.0000000000000001E-5</v>
      </c>
      <c r="Z2708" s="21">
        <v>4601004066991</v>
      </c>
    </row>
    <row r="2709" spans="1:26" ht="12" customHeight="1" outlineLevel="3" x14ac:dyDescent="0.2">
      <c r="A2709" s="14" t="s">
        <v>5307</v>
      </c>
      <c r="B2709" s="26" t="s">
        <v>5308</v>
      </c>
      <c r="C2709" s="52"/>
      <c r="D2709" s="55">
        <f t="shared" si="42"/>
        <v>0</v>
      </c>
      <c r="E2709" s="63" t="str">
        <f>HYPERLINK("https://www.sds-group.ru/product/vyklyuchatel-knopka-250v-2a-2s-vkl-vykl-belyy-pbs-17a-dlya-nastolnoy-lampy-rexant-36-3012/", "Инфо")</f>
        <v>Инфо</v>
      </c>
      <c r="F2709" s="16" t="s">
        <v>39</v>
      </c>
      <c r="G2709" s="15"/>
      <c r="H2709" s="15"/>
      <c r="I2709" s="15"/>
      <c r="J2709" s="16" t="s">
        <v>100</v>
      </c>
      <c r="K2709" s="15" t="s">
        <v>883</v>
      </c>
      <c r="L2709" s="17">
        <v>10</v>
      </c>
      <c r="M2709" s="22">
        <v>2000</v>
      </c>
      <c r="N2709" s="17">
        <v>10</v>
      </c>
      <c r="O2709" s="18">
        <v>112.41</v>
      </c>
      <c r="P2709" s="18">
        <v>92.14</v>
      </c>
      <c r="Q2709" s="18">
        <v>95.55</v>
      </c>
      <c r="R2709" s="18">
        <v>78.319999999999993</v>
      </c>
      <c r="S2709" s="18">
        <v>76.44</v>
      </c>
      <c r="T2709" s="18">
        <v>62.66</v>
      </c>
      <c r="U2709" s="16"/>
      <c r="V2709" s="16"/>
      <c r="W2709" s="16" t="s">
        <v>40</v>
      </c>
      <c r="X2709" s="19">
        <v>5.0000000000000001E-3</v>
      </c>
      <c r="Y2709" s="20">
        <v>1.4E-5</v>
      </c>
      <c r="Z2709" s="21">
        <v>4601004066984</v>
      </c>
    </row>
    <row r="2710" spans="1:26" ht="12" customHeight="1" outlineLevel="3" x14ac:dyDescent="0.2">
      <c r="A2710" s="32" t="s">
        <v>5309</v>
      </c>
      <c r="B2710" s="74" t="s">
        <v>5310</v>
      </c>
      <c r="C2710" s="50"/>
      <c r="D2710" s="53">
        <f t="shared" si="42"/>
        <v>0</v>
      </c>
      <c r="E2710" s="60" t="str">
        <f>HYPERLINK("https://www.sds-group.ru/product/vyklyuchatel-knopka-250v-2a-2s-vkl-vykl-zelenaya-mikro-pbs-20a-rexant-36-3073/", "Инфо")</f>
        <v>Инфо</v>
      </c>
      <c r="F2710" s="34" t="s">
        <v>39</v>
      </c>
      <c r="G2710" s="33"/>
      <c r="H2710" s="33" t="s">
        <v>40</v>
      </c>
      <c r="I2710" s="33"/>
      <c r="J2710" s="39">
        <v>1747</v>
      </c>
      <c r="K2710" s="33"/>
      <c r="L2710" s="35">
        <v>10</v>
      </c>
      <c r="M2710" s="39">
        <v>3000</v>
      </c>
      <c r="N2710" s="35">
        <v>10</v>
      </c>
      <c r="O2710" s="36">
        <v>78.59</v>
      </c>
      <c r="P2710" s="36">
        <v>64.42</v>
      </c>
      <c r="Q2710" s="36">
        <v>66.8</v>
      </c>
      <c r="R2710" s="36">
        <v>54.75</v>
      </c>
      <c r="S2710" s="36">
        <v>53.44</v>
      </c>
      <c r="T2710" s="36">
        <v>43.8</v>
      </c>
      <c r="U2710" s="34"/>
      <c r="V2710" s="34"/>
      <c r="W2710" s="34" t="s">
        <v>40</v>
      </c>
      <c r="X2710" s="37">
        <v>3.0000000000000001E-3</v>
      </c>
      <c r="Y2710" s="38">
        <v>1.4E-5</v>
      </c>
      <c r="Z2710" s="21">
        <v>4601004067165</v>
      </c>
    </row>
    <row r="2711" spans="1:26" ht="12" customHeight="1" outlineLevel="3" x14ac:dyDescent="0.2">
      <c r="A2711" s="14" t="s">
        <v>5311</v>
      </c>
      <c r="B2711" s="26" t="s">
        <v>5312</v>
      </c>
      <c r="C2711" s="52"/>
      <c r="D2711" s="55">
        <f t="shared" si="42"/>
        <v>0</v>
      </c>
      <c r="E2711" s="63" t="str">
        <f>HYPERLINK("https://www.sds-group.ru/product/vyklyuchatel-knopka-250v-2a-2s-vkl-vykl-krasnaya-mikro-pbs-20a-rexant-36-3070/", "Инфо")</f>
        <v>Инфо</v>
      </c>
      <c r="F2711" s="16" t="s">
        <v>39</v>
      </c>
      <c r="G2711" s="15"/>
      <c r="H2711" s="15"/>
      <c r="I2711" s="15"/>
      <c r="J2711" s="22">
        <v>2420</v>
      </c>
      <c r="K2711" s="15" t="s">
        <v>1058</v>
      </c>
      <c r="L2711" s="17">
        <v>10</v>
      </c>
      <c r="M2711" s="22">
        <v>3000</v>
      </c>
      <c r="N2711" s="17">
        <v>10</v>
      </c>
      <c r="O2711" s="18">
        <v>91.93</v>
      </c>
      <c r="P2711" s="18">
        <v>75.349999999999994</v>
      </c>
      <c r="Q2711" s="18">
        <v>78.14</v>
      </c>
      <c r="R2711" s="18">
        <v>64.05</v>
      </c>
      <c r="S2711" s="18">
        <v>62.51</v>
      </c>
      <c r="T2711" s="18">
        <v>51.24</v>
      </c>
      <c r="U2711" s="16"/>
      <c r="V2711" s="16"/>
      <c r="W2711" s="16" t="s">
        <v>40</v>
      </c>
      <c r="X2711" s="19">
        <v>4.0000000000000001E-3</v>
      </c>
      <c r="Y2711" s="20">
        <v>7.9999999999999996E-6</v>
      </c>
      <c r="Z2711" s="21">
        <v>4601004067134</v>
      </c>
    </row>
    <row r="2712" spans="1:26" ht="12" customHeight="1" outlineLevel="3" x14ac:dyDescent="0.2">
      <c r="A2712" s="14" t="s">
        <v>5313</v>
      </c>
      <c r="B2712" s="26" t="s">
        <v>5314</v>
      </c>
      <c r="C2712" s="52"/>
      <c r="D2712" s="55">
        <f t="shared" si="42"/>
        <v>0</v>
      </c>
      <c r="E2712" s="63" t="str">
        <f>HYPERLINK("https://www.sds-group.ru/product/vyklyuchatel-knopka-metall-220v-2a-2s-vykl-vkl-10-2-krasnaya-mini-rwd-213-rexant-36-3331/", "Инфо")</f>
        <v>Инфо</v>
      </c>
      <c r="F2712" s="16" t="s">
        <v>39</v>
      </c>
      <c r="G2712" s="15"/>
      <c r="H2712" s="15"/>
      <c r="I2712" s="15"/>
      <c r="J2712" s="22">
        <v>7920</v>
      </c>
      <c r="K2712" s="15" t="s">
        <v>1055</v>
      </c>
      <c r="L2712" s="17">
        <v>10</v>
      </c>
      <c r="M2712" s="22">
        <v>3000</v>
      </c>
      <c r="N2712" s="17">
        <v>10</v>
      </c>
      <c r="O2712" s="18">
        <v>39.5</v>
      </c>
      <c r="P2712" s="18">
        <v>32.380000000000003</v>
      </c>
      <c r="Q2712" s="18">
        <v>33.58</v>
      </c>
      <c r="R2712" s="18">
        <v>27.52</v>
      </c>
      <c r="S2712" s="18">
        <v>26.86</v>
      </c>
      <c r="T2712" s="18">
        <v>22.02</v>
      </c>
      <c r="U2712" s="16"/>
      <c r="V2712" s="16"/>
      <c r="W2712" s="16" t="s">
        <v>40</v>
      </c>
      <c r="X2712" s="19">
        <v>4.0000000000000001E-3</v>
      </c>
      <c r="Y2712" s="20">
        <v>6.9999999999999999E-6</v>
      </c>
      <c r="Z2712" s="21">
        <v>4601004067332</v>
      </c>
    </row>
    <row r="2713" spans="1:26" ht="12" customHeight="1" outlineLevel="3" x14ac:dyDescent="0.2">
      <c r="A2713" s="14" t="s">
        <v>5315</v>
      </c>
      <c r="B2713" s="26" t="s">
        <v>5316</v>
      </c>
      <c r="C2713" s="52"/>
      <c r="D2713" s="55">
        <f t="shared" si="42"/>
        <v>0</v>
      </c>
      <c r="E2713" s="63" t="str">
        <f>HYPERLINK("https://www.sds-group.ru/product/vyklyuchatel-knopka-metall-220v-2a-2s-vykl-vkl-10-2-chernaya-mini-rwd-213-rexant-36-3330/", "Инфо")</f>
        <v>Инфо</v>
      </c>
      <c r="F2713" s="16" t="s">
        <v>39</v>
      </c>
      <c r="G2713" s="15"/>
      <c r="H2713" s="15"/>
      <c r="I2713" s="15"/>
      <c r="J2713" s="16" t="s">
        <v>100</v>
      </c>
      <c r="K2713" s="15" t="s">
        <v>1126</v>
      </c>
      <c r="L2713" s="17">
        <v>10</v>
      </c>
      <c r="M2713" s="22">
        <v>5000</v>
      </c>
      <c r="N2713" s="17">
        <v>10</v>
      </c>
      <c r="O2713" s="18">
        <v>43.26</v>
      </c>
      <c r="P2713" s="18">
        <v>35.46</v>
      </c>
      <c r="Q2713" s="18">
        <v>36.770000000000003</v>
      </c>
      <c r="R2713" s="18">
        <v>30.14</v>
      </c>
      <c r="S2713" s="18">
        <v>29.42</v>
      </c>
      <c r="T2713" s="18">
        <v>24.11</v>
      </c>
      <c r="U2713" s="16"/>
      <c r="V2713" s="16"/>
      <c r="W2713" s="16" t="s">
        <v>40</v>
      </c>
      <c r="X2713" s="19">
        <v>4.0000000000000001E-3</v>
      </c>
      <c r="Y2713" s="20">
        <v>5.0000000000000004E-6</v>
      </c>
      <c r="Z2713" s="21">
        <v>4601004067325</v>
      </c>
    </row>
    <row r="2714" spans="1:26" ht="12" customHeight="1" outlineLevel="3" x14ac:dyDescent="0.2">
      <c r="A2714" s="14" t="s">
        <v>5317</v>
      </c>
      <c r="B2714" s="26" t="s">
        <v>5318</v>
      </c>
      <c r="C2714" s="52"/>
      <c r="D2714" s="55">
        <f t="shared" si="42"/>
        <v>0</v>
      </c>
      <c r="E2714" s="63" t="str">
        <f>HYPERLINK("https://www.sds-group.ru/product/vyklyuchatel-knopka-metall-220v-2a-2s-vykl-vkl-7-2-krasnaya-mikro-rwd-301-pbs-10b-rexant-36-3310/", "Инфо")</f>
        <v>Инфо</v>
      </c>
      <c r="F2714" s="16" t="s">
        <v>39</v>
      </c>
      <c r="G2714" s="15"/>
      <c r="H2714" s="15"/>
      <c r="I2714" s="15"/>
      <c r="J2714" s="22">
        <v>4940</v>
      </c>
      <c r="K2714" s="15"/>
      <c r="L2714" s="17">
        <v>10</v>
      </c>
      <c r="M2714" s="22">
        <v>3000</v>
      </c>
      <c r="N2714" s="17">
        <v>10</v>
      </c>
      <c r="O2714" s="18">
        <v>57.97</v>
      </c>
      <c r="P2714" s="18">
        <v>47.52</v>
      </c>
      <c r="Q2714" s="18">
        <v>49.27</v>
      </c>
      <c r="R2714" s="18">
        <v>40.39</v>
      </c>
      <c r="S2714" s="18">
        <v>39.42</v>
      </c>
      <c r="T2714" s="18">
        <v>32.31</v>
      </c>
      <c r="U2714" s="16"/>
      <c r="V2714" s="16"/>
      <c r="W2714" s="16" t="s">
        <v>40</v>
      </c>
      <c r="X2714" s="19">
        <v>4.0000000000000001E-3</v>
      </c>
      <c r="Y2714" s="20">
        <v>5.0000000000000004E-6</v>
      </c>
      <c r="Z2714" s="21">
        <v>4601004067301</v>
      </c>
    </row>
    <row r="2715" spans="1:26" ht="12" customHeight="1" outlineLevel="3" x14ac:dyDescent="0.2">
      <c r="A2715" s="32" t="s">
        <v>5319</v>
      </c>
      <c r="B2715" s="74" t="s">
        <v>5320</v>
      </c>
      <c r="C2715" s="50"/>
      <c r="D2715" s="53">
        <f t="shared" si="42"/>
        <v>0</v>
      </c>
      <c r="E2715" s="60" t="str">
        <f>HYPERLINK("https://www.sds-group.ru/product/vyklyuchatel-knopka-metall-250v-2a-2s-vykl-vkl-16-2-zheltaya-rwd-306-rexant-36-3354/", "Инфо")</f>
        <v>Инфо</v>
      </c>
      <c r="F2715" s="34" t="s">
        <v>39</v>
      </c>
      <c r="G2715" s="33"/>
      <c r="H2715" s="33" t="s">
        <v>40</v>
      </c>
      <c r="I2715" s="33"/>
      <c r="J2715" s="39">
        <v>2167</v>
      </c>
      <c r="K2715" s="33"/>
      <c r="L2715" s="35">
        <v>10</v>
      </c>
      <c r="M2715" s="39">
        <v>2500</v>
      </c>
      <c r="N2715" s="35">
        <v>10</v>
      </c>
      <c r="O2715" s="36">
        <v>64.73</v>
      </c>
      <c r="P2715" s="36">
        <v>53.06</v>
      </c>
      <c r="Q2715" s="36">
        <v>55.02</v>
      </c>
      <c r="R2715" s="36">
        <v>45.1</v>
      </c>
      <c r="S2715" s="36">
        <v>44.02</v>
      </c>
      <c r="T2715" s="36">
        <v>36.08</v>
      </c>
      <c r="U2715" s="34"/>
      <c r="V2715" s="34"/>
      <c r="W2715" s="34" t="s">
        <v>40</v>
      </c>
      <c r="X2715" s="37">
        <v>8.9999999999999993E-3</v>
      </c>
      <c r="Y2715" s="38">
        <v>1.1E-5</v>
      </c>
      <c r="Z2715" s="21">
        <v>4601004067400</v>
      </c>
    </row>
    <row r="2716" spans="1:26" ht="12" customHeight="1" outlineLevel="3" x14ac:dyDescent="0.2">
      <c r="A2716" s="14" t="s">
        <v>5321</v>
      </c>
      <c r="B2716" s="26" t="s">
        <v>5322</v>
      </c>
      <c r="C2716" s="52"/>
      <c r="D2716" s="55">
        <f t="shared" si="42"/>
        <v>0</v>
      </c>
      <c r="E2716" s="63" t="str">
        <f>HYPERLINK("https://www.sds-group.ru/product/vyklyuchatel-knopka-metall-250v-2a-2s-vykl-vkl-16-2-krasnaya-rwd-306-rexant-36-3351/", "Инфо")</f>
        <v>Инфо</v>
      </c>
      <c r="F2716" s="16" t="s">
        <v>39</v>
      </c>
      <c r="G2716" s="15"/>
      <c r="H2716" s="15"/>
      <c r="I2716" s="15"/>
      <c r="J2716" s="22">
        <v>4060</v>
      </c>
      <c r="K2716" s="15" t="s">
        <v>1055</v>
      </c>
      <c r="L2716" s="17">
        <v>10</v>
      </c>
      <c r="M2716" s="22">
        <v>2500</v>
      </c>
      <c r="N2716" s="17">
        <v>10</v>
      </c>
      <c r="O2716" s="18">
        <v>64.27</v>
      </c>
      <c r="P2716" s="18">
        <v>52.68</v>
      </c>
      <c r="Q2716" s="18">
        <v>54.63</v>
      </c>
      <c r="R2716" s="18">
        <v>44.78</v>
      </c>
      <c r="S2716" s="18">
        <v>43.7</v>
      </c>
      <c r="T2716" s="18">
        <v>35.82</v>
      </c>
      <c r="U2716" s="16"/>
      <c r="V2716" s="16"/>
      <c r="W2716" s="16" t="s">
        <v>40</v>
      </c>
      <c r="X2716" s="19">
        <v>8.9999999999999993E-3</v>
      </c>
      <c r="Y2716" s="20">
        <v>1.1E-5</v>
      </c>
      <c r="Z2716" s="21">
        <v>4601004067370</v>
      </c>
    </row>
    <row r="2717" spans="1:26" ht="12" customHeight="1" outlineLevel="3" x14ac:dyDescent="0.2">
      <c r="A2717" s="14" t="s">
        <v>5323</v>
      </c>
      <c r="B2717" s="26" t="s">
        <v>5324</v>
      </c>
      <c r="C2717" s="52"/>
      <c r="D2717" s="55">
        <f t="shared" si="42"/>
        <v>0</v>
      </c>
      <c r="E2717" s="63" t="str">
        <f>HYPERLINK("https://www.sds-group.ru/product/vyklyuchatel-knopka-metall-250v-2a-2s-vykl-vkl-16-2-chernaya-rwd-306-rexant-36-3350/", "Инфо")</f>
        <v>Инфо</v>
      </c>
      <c r="F2717" s="16" t="s">
        <v>39</v>
      </c>
      <c r="G2717" s="15"/>
      <c r="H2717" s="15"/>
      <c r="I2717" s="15"/>
      <c r="J2717" s="22">
        <v>7240</v>
      </c>
      <c r="K2717" s="15"/>
      <c r="L2717" s="17">
        <v>10</v>
      </c>
      <c r="M2717" s="22">
        <v>1000</v>
      </c>
      <c r="N2717" s="17">
        <v>10</v>
      </c>
      <c r="O2717" s="18">
        <v>64.23</v>
      </c>
      <c r="P2717" s="18">
        <v>52.65</v>
      </c>
      <c r="Q2717" s="18">
        <v>54.6</v>
      </c>
      <c r="R2717" s="18">
        <v>44.75</v>
      </c>
      <c r="S2717" s="18">
        <v>43.68</v>
      </c>
      <c r="T2717" s="18">
        <v>35.799999999999997</v>
      </c>
      <c r="U2717" s="16"/>
      <c r="V2717" s="16"/>
      <c r="W2717" s="16" t="s">
        <v>40</v>
      </c>
      <c r="X2717" s="19">
        <v>8.9999999999999993E-3</v>
      </c>
      <c r="Y2717" s="20">
        <v>1.2999999999999999E-5</v>
      </c>
      <c r="Z2717" s="21">
        <v>4601004067363</v>
      </c>
    </row>
    <row r="2718" spans="1:26" ht="12.95" customHeight="1" outlineLevel="2" x14ac:dyDescent="0.2">
      <c r="A2718" s="76" t="s">
        <v>5325</v>
      </c>
      <c r="B2718" s="76"/>
      <c r="C2718" s="77"/>
      <c r="D2718" s="58"/>
      <c r="E2718" s="68"/>
      <c r="F2718" s="13"/>
      <c r="G2718" s="13"/>
      <c r="H2718" s="13"/>
      <c r="I2718" s="13"/>
      <c r="J2718" s="13"/>
      <c r="K2718" s="13"/>
      <c r="L2718" s="13"/>
      <c r="M2718" s="13"/>
      <c r="N2718" s="13"/>
      <c r="O2718" s="13"/>
      <c r="P2718" s="13"/>
      <c r="Q2718" s="13"/>
      <c r="R2718" s="13"/>
      <c r="S2718" s="13"/>
      <c r="T2718" s="13"/>
      <c r="U2718" s="13"/>
      <c r="V2718" s="13"/>
      <c r="W2718" s="13"/>
      <c r="X2718" s="13"/>
      <c r="Y2718" s="13"/>
      <c r="Z2718" s="13"/>
    </row>
    <row r="2719" spans="1:26" ht="12.95" customHeight="1" outlineLevel="3" x14ac:dyDescent="0.2">
      <c r="A2719" s="76" t="s">
        <v>5326</v>
      </c>
      <c r="B2719" s="76"/>
      <c r="C2719" s="77"/>
      <c r="D2719" s="58"/>
      <c r="E2719" s="68"/>
      <c r="F2719" s="13"/>
      <c r="G2719" s="13"/>
      <c r="H2719" s="13"/>
      <c r="I2719" s="13"/>
      <c r="J2719" s="13"/>
      <c r="K2719" s="13"/>
      <c r="L2719" s="13"/>
      <c r="M2719" s="13"/>
      <c r="N2719" s="13"/>
      <c r="O2719" s="13"/>
      <c r="P2719" s="13"/>
      <c r="Q2719" s="13"/>
      <c r="R2719" s="13"/>
      <c r="S2719" s="13"/>
      <c r="T2719" s="13"/>
      <c r="U2719" s="13"/>
      <c r="V2719" s="13"/>
      <c r="W2719" s="13"/>
      <c r="X2719" s="13"/>
      <c r="Y2719" s="13"/>
      <c r="Z2719" s="13"/>
    </row>
    <row r="2720" spans="1:26" ht="12" customHeight="1" outlineLevel="4" x14ac:dyDescent="0.2">
      <c r="A2720" s="14" t="s">
        <v>5327</v>
      </c>
      <c r="B2720" s="26" t="s">
        <v>5328</v>
      </c>
      <c r="C2720" s="52"/>
      <c r="D2720" s="55">
        <f t="shared" si="42"/>
        <v>0</v>
      </c>
      <c r="E2720" s="63" t="str">
        <f>HYPERLINK("https://www.sds-group.ru/product/knopka-antivandalnaya-12-bez-fiksatsii-2s-vint-vykl-vkl-sfera-a12-a3-rexant-36-3150/", "Инфо")</f>
        <v>Инфо</v>
      </c>
      <c r="F2720" s="16" t="s">
        <v>39</v>
      </c>
      <c r="G2720" s="15"/>
      <c r="H2720" s="15"/>
      <c r="I2720" s="15"/>
      <c r="J2720" s="22">
        <v>1235</v>
      </c>
      <c r="K2720" s="15" t="s">
        <v>5329</v>
      </c>
      <c r="L2720" s="17">
        <v>10</v>
      </c>
      <c r="M2720" s="22">
        <v>1000</v>
      </c>
      <c r="N2720" s="17">
        <v>10</v>
      </c>
      <c r="O2720" s="18">
        <v>377.55</v>
      </c>
      <c r="P2720" s="18">
        <v>309.47000000000003</v>
      </c>
      <c r="Q2720" s="18">
        <v>320.92</v>
      </c>
      <c r="R2720" s="18">
        <v>263.05</v>
      </c>
      <c r="S2720" s="18">
        <v>256.73</v>
      </c>
      <c r="T2720" s="18">
        <v>210.43</v>
      </c>
      <c r="U2720" s="16"/>
      <c r="V2720" s="16"/>
      <c r="W2720" s="16" t="s">
        <v>40</v>
      </c>
      <c r="X2720" s="19">
        <v>1.4999999999999999E-2</v>
      </c>
      <c r="Y2720" s="20">
        <v>6.3E-5</v>
      </c>
      <c r="Z2720" s="21">
        <v>4601004064072</v>
      </c>
    </row>
    <row r="2721" spans="1:26" ht="12" customHeight="1" outlineLevel="4" x14ac:dyDescent="0.2">
      <c r="A2721" s="14" t="s">
        <v>5330</v>
      </c>
      <c r="B2721" s="26" t="s">
        <v>5331</v>
      </c>
      <c r="C2721" s="52"/>
      <c r="D2721" s="55">
        <f t="shared" si="42"/>
        <v>0</v>
      </c>
      <c r="E2721" s="63" t="str">
        <f>HYPERLINK("https://www.sds-group.ru/product/knopka-antivandalnaya-12-bez-fiksatsii-2s-vykl-vkl-vypuklaya-a12-b2-rexant-36-3151/", "Инфо")</f>
        <v>Инфо</v>
      </c>
      <c r="F2721" s="16" t="s">
        <v>39</v>
      </c>
      <c r="G2721" s="15"/>
      <c r="H2721" s="15"/>
      <c r="I2721" s="15"/>
      <c r="J2721" s="22">
        <v>1365</v>
      </c>
      <c r="K2721" s="15" t="s">
        <v>1004</v>
      </c>
      <c r="L2721" s="17">
        <v>10</v>
      </c>
      <c r="M2721" s="22">
        <v>1000</v>
      </c>
      <c r="N2721" s="17">
        <v>10</v>
      </c>
      <c r="O2721" s="18">
        <v>267.58</v>
      </c>
      <c r="P2721" s="18">
        <v>219.33</v>
      </c>
      <c r="Q2721" s="18">
        <v>227.44</v>
      </c>
      <c r="R2721" s="18">
        <v>186.43</v>
      </c>
      <c r="S2721" s="18">
        <v>181.95</v>
      </c>
      <c r="T2721" s="18">
        <v>149.13999999999999</v>
      </c>
      <c r="U2721" s="16"/>
      <c r="V2721" s="16"/>
      <c r="W2721" s="16" t="s">
        <v>40</v>
      </c>
      <c r="X2721" s="19">
        <v>1.0999999999999999E-2</v>
      </c>
      <c r="Y2721" s="20">
        <v>6.0999999999999999E-5</v>
      </c>
      <c r="Z2721" s="21">
        <v>4601004088740</v>
      </c>
    </row>
    <row r="2722" spans="1:26" ht="12" customHeight="1" outlineLevel="4" x14ac:dyDescent="0.2">
      <c r="A2722" s="14" t="s">
        <v>5332</v>
      </c>
      <c r="B2722" s="26" t="s">
        <v>5333</v>
      </c>
      <c r="C2722" s="52"/>
      <c r="D2722" s="55">
        <f t="shared" si="42"/>
        <v>0</v>
      </c>
      <c r="E2722" s="63" t="str">
        <f>HYPERLINK("https://www.sds-group.ru/product/knopka-antivandalnaya-12-bez-fiksatsii-2s-vykl-vkl-vypuklaya-a12-b2-rexant-v-upak-1sht-06-0339-A/", "Инфо")</f>
        <v>Инфо</v>
      </c>
      <c r="F2722" s="16" t="s">
        <v>39</v>
      </c>
      <c r="G2722" s="15"/>
      <c r="H2722" s="15"/>
      <c r="I2722" s="15"/>
      <c r="J2722" s="17">
        <v>348</v>
      </c>
      <c r="K2722" s="15"/>
      <c r="L2722" s="17">
        <v>5</v>
      </c>
      <c r="M2722" s="17">
        <v>10</v>
      </c>
      <c r="N2722" s="17">
        <v>5</v>
      </c>
      <c r="O2722" s="18">
        <v>256.18</v>
      </c>
      <c r="P2722" s="18">
        <v>209.98</v>
      </c>
      <c r="Q2722" s="18">
        <v>217.75</v>
      </c>
      <c r="R2722" s="18">
        <v>178.48</v>
      </c>
      <c r="S2722" s="18">
        <v>174.2</v>
      </c>
      <c r="T2722" s="18">
        <v>142.79</v>
      </c>
      <c r="U2722" s="16"/>
      <c r="V2722" s="16"/>
      <c r="W2722" s="16" t="s">
        <v>40</v>
      </c>
      <c r="X2722" s="19">
        <v>1.4E-2</v>
      </c>
      <c r="Y2722" s="20">
        <v>1.3799999999999999E-4</v>
      </c>
      <c r="Z2722" s="21">
        <v>4601004120884</v>
      </c>
    </row>
    <row r="2723" spans="1:26" ht="12" customHeight="1" outlineLevel="4" x14ac:dyDescent="0.2">
      <c r="A2723" s="14" t="s">
        <v>5334</v>
      </c>
      <c r="B2723" s="26" t="s">
        <v>5335</v>
      </c>
      <c r="C2723" s="52"/>
      <c r="D2723" s="55">
        <f t="shared" si="42"/>
        <v>0</v>
      </c>
      <c r="E2723" s="63" t="str">
        <f>HYPERLINK("https://www.sds-group.ru/product/knopka-antivandalnaya-12-s-fiksatsiey-2s-vykl-vkl-vypuklaya-a12-b2-rexant-36-3152/", "Инфо")</f>
        <v>Инфо</v>
      </c>
      <c r="F2723" s="16" t="s">
        <v>39</v>
      </c>
      <c r="G2723" s="15"/>
      <c r="H2723" s="15"/>
      <c r="I2723" s="15"/>
      <c r="J2723" s="22">
        <v>6935</v>
      </c>
      <c r="K2723" s="15"/>
      <c r="L2723" s="17">
        <v>5</v>
      </c>
      <c r="M2723" s="22">
        <v>1000</v>
      </c>
      <c r="N2723" s="17">
        <v>5</v>
      </c>
      <c r="O2723" s="18">
        <v>430.1</v>
      </c>
      <c r="P2723" s="18">
        <v>352.54</v>
      </c>
      <c r="Q2723" s="18">
        <v>365.59</v>
      </c>
      <c r="R2723" s="18">
        <v>299.66000000000003</v>
      </c>
      <c r="S2723" s="18">
        <v>292.47000000000003</v>
      </c>
      <c r="T2723" s="18">
        <v>239.73</v>
      </c>
      <c r="U2723" s="16"/>
      <c r="V2723" s="16"/>
      <c r="W2723" s="16" t="s">
        <v>40</v>
      </c>
      <c r="X2723" s="19">
        <v>1.0999999999999999E-2</v>
      </c>
      <c r="Y2723" s="20">
        <v>6.0999999999999999E-5</v>
      </c>
      <c r="Z2723" s="21">
        <v>4601004097650</v>
      </c>
    </row>
    <row r="2724" spans="1:26" ht="12" customHeight="1" outlineLevel="4" x14ac:dyDescent="0.2">
      <c r="A2724" s="14" t="s">
        <v>5336</v>
      </c>
      <c r="B2724" s="26" t="s">
        <v>5337</v>
      </c>
      <c r="C2724" s="52"/>
      <c r="D2724" s="55">
        <f t="shared" si="42"/>
        <v>0</v>
      </c>
      <c r="E2724" s="63" t="str">
        <f>HYPERLINK("https://www.sds-group.ru/product/knopka-antivandalnaya-12-s-fiksatsiey-2s-vykl-vkl-vypuklaya-a12-b2-rexant-v-upak-1sht-06-0340-A/", "Инфо")</f>
        <v>Инфо</v>
      </c>
      <c r="F2724" s="16" t="s">
        <v>39</v>
      </c>
      <c r="G2724" s="15"/>
      <c r="H2724" s="15"/>
      <c r="I2724" s="15"/>
      <c r="J2724" s="17">
        <v>177</v>
      </c>
      <c r="K2724" s="15"/>
      <c r="L2724" s="17">
        <v>5</v>
      </c>
      <c r="M2724" s="17">
        <v>10</v>
      </c>
      <c r="N2724" s="17">
        <v>5</v>
      </c>
      <c r="O2724" s="18">
        <v>609.04</v>
      </c>
      <c r="P2724" s="18">
        <v>499.21</v>
      </c>
      <c r="Q2724" s="18">
        <v>487.23</v>
      </c>
      <c r="R2724" s="18">
        <v>399.37</v>
      </c>
      <c r="S2724" s="18">
        <v>414.15</v>
      </c>
      <c r="T2724" s="18">
        <v>339.47</v>
      </c>
      <c r="U2724" s="16"/>
      <c r="V2724" s="16"/>
      <c r="W2724" s="16" t="s">
        <v>40</v>
      </c>
      <c r="X2724" s="19">
        <v>1.4E-2</v>
      </c>
      <c r="Y2724" s="20">
        <v>1.44E-4</v>
      </c>
      <c r="Z2724" s="21">
        <v>4601004120891</v>
      </c>
    </row>
    <row r="2725" spans="1:26" ht="12" customHeight="1" outlineLevel="4" x14ac:dyDescent="0.2">
      <c r="A2725" s="14" t="s">
        <v>5338</v>
      </c>
      <c r="B2725" s="26" t="s">
        <v>5339</v>
      </c>
      <c r="C2725" s="52"/>
      <c r="D2725" s="55">
        <f t="shared" si="42"/>
        <v>0</v>
      </c>
      <c r="E2725" s="63" t="str">
        <f>HYPERLINK("https://www.sds-group.ru/product/knopka-antivandalnaya-16-250v-bez-fiksatsii-5s-vykl-vkl-vkl-vykl-ploskaya-krasnaya-s-podsvet-36-3243/", "Инфо")</f>
        <v>Инфо</v>
      </c>
      <c r="F2725" s="16" t="s">
        <v>39</v>
      </c>
      <c r="G2725" s="15"/>
      <c r="H2725" s="15"/>
      <c r="I2725" s="15"/>
      <c r="J2725" s="17">
        <v>230</v>
      </c>
      <c r="K2725" s="15"/>
      <c r="L2725" s="17">
        <v>1</v>
      </c>
      <c r="M2725" s="17">
        <v>500</v>
      </c>
      <c r="N2725" s="17">
        <v>1</v>
      </c>
      <c r="O2725" s="18">
        <v>780.11</v>
      </c>
      <c r="P2725" s="18">
        <v>639.42999999999995</v>
      </c>
      <c r="Q2725" s="18">
        <v>624.09</v>
      </c>
      <c r="R2725" s="18">
        <v>511.55</v>
      </c>
      <c r="S2725" s="18">
        <v>530.47</v>
      </c>
      <c r="T2725" s="18">
        <v>434.81</v>
      </c>
      <c r="U2725" s="16"/>
      <c r="V2725" s="16"/>
      <c r="W2725" s="16" t="s">
        <v>40</v>
      </c>
      <c r="X2725" s="19">
        <v>2.1000000000000001E-2</v>
      </c>
      <c r="Y2725" s="20">
        <v>1.5699999999999999E-4</v>
      </c>
      <c r="Z2725" s="21">
        <v>4601004088498</v>
      </c>
    </row>
    <row r="2726" spans="1:26" ht="12" customHeight="1" outlineLevel="4" x14ac:dyDescent="0.2">
      <c r="A2726" s="14" t="s">
        <v>5340</v>
      </c>
      <c r="B2726" s="26" t="s">
        <v>5341</v>
      </c>
      <c r="C2726" s="52"/>
      <c r="D2726" s="55">
        <f t="shared" si="42"/>
        <v>0</v>
      </c>
      <c r="E2726" s="63" t="str">
        <f>HYPERLINK("https://www.sds-group.ru/product/knopka-antivandalnaya-16-bez-fiksatsii-2c-vint-vykl-vkl-sfera-a16-a2-rexant-36-3230/", "Инфо")</f>
        <v>Инфо</v>
      </c>
      <c r="F2726" s="16" t="s">
        <v>39</v>
      </c>
      <c r="G2726" s="15"/>
      <c r="H2726" s="15"/>
      <c r="I2726" s="15"/>
      <c r="J2726" s="22">
        <v>2659</v>
      </c>
      <c r="K2726" s="15" t="s">
        <v>1004</v>
      </c>
      <c r="L2726" s="17">
        <v>1</v>
      </c>
      <c r="M2726" s="17">
        <v>500</v>
      </c>
      <c r="N2726" s="17">
        <v>1</v>
      </c>
      <c r="O2726" s="18">
        <v>417.29</v>
      </c>
      <c r="P2726" s="18">
        <v>342.04</v>
      </c>
      <c r="Q2726" s="18">
        <v>354.7</v>
      </c>
      <c r="R2726" s="18">
        <v>290.74</v>
      </c>
      <c r="S2726" s="18">
        <v>283.76</v>
      </c>
      <c r="T2726" s="18">
        <v>232.59</v>
      </c>
      <c r="U2726" s="16"/>
      <c r="V2726" s="16"/>
      <c r="W2726" s="16" t="s">
        <v>40</v>
      </c>
      <c r="X2726" s="19">
        <v>1.7000000000000001E-2</v>
      </c>
      <c r="Y2726" s="20">
        <v>9.6000000000000002E-5</v>
      </c>
      <c r="Z2726" s="21">
        <v>4601004088764</v>
      </c>
    </row>
    <row r="2727" spans="1:26" ht="12" customHeight="1" outlineLevel="4" x14ac:dyDescent="0.2">
      <c r="A2727" s="14" t="s">
        <v>5342</v>
      </c>
      <c r="B2727" s="26" t="s">
        <v>5343</v>
      </c>
      <c r="C2727" s="52"/>
      <c r="D2727" s="55">
        <f t="shared" si="42"/>
        <v>0</v>
      </c>
      <c r="E2727" s="63" t="str">
        <f>HYPERLINK("https://www.sds-group.ru/product/knopka-antivandalnaya-16-bez-fiksatsii-2c-vint-vykl-vkl-sfera-a16-a2-rexant-v-upak-1sht-06-0347-A/", "Инфо")</f>
        <v>Инфо</v>
      </c>
      <c r="F2727" s="16" t="s">
        <v>39</v>
      </c>
      <c r="G2727" s="15"/>
      <c r="H2727" s="15"/>
      <c r="I2727" s="15"/>
      <c r="J2727" s="17">
        <v>192</v>
      </c>
      <c r="K2727" s="15"/>
      <c r="L2727" s="17">
        <v>1</v>
      </c>
      <c r="M2727" s="17">
        <v>10</v>
      </c>
      <c r="N2727" s="17">
        <v>1</v>
      </c>
      <c r="O2727" s="18">
        <v>670.74</v>
      </c>
      <c r="P2727" s="18">
        <v>549.79</v>
      </c>
      <c r="Q2727" s="18">
        <v>536.59</v>
      </c>
      <c r="R2727" s="18">
        <v>439.83</v>
      </c>
      <c r="S2727" s="18">
        <v>456.1</v>
      </c>
      <c r="T2727" s="18">
        <v>373.85</v>
      </c>
      <c r="U2727" s="16"/>
      <c r="V2727" s="16"/>
      <c r="W2727" s="16" t="s">
        <v>40</v>
      </c>
      <c r="X2727" s="19">
        <v>0.02</v>
      </c>
      <c r="Y2727" s="20">
        <v>1.44E-4</v>
      </c>
      <c r="Z2727" s="21">
        <v>4601004120969</v>
      </c>
    </row>
    <row r="2728" spans="1:26" ht="12" customHeight="1" outlineLevel="4" x14ac:dyDescent="0.2">
      <c r="A2728" s="14" t="s">
        <v>5344</v>
      </c>
      <c r="B2728" s="26" t="s">
        <v>5345</v>
      </c>
      <c r="C2728" s="52"/>
      <c r="D2728" s="55">
        <f t="shared" si="42"/>
        <v>0</v>
      </c>
      <c r="E2728" s="63" t="str">
        <f>HYPERLINK("https://www.sds-group.ru/product/knopka-antivandalnaya-16-bez-fiksatsii-2s-vint-vykl-vkl-vypuklaya-a16-a3-rexan-36-3231/", "Инфо")</f>
        <v>Инфо</v>
      </c>
      <c r="F2728" s="16" t="s">
        <v>39</v>
      </c>
      <c r="G2728" s="15"/>
      <c r="H2728" s="15"/>
      <c r="I2728" s="15"/>
      <c r="J2728" s="22">
        <v>1871</v>
      </c>
      <c r="K2728" s="15" t="s">
        <v>1004</v>
      </c>
      <c r="L2728" s="17">
        <v>10</v>
      </c>
      <c r="M2728" s="17">
        <v>500</v>
      </c>
      <c r="N2728" s="17">
        <v>10</v>
      </c>
      <c r="O2728" s="18">
        <v>377.55</v>
      </c>
      <c r="P2728" s="18">
        <v>309.47000000000003</v>
      </c>
      <c r="Q2728" s="18">
        <v>320.92</v>
      </c>
      <c r="R2728" s="18">
        <v>263.05</v>
      </c>
      <c r="S2728" s="18">
        <v>256.73</v>
      </c>
      <c r="T2728" s="18">
        <v>210.43</v>
      </c>
      <c r="U2728" s="16"/>
      <c r="V2728" s="16"/>
      <c r="W2728" s="16" t="s">
        <v>40</v>
      </c>
      <c r="X2728" s="19">
        <v>1.7999999999999999E-2</v>
      </c>
      <c r="Y2728" s="20">
        <v>9.6000000000000002E-5</v>
      </c>
      <c r="Z2728" s="21">
        <v>4601004088771</v>
      </c>
    </row>
    <row r="2729" spans="1:26" ht="12" customHeight="1" outlineLevel="4" x14ac:dyDescent="0.2">
      <c r="A2729" s="14" t="s">
        <v>5346</v>
      </c>
      <c r="B2729" s="26" t="s">
        <v>5347</v>
      </c>
      <c r="C2729" s="52"/>
      <c r="D2729" s="55">
        <f t="shared" si="42"/>
        <v>0</v>
      </c>
      <c r="E2729" s="63" t="str">
        <f>HYPERLINK("https://www.sds-group.ru/product/knopka-antivandalnaya-oslash-16-b-fiks-2s-vint-on-off-vipuklaya-a16-a3-rexant-v-upak-1sht-18046/", "Инфо")</f>
        <v>Инфо</v>
      </c>
      <c r="F2729" s="16" t="s">
        <v>39</v>
      </c>
      <c r="G2729" s="15"/>
      <c r="H2729" s="15"/>
      <c r="I2729" s="15"/>
      <c r="J2729" s="17">
        <v>96</v>
      </c>
      <c r="K2729" s="15"/>
      <c r="L2729" s="17">
        <v>5</v>
      </c>
      <c r="M2729" s="17">
        <v>10</v>
      </c>
      <c r="N2729" s="17">
        <v>5</v>
      </c>
      <c r="O2729" s="18">
        <v>489.93</v>
      </c>
      <c r="P2729" s="18">
        <v>401.58</v>
      </c>
      <c r="Q2729" s="18">
        <v>391.94</v>
      </c>
      <c r="R2729" s="18">
        <v>321.26</v>
      </c>
      <c r="S2729" s="18">
        <v>333.15</v>
      </c>
      <c r="T2729" s="18">
        <v>273.07</v>
      </c>
      <c r="U2729" s="16"/>
      <c r="V2729" s="16"/>
      <c r="W2729" s="16" t="s">
        <v>40</v>
      </c>
      <c r="X2729" s="19">
        <v>1.9E-2</v>
      </c>
      <c r="Y2729" s="20">
        <v>1.6000000000000001E-4</v>
      </c>
      <c r="Z2729" s="21">
        <v>4601004120976</v>
      </c>
    </row>
    <row r="2730" spans="1:26" ht="12" customHeight="1" outlineLevel="4" x14ac:dyDescent="0.2">
      <c r="A2730" s="14" t="s">
        <v>5348</v>
      </c>
      <c r="B2730" s="26" t="s">
        <v>5349</v>
      </c>
      <c r="C2730" s="52"/>
      <c r="D2730" s="55">
        <f t="shared" si="42"/>
        <v>0</v>
      </c>
      <c r="E2730" s="63" t="str">
        <f>HYPERLINK("https://www.sds-group.ru/product/knopka-antivandalnaya-19-250v-s-fiksatsiey-5s-vkl-vykl-vykl-vkl-krasnaya-s-podsvetkoy-rexant-36-3440/", "Инфо")</f>
        <v>Инфо</v>
      </c>
      <c r="F2730" s="16" t="s">
        <v>39</v>
      </c>
      <c r="G2730" s="15"/>
      <c r="H2730" s="15"/>
      <c r="I2730" s="15"/>
      <c r="J2730" s="22">
        <v>1992</v>
      </c>
      <c r="K2730" s="15"/>
      <c r="L2730" s="17">
        <v>1</v>
      </c>
      <c r="M2730" s="17">
        <v>500</v>
      </c>
      <c r="N2730" s="17">
        <v>1</v>
      </c>
      <c r="O2730" s="18">
        <v>778.71</v>
      </c>
      <c r="P2730" s="18">
        <v>638.29</v>
      </c>
      <c r="Q2730" s="18">
        <v>622.97</v>
      </c>
      <c r="R2730" s="18">
        <v>510.63</v>
      </c>
      <c r="S2730" s="18">
        <v>529.52</v>
      </c>
      <c r="T2730" s="18">
        <v>434.03</v>
      </c>
      <c r="U2730" s="16"/>
      <c r="V2730" s="16"/>
      <c r="W2730" s="16" t="s">
        <v>40</v>
      </c>
      <c r="X2730" s="19">
        <v>2.1999999999999999E-2</v>
      </c>
      <c r="Y2730" s="20">
        <v>1E-4</v>
      </c>
      <c r="Z2730" s="21">
        <v>4601004063983</v>
      </c>
    </row>
    <row r="2731" spans="1:26" ht="12" customHeight="1" outlineLevel="4" x14ac:dyDescent="0.2">
      <c r="A2731" s="14" t="s">
        <v>5350</v>
      </c>
      <c r="B2731" s="26" t="s">
        <v>5351</v>
      </c>
      <c r="C2731" s="52"/>
      <c r="D2731" s="55">
        <f t="shared" si="42"/>
        <v>0</v>
      </c>
      <c r="E2731" s="63" t="str">
        <f>HYPERLINK("https://www.sds-group.ru/product/knopka-antivandalnaya-19-250v-s-fiksatsiey-5s-vykl-vkl-vkl-vykl-zelenaya-s-podsvetkoy-rexant-36-3443/", "Инфо")</f>
        <v>Инфо</v>
      </c>
      <c r="F2731" s="16" t="s">
        <v>39</v>
      </c>
      <c r="G2731" s="15"/>
      <c r="H2731" s="15"/>
      <c r="I2731" s="15"/>
      <c r="J2731" s="17">
        <v>748</v>
      </c>
      <c r="K2731" s="15"/>
      <c r="L2731" s="17">
        <v>1</v>
      </c>
      <c r="M2731" s="17">
        <v>250</v>
      </c>
      <c r="N2731" s="17">
        <v>1</v>
      </c>
      <c r="O2731" s="18">
        <v>784.28</v>
      </c>
      <c r="P2731" s="18">
        <v>642.85</v>
      </c>
      <c r="Q2731" s="18">
        <v>627.41999999999996</v>
      </c>
      <c r="R2731" s="18">
        <v>514.28</v>
      </c>
      <c r="S2731" s="18">
        <v>533.30999999999995</v>
      </c>
      <c r="T2731" s="18">
        <v>437.14</v>
      </c>
      <c r="U2731" s="16"/>
      <c r="V2731" s="16"/>
      <c r="W2731" s="16" t="s">
        <v>40</v>
      </c>
      <c r="X2731" s="19">
        <v>2.3E-2</v>
      </c>
      <c r="Y2731" s="20">
        <v>1.1400000000000001E-4</v>
      </c>
      <c r="Z2731" s="21">
        <v>4601004064003</v>
      </c>
    </row>
    <row r="2732" spans="1:26" ht="12" customHeight="1" outlineLevel="4" x14ac:dyDescent="0.2">
      <c r="A2732" s="14" t="s">
        <v>5352</v>
      </c>
      <c r="B2732" s="26" t="s">
        <v>5353</v>
      </c>
      <c r="C2732" s="52"/>
      <c r="D2732" s="55">
        <f t="shared" si="42"/>
        <v>0</v>
      </c>
      <c r="E2732" s="63" t="str">
        <f>HYPERLINK("https://www.sds-group.ru/product/knopka-antivandalnaya-19-250v-s-fiksatsiey-5s-vykl-vkl-vkl-vykl-sinyaya-s-podsvetkoy-rexant-36-3441/", "Инфо")</f>
        <v>Инфо</v>
      </c>
      <c r="F2732" s="16" t="s">
        <v>39</v>
      </c>
      <c r="G2732" s="15"/>
      <c r="H2732" s="15"/>
      <c r="I2732" s="15"/>
      <c r="J2732" s="22">
        <v>2219</v>
      </c>
      <c r="K2732" s="15"/>
      <c r="L2732" s="17">
        <v>1</v>
      </c>
      <c r="M2732" s="17">
        <v>250</v>
      </c>
      <c r="N2732" s="17">
        <v>1</v>
      </c>
      <c r="O2732" s="18">
        <v>841.19</v>
      </c>
      <c r="P2732" s="18">
        <v>689.5</v>
      </c>
      <c r="Q2732" s="18">
        <v>672.95</v>
      </c>
      <c r="R2732" s="18">
        <v>551.6</v>
      </c>
      <c r="S2732" s="18">
        <v>572.01</v>
      </c>
      <c r="T2732" s="18">
        <v>468.86</v>
      </c>
      <c r="U2732" s="16"/>
      <c r="V2732" s="16"/>
      <c r="W2732" s="16" t="s">
        <v>40</v>
      </c>
      <c r="X2732" s="19">
        <v>2.3E-2</v>
      </c>
      <c r="Y2732" s="20">
        <v>1.3100000000000001E-4</v>
      </c>
      <c r="Z2732" s="21">
        <v>4601004063990</v>
      </c>
    </row>
    <row r="2733" spans="1:26" ht="12" customHeight="1" outlineLevel="4" x14ac:dyDescent="0.2">
      <c r="A2733" s="14" t="s">
        <v>5354</v>
      </c>
      <c r="B2733" s="26" t="s">
        <v>5355</v>
      </c>
      <c r="C2733" s="52"/>
      <c r="D2733" s="55">
        <f t="shared" si="42"/>
        <v>0</v>
      </c>
      <c r="E2733" s="63" t="str">
        <f>HYPERLINK("https://www.sds-group.ru/product/knopka-antivandalnaya-19-bez-fiksatsii-2s-vint-vykl-vkl-ploskaya-pbs-28v-2-rexant-36-3411/", "Инфо")</f>
        <v>Инфо</v>
      </c>
      <c r="F2733" s="16" t="s">
        <v>39</v>
      </c>
      <c r="G2733" s="15"/>
      <c r="H2733" s="15"/>
      <c r="I2733" s="15"/>
      <c r="J2733" s="22">
        <v>1360</v>
      </c>
      <c r="K2733" s="15" t="s">
        <v>1004</v>
      </c>
      <c r="L2733" s="17">
        <v>5</v>
      </c>
      <c r="M2733" s="17">
        <v>500</v>
      </c>
      <c r="N2733" s="17">
        <v>5</v>
      </c>
      <c r="O2733" s="18">
        <v>407.6</v>
      </c>
      <c r="P2733" s="18">
        <v>334.1</v>
      </c>
      <c r="Q2733" s="18">
        <v>346.46</v>
      </c>
      <c r="R2733" s="18">
        <v>283.98</v>
      </c>
      <c r="S2733" s="18">
        <v>277.17</v>
      </c>
      <c r="T2733" s="18">
        <v>227.19</v>
      </c>
      <c r="U2733" s="16"/>
      <c r="V2733" s="16"/>
      <c r="W2733" s="16" t="s">
        <v>40</v>
      </c>
      <c r="X2733" s="19">
        <v>0.02</v>
      </c>
      <c r="Y2733" s="20">
        <v>9.8999999999999994E-5</v>
      </c>
      <c r="Z2733" s="21">
        <v>4601004088603</v>
      </c>
    </row>
    <row r="2734" spans="1:26" ht="12" customHeight="1" outlineLevel="4" x14ac:dyDescent="0.2">
      <c r="A2734" s="14" t="s">
        <v>5356</v>
      </c>
      <c r="B2734" s="26" t="s">
        <v>5357</v>
      </c>
      <c r="C2734" s="52"/>
      <c r="D2734" s="55">
        <f t="shared" si="42"/>
        <v>0</v>
      </c>
      <c r="E2734" s="63" t="str">
        <f>HYPERLINK("https://www.sds-group.ru/product/knopka-antivandalnaya-19-bez-fiksatsii-2s-vint-vykl-vkl-sfera-pbs-28v-a19-a2-rexant-36-3410/", "Инфо")</f>
        <v>Инфо</v>
      </c>
      <c r="F2734" s="16" t="s">
        <v>39</v>
      </c>
      <c r="G2734" s="15"/>
      <c r="H2734" s="15"/>
      <c r="I2734" s="15"/>
      <c r="J2734" s="16" t="s">
        <v>100</v>
      </c>
      <c r="K2734" s="15" t="s">
        <v>1004</v>
      </c>
      <c r="L2734" s="17">
        <v>1</v>
      </c>
      <c r="M2734" s="17">
        <v>500</v>
      </c>
      <c r="N2734" s="17">
        <v>1</v>
      </c>
      <c r="O2734" s="18">
        <v>557.24</v>
      </c>
      <c r="P2734" s="18">
        <v>456.75</v>
      </c>
      <c r="Q2734" s="18">
        <v>445.79</v>
      </c>
      <c r="R2734" s="18">
        <v>365.4</v>
      </c>
      <c r="S2734" s="18">
        <v>378.92</v>
      </c>
      <c r="T2734" s="18">
        <v>310.58999999999997</v>
      </c>
      <c r="U2734" s="16"/>
      <c r="V2734" s="16"/>
      <c r="W2734" s="16" t="s">
        <v>40</v>
      </c>
      <c r="X2734" s="19">
        <v>0.02</v>
      </c>
      <c r="Y2734" s="20">
        <v>9.7E-5</v>
      </c>
      <c r="Z2734" s="21">
        <v>4601004088597</v>
      </c>
    </row>
    <row r="2735" spans="1:26" ht="12" customHeight="1" outlineLevel="4" x14ac:dyDescent="0.2">
      <c r="A2735" s="14" t="s">
        <v>5358</v>
      </c>
      <c r="B2735" s="26" t="s">
        <v>5359</v>
      </c>
      <c r="C2735" s="52"/>
      <c r="D2735" s="55">
        <f t="shared" si="42"/>
        <v>0</v>
      </c>
      <c r="E2735" s="63" t="str">
        <f>HYPERLINK("https://www.sds-group.ru/product/knopka-antivandalnaya-19-bez-fiksatsii-2s-vint-vykl-vkl-sfera-pbs-28v-a19-a2-rexant-v-upak-06-0357-B/", "Инфо")</f>
        <v>Инфо</v>
      </c>
      <c r="F2735" s="16" t="s">
        <v>39</v>
      </c>
      <c r="G2735" s="15"/>
      <c r="H2735" s="15"/>
      <c r="I2735" s="15"/>
      <c r="J2735" s="17">
        <v>185</v>
      </c>
      <c r="K2735" s="15"/>
      <c r="L2735" s="17">
        <v>1</v>
      </c>
      <c r="M2735" s="17">
        <v>10</v>
      </c>
      <c r="N2735" s="17">
        <v>1</v>
      </c>
      <c r="O2735" s="18">
        <v>675.11</v>
      </c>
      <c r="P2735" s="18">
        <v>553.37</v>
      </c>
      <c r="Q2735" s="18">
        <v>540.09</v>
      </c>
      <c r="R2735" s="18">
        <v>442.7</v>
      </c>
      <c r="S2735" s="18">
        <v>459.07</v>
      </c>
      <c r="T2735" s="18">
        <v>376.29</v>
      </c>
      <c r="U2735" s="16"/>
      <c r="V2735" s="16"/>
      <c r="W2735" s="16" t="s">
        <v>40</v>
      </c>
      <c r="X2735" s="19">
        <v>2.7E-2</v>
      </c>
      <c r="Y2735" s="20">
        <v>2.7500000000000002E-4</v>
      </c>
      <c r="Z2735" s="21">
        <v>4601004121065</v>
      </c>
    </row>
    <row r="2736" spans="1:26" ht="12" customHeight="1" outlineLevel="4" x14ac:dyDescent="0.2">
      <c r="A2736" s="14" t="s">
        <v>5360</v>
      </c>
      <c r="B2736" s="26" t="s">
        <v>5361</v>
      </c>
      <c r="C2736" s="52"/>
      <c r="D2736" s="55">
        <f t="shared" si="42"/>
        <v>0</v>
      </c>
      <c r="E2736" s="63" t="str">
        <f>HYPERLINK("https://www.sds-group.ru/product/knopka-antivandalnaya-19-bez-fiksatsii-2s-vykl-vkl-vypuklaya-pbs-28v-4-rexant-36-3412/", "Инфо")</f>
        <v>Инфо</v>
      </c>
      <c r="F2736" s="16" t="s">
        <v>39</v>
      </c>
      <c r="G2736" s="15"/>
      <c r="H2736" s="15"/>
      <c r="I2736" s="15"/>
      <c r="J2736" s="16" t="s">
        <v>100</v>
      </c>
      <c r="K2736" s="15" t="s">
        <v>1004</v>
      </c>
      <c r="L2736" s="17">
        <v>5</v>
      </c>
      <c r="M2736" s="17">
        <v>500</v>
      </c>
      <c r="N2736" s="17">
        <v>5</v>
      </c>
      <c r="O2736" s="18">
        <v>452.37</v>
      </c>
      <c r="P2736" s="18">
        <v>370.8</v>
      </c>
      <c r="Q2736" s="18">
        <v>361.9</v>
      </c>
      <c r="R2736" s="18">
        <v>296.64</v>
      </c>
      <c r="S2736" s="18">
        <v>307.61</v>
      </c>
      <c r="T2736" s="18">
        <v>252.14</v>
      </c>
      <c r="U2736" s="16"/>
      <c r="V2736" s="16"/>
      <c r="W2736" s="16" t="s">
        <v>40</v>
      </c>
      <c r="X2736" s="19">
        <v>1.9E-2</v>
      </c>
      <c r="Y2736" s="20">
        <v>9.8999999999999994E-5</v>
      </c>
      <c r="Z2736" s="21">
        <v>4601004088610</v>
      </c>
    </row>
    <row r="2737" spans="1:26" ht="12" customHeight="1" outlineLevel="4" x14ac:dyDescent="0.2">
      <c r="A2737" s="14" t="s">
        <v>5362</v>
      </c>
      <c r="B2737" s="26" t="s">
        <v>5363</v>
      </c>
      <c r="C2737" s="52"/>
      <c r="D2737" s="55">
        <f t="shared" si="42"/>
        <v>0</v>
      </c>
      <c r="E2737" s="63" t="str">
        <f>HYPERLINK("https://www.sds-group.ru/product/knopka-antivandalnaya-19-bez-fiksatsii-2s-vykl-vkl-vypuklaya-pbs-28v-4-rexant-v-upak-1sht-06-0358-B/", "Инфо")</f>
        <v>Инфо</v>
      </c>
      <c r="F2737" s="16" t="s">
        <v>39</v>
      </c>
      <c r="G2737" s="15"/>
      <c r="H2737" s="15"/>
      <c r="I2737" s="15"/>
      <c r="J2737" s="17">
        <v>90</v>
      </c>
      <c r="K2737" s="15"/>
      <c r="L2737" s="17">
        <v>1</v>
      </c>
      <c r="M2737" s="17">
        <v>10</v>
      </c>
      <c r="N2737" s="17">
        <v>1</v>
      </c>
      <c r="O2737" s="18">
        <v>621.01</v>
      </c>
      <c r="P2737" s="18">
        <v>509.02</v>
      </c>
      <c r="Q2737" s="18">
        <v>496.81</v>
      </c>
      <c r="R2737" s="18">
        <v>407.22</v>
      </c>
      <c r="S2737" s="18">
        <v>422.29</v>
      </c>
      <c r="T2737" s="18">
        <v>346.14</v>
      </c>
      <c r="U2737" s="16"/>
      <c r="V2737" s="16"/>
      <c r="W2737" s="16" t="s">
        <v>40</v>
      </c>
      <c r="X2737" s="19">
        <v>2.3E-2</v>
      </c>
      <c r="Y2737" s="20">
        <v>2.5399999999999999E-4</v>
      </c>
      <c r="Z2737" s="21">
        <v>4601004121072</v>
      </c>
    </row>
    <row r="2738" spans="1:26" ht="12" customHeight="1" outlineLevel="4" x14ac:dyDescent="0.2">
      <c r="A2738" s="14" t="s">
        <v>5364</v>
      </c>
      <c r="B2738" s="26" t="s">
        <v>5365</v>
      </c>
      <c r="C2738" s="52"/>
      <c r="D2738" s="55">
        <f t="shared" si="42"/>
        <v>0</v>
      </c>
      <c r="E2738" s="63" t="str">
        <f>HYPERLINK("https://www.sds-group.ru/product/knopka-antivandalnaya-22-250v-bez-fiksatsii-5s-vykl-vkl-vkl-vykl-zelenaya-s-podsvetkoy-rexan-36-3533/", "Инфо")</f>
        <v>Инфо</v>
      </c>
      <c r="F2738" s="16" t="s">
        <v>39</v>
      </c>
      <c r="G2738" s="15"/>
      <c r="H2738" s="15"/>
      <c r="I2738" s="15"/>
      <c r="J2738" s="17">
        <v>181</v>
      </c>
      <c r="K2738" s="15" t="s">
        <v>1004</v>
      </c>
      <c r="L2738" s="17">
        <v>1</v>
      </c>
      <c r="M2738" s="17">
        <v>200</v>
      </c>
      <c r="N2738" s="17">
        <v>1</v>
      </c>
      <c r="O2738" s="18">
        <v>1484.57</v>
      </c>
      <c r="P2738" s="18">
        <v>1216.8599999999999</v>
      </c>
      <c r="Q2738" s="18">
        <v>1172.81</v>
      </c>
      <c r="R2738" s="18">
        <v>961.32</v>
      </c>
      <c r="S2738" s="18">
        <v>1009.51</v>
      </c>
      <c r="T2738" s="18">
        <v>827.47</v>
      </c>
      <c r="U2738" s="16"/>
      <c r="V2738" s="16"/>
      <c r="W2738" s="16" t="s">
        <v>40</v>
      </c>
      <c r="X2738" s="19">
        <v>0.03</v>
      </c>
      <c r="Y2738" s="20">
        <v>2.41E-4</v>
      </c>
      <c r="Z2738" s="21">
        <v>4601004064065</v>
      </c>
    </row>
    <row r="2739" spans="1:26" ht="12.95" customHeight="1" outlineLevel="3" x14ac:dyDescent="0.2">
      <c r="A2739" s="76" t="s">
        <v>5366</v>
      </c>
      <c r="B2739" s="76"/>
      <c r="C2739" s="77"/>
      <c r="D2739" s="58"/>
      <c r="E2739" s="68"/>
      <c r="F2739" s="13"/>
      <c r="G2739" s="13"/>
      <c r="H2739" s="13"/>
      <c r="I2739" s="13"/>
      <c r="J2739" s="13"/>
      <c r="K2739" s="13"/>
      <c r="L2739" s="13"/>
      <c r="M2739" s="13"/>
      <c r="N2739" s="13"/>
      <c r="O2739" s="13"/>
      <c r="P2739" s="13"/>
      <c r="Q2739" s="13"/>
      <c r="R2739" s="13"/>
      <c r="S2739" s="13"/>
      <c r="T2739" s="13"/>
      <c r="U2739" s="13"/>
      <c r="V2739" s="13"/>
      <c r="W2739" s="13"/>
      <c r="X2739" s="13"/>
      <c r="Y2739" s="13"/>
      <c r="Z2739" s="13"/>
    </row>
    <row r="2740" spans="1:26" ht="12" customHeight="1" outlineLevel="4" x14ac:dyDescent="0.2">
      <c r="A2740" s="14" t="s">
        <v>5367</v>
      </c>
      <c r="B2740" s="26" t="s">
        <v>5368</v>
      </c>
      <c r="C2740" s="52"/>
      <c r="D2740" s="55">
        <f t="shared" si="42"/>
        <v>0</v>
      </c>
      <c r="E2740" s="63" t="str">
        <f>HYPERLINK("https://www.sds-group.ru/product/knopka-antivandalnaya-22-12v-bez-fiksatsii-5s-vykl-vkl-vkl-vykl-zelenaya-s-podsvetkoy-rexant-36-3513/", "Инфо")</f>
        <v>Инфо</v>
      </c>
      <c r="F2740" s="16" t="s">
        <v>39</v>
      </c>
      <c r="G2740" s="15"/>
      <c r="H2740" s="15"/>
      <c r="I2740" s="15"/>
      <c r="J2740" s="17">
        <v>424</v>
      </c>
      <c r="K2740" s="15" t="s">
        <v>5369</v>
      </c>
      <c r="L2740" s="17">
        <v>10</v>
      </c>
      <c r="M2740" s="17">
        <v>300</v>
      </c>
      <c r="N2740" s="17">
        <v>10</v>
      </c>
      <c r="O2740" s="18">
        <v>1162.6199999999999</v>
      </c>
      <c r="P2740" s="18">
        <v>952.97</v>
      </c>
      <c r="Q2740" s="18">
        <v>930.1</v>
      </c>
      <c r="R2740" s="18">
        <v>762.38</v>
      </c>
      <c r="S2740" s="18">
        <v>790.58</v>
      </c>
      <c r="T2740" s="18">
        <v>648.02</v>
      </c>
      <c r="U2740" s="16"/>
      <c r="V2740" s="16"/>
      <c r="W2740" s="16" t="s">
        <v>40</v>
      </c>
      <c r="X2740" s="19">
        <v>2.8000000000000001E-2</v>
      </c>
      <c r="Y2740" s="20">
        <v>1.5799999999999999E-4</v>
      </c>
      <c r="Z2740" s="21">
        <v>4601004064034</v>
      </c>
    </row>
    <row r="2741" spans="1:26" ht="12" customHeight="1" outlineLevel="4" x14ac:dyDescent="0.2">
      <c r="A2741" s="14" t="s">
        <v>5370</v>
      </c>
      <c r="B2741" s="26" t="s">
        <v>5371</v>
      </c>
      <c r="C2741" s="52"/>
      <c r="D2741" s="55">
        <f t="shared" si="42"/>
        <v>0</v>
      </c>
      <c r="E2741" s="63" t="str">
        <f>HYPERLINK("https://www.sds-group.ru/product/knopka-antivandalnaya-12-12v-bez-fiksatsii-4s-vykl-vkl-krasnaya-a-12-c2-rexant-v-upak-1sht-06-0342-A/", "Инфо")</f>
        <v>Инфо</v>
      </c>
      <c r="F2741" s="16" t="s">
        <v>39</v>
      </c>
      <c r="G2741" s="15"/>
      <c r="H2741" s="15"/>
      <c r="I2741" s="15"/>
      <c r="J2741" s="17">
        <v>4</v>
      </c>
      <c r="K2741" s="15"/>
      <c r="L2741" s="17">
        <v>5</v>
      </c>
      <c r="M2741" s="17">
        <v>10</v>
      </c>
      <c r="N2741" s="17">
        <v>5</v>
      </c>
      <c r="O2741" s="18">
        <v>584.36</v>
      </c>
      <c r="P2741" s="18">
        <v>478.98</v>
      </c>
      <c r="Q2741" s="18">
        <v>467.49</v>
      </c>
      <c r="R2741" s="18">
        <v>383.19</v>
      </c>
      <c r="S2741" s="18">
        <v>397.36</v>
      </c>
      <c r="T2741" s="18">
        <v>325.7</v>
      </c>
      <c r="U2741" s="16"/>
      <c r="V2741" s="16"/>
      <c r="W2741" s="16" t="s">
        <v>40</v>
      </c>
      <c r="X2741" s="19">
        <v>1.4E-2</v>
      </c>
      <c r="Y2741" s="20">
        <v>1.6200000000000001E-4</v>
      </c>
      <c r="Z2741" s="21">
        <v>4601004120914</v>
      </c>
    </row>
    <row r="2742" spans="1:26" ht="12" customHeight="1" outlineLevel="4" x14ac:dyDescent="0.2">
      <c r="A2742" s="14" t="s">
        <v>5372</v>
      </c>
      <c r="B2742" s="26" t="s">
        <v>5373</v>
      </c>
      <c r="C2742" s="52"/>
      <c r="D2742" s="55">
        <f t="shared" si="42"/>
        <v>0</v>
      </c>
      <c r="E2742" s="63" t="str">
        <f>HYPERLINK("https://www.sds-group.ru/product/knopka-antivandalnaya-12-12v-bez-fiksatsii-4s-vykl-vkl-krasnaya-s-podsvetkoy-a-12-c2-rexant-36-3210/", "Инфо")</f>
        <v>Инфо</v>
      </c>
      <c r="F2742" s="16" t="s">
        <v>39</v>
      </c>
      <c r="G2742" s="15"/>
      <c r="H2742" s="15"/>
      <c r="I2742" s="15"/>
      <c r="J2742" s="16" t="s">
        <v>100</v>
      </c>
      <c r="K2742" s="15" t="s">
        <v>1004</v>
      </c>
      <c r="L2742" s="17">
        <v>10</v>
      </c>
      <c r="M2742" s="17">
        <v>500</v>
      </c>
      <c r="N2742" s="17">
        <v>10</v>
      </c>
      <c r="O2742" s="18">
        <v>595.24</v>
      </c>
      <c r="P2742" s="18">
        <v>487.9</v>
      </c>
      <c r="Q2742" s="18">
        <v>476.19</v>
      </c>
      <c r="R2742" s="18">
        <v>390.32</v>
      </c>
      <c r="S2742" s="18">
        <v>404.76</v>
      </c>
      <c r="T2742" s="18">
        <v>331.77</v>
      </c>
      <c r="U2742" s="16"/>
      <c r="V2742" s="16"/>
      <c r="W2742" s="16" t="s">
        <v>40</v>
      </c>
      <c r="X2742" s="19">
        <v>1.2E-2</v>
      </c>
      <c r="Y2742" s="20">
        <v>6.7999999999999999E-5</v>
      </c>
      <c r="Z2742" s="21">
        <v>4601004117556</v>
      </c>
    </row>
    <row r="2743" spans="1:26" ht="12" customHeight="1" outlineLevel="4" x14ac:dyDescent="0.2">
      <c r="A2743" s="14" t="s">
        <v>5374</v>
      </c>
      <c r="B2743" s="26" t="s">
        <v>5375</v>
      </c>
      <c r="C2743" s="52"/>
      <c r="D2743" s="55">
        <f t="shared" si="42"/>
        <v>0</v>
      </c>
      <c r="E2743" s="63" t="str">
        <f>HYPERLINK("https://www.sds-group.ru/product/knopka-antivandalnaya-12-12v-s-fiksatsiey-4s-vykl-vkl-sinyaya-s-podsvetkoy-a-12-c2-rexant-36-3221/", "Инфо")</f>
        <v>Инфо</v>
      </c>
      <c r="F2743" s="16" t="s">
        <v>39</v>
      </c>
      <c r="G2743" s="15"/>
      <c r="H2743" s="15"/>
      <c r="I2743" s="15"/>
      <c r="J2743" s="16" t="s">
        <v>100</v>
      </c>
      <c r="K2743" s="15" t="s">
        <v>1004</v>
      </c>
      <c r="L2743" s="17">
        <v>10</v>
      </c>
      <c r="M2743" s="17">
        <v>500</v>
      </c>
      <c r="N2743" s="17">
        <v>10</v>
      </c>
      <c r="O2743" s="18">
        <v>613.95000000000005</v>
      </c>
      <c r="P2743" s="18">
        <v>503.24</v>
      </c>
      <c r="Q2743" s="18">
        <v>491.16</v>
      </c>
      <c r="R2743" s="18">
        <v>402.59</v>
      </c>
      <c r="S2743" s="18">
        <v>417.49</v>
      </c>
      <c r="T2743" s="18">
        <v>342.2</v>
      </c>
      <c r="U2743" s="16"/>
      <c r="V2743" s="16"/>
      <c r="W2743" s="16" t="s">
        <v>40</v>
      </c>
      <c r="X2743" s="19">
        <v>8.0000000000000002E-3</v>
      </c>
      <c r="Y2743" s="20">
        <v>3.4999999999999997E-5</v>
      </c>
      <c r="Z2743" s="21">
        <v>4601004117501</v>
      </c>
    </row>
    <row r="2744" spans="1:26" ht="12" customHeight="1" outlineLevel="4" x14ac:dyDescent="0.2">
      <c r="A2744" s="14" t="s">
        <v>5376</v>
      </c>
      <c r="B2744" s="26" t="s">
        <v>5377</v>
      </c>
      <c r="C2744" s="52"/>
      <c r="D2744" s="55">
        <f t="shared" si="42"/>
        <v>0</v>
      </c>
      <c r="E2744" s="63" t="str">
        <f>HYPERLINK("https://www.sds-group.ru/product/knopka-antivandalnaya-12-36v-bez-fiksatsii-4s-vykl-vkl-sinyaya-s-podsvetkoy-a-12-c2-rexant-36-3211/", "Инфо")</f>
        <v>Инфо</v>
      </c>
      <c r="F2744" s="16" t="s">
        <v>39</v>
      </c>
      <c r="G2744" s="15"/>
      <c r="H2744" s="15"/>
      <c r="I2744" s="15"/>
      <c r="J2744" s="22">
        <v>1300</v>
      </c>
      <c r="K2744" s="15"/>
      <c r="L2744" s="17">
        <v>10</v>
      </c>
      <c r="M2744" s="17">
        <v>750</v>
      </c>
      <c r="N2744" s="17">
        <v>10</v>
      </c>
      <c r="O2744" s="18">
        <v>363.75</v>
      </c>
      <c r="P2744" s="18">
        <v>298.16000000000003</v>
      </c>
      <c r="Q2744" s="18">
        <v>309.19</v>
      </c>
      <c r="R2744" s="18">
        <v>253.43</v>
      </c>
      <c r="S2744" s="18">
        <v>247.35</v>
      </c>
      <c r="T2744" s="18">
        <v>202.75</v>
      </c>
      <c r="U2744" s="16"/>
      <c r="V2744" s="16"/>
      <c r="W2744" s="16" t="s">
        <v>40</v>
      </c>
      <c r="X2744" s="19">
        <v>8.0000000000000002E-3</v>
      </c>
      <c r="Y2744" s="20">
        <v>2.4000000000000001E-5</v>
      </c>
      <c r="Z2744" s="21">
        <v>4601004096608</v>
      </c>
    </row>
    <row r="2745" spans="1:26" ht="12" customHeight="1" outlineLevel="4" x14ac:dyDescent="0.2">
      <c r="A2745" s="14" t="s">
        <v>5378</v>
      </c>
      <c r="B2745" s="26" t="s">
        <v>5379</v>
      </c>
      <c r="C2745" s="52"/>
      <c r="D2745" s="55">
        <f t="shared" si="42"/>
        <v>0</v>
      </c>
      <c r="E2745" s="63" t="str">
        <f>HYPERLINK("https://www.sds-group.ru/product/knopka-antivandalnaya-19-12v-s-fiksatsiey-5s-vykl-vkl-vkl-vykl-zelenaya-s-podsvetkoy-rexant-36-3423/", "Инфо")</f>
        <v>Инфо</v>
      </c>
      <c r="F2745" s="16" t="s">
        <v>39</v>
      </c>
      <c r="G2745" s="15"/>
      <c r="H2745" s="15"/>
      <c r="I2745" s="15"/>
      <c r="J2745" s="17">
        <v>29</v>
      </c>
      <c r="K2745" s="15" t="s">
        <v>1004</v>
      </c>
      <c r="L2745" s="17">
        <v>10</v>
      </c>
      <c r="M2745" s="17">
        <v>250</v>
      </c>
      <c r="N2745" s="17">
        <v>10</v>
      </c>
      <c r="O2745" s="18">
        <v>841.58</v>
      </c>
      <c r="P2745" s="18">
        <v>689.82</v>
      </c>
      <c r="Q2745" s="18">
        <v>673.26</v>
      </c>
      <c r="R2745" s="18">
        <v>551.85</v>
      </c>
      <c r="S2745" s="18">
        <v>572.27</v>
      </c>
      <c r="T2745" s="18">
        <v>469.07</v>
      </c>
      <c r="U2745" s="16"/>
      <c r="V2745" s="16"/>
      <c r="W2745" s="16" t="s">
        <v>40</v>
      </c>
      <c r="X2745" s="19">
        <v>2.4E-2</v>
      </c>
      <c r="Y2745" s="20">
        <v>1.3200000000000001E-4</v>
      </c>
      <c r="Z2745" s="21">
        <v>4601004063976</v>
      </c>
    </row>
    <row r="2746" spans="1:26" ht="12" customHeight="1" outlineLevel="4" x14ac:dyDescent="0.2">
      <c r="A2746" s="14" t="s">
        <v>5380</v>
      </c>
      <c r="B2746" s="26" t="s">
        <v>5381</v>
      </c>
      <c r="C2746" s="52"/>
      <c r="D2746" s="55">
        <f t="shared" si="42"/>
        <v>0</v>
      </c>
      <c r="E2746" s="63" t="str">
        <f>HYPERLINK("https://www.sds-group.ru/product/knopka-antivandalnaya-19-12v-s-fiksatsiey-5s-vykl-vkl-vkl-vykl-krasnaya-s-podsvetkoy-rexant-36-3420/", "Инфо")</f>
        <v>Инфо</v>
      </c>
      <c r="F2746" s="16" t="s">
        <v>39</v>
      </c>
      <c r="G2746" s="15"/>
      <c r="H2746" s="15"/>
      <c r="I2746" s="15"/>
      <c r="J2746" s="22">
        <v>1256</v>
      </c>
      <c r="K2746" s="15"/>
      <c r="L2746" s="17">
        <v>10</v>
      </c>
      <c r="M2746" s="17">
        <v>250</v>
      </c>
      <c r="N2746" s="17">
        <v>10</v>
      </c>
      <c r="O2746" s="18">
        <v>904.58</v>
      </c>
      <c r="P2746" s="18">
        <v>741.46</v>
      </c>
      <c r="Q2746" s="18">
        <v>723.66</v>
      </c>
      <c r="R2746" s="18">
        <v>593.16</v>
      </c>
      <c r="S2746" s="18">
        <v>615.11</v>
      </c>
      <c r="T2746" s="18">
        <v>504.19</v>
      </c>
      <c r="U2746" s="16"/>
      <c r="V2746" s="16"/>
      <c r="W2746" s="16" t="s">
        <v>40</v>
      </c>
      <c r="X2746" s="19">
        <v>2.3E-2</v>
      </c>
      <c r="Y2746" s="20">
        <v>1.27E-4</v>
      </c>
      <c r="Z2746" s="21">
        <v>4601004063952</v>
      </c>
    </row>
    <row r="2747" spans="1:26" ht="12" customHeight="1" outlineLevel="4" x14ac:dyDescent="0.2">
      <c r="A2747" s="14" t="s">
        <v>5382</v>
      </c>
      <c r="B2747" s="26" t="s">
        <v>5383</v>
      </c>
      <c r="C2747" s="52"/>
      <c r="D2747" s="55">
        <f t="shared" si="42"/>
        <v>0</v>
      </c>
      <c r="E2747" s="63" t="str">
        <f>HYPERLINK("https://www.sds-group.ru/product/knopka-antivandalnaya-19-12v-s-fiksatsiey-5s-vykl-vkl-vkl-vykl-sinyaya-s-podsvetkoy-rexant-36-3421/", "Инфо")</f>
        <v>Инфо</v>
      </c>
      <c r="F2747" s="16" t="s">
        <v>39</v>
      </c>
      <c r="G2747" s="15"/>
      <c r="H2747" s="15"/>
      <c r="I2747" s="15"/>
      <c r="J2747" s="16" t="s">
        <v>100</v>
      </c>
      <c r="K2747" s="15" t="s">
        <v>5369</v>
      </c>
      <c r="L2747" s="17">
        <v>10</v>
      </c>
      <c r="M2747" s="17">
        <v>250</v>
      </c>
      <c r="N2747" s="17">
        <v>10</v>
      </c>
      <c r="O2747" s="18">
        <v>898.28</v>
      </c>
      <c r="P2747" s="18">
        <v>736.3</v>
      </c>
      <c r="Q2747" s="18">
        <v>718.62</v>
      </c>
      <c r="R2747" s="18">
        <v>589.03</v>
      </c>
      <c r="S2747" s="18">
        <v>610.83000000000004</v>
      </c>
      <c r="T2747" s="18">
        <v>500.68</v>
      </c>
      <c r="U2747" s="16"/>
      <c r="V2747" s="16"/>
      <c r="W2747" s="16" t="s">
        <v>40</v>
      </c>
      <c r="X2747" s="19">
        <v>2.3E-2</v>
      </c>
      <c r="Y2747" s="20">
        <v>1.22E-4</v>
      </c>
      <c r="Z2747" s="21">
        <v>4601004063969</v>
      </c>
    </row>
    <row r="2748" spans="1:26" ht="12" customHeight="1" outlineLevel="4" x14ac:dyDescent="0.2">
      <c r="A2748" s="14" t="s">
        <v>5384</v>
      </c>
      <c r="B2748" s="26" t="s">
        <v>5385</v>
      </c>
      <c r="C2748" s="52"/>
      <c r="D2748" s="55">
        <f t="shared" si="42"/>
        <v>0</v>
      </c>
      <c r="E2748" s="63" t="str">
        <f>HYPERLINK("https://www.sds-group.ru/product/knopka-antivandalnaya-22-12v-bez-fiksatsii-5s-vykl-vkl-vkl-vykl-krasnaya-s-podsvetkoy-rexant-36-3510/", "Инфо")</f>
        <v>Инфо</v>
      </c>
      <c r="F2748" s="16" t="s">
        <v>39</v>
      </c>
      <c r="G2748" s="15"/>
      <c r="H2748" s="15"/>
      <c r="I2748" s="15"/>
      <c r="J2748" s="16" t="s">
        <v>100</v>
      </c>
      <c r="K2748" s="15" t="s">
        <v>1004</v>
      </c>
      <c r="L2748" s="17">
        <v>10</v>
      </c>
      <c r="M2748" s="17">
        <v>200</v>
      </c>
      <c r="N2748" s="17">
        <v>10</v>
      </c>
      <c r="O2748" s="18">
        <v>1159.71</v>
      </c>
      <c r="P2748" s="18">
        <v>950.58</v>
      </c>
      <c r="Q2748" s="18">
        <v>927.77</v>
      </c>
      <c r="R2748" s="18">
        <v>760.47</v>
      </c>
      <c r="S2748" s="18">
        <v>788.6</v>
      </c>
      <c r="T2748" s="18">
        <v>646.39</v>
      </c>
      <c r="U2748" s="16"/>
      <c r="V2748" s="16"/>
      <c r="W2748" s="16" t="s">
        <v>40</v>
      </c>
      <c r="X2748" s="19">
        <v>2.9000000000000001E-2</v>
      </c>
      <c r="Y2748" s="20">
        <v>1.1400000000000001E-4</v>
      </c>
      <c r="Z2748" s="21">
        <v>4601004064010</v>
      </c>
    </row>
    <row r="2749" spans="1:26" ht="12" customHeight="1" outlineLevel="4" x14ac:dyDescent="0.2">
      <c r="A2749" s="14" t="s">
        <v>5386</v>
      </c>
      <c r="B2749" s="26" t="s">
        <v>5387</v>
      </c>
      <c r="C2749" s="52"/>
      <c r="D2749" s="55">
        <f t="shared" si="42"/>
        <v>0</v>
      </c>
      <c r="E2749" s="63" t="str">
        <f>HYPERLINK("https://www.sds-group.ru/product/knopka-antivandalnaya-22-12v-bez-fiksatsii-5s-vykl-vkl-vkl-vykl-sinyaya-s-podsvetkoy-rexant-36-3511/", "Инфо")</f>
        <v>Инфо</v>
      </c>
      <c r="F2749" s="16" t="s">
        <v>39</v>
      </c>
      <c r="G2749" s="15"/>
      <c r="H2749" s="15"/>
      <c r="I2749" s="15"/>
      <c r="J2749" s="17">
        <v>2</v>
      </c>
      <c r="K2749" s="15" t="s">
        <v>5369</v>
      </c>
      <c r="L2749" s="17">
        <v>10</v>
      </c>
      <c r="M2749" s="17">
        <v>200</v>
      </c>
      <c r="N2749" s="17">
        <v>10</v>
      </c>
      <c r="O2749" s="18">
        <v>1147.02</v>
      </c>
      <c r="P2749" s="18">
        <v>940.18</v>
      </c>
      <c r="Q2749" s="18">
        <v>917.62</v>
      </c>
      <c r="R2749" s="18">
        <v>752.15</v>
      </c>
      <c r="S2749" s="18">
        <v>779.97</v>
      </c>
      <c r="T2749" s="18">
        <v>639.32000000000005</v>
      </c>
      <c r="U2749" s="16"/>
      <c r="V2749" s="16"/>
      <c r="W2749" s="16" t="s">
        <v>40</v>
      </c>
      <c r="X2749" s="19">
        <v>0.03</v>
      </c>
      <c r="Y2749" s="20">
        <v>1.3300000000000001E-4</v>
      </c>
      <c r="Z2749" s="21">
        <v>4601004064027</v>
      </c>
    </row>
    <row r="2750" spans="1:26" ht="12.95" customHeight="1" outlineLevel="2" x14ac:dyDescent="0.2">
      <c r="A2750" s="76" t="s">
        <v>5388</v>
      </c>
      <c r="B2750" s="76"/>
      <c r="C2750" s="77"/>
      <c r="D2750" s="58"/>
      <c r="E2750" s="68"/>
      <c r="F2750" s="13"/>
      <c r="G2750" s="13"/>
      <c r="H2750" s="13"/>
      <c r="I2750" s="13"/>
      <c r="J2750" s="13"/>
      <c r="K2750" s="13"/>
      <c r="L2750" s="13"/>
      <c r="M2750" s="13"/>
      <c r="N2750" s="13"/>
      <c r="O2750" s="13"/>
      <c r="P2750" s="13"/>
      <c r="Q2750" s="13"/>
      <c r="R2750" s="13"/>
      <c r="S2750" s="13"/>
      <c r="T2750" s="13"/>
      <c r="U2750" s="13"/>
      <c r="V2750" s="13"/>
      <c r="W2750" s="13"/>
      <c r="X2750" s="13"/>
      <c r="Y2750" s="13"/>
      <c r="Z2750" s="13"/>
    </row>
    <row r="2751" spans="1:26" ht="12" customHeight="1" outlineLevel="3" x14ac:dyDescent="0.2">
      <c r="A2751" s="14" t="s">
        <v>5389</v>
      </c>
      <c r="B2751" s="26" t="s">
        <v>5390</v>
      </c>
      <c r="C2751" s="52"/>
      <c r="D2751" s="55">
        <f t="shared" si="42"/>
        <v>0</v>
      </c>
      <c r="E2751" s="63" t="str">
        <f>HYPERLINK("https://www.sds-group.ru/product/vyklyuchatel-klyuch-12-250v-0-5a-2s-vkl-vykl-k12-01-rexant-36-4470/", "Инфо")</f>
        <v>Инфо</v>
      </c>
      <c r="F2751" s="16" t="s">
        <v>39</v>
      </c>
      <c r="G2751" s="15"/>
      <c r="H2751" s="15"/>
      <c r="I2751" s="15"/>
      <c r="J2751" s="17">
        <v>903</v>
      </c>
      <c r="K2751" s="15" t="s">
        <v>1126</v>
      </c>
      <c r="L2751" s="17">
        <v>10</v>
      </c>
      <c r="M2751" s="17">
        <v>500</v>
      </c>
      <c r="N2751" s="17">
        <v>10</v>
      </c>
      <c r="O2751" s="18">
        <v>166.32</v>
      </c>
      <c r="P2751" s="18">
        <v>136.33000000000001</v>
      </c>
      <c r="Q2751" s="18">
        <v>141.37</v>
      </c>
      <c r="R2751" s="18">
        <v>115.88</v>
      </c>
      <c r="S2751" s="18">
        <v>113.1</v>
      </c>
      <c r="T2751" s="18">
        <v>92.7</v>
      </c>
      <c r="U2751" s="16"/>
      <c r="V2751" s="16"/>
      <c r="W2751" s="16" t="s">
        <v>40</v>
      </c>
      <c r="X2751" s="19">
        <v>1.4E-2</v>
      </c>
      <c r="Y2751" s="20">
        <v>5.3000000000000001E-5</v>
      </c>
      <c r="Z2751" s="21">
        <v>4601004097483</v>
      </c>
    </row>
    <row r="2752" spans="1:26" ht="12" customHeight="1" outlineLevel="3" x14ac:dyDescent="0.2">
      <c r="A2752" s="14" t="s">
        <v>5391</v>
      </c>
      <c r="B2752" s="26" t="s">
        <v>5392</v>
      </c>
      <c r="C2752" s="52"/>
      <c r="D2752" s="55">
        <f t="shared" si="42"/>
        <v>0</v>
      </c>
      <c r="E2752" s="63" t="str">
        <f>HYPERLINK("https://www.sds-group.ru/product/pereklyuchatel-bd21-2-polyusa-2p-korotkaya-ruchka-no-razmykayuschiy-36-5550/", "Инфо")</f>
        <v>Инфо</v>
      </c>
      <c r="F2752" s="16" t="s">
        <v>39</v>
      </c>
      <c r="G2752" s="15"/>
      <c r="H2752" s="15"/>
      <c r="I2752" s="15"/>
      <c r="J2752" s="22">
        <v>1700</v>
      </c>
      <c r="K2752" s="15"/>
      <c r="L2752" s="17">
        <v>10</v>
      </c>
      <c r="M2752" s="17">
        <v>200</v>
      </c>
      <c r="N2752" s="17">
        <v>10</v>
      </c>
      <c r="O2752" s="18">
        <v>367.08</v>
      </c>
      <c r="P2752" s="18">
        <v>300.89</v>
      </c>
      <c r="Q2752" s="18">
        <v>312.02</v>
      </c>
      <c r="R2752" s="18">
        <v>255.75</v>
      </c>
      <c r="S2752" s="18">
        <v>249.61</v>
      </c>
      <c r="T2752" s="18">
        <v>204.6</v>
      </c>
      <c r="U2752" s="16"/>
      <c r="V2752" s="16"/>
      <c r="W2752" s="16" t="s">
        <v>40</v>
      </c>
      <c r="X2752" s="19">
        <v>7.1999999999999995E-2</v>
      </c>
      <c r="Y2752" s="20">
        <v>1.34E-4</v>
      </c>
      <c r="Z2752" s="21">
        <v>4601004174191</v>
      </c>
    </row>
    <row r="2753" spans="1:26" ht="12" customHeight="1" outlineLevel="3" x14ac:dyDescent="0.2">
      <c r="A2753" s="32" t="s">
        <v>5393</v>
      </c>
      <c r="B2753" s="74" t="s">
        <v>5394</v>
      </c>
      <c r="C2753" s="50"/>
      <c r="D2753" s="53">
        <f t="shared" si="42"/>
        <v>0</v>
      </c>
      <c r="E2753" s="60" t="str">
        <f>HYPERLINK("https://www.sds-group.ru/product/pereklyuchatel-bd21-2-polyusa-2p-s-zamkom-no-razmykayuschiy-36-5552/", "Инфо")</f>
        <v>Инфо</v>
      </c>
      <c r="F2753" s="34" t="s">
        <v>39</v>
      </c>
      <c r="G2753" s="33"/>
      <c r="H2753" s="33" t="s">
        <v>40</v>
      </c>
      <c r="I2753" s="33"/>
      <c r="J2753" s="35">
        <v>390</v>
      </c>
      <c r="K2753" s="33"/>
      <c r="L2753" s="35">
        <v>10</v>
      </c>
      <c r="M2753" s="35">
        <v>400</v>
      </c>
      <c r="N2753" s="35">
        <v>10</v>
      </c>
      <c r="O2753" s="36">
        <v>496.87</v>
      </c>
      <c r="P2753" s="36">
        <v>407.27</v>
      </c>
      <c r="Q2753" s="36">
        <v>397.5</v>
      </c>
      <c r="R2753" s="36">
        <v>325.82</v>
      </c>
      <c r="S2753" s="36">
        <v>337.87</v>
      </c>
      <c r="T2753" s="36">
        <v>276.94</v>
      </c>
      <c r="U2753" s="34"/>
      <c r="V2753" s="34"/>
      <c r="W2753" s="34" t="s">
        <v>40</v>
      </c>
      <c r="X2753" s="37">
        <v>0.105</v>
      </c>
      <c r="Y2753" s="38">
        <v>1.3300000000000001E-4</v>
      </c>
      <c r="Z2753" s="21">
        <v>4601004174214</v>
      </c>
    </row>
    <row r="2754" spans="1:26" ht="12" customHeight="1" outlineLevel="3" x14ac:dyDescent="0.2">
      <c r="A2754" s="14" t="s">
        <v>5395</v>
      </c>
      <c r="B2754" s="26" t="s">
        <v>5396</v>
      </c>
      <c r="C2754" s="52"/>
      <c r="D2754" s="55">
        <f t="shared" si="42"/>
        <v>0</v>
      </c>
      <c r="E2754" s="63" t="str">
        <f>HYPERLINK("https://www.sds-group.ru/product/pereklyuchatel-bd32-4-polyusa-4p-korotkaya-ruchka-no-razmykayuschiy-36-5551/", "Инфо")</f>
        <v>Инфо</v>
      </c>
      <c r="F2754" s="16" t="s">
        <v>39</v>
      </c>
      <c r="G2754" s="15"/>
      <c r="H2754" s="15"/>
      <c r="I2754" s="15"/>
      <c r="J2754" s="22">
        <v>1170</v>
      </c>
      <c r="K2754" s="15"/>
      <c r="L2754" s="17">
        <v>10</v>
      </c>
      <c r="M2754" s="17">
        <v>200</v>
      </c>
      <c r="N2754" s="17">
        <v>10</v>
      </c>
      <c r="O2754" s="18">
        <v>432.56</v>
      </c>
      <c r="P2754" s="18">
        <v>354.56</v>
      </c>
      <c r="Q2754" s="18">
        <v>367.68</v>
      </c>
      <c r="R2754" s="18">
        <v>301.38</v>
      </c>
      <c r="S2754" s="18">
        <v>294.14</v>
      </c>
      <c r="T2754" s="18">
        <v>241.1</v>
      </c>
      <c r="U2754" s="16"/>
      <c r="V2754" s="16"/>
      <c r="W2754" s="16" t="s">
        <v>40</v>
      </c>
      <c r="X2754" s="19">
        <v>0.09</v>
      </c>
      <c r="Y2754" s="20">
        <v>1.92E-4</v>
      </c>
      <c r="Z2754" s="21">
        <v>4601004174207</v>
      </c>
    </row>
    <row r="2755" spans="1:26" ht="12" customHeight="1" outlineLevel="3" x14ac:dyDescent="0.2">
      <c r="A2755" s="32" t="s">
        <v>5397</v>
      </c>
      <c r="B2755" s="74" t="s">
        <v>5398</v>
      </c>
      <c r="C2755" s="50"/>
      <c r="D2755" s="53">
        <f t="shared" si="42"/>
        <v>0</v>
      </c>
      <c r="E2755" s="60" t="str">
        <f>HYPERLINK("https://www.sds-group.ru/product/pereklyuchatel-bd32-4-polyusa-4p-s-zamkom-no-razmykayuschiy-36-5553/", "Инфо")</f>
        <v>Инфо</v>
      </c>
      <c r="F2755" s="34" t="s">
        <v>39</v>
      </c>
      <c r="G2755" s="33"/>
      <c r="H2755" s="33" t="s">
        <v>40</v>
      </c>
      <c r="I2755" s="33"/>
      <c r="J2755" s="35">
        <v>400</v>
      </c>
      <c r="K2755" s="33"/>
      <c r="L2755" s="35">
        <v>10</v>
      </c>
      <c r="M2755" s="35">
        <v>200</v>
      </c>
      <c r="N2755" s="35">
        <v>10</v>
      </c>
      <c r="O2755" s="36">
        <v>490.97</v>
      </c>
      <c r="P2755" s="36">
        <v>402.43</v>
      </c>
      <c r="Q2755" s="36">
        <v>392.78</v>
      </c>
      <c r="R2755" s="36">
        <v>321.95</v>
      </c>
      <c r="S2755" s="36">
        <v>333.86</v>
      </c>
      <c r="T2755" s="36">
        <v>273.66000000000003</v>
      </c>
      <c r="U2755" s="34"/>
      <c r="V2755" s="34"/>
      <c r="W2755" s="34" t="s">
        <v>40</v>
      </c>
      <c r="X2755" s="37">
        <v>6.9000000000000006E-2</v>
      </c>
      <c r="Y2755" s="38">
        <v>1.2E-4</v>
      </c>
      <c r="Z2755" s="21">
        <v>4601004174221</v>
      </c>
    </row>
    <row r="2756" spans="1:26" ht="12.95" customHeight="1" outlineLevel="2" x14ac:dyDescent="0.2">
      <c r="A2756" s="76" t="s">
        <v>5399</v>
      </c>
      <c r="B2756" s="76"/>
      <c r="C2756" s="77"/>
      <c r="D2756" s="58"/>
      <c r="E2756" s="68"/>
      <c r="F2756" s="13"/>
      <c r="G2756" s="13"/>
      <c r="H2756" s="13"/>
      <c r="I2756" s="13"/>
      <c r="J2756" s="13"/>
      <c r="K2756" s="13"/>
      <c r="L2756" s="13"/>
      <c r="M2756" s="13"/>
      <c r="N2756" s="13"/>
      <c r="O2756" s="13"/>
      <c r="P2756" s="13"/>
      <c r="Q2756" s="13"/>
      <c r="R2756" s="13"/>
      <c r="S2756" s="13"/>
      <c r="T2756" s="13"/>
      <c r="U2756" s="13"/>
      <c r="V2756" s="13"/>
      <c r="W2756" s="13"/>
      <c r="X2756" s="13"/>
      <c r="Y2756" s="13"/>
      <c r="Z2756" s="13"/>
    </row>
    <row r="2757" spans="1:26" ht="12.95" customHeight="1" outlineLevel="3" x14ac:dyDescent="0.2">
      <c r="A2757" s="76" t="s">
        <v>5400</v>
      </c>
      <c r="B2757" s="76"/>
      <c r="C2757" s="77"/>
      <c r="D2757" s="58"/>
      <c r="E2757" s="68"/>
      <c r="F2757" s="13"/>
      <c r="G2757" s="13"/>
      <c r="H2757" s="13"/>
      <c r="I2757" s="13"/>
      <c r="J2757" s="13"/>
      <c r="K2757" s="13"/>
      <c r="L2757" s="13"/>
      <c r="M2757" s="13"/>
      <c r="N2757" s="13"/>
      <c r="O2757" s="13"/>
      <c r="P2757" s="13"/>
      <c r="Q2757" s="13"/>
      <c r="R2757" s="13"/>
      <c r="S2757" s="13"/>
      <c r="T2757" s="13"/>
      <c r="U2757" s="13"/>
      <c r="V2757" s="13"/>
      <c r="W2757" s="13"/>
      <c r="X2757" s="13"/>
      <c r="Y2757" s="13"/>
      <c r="Z2757" s="13"/>
    </row>
    <row r="2758" spans="1:26" ht="12" customHeight="1" outlineLevel="4" x14ac:dyDescent="0.2">
      <c r="A2758" s="14" t="s">
        <v>5401</v>
      </c>
      <c r="B2758" s="26" t="s">
        <v>5402</v>
      </c>
      <c r="C2758" s="52"/>
      <c r="D2758" s="55">
        <f t="shared" si="42"/>
        <v>0</v>
      </c>
      <c r="E2758" s="63" t="str">
        <f>HYPERLINK("https://www.sds-group.ru/product/tumbler-12v-20a-3c-vkl-vykl-odnopolyusnyy-s-zheltoy-podsvetkoy-asw-13d-rexant-36-4372/", "Инфо")</f>
        <v>Инфо</v>
      </c>
      <c r="F2758" s="16" t="s">
        <v>39</v>
      </c>
      <c r="G2758" s="15"/>
      <c r="H2758" s="15"/>
      <c r="I2758" s="15"/>
      <c r="J2758" s="16" t="s">
        <v>100</v>
      </c>
      <c r="K2758" s="15" t="s">
        <v>1126</v>
      </c>
      <c r="L2758" s="17">
        <v>10</v>
      </c>
      <c r="M2758" s="22">
        <v>2000</v>
      </c>
      <c r="N2758" s="17">
        <v>10</v>
      </c>
      <c r="O2758" s="18">
        <v>145.47</v>
      </c>
      <c r="P2758" s="18">
        <v>119.24</v>
      </c>
      <c r="Q2758" s="18">
        <v>123.65</v>
      </c>
      <c r="R2758" s="18">
        <v>101.35</v>
      </c>
      <c r="S2758" s="18">
        <v>98.92</v>
      </c>
      <c r="T2758" s="18">
        <v>81.08</v>
      </c>
      <c r="U2758" s="16"/>
      <c r="V2758" s="16"/>
      <c r="W2758" s="16" t="s">
        <v>40</v>
      </c>
      <c r="X2758" s="19">
        <v>8.9999999999999993E-3</v>
      </c>
      <c r="Y2758" s="20">
        <v>4.5000000000000003E-5</v>
      </c>
      <c r="Z2758" s="21">
        <v>4601004067622</v>
      </c>
    </row>
    <row r="2759" spans="1:26" ht="12" customHeight="1" outlineLevel="4" x14ac:dyDescent="0.2">
      <c r="A2759" s="14" t="s">
        <v>5403</v>
      </c>
      <c r="B2759" s="26" t="s">
        <v>5404</v>
      </c>
      <c r="C2759" s="52"/>
      <c r="D2759" s="55">
        <f t="shared" si="42"/>
        <v>0</v>
      </c>
      <c r="E2759" s="63" t="str">
        <f>HYPERLINK("https://www.sds-group.ru/product/tumbler-12v-20a-3c-vkl-vykl-odnopolyusnyy-s-zelenoy-podsvetkoy-asw-13d-rexant-36-4373/", "Инфо")</f>
        <v>Инфо</v>
      </c>
      <c r="F2759" s="16" t="s">
        <v>39</v>
      </c>
      <c r="G2759" s="15"/>
      <c r="H2759" s="15"/>
      <c r="I2759" s="15"/>
      <c r="J2759" s="22">
        <v>2380</v>
      </c>
      <c r="K2759" s="15"/>
      <c r="L2759" s="17">
        <v>10</v>
      </c>
      <c r="M2759" s="22">
        <v>2000</v>
      </c>
      <c r="N2759" s="17">
        <v>10</v>
      </c>
      <c r="O2759" s="18">
        <v>152.78</v>
      </c>
      <c r="P2759" s="18">
        <v>125.23</v>
      </c>
      <c r="Q2759" s="18">
        <v>129.86000000000001</v>
      </c>
      <c r="R2759" s="18">
        <v>106.44</v>
      </c>
      <c r="S2759" s="18">
        <v>103.89</v>
      </c>
      <c r="T2759" s="18">
        <v>85.16</v>
      </c>
      <c r="U2759" s="16"/>
      <c r="V2759" s="16"/>
      <c r="W2759" s="16" t="s">
        <v>40</v>
      </c>
      <c r="X2759" s="19">
        <v>0.01</v>
      </c>
      <c r="Y2759" s="20">
        <v>2.5000000000000001E-5</v>
      </c>
      <c r="Z2759" s="21">
        <v>4601004067639</v>
      </c>
    </row>
    <row r="2760" spans="1:26" ht="12" customHeight="1" outlineLevel="4" x14ac:dyDescent="0.2">
      <c r="A2760" s="14" t="s">
        <v>5405</v>
      </c>
      <c r="B2760" s="26" t="s">
        <v>5406</v>
      </c>
      <c r="C2760" s="52"/>
      <c r="D2760" s="55">
        <f t="shared" si="42"/>
        <v>0</v>
      </c>
      <c r="E2760" s="63" t="str">
        <f>HYPERLINK("https://www.sds-group.ru/product/tumbler-12v-20a-3c-vkl-vykl-odnopolyusnyy-s-krasnoy-podsvetkoy-asw-07d-rexant-36-4330/", "Инфо")</f>
        <v>Инфо</v>
      </c>
      <c r="F2760" s="16" t="s">
        <v>39</v>
      </c>
      <c r="G2760" s="15"/>
      <c r="H2760" s="15"/>
      <c r="I2760" s="15"/>
      <c r="J2760" s="22">
        <v>1100</v>
      </c>
      <c r="K2760" s="15" t="s">
        <v>1055</v>
      </c>
      <c r="L2760" s="17">
        <v>10</v>
      </c>
      <c r="M2760" s="17">
        <v>500</v>
      </c>
      <c r="N2760" s="17">
        <v>10</v>
      </c>
      <c r="O2760" s="18">
        <v>376</v>
      </c>
      <c r="P2760" s="18">
        <v>308.2</v>
      </c>
      <c r="Q2760" s="18">
        <v>319.60000000000002</v>
      </c>
      <c r="R2760" s="18">
        <v>261.97000000000003</v>
      </c>
      <c r="S2760" s="18">
        <v>255.68</v>
      </c>
      <c r="T2760" s="18">
        <v>209.57</v>
      </c>
      <c r="U2760" s="16"/>
      <c r="V2760" s="16"/>
      <c r="W2760" s="16" t="s">
        <v>40</v>
      </c>
      <c r="X2760" s="19">
        <v>2.5000000000000001E-2</v>
      </c>
      <c r="Y2760" s="20">
        <v>5.7000000000000003E-5</v>
      </c>
      <c r="Z2760" s="21">
        <v>4601004037700</v>
      </c>
    </row>
    <row r="2761" spans="1:26" ht="12" customHeight="1" outlineLevel="4" x14ac:dyDescent="0.2">
      <c r="A2761" s="14" t="s">
        <v>5407</v>
      </c>
      <c r="B2761" s="26" t="s">
        <v>5408</v>
      </c>
      <c r="C2761" s="52"/>
      <c r="D2761" s="55">
        <f t="shared" ref="D2761:D2824" si="43">C2761*(O2761-O2761*$G$3)</f>
        <v>0</v>
      </c>
      <c r="E2761" s="63" t="str">
        <f>HYPERLINK("https://www.sds-group.ru/product/tumbler-12v-20a-3c-vkl-vykl-odnopolyusnyy-s-siney-podsvetkoy-asw-07d-rexant-36-4331/", "Инфо")</f>
        <v>Инфо</v>
      </c>
      <c r="F2761" s="16" t="s">
        <v>39</v>
      </c>
      <c r="G2761" s="15"/>
      <c r="H2761" s="15"/>
      <c r="I2761" s="15"/>
      <c r="J2761" s="22">
        <v>1100</v>
      </c>
      <c r="K2761" s="15" t="s">
        <v>883</v>
      </c>
      <c r="L2761" s="17">
        <v>10</v>
      </c>
      <c r="M2761" s="17">
        <v>500</v>
      </c>
      <c r="N2761" s="17">
        <v>10</v>
      </c>
      <c r="O2761" s="18">
        <v>340.19</v>
      </c>
      <c r="P2761" s="18">
        <v>278.83999999999997</v>
      </c>
      <c r="Q2761" s="18">
        <v>289.16000000000003</v>
      </c>
      <c r="R2761" s="18">
        <v>237.02</v>
      </c>
      <c r="S2761" s="18">
        <v>231.33</v>
      </c>
      <c r="T2761" s="18">
        <v>189.61</v>
      </c>
      <c r="U2761" s="16"/>
      <c r="V2761" s="16"/>
      <c r="W2761" s="16" t="s">
        <v>40</v>
      </c>
      <c r="X2761" s="19">
        <v>2.5000000000000001E-2</v>
      </c>
      <c r="Y2761" s="20">
        <v>5.3999999999999998E-5</v>
      </c>
      <c r="Z2761" s="21">
        <v>4601004037717</v>
      </c>
    </row>
    <row r="2762" spans="1:26" ht="12" customHeight="1" outlineLevel="4" x14ac:dyDescent="0.2">
      <c r="A2762" s="14" t="s">
        <v>5409</v>
      </c>
      <c r="B2762" s="26" t="s">
        <v>5410</v>
      </c>
      <c r="C2762" s="52"/>
      <c r="D2762" s="55">
        <f t="shared" si="43"/>
        <v>0</v>
      </c>
      <c r="E2762" s="63" t="str">
        <f>HYPERLINK("https://www.sds-group.ru/product/tumbler-12v-30a-3c-vkl-vykl-odnopolyusnyy-s-zelenoy-podsvetkoy-asw-07d-2-rexant-36-4353/", "Инфо")</f>
        <v>Инфо</v>
      </c>
      <c r="F2762" s="16" t="s">
        <v>39</v>
      </c>
      <c r="G2762" s="15"/>
      <c r="H2762" s="15"/>
      <c r="I2762" s="15"/>
      <c r="J2762" s="17">
        <v>960</v>
      </c>
      <c r="K2762" s="15"/>
      <c r="L2762" s="17">
        <v>10</v>
      </c>
      <c r="M2762" s="17">
        <v>500</v>
      </c>
      <c r="N2762" s="17">
        <v>10</v>
      </c>
      <c r="O2762" s="18">
        <v>496.6</v>
      </c>
      <c r="P2762" s="18">
        <v>407.05</v>
      </c>
      <c r="Q2762" s="18">
        <v>397.28</v>
      </c>
      <c r="R2762" s="18">
        <v>325.64</v>
      </c>
      <c r="S2762" s="18">
        <v>337.69</v>
      </c>
      <c r="T2762" s="18">
        <v>276.8</v>
      </c>
      <c r="U2762" s="16"/>
      <c r="V2762" s="16"/>
      <c r="W2762" s="16" t="s">
        <v>40</v>
      </c>
      <c r="X2762" s="19">
        <v>2.4E-2</v>
      </c>
      <c r="Y2762" s="20">
        <v>6.4999999999999994E-5</v>
      </c>
      <c r="Z2762" s="21">
        <v>4601004037779</v>
      </c>
    </row>
    <row r="2763" spans="1:26" ht="12" customHeight="1" outlineLevel="4" x14ac:dyDescent="0.2">
      <c r="A2763" s="14" t="s">
        <v>5411</v>
      </c>
      <c r="B2763" s="26" t="s">
        <v>5412</v>
      </c>
      <c r="C2763" s="52"/>
      <c r="D2763" s="55">
        <f t="shared" si="43"/>
        <v>0</v>
      </c>
      <c r="E2763" s="63" t="str">
        <f>HYPERLINK("https://www.sds-group.ru/product/tumbler-12v-30a-3c-vkl-vykl-odnopolyusnyy-s-krasnoy-podsvetkoy-asw-07d-2-rexant-36-4350/", "Инфо")</f>
        <v>Инфо</v>
      </c>
      <c r="F2763" s="16" t="s">
        <v>39</v>
      </c>
      <c r="G2763" s="15"/>
      <c r="H2763" s="15"/>
      <c r="I2763" s="15"/>
      <c r="J2763" s="17">
        <v>940</v>
      </c>
      <c r="K2763" s="15"/>
      <c r="L2763" s="17">
        <v>10</v>
      </c>
      <c r="M2763" s="17">
        <v>500</v>
      </c>
      <c r="N2763" s="17">
        <v>10</v>
      </c>
      <c r="O2763" s="18">
        <v>496.6</v>
      </c>
      <c r="P2763" s="18">
        <v>407.05</v>
      </c>
      <c r="Q2763" s="18">
        <v>397.28</v>
      </c>
      <c r="R2763" s="18">
        <v>325.64</v>
      </c>
      <c r="S2763" s="18">
        <v>337.69</v>
      </c>
      <c r="T2763" s="18">
        <v>276.8</v>
      </c>
      <c r="U2763" s="16"/>
      <c r="V2763" s="16"/>
      <c r="W2763" s="16" t="s">
        <v>40</v>
      </c>
      <c r="X2763" s="19">
        <v>2.4E-2</v>
      </c>
      <c r="Y2763" s="20">
        <v>6.4999999999999994E-5</v>
      </c>
      <c r="Z2763" s="21">
        <v>4601004037748</v>
      </c>
    </row>
    <row r="2764" spans="1:26" ht="12" customHeight="1" outlineLevel="4" x14ac:dyDescent="0.2">
      <c r="A2764" s="14" t="s">
        <v>5413</v>
      </c>
      <c r="B2764" s="26" t="s">
        <v>5414</v>
      </c>
      <c r="C2764" s="52"/>
      <c r="D2764" s="55">
        <f t="shared" si="43"/>
        <v>0</v>
      </c>
      <c r="E2764" s="63" t="str">
        <f>HYPERLINK("https://www.sds-group.ru/product/tumbler-12v-30a-3c-vkl-vykl-odnopolyusnyy-s-krasnoy-podsvetkoy-asw-07d-2-rexant-v-upak-1sh-06-0334-B/", "Инфо")</f>
        <v>Инфо</v>
      </c>
      <c r="F2764" s="16" t="s">
        <v>39</v>
      </c>
      <c r="G2764" s="15"/>
      <c r="H2764" s="15"/>
      <c r="I2764" s="15"/>
      <c r="J2764" s="17">
        <v>302</v>
      </c>
      <c r="K2764" s="15"/>
      <c r="L2764" s="17">
        <v>5</v>
      </c>
      <c r="M2764" s="17">
        <v>10</v>
      </c>
      <c r="N2764" s="17">
        <v>5</v>
      </c>
      <c r="O2764" s="18">
        <v>506.53</v>
      </c>
      <c r="P2764" s="18">
        <v>415.19</v>
      </c>
      <c r="Q2764" s="18">
        <v>405.22</v>
      </c>
      <c r="R2764" s="18">
        <v>332.15</v>
      </c>
      <c r="S2764" s="18">
        <v>344.44</v>
      </c>
      <c r="T2764" s="18">
        <v>282.33</v>
      </c>
      <c r="U2764" s="16"/>
      <c r="V2764" s="16"/>
      <c r="W2764" s="16" t="s">
        <v>40</v>
      </c>
      <c r="X2764" s="19">
        <v>3.2000000000000001E-2</v>
      </c>
      <c r="Y2764" s="20">
        <v>2.32E-4</v>
      </c>
      <c r="Z2764" s="21">
        <v>4601004120846</v>
      </c>
    </row>
    <row r="2765" spans="1:26" ht="12" customHeight="1" outlineLevel="4" x14ac:dyDescent="0.2">
      <c r="A2765" s="14" t="s">
        <v>5415</v>
      </c>
      <c r="B2765" s="26" t="s">
        <v>5416</v>
      </c>
      <c r="C2765" s="52"/>
      <c r="D2765" s="55">
        <f t="shared" si="43"/>
        <v>0</v>
      </c>
      <c r="E2765" s="63" t="str">
        <f>HYPERLINK("https://www.sds-group.ru/product/tumbler-12v-30a-3c-vkl-vykl-odnopolyusnyy-s-siney-podsvetkoy-asw-07d-2-rexant-36-4351/", "Инфо")</f>
        <v>Инфо</v>
      </c>
      <c r="F2765" s="16" t="s">
        <v>39</v>
      </c>
      <c r="G2765" s="15"/>
      <c r="H2765" s="15"/>
      <c r="I2765" s="15"/>
      <c r="J2765" s="17">
        <v>610</v>
      </c>
      <c r="K2765" s="15"/>
      <c r="L2765" s="17">
        <v>10</v>
      </c>
      <c r="M2765" s="17">
        <v>500</v>
      </c>
      <c r="N2765" s="17">
        <v>10</v>
      </c>
      <c r="O2765" s="18">
        <v>479.55</v>
      </c>
      <c r="P2765" s="18">
        <v>393.07</v>
      </c>
      <c r="Q2765" s="18">
        <v>407.62</v>
      </c>
      <c r="R2765" s="18">
        <v>334.11</v>
      </c>
      <c r="S2765" s="18">
        <v>326.08999999999997</v>
      </c>
      <c r="T2765" s="18">
        <v>267.29000000000002</v>
      </c>
      <c r="U2765" s="16"/>
      <c r="V2765" s="16"/>
      <c r="W2765" s="16" t="s">
        <v>40</v>
      </c>
      <c r="X2765" s="19">
        <v>2.5000000000000001E-2</v>
      </c>
      <c r="Y2765" s="20">
        <v>5.1999999999999997E-5</v>
      </c>
      <c r="Z2765" s="21">
        <v>4601004037755</v>
      </c>
    </row>
    <row r="2766" spans="1:26" ht="12.95" customHeight="1" outlineLevel="3" x14ac:dyDescent="0.2">
      <c r="A2766" s="76" t="s">
        <v>5417</v>
      </c>
      <c r="B2766" s="76"/>
      <c r="C2766" s="77"/>
      <c r="D2766" s="58"/>
      <c r="E2766" s="68"/>
      <c r="F2766" s="13"/>
      <c r="G2766" s="13"/>
      <c r="H2766" s="13"/>
      <c r="I2766" s="13"/>
      <c r="J2766" s="13"/>
      <c r="K2766" s="13"/>
      <c r="L2766" s="13"/>
      <c r="M2766" s="13"/>
      <c r="N2766" s="13"/>
      <c r="O2766" s="13"/>
      <c r="P2766" s="13"/>
      <c r="Q2766" s="13"/>
      <c r="R2766" s="13"/>
      <c r="S2766" s="13"/>
      <c r="T2766" s="13"/>
      <c r="U2766" s="13"/>
      <c r="V2766" s="13"/>
      <c r="W2766" s="13"/>
      <c r="X2766" s="13"/>
      <c r="Y2766" s="13"/>
      <c r="Z2766" s="13"/>
    </row>
    <row r="2767" spans="1:26" ht="12" customHeight="1" outlineLevel="4" x14ac:dyDescent="0.2">
      <c r="A2767" s="14" t="s">
        <v>5418</v>
      </c>
      <c r="B2767" s="26" t="s">
        <v>5419</v>
      </c>
      <c r="C2767" s="52"/>
      <c r="D2767" s="55">
        <f t="shared" si="43"/>
        <v>0</v>
      </c>
      <c r="E2767" s="63" t="str">
        <f>HYPERLINK("https://www.sds-group.ru/product/tumbler-24v-20a-3c-vkl-vykl-odnopolyusnyy-s-krasnoy-podsvetkoy-asw-07d-rexant-36-4360/", "Инфо")</f>
        <v>Инфо</v>
      </c>
      <c r="F2767" s="16" t="s">
        <v>39</v>
      </c>
      <c r="G2767" s="15"/>
      <c r="H2767" s="15"/>
      <c r="I2767" s="15"/>
      <c r="J2767" s="22">
        <v>1960</v>
      </c>
      <c r="K2767" s="15" t="s">
        <v>1055</v>
      </c>
      <c r="L2767" s="17">
        <v>10</v>
      </c>
      <c r="M2767" s="17">
        <v>500</v>
      </c>
      <c r="N2767" s="17">
        <v>10</v>
      </c>
      <c r="O2767" s="18">
        <v>436.2</v>
      </c>
      <c r="P2767" s="18">
        <v>357.54</v>
      </c>
      <c r="Q2767" s="18">
        <v>370.77</v>
      </c>
      <c r="R2767" s="18">
        <v>303.91000000000003</v>
      </c>
      <c r="S2767" s="18">
        <v>296.62</v>
      </c>
      <c r="T2767" s="18">
        <v>243.13</v>
      </c>
      <c r="U2767" s="16"/>
      <c r="V2767" s="16"/>
      <c r="W2767" s="16" t="s">
        <v>40</v>
      </c>
      <c r="X2767" s="19">
        <v>2.5000000000000001E-2</v>
      </c>
      <c r="Y2767" s="20">
        <v>5.3999999999999998E-5</v>
      </c>
      <c r="Z2767" s="21">
        <v>4601004118164</v>
      </c>
    </row>
    <row r="2768" spans="1:26" ht="12" customHeight="1" outlineLevel="4" x14ac:dyDescent="0.2">
      <c r="A2768" s="14" t="s">
        <v>5420</v>
      </c>
      <c r="B2768" s="26" t="s">
        <v>5421</v>
      </c>
      <c r="C2768" s="52"/>
      <c r="D2768" s="55">
        <f t="shared" si="43"/>
        <v>0</v>
      </c>
      <c r="E2768" s="63" t="str">
        <f>HYPERLINK("https://www.sds-group.ru/product/tumbler-24v-20a-3c-vkl-vykl-odnopolyusnyy-s-krasnoy-podsvetkoy-asw-13d-rexant-36-4390/", "Инфо")</f>
        <v>Инфо</v>
      </c>
      <c r="F2768" s="16" t="s">
        <v>39</v>
      </c>
      <c r="G2768" s="15"/>
      <c r="H2768" s="15"/>
      <c r="I2768" s="15"/>
      <c r="J2768" s="22">
        <v>3450</v>
      </c>
      <c r="K2768" s="15"/>
      <c r="L2768" s="17">
        <v>10</v>
      </c>
      <c r="M2768" s="22">
        <v>2000</v>
      </c>
      <c r="N2768" s="17">
        <v>10</v>
      </c>
      <c r="O2768" s="18">
        <v>142.35</v>
      </c>
      <c r="P2768" s="18">
        <v>116.68</v>
      </c>
      <c r="Q2768" s="18">
        <v>121</v>
      </c>
      <c r="R2768" s="18">
        <v>99.18</v>
      </c>
      <c r="S2768" s="18">
        <v>96.8</v>
      </c>
      <c r="T2768" s="18">
        <v>79.34</v>
      </c>
      <c r="U2768" s="16"/>
      <c r="V2768" s="16"/>
      <c r="W2768" s="16" t="s">
        <v>40</v>
      </c>
      <c r="X2768" s="19">
        <v>0.01</v>
      </c>
      <c r="Y2768" s="20">
        <v>2.5000000000000001E-5</v>
      </c>
      <c r="Z2768" s="21">
        <v>4601004118102</v>
      </c>
    </row>
    <row r="2769" spans="1:26" ht="12.95" customHeight="1" outlineLevel="3" x14ac:dyDescent="0.2">
      <c r="A2769" s="76" t="s">
        <v>5422</v>
      </c>
      <c r="B2769" s="76"/>
      <c r="C2769" s="77"/>
      <c r="D2769" s="58"/>
      <c r="E2769" s="68"/>
      <c r="F2769" s="13"/>
      <c r="G2769" s="13"/>
      <c r="H2769" s="13"/>
      <c r="I2769" s="13"/>
      <c r="J2769" s="13"/>
      <c r="K2769" s="13"/>
      <c r="L2769" s="13"/>
      <c r="M2769" s="13"/>
      <c r="N2769" s="13"/>
      <c r="O2769" s="13"/>
      <c r="P2769" s="13"/>
      <c r="Q2769" s="13"/>
      <c r="R2769" s="13"/>
      <c r="S2769" s="13"/>
      <c r="T2769" s="13"/>
      <c r="U2769" s="13"/>
      <c r="V2769" s="13"/>
      <c r="W2769" s="13"/>
      <c r="X2769" s="13"/>
      <c r="Y2769" s="13"/>
      <c r="Z2769" s="13"/>
    </row>
    <row r="2770" spans="1:26" ht="12" customHeight="1" outlineLevel="4" x14ac:dyDescent="0.2">
      <c r="A2770" s="14" t="s">
        <v>5423</v>
      </c>
      <c r="B2770" s="26" t="s">
        <v>5424</v>
      </c>
      <c r="C2770" s="52"/>
      <c r="D2770" s="55">
        <f t="shared" si="43"/>
        <v>0</v>
      </c>
      <c r="E2770" s="63" t="str">
        <f>HYPERLINK("https://www.sds-group.ru/product/tumbler-250v-10a-2c-vkl-vykl-odnopolyusnyy-mini-asw-23-rexant-36-4310/", "Инфо")</f>
        <v>Инфо</v>
      </c>
      <c r="F2770" s="16" t="s">
        <v>39</v>
      </c>
      <c r="G2770" s="15"/>
      <c r="H2770" s="15"/>
      <c r="I2770" s="15"/>
      <c r="J2770" s="22">
        <v>3080</v>
      </c>
      <c r="K2770" s="15"/>
      <c r="L2770" s="17">
        <v>10</v>
      </c>
      <c r="M2770" s="17">
        <v>500</v>
      </c>
      <c r="N2770" s="17">
        <v>10</v>
      </c>
      <c r="O2770" s="18">
        <v>295.64</v>
      </c>
      <c r="P2770" s="18">
        <v>242.33</v>
      </c>
      <c r="Q2770" s="18">
        <v>251.29</v>
      </c>
      <c r="R2770" s="18">
        <v>205.98</v>
      </c>
      <c r="S2770" s="18">
        <v>201.04</v>
      </c>
      <c r="T2770" s="18">
        <v>164.79</v>
      </c>
      <c r="U2770" s="16"/>
      <c r="V2770" s="16"/>
      <c r="W2770" s="16" t="s">
        <v>40</v>
      </c>
      <c r="X2770" s="19">
        <v>2.1999999999999999E-2</v>
      </c>
      <c r="Y2770" s="20">
        <v>5.5000000000000002E-5</v>
      </c>
      <c r="Z2770" s="21">
        <v>4601004037687</v>
      </c>
    </row>
    <row r="2771" spans="1:26" ht="12" customHeight="1" outlineLevel="4" x14ac:dyDescent="0.2">
      <c r="A2771" s="14" t="s">
        <v>5425</v>
      </c>
      <c r="B2771" s="26" t="s">
        <v>5426</v>
      </c>
      <c r="C2771" s="52"/>
      <c r="D2771" s="55">
        <f t="shared" si="43"/>
        <v>0</v>
      </c>
      <c r="E2771" s="63" t="str">
        <f>HYPERLINK("https://www.sds-group.ru/product/tumbler-220v-10a-2c-vkl-vykl-odnopolyusnyy-mini-asw-23-rexant-v-upak-1sht-36-4310-1/", "Инфо")</f>
        <v>Инфо</v>
      </c>
      <c r="F2771" s="16" t="s">
        <v>39</v>
      </c>
      <c r="G2771" s="15"/>
      <c r="H2771" s="15"/>
      <c r="I2771" s="15"/>
      <c r="J2771" s="17">
        <v>190</v>
      </c>
      <c r="K2771" s="15"/>
      <c r="L2771" s="17">
        <v>5</v>
      </c>
      <c r="M2771" s="17">
        <v>200</v>
      </c>
      <c r="N2771" s="17">
        <v>5</v>
      </c>
      <c r="O2771" s="18">
        <v>396.21</v>
      </c>
      <c r="P2771" s="18">
        <v>324.76</v>
      </c>
      <c r="Q2771" s="18">
        <v>336.78</v>
      </c>
      <c r="R2771" s="18">
        <v>276.05</v>
      </c>
      <c r="S2771" s="18">
        <v>269.42</v>
      </c>
      <c r="T2771" s="18">
        <v>220.84</v>
      </c>
      <c r="U2771" s="16"/>
      <c r="V2771" s="16"/>
      <c r="W2771" s="16" t="s">
        <v>40</v>
      </c>
      <c r="X2771" s="19">
        <v>1.2E-2</v>
      </c>
      <c r="Y2771" s="20">
        <v>1.3300000000000001E-4</v>
      </c>
      <c r="Z2771" s="21">
        <v>4601004117860</v>
      </c>
    </row>
    <row r="2772" spans="1:26" ht="12" customHeight="1" outlineLevel="4" x14ac:dyDescent="0.2">
      <c r="A2772" s="32" t="s">
        <v>5427</v>
      </c>
      <c r="B2772" s="74" t="s">
        <v>5428</v>
      </c>
      <c r="C2772" s="50"/>
      <c r="D2772" s="53">
        <f t="shared" si="43"/>
        <v>0</v>
      </c>
      <c r="E2772" s="60" t="str">
        <f>HYPERLINK("https://www.sds-group.ru/product/tumbler-250v-10a-3c-vkl-vykl-vkl-odnopolyusnoy-kn-113-rexant-36-4151/", "Инфо")</f>
        <v>Инфо</v>
      </c>
      <c r="F2772" s="34" t="s">
        <v>39</v>
      </c>
      <c r="G2772" s="33"/>
      <c r="H2772" s="33" t="s">
        <v>40</v>
      </c>
      <c r="I2772" s="33"/>
      <c r="J2772" s="39">
        <v>1450</v>
      </c>
      <c r="K2772" s="33"/>
      <c r="L2772" s="35">
        <v>10</v>
      </c>
      <c r="M2772" s="35">
        <v>500</v>
      </c>
      <c r="N2772" s="35">
        <v>10</v>
      </c>
      <c r="O2772" s="36">
        <v>268.37</v>
      </c>
      <c r="P2772" s="36">
        <v>219.98</v>
      </c>
      <c r="Q2772" s="36">
        <v>187.86</v>
      </c>
      <c r="R2772" s="36">
        <v>153.97999999999999</v>
      </c>
      <c r="S2772" s="36">
        <v>182.49</v>
      </c>
      <c r="T2772" s="36">
        <v>149.58000000000001</v>
      </c>
      <c r="U2772" s="34"/>
      <c r="V2772" s="34"/>
      <c r="W2772" s="34"/>
      <c r="X2772" s="37">
        <v>0.03</v>
      </c>
      <c r="Y2772" s="38">
        <v>5.0000000000000002E-5</v>
      </c>
      <c r="Z2772" s="21">
        <v>4601004037632</v>
      </c>
    </row>
    <row r="2773" spans="1:26" ht="12" customHeight="1" outlineLevel="4" x14ac:dyDescent="0.2">
      <c r="A2773" s="14" t="s">
        <v>5429</v>
      </c>
      <c r="B2773" s="26" t="s">
        <v>5430</v>
      </c>
      <c r="C2773" s="52"/>
      <c r="D2773" s="55">
        <f t="shared" si="43"/>
        <v>0</v>
      </c>
      <c r="E2773" s="63" t="str">
        <f>HYPERLINK("https://www.sds-group.ru/product/tumbler-250v-15a-2c-vkl-vykl-odnopolyusnyy-kn-101-rexant-36-4110/", "Инфо")</f>
        <v>Инфо</v>
      </c>
      <c r="F2773" s="16" t="s">
        <v>39</v>
      </c>
      <c r="G2773" s="15"/>
      <c r="H2773" s="15"/>
      <c r="I2773" s="15"/>
      <c r="J2773" s="22">
        <v>3860</v>
      </c>
      <c r="K2773" s="15" t="s">
        <v>1058</v>
      </c>
      <c r="L2773" s="17">
        <v>10</v>
      </c>
      <c r="M2773" s="17">
        <v>500</v>
      </c>
      <c r="N2773" s="17">
        <v>10</v>
      </c>
      <c r="O2773" s="18">
        <v>169.87</v>
      </c>
      <c r="P2773" s="18">
        <v>139.24</v>
      </c>
      <c r="Q2773" s="18">
        <v>144.38999999999999</v>
      </c>
      <c r="R2773" s="18">
        <v>118.35</v>
      </c>
      <c r="S2773" s="18">
        <v>115.51</v>
      </c>
      <c r="T2773" s="18">
        <v>94.68</v>
      </c>
      <c r="U2773" s="16"/>
      <c r="V2773" s="16"/>
      <c r="W2773" s="16" t="s">
        <v>40</v>
      </c>
      <c r="X2773" s="19">
        <v>2.8000000000000001E-2</v>
      </c>
      <c r="Y2773" s="20">
        <v>5.1999999999999997E-5</v>
      </c>
      <c r="Z2773" s="21">
        <v>4601004028944</v>
      </c>
    </row>
    <row r="2774" spans="1:26" ht="12" customHeight="1" outlineLevel="4" x14ac:dyDescent="0.2">
      <c r="A2774" s="14" t="s">
        <v>5431</v>
      </c>
      <c r="B2774" s="26" t="s">
        <v>5432</v>
      </c>
      <c r="C2774" s="52"/>
      <c r="D2774" s="55">
        <f t="shared" si="43"/>
        <v>0</v>
      </c>
      <c r="E2774" s="63" t="str">
        <f>HYPERLINK("https://www.sds-group.ru/product/tumbler-250v-15a-2c-vkl-vykl-odnopolyusnyy-kn-101-rexant-v-upak-1sht-06-0324-A/", "Инфо")</f>
        <v>Инфо</v>
      </c>
      <c r="F2774" s="16" t="s">
        <v>39</v>
      </c>
      <c r="G2774" s="15"/>
      <c r="H2774" s="15"/>
      <c r="I2774" s="15"/>
      <c r="J2774" s="22">
        <v>4646</v>
      </c>
      <c r="K2774" s="15"/>
      <c r="L2774" s="17">
        <v>5</v>
      </c>
      <c r="M2774" s="17">
        <v>10</v>
      </c>
      <c r="N2774" s="17">
        <v>5</v>
      </c>
      <c r="O2774" s="18">
        <v>301.39999999999998</v>
      </c>
      <c r="P2774" s="18">
        <v>247.05</v>
      </c>
      <c r="Q2774" s="18">
        <v>256.19</v>
      </c>
      <c r="R2774" s="18">
        <v>209.99</v>
      </c>
      <c r="S2774" s="18">
        <v>204.95</v>
      </c>
      <c r="T2774" s="18">
        <v>167.99</v>
      </c>
      <c r="U2774" s="16"/>
      <c r="V2774" s="16"/>
      <c r="W2774" s="16" t="s">
        <v>40</v>
      </c>
      <c r="X2774" s="19">
        <v>3.2000000000000001E-2</v>
      </c>
      <c r="Y2774" s="20">
        <v>1.3999999999999999E-4</v>
      </c>
      <c r="Z2774" s="21">
        <v>4601004120747</v>
      </c>
    </row>
    <row r="2775" spans="1:26" ht="12" customHeight="1" outlineLevel="4" x14ac:dyDescent="0.2">
      <c r="A2775" s="14" t="s">
        <v>5433</v>
      </c>
      <c r="B2775" s="26" t="s">
        <v>5434</v>
      </c>
      <c r="C2775" s="52"/>
      <c r="D2775" s="55">
        <f t="shared" si="43"/>
        <v>0</v>
      </c>
      <c r="E2775" s="63" t="str">
        <f>HYPERLINK("https://www.sds-group.ru/product/tumbler-250v-15a-3c-vkl-vykl-vkl-odnopolyusnoy-kn-123-rexant-36-4152/", "Инфо")</f>
        <v>Инфо</v>
      </c>
      <c r="F2775" s="16" t="s">
        <v>39</v>
      </c>
      <c r="G2775" s="15"/>
      <c r="H2775" s="15"/>
      <c r="I2775" s="15"/>
      <c r="J2775" s="17">
        <v>800</v>
      </c>
      <c r="K2775" s="15" t="s">
        <v>1055</v>
      </c>
      <c r="L2775" s="17">
        <v>10</v>
      </c>
      <c r="M2775" s="17">
        <v>500</v>
      </c>
      <c r="N2775" s="17">
        <v>10</v>
      </c>
      <c r="O2775" s="18">
        <v>382.72</v>
      </c>
      <c r="P2775" s="18">
        <v>313.7</v>
      </c>
      <c r="Q2775" s="18">
        <v>325.31</v>
      </c>
      <c r="R2775" s="18">
        <v>266.64999999999998</v>
      </c>
      <c r="S2775" s="18">
        <v>260.25</v>
      </c>
      <c r="T2775" s="18">
        <v>213.32</v>
      </c>
      <c r="U2775" s="16"/>
      <c r="V2775" s="16"/>
      <c r="W2775" s="16" t="s">
        <v>40</v>
      </c>
      <c r="X2775" s="19">
        <v>0.03</v>
      </c>
      <c r="Y2775" s="20">
        <v>5.0000000000000002E-5</v>
      </c>
      <c r="Z2775" s="21">
        <v>4601004037649</v>
      </c>
    </row>
    <row r="2776" spans="1:26" ht="12" customHeight="1" outlineLevel="4" x14ac:dyDescent="0.2">
      <c r="A2776" s="14" t="s">
        <v>5435</v>
      </c>
      <c r="B2776" s="26" t="s">
        <v>5436</v>
      </c>
      <c r="C2776" s="52"/>
      <c r="D2776" s="55">
        <f t="shared" si="43"/>
        <v>0</v>
      </c>
      <c r="E2776" s="63" t="str">
        <f>HYPERLINK("https://www.sds-group.ru/product/tumbler-250v-15a-3c-vkl-vkl-odnopolyusnyy-kn-102-rexant-36-4111/", "Инфо")</f>
        <v>Инфо</v>
      </c>
      <c r="F2776" s="16" t="s">
        <v>39</v>
      </c>
      <c r="G2776" s="15"/>
      <c r="H2776" s="15"/>
      <c r="I2776" s="15"/>
      <c r="J2776" s="22">
        <v>2970</v>
      </c>
      <c r="K2776" s="15"/>
      <c r="L2776" s="17">
        <v>10</v>
      </c>
      <c r="M2776" s="17">
        <v>500</v>
      </c>
      <c r="N2776" s="17">
        <v>10</v>
      </c>
      <c r="O2776" s="18">
        <v>213.41</v>
      </c>
      <c r="P2776" s="18">
        <v>174.93</v>
      </c>
      <c r="Q2776" s="18">
        <v>181.4</v>
      </c>
      <c r="R2776" s="18">
        <v>148.69</v>
      </c>
      <c r="S2776" s="18">
        <v>145.12</v>
      </c>
      <c r="T2776" s="18">
        <v>118.95</v>
      </c>
      <c r="U2776" s="16"/>
      <c r="V2776" s="16"/>
      <c r="W2776" s="16" t="s">
        <v>40</v>
      </c>
      <c r="X2776" s="19">
        <v>2.8000000000000001E-2</v>
      </c>
      <c r="Y2776" s="20">
        <v>6.6000000000000005E-5</v>
      </c>
      <c r="Z2776" s="21">
        <v>4601004028913</v>
      </c>
    </row>
    <row r="2777" spans="1:26" ht="12" customHeight="1" outlineLevel="4" x14ac:dyDescent="0.2">
      <c r="A2777" s="14" t="s">
        <v>5437</v>
      </c>
      <c r="B2777" s="26" t="s">
        <v>5438</v>
      </c>
      <c r="C2777" s="52"/>
      <c r="D2777" s="55">
        <f t="shared" si="43"/>
        <v>0</v>
      </c>
      <c r="E2777" s="63" t="str">
        <f>HYPERLINK("https://www.sds-group.ru/product/tumbler-250v-15a-3c-vkl-vykl-vkl-odnopolyusnyy-kn-103-rexant-36-4112/", "Инфо")</f>
        <v>Инфо</v>
      </c>
      <c r="F2777" s="16" t="s">
        <v>39</v>
      </c>
      <c r="G2777" s="15"/>
      <c r="H2777" s="15"/>
      <c r="I2777" s="15"/>
      <c r="J2777" s="22">
        <v>1460</v>
      </c>
      <c r="K2777" s="15" t="s">
        <v>1126</v>
      </c>
      <c r="L2777" s="17">
        <v>10</v>
      </c>
      <c r="M2777" s="17">
        <v>500</v>
      </c>
      <c r="N2777" s="17">
        <v>10</v>
      </c>
      <c r="O2777" s="18">
        <v>185.85</v>
      </c>
      <c r="P2777" s="18">
        <v>152.34</v>
      </c>
      <c r="Q2777" s="18">
        <v>157.97</v>
      </c>
      <c r="R2777" s="18">
        <v>129.47999999999999</v>
      </c>
      <c r="S2777" s="18">
        <v>126.38</v>
      </c>
      <c r="T2777" s="18">
        <v>103.59</v>
      </c>
      <c r="U2777" s="16"/>
      <c r="V2777" s="16"/>
      <c r="W2777" s="16" t="s">
        <v>40</v>
      </c>
      <c r="X2777" s="19">
        <v>2.8000000000000001E-2</v>
      </c>
      <c r="Y2777" s="20">
        <v>6.3E-5</v>
      </c>
      <c r="Z2777" s="21">
        <v>4601004028920</v>
      </c>
    </row>
    <row r="2778" spans="1:26" ht="12" customHeight="1" outlineLevel="4" x14ac:dyDescent="0.2">
      <c r="A2778" s="14" t="s">
        <v>5439</v>
      </c>
      <c r="B2778" s="26" t="s">
        <v>5440</v>
      </c>
      <c r="C2778" s="52"/>
      <c r="D2778" s="55">
        <f t="shared" si="43"/>
        <v>0</v>
      </c>
      <c r="E2778" s="63" t="str">
        <f>HYPERLINK("https://www.sds-group.ru/product/tumbler-250v-15a-4c-vkl-vykl-dvuhpolyusnyy-kn-201-rexant-36-4130/", "Инфо")</f>
        <v>Инфо</v>
      </c>
      <c r="F2778" s="16" t="s">
        <v>39</v>
      </c>
      <c r="G2778" s="15"/>
      <c r="H2778" s="15"/>
      <c r="I2778" s="15"/>
      <c r="J2778" s="22">
        <v>3640</v>
      </c>
      <c r="K2778" s="15"/>
      <c r="L2778" s="17">
        <v>10</v>
      </c>
      <c r="M2778" s="17">
        <v>500</v>
      </c>
      <c r="N2778" s="17">
        <v>10</v>
      </c>
      <c r="O2778" s="18">
        <v>212.01</v>
      </c>
      <c r="P2778" s="18">
        <v>173.78</v>
      </c>
      <c r="Q2778" s="18">
        <v>180.21</v>
      </c>
      <c r="R2778" s="18">
        <v>147.71</v>
      </c>
      <c r="S2778" s="18">
        <v>144.16999999999999</v>
      </c>
      <c r="T2778" s="18">
        <v>118.17</v>
      </c>
      <c r="U2778" s="16"/>
      <c r="V2778" s="16"/>
      <c r="W2778" s="16" t="s">
        <v>40</v>
      </c>
      <c r="X2778" s="19">
        <v>3.5999999999999997E-2</v>
      </c>
      <c r="Y2778" s="20">
        <v>8.3999999999999995E-5</v>
      </c>
      <c r="Z2778" s="21">
        <v>4601004028937</v>
      </c>
    </row>
    <row r="2779" spans="1:26" ht="12" customHeight="1" outlineLevel="4" x14ac:dyDescent="0.2">
      <c r="A2779" s="14" t="s">
        <v>5441</v>
      </c>
      <c r="B2779" s="26" t="s">
        <v>5442</v>
      </c>
      <c r="C2779" s="52"/>
      <c r="D2779" s="55">
        <f t="shared" si="43"/>
        <v>0</v>
      </c>
      <c r="E2779" s="63" t="str">
        <f>HYPERLINK("https://www.sds-group.ru/product/tumbler-250v-15a-4c-vkl-vykl-dvuhpolyusnyy-kn-201-rexant-v-upak-1sht-06-0326-B/", "Инфо")</f>
        <v>Инфо</v>
      </c>
      <c r="F2779" s="16" t="s">
        <v>39</v>
      </c>
      <c r="G2779" s="15"/>
      <c r="H2779" s="15"/>
      <c r="I2779" s="15"/>
      <c r="J2779" s="17">
        <v>145</v>
      </c>
      <c r="K2779" s="15"/>
      <c r="L2779" s="17">
        <v>5</v>
      </c>
      <c r="M2779" s="17">
        <v>10</v>
      </c>
      <c r="N2779" s="17">
        <v>5</v>
      </c>
      <c r="O2779" s="18">
        <v>352.84</v>
      </c>
      <c r="P2779" s="18">
        <v>289.20999999999998</v>
      </c>
      <c r="Q2779" s="18">
        <v>299.91000000000003</v>
      </c>
      <c r="R2779" s="18">
        <v>245.83</v>
      </c>
      <c r="S2779" s="18">
        <v>239.93</v>
      </c>
      <c r="T2779" s="18">
        <v>196.66</v>
      </c>
      <c r="U2779" s="16"/>
      <c r="V2779" s="16"/>
      <c r="W2779" s="16" t="s">
        <v>40</v>
      </c>
      <c r="X2779" s="19">
        <v>4.2000000000000003E-2</v>
      </c>
      <c r="Y2779" s="20">
        <v>2.4699999999999999E-4</v>
      </c>
      <c r="Z2779" s="21">
        <v>4601004120761</v>
      </c>
    </row>
    <row r="2780" spans="1:26" ht="12" customHeight="1" outlineLevel="4" x14ac:dyDescent="0.2">
      <c r="A2780" s="14" t="s">
        <v>5443</v>
      </c>
      <c r="B2780" s="26" t="s">
        <v>5444</v>
      </c>
      <c r="C2780" s="52"/>
      <c r="D2780" s="55">
        <f t="shared" si="43"/>
        <v>0</v>
      </c>
      <c r="E2780" s="63" t="str">
        <f>HYPERLINK("https://www.sds-group.ru/product/tumbler-250v-15a-6c-vkl-vykl-vkl-dvuhpolyusnyy-kn-223-rexant-36-4172/", "Инфо")</f>
        <v>Инфо</v>
      </c>
      <c r="F2780" s="16" t="s">
        <v>39</v>
      </c>
      <c r="G2780" s="15"/>
      <c r="H2780" s="15"/>
      <c r="I2780" s="15"/>
      <c r="J2780" s="17">
        <v>230</v>
      </c>
      <c r="K2780" s="15" t="s">
        <v>1058</v>
      </c>
      <c r="L2780" s="17">
        <v>10</v>
      </c>
      <c r="M2780" s="17">
        <v>500</v>
      </c>
      <c r="N2780" s="17">
        <v>10</v>
      </c>
      <c r="O2780" s="18">
        <v>427.54</v>
      </c>
      <c r="P2780" s="18">
        <v>350.44</v>
      </c>
      <c r="Q2780" s="18">
        <v>363.41</v>
      </c>
      <c r="R2780" s="18">
        <v>297.88</v>
      </c>
      <c r="S2780" s="18">
        <v>290.73</v>
      </c>
      <c r="T2780" s="18">
        <v>238.3</v>
      </c>
      <c r="U2780" s="16"/>
      <c r="V2780" s="16"/>
      <c r="W2780" s="16" t="s">
        <v>40</v>
      </c>
      <c r="X2780" s="19">
        <v>3.9E-2</v>
      </c>
      <c r="Y2780" s="20">
        <v>8.2999999999999998E-5</v>
      </c>
      <c r="Z2780" s="21">
        <v>4601004037670</v>
      </c>
    </row>
    <row r="2781" spans="1:26" ht="12" customHeight="1" outlineLevel="4" x14ac:dyDescent="0.2">
      <c r="A2781" s="14" t="s">
        <v>5445</v>
      </c>
      <c r="B2781" s="26" t="s">
        <v>5446</v>
      </c>
      <c r="C2781" s="52"/>
      <c r="D2781" s="55">
        <f t="shared" si="43"/>
        <v>0</v>
      </c>
      <c r="E2781" s="63" t="str">
        <f>HYPERLINK("https://www.sds-group.ru/product/tumbler-250v-15a-6c-vkl-vkl-dvuhpolyusnyy-kn-202-rexant-36-4131/", "Инфо")</f>
        <v>Инфо</v>
      </c>
      <c r="F2781" s="16" t="s">
        <v>39</v>
      </c>
      <c r="G2781" s="15"/>
      <c r="H2781" s="15"/>
      <c r="I2781" s="15"/>
      <c r="J2781" s="22">
        <v>8020</v>
      </c>
      <c r="K2781" s="15"/>
      <c r="L2781" s="17">
        <v>10</v>
      </c>
      <c r="M2781" s="17">
        <v>500</v>
      </c>
      <c r="N2781" s="17">
        <v>10</v>
      </c>
      <c r="O2781" s="18">
        <v>224.18</v>
      </c>
      <c r="P2781" s="18">
        <v>183.75</v>
      </c>
      <c r="Q2781" s="18">
        <v>190.55</v>
      </c>
      <c r="R2781" s="18">
        <v>156.19</v>
      </c>
      <c r="S2781" s="18">
        <v>152.44</v>
      </c>
      <c r="T2781" s="18">
        <v>124.95</v>
      </c>
      <c r="U2781" s="16"/>
      <c r="V2781" s="16"/>
      <c r="W2781" s="16" t="s">
        <v>40</v>
      </c>
      <c r="X2781" s="19">
        <v>3.9E-2</v>
      </c>
      <c r="Y2781" s="20">
        <v>8.3999999999999995E-5</v>
      </c>
      <c r="Z2781" s="21">
        <v>4601004028951</v>
      </c>
    </row>
    <row r="2782" spans="1:26" ht="12" customHeight="1" outlineLevel="4" x14ac:dyDescent="0.2">
      <c r="A2782" s="14" t="s">
        <v>5447</v>
      </c>
      <c r="B2782" s="26" t="s">
        <v>5448</v>
      </c>
      <c r="C2782" s="52"/>
      <c r="D2782" s="55">
        <f t="shared" si="43"/>
        <v>0</v>
      </c>
      <c r="E2782" s="63" t="str">
        <f>HYPERLINK("https://www.sds-group.ru/product/tumbler-250v-15a-6c-vkl-vkl-dvuhpolyusnyy-kn-202-rexant-v-upak-1sht-06-0327-B/", "Инфо")</f>
        <v>Инфо</v>
      </c>
      <c r="F2782" s="16" t="s">
        <v>39</v>
      </c>
      <c r="G2782" s="15"/>
      <c r="H2782" s="15"/>
      <c r="I2782" s="15"/>
      <c r="J2782" s="17">
        <v>190</v>
      </c>
      <c r="K2782" s="15"/>
      <c r="L2782" s="17">
        <v>5</v>
      </c>
      <c r="M2782" s="17">
        <v>10</v>
      </c>
      <c r="N2782" s="17">
        <v>5</v>
      </c>
      <c r="O2782" s="18">
        <v>320.75</v>
      </c>
      <c r="P2782" s="18">
        <v>262.91000000000003</v>
      </c>
      <c r="Q2782" s="18">
        <v>272.64</v>
      </c>
      <c r="R2782" s="18">
        <v>223.48</v>
      </c>
      <c r="S2782" s="18">
        <v>218.11</v>
      </c>
      <c r="T2782" s="18">
        <v>178.78</v>
      </c>
      <c r="U2782" s="16"/>
      <c r="V2782" s="16"/>
      <c r="W2782" s="16" t="s">
        <v>40</v>
      </c>
      <c r="X2782" s="19">
        <v>4.3999999999999997E-2</v>
      </c>
      <c r="Y2782" s="20">
        <v>2.43E-4</v>
      </c>
      <c r="Z2782" s="21">
        <v>4601004120778</v>
      </c>
    </row>
    <row r="2783" spans="1:26" ht="12" customHeight="1" outlineLevel="4" x14ac:dyDescent="0.2">
      <c r="A2783" s="14" t="s">
        <v>5449</v>
      </c>
      <c r="B2783" s="26" t="s">
        <v>5450</v>
      </c>
      <c r="C2783" s="52"/>
      <c r="D2783" s="55">
        <f t="shared" si="43"/>
        <v>0</v>
      </c>
      <c r="E2783" s="63" t="str">
        <f>HYPERLINK("https://www.sds-group.ru/product/tumbler-250v-15a-6c-vkl-vykl-vkl-dvuhpolyusnyy-kn-203-rexant-36-4132/", "Инфо")</f>
        <v>Инфо</v>
      </c>
      <c r="F2783" s="16" t="s">
        <v>39</v>
      </c>
      <c r="G2783" s="15"/>
      <c r="H2783" s="15"/>
      <c r="I2783" s="15"/>
      <c r="J2783" s="22">
        <v>5890</v>
      </c>
      <c r="K2783" s="15"/>
      <c r="L2783" s="17">
        <v>10</v>
      </c>
      <c r="M2783" s="17">
        <v>500</v>
      </c>
      <c r="N2783" s="17">
        <v>10</v>
      </c>
      <c r="O2783" s="18">
        <v>241.08</v>
      </c>
      <c r="P2783" s="18">
        <v>197.61</v>
      </c>
      <c r="Q2783" s="18">
        <v>204.92</v>
      </c>
      <c r="R2783" s="18">
        <v>167.97</v>
      </c>
      <c r="S2783" s="18">
        <v>163.93</v>
      </c>
      <c r="T2783" s="18">
        <v>134.37</v>
      </c>
      <c r="U2783" s="16"/>
      <c r="V2783" s="16"/>
      <c r="W2783" s="16" t="s">
        <v>40</v>
      </c>
      <c r="X2783" s="19">
        <v>3.9E-2</v>
      </c>
      <c r="Y2783" s="20">
        <v>8.5000000000000006E-5</v>
      </c>
      <c r="Z2783" s="21">
        <v>4601004028968</v>
      </c>
    </row>
    <row r="2784" spans="1:26" ht="12" customHeight="1" outlineLevel="4" x14ac:dyDescent="0.2">
      <c r="A2784" s="14" t="s">
        <v>5451</v>
      </c>
      <c r="B2784" s="26" t="s">
        <v>5452</v>
      </c>
      <c r="C2784" s="52"/>
      <c r="D2784" s="55">
        <f t="shared" si="43"/>
        <v>0</v>
      </c>
      <c r="E2784" s="63" t="str">
        <f>HYPERLINK("https://www.sds-group.ru/product/tumbler-250v-15a-6c-vkl-vykl-vkl-dvuhpolyusnyy-kn-203-rexant-v-upak-1sht-06-0328-B/", "Инфо")</f>
        <v>Инфо</v>
      </c>
      <c r="F2784" s="16" t="s">
        <v>39</v>
      </c>
      <c r="G2784" s="15"/>
      <c r="H2784" s="15"/>
      <c r="I2784" s="15"/>
      <c r="J2784" s="17">
        <v>186</v>
      </c>
      <c r="K2784" s="15"/>
      <c r="L2784" s="17">
        <v>5</v>
      </c>
      <c r="M2784" s="17">
        <v>10</v>
      </c>
      <c r="N2784" s="17">
        <v>5</v>
      </c>
      <c r="O2784" s="18">
        <v>313.82</v>
      </c>
      <c r="P2784" s="18">
        <v>257.23</v>
      </c>
      <c r="Q2784" s="18">
        <v>266.75</v>
      </c>
      <c r="R2784" s="18">
        <v>218.65</v>
      </c>
      <c r="S2784" s="18">
        <v>213.4</v>
      </c>
      <c r="T2784" s="18">
        <v>174.92</v>
      </c>
      <c r="U2784" s="16"/>
      <c r="V2784" s="16"/>
      <c r="W2784" s="16" t="s">
        <v>40</v>
      </c>
      <c r="X2784" s="19">
        <v>4.3999999999999997E-2</v>
      </c>
      <c r="Y2784" s="20">
        <v>2.6200000000000003E-4</v>
      </c>
      <c r="Z2784" s="21">
        <v>4601004120785</v>
      </c>
    </row>
    <row r="2785" spans="1:26" ht="12" customHeight="1" outlineLevel="4" x14ac:dyDescent="0.2">
      <c r="A2785" s="14" t="s">
        <v>5453</v>
      </c>
      <c r="B2785" s="26" t="s">
        <v>5454</v>
      </c>
      <c r="C2785" s="52"/>
      <c r="D2785" s="55">
        <f t="shared" si="43"/>
        <v>0</v>
      </c>
      <c r="E2785" s="63" t="str">
        <f>HYPERLINK("https://www.sds-group.ru/product/tumbler-250v-3a-3c-vkl-vkl-odnopolyusnyy-mikro-mts-102-rexant-36-4010/", "Инфо")</f>
        <v>Инфо</v>
      </c>
      <c r="F2785" s="16" t="s">
        <v>39</v>
      </c>
      <c r="G2785" s="15"/>
      <c r="H2785" s="15"/>
      <c r="I2785" s="15"/>
      <c r="J2785" s="22">
        <v>12840</v>
      </c>
      <c r="K2785" s="15"/>
      <c r="L2785" s="17">
        <v>10</v>
      </c>
      <c r="M2785" s="22">
        <v>2500</v>
      </c>
      <c r="N2785" s="17">
        <v>10</v>
      </c>
      <c r="O2785" s="18">
        <v>76.47</v>
      </c>
      <c r="P2785" s="18">
        <v>62.68</v>
      </c>
      <c r="Q2785" s="18">
        <v>65</v>
      </c>
      <c r="R2785" s="18">
        <v>53.28</v>
      </c>
      <c r="S2785" s="18">
        <v>52</v>
      </c>
      <c r="T2785" s="18">
        <v>42.62</v>
      </c>
      <c r="U2785" s="16"/>
      <c r="V2785" s="16"/>
      <c r="W2785" s="16" t="s">
        <v>40</v>
      </c>
      <c r="X2785" s="19">
        <v>5.0000000000000001E-3</v>
      </c>
      <c r="Y2785" s="20">
        <v>6.9999999999999999E-6</v>
      </c>
      <c r="Z2785" s="21">
        <v>4601004067561</v>
      </c>
    </row>
    <row r="2786" spans="1:26" ht="12" customHeight="1" outlineLevel="4" x14ac:dyDescent="0.2">
      <c r="A2786" s="14" t="s">
        <v>5455</v>
      </c>
      <c r="B2786" s="26" t="s">
        <v>5456</v>
      </c>
      <c r="C2786" s="52"/>
      <c r="D2786" s="55">
        <f t="shared" si="43"/>
        <v>0</v>
      </c>
      <c r="E2786" s="63" t="str">
        <f>HYPERLINK("https://www.sds-group.ru/product/tumbler-250v-3a-3c-vkl-vykl-vkl-odnopolyusnyy-mikro-mts-103-rexant-36-4011/", "Инфо")</f>
        <v>Инфо</v>
      </c>
      <c r="F2786" s="16" t="s">
        <v>39</v>
      </c>
      <c r="G2786" s="15"/>
      <c r="H2786" s="15"/>
      <c r="I2786" s="15"/>
      <c r="J2786" s="22">
        <v>5847</v>
      </c>
      <c r="K2786" s="15"/>
      <c r="L2786" s="17">
        <v>10</v>
      </c>
      <c r="M2786" s="22">
        <v>5000</v>
      </c>
      <c r="N2786" s="17">
        <v>10</v>
      </c>
      <c r="O2786" s="18">
        <v>91.22</v>
      </c>
      <c r="P2786" s="18">
        <v>74.77</v>
      </c>
      <c r="Q2786" s="18">
        <v>77.540000000000006</v>
      </c>
      <c r="R2786" s="18">
        <v>63.56</v>
      </c>
      <c r="S2786" s="18">
        <v>62.03</v>
      </c>
      <c r="T2786" s="18">
        <v>50.84</v>
      </c>
      <c r="U2786" s="16"/>
      <c r="V2786" s="16"/>
      <c r="W2786" s="16" t="s">
        <v>40</v>
      </c>
      <c r="X2786" s="19">
        <v>5.0000000000000001E-3</v>
      </c>
      <c r="Y2786" s="20">
        <v>6.9999999999999999E-6</v>
      </c>
      <c r="Z2786" s="21">
        <v>4601004067578</v>
      </c>
    </row>
    <row r="2787" spans="1:26" ht="12" customHeight="1" outlineLevel="4" x14ac:dyDescent="0.2">
      <c r="A2787" s="14" t="s">
        <v>5457</v>
      </c>
      <c r="B2787" s="26" t="s">
        <v>5458</v>
      </c>
      <c r="C2787" s="52"/>
      <c r="D2787" s="55">
        <f t="shared" si="43"/>
        <v>0</v>
      </c>
      <c r="E2787" s="63" t="str">
        <f>HYPERLINK("https://www.sds-group.ru/product/tumbler-250v-3a-6c-vkl-vkl-dvuhpolyusnyy-mikro-mts-202-rexant-36-4020/", "Инфо")</f>
        <v>Инфо</v>
      </c>
      <c r="F2787" s="16" t="s">
        <v>39</v>
      </c>
      <c r="G2787" s="15"/>
      <c r="H2787" s="15"/>
      <c r="I2787" s="15"/>
      <c r="J2787" s="16" t="s">
        <v>100</v>
      </c>
      <c r="K2787" s="15" t="s">
        <v>1126</v>
      </c>
      <c r="L2787" s="17">
        <v>10</v>
      </c>
      <c r="M2787" s="22">
        <v>5000</v>
      </c>
      <c r="N2787" s="17">
        <v>10</v>
      </c>
      <c r="O2787" s="18">
        <v>72.510000000000005</v>
      </c>
      <c r="P2787" s="18">
        <v>59.43</v>
      </c>
      <c r="Q2787" s="18">
        <v>61.63</v>
      </c>
      <c r="R2787" s="18">
        <v>50.52</v>
      </c>
      <c r="S2787" s="18">
        <v>49.31</v>
      </c>
      <c r="T2787" s="18">
        <v>40.42</v>
      </c>
      <c r="U2787" s="16"/>
      <c r="V2787" s="16"/>
      <c r="W2787" s="16" t="s">
        <v>40</v>
      </c>
      <c r="X2787" s="19">
        <v>6.0000000000000001E-3</v>
      </c>
      <c r="Y2787" s="20">
        <v>1.0000000000000001E-5</v>
      </c>
      <c r="Z2787" s="21">
        <v>4601004067585</v>
      </c>
    </row>
    <row r="2788" spans="1:26" ht="12" customHeight="1" outlineLevel="4" x14ac:dyDescent="0.2">
      <c r="A2788" s="32" t="s">
        <v>5459</v>
      </c>
      <c r="B2788" s="74" t="s">
        <v>5460</v>
      </c>
      <c r="C2788" s="50"/>
      <c r="D2788" s="53">
        <f t="shared" si="43"/>
        <v>0</v>
      </c>
      <c r="E2788" s="60" t="str">
        <f>HYPERLINK("https://www.sds-group.ru/product/tumbler-250v-3a-6c-vkl-vykl-vkl-dvuhpolyusnyy-mikro-mts-203-rexant-36-4021/", "Инфо")</f>
        <v>Инфо</v>
      </c>
      <c r="F2788" s="34" t="s">
        <v>39</v>
      </c>
      <c r="G2788" s="33"/>
      <c r="H2788" s="33" t="s">
        <v>40</v>
      </c>
      <c r="I2788" s="33"/>
      <c r="J2788" s="39">
        <v>3540</v>
      </c>
      <c r="K2788" s="33"/>
      <c r="L2788" s="35">
        <v>10</v>
      </c>
      <c r="M2788" s="35">
        <v>500</v>
      </c>
      <c r="N2788" s="35">
        <v>10</v>
      </c>
      <c r="O2788" s="36">
        <v>79.180000000000007</v>
      </c>
      <c r="P2788" s="36">
        <v>64.900000000000006</v>
      </c>
      <c r="Q2788" s="36">
        <v>67.3</v>
      </c>
      <c r="R2788" s="36">
        <v>55.16</v>
      </c>
      <c r="S2788" s="36">
        <v>53.84</v>
      </c>
      <c r="T2788" s="36">
        <v>44.13</v>
      </c>
      <c r="U2788" s="34"/>
      <c r="V2788" s="34"/>
      <c r="W2788" s="34" t="s">
        <v>40</v>
      </c>
      <c r="X2788" s="37">
        <v>6.0000000000000001E-3</v>
      </c>
      <c r="Y2788" s="38">
        <v>7.9999999999999996E-6</v>
      </c>
      <c r="Z2788" s="21">
        <v>4601004067592</v>
      </c>
    </row>
    <row r="2789" spans="1:26" ht="12.95" customHeight="1" outlineLevel="3" x14ac:dyDescent="0.2">
      <c r="A2789" s="76" t="s">
        <v>5461</v>
      </c>
      <c r="B2789" s="76"/>
      <c r="C2789" s="77"/>
      <c r="D2789" s="58"/>
      <c r="E2789" s="68"/>
      <c r="F2789" s="13"/>
      <c r="G2789" s="13"/>
      <c r="H2789" s="13"/>
      <c r="I2789" s="13"/>
      <c r="J2789" s="13"/>
      <c r="K2789" s="13"/>
      <c r="L2789" s="13"/>
      <c r="M2789" s="13"/>
      <c r="N2789" s="13"/>
      <c r="O2789" s="13"/>
      <c r="P2789" s="13"/>
      <c r="Q2789" s="13"/>
      <c r="R2789" s="13"/>
      <c r="S2789" s="13"/>
      <c r="T2789" s="13"/>
      <c r="U2789" s="13"/>
      <c r="V2789" s="13"/>
      <c r="W2789" s="13"/>
      <c r="X2789" s="13"/>
      <c r="Y2789" s="13"/>
      <c r="Z2789" s="13"/>
    </row>
    <row r="2790" spans="1:26" ht="12" customHeight="1" outlineLevel="4" x14ac:dyDescent="0.2">
      <c r="A2790" s="14" t="s">
        <v>5462</v>
      </c>
      <c r="B2790" s="26" t="s">
        <v>5463</v>
      </c>
      <c r="C2790" s="52"/>
      <c r="D2790" s="55">
        <f t="shared" si="43"/>
        <v>0</v>
      </c>
      <c r="E2790" s="63" t="str">
        <f>HYPERLINK("https://www.sds-group.ru/product/zaschita-dlya-tumblerov-tipa-kn-silikon-rexant-36-4611/", "Инфо")</f>
        <v>Инфо</v>
      </c>
      <c r="F2790" s="16" t="s">
        <v>39</v>
      </c>
      <c r="G2790" s="15"/>
      <c r="H2790" s="15"/>
      <c r="I2790" s="15"/>
      <c r="J2790" s="22">
        <v>5490</v>
      </c>
      <c r="K2790" s="15"/>
      <c r="L2790" s="17">
        <v>10</v>
      </c>
      <c r="M2790" s="22">
        <v>4000</v>
      </c>
      <c r="N2790" s="17">
        <v>10</v>
      </c>
      <c r="O2790" s="18">
        <v>64.91</v>
      </c>
      <c r="P2790" s="18">
        <v>53.2</v>
      </c>
      <c r="Q2790" s="18">
        <v>55.17</v>
      </c>
      <c r="R2790" s="18">
        <v>45.22</v>
      </c>
      <c r="S2790" s="18">
        <v>44.14</v>
      </c>
      <c r="T2790" s="18">
        <v>36.18</v>
      </c>
      <c r="U2790" s="16"/>
      <c r="V2790" s="16"/>
      <c r="W2790" s="16" t="s">
        <v>40</v>
      </c>
      <c r="X2790" s="19">
        <v>4.0000000000000001E-3</v>
      </c>
      <c r="Y2790" s="20">
        <v>1.4E-5</v>
      </c>
      <c r="Z2790" s="21">
        <v>4601004067653</v>
      </c>
    </row>
    <row r="2791" spans="1:26" ht="12" customHeight="1" outlineLevel="4" x14ac:dyDescent="0.2">
      <c r="A2791" s="14" t="s">
        <v>5464</v>
      </c>
      <c r="B2791" s="26" t="s">
        <v>5465</v>
      </c>
      <c r="C2791" s="52"/>
      <c r="D2791" s="55">
        <f t="shared" si="43"/>
        <v>0</v>
      </c>
      <c r="E2791" s="63" t="str">
        <f>HYPERLINK("https://www.sds-group.ru/product/zaschitnaya-kryshka-dlya-tumblerov-tipa-kn-i-asw-krasnaya-sac-01-rexant-36-4650/", "Инфо")</f>
        <v>Инфо</v>
      </c>
      <c r="F2791" s="16" t="s">
        <v>39</v>
      </c>
      <c r="G2791" s="15"/>
      <c r="H2791" s="15"/>
      <c r="I2791" s="15"/>
      <c r="J2791" s="22">
        <v>2940</v>
      </c>
      <c r="K2791" s="15"/>
      <c r="L2791" s="17">
        <v>10</v>
      </c>
      <c r="M2791" s="17">
        <v>500</v>
      </c>
      <c r="N2791" s="17">
        <v>10</v>
      </c>
      <c r="O2791" s="18">
        <v>133.16</v>
      </c>
      <c r="P2791" s="18">
        <v>109.15</v>
      </c>
      <c r="Q2791" s="18">
        <v>113.19</v>
      </c>
      <c r="R2791" s="18">
        <v>92.78</v>
      </c>
      <c r="S2791" s="18">
        <v>90.55</v>
      </c>
      <c r="T2791" s="18">
        <v>74.22</v>
      </c>
      <c r="U2791" s="16"/>
      <c r="V2791" s="16"/>
      <c r="W2791" s="16" t="s">
        <v>40</v>
      </c>
      <c r="X2791" s="19">
        <v>1.7000000000000001E-2</v>
      </c>
      <c r="Y2791" s="20">
        <v>6.8999999999999997E-5</v>
      </c>
      <c r="Z2791" s="21">
        <v>4601004067660</v>
      </c>
    </row>
    <row r="2792" spans="1:26" ht="12" customHeight="1" outlineLevel="4" x14ac:dyDescent="0.2">
      <c r="A2792" s="14" t="s">
        <v>5466</v>
      </c>
      <c r="B2792" s="26" t="s">
        <v>5467</v>
      </c>
      <c r="C2792" s="52"/>
      <c r="D2792" s="55">
        <f t="shared" si="43"/>
        <v>0</v>
      </c>
      <c r="E2792" s="63" t="str">
        <f>HYPERLINK("https://www.sds-group.ru/product/zaschitnaya-kryshka-dlya-tumblerov-tipa-kn-i-asw-chernaya-sac-01-rexant-36-4651/", "Инфо")</f>
        <v>Инфо</v>
      </c>
      <c r="F2792" s="16" t="s">
        <v>39</v>
      </c>
      <c r="G2792" s="15"/>
      <c r="H2792" s="15"/>
      <c r="I2792" s="15"/>
      <c r="J2792" s="22">
        <v>1470</v>
      </c>
      <c r="K2792" s="15" t="s">
        <v>1058</v>
      </c>
      <c r="L2792" s="17">
        <v>10</v>
      </c>
      <c r="M2792" s="17">
        <v>500</v>
      </c>
      <c r="N2792" s="17">
        <v>10</v>
      </c>
      <c r="O2792" s="18">
        <v>124.42</v>
      </c>
      <c r="P2792" s="18">
        <v>101.98</v>
      </c>
      <c r="Q2792" s="18">
        <v>105.76</v>
      </c>
      <c r="R2792" s="18">
        <v>86.69</v>
      </c>
      <c r="S2792" s="18">
        <v>84.61</v>
      </c>
      <c r="T2792" s="18">
        <v>69.349999999999994</v>
      </c>
      <c r="U2792" s="16"/>
      <c r="V2792" s="16"/>
      <c r="W2792" s="16" t="s">
        <v>40</v>
      </c>
      <c r="X2792" s="19">
        <v>1.7999999999999999E-2</v>
      </c>
      <c r="Y2792" s="20">
        <v>6.7000000000000002E-5</v>
      </c>
      <c r="Z2792" s="21">
        <v>4601004067677</v>
      </c>
    </row>
    <row r="2793" spans="1:26" ht="12.95" customHeight="1" outlineLevel="2" x14ac:dyDescent="0.2">
      <c r="A2793" s="76" t="s">
        <v>5468</v>
      </c>
      <c r="B2793" s="76"/>
      <c r="C2793" s="77"/>
      <c r="D2793" s="58"/>
      <c r="E2793" s="68"/>
      <c r="F2793" s="13"/>
      <c r="G2793" s="13"/>
      <c r="H2793" s="13"/>
      <c r="I2793" s="13"/>
      <c r="J2793" s="13"/>
      <c r="K2793" s="13"/>
      <c r="L2793" s="13"/>
      <c r="M2793" s="13"/>
      <c r="N2793" s="13"/>
      <c r="O2793" s="13"/>
      <c r="P2793" s="13"/>
      <c r="Q2793" s="13"/>
      <c r="R2793" s="13"/>
      <c r="S2793" s="13"/>
      <c r="T2793" s="13"/>
      <c r="U2793" s="13"/>
      <c r="V2793" s="13"/>
      <c r="W2793" s="13"/>
      <c r="X2793" s="13"/>
      <c r="Y2793" s="13"/>
      <c r="Z2793" s="13"/>
    </row>
    <row r="2794" spans="1:26" ht="12.95" customHeight="1" outlineLevel="3" x14ac:dyDescent="0.2">
      <c r="A2794" s="76" t="s">
        <v>5469</v>
      </c>
      <c r="B2794" s="76"/>
      <c r="C2794" s="77"/>
      <c r="D2794" s="58"/>
      <c r="E2794" s="68"/>
      <c r="F2794" s="13"/>
      <c r="G2794" s="13"/>
      <c r="H2794" s="13"/>
      <c r="I2794" s="13"/>
      <c r="J2794" s="13"/>
      <c r="K2794" s="13"/>
      <c r="L2794" s="13"/>
      <c r="M2794" s="13"/>
      <c r="N2794" s="13"/>
      <c r="O2794" s="13"/>
      <c r="P2794" s="13"/>
      <c r="Q2794" s="13"/>
      <c r="R2794" s="13"/>
      <c r="S2794" s="13"/>
      <c r="T2794" s="13"/>
      <c r="U2794" s="13"/>
      <c r="V2794" s="13"/>
      <c r="W2794" s="13"/>
      <c r="X2794" s="13"/>
      <c r="Y2794" s="13"/>
      <c r="Z2794" s="13"/>
    </row>
    <row r="2795" spans="1:26" ht="12" customHeight="1" outlineLevel="4" x14ac:dyDescent="0.2">
      <c r="A2795" s="32" t="s">
        <v>5470</v>
      </c>
      <c r="B2795" s="74" t="s">
        <v>5471</v>
      </c>
      <c r="C2795" s="50"/>
      <c r="D2795" s="53">
        <f t="shared" si="43"/>
        <v>0</v>
      </c>
      <c r="E2795" s="60" t="str">
        <f>HYPERLINK("https://www.sds-group.ru/product/indikator-16-220v-zheltyy-s-podsvetkoy-rwe-510-rexant-36-4792/", "Инфо")</f>
        <v>Инфо</v>
      </c>
      <c r="F2795" s="34" t="s">
        <v>39</v>
      </c>
      <c r="G2795" s="33"/>
      <c r="H2795" s="33" t="s">
        <v>40</v>
      </c>
      <c r="I2795" s="33"/>
      <c r="J2795" s="39">
        <v>1020</v>
      </c>
      <c r="K2795" s="33"/>
      <c r="L2795" s="35">
        <v>10</v>
      </c>
      <c r="M2795" s="39">
        <v>2000</v>
      </c>
      <c r="N2795" s="35">
        <v>10</v>
      </c>
      <c r="O2795" s="36">
        <v>15.27</v>
      </c>
      <c r="P2795" s="36">
        <v>12.52</v>
      </c>
      <c r="Q2795" s="36">
        <v>10.69</v>
      </c>
      <c r="R2795" s="36">
        <v>8.76</v>
      </c>
      <c r="S2795" s="36">
        <v>10.38</v>
      </c>
      <c r="T2795" s="36">
        <v>8.51</v>
      </c>
      <c r="U2795" s="34"/>
      <c r="V2795" s="34"/>
      <c r="W2795" s="34"/>
      <c r="X2795" s="37">
        <v>4.0000000000000001E-3</v>
      </c>
      <c r="Y2795" s="38">
        <v>2.6999999999999999E-5</v>
      </c>
      <c r="Z2795" s="21">
        <v>4601004067462</v>
      </c>
    </row>
    <row r="2796" spans="1:26" ht="12" customHeight="1" outlineLevel="4" x14ac:dyDescent="0.2">
      <c r="A2796" s="32" t="s">
        <v>5472</v>
      </c>
      <c r="B2796" s="74" t="s">
        <v>5473</v>
      </c>
      <c r="C2796" s="50"/>
      <c r="D2796" s="53">
        <f t="shared" si="43"/>
        <v>0</v>
      </c>
      <c r="E2796" s="60" t="str">
        <f>HYPERLINK("https://www.sds-group.ru/product/indikator-granenyy-10-2-220v-zelenyy-s-podsvetkoy-rwe-205-rexant-36-4731/", "Инфо")</f>
        <v>Инфо</v>
      </c>
      <c r="F2796" s="34" t="s">
        <v>39</v>
      </c>
      <c r="G2796" s="33"/>
      <c r="H2796" s="33" t="s">
        <v>40</v>
      </c>
      <c r="I2796" s="33"/>
      <c r="J2796" s="39">
        <v>2450</v>
      </c>
      <c r="K2796" s="33"/>
      <c r="L2796" s="35">
        <v>10</v>
      </c>
      <c r="M2796" s="39">
        <v>2000</v>
      </c>
      <c r="N2796" s="35">
        <v>10</v>
      </c>
      <c r="O2796" s="36">
        <v>42.29</v>
      </c>
      <c r="P2796" s="36">
        <v>34.659999999999997</v>
      </c>
      <c r="Q2796" s="36">
        <v>35.950000000000003</v>
      </c>
      <c r="R2796" s="36">
        <v>29.47</v>
      </c>
      <c r="S2796" s="36">
        <v>28.76</v>
      </c>
      <c r="T2796" s="36">
        <v>23.57</v>
      </c>
      <c r="U2796" s="34"/>
      <c r="V2796" s="34"/>
      <c r="W2796" s="34" t="s">
        <v>40</v>
      </c>
      <c r="X2796" s="37">
        <v>3.0000000000000001E-3</v>
      </c>
      <c r="Y2796" s="38">
        <v>1.1E-5</v>
      </c>
      <c r="Z2796" s="21">
        <v>4601004067806</v>
      </c>
    </row>
    <row r="2797" spans="1:26" ht="12" customHeight="1" outlineLevel="4" x14ac:dyDescent="0.2">
      <c r="A2797" s="32" t="s">
        <v>5474</v>
      </c>
      <c r="B2797" s="74" t="s">
        <v>5475</v>
      </c>
      <c r="C2797" s="50"/>
      <c r="D2797" s="53">
        <f t="shared" si="43"/>
        <v>0</v>
      </c>
      <c r="E2797" s="60" t="str">
        <f>HYPERLINK("https://www.sds-group.ru/product/indikator-granenyy-10-2-220v-krasnyy-s-podsvetkoy-rwe-205-rexant-36-4730/", "Инфо")</f>
        <v>Инфо</v>
      </c>
      <c r="F2797" s="34" t="s">
        <v>39</v>
      </c>
      <c r="G2797" s="33"/>
      <c r="H2797" s="33" t="s">
        <v>40</v>
      </c>
      <c r="I2797" s="33"/>
      <c r="J2797" s="39">
        <v>2770</v>
      </c>
      <c r="K2797" s="33"/>
      <c r="L2797" s="35">
        <v>10</v>
      </c>
      <c r="M2797" s="39">
        <v>2000</v>
      </c>
      <c r="N2797" s="35">
        <v>10</v>
      </c>
      <c r="O2797" s="36">
        <v>42.29</v>
      </c>
      <c r="P2797" s="36">
        <v>34.659999999999997</v>
      </c>
      <c r="Q2797" s="36">
        <v>35.950000000000003</v>
      </c>
      <c r="R2797" s="36">
        <v>29.47</v>
      </c>
      <c r="S2797" s="36">
        <v>28.76</v>
      </c>
      <c r="T2797" s="36">
        <v>23.57</v>
      </c>
      <c r="U2797" s="34"/>
      <c r="V2797" s="34"/>
      <c r="W2797" s="34" t="s">
        <v>40</v>
      </c>
      <c r="X2797" s="37">
        <v>3.0000000000000001E-3</v>
      </c>
      <c r="Y2797" s="38">
        <v>1.4E-5</v>
      </c>
      <c r="Z2797" s="21">
        <v>4601004067790</v>
      </c>
    </row>
    <row r="2798" spans="1:26" ht="12.95" customHeight="1" outlineLevel="3" x14ac:dyDescent="0.2">
      <c r="A2798" s="76" t="s">
        <v>5476</v>
      </c>
      <c r="B2798" s="76"/>
      <c r="C2798" s="77"/>
      <c r="D2798" s="58"/>
      <c r="E2798" s="68"/>
      <c r="F2798" s="13"/>
      <c r="G2798" s="13"/>
      <c r="H2798" s="13"/>
      <c r="I2798" s="13"/>
      <c r="J2798" s="13"/>
      <c r="K2798" s="13"/>
      <c r="L2798" s="13"/>
      <c r="M2798" s="13"/>
      <c r="N2798" s="13"/>
      <c r="O2798" s="13"/>
      <c r="P2798" s="13"/>
      <c r="Q2798" s="13"/>
      <c r="R2798" s="13"/>
      <c r="S2798" s="13"/>
      <c r="T2798" s="13"/>
      <c r="U2798" s="13"/>
      <c r="V2798" s="13"/>
      <c r="W2798" s="13"/>
      <c r="X2798" s="13"/>
      <c r="Y2798" s="13"/>
      <c r="Z2798" s="13"/>
    </row>
    <row r="2799" spans="1:26" ht="12" customHeight="1" outlineLevel="4" x14ac:dyDescent="0.2">
      <c r="A2799" s="14" t="s">
        <v>5477</v>
      </c>
      <c r="B2799" s="26" t="s">
        <v>5478</v>
      </c>
      <c r="C2799" s="52"/>
      <c r="D2799" s="55">
        <f t="shared" si="43"/>
        <v>0</v>
      </c>
      <c r="E2799" s="63" t="str">
        <f>HYPERLINK("https://www.sds-group.ru/product/indikator-8-12v-s-provodom-krasnyy-s-podsvetkoy-wl-04-rexant-36-4710/", "Инфо")</f>
        <v>Инфо</v>
      </c>
      <c r="F2799" s="16" t="s">
        <v>39</v>
      </c>
      <c r="G2799" s="15"/>
      <c r="H2799" s="15"/>
      <c r="I2799" s="15"/>
      <c r="J2799" s="22">
        <v>4170</v>
      </c>
      <c r="K2799" s="15"/>
      <c r="L2799" s="17">
        <v>10</v>
      </c>
      <c r="M2799" s="22">
        <v>2000</v>
      </c>
      <c r="N2799" s="17">
        <v>10</v>
      </c>
      <c r="O2799" s="18">
        <v>91.88</v>
      </c>
      <c r="P2799" s="18">
        <v>75.31</v>
      </c>
      <c r="Q2799" s="18">
        <v>78.099999999999994</v>
      </c>
      <c r="R2799" s="18">
        <v>64.02</v>
      </c>
      <c r="S2799" s="18">
        <v>62.48</v>
      </c>
      <c r="T2799" s="18">
        <v>51.21</v>
      </c>
      <c r="U2799" s="16"/>
      <c r="V2799" s="16"/>
      <c r="W2799" s="16" t="s">
        <v>40</v>
      </c>
      <c r="X2799" s="19">
        <v>3.0000000000000001E-3</v>
      </c>
      <c r="Y2799" s="20">
        <v>1.0000000000000001E-5</v>
      </c>
      <c r="Z2799" s="21">
        <v>4601004067769</v>
      </c>
    </row>
    <row r="2800" spans="1:26" ht="12.95" customHeight="1" outlineLevel="2" x14ac:dyDescent="0.2">
      <c r="A2800" s="76" t="s">
        <v>5479</v>
      </c>
      <c r="B2800" s="76"/>
      <c r="C2800" s="77"/>
      <c r="D2800" s="58"/>
      <c r="E2800" s="68"/>
      <c r="F2800" s="13"/>
      <c r="G2800" s="13"/>
      <c r="H2800" s="13"/>
      <c r="I2800" s="13"/>
      <c r="J2800" s="13"/>
      <c r="K2800" s="13"/>
      <c r="L2800" s="13"/>
      <c r="M2800" s="13"/>
      <c r="N2800" s="13"/>
      <c r="O2800" s="13"/>
      <c r="P2800" s="13"/>
      <c r="Q2800" s="13"/>
      <c r="R2800" s="13"/>
      <c r="S2800" s="13"/>
      <c r="T2800" s="13"/>
      <c r="U2800" s="13"/>
      <c r="V2800" s="13"/>
      <c r="W2800" s="13"/>
      <c r="X2800" s="13"/>
      <c r="Y2800" s="13"/>
      <c r="Z2800" s="13"/>
    </row>
    <row r="2801" spans="1:26" ht="12" customHeight="1" outlineLevel="3" x14ac:dyDescent="0.2">
      <c r="A2801" s="14" t="s">
        <v>5480</v>
      </c>
      <c r="B2801" s="26" t="s">
        <v>5481</v>
      </c>
      <c r="C2801" s="52"/>
      <c r="D2801" s="55">
        <f t="shared" si="43"/>
        <v>0</v>
      </c>
      <c r="E2801" s="63" t="str">
        <f>HYPERLINK("https://www.sds-group.ru/product/indikator-znacheniya-napryazheniya-zheltyy-vd22-70-500-v-36-5002/", "Инфо")</f>
        <v>Инфо</v>
      </c>
      <c r="F2801" s="16" t="s">
        <v>39</v>
      </c>
      <c r="G2801" s="15"/>
      <c r="H2801" s="15"/>
      <c r="I2801" s="15"/>
      <c r="J2801" s="17">
        <v>730</v>
      </c>
      <c r="K2801" s="15"/>
      <c r="L2801" s="17">
        <v>10</v>
      </c>
      <c r="M2801" s="17">
        <v>500</v>
      </c>
      <c r="N2801" s="17">
        <v>10</v>
      </c>
      <c r="O2801" s="18">
        <v>348.94</v>
      </c>
      <c r="P2801" s="18">
        <v>286.02</v>
      </c>
      <c r="Q2801" s="18">
        <v>296.60000000000002</v>
      </c>
      <c r="R2801" s="18">
        <v>243.11</v>
      </c>
      <c r="S2801" s="18">
        <v>237.28</v>
      </c>
      <c r="T2801" s="18">
        <v>194.49</v>
      </c>
      <c r="U2801" s="16"/>
      <c r="V2801" s="16"/>
      <c r="W2801" s="16" t="s">
        <v>40</v>
      </c>
      <c r="X2801" s="19">
        <v>2.4E-2</v>
      </c>
      <c r="Y2801" s="20">
        <v>8.5000000000000006E-5</v>
      </c>
      <c r="Z2801" s="21">
        <v>4601004174061</v>
      </c>
    </row>
    <row r="2802" spans="1:26" ht="12" customHeight="1" outlineLevel="3" x14ac:dyDescent="0.2">
      <c r="A2802" s="14" t="s">
        <v>5482</v>
      </c>
      <c r="B2802" s="26" t="s">
        <v>5483</v>
      </c>
      <c r="C2802" s="52"/>
      <c r="D2802" s="55">
        <f t="shared" si="43"/>
        <v>0</v>
      </c>
      <c r="E2802" s="63" t="str">
        <f>HYPERLINK("https://www.sds-group.ru/product/indikator-znacheniya-napryazheniya-zelenyy-vd22-70-500-v-36-5001/", "Инфо")</f>
        <v>Инфо</v>
      </c>
      <c r="F2802" s="16" t="s">
        <v>39</v>
      </c>
      <c r="G2802" s="15"/>
      <c r="H2802" s="15"/>
      <c r="I2802" s="15"/>
      <c r="J2802" s="22">
        <v>1000</v>
      </c>
      <c r="K2802" s="15" t="s">
        <v>1058</v>
      </c>
      <c r="L2802" s="17">
        <v>10</v>
      </c>
      <c r="M2802" s="17">
        <v>500</v>
      </c>
      <c r="N2802" s="17">
        <v>10</v>
      </c>
      <c r="O2802" s="18">
        <v>367.31</v>
      </c>
      <c r="P2802" s="18">
        <v>301.07</v>
      </c>
      <c r="Q2802" s="18">
        <v>312.20999999999998</v>
      </c>
      <c r="R2802" s="18">
        <v>255.91</v>
      </c>
      <c r="S2802" s="18">
        <v>249.77</v>
      </c>
      <c r="T2802" s="18">
        <v>204.73</v>
      </c>
      <c r="U2802" s="16"/>
      <c r="V2802" s="16"/>
      <c r="W2802" s="16" t="s">
        <v>40</v>
      </c>
      <c r="X2802" s="19">
        <v>2.4E-2</v>
      </c>
      <c r="Y2802" s="20">
        <v>8.1000000000000004E-5</v>
      </c>
      <c r="Z2802" s="21">
        <v>4601004174054</v>
      </c>
    </row>
    <row r="2803" spans="1:26" ht="12" customHeight="1" outlineLevel="3" x14ac:dyDescent="0.2">
      <c r="A2803" s="14" t="s">
        <v>5484</v>
      </c>
      <c r="B2803" s="26" t="s">
        <v>5485</v>
      </c>
      <c r="C2803" s="52"/>
      <c r="D2803" s="55">
        <f t="shared" si="43"/>
        <v>0</v>
      </c>
      <c r="E2803" s="63" t="str">
        <f>HYPERLINK("https://www.sds-group.ru/product/indikator-znacheniya-napryazheniya-krasnyy-vd22-70-500-v-36-5000/", "Инфо")</f>
        <v>Инфо</v>
      </c>
      <c r="F2803" s="16" t="s">
        <v>39</v>
      </c>
      <c r="G2803" s="15"/>
      <c r="H2803" s="15"/>
      <c r="I2803" s="15"/>
      <c r="J2803" s="17">
        <v>860</v>
      </c>
      <c r="K2803" s="15"/>
      <c r="L2803" s="17">
        <v>10</v>
      </c>
      <c r="M2803" s="17">
        <v>500</v>
      </c>
      <c r="N2803" s="17">
        <v>10</v>
      </c>
      <c r="O2803" s="18">
        <v>348.94</v>
      </c>
      <c r="P2803" s="18">
        <v>286.02</v>
      </c>
      <c r="Q2803" s="18">
        <v>296.60000000000002</v>
      </c>
      <c r="R2803" s="18">
        <v>243.11</v>
      </c>
      <c r="S2803" s="18">
        <v>237.28</v>
      </c>
      <c r="T2803" s="18">
        <v>194.49</v>
      </c>
      <c r="U2803" s="16"/>
      <c r="V2803" s="16"/>
      <c r="W2803" s="16" t="s">
        <v>40</v>
      </c>
      <c r="X2803" s="19">
        <v>2.4E-2</v>
      </c>
      <c r="Y2803" s="20">
        <v>8.3999999999999995E-5</v>
      </c>
      <c r="Z2803" s="21">
        <v>4601004174047</v>
      </c>
    </row>
    <row r="2804" spans="1:26" ht="12" customHeight="1" outlineLevel="3" x14ac:dyDescent="0.2">
      <c r="A2804" s="32" t="s">
        <v>5486</v>
      </c>
      <c r="B2804" s="74" t="s">
        <v>5487</v>
      </c>
      <c r="C2804" s="50"/>
      <c r="D2804" s="53">
        <f t="shared" si="43"/>
        <v>0</v>
      </c>
      <c r="E2804" s="60" t="str">
        <f>HYPERLINK("https://www.sds-group.ru/product/matritsa-svetodiodnaya-ad22-230-v-belaya-36-4743/", "Инфо")</f>
        <v>Инфо</v>
      </c>
      <c r="F2804" s="34" t="s">
        <v>39</v>
      </c>
      <c r="G2804" s="33"/>
      <c r="H2804" s="33" t="s">
        <v>40</v>
      </c>
      <c r="I2804" s="33"/>
      <c r="J2804" s="39">
        <v>1000</v>
      </c>
      <c r="K2804" s="33"/>
      <c r="L2804" s="35">
        <v>10</v>
      </c>
      <c r="M2804" s="35">
        <v>500</v>
      </c>
      <c r="N2804" s="35">
        <v>10</v>
      </c>
      <c r="O2804" s="36">
        <v>122.74</v>
      </c>
      <c r="P2804" s="36">
        <v>100.61</v>
      </c>
      <c r="Q2804" s="36">
        <v>85.92</v>
      </c>
      <c r="R2804" s="36">
        <v>70.430000000000007</v>
      </c>
      <c r="S2804" s="36">
        <v>83.46</v>
      </c>
      <c r="T2804" s="36">
        <v>68.41</v>
      </c>
      <c r="U2804" s="34"/>
      <c r="V2804" s="34"/>
      <c r="W2804" s="34"/>
      <c r="X2804" s="37">
        <v>2.1999999999999999E-2</v>
      </c>
      <c r="Y2804" s="38">
        <v>7.7000000000000001E-5</v>
      </c>
      <c r="Z2804" s="21">
        <v>4601004174030</v>
      </c>
    </row>
    <row r="2805" spans="1:26" ht="12" customHeight="1" outlineLevel="3" x14ac:dyDescent="0.2">
      <c r="A2805" s="32" t="s">
        <v>5488</v>
      </c>
      <c r="B2805" s="74" t="s">
        <v>5489</v>
      </c>
      <c r="C2805" s="50"/>
      <c r="D2805" s="53">
        <f t="shared" si="43"/>
        <v>0</v>
      </c>
      <c r="E2805" s="60" t="str">
        <f>HYPERLINK("https://www.sds-group.ru/product/matritsa-svetodiodnaya-ad22-230-v-zheltaya-36-4742/", "Инфо")</f>
        <v>Инфо</v>
      </c>
      <c r="F2805" s="34" t="s">
        <v>39</v>
      </c>
      <c r="G2805" s="33"/>
      <c r="H2805" s="33" t="s">
        <v>40</v>
      </c>
      <c r="I2805" s="33"/>
      <c r="J2805" s="35">
        <v>680</v>
      </c>
      <c r="K2805" s="33"/>
      <c r="L2805" s="35">
        <v>10</v>
      </c>
      <c r="M2805" s="35">
        <v>500</v>
      </c>
      <c r="N2805" s="35">
        <v>10</v>
      </c>
      <c r="O2805" s="36">
        <v>128.87</v>
      </c>
      <c r="P2805" s="36">
        <v>105.63</v>
      </c>
      <c r="Q2805" s="36">
        <v>90.21</v>
      </c>
      <c r="R2805" s="36">
        <v>73.94</v>
      </c>
      <c r="S2805" s="36">
        <v>87.63</v>
      </c>
      <c r="T2805" s="36">
        <v>71.83</v>
      </c>
      <c r="U2805" s="34"/>
      <c r="V2805" s="34"/>
      <c r="W2805" s="34"/>
      <c r="X2805" s="37">
        <v>2.1000000000000001E-2</v>
      </c>
      <c r="Y2805" s="38">
        <v>7.7999999999999999E-5</v>
      </c>
      <c r="Z2805" s="21">
        <v>4601004174023</v>
      </c>
    </row>
    <row r="2806" spans="1:26" ht="12" customHeight="1" outlineLevel="3" x14ac:dyDescent="0.2">
      <c r="A2806" s="14" t="s">
        <v>5490</v>
      </c>
      <c r="B2806" s="26" t="s">
        <v>5491</v>
      </c>
      <c r="C2806" s="52"/>
      <c r="D2806" s="55">
        <f t="shared" si="43"/>
        <v>0</v>
      </c>
      <c r="E2806" s="63" t="str">
        <f>HYPERLINK("https://www.sds-group.ru/product/matritsa-svetodiodnaya-ad22-230-v-zelenaya-36-4741/", "Инфо")</f>
        <v>Инфо</v>
      </c>
      <c r="F2806" s="16" t="s">
        <v>39</v>
      </c>
      <c r="G2806" s="15"/>
      <c r="H2806" s="15"/>
      <c r="I2806" s="15"/>
      <c r="J2806" s="17">
        <v>430</v>
      </c>
      <c r="K2806" s="15"/>
      <c r="L2806" s="17">
        <v>10</v>
      </c>
      <c r="M2806" s="17">
        <v>500</v>
      </c>
      <c r="N2806" s="17">
        <v>10</v>
      </c>
      <c r="O2806" s="18">
        <v>132.56</v>
      </c>
      <c r="P2806" s="18">
        <v>108.66</v>
      </c>
      <c r="Q2806" s="18">
        <v>112.68</v>
      </c>
      <c r="R2806" s="18">
        <v>92.36</v>
      </c>
      <c r="S2806" s="18">
        <v>90.14</v>
      </c>
      <c r="T2806" s="18">
        <v>73.89</v>
      </c>
      <c r="U2806" s="16"/>
      <c r="V2806" s="16"/>
      <c r="W2806" s="16" t="s">
        <v>40</v>
      </c>
      <c r="X2806" s="19">
        <v>1.9E-2</v>
      </c>
      <c r="Y2806" s="20">
        <v>6.3999999999999997E-5</v>
      </c>
      <c r="Z2806" s="21">
        <v>4601004174016</v>
      </c>
    </row>
    <row r="2807" spans="1:26" ht="12" customHeight="1" outlineLevel="3" x14ac:dyDescent="0.2">
      <c r="A2807" s="14" t="s">
        <v>5492</v>
      </c>
      <c r="B2807" s="26" t="s">
        <v>5493</v>
      </c>
      <c r="C2807" s="52"/>
      <c r="D2807" s="55">
        <f t="shared" si="43"/>
        <v>0</v>
      </c>
      <c r="E2807" s="63" t="str">
        <f>HYPERLINK("https://www.sds-group.ru/product/matritsa-svetodiodnaya-ad22-230-v-krasnaya-36-4740/", "Инфо")</f>
        <v>Инфо</v>
      </c>
      <c r="F2807" s="16" t="s">
        <v>39</v>
      </c>
      <c r="G2807" s="15"/>
      <c r="H2807" s="15"/>
      <c r="I2807" s="15"/>
      <c r="J2807" s="17">
        <v>970</v>
      </c>
      <c r="K2807" s="15"/>
      <c r="L2807" s="17">
        <v>10</v>
      </c>
      <c r="M2807" s="17">
        <v>500</v>
      </c>
      <c r="N2807" s="17">
        <v>10</v>
      </c>
      <c r="O2807" s="18">
        <v>147.29</v>
      </c>
      <c r="P2807" s="18">
        <v>120.73</v>
      </c>
      <c r="Q2807" s="18">
        <v>125.2</v>
      </c>
      <c r="R2807" s="18">
        <v>102.62</v>
      </c>
      <c r="S2807" s="18">
        <v>100.16</v>
      </c>
      <c r="T2807" s="18">
        <v>82.1</v>
      </c>
      <c r="U2807" s="16"/>
      <c r="V2807" s="16"/>
      <c r="W2807" s="16" t="s">
        <v>40</v>
      </c>
      <c r="X2807" s="19">
        <v>1.9E-2</v>
      </c>
      <c r="Y2807" s="20">
        <v>7.4999999999999993E-5</v>
      </c>
      <c r="Z2807" s="21">
        <v>4601004174382</v>
      </c>
    </row>
    <row r="2808" spans="1:26" ht="12.95" customHeight="1" outlineLevel="2" x14ac:dyDescent="0.2">
      <c r="A2808" s="76" t="s">
        <v>5494</v>
      </c>
      <c r="B2808" s="76"/>
      <c r="C2808" s="77"/>
      <c r="D2808" s="58"/>
      <c r="E2808" s="68"/>
      <c r="F2808" s="13"/>
      <c r="G2808" s="13"/>
      <c r="H2808" s="13"/>
      <c r="I2808" s="13"/>
      <c r="J2808" s="13"/>
      <c r="K2808" s="13"/>
      <c r="L2808" s="13"/>
      <c r="M2808" s="13"/>
      <c r="N2808" s="13"/>
      <c r="O2808" s="13"/>
      <c r="P2808" s="13"/>
      <c r="Q2808" s="13"/>
      <c r="R2808" s="13"/>
      <c r="S2808" s="13"/>
      <c r="T2808" s="13"/>
      <c r="U2808" s="13"/>
      <c r="V2808" s="13"/>
      <c r="W2808" s="13"/>
      <c r="X2808" s="13"/>
      <c r="Y2808" s="13"/>
      <c r="Z2808" s="13"/>
    </row>
    <row r="2809" spans="1:26" ht="12" customHeight="1" outlineLevel="3" x14ac:dyDescent="0.2">
      <c r="A2809" s="14" t="s">
        <v>5495</v>
      </c>
      <c r="B2809" s="26" t="s">
        <v>5496</v>
      </c>
      <c r="C2809" s="52"/>
      <c r="D2809" s="55">
        <f t="shared" si="43"/>
        <v>0</v>
      </c>
      <c r="E2809" s="63" t="str">
        <f>HYPERLINK("https://www.sds-group.ru/product/vyklyuchatel-knopka-10a-22-krasnaya-avariynaya-ostanovka-y090-11zs-rexant-36-3553/", "Инфо")</f>
        <v>Инфо</v>
      </c>
      <c r="F2809" s="16" t="s">
        <v>39</v>
      </c>
      <c r="G2809" s="15"/>
      <c r="H2809" s="15"/>
      <c r="I2809" s="15"/>
      <c r="J2809" s="17">
        <v>343</v>
      </c>
      <c r="K2809" s="15" t="s">
        <v>1055</v>
      </c>
      <c r="L2809" s="17">
        <v>5</v>
      </c>
      <c r="M2809" s="17">
        <v>300</v>
      </c>
      <c r="N2809" s="17">
        <v>5</v>
      </c>
      <c r="O2809" s="18">
        <v>440.47</v>
      </c>
      <c r="P2809" s="18">
        <v>361.04</v>
      </c>
      <c r="Q2809" s="18">
        <v>308.33</v>
      </c>
      <c r="R2809" s="18">
        <v>252.73</v>
      </c>
      <c r="S2809" s="18">
        <v>299.52</v>
      </c>
      <c r="T2809" s="18">
        <v>245.51</v>
      </c>
      <c r="U2809" s="16"/>
      <c r="V2809" s="16"/>
      <c r="W2809" s="16"/>
      <c r="X2809" s="19">
        <v>0.05</v>
      </c>
      <c r="Y2809" s="20">
        <v>1.6699999999999999E-4</v>
      </c>
      <c r="Z2809" s="21">
        <v>4601004118089</v>
      </c>
    </row>
    <row r="2810" spans="1:26" ht="12" customHeight="1" outlineLevel="3" x14ac:dyDescent="0.2">
      <c r="A2810" s="14" t="s">
        <v>5497</v>
      </c>
      <c r="B2810" s="26" t="s">
        <v>5498</v>
      </c>
      <c r="C2810" s="52"/>
      <c r="D2810" s="55">
        <f t="shared" si="43"/>
        <v>0</v>
      </c>
      <c r="E2810" s="63" t="str">
        <f>HYPERLINK("https://www.sds-group.ru/product/knopka-apbb-22-pusk-stop-ovalnaya-230v-nr-nz-36-5540/", "Инфо")</f>
        <v>Инфо</v>
      </c>
      <c r="F2810" s="16" t="s">
        <v>39</v>
      </c>
      <c r="G2810" s="15"/>
      <c r="H2810" s="15"/>
      <c r="I2810" s="15"/>
      <c r="J2810" s="17">
        <v>620</v>
      </c>
      <c r="K2810" s="15" t="s">
        <v>1058</v>
      </c>
      <c r="L2810" s="17">
        <v>10</v>
      </c>
      <c r="M2810" s="17">
        <v>300</v>
      </c>
      <c r="N2810" s="17">
        <v>10</v>
      </c>
      <c r="O2810" s="18">
        <v>532.97</v>
      </c>
      <c r="P2810" s="18">
        <v>436.86</v>
      </c>
      <c r="Q2810" s="18">
        <v>426.38</v>
      </c>
      <c r="R2810" s="18">
        <v>349.49</v>
      </c>
      <c r="S2810" s="18">
        <v>362.42</v>
      </c>
      <c r="T2810" s="18">
        <v>297.07</v>
      </c>
      <c r="U2810" s="16"/>
      <c r="V2810" s="16"/>
      <c r="W2810" s="16" t="s">
        <v>40</v>
      </c>
      <c r="X2810" s="19">
        <v>7.1999999999999995E-2</v>
      </c>
      <c r="Y2810" s="20">
        <v>1.9900000000000001E-4</v>
      </c>
      <c r="Z2810" s="21">
        <v>4601004174146</v>
      </c>
    </row>
    <row r="2811" spans="1:26" ht="12" customHeight="1" outlineLevel="3" x14ac:dyDescent="0.2">
      <c r="A2811" s="32" t="s">
        <v>5499</v>
      </c>
      <c r="B2811" s="74" t="s">
        <v>5500</v>
      </c>
      <c r="C2811" s="50"/>
      <c r="D2811" s="53">
        <f t="shared" si="43"/>
        <v>0</v>
      </c>
      <c r="E2811" s="60" t="str">
        <f>HYPERLINK("https://www.sds-group.ru/product/knopka-eb22-vozvratnaya-zheltaya-300v-nr-nz-36-5532/", "Инфо")</f>
        <v>Инфо</v>
      </c>
      <c r="F2811" s="34" t="s">
        <v>39</v>
      </c>
      <c r="G2811" s="33"/>
      <c r="H2811" s="33" t="s">
        <v>40</v>
      </c>
      <c r="I2811" s="33"/>
      <c r="J2811" s="35">
        <v>40</v>
      </c>
      <c r="K2811" s="33" t="s">
        <v>1058</v>
      </c>
      <c r="L2811" s="35">
        <v>10</v>
      </c>
      <c r="M2811" s="35">
        <v>500</v>
      </c>
      <c r="N2811" s="35">
        <v>10</v>
      </c>
      <c r="O2811" s="36">
        <v>200.09</v>
      </c>
      <c r="P2811" s="36">
        <v>164.01</v>
      </c>
      <c r="Q2811" s="36">
        <v>170.08</v>
      </c>
      <c r="R2811" s="36">
        <v>139.41</v>
      </c>
      <c r="S2811" s="36">
        <v>136.06</v>
      </c>
      <c r="T2811" s="36">
        <v>111.52</v>
      </c>
      <c r="U2811" s="34"/>
      <c r="V2811" s="34"/>
      <c r="W2811" s="34" t="s">
        <v>40</v>
      </c>
      <c r="X2811" s="37">
        <v>2.4E-2</v>
      </c>
      <c r="Y2811" s="38">
        <v>8.2000000000000001E-5</v>
      </c>
      <c r="Z2811" s="21">
        <v>4601004174122</v>
      </c>
    </row>
    <row r="2812" spans="1:26" ht="12" customHeight="1" outlineLevel="3" x14ac:dyDescent="0.2">
      <c r="A2812" s="14" t="s">
        <v>5501</v>
      </c>
      <c r="B2812" s="26" t="s">
        <v>5502</v>
      </c>
      <c r="C2812" s="52"/>
      <c r="D2812" s="55">
        <f t="shared" si="43"/>
        <v>0</v>
      </c>
      <c r="E2812" s="63" t="str">
        <f>HYPERLINK("https://www.sds-group.ru/product/knopka-eb22-vozvratnaya-zelenaya-300v-nr-nz-36-5531/", "Инфо")</f>
        <v>Инфо</v>
      </c>
      <c r="F2812" s="16" t="s">
        <v>39</v>
      </c>
      <c r="G2812" s="15"/>
      <c r="H2812" s="15"/>
      <c r="I2812" s="15"/>
      <c r="J2812" s="16" t="s">
        <v>100</v>
      </c>
      <c r="K2812" s="15" t="s">
        <v>1055</v>
      </c>
      <c r="L2812" s="17">
        <v>10</v>
      </c>
      <c r="M2812" s="17">
        <v>500</v>
      </c>
      <c r="N2812" s="17">
        <v>10</v>
      </c>
      <c r="O2812" s="18">
        <v>238.85</v>
      </c>
      <c r="P2812" s="18">
        <v>195.78</v>
      </c>
      <c r="Q2812" s="18">
        <v>203.02</v>
      </c>
      <c r="R2812" s="18">
        <v>166.41</v>
      </c>
      <c r="S2812" s="18">
        <v>162.41999999999999</v>
      </c>
      <c r="T2812" s="18">
        <v>133.13</v>
      </c>
      <c r="U2812" s="16"/>
      <c r="V2812" s="16"/>
      <c r="W2812" s="16" t="s">
        <v>40</v>
      </c>
      <c r="X2812" s="19">
        <v>2.3E-2</v>
      </c>
      <c r="Y2812" s="20">
        <v>8.6000000000000003E-5</v>
      </c>
      <c r="Z2812" s="21">
        <v>4601004174115</v>
      </c>
    </row>
    <row r="2813" spans="1:26" ht="12" customHeight="1" outlineLevel="3" x14ac:dyDescent="0.2">
      <c r="A2813" s="14" t="s">
        <v>5503</v>
      </c>
      <c r="B2813" s="26" t="s">
        <v>5504</v>
      </c>
      <c r="C2813" s="52"/>
      <c r="D2813" s="55">
        <f t="shared" si="43"/>
        <v>0</v>
      </c>
      <c r="E2813" s="63" t="str">
        <f>HYPERLINK("https://www.sds-group.ru/product/knopka-eb22-vozvratnaya-krasnaya-300v-nr-nz-36-5530/", "Инфо")</f>
        <v>Инфо</v>
      </c>
      <c r="F2813" s="16" t="s">
        <v>39</v>
      </c>
      <c r="G2813" s="15"/>
      <c r="H2813" s="15"/>
      <c r="I2813" s="15"/>
      <c r="J2813" s="17">
        <v>740</v>
      </c>
      <c r="K2813" s="15" t="s">
        <v>1055</v>
      </c>
      <c r="L2813" s="17">
        <v>10</v>
      </c>
      <c r="M2813" s="17">
        <v>500</v>
      </c>
      <c r="N2813" s="17">
        <v>10</v>
      </c>
      <c r="O2813" s="18">
        <v>221.15</v>
      </c>
      <c r="P2813" s="18">
        <v>181.27</v>
      </c>
      <c r="Q2813" s="18">
        <v>187.98</v>
      </c>
      <c r="R2813" s="18">
        <v>154.08000000000001</v>
      </c>
      <c r="S2813" s="18">
        <v>150.38</v>
      </c>
      <c r="T2813" s="18">
        <v>123.26</v>
      </c>
      <c r="U2813" s="16"/>
      <c r="V2813" s="16"/>
      <c r="W2813" s="16" t="s">
        <v>40</v>
      </c>
      <c r="X2813" s="19">
        <v>2.3E-2</v>
      </c>
      <c r="Y2813" s="20">
        <v>8.6000000000000003E-5</v>
      </c>
      <c r="Z2813" s="21">
        <v>4601004174108</v>
      </c>
    </row>
    <row r="2814" spans="1:26" ht="12" customHeight="1" outlineLevel="3" x14ac:dyDescent="0.2">
      <c r="A2814" s="14" t="s">
        <v>5505</v>
      </c>
      <c r="B2814" s="26" t="s">
        <v>5506</v>
      </c>
      <c r="C2814" s="52"/>
      <c r="D2814" s="55">
        <f t="shared" si="43"/>
        <v>0</v>
      </c>
      <c r="E2814" s="63" t="str">
        <f>HYPERLINK("https://www.sds-group.ru/product/knopka-la32-krasno-zelenaya-pusk-stop-s-podsvetkoy-nr-nz-36-5542/", "Инфо")</f>
        <v>Инфо</v>
      </c>
      <c r="F2814" s="16" t="s">
        <v>39</v>
      </c>
      <c r="G2814" s="15"/>
      <c r="H2814" s="15"/>
      <c r="I2814" s="15"/>
      <c r="J2814" s="17">
        <v>120</v>
      </c>
      <c r="K2814" s="15" t="s">
        <v>1126</v>
      </c>
      <c r="L2814" s="17">
        <v>10</v>
      </c>
      <c r="M2814" s="17">
        <v>200</v>
      </c>
      <c r="N2814" s="17">
        <v>10</v>
      </c>
      <c r="O2814" s="18">
        <v>1138.6400000000001</v>
      </c>
      <c r="P2814" s="18">
        <v>933.31</v>
      </c>
      <c r="Q2814" s="18">
        <v>910.91</v>
      </c>
      <c r="R2814" s="18">
        <v>746.65</v>
      </c>
      <c r="S2814" s="18">
        <v>774.28</v>
      </c>
      <c r="T2814" s="18">
        <v>634.66</v>
      </c>
      <c r="U2814" s="16"/>
      <c r="V2814" s="16"/>
      <c r="W2814" s="16" t="s">
        <v>40</v>
      </c>
      <c r="X2814" s="19">
        <v>6.6000000000000003E-2</v>
      </c>
      <c r="Y2814" s="20">
        <v>1.9699999999999999E-4</v>
      </c>
      <c r="Z2814" s="21">
        <v>4601004174160</v>
      </c>
    </row>
    <row r="2815" spans="1:26" ht="12" customHeight="1" outlineLevel="3" x14ac:dyDescent="0.2">
      <c r="A2815" s="14" t="s">
        <v>5507</v>
      </c>
      <c r="B2815" s="26" t="s">
        <v>5508</v>
      </c>
      <c r="C2815" s="52"/>
      <c r="D2815" s="55">
        <f t="shared" si="43"/>
        <v>0</v>
      </c>
      <c r="E2815" s="63" t="str">
        <f>HYPERLINK("https://www.sds-group.ru/product/knopka-lay5-vkl-vykl-pryamougolnaya-230v-nr-nz-36-5541/", "Инфо")</f>
        <v>Инфо</v>
      </c>
      <c r="F2815" s="16" t="s">
        <v>39</v>
      </c>
      <c r="G2815" s="15"/>
      <c r="H2815" s="15"/>
      <c r="I2815" s="15"/>
      <c r="J2815" s="17">
        <v>126</v>
      </c>
      <c r="K2815" s="15" t="s">
        <v>1058</v>
      </c>
      <c r="L2815" s="17">
        <v>6</v>
      </c>
      <c r="M2815" s="17">
        <v>120</v>
      </c>
      <c r="N2815" s="17">
        <v>6</v>
      </c>
      <c r="O2815" s="18">
        <v>534.51</v>
      </c>
      <c r="P2815" s="18">
        <v>438.12</v>
      </c>
      <c r="Q2815" s="18">
        <v>427.61</v>
      </c>
      <c r="R2815" s="18">
        <v>350.5</v>
      </c>
      <c r="S2815" s="18">
        <v>363.47</v>
      </c>
      <c r="T2815" s="18">
        <v>297.93</v>
      </c>
      <c r="U2815" s="16"/>
      <c r="V2815" s="16"/>
      <c r="W2815" s="16" t="s">
        <v>40</v>
      </c>
      <c r="X2815" s="19">
        <v>0.11600000000000001</v>
      </c>
      <c r="Y2815" s="20">
        <v>2.2499999999999999E-4</v>
      </c>
      <c r="Z2815" s="21">
        <v>4601004174153</v>
      </c>
    </row>
    <row r="2816" spans="1:26" ht="12" customHeight="1" outlineLevel="3" x14ac:dyDescent="0.2">
      <c r="A2816" s="32" t="s">
        <v>5509</v>
      </c>
      <c r="B2816" s="74" t="s">
        <v>5510</v>
      </c>
      <c r="C2816" s="50"/>
      <c r="D2816" s="53">
        <f t="shared" si="43"/>
        <v>0</v>
      </c>
      <c r="E2816" s="60" t="str">
        <f>HYPERLINK("https://www.sds-group.ru/product/knopka-xb2-zheltaya-nr-36-5521/", "Инфо")</f>
        <v>Инфо</v>
      </c>
      <c r="F2816" s="34" t="s">
        <v>39</v>
      </c>
      <c r="G2816" s="33"/>
      <c r="H2816" s="33" t="s">
        <v>40</v>
      </c>
      <c r="I2816" s="33"/>
      <c r="J2816" s="35">
        <v>339</v>
      </c>
      <c r="K2816" s="33"/>
      <c r="L2816" s="35">
        <v>10</v>
      </c>
      <c r="M2816" s="35">
        <v>200</v>
      </c>
      <c r="N2816" s="35">
        <v>10</v>
      </c>
      <c r="O2816" s="36">
        <v>369.9</v>
      </c>
      <c r="P2816" s="36">
        <v>303.2</v>
      </c>
      <c r="Q2816" s="36">
        <v>314.42</v>
      </c>
      <c r="R2816" s="36">
        <v>257.72000000000003</v>
      </c>
      <c r="S2816" s="36">
        <v>251.53</v>
      </c>
      <c r="T2816" s="36">
        <v>206.17</v>
      </c>
      <c r="U2816" s="34"/>
      <c r="V2816" s="34"/>
      <c r="W2816" s="34" t="s">
        <v>40</v>
      </c>
      <c r="X2816" s="37">
        <v>5.7000000000000002E-2</v>
      </c>
      <c r="Y2816" s="38">
        <v>1.3300000000000001E-4</v>
      </c>
      <c r="Z2816" s="21">
        <v>4601004174085</v>
      </c>
    </row>
    <row r="2817" spans="1:26" ht="12" customHeight="1" outlineLevel="3" x14ac:dyDescent="0.2">
      <c r="A2817" s="32" t="s">
        <v>5511</v>
      </c>
      <c r="B2817" s="74" t="s">
        <v>5512</v>
      </c>
      <c r="C2817" s="50"/>
      <c r="D2817" s="53">
        <f t="shared" si="43"/>
        <v>0</v>
      </c>
      <c r="E2817" s="60" t="str">
        <f>HYPERLINK("https://www.sds-group.ru/product/knopka-xb2-zelenaya-nr-36-5522/", "Инфо")</f>
        <v>Инфо</v>
      </c>
      <c r="F2817" s="34" t="s">
        <v>39</v>
      </c>
      <c r="G2817" s="33"/>
      <c r="H2817" s="33" t="s">
        <v>40</v>
      </c>
      <c r="I2817" s="33"/>
      <c r="J2817" s="35">
        <v>360</v>
      </c>
      <c r="K2817" s="33"/>
      <c r="L2817" s="35">
        <v>10</v>
      </c>
      <c r="M2817" s="35">
        <v>200</v>
      </c>
      <c r="N2817" s="35">
        <v>10</v>
      </c>
      <c r="O2817" s="36">
        <v>332.9</v>
      </c>
      <c r="P2817" s="36">
        <v>272.87</v>
      </c>
      <c r="Q2817" s="36">
        <v>282.97000000000003</v>
      </c>
      <c r="R2817" s="36">
        <v>231.94</v>
      </c>
      <c r="S2817" s="36">
        <v>226.37</v>
      </c>
      <c r="T2817" s="36">
        <v>185.55</v>
      </c>
      <c r="U2817" s="34"/>
      <c r="V2817" s="34"/>
      <c r="W2817" s="34" t="s">
        <v>40</v>
      </c>
      <c r="X2817" s="37">
        <v>5.5E-2</v>
      </c>
      <c r="Y2817" s="38">
        <v>1.3200000000000001E-4</v>
      </c>
      <c r="Z2817" s="21">
        <v>4601004174092</v>
      </c>
    </row>
    <row r="2818" spans="1:26" ht="12" customHeight="1" outlineLevel="3" x14ac:dyDescent="0.2">
      <c r="A2818" s="32" t="s">
        <v>5513</v>
      </c>
      <c r="B2818" s="74" t="s">
        <v>5514</v>
      </c>
      <c r="C2818" s="50"/>
      <c r="D2818" s="53">
        <f t="shared" si="43"/>
        <v>0</v>
      </c>
      <c r="E2818" s="60" t="str">
        <f>HYPERLINK("https://www.sds-group.ru/product/knopka-xb2-krasnaya-nz-36-5520/", "Инфо")</f>
        <v>Инфо</v>
      </c>
      <c r="F2818" s="34" t="s">
        <v>39</v>
      </c>
      <c r="G2818" s="33"/>
      <c r="H2818" s="33" t="s">
        <v>40</v>
      </c>
      <c r="I2818" s="33"/>
      <c r="J2818" s="39">
        <v>1010</v>
      </c>
      <c r="K2818" s="33"/>
      <c r="L2818" s="35">
        <v>10</v>
      </c>
      <c r="M2818" s="35">
        <v>200</v>
      </c>
      <c r="N2818" s="35">
        <v>10</v>
      </c>
      <c r="O2818" s="36">
        <v>314.06</v>
      </c>
      <c r="P2818" s="36">
        <v>257.43</v>
      </c>
      <c r="Q2818" s="36">
        <v>266.95</v>
      </c>
      <c r="R2818" s="36">
        <v>218.81</v>
      </c>
      <c r="S2818" s="36">
        <v>213.56</v>
      </c>
      <c r="T2818" s="36">
        <v>175.05</v>
      </c>
      <c r="U2818" s="34"/>
      <c r="V2818" s="34"/>
      <c r="W2818" s="34" t="s">
        <v>40</v>
      </c>
      <c r="X2818" s="37">
        <v>5.7000000000000002E-2</v>
      </c>
      <c r="Y2818" s="38">
        <v>1.3100000000000001E-4</v>
      </c>
      <c r="Z2818" s="21">
        <v>4601004174078</v>
      </c>
    </row>
    <row r="2819" spans="1:26" ht="12" customHeight="1" outlineLevel="3" x14ac:dyDescent="0.2">
      <c r="A2819" s="14" t="s">
        <v>5515</v>
      </c>
      <c r="B2819" s="26" t="s">
        <v>5516</v>
      </c>
      <c r="C2819" s="52"/>
      <c r="D2819" s="55">
        <f t="shared" si="43"/>
        <v>0</v>
      </c>
      <c r="E2819" s="63" t="str">
        <f>HYPERLINK("https://www.sds-group.ru/product/knopka-xb2-bs-povorotnaya-krasnaya-gribok-nz-36-5544/", "Инфо")</f>
        <v>Инфо</v>
      </c>
      <c r="F2819" s="16" t="s">
        <v>39</v>
      </c>
      <c r="G2819" s="15"/>
      <c r="H2819" s="15"/>
      <c r="I2819" s="15"/>
      <c r="J2819" s="22">
        <v>1000</v>
      </c>
      <c r="K2819" s="15"/>
      <c r="L2819" s="17">
        <v>10</v>
      </c>
      <c r="M2819" s="17">
        <v>200</v>
      </c>
      <c r="N2819" s="17">
        <v>10</v>
      </c>
      <c r="O2819" s="18">
        <v>438.35</v>
      </c>
      <c r="P2819" s="18">
        <v>359.3</v>
      </c>
      <c r="Q2819" s="18">
        <v>372.6</v>
      </c>
      <c r="R2819" s="18">
        <v>305.41000000000003</v>
      </c>
      <c r="S2819" s="18">
        <v>298.08</v>
      </c>
      <c r="T2819" s="18">
        <v>244.33</v>
      </c>
      <c r="U2819" s="16"/>
      <c r="V2819" s="16"/>
      <c r="W2819" s="16" t="s">
        <v>40</v>
      </c>
      <c r="X2819" s="19">
        <v>8.6999999999999994E-2</v>
      </c>
      <c r="Y2819" s="20">
        <v>3.19E-4</v>
      </c>
      <c r="Z2819" s="21">
        <v>4601004174184</v>
      </c>
    </row>
    <row r="2820" spans="1:26" ht="12.95" customHeight="1" outlineLevel="2" x14ac:dyDescent="0.2">
      <c r="A2820" s="76" t="s">
        <v>5517</v>
      </c>
      <c r="B2820" s="76"/>
      <c r="C2820" s="77"/>
      <c r="D2820" s="58"/>
      <c r="E2820" s="68"/>
      <c r="F2820" s="13"/>
      <c r="G2820" s="13"/>
      <c r="H2820" s="13"/>
      <c r="I2820" s="13"/>
      <c r="J2820" s="13"/>
      <c r="K2820" s="13"/>
      <c r="L2820" s="13"/>
      <c r="M2820" s="13"/>
      <c r="N2820" s="13"/>
      <c r="O2820" s="13"/>
      <c r="P2820" s="13"/>
      <c r="Q2820" s="13"/>
      <c r="R2820" s="13"/>
      <c r="S2820" s="13"/>
      <c r="T2820" s="13"/>
      <c r="U2820" s="13"/>
      <c r="V2820" s="13"/>
      <c r="W2820" s="13"/>
      <c r="X2820" s="13"/>
      <c r="Y2820" s="13"/>
      <c r="Z2820" s="13"/>
    </row>
    <row r="2821" spans="1:26" ht="12" customHeight="1" outlineLevel="3" x14ac:dyDescent="0.2">
      <c r="A2821" s="14" t="s">
        <v>5518</v>
      </c>
      <c r="B2821" s="26" t="s">
        <v>5519</v>
      </c>
      <c r="C2821" s="52"/>
      <c r="D2821" s="55">
        <f t="shared" si="43"/>
        <v>0</v>
      </c>
      <c r="E2821" s="63" t="str">
        <f>HYPERLINK("https://www.sds-group.ru/product/korpus-plastikovyy-kp-1-knopka-22-mm-36-9221/", "Инфо")</f>
        <v>Инфо</v>
      </c>
      <c r="F2821" s="16" t="s">
        <v>39</v>
      </c>
      <c r="G2821" s="15"/>
      <c r="H2821" s="15"/>
      <c r="I2821" s="15"/>
      <c r="J2821" s="17">
        <v>729</v>
      </c>
      <c r="K2821" s="15" t="s">
        <v>1126</v>
      </c>
      <c r="L2821" s="17">
        <v>10</v>
      </c>
      <c r="M2821" s="17">
        <v>100</v>
      </c>
      <c r="N2821" s="17">
        <v>10</v>
      </c>
      <c r="O2821" s="18">
        <v>161.11000000000001</v>
      </c>
      <c r="P2821" s="18">
        <v>132.06</v>
      </c>
      <c r="Q2821" s="18">
        <v>136.94</v>
      </c>
      <c r="R2821" s="18">
        <v>112.25</v>
      </c>
      <c r="S2821" s="18">
        <v>109.55</v>
      </c>
      <c r="T2821" s="18">
        <v>89.8</v>
      </c>
      <c r="U2821" s="16"/>
      <c r="V2821" s="16"/>
      <c r="W2821" s="16" t="s">
        <v>40</v>
      </c>
      <c r="X2821" s="19">
        <v>0.128</v>
      </c>
      <c r="Y2821" s="20">
        <v>5.1800000000000001E-4</v>
      </c>
      <c r="Z2821" s="21">
        <v>4601004174344</v>
      </c>
    </row>
    <row r="2822" spans="1:26" ht="12" customHeight="1" outlineLevel="3" x14ac:dyDescent="0.2">
      <c r="A2822" s="32" t="s">
        <v>5520</v>
      </c>
      <c r="B2822" s="74" t="s">
        <v>5521</v>
      </c>
      <c r="C2822" s="50"/>
      <c r="D2822" s="53">
        <f t="shared" si="43"/>
        <v>0</v>
      </c>
      <c r="E2822" s="60" t="str">
        <f>HYPERLINK("https://www.sds-group.ru/product/korpus-plastikovyy-kp-2-knopki-22-mm-36-9222/", "Инфо")</f>
        <v>Инфо</v>
      </c>
      <c r="F2822" s="34" t="s">
        <v>39</v>
      </c>
      <c r="G2822" s="33"/>
      <c r="H2822" s="33" t="s">
        <v>40</v>
      </c>
      <c r="I2822" s="33"/>
      <c r="J2822" s="35">
        <v>367</v>
      </c>
      <c r="K2822" s="33"/>
      <c r="L2822" s="35">
        <v>1</v>
      </c>
      <c r="M2822" s="35">
        <v>100</v>
      </c>
      <c r="N2822" s="35">
        <v>1</v>
      </c>
      <c r="O2822" s="36">
        <v>197.28</v>
      </c>
      <c r="P2822" s="36">
        <v>161.69999999999999</v>
      </c>
      <c r="Q2822" s="36">
        <v>167.69</v>
      </c>
      <c r="R2822" s="36">
        <v>137.44999999999999</v>
      </c>
      <c r="S2822" s="36">
        <v>134.15</v>
      </c>
      <c r="T2822" s="36">
        <v>109.96</v>
      </c>
      <c r="U2822" s="34"/>
      <c r="V2822" s="34"/>
      <c r="W2822" s="34" t="s">
        <v>40</v>
      </c>
      <c r="X2822" s="37">
        <v>0.161</v>
      </c>
      <c r="Y2822" s="38">
        <v>1.189E-3</v>
      </c>
      <c r="Z2822" s="21">
        <v>4601004174351</v>
      </c>
    </row>
    <row r="2823" spans="1:26" ht="12" customHeight="1" outlineLevel="3" x14ac:dyDescent="0.2">
      <c r="A2823" s="32" t="s">
        <v>5522</v>
      </c>
      <c r="B2823" s="74" t="s">
        <v>5523</v>
      </c>
      <c r="C2823" s="50"/>
      <c r="D2823" s="53">
        <f t="shared" si="43"/>
        <v>0</v>
      </c>
      <c r="E2823" s="60" t="str">
        <f>HYPERLINK("https://www.sds-group.ru/product/korpus-plastikovyy-kp-3-knopki-22-mm-36-9223/", "Инфо")</f>
        <v>Инфо</v>
      </c>
      <c r="F2823" s="34" t="s">
        <v>39</v>
      </c>
      <c r="G2823" s="33"/>
      <c r="H2823" s="33" t="s">
        <v>40</v>
      </c>
      <c r="I2823" s="33"/>
      <c r="J2823" s="35">
        <v>66</v>
      </c>
      <c r="K2823" s="33" t="s">
        <v>1058</v>
      </c>
      <c r="L2823" s="35">
        <v>1</v>
      </c>
      <c r="M2823" s="35">
        <v>100</v>
      </c>
      <c r="N2823" s="35">
        <v>1</v>
      </c>
      <c r="O2823" s="36">
        <v>224.04</v>
      </c>
      <c r="P2823" s="36">
        <v>183.64</v>
      </c>
      <c r="Q2823" s="36">
        <v>190.43</v>
      </c>
      <c r="R2823" s="36">
        <v>156.09</v>
      </c>
      <c r="S2823" s="36">
        <v>152.35</v>
      </c>
      <c r="T2823" s="36">
        <v>124.88</v>
      </c>
      <c r="U2823" s="34"/>
      <c r="V2823" s="34"/>
      <c r="W2823" s="34" t="s">
        <v>40</v>
      </c>
      <c r="X2823" s="37">
        <v>0.17100000000000001</v>
      </c>
      <c r="Y2823" s="38">
        <v>8.6700000000000004E-4</v>
      </c>
      <c r="Z2823" s="21">
        <v>4601004174368</v>
      </c>
    </row>
    <row r="2824" spans="1:26" ht="12" customHeight="1" outlineLevel="3" x14ac:dyDescent="0.2">
      <c r="A2824" s="32" t="s">
        <v>5524</v>
      </c>
      <c r="B2824" s="74" t="s">
        <v>5525</v>
      </c>
      <c r="C2824" s="50"/>
      <c r="D2824" s="53">
        <f t="shared" si="43"/>
        <v>0</v>
      </c>
      <c r="E2824" s="60" t="str">
        <f>HYPERLINK("https://www.sds-group.ru/product/korpus-plastikovyy-kp-4-knopki-22-mm-36-9224/", "Инфо")</f>
        <v>Инфо</v>
      </c>
      <c r="F2824" s="34" t="s">
        <v>39</v>
      </c>
      <c r="G2824" s="33"/>
      <c r="H2824" s="33" t="s">
        <v>40</v>
      </c>
      <c r="I2824" s="33"/>
      <c r="J2824" s="35">
        <v>48</v>
      </c>
      <c r="K2824" s="33"/>
      <c r="L2824" s="35">
        <v>1</v>
      </c>
      <c r="M2824" s="35">
        <v>50</v>
      </c>
      <c r="N2824" s="35">
        <v>1</v>
      </c>
      <c r="O2824" s="36">
        <v>279.77999999999997</v>
      </c>
      <c r="P2824" s="36">
        <v>229.33</v>
      </c>
      <c r="Q2824" s="36">
        <v>237.81</v>
      </c>
      <c r="R2824" s="36">
        <v>194.93</v>
      </c>
      <c r="S2824" s="36">
        <v>190.25</v>
      </c>
      <c r="T2824" s="36">
        <v>155.94</v>
      </c>
      <c r="U2824" s="34"/>
      <c r="V2824" s="34"/>
      <c r="W2824" s="34" t="s">
        <v>40</v>
      </c>
      <c r="X2824" s="37">
        <v>0.214</v>
      </c>
      <c r="Y2824" s="38">
        <v>1.1689999999999999E-3</v>
      </c>
      <c r="Z2824" s="21">
        <v>4601004174375</v>
      </c>
    </row>
    <row r="2825" spans="1:26" ht="12" customHeight="1" outlineLevel="3" x14ac:dyDescent="0.2">
      <c r="A2825" s="14" t="s">
        <v>5526</v>
      </c>
      <c r="B2825" s="26" t="s">
        <v>5527</v>
      </c>
      <c r="C2825" s="52"/>
      <c r="D2825" s="55">
        <f t="shared" ref="D2825:D2888" si="44">C2825*(O2825-O2825*$G$3)</f>
        <v>0</v>
      </c>
      <c r="E2825" s="63" t="str">
        <f>HYPERLINK("https://www.sds-group.ru/product/pult-knopochnyy-pk-6-na-6-knopok-ip54-36-9212/", "Инфо")</f>
        <v>Инфо</v>
      </c>
      <c r="F2825" s="16" t="s">
        <v>39</v>
      </c>
      <c r="G2825" s="15"/>
      <c r="H2825" s="15"/>
      <c r="I2825" s="15"/>
      <c r="J2825" s="17">
        <v>158</v>
      </c>
      <c r="K2825" s="15" t="s">
        <v>1126</v>
      </c>
      <c r="L2825" s="17">
        <v>1</v>
      </c>
      <c r="M2825" s="17">
        <v>42</v>
      </c>
      <c r="N2825" s="17">
        <v>1</v>
      </c>
      <c r="O2825" s="18">
        <v>957.91</v>
      </c>
      <c r="P2825" s="18">
        <v>785.17</v>
      </c>
      <c r="Q2825" s="18">
        <v>766.33</v>
      </c>
      <c r="R2825" s="18">
        <v>628.14</v>
      </c>
      <c r="S2825" s="18">
        <v>651.38</v>
      </c>
      <c r="T2825" s="18">
        <v>533.91999999999996</v>
      </c>
      <c r="U2825" s="16"/>
      <c r="V2825" s="16"/>
      <c r="W2825" s="16" t="s">
        <v>40</v>
      </c>
      <c r="X2825" s="19">
        <v>0.42299999999999999</v>
      </c>
      <c r="Y2825" s="20">
        <v>3.7659999999999998E-3</v>
      </c>
      <c r="Z2825" s="21">
        <v>4601004174337</v>
      </c>
    </row>
    <row r="2826" spans="1:26" ht="12" customHeight="1" outlineLevel="3" x14ac:dyDescent="0.2">
      <c r="A2826" s="14" t="s">
        <v>5528</v>
      </c>
      <c r="B2826" s="26" t="s">
        <v>5529</v>
      </c>
      <c r="C2826" s="52"/>
      <c r="D2826" s="55">
        <f t="shared" si="44"/>
        <v>0</v>
      </c>
      <c r="E2826" s="63" t="str">
        <f>HYPERLINK("https://www.sds-group.ru/product/pult-knopochnyy-pk-2-na-2-knopki-ip54-36-9210/", "Инфо")</f>
        <v>Инфо</v>
      </c>
      <c r="F2826" s="16" t="s">
        <v>39</v>
      </c>
      <c r="G2826" s="15"/>
      <c r="H2826" s="15"/>
      <c r="I2826" s="15"/>
      <c r="J2826" s="17">
        <v>261</v>
      </c>
      <c r="K2826" s="15" t="s">
        <v>1058</v>
      </c>
      <c r="L2826" s="17">
        <v>1</v>
      </c>
      <c r="M2826" s="17">
        <v>72</v>
      </c>
      <c r="N2826" s="17">
        <v>1</v>
      </c>
      <c r="O2826" s="18">
        <v>622.47</v>
      </c>
      <c r="P2826" s="18">
        <v>510.22</v>
      </c>
      <c r="Q2826" s="18">
        <v>497.98</v>
      </c>
      <c r="R2826" s="18">
        <v>408.18</v>
      </c>
      <c r="S2826" s="18">
        <v>423.28</v>
      </c>
      <c r="T2826" s="18">
        <v>346.95</v>
      </c>
      <c r="U2826" s="16"/>
      <c r="V2826" s="16"/>
      <c r="W2826" s="16" t="s">
        <v>40</v>
      </c>
      <c r="X2826" s="19">
        <v>0.19500000000000001</v>
      </c>
      <c r="Y2826" s="20">
        <v>7.2199999999999999E-4</v>
      </c>
      <c r="Z2826" s="21">
        <v>4601004174313</v>
      </c>
    </row>
    <row r="2827" spans="1:26" ht="12" customHeight="1" outlineLevel="3" x14ac:dyDescent="0.2">
      <c r="A2827" s="14" t="s">
        <v>5530</v>
      </c>
      <c r="B2827" s="26" t="s">
        <v>5531</v>
      </c>
      <c r="C2827" s="52"/>
      <c r="D2827" s="55">
        <f t="shared" si="44"/>
        <v>0</v>
      </c>
      <c r="E2827" s="63" t="str">
        <f>HYPERLINK("https://www.sds-group.ru/product/pult-knopochnyy-pk-4-na-4-knopki-ip54-36-9211/", "Инфо")</f>
        <v>Инфо</v>
      </c>
      <c r="F2827" s="16" t="s">
        <v>39</v>
      </c>
      <c r="G2827" s="15"/>
      <c r="H2827" s="15"/>
      <c r="I2827" s="15"/>
      <c r="J2827" s="17">
        <v>212</v>
      </c>
      <c r="K2827" s="15" t="s">
        <v>1058</v>
      </c>
      <c r="L2827" s="17">
        <v>1</v>
      </c>
      <c r="M2827" s="17">
        <v>48</v>
      </c>
      <c r="N2827" s="17">
        <v>1</v>
      </c>
      <c r="O2827" s="18">
        <v>735.84</v>
      </c>
      <c r="P2827" s="18">
        <v>603.15</v>
      </c>
      <c r="Q2827" s="18">
        <v>588.66999999999996</v>
      </c>
      <c r="R2827" s="18">
        <v>482.52</v>
      </c>
      <c r="S2827" s="18">
        <v>500.37</v>
      </c>
      <c r="T2827" s="18">
        <v>410.14</v>
      </c>
      <c r="U2827" s="16"/>
      <c r="V2827" s="16"/>
      <c r="W2827" s="16" t="s">
        <v>40</v>
      </c>
      <c r="X2827" s="19">
        <v>0.32700000000000001</v>
      </c>
      <c r="Y2827" s="20">
        <v>1.093E-3</v>
      </c>
      <c r="Z2827" s="21">
        <v>4601004174320</v>
      </c>
    </row>
    <row r="2828" spans="1:26" ht="12.95" customHeight="1" outlineLevel="2" x14ac:dyDescent="0.2">
      <c r="A2828" s="76" t="s">
        <v>5532</v>
      </c>
      <c r="B2828" s="76"/>
      <c r="C2828" s="77"/>
      <c r="D2828" s="58"/>
      <c r="E2828" s="68"/>
      <c r="F2828" s="13"/>
      <c r="G2828" s="13"/>
      <c r="H2828" s="13"/>
      <c r="I2828" s="13"/>
      <c r="J2828" s="13"/>
      <c r="K2828" s="13"/>
      <c r="L2828" s="13"/>
      <c r="M2828" s="13"/>
      <c r="N2828" s="13"/>
      <c r="O2828" s="13"/>
      <c r="P2828" s="13"/>
      <c r="Q2828" s="13"/>
      <c r="R2828" s="13"/>
      <c r="S2828" s="13"/>
      <c r="T2828" s="13"/>
      <c r="U2828" s="13"/>
      <c r="V2828" s="13"/>
      <c r="W2828" s="13"/>
      <c r="X2828" s="13"/>
      <c r="Y2828" s="13"/>
      <c r="Z2828" s="13"/>
    </row>
    <row r="2829" spans="1:26" ht="12" customHeight="1" outlineLevel="3" x14ac:dyDescent="0.2">
      <c r="A2829" s="14" t="s">
        <v>5533</v>
      </c>
      <c r="B2829" s="26" t="s">
        <v>5534</v>
      </c>
      <c r="C2829" s="52"/>
      <c r="D2829" s="55">
        <f t="shared" si="44"/>
        <v>0</v>
      </c>
      <c r="E2829" s="63" t="str">
        <f>HYPERLINK("https://www.sds-group.ru/product/adapter-dlya-ustanovki-na-din-reyku-36-9011/", "Инфо")</f>
        <v>Инфо</v>
      </c>
      <c r="F2829" s="16" t="s">
        <v>39</v>
      </c>
      <c r="G2829" s="15"/>
      <c r="H2829" s="15"/>
      <c r="I2829" s="15"/>
      <c r="J2829" s="22">
        <v>2416</v>
      </c>
      <c r="K2829" s="15"/>
      <c r="L2829" s="17">
        <v>16</v>
      </c>
      <c r="M2829" s="17">
        <v>880</v>
      </c>
      <c r="N2829" s="17">
        <v>16</v>
      </c>
      <c r="O2829" s="18">
        <v>188.8</v>
      </c>
      <c r="P2829" s="18">
        <v>154.75</v>
      </c>
      <c r="Q2829" s="18">
        <v>160.47999999999999</v>
      </c>
      <c r="R2829" s="18">
        <v>131.54</v>
      </c>
      <c r="S2829" s="18">
        <v>128.38</v>
      </c>
      <c r="T2829" s="18">
        <v>105.23</v>
      </c>
      <c r="U2829" s="16"/>
      <c r="V2829" s="16"/>
      <c r="W2829" s="16" t="s">
        <v>40</v>
      </c>
      <c r="X2829" s="19">
        <v>1.7999999999999999E-2</v>
      </c>
      <c r="Y2829" s="20">
        <v>1.3999999999999999E-4</v>
      </c>
      <c r="Z2829" s="21">
        <v>4601004174269</v>
      </c>
    </row>
    <row r="2830" spans="1:26" ht="12" customHeight="1" outlineLevel="3" x14ac:dyDescent="0.2">
      <c r="A2830" s="32" t="s">
        <v>5535</v>
      </c>
      <c r="B2830" s="74" t="s">
        <v>5536</v>
      </c>
      <c r="C2830" s="50"/>
      <c r="D2830" s="53">
        <f t="shared" si="44"/>
        <v>0</v>
      </c>
      <c r="E2830" s="60" t="str">
        <f>HYPERLINK("https://www.sds-group.ru/product/derzhatel-markirovki-lh-10x25-mm-36-9010/", "Инфо")</f>
        <v>Инфо</v>
      </c>
      <c r="F2830" s="34" t="s">
        <v>39</v>
      </c>
      <c r="G2830" s="33"/>
      <c r="H2830" s="33" t="s">
        <v>40</v>
      </c>
      <c r="I2830" s="33"/>
      <c r="J2830" s="39">
        <v>3300</v>
      </c>
      <c r="K2830" s="33"/>
      <c r="L2830" s="35">
        <v>100</v>
      </c>
      <c r="M2830" s="39">
        <v>4000</v>
      </c>
      <c r="N2830" s="35">
        <v>100</v>
      </c>
      <c r="O2830" s="36">
        <v>17.89</v>
      </c>
      <c r="P2830" s="36">
        <v>14.66</v>
      </c>
      <c r="Q2830" s="36">
        <v>12.52</v>
      </c>
      <c r="R2830" s="36">
        <v>10.26</v>
      </c>
      <c r="S2830" s="36">
        <v>12.17</v>
      </c>
      <c r="T2830" s="36">
        <v>9.98</v>
      </c>
      <c r="U2830" s="34"/>
      <c r="V2830" s="34"/>
      <c r="W2830" s="34"/>
      <c r="X2830" s="37">
        <v>2E-3</v>
      </c>
      <c r="Y2830" s="38">
        <v>1.5999999999999999E-5</v>
      </c>
      <c r="Z2830" s="21">
        <v>4601004174252</v>
      </c>
    </row>
    <row r="2831" spans="1:26" ht="12" customHeight="1" outlineLevel="3" x14ac:dyDescent="0.2">
      <c r="A2831" s="14" t="s">
        <v>5537</v>
      </c>
      <c r="B2831" s="26" t="s">
        <v>5538</v>
      </c>
      <c r="C2831" s="52"/>
      <c r="D2831" s="55">
        <f t="shared" si="44"/>
        <v>0</v>
      </c>
      <c r="E2831" s="63" t="str">
        <f>HYPERLINK("https://www.sds-group.ru/product/zaglushka-dlya-otverctiya-22-mm-36-9013/", "Инфо")</f>
        <v>Инфо</v>
      </c>
      <c r="F2831" s="16" t="s">
        <v>39</v>
      </c>
      <c r="G2831" s="15"/>
      <c r="H2831" s="15"/>
      <c r="I2831" s="15"/>
      <c r="J2831" s="22">
        <v>2800</v>
      </c>
      <c r="K2831" s="15"/>
      <c r="L2831" s="17">
        <v>100</v>
      </c>
      <c r="M2831" s="22">
        <v>2000</v>
      </c>
      <c r="N2831" s="17">
        <v>100</v>
      </c>
      <c r="O2831" s="18">
        <v>39.630000000000003</v>
      </c>
      <c r="P2831" s="18">
        <v>32.479999999999997</v>
      </c>
      <c r="Q2831" s="18">
        <v>33.69</v>
      </c>
      <c r="R2831" s="18">
        <v>27.61</v>
      </c>
      <c r="S2831" s="18">
        <v>26.95</v>
      </c>
      <c r="T2831" s="18">
        <v>22.09</v>
      </c>
      <c r="U2831" s="16"/>
      <c r="V2831" s="16"/>
      <c r="W2831" s="16" t="s">
        <v>40</v>
      </c>
      <c r="X2831" s="19">
        <v>5.0000000000000001E-3</v>
      </c>
      <c r="Y2831" s="20">
        <v>2.0000000000000002E-5</v>
      </c>
      <c r="Z2831" s="21">
        <v>4601004174283</v>
      </c>
    </row>
    <row r="2832" spans="1:26" ht="12" customHeight="1" outlineLevel="3" x14ac:dyDescent="0.2">
      <c r="A2832" s="32" t="s">
        <v>5539</v>
      </c>
      <c r="B2832" s="74" t="s">
        <v>5540</v>
      </c>
      <c r="C2832" s="50"/>
      <c r="D2832" s="53">
        <f t="shared" si="44"/>
        <v>0</v>
      </c>
      <c r="E2832" s="60" t="str">
        <f>HYPERLINK("https://www.sds-group.ru/product/silikonovyy-kolpachok-dlya-knopok-apbb-36-9014/", "Инфо")</f>
        <v>Инфо</v>
      </c>
      <c r="F2832" s="34" t="s">
        <v>39</v>
      </c>
      <c r="G2832" s="33"/>
      <c r="H2832" s="33" t="s">
        <v>40</v>
      </c>
      <c r="I2832" s="33"/>
      <c r="J2832" s="39">
        <v>1200</v>
      </c>
      <c r="K2832" s="33" t="s">
        <v>1058</v>
      </c>
      <c r="L2832" s="35">
        <v>100</v>
      </c>
      <c r="M2832" s="39">
        <v>1000</v>
      </c>
      <c r="N2832" s="35">
        <v>100</v>
      </c>
      <c r="O2832" s="36">
        <v>59.97</v>
      </c>
      <c r="P2832" s="36">
        <v>49.16</v>
      </c>
      <c r="Q2832" s="36">
        <v>50.97</v>
      </c>
      <c r="R2832" s="36">
        <v>41.78</v>
      </c>
      <c r="S2832" s="36">
        <v>40.78</v>
      </c>
      <c r="T2832" s="36">
        <v>33.43</v>
      </c>
      <c r="U2832" s="34"/>
      <c r="V2832" s="34"/>
      <c r="W2832" s="34" t="s">
        <v>40</v>
      </c>
      <c r="X2832" s="37">
        <v>4.0000000000000001E-3</v>
      </c>
      <c r="Y2832" s="38">
        <v>2.3E-5</v>
      </c>
      <c r="Z2832" s="21">
        <v>4601004174290</v>
      </c>
    </row>
    <row r="2833" spans="1:26" ht="12" customHeight="1" outlineLevel="3" x14ac:dyDescent="0.2">
      <c r="A2833" s="14" t="s">
        <v>5541</v>
      </c>
      <c r="B2833" s="26" t="s">
        <v>5542</v>
      </c>
      <c r="C2833" s="52"/>
      <c r="D2833" s="55">
        <f t="shared" si="44"/>
        <v>0</v>
      </c>
      <c r="E2833" s="63" t="str">
        <f>HYPERLINK("https://www.sds-group.ru/product/silikonovyy-kolpachok-dlya-knopok-eb22-36-9015/", "Инфо")</f>
        <v>Инфо</v>
      </c>
      <c r="F2833" s="16" t="s">
        <v>39</v>
      </c>
      <c r="G2833" s="15"/>
      <c r="H2833" s="15"/>
      <c r="I2833" s="15"/>
      <c r="J2833" s="22">
        <v>6700</v>
      </c>
      <c r="K2833" s="15" t="s">
        <v>1055</v>
      </c>
      <c r="L2833" s="17">
        <v>100</v>
      </c>
      <c r="M2833" s="22">
        <v>5000</v>
      </c>
      <c r="N2833" s="17">
        <v>100</v>
      </c>
      <c r="O2833" s="18">
        <v>23.96</v>
      </c>
      <c r="P2833" s="18">
        <v>19.64</v>
      </c>
      <c r="Q2833" s="18">
        <v>20.37</v>
      </c>
      <c r="R2833" s="18">
        <v>16.7</v>
      </c>
      <c r="S2833" s="18">
        <v>16.29</v>
      </c>
      <c r="T2833" s="18">
        <v>13.35</v>
      </c>
      <c r="U2833" s="16"/>
      <c r="V2833" s="16"/>
      <c r="W2833" s="16" t="s">
        <v>40</v>
      </c>
      <c r="X2833" s="19">
        <v>2E-3</v>
      </c>
      <c r="Y2833" s="20">
        <v>1.2E-5</v>
      </c>
      <c r="Z2833" s="21">
        <v>4601004174306</v>
      </c>
    </row>
    <row r="2834" spans="1:26" ht="12.95" customHeight="1" outlineLevel="1" x14ac:dyDescent="0.2">
      <c r="A2834" s="78" t="s">
        <v>5543</v>
      </c>
      <c r="B2834" s="78"/>
      <c r="C2834" s="79"/>
      <c r="D2834" s="57"/>
      <c r="E2834" s="67"/>
      <c r="F2834" s="12"/>
      <c r="G2834" s="12"/>
      <c r="H2834" s="12"/>
      <c r="I2834" s="12"/>
      <c r="J2834" s="12"/>
      <c r="K2834" s="12"/>
      <c r="L2834" s="12"/>
      <c r="M2834" s="12"/>
      <c r="N2834" s="12"/>
      <c r="O2834" s="12"/>
      <c r="P2834" s="12"/>
      <c r="Q2834" s="12"/>
      <c r="R2834" s="12"/>
      <c r="S2834" s="12"/>
      <c r="T2834" s="12"/>
      <c r="U2834" s="12"/>
      <c r="V2834" s="12"/>
      <c r="W2834" s="12"/>
      <c r="X2834" s="12"/>
      <c r="Y2834" s="12"/>
      <c r="Z2834" s="12"/>
    </row>
    <row r="2835" spans="1:26" ht="12.95" customHeight="1" outlineLevel="2" x14ac:dyDescent="0.2">
      <c r="A2835" s="76" t="s">
        <v>5544</v>
      </c>
      <c r="B2835" s="76"/>
      <c r="C2835" s="77"/>
      <c r="D2835" s="58"/>
      <c r="E2835" s="68"/>
      <c r="F2835" s="13"/>
      <c r="G2835" s="13"/>
      <c r="H2835" s="13"/>
      <c r="I2835" s="13"/>
      <c r="J2835" s="13"/>
      <c r="K2835" s="13"/>
      <c r="L2835" s="13"/>
      <c r="M2835" s="13"/>
      <c r="N2835" s="13"/>
      <c r="O2835" s="13"/>
      <c r="P2835" s="13"/>
      <c r="Q2835" s="13"/>
      <c r="R2835" s="13"/>
      <c r="S2835" s="13"/>
      <c r="T2835" s="13"/>
      <c r="U2835" s="13"/>
      <c r="V2835" s="13"/>
      <c r="W2835" s="13"/>
      <c r="X2835" s="13"/>
      <c r="Y2835" s="13"/>
      <c r="Z2835" s="13"/>
    </row>
    <row r="2836" spans="1:26" ht="12.95" customHeight="1" outlineLevel="3" x14ac:dyDescent="0.2">
      <c r="A2836" s="76" t="s">
        <v>5545</v>
      </c>
      <c r="B2836" s="76"/>
      <c r="C2836" s="77"/>
      <c r="D2836" s="58"/>
      <c r="E2836" s="68"/>
      <c r="F2836" s="13"/>
      <c r="G2836" s="13"/>
      <c r="H2836" s="13"/>
      <c r="I2836" s="13"/>
      <c r="J2836" s="13"/>
      <c r="K2836" s="13"/>
      <c r="L2836" s="13"/>
      <c r="M2836" s="13"/>
      <c r="N2836" s="13"/>
      <c r="O2836" s="13"/>
      <c r="P2836" s="13"/>
      <c r="Q2836" s="13"/>
      <c r="R2836" s="13"/>
      <c r="S2836" s="13"/>
      <c r="T2836" s="13"/>
      <c r="U2836" s="13"/>
      <c r="V2836" s="13"/>
      <c r="W2836" s="13"/>
      <c r="X2836" s="13"/>
      <c r="Y2836" s="13"/>
      <c r="Z2836" s="13"/>
    </row>
    <row r="2837" spans="1:26" ht="12" customHeight="1" outlineLevel="4" x14ac:dyDescent="0.2">
      <c r="A2837" s="14" t="s">
        <v>5546</v>
      </c>
      <c r="B2837" s="26" t="s">
        <v>5547</v>
      </c>
      <c r="C2837" s="52"/>
      <c r="D2837" s="55">
        <f t="shared" si="44"/>
        <v>0</v>
      </c>
      <c r="E2837" s="63" t="str">
        <f>HYPERLINK("https://www.sds-group.ru/product/boks-plastikovyy-schrv-p-12-ip41-belyy-rexant-11-0212/", "Инфо")</f>
        <v>Инфо</v>
      </c>
      <c r="F2837" s="16" t="s">
        <v>39</v>
      </c>
      <c r="G2837" s="15"/>
      <c r="H2837" s="15"/>
      <c r="I2837" s="15"/>
      <c r="J2837" s="17">
        <v>234</v>
      </c>
      <c r="K2837" s="15"/>
      <c r="L2837" s="17">
        <v>1</v>
      </c>
      <c r="M2837" s="17">
        <v>20</v>
      </c>
      <c r="N2837" s="17">
        <v>1</v>
      </c>
      <c r="O2837" s="18">
        <v>1229.58</v>
      </c>
      <c r="P2837" s="18">
        <v>1007.85</v>
      </c>
      <c r="Q2837" s="18">
        <v>1229.58</v>
      </c>
      <c r="R2837" s="18">
        <v>1007.85</v>
      </c>
      <c r="S2837" s="18">
        <v>836.11</v>
      </c>
      <c r="T2837" s="18">
        <v>685.34</v>
      </c>
      <c r="U2837" s="16"/>
      <c r="V2837" s="16"/>
      <c r="W2837" s="16" t="s">
        <v>40</v>
      </c>
      <c r="X2837" s="19">
        <v>0.877</v>
      </c>
      <c r="Y2837" s="20">
        <v>7.4269999999999996E-3</v>
      </c>
      <c r="Z2837" s="21">
        <v>4601004329232</v>
      </c>
    </row>
    <row r="2838" spans="1:26" ht="12" customHeight="1" outlineLevel="4" x14ac:dyDescent="0.2">
      <c r="A2838" s="14" t="s">
        <v>5548</v>
      </c>
      <c r="B2838" s="26" t="s">
        <v>5549</v>
      </c>
      <c r="C2838" s="52"/>
      <c r="D2838" s="55">
        <f t="shared" si="44"/>
        <v>0</v>
      </c>
      <c r="E2838" s="63" t="str">
        <f>HYPERLINK("https://www.sds-group.ru/product/boks-plastikovyy-schrv-p-18-ip41-belyy-rexant-11-0218/", "Инфо")</f>
        <v>Инфо</v>
      </c>
      <c r="F2838" s="16" t="s">
        <v>39</v>
      </c>
      <c r="G2838" s="15"/>
      <c r="H2838" s="15"/>
      <c r="I2838" s="15"/>
      <c r="J2838" s="17">
        <v>405</v>
      </c>
      <c r="K2838" s="15"/>
      <c r="L2838" s="17">
        <v>1</v>
      </c>
      <c r="M2838" s="17">
        <v>10</v>
      </c>
      <c r="N2838" s="17">
        <v>1</v>
      </c>
      <c r="O2838" s="18">
        <v>1900.85</v>
      </c>
      <c r="P2838" s="18">
        <v>1558.07</v>
      </c>
      <c r="Q2838" s="18">
        <v>1900.85</v>
      </c>
      <c r="R2838" s="18">
        <v>1558.07</v>
      </c>
      <c r="S2838" s="18">
        <v>1292.58</v>
      </c>
      <c r="T2838" s="18">
        <v>1059.49</v>
      </c>
      <c r="U2838" s="16"/>
      <c r="V2838" s="16"/>
      <c r="W2838" s="16" t="s">
        <v>40</v>
      </c>
      <c r="X2838" s="19">
        <v>1.282</v>
      </c>
      <c r="Y2838" s="20">
        <v>1.2603E-2</v>
      </c>
      <c r="Z2838" s="21">
        <v>4601004329256</v>
      </c>
    </row>
    <row r="2839" spans="1:26" ht="12" customHeight="1" outlineLevel="4" x14ac:dyDescent="0.2">
      <c r="A2839" s="14" t="s">
        <v>5550</v>
      </c>
      <c r="B2839" s="26" t="s">
        <v>5551</v>
      </c>
      <c r="C2839" s="52"/>
      <c r="D2839" s="55">
        <f t="shared" si="44"/>
        <v>0</v>
      </c>
      <c r="E2839" s="63" t="str">
        <f>HYPERLINK("https://www.sds-group.ru/product/boks-plastikovyy-schrv-p-24-ip41-belyy-belaya-dvertsa-rexant-11-0225/", "Инфо")</f>
        <v>Инфо</v>
      </c>
      <c r="F2839" s="16" t="s">
        <v>39</v>
      </c>
      <c r="G2839" s="15"/>
      <c r="H2839" s="15"/>
      <c r="I2839" s="15"/>
      <c r="J2839" s="17">
        <v>18</v>
      </c>
      <c r="K2839" s="15"/>
      <c r="L2839" s="17">
        <v>1</v>
      </c>
      <c r="M2839" s="17">
        <v>10</v>
      </c>
      <c r="N2839" s="17">
        <v>1</v>
      </c>
      <c r="O2839" s="18">
        <v>3276.57</v>
      </c>
      <c r="P2839" s="18">
        <v>2685.71</v>
      </c>
      <c r="Q2839" s="18">
        <v>3276.57</v>
      </c>
      <c r="R2839" s="18">
        <v>2685.71</v>
      </c>
      <c r="S2839" s="18">
        <v>2228.0700000000002</v>
      </c>
      <c r="T2839" s="18">
        <v>1826.29</v>
      </c>
      <c r="U2839" s="16"/>
      <c r="V2839" s="16"/>
      <c r="W2839" s="16" t="s">
        <v>40</v>
      </c>
      <c r="X2839" s="19">
        <v>1.53</v>
      </c>
      <c r="Y2839" s="20">
        <v>1.3573E-2</v>
      </c>
      <c r="Z2839" s="21">
        <v>4601004329454</v>
      </c>
    </row>
    <row r="2840" spans="1:26" ht="12" customHeight="1" outlineLevel="4" x14ac:dyDescent="0.2">
      <c r="A2840" s="32" t="s">
        <v>5552</v>
      </c>
      <c r="B2840" s="74" t="s">
        <v>5553</v>
      </c>
      <c r="C2840" s="50"/>
      <c r="D2840" s="53">
        <f t="shared" si="44"/>
        <v>0</v>
      </c>
      <c r="E2840" s="60" t="str">
        <f>HYPERLINK("https://www.sds-group.ru/product/boks-plastikovyy-schrv-p-24-ip41-belyy-kranz-KR-11-0224/", "Инфо")</f>
        <v>Инфо</v>
      </c>
      <c r="F2840" s="34" t="s">
        <v>39</v>
      </c>
      <c r="G2840" s="33"/>
      <c r="H2840" s="33" t="s">
        <v>40</v>
      </c>
      <c r="I2840" s="33"/>
      <c r="J2840" s="35">
        <v>93</v>
      </c>
      <c r="K2840" s="33"/>
      <c r="L2840" s="35">
        <v>1</v>
      </c>
      <c r="M2840" s="35">
        <v>8</v>
      </c>
      <c r="N2840" s="35">
        <v>1</v>
      </c>
      <c r="O2840" s="36">
        <v>1871.79</v>
      </c>
      <c r="P2840" s="36">
        <v>1534.25</v>
      </c>
      <c r="Q2840" s="36">
        <v>1310.25</v>
      </c>
      <c r="R2840" s="36">
        <v>1073.98</v>
      </c>
      <c r="S2840" s="36">
        <v>1272.82</v>
      </c>
      <c r="T2840" s="36">
        <v>1043.3</v>
      </c>
      <c r="U2840" s="34"/>
      <c r="V2840" s="34"/>
      <c r="W2840" s="34"/>
      <c r="X2840" s="37">
        <v>1.1950000000000001</v>
      </c>
      <c r="Y2840" s="38">
        <v>1.3468000000000001E-2</v>
      </c>
      <c r="Z2840" s="21">
        <v>4601004242722</v>
      </c>
    </row>
    <row r="2841" spans="1:26" ht="12" customHeight="1" outlineLevel="4" x14ac:dyDescent="0.2">
      <c r="A2841" s="14" t="s">
        <v>5554</v>
      </c>
      <c r="B2841" s="26" t="s">
        <v>5555</v>
      </c>
      <c r="C2841" s="52"/>
      <c r="D2841" s="55">
        <f t="shared" si="44"/>
        <v>0</v>
      </c>
      <c r="E2841" s="63" t="str">
        <f>HYPERLINK("https://www.sds-group.ru/product/boks-plastikovyy-schrv-p-24-ip41-belyy-rexant-11-0224/", "Инфо")</f>
        <v>Инфо</v>
      </c>
      <c r="F2841" s="16" t="s">
        <v>39</v>
      </c>
      <c r="G2841" s="15"/>
      <c r="H2841" s="15"/>
      <c r="I2841" s="15"/>
      <c r="J2841" s="17">
        <v>144</v>
      </c>
      <c r="K2841" s="15"/>
      <c r="L2841" s="17">
        <v>1</v>
      </c>
      <c r="M2841" s="17">
        <v>10</v>
      </c>
      <c r="N2841" s="17">
        <v>1</v>
      </c>
      <c r="O2841" s="18">
        <v>2602.54</v>
      </c>
      <c r="P2841" s="18">
        <v>2133.23</v>
      </c>
      <c r="Q2841" s="18">
        <v>2602.54</v>
      </c>
      <c r="R2841" s="18">
        <v>2133.23</v>
      </c>
      <c r="S2841" s="18">
        <v>1769.73</v>
      </c>
      <c r="T2841" s="18">
        <v>1450.6</v>
      </c>
      <c r="U2841" s="16"/>
      <c r="V2841" s="16"/>
      <c r="W2841" s="16" t="s">
        <v>40</v>
      </c>
      <c r="X2841" s="19">
        <v>1.548</v>
      </c>
      <c r="Y2841" s="20">
        <v>1.3322000000000001E-2</v>
      </c>
      <c r="Z2841" s="21">
        <v>4601004329249</v>
      </c>
    </row>
    <row r="2842" spans="1:26" ht="12" customHeight="1" outlineLevel="4" x14ac:dyDescent="0.2">
      <c r="A2842" s="14" t="s">
        <v>5556</v>
      </c>
      <c r="B2842" s="26" t="s">
        <v>5557</v>
      </c>
      <c r="C2842" s="52"/>
      <c r="D2842" s="55">
        <f t="shared" si="44"/>
        <v>0</v>
      </c>
      <c r="E2842" s="63" t="str">
        <f>HYPERLINK("https://www.sds-group.ru/product/boks-plastikovyy-schrv-p-36-ip41-belyy-rexant-11-0236/", "Инфо")</f>
        <v>Инфо</v>
      </c>
      <c r="F2842" s="16" t="s">
        <v>39</v>
      </c>
      <c r="G2842" s="15"/>
      <c r="H2842" s="15"/>
      <c r="I2842" s="15"/>
      <c r="J2842" s="17">
        <v>33</v>
      </c>
      <c r="K2842" s="15"/>
      <c r="L2842" s="17">
        <v>1</v>
      </c>
      <c r="M2842" s="17">
        <v>5</v>
      </c>
      <c r="N2842" s="17">
        <v>1</v>
      </c>
      <c r="O2842" s="18">
        <v>3793.79</v>
      </c>
      <c r="P2842" s="18">
        <v>3109.66</v>
      </c>
      <c r="Q2842" s="18">
        <v>3793.79</v>
      </c>
      <c r="R2842" s="18">
        <v>3109.66</v>
      </c>
      <c r="S2842" s="18">
        <v>2579.7800000000002</v>
      </c>
      <c r="T2842" s="18">
        <v>2114.5700000000002</v>
      </c>
      <c r="U2842" s="16"/>
      <c r="V2842" s="16"/>
      <c r="W2842" s="16" t="s">
        <v>40</v>
      </c>
      <c r="X2842" s="19">
        <v>2.2749999999999999</v>
      </c>
      <c r="Y2842" s="20">
        <v>1.8183000000000001E-2</v>
      </c>
      <c r="Z2842" s="21">
        <v>4601004329263</v>
      </c>
    </row>
    <row r="2843" spans="1:26" ht="12" customHeight="1" outlineLevel="4" x14ac:dyDescent="0.2">
      <c r="A2843" s="32" t="s">
        <v>5558</v>
      </c>
      <c r="B2843" s="74" t="s">
        <v>5559</v>
      </c>
      <c r="C2843" s="50"/>
      <c r="D2843" s="53">
        <f t="shared" si="44"/>
        <v>0</v>
      </c>
      <c r="E2843" s="60" t="str">
        <f>HYPERLINK("https://www.sds-group.ru/product/boks-plastikovyy-schrv-p-4-ip41-belyy-kranz-KR-11-0204/", "Инфо")</f>
        <v>Инфо</v>
      </c>
      <c r="F2843" s="34" t="s">
        <v>39</v>
      </c>
      <c r="G2843" s="33"/>
      <c r="H2843" s="33" t="s">
        <v>40</v>
      </c>
      <c r="I2843" s="33"/>
      <c r="J2843" s="34" t="s">
        <v>100</v>
      </c>
      <c r="K2843" s="33"/>
      <c r="L2843" s="35">
        <v>1</v>
      </c>
      <c r="M2843" s="35">
        <v>24</v>
      </c>
      <c r="N2843" s="35">
        <v>1</v>
      </c>
      <c r="O2843" s="36">
        <v>747.66</v>
      </c>
      <c r="P2843" s="36">
        <v>612.84</v>
      </c>
      <c r="Q2843" s="36">
        <v>523.36</v>
      </c>
      <c r="R2843" s="36">
        <v>428.98</v>
      </c>
      <c r="S2843" s="36">
        <v>508.41</v>
      </c>
      <c r="T2843" s="36">
        <v>416.73</v>
      </c>
      <c r="U2843" s="34"/>
      <c r="V2843" s="34"/>
      <c r="W2843" s="34"/>
      <c r="X2843" s="37">
        <v>0.45100000000000001</v>
      </c>
      <c r="Y2843" s="38">
        <v>4.457E-3</v>
      </c>
      <c r="Z2843" s="21">
        <v>4601004242951</v>
      </c>
    </row>
    <row r="2844" spans="1:26" ht="12" customHeight="1" outlineLevel="4" x14ac:dyDescent="0.2">
      <c r="A2844" s="14" t="s">
        <v>5560</v>
      </c>
      <c r="B2844" s="26" t="s">
        <v>5561</v>
      </c>
      <c r="C2844" s="52"/>
      <c r="D2844" s="55">
        <f t="shared" si="44"/>
        <v>0</v>
      </c>
      <c r="E2844" s="63" t="str">
        <f>HYPERLINK("https://www.sds-group.ru/product/boks-plastikovyy-schrv-p-4-ip41-belyy-rexant-11-0204/", "Инфо")</f>
        <v>Инфо</v>
      </c>
      <c r="F2844" s="16" t="s">
        <v>39</v>
      </c>
      <c r="G2844" s="15"/>
      <c r="H2844" s="15"/>
      <c r="I2844" s="15"/>
      <c r="J2844" s="17">
        <v>384</v>
      </c>
      <c r="K2844" s="15"/>
      <c r="L2844" s="17">
        <v>1</v>
      </c>
      <c r="M2844" s="17">
        <v>30</v>
      </c>
      <c r="N2844" s="17">
        <v>1</v>
      </c>
      <c r="O2844" s="18">
        <v>709.67</v>
      </c>
      <c r="P2844" s="18">
        <v>581.70000000000005</v>
      </c>
      <c r="Q2844" s="18">
        <v>709.67</v>
      </c>
      <c r="R2844" s="18">
        <v>581.70000000000005</v>
      </c>
      <c r="S2844" s="18">
        <v>482.58</v>
      </c>
      <c r="T2844" s="18">
        <v>395.56</v>
      </c>
      <c r="U2844" s="16"/>
      <c r="V2844" s="16"/>
      <c r="W2844" s="16" t="s">
        <v>40</v>
      </c>
      <c r="X2844" s="19">
        <v>0.46400000000000002</v>
      </c>
      <c r="Y2844" s="20">
        <v>3.4139999999999999E-3</v>
      </c>
      <c r="Z2844" s="21">
        <v>4601004329270</v>
      </c>
    </row>
    <row r="2845" spans="1:26" ht="12" customHeight="1" outlineLevel="4" x14ac:dyDescent="0.2">
      <c r="A2845" s="14" t="s">
        <v>5562</v>
      </c>
      <c r="B2845" s="26" t="s">
        <v>5563</v>
      </c>
      <c r="C2845" s="52"/>
      <c r="D2845" s="55">
        <f t="shared" si="44"/>
        <v>0</v>
      </c>
      <c r="E2845" s="63" t="str">
        <f>HYPERLINK("https://www.sds-group.ru/product/boks-plastikovyy-schrv-p-6-ip41-belyy-rexant-11-0206/", "Инфо")</f>
        <v>Инфо</v>
      </c>
      <c r="F2845" s="16" t="s">
        <v>39</v>
      </c>
      <c r="G2845" s="15"/>
      <c r="H2845" s="15"/>
      <c r="I2845" s="15"/>
      <c r="J2845" s="17">
        <v>167</v>
      </c>
      <c r="K2845" s="15"/>
      <c r="L2845" s="17">
        <v>1</v>
      </c>
      <c r="M2845" s="17">
        <v>30</v>
      </c>
      <c r="N2845" s="17">
        <v>1</v>
      </c>
      <c r="O2845" s="18">
        <v>861.13</v>
      </c>
      <c r="P2845" s="18">
        <v>705.84</v>
      </c>
      <c r="Q2845" s="18">
        <v>861.13</v>
      </c>
      <c r="R2845" s="18">
        <v>705.84</v>
      </c>
      <c r="S2845" s="18">
        <v>585.57000000000005</v>
      </c>
      <c r="T2845" s="18">
        <v>479.98</v>
      </c>
      <c r="U2845" s="16"/>
      <c r="V2845" s="16"/>
      <c r="W2845" s="16" t="s">
        <v>40</v>
      </c>
      <c r="X2845" s="19">
        <v>0.55200000000000005</v>
      </c>
      <c r="Y2845" s="20">
        <v>4.3410000000000002E-3</v>
      </c>
      <c r="Z2845" s="21">
        <v>4601004329225</v>
      </c>
    </row>
    <row r="2846" spans="1:26" ht="12" customHeight="1" outlineLevel="4" x14ac:dyDescent="0.2">
      <c r="A2846" s="14" t="s">
        <v>5564</v>
      </c>
      <c r="B2846" s="26" t="s">
        <v>5565</v>
      </c>
      <c r="C2846" s="52"/>
      <c r="D2846" s="55">
        <f t="shared" si="44"/>
        <v>0</v>
      </c>
      <c r="E2846" s="63" t="str">
        <f>HYPERLINK("https://www.sds-group.ru/product/boks-plastikovyy-schrv-p-8-ip41-belyy-rexant-11-0208/", "Инфо")</f>
        <v>Инфо</v>
      </c>
      <c r="F2846" s="16" t="s">
        <v>39</v>
      </c>
      <c r="G2846" s="15"/>
      <c r="H2846" s="15"/>
      <c r="I2846" s="15"/>
      <c r="J2846" s="17">
        <v>138</v>
      </c>
      <c r="K2846" s="15" t="s">
        <v>1272</v>
      </c>
      <c r="L2846" s="17">
        <v>1</v>
      </c>
      <c r="M2846" s="17">
        <v>20</v>
      </c>
      <c r="N2846" s="17">
        <v>1</v>
      </c>
      <c r="O2846" s="18">
        <v>929.07</v>
      </c>
      <c r="P2846" s="18">
        <v>761.53</v>
      </c>
      <c r="Q2846" s="18">
        <v>929.07</v>
      </c>
      <c r="R2846" s="18">
        <v>761.53</v>
      </c>
      <c r="S2846" s="18">
        <v>631.77</v>
      </c>
      <c r="T2846" s="18">
        <v>517.84</v>
      </c>
      <c r="U2846" s="16"/>
      <c r="V2846" s="16"/>
      <c r="W2846" s="16" t="s">
        <v>40</v>
      </c>
      <c r="X2846" s="19">
        <v>0.67300000000000004</v>
      </c>
      <c r="Y2846" s="20">
        <v>5.7210000000000004E-3</v>
      </c>
      <c r="Z2846" s="21">
        <v>4601004329218</v>
      </c>
    </row>
    <row r="2847" spans="1:26" ht="12" customHeight="1" outlineLevel="4" x14ac:dyDescent="0.2">
      <c r="A2847" s="14" t="s">
        <v>5566</v>
      </c>
      <c r="B2847" s="26" t="s">
        <v>5567</v>
      </c>
      <c r="C2847" s="52"/>
      <c r="D2847" s="55">
        <f t="shared" si="44"/>
        <v>0</v>
      </c>
      <c r="E2847" s="63" t="str">
        <f>HYPERLINK("https://www.sds-group.ru/product/boks-plastikovyy-schrn-p-12-ip41-belyy-belaya-dvertsa-rexant-11-0313/", "Инфо")</f>
        <v>Инфо</v>
      </c>
      <c r="F2847" s="16" t="s">
        <v>39</v>
      </c>
      <c r="G2847" s="15"/>
      <c r="H2847" s="15"/>
      <c r="I2847" s="15"/>
      <c r="J2847" s="16" t="s">
        <v>100</v>
      </c>
      <c r="K2847" s="15" t="s">
        <v>1272</v>
      </c>
      <c r="L2847" s="17">
        <v>1</v>
      </c>
      <c r="M2847" s="17">
        <v>20</v>
      </c>
      <c r="N2847" s="17">
        <v>1</v>
      </c>
      <c r="O2847" s="18">
        <v>1510.83</v>
      </c>
      <c r="P2847" s="18">
        <v>1238.3900000000001</v>
      </c>
      <c r="Q2847" s="18">
        <v>1510.83</v>
      </c>
      <c r="R2847" s="18">
        <v>1238.3900000000001</v>
      </c>
      <c r="S2847" s="18">
        <v>1027.3599999999999</v>
      </c>
      <c r="T2847" s="18">
        <v>842.1</v>
      </c>
      <c r="U2847" s="16"/>
      <c r="V2847" s="16"/>
      <c r="W2847" s="16" t="s">
        <v>40</v>
      </c>
      <c r="X2847" s="19">
        <v>0.76600000000000001</v>
      </c>
      <c r="Y2847" s="20">
        <v>6.1320000000000003E-3</v>
      </c>
      <c r="Z2847" s="21">
        <v>4601004329386</v>
      </c>
    </row>
    <row r="2848" spans="1:26" ht="12" customHeight="1" outlineLevel="4" x14ac:dyDescent="0.2">
      <c r="A2848" s="14" t="s">
        <v>5568</v>
      </c>
      <c r="B2848" s="26" t="s">
        <v>5569</v>
      </c>
      <c r="C2848" s="52"/>
      <c r="D2848" s="55">
        <f t="shared" si="44"/>
        <v>0</v>
      </c>
      <c r="E2848" s="63" t="str">
        <f>HYPERLINK("https://www.sds-group.ru/product/boks-plastikovyy-schrn-p-12-ip41-belyy-rexant-11-0312/", "Инфо")</f>
        <v>Инфо</v>
      </c>
      <c r="F2848" s="16" t="s">
        <v>39</v>
      </c>
      <c r="G2848" s="15"/>
      <c r="H2848" s="15"/>
      <c r="I2848" s="15"/>
      <c r="J2848" s="16" t="s">
        <v>100</v>
      </c>
      <c r="K2848" s="15" t="s">
        <v>1272</v>
      </c>
      <c r="L2848" s="17">
        <v>1</v>
      </c>
      <c r="M2848" s="17">
        <v>20</v>
      </c>
      <c r="N2848" s="17">
        <v>1</v>
      </c>
      <c r="O2848" s="18">
        <v>1260.4100000000001</v>
      </c>
      <c r="P2848" s="18">
        <v>1033.1199999999999</v>
      </c>
      <c r="Q2848" s="18">
        <v>1260.4100000000001</v>
      </c>
      <c r="R2848" s="18">
        <v>1033.1199999999999</v>
      </c>
      <c r="S2848" s="18">
        <v>857.08</v>
      </c>
      <c r="T2848" s="18">
        <v>702.52</v>
      </c>
      <c r="U2848" s="16"/>
      <c r="V2848" s="16"/>
      <c r="W2848" s="16" t="s">
        <v>40</v>
      </c>
      <c r="X2848" s="19">
        <v>0.77900000000000003</v>
      </c>
      <c r="Y2848" s="20">
        <v>6.1830000000000001E-3</v>
      </c>
      <c r="Z2848" s="21">
        <v>4601004329409</v>
      </c>
    </row>
    <row r="2849" spans="1:26" ht="12" customHeight="1" outlineLevel="4" x14ac:dyDescent="0.2">
      <c r="A2849" s="14" t="s">
        <v>5570</v>
      </c>
      <c r="B2849" s="26" t="s">
        <v>5571</v>
      </c>
      <c r="C2849" s="52"/>
      <c r="D2849" s="55">
        <f t="shared" si="44"/>
        <v>0</v>
      </c>
      <c r="E2849" s="63" t="str">
        <f>HYPERLINK("https://www.sds-group.ru/product/boks-plastikovyy-schrn-p-18-ip41-belyy-rexant-11-0318/", "Инфо")</f>
        <v>Инфо</v>
      </c>
      <c r="F2849" s="16" t="s">
        <v>39</v>
      </c>
      <c r="G2849" s="15"/>
      <c r="H2849" s="15"/>
      <c r="I2849" s="15"/>
      <c r="J2849" s="17">
        <v>145</v>
      </c>
      <c r="K2849" s="15"/>
      <c r="L2849" s="17">
        <v>1</v>
      </c>
      <c r="M2849" s="17">
        <v>15</v>
      </c>
      <c r="N2849" s="17">
        <v>1</v>
      </c>
      <c r="O2849" s="18">
        <v>1939.95</v>
      </c>
      <c r="P2849" s="18">
        <v>1590.12</v>
      </c>
      <c r="Q2849" s="18">
        <v>1939.95</v>
      </c>
      <c r="R2849" s="18">
        <v>1590.12</v>
      </c>
      <c r="S2849" s="18">
        <v>1319.17</v>
      </c>
      <c r="T2849" s="18">
        <v>1081.29</v>
      </c>
      <c r="U2849" s="16"/>
      <c r="V2849" s="16"/>
      <c r="W2849" s="16" t="s">
        <v>40</v>
      </c>
      <c r="X2849" s="19">
        <v>1.153</v>
      </c>
      <c r="Y2849" s="20">
        <v>9.5960000000000004E-3</v>
      </c>
      <c r="Z2849" s="21">
        <v>4601004329300</v>
      </c>
    </row>
    <row r="2850" spans="1:26" ht="12" customHeight="1" outlineLevel="4" x14ac:dyDescent="0.2">
      <c r="A2850" s="14" t="s">
        <v>5572</v>
      </c>
      <c r="B2850" s="26" t="s">
        <v>5573</v>
      </c>
      <c r="C2850" s="52"/>
      <c r="D2850" s="55">
        <f t="shared" si="44"/>
        <v>0</v>
      </c>
      <c r="E2850" s="63" t="str">
        <f>HYPERLINK("https://www.sds-group.ru/product/boks-plastikovyy-schrn-p-24-ip41-belyy-belaya-dvertsa-rexant-11-0325/", "Инфо")</f>
        <v>Инфо</v>
      </c>
      <c r="F2850" s="16" t="s">
        <v>39</v>
      </c>
      <c r="G2850" s="15"/>
      <c r="H2850" s="15"/>
      <c r="I2850" s="15"/>
      <c r="J2850" s="17">
        <v>112</v>
      </c>
      <c r="K2850" s="15"/>
      <c r="L2850" s="17">
        <v>1</v>
      </c>
      <c r="M2850" s="17">
        <v>10</v>
      </c>
      <c r="N2850" s="17">
        <v>1</v>
      </c>
      <c r="O2850" s="18">
        <v>3231.92</v>
      </c>
      <c r="P2850" s="18">
        <v>2649.11</v>
      </c>
      <c r="Q2850" s="18">
        <v>3231.92</v>
      </c>
      <c r="R2850" s="18">
        <v>2649.11</v>
      </c>
      <c r="S2850" s="18">
        <v>2197.71</v>
      </c>
      <c r="T2850" s="18">
        <v>1801.4</v>
      </c>
      <c r="U2850" s="16"/>
      <c r="V2850" s="16"/>
      <c r="W2850" s="16" t="s">
        <v>40</v>
      </c>
      <c r="X2850" s="19">
        <v>1.403</v>
      </c>
      <c r="Y2850" s="20">
        <v>1.1174999999999999E-2</v>
      </c>
      <c r="Z2850" s="21">
        <v>4601004329379</v>
      </c>
    </row>
    <row r="2851" spans="1:26" ht="12" customHeight="1" outlineLevel="4" x14ac:dyDescent="0.2">
      <c r="A2851" s="14" t="s">
        <v>5574</v>
      </c>
      <c r="B2851" s="26" t="s">
        <v>5575</v>
      </c>
      <c r="C2851" s="52"/>
      <c r="D2851" s="55">
        <f t="shared" si="44"/>
        <v>0</v>
      </c>
      <c r="E2851" s="63" t="str">
        <f>HYPERLINK("https://www.sds-group.ru/product/boks-plastikovyy-schrn-p-24-ip41-belyy-rexant-11-0324/", "Инфо")</f>
        <v>Инфо</v>
      </c>
      <c r="F2851" s="16" t="s">
        <v>39</v>
      </c>
      <c r="G2851" s="15"/>
      <c r="H2851" s="15"/>
      <c r="I2851" s="15"/>
      <c r="J2851" s="17">
        <v>271</v>
      </c>
      <c r="K2851" s="15"/>
      <c r="L2851" s="17">
        <v>1</v>
      </c>
      <c r="M2851" s="17">
        <v>10</v>
      </c>
      <c r="N2851" s="17">
        <v>1</v>
      </c>
      <c r="O2851" s="18">
        <v>2731.94</v>
      </c>
      <c r="P2851" s="18">
        <v>2239.3000000000002</v>
      </c>
      <c r="Q2851" s="18">
        <v>2731.94</v>
      </c>
      <c r="R2851" s="18">
        <v>2239.3000000000002</v>
      </c>
      <c r="S2851" s="18">
        <v>1857.72</v>
      </c>
      <c r="T2851" s="18">
        <v>1522.72</v>
      </c>
      <c r="U2851" s="16"/>
      <c r="V2851" s="16"/>
      <c r="W2851" s="16" t="s">
        <v>40</v>
      </c>
      <c r="X2851" s="19">
        <v>1.4159999999999999</v>
      </c>
      <c r="Y2851" s="20">
        <v>1.1376000000000001E-2</v>
      </c>
      <c r="Z2851" s="21">
        <v>4601004329294</v>
      </c>
    </row>
    <row r="2852" spans="1:26" ht="12" customHeight="1" outlineLevel="4" x14ac:dyDescent="0.2">
      <c r="A2852" s="14" t="s">
        <v>5576</v>
      </c>
      <c r="B2852" s="26" t="s">
        <v>5577</v>
      </c>
      <c r="C2852" s="52"/>
      <c r="D2852" s="55">
        <f t="shared" si="44"/>
        <v>0</v>
      </c>
      <c r="E2852" s="63" t="str">
        <f>HYPERLINK("https://www.sds-group.ru/product/boks-plastikovyy-schrn-p-36-ip41-belyy-rexant-11-0336/", "Инфо")</f>
        <v>Инфо</v>
      </c>
      <c r="F2852" s="16" t="s">
        <v>39</v>
      </c>
      <c r="G2852" s="15"/>
      <c r="H2852" s="15"/>
      <c r="I2852" s="15"/>
      <c r="J2852" s="17">
        <v>51</v>
      </c>
      <c r="K2852" s="15"/>
      <c r="L2852" s="17">
        <v>1</v>
      </c>
      <c r="M2852" s="17">
        <v>5</v>
      </c>
      <c r="N2852" s="17">
        <v>1</v>
      </c>
      <c r="O2852" s="18">
        <v>3676.86</v>
      </c>
      <c r="P2852" s="18">
        <v>3013.82</v>
      </c>
      <c r="Q2852" s="18">
        <v>3676.86</v>
      </c>
      <c r="R2852" s="18">
        <v>3013.82</v>
      </c>
      <c r="S2852" s="18">
        <v>2500.2600000000002</v>
      </c>
      <c r="T2852" s="18">
        <v>2049.39</v>
      </c>
      <c r="U2852" s="16"/>
      <c r="V2852" s="16"/>
      <c r="W2852" s="16" t="s">
        <v>40</v>
      </c>
      <c r="X2852" s="19">
        <v>2.1259999999999999</v>
      </c>
      <c r="Y2852" s="20">
        <v>1.6558E-2</v>
      </c>
      <c r="Z2852" s="21">
        <v>4601004329485</v>
      </c>
    </row>
    <row r="2853" spans="1:26" ht="12" customHeight="1" outlineLevel="4" x14ac:dyDescent="0.2">
      <c r="A2853" s="32" t="s">
        <v>5578</v>
      </c>
      <c r="B2853" s="74" t="s">
        <v>5579</v>
      </c>
      <c r="C2853" s="50"/>
      <c r="D2853" s="53">
        <f t="shared" si="44"/>
        <v>0</v>
      </c>
      <c r="E2853" s="60" t="str">
        <f>HYPERLINK("https://www.sds-group.ru/product/boks-plastikovyy-schrn-p-4-ip41-belyy-kranz-KR-11-0304/", "Инфо")</f>
        <v>Инфо</v>
      </c>
      <c r="F2853" s="34" t="s">
        <v>39</v>
      </c>
      <c r="G2853" s="33"/>
      <c r="H2853" s="33" t="s">
        <v>40</v>
      </c>
      <c r="I2853" s="33"/>
      <c r="J2853" s="35">
        <v>1</v>
      </c>
      <c r="K2853" s="33"/>
      <c r="L2853" s="35">
        <v>1</v>
      </c>
      <c r="M2853" s="35">
        <v>24</v>
      </c>
      <c r="N2853" s="35">
        <v>1</v>
      </c>
      <c r="O2853" s="36">
        <v>922.16</v>
      </c>
      <c r="P2853" s="36">
        <v>755.87</v>
      </c>
      <c r="Q2853" s="36">
        <v>645.51</v>
      </c>
      <c r="R2853" s="36">
        <v>529.11</v>
      </c>
      <c r="S2853" s="36">
        <v>627.07000000000005</v>
      </c>
      <c r="T2853" s="36">
        <v>513.99</v>
      </c>
      <c r="U2853" s="34"/>
      <c r="V2853" s="34"/>
      <c r="W2853" s="34"/>
      <c r="X2853" s="37">
        <v>0.56299999999999994</v>
      </c>
      <c r="Y2853" s="38">
        <v>4.4600000000000004E-3</v>
      </c>
      <c r="Z2853" s="21">
        <v>4601004242746</v>
      </c>
    </row>
    <row r="2854" spans="1:26" ht="12" customHeight="1" outlineLevel="4" x14ac:dyDescent="0.2">
      <c r="A2854" s="14" t="s">
        <v>5580</v>
      </c>
      <c r="B2854" s="26" t="s">
        <v>5581</v>
      </c>
      <c r="C2854" s="52"/>
      <c r="D2854" s="55">
        <f t="shared" si="44"/>
        <v>0</v>
      </c>
      <c r="E2854" s="63" t="str">
        <f>HYPERLINK("https://www.sds-group.ru/product/boks-plastikovyy-schrn-p-4-ip41-belyy-rexant-11-0304/", "Инфо")</f>
        <v>Инфо</v>
      </c>
      <c r="F2854" s="16" t="s">
        <v>39</v>
      </c>
      <c r="G2854" s="15"/>
      <c r="H2854" s="15"/>
      <c r="I2854" s="15"/>
      <c r="J2854" s="16" t="s">
        <v>100</v>
      </c>
      <c r="K2854" s="15" t="s">
        <v>1272</v>
      </c>
      <c r="L2854" s="17">
        <v>1</v>
      </c>
      <c r="M2854" s="17">
        <v>30</v>
      </c>
      <c r="N2854" s="17">
        <v>1</v>
      </c>
      <c r="O2854" s="18">
        <v>673.11</v>
      </c>
      <c r="P2854" s="18">
        <v>551.73</v>
      </c>
      <c r="Q2854" s="18">
        <v>673.11</v>
      </c>
      <c r="R2854" s="18">
        <v>551.73</v>
      </c>
      <c r="S2854" s="18">
        <v>457.71</v>
      </c>
      <c r="T2854" s="18">
        <v>375.17</v>
      </c>
      <c r="U2854" s="16"/>
      <c r="V2854" s="16"/>
      <c r="W2854" s="16" t="s">
        <v>40</v>
      </c>
      <c r="X2854" s="19">
        <v>0.42299999999999999</v>
      </c>
      <c r="Y2854" s="20">
        <v>2.7390000000000001E-3</v>
      </c>
      <c r="Z2854" s="21">
        <v>4601004329348</v>
      </c>
    </row>
    <row r="2855" spans="1:26" ht="12" customHeight="1" outlineLevel="4" x14ac:dyDescent="0.2">
      <c r="A2855" s="14" t="s">
        <v>5582</v>
      </c>
      <c r="B2855" s="26" t="s">
        <v>5583</v>
      </c>
      <c r="C2855" s="52"/>
      <c r="D2855" s="55">
        <f t="shared" si="44"/>
        <v>0</v>
      </c>
      <c r="E2855" s="63" t="str">
        <f>HYPERLINK("https://www.sds-group.ru/product/boks-plastikovyy-schrn-p-6-ip41-belyy-rexant-11-0306/", "Инфо")</f>
        <v>Инфо</v>
      </c>
      <c r="F2855" s="16" t="s">
        <v>39</v>
      </c>
      <c r="G2855" s="15"/>
      <c r="H2855" s="15"/>
      <c r="I2855" s="15"/>
      <c r="J2855" s="16" t="s">
        <v>100</v>
      </c>
      <c r="K2855" s="15" t="s">
        <v>1272</v>
      </c>
      <c r="L2855" s="17">
        <v>1</v>
      </c>
      <c r="M2855" s="17">
        <v>30</v>
      </c>
      <c r="N2855" s="17">
        <v>1</v>
      </c>
      <c r="O2855" s="18">
        <v>836.39</v>
      </c>
      <c r="P2855" s="18">
        <v>685.57</v>
      </c>
      <c r="Q2855" s="18">
        <v>836.39</v>
      </c>
      <c r="R2855" s="18">
        <v>685.57</v>
      </c>
      <c r="S2855" s="18">
        <v>568.75</v>
      </c>
      <c r="T2855" s="18">
        <v>466.19</v>
      </c>
      <c r="U2855" s="16"/>
      <c r="V2855" s="16"/>
      <c r="W2855" s="16" t="s">
        <v>40</v>
      </c>
      <c r="X2855" s="19">
        <v>0.499</v>
      </c>
      <c r="Y2855" s="20">
        <v>3.6189999999999998E-3</v>
      </c>
      <c r="Z2855" s="21">
        <v>4601004329331</v>
      </c>
    </row>
    <row r="2856" spans="1:26" ht="12" customHeight="1" outlineLevel="4" x14ac:dyDescent="0.2">
      <c r="A2856" s="14" t="s">
        <v>5584</v>
      </c>
      <c r="B2856" s="26" t="s">
        <v>5585</v>
      </c>
      <c r="C2856" s="52"/>
      <c r="D2856" s="55">
        <f t="shared" si="44"/>
        <v>0</v>
      </c>
      <c r="E2856" s="63" t="str">
        <f>HYPERLINK("https://www.sds-group.ru/product/boks-plastikovyy-schrn-p-8-ip41-belyy-rexant-11-0308/", "Инфо")</f>
        <v>Инфо</v>
      </c>
      <c r="F2856" s="16" t="s">
        <v>39</v>
      </c>
      <c r="G2856" s="15"/>
      <c r="H2856" s="15"/>
      <c r="I2856" s="15"/>
      <c r="J2856" s="16" t="s">
        <v>100</v>
      </c>
      <c r="K2856" s="15" t="s">
        <v>1272</v>
      </c>
      <c r="L2856" s="17">
        <v>1</v>
      </c>
      <c r="M2856" s="17">
        <v>30</v>
      </c>
      <c r="N2856" s="17">
        <v>1</v>
      </c>
      <c r="O2856" s="18">
        <v>947.88</v>
      </c>
      <c r="P2856" s="18">
        <v>776.95</v>
      </c>
      <c r="Q2856" s="18">
        <v>947.88</v>
      </c>
      <c r="R2856" s="18">
        <v>776.95</v>
      </c>
      <c r="S2856" s="18">
        <v>644.55999999999995</v>
      </c>
      <c r="T2856" s="18">
        <v>528.33000000000004</v>
      </c>
      <c r="U2856" s="16"/>
      <c r="V2856" s="16"/>
      <c r="W2856" s="16" t="s">
        <v>40</v>
      </c>
      <c r="X2856" s="19">
        <v>0.57799999999999996</v>
      </c>
      <c r="Y2856" s="20">
        <v>4.3270000000000001E-3</v>
      </c>
      <c r="Z2856" s="21">
        <v>4601004329324</v>
      </c>
    </row>
    <row r="2857" spans="1:26" ht="12.95" customHeight="1" outlineLevel="3" x14ac:dyDescent="0.2">
      <c r="A2857" s="76" t="s">
        <v>5586</v>
      </c>
      <c r="B2857" s="76"/>
      <c r="C2857" s="77"/>
      <c r="D2857" s="58"/>
      <c r="E2857" s="68"/>
      <c r="F2857" s="13"/>
      <c r="G2857" s="13"/>
      <c r="H2857" s="13"/>
      <c r="I2857" s="13"/>
      <c r="J2857" s="13"/>
      <c r="K2857" s="13"/>
      <c r="L2857" s="13"/>
      <c r="M2857" s="13"/>
      <c r="N2857" s="13"/>
      <c r="O2857" s="13"/>
      <c r="P2857" s="13"/>
      <c r="Q2857" s="13"/>
      <c r="R2857" s="13"/>
      <c r="S2857" s="13"/>
      <c r="T2857" s="13"/>
      <c r="U2857" s="13"/>
      <c r="V2857" s="13"/>
      <c r="W2857" s="13"/>
      <c r="X2857" s="13"/>
      <c r="Y2857" s="13"/>
      <c r="Z2857" s="13"/>
    </row>
    <row r="2858" spans="1:26" ht="12" customHeight="1" outlineLevel="4" x14ac:dyDescent="0.2">
      <c r="A2858" s="14" t="s">
        <v>5587</v>
      </c>
      <c r="B2858" s="26" t="s">
        <v>5588</v>
      </c>
      <c r="C2858" s="52"/>
      <c r="D2858" s="55">
        <f t="shared" si="44"/>
        <v>0</v>
      </c>
      <c r="E2858" s="63" t="str">
        <f>HYPERLINK("https://www.sds-group.ru/product/boks-plastikovyy-kmpn-1-2-ip20-belyy-s-ind-upak-rexant-11-0112/", "Инфо")</f>
        <v>Инфо</v>
      </c>
      <c r="F2858" s="16" t="s">
        <v>39</v>
      </c>
      <c r="G2858" s="15"/>
      <c r="H2858" s="15"/>
      <c r="I2858" s="15"/>
      <c r="J2858" s="22">
        <v>1304</v>
      </c>
      <c r="K2858" s="15"/>
      <c r="L2858" s="17">
        <v>10</v>
      </c>
      <c r="M2858" s="17">
        <v>45</v>
      </c>
      <c r="N2858" s="17">
        <v>10</v>
      </c>
      <c r="O2858" s="18">
        <v>75.36</v>
      </c>
      <c r="P2858" s="18">
        <v>61.77</v>
      </c>
      <c r="Q2858" s="18">
        <v>64.06</v>
      </c>
      <c r="R2858" s="18">
        <v>52.51</v>
      </c>
      <c r="S2858" s="18">
        <v>51.24</v>
      </c>
      <c r="T2858" s="18">
        <v>42</v>
      </c>
      <c r="U2858" s="16" t="s">
        <v>5589</v>
      </c>
      <c r="V2858" s="16" t="s">
        <v>5590</v>
      </c>
      <c r="W2858" s="16" t="s">
        <v>40</v>
      </c>
      <c r="X2858" s="19">
        <v>4.9000000000000002E-2</v>
      </c>
      <c r="Y2858" s="20">
        <v>4.7899999999999999E-4</v>
      </c>
      <c r="Z2858" s="21">
        <v>4601004240759</v>
      </c>
    </row>
    <row r="2859" spans="1:26" ht="12" customHeight="1" outlineLevel="4" x14ac:dyDescent="0.2">
      <c r="A2859" s="14" t="s">
        <v>5591</v>
      </c>
      <c r="B2859" s="26" t="s">
        <v>5592</v>
      </c>
      <c r="C2859" s="52"/>
      <c r="D2859" s="55">
        <f t="shared" si="44"/>
        <v>0</v>
      </c>
      <c r="E2859" s="63" t="str">
        <f>HYPERLINK("https://www.sds-group.ru/product/boks-plastikovyy-kmpn-1-4-ip20-belyy-s-ind-upak-rexant-11-0114/", "Инфо")</f>
        <v>Инфо</v>
      </c>
      <c r="F2859" s="16" t="s">
        <v>39</v>
      </c>
      <c r="G2859" s="15"/>
      <c r="H2859" s="15"/>
      <c r="I2859" s="15"/>
      <c r="J2859" s="17">
        <v>635</v>
      </c>
      <c r="K2859" s="15"/>
      <c r="L2859" s="17">
        <v>10</v>
      </c>
      <c r="M2859" s="17">
        <v>84</v>
      </c>
      <c r="N2859" s="17">
        <v>10</v>
      </c>
      <c r="O2859" s="18">
        <v>104.89</v>
      </c>
      <c r="P2859" s="18">
        <v>85.98</v>
      </c>
      <c r="Q2859" s="18">
        <v>89.16</v>
      </c>
      <c r="R2859" s="18">
        <v>73.08</v>
      </c>
      <c r="S2859" s="18">
        <v>71.33</v>
      </c>
      <c r="T2859" s="18">
        <v>58.47</v>
      </c>
      <c r="U2859" s="16" t="s">
        <v>5589</v>
      </c>
      <c r="V2859" s="16" t="s">
        <v>5590</v>
      </c>
      <c r="W2859" s="16" t="s">
        <v>40</v>
      </c>
      <c r="X2859" s="19">
        <v>7.2999999999999995E-2</v>
      </c>
      <c r="Y2859" s="20">
        <v>6.4800000000000003E-4</v>
      </c>
      <c r="Z2859" s="21">
        <v>4601004240780</v>
      </c>
    </row>
    <row r="2860" spans="1:26" ht="12" customHeight="1" outlineLevel="4" x14ac:dyDescent="0.2">
      <c r="A2860" s="40" t="s">
        <v>5593</v>
      </c>
      <c r="B2860" s="75" t="s">
        <v>5594</v>
      </c>
      <c r="C2860" s="51"/>
      <c r="D2860" s="54">
        <f t="shared" si="44"/>
        <v>0</v>
      </c>
      <c r="E2860" s="61" t="str">
        <f>HYPERLINK("https://www.sds-group.ru/product/korpus-plastikovyy-kmpn-12-ip65-rexant-11-0512/", "Инфо")</f>
        <v>Инфо</v>
      </c>
      <c r="F2860" s="42" t="s">
        <v>39</v>
      </c>
      <c r="G2860" s="41" t="s">
        <v>40</v>
      </c>
      <c r="H2860" s="41"/>
      <c r="I2860" s="41"/>
      <c r="J2860" s="43">
        <v>772</v>
      </c>
      <c r="K2860" s="41"/>
      <c r="L2860" s="43">
        <v>1</v>
      </c>
      <c r="M2860" s="43">
        <v>20</v>
      </c>
      <c r="N2860" s="43">
        <v>1</v>
      </c>
      <c r="O2860" s="44">
        <v>2263.73</v>
      </c>
      <c r="P2860" s="44">
        <v>1855.52</v>
      </c>
      <c r="Q2860" s="44">
        <v>1743.07</v>
      </c>
      <c r="R2860" s="44">
        <v>1428.75</v>
      </c>
      <c r="S2860" s="44">
        <v>1539.34</v>
      </c>
      <c r="T2860" s="44">
        <v>1261.75</v>
      </c>
      <c r="U2860" s="42" t="s">
        <v>5589</v>
      </c>
      <c r="V2860" s="42" t="s">
        <v>5590</v>
      </c>
      <c r="W2860" s="42" t="s">
        <v>40</v>
      </c>
      <c r="X2860" s="45">
        <v>1.075</v>
      </c>
      <c r="Y2860" s="46">
        <v>5.5599999999999998E-3</v>
      </c>
      <c r="Z2860" s="21">
        <v>4601004342019</v>
      </c>
    </row>
    <row r="2861" spans="1:26" ht="12" customHeight="1" outlineLevel="4" x14ac:dyDescent="0.2">
      <c r="A2861" s="14" t="s">
        <v>5595</v>
      </c>
      <c r="B2861" s="26" t="s">
        <v>5596</v>
      </c>
      <c r="C2861" s="52"/>
      <c r="D2861" s="55">
        <f t="shared" si="44"/>
        <v>0</v>
      </c>
      <c r="E2861" s="64"/>
      <c r="F2861" s="16" t="s">
        <v>39</v>
      </c>
      <c r="G2861" s="15"/>
      <c r="H2861" s="15"/>
      <c r="I2861" s="15"/>
      <c r="J2861" s="16" t="s">
        <v>100</v>
      </c>
      <c r="K2861" s="15" t="s">
        <v>1272</v>
      </c>
      <c r="L2861" s="17">
        <v>1</v>
      </c>
      <c r="M2861" s="17">
        <v>40</v>
      </c>
      <c r="N2861" s="17">
        <v>1</v>
      </c>
      <c r="O2861" s="18">
        <v>1028.2</v>
      </c>
      <c r="P2861" s="18">
        <v>842.79</v>
      </c>
      <c r="Q2861" s="18">
        <v>812.28</v>
      </c>
      <c r="R2861" s="18">
        <v>665.8</v>
      </c>
      <c r="S2861" s="18">
        <v>699.18</v>
      </c>
      <c r="T2861" s="18">
        <v>573.1</v>
      </c>
      <c r="U2861" s="16"/>
      <c r="V2861" s="16"/>
      <c r="W2861" s="16" t="s">
        <v>40</v>
      </c>
      <c r="X2861" s="25"/>
      <c r="Y2861" s="25"/>
      <c r="Z2861" s="21">
        <v>4601004341999</v>
      </c>
    </row>
    <row r="2862" spans="1:26" ht="12" customHeight="1" outlineLevel="4" x14ac:dyDescent="0.2">
      <c r="A2862" s="40" t="s">
        <v>5597</v>
      </c>
      <c r="B2862" s="75" t="s">
        <v>5598</v>
      </c>
      <c r="C2862" s="51"/>
      <c r="D2862" s="54">
        <f t="shared" si="44"/>
        <v>0</v>
      </c>
      <c r="E2862" s="61" t="str">
        <f>HYPERLINK("https://www.sds-group.ru/product/korpus-plastikovyy-kmpn-8-ip65-rexant-11-0508/", "Инфо")</f>
        <v>Инфо</v>
      </c>
      <c r="F2862" s="42" t="s">
        <v>39</v>
      </c>
      <c r="G2862" s="41" t="s">
        <v>40</v>
      </c>
      <c r="H2862" s="41"/>
      <c r="I2862" s="41"/>
      <c r="J2862" s="43">
        <v>810</v>
      </c>
      <c r="K2862" s="41"/>
      <c r="L2862" s="43">
        <v>1</v>
      </c>
      <c r="M2862" s="43">
        <v>30</v>
      </c>
      <c r="N2862" s="43">
        <v>1</v>
      </c>
      <c r="O2862" s="44">
        <v>1420</v>
      </c>
      <c r="P2862" s="44">
        <v>1163.93</v>
      </c>
      <c r="Q2862" s="44">
        <v>1121.8</v>
      </c>
      <c r="R2862" s="44">
        <v>919.51</v>
      </c>
      <c r="S2862" s="44">
        <v>965.6</v>
      </c>
      <c r="T2862" s="44">
        <v>791.48</v>
      </c>
      <c r="U2862" s="42" t="s">
        <v>5589</v>
      </c>
      <c r="V2862" s="42" t="s">
        <v>5590</v>
      </c>
      <c r="W2862" s="42" t="s">
        <v>40</v>
      </c>
      <c r="X2862" s="45">
        <v>0.66</v>
      </c>
      <c r="Y2862" s="46">
        <v>3.3040000000000001E-3</v>
      </c>
      <c r="Z2862" s="21">
        <v>4601004342002</v>
      </c>
    </row>
    <row r="2863" spans="1:26" ht="12" customHeight="1" outlineLevel="4" x14ac:dyDescent="0.2">
      <c r="A2863" s="40" t="s">
        <v>5599</v>
      </c>
      <c r="B2863" s="75" t="s">
        <v>5600</v>
      </c>
      <c r="C2863" s="51"/>
      <c r="D2863" s="54">
        <f t="shared" si="44"/>
        <v>0</v>
      </c>
      <c r="E2863" s="61" t="str">
        <f>HYPERLINK("https://www.sds-group.ru/product/korpus-plastikovyy-s-kryshkoy-kmpn-2-2-ip30-na-1-2-modulya-belyy-rexant-11-0122/", "Инфо")</f>
        <v>Инфо</v>
      </c>
      <c r="F2863" s="42" t="s">
        <v>39</v>
      </c>
      <c r="G2863" s="41" t="s">
        <v>40</v>
      </c>
      <c r="H2863" s="41"/>
      <c r="I2863" s="41"/>
      <c r="J2863" s="47">
        <v>5426</v>
      </c>
      <c r="K2863" s="41"/>
      <c r="L2863" s="43">
        <v>5</v>
      </c>
      <c r="M2863" s="43">
        <v>80</v>
      </c>
      <c r="N2863" s="43">
        <v>5</v>
      </c>
      <c r="O2863" s="44">
        <v>223.96</v>
      </c>
      <c r="P2863" s="44">
        <v>183.57</v>
      </c>
      <c r="Q2863" s="44">
        <v>190.37</v>
      </c>
      <c r="R2863" s="44">
        <v>156.04</v>
      </c>
      <c r="S2863" s="44">
        <v>152.29</v>
      </c>
      <c r="T2863" s="44">
        <v>124.83</v>
      </c>
      <c r="U2863" s="42" t="s">
        <v>5589</v>
      </c>
      <c r="V2863" s="42" t="s">
        <v>5590</v>
      </c>
      <c r="W2863" s="42" t="s">
        <v>40</v>
      </c>
      <c r="X2863" s="45">
        <v>9.2999999999999999E-2</v>
      </c>
      <c r="Y2863" s="46">
        <v>6.6399999999999999E-4</v>
      </c>
      <c r="Z2863" s="21">
        <v>4601004341968</v>
      </c>
    </row>
    <row r="2864" spans="1:26" ht="12" customHeight="1" outlineLevel="4" x14ac:dyDescent="0.2">
      <c r="A2864" s="40" t="s">
        <v>5601</v>
      </c>
      <c r="B2864" s="75" t="s">
        <v>5602</v>
      </c>
      <c r="C2864" s="51"/>
      <c r="D2864" s="54">
        <f t="shared" si="44"/>
        <v>0</v>
      </c>
      <c r="E2864" s="61" t="str">
        <f>HYPERLINK("https://www.sds-group.ru/product/korpus-plastikovyy-s-kryshkoy-kmpn-2-4-ip30-na-2-4-modulya-belyy-rexant-11-0124/", "Инфо")</f>
        <v>Инфо</v>
      </c>
      <c r="F2864" s="42" t="s">
        <v>39</v>
      </c>
      <c r="G2864" s="41" t="s">
        <v>40</v>
      </c>
      <c r="H2864" s="41"/>
      <c r="I2864" s="41"/>
      <c r="J2864" s="47">
        <v>4756</v>
      </c>
      <c r="K2864" s="41"/>
      <c r="L2864" s="43">
        <v>5</v>
      </c>
      <c r="M2864" s="43">
        <v>40</v>
      </c>
      <c r="N2864" s="43">
        <v>5</v>
      </c>
      <c r="O2864" s="44">
        <v>254.87</v>
      </c>
      <c r="P2864" s="44">
        <v>208.91</v>
      </c>
      <c r="Q2864" s="44">
        <v>216.64</v>
      </c>
      <c r="R2864" s="44">
        <v>177.57</v>
      </c>
      <c r="S2864" s="44">
        <v>173.31</v>
      </c>
      <c r="T2864" s="44">
        <v>142.06</v>
      </c>
      <c r="U2864" s="42" t="s">
        <v>5589</v>
      </c>
      <c r="V2864" s="42" t="s">
        <v>5590</v>
      </c>
      <c r="W2864" s="42" t="s">
        <v>40</v>
      </c>
      <c r="X2864" s="45">
        <v>0.13500000000000001</v>
      </c>
      <c r="Y2864" s="46">
        <v>1.317E-3</v>
      </c>
      <c r="Z2864" s="21">
        <v>4601004341975</v>
      </c>
    </row>
    <row r="2865" spans="1:26" ht="12" customHeight="1" outlineLevel="4" x14ac:dyDescent="0.2">
      <c r="A2865" s="40" t="s">
        <v>5603</v>
      </c>
      <c r="B2865" s="75" t="s">
        <v>5604</v>
      </c>
      <c r="C2865" s="51"/>
      <c r="D2865" s="54">
        <f t="shared" si="44"/>
        <v>0</v>
      </c>
      <c r="E2865" s="61" t="str">
        <f>HYPERLINK("https://www.sds-group.ru/product/korpus-plastikovyy-s-kryshkoy-kmpn-2-6-8-ip30-na-6-8-moduley-belyy-rexant-11-0128/", "Инфо")</f>
        <v>Инфо</v>
      </c>
      <c r="F2865" s="42" t="s">
        <v>39</v>
      </c>
      <c r="G2865" s="41" t="s">
        <v>40</v>
      </c>
      <c r="H2865" s="41"/>
      <c r="I2865" s="41"/>
      <c r="J2865" s="47">
        <v>1624</v>
      </c>
      <c r="K2865" s="41"/>
      <c r="L2865" s="43">
        <v>1</v>
      </c>
      <c r="M2865" s="43">
        <v>24</v>
      </c>
      <c r="N2865" s="43">
        <v>1</v>
      </c>
      <c r="O2865" s="44">
        <v>392.2</v>
      </c>
      <c r="P2865" s="44">
        <v>321.48</v>
      </c>
      <c r="Q2865" s="44">
        <v>333.37</v>
      </c>
      <c r="R2865" s="44">
        <v>273.25</v>
      </c>
      <c r="S2865" s="44">
        <v>266.7</v>
      </c>
      <c r="T2865" s="44">
        <v>218.61</v>
      </c>
      <c r="U2865" s="42" t="s">
        <v>5589</v>
      </c>
      <c r="V2865" s="42" t="s">
        <v>5590</v>
      </c>
      <c r="W2865" s="42" t="s">
        <v>40</v>
      </c>
      <c r="X2865" s="45">
        <v>0.22500000000000001</v>
      </c>
      <c r="Y2865" s="46">
        <v>2.1879999999999998E-3</v>
      </c>
      <c r="Z2865" s="21">
        <v>4601004341982</v>
      </c>
    </row>
    <row r="2866" spans="1:26" ht="12.95" customHeight="1" outlineLevel="3" x14ac:dyDescent="0.2">
      <c r="A2866" s="76" t="s">
        <v>5605</v>
      </c>
      <c r="B2866" s="76"/>
      <c r="C2866" s="77"/>
      <c r="D2866" s="58"/>
      <c r="E2866" s="68"/>
      <c r="F2866" s="13"/>
      <c r="G2866" s="13"/>
      <c r="H2866" s="13"/>
      <c r="I2866" s="13"/>
      <c r="J2866" s="13"/>
      <c r="K2866" s="13"/>
      <c r="L2866" s="13"/>
      <c r="M2866" s="13"/>
      <c r="N2866" s="13"/>
      <c r="O2866" s="13"/>
      <c r="P2866" s="13"/>
      <c r="Q2866" s="13"/>
      <c r="R2866" s="13"/>
      <c r="S2866" s="13"/>
      <c r="T2866" s="13"/>
      <c r="U2866" s="13"/>
      <c r="V2866" s="13"/>
      <c r="W2866" s="13"/>
      <c r="X2866" s="13"/>
      <c r="Y2866" s="13"/>
      <c r="Z2866" s="13"/>
    </row>
    <row r="2867" spans="1:26" ht="12" customHeight="1" outlineLevel="4" x14ac:dyDescent="0.2">
      <c r="A2867" s="14" t="s">
        <v>5606</v>
      </c>
      <c r="B2867" s="26" t="s">
        <v>5607</v>
      </c>
      <c r="C2867" s="52"/>
      <c r="D2867" s="55">
        <f t="shared" si="44"/>
        <v>0</v>
      </c>
      <c r="E2867" s="63" t="str">
        <f>HYPERLINK("https://www.sds-group.ru/product/korpus-plastikovyy-schmpp-s-montazhnoy-panelyu-300h200h130mm-abs-uhl1-ip65-rexant-11-0400/", "Инфо")</f>
        <v>Инфо</v>
      </c>
      <c r="F2867" s="16" t="s">
        <v>39</v>
      </c>
      <c r="G2867" s="15"/>
      <c r="H2867" s="15"/>
      <c r="I2867" s="15"/>
      <c r="J2867" s="17">
        <v>614</v>
      </c>
      <c r="K2867" s="15" t="s">
        <v>995</v>
      </c>
      <c r="L2867" s="17">
        <v>1</v>
      </c>
      <c r="M2867" s="17">
        <v>1</v>
      </c>
      <c r="N2867" s="17">
        <v>1</v>
      </c>
      <c r="O2867" s="18">
        <v>2812.79</v>
      </c>
      <c r="P2867" s="18">
        <v>2305.5700000000002</v>
      </c>
      <c r="Q2867" s="18">
        <v>2165.85</v>
      </c>
      <c r="R2867" s="18">
        <v>1775.29</v>
      </c>
      <c r="S2867" s="18">
        <v>1912.7</v>
      </c>
      <c r="T2867" s="18">
        <v>1567.79</v>
      </c>
      <c r="U2867" s="16"/>
      <c r="V2867" s="16"/>
      <c r="W2867" s="16" t="s">
        <v>40</v>
      </c>
      <c r="X2867" s="19">
        <v>1.3560000000000001</v>
      </c>
      <c r="Y2867" s="20">
        <v>8.5900000000000004E-3</v>
      </c>
      <c r="Z2867" s="21">
        <v>4601004248083</v>
      </c>
    </row>
    <row r="2868" spans="1:26" ht="12" customHeight="1" outlineLevel="4" x14ac:dyDescent="0.2">
      <c r="A2868" s="14" t="s">
        <v>5608</v>
      </c>
      <c r="B2868" s="26" t="s">
        <v>5609</v>
      </c>
      <c r="C2868" s="52"/>
      <c r="D2868" s="55">
        <f t="shared" si="44"/>
        <v>0</v>
      </c>
      <c r="E2868" s="63" t="str">
        <f>HYPERLINK("https://www.sds-group.ru/product/korpus-plastikovyy-schmpp-s-montazhnoy-panelyu-350h250h150mm-abs-uhl1-ip65-rexant-11-0401/", "Инфо")</f>
        <v>Инфо</v>
      </c>
      <c r="F2868" s="16" t="s">
        <v>39</v>
      </c>
      <c r="G2868" s="15"/>
      <c r="H2868" s="15"/>
      <c r="I2868" s="15"/>
      <c r="J2868" s="17">
        <v>211</v>
      </c>
      <c r="K2868" s="15" t="s">
        <v>995</v>
      </c>
      <c r="L2868" s="17">
        <v>1</v>
      </c>
      <c r="M2868" s="17">
        <v>1</v>
      </c>
      <c r="N2868" s="17">
        <v>1</v>
      </c>
      <c r="O2868" s="18">
        <v>3867.93</v>
      </c>
      <c r="P2868" s="18">
        <v>3170.43</v>
      </c>
      <c r="Q2868" s="18">
        <v>2823.59</v>
      </c>
      <c r="R2868" s="18">
        <v>2314.42</v>
      </c>
      <c r="S2868" s="18">
        <v>2630.19</v>
      </c>
      <c r="T2868" s="18">
        <v>2155.89</v>
      </c>
      <c r="U2868" s="16"/>
      <c r="V2868" s="16"/>
      <c r="W2868" s="16" t="s">
        <v>40</v>
      </c>
      <c r="X2868" s="19">
        <v>2.1339999999999999</v>
      </c>
      <c r="Y2868" s="20">
        <v>1.4444E-2</v>
      </c>
      <c r="Z2868" s="21">
        <v>4601004248045</v>
      </c>
    </row>
    <row r="2869" spans="1:26" ht="12" customHeight="1" outlineLevel="4" x14ac:dyDescent="0.2">
      <c r="A2869" s="14" t="s">
        <v>5610</v>
      </c>
      <c r="B2869" s="26" t="s">
        <v>5611</v>
      </c>
      <c r="C2869" s="52"/>
      <c r="D2869" s="55">
        <f t="shared" si="44"/>
        <v>0</v>
      </c>
      <c r="E2869" s="63" t="str">
        <f>HYPERLINK("https://www.sds-group.ru/product/korpus-plastikovyy-schmpp-s-montazhnoy-panelyu-400h300h170mm-abs-uhl1-ip65-rexant-11-0402/", "Инфо")</f>
        <v>Инфо</v>
      </c>
      <c r="F2869" s="16" t="s">
        <v>39</v>
      </c>
      <c r="G2869" s="15"/>
      <c r="H2869" s="15"/>
      <c r="I2869" s="15"/>
      <c r="J2869" s="17">
        <v>125</v>
      </c>
      <c r="K2869" s="15" t="s">
        <v>995</v>
      </c>
      <c r="L2869" s="17">
        <v>1</v>
      </c>
      <c r="M2869" s="17">
        <v>1</v>
      </c>
      <c r="N2869" s="17">
        <v>1</v>
      </c>
      <c r="O2869" s="18">
        <v>5596.43</v>
      </c>
      <c r="P2869" s="18">
        <v>4587.24</v>
      </c>
      <c r="Q2869" s="18">
        <v>4085.39</v>
      </c>
      <c r="R2869" s="18">
        <v>3348.68</v>
      </c>
      <c r="S2869" s="18">
        <v>3805.57</v>
      </c>
      <c r="T2869" s="18">
        <v>3119.32</v>
      </c>
      <c r="U2869" s="16"/>
      <c r="V2869" s="16"/>
      <c r="W2869" s="16" t="s">
        <v>40</v>
      </c>
      <c r="X2869" s="19">
        <v>2.8250000000000002</v>
      </c>
      <c r="Y2869" s="20">
        <v>2.1634E-2</v>
      </c>
      <c r="Z2869" s="21">
        <v>4601004248052</v>
      </c>
    </row>
    <row r="2870" spans="1:26" ht="12" customHeight="1" outlineLevel="4" x14ac:dyDescent="0.2">
      <c r="A2870" s="14" t="s">
        <v>5612</v>
      </c>
      <c r="B2870" s="26" t="s">
        <v>5613</v>
      </c>
      <c r="C2870" s="52"/>
      <c r="D2870" s="55">
        <f t="shared" si="44"/>
        <v>0</v>
      </c>
      <c r="E2870" s="63" t="str">
        <f>HYPERLINK("https://www.sds-group.ru/product/korpus-plastikovyy-schmpp-s-montazhnoy-panelyu-400h300h220mm-abs-uhl1-ip65-rexant-11-0403/", "Инфо")</f>
        <v>Инфо</v>
      </c>
      <c r="F2870" s="16" t="s">
        <v>39</v>
      </c>
      <c r="G2870" s="15"/>
      <c r="H2870" s="15"/>
      <c r="I2870" s="15"/>
      <c r="J2870" s="17">
        <v>729</v>
      </c>
      <c r="K2870" s="15" t="s">
        <v>995</v>
      </c>
      <c r="L2870" s="17">
        <v>1</v>
      </c>
      <c r="M2870" s="17">
        <v>1</v>
      </c>
      <c r="N2870" s="17">
        <v>1</v>
      </c>
      <c r="O2870" s="18">
        <v>6213.25</v>
      </c>
      <c r="P2870" s="18">
        <v>5092.83</v>
      </c>
      <c r="Q2870" s="18">
        <v>4535.67</v>
      </c>
      <c r="R2870" s="18">
        <v>3717.76</v>
      </c>
      <c r="S2870" s="18">
        <v>4225.01</v>
      </c>
      <c r="T2870" s="18">
        <v>3463.12</v>
      </c>
      <c r="U2870" s="16"/>
      <c r="V2870" s="16"/>
      <c r="W2870" s="16" t="s">
        <v>40</v>
      </c>
      <c r="X2870" s="19">
        <v>3.1230000000000002</v>
      </c>
      <c r="Y2870" s="20">
        <v>2.7723000000000001E-2</v>
      </c>
      <c r="Z2870" s="21">
        <v>4601004248069</v>
      </c>
    </row>
    <row r="2871" spans="1:26" ht="12" customHeight="1" outlineLevel="4" x14ac:dyDescent="0.2">
      <c r="A2871" s="14" t="s">
        <v>5614</v>
      </c>
      <c r="B2871" s="26" t="s">
        <v>5615</v>
      </c>
      <c r="C2871" s="52"/>
      <c r="D2871" s="55">
        <f t="shared" si="44"/>
        <v>0</v>
      </c>
      <c r="E2871" s="63" t="str">
        <f>HYPERLINK("https://www.sds-group.ru/product/korpus-plastikovyy-schmpp-s-montazhnoy-panelyu-500h350h190mm-abs-uhl1-ip65-rexant-11-0405/", "Инфо")</f>
        <v>Инфо</v>
      </c>
      <c r="F2871" s="16" t="s">
        <v>39</v>
      </c>
      <c r="G2871" s="15"/>
      <c r="H2871" s="15"/>
      <c r="I2871" s="15"/>
      <c r="J2871" s="17">
        <v>64</v>
      </c>
      <c r="K2871" s="15" t="s">
        <v>995</v>
      </c>
      <c r="L2871" s="17">
        <v>1</v>
      </c>
      <c r="M2871" s="17">
        <v>1</v>
      </c>
      <c r="N2871" s="17">
        <v>1</v>
      </c>
      <c r="O2871" s="18">
        <v>7863.19</v>
      </c>
      <c r="P2871" s="18">
        <v>6445.24</v>
      </c>
      <c r="Q2871" s="18">
        <v>5740.13</v>
      </c>
      <c r="R2871" s="18">
        <v>4705.0200000000004</v>
      </c>
      <c r="S2871" s="18">
        <v>5346.97</v>
      </c>
      <c r="T2871" s="18">
        <v>4382.76</v>
      </c>
      <c r="U2871" s="16"/>
      <c r="V2871" s="16"/>
      <c r="W2871" s="16" t="s">
        <v>40</v>
      </c>
      <c r="X2871" s="19">
        <v>3.9670000000000001</v>
      </c>
      <c r="Y2871" s="20">
        <v>3.5131000000000003E-2</v>
      </c>
      <c r="Z2871" s="21">
        <v>4601004288522</v>
      </c>
    </row>
    <row r="2872" spans="1:26" ht="12" customHeight="1" outlineLevel="4" x14ac:dyDescent="0.2">
      <c r="A2872" s="14" t="s">
        <v>5616</v>
      </c>
      <c r="B2872" s="26" t="s">
        <v>5617</v>
      </c>
      <c r="C2872" s="52"/>
      <c r="D2872" s="55">
        <f t="shared" si="44"/>
        <v>0</v>
      </c>
      <c r="E2872" s="63" t="str">
        <f>HYPERLINK("https://www.sds-group.ru/product/korpus-plastikovyy-schmpp-s-montazhnoy-panelyu-500h400h180mm-abs-uhl1-ip65-rexant-11-0404/", "Инфо")</f>
        <v>Инфо</v>
      </c>
      <c r="F2872" s="16" t="s">
        <v>39</v>
      </c>
      <c r="G2872" s="15"/>
      <c r="H2872" s="15"/>
      <c r="I2872" s="15"/>
      <c r="J2872" s="17">
        <v>523</v>
      </c>
      <c r="K2872" s="15" t="s">
        <v>995</v>
      </c>
      <c r="L2872" s="17">
        <v>1</v>
      </c>
      <c r="M2872" s="17">
        <v>1</v>
      </c>
      <c r="N2872" s="17">
        <v>1</v>
      </c>
      <c r="O2872" s="18">
        <v>8420.17</v>
      </c>
      <c r="P2872" s="18">
        <v>6901.78</v>
      </c>
      <c r="Q2872" s="18">
        <v>6146.72</v>
      </c>
      <c r="R2872" s="18">
        <v>5038.3</v>
      </c>
      <c r="S2872" s="18">
        <v>5725.72</v>
      </c>
      <c r="T2872" s="18">
        <v>4693.21</v>
      </c>
      <c r="U2872" s="16"/>
      <c r="V2872" s="16"/>
      <c r="W2872" s="16" t="s">
        <v>40</v>
      </c>
      <c r="X2872" s="19">
        <v>4.2910000000000004</v>
      </c>
      <c r="Y2872" s="20">
        <v>3.8282999999999998E-2</v>
      </c>
      <c r="Z2872" s="21">
        <v>4601004248076</v>
      </c>
    </row>
    <row r="2873" spans="1:26" ht="12" customHeight="1" outlineLevel="4" x14ac:dyDescent="0.2">
      <c r="A2873" s="14" t="s">
        <v>5618</v>
      </c>
      <c r="B2873" s="26" t="s">
        <v>5619</v>
      </c>
      <c r="C2873" s="52"/>
      <c r="D2873" s="55">
        <f t="shared" si="44"/>
        <v>0</v>
      </c>
      <c r="E2873" s="63" t="str">
        <f>HYPERLINK("https://www.sds-group.ru/product/korpus-plastikovyy-schmpp-s-montazhnoy-panelyu-500h400h240mm-abs-uhl1-ip65-rexant-11-0406/", "Инфо")</f>
        <v>Инфо</v>
      </c>
      <c r="F2873" s="16" t="s">
        <v>39</v>
      </c>
      <c r="G2873" s="15"/>
      <c r="H2873" s="15"/>
      <c r="I2873" s="15"/>
      <c r="J2873" s="17">
        <v>156</v>
      </c>
      <c r="K2873" s="15" t="s">
        <v>995</v>
      </c>
      <c r="L2873" s="17">
        <v>1</v>
      </c>
      <c r="M2873" s="17">
        <v>1</v>
      </c>
      <c r="N2873" s="17">
        <v>1</v>
      </c>
      <c r="O2873" s="18">
        <v>9315.09</v>
      </c>
      <c r="P2873" s="18">
        <v>7635.32</v>
      </c>
      <c r="Q2873" s="18">
        <v>6800.02</v>
      </c>
      <c r="R2873" s="18">
        <v>5573.79</v>
      </c>
      <c r="S2873" s="18">
        <v>6334.26</v>
      </c>
      <c r="T2873" s="18">
        <v>5192.0200000000004</v>
      </c>
      <c r="U2873" s="16"/>
      <c r="V2873" s="16"/>
      <c r="W2873" s="16" t="s">
        <v>40</v>
      </c>
      <c r="X2873" s="19">
        <v>5</v>
      </c>
      <c r="Y2873" s="20">
        <v>5.0755000000000002E-2</v>
      </c>
      <c r="Z2873" s="21">
        <v>4601004288515</v>
      </c>
    </row>
    <row r="2874" spans="1:26" ht="12" customHeight="1" outlineLevel="4" x14ac:dyDescent="0.2">
      <c r="A2874" s="14" t="s">
        <v>5620</v>
      </c>
      <c r="B2874" s="26" t="s">
        <v>5621</v>
      </c>
      <c r="C2874" s="52"/>
      <c r="D2874" s="55">
        <f t="shared" si="44"/>
        <v>0</v>
      </c>
      <c r="E2874" s="63" t="str">
        <f>HYPERLINK("https://www.sds-group.ru/product/korpus-plastikovyy-schmpp-s-montazhnoy-panelyu-600h400h200mm-abs-uhl1-ip65-rexant-11-0407/", "Инфо")</f>
        <v>Инфо</v>
      </c>
      <c r="F2874" s="16" t="s">
        <v>39</v>
      </c>
      <c r="G2874" s="15"/>
      <c r="H2874" s="15"/>
      <c r="I2874" s="15"/>
      <c r="J2874" s="17">
        <v>180</v>
      </c>
      <c r="K2874" s="15" t="s">
        <v>995</v>
      </c>
      <c r="L2874" s="17">
        <v>1</v>
      </c>
      <c r="M2874" s="17">
        <v>1</v>
      </c>
      <c r="N2874" s="17">
        <v>1</v>
      </c>
      <c r="O2874" s="18">
        <v>10027.65</v>
      </c>
      <c r="P2874" s="18">
        <v>8219.39</v>
      </c>
      <c r="Q2874" s="18">
        <v>7320.18</v>
      </c>
      <c r="R2874" s="18">
        <v>6000.15</v>
      </c>
      <c r="S2874" s="18">
        <v>6818.8</v>
      </c>
      <c r="T2874" s="18">
        <v>5589.18</v>
      </c>
      <c r="U2874" s="16"/>
      <c r="V2874" s="16"/>
      <c r="W2874" s="16" t="s">
        <v>40</v>
      </c>
      <c r="X2874" s="19">
        <v>5.4470000000000001</v>
      </c>
      <c r="Y2874" s="20">
        <v>5.0516999999999999E-2</v>
      </c>
      <c r="Z2874" s="21">
        <v>4601004288485</v>
      </c>
    </row>
    <row r="2875" spans="1:26" ht="12" customHeight="1" outlineLevel="4" x14ac:dyDescent="0.2">
      <c r="A2875" s="14" t="s">
        <v>5622</v>
      </c>
      <c r="B2875" s="26" t="s">
        <v>5623</v>
      </c>
      <c r="C2875" s="52"/>
      <c r="D2875" s="55">
        <f t="shared" si="44"/>
        <v>0</v>
      </c>
      <c r="E2875" s="63" t="str">
        <f>HYPERLINK("https://www.sds-group.ru/product/korpus-plastikovyy-schmpp-s-montazhnoy-panelyu-700h500h250mm-abs-uhl1-ip65-rexant-11-0408/", "Инфо")</f>
        <v>Инфо</v>
      </c>
      <c r="F2875" s="16" t="s">
        <v>39</v>
      </c>
      <c r="G2875" s="15"/>
      <c r="H2875" s="15"/>
      <c r="I2875" s="15"/>
      <c r="J2875" s="16" t="s">
        <v>100</v>
      </c>
      <c r="K2875" s="15" t="s">
        <v>995</v>
      </c>
      <c r="L2875" s="17">
        <v>1</v>
      </c>
      <c r="M2875" s="17">
        <v>1</v>
      </c>
      <c r="N2875" s="17">
        <v>1</v>
      </c>
      <c r="O2875" s="18">
        <v>16657.740000000002</v>
      </c>
      <c r="P2875" s="18">
        <v>13653.89</v>
      </c>
      <c r="Q2875" s="18">
        <v>12160.15</v>
      </c>
      <c r="R2875" s="18">
        <v>9967.34</v>
      </c>
      <c r="S2875" s="18">
        <v>11327.26</v>
      </c>
      <c r="T2875" s="18">
        <v>9284.64</v>
      </c>
      <c r="U2875" s="16"/>
      <c r="V2875" s="16"/>
      <c r="W2875" s="16" t="s">
        <v>40</v>
      </c>
      <c r="X2875" s="19">
        <v>9.0250000000000004</v>
      </c>
      <c r="Y2875" s="20">
        <v>9.3216999999999994E-2</v>
      </c>
      <c r="Z2875" s="21">
        <v>4601004288461</v>
      </c>
    </row>
    <row r="2876" spans="1:26" ht="12" customHeight="1" outlineLevel="4" x14ac:dyDescent="0.2">
      <c r="A2876" s="14" t="s">
        <v>5624</v>
      </c>
      <c r="B2876" s="26" t="s">
        <v>5625</v>
      </c>
      <c r="C2876" s="52"/>
      <c r="D2876" s="55">
        <f t="shared" si="44"/>
        <v>0</v>
      </c>
      <c r="E2876" s="63" t="str">
        <f>HYPERLINK("https://www.sds-group.ru/product/korpus-plastikovyy-schmpp-s-montazhnoy-panelyu-800h600h260mm-abs-uhl1-ip65-rexant-11-0409/", "Инфо")</f>
        <v>Инфо</v>
      </c>
      <c r="F2876" s="16" t="s">
        <v>39</v>
      </c>
      <c r="G2876" s="15"/>
      <c r="H2876" s="15"/>
      <c r="I2876" s="15"/>
      <c r="J2876" s="17">
        <v>48</v>
      </c>
      <c r="K2876" s="15" t="s">
        <v>995</v>
      </c>
      <c r="L2876" s="17">
        <v>1</v>
      </c>
      <c r="M2876" s="17">
        <v>1</v>
      </c>
      <c r="N2876" s="17">
        <v>1</v>
      </c>
      <c r="O2876" s="18">
        <v>27959.47</v>
      </c>
      <c r="P2876" s="18">
        <v>22917.599999999999</v>
      </c>
      <c r="Q2876" s="18">
        <v>20410.41</v>
      </c>
      <c r="R2876" s="18">
        <v>16729.84</v>
      </c>
      <c r="S2876" s="18">
        <v>19012.439999999999</v>
      </c>
      <c r="T2876" s="18">
        <v>15583.97</v>
      </c>
      <c r="U2876" s="16"/>
      <c r="V2876" s="16"/>
      <c r="W2876" s="16" t="s">
        <v>40</v>
      </c>
      <c r="X2876" s="19">
        <v>13.768000000000001</v>
      </c>
      <c r="Y2876" s="20">
        <v>0.139795</v>
      </c>
      <c r="Z2876" s="21">
        <v>4601004288492</v>
      </c>
    </row>
    <row r="2877" spans="1:26" ht="12" customHeight="1" outlineLevel="4" x14ac:dyDescent="0.2">
      <c r="A2877" s="14" t="s">
        <v>5626</v>
      </c>
      <c r="B2877" s="26" t="s">
        <v>5627</v>
      </c>
      <c r="C2877" s="52"/>
      <c r="D2877" s="55">
        <f t="shared" si="44"/>
        <v>0</v>
      </c>
      <c r="E2877" s="63" t="str">
        <f>HYPERLINK("https://www.sds-group.ru/product/korpus-plastikovyy-schmpp-s-prozrachnoy-dvertsey-i-montazhnoy-panelyu-300h200h130mm-abs-uhl1-11-0410/", "Инфо")</f>
        <v>Инфо</v>
      </c>
      <c r="F2877" s="16" t="s">
        <v>39</v>
      </c>
      <c r="G2877" s="15"/>
      <c r="H2877" s="15"/>
      <c r="I2877" s="15"/>
      <c r="J2877" s="22">
        <v>1099</v>
      </c>
      <c r="K2877" s="15"/>
      <c r="L2877" s="17">
        <v>1</v>
      </c>
      <c r="M2877" s="17">
        <v>1</v>
      </c>
      <c r="N2877" s="17">
        <v>1</v>
      </c>
      <c r="O2877" s="18">
        <v>3443.68</v>
      </c>
      <c r="P2877" s="18">
        <v>2822.69</v>
      </c>
      <c r="Q2877" s="18">
        <v>2651.63</v>
      </c>
      <c r="R2877" s="18">
        <v>2173.4699999999998</v>
      </c>
      <c r="S2877" s="18">
        <v>2341.6999999999998</v>
      </c>
      <c r="T2877" s="18">
        <v>1919.43</v>
      </c>
      <c r="U2877" s="16"/>
      <c r="V2877" s="16"/>
      <c r="W2877" s="16" t="s">
        <v>40</v>
      </c>
      <c r="X2877" s="19">
        <v>1.3620000000000001</v>
      </c>
      <c r="Y2877" s="20">
        <v>8.6189999999999999E-3</v>
      </c>
      <c r="Z2877" s="21">
        <v>4601004288478</v>
      </c>
    </row>
    <row r="2878" spans="1:26" ht="12" customHeight="1" outlineLevel="4" x14ac:dyDescent="0.2">
      <c r="A2878" s="14" t="s">
        <v>5628</v>
      </c>
      <c r="B2878" s="26" t="s">
        <v>5629</v>
      </c>
      <c r="C2878" s="52"/>
      <c r="D2878" s="55">
        <f t="shared" si="44"/>
        <v>0</v>
      </c>
      <c r="E2878" s="63" t="str">
        <f>HYPERLINK("https://www.sds-group.ru/product/korpus-plastikovyy-schmpp-s-prozrachnoy-dvertsey-i-montazhnoy-panelyu-350h250h150mm-abs-uhl1-11-0411/", "Инфо")</f>
        <v>Инфо</v>
      </c>
      <c r="F2878" s="16" t="s">
        <v>39</v>
      </c>
      <c r="G2878" s="15"/>
      <c r="H2878" s="15"/>
      <c r="I2878" s="15"/>
      <c r="J2878" s="17">
        <v>416</v>
      </c>
      <c r="K2878" s="15" t="s">
        <v>995</v>
      </c>
      <c r="L2878" s="17">
        <v>1</v>
      </c>
      <c r="M2878" s="17">
        <v>1</v>
      </c>
      <c r="N2878" s="17">
        <v>1</v>
      </c>
      <c r="O2878" s="18">
        <v>4253.63</v>
      </c>
      <c r="P2878" s="18">
        <v>3486.58</v>
      </c>
      <c r="Q2878" s="18">
        <v>3105.15</v>
      </c>
      <c r="R2878" s="18">
        <v>2545.1999999999998</v>
      </c>
      <c r="S2878" s="18">
        <v>2892.47</v>
      </c>
      <c r="T2878" s="18">
        <v>2370.88</v>
      </c>
      <c r="U2878" s="16"/>
      <c r="V2878" s="16"/>
      <c r="W2878" s="16" t="s">
        <v>40</v>
      </c>
      <c r="X2878" s="19">
        <v>2.145</v>
      </c>
      <c r="Y2878" s="20">
        <v>1.4297000000000001E-2</v>
      </c>
      <c r="Z2878" s="21">
        <v>4601004288447</v>
      </c>
    </row>
    <row r="2879" spans="1:26" ht="12" customHeight="1" outlineLevel="4" x14ac:dyDescent="0.2">
      <c r="A2879" s="14" t="s">
        <v>5630</v>
      </c>
      <c r="B2879" s="26" t="s">
        <v>5631</v>
      </c>
      <c r="C2879" s="52"/>
      <c r="D2879" s="55">
        <f t="shared" si="44"/>
        <v>0</v>
      </c>
      <c r="E2879" s="63" t="str">
        <f>HYPERLINK("https://www.sds-group.ru/product/korpus-plastikovyy-schmpp-s-prozrachnoy-dvertsey-i-montazhnoy-panelyu-400h300h170mm-abs-uhl1-11-0412/", "Инфо")</f>
        <v>Инфо</v>
      </c>
      <c r="F2879" s="16" t="s">
        <v>39</v>
      </c>
      <c r="G2879" s="15"/>
      <c r="H2879" s="15"/>
      <c r="I2879" s="15"/>
      <c r="J2879" s="17">
        <v>359</v>
      </c>
      <c r="K2879" s="15"/>
      <c r="L2879" s="17">
        <v>1</v>
      </c>
      <c r="M2879" s="17">
        <v>1</v>
      </c>
      <c r="N2879" s="17">
        <v>1</v>
      </c>
      <c r="O2879" s="18">
        <v>6265.3</v>
      </c>
      <c r="P2879" s="18">
        <v>5135.49</v>
      </c>
      <c r="Q2879" s="18">
        <v>4573.67</v>
      </c>
      <c r="R2879" s="18">
        <v>3748.91</v>
      </c>
      <c r="S2879" s="18">
        <v>4260.3999999999996</v>
      </c>
      <c r="T2879" s="18">
        <v>3492.13</v>
      </c>
      <c r="U2879" s="16"/>
      <c r="V2879" s="16"/>
      <c r="W2879" s="16" t="s">
        <v>40</v>
      </c>
      <c r="X2879" s="19">
        <v>2.9710000000000001</v>
      </c>
      <c r="Y2879" s="20">
        <v>2.2096000000000001E-2</v>
      </c>
      <c r="Z2879" s="21">
        <v>4601004288430</v>
      </c>
    </row>
    <row r="2880" spans="1:26" ht="12" customHeight="1" outlineLevel="4" x14ac:dyDescent="0.2">
      <c r="A2880" s="14" t="s">
        <v>5632</v>
      </c>
      <c r="B2880" s="26" t="s">
        <v>5633</v>
      </c>
      <c r="C2880" s="52"/>
      <c r="D2880" s="55">
        <f t="shared" si="44"/>
        <v>0</v>
      </c>
      <c r="E2880" s="63" t="str">
        <f>HYPERLINK("https://www.sds-group.ru/product/korpus-plastikovyy-schmpp-s-prozrachnoy-dvertsey-i-montazhnoy-panelyu-400h300h220mm-abs-uhl1-11-0413/", "Инфо")</f>
        <v>Инфо</v>
      </c>
      <c r="F2880" s="16" t="s">
        <v>39</v>
      </c>
      <c r="G2880" s="15"/>
      <c r="H2880" s="15"/>
      <c r="I2880" s="15"/>
      <c r="J2880" s="17">
        <v>88</v>
      </c>
      <c r="K2880" s="15"/>
      <c r="L2880" s="17">
        <v>1</v>
      </c>
      <c r="M2880" s="17">
        <v>1</v>
      </c>
      <c r="N2880" s="17">
        <v>1</v>
      </c>
      <c r="O2880" s="18">
        <v>6890.84</v>
      </c>
      <c r="P2880" s="18">
        <v>5648.23</v>
      </c>
      <c r="Q2880" s="18">
        <v>5030.3100000000004</v>
      </c>
      <c r="R2880" s="18">
        <v>4123.2</v>
      </c>
      <c r="S2880" s="18">
        <v>4685.7700000000004</v>
      </c>
      <c r="T2880" s="18">
        <v>3840.8</v>
      </c>
      <c r="U2880" s="16"/>
      <c r="V2880" s="16"/>
      <c r="W2880" s="16" t="s">
        <v>40</v>
      </c>
      <c r="X2880" s="19">
        <v>3.2719999999999998</v>
      </c>
      <c r="Y2880" s="20">
        <v>2.8079E-2</v>
      </c>
      <c r="Z2880" s="21">
        <v>4601004288454</v>
      </c>
    </row>
    <row r="2881" spans="1:26" ht="12" customHeight="1" outlineLevel="4" x14ac:dyDescent="0.2">
      <c r="A2881" s="14" t="s">
        <v>5634</v>
      </c>
      <c r="B2881" s="26" t="s">
        <v>5635</v>
      </c>
      <c r="C2881" s="52"/>
      <c r="D2881" s="55">
        <f t="shared" si="44"/>
        <v>0</v>
      </c>
      <c r="E2881" s="63" t="str">
        <f>HYPERLINK("https://www.sds-group.ru/product/korpus-plastikovyy-schmpp-s-prozrachnoy-dvertsey-i-montazhnoy-panelyu-500h350h190mm-abs-uhl1-11-0415/", "Инфо")</f>
        <v>Инфо</v>
      </c>
      <c r="F2881" s="16" t="s">
        <v>39</v>
      </c>
      <c r="G2881" s="15"/>
      <c r="H2881" s="15"/>
      <c r="I2881" s="15"/>
      <c r="J2881" s="17">
        <v>192</v>
      </c>
      <c r="K2881" s="15" t="s">
        <v>995</v>
      </c>
      <c r="L2881" s="17">
        <v>1</v>
      </c>
      <c r="M2881" s="17">
        <v>1</v>
      </c>
      <c r="N2881" s="17">
        <v>1</v>
      </c>
      <c r="O2881" s="18">
        <v>7701.15</v>
      </c>
      <c r="P2881" s="18">
        <v>6312.42</v>
      </c>
      <c r="Q2881" s="18">
        <v>5621.84</v>
      </c>
      <c r="R2881" s="18">
        <v>4608.07</v>
      </c>
      <c r="S2881" s="18">
        <v>5236.78</v>
      </c>
      <c r="T2881" s="18">
        <v>4292.4399999999996</v>
      </c>
      <c r="U2881" s="16"/>
      <c r="V2881" s="16"/>
      <c r="W2881" s="16" t="s">
        <v>40</v>
      </c>
      <c r="X2881" s="19">
        <v>3.88</v>
      </c>
      <c r="Y2881" s="20">
        <v>3.4660999999999997E-2</v>
      </c>
      <c r="Z2881" s="21">
        <v>4601004288577</v>
      </c>
    </row>
    <row r="2882" spans="1:26" ht="12" customHeight="1" outlineLevel="4" x14ac:dyDescent="0.2">
      <c r="A2882" s="14" t="s">
        <v>5636</v>
      </c>
      <c r="B2882" s="26" t="s">
        <v>5637</v>
      </c>
      <c r="C2882" s="52"/>
      <c r="D2882" s="55">
        <f t="shared" si="44"/>
        <v>0</v>
      </c>
      <c r="E2882" s="63" t="str">
        <f>HYPERLINK("https://www.sds-group.ru/product/korpus-plastikovyy-schmpp-s-prozrachnoy-dvertsey-i-montazhnoy-panelyu-500h400h180mm-abs-uhl1-11-0414/", "Инфо")</f>
        <v>Инфо</v>
      </c>
      <c r="F2882" s="16" t="s">
        <v>39</v>
      </c>
      <c r="G2882" s="15"/>
      <c r="H2882" s="15"/>
      <c r="I2882" s="15"/>
      <c r="J2882" s="17">
        <v>69</v>
      </c>
      <c r="K2882" s="15" t="s">
        <v>1547</v>
      </c>
      <c r="L2882" s="17">
        <v>1</v>
      </c>
      <c r="M2882" s="17">
        <v>1</v>
      </c>
      <c r="N2882" s="17">
        <v>1</v>
      </c>
      <c r="O2882" s="18">
        <v>9071.9699999999993</v>
      </c>
      <c r="P2882" s="18">
        <v>7436.04</v>
      </c>
      <c r="Q2882" s="18">
        <v>6622.54</v>
      </c>
      <c r="R2882" s="18">
        <v>5428.31</v>
      </c>
      <c r="S2882" s="18">
        <v>6168.94</v>
      </c>
      <c r="T2882" s="18">
        <v>5056.51</v>
      </c>
      <c r="U2882" s="16"/>
      <c r="V2882" s="16"/>
      <c r="W2882" s="16" t="s">
        <v>40</v>
      </c>
      <c r="X2882" s="19">
        <v>4.4489999999999998</v>
      </c>
      <c r="Y2882" s="20">
        <v>3.7170000000000002E-2</v>
      </c>
      <c r="Z2882" s="21">
        <v>4601004288508</v>
      </c>
    </row>
    <row r="2883" spans="1:26" ht="12" customHeight="1" outlineLevel="4" x14ac:dyDescent="0.2">
      <c r="A2883" s="14" t="s">
        <v>5638</v>
      </c>
      <c r="B2883" s="26" t="s">
        <v>5639</v>
      </c>
      <c r="C2883" s="52"/>
      <c r="D2883" s="55">
        <f t="shared" si="44"/>
        <v>0</v>
      </c>
      <c r="E2883" s="63" t="str">
        <f>HYPERLINK("https://www.sds-group.ru/product/korpus-plastikovyy-schmpp-s-prozrachnoy-dvertsey-i-montazhnoy-panelyu-500h400h240mm-abs-uhl1-11-0416/", "Инфо")</f>
        <v>Инфо</v>
      </c>
      <c r="F2883" s="16" t="s">
        <v>39</v>
      </c>
      <c r="G2883" s="15"/>
      <c r="H2883" s="15"/>
      <c r="I2883" s="15"/>
      <c r="J2883" s="17">
        <v>66</v>
      </c>
      <c r="K2883" s="15"/>
      <c r="L2883" s="17">
        <v>1</v>
      </c>
      <c r="M2883" s="17">
        <v>1</v>
      </c>
      <c r="N2883" s="17">
        <v>1</v>
      </c>
      <c r="O2883" s="18">
        <v>9469.44</v>
      </c>
      <c r="P2883" s="18">
        <v>7761.84</v>
      </c>
      <c r="Q2883" s="18">
        <v>6912.69</v>
      </c>
      <c r="R2883" s="18">
        <v>5666.14</v>
      </c>
      <c r="S2883" s="18">
        <v>6439.22</v>
      </c>
      <c r="T2883" s="18">
        <v>5278.05</v>
      </c>
      <c r="U2883" s="16"/>
      <c r="V2883" s="16"/>
      <c r="W2883" s="16" t="s">
        <v>40</v>
      </c>
      <c r="X2883" s="19">
        <v>5.2770000000000001</v>
      </c>
      <c r="Y2883" s="20">
        <v>5.2042999999999999E-2</v>
      </c>
      <c r="Z2883" s="21">
        <v>4601004288546</v>
      </c>
    </row>
    <row r="2884" spans="1:26" ht="12" customHeight="1" outlineLevel="4" x14ac:dyDescent="0.2">
      <c r="A2884" s="14" t="s">
        <v>5640</v>
      </c>
      <c r="B2884" s="26" t="s">
        <v>5641</v>
      </c>
      <c r="C2884" s="52"/>
      <c r="D2884" s="55">
        <f t="shared" si="44"/>
        <v>0</v>
      </c>
      <c r="E2884" s="63" t="str">
        <f>HYPERLINK("https://www.sds-group.ru/product/korpus-plastikovyy-schmpp-s-prozrachnoy-dvertsey-i-montazhnoy-panelyu-600h400h200mm-abs-uhl1-11-0417/", "Инфо")</f>
        <v>Инфо</v>
      </c>
      <c r="F2884" s="16" t="s">
        <v>39</v>
      </c>
      <c r="G2884" s="15"/>
      <c r="H2884" s="15"/>
      <c r="I2884" s="15"/>
      <c r="J2884" s="17">
        <v>37</v>
      </c>
      <c r="K2884" s="15" t="s">
        <v>995</v>
      </c>
      <c r="L2884" s="17">
        <v>1</v>
      </c>
      <c r="M2884" s="17">
        <v>1</v>
      </c>
      <c r="N2884" s="17">
        <v>1</v>
      </c>
      <c r="O2884" s="18">
        <v>12209.73</v>
      </c>
      <c r="P2884" s="18">
        <v>10007.98</v>
      </c>
      <c r="Q2884" s="18">
        <v>8913.1</v>
      </c>
      <c r="R2884" s="18">
        <v>7305.82</v>
      </c>
      <c r="S2884" s="18">
        <v>8302.6200000000008</v>
      </c>
      <c r="T2884" s="18">
        <v>6805.43</v>
      </c>
      <c r="U2884" s="16"/>
      <c r="V2884" s="16"/>
      <c r="W2884" s="16" t="s">
        <v>40</v>
      </c>
      <c r="X2884" s="19">
        <v>5.55</v>
      </c>
      <c r="Y2884" s="20">
        <v>5.0716999999999998E-2</v>
      </c>
      <c r="Z2884" s="21">
        <v>4601004288560</v>
      </c>
    </row>
    <row r="2885" spans="1:26" ht="12" customHeight="1" outlineLevel="4" x14ac:dyDescent="0.2">
      <c r="A2885" s="14" t="s">
        <v>5642</v>
      </c>
      <c r="B2885" s="26" t="s">
        <v>5643</v>
      </c>
      <c r="C2885" s="52"/>
      <c r="D2885" s="55">
        <f t="shared" si="44"/>
        <v>0</v>
      </c>
      <c r="E2885" s="63" t="str">
        <f>HYPERLINK("https://www.sds-group.ru/product/korpus-plastikovyy-schmpp-s-prozrachnoy-dvertsey-i-montazhnoy-panelyu-700h500h250mm-abs-uhl1-11-0418/", "Инфо")</f>
        <v>Инфо</v>
      </c>
      <c r="F2885" s="16" t="s">
        <v>39</v>
      </c>
      <c r="G2885" s="15"/>
      <c r="H2885" s="15"/>
      <c r="I2885" s="15"/>
      <c r="J2885" s="17">
        <v>53</v>
      </c>
      <c r="K2885" s="15" t="s">
        <v>995</v>
      </c>
      <c r="L2885" s="17">
        <v>1</v>
      </c>
      <c r="M2885" s="17">
        <v>1</v>
      </c>
      <c r="N2885" s="17">
        <v>1</v>
      </c>
      <c r="O2885" s="18">
        <v>20007.95</v>
      </c>
      <c r="P2885" s="18">
        <v>16399.96</v>
      </c>
      <c r="Q2885" s="18">
        <v>14605.8</v>
      </c>
      <c r="R2885" s="18">
        <v>11971.97</v>
      </c>
      <c r="S2885" s="18">
        <v>13605.41</v>
      </c>
      <c r="T2885" s="18">
        <v>11151.98</v>
      </c>
      <c r="U2885" s="16"/>
      <c r="V2885" s="16"/>
      <c r="W2885" s="16" t="s">
        <v>40</v>
      </c>
      <c r="X2885" s="19">
        <v>8.7609999999999992</v>
      </c>
      <c r="Y2885" s="20">
        <v>9.3232999999999996E-2</v>
      </c>
      <c r="Z2885" s="21">
        <v>4601004288553</v>
      </c>
    </row>
    <row r="2886" spans="1:26" ht="12.95" customHeight="1" outlineLevel="3" x14ac:dyDescent="0.2">
      <c r="A2886" s="76" t="s">
        <v>5644</v>
      </c>
      <c r="B2886" s="76"/>
      <c r="C2886" s="77"/>
      <c r="D2886" s="58"/>
      <c r="E2886" s="68"/>
      <c r="F2886" s="13"/>
      <c r="G2886" s="13"/>
      <c r="H2886" s="13"/>
      <c r="I2886" s="13"/>
      <c r="J2886" s="13"/>
      <c r="K2886" s="13"/>
      <c r="L2886" s="13"/>
      <c r="M2886" s="13"/>
      <c r="N2886" s="13"/>
      <c r="O2886" s="13"/>
      <c r="P2886" s="13"/>
      <c r="Q2886" s="13"/>
      <c r="R2886" s="13"/>
      <c r="S2886" s="13"/>
      <c r="T2886" s="13"/>
      <c r="U2886" s="13"/>
      <c r="V2886" s="13"/>
      <c r="W2886" s="13"/>
      <c r="X2886" s="13"/>
      <c r="Y2886" s="13"/>
      <c r="Z2886" s="13"/>
    </row>
    <row r="2887" spans="1:26" ht="12" customHeight="1" outlineLevel="4" x14ac:dyDescent="0.2">
      <c r="A2887" s="14" t="s">
        <v>5645</v>
      </c>
      <c r="B2887" s="26" t="s">
        <v>5646</v>
      </c>
      <c r="C2887" s="52"/>
      <c r="D2887" s="55">
        <f t="shared" si="44"/>
        <v>0</v>
      </c>
      <c r="E2887" s="63" t="str">
        <f>HYPERLINK("https://www.sds-group.ru/product/korpus-plastikovyy-schmpp-200h175h150mm-ip55-rexant-11-0451/", "Инфо")</f>
        <v>Инфо</v>
      </c>
      <c r="F2887" s="16" t="s">
        <v>39</v>
      </c>
      <c r="G2887" s="15"/>
      <c r="H2887" s="15"/>
      <c r="I2887" s="15"/>
      <c r="J2887" s="17">
        <v>36</v>
      </c>
      <c r="K2887" s="15"/>
      <c r="L2887" s="17">
        <v>1</v>
      </c>
      <c r="M2887" s="17">
        <v>4</v>
      </c>
      <c r="N2887" s="17">
        <v>1</v>
      </c>
      <c r="O2887" s="18">
        <v>2852.8</v>
      </c>
      <c r="P2887" s="18">
        <v>2338.36</v>
      </c>
      <c r="Q2887" s="18">
        <v>2196.66</v>
      </c>
      <c r="R2887" s="18">
        <v>1800.54</v>
      </c>
      <c r="S2887" s="18">
        <v>1939.9</v>
      </c>
      <c r="T2887" s="18">
        <v>1590.08</v>
      </c>
      <c r="U2887" s="16"/>
      <c r="V2887" s="16"/>
      <c r="W2887" s="16" t="s">
        <v>40</v>
      </c>
      <c r="X2887" s="19">
        <v>0.73499999999999999</v>
      </c>
      <c r="Y2887" s="20">
        <v>5.574E-3</v>
      </c>
      <c r="Z2887" s="21">
        <v>4601004316669</v>
      </c>
    </row>
    <row r="2888" spans="1:26" ht="12" customHeight="1" outlineLevel="4" x14ac:dyDescent="0.2">
      <c r="A2888" s="14" t="s">
        <v>5647</v>
      </c>
      <c r="B2888" s="26" t="s">
        <v>5648</v>
      </c>
      <c r="C2888" s="52"/>
      <c r="D2888" s="55">
        <f t="shared" si="44"/>
        <v>0</v>
      </c>
      <c r="E2888" s="63" t="str">
        <f>HYPERLINK("https://www.sds-group.ru/product/korpus-plastikovyy-schmpp-320h220h130mm-ip65-rexant-11-0453/", "Инфо")</f>
        <v>Инфо</v>
      </c>
      <c r="F2888" s="16" t="s">
        <v>39</v>
      </c>
      <c r="G2888" s="15"/>
      <c r="H2888" s="15"/>
      <c r="I2888" s="15"/>
      <c r="J2888" s="17">
        <v>38</v>
      </c>
      <c r="K2888" s="15"/>
      <c r="L2888" s="17">
        <v>1</v>
      </c>
      <c r="M2888" s="17">
        <v>2</v>
      </c>
      <c r="N2888" s="17">
        <v>1</v>
      </c>
      <c r="O2888" s="18">
        <v>4738.62</v>
      </c>
      <c r="P2888" s="18">
        <v>3884.11</v>
      </c>
      <c r="Q2888" s="18">
        <v>3459.19</v>
      </c>
      <c r="R2888" s="18">
        <v>2835.4</v>
      </c>
      <c r="S2888" s="18">
        <v>3222.26</v>
      </c>
      <c r="T2888" s="18">
        <v>2641.2</v>
      </c>
      <c r="U2888" s="16"/>
      <c r="V2888" s="16"/>
      <c r="W2888" s="16" t="s">
        <v>40</v>
      </c>
      <c r="X2888" s="19">
        <v>1.39</v>
      </c>
      <c r="Y2888" s="20">
        <v>9.0200000000000002E-3</v>
      </c>
      <c r="Z2888" s="21">
        <v>4601004316737</v>
      </c>
    </row>
    <row r="2889" spans="1:26" ht="12" customHeight="1" outlineLevel="4" x14ac:dyDescent="0.2">
      <c r="A2889" s="14" t="s">
        <v>5649</v>
      </c>
      <c r="B2889" s="26" t="s">
        <v>5650</v>
      </c>
      <c r="C2889" s="52"/>
      <c r="D2889" s="55">
        <f t="shared" ref="D2889:D2952" si="45">C2889*(O2889-O2889*$G$3)</f>
        <v>0</v>
      </c>
      <c r="E2889" s="63" t="str">
        <f>HYPERLINK("https://www.sds-group.ru/product/korpus-plastikovyy-schmpp-370h325h150mm-ip65-rexant-11-0456/", "Инфо")</f>
        <v>Инфо</v>
      </c>
      <c r="F2889" s="16" t="s">
        <v>39</v>
      </c>
      <c r="G2889" s="15"/>
      <c r="H2889" s="15"/>
      <c r="I2889" s="15"/>
      <c r="J2889" s="17">
        <v>25</v>
      </c>
      <c r="K2889" s="15"/>
      <c r="L2889" s="17">
        <v>1</v>
      </c>
      <c r="M2889" s="17">
        <v>2</v>
      </c>
      <c r="N2889" s="17">
        <v>1</v>
      </c>
      <c r="O2889" s="18">
        <v>7179.18</v>
      </c>
      <c r="P2889" s="18">
        <v>5884.57</v>
      </c>
      <c r="Q2889" s="18">
        <v>5240.8</v>
      </c>
      <c r="R2889" s="18">
        <v>4295.74</v>
      </c>
      <c r="S2889" s="18">
        <v>4881.84</v>
      </c>
      <c r="T2889" s="18">
        <v>4001.51</v>
      </c>
      <c r="U2889" s="16"/>
      <c r="V2889" s="16"/>
      <c r="W2889" s="16" t="s">
        <v>40</v>
      </c>
      <c r="X2889" s="19">
        <v>2.3620000000000001</v>
      </c>
      <c r="Y2889" s="20">
        <v>1.7663999999999999E-2</v>
      </c>
      <c r="Z2889" s="21">
        <v>4601004316676</v>
      </c>
    </row>
    <row r="2890" spans="1:26" ht="12" customHeight="1" outlineLevel="4" x14ac:dyDescent="0.2">
      <c r="A2890" s="14" t="s">
        <v>5651</v>
      </c>
      <c r="B2890" s="26" t="s">
        <v>5652</v>
      </c>
      <c r="C2890" s="52"/>
      <c r="D2890" s="55">
        <f t="shared" si="45"/>
        <v>0</v>
      </c>
      <c r="E2890" s="63" t="str">
        <f>HYPERLINK("https://www.sds-group.ru/product/korpus-plastikovyy-schmpp-450h300h160mm-ip65-rexant-11-0458/", "Инфо")</f>
        <v>Инфо</v>
      </c>
      <c r="F2890" s="16" t="s">
        <v>39</v>
      </c>
      <c r="G2890" s="15"/>
      <c r="H2890" s="15"/>
      <c r="I2890" s="15"/>
      <c r="J2890" s="17">
        <v>10</v>
      </c>
      <c r="K2890" s="15"/>
      <c r="L2890" s="17">
        <v>1</v>
      </c>
      <c r="M2890" s="17">
        <v>2</v>
      </c>
      <c r="N2890" s="17">
        <v>1</v>
      </c>
      <c r="O2890" s="18">
        <v>8402.2199999999993</v>
      </c>
      <c r="P2890" s="18">
        <v>6887.07</v>
      </c>
      <c r="Q2890" s="18">
        <v>6133.62</v>
      </c>
      <c r="R2890" s="18">
        <v>5027.5600000000004</v>
      </c>
      <c r="S2890" s="18">
        <v>5713.51</v>
      </c>
      <c r="T2890" s="18">
        <v>4683.2</v>
      </c>
      <c r="U2890" s="16"/>
      <c r="V2890" s="16"/>
      <c r="W2890" s="16" t="s">
        <v>40</v>
      </c>
      <c r="X2890" s="19">
        <v>2.5939999999999999</v>
      </c>
      <c r="Y2890" s="20">
        <v>2.1877000000000001E-2</v>
      </c>
      <c r="Z2890" s="21">
        <v>4601004316706</v>
      </c>
    </row>
    <row r="2891" spans="1:26" ht="12" customHeight="1" outlineLevel="4" x14ac:dyDescent="0.2">
      <c r="A2891" s="14" t="s">
        <v>5653</v>
      </c>
      <c r="B2891" s="26" t="s">
        <v>5654</v>
      </c>
      <c r="C2891" s="52"/>
      <c r="D2891" s="55">
        <f t="shared" si="45"/>
        <v>0</v>
      </c>
      <c r="E2891" s="63" t="str">
        <f>HYPERLINK("https://www.sds-group.ru/product/korpus-plastikovyy-schmpp-s-oknom-360h225h155mm-ip55-rexant-11-0454/", "Инфо")</f>
        <v>Инфо</v>
      </c>
      <c r="F2891" s="16" t="s">
        <v>39</v>
      </c>
      <c r="G2891" s="15"/>
      <c r="H2891" s="15"/>
      <c r="I2891" s="15"/>
      <c r="J2891" s="17">
        <v>16</v>
      </c>
      <c r="K2891" s="15"/>
      <c r="L2891" s="17">
        <v>1</v>
      </c>
      <c r="M2891" s="17">
        <v>3</v>
      </c>
      <c r="N2891" s="17">
        <v>1</v>
      </c>
      <c r="O2891" s="18">
        <v>5427.61</v>
      </c>
      <c r="P2891" s="18">
        <v>4448.8599999999997</v>
      </c>
      <c r="Q2891" s="18">
        <v>3962.16</v>
      </c>
      <c r="R2891" s="18">
        <v>3247.67</v>
      </c>
      <c r="S2891" s="18">
        <v>3690.77</v>
      </c>
      <c r="T2891" s="18">
        <v>3025.22</v>
      </c>
      <c r="U2891" s="16"/>
      <c r="V2891" s="16"/>
      <c r="W2891" s="16" t="s">
        <v>40</v>
      </c>
      <c r="X2891" s="19">
        <v>1.589</v>
      </c>
      <c r="Y2891" s="20">
        <v>1.2914999999999999E-2</v>
      </c>
      <c r="Z2891" s="21">
        <v>4601004316751</v>
      </c>
    </row>
    <row r="2892" spans="1:26" ht="12" customHeight="1" outlineLevel="4" x14ac:dyDescent="0.2">
      <c r="A2892" s="14" t="s">
        <v>5655</v>
      </c>
      <c r="B2892" s="26" t="s">
        <v>5656</v>
      </c>
      <c r="C2892" s="52"/>
      <c r="D2892" s="55">
        <f t="shared" si="45"/>
        <v>0</v>
      </c>
      <c r="E2892" s="63" t="str">
        <f>HYPERLINK("https://www.sds-group.ru/product/korpus-plastikovyy-schmpp-s-prozrachnoy-dvertsey-200h175h150mm-ip55-rexant-11-0450/", "Инфо")</f>
        <v>Инфо</v>
      </c>
      <c r="F2892" s="16" t="s">
        <v>39</v>
      </c>
      <c r="G2892" s="15"/>
      <c r="H2892" s="15"/>
      <c r="I2892" s="15"/>
      <c r="J2892" s="17">
        <v>111</v>
      </c>
      <c r="K2892" s="15"/>
      <c r="L2892" s="17">
        <v>1</v>
      </c>
      <c r="M2892" s="17">
        <v>4</v>
      </c>
      <c r="N2892" s="17">
        <v>1</v>
      </c>
      <c r="O2892" s="18">
        <v>3544.87</v>
      </c>
      <c r="P2892" s="18">
        <v>2905.63</v>
      </c>
      <c r="Q2892" s="18">
        <v>2587.7600000000002</v>
      </c>
      <c r="R2892" s="18">
        <v>2121.11</v>
      </c>
      <c r="S2892" s="18">
        <v>2410.5100000000002</v>
      </c>
      <c r="T2892" s="18">
        <v>1975.83</v>
      </c>
      <c r="U2892" s="16"/>
      <c r="V2892" s="16"/>
      <c r="W2892" s="16" t="s">
        <v>40</v>
      </c>
      <c r="X2892" s="19">
        <v>0.74</v>
      </c>
      <c r="Y2892" s="20">
        <v>5.5389999999999997E-3</v>
      </c>
      <c r="Z2892" s="21">
        <v>4601004316720</v>
      </c>
    </row>
    <row r="2893" spans="1:26" ht="12" customHeight="1" outlineLevel="4" x14ac:dyDescent="0.2">
      <c r="A2893" s="14" t="s">
        <v>5657</v>
      </c>
      <c r="B2893" s="26" t="s">
        <v>5658</v>
      </c>
      <c r="C2893" s="52"/>
      <c r="D2893" s="55">
        <f t="shared" si="45"/>
        <v>0</v>
      </c>
      <c r="E2893" s="63" t="str">
        <f>HYPERLINK("https://www.sds-group.ru/product/korpus-plastikovyy-schmpp-s-prozrachnoy-dvertsey-320h220h130mm-ip65-rexant-11-0452/", "Инфо")</f>
        <v>Инфо</v>
      </c>
      <c r="F2893" s="16" t="s">
        <v>39</v>
      </c>
      <c r="G2893" s="15"/>
      <c r="H2893" s="15"/>
      <c r="I2893" s="15"/>
      <c r="J2893" s="17">
        <v>22</v>
      </c>
      <c r="K2893" s="15"/>
      <c r="L2893" s="17">
        <v>1</v>
      </c>
      <c r="M2893" s="17">
        <v>2</v>
      </c>
      <c r="N2893" s="17">
        <v>1</v>
      </c>
      <c r="O2893" s="18">
        <v>5713.26</v>
      </c>
      <c r="P2893" s="18">
        <v>4683</v>
      </c>
      <c r="Q2893" s="18">
        <v>4170.68</v>
      </c>
      <c r="R2893" s="18">
        <v>3418.59</v>
      </c>
      <c r="S2893" s="18">
        <v>3885.02</v>
      </c>
      <c r="T2893" s="18">
        <v>3184.44</v>
      </c>
      <c r="U2893" s="16"/>
      <c r="V2893" s="16"/>
      <c r="W2893" s="16" t="s">
        <v>40</v>
      </c>
      <c r="X2893" s="19">
        <v>1.4319999999999999</v>
      </c>
      <c r="Y2893" s="20">
        <v>8.7639999999999992E-3</v>
      </c>
      <c r="Z2893" s="21">
        <v>4601004316744</v>
      </c>
    </row>
    <row r="2894" spans="1:26" ht="12" customHeight="1" outlineLevel="4" x14ac:dyDescent="0.2">
      <c r="A2894" s="14" t="s">
        <v>5659</v>
      </c>
      <c r="B2894" s="26" t="s">
        <v>5660</v>
      </c>
      <c r="C2894" s="52"/>
      <c r="D2894" s="55">
        <f t="shared" si="45"/>
        <v>0</v>
      </c>
      <c r="E2894" s="63" t="str">
        <f>HYPERLINK("https://www.sds-group.ru/product/korpus-plastikovyy-schmpp-s-prozrachnoy-dvertsey-370h325h150mm-ip65-rexant-11-0455/", "Инфо")</f>
        <v>Инфо</v>
      </c>
      <c r="F2894" s="16" t="s">
        <v>39</v>
      </c>
      <c r="G2894" s="15"/>
      <c r="H2894" s="15"/>
      <c r="I2894" s="15"/>
      <c r="J2894" s="17">
        <v>25</v>
      </c>
      <c r="K2894" s="15"/>
      <c r="L2894" s="17">
        <v>1</v>
      </c>
      <c r="M2894" s="17">
        <v>2</v>
      </c>
      <c r="N2894" s="17">
        <v>1</v>
      </c>
      <c r="O2894" s="18">
        <v>8138.11</v>
      </c>
      <c r="P2894" s="18">
        <v>6670.58</v>
      </c>
      <c r="Q2894" s="18">
        <v>5940.82</v>
      </c>
      <c r="R2894" s="18">
        <v>4869.5200000000004</v>
      </c>
      <c r="S2894" s="18">
        <v>5533.91</v>
      </c>
      <c r="T2894" s="18">
        <v>4535.99</v>
      </c>
      <c r="U2894" s="16"/>
      <c r="V2894" s="16"/>
      <c r="W2894" s="16" t="s">
        <v>40</v>
      </c>
      <c r="X2894" s="19">
        <v>2.4079999999999999</v>
      </c>
      <c r="Y2894" s="20">
        <v>1.796E-2</v>
      </c>
      <c r="Z2894" s="21">
        <v>4601004316683</v>
      </c>
    </row>
    <row r="2895" spans="1:26" ht="12" customHeight="1" outlineLevel="4" x14ac:dyDescent="0.2">
      <c r="A2895" s="14" t="s">
        <v>5661</v>
      </c>
      <c r="B2895" s="26" t="s">
        <v>5662</v>
      </c>
      <c r="C2895" s="52"/>
      <c r="D2895" s="55">
        <f t="shared" si="45"/>
        <v>0</v>
      </c>
      <c r="E2895" s="63" t="str">
        <f>HYPERLINK("https://www.sds-group.ru/product/korpus-plastikovyy-schmpp-s-prozrachnoy-dvertsey-450h300h160mm-ip65-rexant-11-0457/", "Инфо")</f>
        <v>Инфо</v>
      </c>
      <c r="F2895" s="16" t="s">
        <v>39</v>
      </c>
      <c r="G2895" s="15"/>
      <c r="H2895" s="15"/>
      <c r="I2895" s="15"/>
      <c r="J2895" s="17">
        <v>25</v>
      </c>
      <c r="K2895" s="15"/>
      <c r="L2895" s="17">
        <v>1</v>
      </c>
      <c r="M2895" s="17">
        <v>2</v>
      </c>
      <c r="N2895" s="17">
        <v>1</v>
      </c>
      <c r="O2895" s="18">
        <v>10353.780000000001</v>
      </c>
      <c r="P2895" s="18">
        <v>8486.7000000000007</v>
      </c>
      <c r="Q2895" s="18">
        <v>7558.26</v>
      </c>
      <c r="R2895" s="18">
        <v>6195.3</v>
      </c>
      <c r="S2895" s="18">
        <v>7040.57</v>
      </c>
      <c r="T2895" s="18">
        <v>5770.96</v>
      </c>
      <c r="U2895" s="16"/>
      <c r="V2895" s="16"/>
      <c r="W2895" s="16" t="s">
        <v>40</v>
      </c>
      <c r="X2895" s="19">
        <v>2.637</v>
      </c>
      <c r="Y2895" s="20">
        <v>2.2492999999999999E-2</v>
      </c>
      <c r="Z2895" s="21">
        <v>4601004316690</v>
      </c>
    </row>
    <row r="2896" spans="1:26" ht="12.95" customHeight="1" outlineLevel="1" x14ac:dyDescent="0.2">
      <c r="A2896" s="78" t="s">
        <v>5663</v>
      </c>
      <c r="B2896" s="78"/>
      <c r="C2896" s="79"/>
      <c r="D2896" s="57"/>
      <c r="E2896" s="67"/>
      <c r="F2896" s="12"/>
      <c r="G2896" s="12"/>
      <c r="H2896" s="12"/>
      <c r="I2896" s="12"/>
      <c r="J2896" s="12"/>
      <c r="K2896" s="12"/>
      <c r="L2896" s="12"/>
      <c r="M2896" s="12"/>
      <c r="N2896" s="12"/>
      <c r="O2896" s="12"/>
      <c r="P2896" s="12"/>
      <c r="Q2896" s="12"/>
      <c r="R2896" s="12"/>
      <c r="S2896" s="12"/>
      <c r="T2896" s="12"/>
      <c r="U2896" s="12"/>
      <c r="V2896" s="12"/>
      <c r="W2896" s="12"/>
      <c r="X2896" s="12"/>
      <c r="Y2896" s="12"/>
      <c r="Z2896" s="12"/>
    </row>
    <row r="2897" spans="1:26" ht="12.95" customHeight="1" outlineLevel="2" x14ac:dyDescent="0.2">
      <c r="A2897" s="76" t="s">
        <v>5664</v>
      </c>
      <c r="B2897" s="76"/>
      <c r="C2897" s="77"/>
      <c r="D2897" s="58"/>
      <c r="E2897" s="68"/>
      <c r="F2897" s="13"/>
      <c r="G2897" s="13"/>
      <c r="H2897" s="13"/>
      <c r="I2897" s="13"/>
      <c r="J2897" s="13"/>
      <c r="K2897" s="13"/>
      <c r="L2897" s="13"/>
      <c r="M2897" s="13"/>
      <c r="N2897" s="13"/>
      <c r="O2897" s="13"/>
      <c r="P2897" s="13"/>
      <c r="Q2897" s="13"/>
      <c r="R2897" s="13"/>
      <c r="S2897" s="13"/>
      <c r="T2897" s="13"/>
      <c r="U2897" s="13"/>
      <c r="V2897" s="13"/>
      <c r="W2897" s="13"/>
      <c r="X2897" s="13"/>
      <c r="Y2897" s="13"/>
      <c r="Z2897" s="13"/>
    </row>
    <row r="2898" spans="1:26" ht="12" customHeight="1" outlineLevel="3" x14ac:dyDescent="0.2">
      <c r="A2898" s="14" t="s">
        <v>5665</v>
      </c>
      <c r="B2898" s="26" t="s">
        <v>5666</v>
      </c>
      <c r="C2898" s="52"/>
      <c r="D2898" s="55">
        <f t="shared" si="45"/>
        <v>0</v>
      </c>
      <c r="E2898" s="63" t="str">
        <f>HYPERLINK("https://www.sds-group.ru/product/din-reyka-100sm-perforirovannaya-otsinkovannaya-rexant-12-8100/", "Инфо")</f>
        <v>Инфо</v>
      </c>
      <c r="F2898" s="16" t="s">
        <v>39</v>
      </c>
      <c r="G2898" s="15"/>
      <c r="H2898" s="15"/>
      <c r="I2898" s="15"/>
      <c r="J2898" s="16" t="s">
        <v>100</v>
      </c>
      <c r="K2898" s="15" t="s">
        <v>1381</v>
      </c>
      <c r="L2898" s="17">
        <v>20</v>
      </c>
      <c r="M2898" s="17">
        <v>20</v>
      </c>
      <c r="N2898" s="17">
        <v>20</v>
      </c>
      <c r="O2898" s="18">
        <v>194.1</v>
      </c>
      <c r="P2898" s="18">
        <v>159.1</v>
      </c>
      <c r="Q2898" s="18">
        <v>164.99</v>
      </c>
      <c r="R2898" s="18">
        <v>135.24</v>
      </c>
      <c r="S2898" s="18">
        <v>131.99</v>
      </c>
      <c r="T2898" s="18">
        <v>108.19</v>
      </c>
      <c r="U2898" s="16"/>
      <c r="V2898" s="16"/>
      <c r="W2898" s="16" t="s">
        <v>40</v>
      </c>
      <c r="X2898" s="19">
        <v>0.25900000000000001</v>
      </c>
      <c r="Y2898" s="20">
        <v>3.8400000000000001E-4</v>
      </c>
      <c r="Z2898" s="21">
        <v>4601004260184</v>
      </c>
    </row>
    <row r="2899" spans="1:26" ht="12" customHeight="1" outlineLevel="3" x14ac:dyDescent="0.2">
      <c r="A2899" s="14" t="s">
        <v>5667</v>
      </c>
      <c r="B2899" s="26" t="s">
        <v>5668</v>
      </c>
      <c r="C2899" s="52"/>
      <c r="D2899" s="55">
        <f t="shared" si="45"/>
        <v>0</v>
      </c>
      <c r="E2899" s="63" t="str">
        <f>HYPERLINK("https://www.sds-group.ru/product/din-reyka-10sm-perforirovannaya-otsinkovannaya-rexant-12-8010/", "Инфо")</f>
        <v>Инфо</v>
      </c>
      <c r="F2899" s="16" t="s">
        <v>39</v>
      </c>
      <c r="G2899" s="15"/>
      <c r="H2899" s="15"/>
      <c r="I2899" s="15"/>
      <c r="J2899" s="17">
        <v>363</v>
      </c>
      <c r="K2899" s="15" t="s">
        <v>1381</v>
      </c>
      <c r="L2899" s="17">
        <v>20</v>
      </c>
      <c r="M2899" s="17">
        <v>50</v>
      </c>
      <c r="N2899" s="17">
        <v>20</v>
      </c>
      <c r="O2899" s="18">
        <v>27.07</v>
      </c>
      <c r="P2899" s="18">
        <v>22.19</v>
      </c>
      <c r="Q2899" s="18">
        <v>18.95</v>
      </c>
      <c r="R2899" s="18">
        <v>15.53</v>
      </c>
      <c r="S2899" s="18">
        <v>18.41</v>
      </c>
      <c r="T2899" s="18">
        <v>15.09</v>
      </c>
      <c r="U2899" s="16"/>
      <c r="V2899" s="16"/>
      <c r="W2899" s="16"/>
      <c r="X2899" s="19">
        <v>2.4E-2</v>
      </c>
      <c r="Y2899" s="20">
        <v>1.7E-5</v>
      </c>
      <c r="Z2899" s="21">
        <v>4601004260061</v>
      </c>
    </row>
    <row r="2900" spans="1:26" ht="12" customHeight="1" outlineLevel="3" x14ac:dyDescent="0.2">
      <c r="A2900" s="14" t="s">
        <v>5669</v>
      </c>
      <c r="B2900" s="26" t="s">
        <v>5670</v>
      </c>
      <c r="C2900" s="52"/>
      <c r="D2900" s="55">
        <f t="shared" si="45"/>
        <v>0</v>
      </c>
      <c r="E2900" s="63" t="str">
        <f>HYPERLINK("https://www.sds-group.ru/product/din-reyka-11sm-perforirovannaya-otsinkovannaya-rexant-12-8011/", "Инфо")</f>
        <v>Инфо</v>
      </c>
      <c r="F2900" s="16" t="s">
        <v>39</v>
      </c>
      <c r="G2900" s="15"/>
      <c r="H2900" s="15"/>
      <c r="I2900" s="15"/>
      <c r="J2900" s="16" t="s">
        <v>100</v>
      </c>
      <c r="K2900" s="15" t="s">
        <v>1381</v>
      </c>
      <c r="L2900" s="17">
        <v>10</v>
      </c>
      <c r="M2900" s="17">
        <v>50</v>
      </c>
      <c r="N2900" s="17">
        <v>10</v>
      </c>
      <c r="O2900" s="18">
        <v>27.07</v>
      </c>
      <c r="P2900" s="18">
        <v>22.19</v>
      </c>
      <c r="Q2900" s="18">
        <v>23.01</v>
      </c>
      <c r="R2900" s="18">
        <v>18.86</v>
      </c>
      <c r="S2900" s="18">
        <v>18.41</v>
      </c>
      <c r="T2900" s="18">
        <v>15.09</v>
      </c>
      <c r="U2900" s="16"/>
      <c r="V2900" s="16"/>
      <c r="W2900" s="16" t="s">
        <v>40</v>
      </c>
      <c r="X2900" s="19">
        <v>2.8000000000000001E-2</v>
      </c>
      <c r="Y2900" s="20">
        <v>3.0000000000000001E-5</v>
      </c>
      <c r="Z2900" s="21">
        <v>4601004260092</v>
      </c>
    </row>
    <row r="2901" spans="1:26" ht="12" customHeight="1" outlineLevel="3" x14ac:dyDescent="0.2">
      <c r="A2901" s="14" t="s">
        <v>5671</v>
      </c>
      <c r="B2901" s="26" t="s">
        <v>5672</v>
      </c>
      <c r="C2901" s="52"/>
      <c r="D2901" s="55">
        <f t="shared" si="45"/>
        <v>0</v>
      </c>
      <c r="E2901" s="63" t="str">
        <f>HYPERLINK("https://www.sds-group.ru/product/din-reyka-125sm-perforirovannaya-otsinkovannaya-rexant-12-8125/", "Инфо")</f>
        <v>Инфо</v>
      </c>
      <c r="F2901" s="16" t="s">
        <v>39</v>
      </c>
      <c r="G2901" s="15"/>
      <c r="H2901" s="15"/>
      <c r="I2901" s="15"/>
      <c r="J2901" s="17">
        <v>222</v>
      </c>
      <c r="K2901" s="15"/>
      <c r="L2901" s="17">
        <v>20</v>
      </c>
      <c r="M2901" s="17">
        <v>20</v>
      </c>
      <c r="N2901" s="17">
        <v>20</v>
      </c>
      <c r="O2901" s="18">
        <v>244.22</v>
      </c>
      <c r="P2901" s="18">
        <v>200.18</v>
      </c>
      <c r="Q2901" s="18">
        <v>207.59</v>
      </c>
      <c r="R2901" s="18">
        <v>170.16</v>
      </c>
      <c r="S2901" s="18">
        <v>166.07</v>
      </c>
      <c r="T2901" s="18">
        <v>136.12</v>
      </c>
      <c r="U2901" s="16"/>
      <c r="V2901" s="16"/>
      <c r="W2901" s="16" t="s">
        <v>40</v>
      </c>
      <c r="X2901" s="19">
        <v>0.32500000000000001</v>
      </c>
      <c r="Y2901" s="20">
        <v>3.5199999999999999E-4</v>
      </c>
      <c r="Z2901" s="21">
        <v>4601004260191</v>
      </c>
    </row>
    <row r="2902" spans="1:26" ht="12" customHeight="1" outlineLevel="3" x14ac:dyDescent="0.2">
      <c r="A2902" s="14" t="s">
        <v>5673</v>
      </c>
      <c r="B2902" s="26" t="s">
        <v>5674</v>
      </c>
      <c r="C2902" s="52"/>
      <c r="D2902" s="55">
        <f t="shared" si="45"/>
        <v>0</v>
      </c>
      <c r="E2902" s="63" t="str">
        <f>HYPERLINK("https://www.sds-group.ru/product/din-reyka-13sm-perforirovannaya-otsinkovannaya-rexant-12-8013/", "Инфо")</f>
        <v>Инфо</v>
      </c>
      <c r="F2902" s="16" t="s">
        <v>39</v>
      </c>
      <c r="G2902" s="15"/>
      <c r="H2902" s="15"/>
      <c r="I2902" s="15"/>
      <c r="J2902" s="17">
        <v>694</v>
      </c>
      <c r="K2902" s="15" t="s">
        <v>1381</v>
      </c>
      <c r="L2902" s="17">
        <v>20</v>
      </c>
      <c r="M2902" s="17">
        <v>50</v>
      </c>
      <c r="N2902" s="17">
        <v>20</v>
      </c>
      <c r="O2902" s="18">
        <v>31.88</v>
      </c>
      <c r="P2902" s="18">
        <v>26.13</v>
      </c>
      <c r="Q2902" s="18">
        <v>22.32</v>
      </c>
      <c r="R2902" s="18">
        <v>18.3</v>
      </c>
      <c r="S2902" s="18">
        <v>21.68</v>
      </c>
      <c r="T2902" s="18">
        <v>17.77</v>
      </c>
      <c r="U2902" s="16"/>
      <c r="V2902" s="16"/>
      <c r="W2902" s="16"/>
      <c r="X2902" s="19">
        <v>3.2000000000000001E-2</v>
      </c>
      <c r="Y2902" s="20">
        <v>2.6999999999999999E-5</v>
      </c>
      <c r="Z2902" s="21">
        <v>4601004260108</v>
      </c>
    </row>
    <row r="2903" spans="1:26" ht="12" customHeight="1" outlineLevel="3" x14ac:dyDescent="0.2">
      <c r="A2903" s="14" t="s">
        <v>5675</v>
      </c>
      <c r="B2903" s="26" t="s">
        <v>5676</v>
      </c>
      <c r="C2903" s="52"/>
      <c r="D2903" s="55">
        <f t="shared" si="45"/>
        <v>0</v>
      </c>
      <c r="E2903" s="63" t="str">
        <f>HYPERLINK("https://www.sds-group.ru/product/din-reyka-140sm-perforirovannaya-otsinkovannaya-rexant-12-8140/", "Инфо")</f>
        <v>Инфо</v>
      </c>
      <c r="F2903" s="16" t="s">
        <v>39</v>
      </c>
      <c r="G2903" s="15"/>
      <c r="H2903" s="15"/>
      <c r="I2903" s="15"/>
      <c r="J2903" s="17">
        <v>120</v>
      </c>
      <c r="K2903" s="15" t="s">
        <v>1381</v>
      </c>
      <c r="L2903" s="17">
        <v>20</v>
      </c>
      <c r="M2903" s="17">
        <v>20</v>
      </c>
      <c r="N2903" s="17">
        <v>20</v>
      </c>
      <c r="O2903" s="18">
        <v>271.70999999999998</v>
      </c>
      <c r="P2903" s="18">
        <v>222.71</v>
      </c>
      <c r="Q2903" s="18">
        <v>230.95</v>
      </c>
      <c r="R2903" s="18">
        <v>189.3</v>
      </c>
      <c r="S2903" s="18">
        <v>184.76</v>
      </c>
      <c r="T2903" s="18">
        <v>151.44</v>
      </c>
      <c r="U2903" s="16"/>
      <c r="V2903" s="16"/>
      <c r="W2903" s="16" t="s">
        <v>40</v>
      </c>
      <c r="X2903" s="19">
        <v>0.36</v>
      </c>
      <c r="Y2903" s="20">
        <v>5.3300000000000005E-4</v>
      </c>
      <c r="Z2903" s="21">
        <v>4601004260207</v>
      </c>
    </row>
    <row r="2904" spans="1:26" ht="12" customHeight="1" outlineLevel="3" x14ac:dyDescent="0.2">
      <c r="A2904" s="14" t="s">
        <v>5677</v>
      </c>
      <c r="B2904" s="26" t="s">
        <v>5678</v>
      </c>
      <c r="C2904" s="52"/>
      <c r="D2904" s="55">
        <f t="shared" si="45"/>
        <v>0</v>
      </c>
      <c r="E2904" s="63" t="str">
        <f>HYPERLINK("https://www.sds-group.ru/product/din-reyka-200sm-perforirovannaya-otsinkovannaya-rexant-12-8200/", "Инфо")</f>
        <v>Инфо</v>
      </c>
      <c r="F2904" s="16" t="s">
        <v>39</v>
      </c>
      <c r="G2904" s="15"/>
      <c r="H2904" s="15"/>
      <c r="I2904" s="15"/>
      <c r="J2904" s="17">
        <v>587</v>
      </c>
      <c r="K2904" s="15" t="s">
        <v>1381</v>
      </c>
      <c r="L2904" s="17">
        <v>10</v>
      </c>
      <c r="M2904" s="17">
        <v>10</v>
      </c>
      <c r="N2904" s="17">
        <v>10</v>
      </c>
      <c r="O2904" s="18">
        <v>369.71</v>
      </c>
      <c r="P2904" s="18">
        <v>303.04000000000002</v>
      </c>
      <c r="Q2904" s="18">
        <v>314.25</v>
      </c>
      <c r="R2904" s="18">
        <v>257.58</v>
      </c>
      <c r="S2904" s="18">
        <v>251.4</v>
      </c>
      <c r="T2904" s="18">
        <v>206.07</v>
      </c>
      <c r="U2904" s="16"/>
      <c r="V2904" s="16"/>
      <c r="W2904" s="16" t="s">
        <v>40</v>
      </c>
      <c r="X2904" s="19">
        <v>0.52</v>
      </c>
      <c r="Y2904" s="20">
        <v>6.6E-4</v>
      </c>
      <c r="Z2904" s="21">
        <v>4601004260214</v>
      </c>
    </row>
    <row r="2905" spans="1:26" ht="12" customHeight="1" outlineLevel="3" x14ac:dyDescent="0.2">
      <c r="A2905" s="14" t="s">
        <v>5679</v>
      </c>
      <c r="B2905" s="26" t="s">
        <v>5680</v>
      </c>
      <c r="C2905" s="52"/>
      <c r="D2905" s="55">
        <f t="shared" si="45"/>
        <v>0</v>
      </c>
      <c r="E2905" s="63" t="str">
        <f>HYPERLINK("https://www.sds-group.ru/product/din-reyka-20sm-perforirovannaya-otsinkovannaya-rexant-12-8020/", "Инфо")</f>
        <v>Инфо</v>
      </c>
      <c r="F2905" s="16" t="s">
        <v>39</v>
      </c>
      <c r="G2905" s="15"/>
      <c r="H2905" s="15"/>
      <c r="I2905" s="15"/>
      <c r="J2905" s="16" t="s">
        <v>100</v>
      </c>
      <c r="K2905" s="15" t="s">
        <v>1381</v>
      </c>
      <c r="L2905" s="17">
        <v>10</v>
      </c>
      <c r="M2905" s="17">
        <v>50</v>
      </c>
      <c r="N2905" s="17">
        <v>10</v>
      </c>
      <c r="O2905" s="18">
        <v>46.45</v>
      </c>
      <c r="P2905" s="18">
        <v>38.07</v>
      </c>
      <c r="Q2905" s="18">
        <v>39.479999999999997</v>
      </c>
      <c r="R2905" s="18">
        <v>32.36</v>
      </c>
      <c r="S2905" s="18">
        <v>31.59</v>
      </c>
      <c r="T2905" s="18">
        <v>25.89</v>
      </c>
      <c r="U2905" s="16"/>
      <c r="V2905" s="16"/>
      <c r="W2905" s="16" t="s">
        <v>40</v>
      </c>
      <c r="X2905" s="19">
        <v>5.2999999999999999E-2</v>
      </c>
      <c r="Y2905" s="20">
        <v>3.4999999999999997E-5</v>
      </c>
      <c r="Z2905" s="21">
        <v>4601004260115</v>
      </c>
    </row>
    <row r="2906" spans="1:26" ht="12" customHeight="1" outlineLevel="3" x14ac:dyDescent="0.2">
      <c r="A2906" s="14" t="s">
        <v>5681</v>
      </c>
      <c r="B2906" s="26" t="s">
        <v>5682</v>
      </c>
      <c r="C2906" s="52"/>
      <c r="D2906" s="55">
        <f t="shared" si="45"/>
        <v>0</v>
      </c>
      <c r="E2906" s="63" t="str">
        <f>HYPERLINK("https://www.sds-group.ru/product/din-reyka-22-5sm-perforirovannaya-otsinkovannaya-rexant-12-8022/", "Инфо")</f>
        <v>Инфо</v>
      </c>
      <c r="F2906" s="16" t="s">
        <v>39</v>
      </c>
      <c r="G2906" s="15"/>
      <c r="H2906" s="15"/>
      <c r="I2906" s="15"/>
      <c r="J2906" s="17">
        <v>513</v>
      </c>
      <c r="K2906" s="15" t="s">
        <v>1381</v>
      </c>
      <c r="L2906" s="17">
        <v>10</v>
      </c>
      <c r="M2906" s="17">
        <v>50</v>
      </c>
      <c r="N2906" s="17">
        <v>10</v>
      </c>
      <c r="O2906" s="18">
        <v>50.98</v>
      </c>
      <c r="P2906" s="18">
        <v>41.79</v>
      </c>
      <c r="Q2906" s="18">
        <v>43.33</v>
      </c>
      <c r="R2906" s="18">
        <v>35.520000000000003</v>
      </c>
      <c r="S2906" s="18">
        <v>34.67</v>
      </c>
      <c r="T2906" s="18">
        <v>28.42</v>
      </c>
      <c r="U2906" s="16"/>
      <c r="V2906" s="16"/>
      <c r="W2906" s="16" t="s">
        <v>40</v>
      </c>
      <c r="X2906" s="19">
        <v>5.6000000000000001E-2</v>
      </c>
      <c r="Y2906" s="20">
        <v>4.6E-5</v>
      </c>
      <c r="Z2906" s="21">
        <v>4601004260122</v>
      </c>
    </row>
    <row r="2907" spans="1:26" ht="12" customHeight="1" outlineLevel="3" x14ac:dyDescent="0.2">
      <c r="A2907" s="14" t="s">
        <v>5683</v>
      </c>
      <c r="B2907" s="26" t="s">
        <v>5684</v>
      </c>
      <c r="C2907" s="52"/>
      <c r="D2907" s="55">
        <f t="shared" si="45"/>
        <v>0</v>
      </c>
      <c r="E2907" s="63" t="str">
        <f>HYPERLINK("https://www.sds-group.ru/product/din-reyka-25sm-perforirovannaya-otsinkovannaya-rexant-12-8025/", "Инфо")</f>
        <v>Инфо</v>
      </c>
      <c r="F2907" s="16" t="s">
        <v>39</v>
      </c>
      <c r="G2907" s="15"/>
      <c r="H2907" s="15"/>
      <c r="I2907" s="15"/>
      <c r="J2907" s="16" t="s">
        <v>100</v>
      </c>
      <c r="K2907" s="15" t="s">
        <v>1381</v>
      </c>
      <c r="L2907" s="17">
        <v>10</v>
      </c>
      <c r="M2907" s="17">
        <v>50</v>
      </c>
      <c r="N2907" s="17">
        <v>10</v>
      </c>
      <c r="O2907" s="18">
        <v>55.95</v>
      </c>
      <c r="P2907" s="18">
        <v>45.86</v>
      </c>
      <c r="Q2907" s="18">
        <v>47.56</v>
      </c>
      <c r="R2907" s="18">
        <v>38.979999999999997</v>
      </c>
      <c r="S2907" s="18">
        <v>38.049999999999997</v>
      </c>
      <c r="T2907" s="18">
        <v>31.19</v>
      </c>
      <c r="U2907" s="16"/>
      <c r="V2907" s="16"/>
      <c r="W2907" s="16" t="s">
        <v>40</v>
      </c>
      <c r="X2907" s="19">
        <v>6.6000000000000003E-2</v>
      </c>
      <c r="Y2907" s="20">
        <v>5.3000000000000001E-5</v>
      </c>
      <c r="Z2907" s="21">
        <v>4601004260139</v>
      </c>
    </row>
    <row r="2908" spans="1:26" ht="12" customHeight="1" outlineLevel="3" x14ac:dyDescent="0.2">
      <c r="A2908" s="14" t="s">
        <v>5685</v>
      </c>
      <c r="B2908" s="26" t="s">
        <v>5686</v>
      </c>
      <c r="C2908" s="52"/>
      <c r="D2908" s="55">
        <f t="shared" si="45"/>
        <v>0</v>
      </c>
      <c r="E2908" s="63" t="str">
        <f>HYPERLINK("https://www.sds-group.ru/product/din-reyka-30sm-perforirovannaya-otsinkovannaya-rexant-12-8030/", "Инфо")</f>
        <v>Инфо</v>
      </c>
      <c r="F2908" s="16" t="s">
        <v>39</v>
      </c>
      <c r="G2908" s="15"/>
      <c r="H2908" s="15"/>
      <c r="I2908" s="15"/>
      <c r="J2908" s="16" t="s">
        <v>100</v>
      </c>
      <c r="K2908" s="15" t="s">
        <v>1381</v>
      </c>
      <c r="L2908" s="17">
        <v>20</v>
      </c>
      <c r="M2908" s="17">
        <v>50</v>
      </c>
      <c r="N2908" s="17">
        <v>20</v>
      </c>
      <c r="O2908" s="18">
        <v>56.01</v>
      </c>
      <c r="P2908" s="18">
        <v>45.91</v>
      </c>
      <c r="Q2908" s="18">
        <v>47.61</v>
      </c>
      <c r="R2908" s="18">
        <v>39.020000000000003</v>
      </c>
      <c r="S2908" s="18">
        <v>38.090000000000003</v>
      </c>
      <c r="T2908" s="18">
        <v>31.22</v>
      </c>
      <c r="U2908" s="16"/>
      <c r="V2908" s="16"/>
      <c r="W2908" s="16" t="s">
        <v>40</v>
      </c>
      <c r="X2908" s="19">
        <v>7.9000000000000001E-2</v>
      </c>
      <c r="Y2908" s="20">
        <v>6.7000000000000002E-5</v>
      </c>
      <c r="Z2908" s="21">
        <v>4601004260146</v>
      </c>
    </row>
    <row r="2909" spans="1:26" ht="12" customHeight="1" outlineLevel="3" x14ac:dyDescent="0.2">
      <c r="A2909" s="14" t="s">
        <v>5687</v>
      </c>
      <c r="B2909" s="26" t="s">
        <v>5688</v>
      </c>
      <c r="C2909" s="52"/>
      <c r="D2909" s="55">
        <f t="shared" si="45"/>
        <v>0</v>
      </c>
      <c r="E2909" s="63" t="str">
        <f>HYPERLINK("https://www.sds-group.ru/product/din-reyka-45sm-perforirovannaya-otsinkovannaya-rexant-12-8045/", "Инфо")</f>
        <v>Инфо</v>
      </c>
      <c r="F2909" s="16" t="s">
        <v>39</v>
      </c>
      <c r="G2909" s="15"/>
      <c r="H2909" s="15"/>
      <c r="I2909" s="15"/>
      <c r="J2909" s="17">
        <v>613</v>
      </c>
      <c r="K2909" s="15" t="s">
        <v>1381</v>
      </c>
      <c r="L2909" s="17">
        <v>20</v>
      </c>
      <c r="M2909" s="17">
        <v>20</v>
      </c>
      <c r="N2909" s="17">
        <v>20</v>
      </c>
      <c r="O2909" s="18">
        <v>90.16</v>
      </c>
      <c r="P2909" s="18">
        <v>73.900000000000006</v>
      </c>
      <c r="Q2909" s="18">
        <v>76.64</v>
      </c>
      <c r="R2909" s="18">
        <v>62.82</v>
      </c>
      <c r="S2909" s="18">
        <v>61.31</v>
      </c>
      <c r="T2909" s="18">
        <v>50.25</v>
      </c>
      <c r="U2909" s="16"/>
      <c r="V2909" s="16"/>
      <c r="W2909" s="16" t="s">
        <v>40</v>
      </c>
      <c r="X2909" s="19">
        <v>0.111</v>
      </c>
      <c r="Y2909" s="20">
        <v>8.5000000000000006E-5</v>
      </c>
      <c r="Z2909" s="21">
        <v>4601004260153</v>
      </c>
    </row>
    <row r="2910" spans="1:26" ht="12" customHeight="1" outlineLevel="3" x14ac:dyDescent="0.2">
      <c r="A2910" s="14" t="s">
        <v>5689</v>
      </c>
      <c r="B2910" s="26" t="s">
        <v>5690</v>
      </c>
      <c r="C2910" s="52"/>
      <c r="D2910" s="55">
        <f t="shared" si="45"/>
        <v>0</v>
      </c>
      <c r="E2910" s="63" t="str">
        <f>HYPERLINK("https://www.sds-group.ru/product/din-reyka-60sm-perforirovannaya-otsinkovannaya-rexant-12-8060/", "Инфо")</f>
        <v>Инфо</v>
      </c>
      <c r="F2910" s="16" t="s">
        <v>39</v>
      </c>
      <c r="G2910" s="15"/>
      <c r="H2910" s="15"/>
      <c r="I2910" s="15"/>
      <c r="J2910" s="17">
        <v>30</v>
      </c>
      <c r="K2910" s="15" t="s">
        <v>1381</v>
      </c>
      <c r="L2910" s="17">
        <v>20</v>
      </c>
      <c r="M2910" s="17">
        <v>20</v>
      </c>
      <c r="N2910" s="17">
        <v>20</v>
      </c>
      <c r="O2910" s="18">
        <v>110.11</v>
      </c>
      <c r="P2910" s="18">
        <v>90.25</v>
      </c>
      <c r="Q2910" s="18">
        <v>93.59</v>
      </c>
      <c r="R2910" s="18">
        <v>76.709999999999994</v>
      </c>
      <c r="S2910" s="18">
        <v>74.87</v>
      </c>
      <c r="T2910" s="18">
        <v>61.37</v>
      </c>
      <c r="U2910" s="16"/>
      <c r="V2910" s="16"/>
      <c r="W2910" s="16" t="s">
        <v>40</v>
      </c>
      <c r="X2910" s="19">
        <v>0.154</v>
      </c>
      <c r="Y2910" s="20">
        <v>1.26E-4</v>
      </c>
      <c r="Z2910" s="21">
        <v>4601004260160</v>
      </c>
    </row>
    <row r="2911" spans="1:26" ht="12" customHeight="1" outlineLevel="3" x14ac:dyDescent="0.2">
      <c r="A2911" s="14" t="s">
        <v>5691</v>
      </c>
      <c r="B2911" s="26" t="s">
        <v>5692</v>
      </c>
      <c r="C2911" s="52"/>
      <c r="D2911" s="55">
        <f t="shared" si="45"/>
        <v>0</v>
      </c>
      <c r="E2911" s="63" t="str">
        <f>HYPERLINK("https://www.sds-group.ru/product/din-reyka-7-5sm-perforirovannaya-otsinkovannaya-rexant-12-8007/", "Инфо")</f>
        <v>Инфо</v>
      </c>
      <c r="F2911" s="16" t="s">
        <v>39</v>
      </c>
      <c r="G2911" s="15"/>
      <c r="H2911" s="15"/>
      <c r="I2911" s="15"/>
      <c r="J2911" s="17">
        <v>421</v>
      </c>
      <c r="K2911" s="15" t="s">
        <v>1381</v>
      </c>
      <c r="L2911" s="17">
        <v>20</v>
      </c>
      <c r="M2911" s="17">
        <v>50</v>
      </c>
      <c r="N2911" s="17">
        <v>20</v>
      </c>
      <c r="O2911" s="18">
        <v>21.47</v>
      </c>
      <c r="P2911" s="18">
        <v>17.600000000000001</v>
      </c>
      <c r="Q2911" s="18">
        <v>18.25</v>
      </c>
      <c r="R2911" s="18">
        <v>14.96</v>
      </c>
      <c r="S2911" s="18">
        <v>14.6</v>
      </c>
      <c r="T2911" s="18">
        <v>11.97</v>
      </c>
      <c r="U2911" s="16"/>
      <c r="V2911" s="16"/>
      <c r="W2911" s="16" t="s">
        <v>40</v>
      </c>
      <c r="X2911" s="19">
        <v>0.02</v>
      </c>
      <c r="Y2911" s="20">
        <v>1.9000000000000001E-5</v>
      </c>
      <c r="Z2911" s="21">
        <v>4601004260313</v>
      </c>
    </row>
    <row r="2912" spans="1:26" ht="12" customHeight="1" outlineLevel="3" x14ac:dyDescent="0.2">
      <c r="A2912" s="14" t="s">
        <v>5693</v>
      </c>
      <c r="B2912" s="26" t="s">
        <v>5694</v>
      </c>
      <c r="C2912" s="52"/>
      <c r="D2912" s="55">
        <f t="shared" si="45"/>
        <v>0</v>
      </c>
      <c r="E2912" s="63" t="str">
        <f>HYPERLINK("https://www.sds-group.ru/product/din-reyka-80sm-perforirovannaya-otsinkovannaya-rexant-12-8080/", "Инфо")</f>
        <v>Инфо</v>
      </c>
      <c r="F2912" s="16" t="s">
        <v>39</v>
      </c>
      <c r="G2912" s="15"/>
      <c r="H2912" s="15"/>
      <c r="I2912" s="15"/>
      <c r="J2912" s="17">
        <v>220</v>
      </c>
      <c r="K2912" s="15"/>
      <c r="L2912" s="17">
        <v>20</v>
      </c>
      <c r="M2912" s="17">
        <v>20</v>
      </c>
      <c r="N2912" s="17">
        <v>20</v>
      </c>
      <c r="O2912" s="18">
        <v>171.65</v>
      </c>
      <c r="P2912" s="18">
        <v>140.69999999999999</v>
      </c>
      <c r="Q2912" s="18">
        <v>145.9</v>
      </c>
      <c r="R2912" s="18">
        <v>119.59</v>
      </c>
      <c r="S2912" s="18">
        <v>116.72</v>
      </c>
      <c r="T2912" s="18">
        <v>95.67</v>
      </c>
      <c r="U2912" s="16"/>
      <c r="V2912" s="16"/>
      <c r="W2912" s="16" t="s">
        <v>40</v>
      </c>
      <c r="X2912" s="19">
        <v>0.20699999999999999</v>
      </c>
      <c r="Y2912" s="20">
        <v>2.7E-4</v>
      </c>
      <c r="Z2912" s="21">
        <v>4601004260177</v>
      </c>
    </row>
    <row r="2913" spans="1:26" ht="12.95" customHeight="1" outlineLevel="2" x14ac:dyDescent="0.2">
      <c r="A2913" s="76" t="s">
        <v>5695</v>
      </c>
      <c r="B2913" s="76"/>
      <c r="C2913" s="77"/>
      <c r="D2913" s="58"/>
      <c r="E2913" s="68"/>
      <c r="F2913" s="13"/>
      <c r="G2913" s="13"/>
      <c r="H2913" s="13"/>
      <c r="I2913" s="13"/>
      <c r="J2913" s="13"/>
      <c r="K2913" s="13"/>
      <c r="L2913" s="13"/>
      <c r="M2913" s="13"/>
      <c r="N2913" s="13"/>
      <c r="O2913" s="13"/>
      <c r="P2913" s="13"/>
      <c r="Q2913" s="13"/>
      <c r="R2913" s="13"/>
      <c r="S2913" s="13"/>
      <c r="T2913" s="13"/>
      <c r="U2913" s="13"/>
      <c r="V2913" s="13"/>
      <c r="W2913" s="13"/>
      <c r="X2913" s="13"/>
      <c r="Y2913" s="13"/>
      <c r="Z2913" s="13"/>
    </row>
    <row r="2914" spans="1:26" ht="12" customHeight="1" outlineLevel="3" x14ac:dyDescent="0.2">
      <c r="A2914" s="14" t="s">
        <v>5696</v>
      </c>
      <c r="B2914" s="26" t="s">
        <v>5697</v>
      </c>
      <c r="C2914" s="52"/>
      <c r="D2914" s="55">
        <f t="shared" si="45"/>
        <v>0</v>
      </c>
      <c r="E2914" s="63" t="str">
        <f>HYPERLINK("https://www.sds-group.ru/product/klemma-vvodnaya-kvm-4-25mm-dlya-modulnogo-oborudovaniya-vvod-sboku-rexant-11-2254/", "Инфо")</f>
        <v>Инфо</v>
      </c>
      <c r="F2914" s="16" t="s">
        <v>39</v>
      </c>
      <c r="G2914" s="15"/>
      <c r="H2914" s="15"/>
      <c r="I2914" s="15"/>
      <c r="J2914" s="22">
        <v>1060</v>
      </c>
      <c r="K2914" s="15" t="s">
        <v>1650</v>
      </c>
      <c r="L2914" s="17">
        <v>10</v>
      </c>
      <c r="M2914" s="22">
        <v>1500</v>
      </c>
      <c r="N2914" s="17">
        <v>10</v>
      </c>
      <c r="O2914" s="18">
        <v>141.85</v>
      </c>
      <c r="P2914" s="18">
        <v>116.27</v>
      </c>
      <c r="Q2914" s="18">
        <v>120.57</v>
      </c>
      <c r="R2914" s="18">
        <v>98.83</v>
      </c>
      <c r="S2914" s="18">
        <v>96.46</v>
      </c>
      <c r="T2914" s="18">
        <v>79.069999999999993</v>
      </c>
      <c r="U2914" s="16"/>
      <c r="V2914" s="16"/>
      <c r="W2914" s="16" t="s">
        <v>40</v>
      </c>
      <c r="X2914" s="19">
        <v>1.2E-2</v>
      </c>
      <c r="Y2914" s="20">
        <v>1.1E-5</v>
      </c>
      <c r="Z2914" s="21">
        <v>4601004267152</v>
      </c>
    </row>
    <row r="2915" spans="1:26" ht="12" customHeight="1" outlineLevel="3" x14ac:dyDescent="0.2">
      <c r="A2915" s="40" t="s">
        <v>5698</v>
      </c>
      <c r="B2915" s="75" t="s">
        <v>5699</v>
      </c>
      <c r="C2915" s="51"/>
      <c r="D2915" s="54">
        <f t="shared" si="45"/>
        <v>0</v>
      </c>
      <c r="E2915" s="62"/>
      <c r="F2915" s="42" t="s">
        <v>1001</v>
      </c>
      <c r="G2915" s="41" t="s">
        <v>40</v>
      </c>
      <c r="H2915" s="41" t="s">
        <v>40</v>
      </c>
      <c r="I2915" s="41"/>
      <c r="J2915" s="43">
        <v>169</v>
      </c>
      <c r="K2915" s="41"/>
      <c r="L2915" s="43">
        <v>1</v>
      </c>
      <c r="M2915" s="47">
        <v>1500</v>
      </c>
      <c r="N2915" s="43">
        <v>1</v>
      </c>
      <c r="O2915" s="44">
        <v>343.24</v>
      </c>
      <c r="P2915" s="44">
        <v>281.33999999999997</v>
      </c>
      <c r="Q2915" s="44">
        <v>291.75</v>
      </c>
      <c r="R2915" s="44">
        <v>239.14</v>
      </c>
      <c r="S2915" s="44">
        <v>233.4</v>
      </c>
      <c r="T2915" s="44">
        <v>191.31</v>
      </c>
      <c r="U2915" s="42"/>
      <c r="V2915" s="42"/>
      <c r="W2915" s="42" t="s">
        <v>40</v>
      </c>
      <c r="X2915" s="45">
        <v>2.5999999999999999E-2</v>
      </c>
      <c r="Y2915" s="46">
        <v>2.2000000000000001E-4</v>
      </c>
      <c r="Z2915" s="21">
        <v>4601004343689</v>
      </c>
    </row>
    <row r="2916" spans="1:26" ht="12" customHeight="1" outlineLevel="3" x14ac:dyDescent="0.2">
      <c r="A2916" s="14" t="s">
        <v>5700</v>
      </c>
      <c r="B2916" s="26" t="s">
        <v>5701</v>
      </c>
      <c r="C2916" s="52"/>
      <c r="D2916" s="55">
        <f t="shared" si="45"/>
        <v>0</v>
      </c>
      <c r="E2916" s="63" t="str">
        <f>HYPERLINK("https://www.sds-group.ru/product/klemma-vvodnaya-kvm-4-25mm-dlya-modulnogo-oborudovaniya-pryamoy-vvod-rexant-11-2251/", "Инфо")</f>
        <v>Инфо</v>
      </c>
      <c r="F2916" s="16" t="s">
        <v>39</v>
      </c>
      <c r="G2916" s="15"/>
      <c r="H2916" s="15"/>
      <c r="I2916" s="15"/>
      <c r="J2916" s="16" t="s">
        <v>100</v>
      </c>
      <c r="K2916" s="15" t="s">
        <v>1650</v>
      </c>
      <c r="L2916" s="17">
        <v>10</v>
      </c>
      <c r="M2916" s="22">
        <v>1500</v>
      </c>
      <c r="N2916" s="17">
        <v>10</v>
      </c>
      <c r="O2916" s="18">
        <v>159.19999999999999</v>
      </c>
      <c r="P2916" s="18">
        <v>130.49</v>
      </c>
      <c r="Q2916" s="18">
        <v>135.32</v>
      </c>
      <c r="R2916" s="18">
        <v>110.92</v>
      </c>
      <c r="S2916" s="18">
        <v>108.26</v>
      </c>
      <c r="T2916" s="18">
        <v>88.74</v>
      </c>
      <c r="U2916" s="16"/>
      <c r="V2916" s="16"/>
      <c r="W2916" s="16" t="s">
        <v>40</v>
      </c>
      <c r="X2916" s="19">
        <v>1.0999999999999999E-2</v>
      </c>
      <c r="Y2916" s="20">
        <v>7.9999999999999996E-6</v>
      </c>
      <c r="Z2916" s="21">
        <v>4601004267183</v>
      </c>
    </row>
    <row r="2917" spans="1:26" ht="12" customHeight="1" outlineLevel="3" x14ac:dyDescent="0.2">
      <c r="A2917" s="14" t="s">
        <v>5702</v>
      </c>
      <c r="B2917" s="26" t="s">
        <v>5703</v>
      </c>
      <c r="C2917" s="52"/>
      <c r="D2917" s="55">
        <f t="shared" si="45"/>
        <v>0</v>
      </c>
      <c r="E2917" s="63" t="str">
        <f>HYPERLINK("https://www.sds-group.ru/product/klemma-vvodnaya-kvm-4-25mm-udlinennaya-dlya-modulnogo-oborudovaniya-pryamoy-vvod-rexant-11-2258/", "Инфо")</f>
        <v>Инфо</v>
      </c>
      <c r="F2917" s="16" t="s">
        <v>39</v>
      </c>
      <c r="G2917" s="15"/>
      <c r="H2917" s="15"/>
      <c r="I2917" s="15"/>
      <c r="J2917" s="22">
        <v>2080</v>
      </c>
      <c r="K2917" s="15" t="s">
        <v>2750</v>
      </c>
      <c r="L2917" s="17">
        <v>10</v>
      </c>
      <c r="M2917" s="22">
        <v>1500</v>
      </c>
      <c r="N2917" s="17">
        <v>10</v>
      </c>
      <c r="O2917" s="18">
        <v>159.77000000000001</v>
      </c>
      <c r="P2917" s="18">
        <v>130.96</v>
      </c>
      <c r="Q2917" s="18">
        <v>135.80000000000001</v>
      </c>
      <c r="R2917" s="18">
        <v>111.31</v>
      </c>
      <c r="S2917" s="18">
        <v>108.64</v>
      </c>
      <c r="T2917" s="18">
        <v>89.05</v>
      </c>
      <c r="U2917" s="16"/>
      <c r="V2917" s="16"/>
      <c r="W2917" s="16" t="s">
        <v>40</v>
      </c>
      <c r="X2917" s="19">
        <v>1.2E-2</v>
      </c>
      <c r="Y2917" s="20">
        <v>1.5999999999999999E-5</v>
      </c>
      <c r="Z2917" s="21">
        <v>4601004267169</v>
      </c>
    </row>
    <row r="2918" spans="1:26" ht="12" customHeight="1" outlineLevel="3" x14ac:dyDescent="0.2">
      <c r="A2918" s="32" t="s">
        <v>5704</v>
      </c>
      <c r="B2918" s="74" t="s">
        <v>5705</v>
      </c>
      <c r="C2918" s="50"/>
      <c r="D2918" s="53">
        <f t="shared" si="45"/>
        <v>0</v>
      </c>
      <c r="E2918" s="60" t="str">
        <f>HYPERLINK("https://www.sds-group.ru/product/shina-soedinitelnaya-tipa-fork-vilka-1r-100a-1m-rexant-11-2230/", "Инфо")</f>
        <v>Инфо</v>
      </c>
      <c r="F2918" s="34" t="s">
        <v>39</v>
      </c>
      <c r="G2918" s="33"/>
      <c r="H2918" s="33" t="s">
        <v>40</v>
      </c>
      <c r="I2918" s="33"/>
      <c r="J2918" s="35">
        <v>246</v>
      </c>
      <c r="K2918" s="33"/>
      <c r="L2918" s="35">
        <v>20</v>
      </c>
      <c r="M2918" s="35">
        <v>100</v>
      </c>
      <c r="N2918" s="35">
        <v>20</v>
      </c>
      <c r="O2918" s="36">
        <v>782.28</v>
      </c>
      <c r="P2918" s="36">
        <v>641.21</v>
      </c>
      <c r="Q2918" s="36">
        <v>547.6</v>
      </c>
      <c r="R2918" s="36">
        <v>448.85</v>
      </c>
      <c r="S2918" s="36">
        <v>531.95000000000005</v>
      </c>
      <c r="T2918" s="36">
        <v>436.02</v>
      </c>
      <c r="U2918" s="34"/>
      <c r="V2918" s="34"/>
      <c r="W2918" s="34"/>
      <c r="X2918" s="37">
        <v>0.28100000000000003</v>
      </c>
      <c r="Y2918" s="38">
        <v>2.3E-5</v>
      </c>
      <c r="Z2918" s="21">
        <v>4601004187054</v>
      </c>
    </row>
    <row r="2919" spans="1:26" ht="12" customHeight="1" outlineLevel="3" x14ac:dyDescent="0.2">
      <c r="A2919" s="14" t="s">
        <v>5706</v>
      </c>
      <c r="B2919" s="26" t="s">
        <v>5707</v>
      </c>
      <c r="C2919" s="52"/>
      <c r="D2919" s="55">
        <f t="shared" si="45"/>
        <v>0</v>
      </c>
      <c r="E2919" s="63" t="str">
        <f>HYPERLINK("https://www.sds-group.ru/product/shina-soedinitelnaya-tipa-fork-vilka-1r-63a-1m-rexant-11-2231/", "Инфо")</f>
        <v>Инфо</v>
      </c>
      <c r="F2919" s="16" t="s">
        <v>39</v>
      </c>
      <c r="G2919" s="15"/>
      <c r="H2919" s="15"/>
      <c r="I2919" s="15"/>
      <c r="J2919" s="16" t="s">
        <v>100</v>
      </c>
      <c r="K2919" s="15" t="s">
        <v>1650</v>
      </c>
      <c r="L2919" s="17">
        <v>20</v>
      </c>
      <c r="M2919" s="17">
        <v>100</v>
      </c>
      <c r="N2919" s="17">
        <v>20</v>
      </c>
      <c r="O2919" s="18">
        <v>888.48</v>
      </c>
      <c r="P2919" s="18">
        <v>728.26</v>
      </c>
      <c r="Q2919" s="18">
        <v>710.78</v>
      </c>
      <c r="R2919" s="18">
        <v>582.61</v>
      </c>
      <c r="S2919" s="18">
        <v>604.16999999999996</v>
      </c>
      <c r="T2919" s="18">
        <v>495.22</v>
      </c>
      <c r="U2919" s="16"/>
      <c r="V2919" s="16"/>
      <c r="W2919" s="16" t="s">
        <v>40</v>
      </c>
      <c r="X2919" s="19">
        <v>0.2</v>
      </c>
      <c r="Y2919" s="20">
        <v>1.2300000000000001E-4</v>
      </c>
      <c r="Z2919" s="21">
        <v>4601004187078</v>
      </c>
    </row>
    <row r="2920" spans="1:26" ht="12" customHeight="1" outlineLevel="3" x14ac:dyDescent="0.2">
      <c r="A2920" s="14" t="s">
        <v>5708</v>
      </c>
      <c r="B2920" s="26" t="s">
        <v>5709</v>
      </c>
      <c r="C2920" s="52"/>
      <c r="D2920" s="55">
        <f t="shared" si="45"/>
        <v>0</v>
      </c>
      <c r="E2920" s="63" t="str">
        <f>HYPERLINK("https://www.sds-group.ru/product/shina-soedinitelnaya-tipa-fork-vilka-2r-63a-1m-rexant-11-2233/", "Инфо")</f>
        <v>Инфо</v>
      </c>
      <c r="F2920" s="16" t="s">
        <v>39</v>
      </c>
      <c r="G2920" s="15"/>
      <c r="H2920" s="15"/>
      <c r="I2920" s="15"/>
      <c r="J2920" s="17">
        <v>71</v>
      </c>
      <c r="K2920" s="15" t="s">
        <v>1665</v>
      </c>
      <c r="L2920" s="17">
        <v>10</v>
      </c>
      <c r="M2920" s="17">
        <v>50</v>
      </c>
      <c r="N2920" s="17">
        <v>10</v>
      </c>
      <c r="O2920" s="18">
        <v>1558.62</v>
      </c>
      <c r="P2920" s="18">
        <v>1277.56</v>
      </c>
      <c r="Q2920" s="18">
        <v>1246.9000000000001</v>
      </c>
      <c r="R2920" s="18">
        <v>1022.05</v>
      </c>
      <c r="S2920" s="18">
        <v>1059.8599999999999</v>
      </c>
      <c r="T2920" s="18">
        <v>868.74</v>
      </c>
      <c r="U2920" s="16"/>
      <c r="V2920" s="16"/>
      <c r="W2920" s="16" t="s">
        <v>40</v>
      </c>
      <c r="X2920" s="19">
        <v>0.36099999999999999</v>
      </c>
      <c r="Y2920" s="20">
        <v>5.0000000000000002E-5</v>
      </c>
      <c r="Z2920" s="21">
        <v>4601004187115</v>
      </c>
    </row>
    <row r="2921" spans="1:26" ht="12" customHeight="1" outlineLevel="3" x14ac:dyDescent="0.2">
      <c r="A2921" s="14" t="s">
        <v>5710</v>
      </c>
      <c r="B2921" s="26" t="s">
        <v>5711</v>
      </c>
      <c r="C2921" s="52"/>
      <c r="D2921" s="55">
        <f t="shared" si="45"/>
        <v>0</v>
      </c>
      <c r="E2921" s="63" t="str">
        <f>HYPERLINK("https://www.sds-group.ru/product/shina-soedinitelnaya-tipa-fork-vilka-3r-100a-1m-rexant-11-2234/", "Инфо")</f>
        <v>Инфо</v>
      </c>
      <c r="F2921" s="16" t="s">
        <v>39</v>
      </c>
      <c r="G2921" s="15"/>
      <c r="H2921" s="15"/>
      <c r="I2921" s="15"/>
      <c r="J2921" s="17">
        <v>154</v>
      </c>
      <c r="K2921" s="15" t="s">
        <v>1665</v>
      </c>
      <c r="L2921" s="17">
        <v>10</v>
      </c>
      <c r="M2921" s="17">
        <v>30</v>
      </c>
      <c r="N2921" s="17">
        <v>10</v>
      </c>
      <c r="O2921" s="18">
        <v>4484.1099999999997</v>
      </c>
      <c r="P2921" s="18">
        <v>3675.5</v>
      </c>
      <c r="Q2921" s="18">
        <v>3273.4</v>
      </c>
      <c r="R2921" s="18">
        <v>2683.11</v>
      </c>
      <c r="S2921" s="18">
        <v>3049.19</v>
      </c>
      <c r="T2921" s="18">
        <v>2499.34</v>
      </c>
      <c r="U2921" s="16"/>
      <c r="V2921" s="16"/>
      <c r="W2921" s="16" t="s">
        <v>40</v>
      </c>
      <c r="X2921" s="19">
        <v>0.66900000000000004</v>
      </c>
      <c r="Y2921" s="20">
        <v>5.53E-4</v>
      </c>
      <c r="Z2921" s="21">
        <v>4601004187139</v>
      </c>
    </row>
    <row r="2922" spans="1:26" ht="12" customHeight="1" outlineLevel="3" x14ac:dyDescent="0.2">
      <c r="A2922" s="14" t="s">
        <v>5712</v>
      </c>
      <c r="B2922" s="26" t="s">
        <v>5713</v>
      </c>
      <c r="C2922" s="52"/>
      <c r="D2922" s="55">
        <f t="shared" si="45"/>
        <v>0</v>
      </c>
      <c r="E2922" s="63" t="str">
        <f>HYPERLINK("https://www.sds-group.ru/product/shina-soedinitelnaya-tipa-fork-vilka-3r-63a-1-m-rexant-11-2235/", "Инфо")</f>
        <v>Инфо</v>
      </c>
      <c r="F2922" s="16" t="s">
        <v>39</v>
      </c>
      <c r="G2922" s="15"/>
      <c r="H2922" s="15"/>
      <c r="I2922" s="15"/>
      <c r="J2922" s="16" t="s">
        <v>100</v>
      </c>
      <c r="K2922" s="15" t="s">
        <v>1055</v>
      </c>
      <c r="L2922" s="17">
        <v>10</v>
      </c>
      <c r="M2922" s="17">
        <v>50</v>
      </c>
      <c r="N2922" s="17">
        <v>10</v>
      </c>
      <c r="O2922" s="18">
        <v>2589.3000000000002</v>
      </c>
      <c r="P2922" s="18">
        <v>2122.38</v>
      </c>
      <c r="Q2922" s="18">
        <v>2071.44</v>
      </c>
      <c r="R2922" s="18">
        <v>1697.9</v>
      </c>
      <c r="S2922" s="18">
        <v>1760.72</v>
      </c>
      <c r="T2922" s="18">
        <v>1443.21</v>
      </c>
      <c r="U2922" s="16"/>
      <c r="V2922" s="16"/>
      <c r="W2922" s="16" t="s">
        <v>40</v>
      </c>
      <c r="X2922" s="19">
        <v>0.50700000000000001</v>
      </c>
      <c r="Y2922" s="20">
        <v>7.7000000000000001E-5</v>
      </c>
      <c r="Z2922" s="21">
        <v>4601004187153</v>
      </c>
    </row>
    <row r="2923" spans="1:26" ht="12" customHeight="1" outlineLevel="3" x14ac:dyDescent="0.2">
      <c r="A2923" s="14" t="s">
        <v>5714</v>
      </c>
      <c r="B2923" s="26" t="s">
        <v>5715</v>
      </c>
      <c r="C2923" s="52"/>
      <c r="D2923" s="55">
        <f t="shared" si="45"/>
        <v>0</v>
      </c>
      <c r="E2923" s="63" t="str">
        <f>HYPERLINK("https://www.sds-group.ru/product/shina-soedinitelnaya-tipa-pin-shtyr-1r-100a-1m-rexant-11-2240/", "Инфо")</f>
        <v>Инфо</v>
      </c>
      <c r="F2923" s="16" t="s">
        <v>39</v>
      </c>
      <c r="G2923" s="15"/>
      <c r="H2923" s="15"/>
      <c r="I2923" s="15"/>
      <c r="J2923" s="17">
        <v>266</v>
      </c>
      <c r="K2923" s="15"/>
      <c r="L2923" s="17">
        <v>20</v>
      </c>
      <c r="M2923" s="17">
        <v>100</v>
      </c>
      <c r="N2923" s="17">
        <v>20</v>
      </c>
      <c r="O2923" s="18">
        <v>1006</v>
      </c>
      <c r="P2923" s="18">
        <v>824.59</v>
      </c>
      <c r="Q2923" s="18">
        <v>804.8</v>
      </c>
      <c r="R2923" s="18">
        <v>659.67</v>
      </c>
      <c r="S2923" s="18">
        <v>684.08</v>
      </c>
      <c r="T2923" s="18">
        <v>560.72</v>
      </c>
      <c r="U2923" s="16"/>
      <c r="V2923" s="16"/>
      <c r="W2923" s="16" t="s">
        <v>40</v>
      </c>
      <c r="X2923" s="19">
        <v>0.24199999999999999</v>
      </c>
      <c r="Y2923" s="20">
        <v>1E-4</v>
      </c>
      <c r="Z2923" s="21">
        <v>4601004187214</v>
      </c>
    </row>
    <row r="2924" spans="1:26" ht="12" customHeight="1" outlineLevel="3" x14ac:dyDescent="0.2">
      <c r="A2924" s="14" t="s">
        <v>5716</v>
      </c>
      <c r="B2924" s="26" t="s">
        <v>5717</v>
      </c>
      <c r="C2924" s="52"/>
      <c r="D2924" s="55">
        <f t="shared" si="45"/>
        <v>0</v>
      </c>
      <c r="E2924" s="63" t="str">
        <f>HYPERLINK("https://www.sds-group.ru/product/shina-soedinitelnaya-tipa-pin-shtyr-1r-63a-1-m-rexant-11-2241/", "Инфо")</f>
        <v>Инфо</v>
      </c>
      <c r="F2924" s="16" t="s">
        <v>39</v>
      </c>
      <c r="G2924" s="15"/>
      <c r="H2924" s="15"/>
      <c r="I2924" s="15"/>
      <c r="J2924" s="16" t="s">
        <v>100</v>
      </c>
      <c r="K2924" s="15" t="s">
        <v>1650</v>
      </c>
      <c r="L2924" s="17">
        <v>20</v>
      </c>
      <c r="M2924" s="17">
        <v>100</v>
      </c>
      <c r="N2924" s="17">
        <v>20</v>
      </c>
      <c r="O2924" s="18">
        <v>779.05</v>
      </c>
      <c r="P2924" s="18">
        <v>638.57000000000005</v>
      </c>
      <c r="Q2924" s="18">
        <v>623.24</v>
      </c>
      <c r="R2924" s="18">
        <v>510.85</v>
      </c>
      <c r="S2924" s="18">
        <v>529.75</v>
      </c>
      <c r="T2924" s="18">
        <v>434.22</v>
      </c>
      <c r="U2924" s="16"/>
      <c r="V2924" s="16"/>
      <c r="W2924" s="16" t="s">
        <v>40</v>
      </c>
      <c r="X2924" s="19">
        <v>0.187</v>
      </c>
      <c r="Y2924" s="20">
        <v>1.5899999999999999E-4</v>
      </c>
      <c r="Z2924" s="21">
        <v>4601004187238</v>
      </c>
    </row>
    <row r="2925" spans="1:26" ht="12" customHeight="1" outlineLevel="3" x14ac:dyDescent="0.2">
      <c r="A2925" s="14" t="s">
        <v>5718</v>
      </c>
      <c r="B2925" s="26" t="s">
        <v>5719</v>
      </c>
      <c r="C2925" s="52"/>
      <c r="D2925" s="55">
        <f t="shared" si="45"/>
        <v>0</v>
      </c>
      <c r="E2925" s="63" t="str">
        <f>HYPERLINK("https://www.sds-group.ru/product/shina-soedinitelnaya-tipa-pin-shtyr-2r-100a-1m-rexant-11-2242/", "Инфо")</f>
        <v>Инфо</v>
      </c>
      <c r="F2925" s="16" t="s">
        <v>39</v>
      </c>
      <c r="G2925" s="15"/>
      <c r="H2925" s="15"/>
      <c r="I2925" s="15"/>
      <c r="J2925" s="17">
        <v>58</v>
      </c>
      <c r="K2925" s="15" t="s">
        <v>2924</v>
      </c>
      <c r="L2925" s="17">
        <v>10</v>
      </c>
      <c r="M2925" s="17">
        <v>50</v>
      </c>
      <c r="N2925" s="17">
        <v>10</v>
      </c>
      <c r="O2925" s="18">
        <v>3390.28</v>
      </c>
      <c r="P2925" s="18">
        <v>2778.92</v>
      </c>
      <c r="Q2925" s="18">
        <v>2474.9</v>
      </c>
      <c r="R2925" s="18">
        <v>2028.61</v>
      </c>
      <c r="S2925" s="18">
        <v>2305.39</v>
      </c>
      <c r="T2925" s="18">
        <v>1889.66</v>
      </c>
      <c r="U2925" s="16"/>
      <c r="V2925" s="16"/>
      <c r="W2925" s="16" t="s">
        <v>40</v>
      </c>
      <c r="X2925" s="19">
        <v>0.46</v>
      </c>
      <c r="Y2925" s="20">
        <v>5.0000000000000002E-5</v>
      </c>
      <c r="Z2925" s="21">
        <v>4601004187252</v>
      </c>
    </row>
    <row r="2926" spans="1:26" ht="12" customHeight="1" outlineLevel="3" x14ac:dyDescent="0.2">
      <c r="A2926" s="14" t="s">
        <v>5720</v>
      </c>
      <c r="B2926" s="26" t="s">
        <v>5721</v>
      </c>
      <c r="C2926" s="52"/>
      <c r="D2926" s="55">
        <f t="shared" si="45"/>
        <v>0</v>
      </c>
      <c r="E2926" s="63" t="str">
        <f>HYPERLINK("https://www.sds-group.ru/product/shina-soedinitelnaya-tipa-pin-shtyr-2r-63a-1-m-rexant-11-2243/", "Инфо")</f>
        <v>Инфо</v>
      </c>
      <c r="F2926" s="16" t="s">
        <v>39</v>
      </c>
      <c r="G2926" s="15"/>
      <c r="H2926" s="15"/>
      <c r="I2926" s="15"/>
      <c r="J2926" s="16" t="s">
        <v>100</v>
      </c>
      <c r="K2926" s="15" t="s">
        <v>1650</v>
      </c>
      <c r="L2926" s="17">
        <v>10</v>
      </c>
      <c r="M2926" s="17">
        <v>50</v>
      </c>
      <c r="N2926" s="17">
        <v>10</v>
      </c>
      <c r="O2926" s="18">
        <v>1531.55</v>
      </c>
      <c r="P2926" s="18">
        <v>1255.3699999999999</v>
      </c>
      <c r="Q2926" s="18">
        <v>1225.24</v>
      </c>
      <c r="R2926" s="18">
        <v>1004.3</v>
      </c>
      <c r="S2926" s="18">
        <v>1041.45</v>
      </c>
      <c r="T2926" s="18">
        <v>853.65</v>
      </c>
      <c r="U2926" s="16"/>
      <c r="V2926" s="16"/>
      <c r="W2926" s="16" t="s">
        <v>40</v>
      </c>
      <c r="X2926" s="19">
        <v>0.34200000000000003</v>
      </c>
      <c r="Y2926" s="20">
        <v>2.5000000000000001E-4</v>
      </c>
      <c r="Z2926" s="21">
        <v>4601004187276</v>
      </c>
    </row>
    <row r="2927" spans="1:26" ht="12" customHeight="1" outlineLevel="3" x14ac:dyDescent="0.2">
      <c r="A2927" s="14" t="s">
        <v>5722</v>
      </c>
      <c r="B2927" s="26" t="s">
        <v>5723</v>
      </c>
      <c r="C2927" s="52"/>
      <c r="D2927" s="55">
        <f t="shared" si="45"/>
        <v>0</v>
      </c>
      <c r="E2927" s="63" t="str">
        <f>HYPERLINK("https://www.sds-group.ru/product/shina-soedinitelnaya-tipa-pin-shtyr-3r-100a-1m-rexant-11-2244/", "Инфо")</f>
        <v>Инфо</v>
      </c>
      <c r="F2927" s="16" t="s">
        <v>39</v>
      </c>
      <c r="G2927" s="15"/>
      <c r="H2927" s="15"/>
      <c r="I2927" s="15"/>
      <c r="J2927" s="16" t="s">
        <v>100</v>
      </c>
      <c r="K2927" s="15" t="s">
        <v>1055</v>
      </c>
      <c r="L2927" s="17">
        <v>10</v>
      </c>
      <c r="M2927" s="17">
        <v>30</v>
      </c>
      <c r="N2927" s="17">
        <v>10</v>
      </c>
      <c r="O2927" s="18">
        <v>3128.27</v>
      </c>
      <c r="P2927" s="18">
        <v>2564.16</v>
      </c>
      <c r="Q2927" s="18">
        <v>2283.64</v>
      </c>
      <c r="R2927" s="18">
        <v>1871.84</v>
      </c>
      <c r="S2927" s="18">
        <v>2127.2199999999998</v>
      </c>
      <c r="T2927" s="18">
        <v>1743.62</v>
      </c>
      <c r="U2927" s="16"/>
      <c r="V2927" s="16"/>
      <c r="W2927" s="16" t="s">
        <v>40</v>
      </c>
      <c r="X2927" s="19">
        <v>0.64600000000000002</v>
      </c>
      <c r="Y2927" s="20">
        <v>4.1100000000000002E-4</v>
      </c>
      <c r="Z2927" s="21">
        <v>4601004187290</v>
      </c>
    </row>
    <row r="2928" spans="1:26" ht="12" customHeight="1" outlineLevel="3" x14ac:dyDescent="0.2">
      <c r="A2928" s="14" t="s">
        <v>5724</v>
      </c>
      <c r="B2928" s="26" t="s">
        <v>5725</v>
      </c>
      <c r="C2928" s="52"/>
      <c r="D2928" s="55">
        <f t="shared" si="45"/>
        <v>0</v>
      </c>
      <c r="E2928" s="63" t="str">
        <f>HYPERLINK("https://www.sds-group.ru/product/shina-soedinitelnaya-tipa-pin-shtyr-3r-63a-1-m-rexant-11-2245/", "Инфо")</f>
        <v>Инфо</v>
      </c>
      <c r="F2928" s="16" t="s">
        <v>39</v>
      </c>
      <c r="G2928" s="15"/>
      <c r="H2928" s="15"/>
      <c r="I2928" s="15"/>
      <c r="J2928" s="16" t="s">
        <v>100</v>
      </c>
      <c r="K2928" s="15" t="s">
        <v>1055</v>
      </c>
      <c r="L2928" s="17">
        <v>10</v>
      </c>
      <c r="M2928" s="17">
        <v>50</v>
      </c>
      <c r="N2928" s="17">
        <v>10</v>
      </c>
      <c r="O2928" s="18">
        <v>2121.58</v>
      </c>
      <c r="P2928" s="18">
        <v>1739</v>
      </c>
      <c r="Q2928" s="18">
        <v>1697.26</v>
      </c>
      <c r="R2928" s="18">
        <v>1391.2</v>
      </c>
      <c r="S2928" s="18">
        <v>1442.67</v>
      </c>
      <c r="T2928" s="18">
        <v>1182.52</v>
      </c>
      <c r="U2928" s="16"/>
      <c r="V2928" s="16"/>
      <c r="W2928" s="16" t="s">
        <v>40</v>
      </c>
      <c r="X2928" s="19">
        <v>0.48</v>
      </c>
      <c r="Y2928" s="20">
        <v>3.8900000000000002E-4</v>
      </c>
      <c r="Z2928" s="21">
        <v>4601004187313</v>
      </c>
    </row>
    <row r="2929" spans="1:26" ht="12" customHeight="1" outlineLevel="3" x14ac:dyDescent="0.2">
      <c r="A2929" s="32" t="s">
        <v>5726</v>
      </c>
      <c r="B2929" s="74" t="s">
        <v>5727</v>
      </c>
      <c r="C2929" s="50"/>
      <c r="D2929" s="53">
        <f t="shared" si="45"/>
        <v>0</v>
      </c>
      <c r="E2929" s="60" t="str">
        <f>HYPERLINK("https://www.sds-group.ru/product/shina-soedinitelnaya-tipa-pin-shtyr-4r-100a-1m-rexant-11-2246/", "Инфо")</f>
        <v>Инфо</v>
      </c>
      <c r="F2929" s="34" t="s">
        <v>39</v>
      </c>
      <c r="G2929" s="33"/>
      <c r="H2929" s="33" t="s">
        <v>40</v>
      </c>
      <c r="I2929" s="33"/>
      <c r="J2929" s="35">
        <v>48</v>
      </c>
      <c r="K2929" s="33"/>
      <c r="L2929" s="35">
        <v>10</v>
      </c>
      <c r="M2929" s="35">
        <v>20</v>
      </c>
      <c r="N2929" s="35">
        <v>10</v>
      </c>
      <c r="O2929" s="36">
        <v>3168.35</v>
      </c>
      <c r="P2929" s="36">
        <v>2597.0100000000002</v>
      </c>
      <c r="Q2929" s="36">
        <v>2312.9</v>
      </c>
      <c r="R2929" s="36">
        <v>1895.82</v>
      </c>
      <c r="S2929" s="36">
        <v>2154.48</v>
      </c>
      <c r="T2929" s="36">
        <v>1765.97</v>
      </c>
      <c r="U2929" s="34"/>
      <c r="V2929" s="34"/>
      <c r="W2929" s="34" t="s">
        <v>40</v>
      </c>
      <c r="X2929" s="37">
        <v>0.88200000000000001</v>
      </c>
      <c r="Y2929" s="38">
        <v>5.3999999999999998E-5</v>
      </c>
      <c r="Z2929" s="21">
        <v>4601004187337</v>
      </c>
    </row>
    <row r="2930" spans="1:26" ht="12" customHeight="1" outlineLevel="3" x14ac:dyDescent="0.2">
      <c r="A2930" s="14" t="s">
        <v>5728</v>
      </c>
      <c r="B2930" s="26" t="s">
        <v>5729</v>
      </c>
      <c r="C2930" s="52"/>
      <c r="D2930" s="55">
        <f t="shared" si="45"/>
        <v>0</v>
      </c>
      <c r="E2930" s="63" t="str">
        <f>HYPERLINK("https://www.sds-group.ru/product/shina-soedinitelnaya-tipa-pin-shtyr-4r-63a-1m-rexant-11-2247/", "Инфо")</f>
        <v>Инфо</v>
      </c>
      <c r="F2930" s="16" t="s">
        <v>39</v>
      </c>
      <c r="G2930" s="15"/>
      <c r="H2930" s="15"/>
      <c r="I2930" s="15"/>
      <c r="J2930" s="17">
        <v>30</v>
      </c>
      <c r="K2930" s="15" t="s">
        <v>2924</v>
      </c>
      <c r="L2930" s="17">
        <v>5</v>
      </c>
      <c r="M2930" s="17">
        <v>30</v>
      </c>
      <c r="N2930" s="17">
        <v>5</v>
      </c>
      <c r="O2930" s="18">
        <v>2529.9</v>
      </c>
      <c r="P2930" s="18">
        <v>2073.69</v>
      </c>
      <c r="Q2930" s="18">
        <v>1948.02</v>
      </c>
      <c r="R2930" s="18">
        <v>1596.74</v>
      </c>
      <c r="S2930" s="18">
        <v>1720.33</v>
      </c>
      <c r="T2930" s="18">
        <v>1410.11</v>
      </c>
      <c r="U2930" s="16"/>
      <c r="V2930" s="16"/>
      <c r="W2930" s="16" t="s">
        <v>40</v>
      </c>
      <c r="X2930" s="19">
        <v>0.63200000000000001</v>
      </c>
      <c r="Y2930" s="20">
        <v>9.1000000000000003E-5</v>
      </c>
      <c r="Z2930" s="21">
        <v>4601004187351</v>
      </c>
    </row>
    <row r="2931" spans="1:26" ht="12" customHeight="1" outlineLevel="3" x14ac:dyDescent="0.2">
      <c r="A2931" s="14" t="s">
        <v>5730</v>
      </c>
      <c r="B2931" s="26" t="s">
        <v>5731</v>
      </c>
      <c r="C2931" s="52"/>
      <c r="D2931" s="55">
        <f t="shared" si="45"/>
        <v>0</v>
      </c>
      <c r="E2931" s="63" t="str">
        <f>HYPERLINK("https://www.sds-group.ru/product/shina-soedinitelnaya-tipa-pin-shtyr-12-1r-100-a-22sm-rexant-11-2252/", "Инфо")</f>
        <v>Инфо</v>
      </c>
      <c r="F2931" s="16" t="s">
        <v>39</v>
      </c>
      <c r="G2931" s="15"/>
      <c r="H2931" s="15"/>
      <c r="I2931" s="15"/>
      <c r="J2931" s="17">
        <v>129</v>
      </c>
      <c r="K2931" s="15" t="s">
        <v>1055</v>
      </c>
      <c r="L2931" s="17">
        <v>10</v>
      </c>
      <c r="M2931" s="17">
        <v>100</v>
      </c>
      <c r="N2931" s="17">
        <v>10</v>
      </c>
      <c r="O2931" s="18">
        <v>301.38</v>
      </c>
      <c r="P2931" s="18">
        <v>247.03</v>
      </c>
      <c r="Q2931" s="18">
        <v>256.17</v>
      </c>
      <c r="R2931" s="18">
        <v>209.98</v>
      </c>
      <c r="S2931" s="18">
        <v>204.94</v>
      </c>
      <c r="T2931" s="18">
        <v>167.98</v>
      </c>
      <c r="U2931" s="16"/>
      <c r="V2931" s="16"/>
      <c r="W2931" s="16" t="s">
        <v>40</v>
      </c>
      <c r="X2931" s="19">
        <v>0.06</v>
      </c>
      <c r="Y2931" s="20">
        <v>1.22E-4</v>
      </c>
      <c r="Z2931" s="21">
        <v>4601004242371</v>
      </c>
    </row>
    <row r="2932" spans="1:26" ht="12" customHeight="1" outlineLevel="3" x14ac:dyDescent="0.2">
      <c r="A2932" s="14" t="s">
        <v>5732</v>
      </c>
      <c r="B2932" s="26" t="s">
        <v>5733</v>
      </c>
      <c r="C2932" s="52"/>
      <c r="D2932" s="55">
        <f t="shared" si="45"/>
        <v>0</v>
      </c>
      <c r="E2932" s="63" t="str">
        <f>HYPERLINK("https://www.sds-group.ru/product/shina-soedinitelnaya-tipa-pin-shtyr-12-1r-63a-22sm-rexant-11-2241-1/", "Инфо")</f>
        <v>Инфо</v>
      </c>
      <c r="F2932" s="16" t="s">
        <v>39</v>
      </c>
      <c r="G2932" s="15"/>
      <c r="H2932" s="15"/>
      <c r="I2932" s="15"/>
      <c r="J2932" s="16" t="s">
        <v>100</v>
      </c>
      <c r="K2932" s="15" t="s">
        <v>1055</v>
      </c>
      <c r="L2932" s="17">
        <v>10</v>
      </c>
      <c r="M2932" s="17">
        <v>500</v>
      </c>
      <c r="N2932" s="17">
        <v>10</v>
      </c>
      <c r="O2932" s="18">
        <v>210.23</v>
      </c>
      <c r="P2932" s="18">
        <v>172.32</v>
      </c>
      <c r="Q2932" s="18">
        <v>178.7</v>
      </c>
      <c r="R2932" s="18">
        <v>146.47999999999999</v>
      </c>
      <c r="S2932" s="18">
        <v>142.96</v>
      </c>
      <c r="T2932" s="18">
        <v>117.18</v>
      </c>
      <c r="U2932" s="16"/>
      <c r="V2932" s="16"/>
      <c r="W2932" s="16" t="s">
        <v>40</v>
      </c>
      <c r="X2932" s="19">
        <v>4.1000000000000002E-2</v>
      </c>
      <c r="Y2932" s="20">
        <v>7.1000000000000005E-5</v>
      </c>
      <c r="Z2932" s="21">
        <v>4601004187375</v>
      </c>
    </row>
    <row r="2933" spans="1:26" ht="12" customHeight="1" outlineLevel="3" x14ac:dyDescent="0.2">
      <c r="A2933" s="14" t="s">
        <v>5734</v>
      </c>
      <c r="B2933" s="26" t="s">
        <v>5735</v>
      </c>
      <c r="C2933" s="52"/>
      <c r="D2933" s="55">
        <f t="shared" si="45"/>
        <v>0</v>
      </c>
      <c r="E2933" s="63" t="str">
        <f>HYPERLINK("https://www.sds-group.ru/product/shina-soedinitelnaya-tipa-pin-shtyr-12-3r-100-a-22sm-rexant-11-2256/", "Инфо")</f>
        <v>Инфо</v>
      </c>
      <c r="F2933" s="16" t="s">
        <v>39</v>
      </c>
      <c r="G2933" s="15"/>
      <c r="H2933" s="15"/>
      <c r="I2933" s="15"/>
      <c r="J2933" s="17">
        <v>350</v>
      </c>
      <c r="K2933" s="15" t="s">
        <v>1665</v>
      </c>
      <c r="L2933" s="17">
        <v>1</v>
      </c>
      <c r="M2933" s="17">
        <v>180</v>
      </c>
      <c r="N2933" s="17">
        <v>1</v>
      </c>
      <c r="O2933" s="18">
        <v>674.94</v>
      </c>
      <c r="P2933" s="18">
        <v>553.23</v>
      </c>
      <c r="Q2933" s="18">
        <v>539.95000000000005</v>
      </c>
      <c r="R2933" s="18">
        <v>442.58</v>
      </c>
      <c r="S2933" s="18">
        <v>458.96</v>
      </c>
      <c r="T2933" s="18">
        <v>376.2</v>
      </c>
      <c r="U2933" s="16"/>
      <c r="V2933" s="16"/>
      <c r="W2933" s="16" t="s">
        <v>40</v>
      </c>
      <c r="X2933" s="19">
        <v>0.13500000000000001</v>
      </c>
      <c r="Y2933" s="20">
        <v>1.3100000000000001E-4</v>
      </c>
      <c r="Z2933" s="21">
        <v>4601004242395</v>
      </c>
    </row>
    <row r="2934" spans="1:26" ht="12" customHeight="1" outlineLevel="3" x14ac:dyDescent="0.2">
      <c r="A2934" s="14" t="s">
        <v>5736</v>
      </c>
      <c r="B2934" s="26" t="s">
        <v>5737</v>
      </c>
      <c r="C2934" s="52"/>
      <c r="D2934" s="55">
        <f t="shared" si="45"/>
        <v>0</v>
      </c>
      <c r="E2934" s="63" t="str">
        <f>HYPERLINK("https://www.sds-group.ru/product/shina-soedinitelnaya-tipa-pin-shtyr-12-3r-63a-22sm-rexant-11-2244-1/", "Инфо")</f>
        <v>Инфо</v>
      </c>
      <c r="F2934" s="16" t="s">
        <v>39</v>
      </c>
      <c r="G2934" s="15"/>
      <c r="H2934" s="15"/>
      <c r="I2934" s="15"/>
      <c r="J2934" s="16" t="s">
        <v>100</v>
      </c>
      <c r="K2934" s="15" t="s">
        <v>1055</v>
      </c>
      <c r="L2934" s="17">
        <v>5</v>
      </c>
      <c r="M2934" s="17">
        <v>200</v>
      </c>
      <c r="N2934" s="17">
        <v>5</v>
      </c>
      <c r="O2934" s="18">
        <v>553.02</v>
      </c>
      <c r="P2934" s="18">
        <v>453.3</v>
      </c>
      <c r="Q2934" s="18">
        <v>442.42</v>
      </c>
      <c r="R2934" s="18">
        <v>362.64</v>
      </c>
      <c r="S2934" s="18">
        <v>376.05</v>
      </c>
      <c r="T2934" s="18">
        <v>308.24</v>
      </c>
      <c r="U2934" s="16"/>
      <c r="V2934" s="16"/>
      <c r="W2934" s="16" t="s">
        <v>40</v>
      </c>
      <c r="X2934" s="19">
        <v>0.10100000000000001</v>
      </c>
      <c r="Y2934" s="20">
        <v>1.22E-4</v>
      </c>
      <c r="Z2934" s="21">
        <v>4601004187399</v>
      </c>
    </row>
    <row r="2935" spans="1:26" ht="12.95" customHeight="1" outlineLevel="2" x14ac:dyDescent="0.2">
      <c r="A2935" s="76" t="s">
        <v>5738</v>
      </c>
      <c r="B2935" s="76"/>
      <c r="C2935" s="77"/>
      <c r="D2935" s="58"/>
      <c r="E2935" s="68"/>
      <c r="F2935" s="13"/>
      <c r="G2935" s="13"/>
      <c r="H2935" s="13"/>
      <c r="I2935" s="13"/>
      <c r="J2935" s="13"/>
      <c r="K2935" s="13"/>
      <c r="L2935" s="13"/>
      <c r="M2935" s="13"/>
      <c r="N2935" s="13"/>
      <c r="O2935" s="13"/>
      <c r="P2935" s="13"/>
      <c r="Q2935" s="13"/>
      <c r="R2935" s="13"/>
      <c r="S2935" s="13"/>
      <c r="T2935" s="13"/>
      <c r="U2935" s="13"/>
      <c r="V2935" s="13"/>
      <c r="W2935" s="13"/>
      <c r="X2935" s="13"/>
      <c r="Y2935" s="13"/>
      <c r="Z2935" s="13"/>
    </row>
    <row r="2936" spans="1:26" ht="12" customHeight="1" outlineLevel="3" x14ac:dyDescent="0.2">
      <c r="A2936" s="14" t="s">
        <v>5739</v>
      </c>
      <c r="B2936" s="26" t="s">
        <v>5740</v>
      </c>
      <c r="C2936" s="52"/>
      <c r="D2936" s="55">
        <f t="shared" si="45"/>
        <v>0</v>
      </c>
      <c r="E2936" s="63" t="str">
        <f>HYPERLINK("https://www.sds-group.ru/product/shina-n-nulevaya-6h9mm-na-dvuh-uglovyh-sinih-izolyatorah-10-grupp-rexant-11-2327/", "Инфо")</f>
        <v>Инфо</v>
      </c>
      <c r="F2936" s="16" t="s">
        <v>39</v>
      </c>
      <c r="G2936" s="15"/>
      <c r="H2936" s="15"/>
      <c r="I2936" s="15"/>
      <c r="J2936" s="17">
        <v>490</v>
      </c>
      <c r="K2936" s="15" t="s">
        <v>210</v>
      </c>
      <c r="L2936" s="17">
        <v>20</v>
      </c>
      <c r="M2936" s="17">
        <v>500</v>
      </c>
      <c r="N2936" s="17">
        <v>20</v>
      </c>
      <c r="O2936" s="18">
        <v>126.84</v>
      </c>
      <c r="P2936" s="18">
        <v>103.97</v>
      </c>
      <c r="Q2936" s="18">
        <v>107.81</v>
      </c>
      <c r="R2936" s="18">
        <v>88.37</v>
      </c>
      <c r="S2936" s="18">
        <v>86.25</v>
      </c>
      <c r="T2936" s="18">
        <v>70.7</v>
      </c>
      <c r="U2936" s="16"/>
      <c r="V2936" s="16"/>
      <c r="W2936" s="16" t="s">
        <v>40</v>
      </c>
      <c r="X2936" s="19">
        <v>4.1000000000000002E-2</v>
      </c>
      <c r="Y2936" s="20">
        <v>5.5000000000000002E-5</v>
      </c>
      <c r="Z2936" s="21">
        <v>4601004192720</v>
      </c>
    </row>
    <row r="2937" spans="1:26" ht="12" customHeight="1" outlineLevel="3" x14ac:dyDescent="0.2">
      <c r="A2937" s="14" t="s">
        <v>5741</v>
      </c>
      <c r="B2937" s="26" t="s">
        <v>5742</v>
      </c>
      <c r="C2937" s="52"/>
      <c r="D2937" s="55">
        <f t="shared" si="45"/>
        <v>0</v>
      </c>
      <c r="E2937" s="63" t="str">
        <f>HYPERLINK("https://www.sds-group.ru/product/shina-n-nulevaya-6h9mm-na-dvuh-uglovyh-sinih-izolyatorah-12-grupp-rexant-11-2328/", "Инфо")</f>
        <v>Инфо</v>
      </c>
      <c r="F2937" s="16" t="s">
        <v>39</v>
      </c>
      <c r="G2937" s="15"/>
      <c r="H2937" s="15"/>
      <c r="I2937" s="15"/>
      <c r="J2937" s="17">
        <v>810</v>
      </c>
      <c r="K2937" s="15" t="s">
        <v>2798</v>
      </c>
      <c r="L2937" s="17">
        <v>20</v>
      </c>
      <c r="M2937" s="17">
        <v>500</v>
      </c>
      <c r="N2937" s="17">
        <v>20</v>
      </c>
      <c r="O2937" s="18">
        <v>148.44</v>
      </c>
      <c r="P2937" s="18">
        <v>121.67</v>
      </c>
      <c r="Q2937" s="18">
        <v>126.17</v>
      </c>
      <c r="R2937" s="18">
        <v>103.42</v>
      </c>
      <c r="S2937" s="18">
        <v>100.94</v>
      </c>
      <c r="T2937" s="18">
        <v>82.74</v>
      </c>
      <c r="U2937" s="16"/>
      <c r="V2937" s="16"/>
      <c r="W2937" s="16" t="s">
        <v>40</v>
      </c>
      <c r="X2937" s="19">
        <v>4.4999999999999998E-2</v>
      </c>
      <c r="Y2937" s="20">
        <v>5.5999999999999999E-5</v>
      </c>
      <c r="Z2937" s="21">
        <v>4601004192744</v>
      </c>
    </row>
    <row r="2938" spans="1:26" ht="12" customHeight="1" outlineLevel="3" x14ac:dyDescent="0.2">
      <c r="A2938" s="14" t="s">
        <v>5743</v>
      </c>
      <c r="B2938" s="26" t="s">
        <v>5744</v>
      </c>
      <c r="C2938" s="52"/>
      <c r="D2938" s="55">
        <f t="shared" si="45"/>
        <v>0</v>
      </c>
      <c r="E2938" s="63" t="str">
        <f>HYPERLINK("https://www.sds-group.ru/product/shina-n-nulevaya-6h9mm-na-dvuh-uglovyh-sinih-izolyatorah-14-grupp-rexant-11-2329/", "Инфо")</f>
        <v>Инфо</v>
      </c>
      <c r="F2938" s="16" t="s">
        <v>39</v>
      </c>
      <c r="G2938" s="15"/>
      <c r="H2938" s="15"/>
      <c r="I2938" s="15"/>
      <c r="J2938" s="16" t="s">
        <v>100</v>
      </c>
      <c r="K2938" s="15" t="s">
        <v>1650</v>
      </c>
      <c r="L2938" s="17">
        <v>20</v>
      </c>
      <c r="M2938" s="17">
        <v>500</v>
      </c>
      <c r="N2938" s="17">
        <v>20</v>
      </c>
      <c r="O2938" s="18">
        <v>170.72</v>
      </c>
      <c r="P2938" s="18">
        <v>139.93</v>
      </c>
      <c r="Q2938" s="18">
        <v>145.11000000000001</v>
      </c>
      <c r="R2938" s="18">
        <v>118.94</v>
      </c>
      <c r="S2938" s="18">
        <v>116.09</v>
      </c>
      <c r="T2938" s="18">
        <v>95.16</v>
      </c>
      <c r="U2938" s="16"/>
      <c r="V2938" s="16"/>
      <c r="W2938" s="16" t="s">
        <v>40</v>
      </c>
      <c r="X2938" s="19">
        <v>0.05</v>
      </c>
      <c r="Y2938" s="20">
        <v>7.7000000000000001E-5</v>
      </c>
      <c r="Z2938" s="21">
        <v>4601004192768</v>
      </c>
    </row>
    <row r="2939" spans="1:26" ht="12" customHeight="1" outlineLevel="3" x14ac:dyDescent="0.2">
      <c r="A2939" s="14" t="s">
        <v>5745</v>
      </c>
      <c r="B2939" s="26" t="s">
        <v>5746</v>
      </c>
      <c r="C2939" s="52"/>
      <c r="D2939" s="55">
        <f t="shared" si="45"/>
        <v>0</v>
      </c>
      <c r="E2939" s="63" t="str">
        <f>HYPERLINK("https://www.sds-group.ru/product/shina-n-nulevaya-6h9mm-na-dvuh-uglovyh-sinih-izolyatorah-16-grupp-rexant-11-2330/", "Инфо")</f>
        <v>Инфо</v>
      </c>
      <c r="F2939" s="16" t="s">
        <v>39</v>
      </c>
      <c r="G2939" s="15"/>
      <c r="H2939" s="15"/>
      <c r="I2939" s="15"/>
      <c r="J2939" s="17">
        <v>162</v>
      </c>
      <c r="K2939" s="15" t="s">
        <v>2798</v>
      </c>
      <c r="L2939" s="17">
        <v>20</v>
      </c>
      <c r="M2939" s="17">
        <v>500</v>
      </c>
      <c r="N2939" s="17">
        <v>20</v>
      </c>
      <c r="O2939" s="18">
        <v>176.1</v>
      </c>
      <c r="P2939" s="18">
        <v>144.34</v>
      </c>
      <c r="Q2939" s="18">
        <v>149.69</v>
      </c>
      <c r="R2939" s="18">
        <v>122.7</v>
      </c>
      <c r="S2939" s="18">
        <v>119.75</v>
      </c>
      <c r="T2939" s="18">
        <v>98.16</v>
      </c>
      <c r="U2939" s="16"/>
      <c r="V2939" s="16"/>
      <c r="W2939" s="16" t="s">
        <v>40</v>
      </c>
      <c r="X2939" s="19">
        <v>5.2999999999999999E-2</v>
      </c>
      <c r="Y2939" s="20">
        <v>5.0000000000000002E-5</v>
      </c>
      <c r="Z2939" s="21">
        <v>4601004192782</v>
      </c>
    </row>
    <row r="2940" spans="1:26" ht="12" customHeight="1" outlineLevel="3" x14ac:dyDescent="0.2">
      <c r="A2940" s="14" t="s">
        <v>5747</v>
      </c>
      <c r="B2940" s="26" t="s">
        <v>5748</v>
      </c>
      <c r="C2940" s="52"/>
      <c r="D2940" s="55">
        <f t="shared" si="45"/>
        <v>0</v>
      </c>
      <c r="E2940" s="63" t="str">
        <f>HYPERLINK("https://www.sds-group.ru/product/shina-n-nulevaya-6h9mm-na-dvuh-uglovyh-sinih-izolyatorah-4-gruppy-rexant-11-2324/", "Инфо")</f>
        <v>Инфо</v>
      </c>
      <c r="F2940" s="16" t="s">
        <v>39</v>
      </c>
      <c r="G2940" s="15"/>
      <c r="H2940" s="15"/>
      <c r="I2940" s="15"/>
      <c r="J2940" s="16" t="s">
        <v>100</v>
      </c>
      <c r="K2940" s="15" t="s">
        <v>2798</v>
      </c>
      <c r="L2940" s="17">
        <v>20</v>
      </c>
      <c r="M2940" s="17">
        <v>500</v>
      </c>
      <c r="N2940" s="17">
        <v>20</v>
      </c>
      <c r="O2940" s="18">
        <v>74.33</v>
      </c>
      <c r="P2940" s="18">
        <v>60.93</v>
      </c>
      <c r="Q2940" s="18">
        <v>63.18</v>
      </c>
      <c r="R2940" s="18">
        <v>51.79</v>
      </c>
      <c r="S2940" s="18">
        <v>50.54</v>
      </c>
      <c r="T2940" s="18">
        <v>41.43</v>
      </c>
      <c r="U2940" s="16"/>
      <c r="V2940" s="16"/>
      <c r="W2940" s="16" t="s">
        <v>40</v>
      </c>
      <c r="X2940" s="19">
        <v>2.7E-2</v>
      </c>
      <c r="Y2940" s="20">
        <v>3.8999999999999999E-5</v>
      </c>
      <c r="Z2940" s="21">
        <v>4601004192669</v>
      </c>
    </row>
    <row r="2941" spans="1:26" ht="12" customHeight="1" outlineLevel="3" x14ac:dyDescent="0.2">
      <c r="A2941" s="14" t="s">
        <v>5749</v>
      </c>
      <c r="B2941" s="26" t="s">
        <v>5750</v>
      </c>
      <c r="C2941" s="52"/>
      <c r="D2941" s="55">
        <f t="shared" si="45"/>
        <v>0</v>
      </c>
      <c r="E2941" s="63" t="str">
        <f>HYPERLINK("https://www.sds-group.ru/product/shina-n-nulevaya-6h9mm-na-dvuh-uglovyh-sinih-izolyatorah-6-grupp-rexant-11-2325/", "Инфо")</f>
        <v>Инфо</v>
      </c>
      <c r="F2941" s="16" t="s">
        <v>39</v>
      </c>
      <c r="G2941" s="15"/>
      <c r="H2941" s="15"/>
      <c r="I2941" s="15"/>
      <c r="J2941" s="16" t="s">
        <v>100</v>
      </c>
      <c r="K2941" s="15" t="s">
        <v>1650</v>
      </c>
      <c r="L2941" s="17">
        <v>20</v>
      </c>
      <c r="M2941" s="17">
        <v>500</v>
      </c>
      <c r="N2941" s="17">
        <v>20</v>
      </c>
      <c r="O2941" s="18">
        <v>88.19</v>
      </c>
      <c r="P2941" s="18">
        <v>72.290000000000006</v>
      </c>
      <c r="Q2941" s="18">
        <v>74.959999999999994</v>
      </c>
      <c r="R2941" s="18">
        <v>61.44</v>
      </c>
      <c r="S2941" s="18">
        <v>59.97</v>
      </c>
      <c r="T2941" s="18">
        <v>49.16</v>
      </c>
      <c r="U2941" s="16"/>
      <c r="V2941" s="16"/>
      <c r="W2941" s="16" t="s">
        <v>40</v>
      </c>
      <c r="X2941" s="19">
        <v>3.2000000000000001E-2</v>
      </c>
      <c r="Y2941" s="20">
        <v>4.8999999999999998E-5</v>
      </c>
      <c r="Z2941" s="21">
        <v>4601004192683</v>
      </c>
    </row>
    <row r="2942" spans="1:26" ht="12" customHeight="1" outlineLevel="3" x14ac:dyDescent="0.2">
      <c r="A2942" s="14" t="s">
        <v>5751</v>
      </c>
      <c r="B2942" s="26" t="s">
        <v>5752</v>
      </c>
      <c r="C2942" s="52"/>
      <c r="D2942" s="55">
        <f t="shared" si="45"/>
        <v>0</v>
      </c>
      <c r="E2942" s="63" t="str">
        <f>HYPERLINK("https://www.sds-group.ru/product/shina-n-nulevaya-6h9mm-na-dvuh-uglovyh-sinih-izolyatorah-8-grupp-rexant-11-2326/", "Инфо")</f>
        <v>Инфо</v>
      </c>
      <c r="F2942" s="16" t="s">
        <v>39</v>
      </c>
      <c r="G2942" s="15"/>
      <c r="H2942" s="15"/>
      <c r="I2942" s="15"/>
      <c r="J2942" s="16" t="s">
        <v>100</v>
      </c>
      <c r="K2942" s="15" t="s">
        <v>1650</v>
      </c>
      <c r="L2942" s="17">
        <v>20</v>
      </c>
      <c r="M2942" s="17">
        <v>500</v>
      </c>
      <c r="N2942" s="17">
        <v>20</v>
      </c>
      <c r="O2942" s="18">
        <v>128.68</v>
      </c>
      <c r="P2942" s="18">
        <v>105.48</v>
      </c>
      <c r="Q2942" s="18">
        <v>109.38</v>
      </c>
      <c r="R2942" s="18">
        <v>89.66</v>
      </c>
      <c r="S2942" s="18">
        <v>87.5</v>
      </c>
      <c r="T2942" s="18">
        <v>71.72</v>
      </c>
      <c r="U2942" s="16"/>
      <c r="V2942" s="16"/>
      <c r="W2942" s="16" t="s">
        <v>40</v>
      </c>
      <c r="X2942" s="19">
        <v>3.1E-2</v>
      </c>
      <c r="Y2942" s="20">
        <v>6.3999999999999997E-5</v>
      </c>
      <c r="Z2942" s="21">
        <v>4601004192706</v>
      </c>
    </row>
    <row r="2943" spans="1:26" ht="12" customHeight="1" outlineLevel="3" x14ac:dyDescent="0.2">
      <c r="A2943" s="32" t="s">
        <v>5753</v>
      </c>
      <c r="B2943" s="74" t="s">
        <v>5754</v>
      </c>
      <c r="C2943" s="50"/>
      <c r="D2943" s="53">
        <f t="shared" si="45"/>
        <v>0</v>
      </c>
      <c r="E2943" s="60" t="str">
        <f>HYPERLINK("https://www.sds-group.ru/product/shina-n-nulevaya-8h12mm-na-dvuh-uglovyh-sinih-izolyatorah-12-grupp-rexant-11-2335/", "Инфо")</f>
        <v>Инфо</v>
      </c>
      <c r="F2943" s="34" t="s">
        <v>39</v>
      </c>
      <c r="G2943" s="33"/>
      <c r="H2943" s="33" t="s">
        <v>40</v>
      </c>
      <c r="I2943" s="33"/>
      <c r="J2943" s="35">
        <v>332</v>
      </c>
      <c r="K2943" s="33"/>
      <c r="L2943" s="35">
        <v>20</v>
      </c>
      <c r="M2943" s="35">
        <v>200</v>
      </c>
      <c r="N2943" s="35">
        <v>20</v>
      </c>
      <c r="O2943" s="36">
        <v>257.7</v>
      </c>
      <c r="P2943" s="36">
        <v>211.23</v>
      </c>
      <c r="Q2943" s="36">
        <v>180.39</v>
      </c>
      <c r="R2943" s="36">
        <v>147.86000000000001</v>
      </c>
      <c r="S2943" s="36">
        <v>175.24</v>
      </c>
      <c r="T2943" s="36">
        <v>143.63999999999999</v>
      </c>
      <c r="U2943" s="34"/>
      <c r="V2943" s="34"/>
      <c r="W2943" s="34"/>
      <c r="X2943" s="37">
        <v>8.2000000000000003E-2</v>
      </c>
      <c r="Y2943" s="38">
        <v>1.4999999999999999E-4</v>
      </c>
      <c r="Z2943" s="21">
        <v>4601004192881</v>
      </c>
    </row>
    <row r="2944" spans="1:26" ht="12" customHeight="1" outlineLevel="3" x14ac:dyDescent="0.2">
      <c r="A2944" s="32" t="s">
        <v>5755</v>
      </c>
      <c r="B2944" s="74" t="s">
        <v>5756</v>
      </c>
      <c r="C2944" s="50"/>
      <c r="D2944" s="53">
        <f t="shared" si="45"/>
        <v>0</v>
      </c>
      <c r="E2944" s="60" t="str">
        <f>HYPERLINK("https://www.sds-group.ru/product/shina-n-nulevaya-8h12mm-na-dvuh-uglovyh-sinih-izolyatorah-16-grupp-rexant-11-2337/", "Инфо")</f>
        <v>Инфо</v>
      </c>
      <c r="F2944" s="34" t="s">
        <v>39</v>
      </c>
      <c r="G2944" s="33"/>
      <c r="H2944" s="33" t="s">
        <v>40</v>
      </c>
      <c r="I2944" s="33"/>
      <c r="J2944" s="35">
        <v>170</v>
      </c>
      <c r="K2944" s="33"/>
      <c r="L2944" s="35">
        <v>20</v>
      </c>
      <c r="M2944" s="35">
        <v>100</v>
      </c>
      <c r="N2944" s="35">
        <v>20</v>
      </c>
      <c r="O2944" s="36">
        <v>379.71</v>
      </c>
      <c r="P2944" s="36">
        <v>311.24</v>
      </c>
      <c r="Q2944" s="36">
        <v>265.8</v>
      </c>
      <c r="R2944" s="36">
        <v>217.87</v>
      </c>
      <c r="S2944" s="36">
        <v>258.2</v>
      </c>
      <c r="T2944" s="36">
        <v>211.64</v>
      </c>
      <c r="U2944" s="34"/>
      <c r="V2944" s="34"/>
      <c r="W2944" s="34"/>
      <c r="X2944" s="37">
        <v>0.104</v>
      </c>
      <c r="Y2944" s="38">
        <v>1.6100000000000001E-4</v>
      </c>
      <c r="Z2944" s="21">
        <v>4601004192928</v>
      </c>
    </row>
    <row r="2945" spans="1:26" ht="12" customHeight="1" outlineLevel="3" x14ac:dyDescent="0.2">
      <c r="A2945" s="14" t="s">
        <v>5757</v>
      </c>
      <c r="B2945" s="26" t="s">
        <v>5758</v>
      </c>
      <c r="C2945" s="52"/>
      <c r="D2945" s="55">
        <f t="shared" si="45"/>
        <v>0</v>
      </c>
      <c r="E2945" s="63" t="str">
        <f>HYPERLINK("https://www.sds-group.ru/product/shina-n-nulevaya-v-kombinirovannom-sinem-izolyatore-na-din-reyku-8x12mm-10-grupp-rexant-11-2316/", "Инфо")</f>
        <v>Инфо</v>
      </c>
      <c r="F2945" s="16" t="s">
        <v>39</v>
      </c>
      <c r="G2945" s="15"/>
      <c r="H2945" s="15"/>
      <c r="I2945" s="15"/>
      <c r="J2945" s="16" t="s">
        <v>100</v>
      </c>
      <c r="K2945" s="15" t="s">
        <v>1650</v>
      </c>
      <c r="L2945" s="17">
        <v>10</v>
      </c>
      <c r="M2945" s="17">
        <v>300</v>
      </c>
      <c r="N2945" s="17">
        <v>10</v>
      </c>
      <c r="O2945" s="18">
        <v>253.8</v>
      </c>
      <c r="P2945" s="18">
        <v>208.03</v>
      </c>
      <c r="Q2945" s="18">
        <v>215.73</v>
      </c>
      <c r="R2945" s="18">
        <v>176.83</v>
      </c>
      <c r="S2945" s="18">
        <v>172.58</v>
      </c>
      <c r="T2945" s="18">
        <v>141.46</v>
      </c>
      <c r="U2945" s="16"/>
      <c r="V2945" s="16"/>
      <c r="W2945" s="16" t="s">
        <v>40</v>
      </c>
      <c r="X2945" s="19">
        <v>6.9000000000000006E-2</v>
      </c>
      <c r="Y2945" s="20">
        <v>6.7999999999999999E-5</v>
      </c>
      <c r="Z2945" s="21">
        <v>4601004192522</v>
      </c>
    </row>
    <row r="2946" spans="1:26" ht="12" customHeight="1" outlineLevel="3" x14ac:dyDescent="0.2">
      <c r="A2946" s="14" t="s">
        <v>5759</v>
      </c>
      <c r="B2946" s="26" t="s">
        <v>5760</v>
      </c>
      <c r="C2946" s="52"/>
      <c r="D2946" s="55">
        <f t="shared" si="45"/>
        <v>0</v>
      </c>
      <c r="E2946" s="63" t="str">
        <f>HYPERLINK("https://www.sds-group.ru/product/shina-n-nulevaya-v-kombinirovannom-sinem-izolyatore-na-din-reyku-8x12mm-12-grupp-rexant-11-2318/", "Инфо")</f>
        <v>Инфо</v>
      </c>
      <c r="F2946" s="16" t="s">
        <v>39</v>
      </c>
      <c r="G2946" s="15"/>
      <c r="H2946" s="15"/>
      <c r="I2946" s="15"/>
      <c r="J2946" s="17">
        <v>60</v>
      </c>
      <c r="K2946" s="15" t="s">
        <v>1650</v>
      </c>
      <c r="L2946" s="17">
        <v>10</v>
      </c>
      <c r="M2946" s="17">
        <v>300</v>
      </c>
      <c r="N2946" s="17">
        <v>10</v>
      </c>
      <c r="O2946" s="18">
        <v>321.57</v>
      </c>
      <c r="P2946" s="18">
        <v>263.58</v>
      </c>
      <c r="Q2946" s="18">
        <v>273.33</v>
      </c>
      <c r="R2946" s="18">
        <v>224.04</v>
      </c>
      <c r="S2946" s="18">
        <v>218.67</v>
      </c>
      <c r="T2946" s="18">
        <v>179.24</v>
      </c>
      <c r="U2946" s="16"/>
      <c r="V2946" s="16"/>
      <c r="W2946" s="16" t="s">
        <v>40</v>
      </c>
      <c r="X2946" s="19">
        <v>8.1000000000000003E-2</v>
      </c>
      <c r="Y2946" s="20">
        <v>8.0000000000000007E-5</v>
      </c>
      <c r="Z2946" s="21">
        <v>4601004192546</v>
      </c>
    </row>
    <row r="2947" spans="1:26" ht="12" customHeight="1" outlineLevel="3" x14ac:dyDescent="0.2">
      <c r="A2947" s="14" t="s">
        <v>5761</v>
      </c>
      <c r="B2947" s="26" t="s">
        <v>5762</v>
      </c>
      <c r="C2947" s="52"/>
      <c r="D2947" s="55">
        <f t="shared" si="45"/>
        <v>0</v>
      </c>
      <c r="E2947" s="63" t="str">
        <f>HYPERLINK("https://www.sds-group.ru/product/shina-n-nulevaya-v-kombinirovannom-sinem-izolyatore-na-din-reyku-8x12mm-14-grupp-rexant-11-2319/", "Инфо")</f>
        <v>Инфо</v>
      </c>
      <c r="F2947" s="16" t="s">
        <v>39</v>
      </c>
      <c r="G2947" s="15"/>
      <c r="H2947" s="15"/>
      <c r="I2947" s="15"/>
      <c r="J2947" s="17">
        <v>760</v>
      </c>
      <c r="K2947" s="15" t="s">
        <v>1665</v>
      </c>
      <c r="L2947" s="17">
        <v>10</v>
      </c>
      <c r="M2947" s="17">
        <v>150</v>
      </c>
      <c r="N2947" s="17">
        <v>10</v>
      </c>
      <c r="O2947" s="18">
        <v>416.09</v>
      </c>
      <c r="P2947" s="18">
        <v>341.06</v>
      </c>
      <c r="Q2947" s="18">
        <v>332.87</v>
      </c>
      <c r="R2947" s="18">
        <v>272.83999999999997</v>
      </c>
      <c r="S2947" s="18">
        <v>282.94</v>
      </c>
      <c r="T2947" s="18">
        <v>231.92</v>
      </c>
      <c r="U2947" s="16"/>
      <c r="V2947" s="16"/>
      <c r="W2947" s="16" t="s">
        <v>40</v>
      </c>
      <c r="X2947" s="19">
        <v>9.4E-2</v>
      </c>
      <c r="Y2947" s="20">
        <v>9.3999999999999994E-5</v>
      </c>
      <c r="Z2947" s="21">
        <v>4601004192560</v>
      </c>
    </row>
    <row r="2948" spans="1:26" ht="12" customHeight="1" outlineLevel="3" x14ac:dyDescent="0.2">
      <c r="A2948" s="14" t="s">
        <v>5763</v>
      </c>
      <c r="B2948" s="26" t="s">
        <v>5764</v>
      </c>
      <c r="C2948" s="52"/>
      <c r="D2948" s="55">
        <f t="shared" si="45"/>
        <v>0</v>
      </c>
      <c r="E2948" s="63" t="str">
        <f>HYPERLINK("https://www.sds-group.ru/product/shina-n-nulevaya-v-kombinirovannom-sinem-izolyatore-na-din-reyku-8x12mm-16-grupp-rexant-11-2320/", "Инфо")</f>
        <v>Инфо</v>
      </c>
      <c r="F2948" s="16" t="s">
        <v>39</v>
      </c>
      <c r="G2948" s="15"/>
      <c r="H2948" s="15"/>
      <c r="I2948" s="15"/>
      <c r="J2948" s="16" t="s">
        <v>100</v>
      </c>
      <c r="K2948" s="15" t="s">
        <v>1650</v>
      </c>
      <c r="L2948" s="17">
        <v>10</v>
      </c>
      <c r="M2948" s="17">
        <v>300</v>
      </c>
      <c r="N2948" s="17">
        <v>10</v>
      </c>
      <c r="O2948" s="18">
        <v>464.91</v>
      </c>
      <c r="P2948" s="18">
        <v>381.07</v>
      </c>
      <c r="Q2948" s="18">
        <v>371.93</v>
      </c>
      <c r="R2948" s="18">
        <v>304.86</v>
      </c>
      <c r="S2948" s="18">
        <v>316.14</v>
      </c>
      <c r="T2948" s="18">
        <v>259.13</v>
      </c>
      <c r="U2948" s="16"/>
      <c r="V2948" s="16"/>
      <c r="W2948" s="16" t="s">
        <v>40</v>
      </c>
      <c r="X2948" s="19">
        <v>0.10299999999999999</v>
      </c>
      <c r="Y2948" s="20">
        <v>9.6000000000000002E-5</v>
      </c>
      <c r="Z2948" s="21">
        <v>4601004192584</v>
      </c>
    </row>
    <row r="2949" spans="1:26" ht="12" customHeight="1" outlineLevel="3" x14ac:dyDescent="0.2">
      <c r="A2949" s="14" t="s">
        <v>5765</v>
      </c>
      <c r="B2949" s="26" t="s">
        <v>5766</v>
      </c>
      <c r="C2949" s="52"/>
      <c r="D2949" s="55">
        <f t="shared" si="45"/>
        <v>0</v>
      </c>
      <c r="E2949" s="63" t="str">
        <f>HYPERLINK("https://www.sds-group.ru/product/shina-n-nulevaya-v-kombinirovannom-sinem-izolyatore-na-din-reyku-8x12mm-6-grupp-rexant-11-2312/", "Инфо")</f>
        <v>Инфо</v>
      </c>
      <c r="F2949" s="16" t="s">
        <v>39</v>
      </c>
      <c r="G2949" s="15"/>
      <c r="H2949" s="15"/>
      <c r="I2949" s="15"/>
      <c r="J2949" s="16" t="s">
        <v>100</v>
      </c>
      <c r="K2949" s="15" t="s">
        <v>1650</v>
      </c>
      <c r="L2949" s="17">
        <v>10</v>
      </c>
      <c r="M2949" s="17">
        <v>500</v>
      </c>
      <c r="N2949" s="17">
        <v>10</v>
      </c>
      <c r="O2949" s="18">
        <v>189.71</v>
      </c>
      <c r="P2949" s="18">
        <v>155.5</v>
      </c>
      <c r="Q2949" s="18">
        <v>161.25</v>
      </c>
      <c r="R2949" s="18">
        <v>132.16999999999999</v>
      </c>
      <c r="S2949" s="18">
        <v>129</v>
      </c>
      <c r="T2949" s="18">
        <v>105.74</v>
      </c>
      <c r="U2949" s="16"/>
      <c r="V2949" s="16"/>
      <c r="W2949" s="16" t="s">
        <v>40</v>
      </c>
      <c r="X2949" s="19">
        <v>4.4999999999999998E-2</v>
      </c>
      <c r="Y2949" s="20">
        <v>5.1999999999999997E-5</v>
      </c>
      <c r="Z2949" s="21">
        <v>4601004192485</v>
      </c>
    </row>
    <row r="2950" spans="1:26" ht="12" customHeight="1" outlineLevel="3" x14ac:dyDescent="0.2">
      <c r="A2950" s="14" t="s">
        <v>5767</v>
      </c>
      <c r="B2950" s="26" t="s">
        <v>5768</v>
      </c>
      <c r="C2950" s="52"/>
      <c r="D2950" s="55">
        <f t="shared" si="45"/>
        <v>0</v>
      </c>
      <c r="E2950" s="63" t="str">
        <f>HYPERLINK("https://www.sds-group.ru/product/shina-n-nulevaya-v-kombinirovannom-sinem-izolyatore-na-din-reyku-8x12mm-8-grupp-rexant-11-2314/", "Инфо")</f>
        <v>Инфо</v>
      </c>
      <c r="F2950" s="16" t="s">
        <v>39</v>
      </c>
      <c r="G2950" s="15"/>
      <c r="H2950" s="15"/>
      <c r="I2950" s="15"/>
      <c r="J2950" s="16" t="s">
        <v>100</v>
      </c>
      <c r="K2950" s="15" t="s">
        <v>1650</v>
      </c>
      <c r="L2950" s="17">
        <v>10</v>
      </c>
      <c r="M2950" s="17">
        <v>300</v>
      </c>
      <c r="N2950" s="17">
        <v>10</v>
      </c>
      <c r="O2950" s="18">
        <v>201.23</v>
      </c>
      <c r="P2950" s="18">
        <v>164.94</v>
      </c>
      <c r="Q2950" s="18">
        <v>171.05</v>
      </c>
      <c r="R2950" s="18">
        <v>140.19999999999999</v>
      </c>
      <c r="S2950" s="18">
        <v>136.84</v>
      </c>
      <c r="T2950" s="18">
        <v>112.16</v>
      </c>
      <c r="U2950" s="16"/>
      <c r="V2950" s="16"/>
      <c r="W2950" s="16" t="s">
        <v>40</v>
      </c>
      <c r="X2950" s="19">
        <v>5.6000000000000001E-2</v>
      </c>
      <c r="Y2950" s="20">
        <v>6.6000000000000005E-5</v>
      </c>
      <c r="Z2950" s="21">
        <v>4601004192508</v>
      </c>
    </row>
    <row r="2951" spans="1:26" ht="12" customHeight="1" outlineLevel="3" x14ac:dyDescent="0.2">
      <c r="A2951" s="14" t="s">
        <v>5769</v>
      </c>
      <c r="B2951" s="26" t="s">
        <v>5770</v>
      </c>
      <c r="C2951" s="52"/>
      <c r="D2951" s="55">
        <f t="shared" si="45"/>
        <v>0</v>
      </c>
      <c r="E2951" s="63" t="str">
        <f>HYPERLINK("https://www.sds-group.ru/product/shina-n-nulevaya-s-sinim-izolyatorom-na-din-reyku-6x9mm-stoyka-bol-10-grupp-rexant-11-2341/", "Инфо")</f>
        <v>Инфо</v>
      </c>
      <c r="F2951" s="16" t="s">
        <v>39</v>
      </c>
      <c r="G2951" s="15"/>
      <c r="H2951" s="15"/>
      <c r="I2951" s="15"/>
      <c r="J2951" s="16" t="s">
        <v>100</v>
      </c>
      <c r="K2951" s="15" t="s">
        <v>1650</v>
      </c>
      <c r="L2951" s="17">
        <v>20</v>
      </c>
      <c r="M2951" s="17">
        <v>300</v>
      </c>
      <c r="N2951" s="17">
        <v>20</v>
      </c>
      <c r="O2951" s="18">
        <v>131.24</v>
      </c>
      <c r="P2951" s="18">
        <v>107.57</v>
      </c>
      <c r="Q2951" s="18">
        <v>111.55</v>
      </c>
      <c r="R2951" s="18">
        <v>91.43</v>
      </c>
      <c r="S2951" s="18">
        <v>89.24</v>
      </c>
      <c r="T2951" s="18">
        <v>73.150000000000006</v>
      </c>
      <c r="U2951" s="16"/>
      <c r="V2951" s="16"/>
      <c r="W2951" s="16" t="s">
        <v>40</v>
      </c>
      <c r="X2951" s="19">
        <v>4.4999999999999998E-2</v>
      </c>
      <c r="Y2951" s="20">
        <v>6.0999999999999999E-5</v>
      </c>
      <c r="Z2951" s="21">
        <v>4601004193000</v>
      </c>
    </row>
    <row r="2952" spans="1:26" ht="12" customHeight="1" outlineLevel="3" x14ac:dyDescent="0.2">
      <c r="A2952" s="14" t="s">
        <v>5771</v>
      </c>
      <c r="B2952" s="26" t="s">
        <v>5772</v>
      </c>
      <c r="C2952" s="52"/>
      <c r="D2952" s="55">
        <f t="shared" si="45"/>
        <v>0</v>
      </c>
      <c r="E2952" s="63" t="str">
        <f>HYPERLINK("https://www.sds-group.ru/product/shina-n-nulevaya-s-sinim-izolyatorom-na-din-reyku-6x9mm-stoyka-bol-12-grupp-rexant-11-2342/", "Инфо")</f>
        <v>Инфо</v>
      </c>
      <c r="F2952" s="16" t="s">
        <v>39</v>
      </c>
      <c r="G2952" s="15"/>
      <c r="H2952" s="15"/>
      <c r="I2952" s="15"/>
      <c r="J2952" s="16" t="s">
        <v>100</v>
      </c>
      <c r="K2952" s="15" t="s">
        <v>1650</v>
      </c>
      <c r="L2952" s="17">
        <v>20</v>
      </c>
      <c r="M2952" s="17">
        <v>300</v>
      </c>
      <c r="N2952" s="17">
        <v>20</v>
      </c>
      <c r="O2952" s="18">
        <v>149.53</v>
      </c>
      <c r="P2952" s="18">
        <v>122.57</v>
      </c>
      <c r="Q2952" s="18">
        <v>127.1</v>
      </c>
      <c r="R2952" s="18">
        <v>104.18</v>
      </c>
      <c r="S2952" s="18">
        <v>101.68</v>
      </c>
      <c r="T2952" s="18">
        <v>83.34</v>
      </c>
      <c r="U2952" s="16"/>
      <c r="V2952" s="16"/>
      <c r="W2952" s="16" t="s">
        <v>40</v>
      </c>
      <c r="X2952" s="19">
        <v>4.9000000000000002E-2</v>
      </c>
      <c r="Y2952" s="20">
        <v>6.8999999999999997E-5</v>
      </c>
      <c r="Z2952" s="21">
        <v>4601004193024</v>
      </c>
    </row>
    <row r="2953" spans="1:26" ht="12" customHeight="1" outlineLevel="3" x14ac:dyDescent="0.2">
      <c r="A2953" s="14" t="s">
        <v>5773</v>
      </c>
      <c r="B2953" s="26" t="s">
        <v>5774</v>
      </c>
      <c r="C2953" s="52"/>
      <c r="D2953" s="55">
        <f t="shared" ref="D2953:D3016" si="46">C2953*(O2953-O2953*$G$3)</f>
        <v>0</v>
      </c>
      <c r="E2953" s="63" t="str">
        <f>HYPERLINK("https://www.sds-group.ru/product/shina-n-nulevaya-s-sinim-izolyatorom-na-din-reyku-6x9mm-stoyka-bol-14-grupp-rexant-11-2343/", "Инфо")</f>
        <v>Инфо</v>
      </c>
      <c r="F2953" s="16" t="s">
        <v>39</v>
      </c>
      <c r="G2953" s="15"/>
      <c r="H2953" s="15"/>
      <c r="I2953" s="15"/>
      <c r="J2953" s="17">
        <v>5</v>
      </c>
      <c r="K2953" s="15" t="s">
        <v>210</v>
      </c>
      <c r="L2953" s="17">
        <v>20</v>
      </c>
      <c r="M2953" s="17">
        <v>200</v>
      </c>
      <c r="N2953" s="17">
        <v>20</v>
      </c>
      <c r="O2953" s="18">
        <v>143.57</v>
      </c>
      <c r="P2953" s="18">
        <v>117.68</v>
      </c>
      <c r="Q2953" s="18">
        <v>122.03</v>
      </c>
      <c r="R2953" s="18">
        <v>100.02</v>
      </c>
      <c r="S2953" s="18">
        <v>97.63</v>
      </c>
      <c r="T2953" s="18">
        <v>80.02</v>
      </c>
      <c r="U2953" s="16"/>
      <c r="V2953" s="16"/>
      <c r="W2953" s="16" t="s">
        <v>40</v>
      </c>
      <c r="X2953" s="19">
        <v>5.5E-2</v>
      </c>
      <c r="Y2953" s="20">
        <v>7.8999999999999996E-5</v>
      </c>
      <c r="Z2953" s="21">
        <v>4601004193048</v>
      </c>
    </row>
    <row r="2954" spans="1:26" ht="12" customHeight="1" outlineLevel="3" x14ac:dyDescent="0.2">
      <c r="A2954" s="14" t="s">
        <v>5775</v>
      </c>
      <c r="B2954" s="26" t="s">
        <v>5776</v>
      </c>
      <c r="C2954" s="52"/>
      <c r="D2954" s="55">
        <f t="shared" si="46"/>
        <v>0</v>
      </c>
      <c r="E2954" s="63" t="str">
        <f>HYPERLINK("https://www.sds-group.ru/product/shina-n-nulevaya-s-sinim-izolyatorom-na-din-reyku-6x9mm-stoyka-bol-16-grupp-rexant-11-2344/", "Инфо")</f>
        <v>Инфо</v>
      </c>
      <c r="F2954" s="16" t="s">
        <v>39</v>
      </c>
      <c r="G2954" s="15"/>
      <c r="H2954" s="15"/>
      <c r="I2954" s="15"/>
      <c r="J2954" s="17">
        <v>94</v>
      </c>
      <c r="K2954" s="15" t="s">
        <v>1650</v>
      </c>
      <c r="L2954" s="17">
        <v>20</v>
      </c>
      <c r="M2954" s="17">
        <v>200</v>
      </c>
      <c r="N2954" s="17">
        <v>20</v>
      </c>
      <c r="O2954" s="18">
        <v>207.94</v>
      </c>
      <c r="P2954" s="18">
        <v>170.44</v>
      </c>
      <c r="Q2954" s="18">
        <v>176.75</v>
      </c>
      <c r="R2954" s="18">
        <v>144.88</v>
      </c>
      <c r="S2954" s="18">
        <v>141.4</v>
      </c>
      <c r="T2954" s="18">
        <v>115.9</v>
      </c>
      <c r="U2954" s="16"/>
      <c r="V2954" s="16"/>
      <c r="W2954" s="16" t="s">
        <v>40</v>
      </c>
      <c r="X2954" s="19">
        <v>6.2E-2</v>
      </c>
      <c r="Y2954" s="20">
        <v>7.4999999999999993E-5</v>
      </c>
      <c r="Z2954" s="21">
        <v>4601004193062</v>
      </c>
    </row>
    <row r="2955" spans="1:26" ht="12" customHeight="1" outlineLevel="3" x14ac:dyDescent="0.2">
      <c r="A2955" s="14" t="s">
        <v>5777</v>
      </c>
      <c r="B2955" s="26" t="s">
        <v>5778</v>
      </c>
      <c r="C2955" s="52"/>
      <c r="D2955" s="55">
        <f t="shared" si="46"/>
        <v>0</v>
      </c>
      <c r="E2955" s="63" t="str">
        <f>HYPERLINK("https://www.sds-group.ru/product/shina-n-nulevaya-s-sinim-izolyatorom-na-din-reyku-6x9mm-stoyka-bol-4-gruppy-rexant-11-2338/", "Инфо")</f>
        <v>Инфо</v>
      </c>
      <c r="F2955" s="16" t="s">
        <v>39</v>
      </c>
      <c r="G2955" s="15"/>
      <c r="H2955" s="15"/>
      <c r="I2955" s="15"/>
      <c r="J2955" s="16" t="s">
        <v>100</v>
      </c>
      <c r="K2955" s="15" t="s">
        <v>1665</v>
      </c>
      <c r="L2955" s="17">
        <v>20</v>
      </c>
      <c r="M2955" s="17">
        <v>500</v>
      </c>
      <c r="N2955" s="17">
        <v>20</v>
      </c>
      <c r="O2955" s="18">
        <v>78.650000000000006</v>
      </c>
      <c r="P2955" s="18">
        <v>64.47</v>
      </c>
      <c r="Q2955" s="18">
        <v>55.06</v>
      </c>
      <c r="R2955" s="18">
        <v>45.13</v>
      </c>
      <c r="S2955" s="18">
        <v>53.48</v>
      </c>
      <c r="T2955" s="18">
        <v>43.84</v>
      </c>
      <c r="U2955" s="16"/>
      <c r="V2955" s="16"/>
      <c r="W2955" s="16"/>
      <c r="X2955" s="19">
        <v>2.1999999999999999E-2</v>
      </c>
      <c r="Y2955" s="20">
        <v>2.0000000000000002E-5</v>
      </c>
      <c r="Z2955" s="21">
        <v>4601004192942</v>
      </c>
    </row>
    <row r="2956" spans="1:26" ht="12" customHeight="1" outlineLevel="3" x14ac:dyDescent="0.2">
      <c r="A2956" s="14" t="s">
        <v>5779</v>
      </c>
      <c r="B2956" s="26" t="s">
        <v>5780</v>
      </c>
      <c r="C2956" s="52"/>
      <c r="D2956" s="55">
        <f t="shared" si="46"/>
        <v>0</v>
      </c>
      <c r="E2956" s="63" t="str">
        <f>HYPERLINK("https://www.sds-group.ru/product/shina-n-nulevaya-s-sinim-izolyatorom-na-din-reyku-6x9mm-stoyka-bol-6-grupp-rexant-11-2339/", "Инфо")</f>
        <v>Инфо</v>
      </c>
      <c r="F2956" s="16" t="s">
        <v>39</v>
      </c>
      <c r="G2956" s="15"/>
      <c r="H2956" s="15"/>
      <c r="I2956" s="15"/>
      <c r="J2956" s="16" t="s">
        <v>100</v>
      </c>
      <c r="K2956" s="15" t="s">
        <v>1650</v>
      </c>
      <c r="L2956" s="17">
        <v>20</v>
      </c>
      <c r="M2956" s="17">
        <v>500</v>
      </c>
      <c r="N2956" s="17">
        <v>20</v>
      </c>
      <c r="O2956" s="18">
        <v>103.45</v>
      </c>
      <c r="P2956" s="18">
        <v>84.8</v>
      </c>
      <c r="Q2956" s="18">
        <v>87.93</v>
      </c>
      <c r="R2956" s="18">
        <v>72.069999999999993</v>
      </c>
      <c r="S2956" s="18">
        <v>70.349999999999994</v>
      </c>
      <c r="T2956" s="18">
        <v>57.66</v>
      </c>
      <c r="U2956" s="16"/>
      <c r="V2956" s="16"/>
      <c r="W2956" s="16" t="s">
        <v>40</v>
      </c>
      <c r="X2956" s="19">
        <v>3.4000000000000002E-2</v>
      </c>
      <c r="Y2956" s="20">
        <v>5.8999999999999998E-5</v>
      </c>
      <c r="Z2956" s="21">
        <v>4601004192966</v>
      </c>
    </row>
    <row r="2957" spans="1:26" ht="12" customHeight="1" outlineLevel="3" x14ac:dyDescent="0.2">
      <c r="A2957" s="14" t="s">
        <v>5781</v>
      </c>
      <c r="B2957" s="26" t="s">
        <v>5782</v>
      </c>
      <c r="C2957" s="52"/>
      <c r="D2957" s="55">
        <f t="shared" si="46"/>
        <v>0</v>
      </c>
      <c r="E2957" s="63" t="str">
        <f>HYPERLINK("https://www.sds-group.ru/product/shina-n-nulevaya-s-sinim-izolyatorom-na-din-reyku-6x9mm-stoyka-bol-8-grupp-rexant-11-2340/", "Инфо")</f>
        <v>Инфо</v>
      </c>
      <c r="F2957" s="16" t="s">
        <v>39</v>
      </c>
      <c r="G2957" s="15"/>
      <c r="H2957" s="15"/>
      <c r="I2957" s="15"/>
      <c r="J2957" s="16" t="s">
        <v>100</v>
      </c>
      <c r="K2957" s="15" t="s">
        <v>1650</v>
      </c>
      <c r="L2957" s="17">
        <v>20</v>
      </c>
      <c r="M2957" s="17">
        <v>400</v>
      </c>
      <c r="N2957" s="17">
        <v>20</v>
      </c>
      <c r="O2957" s="18">
        <v>119.55</v>
      </c>
      <c r="P2957" s="18">
        <v>97.99</v>
      </c>
      <c r="Q2957" s="18">
        <v>101.62</v>
      </c>
      <c r="R2957" s="18">
        <v>83.3</v>
      </c>
      <c r="S2957" s="18">
        <v>81.290000000000006</v>
      </c>
      <c r="T2957" s="18">
        <v>66.63</v>
      </c>
      <c r="U2957" s="16"/>
      <c r="V2957" s="16"/>
      <c r="W2957" s="16" t="s">
        <v>40</v>
      </c>
      <c r="X2957" s="19">
        <v>3.9E-2</v>
      </c>
      <c r="Y2957" s="20">
        <v>6.0000000000000002E-5</v>
      </c>
      <c r="Z2957" s="21">
        <v>4601004192980</v>
      </c>
    </row>
    <row r="2958" spans="1:26" ht="12" customHeight="1" outlineLevel="3" x14ac:dyDescent="0.2">
      <c r="A2958" s="14" t="s">
        <v>5783</v>
      </c>
      <c r="B2958" s="26" t="s">
        <v>5784</v>
      </c>
      <c r="C2958" s="52"/>
      <c r="D2958" s="55">
        <f t="shared" si="46"/>
        <v>0</v>
      </c>
      <c r="E2958" s="63" t="str">
        <f>HYPERLINK("https://www.sds-group.ru/product/shina-n-nulevaya-s-sinim-izolyatorom-na-din-reyku-8x12mm-stoyka-bol-12-grupp-rexant-11-2349/", "Инфо")</f>
        <v>Инфо</v>
      </c>
      <c r="F2958" s="16" t="s">
        <v>39</v>
      </c>
      <c r="G2958" s="15"/>
      <c r="H2958" s="15"/>
      <c r="I2958" s="15"/>
      <c r="J2958" s="16" t="s">
        <v>100</v>
      </c>
      <c r="K2958" s="15" t="s">
        <v>1650</v>
      </c>
      <c r="L2958" s="17">
        <v>20</v>
      </c>
      <c r="M2958" s="17">
        <v>250</v>
      </c>
      <c r="N2958" s="17">
        <v>20</v>
      </c>
      <c r="O2958" s="18">
        <v>382.83</v>
      </c>
      <c r="P2958" s="18">
        <v>313.8</v>
      </c>
      <c r="Q2958" s="18">
        <v>306.26</v>
      </c>
      <c r="R2958" s="18">
        <v>251.03</v>
      </c>
      <c r="S2958" s="18">
        <v>260.32</v>
      </c>
      <c r="T2958" s="18">
        <v>213.38</v>
      </c>
      <c r="U2958" s="16"/>
      <c r="V2958" s="16"/>
      <c r="W2958" s="16" t="s">
        <v>40</v>
      </c>
      <c r="X2958" s="19">
        <v>8.5000000000000006E-2</v>
      </c>
      <c r="Y2958" s="20">
        <v>9.2999999999999997E-5</v>
      </c>
      <c r="Z2958" s="21">
        <v>4601004193161</v>
      </c>
    </row>
    <row r="2959" spans="1:26" ht="12" customHeight="1" outlineLevel="3" x14ac:dyDescent="0.2">
      <c r="A2959" s="14" t="s">
        <v>5785</v>
      </c>
      <c r="B2959" s="26" t="s">
        <v>5786</v>
      </c>
      <c r="C2959" s="52"/>
      <c r="D2959" s="55">
        <f t="shared" si="46"/>
        <v>0</v>
      </c>
      <c r="E2959" s="63" t="str">
        <f>HYPERLINK("https://www.sds-group.ru/product/shina-n-nulevaya-s-sinim-izolyatorom-na-din-reyku-8x12mm-stoyka-bol-14-grupp-rexant-11-2350/", "Инфо")</f>
        <v>Инфо</v>
      </c>
      <c r="F2959" s="16" t="s">
        <v>39</v>
      </c>
      <c r="G2959" s="15"/>
      <c r="H2959" s="15"/>
      <c r="I2959" s="15"/>
      <c r="J2959" s="17">
        <v>199</v>
      </c>
      <c r="K2959" s="15" t="s">
        <v>2924</v>
      </c>
      <c r="L2959" s="17">
        <v>20</v>
      </c>
      <c r="M2959" s="17">
        <v>120</v>
      </c>
      <c r="N2959" s="17">
        <v>20</v>
      </c>
      <c r="O2959" s="18">
        <v>356.54</v>
      </c>
      <c r="P2959" s="18">
        <v>292.25</v>
      </c>
      <c r="Q2959" s="18">
        <v>303.06</v>
      </c>
      <c r="R2959" s="18">
        <v>248.41</v>
      </c>
      <c r="S2959" s="18">
        <v>242.45</v>
      </c>
      <c r="T2959" s="18">
        <v>198.73</v>
      </c>
      <c r="U2959" s="16"/>
      <c r="V2959" s="16"/>
      <c r="W2959" s="16" t="s">
        <v>40</v>
      </c>
      <c r="X2959" s="19">
        <v>9.5000000000000001E-2</v>
      </c>
      <c r="Y2959" s="20">
        <v>5.8999999999999998E-5</v>
      </c>
      <c r="Z2959" s="21">
        <v>4601004193185</v>
      </c>
    </row>
    <row r="2960" spans="1:26" ht="12" customHeight="1" outlineLevel="3" x14ac:dyDescent="0.2">
      <c r="A2960" s="14" t="s">
        <v>5787</v>
      </c>
      <c r="B2960" s="26" t="s">
        <v>5788</v>
      </c>
      <c r="C2960" s="52"/>
      <c r="D2960" s="55">
        <f t="shared" si="46"/>
        <v>0</v>
      </c>
      <c r="E2960" s="63" t="str">
        <f>HYPERLINK("https://www.sds-group.ru/product/shina-n-nulevaya-s-sinim-izolyatorom-na-din-reyku-8x12mm-stoyka-bol-16-grupp-rexant-11-2351/", "Инфо")</f>
        <v>Инфо</v>
      </c>
      <c r="F2960" s="16" t="s">
        <v>39</v>
      </c>
      <c r="G2960" s="15"/>
      <c r="H2960" s="15"/>
      <c r="I2960" s="15"/>
      <c r="J2960" s="16" t="s">
        <v>100</v>
      </c>
      <c r="K2960" s="15" t="s">
        <v>210</v>
      </c>
      <c r="L2960" s="17">
        <v>20</v>
      </c>
      <c r="M2960" s="17">
        <v>260</v>
      </c>
      <c r="N2960" s="17">
        <v>20</v>
      </c>
      <c r="O2960" s="18">
        <v>486.02</v>
      </c>
      <c r="P2960" s="18">
        <v>398.38</v>
      </c>
      <c r="Q2960" s="18">
        <v>388.82</v>
      </c>
      <c r="R2960" s="18">
        <v>318.7</v>
      </c>
      <c r="S2960" s="18">
        <v>330.49</v>
      </c>
      <c r="T2960" s="18">
        <v>270.89</v>
      </c>
      <c r="U2960" s="16"/>
      <c r="V2960" s="16"/>
      <c r="W2960" s="16" t="s">
        <v>40</v>
      </c>
      <c r="X2960" s="19">
        <v>0.104</v>
      </c>
      <c r="Y2960" s="20">
        <v>7.7000000000000001E-5</v>
      </c>
      <c r="Z2960" s="21">
        <v>4601004193208</v>
      </c>
    </row>
    <row r="2961" spans="1:26" ht="12" customHeight="1" outlineLevel="3" x14ac:dyDescent="0.2">
      <c r="A2961" s="32" t="s">
        <v>5789</v>
      </c>
      <c r="B2961" s="74" t="s">
        <v>5790</v>
      </c>
      <c r="C2961" s="50"/>
      <c r="D2961" s="53">
        <f t="shared" si="46"/>
        <v>0</v>
      </c>
      <c r="E2961" s="60" t="str">
        <f>HYPERLINK("https://www.sds-group.ru/product/shina-n-nulevaya-s-sinim-izolyatorom-na-din-reyku-8x12mm-stoyka-bol-4-gruppy-rexant-11-2345/", "Инфо")</f>
        <v>Инфо</v>
      </c>
      <c r="F2961" s="34" t="s">
        <v>39</v>
      </c>
      <c r="G2961" s="33"/>
      <c r="H2961" s="33" t="s">
        <v>40</v>
      </c>
      <c r="I2961" s="33"/>
      <c r="J2961" s="35">
        <v>62</v>
      </c>
      <c r="K2961" s="33"/>
      <c r="L2961" s="35">
        <v>20</v>
      </c>
      <c r="M2961" s="35">
        <v>160</v>
      </c>
      <c r="N2961" s="35">
        <v>20</v>
      </c>
      <c r="O2961" s="36">
        <v>158.77000000000001</v>
      </c>
      <c r="P2961" s="36">
        <v>130.13999999999999</v>
      </c>
      <c r="Q2961" s="36">
        <v>111.14</v>
      </c>
      <c r="R2961" s="36">
        <v>91.1</v>
      </c>
      <c r="S2961" s="36">
        <v>107.96</v>
      </c>
      <c r="T2961" s="36">
        <v>88.49</v>
      </c>
      <c r="U2961" s="34"/>
      <c r="V2961" s="34"/>
      <c r="W2961" s="34"/>
      <c r="X2961" s="37">
        <v>4.3999999999999997E-2</v>
      </c>
      <c r="Y2961" s="38">
        <v>5.0000000000000002E-5</v>
      </c>
      <c r="Z2961" s="21">
        <v>4601004193086</v>
      </c>
    </row>
    <row r="2962" spans="1:26" ht="12" customHeight="1" outlineLevel="3" x14ac:dyDescent="0.2">
      <c r="A2962" s="14" t="s">
        <v>5791</v>
      </c>
      <c r="B2962" s="26" t="s">
        <v>5792</v>
      </c>
      <c r="C2962" s="52"/>
      <c r="D2962" s="55">
        <f t="shared" si="46"/>
        <v>0</v>
      </c>
      <c r="E2962" s="63" t="str">
        <f>HYPERLINK("https://www.sds-group.ru/product/shina-n-nulevaya-s-sinim-izolyatorom-na-din-reyku-8x12mm-stoyka-bol-8-grupp-rexant-11-2347/", "Инфо")</f>
        <v>Инфо</v>
      </c>
      <c r="F2962" s="16" t="s">
        <v>39</v>
      </c>
      <c r="G2962" s="15"/>
      <c r="H2962" s="15"/>
      <c r="I2962" s="15"/>
      <c r="J2962" s="16" t="s">
        <v>100</v>
      </c>
      <c r="K2962" s="15" t="s">
        <v>2798</v>
      </c>
      <c r="L2962" s="17">
        <v>20</v>
      </c>
      <c r="M2962" s="17">
        <v>200</v>
      </c>
      <c r="N2962" s="17">
        <v>20</v>
      </c>
      <c r="O2962" s="18">
        <v>215.81</v>
      </c>
      <c r="P2962" s="18">
        <v>176.89</v>
      </c>
      <c r="Q2962" s="18">
        <v>183.44</v>
      </c>
      <c r="R2962" s="18">
        <v>150.36000000000001</v>
      </c>
      <c r="S2962" s="18">
        <v>146.75</v>
      </c>
      <c r="T2962" s="18">
        <v>120.29</v>
      </c>
      <c r="U2962" s="16"/>
      <c r="V2962" s="16"/>
      <c r="W2962" s="16" t="s">
        <v>40</v>
      </c>
      <c r="X2962" s="19">
        <v>6.2E-2</v>
      </c>
      <c r="Y2962" s="20">
        <v>7.7000000000000001E-5</v>
      </c>
      <c r="Z2962" s="21">
        <v>4601004193123</v>
      </c>
    </row>
    <row r="2963" spans="1:26" ht="12" customHeight="1" outlineLevel="3" x14ac:dyDescent="0.2">
      <c r="A2963" s="14" t="s">
        <v>5793</v>
      </c>
      <c r="B2963" s="26" t="s">
        <v>5794</v>
      </c>
      <c r="C2963" s="52"/>
      <c r="D2963" s="55">
        <f t="shared" si="46"/>
        <v>0</v>
      </c>
      <c r="E2963" s="63" t="str">
        <f>HYPERLINK("https://www.sds-group.ru/product/shina-n-nulevaya-s-sinim-izolyatorom-na-din-reyku-8h12mm-stoyka-bol-10-grupp-rexant-11-2348/", "Инфо")</f>
        <v>Инфо</v>
      </c>
      <c r="F2963" s="16" t="s">
        <v>39</v>
      </c>
      <c r="G2963" s="15"/>
      <c r="H2963" s="15"/>
      <c r="I2963" s="15"/>
      <c r="J2963" s="16" t="s">
        <v>100</v>
      </c>
      <c r="K2963" s="15" t="s">
        <v>210</v>
      </c>
      <c r="L2963" s="17">
        <v>5</v>
      </c>
      <c r="M2963" s="17">
        <v>200</v>
      </c>
      <c r="N2963" s="17">
        <v>5</v>
      </c>
      <c r="O2963" s="18">
        <v>273.55</v>
      </c>
      <c r="P2963" s="18">
        <v>224.22</v>
      </c>
      <c r="Q2963" s="18">
        <v>232.52</v>
      </c>
      <c r="R2963" s="18">
        <v>190.59</v>
      </c>
      <c r="S2963" s="18">
        <v>186.01</v>
      </c>
      <c r="T2963" s="18">
        <v>152.47</v>
      </c>
      <c r="U2963" s="16"/>
      <c r="V2963" s="16"/>
      <c r="W2963" s="16" t="s">
        <v>40</v>
      </c>
      <c r="X2963" s="19">
        <v>7.1999999999999995E-2</v>
      </c>
      <c r="Y2963" s="20">
        <v>7.8999999999999996E-5</v>
      </c>
      <c r="Z2963" s="21">
        <v>4601004208278</v>
      </c>
    </row>
    <row r="2964" spans="1:26" ht="12" customHeight="1" outlineLevel="3" x14ac:dyDescent="0.2">
      <c r="A2964" s="14" t="s">
        <v>5795</v>
      </c>
      <c r="B2964" s="26" t="s">
        <v>5796</v>
      </c>
      <c r="C2964" s="52"/>
      <c r="D2964" s="55">
        <f t="shared" si="46"/>
        <v>0</v>
      </c>
      <c r="E2964" s="63" t="str">
        <f>HYPERLINK("https://www.sds-group.ru/product/shina-n-nulevaya-s-sinim-izolyatorom-tip-stoyka-na-din-reyku-6x9mm-10-grupp-rexant-11-2354/", "Инфо")</f>
        <v>Инфо</v>
      </c>
      <c r="F2964" s="16" t="s">
        <v>39</v>
      </c>
      <c r="G2964" s="15"/>
      <c r="H2964" s="15"/>
      <c r="I2964" s="15"/>
      <c r="J2964" s="16" t="s">
        <v>100</v>
      </c>
      <c r="K2964" s="15" t="s">
        <v>2798</v>
      </c>
      <c r="L2964" s="17">
        <v>10</v>
      </c>
      <c r="M2964" s="17">
        <v>400</v>
      </c>
      <c r="N2964" s="17">
        <v>10</v>
      </c>
      <c r="O2964" s="18">
        <v>123.15</v>
      </c>
      <c r="P2964" s="18">
        <v>100.94</v>
      </c>
      <c r="Q2964" s="18">
        <v>104.68</v>
      </c>
      <c r="R2964" s="18">
        <v>85.8</v>
      </c>
      <c r="S2964" s="18">
        <v>83.74</v>
      </c>
      <c r="T2964" s="18">
        <v>68.64</v>
      </c>
      <c r="U2964" s="16"/>
      <c r="V2964" s="16"/>
      <c r="W2964" s="16" t="s">
        <v>40</v>
      </c>
      <c r="X2964" s="19">
        <v>3.7999999999999999E-2</v>
      </c>
      <c r="Y2964" s="20">
        <v>4.6E-5</v>
      </c>
      <c r="Z2964" s="21">
        <v>4601004193260</v>
      </c>
    </row>
    <row r="2965" spans="1:26" ht="12" customHeight="1" outlineLevel="3" x14ac:dyDescent="0.2">
      <c r="A2965" s="14" t="s">
        <v>5797</v>
      </c>
      <c r="B2965" s="26" t="s">
        <v>5798</v>
      </c>
      <c r="C2965" s="52"/>
      <c r="D2965" s="55">
        <f t="shared" si="46"/>
        <v>0</v>
      </c>
      <c r="E2965" s="63" t="str">
        <f>HYPERLINK("https://www.sds-group.ru/product/shina-n-nulevaya-s-sinim-izolyatorom-tip-stoyka-na-din-reyku-6x9mm-12-grupp-rexant-11-2355/", "Инфо")</f>
        <v>Инфо</v>
      </c>
      <c r="F2965" s="16" t="s">
        <v>39</v>
      </c>
      <c r="G2965" s="15"/>
      <c r="H2965" s="15"/>
      <c r="I2965" s="15"/>
      <c r="J2965" s="16" t="s">
        <v>100</v>
      </c>
      <c r="K2965" s="15" t="s">
        <v>1650</v>
      </c>
      <c r="L2965" s="17">
        <v>10</v>
      </c>
      <c r="M2965" s="17">
        <v>500</v>
      </c>
      <c r="N2965" s="17">
        <v>10</v>
      </c>
      <c r="O2965" s="18">
        <v>126.59</v>
      </c>
      <c r="P2965" s="18">
        <v>103.76</v>
      </c>
      <c r="Q2965" s="18">
        <v>107.6</v>
      </c>
      <c r="R2965" s="18">
        <v>88.2</v>
      </c>
      <c r="S2965" s="18">
        <v>86.08</v>
      </c>
      <c r="T2965" s="18">
        <v>70.56</v>
      </c>
      <c r="U2965" s="16"/>
      <c r="V2965" s="16"/>
      <c r="W2965" s="16" t="s">
        <v>40</v>
      </c>
      <c r="X2965" s="19">
        <v>4.2999999999999997E-2</v>
      </c>
      <c r="Y2965" s="20">
        <v>4.8000000000000001E-5</v>
      </c>
      <c r="Z2965" s="21">
        <v>4601004193284</v>
      </c>
    </row>
    <row r="2966" spans="1:26" ht="12" customHeight="1" outlineLevel="3" x14ac:dyDescent="0.2">
      <c r="A2966" s="14" t="s">
        <v>5799</v>
      </c>
      <c r="B2966" s="26" t="s">
        <v>5800</v>
      </c>
      <c r="C2966" s="52"/>
      <c r="D2966" s="55">
        <f t="shared" si="46"/>
        <v>0</v>
      </c>
      <c r="E2966" s="63" t="str">
        <f>HYPERLINK("https://www.sds-group.ru/product/shina-n-nulevaya-s-sinim-izolyatorom-tip-stoyka-na-din-reyku-6x9mm-7-grupp-rexant-11-2352/", "Инфо")</f>
        <v>Инфо</v>
      </c>
      <c r="F2966" s="16" t="s">
        <v>39</v>
      </c>
      <c r="G2966" s="15"/>
      <c r="H2966" s="15"/>
      <c r="I2966" s="15"/>
      <c r="J2966" s="17">
        <v>526</v>
      </c>
      <c r="K2966" s="15" t="s">
        <v>3237</v>
      </c>
      <c r="L2966" s="17">
        <v>10</v>
      </c>
      <c r="M2966" s="17">
        <v>500</v>
      </c>
      <c r="N2966" s="17">
        <v>10</v>
      </c>
      <c r="O2966" s="18">
        <v>159.63999999999999</v>
      </c>
      <c r="P2966" s="18">
        <v>130.85</v>
      </c>
      <c r="Q2966" s="18">
        <v>135.69</v>
      </c>
      <c r="R2966" s="18">
        <v>111.22</v>
      </c>
      <c r="S2966" s="18">
        <v>108.56</v>
      </c>
      <c r="T2966" s="18">
        <v>88.98</v>
      </c>
      <c r="U2966" s="16"/>
      <c r="V2966" s="16"/>
      <c r="W2966" s="16" t="s">
        <v>40</v>
      </c>
      <c r="X2966" s="19">
        <v>2.8000000000000001E-2</v>
      </c>
      <c r="Y2966" s="20">
        <v>2.0000000000000002E-5</v>
      </c>
      <c r="Z2966" s="21">
        <v>4601004193222</v>
      </c>
    </row>
    <row r="2967" spans="1:26" ht="12" customHeight="1" outlineLevel="3" x14ac:dyDescent="0.2">
      <c r="A2967" s="14" t="s">
        <v>5801</v>
      </c>
      <c r="B2967" s="26" t="s">
        <v>5802</v>
      </c>
      <c r="C2967" s="52"/>
      <c r="D2967" s="55">
        <f t="shared" si="46"/>
        <v>0</v>
      </c>
      <c r="E2967" s="63" t="str">
        <f>HYPERLINK("https://www.sds-group.ru/product/shina-n-nulevaya-s-sinim-izolyatorom-tip-stoyka-na-din-reyku-6x9mm-8-grupp-rexant-11-2353/", "Инфо")</f>
        <v>Инфо</v>
      </c>
      <c r="F2967" s="16" t="s">
        <v>39</v>
      </c>
      <c r="G2967" s="15"/>
      <c r="H2967" s="15"/>
      <c r="I2967" s="15"/>
      <c r="J2967" s="16" t="s">
        <v>100</v>
      </c>
      <c r="K2967" s="15" t="s">
        <v>1650</v>
      </c>
      <c r="L2967" s="17">
        <v>10</v>
      </c>
      <c r="M2967" s="17">
        <v>350</v>
      </c>
      <c r="N2967" s="17">
        <v>10</v>
      </c>
      <c r="O2967" s="18">
        <v>116.5</v>
      </c>
      <c r="P2967" s="18">
        <v>95.49</v>
      </c>
      <c r="Q2967" s="18">
        <v>99.03</v>
      </c>
      <c r="R2967" s="18">
        <v>81.17</v>
      </c>
      <c r="S2967" s="18">
        <v>79.22</v>
      </c>
      <c r="T2967" s="18">
        <v>64.930000000000007</v>
      </c>
      <c r="U2967" s="16"/>
      <c r="V2967" s="16"/>
      <c r="W2967" s="16" t="s">
        <v>40</v>
      </c>
      <c r="X2967" s="19">
        <v>3.1E-2</v>
      </c>
      <c r="Y2967" s="20">
        <v>4.6E-5</v>
      </c>
      <c r="Z2967" s="21">
        <v>4601004193246</v>
      </c>
    </row>
    <row r="2968" spans="1:26" ht="12" customHeight="1" outlineLevel="3" x14ac:dyDescent="0.2">
      <c r="A2968" s="14" t="s">
        <v>5803</v>
      </c>
      <c r="B2968" s="26" t="s">
        <v>5804</v>
      </c>
      <c r="C2968" s="52"/>
      <c r="D2968" s="55">
        <f t="shared" si="46"/>
        <v>0</v>
      </c>
      <c r="E2968" s="63" t="str">
        <f>HYPERLINK("https://www.sds-group.ru/product/shina-pe-zemlya-v-kombinirovannom-zelenom-izolyatore-na-din-reyku-6x9mm-4-gruppy-rexant-11-2305/", "Инфо")</f>
        <v>Инфо</v>
      </c>
      <c r="F2968" s="16" t="s">
        <v>39</v>
      </c>
      <c r="G2968" s="15"/>
      <c r="H2968" s="15"/>
      <c r="I2968" s="15"/>
      <c r="J2968" s="16" t="s">
        <v>100</v>
      </c>
      <c r="K2968" s="15" t="s">
        <v>1055</v>
      </c>
      <c r="L2968" s="17">
        <v>40</v>
      </c>
      <c r="M2968" s="17">
        <v>520</v>
      </c>
      <c r="N2968" s="17">
        <v>40</v>
      </c>
      <c r="O2968" s="18">
        <v>80.64</v>
      </c>
      <c r="P2968" s="18">
        <v>66.099999999999994</v>
      </c>
      <c r="Q2968" s="18">
        <v>68.540000000000006</v>
      </c>
      <c r="R2968" s="18">
        <v>56.18</v>
      </c>
      <c r="S2968" s="18">
        <v>54.84</v>
      </c>
      <c r="T2968" s="18">
        <v>44.95</v>
      </c>
      <c r="U2968" s="16"/>
      <c r="V2968" s="16"/>
      <c r="W2968" s="16" t="s">
        <v>40</v>
      </c>
      <c r="X2968" s="19">
        <v>1.9E-2</v>
      </c>
      <c r="Y2968" s="20">
        <v>4.3000000000000002E-5</v>
      </c>
      <c r="Z2968" s="21">
        <v>4601004193628</v>
      </c>
    </row>
    <row r="2969" spans="1:26" ht="12" customHeight="1" outlineLevel="3" x14ac:dyDescent="0.2">
      <c r="A2969" s="14" t="s">
        <v>5805</v>
      </c>
      <c r="B2969" s="26" t="s">
        <v>5806</v>
      </c>
      <c r="C2969" s="52"/>
      <c r="D2969" s="55">
        <f t="shared" si="46"/>
        <v>0</v>
      </c>
      <c r="E2969" s="63" t="str">
        <f>HYPERLINK("https://www.sds-group.ru/product/shina-pe-zemlya-v-kombinirovannom-zelenom-izolyatore-na-din-reyku-6x9mm-10-grupp-rexant-11-2308/", "Инфо")</f>
        <v>Инфо</v>
      </c>
      <c r="F2969" s="16" t="s">
        <v>39</v>
      </c>
      <c r="G2969" s="15"/>
      <c r="H2969" s="15"/>
      <c r="I2969" s="15"/>
      <c r="J2969" s="16" t="s">
        <v>100</v>
      </c>
      <c r="K2969" s="15" t="s">
        <v>210</v>
      </c>
      <c r="L2969" s="17">
        <v>20</v>
      </c>
      <c r="M2969" s="17">
        <v>500</v>
      </c>
      <c r="N2969" s="17">
        <v>20</v>
      </c>
      <c r="O2969" s="18">
        <v>157.1</v>
      </c>
      <c r="P2969" s="18">
        <v>128.77000000000001</v>
      </c>
      <c r="Q2969" s="18">
        <v>133.54</v>
      </c>
      <c r="R2969" s="18">
        <v>109.46</v>
      </c>
      <c r="S2969" s="18">
        <v>106.83</v>
      </c>
      <c r="T2969" s="18">
        <v>87.57</v>
      </c>
      <c r="U2969" s="16"/>
      <c r="V2969" s="16"/>
      <c r="W2969" s="16" t="s">
        <v>40</v>
      </c>
      <c r="X2969" s="19">
        <v>3.9E-2</v>
      </c>
      <c r="Y2969" s="20">
        <v>5.0000000000000002E-5</v>
      </c>
      <c r="Z2969" s="21">
        <v>4601004192447</v>
      </c>
    </row>
    <row r="2970" spans="1:26" ht="12" customHeight="1" outlineLevel="3" x14ac:dyDescent="0.2">
      <c r="A2970" s="14" t="s">
        <v>5807</v>
      </c>
      <c r="B2970" s="26" t="s">
        <v>5808</v>
      </c>
      <c r="C2970" s="52"/>
      <c r="D2970" s="55">
        <f t="shared" si="46"/>
        <v>0</v>
      </c>
      <c r="E2970" s="63" t="str">
        <f>HYPERLINK("https://www.sds-group.ru/product/shina-pe-zemlya-v-kombinirovannom-zelenom-izolyatore-na-din-reyku-6x9mm-12-grupp-rexant-11-2309/", "Инфо")</f>
        <v>Инфо</v>
      </c>
      <c r="F2970" s="16" t="s">
        <v>39</v>
      </c>
      <c r="G2970" s="15"/>
      <c r="H2970" s="15"/>
      <c r="I2970" s="15"/>
      <c r="J2970" s="17">
        <v>169</v>
      </c>
      <c r="K2970" s="15" t="s">
        <v>1650</v>
      </c>
      <c r="L2970" s="17">
        <v>20</v>
      </c>
      <c r="M2970" s="17">
        <v>500</v>
      </c>
      <c r="N2970" s="17">
        <v>20</v>
      </c>
      <c r="O2970" s="18">
        <v>184.94</v>
      </c>
      <c r="P2970" s="18">
        <v>151.59</v>
      </c>
      <c r="Q2970" s="18">
        <v>157.19999999999999</v>
      </c>
      <c r="R2970" s="18">
        <v>128.85</v>
      </c>
      <c r="S2970" s="18">
        <v>125.76</v>
      </c>
      <c r="T2970" s="18">
        <v>103.08</v>
      </c>
      <c r="U2970" s="16"/>
      <c r="V2970" s="16"/>
      <c r="W2970" s="16" t="s">
        <v>40</v>
      </c>
      <c r="X2970" s="19">
        <v>4.3999999999999997E-2</v>
      </c>
      <c r="Y2970" s="20">
        <v>5.7000000000000003E-5</v>
      </c>
      <c r="Z2970" s="21">
        <v>4601004192461</v>
      </c>
    </row>
    <row r="2971" spans="1:26" ht="12" customHeight="1" outlineLevel="3" x14ac:dyDescent="0.2">
      <c r="A2971" s="14" t="s">
        <v>5809</v>
      </c>
      <c r="B2971" s="26" t="s">
        <v>5810</v>
      </c>
      <c r="C2971" s="52"/>
      <c r="D2971" s="55">
        <f t="shared" si="46"/>
        <v>0</v>
      </c>
      <c r="E2971" s="63" t="str">
        <f>HYPERLINK("https://www.sds-group.ru/product/shina-pe-zemlya-v-kombinirovannom-zelenom-izolyatore-na-din-reyku-6x9mm-6-grupp-rexant-11-2306/", "Инфо")</f>
        <v>Инфо</v>
      </c>
      <c r="F2971" s="16" t="s">
        <v>39</v>
      </c>
      <c r="G2971" s="15"/>
      <c r="H2971" s="15"/>
      <c r="I2971" s="15"/>
      <c r="J2971" s="16" t="s">
        <v>100</v>
      </c>
      <c r="K2971" s="15" t="s">
        <v>1055</v>
      </c>
      <c r="L2971" s="17">
        <v>40</v>
      </c>
      <c r="M2971" s="17">
        <v>520</v>
      </c>
      <c r="N2971" s="17">
        <v>40</v>
      </c>
      <c r="O2971" s="18">
        <v>105.18</v>
      </c>
      <c r="P2971" s="18">
        <v>86.21</v>
      </c>
      <c r="Q2971" s="18">
        <v>89.4</v>
      </c>
      <c r="R2971" s="18">
        <v>73.28</v>
      </c>
      <c r="S2971" s="18">
        <v>71.52</v>
      </c>
      <c r="T2971" s="18">
        <v>58.62</v>
      </c>
      <c r="U2971" s="16"/>
      <c r="V2971" s="16"/>
      <c r="W2971" s="16" t="s">
        <v>40</v>
      </c>
      <c r="X2971" s="19">
        <v>2.5000000000000001E-2</v>
      </c>
      <c r="Y2971" s="20">
        <v>4.6E-5</v>
      </c>
      <c r="Z2971" s="21">
        <v>4601004192409</v>
      </c>
    </row>
    <row r="2972" spans="1:26" ht="12" customHeight="1" outlineLevel="3" x14ac:dyDescent="0.2">
      <c r="A2972" s="14" t="s">
        <v>5811</v>
      </c>
      <c r="B2972" s="26" t="s">
        <v>5812</v>
      </c>
      <c r="C2972" s="52"/>
      <c r="D2972" s="55">
        <f t="shared" si="46"/>
        <v>0</v>
      </c>
      <c r="E2972" s="63" t="str">
        <f>HYPERLINK("https://www.sds-group.ru/product/shina-pe-zemlya-v-kombinirovannom-zelenom-izolyatore-na-din-reyku-6x9mm-8-grupp-rexant-11-2307/", "Инфо")</f>
        <v>Инфо</v>
      </c>
      <c r="F2972" s="16" t="s">
        <v>39</v>
      </c>
      <c r="G2972" s="15"/>
      <c r="H2972" s="15"/>
      <c r="I2972" s="15"/>
      <c r="J2972" s="22">
        <v>1229</v>
      </c>
      <c r="K2972" s="15" t="s">
        <v>1665</v>
      </c>
      <c r="L2972" s="17">
        <v>20</v>
      </c>
      <c r="M2972" s="17">
        <v>500</v>
      </c>
      <c r="N2972" s="17">
        <v>20</v>
      </c>
      <c r="O2972" s="18">
        <v>148.53</v>
      </c>
      <c r="P2972" s="18">
        <v>121.75</v>
      </c>
      <c r="Q2972" s="18">
        <v>126.25</v>
      </c>
      <c r="R2972" s="18">
        <v>103.48</v>
      </c>
      <c r="S2972" s="18">
        <v>101</v>
      </c>
      <c r="T2972" s="18">
        <v>82.79</v>
      </c>
      <c r="U2972" s="16"/>
      <c r="V2972" s="16"/>
      <c r="W2972" s="16" t="s">
        <v>40</v>
      </c>
      <c r="X2972" s="19">
        <v>3.3000000000000002E-2</v>
      </c>
      <c r="Y2972" s="20">
        <v>5.1999999999999997E-5</v>
      </c>
      <c r="Z2972" s="21">
        <v>4601004192423</v>
      </c>
    </row>
    <row r="2973" spans="1:26" ht="12" customHeight="1" outlineLevel="3" x14ac:dyDescent="0.2">
      <c r="A2973" s="14" t="s">
        <v>5813</v>
      </c>
      <c r="B2973" s="26" t="s">
        <v>5814</v>
      </c>
      <c r="C2973" s="52"/>
      <c r="D2973" s="55">
        <f t="shared" si="46"/>
        <v>0</v>
      </c>
      <c r="E2973" s="63" t="str">
        <f>HYPERLINK("https://www.sds-group.ru/product/shina-pe-zemlya-v-korpusnom-zelenom-izolyatore-na-din-reyku-6x9mm-12-grupp-rexant-11-2322/", "Инфо")</f>
        <v>Инфо</v>
      </c>
      <c r="F2973" s="16" t="s">
        <v>39</v>
      </c>
      <c r="G2973" s="15"/>
      <c r="H2973" s="15"/>
      <c r="I2973" s="15"/>
      <c r="J2973" s="17">
        <v>529</v>
      </c>
      <c r="K2973" s="15" t="s">
        <v>1650</v>
      </c>
      <c r="L2973" s="17">
        <v>20</v>
      </c>
      <c r="M2973" s="17">
        <v>500</v>
      </c>
      <c r="N2973" s="17">
        <v>20</v>
      </c>
      <c r="O2973" s="18">
        <v>172.46</v>
      </c>
      <c r="P2973" s="18">
        <v>141.36000000000001</v>
      </c>
      <c r="Q2973" s="18">
        <v>146.59</v>
      </c>
      <c r="R2973" s="18">
        <v>120.16</v>
      </c>
      <c r="S2973" s="18">
        <v>117.27</v>
      </c>
      <c r="T2973" s="18">
        <v>96.12</v>
      </c>
      <c r="U2973" s="16"/>
      <c r="V2973" s="16"/>
      <c r="W2973" s="16" t="s">
        <v>40</v>
      </c>
      <c r="X2973" s="19">
        <v>4.7E-2</v>
      </c>
      <c r="Y2973" s="20">
        <v>6.0999999999999999E-5</v>
      </c>
      <c r="Z2973" s="21">
        <v>4601004192621</v>
      </c>
    </row>
    <row r="2974" spans="1:26" ht="12" customHeight="1" outlineLevel="3" x14ac:dyDescent="0.2">
      <c r="A2974" s="14" t="s">
        <v>5815</v>
      </c>
      <c r="B2974" s="26" t="s">
        <v>5816</v>
      </c>
      <c r="C2974" s="52"/>
      <c r="D2974" s="55">
        <f t="shared" si="46"/>
        <v>0</v>
      </c>
      <c r="E2974" s="63" t="str">
        <f>HYPERLINK("https://www.sds-group.ru/product/shina-pe-zemlya-v-korpusnom-zelenom-izolyatore-na-din-reyku-6x9mm-15-grupp-rexant-11-2323/", "Инфо")</f>
        <v>Инфо</v>
      </c>
      <c r="F2974" s="16" t="s">
        <v>39</v>
      </c>
      <c r="G2974" s="15"/>
      <c r="H2974" s="15"/>
      <c r="I2974" s="15"/>
      <c r="J2974" s="16" t="s">
        <v>100</v>
      </c>
      <c r="K2974" s="15" t="s">
        <v>1650</v>
      </c>
      <c r="L2974" s="17">
        <v>20</v>
      </c>
      <c r="M2974" s="17">
        <v>400</v>
      </c>
      <c r="N2974" s="17">
        <v>20</v>
      </c>
      <c r="O2974" s="18">
        <v>187.12</v>
      </c>
      <c r="P2974" s="18">
        <v>153.38</v>
      </c>
      <c r="Q2974" s="18">
        <v>159.05000000000001</v>
      </c>
      <c r="R2974" s="18">
        <v>130.37</v>
      </c>
      <c r="S2974" s="18">
        <v>127.24</v>
      </c>
      <c r="T2974" s="18">
        <v>104.3</v>
      </c>
      <c r="U2974" s="16"/>
      <c r="V2974" s="16"/>
      <c r="W2974" s="16" t="s">
        <v>40</v>
      </c>
      <c r="X2974" s="19">
        <v>5.7000000000000002E-2</v>
      </c>
      <c r="Y2974" s="20">
        <v>6.8999999999999997E-5</v>
      </c>
      <c r="Z2974" s="21">
        <v>4601004192645</v>
      </c>
    </row>
    <row r="2975" spans="1:26" ht="12" customHeight="1" outlineLevel="3" x14ac:dyDescent="0.2">
      <c r="A2975" s="14" t="s">
        <v>5817</v>
      </c>
      <c r="B2975" s="26" t="s">
        <v>5818</v>
      </c>
      <c r="C2975" s="52"/>
      <c r="D2975" s="55">
        <f t="shared" si="46"/>
        <v>0</v>
      </c>
      <c r="E2975" s="63" t="str">
        <f>HYPERLINK("https://www.sds-group.ru/product/shina-pe-zemlya-v-korpusnom-zelenom-izolyatore-na-din-reyku-6x9mm-7-grupp-rexant-11-2321/", "Инфо")</f>
        <v>Инфо</v>
      </c>
      <c r="F2975" s="16" t="s">
        <v>39</v>
      </c>
      <c r="G2975" s="15"/>
      <c r="H2975" s="15"/>
      <c r="I2975" s="15"/>
      <c r="J2975" s="16" t="s">
        <v>100</v>
      </c>
      <c r="K2975" s="15" t="s">
        <v>1650</v>
      </c>
      <c r="L2975" s="17">
        <v>50</v>
      </c>
      <c r="M2975" s="17">
        <v>500</v>
      </c>
      <c r="N2975" s="17">
        <v>50</v>
      </c>
      <c r="O2975" s="18">
        <v>140.79</v>
      </c>
      <c r="P2975" s="18">
        <v>115.4</v>
      </c>
      <c r="Q2975" s="18">
        <v>119.67</v>
      </c>
      <c r="R2975" s="18">
        <v>98.09</v>
      </c>
      <c r="S2975" s="18">
        <v>95.74</v>
      </c>
      <c r="T2975" s="18">
        <v>78.48</v>
      </c>
      <c r="U2975" s="16"/>
      <c r="V2975" s="16"/>
      <c r="W2975" s="16" t="s">
        <v>40</v>
      </c>
      <c r="X2975" s="19">
        <v>2.5999999999999999E-2</v>
      </c>
      <c r="Y2975" s="20">
        <v>4.1999999999999998E-5</v>
      </c>
      <c r="Z2975" s="21">
        <v>4601004192607</v>
      </c>
    </row>
    <row r="2976" spans="1:26" ht="12" customHeight="1" outlineLevel="3" x14ac:dyDescent="0.2">
      <c r="A2976" s="14" t="s">
        <v>5819</v>
      </c>
      <c r="B2976" s="26" t="s">
        <v>5820</v>
      </c>
      <c r="C2976" s="52"/>
      <c r="D2976" s="55">
        <f t="shared" si="46"/>
        <v>0</v>
      </c>
      <c r="E2976" s="63" t="str">
        <f>HYPERLINK("https://www.sds-group.ru/product/shina-pen-zemlya-nol-6h9mm-10-1-10-grupp-krepezh-po-tsentru-rexant-11-2359/", "Инфо")</f>
        <v>Инфо</v>
      </c>
      <c r="F2976" s="16" t="s">
        <v>39</v>
      </c>
      <c r="G2976" s="15"/>
      <c r="H2976" s="15"/>
      <c r="I2976" s="15"/>
      <c r="J2976" s="17">
        <v>10</v>
      </c>
      <c r="K2976" s="15" t="s">
        <v>2798</v>
      </c>
      <c r="L2976" s="17">
        <v>10</v>
      </c>
      <c r="M2976" s="17">
        <v>450</v>
      </c>
      <c r="N2976" s="17">
        <v>10</v>
      </c>
      <c r="O2976" s="18">
        <v>109.28</v>
      </c>
      <c r="P2976" s="18">
        <v>89.57</v>
      </c>
      <c r="Q2976" s="18">
        <v>92.89</v>
      </c>
      <c r="R2976" s="18">
        <v>76.14</v>
      </c>
      <c r="S2976" s="18">
        <v>74.31</v>
      </c>
      <c r="T2976" s="18">
        <v>60.91</v>
      </c>
      <c r="U2976" s="16"/>
      <c r="V2976" s="16"/>
      <c r="W2976" s="16" t="s">
        <v>40</v>
      </c>
      <c r="X2976" s="19">
        <v>0.03</v>
      </c>
      <c r="Y2976" s="20">
        <v>1.0000000000000001E-5</v>
      </c>
      <c r="Z2976" s="21">
        <v>4601004193369</v>
      </c>
    </row>
    <row r="2977" spans="1:26" ht="12" customHeight="1" outlineLevel="3" x14ac:dyDescent="0.2">
      <c r="A2977" s="32" t="s">
        <v>5821</v>
      </c>
      <c r="B2977" s="74" t="s">
        <v>5822</v>
      </c>
      <c r="C2977" s="50"/>
      <c r="D2977" s="53">
        <f t="shared" si="46"/>
        <v>0</v>
      </c>
      <c r="E2977" s="60" t="str">
        <f>HYPERLINK("https://www.sds-group.ru/product/shina-pen-zemlya-nol-6h9mm-10-2-10-grupp-krepezh-po-krayam-rexant-11-2367/", "Инфо")</f>
        <v>Инфо</v>
      </c>
      <c r="F2977" s="34" t="s">
        <v>39</v>
      </c>
      <c r="G2977" s="33"/>
      <c r="H2977" s="33" t="s">
        <v>40</v>
      </c>
      <c r="I2977" s="33"/>
      <c r="J2977" s="35">
        <v>375</v>
      </c>
      <c r="K2977" s="33"/>
      <c r="L2977" s="35">
        <v>10</v>
      </c>
      <c r="M2977" s="35">
        <v>450</v>
      </c>
      <c r="N2977" s="35">
        <v>10</v>
      </c>
      <c r="O2977" s="36">
        <v>135.22999999999999</v>
      </c>
      <c r="P2977" s="36">
        <v>110.84</v>
      </c>
      <c r="Q2977" s="36">
        <v>94.66</v>
      </c>
      <c r="R2977" s="36">
        <v>77.59</v>
      </c>
      <c r="S2977" s="36">
        <v>91.96</v>
      </c>
      <c r="T2977" s="36">
        <v>75.38</v>
      </c>
      <c r="U2977" s="34"/>
      <c r="V2977" s="34"/>
      <c r="W2977" s="34"/>
      <c r="X2977" s="37">
        <v>0.03</v>
      </c>
      <c r="Y2977" s="38">
        <v>6.0000000000000002E-6</v>
      </c>
      <c r="Z2977" s="21">
        <v>4601004193529</v>
      </c>
    </row>
    <row r="2978" spans="1:26" ht="12" customHeight="1" outlineLevel="3" x14ac:dyDescent="0.2">
      <c r="A2978" s="14" t="s">
        <v>5823</v>
      </c>
      <c r="B2978" s="26" t="s">
        <v>5824</v>
      </c>
      <c r="C2978" s="52"/>
      <c r="D2978" s="55">
        <f t="shared" si="46"/>
        <v>0</v>
      </c>
      <c r="E2978" s="63" t="str">
        <f>HYPERLINK("https://www.sds-group.ru/product/shina-pen-zemlya-nol-6h9mm-12-1-12-grupp-krepezh-po-tsentru-rexant-11-2360/", "Инфо")</f>
        <v>Инфо</v>
      </c>
      <c r="F2978" s="16" t="s">
        <v>39</v>
      </c>
      <c r="G2978" s="15"/>
      <c r="H2978" s="15"/>
      <c r="I2978" s="15"/>
      <c r="J2978" s="16" t="s">
        <v>100</v>
      </c>
      <c r="K2978" s="15" t="s">
        <v>2750</v>
      </c>
      <c r="L2978" s="17">
        <v>10</v>
      </c>
      <c r="M2978" s="17">
        <v>360</v>
      </c>
      <c r="N2978" s="17">
        <v>10</v>
      </c>
      <c r="O2978" s="18">
        <v>116.78</v>
      </c>
      <c r="P2978" s="18">
        <v>95.72</v>
      </c>
      <c r="Q2978" s="18">
        <v>99.26</v>
      </c>
      <c r="R2978" s="18">
        <v>81.36</v>
      </c>
      <c r="S2978" s="18">
        <v>79.41</v>
      </c>
      <c r="T2978" s="18">
        <v>65.09</v>
      </c>
      <c r="U2978" s="16"/>
      <c r="V2978" s="16"/>
      <c r="W2978" s="16" t="s">
        <v>40</v>
      </c>
      <c r="X2978" s="19">
        <v>3.4000000000000002E-2</v>
      </c>
      <c r="Y2978" s="20">
        <v>2.3E-5</v>
      </c>
      <c r="Z2978" s="21">
        <v>4601004193383</v>
      </c>
    </row>
    <row r="2979" spans="1:26" ht="12" customHeight="1" outlineLevel="3" x14ac:dyDescent="0.2">
      <c r="A2979" s="14" t="s">
        <v>5825</v>
      </c>
      <c r="B2979" s="26" t="s">
        <v>5826</v>
      </c>
      <c r="C2979" s="52"/>
      <c r="D2979" s="55">
        <f t="shared" si="46"/>
        <v>0</v>
      </c>
      <c r="E2979" s="63" t="str">
        <f>HYPERLINK("https://www.sds-group.ru/product/shina-pen-zemlya-nol-6h9mm-12-2-12-grupp-krepezh-po-krayam-rexant-11-2368/", "Инфо")</f>
        <v>Инфо</v>
      </c>
      <c r="F2979" s="16" t="s">
        <v>39</v>
      </c>
      <c r="G2979" s="15"/>
      <c r="H2979" s="15"/>
      <c r="I2979" s="15"/>
      <c r="J2979" s="17">
        <v>422</v>
      </c>
      <c r="K2979" s="15" t="s">
        <v>2798</v>
      </c>
      <c r="L2979" s="17">
        <v>10</v>
      </c>
      <c r="M2979" s="17">
        <v>360</v>
      </c>
      <c r="N2979" s="17">
        <v>10</v>
      </c>
      <c r="O2979" s="18">
        <v>136</v>
      </c>
      <c r="P2979" s="18">
        <v>111.48</v>
      </c>
      <c r="Q2979" s="18">
        <v>115.6</v>
      </c>
      <c r="R2979" s="18">
        <v>94.75</v>
      </c>
      <c r="S2979" s="18">
        <v>92.48</v>
      </c>
      <c r="T2979" s="18">
        <v>75.8</v>
      </c>
      <c r="U2979" s="16"/>
      <c r="V2979" s="16"/>
      <c r="W2979" s="16" t="s">
        <v>40</v>
      </c>
      <c r="X2979" s="19">
        <v>3.4000000000000002E-2</v>
      </c>
      <c r="Y2979" s="20">
        <v>1.9000000000000001E-5</v>
      </c>
      <c r="Z2979" s="21">
        <v>4601004193543</v>
      </c>
    </row>
    <row r="2980" spans="1:26" ht="12" customHeight="1" outlineLevel="3" x14ac:dyDescent="0.2">
      <c r="A2980" s="14" t="s">
        <v>5827</v>
      </c>
      <c r="B2980" s="26" t="s">
        <v>5828</v>
      </c>
      <c r="C2980" s="52"/>
      <c r="D2980" s="55">
        <f t="shared" si="46"/>
        <v>0</v>
      </c>
      <c r="E2980" s="63" t="str">
        <f>HYPERLINK("https://www.sds-group.ru/product/shina-pen-zemlya-nol-6h9mm-14-1-14-grupp-krepezh-po-tsentru-rexant-11-2361/", "Инфо")</f>
        <v>Инфо</v>
      </c>
      <c r="F2980" s="16" t="s">
        <v>39</v>
      </c>
      <c r="G2980" s="15"/>
      <c r="H2980" s="15"/>
      <c r="I2980" s="15"/>
      <c r="J2980" s="16" t="s">
        <v>100</v>
      </c>
      <c r="K2980" s="15" t="s">
        <v>1055</v>
      </c>
      <c r="L2980" s="17">
        <v>10</v>
      </c>
      <c r="M2980" s="17">
        <v>250</v>
      </c>
      <c r="N2980" s="17">
        <v>10</v>
      </c>
      <c r="O2980" s="18">
        <v>135.88999999999999</v>
      </c>
      <c r="P2980" s="18">
        <v>111.39</v>
      </c>
      <c r="Q2980" s="18">
        <v>115.51</v>
      </c>
      <c r="R2980" s="18">
        <v>94.68</v>
      </c>
      <c r="S2980" s="18">
        <v>92.41</v>
      </c>
      <c r="T2980" s="18">
        <v>75.75</v>
      </c>
      <c r="U2980" s="16"/>
      <c r="V2980" s="16"/>
      <c r="W2980" s="16" t="s">
        <v>40</v>
      </c>
      <c r="X2980" s="19">
        <v>4.1000000000000002E-2</v>
      </c>
      <c r="Y2980" s="20">
        <v>3.3000000000000003E-5</v>
      </c>
      <c r="Z2980" s="21">
        <v>4601004193406</v>
      </c>
    </row>
    <row r="2981" spans="1:26" ht="12" customHeight="1" outlineLevel="3" x14ac:dyDescent="0.2">
      <c r="A2981" s="14" t="s">
        <v>5829</v>
      </c>
      <c r="B2981" s="26" t="s">
        <v>5830</v>
      </c>
      <c r="C2981" s="52"/>
      <c r="D2981" s="55">
        <f t="shared" si="46"/>
        <v>0</v>
      </c>
      <c r="E2981" s="63" t="str">
        <f>HYPERLINK("https://www.sds-group.ru/product/shina-pen-zemlya-nol-6h9mm-14-2-14-grupp-krepezh-po-krayam-rexant-11-2369/", "Инфо")</f>
        <v>Инфо</v>
      </c>
      <c r="F2981" s="16" t="s">
        <v>39</v>
      </c>
      <c r="G2981" s="15"/>
      <c r="H2981" s="15"/>
      <c r="I2981" s="15"/>
      <c r="J2981" s="16" t="s">
        <v>100</v>
      </c>
      <c r="K2981" s="15" t="s">
        <v>1650</v>
      </c>
      <c r="L2981" s="17">
        <v>10</v>
      </c>
      <c r="M2981" s="17">
        <v>250</v>
      </c>
      <c r="N2981" s="17">
        <v>10</v>
      </c>
      <c r="O2981" s="18">
        <v>160.57</v>
      </c>
      <c r="P2981" s="18">
        <v>131.61000000000001</v>
      </c>
      <c r="Q2981" s="18">
        <v>136.47999999999999</v>
      </c>
      <c r="R2981" s="18">
        <v>111.87</v>
      </c>
      <c r="S2981" s="18">
        <v>109.19</v>
      </c>
      <c r="T2981" s="18">
        <v>89.5</v>
      </c>
      <c r="U2981" s="16"/>
      <c r="V2981" s="16"/>
      <c r="W2981" s="16" t="s">
        <v>40</v>
      </c>
      <c r="X2981" s="19">
        <v>3.9E-2</v>
      </c>
      <c r="Y2981" s="20">
        <v>1.2E-5</v>
      </c>
      <c r="Z2981" s="21">
        <v>4601004193567</v>
      </c>
    </row>
    <row r="2982" spans="1:26" ht="12" customHeight="1" outlineLevel="3" x14ac:dyDescent="0.2">
      <c r="A2982" s="14" t="s">
        <v>5831</v>
      </c>
      <c r="B2982" s="26" t="s">
        <v>5832</v>
      </c>
      <c r="C2982" s="52"/>
      <c r="D2982" s="55">
        <f t="shared" si="46"/>
        <v>0</v>
      </c>
      <c r="E2982" s="63" t="str">
        <f>HYPERLINK("https://www.sds-group.ru/product/shina-pen-zemlya-nol-6h9mm-20-1-20-grupp-krepezh-po-tsentru-rexant-11-2362/", "Инфо")</f>
        <v>Инфо</v>
      </c>
      <c r="F2982" s="16" t="s">
        <v>39</v>
      </c>
      <c r="G2982" s="15"/>
      <c r="H2982" s="15"/>
      <c r="I2982" s="15"/>
      <c r="J2982" s="16" t="s">
        <v>100</v>
      </c>
      <c r="K2982" s="15" t="s">
        <v>1650</v>
      </c>
      <c r="L2982" s="17">
        <v>10</v>
      </c>
      <c r="M2982" s="17">
        <v>500</v>
      </c>
      <c r="N2982" s="17">
        <v>10</v>
      </c>
      <c r="O2982" s="18">
        <v>210.31</v>
      </c>
      <c r="P2982" s="18">
        <v>172.39</v>
      </c>
      <c r="Q2982" s="18">
        <v>178.76</v>
      </c>
      <c r="R2982" s="18">
        <v>146.52000000000001</v>
      </c>
      <c r="S2982" s="18">
        <v>143.01</v>
      </c>
      <c r="T2982" s="18">
        <v>117.22</v>
      </c>
      <c r="U2982" s="16"/>
      <c r="V2982" s="16"/>
      <c r="W2982" s="16" t="s">
        <v>40</v>
      </c>
      <c r="X2982" s="19">
        <v>5.8000000000000003E-2</v>
      </c>
      <c r="Y2982" s="20">
        <v>1.2999999999999999E-5</v>
      </c>
      <c r="Z2982" s="21">
        <v>4601004193420</v>
      </c>
    </row>
    <row r="2983" spans="1:26" ht="12" customHeight="1" outlineLevel="3" x14ac:dyDescent="0.2">
      <c r="A2983" s="14" t="s">
        <v>5833</v>
      </c>
      <c r="B2983" s="26" t="s">
        <v>5834</v>
      </c>
      <c r="C2983" s="52"/>
      <c r="D2983" s="55">
        <f t="shared" si="46"/>
        <v>0</v>
      </c>
      <c r="E2983" s="63" t="str">
        <f>HYPERLINK("https://www.sds-group.ru/product/shina-pen-zemlya-nol-6h9mm-20-2-20-grupp-krepezh-po-krayam-rexant-11-2370/", "Инфо")</f>
        <v>Инфо</v>
      </c>
      <c r="F2983" s="16" t="s">
        <v>39</v>
      </c>
      <c r="G2983" s="15"/>
      <c r="H2983" s="15"/>
      <c r="I2983" s="15"/>
      <c r="J2983" s="16" t="s">
        <v>100</v>
      </c>
      <c r="K2983" s="15" t="s">
        <v>1650</v>
      </c>
      <c r="L2983" s="17">
        <v>10</v>
      </c>
      <c r="M2983" s="17">
        <v>300</v>
      </c>
      <c r="N2983" s="17">
        <v>10</v>
      </c>
      <c r="O2983" s="18">
        <v>224.02</v>
      </c>
      <c r="P2983" s="18">
        <v>183.62</v>
      </c>
      <c r="Q2983" s="18">
        <v>190.42</v>
      </c>
      <c r="R2983" s="18">
        <v>156.08000000000001</v>
      </c>
      <c r="S2983" s="18">
        <v>152.33000000000001</v>
      </c>
      <c r="T2983" s="18">
        <v>124.86</v>
      </c>
      <c r="U2983" s="16"/>
      <c r="V2983" s="16"/>
      <c r="W2983" s="16" t="s">
        <v>40</v>
      </c>
      <c r="X2983" s="19">
        <v>5.1999999999999998E-2</v>
      </c>
      <c r="Y2983" s="20">
        <v>6.9999999999999999E-6</v>
      </c>
      <c r="Z2983" s="21">
        <v>4601004193581</v>
      </c>
    </row>
    <row r="2984" spans="1:26" ht="12" customHeight="1" outlineLevel="3" x14ac:dyDescent="0.2">
      <c r="A2984" s="14" t="s">
        <v>5835</v>
      </c>
      <c r="B2984" s="26" t="s">
        <v>5836</v>
      </c>
      <c r="C2984" s="52"/>
      <c r="D2984" s="55">
        <f t="shared" si="46"/>
        <v>0</v>
      </c>
      <c r="E2984" s="63" t="str">
        <f>HYPERLINK("https://www.sds-group.ru/product/shina-pen-zemlya-nol-6h9mm-22-1-22-gruppy-krepezh-po-tsentru-rexant-11-2363/", "Инфо")</f>
        <v>Инфо</v>
      </c>
      <c r="F2984" s="16" t="s">
        <v>39</v>
      </c>
      <c r="G2984" s="15"/>
      <c r="H2984" s="15"/>
      <c r="I2984" s="15"/>
      <c r="J2984" s="16" t="s">
        <v>100</v>
      </c>
      <c r="K2984" s="15" t="s">
        <v>5837</v>
      </c>
      <c r="L2984" s="17">
        <v>10</v>
      </c>
      <c r="M2984" s="17">
        <v>350</v>
      </c>
      <c r="N2984" s="17">
        <v>10</v>
      </c>
      <c r="O2984" s="18">
        <v>219.21</v>
      </c>
      <c r="P2984" s="18">
        <v>179.68</v>
      </c>
      <c r="Q2984" s="18">
        <v>186.33</v>
      </c>
      <c r="R2984" s="18">
        <v>152.72999999999999</v>
      </c>
      <c r="S2984" s="18">
        <v>149.06</v>
      </c>
      <c r="T2984" s="18">
        <v>122.18</v>
      </c>
      <c r="U2984" s="16"/>
      <c r="V2984" s="16"/>
      <c r="W2984" s="16" t="s">
        <v>40</v>
      </c>
      <c r="X2984" s="19">
        <v>0.06</v>
      </c>
      <c r="Y2984" s="20">
        <v>2.5000000000000001E-5</v>
      </c>
      <c r="Z2984" s="21">
        <v>4601004193444</v>
      </c>
    </row>
    <row r="2985" spans="1:26" ht="12" customHeight="1" outlineLevel="3" x14ac:dyDescent="0.2">
      <c r="A2985" s="14" t="s">
        <v>5838</v>
      </c>
      <c r="B2985" s="26" t="s">
        <v>5839</v>
      </c>
      <c r="C2985" s="52"/>
      <c r="D2985" s="55">
        <f t="shared" si="46"/>
        <v>0</v>
      </c>
      <c r="E2985" s="63" t="str">
        <f>HYPERLINK("https://www.sds-group.ru/product/shina-pen-zemlya-nol-6h9mm-24-1-24-gruppy-krepezh-po-tsentru-rexant-11-2364/", "Инфо")</f>
        <v>Инфо</v>
      </c>
      <c r="F2985" s="16" t="s">
        <v>39</v>
      </c>
      <c r="G2985" s="15"/>
      <c r="H2985" s="15"/>
      <c r="I2985" s="15"/>
      <c r="J2985" s="16" t="s">
        <v>100</v>
      </c>
      <c r="K2985" s="15" t="s">
        <v>1150</v>
      </c>
      <c r="L2985" s="17">
        <v>10</v>
      </c>
      <c r="M2985" s="17">
        <v>150</v>
      </c>
      <c r="N2985" s="17">
        <v>10</v>
      </c>
      <c r="O2985" s="18">
        <v>282.39</v>
      </c>
      <c r="P2985" s="18">
        <v>231.47</v>
      </c>
      <c r="Q2985" s="18">
        <v>240.03</v>
      </c>
      <c r="R2985" s="18">
        <v>196.75</v>
      </c>
      <c r="S2985" s="18">
        <v>192.03</v>
      </c>
      <c r="T2985" s="18">
        <v>157.4</v>
      </c>
      <c r="U2985" s="16"/>
      <c r="V2985" s="16"/>
      <c r="W2985" s="16" t="s">
        <v>40</v>
      </c>
      <c r="X2985" s="19">
        <v>6.6000000000000003E-2</v>
      </c>
      <c r="Y2985" s="20">
        <v>2.1999999999999999E-5</v>
      </c>
      <c r="Z2985" s="21">
        <v>4601004193468</v>
      </c>
    </row>
    <row r="2986" spans="1:26" ht="12" customHeight="1" outlineLevel="3" x14ac:dyDescent="0.2">
      <c r="A2986" s="14" t="s">
        <v>5840</v>
      </c>
      <c r="B2986" s="26" t="s">
        <v>5841</v>
      </c>
      <c r="C2986" s="52"/>
      <c r="D2986" s="55">
        <f t="shared" si="46"/>
        <v>0</v>
      </c>
      <c r="E2986" s="63" t="str">
        <f>HYPERLINK("https://www.sds-group.ru/product/shina-pen-zemlya-nol-6h9mm-24-2-24-gruppy-krepezh-po-krayam-rexant-11-2371/", "Инфо")</f>
        <v>Инфо</v>
      </c>
      <c r="F2986" s="16" t="s">
        <v>39</v>
      </c>
      <c r="G2986" s="15"/>
      <c r="H2986" s="15"/>
      <c r="I2986" s="15"/>
      <c r="J2986" s="16" t="s">
        <v>100</v>
      </c>
      <c r="K2986" s="15" t="s">
        <v>1650</v>
      </c>
      <c r="L2986" s="17">
        <v>10</v>
      </c>
      <c r="M2986" s="17">
        <v>150</v>
      </c>
      <c r="N2986" s="17">
        <v>10</v>
      </c>
      <c r="O2986" s="18">
        <v>262.68</v>
      </c>
      <c r="P2986" s="18">
        <v>215.31</v>
      </c>
      <c r="Q2986" s="18">
        <v>223.28</v>
      </c>
      <c r="R2986" s="18">
        <v>183.02</v>
      </c>
      <c r="S2986" s="18">
        <v>178.62</v>
      </c>
      <c r="T2986" s="18">
        <v>146.41</v>
      </c>
      <c r="U2986" s="16"/>
      <c r="V2986" s="16"/>
      <c r="W2986" s="16" t="s">
        <v>40</v>
      </c>
      <c r="X2986" s="19">
        <v>6.3E-2</v>
      </c>
      <c r="Y2986" s="20">
        <v>2.0999999999999999E-5</v>
      </c>
      <c r="Z2986" s="21">
        <v>4601004193604</v>
      </c>
    </row>
    <row r="2987" spans="1:26" ht="12" customHeight="1" outlineLevel="3" x14ac:dyDescent="0.2">
      <c r="A2987" s="14" t="s">
        <v>5842</v>
      </c>
      <c r="B2987" s="26" t="s">
        <v>5843</v>
      </c>
      <c r="C2987" s="52"/>
      <c r="D2987" s="55">
        <f t="shared" si="46"/>
        <v>0</v>
      </c>
      <c r="E2987" s="63" t="str">
        <f>HYPERLINK("https://www.sds-group.ru/product/shina-pen-zemlya-nol-6h9mm-6-1-6-grupp-krepezh-po-tsentru-rexant-11-2357/", "Инфо")</f>
        <v>Инфо</v>
      </c>
      <c r="F2987" s="16" t="s">
        <v>39</v>
      </c>
      <c r="G2987" s="15"/>
      <c r="H2987" s="15"/>
      <c r="I2987" s="15"/>
      <c r="J2987" s="16" t="s">
        <v>100</v>
      </c>
      <c r="K2987" s="15" t="s">
        <v>1650</v>
      </c>
      <c r="L2987" s="17">
        <v>10</v>
      </c>
      <c r="M2987" s="22">
        <v>1000</v>
      </c>
      <c r="N2987" s="17">
        <v>10</v>
      </c>
      <c r="O2987" s="18">
        <v>78.14</v>
      </c>
      <c r="P2987" s="18">
        <v>64.05</v>
      </c>
      <c r="Q2987" s="18">
        <v>66.42</v>
      </c>
      <c r="R2987" s="18">
        <v>54.44</v>
      </c>
      <c r="S2987" s="18">
        <v>53.14</v>
      </c>
      <c r="T2987" s="18">
        <v>43.56</v>
      </c>
      <c r="U2987" s="16"/>
      <c r="V2987" s="16"/>
      <c r="W2987" s="16" t="s">
        <v>40</v>
      </c>
      <c r="X2987" s="19">
        <v>1.9E-2</v>
      </c>
      <c r="Y2987" s="20">
        <v>7.9999999999999996E-6</v>
      </c>
      <c r="Z2987" s="21">
        <v>4601004193321</v>
      </c>
    </row>
    <row r="2988" spans="1:26" ht="12" customHeight="1" outlineLevel="3" x14ac:dyDescent="0.2">
      <c r="A2988" s="14" t="s">
        <v>5844</v>
      </c>
      <c r="B2988" s="26" t="s">
        <v>5845</v>
      </c>
      <c r="C2988" s="52"/>
      <c r="D2988" s="55">
        <f t="shared" si="46"/>
        <v>0</v>
      </c>
      <c r="E2988" s="63" t="str">
        <f>HYPERLINK("https://www.sds-group.ru/product/shina-pen-zemlya-nol-6h9mm-6-2-6-grupp-krepezh-po-krayam-rexant-11-2365/", "Инфо")</f>
        <v>Инфо</v>
      </c>
      <c r="F2988" s="16" t="s">
        <v>39</v>
      </c>
      <c r="G2988" s="15"/>
      <c r="H2988" s="15"/>
      <c r="I2988" s="15"/>
      <c r="J2988" s="16" t="s">
        <v>100</v>
      </c>
      <c r="K2988" s="15" t="s">
        <v>1650</v>
      </c>
      <c r="L2988" s="17">
        <v>10</v>
      </c>
      <c r="M2988" s="17">
        <v>720</v>
      </c>
      <c r="N2988" s="17">
        <v>10</v>
      </c>
      <c r="O2988" s="18">
        <v>93.82</v>
      </c>
      <c r="P2988" s="18">
        <v>76.900000000000006</v>
      </c>
      <c r="Q2988" s="18">
        <v>79.75</v>
      </c>
      <c r="R2988" s="18">
        <v>65.37</v>
      </c>
      <c r="S2988" s="18">
        <v>63.8</v>
      </c>
      <c r="T2988" s="18">
        <v>52.3</v>
      </c>
      <c r="U2988" s="16"/>
      <c r="V2988" s="16"/>
      <c r="W2988" s="16" t="s">
        <v>40</v>
      </c>
      <c r="X2988" s="19">
        <v>2.1000000000000001E-2</v>
      </c>
      <c r="Y2988" s="20">
        <v>9.0000000000000002E-6</v>
      </c>
      <c r="Z2988" s="21">
        <v>4601004193482</v>
      </c>
    </row>
    <row r="2989" spans="1:26" ht="12" customHeight="1" outlineLevel="3" x14ac:dyDescent="0.2">
      <c r="A2989" s="14" t="s">
        <v>5846</v>
      </c>
      <c r="B2989" s="26" t="s">
        <v>5847</v>
      </c>
      <c r="C2989" s="52"/>
      <c r="D2989" s="55">
        <f t="shared" si="46"/>
        <v>0</v>
      </c>
      <c r="E2989" s="63" t="str">
        <f>HYPERLINK("https://www.sds-group.ru/product/shina-pen-zemlya-nol-6h9mm-8-1-8-grupp-krepezh-po-tsentru-rexant-11-2372/", "Инфо")</f>
        <v>Инфо</v>
      </c>
      <c r="F2989" s="16" t="s">
        <v>39</v>
      </c>
      <c r="G2989" s="15"/>
      <c r="H2989" s="15"/>
      <c r="I2989" s="15"/>
      <c r="J2989" s="16" t="s">
        <v>100</v>
      </c>
      <c r="K2989" s="15" t="s">
        <v>2798</v>
      </c>
      <c r="L2989" s="17">
        <v>10</v>
      </c>
      <c r="M2989" s="17">
        <v>500</v>
      </c>
      <c r="N2989" s="17">
        <v>10</v>
      </c>
      <c r="O2989" s="18">
        <v>106.55</v>
      </c>
      <c r="P2989" s="18">
        <v>87.34</v>
      </c>
      <c r="Q2989" s="18">
        <v>90.57</v>
      </c>
      <c r="R2989" s="18">
        <v>74.239999999999995</v>
      </c>
      <c r="S2989" s="18">
        <v>72.45</v>
      </c>
      <c r="T2989" s="18">
        <v>59.39</v>
      </c>
      <c r="U2989" s="16"/>
      <c r="V2989" s="16"/>
      <c r="W2989" s="16" t="s">
        <v>40</v>
      </c>
      <c r="X2989" s="19">
        <v>2.5000000000000001E-2</v>
      </c>
      <c r="Y2989" s="20">
        <v>9.0000000000000002E-6</v>
      </c>
      <c r="Z2989" s="21">
        <v>4601004243156</v>
      </c>
    </row>
    <row r="2990" spans="1:26" ht="12" customHeight="1" outlineLevel="3" x14ac:dyDescent="0.2">
      <c r="A2990" s="14" t="s">
        <v>5848</v>
      </c>
      <c r="B2990" s="26" t="s">
        <v>5849</v>
      </c>
      <c r="C2990" s="52"/>
      <c r="D2990" s="55">
        <f t="shared" si="46"/>
        <v>0</v>
      </c>
      <c r="E2990" s="63" t="str">
        <f>HYPERLINK("https://www.sds-group.ru/product/shina-pen-zemlya-nol-6h9mm-8-2-8-grupp-krepezh-po-krayam-rexant-11-2366/", "Инфо")</f>
        <v>Инфо</v>
      </c>
      <c r="F2990" s="16" t="s">
        <v>39</v>
      </c>
      <c r="G2990" s="15"/>
      <c r="H2990" s="15"/>
      <c r="I2990" s="15"/>
      <c r="J2990" s="16" t="s">
        <v>100</v>
      </c>
      <c r="K2990" s="15" t="s">
        <v>1650</v>
      </c>
      <c r="L2990" s="17">
        <v>10</v>
      </c>
      <c r="M2990" s="17">
        <v>400</v>
      </c>
      <c r="N2990" s="17">
        <v>10</v>
      </c>
      <c r="O2990" s="18">
        <v>94.68</v>
      </c>
      <c r="P2990" s="18">
        <v>77.61</v>
      </c>
      <c r="Q2990" s="18">
        <v>80.48</v>
      </c>
      <c r="R2990" s="18">
        <v>65.97</v>
      </c>
      <c r="S2990" s="18">
        <v>64.38</v>
      </c>
      <c r="T2990" s="18">
        <v>52.77</v>
      </c>
      <c r="U2990" s="16"/>
      <c r="V2990" s="16"/>
      <c r="W2990" s="16" t="s">
        <v>40</v>
      </c>
      <c r="X2990" s="19">
        <v>2.5000000000000001E-2</v>
      </c>
      <c r="Y2990" s="20">
        <v>6.9999999999999999E-6</v>
      </c>
      <c r="Z2990" s="21">
        <v>4601004193505</v>
      </c>
    </row>
    <row r="2991" spans="1:26" ht="12" customHeight="1" outlineLevel="3" x14ac:dyDescent="0.2">
      <c r="A2991" s="14" t="s">
        <v>5850</v>
      </c>
      <c r="B2991" s="26" t="s">
        <v>5851</v>
      </c>
      <c r="C2991" s="52"/>
      <c r="D2991" s="55">
        <f t="shared" si="46"/>
        <v>0</v>
      </c>
      <c r="E2991" s="63" t="str">
        <f>HYPERLINK("https://www.sds-group.ru/product/shina-na-din-reyku-v-korpuse-kross-modul-2h15-rexant-11-2302-15/", "Инфо")</f>
        <v>Инфо</v>
      </c>
      <c r="F2991" s="16" t="s">
        <v>39</v>
      </c>
      <c r="G2991" s="15"/>
      <c r="H2991" s="15"/>
      <c r="I2991" s="15"/>
      <c r="J2991" s="17">
        <v>390</v>
      </c>
      <c r="K2991" s="15" t="s">
        <v>2750</v>
      </c>
      <c r="L2991" s="17">
        <v>1</v>
      </c>
      <c r="M2991" s="17">
        <v>100</v>
      </c>
      <c r="N2991" s="17">
        <v>1</v>
      </c>
      <c r="O2991" s="18">
        <v>1078.26</v>
      </c>
      <c r="P2991" s="18">
        <v>883.82</v>
      </c>
      <c r="Q2991" s="18">
        <v>862.61</v>
      </c>
      <c r="R2991" s="18">
        <v>707.06</v>
      </c>
      <c r="S2991" s="18">
        <v>733.22</v>
      </c>
      <c r="T2991" s="18">
        <v>601</v>
      </c>
      <c r="U2991" s="16"/>
      <c r="V2991" s="16"/>
      <c r="W2991" s="16" t="s">
        <v>40</v>
      </c>
      <c r="X2991" s="19">
        <v>0.245</v>
      </c>
      <c r="Y2991" s="20">
        <v>4.7100000000000001E-4</v>
      </c>
      <c r="Z2991" s="21">
        <v>4601004187498</v>
      </c>
    </row>
    <row r="2992" spans="1:26" ht="12" customHeight="1" outlineLevel="3" x14ac:dyDescent="0.2">
      <c r="A2992" s="14" t="s">
        <v>5852</v>
      </c>
      <c r="B2992" s="26" t="s">
        <v>5853</v>
      </c>
      <c r="C2992" s="52"/>
      <c r="D2992" s="55">
        <f t="shared" si="46"/>
        <v>0</v>
      </c>
      <c r="E2992" s="63" t="str">
        <f>HYPERLINK("https://www.sds-group.ru/product/shina-na-din-reyku-v-korpuse-kross-modul-2h7-rexant-11-2302-7/", "Инфо")</f>
        <v>Инфо</v>
      </c>
      <c r="F2992" s="16" t="s">
        <v>39</v>
      </c>
      <c r="G2992" s="15"/>
      <c r="H2992" s="15"/>
      <c r="I2992" s="15"/>
      <c r="J2992" s="22">
        <v>1317</v>
      </c>
      <c r="K2992" s="15" t="s">
        <v>1650</v>
      </c>
      <c r="L2992" s="17">
        <v>5</v>
      </c>
      <c r="M2992" s="17">
        <v>100</v>
      </c>
      <c r="N2992" s="17">
        <v>5</v>
      </c>
      <c r="O2992" s="18">
        <v>578.27</v>
      </c>
      <c r="P2992" s="18">
        <v>473.99</v>
      </c>
      <c r="Q2992" s="18">
        <v>462.62</v>
      </c>
      <c r="R2992" s="18">
        <v>379.2</v>
      </c>
      <c r="S2992" s="18">
        <v>393.22</v>
      </c>
      <c r="T2992" s="18">
        <v>322.31</v>
      </c>
      <c r="U2992" s="16"/>
      <c r="V2992" s="16"/>
      <c r="W2992" s="16" t="s">
        <v>40</v>
      </c>
      <c r="X2992" s="19">
        <v>0.13300000000000001</v>
      </c>
      <c r="Y2992" s="20">
        <v>2.5500000000000002E-4</v>
      </c>
      <c r="Z2992" s="21">
        <v>4601004186972</v>
      </c>
    </row>
    <row r="2993" spans="1:26" ht="12" customHeight="1" outlineLevel="3" x14ac:dyDescent="0.2">
      <c r="A2993" s="14" t="s">
        <v>5854</v>
      </c>
      <c r="B2993" s="26" t="s">
        <v>5855</v>
      </c>
      <c r="C2993" s="52"/>
      <c r="D2993" s="55">
        <f t="shared" si="46"/>
        <v>0</v>
      </c>
      <c r="E2993" s="63" t="str">
        <f>HYPERLINK("https://www.sds-group.ru/product/shina-na-din-reyku-v-korpuse-kross-modul-4h11-rexant-11-2304-11/", "Инфо")</f>
        <v>Инфо</v>
      </c>
      <c r="F2993" s="16" t="s">
        <v>39</v>
      </c>
      <c r="G2993" s="15"/>
      <c r="H2993" s="15"/>
      <c r="I2993" s="15"/>
      <c r="J2993" s="17">
        <v>223</v>
      </c>
      <c r="K2993" s="15" t="s">
        <v>1665</v>
      </c>
      <c r="L2993" s="17">
        <v>1</v>
      </c>
      <c r="M2993" s="17">
        <v>50</v>
      </c>
      <c r="N2993" s="17">
        <v>1</v>
      </c>
      <c r="O2993" s="18">
        <v>1351.29</v>
      </c>
      <c r="P2993" s="18">
        <v>1107.6099999999999</v>
      </c>
      <c r="Q2993" s="18">
        <v>1081.03</v>
      </c>
      <c r="R2993" s="18">
        <v>886.09</v>
      </c>
      <c r="S2993" s="18">
        <v>918.88</v>
      </c>
      <c r="T2993" s="18">
        <v>753.18</v>
      </c>
      <c r="U2993" s="16"/>
      <c r="V2993" s="16"/>
      <c r="W2993" s="16" t="s">
        <v>40</v>
      </c>
      <c r="X2993" s="19">
        <v>0.36399999999999999</v>
      </c>
      <c r="Y2993" s="20">
        <v>6.96E-4</v>
      </c>
      <c r="Z2993" s="21">
        <v>4601004186996</v>
      </c>
    </row>
    <row r="2994" spans="1:26" ht="12" customHeight="1" outlineLevel="3" x14ac:dyDescent="0.2">
      <c r="A2994" s="14" t="s">
        <v>5856</v>
      </c>
      <c r="B2994" s="26" t="s">
        <v>5857</v>
      </c>
      <c r="C2994" s="52"/>
      <c r="D2994" s="55">
        <f t="shared" si="46"/>
        <v>0</v>
      </c>
      <c r="E2994" s="63" t="str">
        <f>HYPERLINK("https://www.sds-group.ru/product/shina-na-din-reyku-v-korpuse-kross-modul-4h15-rexant-11-2304-15/", "Инфо")</f>
        <v>Инфо</v>
      </c>
      <c r="F2994" s="16" t="s">
        <v>39</v>
      </c>
      <c r="G2994" s="15"/>
      <c r="H2994" s="15"/>
      <c r="I2994" s="15"/>
      <c r="J2994" s="17">
        <v>198</v>
      </c>
      <c r="K2994" s="15" t="s">
        <v>2750</v>
      </c>
      <c r="L2994" s="17">
        <v>1</v>
      </c>
      <c r="M2994" s="17">
        <v>50</v>
      </c>
      <c r="N2994" s="17">
        <v>1</v>
      </c>
      <c r="O2994" s="18">
        <v>1652.16</v>
      </c>
      <c r="P2994" s="18">
        <v>1354.23</v>
      </c>
      <c r="Q2994" s="18">
        <v>1305.21</v>
      </c>
      <c r="R2994" s="18">
        <v>1069.8399999999999</v>
      </c>
      <c r="S2994" s="18">
        <v>1123.47</v>
      </c>
      <c r="T2994" s="18">
        <v>920.88</v>
      </c>
      <c r="U2994" s="16"/>
      <c r="V2994" s="16"/>
      <c r="W2994" s="16" t="s">
        <v>40</v>
      </c>
      <c r="X2994" s="19">
        <v>0.47799999999999998</v>
      </c>
      <c r="Y2994" s="20">
        <v>8.8800000000000001E-4</v>
      </c>
      <c r="Z2994" s="21">
        <v>4601004187016</v>
      </c>
    </row>
    <row r="2995" spans="1:26" ht="12" customHeight="1" outlineLevel="3" x14ac:dyDescent="0.2">
      <c r="A2995" s="14" t="s">
        <v>5858</v>
      </c>
      <c r="B2995" s="26" t="s">
        <v>5859</v>
      </c>
      <c r="C2995" s="52"/>
      <c r="D2995" s="55">
        <f t="shared" si="46"/>
        <v>0</v>
      </c>
      <c r="E2995" s="63" t="str">
        <f>HYPERLINK("https://www.sds-group.ru/product/shina-na-din-reyku-v-korpuse-kross-modul-4h7-rexant-11-2304-7/", "Инфо")</f>
        <v>Инфо</v>
      </c>
      <c r="F2995" s="16" t="s">
        <v>39</v>
      </c>
      <c r="G2995" s="15"/>
      <c r="H2995" s="15"/>
      <c r="I2995" s="15"/>
      <c r="J2995" s="22">
        <v>1548</v>
      </c>
      <c r="K2995" s="15" t="s">
        <v>210</v>
      </c>
      <c r="L2995" s="17">
        <v>1</v>
      </c>
      <c r="M2995" s="17">
        <v>100</v>
      </c>
      <c r="N2995" s="17">
        <v>1</v>
      </c>
      <c r="O2995" s="18">
        <v>1036.23</v>
      </c>
      <c r="P2995" s="18">
        <v>849.37</v>
      </c>
      <c r="Q2995" s="18">
        <v>828.98</v>
      </c>
      <c r="R2995" s="18">
        <v>679.49</v>
      </c>
      <c r="S2995" s="18">
        <v>704.64</v>
      </c>
      <c r="T2995" s="18">
        <v>577.57000000000005</v>
      </c>
      <c r="U2995" s="16"/>
      <c r="V2995" s="16"/>
      <c r="W2995" s="16" t="s">
        <v>40</v>
      </c>
      <c r="X2995" s="19">
        <v>0.251</v>
      </c>
      <c r="Y2995" s="20">
        <v>4.5899999999999999E-4</v>
      </c>
      <c r="Z2995" s="21">
        <v>4601004187030</v>
      </c>
    </row>
    <row r="2996" spans="1:26" ht="12.95" customHeight="1" outlineLevel="2" x14ac:dyDescent="0.2">
      <c r="A2996" s="76" t="s">
        <v>5860</v>
      </c>
      <c r="B2996" s="76"/>
      <c r="C2996" s="77"/>
      <c r="D2996" s="58"/>
      <c r="E2996" s="68"/>
      <c r="F2996" s="13"/>
      <c r="G2996" s="13"/>
      <c r="H2996" s="13"/>
      <c r="I2996" s="13"/>
      <c r="J2996" s="13"/>
      <c r="K2996" s="13"/>
      <c r="L2996" s="13"/>
      <c r="M2996" s="13"/>
      <c r="N2996" s="13"/>
      <c r="O2996" s="13"/>
      <c r="P2996" s="13"/>
      <c r="Q2996" s="13"/>
      <c r="R2996" s="13"/>
      <c r="S2996" s="13"/>
      <c r="T2996" s="13"/>
      <c r="U2996" s="13"/>
      <c r="V2996" s="13"/>
      <c r="W2996" s="13"/>
      <c r="X2996" s="13"/>
      <c r="Y2996" s="13"/>
      <c r="Z2996" s="13"/>
    </row>
    <row r="2997" spans="1:26" ht="12" customHeight="1" outlineLevel="3" x14ac:dyDescent="0.2">
      <c r="A2997" s="14" t="s">
        <v>5861</v>
      </c>
      <c r="B2997" s="26" t="s">
        <v>5862</v>
      </c>
      <c r="C2997" s="52"/>
      <c r="D2997" s="55">
        <f t="shared" si="46"/>
        <v>0</v>
      </c>
      <c r="E2997" s="63" t="str">
        <f>HYPERLINK("https://www.sds-group.ru/product/nakleyka-znak-elektrobezopasnosti-220-v-10h30mm-42-sht-na-liste-5-listov-rexant-56-0007/", "Инфо")</f>
        <v>Инфо</v>
      </c>
      <c r="F2997" s="16" t="s">
        <v>39</v>
      </c>
      <c r="G2997" s="15"/>
      <c r="H2997" s="15"/>
      <c r="I2997" s="15"/>
      <c r="J2997" s="22">
        <v>257040</v>
      </c>
      <c r="K2997" s="15"/>
      <c r="L2997" s="17">
        <v>210</v>
      </c>
      <c r="M2997" s="17">
        <v>210</v>
      </c>
      <c r="N2997" s="17">
        <v>210</v>
      </c>
      <c r="O2997" s="18">
        <v>3.6</v>
      </c>
      <c r="P2997" s="18">
        <v>2.95</v>
      </c>
      <c r="Q2997" s="18">
        <v>3.06</v>
      </c>
      <c r="R2997" s="18">
        <v>2.5099999999999998</v>
      </c>
      <c r="S2997" s="18">
        <v>2.4500000000000002</v>
      </c>
      <c r="T2997" s="18">
        <v>2.0099999999999998</v>
      </c>
      <c r="U2997" s="16"/>
      <c r="V2997" s="16"/>
      <c r="W2997" s="16" t="s">
        <v>40</v>
      </c>
      <c r="X2997" s="19">
        <v>0</v>
      </c>
      <c r="Y2997" s="20">
        <v>9.9999999999999995E-7</v>
      </c>
      <c r="Z2997" s="21">
        <v>4601004034952</v>
      </c>
    </row>
    <row r="2998" spans="1:26" ht="12" customHeight="1" outlineLevel="3" x14ac:dyDescent="0.2">
      <c r="A2998" s="14" t="s">
        <v>5863</v>
      </c>
      <c r="B2998" s="26" t="s">
        <v>5864</v>
      </c>
      <c r="C2998" s="52"/>
      <c r="D2998" s="55">
        <f t="shared" si="46"/>
        <v>0</v>
      </c>
      <c r="E2998" s="63" t="str">
        <f>HYPERLINK("https://www.sds-group.ru/product/nakleyka-znak-elektrobezopasnosti-380-v-10h30mm-42-sht-na-liste-5-listov-rexant-56-0008/", "Инфо")</f>
        <v>Инфо</v>
      </c>
      <c r="F2998" s="16" t="s">
        <v>39</v>
      </c>
      <c r="G2998" s="15"/>
      <c r="H2998" s="15"/>
      <c r="I2998" s="15"/>
      <c r="J2998" s="22">
        <v>25200</v>
      </c>
      <c r="K2998" s="15" t="s">
        <v>1094</v>
      </c>
      <c r="L2998" s="17">
        <v>210</v>
      </c>
      <c r="M2998" s="17">
        <v>210</v>
      </c>
      <c r="N2998" s="17">
        <v>210</v>
      </c>
      <c r="O2998" s="18">
        <v>3.5</v>
      </c>
      <c r="P2998" s="18">
        <v>2.87</v>
      </c>
      <c r="Q2998" s="18">
        <v>2.98</v>
      </c>
      <c r="R2998" s="18">
        <v>2.44</v>
      </c>
      <c r="S2998" s="18">
        <v>2.38</v>
      </c>
      <c r="T2998" s="18">
        <v>1.95</v>
      </c>
      <c r="U2998" s="16"/>
      <c r="V2998" s="16"/>
      <c r="W2998" s="16" t="s">
        <v>40</v>
      </c>
      <c r="X2998" s="19">
        <v>0</v>
      </c>
      <c r="Y2998" s="20">
        <v>9.9999999999999995E-7</v>
      </c>
      <c r="Z2998" s="21">
        <v>4601004034969</v>
      </c>
    </row>
    <row r="2999" spans="1:26" ht="12" customHeight="1" outlineLevel="3" x14ac:dyDescent="0.2">
      <c r="A2999" s="14" t="s">
        <v>5865</v>
      </c>
      <c r="B2999" s="26" t="s">
        <v>5866</v>
      </c>
      <c r="C2999" s="52"/>
      <c r="D2999" s="55">
        <f t="shared" si="46"/>
        <v>0</v>
      </c>
      <c r="E2999" s="63" t="str">
        <f>HYPERLINK("https://www.sds-group.ru/product/nabor-modulnyh-nakleek-markirovka-elektroschitov-malyy-100h100mm-120-nakleek-rexant-56-0082/", "Инфо")</f>
        <v>Инфо</v>
      </c>
      <c r="F2999" s="16" t="s">
        <v>39</v>
      </c>
      <c r="G2999" s="15"/>
      <c r="H2999" s="15"/>
      <c r="I2999" s="15"/>
      <c r="J2999" s="16" t="s">
        <v>100</v>
      </c>
      <c r="K2999" s="15" t="s">
        <v>1094</v>
      </c>
      <c r="L2999" s="17">
        <v>5</v>
      </c>
      <c r="M2999" s="17">
        <v>100</v>
      </c>
      <c r="N2999" s="17">
        <v>5</v>
      </c>
      <c r="O2999" s="18">
        <v>398.87</v>
      </c>
      <c r="P2999" s="18">
        <v>326.94</v>
      </c>
      <c r="Q2999" s="18">
        <v>319.10000000000002</v>
      </c>
      <c r="R2999" s="18">
        <v>261.56</v>
      </c>
      <c r="S2999" s="18">
        <v>271.23</v>
      </c>
      <c r="T2999" s="18">
        <v>222.32</v>
      </c>
      <c r="U2999" s="16"/>
      <c r="V2999" s="16"/>
      <c r="W2999" s="16" t="s">
        <v>40</v>
      </c>
      <c r="X2999" s="19">
        <v>1.6E-2</v>
      </c>
      <c r="Y2999" s="20">
        <v>1.1E-4</v>
      </c>
      <c r="Z2999" s="21">
        <v>4601004308060</v>
      </c>
    </row>
    <row r="3000" spans="1:26" ht="12" customHeight="1" outlineLevel="3" x14ac:dyDescent="0.2">
      <c r="A3000" s="14" t="s">
        <v>5867</v>
      </c>
      <c r="B3000" s="26" t="s">
        <v>5868</v>
      </c>
      <c r="C3000" s="52"/>
      <c r="D3000" s="55">
        <f t="shared" si="46"/>
        <v>0</v>
      </c>
      <c r="E3000" s="63" t="str">
        <f>HYPERLINK("https://www.sds-group.ru/product/nabor-nakleek-markirovka-elektroschitov-m-1-85h150mm-nadpisi-dlya-va-10-listov-rexant-56-0081/", "Инфо")</f>
        <v>Инфо</v>
      </c>
      <c r="F3000" s="16" t="s">
        <v>39</v>
      </c>
      <c r="G3000" s="15"/>
      <c r="H3000" s="15"/>
      <c r="I3000" s="15"/>
      <c r="J3000" s="16" t="s">
        <v>100</v>
      </c>
      <c r="K3000" s="15" t="s">
        <v>1381</v>
      </c>
      <c r="L3000" s="17">
        <v>5</v>
      </c>
      <c r="M3000" s="17">
        <v>100</v>
      </c>
      <c r="N3000" s="17">
        <v>5</v>
      </c>
      <c r="O3000" s="18">
        <v>418.81</v>
      </c>
      <c r="P3000" s="18">
        <v>343.29</v>
      </c>
      <c r="Q3000" s="18">
        <v>335.05</v>
      </c>
      <c r="R3000" s="18">
        <v>274.63</v>
      </c>
      <c r="S3000" s="18">
        <v>284.79000000000002</v>
      </c>
      <c r="T3000" s="18">
        <v>233.43</v>
      </c>
      <c r="U3000" s="16"/>
      <c r="V3000" s="16"/>
      <c r="W3000" s="16" t="s">
        <v>40</v>
      </c>
      <c r="X3000" s="19">
        <v>2.7E-2</v>
      </c>
      <c r="Y3000" s="20">
        <v>1.3999999999999999E-4</v>
      </c>
      <c r="Z3000" s="21">
        <v>4601004308077</v>
      </c>
    </row>
    <row r="3001" spans="1:26" ht="12" customHeight="1" outlineLevel="3" x14ac:dyDescent="0.2">
      <c r="A3001" s="14" t="s">
        <v>5869</v>
      </c>
      <c r="B3001" s="26" t="s">
        <v>5870</v>
      </c>
      <c r="C3001" s="52"/>
      <c r="D3001" s="55">
        <f t="shared" si="46"/>
        <v>0</v>
      </c>
      <c r="E3001" s="63" t="str">
        <f>HYPERLINK("https://www.sds-group.ru/product/nabor-nakleek-markirovka-elektroschitov-m-2-100h100mm-tsifry-znaki-elektrobezopasnosti-10-li-56-0080/", "Инфо")</f>
        <v>Инфо</v>
      </c>
      <c r="F3001" s="16" t="s">
        <v>39</v>
      </c>
      <c r="G3001" s="15"/>
      <c r="H3001" s="15"/>
      <c r="I3001" s="15"/>
      <c r="J3001" s="17">
        <v>112</v>
      </c>
      <c r="K3001" s="15"/>
      <c r="L3001" s="17">
        <v>5</v>
      </c>
      <c r="M3001" s="17">
        <v>100</v>
      </c>
      <c r="N3001" s="17">
        <v>5</v>
      </c>
      <c r="O3001" s="18">
        <v>418.81</v>
      </c>
      <c r="P3001" s="18">
        <v>343.29</v>
      </c>
      <c r="Q3001" s="18">
        <v>335.05</v>
      </c>
      <c r="R3001" s="18">
        <v>274.63</v>
      </c>
      <c r="S3001" s="18">
        <v>284.79000000000002</v>
      </c>
      <c r="T3001" s="18">
        <v>233.43</v>
      </c>
      <c r="U3001" s="16"/>
      <c r="V3001" s="16"/>
      <c r="W3001" s="16" t="s">
        <v>40</v>
      </c>
      <c r="X3001" s="19">
        <v>2.3E-2</v>
      </c>
      <c r="Y3001" s="20">
        <v>1.12E-4</v>
      </c>
      <c r="Z3001" s="21">
        <v>4601004308046</v>
      </c>
    </row>
    <row r="3002" spans="1:26" ht="12" customHeight="1" outlineLevel="3" x14ac:dyDescent="0.2">
      <c r="A3002" s="14" t="s">
        <v>5871</v>
      </c>
      <c r="B3002" s="26" t="s">
        <v>5872</v>
      </c>
      <c r="C3002" s="52"/>
      <c r="D3002" s="55">
        <f t="shared" si="46"/>
        <v>0</v>
      </c>
      <c r="E3002" s="63" t="str">
        <f>HYPERLINK("https://www.sds-group.ru/product/nakleyka-znak-elektrobezopasnosti-220-v-15h50mm-20-sht-na-liste-rexant-56-0007-1/", "Инфо")</f>
        <v>Инфо</v>
      </c>
      <c r="F3002" s="16" t="s">
        <v>39</v>
      </c>
      <c r="G3002" s="15"/>
      <c r="H3002" s="15"/>
      <c r="I3002" s="15"/>
      <c r="J3002" s="22">
        <v>25320</v>
      </c>
      <c r="K3002" s="15"/>
      <c r="L3002" s="17">
        <v>100</v>
      </c>
      <c r="M3002" s="17">
        <v>100</v>
      </c>
      <c r="N3002" s="17">
        <v>100</v>
      </c>
      <c r="O3002" s="18">
        <v>3.6</v>
      </c>
      <c r="P3002" s="18">
        <v>2.95</v>
      </c>
      <c r="Q3002" s="18">
        <v>3.06</v>
      </c>
      <c r="R3002" s="18">
        <v>2.5099999999999998</v>
      </c>
      <c r="S3002" s="18">
        <v>2.4500000000000002</v>
      </c>
      <c r="T3002" s="18">
        <v>2.0099999999999998</v>
      </c>
      <c r="U3002" s="16"/>
      <c r="V3002" s="16"/>
      <c r="W3002" s="16" t="s">
        <v>40</v>
      </c>
      <c r="X3002" s="19">
        <v>0</v>
      </c>
      <c r="Y3002" s="20">
        <v>0</v>
      </c>
      <c r="Z3002" s="21">
        <v>4601004162426</v>
      </c>
    </row>
    <row r="3003" spans="1:26" ht="12" customHeight="1" outlineLevel="3" x14ac:dyDescent="0.2">
      <c r="A3003" s="14" t="s">
        <v>5873</v>
      </c>
      <c r="B3003" s="26" t="s">
        <v>5874</v>
      </c>
      <c r="C3003" s="52"/>
      <c r="D3003" s="55">
        <f t="shared" si="46"/>
        <v>0</v>
      </c>
      <c r="E3003" s="63" t="str">
        <f>HYPERLINK("https://www.sds-group.ru/product/nakleyka-znak-elektrobezopasnosti-380-v-15h50mm-20-sht-na-liste-rexant-56-0008-1/", "Инфо")</f>
        <v>Инфо</v>
      </c>
      <c r="F3003" s="16" t="s">
        <v>39</v>
      </c>
      <c r="G3003" s="15"/>
      <c r="H3003" s="15"/>
      <c r="I3003" s="15"/>
      <c r="J3003" s="22">
        <v>60330</v>
      </c>
      <c r="K3003" s="15"/>
      <c r="L3003" s="17">
        <v>100</v>
      </c>
      <c r="M3003" s="17">
        <v>100</v>
      </c>
      <c r="N3003" s="17">
        <v>100</v>
      </c>
      <c r="O3003" s="18">
        <v>3.6</v>
      </c>
      <c r="P3003" s="18">
        <v>2.95</v>
      </c>
      <c r="Q3003" s="18">
        <v>3.06</v>
      </c>
      <c r="R3003" s="18">
        <v>2.5099999999999998</v>
      </c>
      <c r="S3003" s="18">
        <v>2.4500000000000002</v>
      </c>
      <c r="T3003" s="18">
        <v>2.0099999999999998</v>
      </c>
      <c r="U3003" s="16"/>
      <c r="V3003" s="16"/>
      <c r="W3003" s="16" t="s">
        <v>40</v>
      </c>
      <c r="X3003" s="19">
        <v>0</v>
      </c>
      <c r="Y3003" s="20">
        <v>3.0000000000000001E-6</v>
      </c>
      <c r="Z3003" s="21">
        <v>4601004162617</v>
      </c>
    </row>
    <row r="3004" spans="1:26" ht="12" customHeight="1" outlineLevel="3" x14ac:dyDescent="0.2">
      <c r="A3004" s="14" t="s">
        <v>5875</v>
      </c>
      <c r="B3004" s="26" t="s">
        <v>5876</v>
      </c>
      <c r="C3004" s="52"/>
      <c r="D3004" s="55">
        <f t="shared" si="46"/>
        <v>0</v>
      </c>
      <c r="E3004" s="63" t="str">
        <f>HYPERLINK("https://www.sds-group.ru/product/nakleyka-znak-elektrobezopasnosti-380-v-35h100mm-7-sht-na-liste-rexant-56-0008-2/", "Инфо")</f>
        <v>Инфо</v>
      </c>
      <c r="F3004" s="16" t="s">
        <v>39</v>
      </c>
      <c r="G3004" s="15"/>
      <c r="H3004" s="15"/>
      <c r="I3004" s="15"/>
      <c r="J3004" s="22">
        <v>3850</v>
      </c>
      <c r="K3004" s="15" t="s">
        <v>1094</v>
      </c>
      <c r="L3004" s="17">
        <v>35</v>
      </c>
      <c r="M3004" s="17">
        <v>35</v>
      </c>
      <c r="N3004" s="17">
        <v>35</v>
      </c>
      <c r="O3004" s="18">
        <v>12.64</v>
      </c>
      <c r="P3004" s="18">
        <v>10.36</v>
      </c>
      <c r="Q3004" s="18">
        <v>10.74</v>
      </c>
      <c r="R3004" s="18">
        <v>8.8000000000000007</v>
      </c>
      <c r="S3004" s="18">
        <v>8.6</v>
      </c>
      <c r="T3004" s="18">
        <v>7.05</v>
      </c>
      <c r="U3004" s="16"/>
      <c r="V3004" s="16"/>
      <c r="W3004" s="16" t="s">
        <v>40</v>
      </c>
      <c r="X3004" s="19">
        <v>1E-3</v>
      </c>
      <c r="Y3004" s="20">
        <v>1.2999999999999999E-5</v>
      </c>
      <c r="Z3004" s="21">
        <v>4601004162631</v>
      </c>
    </row>
    <row r="3005" spans="1:26" ht="12" customHeight="1" outlineLevel="3" x14ac:dyDescent="0.2">
      <c r="A3005" s="32" t="s">
        <v>5877</v>
      </c>
      <c r="B3005" s="74" t="s">
        <v>5878</v>
      </c>
      <c r="C3005" s="50"/>
      <c r="D3005" s="53">
        <f t="shared" si="46"/>
        <v>0</v>
      </c>
      <c r="E3005" s="60" t="str">
        <f>HYPERLINK("https://www.sds-group.ru/product/nakleyka-znak-elektrobezopasnosti-n-diametr-20mm-20-sht-na-liste-rexant-56-0059/", "Инфо")</f>
        <v>Инфо</v>
      </c>
      <c r="F3005" s="34" t="s">
        <v>39</v>
      </c>
      <c r="G3005" s="33"/>
      <c r="H3005" s="33" t="s">
        <v>40</v>
      </c>
      <c r="I3005" s="33"/>
      <c r="J3005" s="39">
        <v>3700</v>
      </c>
      <c r="K3005" s="33"/>
      <c r="L3005" s="35">
        <v>100</v>
      </c>
      <c r="M3005" s="35">
        <v>100</v>
      </c>
      <c r="N3005" s="35">
        <v>100</v>
      </c>
      <c r="O3005" s="36">
        <v>2.84</v>
      </c>
      <c r="P3005" s="36">
        <v>2.33</v>
      </c>
      <c r="Q3005" s="36">
        <v>2.41</v>
      </c>
      <c r="R3005" s="36">
        <v>1.98</v>
      </c>
      <c r="S3005" s="36">
        <v>1.93</v>
      </c>
      <c r="T3005" s="36">
        <v>1.58</v>
      </c>
      <c r="U3005" s="34"/>
      <c r="V3005" s="34"/>
      <c r="W3005" s="34" t="s">
        <v>40</v>
      </c>
      <c r="X3005" s="37">
        <v>0</v>
      </c>
      <c r="Y3005" s="38">
        <v>1.9999999999999999E-6</v>
      </c>
      <c r="Z3005" s="21">
        <v>2000321636153</v>
      </c>
    </row>
    <row r="3006" spans="1:26" ht="12" customHeight="1" outlineLevel="3" x14ac:dyDescent="0.2">
      <c r="A3006" s="32" t="s">
        <v>5879</v>
      </c>
      <c r="B3006" s="74" t="s">
        <v>5880</v>
      </c>
      <c r="C3006" s="50"/>
      <c r="D3006" s="53">
        <f t="shared" si="46"/>
        <v>0</v>
      </c>
      <c r="E3006" s="60" t="str">
        <f>HYPERLINK("https://www.sds-group.ru/product/nakleyka-znak-elektrobezopasnosti-zazemlenie-diametr-10mm-200-nakleek-5-listov-rexant-56-0010-02/", "Инфо")</f>
        <v>Инфо</v>
      </c>
      <c r="F3006" s="34" t="s">
        <v>39</v>
      </c>
      <c r="G3006" s="33"/>
      <c r="H3006" s="33" t="s">
        <v>40</v>
      </c>
      <c r="I3006" s="33"/>
      <c r="J3006" s="39">
        <v>6400</v>
      </c>
      <c r="K3006" s="33"/>
      <c r="L3006" s="35">
        <v>200</v>
      </c>
      <c r="M3006" s="35">
        <v>200</v>
      </c>
      <c r="N3006" s="35">
        <v>200</v>
      </c>
      <c r="O3006" s="36">
        <v>2.0699999999999998</v>
      </c>
      <c r="P3006" s="36">
        <v>1.7</v>
      </c>
      <c r="Q3006" s="36">
        <v>1.76</v>
      </c>
      <c r="R3006" s="36">
        <v>1.44</v>
      </c>
      <c r="S3006" s="36">
        <v>1.41</v>
      </c>
      <c r="T3006" s="36">
        <v>1.1599999999999999</v>
      </c>
      <c r="U3006" s="34"/>
      <c r="V3006" s="34"/>
      <c r="W3006" s="34" t="s">
        <v>40</v>
      </c>
      <c r="X3006" s="37">
        <v>0</v>
      </c>
      <c r="Y3006" s="38">
        <v>0</v>
      </c>
      <c r="Z3006" s="21">
        <v>4601004339248</v>
      </c>
    </row>
    <row r="3007" spans="1:26" ht="12" customHeight="1" outlineLevel="3" x14ac:dyDescent="0.2">
      <c r="A3007" s="14" t="s">
        <v>5881</v>
      </c>
      <c r="B3007" s="26" t="s">
        <v>5882</v>
      </c>
      <c r="C3007" s="52"/>
      <c r="D3007" s="55">
        <f t="shared" si="46"/>
        <v>0</v>
      </c>
      <c r="E3007" s="63" t="str">
        <f>HYPERLINK("https://www.sds-group.ru/product/nakleyka-znak-elektrobezopasnosti-zazemlenie-diametr-20mm-s-hederom-20-sht-na-liste-rexan-56-0010-01/", "Инфо")</f>
        <v>Инфо</v>
      </c>
      <c r="F3007" s="16" t="s">
        <v>39</v>
      </c>
      <c r="G3007" s="15"/>
      <c r="H3007" s="15"/>
      <c r="I3007" s="15"/>
      <c r="J3007" s="22">
        <v>1562</v>
      </c>
      <c r="K3007" s="15"/>
      <c r="L3007" s="17">
        <v>5</v>
      </c>
      <c r="M3007" s="17">
        <v>5</v>
      </c>
      <c r="N3007" s="17">
        <v>5</v>
      </c>
      <c r="O3007" s="18">
        <v>54.41</v>
      </c>
      <c r="P3007" s="18">
        <v>44.6</v>
      </c>
      <c r="Q3007" s="18">
        <v>46.25</v>
      </c>
      <c r="R3007" s="18">
        <v>37.909999999999997</v>
      </c>
      <c r="S3007" s="18">
        <v>37</v>
      </c>
      <c r="T3007" s="18">
        <v>30.33</v>
      </c>
      <c r="U3007" s="16"/>
      <c r="V3007" s="16"/>
      <c r="W3007" s="16" t="s">
        <v>40</v>
      </c>
      <c r="X3007" s="19">
        <v>4.0000000000000001E-3</v>
      </c>
      <c r="Y3007" s="20">
        <v>1.9999999999999999E-6</v>
      </c>
      <c r="Z3007" s="21">
        <v>4601004266728</v>
      </c>
    </row>
    <row r="3008" spans="1:26" ht="12" customHeight="1" outlineLevel="3" x14ac:dyDescent="0.2">
      <c r="A3008" s="14" t="s">
        <v>5883</v>
      </c>
      <c r="B3008" s="26" t="s">
        <v>5884</v>
      </c>
      <c r="C3008" s="52"/>
      <c r="D3008" s="55">
        <f t="shared" si="46"/>
        <v>0</v>
      </c>
      <c r="E3008" s="63" t="str">
        <f>HYPERLINK("https://www.sds-group.ru/product/nakleyka-znak-elektrobezopasnosti-zazemlenie-diametr-20mm-20-sht-na-liste-rexant-56-0010/", "Инфо")</f>
        <v>Инфо</v>
      </c>
      <c r="F3008" s="16" t="s">
        <v>39</v>
      </c>
      <c r="G3008" s="15"/>
      <c r="H3008" s="15"/>
      <c r="I3008" s="15"/>
      <c r="J3008" s="22">
        <v>163800</v>
      </c>
      <c r="K3008" s="15" t="s">
        <v>1094</v>
      </c>
      <c r="L3008" s="17">
        <v>100</v>
      </c>
      <c r="M3008" s="17">
        <v>100</v>
      </c>
      <c r="N3008" s="17">
        <v>100</v>
      </c>
      <c r="O3008" s="18">
        <v>2.48</v>
      </c>
      <c r="P3008" s="18">
        <v>2.0299999999999998</v>
      </c>
      <c r="Q3008" s="18">
        <v>2.11</v>
      </c>
      <c r="R3008" s="18">
        <v>1.73</v>
      </c>
      <c r="S3008" s="18">
        <v>1.69</v>
      </c>
      <c r="T3008" s="18">
        <v>1.39</v>
      </c>
      <c r="U3008" s="16"/>
      <c r="V3008" s="16"/>
      <c r="W3008" s="16" t="s">
        <v>40</v>
      </c>
      <c r="X3008" s="19">
        <v>0</v>
      </c>
      <c r="Y3008" s="20">
        <v>1.9999999999999999E-6</v>
      </c>
      <c r="Z3008" s="21">
        <v>4601004154261</v>
      </c>
    </row>
    <row r="3009" spans="1:26" ht="12" customHeight="1" outlineLevel="3" x14ac:dyDescent="0.2">
      <c r="A3009" s="14" t="s">
        <v>5885</v>
      </c>
      <c r="B3009" s="26" t="s">
        <v>5886</v>
      </c>
      <c r="C3009" s="52"/>
      <c r="D3009" s="55">
        <f t="shared" si="46"/>
        <v>0</v>
      </c>
      <c r="E3009" s="63" t="str">
        <f>HYPERLINK("https://www.sds-group.ru/product/nakleyka-znak-elektrobezopasnosti-opasnost-porazheniya-elektrotokom-200h200h200mm-rexant-56-0006/", "Инфо")</f>
        <v>Инфо</v>
      </c>
      <c r="F3009" s="16" t="s">
        <v>39</v>
      </c>
      <c r="G3009" s="15"/>
      <c r="H3009" s="15"/>
      <c r="I3009" s="15"/>
      <c r="J3009" s="22">
        <v>5274</v>
      </c>
      <c r="K3009" s="15"/>
      <c r="L3009" s="17">
        <v>5</v>
      </c>
      <c r="M3009" s="17">
        <v>100</v>
      </c>
      <c r="N3009" s="17">
        <v>5</v>
      </c>
      <c r="O3009" s="18">
        <v>50</v>
      </c>
      <c r="P3009" s="18">
        <v>40.98</v>
      </c>
      <c r="Q3009" s="18">
        <v>42.5</v>
      </c>
      <c r="R3009" s="18">
        <v>34.840000000000003</v>
      </c>
      <c r="S3009" s="18">
        <v>34</v>
      </c>
      <c r="T3009" s="18">
        <v>27.87</v>
      </c>
      <c r="U3009" s="16"/>
      <c r="V3009" s="16"/>
      <c r="W3009" s="16" t="s">
        <v>40</v>
      </c>
      <c r="X3009" s="19">
        <v>0.01</v>
      </c>
      <c r="Y3009" s="20">
        <v>3.6000000000000001E-5</v>
      </c>
      <c r="Z3009" s="21">
        <v>4601004060111</v>
      </c>
    </row>
    <row r="3010" spans="1:26" ht="12" customHeight="1" outlineLevel="3" x14ac:dyDescent="0.2">
      <c r="A3010" s="14" t="s">
        <v>5887</v>
      </c>
      <c r="B3010" s="26" t="s">
        <v>5888</v>
      </c>
      <c r="C3010" s="52"/>
      <c r="D3010" s="55">
        <f t="shared" si="46"/>
        <v>0</v>
      </c>
      <c r="E3010" s="63" t="str">
        <f>HYPERLINK("https://www.sds-group.ru/product/nakleyka-znak-elektrobezopasnosti-opasnost-porazheniya-elektrotokom-25h25h25mm-100-sht-rex-56-0006-1/", "Инфо")</f>
        <v>Инфо</v>
      </c>
      <c r="F3010" s="16" t="s">
        <v>39</v>
      </c>
      <c r="G3010" s="15"/>
      <c r="H3010" s="15"/>
      <c r="I3010" s="15"/>
      <c r="J3010" s="22">
        <v>71300</v>
      </c>
      <c r="K3010" s="15"/>
      <c r="L3010" s="17">
        <v>100</v>
      </c>
      <c r="M3010" s="17">
        <v>100</v>
      </c>
      <c r="N3010" s="17">
        <v>100</v>
      </c>
      <c r="O3010" s="18">
        <v>2.09</v>
      </c>
      <c r="P3010" s="18">
        <v>1.71</v>
      </c>
      <c r="Q3010" s="18">
        <v>1.78</v>
      </c>
      <c r="R3010" s="18">
        <v>1.46</v>
      </c>
      <c r="S3010" s="18">
        <v>1.42</v>
      </c>
      <c r="T3010" s="18">
        <v>1.1599999999999999</v>
      </c>
      <c r="U3010" s="16"/>
      <c r="V3010" s="16"/>
      <c r="W3010" s="16" t="s">
        <v>40</v>
      </c>
      <c r="X3010" s="19">
        <v>0</v>
      </c>
      <c r="Y3010" s="20">
        <v>0</v>
      </c>
      <c r="Z3010" s="21">
        <v>2000321636085</v>
      </c>
    </row>
    <row r="3011" spans="1:26" ht="12" customHeight="1" outlineLevel="3" x14ac:dyDescent="0.2">
      <c r="A3011" s="14" t="s">
        <v>5889</v>
      </c>
      <c r="B3011" s="26" t="s">
        <v>5890</v>
      </c>
      <c r="C3011" s="52"/>
      <c r="D3011" s="55">
        <f t="shared" si="46"/>
        <v>0</v>
      </c>
      <c r="E3011" s="63" t="str">
        <f>HYPERLINK("https://www.sds-group.ru/product/nakleyka-znak-elektrobezopasnosti-opasnost-porazheniya-elektrotokom-50h50h50mm-50-sht-rexa-56-0006-2/", "Инфо")</f>
        <v>Инфо</v>
      </c>
      <c r="F3011" s="16" t="s">
        <v>39</v>
      </c>
      <c r="G3011" s="15"/>
      <c r="H3011" s="15"/>
      <c r="I3011" s="15"/>
      <c r="J3011" s="22">
        <v>57750</v>
      </c>
      <c r="K3011" s="15"/>
      <c r="L3011" s="17">
        <v>50</v>
      </c>
      <c r="M3011" s="17">
        <v>50</v>
      </c>
      <c r="N3011" s="17">
        <v>50</v>
      </c>
      <c r="O3011" s="18">
        <v>4.51</v>
      </c>
      <c r="P3011" s="18">
        <v>3.7</v>
      </c>
      <c r="Q3011" s="18">
        <v>3.83</v>
      </c>
      <c r="R3011" s="18">
        <v>3.14</v>
      </c>
      <c r="S3011" s="18">
        <v>3.07</v>
      </c>
      <c r="T3011" s="18">
        <v>2.52</v>
      </c>
      <c r="U3011" s="16"/>
      <c r="V3011" s="16"/>
      <c r="W3011" s="16" t="s">
        <v>40</v>
      </c>
      <c r="X3011" s="19">
        <v>0</v>
      </c>
      <c r="Y3011" s="20">
        <v>5.0000000000000004E-6</v>
      </c>
      <c r="Z3011" s="21">
        <v>2000321635699</v>
      </c>
    </row>
    <row r="3012" spans="1:26" ht="12" customHeight="1" outlineLevel="3" x14ac:dyDescent="0.2">
      <c r="A3012" s="14" t="s">
        <v>5891</v>
      </c>
      <c r="B3012" s="26" t="s">
        <v>5892</v>
      </c>
      <c r="C3012" s="52"/>
      <c r="D3012" s="55">
        <f t="shared" si="46"/>
        <v>0</v>
      </c>
      <c r="E3012" s="63" t="str">
        <f>HYPERLINK("https://www.sds-group.ru/product/nakleyka-znak-elektrobezopasnosti-opasnost-porazheniya-elektrotokom-85h85h85mm-20-sht-rexa-56-0006-4/", "Инфо")</f>
        <v>Инфо</v>
      </c>
      <c r="F3012" s="16" t="s">
        <v>39</v>
      </c>
      <c r="G3012" s="15"/>
      <c r="H3012" s="15"/>
      <c r="I3012" s="15"/>
      <c r="J3012" s="22">
        <v>14820</v>
      </c>
      <c r="K3012" s="15"/>
      <c r="L3012" s="17">
        <v>20</v>
      </c>
      <c r="M3012" s="17">
        <v>100</v>
      </c>
      <c r="N3012" s="17">
        <v>20</v>
      </c>
      <c r="O3012" s="18">
        <v>15.13</v>
      </c>
      <c r="P3012" s="18">
        <v>12.4</v>
      </c>
      <c r="Q3012" s="18">
        <v>12.86</v>
      </c>
      <c r="R3012" s="18">
        <v>10.54</v>
      </c>
      <c r="S3012" s="18">
        <v>10.29</v>
      </c>
      <c r="T3012" s="18">
        <v>8.43</v>
      </c>
      <c r="U3012" s="16"/>
      <c r="V3012" s="16"/>
      <c r="W3012" s="16" t="s">
        <v>40</v>
      </c>
      <c r="X3012" s="19">
        <v>1E-3</v>
      </c>
      <c r="Y3012" s="20">
        <v>1.4E-5</v>
      </c>
      <c r="Z3012" s="21">
        <v>2000321643755</v>
      </c>
    </row>
    <row r="3013" spans="1:26" ht="12" customHeight="1" outlineLevel="3" x14ac:dyDescent="0.2">
      <c r="A3013" s="14" t="s">
        <v>5893</v>
      </c>
      <c r="B3013" s="26" t="s">
        <v>5894</v>
      </c>
      <c r="C3013" s="52"/>
      <c r="D3013" s="55">
        <f t="shared" si="46"/>
        <v>0</v>
      </c>
      <c r="E3013" s="63" t="str">
        <f>HYPERLINK("https://www.sds-group.ru/product/nakleyka-znak-elektrobezopasnosti-opasnost-porazheniya-elektrotokom-100h100h100mm-rexant-56-0005/", "Инфо")</f>
        <v>Инфо</v>
      </c>
      <c r="F3013" s="16" t="s">
        <v>39</v>
      </c>
      <c r="G3013" s="15"/>
      <c r="H3013" s="15"/>
      <c r="I3013" s="15"/>
      <c r="J3013" s="22">
        <v>22515</v>
      </c>
      <c r="K3013" s="15"/>
      <c r="L3013" s="17">
        <v>10</v>
      </c>
      <c r="M3013" s="17">
        <v>100</v>
      </c>
      <c r="N3013" s="17">
        <v>10</v>
      </c>
      <c r="O3013" s="18">
        <v>20.51</v>
      </c>
      <c r="P3013" s="18">
        <v>16.809999999999999</v>
      </c>
      <c r="Q3013" s="18">
        <v>17.43</v>
      </c>
      <c r="R3013" s="18">
        <v>14.29</v>
      </c>
      <c r="S3013" s="18">
        <v>13.95</v>
      </c>
      <c r="T3013" s="18">
        <v>11.43</v>
      </c>
      <c r="U3013" s="16"/>
      <c r="V3013" s="16"/>
      <c r="W3013" s="16" t="s">
        <v>40</v>
      </c>
      <c r="X3013" s="19">
        <v>3.0000000000000001E-3</v>
      </c>
      <c r="Y3013" s="20">
        <v>1.9999999999999999E-6</v>
      </c>
      <c r="Z3013" s="21">
        <v>4601004156159</v>
      </c>
    </row>
    <row r="3014" spans="1:26" ht="12" customHeight="1" outlineLevel="3" x14ac:dyDescent="0.2">
      <c r="A3014" s="14" t="s">
        <v>5895</v>
      </c>
      <c r="B3014" s="26" t="s">
        <v>5896</v>
      </c>
      <c r="C3014" s="52"/>
      <c r="D3014" s="55">
        <f t="shared" si="46"/>
        <v>0</v>
      </c>
      <c r="E3014" s="63" t="str">
        <f>HYPERLINK("https://www.sds-group.ru/product/nakleyka-znak-elektrobezopasnosti-stoy-napryazhenie-100h200mm-rexant-55-0015/", "Инфо")</f>
        <v>Инфо</v>
      </c>
      <c r="F3014" s="16" t="s">
        <v>39</v>
      </c>
      <c r="G3014" s="15"/>
      <c r="H3014" s="15"/>
      <c r="I3014" s="15"/>
      <c r="J3014" s="17">
        <v>970</v>
      </c>
      <c r="K3014" s="15"/>
      <c r="L3014" s="17">
        <v>5</v>
      </c>
      <c r="M3014" s="17">
        <v>100</v>
      </c>
      <c r="N3014" s="17">
        <v>5</v>
      </c>
      <c r="O3014" s="18">
        <v>60.45</v>
      </c>
      <c r="P3014" s="18">
        <v>49.55</v>
      </c>
      <c r="Q3014" s="18">
        <v>51.38</v>
      </c>
      <c r="R3014" s="18">
        <v>42.11</v>
      </c>
      <c r="S3014" s="18">
        <v>41.11</v>
      </c>
      <c r="T3014" s="18">
        <v>33.700000000000003</v>
      </c>
      <c r="U3014" s="16"/>
      <c r="V3014" s="16"/>
      <c r="W3014" s="16" t="s">
        <v>40</v>
      </c>
      <c r="X3014" s="19">
        <v>6.0000000000000001E-3</v>
      </c>
      <c r="Y3014" s="20">
        <v>6.7999999999999999E-5</v>
      </c>
      <c r="Z3014" s="21">
        <v>4601004162815</v>
      </c>
    </row>
    <row r="3015" spans="1:26" ht="12" customHeight="1" outlineLevel="3" x14ac:dyDescent="0.2">
      <c r="A3015" s="14" t="s">
        <v>5897</v>
      </c>
      <c r="B3015" s="26" t="s">
        <v>5898</v>
      </c>
      <c r="C3015" s="52"/>
      <c r="D3015" s="55">
        <f t="shared" si="46"/>
        <v>0</v>
      </c>
      <c r="E3015" s="63" t="str">
        <f>HYPERLINK("https://www.sds-group.ru/product/nakleyka-znak-elektrobezopasnosti-elektroschitovaya-150h300mm-rexant-56-0004/", "Инфо")</f>
        <v>Инфо</v>
      </c>
      <c r="F3015" s="16" t="s">
        <v>39</v>
      </c>
      <c r="G3015" s="15"/>
      <c r="H3015" s="15"/>
      <c r="I3015" s="15"/>
      <c r="J3015" s="22">
        <v>1740</v>
      </c>
      <c r="K3015" s="15" t="s">
        <v>1094</v>
      </c>
      <c r="L3015" s="17">
        <v>5</v>
      </c>
      <c r="M3015" s="17">
        <v>100</v>
      </c>
      <c r="N3015" s="17">
        <v>5</v>
      </c>
      <c r="O3015" s="18">
        <v>65.680000000000007</v>
      </c>
      <c r="P3015" s="18">
        <v>53.84</v>
      </c>
      <c r="Q3015" s="18">
        <v>55.83</v>
      </c>
      <c r="R3015" s="18">
        <v>45.76</v>
      </c>
      <c r="S3015" s="18">
        <v>44.66</v>
      </c>
      <c r="T3015" s="18">
        <v>36.61</v>
      </c>
      <c r="U3015" s="16"/>
      <c r="V3015" s="16"/>
      <c r="W3015" s="16" t="s">
        <v>40</v>
      </c>
      <c r="X3015" s="19">
        <v>1.2E-2</v>
      </c>
      <c r="Y3015" s="20">
        <v>1.2999999999999999E-5</v>
      </c>
      <c r="Z3015" s="21">
        <v>4601004156142</v>
      </c>
    </row>
    <row r="3016" spans="1:26" ht="12" customHeight="1" outlineLevel="3" x14ac:dyDescent="0.2">
      <c r="A3016" s="14" t="s">
        <v>5899</v>
      </c>
      <c r="B3016" s="26" t="s">
        <v>5900</v>
      </c>
      <c r="C3016" s="52"/>
      <c r="D3016" s="55">
        <f t="shared" si="46"/>
        <v>0</v>
      </c>
      <c r="E3016" s="63" t="str">
        <f>HYPERLINK("https://www.sds-group.ru/product/nakleyka-markirovochnaya-tablitsa-12-moduley-50h216mm-rexant-55-0010/", "Инфо")</f>
        <v>Инфо</v>
      </c>
      <c r="F3016" s="16" t="s">
        <v>39</v>
      </c>
      <c r="G3016" s="15"/>
      <c r="H3016" s="15"/>
      <c r="I3016" s="15"/>
      <c r="J3016" s="22">
        <v>3967</v>
      </c>
      <c r="K3016" s="15" t="s">
        <v>1094</v>
      </c>
      <c r="L3016" s="17">
        <v>20</v>
      </c>
      <c r="M3016" s="17">
        <v>100</v>
      </c>
      <c r="N3016" s="17">
        <v>20</v>
      </c>
      <c r="O3016" s="18">
        <v>16.04</v>
      </c>
      <c r="P3016" s="18">
        <v>13.15</v>
      </c>
      <c r="Q3016" s="18">
        <v>13.63</v>
      </c>
      <c r="R3016" s="18">
        <v>11.17</v>
      </c>
      <c r="S3016" s="18">
        <v>10.91</v>
      </c>
      <c r="T3016" s="18">
        <v>8.94</v>
      </c>
      <c r="U3016" s="16"/>
      <c r="V3016" s="16"/>
      <c r="W3016" s="16" t="s">
        <v>40</v>
      </c>
      <c r="X3016" s="19">
        <v>4.0000000000000001E-3</v>
      </c>
      <c r="Y3016" s="20">
        <v>1.0000000000000001E-5</v>
      </c>
      <c r="Z3016" s="21">
        <v>4601004162716</v>
      </c>
    </row>
    <row r="3017" spans="1:26" ht="12.95" customHeight="1" outlineLevel="2" x14ac:dyDescent="0.2">
      <c r="A3017" s="76" t="s">
        <v>5901</v>
      </c>
      <c r="B3017" s="76"/>
      <c r="C3017" s="77"/>
      <c r="D3017" s="58"/>
      <c r="E3017" s="68"/>
      <c r="F3017" s="13"/>
      <c r="G3017" s="13"/>
      <c r="H3017" s="13"/>
      <c r="I3017" s="13"/>
      <c r="J3017" s="13"/>
      <c r="K3017" s="13"/>
      <c r="L3017" s="13"/>
      <c r="M3017" s="13"/>
      <c r="N3017" s="13"/>
      <c r="O3017" s="13"/>
      <c r="P3017" s="13"/>
      <c r="Q3017" s="13"/>
      <c r="R3017" s="13"/>
      <c r="S3017" s="13"/>
      <c r="T3017" s="13"/>
      <c r="U3017" s="13"/>
      <c r="V3017" s="13"/>
      <c r="W3017" s="13"/>
      <c r="X3017" s="13"/>
      <c r="Y3017" s="13"/>
      <c r="Z3017" s="13"/>
    </row>
    <row r="3018" spans="1:26" ht="12.95" customHeight="1" outlineLevel="3" x14ac:dyDescent="0.2">
      <c r="A3018" s="76" t="s">
        <v>5902</v>
      </c>
      <c r="B3018" s="76"/>
      <c r="C3018" s="77"/>
      <c r="D3018" s="58"/>
      <c r="E3018" s="68"/>
      <c r="F3018" s="13"/>
      <c r="G3018" s="13"/>
      <c r="H3018" s="13"/>
      <c r="I3018" s="13"/>
      <c r="J3018" s="13"/>
      <c r="K3018" s="13"/>
      <c r="L3018" s="13"/>
      <c r="M3018" s="13"/>
      <c r="N3018" s="13"/>
      <c r="O3018" s="13"/>
      <c r="P3018" s="13"/>
      <c r="Q3018" s="13"/>
      <c r="R3018" s="13"/>
      <c r="S3018" s="13"/>
      <c r="T3018" s="13"/>
      <c r="U3018" s="13"/>
      <c r="V3018" s="13"/>
      <c r="W3018" s="13"/>
      <c r="X3018" s="13"/>
      <c r="Y3018" s="13"/>
      <c r="Z3018" s="13"/>
    </row>
    <row r="3019" spans="1:26" ht="12" customHeight="1" outlineLevel="4" x14ac:dyDescent="0.2">
      <c r="A3019" s="14" t="s">
        <v>5903</v>
      </c>
      <c r="B3019" s="26" t="s">
        <v>5904</v>
      </c>
      <c r="C3019" s="52"/>
      <c r="D3019" s="55">
        <f t="shared" ref="D3019:D3080" si="47">C3019*(O3019-O3019*$G$3)</f>
        <v>0</v>
      </c>
      <c r="E3019" s="63" t="str">
        <f>HYPERLINK("https://www.sds-group.ru/product/kabelnyy-vvod-s-rezboy-pg-7-3-5-6mm-chernyy-rexant-07-8007-1/", "Инфо")</f>
        <v>Инфо</v>
      </c>
      <c r="F3019" s="16" t="s">
        <v>39</v>
      </c>
      <c r="G3019" s="15"/>
      <c r="H3019" s="15"/>
      <c r="I3019" s="15"/>
      <c r="J3019" s="22">
        <v>14300</v>
      </c>
      <c r="K3019" s="15" t="s">
        <v>1650</v>
      </c>
      <c r="L3019" s="17">
        <v>100</v>
      </c>
      <c r="M3019" s="22">
        <v>6000</v>
      </c>
      <c r="N3019" s="17">
        <v>100</v>
      </c>
      <c r="O3019" s="18">
        <v>11.73</v>
      </c>
      <c r="P3019" s="18">
        <v>9.61</v>
      </c>
      <c r="Q3019" s="18">
        <v>9.9700000000000006</v>
      </c>
      <c r="R3019" s="18">
        <v>8.17</v>
      </c>
      <c r="S3019" s="18">
        <v>7.98</v>
      </c>
      <c r="T3019" s="18">
        <v>6.54</v>
      </c>
      <c r="U3019" s="16"/>
      <c r="V3019" s="16"/>
      <c r="W3019" s="16" t="s">
        <v>40</v>
      </c>
      <c r="X3019" s="19">
        <v>5.0000000000000001E-3</v>
      </c>
      <c r="Y3019" s="20">
        <v>1.2999999999999999E-5</v>
      </c>
      <c r="Z3019" s="21">
        <v>4601004036420</v>
      </c>
    </row>
    <row r="3020" spans="1:26" ht="12" customHeight="1" outlineLevel="4" x14ac:dyDescent="0.2">
      <c r="A3020" s="14" t="s">
        <v>5905</v>
      </c>
      <c r="B3020" s="26" t="s">
        <v>5906</v>
      </c>
      <c r="C3020" s="52"/>
      <c r="D3020" s="55">
        <f t="shared" si="47"/>
        <v>0</v>
      </c>
      <c r="E3020" s="63" t="str">
        <f>HYPERLINK("https://www.sds-group.ru/product/kabelnyy-vvod-s-rezboy-pg-9-4-8mm-chernyy-rexant-07-8009-1/", "Инфо")</f>
        <v>Инфо</v>
      </c>
      <c r="F3020" s="16" t="s">
        <v>39</v>
      </c>
      <c r="G3020" s="15"/>
      <c r="H3020" s="15"/>
      <c r="I3020" s="15"/>
      <c r="J3020" s="22">
        <v>8800</v>
      </c>
      <c r="K3020" s="15" t="s">
        <v>1650</v>
      </c>
      <c r="L3020" s="17">
        <v>100</v>
      </c>
      <c r="M3020" s="22">
        <v>3500</v>
      </c>
      <c r="N3020" s="17">
        <v>100</v>
      </c>
      <c r="O3020" s="18">
        <v>14.51</v>
      </c>
      <c r="P3020" s="18">
        <v>11.89</v>
      </c>
      <c r="Q3020" s="18">
        <v>12.33</v>
      </c>
      <c r="R3020" s="18">
        <v>10.11</v>
      </c>
      <c r="S3020" s="18">
        <v>9.8699999999999992</v>
      </c>
      <c r="T3020" s="18">
        <v>8.09</v>
      </c>
      <c r="U3020" s="16"/>
      <c r="V3020" s="16"/>
      <c r="W3020" s="16" t="s">
        <v>40</v>
      </c>
      <c r="X3020" s="19">
        <v>7.0000000000000001E-3</v>
      </c>
      <c r="Y3020" s="20">
        <v>2.0000000000000002E-5</v>
      </c>
      <c r="Z3020" s="21">
        <v>4601004036444</v>
      </c>
    </row>
    <row r="3021" spans="1:26" ht="12" customHeight="1" outlineLevel="4" x14ac:dyDescent="0.2">
      <c r="A3021" s="14" t="s">
        <v>5907</v>
      </c>
      <c r="B3021" s="26" t="s">
        <v>5908</v>
      </c>
      <c r="C3021" s="52"/>
      <c r="D3021" s="55">
        <f t="shared" si="47"/>
        <v>0</v>
      </c>
      <c r="E3021" s="63" t="str">
        <f>HYPERLINK("https://www.sds-group.ru/product/kabelnyy-vvod-s-rezboy-pg-11-5-10mm-seryy-rexant-07-8011/", "Инфо")</f>
        <v>Инфо</v>
      </c>
      <c r="F3021" s="16" t="s">
        <v>39</v>
      </c>
      <c r="G3021" s="15"/>
      <c r="H3021" s="15"/>
      <c r="I3021" s="15"/>
      <c r="J3021" s="22">
        <v>15800</v>
      </c>
      <c r="K3021" s="15" t="s">
        <v>1650</v>
      </c>
      <c r="L3021" s="17">
        <v>100</v>
      </c>
      <c r="M3021" s="22">
        <v>2500</v>
      </c>
      <c r="N3021" s="17">
        <v>100</v>
      </c>
      <c r="O3021" s="18">
        <v>19.07</v>
      </c>
      <c r="P3021" s="18">
        <v>15.63</v>
      </c>
      <c r="Q3021" s="18">
        <v>16.21</v>
      </c>
      <c r="R3021" s="18">
        <v>13.29</v>
      </c>
      <c r="S3021" s="18">
        <v>12.97</v>
      </c>
      <c r="T3021" s="18">
        <v>10.63</v>
      </c>
      <c r="U3021" s="16"/>
      <c r="V3021" s="16"/>
      <c r="W3021" s="16" t="s">
        <v>40</v>
      </c>
      <c r="X3021" s="19">
        <v>0.01</v>
      </c>
      <c r="Y3021" s="20">
        <v>2.9E-5</v>
      </c>
      <c r="Z3021" s="21">
        <v>4601004036451</v>
      </c>
    </row>
    <row r="3022" spans="1:26" ht="12" customHeight="1" outlineLevel="4" x14ac:dyDescent="0.2">
      <c r="A3022" s="14" t="s">
        <v>5909</v>
      </c>
      <c r="B3022" s="26" t="s">
        <v>5910</v>
      </c>
      <c r="C3022" s="52"/>
      <c r="D3022" s="55">
        <f t="shared" si="47"/>
        <v>0</v>
      </c>
      <c r="E3022" s="63" t="str">
        <f>HYPERLINK("https://www.sds-group.ru/product/kabelnyy-vvod-s-rezboy-pg-11-5-10mm-chernyy-rexant-07-8011-1/", "Инфо")</f>
        <v>Инфо</v>
      </c>
      <c r="F3022" s="16" t="s">
        <v>39</v>
      </c>
      <c r="G3022" s="15"/>
      <c r="H3022" s="15"/>
      <c r="I3022" s="15"/>
      <c r="J3022" s="22">
        <v>17000</v>
      </c>
      <c r="K3022" s="15" t="s">
        <v>1665</v>
      </c>
      <c r="L3022" s="17">
        <v>100</v>
      </c>
      <c r="M3022" s="22">
        <v>2500</v>
      </c>
      <c r="N3022" s="17">
        <v>100</v>
      </c>
      <c r="O3022" s="18">
        <v>18.63</v>
      </c>
      <c r="P3022" s="18">
        <v>15.27</v>
      </c>
      <c r="Q3022" s="18">
        <v>15.84</v>
      </c>
      <c r="R3022" s="18">
        <v>12.98</v>
      </c>
      <c r="S3022" s="18">
        <v>12.67</v>
      </c>
      <c r="T3022" s="18">
        <v>10.39</v>
      </c>
      <c r="U3022" s="16"/>
      <c r="V3022" s="16"/>
      <c r="W3022" s="16" t="s">
        <v>40</v>
      </c>
      <c r="X3022" s="19">
        <v>8.9999999999999993E-3</v>
      </c>
      <c r="Y3022" s="20">
        <v>2.9E-5</v>
      </c>
      <c r="Z3022" s="21">
        <v>4601004036468</v>
      </c>
    </row>
    <row r="3023" spans="1:26" ht="12" customHeight="1" outlineLevel="4" x14ac:dyDescent="0.2">
      <c r="A3023" s="14" t="s">
        <v>5911</v>
      </c>
      <c r="B3023" s="26" t="s">
        <v>5912</v>
      </c>
      <c r="C3023" s="52"/>
      <c r="D3023" s="55">
        <f t="shared" si="47"/>
        <v>0</v>
      </c>
      <c r="E3023" s="63" t="str">
        <f>HYPERLINK("https://www.sds-group.ru/product/kabelnyy-vvod-s-rezboy-pg-13-5-6-12mm-seryy-rexant-07-8013/", "Инфо")</f>
        <v>Инфо</v>
      </c>
      <c r="F3023" s="16" t="s">
        <v>39</v>
      </c>
      <c r="G3023" s="15"/>
      <c r="H3023" s="15"/>
      <c r="I3023" s="15"/>
      <c r="J3023" s="22">
        <v>5200</v>
      </c>
      <c r="K3023" s="15" t="s">
        <v>2798</v>
      </c>
      <c r="L3023" s="17">
        <v>100</v>
      </c>
      <c r="M3023" s="22">
        <v>2000</v>
      </c>
      <c r="N3023" s="17">
        <v>100</v>
      </c>
      <c r="O3023" s="18">
        <v>21.03</v>
      </c>
      <c r="P3023" s="18">
        <v>17.239999999999998</v>
      </c>
      <c r="Q3023" s="18">
        <v>17.88</v>
      </c>
      <c r="R3023" s="18">
        <v>14.66</v>
      </c>
      <c r="S3023" s="18">
        <v>14.3</v>
      </c>
      <c r="T3023" s="18">
        <v>11.72</v>
      </c>
      <c r="U3023" s="16"/>
      <c r="V3023" s="16"/>
      <c r="W3023" s="16" t="s">
        <v>40</v>
      </c>
      <c r="X3023" s="19">
        <v>1.2E-2</v>
      </c>
      <c r="Y3023" s="20">
        <v>3.4999999999999997E-5</v>
      </c>
      <c r="Z3023" s="21">
        <v>4601004036475</v>
      </c>
    </row>
    <row r="3024" spans="1:26" ht="12" customHeight="1" outlineLevel="4" x14ac:dyDescent="0.2">
      <c r="A3024" s="14" t="s">
        <v>5913</v>
      </c>
      <c r="B3024" s="26" t="s">
        <v>5914</v>
      </c>
      <c r="C3024" s="52"/>
      <c r="D3024" s="55">
        <f t="shared" si="47"/>
        <v>0</v>
      </c>
      <c r="E3024" s="63" t="str">
        <f>HYPERLINK("https://www.sds-group.ru/product/kabelnyy-vvod-s-rezboy-pg-13-5-6-12mm-chernyy-rexant-07-8013-1/", "Инфо")</f>
        <v>Инфо</v>
      </c>
      <c r="F3024" s="16" t="s">
        <v>39</v>
      </c>
      <c r="G3024" s="15"/>
      <c r="H3024" s="15"/>
      <c r="I3024" s="15"/>
      <c r="J3024" s="22">
        <v>1300</v>
      </c>
      <c r="K3024" s="15" t="s">
        <v>1650</v>
      </c>
      <c r="L3024" s="17">
        <v>100</v>
      </c>
      <c r="M3024" s="22">
        <v>2000</v>
      </c>
      <c r="N3024" s="17">
        <v>100</v>
      </c>
      <c r="O3024" s="18">
        <v>21.03</v>
      </c>
      <c r="P3024" s="18">
        <v>17.239999999999998</v>
      </c>
      <c r="Q3024" s="18">
        <v>17.88</v>
      </c>
      <c r="R3024" s="18">
        <v>14.66</v>
      </c>
      <c r="S3024" s="18">
        <v>14.3</v>
      </c>
      <c r="T3024" s="18">
        <v>11.72</v>
      </c>
      <c r="U3024" s="16"/>
      <c r="V3024" s="16"/>
      <c r="W3024" s="16" t="s">
        <v>40</v>
      </c>
      <c r="X3024" s="19">
        <v>1.0999999999999999E-2</v>
      </c>
      <c r="Y3024" s="20">
        <v>3.4999999999999997E-5</v>
      </c>
      <c r="Z3024" s="21">
        <v>4601004036482</v>
      </c>
    </row>
    <row r="3025" spans="1:26" ht="12" customHeight="1" outlineLevel="4" x14ac:dyDescent="0.2">
      <c r="A3025" s="14" t="s">
        <v>5915</v>
      </c>
      <c r="B3025" s="26" t="s">
        <v>5916</v>
      </c>
      <c r="C3025" s="52"/>
      <c r="D3025" s="55">
        <f t="shared" si="47"/>
        <v>0</v>
      </c>
      <c r="E3025" s="63" t="str">
        <f>HYPERLINK("https://www.sds-group.ru/product/kabelnyy-vvod-s-rezboy-pg-16-10-14mm-seryy-rexant-07-8016/", "Инфо")</f>
        <v>Инфо</v>
      </c>
      <c r="F3025" s="16" t="s">
        <v>39</v>
      </c>
      <c r="G3025" s="15"/>
      <c r="H3025" s="15"/>
      <c r="I3025" s="15"/>
      <c r="J3025" s="16" t="s">
        <v>100</v>
      </c>
      <c r="K3025" s="15" t="s">
        <v>1650</v>
      </c>
      <c r="L3025" s="17">
        <v>100</v>
      </c>
      <c r="M3025" s="22">
        <v>1600</v>
      </c>
      <c r="N3025" s="17">
        <v>100</v>
      </c>
      <c r="O3025" s="18">
        <v>27.23</v>
      </c>
      <c r="P3025" s="18">
        <v>22.32</v>
      </c>
      <c r="Q3025" s="18">
        <v>23.15</v>
      </c>
      <c r="R3025" s="18">
        <v>18.98</v>
      </c>
      <c r="S3025" s="18">
        <v>18.52</v>
      </c>
      <c r="T3025" s="18">
        <v>15.18</v>
      </c>
      <c r="U3025" s="16"/>
      <c r="V3025" s="16"/>
      <c r="W3025" s="16" t="s">
        <v>40</v>
      </c>
      <c r="X3025" s="19">
        <v>1.4E-2</v>
      </c>
      <c r="Y3025" s="20">
        <v>4.5000000000000003E-5</v>
      </c>
      <c r="Z3025" s="21">
        <v>4601004036499</v>
      </c>
    </row>
    <row r="3026" spans="1:26" ht="12" customHeight="1" outlineLevel="4" x14ac:dyDescent="0.2">
      <c r="A3026" s="14" t="s">
        <v>5917</v>
      </c>
      <c r="B3026" s="26" t="s">
        <v>5918</v>
      </c>
      <c r="C3026" s="52"/>
      <c r="D3026" s="55">
        <f t="shared" si="47"/>
        <v>0</v>
      </c>
      <c r="E3026" s="63" t="str">
        <f>HYPERLINK("https://www.sds-group.ru/product/kabelnyy-vvod-s-rezboy-pg-16-10-14mm-chernyy-rexant-07-8016-1/", "Инфо")</f>
        <v>Инфо</v>
      </c>
      <c r="F3026" s="16" t="s">
        <v>39</v>
      </c>
      <c r="G3026" s="15"/>
      <c r="H3026" s="15"/>
      <c r="I3026" s="15"/>
      <c r="J3026" s="16" t="s">
        <v>100</v>
      </c>
      <c r="K3026" s="15" t="s">
        <v>1650</v>
      </c>
      <c r="L3026" s="17">
        <v>100</v>
      </c>
      <c r="M3026" s="22">
        <v>1600</v>
      </c>
      <c r="N3026" s="17">
        <v>100</v>
      </c>
      <c r="O3026" s="18">
        <v>27.23</v>
      </c>
      <c r="P3026" s="18">
        <v>22.32</v>
      </c>
      <c r="Q3026" s="18">
        <v>23.15</v>
      </c>
      <c r="R3026" s="18">
        <v>18.98</v>
      </c>
      <c r="S3026" s="18">
        <v>18.52</v>
      </c>
      <c r="T3026" s="18">
        <v>15.18</v>
      </c>
      <c r="U3026" s="16"/>
      <c r="V3026" s="16"/>
      <c r="W3026" s="16" t="s">
        <v>40</v>
      </c>
      <c r="X3026" s="19">
        <v>1.4E-2</v>
      </c>
      <c r="Y3026" s="20">
        <v>4.3000000000000002E-5</v>
      </c>
      <c r="Z3026" s="21">
        <v>4601004036505</v>
      </c>
    </row>
    <row r="3027" spans="1:26" ht="12" customHeight="1" outlineLevel="4" x14ac:dyDescent="0.2">
      <c r="A3027" s="14" t="s">
        <v>5919</v>
      </c>
      <c r="B3027" s="26" t="s">
        <v>5920</v>
      </c>
      <c r="C3027" s="52"/>
      <c r="D3027" s="55">
        <f t="shared" si="47"/>
        <v>0</v>
      </c>
      <c r="E3027" s="63" t="str">
        <f>HYPERLINK("https://www.sds-group.ru/product/kabelnyy-vvod-s-rezboy-pg-21-13-18mm-seryy-rexant-07-8021/", "Инфо")</f>
        <v>Инфо</v>
      </c>
      <c r="F3027" s="16" t="s">
        <v>39</v>
      </c>
      <c r="G3027" s="15"/>
      <c r="H3027" s="15"/>
      <c r="I3027" s="15"/>
      <c r="J3027" s="22">
        <v>2450</v>
      </c>
      <c r="K3027" s="15" t="s">
        <v>1650</v>
      </c>
      <c r="L3027" s="17">
        <v>50</v>
      </c>
      <c r="M3027" s="22">
        <v>1000</v>
      </c>
      <c r="N3027" s="17">
        <v>50</v>
      </c>
      <c r="O3027" s="18">
        <v>40.24</v>
      </c>
      <c r="P3027" s="18">
        <v>32.979999999999997</v>
      </c>
      <c r="Q3027" s="18">
        <v>34.200000000000003</v>
      </c>
      <c r="R3027" s="18">
        <v>28.03</v>
      </c>
      <c r="S3027" s="18">
        <v>27.36</v>
      </c>
      <c r="T3027" s="18">
        <v>22.43</v>
      </c>
      <c r="U3027" s="16"/>
      <c r="V3027" s="16"/>
      <c r="W3027" s="16" t="s">
        <v>40</v>
      </c>
      <c r="X3027" s="19">
        <v>2.4E-2</v>
      </c>
      <c r="Y3027" s="20">
        <v>7.1000000000000005E-5</v>
      </c>
      <c r="Z3027" s="21">
        <v>4601004036642</v>
      </c>
    </row>
    <row r="3028" spans="1:26" ht="12" customHeight="1" outlineLevel="4" x14ac:dyDescent="0.2">
      <c r="A3028" s="14" t="s">
        <v>5921</v>
      </c>
      <c r="B3028" s="26" t="s">
        <v>5922</v>
      </c>
      <c r="C3028" s="52"/>
      <c r="D3028" s="55">
        <f t="shared" si="47"/>
        <v>0</v>
      </c>
      <c r="E3028" s="63" t="str">
        <f>HYPERLINK("https://www.sds-group.ru/product/kabelnyy-vvod-s-rezboy-pg-21-13-18mm-chernyy-rexant-07-8021-1/", "Инфо")</f>
        <v>Инфо</v>
      </c>
      <c r="F3028" s="16" t="s">
        <v>39</v>
      </c>
      <c r="G3028" s="15"/>
      <c r="H3028" s="15"/>
      <c r="I3028" s="15"/>
      <c r="J3028" s="22">
        <v>3400</v>
      </c>
      <c r="K3028" s="15" t="s">
        <v>1650</v>
      </c>
      <c r="L3028" s="17">
        <v>50</v>
      </c>
      <c r="M3028" s="22">
        <v>1000</v>
      </c>
      <c r="N3028" s="17">
        <v>50</v>
      </c>
      <c r="O3028" s="18">
        <v>40.24</v>
      </c>
      <c r="P3028" s="18">
        <v>32.979999999999997</v>
      </c>
      <c r="Q3028" s="18">
        <v>34.200000000000003</v>
      </c>
      <c r="R3028" s="18">
        <v>28.03</v>
      </c>
      <c r="S3028" s="18">
        <v>27.36</v>
      </c>
      <c r="T3028" s="18">
        <v>22.43</v>
      </c>
      <c r="U3028" s="16"/>
      <c r="V3028" s="16"/>
      <c r="W3028" s="16" t="s">
        <v>40</v>
      </c>
      <c r="X3028" s="19">
        <v>2.1999999999999999E-2</v>
      </c>
      <c r="Y3028" s="20">
        <v>7.8999999999999996E-5</v>
      </c>
      <c r="Z3028" s="21">
        <v>4601004036512</v>
      </c>
    </row>
    <row r="3029" spans="1:26" ht="12" customHeight="1" outlineLevel="4" x14ac:dyDescent="0.2">
      <c r="A3029" s="14" t="s">
        <v>5923</v>
      </c>
      <c r="B3029" s="26" t="s">
        <v>5924</v>
      </c>
      <c r="C3029" s="52"/>
      <c r="D3029" s="55">
        <f t="shared" si="47"/>
        <v>0</v>
      </c>
      <c r="E3029" s="63" t="str">
        <f>HYPERLINK("https://www.sds-group.ru/product/kabelnyy-vvod-s-rezboy-pg-29-18-25mm-seryy-rexant-07-8029/", "Инфо")</f>
        <v>Инфо</v>
      </c>
      <c r="F3029" s="16" t="s">
        <v>39</v>
      </c>
      <c r="G3029" s="15"/>
      <c r="H3029" s="15"/>
      <c r="I3029" s="15"/>
      <c r="J3029" s="16" t="s">
        <v>100</v>
      </c>
      <c r="K3029" s="15" t="s">
        <v>2798</v>
      </c>
      <c r="L3029" s="17">
        <v>50</v>
      </c>
      <c r="M3029" s="17">
        <v>500</v>
      </c>
      <c r="N3029" s="17">
        <v>50</v>
      </c>
      <c r="O3029" s="18">
        <v>65.53</v>
      </c>
      <c r="P3029" s="18">
        <v>53.71</v>
      </c>
      <c r="Q3029" s="18">
        <v>55.7</v>
      </c>
      <c r="R3029" s="18">
        <v>45.66</v>
      </c>
      <c r="S3029" s="18">
        <v>44.56</v>
      </c>
      <c r="T3029" s="18">
        <v>36.520000000000003</v>
      </c>
      <c r="U3029" s="16"/>
      <c r="V3029" s="16"/>
      <c r="W3029" s="16" t="s">
        <v>40</v>
      </c>
      <c r="X3029" s="19">
        <v>4.3999999999999997E-2</v>
      </c>
      <c r="Y3029" s="20">
        <v>1.5899999999999999E-4</v>
      </c>
      <c r="Z3029" s="21">
        <v>4601004036529</v>
      </c>
    </row>
    <row r="3030" spans="1:26" ht="12" customHeight="1" outlineLevel="4" x14ac:dyDescent="0.2">
      <c r="A3030" s="14" t="s">
        <v>5925</v>
      </c>
      <c r="B3030" s="26" t="s">
        <v>5926</v>
      </c>
      <c r="C3030" s="52"/>
      <c r="D3030" s="55">
        <f t="shared" si="47"/>
        <v>0</v>
      </c>
      <c r="E3030" s="63" t="str">
        <f>HYPERLINK("https://www.sds-group.ru/product/kabelnyy-vvod-s-rezboy-pg-29-18-25mm-chernyy-rexant-07-8029-1/", "Инфо")</f>
        <v>Инфо</v>
      </c>
      <c r="F3030" s="16" t="s">
        <v>39</v>
      </c>
      <c r="G3030" s="15"/>
      <c r="H3030" s="15"/>
      <c r="I3030" s="15"/>
      <c r="J3030" s="17">
        <v>450</v>
      </c>
      <c r="K3030" s="15" t="s">
        <v>1650</v>
      </c>
      <c r="L3030" s="17">
        <v>50</v>
      </c>
      <c r="M3030" s="17">
        <v>500</v>
      </c>
      <c r="N3030" s="17">
        <v>50</v>
      </c>
      <c r="O3030" s="18">
        <v>64.03</v>
      </c>
      <c r="P3030" s="18">
        <v>52.48</v>
      </c>
      <c r="Q3030" s="18">
        <v>54.43</v>
      </c>
      <c r="R3030" s="18">
        <v>44.61</v>
      </c>
      <c r="S3030" s="18">
        <v>43.54</v>
      </c>
      <c r="T3030" s="18">
        <v>35.69</v>
      </c>
      <c r="U3030" s="16"/>
      <c r="V3030" s="16"/>
      <c r="W3030" s="16" t="s">
        <v>40</v>
      </c>
      <c r="X3030" s="19">
        <v>4.2000000000000003E-2</v>
      </c>
      <c r="Y3030" s="20">
        <v>1.7699999999999999E-4</v>
      </c>
      <c r="Z3030" s="21">
        <v>4601004036536</v>
      </c>
    </row>
    <row r="3031" spans="1:26" ht="12" customHeight="1" outlineLevel="4" x14ac:dyDescent="0.2">
      <c r="A3031" s="14" t="s">
        <v>5927</v>
      </c>
      <c r="B3031" s="26" t="s">
        <v>5928</v>
      </c>
      <c r="C3031" s="52"/>
      <c r="D3031" s="55">
        <f t="shared" si="47"/>
        <v>0</v>
      </c>
      <c r="E3031" s="63" t="str">
        <f>HYPERLINK("https://www.sds-group.ru/product/kabelnyy-vvod-s-rezboy-pg-36-22-32mm-seryy-rexant-07-8036/", "Инфо")</f>
        <v>Инфо</v>
      </c>
      <c r="F3031" s="16" t="s">
        <v>39</v>
      </c>
      <c r="G3031" s="15"/>
      <c r="H3031" s="15"/>
      <c r="I3031" s="15"/>
      <c r="J3031" s="16" t="s">
        <v>100</v>
      </c>
      <c r="K3031" s="15" t="s">
        <v>1650</v>
      </c>
      <c r="L3031" s="17">
        <v>20</v>
      </c>
      <c r="M3031" s="17">
        <v>240</v>
      </c>
      <c r="N3031" s="17">
        <v>20</v>
      </c>
      <c r="O3031" s="18">
        <v>111.37</v>
      </c>
      <c r="P3031" s="18">
        <v>91.29</v>
      </c>
      <c r="Q3031" s="18">
        <v>94.66</v>
      </c>
      <c r="R3031" s="18">
        <v>77.59</v>
      </c>
      <c r="S3031" s="18">
        <v>75.73</v>
      </c>
      <c r="T3031" s="18">
        <v>62.07</v>
      </c>
      <c r="U3031" s="16"/>
      <c r="V3031" s="16"/>
      <c r="W3031" s="16" t="s">
        <v>40</v>
      </c>
      <c r="X3031" s="19">
        <v>7.0000000000000007E-2</v>
      </c>
      <c r="Y3031" s="20">
        <v>2.4600000000000002E-4</v>
      </c>
      <c r="Z3031" s="21">
        <v>4601004036741</v>
      </c>
    </row>
    <row r="3032" spans="1:26" ht="12" customHeight="1" outlineLevel="4" x14ac:dyDescent="0.2">
      <c r="A3032" s="14" t="s">
        <v>5929</v>
      </c>
      <c r="B3032" s="26" t="s">
        <v>5930</v>
      </c>
      <c r="C3032" s="52"/>
      <c r="D3032" s="55">
        <f t="shared" si="47"/>
        <v>0</v>
      </c>
      <c r="E3032" s="63" t="str">
        <f>HYPERLINK("https://www.sds-group.ru/product/kabelnyy-vvod-s-rezboy-pg-36-22-32mm-chernyy-rexant-07-8036-1/", "Инфо")</f>
        <v>Инфо</v>
      </c>
      <c r="F3032" s="16" t="s">
        <v>39</v>
      </c>
      <c r="G3032" s="15"/>
      <c r="H3032" s="15"/>
      <c r="I3032" s="15"/>
      <c r="J3032" s="22">
        <v>1620</v>
      </c>
      <c r="K3032" s="15"/>
      <c r="L3032" s="17">
        <v>20</v>
      </c>
      <c r="M3032" s="17">
        <v>200</v>
      </c>
      <c r="N3032" s="17">
        <v>20</v>
      </c>
      <c r="O3032" s="18">
        <v>115.71</v>
      </c>
      <c r="P3032" s="18">
        <v>94.84</v>
      </c>
      <c r="Q3032" s="18">
        <v>98.35</v>
      </c>
      <c r="R3032" s="18">
        <v>80.61</v>
      </c>
      <c r="S3032" s="18">
        <v>78.680000000000007</v>
      </c>
      <c r="T3032" s="18">
        <v>64.489999999999995</v>
      </c>
      <c r="U3032" s="16"/>
      <c r="V3032" s="16"/>
      <c r="W3032" s="16" t="s">
        <v>40</v>
      </c>
      <c r="X3032" s="19">
        <v>6.8000000000000005E-2</v>
      </c>
      <c r="Y3032" s="20">
        <v>2.2900000000000001E-4</v>
      </c>
      <c r="Z3032" s="21">
        <v>4601004036697</v>
      </c>
    </row>
    <row r="3033" spans="1:26" ht="12" customHeight="1" outlineLevel="4" x14ac:dyDescent="0.2">
      <c r="A3033" s="32" t="s">
        <v>5931</v>
      </c>
      <c r="B3033" s="74" t="s">
        <v>5932</v>
      </c>
      <c r="C3033" s="50"/>
      <c r="D3033" s="53">
        <f t="shared" si="47"/>
        <v>0</v>
      </c>
      <c r="E3033" s="60" t="str">
        <f>HYPERLINK("https://www.sds-group.ru/product/kabelnyy-vvod-s-rezboy-pg-42-30-38mm-seryy-rexant-07-8042/", "Инфо")</f>
        <v>Инфо</v>
      </c>
      <c r="F3033" s="34" t="s">
        <v>39</v>
      </c>
      <c r="G3033" s="33"/>
      <c r="H3033" s="33" t="s">
        <v>40</v>
      </c>
      <c r="I3033" s="33"/>
      <c r="J3033" s="35">
        <v>100</v>
      </c>
      <c r="K3033" s="33"/>
      <c r="L3033" s="35">
        <v>20</v>
      </c>
      <c r="M3033" s="35">
        <v>200</v>
      </c>
      <c r="N3033" s="35">
        <v>20</v>
      </c>
      <c r="O3033" s="36">
        <v>157.19999999999999</v>
      </c>
      <c r="P3033" s="36">
        <v>128.85</v>
      </c>
      <c r="Q3033" s="36">
        <v>110.04</v>
      </c>
      <c r="R3033" s="36">
        <v>90.2</v>
      </c>
      <c r="S3033" s="36">
        <v>106.9</v>
      </c>
      <c r="T3033" s="36">
        <v>87.62</v>
      </c>
      <c r="U3033" s="34"/>
      <c r="V3033" s="34"/>
      <c r="W3033" s="34"/>
      <c r="X3033" s="37">
        <v>9.6000000000000002E-2</v>
      </c>
      <c r="Y3033" s="38">
        <v>3.3300000000000002E-4</v>
      </c>
      <c r="Z3033" s="21">
        <v>4601004036703</v>
      </c>
    </row>
    <row r="3034" spans="1:26" ht="12" customHeight="1" outlineLevel="4" x14ac:dyDescent="0.2">
      <c r="A3034" s="32" t="s">
        <v>5933</v>
      </c>
      <c r="B3034" s="74" t="s">
        <v>5934</v>
      </c>
      <c r="C3034" s="50"/>
      <c r="D3034" s="53">
        <f t="shared" si="47"/>
        <v>0</v>
      </c>
      <c r="E3034" s="60" t="str">
        <f>HYPERLINK("https://www.sds-group.ru/product/kabelnyy-vvod-s-rezboy-pg-48-34-44-mm-chernyy-rexant-07-8048-1/", "Инфо")</f>
        <v>Инфо</v>
      </c>
      <c r="F3034" s="34" t="s">
        <v>39</v>
      </c>
      <c r="G3034" s="33"/>
      <c r="H3034" s="33" t="s">
        <v>40</v>
      </c>
      <c r="I3034" s="33"/>
      <c r="J3034" s="35">
        <v>120</v>
      </c>
      <c r="K3034" s="33"/>
      <c r="L3034" s="35">
        <v>20</v>
      </c>
      <c r="M3034" s="35">
        <v>200</v>
      </c>
      <c r="N3034" s="35">
        <v>20</v>
      </c>
      <c r="O3034" s="36">
        <v>175.11</v>
      </c>
      <c r="P3034" s="36">
        <v>143.53</v>
      </c>
      <c r="Q3034" s="36">
        <v>122.58</v>
      </c>
      <c r="R3034" s="36">
        <v>100.48</v>
      </c>
      <c r="S3034" s="36">
        <v>119.07</v>
      </c>
      <c r="T3034" s="36">
        <v>97.6</v>
      </c>
      <c r="U3034" s="34"/>
      <c r="V3034" s="34"/>
      <c r="W3034" s="34"/>
      <c r="X3034" s="37">
        <v>9.6000000000000002E-2</v>
      </c>
      <c r="Y3034" s="38">
        <v>3.3300000000000002E-4</v>
      </c>
      <c r="Z3034" s="21">
        <v>4601004036734</v>
      </c>
    </row>
    <row r="3035" spans="1:26" ht="12" customHeight="1" outlineLevel="4" x14ac:dyDescent="0.2">
      <c r="A3035" s="32" t="s">
        <v>5935</v>
      </c>
      <c r="B3035" s="74" t="s">
        <v>5936</v>
      </c>
      <c r="C3035" s="50"/>
      <c r="D3035" s="53">
        <f t="shared" si="47"/>
        <v>0</v>
      </c>
      <c r="E3035" s="60" t="str">
        <f>HYPERLINK("https://www.sds-group.ru/product/kabelnyy-vvod-s-rezboy-pg-48-34-44mm-seryy-rexant-07-8048/", "Инфо")</f>
        <v>Инфо</v>
      </c>
      <c r="F3035" s="34" t="s">
        <v>39</v>
      </c>
      <c r="G3035" s="33"/>
      <c r="H3035" s="33" t="s">
        <v>40</v>
      </c>
      <c r="I3035" s="33"/>
      <c r="J3035" s="35">
        <v>300</v>
      </c>
      <c r="K3035" s="33"/>
      <c r="L3035" s="35">
        <v>20</v>
      </c>
      <c r="M3035" s="35">
        <v>200</v>
      </c>
      <c r="N3035" s="35">
        <v>20</v>
      </c>
      <c r="O3035" s="36">
        <v>184.33</v>
      </c>
      <c r="P3035" s="36">
        <v>151.09</v>
      </c>
      <c r="Q3035" s="36">
        <v>129.03</v>
      </c>
      <c r="R3035" s="36">
        <v>105.76</v>
      </c>
      <c r="S3035" s="36">
        <v>125.34</v>
      </c>
      <c r="T3035" s="36">
        <v>102.74</v>
      </c>
      <c r="U3035" s="34"/>
      <c r="V3035" s="34"/>
      <c r="W3035" s="34"/>
      <c r="X3035" s="37">
        <v>0.109</v>
      </c>
      <c r="Y3035" s="38">
        <v>3.9199999999999999E-4</v>
      </c>
      <c r="Z3035" s="21">
        <v>4601004036727</v>
      </c>
    </row>
    <row r="3036" spans="1:26" ht="12" customHeight="1" outlineLevel="4" x14ac:dyDescent="0.2">
      <c r="A3036" s="14" t="s">
        <v>5937</v>
      </c>
      <c r="B3036" s="26" t="s">
        <v>5938</v>
      </c>
      <c r="C3036" s="52"/>
      <c r="D3036" s="55">
        <f t="shared" si="47"/>
        <v>0</v>
      </c>
      <c r="E3036" s="63" t="str">
        <f>HYPERLINK("https://www.sds-group.ru/product/kabelnyy-vvod-s-rezboy-pg-7-3-5-6mm-seryy-rexant-07-8007/", "Инфо")</f>
        <v>Инфо</v>
      </c>
      <c r="F3036" s="16" t="s">
        <v>39</v>
      </c>
      <c r="G3036" s="15"/>
      <c r="H3036" s="15"/>
      <c r="I3036" s="15"/>
      <c r="J3036" s="22">
        <v>40600</v>
      </c>
      <c r="K3036" s="15" t="s">
        <v>1650</v>
      </c>
      <c r="L3036" s="17">
        <v>100</v>
      </c>
      <c r="M3036" s="22">
        <v>6000</v>
      </c>
      <c r="N3036" s="17">
        <v>100</v>
      </c>
      <c r="O3036" s="18">
        <v>11.73</v>
      </c>
      <c r="P3036" s="18">
        <v>9.61</v>
      </c>
      <c r="Q3036" s="18">
        <v>9.9700000000000006</v>
      </c>
      <c r="R3036" s="18">
        <v>8.17</v>
      </c>
      <c r="S3036" s="18">
        <v>7.98</v>
      </c>
      <c r="T3036" s="18">
        <v>6.54</v>
      </c>
      <c r="U3036" s="16"/>
      <c r="V3036" s="16"/>
      <c r="W3036" s="16" t="s">
        <v>40</v>
      </c>
      <c r="X3036" s="19">
        <v>5.0000000000000001E-3</v>
      </c>
      <c r="Y3036" s="20">
        <v>1.2E-5</v>
      </c>
      <c r="Z3036" s="21">
        <v>4601004036758</v>
      </c>
    </row>
    <row r="3037" spans="1:26" ht="12" customHeight="1" outlineLevel="4" x14ac:dyDescent="0.2">
      <c r="A3037" s="14" t="s">
        <v>5939</v>
      </c>
      <c r="B3037" s="26" t="s">
        <v>5940</v>
      </c>
      <c r="C3037" s="52"/>
      <c r="D3037" s="55">
        <f t="shared" si="47"/>
        <v>0</v>
      </c>
      <c r="E3037" s="63" t="str">
        <f>HYPERLINK("https://www.sds-group.ru/product/kabelnyy-vvod-s-rezboy-pg-9-4-8mm-seryy-rexant-07-8009/", "Инфо")</f>
        <v>Инфо</v>
      </c>
      <c r="F3037" s="16" t="s">
        <v>39</v>
      </c>
      <c r="G3037" s="15"/>
      <c r="H3037" s="15"/>
      <c r="I3037" s="15"/>
      <c r="J3037" s="16" t="s">
        <v>100</v>
      </c>
      <c r="K3037" s="15" t="s">
        <v>1650</v>
      </c>
      <c r="L3037" s="17">
        <v>100</v>
      </c>
      <c r="M3037" s="22">
        <v>3500</v>
      </c>
      <c r="N3037" s="17">
        <v>100</v>
      </c>
      <c r="O3037" s="18">
        <v>14.51</v>
      </c>
      <c r="P3037" s="18">
        <v>11.89</v>
      </c>
      <c r="Q3037" s="18">
        <v>12.33</v>
      </c>
      <c r="R3037" s="18">
        <v>10.11</v>
      </c>
      <c r="S3037" s="18">
        <v>9.8699999999999992</v>
      </c>
      <c r="T3037" s="18">
        <v>8.09</v>
      </c>
      <c r="U3037" s="16"/>
      <c r="V3037" s="16"/>
      <c r="W3037" s="16" t="s">
        <v>40</v>
      </c>
      <c r="X3037" s="19">
        <v>8.0000000000000002E-3</v>
      </c>
      <c r="Y3037" s="20">
        <v>2.0000000000000002E-5</v>
      </c>
      <c r="Z3037" s="21">
        <v>4601004036437</v>
      </c>
    </row>
    <row r="3038" spans="1:26" ht="12.95" customHeight="1" outlineLevel="3" x14ac:dyDescent="0.2">
      <c r="A3038" s="76" t="s">
        <v>5941</v>
      </c>
      <c r="B3038" s="76"/>
      <c r="C3038" s="77"/>
      <c r="D3038" s="58"/>
      <c r="E3038" s="68"/>
      <c r="F3038" s="13"/>
      <c r="G3038" s="13"/>
      <c r="H3038" s="13"/>
      <c r="I3038" s="13"/>
      <c r="J3038" s="13"/>
      <c r="K3038" s="13"/>
      <c r="L3038" s="13"/>
      <c r="M3038" s="13"/>
      <c r="N3038" s="13"/>
      <c r="O3038" s="13"/>
      <c r="P3038" s="13"/>
      <c r="Q3038" s="13"/>
      <c r="R3038" s="13"/>
      <c r="S3038" s="13"/>
      <c r="T3038" s="13"/>
      <c r="U3038" s="13"/>
      <c r="V3038" s="13"/>
      <c r="W3038" s="13"/>
      <c r="X3038" s="13"/>
      <c r="Y3038" s="13"/>
      <c r="Z3038" s="13"/>
    </row>
    <row r="3039" spans="1:26" ht="12" customHeight="1" outlineLevel="4" x14ac:dyDescent="0.2">
      <c r="A3039" s="14" t="s">
        <v>5942</v>
      </c>
      <c r="B3039" s="26" t="s">
        <v>5943</v>
      </c>
      <c r="C3039" s="52"/>
      <c r="D3039" s="55">
        <f t="shared" si="47"/>
        <v>0</v>
      </c>
      <c r="E3039" s="63" t="str">
        <f>HYPERLINK("https://www.sds-group.ru/product/kabelnyy-vvod-s-rezboy-mg-12-7-6-4-6mm-seryy-rexant-07-8112/", "Инфо")</f>
        <v>Инфо</v>
      </c>
      <c r="F3039" s="16" t="s">
        <v>39</v>
      </c>
      <c r="G3039" s="15"/>
      <c r="H3039" s="15"/>
      <c r="I3039" s="15"/>
      <c r="J3039" s="22">
        <v>14750</v>
      </c>
      <c r="K3039" s="15"/>
      <c r="L3039" s="17">
        <v>50</v>
      </c>
      <c r="M3039" s="22">
        <v>3000</v>
      </c>
      <c r="N3039" s="17">
        <v>50</v>
      </c>
      <c r="O3039" s="18">
        <v>24.86</v>
      </c>
      <c r="P3039" s="18">
        <v>20.38</v>
      </c>
      <c r="Q3039" s="18">
        <v>21.13</v>
      </c>
      <c r="R3039" s="18">
        <v>17.32</v>
      </c>
      <c r="S3039" s="18">
        <v>16.899999999999999</v>
      </c>
      <c r="T3039" s="18">
        <v>13.85</v>
      </c>
      <c r="U3039" s="16"/>
      <c r="V3039" s="16"/>
      <c r="W3039" s="16" t="s">
        <v>40</v>
      </c>
      <c r="X3039" s="19">
        <v>8.0000000000000002E-3</v>
      </c>
      <c r="Y3039" s="20">
        <v>2.3E-5</v>
      </c>
      <c r="Z3039" s="21">
        <v>4601004036543</v>
      </c>
    </row>
    <row r="3040" spans="1:26" ht="12" customHeight="1" outlineLevel="4" x14ac:dyDescent="0.2">
      <c r="A3040" s="32" t="s">
        <v>5944</v>
      </c>
      <c r="B3040" s="74" t="s">
        <v>5945</v>
      </c>
      <c r="C3040" s="50"/>
      <c r="D3040" s="53">
        <f t="shared" si="47"/>
        <v>0</v>
      </c>
      <c r="E3040" s="60" t="str">
        <f>HYPERLINK("https://www.sds-group.ru/product/kabelnyy-vvod-s-rezboy-mg-12-7-6-4-6mm-chernyy-rexant-07-8112-1/", "Инфо")</f>
        <v>Инфо</v>
      </c>
      <c r="F3040" s="34" t="s">
        <v>39</v>
      </c>
      <c r="G3040" s="33"/>
      <c r="H3040" s="33" t="s">
        <v>40</v>
      </c>
      <c r="I3040" s="33"/>
      <c r="J3040" s="34" t="s">
        <v>100</v>
      </c>
      <c r="K3040" s="33"/>
      <c r="L3040" s="35">
        <v>50</v>
      </c>
      <c r="M3040" s="39">
        <v>2500</v>
      </c>
      <c r="N3040" s="35">
        <v>50</v>
      </c>
      <c r="O3040" s="36">
        <v>18.760000000000002</v>
      </c>
      <c r="P3040" s="36">
        <v>15.38</v>
      </c>
      <c r="Q3040" s="36">
        <v>13.13</v>
      </c>
      <c r="R3040" s="36">
        <v>10.76</v>
      </c>
      <c r="S3040" s="36">
        <v>12.76</v>
      </c>
      <c r="T3040" s="36">
        <v>10.46</v>
      </c>
      <c r="U3040" s="34"/>
      <c r="V3040" s="34"/>
      <c r="W3040" s="34"/>
      <c r="X3040" s="37">
        <v>6.0000000000000001E-3</v>
      </c>
      <c r="Y3040" s="38">
        <v>2.3E-5</v>
      </c>
      <c r="Z3040" s="21">
        <v>4601004036550</v>
      </c>
    </row>
    <row r="3041" spans="1:26" ht="12" customHeight="1" outlineLevel="4" x14ac:dyDescent="0.2">
      <c r="A3041" s="14" t="s">
        <v>5946</v>
      </c>
      <c r="B3041" s="26" t="s">
        <v>5947</v>
      </c>
      <c r="C3041" s="52"/>
      <c r="D3041" s="55">
        <f t="shared" si="47"/>
        <v>0</v>
      </c>
      <c r="E3041" s="63" t="str">
        <f>HYPERLINK("https://www.sds-group.ru/product/kabelnyy-vvod-s-rezboy-mg-16-10-6mm-seryy-rexant-07-8116/", "Инфо")</f>
        <v>Инфо</v>
      </c>
      <c r="F3041" s="16" t="s">
        <v>39</v>
      </c>
      <c r="G3041" s="15"/>
      <c r="H3041" s="15"/>
      <c r="I3041" s="15"/>
      <c r="J3041" s="22">
        <v>14300</v>
      </c>
      <c r="K3041" s="15"/>
      <c r="L3041" s="17">
        <v>50</v>
      </c>
      <c r="M3041" s="22">
        <v>2000</v>
      </c>
      <c r="N3041" s="17">
        <v>50</v>
      </c>
      <c r="O3041" s="18">
        <v>29.05</v>
      </c>
      <c r="P3041" s="18">
        <v>23.81</v>
      </c>
      <c r="Q3041" s="18">
        <v>24.69</v>
      </c>
      <c r="R3041" s="18">
        <v>20.239999999999998</v>
      </c>
      <c r="S3041" s="18">
        <v>19.75</v>
      </c>
      <c r="T3041" s="18">
        <v>16.190000000000001</v>
      </c>
      <c r="U3041" s="16"/>
      <c r="V3041" s="16"/>
      <c r="W3041" s="16" t="s">
        <v>40</v>
      </c>
      <c r="X3041" s="19">
        <v>1.2E-2</v>
      </c>
      <c r="Y3041" s="20">
        <v>3.1999999999999999E-5</v>
      </c>
      <c r="Z3041" s="21">
        <v>4601004036567</v>
      </c>
    </row>
    <row r="3042" spans="1:26" ht="12" customHeight="1" outlineLevel="4" x14ac:dyDescent="0.2">
      <c r="A3042" s="14" t="s">
        <v>5948</v>
      </c>
      <c r="B3042" s="26" t="s">
        <v>5949</v>
      </c>
      <c r="C3042" s="52"/>
      <c r="D3042" s="55">
        <f t="shared" si="47"/>
        <v>0</v>
      </c>
      <c r="E3042" s="63" t="str">
        <f>HYPERLINK("https://www.sds-group.ru/product/kabelnyy-vvod-s-rezboy-mg-16-10-6mm-chernyy-rexant-07-8116-1/", "Инфо")</f>
        <v>Инфо</v>
      </c>
      <c r="F3042" s="16" t="s">
        <v>39</v>
      </c>
      <c r="G3042" s="15"/>
      <c r="H3042" s="15"/>
      <c r="I3042" s="15"/>
      <c r="J3042" s="16" t="s">
        <v>100</v>
      </c>
      <c r="K3042" s="15" t="s">
        <v>1650</v>
      </c>
      <c r="L3042" s="17">
        <v>50</v>
      </c>
      <c r="M3042" s="22">
        <v>2000</v>
      </c>
      <c r="N3042" s="17">
        <v>50</v>
      </c>
      <c r="O3042" s="18">
        <v>29.07</v>
      </c>
      <c r="P3042" s="18">
        <v>23.83</v>
      </c>
      <c r="Q3042" s="18">
        <v>24.71</v>
      </c>
      <c r="R3042" s="18">
        <v>20.25</v>
      </c>
      <c r="S3042" s="18">
        <v>19.77</v>
      </c>
      <c r="T3042" s="18">
        <v>16.2</v>
      </c>
      <c r="U3042" s="16"/>
      <c r="V3042" s="16"/>
      <c r="W3042" s="16" t="s">
        <v>40</v>
      </c>
      <c r="X3042" s="19">
        <v>1.2E-2</v>
      </c>
      <c r="Y3042" s="20">
        <v>3.1999999999999999E-5</v>
      </c>
      <c r="Z3042" s="21">
        <v>4601004036574</v>
      </c>
    </row>
    <row r="3043" spans="1:26" ht="12" customHeight="1" outlineLevel="4" x14ac:dyDescent="0.2">
      <c r="A3043" s="14" t="s">
        <v>5950</v>
      </c>
      <c r="B3043" s="26" t="s">
        <v>5951</v>
      </c>
      <c r="C3043" s="52"/>
      <c r="D3043" s="55">
        <f t="shared" si="47"/>
        <v>0</v>
      </c>
      <c r="E3043" s="63" t="str">
        <f>HYPERLINK("https://www.sds-group.ru/product/kabelnyy-vvod-s-rezboy-mg-20-14-9mm-seryy-rexant-07-8120/", "Инфо")</f>
        <v>Инфо</v>
      </c>
      <c r="F3043" s="16" t="s">
        <v>39</v>
      </c>
      <c r="G3043" s="15"/>
      <c r="H3043" s="15"/>
      <c r="I3043" s="15"/>
      <c r="J3043" s="16" t="s">
        <v>100</v>
      </c>
      <c r="K3043" s="15" t="s">
        <v>3237</v>
      </c>
      <c r="L3043" s="17">
        <v>50</v>
      </c>
      <c r="M3043" s="22">
        <v>1000</v>
      </c>
      <c r="N3043" s="17">
        <v>50</v>
      </c>
      <c r="O3043" s="18">
        <v>42.7</v>
      </c>
      <c r="P3043" s="18">
        <v>35</v>
      </c>
      <c r="Q3043" s="18">
        <v>36.299999999999997</v>
      </c>
      <c r="R3043" s="18">
        <v>29.75</v>
      </c>
      <c r="S3043" s="18">
        <v>29.04</v>
      </c>
      <c r="T3043" s="18">
        <v>23.8</v>
      </c>
      <c r="U3043" s="16"/>
      <c r="V3043" s="16"/>
      <c r="W3043" s="16" t="s">
        <v>40</v>
      </c>
      <c r="X3043" s="19">
        <v>0.02</v>
      </c>
      <c r="Y3043" s="20">
        <v>5.1999999999999997E-5</v>
      </c>
      <c r="Z3043" s="21">
        <v>4601004036581</v>
      </c>
    </row>
    <row r="3044" spans="1:26" ht="12" customHeight="1" outlineLevel="4" x14ac:dyDescent="0.2">
      <c r="A3044" s="14" t="s">
        <v>5952</v>
      </c>
      <c r="B3044" s="26" t="s">
        <v>5953</v>
      </c>
      <c r="C3044" s="52"/>
      <c r="D3044" s="55">
        <f t="shared" si="47"/>
        <v>0</v>
      </c>
      <c r="E3044" s="63" t="str">
        <f>HYPERLINK("https://www.sds-group.ru/product/kabelnyy-vvod-s-rezboy-mg-20-14-9mm-chernyy-rexant-07-8120-1/", "Инфо")</f>
        <v>Инфо</v>
      </c>
      <c r="F3044" s="16" t="s">
        <v>39</v>
      </c>
      <c r="G3044" s="15"/>
      <c r="H3044" s="15"/>
      <c r="I3044" s="15"/>
      <c r="J3044" s="16" t="s">
        <v>100</v>
      </c>
      <c r="K3044" s="15" t="s">
        <v>1665</v>
      </c>
      <c r="L3044" s="17">
        <v>50</v>
      </c>
      <c r="M3044" s="22">
        <v>1000</v>
      </c>
      <c r="N3044" s="17">
        <v>50</v>
      </c>
      <c r="O3044" s="18">
        <v>42.71</v>
      </c>
      <c r="P3044" s="18">
        <v>35.01</v>
      </c>
      <c r="Q3044" s="18">
        <v>36.299999999999997</v>
      </c>
      <c r="R3044" s="18">
        <v>29.75</v>
      </c>
      <c r="S3044" s="18">
        <v>29.04</v>
      </c>
      <c r="T3044" s="18">
        <v>23.8</v>
      </c>
      <c r="U3044" s="16"/>
      <c r="V3044" s="16"/>
      <c r="W3044" s="16" t="s">
        <v>40</v>
      </c>
      <c r="X3044" s="19">
        <v>0.02</v>
      </c>
      <c r="Y3044" s="20">
        <v>5.5999999999999999E-5</v>
      </c>
      <c r="Z3044" s="21">
        <v>4601004036598</v>
      </c>
    </row>
    <row r="3045" spans="1:26" ht="12" customHeight="1" outlineLevel="4" x14ac:dyDescent="0.2">
      <c r="A3045" s="14" t="s">
        <v>5954</v>
      </c>
      <c r="B3045" s="26" t="s">
        <v>5955</v>
      </c>
      <c r="C3045" s="52"/>
      <c r="D3045" s="55">
        <f t="shared" si="47"/>
        <v>0</v>
      </c>
      <c r="E3045" s="63" t="str">
        <f>HYPERLINK("https://www.sds-group.ru/product/kabelnyy-vvod-s-rezboy-mg-25-18-13mm-seryy-rexant-07-8125/", "Инфо")</f>
        <v>Инфо</v>
      </c>
      <c r="F3045" s="16" t="s">
        <v>39</v>
      </c>
      <c r="G3045" s="15"/>
      <c r="H3045" s="15"/>
      <c r="I3045" s="15"/>
      <c r="J3045" s="17">
        <v>25</v>
      </c>
      <c r="K3045" s="15" t="s">
        <v>2798</v>
      </c>
      <c r="L3045" s="17">
        <v>25</v>
      </c>
      <c r="M3045" s="17">
        <v>800</v>
      </c>
      <c r="N3045" s="17">
        <v>25</v>
      </c>
      <c r="O3045" s="18">
        <v>56.91</v>
      </c>
      <c r="P3045" s="18">
        <v>46.65</v>
      </c>
      <c r="Q3045" s="18">
        <v>48.37</v>
      </c>
      <c r="R3045" s="18">
        <v>39.65</v>
      </c>
      <c r="S3045" s="18">
        <v>38.700000000000003</v>
      </c>
      <c r="T3045" s="18">
        <v>31.72</v>
      </c>
      <c r="U3045" s="16"/>
      <c r="V3045" s="16"/>
      <c r="W3045" s="16" t="s">
        <v>40</v>
      </c>
      <c r="X3045" s="19">
        <v>3.2000000000000001E-2</v>
      </c>
      <c r="Y3045" s="20">
        <v>5.5999999999999999E-5</v>
      </c>
      <c r="Z3045" s="21">
        <v>4601004310445</v>
      </c>
    </row>
    <row r="3046" spans="1:26" ht="12" customHeight="1" outlineLevel="4" x14ac:dyDescent="0.2">
      <c r="A3046" s="14" t="s">
        <v>5956</v>
      </c>
      <c r="B3046" s="26" t="s">
        <v>5957</v>
      </c>
      <c r="C3046" s="52"/>
      <c r="D3046" s="55">
        <f t="shared" si="47"/>
        <v>0</v>
      </c>
      <c r="E3046" s="63" t="str">
        <f>HYPERLINK("https://www.sds-group.ru/product/kabelnyy-vvod-s-rezboy-mg-25-18-13mm-chernyy-rexant-07-8125-1/", "Инфо")</f>
        <v>Инфо</v>
      </c>
      <c r="F3046" s="16" t="s">
        <v>39</v>
      </c>
      <c r="G3046" s="15"/>
      <c r="H3046" s="15"/>
      <c r="I3046" s="15"/>
      <c r="J3046" s="22">
        <v>1440</v>
      </c>
      <c r="K3046" s="15" t="s">
        <v>210</v>
      </c>
      <c r="L3046" s="17">
        <v>24</v>
      </c>
      <c r="M3046" s="17">
        <v>600</v>
      </c>
      <c r="N3046" s="17">
        <v>24</v>
      </c>
      <c r="O3046" s="18">
        <v>56.91</v>
      </c>
      <c r="P3046" s="18">
        <v>46.65</v>
      </c>
      <c r="Q3046" s="18">
        <v>48.37</v>
      </c>
      <c r="R3046" s="18">
        <v>39.65</v>
      </c>
      <c r="S3046" s="18">
        <v>38.700000000000003</v>
      </c>
      <c r="T3046" s="18">
        <v>31.72</v>
      </c>
      <c r="U3046" s="16"/>
      <c r="V3046" s="16"/>
      <c r="W3046" s="16" t="s">
        <v>40</v>
      </c>
      <c r="X3046" s="19">
        <v>3.1E-2</v>
      </c>
      <c r="Y3046" s="20">
        <v>8.6000000000000003E-5</v>
      </c>
      <c r="Z3046" s="21">
        <v>4601004036680</v>
      </c>
    </row>
    <row r="3047" spans="1:26" ht="12" customHeight="1" outlineLevel="4" x14ac:dyDescent="0.2">
      <c r="A3047" s="14" t="s">
        <v>5958</v>
      </c>
      <c r="B3047" s="26" t="s">
        <v>5959</v>
      </c>
      <c r="C3047" s="52"/>
      <c r="D3047" s="55">
        <f t="shared" si="47"/>
        <v>0</v>
      </c>
      <c r="E3047" s="63" t="str">
        <f>HYPERLINK("https://www.sds-group.ru/product/kabelnyy-vvod-s-rezboy-mg-32-25-18mm-seryy-rexant-07-8132/", "Инфо")</f>
        <v>Инфо</v>
      </c>
      <c r="F3047" s="16" t="s">
        <v>39</v>
      </c>
      <c r="G3047" s="15"/>
      <c r="H3047" s="15"/>
      <c r="I3047" s="15"/>
      <c r="J3047" s="16" t="s">
        <v>100</v>
      </c>
      <c r="K3047" s="15" t="s">
        <v>1650</v>
      </c>
      <c r="L3047" s="17">
        <v>15</v>
      </c>
      <c r="M3047" s="17">
        <v>450</v>
      </c>
      <c r="N3047" s="17">
        <v>15</v>
      </c>
      <c r="O3047" s="18">
        <v>110.9</v>
      </c>
      <c r="P3047" s="18">
        <v>90.9</v>
      </c>
      <c r="Q3047" s="18">
        <v>94.27</v>
      </c>
      <c r="R3047" s="18">
        <v>77.27</v>
      </c>
      <c r="S3047" s="18">
        <v>75.41</v>
      </c>
      <c r="T3047" s="18">
        <v>61.81</v>
      </c>
      <c r="U3047" s="16"/>
      <c r="V3047" s="16"/>
      <c r="W3047" s="16" t="s">
        <v>40</v>
      </c>
      <c r="X3047" s="19">
        <v>4.8000000000000001E-2</v>
      </c>
      <c r="Y3047" s="20">
        <v>1.7799999999999999E-4</v>
      </c>
      <c r="Z3047" s="21">
        <v>4601004036659</v>
      </c>
    </row>
    <row r="3048" spans="1:26" ht="12" customHeight="1" outlineLevel="4" x14ac:dyDescent="0.2">
      <c r="A3048" s="14" t="s">
        <v>5960</v>
      </c>
      <c r="B3048" s="26" t="s">
        <v>5961</v>
      </c>
      <c r="C3048" s="52"/>
      <c r="D3048" s="55">
        <f t="shared" si="47"/>
        <v>0</v>
      </c>
      <c r="E3048" s="63" t="str">
        <f>HYPERLINK("https://www.sds-group.ru/product/kabelnyy-vvod-s-rezboy-mg-32-25-18mm-chernyy-rexant-07-8132-1/", "Инфо")</f>
        <v>Инфо</v>
      </c>
      <c r="F3048" s="16" t="s">
        <v>39</v>
      </c>
      <c r="G3048" s="15"/>
      <c r="H3048" s="15"/>
      <c r="I3048" s="15"/>
      <c r="J3048" s="16" t="s">
        <v>100</v>
      </c>
      <c r="K3048" s="15" t="s">
        <v>3237</v>
      </c>
      <c r="L3048" s="17">
        <v>15</v>
      </c>
      <c r="M3048" s="17">
        <v>450</v>
      </c>
      <c r="N3048" s="17">
        <v>15</v>
      </c>
      <c r="O3048" s="18">
        <v>110.9</v>
      </c>
      <c r="P3048" s="18">
        <v>90.9</v>
      </c>
      <c r="Q3048" s="18">
        <v>94.27</v>
      </c>
      <c r="R3048" s="18">
        <v>77.27</v>
      </c>
      <c r="S3048" s="18">
        <v>75.41</v>
      </c>
      <c r="T3048" s="18">
        <v>61.81</v>
      </c>
      <c r="U3048" s="16"/>
      <c r="V3048" s="16"/>
      <c r="W3048" s="16" t="s">
        <v>40</v>
      </c>
      <c r="X3048" s="19">
        <v>4.5999999999999999E-2</v>
      </c>
      <c r="Y3048" s="20">
        <v>1.7799999999999999E-4</v>
      </c>
      <c r="Z3048" s="21">
        <v>4601004036765</v>
      </c>
    </row>
    <row r="3049" spans="1:26" ht="12" customHeight="1" outlineLevel="4" x14ac:dyDescent="0.2">
      <c r="A3049" s="32" t="s">
        <v>5962</v>
      </c>
      <c r="B3049" s="74" t="s">
        <v>5963</v>
      </c>
      <c r="C3049" s="50"/>
      <c r="D3049" s="53">
        <f t="shared" si="47"/>
        <v>0</v>
      </c>
      <c r="E3049" s="60" t="str">
        <f>HYPERLINK("https://www.sds-group.ru/product/kabelnyy-vvod-s-rezboy-mg-40-30-24mm-chernyy-rexant-07-8140-1/", "Инфо")</f>
        <v>Инфо</v>
      </c>
      <c r="F3049" s="34" t="s">
        <v>39</v>
      </c>
      <c r="G3049" s="33"/>
      <c r="H3049" s="33" t="s">
        <v>40</v>
      </c>
      <c r="I3049" s="33"/>
      <c r="J3049" s="35">
        <v>732</v>
      </c>
      <c r="K3049" s="33"/>
      <c r="L3049" s="35">
        <v>12</v>
      </c>
      <c r="M3049" s="35">
        <v>240</v>
      </c>
      <c r="N3049" s="35">
        <v>12</v>
      </c>
      <c r="O3049" s="36">
        <v>145.57</v>
      </c>
      <c r="P3049" s="36">
        <v>119.32</v>
      </c>
      <c r="Q3049" s="36">
        <v>101.9</v>
      </c>
      <c r="R3049" s="36">
        <v>83.52</v>
      </c>
      <c r="S3049" s="36">
        <v>98.99</v>
      </c>
      <c r="T3049" s="36">
        <v>81.14</v>
      </c>
      <c r="U3049" s="34"/>
      <c r="V3049" s="34"/>
      <c r="W3049" s="34"/>
      <c r="X3049" s="37">
        <v>7.0000000000000007E-2</v>
      </c>
      <c r="Y3049" s="38">
        <v>2.5799999999999998E-4</v>
      </c>
      <c r="Z3049" s="21">
        <v>4601004036789</v>
      </c>
    </row>
    <row r="3050" spans="1:26" ht="12" customHeight="1" outlineLevel="4" x14ac:dyDescent="0.2">
      <c r="A3050" s="32" t="s">
        <v>5964</v>
      </c>
      <c r="B3050" s="74" t="s">
        <v>5965</v>
      </c>
      <c r="C3050" s="50"/>
      <c r="D3050" s="53">
        <f t="shared" si="47"/>
        <v>0</v>
      </c>
      <c r="E3050" s="60" t="str">
        <f>HYPERLINK("https://www.sds-group.ru/product/kabelnyy-vvod-s-rezboy-mg-50-39-30-mm-chernyy-rexant-07-8150-1/", "Инфо")</f>
        <v>Инфо</v>
      </c>
      <c r="F3050" s="34" t="s">
        <v>39</v>
      </c>
      <c r="G3050" s="33"/>
      <c r="H3050" s="33" t="s">
        <v>40</v>
      </c>
      <c r="I3050" s="33"/>
      <c r="J3050" s="35">
        <v>270</v>
      </c>
      <c r="K3050" s="33"/>
      <c r="L3050" s="35">
        <v>6</v>
      </c>
      <c r="M3050" s="35">
        <v>120</v>
      </c>
      <c r="N3050" s="35">
        <v>6</v>
      </c>
      <c r="O3050" s="36">
        <v>239.45</v>
      </c>
      <c r="P3050" s="36">
        <v>196.27</v>
      </c>
      <c r="Q3050" s="36">
        <v>167.62</v>
      </c>
      <c r="R3050" s="36">
        <v>137.38999999999999</v>
      </c>
      <c r="S3050" s="36">
        <v>162.83000000000001</v>
      </c>
      <c r="T3050" s="36">
        <v>133.47</v>
      </c>
      <c r="U3050" s="34"/>
      <c r="V3050" s="34"/>
      <c r="W3050" s="34"/>
      <c r="X3050" s="37">
        <v>0.123</v>
      </c>
      <c r="Y3050" s="38">
        <v>4.2900000000000002E-4</v>
      </c>
      <c r="Z3050" s="21">
        <v>4601004036802</v>
      </c>
    </row>
    <row r="3051" spans="1:26" ht="12.95" customHeight="1" outlineLevel="3" x14ac:dyDescent="0.2">
      <c r="A3051" s="76" t="s">
        <v>5966</v>
      </c>
      <c r="B3051" s="76"/>
      <c r="C3051" s="77"/>
      <c r="D3051" s="58"/>
      <c r="E3051" s="68"/>
      <c r="F3051" s="13"/>
      <c r="G3051" s="13"/>
      <c r="H3051" s="13"/>
      <c r="I3051" s="13"/>
      <c r="J3051" s="13"/>
      <c r="K3051" s="13"/>
      <c r="L3051" s="13"/>
      <c r="M3051" s="13"/>
      <c r="N3051" s="13"/>
      <c r="O3051" s="13"/>
      <c r="P3051" s="13"/>
      <c r="Q3051" s="13"/>
      <c r="R3051" s="13"/>
      <c r="S3051" s="13"/>
      <c r="T3051" s="13"/>
      <c r="U3051" s="13"/>
      <c r="V3051" s="13"/>
      <c r="W3051" s="13"/>
      <c r="X3051" s="13"/>
      <c r="Y3051" s="13"/>
      <c r="Z3051" s="13"/>
    </row>
    <row r="3052" spans="1:26" ht="12" customHeight="1" outlineLevel="4" x14ac:dyDescent="0.2">
      <c r="A3052" s="14" t="s">
        <v>5967</v>
      </c>
      <c r="B3052" s="26" t="s">
        <v>5968</v>
      </c>
      <c r="C3052" s="52"/>
      <c r="D3052" s="55">
        <f t="shared" si="47"/>
        <v>0</v>
      </c>
      <c r="E3052" s="63" t="str">
        <f>HYPERLINK("https://www.sds-group.ru/product/kabelnyy-vvod-metallicheskiy-s-rezboy-pgm-11-10-5mm-rexant-07-8211/", "Инфо")</f>
        <v>Инфо</v>
      </c>
      <c r="F3052" s="16" t="s">
        <v>39</v>
      </c>
      <c r="G3052" s="15"/>
      <c r="H3052" s="15"/>
      <c r="I3052" s="15"/>
      <c r="J3052" s="22">
        <v>2750</v>
      </c>
      <c r="K3052" s="15" t="s">
        <v>1665</v>
      </c>
      <c r="L3052" s="17">
        <v>50</v>
      </c>
      <c r="M3052" s="22">
        <v>1000</v>
      </c>
      <c r="N3052" s="17">
        <v>50</v>
      </c>
      <c r="O3052" s="18">
        <v>176.49</v>
      </c>
      <c r="P3052" s="18">
        <v>144.66</v>
      </c>
      <c r="Q3052" s="18">
        <v>150.02000000000001</v>
      </c>
      <c r="R3052" s="18">
        <v>122.97</v>
      </c>
      <c r="S3052" s="18">
        <v>120.01</v>
      </c>
      <c r="T3052" s="18">
        <v>98.37</v>
      </c>
      <c r="U3052" s="16"/>
      <c r="V3052" s="16"/>
      <c r="W3052" s="16" t="s">
        <v>40</v>
      </c>
      <c r="X3052" s="19">
        <v>3.0000000000000001E-3</v>
      </c>
      <c r="Y3052" s="20">
        <v>6.0000000000000002E-6</v>
      </c>
      <c r="Z3052" s="21">
        <v>4601004036611</v>
      </c>
    </row>
    <row r="3053" spans="1:26" ht="12" customHeight="1" outlineLevel="4" x14ac:dyDescent="0.2">
      <c r="A3053" s="14" t="s">
        <v>5969</v>
      </c>
      <c r="B3053" s="26" t="s">
        <v>5970</v>
      </c>
      <c r="C3053" s="52"/>
      <c r="D3053" s="55">
        <f t="shared" si="47"/>
        <v>0</v>
      </c>
      <c r="E3053" s="63" t="str">
        <f>HYPERLINK("https://www.sds-group.ru/product/kabelnyy-vvod-metallicheskiy-s-rezboy-pgm-13-12-6mm-rexant-07-8213/", "Инфо")</f>
        <v>Инфо</v>
      </c>
      <c r="F3053" s="16" t="s">
        <v>39</v>
      </c>
      <c r="G3053" s="15"/>
      <c r="H3053" s="15"/>
      <c r="I3053" s="15"/>
      <c r="J3053" s="16" t="s">
        <v>100</v>
      </c>
      <c r="K3053" s="15" t="s">
        <v>1665</v>
      </c>
      <c r="L3053" s="17">
        <v>50</v>
      </c>
      <c r="M3053" s="17">
        <v>700</v>
      </c>
      <c r="N3053" s="17">
        <v>50</v>
      </c>
      <c r="O3053" s="18">
        <v>203.52</v>
      </c>
      <c r="P3053" s="18">
        <v>166.82</v>
      </c>
      <c r="Q3053" s="18">
        <v>172.99</v>
      </c>
      <c r="R3053" s="18">
        <v>141.80000000000001</v>
      </c>
      <c r="S3053" s="18">
        <v>138.38999999999999</v>
      </c>
      <c r="T3053" s="18">
        <v>113.43</v>
      </c>
      <c r="U3053" s="16"/>
      <c r="V3053" s="16"/>
      <c r="W3053" s="16" t="s">
        <v>40</v>
      </c>
      <c r="X3053" s="19">
        <v>2.8000000000000001E-2</v>
      </c>
      <c r="Y3053" s="20">
        <v>2.4000000000000001E-5</v>
      </c>
      <c r="Z3053" s="21">
        <v>4601004036628</v>
      </c>
    </row>
    <row r="3054" spans="1:26" ht="12" customHeight="1" outlineLevel="4" x14ac:dyDescent="0.2">
      <c r="A3054" s="14" t="s">
        <v>5971</v>
      </c>
      <c r="B3054" s="26" t="s">
        <v>5972</v>
      </c>
      <c r="C3054" s="52"/>
      <c r="D3054" s="55">
        <f t="shared" si="47"/>
        <v>0</v>
      </c>
      <c r="E3054" s="63" t="str">
        <f>HYPERLINK("https://www.sds-group.ru/product/kabelnyy-vvod-metallicheskiy-s-rezboy-pgm-16-14-10mm-rexant-07-8216/", "Инфо")</f>
        <v>Инфо</v>
      </c>
      <c r="F3054" s="16" t="s">
        <v>39</v>
      </c>
      <c r="G3054" s="15"/>
      <c r="H3054" s="15"/>
      <c r="I3054" s="15"/>
      <c r="J3054" s="17">
        <v>250</v>
      </c>
      <c r="K3054" s="15" t="s">
        <v>210</v>
      </c>
      <c r="L3054" s="17">
        <v>50</v>
      </c>
      <c r="M3054" s="17">
        <v>600</v>
      </c>
      <c r="N3054" s="17">
        <v>50</v>
      </c>
      <c r="O3054" s="18">
        <v>235.45</v>
      </c>
      <c r="P3054" s="18">
        <v>192.99</v>
      </c>
      <c r="Q3054" s="18">
        <v>200.13</v>
      </c>
      <c r="R3054" s="18">
        <v>164.04</v>
      </c>
      <c r="S3054" s="18">
        <v>160.11000000000001</v>
      </c>
      <c r="T3054" s="18">
        <v>131.24</v>
      </c>
      <c r="U3054" s="16"/>
      <c r="V3054" s="16"/>
      <c r="W3054" s="16" t="s">
        <v>40</v>
      </c>
      <c r="X3054" s="19">
        <v>3.3000000000000002E-2</v>
      </c>
      <c r="Y3054" s="20">
        <v>2.6999999999999999E-5</v>
      </c>
      <c r="Z3054" s="21">
        <v>4601004036635</v>
      </c>
    </row>
    <row r="3055" spans="1:26" ht="12" customHeight="1" outlineLevel="4" x14ac:dyDescent="0.2">
      <c r="A3055" s="14" t="s">
        <v>5973</v>
      </c>
      <c r="B3055" s="26" t="s">
        <v>5974</v>
      </c>
      <c r="C3055" s="52"/>
      <c r="D3055" s="55">
        <f t="shared" si="47"/>
        <v>0</v>
      </c>
      <c r="E3055" s="63" t="str">
        <f>HYPERLINK("https://www.sds-group.ru/product/kabelnyy-vvod-metallicheskiy-s-rezboy-pgm-21-18-13mm-rexant-07-8221/", "Инфо")</f>
        <v>Инфо</v>
      </c>
      <c r="F3055" s="16" t="s">
        <v>39</v>
      </c>
      <c r="G3055" s="15"/>
      <c r="H3055" s="15"/>
      <c r="I3055" s="15"/>
      <c r="J3055" s="17">
        <v>950</v>
      </c>
      <c r="K3055" s="15"/>
      <c r="L3055" s="17">
        <v>25</v>
      </c>
      <c r="M3055" s="17">
        <v>350</v>
      </c>
      <c r="N3055" s="17">
        <v>25</v>
      </c>
      <c r="O3055" s="18">
        <v>319.06</v>
      </c>
      <c r="P3055" s="18">
        <v>261.52</v>
      </c>
      <c r="Q3055" s="18">
        <v>271.2</v>
      </c>
      <c r="R3055" s="18">
        <v>222.3</v>
      </c>
      <c r="S3055" s="18">
        <v>216.96</v>
      </c>
      <c r="T3055" s="18">
        <v>177.84</v>
      </c>
      <c r="U3055" s="16"/>
      <c r="V3055" s="16"/>
      <c r="W3055" s="16" t="s">
        <v>40</v>
      </c>
      <c r="X3055" s="19">
        <v>5.2999999999999999E-2</v>
      </c>
      <c r="Y3055" s="20">
        <v>5.1999999999999997E-5</v>
      </c>
      <c r="Z3055" s="21">
        <v>4601004036666</v>
      </c>
    </row>
    <row r="3056" spans="1:26" ht="12" customHeight="1" outlineLevel="4" x14ac:dyDescent="0.2">
      <c r="A3056" s="14" t="s">
        <v>5975</v>
      </c>
      <c r="B3056" s="26" t="s">
        <v>5976</v>
      </c>
      <c r="C3056" s="52"/>
      <c r="D3056" s="55">
        <f t="shared" si="47"/>
        <v>0</v>
      </c>
      <c r="E3056" s="63" t="str">
        <f>HYPERLINK("https://www.sds-group.ru/product/kabelnyy-vvod-metallicheskiy-s-rezboy-pgm-9-8-4mm-rexant-07-8209/", "Инфо")</f>
        <v>Инфо</v>
      </c>
      <c r="F3056" s="16" t="s">
        <v>39</v>
      </c>
      <c r="G3056" s="15"/>
      <c r="H3056" s="15"/>
      <c r="I3056" s="15"/>
      <c r="J3056" s="22">
        <v>1950</v>
      </c>
      <c r="K3056" s="15" t="s">
        <v>1650</v>
      </c>
      <c r="L3056" s="17">
        <v>50</v>
      </c>
      <c r="M3056" s="22">
        <v>1000</v>
      </c>
      <c r="N3056" s="17">
        <v>50</v>
      </c>
      <c r="O3056" s="18">
        <v>150.57</v>
      </c>
      <c r="P3056" s="18">
        <v>123.42</v>
      </c>
      <c r="Q3056" s="18">
        <v>127.98</v>
      </c>
      <c r="R3056" s="18">
        <v>104.9</v>
      </c>
      <c r="S3056" s="18">
        <v>102.39</v>
      </c>
      <c r="T3056" s="18">
        <v>83.93</v>
      </c>
      <c r="U3056" s="16"/>
      <c r="V3056" s="16"/>
      <c r="W3056" s="16" t="s">
        <v>40</v>
      </c>
      <c r="X3056" s="19">
        <v>1.7000000000000001E-2</v>
      </c>
      <c r="Y3056" s="20">
        <v>1.4E-5</v>
      </c>
      <c r="Z3056" s="21">
        <v>4601004036604</v>
      </c>
    </row>
    <row r="3057" spans="1:26" ht="12.95" customHeight="1" outlineLevel="3" x14ac:dyDescent="0.2">
      <c r="A3057" s="76" t="s">
        <v>5977</v>
      </c>
      <c r="B3057" s="76"/>
      <c r="C3057" s="77"/>
      <c r="D3057" s="58"/>
      <c r="E3057" s="68"/>
      <c r="F3057" s="13"/>
      <c r="G3057" s="13"/>
      <c r="H3057" s="13"/>
      <c r="I3057" s="13"/>
      <c r="J3057" s="13"/>
      <c r="K3057" s="13"/>
      <c r="L3057" s="13"/>
      <c r="M3057" s="13"/>
      <c r="N3057" s="13"/>
      <c r="O3057" s="13"/>
      <c r="P3057" s="13"/>
      <c r="Q3057" s="13"/>
      <c r="R3057" s="13"/>
      <c r="S3057" s="13"/>
      <c r="T3057" s="13"/>
      <c r="U3057" s="13"/>
      <c r="V3057" s="13"/>
      <c r="W3057" s="13"/>
      <c r="X3057" s="13"/>
      <c r="Y3057" s="13"/>
      <c r="Z3057" s="13"/>
    </row>
    <row r="3058" spans="1:26" ht="12" customHeight="1" outlineLevel="4" x14ac:dyDescent="0.2">
      <c r="A3058" s="32" t="s">
        <v>5978</v>
      </c>
      <c r="B3058" s="74" t="s">
        <v>5979</v>
      </c>
      <c r="C3058" s="50"/>
      <c r="D3058" s="53">
        <f t="shared" si="47"/>
        <v>0</v>
      </c>
      <c r="E3058" s="60" t="str">
        <f>HYPERLINK("https://www.sds-group.ru/product/kabelnyy-vvod-s-rezboy-mg-12-7-6-4-6mm-seryy-up-2-sht-rexant-07-8112-2/", "Инфо")</f>
        <v>Инфо</v>
      </c>
      <c r="F3058" s="34" t="s">
        <v>1001</v>
      </c>
      <c r="G3058" s="33"/>
      <c r="H3058" s="33" t="s">
        <v>40</v>
      </c>
      <c r="I3058" s="33" t="s">
        <v>5980</v>
      </c>
      <c r="J3058" s="34" t="s">
        <v>100</v>
      </c>
      <c r="K3058" s="33"/>
      <c r="L3058" s="35">
        <v>1</v>
      </c>
      <c r="M3058" s="39">
        <v>2400</v>
      </c>
      <c r="N3058" s="35">
        <v>1</v>
      </c>
      <c r="O3058" s="36">
        <v>99.29</v>
      </c>
      <c r="P3058" s="36">
        <v>81.39</v>
      </c>
      <c r="Q3058" s="36">
        <v>69.5</v>
      </c>
      <c r="R3058" s="36">
        <v>56.97</v>
      </c>
      <c r="S3058" s="36">
        <v>67.52</v>
      </c>
      <c r="T3058" s="36">
        <v>55.34</v>
      </c>
      <c r="U3058" s="34"/>
      <c r="V3058" s="34"/>
      <c r="W3058" s="34"/>
      <c r="X3058" s="37">
        <v>1.4999999999999999E-2</v>
      </c>
      <c r="Y3058" s="38">
        <v>2.6499999999999999E-4</v>
      </c>
      <c r="Z3058" s="21">
        <v>4601004128446</v>
      </c>
    </row>
    <row r="3059" spans="1:26" ht="12" customHeight="1" outlineLevel="4" x14ac:dyDescent="0.2">
      <c r="A3059" s="32" t="s">
        <v>5981</v>
      </c>
      <c r="B3059" s="74" t="s">
        <v>5982</v>
      </c>
      <c r="C3059" s="50"/>
      <c r="D3059" s="53">
        <f t="shared" si="47"/>
        <v>0</v>
      </c>
      <c r="E3059" s="60" t="str">
        <f>HYPERLINK("https://www.sds-group.ru/product/kabelnyy-vvod-s-rezboy-mg-16-10-6mm-seryy-up-2-sht-rexant-07-8116-2/", "Инфо")</f>
        <v>Инфо</v>
      </c>
      <c r="F3059" s="34" t="s">
        <v>1001</v>
      </c>
      <c r="G3059" s="33"/>
      <c r="H3059" s="33" t="s">
        <v>40</v>
      </c>
      <c r="I3059" s="33" t="s">
        <v>5980</v>
      </c>
      <c r="J3059" s="34" t="s">
        <v>100</v>
      </c>
      <c r="K3059" s="33"/>
      <c r="L3059" s="35">
        <v>1</v>
      </c>
      <c r="M3059" s="39">
        <v>1500</v>
      </c>
      <c r="N3059" s="35">
        <v>1</v>
      </c>
      <c r="O3059" s="36">
        <v>105.01</v>
      </c>
      <c r="P3059" s="36">
        <v>86.07</v>
      </c>
      <c r="Q3059" s="36">
        <v>73.510000000000005</v>
      </c>
      <c r="R3059" s="36">
        <v>60.25</v>
      </c>
      <c r="S3059" s="36">
        <v>71.41</v>
      </c>
      <c r="T3059" s="36">
        <v>58.53</v>
      </c>
      <c r="U3059" s="34"/>
      <c r="V3059" s="34"/>
      <c r="W3059" s="34"/>
      <c r="X3059" s="37">
        <v>1.7000000000000001E-2</v>
      </c>
      <c r="Y3059" s="38">
        <v>1.6799999999999999E-4</v>
      </c>
      <c r="Z3059" s="21">
        <v>4601004128354</v>
      </c>
    </row>
    <row r="3060" spans="1:26" ht="12" customHeight="1" outlineLevel="4" x14ac:dyDescent="0.2">
      <c r="A3060" s="14" t="s">
        <v>5983</v>
      </c>
      <c r="B3060" s="26" t="s">
        <v>5984</v>
      </c>
      <c r="C3060" s="52"/>
      <c r="D3060" s="55">
        <f t="shared" si="47"/>
        <v>0</v>
      </c>
      <c r="E3060" s="63" t="str">
        <f>HYPERLINK("https://www.sds-group.ru/product/kabelnyy-vvod-s-rezboy-mg-20-14-9mm-seryy-up-2-sht-rexant-07-8120-2/", "Инфо")</f>
        <v>Инфо</v>
      </c>
      <c r="F3060" s="16" t="s">
        <v>1001</v>
      </c>
      <c r="G3060" s="15"/>
      <c r="H3060" s="15"/>
      <c r="I3060" s="15" t="s">
        <v>5980</v>
      </c>
      <c r="J3060" s="16" t="s">
        <v>100</v>
      </c>
      <c r="K3060" s="15"/>
      <c r="L3060" s="17">
        <v>10</v>
      </c>
      <c r="M3060" s="22">
        <v>1000</v>
      </c>
      <c r="N3060" s="17">
        <v>10</v>
      </c>
      <c r="O3060" s="18">
        <v>156.88999999999999</v>
      </c>
      <c r="P3060" s="18">
        <v>128.6</v>
      </c>
      <c r="Q3060" s="18">
        <v>133.36000000000001</v>
      </c>
      <c r="R3060" s="18">
        <v>109.31</v>
      </c>
      <c r="S3060" s="18">
        <v>106.69</v>
      </c>
      <c r="T3060" s="18">
        <v>87.45</v>
      </c>
      <c r="U3060" s="16"/>
      <c r="V3060" s="16"/>
      <c r="W3060" s="16" t="s">
        <v>40</v>
      </c>
      <c r="X3060" s="19">
        <v>3.9E-2</v>
      </c>
      <c r="Y3060" s="20">
        <v>1.9799999999999999E-4</v>
      </c>
      <c r="Z3060" s="21">
        <v>4601004128361</v>
      </c>
    </row>
    <row r="3061" spans="1:26" ht="12" customHeight="1" outlineLevel="4" x14ac:dyDescent="0.2">
      <c r="A3061" s="14" t="s">
        <v>5985</v>
      </c>
      <c r="B3061" s="26" t="s">
        <v>5986</v>
      </c>
      <c r="C3061" s="52"/>
      <c r="D3061" s="55">
        <f t="shared" si="47"/>
        <v>0</v>
      </c>
      <c r="E3061" s="63" t="str">
        <f>HYPERLINK("https://www.sds-group.ru/product/kabelnyy-vvod-s-rezboy-mg-25-18-13mm-seryy-up-2-sht-rexant-07-8125-2/", "Инфо")</f>
        <v>Инфо</v>
      </c>
      <c r="F3061" s="16" t="s">
        <v>1001</v>
      </c>
      <c r="G3061" s="15"/>
      <c r="H3061" s="15"/>
      <c r="I3061" s="15" t="s">
        <v>5980</v>
      </c>
      <c r="J3061" s="16" t="s">
        <v>100</v>
      </c>
      <c r="K3061" s="15"/>
      <c r="L3061" s="17">
        <v>10</v>
      </c>
      <c r="M3061" s="17">
        <v>576</v>
      </c>
      <c r="N3061" s="17">
        <v>10</v>
      </c>
      <c r="O3061" s="18">
        <v>195.41</v>
      </c>
      <c r="P3061" s="18">
        <v>160.16999999999999</v>
      </c>
      <c r="Q3061" s="18">
        <v>166.1</v>
      </c>
      <c r="R3061" s="18">
        <v>136.15</v>
      </c>
      <c r="S3061" s="18">
        <v>132.88</v>
      </c>
      <c r="T3061" s="18">
        <v>108.92</v>
      </c>
      <c r="U3061" s="16"/>
      <c r="V3061" s="16"/>
      <c r="W3061" s="16" t="s">
        <v>40</v>
      </c>
      <c r="X3061" s="19">
        <v>6.3E-2</v>
      </c>
      <c r="Y3061" s="20">
        <v>5.0299999999999997E-4</v>
      </c>
      <c r="Z3061" s="21">
        <v>4601004128378</v>
      </c>
    </row>
    <row r="3062" spans="1:26" ht="12" customHeight="1" outlineLevel="4" x14ac:dyDescent="0.2">
      <c r="A3062" s="14" t="s">
        <v>5987</v>
      </c>
      <c r="B3062" s="26" t="s">
        <v>5988</v>
      </c>
      <c r="C3062" s="52"/>
      <c r="D3062" s="55">
        <f t="shared" si="47"/>
        <v>0</v>
      </c>
      <c r="E3062" s="63" t="str">
        <f>HYPERLINK("https://www.sds-group.ru/product/kabelnyy-vvod-s-rezboy-mg-32-25-18-mm-chernyy-up-2-sht-rexant-07-8132-1-2/", "Инфо")</f>
        <v>Инфо</v>
      </c>
      <c r="F3062" s="16" t="s">
        <v>1001</v>
      </c>
      <c r="G3062" s="15"/>
      <c r="H3062" s="15"/>
      <c r="I3062" s="15" t="s">
        <v>5980</v>
      </c>
      <c r="J3062" s="16" t="s">
        <v>100</v>
      </c>
      <c r="K3062" s="15"/>
      <c r="L3062" s="17">
        <v>5</v>
      </c>
      <c r="M3062" s="17">
        <v>360</v>
      </c>
      <c r="N3062" s="17">
        <v>5</v>
      </c>
      <c r="O3062" s="18">
        <v>453.11</v>
      </c>
      <c r="P3062" s="18">
        <v>371.4</v>
      </c>
      <c r="Q3062" s="18">
        <v>362.49</v>
      </c>
      <c r="R3062" s="18">
        <v>297.12</v>
      </c>
      <c r="S3062" s="18">
        <v>308.11</v>
      </c>
      <c r="T3062" s="18">
        <v>252.55</v>
      </c>
      <c r="U3062" s="16"/>
      <c r="V3062" s="16"/>
      <c r="W3062" s="16" t="s">
        <v>40</v>
      </c>
      <c r="X3062" s="19">
        <v>8.8999999999999996E-2</v>
      </c>
      <c r="Y3062" s="20">
        <v>4.9600000000000002E-4</v>
      </c>
      <c r="Z3062" s="21">
        <v>4601004136526</v>
      </c>
    </row>
    <row r="3063" spans="1:26" ht="12" customHeight="1" outlineLevel="4" x14ac:dyDescent="0.2">
      <c r="A3063" s="32" t="s">
        <v>5989</v>
      </c>
      <c r="B3063" s="74" t="s">
        <v>5990</v>
      </c>
      <c r="C3063" s="50"/>
      <c r="D3063" s="53">
        <f t="shared" si="47"/>
        <v>0</v>
      </c>
      <c r="E3063" s="60" t="str">
        <f>HYPERLINK("https://www.sds-group.ru/product/kabelnyy-vvod-s-rezboy-pg-13-5-6-12mm-seryy-komplekt-2-sht-up-rexant-07-8013-A2/", "Инфо")</f>
        <v>Инфо</v>
      </c>
      <c r="F3063" s="34" t="s">
        <v>1001</v>
      </c>
      <c r="G3063" s="33"/>
      <c r="H3063" s="33" t="s">
        <v>40</v>
      </c>
      <c r="I3063" s="33"/>
      <c r="J3063" s="34" t="s">
        <v>100</v>
      </c>
      <c r="K3063" s="33"/>
      <c r="L3063" s="35">
        <v>1</v>
      </c>
      <c r="M3063" s="35">
        <v>10</v>
      </c>
      <c r="N3063" s="35">
        <v>1</v>
      </c>
      <c r="O3063" s="36">
        <v>93.07</v>
      </c>
      <c r="P3063" s="36">
        <v>76.290000000000006</v>
      </c>
      <c r="Q3063" s="36">
        <v>79.11</v>
      </c>
      <c r="R3063" s="36">
        <v>64.84</v>
      </c>
      <c r="S3063" s="36">
        <v>63.29</v>
      </c>
      <c r="T3063" s="36">
        <v>51.88</v>
      </c>
      <c r="U3063" s="34"/>
      <c r="V3063" s="34"/>
      <c r="W3063" s="34" t="s">
        <v>40</v>
      </c>
      <c r="X3063" s="37">
        <v>3.3000000000000002E-2</v>
      </c>
      <c r="Y3063" s="38">
        <v>2.3699999999999999E-4</v>
      </c>
      <c r="Z3063" s="21">
        <v>4601004274051</v>
      </c>
    </row>
    <row r="3064" spans="1:26" ht="12" customHeight="1" outlineLevel="4" x14ac:dyDescent="0.2">
      <c r="A3064" s="32" t="s">
        <v>5991</v>
      </c>
      <c r="B3064" s="74" t="s">
        <v>5992</v>
      </c>
      <c r="C3064" s="50"/>
      <c r="D3064" s="53">
        <f t="shared" si="47"/>
        <v>0</v>
      </c>
      <c r="E3064" s="60" t="str">
        <f>HYPERLINK("https://www.sds-group.ru/product/kabelnyy-vvod-s-rezboy-pg-21-13-18mm-seryy-komplekt-2-sht-up-rexant-07-8021-A2/", "Инфо")</f>
        <v>Инфо</v>
      </c>
      <c r="F3064" s="34" t="s">
        <v>1001</v>
      </c>
      <c r="G3064" s="33"/>
      <c r="H3064" s="33" t="s">
        <v>40</v>
      </c>
      <c r="I3064" s="33"/>
      <c r="J3064" s="34" t="s">
        <v>100</v>
      </c>
      <c r="K3064" s="33"/>
      <c r="L3064" s="35">
        <v>1</v>
      </c>
      <c r="M3064" s="35">
        <v>10</v>
      </c>
      <c r="N3064" s="35">
        <v>1</v>
      </c>
      <c r="O3064" s="36">
        <v>110.97</v>
      </c>
      <c r="P3064" s="36">
        <v>90.96</v>
      </c>
      <c r="Q3064" s="36">
        <v>94.32</v>
      </c>
      <c r="R3064" s="36">
        <v>77.31</v>
      </c>
      <c r="S3064" s="36">
        <v>75.459999999999994</v>
      </c>
      <c r="T3064" s="36">
        <v>61.85</v>
      </c>
      <c r="U3064" s="34"/>
      <c r="V3064" s="34"/>
      <c r="W3064" s="34" t="s">
        <v>40</v>
      </c>
      <c r="X3064" s="37">
        <v>4.7E-2</v>
      </c>
      <c r="Y3064" s="38">
        <v>2.13E-4</v>
      </c>
      <c r="Z3064" s="21">
        <v>4601004274099</v>
      </c>
    </row>
    <row r="3065" spans="1:26" ht="12" customHeight="1" outlineLevel="4" x14ac:dyDescent="0.2">
      <c r="A3065" s="32" t="s">
        <v>5993</v>
      </c>
      <c r="B3065" s="74" t="s">
        <v>5994</v>
      </c>
      <c r="C3065" s="50"/>
      <c r="D3065" s="53">
        <f t="shared" si="47"/>
        <v>0</v>
      </c>
      <c r="E3065" s="60" t="str">
        <f>HYPERLINK("https://www.sds-group.ru/product/kabelnyy-vvod-s-rezboy-pg-29-18-25mm-seryy-komplekt-2-sht-up-rexant-07-8029-A2/", "Инфо")</f>
        <v>Инфо</v>
      </c>
      <c r="F3065" s="34" t="s">
        <v>1001</v>
      </c>
      <c r="G3065" s="33"/>
      <c r="H3065" s="33" t="s">
        <v>40</v>
      </c>
      <c r="I3065" s="33"/>
      <c r="J3065" s="35">
        <v>201</v>
      </c>
      <c r="K3065" s="33"/>
      <c r="L3065" s="35">
        <v>1</v>
      </c>
      <c r="M3065" s="35">
        <v>10</v>
      </c>
      <c r="N3065" s="35">
        <v>1</v>
      </c>
      <c r="O3065" s="36">
        <v>210.74</v>
      </c>
      <c r="P3065" s="36">
        <v>172.74</v>
      </c>
      <c r="Q3065" s="36">
        <v>179.13</v>
      </c>
      <c r="R3065" s="36">
        <v>146.83000000000001</v>
      </c>
      <c r="S3065" s="36">
        <v>143.30000000000001</v>
      </c>
      <c r="T3065" s="36">
        <v>117.46</v>
      </c>
      <c r="U3065" s="34"/>
      <c r="V3065" s="34"/>
      <c r="W3065" s="34" t="s">
        <v>40</v>
      </c>
      <c r="X3065" s="37">
        <v>9.1999999999999998E-2</v>
      </c>
      <c r="Y3065" s="38">
        <v>4.8200000000000001E-4</v>
      </c>
      <c r="Z3065" s="21">
        <v>4601004274112</v>
      </c>
    </row>
    <row r="3066" spans="1:26" ht="12.95" customHeight="1" outlineLevel="2" x14ac:dyDescent="0.2">
      <c r="A3066" s="76" t="s">
        <v>5995</v>
      </c>
      <c r="B3066" s="76"/>
      <c r="C3066" s="77"/>
      <c r="D3066" s="58"/>
      <c r="E3066" s="68"/>
      <c r="F3066" s="13"/>
      <c r="G3066" s="13"/>
      <c r="H3066" s="13"/>
      <c r="I3066" s="13"/>
      <c r="J3066" s="13"/>
      <c r="K3066" s="13"/>
      <c r="L3066" s="13"/>
      <c r="M3066" s="13"/>
      <c r="N3066" s="13"/>
      <c r="O3066" s="13"/>
      <c r="P3066" s="13"/>
      <c r="Q3066" s="13"/>
      <c r="R3066" s="13"/>
      <c r="S3066" s="13"/>
      <c r="T3066" s="13"/>
      <c r="U3066" s="13"/>
      <c r="V3066" s="13"/>
      <c r="W3066" s="13"/>
      <c r="X3066" s="13"/>
      <c r="Y3066" s="13"/>
      <c r="Z3066" s="13"/>
    </row>
    <row r="3067" spans="1:26" ht="12.95" customHeight="1" outlineLevel="3" x14ac:dyDescent="0.2">
      <c r="A3067" s="76" t="s">
        <v>5996</v>
      </c>
      <c r="B3067" s="76"/>
      <c r="C3067" s="77"/>
      <c r="D3067" s="58"/>
      <c r="E3067" s="68"/>
      <c r="F3067" s="13"/>
      <c r="G3067" s="13"/>
      <c r="H3067" s="13"/>
      <c r="I3067" s="13"/>
      <c r="J3067" s="13"/>
      <c r="K3067" s="13"/>
      <c r="L3067" s="13"/>
      <c r="M3067" s="13"/>
      <c r="N3067" s="13"/>
      <c r="O3067" s="13"/>
      <c r="P3067" s="13"/>
      <c r="Q3067" s="13"/>
      <c r="R3067" s="13"/>
      <c r="S3067" s="13"/>
      <c r="T3067" s="13"/>
      <c r="U3067" s="13"/>
      <c r="V3067" s="13"/>
      <c r="W3067" s="13"/>
      <c r="X3067" s="13"/>
      <c r="Y3067" s="13"/>
      <c r="Z3067" s="13"/>
    </row>
    <row r="3068" spans="1:26" ht="12" customHeight="1" outlineLevel="4" x14ac:dyDescent="0.2">
      <c r="A3068" s="14" t="s">
        <v>5997</v>
      </c>
      <c r="B3068" s="26" t="s">
        <v>5998</v>
      </c>
      <c r="C3068" s="52"/>
      <c r="D3068" s="55">
        <f t="shared" si="47"/>
        <v>0</v>
      </c>
      <c r="E3068" s="63" t="str">
        <f>HYPERLINK("https://www.sds-group.ru/product/plomba-plastikovaya-nomernaya-350mm-zheltaya-rexant-07-6132/", "Инфо")</f>
        <v>Инфо</v>
      </c>
      <c r="F3068" s="16" t="s">
        <v>39</v>
      </c>
      <c r="G3068" s="15"/>
      <c r="H3068" s="15"/>
      <c r="I3068" s="15"/>
      <c r="J3068" s="22">
        <v>33950</v>
      </c>
      <c r="K3068" s="15"/>
      <c r="L3068" s="17">
        <v>50</v>
      </c>
      <c r="M3068" s="22">
        <v>1000</v>
      </c>
      <c r="N3068" s="17">
        <v>50</v>
      </c>
      <c r="O3068" s="18">
        <v>14.03</v>
      </c>
      <c r="P3068" s="18">
        <v>11.5</v>
      </c>
      <c r="Q3068" s="18">
        <v>11.93</v>
      </c>
      <c r="R3068" s="18">
        <v>9.7799999999999994</v>
      </c>
      <c r="S3068" s="18">
        <v>9.5399999999999991</v>
      </c>
      <c r="T3068" s="18">
        <v>7.82</v>
      </c>
      <c r="U3068" s="16"/>
      <c r="V3068" s="16"/>
      <c r="W3068" s="16" t="s">
        <v>40</v>
      </c>
      <c r="X3068" s="19">
        <v>3.0000000000000001E-3</v>
      </c>
      <c r="Y3068" s="20">
        <v>1.9000000000000001E-5</v>
      </c>
      <c r="Z3068" s="21">
        <v>4660008015435</v>
      </c>
    </row>
    <row r="3069" spans="1:26" ht="12" customHeight="1" outlineLevel="4" x14ac:dyDescent="0.2">
      <c r="A3069" s="14" t="s">
        <v>5999</v>
      </c>
      <c r="B3069" s="26" t="s">
        <v>6000</v>
      </c>
      <c r="C3069" s="52"/>
      <c r="D3069" s="55">
        <f t="shared" si="47"/>
        <v>0</v>
      </c>
      <c r="E3069" s="63" t="str">
        <f>HYPERLINK("https://www.sds-group.ru/product/plomba-plastikovaya-nomernaya-350mm-zelenaya-rexant-07-6133/", "Инфо")</f>
        <v>Инфо</v>
      </c>
      <c r="F3069" s="16" t="s">
        <v>39</v>
      </c>
      <c r="G3069" s="15"/>
      <c r="H3069" s="15"/>
      <c r="I3069" s="15"/>
      <c r="J3069" s="22">
        <v>33300</v>
      </c>
      <c r="K3069" s="15"/>
      <c r="L3069" s="17">
        <v>50</v>
      </c>
      <c r="M3069" s="22">
        <v>1000</v>
      </c>
      <c r="N3069" s="17">
        <v>50</v>
      </c>
      <c r="O3069" s="18">
        <v>14.03</v>
      </c>
      <c r="P3069" s="18">
        <v>11.5</v>
      </c>
      <c r="Q3069" s="18">
        <v>11.93</v>
      </c>
      <c r="R3069" s="18">
        <v>9.7799999999999994</v>
      </c>
      <c r="S3069" s="18">
        <v>9.5399999999999991</v>
      </c>
      <c r="T3069" s="18">
        <v>7.82</v>
      </c>
      <c r="U3069" s="16"/>
      <c r="V3069" s="16"/>
      <c r="W3069" s="16" t="s">
        <v>40</v>
      </c>
      <c r="X3069" s="19">
        <v>3.0000000000000001E-3</v>
      </c>
      <c r="Y3069" s="20">
        <v>1.8E-5</v>
      </c>
      <c r="Z3069" s="21">
        <v>4660008015442</v>
      </c>
    </row>
    <row r="3070" spans="1:26" ht="12" customHeight="1" outlineLevel="4" x14ac:dyDescent="0.2">
      <c r="A3070" s="14" t="s">
        <v>6001</v>
      </c>
      <c r="B3070" s="26" t="s">
        <v>6002</v>
      </c>
      <c r="C3070" s="52"/>
      <c r="D3070" s="55">
        <f t="shared" si="47"/>
        <v>0</v>
      </c>
      <c r="E3070" s="63" t="str">
        <f>HYPERLINK("https://www.sds-group.ru/product/plomba-plastikovaya-nomernaya-350mm-krasnaya-rexant-07-6131/", "Инфо")</f>
        <v>Инфо</v>
      </c>
      <c r="F3070" s="16" t="s">
        <v>39</v>
      </c>
      <c r="G3070" s="15"/>
      <c r="H3070" s="15"/>
      <c r="I3070" s="15"/>
      <c r="J3070" s="16" t="s">
        <v>100</v>
      </c>
      <c r="K3070" s="15"/>
      <c r="L3070" s="17">
        <v>50</v>
      </c>
      <c r="M3070" s="22">
        <v>1000</v>
      </c>
      <c r="N3070" s="17">
        <v>50</v>
      </c>
      <c r="O3070" s="18">
        <v>14.03</v>
      </c>
      <c r="P3070" s="18">
        <v>11.5</v>
      </c>
      <c r="Q3070" s="18">
        <v>11.93</v>
      </c>
      <c r="R3070" s="18">
        <v>9.7799999999999994</v>
      </c>
      <c r="S3070" s="18">
        <v>9.5399999999999991</v>
      </c>
      <c r="T3070" s="18">
        <v>7.82</v>
      </c>
      <c r="U3070" s="16"/>
      <c r="V3070" s="16"/>
      <c r="W3070" s="16" t="s">
        <v>40</v>
      </c>
      <c r="X3070" s="19">
        <v>3.0000000000000001E-3</v>
      </c>
      <c r="Y3070" s="20">
        <v>1.8E-5</v>
      </c>
      <c r="Z3070" s="21">
        <v>4660008015428</v>
      </c>
    </row>
    <row r="3071" spans="1:26" ht="12" customHeight="1" outlineLevel="4" x14ac:dyDescent="0.2">
      <c r="A3071" s="14" t="s">
        <v>6003</v>
      </c>
      <c r="B3071" s="26" t="s">
        <v>6004</v>
      </c>
      <c r="C3071" s="52"/>
      <c r="D3071" s="55">
        <f t="shared" si="47"/>
        <v>0</v>
      </c>
      <c r="E3071" s="63" t="str">
        <f>HYPERLINK("https://www.sds-group.ru/product/plomba-plastikovaya-nomernaya-220mm-zheltaya-rexant-07-6112/", "Инфо")</f>
        <v>Инфо</v>
      </c>
      <c r="F3071" s="16" t="s">
        <v>39</v>
      </c>
      <c r="G3071" s="15"/>
      <c r="H3071" s="15"/>
      <c r="I3071" s="15"/>
      <c r="J3071" s="16" t="s">
        <v>100</v>
      </c>
      <c r="K3071" s="15"/>
      <c r="L3071" s="17">
        <v>50</v>
      </c>
      <c r="M3071" s="22">
        <v>1000</v>
      </c>
      <c r="N3071" s="17">
        <v>50</v>
      </c>
      <c r="O3071" s="18">
        <v>14.91</v>
      </c>
      <c r="P3071" s="18">
        <v>12.22</v>
      </c>
      <c r="Q3071" s="18">
        <v>12.67</v>
      </c>
      <c r="R3071" s="18">
        <v>10.39</v>
      </c>
      <c r="S3071" s="18">
        <v>10.14</v>
      </c>
      <c r="T3071" s="18">
        <v>8.31</v>
      </c>
      <c r="U3071" s="16"/>
      <c r="V3071" s="16"/>
      <c r="W3071" s="16" t="s">
        <v>40</v>
      </c>
      <c r="X3071" s="19">
        <v>3.0000000000000001E-3</v>
      </c>
      <c r="Y3071" s="20">
        <v>1.5E-5</v>
      </c>
      <c r="Z3071" s="21">
        <v>4660008015374</v>
      </c>
    </row>
    <row r="3072" spans="1:26" ht="12" customHeight="1" outlineLevel="4" x14ac:dyDescent="0.2">
      <c r="A3072" s="14" t="s">
        <v>6005</v>
      </c>
      <c r="B3072" s="26" t="s">
        <v>6006</v>
      </c>
      <c r="C3072" s="52"/>
      <c r="D3072" s="55">
        <f t="shared" si="47"/>
        <v>0</v>
      </c>
      <c r="E3072" s="63" t="str">
        <f>HYPERLINK("https://www.sds-group.ru/product/plomba-plastikovaya-nomernaya-220mm-zelenaya-rexant-07-6113/", "Инфо")</f>
        <v>Инфо</v>
      </c>
      <c r="F3072" s="16" t="s">
        <v>39</v>
      </c>
      <c r="G3072" s="15"/>
      <c r="H3072" s="15"/>
      <c r="I3072" s="15"/>
      <c r="J3072" s="22">
        <v>3750</v>
      </c>
      <c r="K3072" s="15"/>
      <c r="L3072" s="17">
        <v>50</v>
      </c>
      <c r="M3072" s="22">
        <v>1000</v>
      </c>
      <c r="N3072" s="17">
        <v>50</v>
      </c>
      <c r="O3072" s="18">
        <v>16.38</v>
      </c>
      <c r="P3072" s="18">
        <v>13.43</v>
      </c>
      <c r="Q3072" s="18">
        <v>13.92</v>
      </c>
      <c r="R3072" s="18">
        <v>11.41</v>
      </c>
      <c r="S3072" s="18">
        <v>11.14</v>
      </c>
      <c r="T3072" s="18">
        <v>9.1300000000000008</v>
      </c>
      <c r="U3072" s="16"/>
      <c r="V3072" s="16"/>
      <c r="W3072" s="16" t="s">
        <v>40</v>
      </c>
      <c r="X3072" s="19">
        <v>3.0000000000000001E-3</v>
      </c>
      <c r="Y3072" s="20">
        <v>1.5E-5</v>
      </c>
      <c r="Z3072" s="21">
        <v>4660008015381</v>
      </c>
    </row>
    <row r="3073" spans="1:26" ht="12" customHeight="1" outlineLevel="4" x14ac:dyDescent="0.2">
      <c r="A3073" s="14" t="s">
        <v>6007</v>
      </c>
      <c r="B3073" s="26" t="s">
        <v>6008</v>
      </c>
      <c r="C3073" s="52"/>
      <c r="D3073" s="55">
        <f t="shared" si="47"/>
        <v>0</v>
      </c>
      <c r="E3073" s="63" t="str">
        <f>HYPERLINK("https://www.sds-group.ru/product/plomba-plastikovaya-nomernaya-220mm-krasnaya-rexant-07-6111/", "Инфо")</f>
        <v>Инфо</v>
      </c>
      <c r="F3073" s="16" t="s">
        <v>39</v>
      </c>
      <c r="G3073" s="15"/>
      <c r="H3073" s="15"/>
      <c r="I3073" s="15"/>
      <c r="J3073" s="16" t="s">
        <v>100</v>
      </c>
      <c r="K3073" s="15"/>
      <c r="L3073" s="17">
        <v>50</v>
      </c>
      <c r="M3073" s="22">
        <v>1000</v>
      </c>
      <c r="N3073" s="17">
        <v>50</v>
      </c>
      <c r="O3073" s="18">
        <v>14.91</v>
      </c>
      <c r="P3073" s="18">
        <v>12.22</v>
      </c>
      <c r="Q3073" s="18">
        <v>12.67</v>
      </c>
      <c r="R3073" s="18">
        <v>10.39</v>
      </c>
      <c r="S3073" s="18">
        <v>10.14</v>
      </c>
      <c r="T3073" s="18">
        <v>8.31</v>
      </c>
      <c r="U3073" s="16"/>
      <c r="V3073" s="16"/>
      <c r="W3073" s="16" t="s">
        <v>40</v>
      </c>
      <c r="X3073" s="19">
        <v>3.0000000000000001E-3</v>
      </c>
      <c r="Y3073" s="20">
        <v>1.4E-5</v>
      </c>
      <c r="Z3073" s="21">
        <v>4660008015367</v>
      </c>
    </row>
    <row r="3074" spans="1:26" ht="12" customHeight="1" outlineLevel="4" x14ac:dyDescent="0.2">
      <c r="A3074" s="14" t="s">
        <v>6009</v>
      </c>
      <c r="B3074" s="26" t="s">
        <v>6010</v>
      </c>
      <c r="C3074" s="52"/>
      <c r="D3074" s="55">
        <f t="shared" si="47"/>
        <v>0</v>
      </c>
      <c r="E3074" s="63" t="str">
        <f>HYPERLINK("https://www.sds-group.ru/product/plomba-plastikovaya-nomernaya-255mm-zheltaya-rexant-07-6122/", "Инфо")</f>
        <v>Инфо</v>
      </c>
      <c r="F3074" s="16" t="s">
        <v>39</v>
      </c>
      <c r="G3074" s="15"/>
      <c r="H3074" s="15"/>
      <c r="I3074" s="15"/>
      <c r="J3074" s="22">
        <v>4200</v>
      </c>
      <c r="K3074" s="15"/>
      <c r="L3074" s="17">
        <v>50</v>
      </c>
      <c r="M3074" s="22">
        <v>1000</v>
      </c>
      <c r="N3074" s="17">
        <v>50</v>
      </c>
      <c r="O3074" s="18">
        <v>15.09</v>
      </c>
      <c r="P3074" s="18">
        <v>12.37</v>
      </c>
      <c r="Q3074" s="18">
        <v>12.83</v>
      </c>
      <c r="R3074" s="18">
        <v>10.52</v>
      </c>
      <c r="S3074" s="18">
        <v>10.26</v>
      </c>
      <c r="T3074" s="18">
        <v>8.41</v>
      </c>
      <c r="U3074" s="16"/>
      <c r="V3074" s="16"/>
      <c r="W3074" s="16" t="s">
        <v>40</v>
      </c>
      <c r="X3074" s="19">
        <v>2E-3</v>
      </c>
      <c r="Y3074" s="20">
        <v>1.8E-5</v>
      </c>
      <c r="Z3074" s="21">
        <v>4660008015404</v>
      </c>
    </row>
    <row r="3075" spans="1:26" ht="12" customHeight="1" outlineLevel="4" x14ac:dyDescent="0.2">
      <c r="A3075" s="14" t="s">
        <v>6011</v>
      </c>
      <c r="B3075" s="26" t="s">
        <v>6012</v>
      </c>
      <c r="C3075" s="52"/>
      <c r="D3075" s="55">
        <f t="shared" si="47"/>
        <v>0</v>
      </c>
      <c r="E3075" s="63" t="str">
        <f>HYPERLINK("https://www.sds-group.ru/product/plomba-plastikovaya-nomernaya-255mm-zelenaya-rexant-07-6123/", "Инфо")</f>
        <v>Инфо</v>
      </c>
      <c r="F3075" s="16" t="s">
        <v>39</v>
      </c>
      <c r="G3075" s="15"/>
      <c r="H3075" s="15"/>
      <c r="I3075" s="15"/>
      <c r="J3075" s="16" t="s">
        <v>100</v>
      </c>
      <c r="K3075" s="15"/>
      <c r="L3075" s="17">
        <v>50</v>
      </c>
      <c r="M3075" s="22">
        <v>1000</v>
      </c>
      <c r="N3075" s="17">
        <v>50</v>
      </c>
      <c r="O3075" s="18">
        <v>15.09</v>
      </c>
      <c r="P3075" s="18">
        <v>12.37</v>
      </c>
      <c r="Q3075" s="18">
        <v>12.83</v>
      </c>
      <c r="R3075" s="18">
        <v>10.52</v>
      </c>
      <c r="S3075" s="18">
        <v>10.26</v>
      </c>
      <c r="T3075" s="18">
        <v>8.41</v>
      </c>
      <c r="U3075" s="16"/>
      <c r="V3075" s="16"/>
      <c r="W3075" s="16" t="s">
        <v>40</v>
      </c>
      <c r="X3075" s="19">
        <v>2E-3</v>
      </c>
      <c r="Y3075" s="20">
        <v>6.0999999999999999E-5</v>
      </c>
      <c r="Z3075" s="21">
        <v>4660008015411</v>
      </c>
    </row>
    <row r="3076" spans="1:26" ht="12" customHeight="1" outlineLevel="4" x14ac:dyDescent="0.2">
      <c r="A3076" s="14" t="s">
        <v>6013</v>
      </c>
      <c r="B3076" s="26" t="s">
        <v>6014</v>
      </c>
      <c r="C3076" s="52"/>
      <c r="D3076" s="55">
        <f t="shared" si="47"/>
        <v>0</v>
      </c>
      <c r="E3076" s="63" t="str">
        <f>HYPERLINK("https://www.sds-group.ru/product/plomba-plastikovaya-nomernaya-255mm-krasnaya-rexant-07-6121/", "Инфо")</f>
        <v>Инфо</v>
      </c>
      <c r="F3076" s="16" t="s">
        <v>39</v>
      </c>
      <c r="G3076" s="15"/>
      <c r="H3076" s="15"/>
      <c r="I3076" s="15"/>
      <c r="J3076" s="22">
        <v>14450</v>
      </c>
      <c r="K3076" s="15"/>
      <c r="L3076" s="17">
        <v>50</v>
      </c>
      <c r="M3076" s="22">
        <v>1000</v>
      </c>
      <c r="N3076" s="17">
        <v>50</v>
      </c>
      <c r="O3076" s="18">
        <v>14.37</v>
      </c>
      <c r="P3076" s="18">
        <v>11.78</v>
      </c>
      <c r="Q3076" s="18">
        <v>12.21</v>
      </c>
      <c r="R3076" s="18">
        <v>10.01</v>
      </c>
      <c r="S3076" s="18">
        <v>9.77</v>
      </c>
      <c r="T3076" s="18">
        <v>8.01</v>
      </c>
      <c r="U3076" s="16"/>
      <c r="V3076" s="16"/>
      <c r="W3076" s="16" t="s">
        <v>40</v>
      </c>
      <c r="X3076" s="19">
        <v>2E-3</v>
      </c>
      <c r="Y3076" s="20">
        <v>7.2999999999999999E-5</v>
      </c>
      <c r="Z3076" s="21">
        <v>4660008015398</v>
      </c>
    </row>
    <row r="3077" spans="1:26" ht="12.95" customHeight="1" outlineLevel="3" x14ac:dyDescent="0.2">
      <c r="A3077" s="76" t="s">
        <v>6015</v>
      </c>
      <c r="B3077" s="76"/>
      <c r="C3077" s="77"/>
      <c r="D3077" s="58"/>
      <c r="E3077" s="68"/>
      <c r="F3077" s="13"/>
      <c r="G3077" s="13"/>
      <c r="H3077" s="13"/>
      <c r="I3077" s="13"/>
      <c r="J3077" s="13"/>
      <c r="K3077" s="13"/>
      <c r="L3077" s="13"/>
      <c r="M3077" s="13"/>
      <c r="N3077" s="13"/>
      <c r="O3077" s="13"/>
      <c r="P3077" s="13"/>
      <c r="Q3077" s="13"/>
      <c r="R3077" s="13"/>
      <c r="S3077" s="13"/>
      <c r="T3077" s="13"/>
      <c r="U3077" s="13"/>
      <c r="V3077" s="13"/>
      <c r="W3077" s="13"/>
      <c r="X3077" s="13"/>
      <c r="Y3077" s="13"/>
      <c r="Z3077" s="13"/>
    </row>
    <row r="3078" spans="1:26" ht="12" customHeight="1" outlineLevel="4" x14ac:dyDescent="0.2">
      <c r="A3078" s="14" t="s">
        <v>6016</v>
      </c>
      <c r="B3078" s="26" t="s">
        <v>6017</v>
      </c>
      <c r="C3078" s="52"/>
      <c r="D3078" s="55">
        <f t="shared" si="47"/>
        <v>0</v>
      </c>
      <c r="E3078" s="63" t="str">
        <f>HYPERLINK("https://www.sds-group.ru/product/birka-kabelnaya-domik-pryamougolnyy-belaya-100-sht-up-rexant-07-6231/", "Инфо")</f>
        <v>Инфо</v>
      </c>
      <c r="F3078" s="16" t="s">
        <v>1001</v>
      </c>
      <c r="G3078" s="15"/>
      <c r="H3078" s="15"/>
      <c r="I3078" s="15"/>
      <c r="J3078" s="17">
        <v>256</v>
      </c>
      <c r="K3078" s="15" t="s">
        <v>3762</v>
      </c>
      <c r="L3078" s="17">
        <v>1</v>
      </c>
      <c r="M3078" s="17">
        <v>50</v>
      </c>
      <c r="N3078" s="17">
        <v>1</v>
      </c>
      <c r="O3078" s="18">
        <v>859.54</v>
      </c>
      <c r="P3078" s="18">
        <v>704.54</v>
      </c>
      <c r="Q3078" s="18">
        <v>687.63</v>
      </c>
      <c r="R3078" s="18">
        <v>563.63</v>
      </c>
      <c r="S3078" s="18">
        <v>584.49</v>
      </c>
      <c r="T3078" s="18">
        <v>479.09</v>
      </c>
      <c r="U3078" s="16"/>
      <c r="V3078" s="16"/>
      <c r="W3078" s="16" t="s">
        <v>40</v>
      </c>
      <c r="X3078" s="19">
        <v>0.41299999999999998</v>
      </c>
      <c r="Y3078" s="20">
        <v>1.1130000000000001E-3</v>
      </c>
      <c r="Z3078" s="21">
        <v>4601004119321</v>
      </c>
    </row>
    <row r="3079" spans="1:26" ht="12" customHeight="1" outlineLevel="4" x14ac:dyDescent="0.2">
      <c r="A3079" s="14" t="s">
        <v>6018</v>
      </c>
      <c r="B3079" s="26" t="s">
        <v>6019</v>
      </c>
      <c r="C3079" s="52"/>
      <c r="D3079" s="55">
        <f t="shared" si="47"/>
        <v>0</v>
      </c>
      <c r="E3079" s="63" t="str">
        <f>HYPERLINK("https://www.sds-group.ru/product/birka-kabelnaya-oval-belaya-100-sht-up-rexant-07-6230/", "Инфо")</f>
        <v>Инфо</v>
      </c>
      <c r="F3079" s="16" t="s">
        <v>1001</v>
      </c>
      <c r="G3079" s="15"/>
      <c r="H3079" s="15"/>
      <c r="I3079" s="15"/>
      <c r="J3079" s="17">
        <v>595</v>
      </c>
      <c r="K3079" s="15" t="s">
        <v>6020</v>
      </c>
      <c r="L3079" s="17">
        <v>5</v>
      </c>
      <c r="M3079" s="17">
        <v>80</v>
      </c>
      <c r="N3079" s="17">
        <v>5</v>
      </c>
      <c r="O3079" s="18">
        <v>504.23</v>
      </c>
      <c r="P3079" s="18">
        <v>413.3</v>
      </c>
      <c r="Q3079" s="18">
        <v>428.6</v>
      </c>
      <c r="R3079" s="18">
        <v>351.31</v>
      </c>
      <c r="S3079" s="18">
        <v>342.88</v>
      </c>
      <c r="T3079" s="18">
        <v>281.05</v>
      </c>
      <c r="U3079" s="16"/>
      <c r="V3079" s="16"/>
      <c r="W3079" s="16" t="s">
        <v>40</v>
      </c>
      <c r="X3079" s="19">
        <v>0.16500000000000001</v>
      </c>
      <c r="Y3079" s="20">
        <v>7.5500000000000003E-4</v>
      </c>
      <c r="Z3079" s="21">
        <v>4601004061415</v>
      </c>
    </row>
    <row r="3080" spans="1:26" ht="12" customHeight="1" outlineLevel="4" x14ac:dyDescent="0.2">
      <c r="A3080" s="14" t="s">
        <v>6021</v>
      </c>
      <c r="B3080" s="26" t="s">
        <v>6022</v>
      </c>
      <c r="C3080" s="52"/>
      <c r="D3080" s="55">
        <f t="shared" si="47"/>
        <v>0</v>
      </c>
      <c r="E3080" s="63" t="str">
        <f>HYPERLINK("https://www.sds-group.ru/product/birka-kabelnaya-u-134-bolshoy-kvadrat-belaya-100-sht-up-rexant-07-6234/", "Инфо")</f>
        <v>Инфо</v>
      </c>
      <c r="F3080" s="16" t="s">
        <v>1001</v>
      </c>
      <c r="G3080" s="15"/>
      <c r="H3080" s="15"/>
      <c r="I3080" s="15"/>
      <c r="J3080" s="22">
        <v>3748</v>
      </c>
      <c r="K3080" s="15" t="s">
        <v>1888</v>
      </c>
      <c r="L3080" s="17">
        <v>5</v>
      </c>
      <c r="M3080" s="17">
        <v>50</v>
      </c>
      <c r="N3080" s="17">
        <v>5</v>
      </c>
      <c r="O3080" s="18">
        <v>302.63</v>
      </c>
      <c r="P3080" s="18">
        <v>248.06</v>
      </c>
      <c r="Q3080" s="18">
        <v>242.1</v>
      </c>
      <c r="R3080" s="18">
        <v>198.44</v>
      </c>
      <c r="S3080" s="18">
        <v>205.79</v>
      </c>
      <c r="T3080" s="18">
        <v>168.68</v>
      </c>
      <c r="U3080" s="16"/>
      <c r="V3080" s="16"/>
      <c r="W3080" s="16" t="s">
        <v>40</v>
      </c>
      <c r="X3080" s="19">
        <v>0.21199999999999999</v>
      </c>
      <c r="Y3080" s="20">
        <v>7.3499999999999998E-4</v>
      </c>
      <c r="Z3080" s="21">
        <v>4601004277779</v>
      </c>
    </row>
    <row r="3081" spans="1:26" ht="12" customHeight="1" outlineLevel="4" x14ac:dyDescent="0.2">
      <c r="A3081" s="14" t="s">
        <v>6023</v>
      </c>
      <c r="B3081" s="26" t="s">
        <v>6024</v>
      </c>
      <c r="C3081" s="52"/>
      <c r="D3081" s="55">
        <f t="shared" ref="D3081:D3142" si="48">C3081*(O3081-O3081*$G$3)</f>
        <v>0</v>
      </c>
      <c r="E3081" s="63" t="str">
        <f>HYPERLINK("https://www.sds-group.ru/product/birka-kabelnaya-u-135-krug-belaya-100-sht-up-rexant-07-6235/", "Инфо")</f>
        <v>Инфо</v>
      </c>
      <c r="F3081" s="16" t="s">
        <v>1001</v>
      </c>
      <c r="G3081" s="15"/>
      <c r="H3081" s="15"/>
      <c r="I3081" s="15"/>
      <c r="J3081" s="22">
        <v>1046</v>
      </c>
      <c r="K3081" s="15"/>
      <c r="L3081" s="17">
        <v>5</v>
      </c>
      <c r="M3081" s="17">
        <v>80</v>
      </c>
      <c r="N3081" s="17">
        <v>5</v>
      </c>
      <c r="O3081" s="18">
        <v>338.16</v>
      </c>
      <c r="P3081" s="18">
        <v>277.18</v>
      </c>
      <c r="Q3081" s="18">
        <v>287.44</v>
      </c>
      <c r="R3081" s="18">
        <v>235.61</v>
      </c>
      <c r="S3081" s="18">
        <v>229.95</v>
      </c>
      <c r="T3081" s="18">
        <v>188.48</v>
      </c>
      <c r="U3081" s="16"/>
      <c r="V3081" s="16"/>
      <c r="W3081" s="16" t="s">
        <v>40</v>
      </c>
      <c r="X3081" s="19">
        <v>0.16400000000000001</v>
      </c>
      <c r="Y3081" s="20">
        <v>4.6999999999999999E-4</v>
      </c>
      <c r="Z3081" s="21">
        <v>4601004277748</v>
      </c>
    </row>
    <row r="3082" spans="1:26" ht="12" customHeight="1" outlineLevel="4" x14ac:dyDescent="0.2">
      <c r="A3082" s="14" t="s">
        <v>6025</v>
      </c>
      <c r="B3082" s="26" t="s">
        <v>6026</v>
      </c>
      <c r="C3082" s="52"/>
      <c r="D3082" s="55">
        <f t="shared" si="48"/>
        <v>0</v>
      </c>
      <c r="E3082" s="63" t="str">
        <f>HYPERLINK("https://www.sds-group.ru/product/birka-kabelnaya-u-136-treugolnik-belaya-100-sht-up-rexant-07-6236/", "Инфо")</f>
        <v>Инфо</v>
      </c>
      <c r="F3082" s="16" t="s">
        <v>1001</v>
      </c>
      <c r="G3082" s="15"/>
      <c r="H3082" s="15"/>
      <c r="I3082" s="15"/>
      <c r="J3082" s="22">
        <v>18097</v>
      </c>
      <c r="K3082" s="15"/>
      <c r="L3082" s="17">
        <v>5</v>
      </c>
      <c r="M3082" s="17">
        <v>80</v>
      </c>
      <c r="N3082" s="17">
        <v>5</v>
      </c>
      <c r="O3082" s="18">
        <v>285.67</v>
      </c>
      <c r="P3082" s="18">
        <v>234.16</v>
      </c>
      <c r="Q3082" s="18">
        <v>228.54</v>
      </c>
      <c r="R3082" s="18">
        <v>187.33</v>
      </c>
      <c r="S3082" s="18">
        <v>194.26</v>
      </c>
      <c r="T3082" s="18">
        <v>159.22999999999999</v>
      </c>
      <c r="U3082" s="16"/>
      <c r="V3082" s="16"/>
      <c r="W3082" s="16" t="s">
        <v>40</v>
      </c>
      <c r="X3082" s="19">
        <v>0.128</v>
      </c>
      <c r="Y3082" s="20">
        <v>4.6000000000000001E-4</v>
      </c>
      <c r="Z3082" s="21">
        <v>4601004277762</v>
      </c>
    </row>
    <row r="3083" spans="1:26" ht="12" customHeight="1" outlineLevel="4" x14ac:dyDescent="0.2">
      <c r="A3083" s="14" t="s">
        <v>6027</v>
      </c>
      <c r="B3083" s="26" t="s">
        <v>6028</v>
      </c>
      <c r="C3083" s="52"/>
      <c r="D3083" s="55">
        <f t="shared" si="48"/>
        <v>0</v>
      </c>
      <c r="E3083" s="63" t="str">
        <f>HYPERLINK("https://www.sds-group.ru/product/birka-kabelnaya-u-153-malenkiy-kvadrat-belaya-250-sht-up-rexant-07-6253/", "Инфо")</f>
        <v>Инфо</v>
      </c>
      <c r="F3083" s="16" t="s">
        <v>1001</v>
      </c>
      <c r="G3083" s="15"/>
      <c r="H3083" s="15"/>
      <c r="I3083" s="15"/>
      <c r="J3083" s="16" t="s">
        <v>100</v>
      </c>
      <c r="K3083" s="15" t="s">
        <v>1888</v>
      </c>
      <c r="L3083" s="17">
        <v>5</v>
      </c>
      <c r="M3083" s="17">
        <v>80</v>
      </c>
      <c r="N3083" s="17">
        <v>5</v>
      </c>
      <c r="O3083" s="18">
        <v>477</v>
      </c>
      <c r="P3083" s="18">
        <v>390.98</v>
      </c>
      <c r="Q3083" s="18">
        <v>405.45</v>
      </c>
      <c r="R3083" s="18">
        <v>332.34</v>
      </c>
      <c r="S3083" s="18">
        <v>324.36</v>
      </c>
      <c r="T3083" s="18">
        <v>265.87</v>
      </c>
      <c r="U3083" s="16"/>
      <c r="V3083" s="16"/>
      <c r="W3083" s="16" t="s">
        <v>40</v>
      </c>
      <c r="X3083" s="19">
        <v>0.151</v>
      </c>
      <c r="Y3083" s="20">
        <v>4.1899999999999999E-4</v>
      </c>
      <c r="Z3083" s="21">
        <v>4601004277755</v>
      </c>
    </row>
    <row r="3084" spans="1:26" ht="12.95" customHeight="1" outlineLevel="3" x14ac:dyDescent="0.2">
      <c r="A3084" s="76" t="s">
        <v>6029</v>
      </c>
      <c r="B3084" s="76"/>
      <c r="C3084" s="77"/>
      <c r="D3084" s="58"/>
      <c r="E3084" s="68"/>
      <c r="F3084" s="13"/>
      <c r="G3084" s="13"/>
      <c r="H3084" s="13"/>
      <c r="I3084" s="13"/>
      <c r="J3084" s="13"/>
      <c r="K3084" s="13"/>
      <c r="L3084" s="13"/>
      <c r="M3084" s="13"/>
      <c r="N3084" s="13"/>
      <c r="O3084" s="13"/>
      <c r="P3084" s="13"/>
      <c r="Q3084" s="13"/>
      <c r="R3084" s="13"/>
      <c r="S3084" s="13"/>
      <c r="T3084" s="13"/>
      <c r="U3084" s="13"/>
      <c r="V3084" s="13"/>
      <c r="W3084" s="13"/>
      <c r="X3084" s="13"/>
      <c r="Y3084" s="13"/>
      <c r="Z3084" s="13"/>
    </row>
    <row r="3085" spans="1:26" ht="12" customHeight="1" outlineLevel="4" x14ac:dyDescent="0.2">
      <c r="A3085" s="14" t="s">
        <v>6030</v>
      </c>
      <c r="B3085" s="26" t="s">
        <v>6031</v>
      </c>
      <c r="C3085" s="52"/>
      <c r="D3085" s="55">
        <f t="shared" si="48"/>
        <v>0</v>
      </c>
      <c r="E3085" s="63" t="str">
        <f>HYPERLINK("https://www.sds-group.ru/product/markery-samokleyaschiesya-ms-1-tsifry-ot-0-do-9-rexant-07-6201/", "Инфо")</f>
        <v>Инфо</v>
      </c>
      <c r="F3085" s="16" t="s">
        <v>39</v>
      </c>
      <c r="G3085" s="15"/>
      <c r="H3085" s="15"/>
      <c r="I3085" s="15"/>
      <c r="J3085" s="17">
        <v>605</v>
      </c>
      <c r="K3085" s="15"/>
      <c r="L3085" s="17">
        <v>5</v>
      </c>
      <c r="M3085" s="17">
        <v>100</v>
      </c>
      <c r="N3085" s="17">
        <v>5</v>
      </c>
      <c r="O3085" s="18">
        <v>579.6</v>
      </c>
      <c r="P3085" s="18">
        <v>475.08</v>
      </c>
      <c r="Q3085" s="18">
        <v>463.68</v>
      </c>
      <c r="R3085" s="18">
        <v>380.07</v>
      </c>
      <c r="S3085" s="18">
        <v>394.13</v>
      </c>
      <c r="T3085" s="18">
        <v>323.06</v>
      </c>
      <c r="U3085" s="16"/>
      <c r="V3085" s="16"/>
      <c r="W3085" s="16" t="s">
        <v>40</v>
      </c>
      <c r="X3085" s="19">
        <v>3.3000000000000002E-2</v>
      </c>
      <c r="Y3085" s="20">
        <v>1.0000000000000001E-5</v>
      </c>
      <c r="Z3085" s="21">
        <v>4601004033313</v>
      </c>
    </row>
    <row r="3086" spans="1:26" ht="12" customHeight="1" outlineLevel="4" x14ac:dyDescent="0.2">
      <c r="A3086" s="14" t="s">
        <v>6032</v>
      </c>
      <c r="B3086" s="26" t="s">
        <v>6033</v>
      </c>
      <c r="C3086" s="52"/>
      <c r="D3086" s="55">
        <f t="shared" si="48"/>
        <v>0</v>
      </c>
      <c r="E3086" s="63" t="str">
        <f>HYPERLINK("https://www.sds-group.ru/product/markery-samokleyaschiesya-ms-2-tsifry-ot-0-do-15-bukvy-a-z-znaki-rexant-07-6202/", "Инфо")</f>
        <v>Инфо</v>
      </c>
      <c r="F3086" s="16" t="s">
        <v>39</v>
      </c>
      <c r="G3086" s="15"/>
      <c r="H3086" s="15"/>
      <c r="I3086" s="15"/>
      <c r="J3086" s="17">
        <v>155</v>
      </c>
      <c r="K3086" s="15" t="s">
        <v>1094</v>
      </c>
      <c r="L3086" s="17">
        <v>5</v>
      </c>
      <c r="M3086" s="17">
        <v>100</v>
      </c>
      <c r="N3086" s="17">
        <v>5</v>
      </c>
      <c r="O3086" s="18">
        <v>579.6</v>
      </c>
      <c r="P3086" s="18">
        <v>475.08</v>
      </c>
      <c r="Q3086" s="18">
        <v>463.68</v>
      </c>
      <c r="R3086" s="18">
        <v>380.07</v>
      </c>
      <c r="S3086" s="18">
        <v>394.13</v>
      </c>
      <c r="T3086" s="18">
        <v>323.06</v>
      </c>
      <c r="U3086" s="16"/>
      <c r="V3086" s="16"/>
      <c r="W3086" s="16" t="s">
        <v>40</v>
      </c>
      <c r="X3086" s="19">
        <v>3.6999999999999998E-2</v>
      </c>
      <c r="Y3086" s="20">
        <v>2.2100000000000001E-4</v>
      </c>
      <c r="Z3086" s="21">
        <v>4601004033306</v>
      </c>
    </row>
    <row r="3087" spans="1:26" ht="12" customHeight="1" outlineLevel="4" x14ac:dyDescent="0.2">
      <c r="A3087" s="14" t="s">
        <v>6034</v>
      </c>
      <c r="B3087" s="26" t="s">
        <v>6035</v>
      </c>
      <c r="C3087" s="52"/>
      <c r="D3087" s="55">
        <f t="shared" si="48"/>
        <v>0</v>
      </c>
      <c r="E3087" s="63" t="str">
        <f>HYPERLINK("https://www.sds-group.ru/product/markery-samokleyaschiesya-ms-3-tsifry-ot-1-do-45-rexant-07-6203/", "Инфо")</f>
        <v>Инфо</v>
      </c>
      <c r="F3087" s="16" t="s">
        <v>39</v>
      </c>
      <c r="G3087" s="15"/>
      <c r="H3087" s="15"/>
      <c r="I3087" s="15"/>
      <c r="J3087" s="17">
        <v>300</v>
      </c>
      <c r="K3087" s="15"/>
      <c r="L3087" s="17">
        <v>5</v>
      </c>
      <c r="M3087" s="17">
        <v>100</v>
      </c>
      <c r="N3087" s="17">
        <v>5</v>
      </c>
      <c r="O3087" s="18">
        <v>579.6</v>
      </c>
      <c r="P3087" s="18">
        <v>475.08</v>
      </c>
      <c r="Q3087" s="18">
        <v>463.68</v>
      </c>
      <c r="R3087" s="18">
        <v>380.07</v>
      </c>
      <c r="S3087" s="18">
        <v>394.13</v>
      </c>
      <c r="T3087" s="18">
        <v>323.06</v>
      </c>
      <c r="U3087" s="16"/>
      <c r="V3087" s="16"/>
      <c r="W3087" s="16" t="s">
        <v>40</v>
      </c>
      <c r="X3087" s="19">
        <v>3.6999999999999998E-2</v>
      </c>
      <c r="Y3087" s="20">
        <v>1.0000000000000001E-5</v>
      </c>
      <c r="Z3087" s="21">
        <v>4601004033320</v>
      </c>
    </row>
    <row r="3088" spans="1:26" ht="12" customHeight="1" outlineLevel="4" x14ac:dyDescent="0.2">
      <c r="A3088" s="14" t="s">
        <v>6036</v>
      </c>
      <c r="B3088" s="26" t="s">
        <v>6037</v>
      </c>
      <c r="C3088" s="52"/>
      <c r="D3088" s="55">
        <f t="shared" si="48"/>
        <v>0</v>
      </c>
      <c r="E3088" s="63" t="str">
        <f>HYPERLINK("https://www.sds-group.ru/product/markery-samokleyaschiesya-ms-4-belye-pod-marker-rexant-07-6204/", "Инфо")</f>
        <v>Инфо</v>
      </c>
      <c r="F3088" s="16" t="s">
        <v>39</v>
      </c>
      <c r="G3088" s="15"/>
      <c r="H3088" s="15"/>
      <c r="I3088" s="15"/>
      <c r="J3088" s="17">
        <v>221</v>
      </c>
      <c r="K3088" s="15"/>
      <c r="L3088" s="17">
        <v>5</v>
      </c>
      <c r="M3088" s="17">
        <v>100</v>
      </c>
      <c r="N3088" s="17">
        <v>5</v>
      </c>
      <c r="O3088" s="18">
        <v>572.59</v>
      </c>
      <c r="P3088" s="18">
        <v>469.34</v>
      </c>
      <c r="Q3088" s="18">
        <v>458.07</v>
      </c>
      <c r="R3088" s="18">
        <v>375.47</v>
      </c>
      <c r="S3088" s="18">
        <v>389.36</v>
      </c>
      <c r="T3088" s="18">
        <v>319.14999999999998</v>
      </c>
      <c r="U3088" s="16"/>
      <c r="V3088" s="16"/>
      <c r="W3088" s="16" t="s">
        <v>40</v>
      </c>
      <c r="X3088" s="19">
        <v>3.2000000000000001E-2</v>
      </c>
      <c r="Y3088" s="20">
        <v>1.9900000000000001E-4</v>
      </c>
      <c r="Z3088" s="21">
        <v>4601004035393</v>
      </c>
    </row>
    <row r="3089" spans="1:26" ht="12" customHeight="1" outlineLevel="4" x14ac:dyDescent="0.2">
      <c r="A3089" s="14" t="s">
        <v>6038</v>
      </c>
      <c r="B3089" s="26" t="s">
        <v>6039</v>
      </c>
      <c r="C3089" s="52"/>
      <c r="D3089" s="55">
        <f t="shared" si="48"/>
        <v>0</v>
      </c>
      <c r="E3089" s="63" t="str">
        <f>HYPERLINK("https://www.sds-group.ru/product/markery-samokleyaschiesya-ms-5-tsvetnye-rexant-07-6205/", "Инфо")</f>
        <v>Инфо</v>
      </c>
      <c r="F3089" s="16" t="s">
        <v>39</v>
      </c>
      <c r="G3089" s="15"/>
      <c r="H3089" s="15"/>
      <c r="I3089" s="15"/>
      <c r="J3089" s="16" t="s">
        <v>100</v>
      </c>
      <c r="K3089" s="15"/>
      <c r="L3089" s="17">
        <v>1</v>
      </c>
      <c r="M3089" s="17">
        <v>100</v>
      </c>
      <c r="N3089" s="17">
        <v>1</v>
      </c>
      <c r="O3089" s="18">
        <v>662.62</v>
      </c>
      <c r="P3089" s="18">
        <v>543.13</v>
      </c>
      <c r="Q3089" s="18">
        <v>530.1</v>
      </c>
      <c r="R3089" s="18">
        <v>434.51</v>
      </c>
      <c r="S3089" s="18">
        <v>450.58</v>
      </c>
      <c r="T3089" s="18">
        <v>369.33</v>
      </c>
      <c r="U3089" s="16"/>
      <c r="V3089" s="16"/>
      <c r="W3089" s="16" t="s">
        <v>40</v>
      </c>
      <c r="X3089" s="19">
        <v>3.3000000000000002E-2</v>
      </c>
      <c r="Y3089" s="20">
        <v>1.0000000000000001E-5</v>
      </c>
      <c r="Z3089" s="21">
        <v>4601004035386</v>
      </c>
    </row>
    <row r="3090" spans="1:26" ht="12.95" customHeight="1" outlineLevel="3" x14ac:dyDescent="0.2">
      <c r="A3090" s="76" t="s">
        <v>6040</v>
      </c>
      <c r="B3090" s="76"/>
      <c r="C3090" s="77"/>
      <c r="D3090" s="58"/>
      <c r="E3090" s="68"/>
      <c r="F3090" s="13"/>
      <c r="G3090" s="13"/>
      <c r="H3090" s="13"/>
      <c r="I3090" s="13"/>
      <c r="J3090" s="13"/>
      <c r="K3090" s="13"/>
      <c r="L3090" s="13"/>
      <c r="M3090" s="13"/>
      <c r="N3090" s="13"/>
      <c r="O3090" s="13"/>
      <c r="P3090" s="13"/>
      <c r="Q3090" s="13"/>
      <c r="R3090" s="13"/>
      <c r="S3090" s="13"/>
      <c r="T3090" s="13"/>
      <c r="U3090" s="13"/>
      <c r="V3090" s="13"/>
      <c r="W3090" s="13"/>
      <c r="X3090" s="13"/>
      <c r="Y3090" s="13"/>
      <c r="Z3090" s="13"/>
    </row>
    <row r="3091" spans="1:26" ht="12" customHeight="1" outlineLevel="4" x14ac:dyDescent="0.2">
      <c r="A3091" s="14" t="s">
        <v>6041</v>
      </c>
      <c r="B3091" s="26" t="s">
        <v>6042</v>
      </c>
      <c r="C3091" s="52"/>
      <c r="D3091" s="55">
        <f t="shared" si="48"/>
        <v>0</v>
      </c>
      <c r="E3091" s="63" t="str">
        <f>HYPERLINK("https://www.sds-group.ru/product/marker-kabelnyy-klipsa-4-6-mm-tsifry-0-9-10-tsvetov-blister-mr-55-rexant-12-6062/", "Инфо")</f>
        <v>Инфо</v>
      </c>
      <c r="F3091" s="16" t="s">
        <v>1001</v>
      </c>
      <c r="G3091" s="15"/>
      <c r="H3091" s="15"/>
      <c r="I3091" s="15"/>
      <c r="J3091" s="22">
        <v>2018</v>
      </c>
      <c r="K3091" s="15" t="s">
        <v>6043</v>
      </c>
      <c r="L3091" s="17">
        <v>5</v>
      </c>
      <c r="M3091" s="17">
        <v>500</v>
      </c>
      <c r="N3091" s="17">
        <v>5</v>
      </c>
      <c r="O3091" s="18">
        <v>348.09</v>
      </c>
      <c r="P3091" s="18">
        <v>285.32</v>
      </c>
      <c r="Q3091" s="18">
        <v>278.47000000000003</v>
      </c>
      <c r="R3091" s="18">
        <v>228.25</v>
      </c>
      <c r="S3091" s="18">
        <v>236.7</v>
      </c>
      <c r="T3091" s="18">
        <v>194.02</v>
      </c>
      <c r="U3091" s="16"/>
      <c r="V3091" s="16"/>
      <c r="W3091" s="16" t="s">
        <v>40</v>
      </c>
      <c r="X3091" s="19">
        <v>2.8000000000000001E-2</v>
      </c>
      <c r="Y3091" s="20">
        <v>1.46E-4</v>
      </c>
      <c r="Z3091" s="21">
        <v>4660008011604</v>
      </c>
    </row>
    <row r="3092" spans="1:26" ht="12" customHeight="1" outlineLevel="4" x14ac:dyDescent="0.2">
      <c r="A3092" s="14" t="s">
        <v>6044</v>
      </c>
      <c r="B3092" s="26" t="s">
        <v>6045</v>
      </c>
      <c r="C3092" s="52"/>
      <c r="D3092" s="55">
        <f t="shared" si="48"/>
        <v>0</v>
      </c>
      <c r="E3092" s="63" t="str">
        <f>HYPERLINK("https://www.sds-group.ru/product/markery-na-kabel-3-6-7-4-mm-tsifry-0-9-komplekt-10-rolikov-ec-2-rexant-12-6061/", "Инфо")</f>
        <v>Инфо</v>
      </c>
      <c r="F3092" s="16" t="s">
        <v>974</v>
      </c>
      <c r="G3092" s="15"/>
      <c r="H3092" s="15"/>
      <c r="I3092" s="15"/>
      <c r="J3092" s="17">
        <v>258</v>
      </c>
      <c r="K3092" s="15" t="s">
        <v>1035</v>
      </c>
      <c r="L3092" s="17">
        <v>1</v>
      </c>
      <c r="M3092" s="17">
        <v>10</v>
      </c>
      <c r="N3092" s="17">
        <v>1</v>
      </c>
      <c r="O3092" s="18">
        <v>2054.58</v>
      </c>
      <c r="P3092" s="18">
        <v>1684.08</v>
      </c>
      <c r="Q3092" s="18">
        <v>1499.84</v>
      </c>
      <c r="R3092" s="18">
        <v>1229.3800000000001</v>
      </c>
      <c r="S3092" s="18">
        <v>1397.11</v>
      </c>
      <c r="T3092" s="18">
        <v>1145.17</v>
      </c>
      <c r="U3092" s="16"/>
      <c r="V3092" s="16"/>
      <c r="W3092" s="16" t="s">
        <v>40</v>
      </c>
      <c r="X3092" s="19">
        <v>1.2729999999999999</v>
      </c>
      <c r="Y3092" s="20">
        <v>4.431E-3</v>
      </c>
      <c r="Z3092" s="21">
        <v>2000321671277</v>
      </c>
    </row>
    <row r="3093" spans="1:26" ht="12.95" customHeight="1" outlineLevel="3" x14ac:dyDescent="0.2">
      <c r="A3093" s="76" t="s">
        <v>6046</v>
      </c>
      <c r="B3093" s="76"/>
      <c r="C3093" s="77"/>
      <c r="D3093" s="58"/>
      <c r="E3093" s="68"/>
      <c r="F3093" s="13"/>
      <c r="G3093" s="13"/>
      <c r="H3093" s="13"/>
      <c r="I3093" s="13"/>
      <c r="J3093" s="13"/>
      <c r="K3093" s="13"/>
      <c r="L3093" s="13"/>
      <c r="M3093" s="13"/>
      <c r="N3093" s="13"/>
      <c r="O3093" s="13"/>
      <c r="P3093" s="13"/>
      <c r="Q3093" s="13"/>
      <c r="R3093" s="13"/>
      <c r="S3093" s="13"/>
      <c r="T3093" s="13"/>
      <c r="U3093" s="13"/>
      <c r="V3093" s="13"/>
      <c r="W3093" s="13"/>
      <c r="X3093" s="13"/>
      <c r="Y3093" s="13"/>
      <c r="Z3093" s="13"/>
    </row>
    <row r="3094" spans="1:26" ht="12" customHeight="1" outlineLevel="4" x14ac:dyDescent="0.2">
      <c r="A3094" s="14" t="s">
        <v>6047</v>
      </c>
      <c r="B3094" s="26" t="s">
        <v>6048</v>
      </c>
      <c r="C3094" s="52"/>
      <c r="D3094" s="55">
        <f t="shared" si="48"/>
        <v>0</v>
      </c>
      <c r="E3094" s="63" t="str">
        <f>HYPERLINK("https://www.sds-group.ru/product/homut-pod-marker-neylonovyy-100x2-5mm-belyy-100-sht-up-rexant-07-0106/", "Инфо")</f>
        <v>Инфо</v>
      </c>
      <c r="F3094" s="16" t="s">
        <v>1001</v>
      </c>
      <c r="G3094" s="15"/>
      <c r="H3094" s="15"/>
      <c r="I3094" s="15"/>
      <c r="J3094" s="22">
        <v>3959</v>
      </c>
      <c r="K3094" s="15" t="s">
        <v>6020</v>
      </c>
      <c r="L3094" s="17">
        <v>10</v>
      </c>
      <c r="M3094" s="17">
        <v>100</v>
      </c>
      <c r="N3094" s="17">
        <v>10</v>
      </c>
      <c r="O3094" s="18">
        <v>137.43</v>
      </c>
      <c r="P3094" s="18">
        <v>112.65</v>
      </c>
      <c r="Q3094" s="18">
        <v>116.82</v>
      </c>
      <c r="R3094" s="18">
        <v>95.75</v>
      </c>
      <c r="S3094" s="18">
        <v>93.45</v>
      </c>
      <c r="T3094" s="18">
        <v>76.599999999999994</v>
      </c>
      <c r="U3094" s="16"/>
      <c r="V3094" s="16"/>
      <c r="W3094" s="16" t="s">
        <v>40</v>
      </c>
      <c r="X3094" s="19">
        <v>5.3999999999999999E-2</v>
      </c>
      <c r="Y3094" s="20">
        <v>2.5399999999999999E-4</v>
      </c>
      <c r="Z3094" s="21">
        <v>4610003603243</v>
      </c>
    </row>
    <row r="3095" spans="1:26" ht="12" customHeight="1" outlineLevel="4" x14ac:dyDescent="0.2">
      <c r="A3095" s="14" t="s">
        <v>6049</v>
      </c>
      <c r="B3095" s="26" t="s">
        <v>6050</v>
      </c>
      <c r="C3095" s="52"/>
      <c r="D3095" s="55">
        <f t="shared" si="48"/>
        <v>0</v>
      </c>
      <c r="E3095" s="63" t="str">
        <f>HYPERLINK("https://www.sds-group.ru/product/homut-pod-marker-neylonovyy-200x2-5mm-belyy-100-sht-up-rexant-07-0206/", "Инфо")</f>
        <v>Инфо</v>
      </c>
      <c r="F3095" s="16" t="s">
        <v>1001</v>
      </c>
      <c r="G3095" s="15"/>
      <c r="H3095" s="15"/>
      <c r="I3095" s="15"/>
      <c r="J3095" s="16" t="s">
        <v>100</v>
      </c>
      <c r="K3095" s="15" t="s">
        <v>1126</v>
      </c>
      <c r="L3095" s="17">
        <v>10</v>
      </c>
      <c r="M3095" s="17">
        <v>100</v>
      </c>
      <c r="N3095" s="17">
        <v>10</v>
      </c>
      <c r="O3095" s="18">
        <v>306.48</v>
      </c>
      <c r="P3095" s="18">
        <v>251.21</v>
      </c>
      <c r="Q3095" s="18">
        <v>260.51</v>
      </c>
      <c r="R3095" s="18">
        <v>213.53</v>
      </c>
      <c r="S3095" s="18">
        <v>208.41</v>
      </c>
      <c r="T3095" s="18">
        <v>170.83</v>
      </c>
      <c r="U3095" s="16"/>
      <c r="V3095" s="16"/>
      <c r="W3095" s="16" t="s">
        <v>40</v>
      </c>
      <c r="X3095" s="19">
        <v>0.09</v>
      </c>
      <c r="Y3095" s="20">
        <v>4.4299999999999998E-4</v>
      </c>
      <c r="Z3095" s="21">
        <v>4610003603250</v>
      </c>
    </row>
    <row r="3096" spans="1:26" ht="12" customHeight="1" outlineLevel="4" x14ac:dyDescent="0.2">
      <c r="A3096" s="14" t="s">
        <v>6051</v>
      </c>
      <c r="B3096" s="26" t="s">
        <v>6052</v>
      </c>
      <c r="C3096" s="52"/>
      <c r="D3096" s="55">
        <f t="shared" si="48"/>
        <v>0</v>
      </c>
      <c r="E3096" s="63" t="str">
        <f>HYPERLINK("https://www.sds-group.ru/product/homut-s-ploschadkoy-pod-marker-neylonovyy-100x2-5mm-belyy-100-sht-up-rexant-07-0106-2/", "Инфо")</f>
        <v>Инфо</v>
      </c>
      <c r="F3096" s="16" t="s">
        <v>1001</v>
      </c>
      <c r="G3096" s="15"/>
      <c r="H3096" s="15"/>
      <c r="I3096" s="15"/>
      <c r="J3096" s="22">
        <v>1236</v>
      </c>
      <c r="K3096" s="15" t="s">
        <v>1126</v>
      </c>
      <c r="L3096" s="17">
        <v>10</v>
      </c>
      <c r="M3096" s="17">
        <v>200</v>
      </c>
      <c r="N3096" s="17">
        <v>10</v>
      </c>
      <c r="O3096" s="18">
        <v>128.69</v>
      </c>
      <c r="P3096" s="18">
        <v>105.48</v>
      </c>
      <c r="Q3096" s="18">
        <v>109.39</v>
      </c>
      <c r="R3096" s="18">
        <v>89.66</v>
      </c>
      <c r="S3096" s="18">
        <v>87.51</v>
      </c>
      <c r="T3096" s="18">
        <v>71.73</v>
      </c>
      <c r="U3096" s="16"/>
      <c r="V3096" s="16"/>
      <c r="W3096" s="16" t="s">
        <v>40</v>
      </c>
      <c r="X3096" s="19">
        <v>5.8000000000000003E-2</v>
      </c>
      <c r="Y3096" s="20">
        <v>2.8800000000000001E-4</v>
      </c>
      <c r="Z3096" s="21">
        <v>4601004124042</v>
      </c>
    </row>
    <row r="3097" spans="1:26" ht="12.95" customHeight="1" outlineLevel="2" x14ac:dyDescent="0.2">
      <c r="A3097" s="76" t="s">
        <v>6053</v>
      </c>
      <c r="B3097" s="76"/>
      <c r="C3097" s="77"/>
      <c r="D3097" s="58"/>
      <c r="E3097" s="68"/>
      <c r="F3097" s="13"/>
      <c r="G3097" s="13"/>
      <c r="H3097" s="13"/>
      <c r="I3097" s="13"/>
      <c r="J3097" s="13"/>
      <c r="K3097" s="13"/>
      <c r="L3097" s="13"/>
      <c r="M3097" s="13"/>
      <c r="N3097" s="13"/>
      <c r="O3097" s="13"/>
      <c r="P3097" s="13"/>
      <c r="Q3097" s="13"/>
      <c r="R3097" s="13"/>
      <c r="S3097" s="13"/>
      <c r="T3097" s="13"/>
      <c r="U3097" s="13"/>
      <c r="V3097" s="13"/>
      <c r="W3097" s="13"/>
      <c r="X3097" s="13"/>
      <c r="Y3097" s="13"/>
      <c r="Z3097" s="13"/>
    </row>
    <row r="3098" spans="1:26" ht="12" customHeight="1" outlineLevel="3" x14ac:dyDescent="0.2">
      <c r="A3098" s="14" t="s">
        <v>6054</v>
      </c>
      <c r="B3098" s="26" t="s">
        <v>6055</v>
      </c>
      <c r="C3098" s="52"/>
      <c r="D3098" s="55">
        <f t="shared" si="48"/>
        <v>0</v>
      </c>
      <c r="E3098" s="63" t="str">
        <f>HYPERLINK("https://www.sds-group.ru/product/blok-raspredelitelnyy-rbd-125a-na-din-reyku-rexant-11-2001/", "Инфо")</f>
        <v>Инфо</v>
      </c>
      <c r="F3098" s="16" t="s">
        <v>39</v>
      </c>
      <c r="G3098" s="15"/>
      <c r="H3098" s="15"/>
      <c r="I3098" s="15"/>
      <c r="J3098" s="16" t="s">
        <v>100</v>
      </c>
      <c r="K3098" s="15" t="s">
        <v>1650</v>
      </c>
      <c r="L3098" s="17">
        <v>1</v>
      </c>
      <c r="M3098" s="17">
        <v>150</v>
      </c>
      <c r="N3098" s="17">
        <v>1</v>
      </c>
      <c r="O3098" s="18">
        <v>744.05</v>
      </c>
      <c r="P3098" s="18">
        <v>609.88</v>
      </c>
      <c r="Q3098" s="18">
        <v>595.24</v>
      </c>
      <c r="R3098" s="18">
        <v>487.9</v>
      </c>
      <c r="S3098" s="18">
        <v>505.95</v>
      </c>
      <c r="T3098" s="18">
        <v>414.71</v>
      </c>
      <c r="U3098" s="16"/>
      <c r="V3098" s="16"/>
      <c r="W3098" s="16" t="s">
        <v>40</v>
      </c>
      <c r="X3098" s="19">
        <v>0.153</v>
      </c>
      <c r="Y3098" s="20">
        <v>1.63E-4</v>
      </c>
      <c r="Z3098" s="21">
        <v>4601004183209</v>
      </c>
    </row>
    <row r="3099" spans="1:26" ht="12" customHeight="1" outlineLevel="3" x14ac:dyDescent="0.2">
      <c r="A3099" s="14" t="s">
        <v>6056</v>
      </c>
      <c r="B3099" s="26" t="s">
        <v>6057</v>
      </c>
      <c r="C3099" s="52"/>
      <c r="D3099" s="55">
        <f t="shared" si="48"/>
        <v>0</v>
      </c>
      <c r="E3099" s="63" t="str">
        <f>HYPERLINK("https://www.sds-group.ru/product/blok-raspredelitelnyy-rbd-160a-na-din-reyku-rexant-11-2002/", "Инфо")</f>
        <v>Инфо</v>
      </c>
      <c r="F3099" s="16" t="s">
        <v>39</v>
      </c>
      <c r="G3099" s="15"/>
      <c r="H3099" s="15"/>
      <c r="I3099" s="15"/>
      <c r="J3099" s="17">
        <v>869</v>
      </c>
      <c r="K3099" s="15" t="s">
        <v>210</v>
      </c>
      <c r="L3099" s="17">
        <v>1</v>
      </c>
      <c r="M3099" s="17">
        <v>150</v>
      </c>
      <c r="N3099" s="17">
        <v>1</v>
      </c>
      <c r="O3099" s="18">
        <v>745.88</v>
      </c>
      <c r="P3099" s="18">
        <v>611.38</v>
      </c>
      <c r="Q3099" s="18">
        <v>596.70000000000005</v>
      </c>
      <c r="R3099" s="18">
        <v>489.1</v>
      </c>
      <c r="S3099" s="18">
        <v>507.2</v>
      </c>
      <c r="T3099" s="18">
        <v>415.74</v>
      </c>
      <c r="U3099" s="16"/>
      <c r="V3099" s="16"/>
      <c r="W3099" s="16" t="s">
        <v>40</v>
      </c>
      <c r="X3099" s="19">
        <v>0.14899999999999999</v>
      </c>
      <c r="Y3099" s="20">
        <v>1.6100000000000001E-4</v>
      </c>
      <c r="Z3099" s="21">
        <v>4601004183223</v>
      </c>
    </row>
    <row r="3100" spans="1:26" ht="12" customHeight="1" outlineLevel="3" x14ac:dyDescent="0.2">
      <c r="A3100" s="14" t="s">
        <v>6058</v>
      </c>
      <c r="B3100" s="26" t="s">
        <v>6059</v>
      </c>
      <c r="C3100" s="52"/>
      <c r="D3100" s="55">
        <f t="shared" si="48"/>
        <v>0</v>
      </c>
      <c r="E3100" s="63" t="str">
        <f>HYPERLINK("https://www.sds-group.ru/product/blok-raspredelitelnyy-rbd-250a-na-din-reyku-rexant-11-2003/", "Инфо")</f>
        <v>Инфо</v>
      </c>
      <c r="F3100" s="16" t="s">
        <v>39</v>
      </c>
      <c r="G3100" s="15"/>
      <c r="H3100" s="15"/>
      <c r="I3100" s="15"/>
      <c r="J3100" s="16" t="s">
        <v>100</v>
      </c>
      <c r="K3100" s="15" t="s">
        <v>1650</v>
      </c>
      <c r="L3100" s="17">
        <v>1</v>
      </c>
      <c r="M3100" s="17">
        <v>60</v>
      </c>
      <c r="N3100" s="17">
        <v>1</v>
      </c>
      <c r="O3100" s="18">
        <v>1871.28</v>
      </c>
      <c r="P3100" s="18">
        <v>1533.84</v>
      </c>
      <c r="Q3100" s="18">
        <v>1478.31</v>
      </c>
      <c r="R3100" s="18">
        <v>1211.73</v>
      </c>
      <c r="S3100" s="18">
        <v>1272.47</v>
      </c>
      <c r="T3100" s="18">
        <v>1043.01</v>
      </c>
      <c r="U3100" s="16"/>
      <c r="V3100" s="16"/>
      <c r="W3100" s="16" t="s">
        <v>40</v>
      </c>
      <c r="X3100" s="19">
        <v>0.43</v>
      </c>
      <c r="Y3100" s="20">
        <v>3.6000000000000002E-4</v>
      </c>
      <c r="Z3100" s="21">
        <v>4601004183308</v>
      </c>
    </row>
    <row r="3101" spans="1:26" ht="12" customHeight="1" outlineLevel="3" x14ac:dyDescent="0.2">
      <c r="A3101" s="14" t="s">
        <v>6060</v>
      </c>
      <c r="B3101" s="26" t="s">
        <v>6061</v>
      </c>
      <c r="C3101" s="52"/>
      <c r="D3101" s="55">
        <f t="shared" si="48"/>
        <v>0</v>
      </c>
      <c r="E3101" s="63" t="str">
        <f>HYPERLINK("https://www.sds-group.ru/product/blok-raspredelitelnyy-rbd-400a-na-din-reyku-rexant-11-2004/", "Инфо")</f>
        <v>Инфо</v>
      </c>
      <c r="F3101" s="16" t="s">
        <v>39</v>
      </c>
      <c r="G3101" s="15"/>
      <c r="H3101" s="15"/>
      <c r="I3101" s="15"/>
      <c r="J3101" s="16" t="s">
        <v>100</v>
      </c>
      <c r="K3101" s="15" t="s">
        <v>1650</v>
      </c>
      <c r="L3101" s="17">
        <v>1</v>
      </c>
      <c r="M3101" s="17">
        <v>60</v>
      </c>
      <c r="N3101" s="17">
        <v>1</v>
      </c>
      <c r="O3101" s="18">
        <v>2038.52</v>
      </c>
      <c r="P3101" s="18">
        <v>1670.92</v>
      </c>
      <c r="Q3101" s="18">
        <v>1610.43</v>
      </c>
      <c r="R3101" s="18">
        <v>1320.02</v>
      </c>
      <c r="S3101" s="18">
        <v>1386.19</v>
      </c>
      <c r="T3101" s="18">
        <v>1136.22</v>
      </c>
      <c r="U3101" s="16"/>
      <c r="V3101" s="16"/>
      <c r="W3101" s="16" t="s">
        <v>40</v>
      </c>
      <c r="X3101" s="19">
        <v>0.42299999999999999</v>
      </c>
      <c r="Y3101" s="20">
        <v>3.5500000000000001E-4</v>
      </c>
      <c r="Z3101" s="21">
        <v>4601004183285</v>
      </c>
    </row>
    <row r="3102" spans="1:26" ht="12" customHeight="1" outlineLevel="3" x14ac:dyDescent="0.2">
      <c r="A3102" s="14" t="s">
        <v>6062</v>
      </c>
      <c r="B3102" s="26" t="s">
        <v>6063</v>
      </c>
      <c r="C3102" s="52"/>
      <c r="D3102" s="55">
        <f t="shared" si="48"/>
        <v>0</v>
      </c>
      <c r="E3102" s="63" t="str">
        <f>HYPERLINK("https://www.sds-group.ru/product/blok-raspredelitelnyy-rbd-500a-na-din-reyku-rexant-11-2005/", "Инфо")</f>
        <v>Инфо</v>
      </c>
      <c r="F3102" s="16" t="s">
        <v>39</v>
      </c>
      <c r="G3102" s="15"/>
      <c r="H3102" s="15"/>
      <c r="I3102" s="15"/>
      <c r="J3102" s="17">
        <v>102</v>
      </c>
      <c r="K3102" s="15" t="s">
        <v>210</v>
      </c>
      <c r="L3102" s="17">
        <v>1</v>
      </c>
      <c r="M3102" s="17">
        <v>60</v>
      </c>
      <c r="N3102" s="17">
        <v>1</v>
      </c>
      <c r="O3102" s="18">
        <v>2289.7600000000002</v>
      </c>
      <c r="P3102" s="18">
        <v>1876.85</v>
      </c>
      <c r="Q3102" s="18">
        <v>1763.12</v>
      </c>
      <c r="R3102" s="18">
        <v>1445.18</v>
      </c>
      <c r="S3102" s="18">
        <v>1557.04</v>
      </c>
      <c r="T3102" s="18">
        <v>1276.26</v>
      </c>
      <c r="U3102" s="16"/>
      <c r="V3102" s="16"/>
      <c r="W3102" s="16" t="s">
        <v>40</v>
      </c>
      <c r="X3102" s="19">
        <v>0.373</v>
      </c>
      <c r="Y3102" s="20">
        <v>3.6600000000000001E-4</v>
      </c>
      <c r="Z3102" s="21">
        <v>4601004183261</v>
      </c>
    </row>
    <row r="3103" spans="1:26" ht="12" customHeight="1" outlineLevel="3" x14ac:dyDescent="0.2">
      <c r="A3103" s="14" t="s">
        <v>6064</v>
      </c>
      <c r="B3103" s="26" t="s">
        <v>6065</v>
      </c>
      <c r="C3103" s="52"/>
      <c r="D3103" s="55">
        <f t="shared" si="48"/>
        <v>0</v>
      </c>
      <c r="E3103" s="63" t="str">
        <f>HYPERLINK("https://www.sds-group.ru/product/blok-raspredelitelnyy-rbd-80a-na-din-reyku-rexant-11-2000/", "Инфо")</f>
        <v>Инфо</v>
      </c>
      <c r="F3103" s="16" t="s">
        <v>39</v>
      </c>
      <c r="G3103" s="15"/>
      <c r="H3103" s="15"/>
      <c r="I3103" s="15"/>
      <c r="J3103" s="17">
        <v>27</v>
      </c>
      <c r="K3103" s="15" t="s">
        <v>1650</v>
      </c>
      <c r="L3103" s="17">
        <v>5</v>
      </c>
      <c r="M3103" s="17">
        <v>200</v>
      </c>
      <c r="N3103" s="17">
        <v>5</v>
      </c>
      <c r="O3103" s="18">
        <v>401.89</v>
      </c>
      <c r="P3103" s="18">
        <v>329.42</v>
      </c>
      <c r="Q3103" s="18">
        <v>341.61</v>
      </c>
      <c r="R3103" s="18">
        <v>280.01</v>
      </c>
      <c r="S3103" s="18">
        <v>273.29000000000002</v>
      </c>
      <c r="T3103" s="18">
        <v>224.01</v>
      </c>
      <c r="U3103" s="16"/>
      <c r="V3103" s="16"/>
      <c r="W3103" s="16" t="s">
        <v>40</v>
      </c>
      <c r="X3103" s="19">
        <v>6.9000000000000006E-2</v>
      </c>
      <c r="Y3103" s="20">
        <v>1.36E-4</v>
      </c>
      <c r="Z3103" s="21">
        <v>4601004183247</v>
      </c>
    </row>
    <row r="3104" spans="1:26" ht="12.95" customHeight="1" outlineLevel="2" x14ac:dyDescent="0.2">
      <c r="A3104" s="76" t="s">
        <v>6066</v>
      </c>
      <c r="B3104" s="76"/>
      <c r="C3104" s="77"/>
      <c r="D3104" s="58"/>
      <c r="E3104" s="68"/>
      <c r="F3104" s="13"/>
      <c r="G3104" s="13"/>
      <c r="H3104" s="13"/>
      <c r="I3104" s="13"/>
      <c r="J3104" s="13"/>
      <c r="K3104" s="13"/>
      <c r="L3104" s="13"/>
      <c r="M3104" s="13"/>
      <c r="N3104" s="13"/>
      <c r="O3104" s="13"/>
      <c r="P3104" s="13"/>
      <c r="Q3104" s="13"/>
      <c r="R3104" s="13"/>
      <c r="S3104" s="13"/>
      <c r="T3104" s="13"/>
      <c r="U3104" s="13"/>
      <c r="V3104" s="13"/>
      <c r="W3104" s="13"/>
      <c r="X3104" s="13"/>
      <c r="Y3104" s="13"/>
      <c r="Z3104" s="13"/>
    </row>
    <row r="3105" spans="1:26" ht="12" customHeight="1" outlineLevel="3" x14ac:dyDescent="0.2">
      <c r="A3105" s="14" t="s">
        <v>6067</v>
      </c>
      <c r="B3105" s="26" t="s">
        <v>6068</v>
      </c>
      <c r="C3105" s="52"/>
      <c r="D3105" s="55">
        <f t="shared" si="48"/>
        <v>0</v>
      </c>
      <c r="E3105" s="63" t="str">
        <f>HYPERLINK("https://www.sds-group.ru/product/ogranichitel-na-din-reyku-metall-1-vint-rexant-12-2902/", "Инфо")</f>
        <v>Инфо</v>
      </c>
      <c r="F3105" s="16" t="s">
        <v>39</v>
      </c>
      <c r="G3105" s="15"/>
      <c r="H3105" s="15"/>
      <c r="I3105" s="15"/>
      <c r="J3105" s="22">
        <v>17200</v>
      </c>
      <c r="K3105" s="15" t="s">
        <v>2924</v>
      </c>
      <c r="L3105" s="17">
        <v>100</v>
      </c>
      <c r="M3105" s="22">
        <v>2500</v>
      </c>
      <c r="N3105" s="17">
        <v>100</v>
      </c>
      <c r="O3105" s="18">
        <v>26.85</v>
      </c>
      <c r="P3105" s="18">
        <v>22.01</v>
      </c>
      <c r="Q3105" s="18">
        <v>22.82</v>
      </c>
      <c r="R3105" s="18">
        <v>18.7</v>
      </c>
      <c r="S3105" s="18">
        <v>18.260000000000002</v>
      </c>
      <c r="T3105" s="18">
        <v>14.97</v>
      </c>
      <c r="U3105" s="16"/>
      <c r="V3105" s="16"/>
      <c r="W3105" s="16" t="s">
        <v>40</v>
      </c>
      <c r="X3105" s="19">
        <v>1.0999999999999999E-2</v>
      </c>
      <c r="Y3105" s="20">
        <v>1.2E-5</v>
      </c>
      <c r="Z3105" s="21">
        <v>4601004183339</v>
      </c>
    </row>
    <row r="3106" spans="1:26" ht="12" customHeight="1" outlineLevel="3" x14ac:dyDescent="0.2">
      <c r="A3106" s="14" t="s">
        <v>6069</v>
      </c>
      <c r="B3106" s="26" t="s">
        <v>6070</v>
      </c>
      <c r="C3106" s="52"/>
      <c r="D3106" s="55">
        <f t="shared" si="48"/>
        <v>0</v>
      </c>
      <c r="E3106" s="63" t="str">
        <f>HYPERLINK("https://www.sds-group.ru/product/ogranichitel-na-din-reyku-metall-2-vinta-paket-10-sht-up-rexant-12-2901-10/", "Инфо")</f>
        <v>Инфо</v>
      </c>
      <c r="F3106" s="16" t="s">
        <v>1001</v>
      </c>
      <c r="G3106" s="15"/>
      <c r="H3106" s="15"/>
      <c r="I3106" s="15"/>
      <c r="J3106" s="17">
        <v>126</v>
      </c>
      <c r="K3106" s="15"/>
      <c r="L3106" s="17">
        <v>10</v>
      </c>
      <c r="M3106" s="17">
        <v>250</v>
      </c>
      <c r="N3106" s="17">
        <v>10</v>
      </c>
      <c r="O3106" s="18">
        <v>217.71</v>
      </c>
      <c r="P3106" s="18">
        <v>178.45</v>
      </c>
      <c r="Q3106" s="18">
        <v>185.05</v>
      </c>
      <c r="R3106" s="18">
        <v>151.68</v>
      </c>
      <c r="S3106" s="18">
        <v>148.04</v>
      </c>
      <c r="T3106" s="18">
        <v>121.34</v>
      </c>
      <c r="U3106" s="16"/>
      <c r="V3106" s="16"/>
      <c r="W3106" s="16" t="s">
        <v>40</v>
      </c>
      <c r="X3106" s="19">
        <v>9.0999999999999998E-2</v>
      </c>
      <c r="Y3106" s="20">
        <v>1.27E-4</v>
      </c>
      <c r="Z3106" s="21">
        <v>4601004238787</v>
      </c>
    </row>
    <row r="3107" spans="1:26" ht="12" customHeight="1" outlineLevel="3" x14ac:dyDescent="0.2">
      <c r="A3107" s="14" t="s">
        <v>6071</v>
      </c>
      <c r="B3107" s="26" t="s">
        <v>6072</v>
      </c>
      <c r="C3107" s="52"/>
      <c r="D3107" s="55">
        <f t="shared" si="48"/>
        <v>0</v>
      </c>
      <c r="E3107" s="63" t="str">
        <f>HYPERLINK("https://www.sds-group.ru/product/ogranichitel-na-din-reyku-metall-2-vinta-rexant-12-2901/", "Инфо")</f>
        <v>Инфо</v>
      </c>
      <c r="F3107" s="16" t="s">
        <v>39</v>
      </c>
      <c r="G3107" s="15"/>
      <c r="H3107" s="15"/>
      <c r="I3107" s="15"/>
      <c r="J3107" s="16" t="s">
        <v>100</v>
      </c>
      <c r="K3107" s="15" t="s">
        <v>210</v>
      </c>
      <c r="L3107" s="17">
        <v>100</v>
      </c>
      <c r="M3107" s="22">
        <v>2500</v>
      </c>
      <c r="N3107" s="17">
        <v>100</v>
      </c>
      <c r="O3107" s="18">
        <v>14.1</v>
      </c>
      <c r="P3107" s="18">
        <v>11.56</v>
      </c>
      <c r="Q3107" s="18">
        <v>11.99</v>
      </c>
      <c r="R3107" s="18">
        <v>9.83</v>
      </c>
      <c r="S3107" s="18">
        <v>9.59</v>
      </c>
      <c r="T3107" s="18">
        <v>7.86</v>
      </c>
      <c r="U3107" s="16"/>
      <c r="V3107" s="16"/>
      <c r="W3107" s="16" t="s">
        <v>40</v>
      </c>
      <c r="X3107" s="19">
        <v>8.9999999999999993E-3</v>
      </c>
      <c r="Y3107" s="20">
        <v>1.2999999999999999E-5</v>
      </c>
      <c r="Z3107" s="21">
        <v>4601004183346</v>
      </c>
    </row>
    <row r="3108" spans="1:26" ht="12" customHeight="1" outlineLevel="3" x14ac:dyDescent="0.2">
      <c r="A3108" s="14" t="s">
        <v>6073</v>
      </c>
      <c r="B3108" s="26" t="s">
        <v>6074</v>
      </c>
      <c r="C3108" s="52"/>
      <c r="D3108" s="55">
        <f t="shared" si="48"/>
        <v>0</v>
      </c>
      <c r="E3108" s="63" t="str">
        <f>HYPERLINK("https://www.sds-group.ru/product/ogranichitel-na-din-reyku-plastik-rexant-12-2903/", "Инфо")</f>
        <v>Инфо</v>
      </c>
      <c r="F3108" s="16" t="s">
        <v>39</v>
      </c>
      <c r="G3108" s="15"/>
      <c r="H3108" s="15"/>
      <c r="I3108" s="15"/>
      <c r="J3108" s="16" t="s">
        <v>100</v>
      </c>
      <c r="K3108" s="15" t="s">
        <v>210</v>
      </c>
      <c r="L3108" s="17">
        <v>100</v>
      </c>
      <c r="M3108" s="22">
        <v>2000</v>
      </c>
      <c r="N3108" s="17">
        <v>100</v>
      </c>
      <c r="O3108" s="18">
        <v>14.88</v>
      </c>
      <c r="P3108" s="18">
        <v>12.2</v>
      </c>
      <c r="Q3108" s="18">
        <v>12.65</v>
      </c>
      <c r="R3108" s="18">
        <v>10.37</v>
      </c>
      <c r="S3108" s="18">
        <v>10.119999999999999</v>
      </c>
      <c r="T3108" s="18">
        <v>8.3000000000000007</v>
      </c>
      <c r="U3108" s="16"/>
      <c r="V3108" s="16"/>
      <c r="W3108" s="16" t="s">
        <v>40</v>
      </c>
      <c r="X3108" s="19">
        <v>5.0000000000000001E-3</v>
      </c>
      <c r="Y3108" s="20">
        <v>1.9000000000000001E-5</v>
      </c>
      <c r="Z3108" s="21">
        <v>4601004183322</v>
      </c>
    </row>
    <row r="3109" spans="1:26" ht="12.95" customHeight="1" outlineLevel="2" x14ac:dyDescent="0.2">
      <c r="A3109" s="76" t="s">
        <v>6075</v>
      </c>
      <c r="B3109" s="76"/>
      <c r="C3109" s="77"/>
      <c r="D3109" s="58"/>
      <c r="E3109" s="68"/>
      <c r="F3109" s="13"/>
      <c r="G3109" s="13"/>
      <c r="H3109" s="13"/>
      <c r="I3109" s="13"/>
      <c r="J3109" s="13"/>
      <c r="K3109" s="13"/>
      <c r="L3109" s="13"/>
      <c r="M3109" s="13"/>
      <c r="N3109" s="13"/>
      <c r="O3109" s="13"/>
      <c r="P3109" s="13"/>
      <c r="Q3109" s="13"/>
      <c r="R3109" s="13"/>
      <c r="S3109" s="13"/>
      <c r="T3109" s="13"/>
      <c r="U3109" s="13"/>
      <c r="V3109" s="13"/>
      <c r="W3109" s="13"/>
      <c r="X3109" s="13"/>
      <c r="Y3109" s="13"/>
      <c r="Z3109" s="13"/>
    </row>
    <row r="3110" spans="1:26" ht="12" customHeight="1" outlineLevel="3" x14ac:dyDescent="0.2">
      <c r="A3110" s="14" t="s">
        <v>6076</v>
      </c>
      <c r="B3110" s="26" t="s">
        <v>6077</v>
      </c>
      <c r="C3110" s="52"/>
      <c r="D3110" s="55">
        <f t="shared" si="48"/>
        <v>0</v>
      </c>
      <c r="E3110" s="63" t="str">
        <f>HYPERLINK("https://www.sds-group.ru/product/klemma-vvodnaya-silovaya-kvs-16-95mm-2-ryadnaya-zhelto-zelenaya-raspredelitelnaya-rexant-11-2117/", "Инфо")</f>
        <v>Инфо</v>
      </c>
      <c r="F3110" s="16" t="s">
        <v>39</v>
      </c>
      <c r="G3110" s="15"/>
      <c r="H3110" s="15"/>
      <c r="I3110" s="15"/>
      <c r="J3110" s="17">
        <v>172</v>
      </c>
      <c r="K3110" s="15"/>
      <c r="L3110" s="17">
        <v>4</v>
      </c>
      <c r="M3110" s="17">
        <v>96</v>
      </c>
      <c r="N3110" s="17">
        <v>4</v>
      </c>
      <c r="O3110" s="18">
        <v>685.85</v>
      </c>
      <c r="P3110" s="18">
        <v>562.16999999999996</v>
      </c>
      <c r="Q3110" s="18">
        <v>548.67999999999995</v>
      </c>
      <c r="R3110" s="18">
        <v>449.74</v>
      </c>
      <c r="S3110" s="18">
        <v>466.38</v>
      </c>
      <c r="T3110" s="18">
        <v>382.28</v>
      </c>
      <c r="U3110" s="16"/>
      <c r="V3110" s="16"/>
      <c r="W3110" s="16" t="s">
        <v>40</v>
      </c>
      <c r="X3110" s="19">
        <v>0.182</v>
      </c>
      <c r="Y3110" s="20">
        <v>3.6400000000000001E-4</v>
      </c>
      <c r="Z3110" s="21">
        <v>4601004260030</v>
      </c>
    </row>
    <row r="3111" spans="1:26" ht="12" customHeight="1" outlineLevel="3" x14ac:dyDescent="0.2">
      <c r="A3111" s="14" t="s">
        <v>6078</v>
      </c>
      <c r="B3111" s="26" t="s">
        <v>6079</v>
      </c>
      <c r="C3111" s="52"/>
      <c r="D3111" s="55">
        <f t="shared" si="48"/>
        <v>0</v>
      </c>
      <c r="E3111" s="63" t="str">
        <f>HYPERLINK("https://www.sds-group.ru/product/klemma-vvodnaya-silovaya-kvs-16-95mm-2-ryadnaya-seraya-raspredelitelnaya-rexant-11-2115/", "Инфо")</f>
        <v>Инфо</v>
      </c>
      <c r="F3111" s="16" t="s">
        <v>39</v>
      </c>
      <c r="G3111" s="15"/>
      <c r="H3111" s="15"/>
      <c r="I3111" s="15"/>
      <c r="J3111" s="17">
        <v>140</v>
      </c>
      <c r="K3111" s="15" t="s">
        <v>1055</v>
      </c>
      <c r="L3111" s="17">
        <v>4</v>
      </c>
      <c r="M3111" s="17">
        <v>96</v>
      </c>
      <c r="N3111" s="17">
        <v>4</v>
      </c>
      <c r="O3111" s="18">
        <v>685.85</v>
      </c>
      <c r="P3111" s="18">
        <v>562.16999999999996</v>
      </c>
      <c r="Q3111" s="18">
        <v>548.67999999999995</v>
      </c>
      <c r="R3111" s="18">
        <v>449.74</v>
      </c>
      <c r="S3111" s="18">
        <v>466.38</v>
      </c>
      <c r="T3111" s="18">
        <v>382.28</v>
      </c>
      <c r="U3111" s="16"/>
      <c r="V3111" s="16"/>
      <c r="W3111" s="16" t="s">
        <v>40</v>
      </c>
      <c r="X3111" s="19">
        <v>0.182</v>
      </c>
      <c r="Y3111" s="20">
        <v>3.5399999999999999E-4</v>
      </c>
      <c r="Z3111" s="21">
        <v>4601004260016</v>
      </c>
    </row>
    <row r="3112" spans="1:26" ht="12" customHeight="1" outlineLevel="3" x14ac:dyDescent="0.2">
      <c r="A3112" s="14" t="s">
        <v>6080</v>
      </c>
      <c r="B3112" s="26" t="s">
        <v>6081</v>
      </c>
      <c r="C3112" s="52"/>
      <c r="D3112" s="55">
        <f t="shared" si="48"/>
        <v>0</v>
      </c>
      <c r="E3112" s="63" t="str">
        <f>HYPERLINK("https://www.sds-group.ru/product/klemma-vvodnaya-silovaya-kvs-16-95mm-2-ryadnaya-sinyaya-raspredelitelnaya-rexant-11-2116/", "Инфо")</f>
        <v>Инфо</v>
      </c>
      <c r="F3112" s="16" t="s">
        <v>39</v>
      </c>
      <c r="G3112" s="15"/>
      <c r="H3112" s="15"/>
      <c r="I3112" s="15"/>
      <c r="J3112" s="17">
        <v>224</v>
      </c>
      <c r="K3112" s="15"/>
      <c r="L3112" s="17">
        <v>4</v>
      </c>
      <c r="M3112" s="17">
        <v>96</v>
      </c>
      <c r="N3112" s="17">
        <v>4</v>
      </c>
      <c r="O3112" s="18">
        <v>685.85</v>
      </c>
      <c r="P3112" s="18">
        <v>562.16999999999996</v>
      </c>
      <c r="Q3112" s="18">
        <v>548.67999999999995</v>
      </c>
      <c r="R3112" s="18">
        <v>449.74</v>
      </c>
      <c r="S3112" s="18">
        <v>466.38</v>
      </c>
      <c r="T3112" s="18">
        <v>382.28</v>
      </c>
      <c r="U3112" s="16"/>
      <c r="V3112" s="16"/>
      <c r="W3112" s="16" t="s">
        <v>40</v>
      </c>
      <c r="X3112" s="19">
        <v>0.182</v>
      </c>
      <c r="Y3112" s="20">
        <v>3.7500000000000001E-4</v>
      </c>
      <c r="Z3112" s="21">
        <v>4601004260023</v>
      </c>
    </row>
    <row r="3113" spans="1:26" ht="12" customHeight="1" outlineLevel="3" x14ac:dyDescent="0.2">
      <c r="A3113" s="14" t="s">
        <v>6082</v>
      </c>
      <c r="B3113" s="26" t="s">
        <v>6083</v>
      </c>
      <c r="C3113" s="52"/>
      <c r="D3113" s="55">
        <f t="shared" si="48"/>
        <v>0</v>
      </c>
      <c r="E3113" s="63" t="str">
        <f>HYPERLINK("https://www.sds-group.ru/product/klemma-vvodnaya-silovaya-kvs-16-95mm-zhelto-zelenaya-rexant-11-2105/", "Инфо")</f>
        <v>Инфо</v>
      </c>
      <c r="F3113" s="16" t="s">
        <v>39</v>
      </c>
      <c r="G3113" s="15"/>
      <c r="H3113" s="15"/>
      <c r="I3113" s="15"/>
      <c r="J3113" s="17">
        <v>112</v>
      </c>
      <c r="K3113" s="15"/>
      <c r="L3113" s="17">
        <v>7</v>
      </c>
      <c r="M3113" s="17">
        <v>168</v>
      </c>
      <c r="N3113" s="17">
        <v>7</v>
      </c>
      <c r="O3113" s="18">
        <v>319.69</v>
      </c>
      <c r="P3113" s="18">
        <v>262.04000000000002</v>
      </c>
      <c r="Q3113" s="18">
        <v>271.74</v>
      </c>
      <c r="R3113" s="18">
        <v>222.74</v>
      </c>
      <c r="S3113" s="18">
        <v>217.39</v>
      </c>
      <c r="T3113" s="18">
        <v>178.19</v>
      </c>
      <c r="U3113" s="16"/>
      <c r="V3113" s="16"/>
      <c r="W3113" s="16" t="s">
        <v>40</v>
      </c>
      <c r="X3113" s="19">
        <v>0.104</v>
      </c>
      <c r="Y3113" s="20">
        <v>2.02E-4</v>
      </c>
      <c r="Z3113" s="21">
        <v>4601004259942</v>
      </c>
    </row>
    <row r="3114" spans="1:26" ht="12" customHeight="1" outlineLevel="3" x14ac:dyDescent="0.2">
      <c r="A3114" s="14" t="s">
        <v>6084</v>
      </c>
      <c r="B3114" s="26" t="s">
        <v>6085</v>
      </c>
      <c r="C3114" s="52"/>
      <c r="D3114" s="55">
        <f t="shared" si="48"/>
        <v>0</v>
      </c>
      <c r="E3114" s="63" t="str">
        <f>HYPERLINK("https://www.sds-group.ru/product/klemma-vvodnaya-silovaya-kvs-16-95mm-seraya-rexant-11-2103/", "Инфо")</f>
        <v>Инфо</v>
      </c>
      <c r="F3114" s="16" t="s">
        <v>39</v>
      </c>
      <c r="G3114" s="15"/>
      <c r="H3114" s="15"/>
      <c r="I3114" s="15"/>
      <c r="J3114" s="16" t="s">
        <v>100</v>
      </c>
      <c r="K3114" s="15" t="s">
        <v>1055</v>
      </c>
      <c r="L3114" s="17">
        <v>7</v>
      </c>
      <c r="M3114" s="17">
        <v>168</v>
      </c>
      <c r="N3114" s="17">
        <v>7</v>
      </c>
      <c r="O3114" s="18">
        <v>324.29000000000002</v>
      </c>
      <c r="P3114" s="18">
        <v>265.81</v>
      </c>
      <c r="Q3114" s="18">
        <v>275.64999999999998</v>
      </c>
      <c r="R3114" s="18">
        <v>225.94</v>
      </c>
      <c r="S3114" s="18">
        <v>220.52</v>
      </c>
      <c r="T3114" s="18">
        <v>180.75</v>
      </c>
      <c r="U3114" s="16"/>
      <c r="V3114" s="16"/>
      <c r="W3114" s="16" t="s">
        <v>40</v>
      </c>
      <c r="X3114" s="19">
        <v>0.104</v>
      </c>
      <c r="Y3114" s="20">
        <v>2.0100000000000001E-4</v>
      </c>
      <c r="Z3114" s="21">
        <v>4601004259928</v>
      </c>
    </row>
    <row r="3115" spans="1:26" ht="12" customHeight="1" outlineLevel="3" x14ac:dyDescent="0.2">
      <c r="A3115" s="14" t="s">
        <v>6086</v>
      </c>
      <c r="B3115" s="26" t="s">
        <v>6087</v>
      </c>
      <c r="C3115" s="52"/>
      <c r="D3115" s="55">
        <f t="shared" si="48"/>
        <v>0</v>
      </c>
      <c r="E3115" s="63" t="str">
        <f>HYPERLINK("https://www.sds-group.ru/product/klemma-vvodnaya-silovaya-kvs-16-95mm-sinyaya-rexant-11-2104/", "Инфо")</f>
        <v>Инфо</v>
      </c>
      <c r="F3115" s="16" t="s">
        <v>39</v>
      </c>
      <c r="G3115" s="15"/>
      <c r="H3115" s="15"/>
      <c r="I3115" s="15"/>
      <c r="J3115" s="17">
        <v>228</v>
      </c>
      <c r="K3115" s="15"/>
      <c r="L3115" s="17">
        <v>7</v>
      </c>
      <c r="M3115" s="17">
        <v>168</v>
      </c>
      <c r="N3115" s="17">
        <v>7</v>
      </c>
      <c r="O3115" s="18">
        <v>313.79000000000002</v>
      </c>
      <c r="P3115" s="18">
        <v>257.2</v>
      </c>
      <c r="Q3115" s="18">
        <v>266.72000000000003</v>
      </c>
      <c r="R3115" s="18">
        <v>218.62</v>
      </c>
      <c r="S3115" s="18">
        <v>213.38</v>
      </c>
      <c r="T3115" s="18">
        <v>174.9</v>
      </c>
      <c r="U3115" s="16"/>
      <c r="V3115" s="16"/>
      <c r="W3115" s="16" t="s">
        <v>40</v>
      </c>
      <c r="X3115" s="19">
        <v>0.104</v>
      </c>
      <c r="Y3115" s="20">
        <v>1.9900000000000001E-4</v>
      </c>
      <c r="Z3115" s="21">
        <v>4601004259935</v>
      </c>
    </row>
    <row r="3116" spans="1:26" ht="12" customHeight="1" outlineLevel="3" x14ac:dyDescent="0.2">
      <c r="A3116" s="14" t="s">
        <v>6088</v>
      </c>
      <c r="B3116" s="26" t="s">
        <v>6089</v>
      </c>
      <c r="C3116" s="52"/>
      <c r="D3116" s="55">
        <f t="shared" si="48"/>
        <v>0</v>
      </c>
      <c r="E3116" s="63" t="str">
        <f>HYPERLINK("https://www.sds-group.ru/product/klemma-vvodnaya-silovaya-kvs-6-50mm-2-ryadnaya-zhelto-zelenaya-raspredelitelnaya-rexant-11-2114/", "Инфо")</f>
        <v>Инфо</v>
      </c>
      <c r="F3116" s="16" t="s">
        <v>39</v>
      </c>
      <c r="G3116" s="15"/>
      <c r="H3116" s="15"/>
      <c r="I3116" s="15"/>
      <c r="J3116" s="17">
        <v>366</v>
      </c>
      <c r="K3116" s="15"/>
      <c r="L3116" s="17">
        <v>8</v>
      </c>
      <c r="M3116" s="17">
        <v>272</v>
      </c>
      <c r="N3116" s="17">
        <v>8</v>
      </c>
      <c r="O3116" s="18">
        <v>344.5</v>
      </c>
      <c r="P3116" s="18">
        <v>282.38</v>
      </c>
      <c r="Q3116" s="18">
        <v>292.83</v>
      </c>
      <c r="R3116" s="18">
        <v>240.02</v>
      </c>
      <c r="S3116" s="18">
        <v>234.26</v>
      </c>
      <c r="T3116" s="18">
        <v>192.02</v>
      </c>
      <c r="U3116" s="16"/>
      <c r="V3116" s="16"/>
      <c r="W3116" s="16" t="s">
        <v>40</v>
      </c>
      <c r="X3116" s="19">
        <v>6.9000000000000006E-2</v>
      </c>
      <c r="Y3116" s="20">
        <v>1.37E-4</v>
      </c>
      <c r="Z3116" s="21">
        <v>4601004260009</v>
      </c>
    </row>
    <row r="3117" spans="1:26" ht="12" customHeight="1" outlineLevel="3" x14ac:dyDescent="0.2">
      <c r="A3117" s="14" t="s">
        <v>6090</v>
      </c>
      <c r="B3117" s="26" t="s">
        <v>6091</v>
      </c>
      <c r="C3117" s="52"/>
      <c r="D3117" s="55">
        <f t="shared" si="48"/>
        <v>0</v>
      </c>
      <c r="E3117" s="63" t="str">
        <f>HYPERLINK("https://www.sds-group.ru/product/klemma-vvodnaya-silovaya-kvs-6-50mm-2-ryadnaya-seraya-raspredelitelnaya-rexant-11-2112/", "Инфо")</f>
        <v>Инфо</v>
      </c>
      <c r="F3117" s="16" t="s">
        <v>39</v>
      </c>
      <c r="G3117" s="15"/>
      <c r="H3117" s="15"/>
      <c r="I3117" s="15"/>
      <c r="J3117" s="17">
        <v>88</v>
      </c>
      <c r="K3117" s="15" t="s">
        <v>1055</v>
      </c>
      <c r="L3117" s="17">
        <v>8</v>
      </c>
      <c r="M3117" s="17">
        <v>272</v>
      </c>
      <c r="N3117" s="17">
        <v>8</v>
      </c>
      <c r="O3117" s="18">
        <v>342.91</v>
      </c>
      <c r="P3117" s="18">
        <v>281.07</v>
      </c>
      <c r="Q3117" s="18">
        <v>291.47000000000003</v>
      </c>
      <c r="R3117" s="18">
        <v>238.91</v>
      </c>
      <c r="S3117" s="18">
        <v>233.18</v>
      </c>
      <c r="T3117" s="18">
        <v>191.13</v>
      </c>
      <c r="U3117" s="16"/>
      <c r="V3117" s="16"/>
      <c r="W3117" s="16" t="s">
        <v>40</v>
      </c>
      <c r="X3117" s="19">
        <v>6.9000000000000006E-2</v>
      </c>
      <c r="Y3117" s="20">
        <v>1.3100000000000001E-4</v>
      </c>
      <c r="Z3117" s="21">
        <v>4601004259980</v>
      </c>
    </row>
    <row r="3118" spans="1:26" ht="12" customHeight="1" outlineLevel="3" x14ac:dyDescent="0.2">
      <c r="A3118" s="14" t="s">
        <v>6092</v>
      </c>
      <c r="B3118" s="26" t="s">
        <v>6093</v>
      </c>
      <c r="C3118" s="52"/>
      <c r="D3118" s="55">
        <f t="shared" si="48"/>
        <v>0</v>
      </c>
      <c r="E3118" s="63" t="str">
        <f>HYPERLINK("https://www.sds-group.ru/product/klemma-vvodnaya-silovaya-kvs-6-50mm-2-ryadnaya-sinyaya-raspredelitelnaya-rexant-11-2113/", "Инфо")</f>
        <v>Инфо</v>
      </c>
      <c r="F3118" s="16" t="s">
        <v>39</v>
      </c>
      <c r="G3118" s="15"/>
      <c r="H3118" s="15"/>
      <c r="I3118" s="15"/>
      <c r="J3118" s="16" t="s">
        <v>100</v>
      </c>
      <c r="K3118" s="15" t="s">
        <v>1055</v>
      </c>
      <c r="L3118" s="17">
        <v>8</v>
      </c>
      <c r="M3118" s="17">
        <v>272</v>
      </c>
      <c r="N3118" s="17">
        <v>8</v>
      </c>
      <c r="O3118" s="18">
        <v>342.91</v>
      </c>
      <c r="P3118" s="18">
        <v>281.07</v>
      </c>
      <c r="Q3118" s="18">
        <v>291.47000000000003</v>
      </c>
      <c r="R3118" s="18">
        <v>238.91</v>
      </c>
      <c r="S3118" s="18">
        <v>233.18</v>
      </c>
      <c r="T3118" s="18">
        <v>191.13</v>
      </c>
      <c r="U3118" s="16"/>
      <c r="V3118" s="16"/>
      <c r="W3118" s="16" t="s">
        <v>40</v>
      </c>
      <c r="X3118" s="19">
        <v>6.9000000000000006E-2</v>
      </c>
      <c r="Y3118" s="20">
        <v>1.34E-4</v>
      </c>
      <c r="Z3118" s="21">
        <v>4601004259997</v>
      </c>
    </row>
    <row r="3119" spans="1:26" ht="12" customHeight="1" outlineLevel="3" x14ac:dyDescent="0.2">
      <c r="A3119" s="14" t="s">
        <v>6094</v>
      </c>
      <c r="B3119" s="26" t="s">
        <v>6095</v>
      </c>
      <c r="C3119" s="52"/>
      <c r="D3119" s="55">
        <f t="shared" si="48"/>
        <v>0</v>
      </c>
      <c r="E3119" s="63" t="str">
        <f>HYPERLINK("https://www.sds-group.ru/product/klemma-vvodnaya-silovaya-kvs-6-50mm-3-ryadnaya-seraya-rexant-11-2121/", "Инфо")</f>
        <v>Инфо</v>
      </c>
      <c r="F3119" s="16" t="s">
        <v>39</v>
      </c>
      <c r="G3119" s="15"/>
      <c r="H3119" s="15"/>
      <c r="I3119" s="15"/>
      <c r="J3119" s="17">
        <v>1</v>
      </c>
      <c r="K3119" s="15"/>
      <c r="L3119" s="17">
        <v>8</v>
      </c>
      <c r="M3119" s="17">
        <v>176</v>
      </c>
      <c r="N3119" s="17">
        <v>8</v>
      </c>
      <c r="O3119" s="18">
        <v>623.39</v>
      </c>
      <c r="P3119" s="18">
        <v>510.98</v>
      </c>
      <c r="Q3119" s="18">
        <v>498.71</v>
      </c>
      <c r="R3119" s="18">
        <v>408.78</v>
      </c>
      <c r="S3119" s="18">
        <v>423.91</v>
      </c>
      <c r="T3119" s="18">
        <v>347.47</v>
      </c>
      <c r="U3119" s="16"/>
      <c r="V3119" s="16"/>
      <c r="W3119" s="16" t="s">
        <v>40</v>
      </c>
      <c r="X3119" s="19">
        <v>0.11</v>
      </c>
      <c r="Y3119" s="20">
        <v>1.8699999999999999E-4</v>
      </c>
      <c r="Z3119" s="21">
        <v>4601004260047</v>
      </c>
    </row>
    <row r="3120" spans="1:26" ht="12" customHeight="1" outlineLevel="3" x14ac:dyDescent="0.2">
      <c r="A3120" s="14" t="s">
        <v>6096</v>
      </c>
      <c r="B3120" s="26" t="s">
        <v>6097</v>
      </c>
      <c r="C3120" s="52"/>
      <c r="D3120" s="55">
        <f t="shared" si="48"/>
        <v>0</v>
      </c>
      <c r="E3120" s="64"/>
      <c r="F3120" s="16" t="s">
        <v>39</v>
      </c>
      <c r="G3120" s="15"/>
      <c r="H3120" s="15"/>
      <c r="I3120" s="15"/>
      <c r="J3120" s="22">
        <v>1270</v>
      </c>
      <c r="K3120" s="15"/>
      <c r="L3120" s="17">
        <v>10</v>
      </c>
      <c r="M3120" s="17">
        <v>500</v>
      </c>
      <c r="N3120" s="17">
        <v>10</v>
      </c>
      <c r="O3120" s="18">
        <v>181.85</v>
      </c>
      <c r="P3120" s="18">
        <v>149.06</v>
      </c>
      <c r="Q3120" s="18">
        <v>154.57</v>
      </c>
      <c r="R3120" s="18">
        <v>126.7</v>
      </c>
      <c r="S3120" s="18">
        <v>123.66</v>
      </c>
      <c r="T3120" s="18">
        <v>101.36</v>
      </c>
      <c r="U3120" s="16"/>
      <c r="V3120" s="16"/>
      <c r="W3120" s="16" t="s">
        <v>40</v>
      </c>
      <c r="X3120" s="19">
        <v>3.9E-2</v>
      </c>
      <c r="Y3120" s="20">
        <v>7.2999999999999999E-5</v>
      </c>
      <c r="Z3120" s="21">
        <v>4601004259911</v>
      </c>
    </row>
    <row r="3121" spans="1:26" ht="12" customHeight="1" outlineLevel="3" x14ac:dyDescent="0.2">
      <c r="A3121" s="14" t="s">
        <v>6098</v>
      </c>
      <c r="B3121" s="26" t="s">
        <v>6099</v>
      </c>
      <c r="C3121" s="52"/>
      <c r="D3121" s="55">
        <f t="shared" si="48"/>
        <v>0</v>
      </c>
      <c r="E3121" s="63" t="str">
        <f>HYPERLINK("https://www.sds-group.ru/product/klemma-vvodnaya-silovaya-kvs-6-50mm-seraya-rexant-11-2100/", "Инфо")</f>
        <v>Инфо</v>
      </c>
      <c r="F3121" s="16" t="s">
        <v>39</v>
      </c>
      <c r="G3121" s="15"/>
      <c r="H3121" s="15"/>
      <c r="I3121" s="15"/>
      <c r="J3121" s="16" t="s">
        <v>100</v>
      </c>
      <c r="K3121" s="15" t="s">
        <v>1055</v>
      </c>
      <c r="L3121" s="17">
        <v>10</v>
      </c>
      <c r="M3121" s="17">
        <v>500</v>
      </c>
      <c r="N3121" s="17">
        <v>10</v>
      </c>
      <c r="O3121" s="18">
        <v>179.74</v>
      </c>
      <c r="P3121" s="18">
        <v>147.33000000000001</v>
      </c>
      <c r="Q3121" s="18">
        <v>152.78</v>
      </c>
      <c r="R3121" s="18">
        <v>125.23</v>
      </c>
      <c r="S3121" s="18">
        <v>122.22</v>
      </c>
      <c r="T3121" s="18">
        <v>100.18</v>
      </c>
      <c r="U3121" s="16"/>
      <c r="V3121" s="16"/>
      <c r="W3121" s="16" t="s">
        <v>40</v>
      </c>
      <c r="X3121" s="19">
        <v>3.9E-2</v>
      </c>
      <c r="Y3121" s="20">
        <v>7.1000000000000005E-5</v>
      </c>
      <c r="Z3121" s="21">
        <v>4601004260078</v>
      </c>
    </row>
    <row r="3122" spans="1:26" ht="12" customHeight="1" outlineLevel="3" x14ac:dyDescent="0.2">
      <c r="A3122" s="14" t="s">
        <v>6100</v>
      </c>
      <c r="B3122" s="26" t="s">
        <v>6101</v>
      </c>
      <c r="C3122" s="52"/>
      <c r="D3122" s="55">
        <f t="shared" si="48"/>
        <v>0</v>
      </c>
      <c r="E3122" s="64"/>
      <c r="F3122" s="16" t="s">
        <v>39</v>
      </c>
      <c r="G3122" s="15"/>
      <c r="H3122" s="15"/>
      <c r="I3122" s="15"/>
      <c r="J3122" s="17">
        <v>170</v>
      </c>
      <c r="K3122" s="15"/>
      <c r="L3122" s="17">
        <v>10</v>
      </c>
      <c r="M3122" s="17">
        <v>500</v>
      </c>
      <c r="N3122" s="17">
        <v>10</v>
      </c>
      <c r="O3122" s="18">
        <v>181.85</v>
      </c>
      <c r="P3122" s="18">
        <v>149.06</v>
      </c>
      <c r="Q3122" s="18">
        <v>154.57</v>
      </c>
      <c r="R3122" s="18">
        <v>126.7</v>
      </c>
      <c r="S3122" s="18">
        <v>123.66</v>
      </c>
      <c r="T3122" s="18">
        <v>101.36</v>
      </c>
      <c r="U3122" s="16"/>
      <c r="V3122" s="16"/>
      <c r="W3122" s="16" t="s">
        <v>40</v>
      </c>
      <c r="X3122" s="19">
        <v>3.9E-2</v>
      </c>
      <c r="Y3122" s="20">
        <v>6.9999999999999994E-5</v>
      </c>
      <c r="Z3122" s="21">
        <v>4601004259904</v>
      </c>
    </row>
    <row r="3123" spans="1:26" ht="12.95" customHeight="1" outlineLevel="3" x14ac:dyDescent="0.2">
      <c r="A3123" s="76" t="s">
        <v>6102</v>
      </c>
      <c r="B3123" s="76"/>
      <c r="C3123" s="77"/>
      <c r="D3123" s="58"/>
      <c r="E3123" s="68"/>
      <c r="F3123" s="13"/>
      <c r="G3123" s="13"/>
      <c r="H3123" s="13"/>
      <c r="I3123" s="13"/>
      <c r="J3123" s="13"/>
      <c r="K3123" s="13"/>
      <c r="L3123" s="13"/>
      <c r="M3123" s="13"/>
      <c r="N3123" s="13"/>
      <c r="O3123" s="13"/>
      <c r="P3123" s="13"/>
      <c r="Q3123" s="13"/>
      <c r="R3123" s="13"/>
      <c r="S3123" s="13"/>
      <c r="T3123" s="13"/>
      <c r="U3123" s="13"/>
      <c r="V3123" s="13"/>
      <c r="W3123" s="13"/>
      <c r="X3123" s="13"/>
      <c r="Y3123" s="13"/>
      <c r="Z3123" s="13"/>
    </row>
    <row r="3124" spans="1:26" ht="12" customHeight="1" outlineLevel="4" x14ac:dyDescent="0.2">
      <c r="A3124" s="14" t="s">
        <v>6103</v>
      </c>
      <c r="B3124" s="26" t="s">
        <v>6104</v>
      </c>
      <c r="C3124" s="52"/>
      <c r="D3124" s="55">
        <f t="shared" si="48"/>
        <v>0</v>
      </c>
      <c r="E3124" s="63" t="str">
        <f>HYPERLINK("https://www.sds-group.ru/product/blok-zazhimov-klemmnyy-bzd-1-polyusnyy-16-mm2-60a-na-din-reyku-rexant-11-2163/", "Инфо")</f>
        <v>Инфо</v>
      </c>
      <c r="F3124" s="16" t="s">
        <v>39</v>
      </c>
      <c r="G3124" s="15"/>
      <c r="H3124" s="15"/>
      <c r="I3124" s="15"/>
      <c r="J3124" s="16" t="s">
        <v>100</v>
      </c>
      <c r="K3124" s="15" t="s">
        <v>1650</v>
      </c>
      <c r="L3124" s="17">
        <v>20</v>
      </c>
      <c r="M3124" s="22">
        <v>1000</v>
      </c>
      <c r="N3124" s="17">
        <v>20</v>
      </c>
      <c r="O3124" s="18">
        <v>136.09</v>
      </c>
      <c r="P3124" s="18">
        <v>111.55</v>
      </c>
      <c r="Q3124" s="18">
        <v>115.68</v>
      </c>
      <c r="R3124" s="18">
        <v>94.82</v>
      </c>
      <c r="S3124" s="18">
        <v>92.54</v>
      </c>
      <c r="T3124" s="18">
        <v>75.849999999999994</v>
      </c>
      <c r="U3124" s="16"/>
      <c r="V3124" s="16"/>
      <c r="W3124" s="16" t="s">
        <v>40</v>
      </c>
      <c r="X3124" s="19">
        <v>2.5000000000000001E-2</v>
      </c>
      <c r="Y3124" s="20">
        <v>4.8000000000000001E-5</v>
      </c>
      <c r="Z3124" s="21">
        <v>4601004288294</v>
      </c>
    </row>
    <row r="3125" spans="1:26" ht="12" customHeight="1" outlineLevel="4" x14ac:dyDescent="0.2">
      <c r="A3125" s="14" t="s">
        <v>6105</v>
      </c>
      <c r="B3125" s="26" t="s">
        <v>6106</v>
      </c>
      <c r="C3125" s="52"/>
      <c r="D3125" s="55">
        <f t="shared" si="48"/>
        <v>0</v>
      </c>
      <c r="E3125" s="63" t="str">
        <f>HYPERLINK("https://www.sds-group.ru/product/blok-zazhimov-klemmnyy-bzd-1-polyusnyy-25-mm2-90a-na-din-reyku-rexant-11-2164/", "Инфо")</f>
        <v>Инфо</v>
      </c>
      <c r="F3125" s="16" t="s">
        <v>39</v>
      </c>
      <c r="G3125" s="15"/>
      <c r="H3125" s="15"/>
      <c r="I3125" s="15"/>
      <c r="J3125" s="17">
        <v>150</v>
      </c>
      <c r="K3125" s="15" t="s">
        <v>1650</v>
      </c>
      <c r="L3125" s="17">
        <v>10</v>
      </c>
      <c r="M3125" s="17">
        <v>500</v>
      </c>
      <c r="N3125" s="17">
        <v>10</v>
      </c>
      <c r="O3125" s="18">
        <v>224.95</v>
      </c>
      <c r="P3125" s="18">
        <v>184.39</v>
      </c>
      <c r="Q3125" s="18">
        <v>191.21</v>
      </c>
      <c r="R3125" s="18">
        <v>156.72999999999999</v>
      </c>
      <c r="S3125" s="18">
        <v>152.97</v>
      </c>
      <c r="T3125" s="18">
        <v>125.39</v>
      </c>
      <c r="U3125" s="16"/>
      <c r="V3125" s="16"/>
      <c r="W3125" s="16" t="s">
        <v>40</v>
      </c>
      <c r="X3125" s="19">
        <v>4.2000000000000003E-2</v>
      </c>
      <c r="Y3125" s="20">
        <v>7.7000000000000001E-5</v>
      </c>
      <c r="Z3125" s="21">
        <v>4601004288270</v>
      </c>
    </row>
    <row r="3126" spans="1:26" ht="12" customHeight="1" outlineLevel="4" x14ac:dyDescent="0.2">
      <c r="A3126" s="14" t="s">
        <v>6107</v>
      </c>
      <c r="B3126" s="26" t="s">
        <v>6108</v>
      </c>
      <c r="C3126" s="52"/>
      <c r="D3126" s="55">
        <f t="shared" si="48"/>
        <v>0</v>
      </c>
      <c r="E3126" s="63" t="str">
        <f>HYPERLINK("https://www.sds-group.ru/product/blok-zazhimov-klemmnyy-bzd-2h-polyusnyy-2-5-mm2-20a-na-din-reyku-rexant-11-2165/", "Инфо")</f>
        <v>Инфо</v>
      </c>
      <c r="F3126" s="16" t="s">
        <v>39</v>
      </c>
      <c r="G3126" s="15"/>
      <c r="H3126" s="15"/>
      <c r="I3126" s="15"/>
      <c r="J3126" s="22">
        <v>1120</v>
      </c>
      <c r="K3126" s="15" t="s">
        <v>1650</v>
      </c>
      <c r="L3126" s="17">
        <v>20</v>
      </c>
      <c r="M3126" s="22">
        <v>1000</v>
      </c>
      <c r="N3126" s="17">
        <v>20</v>
      </c>
      <c r="O3126" s="18">
        <v>97.38</v>
      </c>
      <c r="P3126" s="18">
        <v>79.819999999999993</v>
      </c>
      <c r="Q3126" s="18">
        <v>82.77</v>
      </c>
      <c r="R3126" s="18">
        <v>67.84</v>
      </c>
      <c r="S3126" s="18">
        <v>66.22</v>
      </c>
      <c r="T3126" s="18">
        <v>54.28</v>
      </c>
      <c r="U3126" s="16"/>
      <c r="V3126" s="16"/>
      <c r="W3126" s="16" t="s">
        <v>40</v>
      </c>
      <c r="X3126" s="19">
        <v>1.9E-2</v>
      </c>
      <c r="Y3126" s="20">
        <v>4.0000000000000003E-5</v>
      </c>
      <c r="Z3126" s="21">
        <v>4601004288393</v>
      </c>
    </row>
    <row r="3127" spans="1:26" ht="12" customHeight="1" outlineLevel="4" x14ac:dyDescent="0.2">
      <c r="A3127" s="14" t="s">
        <v>6109</v>
      </c>
      <c r="B3127" s="26" t="s">
        <v>6110</v>
      </c>
      <c r="C3127" s="52"/>
      <c r="D3127" s="55">
        <f t="shared" si="48"/>
        <v>0</v>
      </c>
      <c r="E3127" s="63" t="str">
        <f>HYPERLINK("https://www.sds-group.ru/product/blok-zazhimov-klemmnyy-bzd-3h-polyusnyy-10-0-mm2-50a-na-din-reyku-rexant-11-2166/", "Инфо")</f>
        <v>Инфо</v>
      </c>
      <c r="F3127" s="16" t="s">
        <v>39</v>
      </c>
      <c r="G3127" s="15"/>
      <c r="H3127" s="15"/>
      <c r="I3127" s="15"/>
      <c r="J3127" s="16" t="s">
        <v>100</v>
      </c>
      <c r="K3127" s="15" t="s">
        <v>1650</v>
      </c>
      <c r="L3127" s="17">
        <v>8</v>
      </c>
      <c r="M3127" s="17">
        <v>320</v>
      </c>
      <c r="N3127" s="17">
        <v>8</v>
      </c>
      <c r="O3127" s="18">
        <v>243.69</v>
      </c>
      <c r="P3127" s="18">
        <v>199.75</v>
      </c>
      <c r="Q3127" s="18">
        <v>207.14</v>
      </c>
      <c r="R3127" s="18">
        <v>169.79</v>
      </c>
      <c r="S3127" s="18">
        <v>165.71</v>
      </c>
      <c r="T3127" s="18">
        <v>135.83000000000001</v>
      </c>
      <c r="U3127" s="16"/>
      <c r="V3127" s="16"/>
      <c r="W3127" s="16" t="s">
        <v>40</v>
      </c>
      <c r="X3127" s="19">
        <v>5.2999999999999999E-2</v>
      </c>
      <c r="Y3127" s="20">
        <v>1.06E-4</v>
      </c>
      <c r="Z3127" s="21">
        <v>4601004288409</v>
      </c>
    </row>
    <row r="3128" spans="1:26" ht="12" customHeight="1" outlineLevel="4" x14ac:dyDescent="0.2">
      <c r="A3128" s="14" t="s">
        <v>6111</v>
      </c>
      <c r="B3128" s="26" t="s">
        <v>6112</v>
      </c>
      <c r="C3128" s="52"/>
      <c r="D3128" s="55">
        <f t="shared" si="48"/>
        <v>0</v>
      </c>
      <c r="E3128" s="63" t="str">
        <f>HYPERLINK("https://www.sds-group.ru/product/blok-zazhimov-klemmnyy-bzd-3h-polyusnyy-2-5-mm2-20a-na-din-reyku-rexant-11-2167/", "Инфо")</f>
        <v>Инфо</v>
      </c>
      <c r="F3128" s="16" t="s">
        <v>39</v>
      </c>
      <c r="G3128" s="15"/>
      <c r="H3128" s="15"/>
      <c r="I3128" s="15"/>
      <c r="J3128" s="17">
        <v>860</v>
      </c>
      <c r="K3128" s="15" t="s">
        <v>1650</v>
      </c>
      <c r="L3128" s="17">
        <v>20</v>
      </c>
      <c r="M3128" s="22">
        <v>1000</v>
      </c>
      <c r="N3128" s="17">
        <v>20</v>
      </c>
      <c r="O3128" s="18">
        <v>114.72</v>
      </c>
      <c r="P3128" s="18">
        <v>94.03</v>
      </c>
      <c r="Q3128" s="18">
        <v>97.51</v>
      </c>
      <c r="R3128" s="18">
        <v>79.930000000000007</v>
      </c>
      <c r="S3128" s="18">
        <v>78.010000000000005</v>
      </c>
      <c r="T3128" s="18">
        <v>63.94</v>
      </c>
      <c r="U3128" s="16"/>
      <c r="V3128" s="16"/>
      <c r="W3128" s="16" t="s">
        <v>40</v>
      </c>
      <c r="X3128" s="19">
        <v>2.1000000000000001E-2</v>
      </c>
      <c r="Y3128" s="20">
        <v>4.6999999999999997E-5</v>
      </c>
      <c r="Z3128" s="21">
        <v>4601004288355</v>
      </c>
    </row>
    <row r="3129" spans="1:26" ht="12" customHeight="1" outlineLevel="4" x14ac:dyDescent="0.2">
      <c r="A3129" s="14" t="s">
        <v>6113</v>
      </c>
      <c r="B3129" s="26" t="s">
        <v>6114</v>
      </c>
      <c r="C3129" s="52"/>
      <c r="D3129" s="55">
        <f t="shared" si="48"/>
        <v>0</v>
      </c>
      <c r="E3129" s="63" t="str">
        <f>HYPERLINK("https://www.sds-group.ru/product/blok-zazhimov-klemmnyy-bzd-3h-polyusnyy-4-0-mm2-30a-na-din-reyku-rexant-11-2168/", "Инфо")</f>
        <v>Инфо</v>
      </c>
      <c r="F3129" s="16" t="s">
        <v>39</v>
      </c>
      <c r="G3129" s="15"/>
      <c r="H3129" s="15"/>
      <c r="I3129" s="15"/>
      <c r="J3129" s="16" t="s">
        <v>100</v>
      </c>
      <c r="K3129" s="15" t="s">
        <v>1650</v>
      </c>
      <c r="L3129" s="17">
        <v>12</v>
      </c>
      <c r="M3129" s="17">
        <v>600</v>
      </c>
      <c r="N3129" s="17">
        <v>12</v>
      </c>
      <c r="O3129" s="18">
        <v>173.63</v>
      </c>
      <c r="P3129" s="18">
        <v>142.32</v>
      </c>
      <c r="Q3129" s="18">
        <v>147.59</v>
      </c>
      <c r="R3129" s="18">
        <v>120.98</v>
      </c>
      <c r="S3129" s="18">
        <v>118.07</v>
      </c>
      <c r="T3129" s="18">
        <v>96.78</v>
      </c>
      <c r="U3129" s="16"/>
      <c r="V3129" s="16"/>
      <c r="W3129" s="16" t="s">
        <v>40</v>
      </c>
      <c r="X3129" s="19">
        <v>3.3000000000000002E-2</v>
      </c>
      <c r="Y3129" s="20">
        <v>6.4999999999999994E-5</v>
      </c>
      <c r="Z3129" s="21">
        <v>4601004288348</v>
      </c>
    </row>
    <row r="3130" spans="1:26" ht="12" customHeight="1" outlineLevel="4" x14ac:dyDescent="0.2">
      <c r="A3130" s="14" t="s">
        <v>6115</v>
      </c>
      <c r="B3130" s="26" t="s">
        <v>6116</v>
      </c>
      <c r="C3130" s="52"/>
      <c r="D3130" s="55">
        <f t="shared" si="48"/>
        <v>0</v>
      </c>
      <c r="E3130" s="63" t="str">
        <f>HYPERLINK("https://www.sds-group.ru/product/blok-zazhimov-klemmnyy-bzn-tv-1504-1-5mm2-15a-4-pary-rexant-11-2150/", "Инфо")</f>
        <v>Инфо</v>
      </c>
      <c r="F3130" s="16" t="s">
        <v>39</v>
      </c>
      <c r="G3130" s="15"/>
      <c r="H3130" s="15"/>
      <c r="I3130" s="15"/>
      <c r="J3130" s="16" t="s">
        <v>100</v>
      </c>
      <c r="K3130" s="15" t="s">
        <v>1650</v>
      </c>
      <c r="L3130" s="17">
        <v>100</v>
      </c>
      <c r="M3130" s="22">
        <v>1000</v>
      </c>
      <c r="N3130" s="17">
        <v>100</v>
      </c>
      <c r="O3130" s="18">
        <v>46.11</v>
      </c>
      <c r="P3130" s="18">
        <v>37.799999999999997</v>
      </c>
      <c r="Q3130" s="18">
        <v>39.19</v>
      </c>
      <c r="R3130" s="18">
        <v>32.119999999999997</v>
      </c>
      <c r="S3130" s="18">
        <v>31.35</v>
      </c>
      <c r="T3130" s="18">
        <v>25.7</v>
      </c>
      <c r="U3130" s="16"/>
      <c r="V3130" s="16"/>
      <c r="W3130" s="16" t="s">
        <v>40</v>
      </c>
      <c r="X3130" s="19">
        <v>0.02</v>
      </c>
      <c r="Y3130" s="20">
        <v>3.1000000000000001E-5</v>
      </c>
      <c r="Z3130" s="21">
        <v>4601004288331</v>
      </c>
    </row>
    <row r="3131" spans="1:26" ht="12" customHeight="1" outlineLevel="4" x14ac:dyDescent="0.2">
      <c r="A3131" s="14" t="s">
        <v>6117</v>
      </c>
      <c r="B3131" s="26" t="s">
        <v>6118</v>
      </c>
      <c r="C3131" s="52"/>
      <c r="D3131" s="55">
        <f t="shared" si="48"/>
        <v>0</v>
      </c>
      <c r="E3131" s="63" t="str">
        <f>HYPERLINK("https://www.sds-group.ru/product/blok-zazhimov-klemmnyy-bzn-tv-1506-1-5mm2-15a-6-par-rexant-11-2153/", "Инфо")</f>
        <v>Инфо</v>
      </c>
      <c r="F3131" s="16" t="s">
        <v>39</v>
      </c>
      <c r="G3131" s="15"/>
      <c r="H3131" s="15"/>
      <c r="I3131" s="15"/>
      <c r="J3131" s="16" t="s">
        <v>100</v>
      </c>
      <c r="K3131" s="15" t="s">
        <v>1650</v>
      </c>
      <c r="L3131" s="17">
        <v>100</v>
      </c>
      <c r="M3131" s="22">
        <v>1000</v>
      </c>
      <c r="N3131" s="17">
        <v>100</v>
      </c>
      <c r="O3131" s="18">
        <v>59.02</v>
      </c>
      <c r="P3131" s="18">
        <v>48.38</v>
      </c>
      <c r="Q3131" s="18">
        <v>50.17</v>
      </c>
      <c r="R3131" s="18">
        <v>41.12</v>
      </c>
      <c r="S3131" s="18">
        <v>40.130000000000003</v>
      </c>
      <c r="T3131" s="18">
        <v>32.89</v>
      </c>
      <c r="U3131" s="16"/>
      <c r="V3131" s="16"/>
      <c r="W3131" s="16" t="s">
        <v>40</v>
      </c>
      <c r="X3131" s="19">
        <v>2.8000000000000001E-2</v>
      </c>
      <c r="Y3131" s="20">
        <v>3.1999999999999999E-5</v>
      </c>
      <c r="Z3131" s="21">
        <v>4601004288256</v>
      </c>
    </row>
    <row r="3132" spans="1:26" ht="12" customHeight="1" outlineLevel="4" x14ac:dyDescent="0.2">
      <c r="A3132" s="14" t="s">
        <v>6119</v>
      </c>
      <c r="B3132" s="26" t="s">
        <v>6120</v>
      </c>
      <c r="C3132" s="52"/>
      <c r="D3132" s="55">
        <f t="shared" si="48"/>
        <v>0</v>
      </c>
      <c r="E3132" s="63" t="str">
        <f>HYPERLINK("https://www.sds-group.ru/product/blok-zazhimov-klemmnyy-bzn-tv-1512-1-5mm2-15a-12-par-rexant-11-2156/", "Инфо")</f>
        <v>Инфо</v>
      </c>
      <c r="F3132" s="16" t="s">
        <v>39</v>
      </c>
      <c r="G3132" s="15"/>
      <c r="H3132" s="15"/>
      <c r="I3132" s="15"/>
      <c r="J3132" s="16" t="s">
        <v>100</v>
      </c>
      <c r="K3132" s="15" t="s">
        <v>1650</v>
      </c>
      <c r="L3132" s="17">
        <v>50</v>
      </c>
      <c r="M3132" s="17">
        <v>500</v>
      </c>
      <c r="N3132" s="17">
        <v>50</v>
      </c>
      <c r="O3132" s="18">
        <v>111.63</v>
      </c>
      <c r="P3132" s="18">
        <v>91.5</v>
      </c>
      <c r="Q3132" s="18">
        <v>94.89</v>
      </c>
      <c r="R3132" s="18">
        <v>77.78</v>
      </c>
      <c r="S3132" s="18">
        <v>75.91</v>
      </c>
      <c r="T3132" s="18">
        <v>62.22</v>
      </c>
      <c r="U3132" s="16"/>
      <c r="V3132" s="16"/>
      <c r="W3132" s="16" t="s">
        <v>40</v>
      </c>
      <c r="X3132" s="19">
        <v>5.1999999999999998E-2</v>
      </c>
      <c r="Y3132" s="20">
        <v>6.3999999999999997E-5</v>
      </c>
      <c r="Z3132" s="21">
        <v>4601004288317</v>
      </c>
    </row>
    <row r="3133" spans="1:26" ht="12" customHeight="1" outlineLevel="4" x14ac:dyDescent="0.2">
      <c r="A3133" s="14" t="s">
        <v>6121</v>
      </c>
      <c r="B3133" s="26" t="s">
        <v>6122</v>
      </c>
      <c r="C3133" s="52"/>
      <c r="D3133" s="55">
        <f t="shared" si="48"/>
        <v>0</v>
      </c>
      <c r="E3133" s="63" t="str">
        <f>HYPERLINK("https://www.sds-group.ru/product/blok-zazhimov-klemmnyy-bzn-tv-2504-2-5mm2-25a-4-pary-rexant-11-2151/", "Инфо")</f>
        <v>Инфо</v>
      </c>
      <c r="F3133" s="16" t="s">
        <v>39</v>
      </c>
      <c r="G3133" s="15"/>
      <c r="H3133" s="15"/>
      <c r="I3133" s="15"/>
      <c r="J3133" s="16" t="s">
        <v>100</v>
      </c>
      <c r="K3133" s="15" t="s">
        <v>1650</v>
      </c>
      <c r="L3133" s="17">
        <v>50</v>
      </c>
      <c r="M3133" s="17">
        <v>500</v>
      </c>
      <c r="N3133" s="17">
        <v>50</v>
      </c>
      <c r="O3133" s="18">
        <v>71.44</v>
      </c>
      <c r="P3133" s="18">
        <v>58.56</v>
      </c>
      <c r="Q3133" s="18">
        <v>60.72</v>
      </c>
      <c r="R3133" s="18">
        <v>49.77</v>
      </c>
      <c r="S3133" s="18">
        <v>48.58</v>
      </c>
      <c r="T3133" s="18">
        <v>39.82</v>
      </c>
      <c r="U3133" s="16"/>
      <c r="V3133" s="16"/>
      <c r="W3133" s="16" t="s">
        <v>40</v>
      </c>
      <c r="X3133" s="19">
        <v>3.7999999999999999E-2</v>
      </c>
      <c r="Y3133" s="20">
        <v>5.8999999999999998E-5</v>
      </c>
      <c r="Z3133" s="21">
        <v>4601004288225</v>
      </c>
    </row>
    <row r="3134" spans="1:26" ht="12" customHeight="1" outlineLevel="4" x14ac:dyDescent="0.2">
      <c r="A3134" s="14" t="s">
        <v>6123</v>
      </c>
      <c r="B3134" s="26" t="s">
        <v>6124</v>
      </c>
      <c r="C3134" s="52"/>
      <c r="D3134" s="55">
        <f t="shared" si="48"/>
        <v>0</v>
      </c>
      <c r="E3134" s="63" t="str">
        <f>HYPERLINK("https://www.sds-group.ru/product/blok-zazhimov-klemmnyy-bzn-tv-2506-2-5mm2-25a-6-par-rexant-11-2154/", "Инфо")</f>
        <v>Инфо</v>
      </c>
      <c r="F3134" s="16" t="s">
        <v>39</v>
      </c>
      <c r="G3134" s="15"/>
      <c r="H3134" s="15"/>
      <c r="I3134" s="15"/>
      <c r="J3134" s="16" t="s">
        <v>100</v>
      </c>
      <c r="K3134" s="15" t="s">
        <v>1650</v>
      </c>
      <c r="L3134" s="17">
        <v>50</v>
      </c>
      <c r="M3134" s="17">
        <v>400</v>
      </c>
      <c r="N3134" s="17">
        <v>50</v>
      </c>
      <c r="O3134" s="18">
        <v>91.01</v>
      </c>
      <c r="P3134" s="18">
        <v>74.599999999999994</v>
      </c>
      <c r="Q3134" s="18">
        <v>77.36</v>
      </c>
      <c r="R3134" s="18">
        <v>63.41</v>
      </c>
      <c r="S3134" s="18">
        <v>61.89</v>
      </c>
      <c r="T3134" s="18">
        <v>50.73</v>
      </c>
      <c r="U3134" s="16"/>
      <c r="V3134" s="16"/>
      <c r="W3134" s="16" t="s">
        <v>40</v>
      </c>
      <c r="X3134" s="19">
        <v>5.2999999999999999E-2</v>
      </c>
      <c r="Y3134" s="20">
        <v>7.2000000000000002E-5</v>
      </c>
      <c r="Z3134" s="21">
        <v>4601004288249</v>
      </c>
    </row>
    <row r="3135" spans="1:26" ht="12" customHeight="1" outlineLevel="4" x14ac:dyDescent="0.2">
      <c r="A3135" s="14" t="s">
        <v>6125</v>
      </c>
      <c r="B3135" s="26" t="s">
        <v>6126</v>
      </c>
      <c r="C3135" s="52"/>
      <c r="D3135" s="55">
        <f t="shared" si="48"/>
        <v>0</v>
      </c>
      <c r="E3135" s="63" t="str">
        <f>HYPERLINK("https://www.sds-group.ru/product/blok-zazhimov-klemmnyy-bzn-tv-2512-2-5mm2-25a-12-par-rexant-11-2157/", "Инфо")</f>
        <v>Инфо</v>
      </c>
      <c r="F3135" s="16" t="s">
        <v>39</v>
      </c>
      <c r="G3135" s="15"/>
      <c r="H3135" s="15"/>
      <c r="I3135" s="15"/>
      <c r="J3135" s="17">
        <v>700</v>
      </c>
      <c r="K3135" s="15" t="s">
        <v>1650</v>
      </c>
      <c r="L3135" s="17">
        <v>25</v>
      </c>
      <c r="M3135" s="17">
        <v>300</v>
      </c>
      <c r="N3135" s="17">
        <v>25</v>
      </c>
      <c r="O3135" s="18">
        <v>201.83</v>
      </c>
      <c r="P3135" s="18">
        <v>165.43</v>
      </c>
      <c r="Q3135" s="18">
        <v>171.56</v>
      </c>
      <c r="R3135" s="18">
        <v>140.62</v>
      </c>
      <c r="S3135" s="18">
        <v>137.24</v>
      </c>
      <c r="T3135" s="18">
        <v>112.49</v>
      </c>
      <c r="U3135" s="16"/>
      <c r="V3135" s="16"/>
      <c r="W3135" s="16" t="s">
        <v>40</v>
      </c>
      <c r="X3135" s="19">
        <v>0.10100000000000001</v>
      </c>
      <c r="Y3135" s="20">
        <v>1.4200000000000001E-4</v>
      </c>
      <c r="Z3135" s="21">
        <v>4601004288362</v>
      </c>
    </row>
    <row r="3136" spans="1:26" ht="12" customHeight="1" outlineLevel="4" x14ac:dyDescent="0.2">
      <c r="A3136" s="14" t="s">
        <v>6127</v>
      </c>
      <c r="B3136" s="26" t="s">
        <v>6128</v>
      </c>
      <c r="C3136" s="52"/>
      <c r="D3136" s="55">
        <f t="shared" si="48"/>
        <v>0</v>
      </c>
      <c r="E3136" s="63" t="str">
        <f>HYPERLINK("https://www.sds-group.ru/product/blok-zazhimov-klemmnyy-bzn-tv-4504-4-0mm2-45a-4-pary-rexant-11-2152/", "Инфо")</f>
        <v>Инфо</v>
      </c>
      <c r="F3136" s="16" t="s">
        <v>39</v>
      </c>
      <c r="G3136" s="15"/>
      <c r="H3136" s="15"/>
      <c r="I3136" s="15"/>
      <c r="J3136" s="16" t="s">
        <v>100</v>
      </c>
      <c r="K3136" s="15" t="s">
        <v>1650</v>
      </c>
      <c r="L3136" s="17">
        <v>50</v>
      </c>
      <c r="M3136" s="17">
        <v>400</v>
      </c>
      <c r="N3136" s="17">
        <v>50</v>
      </c>
      <c r="O3136" s="18">
        <v>236.98</v>
      </c>
      <c r="P3136" s="18">
        <v>194.25</v>
      </c>
      <c r="Q3136" s="18">
        <v>201.43</v>
      </c>
      <c r="R3136" s="18">
        <v>165.11</v>
      </c>
      <c r="S3136" s="18">
        <v>161.15</v>
      </c>
      <c r="T3136" s="18">
        <v>132.09</v>
      </c>
      <c r="U3136" s="16"/>
      <c r="V3136" s="16"/>
      <c r="W3136" s="16" t="s">
        <v>40</v>
      </c>
      <c r="X3136" s="19">
        <v>8.1000000000000003E-2</v>
      </c>
      <c r="Y3136" s="20">
        <v>1.05E-4</v>
      </c>
      <c r="Z3136" s="21">
        <v>4601004288232</v>
      </c>
    </row>
    <row r="3137" spans="1:26" ht="12" customHeight="1" outlineLevel="4" x14ac:dyDescent="0.2">
      <c r="A3137" s="14" t="s">
        <v>6129</v>
      </c>
      <c r="B3137" s="26" t="s">
        <v>6130</v>
      </c>
      <c r="C3137" s="52"/>
      <c r="D3137" s="55">
        <f t="shared" si="48"/>
        <v>0</v>
      </c>
      <c r="E3137" s="63" t="str">
        <f>HYPERLINK("https://www.sds-group.ru/product/blok-zazhimov-klemmnyy-bzn-tv-4506-4-0mm2-45a-6-par-rexant-11-2155/", "Инфо")</f>
        <v>Инфо</v>
      </c>
      <c r="F3137" s="16" t="s">
        <v>39</v>
      </c>
      <c r="G3137" s="15"/>
      <c r="H3137" s="15"/>
      <c r="I3137" s="15"/>
      <c r="J3137" s="16" t="s">
        <v>100</v>
      </c>
      <c r="K3137" s="15" t="s">
        <v>1650</v>
      </c>
      <c r="L3137" s="17">
        <v>25</v>
      </c>
      <c r="M3137" s="17">
        <v>200</v>
      </c>
      <c r="N3137" s="17">
        <v>25</v>
      </c>
      <c r="O3137" s="18">
        <v>305.42</v>
      </c>
      <c r="P3137" s="18">
        <v>250.34</v>
      </c>
      <c r="Q3137" s="18">
        <v>259.61</v>
      </c>
      <c r="R3137" s="18">
        <v>212.8</v>
      </c>
      <c r="S3137" s="18">
        <v>207.69</v>
      </c>
      <c r="T3137" s="18">
        <v>170.24</v>
      </c>
      <c r="U3137" s="16"/>
      <c r="V3137" s="16"/>
      <c r="W3137" s="16" t="s">
        <v>40</v>
      </c>
      <c r="X3137" s="19">
        <v>0.11600000000000001</v>
      </c>
      <c r="Y3137" s="20">
        <v>1.4799999999999999E-4</v>
      </c>
      <c r="Z3137" s="21">
        <v>4601004288263</v>
      </c>
    </row>
    <row r="3138" spans="1:26" ht="12" customHeight="1" outlineLevel="4" x14ac:dyDescent="0.2">
      <c r="A3138" s="14" t="s">
        <v>6131</v>
      </c>
      <c r="B3138" s="26" t="s">
        <v>6132</v>
      </c>
      <c r="C3138" s="52"/>
      <c r="D3138" s="55">
        <f t="shared" si="48"/>
        <v>0</v>
      </c>
      <c r="E3138" s="63" t="str">
        <f>HYPERLINK("https://www.sds-group.ru/product/blok-zazhimov-klemmnyy-bzn-tv-4512-4-0mm2-45a-12-par-rexant-11-2158/", "Инфо")</f>
        <v>Инфо</v>
      </c>
      <c r="F3138" s="16" t="s">
        <v>39</v>
      </c>
      <c r="G3138" s="15"/>
      <c r="H3138" s="15"/>
      <c r="I3138" s="15"/>
      <c r="J3138" s="16" t="s">
        <v>100</v>
      </c>
      <c r="K3138" s="15" t="s">
        <v>1650</v>
      </c>
      <c r="L3138" s="17">
        <v>20</v>
      </c>
      <c r="M3138" s="17">
        <v>100</v>
      </c>
      <c r="N3138" s="17">
        <v>20</v>
      </c>
      <c r="O3138" s="18">
        <v>608.73</v>
      </c>
      <c r="P3138" s="18">
        <v>498.96</v>
      </c>
      <c r="Q3138" s="18">
        <v>486.98</v>
      </c>
      <c r="R3138" s="18">
        <v>399.16</v>
      </c>
      <c r="S3138" s="18">
        <v>413.94</v>
      </c>
      <c r="T3138" s="18">
        <v>339.3</v>
      </c>
      <c r="U3138" s="16"/>
      <c r="V3138" s="16"/>
      <c r="W3138" s="16" t="s">
        <v>40</v>
      </c>
      <c r="X3138" s="19">
        <v>0.22700000000000001</v>
      </c>
      <c r="Y3138" s="20">
        <v>2.8600000000000001E-4</v>
      </c>
      <c r="Z3138" s="21">
        <v>4601004288300</v>
      </c>
    </row>
    <row r="3139" spans="1:26" ht="12" customHeight="1" outlineLevel="4" x14ac:dyDescent="0.2">
      <c r="A3139" s="14" t="s">
        <v>6133</v>
      </c>
      <c r="B3139" s="26" t="s">
        <v>6134</v>
      </c>
      <c r="C3139" s="52"/>
      <c r="D3139" s="55">
        <f t="shared" si="48"/>
        <v>0</v>
      </c>
      <c r="E3139" s="63" t="str">
        <f>HYPERLINK("https://www.sds-group.ru/product/blok-zazhimov-klemmnyy-bzn-ts-1003-35mm2-100a-3-pary-rexant-11-2160/", "Инфо")</f>
        <v>Инфо</v>
      </c>
      <c r="F3139" s="16" t="s">
        <v>39</v>
      </c>
      <c r="G3139" s="15"/>
      <c r="H3139" s="15"/>
      <c r="I3139" s="15"/>
      <c r="J3139" s="17">
        <v>60</v>
      </c>
      <c r="K3139" s="15" t="s">
        <v>1650</v>
      </c>
      <c r="L3139" s="17">
        <v>5</v>
      </c>
      <c r="M3139" s="17">
        <v>100</v>
      </c>
      <c r="N3139" s="17">
        <v>5</v>
      </c>
      <c r="O3139" s="18">
        <v>457.8</v>
      </c>
      <c r="P3139" s="18">
        <v>375.25</v>
      </c>
      <c r="Q3139" s="18">
        <v>366.24</v>
      </c>
      <c r="R3139" s="18">
        <v>300.2</v>
      </c>
      <c r="S3139" s="18">
        <v>311.3</v>
      </c>
      <c r="T3139" s="18">
        <v>255.16</v>
      </c>
      <c r="U3139" s="16"/>
      <c r="V3139" s="16"/>
      <c r="W3139" s="16" t="s">
        <v>40</v>
      </c>
      <c r="X3139" s="19">
        <v>0.19600000000000001</v>
      </c>
      <c r="Y3139" s="20">
        <v>2.7900000000000001E-4</v>
      </c>
      <c r="Z3139" s="21">
        <v>4601004288287</v>
      </c>
    </row>
    <row r="3140" spans="1:26" ht="12" customHeight="1" outlineLevel="4" x14ac:dyDescent="0.2">
      <c r="A3140" s="14" t="s">
        <v>6135</v>
      </c>
      <c r="B3140" s="26" t="s">
        <v>6136</v>
      </c>
      <c r="C3140" s="52"/>
      <c r="D3140" s="55">
        <f t="shared" si="48"/>
        <v>0</v>
      </c>
      <c r="E3140" s="63" t="str">
        <f>HYPERLINK("https://www.sds-group.ru/product/blok-zazhimov-klemmnyy-bzn-ts-1004-35mm2-100a-4-pary-rexant-11-2162/", "Инфо")</f>
        <v>Инфо</v>
      </c>
      <c r="F3140" s="16" t="s">
        <v>39</v>
      </c>
      <c r="G3140" s="15"/>
      <c r="H3140" s="15"/>
      <c r="I3140" s="15"/>
      <c r="J3140" s="17">
        <v>101</v>
      </c>
      <c r="K3140" s="15" t="s">
        <v>1650</v>
      </c>
      <c r="L3140" s="17">
        <v>5</v>
      </c>
      <c r="M3140" s="17">
        <v>100</v>
      </c>
      <c r="N3140" s="17">
        <v>5</v>
      </c>
      <c r="O3140" s="18">
        <v>599.75</v>
      </c>
      <c r="P3140" s="18">
        <v>491.6</v>
      </c>
      <c r="Q3140" s="18">
        <v>479.8</v>
      </c>
      <c r="R3140" s="18">
        <v>393.28</v>
      </c>
      <c r="S3140" s="18">
        <v>407.83</v>
      </c>
      <c r="T3140" s="18">
        <v>334.29</v>
      </c>
      <c r="U3140" s="16"/>
      <c r="V3140" s="16"/>
      <c r="W3140" s="16" t="s">
        <v>40</v>
      </c>
      <c r="X3140" s="19">
        <v>0.255</v>
      </c>
      <c r="Y3140" s="20">
        <v>3.6299999999999999E-4</v>
      </c>
      <c r="Z3140" s="21">
        <v>4601004288324</v>
      </c>
    </row>
    <row r="3141" spans="1:26" ht="12" customHeight="1" outlineLevel="4" x14ac:dyDescent="0.2">
      <c r="A3141" s="14" t="s">
        <v>6137</v>
      </c>
      <c r="B3141" s="26" t="s">
        <v>6138</v>
      </c>
      <c r="C3141" s="52"/>
      <c r="D3141" s="55">
        <f t="shared" si="48"/>
        <v>0</v>
      </c>
      <c r="E3141" s="63" t="str">
        <f>HYPERLINK("https://www.sds-group.ru/product/blok-zazhimov-klemmnyy-bzn-ts-603-16mm2-60a-3-pary-rexant-11-2159/", "Инфо")</f>
        <v>Инфо</v>
      </c>
      <c r="F3141" s="16" t="s">
        <v>39</v>
      </c>
      <c r="G3141" s="15"/>
      <c r="H3141" s="15"/>
      <c r="I3141" s="15"/>
      <c r="J3141" s="16" t="s">
        <v>100</v>
      </c>
      <c r="K3141" s="15" t="s">
        <v>1650</v>
      </c>
      <c r="L3141" s="17">
        <v>5</v>
      </c>
      <c r="M3141" s="17">
        <v>200</v>
      </c>
      <c r="N3141" s="17">
        <v>5</v>
      </c>
      <c r="O3141" s="18">
        <v>270.29000000000002</v>
      </c>
      <c r="P3141" s="18">
        <v>221.55</v>
      </c>
      <c r="Q3141" s="18">
        <v>229.75</v>
      </c>
      <c r="R3141" s="18">
        <v>188.32</v>
      </c>
      <c r="S3141" s="18">
        <v>183.8</v>
      </c>
      <c r="T3141" s="18">
        <v>150.66</v>
      </c>
      <c r="U3141" s="16"/>
      <c r="V3141" s="16"/>
      <c r="W3141" s="16" t="s">
        <v>40</v>
      </c>
      <c r="X3141" s="19">
        <v>0.13400000000000001</v>
      </c>
      <c r="Y3141" s="20">
        <v>1.5300000000000001E-4</v>
      </c>
      <c r="Z3141" s="21">
        <v>4601004288386</v>
      </c>
    </row>
    <row r="3142" spans="1:26" ht="12" customHeight="1" outlineLevel="4" x14ac:dyDescent="0.2">
      <c r="A3142" s="14" t="s">
        <v>6139</v>
      </c>
      <c r="B3142" s="26" t="s">
        <v>6140</v>
      </c>
      <c r="C3142" s="52"/>
      <c r="D3142" s="55">
        <f t="shared" si="48"/>
        <v>0</v>
      </c>
      <c r="E3142" s="63" t="str">
        <f>HYPERLINK("https://www.sds-group.ru/product/blok-zazhimov-klemmnyy-bzn-ts-604-16mm2-60a-4-pary-rexant-11-2161/", "Инфо")</f>
        <v>Инфо</v>
      </c>
      <c r="F3142" s="16" t="s">
        <v>39</v>
      </c>
      <c r="G3142" s="15"/>
      <c r="H3142" s="15"/>
      <c r="I3142" s="15"/>
      <c r="J3142" s="17">
        <v>25</v>
      </c>
      <c r="K3142" s="15" t="s">
        <v>1650</v>
      </c>
      <c r="L3142" s="17">
        <v>5</v>
      </c>
      <c r="M3142" s="17">
        <v>160</v>
      </c>
      <c r="N3142" s="17">
        <v>5</v>
      </c>
      <c r="O3142" s="18">
        <v>386.54</v>
      </c>
      <c r="P3142" s="18">
        <v>316.83999999999997</v>
      </c>
      <c r="Q3142" s="18">
        <v>328.56</v>
      </c>
      <c r="R3142" s="18">
        <v>269.31</v>
      </c>
      <c r="S3142" s="18">
        <v>262.85000000000002</v>
      </c>
      <c r="T3142" s="18">
        <v>215.45</v>
      </c>
      <c r="U3142" s="16"/>
      <c r="V3142" s="16"/>
      <c r="W3142" s="16" t="s">
        <v>40</v>
      </c>
      <c r="X3142" s="19">
        <v>0.17100000000000001</v>
      </c>
      <c r="Y3142" s="20">
        <v>1.5300000000000001E-4</v>
      </c>
      <c r="Z3142" s="21">
        <v>4601004288379</v>
      </c>
    </row>
    <row r="3143" spans="1:26" ht="12.95" customHeight="1" outlineLevel="1" x14ac:dyDescent="0.2">
      <c r="A3143" s="78" t="s">
        <v>6141</v>
      </c>
      <c r="B3143" s="78"/>
      <c r="C3143" s="79"/>
      <c r="D3143" s="57"/>
      <c r="E3143" s="67"/>
      <c r="F3143" s="12"/>
      <c r="G3143" s="12"/>
      <c r="H3143" s="12"/>
      <c r="I3143" s="12"/>
      <c r="J3143" s="12"/>
      <c r="K3143" s="12"/>
      <c r="L3143" s="12"/>
      <c r="M3143" s="12"/>
      <c r="N3143" s="12"/>
      <c r="O3143" s="12"/>
      <c r="P3143" s="12"/>
      <c r="Q3143" s="12"/>
      <c r="R3143" s="12"/>
      <c r="S3143" s="12"/>
      <c r="T3143" s="12"/>
      <c r="U3143" s="12"/>
      <c r="V3143" s="12"/>
      <c r="W3143" s="12"/>
      <c r="X3143" s="12"/>
      <c r="Y3143" s="12"/>
      <c r="Z3143" s="12"/>
    </row>
    <row r="3144" spans="1:26" ht="12.95" customHeight="1" outlineLevel="2" x14ac:dyDescent="0.2">
      <c r="A3144" s="76" t="s">
        <v>6142</v>
      </c>
      <c r="B3144" s="76"/>
      <c r="C3144" s="77"/>
      <c r="D3144" s="58"/>
      <c r="E3144" s="68"/>
      <c r="F3144" s="13"/>
      <c r="G3144" s="13"/>
      <c r="H3144" s="13"/>
      <c r="I3144" s="13"/>
      <c r="J3144" s="13"/>
      <c r="K3144" s="13"/>
      <c r="L3144" s="13"/>
      <c r="M3144" s="13"/>
      <c r="N3144" s="13"/>
      <c r="O3144" s="13"/>
      <c r="P3144" s="13"/>
      <c r="Q3144" s="13"/>
      <c r="R3144" s="13"/>
      <c r="S3144" s="13"/>
      <c r="T3144" s="13"/>
      <c r="U3144" s="13"/>
      <c r="V3144" s="13"/>
      <c r="W3144" s="13"/>
      <c r="X3144" s="13"/>
      <c r="Y3144" s="13"/>
      <c r="Z3144" s="13"/>
    </row>
    <row r="3145" spans="1:26" ht="12" customHeight="1" outlineLevel="3" x14ac:dyDescent="0.2">
      <c r="A3145" s="32" t="s">
        <v>6143</v>
      </c>
      <c r="B3145" s="74" t="s">
        <v>6144</v>
      </c>
      <c r="C3145" s="50"/>
      <c r="D3145" s="53">
        <f t="shared" ref="D3145:D3208" si="49">C3145*(O3145-O3145*$G$3)</f>
        <v>0</v>
      </c>
      <c r="E3145" s="60" t="str">
        <f>HYPERLINK("https://www.sds-group.ru/product/wi-fi-termoregulyator-sensornyy-securic-SEC-T-101W/", "Инфо")</f>
        <v>Инфо</v>
      </c>
      <c r="F3145" s="34" t="s">
        <v>39</v>
      </c>
      <c r="G3145" s="33"/>
      <c r="H3145" s="33" t="s">
        <v>40</v>
      </c>
      <c r="I3145" s="33"/>
      <c r="J3145" s="35">
        <v>2</v>
      </c>
      <c r="K3145" s="33"/>
      <c r="L3145" s="35">
        <v>1</v>
      </c>
      <c r="M3145" s="35">
        <v>64</v>
      </c>
      <c r="N3145" s="35">
        <v>1</v>
      </c>
      <c r="O3145" s="36">
        <v>4375.18</v>
      </c>
      <c r="P3145" s="36">
        <v>3586.21</v>
      </c>
      <c r="Q3145" s="36">
        <v>3062.63</v>
      </c>
      <c r="R3145" s="36">
        <v>2510.35</v>
      </c>
      <c r="S3145" s="36">
        <v>2975.12</v>
      </c>
      <c r="T3145" s="36">
        <v>2438.62</v>
      </c>
      <c r="U3145" s="34"/>
      <c r="V3145" s="34"/>
      <c r="W3145" s="34"/>
      <c r="X3145" s="37">
        <v>0.28399999999999997</v>
      </c>
      <c r="Y3145" s="38">
        <v>7.8399999999999997E-4</v>
      </c>
      <c r="Z3145" s="21">
        <v>4601004247451</v>
      </c>
    </row>
    <row r="3146" spans="1:26" ht="12" customHeight="1" outlineLevel="3" x14ac:dyDescent="0.2">
      <c r="A3146" s="32" t="s">
        <v>6145</v>
      </c>
      <c r="B3146" s="74" t="s">
        <v>6146</v>
      </c>
      <c r="C3146" s="50"/>
      <c r="D3146" s="53">
        <f t="shared" si="49"/>
        <v>0</v>
      </c>
      <c r="E3146" s="60" t="str">
        <f>HYPERLINK("https://www.sds-group.ru/product/umnyy-wi-fi-zigbee-bluetooth-shlyuz-securic-SEC-GT-101/", "Инфо")</f>
        <v>Инфо</v>
      </c>
      <c r="F3146" s="34" t="s">
        <v>39</v>
      </c>
      <c r="G3146" s="33"/>
      <c r="H3146" s="33" t="s">
        <v>40</v>
      </c>
      <c r="I3146" s="33"/>
      <c r="J3146" s="35">
        <v>46</v>
      </c>
      <c r="K3146" s="33"/>
      <c r="L3146" s="35">
        <v>1</v>
      </c>
      <c r="M3146" s="35">
        <v>5</v>
      </c>
      <c r="N3146" s="35">
        <v>1</v>
      </c>
      <c r="O3146" s="36">
        <v>2296.88</v>
      </c>
      <c r="P3146" s="36">
        <v>1882.69</v>
      </c>
      <c r="Q3146" s="36">
        <v>1607.82</v>
      </c>
      <c r="R3146" s="36">
        <v>1317.89</v>
      </c>
      <c r="S3146" s="36">
        <v>1561.88</v>
      </c>
      <c r="T3146" s="36">
        <v>1280.23</v>
      </c>
      <c r="U3146" s="34"/>
      <c r="V3146" s="34"/>
      <c r="W3146" s="34"/>
      <c r="X3146" s="37">
        <v>0.113</v>
      </c>
      <c r="Y3146" s="38">
        <v>2.8600000000000001E-4</v>
      </c>
      <c r="Z3146" s="21">
        <v>4601004252837</v>
      </c>
    </row>
    <row r="3147" spans="1:26" ht="12" customHeight="1" outlineLevel="3" x14ac:dyDescent="0.2">
      <c r="A3147" s="32" t="s">
        <v>6147</v>
      </c>
      <c r="B3147" s="74" t="s">
        <v>6148</v>
      </c>
      <c r="C3147" s="50"/>
      <c r="D3147" s="53">
        <f t="shared" si="49"/>
        <v>0</v>
      </c>
      <c r="E3147" s="60" t="str">
        <f>HYPERLINK("https://www.sds-group.ru/product/umnyy-besprovodnoy-wi-fi-kontroller-upravleniya-pitaniem-securic-SEC-HV-301W/", "Инфо")</f>
        <v>Инфо</v>
      </c>
      <c r="F3147" s="34" t="s">
        <v>39</v>
      </c>
      <c r="G3147" s="33"/>
      <c r="H3147" s="33" t="s">
        <v>40</v>
      </c>
      <c r="I3147" s="33"/>
      <c r="J3147" s="35">
        <v>87</v>
      </c>
      <c r="K3147" s="33"/>
      <c r="L3147" s="35">
        <v>1</v>
      </c>
      <c r="M3147" s="35">
        <v>200</v>
      </c>
      <c r="N3147" s="35">
        <v>1</v>
      </c>
      <c r="O3147" s="36">
        <v>834.07</v>
      </c>
      <c r="P3147" s="36">
        <v>683.66</v>
      </c>
      <c r="Q3147" s="36">
        <v>583.85</v>
      </c>
      <c r="R3147" s="36">
        <v>478.57</v>
      </c>
      <c r="S3147" s="36">
        <v>567.16999999999996</v>
      </c>
      <c r="T3147" s="36">
        <v>464.89</v>
      </c>
      <c r="U3147" s="34"/>
      <c r="V3147" s="34"/>
      <c r="W3147" s="34"/>
      <c r="X3147" s="37">
        <v>6.3E-2</v>
      </c>
      <c r="Y3147" s="38">
        <v>1.74E-4</v>
      </c>
      <c r="Z3147" s="21">
        <v>4601004238053</v>
      </c>
    </row>
    <row r="3148" spans="1:26" ht="12.95" customHeight="1" outlineLevel="2" x14ac:dyDescent="0.2">
      <c r="A3148" s="76" t="s">
        <v>6149</v>
      </c>
      <c r="B3148" s="76"/>
      <c r="C3148" s="77"/>
      <c r="D3148" s="58"/>
      <c r="E3148" s="68"/>
      <c r="F3148" s="13"/>
      <c r="G3148" s="13"/>
      <c r="H3148" s="13"/>
      <c r="I3148" s="13"/>
      <c r="J3148" s="13"/>
      <c r="K3148" s="13"/>
      <c r="L3148" s="13"/>
      <c r="M3148" s="13"/>
      <c r="N3148" s="13"/>
      <c r="O3148" s="13"/>
      <c r="P3148" s="13"/>
      <c r="Q3148" s="13"/>
      <c r="R3148" s="13"/>
      <c r="S3148" s="13"/>
      <c r="T3148" s="13"/>
      <c r="U3148" s="13"/>
      <c r="V3148" s="13"/>
      <c r="W3148" s="13"/>
      <c r="X3148" s="13"/>
      <c r="Y3148" s="13"/>
      <c r="Z3148" s="13"/>
    </row>
    <row r="3149" spans="1:26" ht="12" customHeight="1" outlineLevel="3" x14ac:dyDescent="0.2">
      <c r="A3149" s="32" t="s">
        <v>6150</v>
      </c>
      <c r="B3149" s="74" t="s">
        <v>6151</v>
      </c>
      <c r="C3149" s="50"/>
      <c r="D3149" s="53">
        <f t="shared" si="49"/>
        <v>0</v>
      </c>
      <c r="E3149" s="60" t="str">
        <f>HYPERLINK("https://www.sds-group.ru/product/umnyy-wi-fi-vyklyuchatel-dvuhknopochnyy-belyy-securic-SEC-HV-802W2/", "Инфо")</f>
        <v>Инфо</v>
      </c>
      <c r="F3149" s="34" t="s">
        <v>39</v>
      </c>
      <c r="G3149" s="33"/>
      <c r="H3149" s="33" t="s">
        <v>40</v>
      </c>
      <c r="I3149" s="33"/>
      <c r="J3149" s="35">
        <v>177</v>
      </c>
      <c r="K3149" s="33"/>
      <c r="L3149" s="35">
        <v>1</v>
      </c>
      <c r="M3149" s="35">
        <v>50</v>
      </c>
      <c r="N3149" s="35">
        <v>1</v>
      </c>
      <c r="O3149" s="36">
        <v>1645.62</v>
      </c>
      <c r="P3149" s="36">
        <v>1348.87</v>
      </c>
      <c r="Q3149" s="36">
        <v>1151.93</v>
      </c>
      <c r="R3149" s="36">
        <v>944.2</v>
      </c>
      <c r="S3149" s="36">
        <v>1119.02</v>
      </c>
      <c r="T3149" s="36">
        <v>917.23</v>
      </c>
      <c r="U3149" s="34"/>
      <c r="V3149" s="34"/>
      <c r="W3149" s="34"/>
      <c r="X3149" s="37">
        <v>0.191</v>
      </c>
      <c r="Y3149" s="38">
        <v>4.7399999999999997E-4</v>
      </c>
      <c r="Z3149" s="21">
        <v>4601004277335</v>
      </c>
    </row>
    <row r="3150" spans="1:26" ht="12" customHeight="1" outlineLevel="3" x14ac:dyDescent="0.2">
      <c r="A3150" s="32" t="s">
        <v>6152</v>
      </c>
      <c r="B3150" s="74" t="s">
        <v>6153</v>
      </c>
      <c r="C3150" s="50"/>
      <c r="D3150" s="53">
        <f t="shared" si="49"/>
        <v>0</v>
      </c>
      <c r="E3150" s="60" t="str">
        <f>HYPERLINK("https://www.sds-group.ru/product/umnyy-wi-fi-vyklyuchatel-dvuhknopochnyy-chernyy-securic-SEC-HV-802B2/", "Инфо")</f>
        <v>Инфо</v>
      </c>
      <c r="F3150" s="34" t="s">
        <v>39</v>
      </c>
      <c r="G3150" s="33"/>
      <c r="H3150" s="33" t="s">
        <v>40</v>
      </c>
      <c r="I3150" s="33"/>
      <c r="J3150" s="35">
        <v>294</v>
      </c>
      <c r="K3150" s="33"/>
      <c r="L3150" s="35">
        <v>1</v>
      </c>
      <c r="M3150" s="35">
        <v>50</v>
      </c>
      <c r="N3150" s="35">
        <v>1</v>
      </c>
      <c r="O3150" s="36">
        <v>1075.5</v>
      </c>
      <c r="P3150" s="36">
        <v>881.56</v>
      </c>
      <c r="Q3150" s="36">
        <v>752.85</v>
      </c>
      <c r="R3150" s="36">
        <v>617.09</v>
      </c>
      <c r="S3150" s="36">
        <v>731.34</v>
      </c>
      <c r="T3150" s="36">
        <v>599.46</v>
      </c>
      <c r="U3150" s="34"/>
      <c r="V3150" s="34"/>
      <c r="W3150" s="34"/>
      <c r="X3150" s="37">
        <v>0.187</v>
      </c>
      <c r="Y3150" s="38">
        <v>4.7399999999999997E-4</v>
      </c>
      <c r="Z3150" s="21">
        <v>4601004277359</v>
      </c>
    </row>
    <row r="3151" spans="1:26" ht="12.95" customHeight="1" outlineLevel="1" x14ac:dyDescent="0.2">
      <c r="A3151" s="78" t="s">
        <v>6154</v>
      </c>
      <c r="B3151" s="78"/>
      <c r="C3151" s="79"/>
      <c r="D3151" s="57"/>
      <c r="E3151" s="67"/>
      <c r="F3151" s="12"/>
      <c r="G3151" s="12"/>
      <c r="H3151" s="12"/>
      <c r="I3151" s="12"/>
      <c r="J3151" s="12"/>
      <c r="K3151" s="12"/>
      <c r="L3151" s="12"/>
      <c r="M3151" s="12"/>
      <c r="N3151" s="12"/>
      <c r="O3151" s="12"/>
      <c r="P3151" s="12"/>
      <c r="Q3151" s="12"/>
      <c r="R3151" s="12"/>
      <c r="S3151" s="12"/>
      <c r="T3151" s="12"/>
      <c r="U3151" s="12"/>
      <c r="V3151" s="12"/>
      <c r="W3151" s="12"/>
      <c r="X3151" s="12"/>
      <c r="Y3151" s="12"/>
      <c r="Z3151" s="12"/>
    </row>
    <row r="3152" spans="1:26" ht="12.95" customHeight="1" outlineLevel="2" x14ac:dyDescent="0.2">
      <c r="A3152" s="76" t="s">
        <v>6155</v>
      </c>
      <c r="B3152" s="76"/>
      <c r="C3152" s="77"/>
      <c r="D3152" s="58"/>
      <c r="E3152" s="68"/>
      <c r="F3152" s="13"/>
      <c r="G3152" s="13"/>
      <c r="H3152" s="13"/>
      <c r="I3152" s="13"/>
      <c r="J3152" s="13"/>
      <c r="K3152" s="13"/>
      <c r="L3152" s="13"/>
      <c r="M3152" s="13"/>
      <c r="N3152" s="13"/>
      <c r="O3152" s="13"/>
      <c r="P3152" s="13"/>
      <c r="Q3152" s="13"/>
      <c r="R3152" s="13"/>
      <c r="S3152" s="13"/>
      <c r="T3152" s="13"/>
      <c r="U3152" s="13"/>
      <c r="V3152" s="13"/>
      <c r="W3152" s="13"/>
      <c r="X3152" s="13"/>
      <c r="Y3152" s="13"/>
      <c r="Z3152" s="13"/>
    </row>
    <row r="3153" spans="1:26" ht="12" customHeight="1" outlineLevel="3" x14ac:dyDescent="0.2">
      <c r="A3153" s="14" t="s">
        <v>6156</v>
      </c>
      <c r="B3153" s="26" t="s">
        <v>6157</v>
      </c>
      <c r="C3153" s="52"/>
      <c r="D3153" s="55">
        <f t="shared" si="49"/>
        <v>0</v>
      </c>
      <c r="E3153" s="63" t="str">
        <f>HYPERLINK("https://www.sds-group.ru/product/komplekt-zazemleniya-bezmuftovyy-3m-20-rexant-11-3001-03/", "Инфо")</f>
        <v>Инфо</v>
      </c>
      <c r="F3153" s="16" t="s">
        <v>39</v>
      </c>
      <c r="G3153" s="15"/>
      <c r="H3153" s="15"/>
      <c r="I3153" s="15"/>
      <c r="J3153" s="17">
        <v>35</v>
      </c>
      <c r="K3153" s="15"/>
      <c r="L3153" s="17">
        <v>1</v>
      </c>
      <c r="M3153" s="17">
        <v>1</v>
      </c>
      <c r="N3153" s="17">
        <v>1</v>
      </c>
      <c r="O3153" s="18">
        <v>11198.24</v>
      </c>
      <c r="P3153" s="18">
        <v>9178.89</v>
      </c>
      <c r="Q3153" s="18">
        <v>9518.5</v>
      </c>
      <c r="R3153" s="18">
        <v>7802.05</v>
      </c>
      <c r="S3153" s="18">
        <v>7614.8</v>
      </c>
      <c r="T3153" s="18">
        <v>6241.64</v>
      </c>
      <c r="U3153" s="16"/>
      <c r="V3153" s="16"/>
      <c r="W3153" s="16" t="s">
        <v>40</v>
      </c>
      <c r="X3153" s="19">
        <v>8.6999999999999993</v>
      </c>
      <c r="Y3153" s="20">
        <v>2.1000000000000001E-2</v>
      </c>
      <c r="Z3153" s="21">
        <v>4601004292628</v>
      </c>
    </row>
    <row r="3154" spans="1:26" ht="12" customHeight="1" outlineLevel="3" x14ac:dyDescent="0.2">
      <c r="A3154" s="14" t="s">
        <v>6158</v>
      </c>
      <c r="B3154" s="26" t="s">
        <v>6159</v>
      </c>
      <c r="C3154" s="52"/>
      <c r="D3154" s="55">
        <f t="shared" si="49"/>
        <v>0</v>
      </c>
      <c r="E3154" s="63" t="str">
        <f>HYPERLINK("https://www.sds-group.ru/product/komplekt-zazemleniya-bezmuftovyy-6m-20-rexant-11-3001-06/", "Инфо")</f>
        <v>Инфо</v>
      </c>
      <c r="F3154" s="16" t="s">
        <v>39</v>
      </c>
      <c r="G3154" s="15"/>
      <c r="H3154" s="15"/>
      <c r="I3154" s="15"/>
      <c r="J3154" s="17">
        <v>17</v>
      </c>
      <c r="K3154" s="15"/>
      <c r="L3154" s="17">
        <v>1</v>
      </c>
      <c r="M3154" s="17">
        <v>1</v>
      </c>
      <c r="N3154" s="17">
        <v>1</v>
      </c>
      <c r="O3154" s="18">
        <v>18853.310000000001</v>
      </c>
      <c r="P3154" s="18">
        <v>15453.53</v>
      </c>
      <c r="Q3154" s="18">
        <v>16025.31</v>
      </c>
      <c r="R3154" s="18">
        <v>13135.5</v>
      </c>
      <c r="S3154" s="18">
        <v>12820.25</v>
      </c>
      <c r="T3154" s="18">
        <v>10508.4</v>
      </c>
      <c r="U3154" s="16"/>
      <c r="V3154" s="16"/>
      <c r="W3154" s="16" t="s">
        <v>40</v>
      </c>
      <c r="X3154" s="19">
        <v>16.600000000000001</v>
      </c>
      <c r="Y3154" s="20">
        <v>2.1000000000000001E-2</v>
      </c>
      <c r="Z3154" s="21">
        <v>4601004292635</v>
      </c>
    </row>
    <row r="3155" spans="1:26" ht="12" customHeight="1" outlineLevel="3" x14ac:dyDescent="0.2">
      <c r="A3155" s="14" t="s">
        <v>6160</v>
      </c>
      <c r="B3155" s="26" t="s">
        <v>6161</v>
      </c>
      <c r="C3155" s="52"/>
      <c r="D3155" s="55">
        <f t="shared" si="49"/>
        <v>0</v>
      </c>
      <c r="E3155" s="63" t="str">
        <f>HYPERLINK("https://www.sds-group.ru/product/komplekt-zazemleniya-s-zaostreniem-3m-d16-rexant-30793/", "Инфо")</f>
        <v>Инфо</v>
      </c>
      <c r="F3155" s="16" t="s">
        <v>39</v>
      </c>
      <c r="G3155" s="15"/>
      <c r="H3155" s="15"/>
      <c r="I3155" s="15"/>
      <c r="J3155" s="17">
        <v>3</v>
      </c>
      <c r="K3155" s="15"/>
      <c r="L3155" s="17">
        <v>1</v>
      </c>
      <c r="M3155" s="17">
        <v>1</v>
      </c>
      <c r="N3155" s="17">
        <v>1</v>
      </c>
      <c r="O3155" s="18">
        <v>8310.3799999999992</v>
      </c>
      <c r="P3155" s="18">
        <v>6811.79</v>
      </c>
      <c r="Q3155" s="18">
        <v>6066.58</v>
      </c>
      <c r="R3155" s="18">
        <v>4972.6099999999997</v>
      </c>
      <c r="S3155" s="18">
        <v>5651.06</v>
      </c>
      <c r="T3155" s="18">
        <v>4632.0200000000004</v>
      </c>
      <c r="U3155" s="16"/>
      <c r="V3155" s="16"/>
      <c r="W3155" s="16" t="s">
        <v>40</v>
      </c>
      <c r="X3155" s="19">
        <v>5.52</v>
      </c>
      <c r="Y3155" s="20">
        <v>2.1000000000000001E-2</v>
      </c>
      <c r="Z3155" s="21">
        <v>4601004292642</v>
      </c>
    </row>
    <row r="3156" spans="1:26" ht="12" customHeight="1" outlineLevel="3" x14ac:dyDescent="0.2">
      <c r="A3156" s="14" t="s">
        <v>6162</v>
      </c>
      <c r="B3156" s="26" t="s">
        <v>6163</v>
      </c>
      <c r="C3156" s="52"/>
      <c r="D3156" s="55">
        <f t="shared" si="49"/>
        <v>0</v>
      </c>
      <c r="E3156" s="63" t="str">
        <f>HYPERLINK("https://www.sds-group.ru/product/komplekt-zazemleniya-s-zaostreniem-3h3m-rexant-11-3000-09/", "Инфо")</f>
        <v>Инфо</v>
      </c>
      <c r="F3156" s="16" t="s">
        <v>39</v>
      </c>
      <c r="G3156" s="15"/>
      <c r="H3156" s="15"/>
      <c r="I3156" s="15"/>
      <c r="J3156" s="17">
        <v>17</v>
      </c>
      <c r="K3156" s="15"/>
      <c r="L3156" s="17">
        <v>1</v>
      </c>
      <c r="M3156" s="17">
        <v>1</v>
      </c>
      <c r="N3156" s="17">
        <v>1</v>
      </c>
      <c r="O3156" s="18">
        <v>26512.720000000001</v>
      </c>
      <c r="P3156" s="18">
        <v>21731.74</v>
      </c>
      <c r="Q3156" s="18">
        <v>19354.29</v>
      </c>
      <c r="R3156" s="18">
        <v>15864.17</v>
      </c>
      <c r="S3156" s="18">
        <v>18028.650000000001</v>
      </c>
      <c r="T3156" s="18">
        <v>14777.58</v>
      </c>
      <c r="U3156" s="16"/>
      <c r="V3156" s="16"/>
      <c r="W3156" s="16" t="s">
        <v>40</v>
      </c>
      <c r="X3156" s="19">
        <v>23</v>
      </c>
      <c r="Y3156" s="20">
        <v>4.4999999999999998E-2</v>
      </c>
      <c r="Z3156" s="21">
        <v>4601004292659</v>
      </c>
    </row>
    <row r="3157" spans="1:26" ht="12" customHeight="1" outlineLevel="3" x14ac:dyDescent="0.2">
      <c r="A3157" s="14" t="s">
        <v>6164</v>
      </c>
      <c r="B3157" s="26" t="s">
        <v>6165</v>
      </c>
      <c r="C3157" s="52"/>
      <c r="D3157" s="55">
        <f t="shared" si="49"/>
        <v>0</v>
      </c>
      <c r="E3157" s="63" t="str">
        <f>HYPERLINK("https://www.sds-group.ru/product/komplekt-zazemleniya-s-zaostreniem-6m-d16-rexant-30794/", "Инфо")</f>
        <v>Инфо</v>
      </c>
      <c r="F3157" s="16" t="s">
        <v>39</v>
      </c>
      <c r="G3157" s="15"/>
      <c r="H3157" s="15"/>
      <c r="I3157" s="15"/>
      <c r="J3157" s="17">
        <v>25</v>
      </c>
      <c r="K3157" s="15"/>
      <c r="L3157" s="17">
        <v>1</v>
      </c>
      <c r="M3157" s="17">
        <v>1</v>
      </c>
      <c r="N3157" s="17">
        <v>1</v>
      </c>
      <c r="O3157" s="18">
        <v>13158.1</v>
      </c>
      <c r="P3157" s="18">
        <v>10785.33</v>
      </c>
      <c r="Q3157" s="18">
        <v>9605.41</v>
      </c>
      <c r="R3157" s="18">
        <v>7873.29</v>
      </c>
      <c r="S3157" s="18">
        <v>8947.51</v>
      </c>
      <c r="T3157" s="18">
        <v>7334.02</v>
      </c>
      <c r="U3157" s="16"/>
      <c r="V3157" s="16"/>
      <c r="W3157" s="16" t="s">
        <v>40</v>
      </c>
      <c r="X3157" s="19">
        <v>10.65</v>
      </c>
      <c r="Y3157" s="20">
        <v>2.1000000000000001E-2</v>
      </c>
      <c r="Z3157" s="21">
        <v>4601004292611</v>
      </c>
    </row>
    <row r="3158" spans="1:26" ht="12.95" customHeight="1" x14ac:dyDescent="0.2">
      <c r="A3158" s="80" t="s">
        <v>6166</v>
      </c>
      <c r="B3158" s="80"/>
      <c r="C3158" s="81"/>
      <c r="D3158" s="56"/>
      <c r="E3158" s="66"/>
      <c r="F3158" s="11"/>
      <c r="G3158" s="11"/>
      <c r="H3158" s="11"/>
      <c r="I3158" s="11"/>
      <c r="J3158" s="11"/>
      <c r="K3158" s="11"/>
      <c r="L3158" s="11"/>
      <c r="M3158" s="11"/>
      <c r="N3158" s="11"/>
      <c r="O3158" s="11"/>
      <c r="P3158" s="11"/>
      <c r="Q3158" s="11"/>
      <c r="R3158" s="11"/>
      <c r="S3158" s="11"/>
      <c r="T3158" s="11"/>
      <c r="U3158" s="11"/>
      <c r="V3158" s="11"/>
      <c r="W3158" s="11"/>
      <c r="X3158" s="11"/>
      <c r="Y3158" s="11"/>
      <c r="Z3158" s="11"/>
    </row>
    <row r="3159" spans="1:26" ht="12.95" customHeight="1" outlineLevel="1" x14ac:dyDescent="0.2">
      <c r="A3159" s="78" t="s">
        <v>6167</v>
      </c>
      <c r="B3159" s="78"/>
      <c r="C3159" s="79"/>
      <c r="D3159" s="57"/>
      <c r="E3159" s="67"/>
      <c r="F3159" s="12"/>
      <c r="G3159" s="12"/>
      <c r="H3159" s="12"/>
      <c r="I3159" s="12"/>
      <c r="J3159" s="12"/>
      <c r="K3159" s="12"/>
      <c r="L3159" s="12"/>
      <c r="M3159" s="12"/>
      <c r="N3159" s="12"/>
      <c r="O3159" s="12"/>
      <c r="P3159" s="12"/>
      <c r="Q3159" s="12"/>
      <c r="R3159" s="12"/>
      <c r="S3159" s="12"/>
      <c r="T3159" s="12"/>
      <c r="U3159" s="12"/>
      <c r="V3159" s="12"/>
      <c r="W3159" s="12"/>
      <c r="X3159" s="12"/>
      <c r="Y3159" s="12"/>
      <c r="Z3159" s="12"/>
    </row>
    <row r="3160" spans="1:26" ht="12.95" customHeight="1" outlineLevel="2" x14ac:dyDescent="0.2">
      <c r="A3160" s="76" t="s">
        <v>6168</v>
      </c>
      <c r="B3160" s="76"/>
      <c r="C3160" s="77"/>
      <c r="D3160" s="58"/>
      <c r="E3160" s="68"/>
      <c r="F3160" s="13"/>
      <c r="G3160" s="13"/>
      <c r="H3160" s="13"/>
      <c r="I3160" s="13"/>
      <c r="J3160" s="13"/>
      <c r="K3160" s="13"/>
      <c r="L3160" s="13"/>
      <c r="M3160" s="13"/>
      <c r="N3160" s="13"/>
      <c r="O3160" s="13"/>
      <c r="P3160" s="13"/>
      <c r="Q3160" s="13"/>
      <c r="R3160" s="13"/>
      <c r="S3160" s="13"/>
      <c r="T3160" s="13"/>
      <c r="U3160" s="13"/>
      <c r="V3160" s="13"/>
      <c r="W3160" s="13"/>
      <c r="X3160" s="13"/>
      <c r="Y3160" s="13"/>
      <c r="Z3160" s="13"/>
    </row>
    <row r="3161" spans="1:26" ht="12.95" customHeight="1" outlineLevel="3" x14ac:dyDescent="0.2">
      <c r="A3161" s="76" t="s">
        <v>6169</v>
      </c>
      <c r="B3161" s="76"/>
      <c r="C3161" s="77"/>
      <c r="D3161" s="58"/>
      <c r="E3161" s="68"/>
      <c r="F3161" s="13"/>
      <c r="G3161" s="13"/>
      <c r="H3161" s="13"/>
      <c r="I3161" s="13"/>
      <c r="J3161" s="13"/>
      <c r="K3161" s="13"/>
      <c r="L3161" s="13"/>
      <c r="M3161" s="13"/>
      <c r="N3161" s="13"/>
      <c r="O3161" s="13"/>
      <c r="P3161" s="13"/>
      <c r="Q3161" s="13"/>
      <c r="R3161" s="13"/>
      <c r="S3161" s="13"/>
      <c r="T3161" s="13"/>
      <c r="U3161" s="13"/>
      <c r="V3161" s="13"/>
      <c r="W3161" s="13"/>
      <c r="X3161" s="13"/>
      <c r="Y3161" s="13"/>
      <c r="Z3161" s="13"/>
    </row>
    <row r="3162" spans="1:26" ht="12" customHeight="1" outlineLevel="4" x14ac:dyDescent="0.2">
      <c r="A3162" s="32" t="s">
        <v>6170</v>
      </c>
      <c r="B3162" s="74" t="s">
        <v>6171</v>
      </c>
      <c r="C3162" s="50"/>
      <c r="D3162" s="53">
        <f t="shared" si="49"/>
        <v>0</v>
      </c>
      <c r="E3162" s="60" t="str">
        <f>HYPERLINK("https://www.sds-group.ru/product/otvertka-krestovaya-ph0h150mm-dvuhkomponentnaya-rukoyatka-rexant-12-6403/", "Инфо")</f>
        <v>Инфо</v>
      </c>
      <c r="F3162" s="34" t="s">
        <v>39</v>
      </c>
      <c r="G3162" s="33"/>
      <c r="H3162" s="33" t="s">
        <v>40</v>
      </c>
      <c r="I3162" s="33"/>
      <c r="J3162" s="34" t="s">
        <v>100</v>
      </c>
      <c r="K3162" s="33" t="s">
        <v>1587</v>
      </c>
      <c r="L3162" s="35">
        <v>1</v>
      </c>
      <c r="M3162" s="35">
        <v>480</v>
      </c>
      <c r="N3162" s="35">
        <v>1</v>
      </c>
      <c r="O3162" s="36">
        <v>126.13</v>
      </c>
      <c r="P3162" s="36">
        <v>103.39</v>
      </c>
      <c r="Q3162" s="36">
        <v>107.21</v>
      </c>
      <c r="R3162" s="36">
        <v>87.88</v>
      </c>
      <c r="S3162" s="36">
        <v>85.77</v>
      </c>
      <c r="T3162" s="36">
        <v>70.3</v>
      </c>
      <c r="U3162" s="34"/>
      <c r="V3162" s="34"/>
      <c r="W3162" s="34" t="s">
        <v>40</v>
      </c>
      <c r="X3162" s="37">
        <v>4.5999999999999999E-2</v>
      </c>
      <c r="Y3162" s="38">
        <v>2.5399999999999999E-4</v>
      </c>
      <c r="Z3162" s="21">
        <v>4601004153486</v>
      </c>
    </row>
    <row r="3163" spans="1:26" ht="12" customHeight="1" outlineLevel="4" x14ac:dyDescent="0.2">
      <c r="A3163" s="14" t="s">
        <v>6172</v>
      </c>
      <c r="B3163" s="26" t="s">
        <v>6173</v>
      </c>
      <c r="C3163" s="52"/>
      <c r="D3163" s="55">
        <f t="shared" si="49"/>
        <v>0</v>
      </c>
      <c r="E3163" s="63" t="str">
        <f>HYPERLINK("https://www.sds-group.ru/product/otvertka-krestovaya-ph0h75mm-dvuhkomponentnaya-rukoyatka-rexant-12-4726/", "Инфо")</f>
        <v>Инфо</v>
      </c>
      <c r="F3163" s="16" t="s">
        <v>39</v>
      </c>
      <c r="G3163" s="15"/>
      <c r="H3163" s="15"/>
      <c r="I3163" s="15"/>
      <c r="J3163" s="22">
        <v>2604</v>
      </c>
      <c r="K3163" s="15" t="s">
        <v>6174</v>
      </c>
      <c r="L3163" s="17">
        <v>12</v>
      </c>
      <c r="M3163" s="17">
        <v>480</v>
      </c>
      <c r="N3163" s="17">
        <v>12</v>
      </c>
      <c r="O3163" s="18">
        <v>87.32</v>
      </c>
      <c r="P3163" s="18">
        <v>71.569999999999993</v>
      </c>
      <c r="Q3163" s="18">
        <v>74.22</v>
      </c>
      <c r="R3163" s="18">
        <v>60.84</v>
      </c>
      <c r="S3163" s="18">
        <v>59.38</v>
      </c>
      <c r="T3163" s="18">
        <v>48.67</v>
      </c>
      <c r="U3163" s="16"/>
      <c r="V3163" s="16"/>
      <c r="W3163" s="16" t="s">
        <v>40</v>
      </c>
      <c r="X3163" s="19">
        <v>4.1000000000000002E-2</v>
      </c>
      <c r="Y3163" s="20">
        <v>2.13E-4</v>
      </c>
      <c r="Z3163" s="21">
        <v>4601004027077</v>
      </c>
    </row>
    <row r="3164" spans="1:26" ht="12" customHeight="1" outlineLevel="4" x14ac:dyDescent="0.2">
      <c r="A3164" s="14" t="s">
        <v>6175</v>
      </c>
      <c r="B3164" s="26" t="s">
        <v>6176</v>
      </c>
      <c r="C3164" s="52"/>
      <c r="D3164" s="55">
        <f t="shared" si="49"/>
        <v>0</v>
      </c>
      <c r="E3164" s="63" t="str">
        <f>HYPERLINK("https://www.sds-group.ru/product/otvertka-krestovaya-ph0h75mm-trehkomponentnaya-rukoyatka-stal-s2-rexant-12-4726-1/", "Инфо")</f>
        <v>Инфо</v>
      </c>
      <c r="F3164" s="16" t="s">
        <v>39</v>
      </c>
      <c r="G3164" s="15"/>
      <c r="H3164" s="15"/>
      <c r="I3164" s="15"/>
      <c r="J3164" s="22">
        <v>1018</v>
      </c>
      <c r="K3164" s="15" t="s">
        <v>6174</v>
      </c>
      <c r="L3164" s="17">
        <v>12</v>
      </c>
      <c r="M3164" s="17">
        <v>480</v>
      </c>
      <c r="N3164" s="17">
        <v>12</v>
      </c>
      <c r="O3164" s="18">
        <v>106.72</v>
      </c>
      <c r="P3164" s="18">
        <v>87.48</v>
      </c>
      <c r="Q3164" s="18">
        <v>90.71</v>
      </c>
      <c r="R3164" s="18">
        <v>74.349999999999994</v>
      </c>
      <c r="S3164" s="18">
        <v>72.569999999999993</v>
      </c>
      <c r="T3164" s="18">
        <v>59.48</v>
      </c>
      <c r="U3164" s="16"/>
      <c r="V3164" s="16"/>
      <c r="W3164" s="16" t="s">
        <v>40</v>
      </c>
      <c r="X3164" s="19">
        <v>0.04</v>
      </c>
      <c r="Y3164" s="20">
        <v>2.12E-4</v>
      </c>
      <c r="Z3164" s="21">
        <v>4601004153677</v>
      </c>
    </row>
    <row r="3165" spans="1:26" ht="12" customHeight="1" outlineLevel="4" x14ac:dyDescent="0.2">
      <c r="A3165" s="14" t="s">
        <v>6177</v>
      </c>
      <c r="B3165" s="26" t="s">
        <v>6178</v>
      </c>
      <c r="C3165" s="52"/>
      <c r="D3165" s="55">
        <f t="shared" si="49"/>
        <v>0</v>
      </c>
      <c r="E3165" s="63" t="str">
        <f>HYPERLINK("https://www.sds-group.ru/product/otvertka-krestovaya-ph1h100mm-dvuhkomponentnaya-rukoyatka-rexant-12-4727/", "Инфо")</f>
        <v>Инфо</v>
      </c>
      <c r="F3165" s="16" t="s">
        <v>39</v>
      </c>
      <c r="G3165" s="15"/>
      <c r="H3165" s="15"/>
      <c r="I3165" s="15"/>
      <c r="J3165" s="17">
        <v>7</v>
      </c>
      <c r="K3165" s="15" t="s">
        <v>1587</v>
      </c>
      <c r="L3165" s="17">
        <v>12</v>
      </c>
      <c r="M3165" s="17">
        <v>360</v>
      </c>
      <c r="N3165" s="17">
        <v>12</v>
      </c>
      <c r="O3165" s="18">
        <v>123.98</v>
      </c>
      <c r="P3165" s="18">
        <v>101.62</v>
      </c>
      <c r="Q3165" s="18">
        <v>105.38</v>
      </c>
      <c r="R3165" s="18">
        <v>86.38</v>
      </c>
      <c r="S3165" s="18">
        <v>84.31</v>
      </c>
      <c r="T3165" s="18">
        <v>69.11</v>
      </c>
      <c r="U3165" s="16"/>
      <c r="V3165" s="16"/>
      <c r="W3165" s="16" t="s">
        <v>40</v>
      </c>
      <c r="X3165" s="19">
        <v>7.4999999999999997E-2</v>
      </c>
      <c r="Y3165" s="20">
        <v>2.5099999999999998E-4</v>
      </c>
      <c r="Z3165" s="21">
        <v>4601004027084</v>
      </c>
    </row>
    <row r="3166" spans="1:26" ht="12" customHeight="1" outlineLevel="4" x14ac:dyDescent="0.2">
      <c r="A3166" s="14" t="s">
        <v>6179</v>
      </c>
      <c r="B3166" s="26" t="s">
        <v>6180</v>
      </c>
      <c r="C3166" s="52"/>
      <c r="D3166" s="55">
        <f t="shared" si="49"/>
        <v>0</v>
      </c>
      <c r="E3166" s="63" t="str">
        <f>HYPERLINK("https://www.sds-group.ru/product/otvertka-krestovaya-ph1h100mm-trehkomponentnaya-rukoyatka-stal-s2-rexant-12-4727-1/", "Инфо")</f>
        <v>Инфо</v>
      </c>
      <c r="F3166" s="16" t="s">
        <v>39</v>
      </c>
      <c r="G3166" s="15"/>
      <c r="H3166" s="15"/>
      <c r="I3166" s="15"/>
      <c r="J3166" s="22">
        <v>1108</v>
      </c>
      <c r="K3166" s="15" t="s">
        <v>6181</v>
      </c>
      <c r="L3166" s="17">
        <v>12</v>
      </c>
      <c r="M3166" s="17">
        <v>360</v>
      </c>
      <c r="N3166" s="17">
        <v>12</v>
      </c>
      <c r="O3166" s="18">
        <v>168.17</v>
      </c>
      <c r="P3166" s="18">
        <v>137.84</v>
      </c>
      <c r="Q3166" s="18">
        <v>142.94</v>
      </c>
      <c r="R3166" s="18">
        <v>117.16</v>
      </c>
      <c r="S3166" s="18">
        <v>114.36</v>
      </c>
      <c r="T3166" s="18">
        <v>93.74</v>
      </c>
      <c r="U3166" s="16"/>
      <c r="V3166" s="16"/>
      <c r="W3166" s="16" t="s">
        <v>40</v>
      </c>
      <c r="X3166" s="19">
        <v>8.1000000000000003E-2</v>
      </c>
      <c r="Y3166" s="20">
        <v>2.5099999999999998E-4</v>
      </c>
      <c r="Z3166" s="21">
        <v>4601004153684</v>
      </c>
    </row>
    <row r="3167" spans="1:26" ht="12" customHeight="1" outlineLevel="4" x14ac:dyDescent="0.2">
      <c r="A3167" s="14" t="s">
        <v>6182</v>
      </c>
      <c r="B3167" s="26" t="s">
        <v>6183</v>
      </c>
      <c r="C3167" s="52"/>
      <c r="D3167" s="55">
        <f t="shared" si="49"/>
        <v>0</v>
      </c>
      <c r="E3167" s="63" t="str">
        <f>HYPERLINK("https://www.sds-group.ru/product/otvertka-krestovaya-ph1h200mm-dvuhkomponentnaya-rukoyatka-rexant-12-6406/", "Инфо")</f>
        <v>Инфо</v>
      </c>
      <c r="F3167" s="16" t="s">
        <v>39</v>
      </c>
      <c r="G3167" s="15"/>
      <c r="H3167" s="15"/>
      <c r="I3167" s="15"/>
      <c r="J3167" s="16" t="s">
        <v>100</v>
      </c>
      <c r="K3167" s="15" t="s">
        <v>1587</v>
      </c>
      <c r="L3167" s="17">
        <v>12</v>
      </c>
      <c r="M3167" s="17">
        <v>360</v>
      </c>
      <c r="N3167" s="17">
        <v>12</v>
      </c>
      <c r="O3167" s="18">
        <v>232.85</v>
      </c>
      <c r="P3167" s="18">
        <v>190.86</v>
      </c>
      <c r="Q3167" s="18">
        <v>163</v>
      </c>
      <c r="R3167" s="18">
        <v>133.61000000000001</v>
      </c>
      <c r="S3167" s="18">
        <v>158.34</v>
      </c>
      <c r="T3167" s="18">
        <v>129.79</v>
      </c>
      <c r="U3167" s="16"/>
      <c r="V3167" s="16"/>
      <c r="W3167" s="16"/>
      <c r="X3167" s="19">
        <v>9.2999999999999999E-2</v>
      </c>
      <c r="Y3167" s="20">
        <v>3.3500000000000001E-4</v>
      </c>
      <c r="Z3167" s="21">
        <v>4601004153523</v>
      </c>
    </row>
    <row r="3168" spans="1:26" ht="12" customHeight="1" outlineLevel="4" x14ac:dyDescent="0.2">
      <c r="A3168" s="14" t="s">
        <v>6184</v>
      </c>
      <c r="B3168" s="26" t="s">
        <v>6185</v>
      </c>
      <c r="C3168" s="52"/>
      <c r="D3168" s="55">
        <f t="shared" si="49"/>
        <v>0</v>
      </c>
      <c r="E3168" s="63" t="str">
        <f>HYPERLINK("https://www.sds-group.ru/product/otvertka-krestovaya-ph2h100mm-dvuhkomponentnaya-rukoyatka-rexant-12-6407/", "Инфо")</f>
        <v>Инфо</v>
      </c>
      <c r="F3168" s="16" t="s">
        <v>39</v>
      </c>
      <c r="G3168" s="15"/>
      <c r="H3168" s="15"/>
      <c r="I3168" s="15"/>
      <c r="J3168" s="16" t="s">
        <v>100</v>
      </c>
      <c r="K3168" s="15" t="s">
        <v>1587</v>
      </c>
      <c r="L3168" s="17">
        <v>12</v>
      </c>
      <c r="M3168" s="17">
        <v>240</v>
      </c>
      <c r="N3168" s="17">
        <v>12</v>
      </c>
      <c r="O3168" s="18">
        <v>194.04</v>
      </c>
      <c r="P3168" s="18">
        <v>159.05000000000001</v>
      </c>
      <c r="Q3168" s="18">
        <v>164.93</v>
      </c>
      <c r="R3168" s="18">
        <v>135.19</v>
      </c>
      <c r="S3168" s="18">
        <v>131.94999999999999</v>
      </c>
      <c r="T3168" s="18">
        <v>108.16</v>
      </c>
      <c r="U3168" s="16"/>
      <c r="V3168" s="16"/>
      <c r="W3168" s="16" t="s">
        <v>40</v>
      </c>
      <c r="X3168" s="19">
        <v>0.10299999999999999</v>
      </c>
      <c r="Y3168" s="20">
        <v>2.99E-4</v>
      </c>
      <c r="Z3168" s="21">
        <v>4601004153530</v>
      </c>
    </row>
    <row r="3169" spans="1:26" ht="12" customHeight="1" outlineLevel="4" x14ac:dyDescent="0.2">
      <c r="A3169" s="14" t="s">
        <v>6186</v>
      </c>
      <c r="B3169" s="26" t="s">
        <v>6187</v>
      </c>
      <c r="C3169" s="52"/>
      <c r="D3169" s="55">
        <f t="shared" si="49"/>
        <v>0</v>
      </c>
      <c r="E3169" s="63" t="str">
        <f>HYPERLINK("https://www.sds-group.ru/product/otvertka-krestovaya-ph2h125mm-dvuhkomponentnaya-rukoyatka-rexant-12-4728/", "Инфо")</f>
        <v>Инфо</v>
      </c>
      <c r="F3169" s="16" t="s">
        <v>39</v>
      </c>
      <c r="G3169" s="15"/>
      <c r="H3169" s="15"/>
      <c r="I3169" s="15"/>
      <c r="J3169" s="17">
        <v>3</v>
      </c>
      <c r="K3169" s="15" t="s">
        <v>1587</v>
      </c>
      <c r="L3169" s="17">
        <v>12</v>
      </c>
      <c r="M3169" s="17">
        <v>240</v>
      </c>
      <c r="N3169" s="17">
        <v>12</v>
      </c>
      <c r="O3169" s="18">
        <v>159.55000000000001</v>
      </c>
      <c r="P3169" s="18">
        <v>130.78</v>
      </c>
      <c r="Q3169" s="18">
        <v>135.62</v>
      </c>
      <c r="R3169" s="18">
        <v>111.16</v>
      </c>
      <c r="S3169" s="18">
        <v>108.49</v>
      </c>
      <c r="T3169" s="18">
        <v>88.93</v>
      </c>
      <c r="U3169" s="16"/>
      <c r="V3169" s="16"/>
      <c r="W3169" s="16" t="s">
        <v>40</v>
      </c>
      <c r="X3169" s="19">
        <v>0.107</v>
      </c>
      <c r="Y3169" s="20">
        <v>3.01E-4</v>
      </c>
      <c r="Z3169" s="21">
        <v>4601004027091</v>
      </c>
    </row>
    <row r="3170" spans="1:26" ht="12" customHeight="1" outlineLevel="4" x14ac:dyDescent="0.2">
      <c r="A3170" s="14" t="s">
        <v>6188</v>
      </c>
      <c r="B3170" s="26" t="s">
        <v>6189</v>
      </c>
      <c r="C3170" s="52"/>
      <c r="D3170" s="55">
        <f t="shared" si="49"/>
        <v>0</v>
      </c>
      <c r="E3170" s="63" t="str">
        <f>HYPERLINK("https://www.sds-group.ru/product/otvertka-krestovaya-ph2h125mm-trehkomponentnaya-rukoyatka-stal-s2-rexant-12-4728-1/", "Инфо")</f>
        <v>Инфо</v>
      </c>
      <c r="F3170" s="16" t="s">
        <v>39</v>
      </c>
      <c r="G3170" s="15"/>
      <c r="H3170" s="15"/>
      <c r="I3170" s="15"/>
      <c r="J3170" s="17">
        <v>179</v>
      </c>
      <c r="K3170" s="15" t="s">
        <v>1587</v>
      </c>
      <c r="L3170" s="17">
        <v>12</v>
      </c>
      <c r="M3170" s="17">
        <v>240</v>
      </c>
      <c r="N3170" s="17">
        <v>12</v>
      </c>
      <c r="O3170" s="18">
        <v>194.04</v>
      </c>
      <c r="P3170" s="18">
        <v>159.05000000000001</v>
      </c>
      <c r="Q3170" s="18">
        <v>164.93</v>
      </c>
      <c r="R3170" s="18">
        <v>135.19</v>
      </c>
      <c r="S3170" s="18">
        <v>131.94999999999999</v>
      </c>
      <c r="T3170" s="18">
        <v>108.16</v>
      </c>
      <c r="U3170" s="16"/>
      <c r="V3170" s="16"/>
      <c r="W3170" s="16" t="s">
        <v>40</v>
      </c>
      <c r="X3170" s="19">
        <v>0.112</v>
      </c>
      <c r="Y3170" s="20">
        <v>2.9599999999999998E-4</v>
      </c>
      <c r="Z3170" s="21">
        <v>4601004153691</v>
      </c>
    </row>
    <row r="3171" spans="1:26" ht="12" customHeight="1" outlineLevel="4" x14ac:dyDescent="0.2">
      <c r="A3171" s="14" t="s">
        <v>6190</v>
      </c>
      <c r="B3171" s="26" t="s">
        <v>6191</v>
      </c>
      <c r="C3171" s="52"/>
      <c r="D3171" s="55">
        <f t="shared" si="49"/>
        <v>0</v>
      </c>
      <c r="E3171" s="63" t="str">
        <f>HYPERLINK("https://www.sds-group.ru/product/otvertka-krestovaya-ph2h150mm-dvuhkomponentnaya-rukoyatka-rexant-12-6408/", "Инфо")</f>
        <v>Инфо</v>
      </c>
      <c r="F3171" s="16" t="s">
        <v>39</v>
      </c>
      <c r="G3171" s="15"/>
      <c r="H3171" s="15"/>
      <c r="I3171" s="15"/>
      <c r="J3171" s="17">
        <v>283</v>
      </c>
      <c r="K3171" s="15" t="s">
        <v>6181</v>
      </c>
      <c r="L3171" s="17">
        <v>12</v>
      </c>
      <c r="M3171" s="17">
        <v>240</v>
      </c>
      <c r="N3171" s="17">
        <v>12</v>
      </c>
      <c r="O3171" s="18">
        <v>194.04</v>
      </c>
      <c r="P3171" s="18">
        <v>159.05000000000001</v>
      </c>
      <c r="Q3171" s="18">
        <v>164.93</v>
      </c>
      <c r="R3171" s="18">
        <v>135.19</v>
      </c>
      <c r="S3171" s="18">
        <v>131.94999999999999</v>
      </c>
      <c r="T3171" s="18">
        <v>108.16</v>
      </c>
      <c r="U3171" s="16"/>
      <c r="V3171" s="16"/>
      <c r="W3171" s="16" t="s">
        <v>40</v>
      </c>
      <c r="X3171" s="19">
        <v>0.113</v>
      </c>
      <c r="Y3171" s="20">
        <v>3.4000000000000002E-4</v>
      </c>
      <c r="Z3171" s="21">
        <v>4601004153554</v>
      </c>
    </row>
    <row r="3172" spans="1:26" ht="12" customHeight="1" outlineLevel="4" x14ac:dyDescent="0.2">
      <c r="A3172" s="14" t="s">
        <v>6192</v>
      </c>
      <c r="B3172" s="26" t="s">
        <v>6193</v>
      </c>
      <c r="C3172" s="52"/>
      <c r="D3172" s="55">
        <f t="shared" si="49"/>
        <v>0</v>
      </c>
      <c r="E3172" s="63" t="str">
        <f>HYPERLINK("https://www.sds-group.ru/product/otvertka-krestovaya-ph2h200mm-dvuhkomponentnaya-rukoyatka-rexant-12-6409/", "Инфо")</f>
        <v>Инфо</v>
      </c>
      <c r="F3172" s="16" t="s">
        <v>39</v>
      </c>
      <c r="G3172" s="15"/>
      <c r="H3172" s="15"/>
      <c r="I3172" s="15"/>
      <c r="J3172" s="17">
        <v>80</v>
      </c>
      <c r="K3172" s="15" t="s">
        <v>1587</v>
      </c>
      <c r="L3172" s="17">
        <v>12</v>
      </c>
      <c r="M3172" s="17">
        <v>240</v>
      </c>
      <c r="N3172" s="17">
        <v>12</v>
      </c>
      <c r="O3172" s="18">
        <v>232.85</v>
      </c>
      <c r="P3172" s="18">
        <v>190.86</v>
      </c>
      <c r="Q3172" s="18">
        <v>197.92</v>
      </c>
      <c r="R3172" s="18">
        <v>162.22999999999999</v>
      </c>
      <c r="S3172" s="18">
        <v>158.34</v>
      </c>
      <c r="T3172" s="18">
        <v>129.79</v>
      </c>
      <c r="U3172" s="16"/>
      <c r="V3172" s="16"/>
      <c r="W3172" s="16" t="s">
        <v>40</v>
      </c>
      <c r="X3172" s="19">
        <v>0.126</v>
      </c>
      <c r="Y3172" s="20">
        <v>3.8499999999999998E-4</v>
      </c>
      <c r="Z3172" s="21">
        <v>4601004153561</v>
      </c>
    </row>
    <row r="3173" spans="1:26" ht="12" customHeight="1" outlineLevel="4" x14ac:dyDescent="0.2">
      <c r="A3173" s="14" t="s">
        <v>6194</v>
      </c>
      <c r="B3173" s="26" t="s">
        <v>6195</v>
      </c>
      <c r="C3173" s="52"/>
      <c r="D3173" s="55">
        <f t="shared" si="49"/>
        <v>0</v>
      </c>
      <c r="E3173" s="63" t="str">
        <f>HYPERLINK("https://www.sds-group.ru/product/otvertka-krestovaya-ph2h40mm-dvuhkomponentnaya-rukoyatka-rexant-12-4730/", "Инфо")</f>
        <v>Инфо</v>
      </c>
      <c r="F3173" s="16" t="s">
        <v>39</v>
      </c>
      <c r="G3173" s="15"/>
      <c r="H3173" s="15"/>
      <c r="I3173" s="15"/>
      <c r="J3173" s="22">
        <v>4045</v>
      </c>
      <c r="K3173" s="15" t="s">
        <v>1587</v>
      </c>
      <c r="L3173" s="17">
        <v>12</v>
      </c>
      <c r="M3173" s="17">
        <v>480</v>
      </c>
      <c r="N3173" s="17">
        <v>12</v>
      </c>
      <c r="O3173" s="18">
        <v>116.43</v>
      </c>
      <c r="P3173" s="18">
        <v>95.43</v>
      </c>
      <c r="Q3173" s="18">
        <v>81.5</v>
      </c>
      <c r="R3173" s="18">
        <v>66.8</v>
      </c>
      <c r="S3173" s="18">
        <v>79.17</v>
      </c>
      <c r="T3173" s="18">
        <v>64.89</v>
      </c>
      <c r="U3173" s="16"/>
      <c r="V3173" s="16"/>
      <c r="W3173" s="16"/>
      <c r="X3173" s="19">
        <v>5.8000000000000003E-2</v>
      </c>
      <c r="Y3173" s="20">
        <v>2.5500000000000002E-4</v>
      </c>
      <c r="Z3173" s="21">
        <v>4601004027114</v>
      </c>
    </row>
    <row r="3174" spans="1:26" ht="12" customHeight="1" outlineLevel="4" x14ac:dyDescent="0.2">
      <c r="A3174" s="14" t="s">
        <v>6196</v>
      </c>
      <c r="B3174" s="26" t="s">
        <v>6197</v>
      </c>
      <c r="C3174" s="52"/>
      <c r="D3174" s="55">
        <f t="shared" si="49"/>
        <v>0</v>
      </c>
      <c r="E3174" s="63" t="str">
        <f>HYPERLINK("https://www.sds-group.ru/product/otvertka-krestovaya-ph3h150mm-dvuhkomponentnaya-rukoyatka-rexant-12-4729/", "Инфо")</f>
        <v>Инфо</v>
      </c>
      <c r="F3174" s="16" t="s">
        <v>39</v>
      </c>
      <c r="G3174" s="15"/>
      <c r="H3174" s="15"/>
      <c r="I3174" s="15"/>
      <c r="J3174" s="17">
        <v>161</v>
      </c>
      <c r="K3174" s="15" t="s">
        <v>1587</v>
      </c>
      <c r="L3174" s="17">
        <v>12</v>
      </c>
      <c r="M3174" s="17">
        <v>144</v>
      </c>
      <c r="N3174" s="17">
        <v>12</v>
      </c>
      <c r="O3174" s="18">
        <v>271.66000000000003</v>
      </c>
      <c r="P3174" s="18">
        <v>222.67</v>
      </c>
      <c r="Q3174" s="18">
        <v>230.91</v>
      </c>
      <c r="R3174" s="18">
        <v>189.27</v>
      </c>
      <c r="S3174" s="18">
        <v>184.73</v>
      </c>
      <c r="T3174" s="18">
        <v>151.41999999999999</v>
      </c>
      <c r="U3174" s="16"/>
      <c r="V3174" s="16"/>
      <c r="W3174" s="16" t="s">
        <v>40</v>
      </c>
      <c r="X3174" s="19">
        <v>0.156</v>
      </c>
      <c r="Y3174" s="20">
        <v>3.5199999999999999E-4</v>
      </c>
      <c r="Z3174" s="21">
        <v>4601004027107</v>
      </c>
    </row>
    <row r="3175" spans="1:26" ht="12" customHeight="1" outlineLevel="4" x14ac:dyDescent="0.2">
      <c r="A3175" s="32" t="s">
        <v>6198</v>
      </c>
      <c r="B3175" s="74" t="s">
        <v>6199</v>
      </c>
      <c r="C3175" s="50"/>
      <c r="D3175" s="53">
        <f t="shared" si="49"/>
        <v>0</v>
      </c>
      <c r="E3175" s="60" t="str">
        <f>HYPERLINK("https://www.sds-group.ru/product/otvertka-krestovaya-ph3h250mm-dvuhkomponentnaya-rukoyatka-rexant-12-6411/", "Инфо")</f>
        <v>Инфо</v>
      </c>
      <c r="F3175" s="34" t="s">
        <v>39</v>
      </c>
      <c r="G3175" s="33"/>
      <c r="H3175" s="33" t="s">
        <v>40</v>
      </c>
      <c r="I3175" s="33"/>
      <c r="J3175" s="35">
        <v>141</v>
      </c>
      <c r="K3175" s="33"/>
      <c r="L3175" s="35">
        <v>1</v>
      </c>
      <c r="M3175" s="35">
        <v>144</v>
      </c>
      <c r="N3175" s="35">
        <v>1</v>
      </c>
      <c r="O3175" s="36">
        <v>377.31</v>
      </c>
      <c r="P3175" s="36">
        <v>309.27</v>
      </c>
      <c r="Q3175" s="36">
        <v>264.12</v>
      </c>
      <c r="R3175" s="36">
        <v>216.49</v>
      </c>
      <c r="S3175" s="36">
        <v>256.57</v>
      </c>
      <c r="T3175" s="36">
        <v>210.3</v>
      </c>
      <c r="U3175" s="34"/>
      <c r="V3175" s="34"/>
      <c r="W3175" s="34"/>
      <c r="X3175" s="37">
        <v>0.21299999999999999</v>
      </c>
      <c r="Y3175" s="38">
        <v>4.3899999999999999E-4</v>
      </c>
      <c r="Z3175" s="21">
        <v>4601004153592</v>
      </c>
    </row>
    <row r="3176" spans="1:26" ht="12" customHeight="1" outlineLevel="4" x14ac:dyDescent="0.2">
      <c r="A3176" s="32" t="s">
        <v>6200</v>
      </c>
      <c r="B3176" s="74" t="s">
        <v>6201</v>
      </c>
      <c r="C3176" s="50"/>
      <c r="D3176" s="53">
        <f t="shared" si="49"/>
        <v>0</v>
      </c>
      <c r="E3176" s="60" t="str">
        <f>HYPERLINK("https://www.sds-group.ru/product/otvertka-krestovaya-pz1h75mm-dvuhkomponentnaya-rukoyatka-rexant-12-6414/", "Инфо")</f>
        <v>Инфо</v>
      </c>
      <c r="F3176" s="34" t="s">
        <v>39</v>
      </c>
      <c r="G3176" s="33"/>
      <c r="H3176" s="33" t="s">
        <v>40</v>
      </c>
      <c r="I3176" s="33"/>
      <c r="J3176" s="35">
        <v>55</v>
      </c>
      <c r="K3176" s="33"/>
      <c r="L3176" s="35">
        <v>1</v>
      </c>
      <c r="M3176" s="35">
        <v>360</v>
      </c>
      <c r="N3176" s="35">
        <v>1</v>
      </c>
      <c r="O3176" s="36">
        <v>145.54</v>
      </c>
      <c r="P3176" s="36">
        <v>119.3</v>
      </c>
      <c r="Q3176" s="36">
        <v>123.71</v>
      </c>
      <c r="R3176" s="36">
        <v>101.4</v>
      </c>
      <c r="S3176" s="36">
        <v>98.97</v>
      </c>
      <c r="T3176" s="36">
        <v>81.12</v>
      </c>
      <c r="U3176" s="34"/>
      <c r="V3176" s="34"/>
      <c r="W3176" s="34" t="s">
        <v>40</v>
      </c>
      <c r="X3176" s="37">
        <v>6.9000000000000006E-2</v>
      </c>
      <c r="Y3176" s="38">
        <v>2.0900000000000001E-4</v>
      </c>
      <c r="Z3176" s="21">
        <v>4601004153639</v>
      </c>
    </row>
    <row r="3177" spans="1:26" ht="12" customHeight="1" outlineLevel="4" x14ac:dyDescent="0.2">
      <c r="A3177" s="14" t="s">
        <v>6202</v>
      </c>
      <c r="B3177" s="26" t="s">
        <v>6203</v>
      </c>
      <c r="C3177" s="52"/>
      <c r="D3177" s="55">
        <f t="shared" si="49"/>
        <v>0</v>
      </c>
      <c r="E3177" s="63" t="str">
        <f>HYPERLINK("https://www.sds-group.ru/product/otvertka-krestovaya-pz1h75mm-trehkomponentnaya-rukoyatka-stal-s2-rexant-12-6414-1/", "Инфо")</f>
        <v>Инфо</v>
      </c>
      <c r="F3177" s="16" t="s">
        <v>39</v>
      </c>
      <c r="G3177" s="15"/>
      <c r="H3177" s="15"/>
      <c r="I3177" s="15"/>
      <c r="J3177" s="17">
        <v>302</v>
      </c>
      <c r="K3177" s="15" t="s">
        <v>6174</v>
      </c>
      <c r="L3177" s="17">
        <v>12</v>
      </c>
      <c r="M3177" s="17">
        <v>360</v>
      </c>
      <c r="N3177" s="17">
        <v>12</v>
      </c>
      <c r="O3177" s="18">
        <v>223.15</v>
      </c>
      <c r="P3177" s="18">
        <v>182.91</v>
      </c>
      <c r="Q3177" s="18">
        <v>189.68</v>
      </c>
      <c r="R3177" s="18">
        <v>155.47999999999999</v>
      </c>
      <c r="S3177" s="18">
        <v>151.74</v>
      </c>
      <c r="T3177" s="18">
        <v>124.38</v>
      </c>
      <c r="U3177" s="16"/>
      <c r="V3177" s="16"/>
      <c r="W3177" s="16" t="s">
        <v>40</v>
      </c>
      <c r="X3177" s="19">
        <v>7.8E-2</v>
      </c>
      <c r="Y3177" s="20">
        <v>2.4600000000000002E-4</v>
      </c>
      <c r="Z3177" s="21">
        <v>4601004153714</v>
      </c>
    </row>
    <row r="3178" spans="1:26" ht="12" customHeight="1" outlineLevel="4" x14ac:dyDescent="0.2">
      <c r="A3178" s="32" t="s">
        <v>6204</v>
      </c>
      <c r="B3178" s="74" t="s">
        <v>6205</v>
      </c>
      <c r="C3178" s="50"/>
      <c r="D3178" s="53">
        <f t="shared" si="49"/>
        <v>0</v>
      </c>
      <c r="E3178" s="60" t="str">
        <f>HYPERLINK("https://www.sds-group.ru/product/otvertka-krestovaya-pz2h100mm-dvuhkomponentnaya-rukoyatka-rexant-12-6415/", "Инфо")</f>
        <v>Инфо</v>
      </c>
      <c r="F3178" s="34" t="s">
        <v>39</v>
      </c>
      <c r="G3178" s="33"/>
      <c r="H3178" s="33" t="s">
        <v>40</v>
      </c>
      <c r="I3178" s="33"/>
      <c r="J3178" s="35">
        <v>2</v>
      </c>
      <c r="K3178" s="33"/>
      <c r="L3178" s="35">
        <v>1</v>
      </c>
      <c r="M3178" s="35">
        <v>240</v>
      </c>
      <c r="N3178" s="35">
        <v>1</v>
      </c>
      <c r="O3178" s="36">
        <v>174.64</v>
      </c>
      <c r="P3178" s="36">
        <v>143.15</v>
      </c>
      <c r="Q3178" s="36">
        <v>148.44</v>
      </c>
      <c r="R3178" s="36">
        <v>121.67</v>
      </c>
      <c r="S3178" s="36">
        <v>118.76</v>
      </c>
      <c r="T3178" s="36">
        <v>97.34</v>
      </c>
      <c r="U3178" s="34"/>
      <c r="V3178" s="34"/>
      <c r="W3178" s="34" t="s">
        <v>40</v>
      </c>
      <c r="X3178" s="37">
        <v>0.10199999999999999</v>
      </c>
      <c r="Y3178" s="38">
        <v>3.0699999999999998E-4</v>
      </c>
      <c r="Z3178" s="21">
        <v>4601004153646</v>
      </c>
    </row>
    <row r="3179" spans="1:26" ht="12" customHeight="1" outlineLevel="4" x14ac:dyDescent="0.2">
      <c r="A3179" s="14" t="s">
        <v>6206</v>
      </c>
      <c r="B3179" s="26" t="s">
        <v>6207</v>
      </c>
      <c r="C3179" s="52"/>
      <c r="D3179" s="55">
        <f t="shared" si="49"/>
        <v>0</v>
      </c>
      <c r="E3179" s="63" t="str">
        <f>HYPERLINK("https://www.sds-group.ru/product/otvertka-krestovaya-pz2h100mm-trehkomponentnaya-rukoyatka-stal-s2-rexant-12-6415-1/", "Инфо")</f>
        <v>Инфо</v>
      </c>
      <c r="F3179" s="16" t="s">
        <v>39</v>
      </c>
      <c r="G3179" s="15"/>
      <c r="H3179" s="15"/>
      <c r="I3179" s="15"/>
      <c r="J3179" s="17">
        <v>282</v>
      </c>
      <c r="K3179" s="15" t="s">
        <v>6181</v>
      </c>
      <c r="L3179" s="17">
        <v>12</v>
      </c>
      <c r="M3179" s="17">
        <v>240</v>
      </c>
      <c r="N3179" s="17">
        <v>12</v>
      </c>
      <c r="O3179" s="18">
        <v>281.37</v>
      </c>
      <c r="P3179" s="18">
        <v>230.63</v>
      </c>
      <c r="Q3179" s="18">
        <v>239.16</v>
      </c>
      <c r="R3179" s="18">
        <v>196.03</v>
      </c>
      <c r="S3179" s="18">
        <v>191.33</v>
      </c>
      <c r="T3179" s="18">
        <v>156.83000000000001</v>
      </c>
      <c r="U3179" s="16"/>
      <c r="V3179" s="16"/>
      <c r="W3179" s="16" t="s">
        <v>40</v>
      </c>
      <c r="X3179" s="19">
        <v>0.107</v>
      </c>
      <c r="Y3179" s="20">
        <v>2.9599999999999998E-4</v>
      </c>
      <c r="Z3179" s="21">
        <v>4601004153721</v>
      </c>
    </row>
    <row r="3180" spans="1:26" ht="12.95" customHeight="1" outlineLevel="3" x14ac:dyDescent="0.2">
      <c r="A3180" s="76" t="s">
        <v>6208</v>
      </c>
      <c r="B3180" s="76"/>
      <c r="C3180" s="77"/>
      <c r="D3180" s="58"/>
      <c r="E3180" s="68"/>
      <c r="F3180" s="13"/>
      <c r="G3180" s="13"/>
      <c r="H3180" s="13"/>
      <c r="I3180" s="13"/>
      <c r="J3180" s="13"/>
      <c r="K3180" s="13"/>
      <c r="L3180" s="13"/>
      <c r="M3180" s="13"/>
      <c r="N3180" s="13"/>
      <c r="O3180" s="13"/>
      <c r="P3180" s="13"/>
      <c r="Q3180" s="13"/>
      <c r="R3180" s="13"/>
      <c r="S3180" s="13"/>
      <c r="T3180" s="13"/>
      <c r="U3180" s="13"/>
      <c r="V3180" s="13"/>
      <c r="W3180" s="13"/>
      <c r="X3180" s="13"/>
      <c r="Y3180" s="13"/>
      <c r="Z3180" s="13"/>
    </row>
    <row r="3181" spans="1:26" ht="12" customHeight="1" outlineLevel="4" x14ac:dyDescent="0.2">
      <c r="A3181" s="14" t="s">
        <v>6209</v>
      </c>
      <c r="B3181" s="26" t="s">
        <v>6210</v>
      </c>
      <c r="C3181" s="52"/>
      <c r="D3181" s="55">
        <f t="shared" si="49"/>
        <v>0</v>
      </c>
      <c r="E3181" s="63" t="str">
        <f>HYPERLINK("https://www.sds-group.ru/product/otvertka-shlitsevaya-sl3h100mm-dvuhkomponentnaya-rukoyatka-rexant-12-6421/", "Инфо")</f>
        <v>Инфо</v>
      </c>
      <c r="F3181" s="16" t="s">
        <v>39</v>
      </c>
      <c r="G3181" s="15"/>
      <c r="H3181" s="15"/>
      <c r="I3181" s="15"/>
      <c r="J3181" s="16" t="s">
        <v>100</v>
      </c>
      <c r="K3181" s="15" t="s">
        <v>1587</v>
      </c>
      <c r="L3181" s="17">
        <v>12</v>
      </c>
      <c r="M3181" s="17">
        <v>480</v>
      </c>
      <c r="N3181" s="17">
        <v>12</v>
      </c>
      <c r="O3181" s="18">
        <v>108.88</v>
      </c>
      <c r="P3181" s="18">
        <v>89.25</v>
      </c>
      <c r="Q3181" s="18">
        <v>92.55</v>
      </c>
      <c r="R3181" s="18">
        <v>75.86</v>
      </c>
      <c r="S3181" s="18">
        <v>74.040000000000006</v>
      </c>
      <c r="T3181" s="18">
        <v>60.69</v>
      </c>
      <c r="U3181" s="16"/>
      <c r="V3181" s="16"/>
      <c r="W3181" s="16" t="s">
        <v>40</v>
      </c>
      <c r="X3181" s="19">
        <v>4.2000000000000003E-2</v>
      </c>
      <c r="Y3181" s="20">
        <v>1.9799999999999999E-4</v>
      </c>
      <c r="Z3181" s="21">
        <v>4601004153219</v>
      </c>
    </row>
    <row r="3182" spans="1:26" ht="12" customHeight="1" outlineLevel="4" x14ac:dyDescent="0.2">
      <c r="A3182" s="32" t="s">
        <v>6211</v>
      </c>
      <c r="B3182" s="74" t="s">
        <v>6212</v>
      </c>
      <c r="C3182" s="50"/>
      <c r="D3182" s="53">
        <f t="shared" si="49"/>
        <v>0</v>
      </c>
      <c r="E3182" s="60" t="str">
        <f>HYPERLINK("https://www.sds-group.ru/product/otvertka-shlitsevaya-sl3h150mm-dvuhkomponentnaya-rukoyatka-rexant-12-6422/", "Инфо")</f>
        <v>Инфо</v>
      </c>
      <c r="F3182" s="34" t="s">
        <v>39</v>
      </c>
      <c r="G3182" s="33"/>
      <c r="H3182" s="33" t="s">
        <v>40</v>
      </c>
      <c r="I3182" s="33"/>
      <c r="J3182" s="35">
        <v>403</v>
      </c>
      <c r="K3182" s="33"/>
      <c r="L3182" s="35">
        <v>1</v>
      </c>
      <c r="M3182" s="35">
        <v>480</v>
      </c>
      <c r="N3182" s="35">
        <v>1</v>
      </c>
      <c r="O3182" s="36">
        <v>135.83000000000001</v>
      </c>
      <c r="P3182" s="36">
        <v>111.34</v>
      </c>
      <c r="Q3182" s="36">
        <v>115.46</v>
      </c>
      <c r="R3182" s="36">
        <v>94.64</v>
      </c>
      <c r="S3182" s="36">
        <v>92.36</v>
      </c>
      <c r="T3182" s="36">
        <v>75.7</v>
      </c>
      <c r="U3182" s="34"/>
      <c r="V3182" s="34"/>
      <c r="W3182" s="34" t="s">
        <v>40</v>
      </c>
      <c r="X3182" s="37">
        <v>4.7E-2</v>
      </c>
      <c r="Y3182" s="38">
        <v>2.2900000000000001E-4</v>
      </c>
      <c r="Z3182" s="21">
        <v>4601004153226</v>
      </c>
    </row>
    <row r="3183" spans="1:26" ht="12" customHeight="1" outlineLevel="4" x14ac:dyDescent="0.2">
      <c r="A3183" s="14" t="s">
        <v>6213</v>
      </c>
      <c r="B3183" s="26" t="s">
        <v>6214</v>
      </c>
      <c r="C3183" s="52"/>
      <c r="D3183" s="55">
        <f t="shared" si="49"/>
        <v>0</v>
      </c>
      <c r="E3183" s="63" t="str">
        <f>HYPERLINK("https://www.sds-group.ru/product/otvertka-shlitsevaya-sl3h200mm-dvuhkomponentnaya-rukoyatka-rexant-12-6423/", "Инфо")</f>
        <v>Инфо</v>
      </c>
      <c r="F3183" s="16" t="s">
        <v>39</v>
      </c>
      <c r="G3183" s="15"/>
      <c r="H3183" s="15"/>
      <c r="I3183" s="15"/>
      <c r="J3183" s="16" t="s">
        <v>100</v>
      </c>
      <c r="K3183" s="15" t="s">
        <v>1587</v>
      </c>
      <c r="L3183" s="17">
        <v>12</v>
      </c>
      <c r="M3183" s="17">
        <v>480</v>
      </c>
      <c r="N3183" s="17">
        <v>12</v>
      </c>
      <c r="O3183" s="18">
        <v>155.24</v>
      </c>
      <c r="P3183" s="18">
        <v>127.25</v>
      </c>
      <c r="Q3183" s="18">
        <v>108.67</v>
      </c>
      <c r="R3183" s="18">
        <v>89.07</v>
      </c>
      <c r="S3183" s="18">
        <v>105.56</v>
      </c>
      <c r="T3183" s="18">
        <v>86.52</v>
      </c>
      <c r="U3183" s="16"/>
      <c r="V3183" s="16"/>
      <c r="W3183" s="16"/>
      <c r="X3183" s="19">
        <v>0.05</v>
      </c>
      <c r="Y3183" s="20">
        <v>2.8200000000000002E-4</v>
      </c>
      <c r="Z3183" s="21">
        <v>4601004153233</v>
      </c>
    </row>
    <row r="3184" spans="1:26" ht="12" customHeight="1" outlineLevel="4" x14ac:dyDescent="0.2">
      <c r="A3184" s="14" t="s">
        <v>6215</v>
      </c>
      <c r="B3184" s="26" t="s">
        <v>6216</v>
      </c>
      <c r="C3184" s="52"/>
      <c r="D3184" s="55">
        <f t="shared" si="49"/>
        <v>0</v>
      </c>
      <c r="E3184" s="63" t="str">
        <f>HYPERLINK("https://www.sds-group.ru/product/otvertka-shlitsevaya-sl3h75mm-dvuhkomponentnaya-rukoyatka-rexant-12-4721/", "Инфо")</f>
        <v>Инфо</v>
      </c>
      <c r="F3184" s="16" t="s">
        <v>39</v>
      </c>
      <c r="G3184" s="15"/>
      <c r="H3184" s="15"/>
      <c r="I3184" s="15"/>
      <c r="J3184" s="22">
        <v>1270</v>
      </c>
      <c r="K3184" s="15" t="s">
        <v>1587</v>
      </c>
      <c r="L3184" s="17">
        <v>12</v>
      </c>
      <c r="M3184" s="17">
        <v>480</v>
      </c>
      <c r="N3184" s="17">
        <v>12</v>
      </c>
      <c r="O3184" s="18">
        <v>89.47</v>
      </c>
      <c r="P3184" s="18">
        <v>73.34</v>
      </c>
      <c r="Q3184" s="18">
        <v>76.05</v>
      </c>
      <c r="R3184" s="18">
        <v>62.34</v>
      </c>
      <c r="S3184" s="18">
        <v>60.84</v>
      </c>
      <c r="T3184" s="18">
        <v>49.87</v>
      </c>
      <c r="U3184" s="16"/>
      <c r="V3184" s="16"/>
      <c r="W3184" s="16" t="s">
        <v>40</v>
      </c>
      <c r="X3184" s="19">
        <v>4.1000000000000002E-2</v>
      </c>
      <c r="Y3184" s="20">
        <v>2.1000000000000001E-4</v>
      </c>
      <c r="Z3184" s="21">
        <v>4601004027022</v>
      </c>
    </row>
    <row r="3185" spans="1:26" ht="12" customHeight="1" outlineLevel="4" x14ac:dyDescent="0.2">
      <c r="A3185" s="14" t="s">
        <v>6217</v>
      </c>
      <c r="B3185" s="26" t="s">
        <v>6218</v>
      </c>
      <c r="C3185" s="52"/>
      <c r="D3185" s="55">
        <f t="shared" si="49"/>
        <v>0</v>
      </c>
      <c r="E3185" s="63" t="str">
        <f>HYPERLINK("https://www.sds-group.ru/product/otvertka-shlitsevaya-sl3h75mm-trehkomponentnaya-rukoyatka-stal-s2-rexant-12-4721-1/", "Инфо")</f>
        <v>Инфо</v>
      </c>
      <c r="F3185" s="16" t="s">
        <v>39</v>
      </c>
      <c r="G3185" s="15"/>
      <c r="H3185" s="15"/>
      <c r="I3185" s="15"/>
      <c r="J3185" s="17">
        <v>627</v>
      </c>
      <c r="K3185" s="15" t="s">
        <v>1587</v>
      </c>
      <c r="L3185" s="17">
        <v>12</v>
      </c>
      <c r="M3185" s="17">
        <v>480</v>
      </c>
      <c r="N3185" s="17">
        <v>12</v>
      </c>
      <c r="O3185" s="18">
        <v>106.72</v>
      </c>
      <c r="P3185" s="18">
        <v>87.48</v>
      </c>
      <c r="Q3185" s="18">
        <v>90.71</v>
      </c>
      <c r="R3185" s="18">
        <v>74.349999999999994</v>
      </c>
      <c r="S3185" s="18">
        <v>72.569999999999993</v>
      </c>
      <c r="T3185" s="18">
        <v>59.48</v>
      </c>
      <c r="U3185" s="16"/>
      <c r="V3185" s="16"/>
      <c r="W3185" s="16" t="s">
        <v>40</v>
      </c>
      <c r="X3185" s="19">
        <v>0.04</v>
      </c>
      <c r="Y3185" s="20">
        <v>2.0799999999999999E-4</v>
      </c>
      <c r="Z3185" s="21">
        <v>4601004153400</v>
      </c>
    </row>
    <row r="3186" spans="1:26" ht="12" customHeight="1" outlineLevel="4" x14ac:dyDescent="0.2">
      <c r="A3186" s="14" t="s">
        <v>6219</v>
      </c>
      <c r="B3186" s="26" t="s">
        <v>6220</v>
      </c>
      <c r="C3186" s="52"/>
      <c r="D3186" s="55">
        <f t="shared" si="49"/>
        <v>0</v>
      </c>
      <c r="E3186" s="63" t="str">
        <f>HYPERLINK("https://www.sds-group.ru/product/otvertka-shlitsevaya-sl4h100mm-dvuhkomponentnaya-rukoyatka-rexant-12-6424/", "Инфо")</f>
        <v>Инфо</v>
      </c>
      <c r="F3186" s="16" t="s">
        <v>39</v>
      </c>
      <c r="G3186" s="15"/>
      <c r="H3186" s="15"/>
      <c r="I3186" s="15"/>
      <c r="J3186" s="16" t="s">
        <v>100</v>
      </c>
      <c r="K3186" s="15" t="s">
        <v>1587</v>
      </c>
      <c r="L3186" s="17">
        <v>12</v>
      </c>
      <c r="M3186" s="17">
        <v>480</v>
      </c>
      <c r="N3186" s="17">
        <v>12</v>
      </c>
      <c r="O3186" s="18">
        <v>121.82</v>
      </c>
      <c r="P3186" s="18">
        <v>99.85</v>
      </c>
      <c r="Q3186" s="18">
        <v>103.55</v>
      </c>
      <c r="R3186" s="18">
        <v>84.88</v>
      </c>
      <c r="S3186" s="18">
        <v>82.84</v>
      </c>
      <c r="T3186" s="18">
        <v>67.900000000000006</v>
      </c>
      <c r="U3186" s="16"/>
      <c r="V3186" s="16"/>
      <c r="W3186" s="16" t="s">
        <v>40</v>
      </c>
      <c r="X3186" s="19">
        <v>4.8000000000000001E-2</v>
      </c>
      <c r="Y3186" s="20">
        <v>1.9799999999999999E-4</v>
      </c>
      <c r="Z3186" s="21">
        <v>4601004153240</v>
      </c>
    </row>
    <row r="3187" spans="1:26" ht="12" customHeight="1" outlineLevel="4" x14ac:dyDescent="0.2">
      <c r="A3187" s="14" t="s">
        <v>6221</v>
      </c>
      <c r="B3187" s="26" t="s">
        <v>6222</v>
      </c>
      <c r="C3187" s="52"/>
      <c r="D3187" s="55">
        <f t="shared" si="49"/>
        <v>0</v>
      </c>
      <c r="E3187" s="63" t="str">
        <f>HYPERLINK("https://www.sds-group.ru/product/otvertka-shlitsevaya-sl4h100mm-trehkomponentnaya-rukoyatka-stal-s2-rexant-12-6424-1/", "Инфо")</f>
        <v>Инфо</v>
      </c>
      <c r="F3187" s="16" t="s">
        <v>39</v>
      </c>
      <c r="G3187" s="15"/>
      <c r="H3187" s="15"/>
      <c r="I3187" s="15"/>
      <c r="J3187" s="22">
        <v>1414</v>
      </c>
      <c r="K3187" s="15"/>
      <c r="L3187" s="17">
        <v>12</v>
      </c>
      <c r="M3187" s="17">
        <v>480</v>
      </c>
      <c r="N3187" s="17">
        <v>12</v>
      </c>
      <c r="O3187" s="18">
        <v>135.83000000000001</v>
      </c>
      <c r="P3187" s="18">
        <v>111.34</v>
      </c>
      <c r="Q3187" s="18">
        <v>115.46</v>
      </c>
      <c r="R3187" s="18">
        <v>94.64</v>
      </c>
      <c r="S3187" s="18">
        <v>92.36</v>
      </c>
      <c r="T3187" s="18">
        <v>75.7</v>
      </c>
      <c r="U3187" s="16"/>
      <c r="V3187" s="16"/>
      <c r="W3187" s="16" t="s">
        <v>40</v>
      </c>
      <c r="X3187" s="19">
        <v>4.4999999999999998E-2</v>
      </c>
      <c r="Y3187" s="20">
        <v>1.76E-4</v>
      </c>
      <c r="Z3187" s="21">
        <v>4601004153417</v>
      </c>
    </row>
    <row r="3188" spans="1:26" ht="12" customHeight="1" outlineLevel="4" x14ac:dyDescent="0.2">
      <c r="A3188" s="14" t="s">
        <v>6223</v>
      </c>
      <c r="B3188" s="26" t="s">
        <v>6224</v>
      </c>
      <c r="C3188" s="52"/>
      <c r="D3188" s="55">
        <f t="shared" si="49"/>
        <v>0</v>
      </c>
      <c r="E3188" s="63" t="str">
        <f>HYPERLINK("https://www.sds-group.ru/product/otvertka-shlitsevaya-sl4h150mm-dvuhkomponentnaya-rukoyatka-rexant-12-6425/", "Инфо")</f>
        <v>Инфо</v>
      </c>
      <c r="F3188" s="16" t="s">
        <v>39</v>
      </c>
      <c r="G3188" s="15"/>
      <c r="H3188" s="15"/>
      <c r="I3188" s="15"/>
      <c r="J3188" s="17">
        <v>32</v>
      </c>
      <c r="K3188" s="15" t="s">
        <v>1587</v>
      </c>
      <c r="L3188" s="17">
        <v>12</v>
      </c>
      <c r="M3188" s="17">
        <v>480</v>
      </c>
      <c r="N3188" s="17">
        <v>12</v>
      </c>
      <c r="O3188" s="18">
        <v>135.83000000000001</v>
      </c>
      <c r="P3188" s="18">
        <v>111.34</v>
      </c>
      <c r="Q3188" s="18">
        <v>115.46</v>
      </c>
      <c r="R3188" s="18">
        <v>94.64</v>
      </c>
      <c r="S3188" s="18">
        <v>92.36</v>
      </c>
      <c r="T3188" s="18">
        <v>75.7</v>
      </c>
      <c r="U3188" s="16"/>
      <c r="V3188" s="16"/>
      <c r="W3188" s="16" t="s">
        <v>40</v>
      </c>
      <c r="X3188" s="19">
        <v>5.2999999999999999E-2</v>
      </c>
      <c r="Y3188" s="20">
        <v>2.4800000000000001E-4</v>
      </c>
      <c r="Z3188" s="21">
        <v>4601004153257</v>
      </c>
    </row>
    <row r="3189" spans="1:26" ht="12" customHeight="1" outlineLevel="4" x14ac:dyDescent="0.2">
      <c r="A3189" s="32" t="s">
        <v>6225</v>
      </c>
      <c r="B3189" s="74" t="s">
        <v>6226</v>
      </c>
      <c r="C3189" s="50"/>
      <c r="D3189" s="53">
        <f t="shared" si="49"/>
        <v>0</v>
      </c>
      <c r="E3189" s="60" t="str">
        <f>HYPERLINK("https://www.sds-group.ru/product/otvertka-shlitsevaya-sl4h200mm-dvuhkomponentnaya-rukoyatka-rexant-12-6426/", "Инфо")</f>
        <v>Инфо</v>
      </c>
      <c r="F3189" s="34" t="s">
        <v>39</v>
      </c>
      <c r="G3189" s="33"/>
      <c r="H3189" s="33" t="s">
        <v>40</v>
      </c>
      <c r="I3189" s="33"/>
      <c r="J3189" s="35">
        <v>469</v>
      </c>
      <c r="K3189" s="33"/>
      <c r="L3189" s="35">
        <v>1</v>
      </c>
      <c r="M3189" s="35">
        <v>480</v>
      </c>
      <c r="N3189" s="35">
        <v>1</v>
      </c>
      <c r="O3189" s="36">
        <v>166.02</v>
      </c>
      <c r="P3189" s="36">
        <v>136.08000000000001</v>
      </c>
      <c r="Q3189" s="36">
        <v>141.12</v>
      </c>
      <c r="R3189" s="36">
        <v>115.67</v>
      </c>
      <c r="S3189" s="36">
        <v>112.89</v>
      </c>
      <c r="T3189" s="36">
        <v>92.53</v>
      </c>
      <c r="U3189" s="34"/>
      <c r="V3189" s="34"/>
      <c r="W3189" s="34" t="s">
        <v>40</v>
      </c>
      <c r="X3189" s="37">
        <v>6.0999999999999999E-2</v>
      </c>
      <c r="Y3189" s="38">
        <v>2.4499999999999999E-4</v>
      </c>
      <c r="Z3189" s="21">
        <v>4601004153264</v>
      </c>
    </row>
    <row r="3190" spans="1:26" ht="12" customHeight="1" outlineLevel="4" x14ac:dyDescent="0.2">
      <c r="A3190" s="14" t="s">
        <v>6227</v>
      </c>
      <c r="B3190" s="26" t="s">
        <v>6228</v>
      </c>
      <c r="C3190" s="52"/>
      <c r="D3190" s="55">
        <f t="shared" si="49"/>
        <v>0</v>
      </c>
      <c r="E3190" s="63" t="str">
        <f>HYPERLINK("https://www.sds-group.ru/product/otvertka-shlitsevaya-sl5h100mm-dvuhkomponentnaya-rukoyatka-rexant-12-4722/", "Инфо")</f>
        <v>Инфо</v>
      </c>
      <c r="F3190" s="16" t="s">
        <v>39</v>
      </c>
      <c r="G3190" s="15"/>
      <c r="H3190" s="15"/>
      <c r="I3190" s="15"/>
      <c r="J3190" s="17">
        <v>653</v>
      </c>
      <c r="K3190" s="15" t="s">
        <v>6174</v>
      </c>
      <c r="L3190" s="17">
        <v>12</v>
      </c>
      <c r="M3190" s="17">
        <v>360</v>
      </c>
      <c r="N3190" s="17">
        <v>12</v>
      </c>
      <c r="O3190" s="18">
        <v>126.13</v>
      </c>
      <c r="P3190" s="18">
        <v>103.39</v>
      </c>
      <c r="Q3190" s="18">
        <v>107.21</v>
      </c>
      <c r="R3190" s="18">
        <v>87.88</v>
      </c>
      <c r="S3190" s="18">
        <v>85.77</v>
      </c>
      <c r="T3190" s="18">
        <v>70.3</v>
      </c>
      <c r="U3190" s="16"/>
      <c r="V3190" s="16"/>
      <c r="W3190" s="16" t="s">
        <v>40</v>
      </c>
      <c r="X3190" s="19">
        <v>7.4999999999999997E-2</v>
      </c>
      <c r="Y3190" s="20">
        <v>2.4699999999999999E-4</v>
      </c>
      <c r="Z3190" s="21">
        <v>4601004027039</v>
      </c>
    </row>
    <row r="3191" spans="1:26" ht="12" customHeight="1" outlineLevel="4" x14ac:dyDescent="0.2">
      <c r="A3191" s="14" t="s">
        <v>6229</v>
      </c>
      <c r="B3191" s="26" t="s">
        <v>6230</v>
      </c>
      <c r="C3191" s="52"/>
      <c r="D3191" s="55">
        <f t="shared" si="49"/>
        <v>0</v>
      </c>
      <c r="E3191" s="63" t="str">
        <f>HYPERLINK("https://www.sds-group.ru/product/otvertka-shlitsevaya-sl5h100mm-trehkomponentnaya-rukoyatka-stal-s2-rexant-12-4722-1/", "Инфо")</f>
        <v>Инфо</v>
      </c>
      <c r="F3191" s="16" t="s">
        <v>39</v>
      </c>
      <c r="G3191" s="15"/>
      <c r="H3191" s="15"/>
      <c r="I3191" s="15"/>
      <c r="J3191" s="22">
        <v>1244</v>
      </c>
      <c r="K3191" s="15"/>
      <c r="L3191" s="17">
        <v>12</v>
      </c>
      <c r="M3191" s="17">
        <v>360</v>
      </c>
      <c r="N3191" s="17">
        <v>12</v>
      </c>
      <c r="O3191" s="18">
        <v>168.17</v>
      </c>
      <c r="P3191" s="18">
        <v>137.84</v>
      </c>
      <c r="Q3191" s="18">
        <v>142.94</v>
      </c>
      <c r="R3191" s="18">
        <v>117.16</v>
      </c>
      <c r="S3191" s="18">
        <v>114.36</v>
      </c>
      <c r="T3191" s="18">
        <v>93.74</v>
      </c>
      <c r="U3191" s="16"/>
      <c r="V3191" s="16"/>
      <c r="W3191" s="16" t="s">
        <v>40</v>
      </c>
      <c r="X3191" s="19">
        <v>8.1000000000000003E-2</v>
      </c>
      <c r="Y3191" s="20">
        <v>2.5099999999999998E-4</v>
      </c>
      <c r="Z3191" s="21">
        <v>4601004153424</v>
      </c>
    </row>
    <row r="3192" spans="1:26" ht="12" customHeight="1" outlineLevel="4" x14ac:dyDescent="0.2">
      <c r="A3192" s="32" t="s">
        <v>6231</v>
      </c>
      <c r="B3192" s="74" t="s">
        <v>6232</v>
      </c>
      <c r="C3192" s="50"/>
      <c r="D3192" s="53">
        <f t="shared" si="49"/>
        <v>0</v>
      </c>
      <c r="E3192" s="60" t="str">
        <f>HYPERLINK("https://www.sds-group.ru/product/otvertka-shlitsevaya-sl5h200mm-dvuhkomponentnaya-rukoyatka-rexant-12-6429/", "Инфо")</f>
        <v>Инфо</v>
      </c>
      <c r="F3192" s="34" t="s">
        <v>39</v>
      </c>
      <c r="G3192" s="33"/>
      <c r="H3192" s="33" t="s">
        <v>40</v>
      </c>
      <c r="I3192" s="33"/>
      <c r="J3192" s="35">
        <v>284</v>
      </c>
      <c r="K3192" s="33"/>
      <c r="L3192" s="35">
        <v>1</v>
      </c>
      <c r="M3192" s="35">
        <v>480</v>
      </c>
      <c r="N3192" s="35">
        <v>1</v>
      </c>
      <c r="O3192" s="36">
        <v>149.32</v>
      </c>
      <c r="P3192" s="36">
        <v>122.39</v>
      </c>
      <c r="Q3192" s="36">
        <v>104.52</v>
      </c>
      <c r="R3192" s="36">
        <v>85.67</v>
      </c>
      <c r="S3192" s="36">
        <v>101.54</v>
      </c>
      <c r="T3192" s="36">
        <v>83.23</v>
      </c>
      <c r="U3192" s="34"/>
      <c r="V3192" s="34"/>
      <c r="W3192" s="34"/>
      <c r="X3192" s="37">
        <v>8.8999999999999996E-2</v>
      </c>
      <c r="Y3192" s="38">
        <v>2.7799999999999998E-4</v>
      </c>
      <c r="Z3192" s="21">
        <v>4601004153301</v>
      </c>
    </row>
    <row r="3193" spans="1:26" ht="12" customHeight="1" outlineLevel="4" x14ac:dyDescent="0.2">
      <c r="A3193" s="14" t="s">
        <v>6233</v>
      </c>
      <c r="B3193" s="26" t="s">
        <v>6234</v>
      </c>
      <c r="C3193" s="52"/>
      <c r="D3193" s="55">
        <f t="shared" si="49"/>
        <v>0</v>
      </c>
      <c r="E3193" s="63" t="str">
        <f>HYPERLINK("https://www.sds-group.ru/product/otvertka-shlitsevaya-sl6h125mm-dvuhkomponentnaya-rukoyatka-rexant-12-4723/", "Инфо")</f>
        <v>Инфо</v>
      </c>
      <c r="F3193" s="16" t="s">
        <v>39</v>
      </c>
      <c r="G3193" s="15"/>
      <c r="H3193" s="15"/>
      <c r="I3193" s="15"/>
      <c r="J3193" s="17">
        <v>541</v>
      </c>
      <c r="K3193" s="15" t="s">
        <v>6181</v>
      </c>
      <c r="L3193" s="17">
        <v>12</v>
      </c>
      <c r="M3193" s="17">
        <v>240</v>
      </c>
      <c r="N3193" s="17">
        <v>12</v>
      </c>
      <c r="O3193" s="18">
        <v>147.69</v>
      </c>
      <c r="P3193" s="18">
        <v>121.06</v>
      </c>
      <c r="Q3193" s="18">
        <v>125.54</v>
      </c>
      <c r="R3193" s="18">
        <v>102.9</v>
      </c>
      <c r="S3193" s="18">
        <v>100.43</v>
      </c>
      <c r="T3193" s="18">
        <v>82.32</v>
      </c>
      <c r="U3193" s="16"/>
      <c r="V3193" s="16"/>
      <c r="W3193" s="16" t="s">
        <v>40</v>
      </c>
      <c r="X3193" s="19">
        <v>0.107</v>
      </c>
      <c r="Y3193" s="20">
        <v>3.0299999999999999E-4</v>
      </c>
      <c r="Z3193" s="21">
        <v>4601004027046</v>
      </c>
    </row>
    <row r="3194" spans="1:26" ht="12" customHeight="1" outlineLevel="4" x14ac:dyDescent="0.2">
      <c r="A3194" s="14" t="s">
        <v>6235</v>
      </c>
      <c r="B3194" s="26" t="s">
        <v>6236</v>
      </c>
      <c r="C3194" s="52"/>
      <c r="D3194" s="55">
        <f t="shared" si="49"/>
        <v>0</v>
      </c>
      <c r="E3194" s="63" t="str">
        <f>HYPERLINK("https://www.sds-group.ru/product/otvertka-shlitsevaya-sl6h125mm-trehkomponentnaya-rukoyatka-stal-s2-rexant-12-4723-1/", "Инфо")</f>
        <v>Инфо</v>
      </c>
      <c r="F3194" s="16" t="s">
        <v>39</v>
      </c>
      <c r="G3194" s="15"/>
      <c r="H3194" s="15"/>
      <c r="I3194" s="15"/>
      <c r="J3194" s="22">
        <v>1075</v>
      </c>
      <c r="K3194" s="15"/>
      <c r="L3194" s="17">
        <v>12</v>
      </c>
      <c r="M3194" s="17">
        <v>240</v>
      </c>
      <c r="N3194" s="17">
        <v>12</v>
      </c>
      <c r="O3194" s="18">
        <v>184.34</v>
      </c>
      <c r="P3194" s="18">
        <v>151.1</v>
      </c>
      <c r="Q3194" s="18">
        <v>156.69</v>
      </c>
      <c r="R3194" s="18">
        <v>128.43</v>
      </c>
      <c r="S3194" s="18">
        <v>125.35</v>
      </c>
      <c r="T3194" s="18">
        <v>102.75</v>
      </c>
      <c r="U3194" s="16"/>
      <c r="V3194" s="16"/>
      <c r="W3194" s="16" t="s">
        <v>40</v>
      </c>
      <c r="X3194" s="19">
        <v>0.112</v>
      </c>
      <c r="Y3194" s="20">
        <v>3.1599999999999998E-4</v>
      </c>
      <c r="Z3194" s="21">
        <v>4601004153431</v>
      </c>
    </row>
    <row r="3195" spans="1:26" ht="12" customHeight="1" outlineLevel="4" x14ac:dyDescent="0.2">
      <c r="A3195" s="14" t="s">
        <v>6237</v>
      </c>
      <c r="B3195" s="26" t="s">
        <v>6238</v>
      </c>
      <c r="C3195" s="52"/>
      <c r="D3195" s="55">
        <f t="shared" si="49"/>
        <v>0</v>
      </c>
      <c r="E3195" s="63" t="str">
        <f>HYPERLINK("https://www.sds-group.ru/product/otvertka-shlitsevaya-sl6h40mm-dvuhkomponentnaya-rukoyatka-rexant-12-4725/", "Инфо")</f>
        <v>Инфо</v>
      </c>
      <c r="F3195" s="16" t="s">
        <v>39</v>
      </c>
      <c r="G3195" s="15"/>
      <c r="H3195" s="15"/>
      <c r="I3195" s="15"/>
      <c r="J3195" s="17">
        <v>603</v>
      </c>
      <c r="K3195" s="15" t="s">
        <v>1587</v>
      </c>
      <c r="L3195" s="17">
        <v>12</v>
      </c>
      <c r="M3195" s="17">
        <v>480</v>
      </c>
      <c r="N3195" s="17">
        <v>12</v>
      </c>
      <c r="O3195" s="18">
        <v>121.82</v>
      </c>
      <c r="P3195" s="18">
        <v>99.85</v>
      </c>
      <c r="Q3195" s="18">
        <v>103.55</v>
      </c>
      <c r="R3195" s="18">
        <v>84.88</v>
      </c>
      <c r="S3195" s="18">
        <v>82.84</v>
      </c>
      <c r="T3195" s="18">
        <v>67.900000000000006</v>
      </c>
      <c r="U3195" s="16"/>
      <c r="V3195" s="16"/>
      <c r="W3195" s="16" t="s">
        <v>40</v>
      </c>
      <c r="X3195" s="19">
        <v>5.8000000000000003E-2</v>
      </c>
      <c r="Y3195" s="20">
        <v>2.5900000000000001E-4</v>
      </c>
      <c r="Z3195" s="21">
        <v>4601004027060</v>
      </c>
    </row>
    <row r="3196" spans="1:26" ht="12" customHeight="1" outlineLevel="4" x14ac:dyDescent="0.2">
      <c r="A3196" s="14" t="s">
        <v>6239</v>
      </c>
      <c r="B3196" s="26" t="s">
        <v>6240</v>
      </c>
      <c r="C3196" s="52"/>
      <c r="D3196" s="55">
        <f t="shared" si="49"/>
        <v>0</v>
      </c>
      <c r="E3196" s="63" t="str">
        <f>HYPERLINK("https://www.sds-group.ru/product/otvertka-shlitsevaya-sl8h150mm-dvuhkomponentnaya-rukoyatka-rexant-12-4724/", "Инфо")</f>
        <v>Инфо</v>
      </c>
      <c r="F3196" s="16" t="s">
        <v>39</v>
      </c>
      <c r="G3196" s="15"/>
      <c r="H3196" s="15"/>
      <c r="I3196" s="15"/>
      <c r="J3196" s="16" t="s">
        <v>100</v>
      </c>
      <c r="K3196" s="15" t="s">
        <v>1587</v>
      </c>
      <c r="L3196" s="17">
        <v>12</v>
      </c>
      <c r="M3196" s="17">
        <v>144</v>
      </c>
      <c r="N3196" s="17">
        <v>12</v>
      </c>
      <c r="O3196" s="18">
        <v>271.66000000000003</v>
      </c>
      <c r="P3196" s="18">
        <v>222.67</v>
      </c>
      <c r="Q3196" s="18">
        <v>230.91</v>
      </c>
      <c r="R3196" s="18">
        <v>189.27</v>
      </c>
      <c r="S3196" s="18">
        <v>184.73</v>
      </c>
      <c r="T3196" s="18">
        <v>151.41999999999999</v>
      </c>
      <c r="U3196" s="16"/>
      <c r="V3196" s="16"/>
      <c r="W3196" s="16" t="s">
        <v>40</v>
      </c>
      <c r="X3196" s="19">
        <v>0.157</v>
      </c>
      <c r="Y3196" s="20">
        <v>3.48E-4</v>
      </c>
      <c r="Z3196" s="21">
        <v>4601004027053</v>
      </c>
    </row>
    <row r="3197" spans="1:26" ht="12.95" customHeight="1" outlineLevel="3" x14ac:dyDescent="0.2">
      <c r="A3197" s="76" t="s">
        <v>6241</v>
      </c>
      <c r="B3197" s="76"/>
      <c r="C3197" s="77"/>
      <c r="D3197" s="58"/>
      <c r="E3197" s="68"/>
      <c r="F3197" s="13"/>
      <c r="G3197" s="13"/>
      <c r="H3197" s="13"/>
      <c r="I3197" s="13"/>
      <c r="J3197" s="13"/>
      <c r="K3197" s="13"/>
      <c r="L3197" s="13"/>
      <c r="M3197" s="13"/>
      <c r="N3197" s="13"/>
      <c r="O3197" s="13"/>
      <c r="P3197" s="13"/>
      <c r="Q3197" s="13"/>
      <c r="R3197" s="13"/>
      <c r="S3197" s="13"/>
      <c r="T3197" s="13"/>
      <c r="U3197" s="13"/>
      <c r="V3197" s="13"/>
      <c r="W3197" s="13"/>
      <c r="X3197" s="13"/>
      <c r="Y3197" s="13"/>
      <c r="Z3197" s="13"/>
    </row>
    <row r="3198" spans="1:26" ht="12" customHeight="1" outlineLevel="4" x14ac:dyDescent="0.2">
      <c r="A3198" s="32" t="s">
        <v>6242</v>
      </c>
      <c r="B3198" s="74" t="s">
        <v>6243</v>
      </c>
      <c r="C3198" s="50"/>
      <c r="D3198" s="53">
        <f t="shared" si="49"/>
        <v>0</v>
      </c>
      <c r="E3198" s="60" t="str">
        <f>HYPERLINK("https://www.sds-group.ru/product/nabor-8-predmetov-s-reversivnoy-otvertkoy-rexant-12-4779/", "Инфо")</f>
        <v>Инфо</v>
      </c>
      <c r="F3198" s="34" t="s">
        <v>39</v>
      </c>
      <c r="G3198" s="33"/>
      <c r="H3198" s="33" t="s">
        <v>40</v>
      </c>
      <c r="I3198" s="33"/>
      <c r="J3198" s="34" t="s">
        <v>100</v>
      </c>
      <c r="K3198" s="33"/>
      <c r="L3198" s="35">
        <v>1</v>
      </c>
      <c r="M3198" s="35">
        <v>80</v>
      </c>
      <c r="N3198" s="35">
        <v>1</v>
      </c>
      <c r="O3198" s="36">
        <v>620.94000000000005</v>
      </c>
      <c r="P3198" s="36">
        <v>508.97</v>
      </c>
      <c r="Q3198" s="36">
        <v>434.66</v>
      </c>
      <c r="R3198" s="36">
        <v>356.28</v>
      </c>
      <c r="S3198" s="36">
        <v>422.24</v>
      </c>
      <c r="T3198" s="36">
        <v>346.1</v>
      </c>
      <c r="U3198" s="34"/>
      <c r="V3198" s="34"/>
      <c r="W3198" s="34"/>
      <c r="X3198" s="37">
        <v>0.17599999999999999</v>
      </c>
      <c r="Y3198" s="38">
        <v>6.2100000000000002E-4</v>
      </c>
      <c r="Z3198" s="21">
        <v>4601004153783</v>
      </c>
    </row>
    <row r="3199" spans="1:26" ht="12" customHeight="1" outlineLevel="4" x14ac:dyDescent="0.2">
      <c r="A3199" s="32" t="s">
        <v>6244</v>
      </c>
      <c r="B3199" s="74" t="s">
        <v>6245</v>
      </c>
      <c r="C3199" s="50"/>
      <c r="D3199" s="53">
        <f t="shared" si="49"/>
        <v>0</v>
      </c>
      <c r="E3199" s="60" t="str">
        <f>HYPERLINK("https://www.sds-group.ru/product/nabor-golovok-i-bit-s-reversivnoy-otvertkoy-21-predmet-rexant-12-6075/", "Инфо")</f>
        <v>Инфо</v>
      </c>
      <c r="F3199" s="34" t="s">
        <v>39</v>
      </c>
      <c r="G3199" s="33"/>
      <c r="H3199" s="33" t="s">
        <v>40</v>
      </c>
      <c r="I3199" s="33"/>
      <c r="J3199" s="34" t="s">
        <v>100</v>
      </c>
      <c r="K3199" s="33"/>
      <c r="L3199" s="35">
        <v>1</v>
      </c>
      <c r="M3199" s="35">
        <v>60</v>
      </c>
      <c r="N3199" s="35">
        <v>1</v>
      </c>
      <c r="O3199" s="36">
        <v>754.61</v>
      </c>
      <c r="P3199" s="36">
        <v>618.53</v>
      </c>
      <c r="Q3199" s="36">
        <v>528.23</v>
      </c>
      <c r="R3199" s="36">
        <v>432.98</v>
      </c>
      <c r="S3199" s="36">
        <v>513.13</v>
      </c>
      <c r="T3199" s="36">
        <v>420.6</v>
      </c>
      <c r="U3199" s="34"/>
      <c r="V3199" s="34"/>
      <c r="W3199" s="34"/>
      <c r="X3199" s="37">
        <v>0.41699999999999998</v>
      </c>
      <c r="Y3199" s="38">
        <v>1.111E-3</v>
      </c>
      <c r="Z3199" s="21">
        <v>4601004153806</v>
      </c>
    </row>
    <row r="3200" spans="1:26" ht="12" customHeight="1" outlineLevel="4" x14ac:dyDescent="0.2">
      <c r="A3200" s="32" t="s">
        <v>6246</v>
      </c>
      <c r="B3200" s="74" t="s">
        <v>6247</v>
      </c>
      <c r="C3200" s="50"/>
      <c r="D3200" s="53">
        <f t="shared" si="49"/>
        <v>0</v>
      </c>
      <c r="E3200" s="60" t="str">
        <f>HYPERLINK("https://www.sds-group.ru/product/nabor-otvertok-10-predmetov-rexant-23760/", "Инфо")</f>
        <v>Инфо</v>
      </c>
      <c r="F3200" s="34" t="s">
        <v>39</v>
      </c>
      <c r="G3200" s="33"/>
      <c r="H3200" s="33" t="s">
        <v>40</v>
      </c>
      <c r="I3200" s="33"/>
      <c r="J3200" s="34" t="s">
        <v>100</v>
      </c>
      <c r="K3200" s="33"/>
      <c r="L3200" s="35">
        <v>1</v>
      </c>
      <c r="M3200" s="35">
        <v>60</v>
      </c>
      <c r="N3200" s="35">
        <v>1</v>
      </c>
      <c r="O3200" s="36">
        <v>808.52</v>
      </c>
      <c r="P3200" s="36">
        <v>662.72</v>
      </c>
      <c r="Q3200" s="36">
        <v>565.96</v>
      </c>
      <c r="R3200" s="36">
        <v>463.9</v>
      </c>
      <c r="S3200" s="36">
        <v>549.79</v>
      </c>
      <c r="T3200" s="36">
        <v>450.65</v>
      </c>
      <c r="U3200" s="34"/>
      <c r="V3200" s="34"/>
      <c r="W3200" s="34"/>
      <c r="X3200" s="37">
        <v>0.42599999999999999</v>
      </c>
      <c r="Y3200" s="38">
        <v>1.6019999999999999E-3</v>
      </c>
      <c r="Z3200" s="21">
        <v>4601004153769</v>
      </c>
    </row>
    <row r="3201" spans="1:26" ht="12" customHeight="1" outlineLevel="4" x14ac:dyDescent="0.2">
      <c r="A3201" s="14" t="s">
        <v>6248</v>
      </c>
      <c r="B3201" s="26" t="s">
        <v>6249</v>
      </c>
      <c r="C3201" s="52"/>
      <c r="D3201" s="55">
        <f t="shared" si="49"/>
        <v>0</v>
      </c>
      <c r="E3201" s="63" t="str">
        <f>HYPERLINK("https://www.sds-group.ru/product/nabor-otvertok-18-predmetov-rexant-12-4775/", "Инфо")</f>
        <v>Инфо</v>
      </c>
      <c r="F3201" s="16" t="s">
        <v>39</v>
      </c>
      <c r="G3201" s="15"/>
      <c r="H3201" s="15"/>
      <c r="I3201" s="15"/>
      <c r="J3201" s="16" t="s">
        <v>100</v>
      </c>
      <c r="K3201" s="15" t="s">
        <v>1587</v>
      </c>
      <c r="L3201" s="17">
        <v>1</v>
      </c>
      <c r="M3201" s="17">
        <v>20</v>
      </c>
      <c r="N3201" s="17">
        <v>1</v>
      </c>
      <c r="O3201" s="18">
        <v>2703</v>
      </c>
      <c r="P3201" s="18">
        <v>2215.5700000000002</v>
      </c>
      <c r="Q3201" s="18">
        <v>1892.1</v>
      </c>
      <c r="R3201" s="18">
        <v>1550.9</v>
      </c>
      <c r="S3201" s="18">
        <v>1838.04</v>
      </c>
      <c r="T3201" s="18">
        <v>1506.59</v>
      </c>
      <c r="U3201" s="16"/>
      <c r="V3201" s="16"/>
      <c r="W3201" s="16"/>
      <c r="X3201" s="19">
        <v>1.0669999999999999</v>
      </c>
      <c r="Y3201" s="20">
        <v>5.6119999999999998E-3</v>
      </c>
      <c r="Z3201" s="21">
        <v>4601004153745</v>
      </c>
    </row>
    <row r="3202" spans="1:26" ht="12" customHeight="1" outlineLevel="4" x14ac:dyDescent="0.2">
      <c r="A3202" s="14" t="s">
        <v>6250</v>
      </c>
      <c r="B3202" s="26" t="s">
        <v>6251</v>
      </c>
      <c r="C3202" s="52"/>
      <c r="D3202" s="55">
        <f t="shared" si="49"/>
        <v>0</v>
      </c>
      <c r="E3202" s="63" t="str">
        <f>HYPERLINK("https://www.sds-group.ru/product/nabor-otvertok-31-predmet-kranz-KR-12-4791/", "Инфо")</f>
        <v>Инфо</v>
      </c>
      <c r="F3202" s="16" t="s">
        <v>39</v>
      </c>
      <c r="G3202" s="15"/>
      <c r="H3202" s="15"/>
      <c r="I3202" s="15"/>
      <c r="J3202" s="17">
        <v>604</v>
      </c>
      <c r="K3202" s="15" t="s">
        <v>4020</v>
      </c>
      <c r="L3202" s="17">
        <v>1</v>
      </c>
      <c r="M3202" s="17">
        <v>36</v>
      </c>
      <c r="N3202" s="17">
        <v>1</v>
      </c>
      <c r="O3202" s="18">
        <v>989.63</v>
      </c>
      <c r="P3202" s="18">
        <v>811.17</v>
      </c>
      <c r="Q3202" s="18">
        <v>870.87</v>
      </c>
      <c r="R3202" s="18">
        <v>713.83</v>
      </c>
      <c r="S3202" s="18">
        <v>672.95</v>
      </c>
      <c r="T3202" s="18">
        <v>551.6</v>
      </c>
      <c r="U3202" s="16"/>
      <c r="V3202" s="16"/>
      <c r="W3202" s="16" t="s">
        <v>40</v>
      </c>
      <c r="X3202" s="19">
        <v>0.40699999999999997</v>
      </c>
      <c r="Y3202" s="20">
        <v>1.183E-3</v>
      </c>
      <c r="Z3202" s="21">
        <v>4601004200692</v>
      </c>
    </row>
    <row r="3203" spans="1:26" ht="12" customHeight="1" outlineLevel="4" x14ac:dyDescent="0.2">
      <c r="A3203" s="32" t="s">
        <v>6252</v>
      </c>
      <c r="B3203" s="74" t="s">
        <v>6253</v>
      </c>
      <c r="C3203" s="50"/>
      <c r="D3203" s="53">
        <f t="shared" si="49"/>
        <v>0</v>
      </c>
      <c r="E3203" s="60" t="str">
        <f>HYPERLINK("https://www.sds-group.ru/product/nabor-otvertok-33-predmeta-rexant-12-4776/", "Инфо")</f>
        <v>Инфо</v>
      </c>
      <c r="F3203" s="34" t="s">
        <v>39</v>
      </c>
      <c r="G3203" s="33"/>
      <c r="H3203" s="33" t="s">
        <v>40</v>
      </c>
      <c r="I3203" s="33"/>
      <c r="J3203" s="34" t="s">
        <v>100</v>
      </c>
      <c r="K3203" s="33"/>
      <c r="L3203" s="35">
        <v>1</v>
      </c>
      <c r="M3203" s="35">
        <v>48</v>
      </c>
      <c r="N3203" s="35">
        <v>1</v>
      </c>
      <c r="O3203" s="36">
        <v>1379.87</v>
      </c>
      <c r="P3203" s="36">
        <v>1131.04</v>
      </c>
      <c r="Q3203" s="36">
        <v>965.91</v>
      </c>
      <c r="R3203" s="36">
        <v>791.73</v>
      </c>
      <c r="S3203" s="36">
        <v>938.31</v>
      </c>
      <c r="T3203" s="36">
        <v>769.11</v>
      </c>
      <c r="U3203" s="34"/>
      <c r="V3203" s="34"/>
      <c r="W3203" s="34"/>
      <c r="X3203" s="37">
        <v>0.60299999999999998</v>
      </c>
      <c r="Y3203" s="38">
        <v>1.3680000000000001E-3</v>
      </c>
      <c r="Z3203" s="21">
        <v>4601004153752</v>
      </c>
    </row>
    <row r="3204" spans="1:26" ht="12" customHeight="1" outlineLevel="4" x14ac:dyDescent="0.2">
      <c r="A3204" s="14" t="s">
        <v>6254</v>
      </c>
      <c r="B3204" s="26" t="s">
        <v>6255</v>
      </c>
      <c r="C3204" s="52"/>
      <c r="D3204" s="55">
        <f t="shared" si="49"/>
        <v>0</v>
      </c>
      <c r="E3204" s="63" t="str">
        <f>HYPERLINK("https://www.sds-group.ru/product/nabor-otvertok-38-predmetov-v-keyse-kranz-KR-12-4792/", "Инфо")</f>
        <v>Инфо</v>
      </c>
      <c r="F3204" s="16" t="s">
        <v>39</v>
      </c>
      <c r="G3204" s="15"/>
      <c r="H3204" s="15"/>
      <c r="I3204" s="15"/>
      <c r="J3204" s="17">
        <v>142</v>
      </c>
      <c r="K3204" s="15" t="s">
        <v>1055</v>
      </c>
      <c r="L3204" s="17">
        <v>1</v>
      </c>
      <c r="M3204" s="17">
        <v>24</v>
      </c>
      <c r="N3204" s="17">
        <v>1</v>
      </c>
      <c r="O3204" s="18">
        <v>1228.94</v>
      </c>
      <c r="P3204" s="18">
        <v>1007.33</v>
      </c>
      <c r="Q3204" s="18">
        <v>1093.76</v>
      </c>
      <c r="R3204" s="18">
        <v>896.52</v>
      </c>
      <c r="S3204" s="18">
        <v>835.68</v>
      </c>
      <c r="T3204" s="18">
        <v>684.98</v>
      </c>
      <c r="U3204" s="16"/>
      <c r="V3204" s="16"/>
      <c r="W3204" s="16" t="s">
        <v>40</v>
      </c>
      <c r="X3204" s="19">
        <v>0.61899999999999999</v>
      </c>
      <c r="Y3204" s="20">
        <v>2.4719999999999998E-3</v>
      </c>
      <c r="Z3204" s="21">
        <v>4601004200685</v>
      </c>
    </row>
    <row r="3205" spans="1:26" ht="12" customHeight="1" outlineLevel="4" x14ac:dyDescent="0.2">
      <c r="A3205" s="14" t="s">
        <v>6256</v>
      </c>
      <c r="B3205" s="26" t="s">
        <v>6257</v>
      </c>
      <c r="C3205" s="52"/>
      <c r="D3205" s="55">
        <f t="shared" si="49"/>
        <v>0</v>
      </c>
      <c r="E3205" s="63" t="str">
        <f>HYPERLINK("https://www.sds-group.ru/product/nabor-otvertok-7-predmetov-krestovye-i-shlitsevye-rexant-12-4703/", "Инфо")</f>
        <v>Инфо</v>
      </c>
      <c r="F3205" s="16" t="s">
        <v>39</v>
      </c>
      <c r="G3205" s="15"/>
      <c r="H3205" s="15"/>
      <c r="I3205" s="15"/>
      <c r="J3205" s="22">
        <v>6772</v>
      </c>
      <c r="K3205" s="15" t="s">
        <v>1587</v>
      </c>
      <c r="L3205" s="17">
        <v>1</v>
      </c>
      <c r="M3205" s="17">
        <v>36</v>
      </c>
      <c r="N3205" s="17">
        <v>1</v>
      </c>
      <c r="O3205" s="18">
        <v>901</v>
      </c>
      <c r="P3205" s="18">
        <v>738.52</v>
      </c>
      <c r="Q3205" s="18">
        <v>630.70000000000005</v>
      </c>
      <c r="R3205" s="18">
        <v>516.97</v>
      </c>
      <c r="S3205" s="18">
        <v>612.67999999999995</v>
      </c>
      <c r="T3205" s="18">
        <v>502.2</v>
      </c>
      <c r="U3205" s="16"/>
      <c r="V3205" s="16"/>
      <c r="W3205" s="16"/>
      <c r="X3205" s="19">
        <v>0.54</v>
      </c>
      <c r="Y3205" s="20">
        <v>1.9300000000000001E-3</v>
      </c>
      <c r="Z3205" s="21">
        <v>4601004026940</v>
      </c>
    </row>
    <row r="3206" spans="1:26" ht="12" customHeight="1" outlineLevel="4" x14ac:dyDescent="0.2">
      <c r="A3206" s="14" t="s">
        <v>6258</v>
      </c>
      <c r="B3206" s="26" t="s">
        <v>6259</v>
      </c>
      <c r="C3206" s="52"/>
      <c r="D3206" s="55">
        <f t="shared" si="49"/>
        <v>0</v>
      </c>
      <c r="E3206" s="63" t="str">
        <f>HYPERLINK("https://www.sds-group.ru/product/nabor-otvertok-8-predmetov-rexant-12-4774/", "Инфо")</f>
        <v>Инфо</v>
      </c>
      <c r="F3206" s="16" t="s">
        <v>39</v>
      </c>
      <c r="G3206" s="15"/>
      <c r="H3206" s="15"/>
      <c r="I3206" s="15"/>
      <c r="J3206" s="22">
        <v>1730</v>
      </c>
      <c r="K3206" s="15" t="s">
        <v>1587</v>
      </c>
      <c r="L3206" s="17">
        <v>1</v>
      </c>
      <c r="M3206" s="17">
        <v>40</v>
      </c>
      <c r="N3206" s="17">
        <v>1</v>
      </c>
      <c r="O3206" s="18">
        <v>1356.8</v>
      </c>
      <c r="P3206" s="18">
        <v>1112.1300000000001</v>
      </c>
      <c r="Q3206" s="18">
        <v>949.76</v>
      </c>
      <c r="R3206" s="18">
        <v>778.49</v>
      </c>
      <c r="S3206" s="18">
        <v>922.62</v>
      </c>
      <c r="T3206" s="18">
        <v>756.25</v>
      </c>
      <c r="U3206" s="16"/>
      <c r="V3206" s="16"/>
      <c r="W3206" s="16"/>
      <c r="X3206" s="19">
        <v>0.42499999999999999</v>
      </c>
      <c r="Y3206" s="20">
        <v>1.624E-3</v>
      </c>
      <c r="Z3206" s="21">
        <v>4601004153738</v>
      </c>
    </row>
    <row r="3207" spans="1:26" ht="12" customHeight="1" outlineLevel="4" x14ac:dyDescent="0.2">
      <c r="A3207" s="14" t="s">
        <v>6260</v>
      </c>
      <c r="B3207" s="26" t="s">
        <v>6261</v>
      </c>
      <c r="C3207" s="52"/>
      <c r="D3207" s="55">
        <f t="shared" si="49"/>
        <v>0</v>
      </c>
      <c r="E3207" s="63" t="str">
        <f>HYPERLINK("https://www.sds-group.ru/product/otvertka-kombinirovannaya-dvuhkomponentnaya-rukoyatka-dvuhstoronniy-sterzhen-120mm-krestovay-12-4741/", "Инфо")</f>
        <v>Инфо</v>
      </c>
      <c r="F3207" s="16" t="s">
        <v>39</v>
      </c>
      <c r="G3207" s="15"/>
      <c r="H3207" s="15"/>
      <c r="I3207" s="15"/>
      <c r="J3207" s="17">
        <v>232</v>
      </c>
      <c r="K3207" s="15" t="s">
        <v>1587</v>
      </c>
      <c r="L3207" s="17">
        <v>12</v>
      </c>
      <c r="M3207" s="17">
        <v>240</v>
      </c>
      <c r="N3207" s="17">
        <v>12</v>
      </c>
      <c r="O3207" s="18">
        <v>188.66</v>
      </c>
      <c r="P3207" s="18">
        <v>154.63999999999999</v>
      </c>
      <c r="Q3207" s="18">
        <v>160.36000000000001</v>
      </c>
      <c r="R3207" s="18">
        <v>131.44</v>
      </c>
      <c r="S3207" s="18">
        <v>128.29</v>
      </c>
      <c r="T3207" s="18">
        <v>105.16</v>
      </c>
      <c r="U3207" s="16"/>
      <c r="V3207" s="16"/>
      <c r="W3207" s="16" t="s">
        <v>40</v>
      </c>
      <c r="X3207" s="19">
        <v>0.124</v>
      </c>
      <c r="Y3207" s="20">
        <v>2.72E-4</v>
      </c>
      <c r="Z3207" s="21">
        <v>4601004027121</v>
      </c>
    </row>
    <row r="3208" spans="1:26" ht="12" customHeight="1" outlineLevel="4" x14ac:dyDescent="0.2">
      <c r="A3208" s="14" t="s">
        <v>6262</v>
      </c>
      <c r="B3208" s="26" t="s">
        <v>6263</v>
      </c>
      <c r="C3208" s="52"/>
      <c r="D3208" s="55">
        <f t="shared" si="49"/>
        <v>0</v>
      </c>
      <c r="E3208" s="63" t="str">
        <f>HYPERLINK("https://www.sds-group.ru/product/otvertka-kombinirovannaya-prozrachnaya-rukoyatka-dvuhstoronniy-sterzhen-120mm-krestovaya-ph2-12-4742/", "Инфо")</f>
        <v>Инфо</v>
      </c>
      <c r="F3208" s="16" t="s">
        <v>39</v>
      </c>
      <c r="G3208" s="15"/>
      <c r="H3208" s="15"/>
      <c r="I3208" s="15"/>
      <c r="J3208" s="17">
        <v>8</v>
      </c>
      <c r="K3208" s="15" t="s">
        <v>1587</v>
      </c>
      <c r="L3208" s="17">
        <v>12</v>
      </c>
      <c r="M3208" s="17">
        <v>240</v>
      </c>
      <c r="N3208" s="17">
        <v>12</v>
      </c>
      <c r="O3208" s="18">
        <v>167.1</v>
      </c>
      <c r="P3208" s="18">
        <v>136.97</v>
      </c>
      <c r="Q3208" s="18">
        <v>142.04</v>
      </c>
      <c r="R3208" s="18">
        <v>116.43</v>
      </c>
      <c r="S3208" s="18">
        <v>113.63</v>
      </c>
      <c r="T3208" s="18">
        <v>93.14</v>
      </c>
      <c r="U3208" s="16"/>
      <c r="V3208" s="16"/>
      <c r="W3208" s="16" t="s">
        <v>40</v>
      </c>
      <c r="X3208" s="19">
        <v>0.105</v>
      </c>
      <c r="Y3208" s="20">
        <v>1.8900000000000001E-4</v>
      </c>
      <c r="Z3208" s="21">
        <v>4601004027138</v>
      </c>
    </row>
    <row r="3209" spans="1:26" ht="12" customHeight="1" outlineLevel="4" x14ac:dyDescent="0.2">
      <c r="A3209" s="14" t="s">
        <v>6264</v>
      </c>
      <c r="B3209" s="26" t="s">
        <v>6265</v>
      </c>
      <c r="C3209" s="52"/>
      <c r="D3209" s="55">
        <f t="shared" ref="D3209:D3272" si="50">C3209*(O3209-O3209*$G$3)</f>
        <v>0</v>
      </c>
      <c r="E3209" s="63" t="str">
        <f>HYPERLINK("https://www.sds-group.ru/product/otvertka-kombinirovannaya-prozrachnaya-rukoyatka-dvuhstoronniy-sterzhen-40mm-krestovaya-ph2--12-4743/", "Инфо")</f>
        <v>Инфо</v>
      </c>
      <c r="F3209" s="16" t="s">
        <v>39</v>
      </c>
      <c r="G3209" s="15"/>
      <c r="H3209" s="15"/>
      <c r="I3209" s="15"/>
      <c r="J3209" s="16" t="s">
        <v>100</v>
      </c>
      <c r="K3209" s="15" t="s">
        <v>1587</v>
      </c>
      <c r="L3209" s="17">
        <v>12</v>
      </c>
      <c r="M3209" s="17">
        <v>480</v>
      </c>
      <c r="N3209" s="17">
        <v>12</v>
      </c>
      <c r="O3209" s="18">
        <v>121.9</v>
      </c>
      <c r="P3209" s="18">
        <v>99.92</v>
      </c>
      <c r="Q3209" s="18">
        <v>103.62</v>
      </c>
      <c r="R3209" s="18">
        <v>84.93</v>
      </c>
      <c r="S3209" s="18">
        <v>82.89</v>
      </c>
      <c r="T3209" s="18">
        <v>67.94</v>
      </c>
      <c r="U3209" s="16"/>
      <c r="V3209" s="16"/>
      <c r="W3209" s="16" t="s">
        <v>40</v>
      </c>
      <c r="X3209" s="19">
        <v>5.6000000000000001E-2</v>
      </c>
      <c r="Y3209" s="20">
        <v>8.3999999999999995E-5</v>
      </c>
      <c r="Z3209" s="21">
        <v>4601004027145</v>
      </c>
    </row>
    <row r="3210" spans="1:26" ht="12" customHeight="1" outlineLevel="4" x14ac:dyDescent="0.2">
      <c r="A3210" s="14" t="s">
        <v>6266</v>
      </c>
      <c r="B3210" s="26" t="s">
        <v>6267</v>
      </c>
      <c r="C3210" s="52"/>
      <c r="D3210" s="55">
        <f t="shared" si="50"/>
        <v>0</v>
      </c>
      <c r="E3210" s="63" t="str">
        <f>HYPERLINK("https://www.sds-group.ru/product/otvertka-reversivnaya-kombinirovannaya-trehkomponentnaya-rukoyatka-dvuhstoronniy-sterzhen-12-12-4745/", "Инфо")</f>
        <v>Инфо</v>
      </c>
      <c r="F3210" s="16" t="s">
        <v>39</v>
      </c>
      <c r="G3210" s="15"/>
      <c r="H3210" s="15"/>
      <c r="I3210" s="15"/>
      <c r="J3210" s="16" t="s">
        <v>100</v>
      </c>
      <c r="K3210" s="15" t="s">
        <v>1587</v>
      </c>
      <c r="L3210" s="17">
        <v>1</v>
      </c>
      <c r="M3210" s="17">
        <v>120</v>
      </c>
      <c r="N3210" s="17">
        <v>1</v>
      </c>
      <c r="O3210" s="18">
        <v>376.3</v>
      </c>
      <c r="P3210" s="18">
        <v>308.44</v>
      </c>
      <c r="Q3210" s="18">
        <v>301.04000000000002</v>
      </c>
      <c r="R3210" s="18">
        <v>246.75</v>
      </c>
      <c r="S3210" s="18">
        <v>255.88</v>
      </c>
      <c r="T3210" s="18">
        <v>209.74</v>
      </c>
      <c r="U3210" s="16"/>
      <c r="V3210" s="16"/>
      <c r="W3210" s="16" t="s">
        <v>40</v>
      </c>
      <c r="X3210" s="19">
        <v>0.16</v>
      </c>
      <c r="Y3210" s="20">
        <v>3.4600000000000001E-4</v>
      </c>
      <c r="Z3210" s="21">
        <v>4601004153790</v>
      </c>
    </row>
    <row r="3211" spans="1:26" ht="12.95" customHeight="1" outlineLevel="3" x14ac:dyDescent="0.2">
      <c r="A3211" s="76" t="s">
        <v>6268</v>
      </c>
      <c r="B3211" s="76"/>
      <c r="C3211" s="77"/>
      <c r="D3211" s="58"/>
      <c r="E3211" s="68"/>
      <c r="F3211" s="13"/>
      <c r="G3211" s="13"/>
      <c r="H3211" s="13"/>
      <c r="I3211" s="13"/>
      <c r="J3211" s="13"/>
      <c r="K3211" s="13"/>
      <c r="L3211" s="13"/>
      <c r="M3211" s="13"/>
      <c r="N3211" s="13"/>
      <c r="O3211" s="13"/>
      <c r="P3211" s="13"/>
      <c r="Q3211" s="13"/>
      <c r="R3211" s="13"/>
      <c r="S3211" s="13"/>
      <c r="T3211" s="13"/>
      <c r="U3211" s="13"/>
      <c r="V3211" s="13"/>
      <c r="W3211" s="13"/>
      <c r="X3211" s="13"/>
      <c r="Y3211" s="13"/>
      <c r="Z3211" s="13"/>
    </row>
    <row r="3212" spans="1:26" ht="12" customHeight="1" outlineLevel="4" x14ac:dyDescent="0.2">
      <c r="A3212" s="14" t="s">
        <v>6269</v>
      </c>
      <c r="B3212" s="26" t="s">
        <v>6270</v>
      </c>
      <c r="C3212" s="52"/>
      <c r="D3212" s="55">
        <f t="shared" si="50"/>
        <v>0</v>
      </c>
      <c r="E3212" s="63" t="str">
        <f>HYPERLINK("https://www.sds-group.ru/product/nabor-dlya-tochnyh-rabot-25-predmetov-v-chehle-rexant-12-4762/", "Инфо")</f>
        <v>Инфо</v>
      </c>
      <c r="F3212" s="16" t="s">
        <v>39</v>
      </c>
      <c r="G3212" s="15"/>
      <c r="H3212" s="15"/>
      <c r="I3212" s="15"/>
      <c r="J3212" s="17">
        <v>819</v>
      </c>
      <c r="K3212" s="15" t="s">
        <v>1587</v>
      </c>
      <c r="L3212" s="17">
        <v>1</v>
      </c>
      <c r="M3212" s="17">
        <v>216</v>
      </c>
      <c r="N3212" s="17">
        <v>1</v>
      </c>
      <c r="O3212" s="18">
        <v>592.91</v>
      </c>
      <c r="P3212" s="18">
        <v>485.99</v>
      </c>
      <c r="Q3212" s="18">
        <v>474.33</v>
      </c>
      <c r="R3212" s="18">
        <v>388.8</v>
      </c>
      <c r="S3212" s="18">
        <v>403.18</v>
      </c>
      <c r="T3212" s="18">
        <v>330.48</v>
      </c>
      <c r="U3212" s="16"/>
      <c r="V3212" s="16"/>
      <c r="W3212" s="16" t="s">
        <v>40</v>
      </c>
      <c r="X3212" s="19">
        <v>0.115</v>
      </c>
      <c r="Y3212" s="20">
        <v>1.7200000000000001E-4</v>
      </c>
      <c r="Z3212" s="21">
        <v>4601004068544</v>
      </c>
    </row>
    <row r="3213" spans="1:26" ht="12" customHeight="1" outlineLevel="4" x14ac:dyDescent="0.2">
      <c r="A3213" s="14" t="s">
        <v>6271</v>
      </c>
      <c r="B3213" s="26" t="s">
        <v>6272</v>
      </c>
      <c r="C3213" s="52"/>
      <c r="D3213" s="55">
        <f t="shared" si="50"/>
        <v>0</v>
      </c>
      <c r="E3213" s="63" t="str">
        <f>HYPERLINK("https://www.sds-group.ru/product/nabor-dlya-tochnyh-rabot-6-predmetov-rexant-12-4764/", "Инфо")</f>
        <v>Инфо</v>
      </c>
      <c r="F3213" s="16" t="s">
        <v>39</v>
      </c>
      <c r="G3213" s="15"/>
      <c r="H3213" s="15"/>
      <c r="I3213" s="15"/>
      <c r="J3213" s="22">
        <v>7971</v>
      </c>
      <c r="K3213" s="15" t="s">
        <v>1587</v>
      </c>
      <c r="L3213" s="17">
        <v>1</v>
      </c>
      <c r="M3213" s="17">
        <v>400</v>
      </c>
      <c r="N3213" s="17">
        <v>1</v>
      </c>
      <c r="O3213" s="18">
        <v>334.19</v>
      </c>
      <c r="P3213" s="18">
        <v>273.93</v>
      </c>
      <c r="Q3213" s="18">
        <v>233.93</v>
      </c>
      <c r="R3213" s="18">
        <v>191.75</v>
      </c>
      <c r="S3213" s="18">
        <v>227.25</v>
      </c>
      <c r="T3213" s="18">
        <v>186.27</v>
      </c>
      <c r="U3213" s="16"/>
      <c r="V3213" s="16"/>
      <c r="W3213" s="16"/>
      <c r="X3213" s="19">
        <v>4.4999999999999998E-2</v>
      </c>
      <c r="Y3213" s="20">
        <v>1.8599999999999999E-4</v>
      </c>
      <c r="Z3213" s="21">
        <v>4601004068506</v>
      </c>
    </row>
    <row r="3214" spans="1:26" ht="12" customHeight="1" outlineLevel="4" x14ac:dyDescent="0.2">
      <c r="A3214" s="14" t="s">
        <v>6273</v>
      </c>
      <c r="B3214" s="26" t="s">
        <v>6274</v>
      </c>
      <c r="C3214" s="52"/>
      <c r="D3214" s="55">
        <f t="shared" si="50"/>
        <v>0</v>
      </c>
      <c r="E3214" s="63" t="str">
        <f>HYPERLINK("https://www.sds-group.ru/product/nabor-dlya-tochnyh-rabot-8-predmetov-rexant-12-4763/", "Инфо")</f>
        <v>Инфо</v>
      </c>
      <c r="F3214" s="16" t="s">
        <v>39</v>
      </c>
      <c r="G3214" s="15"/>
      <c r="H3214" s="15"/>
      <c r="I3214" s="15"/>
      <c r="J3214" s="22">
        <v>1967</v>
      </c>
      <c r="K3214" s="15" t="s">
        <v>1587</v>
      </c>
      <c r="L3214" s="17">
        <v>1</v>
      </c>
      <c r="M3214" s="17">
        <v>240</v>
      </c>
      <c r="N3214" s="17">
        <v>1</v>
      </c>
      <c r="O3214" s="18">
        <v>323.41000000000003</v>
      </c>
      <c r="P3214" s="18">
        <v>265.08999999999997</v>
      </c>
      <c r="Q3214" s="18">
        <v>274.89999999999998</v>
      </c>
      <c r="R3214" s="18">
        <v>225.33</v>
      </c>
      <c r="S3214" s="18">
        <v>219.92</v>
      </c>
      <c r="T3214" s="18">
        <v>180.26</v>
      </c>
      <c r="U3214" s="16"/>
      <c r="V3214" s="16"/>
      <c r="W3214" s="16" t="s">
        <v>40</v>
      </c>
      <c r="X3214" s="19">
        <v>5.5E-2</v>
      </c>
      <c r="Y3214" s="20">
        <v>3.0600000000000001E-4</v>
      </c>
      <c r="Z3214" s="21">
        <v>4601004068490</v>
      </c>
    </row>
    <row r="3215" spans="1:26" ht="12" customHeight="1" outlineLevel="4" x14ac:dyDescent="0.2">
      <c r="A3215" s="14" t="s">
        <v>6275</v>
      </c>
      <c r="B3215" s="26" t="s">
        <v>6276</v>
      </c>
      <c r="C3215" s="52"/>
      <c r="D3215" s="55">
        <f t="shared" si="50"/>
        <v>0</v>
      </c>
      <c r="E3215" s="63" t="str">
        <f>HYPERLINK("https://www.sds-group.ru/product/nabor-dlya-tochnyh-rabot-9-predmetov-v-plastikovom-bokse-rexant-12-4765/", "Инфо")</f>
        <v>Инфо</v>
      </c>
      <c r="F3215" s="16" t="s">
        <v>39</v>
      </c>
      <c r="G3215" s="15"/>
      <c r="H3215" s="15"/>
      <c r="I3215" s="15"/>
      <c r="J3215" s="22">
        <v>2367</v>
      </c>
      <c r="K3215" s="15"/>
      <c r="L3215" s="17">
        <v>1</v>
      </c>
      <c r="M3215" s="17">
        <v>200</v>
      </c>
      <c r="N3215" s="17">
        <v>1</v>
      </c>
      <c r="O3215" s="18">
        <v>539.01</v>
      </c>
      <c r="P3215" s="18">
        <v>441.81</v>
      </c>
      <c r="Q3215" s="18">
        <v>377.31</v>
      </c>
      <c r="R3215" s="18">
        <v>309.27</v>
      </c>
      <c r="S3215" s="18">
        <v>366.53</v>
      </c>
      <c r="T3215" s="18">
        <v>300.43</v>
      </c>
      <c r="U3215" s="16"/>
      <c r="V3215" s="16"/>
      <c r="W3215" s="16"/>
      <c r="X3215" s="19">
        <v>8.7999999999999995E-2</v>
      </c>
      <c r="Y3215" s="20">
        <v>3.01E-4</v>
      </c>
      <c r="Z3215" s="21">
        <v>4601004068513</v>
      </c>
    </row>
    <row r="3216" spans="1:26" ht="12" customHeight="1" outlineLevel="4" x14ac:dyDescent="0.2">
      <c r="A3216" s="32" t="s">
        <v>6277</v>
      </c>
      <c r="B3216" s="74" t="s">
        <v>6278</v>
      </c>
      <c r="C3216" s="50"/>
      <c r="D3216" s="53">
        <f t="shared" si="50"/>
        <v>0</v>
      </c>
      <c r="E3216" s="60" t="str">
        <f>HYPERLINK("https://www.sds-group.ru/product/nabor-otvertok-19-predmetov-rexant-12-4771/", "Инфо")</f>
        <v>Инфо</v>
      </c>
      <c r="F3216" s="34" t="s">
        <v>39</v>
      </c>
      <c r="G3216" s="33"/>
      <c r="H3216" s="33" t="s">
        <v>40</v>
      </c>
      <c r="I3216" s="33"/>
      <c r="J3216" s="35">
        <v>204</v>
      </c>
      <c r="K3216" s="33"/>
      <c r="L3216" s="35">
        <v>1</v>
      </c>
      <c r="M3216" s="35">
        <v>60</v>
      </c>
      <c r="N3216" s="35">
        <v>1</v>
      </c>
      <c r="O3216" s="36">
        <v>474.33</v>
      </c>
      <c r="P3216" s="36">
        <v>388.8</v>
      </c>
      <c r="Q3216" s="36">
        <v>332.03</v>
      </c>
      <c r="R3216" s="36">
        <v>272.16000000000003</v>
      </c>
      <c r="S3216" s="36">
        <v>322.54000000000002</v>
      </c>
      <c r="T3216" s="36">
        <v>264.38</v>
      </c>
      <c r="U3216" s="34"/>
      <c r="V3216" s="34"/>
      <c r="W3216" s="34"/>
      <c r="X3216" s="37">
        <v>0.26200000000000001</v>
      </c>
      <c r="Y3216" s="38">
        <v>1.263E-3</v>
      </c>
      <c r="Z3216" s="21">
        <v>4601004063808</v>
      </c>
    </row>
    <row r="3217" spans="1:26" ht="12" customHeight="1" outlineLevel="4" x14ac:dyDescent="0.2">
      <c r="A3217" s="14" t="s">
        <v>6279</v>
      </c>
      <c r="B3217" s="26" t="s">
        <v>6280</v>
      </c>
      <c r="C3217" s="52"/>
      <c r="D3217" s="55">
        <f t="shared" si="50"/>
        <v>0</v>
      </c>
      <c r="E3217" s="63" t="str">
        <f>HYPERLINK("https://www.sds-group.ru/product/nabor-otvertok-dlya-tochnyh-rabot-16-predmetov-rexant-12-4704/", "Инфо")</f>
        <v>Инфо</v>
      </c>
      <c r="F3217" s="16" t="s">
        <v>39</v>
      </c>
      <c r="G3217" s="15"/>
      <c r="H3217" s="15"/>
      <c r="I3217" s="15"/>
      <c r="J3217" s="16" t="s">
        <v>100</v>
      </c>
      <c r="K3217" s="15" t="s">
        <v>1587</v>
      </c>
      <c r="L3217" s="17">
        <v>5</v>
      </c>
      <c r="M3217" s="17">
        <v>200</v>
      </c>
      <c r="N3217" s="17">
        <v>5</v>
      </c>
      <c r="O3217" s="18">
        <v>198.22</v>
      </c>
      <c r="P3217" s="18">
        <v>162.47999999999999</v>
      </c>
      <c r="Q3217" s="18">
        <v>168.49</v>
      </c>
      <c r="R3217" s="18">
        <v>138.11000000000001</v>
      </c>
      <c r="S3217" s="18">
        <v>134.79</v>
      </c>
      <c r="T3217" s="18">
        <v>110.48</v>
      </c>
      <c r="U3217" s="16"/>
      <c r="V3217" s="16"/>
      <c r="W3217" s="16" t="s">
        <v>40</v>
      </c>
      <c r="X3217" s="19">
        <v>0.09</v>
      </c>
      <c r="Y3217" s="20">
        <v>2.32E-4</v>
      </c>
      <c r="Z3217" s="21">
        <v>4601004026919</v>
      </c>
    </row>
    <row r="3218" spans="1:26" ht="12" customHeight="1" outlineLevel="4" x14ac:dyDescent="0.2">
      <c r="A3218" s="32" t="s">
        <v>6281</v>
      </c>
      <c r="B3218" s="74" t="s">
        <v>6282</v>
      </c>
      <c r="C3218" s="50"/>
      <c r="D3218" s="53">
        <f t="shared" si="50"/>
        <v>0</v>
      </c>
      <c r="E3218" s="60" t="str">
        <f>HYPERLINK("https://www.sds-group.ru/product/nabor-otvertok-dlya-tochnyh-rabot-31-predmet-kranz-KR-12-4778/", "Инфо")</f>
        <v>Инфо</v>
      </c>
      <c r="F3218" s="34" t="s">
        <v>39</v>
      </c>
      <c r="G3218" s="33"/>
      <c r="H3218" s="33" t="s">
        <v>40</v>
      </c>
      <c r="I3218" s="33"/>
      <c r="J3218" s="34" t="s">
        <v>100</v>
      </c>
      <c r="K3218" s="33"/>
      <c r="L3218" s="35">
        <v>1</v>
      </c>
      <c r="M3218" s="35">
        <v>10</v>
      </c>
      <c r="N3218" s="35">
        <v>1</v>
      </c>
      <c r="O3218" s="36">
        <v>4150.38</v>
      </c>
      <c r="P3218" s="36">
        <v>3401.95</v>
      </c>
      <c r="Q3218" s="36">
        <v>2905.27</v>
      </c>
      <c r="R3218" s="36">
        <v>2381.37</v>
      </c>
      <c r="S3218" s="36">
        <v>2822.26</v>
      </c>
      <c r="T3218" s="36">
        <v>2313.33</v>
      </c>
      <c r="U3218" s="34"/>
      <c r="V3218" s="34"/>
      <c r="W3218" s="34"/>
      <c r="X3218" s="37">
        <v>1.143</v>
      </c>
      <c r="Y3218" s="38">
        <v>2.7230000000000002E-3</v>
      </c>
      <c r="Z3218" s="21">
        <v>4601004201538</v>
      </c>
    </row>
    <row r="3219" spans="1:26" ht="12" customHeight="1" outlineLevel="4" x14ac:dyDescent="0.2">
      <c r="A3219" s="14" t="s">
        <v>6283</v>
      </c>
      <c r="B3219" s="26" t="s">
        <v>6284</v>
      </c>
      <c r="C3219" s="52"/>
      <c r="D3219" s="55">
        <f t="shared" si="50"/>
        <v>0</v>
      </c>
      <c r="E3219" s="63" t="str">
        <f>HYPERLINK("https://www.sds-group.ru/product/nabor-otvertok-dlya-tochnyh-rabot-32-predmeta-rexant-12-4701/", "Инфо")</f>
        <v>Инфо</v>
      </c>
      <c r="F3219" s="16" t="s">
        <v>39</v>
      </c>
      <c r="G3219" s="15"/>
      <c r="H3219" s="15"/>
      <c r="I3219" s="15"/>
      <c r="J3219" s="17">
        <v>45</v>
      </c>
      <c r="K3219" s="15" t="s">
        <v>1587</v>
      </c>
      <c r="L3219" s="17">
        <v>5</v>
      </c>
      <c r="M3219" s="17">
        <v>120</v>
      </c>
      <c r="N3219" s="17">
        <v>5</v>
      </c>
      <c r="O3219" s="18">
        <v>365.7</v>
      </c>
      <c r="P3219" s="18">
        <v>299.75</v>
      </c>
      <c r="Q3219" s="18">
        <v>292.56</v>
      </c>
      <c r="R3219" s="18">
        <v>239.8</v>
      </c>
      <c r="S3219" s="18">
        <v>248.68</v>
      </c>
      <c r="T3219" s="18">
        <v>203.84</v>
      </c>
      <c r="U3219" s="16"/>
      <c r="V3219" s="16"/>
      <c r="W3219" s="16" t="s">
        <v>40</v>
      </c>
      <c r="X3219" s="19">
        <v>0.2</v>
      </c>
      <c r="Y3219" s="20">
        <v>6.5399999999999996E-4</v>
      </c>
      <c r="Z3219" s="21">
        <v>4601004026933</v>
      </c>
    </row>
    <row r="3220" spans="1:26" ht="12" customHeight="1" outlineLevel="4" x14ac:dyDescent="0.2">
      <c r="A3220" s="32" t="s">
        <v>6285</v>
      </c>
      <c r="B3220" s="74" t="s">
        <v>6286</v>
      </c>
      <c r="C3220" s="50"/>
      <c r="D3220" s="53">
        <f t="shared" si="50"/>
        <v>0</v>
      </c>
      <c r="E3220" s="60" t="str">
        <f>HYPERLINK("https://www.sds-group.ru/product/nabor-otvertok-dlya-tochnyh-rabot-37-predmetov-kranz-KR-12-4776/", "Инфо")</f>
        <v>Инфо</v>
      </c>
      <c r="F3220" s="34" t="s">
        <v>39</v>
      </c>
      <c r="G3220" s="33"/>
      <c r="H3220" s="33" t="s">
        <v>40</v>
      </c>
      <c r="I3220" s="33"/>
      <c r="J3220" s="35">
        <v>3</v>
      </c>
      <c r="K3220" s="33"/>
      <c r="L3220" s="35">
        <v>1</v>
      </c>
      <c r="M3220" s="35">
        <v>20</v>
      </c>
      <c r="N3220" s="35">
        <v>1</v>
      </c>
      <c r="O3220" s="36">
        <v>3234.06</v>
      </c>
      <c r="P3220" s="36">
        <v>2650.87</v>
      </c>
      <c r="Q3220" s="36">
        <v>2263.84</v>
      </c>
      <c r="R3220" s="36">
        <v>1855.61</v>
      </c>
      <c r="S3220" s="36">
        <v>2199.16</v>
      </c>
      <c r="T3220" s="36">
        <v>1802.59</v>
      </c>
      <c r="U3220" s="34"/>
      <c r="V3220" s="34"/>
      <c r="W3220" s="34"/>
      <c r="X3220" s="37">
        <v>0.42099999999999999</v>
      </c>
      <c r="Y3220" s="38">
        <v>1.291E-3</v>
      </c>
      <c r="Z3220" s="21">
        <v>4601004201514</v>
      </c>
    </row>
    <row r="3221" spans="1:26" ht="12" customHeight="1" outlineLevel="4" x14ac:dyDescent="0.2">
      <c r="A3221" s="14" t="s">
        <v>6287</v>
      </c>
      <c r="B3221" s="26" t="s">
        <v>6288</v>
      </c>
      <c r="C3221" s="52"/>
      <c r="D3221" s="55">
        <f t="shared" si="50"/>
        <v>0</v>
      </c>
      <c r="E3221" s="63" t="str">
        <f>HYPERLINK("https://www.sds-group.ru/product/nabor-otvertok-dlya-tochnyh-rabot-37-predmetov-rexant-12-4702/", "Инфо")</f>
        <v>Инфо</v>
      </c>
      <c r="F3221" s="16" t="s">
        <v>39</v>
      </c>
      <c r="G3221" s="15"/>
      <c r="H3221" s="15"/>
      <c r="I3221" s="15"/>
      <c r="J3221" s="17">
        <v>158</v>
      </c>
      <c r="K3221" s="15" t="s">
        <v>1587</v>
      </c>
      <c r="L3221" s="17">
        <v>1</v>
      </c>
      <c r="M3221" s="17">
        <v>120</v>
      </c>
      <c r="N3221" s="17">
        <v>1</v>
      </c>
      <c r="O3221" s="18">
        <v>484.42</v>
      </c>
      <c r="P3221" s="18">
        <v>397.07</v>
      </c>
      <c r="Q3221" s="18">
        <v>339.09</v>
      </c>
      <c r="R3221" s="18">
        <v>277.94</v>
      </c>
      <c r="S3221" s="18">
        <v>329.41</v>
      </c>
      <c r="T3221" s="18">
        <v>270.01</v>
      </c>
      <c r="U3221" s="16"/>
      <c r="V3221" s="16"/>
      <c r="W3221" s="16"/>
      <c r="X3221" s="19">
        <v>0.21099999999999999</v>
      </c>
      <c r="Y3221" s="20">
        <v>4.9200000000000003E-4</v>
      </c>
      <c r="Z3221" s="21">
        <v>4601004026926</v>
      </c>
    </row>
    <row r="3222" spans="1:26" ht="12" customHeight="1" outlineLevel="4" x14ac:dyDescent="0.2">
      <c r="A3222" s="14" t="s">
        <v>6289</v>
      </c>
      <c r="B3222" s="26" t="s">
        <v>6290</v>
      </c>
      <c r="C3222" s="52"/>
      <c r="D3222" s="55">
        <f t="shared" si="50"/>
        <v>0</v>
      </c>
      <c r="E3222" s="63" t="str">
        <f>HYPERLINK("https://www.sds-group.ru/product/nabor-otvertok-dlya-tochnyh-rabot-45-predmetov-rexant-12-4706/", "Инфо")</f>
        <v>Инфо</v>
      </c>
      <c r="F3222" s="16" t="s">
        <v>39</v>
      </c>
      <c r="G3222" s="15"/>
      <c r="H3222" s="15"/>
      <c r="I3222" s="15"/>
      <c r="J3222" s="16" t="s">
        <v>100</v>
      </c>
      <c r="K3222" s="15" t="s">
        <v>1587</v>
      </c>
      <c r="L3222" s="17">
        <v>1</v>
      </c>
      <c r="M3222" s="17">
        <v>60</v>
      </c>
      <c r="N3222" s="17">
        <v>1</v>
      </c>
      <c r="O3222" s="18">
        <v>862.42</v>
      </c>
      <c r="P3222" s="18">
        <v>706.9</v>
      </c>
      <c r="Q3222" s="18">
        <v>603.69000000000005</v>
      </c>
      <c r="R3222" s="18">
        <v>494.83</v>
      </c>
      <c r="S3222" s="18">
        <v>586.45000000000005</v>
      </c>
      <c r="T3222" s="18">
        <v>480.7</v>
      </c>
      <c r="U3222" s="16"/>
      <c r="V3222" s="16"/>
      <c r="W3222" s="16"/>
      <c r="X3222" s="19">
        <v>0.33</v>
      </c>
      <c r="Y3222" s="20">
        <v>1.358E-3</v>
      </c>
      <c r="Z3222" s="21">
        <v>4601004063846</v>
      </c>
    </row>
    <row r="3223" spans="1:26" ht="12" customHeight="1" outlineLevel="4" x14ac:dyDescent="0.2">
      <c r="A3223" s="14" t="s">
        <v>6291</v>
      </c>
      <c r="B3223" s="26" t="s">
        <v>6292</v>
      </c>
      <c r="C3223" s="52"/>
      <c r="D3223" s="55">
        <f t="shared" si="50"/>
        <v>0</v>
      </c>
      <c r="E3223" s="63" t="str">
        <f>HYPERLINK("https://www.sds-group.ru/product/nabor-otvertok-dlya-tochnyh-rabot-ra-01-25-predmetov-kranz-KR-12-4751/", "Инфо")</f>
        <v>Инфо</v>
      </c>
      <c r="F3223" s="16" t="s">
        <v>39</v>
      </c>
      <c r="G3223" s="15"/>
      <c r="H3223" s="15"/>
      <c r="I3223" s="15"/>
      <c r="J3223" s="17">
        <v>640</v>
      </c>
      <c r="K3223" s="15" t="s">
        <v>1055</v>
      </c>
      <c r="L3223" s="17">
        <v>1</v>
      </c>
      <c r="M3223" s="17">
        <v>72</v>
      </c>
      <c r="N3223" s="17">
        <v>1</v>
      </c>
      <c r="O3223" s="18">
        <v>954</v>
      </c>
      <c r="P3223" s="18">
        <v>781.97</v>
      </c>
      <c r="Q3223" s="18">
        <v>667.8</v>
      </c>
      <c r="R3223" s="18">
        <v>547.38</v>
      </c>
      <c r="S3223" s="18">
        <v>648.72</v>
      </c>
      <c r="T3223" s="18">
        <v>531.74</v>
      </c>
      <c r="U3223" s="16"/>
      <c r="V3223" s="16"/>
      <c r="W3223" s="16" t="s">
        <v>40</v>
      </c>
      <c r="X3223" s="19">
        <v>0.16200000000000001</v>
      </c>
      <c r="Y3223" s="20">
        <v>2.7999999999999998E-4</v>
      </c>
      <c r="Z3223" s="21">
        <v>4601004200708</v>
      </c>
    </row>
    <row r="3224" spans="1:26" ht="12" customHeight="1" outlineLevel="4" x14ac:dyDescent="0.2">
      <c r="A3224" s="14" t="s">
        <v>6293</v>
      </c>
      <c r="B3224" s="26" t="s">
        <v>6294</v>
      </c>
      <c r="C3224" s="52"/>
      <c r="D3224" s="55">
        <f t="shared" si="50"/>
        <v>0</v>
      </c>
      <c r="E3224" s="63" t="str">
        <f>HYPERLINK("https://www.sds-group.ru/product/nabor-otvertok-dlya-tochnyh-rabot-ra-02-30-predmetov-kranz-KR-12-4752/", "Инфо")</f>
        <v>Инфо</v>
      </c>
      <c r="F3224" s="16" t="s">
        <v>39</v>
      </c>
      <c r="G3224" s="15"/>
      <c r="H3224" s="15"/>
      <c r="I3224" s="15"/>
      <c r="J3224" s="16" t="s">
        <v>100</v>
      </c>
      <c r="K3224" s="15" t="s">
        <v>1587</v>
      </c>
      <c r="L3224" s="17">
        <v>1</v>
      </c>
      <c r="M3224" s="17">
        <v>72</v>
      </c>
      <c r="N3224" s="17">
        <v>1</v>
      </c>
      <c r="O3224" s="18">
        <v>1212.78</v>
      </c>
      <c r="P3224" s="18">
        <v>994.08</v>
      </c>
      <c r="Q3224" s="18">
        <v>848.95</v>
      </c>
      <c r="R3224" s="18">
        <v>695.86</v>
      </c>
      <c r="S3224" s="18">
        <v>824.69</v>
      </c>
      <c r="T3224" s="18">
        <v>675.98</v>
      </c>
      <c r="U3224" s="16"/>
      <c r="V3224" s="16"/>
      <c r="W3224" s="16" t="s">
        <v>40</v>
      </c>
      <c r="X3224" s="19">
        <v>0.30599999999999999</v>
      </c>
      <c r="Y3224" s="20">
        <v>6.3599999999999996E-4</v>
      </c>
      <c r="Z3224" s="21">
        <v>4601004197442</v>
      </c>
    </row>
    <row r="3225" spans="1:26" ht="12" customHeight="1" outlineLevel="4" x14ac:dyDescent="0.2">
      <c r="A3225" s="14" t="s">
        <v>6295</v>
      </c>
      <c r="B3225" s="26" t="s">
        <v>6296</v>
      </c>
      <c r="C3225" s="52"/>
      <c r="D3225" s="55">
        <f t="shared" si="50"/>
        <v>0</v>
      </c>
      <c r="E3225" s="63" t="str">
        <f>HYPERLINK("https://www.sds-group.ru/product/nabor-otvertok-dlya-tochnyh-rabot-ra-03-25-predmetov-kranz-KR-12-4753/", "Инфо")</f>
        <v>Инфо</v>
      </c>
      <c r="F3225" s="16" t="s">
        <v>39</v>
      </c>
      <c r="G3225" s="15"/>
      <c r="H3225" s="15"/>
      <c r="I3225" s="15"/>
      <c r="J3225" s="17">
        <v>890</v>
      </c>
      <c r="K3225" s="15" t="s">
        <v>1587</v>
      </c>
      <c r="L3225" s="17">
        <v>1</v>
      </c>
      <c r="M3225" s="17">
        <v>100</v>
      </c>
      <c r="N3225" s="17">
        <v>1</v>
      </c>
      <c r="O3225" s="18">
        <v>1261.28</v>
      </c>
      <c r="P3225" s="18">
        <v>1033.8399999999999</v>
      </c>
      <c r="Q3225" s="18">
        <v>882.9</v>
      </c>
      <c r="R3225" s="18">
        <v>723.69</v>
      </c>
      <c r="S3225" s="18">
        <v>857.67</v>
      </c>
      <c r="T3225" s="18">
        <v>703.01</v>
      </c>
      <c r="U3225" s="16"/>
      <c r="V3225" s="16"/>
      <c r="W3225" s="16" t="s">
        <v>40</v>
      </c>
      <c r="X3225" s="19">
        <v>0.247</v>
      </c>
      <c r="Y3225" s="20">
        <v>3.7199999999999999E-4</v>
      </c>
      <c r="Z3225" s="21">
        <v>4601004197435</v>
      </c>
    </row>
    <row r="3226" spans="1:26" ht="12" customHeight="1" outlineLevel="4" x14ac:dyDescent="0.2">
      <c r="A3226" s="14" t="s">
        <v>6297</v>
      </c>
      <c r="B3226" s="26" t="s">
        <v>6298</v>
      </c>
      <c r="C3226" s="52"/>
      <c r="D3226" s="55">
        <f t="shared" si="50"/>
        <v>0</v>
      </c>
      <c r="E3226" s="63" t="str">
        <f>HYPERLINK("https://www.sds-group.ru/product/nabor-otvertok-dlya-tochnyh-rabot-ra-04-24-predmeta-kranz-KR-12-4754/", "Инфо")</f>
        <v>Инфо</v>
      </c>
      <c r="F3226" s="16" t="s">
        <v>39</v>
      </c>
      <c r="G3226" s="15"/>
      <c r="H3226" s="15"/>
      <c r="I3226" s="15"/>
      <c r="J3226" s="17">
        <v>398</v>
      </c>
      <c r="K3226" s="15" t="s">
        <v>6181</v>
      </c>
      <c r="L3226" s="17">
        <v>1</v>
      </c>
      <c r="M3226" s="17">
        <v>72</v>
      </c>
      <c r="N3226" s="17">
        <v>1</v>
      </c>
      <c r="O3226" s="18">
        <v>1212.78</v>
      </c>
      <c r="P3226" s="18">
        <v>994.08</v>
      </c>
      <c r="Q3226" s="18">
        <v>848.95</v>
      </c>
      <c r="R3226" s="18">
        <v>695.86</v>
      </c>
      <c r="S3226" s="18">
        <v>824.69</v>
      </c>
      <c r="T3226" s="18">
        <v>675.98</v>
      </c>
      <c r="U3226" s="16"/>
      <c r="V3226" s="16"/>
      <c r="W3226" s="16" t="s">
        <v>40</v>
      </c>
      <c r="X3226" s="19">
        <v>0.25</v>
      </c>
      <c r="Y3226" s="20">
        <v>4.84E-4</v>
      </c>
      <c r="Z3226" s="21">
        <v>4601004197466</v>
      </c>
    </row>
    <row r="3227" spans="1:26" ht="12" customHeight="1" outlineLevel="4" x14ac:dyDescent="0.2">
      <c r="A3227" s="14" t="s">
        <v>6299</v>
      </c>
      <c r="B3227" s="26" t="s">
        <v>6300</v>
      </c>
      <c r="C3227" s="52"/>
      <c r="D3227" s="55">
        <f t="shared" si="50"/>
        <v>0</v>
      </c>
      <c r="E3227" s="63" t="str">
        <f>HYPERLINK("https://www.sds-group.ru/product/nabor-otvertok-dlya-tochnyh-rabot-ra-05-106-predmetov-kranz-KR-12-4755/", "Инфо")</f>
        <v>Инфо</v>
      </c>
      <c r="F3227" s="16" t="s">
        <v>39</v>
      </c>
      <c r="G3227" s="15"/>
      <c r="H3227" s="15"/>
      <c r="I3227" s="15"/>
      <c r="J3227" s="16" t="s">
        <v>100</v>
      </c>
      <c r="K3227" s="15" t="s">
        <v>1587</v>
      </c>
      <c r="L3227" s="17">
        <v>1</v>
      </c>
      <c r="M3227" s="17">
        <v>20</v>
      </c>
      <c r="N3227" s="17">
        <v>1</v>
      </c>
      <c r="O3227" s="18">
        <v>2231.5</v>
      </c>
      <c r="P3227" s="18">
        <v>1829.1</v>
      </c>
      <c r="Q3227" s="18">
        <v>1562.05</v>
      </c>
      <c r="R3227" s="18">
        <v>1280.3699999999999</v>
      </c>
      <c r="S3227" s="18">
        <v>1517.42</v>
      </c>
      <c r="T3227" s="18">
        <v>1243.79</v>
      </c>
      <c r="U3227" s="16"/>
      <c r="V3227" s="16"/>
      <c r="W3227" s="16" t="s">
        <v>40</v>
      </c>
      <c r="X3227" s="19">
        <v>0.54100000000000004</v>
      </c>
      <c r="Y3227" s="20">
        <v>1.299E-3</v>
      </c>
      <c r="Z3227" s="21">
        <v>4601004197459</v>
      </c>
    </row>
    <row r="3228" spans="1:26" ht="12" customHeight="1" outlineLevel="4" x14ac:dyDescent="0.2">
      <c r="A3228" s="32" t="s">
        <v>6301</v>
      </c>
      <c r="B3228" s="74" t="s">
        <v>6302</v>
      </c>
      <c r="C3228" s="50"/>
      <c r="D3228" s="53">
        <f t="shared" si="50"/>
        <v>0</v>
      </c>
      <c r="E3228" s="60" t="str">
        <f>HYPERLINK("https://www.sds-group.ru/product/nabor-otvertok-i-rolikov-dlya-remonta-mobilnyh-ustroystv-9-predmetov-kranz-KR-12-4770/", "Инфо")</f>
        <v>Инфо</v>
      </c>
      <c r="F3228" s="34" t="s">
        <v>39</v>
      </c>
      <c r="G3228" s="33"/>
      <c r="H3228" s="33" t="s">
        <v>40</v>
      </c>
      <c r="I3228" s="33"/>
      <c r="J3228" s="35">
        <v>25</v>
      </c>
      <c r="K3228" s="33"/>
      <c r="L3228" s="35">
        <v>1</v>
      </c>
      <c r="M3228" s="35">
        <v>100</v>
      </c>
      <c r="N3228" s="35">
        <v>1</v>
      </c>
      <c r="O3228" s="36">
        <v>452.77</v>
      </c>
      <c r="P3228" s="36">
        <v>371.12</v>
      </c>
      <c r="Q3228" s="36">
        <v>316.94</v>
      </c>
      <c r="R3228" s="36">
        <v>259.79000000000002</v>
      </c>
      <c r="S3228" s="36">
        <v>307.88</v>
      </c>
      <c r="T3228" s="36">
        <v>252.36</v>
      </c>
      <c r="U3228" s="34"/>
      <c r="V3228" s="34"/>
      <c r="W3228" s="34"/>
      <c r="X3228" s="37">
        <v>6.6000000000000003E-2</v>
      </c>
      <c r="Y3228" s="38">
        <v>2.8200000000000002E-4</v>
      </c>
      <c r="Z3228" s="21">
        <v>4601004201552</v>
      </c>
    </row>
    <row r="3229" spans="1:26" ht="12" customHeight="1" outlineLevel="4" x14ac:dyDescent="0.2">
      <c r="A3229" s="14" t="s">
        <v>6303</v>
      </c>
      <c r="B3229" s="26" t="s">
        <v>6304</v>
      </c>
      <c r="C3229" s="52"/>
      <c r="D3229" s="55">
        <f t="shared" si="50"/>
        <v>0</v>
      </c>
      <c r="E3229" s="63" t="str">
        <f>HYPERLINK("https://www.sds-group.ru/product/nabor-chasovyh-otvertok-6-predmetov-rexant-12-6050/", "Инфо")</f>
        <v>Инфо</v>
      </c>
      <c r="F3229" s="16" t="s">
        <v>39</v>
      </c>
      <c r="G3229" s="15"/>
      <c r="H3229" s="15"/>
      <c r="I3229" s="15"/>
      <c r="J3229" s="22">
        <v>6970</v>
      </c>
      <c r="K3229" s="15" t="s">
        <v>3237</v>
      </c>
      <c r="L3229" s="17">
        <v>5</v>
      </c>
      <c r="M3229" s="17">
        <v>120</v>
      </c>
      <c r="N3229" s="17">
        <v>5</v>
      </c>
      <c r="O3229" s="18">
        <v>237.16</v>
      </c>
      <c r="P3229" s="18">
        <v>194.39</v>
      </c>
      <c r="Q3229" s="18">
        <v>201.59</v>
      </c>
      <c r="R3229" s="18">
        <v>165.24</v>
      </c>
      <c r="S3229" s="18">
        <v>161.27000000000001</v>
      </c>
      <c r="T3229" s="18">
        <v>132.19</v>
      </c>
      <c r="U3229" s="16"/>
      <c r="V3229" s="16"/>
      <c r="W3229" s="16" t="s">
        <v>40</v>
      </c>
      <c r="X3229" s="19">
        <v>9.7000000000000003E-2</v>
      </c>
      <c r="Y3229" s="20">
        <v>4.2200000000000001E-4</v>
      </c>
      <c r="Z3229" s="21">
        <v>4660008014865</v>
      </c>
    </row>
    <row r="3230" spans="1:26" ht="12" customHeight="1" outlineLevel="4" x14ac:dyDescent="0.2">
      <c r="A3230" s="14" t="s">
        <v>6305</v>
      </c>
      <c r="B3230" s="26" t="s">
        <v>6306</v>
      </c>
      <c r="C3230" s="52"/>
      <c r="D3230" s="55">
        <f t="shared" si="50"/>
        <v>0</v>
      </c>
      <c r="E3230" s="63" t="str">
        <f>HYPERLINK("https://www.sds-group.ru/product/nabor-chasovyh-otvertok-16-predmetov-rexant-12-6051/", "Инфо")</f>
        <v>Инфо</v>
      </c>
      <c r="F3230" s="16" t="s">
        <v>39</v>
      </c>
      <c r="G3230" s="15"/>
      <c r="H3230" s="15"/>
      <c r="I3230" s="15"/>
      <c r="J3230" s="22">
        <v>1835</v>
      </c>
      <c r="K3230" s="15" t="s">
        <v>1150</v>
      </c>
      <c r="L3230" s="17">
        <v>1</v>
      </c>
      <c r="M3230" s="17">
        <v>40</v>
      </c>
      <c r="N3230" s="17">
        <v>1</v>
      </c>
      <c r="O3230" s="18">
        <v>776.17</v>
      </c>
      <c r="P3230" s="18">
        <v>636.20000000000005</v>
      </c>
      <c r="Q3230" s="18">
        <v>620.94000000000005</v>
      </c>
      <c r="R3230" s="18">
        <v>508.97</v>
      </c>
      <c r="S3230" s="18">
        <v>527.79999999999995</v>
      </c>
      <c r="T3230" s="18">
        <v>432.62</v>
      </c>
      <c r="U3230" s="16"/>
      <c r="V3230" s="16"/>
      <c r="W3230" s="16" t="s">
        <v>40</v>
      </c>
      <c r="X3230" s="19">
        <v>0.28100000000000003</v>
      </c>
      <c r="Y3230" s="20">
        <v>1.196E-3</v>
      </c>
      <c r="Z3230" s="21">
        <v>4660008014872</v>
      </c>
    </row>
    <row r="3231" spans="1:26" ht="12" customHeight="1" outlineLevel="4" x14ac:dyDescent="0.2">
      <c r="A3231" s="14" t="s">
        <v>6307</v>
      </c>
      <c r="B3231" s="26" t="s">
        <v>6308</v>
      </c>
      <c r="C3231" s="52"/>
      <c r="D3231" s="55">
        <f t="shared" si="50"/>
        <v>0</v>
      </c>
      <c r="E3231" s="63" t="str">
        <f>HYPERLINK("https://www.sds-group.ru/product/nabor-chasovyh-otvertok-torx-7-predmetov-rexant-12-6041/", "Инфо")</f>
        <v>Инфо</v>
      </c>
      <c r="F3231" s="16" t="s">
        <v>39</v>
      </c>
      <c r="G3231" s="15"/>
      <c r="H3231" s="15"/>
      <c r="I3231" s="15"/>
      <c r="J3231" s="22">
        <v>2229</v>
      </c>
      <c r="K3231" s="15"/>
      <c r="L3231" s="17">
        <v>1</v>
      </c>
      <c r="M3231" s="17">
        <v>60</v>
      </c>
      <c r="N3231" s="17">
        <v>1</v>
      </c>
      <c r="O3231" s="18">
        <v>431.21</v>
      </c>
      <c r="P3231" s="18">
        <v>353.45</v>
      </c>
      <c r="Q3231" s="18">
        <v>301.85000000000002</v>
      </c>
      <c r="R3231" s="18">
        <v>247.42</v>
      </c>
      <c r="S3231" s="18">
        <v>293.22000000000003</v>
      </c>
      <c r="T3231" s="18">
        <v>240.34</v>
      </c>
      <c r="U3231" s="16"/>
      <c r="V3231" s="16"/>
      <c r="W3231" s="16"/>
      <c r="X3231" s="19">
        <v>0.14599999999999999</v>
      </c>
      <c r="Y3231" s="20">
        <v>5.53E-4</v>
      </c>
      <c r="Z3231" s="21">
        <v>4660008014834</v>
      </c>
    </row>
    <row r="3232" spans="1:26" ht="12" customHeight="1" outlineLevel="4" x14ac:dyDescent="0.2">
      <c r="A3232" s="14" t="s">
        <v>6309</v>
      </c>
      <c r="B3232" s="26" t="s">
        <v>6310</v>
      </c>
      <c r="C3232" s="52"/>
      <c r="D3232" s="55">
        <f t="shared" si="50"/>
        <v>0</v>
      </c>
      <c r="E3232" s="63" t="str">
        <f>HYPERLINK("https://www.sds-group.ru/product/otvertka-dlya-telefonov-pyatiluchevaya-zvezda-pentalobe-0-8-rexant-12-4766/", "Инфо")</f>
        <v>Инфо</v>
      </c>
      <c r="F3232" s="16" t="s">
        <v>39</v>
      </c>
      <c r="G3232" s="15"/>
      <c r="H3232" s="15"/>
      <c r="I3232" s="15"/>
      <c r="J3232" s="17">
        <v>797</v>
      </c>
      <c r="K3232" s="15" t="s">
        <v>1131</v>
      </c>
      <c r="L3232" s="17">
        <v>5</v>
      </c>
      <c r="M3232" s="17">
        <v>400</v>
      </c>
      <c r="N3232" s="17">
        <v>5</v>
      </c>
      <c r="O3232" s="18">
        <v>265</v>
      </c>
      <c r="P3232" s="18">
        <v>217.21</v>
      </c>
      <c r="Q3232" s="18">
        <v>185.5</v>
      </c>
      <c r="R3232" s="18">
        <v>152.05000000000001</v>
      </c>
      <c r="S3232" s="18">
        <v>180.2</v>
      </c>
      <c r="T3232" s="18">
        <v>147.69999999999999</v>
      </c>
      <c r="U3232" s="16"/>
      <c r="V3232" s="16"/>
      <c r="W3232" s="16"/>
      <c r="X3232" s="19">
        <v>3.5999999999999997E-2</v>
      </c>
      <c r="Y3232" s="20">
        <v>1.8799999999999999E-4</v>
      </c>
      <c r="Z3232" s="21">
        <v>4601004068520</v>
      </c>
    </row>
    <row r="3233" spans="1:26" ht="12" customHeight="1" outlineLevel="4" x14ac:dyDescent="0.2">
      <c r="A3233" s="14" t="s">
        <v>6311</v>
      </c>
      <c r="B3233" s="26" t="s">
        <v>6312</v>
      </c>
      <c r="C3233" s="52"/>
      <c r="D3233" s="55">
        <f t="shared" si="50"/>
        <v>0</v>
      </c>
      <c r="E3233" s="63" t="str">
        <f>HYPERLINK("https://www.sds-group.ru/product/otvertka-s-nasadkami-6-sht-rexant-12-4705/", "Инфо")</f>
        <v>Инфо</v>
      </c>
      <c r="F3233" s="16" t="s">
        <v>39</v>
      </c>
      <c r="G3233" s="15"/>
      <c r="H3233" s="15"/>
      <c r="I3233" s="15"/>
      <c r="J3233" s="17">
        <v>96</v>
      </c>
      <c r="K3233" s="15" t="s">
        <v>2798</v>
      </c>
      <c r="L3233" s="17">
        <v>1</v>
      </c>
      <c r="M3233" s="17">
        <v>288</v>
      </c>
      <c r="N3233" s="17">
        <v>1</v>
      </c>
      <c r="O3233" s="18">
        <v>344.97</v>
      </c>
      <c r="P3233" s="18">
        <v>282.76</v>
      </c>
      <c r="Q3233" s="18">
        <v>293.22000000000003</v>
      </c>
      <c r="R3233" s="18">
        <v>240.34</v>
      </c>
      <c r="S3233" s="18">
        <v>234.58</v>
      </c>
      <c r="T3233" s="18">
        <v>192.28</v>
      </c>
      <c r="U3233" s="16"/>
      <c r="V3233" s="16"/>
      <c r="W3233" s="16" t="s">
        <v>40</v>
      </c>
      <c r="X3233" s="19">
        <v>4.8000000000000001E-2</v>
      </c>
      <c r="Y3233" s="20">
        <v>1.8000000000000001E-4</v>
      </c>
      <c r="Z3233" s="21">
        <v>4601004026025</v>
      </c>
    </row>
    <row r="3234" spans="1:26" ht="12.95" customHeight="1" outlineLevel="3" x14ac:dyDescent="0.2">
      <c r="A3234" s="76" t="s">
        <v>6313</v>
      </c>
      <c r="B3234" s="76"/>
      <c r="C3234" s="77"/>
      <c r="D3234" s="58"/>
      <c r="E3234" s="68"/>
      <c r="F3234" s="13"/>
      <c r="G3234" s="13"/>
      <c r="H3234" s="13"/>
      <c r="I3234" s="13"/>
      <c r="J3234" s="13"/>
      <c r="K3234" s="13"/>
      <c r="L3234" s="13"/>
      <c r="M3234" s="13"/>
      <c r="N3234" s="13"/>
      <c r="O3234" s="13"/>
      <c r="P3234" s="13"/>
      <c r="Q3234" s="13"/>
      <c r="R3234" s="13"/>
      <c r="S3234" s="13"/>
      <c r="T3234" s="13"/>
      <c r="U3234" s="13"/>
      <c r="V3234" s="13"/>
      <c r="W3234" s="13"/>
      <c r="X3234" s="13"/>
      <c r="Y3234" s="13"/>
      <c r="Z3234" s="13"/>
    </row>
    <row r="3235" spans="1:26" ht="12" customHeight="1" outlineLevel="4" x14ac:dyDescent="0.2">
      <c r="A3235" s="14" t="s">
        <v>6314</v>
      </c>
      <c r="B3235" s="26" t="s">
        <v>6315</v>
      </c>
      <c r="C3235" s="52"/>
      <c r="D3235" s="55">
        <f t="shared" si="50"/>
        <v>0</v>
      </c>
      <c r="E3235" s="63" t="str">
        <f>HYPERLINK("https://www.sds-group.ru/product/nabor-otvertok-8-predmetov-proconnect-12-4773/", "Инфо")</f>
        <v>Инфо</v>
      </c>
      <c r="F3235" s="16" t="s">
        <v>39</v>
      </c>
      <c r="G3235" s="15"/>
      <c r="H3235" s="15"/>
      <c r="I3235" s="15"/>
      <c r="J3235" s="22">
        <v>4013</v>
      </c>
      <c r="K3235" s="15" t="s">
        <v>1587</v>
      </c>
      <c r="L3235" s="17">
        <v>1</v>
      </c>
      <c r="M3235" s="17">
        <v>60</v>
      </c>
      <c r="N3235" s="17">
        <v>1</v>
      </c>
      <c r="O3235" s="18">
        <v>1007</v>
      </c>
      <c r="P3235" s="18">
        <v>825.41</v>
      </c>
      <c r="Q3235" s="18">
        <v>704.9</v>
      </c>
      <c r="R3235" s="18">
        <v>577.79</v>
      </c>
      <c r="S3235" s="18">
        <v>684.76</v>
      </c>
      <c r="T3235" s="18">
        <v>561.28</v>
      </c>
      <c r="U3235" s="16"/>
      <c r="V3235" s="16"/>
      <c r="W3235" s="16"/>
      <c r="X3235" s="19">
        <v>0.45300000000000001</v>
      </c>
      <c r="Y3235" s="20">
        <v>1.8060000000000001E-3</v>
      </c>
      <c r="Z3235" s="21">
        <v>4601004084599</v>
      </c>
    </row>
    <row r="3236" spans="1:26" ht="12" customHeight="1" outlineLevel="4" x14ac:dyDescent="0.2">
      <c r="A3236" s="14" t="s">
        <v>6316</v>
      </c>
      <c r="B3236" s="26" t="s">
        <v>6317</v>
      </c>
      <c r="C3236" s="52"/>
      <c r="D3236" s="55">
        <f t="shared" si="50"/>
        <v>0</v>
      </c>
      <c r="E3236" s="63" t="str">
        <f>HYPERLINK("https://www.sds-group.ru/product/nabor-otvertok-dielektricheskih-123-predmeta-rexant-12-4772-3/", "Инфо")</f>
        <v>Инфо</v>
      </c>
      <c r="F3236" s="16" t="s">
        <v>39</v>
      </c>
      <c r="G3236" s="15"/>
      <c r="H3236" s="15"/>
      <c r="I3236" s="15"/>
      <c r="J3236" s="17">
        <v>8</v>
      </c>
      <c r="K3236" s="15" t="s">
        <v>1587</v>
      </c>
      <c r="L3236" s="17">
        <v>1</v>
      </c>
      <c r="M3236" s="17">
        <v>24</v>
      </c>
      <c r="N3236" s="17">
        <v>1</v>
      </c>
      <c r="O3236" s="18">
        <v>4340.7</v>
      </c>
      <c r="P3236" s="18">
        <v>3557.95</v>
      </c>
      <c r="Q3236" s="18">
        <v>3168.71</v>
      </c>
      <c r="R3236" s="18">
        <v>2597.3000000000002</v>
      </c>
      <c r="S3236" s="18">
        <v>2951.68</v>
      </c>
      <c r="T3236" s="18">
        <v>2419.41</v>
      </c>
      <c r="U3236" s="16"/>
      <c r="V3236" s="16"/>
      <c r="W3236" s="16" t="s">
        <v>40</v>
      </c>
      <c r="X3236" s="19">
        <v>0.88</v>
      </c>
      <c r="Y3236" s="20">
        <v>2.147E-3</v>
      </c>
      <c r="Z3236" s="21">
        <v>4601004288201</v>
      </c>
    </row>
    <row r="3237" spans="1:26" ht="12" customHeight="1" outlineLevel="4" x14ac:dyDescent="0.2">
      <c r="A3237" s="14" t="s">
        <v>6318</v>
      </c>
      <c r="B3237" s="26" t="s">
        <v>6319</v>
      </c>
      <c r="C3237" s="52"/>
      <c r="D3237" s="55">
        <f t="shared" si="50"/>
        <v>0</v>
      </c>
      <c r="E3237" s="63" t="str">
        <f>HYPERLINK("https://www.sds-group.ru/product/nabor-otvertok-dielektricheskih-14-predmetov-rexant-12-4773-3/", "Инфо")</f>
        <v>Инфо</v>
      </c>
      <c r="F3237" s="16" t="s">
        <v>39</v>
      </c>
      <c r="G3237" s="15"/>
      <c r="H3237" s="15"/>
      <c r="I3237" s="15"/>
      <c r="J3237" s="17">
        <v>617</v>
      </c>
      <c r="K3237" s="15" t="s">
        <v>6181</v>
      </c>
      <c r="L3237" s="17">
        <v>1</v>
      </c>
      <c r="M3237" s="17">
        <v>80</v>
      </c>
      <c r="N3237" s="17">
        <v>1</v>
      </c>
      <c r="O3237" s="18">
        <v>1526.4</v>
      </c>
      <c r="P3237" s="18">
        <v>1251.1500000000001</v>
      </c>
      <c r="Q3237" s="18">
        <v>1205.8599999999999</v>
      </c>
      <c r="R3237" s="18">
        <v>988.41</v>
      </c>
      <c r="S3237" s="18">
        <v>1037.95</v>
      </c>
      <c r="T3237" s="18">
        <v>850.78</v>
      </c>
      <c r="U3237" s="16"/>
      <c r="V3237" s="16"/>
      <c r="W3237" s="16" t="s">
        <v>40</v>
      </c>
      <c r="X3237" s="19">
        <v>0.42</v>
      </c>
      <c r="Y3237" s="20">
        <v>8.8099999999999995E-4</v>
      </c>
      <c r="Z3237" s="21">
        <v>4601004288218</v>
      </c>
    </row>
    <row r="3238" spans="1:26" ht="12" customHeight="1" outlineLevel="4" x14ac:dyDescent="0.2">
      <c r="A3238" s="14" t="s">
        <v>6320</v>
      </c>
      <c r="B3238" s="26" t="s">
        <v>6321</v>
      </c>
      <c r="C3238" s="52"/>
      <c r="D3238" s="55">
        <f t="shared" si="50"/>
        <v>0</v>
      </c>
      <c r="E3238" s="63" t="str">
        <f>HYPERLINK("https://www.sds-group.ru/product/nabor-otvertok-dielektricheskih-76-predmetov-rexant-12-4771-3/", "Инфо")</f>
        <v>Инфо</v>
      </c>
      <c r="F3238" s="16" t="s">
        <v>39</v>
      </c>
      <c r="G3238" s="15"/>
      <c r="H3238" s="15"/>
      <c r="I3238" s="15"/>
      <c r="J3238" s="17">
        <v>12</v>
      </c>
      <c r="K3238" s="15" t="s">
        <v>1587</v>
      </c>
      <c r="L3238" s="17">
        <v>1</v>
      </c>
      <c r="M3238" s="17">
        <v>24</v>
      </c>
      <c r="N3238" s="17">
        <v>1</v>
      </c>
      <c r="O3238" s="18">
        <v>3127</v>
      </c>
      <c r="P3238" s="18">
        <v>2563.11</v>
      </c>
      <c r="Q3238" s="18">
        <v>2282.71</v>
      </c>
      <c r="R3238" s="18">
        <v>1871.07</v>
      </c>
      <c r="S3238" s="18">
        <v>2126.36</v>
      </c>
      <c r="T3238" s="18">
        <v>1742.92</v>
      </c>
      <c r="U3238" s="16"/>
      <c r="V3238" s="16"/>
      <c r="W3238" s="16" t="s">
        <v>40</v>
      </c>
      <c r="X3238" s="19">
        <v>1.1619999999999999</v>
      </c>
      <c r="Y3238" s="20">
        <v>3.0249999999999999E-3</v>
      </c>
      <c r="Z3238" s="21">
        <v>4601004288188</v>
      </c>
    </row>
    <row r="3239" spans="1:26" ht="12" customHeight="1" outlineLevel="4" x14ac:dyDescent="0.2">
      <c r="A3239" s="14" t="s">
        <v>6322</v>
      </c>
      <c r="B3239" s="26" t="s">
        <v>6323</v>
      </c>
      <c r="C3239" s="52"/>
      <c r="D3239" s="55">
        <f t="shared" si="50"/>
        <v>0</v>
      </c>
      <c r="E3239" s="63" t="str">
        <f>HYPERLINK("https://www.sds-group.ru/product/otvertka-krestovaya-dielektricheskaya-ph-sl2h150mm-do-1000v-dvuhkomponentnaya-rukoyatka-rexa-12-4719/", "Инфо")</f>
        <v>Инфо</v>
      </c>
      <c r="F3239" s="16" t="s">
        <v>39</v>
      </c>
      <c r="G3239" s="15"/>
      <c r="H3239" s="15"/>
      <c r="I3239" s="15"/>
      <c r="J3239" s="22">
        <v>1459</v>
      </c>
      <c r="K3239" s="15" t="s">
        <v>1587</v>
      </c>
      <c r="L3239" s="17">
        <v>12</v>
      </c>
      <c r="M3239" s="17">
        <v>240</v>
      </c>
      <c r="N3239" s="17">
        <v>12</v>
      </c>
      <c r="O3239" s="18">
        <v>286.2</v>
      </c>
      <c r="P3239" s="18">
        <v>234.59</v>
      </c>
      <c r="Q3239" s="18">
        <v>243.27</v>
      </c>
      <c r="R3239" s="18">
        <v>199.4</v>
      </c>
      <c r="S3239" s="18">
        <v>194.62</v>
      </c>
      <c r="T3239" s="18">
        <v>159.52000000000001</v>
      </c>
      <c r="U3239" s="16"/>
      <c r="V3239" s="16"/>
      <c r="W3239" s="16" t="s">
        <v>40</v>
      </c>
      <c r="X3239" s="19">
        <v>0.122</v>
      </c>
      <c r="Y3239" s="20">
        <v>3.3700000000000001E-4</v>
      </c>
      <c r="Z3239" s="21">
        <v>4601004288195</v>
      </c>
    </row>
    <row r="3240" spans="1:26" ht="12" customHeight="1" outlineLevel="4" x14ac:dyDescent="0.2">
      <c r="A3240" s="14" t="s">
        <v>6324</v>
      </c>
      <c r="B3240" s="26" t="s">
        <v>6325</v>
      </c>
      <c r="C3240" s="52"/>
      <c r="D3240" s="55">
        <f t="shared" si="50"/>
        <v>0</v>
      </c>
      <c r="E3240" s="63" t="str">
        <f>HYPERLINK("https://www.sds-group.ru/product/otvertka-krestovaya-dielektricheskaya-ph0h100mm-do-1000v-dvuhkomponentnaya-rukoyatka-rexant-12-4716/", "Инфо")</f>
        <v>Инфо</v>
      </c>
      <c r="F3240" s="16" t="s">
        <v>39</v>
      </c>
      <c r="G3240" s="15"/>
      <c r="H3240" s="15"/>
      <c r="I3240" s="15"/>
      <c r="J3240" s="22">
        <v>4086</v>
      </c>
      <c r="K3240" s="15"/>
      <c r="L3240" s="17">
        <v>12</v>
      </c>
      <c r="M3240" s="17">
        <v>480</v>
      </c>
      <c r="N3240" s="17">
        <v>12</v>
      </c>
      <c r="O3240" s="18">
        <v>153.69999999999999</v>
      </c>
      <c r="P3240" s="18">
        <v>125.98</v>
      </c>
      <c r="Q3240" s="18">
        <v>130.65</v>
      </c>
      <c r="R3240" s="18">
        <v>107.09</v>
      </c>
      <c r="S3240" s="18">
        <v>104.52</v>
      </c>
      <c r="T3240" s="18">
        <v>85.67</v>
      </c>
      <c r="U3240" s="16"/>
      <c r="V3240" s="16"/>
      <c r="W3240" s="16" t="s">
        <v>40</v>
      </c>
      <c r="X3240" s="19">
        <v>0.05</v>
      </c>
      <c r="Y3240" s="20">
        <v>2.1699999999999999E-4</v>
      </c>
      <c r="Z3240" s="21">
        <v>4601004026995</v>
      </c>
    </row>
    <row r="3241" spans="1:26" ht="12" customHeight="1" outlineLevel="4" x14ac:dyDescent="0.2">
      <c r="A3241" s="14" t="s">
        <v>6326</v>
      </c>
      <c r="B3241" s="26" t="s">
        <v>6327</v>
      </c>
      <c r="C3241" s="52"/>
      <c r="D3241" s="55">
        <f t="shared" si="50"/>
        <v>0</v>
      </c>
      <c r="E3241" s="63" t="str">
        <f>HYPERLINK("https://www.sds-group.ru/product/otvertka-krestovaya-dielektricheskaya-ph0h75mm-do-1000v-dvuhkomponentnaya-rukoyatka-rexant-12-4715/", "Инфо")</f>
        <v>Инфо</v>
      </c>
      <c r="F3241" s="16" t="s">
        <v>39</v>
      </c>
      <c r="G3241" s="15"/>
      <c r="H3241" s="15"/>
      <c r="I3241" s="15"/>
      <c r="J3241" s="22">
        <v>3482</v>
      </c>
      <c r="K3241" s="15" t="s">
        <v>1587</v>
      </c>
      <c r="L3241" s="17">
        <v>12</v>
      </c>
      <c r="M3241" s="17">
        <v>480</v>
      </c>
      <c r="N3241" s="17">
        <v>12</v>
      </c>
      <c r="O3241" s="18">
        <v>135.68</v>
      </c>
      <c r="P3241" s="18">
        <v>111.21</v>
      </c>
      <c r="Q3241" s="18">
        <v>115.33</v>
      </c>
      <c r="R3241" s="18">
        <v>94.53</v>
      </c>
      <c r="S3241" s="18">
        <v>92.26</v>
      </c>
      <c r="T3241" s="18">
        <v>75.62</v>
      </c>
      <c r="U3241" s="16"/>
      <c r="V3241" s="16"/>
      <c r="W3241" s="16" t="s">
        <v>40</v>
      </c>
      <c r="X3241" s="19">
        <v>4.2999999999999997E-2</v>
      </c>
      <c r="Y3241" s="20">
        <v>2.1000000000000001E-4</v>
      </c>
      <c r="Z3241" s="21">
        <v>4601004026988</v>
      </c>
    </row>
    <row r="3242" spans="1:26" ht="12" customHeight="1" outlineLevel="4" x14ac:dyDescent="0.2">
      <c r="A3242" s="14" t="s">
        <v>6328</v>
      </c>
      <c r="B3242" s="26" t="s">
        <v>6329</v>
      </c>
      <c r="C3242" s="52"/>
      <c r="D3242" s="55">
        <f t="shared" si="50"/>
        <v>0</v>
      </c>
      <c r="E3242" s="63" t="str">
        <f>HYPERLINK("https://www.sds-group.ru/product/otvertka-krestovaya-dielektricheskaya-ph1h125mm-do-1000v-dvuhkomponentnaya-rukoyatka-rexant-12-4717/", "Инфо")</f>
        <v>Инфо</v>
      </c>
      <c r="F3242" s="16" t="s">
        <v>39</v>
      </c>
      <c r="G3242" s="15"/>
      <c r="H3242" s="15"/>
      <c r="I3242" s="15"/>
      <c r="J3242" s="22">
        <v>6132</v>
      </c>
      <c r="K3242" s="15" t="s">
        <v>1587</v>
      </c>
      <c r="L3242" s="17">
        <v>12</v>
      </c>
      <c r="M3242" s="17">
        <v>360</v>
      </c>
      <c r="N3242" s="17">
        <v>12</v>
      </c>
      <c r="O3242" s="18">
        <v>192.92</v>
      </c>
      <c r="P3242" s="18">
        <v>158.13</v>
      </c>
      <c r="Q3242" s="18">
        <v>163.98</v>
      </c>
      <c r="R3242" s="18">
        <v>134.41</v>
      </c>
      <c r="S3242" s="18">
        <v>131.19</v>
      </c>
      <c r="T3242" s="18">
        <v>107.53</v>
      </c>
      <c r="U3242" s="16"/>
      <c r="V3242" s="16"/>
      <c r="W3242" s="16" t="s">
        <v>40</v>
      </c>
      <c r="X3242" s="19">
        <v>8.6999999999999994E-2</v>
      </c>
      <c r="Y3242" s="20">
        <v>2.6800000000000001E-4</v>
      </c>
      <c r="Z3242" s="21">
        <v>4601004027008</v>
      </c>
    </row>
    <row r="3243" spans="1:26" ht="12" customHeight="1" outlineLevel="4" x14ac:dyDescent="0.2">
      <c r="A3243" s="14" t="s">
        <v>6330</v>
      </c>
      <c r="B3243" s="26" t="s">
        <v>6331</v>
      </c>
      <c r="C3243" s="52"/>
      <c r="D3243" s="55">
        <f t="shared" si="50"/>
        <v>0</v>
      </c>
      <c r="E3243" s="63" t="str">
        <f>HYPERLINK("https://www.sds-group.ru/product/otvertka-krestovaya-dielektricheskaya-ph2h150mm-do-100v-dvuhkomponentnaya-rukoyatka-rexant-12-4718/", "Инфо")</f>
        <v>Инфо</v>
      </c>
      <c r="F3243" s="16" t="s">
        <v>39</v>
      </c>
      <c r="G3243" s="15"/>
      <c r="H3243" s="15"/>
      <c r="I3243" s="15"/>
      <c r="J3243" s="22">
        <v>2666</v>
      </c>
      <c r="K3243" s="15" t="s">
        <v>1587</v>
      </c>
      <c r="L3243" s="17">
        <v>12</v>
      </c>
      <c r="M3243" s="17">
        <v>240</v>
      </c>
      <c r="N3243" s="17">
        <v>12</v>
      </c>
      <c r="O3243" s="18">
        <v>251.22</v>
      </c>
      <c r="P3243" s="18">
        <v>205.92</v>
      </c>
      <c r="Q3243" s="18">
        <v>213.54</v>
      </c>
      <c r="R3243" s="18">
        <v>175.03</v>
      </c>
      <c r="S3243" s="18">
        <v>170.83</v>
      </c>
      <c r="T3243" s="18">
        <v>140.02000000000001</v>
      </c>
      <c r="U3243" s="16"/>
      <c r="V3243" s="16"/>
      <c r="W3243" s="16" t="s">
        <v>40</v>
      </c>
      <c r="X3243" s="19">
        <v>0.122</v>
      </c>
      <c r="Y3243" s="20">
        <v>3.4299999999999999E-4</v>
      </c>
      <c r="Z3243" s="21">
        <v>4601004027015</v>
      </c>
    </row>
    <row r="3244" spans="1:26" ht="12" customHeight="1" outlineLevel="4" x14ac:dyDescent="0.2">
      <c r="A3244" s="14" t="s">
        <v>6332</v>
      </c>
      <c r="B3244" s="26" t="s">
        <v>6333</v>
      </c>
      <c r="C3244" s="52"/>
      <c r="D3244" s="55">
        <f t="shared" si="50"/>
        <v>0</v>
      </c>
      <c r="E3244" s="63" t="str">
        <f>HYPERLINK("https://www.sds-group.ru/product/otvertka-shlitsevaya-dielektricheskaya-sl3h75mm-do-1000v-dvuhkomponentnaya-rukoyatka-rexant-12-4711/", "Инфо")</f>
        <v>Инфо</v>
      </c>
      <c r="F3244" s="16" t="s">
        <v>39</v>
      </c>
      <c r="G3244" s="15"/>
      <c r="H3244" s="15"/>
      <c r="I3244" s="15"/>
      <c r="J3244" s="17">
        <v>790</v>
      </c>
      <c r="K3244" s="15" t="s">
        <v>1587</v>
      </c>
      <c r="L3244" s="17">
        <v>12</v>
      </c>
      <c r="M3244" s="17">
        <v>480</v>
      </c>
      <c r="N3244" s="17">
        <v>12</v>
      </c>
      <c r="O3244" s="18">
        <v>135.68</v>
      </c>
      <c r="P3244" s="18">
        <v>111.21</v>
      </c>
      <c r="Q3244" s="18">
        <v>115.33</v>
      </c>
      <c r="R3244" s="18">
        <v>94.53</v>
      </c>
      <c r="S3244" s="18">
        <v>92.26</v>
      </c>
      <c r="T3244" s="18">
        <v>75.62</v>
      </c>
      <c r="U3244" s="16"/>
      <c r="V3244" s="16"/>
      <c r="W3244" s="16" t="s">
        <v>40</v>
      </c>
      <c r="X3244" s="19">
        <v>4.2999999999999997E-2</v>
      </c>
      <c r="Y3244" s="20">
        <v>2.1100000000000001E-4</v>
      </c>
      <c r="Z3244" s="21">
        <v>4601004027152</v>
      </c>
    </row>
    <row r="3245" spans="1:26" ht="12" customHeight="1" outlineLevel="4" x14ac:dyDescent="0.2">
      <c r="A3245" s="14" t="s">
        <v>6334</v>
      </c>
      <c r="B3245" s="26" t="s">
        <v>6335</v>
      </c>
      <c r="C3245" s="52"/>
      <c r="D3245" s="55">
        <f t="shared" si="50"/>
        <v>0</v>
      </c>
      <c r="E3245" s="63" t="str">
        <f>HYPERLINK("https://www.sds-group.ru/product/otvertka-shlitsevaya-dielektricheskaya-sl4h100mm-do-1000v-dvuhkomponentnaya-rukoyatka-rexant-12-4712/", "Инфо")</f>
        <v>Инфо</v>
      </c>
      <c r="F3245" s="16" t="s">
        <v>39</v>
      </c>
      <c r="G3245" s="15"/>
      <c r="H3245" s="15"/>
      <c r="I3245" s="15"/>
      <c r="J3245" s="22">
        <v>6377</v>
      </c>
      <c r="K3245" s="15"/>
      <c r="L3245" s="17">
        <v>12</v>
      </c>
      <c r="M3245" s="17">
        <v>480</v>
      </c>
      <c r="N3245" s="17">
        <v>12</v>
      </c>
      <c r="O3245" s="18">
        <v>153.69999999999999</v>
      </c>
      <c r="P3245" s="18">
        <v>125.98</v>
      </c>
      <c r="Q3245" s="18">
        <v>130.65</v>
      </c>
      <c r="R3245" s="18">
        <v>107.09</v>
      </c>
      <c r="S3245" s="18">
        <v>104.52</v>
      </c>
      <c r="T3245" s="18">
        <v>85.67</v>
      </c>
      <c r="U3245" s="16"/>
      <c r="V3245" s="16"/>
      <c r="W3245" s="16" t="s">
        <v>40</v>
      </c>
      <c r="X3245" s="19">
        <v>0.05</v>
      </c>
      <c r="Y3245" s="20">
        <v>2.13E-4</v>
      </c>
      <c r="Z3245" s="21">
        <v>4601004026957</v>
      </c>
    </row>
    <row r="3246" spans="1:26" ht="12" customHeight="1" outlineLevel="4" x14ac:dyDescent="0.2">
      <c r="A3246" s="14" t="s">
        <v>6336</v>
      </c>
      <c r="B3246" s="26" t="s">
        <v>6337</v>
      </c>
      <c r="C3246" s="52"/>
      <c r="D3246" s="55">
        <f t="shared" si="50"/>
        <v>0</v>
      </c>
      <c r="E3246" s="63" t="str">
        <f>HYPERLINK("https://www.sds-group.ru/product/otvertka-shlitsevaya-dielektricheskaya-sl5h125mm-do-1000v-dvuhkomponentnaya-rukoyatka-rexant-12-4713/", "Инфо")</f>
        <v>Инфо</v>
      </c>
      <c r="F3246" s="16" t="s">
        <v>39</v>
      </c>
      <c r="G3246" s="15"/>
      <c r="H3246" s="15"/>
      <c r="I3246" s="15"/>
      <c r="J3246" s="16" t="s">
        <v>100</v>
      </c>
      <c r="K3246" s="15" t="s">
        <v>6181</v>
      </c>
      <c r="L3246" s="17">
        <v>12</v>
      </c>
      <c r="M3246" s="17">
        <v>360</v>
      </c>
      <c r="N3246" s="17">
        <v>12</v>
      </c>
      <c r="O3246" s="18">
        <v>192.92</v>
      </c>
      <c r="P3246" s="18">
        <v>158.13</v>
      </c>
      <c r="Q3246" s="18">
        <v>163.98</v>
      </c>
      <c r="R3246" s="18">
        <v>134.41</v>
      </c>
      <c r="S3246" s="18">
        <v>131.19</v>
      </c>
      <c r="T3246" s="18">
        <v>107.53</v>
      </c>
      <c r="U3246" s="16"/>
      <c r="V3246" s="16"/>
      <c r="W3246" s="16" t="s">
        <v>40</v>
      </c>
      <c r="X3246" s="19">
        <v>8.7999999999999995E-2</v>
      </c>
      <c r="Y3246" s="20">
        <v>2.7E-4</v>
      </c>
      <c r="Z3246" s="21">
        <v>4601004026964</v>
      </c>
    </row>
    <row r="3247" spans="1:26" ht="12" customHeight="1" outlineLevel="4" x14ac:dyDescent="0.2">
      <c r="A3247" s="14" t="s">
        <v>6338</v>
      </c>
      <c r="B3247" s="26" t="s">
        <v>6339</v>
      </c>
      <c r="C3247" s="52"/>
      <c r="D3247" s="55">
        <f t="shared" si="50"/>
        <v>0</v>
      </c>
      <c r="E3247" s="63" t="str">
        <f>HYPERLINK("https://www.sds-group.ru/product/otvertka-shlitsevaya-dielektricheskaya-sl6h150mm-do-1000v-dvuhkomponentnaya-rukoyatka-rexant-12-4714/", "Инфо")</f>
        <v>Инфо</v>
      </c>
      <c r="F3247" s="16" t="s">
        <v>39</v>
      </c>
      <c r="G3247" s="15"/>
      <c r="H3247" s="15"/>
      <c r="I3247" s="15"/>
      <c r="J3247" s="22">
        <v>2794</v>
      </c>
      <c r="K3247" s="15"/>
      <c r="L3247" s="17">
        <v>12</v>
      </c>
      <c r="M3247" s="17">
        <v>240</v>
      </c>
      <c r="N3247" s="17">
        <v>12</v>
      </c>
      <c r="O3247" s="18">
        <v>233.2</v>
      </c>
      <c r="P3247" s="18">
        <v>191.15</v>
      </c>
      <c r="Q3247" s="18">
        <v>198.22</v>
      </c>
      <c r="R3247" s="18">
        <v>162.47999999999999</v>
      </c>
      <c r="S3247" s="18">
        <v>158.58000000000001</v>
      </c>
      <c r="T3247" s="18">
        <v>129.97999999999999</v>
      </c>
      <c r="U3247" s="16"/>
      <c r="V3247" s="16"/>
      <c r="W3247" s="16" t="s">
        <v>40</v>
      </c>
      <c r="X3247" s="19">
        <v>0.122</v>
      </c>
      <c r="Y3247" s="20">
        <v>3.4299999999999999E-4</v>
      </c>
      <c r="Z3247" s="21">
        <v>4601004026971</v>
      </c>
    </row>
    <row r="3248" spans="1:26" ht="12.95" customHeight="1" outlineLevel="2" x14ac:dyDescent="0.2">
      <c r="A3248" s="76" t="s">
        <v>6340</v>
      </c>
      <c r="B3248" s="76"/>
      <c r="C3248" s="77"/>
      <c r="D3248" s="58"/>
      <c r="E3248" s="68"/>
      <c r="F3248" s="13"/>
      <c r="G3248" s="13"/>
      <c r="H3248" s="13"/>
      <c r="I3248" s="13"/>
      <c r="J3248" s="13"/>
      <c r="K3248" s="13"/>
      <c r="L3248" s="13"/>
      <c r="M3248" s="13"/>
      <c r="N3248" s="13"/>
      <c r="O3248" s="13"/>
      <c r="P3248" s="13"/>
      <c r="Q3248" s="13"/>
      <c r="R3248" s="13"/>
      <c r="S3248" s="13"/>
      <c r="T3248" s="13"/>
      <c r="U3248" s="13"/>
      <c r="V3248" s="13"/>
      <c r="W3248" s="13"/>
      <c r="X3248" s="13"/>
      <c r="Y3248" s="13"/>
      <c r="Z3248" s="13"/>
    </row>
    <row r="3249" spans="1:26" ht="12.95" customHeight="1" outlineLevel="3" x14ac:dyDescent="0.2">
      <c r="A3249" s="76" t="s">
        <v>6341</v>
      </c>
      <c r="B3249" s="76"/>
      <c r="C3249" s="77"/>
      <c r="D3249" s="58"/>
      <c r="E3249" s="68"/>
      <c r="F3249" s="13"/>
      <c r="G3249" s="13"/>
      <c r="H3249" s="13"/>
      <c r="I3249" s="13"/>
      <c r="J3249" s="13"/>
      <c r="K3249" s="13"/>
      <c r="L3249" s="13"/>
      <c r="M3249" s="13"/>
      <c r="N3249" s="13"/>
      <c r="O3249" s="13"/>
      <c r="P3249" s="13"/>
      <c r="Q3249" s="13"/>
      <c r="R3249" s="13"/>
      <c r="S3249" s="13"/>
      <c r="T3249" s="13"/>
      <c r="U3249" s="13"/>
      <c r="V3249" s="13"/>
      <c r="W3249" s="13"/>
      <c r="X3249" s="13"/>
      <c r="Y3249" s="13"/>
      <c r="Z3249" s="13"/>
    </row>
    <row r="3250" spans="1:26" ht="12" customHeight="1" outlineLevel="4" x14ac:dyDescent="0.2">
      <c r="A3250" s="14" t="s">
        <v>6342</v>
      </c>
      <c r="B3250" s="26" t="s">
        <v>6343</v>
      </c>
      <c r="C3250" s="52"/>
      <c r="D3250" s="55">
        <f t="shared" si="50"/>
        <v>0</v>
      </c>
      <c r="E3250" s="63" t="str">
        <f>HYPERLINK("https://www.sds-group.ru/product/bokorezy-160mm-nikelirovannye-dvuhkomponentnye-rukoyatki-rexant-12-4614/", "Инфо")</f>
        <v>Инфо</v>
      </c>
      <c r="F3250" s="16" t="s">
        <v>39</v>
      </c>
      <c r="G3250" s="15"/>
      <c r="H3250" s="15"/>
      <c r="I3250" s="15"/>
      <c r="J3250" s="17">
        <v>32</v>
      </c>
      <c r="K3250" s="15" t="s">
        <v>6344</v>
      </c>
      <c r="L3250" s="17">
        <v>1</v>
      </c>
      <c r="M3250" s="17">
        <v>60</v>
      </c>
      <c r="N3250" s="17">
        <v>1</v>
      </c>
      <c r="O3250" s="18">
        <v>431.21</v>
      </c>
      <c r="P3250" s="18">
        <v>353.45</v>
      </c>
      <c r="Q3250" s="18">
        <v>344.97</v>
      </c>
      <c r="R3250" s="18">
        <v>282.76</v>
      </c>
      <c r="S3250" s="18">
        <v>293.22000000000003</v>
      </c>
      <c r="T3250" s="18">
        <v>240.34</v>
      </c>
      <c r="U3250" s="16"/>
      <c r="V3250" s="16"/>
      <c r="W3250" s="16" t="s">
        <v>40</v>
      </c>
      <c r="X3250" s="19">
        <v>0.21</v>
      </c>
      <c r="Y3250" s="20">
        <v>5.1000000000000004E-4</v>
      </c>
      <c r="Z3250" s="21">
        <v>4601004159860</v>
      </c>
    </row>
    <row r="3251" spans="1:26" ht="12" customHeight="1" outlineLevel="4" x14ac:dyDescent="0.2">
      <c r="A3251" s="14" t="s">
        <v>6345</v>
      </c>
      <c r="B3251" s="26" t="s">
        <v>6346</v>
      </c>
      <c r="C3251" s="52"/>
      <c r="D3251" s="55">
        <f t="shared" si="50"/>
        <v>0</v>
      </c>
      <c r="E3251" s="63" t="str">
        <f>HYPERLINK("https://www.sds-group.ru/product/bokorezy-180mm-nikelirovannye-dvuhkomponentnye-rukoyatki-rexant-12-4615/", "Инфо")</f>
        <v>Инфо</v>
      </c>
      <c r="F3251" s="16" t="s">
        <v>39</v>
      </c>
      <c r="G3251" s="15"/>
      <c r="H3251" s="15"/>
      <c r="I3251" s="15"/>
      <c r="J3251" s="16" t="s">
        <v>100</v>
      </c>
      <c r="K3251" s="15" t="s">
        <v>6344</v>
      </c>
      <c r="L3251" s="17">
        <v>1</v>
      </c>
      <c r="M3251" s="17">
        <v>60</v>
      </c>
      <c r="N3251" s="17">
        <v>1</v>
      </c>
      <c r="O3251" s="18">
        <v>506.67</v>
      </c>
      <c r="P3251" s="18">
        <v>415.3</v>
      </c>
      <c r="Q3251" s="18">
        <v>405.34</v>
      </c>
      <c r="R3251" s="18">
        <v>332.25</v>
      </c>
      <c r="S3251" s="18">
        <v>344.54</v>
      </c>
      <c r="T3251" s="18">
        <v>282.41000000000003</v>
      </c>
      <c r="U3251" s="16"/>
      <c r="V3251" s="16"/>
      <c r="W3251" s="16" t="s">
        <v>40</v>
      </c>
      <c r="X3251" s="19">
        <v>0.3</v>
      </c>
      <c r="Y3251" s="20">
        <v>5.1699999999999999E-4</v>
      </c>
      <c r="Z3251" s="21">
        <v>4601004159877</v>
      </c>
    </row>
    <row r="3252" spans="1:26" ht="12" customHeight="1" outlineLevel="4" x14ac:dyDescent="0.2">
      <c r="A3252" s="40" t="s">
        <v>6347</v>
      </c>
      <c r="B3252" s="75" t="s">
        <v>6348</v>
      </c>
      <c r="C3252" s="51"/>
      <c r="D3252" s="54">
        <f t="shared" si="50"/>
        <v>0</v>
      </c>
      <c r="E3252" s="61" t="str">
        <f>HYPERLINK("https://www.sds-group.ru/product/bokorezy-kombinirovannye-150mm-tehnologiya-legkogo-nazhima-kranz-KR-12-4614-2/", "Инфо")</f>
        <v>Инфо</v>
      </c>
      <c r="F3252" s="42" t="s">
        <v>39</v>
      </c>
      <c r="G3252" s="41" t="s">
        <v>40</v>
      </c>
      <c r="H3252" s="41"/>
      <c r="I3252" s="41"/>
      <c r="J3252" s="43">
        <v>960</v>
      </c>
      <c r="K3252" s="41"/>
      <c r="L3252" s="43">
        <v>1</v>
      </c>
      <c r="M3252" s="43">
        <v>60</v>
      </c>
      <c r="N3252" s="43">
        <v>1</v>
      </c>
      <c r="O3252" s="44">
        <v>963.21</v>
      </c>
      <c r="P3252" s="44">
        <v>789.52</v>
      </c>
      <c r="Q3252" s="44">
        <v>770.57</v>
      </c>
      <c r="R3252" s="44">
        <v>631.61</v>
      </c>
      <c r="S3252" s="44">
        <v>654.98</v>
      </c>
      <c r="T3252" s="44">
        <v>536.87</v>
      </c>
      <c r="U3252" s="42"/>
      <c r="V3252" s="42"/>
      <c r="W3252" s="42" t="s">
        <v>40</v>
      </c>
      <c r="X3252" s="45">
        <v>0.27400000000000002</v>
      </c>
      <c r="Y3252" s="46">
        <v>5.7899999999999998E-4</v>
      </c>
      <c r="Z3252" s="21">
        <v>4601004298040</v>
      </c>
    </row>
    <row r="3253" spans="1:26" ht="12" customHeight="1" outlineLevel="4" x14ac:dyDescent="0.2">
      <c r="A3253" s="40" t="s">
        <v>6349</v>
      </c>
      <c r="B3253" s="75" t="s">
        <v>6350</v>
      </c>
      <c r="C3253" s="51"/>
      <c r="D3253" s="54">
        <f t="shared" si="50"/>
        <v>0</v>
      </c>
      <c r="E3253" s="61" t="str">
        <f>HYPERLINK("https://www.sds-group.ru/product/bokorezy-kombinirovannye-200mm-tehnologiya-legkogo-nazhima-kranz-KR-12-4616-2/", "Инфо")</f>
        <v>Инфо</v>
      </c>
      <c r="F3253" s="42" t="s">
        <v>39</v>
      </c>
      <c r="G3253" s="41" t="s">
        <v>40</v>
      </c>
      <c r="H3253" s="41"/>
      <c r="I3253" s="41"/>
      <c r="J3253" s="47">
        <v>1194</v>
      </c>
      <c r="K3253" s="41"/>
      <c r="L3253" s="43">
        <v>1</v>
      </c>
      <c r="M3253" s="43">
        <v>60</v>
      </c>
      <c r="N3253" s="43">
        <v>1</v>
      </c>
      <c r="O3253" s="44">
        <v>1164.48</v>
      </c>
      <c r="P3253" s="44">
        <v>954.49</v>
      </c>
      <c r="Q3253" s="44">
        <v>931.58</v>
      </c>
      <c r="R3253" s="44">
        <v>763.59</v>
      </c>
      <c r="S3253" s="44">
        <v>791.85</v>
      </c>
      <c r="T3253" s="44">
        <v>649.05999999999995</v>
      </c>
      <c r="U3253" s="42"/>
      <c r="V3253" s="42"/>
      <c r="W3253" s="42" t="s">
        <v>40</v>
      </c>
      <c r="X3253" s="45">
        <v>0.36099999999999999</v>
      </c>
      <c r="Y3253" s="46">
        <v>7.3300000000000004E-4</v>
      </c>
      <c r="Z3253" s="21">
        <v>4601004298033</v>
      </c>
    </row>
    <row r="3254" spans="1:26" ht="12" customHeight="1" outlineLevel="4" x14ac:dyDescent="0.2">
      <c r="A3254" s="14" t="s">
        <v>6351</v>
      </c>
      <c r="B3254" s="26" t="s">
        <v>6352</v>
      </c>
      <c r="C3254" s="52"/>
      <c r="D3254" s="55">
        <f t="shared" si="50"/>
        <v>0</v>
      </c>
      <c r="E3254" s="63" t="str">
        <f>HYPERLINK("https://www.sds-group.ru/product/bokorezy-mini-120mm-nikelirovannye-avtorazzhim-oblivnye-rukoyatki-rexant-12-4602/", "Инфо")</f>
        <v>Инфо</v>
      </c>
      <c r="F3254" s="16" t="s">
        <v>39</v>
      </c>
      <c r="G3254" s="15"/>
      <c r="H3254" s="15"/>
      <c r="I3254" s="15"/>
      <c r="J3254" s="22">
        <v>1236</v>
      </c>
      <c r="K3254" s="15" t="s">
        <v>6344</v>
      </c>
      <c r="L3254" s="17">
        <v>5</v>
      </c>
      <c r="M3254" s="17">
        <v>120</v>
      </c>
      <c r="N3254" s="17">
        <v>5</v>
      </c>
      <c r="O3254" s="18">
        <v>280.29000000000002</v>
      </c>
      <c r="P3254" s="18">
        <v>229.75</v>
      </c>
      <c r="Q3254" s="18">
        <v>238.25</v>
      </c>
      <c r="R3254" s="18">
        <v>195.29</v>
      </c>
      <c r="S3254" s="18">
        <v>190.6</v>
      </c>
      <c r="T3254" s="18">
        <v>156.22999999999999</v>
      </c>
      <c r="U3254" s="16"/>
      <c r="V3254" s="16"/>
      <c r="W3254" s="16" t="s">
        <v>40</v>
      </c>
      <c r="X3254" s="19">
        <v>7.4999999999999997E-2</v>
      </c>
      <c r="Y3254" s="20">
        <v>1.9799999999999999E-4</v>
      </c>
      <c r="Z3254" s="21">
        <v>4601004159907</v>
      </c>
    </row>
    <row r="3255" spans="1:26" ht="12" customHeight="1" outlineLevel="4" x14ac:dyDescent="0.2">
      <c r="A3255" s="14" t="s">
        <v>6353</v>
      </c>
      <c r="B3255" s="26" t="s">
        <v>6354</v>
      </c>
      <c r="C3255" s="52"/>
      <c r="D3255" s="55">
        <f t="shared" si="50"/>
        <v>0</v>
      </c>
      <c r="E3255" s="63" t="str">
        <f>HYPERLINK("https://www.sds-group.ru/product/bokorezy-mini-120mm-rexant-12-4602-1/", "Инфо")</f>
        <v>Инфо</v>
      </c>
      <c r="F3255" s="16" t="s">
        <v>39</v>
      </c>
      <c r="G3255" s="15"/>
      <c r="H3255" s="15"/>
      <c r="I3255" s="15"/>
      <c r="J3255" s="17">
        <v>45</v>
      </c>
      <c r="K3255" s="15" t="s">
        <v>6344</v>
      </c>
      <c r="L3255" s="17">
        <v>1</v>
      </c>
      <c r="M3255" s="17">
        <v>200</v>
      </c>
      <c r="N3255" s="17">
        <v>1</v>
      </c>
      <c r="O3255" s="18">
        <v>508.8</v>
      </c>
      <c r="P3255" s="18">
        <v>417.05</v>
      </c>
      <c r="Q3255" s="18">
        <v>407.04</v>
      </c>
      <c r="R3255" s="18">
        <v>333.64</v>
      </c>
      <c r="S3255" s="18">
        <v>345.98</v>
      </c>
      <c r="T3255" s="18">
        <v>283.58999999999997</v>
      </c>
      <c r="U3255" s="16"/>
      <c r="V3255" s="16"/>
      <c r="W3255" s="16" t="s">
        <v>40</v>
      </c>
      <c r="X3255" s="19">
        <v>9.0999999999999998E-2</v>
      </c>
      <c r="Y3255" s="20">
        <v>2.2499999999999999E-4</v>
      </c>
      <c r="Z3255" s="21">
        <v>4601004084032</v>
      </c>
    </row>
    <row r="3256" spans="1:26" ht="12" customHeight="1" outlineLevel="4" x14ac:dyDescent="0.2">
      <c r="A3256" s="14" t="s">
        <v>6355</v>
      </c>
      <c r="B3256" s="26" t="s">
        <v>6356</v>
      </c>
      <c r="C3256" s="52"/>
      <c r="D3256" s="55">
        <f t="shared" si="50"/>
        <v>0</v>
      </c>
      <c r="E3256" s="63" t="str">
        <f>HYPERLINK("https://www.sds-group.ru/product/kusachki-dlya-tochnyh-rabot-115mm-nikelirovannye-avtorazzhim-oblivnye-rukoyatki-rexant-12-4607/", "Инфо")</f>
        <v>Инфо</v>
      </c>
      <c r="F3256" s="16" t="s">
        <v>39</v>
      </c>
      <c r="G3256" s="15"/>
      <c r="H3256" s="15"/>
      <c r="I3256" s="15"/>
      <c r="J3256" s="17">
        <v>10</v>
      </c>
      <c r="K3256" s="15" t="s">
        <v>6344</v>
      </c>
      <c r="L3256" s="17">
        <v>5</v>
      </c>
      <c r="M3256" s="17">
        <v>120</v>
      </c>
      <c r="N3256" s="17">
        <v>5</v>
      </c>
      <c r="O3256" s="18">
        <v>280.29000000000002</v>
      </c>
      <c r="P3256" s="18">
        <v>229.75</v>
      </c>
      <c r="Q3256" s="18">
        <v>238.25</v>
      </c>
      <c r="R3256" s="18">
        <v>195.29</v>
      </c>
      <c r="S3256" s="18">
        <v>190.6</v>
      </c>
      <c r="T3256" s="18">
        <v>156.22999999999999</v>
      </c>
      <c r="U3256" s="16"/>
      <c r="V3256" s="16"/>
      <c r="W3256" s="16" t="s">
        <v>40</v>
      </c>
      <c r="X3256" s="19">
        <v>7.0000000000000007E-2</v>
      </c>
      <c r="Y3256" s="20">
        <v>2.2599999999999999E-4</v>
      </c>
      <c r="Z3256" s="21">
        <v>4601004159938</v>
      </c>
    </row>
    <row r="3257" spans="1:26" ht="12" customHeight="1" outlineLevel="4" x14ac:dyDescent="0.2">
      <c r="A3257" s="14" t="s">
        <v>6357</v>
      </c>
      <c r="B3257" s="26" t="s">
        <v>6358</v>
      </c>
      <c r="C3257" s="52"/>
      <c r="D3257" s="55">
        <f t="shared" si="50"/>
        <v>0</v>
      </c>
      <c r="E3257" s="63" t="str">
        <f>HYPERLINK("https://www.sds-group.ru/product/kusachki-tortsevye-mini-100mm-nikelirovannye-avtorazzhim-oblivnye-rukoyatki-rexant-12-4605/", "Инфо")</f>
        <v>Инфо</v>
      </c>
      <c r="F3257" s="16" t="s">
        <v>39</v>
      </c>
      <c r="G3257" s="15"/>
      <c r="H3257" s="15"/>
      <c r="I3257" s="15"/>
      <c r="J3257" s="16" t="s">
        <v>100</v>
      </c>
      <c r="K3257" s="15" t="s">
        <v>6359</v>
      </c>
      <c r="L3257" s="17">
        <v>1</v>
      </c>
      <c r="M3257" s="17">
        <v>120</v>
      </c>
      <c r="N3257" s="17">
        <v>1</v>
      </c>
      <c r="O3257" s="18">
        <v>280.29000000000002</v>
      </c>
      <c r="P3257" s="18">
        <v>229.75</v>
      </c>
      <c r="Q3257" s="18">
        <v>224.23</v>
      </c>
      <c r="R3257" s="18">
        <v>183.8</v>
      </c>
      <c r="S3257" s="18">
        <v>190.6</v>
      </c>
      <c r="T3257" s="18">
        <v>156.22999999999999</v>
      </c>
      <c r="U3257" s="16"/>
      <c r="V3257" s="16"/>
      <c r="W3257" s="16" t="s">
        <v>40</v>
      </c>
      <c r="X3257" s="19">
        <v>7.8E-2</v>
      </c>
      <c r="Y3257" s="20">
        <v>2.5799999999999998E-4</v>
      </c>
      <c r="Z3257" s="21">
        <v>4601004159914</v>
      </c>
    </row>
    <row r="3258" spans="1:26" ht="12.95" customHeight="1" outlineLevel="3" x14ac:dyDescent="0.2">
      <c r="A3258" s="76" t="s">
        <v>6360</v>
      </c>
      <c r="B3258" s="76"/>
      <c r="C3258" s="77"/>
      <c r="D3258" s="58"/>
      <c r="E3258" s="68"/>
      <c r="F3258" s="13"/>
      <c r="G3258" s="13"/>
      <c r="H3258" s="13"/>
      <c r="I3258" s="13"/>
      <c r="J3258" s="13"/>
      <c r="K3258" s="13"/>
      <c r="L3258" s="13"/>
      <c r="M3258" s="13"/>
      <c r="N3258" s="13"/>
      <c r="O3258" s="13"/>
      <c r="P3258" s="13"/>
      <c r="Q3258" s="13"/>
      <c r="R3258" s="13"/>
      <c r="S3258" s="13"/>
      <c r="T3258" s="13"/>
      <c r="U3258" s="13"/>
      <c r="V3258" s="13"/>
      <c r="W3258" s="13"/>
      <c r="X3258" s="13"/>
      <c r="Y3258" s="13"/>
      <c r="Z3258" s="13"/>
    </row>
    <row r="3259" spans="1:26" ht="12" customHeight="1" outlineLevel="4" x14ac:dyDescent="0.2">
      <c r="A3259" s="14" t="s">
        <v>6361</v>
      </c>
      <c r="B3259" s="26" t="s">
        <v>6362</v>
      </c>
      <c r="C3259" s="52"/>
      <c r="D3259" s="55">
        <f t="shared" si="50"/>
        <v>0</v>
      </c>
      <c r="E3259" s="63" t="str">
        <f>HYPERLINK("https://www.sds-group.ru/product/ploskogubtsy-kombinirovannye-160mm-nikelirovannye-dvuhkomponentnye-rukoyatki-rexant-12-4611/", "Инфо")</f>
        <v>Инфо</v>
      </c>
      <c r="F3259" s="16" t="s">
        <v>39</v>
      </c>
      <c r="G3259" s="15"/>
      <c r="H3259" s="15"/>
      <c r="I3259" s="15"/>
      <c r="J3259" s="17">
        <v>253</v>
      </c>
      <c r="K3259" s="15" t="s">
        <v>6344</v>
      </c>
      <c r="L3259" s="17">
        <v>1</v>
      </c>
      <c r="M3259" s="17">
        <v>60</v>
      </c>
      <c r="N3259" s="17">
        <v>1</v>
      </c>
      <c r="O3259" s="18">
        <v>466.4</v>
      </c>
      <c r="P3259" s="18">
        <v>382.3</v>
      </c>
      <c r="Q3259" s="18">
        <v>373.12</v>
      </c>
      <c r="R3259" s="18">
        <v>305.83999999999997</v>
      </c>
      <c r="S3259" s="18">
        <v>317.14999999999998</v>
      </c>
      <c r="T3259" s="18">
        <v>259.95999999999998</v>
      </c>
      <c r="U3259" s="16"/>
      <c r="V3259" s="16"/>
      <c r="W3259" s="16" t="s">
        <v>40</v>
      </c>
      <c r="X3259" s="19">
        <v>0.24299999999999999</v>
      </c>
      <c r="Y3259" s="20">
        <v>4.7899999999999999E-4</v>
      </c>
      <c r="Z3259" s="21">
        <v>4601004160255</v>
      </c>
    </row>
    <row r="3260" spans="1:26" ht="12" customHeight="1" outlineLevel="4" x14ac:dyDescent="0.2">
      <c r="A3260" s="32" t="s">
        <v>6363</v>
      </c>
      <c r="B3260" s="74" t="s">
        <v>6364</v>
      </c>
      <c r="C3260" s="50"/>
      <c r="D3260" s="53">
        <f t="shared" si="50"/>
        <v>0</v>
      </c>
      <c r="E3260" s="60" t="str">
        <f>HYPERLINK("https://www.sds-group.ru/product/ploskogubtsy-kombinirovannye-160mm-oblivnye-rukoyatki-rexant-12-4611-1/", "Инфо")</f>
        <v>Инфо</v>
      </c>
      <c r="F3260" s="34" t="s">
        <v>39</v>
      </c>
      <c r="G3260" s="33"/>
      <c r="H3260" s="33" t="s">
        <v>40</v>
      </c>
      <c r="I3260" s="33"/>
      <c r="J3260" s="34" t="s">
        <v>100</v>
      </c>
      <c r="K3260" s="33"/>
      <c r="L3260" s="35">
        <v>1</v>
      </c>
      <c r="M3260" s="35">
        <v>60</v>
      </c>
      <c r="N3260" s="35">
        <v>1</v>
      </c>
      <c r="O3260" s="36">
        <v>366.53</v>
      </c>
      <c r="P3260" s="36">
        <v>300.43</v>
      </c>
      <c r="Q3260" s="36">
        <v>256.57</v>
      </c>
      <c r="R3260" s="36">
        <v>210.3</v>
      </c>
      <c r="S3260" s="36">
        <v>249.24</v>
      </c>
      <c r="T3260" s="36">
        <v>204.3</v>
      </c>
      <c r="U3260" s="34"/>
      <c r="V3260" s="34"/>
      <c r="W3260" s="34"/>
      <c r="X3260" s="37">
        <v>0.219</v>
      </c>
      <c r="Y3260" s="38">
        <v>3.48E-4</v>
      </c>
      <c r="Z3260" s="21">
        <v>4601004159839</v>
      </c>
    </row>
    <row r="3261" spans="1:26" ht="12" customHeight="1" outlineLevel="4" x14ac:dyDescent="0.2">
      <c r="A3261" s="40" t="s">
        <v>6365</v>
      </c>
      <c r="B3261" s="75" t="s">
        <v>6366</v>
      </c>
      <c r="C3261" s="51"/>
      <c r="D3261" s="54">
        <f t="shared" si="50"/>
        <v>0</v>
      </c>
      <c r="E3261" s="61" t="str">
        <f>HYPERLINK("https://www.sds-group.ru/product/ploskogubtsy-kombinirovannye-175mm-tehnologiya-legkogo-nazhima-kranz-KR-12-4611-2/", "Инфо")</f>
        <v>Инфо</v>
      </c>
      <c r="F3261" s="42" t="s">
        <v>39</v>
      </c>
      <c r="G3261" s="41" t="s">
        <v>40</v>
      </c>
      <c r="H3261" s="41"/>
      <c r="I3261" s="41"/>
      <c r="J3261" s="47">
        <v>2184</v>
      </c>
      <c r="K3261" s="41"/>
      <c r="L3261" s="43">
        <v>1</v>
      </c>
      <c r="M3261" s="43">
        <v>60</v>
      </c>
      <c r="N3261" s="43">
        <v>1</v>
      </c>
      <c r="O3261" s="44">
        <v>1035.08</v>
      </c>
      <c r="P3261" s="44">
        <v>848.43</v>
      </c>
      <c r="Q3261" s="44">
        <v>828.06</v>
      </c>
      <c r="R3261" s="44">
        <v>678.74</v>
      </c>
      <c r="S3261" s="44">
        <v>703.85</v>
      </c>
      <c r="T3261" s="44">
        <v>576.92999999999995</v>
      </c>
      <c r="U3261" s="42"/>
      <c r="V3261" s="42"/>
      <c r="W3261" s="42" t="s">
        <v>40</v>
      </c>
      <c r="X3261" s="45">
        <v>0.30299999999999999</v>
      </c>
      <c r="Y3261" s="46">
        <v>6.8999999999999997E-4</v>
      </c>
      <c r="Z3261" s="21">
        <v>4601004338005</v>
      </c>
    </row>
    <row r="3262" spans="1:26" ht="12" customHeight="1" outlineLevel="4" x14ac:dyDescent="0.2">
      <c r="A3262" s="14" t="s">
        <v>6367</v>
      </c>
      <c r="B3262" s="26" t="s">
        <v>6368</v>
      </c>
      <c r="C3262" s="52"/>
      <c r="D3262" s="55">
        <f t="shared" si="50"/>
        <v>0</v>
      </c>
      <c r="E3262" s="63" t="str">
        <f>HYPERLINK("https://www.sds-group.ru/product/ploskogubtsy-kombinirovannye-180mm-nikelirovannye-dvuhkomponentnye-rukoyatki-rexant-12-4612/", "Инфо")</f>
        <v>Инфо</v>
      </c>
      <c r="F3262" s="16" t="s">
        <v>39</v>
      </c>
      <c r="G3262" s="15"/>
      <c r="H3262" s="15"/>
      <c r="I3262" s="15"/>
      <c r="J3262" s="17">
        <v>53</v>
      </c>
      <c r="K3262" s="15" t="s">
        <v>6344</v>
      </c>
      <c r="L3262" s="17">
        <v>1</v>
      </c>
      <c r="M3262" s="17">
        <v>60</v>
      </c>
      <c r="N3262" s="17">
        <v>1</v>
      </c>
      <c r="O3262" s="18">
        <v>508.8</v>
      </c>
      <c r="P3262" s="18">
        <v>417.05</v>
      </c>
      <c r="Q3262" s="18">
        <v>407.04</v>
      </c>
      <c r="R3262" s="18">
        <v>333.64</v>
      </c>
      <c r="S3262" s="18">
        <v>345.98</v>
      </c>
      <c r="T3262" s="18">
        <v>283.58999999999997</v>
      </c>
      <c r="U3262" s="16"/>
      <c r="V3262" s="16"/>
      <c r="W3262" s="16" t="s">
        <v>40</v>
      </c>
      <c r="X3262" s="19">
        <v>0.28599999999999998</v>
      </c>
      <c r="Y3262" s="20">
        <v>5.1999999999999995E-4</v>
      </c>
      <c r="Z3262" s="21">
        <v>4601004159808</v>
      </c>
    </row>
    <row r="3263" spans="1:26" ht="12" customHeight="1" outlineLevel="4" x14ac:dyDescent="0.2">
      <c r="A3263" s="14" t="s">
        <v>6369</v>
      </c>
      <c r="B3263" s="26" t="s">
        <v>6370</v>
      </c>
      <c r="C3263" s="52"/>
      <c r="D3263" s="55">
        <f t="shared" si="50"/>
        <v>0</v>
      </c>
      <c r="E3263" s="63" t="str">
        <f>HYPERLINK("https://www.sds-group.ru/product/ploskogubtsy-kombinirovannye-200mm-nikelirovannye-dvuhkomponentnye-rukoyatki-rexant-12-4613/", "Инфо")</f>
        <v>Инфо</v>
      </c>
      <c r="F3263" s="16" t="s">
        <v>39</v>
      </c>
      <c r="G3263" s="15"/>
      <c r="H3263" s="15"/>
      <c r="I3263" s="15"/>
      <c r="J3263" s="17">
        <v>227</v>
      </c>
      <c r="K3263" s="15" t="s">
        <v>6359</v>
      </c>
      <c r="L3263" s="17">
        <v>1</v>
      </c>
      <c r="M3263" s="17">
        <v>60</v>
      </c>
      <c r="N3263" s="17">
        <v>1</v>
      </c>
      <c r="O3263" s="18">
        <v>593.6</v>
      </c>
      <c r="P3263" s="18">
        <v>486.56</v>
      </c>
      <c r="Q3263" s="18">
        <v>474.88</v>
      </c>
      <c r="R3263" s="18">
        <v>389.25</v>
      </c>
      <c r="S3263" s="18">
        <v>403.65</v>
      </c>
      <c r="T3263" s="18">
        <v>330.86</v>
      </c>
      <c r="U3263" s="16"/>
      <c r="V3263" s="16"/>
      <c r="W3263" s="16" t="s">
        <v>40</v>
      </c>
      <c r="X3263" s="19">
        <v>0.36399999999999999</v>
      </c>
      <c r="Y3263" s="20">
        <v>5.4500000000000002E-4</v>
      </c>
      <c r="Z3263" s="21">
        <v>4601004159822</v>
      </c>
    </row>
    <row r="3264" spans="1:26" ht="12" customHeight="1" outlineLevel="4" x14ac:dyDescent="0.2">
      <c r="A3264" s="40" t="s">
        <v>6371</v>
      </c>
      <c r="B3264" s="75" t="s">
        <v>6372</v>
      </c>
      <c r="C3264" s="51"/>
      <c r="D3264" s="54">
        <f t="shared" si="50"/>
        <v>0</v>
      </c>
      <c r="E3264" s="61" t="str">
        <f>HYPERLINK("https://www.sds-group.ru/product/ploskogubtsy-kombinirovannye-200mm-tehnologiya-legkogo-nazhima-kranz-KR-12-4613-2/", "Инфо")</f>
        <v>Инфо</v>
      </c>
      <c r="F3264" s="42" t="s">
        <v>39</v>
      </c>
      <c r="G3264" s="41" t="s">
        <v>40</v>
      </c>
      <c r="H3264" s="41"/>
      <c r="I3264" s="41"/>
      <c r="J3264" s="47">
        <v>1471</v>
      </c>
      <c r="K3264" s="41"/>
      <c r="L3264" s="43">
        <v>1</v>
      </c>
      <c r="M3264" s="43">
        <v>60</v>
      </c>
      <c r="N3264" s="43">
        <v>1</v>
      </c>
      <c r="O3264" s="44">
        <v>1164.48</v>
      </c>
      <c r="P3264" s="44">
        <v>954.49</v>
      </c>
      <c r="Q3264" s="44">
        <v>931.58</v>
      </c>
      <c r="R3264" s="44">
        <v>763.59</v>
      </c>
      <c r="S3264" s="44">
        <v>791.85</v>
      </c>
      <c r="T3264" s="44">
        <v>649.05999999999995</v>
      </c>
      <c r="U3264" s="42"/>
      <c r="V3264" s="42"/>
      <c r="W3264" s="42" t="s">
        <v>40</v>
      </c>
      <c r="X3264" s="45">
        <v>0.36599999999999999</v>
      </c>
      <c r="Y3264" s="46">
        <v>7.6099999999999996E-4</v>
      </c>
      <c r="Z3264" s="21">
        <v>4601004298026</v>
      </c>
    </row>
    <row r="3265" spans="1:26" ht="12" customHeight="1" outlineLevel="4" x14ac:dyDescent="0.2">
      <c r="A3265" s="14" t="s">
        <v>6373</v>
      </c>
      <c r="B3265" s="26" t="s">
        <v>6374</v>
      </c>
      <c r="C3265" s="52"/>
      <c r="D3265" s="55">
        <f t="shared" si="50"/>
        <v>0</v>
      </c>
      <c r="E3265" s="63" t="str">
        <f>HYPERLINK("https://www.sds-group.ru/product/ploskogubtsy-mini-120mm-nikelirovannye-avtorazzhim-oblivnye-rukoyatki-rexant-12-4601/", "Инфо")</f>
        <v>Инфо</v>
      </c>
      <c r="F3265" s="16" t="s">
        <v>39</v>
      </c>
      <c r="G3265" s="15"/>
      <c r="H3265" s="15"/>
      <c r="I3265" s="15"/>
      <c r="J3265" s="17">
        <v>241</v>
      </c>
      <c r="K3265" s="15" t="s">
        <v>6344</v>
      </c>
      <c r="L3265" s="17">
        <v>1</v>
      </c>
      <c r="M3265" s="17">
        <v>120</v>
      </c>
      <c r="N3265" s="17">
        <v>1</v>
      </c>
      <c r="O3265" s="18">
        <v>307.39999999999998</v>
      </c>
      <c r="P3265" s="18">
        <v>251.97</v>
      </c>
      <c r="Q3265" s="18">
        <v>215.18</v>
      </c>
      <c r="R3265" s="18">
        <v>176.38</v>
      </c>
      <c r="S3265" s="18">
        <v>209.03</v>
      </c>
      <c r="T3265" s="18">
        <v>171.34</v>
      </c>
      <c r="U3265" s="16"/>
      <c r="V3265" s="16"/>
      <c r="W3265" s="16"/>
      <c r="X3265" s="19">
        <v>0.08</v>
      </c>
      <c r="Y3265" s="20">
        <v>2.1699999999999999E-4</v>
      </c>
      <c r="Z3265" s="21">
        <v>4601004159815</v>
      </c>
    </row>
    <row r="3266" spans="1:26" ht="12.95" customHeight="1" outlineLevel="3" x14ac:dyDescent="0.2">
      <c r="A3266" s="76" t="s">
        <v>6375</v>
      </c>
      <c r="B3266" s="76"/>
      <c r="C3266" s="77"/>
      <c r="D3266" s="58"/>
      <c r="E3266" s="68"/>
      <c r="F3266" s="13"/>
      <c r="G3266" s="13"/>
      <c r="H3266" s="13"/>
      <c r="I3266" s="13"/>
      <c r="J3266" s="13"/>
      <c r="K3266" s="13"/>
      <c r="L3266" s="13"/>
      <c r="M3266" s="13"/>
      <c r="N3266" s="13"/>
      <c r="O3266" s="13"/>
      <c r="P3266" s="13"/>
      <c r="Q3266" s="13"/>
      <c r="R3266" s="13"/>
      <c r="S3266" s="13"/>
      <c r="T3266" s="13"/>
      <c r="U3266" s="13"/>
      <c r="V3266" s="13"/>
      <c r="W3266" s="13"/>
      <c r="X3266" s="13"/>
      <c r="Y3266" s="13"/>
      <c r="Z3266" s="13"/>
    </row>
    <row r="3267" spans="1:26" ht="12" customHeight="1" outlineLevel="4" x14ac:dyDescent="0.2">
      <c r="A3267" s="14" t="s">
        <v>6376</v>
      </c>
      <c r="B3267" s="26" t="s">
        <v>6377</v>
      </c>
      <c r="C3267" s="52"/>
      <c r="D3267" s="55">
        <f t="shared" si="50"/>
        <v>0</v>
      </c>
      <c r="E3267" s="63" t="str">
        <f>HYPERLINK("https://www.sds-group.ru/product/kruglogubtsy-160mm-nikelirovannye-dvuhkomponentnye-rukoyatki-rexant-12-4623/", "Инфо")</f>
        <v>Инфо</v>
      </c>
      <c r="F3267" s="16" t="s">
        <v>39</v>
      </c>
      <c r="G3267" s="15"/>
      <c r="H3267" s="15"/>
      <c r="I3267" s="15"/>
      <c r="J3267" s="16" t="s">
        <v>100</v>
      </c>
      <c r="K3267" s="15" t="s">
        <v>6344</v>
      </c>
      <c r="L3267" s="17">
        <v>1</v>
      </c>
      <c r="M3267" s="17">
        <v>60</v>
      </c>
      <c r="N3267" s="17">
        <v>1</v>
      </c>
      <c r="O3267" s="18">
        <v>517.45000000000005</v>
      </c>
      <c r="P3267" s="18">
        <v>424.14</v>
      </c>
      <c r="Q3267" s="18">
        <v>413.96</v>
      </c>
      <c r="R3267" s="18">
        <v>339.31</v>
      </c>
      <c r="S3267" s="18">
        <v>351.87</v>
      </c>
      <c r="T3267" s="18">
        <v>288.42</v>
      </c>
      <c r="U3267" s="16"/>
      <c r="V3267" s="16"/>
      <c r="W3267" s="16" t="s">
        <v>40</v>
      </c>
      <c r="X3267" s="19">
        <v>0.17699999999999999</v>
      </c>
      <c r="Y3267" s="20">
        <v>5.7499999999999999E-4</v>
      </c>
      <c r="Z3267" s="21">
        <v>4601004160040</v>
      </c>
    </row>
    <row r="3268" spans="1:26" ht="12" customHeight="1" outlineLevel="4" x14ac:dyDescent="0.2">
      <c r="A3268" s="14" t="s">
        <v>6378</v>
      </c>
      <c r="B3268" s="26" t="s">
        <v>6379</v>
      </c>
      <c r="C3268" s="52"/>
      <c r="D3268" s="55">
        <f t="shared" si="50"/>
        <v>0</v>
      </c>
      <c r="E3268" s="63" t="str">
        <f>HYPERLINK("https://www.sds-group.ru/product/kruglogubtsy-mini-120mm-nikelirovannye-avtorazzhim-oblivnye-rukoyatki-rexant-12-4606/", "Инфо")</f>
        <v>Инфо</v>
      </c>
      <c r="F3268" s="16" t="s">
        <v>39</v>
      </c>
      <c r="G3268" s="15"/>
      <c r="H3268" s="15"/>
      <c r="I3268" s="15"/>
      <c r="J3268" s="16" t="s">
        <v>100</v>
      </c>
      <c r="K3268" s="15" t="s">
        <v>6344</v>
      </c>
      <c r="L3268" s="17">
        <v>5</v>
      </c>
      <c r="M3268" s="17">
        <v>120</v>
      </c>
      <c r="N3268" s="17">
        <v>5</v>
      </c>
      <c r="O3268" s="18">
        <v>280.29000000000002</v>
      </c>
      <c r="P3268" s="18">
        <v>229.75</v>
      </c>
      <c r="Q3268" s="18">
        <v>224.23</v>
      </c>
      <c r="R3268" s="18">
        <v>183.8</v>
      </c>
      <c r="S3268" s="18">
        <v>190.6</v>
      </c>
      <c r="T3268" s="18">
        <v>156.22999999999999</v>
      </c>
      <c r="U3268" s="16"/>
      <c r="V3268" s="16"/>
      <c r="W3268" s="16" t="s">
        <v>40</v>
      </c>
      <c r="X3268" s="19">
        <v>7.5999999999999998E-2</v>
      </c>
      <c r="Y3268" s="20">
        <v>2.2699999999999999E-4</v>
      </c>
      <c r="Z3268" s="21">
        <v>4601004159921</v>
      </c>
    </row>
    <row r="3269" spans="1:26" ht="12" customHeight="1" outlineLevel="4" x14ac:dyDescent="0.2">
      <c r="A3269" s="14" t="s">
        <v>6380</v>
      </c>
      <c r="B3269" s="26" t="s">
        <v>6381</v>
      </c>
      <c r="C3269" s="52"/>
      <c r="D3269" s="55">
        <f t="shared" si="50"/>
        <v>0</v>
      </c>
      <c r="E3269" s="63" t="str">
        <f>HYPERLINK("https://www.sds-group.ru/product/tonkogubtsy-160mm-nikelirovannye-dvuhkomponentnye-rukoyatki-rexant-12-4617/", "Инфо")</f>
        <v>Инфо</v>
      </c>
      <c r="F3269" s="16" t="s">
        <v>39</v>
      </c>
      <c r="G3269" s="15"/>
      <c r="H3269" s="15"/>
      <c r="I3269" s="15"/>
      <c r="J3269" s="17">
        <v>212</v>
      </c>
      <c r="K3269" s="15" t="s">
        <v>1094</v>
      </c>
      <c r="L3269" s="17">
        <v>1</v>
      </c>
      <c r="M3269" s="17">
        <v>60</v>
      </c>
      <c r="N3269" s="17">
        <v>1</v>
      </c>
      <c r="O3269" s="18">
        <v>485.11</v>
      </c>
      <c r="P3269" s="18">
        <v>397.63</v>
      </c>
      <c r="Q3269" s="18">
        <v>388.09</v>
      </c>
      <c r="R3269" s="18">
        <v>318.11</v>
      </c>
      <c r="S3269" s="18">
        <v>329.87</v>
      </c>
      <c r="T3269" s="18">
        <v>270.39</v>
      </c>
      <c r="U3269" s="16"/>
      <c r="V3269" s="16"/>
      <c r="W3269" s="16" t="s">
        <v>40</v>
      </c>
      <c r="X3269" s="19">
        <v>0.19800000000000001</v>
      </c>
      <c r="Y3269" s="20">
        <v>3.8400000000000001E-4</v>
      </c>
      <c r="Z3269" s="21">
        <v>4601004160002</v>
      </c>
    </row>
    <row r="3270" spans="1:26" ht="12" customHeight="1" outlineLevel="4" x14ac:dyDescent="0.2">
      <c r="A3270" s="14" t="s">
        <v>6382</v>
      </c>
      <c r="B3270" s="26" t="s">
        <v>6383</v>
      </c>
      <c r="C3270" s="52"/>
      <c r="D3270" s="55">
        <f t="shared" si="50"/>
        <v>0</v>
      </c>
      <c r="E3270" s="63" t="str">
        <f>HYPERLINK("https://www.sds-group.ru/product/tonkogubtsy-200mm-nikelirovannye-dvuhkomponentnye-rukoyatki-rexant-12-4618/", "Инфо")</f>
        <v>Инфо</v>
      </c>
      <c r="F3270" s="16" t="s">
        <v>39</v>
      </c>
      <c r="G3270" s="15"/>
      <c r="H3270" s="15"/>
      <c r="I3270" s="15"/>
      <c r="J3270" s="17">
        <v>13</v>
      </c>
      <c r="K3270" s="15" t="s">
        <v>1094</v>
      </c>
      <c r="L3270" s="17">
        <v>1</v>
      </c>
      <c r="M3270" s="17">
        <v>60</v>
      </c>
      <c r="N3270" s="17">
        <v>1</v>
      </c>
      <c r="O3270" s="18">
        <v>582.13</v>
      </c>
      <c r="P3270" s="18">
        <v>477.16</v>
      </c>
      <c r="Q3270" s="18">
        <v>465.7</v>
      </c>
      <c r="R3270" s="18">
        <v>381.72</v>
      </c>
      <c r="S3270" s="18">
        <v>395.85</v>
      </c>
      <c r="T3270" s="18">
        <v>324.47000000000003</v>
      </c>
      <c r="U3270" s="16"/>
      <c r="V3270" s="16"/>
      <c r="W3270" s="16" t="s">
        <v>40</v>
      </c>
      <c r="X3270" s="19">
        <v>0.23699999999999999</v>
      </c>
      <c r="Y3270" s="20">
        <v>5.1900000000000004E-4</v>
      </c>
      <c r="Z3270" s="21">
        <v>4601004160019</v>
      </c>
    </row>
    <row r="3271" spans="1:26" ht="12" customHeight="1" outlineLevel="4" x14ac:dyDescent="0.2">
      <c r="A3271" s="14" t="s">
        <v>6384</v>
      </c>
      <c r="B3271" s="26" t="s">
        <v>6385</v>
      </c>
      <c r="C3271" s="52"/>
      <c r="D3271" s="55">
        <f t="shared" si="50"/>
        <v>0</v>
      </c>
      <c r="E3271" s="63" t="str">
        <f>HYPERLINK("https://www.sds-group.ru/product/tonkogubtsy-izognutye-160mm-nikelirovannye-dvuhkomponentnye-rukoyatki-rexant-12-4620/", "Инфо")</f>
        <v>Инфо</v>
      </c>
      <c r="F3271" s="16" t="s">
        <v>39</v>
      </c>
      <c r="G3271" s="15"/>
      <c r="H3271" s="15"/>
      <c r="I3271" s="15"/>
      <c r="J3271" s="16" t="s">
        <v>100</v>
      </c>
      <c r="K3271" s="15" t="s">
        <v>6359</v>
      </c>
      <c r="L3271" s="17">
        <v>1</v>
      </c>
      <c r="M3271" s="17">
        <v>60</v>
      </c>
      <c r="N3271" s="17">
        <v>1</v>
      </c>
      <c r="O3271" s="18">
        <v>485.11</v>
      </c>
      <c r="P3271" s="18">
        <v>397.63</v>
      </c>
      <c r="Q3271" s="18">
        <v>388.09</v>
      </c>
      <c r="R3271" s="18">
        <v>318.11</v>
      </c>
      <c r="S3271" s="18">
        <v>329.87</v>
      </c>
      <c r="T3271" s="18">
        <v>270.39</v>
      </c>
      <c r="U3271" s="16"/>
      <c r="V3271" s="16"/>
      <c r="W3271" s="16" t="s">
        <v>40</v>
      </c>
      <c r="X3271" s="19">
        <v>0.187</v>
      </c>
      <c r="Y3271" s="20">
        <v>5.7899999999999998E-4</v>
      </c>
      <c r="Z3271" s="21">
        <v>4601004160026</v>
      </c>
    </row>
    <row r="3272" spans="1:26" ht="12" customHeight="1" outlineLevel="4" x14ac:dyDescent="0.2">
      <c r="A3272" s="14" t="s">
        <v>6386</v>
      </c>
      <c r="B3272" s="26" t="s">
        <v>6387</v>
      </c>
      <c r="C3272" s="52"/>
      <c r="D3272" s="55">
        <f t="shared" si="50"/>
        <v>0</v>
      </c>
      <c r="E3272" s="63" t="str">
        <f>HYPERLINK("https://www.sds-group.ru/product/tonkogubtsy-izognutye-200mm-nikelirovannye-dvuhkomponentnye-rukoyatki-rexant-12-4621/", "Инфо")</f>
        <v>Инфо</v>
      </c>
      <c r="F3272" s="16" t="s">
        <v>39</v>
      </c>
      <c r="G3272" s="15"/>
      <c r="H3272" s="15"/>
      <c r="I3272" s="15"/>
      <c r="J3272" s="16" t="s">
        <v>100</v>
      </c>
      <c r="K3272" s="15" t="s">
        <v>1094</v>
      </c>
      <c r="L3272" s="17">
        <v>1</v>
      </c>
      <c r="M3272" s="17">
        <v>60</v>
      </c>
      <c r="N3272" s="17">
        <v>1</v>
      </c>
      <c r="O3272" s="18">
        <v>522.58000000000004</v>
      </c>
      <c r="P3272" s="18">
        <v>428.34</v>
      </c>
      <c r="Q3272" s="18">
        <v>365.81</v>
      </c>
      <c r="R3272" s="18">
        <v>299.83999999999997</v>
      </c>
      <c r="S3272" s="18">
        <v>355.35</v>
      </c>
      <c r="T3272" s="18">
        <v>291.27</v>
      </c>
      <c r="U3272" s="16"/>
      <c r="V3272" s="16"/>
      <c r="W3272" s="16"/>
      <c r="X3272" s="19">
        <v>0.26</v>
      </c>
      <c r="Y3272" s="20">
        <v>5.9299999999999999E-4</v>
      </c>
      <c r="Z3272" s="21">
        <v>4601004160033</v>
      </c>
    </row>
    <row r="3273" spans="1:26" ht="12" customHeight="1" outlineLevel="4" x14ac:dyDescent="0.2">
      <c r="A3273" s="14" t="s">
        <v>6388</v>
      </c>
      <c r="B3273" s="26" t="s">
        <v>6389</v>
      </c>
      <c r="C3273" s="52"/>
      <c r="D3273" s="55">
        <f t="shared" ref="D3273:D3336" si="51">C3273*(O3273-O3273*$G$3)</f>
        <v>0</v>
      </c>
      <c r="E3273" s="63" t="str">
        <f>HYPERLINK("https://www.sds-group.ru/product/tonkogubtsy-izognutye-mini-120mm-nikelirovannye-avtorazzhim-oblivnye-rukoyatki-rexant-12-4603/", "Инфо")</f>
        <v>Инфо</v>
      </c>
      <c r="F3273" s="16" t="s">
        <v>39</v>
      </c>
      <c r="G3273" s="15"/>
      <c r="H3273" s="15"/>
      <c r="I3273" s="15"/>
      <c r="J3273" s="17">
        <v>164</v>
      </c>
      <c r="K3273" s="15" t="s">
        <v>1094</v>
      </c>
      <c r="L3273" s="17">
        <v>1</v>
      </c>
      <c r="M3273" s="17">
        <v>120</v>
      </c>
      <c r="N3273" s="17">
        <v>1</v>
      </c>
      <c r="O3273" s="18">
        <v>276.66000000000003</v>
      </c>
      <c r="P3273" s="18">
        <v>226.77</v>
      </c>
      <c r="Q3273" s="18">
        <v>235.16</v>
      </c>
      <c r="R3273" s="18">
        <v>192.75</v>
      </c>
      <c r="S3273" s="18">
        <v>188.13</v>
      </c>
      <c r="T3273" s="18">
        <v>154.19999999999999</v>
      </c>
      <c r="U3273" s="16"/>
      <c r="V3273" s="16"/>
      <c r="W3273" s="16" t="s">
        <v>40</v>
      </c>
      <c r="X3273" s="19">
        <v>7.9000000000000001E-2</v>
      </c>
      <c r="Y3273" s="20">
        <v>2.1699999999999999E-4</v>
      </c>
      <c r="Z3273" s="21">
        <v>4601004160057</v>
      </c>
    </row>
    <row r="3274" spans="1:26" ht="12" customHeight="1" outlineLevel="4" x14ac:dyDescent="0.2">
      <c r="A3274" s="14" t="s">
        <v>6390</v>
      </c>
      <c r="B3274" s="26" t="s">
        <v>6391</v>
      </c>
      <c r="C3274" s="52"/>
      <c r="D3274" s="55">
        <f t="shared" si="51"/>
        <v>0</v>
      </c>
      <c r="E3274" s="63" t="str">
        <f>HYPERLINK("https://www.sds-group.ru/product/tonkogubtsy-mini-120mm-nikelirovannye-avtorazzhim-oblivnye-rukoyatki-rexant-12-4604/", "Инфо")</f>
        <v>Инфо</v>
      </c>
      <c r="F3274" s="16" t="s">
        <v>39</v>
      </c>
      <c r="G3274" s="15"/>
      <c r="H3274" s="15"/>
      <c r="I3274" s="15"/>
      <c r="J3274" s="16" t="s">
        <v>100</v>
      </c>
      <c r="K3274" s="15" t="s">
        <v>6344</v>
      </c>
      <c r="L3274" s="17">
        <v>1</v>
      </c>
      <c r="M3274" s="17">
        <v>120</v>
      </c>
      <c r="N3274" s="17">
        <v>1</v>
      </c>
      <c r="O3274" s="18">
        <v>276.66000000000003</v>
      </c>
      <c r="P3274" s="18">
        <v>226.77</v>
      </c>
      <c r="Q3274" s="18">
        <v>235.16</v>
      </c>
      <c r="R3274" s="18">
        <v>192.75</v>
      </c>
      <c r="S3274" s="18">
        <v>188.13</v>
      </c>
      <c r="T3274" s="18">
        <v>154.19999999999999</v>
      </c>
      <c r="U3274" s="16"/>
      <c r="V3274" s="16"/>
      <c r="W3274" s="16" t="s">
        <v>40</v>
      </c>
      <c r="X3274" s="19">
        <v>7.6999999999999999E-2</v>
      </c>
      <c r="Y3274" s="20">
        <v>2.2100000000000001E-4</v>
      </c>
      <c r="Z3274" s="21">
        <v>4601004160064</v>
      </c>
    </row>
    <row r="3275" spans="1:26" ht="12.95" customHeight="1" outlineLevel="3" x14ac:dyDescent="0.2">
      <c r="A3275" s="76" t="s">
        <v>6392</v>
      </c>
      <c r="B3275" s="76"/>
      <c r="C3275" s="77"/>
      <c r="D3275" s="58"/>
      <c r="E3275" s="68"/>
      <c r="F3275" s="13"/>
      <c r="G3275" s="13"/>
      <c r="H3275" s="13"/>
      <c r="I3275" s="13"/>
      <c r="J3275" s="13"/>
      <c r="K3275" s="13"/>
      <c r="L3275" s="13"/>
      <c r="M3275" s="13"/>
      <c r="N3275" s="13"/>
      <c r="O3275" s="13"/>
      <c r="P3275" s="13"/>
      <c r="Q3275" s="13"/>
      <c r="R3275" s="13"/>
      <c r="S3275" s="13"/>
      <c r="T3275" s="13"/>
      <c r="U3275" s="13"/>
      <c r="V3275" s="13"/>
      <c r="W3275" s="13"/>
      <c r="X3275" s="13"/>
      <c r="Y3275" s="13"/>
      <c r="Z3275" s="13"/>
    </row>
    <row r="3276" spans="1:26" ht="12" customHeight="1" outlineLevel="4" x14ac:dyDescent="0.2">
      <c r="A3276" s="14" t="s">
        <v>6393</v>
      </c>
      <c r="B3276" s="26" t="s">
        <v>6394</v>
      </c>
      <c r="C3276" s="52"/>
      <c r="D3276" s="55">
        <f t="shared" si="51"/>
        <v>0</v>
      </c>
      <c r="E3276" s="63" t="str">
        <f>HYPERLINK("https://www.sds-group.ru/product/nozhnitsy-po-metallu-levye-260mm-nikelirovannye-dvuhkomponentnye-rukoyatki-rexant-12-4631/", "Инфо")</f>
        <v>Инфо</v>
      </c>
      <c r="F3276" s="16" t="s">
        <v>39</v>
      </c>
      <c r="G3276" s="15"/>
      <c r="H3276" s="15"/>
      <c r="I3276" s="15"/>
      <c r="J3276" s="16" t="s">
        <v>100</v>
      </c>
      <c r="K3276" s="15" t="s">
        <v>6359</v>
      </c>
      <c r="L3276" s="17">
        <v>1</v>
      </c>
      <c r="M3276" s="17">
        <v>48</v>
      </c>
      <c r="N3276" s="17">
        <v>1</v>
      </c>
      <c r="O3276" s="18">
        <v>667.8</v>
      </c>
      <c r="P3276" s="18">
        <v>547.38</v>
      </c>
      <c r="Q3276" s="18">
        <v>534.24</v>
      </c>
      <c r="R3276" s="18">
        <v>437.9</v>
      </c>
      <c r="S3276" s="18">
        <v>454.1</v>
      </c>
      <c r="T3276" s="18">
        <v>372.21</v>
      </c>
      <c r="U3276" s="16"/>
      <c r="V3276" s="16"/>
      <c r="W3276" s="16" t="s">
        <v>40</v>
      </c>
      <c r="X3276" s="19">
        <v>0.41199999999999998</v>
      </c>
      <c r="Y3276" s="20">
        <v>9.9700000000000006E-4</v>
      </c>
      <c r="Z3276" s="21">
        <v>4601004160132</v>
      </c>
    </row>
    <row r="3277" spans="1:26" ht="12" customHeight="1" outlineLevel="4" x14ac:dyDescent="0.2">
      <c r="A3277" s="14" t="s">
        <v>6395</v>
      </c>
      <c r="B3277" s="26" t="s">
        <v>6396</v>
      </c>
      <c r="C3277" s="52"/>
      <c r="D3277" s="55">
        <f t="shared" si="51"/>
        <v>0</v>
      </c>
      <c r="E3277" s="63" t="str">
        <f>HYPERLINK("https://www.sds-group.ru/product/nozhnitsy-po-metallu-pravye-260mm-nikelirovannye-dvuhkomponentnye-rukoyatki-rexant-12-4629/", "Инфо")</f>
        <v>Инфо</v>
      </c>
      <c r="F3277" s="16" t="s">
        <v>39</v>
      </c>
      <c r="G3277" s="15"/>
      <c r="H3277" s="15"/>
      <c r="I3277" s="15"/>
      <c r="J3277" s="16" t="s">
        <v>100</v>
      </c>
      <c r="K3277" s="15" t="s">
        <v>6344</v>
      </c>
      <c r="L3277" s="17">
        <v>1</v>
      </c>
      <c r="M3277" s="17">
        <v>48</v>
      </c>
      <c r="N3277" s="17">
        <v>1</v>
      </c>
      <c r="O3277" s="18">
        <v>667.8</v>
      </c>
      <c r="P3277" s="18">
        <v>547.38</v>
      </c>
      <c r="Q3277" s="18">
        <v>534.24</v>
      </c>
      <c r="R3277" s="18">
        <v>437.9</v>
      </c>
      <c r="S3277" s="18">
        <v>454.1</v>
      </c>
      <c r="T3277" s="18">
        <v>372.21</v>
      </c>
      <c r="U3277" s="16"/>
      <c r="V3277" s="16"/>
      <c r="W3277" s="16" t="s">
        <v>40</v>
      </c>
      <c r="X3277" s="19">
        <v>0.45200000000000001</v>
      </c>
      <c r="Y3277" s="20">
        <v>7.8299999999999995E-4</v>
      </c>
      <c r="Z3277" s="21">
        <v>4601004160088</v>
      </c>
    </row>
    <row r="3278" spans="1:26" ht="12" customHeight="1" outlineLevel="4" x14ac:dyDescent="0.2">
      <c r="A3278" s="14" t="s">
        <v>6397</v>
      </c>
      <c r="B3278" s="26" t="s">
        <v>6398</v>
      </c>
      <c r="C3278" s="52"/>
      <c r="D3278" s="55">
        <f t="shared" si="51"/>
        <v>0</v>
      </c>
      <c r="E3278" s="63" t="str">
        <f>HYPERLINK("https://www.sds-group.ru/product/nozhnitsy-po-metallu-pryamye-260mm-nikelirovannye-dvuhkomponentnye-rukoyatki-rexant-12-4630/", "Инфо")</f>
        <v>Инфо</v>
      </c>
      <c r="F3278" s="16" t="s">
        <v>39</v>
      </c>
      <c r="G3278" s="15"/>
      <c r="H3278" s="15"/>
      <c r="I3278" s="15"/>
      <c r="J3278" s="17">
        <v>1</v>
      </c>
      <c r="K3278" s="15" t="s">
        <v>6344</v>
      </c>
      <c r="L3278" s="17">
        <v>1</v>
      </c>
      <c r="M3278" s="17">
        <v>48</v>
      </c>
      <c r="N3278" s="17">
        <v>1</v>
      </c>
      <c r="O3278" s="18">
        <v>683.7</v>
      </c>
      <c r="P3278" s="18">
        <v>560.41</v>
      </c>
      <c r="Q3278" s="18">
        <v>546.96</v>
      </c>
      <c r="R3278" s="18">
        <v>448.33</v>
      </c>
      <c r="S3278" s="18">
        <v>464.92</v>
      </c>
      <c r="T3278" s="18">
        <v>381.08</v>
      </c>
      <c r="U3278" s="16"/>
      <c r="V3278" s="16"/>
      <c r="W3278" s="16" t="s">
        <v>40</v>
      </c>
      <c r="X3278" s="19">
        <v>0.45800000000000002</v>
      </c>
      <c r="Y3278" s="20">
        <v>7.5000000000000002E-4</v>
      </c>
      <c r="Z3278" s="21">
        <v>4601004160125</v>
      </c>
    </row>
    <row r="3279" spans="1:26" ht="12.95" customHeight="1" outlineLevel="3" x14ac:dyDescent="0.2">
      <c r="A3279" s="76" t="s">
        <v>6399</v>
      </c>
      <c r="B3279" s="76"/>
      <c r="C3279" s="77"/>
      <c r="D3279" s="58"/>
      <c r="E3279" s="68"/>
      <c r="F3279" s="13"/>
      <c r="G3279" s="13"/>
      <c r="H3279" s="13"/>
      <c r="I3279" s="13"/>
      <c r="J3279" s="13"/>
      <c r="K3279" s="13"/>
      <c r="L3279" s="13"/>
      <c r="M3279" s="13"/>
      <c r="N3279" s="13"/>
      <c r="O3279" s="13"/>
      <c r="P3279" s="13"/>
      <c r="Q3279" s="13"/>
      <c r="R3279" s="13"/>
      <c r="S3279" s="13"/>
      <c r="T3279" s="13"/>
      <c r="U3279" s="13"/>
      <c r="V3279" s="13"/>
      <c r="W3279" s="13"/>
      <c r="X3279" s="13"/>
      <c r="Y3279" s="13"/>
      <c r="Z3279" s="13"/>
    </row>
    <row r="3280" spans="1:26" ht="12" customHeight="1" outlineLevel="4" x14ac:dyDescent="0.2">
      <c r="A3280" s="14" t="s">
        <v>6400</v>
      </c>
      <c r="B3280" s="26" t="s">
        <v>6401</v>
      </c>
      <c r="C3280" s="52"/>
      <c r="D3280" s="55">
        <f t="shared" si="51"/>
        <v>0</v>
      </c>
      <c r="E3280" s="63" t="str">
        <f>HYPERLINK("https://www.sds-group.ru/product/kleschi-perestavnye-200mm-nikelirovannye-oblivnye-rukoyatki-rexant-12-4634/", "Инфо")</f>
        <v>Инфо</v>
      </c>
      <c r="F3280" s="16" t="s">
        <v>39</v>
      </c>
      <c r="G3280" s="15"/>
      <c r="H3280" s="15"/>
      <c r="I3280" s="15"/>
      <c r="J3280" s="17">
        <v>239</v>
      </c>
      <c r="K3280" s="15" t="s">
        <v>6402</v>
      </c>
      <c r="L3280" s="17">
        <v>6</v>
      </c>
      <c r="M3280" s="17">
        <v>60</v>
      </c>
      <c r="N3280" s="17">
        <v>6</v>
      </c>
      <c r="O3280" s="18">
        <v>561.79999999999995</v>
      </c>
      <c r="P3280" s="18">
        <v>460.49</v>
      </c>
      <c r="Q3280" s="18">
        <v>449.44</v>
      </c>
      <c r="R3280" s="18">
        <v>368.39</v>
      </c>
      <c r="S3280" s="18">
        <v>382.02</v>
      </c>
      <c r="T3280" s="18">
        <v>313.13</v>
      </c>
      <c r="U3280" s="16"/>
      <c r="V3280" s="16"/>
      <c r="W3280" s="16" t="s">
        <v>40</v>
      </c>
      <c r="X3280" s="19">
        <v>0.27500000000000002</v>
      </c>
      <c r="Y3280" s="20">
        <v>4.3399999999999998E-4</v>
      </c>
      <c r="Z3280" s="21">
        <v>4601004160149</v>
      </c>
    </row>
    <row r="3281" spans="1:26" ht="12" customHeight="1" outlineLevel="4" x14ac:dyDescent="0.2">
      <c r="A3281" s="14" t="s">
        <v>6403</v>
      </c>
      <c r="B3281" s="26" t="s">
        <v>6404</v>
      </c>
      <c r="C3281" s="52"/>
      <c r="D3281" s="55">
        <f t="shared" si="51"/>
        <v>0</v>
      </c>
      <c r="E3281" s="63" t="str">
        <f>HYPERLINK("https://www.sds-group.ru/product/kleschi-perestavnye-250mm-nikelirovannye-oblivnye-rukoyatki-rexant-12-4635/", "Инфо")</f>
        <v>Инфо</v>
      </c>
      <c r="F3281" s="16" t="s">
        <v>39</v>
      </c>
      <c r="G3281" s="15"/>
      <c r="H3281" s="15"/>
      <c r="I3281" s="15"/>
      <c r="J3281" s="16" t="s">
        <v>100</v>
      </c>
      <c r="K3281" s="15" t="s">
        <v>6344</v>
      </c>
      <c r="L3281" s="17">
        <v>1</v>
      </c>
      <c r="M3281" s="17">
        <v>48</v>
      </c>
      <c r="N3281" s="17">
        <v>1</v>
      </c>
      <c r="O3281" s="18">
        <v>667.8</v>
      </c>
      <c r="P3281" s="18">
        <v>547.38</v>
      </c>
      <c r="Q3281" s="18">
        <v>534.24</v>
      </c>
      <c r="R3281" s="18">
        <v>437.9</v>
      </c>
      <c r="S3281" s="18">
        <v>454.1</v>
      </c>
      <c r="T3281" s="18">
        <v>372.21</v>
      </c>
      <c r="U3281" s="16"/>
      <c r="V3281" s="16"/>
      <c r="W3281" s="16" t="s">
        <v>40</v>
      </c>
      <c r="X3281" s="19">
        <v>0.40699999999999997</v>
      </c>
      <c r="Y3281" s="20">
        <v>6.4300000000000002E-4</v>
      </c>
      <c r="Z3281" s="21">
        <v>4601004160156</v>
      </c>
    </row>
    <row r="3282" spans="1:26" ht="12" customHeight="1" outlineLevel="4" x14ac:dyDescent="0.2">
      <c r="A3282" s="14" t="s">
        <v>6405</v>
      </c>
      <c r="B3282" s="26" t="s">
        <v>6406</v>
      </c>
      <c r="C3282" s="52"/>
      <c r="D3282" s="55">
        <f t="shared" si="51"/>
        <v>0</v>
      </c>
      <c r="E3282" s="63" t="str">
        <f>HYPERLINK("https://www.sds-group.ru/product/kleschi-perestavnye-300mm-nikelirovannye-oblivnye-rukoyatki-rexant-12-4636/", "Инфо")</f>
        <v>Инфо</v>
      </c>
      <c r="F3282" s="16" t="s">
        <v>39</v>
      </c>
      <c r="G3282" s="15"/>
      <c r="H3282" s="15"/>
      <c r="I3282" s="15"/>
      <c r="J3282" s="17">
        <v>123</v>
      </c>
      <c r="K3282" s="15"/>
      <c r="L3282" s="17">
        <v>1</v>
      </c>
      <c r="M3282" s="17">
        <v>24</v>
      </c>
      <c r="N3282" s="17">
        <v>1</v>
      </c>
      <c r="O3282" s="18">
        <v>869.2</v>
      </c>
      <c r="P3282" s="18">
        <v>712.46</v>
      </c>
      <c r="Q3282" s="18">
        <v>686.67</v>
      </c>
      <c r="R3282" s="18">
        <v>562.84</v>
      </c>
      <c r="S3282" s="18">
        <v>591.05999999999995</v>
      </c>
      <c r="T3282" s="18">
        <v>484.48</v>
      </c>
      <c r="U3282" s="16"/>
      <c r="V3282" s="16"/>
      <c r="W3282" s="16" t="s">
        <v>40</v>
      </c>
      <c r="X3282" s="19">
        <v>0.54800000000000004</v>
      </c>
      <c r="Y3282" s="20">
        <v>8.0199999999999998E-4</v>
      </c>
      <c r="Z3282" s="21">
        <v>4601004160163</v>
      </c>
    </row>
    <row r="3283" spans="1:26" ht="12.95" customHeight="1" outlineLevel="3" x14ac:dyDescent="0.2">
      <c r="A3283" s="76" t="s">
        <v>6407</v>
      </c>
      <c r="B3283" s="76"/>
      <c r="C3283" s="77"/>
      <c r="D3283" s="58"/>
      <c r="E3283" s="68"/>
      <c r="F3283" s="13"/>
      <c r="G3283" s="13"/>
      <c r="H3283" s="13"/>
      <c r="I3283" s="13"/>
      <c r="J3283" s="13"/>
      <c r="K3283" s="13"/>
      <c r="L3283" s="13"/>
      <c r="M3283" s="13"/>
      <c r="N3283" s="13"/>
      <c r="O3283" s="13"/>
      <c r="P3283" s="13"/>
      <c r="Q3283" s="13"/>
      <c r="R3283" s="13"/>
      <c r="S3283" s="13"/>
      <c r="T3283" s="13"/>
      <c r="U3283" s="13"/>
      <c r="V3283" s="13"/>
      <c r="W3283" s="13"/>
      <c r="X3283" s="13"/>
      <c r="Y3283" s="13"/>
      <c r="Z3283" s="13"/>
    </row>
    <row r="3284" spans="1:26" ht="12" customHeight="1" outlineLevel="4" x14ac:dyDescent="0.2">
      <c r="A3284" s="14" t="s">
        <v>6408</v>
      </c>
      <c r="B3284" s="26" t="s">
        <v>6409</v>
      </c>
      <c r="C3284" s="52"/>
      <c r="D3284" s="55">
        <f t="shared" si="51"/>
        <v>0</v>
      </c>
      <c r="E3284" s="63" t="str">
        <f>HYPERLINK("https://www.sds-group.ru/product/schiptsy-dlya-stopornyh-kolets-zagnutyy-szhim-160mm-oblivnye-rukoyatki-rexant-12-4637/", "Инфо")</f>
        <v>Инфо</v>
      </c>
      <c r="F3284" s="16" t="s">
        <v>39</v>
      </c>
      <c r="G3284" s="15"/>
      <c r="H3284" s="15"/>
      <c r="I3284" s="15"/>
      <c r="J3284" s="17">
        <v>157</v>
      </c>
      <c r="K3284" s="15" t="s">
        <v>6359</v>
      </c>
      <c r="L3284" s="17">
        <v>1</v>
      </c>
      <c r="M3284" s="17">
        <v>60</v>
      </c>
      <c r="N3284" s="17">
        <v>1</v>
      </c>
      <c r="O3284" s="18">
        <v>452.77</v>
      </c>
      <c r="P3284" s="18">
        <v>371.12</v>
      </c>
      <c r="Q3284" s="18">
        <v>362.22</v>
      </c>
      <c r="R3284" s="18">
        <v>296.89999999999998</v>
      </c>
      <c r="S3284" s="18">
        <v>307.88</v>
      </c>
      <c r="T3284" s="18">
        <v>252.36</v>
      </c>
      <c r="U3284" s="16"/>
      <c r="V3284" s="16"/>
      <c r="W3284" s="16" t="s">
        <v>40</v>
      </c>
      <c r="X3284" s="19">
        <v>0.14199999999999999</v>
      </c>
      <c r="Y3284" s="20">
        <v>3.5500000000000001E-4</v>
      </c>
      <c r="Z3284" s="21">
        <v>4601004160170</v>
      </c>
    </row>
    <row r="3285" spans="1:26" ht="12" customHeight="1" outlineLevel="4" x14ac:dyDescent="0.2">
      <c r="A3285" s="14" t="s">
        <v>6410</v>
      </c>
      <c r="B3285" s="26" t="s">
        <v>6411</v>
      </c>
      <c r="C3285" s="52"/>
      <c r="D3285" s="55">
        <f t="shared" si="51"/>
        <v>0</v>
      </c>
      <c r="E3285" s="63" t="str">
        <f>HYPERLINK("https://www.sds-group.ru/product/schiptsy-dlya-stopornyh-kolets-razzhim-160mm-oblivnye-rukoyatki-rexant-12-4639/", "Инфо")</f>
        <v>Инфо</v>
      </c>
      <c r="F3285" s="16" t="s">
        <v>39</v>
      </c>
      <c r="G3285" s="15"/>
      <c r="H3285" s="15"/>
      <c r="I3285" s="15"/>
      <c r="J3285" s="17">
        <v>62</v>
      </c>
      <c r="K3285" s="15" t="s">
        <v>6359</v>
      </c>
      <c r="L3285" s="17">
        <v>1</v>
      </c>
      <c r="M3285" s="17">
        <v>60</v>
      </c>
      <c r="N3285" s="17">
        <v>1</v>
      </c>
      <c r="O3285" s="18">
        <v>452.77</v>
      </c>
      <c r="P3285" s="18">
        <v>371.12</v>
      </c>
      <c r="Q3285" s="18">
        <v>362.22</v>
      </c>
      <c r="R3285" s="18">
        <v>296.89999999999998</v>
      </c>
      <c r="S3285" s="18">
        <v>307.88</v>
      </c>
      <c r="T3285" s="18">
        <v>252.36</v>
      </c>
      <c r="U3285" s="16"/>
      <c r="V3285" s="16"/>
      <c r="W3285" s="16" t="s">
        <v>40</v>
      </c>
      <c r="X3285" s="19">
        <v>0.152</v>
      </c>
      <c r="Y3285" s="20">
        <v>3.6299999999999999E-4</v>
      </c>
      <c r="Z3285" s="21">
        <v>4601004160194</v>
      </c>
    </row>
    <row r="3286" spans="1:26" ht="12" customHeight="1" outlineLevel="4" x14ac:dyDescent="0.2">
      <c r="A3286" s="14" t="s">
        <v>6412</v>
      </c>
      <c r="B3286" s="26" t="s">
        <v>6413</v>
      </c>
      <c r="C3286" s="52"/>
      <c r="D3286" s="55">
        <f t="shared" si="51"/>
        <v>0</v>
      </c>
      <c r="E3286" s="63" t="str">
        <f>HYPERLINK("https://www.sds-group.ru/product/schiptsy-dlya-stopornyh-kolets-razzhim-zagnutyy-160mm-oblivnye-rukoyatki-rexant-12-4640/", "Инфо")</f>
        <v>Инфо</v>
      </c>
      <c r="F3286" s="16" t="s">
        <v>39</v>
      </c>
      <c r="G3286" s="15"/>
      <c r="H3286" s="15"/>
      <c r="I3286" s="15"/>
      <c r="J3286" s="17">
        <v>261</v>
      </c>
      <c r="K3286" s="15" t="s">
        <v>6359</v>
      </c>
      <c r="L3286" s="17">
        <v>1</v>
      </c>
      <c r="M3286" s="17">
        <v>60</v>
      </c>
      <c r="N3286" s="17">
        <v>1</v>
      </c>
      <c r="O3286" s="18">
        <v>452.77</v>
      </c>
      <c r="P3286" s="18">
        <v>371.12</v>
      </c>
      <c r="Q3286" s="18">
        <v>362.22</v>
      </c>
      <c r="R3286" s="18">
        <v>296.89999999999998</v>
      </c>
      <c r="S3286" s="18">
        <v>307.88</v>
      </c>
      <c r="T3286" s="18">
        <v>252.36</v>
      </c>
      <c r="U3286" s="16"/>
      <c r="V3286" s="16"/>
      <c r="W3286" s="16" t="s">
        <v>40</v>
      </c>
      <c r="X3286" s="19">
        <v>0.13600000000000001</v>
      </c>
      <c r="Y3286" s="20">
        <v>3.6299999999999999E-4</v>
      </c>
      <c r="Z3286" s="21">
        <v>4601004160200</v>
      </c>
    </row>
    <row r="3287" spans="1:26" ht="12" customHeight="1" outlineLevel="4" x14ac:dyDescent="0.2">
      <c r="A3287" s="14" t="s">
        <v>6414</v>
      </c>
      <c r="B3287" s="26" t="s">
        <v>6415</v>
      </c>
      <c r="C3287" s="52"/>
      <c r="D3287" s="55">
        <f t="shared" si="51"/>
        <v>0</v>
      </c>
      <c r="E3287" s="63" t="str">
        <f>HYPERLINK("https://www.sds-group.ru/product/schiptsy-dlya-stopornyh-kolets-szhim-160mm-oblivnye-rukoyatki-rexant-12-4638/", "Инфо")</f>
        <v>Инфо</v>
      </c>
      <c r="F3287" s="16" t="s">
        <v>39</v>
      </c>
      <c r="G3287" s="15"/>
      <c r="H3287" s="15"/>
      <c r="I3287" s="15"/>
      <c r="J3287" s="16" t="s">
        <v>100</v>
      </c>
      <c r="K3287" s="15" t="s">
        <v>662</v>
      </c>
      <c r="L3287" s="17">
        <v>1</v>
      </c>
      <c r="M3287" s="17">
        <v>60</v>
      </c>
      <c r="N3287" s="17">
        <v>1</v>
      </c>
      <c r="O3287" s="18">
        <v>452.77</v>
      </c>
      <c r="P3287" s="18">
        <v>371.12</v>
      </c>
      <c r="Q3287" s="18">
        <v>362.22</v>
      </c>
      <c r="R3287" s="18">
        <v>296.89999999999998</v>
      </c>
      <c r="S3287" s="18">
        <v>307.88</v>
      </c>
      <c r="T3287" s="18">
        <v>252.36</v>
      </c>
      <c r="U3287" s="16"/>
      <c r="V3287" s="16"/>
      <c r="W3287" s="16" t="s">
        <v>40</v>
      </c>
      <c r="X3287" s="19">
        <v>0.14199999999999999</v>
      </c>
      <c r="Y3287" s="20">
        <v>3.5599999999999998E-4</v>
      </c>
      <c r="Z3287" s="21">
        <v>4601004160187</v>
      </c>
    </row>
    <row r="3288" spans="1:26" ht="12.95" customHeight="1" outlineLevel="3" x14ac:dyDescent="0.2">
      <c r="A3288" s="76" t="s">
        <v>6416</v>
      </c>
      <c r="B3288" s="76"/>
      <c r="C3288" s="77"/>
      <c r="D3288" s="58"/>
      <c r="E3288" s="68"/>
      <c r="F3288" s="13"/>
      <c r="G3288" s="13"/>
      <c r="H3288" s="13"/>
      <c r="I3288" s="13"/>
      <c r="J3288" s="13"/>
      <c r="K3288" s="13"/>
      <c r="L3288" s="13"/>
      <c r="M3288" s="13"/>
      <c r="N3288" s="13"/>
      <c r="O3288" s="13"/>
      <c r="P3288" s="13"/>
      <c r="Q3288" s="13"/>
      <c r="R3288" s="13"/>
      <c r="S3288" s="13"/>
      <c r="T3288" s="13"/>
      <c r="U3288" s="13"/>
      <c r="V3288" s="13"/>
      <c r="W3288" s="13"/>
      <c r="X3288" s="13"/>
      <c r="Y3288" s="13"/>
      <c r="Z3288" s="13"/>
    </row>
    <row r="3289" spans="1:26" ht="12" customHeight="1" outlineLevel="4" x14ac:dyDescent="0.2">
      <c r="A3289" s="14" t="s">
        <v>6417</v>
      </c>
      <c r="B3289" s="26" t="s">
        <v>6418</v>
      </c>
      <c r="C3289" s="52"/>
      <c r="D3289" s="55">
        <f t="shared" si="51"/>
        <v>0</v>
      </c>
      <c r="E3289" s="63" t="str">
        <f>HYPERLINK("https://www.sds-group.ru/product/bokorezy-160mm-dielektricheskie-do-1000v-rexant-12-4614-3/", "Инфо")</f>
        <v>Инфо</v>
      </c>
      <c r="F3289" s="16" t="s">
        <v>39</v>
      </c>
      <c r="G3289" s="15"/>
      <c r="H3289" s="15"/>
      <c r="I3289" s="15"/>
      <c r="J3289" s="16" t="s">
        <v>100</v>
      </c>
      <c r="K3289" s="15" t="s">
        <v>6344</v>
      </c>
      <c r="L3289" s="17">
        <v>1</v>
      </c>
      <c r="M3289" s="17">
        <v>60</v>
      </c>
      <c r="N3289" s="17">
        <v>1</v>
      </c>
      <c r="O3289" s="18">
        <v>615.54999999999995</v>
      </c>
      <c r="P3289" s="18">
        <v>504.55</v>
      </c>
      <c r="Q3289" s="18">
        <v>492.44</v>
      </c>
      <c r="R3289" s="18">
        <v>403.64</v>
      </c>
      <c r="S3289" s="18">
        <v>418.57</v>
      </c>
      <c r="T3289" s="18">
        <v>343.09</v>
      </c>
      <c r="U3289" s="16"/>
      <c r="V3289" s="16"/>
      <c r="W3289" s="16" t="s">
        <v>40</v>
      </c>
      <c r="X3289" s="19">
        <v>0.253</v>
      </c>
      <c r="Y3289" s="20">
        <v>6.7400000000000001E-4</v>
      </c>
      <c r="Z3289" s="21">
        <v>4601004182110</v>
      </c>
    </row>
    <row r="3290" spans="1:26" ht="12" customHeight="1" outlineLevel="4" x14ac:dyDescent="0.2">
      <c r="A3290" s="14" t="s">
        <v>6419</v>
      </c>
      <c r="B3290" s="26" t="s">
        <v>6420</v>
      </c>
      <c r="C3290" s="52"/>
      <c r="D3290" s="55">
        <f t="shared" si="51"/>
        <v>0</v>
      </c>
      <c r="E3290" s="63" t="str">
        <f>HYPERLINK("https://www.sds-group.ru/product/bokorezy-180mm-dielektricheskie-do-1000v-rexant-12-4615-3/", "Инфо")</f>
        <v>Инфо</v>
      </c>
      <c r="F3290" s="16" t="s">
        <v>39</v>
      </c>
      <c r="G3290" s="15"/>
      <c r="H3290" s="15"/>
      <c r="I3290" s="15"/>
      <c r="J3290" s="16" t="s">
        <v>100</v>
      </c>
      <c r="K3290" s="15" t="s">
        <v>6344</v>
      </c>
      <c r="L3290" s="17">
        <v>1</v>
      </c>
      <c r="M3290" s="17">
        <v>60</v>
      </c>
      <c r="N3290" s="17">
        <v>1</v>
      </c>
      <c r="O3290" s="18">
        <v>786.95</v>
      </c>
      <c r="P3290" s="18">
        <v>645.04</v>
      </c>
      <c r="Q3290" s="18">
        <v>629.55999999999995</v>
      </c>
      <c r="R3290" s="18">
        <v>516.03</v>
      </c>
      <c r="S3290" s="18">
        <v>535.13</v>
      </c>
      <c r="T3290" s="18">
        <v>438.63</v>
      </c>
      <c r="U3290" s="16"/>
      <c r="V3290" s="16"/>
      <c r="W3290" s="16" t="s">
        <v>40</v>
      </c>
      <c r="X3290" s="19">
        <v>0.34399999999999997</v>
      </c>
      <c r="Y3290" s="20">
        <v>7.1299999999999998E-4</v>
      </c>
      <c r="Z3290" s="21">
        <v>4601004182127</v>
      </c>
    </row>
    <row r="3291" spans="1:26" ht="12" customHeight="1" outlineLevel="4" x14ac:dyDescent="0.2">
      <c r="A3291" s="14" t="s">
        <v>6421</v>
      </c>
      <c r="B3291" s="26" t="s">
        <v>6422</v>
      </c>
      <c r="C3291" s="52"/>
      <c r="D3291" s="55">
        <f t="shared" si="51"/>
        <v>0</v>
      </c>
      <c r="E3291" s="63" t="str">
        <f>HYPERLINK("https://www.sds-group.ru/product/bokorezy-200mm-dielektricheskie-do-1000v-rexant-12-4616-3/", "Инфо")</f>
        <v>Инфо</v>
      </c>
      <c r="F3291" s="16" t="s">
        <v>39</v>
      </c>
      <c r="G3291" s="15"/>
      <c r="H3291" s="15"/>
      <c r="I3291" s="15"/>
      <c r="J3291" s="17">
        <v>304</v>
      </c>
      <c r="K3291" s="15" t="s">
        <v>6344</v>
      </c>
      <c r="L3291" s="17">
        <v>1</v>
      </c>
      <c r="M3291" s="17">
        <v>60</v>
      </c>
      <c r="N3291" s="17">
        <v>1</v>
      </c>
      <c r="O3291" s="18">
        <v>873.2</v>
      </c>
      <c r="P3291" s="18">
        <v>715.74</v>
      </c>
      <c r="Q3291" s="18">
        <v>698.56</v>
      </c>
      <c r="R3291" s="18">
        <v>572.59</v>
      </c>
      <c r="S3291" s="18">
        <v>593.78</v>
      </c>
      <c r="T3291" s="18">
        <v>486.7</v>
      </c>
      <c r="U3291" s="16"/>
      <c r="V3291" s="16"/>
      <c r="W3291" s="16" t="s">
        <v>40</v>
      </c>
      <c r="X3291" s="19">
        <v>0.38300000000000001</v>
      </c>
      <c r="Y3291" s="20">
        <v>8.3299999999999997E-4</v>
      </c>
      <c r="Z3291" s="21">
        <v>4601004182134</v>
      </c>
    </row>
    <row r="3292" spans="1:26" ht="12" customHeight="1" outlineLevel="4" x14ac:dyDescent="0.2">
      <c r="A3292" s="14" t="s">
        <v>6423</v>
      </c>
      <c r="B3292" s="26" t="s">
        <v>6424</v>
      </c>
      <c r="C3292" s="52"/>
      <c r="D3292" s="55">
        <f t="shared" si="51"/>
        <v>0</v>
      </c>
      <c r="E3292" s="63" t="str">
        <f>HYPERLINK("https://www.sds-group.ru/product/ploskogubtsy-kombinirovannye-160mm-dielektricheskie-do-1000v-rexant-12-4611-3/", "Инфо")</f>
        <v>Инфо</v>
      </c>
      <c r="F3292" s="16" t="s">
        <v>39</v>
      </c>
      <c r="G3292" s="15"/>
      <c r="H3292" s="15"/>
      <c r="I3292" s="15"/>
      <c r="J3292" s="16" t="s">
        <v>100</v>
      </c>
      <c r="K3292" s="15" t="s">
        <v>6344</v>
      </c>
      <c r="L3292" s="17">
        <v>1</v>
      </c>
      <c r="M3292" s="17">
        <v>60</v>
      </c>
      <c r="N3292" s="17">
        <v>1</v>
      </c>
      <c r="O3292" s="18">
        <v>560.57000000000005</v>
      </c>
      <c r="P3292" s="18">
        <v>459.48</v>
      </c>
      <c r="Q3292" s="18">
        <v>448.46</v>
      </c>
      <c r="R3292" s="18">
        <v>367.59</v>
      </c>
      <c r="S3292" s="18">
        <v>381.19</v>
      </c>
      <c r="T3292" s="18">
        <v>312.45</v>
      </c>
      <c r="U3292" s="16"/>
      <c r="V3292" s="16"/>
      <c r="W3292" s="16" t="s">
        <v>40</v>
      </c>
      <c r="X3292" s="19">
        <v>0.28299999999999997</v>
      </c>
      <c r="Y3292" s="20">
        <v>6.1799999999999995E-4</v>
      </c>
      <c r="Z3292" s="21">
        <v>4601004182165</v>
      </c>
    </row>
    <row r="3293" spans="1:26" ht="12" customHeight="1" outlineLevel="4" x14ac:dyDescent="0.2">
      <c r="A3293" s="14" t="s">
        <v>6425</v>
      </c>
      <c r="B3293" s="26" t="s">
        <v>6426</v>
      </c>
      <c r="C3293" s="52"/>
      <c r="D3293" s="55">
        <f t="shared" si="51"/>
        <v>0</v>
      </c>
      <c r="E3293" s="63" t="str">
        <f>HYPERLINK("https://www.sds-group.ru/product/ploskogubtsy-kombinirovannye-180mm-dielektricheskie-do-1000v-rexant-12-4612-3/", "Инфо")</f>
        <v>Инфо</v>
      </c>
      <c r="F3293" s="16" t="s">
        <v>39</v>
      </c>
      <c r="G3293" s="15"/>
      <c r="H3293" s="15"/>
      <c r="I3293" s="15"/>
      <c r="J3293" s="17">
        <v>20</v>
      </c>
      <c r="K3293" s="15" t="s">
        <v>6344</v>
      </c>
      <c r="L3293" s="17">
        <v>1</v>
      </c>
      <c r="M3293" s="17">
        <v>60</v>
      </c>
      <c r="N3293" s="17">
        <v>1</v>
      </c>
      <c r="O3293" s="18">
        <v>700.71</v>
      </c>
      <c r="P3293" s="18">
        <v>574.35</v>
      </c>
      <c r="Q3293" s="18">
        <v>560.57000000000005</v>
      </c>
      <c r="R3293" s="18">
        <v>459.48</v>
      </c>
      <c r="S3293" s="18">
        <v>476.48</v>
      </c>
      <c r="T3293" s="18">
        <v>390.56</v>
      </c>
      <c r="U3293" s="16"/>
      <c r="V3293" s="16"/>
      <c r="W3293" s="16" t="s">
        <v>40</v>
      </c>
      <c r="X3293" s="19">
        <v>0.33</v>
      </c>
      <c r="Y3293" s="20">
        <v>6.5399999999999996E-4</v>
      </c>
      <c r="Z3293" s="21">
        <v>4601004182097</v>
      </c>
    </row>
    <row r="3294" spans="1:26" ht="12" customHeight="1" outlineLevel="4" x14ac:dyDescent="0.2">
      <c r="A3294" s="14" t="s">
        <v>6427</v>
      </c>
      <c r="B3294" s="26" t="s">
        <v>6428</v>
      </c>
      <c r="C3294" s="52"/>
      <c r="D3294" s="55">
        <f t="shared" si="51"/>
        <v>0</v>
      </c>
      <c r="E3294" s="63" t="str">
        <f>HYPERLINK("https://www.sds-group.ru/product/ploskogubtsy-kombinirovannye-200mm-dielektricheskie-do-1000v-rexant-12-4613-3/", "Инфо")</f>
        <v>Инфо</v>
      </c>
      <c r="F3294" s="16" t="s">
        <v>39</v>
      </c>
      <c r="G3294" s="15"/>
      <c r="H3294" s="15"/>
      <c r="I3294" s="15"/>
      <c r="J3294" s="16" t="s">
        <v>100</v>
      </c>
      <c r="K3294" s="15" t="s">
        <v>6344</v>
      </c>
      <c r="L3294" s="17">
        <v>1</v>
      </c>
      <c r="M3294" s="17">
        <v>60</v>
      </c>
      <c r="N3294" s="17">
        <v>1</v>
      </c>
      <c r="O3294" s="18">
        <v>916.32</v>
      </c>
      <c r="P3294" s="18">
        <v>751.08</v>
      </c>
      <c r="Q3294" s="18">
        <v>733.06</v>
      </c>
      <c r="R3294" s="18">
        <v>600.87</v>
      </c>
      <c r="S3294" s="18">
        <v>623.1</v>
      </c>
      <c r="T3294" s="18">
        <v>510.74</v>
      </c>
      <c r="U3294" s="16"/>
      <c r="V3294" s="16"/>
      <c r="W3294" s="16" t="s">
        <v>40</v>
      </c>
      <c r="X3294" s="19">
        <v>0.44600000000000001</v>
      </c>
      <c r="Y3294" s="20">
        <v>8.1300000000000003E-4</v>
      </c>
      <c r="Z3294" s="21">
        <v>4601004182103</v>
      </c>
    </row>
    <row r="3295" spans="1:26" ht="12.95" customHeight="1" outlineLevel="3" x14ac:dyDescent="0.2">
      <c r="A3295" s="76" t="s">
        <v>6429</v>
      </c>
      <c r="B3295" s="76"/>
      <c r="C3295" s="77"/>
      <c r="D3295" s="58"/>
      <c r="E3295" s="68"/>
      <c r="F3295" s="13"/>
      <c r="G3295" s="13"/>
      <c r="H3295" s="13"/>
      <c r="I3295" s="13"/>
      <c r="J3295" s="13"/>
      <c r="K3295" s="13"/>
      <c r="L3295" s="13"/>
      <c r="M3295" s="13"/>
      <c r="N3295" s="13"/>
      <c r="O3295" s="13"/>
      <c r="P3295" s="13"/>
      <c r="Q3295" s="13"/>
      <c r="R3295" s="13"/>
      <c r="S3295" s="13"/>
      <c r="T3295" s="13"/>
      <c r="U3295" s="13"/>
      <c r="V3295" s="13"/>
      <c r="W3295" s="13"/>
      <c r="X3295" s="13"/>
      <c r="Y3295" s="13"/>
      <c r="Z3295" s="13"/>
    </row>
    <row r="3296" spans="1:26" ht="12" customHeight="1" outlineLevel="4" x14ac:dyDescent="0.2">
      <c r="A3296" s="14" t="s">
        <v>6430</v>
      </c>
      <c r="B3296" s="26" t="s">
        <v>6431</v>
      </c>
      <c r="C3296" s="52"/>
      <c r="D3296" s="55">
        <f t="shared" si="51"/>
        <v>0</v>
      </c>
      <c r="E3296" s="63" t="str">
        <f>HYPERLINK("https://www.sds-group.ru/product/bokorezy-mnogofunktsionalnye-dielektricheskie-206mm-kranz-KR-12-4652-3/", "Инфо")</f>
        <v>Инфо</v>
      </c>
      <c r="F3296" s="16" t="s">
        <v>39</v>
      </c>
      <c r="G3296" s="15"/>
      <c r="H3296" s="15"/>
      <c r="I3296" s="15"/>
      <c r="J3296" s="22">
        <v>1421</v>
      </c>
      <c r="K3296" s="15"/>
      <c r="L3296" s="17">
        <v>1</v>
      </c>
      <c r="M3296" s="17">
        <v>60</v>
      </c>
      <c r="N3296" s="17">
        <v>1</v>
      </c>
      <c r="O3296" s="18">
        <v>1940.44</v>
      </c>
      <c r="P3296" s="18">
        <v>1590.52</v>
      </c>
      <c r="Q3296" s="18">
        <v>1785.2</v>
      </c>
      <c r="R3296" s="18">
        <v>1463.28</v>
      </c>
      <c r="S3296" s="18">
        <v>1319.5</v>
      </c>
      <c r="T3296" s="18">
        <v>1081.56</v>
      </c>
      <c r="U3296" s="16"/>
      <c r="V3296" s="16"/>
      <c r="W3296" s="16" t="s">
        <v>40</v>
      </c>
      <c r="X3296" s="19">
        <v>0.41</v>
      </c>
      <c r="Y3296" s="20">
        <v>1.4859999999999999E-3</v>
      </c>
      <c r="Z3296" s="21">
        <v>4601004330993</v>
      </c>
    </row>
    <row r="3297" spans="1:26" ht="12" customHeight="1" outlineLevel="4" x14ac:dyDescent="0.2">
      <c r="A3297" s="14" t="s">
        <v>6432</v>
      </c>
      <c r="B3297" s="26" t="s">
        <v>6433</v>
      </c>
      <c r="C3297" s="52"/>
      <c r="D3297" s="55">
        <f t="shared" si="51"/>
        <v>0</v>
      </c>
      <c r="E3297" s="63" t="str">
        <f>HYPERLINK("https://www.sds-group.ru/product/bokorezy-mnogofunktsionalnye-universalnye-190mm-kranz-KR-12-4652-5/", "Инфо")</f>
        <v>Инфо</v>
      </c>
      <c r="F3297" s="16" t="s">
        <v>39</v>
      </c>
      <c r="G3297" s="15"/>
      <c r="H3297" s="15"/>
      <c r="I3297" s="15"/>
      <c r="J3297" s="16" t="s">
        <v>100</v>
      </c>
      <c r="K3297" s="15" t="s">
        <v>6434</v>
      </c>
      <c r="L3297" s="17">
        <v>1</v>
      </c>
      <c r="M3297" s="17">
        <v>48</v>
      </c>
      <c r="N3297" s="17">
        <v>1</v>
      </c>
      <c r="O3297" s="18">
        <v>862.42</v>
      </c>
      <c r="P3297" s="18">
        <v>706.9</v>
      </c>
      <c r="Q3297" s="18">
        <v>733.06</v>
      </c>
      <c r="R3297" s="18">
        <v>600.87</v>
      </c>
      <c r="S3297" s="18">
        <v>586.45000000000005</v>
      </c>
      <c r="T3297" s="18">
        <v>480.7</v>
      </c>
      <c r="U3297" s="16"/>
      <c r="V3297" s="16"/>
      <c r="W3297" s="16" t="s">
        <v>40</v>
      </c>
      <c r="X3297" s="19">
        <v>0.318</v>
      </c>
      <c r="Y3297" s="20">
        <v>8.6700000000000004E-4</v>
      </c>
      <c r="Z3297" s="21">
        <v>4601004271579</v>
      </c>
    </row>
    <row r="3298" spans="1:26" ht="12" customHeight="1" outlineLevel="4" x14ac:dyDescent="0.2">
      <c r="A3298" s="32" t="s">
        <v>6435</v>
      </c>
      <c r="B3298" s="74" t="s">
        <v>6436</v>
      </c>
      <c r="C3298" s="50"/>
      <c r="D3298" s="53">
        <f t="shared" si="51"/>
        <v>0</v>
      </c>
      <c r="E3298" s="60" t="str">
        <f>HYPERLINK("https://www.sds-group.ru/product/mnogofunktsionalnyy-instrument-dlya-zachistki-provodov-7v1-kranz-KR-12-4024-5/", "Инфо")</f>
        <v>Инфо</v>
      </c>
      <c r="F3298" s="34" t="s">
        <v>39</v>
      </c>
      <c r="G3298" s="33"/>
      <c r="H3298" s="33" t="s">
        <v>40</v>
      </c>
      <c r="I3298" s="33"/>
      <c r="J3298" s="34" t="s">
        <v>100</v>
      </c>
      <c r="K3298" s="33"/>
      <c r="L3298" s="35">
        <v>1</v>
      </c>
      <c r="M3298" s="35">
        <v>100</v>
      </c>
      <c r="N3298" s="35">
        <v>1</v>
      </c>
      <c r="O3298" s="36">
        <v>1150.1099999999999</v>
      </c>
      <c r="P3298" s="36">
        <v>942.71</v>
      </c>
      <c r="Q3298" s="36">
        <v>920.09</v>
      </c>
      <c r="R3298" s="36">
        <v>754.17</v>
      </c>
      <c r="S3298" s="36">
        <v>782.07</v>
      </c>
      <c r="T3298" s="36">
        <v>641.04</v>
      </c>
      <c r="U3298" s="34"/>
      <c r="V3298" s="34"/>
      <c r="W3298" s="34" t="s">
        <v>40</v>
      </c>
      <c r="X3298" s="37">
        <v>0.217</v>
      </c>
      <c r="Y3298" s="38">
        <v>5.9900000000000003E-4</v>
      </c>
      <c r="Z3298" s="21">
        <v>4601004300002</v>
      </c>
    </row>
    <row r="3299" spans="1:26" ht="12" customHeight="1" outlineLevel="4" x14ac:dyDescent="0.2">
      <c r="A3299" s="14" t="s">
        <v>6437</v>
      </c>
      <c r="B3299" s="26" t="s">
        <v>6438</v>
      </c>
      <c r="C3299" s="52"/>
      <c r="D3299" s="55">
        <f t="shared" si="51"/>
        <v>0</v>
      </c>
      <c r="E3299" s="63" t="str">
        <f>HYPERLINK("https://www.sds-group.ru/product/ploskogubtsy-mnogofunktsionalnye-dielektricheskie-230mm-kranz-KR-12-4651-3/", "Инфо")</f>
        <v>Инфо</v>
      </c>
      <c r="F3299" s="16" t="s">
        <v>39</v>
      </c>
      <c r="G3299" s="15"/>
      <c r="H3299" s="15"/>
      <c r="I3299" s="15"/>
      <c r="J3299" s="22">
        <v>3676</v>
      </c>
      <c r="K3299" s="15"/>
      <c r="L3299" s="17">
        <v>1</v>
      </c>
      <c r="M3299" s="17">
        <v>60</v>
      </c>
      <c r="N3299" s="17">
        <v>1</v>
      </c>
      <c r="O3299" s="18">
        <v>2102.14</v>
      </c>
      <c r="P3299" s="18">
        <v>1723.07</v>
      </c>
      <c r="Q3299" s="18">
        <v>1933.97</v>
      </c>
      <c r="R3299" s="18">
        <v>1585.22</v>
      </c>
      <c r="S3299" s="18">
        <v>1429.46</v>
      </c>
      <c r="T3299" s="18">
        <v>1171.69</v>
      </c>
      <c r="U3299" s="16"/>
      <c r="V3299" s="16"/>
      <c r="W3299" s="16" t="s">
        <v>40</v>
      </c>
      <c r="X3299" s="19">
        <v>0.46700000000000003</v>
      </c>
      <c r="Y3299" s="20">
        <v>1.469E-3</v>
      </c>
      <c r="Z3299" s="21">
        <v>4601004331013</v>
      </c>
    </row>
    <row r="3300" spans="1:26" ht="12" customHeight="1" outlineLevel="4" x14ac:dyDescent="0.2">
      <c r="A3300" s="14" t="s">
        <v>6439</v>
      </c>
      <c r="B3300" s="26" t="s">
        <v>6440</v>
      </c>
      <c r="C3300" s="52"/>
      <c r="D3300" s="55">
        <f t="shared" si="51"/>
        <v>0</v>
      </c>
      <c r="E3300" s="63" t="str">
        <f>HYPERLINK("https://www.sds-group.ru/product/ploskogubtsy-mnogofunktsionalnye-dielektricheskie-s-testerom-210mm-kranz-KR-12-4656-3/", "Инфо")</f>
        <v>Инфо</v>
      </c>
      <c r="F3300" s="16" t="s">
        <v>39</v>
      </c>
      <c r="G3300" s="15"/>
      <c r="H3300" s="15"/>
      <c r="I3300" s="15"/>
      <c r="J3300" s="22">
        <v>3854</v>
      </c>
      <c r="K3300" s="15"/>
      <c r="L3300" s="17">
        <v>1</v>
      </c>
      <c r="M3300" s="17">
        <v>60</v>
      </c>
      <c r="N3300" s="17">
        <v>1</v>
      </c>
      <c r="O3300" s="18">
        <v>2479.4499999999998</v>
      </c>
      <c r="P3300" s="18">
        <v>2032.34</v>
      </c>
      <c r="Q3300" s="18">
        <v>2281.09</v>
      </c>
      <c r="R3300" s="18">
        <v>1869.75</v>
      </c>
      <c r="S3300" s="18">
        <v>1686.03</v>
      </c>
      <c r="T3300" s="18">
        <v>1381.99</v>
      </c>
      <c r="U3300" s="16"/>
      <c r="V3300" s="16"/>
      <c r="W3300" s="16" t="s">
        <v>40</v>
      </c>
      <c r="X3300" s="19">
        <v>0.39600000000000002</v>
      </c>
      <c r="Y3300" s="20">
        <v>1.2769999999999999E-3</v>
      </c>
      <c r="Z3300" s="21">
        <v>4601004330948</v>
      </c>
    </row>
    <row r="3301" spans="1:26" ht="12" customHeight="1" outlineLevel="4" x14ac:dyDescent="0.2">
      <c r="A3301" s="14" t="s">
        <v>6441</v>
      </c>
      <c r="B3301" s="26" t="s">
        <v>6442</v>
      </c>
      <c r="C3301" s="52"/>
      <c r="D3301" s="55">
        <f t="shared" si="51"/>
        <v>0</v>
      </c>
      <c r="E3301" s="63" t="str">
        <f>HYPERLINK("https://www.sds-group.ru/product/ploskogubtsy-mnogofunktsionalnye-dielektricheskie-so-semnikom-238mm-kranz-KR-12-4657-3/", "Инфо")</f>
        <v>Инфо</v>
      </c>
      <c r="F3301" s="16" t="s">
        <v>39</v>
      </c>
      <c r="G3301" s="15"/>
      <c r="H3301" s="15"/>
      <c r="I3301" s="15"/>
      <c r="J3301" s="22">
        <v>2107</v>
      </c>
      <c r="K3301" s="15"/>
      <c r="L3301" s="17">
        <v>1</v>
      </c>
      <c r="M3301" s="17">
        <v>60</v>
      </c>
      <c r="N3301" s="17">
        <v>1</v>
      </c>
      <c r="O3301" s="18">
        <v>2263.84</v>
      </c>
      <c r="P3301" s="18">
        <v>1855.61</v>
      </c>
      <c r="Q3301" s="18">
        <v>2082.73</v>
      </c>
      <c r="R3301" s="18">
        <v>1707.16</v>
      </c>
      <c r="S3301" s="18">
        <v>1539.41</v>
      </c>
      <c r="T3301" s="18">
        <v>1261.81</v>
      </c>
      <c r="U3301" s="16"/>
      <c r="V3301" s="16"/>
      <c r="W3301" s="16" t="s">
        <v>40</v>
      </c>
      <c r="X3301" s="19">
        <v>0.42899999999999999</v>
      </c>
      <c r="Y3301" s="20">
        <v>1.4779999999999999E-3</v>
      </c>
      <c r="Z3301" s="21">
        <v>4601004331006</v>
      </c>
    </row>
    <row r="3302" spans="1:26" ht="12" customHeight="1" outlineLevel="4" x14ac:dyDescent="0.2">
      <c r="A3302" s="14" t="s">
        <v>6443</v>
      </c>
      <c r="B3302" s="26" t="s">
        <v>6444</v>
      </c>
      <c r="C3302" s="52"/>
      <c r="D3302" s="55">
        <f t="shared" si="51"/>
        <v>0</v>
      </c>
      <c r="E3302" s="63" t="str">
        <f>HYPERLINK("https://www.sds-group.ru/product/ploskogubtsy-mnogofunktsionalnye-universalnye-200mm-kranz-KR-12-4651-5/", "Инфо")</f>
        <v>Инфо</v>
      </c>
      <c r="F3302" s="16" t="s">
        <v>39</v>
      </c>
      <c r="G3302" s="15"/>
      <c r="H3302" s="15"/>
      <c r="I3302" s="15"/>
      <c r="J3302" s="16" t="s">
        <v>100</v>
      </c>
      <c r="K3302" s="15" t="s">
        <v>1094</v>
      </c>
      <c r="L3302" s="17">
        <v>1</v>
      </c>
      <c r="M3302" s="17">
        <v>48</v>
      </c>
      <c r="N3302" s="17">
        <v>1</v>
      </c>
      <c r="O3302" s="18">
        <v>862.42</v>
      </c>
      <c r="P3302" s="18">
        <v>706.9</v>
      </c>
      <c r="Q3302" s="18">
        <v>733.06</v>
      </c>
      <c r="R3302" s="18">
        <v>600.87</v>
      </c>
      <c r="S3302" s="18">
        <v>586.45000000000005</v>
      </c>
      <c r="T3302" s="18">
        <v>480.7</v>
      </c>
      <c r="U3302" s="16"/>
      <c r="V3302" s="16"/>
      <c r="W3302" s="16" t="s">
        <v>40</v>
      </c>
      <c r="X3302" s="19">
        <v>0.38200000000000001</v>
      </c>
      <c r="Y3302" s="20">
        <v>9.1200000000000005E-4</v>
      </c>
      <c r="Z3302" s="21">
        <v>4601004271586</v>
      </c>
    </row>
    <row r="3303" spans="1:26" ht="12" customHeight="1" outlineLevel="4" x14ac:dyDescent="0.2">
      <c r="A3303" s="14" t="s">
        <v>6445</v>
      </c>
      <c r="B3303" s="26" t="s">
        <v>6446</v>
      </c>
      <c r="C3303" s="52"/>
      <c r="D3303" s="55">
        <f t="shared" si="51"/>
        <v>0</v>
      </c>
      <c r="E3303" s="63" t="str">
        <f>HYPERLINK("https://www.sds-group.ru/product/ploskogubtsy-professionalnye-mnogofunktsionalnye-200mm-kranz-KR-12-4655-5/", "Инфо")</f>
        <v>Инфо</v>
      </c>
      <c r="F3303" s="16" t="s">
        <v>39</v>
      </c>
      <c r="G3303" s="15"/>
      <c r="H3303" s="15"/>
      <c r="I3303" s="15"/>
      <c r="J3303" s="16" t="s">
        <v>100</v>
      </c>
      <c r="K3303" s="15" t="s">
        <v>6344</v>
      </c>
      <c r="L3303" s="17">
        <v>1</v>
      </c>
      <c r="M3303" s="17">
        <v>48</v>
      </c>
      <c r="N3303" s="17">
        <v>1</v>
      </c>
      <c r="O3303" s="18">
        <v>916.32</v>
      </c>
      <c r="P3303" s="18">
        <v>751.08</v>
      </c>
      <c r="Q3303" s="18">
        <v>778.87</v>
      </c>
      <c r="R3303" s="18">
        <v>638.41999999999996</v>
      </c>
      <c r="S3303" s="18">
        <v>623.1</v>
      </c>
      <c r="T3303" s="18">
        <v>510.74</v>
      </c>
      <c r="U3303" s="16"/>
      <c r="V3303" s="16"/>
      <c r="W3303" s="16" t="s">
        <v>40</v>
      </c>
      <c r="X3303" s="19">
        <v>0.33</v>
      </c>
      <c r="Y3303" s="20">
        <v>7.6499999999999995E-4</v>
      </c>
      <c r="Z3303" s="21">
        <v>4601004271609</v>
      </c>
    </row>
    <row r="3304" spans="1:26" ht="12" customHeight="1" outlineLevel="4" x14ac:dyDescent="0.2">
      <c r="A3304" s="14" t="s">
        <v>6447</v>
      </c>
      <c r="B3304" s="26" t="s">
        <v>6448</v>
      </c>
      <c r="C3304" s="52"/>
      <c r="D3304" s="55">
        <f t="shared" si="51"/>
        <v>0</v>
      </c>
      <c r="E3304" s="63" t="str">
        <f>HYPERLINK("https://www.sds-group.ru/product/tonkogubtsy-mnogofunktsionalnye-universalnye-200mm-kranz-KR-12-4653-5/", "Инфо")</f>
        <v>Инфо</v>
      </c>
      <c r="F3304" s="16" t="s">
        <v>39</v>
      </c>
      <c r="G3304" s="15"/>
      <c r="H3304" s="15"/>
      <c r="I3304" s="15"/>
      <c r="J3304" s="16" t="s">
        <v>100</v>
      </c>
      <c r="K3304" s="15" t="s">
        <v>1094</v>
      </c>
      <c r="L3304" s="17">
        <v>1</v>
      </c>
      <c r="M3304" s="17">
        <v>60</v>
      </c>
      <c r="N3304" s="17">
        <v>1</v>
      </c>
      <c r="O3304" s="18">
        <v>862.42</v>
      </c>
      <c r="P3304" s="18">
        <v>706.9</v>
      </c>
      <c r="Q3304" s="18">
        <v>733.06</v>
      </c>
      <c r="R3304" s="18">
        <v>600.87</v>
      </c>
      <c r="S3304" s="18">
        <v>586.45000000000005</v>
      </c>
      <c r="T3304" s="18">
        <v>480.7</v>
      </c>
      <c r="U3304" s="16"/>
      <c r="V3304" s="16"/>
      <c r="W3304" s="16" t="s">
        <v>40</v>
      </c>
      <c r="X3304" s="19">
        <v>0.307</v>
      </c>
      <c r="Y3304" s="20">
        <v>7.6800000000000002E-4</v>
      </c>
      <c r="Z3304" s="21">
        <v>4601004271593</v>
      </c>
    </row>
    <row r="3305" spans="1:26" ht="12.95" customHeight="1" outlineLevel="2" x14ac:dyDescent="0.2">
      <c r="A3305" s="76" t="s">
        <v>6449</v>
      </c>
      <c r="B3305" s="76"/>
      <c r="C3305" s="77"/>
      <c r="D3305" s="58"/>
      <c r="E3305" s="68"/>
      <c r="F3305" s="13"/>
      <c r="G3305" s="13"/>
      <c r="H3305" s="13"/>
      <c r="I3305" s="13"/>
      <c r="J3305" s="13"/>
      <c r="K3305" s="13"/>
      <c r="L3305" s="13"/>
      <c r="M3305" s="13"/>
      <c r="N3305" s="13"/>
      <c r="O3305" s="13"/>
      <c r="P3305" s="13"/>
      <c r="Q3305" s="13"/>
      <c r="R3305" s="13"/>
      <c r="S3305" s="13"/>
      <c r="T3305" s="13"/>
      <c r="U3305" s="13"/>
      <c r="V3305" s="13"/>
      <c r="W3305" s="13"/>
      <c r="X3305" s="13"/>
      <c r="Y3305" s="13"/>
      <c r="Z3305" s="13"/>
    </row>
    <row r="3306" spans="1:26" ht="12.95" customHeight="1" outlineLevel="3" x14ac:dyDescent="0.2">
      <c r="A3306" s="76" t="s">
        <v>6450</v>
      </c>
      <c r="B3306" s="76"/>
      <c r="C3306" s="77"/>
      <c r="D3306" s="58"/>
      <c r="E3306" s="68"/>
      <c r="F3306" s="13"/>
      <c r="G3306" s="13"/>
      <c r="H3306" s="13"/>
      <c r="I3306" s="13"/>
      <c r="J3306" s="13"/>
      <c r="K3306" s="13"/>
      <c r="L3306" s="13"/>
      <c r="M3306" s="13"/>
      <c r="N3306" s="13"/>
      <c r="O3306" s="13"/>
      <c r="P3306" s="13"/>
      <c r="Q3306" s="13"/>
      <c r="R3306" s="13"/>
      <c r="S3306" s="13"/>
      <c r="T3306" s="13"/>
      <c r="U3306" s="13"/>
      <c r="V3306" s="13"/>
      <c r="W3306" s="13"/>
      <c r="X3306" s="13"/>
      <c r="Y3306" s="13"/>
      <c r="Z3306" s="13"/>
    </row>
    <row r="3307" spans="1:26" ht="12" customHeight="1" outlineLevel="4" x14ac:dyDescent="0.2">
      <c r="A3307" s="14" t="s">
        <v>6451</v>
      </c>
      <c r="B3307" s="26" t="s">
        <v>6452</v>
      </c>
      <c r="C3307" s="52"/>
      <c r="D3307" s="55">
        <f t="shared" si="51"/>
        <v>0</v>
      </c>
      <c r="E3307" s="63" t="str">
        <f>HYPERLINK("https://www.sds-group.ru/product/klyuch-kombinirovannyy-10mm-zheltyy-tsink-rexant-12-5805-2/", "Инфо")</f>
        <v>Инфо</v>
      </c>
      <c r="F3307" s="16" t="s">
        <v>39</v>
      </c>
      <c r="G3307" s="15"/>
      <c r="H3307" s="15"/>
      <c r="I3307" s="15"/>
      <c r="J3307" s="22">
        <v>4102</v>
      </c>
      <c r="K3307" s="15"/>
      <c r="L3307" s="17">
        <v>10</v>
      </c>
      <c r="M3307" s="17">
        <v>500</v>
      </c>
      <c r="N3307" s="17">
        <v>10</v>
      </c>
      <c r="O3307" s="18">
        <v>80.56</v>
      </c>
      <c r="P3307" s="18">
        <v>66.03</v>
      </c>
      <c r="Q3307" s="18">
        <v>68.48</v>
      </c>
      <c r="R3307" s="18">
        <v>56.13</v>
      </c>
      <c r="S3307" s="18">
        <v>54.78</v>
      </c>
      <c r="T3307" s="18">
        <v>44.9</v>
      </c>
      <c r="U3307" s="16"/>
      <c r="V3307" s="16"/>
      <c r="W3307" s="16" t="s">
        <v>40</v>
      </c>
      <c r="X3307" s="19">
        <v>5.0999999999999997E-2</v>
      </c>
      <c r="Y3307" s="20">
        <v>6.7000000000000002E-5</v>
      </c>
      <c r="Z3307" s="21">
        <v>4601004145849</v>
      </c>
    </row>
    <row r="3308" spans="1:26" ht="12" customHeight="1" outlineLevel="4" x14ac:dyDescent="0.2">
      <c r="A3308" s="32" t="s">
        <v>6453</v>
      </c>
      <c r="B3308" s="74" t="s">
        <v>6454</v>
      </c>
      <c r="C3308" s="50"/>
      <c r="D3308" s="53">
        <f t="shared" si="51"/>
        <v>0</v>
      </c>
      <c r="E3308" s="60" t="str">
        <f>HYPERLINK("https://www.sds-group.ru/product/klyuch-kombinirovannyy-11mm-zheltyy-tsink-rexant-12-5806-2/", "Инфо")</f>
        <v>Инфо</v>
      </c>
      <c r="F3308" s="34" t="s">
        <v>39</v>
      </c>
      <c r="G3308" s="33"/>
      <c r="H3308" s="33" t="s">
        <v>40</v>
      </c>
      <c r="I3308" s="33"/>
      <c r="J3308" s="35">
        <v>979</v>
      </c>
      <c r="K3308" s="33"/>
      <c r="L3308" s="35">
        <v>1</v>
      </c>
      <c r="M3308" s="35">
        <v>400</v>
      </c>
      <c r="N3308" s="35">
        <v>1</v>
      </c>
      <c r="O3308" s="36">
        <v>74.2</v>
      </c>
      <c r="P3308" s="36">
        <v>60.82</v>
      </c>
      <c r="Q3308" s="36">
        <v>51.94</v>
      </c>
      <c r="R3308" s="36">
        <v>42.57</v>
      </c>
      <c r="S3308" s="36">
        <v>50.46</v>
      </c>
      <c r="T3308" s="36">
        <v>41.36</v>
      </c>
      <c r="U3308" s="34"/>
      <c r="V3308" s="34"/>
      <c r="W3308" s="34"/>
      <c r="X3308" s="37">
        <v>5.8000000000000003E-2</v>
      </c>
      <c r="Y3308" s="38">
        <v>1.11E-4</v>
      </c>
      <c r="Z3308" s="21">
        <v>4601004145856</v>
      </c>
    </row>
    <row r="3309" spans="1:26" ht="12" customHeight="1" outlineLevel="4" x14ac:dyDescent="0.2">
      <c r="A3309" s="32" t="s">
        <v>6455</v>
      </c>
      <c r="B3309" s="74" t="s">
        <v>6456</v>
      </c>
      <c r="C3309" s="50"/>
      <c r="D3309" s="53">
        <f t="shared" si="51"/>
        <v>0</v>
      </c>
      <c r="E3309" s="60" t="str">
        <f>HYPERLINK("https://www.sds-group.ru/product/klyuch-kombinirovannyy-12mm-zheltyy-tsink-rexant-12-5807-2/", "Инфо")</f>
        <v>Инфо</v>
      </c>
      <c r="F3309" s="34" t="s">
        <v>39</v>
      </c>
      <c r="G3309" s="33"/>
      <c r="H3309" s="33" t="s">
        <v>40</v>
      </c>
      <c r="I3309" s="33"/>
      <c r="J3309" s="35">
        <v>914</v>
      </c>
      <c r="K3309" s="33"/>
      <c r="L3309" s="35">
        <v>1</v>
      </c>
      <c r="M3309" s="35">
        <v>320</v>
      </c>
      <c r="N3309" s="35">
        <v>1</v>
      </c>
      <c r="O3309" s="36">
        <v>84.8</v>
      </c>
      <c r="P3309" s="36">
        <v>69.510000000000005</v>
      </c>
      <c r="Q3309" s="36">
        <v>59.36</v>
      </c>
      <c r="R3309" s="36">
        <v>48.66</v>
      </c>
      <c r="S3309" s="36">
        <v>57.66</v>
      </c>
      <c r="T3309" s="36">
        <v>47.26</v>
      </c>
      <c r="U3309" s="34"/>
      <c r="V3309" s="34"/>
      <c r="W3309" s="34"/>
      <c r="X3309" s="37">
        <v>7.0000000000000007E-2</v>
      </c>
      <c r="Y3309" s="38">
        <v>8.7999999999999998E-5</v>
      </c>
      <c r="Z3309" s="21">
        <v>4601004145863</v>
      </c>
    </row>
    <row r="3310" spans="1:26" ht="12" customHeight="1" outlineLevel="4" x14ac:dyDescent="0.2">
      <c r="A3310" s="14" t="s">
        <v>6457</v>
      </c>
      <c r="B3310" s="26" t="s">
        <v>6458</v>
      </c>
      <c r="C3310" s="52"/>
      <c r="D3310" s="55">
        <f t="shared" si="51"/>
        <v>0</v>
      </c>
      <c r="E3310" s="63" t="str">
        <f>HYPERLINK("https://www.sds-group.ru/product/klyuch-kombinirovannyy-13mm-zheltyy-tsink-rexant-12-5808-2/", "Инфо")</f>
        <v>Инфо</v>
      </c>
      <c r="F3310" s="16" t="s">
        <v>39</v>
      </c>
      <c r="G3310" s="15"/>
      <c r="H3310" s="15"/>
      <c r="I3310" s="15"/>
      <c r="J3310" s="17">
        <v>784</v>
      </c>
      <c r="K3310" s="15"/>
      <c r="L3310" s="17">
        <v>10</v>
      </c>
      <c r="M3310" s="17">
        <v>320</v>
      </c>
      <c r="N3310" s="17">
        <v>10</v>
      </c>
      <c r="O3310" s="18">
        <v>100.7</v>
      </c>
      <c r="P3310" s="18">
        <v>82.54</v>
      </c>
      <c r="Q3310" s="18">
        <v>85.6</v>
      </c>
      <c r="R3310" s="18">
        <v>70.16</v>
      </c>
      <c r="S3310" s="18">
        <v>68.48</v>
      </c>
      <c r="T3310" s="18">
        <v>56.13</v>
      </c>
      <c r="U3310" s="16"/>
      <c r="V3310" s="16"/>
      <c r="W3310" s="16" t="s">
        <v>40</v>
      </c>
      <c r="X3310" s="19">
        <v>7.3999999999999996E-2</v>
      </c>
      <c r="Y3310" s="20">
        <v>1.16E-4</v>
      </c>
      <c r="Z3310" s="21">
        <v>4601004145870</v>
      </c>
    </row>
    <row r="3311" spans="1:26" ht="12" customHeight="1" outlineLevel="4" x14ac:dyDescent="0.2">
      <c r="A3311" s="14" t="s">
        <v>6459</v>
      </c>
      <c r="B3311" s="26" t="s">
        <v>6460</v>
      </c>
      <c r="C3311" s="52"/>
      <c r="D3311" s="55">
        <f t="shared" si="51"/>
        <v>0</v>
      </c>
      <c r="E3311" s="63" t="str">
        <f>HYPERLINK("https://www.sds-group.ru/product/klyuch-kombinirovannyy-14mm-zheltyy-tsink-rexant-12-5809-2/", "Инфо")</f>
        <v>Инфо</v>
      </c>
      <c r="F3311" s="16" t="s">
        <v>39</v>
      </c>
      <c r="G3311" s="15"/>
      <c r="H3311" s="15"/>
      <c r="I3311" s="15"/>
      <c r="J3311" s="22">
        <v>2183</v>
      </c>
      <c r="K3311" s="15"/>
      <c r="L3311" s="17">
        <v>10</v>
      </c>
      <c r="M3311" s="17">
        <v>240</v>
      </c>
      <c r="N3311" s="17">
        <v>10</v>
      </c>
      <c r="O3311" s="18">
        <v>116.6</v>
      </c>
      <c r="P3311" s="18">
        <v>95.57</v>
      </c>
      <c r="Q3311" s="18">
        <v>99.11</v>
      </c>
      <c r="R3311" s="18">
        <v>81.239999999999995</v>
      </c>
      <c r="S3311" s="18">
        <v>79.290000000000006</v>
      </c>
      <c r="T3311" s="18">
        <v>64.989999999999995</v>
      </c>
      <c r="U3311" s="16"/>
      <c r="V3311" s="16"/>
      <c r="W3311" s="16" t="s">
        <v>40</v>
      </c>
      <c r="X3311" s="19">
        <v>9.4E-2</v>
      </c>
      <c r="Y3311" s="20">
        <v>1.17E-4</v>
      </c>
      <c r="Z3311" s="21">
        <v>4601004145887</v>
      </c>
    </row>
    <row r="3312" spans="1:26" ht="12" customHeight="1" outlineLevel="4" x14ac:dyDescent="0.2">
      <c r="A3312" s="14" t="s">
        <v>6461</v>
      </c>
      <c r="B3312" s="26" t="s">
        <v>6462</v>
      </c>
      <c r="C3312" s="52"/>
      <c r="D3312" s="55">
        <f t="shared" si="51"/>
        <v>0</v>
      </c>
      <c r="E3312" s="63" t="str">
        <f>HYPERLINK("https://www.sds-group.ru/product/klyuch-kombinirovannyy-15mm-zheltyy-tsink-rexant-12-5810-2/", "Инфо")</f>
        <v>Инфо</v>
      </c>
      <c r="F3312" s="16" t="s">
        <v>39</v>
      </c>
      <c r="G3312" s="15"/>
      <c r="H3312" s="15"/>
      <c r="I3312" s="15"/>
      <c r="J3312" s="22">
        <v>1998</v>
      </c>
      <c r="K3312" s="15"/>
      <c r="L3312" s="17">
        <v>10</v>
      </c>
      <c r="M3312" s="17">
        <v>240</v>
      </c>
      <c r="N3312" s="17">
        <v>10</v>
      </c>
      <c r="O3312" s="18">
        <v>132.5</v>
      </c>
      <c r="P3312" s="18">
        <v>108.61</v>
      </c>
      <c r="Q3312" s="18">
        <v>92.75</v>
      </c>
      <c r="R3312" s="18">
        <v>76.02</v>
      </c>
      <c r="S3312" s="18">
        <v>90.1</v>
      </c>
      <c r="T3312" s="18">
        <v>73.849999999999994</v>
      </c>
      <c r="U3312" s="16"/>
      <c r="V3312" s="16"/>
      <c r="W3312" s="16"/>
      <c r="X3312" s="19">
        <v>0.10299999999999999</v>
      </c>
      <c r="Y3312" s="20">
        <v>1.2799999999999999E-4</v>
      </c>
      <c r="Z3312" s="21">
        <v>4601004145894</v>
      </c>
    </row>
    <row r="3313" spans="1:26" ht="12" customHeight="1" outlineLevel="4" x14ac:dyDescent="0.2">
      <c r="A3313" s="14" t="s">
        <v>6463</v>
      </c>
      <c r="B3313" s="26" t="s">
        <v>6464</v>
      </c>
      <c r="C3313" s="52"/>
      <c r="D3313" s="55">
        <f t="shared" si="51"/>
        <v>0</v>
      </c>
      <c r="E3313" s="63" t="str">
        <f>HYPERLINK("https://www.sds-group.ru/product/klyuch-kombinirovannyy-17mm-zheltyy-tsink-rexant-12-5812-2/", "Инфо")</f>
        <v>Инфо</v>
      </c>
      <c r="F3313" s="16" t="s">
        <v>39</v>
      </c>
      <c r="G3313" s="15"/>
      <c r="H3313" s="15"/>
      <c r="I3313" s="15"/>
      <c r="J3313" s="22">
        <v>1818</v>
      </c>
      <c r="K3313" s="15"/>
      <c r="L3313" s="17">
        <v>10</v>
      </c>
      <c r="M3313" s="17">
        <v>160</v>
      </c>
      <c r="N3313" s="17">
        <v>10</v>
      </c>
      <c r="O3313" s="18">
        <v>159</v>
      </c>
      <c r="P3313" s="18">
        <v>130.33000000000001</v>
      </c>
      <c r="Q3313" s="18">
        <v>135.15</v>
      </c>
      <c r="R3313" s="18">
        <v>110.78</v>
      </c>
      <c r="S3313" s="18">
        <v>108.12</v>
      </c>
      <c r="T3313" s="18">
        <v>88.62</v>
      </c>
      <c r="U3313" s="16"/>
      <c r="V3313" s="16"/>
      <c r="W3313" s="16" t="s">
        <v>40</v>
      </c>
      <c r="X3313" s="19">
        <v>0.129</v>
      </c>
      <c r="Y3313" s="20">
        <v>1.35E-4</v>
      </c>
      <c r="Z3313" s="21">
        <v>4601004145900</v>
      </c>
    </row>
    <row r="3314" spans="1:26" ht="12" customHeight="1" outlineLevel="4" x14ac:dyDescent="0.2">
      <c r="A3314" s="14" t="s">
        <v>6465</v>
      </c>
      <c r="B3314" s="26" t="s">
        <v>6466</v>
      </c>
      <c r="C3314" s="52"/>
      <c r="D3314" s="55">
        <f t="shared" si="51"/>
        <v>0</v>
      </c>
      <c r="E3314" s="63" t="str">
        <f>HYPERLINK("https://www.sds-group.ru/product/klyuch-kombinirovannyy-18mm-zheltyy-tsink-rexant-12-5819-2/", "Инфо")</f>
        <v>Инфо</v>
      </c>
      <c r="F3314" s="16" t="s">
        <v>39</v>
      </c>
      <c r="G3314" s="15"/>
      <c r="H3314" s="15"/>
      <c r="I3314" s="15"/>
      <c r="J3314" s="17">
        <v>940</v>
      </c>
      <c r="K3314" s="15"/>
      <c r="L3314" s="17">
        <v>10</v>
      </c>
      <c r="M3314" s="17">
        <v>160</v>
      </c>
      <c r="N3314" s="17">
        <v>10</v>
      </c>
      <c r="O3314" s="18">
        <v>169.6</v>
      </c>
      <c r="P3314" s="18">
        <v>139.02000000000001</v>
      </c>
      <c r="Q3314" s="18">
        <v>118.72</v>
      </c>
      <c r="R3314" s="18">
        <v>97.31</v>
      </c>
      <c r="S3314" s="18">
        <v>115.33</v>
      </c>
      <c r="T3314" s="18">
        <v>94.53</v>
      </c>
      <c r="U3314" s="16"/>
      <c r="V3314" s="16"/>
      <c r="W3314" s="16"/>
      <c r="X3314" s="19">
        <v>0.13500000000000001</v>
      </c>
      <c r="Y3314" s="20">
        <v>1.46E-4</v>
      </c>
      <c r="Z3314" s="21">
        <v>4601004145917</v>
      </c>
    </row>
    <row r="3315" spans="1:26" ht="12" customHeight="1" outlineLevel="4" x14ac:dyDescent="0.2">
      <c r="A3315" s="14" t="s">
        <v>6467</v>
      </c>
      <c r="B3315" s="26" t="s">
        <v>6468</v>
      </c>
      <c r="C3315" s="52"/>
      <c r="D3315" s="55">
        <f t="shared" si="51"/>
        <v>0</v>
      </c>
      <c r="E3315" s="63" t="str">
        <f>HYPERLINK("https://www.sds-group.ru/product/klyuch-kombinirovannyy-19mm-zheltyy-tsink-rexant-12-5813-2/", "Инфо")</f>
        <v>Инфо</v>
      </c>
      <c r="F3315" s="16" t="s">
        <v>39</v>
      </c>
      <c r="G3315" s="15"/>
      <c r="H3315" s="15"/>
      <c r="I3315" s="15"/>
      <c r="J3315" s="17">
        <v>878</v>
      </c>
      <c r="K3315" s="15"/>
      <c r="L3315" s="17">
        <v>10</v>
      </c>
      <c r="M3315" s="17">
        <v>160</v>
      </c>
      <c r="N3315" s="17">
        <v>10</v>
      </c>
      <c r="O3315" s="18">
        <v>180.2</v>
      </c>
      <c r="P3315" s="18">
        <v>147.69999999999999</v>
      </c>
      <c r="Q3315" s="18">
        <v>153.16999999999999</v>
      </c>
      <c r="R3315" s="18">
        <v>125.55</v>
      </c>
      <c r="S3315" s="18">
        <v>122.54</v>
      </c>
      <c r="T3315" s="18">
        <v>100.44</v>
      </c>
      <c r="U3315" s="16"/>
      <c r="V3315" s="16"/>
      <c r="W3315" s="16" t="s">
        <v>40</v>
      </c>
      <c r="X3315" s="19">
        <v>0.18099999999999999</v>
      </c>
      <c r="Y3315" s="20">
        <v>1.47E-4</v>
      </c>
      <c r="Z3315" s="21">
        <v>4601004145924</v>
      </c>
    </row>
    <row r="3316" spans="1:26" ht="12" customHeight="1" outlineLevel="4" x14ac:dyDescent="0.2">
      <c r="A3316" s="14" t="s">
        <v>6469</v>
      </c>
      <c r="B3316" s="26" t="s">
        <v>6470</v>
      </c>
      <c r="C3316" s="52"/>
      <c r="D3316" s="55">
        <f t="shared" si="51"/>
        <v>0</v>
      </c>
      <c r="E3316" s="63" t="str">
        <f>HYPERLINK("https://www.sds-group.ru/product/klyuch-kombinirovannyy-22mm-zheltyy-tsink-rexant-12-5814-2/", "Инфо")</f>
        <v>Инфо</v>
      </c>
      <c r="F3316" s="16" t="s">
        <v>39</v>
      </c>
      <c r="G3316" s="15"/>
      <c r="H3316" s="15"/>
      <c r="I3316" s="15"/>
      <c r="J3316" s="17">
        <v>675</v>
      </c>
      <c r="K3316" s="15"/>
      <c r="L3316" s="17">
        <v>5</v>
      </c>
      <c r="M3316" s="17">
        <v>120</v>
      </c>
      <c r="N3316" s="17">
        <v>5</v>
      </c>
      <c r="O3316" s="18">
        <v>243.8</v>
      </c>
      <c r="P3316" s="18">
        <v>199.84</v>
      </c>
      <c r="Q3316" s="18">
        <v>207.23</v>
      </c>
      <c r="R3316" s="18">
        <v>169.86</v>
      </c>
      <c r="S3316" s="18">
        <v>165.78</v>
      </c>
      <c r="T3316" s="18">
        <v>135.88999999999999</v>
      </c>
      <c r="U3316" s="16"/>
      <c r="V3316" s="16"/>
      <c r="W3316" s="16" t="s">
        <v>40</v>
      </c>
      <c r="X3316" s="19">
        <v>0.17</v>
      </c>
      <c r="Y3316" s="20">
        <v>2.8800000000000001E-4</v>
      </c>
      <c r="Z3316" s="21">
        <v>4601004145931</v>
      </c>
    </row>
    <row r="3317" spans="1:26" ht="12" customHeight="1" outlineLevel="4" x14ac:dyDescent="0.2">
      <c r="A3317" s="14" t="s">
        <v>6471</v>
      </c>
      <c r="B3317" s="26" t="s">
        <v>6472</v>
      </c>
      <c r="C3317" s="52"/>
      <c r="D3317" s="55">
        <f t="shared" si="51"/>
        <v>0</v>
      </c>
      <c r="E3317" s="63" t="str">
        <f>HYPERLINK("https://www.sds-group.ru/product/klyuch-kombinirovannyy-24mm-zheltyy-tsink-rexant-12-5815-2/", "Инфо")</f>
        <v>Инфо</v>
      </c>
      <c r="F3317" s="16" t="s">
        <v>39</v>
      </c>
      <c r="G3317" s="15"/>
      <c r="H3317" s="15"/>
      <c r="I3317" s="15"/>
      <c r="J3317" s="17">
        <v>527</v>
      </c>
      <c r="K3317" s="15"/>
      <c r="L3317" s="17">
        <v>1</v>
      </c>
      <c r="M3317" s="17">
        <v>100</v>
      </c>
      <c r="N3317" s="17">
        <v>1</v>
      </c>
      <c r="O3317" s="18">
        <v>328.6</v>
      </c>
      <c r="P3317" s="18">
        <v>269.33999999999997</v>
      </c>
      <c r="Q3317" s="18">
        <v>262.88</v>
      </c>
      <c r="R3317" s="18">
        <v>215.48</v>
      </c>
      <c r="S3317" s="18">
        <v>223.45</v>
      </c>
      <c r="T3317" s="18">
        <v>183.16</v>
      </c>
      <c r="U3317" s="16"/>
      <c r="V3317" s="16"/>
      <c r="W3317" s="16" t="s">
        <v>40</v>
      </c>
      <c r="X3317" s="19">
        <v>0.19400000000000001</v>
      </c>
      <c r="Y3317" s="20">
        <v>3.01E-4</v>
      </c>
      <c r="Z3317" s="21">
        <v>4601004145948</v>
      </c>
    </row>
    <row r="3318" spans="1:26" ht="12" customHeight="1" outlineLevel="4" x14ac:dyDescent="0.2">
      <c r="A3318" s="14" t="s">
        <v>6473</v>
      </c>
      <c r="B3318" s="26" t="s">
        <v>6474</v>
      </c>
      <c r="C3318" s="52"/>
      <c r="D3318" s="55">
        <f t="shared" si="51"/>
        <v>0</v>
      </c>
      <c r="E3318" s="63" t="str">
        <f>HYPERLINK("https://www.sds-group.ru/product/klyuch-kombinirovannyy-27mm-zheltyy-tsink-rexant-12-5816-2/", "Инфо")</f>
        <v>Инфо</v>
      </c>
      <c r="F3318" s="16" t="s">
        <v>39</v>
      </c>
      <c r="G3318" s="15"/>
      <c r="H3318" s="15"/>
      <c r="I3318" s="15"/>
      <c r="J3318" s="17">
        <v>686</v>
      </c>
      <c r="K3318" s="15"/>
      <c r="L3318" s="17">
        <v>5</v>
      </c>
      <c r="M3318" s="17">
        <v>80</v>
      </c>
      <c r="N3318" s="17">
        <v>5</v>
      </c>
      <c r="O3318" s="18">
        <v>418.7</v>
      </c>
      <c r="P3318" s="18">
        <v>343.2</v>
      </c>
      <c r="Q3318" s="18">
        <v>334.96</v>
      </c>
      <c r="R3318" s="18">
        <v>274.56</v>
      </c>
      <c r="S3318" s="18">
        <v>284.72000000000003</v>
      </c>
      <c r="T3318" s="18">
        <v>233.38</v>
      </c>
      <c r="U3318" s="16"/>
      <c r="V3318" s="16"/>
      <c r="W3318" s="16" t="s">
        <v>40</v>
      </c>
      <c r="X3318" s="19">
        <v>0.29199999999999998</v>
      </c>
      <c r="Y3318" s="20">
        <v>2.6800000000000001E-4</v>
      </c>
      <c r="Z3318" s="21">
        <v>4601004145955</v>
      </c>
    </row>
    <row r="3319" spans="1:26" ht="12" customHeight="1" outlineLevel="4" x14ac:dyDescent="0.2">
      <c r="A3319" s="14" t="s">
        <v>6475</v>
      </c>
      <c r="B3319" s="26" t="s">
        <v>6476</v>
      </c>
      <c r="C3319" s="52"/>
      <c r="D3319" s="55">
        <f t="shared" si="51"/>
        <v>0</v>
      </c>
      <c r="E3319" s="63" t="str">
        <f>HYPERLINK("https://www.sds-group.ru/product/klyuch-kombinirovannyy-30mm-zheltyy-tsink-rexant-12-5817-2/", "Инфо")</f>
        <v>Инфо</v>
      </c>
      <c r="F3319" s="16" t="s">
        <v>39</v>
      </c>
      <c r="G3319" s="15"/>
      <c r="H3319" s="15"/>
      <c r="I3319" s="15"/>
      <c r="J3319" s="17">
        <v>258</v>
      </c>
      <c r="K3319" s="15"/>
      <c r="L3319" s="17">
        <v>1</v>
      </c>
      <c r="M3319" s="17">
        <v>40</v>
      </c>
      <c r="N3319" s="17">
        <v>1</v>
      </c>
      <c r="O3319" s="18">
        <v>583</v>
      </c>
      <c r="P3319" s="18">
        <v>477.87</v>
      </c>
      <c r="Q3319" s="18">
        <v>466.4</v>
      </c>
      <c r="R3319" s="18">
        <v>382.3</v>
      </c>
      <c r="S3319" s="18">
        <v>396.44</v>
      </c>
      <c r="T3319" s="18">
        <v>324.95</v>
      </c>
      <c r="U3319" s="16"/>
      <c r="V3319" s="16"/>
      <c r="W3319" s="16" t="s">
        <v>40</v>
      </c>
      <c r="X3319" s="19">
        <v>0.39100000000000001</v>
      </c>
      <c r="Y3319" s="20">
        <v>7.3800000000000005E-4</v>
      </c>
      <c r="Z3319" s="21">
        <v>4601004145962</v>
      </c>
    </row>
    <row r="3320" spans="1:26" ht="12" customHeight="1" outlineLevel="4" x14ac:dyDescent="0.2">
      <c r="A3320" s="14" t="s">
        <v>6477</v>
      </c>
      <c r="B3320" s="26" t="s">
        <v>6478</v>
      </c>
      <c r="C3320" s="52"/>
      <c r="D3320" s="55">
        <f t="shared" si="51"/>
        <v>0</v>
      </c>
      <c r="E3320" s="63" t="str">
        <f>HYPERLINK("https://www.sds-group.ru/product/klyuch-kombinirovanniy-32mm-jeltiy-tsink-rexant-23665/", "Инфо")</f>
        <v>Инфо</v>
      </c>
      <c r="F3320" s="16" t="s">
        <v>39</v>
      </c>
      <c r="G3320" s="15"/>
      <c r="H3320" s="15"/>
      <c r="I3320" s="15"/>
      <c r="J3320" s="17">
        <v>401</v>
      </c>
      <c r="K3320" s="15"/>
      <c r="L3320" s="17">
        <v>1</v>
      </c>
      <c r="M3320" s="17">
        <v>40</v>
      </c>
      <c r="N3320" s="17">
        <v>1</v>
      </c>
      <c r="O3320" s="18">
        <v>604.20000000000005</v>
      </c>
      <c r="P3320" s="18">
        <v>495.25</v>
      </c>
      <c r="Q3320" s="18">
        <v>483.36</v>
      </c>
      <c r="R3320" s="18">
        <v>396.2</v>
      </c>
      <c r="S3320" s="18">
        <v>410.86</v>
      </c>
      <c r="T3320" s="18">
        <v>336.77</v>
      </c>
      <c r="U3320" s="16"/>
      <c r="V3320" s="16"/>
      <c r="W3320" s="16" t="s">
        <v>40</v>
      </c>
      <c r="X3320" s="19">
        <v>0.38900000000000001</v>
      </c>
      <c r="Y3320" s="20">
        <v>4.4099999999999999E-4</v>
      </c>
      <c r="Z3320" s="21">
        <v>4601004145979</v>
      </c>
    </row>
    <row r="3321" spans="1:26" ht="12" customHeight="1" outlineLevel="4" x14ac:dyDescent="0.2">
      <c r="A3321" s="32" t="s">
        <v>6479</v>
      </c>
      <c r="B3321" s="74" t="s">
        <v>6480</v>
      </c>
      <c r="C3321" s="50"/>
      <c r="D3321" s="53">
        <f t="shared" si="51"/>
        <v>0</v>
      </c>
      <c r="E3321" s="60" t="str">
        <f>HYPERLINK("https://www.sds-group.ru/product/klyuch-kombinirovannyy-6mm-zheltyy-tsink-rexant-12-5801-2/", "Инфо")</f>
        <v>Инфо</v>
      </c>
      <c r="F3321" s="34" t="s">
        <v>39</v>
      </c>
      <c r="G3321" s="33"/>
      <c r="H3321" s="33" t="s">
        <v>40</v>
      </c>
      <c r="I3321" s="33"/>
      <c r="J3321" s="35">
        <v>470</v>
      </c>
      <c r="K3321" s="33"/>
      <c r="L3321" s="35">
        <v>1</v>
      </c>
      <c r="M3321" s="35">
        <v>300</v>
      </c>
      <c r="N3321" s="35">
        <v>1</v>
      </c>
      <c r="O3321" s="36">
        <v>58.3</v>
      </c>
      <c r="P3321" s="36">
        <v>47.79</v>
      </c>
      <c r="Q3321" s="36">
        <v>40.81</v>
      </c>
      <c r="R3321" s="36">
        <v>33.450000000000003</v>
      </c>
      <c r="S3321" s="36">
        <v>39.64</v>
      </c>
      <c r="T3321" s="36">
        <v>32.49</v>
      </c>
      <c r="U3321" s="34"/>
      <c r="V3321" s="34"/>
      <c r="W3321" s="34"/>
      <c r="X3321" s="37">
        <v>2.7E-2</v>
      </c>
      <c r="Y3321" s="38">
        <v>5.1999999999999997E-5</v>
      </c>
      <c r="Z3321" s="21">
        <v>4601004145801</v>
      </c>
    </row>
    <row r="3322" spans="1:26" ht="12" customHeight="1" outlineLevel="4" x14ac:dyDescent="0.2">
      <c r="A3322" s="14" t="s">
        <v>6481</v>
      </c>
      <c r="B3322" s="26" t="s">
        <v>6482</v>
      </c>
      <c r="C3322" s="52"/>
      <c r="D3322" s="55">
        <f t="shared" si="51"/>
        <v>0</v>
      </c>
      <c r="E3322" s="63" t="str">
        <f>HYPERLINK("https://www.sds-group.ru/product/klyuch-kombinirovannyy-8mm-zheltyy-tsink-rexant-12-5803-2/", "Инфо")</f>
        <v>Инфо</v>
      </c>
      <c r="F3322" s="16" t="s">
        <v>39</v>
      </c>
      <c r="G3322" s="15"/>
      <c r="H3322" s="15"/>
      <c r="I3322" s="15"/>
      <c r="J3322" s="22">
        <v>2036</v>
      </c>
      <c r="K3322" s="15"/>
      <c r="L3322" s="17">
        <v>10</v>
      </c>
      <c r="M3322" s="17">
        <v>800</v>
      </c>
      <c r="N3322" s="17">
        <v>10</v>
      </c>
      <c r="O3322" s="18">
        <v>72.08</v>
      </c>
      <c r="P3322" s="18">
        <v>59.08</v>
      </c>
      <c r="Q3322" s="18">
        <v>61.27</v>
      </c>
      <c r="R3322" s="18">
        <v>50.22</v>
      </c>
      <c r="S3322" s="18">
        <v>49.01</v>
      </c>
      <c r="T3322" s="18">
        <v>40.17</v>
      </c>
      <c r="U3322" s="16"/>
      <c r="V3322" s="16"/>
      <c r="W3322" s="16" t="s">
        <v>40</v>
      </c>
      <c r="X3322" s="19">
        <v>3.7999999999999999E-2</v>
      </c>
      <c r="Y3322" s="20">
        <v>5.5999999999999999E-5</v>
      </c>
      <c r="Z3322" s="21">
        <v>4601004145825</v>
      </c>
    </row>
    <row r="3323" spans="1:26" ht="12" customHeight="1" outlineLevel="4" x14ac:dyDescent="0.2">
      <c r="A3323" s="32" t="s">
        <v>6483</v>
      </c>
      <c r="B3323" s="74" t="s">
        <v>6484</v>
      </c>
      <c r="C3323" s="50"/>
      <c r="D3323" s="53">
        <f t="shared" si="51"/>
        <v>0</v>
      </c>
      <c r="E3323" s="60" t="str">
        <f>HYPERLINK("https://www.sds-group.ru/product/klyuch-kombinirovannyy-9mm-zheltyy-tsink-rexant-12-5804-2/", "Инфо")</f>
        <v>Инфо</v>
      </c>
      <c r="F3323" s="34" t="s">
        <v>39</v>
      </c>
      <c r="G3323" s="33"/>
      <c r="H3323" s="33" t="s">
        <v>40</v>
      </c>
      <c r="I3323" s="33"/>
      <c r="J3323" s="35">
        <v>288</v>
      </c>
      <c r="K3323" s="33"/>
      <c r="L3323" s="35">
        <v>1</v>
      </c>
      <c r="M3323" s="35">
        <v>500</v>
      </c>
      <c r="N3323" s="35">
        <v>1</v>
      </c>
      <c r="O3323" s="36">
        <v>73.14</v>
      </c>
      <c r="P3323" s="36">
        <v>59.95</v>
      </c>
      <c r="Q3323" s="36">
        <v>51.2</v>
      </c>
      <c r="R3323" s="36">
        <v>41.97</v>
      </c>
      <c r="S3323" s="36">
        <v>49.74</v>
      </c>
      <c r="T3323" s="36">
        <v>40.770000000000003</v>
      </c>
      <c r="U3323" s="34"/>
      <c r="V3323" s="34"/>
      <c r="W3323" s="34"/>
      <c r="X3323" s="37">
        <v>4.2000000000000003E-2</v>
      </c>
      <c r="Y3323" s="38">
        <v>6.4999999999999994E-5</v>
      </c>
      <c r="Z3323" s="21">
        <v>4601004145832</v>
      </c>
    </row>
    <row r="3324" spans="1:26" ht="12.95" customHeight="1" outlineLevel="3" x14ac:dyDescent="0.2">
      <c r="A3324" s="76" t="s">
        <v>6485</v>
      </c>
      <c r="B3324" s="76"/>
      <c r="C3324" s="77"/>
      <c r="D3324" s="58"/>
      <c r="E3324" s="68"/>
      <c r="F3324" s="13"/>
      <c r="G3324" s="13"/>
      <c r="H3324" s="13"/>
      <c r="I3324" s="13"/>
      <c r="J3324" s="13"/>
      <c r="K3324" s="13"/>
      <c r="L3324" s="13"/>
      <c r="M3324" s="13"/>
      <c r="N3324" s="13"/>
      <c r="O3324" s="13"/>
      <c r="P3324" s="13"/>
      <c r="Q3324" s="13"/>
      <c r="R3324" s="13"/>
      <c r="S3324" s="13"/>
      <c r="T3324" s="13"/>
      <c r="U3324" s="13"/>
      <c r="V3324" s="13"/>
      <c r="W3324" s="13"/>
      <c r="X3324" s="13"/>
      <c r="Y3324" s="13"/>
      <c r="Z3324" s="13"/>
    </row>
    <row r="3325" spans="1:26" ht="12" customHeight="1" outlineLevel="4" x14ac:dyDescent="0.2">
      <c r="A3325" s="14" t="s">
        <v>6486</v>
      </c>
      <c r="B3325" s="26" t="s">
        <v>6487</v>
      </c>
      <c r="C3325" s="52"/>
      <c r="D3325" s="55">
        <f t="shared" si="51"/>
        <v>0</v>
      </c>
      <c r="E3325" s="63" t="str">
        <f>HYPERLINK("https://www.sds-group.ru/product/klyuch-rozhkovyy-10h11mm-zheltyy-tsink-rexant-12-5824-2/", "Инфо")</f>
        <v>Инфо</v>
      </c>
      <c r="F3325" s="16" t="s">
        <v>39</v>
      </c>
      <c r="G3325" s="15"/>
      <c r="H3325" s="15"/>
      <c r="I3325" s="15"/>
      <c r="J3325" s="22">
        <v>1953</v>
      </c>
      <c r="K3325" s="15"/>
      <c r="L3325" s="17">
        <v>10</v>
      </c>
      <c r="M3325" s="17">
        <v>600</v>
      </c>
      <c r="N3325" s="17">
        <v>10</v>
      </c>
      <c r="O3325" s="18">
        <v>76.319999999999993</v>
      </c>
      <c r="P3325" s="18">
        <v>62.56</v>
      </c>
      <c r="Q3325" s="18">
        <v>64.87</v>
      </c>
      <c r="R3325" s="18">
        <v>53.17</v>
      </c>
      <c r="S3325" s="18">
        <v>51.9</v>
      </c>
      <c r="T3325" s="18">
        <v>42.54</v>
      </c>
      <c r="U3325" s="16"/>
      <c r="V3325" s="16"/>
      <c r="W3325" s="16" t="s">
        <v>40</v>
      </c>
      <c r="X3325" s="19">
        <v>4.7E-2</v>
      </c>
      <c r="Y3325" s="20">
        <v>5.1999999999999997E-5</v>
      </c>
      <c r="Z3325" s="21">
        <v>4601004145665</v>
      </c>
    </row>
    <row r="3326" spans="1:26" ht="12" customHeight="1" outlineLevel="4" x14ac:dyDescent="0.2">
      <c r="A3326" s="14" t="s">
        <v>6488</v>
      </c>
      <c r="B3326" s="26" t="s">
        <v>6489</v>
      </c>
      <c r="C3326" s="52"/>
      <c r="D3326" s="55">
        <f t="shared" si="51"/>
        <v>0</v>
      </c>
      <c r="E3326" s="63" t="str">
        <f>HYPERLINK("https://www.sds-group.ru/product/klyuch-rozhkovyy-12h13mm-zheltyy-tsink-rexant-12-5826-2/", "Инфо")</f>
        <v>Инфо</v>
      </c>
      <c r="F3326" s="16" t="s">
        <v>39</v>
      </c>
      <c r="G3326" s="15"/>
      <c r="H3326" s="15"/>
      <c r="I3326" s="15"/>
      <c r="J3326" s="22">
        <v>2200</v>
      </c>
      <c r="K3326" s="15"/>
      <c r="L3326" s="17">
        <v>10</v>
      </c>
      <c r="M3326" s="17">
        <v>500</v>
      </c>
      <c r="N3326" s="17">
        <v>10</v>
      </c>
      <c r="O3326" s="18">
        <v>95.4</v>
      </c>
      <c r="P3326" s="18">
        <v>78.2</v>
      </c>
      <c r="Q3326" s="18">
        <v>81.09</v>
      </c>
      <c r="R3326" s="18">
        <v>66.47</v>
      </c>
      <c r="S3326" s="18">
        <v>64.87</v>
      </c>
      <c r="T3326" s="18">
        <v>53.17</v>
      </c>
      <c r="U3326" s="16"/>
      <c r="V3326" s="16"/>
      <c r="W3326" s="16" t="s">
        <v>40</v>
      </c>
      <c r="X3326" s="19">
        <v>0.06</v>
      </c>
      <c r="Y3326" s="20">
        <v>8.7999999999999998E-5</v>
      </c>
      <c r="Z3326" s="21">
        <v>4601004145672</v>
      </c>
    </row>
    <row r="3327" spans="1:26" ht="12" customHeight="1" outlineLevel="4" x14ac:dyDescent="0.2">
      <c r="A3327" s="32" t="s">
        <v>6490</v>
      </c>
      <c r="B3327" s="74" t="s">
        <v>6491</v>
      </c>
      <c r="C3327" s="50"/>
      <c r="D3327" s="53">
        <f t="shared" si="51"/>
        <v>0</v>
      </c>
      <c r="E3327" s="60" t="str">
        <f>HYPERLINK("https://www.sds-group.ru/product/klyuch-rozhkovyy-13h14mm-zheltyy-tsink-rexant-12-5827-2/", "Инфо")</f>
        <v>Инфо</v>
      </c>
      <c r="F3327" s="34" t="s">
        <v>39</v>
      </c>
      <c r="G3327" s="33"/>
      <c r="H3327" s="33" t="s">
        <v>40</v>
      </c>
      <c r="I3327" s="33"/>
      <c r="J3327" s="39">
        <v>1606</v>
      </c>
      <c r="K3327" s="33"/>
      <c r="L3327" s="35">
        <v>1</v>
      </c>
      <c r="M3327" s="35">
        <v>320</v>
      </c>
      <c r="N3327" s="35">
        <v>1</v>
      </c>
      <c r="O3327" s="36">
        <v>100</v>
      </c>
      <c r="P3327" s="36">
        <v>81.97</v>
      </c>
      <c r="Q3327" s="36">
        <v>70</v>
      </c>
      <c r="R3327" s="36">
        <v>57.38</v>
      </c>
      <c r="S3327" s="36">
        <v>68</v>
      </c>
      <c r="T3327" s="36">
        <v>55.74</v>
      </c>
      <c r="U3327" s="34"/>
      <c r="V3327" s="34"/>
      <c r="W3327" s="34"/>
      <c r="X3327" s="37">
        <v>7.0000000000000007E-2</v>
      </c>
      <c r="Y3327" s="38">
        <v>1.27E-4</v>
      </c>
      <c r="Z3327" s="21">
        <v>4601004145689</v>
      </c>
    </row>
    <row r="3328" spans="1:26" ht="12" customHeight="1" outlineLevel="4" x14ac:dyDescent="0.2">
      <c r="A3328" s="14" t="s">
        <v>6492</v>
      </c>
      <c r="B3328" s="26" t="s">
        <v>6493</v>
      </c>
      <c r="C3328" s="52"/>
      <c r="D3328" s="55">
        <f t="shared" si="51"/>
        <v>0</v>
      </c>
      <c r="E3328" s="63" t="str">
        <f>HYPERLINK("https://www.sds-group.ru/product/klyuch-rozhkovyy-13h17mm-zheltyy-tsink-rexant-12-5828-2/", "Инфо")</f>
        <v>Инфо</v>
      </c>
      <c r="F3328" s="16" t="s">
        <v>39</v>
      </c>
      <c r="G3328" s="15"/>
      <c r="H3328" s="15"/>
      <c r="I3328" s="15"/>
      <c r="J3328" s="22">
        <v>1422</v>
      </c>
      <c r="K3328" s="15"/>
      <c r="L3328" s="17">
        <v>10</v>
      </c>
      <c r="M3328" s="17">
        <v>240</v>
      </c>
      <c r="N3328" s="17">
        <v>10</v>
      </c>
      <c r="O3328" s="18">
        <v>143.1</v>
      </c>
      <c r="P3328" s="18">
        <v>117.3</v>
      </c>
      <c r="Q3328" s="18">
        <v>121.64</v>
      </c>
      <c r="R3328" s="18">
        <v>99.7</v>
      </c>
      <c r="S3328" s="18">
        <v>97.31</v>
      </c>
      <c r="T3328" s="18">
        <v>79.760000000000005</v>
      </c>
      <c r="U3328" s="16"/>
      <c r="V3328" s="16"/>
      <c r="W3328" s="16" t="s">
        <v>40</v>
      </c>
      <c r="X3328" s="19">
        <v>0.106</v>
      </c>
      <c r="Y3328" s="20">
        <v>9.3999999999999994E-5</v>
      </c>
      <c r="Z3328" s="21">
        <v>4601004145702</v>
      </c>
    </row>
    <row r="3329" spans="1:26" ht="12" customHeight="1" outlineLevel="4" x14ac:dyDescent="0.2">
      <c r="A3329" s="14" t="s">
        <v>6494</v>
      </c>
      <c r="B3329" s="26" t="s">
        <v>6495</v>
      </c>
      <c r="C3329" s="52"/>
      <c r="D3329" s="55">
        <f t="shared" si="51"/>
        <v>0</v>
      </c>
      <c r="E3329" s="63" t="str">
        <f>HYPERLINK("https://www.sds-group.ru/product/klyuch-rozhkovyy-14h15mm-zheltyy-tsink-rexant-12-5825-2/", "Инфо")</f>
        <v>Инфо</v>
      </c>
      <c r="F3329" s="16" t="s">
        <v>39</v>
      </c>
      <c r="G3329" s="15"/>
      <c r="H3329" s="15"/>
      <c r="I3329" s="15"/>
      <c r="J3329" s="17">
        <v>775</v>
      </c>
      <c r="K3329" s="15"/>
      <c r="L3329" s="17">
        <v>10</v>
      </c>
      <c r="M3329" s="17">
        <v>320</v>
      </c>
      <c r="N3329" s="17">
        <v>10</v>
      </c>
      <c r="O3329" s="18">
        <v>116.6</v>
      </c>
      <c r="P3329" s="18">
        <v>95.57</v>
      </c>
      <c r="Q3329" s="18">
        <v>99.11</v>
      </c>
      <c r="R3329" s="18">
        <v>81.239999999999995</v>
      </c>
      <c r="S3329" s="18">
        <v>79.290000000000006</v>
      </c>
      <c r="T3329" s="18">
        <v>64.989999999999995</v>
      </c>
      <c r="U3329" s="16"/>
      <c r="V3329" s="16"/>
      <c r="W3329" s="16" t="s">
        <v>40</v>
      </c>
      <c r="X3329" s="19">
        <v>7.5999999999999998E-2</v>
      </c>
      <c r="Y3329" s="20">
        <v>9.2E-5</v>
      </c>
      <c r="Z3329" s="21">
        <v>4601004145696</v>
      </c>
    </row>
    <row r="3330" spans="1:26" ht="12" customHeight="1" outlineLevel="4" x14ac:dyDescent="0.2">
      <c r="A3330" s="14" t="s">
        <v>6496</v>
      </c>
      <c r="B3330" s="26" t="s">
        <v>6497</v>
      </c>
      <c r="C3330" s="52"/>
      <c r="D3330" s="55">
        <f t="shared" si="51"/>
        <v>0</v>
      </c>
      <c r="E3330" s="63" t="str">
        <f>HYPERLINK("https://www.sds-group.ru/product/klyuch-rozhkovyy-14h17mm-zheltyy-tsink-rexant-12-5829-2/", "Инфо")</f>
        <v>Инфо</v>
      </c>
      <c r="F3330" s="16" t="s">
        <v>39</v>
      </c>
      <c r="G3330" s="15"/>
      <c r="H3330" s="15"/>
      <c r="I3330" s="15"/>
      <c r="J3330" s="22">
        <v>1380</v>
      </c>
      <c r="K3330" s="15"/>
      <c r="L3330" s="17">
        <v>10</v>
      </c>
      <c r="M3330" s="17">
        <v>240</v>
      </c>
      <c r="N3330" s="17">
        <v>10</v>
      </c>
      <c r="O3330" s="18">
        <v>137.80000000000001</v>
      </c>
      <c r="P3330" s="18">
        <v>112.95</v>
      </c>
      <c r="Q3330" s="18">
        <v>96.46</v>
      </c>
      <c r="R3330" s="18">
        <v>79.069999999999993</v>
      </c>
      <c r="S3330" s="18">
        <v>93.7</v>
      </c>
      <c r="T3330" s="18">
        <v>76.8</v>
      </c>
      <c r="U3330" s="16"/>
      <c r="V3330" s="16"/>
      <c r="W3330" s="16"/>
      <c r="X3330" s="19">
        <v>9.4E-2</v>
      </c>
      <c r="Y3330" s="20">
        <v>1.25E-4</v>
      </c>
      <c r="Z3330" s="21">
        <v>4601004145719</v>
      </c>
    </row>
    <row r="3331" spans="1:26" ht="12" customHeight="1" outlineLevel="4" x14ac:dyDescent="0.2">
      <c r="A3331" s="14" t="s">
        <v>6498</v>
      </c>
      <c r="B3331" s="26" t="s">
        <v>6499</v>
      </c>
      <c r="C3331" s="52"/>
      <c r="D3331" s="55">
        <f t="shared" si="51"/>
        <v>0</v>
      </c>
      <c r="E3331" s="63" t="str">
        <f>HYPERLINK("https://www.sds-group.ru/product/klyuch-rozhkovyy-17h19mm-zheltyy-tsink-rexant-12-5830-2/", "Инфо")</f>
        <v>Инфо</v>
      </c>
      <c r="F3331" s="16" t="s">
        <v>39</v>
      </c>
      <c r="G3331" s="15"/>
      <c r="H3331" s="15"/>
      <c r="I3331" s="15"/>
      <c r="J3331" s="22">
        <v>1939</v>
      </c>
      <c r="K3331" s="15"/>
      <c r="L3331" s="17">
        <v>5</v>
      </c>
      <c r="M3331" s="17">
        <v>180</v>
      </c>
      <c r="N3331" s="17">
        <v>5</v>
      </c>
      <c r="O3331" s="18">
        <v>164.3</v>
      </c>
      <c r="P3331" s="18">
        <v>134.66999999999999</v>
      </c>
      <c r="Q3331" s="18">
        <v>139.66</v>
      </c>
      <c r="R3331" s="18">
        <v>114.48</v>
      </c>
      <c r="S3331" s="18">
        <v>111.72</v>
      </c>
      <c r="T3331" s="18">
        <v>91.57</v>
      </c>
      <c r="U3331" s="16"/>
      <c r="V3331" s="16"/>
      <c r="W3331" s="16" t="s">
        <v>40</v>
      </c>
      <c r="X3331" s="19">
        <v>0.13600000000000001</v>
      </c>
      <c r="Y3331" s="20">
        <v>1.0399999999999999E-4</v>
      </c>
      <c r="Z3331" s="21">
        <v>4601004145726</v>
      </c>
    </row>
    <row r="3332" spans="1:26" ht="12" customHeight="1" outlineLevel="4" x14ac:dyDescent="0.2">
      <c r="A3332" s="14" t="s">
        <v>6500</v>
      </c>
      <c r="B3332" s="26" t="s">
        <v>6501</v>
      </c>
      <c r="C3332" s="52"/>
      <c r="D3332" s="55">
        <f t="shared" si="51"/>
        <v>0</v>
      </c>
      <c r="E3332" s="63" t="str">
        <f>HYPERLINK("https://www.sds-group.ru/product/klyuch-rozhkovyy-19h22mm-zheltyy-tsink-rexant-12-5831-2/", "Инфо")</f>
        <v>Инфо</v>
      </c>
      <c r="F3332" s="16" t="s">
        <v>39</v>
      </c>
      <c r="G3332" s="15"/>
      <c r="H3332" s="15"/>
      <c r="I3332" s="15"/>
      <c r="J3332" s="22">
        <v>1135</v>
      </c>
      <c r="K3332" s="15"/>
      <c r="L3332" s="17">
        <v>5</v>
      </c>
      <c r="M3332" s="17">
        <v>100</v>
      </c>
      <c r="N3332" s="17">
        <v>5</v>
      </c>
      <c r="O3332" s="18">
        <v>196.1</v>
      </c>
      <c r="P3332" s="18">
        <v>160.74</v>
      </c>
      <c r="Q3332" s="18">
        <v>166.69</v>
      </c>
      <c r="R3332" s="18">
        <v>136.63</v>
      </c>
      <c r="S3332" s="18">
        <v>133.35</v>
      </c>
      <c r="T3332" s="18">
        <v>109.3</v>
      </c>
      <c r="U3332" s="16"/>
      <c r="V3332" s="16"/>
      <c r="W3332" s="16" t="s">
        <v>40</v>
      </c>
      <c r="X3332" s="19">
        <v>0.17499999999999999</v>
      </c>
      <c r="Y3332" s="20">
        <v>1.54E-4</v>
      </c>
      <c r="Z3332" s="21">
        <v>4601004145733</v>
      </c>
    </row>
    <row r="3333" spans="1:26" ht="12" customHeight="1" outlineLevel="4" x14ac:dyDescent="0.2">
      <c r="A3333" s="14" t="s">
        <v>6502</v>
      </c>
      <c r="B3333" s="26" t="s">
        <v>6503</v>
      </c>
      <c r="C3333" s="52"/>
      <c r="D3333" s="55">
        <f t="shared" si="51"/>
        <v>0</v>
      </c>
      <c r="E3333" s="63" t="str">
        <f>HYPERLINK("https://www.sds-group.ru/product/klyuch-rozhkovyy-20h22mm-zheltyy-tsink-rexant-12-5832-2/", "Инфо")</f>
        <v>Инфо</v>
      </c>
      <c r="F3333" s="16" t="s">
        <v>39</v>
      </c>
      <c r="G3333" s="15"/>
      <c r="H3333" s="15"/>
      <c r="I3333" s="15"/>
      <c r="J3333" s="17">
        <v>293</v>
      </c>
      <c r="K3333" s="15"/>
      <c r="L3333" s="17">
        <v>5</v>
      </c>
      <c r="M3333" s="17">
        <v>100</v>
      </c>
      <c r="N3333" s="17">
        <v>5</v>
      </c>
      <c r="O3333" s="18">
        <v>206.7</v>
      </c>
      <c r="P3333" s="18">
        <v>169.43</v>
      </c>
      <c r="Q3333" s="18">
        <v>175.7</v>
      </c>
      <c r="R3333" s="18">
        <v>144.02000000000001</v>
      </c>
      <c r="S3333" s="18">
        <v>140.56</v>
      </c>
      <c r="T3333" s="18">
        <v>115.21</v>
      </c>
      <c r="U3333" s="16"/>
      <c r="V3333" s="16"/>
      <c r="W3333" s="16" t="s">
        <v>40</v>
      </c>
      <c r="X3333" s="19">
        <v>0.127</v>
      </c>
      <c r="Y3333" s="20">
        <v>2.0599999999999999E-4</v>
      </c>
      <c r="Z3333" s="21">
        <v>4601004145740</v>
      </c>
    </row>
    <row r="3334" spans="1:26" ht="12" customHeight="1" outlineLevel="4" x14ac:dyDescent="0.2">
      <c r="A3334" s="14" t="s">
        <v>6504</v>
      </c>
      <c r="B3334" s="26" t="s">
        <v>6505</v>
      </c>
      <c r="C3334" s="52"/>
      <c r="D3334" s="55">
        <f t="shared" si="51"/>
        <v>0</v>
      </c>
      <c r="E3334" s="63" t="str">
        <f>HYPERLINK("https://www.sds-group.ru/product/klyuch-rozhkovyy-24h27mm-zheltyy-tsink-rexant-12-5833-2/", "Инфо")</f>
        <v>Инфо</v>
      </c>
      <c r="F3334" s="16" t="s">
        <v>39</v>
      </c>
      <c r="G3334" s="15"/>
      <c r="H3334" s="15"/>
      <c r="I3334" s="15"/>
      <c r="J3334" s="22">
        <v>1653</v>
      </c>
      <c r="K3334" s="15"/>
      <c r="L3334" s="17">
        <v>1</v>
      </c>
      <c r="M3334" s="17">
        <v>100</v>
      </c>
      <c r="N3334" s="17">
        <v>1</v>
      </c>
      <c r="O3334" s="18">
        <v>349.8</v>
      </c>
      <c r="P3334" s="18">
        <v>286.72000000000003</v>
      </c>
      <c r="Q3334" s="18">
        <v>279.83999999999997</v>
      </c>
      <c r="R3334" s="18">
        <v>229.38</v>
      </c>
      <c r="S3334" s="18">
        <v>237.86</v>
      </c>
      <c r="T3334" s="18">
        <v>194.97</v>
      </c>
      <c r="U3334" s="16"/>
      <c r="V3334" s="16"/>
      <c r="W3334" s="16" t="s">
        <v>40</v>
      </c>
      <c r="X3334" s="19">
        <v>0.22700000000000001</v>
      </c>
      <c r="Y3334" s="20">
        <v>1.5899999999999999E-4</v>
      </c>
      <c r="Z3334" s="21">
        <v>4601004145757</v>
      </c>
    </row>
    <row r="3335" spans="1:26" ht="12" customHeight="1" outlineLevel="4" x14ac:dyDescent="0.2">
      <c r="A3335" s="14" t="s">
        <v>6506</v>
      </c>
      <c r="B3335" s="26" t="s">
        <v>6507</v>
      </c>
      <c r="C3335" s="52"/>
      <c r="D3335" s="55">
        <f t="shared" si="51"/>
        <v>0</v>
      </c>
      <c r="E3335" s="63" t="str">
        <f>HYPERLINK("https://www.sds-group.ru/product/klyuch-rozhkovyy-30h32mm-zheltyy-tsink-rexant-12-5835-2/", "Инфо")</f>
        <v>Инфо</v>
      </c>
      <c r="F3335" s="16" t="s">
        <v>39</v>
      </c>
      <c r="G3335" s="15"/>
      <c r="H3335" s="15"/>
      <c r="I3335" s="15"/>
      <c r="J3335" s="17">
        <v>752</v>
      </c>
      <c r="K3335" s="15"/>
      <c r="L3335" s="17">
        <v>1</v>
      </c>
      <c r="M3335" s="17">
        <v>60</v>
      </c>
      <c r="N3335" s="17">
        <v>1</v>
      </c>
      <c r="O3335" s="18">
        <v>424</v>
      </c>
      <c r="P3335" s="18">
        <v>347.54</v>
      </c>
      <c r="Q3335" s="18">
        <v>339.2</v>
      </c>
      <c r="R3335" s="18">
        <v>278.02999999999997</v>
      </c>
      <c r="S3335" s="18">
        <v>288.32</v>
      </c>
      <c r="T3335" s="18">
        <v>236.33</v>
      </c>
      <c r="U3335" s="16"/>
      <c r="V3335" s="16"/>
      <c r="W3335" s="16" t="s">
        <v>40</v>
      </c>
      <c r="X3335" s="19">
        <v>0.36799999999999999</v>
      </c>
      <c r="Y3335" s="20">
        <v>2.5399999999999999E-4</v>
      </c>
      <c r="Z3335" s="21">
        <v>4601004145764</v>
      </c>
    </row>
    <row r="3336" spans="1:26" ht="12" customHeight="1" outlineLevel="4" x14ac:dyDescent="0.2">
      <c r="A3336" s="14" t="s">
        <v>6508</v>
      </c>
      <c r="B3336" s="26" t="s">
        <v>6509</v>
      </c>
      <c r="C3336" s="52"/>
      <c r="D3336" s="55">
        <f t="shared" si="51"/>
        <v>0</v>
      </c>
      <c r="E3336" s="63" t="str">
        <f>HYPERLINK("https://www.sds-group.ru/product/klyuch-rozhkovyy-8h10mm-zheltyy-tsink-rexant-12-5823-2/", "Инфо")</f>
        <v>Инфо</v>
      </c>
      <c r="F3336" s="16" t="s">
        <v>39</v>
      </c>
      <c r="G3336" s="15"/>
      <c r="H3336" s="15"/>
      <c r="I3336" s="15"/>
      <c r="J3336" s="22">
        <v>3689</v>
      </c>
      <c r="K3336" s="15"/>
      <c r="L3336" s="17">
        <v>10</v>
      </c>
      <c r="M3336" s="17">
        <v>600</v>
      </c>
      <c r="N3336" s="17">
        <v>10</v>
      </c>
      <c r="O3336" s="18">
        <v>77.38</v>
      </c>
      <c r="P3336" s="18">
        <v>63.43</v>
      </c>
      <c r="Q3336" s="18">
        <v>54.17</v>
      </c>
      <c r="R3336" s="18">
        <v>44.4</v>
      </c>
      <c r="S3336" s="18">
        <v>52.62</v>
      </c>
      <c r="T3336" s="18">
        <v>43.13</v>
      </c>
      <c r="U3336" s="16"/>
      <c r="V3336" s="16"/>
      <c r="W3336" s="16"/>
      <c r="X3336" s="19">
        <v>3.5000000000000003E-2</v>
      </c>
      <c r="Y3336" s="20">
        <v>5.3999999999999998E-5</v>
      </c>
      <c r="Z3336" s="21">
        <v>4601004145658</v>
      </c>
    </row>
    <row r="3337" spans="1:26" ht="12" customHeight="1" outlineLevel="4" x14ac:dyDescent="0.2">
      <c r="A3337" s="32" t="s">
        <v>6510</v>
      </c>
      <c r="B3337" s="74" t="s">
        <v>6511</v>
      </c>
      <c r="C3337" s="50"/>
      <c r="D3337" s="53">
        <f t="shared" ref="D3337:D3400" si="52">C3337*(O3337-O3337*$G$3)</f>
        <v>0</v>
      </c>
      <c r="E3337" s="60" t="str">
        <f>HYPERLINK("https://www.sds-group.ru/product/klyuch-rozhkovyy-8h9mm-zheltyy-tsink-rexant-12-5822-2/", "Инфо")</f>
        <v>Инфо</v>
      </c>
      <c r="F3337" s="34" t="s">
        <v>39</v>
      </c>
      <c r="G3337" s="33"/>
      <c r="H3337" s="33" t="s">
        <v>40</v>
      </c>
      <c r="I3337" s="33"/>
      <c r="J3337" s="35">
        <v>936</v>
      </c>
      <c r="K3337" s="33"/>
      <c r="L3337" s="35">
        <v>1</v>
      </c>
      <c r="M3337" s="35">
        <v>800</v>
      </c>
      <c r="N3337" s="35">
        <v>1</v>
      </c>
      <c r="O3337" s="36">
        <v>61.48</v>
      </c>
      <c r="P3337" s="36">
        <v>50.39</v>
      </c>
      <c r="Q3337" s="36">
        <v>43.04</v>
      </c>
      <c r="R3337" s="36">
        <v>35.28</v>
      </c>
      <c r="S3337" s="36">
        <v>41.81</v>
      </c>
      <c r="T3337" s="36">
        <v>34.270000000000003</v>
      </c>
      <c r="U3337" s="34"/>
      <c r="V3337" s="34"/>
      <c r="W3337" s="34"/>
      <c r="X3337" s="37">
        <v>3.5999999999999997E-2</v>
      </c>
      <c r="Y3337" s="38">
        <v>6.3E-5</v>
      </c>
      <c r="Z3337" s="21">
        <v>4601004145641</v>
      </c>
    </row>
    <row r="3338" spans="1:26" ht="12.95" customHeight="1" outlineLevel="3" x14ac:dyDescent="0.2">
      <c r="A3338" s="76" t="s">
        <v>6512</v>
      </c>
      <c r="B3338" s="76"/>
      <c r="C3338" s="77"/>
      <c r="D3338" s="58"/>
      <c r="E3338" s="68"/>
      <c r="F3338" s="13"/>
      <c r="G3338" s="13"/>
      <c r="H3338" s="13"/>
      <c r="I3338" s="13"/>
      <c r="J3338" s="13"/>
      <c r="K3338" s="13"/>
      <c r="L3338" s="13"/>
      <c r="M3338" s="13"/>
      <c r="N3338" s="13"/>
      <c r="O3338" s="13"/>
      <c r="P3338" s="13"/>
      <c r="Q3338" s="13"/>
      <c r="R3338" s="13"/>
      <c r="S3338" s="13"/>
      <c r="T3338" s="13"/>
      <c r="U3338" s="13"/>
      <c r="V3338" s="13"/>
      <c r="W3338" s="13"/>
      <c r="X3338" s="13"/>
      <c r="Y3338" s="13"/>
      <c r="Z3338" s="13"/>
    </row>
    <row r="3339" spans="1:26" ht="12" customHeight="1" outlineLevel="4" x14ac:dyDescent="0.2">
      <c r="A3339" s="14" t="s">
        <v>6513</v>
      </c>
      <c r="B3339" s="26" t="s">
        <v>6514</v>
      </c>
      <c r="C3339" s="52"/>
      <c r="D3339" s="55">
        <f t="shared" si="52"/>
        <v>0</v>
      </c>
      <c r="E3339" s="63" t="str">
        <f>HYPERLINK("https://www.sds-group.ru/product/klyuch-teleskopicheskiy-treschotochnyy-1-2-307-434mm-hromovanadievaya-stal-crv-dvuhkompon-KR-12-8411/", "Инфо")</f>
        <v>Инфо</v>
      </c>
      <c r="F3339" s="16" t="s">
        <v>39</v>
      </c>
      <c r="G3339" s="15"/>
      <c r="H3339" s="15"/>
      <c r="I3339" s="15"/>
      <c r="J3339" s="17">
        <v>396</v>
      </c>
      <c r="K3339" s="15"/>
      <c r="L3339" s="17">
        <v>1</v>
      </c>
      <c r="M3339" s="17">
        <v>30</v>
      </c>
      <c r="N3339" s="17">
        <v>1</v>
      </c>
      <c r="O3339" s="18">
        <v>1749</v>
      </c>
      <c r="P3339" s="18">
        <v>1433.61</v>
      </c>
      <c r="Q3339" s="18">
        <v>1346.73</v>
      </c>
      <c r="R3339" s="18">
        <v>1103.8800000000001</v>
      </c>
      <c r="S3339" s="18">
        <v>1189.32</v>
      </c>
      <c r="T3339" s="18">
        <v>974.85</v>
      </c>
      <c r="U3339" s="16"/>
      <c r="V3339" s="16"/>
      <c r="W3339" s="16" t="s">
        <v>40</v>
      </c>
      <c r="X3339" s="19">
        <v>0.96899999999999997</v>
      </c>
      <c r="Y3339" s="20">
        <v>8.0000000000000004E-4</v>
      </c>
      <c r="Z3339" s="21">
        <v>4601004288911</v>
      </c>
    </row>
    <row r="3340" spans="1:26" ht="12" customHeight="1" outlineLevel="4" x14ac:dyDescent="0.2">
      <c r="A3340" s="14" t="s">
        <v>6515</v>
      </c>
      <c r="B3340" s="26" t="s">
        <v>6516</v>
      </c>
      <c r="C3340" s="52"/>
      <c r="D3340" s="55">
        <f t="shared" si="52"/>
        <v>0</v>
      </c>
      <c r="E3340" s="63" t="str">
        <f>HYPERLINK("https://www.sds-group.ru/product/klyuch-teleskopicheskiy-treschotochnyy-1-4-162-210mm-hromovanadievaya-stal-crv-dvuhkompon-KR-12-8413/", "Инфо")</f>
        <v>Инфо</v>
      </c>
      <c r="F3340" s="16" t="s">
        <v>39</v>
      </c>
      <c r="G3340" s="15"/>
      <c r="H3340" s="15"/>
      <c r="I3340" s="15"/>
      <c r="J3340" s="17">
        <v>300</v>
      </c>
      <c r="K3340" s="15"/>
      <c r="L3340" s="17">
        <v>1</v>
      </c>
      <c r="M3340" s="17">
        <v>120</v>
      </c>
      <c r="N3340" s="17">
        <v>1</v>
      </c>
      <c r="O3340" s="18">
        <v>1060</v>
      </c>
      <c r="P3340" s="18">
        <v>868.85</v>
      </c>
      <c r="Q3340" s="18">
        <v>837.4</v>
      </c>
      <c r="R3340" s="18">
        <v>686.39</v>
      </c>
      <c r="S3340" s="18">
        <v>720.8</v>
      </c>
      <c r="T3340" s="18">
        <v>590.82000000000005</v>
      </c>
      <c r="U3340" s="16"/>
      <c r="V3340" s="16"/>
      <c r="W3340" s="16" t="s">
        <v>40</v>
      </c>
      <c r="X3340" s="19">
        <v>0.21099999999999999</v>
      </c>
      <c r="Y3340" s="20">
        <v>2.3599999999999999E-4</v>
      </c>
      <c r="Z3340" s="21">
        <v>4601004288928</v>
      </c>
    </row>
    <row r="3341" spans="1:26" ht="12" customHeight="1" outlineLevel="4" x14ac:dyDescent="0.2">
      <c r="A3341" s="32" t="s">
        <v>6517</v>
      </c>
      <c r="B3341" s="74" t="s">
        <v>6518</v>
      </c>
      <c r="C3341" s="50"/>
      <c r="D3341" s="53">
        <f t="shared" si="52"/>
        <v>0</v>
      </c>
      <c r="E3341" s="60" t="str">
        <f>HYPERLINK("https://www.sds-group.ru/product/klyuch-tortsevoy-s-treschotkoy-universalnyy-7-19mm-rexant-12-6080/", "Инфо")</f>
        <v>Инфо</v>
      </c>
      <c r="F3341" s="34" t="s">
        <v>39</v>
      </c>
      <c r="G3341" s="33"/>
      <c r="H3341" s="33" t="s">
        <v>40</v>
      </c>
      <c r="I3341" s="33"/>
      <c r="J3341" s="34" t="s">
        <v>100</v>
      </c>
      <c r="K3341" s="33"/>
      <c r="L3341" s="35">
        <v>1</v>
      </c>
      <c r="M3341" s="35">
        <v>72</v>
      </c>
      <c r="N3341" s="35">
        <v>1</v>
      </c>
      <c r="O3341" s="36">
        <v>1200</v>
      </c>
      <c r="P3341" s="36">
        <v>983.61</v>
      </c>
      <c r="Q3341" s="36">
        <v>840</v>
      </c>
      <c r="R3341" s="36">
        <v>688.52</v>
      </c>
      <c r="S3341" s="36">
        <v>816</v>
      </c>
      <c r="T3341" s="36">
        <v>668.85</v>
      </c>
      <c r="U3341" s="34"/>
      <c r="V3341" s="34"/>
      <c r="W3341" s="34"/>
      <c r="X3341" s="37">
        <v>0.50900000000000001</v>
      </c>
      <c r="Y3341" s="38">
        <v>8.0900000000000004E-4</v>
      </c>
      <c r="Z3341" s="21">
        <v>4601004116962</v>
      </c>
    </row>
    <row r="3342" spans="1:26" ht="12" customHeight="1" outlineLevel="4" x14ac:dyDescent="0.2">
      <c r="A3342" s="14" t="s">
        <v>6519</v>
      </c>
      <c r="B3342" s="26" t="s">
        <v>6520</v>
      </c>
      <c r="C3342" s="52"/>
      <c r="D3342" s="55">
        <f t="shared" si="52"/>
        <v>0</v>
      </c>
      <c r="E3342" s="63" t="str">
        <f>HYPERLINK("https://www.sds-group.ru/product/klyuch-treschotka-dlya-tortsovyh-golovok-1-2-hromovanadievaya-stal-crv-72-zubtsa-kranz-KR-12-8401/", "Инфо")</f>
        <v>Инфо</v>
      </c>
      <c r="F3342" s="16" t="s">
        <v>39</v>
      </c>
      <c r="G3342" s="15"/>
      <c r="H3342" s="15"/>
      <c r="I3342" s="15"/>
      <c r="J3342" s="17">
        <v>387</v>
      </c>
      <c r="K3342" s="15" t="s">
        <v>6521</v>
      </c>
      <c r="L3342" s="17">
        <v>1</v>
      </c>
      <c r="M3342" s="17">
        <v>48</v>
      </c>
      <c r="N3342" s="17">
        <v>1</v>
      </c>
      <c r="O3342" s="18">
        <v>1007</v>
      </c>
      <c r="P3342" s="18">
        <v>825.41</v>
      </c>
      <c r="Q3342" s="18">
        <v>795.53</v>
      </c>
      <c r="R3342" s="18">
        <v>652.07000000000005</v>
      </c>
      <c r="S3342" s="18">
        <v>684.76</v>
      </c>
      <c r="T3342" s="18">
        <v>561.28</v>
      </c>
      <c r="U3342" s="16"/>
      <c r="V3342" s="16"/>
      <c r="W3342" s="16" t="s">
        <v>40</v>
      </c>
      <c r="X3342" s="19">
        <v>0.59399999999999997</v>
      </c>
      <c r="Y3342" s="20">
        <v>5.4600000000000004E-4</v>
      </c>
      <c r="Z3342" s="21">
        <v>4601004288904</v>
      </c>
    </row>
    <row r="3343" spans="1:26" ht="12" customHeight="1" outlineLevel="4" x14ac:dyDescent="0.2">
      <c r="A3343" s="14" t="s">
        <v>6522</v>
      </c>
      <c r="B3343" s="26" t="s">
        <v>6523</v>
      </c>
      <c r="C3343" s="52"/>
      <c r="D3343" s="55">
        <f t="shared" si="52"/>
        <v>0</v>
      </c>
      <c r="E3343" s="63" t="str">
        <f>HYPERLINK("https://www.sds-group.ru/product/klyuch-treschotka-dlya-tortsovyh-golovok-1-4-hromovanadievaya-stal-crv-72-zubtsa-kranz-KR-12-8403/", "Инфо")</f>
        <v>Инфо</v>
      </c>
      <c r="F3343" s="16" t="s">
        <v>39</v>
      </c>
      <c r="G3343" s="15"/>
      <c r="H3343" s="15"/>
      <c r="I3343" s="15"/>
      <c r="J3343" s="16" t="s">
        <v>100</v>
      </c>
      <c r="K3343" s="15" t="s">
        <v>6521</v>
      </c>
      <c r="L3343" s="17">
        <v>1</v>
      </c>
      <c r="M3343" s="17">
        <v>120</v>
      </c>
      <c r="N3343" s="17">
        <v>1</v>
      </c>
      <c r="O3343" s="18">
        <v>636</v>
      </c>
      <c r="P3343" s="18">
        <v>521.30999999999995</v>
      </c>
      <c r="Q3343" s="18">
        <v>508.8</v>
      </c>
      <c r="R3343" s="18">
        <v>417.05</v>
      </c>
      <c r="S3343" s="18">
        <v>432.48</v>
      </c>
      <c r="T3343" s="18">
        <v>354.49</v>
      </c>
      <c r="U3343" s="16"/>
      <c r="V3343" s="16"/>
      <c r="W3343" s="16" t="s">
        <v>40</v>
      </c>
      <c r="X3343" s="19">
        <v>0.16900000000000001</v>
      </c>
      <c r="Y3343" s="20">
        <v>1.93E-4</v>
      </c>
      <c r="Z3343" s="21">
        <v>4601004288898</v>
      </c>
    </row>
    <row r="3344" spans="1:26" ht="12" customHeight="1" outlineLevel="4" x14ac:dyDescent="0.2">
      <c r="A3344" s="14" t="s">
        <v>6524</v>
      </c>
      <c r="B3344" s="26" t="s">
        <v>6525</v>
      </c>
      <c r="C3344" s="52"/>
      <c r="D3344" s="55">
        <f t="shared" si="52"/>
        <v>0</v>
      </c>
      <c r="E3344" s="63" t="str">
        <f>HYPERLINK("https://www.sds-group.ru/product/nabor-tortsevyh-golovok-1-2-golovki-10-24-mm-s-treschotochnym-klyuchom-12-predmetov-rexant-12-8301/", "Инфо")</f>
        <v>Инфо</v>
      </c>
      <c r="F3344" s="16" t="s">
        <v>39</v>
      </c>
      <c r="G3344" s="15"/>
      <c r="H3344" s="15"/>
      <c r="I3344" s="15"/>
      <c r="J3344" s="17">
        <v>390</v>
      </c>
      <c r="K3344" s="15" t="s">
        <v>6526</v>
      </c>
      <c r="L3344" s="17">
        <v>1</v>
      </c>
      <c r="M3344" s="17">
        <v>10</v>
      </c>
      <c r="N3344" s="17">
        <v>1</v>
      </c>
      <c r="O3344" s="18">
        <v>4218.8</v>
      </c>
      <c r="P3344" s="18">
        <v>3458.03</v>
      </c>
      <c r="Q3344" s="18">
        <v>3079.72</v>
      </c>
      <c r="R3344" s="18">
        <v>2524.36</v>
      </c>
      <c r="S3344" s="18">
        <v>2868.78</v>
      </c>
      <c r="T3344" s="18">
        <v>2351.46</v>
      </c>
      <c r="U3344" s="16"/>
      <c r="V3344" s="16"/>
      <c r="W3344" s="16" t="s">
        <v>40</v>
      </c>
      <c r="X3344" s="19">
        <v>2.02</v>
      </c>
      <c r="Y3344" s="20">
        <v>2.4020000000000001E-3</v>
      </c>
      <c r="Z3344" s="21">
        <v>4601004178724</v>
      </c>
    </row>
    <row r="3345" spans="1:26" ht="12" customHeight="1" outlineLevel="4" x14ac:dyDescent="0.2">
      <c r="A3345" s="14" t="s">
        <v>6527</v>
      </c>
      <c r="B3345" s="26" t="s">
        <v>6528</v>
      </c>
      <c r="C3345" s="52"/>
      <c r="D3345" s="55">
        <f t="shared" si="52"/>
        <v>0</v>
      </c>
      <c r="E3345" s="63" t="str">
        <f>HYPERLINK("https://www.sds-group.ru/product/nabor-tortsevyh-golovok-1-2-dvenadtsatigrannye-hromovanadievaya-stal-crv-10-sht-10-24mm-rexa-12-8304/", "Инфо")</f>
        <v>Инфо</v>
      </c>
      <c r="F3345" s="16" t="s">
        <v>39</v>
      </c>
      <c r="G3345" s="15"/>
      <c r="H3345" s="15"/>
      <c r="I3345" s="15"/>
      <c r="J3345" s="17">
        <v>368</v>
      </c>
      <c r="K3345" s="15"/>
      <c r="L3345" s="17">
        <v>1</v>
      </c>
      <c r="M3345" s="17">
        <v>24</v>
      </c>
      <c r="N3345" s="17">
        <v>1</v>
      </c>
      <c r="O3345" s="18">
        <v>1219</v>
      </c>
      <c r="P3345" s="18">
        <v>999.18</v>
      </c>
      <c r="Q3345" s="18">
        <v>963.01</v>
      </c>
      <c r="R3345" s="18">
        <v>789.35</v>
      </c>
      <c r="S3345" s="18">
        <v>828.92</v>
      </c>
      <c r="T3345" s="18">
        <v>679.44</v>
      </c>
      <c r="U3345" s="16"/>
      <c r="V3345" s="16"/>
      <c r="W3345" s="16" t="s">
        <v>40</v>
      </c>
      <c r="X3345" s="19">
        <v>0.77300000000000002</v>
      </c>
      <c r="Y3345" s="20">
        <v>1.684E-3</v>
      </c>
      <c r="Z3345" s="21">
        <v>4601004178731</v>
      </c>
    </row>
    <row r="3346" spans="1:26" ht="12" customHeight="1" outlineLevel="4" x14ac:dyDescent="0.2">
      <c r="A3346" s="14" t="s">
        <v>6529</v>
      </c>
      <c r="B3346" s="26" t="s">
        <v>6530</v>
      </c>
      <c r="C3346" s="52"/>
      <c r="D3346" s="55">
        <f t="shared" si="52"/>
        <v>0</v>
      </c>
      <c r="E3346" s="63" t="str">
        <f>HYPERLINK("https://www.sds-group.ru/product/nabor-tortsevyh-golovok-1-4-shestigrannye-hromovanadievaya-stal-crv-10-sht-4-13mm-rexant-12-8316/", "Инфо")</f>
        <v>Инфо</v>
      </c>
      <c r="F3346" s="16" t="s">
        <v>39</v>
      </c>
      <c r="G3346" s="15"/>
      <c r="H3346" s="15"/>
      <c r="I3346" s="15"/>
      <c r="J3346" s="17">
        <v>549</v>
      </c>
      <c r="K3346" s="15"/>
      <c r="L3346" s="17">
        <v>1</v>
      </c>
      <c r="M3346" s="17">
        <v>36</v>
      </c>
      <c r="N3346" s="17">
        <v>1</v>
      </c>
      <c r="O3346" s="18">
        <v>498.2</v>
      </c>
      <c r="P3346" s="18">
        <v>408.36</v>
      </c>
      <c r="Q3346" s="18">
        <v>398.56</v>
      </c>
      <c r="R3346" s="18">
        <v>326.69</v>
      </c>
      <c r="S3346" s="18">
        <v>338.78</v>
      </c>
      <c r="T3346" s="18">
        <v>277.69</v>
      </c>
      <c r="U3346" s="16"/>
      <c r="V3346" s="16"/>
      <c r="W3346" s="16" t="s">
        <v>40</v>
      </c>
      <c r="X3346" s="19">
        <v>0.23799999999999999</v>
      </c>
      <c r="Y3346" s="20">
        <v>7.7899999999999996E-4</v>
      </c>
      <c r="Z3346" s="21">
        <v>4601004178779</v>
      </c>
    </row>
    <row r="3347" spans="1:26" ht="12" customHeight="1" outlineLevel="4" x14ac:dyDescent="0.2">
      <c r="A3347" s="14" t="s">
        <v>6531</v>
      </c>
      <c r="B3347" s="26" t="s">
        <v>6532</v>
      </c>
      <c r="C3347" s="52"/>
      <c r="D3347" s="55">
        <f t="shared" si="52"/>
        <v>0</v>
      </c>
      <c r="E3347" s="63" t="str">
        <f>HYPERLINK("https://www.sds-group.ru/product/nabor-udlinennyh-tortsevyh-golovok-1-2-shestigrannye-hromovanadievaya-stal-crv-10-sht-10-22m-12-8308/", "Инфо")</f>
        <v>Инфо</v>
      </c>
      <c r="F3347" s="16" t="s">
        <v>39</v>
      </c>
      <c r="G3347" s="15"/>
      <c r="H3347" s="15"/>
      <c r="I3347" s="15"/>
      <c r="J3347" s="17">
        <v>648</v>
      </c>
      <c r="K3347" s="15"/>
      <c r="L3347" s="17">
        <v>1</v>
      </c>
      <c r="M3347" s="17">
        <v>12</v>
      </c>
      <c r="N3347" s="17">
        <v>1</v>
      </c>
      <c r="O3347" s="18">
        <v>2120</v>
      </c>
      <c r="P3347" s="18">
        <v>1737.7</v>
      </c>
      <c r="Q3347" s="18">
        <v>1632.4</v>
      </c>
      <c r="R3347" s="18">
        <v>1338.03</v>
      </c>
      <c r="S3347" s="18">
        <v>1441.6</v>
      </c>
      <c r="T3347" s="18">
        <v>1181.6400000000001</v>
      </c>
      <c r="U3347" s="16"/>
      <c r="V3347" s="16"/>
      <c r="W3347" s="16" t="s">
        <v>40</v>
      </c>
      <c r="X3347" s="19">
        <v>1.383</v>
      </c>
      <c r="Y3347" s="20">
        <v>1.815E-3</v>
      </c>
      <c r="Z3347" s="21">
        <v>4601004178755</v>
      </c>
    </row>
    <row r="3348" spans="1:26" ht="12" customHeight="1" outlineLevel="4" x14ac:dyDescent="0.2">
      <c r="A3348" s="14" t="s">
        <v>6533</v>
      </c>
      <c r="B3348" s="26" t="s">
        <v>6534</v>
      </c>
      <c r="C3348" s="52"/>
      <c r="D3348" s="55">
        <f t="shared" si="52"/>
        <v>0</v>
      </c>
      <c r="E3348" s="63" t="str">
        <f>HYPERLINK("https://www.sds-group.ru/product/nabor-udlinennyh-tortsevyh-golovok-1-4-shestigrannye-hromovanadievaya-stal-crv-10-sht-4-13mm-12-8318/", "Инфо")</f>
        <v>Инфо</v>
      </c>
      <c r="F3348" s="16" t="s">
        <v>39</v>
      </c>
      <c r="G3348" s="15"/>
      <c r="H3348" s="15"/>
      <c r="I3348" s="15"/>
      <c r="J3348" s="22">
        <v>1143</v>
      </c>
      <c r="K3348" s="15"/>
      <c r="L3348" s="17">
        <v>1</v>
      </c>
      <c r="M3348" s="17">
        <v>24</v>
      </c>
      <c r="N3348" s="17">
        <v>1</v>
      </c>
      <c r="O3348" s="18">
        <v>1060</v>
      </c>
      <c r="P3348" s="18">
        <v>868.85</v>
      </c>
      <c r="Q3348" s="18">
        <v>837.4</v>
      </c>
      <c r="R3348" s="18">
        <v>686.39</v>
      </c>
      <c r="S3348" s="18">
        <v>720.8</v>
      </c>
      <c r="T3348" s="18">
        <v>590.82000000000005</v>
      </c>
      <c r="U3348" s="16"/>
      <c r="V3348" s="16"/>
      <c r="W3348" s="16" t="s">
        <v>40</v>
      </c>
      <c r="X3348" s="19">
        <v>0.39800000000000002</v>
      </c>
      <c r="Y3348" s="20">
        <v>1.0349999999999999E-3</v>
      </c>
      <c r="Z3348" s="21">
        <v>4601004178533</v>
      </c>
    </row>
    <row r="3349" spans="1:26" ht="12" customHeight="1" outlineLevel="4" x14ac:dyDescent="0.2">
      <c r="A3349" s="40" t="s">
        <v>6535</v>
      </c>
      <c r="B3349" s="75" t="s">
        <v>6536</v>
      </c>
      <c r="C3349" s="51"/>
      <c r="D3349" s="54">
        <f t="shared" si="52"/>
        <v>0</v>
      </c>
      <c r="E3349" s="61" t="str">
        <f>HYPERLINK("https://www.sds-group.ru/product/nabor-shestigrannyh-udarnyh-tortsevyh-golovok-1-2-38mm-10-predmetov-10-24mm-metallicheski-KR-12-8422/", "Инфо")</f>
        <v>Инфо</v>
      </c>
      <c r="F3349" s="42" t="s">
        <v>4698</v>
      </c>
      <c r="G3349" s="41" t="s">
        <v>40</v>
      </c>
      <c r="H3349" s="41"/>
      <c r="I3349" s="41"/>
      <c r="J3349" s="43">
        <v>319</v>
      </c>
      <c r="K3349" s="41"/>
      <c r="L3349" s="43">
        <v>1</v>
      </c>
      <c r="M3349" s="43">
        <v>15</v>
      </c>
      <c r="N3349" s="43">
        <v>1</v>
      </c>
      <c r="O3349" s="44">
        <v>2263.84</v>
      </c>
      <c r="P3349" s="44">
        <v>1855.61</v>
      </c>
      <c r="Q3349" s="44">
        <v>1584.69</v>
      </c>
      <c r="R3349" s="44">
        <v>1298.93</v>
      </c>
      <c r="S3349" s="44">
        <v>1539.41</v>
      </c>
      <c r="T3349" s="44">
        <v>1261.81</v>
      </c>
      <c r="U3349" s="42"/>
      <c r="V3349" s="42"/>
      <c r="W3349" s="42"/>
      <c r="X3349" s="45">
        <v>1.429</v>
      </c>
      <c r="Y3349" s="46">
        <v>1.673E-3</v>
      </c>
      <c r="Z3349" s="21">
        <v>4601004315792</v>
      </c>
    </row>
    <row r="3350" spans="1:26" ht="12" customHeight="1" outlineLevel="4" x14ac:dyDescent="0.2">
      <c r="A3350" s="40" t="s">
        <v>6537</v>
      </c>
      <c r="B3350" s="75" t="s">
        <v>6538</v>
      </c>
      <c r="C3350" s="51"/>
      <c r="D3350" s="54">
        <f t="shared" si="52"/>
        <v>0</v>
      </c>
      <c r="E3350" s="61" t="str">
        <f>HYPERLINK("https://www.sds-group.ru/product/nabor-shestigrannyh-udarnyh-tortsevyh-golovok-1-2-78mm-12-predmetov-10-24mm-metallicheski-KR-12-8421/", "Инфо")</f>
        <v>Инфо</v>
      </c>
      <c r="F3350" s="42" t="s">
        <v>4698</v>
      </c>
      <c r="G3350" s="41" t="s">
        <v>40</v>
      </c>
      <c r="H3350" s="41"/>
      <c r="I3350" s="41"/>
      <c r="J3350" s="43">
        <v>242</v>
      </c>
      <c r="K3350" s="41" t="s">
        <v>1055</v>
      </c>
      <c r="L3350" s="43">
        <v>1</v>
      </c>
      <c r="M3350" s="43">
        <v>5</v>
      </c>
      <c r="N3350" s="43">
        <v>1</v>
      </c>
      <c r="O3350" s="44">
        <v>3975</v>
      </c>
      <c r="P3350" s="44">
        <v>3258.2</v>
      </c>
      <c r="Q3350" s="44">
        <v>2782.5</v>
      </c>
      <c r="R3350" s="44">
        <v>2280.7399999999998</v>
      </c>
      <c r="S3350" s="44">
        <v>2703</v>
      </c>
      <c r="T3350" s="44">
        <v>2215.5700000000002</v>
      </c>
      <c r="U3350" s="42"/>
      <c r="V3350" s="42"/>
      <c r="W3350" s="42"/>
      <c r="X3350" s="45">
        <v>2.9580000000000002</v>
      </c>
      <c r="Y3350" s="46">
        <v>2.5509999999999999E-3</v>
      </c>
      <c r="Z3350" s="21">
        <v>4601004315785</v>
      </c>
    </row>
    <row r="3351" spans="1:26" ht="12" customHeight="1" outlineLevel="4" x14ac:dyDescent="0.2">
      <c r="A3351" s="40" t="s">
        <v>6539</v>
      </c>
      <c r="B3351" s="75" t="s">
        <v>6540</v>
      </c>
      <c r="C3351" s="51"/>
      <c r="D3351" s="54">
        <f t="shared" si="52"/>
        <v>0</v>
      </c>
      <c r="E3351" s="61" t="str">
        <f>HYPERLINK("https://www.sds-group.ru/product/nabor-shestigrannyh-udarnyh-tortsevyh-golovok-1-2-78mm-20-predmetov-8-32mm-plastikovyy-ke-KR-12-8420/", "Инфо")</f>
        <v>Инфо</v>
      </c>
      <c r="F3351" s="42" t="s">
        <v>4698</v>
      </c>
      <c r="G3351" s="41" t="s">
        <v>40</v>
      </c>
      <c r="H3351" s="41"/>
      <c r="I3351" s="41"/>
      <c r="J3351" s="42" t="s">
        <v>100</v>
      </c>
      <c r="K3351" s="41" t="s">
        <v>1055</v>
      </c>
      <c r="L3351" s="43">
        <v>1</v>
      </c>
      <c r="M3351" s="43">
        <v>4</v>
      </c>
      <c r="N3351" s="43">
        <v>1</v>
      </c>
      <c r="O3351" s="44">
        <v>4929</v>
      </c>
      <c r="P3351" s="44">
        <v>4040.16</v>
      </c>
      <c r="Q3351" s="44">
        <v>3450.3</v>
      </c>
      <c r="R3351" s="44">
        <v>2828.11</v>
      </c>
      <c r="S3351" s="44">
        <v>3351.72</v>
      </c>
      <c r="T3351" s="44">
        <v>2747.31</v>
      </c>
      <c r="U3351" s="42"/>
      <c r="V3351" s="42"/>
      <c r="W3351" s="42"/>
      <c r="X3351" s="45">
        <v>5.3769999999999998</v>
      </c>
      <c r="Y3351" s="46">
        <v>9.6579999999999999E-3</v>
      </c>
      <c r="Z3351" s="21">
        <v>4601004315778</v>
      </c>
    </row>
    <row r="3352" spans="1:26" ht="12" customHeight="1" outlineLevel="4" x14ac:dyDescent="0.2">
      <c r="A3352" s="40" t="s">
        <v>6541</v>
      </c>
      <c r="B3352" s="75" t="s">
        <v>6542</v>
      </c>
      <c r="C3352" s="51"/>
      <c r="D3352" s="54">
        <f t="shared" si="52"/>
        <v>0</v>
      </c>
      <c r="E3352" s="61" t="str">
        <f>HYPERLINK("https://www.sds-group.ru/product/nabor-shestigrannyh-udarnyh-udlinennyh-tortsevyh-golovok-dlya-kolesnyh-diskov-1-2-3-predm-KR-12-8423/", "Инфо")</f>
        <v>Инфо</v>
      </c>
      <c r="F3352" s="42" t="s">
        <v>4698</v>
      </c>
      <c r="G3352" s="41" t="s">
        <v>40</v>
      </c>
      <c r="H3352" s="41"/>
      <c r="I3352" s="41"/>
      <c r="J3352" s="43">
        <v>113</v>
      </c>
      <c r="K3352" s="41" t="s">
        <v>1055</v>
      </c>
      <c r="L3352" s="43">
        <v>1</v>
      </c>
      <c r="M3352" s="43">
        <v>20</v>
      </c>
      <c r="N3352" s="43">
        <v>1</v>
      </c>
      <c r="O3352" s="44">
        <v>1272</v>
      </c>
      <c r="P3352" s="44">
        <v>1042.6199999999999</v>
      </c>
      <c r="Q3352" s="44">
        <v>890.4</v>
      </c>
      <c r="R3352" s="44">
        <v>729.84</v>
      </c>
      <c r="S3352" s="44">
        <v>864.96</v>
      </c>
      <c r="T3352" s="44">
        <v>708.98</v>
      </c>
      <c r="U3352" s="42"/>
      <c r="V3352" s="42"/>
      <c r="W3352" s="42"/>
      <c r="X3352" s="45">
        <v>0.746</v>
      </c>
      <c r="Y3352" s="46">
        <v>1.3240000000000001E-3</v>
      </c>
      <c r="Z3352" s="21">
        <v>4601004315808</v>
      </c>
    </row>
    <row r="3353" spans="1:26" ht="12" customHeight="1" outlineLevel="4" x14ac:dyDescent="0.2">
      <c r="A3353" s="40" t="s">
        <v>6543</v>
      </c>
      <c r="B3353" s="75" t="s">
        <v>6544</v>
      </c>
      <c r="C3353" s="51"/>
      <c r="D3353" s="54">
        <f t="shared" si="52"/>
        <v>0</v>
      </c>
      <c r="E3353" s="61" t="str">
        <f>HYPERLINK("https://www.sds-group.ru/product/perehodnik-udarnyy-f3-4-h-m1-2-kranz-KR-12-8430/", "Инфо")</f>
        <v>Инфо</v>
      </c>
      <c r="F3353" s="42" t="s">
        <v>39</v>
      </c>
      <c r="G3353" s="41" t="s">
        <v>40</v>
      </c>
      <c r="H3353" s="41"/>
      <c r="I3353" s="41"/>
      <c r="J3353" s="42" t="s">
        <v>100</v>
      </c>
      <c r="K3353" s="41" t="s">
        <v>1055</v>
      </c>
      <c r="L3353" s="43">
        <v>5</v>
      </c>
      <c r="M3353" s="43">
        <v>100</v>
      </c>
      <c r="N3353" s="43">
        <v>5</v>
      </c>
      <c r="O3353" s="44">
        <v>592.91</v>
      </c>
      <c r="P3353" s="44">
        <v>485.99</v>
      </c>
      <c r="Q3353" s="44">
        <v>415.04</v>
      </c>
      <c r="R3353" s="44">
        <v>340.2</v>
      </c>
      <c r="S3353" s="44">
        <v>403.18</v>
      </c>
      <c r="T3353" s="44">
        <v>330.48</v>
      </c>
      <c r="U3353" s="42"/>
      <c r="V3353" s="42"/>
      <c r="W3353" s="42"/>
      <c r="X3353" s="45">
        <v>0.311</v>
      </c>
      <c r="Y3353" s="46">
        <v>2.9300000000000002E-4</v>
      </c>
      <c r="Z3353" s="21">
        <v>4601004315815</v>
      </c>
    </row>
    <row r="3354" spans="1:26" ht="12" customHeight="1" outlineLevel="4" x14ac:dyDescent="0.2">
      <c r="A3354" s="40" t="s">
        <v>6545</v>
      </c>
      <c r="B3354" s="75" t="s">
        <v>6546</v>
      </c>
      <c r="C3354" s="51"/>
      <c r="D3354" s="54">
        <f t="shared" si="52"/>
        <v>0</v>
      </c>
      <c r="E3354" s="61" t="str">
        <f>HYPERLINK("https://www.sds-group.ru/product/sharnir-kardannyy-udarnyy-1-2-dr-kranz-KR-12-8431/", "Инфо")</f>
        <v>Инфо</v>
      </c>
      <c r="F3354" s="42" t="s">
        <v>39</v>
      </c>
      <c r="G3354" s="41" t="s">
        <v>40</v>
      </c>
      <c r="H3354" s="41"/>
      <c r="I3354" s="41"/>
      <c r="J3354" s="43">
        <v>1</v>
      </c>
      <c r="K3354" s="41" t="s">
        <v>1055</v>
      </c>
      <c r="L3354" s="43">
        <v>1</v>
      </c>
      <c r="M3354" s="43">
        <v>200</v>
      </c>
      <c r="N3354" s="43">
        <v>1</v>
      </c>
      <c r="O3354" s="44">
        <v>754.61</v>
      </c>
      <c r="P3354" s="44">
        <v>618.53</v>
      </c>
      <c r="Q3354" s="44">
        <v>528.23</v>
      </c>
      <c r="R3354" s="44">
        <v>432.98</v>
      </c>
      <c r="S3354" s="44">
        <v>513.13</v>
      </c>
      <c r="T3354" s="44">
        <v>420.6</v>
      </c>
      <c r="U3354" s="42"/>
      <c r="V3354" s="42"/>
      <c r="W3354" s="42"/>
      <c r="X3354" s="45">
        <v>0.18099999999999999</v>
      </c>
      <c r="Y3354" s="46">
        <v>1.47E-4</v>
      </c>
      <c r="Z3354" s="21">
        <v>4601004315822</v>
      </c>
    </row>
    <row r="3355" spans="1:26" ht="12.95" customHeight="1" outlineLevel="3" x14ac:dyDescent="0.2">
      <c r="A3355" s="76" t="s">
        <v>6547</v>
      </c>
      <c r="B3355" s="76"/>
      <c r="C3355" s="77"/>
      <c r="D3355" s="58"/>
      <c r="E3355" s="68"/>
      <c r="F3355" s="13"/>
      <c r="G3355" s="13"/>
      <c r="H3355" s="13"/>
      <c r="I3355" s="13"/>
      <c r="J3355" s="13"/>
      <c r="K3355" s="13"/>
      <c r="L3355" s="13"/>
      <c r="M3355" s="13"/>
      <c r="N3355" s="13"/>
      <c r="O3355" s="13"/>
      <c r="P3355" s="13"/>
      <c r="Q3355" s="13"/>
      <c r="R3355" s="13"/>
      <c r="S3355" s="13"/>
      <c r="T3355" s="13"/>
      <c r="U3355" s="13"/>
      <c r="V3355" s="13"/>
      <c r="W3355" s="13"/>
      <c r="X3355" s="13"/>
      <c r="Y3355" s="13"/>
      <c r="Z3355" s="13"/>
    </row>
    <row r="3356" spans="1:26" ht="12" customHeight="1" outlineLevel="4" x14ac:dyDescent="0.2">
      <c r="A3356" s="32" t="s">
        <v>6548</v>
      </c>
      <c r="B3356" s="74" t="s">
        <v>6549</v>
      </c>
      <c r="C3356" s="50"/>
      <c r="D3356" s="53">
        <f t="shared" si="52"/>
        <v>0</v>
      </c>
      <c r="E3356" s="60" t="str">
        <f>HYPERLINK("https://www.sds-group.ru/product/klyuch-nakidnoy-kolenchatyy-10h11mm-tsink-rexant-12-5854-2/", "Инфо")</f>
        <v>Инфо</v>
      </c>
      <c r="F3356" s="34" t="s">
        <v>39</v>
      </c>
      <c r="G3356" s="33"/>
      <c r="H3356" s="33" t="s">
        <v>40</v>
      </c>
      <c r="I3356" s="33"/>
      <c r="J3356" s="35">
        <v>169</v>
      </c>
      <c r="K3356" s="33"/>
      <c r="L3356" s="35">
        <v>1</v>
      </c>
      <c r="M3356" s="35">
        <v>100</v>
      </c>
      <c r="N3356" s="35">
        <v>1</v>
      </c>
      <c r="O3356" s="36">
        <v>137.80000000000001</v>
      </c>
      <c r="P3356" s="36">
        <v>112.95</v>
      </c>
      <c r="Q3356" s="36">
        <v>96.46</v>
      </c>
      <c r="R3356" s="36">
        <v>79.069999999999993</v>
      </c>
      <c r="S3356" s="36">
        <v>93.7</v>
      </c>
      <c r="T3356" s="36">
        <v>76.8</v>
      </c>
      <c r="U3356" s="34"/>
      <c r="V3356" s="34"/>
      <c r="W3356" s="34"/>
      <c r="X3356" s="37">
        <v>9.7000000000000003E-2</v>
      </c>
      <c r="Y3356" s="38">
        <v>1.5799999999999999E-4</v>
      </c>
      <c r="Z3356" s="21">
        <v>4601004146129</v>
      </c>
    </row>
    <row r="3357" spans="1:26" ht="12" customHeight="1" outlineLevel="4" x14ac:dyDescent="0.2">
      <c r="A3357" s="14" t="s">
        <v>6550</v>
      </c>
      <c r="B3357" s="26" t="s">
        <v>6551</v>
      </c>
      <c r="C3357" s="52"/>
      <c r="D3357" s="55">
        <f t="shared" si="52"/>
        <v>0</v>
      </c>
      <c r="E3357" s="63" t="str">
        <f>HYPERLINK("https://www.sds-group.ru/product/klyuch-nakidnoy-kolenchatyy-10h13mm-tsink-rexant-12-5857-2/", "Инфо")</f>
        <v>Инфо</v>
      </c>
      <c r="F3357" s="16" t="s">
        <v>39</v>
      </c>
      <c r="G3357" s="15"/>
      <c r="H3357" s="15"/>
      <c r="I3357" s="15"/>
      <c r="J3357" s="17">
        <v>709</v>
      </c>
      <c r="K3357" s="15"/>
      <c r="L3357" s="17">
        <v>10</v>
      </c>
      <c r="M3357" s="17">
        <v>80</v>
      </c>
      <c r="N3357" s="17">
        <v>10</v>
      </c>
      <c r="O3357" s="18">
        <v>174.9</v>
      </c>
      <c r="P3357" s="18">
        <v>143.36000000000001</v>
      </c>
      <c r="Q3357" s="18">
        <v>148.66999999999999</v>
      </c>
      <c r="R3357" s="18">
        <v>121.86</v>
      </c>
      <c r="S3357" s="18">
        <v>118.93</v>
      </c>
      <c r="T3357" s="18">
        <v>97.48</v>
      </c>
      <c r="U3357" s="16"/>
      <c r="V3357" s="16"/>
      <c r="W3357" s="16" t="s">
        <v>40</v>
      </c>
      <c r="X3357" s="19">
        <v>0.115</v>
      </c>
      <c r="Y3357" s="20">
        <v>2.4899999999999998E-4</v>
      </c>
      <c r="Z3357" s="21">
        <v>4601004146136</v>
      </c>
    </row>
    <row r="3358" spans="1:26" ht="12" customHeight="1" outlineLevel="4" x14ac:dyDescent="0.2">
      <c r="A3358" s="14" t="s">
        <v>6552</v>
      </c>
      <c r="B3358" s="26" t="s">
        <v>6553</v>
      </c>
      <c r="C3358" s="52"/>
      <c r="D3358" s="55">
        <f t="shared" si="52"/>
        <v>0</v>
      </c>
      <c r="E3358" s="63" t="str">
        <f>HYPERLINK("https://www.sds-group.ru/product/klyuch-nakidnoy-kolenchatyy-13h17mm-tsink-rexant-12-5858-2/", "Инфо")</f>
        <v>Инфо</v>
      </c>
      <c r="F3358" s="16" t="s">
        <v>39</v>
      </c>
      <c r="G3358" s="15"/>
      <c r="H3358" s="15"/>
      <c r="I3358" s="15"/>
      <c r="J3358" s="17">
        <v>915</v>
      </c>
      <c r="K3358" s="15"/>
      <c r="L3358" s="17">
        <v>5</v>
      </c>
      <c r="M3358" s="17">
        <v>80</v>
      </c>
      <c r="N3358" s="17">
        <v>5</v>
      </c>
      <c r="O3358" s="18">
        <v>233.2</v>
      </c>
      <c r="P3358" s="18">
        <v>191.15</v>
      </c>
      <c r="Q3358" s="18">
        <v>198.22</v>
      </c>
      <c r="R3358" s="18">
        <v>162.47999999999999</v>
      </c>
      <c r="S3358" s="18">
        <v>158.58000000000001</v>
      </c>
      <c r="T3358" s="18">
        <v>129.97999999999999</v>
      </c>
      <c r="U3358" s="16"/>
      <c r="V3358" s="16"/>
      <c r="W3358" s="16" t="s">
        <v>40</v>
      </c>
      <c r="X3358" s="19">
        <v>0.15</v>
      </c>
      <c r="Y3358" s="20">
        <v>2.9300000000000002E-4</v>
      </c>
      <c r="Z3358" s="21">
        <v>4601004146150</v>
      </c>
    </row>
    <row r="3359" spans="1:26" ht="12" customHeight="1" outlineLevel="4" x14ac:dyDescent="0.2">
      <c r="A3359" s="14" t="s">
        <v>6554</v>
      </c>
      <c r="B3359" s="26" t="s">
        <v>6555</v>
      </c>
      <c r="C3359" s="52"/>
      <c r="D3359" s="55">
        <f t="shared" si="52"/>
        <v>0</v>
      </c>
      <c r="E3359" s="63" t="str">
        <f>HYPERLINK("https://www.sds-group.ru/product/klyuch-nakidnoy-kolenchatyy-17h19mm-tsink-rexant-12-5860-2/", "Инфо")</f>
        <v>Инфо</v>
      </c>
      <c r="F3359" s="16" t="s">
        <v>39</v>
      </c>
      <c r="G3359" s="15"/>
      <c r="H3359" s="15"/>
      <c r="I3359" s="15"/>
      <c r="J3359" s="22">
        <v>1230</v>
      </c>
      <c r="K3359" s="15" t="s">
        <v>6556</v>
      </c>
      <c r="L3359" s="17">
        <v>5</v>
      </c>
      <c r="M3359" s="17">
        <v>120</v>
      </c>
      <c r="N3359" s="17">
        <v>5</v>
      </c>
      <c r="O3359" s="18">
        <v>286.2</v>
      </c>
      <c r="P3359" s="18">
        <v>234.59</v>
      </c>
      <c r="Q3359" s="18">
        <v>243.27</v>
      </c>
      <c r="R3359" s="18">
        <v>199.4</v>
      </c>
      <c r="S3359" s="18">
        <v>194.62</v>
      </c>
      <c r="T3359" s="18">
        <v>159.52000000000001</v>
      </c>
      <c r="U3359" s="16"/>
      <c r="V3359" s="16"/>
      <c r="W3359" s="16" t="s">
        <v>40</v>
      </c>
      <c r="X3359" s="19">
        <v>0.217</v>
      </c>
      <c r="Y3359" s="20">
        <v>2.5300000000000002E-4</v>
      </c>
      <c r="Z3359" s="21">
        <v>4601004146174</v>
      </c>
    </row>
    <row r="3360" spans="1:26" ht="12" customHeight="1" outlineLevel="4" x14ac:dyDescent="0.2">
      <c r="A3360" s="14" t="s">
        <v>6557</v>
      </c>
      <c r="B3360" s="26" t="s">
        <v>6558</v>
      </c>
      <c r="C3360" s="52"/>
      <c r="D3360" s="55">
        <f t="shared" si="52"/>
        <v>0</v>
      </c>
      <c r="E3360" s="63" t="str">
        <f>HYPERLINK("https://www.sds-group.ru/product/klyuch-nakidnoy-kolenchatyy-19h22mm-tsink-rexant-12-5861-2/", "Инфо")</f>
        <v>Инфо</v>
      </c>
      <c r="F3360" s="16" t="s">
        <v>39</v>
      </c>
      <c r="G3360" s="15"/>
      <c r="H3360" s="15"/>
      <c r="I3360" s="15"/>
      <c r="J3360" s="16" t="s">
        <v>100</v>
      </c>
      <c r="K3360" s="15" t="s">
        <v>6559</v>
      </c>
      <c r="L3360" s="17">
        <v>5</v>
      </c>
      <c r="M3360" s="17">
        <v>80</v>
      </c>
      <c r="N3360" s="17">
        <v>5</v>
      </c>
      <c r="O3360" s="18">
        <v>356.16</v>
      </c>
      <c r="P3360" s="18">
        <v>291.93</v>
      </c>
      <c r="Q3360" s="18">
        <v>284.93</v>
      </c>
      <c r="R3360" s="18">
        <v>233.55</v>
      </c>
      <c r="S3360" s="18">
        <v>242.19</v>
      </c>
      <c r="T3360" s="18">
        <v>198.52</v>
      </c>
      <c r="U3360" s="16"/>
      <c r="V3360" s="16"/>
      <c r="W3360" s="16" t="s">
        <v>40</v>
      </c>
      <c r="X3360" s="19">
        <v>0.28100000000000003</v>
      </c>
      <c r="Y3360" s="20">
        <v>5.1000000000000004E-4</v>
      </c>
      <c r="Z3360" s="21">
        <v>4601004146181</v>
      </c>
    </row>
    <row r="3361" spans="1:26" ht="12" customHeight="1" outlineLevel="4" x14ac:dyDescent="0.2">
      <c r="A3361" s="14" t="s">
        <v>6560</v>
      </c>
      <c r="B3361" s="26" t="s">
        <v>6561</v>
      </c>
      <c r="C3361" s="52"/>
      <c r="D3361" s="55">
        <f t="shared" si="52"/>
        <v>0</v>
      </c>
      <c r="E3361" s="63" t="str">
        <f>HYPERLINK("https://www.sds-group.ru/product/klyuch-nakidnoy-kolenchatyy-22h24mm-tsink-rexant-12-5863-2/", "Инфо")</f>
        <v>Инфо</v>
      </c>
      <c r="F3361" s="16" t="s">
        <v>39</v>
      </c>
      <c r="G3361" s="15"/>
      <c r="H3361" s="15"/>
      <c r="I3361" s="15"/>
      <c r="J3361" s="17">
        <v>984</v>
      </c>
      <c r="K3361" s="15"/>
      <c r="L3361" s="17">
        <v>1</v>
      </c>
      <c r="M3361" s="17">
        <v>60</v>
      </c>
      <c r="N3361" s="17">
        <v>1</v>
      </c>
      <c r="O3361" s="18">
        <v>445.2</v>
      </c>
      <c r="P3361" s="18">
        <v>364.92</v>
      </c>
      <c r="Q3361" s="18">
        <v>356.16</v>
      </c>
      <c r="R3361" s="18">
        <v>291.93</v>
      </c>
      <c r="S3361" s="18">
        <v>302.74</v>
      </c>
      <c r="T3361" s="18">
        <v>248.15</v>
      </c>
      <c r="U3361" s="16"/>
      <c r="V3361" s="16"/>
      <c r="W3361" s="16" t="s">
        <v>40</v>
      </c>
      <c r="X3361" s="19">
        <v>0.28799999999999998</v>
      </c>
      <c r="Y3361" s="20">
        <v>3.7100000000000002E-4</v>
      </c>
      <c r="Z3361" s="21">
        <v>4601004146204</v>
      </c>
    </row>
    <row r="3362" spans="1:26" ht="12" customHeight="1" outlineLevel="4" x14ac:dyDescent="0.2">
      <c r="A3362" s="14" t="s">
        <v>6562</v>
      </c>
      <c r="B3362" s="26" t="s">
        <v>6563</v>
      </c>
      <c r="C3362" s="52"/>
      <c r="D3362" s="55">
        <f t="shared" si="52"/>
        <v>0</v>
      </c>
      <c r="E3362" s="63" t="str">
        <f>HYPERLINK("https://www.sds-group.ru/product/klyuch-nakidnoy-kolenchatyy-24h27mm-tsink-rexant-12-5864-2/", "Инфо")</f>
        <v>Инфо</v>
      </c>
      <c r="F3362" s="16" t="s">
        <v>39</v>
      </c>
      <c r="G3362" s="15"/>
      <c r="H3362" s="15"/>
      <c r="I3362" s="15"/>
      <c r="J3362" s="17">
        <v>247</v>
      </c>
      <c r="K3362" s="15"/>
      <c r="L3362" s="17">
        <v>1</v>
      </c>
      <c r="M3362" s="17">
        <v>60</v>
      </c>
      <c r="N3362" s="17">
        <v>1</v>
      </c>
      <c r="O3362" s="18">
        <v>466.4</v>
      </c>
      <c r="P3362" s="18">
        <v>382.3</v>
      </c>
      <c r="Q3362" s="18">
        <v>373.12</v>
      </c>
      <c r="R3362" s="18">
        <v>305.83999999999997</v>
      </c>
      <c r="S3362" s="18">
        <v>317.14999999999998</v>
      </c>
      <c r="T3362" s="18">
        <v>259.95999999999998</v>
      </c>
      <c r="U3362" s="16"/>
      <c r="V3362" s="16"/>
      <c r="W3362" s="16" t="s">
        <v>40</v>
      </c>
      <c r="X3362" s="19">
        <v>0.39500000000000002</v>
      </c>
      <c r="Y3362" s="20">
        <v>4.6200000000000001E-4</v>
      </c>
      <c r="Z3362" s="21">
        <v>4601004146211</v>
      </c>
    </row>
    <row r="3363" spans="1:26" ht="12" customHeight="1" outlineLevel="4" x14ac:dyDescent="0.2">
      <c r="A3363" s="32" t="s">
        <v>6564</v>
      </c>
      <c r="B3363" s="74" t="s">
        <v>6565</v>
      </c>
      <c r="C3363" s="50"/>
      <c r="D3363" s="53">
        <f t="shared" si="52"/>
        <v>0</v>
      </c>
      <c r="E3363" s="60" t="str">
        <f>HYPERLINK("https://www.sds-group.ru/product/klyuch-nakidnoy-kolenchatyy-27h32mm-tsink-rexant-12-5865-2/", "Инфо")</f>
        <v>Инфо</v>
      </c>
      <c r="F3363" s="34" t="s">
        <v>39</v>
      </c>
      <c r="G3363" s="33"/>
      <c r="H3363" s="33" t="s">
        <v>40</v>
      </c>
      <c r="I3363" s="33"/>
      <c r="J3363" s="35">
        <v>2</v>
      </c>
      <c r="K3363" s="33"/>
      <c r="L3363" s="35">
        <v>1</v>
      </c>
      <c r="M3363" s="35">
        <v>40</v>
      </c>
      <c r="N3363" s="35">
        <v>1</v>
      </c>
      <c r="O3363" s="36">
        <v>583</v>
      </c>
      <c r="P3363" s="36">
        <v>477.87</v>
      </c>
      <c r="Q3363" s="36">
        <v>408.1</v>
      </c>
      <c r="R3363" s="36">
        <v>334.51</v>
      </c>
      <c r="S3363" s="36">
        <v>396.44</v>
      </c>
      <c r="T3363" s="36">
        <v>324.95</v>
      </c>
      <c r="U3363" s="34"/>
      <c r="V3363" s="34"/>
      <c r="W3363" s="34"/>
      <c r="X3363" s="37">
        <v>0.46800000000000003</v>
      </c>
      <c r="Y3363" s="38">
        <v>8.6899999999999998E-4</v>
      </c>
      <c r="Z3363" s="21">
        <v>4601004146228</v>
      </c>
    </row>
    <row r="3364" spans="1:26" ht="12" customHeight="1" outlineLevel="4" x14ac:dyDescent="0.2">
      <c r="A3364" s="14" t="s">
        <v>6566</v>
      </c>
      <c r="B3364" s="26" t="s">
        <v>6567</v>
      </c>
      <c r="C3364" s="52"/>
      <c r="D3364" s="55">
        <f t="shared" si="52"/>
        <v>0</v>
      </c>
      <c r="E3364" s="63" t="str">
        <f>HYPERLINK("https://www.sds-group.ru/product/klyuch-nakidnoy-kolenchatyy-30h32mm-tsink-rexant-12-5866-2/", "Инфо")</f>
        <v>Инфо</v>
      </c>
      <c r="F3364" s="16" t="s">
        <v>39</v>
      </c>
      <c r="G3364" s="15"/>
      <c r="H3364" s="15"/>
      <c r="I3364" s="15"/>
      <c r="J3364" s="17">
        <v>157</v>
      </c>
      <c r="K3364" s="15" t="s">
        <v>6559</v>
      </c>
      <c r="L3364" s="17">
        <v>1</v>
      </c>
      <c r="M3364" s="17">
        <v>40</v>
      </c>
      <c r="N3364" s="17">
        <v>1</v>
      </c>
      <c r="O3364" s="18">
        <v>710.2</v>
      </c>
      <c r="P3364" s="18">
        <v>582.13</v>
      </c>
      <c r="Q3364" s="18">
        <v>568.16</v>
      </c>
      <c r="R3364" s="18">
        <v>465.7</v>
      </c>
      <c r="S3364" s="18">
        <v>482.94</v>
      </c>
      <c r="T3364" s="18">
        <v>395.85</v>
      </c>
      <c r="U3364" s="16"/>
      <c r="V3364" s="16"/>
      <c r="W3364" s="16" t="s">
        <v>40</v>
      </c>
      <c r="X3364" s="19">
        <v>0.55900000000000005</v>
      </c>
      <c r="Y3364" s="20">
        <v>7.7099999999999998E-4</v>
      </c>
      <c r="Z3364" s="21">
        <v>4601004146235</v>
      </c>
    </row>
    <row r="3365" spans="1:26" ht="12" customHeight="1" outlineLevel="4" x14ac:dyDescent="0.2">
      <c r="A3365" s="32" t="s">
        <v>6568</v>
      </c>
      <c r="B3365" s="74" t="s">
        <v>6569</v>
      </c>
      <c r="C3365" s="50"/>
      <c r="D3365" s="53">
        <f t="shared" si="52"/>
        <v>0</v>
      </c>
      <c r="E3365" s="60" t="str">
        <f>HYPERLINK("https://www.sds-group.ru/product/klyuch-nakidnoy-kolenchatyy-8h10mm-tsink-rexant-12-5853-2/", "Инфо")</f>
        <v>Инфо</v>
      </c>
      <c r="F3365" s="34" t="s">
        <v>39</v>
      </c>
      <c r="G3365" s="33"/>
      <c r="H3365" s="33" t="s">
        <v>40</v>
      </c>
      <c r="I3365" s="33"/>
      <c r="J3365" s="39">
        <v>1495</v>
      </c>
      <c r="K3365" s="33"/>
      <c r="L3365" s="35">
        <v>1</v>
      </c>
      <c r="M3365" s="35">
        <v>100</v>
      </c>
      <c r="N3365" s="35">
        <v>1</v>
      </c>
      <c r="O3365" s="36">
        <v>121.5</v>
      </c>
      <c r="P3365" s="36">
        <v>99.59</v>
      </c>
      <c r="Q3365" s="36">
        <v>85.05</v>
      </c>
      <c r="R3365" s="36">
        <v>69.709999999999994</v>
      </c>
      <c r="S3365" s="36">
        <v>82.62</v>
      </c>
      <c r="T3365" s="36">
        <v>67.72</v>
      </c>
      <c r="U3365" s="34"/>
      <c r="V3365" s="34"/>
      <c r="W3365" s="34"/>
      <c r="X3365" s="37">
        <v>7.8E-2</v>
      </c>
      <c r="Y3365" s="38">
        <v>1.5100000000000001E-4</v>
      </c>
      <c r="Z3365" s="21">
        <v>4601004146112</v>
      </c>
    </row>
    <row r="3366" spans="1:26" ht="12.95" customHeight="1" outlineLevel="3" x14ac:dyDescent="0.2">
      <c r="A3366" s="76" t="s">
        <v>6570</v>
      </c>
      <c r="B3366" s="76"/>
      <c r="C3366" s="77"/>
      <c r="D3366" s="58"/>
      <c r="E3366" s="68"/>
      <c r="F3366" s="13"/>
      <c r="G3366" s="13"/>
      <c r="H3366" s="13"/>
      <c r="I3366" s="13"/>
      <c r="J3366" s="13"/>
      <c r="K3366" s="13"/>
      <c r="L3366" s="13"/>
      <c r="M3366" s="13"/>
      <c r="N3366" s="13"/>
      <c r="O3366" s="13"/>
      <c r="P3366" s="13"/>
      <c r="Q3366" s="13"/>
      <c r="R3366" s="13"/>
      <c r="S3366" s="13"/>
      <c r="T3366" s="13"/>
      <c r="U3366" s="13"/>
      <c r="V3366" s="13"/>
      <c r="W3366" s="13"/>
      <c r="X3366" s="13"/>
      <c r="Y3366" s="13"/>
      <c r="Z3366" s="13"/>
    </row>
    <row r="3367" spans="1:26" ht="12" customHeight="1" outlineLevel="4" x14ac:dyDescent="0.2">
      <c r="A3367" s="14" t="s">
        <v>6571</v>
      </c>
      <c r="B3367" s="26" t="s">
        <v>6572</v>
      </c>
      <c r="C3367" s="52"/>
      <c r="D3367" s="55">
        <f t="shared" si="52"/>
        <v>0</v>
      </c>
      <c r="E3367" s="63" t="str">
        <f>HYPERLINK("https://www.sds-group.ru/product/nabor-klyuchey-kombinirovannyh-6-14-17-19-22mm-12-sht-hromovanadievaya-stal-crv-zerkalnoe-hr-12-5842/", "Инфо")</f>
        <v>Инфо</v>
      </c>
      <c r="F3367" s="16" t="s">
        <v>39</v>
      </c>
      <c r="G3367" s="15"/>
      <c r="H3367" s="15"/>
      <c r="I3367" s="15"/>
      <c r="J3367" s="17">
        <v>588</v>
      </c>
      <c r="K3367" s="15" t="s">
        <v>4020</v>
      </c>
      <c r="L3367" s="17">
        <v>1</v>
      </c>
      <c r="M3367" s="17">
        <v>20</v>
      </c>
      <c r="N3367" s="17">
        <v>1</v>
      </c>
      <c r="O3367" s="18">
        <v>1404.5</v>
      </c>
      <c r="P3367" s="18">
        <v>1151.23</v>
      </c>
      <c r="Q3367" s="18">
        <v>1109.56</v>
      </c>
      <c r="R3367" s="18">
        <v>909.48</v>
      </c>
      <c r="S3367" s="18">
        <v>955.06</v>
      </c>
      <c r="T3367" s="18">
        <v>782.84</v>
      </c>
      <c r="U3367" s="16"/>
      <c r="V3367" s="16"/>
      <c r="W3367" s="16" t="s">
        <v>40</v>
      </c>
      <c r="X3367" s="19">
        <v>1.0609999999999999</v>
      </c>
      <c r="Y3367" s="20">
        <v>1.779E-3</v>
      </c>
      <c r="Z3367" s="21">
        <v>4601004094369</v>
      </c>
    </row>
    <row r="3368" spans="1:26" ht="12" customHeight="1" outlineLevel="4" x14ac:dyDescent="0.2">
      <c r="A3368" s="14" t="s">
        <v>6573</v>
      </c>
      <c r="B3368" s="26" t="s">
        <v>6574</v>
      </c>
      <c r="C3368" s="52"/>
      <c r="D3368" s="55">
        <f t="shared" si="52"/>
        <v>0</v>
      </c>
      <c r="E3368" s="63" t="str">
        <f>HYPERLINK("https://www.sds-group.ru/product/nabor-klyuchey-kombinirovannyh-8-11-13-14-17-19mm-8-sht-zheltyy-tsink-rexant-12-5842-2/", "Инфо")</f>
        <v>Инфо</v>
      </c>
      <c r="F3368" s="16" t="s">
        <v>39</v>
      </c>
      <c r="G3368" s="15"/>
      <c r="H3368" s="15"/>
      <c r="I3368" s="15"/>
      <c r="J3368" s="22">
        <v>1411</v>
      </c>
      <c r="K3368" s="15" t="s">
        <v>6559</v>
      </c>
      <c r="L3368" s="17">
        <v>1</v>
      </c>
      <c r="M3368" s="17">
        <v>40</v>
      </c>
      <c r="N3368" s="17">
        <v>1</v>
      </c>
      <c r="O3368" s="18">
        <v>840.86</v>
      </c>
      <c r="P3368" s="18">
        <v>689.23</v>
      </c>
      <c r="Q3368" s="18">
        <v>672.69</v>
      </c>
      <c r="R3368" s="18">
        <v>551.39</v>
      </c>
      <c r="S3368" s="18">
        <v>571.78</v>
      </c>
      <c r="T3368" s="18">
        <v>468.67</v>
      </c>
      <c r="U3368" s="16"/>
      <c r="V3368" s="16"/>
      <c r="W3368" s="16" t="s">
        <v>40</v>
      </c>
      <c r="X3368" s="19">
        <v>0.67600000000000005</v>
      </c>
      <c r="Y3368" s="20">
        <v>1.1789999999999999E-3</v>
      </c>
      <c r="Z3368" s="21">
        <v>4601004145634</v>
      </c>
    </row>
    <row r="3369" spans="1:26" ht="12" customHeight="1" outlineLevel="4" x14ac:dyDescent="0.2">
      <c r="A3369" s="14" t="s">
        <v>6575</v>
      </c>
      <c r="B3369" s="26" t="s">
        <v>6576</v>
      </c>
      <c r="C3369" s="52"/>
      <c r="D3369" s="55">
        <f t="shared" si="52"/>
        <v>0</v>
      </c>
      <c r="E3369" s="63" t="str">
        <f>HYPERLINK("https://www.sds-group.ru/product/nabor-klyuchey-kombinirovannyh-8-19mm-8-sht-hromovanadievaya-stal-crv-zerkalnoe-hromirovanie-12-5841/", "Инфо")</f>
        <v>Инфо</v>
      </c>
      <c r="F3369" s="16" t="s">
        <v>39</v>
      </c>
      <c r="G3369" s="15"/>
      <c r="H3369" s="15"/>
      <c r="I3369" s="15"/>
      <c r="J3369" s="17">
        <v>345</v>
      </c>
      <c r="K3369" s="15" t="s">
        <v>6181</v>
      </c>
      <c r="L3369" s="17">
        <v>1</v>
      </c>
      <c r="M3369" s="17">
        <v>40</v>
      </c>
      <c r="N3369" s="17">
        <v>1</v>
      </c>
      <c r="O3369" s="18">
        <v>970.22</v>
      </c>
      <c r="P3369" s="18">
        <v>795.26</v>
      </c>
      <c r="Q3369" s="18">
        <v>766.47</v>
      </c>
      <c r="R3369" s="18">
        <v>628.25</v>
      </c>
      <c r="S3369" s="18">
        <v>659.75</v>
      </c>
      <c r="T3369" s="18">
        <v>540.78</v>
      </c>
      <c r="U3369" s="16"/>
      <c r="V3369" s="16"/>
      <c r="W3369" s="16" t="s">
        <v>40</v>
      </c>
      <c r="X3369" s="19">
        <v>0.70299999999999996</v>
      </c>
      <c r="Y3369" s="20">
        <v>1.139E-3</v>
      </c>
      <c r="Z3369" s="21">
        <v>4601004094352</v>
      </c>
    </row>
    <row r="3370" spans="1:26" ht="12" customHeight="1" outlineLevel="4" x14ac:dyDescent="0.2">
      <c r="A3370" s="14" t="s">
        <v>6577</v>
      </c>
      <c r="B3370" s="26" t="s">
        <v>6578</v>
      </c>
      <c r="C3370" s="52"/>
      <c r="D3370" s="55">
        <f t="shared" si="52"/>
        <v>0</v>
      </c>
      <c r="E3370" s="63" t="str">
        <f>HYPERLINK("https://www.sds-group.ru/product/nabor-klyuchey-kombinirovannyh-8-10-12-13-14-17mm-6-sht-zheltyy-tsink-rexant-12-5841-2/", "Инфо")</f>
        <v>Инфо</v>
      </c>
      <c r="F3370" s="16" t="s">
        <v>39</v>
      </c>
      <c r="G3370" s="15"/>
      <c r="H3370" s="15"/>
      <c r="I3370" s="15"/>
      <c r="J3370" s="22">
        <v>2074</v>
      </c>
      <c r="K3370" s="15"/>
      <c r="L3370" s="17">
        <v>1</v>
      </c>
      <c r="M3370" s="17">
        <v>60</v>
      </c>
      <c r="N3370" s="17">
        <v>1</v>
      </c>
      <c r="O3370" s="18">
        <v>517.45000000000005</v>
      </c>
      <c r="P3370" s="18">
        <v>424.14</v>
      </c>
      <c r="Q3370" s="18">
        <v>413.96</v>
      </c>
      <c r="R3370" s="18">
        <v>339.31</v>
      </c>
      <c r="S3370" s="18">
        <v>351.87</v>
      </c>
      <c r="T3370" s="18">
        <v>288.42</v>
      </c>
      <c r="U3370" s="16"/>
      <c r="V3370" s="16"/>
      <c r="W3370" s="16" t="s">
        <v>40</v>
      </c>
      <c r="X3370" s="19">
        <v>0.45200000000000001</v>
      </c>
      <c r="Y3370" s="20">
        <v>6.9399999999999996E-4</v>
      </c>
      <c r="Z3370" s="21">
        <v>4601004145627</v>
      </c>
    </row>
    <row r="3371" spans="1:26" ht="12" customHeight="1" outlineLevel="4" x14ac:dyDescent="0.2">
      <c r="A3371" s="14" t="s">
        <v>6579</v>
      </c>
      <c r="B3371" s="26" t="s">
        <v>6580</v>
      </c>
      <c r="C3371" s="52"/>
      <c r="D3371" s="55">
        <f t="shared" si="52"/>
        <v>0</v>
      </c>
      <c r="E3371" s="63" t="str">
        <f>HYPERLINK("https://www.sds-group.ru/product/nabor-klyuchey-kombinirovannyh-6h32mm-26-sht-hromovanadievaya-stal-crv-polirovannyy-hrom-rex-12-5848/", "Инфо")</f>
        <v>Инфо</v>
      </c>
      <c r="F3371" s="16" t="s">
        <v>39</v>
      </c>
      <c r="G3371" s="15"/>
      <c r="H3371" s="15"/>
      <c r="I3371" s="15"/>
      <c r="J3371" s="16" t="s">
        <v>100</v>
      </c>
      <c r="K3371" s="15" t="s">
        <v>6556</v>
      </c>
      <c r="L3371" s="17">
        <v>1</v>
      </c>
      <c r="M3371" s="17">
        <v>4</v>
      </c>
      <c r="N3371" s="17">
        <v>1</v>
      </c>
      <c r="O3371" s="18">
        <v>5830</v>
      </c>
      <c r="P3371" s="18">
        <v>4778.6899999999996</v>
      </c>
      <c r="Q3371" s="18">
        <v>4255.8999999999996</v>
      </c>
      <c r="R3371" s="18">
        <v>3488.44</v>
      </c>
      <c r="S3371" s="18">
        <v>3964.4</v>
      </c>
      <c r="T3371" s="18">
        <v>3249.51</v>
      </c>
      <c r="U3371" s="16"/>
      <c r="V3371" s="16"/>
      <c r="W3371" s="16" t="s">
        <v>40</v>
      </c>
      <c r="X3371" s="19">
        <v>5.1529999999999996</v>
      </c>
      <c r="Y3371" s="20">
        <v>5.1450000000000003E-3</v>
      </c>
      <c r="Z3371" s="21">
        <v>4601004183797</v>
      </c>
    </row>
    <row r="3372" spans="1:26" ht="12" customHeight="1" outlineLevel="4" x14ac:dyDescent="0.2">
      <c r="A3372" s="14" t="s">
        <v>6581</v>
      </c>
      <c r="B3372" s="26" t="s">
        <v>6582</v>
      </c>
      <c r="C3372" s="52"/>
      <c r="D3372" s="55">
        <f t="shared" si="52"/>
        <v>0</v>
      </c>
      <c r="E3372" s="63" t="str">
        <f>HYPERLINK("https://www.sds-group.ru/product/nabor-klyuchey-kombinirovannyh-treschotochnyh-8-10-13-17-19mm-5-sht-hromovanadievaya-stal--12-4841-1/", "Инфо")</f>
        <v>Инфо</v>
      </c>
      <c r="F3372" s="16" t="s">
        <v>39</v>
      </c>
      <c r="G3372" s="15"/>
      <c r="H3372" s="15"/>
      <c r="I3372" s="15"/>
      <c r="J3372" s="16" t="s">
        <v>100</v>
      </c>
      <c r="K3372" s="15"/>
      <c r="L3372" s="17">
        <v>1</v>
      </c>
      <c r="M3372" s="17">
        <v>20</v>
      </c>
      <c r="N3372" s="17">
        <v>1</v>
      </c>
      <c r="O3372" s="18">
        <v>2332</v>
      </c>
      <c r="P3372" s="18">
        <v>1911.48</v>
      </c>
      <c r="Q3372" s="18">
        <v>1795.64</v>
      </c>
      <c r="R3372" s="18">
        <v>1471.84</v>
      </c>
      <c r="S3372" s="18">
        <v>1585.76</v>
      </c>
      <c r="T3372" s="18">
        <v>1299.8</v>
      </c>
      <c r="U3372" s="16"/>
      <c r="V3372" s="16"/>
      <c r="W3372" s="16" t="s">
        <v>40</v>
      </c>
      <c r="X3372" s="19">
        <v>0.82099999999999995</v>
      </c>
      <c r="Y3372" s="20">
        <v>5.2800000000000004E-4</v>
      </c>
      <c r="Z3372" s="21">
        <v>4601004146105</v>
      </c>
    </row>
    <row r="3373" spans="1:26" ht="12" customHeight="1" outlineLevel="4" x14ac:dyDescent="0.2">
      <c r="A3373" s="14" t="s">
        <v>6583</v>
      </c>
      <c r="B3373" s="26" t="s">
        <v>6584</v>
      </c>
      <c r="C3373" s="52"/>
      <c r="D3373" s="55">
        <f t="shared" si="52"/>
        <v>0</v>
      </c>
      <c r="E3373" s="63" t="str">
        <f>HYPERLINK("https://www.sds-group.ru/product/nabor-klyuchey-rozhkovyh-6-32mm-12-sht-hromovanadievaya-stal-crv-zerkalnoe-hromirovanie-rexa-12-5845/", "Инфо")</f>
        <v>Инфо</v>
      </c>
      <c r="F3373" s="16" t="s">
        <v>39</v>
      </c>
      <c r="G3373" s="15"/>
      <c r="H3373" s="15"/>
      <c r="I3373" s="15"/>
      <c r="J3373" s="17">
        <v>121</v>
      </c>
      <c r="K3373" s="15"/>
      <c r="L3373" s="17">
        <v>1</v>
      </c>
      <c r="M3373" s="17">
        <v>8</v>
      </c>
      <c r="N3373" s="17">
        <v>1</v>
      </c>
      <c r="O3373" s="18">
        <v>2650</v>
      </c>
      <c r="P3373" s="18">
        <v>2172.13</v>
      </c>
      <c r="Q3373" s="18">
        <v>1934.5</v>
      </c>
      <c r="R3373" s="18">
        <v>1585.66</v>
      </c>
      <c r="S3373" s="18">
        <v>1802</v>
      </c>
      <c r="T3373" s="18">
        <v>1477.05</v>
      </c>
      <c r="U3373" s="16"/>
      <c r="V3373" s="16"/>
      <c r="W3373" s="16" t="s">
        <v>40</v>
      </c>
      <c r="X3373" s="19">
        <v>2.6280000000000001</v>
      </c>
      <c r="Y3373" s="20">
        <v>2.4329999999999998E-3</v>
      </c>
      <c r="Z3373" s="21">
        <v>4601004094543</v>
      </c>
    </row>
    <row r="3374" spans="1:26" ht="12" customHeight="1" outlineLevel="4" x14ac:dyDescent="0.2">
      <c r="A3374" s="14" t="s">
        <v>6585</v>
      </c>
      <c r="B3374" s="26" t="s">
        <v>6586</v>
      </c>
      <c r="C3374" s="52"/>
      <c r="D3374" s="55">
        <f t="shared" si="52"/>
        <v>0</v>
      </c>
      <c r="E3374" s="63" t="str">
        <f>HYPERLINK("https://www.sds-group.ru/product/nabor-klyuchey-rozhkovyh-6h7-16h17mm-6-sht-zheltyy-tsink-rexant-12-5843-2/", "Инфо")</f>
        <v>Инфо</v>
      </c>
      <c r="F3374" s="16" t="s">
        <v>39</v>
      </c>
      <c r="G3374" s="15"/>
      <c r="H3374" s="15"/>
      <c r="I3374" s="15"/>
      <c r="J3374" s="22">
        <v>1911</v>
      </c>
      <c r="K3374" s="15" t="s">
        <v>6181</v>
      </c>
      <c r="L3374" s="17">
        <v>1</v>
      </c>
      <c r="M3374" s="17">
        <v>60</v>
      </c>
      <c r="N3374" s="17">
        <v>1</v>
      </c>
      <c r="O3374" s="18">
        <v>519.4</v>
      </c>
      <c r="P3374" s="18">
        <v>425.74</v>
      </c>
      <c r="Q3374" s="18">
        <v>363.58</v>
      </c>
      <c r="R3374" s="18">
        <v>298.02</v>
      </c>
      <c r="S3374" s="18">
        <v>353.19</v>
      </c>
      <c r="T3374" s="18">
        <v>289.5</v>
      </c>
      <c r="U3374" s="16"/>
      <c r="V3374" s="16"/>
      <c r="W3374" s="16"/>
      <c r="X3374" s="19">
        <v>0.35099999999999998</v>
      </c>
      <c r="Y3374" s="20">
        <v>5.3499999999999999E-4</v>
      </c>
      <c r="Z3374" s="21">
        <v>4601004145771</v>
      </c>
    </row>
    <row r="3375" spans="1:26" ht="12" customHeight="1" outlineLevel="4" x14ac:dyDescent="0.2">
      <c r="A3375" s="14" t="s">
        <v>6587</v>
      </c>
      <c r="B3375" s="26" t="s">
        <v>6588</v>
      </c>
      <c r="C3375" s="52"/>
      <c r="D3375" s="55">
        <f t="shared" si="52"/>
        <v>0</v>
      </c>
      <c r="E3375" s="63" t="str">
        <f>HYPERLINK("https://www.sds-group.ru/product/nabor-klyuchey-rozhkovyh-6h7-20h22mm-8-sht-zheltyy-tsink-rexant-12-5844-2/", "Инфо")</f>
        <v>Инфо</v>
      </c>
      <c r="F3375" s="16" t="s">
        <v>39</v>
      </c>
      <c r="G3375" s="15"/>
      <c r="H3375" s="15"/>
      <c r="I3375" s="15"/>
      <c r="J3375" s="17">
        <v>4</v>
      </c>
      <c r="K3375" s="15" t="s">
        <v>6556</v>
      </c>
      <c r="L3375" s="17">
        <v>1</v>
      </c>
      <c r="M3375" s="17">
        <v>40</v>
      </c>
      <c r="N3375" s="17">
        <v>1</v>
      </c>
      <c r="O3375" s="18">
        <v>752.6</v>
      </c>
      <c r="P3375" s="18">
        <v>616.89</v>
      </c>
      <c r="Q3375" s="18">
        <v>526.82000000000005</v>
      </c>
      <c r="R3375" s="18">
        <v>431.82</v>
      </c>
      <c r="S3375" s="18">
        <v>511.77</v>
      </c>
      <c r="T3375" s="18">
        <v>419.48</v>
      </c>
      <c r="U3375" s="16"/>
      <c r="V3375" s="16"/>
      <c r="W3375" s="16"/>
      <c r="X3375" s="19">
        <v>0.65100000000000002</v>
      </c>
      <c r="Y3375" s="20">
        <v>1.1069999999999999E-3</v>
      </c>
      <c r="Z3375" s="21">
        <v>4601004145788</v>
      </c>
    </row>
    <row r="3376" spans="1:26" ht="12" customHeight="1" outlineLevel="4" x14ac:dyDescent="0.2">
      <c r="A3376" s="14" t="s">
        <v>6589</v>
      </c>
      <c r="B3376" s="26" t="s">
        <v>6590</v>
      </c>
      <c r="C3376" s="52"/>
      <c r="D3376" s="55">
        <f t="shared" si="52"/>
        <v>0</v>
      </c>
      <c r="E3376" s="63" t="str">
        <f>HYPERLINK("https://www.sds-group.ru/product/nabor-klyuchey-rozhkovyh-6h7-30h32mm-12-sht-zheltyy-tsink-rexant-12-5845-2/", "Инфо")</f>
        <v>Инфо</v>
      </c>
      <c r="F3376" s="16" t="s">
        <v>39</v>
      </c>
      <c r="G3376" s="15"/>
      <c r="H3376" s="15"/>
      <c r="I3376" s="15"/>
      <c r="J3376" s="17">
        <v>781</v>
      </c>
      <c r="K3376" s="15" t="s">
        <v>6181</v>
      </c>
      <c r="L3376" s="17">
        <v>1</v>
      </c>
      <c r="M3376" s="17">
        <v>16</v>
      </c>
      <c r="N3376" s="17">
        <v>1</v>
      </c>
      <c r="O3376" s="18">
        <v>1795.98</v>
      </c>
      <c r="P3376" s="18">
        <v>1472.11</v>
      </c>
      <c r="Q3376" s="18">
        <v>1418.82</v>
      </c>
      <c r="R3376" s="18">
        <v>1162.97</v>
      </c>
      <c r="S3376" s="18">
        <v>1221.27</v>
      </c>
      <c r="T3376" s="18">
        <v>1001.04</v>
      </c>
      <c r="U3376" s="16"/>
      <c r="V3376" s="16"/>
      <c r="W3376" s="16" t="s">
        <v>40</v>
      </c>
      <c r="X3376" s="19">
        <v>1.6759999999999999</v>
      </c>
      <c r="Y3376" s="20">
        <v>1.841E-3</v>
      </c>
      <c r="Z3376" s="21">
        <v>4601004145795</v>
      </c>
    </row>
    <row r="3377" spans="1:26" ht="12" customHeight="1" outlineLevel="4" x14ac:dyDescent="0.2">
      <c r="A3377" s="14" t="s">
        <v>6591</v>
      </c>
      <c r="B3377" s="26" t="s">
        <v>6592</v>
      </c>
      <c r="C3377" s="52"/>
      <c r="D3377" s="55">
        <f t="shared" si="52"/>
        <v>0</v>
      </c>
      <c r="E3377" s="63" t="str">
        <f>HYPERLINK("https://www.sds-group.ru/product/nabor-klyuchey-rozhkovyh-8-19mm-6-sht-hromovanadievaya-stal-crv-zerkalnoe-hromirovanie-rexan-12-5843/", "Инфо")</f>
        <v>Инфо</v>
      </c>
      <c r="F3377" s="16" t="s">
        <v>39</v>
      </c>
      <c r="G3377" s="15"/>
      <c r="H3377" s="15"/>
      <c r="I3377" s="15"/>
      <c r="J3377" s="17">
        <v>593</v>
      </c>
      <c r="K3377" s="15"/>
      <c r="L3377" s="17">
        <v>1</v>
      </c>
      <c r="M3377" s="17">
        <v>32</v>
      </c>
      <c r="N3377" s="17">
        <v>1</v>
      </c>
      <c r="O3377" s="18">
        <v>916.32</v>
      </c>
      <c r="P3377" s="18">
        <v>751.08</v>
      </c>
      <c r="Q3377" s="18">
        <v>733.06</v>
      </c>
      <c r="R3377" s="18">
        <v>600.87</v>
      </c>
      <c r="S3377" s="18">
        <v>623.1</v>
      </c>
      <c r="T3377" s="18">
        <v>510.74</v>
      </c>
      <c r="U3377" s="16"/>
      <c r="V3377" s="16"/>
      <c r="W3377" s="16" t="s">
        <v>40</v>
      </c>
      <c r="X3377" s="19">
        <v>0.64500000000000002</v>
      </c>
      <c r="Y3377" s="20">
        <v>7.6199999999999998E-4</v>
      </c>
      <c r="Z3377" s="21">
        <v>4601004094529</v>
      </c>
    </row>
    <row r="3378" spans="1:26" ht="12" customHeight="1" outlineLevel="4" x14ac:dyDescent="0.2">
      <c r="A3378" s="14" t="s">
        <v>6593</v>
      </c>
      <c r="B3378" s="26" t="s">
        <v>6594</v>
      </c>
      <c r="C3378" s="52"/>
      <c r="D3378" s="55">
        <f t="shared" si="52"/>
        <v>0</v>
      </c>
      <c r="E3378" s="63" t="str">
        <f>HYPERLINK("https://www.sds-group.ru/product/nabor-klyuchey-rozhkovyh-8-24mm-8-sht-hromovanadievaya-stal-crv-zerkalnoe-hromirovanie-rexan-12-5844/", "Инфо")</f>
        <v>Инфо</v>
      </c>
      <c r="F3378" s="16" t="s">
        <v>39</v>
      </c>
      <c r="G3378" s="15"/>
      <c r="H3378" s="15"/>
      <c r="I3378" s="15"/>
      <c r="J3378" s="16" t="s">
        <v>100</v>
      </c>
      <c r="K3378" s="15" t="s">
        <v>6556</v>
      </c>
      <c r="L3378" s="17">
        <v>1</v>
      </c>
      <c r="M3378" s="17">
        <v>20</v>
      </c>
      <c r="N3378" s="17">
        <v>1</v>
      </c>
      <c r="O3378" s="18">
        <v>1455.33</v>
      </c>
      <c r="P3378" s="18">
        <v>1192.8900000000001</v>
      </c>
      <c r="Q3378" s="18">
        <v>1149.71</v>
      </c>
      <c r="R3378" s="18">
        <v>942.39</v>
      </c>
      <c r="S3378" s="18">
        <v>989.62</v>
      </c>
      <c r="T3378" s="18">
        <v>811.16</v>
      </c>
      <c r="U3378" s="16"/>
      <c r="V3378" s="16"/>
      <c r="W3378" s="16" t="s">
        <v>40</v>
      </c>
      <c r="X3378" s="19">
        <v>1.1379999999999999</v>
      </c>
      <c r="Y3378" s="20">
        <v>1.395E-3</v>
      </c>
      <c r="Z3378" s="21">
        <v>4601004094536</v>
      </c>
    </row>
    <row r="3379" spans="1:26" ht="12" customHeight="1" outlineLevel="4" x14ac:dyDescent="0.2">
      <c r="A3379" s="14" t="s">
        <v>6595</v>
      </c>
      <c r="B3379" s="26" t="s">
        <v>6596</v>
      </c>
      <c r="C3379" s="52"/>
      <c r="D3379" s="55">
        <f t="shared" si="52"/>
        <v>0</v>
      </c>
      <c r="E3379" s="63" t="str">
        <f>HYPERLINK("https://www.sds-group.ru/product/nabor-klyuchey-trubok-tortsevyh-6h22mm-vorotok-otsinkovannye-10-sht-rexant-12-5872-2/", "Инфо")</f>
        <v>Инфо</v>
      </c>
      <c r="F3379" s="16" t="s">
        <v>39</v>
      </c>
      <c r="G3379" s="15"/>
      <c r="H3379" s="15"/>
      <c r="I3379" s="15"/>
      <c r="J3379" s="17">
        <v>594</v>
      </c>
      <c r="K3379" s="15" t="s">
        <v>6556</v>
      </c>
      <c r="L3379" s="17">
        <v>1</v>
      </c>
      <c r="M3379" s="17">
        <v>20</v>
      </c>
      <c r="N3379" s="17">
        <v>1</v>
      </c>
      <c r="O3379" s="18">
        <v>1024.1199999999999</v>
      </c>
      <c r="P3379" s="18">
        <v>839.44</v>
      </c>
      <c r="Q3379" s="18">
        <v>716.88</v>
      </c>
      <c r="R3379" s="18">
        <v>587.61</v>
      </c>
      <c r="S3379" s="18">
        <v>696.4</v>
      </c>
      <c r="T3379" s="18">
        <v>570.82000000000005</v>
      </c>
      <c r="U3379" s="16"/>
      <c r="V3379" s="16"/>
      <c r="W3379" s="16"/>
      <c r="X3379" s="19">
        <v>1.165</v>
      </c>
      <c r="Y3379" s="20">
        <v>1.567E-3</v>
      </c>
      <c r="Z3379" s="21">
        <v>4601004183759</v>
      </c>
    </row>
    <row r="3380" spans="1:26" ht="12" customHeight="1" outlineLevel="4" x14ac:dyDescent="0.2">
      <c r="A3380" s="14" t="s">
        <v>6597</v>
      </c>
      <c r="B3380" s="26" t="s">
        <v>6598</v>
      </c>
      <c r="C3380" s="52"/>
      <c r="D3380" s="55">
        <f t="shared" si="52"/>
        <v>0</v>
      </c>
      <c r="E3380" s="63" t="str">
        <f>HYPERLINK("https://www.sds-group.ru/product/nabor-klyuchey-trubok-tortsevyh-8h17mm-vorotok-otsinkovannye-6-sht-rexant-12-5874-2/", "Инфо")</f>
        <v>Инфо</v>
      </c>
      <c r="F3380" s="16" t="s">
        <v>39</v>
      </c>
      <c r="G3380" s="15"/>
      <c r="H3380" s="15"/>
      <c r="I3380" s="15"/>
      <c r="J3380" s="17">
        <v>1</v>
      </c>
      <c r="K3380" s="15" t="s">
        <v>6556</v>
      </c>
      <c r="L3380" s="17">
        <v>1</v>
      </c>
      <c r="M3380" s="17">
        <v>40</v>
      </c>
      <c r="N3380" s="17">
        <v>1</v>
      </c>
      <c r="O3380" s="18">
        <v>646.80999999999995</v>
      </c>
      <c r="P3380" s="18">
        <v>530.16999999999996</v>
      </c>
      <c r="Q3380" s="18">
        <v>452.77</v>
      </c>
      <c r="R3380" s="18">
        <v>371.12</v>
      </c>
      <c r="S3380" s="18">
        <v>439.83</v>
      </c>
      <c r="T3380" s="18">
        <v>360.52</v>
      </c>
      <c r="U3380" s="16"/>
      <c r="V3380" s="16"/>
      <c r="W3380" s="16"/>
      <c r="X3380" s="19">
        <v>0.49</v>
      </c>
      <c r="Y3380" s="20">
        <v>5.6300000000000002E-4</v>
      </c>
      <c r="Z3380" s="21">
        <v>4601004183766</v>
      </c>
    </row>
    <row r="3381" spans="1:26" ht="12.95" customHeight="1" outlineLevel="3" x14ac:dyDescent="0.2">
      <c r="A3381" s="76" t="s">
        <v>6599</v>
      </c>
      <c r="B3381" s="76"/>
      <c r="C3381" s="77"/>
      <c r="D3381" s="58"/>
      <c r="E3381" s="68"/>
      <c r="F3381" s="13"/>
      <c r="G3381" s="13"/>
      <c r="H3381" s="13"/>
      <c r="I3381" s="13"/>
      <c r="J3381" s="13"/>
      <c r="K3381" s="13"/>
      <c r="L3381" s="13"/>
      <c r="M3381" s="13"/>
      <c r="N3381" s="13"/>
      <c r="O3381" s="13"/>
      <c r="P3381" s="13"/>
      <c r="Q3381" s="13"/>
      <c r="R3381" s="13"/>
      <c r="S3381" s="13"/>
      <c r="T3381" s="13"/>
      <c r="U3381" s="13"/>
      <c r="V3381" s="13"/>
      <c r="W3381" s="13"/>
      <c r="X3381" s="13"/>
      <c r="Y3381" s="13"/>
      <c r="Z3381" s="13"/>
    </row>
    <row r="3382" spans="1:26" ht="12" customHeight="1" outlineLevel="4" x14ac:dyDescent="0.2">
      <c r="A3382" s="14" t="s">
        <v>6600</v>
      </c>
      <c r="B3382" s="26" t="s">
        <v>6601</v>
      </c>
      <c r="C3382" s="52"/>
      <c r="D3382" s="55">
        <f t="shared" si="52"/>
        <v>0</v>
      </c>
      <c r="E3382" s="63" t="str">
        <f>HYPERLINK("https://www.sds-group.ru/product/klyuch-kombinirovannyy-treschotochnyy-10mm-hromovanadievaya-stal-crv-zerkalnyy-hrom-rexant-12-5805-1/", "Инфо")</f>
        <v>Инфо</v>
      </c>
      <c r="F3382" s="16" t="s">
        <v>39</v>
      </c>
      <c r="G3382" s="15"/>
      <c r="H3382" s="15"/>
      <c r="I3382" s="15"/>
      <c r="J3382" s="16" t="s">
        <v>100</v>
      </c>
      <c r="K3382" s="15" t="s">
        <v>6556</v>
      </c>
      <c r="L3382" s="17">
        <v>1</v>
      </c>
      <c r="M3382" s="17">
        <v>160</v>
      </c>
      <c r="N3382" s="17">
        <v>1</v>
      </c>
      <c r="O3382" s="18">
        <v>392.2</v>
      </c>
      <c r="P3382" s="18">
        <v>321.48</v>
      </c>
      <c r="Q3382" s="18">
        <v>274.54000000000002</v>
      </c>
      <c r="R3382" s="18">
        <v>225.03</v>
      </c>
      <c r="S3382" s="18">
        <v>266.7</v>
      </c>
      <c r="T3382" s="18">
        <v>218.61</v>
      </c>
      <c r="U3382" s="16"/>
      <c r="V3382" s="16"/>
      <c r="W3382" s="16"/>
      <c r="X3382" s="19">
        <v>6.8000000000000005E-2</v>
      </c>
      <c r="Y3382" s="20">
        <v>1.4100000000000001E-4</v>
      </c>
      <c r="Z3382" s="21">
        <v>4601004146006</v>
      </c>
    </row>
    <row r="3383" spans="1:26" ht="12" customHeight="1" outlineLevel="4" x14ac:dyDescent="0.2">
      <c r="A3383" s="14" t="s">
        <v>6602</v>
      </c>
      <c r="B3383" s="26" t="s">
        <v>6603</v>
      </c>
      <c r="C3383" s="52"/>
      <c r="D3383" s="55">
        <f t="shared" si="52"/>
        <v>0</v>
      </c>
      <c r="E3383" s="63" t="str">
        <f>HYPERLINK("https://www.sds-group.ru/product/klyuch-kombinirovannyy-treschotochnyy-13mm-hromovanadievaya-stal-crv-zerkalnyy-hrom-rexant-12-5808-1/", "Инфо")</f>
        <v>Инфо</v>
      </c>
      <c r="F3383" s="16" t="s">
        <v>39</v>
      </c>
      <c r="G3383" s="15"/>
      <c r="H3383" s="15"/>
      <c r="I3383" s="15"/>
      <c r="J3383" s="17">
        <v>42</v>
      </c>
      <c r="K3383" s="15" t="s">
        <v>6181</v>
      </c>
      <c r="L3383" s="17">
        <v>1</v>
      </c>
      <c r="M3383" s="17">
        <v>100</v>
      </c>
      <c r="N3383" s="17">
        <v>1</v>
      </c>
      <c r="O3383" s="18">
        <v>477</v>
      </c>
      <c r="P3383" s="18">
        <v>390.98</v>
      </c>
      <c r="Q3383" s="18">
        <v>381.6</v>
      </c>
      <c r="R3383" s="18">
        <v>312.79000000000002</v>
      </c>
      <c r="S3383" s="18">
        <v>324.36</v>
      </c>
      <c r="T3383" s="18">
        <v>265.87</v>
      </c>
      <c r="U3383" s="16"/>
      <c r="V3383" s="16"/>
      <c r="W3383" s="16" t="s">
        <v>40</v>
      </c>
      <c r="X3383" s="19">
        <v>0.111</v>
      </c>
      <c r="Y3383" s="20">
        <v>1.1E-4</v>
      </c>
      <c r="Z3383" s="21">
        <v>4601004146037</v>
      </c>
    </row>
    <row r="3384" spans="1:26" ht="12" customHeight="1" outlineLevel="4" x14ac:dyDescent="0.2">
      <c r="A3384" s="32" t="s">
        <v>6604</v>
      </c>
      <c r="B3384" s="74" t="s">
        <v>6605</v>
      </c>
      <c r="C3384" s="50"/>
      <c r="D3384" s="53">
        <f t="shared" si="52"/>
        <v>0</v>
      </c>
      <c r="E3384" s="60" t="str">
        <f>HYPERLINK("https://www.sds-group.ru/product/klyuch-kombinirovannyy-treschotochnyy-16mm-hromovanadievaya-stal-crv-zerkalnyy-hrom-rexant-12-5811-1/", "Инфо")</f>
        <v>Инфо</v>
      </c>
      <c r="F3384" s="34" t="s">
        <v>39</v>
      </c>
      <c r="G3384" s="33"/>
      <c r="H3384" s="33" t="s">
        <v>40</v>
      </c>
      <c r="I3384" s="33"/>
      <c r="J3384" s="34" t="s">
        <v>100</v>
      </c>
      <c r="K3384" s="33"/>
      <c r="L3384" s="35">
        <v>1</v>
      </c>
      <c r="M3384" s="35">
        <v>100</v>
      </c>
      <c r="N3384" s="35">
        <v>1</v>
      </c>
      <c r="O3384" s="36">
        <v>450</v>
      </c>
      <c r="P3384" s="36">
        <v>368.85</v>
      </c>
      <c r="Q3384" s="36">
        <v>315</v>
      </c>
      <c r="R3384" s="36">
        <v>258.2</v>
      </c>
      <c r="S3384" s="36">
        <v>306</v>
      </c>
      <c r="T3384" s="36">
        <v>250.82</v>
      </c>
      <c r="U3384" s="34"/>
      <c r="V3384" s="34"/>
      <c r="W3384" s="34"/>
      <c r="X3384" s="37">
        <v>0.17100000000000001</v>
      </c>
      <c r="Y3384" s="38">
        <v>1.5799999999999999E-4</v>
      </c>
      <c r="Z3384" s="21">
        <v>4601004146068</v>
      </c>
    </row>
    <row r="3385" spans="1:26" ht="12" customHeight="1" outlineLevel="4" x14ac:dyDescent="0.2">
      <c r="A3385" s="14" t="s">
        <v>6606</v>
      </c>
      <c r="B3385" s="26" t="s">
        <v>6607</v>
      </c>
      <c r="C3385" s="52"/>
      <c r="D3385" s="55">
        <f t="shared" si="52"/>
        <v>0</v>
      </c>
      <c r="E3385" s="63" t="str">
        <f>HYPERLINK("https://www.sds-group.ru/product/klyuch-kombinirovannyy-treschotochnyy-17mm-hromovanadievaya-stal-crv-zerkalnyy-hrom-rexant-12-5812-1/", "Инфо")</f>
        <v>Инфо</v>
      </c>
      <c r="F3385" s="16" t="s">
        <v>39</v>
      </c>
      <c r="G3385" s="15"/>
      <c r="H3385" s="15"/>
      <c r="I3385" s="15"/>
      <c r="J3385" s="16" t="s">
        <v>100</v>
      </c>
      <c r="K3385" s="15" t="s">
        <v>6559</v>
      </c>
      <c r="L3385" s="17">
        <v>1</v>
      </c>
      <c r="M3385" s="17">
        <v>100</v>
      </c>
      <c r="N3385" s="17">
        <v>1</v>
      </c>
      <c r="O3385" s="18">
        <v>636</v>
      </c>
      <c r="P3385" s="18">
        <v>521.30999999999995</v>
      </c>
      <c r="Q3385" s="18">
        <v>508.8</v>
      </c>
      <c r="R3385" s="18">
        <v>417.05</v>
      </c>
      <c r="S3385" s="18">
        <v>432.48</v>
      </c>
      <c r="T3385" s="18">
        <v>354.49</v>
      </c>
      <c r="U3385" s="16"/>
      <c r="V3385" s="16"/>
      <c r="W3385" s="16" t="s">
        <v>40</v>
      </c>
      <c r="X3385" s="19">
        <v>0.19600000000000001</v>
      </c>
      <c r="Y3385" s="20">
        <v>1.8000000000000001E-4</v>
      </c>
      <c r="Z3385" s="21">
        <v>4601004146075</v>
      </c>
    </row>
    <row r="3386" spans="1:26" ht="12" customHeight="1" outlineLevel="4" x14ac:dyDescent="0.2">
      <c r="A3386" s="14" t="s">
        <v>6608</v>
      </c>
      <c r="B3386" s="26" t="s">
        <v>6609</v>
      </c>
      <c r="C3386" s="52"/>
      <c r="D3386" s="55">
        <f t="shared" si="52"/>
        <v>0</v>
      </c>
      <c r="E3386" s="63" t="str">
        <f>HYPERLINK("https://www.sds-group.ru/product/klyuch-kombinirovannyy-treschotochnyy-19mm-hromovanadievaya-stal-crv-zerkalnyy-hrom-rexant-12-5813-1/", "Инфо")</f>
        <v>Инфо</v>
      </c>
      <c r="F3386" s="16" t="s">
        <v>39</v>
      </c>
      <c r="G3386" s="15"/>
      <c r="H3386" s="15"/>
      <c r="I3386" s="15"/>
      <c r="J3386" s="17">
        <v>317</v>
      </c>
      <c r="K3386" s="15"/>
      <c r="L3386" s="17">
        <v>1</v>
      </c>
      <c r="M3386" s="17">
        <v>80</v>
      </c>
      <c r="N3386" s="17">
        <v>1</v>
      </c>
      <c r="O3386" s="18">
        <v>742</v>
      </c>
      <c r="P3386" s="18">
        <v>608.20000000000005</v>
      </c>
      <c r="Q3386" s="18">
        <v>593.6</v>
      </c>
      <c r="R3386" s="18">
        <v>486.56</v>
      </c>
      <c r="S3386" s="18">
        <v>504.56</v>
      </c>
      <c r="T3386" s="18">
        <v>413.57</v>
      </c>
      <c r="U3386" s="16"/>
      <c r="V3386" s="16"/>
      <c r="W3386" s="16" t="s">
        <v>40</v>
      </c>
      <c r="X3386" s="19">
        <v>0.248</v>
      </c>
      <c r="Y3386" s="20">
        <v>3.0600000000000001E-4</v>
      </c>
      <c r="Z3386" s="21">
        <v>4601004146099</v>
      </c>
    </row>
    <row r="3387" spans="1:26" ht="12" customHeight="1" outlineLevel="4" x14ac:dyDescent="0.2">
      <c r="A3387" s="32" t="s">
        <v>6610</v>
      </c>
      <c r="B3387" s="74" t="s">
        <v>6611</v>
      </c>
      <c r="C3387" s="50"/>
      <c r="D3387" s="53">
        <f t="shared" si="52"/>
        <v>0</v>
      </c>
      <c r="E3387" s="60" t="str">
        <f>HYPERLINK("https://www.sds-group.ru/product/klyuch-kombinirovannyy-treschotochnyy-9mm-hromovanadievaya-stal-crv-zerkalnyy-hrom-rexant-12-5804-1/", "Инфо")</f>
        <v>Инфо</v>
      </c>
      <c r="F3387" s="34" t="s">
        <v>39</v>
      </c>
      <c r="G3387" s="33"/>
      <c r="H3387" s="33" t="s">
        <v>40</v>
      </c>
      <c r="I3387" s="33"/>
      <c r="J3387" s="35">
        <v>268</v>
      </c>
      <c r="K3387" s="33"/>
      <c r="L3387" s="35">
        <v>1</v>
      </c>
      <c r="M3387" s="35">
        <v>200</v>
      </c>
      <c r="N3387" s="35">
        <v>1</v>
      </c>
      <c r="O3387" s="36">
        <v>162</v>
      </c>
      <c r="P3387" s="36">
        <v>132.79</v>
      </c>
      <c r="Q3387" s="36">
        <v>113.4</v>
      </c>
      <c r="R3387" s="36">
        <v>92.95</v>
      </c>
      <c r="S3387" s="36">
        <v>110.16</v>
      </c>
      <c r="T3387" s="36">
        <v>90.3</v>
      </c>
      <c r="U3387" s="34"/>
      <c r="V3387" s="34"/>
      <c r="W3387" s="34"/>
      <c r="X3387" s="37">
        <v>6.2E-2</v>
      </c>
      <c r="Y3387" s="38">
        <v>9.5000000000000005E-5</v>
      </c>
      <c r="Z3387" s="21">
        <v>4601004145993</v>
      </c>
    </row>
    <row r="3388" spans="1:26" ht="12.95" customHeight="1" outlineLevel="3" x14ac:dyDescent="0.2">
      <c r="A3388" s="76" t="s">
        <v>6612</v>
      </c>
      <c r="B3388" s="76"/>
      <c r="C3388" s="77"/>
      <c r="D3388" s="58"/>
      <c r="E3388" s="68"/>
      <c r="F3388" s="13"/>
      <c r="G3388" s="13"/>
      <c r="H3388" s="13"/>
      <c r="I3388" s="13"/>
      <c r="J3388" s="13"/>
      <c r="K3388" s="13"/>
      <c r="L3388" s="13"/>
      <c r="M3388" s="13"/>
      <c r="N3388" s="13"/>
      <c r="O3388" s="13"/>
      <c r="P3388" s="13"/>
      <c r="Q3388" s="13"/>
      <c r="R3388" s="13"/>
      <c r="S3388" s="13"/>
      <c r="T3388" s="13"/>
      <c r="U3388" s="13"/>
      <c r="V3388" s="13"/>
      <c r="W3388" s="13"/>
      <c r="X3388" s="13"/>
      <c r="Y3388" s="13"/>
      <c r="Z3388" s="13"/>
    </row>
    <row r="3389" spans="1:26" ht="12" customHeight="1" outlineLevel="4" x14ac:dyDescent="0.2">
      <c r="A3389" s="14" t="s">
        <v>6613</v>
      </c>
      <c r="B3389" s="26" t="s">
        <v>6614</v>
      </c>
      <c r="C3389" s="52"/>
      <c r="D3389" s="55">
        <f t="shared" si="52"/>
        <v>0</v>
      </c>
      <c r="E3389" s="63" t="str">
        <f>HYPERLINK("https://www.sds-group.ru/product/razvodnoy-klyuch-150mm-nikelirovannyy-dvuhkomponentnaya-rukoyatka-rexant-12-4672/", "Инфо")</f>
        <v>Инфо</v>
      </c>
      <c r="F3389" s="16" t="s">
        <v>39</v>
      </c>
      <c r="G3389" s="15"/>
      <c r="H3389" s="15"/>
      <c r="I3389" s="15"/>
      <c r="J3389" s="16" t="s">
        <v>100</v>
      </c>
      <c r="K3389" s="15" t="s">
        <v>6344</v>
      </c>
      <c r="L3389" s="17">
        <v>1</v>
      </c>
      <c r="M3389" s="17">
        <v>120</v>
      </c>
      <c r="N3389" s="17">
        <v>1</v>
      </c>
      <c r="O3389" s="18">
        <v>514.1</v>
      </c>
      <c r="P3389" s="18">
        <v>421.39</v>
      </c>
      <c r="Q3389" s="18">
        <v>411.28</v>
      </c>
      <c r="R3389" s="18">
        <v>337.11</v>
      </c>
      <c r="S3389" s="18">
        <v>349.59</v>
      </c>
      <c r="T3389" s="18">
        <v>286.55</v>
      </c>
      <c r="U3389" s="16"/>
      <c r="V3389" s="16"/>
      <c r="W3389" s="16" t="s">
        <v>40</v>
      </c>
      <c r="X3389" s="19">
        <v>0.16400000000000001</v>
      </c>
      <c r="Y3389" s="20">
        <v>3.2000000000000003E-4</v>
      </c>
      <c r="Z3389" s="21">
        <v>4601004160613</v>
      </c>
    </row>
    <row r="3390" spans="1:26" ht="12" customHeight="1" outlineLevel="4" x14ac:dyDescent="0.2">
      <c r="A3390" s="14" t="s">
        <v>6615</v>
      </c>
      <c r="B3390" s="26" t="s">
        <v>6616</v>
      </c>
      <c r="C3390" s="52"/>
      <c r="D3390" s="55">
        <f t="shared" si="52"/>
        <v>0</v>
      </c>
      <c r="E3390" s="63" t="str">
        <f>HYPERLINK("https://www.sds-group.ru/product/razvodnoy-klyuch-200mm-nikelirovannyy-dvuhkomponentnaya-rukoyatka-rexant-12-4673/", "Инфо")</f>
        <v>Инфо</v>
      </c>
      <c r="F3390" s="16" t="s">
        <v>39</v>
      </c>
      <c r="G3390" s="15"/>
      <c r="H3390" s="15"/>
      <c r="I3390" s="15"/>
      <c r="J3390" s="16" t="s">
        <v>100</v>
      </c>
      <c r="K3390" s="15" t="s">
        <v>6344</v>
      </c>
      <c r="L3390" s="17">
        <v>1</v>
      </c>
      <c r="M3390" s="17">
        <v>60</v>
      </c>
      <c r="N3390" s="17">
        <v>1</v>
      </c>
      <c r="O3390" s="18">
        <v>657.2</v>
      </c>
      <c r="P3390" s="18">
        <v>538.69000000000005</v>
      </c>
      <c r="Q3390" s="18">
        <v>525.76</v>
      </c>
      <c r="R3390" s="18">
        <v>430.95</v>
      </c>
      <c r="S3390" s="18">
        <v>446.9</v>
      </c>
      <c r="T3390" s="18">
        <v>366.31</v>
      </c>
      <c r="U3390" s="16"/>
      <c r="V3390" s="16"/>
      <c r="W3390" s="16" t="s">
        <v>40</v>
      </c>
      <c r="X3390" s="19">
        <v>0.312</v>
      </c>
      <c r="Y3390" s="20">
        <v>4.2700000000000002E-4</v>
      </c>
      <c r="Z3390" s="21">
        <v>4601004160620</v>
      </c>
    </row>
    <row r="3391" spans="1:26" ht="12" customHeight="1" outlineLevel="4" x14ac:dyDescent="0.2">
      <c r="A3391" s="14" t="s">
        <v>6617</v>
      </c>
      <c r="B3391" s="26" t="s">
        <v>6618</v>
      </c>
      <c r="C3391" s="52"/>
      <c r="D3391" s="55">
        <f t="shared" si="52"/>
        <v>0</v>
      </c>
      <c r="E3391" s="63" t="str">
        <f>HYPERLINK("https://www.sds-group.ru/product/razvodnoy-klyuch-250mm-nikelirovannyy-dvuhkomponentnaya-rukoyatka-rexant-12-4674/", "Инфо")</f>
        <v>Инфо</v>
      </c>
      <c r="F3391" s="16" t="s">
        <v>39</v>
      </c>
      <c r="G3391" s="15"/>
      <c r="H3391" s="15"/>
      <c r="I3391" s="15"/>
      <c r="J3391" s="16" t="s">
        <v>100</v>
      </c>
      <c r="K3391" s="15" t="s">
        <v>1094</v>
      </c>
      <c r="L3391" s="17">
        <v>1</v>
      </c>
      <c r="M3391" s="17">
        <v>36</v>
      </c>
      <c r="N3391" s="17">
        <v>1</v>
      </c>
      <c r="O3391" s="18">
        <v>824.69</v>
      </c>
      <c r="P3391" s="18">
        <v>675.98</v>
      </c>
      <c r="Q3391" s="18">
        <v>651.51</v>
      </c>
      <c r="R3391" s="18">
        <v>534.02</v>
      </c>
      <c r="S3391" s="18">
        <v>560.79</v>
      </c>
      <c r="T3391" s="18">
        <v>459.66</v>
      </c>
      <c r="U3391" s="16"/>
      <c r="V3391" s="16"/>
      <c r="W3391" s="16" t="s">
        <v>40</v>
      </c>
      <c r="X3391" s="19">
        <v>0.498</v>
      </c>
      <c r="Y3391" s="20">
        <v>5.4500000000000002E-4</v>
      </c>
      <c r="Z3391" s="21">
        <v>4601004160644</v>
      </c>
    </row>
    <row r="3392" spans="1:26" ht="12" customHeight="1" outlineLevel="4" x14ac:dyDescent="0.2">
      <c r="A3392" s="14" t="s">
        <v>6619</v>
      </c>
      <c r="B3392" s="26" t="s">
        <v>6620</v>
      </c>
      <c r="C3392" s="52"/>
      <c r="D3392" s="55">
        <f t="shared" si="52"/>
        <v>0</v>
      </c>
      <c r="E3392" s="63" t="str">
        <f>HYPERLINK("https://www.sds-group.ru/product/razvodnoy-klyuch-300mm-nikelirovannyy-dvuhkomponentnaya-rukoyatka-rexant-12-4675/", "Инфо")</f>
        <v>Инфо</v>
      </c>
      <c r="F3392" s="16" t="s">
        <v>39</v>
      </c>
      <c r="G3392" s="15"/>
      <c r="H3392" s="15"/>
      <c r="I3392" s="15"/>
      <c r="J3392" s="17">
        <v>11</v>
      </c>
      <c r="K3392" s="15" t="s">
        <v>6359</v>
      </c>
      <c r="L3392" s="17">
        <v>1</v>
      </c>
      <c r="M3392" s="17">
        <v>36</v>
      </c>
      <c r="N3392" s="17">
        <v>1</v>
      </c>
      <c r="O3392" s="18">
        <v>1078.02</v>
      </c>
      <c r="P3392" s="18">
        <v>883.62</v>
      </c>
      <c r="Q3392" s="18">
        <v>851.64</v>
      </c>
      <c r="R3392" s="18">
        <v>698.07</v>
      </c>
      <c r="S3392" s="18">
        <v>733.05</v>
      </c>
      <c r="T3392" s="18">
        <v>600.86</v>
      </c>
      <c r="U3392" s="16"/>
      <c r="V3392" s="16"/>
      <c r="W3392" s="16" t="s">
        <v>40</v>
      </c>
      <c r="X3392" s="19">
        <v>0.746</v>
      </c>
      <c r="Y3392" s="20">
        <v>7.8200000000000003E-4</v>
      </c>
      <c r="Z3392" s="21">
        <v>4601004160637</v>
      </c>
    </row>
    <row r="3393" spans="1:26" ht="12.95" customHeight="1" outlineLevel="3" x14ac:dyDescent="0.2">
      <c r="A3393" s="76" t="s">
        <v>6621</v>
      </c>
      <c r="B3393" s="76"/>
      <c r="C3393" s="77"/>
      <c r="D3393" s="58"/>
      <c r="E3393" s="68"/>
      <c r="F3393" s="13"/>
      <c r="G3393" s="13"/>
      <c r="H3393" s="13"/>
      <c r="I3393" s="13"/>
      <c r="J3393" s="13"/>
      <c r="K3393" s="13"/>
      <c r="L3393" s="13"/>
      <c r="M3393" s="13"/>
      <c r="N3393" s="13"/>
      <c r="O3393" s="13"/>
      <c r="P3393" s="13"/>
      <c r="Q3393" s="13"/>
      <c r="R3393" s="13"/>
      <c r="S3393" s="13"/>
      <c r="T3393" s="13"/>
      <c r="U3393" s="13"/>
      <c r="V3393" s="13"/>
      <c r="W3393" s="13"/>
      <c r="X3393" s="13"/>
      <c r="Y3393" s="13"/>
      <c r="Z3393" s="13"/>
    </row>
    <row r="3394" spans="1:26" ht="12" customHeight="1" outlineLevel="4" x14ac:dyDescent="0.2">
      <c r="A3394" s="14" t="s">
        <v>6622</v>
      </c>
      <c r="B3394" s="26" t="s">
        <v>6623</v>
      </c>
      <c r="C3394" s="52"/>
      <c r="D3394" s="55">
        <f t="shared" si="52"/>
        <v>0</v>
      </c>
      <c r="E3394" s="63" t="str">
        <f>HYPERLINK("https://www.sds-group.ru/product/klyuch-krest-ballonnyy-17h19h21mm-pod-kvadrat-1-2-usilennyy-tolschina-16mm-rexant-12-5881/", "Инфо")</f>
        <v>Инфо</v>
      </c>
      <c r="F3394" s="16" t="s">
        <v>39</v>
      </c>
      <c r="G3394" s="15"/>
      <c r="H3394" s="15"/>
      <c r="I3394" s="15"/>
      <c r="J3394" s="16" t="s">
        <v>100</v>
      </c>
      <c r="K3394" s="15"/>
      <c r="L3394" s="17">
        <v>1</v>
      </c>
      <c r="M3394" s="17">
        <v>15</v>
      </c>
      <c r="N3394" s="17">
        <v>1</v>
      </c>
      <c r="O3394" s="18">
        <v>710.2</v>
      </c>
      <c r="P3394" s="18">
        <v>582.13</v>
      </c>
      <c r="Q3394" s="18">
        <v>639.17999999999995</v>
      </c>
      <c r="R3394" s="18">
        <v>523.91999999999996</v>
      </c>
      <c r="S3394" s="18">
        <v>482.94</v>
      </c>
      <c r="T3394" s="18">
        <v>395.85</v>
      </c>
      <c r="U3394" s="16"/>
      <c r="V3394" s="16"/>
      <c r="W3394" s="16" t="s">
        <v>40</v>
      </c>
      <c r="X3394" s="19">
        <v>1.3160000000000001</v>
      </c>
      <c r="Y3394" s="20">
        <v>2.4620000000000002E-3</v>
      </c>
      <c r="Z3394" s="21">
        <v>4601004183773</v>
      </c>
    </row>
    <row r="3395" spans="1:26" ht="12" customHeight="1" outlineLevel="4" x14ac:dyDescent="0.2">
      <c r="A3395" s="14" t="s">
        <v>6624</v>
      </c>
      <c r="B3395" s="26" t="s">
        <v>6625</v>
      </c>
      <c r="C3395" s="52"/>
      <c r="D3395" s="55">
        <f t="shared" si="52"/>
        <v>0</v>
      </c>
      <c r="E3395" s="63" t="str">
        <f>HYPERLINK("https://www.sds-group.ru/product/klyuch-krest-ballonnyy-17h19h21h22mm-usilennyy-tolschina-16mm-rexant-12-5883/", "Инфо")</f>
        <v>Инфо</v>
      </c>
      <c r="F3395" s="16" t="s">
        <v>39</v>
      </c>
      <c r="G3395" s="15"/>
      <c r="H3395" s="15"/>
      <c r="I3395" s="15"/>
      <c r="J3395" s="16" t="s">
        <v>100</v>
      </c>
      <c r="K3395" s="15" t="s">
        <v>6181</v>
      </c>
      <c r="L3395" s="17">
        <v>1</v>
      </c>
      <c r="M3395" s="17">
        <v>15</v>
      </c>
      <c r="N3395" s="17">
        <v>1</v>
      </c>
      <c r="O3395" s="18">
        <v>805.6</v>
      </c>
      <c r="P3395" s="18">
        <v>660.33</v>
      </c>
      <c r="Q3395" s="18">
        <v>725.04</v>
      </c>
      <c r="R3395" s="18">
        <v>594.29999999999995</v>
      </c>
      <c r="S3395" s="18">
        <v>547.80999999999995</v>
      </c>
      <c r="T3395" s="18">
        <v>449.02</v>
      </c>
      <c r="U3395" s="16"/>
      <c r="V3395" s="16"/>
      <c r="W3395" s="16" t="s">
        <v>40</v>
      </c>
      <c r="X3395" s="19">
        <v>1.3129999999999999</v>
      </c>
      <c r="Y3395" s="20">
        <v>1.7830000000000001E-3</v>
      </c>
      <c r="Z3395" s="21">
        <v>4601004183780</v>
      </c>
    </row>
    <row r="3396" spans="1:26" ht="12.95" customHeight="1" outlineLevel="3" x14ac:dyDescent="0.2">
      <c r="A3396" s="76" t="s">
        <v>6626</v>
      </c>
      <c r="B3396" s="76"/>
      <c r="C3396" s="77"/>
      <c r="D3396" s="58"/>
      <c r="E3396" s="68"/>
      <c r="F3396" s="13"/>
      <c r="G3396" s="13"/>
      <c r="H3396" s="13"/>
      <c r="I3396" s="13"/>
      <c r="J3396" s="13"/>
      <c r="K3396" s="13"/>
      <c r="L3396" s="13"/>
      <c r="M3396" s="13"/>
      <c r="N3396" s="13"/>
      <c r="O3396" s="13"/>
      <c r="P3396" s="13"/>
      <c r="Q3396" s="13"/>
      <c r="R3396" s="13"/>
      <c r="S3396" s="13"/>
      <c r="T3396" s="13"/>
      <c r="U3396" s="13"/>
      <c r="V3396" s="13"/>
      <c r="W3396" s="13"/>
      <c r="X3396" s="13"/>
      <c r="Y3396" s="13"/>
      <c r="Z3396" s="13"/>
    </row>
    <row r="3397" spans="1:26" ht="12" customHeight="1" outlineLevel="4" x14ac:dyDescent="0.2">
      <c r="A3397" s="14" t="s">
        <v>6627</v>
      </c>
      <c r="B3397" s="26" t="s">
        <v>6628</v>
      </c>
      <c r="C3397" s="52"/>
      <c r="D3397" s="55">
        <f t="shared" si="52"/>
        <v>0</v>
      </c>
      <c r="E3397" s="63" t="str">
        <f>HYPERLINK("https://www.sds-group.ru/product/klyuch-trubnyy-rychazhnyy-0-litoy-250mm-kranz-KR-12-5901/", "Инфо")</f>
        <v>Инфо</v>
      </c>
      <c r="F3397" s="16" t="s">
        <v>39</v>
      </c>
      <c r="G3397" s="15"/>
      <c r="H3397" s="15"/>
      <c r="I3397" s="15"/>
      <c r="J3397" s="22">
        <v>1086</v>
      </c>
      <c r="K3397" s="15" t="s">
        <v>5369</v>
      </c>
      <c r="L3397" s="17">
        <v>1</v>
      </c>
      <c r="M3397" s="17">
        <v>36</v>
      </c>
      <c r="N3397" s="17">
        <v>1</v>
      </c>
      <c r="O3397" s="18">
        <v>752.6</v>
      </c>
      <c r="P3397" s="18">
        <v>616.89</v>
      </c>
      <c r="Q3397" s="18">
        <v>571.98</v>
      </c>
      <c r="R3397" s="18">
        <v>468.84</v>
      </c>
      <c r="S3397" s="18">
        <v>511.77</v>
      </c>
      <c r="T3397" s="18">
        <v>419.48</v>
      </c>
      <c r="U3397" s="16"/>
      <c r="V3397" s="16"/>
      <c r="W3397" s="16" t="s">
        <v>40</v>
      </c>
      <c r="X3397" s="19">
        <v>0.61599999999999999</v>
      </c>
      <c r="Y3397" s="20">
        <v>6.69E-4</v>
      </c>
      <c r="Z3397" s="21">
        <v>4601004223165</v>
      </c>
    </row>
    <row r="3398" spans="1:26" ht="12" customHeight="1" outlineLevel="4" x14ac:dyDescent="0.2">
      <c r="A3398" s="14" t="s">
        <v>6629</v>
      </c>
      <c r="B3398" s="26" t="s">
        <v>6630</v>
      </c>
      <c r="C3398" s="52"/>
      <c r="D3398" s="55">
        <f t="shared" si="52"/>
        <v>0</v>
      </c>
      <c r="E3398" s="63" t="str">
        <f>HYPERLINK("https://www.sds-group.ru/product/klyuch-trubnyy-rychazhnyy-1-litoy-300mm-kranz-KR-12-5902/", "Инфо")</f>
        <v>Инфо</v>
      </c>
      <c r="F3398" s="16" t="s">
        <v>39</v>
      </c>
      <c r="G3398" s="15"/>
      <c r="H3398" s="15"/>
      <c r="I3398" s="15"/>
      <c r="J3398" s="22">
        <v>2630</v>
      </c>
      <c r="K3398" s="15" t="s">
        <v>5369</v>
      </c>
      <c r="L3398" s="17">
        <v>1</v>
      </c>
      <c r="M3398" s="17">
        <v>36</v>
      </c>
      <c r="N3398" s="17">
        <v>1</v>
      </c>
      <c r="O3398" s="18">
        <v>816.2</v>
      </c>
      <c r="P3398" s="18">
        <v>669.02</v>
      </c>
      <c r="Q3398" s="18">
        <v>620.30999999999995</v>
      </c>
      <c r="R3398" s="18">
        <v>508.45</v>
      </c>
      <c r="S3398" s="18">
        <v>555.02</v>
      </c>
      <c r="T3398" s="18">
        <v>454.93</v>
      </c>
      <c r="U3398" s="16"/>
      <c r="V3398" s="16"/>
      <c r="W3398" s="16" t="s">
        <v>40</v>
      </c>
      <c r="X3398" s="19">
        <v>0.71799999999999997</v>
      </c>
      <c r="Y3398" s="20">
        <v>7.5100000000000004E-4</v>
      </c>
      <c r="Z3398" s="21">
        <v>4601004223134</v>
      </c>
    </row>
    <row r="3399" spans="1:26" ht="12" customHeight="1" outlineLevel="4" x14ac:dyDescent="0.2">
      <c r="A3399" s="14" t="s">
        <v>6631</v>
      </c>
      <c r="B3399" s="26" t="s">
        <v>6632</v>
      </c>
      <c r="C3399" s="52"/>
      <c r="D3399" s="55">
        <f t="shared" si="52"/>
        <v>0</v>
      </c>
      <c r="E3399" s="63" t="str">
        <f>HYPERLINK("https://www.sds-group.ru/product/klyuch-trubnyy-rychazhnyy-2-litoy-400mm-kranz-KR-12-5903/", "Инфо")</f>
        <v>Инфо</v>
      </c>
      <c r="F3399" s="16" t="s">
        <v>39</v>
      </c>
      <c r="G3399" s="15"/>
      <c r="H3399" s="15"/>
      <c r="I3399" s="15"/>
      <c r="J3399" s="22">
        <v>1648</v>
      </c>
      <c r="K3399" s="15" t="s">
        <v>6633</v>
      </c>
      <c r="L3399" s="17">
        <v>1</v>
      </c>
      <c r="M3399" s="17">
        <v>24</v>
      </c>
      <c r="N3399" s="17">
        <v>1</v>
      </c>
      <c r="O3399" s="18">
        <v>1134.2</v>
      </c>
      <c r="P3399" s="18">
        <v>929.67</v>
      </c>
      <c r="Q3399" s="18">
        <v>861.99</v>
      </c>
      <c r="R3399" s="18">
        <v>706.55</v>
      </c>
      <c r="S3399" s="18">
        <v>771.26</v>
      </c>
      <c r="T3399" s="18">
        <v>632.17999999999995</v>
      </c>
      <c r="U3399" s="16"/>
      <c r="V3399" s="16"/>
      <c r="W3399" s="16" t="s">
        <v>40</v>
      </c>
      <c r="X3399" s="19">
        <v>1.091</v>
      </c>
      <c r="Y3399" s="20">
        <v>1.2199999999999999E-3</v>
      </c>
      <c r="Z3399" s="21">
        <v>4601004223141</v>
      </c>
    </row>
    <row r="3400" spans="1:26" ht="12" customHeight="1" outlineLevel="4" x14ac:dyDescent="0.2">
      <c r="A3400" s="14" t="s">
        <v>6634</v>
      </c>
      <c r="B3400" s="26" t="s">
        <v>6635</v>
      </c>
      <c r="C3400" s="52"/>
      <c r="D3400" s="55">
        <f t="shared" si="52"/>
        <v>0</v>
      </c>
      <c r="E3400" s="63" t="str">
        <f>HYPERLINK("https://www.sds-group.ru/product/klyuch-trubnyy-rychazhnyy-3-litoy-500mm-kranz-KR-12-5904/", "Инфо")</f>
        <v>Инфо</v>
      </c>
      <c r="F3400" s="16" t="s">
        <v>39</v>
      </c>
      <c r="G3400" s="15"/>
      <c r="H3400" s="15"/>
      <c r="I3400" s="15"/>
      <c r="J3400" s="17">
        <v>94</v>
      </c>
      <c r="K3400" s="15" t="s">
        <v>5369</v>
      </c>
      <c r="L3400" s="17">
        <v>1</v>
      </c>
      <c r="M3400" s="17">
        <v>12</v>
      </c>
      <c r="N3400" s="17">
        <v>1</v>
      </c>
      <c r="O3400" s="18">
        <v>1833.8</v>
      </c>
      <c r="P3400" s="18">
        <v>1503.11</v>
      </c>
      <c r="Q3400" s="18">
        <v>1393.69</v>
      </c>
      <c r="R3400" s="18">
        <v>1142.3699999999999</v>
      </c>
      <c r="S3400" s="18">
        <v>1246.98</v>
      </c>
      <c r="T3400" s="18">
        <v>1022.11</v>
      </c>
      <c r="U3400" s="16"/>
      <c r="V3400" s="16"/>
      <c r="W3400" s="16" t="s">
        <v>40</v>
      </c>
      <c r="X3400" s="19">
        <v>1.7809999999999999</v>
      </c>
      <c r="Y3400" s="20">
        <v>2.3540000000000002E-3</v>
      </c>
      <c r="Z3400" s="21">
        <v>4601004223158</v>
      </c>
    </row>
    <row r="3401" spans="1:26" ht="12.95" customHeight="1" outlineLevel="3" x14ac:dyDescent="0.2">
      <c r="A3401" s="76" t="s">
        <v>6636</v>
      </c>
      <c r="B3401" s="76"/>
      <c r="C3401" s="77"/>
      <c r="D3401" s="58"/>
      <c r="E3401" s="68"/>
      <c r="F3401" s="13"/>
      <c r="G3401" s="13"/>
      <c r="H3401" s="13"/>
      <c r="I3401" s="13"/>
      <c r="J3401" s="13"/>
      <c r="K3401" s="13"/>
      <c r="L3401" s="13"/>
      <c r="M3401" s="13"/>
      <c r="N3401" s="13"/>
      <c r="O3401" s="13"/>
      <c r="P3401" s="13"/>
      <c r="Q3401" s="13"/>
      <c r="R3401" s="13"/>
      <c r="S3401" s="13"/>
      <c r="T3401" s="13"/>
      <c r="U3401" s="13"/>
      <c r="V3401" s="13"/>
      <c r="W3401" s="13"/>
      <c r="X3401" s="13"/>
      <c r="Y3401" s="13"/>
      <c r="Z3401" s="13"/>
    </row>
    <row r="3402" spans="1:26" ht="12" customHeight="1" outlineLevel="4" x14ac:dyDescent="0.2">
      <c r="A3402" s="14" t="s">
        <v>6637</v>
      </c>
      <c r="B3402" s="26" t="s">
        <v>6638</v>
      </c>
      <c r="C3402" s="52"/>
      <c r="D3402" s="55">
        <f t="shared" ref="D3402:D3464" si="53">C3402*(O3402-O3402*$G$3)</f>
        <v>0</v>
      </c>
      <c r="E3402" s="63" t="str">
        <f>HYPERLINK("https://www.sds-group.ru/product/nabor-klyuchey-imbusovyh-torx-t10-t50-hromovanadievaya-stal-crv-oksidirovannye-na-koltse--KR-12-5203/", "Инфо")</f>
        <v>Инфо</v>
      </c>
      <c r="F3402" s="16" t="s">
        <v>39</v>
      </c>
      <c r="G3402" s="15"/>
      <c r="H3402" s="15"/>
      <c r="I3402" s="15"/>
      <c r="J3402" s="22">
        <v>2821</v>
      </c>
      <c r="K3402" s="15" t="s">
        <v>883</v>
      </c>
      <c r="L3402" s="17">
        <v>10</v>
      </c>
      <c r="M3402" s="17">
        <v>100</v>
      </c>
      <c r="N3402" s="17">
        <v>10</v>
      </c>
      <c r="O3402" s="18">
        <v>221</v>
      </c>
      <c r="P3402" s="18">
        <v>181.15</v>
      </c>
      <c r="Q3402" s="18">
        <v>187.85</v>
      </c>
      <c r="R3402" s="18">
        <v>153.97999999999999</v>
      </c>
      <c r="S3402" s="18">
        <v>150.28</v>
      </c>
      <c r="T3402" s="18">
        <v>123.18</v>
      </c>
      <c r="U3402" s="16"/>
      <c r="V3402" s="16"/>
      <c r="W3402" s="16" t="s">
        <v>40</v>
      </c>
      <c r="X3402" s="19">
        <v>0.20799999999999999</v>
      </c>
      <c r="Y3402" s="20">
        <v>1.3999999999999999E-4</v>
      </c>
      <c r="Z3402" s="21">
        <v>4601004226814</v>
      </c>
    </row>
    <row r="3403" spans="1:26" ht="12" customHeight="1" outlineLevel="4" x14ac:dyDescent="0.2">
      <c r="A3403" s="14" t="s">
        <v>6639</v>
      </c>
      <c r="B3403" s="26" t="s">
        <v>6640</v>
      </c>
      <c r="C3403" s="52"/>
      <c r="D3403" s="55">
        <f t="shared" si="53"/>
        <v>0</v>
      </c>
      <c r="E3403" s="63" t="str">
        <f>HYPERLINK("https://www.sds-group.ru/product/nabor-klyuchey-imbusovyh-antivandalnyy-torx-tt10-tt50-zakalennye-udlinennye-nikel-9-sht-k-KR-12-5221/", "Инфо")</f>
        <v>Инфо</v>
      </c>
      <c r="F3403" s="16" t="s">
        <v>39</v>
      </c>
      <c r="G3403" s="15"/>
      <c r="H3403" s="15"/>
      <c r="I3403" s="15"/>
      <c r="J3403" s="17">
        <v>90</v>
      </c>
      <c r="K3403" s="15" t="s">
        <v>6633</v>
      </c>
      <c r="L3403" s="17">
        <v>1</v>
      </c>
      <c r="M3403" s="17">
        <v>60</v>
      </c>
      <c r="N3403" s="17">
        <v>1</v>
      </c>
      <c r="O3403" s="18">
        <v>504.52</v>
      </c>
      <c r="P3403" s="18">
        <v>413.54</v>
      </c>
      <c r="Q3403" s="18">
        <v>403.62</v>
      </c>
      <c r="R3403" s="18">
        <v>330.84</v>
      </c>
      <c r="S3403" s="18">
        <v>343.07</v>
      </c>
      <c r="T3403" s="18">
        <v>281.2</v>
      </c>
      <c r="U3403" s="16"/>
      <c r="V3403" s="16"/>
      <c r="W3403" s="16" t="s">
        <v>40</v>
      </c>
      <c r="X3403" s="19">
        <v>0.38100000000000001</v>
      </c>
      <c r="Y3403" s="20">
        <v>6.0099999999999997E-4</v>
      </c>
      <c r="Z3403" s="21">
        <v>4601004226852</v>
      </c>
    </row>
    <row r="3404" spans="1:26" ht="12" customHeight="1" outlineLevel="4" x14ac:dyDescent="0.2">
      <c r="A3404" s="14" t="s">
        <v>6641</v>
      </c>
      <c r="B3404" s="26" t="s">
        <v>6642</v>
      </c>
      <c r="C3404" s="52"/>
      <c r="D3404" s="55">
        <f t="shared" si="53"/>
        <v>0</v>
      </c>
      <c r="E3404" s="63" t="str">
        <f>HYPERLINK("https://www.sds-group.ru/product/nabor-klyuchey-imbusovyh-shestigrannyh-1-5-10-mm-hromovanadievaya-stal-crv-10-sht-oksidir-KR-12-5201/", "Инфо")</f>
        <v>Инфо</v>
      </c>
      <c r="F3404" s="16" t="s">
        <v>39</v>
      </c>
      <c r="G3404" s="15"/>
      <c r="H3404" s="15"/>
      <c r="I3404" s="15"/>
      <c r="J3404" s="17">
        <v>36</v>
      </c>
      <c r="K3404" s="15" t="s">
        <v>925</v>
      </c>
      <c r="L3404" s="17">
        <v>10</v>
      </c>
      <c r="M3404" s="17">
        <v>80</v>
      </c>
      <c r="N3404" s="17">
        <v>10</v>
      </c>
      <c r="O3404" s="18">
        <v>180.2</v>
      </c>
      <c r="P3404" s="18">
        <v>147.69999999999999</v>
      </c>
      <c r="Q3404" s="18">
        <v>153.16999999999999</v>
      </c>
      <c r="R3404" s="18">
        <v>125.55</v>
      </c>
      <c r="S3404" s="18">
        <v>122.54</v>
      </c>
      <c r="T3404" s="18">
        <v>100.44</v>
      </c>
      <c r="U3404" s="16"/>
      <c r="V3404" s="16"/>
      <c r="W3404" s="16" t="s">
        <v>40</v>
      </c>
      <c r="X3404" s="19">
        <v>0.19400000000000001</v>
      </c>
      <c r="Y3404" s="20">
        <v>2.7E-4</v>
      </c>
      <c r="Z3404" s="21">
        <v>4601004226876</v>
      </c>
    </row>
    <row r="3405" spans="1:26" ht="12" customHeight="1" outlineLevel="4" x14ac:dyDescent="0.2">
      <c r="A3405" s="14" t="s">
        <v>6643</v>
      </c>
      <c r="B3405" s="26" t="s">
        <v>6644</v>
      </c>
      <c r="C3405" s="52"/>
      <c r="D3405" s="55">
        <f t="shared" si="53"/>
        <v>0</v>
      </c>
      <c r="E3405" s="63" t="str">
        <f>HYPERLINK("https://www.sds-group.ru/product/nabor-klyuchey-imbusovyh-shestigrannyh-1-5-10-mm-hromovanadievaya-stal-crv-9-sht-kranz-KR-12-5215/", "Инфо")</f>
        <v>Инфо</v>
      </c>
      <c r="F3405" s="16" t="s">
        <v>39</v>
      </c>
      <c r="G3405" s="15"/>
      <c r="H3405" s="15"/>
      <c r="I3405" s="15"/>
      <c r="J3405" s="17">
        <v>465</v>
      </c>
      <c r="K3405" s="15" t="s">
        <v>925</v>
      </c>
      <c r="L3405" s="17">
        <v>1</v>
      </c>
      <c r="M3405" s="17">
        <v>60</v>
      </c>
      <c r="N3405" s="17">
        <v>1</v>
      </c>
      <c r="O3405" s="18">
        <v>339.58</v>
      </c>
      <c r="P3405" s="18">
        <v>278.33999999999997</v>
      </c>
      <c r="Q3405" s="18">
        <v>288.64</v>
      </c>
      <c r="R3405" s="18">
        <v>236.59</v>
      </c>
      <c r="S3405" s="18">
        <v>230.91</v>
      </c>
      <c r="T3405" s="18">
        <v>189.27</v>
      </c>
      <c r="U3405" s="16"/>
      <c r="V3405" s="16"/>
      <c r="W3405" s="16" t="s">
        <v>40</v>
      </c>
      <c r="X3405" s="19">
        <v>0.29099999999999998</v>
      </c>
      <c r="Y3405" s="20">
        <v>4.9700000000000005E-4</v>
      </c>
      <c r="Z3405" s="21">
        <v>4601004226845</v>
      </c>
    </row>
    <row r="3406" spans="1:26" ht="12" customHeight="1" outlineLevel="4" x14ac:dyDescent="0.2">
      <c r="A3406" s="14" t="s">
        <v>6645</v>
      </c>
      <c r="B3406" s="26" t="s">
        <v>6646</v>
      </c>
      <c r="C3406" s="52"/>
      <c r="D3406" s="55">
        <f t="shared" si="53"/>
        <v>0</v>
      </c>
      <c r="E3406" s="63" t="str">
        <f>HYPERLINK("https://www.sds-group.ru/product/nabor-klyuchey-imbusovyh-shestigrannyh-1-5-10-mm-hromovanadievaya-stal-crv-9-sht-udlinenn-KR-12-5211/", "Инфо")</f>
        <v>Инфо</v>
      </c>
      <c r="F3406" s="16" t="s">
        <v>39</v>
      </c>
      <c r="G3406" s="15"/>
      <c r="H3406" s="15"/>
      <c r="I3406" s="15"/>
      <c r="J3406" s="22">
        <v>1538</v>
      </c>
      <c r="K3406" s="15" t="s">
        <v>925</v>
      </c>
      <c r="L3406" s="17">
        <v>1</v>
      </c>
      <c r="M3406" s="17">
        <v>60</v>
      </c>
      <c r="N3406" s="17">
        <v>1</v>
      </c>
      <c r="O3406" s="18">
        <v>557.88</v>
      </c>
      <c r="P3406" s="18">
        <v>457.28</v>
      </c>
      <c r="Q3406" s="18">
        <v>446.3</v>
      </c>
      <c r="R3406" s="18">
        <v>365.82</v>
      </c>
      <c r="S3406" s="18">
        <v>379.36</v>
      </c>
      <c r="T3406" s="18">
        <v>310.95</v>
      </c>
      <c r="U3406" s="16"/>
      <c r="V3406" s="16"/>
      <c r="W3406" s="16" t="s">
        <v>40</v>
      </c>
      <c r="X3406" s="19">
        <v>0.37</v>
      </c>
      <c r="Y3406" s="20">
        <v>6.29E-4</v>
      </c>
      <c r="Z3406" s="21">
        <v>4601004226821</v>
      </c>
    </row>
    <row r="3407" spans="1:26" ht="12" customHeight="1" outlineLevel="4" x14ac:dyDescent="0.2">
      <c r="A3407" s="14" t="s">
        <v>6647</v>
      </c>
      <c r="B3407" s="26" t="s">
        <v>6648</v>
      </c>
      <c r="C3407" s="52"/>
      <c r="D3407" s="55">
        <f t="shared" si="53"/>
        <v>0</v>
      </c>
      <c r="E3407" s="63" t="str">
        <f>HYPERLINK("https://www.sds-group.ru/product/nabor-klyuchey-imbusovyh-shestigrannyh-2-0-12-mm-hromovanadievaya-stal-crv-9-sht-udlinenn-KR-12-5213/", "Инфо")</f>
        <v>Инфо</v>
      </c>
      <c r="F3407" s="16" t="s">
        <v>39</v>
      </c>
      <c r="G3407" s="15"/>
      <c r="H3407" s="15"/>
      <c r="I3407" s="15"/>
      <c r="J3407" s="17">
        <v>873</v>
      </c>
      <c r="K3407" s="15" t="s">
        <v>883</v>
      </c>
      <c r="L3407" s="17">
        <v>1</v>
      </c>
      <c r="M3407" s="17">
        <v>40</v>
      </c>
      <c r="N3407" s="17">
        <v>1</v>
      </c>
      <c r="O3407" s="18">
        <v>620.94000000000005</v>
      </c>
      <c r="P3407" s="18">
        <v>508.97</v>
      </c>
      <c r="Q3407" s="18">
        <v>496.75</v>
      </c>
      <c r="R3407" s="18">
        <v>407.17</v>
      </c>
      <c r="S3407" s="18">
        <v>422.24</v>
      </c>
      <c r="T3407" s="18">
        <v>346.1</v>
      </c>
      <c r="U3407" s="16"/>
      <c r="V3407" s="16"/>
      <c r="W3407" s="16" t="s">
        <v>40</v>
      </c>
      <c r="X3407" s="19">
        <v>0.622</v>
      </c>
      <c r="Y3407" s="20">
        <v>6.8499999999999995E-4</v>
      </c>
      <c r="Z3407" s="21">
        <v>4601004226838</v>
      </c>
    </row>
    <row r="3408" spans="1:26" ht="12.95" customHeight="1" outlineLevel="2" x14ac:dyDescent="0.2">
      <c r="A3408" s="76" t="s">
        <v>6649</v>
      </c>
      <c r="B3408" s="76"/>
      <c r="C3408" s="77"/>
      <c r="D3408" s="58"/>
      <c r="E3408" s="68"/>
      <c r="F3408" s="13"/>
      <c r="G3408" s="13"/>
      <c r="H3408" s="13"/>
      <c r="I3408" s="13"/>
      <c r="J3408" s="13"/>
      <c r="K3408" s="13"/>
      <c r="L3408" s="13"/>
      <c r="M3408" s="13"/>
      <c r="N3408" s="13"/>
      <c r="O3408" s="13"/>
      <c r="P3408" s="13"/>
      <c r="Q3408" s="13"/>
      <c r="R3408" s="13"/>
      <c r="S3408" s="13"/>
      <c r="T3408" s="13"/>
      <c r="U3408" s="13"/>
      <c r="V3408" s="13"/>
      <c r="W3408" s="13"/>
      <c r="X3408" s="13"/>
      <c r="Y3408" s="13"/>
      <c r="Z3408" s="13"/>
    </row>
    <row r="3409" spans="1:26" ht="12.95" customHeight="1" outlineLevel="3" x14ac:dyDescent="0.2">
      <c r="A3409" s="76" t="s">
        <v>6650</v>
      </c>
      <c r="B3409" s="76"/>
      <c r="C3409" s="77"/>
      <c r="D3409" s="58"/>
      <c r="E3409" s="68"/>
      <c r="F3409" s="13"/>
      <c r="G3409" s="13"/>
      <c r="H3409" s="13"/>
      <c r="I3409" s="13"/>
      <c r="J3409" s="13"/>
      <c r="K3409" s="13"/>
      <c r="L3409" s="13"/>
      <c r="M3409" s="13"/>
      <c r="N3409" s="13"/>
      <c r="O3409" s="13"/>
      <c r="P3409" s="13"/>
      <c r="Q3409" s="13"/>
      <c r="R3409" s="13"/>
      <c r="S3409" s="13"/>
      <c r="T3409" s="13"/>
      <c r="U3409" s="13"/>
      <c r="V3409" s="13"/>
      <c r="W3409" s="13"/>
      <c r="X3409" s="13"/>
      <c r="Y3409" s="13"/>
      <c r="Z3409" s="13"/>
    </row>
    <row r="3410" spans="1:26" ht="12" customHeight="1" outlineLevel="4" x14ac:dyDescent="0.2">
      <c r="A3410" s="14" t="s">
        <v>6651</v>
      </c>
      <c r="B3410" s="26" t="s">
        <v>6652</v>
      </c>
      <c r="C3410" s="52"/>
      <c r="D3410" s="55">
        <f t="shared" si="53"/>
        <v>0</v>
      </c>
      <c r="E3410" s="63" t="str">
        <f>HYPERLINK("https://www.sds-group.ru/product/nozh-s-segmentirovannym-lezviem-18mm-korpus-abs-plastik-obrezinennyy-rexant-12-4901/", "Инфо")</f>
        <v>Инфо</v>
      </c>
      <c r="F3410" s="16" t="s">
        <v>39</v>
      </c>
      <c r="G3410" s="15"/>
      <c r="H3410" s="15"/>
      <c r="I3410" s="15"/>
      <c r="J3410" s="17">
        <v>522</v>
      </c>
      <c r="K3410" s="15" t="s">
        <v>1580</v>
      </c>
      <c r="L3410" s="17">
        <v>12</v>
      </c>
      <c r="M3410" s="17">
        <v>144</v>
      </c>
      <c r="N3410" s="17">
        <v>12</v>
      </c>
      <c r="O3410" s="18">
        <v>232.85</v>
      </c>
      <c r="P3410" s="18">
        <v>190.86</v>
      </c>
      <c r="Q3410" s="18">
        <v>197.92</v>
      </c>
      <c r="R3410" s="18">
        <v>162.22999999999999</v>
      </c>
      <c r="S3410" s="18">
        <v>158.34</v>
      </c>
      <c r="T3410" s="18">
        <v>129.79</v>
      </c>
      <c r="U3410" s="16"/>
      <c r="V3410" s="16"/>
      <c r="W3410" s="16" t="s">
        <v>40</v>
      </c>
      <c r="X3410" s="19">
        <v>9.2999999999999999E-2</v>
      </c>
      <c r="Y3410" s="20">
        <v>4.0200000000000001E-4</v>
      </c>
      <c r="Z3410" s="21">
        <v>4601004026018</v>
      </c>
    </row>
    <row r="3411" spans="1:26" ht="12" customHeight="1" outlineLevel="4" x14ac:dyDescent="0.2">
      <c r="A3411" s="14" t="s">
        <v>6653</v>
      </c>
      <c r="B3411" s="26" t="s">
        <v>6654</v>
      </c>
      <c r="C3411" s="52"/>
      <c r="D3411" s="55">
        <f t="shared" si="53"/>
        <v>0</v>
      </c>
      <c r="E3411" s="63" t="str">
        <f>HYPERLINK("https://www.sds-group.ru/product/nozh-s-segmentirovannym-lezviem-18mm-korpus-plastik-rexant-12-4903/", "Инфо")</f>
        <v>Инфо</v>
      </c>
      <c r="F3411" s="16" t="s">
        <v>39</v>
      </c>
      <c r="G3411" s="15"/>
      <c r="H3411" s="15"/>
      <c r="I3411" s="15"/>
      <c r="J3411" s="16" t="s">
        <v>100</v>
      </c>
      <c r="K3411" s="15" t="s">
        <v>1580</v>
      </c>
      <c r="L3411" s="17">
        <v>10</v>
      </c>
      <c r="M3411" s="17">
        <v>288</v>
      </c>
      <c r="N3411" s="17">
        <v>10</v>
      </c>
      <c r="O3411" s="18">
        <v>43.12</v>
      </c>
      <c r="P3411" s="18">
        <v>35.340000000000003</v>
      </c>
      <c r="Q3411" s="18">
        <v>36.65</v>
      </c>
      <c r="R3411" s="18">
        <v>30.04</v>
      </c>
      <c r="S3411" s="18">
        <v>29.32</v>
      </c>
      <c r="T3411" s="18">
        <v>24.03</v>
      </c>
      <c r="U3411" s="16"/>
      <c r="V3411" s="16"/>
      <c r="W3411" s="16" t="s">
        <v>40</v>
      </c>
      <c r="X3411" s="19">
        <v>3.3000000000000002E-2</v>
      </c>
      <c r="Y3411" s="20">
        <v>1.18E-4</v>
      </c>
      <c r="Z3411" s="21">
        <v>4601004025912</v>
      </c>
    </row>
    <row r="3412" spans="1:26" ht="12" customHeight="1" outlineLevel="4" x14ac:dyDescent="0.2">
      <c r="A3412" s="14" t="s">
        <v>6655</v>
      </c>
      <c r="B3412" s="26" t="s">
        <v>6656</v>
      </c>
      <c r="C3412" s="52"/>
      <c r="D3412" s="55">
        <f t="shared" si="53"/>
        <v>0</v>
      </c>
      <c r="E3412" s="63" t="str">
        <f>HYPERLINK("https://www.sds-group.ru/product/nozh-s-segmentirovannym-lezviem-18mm-metallicheskiy-obrezinennyy-korpus-rexant-12-4900/", "Инфо")</f>
        <v>Инфо</v>
      </c>
      <c r="F3412" s="16" t="s">
        <v>39</v>
      </c>
      <c r="G3412" s="15"/>
      <c r="H3412" s="15"/>
      <c r="I3412" s="15"/>
      <c r="J3412" s="22">
        <v>2446</v>
      </c>
      <c r="K3412" s="15" t="s">
        <v>1580</v>
      </c>
      <c r="L3412" s="17">
        <v>1</v>
      </c>
      <c r="M3412" s="17">
        <v>144</v>
      </c>
      <c r="N3412" s="17">
        <v>1</v>
      </c>
      <c r="O3412" s="18">
        <v>329.13</v>
      </c>
      <c r="P3412" s="18">
        <v>269.77999999999997</v>
      </c>
      <c r="Q3412" s="18">
        <v>279.76</v>
      </c>
      <c r="R3412" s="18">
        <v>229.31</v>
      </c>
      <c r="S3412" s="18">
        <v>223.81</v>
      </c>
      <c r="T3412" s="18">
        <v>183.45</v>
      </c>
      <c r="U3412" s="16"/>
      <c r="V3412" s="16"/>
      <c r="W3412" s="16" t="s">
        <v>40</v>
      </c>
      <c r="X3412" s="19">
        <v>0.108</v>
      </c>
      <c r="Y3412" s="20">
        <v>3.6699999999999998E-4</v>
      </c>
      <c r="Z3412" s="21">
        <v>4601004026001</v>
      </c>
    </row>
    <row r="3413" spans="1:26" ht="12" customHeight="1" outlineLevel="4" x14ac:dyDescent="0.2">
      <c r="A3413" s="14" t="s">
        <v>6657</v>
      </c>
      <c r="B3413" s="26" t="s">
        <v>6658</v>
      </c>
      <c r="C3413" s="52"/>
      <c r="D3413" s="55">
        <f t="shared" si="53"/>
        <v>0</v>
      </c>
      <c r="E3413" s="63" t="str">
        <f>HYPERLINK("https://www.sds-group.ru/product/nozh-s-segmentirovannym-lezviem-25mm-korpus-abs-plastik-obrezinennyy-rexant-12-4919/", "Инфо")</f>
        <v>Инфо</v>
      </c>
      <c r="F3413" s="16" t="s">
        <v>39</v>
      </c>
      <c r="G3413" s="15"/>
      <c r="H3413" s="15"/>
      <c r="I3413" s="15"/>
      <c r="J3413" s="22">
        <v>1757</v>
      </c>
      <c r="K3413" s="15" t="s">
        <v>2798</v>
      </c>
      <c r="L3413" s="17">
        <v>1</v>
      </c>
      <c r="M3413" s="17">
        <v>72</v>
      </c>
      <c r="N3413" s="17">
        <v>1</v>
      </c>
      <c r="O3413" s="18">
        <v>413.4</v>
      </c>
      <c r="P3413" s="18">
        <v>338.85</v>
      </c>
      <c r="Q3413" s="18">
        <v>330.72</v>
      </c>
      <c r="R3413" s="18">
        <v>271.08</v>
      </c>
      <c r="S3413" s="18">
        <v>281.11</v>
      </c>
      <c r="T3413" s="18">
        <v>230.42</v>
      </c>
      <c r="U3413" s="16"/>
      <c r="V3413" s="16"/>
      <c r="W3413" s="16" t="s">
        <v>40</v>
      </c>
      <c r="X3413" s="19">
        <v>0.14199999999999999</v>
      </c>
      <c r="Y3413" s="20">
        <v>4.6500000000000003E-4</v>
      </c>
      <c r="Z3413" s="21">
        <v>4601004075320</v>
      </c>
    </row>
    <row r="3414" spans="1:26" ht="12" customHeight="1" outlineLevel="4" x14ac:dyDescent="0.2">
      <c r="A3414" s="14" t="s">
        <v>6659</v>
      </c>
      <c r="B3414" s="26" t="s">
        <v>6660</v>
      </c>
      <c r="C3414" s="52"/>
      <c r="D3414" s="55">
        <f t="shared" si="53"/>
        <v>0</v>
      </c>
      <c r="E3414" s="63" t="str">
        <f>HYPERLINK("https://www.sds-group.ru/product/nozh-s-segmentirovannym-lezviem-25mm-metallicheskiy-obrezinennyy-korpus-s-dopolnitelnym-zamk-12-4918/", "Инфо")</f>
        <v>Инфо</v>
      </c>
      <c r="F3414" s="16" t="s">
        <v>39</v>
      </c>
      <c r="G3414" s="15"/>
      <c r="H3414" s="15"/>
      <c r="I3414" s="15"/>
      <c r="J3414" s="17">
        <v>859</v>
      </c>
      <c r="K3414" s="15"/>
      <c r="L3414" s="17">
        <v>1</v>
      </c>
      <c r="M3414" s="17">
        <v>48</v>
      </c>
      <c r="N3414" s="17">
        <v>1</v>
      </c>
      <c r="O3414" s="18">
        <v>689</v>
      </c>
      <c r="P3414" s="18">
        <v>564.75</v>
      </c>
      <c r="Q3414" s="18">
        <v>551.20000000000005</v>
      </c>
      <c r="R3414" s="18">
        <v>451.8</v>
      </c>
      <c r="S3414" s="18">
        <v>468.52</v>
      </c>
      <c r="T3414" s="18">
        <v>384.03</v>
      </c>
      <c r="U3414" s="16"/>
      <c r="V3414" s="16"/>
      <c r="W3414" s="16" t="s">
        <v>40</v>
      </c>
      <c r="X3414" s="19">
        <v>0.22</v>
      </c>
      <c r="Y3414" s="20">
        <v>5.8500000000000002E-4</v>
      </c>
      <c r="Z3414" s="21">
        <v>4601004075306</v>
      </c>
    </row>
    <row r="3415" spans="1:26" ht="12" customHeight="1" outlineLevel="4" x14ac:dyDescent="0.2">
      <c r="A3415" s="14" t="s">
        <v>6661</v>
      </c>
      <c r="B3415" s="26" t="s">
        <v>6662</v>
      </c>
      <c r="C3415" s="52"/>
      <c r="D3415" s="55">
        <f t="shared" si="53"/>
        <v>0</v>
      </c>
      <c r="E3415" s="63" t="str">
        <f>HYPERLINK("https://www.sds-group.ru/product/nozh-s-segmentirovannym-lezviem-9mm-korpus-metallicheskiy-c-klipsoy-rexant-12-4906/", "Инфо")</f>
        <v>Инфо</v>
      </c>
      <c r="F3415" s="16" t="s">
        <v>39</v>
      </c>
      <c r="G3415" s="15"/>
      <c r="H3415" s="15"/>
      <c r="I3415" s="15"/>
      <c r="J3415" s="17">
        <v>27</v>
      </c>
      <c r="K3415" s="15" t="s">
        <v>1580</v>
      </c>
      <c r="L3415" s="17">
        <v>10</v>
      </c>
      <c r="M3415" s="17">
        <v>576</v>
      </c>
      <c r="N3415" s="17">
        <v>10</v>
      </c>
      <c r="O3415" s="18">
        <v>96.03</v>
      </c>
      <c r="P3415" s="18">
        <v>78.709999999999994</v>
      </c>
      <c r="Q3415" s="18">
        <v>81.63</v>
      </c>
      <c r="R3415" s="18">
        <v>66.91</v>
      </c>
      <c r="S3415" s="18">
        <v>65.3</v>
      </c>
      <c r="T3415" s="18">
        <v>53.52</v>
      </c>
      <c r="U3415" s="16"/>
      <c r="V3415" s="16"/>
      <c r="W3415" s="16" t="s">
        <v>40</v>
      </c>
      <c r="X3415" s="19">
        <v>1.6E-2</v>
      </c>
      <c r="Y3415" s="20">
        <v>6.0999999999999999E-5</v>
      </c>
      <c r="Z3415" s="21">
        <v>4601004025936</v>
      </c>
    </row>
    <row r="3416" spans="1:26" ht="12" customHeight="1" outlineLevel="4" x14ac:dyDescent="0.2">
      <c r="A3416" s="14" t="s">
        <v>6663</v>
      </c>
      <c r="B3416" s="26" t="s">
        <v>6664</v>
      </c>
      <c r="C3416" s="52"/>
      <c r="D3416" s="55">
        <f t="shared" si="53"/>
        <v>0</v>
      </c>
      <c r="E3416" s="63" t="str">
        <f>HYPERLINK("https://www.sds-group.ru/product/nozh-s-segmentirovannym-lezviem-9mm-korpus-plastik-c-klipsoy-rexant-12-4905/", "Инфо")</f>
        <v>Инфо</v>
      </c>
      <c r="F3416" s="16" t="s">
        <v>39</v>
      </c>
      <c r="G3416" s="15"/>
      <c r="H3416" s="15"/>
      <c r="I3416" s="15"/>
      <c r="J3416" s="17">
        <v>3</v>
      </c>
      <c r="K3416" s="15" t="s">
        <v>1580</v>
      </c>
      <c r="L3416" s="17">
        <v>24</v>
      </c>
      <c r="M3416" s="17">
        <v>576</v>
      </c>
      <c r="N3416" s="17">
        <v>24</v>
      </c>
      <c r="O3416" s="18">
        <v>32.340000000000003</v>
      </c>
      <c r="P3416" s="18">
        <v>26.51</v>
      </c>
      <c r="Q3416" s="18">
        <v>27.49</v>
      </c>
      <c r="R3416" s="18">
        <v>22.53</v>
      </c>
      <c r="S3416" s="18">
        <v>21.99</v>
      </c>
      <c r="T3416" s="18">
        <v>18.02</v>
      </c>
      <c r="U3416" s="16"/>
      <c r="V3416" s="16"/>
      <c r="W3416" s="16" t="s">
        <v>40</v>
      </c>
      <c r="X3416" s="19">
        <v>1.4E-2</v>
      </c>
      <c r="Y3416" s="20">
        <v>6.4999999999999994E-5</v>
      </c>
      <c r="Z3416" s="21">
        <v>4601004025929</v>
      </c>
    </row>
    <row r="3417" spans="1:26" ht="12" customHeight="1" outlineLevel="4" x14ac:dyDescent="0.2">
      <c r="A3417" s="14" t="s">
        <v>6665</v>
      </c>
      <c r="B3417" s="26" t="s">
        <v>6666</v>
      </c>
      <c r="C3417" s="52"/>
      <c r="D3417" s="55">
        <f t="shared" si="53"/>
        <v>0</v>
      </c>
      <c r="E3417" s="63" t="str">
        <f>HYPERLINK("https://www.sds-group.ru/product/nozh-s-trapetsievidnym-vydvizhnym-lezviem-rexant-12-4907/", "Инфо")</f>
        <v>Инфо</v>
      </c>
      <c r="F3417" s="16" t="s">
        <v>39</v>
      </c>
      <c r="G3417" s="15"/>
      <c r="H3417" s="15"/>
      <c r="I3417" s="15"/>
      <c r="J3417" s="17">
        <v>764</v>
      </c>
      <c r="K3417" s="15" t="s">
        <v>1580</v>
      </c>
      <c r="L3417" s="17">
        <v>1</v>
      </c>
      <c r="M3417" s="17">
        <v>144</v>
      </c>
      <c r="N3417" s="17">
        <v>1</v>
      </c>
      <c r="O3417" s="18">
        <v>291.5</v>
      </c>
      <c r="P3417" s="18">
        <v>238.93</v>
      </c>
      <c r="Q3417" s="18">
        <v>247.78</v>
      </c>
      <c r="R3417" s="18">
        <v>203.1</v>
      </c>
      <c r="S3417" s="18">
        <v>198.22</v>
      </c>
      <c r="T3417" s="18">
        <v>162.47999999999999</v>
      </c>
      <c r="U3417" s="16"/>
      <c r="V3417" s="16"/>
      <c r="W3417" s="16" t="s">
        <v>40</v>
      </c>
      <c r="X3417" s="19">
        <v>8.5000000000000006E-2</v>
      </c>
      <c r="Y3417" s="20">
        <v>3.0699999999999998E-4</v>
      </c>
      <c r="Z3417" s="21">
        <v>4601004025950</v>
      </c>
    </row>
    <row r="3418" spans="1:26" ht="12" customHeight="1" outlineLevel="4" x14ac:dyDescent="0.2">
      <c r="A3418" s="14" t="s">
        <v>6667</v>
      </c>
      <c r="B3418" s="26" t="s">
        <v>6668</v>
      </c>
      <c r="C3418" s="52"/>
      <c r="D3418" s="55">
        <f t="shared" si="53"/>
        <v>0</v>
      </c>
      <c r="E3418" s="63" t="str">
        <f>HYPERLINK("https://www.sds-group.ru/product/nozh-s-trapetsievidnym-vydvizhnym-lezviem-vintovoy-fiksator-lezviya-rexant-12-4908/", "Инфо")</f>
        <v>Инфо</v>
      </c>
      <c r="F3418" s="16" t="s">
        <v>39</v>
      </c>
      <c r="G3418" s="15"/>
      <c r="H3418" s="15"/>
      <c r="I3418" s="15"/>
      <c r="J3418" s="17">
        <v>957</v>
      </c>
      <c r="K3418" s="15" t="s">
        <v>1580</v>
      </c>
      <c r="L3418" s="17">
        <v>1</v>
      </c>
      <c r="M3418" s="17">
        <v>72</v>
      </c>
      <c r="N3418" s="17">
        <v>1</v>
      </c>
      <c r="O3418" s="18">
        <v>431.21</v>
      </c>
      <c r="P3418" s="18">
        <v>353.45</v>
      </c>
      <c r="Q3418" s="18">
        <v>301.85000000000002</v>
      </c>
      <c r="R3418" s="18">
        <v>247.42</v>
      </c>
      <c r="S3418" s="18">
        <v>293.22000000000003</v>
      </c>
      <c r="T3418" s="18">
        <v>240.34</v>
      </c>
      <c r="U3418" s="16"/>
      <c r="V3418" s="16"/>
      <c r="W3418" s="16"/>
      <c r="X3418" s="19">
        <v>0.17899999999999999</v>
      </c>
      <c r="Y3418" s="20">
        <v>4.73E-4</v>
      </c>
      <c r="Z3418" s="21">
        <v>4601004025967</v>
      </c>
    </row>
    <row r="3419" spans="1:26" ht="12" customHeight="1" outlineLevel="4" x14ac:dyDescent="0.2">
      <c r="A3419" s="14" t="s">
        <v>6669</v>
      </c>
      <c r="B3419" s="26" t="s">
        <v>6670</v>
      </c>
      <c r="C3419" s="52"/>
      <c r="D3419" s="55">
        <f t="shared" si="53"/>
        <v>0</v>
      </c>
      <c r="E3419" s="63" t="str">
        <f>HYPERLINK("https://www.sds-group.ru/product/segmentirovannoe-lezvie-18mm-10-sht-rexant-12-4912/", "Инфо")</f>
        <v>Инфо</v>
      </c>
      <c r="F3419" s="16" t="s">
        <v>1001</v>
      </c>
      <c r="G3419" s="15"/>
      <c r="H3419" s="15"/>
      <c r="I3419" s="15"/>
      <c r="J3419" s="22">
        <v>11388</v>
      </c>
      <c r="K3419" s="15" t="s">
        <v>1580</v>
      </c>
      <c r="L3419" s="17">
        <v>12</v>
      </c>
      <c r="M3419" s="17">
        <v>180</v>
      </c>
      <c r="N3419" s="17">
        <v>12</v>
      </c>
      <c r="O3419" s="18">
        <v>97.02</v>
      </c>
      <c r="P3419" s="18">
        <v>79.52</v>
      </c>
      <c r="Q3419" s="18">
        <v>82.47</v>
      </c>
      <c r="R3419" s="18">
        <v>67.599999999999994</v>
      </c>
      <c r="S3419" s="18">
        <v>65.97</v>
      </c>
      <c r="T3419" s="18">
        <v>54.07</v>
      </c>
      <c r="U3419" s="16"/>
      <c r="V3419" s="16"/>
      <c r="W3419" s="16" t="s">
        <v>40</v>
      </c>
      <c r="X3419" s="19">
        <v>7.6999999999999999E-2</v>
      </c>
      <c r="Y3419" s="20">
        <v>4.1999999999999998E-5</v>
      </c>
      <c r="Z3419" s="21">
        <v>4601004044135</v>
      </c>
    </row>
    <row r="3420" spans="1:26" ht="12" customHeight="1" outlineLevel="4" x14ac:dyDescent="0.2">
      <c r="A3420" s="14" t="s">
        <v>6671</v>
      </c>
      <c r="B3420" s="26" t="s">
        <v>6672</v>
      </c>
      <c r="C3420" s="52"/>
      <c r="D3420" s="55">
        <f t="shared" si="53"/>
        <v>0</v>
      </c>
      <c r="E3420" s="63" t="str">
        <f>HYPERLINK("https://www.sds-group.ru/product/segmentirovannoe-lezvie-18mm-profi-10-sht-rexant-12-4912-1/", "Инфо")</f>
        <v>Инфо</v>
      </c>
      <c r="F3420" s="16" t="s">
        <v>1001</v>
      </c>
      <c r="G3420" s="15"/>
      <c r="H3420" s="15"/>
      <c r="I3420" s="15"/>
      <c r="J3420" s="22">
        <v>1656</v>
      </c>
      <c r="K3420" s="15" t="s">
        <v>1580</v>
      </c>
      <c r="L3420" s="17">
        <v>10</v>
      </c>
      <c r="M3420" s="17">
        <v>144</v>
      </c>
      <c r="N3420" s="17">
        <v>10</v>
      </c>
      <c r="O3420" s="18">
        <v>184.34</v>
      </c>
      <c r="P3420" s="18">
        <v>151.1</v>
      </c>
      <c r="Q3420" s="18">
        <v>156.69</v>
      </c>
      <c r="R3420" s="18">
        <v>128.43</v>
      </c>
      <c r="S3420" s="18">
        <v>125.35</v>
      </c>
      <c r="T3420" s="18">
        <v>102.75</v>
      </c>
      <c r="U3420" s="16"/>
      <c r="V3420" s="16"/>
      <c r="W3420" s="16" t="s">
        <v>40</v>
      </c>
      <c r="X3420" s="19">
        <v>8.6999999999999994E-2</v>
      </c>
      <c r="Y3420" s="20">
        <v>1.22E-4</v>
      </c>
      <c r="Z3420" s="21">
        <v>4601004075603</v>
      </c>
    </row>
    <row r="3421" spans="1:26" ht="12" customHeight="1" outlineLevel="4" x14ac:dyDescent="0.2">
      <c r="A3421" s="14" t="s">
        <v>6673</v>
      </c>
      <c r="B3421" s="26" t="s">
        <v>6674</v>
      </c>
      <c r="C3421" s="52"/>
      <c r="D3421" s="55">
        <f t="shared" si="53"/>
        <v>0</v>
      </c>
      <c r="E3421" s="63" t="str">
        <f>HYPERLINK("https://www.sds-group.ru/product/segmentirovannoe-lezvie-25mm-10-sht-rexant-12-4915/", "Инфо")</f>
        <v>Инфо</v>
      </c>
      <c r="F3421" s="16" t="s">
        <v>1001</v>
      </c>
      <c r="G3421" s="15"/>
      <c r="H3421" s="15"/>
      <c r="I3421" s="15"/>
      <c r="J3421" s="22">
        <v>3502</v>
      </c>
      <c r="K3421" s="15" t="s">
        <v>2924</v>
      </c>
      <c r="L3421" s="17">
        <v>10</v>
      </c>
      <c r="M3421" s="17">
        <v>80</v>
      </c>
      <c r="N3421" s="17">
        <v>10</v>
      </c>
      <c r="O3421" s="18">
        <v>319.58999999999997</v>
      </c>
      <c r="P3421" s="18">
        <v>261.95999999999998</v>
      </c>
      <c r="Q3421" s="18">
        <v>255.67</v>
      </c>
      <c r="R3421" s="18">
        <v>209.57</v>
      </c>
      <c r="S3421" s="18">
        <v>217.32</v>
      </c>
      <c r="T3421" s="18">
        <v>178.13</v>
      </c>
      <c r="U3421" s="16"/>
      <c r="V3421" s="16"/>
      <c r="W3421" s="16" t="s">
        <v>40</v>
      </c>
      <c r="X3421" s="19">
        <v>0.187</v>
      </c>
      <c r="Y3421" s="20">
        <v>1.08E-4</v>
      </c>
      <c r="Z3421" s="21">
        <v>4601004075313</v>
      </c>
    </row>
    <row r="3422" spans="1:26" ht="12" customHeight="1" outlineLevel="4" x14ac:dyDescent="0.2">
      <c r="A3422" s="14" t="s">
        <v>6675</v>
      </c>
      <c r="B3422" s="26" t="s">
        <v>6676</v>
      </c>
      <c r="C3422" s="52"/>
      <c r="D3422" s="55">
        <f t="shared" si="53"/>
        <v>0</v>
      </c>
      <c r="E3422" s="63" t="str">
        <f>HYPERLINK("https://www.sds-group.ru/product/segmentirovannoe-lezvie-9mm-10-sht-rexant-12-4913/", "Инфо")</f>
        <v>Инфо</v>
      </c>
      <c r="F3422" s="16" t="s">
        <v>1001</v>
      </c>
      <c r="G3422" s="15"/>
      <c r="H3422" s="15"/>
      <c r="I3422" s="15"/>
      <c r="J3422" s="22">
        <v>2706</v>
      </c>
      <c r="K3422" s="15" t="s">
        <v>1580</v>
      </c>
      <c r="L3422" s="17">
        <v>10</v>
      </c>
      <c r="M3422" s="17">
        <v>480</v>
      </c>
      <c r="N3422" s="17">
        <v>10</v>
      </c>
      <c r="O3422" s="18">
        <v>58.3</v>
      </c>
      <c r="P3422" s="18">
        <v>47.79</v>
      </c>
      <c r="Q3422" s="18">
        <v>49.56</v>
      </c>
      <c r="R3422" s="18">
        <v>40.619999999999997</v>
      </c>
      <c r="S3422" s="18">
        <v>39.64</v>
      </c>
      <c r="T3422" s="18">
        <v>32.49</v>
      </c>
      <c r="U3422" s="16"/>
      <c r="V3422" s="16"/>
      <c r="W3422" s="16" t="s">
        <v>40</v>
      </c>
      <c r="X3422" s="19">
        <v>2.7E-2</v>
      </c>
      <c r="Y3422" s="20">
        <v>2.0999999999999999E-5</v>
      </c>
      <c r="Z3422" s="21">
        <v>4601004044142</v>
      </c>
    </row>
    <row r="3423" spans="1:26" ht="12.95" customHeight="1" outlineLevel="3" x14ac:dyDescent="0.2">
      <c r="A3423" s="76" t="s">
        <v>6677</v>
      </c>
      <c r="B3423" s="76"/>
      <c r="C3423" s="77"/>
      <c r="D3423" s="58"/>
      <c r="E3423" s="68"/>
      <c r="F3423" s="13"/>
      <c r="G3423" s="13"/>
      <c r="H3423" s="13"/>
      <c r="I3423" s="13"/>
      <c r="J3423" s="13"/>
      <c r="K3423" s="13"/>
      <c r="L3423" s="13"/>
      <c r="M3423" s="13"/>
      <c r="N3423" s="13"/>
      <c r="O3423" s="13"/>
      <c r="P3423" s="13"/>
      <c r="Q3423" s="13"/>
      <c r="R3423" s="13"/>
      <c r="S3423" s="13"/>
      <c r="T3423" s="13"/>
      <c r="U3423" s="13"/>
      <c r="V3423" s="13"/>
      <c r="W3423" s="13"/>
      <c r="X3423" s="13"/>
      <c r="Y3423" s="13"/>
      <c r="Z3423" s="13"/>
    </row>
    <row r="3424" spans="1:26" ht="12" customHeight="1" outlineLevel="4" x14ac:dyDescent="0.2">
      <c r="A3424" s="14" t="s">
        <v>6678</v>
      </c>
      <c r="B3424" s="26" t="s">
        <v>6679</v>
      </c>
      <c r="C3424" s="52"/>
      <c r="D3424" s="55">
        <f t="shared" si="53"/>
        <v>0</v>
      </c>
      <c r="E3424" s="63" t="str">
        <f>HYPERLINK("https://www.sds-group.ru/product/nozh-dlya-rezki-teploizolyatsionnyh-paneley-lezvie-280mm-rexant-12-4928/", "Инфо")</f>
        <v>Инфо</v>
      </c>
      <c r="F3424" s="16" t="s">
        <v>39</v>
      </c>
      <c r="G3424" s="15"/>
      <c r="H3424" s="15"/>
      <c r="I3424" s="15"/>
      <c r="J3424" s="17">
        <v>998</v>
      </c>
      <c r="K3424" s="15" t="s">
        <v>1587</v>
      </c>
      <c r="L3424" s="17">
        <v>1</v>
      </c>
      <c r="M3424" s="17">
        <v>60</v>
      </c>
      <c r="N3424" s="17">
        <v>1</v>
      </c>
      <c r="O3424" s="18">
        <v>1007</v>
      </c>
      <c r="P3424" s="18">
        <v>825.41</v>
      </c>
      <c r="Q3424" s="18">
        <v>704.9</v>
      </c>
      <c r="R3424" s="18">
        <v>577.79</v>
      </c>
      <c r="S3424" s="18">
        <v>684.76</v>
      </c>
      <c r="T3424" s="18">
        <v>561.28</v>
      </c>
      <c r="U3424" s="16"/>
      <c r="V3424" s="16"/>
      <c r="W3424" s="16"/>
      <c r="X3424" s="19">
        <v>0.24299999999999999</v>
      </c>
      <c r="Y3424" s="20">
        <v>8.9800000000000004E-4</v>
      </c>
      <c r="Z3424" s="21">
        <v>4601004161696</v>
      </c>
    </row>
    <row r="3425" spans="1:26" ht="12" customHeight="1" outlineLevel="4" x14ac:dyDescent="0.2">
      <c r="A3425" s="14" t="s">
        <v>6680</v>
      </c>
      <c r="B3425" s="26" t="s">
        <v>6681</v>
      </c>
      <c r="C3425" s="52"/>
      <c r="D3425" s="55">
        <f t="shared" si="53"/>
        <v>0</v>
      </c>
      <c r="E3425" s="63" t="str">
        <f>HYPERLINK("https://www.sds-group.ru/product/nozh-dlya-rezki-teploizolyatsionnyh-paneley-lezvie-340mm-rexant-12-4926/", "Инфо")</f>
        <v>Инфо</v>
      </c>
      <c r="F3425" s="16" t="s">
        <v>39</v>
      </c>
      <c r="G3425" s="15"/>
      <c r="H3425" s="15"/>
      <c r="I3425" s="15"/>
      <c r="J3425" s="17">
        <v>280</v>
      </c>
      <c r="K3425" s="15" t="s">
        <v>1587</v>
      </c>
      <c r="L3425" s="17">
        <v>1</v>
      </c>
      <c r="M3425" s="17">
        <v>60</v>
      </c>
      <c r="N3425" s="17">
        <v>1</v>
      </c>
      <c r="O3425" s="18">
        <v>1498.45</v>
      </c>
      <c r="P3425" s="18">
        <v>1228.24</v>
      </c>
      <c r="Q3425" s="18">
        <v>1183.78</v>
      </c>
      <c r="R3425" s="18">
        <v>970.31</v>
      </c>
      <c r="S3425" s="18">
        <v>1018.95</v>
      </c>
      <c r="T3425" s="18">
        <v>835.2</v>
      </c>
      <c r="U3425" s="16"/>
      <c r="V3425" s="16"/>
      <c r="W3425" s="16" t="s">
        <v>40</v>
      </c>
      <c r="X3425" s="19">
        <v>0.41499999999999998</v>
      </c>
      <c r="Y3425" s="20">
        <v>3.9999999999999998E-6</v>
      </c>
      <c r="Z3425" s="21">
        <v>4601004161719</v>
      </c>
    </row>
    <row r="3426" spans="1:26" ht="12" customHeight="1" outlineLevel="4" x14ac:dyDescent="0.2">
      <c r="A3426" s="14" t="s">
        <v>6682</v>
      </c>
      <c r="B3426" s="26" t="s">
        <v>6683</v>
      </c>
      <c r="C3426" s="52"/>
      <c r="D3426" s="55">
        <f t="shared" si="53"/>
        <v>0</v>
      </c>
      <c r="E3426" s="63" t="str">
        <f>HYPERLINK("https://www.sds-group.ru/product/nozh-montazhnika-s-chehlom-lezvie-67mm-rexant-12-4939/", "Инфо")</f>
        <v>Инфо</v>
      </c>
      <c r="F3426" s="16" t="s">
        <v>39</v>
      </c>
      <c r="G3426" s="15"/>
      <c r="H3426" s="15"/>
      <c r="I3426" s="15"/>
      <c r="J3426" s="17">
        <v>1</v>
      </c>
      <c r="K3426" s="15" t="s">
        <v>1587</v>
      </c>
      <c r="L3426" s="17">
        <v>1</v>
      </c>
      <c r="M3426" s="17">
        <v>48</v>
      </c>
      <c r="N3426" s="17">
        <v>1</v>
      </c>
      <c r="O3426" s="18">
        <v>625.4</v>
      </c>
      <c r="P3426" s="18">
        <v>512.62</v>
      </c>
      <c r="Q3426" s="18">
        <v>437.78</v>
      </c>
      <c r="R3426" s="18">
        <v>358.84</v>
      </c>
      <c r="S3426" s="18">
        <v>425.27</v>
      </c>
      <c r="T3426" s="18">
        <v>348.58</v>
      </c>
      <c r="U3426" s="16"/>
      <c r="V3426" s="16"/>
      <c r="W3426" s="16"/>
      <c r="X3426" s="19">
        <v>0.20100000000000001</v>
      </c>
      <c r="Y3426" s="20">
        <v>1.3129999999999999E-3</v>
      </c>
      <c r="Z3426" s="21">
        <v>4601004161702</v>
      </c>
    </row>
    <row r="3427" spans="1:26" ht="12" customHeight="1" outlineLevel="4" x14ac:dyDescent="0.2">
      <c r="A3427" s="14" t="s">
        <v>6684</v>
      </c>
      <c r="B3427" s="26" t="s">
        <v>6685</v>
      </c>
      <c r="C3427" s="52"/>
      <c r="D3427" s="55">
        <f t="shared" si="53"/>
        <v>0</v>
      </c>
      <c r="E3427" s="63" t="str">
        <f>HYPERLINK("https://www.sds-group.ru/product/nozh-stroitelnyy-nerzhaveyuschaya-stal-lezvie-100mm-rexant-12-4923/", "Инфо")</f>
        <v>Инфо</v>
      </c>
      <c r="F3427" s="16" t="s">
        <v>39</v>
      </c>
      <c r="G3427" s="15"/>
      <c r="H3427" s="15"/>
      <c r="I3427" s="15"/>
      <c r="J3427" s="16" t="s">
        <v>100</v>
      </c>
      <c r="K3427" s="15" t="s">
        <v>1587</v>
      </c>
      <c r="L3427" s="17">
        <v>1</v>
      </c>
      <c r="M3427" s="17">
        <v>72</v>
      </c>
      <c r="N3427" s="17">
        <v>1</v>
      </c>
      <c r="O3427" s="18">
        <v>474.33</v>
      </c>
      <c r="P3427" s="18">
        <v>388.8</v>
      </c>
      <c r="Q3427" s="18">
        <v>379.46</v>
      </c>
      <c r="R3427" s="18">
        <v>311.02999999999997</v>
      </c>
      <c r="S3427" s="18">
        <v>322.54000000000002</v>
      </c>
      <c r="T3427" s="18">
        <v>264.38</v>
      </c>
      <c r="U3427" s="16"/>
      <c r="V3427" s="16"/>
      <c r="W3427" s="16" t="s">
        <v>40</v>
      </c>
      <c r="X3427" s="19">
        <v>0.17599999999999999</v>
      </c>
      <c r="Y3427" s="20">
        <v>1.137E-3</v>
      </c>
      <c r="Z3427" s="21">
        <v>4601004068261</v>
      </c>
    </row>
    <row r="3428" spans="1:26" ht="12" customHeight="1" outlineLevel="4" x14ac:dyDescent="0.2">
      <c r="A3428" s="14" t="s">
        <v>6686</v>
      </c>
      <c r="B3428" s="26" t="s">
        <v>6687</v>
      </c>
      <c r="C3428" s="52"/>
      <c r="D3428" s="55">
        <f t="shared" si="53"/>
        <v>0</v>
      </c>
      <c r="E3428" s="63" t="str">
        <f>HYPERLINK("https://www.sds-group.ru/product/nozh-stroitelnyy-nerzhaveyuschaya-stal-lezvie-95mm-rexant-12-4921/", "Инфо")</f>
        <v>Инфо</v>
      </c>
      <c r="F3428" s="16" t="s">
        <v>39</v>
      </c>
      <c r="G3428" s="15"/>
      <c r="H3428" s="15"/>
      <c r="I3428" s="15"/>
      <c r="J3428" s="17">
        <v>91</v>
      </c>
      <c r="K3428" s="15" t="s">
        <v>3762</v>
      </c>
      <c r="L3428" s="17">
        <v>1</v>
      </c>
      <c r="M3428" s="17">
        <v>72</v>
      </c>
      <c r="N3428" s="17">
        <v>1</v>
      </c>
      <c r="O3428" s="18">
        <v>593.6</v>
      </c>
      <c r="P3428" s="18">
        <v>486.56</v>
      </c>
      <c r="Q3428" s="18">
        <v>445.2</v>
      </c>
      <c r="R3428" s="18">
        <v>364.92</v>
      </c>
      <c r="S3428" s="18">
        <v>403.65</v>
      </c>
      <c r="T3428" s="18">
        <v>330.86</v>
      </c>
      <c r="U3428" s="16"/>
      <c r="V3428" s="16"/>
      <c r="W3428" s="16" t="s">
        <v>40</v>
      </c>
      <c r="X3428" s="19">
        <v>0.20799999999999999</v>
      </c>
      <c r="Y3428" s="20">
        <v>1.2769999999999999E-3</v>
      </c>
      <c r="Z3428" s="21">
        <v>4601004068315</v>
      </c>
    </row>
    <row r="3429" spans="1:26" ht="12" customHeight="1" outlineLevel="4" x14ac:dyDescent="0.2">
      <c r="A3429" s="14" t="s">
        <v>6688</v>
      </c>
      <c r="B3429" s="26" t="s">
        <v>6689</v>
      </c>
      <c r="C3429" s="52"/>
      <c r="D3429" s="55">
        <f t="shared" si="53"/>
        <v>0</v>
      </c>
      <c r="E3429" s="63" t="str">
        <f>HYPERLINK("https://www.sds-group.ru/product/nozh-stameska-nerzhaveyuschaya-stal-lezvie-75h22mm-rexant-12-4934/", "Инфо")</f>
        <v>Инфо</v>
      </c>
      <c r="F3429" s="16" t="s">
        <v>39</v>
      </c>
      <c r="G3429" s="15"/>
      <c r="H3429" s="15"/>
      <c r="I3429" s="15"/>
      <c r="J3429" s="17">
        <v>1</v>
      </c>
      <c r="K3429" s="15" t="s">
        <v>1587</v>
      </c>
      <c r="L3429" s="17">
        <v>1</v>
      </c>
      <c r="M3429" s="17">
        <v>72</v>
      </c>
      <c r="N3429" s="17">
        <v>1</v>
      </c>
      <c r="O3429" s="18">
        <v>577.70000000000005</v>
      </c>
      <c r="P3429" s="18">
        <v>473.52</v>
      </c>
      <c r="Q3429" s="18">
        <v>462.16</v>
      </c>
      <c r="R3429" s="18">
        <v>378.82</v>
      </c>
      <c r="S3429" s="18">
        <v>392.84</v>
      </c>
      <c r="T3429" s="18">
        <v>322</v>
      </c>
      <c r="U3429" s="16"/>
      <c r="V3429" s="16"/>
      <c r="W3429" s="16" t="s">
        <v>40</v>
      </c>
      <c r="X3429" s="19">
        <v>0.17499999999999999</v>
      </c>
      <c r="Y3429" s="20">
        <v>1.1050000000000001E-3</v>
      </c>
      <c r="Z3429" s="21">
        <v>4601004068308</v>
      </c>
    </row>
    <row r="3430" spans="1:26" ht="12.95" customHeight="1" outlineLevel="3" x14ac:dyDescent="0.2">
      <c r="A3430" s="76" t="s">
        <v>6690</v>
      </c>
      <c r="B3430" s="76"/>
      <c r="C3430" s="77"/>
      <c r="D3430" s="58"/>
      <c r="E3430" s="68"/>
      <c r="F3430" s="13"/>
      <c r="G3430" s="13"/>
      <c r="H3430" s="13"/>
      <c r="I3430" s="13"/>
      <c r="J3430" s="13"/>
      <c r="K3430" s="13"/>
      <c r="L3430" s="13"/>
      <c r="M3430" s="13"/>
      <c r="N3430" s="13"/>
      <c r="O3430" s="13"/>
      <c r="P3430" s="13"/>
      <c r="Q3430" s="13"/>
      <c r="R3430" s="13"/>
      <c r="S3430" s="13"/>
      <c r="T3430" s="13"/>
      <c r="U3430" s="13"/>
      <c r="V3430" s="13"/>
      <c r="W3430" s="13"/>
      <c r="X3430" s="13"/>
      <c r="Y3430" s="13"/>
      <c r="Z3430" s="13"/>
    </row>
    <row r="3431" spans="1:26" ht="12" customHeight="1" outlineLevel="4" x14ac:dyDescent="0.2">
      <c r="A3431" s="14" t="s">
        <v>6691</v>
      </c>
      <c r="B3431" s="26" t="s">
        <v>6692</v>
      </c>
      <c r="C3431" s="52"/>
      <c r="D3431" s="55">
        <f t="shared" si="53"/>
        <v>0</v>
      </c>
      <c r="E3431" s="63" t="str">
        <f>HYPERLINK("https://www.sds-group.ru/product/lezviya-perovye-5-sht-rexant-12-4911/", "Инфо")</f>
        <v>Инфо</v>
      </c>
      <c r="F3431" s="16" t="s">
        <v>1001</v>
      </c>
      <c r="G3431" s="15"/>
      <c r="H3431" s="15"/>
      <c r="I3431" s="15"/>
      <c r="J3431" s="22">
        <v>1483</v>
      </c>
      <c r="K3431" s="15" t="s">
        <v>1580</v>
      </c>
      <c r="L3431" s="17">
        <v>5</v>
      </c>
      <c r="M3431" s="17">
        <v>200</v>
      </c>
      <c r="N3431" s="17">
        <v>5</v>
      </c>
      <c r="O3431" s="18">
        <v>191.29</v>
      </c>
      <c r="P3431" s="18">
        <v>156.80000000000001</v>
      </c>
      <c r="Q3431" s="18">
        <v>162.6</v>
      </c>
      <c r="R3431" s="18">
        <v>133.28</v>
      </c>
      <c r="S3431" s="18">
        <v>130.08000000000001</v>
      </c>
      <c r="T3431" s="18">
        <v>106.62</v>
      </c>
      <c r="U3431" s="16"/>
      <c r="V3431" s="16"/>
      <c r="W3431" s="16" t="s">
        <v>40</v>
      </c>
      <c r="X3431" s="19">
        <v>0.02</v>
      </c>
      <c r="Y3431" s="20">
        <v>1.0900000000000001E-4</v>
      </c>
      <c r="Z3431" s="21">
        <v>4601004025998</v>
      </c>
    </row>
    <row r="3432" spans="1:26" ht="12" customHeight="1" outlineLevel="4" x14ac:dyDescent="0.2">
      <c r="A3432" s="14" t="s">
        <v>6693</v>
      </c>
      <c r="B3432" s="26" t="s">
        <v>6694</v>
      </c>
      <c r="C3432" s="52"/>
      <c r="D3432" s="55">
        <f t="shared" si="53"/>
        <v>0</v>
      </c>
      <c r="E3432" s="63" t="str">
        <f>HYPERLINK("https://www.sds-group.ru/product/nabor-skalpel-so-smennymi-lezviyami-7-predmetov-rexant-12-4917/", "Инфо")</f>
        <v>Инфо</v>
      </c>
      <c r="F3432" s="16" t="s">
        <v>39</v>
      </c>
      <c r="G3432" s="15"/>
      <c r="H3432" s="15"/>
      <c r="I3432" s="15"/>
      <c r="J3432" s="17">
        <v>2</v>
      </c>
      <c r="K3432" s="15" t="s">
        <v>1580</v>
      </c>
      <c r="L3432" s="17">
        <v>1</v>
      </c>
      <c r="M3432" s="17">
        <v>144</v>
      </c>
      <c r="N3432" s="17">
        <v>1</v>
      </c>
      <c r="O3432" s="18">
        <v>575.04999999999995</v>
      </c>
      <c r="P3432" s="18">
        <v>471.35</v>
      </c>
      <c r="Q3432" s="18">
        <v>460.04</v>
      </c>
      <c r="R3432" s="18">
        <v>377.08</v>
      </c>
      <c r="S3432" s="18">
        <v>391.03</v>
      </c>
      <c r="T3432" s="18">
        <v>320.52</v>
      </c>
      <c r="U3432" s="16"/>
      <c r="V3432" s="16"/>
      <c r="W3432" s="16" t="s">
        <v>40</v>
      </c>
      <c r="X3432" s="19">
        <v>8.7999999999999995E-2</v>
      </c>
      <c r="Y3432" s="20">
        <v>3.5599999999999998E-4</v>
      </c>
      <c r="Z3432" s="21">
        <v>4601004065499</v>
      </c>
    </row>
    <row r="3433" spans="1:26" ht="12" customHeight="1" outlineLevel="4" x14ac:dyDescent="0.2">
      <c r="A3433" s="14" t="s">
        <v>6695</v>
      </c>
      <c r="B3433" s="26" t="s">
        <v>6696</v>
      </c>
      <c r="C3433" s="52"/>
      <c r="D3433" s="55">
        <f t="shared" si="53"/>
        <v>0</v>
      </c>
      <c r="E3433" s="63" t="str">
        <f>HYPERLINK("https://www.sds-group.ru/product/nozh-montazhnyy-tip-skalpel-ostrokonechnyy-so-01-130mm-12-4301-8/", "Инфо")</f>
        <v>Инфо</v>
      </c>
      <c r="F3433" s="16" t="s">
        <v>39</v>
      </c>
      <c r="G3433" s="15"/>
      <c r="H3433" s="15"/>
      <c r="I3433" s="15"/>
      <c r="J3433" s="17">
        <v>149</v>
      </c>
      <c r="K3433" s="15" t="s">
        <v>1094</v>
      </c>
      <c r="L3433" s="17">
        <v>1</v>
      </c>
      <c r="M3433" s="17">
        <v>100</v>
      </c>
      <c r="N3433" s="17">
        <v>1</v>
      </c>
      <c r="O3433" s="18">
        <v>477</v>
      </c>
      <c r="P3433" s="18">
        <v>390.98</v>
      </c>
      <c r="Q3433" s="18">
        <v>381.6</v>
      </c>
      <c r="R3433" s="18">
        <v>312.79000000000002</v>
      </c>
      <c r="S3433" s="18">
        <v>324.36</v>
      </c>
      <c r="T3433" s="18">
        <v>265.87</v>
      </c>
      <c r="U3433" s="16"/>
      <c r="V3433" s="16"/>
      <c r="W3433" s="16" t="s">
        <v>40</v>
      </c>
      <c r="X3433" s="19">
        <v>1.7999999999999999E-2</v>
      </c>
      <c r="Y3433" s="20">
        <v>2.3E-5</v>
      </c>
      <c r="Z3433" s="21">
        <v>4601004065680</v>
      </c>
    </row>
    <row r="3434" spans="1:26" ht="12" customHeight="1" outlineLevel="4" x14ac:dyDescent="0.2">
      <c r="A3434" s="14" t="s">
        <v>6697</v>
      </c>
      <c r="B3434" s="26" t="s">
        <v>6698</v>
      </c>
      <c r="C3434" s="52"/>
      <c r="D3434" s="55">
        <f t="shared" si="53"/>
        <v>0</v>
      </c>
      <c r="E3434" s="63" t="str">
        <f>HYPERLINK("https://www.sds-group.ru/product/nozh-montazhnyy-tip-skalpel-ostrokonechnyy-so-03-150mm-12-4303-8/", "Инфо")</f>
        <v>Инфо</v>
      </c>
      <c r="F3434" s="16" t="s">
        <v>39</v>
      </c>
      <c r="G3434" s="15"/>
      <c r="H3434" s="15"/>
      <c r="I3434" s="15"/>
      <c r="J3434" s="17">
        <v>280</v>
      </c>
      <c r="K3434" s="15" t="s">
        <v>1094</v>
      </c>
      <c r="L3434" s="17">
        <v>1</v>
      </c>
      <c r="M3434" s="17">
        <v>100</v>
      </c>
      <c r="N3434" s="17">
        <v>1</v>
      </c>
      <c r="O3434" s="18">
        <v>506.67</v>
      </c>
      <c r="P3434" s="18">
        <v>415.3</v>
      </c>
      <c r="Q3434" s="18">
        <v>405.34</v>
      </c>
      <c r="R3434" s="18">
        <v>332.25</v>
      </c>
      <c r="S3434" s="18">
        <v>344.54</v>
      </c>
      <c r="T3434" s="18">
        <v>282.41000000000003</v>
      </c>
      <c r="U3434" s="16"/>
      <c r="V3434" s="16"/>
      <c r="W3434" s="16" t="s">
        <v>40</v>
      </c>
      <c r="X3434" s="19">
        <v>2.5000000000000001E-2</v>
      </c>
      <c r="Y3434" s="20">
        <v>3.4999999999999997E-5</v>
      </c>
      <c r="Z3434" s="21">
        <v>4601004065574</v>
      </c>
    </row>
    <row r="3435" spans="1:26" ht="12" customHeight="1" outlineLevel="4" x14ac:dyDescent="0.2">
      <c r="A3435" s="14" t="s">
        <v>6699</v>
      </c>
      <c r="B3435" s="26" t="s">
        <v>6700</v>
      </c>
      <c r="C3435" s="52"/>
      <c r="D3435" s="55">
        <f t="shared" si="53"/>
        <v>0</v>
      </c>
      <c r="E3435" s="63" t="str">
        <f>HYPERLINK("https://www.sds-group.ru/product/nozh-montazhnyy-tip-skalpel-sk-03-150mm-12-4308-8/", "Инфо")</f>
        <v>Инфо</v>
      </c>
      <c r="F3435" s="16" t="s">
        <v>39</v>
      </c>
      <c r="G3435" s="15"/>
      <c r="H3435" s="15"/>
      <c r="I3435" s="15"/>
      <c r="J3435" s="17">
        <v>119</v>
      </c>
      <c r="K3435" s="15" t="s">
        <v>1094</v>
      </c>
      <c r="L3435" s="17">
        <v>1</v>
      </c>
      <c r="M3435" s="17">
        <v>100</v>
      </c>
      <c r="N3435" s="17">
        <v>1</v>
      </c>
      <c r="O3435" s="18">
        <v>485.11</v>
      </c>
      <c r="P3435" s="18">
        <v>397.63</v>
      </c>
      <c r="Q3435" s="18">
        <v>388.09</v>
      </c>
      <c r="R3435" s="18">
        <v>318.11</v>
      </c>
      <c r="S3435" s="18">
        <v>329.87</v>
      </c>
      <c r="T3435" s="18">
        <v>270.39</v>
      </c>
      <c r="U3435" s="16"/>
      <c r="V3435" s="16"/>
      <c r="W3435" s="16" t="s">
        <v>40</v>
      </c>
      <c r="X3435" s="19">
        <v>2.5000000000000001E-2</v>
      </c>
      <c r="Y3435" s="20">
        <v>2.5000000000000001E-5</v>
      </c>
      <c r="Z3435" s="21">
        <v>4601004065604</v>
      </c>
    </row>
    <row r="3436" spans="1:26" ht="12" customHeight="1" outlineLevel="4" x14ac:dyDescent="0.2">
      <c r="A3436" s="14" t="s">
        <v>6701</v>
      </c>
      <c r="B3436" s="26" t="s">
        <v>6702</v>
      </c>
      <c r="C3436" s="52"/>
      <c r="D3436" s="55">
        <f t="shared" si="53"/>
        <v>0</v>
      </c>
      <c r="E3436" s="63" t="str">
        <f>HYPERLINK("https://www.sds-group.ru/product/nozh-s-perovym-lezviem-skalpel-rexant-12-4909/", "Инфо")</f>
        <v>Инфо</v>
      </c>
      <c r="F3436" s="16" t="s">
        <v>39</v>
      </c>
      <c r="G3436" s="15"/>
      <c r="H3436" s="15"/>
      <c r="I3436" s="15"/>
      <c r="J3436" s="22">
        <v>1620</v>
      </c>
      <c r="K3436" s="15"/>
      <c r="L3436" s="17">
        <v>1</v>
      </c>
      <c r="M3436" s="17">
        <v>288</v>
      </c>
      <c r="N3436" s="17">
        <v>1</v>
      </c>
      <c r="O3436" s="18">
        <v>282.56</v>
      </c>
      <c r="P3436" s="18">
        <v>231.61</v>
      </c>
      <c r="Q3436" s="18">
        <v>240.18</v>
      </c>
      <c r="R3436" s="18">
        <v>196.87</v>
      </c>
      <c r="S3436" s="18">
        <v>192.14</v>
      </c>
      <c r="T3436" s="18">
        <v>157.49</v>
      </c>
      <c r="U3436" s="16"/>
      <c r="V3436" s="16"/>
      <c r="W3436" s="16" t="s">
        <v>40</v>
      </c>
      <c r="X3436" s="19">
        <v>5.8999999999999997E-2</v>
      </c>
      <c r="Y3436" s="20">
        <v>2.0100000000000001E-4</v>
      </c>
      <c r="Z3436" s="21">
        <v>4601004025974</v>
      </c>
    </row>
    <row r="3437" spans="1:26" ht="12" customHeight="1" outlineLevel="4" x14ac:dyDescent="0.2">
      <c r="A3437" s="14" t="s">
        <v>6703</v>
      </c>
      <c r="B3437" s="26" t="s">
        <v>6704</v>
      </c>
      <c r="C3437" s="52"/>
      <c r="D3437" s="55">
        <f t="shared" si="53"/>
        <v>0</v>
      </c>
      <c r="E3437" s="63" t="str">
        <f>HYPERLINK("https://www.sds-group.ru/product/nozh-s-perovym-lezviem-5-zapasnyh-lezviy-skalpel-rexant-12-4910/", "Инфо")</f>
        <v>Инфо</v>
      </c>
      <c r="F3437" s="16" t="s">
        <v>39</v>
      </c>
      <c r="G3437" s="15"/>
      <c r="H3437" s="15"/>
      <c r="I3437" s="15"/>
      <c r="J3437" s="22">
        <v>7039</v>
      </c>
      <c r="K3437" s="15" t="s">
        <v>1580</v>
      </c>
      <c r="L3437" s="17">
        <v>1</v>
      </c>
      <c r="M3437" s="17">
        <v>288</v>
      </c>
      <c r="N3437" s="17">
        <v>1</v>
      </c>
      <c r="O3437" s="18">
        <v>317.88</v>
      </c>
      <c r="P3437" s="18">
        <v>260.56</v>
      </c>
      <c r="Q3437" s="18">
        <v>222.52</v>
      </c>
      <c r="R3437" s="18">
        <v>182.39</v>
      </c>
      <c r="S3437" s="18">
        <v>216.16</v>
      </c>
      <c r="T3437" s="18">
        <v>177.18</v>
      </c>
      <c r="U3437" s="16"/>
      <c r="V3437" s="16"/>
      <c r="W3437" s="16"/>
      <c r="X3437" s="19">
        <v>4.1000000000000002E-2</v>
      </c>
      <c r="Y3437" s="20">
        <v>2.1000000000000001E-4</v>
      </c>
      <c r="Z3437" s="21">
        <v>4601004025981</v>
      </c>
    </row>
    <row r="3438" spans="1:26" ht="12.95" customHeight="1" outlineLevel="3" x14ac:dyDescent="0.2">
      <c r="A3438" s="76" t="s">
        <v>6705</v>
      </c>
      <c r="B3438" s="76"/>
      <c r="C3438" s="77"/>
      <c r="D3438" s="58"/>
      <c r="E3438" s="68"/>
      <c r="F3438" s="13"/>
      <c r="G3438" s="13"/>
      <c r="H3438" s="13"/>
      <c r="I3438" s="13"/>
      <c r="J3438" s="13"/>
      <c r="K3438" s="13"/>
      <c r="L3438" s="13"/>
      <c r="M3438" s="13"/>
      <c r="N3438" s="13"/>
      <c r="O3438" s="13"/>
      <c r="P3438" s="13"/>
      <c r="Q3438" s="13"/>
      <c r="R3438" s="13"/>
      <c r="S3438" s="13"/>
      <c r="T3438" s="13"/>
      <c r="U3438" s="13"/>
      <c r="V3438" s="13"/>
      <c r="W3438" s="13"/>
      <c r="X3438" s="13"/>
      <c r="Y3438" s="13"/>
      <c r="Z3438" s="13"/>
    </row>
    <row r="3439" spans="1:26" ht="12" customHeight="1" outlineLevel="4" x14ac:dyDescent="0.2">
      <c r="A3439" s="14" t="s">
        <v>6706</v>
      </c>
      <c r="B3439" s="26" t="s">
        <v>6707</v>
      </c>
      <c r="C3439" s="52"/>
      <c r="D3439" s="55">
        <f t="shared" si="53"/>
        <v>0</v>
      </c>
      <c r="E3439" s="63" t="str">
        <f>HYPERLINK("https://www.sds-group.ru/product/lezviya-smennye-dlya-skrebka-14h100h0-4mm-10-sht-rexant-12-4969/", "Инфо")</f>
        <v>Инфо</v>
      </c>
      <c r="F3439" s="16" t="s">
        <v>1001</v>
      </c>
      <c r="G3439" s="15"/>
      <c r="H3439" s="15"/>
      <c r="I3439" s="15"/>
      <c r="J3439" s="16" t="s">
        <v>100</v>
      </c>
      <c r="K3439" s="15" t="s">
        <v>1580</v>
      </c>
      <c r="L3439" s="17">
        <v>10</v>
      </c>
      <c r="M3439" s="17">
        <v>240</v>
      </c>
      <c r="N3439" s="17">
        <v>10</v>
      </c>
      <c r="O3439" s="18">
        <v>201.4</v>
      </c>
      <c r="P3439" s="18">
        <v>165.08</v>
      </c>
      <c r="Q3439" s="18">
        <v>140.97999999999999</v>
      </c>
      <c r="R3439" s="18">
        <v>115.56</v>
      </c>
      <c r="S3439" s="18">
        <v>136.94999999999999</v>
      </c>
      <c r="T3439" s="18">
        <v>112.25</v>
      </c>
      <c r="U3439" s="16"/>
      <c r="V3439" s="16"/>
      <c r="W3439" s="16"/>
      <c r="X3439" s="19">
        <v>6.2E-2</v>
      </c>
      <c r="Y3439" s="20">
        <v>1.5200000000000001E-4</v>
      </c>
      <c r="Z3439" s="21">
        <v>4601004087217</v>
      </c>
    </row>
    <row r="3440" spans="1:26" ht="12" customHeight="1" outlineLevel="4" x14ac:dyDescent="0.2">
      <c r="A3440" s="14" t="s">
        <v>6708</v>
      </c>
      <c r="B3440" s="26" t="s">
        <v>6709</v>
      </c>
      <c r="C3440" s="52"/>
      <c r="D3440" s="55">
        <f t="shared" si="53"/>
        <v>0</v>
      </c>
      <c r="E3440" s="63" t="str">
        <f>HYPERLINK("https://www.sds-group.ru/product/lezviya-smennye-dlya-skrebka-19h39h0-25mm-10-sht-rexant-12-4968/", "Инфо")</f>
        <v>Инфо</v>
      </c>
      <c r="F3440" s="16" t="s">
        <v>1001</v>
      </c>
      <c r="G3440" s="15"/>
      <c r="H3440" s="15"/>
      <c r="I3440" s="15"/>
      <c r="J3440" s="22">
        <v>2867</v>
      </c>
      <c r="K3440" s="15" t="s">
        <v>1580</v>
      </c>
      <c r="L3440" s="17">
        <v>10</v>
      </c>
      <c r="M3440" s="17">
        <v>300</v>
      </c>
      <c r="N3440" s="17">
        <v>10</v>
      </c>
      <c r="O3440" s="18">
        <v>155.24</v>
      </c>
      <c r="P3440" s="18">
        <v>127.25</v>
      </c>
      <c r="Q3440" s="18">
        <v>108.67</v>
      </c>
      <c r="R3440" s="18">
        <v>89.07</v>
      </c>
      <c r="S3440" s="18">
        <v>105.56</v>
      </c>
      <c r="T3440" s="18">
        <v>86.52</v>
      </c>
      <c r="U3440" s="16"/>
      <c r="V3440" s="16"/>
      <c r="W3440" s="16"/>
      <c r="X3440" s="19">
        <v>3.2000000000000001E-2</v>
      </c>
      <c r="Y3440" s="20">
        <v>1.25E-4</v>
      </c>
      <c r="Z3440" s="21">
        <v>4601004087200</v>
      </c>
    </row>
    <row r="3441" spans="1:26" ht="12" customHeight="1" outlineLevel="4" x14ac:dyDescent="0.2">
      <c r="A3441" s="14" t="s">
        <v>6710</v>
      </c>
      <c r="B3441" s="26" t="s">
        <v>6711</v>
      </c>
      <c r="C3441" s="52"/>
      <c r="D3441" s="55">
        <f t="shared" si="53"/>
        <v>0</v>
      </c>
      <c r="E3441" s="63" t="str">
        <f>HYPERLINK("https://www.sds-group.ru/product/skrebok-s-vydvizhnym-lezviem-obrezinennyy-korpus-5-zapasnyh-lezviy-v-komplekte-rexant-12-4963/", "Инфо")</f>
        <v>Инфо</v>
      </c>
      <c r="F3441" s="16" t="s">
        <v>39</v>
      </c>
      <c r="G3441" s="15"/>
      <c r="H3441" s="15"/>
      <c r="I3441" s="15"/>
      <c r="J3441" s="22">
        <v>3085</v>
      </c>
      <c r="K3441" s="15"/>
      <c r="L3441" s="17">
        <v>1</v>
      </c>
      <c r="M3441" s="17">
        <v>288</v>
      </c>
      <c r="N3441" s="17">
        <v>1</v>
      </c>
      <c r="O3441" s="18">
        <v>344.97</v>
      </c>
      <c r="P3441" s="18">
        <v>282.76</v>
      </c>
      <c r="Q3441" s="18">
        <v>293.22000000000003</v>
      </c>
      <c r="R3441" s="18">
        <v>240.34</v>
      </c>
      <c r="S3441" s="18">
        <v>234.58</v>
      </c>
      <c r="T3441" s="18">
        <v>192.28</v>
      </c>
      <c r="U3441" s="16"/>
      <c r="V3441" s="16"/>
      <c r="W3441" s="16" t="s">
        <v>40</v>
      </c>
      <c r="X3441" s="19">
        <v>7.9000000000000001E-2</v>
      </c>
      <c r="Y3441" s="20">
        <v>2.7500000000000002E-4</v>
      </c>
      <c r="Z3441" s="21">
        <v>4601004087125</v>
      </c>
    </row>
    <row r="3442" spans="1:26" ht="12" customHeight="1" outlineLevel="4" x14ac:dyDescent="0.2">
      <c r="A3442" s="14" t="s">
        <v>6712</v>
      </c>
      <c r="B3442" s="26" t="s">
        <v>6713</v>
      </c>
      <c r="C3442" s="52"/>
      <c r="D3442" s="55">
        <f t="shared" si="53"/>
        <v>0</v>
      </c>
      <c r="E3442" s="63" t="str">
        <f>HYPERLINK("https://www.sds-group.ru/product/skrebok-s-vydvizhnym-lezviem-plastik-rexant-12-4966/", "Инфо")</f>
        <v>Инфо</v>
      </c>
      <c r="F3442" s="16" t="s">
        <v>39</v>
      </c>
      <c r="G3442" s="15"/>
      <c r="H3442" s="15"/>
      <c r="I3442" s="15"/>
      <c r="J3442" s="22">
        <v>2566</v>
      </c>
      <c r="K3442" s="15"/>
      <c r="L3442" s="17">
        <v>10</v>
      </c>
      <c r="M3442" s="17">
        <v>240</v>
      </c>
      <c r="N3442" s="17">
        <v>10</v>
      </c>
      <c r="O3442" s="18">
        <v>106.72</v>
      </c>
      <c r="P3442" s="18">
        <v>87.48</v>
      </c>
      <c r="Q3442" s="18">
        <v>90.71</v>
      </c>
      <c r="R3442" s="18">
        <v>74.349999999999994</v>
      </c>
      <c r="S3442" s="18">
        <v>72.569999999999993</v>
      </c>
      <c r="T3442" s="18">
        <v>59.48</v>
      </c>
      <c r="U3442" s="16"/>
      <c r="V3442" s="16"/>
      <c r="W3442" s="16" t="s">
        <v>40</v>
      </c>
      <c r="X3442" s="19">
        <v>4.5999999999999999E-2</v>
      </c>
      <c r="Y3442" s="20">
        <v>2.7999999999999998E-4</v>
      </c>
      <c r="Z3442" s="21">
        <v>4601004087156</v>
      </c>
    </row>
    <row r="3443" spans="1:26" ht="12" customHeight="1" outlineLevel="4" x14ac:dyDescent="0.2">
      <c r="A3443" s="14" t="s">
        <v>6714</v>
      </c>
      <c r="B3443" s="26" t="s">
        <v>6715</v>
      </c>
      <c r="C3443" s="52"/>
      <c r="D3443" s="55">
        <f t="shared" si="53"/>
        <v>0</v>
      </c>
      <c r="E3443" s="63" t="str">
        <f>HYPERLINK("https://www.sds-group.ru/product/skrebok-s-fiksirovannym-lezviem-plastik-rexant-12-4965/", "Инфо")</f>
        <v>Инфо</v>
      </c>
      <c r="F3443" s="16" t="s">
        <v>39</v>
      </c>
      <c r="G3443" s="15"/>
      <c r="H3443" s="15"/>
      <c r="I3443" s="15"/>
      <c r="J3443" s="22">
        <v>4711</v>
      </c>
      <c r="K3443" s="15"/>
      <c r="L3443" s="17">
        <v>10</v>
      </c>
      <c r="M3443" s="17">
        <v>200</v>
      </c>
      <c r="N3443" s="17">
        <v>10</v>
      </c>
      <c r="O3443" s="18">
        <v>126.13</v>
      </c>
      <c r="P3443" s="18">
        <v>103.39</v>
      </c>
      <c r="Q3443" s="18">
        <v>88.29</v>
      </c>
      <c r="R3443" s="18">
        <v>72.37</v>
      </c>
      <c r="S3443" s="18">
        <v>85.77</v>
      </c>
      <c r="T3443" s="18">
        <v>70.3</v>
      </c>
      <c r="U3443" s="16"/>
      <c r="V3443" s="16"/>
      <c r="W3443" s="16"/>
      <c r="X3443" s="19">
        <v>4.1000000000000002E-2</v>
      </c>
      <c r="Y3443" s="20">
        <v>4.5199999999999998E-4</v>
      </c>
      <c r="Z3443" s="21">
        <v>4601004087149</v>
      </c>
    </row>
    <row r="3444" spans="1:26" ht="12" customHeight="1" outlineLevel="4" x14ac:dyDescent="0.2">
      <c r="A3444" s="14" t="s">
        <v>6716</v>
      </c>
      <c r="B3444" s="26" t="s">
        <v>6717</v>
      </c>
      <c r="C3444" s="52"/>
      <c r="D3444" s="55">
        <f t="shared" si="53"/>
        <v>0</v>
      </c>
      <c r="E3444" s="63" t="str">
        <f>HYPERLINK("https://www.sds-group.ru/product/skrebok-stroitelnyy-universalnyy-140mm-metall-rexant-12-4961/", "Инфо")</f>
        <v>Инфо</v>
      </c>
      <c r="F3444" s="16" t="s">
        <v>39</v>
      </c>
      <c r="G3444" s="15"/>
      <c r="H3444" s="15"/>
      <c r="I3444" s="15"/>
      <c r="J3444" s="22">
        <v>4095</v>
      </c>
      <c r="K3444" s="15" t="s">
        <v>1580</v>
      </c>
      <c r="L3444" s="17">
        <v>1</v>
      </c>
      <c r="M3444" s="17">
        <v>48</v>
      </c>
      <c r="N3444" s="17">
        <v>1</v>
      </c>
      <c r="O3444" s="18">
        <v>471.7</v>
      </c>
      <c r="P3444" s="18">
        <v>386.64</v>
      </c>
      <c r="Q3444" s="18">
        <v>330.19</v>
      </c>
      <c r="R3444" s="18">
        <v>270.64999999999998</v>
      </c>
      <c r="S3444" s="18">
        <v>320.76</v>
      </c>
      <c r="T3444" s="18">
        <v>262.92</v>
      </c>
      <c r="U3444" s="16"/>
      <c r="V3444" s="16"/>
      <c r="W3444" s="16"/>
      <c r="X3444" s="19">
        <v>0.126</v>
      </c>
      <c r="Y3444" s="20">
        <v>8.7399999999999999E-4</v>
      </c>
      <c r="Z3444" s="21">
        <v>4601004087224</v>
      </c>
    </row>
    <row r="3445" spans="1:26" ht="12" customHeight="1" outlineLevel="4" x14ac:dyDescent="0.2">
      <c r="A3445" s="14" t="s">
        <v>6718</v>
      </c>
      <c r="B3445" s="26" t="s">
        <v>6719</v>
      </c>
      <c r="C3445" s="52"/>
      <c r="D3445" s="55">
        <f t="shared" si="53"/>
        <v>0</v>
      </c>
      <c r="E3445" s="63" t="str">
        <f>HYPERLINK("https://www.sds-group.ru/product/skrebok-stroitelnyy-universalnyy-400mm-metall-rexant-12-4962/", "Инфо")</f>
        <v>Инфо</v>
      </c>
      <c r="F3445" s="16" t="s">
        <v>39</v>
      </c>
      <c r="G3445" s="15"/>
      <c r="H3445" s="15"/>
      <c r="I3445" s="15"/>
      <c r="J3445" s="17">
        <v>7</v>
      </c>
      <c r="K3445" s="15" t="s">
        <v>1580</v>
      </c>
      <c r="L3445" s="17">
        <v>1</v>
      </c>
      <c r="M3445" s="17">
        <v>48</v>
      </c>
      <c r="N3445" s="17">
        <v>1</v>
      </c>
      <c r="O3445" s="18">
        <v>636</v>
      </c>
      <c r="P3445" s="18">
        <v>521.30999999999995</v>
      </c>
      <c r="Q3445" s="18">
        <v>445.2</v>
      </c>
      <c r="R3445" s="18">
        <v>364.92</v>
      </c>
      <c r="S3445" s="18">
        <v>432.48</v>
      </c>
      <c r="T3445" s="18">
        <v>354.49</v>
      </c>
      <c r="U3445" s="16"/>
      <c r="V3445" s="16"/>
      <c r="W3445" s="16"/>
      <c r="X3445" s="19">
        <v>0.31</v>
      </c>
      <c r="Y3445" s="20">
        <v>1.5169999999999999E-3</v>
      </c>
      <c r="Z3445" s="21">
        <v>4601004087118</v>
      </c>
    </row>
    <row r="3446" spans="1:26" ht="12" customHeight="1" outlineLevel="4" x14ac:dyDescent="0.2">
      <c r="A3446" s="14" t="s">
        <v>6720</v>
      </c>
      <c r="B3446" s="26" t="s">
        <v>6721</v>
      </c>
      <c r="C3446" s="52"/>
      <c r="D3446" s="55">
        <f t="shared" si="53"/>
        <v>0</v>
      </c>
      <c r="E3446" s="63" t="str">
        <f>HYPERLINK("https://www.sds-group.ru/product/trapetsievidnye-lezviya-19mm-10-sht-rexant-12-4914/", "Инфо")</f>
        <v>Инфо</v>
      </c>
      <c r="F3446" s="16" t="s">
        <v>1001</v>
      </c>
      <c r="G3446" s="15"/>
      <c r="H3446" s="15"/>
      <c r="I3446" s="15"/>
      <c r="J3446" s="16" t="s">
        <v>100</v>
      </c>
      <c r="K3446" s="15" t="s">
        <v>2798</v>
      </c>
      <c r="L3446" s="17">
        <v>10</v>
      </c>
      <c r="M3446" s="17">
        <v>300</v>
      </c>
      <c r="N3446" s="17">
        <v>10</v>
      </c>
      <c r="O3446" s="18">
        <v>127.2</v>
      </c>
      <c r="P3446" s="18">
        <v>104.26</v>
      </c>
      <c r="Q3446" s="18">
        <v>108.12</v>
      </c>
      <c r="R3446" s="18">
        <v>88.62</v>
      </c>
      <c r="S3446" s="18">
        <v>86.5</v>
      </c>
      <c r="T3446" s="18">
        <v>70.900000000000006</v>
      </c>
      <c r="U3446" s="16"/>
      <c r="V3446" s="16"/>
      <c r="W3446" s="16" t="s">
        <v>40</v>
      </c>
      <c r="X3446" s="19">
        <v>4.5999999999999999E-2</v>
      </c>
      <c r="Y3446" s="20">
        <v>4.0000000000000003E-5</v>
      </c>
      <c r="Z3446" s="21">
        <v>4601004065475</v>
      </c>
    </row>
    <row r="3447" spans="1:26" ht="12.95" customHeight="1" outlineLevel="3" x14ac:dyDescent="0.2">
      <c r="A3447" s="76" t="s">
        <v>6722</v>
      </c>
      <c r="B3447" s="76"/>
      <c r="C3447" s="77"/>
      <c r="D3447" s="58"/>
      <c r="E3447" s="68"/>
      <c r="F3447" s="13"/>
      <c r="G3447" s="13"/>
      <c r="H3447" s="13"/>
      <c r="I3447" s="13"/>
      <c r="J3447" s="13"/>
      <c r="K3447" s="13"/>
      <c r="L3447" s="13"/>
      <c r="M3447" s="13"/>
      <c r="N3447" s="13"/>
      <c r="O3447" s="13"/>
      <c r="P3447" s="13"/>
      <c r="Q3447" s="13"/>
      <c r="R3447" s="13"/>
      <c r="S3447" s="13"/>
      <c r="T3447" s="13"/>
      <c r="U3447" s="13"/>
      <c r="V3447" s="13"/>
      <c r="W3447" s="13"/>
      <c r="X3447" s="13"/>
      <c r="Y3447" s="13"/>
      <c r="Z3447" s="13"/>
    </row>
    <row r="3448" spans="1:26" ht="12" customHeight="1" outlineLevel="4" x14ac:dyDescent="0.2">
      <c r="A3448" s="14" t="s">
        <v>6723</v>
      </c>
      <c r="B3448" s="26" t="s">
        <v>6724</v>
      </c>
      <c r="C3448" s="52"/>
      <c r="D3448" s="55">
        <f t="shared" si="53"/>
        <v>0</v>
      </c>
      <c r="E3448" s="63" t="str">
        <f>HYPERLINK("https://www.sds-group.ru/product/nozhnitsy-ostrokonechnye-pryamye-165mm-12-4929-9/", "Инфо")</f>
        <v>Инфо</v>
      </c>
      <c r="F3448" s="16" t="s">
        <v>39</v>
      </c>
      <c r="G3448" s="15"/>
      <c r="H3448" s="15"/>
      <c r="I3448" s="15"/>
      <c r="J3448" s="16" t="s">
        <v>100</v>
      </c>
      <c r="K3448" s="15" t="s">
        <v>1094</v>
      </c>
      <c r="L3448" s="17">
        <v>1</v>
      </c>
      <c r="M3448" s="17">
        <v>100</v>
      </c>
      <c r="N3448" s="17">
        <v>1</v>
      </c>
      <c r="O3448" s="18">
        <v>727.66</v>
      </c>
      <c r="P3448" s="18">
        <v>596.44000000000005</v>
      </c>
      <c r="Q3448" s="18">
        <v>582.13</v>
      </c>
      <c r="R3448" s="18">
        <v>477.16</v>
      </c>
      <c r="S3448" s="18">
        <v>494.81</v>
      </c>
      <c r="T3448" s="18">
        <v>405.58</v>
      </c>
      <c r="U3448" s="16"/>
      <c r="V3448" s="16"/>
      <c r="W3448" s="16" t="s">
        <v>40</v>
      </c>
      <c r="X3448" s="19">
        <v>6.4000000000000001E-2</v>
      </c>
      <c r="Y3448" s="20">
        <v>7.7000000000000001E-5</v>
      </c>
      <c r="Z3448" s="21">
        <v>4601004089686</v>
      </c>
    </row>
    <row r="3449" spans="1:26" ht="12" customHeight="1" outlineLevel="4" x14ac:dyDescent="0.2">
      <c r="A3449" s="14" t="s">
        <v>6725</v>
      </c>
      <c r="B3449" s="26" t="s">
        <v>6726</v>
      </c>
      <c r="C3449" s="52"/>
      <c r="D3449" s="55">
        <f t="shared" si="53"/>
        <v>0</v>
      </c>
      <c r="E3449" s="63" t="str">
        <f>HYPERLINK("https://www.sds-group.ru/product/nozhnitsy-s-dvumya-ostrymi-kontsami-pryamye-145-mm-12-4925-9/", "Инфо")</f>
        <v>Инфо</v>
      </c>
      <c r="F3449" s="16" t="s">
        <v>39</v>
      </c>
      <c r="G3449" s="15"/>
      <c r="H3449" s="15"/>
      <c r="I3449" s="15"/>
      <c r="J3449" s="17">
        <v>121</v>
      </c>
      <c r="K3449" s="15"/>
      <c r="L3449" s="17">
        <v>1</v>
      </c>
      <c r="M3449" s="17">
        <v>100</v>
      </c>
      <c r="N3449" s="17">
        <v>1</v>
      </c>
      <c r="O3449" s="18">
        <v>754.61</v>
      </c>
      <c r="P3449" s="18">
        <v>618.53</v>
      </c>
      <c r="Q3449" s="18">
        <v>603.69000000000005</v>
      </c>
      <c r="R3449" s="18">
        <v>494.83</v>
      </c>
      <c r="S3449" s="18">
        <v>513.13</v>
      </c>
      <c r="T3449" s="18">
        <v>420.6</v>
      </c>
      <c r="U3449" s="16"/>
      <c r="V3449" s="16"/>
      <c r="W3449" s="16" t="s">
        <v>40</v>
      </c>
      <c r="X3449" s="19">
        <v>4.3999999999999997E-2</v>
      </c>
      <c r="Y3449" s="20">
        <v>8.1000000000000004E-5</v>
      </c>
      <c r="Z3449" s="21">
        <v>4601004089648</v>
      </c>
    </row>
    <row r="3450" spans="1:26" ht="12" customHeight="1" outlineLevel="4" x14ac:dyDescent="0.2">
      <c r="A3450" s="14" t="s">
        <v>6727</v>
      </c>
      <c r="B3450" s="26" t="s">
        <v>6728</v>
      </c>
      <c r="C3450" s="52"/>
      <c r="D3450" s="55">
        <f t="shared" si="53"/>
        <v>0</v>
      </c>
      <c r="E3450" s="63" t="str">
        <f>HYPERLINK("https://www.sds-group.ru/product/nozhnitsy-tupokonechnye-pryamye-140-mm-12-4926-9/", "Инфо")</f>
        <v>Инфо</v>
      </c>
      <c r="F3450" s="16" t="s">
        <v>39</v>
      </c>
      <c r="G3450" s="15"/>
      <c r="H3450" s="15"/>
      <c r="I3450" s="15"/>
      <c r="J3450" s="17">
        <v>34</v>
      </c>
      <c r="K3450" s="15" t="s">
        <v>1094</v>
      </c>
      <c r="L3450" s="17">
        <v>1</v>
      </c>
      <c r="M3450" s="17">
        <v>100</v>
      </c>
      <c r="N3450" s="17">
        <v>1</v>
      </c>
      <c r="O3450" s="18">
        <v>614.47</v>
      </c>
      <c r="P3450" s="18">
        <v>503.66</v>
      </c>
      <c r="Q3450" s="18">
        <v>491.58</v>
      </c>
      <c r="R3450" s="18">
        <v>402.93</v>
      </c>
      <c r="S3450" s="18">
        <v>417.84</v>
      </c>
      <c r="T3450" s="18">
        <v>342.49</v>
      </c>
      <c r="U3450" s="16"/>
      <c r="V3450" s="16"/>
      <c r="W3450" s="16" t="s">
        <v>40</v>
      </c>
      <c r="X3450" s="19">
        <v>4.3999999999999997E-2</v>
      </c>
      <c r="Y3450" s="20">
        <v>7.7000000000000001E-5</v>
      </c>
      <c r="Z3450" s="21">
        <v>4601004089655</v>
      </c>
    </row>
    <row r="3451" spans="1:26" ht="12" customHeight="1" outlineLevel="4" x14ac:dyDescent="0.2">
      <c r="A3451" s="14" t="s">
        <v>6729</v>
      </c>
      <c r="B3451" s="26" t="s">
        <v>6730</v>
      </c>
      <c r="C3451" s="52"/>
      <c r="D3451" s="55">
        <f t="shared" si="53"/>
        <v>0</v>
      </c>
      <c r="E3451" s="63" t="str">
        <f>HYPERLINK("https://www.sds-group.ru/product/nozhnitsy-tupokonechnye-pryamye-165-mm-12-4927-9/", "Инфо")</f>
        <v>Инфо</v>
      </c>
      <c r="F3451" s="16" t="s">
        <v>39</v>
      </c>
      <c r="G3451" s="15"/>
      <c r="H3451" s="15"/>
      <c r="I3451" s="15"/>
      <c r="J3451" s="17">
        <v>82</v>
      </c>
      <c r="K3451" s="15"/>
      <c r="L3451" s="17">
        <v>1</v>
      </c>
      <c r="M3451" s="17">
        <v>100</v>
      </c>
      <c r="N3451" s="17">
        <v>1</v>
      </c>
      <c r="O3451" s="18">
        <v>727.66</v>
      </c>
      <c r="P3451" s="18">
        <v>596.44000000000005</v>
      </c>
      <c r="Q3451" s="18">
        <v>582.13</v>
      </c>
      <c r="R3451" s="18">
        <v>477.16</v>
      </c>
      <c r="S3451" s="18">
        <v>494.81</v>
      </c>
      <c r="T3451" s="18">
        <v>405.58</v>
      </c>
      <c r="U3451" s="16"/>
      <c r="V3451" s="16"/>
      <c r="W3451" s="16" t="s">
        <v>40</v>
      </c>
      <c r="X3451" s="19">
        <v>6.0999999999999999E-2</v>
      </c>
      <c r="Y3451" s="20">
        <v>7.2999999999999999E-5</v>
      </c>
      <c r="Z3451" s="21">
        <v>4601004089662</v>
      </c>
    </row>
    <row r="3452" spans="1:26" ht="12.95" customHeight="1" outlineLevel="2" x14ac:dyDescent="0.2">
      <c r="A3452" s="76" t="s">
        <v>6731</v>
      </c>
      <c r="B3452" s="76"/>
      <c r="C3452" s="77"/>
      <c r="D3452" s="58"/>
      <c r="E3452" s="68"/>
      <c r="F3452" s="13"/>
      <c r="G3452" s="13"/>
      <c r="H3452" s="13"/>
      <c r="I3452" s="13"/>
      <c r="J3452" s="13"/>
      <c r="K3452" s="13"/>
      <c r="L3452" s="13"/>
      <c r="M3452" s="13"/>
      <c r="N3452" s="13"/>
      <c r="O3452" s="13"/>
      <c r="P3452" s="13"/>
      <c r="Q3452" s="13"/>
      <c r="R3452" s="13"/>
      <c r="S3452" s="13"/>
      <c r="T3452" s="13"/>
      <c r="U3452" s="13"/>
      <c r="V3452" s="13"/>
      <c r="W3452" s="13"/>
      <c r="X3452" s="13"/>
      <c r="Y3452" s="13"/>
      <c r="Z3452" s="13"/>
    </row>
    <row r="3453" spans="1:26" ht="12.95" customHeight="1" outlineLevel="3" x14ac:dyDescent="0.2">
      <c r="A3453" s="76" t="s">
        <v>6732</v>
      </c>
      <c r="B3453" s="76"/>
      <c r="C3453" s="77"/>
      <c r="D3453" s="58"/>
      <c r="E3453" s="68"/>
      <c r="F3453" s="13"/>
      <c r="G3453" s="13"/>
      <c r="H3453" s="13"/>
      <c r="I3453" s="13"/>
      <c r="J3453" s="13"/>
      <c r="K3453" s="13"/>
      <c r="L3453" s="13"/>
      <c r="M3453" s="13"/>
      <c r="N3453" s="13"/>
      <c r="O3453" s="13"/>
      <c r="P3453" s="13"/>
      <c r="Q3453" s="13"/>
      <c r="R3453" s="13"/>
      <c r="S3453" s="13"/>
      <c r="T3453" s="13"/>
      <c r="U3453" s="13"/>
      <c r="V3453" s="13"/>
      <c r="W3453" s="13"/>
      <c r="X3453" s="13"/>
      <c r="Y3453" s="13"/>
      <c r="Z3453" s="13"/>
    </row>
    <row r="3454" spans="1:26" ht="12" customHeight="1" outlineLevel="4" x14ac:dyDescent="0.2">
      <c r="A3454" s="14" t="s">
        <v>6733</v>
      </c>
      <c r="B3454" s="26" t="s">
        <v>6734</v>
      </c>
      <c r="C3454" s="52"/>
      <c r="D3454" s="55">
        <f t="shared" si="53"/>
        <v>0</v>
      </c>
      <c r="E3454" s="63" t="str">
        <f>HYPERLINK("https://www.sds-group.ru/product/ruletka-c-avtostopom-10m-x-25mm-magnitnyy-dvuhstoronniy-zatsep-neylon-dvuhstoronnyaya-shk-KR-12-9024/", "Инфо")</f>
        <v>Инфо</v>
      </c>
      <c r="F3454" s="16" t="s">
        <v>39</v>
      </c>
      <c r="G3454" s="15"/>
      <c r="H3454" s="15"/>
      <c r="I3454" s="15"/>
      <c r="J3454" s="22">
        <v>2093</v>
      </c>
      <c r="K3454" s="15" t="s">
        <v>883</v>
      </c>
      <c r="L3454" s="17">
        <v>1</v>
      </c>
      <c r="M3454" s="17">
        <v>60</v>
      </c>
      <c r="N3454" s="17">
        <v>1</v>
      </c>
      <c r="O3454" s="18">
        <v>1056.46</v>
      </c>
      <c r="P3454" s="18">
        <v>865.95</v>
      </c>
      <c r="Q3454" s="18">
        <v>845.17</v>
      </c>
      <c r="R3454" s="18">
        <v>692.76</v>
      </c>
      <c r="S3454" s="18">
        <v>718.39</v>
      </c>
      <c r="T3454" s="18">
        <v>588.84</v>
      </c>
      <c r="U3454" s="16"/>
      <c r="V3454" s="16"/>
      <c r="W3454" s="16" t="s">
        <v>40</v>
      </c>
      <c r="X3454" s="19">
        <v>0.53100000000000003</v>
      </c>
      <c r="Y3454" s="20">
        <v>1.4339999999999999E-3</v>
      </c>
      <c r="Z3454" s="21">
        <v>4601004316409</v>
      </c>
    </row>
    <row r="3455" spans="1:26" ht="12" customHeight="1" outlineLevel="4" x14ac:dyDescent="0.2">
      <c r="A3455" s="14" t="s">
        <v>6735</v>
      </c>
      <c r="B3455" s="26" t="s">
        <v>6736</v>
      </c>
      <c r="C3455" s="52"/>
      <c r="D3455" s="55">
        <f t="shared" si="53"/>
        <v>0</v>
      </c>
      <c r="E3455" s="63" t="str">
        <f>HYPERLINK("https://www.sds-group.ru/product/ruletka-c-avtostopom-5m-x-25mm-magnitnyy-dvuhstoronniy-zatsep-neylon-dvuhstoronnyaya-shka-KR-12-9023/", "Инфо")</f>
        <v>Инфо</v>
      </c>
      <c r="F3455" s="16" t="s">
        <v>39</v>
      </c>
      <c r="G3455" s="15"/>
      <c r="H3455" s="15"/>
      <c r="I3455" s="15"/>
      <c r="J3455" s="22">
        <v>2183</v>
      </c>
      <c r="K3455" s="15" t="s">
        <v>883</v>
      </c>
      <c r="L3455" s="17">
        <v>1</v>
      </c>
      <c r="M3455" s="17">
        <v>120</v>
      </c>
      <c r="N3455" s="17">
        <v>1</v>
      </c>
      <c r="O3455" s="18">
        <v>679.15</v>
      </c>
      <c r="P3455" s="18">
        <v>556.67999999999995</v>
      </c>
      <c r="Q3455" s="18">
        <v>543.32000000000005</v>
      </c>
      <c r="R3455" s="18">
        <v>445.34</v>
      </c>
      <c r="S3455" s="18">
        <v>461.82</v>
      </c>
      <c r="T3455" s="18">
        <v>378.54</v>
      </c>
      <c r="U3455" s="16"/>
      <c r="V3455" s="16"/>
      <c r="W3455" s="16" t="s">
        <v>40</v>
      </c>
      <c r="X3455" s="19">
        <v>0.29799999999999999</v>
      </c>
      <c r="Y3455" s="20">
        <v>1.0970000000000001E-3</v>
      </c>
      <c r="Z3455" s="21">
        <v>4601004312975</v>
      </c>
    </row>
    <row r="3456" spans="1:26" ht="12" customHeight="1" outlineLevel="4" x14ac:dyDescent="0.2">
      <c r="A3456" s="14" t="s">
        <v>6737</v>
      </c>
      <c r="B3456" s="26" t="s">
        <v>6738</v>
      </c>
      <c r="C3456" s="52"/>
      <c r="D3456" s="55">
        <f t="shared" si="53"/>
        <v>0</v>
      </c>
      <c r="E3456" s="63" t="str">
        <f>HYPERLINK("https://www.sds-group.ru/product/ruletka-izmeritelnaya-profi-prorezinennyy-korpus-10m-h-25mm-rexant-12-9007/", "Инфо")</f>
        <v>Инфо</v>
      </c>
      <c r="F3456" s="16" t="s">
        <v>39</v>
      </c>
      <c r="G3456" s="15"/>
      <c r="H3456" s="15"/>
      <c r="I3456" s="15"/>
      <c r="J3456" s="17">
        <v>558</v>
      </c>
      <c r="K3456" s="15"/>
      <c r="L3456" s="17">
        <v>1</v>
      </c>
      <c r="M3456" s="17">
        <v>36</v>
      </c>
      <c r="N3456" s="17">
        <v>1</v>
      </c>
      <c r="O3456" s="18">
        <v>524.70000000000005</v>
      </c>
      <c r="P3456" s="18">
        <v>430.08</v>
      </c>
      <c r="Q3456" s="18">
        <v>419.76</v>
      </c>
      <c r="R3456" s="18">
        <v>344.07</v>
      </c>
      <c r="S3456" s="18">
        <v>356.8</v>
      </c>
      <c r="T3456" s="18">
        <v>292.45999999999998</v>
      </c>
      <c r="U3456" s="16"/>
      <c r="V3456" s="16"/>
      <c r="W3456" s="16" t="s">
        <v>40</v>
      </c>
      <c r="X3456" s="19">
        <v>0.47199999999999998</v>
      </c>
      <c r="Y3456" s="20">
        <v>6.3100000000000005E-4</v>
      </c>
      <c r="Z3456" s="21">
        <v>4601004041516</v>
      </c>
    </row>
    <row r="3457" spans="1:26" ht="12" customHeight="1" outlineLevel="4" x14ac:dyDescent="0.2">
      <c r="A3457" s="14" t="s">
        <v>6739</v>
      </c>
      <c r="B3457" s="26" t="s">
        <v>6740</v>
      </c>
      <c r="C3457" s="52"/>
      <c r="D3457" s="55">
        <f t="shared" si="53"/>
        <v>0</v>
      </c>
      <c r="E3457" s="63" t="str">
        <f>HYPERLINK("https://www.sds-group.ru/product/ruletka-izmeritelnaya-profi-prorezinennyy-korpus-3m-h-16mm-rexant-12-9004/", "Инфо")</f>
        <v>Инфо</v>
      </c>
      <c r="F3457" s="16" t="s">
        <v>39</v>
      </c>
      <c r="G3457" s="15"/>
      <c r="H3457" s="15"/>
      <c r="I3457" s="15"/>
      <c r="J3457" s="22">
        <v>2042</v>
      </c>
      <c r="K3457" s="15" t="s">
        <v>6741</v>
      </c>
      <c r="L3457" s="17">
        <v>5</v>
      </c>
      <c r="M3457" s="17">
        <v>120</v>
      </c>
      <c r="N3457" s="17">
        <v>5</v>
      </c>
      <c r="O3457" s="18">
        <v>186.03</v>
      </c>
      <c r="P3457" s="18">
        <v>152.47999999999999</v>
      </c>
      <c r="Q3457" s="18">
        <v>158.13</v>
      </c>
      <c r="R3457" s="18">
        <v>129.61000000000001</v>
      </c>
      <c r="S3457" s="18">
        <v>126.5</v>
      </c>
      <c r="T3457" s="18">
        <v>103.69</v>
      </c>
      <c r="U3457" s="16"/>
      <c r="V3457" s="16"/>
      <c r="W3457" s="16" t="s">
        <v>40</v>
      </c>
      <c r="X3457" s="19">
        <v>0.13300000000000001</v>
      </c>
      <c r="Y3457" s="20">
        <v>4.7100000000000001E-4</v>
      </c>
      <c r="Z3457" s="21">
        <v>4601004041486</v>
      </c>
    </row>
    <row r="3458" spans="1:26" ht="12" customHeight="1" outlineLevel="4" x14ac:dyDescent="0.2">
      <c r="A3458" s="14" t="s">
        <v>6742</v>
      </c>
      <c r="B3458" s="26" t="s">
        <v>6743</v>
      </c>
      <c r="C3458" s="52"/>
      <c r="D3458" s="55">
        <f t="shared" si="53"/>
        <v>0</v>
      </c>
      <c r="E3458" s="63" t="str">
        <f>HYPERLINK("https://www.sds-group.ru/product/ruletka-izmeritelnaya-profi-prorezinennyy-korpus-5m-h-19mm-rexant-12-9005/", "Инфо")</f>
        <v>Инфо</v>
      </c>
      <c r="F3458" s="16" t="s">
        <v>39</v>
      </c>
      <c r="G3458" s="15"/>
      <c r="H3458" s="15"/>
      <c r="I3458" s="15"/>
      <c r="J3458" s="16" t="s">
        <v>100</v>
      </c>
      <c r="K3458" s="15" t="s">
        <v>6744</v>
      </c>
      <c r="L3458" s="17">
        <v>5</v>
      </c>
      <c r="M3458" s="17">
        <v>96</v>
      </c>
      <c r="N3458" s="17">
        <v>5</v>
      </c>
      <c r="O3458" s="18">
        <v>286.2</v>
      </c>
      <c r="P3458" s="18">
        <v>234.59</v>
      </c>
      <c r="Q3458" s="18">
        <v>243.27</v>
      </c>
      <c r="R3458" s="18">
        <v>199.4</v>
      </c>
      <c r="S3458" s="18">
        <v>194.62</v>
      </c>
      <c r="T3458" s="18">
        <v>159.52000000000001</v>
      </c>
      <c r="U3458" s="16"/>
      <c r="V3458" s="16"/>
      <c r="W3458" s="16" t="s">
        <v>40</v>
      </c>
      <c r="X3458" s="19">
        <v>0.20799999999999999</v>
      </c>
      <c r="Y3458" s="20">
        <v>4.8799999999999999E-4</v>
      </c>
      <c r="Z3458" s="21">
        <v>4601004041493</v>
      </c>
    </row>
    <row r="3459" spans="1:26" ht="12" customHeight="1" outlineLevel="4" x14ac:dyDescent="0.2">
      <c r="A3459" s="14" t="s">
        <v>6745</v>
      </c>
      <c r="B3459" s="26" t="s">
        <v>6746</v>
      </c>
      <c r="C3459" s="52"/>
      <c r="D3459" s="55">
        <f t="shared" si="53"/>
        <v>0</v>
      </c>
      <c r="E3459" s="63" t="str">
        <f>HYPERLINK("https://www.sds-group.ru/product/ruletka-izmeritelnaya-profi-prorezinennyy-korpus-5m-h-25mm-rexant-12-9006/", "Инфо")</f>
        <v>Инфо</v>
      </c>
      <c r="F3459" s="16" t="s">
        <v>39</v>
      </c>
      <c r="G3459" s="15"/>
      <c r="H3459" s="15"/>
      <c r="I3459" s="15"/>
      <c r="J3459" s="17">
        <v>651</v>
      </c>
      <c r="K3459" s="15" t="s">
        <v>6741</v>
      </c>
      <c r="L3459" s="17">
        <v>5</v>
      </c>
      <c r="M3459" s="17">
        <v>72</v>
      </c>
      <c r="N3459" s="17">
        <v>5</v>
      </c>
      <c r="O3459" s="18">
        <v>329.13</v>
      </c>
      <c r="P3459" s="18">
        <v>269.77999999999997</v>
      </c>
      <c r="Q3459" s="18">
        <v>263.3</v>
      </c>
      <c r="R3459" s="18">
        <v>215.82</v>
      </c>
      <c r="S3459" s="18">
        <v>223.81</v>
      </c>
      <c r="T3459" s="18">
        <v>183.45</v>
      </c>
      <c r="U3459" s="16"/>
      <c r="V3459" s="16"/>
      <c r="W3459" s="16" t="s">
        <v>40</v>
      </c>
      <c r="X3459" s="19">
        <v>0.23599999999999999</v>
      </c>
      <c r="Y3459" s="20">
        <v>3.0699999999999998E-4</v>
      </c>
      <c r="Z3459" s="21">
        <v>4601004041509</v>
      </c>
    </row>
    <row r="3460" spans="1:26" ht="12" customHeight="1" outlineLevel="4" x14ac:dyDescent="0.2">
      <c r="A3460" s="14" t="s">
        <v>6747</v>
      </c>
      <c r="B3460" s="26" t="s">
        <v>6748</v>
      </c>
      <c r="C3460" s="52"/>
      <c r="D3460" s="55">
        <f t="shared" si="53"/>
        <v>0</v>
      </c>
      <c r="E3460" s="63" t="str">
        <f>HYPERLINK("https://www.sds-group.ru/product/ruletka-izmeritelnaya-profi-prorezinennyy-korpus-magnitnaya-10m-h-25mm-rexant-12-9017/", "Инфо")</f>
        <v>Инфо</v>
      </c>
      <c r="F3460" s="16" t="s">
        <v>39</v>
      </c>
      <c r="G3460" s="15"/>
      <c r="H3460" s="15"/>
      <c r="I3460" s="15"/>
      <c r="J3460" s="22">
        <v>1006</v>
      </c>
      <c r="K3460" s="15" t="s">
        <v>6744</v>
      </c>
      <c r="L3460" s="17">
        <v>1</v>
      </c>
      <c r="M3460" s="17">
        <v>36</v>
      </c>
      <c r="N3460" s="17">
        <v>1</v>
      </c>
      <c r="O3460" s="18">
        <v>696.42</v>
      </c>
      <c r="P3460" s="18">
        <v>570.84</v>
      </c>
      <c r="Q3460" s="18">
        <v>557.14</v>
      </c>
      <c r="R3460" s="18">
        <v>456.67</v>
      </c>
      <c r="S3460" s="18">
        <v>473.57</v>
      </c>
      <c r="T3460" s="18">
        <v>388.17</v>
      </c>
      <c r="U3460" s="16"/>
      <c r="V3460" s="16"/>
      <c r="W3460" s="16" t="s">
        <v>40</v>
      </c>
      <c r="X3460" s="19">
        <v>0.50800000000000001</v>
      </c>
      <c r="Y3460" s="20">
        <v>6.9099999999999999E-4</v>
      </c>
      <c r="Z3460" s="21">
        <v>4601004161757</v>
      </c>
    </row>
    <row r="3461" spans="1:26" ht="12" customHeight="1" outlineLevel="4" x14ac:dyDescent="0.2">
      <c r="A3461" s="14" t="s">
        <v>6749</v>
      </c>
      <c r="B3461" s="26" t="s">
        <v>6750</v>
      </c>
      <c r="C3461" s="52"/>
      <c r="D3461" s="55">
        <f t="shared" si="53"/>
        <v>0</v>
      </c>
      <c r="E3461" s="63" t="str">
        <f>HYPERLINK("https://www.sds-group.ru/product/ruletka-izmeritelnaya-profi-prorezinennyy-korpus-magnitnaya-3m-h-16mm-rexant-12-9012/", "Инфо")</f>
        <v>Инфо</v>
      </c>
      <c r="F3461" s="16" t="s">
        <v>39</v>
      </c>
      <c r="G3461" s="15"/>
      <c r="H3461" s="15"/>
      <c r="I3461" s="15"/>
      <c r="J3461" s="22">
        <v>2110</v>
      </c>
      <c r="K3461" s="15"/>
      <c r="L3461" s="17">
        <v>5</v>
      </c>
      <c r="M3461" s="17">
        <v>120</v>
      </c>
      <c r="N3461" s="17">
        <v>5</v>
      </c>
      <c r="O3461" s="18">
        <v>209.88</v>
      </c>
      <c r="P3461" s="18">
        <v>172.03</v>
      </c>
      <c r="Q3461" s="18">
        <v>178.4</v>
      </c>
      <c r="R3461" s="18">
        <v>146.22999999999999</v>
      </c>
      <c r="S3461" s="18">
        <v>142.72</v>
      </c>
      <c r="T3461" s="18">
        <v>116.98</v>
      </c>
      <c r="U3461" s="16"/>
      <c r="V3461" s="16"/>
      <c r="W3461" s="16" t="s">
        <v>40</v>
      </c>
      <c r="X3461" s="19">
        <v>0.14499999999999999</v>
      </c>
      <c r="Y3461" s="20">
        <v>4.8899999999999996E-4</v>
      </c>
      <c r="Z3461" s="21">
        <v>4601004161788</v>
      </c>
    </row>
    <row r="3462" spans="1:26" ht="12" customHeight="1" outlineLevel="4" x14ac:dyDescent="0.2">
      <c r="A3462" s="14" t="s">
        <v>6751</v>
      </c>
      <c r="B3462" s="26" t="s">
        <v>6752</v>
      </c>
      <c r="C3462" s="52"/>
      <c r="D3462" s="55">
        <f t="shared" si="53"/>
        <v>0</v>
      </c>
      <c r="E3462" s="63" t="str">
        <f>HYPERLINK("https://www.sds-group.ru/product/ruletka-izmeritelnaya-profi-prorezinennyy-korpus-magnitnaya-5m-h-19mm-rexant-12-9014/", "Инфо")</f>
        <v>Инфо</v>
      </c>
      <c r="F3462" s="16" t="s">
        <v>39</v>
      </c>
      <c r="G3462" s="15"/>
      <c r="H3462" s="15"/>
      <c r="I3462" s="15"/>
      <c r="J3462" s="22">
        <v>2221</v>
      </c>
      <c r="K3462" s="15"/>
      <c r="L3462" s="17">
        <v>1</v>
      </c>
      <c r="M3462" s="17">
        <v>96</v>
      </c>
      <c r="N3462" s="17">
        <v>1</v>
      </c>
      <c r="O3462" s="18">
        <v>457.92</v>
      </c>
      <c r="P3462" s="18">
        <v>375.34</v>
      </c>
      <c r="Q3462" s="18">
        <v>366.34</v>
      </c>
      <c r="R3462" s="18">
        <v>300.27999999999997</v>
      </c>
      <c r="S3462" s="18">
        <v>311.39</v>
      </c>
      <c r="T3462" s="18">
        <v>255.24</v>
      </c>
      <c r="U3462" s="16"/>
      <c r="V3462" s="16"/>
      <c r="W3462" s="16" t="s">
        <v>40</v>
      </c>
      <c r="X3462" s="19">
        <v>0.221</v>
      </c>
      <c r="Y3462" s="20">
        <v>4.5899999999999999E-4</v>
      </c>
      <c r="Z3462" s="21">
        <v>4601004161733</v>
      </c>
    </row>
    <row r="3463" spans="1:26" ht="12" customHeight="1" outlineLevel="4" x14ac:dyDescent="0.2">
      <c r="A3463" s="14" t="s">
        <v>6753</v>
      </c>
      <c r="B3463" s="26" t="s">
        <v>6754</v>
      </c>
      <c r="C3463" s="52"/>
      <c r="D3463" s="55">
        <f t="shared" si="53"/>
        <v>0</v>
      </c>
      <c r="E3463" s="63" t="str">
        <f>HYPERLINK("https://www.sds-group.ru/product/ruletka-izmeritelnaya-profi-prorezinennyy-korpus-magnitnaya-7-5m-h-25mm-rexant-12-9016/", "Инфо")</f>
        <v>Инфо</v>
      </c>
      <c r="F3463" s="16" t="s">
        <v>39</v>
      </c>
      <c r="G3463" s="15"/>
      <c r="H3463" s="15"/>
      <c r="I3463" s="15"/>
      <c r="J3463" s="17">
        <v>646</v>
      </c>
      <c r="K3463" s="15"/>
      <c r="L3463" s="17">
        <v>1</v>
      </c>
      <c r="M3463" s="17">
        <v>72</v>
      </c>
      <c r="N3463" s="17">
        <v>1</v>
      </c>
      <c r="O3463" s="18">
        <v>610.55999999999995</v>
      </c>
      <c r="P3463" s="18">
        <v>500.46</v>
      </c>
      <c r="Q3463" s="18">
        <v>488.45</v>
      </c>
      <c r="R3463" s="18">
        <v>400.37</v>
      </c>
      <c r="S3463" s="18">
        <v>415.18</v>
      </c>
      <c r="T3463" s="18">
        <v>340.31</v>
      </c>
      <c r="U3463" s="16"/>
      <c r="V3463" s="16"/>
      <c r="W3463" s="16" t="s">
        <v>40</v>
      </c>
      <c r="X3463" s="19">
        <v>0.375</v>
      </c>
      <c r="Y3463" s="20">
        <v>6.29E-4</v>
      </c>
      <c r="Z3463" s="21">
        <v>4601004161740</v>
      </c>
    </row>
    <row r="3464" spans="1:26" ht="12" customHeight="1" outlineLevel="4" x14ac:dyDescent="0.2">
      <c r="A3464" s="14" t="s">
        <v>6755</v>
      </c>
      <c r="B3464" s="26" t="s">
        <v>6756</v>
      </c>
      <c r="C3464" s="52"/>
      <c r="D3464" s="55">
        <f t="shared" si="53"/>
        <v>0</v>
      </c>
      <c r="E3464" s="63" t="str">
        <f>HYPERLINK("https://www.sds-group.ru/product/ruletka-izmeritelnaya-standart-10m-h-25mm-rexant-12-9003/", "Инфо")</f>
        <v>Инфо</v>
      </c>
      <c r="F3464" s="16" t="s">
        <v>39</v>
      </c>
      <c r="G3464" s="15"/>
      <c r="H3464" s="15"/>
      <c r="I3464" s="15"/>
      <c r="J3464" s="17">
        <v>758</v>
      </c>
      <c r="K3464" s="15" t="s">
        <v>6741</v>
      </c>
      <c r="L3464" s="17">
        <v>1</v>
      </c>
      <c r="M3464" s="17">
        <v>36</v>
      </c>
      <c r="N3464" s="17">
        <v>1</v>
      </c>
      <c r="O3464" s="18">
        <v>530</v>
      </c>
      <c r="P3464" s="18">
        <v>434.43</v>
      </c>
      <c r="Q3464" s="18">
        <v>424</v>
      </c>
      <c r="R3464" s="18">
        <v>347.54</v>
      </c>
      <c r="S3464" s="18">
        <v>360.4</v>
      </c>
      <c r="T3464" s="18">
        <v>295.41000000000003</v>
      </c>
      <c r="U3464" s="16"/>
      <c r="V3464" s="16"/>
      <c r="W3464" s="16" t="s">
        <v>40</v>
      </c>
      <c r="X3464" s="19">
        <v>0.434</v>
      </c>
      <c r="Y3464" s="20">
        <v>7.0600000000000003E-4</v>
      </c>
      <c r="Z3464" s="21">
        <v>4601004041479</v>
      </c>
    </row>
    <row r="3465" spans="1:26" ht="12" customHeight="1" outlineLevel="4" x14ac:dyDescent="0.2">
      <c r="A3465" s="14" t="s">
        <v>6757</v>
      </c>
      <c r="B3465" s="26" t="s">
        <v>6758</v>
      </c>
      <c r="C3465" s="52"/>
      <c r="D3465" s="55">
        <f t="shared" ref="D3465:D3528" si="54">C3465*(O3465-O3465*$G$3)</f>
        <v>0</v>
      </c>
      <c r="E3465" s="63" t="str">
        <f>HYPERLINK("https://www.sds-group.ru/product/ruletka-izmeritelnaya-standart-3m-h-16mm-rexant-12-9000/", "Инфо")</f>
        <v>Инфо</v>
      </c>
      <c r="F3465" s="16" t="s">
        <v>39</v>
      </c>
      <c r="G3465" s="15"/>
      <c r="H3465" s="15"/>
      <c r="I3465" s="15"/>
      <c r="J3465" s="22">
        <v>1140</v>
      </c>
      <c r="K3465" s="15" t="s">
        <v>6744</v>
      </c>
      <c r="L3465" s="17">
        <v>5</v>
      </c>
      <c r="M3465" s="17">
        <v>120</v>
      </c>
      <c r="N3465" s="17">
        <v>5</v>
      </c>
      <c r="O3465" s="18">
        <v>135.68</v>
      </c>
      <c r="P3465" s="18">
        <v>111.21</v>
      </c>
      <c r="Q3465" s="18">
        <v>115.33</v>
      </c>
      <c r="R3465" s="18">
        <v>94.53</v>
      </c>
      <c r="S3465" s="18">
        <v>92.26</v>
      </c>
      <c r="T3465" s="18">
        <v>75.62</v>
      </c>
      <c r="U3465" s="16"/>
      <c r="V3465" s="16"/>
      <c r="W3465" s="16" t="s">
        <v>40</v>
      </c>
      <c r="X3465" s="19">
        <v>0.11700000000000001</v>
      </c>
      <c r="Y3465" s="20">
        <v>4.2499999999999998E-4</v>
      </c>
      <c r="Z3465" s="21">
        <v>4601004041448</v>
      </c>
    </row>
    <row r="3466" spans="1:26" ht="12" customHeight="1" outlineLevel="4" x14ac:dyDescent="0.2">
      <c r="A3466" s="14" t="s">
        <v>6759</v>
      </c>
      <c r="B3466" s="26" t="s">
        <v>6760</v>
      </c>
      <c r="C3466" s="52"/>
      <c r="D3466" s="55">
        <f t="shared" si="54"/>
        <v>0</v>
      </c>
      <c r="E3466" s="63" t="str">
        <f>HYPERLINK("https://www.sds-group.ru/product/ruletka-izmeritelnaya-standart-5m-h-25mm-rexant-12-9002/", "Инфо")</f>
        <v>Инфо</v>
      </c>
      <c r="F3466" s="16" t="s">
        <v>39</v>
      </c>
      <c r="G3466" s="15"/>
      <c r="H3466" s="15"/>
      <c r="I3466" s="15"/>
      <c r="J3466" s="22">
        <v>4227</v>
      </c>
      <c r="K3466" s="15"/>
      <c r="L3466" s="17">
        <v>5</v>
      </c>
      <c r="M3466" s="17">
        <v>72</v>
      </c>
      <c r="N3466" s="17">
        <v>5</v>
      </c>
      <c r="O3466" s="18">
        <v>280.89999999999998</v>
      </c>
      <c r="P3466" s="18">
        <v>230.25</v>
      </c>
      <c r="Q3466" s="18">
        <v>238.77</v>
      </c>
      <c r="R3466" s="18">
        <v>195.71</v>
      </c>
      <c r="S3466" s="18">
        <v>191.01</v>
      </c>
      <c r="T3466" s="18">
        <v>156.57</v>
      </c>
      <c r="U3466" s="16"/>
      <c r="V3466" s="16"/>
      <c r="W3466" s="16" t="s">
        <v>40</v>
      </c>
      <c r="X3466" s="19">
        <v>0.23599999999999999</v>
      </c>
      <c r="Y3466" s="20">
        <v>3.0699999999999998E-4</v>
      </c>
      <c r="Z3466" s="21">
        <v>4601004041462</v>
      </c>
    </row>
    <row r="3467" spans="1:26" ht="12" customHeight="1" outlineLevel="4" x14ac:dyDescent="0.2">
      <c r="A3467" s="14" t="s">
        <v>6761</v>
      </c>
      <c r="B3467" s="26" t="s">
        <v>6762</v>
      </c>
      <c r="C3467" s="52"/>
      <c r="D3467" s="55">
        <f t="shared" si="54"/>
        <v>0</v>
      </c>
      <c r="E3467" s="63" t="str">
        <f>HYPERLINK("https://www.sds-group.ru/product/ruletka-izmeritelnaya-standart-7-5m-h-25mm-rexant-12-9008/", "Инфо")</f>
        <v>Инфо</v>
      </c>
      <c r="F3467" s="16" t="s">
        <v>39</v>
      </c>
      <c r="G3467" s="15"/>
      <c r="H3467" s="15"/>
      <c r="I3467" s="15"/>
      <c r="J3467" s="22">
        <v>1238</v>
      </c>
      <c r="K3467" s="15"/>
      <c r="L3467" s="17">
        <v>5</v>
      </c>
      <c r="M3467" s="17">
        <v>72</v>
      </c>
      <c r="N3467" s="17">
        <v>5</v>
      </c>
      <c r="O3467" s="18">
        <v>365.7</v>
      </c>
      <c r="P3467" s="18">
        <v>299.75</v>
      </c>
      <c r="Q3467" s="18">
        <v>292.56</v>
      </c>
      <c r="R3467" s="18">
        <v>239.8</v>
      </c>
      <c r="S3467" s="18">
        <v>248.68</v>
      </c>
      <c r="T3467" s="18">
        <v>203.84</v>
      </c>
      <c r="U3467" s="16"/>
      <c r="V3467" s="16"/>
      <c r="W3467" s="16" t="s">
        <v>40</v>
      </c>
      <c r="X3467" s="19">
        <v>0.31900000000000001</v>
      </c>
      <c r="Y3467" s="20">
        <v>5.53E-4</v>
      </c>
      <c r="Z3467" s="21">
        <v>4601004161764</v>
      </c>
    </row>
    <row r="3468" spans="1:26" ht="12.95" customHeight="1" outlineLevel="3" x14ac:dyDescent="0.2">
      <c r="A3468" s="76" t="s">
        <v>6763</v>
      </c>
      <c r="B3468" s="76"/>
      <c r="C3468" s="77"/>
      <c r="D3468" s="58"/>
      <c r="E3468" s="68"/>
      <c r="F3468" s="13"/>
      <c r="G3468" s="13"/>
      <c r="H3468" s="13"/>
      <c r="I3468" s="13"/>
      <c r="J3468" s="13"/>
      <c r="K3468" s="13"/>
      <c r="L3468" s="13"/>
      <c r="M3468" s="13"/>
      <c r="N3468" s="13"/>
      <c r="O3468" s="13"/>
      <c r="P3468" s="13"/>
      <c r="Q3468" s="13"/>
      <c r="R3468" s="13"/>
      <c r="S3468" s="13"/>
      <c r="T3468" s="13"/>
      <c r="U3468" s="13"/>
      <c r="V3468" s="13"/>
      <c r="W3468" s="13"/>
      <c r="X3468" s="13"/>
      <c r="Y3468" s="13"/>
      <c r="Z3468" s="13"/>
    </row>
    <row r="3469" spans="1:26" ht="12" customHeight="1" outlineLevel="4" x14ac:dyDescent="0.2">
      <c r="A3469" s="32" t="s">
        <v>6764</v>
      </c>
      <c r="B3469" s="74" t="s">
        <v>6765</v>
      </c>
      <c r="C3469" s="50"/>
      <c r="D3469" s="53">
        <f t="shared" si="54"/>
        <v>0</v>
      </c>
      <c r="E3469" s="60" t="str">
        <f>HYPERLINK("https://www.sds-group.ru/product/uroven-alyuminievyy-rels-800mm-3-glazka-1-povorotnyy-rexant-12-9212/", "Инфо")</f>
        <v>Инфо</v>
      </c>
      <c r="F3469" s="34" t="s">
        <v>39</v>
      </c>
      <c r="G3469" s="33"/>
      <c r="H3469" s="33" t="s">
        <v>40</v>
      </c>
      <c r="I3469" s="33"/>
      <c r="J3469" s="35">
        <v>1</v>
      </c>
      <c r="K3469" s="33"/>
      <c r="L3469" s="35">
        <v>1</v>
      </c>
      <c r="M3469" s="35">
        <v>30</v>
      </c>
      <c r="N3469" s="35">
        <v>1</v>
      </c>
      <c r="O3469" s="36">
        <v>560.57000000000005</v>
      </c>
      <c r="P3469" s="36">
        <v>459.48</v>
      </c>
      <c r="Q3469" s="36">
        <v>392.4</v>
      </c>
      <c r="R3469" s="36">
        <v>321.64</v>
      </c>
      <c r="S3469" s="36">
        <v>381.19</v>
      </c>
      <c r="T3469" s="36">
        <v>312.45</v>
      </c>
      <c r="U3469" s="34"/>
      <c r="V3469" s="34"/>
      <c r="W3469" s="34"/>
      <c r="X3469" s="37">
        <v>0.32400000000000001</v>
      </c>
      <c r="Y3469" s="38">
        <v>1.3649999999999999E-3</v>
      </c>
      <c r="Z3469" s="21">
        <v>4601004187733</v>
      </c>
    </row>
    <row r="3470" spans="1:26" ht="12.95" customHeight="1" outlineLevel="3" x14ac:dyDescent="0.2">
      <c r="A3470" s="76" t="s">
        <v>6766</v>
      </c>
      <c r="B3470" s="76"/>
      <c r="C3470" s="77"/>
      <c r="D3470" s="58"/>
      <c r="E3470" s="68"/>
      <c r="F3470" s="13"/>
      <c r="G3470" s="13"/>
      <c r="H3470" s="13"/>
      <c r="I3470" s="13"/>
      <c r="J3470" s="13"/>
      <c r="K3470" s="13"/>
      <c r="L3470" s="13"/>
      <c r="M3470" s="13"/>
      <c r="N3470" s="13"/>
      <c r="O3470" s="13"/>
      <c r="P3470" s="13"/>
      <c r="Q3470" s="13"/>
      <c r="R3470" s="13"/>
      <c r="S3470" s="13"/>
      <c r="T3470" s="13"/>
      <c r="U3470" s="13"/>
      <c r="V3470" s="13"/>
      <c r="W3470" s="13"/>
      <c r="X3470" s="13"/>
      <c r="Y3470" s="13"/>
      <c r="Z3470" s="13"/>
    </row>
    <row r="3471" spans="1:26" ht="12" customHeight="1" outlineLevel="4" x14ac:dyDescent="0.2">
      <c r="A3471" s="14" t="s">
        <v>6767</v>
      </c>
      <c r="B3471" s="26" t="s">
        <v>6768</v>
      </c>
      <c r="C3471" s="52"/>
      <c r="D3471" s="55">
        <f t="shared" si="54"/>
        <v>0</v>
      </c>
      <c r="E3471" s="63" t="str">
        <f>HYPERLINK("https://www.sds-group.ru/product/mikrometr-mk-0-25mm-rexant-12-9110-2/", "Инфо")</f>
        <v>Инфо</v>
      </c>
      <c r="F3471" s="16" t="s">
        <v>39</v>
      </c>
      <c r="G3471" s="15"/>
      <c r="H3471" s="15"/>
      <c r="I3471" s="15"/>
      <c r="J3471" s="17">
        <v>208</v>
      </c>
      <c r="K3471" s="15"/>
      <c r="L3471" s="17">
        <v>1</v>
      </c>
      <c r="M3471" s="17">
        <v>60</v>
      </c>
      <c r="N3471" s="17">
        <v>1</v>
      </c>
      <c r="O3471" s="18">
        <v>1749</v>
      </c>
      <c r="P3471" s="18">
        <v>1433.61</v>
      </c>
      <c r="Q3471" s="18">
        <v>1224.3</v>
      </c>
      <c r="R3471" s="18">
        <v>1003.52</v>
      </c>
      <c r="S3471" s="18">
        <v>1189.32</v>
      </c>
      <c r="T3471" s="18">
        <v>974.85</v>
      </c>
      <c r="U3471" s="16"/>
      <c r="V3471" s="16"/>
      <c r="W3471" s="16"/>
      <c r="X3471" s="19">
        <v>0.25900000000000001</v>
      </c>
      <c r="Y3471" s="20">
        <v>2.8499999999999999E-4</v>
      </c>
      <c r="Z3471" s="21">
        <v>4601004165885</v>
      </c>
    </row>
    <row r="3472" spans="1:26" ht="12" customHeight="1" outlineLevel="4" x14ac:dyDescent="0.2">
      <c r="A3472" s="14" t="s">
        <v>6769</v>
      </c>
      <c r="B3472" s="26" t="s">
        <v>6770</v>
      </c>
      <c r="C3472" s="52"/>
      <c r="D3472" s="55">
        <f t="shared" si="54"/>
        <v>0</v>
      </c>
      <c r="E3472" s="63" t="str">
        <f>HYPERLINK("https://www.sds-group.ru/product/shtangentsirkul-strelochnyy-150mm-rexant-12-9106/", "Инфо")</f>
        <v>Инфо</v>
      </c>
      <c r="F3472" s="16" t="s">
        <v>39</v>
      </c>
      <c r="G3472" s="15"/>
      <c r="H3472" s="15"/>
      <c r="I3472" s="15"/>
      <c r="J3472" s="17">
        <v>55</v>
      </c>
      <c r="K3472" s="15"/>
      <c r="L3472" s="17">
        <v>1</v>
      </c>
      <c r="M3472" s="17">
        <v>50</v>
      </c>
      <c r="N3472" s="17">
        <v>1</v>
      </c>
      <c r="O3472" s="18">
        <v>3127</v>
      </c>
      <c r="P3472" s="18">
        <v>2563.11</v>
      </c>
      <c r="Q3472" s="18">
        <v>2282.71</v>
      </c>
      <c r="R3472" s="18">
        <v>1871.07</v>
      </c>
      <c r="S3472" s="18">
        <v>2126.36</v>
      </c>
      <c r="T3472" s="18">
        <v>1742.92</v>
      </c>
      <c r="U3472" s="16"/>
      <c r="V3472" s="16"/>
      <c r="W3472" s="16" t="s">
        <v>40</v>
      </c>
      <c r="X3472" s="19">
        <v>0.378</v>
      </c>
      <c r="Y3472" s="20">
        <v>9.1500000000000001E-4</v>
      </c>
      <c r="Z3472" s="21">
        <v>4601004165861</v>
      </c>
    </row>
    <row r="3473" spans="1:26" ht="12" customHeight="1" outlineLevel="4" x14ac:dyDescent="0.2">
      <c r="A3473" s="14" t="s">
        <v>6771</v>
      </c>
      <c r="B3473" s="26" t="s">
        <v>6772</v>
      </c>
      <c r="C3473" s="52"/>
      <c r="D3473" s="55">
        <f t="shared" si="54"/>
        <v>0</v>
      </c>
      <c r="E3473" s="63" t="str">
        <f>HYPERLINK("https://www.sds-group.ru/product/shtangentsirkul-shts-150mm-rexant-12-9101-2/", "Инфо")</f>
        <v>Инфо</v>
      </c>
      <c r="F3473" s="16" t="s">
        <v>39</v>
      </c>
      <c r="G3473" s="15"/>
      <c r="H3473" s="15"/>
      <c r="I3473" s="15"/>
      <c r="J3473" s="17">
        <v>823</v>
      </c>
      <c r="K3473" s="15"/>
      <c r="L3473" s="17">
        <v>1</v>
      </c>
      <c r="M3473" s="17">
        <v>50</v>
      </c>
      <c r="N3473" s="17">
        <v>1</v>
      </c>
      <c r="O3473" s="18">
        <v>1060</v>
      </c>
      <c r="P3473" s="18">
        <v>868.85</v>
      </c>
      <c r="Q3473" s="18">
        <v>795</v>
      </c>
      <c r="R3473" s="18">
        <v>651.64</v>
      </c>
      <c r="S3473" s="18">
        <v>720.8</v>
      </c>
      <c r="T3473" s="18">
        <v>590.82000000000005</v>
      </c>
      <c r="U3473" s="16"/>
      <c r="V3473" s="16"/>
      <c r="W3473" s="16" t="s">
        <v>40</v>
      </c>
      <c r="X3473" s="19">
        <v>0.28199999999999997</v>
      </c>
      <c r="Y3473" s="20">
        <v>6.69E-4</v>
      </c>
      <c r="Z3473" s="21">
        <v>4601004165908</v>
      </c>
    </row>
    <row r="3474" spans="1:26" ht="12" customHeight="1" outlineLevel="4" x14ac:dyDescent="0.2">
      <c r="A3474" s="32" t="s">
        <v>6773</v>
      </c>
      <c r="B3474" s="74" t="s">
        <v>6774</v>
      </c>
      <c r="C3474" s="50"/>
      <c r="D3474" s="53">
        <f t="shared" si="54"/>
        <v>0</v>
      </c>
      <c r="E3474" s="60" t="str">
        <f>HYPERLINK("https://www.sds-group.ru/product/shtangentsirkul-shts-250mm-rexant-12-9102/", "Инфо")</f>
        <v>Инфо</v>
      </c>
      <c r="F3474" s="34" t="s">
        <v>39</v>
      </c>
      <c r="G3474" s="33"/>
      <c r="H3474" s="33" t="s">
        <v>40</v>
      </c>
      <c r="I3474" s="33"/>
      <c r="J3474" s="35">
        <v>330</v>
      </c>
      <c r="K3474" s="33"/>
      <c r="L3474" s="35">
        <v>1</v>
      </c>
      <c r="M3474" s="35">
        <v>20</v>
      </c>
      <c r="N3474" s="35">
        <v>1</v>
      </c>
      <c r="O3474" s="36">
        <v>2756</v>
      </c>
      <c r="P3474" s="36">
        <v>2259.02</v>
      </c>
      <c r="Q3474" s="36">
        <v>1929.2</v>
      </c>
      <c r="R3474" s="36">
        <v>1581.31</v>
      </c>
      <c r="S3474" s="36">
        <v>1874.08</v>
      </c>
      <c r="T3474" s="36">
        <v>1536.13</v>
      </c>
      <c r="U3474" s="34"/>
      <c r="V3474" s="34"/>
      <c r="W3474" s="34"/>
      <c r="X3474" s="37">
        <v>0.58399999999999996</v>
      </c>
      <c r="Y3474" s="38">
        <v>1.92E-3</v>
      </c>
      <c r="Z3474" s="21">
        <v>4601004165878</v>
      </c>
    </row>
    <row r="3475" spans="1:26" ht="12" customHeight="1" outlineLevel="4" x14ac:dyDescent="0.2">
      <c r="A3475" s="14" t="s">
        <v>6775</v>
      </c>
      <c r="B3475" s="26" t="s">
        <v>6776</v>
      </c>
      <c r="C3475" s="52"/>
      <c r="D3475" s="55">
        <f t="shared" si="54"/>
        <v>0</v>
      </c>
      <c r="E3475" s="63" t="str">
        <f>HYPERLINK("https://www.sds-group.ru/product/elektronnyy-shtangentsirkul-150mm-rexant-12-9100/", "Инфо")</f>
        <v>Инфо</v>
      </c>
      <c r="F3475" s="16" t="s">
        <v>39</v>
      </c>
      <c r="G3475" s="15"/>
      <c r="H3475" s="15"/>
      <c r="I3475" s="15"/>
      <c r="J3475" s="22">
        <v>1039</v>
      </c>
      <c r="K3475" s="15"/>
      <c r="L3475" s="17">
        <v>1</v>
      </c>
      <c r="M3475" s="17">
        <v>50</v>
      </c>
      <c r="N3475" s="17">
        <v>1</v>
      </c>
      <c r="O3475" s="18">
        <v>1982.2</v>
      </c>
      <c r="P3475" s="18">
        <v>1624.75</v>
      </c>
      <c r="Q3475" s="18">
        <v>1526.29</v>
      </c>
      <c r="R3475" s="18">
        <v>1251.06</v>
      </c>
      <c r="S3475" s="18">
        <v>1347.9</v>
      </c>
      <c r="T3475" s="18">
        <v>1104.8399999999999</v>
      </c>
      <c r="U3475" s="16"/>
      <c r="V3475" s="16"/>
      <c r="W3475" s="16" t="s">
        <v>40</v>
      </c>
      <c r="X3475" s="19">
        <v>0.33400000000000002</v>
      </c>
      <c r="Y3475" s="20">
        <v>8.9700000000000001E-4</v>
      </c>
      <c r="Z3475" s="21">
        <v>4601004057999</v>
      </c>
    </row>
    <row r="3476" spans="1:26" ht="12.95" customHeight="1" outlineLevel="2" x14ac:dyDescent="0.2">
      <c r="A3476" s="76" t="s">
        <v>6777</v>
      </c>
      <c r="B3476" s="76"/>
      <c r="C3476" s="77"/>
      <c r="D3476" s="58"/>
      <c r="E3476" s="68"/>
      <c r="F3476" s="13"/>
      <c r="G3476" s="13"/>
      <c r="H3476" s="13"/>
      <c r="I3476" s="13"/>
      <c r="J3476" s="13"/>
      <c r="K3476" s="13"/>
      <c r="L3476" s="13"/>
      <c r="M3476" s="13"/>
      <c r="N3476" s="13"/>
      <c r="O3476" s="13"/>
      <c r="P3476" s="13"/>
      <c r="Q3476" s="13"/>
      <c r="R3476" s="13"/>
      <c r="S3476" s="13"/>
      <c r="T3476" s="13"/>
      <c r="U3476" s="13"/>
      <c r="V3476" s="13"/>
      <c r="W3476" s="13"/>
      <c r="X3476" s="13"/>
      <c r="Y3476" s="13"/>
      <c r="Z3476" s="13"/>
    </row>
    <row r="3477" spans="1:26" ht="12.95" customHeight="1" outlineLevel="3" x14ac:dyDescent="0.2">
      <c r="A3477" s="76" t="s">
        <v>6778</v>
      </c>
      <c r="B3477" s="76"/>
      <c r="C3477" s="77"/>
      <c r="D3477" s="58"/>
      <c r="E3477" s="68"/>
      <c r="F3477" s="13"/>
      <c r="G3477" s="13"/>
      <c r="H3477" s="13"/>
      <c r="I3477" s="13"/>
      <c r="J3477" s="13"/>
      <c r="K3477" s="13"/>
      <c r="L3477" s="13"/>
      <c r="M3477" s="13"/>
      <c r="N3477" s="13"/>
      <c r="O3477" s="13"/>
      <c r="P3477" s="13"/>
      <c r="Q3477" s="13"/>
      <c r="R3477" s="13"/>
      <c r="S3477" s="13"/>
      <c r="T3477" s="13"/>
      <c r="U3477" s="13"/>
      <c r="V3477" s="13"/>
      <c r="W3477" s="13"/>
      <c r="X3477" s="13"/>
      <c r="Y3477" s="13"/>
      <c r="Z3477" s="13"/>
    </row>
    <row r="3478" spans="1:26" ht="12" customHeight="1" outlineLevel="4" x14ac:dyDescent="0.2">
      <c r="A3478" s="14" t="s">
        <v>6779</v>
      </c>
      <c r="B3478" s="26" t="s">
        <v>6780</v>
      </c>
      <c r="C3478" s="52"/>
      <c r="D3478" s="55">
        <f t="shared" si="54"/>
        <v>0</v>
      </c>
      <c r="E3478" s="63" t="str">
        <f>HYPERLINK("https://www.sds-group.ru/product/zaklepki-3-2x10mm-50-sht-rexant-12-5343/", "Инфо")</f>
        <v>Инфо</v>
      </c>
      <c r="F3478" s="16" t="s">
        <v>1001</v>
      </c>
      <c r="G3478" s="15"/>
      <c r="H3478" s="15"/>
      <c r="I3478" s="15"/>
      <c r="J3478" s="22">
        <v>6850</v>
      </c>
      <c r="K3478" s="15"/>
      <c r="L3478" s="17">
        <v>10</v>
      </c>
      <c r="M3478" s="17">
        <v>20</v>
      </c>
      <c r="N3478" s="17">
        <v>10</v>
      </c>
      <c r="O3478" s="18">
        <v>123.98</v>
      </c>
      <c r="P3478" s="18">
        <v>101.62</v>
      </c>
      <c r="Q3478" s="18">
        <v>86.79</v>
      </c>
      <c r="R3478" s="18">
        <v>71.14</v>
      </c>
      <c r="S3478" s="18">
        <v>84.31</v>
      </c>
      <c r="T3478" s="18">
        <v>69.11</v>
      </c>
      <c r="U3478" s="16"/>
      <c r="V3478" s="16"/>
      <c r="W3478" s="16"/>
      <c r="X3478" s="19">
        <v>4.9000000000000002E-2</v>
      </c>
      <c r="Y3478" s="20">
        <v>1.6000000000000001E-4</v>
      </c>
      <c r="Z3478" s="21">
        <v>4601004102217</v>
      </c>
    </row>
    <row r="3479" spans="1:26" ht="12" customHeight="1" outlineLevel="4" x14ac:dyDescent="0.2">
      <c r="A3479" s="14" t="s">
        <v>6781</v>
      </c>
      <c r="B3479" s="26" t="s">
        <v>6782</v>
      </c>
      <c r="C3479" s="52"/>
      <c r="D3479" s="55">
        <f t="shared" si="54"/>
        <v>0</v>
      </c>
      <c r="E3479" s="63" t="str">
        <f>HYPERLINK("https://www.sds-group.ru/product/zaklepki-3-2x6mm-50-sht-rexant-12-5341/", "Инфо")</f>
        <v>Инфо</v>
      </c>
      <c r="F3479" s="16" t="s">
        <v>1001</v>
      </c>
      <c r="G3479" s="15"/>
      <c r="H3479" s="15"/>
      <c r="I3479" s="15"/>
      <c r="J3479" s="17">
        <v>375</v>
      </c>
      <c r="K3479" s="15"/>
      <c r="L3479" s="17">
        <v>10</v>
      </c>
      <c r="M3479" s="17">
        <v>20</v>
      </c>
      <c r="N3479" s="17">
        <v>10</v>
      </c>
      <c r="O3479" s="18">
        <v>107.8</v>
      </c>
      <c r="P3479" s="18">
        <v>88.36</v>
      </c>
      <c r="Q3479" s="18">
        <v>75.459999999999994</v>
      </c>
      <c r="R3479" s="18">
        <v>61.85</v>
      </c>
      <c r="S3479" s="18">
        <v>73.3</v>
      </c>
      <c r="T3479" s="18">
        <v>60.08</v>
      </c>
      <c r="U3479" s="16"/>
      <c r="V3479" s="16"/>
      <c r="W3479" s="16"/>
      <c r="X3479" s="19">
        <v>4.4999999999999998E-2</v>
      </c>
      <c r="Y3479" s="20">
        <v>1.35E-4</v>
      </c>
      <c r="Z3479" s="21">
        <v>4601004102354</v>
      </c>
    </row>
    <row r="3480" spans="1:26" ht="12" customHeight="1" outlineLevel="4" x14ac:dyDescent="0.2">
      <c r="A3480" s="14" t="s">
        <v>6783</v>
      </c>
      <c r="B3480" s="26" t="s">
        <v>6784</v>
      </c>
      <c r="C3480" s="52"/>
      <c r="D3480" s="55">
        <f t="shared" si="54"/>
        <v>0</v>
      </c>
      <c r="E3480" s="63" t="str">
        <f>HYPERLINK("https://www.sds-group.ru/product/zaklepki-3-2x8mm-50-sht-rexant-12-5342/", "Инфо")</f>
        <v>Инфо</v>
      </c>
      <c r="F3480" s="16" t="s">
        <v>1001</v>
      </c>
      <c r="G3480" s="15"/>
      <c r="H3480" s="15"/>
      <c r="I3480" s="15"/>
      <c r="J3480" s="17">
        <v>974</v>
      </c>
      <c r="K3480" s="15"/>
      <c r="L3480" s="17">
        <v>10</v>
      </c>
      <c r="M3480" s="17">
        <v>20</v>
      </c>
      <c r="N3480" s="17">
        <v>10</v>
      </c>
      <c r="O3480" s="18">
        <v>118.58</v>
      </c>
      <c r="P3480" s="18">
        <v>97.2</v>
      </c>
      <c r="Q3480" s="18">
        <v>83.01</v>
      </c>
      <c r="R3480" s="18">
        <v>68.040000000000006</v>
      </c>
      <c r="S3480" s="18">
        <v>80.63</v>
      </c>
      <c r="T3480" s="18">
        <v>66.09</v>
      </c>
      <c r="U3480" s="16"/>
      <c r="V3480" s="16"/>
      <c r="W3480" s="16"/>
      <c r="X3480" s="19">
        <v>4.9000000000000002E-2</v>
      </c>
      <c r="Y3480" s="20">
        <v>1.1900000000000001E-4</v>
      </c>
      <c r="Z3480" s="21">
        <v>4601004102200</v>
      </c>
    </row>
    <row r="3481" spans="1:26" ht="12" customHeight="1" outlineLevel="4" x14ac:dyDescent="0.2">
      <c r="A3481" s="14" t="s">
        <v>6785</v>
      </c>
      <c r="B3481" s="26" t="s">
        <v>6786</v>
      </c>
      <c r="C3481" s="52"/>
      <c r="D3481" s="55">
        <f t="shared" si="54"/>
        <v>0</v>
      </c>
      <c r="E3481" s="63" t="str">
        <f>HYPERLINK("https://www.sds-group.ru/product/zaklepki-4-0x10mm-50-sht-rexant-12-5353/", "Инфо")</f>
        <v>Инфо</v>
      </c>
      <c r="F3481" s="16" t="s">
        <v>1001</v>
      </c>
      <c r="G3481" s="15"/>
      <c r="H3481" s="15"/>
      <c r="I3481" s="15"/>
      <c r="J3481" s="22">
        <v>4407</v>
      </c>
      <c r="K3481" s="15"/>
      <c r="L3481" s="17">
        <v>10</v>
      </c>
      <c r="M3481" s="17">
        <v>20</v>
      </c>
      <c r="N3481" s="17">
        <v>10</v>
      </c>
      <c r="O3481" s="18">
        <v>145.54</v>
      </c>
      <c r="P3481" s="18">
        <v>119.3</v>
      </c>
      <c r="Q3481" s="18">
        <v>101.88</v>
      </c>
      <c r="R3481" s="18">
        <v>83.51</v>
      </c>
      <c r="S3481" s="18">
        <v>98.97</v>
      </c>
      <c r="T3481" s="18">
        <v>81.12</v>
      </c>
      <c r="U3481" s="16"/>
      <c r="V3481" s="16"/>
      <c r="W3481" s="16"/>
      <c r="X3481" s="19">
        <v>6.5000000000000002E-2</v>
      </c>
      <c r="Y3481" s="20">
        <v>1.9699999999999999E-4</v>
      </c>
      <c r="Z3481" s="21">
        <v>4601004102255</v>
      </c>
    </row>
    <row r="3482" spans="1:26" ht="12" customHeight="1" outlineLevel="4" x14ac:dyDescent="0.2">
      <c r="A3482" s="14" t="s">
        <v>6787</v>
      </c>
      <c r="B3482" s="26" t="s">
        <v>6788</v>
      </c>
      <c r="C3482" s="52"/>
      <c r="D3482" s="55">
        <f t="shared" si="54"/>
        <v>0</v>
      </c>
      <c r="E3482" s="63" t="str">
        <f>HYPERLINK("https://www.sds-group.ru/product/zaklepki-4-0x12mm-50-sht-rexant-12-5354/", "Инфо")</f>
        <v>Инфо</v>
      </c>
      <c r="F3482" s="16" t="s">
        <v>1001</v>
      </c>
      <c r="G3482" s="15"/>
      <c r="H3482" s="15"/>
      <c r="I3482" s="15"/>
      <c r="J3482" s="17">
        <v>919</v>
      </c>
      <c r="K3482" s="15"/>
      <c r="L3482" s="17">
        <v>10</v>
      </c>
      <c r="M3482" s="17">
        <v>20</v>
      </c>
      <c r="N3482" s="17">
        <v>10</v>
      </c>
      <c r="O3482" s="18">
        <v>167.1</v>
      </c>
      <c r="P3482" s="18">
        <v>136.97</v>
      </c>
      <c r="Q3482" s="18">
        <v>116.97</v>
      </c>
      <c r="R3482" s="18">
        <v>95.88</v>
      </c>
      <c r="S3482" s="18">
        <v>113.63</v>
      </c>
      <c r="T3482" s="18">
        <v>93.14</v>
      </c>
      <c r="U3482" s="16"/>
      <c r="V3482" s="16"/>
      <c r="W3482" s="16"/>
      <c r="X3482" s="19">
        <v>7.1999999999999995E-2</v>
      </c>
      <c r="Y3482" s="20">
        <v>3.1100000000000002E-4</v>
      </c>
      <c r="Z3482" s="21">
        <v>4601004102262</v>
      </c>
    </row>
    <row r="3483" spans="1:26" ht="12" customHeight="1" outlineLevel="4" x14ac:dyDescent="0.2">
      <c r="A3483" s="14" t="s">
        <v>6789</v>
      </c>
      <c r="B3483" s="26" t="s">
        <v>6790</v>
      </c>
      <c r="C3483" s="52"/>
      <c r="D3483" s="55">
        <f t="shared" si="54"/>
        <v>0</v>
      </c>
      <c r="E3483" s="63" t="str">
        <f>HYPERLINK("https://www.sds-group.ru/product/zaklepki-4-0x16mm-50-sht-rexant-12-5356/", "Инфо")</f>
        <v>Инфо</v>
      </c>
      <c r="F3483" s="16" t="s">
        <v>1001</v>
      </c>
      <c r="G3483" s="15"/>
      <c r="H3483" s="15"/>
      <c r="I3483" s="15"/>
      <c r="J3483" s="22">
        <v>2001</v>
      </c>
      <c r="K3483" s="15"/>
      <c r="L3483" s="17">
        <v>10</v>
      </c>
      <c r="M3483" s="17">
        <v>20</v>
      </c>
      <c r="N3483" s="17">
        <v>10</v>
      </c>
      <c r="O3483" s="18">
        <v>199.44</v>
      </c>
      <c r="P3483" s="18">
        <v>163.47999999999999</v>
      </c>
      <c r="Q3483" s="18">
        <v>139.61000000000001</v>
      </c>
      <c r="R3483" s="18">
        <v>114.43</v>
      </c>
      <c r="S3483" s="18">
        <v>135.62</v>
      </c>
      <c r="T3483" s="18">
        <v>111.16</v>
      </c>
      <c r="U3483" s="16"/>
      <c r="V3483" s="16"/>
      <c r="W3483" s="16"/>
      <c r="X3483" s="19">
        <v>8.5000000000000006E-2</v>
      </c>
      <c r="Y3483" s="20">
        <v>1.7799999999999999E-4</v>
      </c>
      <c r="Z3483" s="21">
        <v>4601004102286</v>
      </c>
    </row>
    <row r="3484" spans="1:26" ht="12" customHeight="1" outlineLevel="4" x14ac:dyDescent="0.2">
      <c r="A3484" s="14" t="s">
        <v>6791</v>
      </c>
      <c r="B3484" s="26" t="s">
        <v>6792</v>
      </c>
      <c r="C3484" s="52"/>
      <c r="D3484" s="55">
        <f t="shared" si="54"/>
        <v>0</v>
      </c>
      <c r="E3484" s="63" t="str">
        <f>HYPERLINK("https://www.sds-group.ru/product/zaklepki-4-8x10mm-50-sht-rexant-12-5363/", "Инфо")</f>
        <v>Инфо</v>
      </c>
      <c r="F3484" s="16" t="s">
        <v>1001</v>
      </c>
      <c r="G3484" s="15"/>
      <c r="H3484" s="15"/>
      <c r="I3484" s="15"/>
      <c r="J3484" s="17">
        <v>253</v>
      </c>
      <c r="K3484" s="15"/>
      <c r="L3484" s="17">
        <v>5</v>
      </c>
      <c r="M3484" s="17">
        <v>20</v>
      </c>
      <c r="N3484" s="17">
        <v>5</v>
      </c>
      <c r="O3484" s="18">
        <v>231.78</v>
      </c>
      <c r="P3484" s="18">
        <v>189.98</v>
      </c>
      <c r="Q3484" s="18">
        <v>162.25</v>
      </c>
      <c r="R3484" s="18">
        <v>132.99</v>
      </c>
      <c r="S3484" s="18">
        <v>157.61000000000001</v>
      </c>
      <c r="T3484" s="18">
        <v>129.19</v>
      </c>
      <c r="U3484" s="16"/>
      <c r="V3484" s="16"/>
      <c r="W3484" s="16"/>
      <c r="X3484" s="19">
        <v>9.7000000000000003E-2</v>
      </c>
      <c r="Y3484" s="20">
        <v>2.3800000000000001E-4</v>
      </c>
      <c r="Z3484" s="21">
        <v>4601004102309</v>
      </c>
    </row>
    <row r="3485" spans="1:26" ht="12" customHeight="1" outlineLevel="4" x14ac:dyDescent="0.2">
      <c r="A3485" s="14" t="s">
        <v>6793</v>
      </c>
      <c r="B3485" s="26" t="s">
        <v>6794</v>
      </c>
      <c r="C3485" s="52"/>
      <c r="D3485" s="55">
        <f t="shared" si="54"/>
        <v>0</v>
      </c>
      <c r="E3485" s="63" t="str">
        <f>HYPERLINK("https://www.sds-group.ru/product/zaklepki-4-8x12mm-50-sht-rexant-12-5364/", "Инфо")</f>
        <v>Инфо</v>
      </c>
      <c r="F3485" s="16" t="s">
        <v>1001</v>
      </c>
      <c r="G3485" s="15"/>
      <c r="H3485" s="15"/>
      <c r="I3485" s="15"/>
      <c r="J3485" s="17">
        <v>262</v>
      </c>
      <c r="K3485" s="15"/>
      <c r="L3485" s="17">
        <v>5</v>
      </c>
      <c r="M3485" s="17">
        <v>20</v>
      </c>
      <c r="N3485" s="17">
        <v>5</v>
      </c>
      <c r="O3485" s="18">
        <v>242.56</v>
      </c>
      <c r="P3485" s="18">
        <v>198.82</v>
      </c>
      <c r="Q3485" s="18">
        <v>169.79</v>
      </c>
      <c r="R3485" s="18">
        <v>139.16999999999999</v>
      </c>
      <c r="S3485" s="18">
        <v>164.94</v>
      </c>
      <c r="T3485" s="18">
        <v>135.19999999999999</v>
      </c>
      <c r="U3485" s="16"/>
      <c r="V3485" s="16"/>
      <c r="W3485" s="16"/>
      <c r="X3485" s="19">
        <v>0.11799999999999999</v>
      </c>
      <c r="Y3485" s="20">
        <v>1.26E-4</v>
      </c>
      <c r="Z3485" s="21">
        <v>4601004102316</v>
      </c>
    </row>
    <row r="3486" spans="1:26" ht="12.95" customHeight="1" outlineLevel="3" x14ac:dyDescent="0.2">
      <c r="A3486" s="76" t="s">
        <v>6795</v>
      </c>
      <c r="B3486" s="76"/>
      <c r="C3486" s="77"/>
      <c r="D3486" s="58"/>
      <c r="E3486" s="68"/>
      <c r="F3486" s="13"/>
      <c r="G3486" s="13"/>
      <c r="H3486" s="13"/>
      <c r="I3486" s="13"/>
      <c r="J3486" s="13"/>
      <c r="K3486" s="13"/>
      <c r="L3486" s="13"/>
      <c r="M3486" s="13"/>
      <c r="N3486" s="13"/>
      <c r="O3486" s="13"/>
      <c r="P3486" s="13"/>
      <c r="Q3486" s="13"/>
      <c r="R3486" s="13"/>
      <c r="S3486" s="13"/>
      <c r="T3486" s="13"/>
      <c r="U3486" s="13"/>
      <c r="V3486" s="13"/>
      <c r="W3486" s="13"/>
      <c r="X3486" s="13"/>
      <c r="Y3486" s="13"/>
      <c r="Z3486" s="13"/>
    </row>
    <row r="3487" spans="1:26" ht="12" customHeight="1" outlineLevel="4" x14ac:dyDescent="0.2">
      <c r="A3487" s="14" t="s">
        <v>6796</v>
      </c>
      <c r="B3487" s="26" t="s">
        <v>6797</v>
      </c>
      <c r="C3487" s="52"/>
      <c r="D3487" s="55">
        <f t="shared" si="54"/>
        <v>0</v>
      </c>
      <c r="E3487" s="63" t="str">
        <f>HYPERLINK("https://www.sds-group.ru/product/stepler-mebelnyy-metallicheskiy-rexant-12-5402/", "Инфо")</f>
        <v>Инфо</v>
      </c>
      <c r="F3487" s="16" t="s">
        <v>39</v>
      </c>
      <c r="G3487" s="15"/>
      <c r="H3487" s="15"/>
      <c r="I3487" s="15"/>
      <c r="J3487" s="22">
        <v>1620</v>
      </c>
      <c r="K3487" s="15" t="s">
        <v>6798</v>
      </c>
      <c r="L3487" s="17">
        <v>1</v>
      </c>
      <c r="M3487" s="17">
        <v>40</v>
      </c>
      <c r="N3487" s="17">
        <v>1</v>
      </c>
      <c r="O3487" s="18">
        <v>773.8</v>
      </c>
      <c r="P3487" s="18">
        <v>634.26</v>
      </c>
      <c r="Q3487" s="18">
        <v>619.04</v>
      </c>
      <c r="R3487" s="18">
        <v>507.41</v>
      </c>
      <c r="S3487" s="18">
        <v>526.17999999999995</v>
      </c>
      <c r="T3487" s="18">
        <v>431.3</v>
      </c>
      <c r="U3487" s="16"/>
      <c r="V3487" s="16"/>
      <c r="W3487" s="16" t="s">
        <v>40</v>
      </c>
      <c r="X3487" s="19">
        <v>0.56799999999999995</v>
      </c>
      <c r="Y3487" s="20">
        <v>1.0579999999999999E-3</v>
      </c>
      <c r="Z3487" s="21">
        <v>4601004085831</v>
      </c>
    </row>
    <row r="3488" spans="1:26" ht="12" customHeight="1" outlineLevel="4" x14ac:dyDescent="0.2">
      <c r="A3488" s="14" t="s">
        <v>6799</v>
      </c>
      <c r="B3488" s="26" t="s">
        <v>6800</v>
      </c>
      <c r="C3488" s="52"/>
      <c r="D3488" s="55">
        <f t="shared" si="54"/>
        <v>0</v>
      </c>
      <c r="E3488" s="63" t="str">
        <f>HYPERLINK("https://www.sds-group.ru/product/stepler-mebelnyy-metallicheskiy-so-vstavkami-3v1-rexant-12-5403/", "Инфо")</f>
        <v>Инфо</v>
      </c>
      <c r="F3488" s="16" t="s">
        <v>39</v>
      </c>
      <c r="G3488" s="15"/>
      <c r="H3488" s="15"/>
      <c r="I3488" s="15"/>
      <c r="J3488" s="22">
        <v>1759</v>
      </c>
      <c r="K3488" s="15"/>
      <c r="L3488" s="17">
        <v>1</v>
      </c>
      <c r="M3488" s="17">
        <v>40</v>
      </c>
      <c r="N3488" s="17">
        <v>1</v>
      </c>
      <c r="O3488" s="18">
        <v>784.4</v>
      </c>
      <c r="P3488" s="18">
        <v>642.95000000000005</v>
      </c>
      <c r="Q3488" s="18">
        <v>627.52</v>
      </c>
      <c r="R3488" s="18">
        <v>514.36</v>
      </c>
      <c r="S3488" s="18">
        <v>533.39</v>
      </c>
      <c r="T3488" s="18">
        <v>437.2</v>
      </c>
      <c r="U3488" s="16"/>
      <c r="V3488" s="16"/>
      <c r="W3488" s="16" t="s">
        <v>40</v>
      </c>
      <c r="X3488" s="19">
        <v>0.58099999999999996</v>
      </c>
      <c r="Y3488" s="20">
        <v>1.0629999999999999E-3</v>
      </c>
      <c r="Z3488" s="21">
        <v>4601004085848</v>
      </c>
    </row>
    <row r="3489" spans="1:26" ht="12" customHeight="1" outlineLevel="4" x14ac:dyDescent="0.2">
      <c r="A3489" s="14" t="s">
        <v>6801</v>
      </c>
      <c r="B3489" s="26" t="s">
        <v>6802</v>
      </c>
      <c r="C3489" s="52"/>
      <c r="D3489" s="55">
        <f t="shared" si="54"/>
        <v>0</v>
      </c>
      <c r="E3489" s="63" t="str">
        <f>HYPERLINK("https://www.sds-group.ru/product/stepler-mebelnyy-s-metallicheskoy-ruchkoy-rexant-12-5401/", "Инфо")</f>
        <v>Инфо</v>
      </c>
      <c r="F3489" s="16" t="s">
        <v>39</v>
      </c>
      <c r="G3489" s="15"/>
      <c r="H3489" s="15"/>
      <c r="I3489" s="15"/>
      <c r="J3489" s="17">
        <v>31</v>
      </c>
      <c r="K3489" s="15" t="s">
        <v>6798</v>
      </c>
      <c r="L3489" s="17">
        <v>1</v>
      </c>
      <c r="M3489" s="17">
        <v>40</v>
      </c>
      <c r="N3489" s="17">
        <v>1</v>
      </c>
      <c r="O3489" s="18">
        <v>413.4</v>
      </c>
      <c r="P3489" s="18">
        <v>338.85</v>
      </c>
      <c r="Q3489" s="18">
        <v>330.72</v>
      </c>
      <c r="R3489" s="18">
        <v>271.08</v>
      </c>
      <c r="S3489" s="18">
        <v>281.11</v>
      </c>
      <c r="T3489" s="18">
        <v>230.42</v>
      </c>
      <c r="U3489" s="16"/>
      <c r="V3489" s="16"/>
      <c r="W3489" s="16" t="s">
        <v>40</v>
      </c>
      <c r="X3489" s="19">
        <v>0.38400000000000001</v>
      </c>
      <c r="Y3489" s="20">
        <v>9.4799999999999995E-4</v>
      </c>
      <c r="Z3489" s="21">
        <v>4601004085824</v>
      </c>
    </row>
    <row r="3490" spans="1:26" ht="12.95" customHeight="1" outlineLevel="3" x14ac:dyDescent="0.2">
      <c r="A3490" s="76" t="s">
        <v>6803</v>
      </c>
      <c r="B3490" s="76"/>
      <c r="C3490" s="77"/>
      <c r="D3490" s="58"/>
      <c r="E3490" s="68"/>
      <c r="F3490" s="13"/>
      <c r="G3490" s="13"/>
      <c r="H3490" s="13"/>
      <c r="I3490" s="13"/>
      <c r="J3490" s="13"/>
      <c r="K3490" s="13"/>
      <c r="L3490" s="13"/>
      <c r="M3490" s="13"/>
      <c r="N3490" s="13"/>
      <c r="O3490" s="13"/>
      <c r="P3490" s="13"/>
      <c r="Q3490" s="13"/>
      <c r="R3490" s="13"/>
      <c r="S3490" s="13"/>
      <c r="T3490" s="13"/>
      <c r="U3490" s="13"/>
      <c r="V3490" s="13"/>
      <c r="W3490" s="13"/>
      <c r="X3490" s="13"/>
      <c r="Y3490" s="13"/>
      <c r="Z3490" s="13"/>
    </row>
    <row r="3491" spans="1:26" ht="12" customHeight="1" outlineLevel="4" x14ac:dyDescent="0.2">
      <c r="A3491" s="14" t="s">
        <v>6804</v>
      </c>
      <c r="B3491" s="26" t="s">
        <v>6805</v>
      </c>
      <c r="C3491" s="52"/>
      <c r="D3491" s="55">
        <f t="shared" si="54"/>
        <v>0</v>
      </c>
      <c r="E3491" s="63" t="str">
        <f>HYPERLINK("https://www.sds-group.ru/product/pistolet-dlya-germetika-310ml-poluotkrytyy-kruglyy-shtok-7-mm-utolschennye-stenki-rexant-12-7202/", "Инфо")</f>
        <v>Инфо</v>
      </c>
      <c r="F3491" s="16" t="s">
        <v>39</v>
      </c>
      <c r="G3491" s="15"/>
      <c r="H3491" s="15"/>
      <c r="I3491" s="15"/>
      <c r="J3491" s="22">
        <v>22692</v>
      </c>
      <c r="K3491" s="15" t="s">
        <v>1131</v>
      </c>
      <c r="L3491" s="17">
        <v>5</v>
      </c>
      <c r="M3491" s="17">
        <v>40</v>
      </c>
      <c r="N3491" s="17">
        <v>5</v>
      </c>
      <c r="O3491" s="18">
        <v>280.29000000000002</v>
      </c>
      <c r="P3491" s="18">
        <v>229.75</v>
      </c>
      <c r="Q3491" s="18">
        <v>238.25</v>
      </c>
      <c r="R3491" s="18">
        <v>195.29</v>
      </c>
      <c r="S3491" s="18">
        <v>190.6</v>
      </c>
      <c r="T3491" s="18">
        <v>156.22999999999999</v>
      </c>
      <c r="U3491" s="16"/>
      <c r="V3491" s="16"/>
      <c r="W3491" s="16" t="s">
        <v>40</v>
      </c>
      <c r="X3491" s="19">
        <v>0.32900000000000001</v>
      </c>
      <c r="Y3491" s="20">
        <v>1.302E-3</v>
      </c>
      <c r="Z3491" s="21">
        <v>4601004178434</v>
      </c>
    </row>
    <row r="3492" spans="1:26" ht="12" customHeight="1" outlineLevel="4" x14ac:dyDescent="0.2">
      <c r="A3492" s="14" t="s">
        <v>6806</v>
      </c>
      <c r="B3492" s="26" t="s">
        <v>6807</v>
      </c>
      <c r="C3492" s="52"/>
      <c r="D3492" s="55">
        <f t="shared" si="54"/>
        <v>0</v>
      </c>
      <c r="E3492" s="63" t="str">
        <f>HYPERLINK("https://www.sds-group.ru/product/pistolet-dlya-germetika-310ml-skeletnyy-s-fiksatorom-shestigrannyy-shtok-7-mm-rexant-12-7201/", "Инфо")</f>
        <v>Инфо</v>
      </c>
      <c r="F3492" s="16" t="s">
        <v>39</v>
      </c>
      <c r="G3492" s="15"/>
      <c r="H3492" s="15"/>
      <c r="I3492" s="15"/>
      <c r="J3492" s="22">
        <v>13191</v>
      </c>
      <c r="K3492" s="15" t="s">
        <v>4926</v>
      </c>
      <c r="L3492" s="17">
        <v>5</v>
      </c>
      <c r="M3492" s="17">
        <v>40</v>
      </c>
      <c r="N3492" s="17">
        <v>5</v>
      </c>
      <c r="O3492" s="18">
        <v>296.8</v>
      </c>
      <c r="P3492" s="18">
        <v>243.28</v>
      </c>
      <c r="Q3492" s="18">
        <v>207.76</v>
      </c>
      <c r="R3492" s="18">
        <v>170.3</v>
      </c>
      <c r="S3492" s="18">
        <v>201.82</v>
      </c>
      <c r="T3492" s="18">
        <v>165.43</v>
      </c>
      <c r="U3492" s="16"/>
      <c r="V3492" s="16"/>
      <c r="W3492" s="16"/>
      <c r="X3492" s="19">
        <v>0.27300000000000002</v>
      </c>
      <c r="Y3492" s="20">
        <v>7.2499999999999995E-4</v>
      </c>
      <c r="Z3492" s="21">
        <v>4601004178786</v>
      </c>
    </row>
    <row r="3493" spans="1:26" ht="12" customHeight="1" outlineLevel="4" x14ac:dyDescent="0.2">
      <c r="A3493" s="14" t="s">
        <v>6808</v>
      </c>
      <c r="B3493" s="26" t="s">
        <v>6809</v>
      </c>
      <c r="C3493" s="52"/>
      <c r="D3493" s="55">
        <f t="shared" si="54"/>
        <v>0</v>
      </c>
      <c r="E3493" s="63" t="str">
        <f>HYPERLINK("https://www.sds-group.ru/product/pistolet-dlya-montazhnoy-peny-metallicheskiy-s-konfuzorom-i-regulirovkoy-rexant-12-7305/", "Инфо")</f>
        <v>Инфо</v>
      </c>
      <c r="F3493" s="16" t="s">
        <v>39</v>
      </c>
      <c r="G3493" s="15"/>
      <c r="H3493" s="15"/>
      <c r="I3493" s="15"/>
      <c r="J3493" s="17">
        <v>909</v>
      </c>
      <c r="K3493" s="15"/>
      <c r="L3493" s="17">
        <v>1</v>
      </c>
      <c r="M3493" s="17">
        <v>20</v>
      </c>
      <c r="N3493" s="17">
        <v>1</v>
      </c>
      <c r="O3493" s="18">
        <v>970.22</v>
      </c>
      <c r="P3493" s="18">
        <v>795.26</v>
      </c>
      <c r="Q3493" s="18">
        <v>766.47</v>
      </c>
      <c r="R3493" s="18">
        <v>628.25</v>
      </c>
      <c r="S3493" s="18">
        <v>659.75</v>
      </c>
      <c r="T3493" s="18">
        <v>540.78</v>
      </c>
      <c r="U3493" s="16"/>
      <c r="V3493" s="16"/>
      <c r="W3493" s="16" t="s">
        <v>40</v>
      </c>
      <c r="X3493" s="19">
        <v>0.374</v>
      </c>
      <c r="Y3493" s="20">
        <v>3.4789999999999999E-3</v>
      </c>
      <c r="Z3493" s="21">
        <v>4601004178465</v>
      </c>
    </row>
    <row r="3494" spans="1:26" ht="12" customHeight="1" outlineLevel="4" x14ac:dyDescent="0.2">
      <c r="A3494" s="14" t="s">
        <v>6810</v>
      </c>
      <c r="B3494" s="26" t="s">
        <v>6811</v>
      </c>
      <c r="C3494" s="52"/>
      <c r="D3494" s="55">
        <f t="shared" si="54"/>
        <v>0</v>
      </c>
      <c r="E3494" s="63" t="str">
        <f>HYPERLINK("https://www.sds-group.ru/product/pistolet-dlya-montazhnoy-peny-plastikovyy-usilennyy-s-konfuzorom-i-regulirovkoy-treschotkoy--12-7303/", "Инфо")</f>
        <v>Инфо</v>
      </c>
      <c r="F3494" s="16" t="s">
        <v>39</v>
      </c>
      <c r="G3494" s="15"/>
      <c r="H3494" s="15"/>
      <c r="I3494" s="15"/>
      <c r="J3494" s="17">
        <v>627</v>
      </c>
      <c r="K3494" s="15" t="s">
        <v>4926</v>
      </c>
      <c r="L3494" s="17">
        <v>1</v>
      </c>
      <c r="M3494" s="17">
        <v>20</v>
      </c>
      <c r="N3494" s="17">
        <v>1</v>
      </c>
      <c r="O3494" s="18">
        <v>466.4</v>
      </c>
      <c r="P3494" s="18">
        <v>382.3</v>
      </c>
      <c r="Q3494" s="18">
        <v>373.12</v>
      </c>
      <c r="R3494" s="18">
        <v>305.83999999999997</v>
      </c>
      <c r="S3494" s="18">
        <v>317.14999999999998</v>
      </c>
      <c r="T3494" s="18">
        <v>259.95999999999998</v>
      </c>
      <c r="U3494" s="16"/>
      <c r="V3494" s="16"/>
      <c r="W3494" s="16" t="s">
        <v>40</v>
      </c>
      <c r="X3494" s="19">
        <v>0.16800000000000001</v>
      </c>
      <c r="Y3494" s="20">
        <v>1.0300000000000001E-3</v>
      </c>
      <c r="Z3494" s="21">
        <v>4601004178458</v>
      </c>
    </row>
    <row r="3495" spans="1:26" ht="12" customHeight="1" outlineLevel="4" x14ac:dyDescent="0.2">
      <c r="A3495" s="14" t="s">
        <v>6812</v>
      </c>
      <c r="B3495" s="26" t="s">
        <v>6813</v>
      </c>
      <c r="C3495" s="52"/>
      <c r="D3495" s="55">
        <f t="shared" si="54"/>
        <v>0</v>
      </c>
      <c r="E3495" s="63" t="str">
        <f>HYPERLINK("https://www.sds-group.ru/product/pistolet-dlya-montazhnoy-peny-plastmassovyy-korpus-rexant-12-7301/", "Инфо")</f>
        <v>Инфо</v>
      </c>
      <c r="F3495" s="16" t="s">
        <v>39</v>
      </c>
      <c r="G3495" s="15"/>
      <c r="H3495" s="15"/>
      <c r="I3495" s="15"/>
      <c r="J3495" s="22">
        <v>4762</v>
      </c>
      <c r="K3495" s="15" t="s">
        <v>4926</v>
      </c>
      <c r="L3495" s="17">
        <v>12</v>
      </c>
      <c r="M3495" s="17">
        <v>48</v>
      </c>
      <c r="N3495" s="17">
        <v>12</v>
      </c>
      <c r="O3495" s="18">
        <v>291.5</v>
      </c>
      <c r="P3495" s="18">
        <v>238.93</v>
      </c>
      <c r="Q3495" s="18">
        <v>247.78</v>
      </c>
      <c r="R3495" s="18">
        <v>203.1</v>
      </c>
      <c r="S3495" s="18">
        <v>198.22</v>
      </c>
      <c r="T3495" s="18">
        <v>162.47999999999999</v>
      </c>
      <c r="U3495" s="16"/>
      <c r="V3495" s="16"/>
      <c r="W3495" s="16" t="s">
        <v>40</v>
      </c>
      <c r="X3495" s="19">
        <v>0.13400000000000001</v>
      </c>
      <c r="Y3495" s="20">
        <v>7.4399999999999998E-4</v>
      </c>
      <c r="Z3495" s="21">
        <v>4601004178441</v>
      </c>
    </row>
    <row r="3496" spans="1:26" ht="12.95" customHeight="1" outlineLevel="2" x14ac:dyDescent="0.2">
      <c r="A3496" s="76" t="s">
        <v>6814</v>
      </c>
      <c r="B3496" s="76"/>
      <c r="C3496" s="77"/>
      <c r="D3496" s="58"/>
      <c r="E3496" s="68"/>
      <c r="F3496" s="13"/>
      <c r="G3496" s="13"/>
      <c r="H3496" s="13"/>
      <c r="I3496" s="13"/>
      <c r="J3496" s="13"/>
      <c r="K3496" s="13"/>
      <c r="L3496" s="13"/>
      <c r="M3496" s="13"/>
      <c r="N3496" s="13"/>
      <c r="O3496" s="13"/>
      <c r="P3496" s="13"/>
      <c r="Q3496" s="13"/>
      <c r="R3496" s="13"/>
      <c r="S3496" s="13"/>
      <c r="T3496" s="13"/>
      <c r="U3496" s="13"/>
      <c r="V3496" s="13"/>
      <c r="W3496" s="13"/>
      <c r="X3496" s="13"/>
      <c r="Y3496" s="13"/>
      <c r="Z3496" s="13"/>
    </row>
    <row r="3497" spans="1:26" ht="12" customHeight="1" outlineLevel="3" x14ac:dyDescent="0.2">
      <c r="A3497" s="14" t="s">
        <v>6815</v>
      </c>
      <c r="B3497" s="26" t="s">
        <v>6816</v>
      </c>
      <c r="C3497" s="52"/>
      <c r="D3497" s="55">
        <f t="shared" si="54"/>
        <v>0</v>
      </c>
      <c r="E3497" s="63" t="str">
        <f>HYPERLINK("https://www.sds-group.ru/product/nabor-dielektricheskogo-instrumenta-ri-01-tkanevyy-penal-7-predmetov-do-1000v-rexant-12-4691-3/", "Инфо")</f>
        <v>Инфо</v>
      </c>
      <c r="F3497" s="16" t="s">
        <v>39</v>
      </c>
      <c r="G3497" s="15"/>
      <c r="H3497" s="15"/>
      <c r="I3497" s="15"/>
      <c r="J3497" s="16" t="s">
        <v>100</v>
      </c>
      <c r="K3497" s="15" t="s">
        <v>1094</v>
      </c>
      <c r="L3497" s="17">
        <v>1</v>
      </c>
      <c r="M3497" s="17">
        <v>20</v>
      </c>
      <c r="N3497" s="17">
        <v>1</v>
      </c>
      <c r="O3497" s="18">
        <v>2668.1</v>
      </c>
      <c r="P3497" s="18">
        <v>2186.9699999999998</v>
      </c>
      <c r="Q3497" s="18">
        <v>2054.44</v>
      </c>
      <c r="R3497" s="18">
        <v>1683.97</v>
      </c>
      <c r="S3497" s="18">
        <v>1814.31</v>
      </c>
      <c r="T3497" s="18">
        <v>1487.14</v>
      </c>
      <c r="U3497" s="16"/>
      <c r="V3497" s="16"/>
      <c r="W3497" s="16" t="s">
        <v>40</v>
      </c>
      <c r="X3497" s="19">
        <v>0.81</v>
      </c>
      <c r="Y3497" s="20">
        <v>1.916E-3</v>
      </c>
      <c r="Z3497" s="21">
        <v>4601004182141</v>
      </c>
    </row>
    <row r="3498" spans="1:26" ht="12" customHeight="1" outlineLevel="3" x14ac:dyDescent="0.2">
      <c r="A3498" s="14" t="s">
        <v>6817</v>
      </c>
      <c r="B3498" s="26" t="s">
        <v>6818</v>
      </c>
      <c r="C3498" s="52"/>
      <c r="D3498" s="55">
        <f t="shared" si="54"/>
        <v>0</v>
      </c>
      <c r="E3498" s="63" t="str">
        <f>HYPERLINK("https://www.sds-group.ru/product/nabor-dielektricheskogo-instrumenta-ri-02-tkanevyy-penal-11-predmetov-do-1000v-rexant-12-4692-3/", "Инфо")</f>
        <v>Инфо</v>
      </c>
      <c r="F3498" s="16" t="s">
        <v>39</v>
      </c>
      <c r="G3498" s="15"/>
      <c r="H3498" s="15"/>
      <c r="I3498" s="15"/>
      <c r="J3498" s="16" t="s">
        <v>100</v>
      </c>
      <c r="K3498" s="15" t="s">
        <v>6344</v>
      </c>
      <c r="L3498" s="17">
        <v>1</v>
      </c>
      <c r="M3498" s="17">
        <v>10</v>
      </c>
      <c r="N3498" s="17">
        <v>1</v>
      </c>
      <c r="O3498" s="18">
        <v>4401.88</v>
      </c>
      <c r="P3498" s="18">
        <v>3608.1</v>
      </c>
      <c r="Q3498" s="18">
        <v>3213.37</v>
      </c>
      <c r="R3498" s="18">
        <v>2633.91</v>
      </c>
      <c r="S3498" s="18">
        <v>2993.28</v>
      </c>
      <c r="T3498" s="18">
        <v>2453.5100000000002</v>
      </c>
      <c r="U3498" s="16"/>
      <c r="V3498" s="16"/>
      <c r="W3498" s="16" t="s">
        <v>40</v>
      </c>
      <c r="X3498" s="19">
        <v>1.1910000000000001</v>
      </c>
      <c r="Y3498" s="20">
        <v>2.9220000000000001E-3</v>
      </c>
      <c r="Z3498" s="21">
        <v>4601004182158</v>
      </c>
    </row>
    <row r="3499" spans="1:26" ht="12" customHeight="1" outlineLevel="3" x14ac:dyDescent="0.2">
      <c r="A3499" s="14" t="s">
        <v>6819</v>
      </c>
      <c r="B3499" s="26" t="s">
        <v>6820</v>
      </c>
      <c r="C3499" s="52"/>
      <c r="D3499" s="55">
        <f t="shared" si="54"/>
        <v>0</v>
      </c>
      <c r="E3499" s="63" t="str">
        <f>HYPERLINK("https://www.sds-group.ru/product/nabor-instrumentov-elektrika-29-predmetov-rexant-12-4694-2/", "Инфо")</f>
        <v>Инфо</v>
      </c>
      <c r="F3499" s="16" t="s">
        <v>39</v>
      </c>
      <c r="G3499" s="15"/>
      <c r="H3499" s="15"/>
      <c r="I3499" s="15"/>
      <c r="J3499" s="17">
        <v>45</v>
      </c>
      <c r="K3499" s="15"/>
      <c r="L3499" s="17">
        <v>1</v>
      </c>
      <c r="M3499" s="17">
        <v>1</v>
      </c>
      <c r="N3499" s="17">
        <v>1</v>
      </c>
      <c r="O3499" s="18">
        <v>17463.919999999998</v>
      </c>
      <c r="P3499" s="18">
        <v>14314.69</v>
      </c>
      <c r="Q3499" s="18">
        <v>12748.66</v>
      </c>
      <c r="R3499" s="18">
        <v>10449.719999999999</v>
      </c>
      <c r="S3499" s="18">
        <v>11875.47</v>
      </c>
      <c r="T3499" s="18">
        <v>9733.99</v>
      </c>
      <c r="U3499" s="16"/>
      <c r="V3499" s="16"/>
      <c r="W3499" s="16" t="s">
        <v>40</v>
      </c>
      <c r="X3499" s="19">
        <v>5.0759999999999996</v>
      </c>
      <c r="Y3499" s="20">
        <v>3.0846999999999999E-2</v>
      </c>
      <c r="Z3499" s="21">
        <v>4601004299962</v>
      </c>
    </row>
    <row r="3500" spans="1:26" ht="12" customHeight="1" outlineLevel="3" x14ac:dyDescent="0.2">
      <c r="A3500" s="14" t="s">
        <v>6821</v>
      </c>
      <c r="B3500" s="26" t="s">
        <v>6822</v>
      </c>
      <c r="C3500" s="52"/>
      <c r="D3500" s="55">
        <f t="shared" si="54"/>
        <v>0</v>
      </c>
      <c r="E3500" s="63" t="str">
        <f>HYPERLINK("https://www.sds-group.ru/product/nabor-instrumentov-1-2-1-4-hromovanadievaya-stal-crv-plastikovyy-keys-82-predmeta-kranz-KR-66-6682/", "Инфо")</f>
        <v>Инфо</v>
      </c>
      <c r="F3500" s="16" t="s">
        <v>974</v>
      </c>
      <c r="G3500" s="15"/>
      <c r="H3500" s="15"/>
      <c r="I3500" s="15"/>
      <c r="J3500" s="22">
        <v>1310</v>
      </c>
      <c r="K3500" s="15"/>
      <c r="L3500" s="17">
        <v>1</v>
      </c>
      <c r="M3500" s="17">
        <v>4</v>
      </c>
      <c r="N3500" s="17">
        <v>1</v>
      </c>
      <c r="O3500" s="18">
        <v>9752</v>
      </c>
      <c r="P3500" s="18">
        <v>7993.44</v>
      </c>
      <c r="Q3500" s="18">
        <v>6826.4</v>
      </c>
      <c r="R3500" s="18">
        <v>5595.41</v>
      </c>
      <c r="S3500" s="18">
        <v>6631.36</v>
      </c>
      <c r="T3500" s="18">
        <v>5435.54</v>
      </c>
      <c r="U3500" s="16"/>
      <c r="V3500" s="16"/>
      <c r="W3500" s="16" t="s">
        <v>40</v>
      </c>
      <c r="X3500" s="19">
        <v>6.1630000000000003</v>
      </c>
      <c r="Y3500" s="20">
        <v>1.0592000000000001E-2</v>
      </c>
      <c r="Z3500" s="21">
        <v>4601004265851</v>
      </c>
    </row>
    <row r="3501" spans="1:26" ht="12" customHeight="1" outlineLevel="3" x14ac:dyDescent="0.2">
      <c r="A3501" s="14" t="s">
        <v>6823</v>
      </c>
      <c r="B3501" s="26" t="s">
        <v>6824</v>
      </c>
      <c r="C3501" s="52"/>
      <c r="D3501" s="55">
        <f t="shared" si="54"/>
        <v>0</v>
      </c>
      <c r="E3501" s="63" t="str">
        <f>HYPERLINK("https://www.sds-group.ru/product/nabor-instrumentov-1-2-1-4-hromovanadievaya-stal-crv-plastikovyy-keys-94-predmeta-kranz-KR-66-6694/", "Инфо")</f>
        <v>Инфо</v>
      </c>
      <c r="F3501" s="16" t="s">
        <v>974</v>
      </c>
      <c r="G3501" s="15"/>
      <c r="H3501" s="15"/>
      <c r="I3501" s="15"/>
      <c r="J3501" s="17">
        <v>483</v>
      </c>
      <c r="K3501" s="15" t="s">
        <v>6521</v>
      </c>
      <c r="L3501" s="17">
        <v>1</v>
      </c>
      <c r="M3501" s="17">
        <v>4</v>
      </c>
      <c r="N3501" s="17">
        <v>1</v>
      </c>
      <c r="O3501" s="18">
        <v>9964</v>
      </c>
      <c r="P3501" s="18">
        <v>8167.21</v>
      </c>
      <c r="Q3501" s="18">
        <v>7273.72</v>
      </c>
      <c r="R3501" s="18">
        <v>5962.07</v>
      </c>
      <c r="S3501" s="18">
        <v>6775.52</v>
      </c>
      <c r="T3501" s="18">
        <v>5553.7</v>
      </c>
      <c r="U3501" s="16"/>
      <c r="V3501" s="16"/>
      <c r="W3501" s="16" t="s">
        <v>40</v>
      </c>
      <c r="X3501" s="19">
        <v>6.3159999999999998</v>
      </c>
      <c r="Y3501" s="20">
        <v>1.0234E-2</v>
      </c>
      <c r="Z3501" s="21">
        <v>4601004265868</v>
      </c>
    </row>
    <row r="3502" spans="1:26" ht="12.95" customHeight="1" outlineLevel="2" x14ac:dyDescent="0.2">
      <c r="A3502" s="76" t="s">
        <v>6825</v>
      </c>
      <c r="B3502" s="76"/>
      <c r="C3502" s="77"/>
      <c r="D3502" s="58"/>
      <c r="E3502" s="68"/>
      <c r="F3502" s="13"/>
      <c r="G3502" s="13"/>
      <c r="H3502" s="13"/>
      <c r="I3502" s="13"/>
      <c r="J3502" s="13"/>
      <c r="K3502" s="13"/>
      <c r="L3502" s="13"/>
      <c r="M3502" s="13"/>
      <c r="N3502" s="13"/>
      <c r="O3502" s="13"/>
      <c r="P3502" s="13"/>
      <c r="Q3502" s="13"/>
      <c r="R3502" s="13"/>
      <c r="S3502" s="13"/>
      <c r="T3502" s="13"/>
      <c r="U3502" s="13"/>
      <c r="V3502" s="13"/>
      <c r="W3502" s="13"/>
      <c r="X3502" s="13"/>
      <c r="Y3502" s="13"/>
      <c r="Z3502" s="13"/>
    </row>
    <row r="3503" spans="1:26" ht="12" customHeight="1" outlineLevel="3" x14ac:dyDescent="0.2">
      <c r="A3503" s="14" t="s">
        <v>6826</v>
      </c>
      <c r="B3503" s="26" t="s">
        <v>6827</v>
      </c>
      <c r="C3503" s="52"/>
      <c r="D3503" s="55">
        <f t="shared" si="54"/>
        <v>0</v>
      </c>
      <c r="E3503" s="63" t="str">
        <f>HYPERLINK("https://www.sds-group.ru/product/multitul-10-v-1-155mm-kranz-KR-12-4945-2/", "Инфо")</f>
        <v>Инфо</v>
      </c>
      <c r="F3503" s="16" t="s">
        <v>39</v>
      </c>
      <c r="G3503" s="15"/>
      <c r="H3503" s="15"/>
      <c r="I3503" s="15"/>
      <c r="J3503" s="16" t="s">
        <v>100</v>
      </c>
      <c r="K3503" s="15"/>
      <c r="L3503" s="17">
        <v>1</v>
      </c>
      <c r="M3503" s="17">
        <v>36</v>
      </c>
      <c r="N3503" s="17">
        <v>1</v>
      </c>
      <c r="O3503" s="18">
        <v>2173</v>
      </c>
      <c r="P3503" s="18">
        <v>1781.15</v>
      </c>
      <c r="Q3503" s="18">
        <v>1955.7</v>
      </c>
      <c r="R3503" s="18">
        <v>1603.03</v>
      </c>
      <c r="S3503" s="18">
        <v>1477.64</v>
      </c>
      <c r="T3503" s="18">
        <v>1211.18</v>
      </c>
      <c r="U3503" s="16"/>
      <c r="V3503" s="16"/>
      <c r="W3503" s="16" t="s">
        <v>40</v>
      </c>
      <c r="X3503" s="19">
        <v>0.39200000000000002</v>
      </c>
      <c r="Y3503" s="20">
        <v>2.392E-3</v>
      </c>
      <c r="Z3503" s="21">
        <v>4601004277373</v>
      </c>
    </row>
    <row r="3504" spans="1:26" ht="12" customHeight="1" outlineLevel="3" x14ac:dyDescent="0.2">
      <c r="A3504" s="14" t="s">
        <v>6828</v>
      </c>
      <c r="B3504" s="26" t="s">
        <v>6829</v>
      </c>
      <c r="C3504" s="52"/>
      <c r="D3504" s="55">
        <f t="shared" si="54"/>
        <v>0</v>
      </c>
      <c r="E3504" s="63" t="str">
        <f>HYPERLINK("https://www.sds-group.ru/product/multitul-10-funktsiy-113mm-kranz-KR-12-4902-2/", "Инфо")</f>
        <v>Инфо</v>
      </c>
      <c r="F3504" s="16" t="s">
        <v>39</v>
      </c>
      <c r="G3504" s="15"/>
      <c r="H3504" s="15"/>
      <c r="I3504" s="15"/>
      <c r="J3504" s="17">
        <v>154</v>
      </c>
      <c r="K3504" s="15" t="s">
        <v>6830</v>
      </c>
      <c r="L3504" s="17">
        <v>1</v>
      </c>
      <c r="M3504" s="17">
        <v>48</v>
      </c>
      <c r="N3504" s="17">
        <v>1</v>
      </c>
      <c r="O3504" s="18">
        <v>911.6</v>
      </c>
      <c r="P3504" s="18">
        <v>747.21</v>
      </c>
      <c r="Q3504" s="18">
        <v>820.44</v>
      </c>
      <c r="R3504" s="18">
        <v>672.49</v>
      </c>
      <c r="S3504" s="18">
        <v>619.89</v>
      </c>
      <c r="T3504" s="18">
        <v>508.11</v>
      </c>
      <c r="U3504" s="16"/>
      <c r="V3504" s="16"/>
      <c r="W3504" s="16" t="s">
        <v>40</v>
      </c>
      <c r="X3504" s="19">
        <v>0.16</v>
      </c>
      <c r="Y3504" s="20">
        <v>1.4630000000000001E-3</v>
      </c>
      <c r="Z3504" s="21">
        <v>4601004221611</v>
      </c>
    </row>
    <row r="3505" spans="1:26" ht="12" customHeight="1" outlineLevel="3" x14ac:dyDescent="0.2">
      <c r="A3505" s="32" t="s">
        <v>6831</v>
      </c>
      <c r="B3505" s="74" t="s">
        <v>6832</v>
      </c>
      <c r="C3505" s="50"/>
      <c r="D3505" s="53">
        <f t="shared" si="54"/>
        <v>0</v>
      </c>
      <c r="E3505" s="60" t="str">
        <f>HYPERLINK("https://www.sds-group.ru/product/multitul-11-v-1-154mm-kranz-KR-12-4944-2/", "Инфо")</f>
        <v>Инфо</v>
      </c>
      <c r="F3505" s="34" t="s">
        <v>39</v>
      </c>
      <c r="G3505" s="33"/>
      <c r="H3505" s="33" t="s">
        <v>40</v>
      </c>
      <c r="I3505" s="33"/>
      <c r="J3505" s="35">
        <v>172</v>
      </c>
      <c r="K3505" s="33"/>
      <c r="L3505" s="35">
        <v>1</v>
      </c>
      <c r="M3505" s="35">
        <v>36</v>
      </c>
      <c r="N3505" s="35">
        <v>1</v>
      </c>
      <c r="O3505" s="36">
        <v>2290.8000000000002</v>
      </c>
      <c r="P3505" s="36">
        <v>1877.7</v>
      </c>
      <c r="Q3505" s="36">
        <v>1603.56</v>
      </c>
      <c r="R3505" s="36">
        <v>1314.39</v>
      </c>
      <c r="S3505" s="36">
        <v>1557.74</v>
      </c>
      <c r="T3505" s="36">
        <v>1276.8399999999999</v>
      </c>
      <c r="U3505" s="34"/>
      <c r="V3505" s="34"/>
      <c r="W3505" s="34"/>
      <c r="X3505" s="37">
        <v>0.42099999999999999</v>
      </c>
      <c r="Y3505" s="38">
        <v>2.794E-3</v>
      </c>
      <c r="Z3505" s="21">
        <v>4601004277380</v>
      </c>
    </row>
    <row r="3506" spans="1:26" ht="12" customHeight="1" outlineLevel="3" x14ac:dyDescent="0.2">
      <c r="A3506" s="14" t="s">
        <v>6833</v>
      </c>
      <c r="B3506" s="26" t="s">
        <v>6834</v>
      </c>
      <c r="C3506" s="52"/>
      <c r="D3506" s="55">
        <f t="shared" si="54"/>
        <v>0</v>
      </c>
      <c r="E3506" s="63" t="str">
        <f>HYPERLINK("https://www.sds-group.ru/product/multitul-14-v-1-155mm-kranz-KR-12-4947-2/", "Инфо")</f>
        <v>Инфо</v>
      </c>
      <c r="F3506" s="16" t="s">
        <v>39</v>
      </c>
      <c r="G3506" s="15"/>
      <c r="H3506" s="15"/>
      <c r="I3506" s="15"/>
      <c r="J3506" s="17">
        <v>211</v>
      </c>
      <c r="K3506" s="15" t="s">
        <v>6830</v>
      </c>
      <c r="L3506" s="17">
        <v>1</v>
      </c>
      <c r="M3506" s="17">
        <v>48</v>
      </c>
      <c r="N3506" s="17">
        <v>1</v>
      </c>
      <c r="O3506" s="18">
        <v>3127</v>
      </c>
      <c r="P3506" s="18">
        <v>2563.11</v>
      </c>
      <c r="Q3506" s="18">
        <v>2814.3</v>
      </c>
      <c r="R3506" s="18">
        <v>2306.8000000000002</v>
      </c>
      <c r="S3506" s="18">
        <v>2126.36</v>
      </c>
      <c r="T3506" s="18">
        <v>1742.92</v>
      </c>
      <c r="U3506" s="16"/>
      <c r="V3506" s="16"/>
      <c r="W3506" s="16" t="s">
        <v>40</v>
      </c>
      <c r="X3506" s="19">
        <v>0.36299999999999999</v>
      </c>
      <c r="Y3506" s="20">
        <v>2.0760000000000002E-3</v>
      </c>
      <c r="Z3506" s="21">
        <v>4601004277403</v>
      </c>
    </row>
    <row r="3507" spans="1:26" ht="12" customHeight="1" outlineLevel="3" x14ac:dyDescent="0.2">
      <c r="A3507" s="14" t="s">
        <v>6835</v>
      </c>
      <c r="B3507" s="26" t="s">
        <v>6836</v>
      </c>
      <c r="C3507" s="52"/>
      <c r="D3507" s="55">
        <f t="shared" si="54"/>
        <v>0</v>
      </c>
      <c r="E3507" s="63" t="str">
        <f>HYPERLINK("https://www.sds-group.ru/product/multitul-15-v-1-158mm-kranz-KR-12-4942-2/", "Инфо")</f>
        <v>Инфо</v>
      </c>
      <c r="F3507" s="16" t="s">
        <v>39</v>
      </c>
      <c r="G3507" s="15"/>
      <c r="H3507" s="15"/>
      <c r="I3507" s="15"/>
      <c r="J3507" s="17">
        <v>4</v>
      </c>
      <c r="K3507" s="15" t="s">
        <v>6837</v>
      </c>
      <c r="L3507" s="17">
        <v>1</v>
      </c>
      <c r="M3507" s="17">
        <v>48</v>
      </c>
      <c r="N3507" s="17">
        <v>1</v>
      </c>
      <c r="O3507" s="18">
        <v>1568.8</v>
      </c>
      <c r="P3507" s="18">
        <v>1285.9000000000001</v>
      </c>
      <c r="Q3507" s="18">
        <v>1411.92</v>
      </c>
      <c r="R3507" s="18">
        <v>1157.31</v>
      </c>
      <c r="S3507" s="18">
        <v>1066.78</v>
      </c>
      <c r="T3507" s="18">
        <v>874.41</v>
      </c>
      <c r="U3507" s="16"/>
      <c r="V3507" s="16"/>
      <c r="W3507" s="16" t="s">
        <v>40</v>
      </c>
      <c r="X3507" s="19">
        <v>0.33700000000000002</v>
      </c>
      <c r="Y3507" s="20">
        <v>1.97E-3</v>
      </c>
      <c r="Z3507" s="21">
        <v>4601004277397</v>
      </c>
    </row>
    <row r="3508" spans="1:26" ht="12" customHeight="1" outlineLevel="3" x14ac:dyDescent="0.2">
      <c r="A3508" s="14" t="s">
        <v>6838</v>
      </c>
      <c r="B3508" s="26" t="s">
        <v>6839</v>
      </c>
      <c r="C3508" s="52"/>
      <c r="D3508" s="55">
        <f t="shared" si="54"/>
        <v>0</v>
      </c>
      <c r="E3508" s="63" t="str">
        <f>HYPERLINK("https://www.sds-group.ru/product/nozh-skladnoy-kogot-poluavtomaticheskiy-titan-rexant-12-4906-2/", "Инфо")</f>
        <v>Инфо</v>
      </c>
      <c r="F3508" s="16" t="s">
        <v>39</v>
      </c>
      <c r="G3508" s="15"/>
      <c r="H3508" s="15"/>
      <c r="I3508" s="15"/>
      <c r="J3508" s="16" t="s">
        <v>100</v>
      </c>
      <c r="K3508" s="15"/>
      <c r="L3508" s="17">
        <v>1</v>
      </c>
      <c r="M3508" s="17">
        <v>48</v>
      </c>
      <c r="N3508" s="17">
        <v>1</v>
      </c>
      <c r="O3508" s="18">
        <v>1081.2</v>
      </c>
      <c r="P3508" s="18">
        <v>886.23</v>
      </c>
      <c r="Q3508" s="18">
        <v>973.08</v>
      </c>
      <c r="R3508" s="18">
        <v>797.61</v>
      </c>
      <c r="S3508" s="18">
        <v>735.22</v>
      </c>
      <c r="T3508" s="18">
        <v>602.64</v>
      </c>
      <c r="U3508" s="16"/>
      <c r="V3508" s="16"/>
      <c r="W3508" s="16" t="s">
        <v>40</v>
      </c>
      <c r="X3508" s="19">
        <v>0.127</v>
      </c>
      <c r="Y3508" s="20">
        <v>6.1300000000000005E-4</v>
      </c>
      <c r="Z3508" s="21">
        <v>4601004131231</v>
      </c>
    </row>
    <row r="3509" spans="1:26" ht="12" customHeight="1" outlineLevel="3" x14ac:dyDescent="0.2">
      <c r="A3509" s="14" t="s">
        <v>6840</v>
      </c>
      <c r="B3509" s="26" t="s">
        <v>6841</v>
      </c>
      <c r="C3509" s="52"/>
      <c r="D3509" s="55">
        <f t="shared" si="54"/>
        <v>0</v>
      </c>
      <c r="E3509" s="63" t="str">
        <f>HYPERLINK("https://www.sds-group.ru/product/nozh-skladnoy-poluavtomaticheskiy-ohotnik-rexant-12-4911-2/", "Инфо")</f>
        <v>Инфо</v>
      </c>
      <c r="F3509" s="16" t="s">
        <v>39</v>
      </c>
      <c r="G3509" s="15"/>
      <c r="H3509" s="15"/>
      <c r="I3509" s="15"/>
      <c r="J3509" s="16" t="s">
        <v>100</v>
      </c>
      <c r="K3509" s="15" t="s">
        <v>3762</v>
      </c>
      <c r="L3509" s="17">
        <v>1</v>
      </c>
      <c r="M3509" s="17">
        <v>48</v>
      </c>
      <c r="N3509" s="17">
        <v>1</v>
      </c>
      <c r="O3509" s="18">
        <v>1293.2</v>
      </c>
      <c r="P3509" s="18">
        <v>1060</v>
      </c>
      <c r="Q3509" s="18">
        <v>1163.8800000000001</v>
      </c>
      <c r="R3509" s="18">
        <v>954</v>
      </c>
      <c r="S3509" s="18">
        <v>879.38</v>
      </c>
      <c r="T3509" s="18">
        <v>720.8</v>
      </c>
      <c r="U3509" s="16"/>
      <c r="V3509" s="16"/>
      <c r="W3509" s="16" t="s">
        <v>40</v>
      </c>
      <c r="X3509" s="19">
        <v>0.17899999999999999</v>
      </c>
      <c r="Y3509" s="20">
        <v>1.188E-3</v>
      </c>
      <c r="Z3509" s="21">
        <v>4601004094079</v>
      </c>
    </row>
    <row r="3510" spans="1:26" ht="12.95" customHeight="1" outlineLevel="2" x14ac:dyDescent="0.2">
      <c r="A3510" s="76" t="s">
        <v>6842</v>
      </c>
      <c r="B3510" s="76"/>
      <c r="C3510" s="77"/>
      <c r="D3510" s="58"/>
      <c r="E3510" s="68"/>
      <c r="F3510" s="13"/>
      <c r="G3510" s="13"/>
      <c r="H3510" s="13"/>
      <c r="I3510" s="13"/>
      <c r="J3510" s="13"/>
      <c r="K3510" s="13"/>
      <c r="L3510" s="13"/>
      <c r="M3510" s="13"/>
      <c r="N3510" s="13"/>
      <c r="O3510" s="13"/>
      <c r="P3510" s="13"/>
      <c r="Q3510" s="13"/>
      <c r="R3510" s="13"/>
      <c r="S3510" s="13"/>
      <c r="T3510" s="13"/>
      <c r="U3510" s="13"/>
      <c r="V3510" s="13"/>
      <c r="W3510" s="13"/>
      <c r="X3510" s="13"/>
      <c r="Y3510" s="13"/>
      <c r="Z3510" s="13"/>
    </row>
    <row r="3511" spans="1:26" ht="12.95" customHeight="1" outlineLevel="3" x14ac:dyDescent="0.2">
      <c r="A3511" s="76" t="s">
        <v>6843</v>
      </c>
      <c r="B3511" s="76"/>
      <c r="C3511" s="77"/>
      <c r="D3511" s="58"/>
      <c r="E3511" s="68"/>
      <c r="F3511" s="13"/>
      <c r="G3511" s="13"/>
      <c r="H3511" s="13"/>
      <c r="I3511" s="13"/>
      <c r="J3511" s="13"/>
      <c r="K3511" s="13"/>
      <c r="L3511" s="13"/>
      <c r="M3511" s="13"/>
      <c r="N3511" s="13"/>
      <c r="O3511" s="13"/>
      <c r="P3511" s="13"/>
      <c r="Q3511" s="13"/>
      <c r="R3511" s="13"/>
      <c r="S3511" s="13"/>
      <c r="T3511" s="13"/>
      <c r="U3511" s="13"/>
      <c r="V3511" s="13"/>
      <c r="W3511" s="13"/>
      <c r="X3511" s="13"/>
      <c r="Y3511" s="13"/>
      <c r="Z3511" s="13"/>
    </row>
    <row r="3512" spans="1:26" ht="12" customHeight="1" outlineLevel="4" x14ac:dyDescent="0.2">
      <c r="A3512" s="14" t="s">
        <v>6844</v>
      </c>
      <c r="B3512" s="26" t="s">
        <v>6845</v>
      </c>
      <c r="C3512" s="52"/>
      <c r="D3512" s="55">
        <f t="shared" si="54"/>
        <v>0</v>
      </c>
      <c r="E3512" s="63" t="str">
        <f>HYPERLINK("https://www.sds-group.ru/product/instrument-montazhnyy-lp-03-160mm-rexant-12-4333-8/", "Инфо")</f>
        <v>Инфо</v>
      </c>
      <c r="F3512" s="16" t="s">
        <v>39</v>
      </c>
      <c r="G3512" s="15"/>
      <c r="H3512" s="15"/>
      <c r="I3512" s="15"/>
      <c r="J3512" s="17">
        <v>46</v>
      </c>
      <c r="K3512" s="15" t="s">
        <v>1094</v>
      </c>
      <c r="L3512" s="17">
        <v>1</v>
      </c>
      <c r="M3512" s="17">
        <v>100</v>
      </c>
      <c r="N3512" s="17">
        <v>1</v>
      </c>
      <c r="O3512" s="18">
        <v>306.83</v>
      </c>
      <c r="P3512" s="18">
        <v>251.5</v>
      </c>
      <c r="Q3512" s="18">
        <v>260.81</v>
      </c>
      <c r="R3512" s="18">
        <v>213.78</v>
      </c>
      <c r="S3512" s="18">
        <v>208.64</v>
      </c>
      <c r="T3512" s="18">
        <v>171.02</v>
      </c>
      <c r="U3512" s="16"/>
      <c r="V3512" s="16"/>
      <c r="W3512" s="16" t="s">
        <v>40</v>
      </c>
      <c r="X3512" s="19">
        <v>2.3E-2</v>
      </c>
      <c r="Y3512" s="20">
        <v>2.5000000000000001E-5</v>
      </c>
      <c r="Z3512" s="21">
        <v>4601004065666</v>
      </c>
    </row>
    <row r="3513" spans="1:26" ht="12" customHeight="1" outlineLevel="4" x14ac:dyDescent="0.2">
      <c r="A3513" s="14" t="s">
        <v>6846</v>
      </c>
      <c r="B3513" s="26" t="s">
        <v>6847</v>
      </c>
      <c r="C3513" s="52"/>
      <c r="D3513" s="55">
        <f t="shared" si="54"/>
        <v>0</v>
      </c>
      <c r="E3513" s="63" t="str">
        <f>HYPERLINK("https://www.sds-group.ru/product/spudzher-metallicheskiy-lopatka-dvuhstoronnyaya-170mm-rexant-12-4334/", "Инфо")</f>
        <v>Инфо</v>
      </c>
      <c r="F3513" s="16" t="s">
        <v>39</v>
      </c>
      <c r="G3513" s="15"/>
      <c r="H3513" s="15"/>
      <c r="I3513" s="15"/>
      <c r="J3513" s="17">
        <v>398</v>
      </c>
      <c r="K3513" s="15" t="s">
        <v>6181</v>
      </c>
      <c r="L3513" s="17">
        <v>5</v>
      </c>
      <c r="M3513" s="17">
        <v>800</v>
      </c>
      <c r="N3513" s="17">
        <v>5</v>
      </c>
      <c r="O3513" s="18">
        <v>226.38</v>
      </c>
      <c r="P3513" s="18">
        <v>185.56</v>
      </c>
      <c r="Q3513" s="18">
        <v>192.42</v>
      </c>
      <c r="R3513" s="18">
        <v>157.72</v>
      </c>
      <c r="S3513" s="18">
        <v>153.94</v>
      </c>
      <c r="T3513" s="18">
        <v>126.18</v>
      </c>
      <c r="U3513" s="16"/>
      <c r="V3513" s="16"/>
      <c r="W3513" s="16" t="s">
        <v>40</v>
      </c>
      <c r="X3513" s="19">
        <v>3.1E-2</v>
      </c>
      <c r="Y3513" s="20">
        <v>6.9999999999999999E-6</v>
      </c>
      <c r="Z3513" s="21">
        <v>4601004089624</v>
      </c>
    </row>
    <row r="3514" spans="1:26" ht="12" customHeight="1" outlineLevel="4" x14ac:dyDescent="0.2">
      <c r="A3514" s="14" t="s">
        <v>6848</v>
      </c>
      <c r="B3514" s="26" t="s">
        <v>6849</v>
      </c>
      <c r="C3514" s="52"/>
      <c r="D3514" s="55">
        <f t="shared" si="54"/>
        <v>0</v>
      </c>
      <c r="E3514" s="63" t="str">
        <f>HYPERLINK("https://www.sds-group.ru/product/spudzher-metallicheskiy-uzkiy-lopatka-dvuhstoronnyaya-170mm-rexant-12-4335/", "Инфо")</f>
        <v>Инфо</v>
      </c>
      <c r="F3514" s="16" t="s">
        <v>39</v>
      </c>
      <c r="G3514" s="15"/>
      <c r="H3514" s="15"/>
      <c r="I3514" s="15"/>
      <c r="J3514" s="16" t="s">
        <v>100</v>
      </c>
      <c r="K3514" s="15" t="s">
        <v>1587</v>
      </c>
      <c r="L3514" s="17">
        <v>10</v>
      </c>
      <c r="M3514" s="17">
        <v>800</v>
      </c>
      <c r="N3514" s="17">
        <v>10</v>
      </c>
      <c r="O3514" s="18">
        <v>226.38</v>
      </c>
      <c r="P3514" s="18">
        <v>185.56</v>
      </c>
      <c r="Q3514" s="18">
        <v>158.47</v>
      </c>
      <c r="R3514" s="18">
        <v>129.88999999999999</v>
      </c>
      <c r="S3514" s="18">
        <v>153.94</v>
      </c>
      <c r="T3514" s="18">
        <v>126.18</v>
      </c>
      <c r="U3514" s="16"/>
      <c r="V3514" s="16"/>
      <c r="W3514" s="16"/>
      <c r="X3514" s="19">
        <v>3.2000000000000001E-2</v>
      </c>
      <c r="Y3514" s="20">
        <v>8.1000000000000004E-5</v>
      </c>
      <c r="Z3514" s="21">
        <v>4601004089617</v>
      </c>
    </row>
    <row r="3515" spans="1:26" ht="12" customHeight="1" outlineLevel="4" x14ac:dyDescent="0.2">
      <c r="A3515" s="14" t="s">
        <v>6850</v>
      </c>
      <c r="B3515" s="26" t="s">
        <v>6851</v>
      </c>
      <c r="C3515" s="52"/>
      <c r="D3515" s="55">
        <f t="shared" si="54"/>
        <v>0</v>
      </c>
      <c r="E3515" s="63" t="str">
        <f>HYPERLINK("https://www.sds-group.ru/product/spudzher-metallicheskiy-shirokiy-lopatka-dvuhstoronnyaya-170mm-rexant-12-4336/", "Инфо")</f>
        <v>Инфо</v>
      </c>
      <c r="F3515" s="16" t="s">
        <v>39</v>
      </c>
      <c r="G3515" s="15"/>
      <c r="H3515" s="15"/>
      <c r="I3515" s="15"/>
      <c r="J3515" s="16" t="s">
        <v>100</v>
      </c>
      <c r="K3515" s="15" t="s">
        <v>6174</v>
      </c>
      <c r="L3515" s="17">
        <v>5</v>
      </c>
      <c r="M3515" s="17">
        <v>800</v>
      </c>
      <c r="N3515" s="17">
        <v>5</v>
      </c>
      <c r="O3515" s="18">
        <v>237.16</v>
      </c>
      <c r="P3515" s="18">
        <v>194.39</v>
      </c>
      <c r="Q3515" s="18">
        <v>166.01</v>
      </c>
      <c r="R3515" s="18">
        <v>136.07</v>
      </c>
      <c r="S3515" s="18">
        <v>161.27000000000001</v>
      </c>
      <c r="T3515" s="18">
        <v>132.19</v>
      </c>
      <c r="U3515" s="16"/>
      <c r="V3515" s="16"/>
      <c r="W3515" s="16"/>
      <c r="X3515" s="19">
        <v>3.4000000000000002E-2</v>
      </c>
      <c r="Y3515" s="20">
        <v>8.1000000000000004E-5</v>
      </c>
      <c r="Z3515" s="21">
        <v>4601004089631</v>
      </c>
    </row>
    <row r="3516" spans="1:26" ht="12" customHeight="1" outlineLevel="4" x14ac:dyDescent="0.2">
      <c r="A3516" s="14" t="s">
        <v>6852</v>
      </c>
      <c r="B3516" s="26" t="s">
        <v>6853</v>
      </c>
      <c r="C3516" s="52"/>
      <c r="D3516" s="55">
        <f t="shared" si="54"/>
        <v>0</v>
      </c>
      <c r="E3516" s="63" t="str">
        <f>HYPERLINK("https://www.sds-group.ru/product/shilo-montazhnoe-izognutoe-shm-04-155mm-12-4324-8/", "Инфо")</f>
        <v>Инфо</v>
      </c>
      <c r="F3516" s="16" t="s">
        <v>39</v>
      </c>
      <c r="G3516" s="15"/>
      <c r="H3516" s="15"/>
      <c r="I3516" s="15"/>
      <c r="J3516" s="16" t="s">
        <v>100</v>
      </c>
      <c r="K3516" s="15" t="s">
        <v>1094</v>
      </c>
      <c r="L3516" s="17">
        <v>5</v>
      </c>
      <c r="M3516" s="17">
        <v>100</v>
      </c>
      <c r="N3516" s="17">
        <v>5</v>
      </c>
      <c r="O3516" s="18">
        <v>306.83</v>
      </c>
      <c r="P3516" s="18">
        <v>251.5</v>
      </c>
      <c r="Q3516" s="18">
        <v>260.81</v>
      </c>
      <c r="R3516" s="18">
        <v>213.78</v>
      </c>
      <c r="S3516" s="18">
        <v>208.64</v>
      </c>
      <c r="T3516" s="18">
        <v>171.02</v>
      </c>
      <c r="U3516" s="16"/>
      <c r="V3516" s="16"/>
      <c r="W3516" s="16" t="s">
        <v>40</v>
      </c>
      <c r="X3516" s="19">
        <v>2.3E-2</v>
      </c>
      <c r="Y3516" s="20">
        <v>1.01E-4</v>
      </c>
      <c r="Z3516" s="21">
        <v>4601004065628</v>
      </c>
    </row>
    <row r="3517" spans="1:26" ht="12" customHeight="1" outlineLevel="4" x14ac:dyDescent="0.2">
      <c r="A3517" s="14" t="s">
        <v>6854</v>
      </c>
      <c r="B3517" s="26" t="s">
        <v>6855</v>
      </c>
      <c r="C3517" s="52"/>
      <c r="D3517" s="55">
        <f t="shared" si="54"/>
        <v>0</v>
      </c>
      <c r="E3517" s="63" t="str">
        <f>HYPERLINK("https://www.sds-group.ru/product/shilo-montazhnoe-pryamoe-shm-02-160mm-12-4322-8/", "Инфо")</f>
        <v>Инфо</v>
      </c>
      <c r="F3517" s="16" t="s">
        <v>39</v>
      </c>
      <c r="G3517" s="15"/>
      <c r="H3517" s="15"/>
      <c r="I3517" s="15"/>
      <c r="J3517" s="17">
        <v>13</v>
      </c>
      <c r="K3517" s="15" t="s">
        <v>1381</v>
      </c>
      <c r="L3517" s="17">
        <v>1</v>
      </c>
      <c r="M3517" s="17">
        <v>100</v>
      </c>
      <c r="N3517" s="17">
        <v>1</v>
      </c>
      <c r="O3517" s="18">
        <v>575.54999999999995</v>
      </c>
      <c r="P3517" s="18">
        <v>471.76</v>
      </c>
      <c r="Q3517" s="18">
        <v>460.44</v>
      </c>
      <c r="R3517" s="18">
        <v>377.41</v>
      </c>
      <c r="S3517" s="18">
        <v>391.37</v>
      </c>
      <c r="T3517" s="18">
        <v>320.8</v>
      </c>
      <c r="U3517" s="16"/>
      <c r="V3517" s="16"/>
      <c r="W3517" s="16" t="s">
        <v>40</v>
      </c>
      <c r="X3517" s="19">
        <v>0.02</v>
      </c>
      <c r="Y3517" s="20">
        <v>3.1000000000000001E-5</v>
      </c>
      <c r="Z3517" s="21">
        <v>4601004065611</v>
      </c>
    </row>
    <row r="3518" spans="1:26" ht="12.95" customHeight="1" outlineLevel="3" x14ac:dyDescent="0.2">
      <c r="A3518" s="76" t="s">
        <v>6856</v>
      </c>
      <c r="B3518" s="76"/>
      <c r="C3518" s="77"/>
      <c r="D3518" s="58"/>
      <c r="E3518" s="68"/>
      <c r="F3518" s="13"/>
      <c r="G3518" s="13"/>
      <c r="H3518" s="13"/>
      <c r="I3518" s="13"/>
      <c r="J3518" s="13"/>
      <c r="K3518" s="13"/>
      <c r="L3518" s="13"/>
      <c r="M3518" s="13"/>
      <c r="N3518" s="13"/>
      <c r="O3518" s="13"/>
      <c r="P3518" s="13"/>
      <c r="Q3518" s="13"/>
      <c r="R3518" s="13"/>
      <c r="S3518" s="13"/>
      <c r="T3518" s="13"/>
      <c r="U3518" s="13"/>
      <c r="V3518" s="13"/>
      <c r="W3518" s="13"/>
      <c r="X3518" s="13"/>
      <c r="Y3518" s="13"/>
      <c r="Z3518" s="13"/>
    </row>
    <row r="3519" spans="1:26" ht="12" customHeight="1" outlineLevel="4" x14ac:dyDescent="0.2">
      <c r="A3519" s="14" t="s">
        <v>6857</v>
      </c>
      <c r="B3519" s="26" t="s">
        <v>6858</v>
      </c>
      <c r="C3519" s="52"/>
      <c r="D3519" s="55">
        <f t="shared" si="54"/>
        <v>0</v>
      </c>
      <c r="E3519" s="63" t="str">
        <f>HYPERLINK("https://www.sds-group.ru/product/zazhim-montazhnyy-izognutyy-270mm-12-4354-8/", "Инфо")</f>
        <v>Инфо</v>
      </c>
      <c r="F3519" s="16" t="s">
        <v>39</v>
      </c>
      <c r="G3519" s="15"/>
      <c r="H3519" s="15"/>
      <c r="I3519" s="15"/>
      <c r="J3519" s="17">
        <v>185</v>
      </c>
      <c r="K3519" s="15"/>
      <c r="L3519" s="17">
        <v>1</v>
      </c>
      <c r="M3519" s="17">
        <v>100</v>
      </c>
      <c r="N3519" s="17">
        <v>1</v>
      </c>
      <c r="O3519" s="18">
        <v>1940.44</v>
      </c>
      <c r="P3519" s="18">
        <v>1590.52</v>
      </c>
      <c r="Q3519" s="18">
        <v>1532.95</v>
      </c>
      <c r="R3519" s="18">
        <v>1256.52</v>
      </c>
      <c r="S3519" s="18">
        <v>1319.5</v>
      </c>
      <c r="T3519" s="18">
        <v>1081.56</v>
      </c>
      <c r="U3519" s="16"/>
      <c r="V3519" s="16"/>
      <c r="W3519" s="16" t="s">
        <v>40</v>
      </c>
      <c r="X3519" s="19">
        <v>8.6999999999999994E-2</v>
      </c>
      <c r="Y3519" s="20">
        <v>1.0399999999999999E-4</v>
      </c>
      <c r="Z3519" s="21">
        <v>4601004074118</v>
      </c>
    </row>
    <row r="3520" spans="1:26" ht="12" customHeight="1" outlineLevel="4" x14ac:dyDescent="0.2">
      <c r="A3520" s="14" t="s">
        <v>6859</v>
      </c>
      <c r="B3520" s="26" t="s">
        <v>6860</v>
      </c>
      <c r="C3520" s="52"/>
      <c r="D3520" s="55">
        <f t="shared" si="54"/>
        <v>0</v>
      </c>
      <c r="E3520" s="63" t="str">
        <f>HYPERLINK("https://www.sds-group.ru/product/zazhim-montazhnyy-pryamoy-270mm-12-4344-8/", "Инфо")</f>
        <v>Инфо</v>
      </c>
      <c r="F3520" s="16" t="s">
        <v>39</v>
      </c>
      <c r="G3520" s="15"/>
      <c r="H3520" s="15"/>
      <c r="I3520" s="15"/>
      <c r="J3520" s="17">
        <v>11</v>
      </c>
      <c r="K3520" s="15" t="s">
        <v>1094</v>
      </c>
      <c r="L3520" s="17">
        <v>1</v>
      </c>
      <c r="M3520" s="17">
        <v>100</v>
      </c>
      <c r="N3520" s="17">
        <v>1</v>
      </c>
      <c r="O3520" s="18">
        <v>1994.34</v>
      </c>
      <c r="P3520" s="18">
        <v>1634.7</v>
      </c>
      <c r="Q3520" s="18">
        <v>1575.53</v>
      </c>
      <c r="R3520" s="18">
        <v>1291.42</v>
      </c>
      <c r="S3520" s="18">
        <v>1356.15</v>
      </c>
      <c r="T3520" s="18">
        <v>1111.5999999999999</v>
      </c>
      <c r="U3520" s="16"/>
      <c r="V3520" s="16"/>
      <c r="W3520" s="16" t="s">
        <v>40</v>
      </c>
      <c r="X3520" s="19">
        <v>8.3000000000000004E-2</v>
      </c>
      <c r="Y3520" s="20">
        <v>1E-4</v>
      </c>
      <c r="Z3520" s="21">
        <v>4601004074071</v>
      </c>
    </row>
    <row r="3521" spans="1:26" ht="12.95" customHeight="1" outlineLevel="3" x14ac:dyDescent="0.2">
      <c r="A3521" s="76" t="s">
        <v>6861</v>
      </c>
      <c r="B3521" s="76"/>
      <c r="C3521" s="77"/>
      <c r="D3521" s="58"/>
      <c r="E3521" s="68"/>
      <c r="F3521" s="13"/>
      <c r="G3521" s="13"/>
      <c r="H3521" s="13"/>
      <c r="I3521" s="13"/>
      <c r="J3521" s="13"/>
      <c r="K3521" s="13"/>
      <c r="L3521" s="13"/>
      <c r="M3521" s="13"/>
      <c r="N3521" s="13"/>
      <c r="O3521" s="13"/>
      <c r="P3521" s="13"/>
      <c r="Q3521" s="13"/>
      <c r="R3521" s="13"/>
      <c r="S3521" s="13"/>
      <c r="T3521" s="13"/>
      <c r="U3521" s="13"/>
      <c r="V3521" s="13"/>
      <c r="W3521" s="13"/>
      <c r="X3521" s="13"/>
      <c r="Y3521" s="13"/>
      <c r="Z3521" s="13"/>
    </row>
    <row r="3522" spans="1:26" ht="12" customHeight="1" outlineLevel="4" x14ac:dyDescent="0.2">
      <c r="A3522" s="14" t="s">
        <v>6862</v>
      </c>
      <c r="B3522" s="26" t="s">
        <v>6863</v>
      </c>
      <c r="C3522" s="52"/>
      <c r="D3522" s="55">
        <f t="shared" si="54"/>
        <v>0</v>
      </c>
      <c r="E3522" s="63" t="str">
        <f>HYPERLINK("https://www.sds-group.ru/product/pintset-izognutyy-uzkiy-120mm-legkiy-rexant-12-0385/", "Инфо")</f>
        <v>Инфо</v>
      </c>
      <c r="F3522" s="16" t="s">
        <v>39</v>
      </c>
      <c r="G3522" s="15"/>
      <c r="H3522" s="15"/>
      <c r="I3522" s="15"/>
      <c r="J3522" s="17">
        <v>371</v>
      </c>
      <c r="K3522" s="15" t="s">
        <v>1587</v>
      </c>
      <c r="L3522" s="17">
        <v>1</v>
      </c>
      <c r="M3522" s="17">
        <v>400</v>
      </c>
      <c r="N3522" s="17">
        <v>1</v>
      </c>
      <c r="O3522" s="18">
        <v>606.86</v>
      </c>
      <c r="P3522" s="18">
        <v>497.43</v>
      </c>
      <c r="Q3522" s="18">
        <v>424.8</v>
      </c>
      <c r="R3522" s="18">
        <v>348.2</v>
      </c>
      <c r="S3522" s="18">
        <v>412.66</v>
      </c>
      <c r="T3522" s="18">
        <v>338.25</v>
      </c>
      <c r="U3522" s="16"/>
      <c r="V3522" s="16"/>
      <c r="W3522" s="16"/>
      <c r="X3522" s="19">
        <v>2.9000000000000001E-2</v>
      </c>
      <c r="Y3522" s="20">
        <v>1.17E-4</v>
      </c>
      <c r="Z3522" s="21">
        <v>4601004065727</v>
      </c>
    </row>
    <row r="3523" spans="1:26" ht="12" customHeight="1" outlineLevel="4" x14ac:dyDescent="0.2">
      <c r="A3523" s="14" t="s">
        <v>6864</v>
      </c>
      <c r="B3523" s="26" t="s">
        <v>6865</v>
      </c>
      <c r="C3523" s="52"/>
      <c r="D3523" s="55">
        <f t="shared" si="54"/>
        <v>0</v>
      </c>
      <c r="E3523" s="63" t="str">
        <f>HYPERLINK("https://www.sds-group.ru/product/pintset-izognutyy-uzkiy-125mm-rexant-12-0378/", "Инфо")</f>
        <v>Инфо</v>
      </c>
      <c r="F3523" s="16" t="s">
        <v>39</v>
      </c>
      <c r="G3523" s="15"/>
      <c r="H3523" s="15"/>
      <c r="I3523" s="15"/>
      <c r="J3523" s="17">
        <v>65</v>
      </c>
      <c r="K3523" s="15" t="s">
        <v>1587</v>
      </c>
      <c r="L3523" s="17">
        <v>1</v>
      </c>
      <c r="M3523" s="17">
        <v>400</v>
      </c>
      <c r="N3523" s="17">
        <v>1</v>
      </c>
      <c r="O3523" s="18">
        <v>344.5</v>
      </c>
      <c r="P3523" s="18">
        <v>282.38</v>
      </c>
      <c r="Q3523" s="18">
        <v>241.15</v>
      </c>
      <c r="R3523" s="18">
        <v>197.66</v>
      </c>
      <c r="S3523" s="18">
        <v>234.26</v>
      </c>
      <c r="T3523" s="18">
        <v>192.02</v>
      </c>
      <c r="U3523" s="16"/>
      <c r="V3523" s="16"/>
      <c r="W3523" s="16"/>
      <c r="X3523" s="19">
        <v>0.03</v>
      </c>
      <c r="Y3523" s="20">
        <v>1.15E-4</v>
      </c>
      <c r="Z3523" s="21">
        <v>4601004094857</v>
      </c>
    </row>
    <row r="3524" spans="1:26" ht="12" customHeight="1" outlineLevel="4" x14ac:dyDescent="0.2">
      <c r="A3524" s="14" t="s">
        <v>6866</v>
      </c>
      <c r="B3524" s="26" t="s">
        <v>6867</v>
      </c>
      <c r="C3524" s="52"/>
      <c r="D3524" s="55">
        <f t="shared" si="54"/>
        <v>0</v>
      </c>
      <c r="E3524" s="63" t="str">
        <f>HYPERLINK("https://www.sds-group.ru/product/pintset-izognutyy-uzkiy-fiksator-riflenyy-155mm-profi-12-0355/", "Инфо")</f>
        <v>Инфо</v>
      </c>
      <c r="F3524" s="16" t="s">
        <v>39</v>
      </c>
      <c r="G3524" s="15"/>
      <c r="H3524" s="15"/>
      <c r="I3524" s="15"/>
      <c r="J3524" s="17">
        <v>210</v>
      </c>
      <c r="K3524" s="15" t="s">
        <v>1094</v>
      </c>
      <c r="L3524" s="17">
        <v>1</v>
      </c>
      <c r="M3524" s="17">
        <v>500</v>
      </c>
      <c r="N3524" s="17">
        <v>1</v>
      </c>
      <c r="O3524" s="18">
        <v>699.43</v>
      </c>
      <c r="P3524" s="18">
        <v>573.29999999999995</v>
      </c>
      <c r="Q3524" s="18">
        <v>559.54</v>
      </c>
      <c r="R3524" s="18">
        <v>458.64</v>
      </c>
      <c r="S3524" s="18">
        <v>475.61</v>
      </c>
      <c r="T3524" s="18">
        <v>389.84</v>
      </c>
      <c r="U3524" s="16"/>
      <c r="V3524" s="16"/>
      <c r="W3524" s="16" t="s">
        <v>40</v>
      </c>
      <c r="X3524" s="19">
        <v>2.5000000000000001E-2</v>
      </c>
      <c r="Y3524" s="20">
        <v>1.6799999999999999E-4</v>
      </c>
      <c r="Z3524" s="21">
        <v>4601004065697</v>
      </c>
    </row>
    <row r="3525" spans="1:26" ht="12" customHeight="1" outlineLevel="4" x14ac:dyDescent="0.2">
      <c r="A3525" s="14" t="s">
        <v>6868</v>
      </c>
      <c r="B3525" s="26" t="s">
        <v>6869</v>
      </c>
      <c r="C3525" s="52"/>
      <c r="D3525" s="55">
        <f t="shared" si="54"/>
        <v>0</v>
      </c>
      <c r="E3525" s="63" t="str">
        <f>HYPERLINK("https://www.sds-group.ru/product/pintset-pryamoy-120mm-rexant-12-0370/", "Инфо")</f>
        <v>Инфо</v>
      </c>
      <c r="F3525" s="16" t="s">
        <v>39</v>
      </c>
      <c r="G3525" s="15"/>
      <c r="H3525" s="15"/>
      <c r="I3525" s="15"/>
      <c r="J3525" s="16" t="s">
        <v>100</v>
      </c>
      <c r="K3525" s="15" t="s">
        <v>6181</v>
      </c>
      <c r="L3525" s="17">
        <v>5</v>
      </c>
      <c r="M3525" s="17">
        <v>400</v>
      </c>
      <c r="N3525" s="17">
        <v>5</v>
      </c>
      <c r="O3525" s="18">
        <v>310.47000000000003</v>
      </c>
      <c r="P3525" s="18">
        <v>254.48</v>
      </c>
      <c r="Q3525" s="18">
        <v>263.89999999999998</v>
      </c>
      <c r="R3525" s="18">
        <v>216.31</v>
      </c>
      <c r="S3525" s="18">
        <v>211.12</v>
      </c>
      <c r="T3525" s="18">
        <v>173.05</v>
      </c>
      <c r="U3525" s="16"/>
      <c r="V3525" s="16"/>
      <c r="W3525" s="16" t="s">
        <v>40</v>
      </c>
      <c r="X3525" s="19">
        <v>3.3000000000000002E-2</v>
      </c>
      <c r="Y3525" s="20">
        <v>1.16E-4</v>
      </c>
      <c r="Z3525" s="21">
        <v>4601004056978</v>
      </c>
    </row>
    <row r="3526" spans="1:26" ht="12" customHeight="1" outlineLevel="4" x14ac:dyDescent="0.2">
      <c r="A3526" s="14" t="s">
        <v>6870</v>
      </c>
      <c r="B3526" s="26" t="s">
        <v>6871</v>
      </c>
      <c r="C3526" s="52"/>
      <c r="D3526" s="55">
        <f t="shared" si="54"/>
        <v>0</v>
      </c>
      <c r="E3526" s="63" t="str">
        <f>HYPERLINK("https://www.sds-group.ru/product/pintset-pryamoy-120mm-blister-rexant-12-0372/", "Инфо")</f>
        <v>Инфо</v>
      </c>
      <c r="F3526" s="16" t="s">
        <v>39</v>
      </c>
      <c r="G3526" s="15"/>
      <c r="H3526" s="15"/>
      <c r="I3526" s="15"/>
      <c r="J3526" s="16" t="s">
        <v>100</v>
      </c>
      <c r="K3526" s="15" t="s">
        <v>1587</v>
      </c>
      <c r="L3526" s="17">
        <v>5</v>
      </c>
      <c r="M3526" s="17">
        <v>400</v>
      </c>
      <c r="N3526" s="17">
        <v>5</v>
      </c>
      <c r="O3526" s="18">
        <v>398.2</v>
      </c>
      <c r="P3526" s="18">
        <v>326.39</v>
      </c>
      <c r="Q3526" s="18">
        <v>318.56</v>
      </c>
      <c r="R3526" s="18">
        <v>261.11</v>
      </c>
      <c r="S3526" s="18">
        <v>270.77999999999997</v>
      </c>
      <c r="T3526" s="18">
        <v>221.95</v>
      </c>
      <c r="U3526" s="16"/>
      <c r="V3526" s="16"/>
      <c r="W3526" s="16" t="s">
        <v>40</v>
      </c>
      <c r="X3526" s="19">
        <v>2.9000000000000001E-2</v>
      </c>
      <c r="Y3526" s="20">
        <v>1.1900000000000001E-4</v>
      </c>
      <c r="Z3526" s="21">
        <v>4601004094918</v>
      </c>
    </row>
    <row r="3527" spans="1:26" ht="12" customHeight="1" outlineLevel="4" x14ac:dyDescent="0.2">
      <c r="A3527" s="14" t="s">
        <v>6872</v>
      </c>
      <c r="B3527" s="26" t="s">
        <v>6873</v>
      </c>
      <c r="C3527" s="52"/>
      <c r="D3527" s="55">
        <f t="shared" si="54"/>
        <v>0</v>
      </c>
      <c r="E3527" s="63" t="str">
        <f>HYPERLINK("https://www.sds-group.ru/product/pintset-pryamoy-130mm-rexant-12-0373/", "Инфо")</f>
        <v>Инфо</v>
      </c>
      <c r="F3527" s="16" t="s">
        <v>39</v>
      </c>
      <c r="G3527" s="15"/>
      <c r="H3527" s="15"/>
      <c r="I3527" s="15"/>
      <c r="J3527" s="17">
        <v>682</v>
      </c>
      <c r="K3527" s="15" t="s">
        <v>1587</v>
      </c>
      <c r="L3527" s="17">
        <v>1</v>
      </c>
      <c r="M3527" s="17">
        <v>400</v>
      </c>
      <c r="N3527" s="17">
        <v>1</v>
      </c>
      <c r="O3527" s="18">
        <v>434.04</v>
      </c>
      <c r="P3527" s="18">
        <v>355.77</v>
      </c>
      <c r="Q3527" s="18">
        <v>303.83</v>
      </c>
      <c r="R3527" s="18">
        <v>249.04</v>
      </c>
      <c r="S3527" s="18">
        <v>295.14999999999998</v>
      </c>
      <c r="T3527" s="18">
        <v>241.93</v>
      </c>
      <c r="U3527" s="16"/>
      <c r="V3527" s="16"/>
      <c r="W3527" s="16"/>
      <c r="X3527" s="19">
        <v>3.2000000000000001E-2</v>
      </c>
      <c r="Y3527" s="20">
        <v>1.16E-4</v>
      </c>
      <c r="Z3527" s="21">
        <v>4601004094826</v>
      </c>
    </row>
    <row r="3528" spans="1:26" ht="12" customHeight="1" outlineLevel="4" x14ac:dyDescent="0.2">
      <c r="A3528" s="14" t="s">
        <v>6874</v>
      </c>
      <c r="B3528" s="26" t="s">
        <v>6875</v>
      </c>
      <c r="C3528" s="52"/>
      <c r="D3528" s="55">
        <f t="shared" si="54"/>
        <v>0</v>
      </c>
      <c r="E3528" s="63" t="str">
        <f>HYPERLINK("https://www.sds-group.ru/product/pintset-pryamoy-140mm-rexant-12-0371/", "Инфо")</f>
        <v>Инфо</v>
      </c>
      <c r="F3528" s="16" t="s">
        <v>39</v>
      </c>
      <c r="G3528" s="15"/>
      <c r="H3528" s="15"/>
      <c r="I3528" s="15"/>
      <c r="J3528" s="17">
        <v>4</v>
      </c>
      <c r="K3528" s="15" t="s">
        <v>1587</v>
      </c>
      <c r="L3528" s="17">
        <v>1</v>
      </c>
      <c r="M3528" s="17">
        <v>400</v>
      </c>
      <c r="N3528" s="17">
        <v>1</v>
      </c>
      <c r="O3528" s="18">
        <v>407.5</v>
      </c>
      <c r="P3528" s="18">
        <v>334.02</v>
      </c>
      <c r="Q3528" s="18">
        <v>285.25</v>
      </c>
      <c r="R3528" s="18">
        <v>233.81</v>
      </c>
      <c r="S3528" s="18">
        <v>277.10000000000002</v>
      </c>
      <c r="T3528" s="18">
        <v>227.13</v>
      </c>
      <c r="U3528" s="16"/>
      <c r="V3528" s="16"/>
      <c r="W3528" s="16"/>
      <c r="X3528" s="19">
        <v>3.9E-2</v>
      </c>
      <c r="Y3528" s="20">
        <v>1.05E-4</v>
      </c>
      <c r="Z3528" s="21">
        <v>4601004056954</v>
      </c>
    </row>
    <row r="3529" spans="1:26" ht="12" customHeight="1" outlineLevel="4" x14ac:dyDescent="0.2">
      <c r="A3529" s="14" t="s">
        <v>6876</v>
      </c>
      <c r="B3529" s="26" t="s">
        <v>6877</v>
      </c>
      <c r="C3529" s="52"/>
      <c r="D3529" s="55">
        <f t="shared" ref="D3529:D3592" si="55">C3529*(O3529-O3529*$G$3)</f>
        <v>0</v>
      </c>
      <c r="E3529" s="63" t="str">
        <f>HYPERLINK("https://www.sds-group.ru/product/pintset-pryamoy-160mm-rexant-12-0381/", "Инфо")</f>
        <v>Инфо</v>
      </c>
      <c r="F3529" s="16" t="s">
        <v>39</v>
      </c>
      <c r="G3529" s="15"/>
      <c r="H3529" s="15"/>
      <c r="I3529" s="15"/>
      <c r="J3529" s="17">
        <v>522</v>
      </c>
      <c r="K3529" s="15" t="s">
        <v>1587</v>
      </c>
      <c r="L3529" s="17">
        <v>1</v>
      </c>
      <c r="M3529" s="17">
        <v>400</v>
      </c>
      <c r="N3529" s="17">
        <v>1</v>
      </c>
      <c r="O3529" s="18">
        <v>642.54999999999995</v>
      </c>
      <c r="P3529" s="18">
        <v>526.67999999999995</v>
      </c>
      <c r="Q3529" s="18">
        <v>514.04</v>
      </c>
      <c r="R3529" s="18">
        <v>421.34</v>
      </c>
      <c r="S3529" s="18">
        <v>436.93</v>
      </c>
      <c r="T3529" s="18">
        <v>358.14</v>
      </c>
      <c r="U3529" s="16"/>
      <c r="V3529" s="16"/>
      <c r="W3529" s="16" t="s">
        <v>40</v>
      </c>
      <c r="X3529" s="19">
        <v>3.9E-2</v>
      </c>
      <c r="Y3529" s="20">
        <v>1.08E-4</v>
      </c>
      <c r="Z3529" s="21">
        <v>4601004094864</v>
      </c>
    </row>
    <row r="3530" spans="1:26" ht="12" customHeight="1" outlineLevel="4" x14ac:dyDescent="0.2">
      <c r="A3530" s="14" t="s">
        <v>6878</v>
      </c>
      <c r="B3530" s="26" t="s">
        <v>6879</v>
      </c>
      <c r="C3530" s="52"/>
      <c r="D3530" s="55">
        <f t="shared" si="55"/>
        <v>0</v>
      </c>
      <c r="E3530" s="63" t="str">
        <f>HYPERLINK("https://www.sds-group.ru/product/pintset-pryamoy-riflenyy-250mm-profi-12-0369/", "Инфо")</f>
        <v>Инфо</v>
      </c>
      <c r="F3530" s="16" t="s">
        <v>39</v>
      </c>
      <c r="G3530" s="15"/>
      <c r="H3530" s="15"/>
      <c r="I3530" s="15"/>
      <c r="J3530" s="17">
        <v>123</v>
      </c>
      <c r="K3530" s="15" t="s">
        <v>1094</v>
      </c>
      <c r="L3530" s="17">
        <v>1</v>
      </c>
      <c r="M3530" s="17">
        <v>40</v>
      </c>
      <c r="N3530" s="17">
        <v>1</v>
      </c>
      <c r="O3530" s="18">
        <v>785.87</v>
      </c>
      <c r="P3530" s="18">
        <v>644.16</v>
      </c>
      <c r="Q3530" s="18">
        <v>628.70000000000005</v>
      </c>
      <c r="R3530" s="18">
        <v>515.33000000000004</v>
      </c>
      <c r="S3530" s="18">
        <v>534.39</v>
      </c>
      <c r="T3530" s="18">
        <v>438.02</v>
      </c>
      <c r="U3530" s="16"/>
      <c r="V3530" s="16"/>
      <c r="W3530" s="16" t="s">
        <v>40</v>
      </c>
      <c r="X3530" s="19">
        <v>6.6000000000000003E-2</v>
      </c>
      <c r="Y3530" s="20">
        <v>2.6699999999999998E-4</v>
      </c>
      <c r="Z3530" s="21">
        <v>4601004144729</v>
      </c>
    </row>
    <row r="3531" spans="1:26" ht="12" customHeight="1" outlineLevel="4" x14ac:dyDescent="0.2">
      <c r="A3531" s="32" t="s">
        <v>6880</v>
      </c>
      <c r="B3531" s="74" t="s">
        <v>6881</v>
      </c>
      <c r="C3531" s="50"/>
      <c r="D3531" s="53">
        <f t="shared" si="55"/>
        <v>0</v>
      </c>
      <c r="E3531" s="60" t="str">
        <f>HYPERLINK("https://www.sds-group.ru/product/pintset-pryamoy-s-zakruglennymi-konchikami-125mm-rexant-12-0377/", "Инфо")</f>
        <v>Инфо</v>
      </c>
      <c r="F3531" s="34" t="s">
        <v>39</v>
      </c>
      <c r="G3531" s="33"/>
      <c r="H3531" s="33" t="s">
        <v>40</v>
      </c>
      <c r="I3531" s="33"/>
      <c r="J3531" s="35">
        <v>191</v>
      </c>
      <c r="K3531" s="33"/>
      <c r="L3531" s="35">
        <v>1</v>
      </c>
      <c r="M3531" s="35">
        <v>400</v>
      </c>
      <c r="N3531" s="35">
        <v>1</v>
      </c>
      <c r="O3531" s="36">
        <v>483.3</v>
      </c>
      <c r="P3531" s="36">
        <v>396.15</v>
      </c>
      <c r="Q3531" s="36">
        <v>386.64</v>
      </c>
      <c r="R3531" s="36">
        <v>316.92</v>
      </c>
      <c r="S3531" s="36">
        <v>328.64</v>
      </c>
      <c r="T3531" s="36">
        <v>269.38</v>
      </c>
      <c r="U3531" s="34"/>
      <c r="V3531" s="34"/>
      <c r="W3531" s="34" t="s">
        <v>40</v>
      </c>
      <c r="X3531" s="37">
        <v>0.03</v>
      </c>
      <c r="Y3531" s="38">
        <v>1.16E-4</v>
      </c>
      <c r="Z3531" s="21">
        <v>4601004094833</v>
      </c>
    </row>
    <row r="3532" spans="1:26" ht="12" customHeight="1" outlineLevel="4" x14ac:dyDescent="0.2">
      <c r="A3532" s="14" t="s">
        <v>6882</v>
      </c>
      <c r="B3532" s="26" t="s">
        <v>6883</v>
      </c>
      <c r="C3532" s="52"/>
      <c r="D3532" s="55">
        <f t="shared" si="55"/>
        <v>0</v>
      </c>
      <c r="E3532" s="63" t="str">
        <f>HYPERLINK("https://www.sds-group.ru/product/pintset-pryamoy-s-ostrymi-konchikami-125mm-rexant-12-0376/", "Инфо")</f>
        <v>Инфо</v>
      </c>
      <c r="F3532" s="16" t="s">
        <v>39</v>
      </c>
      <c r="G3532" s="15"/>
      <c r="H3532" s="15"/>
      <c r="I3532" s="15"/>
      <c r="J3532" s="17">
        <v>244</v>
      </c>
      <c r="K3532" s="15" t="s">
        <v>6181</v>
      </c>
      <c r="L3532" s="17">
        <v>1</v>
      </c>
      <c r="M3532" s="17">
        <v>400</v>
      </c>
      <c r="N3532" s="17">
        <v>1</v>
      </c>
      <c r="O3532" s="18">
        <v>381.6</v>
      </c>
      <c r="P3532" s="18">
        <v>312.79000000000002</v>
      </c>
      <c r="Q3532" s="18">
        <v>305.27999999999997</v>
      </c>
      <c r="R3532" s="18">
        <v>250.23</v>
      </c>
      <c r="S3532" s="18">
        <v>259.49</v>
      </c>
      <c r="T3532" s="18">
        <v>212.7</v>
      </c>
      <c r="U3532" s="16"/>
      <c r="V3532" s="16"/>
      <c r="W3532" s="16" t="s">
        <v>40</v>
      </c>
      <c r="X3532" s="19">
        <v>0.03</v>
      </c>
      <c r="Y3532" s="20">
        <v>1.27E-4</v>
      </c>
      <c r="Z3532" s="21">
        <v>4601004094840</v>
      </c>
    </row>
    <row r="3533" spans="1:26" ht="12" customHeight="1" outlineLevel="4" x14ac:dyDescent="0.2">
      <c r="A3533" s="14" t="s">
        <v>6884</v>
      </c>
      <c r="B3533" s="26" t="s">
        <v>6885</v>
      </c>
      <c r="C3533" s="52"/>
      <c r="D3533" s="55">
        <f t="shared" si="55"/>
        <v>0</v>
      </c>
      <c r="E3533" s="63" t="str">
        <f>HYPERLINK("https://www.sds-group.ru/product/pintset-pryamoy-riflenyy-125mm-rexant-12-0360/", "Инфо")</f>
        <v>Инфо</v>
      </c>
      <c r="F3533" s="16" t="s">
        <v>39</v>
      </c>
      <c r="G3533" s="15"/>
      <c r="H3533" s="15"/>
      <c r="I3533" s="15"/>
      <c r="J3533" s="16" t="s">
        <v>100</v>
      </c>
      <c r="K3533" s="15" t="s">
        <v>1587</v>
      </c>
      <c r="L3533" s="17">
        <v>1</v>
      </c>
      <c r="M3533" s="17">
        <v>400</v>
      </c>
      <c r="N3533" s="17">
        <v>1</v>
      </c>
      <c r="O3533" s="18">
        <v>415.09</v>
      </c>
      <c r="P3533" s="18">
        <v>340.24</v>
      </c>
      <c r="Q3533" s="18">
        <v>332.07</v>
      </c>
      <c r="R3533" s="18">
        <v>272.19</v>
      </c>
      <c r="S3533" s="18">
        <v>282.26</v>
      </c>
      <c r="T3533" s="18">
        <v>231.36</v>
      </c>
      <c r="U3533" s="16"/>
      <c r="V3533" s="16"/>
      <c r="W3533" s="16" t="s">
        <v>40</v>
      </c>
      <c r="X3533" s="19">
        <v>2.9000000000000001E-2</v>
      </c>
      <c r="Y3533" s="20">
        <v>1.16E-4</v>
      </c>
      <c r="Z3533" s="21">
        <v>4601004094888</v>
      </c>
    </row>
    <row r="3534" spans="1:26" ht="12" customHeight="1" outlineLevel="4" x14ac:dyDescent="0.2">
      <c r="A3534" s="14" t="s">
        <v>6886</v>
      </c>
      <c r="B3534" s="26" t="s">
        <v>6887</v>
      </c>
      <c r="C3534" s="52"/>
      <c r="D3534" s="55">
        <f t="shared" si="55"/>
        <v>0</v>
      </c>
      <c r="E3534" s="63" t="str">
        <f>HYPERLINK("https://www.sds-group.ru/product/pintset-pryamoy-riflenyy-155mm-profi-12-0365/", "Инфо")</f>
        <v>Инфо</v>
      </c>
      <c r="F3534" s="16" t="s">
        <v>39</v>
      </c>
      <c r="G3534" s="15"/>
      <c r="H3534" s="15"/>
      <c r="I3534" s="15"/>
      <c r="J3534" s="17">
        <v>145</v>
      </c>
      <c r="K3534" s="15" t="s">
        <v>1094</v>
      </c>
      <c r="L3534" s="17">
        <v>1</v>
      </c>
      <c r="M3534" s="17">
        <v>500</v>
      </c>
      <c r="N3534" s="17">
        <v>1</v>
      </c>
      <c r="O3534" s="18">
        <v>699.43</v>
      </c>
      <c r="P3534" s="18">
        <v>573.29999999999995</v>
      </c>
      <c r="Q3534" s="18">
        <v>559.54</v>
      </c>
      <c r="R3534" s="18">
        <v>458.64</v>
      </c>
      <c r="S3534" s="18">
        <v>475.61</v>
      </c>
      <c r="T3534" s="18">
        <v>389.84</v>
      </c>
      <c r="U3534" s="16"/>
      <c r="V3534" s="16"/>
      <c r="W3534" s="16" t="s">
        <v>40</v>
      </c>
      <c r="X3534" s="19">
        <v>0.03</v>
      </c>
      <c r="Y3534" s="20">
        <v>3.6000000000000001E-5</v>
      </c>
      <c r="Z3534" s="21">
        <v>4601004065703</v>
      </c>
    </row>
    <row r="3535" spans="1:26" ht="12" customHeight="1" outlineLevel="4" x14ac:dyDescent="0.2">
      <c r="A3535" s="14" t="s">
        <v>6888</v>
      </c>
      <c r="B3535" s="26" t="s">
        <v>6889</v>
      </c>
      <c r="C3535" s="52"/>
      <c r="D3535" s="55">
        <f t="shared" si="55"/>
        <v>0</v>
      </c>
      <c r="E3535" s="63" t="str">
        <f>HYPERLINK("https://www.sds-group.ru/product/pintset-pryamoy-riflenyy-160mm-rexant-12-0366/", "Инфо")</f>
        <v>Инфо</v>
      </c>
      <c r="F3535" s="16" t="s">
        <v>39</v>
      </c>
      <c r="G3535" s="15"/>
      <c r="H3535" s="15"/>
      <c r="I3535" s="15"/>
      <c r="J3535" s="17">
        <v>737</v>
      </c>
      <c r="K3535" s="15" t="s">
        <v>1587</v>
      </c>
      <c r="L3535" s="17">
        <v>5</v>
      </c>
      <c r="M3535" s="17">
        <v>400</v>
      </c>
      <c r="N3535" s="17">
        <v>5</v>
      </c>
      <c r="O3535" s="18">
        <v>398.2</v>
      </c>
      <c r="P3535" s="18">
        <v>326.39</v>
      </c>
      <c r="Q3535" s="18">
        <v>278.74</v>
      </c>
      <c r="R3535" s="18">
        <v>228.48</v>
      </c>
      <c r="S3535" s="18">
        <v>270.77999999999997</v>
      </c>
      <c r="T3535" s="18">
        <v>221.95</v>
      </c>
      <c r="U3535" s="16"/>
      <c r="V3535" s="16"/>
      <c r="W3535" s="16"/>
      <c r="X3535" s="19">
        <v>3.9E-2</v>
      </c>
      <c r="Y3535" s="20">
        <v>1.08E-4</v>
      </c>
      <c r="Z3535" s="21">
        <v>4601004094895</v>
      </c>
    </row>
    <row r="3536" spans="1:26" ht="12" customHeight="1" outlineLevel="4" x14ac:dyDescent="0.2">
      <c r="A3536" s="14" t="s">
        <v>6890</v>
      </c>
      <c r="B3536" s="26" t="s">
        <v>6891</v>
      </c>
      <c r="C3536" s="52"/>
      <c r="D3536" s="55">
        <f t="shared" si="55"/>
        <v>0</v>
      </c>
      <c r="E3536" s="63" t="str">
        <f>HYPERLINK("https://www.sds-group.ru/product/pintset-pryamoy-riflenyy-200mm-rexant-12-0368/", "Инфо")</f>
        <v>Инфо</v>
      </c>
      <c r="F3536" s="16" t="s">
        <v>39</v>
      </c>
      <c r="G3536" s="15"/>
      <c r="H3536" s="15"/>
      <c r="I3536" s="15"/>
      <c r="J3536" s="17">
        <v>632</v>
      </c>
      <c r="K3536" s="15" t="s">
        <v>6181</v>
      </c>
      <c r="L3536" s="17">
        <v>1</v>
      </c>
      <c r="M3536" s="17">
        <v>400</v>
      </c>
      <c r="N3536" s="17">
        <v>1</v>
      </c>
      <c r="O3536" s="18">
        <v>585.70000000000005</v>
      </c>
      <c r="P3536" s="18">
        <v>480.08</v>
      </c>
      <c r="Q3536" s="18">
        <v>468.56</v>
      </c>
      <c r="R3536" s="18">
        <v>384.07</v>
      </c>
      <c r="S3536" s="18">
        <v>398.28</v>
      </c>
      <c r="T3536" s="18">
        <v>326.45999999999998</v>
      </c>
      <c r="U3536" s="16"/>
      <c r="V3536" s="16"/>
      <c r="W3536" s="16" t="s">
        <v>40</v>
      </c>
      <c r="X3536" s="19">
        <v>0.05</v>
      </c>
      <c r="Y3536" s="20">
        <v>1.4200000000000001E-4</v>
      </c>
      <c r="Z3536" s="21">
        <v>4601004094901</v>
      </c>
    </row>
    <row r="3537" spans="1:26" ht="12" customHeight="1" outlineLevel="4" x14ac:dyDescent="0.2">
      <c r="A3537" s="14" t="s">
        <v>6892</v>
      </c>
      <c r="B3537" s="26" t="s">
        <v>6893</v>
      </c>
      <c r="C3537" s="52"/>
      <c r="D3537" s="55">
        <f t="shared" si="55"/>
        <v>0</v>
      </c>
      <c r="E3537" s="63" t="str">
        <f>HYPERLINK("https://www.sds-group.ru/product/pintset-pryamoy-uzkiy-140mm-legkiy-rexant-12-0380/", "Инфо")</f>
        <v>Инфо</v>
      </c>
      <c r="F3537" s="16" t="s">
        <v>39</v>
      </c>
      <c r="G3537" s="15"/>
      <c r="H3537" s="15"/>
      <c r="I3537" s="15"/>
      <c r="J3537" s="17">
        <v>525</v>
      </c>
      <c r="K3537" s="15" t="s">
        <v>1587</v>
      </c>
      <c r="L3537" s="17">
        <v>1</v>
      </c>
      <c r="M3537" s="17">
        <v>400</v>
      </c>
      <c r="N3537" s="17">
        <v>1</v>
      </c>
      <c r="O3537" s="18">
        <v>661.47</v>
      </c>
      <c r="P3537" s="18">
        <v>542.19000000000005</v>
      </c>
      <c r="Q3537" s="18">
        <v>529.17999999999995</v>
      </c>
      <c r="R3537" s="18">
        <v>433.75</v>
      </c>
      <c r="S3537" s="18">
        <v>449.8</v>
      </c>
      <c r="T3537" s="18">
        <v>368.69</v>
      </c>
      <c r="U3537" s="16"/>
      <c r="V3537" s="16"/>
      <c r="W3537" s="16" t="s">
        <v>40</v>
      </c>
      <c r="X3537" s="19">
        <v>3.1E-2</v>
      </c>
      <c r="Y3537" s="20">
        <v>1.18E-4</v>
      </c>
      <c r="Z3537" s="21">
        <v>4601004065710</v>
      </c>
    </row>
    <row r="3538" spans="1:26" ht="12" customHeight="1" outlineLevel="4" x14ac:dyDescent="0.2">
      <c r="A3538" s="14" t="s">
        <v>6894</v>
      </c>
      <c r="B3538" s="26" t="s">
        <v>6895</v>
      </c>
      <c r="C3538" s="52"/>
      <c r="D3538" s="55">
        <f t="shared" si="55"/>
        <v>0</v>
      </c>
      <c r="E3538" s="63" t="str">
        <f>HYPERLINK("https://www.sds-group.ru/product/pintset-pryamoy-uzkiy-riflenyy-145mm-profi-12-0346/", "Инфо")</f>
        <v>Инфо</v>
      </c>
      <c r="F3538" s="16" t="s">
        <v>39</v>
      </c>
      <c r="G3538" s="15"/>
      <c r="H3538" s="15"/>
      <c r="I3538" s="15"/>
      <c r="J3538" s="16" t="s">
        <v>100</v>
      </c>
      <c r="K3538" s="15" t="s">
        <v>1094</v>
      </c>
      <c r="L3538" s="17">
        <v>1</v>
      </c>
      <c r="M3538" s="17">
        <v>100</v>
      </c>
      <c r="N3538" s="17">
        <v>1</v>
      </c>
      <c r="O3538" s="18">
        <v>585.70000000000005</v>
      </c>
      <c r="P3538" s="18">
        <v>480.08</v>
      </c>
      <c r="Q3538" s="18">
        <v>468.56</v>
      </c>
      <c r="R3538" s="18">
        <v>384.07</v>
      </c>
      <c r="S3538" s="18">
        <v>398.28</v>
      </c>
      <c r="T3538" s="18">
        <v>326.45999999999998</v>
      </c>
      <c r="U3538" s="16"/>
      <c r="V3538" s="16"/>
      <c r="W3538" s="16" t="s">
        <v>40</v>
      </c>
      <c r="X3538" s="19">
        <v>2.1999999999999999E-2</v>
      </c>
      <c r="Y3538" s="20">
        <v>3.8000000000000002E-5</v>
      </c>
      <c r="Z3538" s="21">
        <v>4601004117051</v>
      </c>
    </row>
    <row r="3539" spans="1:26" ht="12" customHeight="1" outlineLevel="4" x14ac:dyDescent="0.2">
      <c r="A3539" s="14" t="s">
        <v>6896</v>
      </c>
      <c r="B3539" s="26" t="s">
        <v>6897</v>
      </c>
      <c r="C3539" s="52"/>
      <c r="D3539" s="55">
        <f t="shared" si="55"/>
        <v>0</v>
      </c>
      <c r="E3539" s="63" t="str">
        <f>HYPERLINK("https://www.sds-group.ru/product/pintset-pryamoy-uzkiy-fiksator-riflenyy-100mm-profi-12-0340/", "Инфо")</f>
        <v>Инфо</v>
      </c>
      <c r="F3539" s="16" t="s">
        <v>39</v>
      </c>
      <c r="G3539" s="15"/>
      <c r="H3539" s="15"/>
      <c r="I3539" s="15"/>
      <c r="J3539" s="17">
        <v>33</v>
      </c>
      <c r="K3539" s="15"/>
      <c r="L3539" s="17">
        <v>1</v>
      </c>
      <c r="M3539" s="17">
        <v>500</v>
      </c>
      <c r="N3539" s="17">
        <v>1</v>
      </c>
      <c r="O3539" s="18">
        <v>625.14</v>
      </c>
      <c r="P3539" s="18">
        <v>512.41</v>
      </c>
      <c r="Q3539" s="18">
        <v>500.11</v>
      </c>
      <c r="R3539" s="18">
        <v>409.93</v>
      </c>
      <c r="S3539" s="18">
        <v>425.1</v>
      </c>
      <c r="T3539" s="18">
        <v>348.44</v>
      </c>
      <c r="U3539" s="16"/>
      <c r="V3539" s="16"/>
      <c r="W3539" s="16" t="s">
        <v>40</v>
      </c>
      <c r="X3539" s="19">
        <v>1.2999999999999999E-2</v>
      </c>
      <c r="Y3539" s="20">
        <v>2.4000000000000001E-5</v>
      </c>
      <c r="Z3539" s="21">
        <v>4601004065789</v>
      </c>
    </row>
    <row r="3540" spans="1:26" ht="12.95" customHeight="1" outlineLevel="2" x14ac:dyDescent="0.2">
      <c r="A3540" s="76" t="s">
        <v>6898</v>
      </c>
      <c r="B3540" s="76"/>
      <c r="C3540" s="77"/>
      <c r="D3540" s="58"/>
      <c r="E3540" s="68"/>
      <c r="F3540" s="13"/>
      <c r="G3540" s="13"/>
      <c r="H3540" s="13"/>
      <c r="I3540" s="13"/>
      <c r="J3540" s="13"/>
      <c r="K3540" s="13"/>
      <c r="L3540" s="13"/>
      <c r="M3540" s="13"/>
      <c r="N3540" s="13"/>
      <c r="O3540" s="13"/>
      <c r="P3540" s="13"/>
      <c r="Q3540" s="13"/>
      <c r="R3540" s="13"/>
      <c r="S3540" s="13"/>
      <c r="T3540" s="13"/>
      <c r="U3540" s="13"/>
      <c r="V3540" s="13"/>
      <c r="W3540" s="13"/>
      <c r="X3540" s="13"/>
      <c r="Y3540" s="13"/>
      <c r="Z3540" s="13"/>
    </row>
    <row r="3541" spans="1:26" ht="12.95" customHeight="1" outlineLevel="3" x14ac:dyDescent="0.2">
      <c r="A3541" s="76" t="s">
        <v>6899</v>
      </c>
      <c r="B3541" s="76"/>
      <c r="C3541" s="77"/>
      <c r="D3541" s="58"/>
      <c r="E3541" s="68"/>
      <c r="F3541" s="13"/>
      <c r="G3541" s="13"/>
      <c r="H3541" s="13"/>
      <c r="I3541" s="13"/>
      <c r="J3541" s="13"/>
      <c r="K3541" s="13"/>
      <c r="L3541" s="13"/>
      <c r="M3541" s="13"/>
      <c r="N3541" s="13"/>
      <c r="O3541" s="13"/>
      <c r="P3541" s="13"/>
      <c r="Q3541" s="13"/>
      <c r="R3541" s="13"/>
      <c r="S3541" s="13"/>
      <c r="T3541" s="13"/>
      <c r="U3541" s="13"/>
      <c r="V3541" s="13"/>
      <c r="W3541" s="13"/>
      <c r="X3541" s="13"/>
      <c r="Y3541" s="13"/>
      <c r="Z3541" s="13"/>
    </row>
    <row r="3542" spans="1:26" ht="12" customHeight="1" outlineLevel="4" x14ac:dyDescent="0.2">
      <c r="A3542" s="32" t="s">
        <v>6900</v>
      </c>
      <c r="B3542" s="74" t="s">
        <v>6901</v>
      </c>
      <c r="C3542" s="50"/>
      <c r="D3542" s="53">
        <f t="shared" si="55"/>
        <v>0</v>
      </c>
      <c r="E3542" s="60" t="str">
        <f>HYPERLINK("https://www.sds-group.ru/product/marker-emal-1-2mm-dlya-pechatnyh-plat-chernyy-edding-791-09-3991/", "Инфо")</f>
        <v>Инфо</v>
      </c>
      <c r="F3542" s="34" t="s">
        <v>39</v>
      </c>
      <c r="G3542" s="33"/>
      <c r="H3542" s="33" t="s">
        <v>40</v>
      </c>
      <c r="I3542" s="33"/>
      <c r="J3542" s="35">
        <v>57</v>
      </c>
      <c r="K3542" s="33"/>
      <c r="L3542" s="35">
        <v>1</v>
      </c>
      <c r="M3542" s="35">
        <v>100</v>
      </c>
      <c r="N3542" s="35">
        <v>1</v>
      </c>
      <c r="O3542" s="36">
        <v>948.66</v>
      </c>
      <c r="P3542" s="36">
        <v>777.59</v>
      </c>
      <c r="Q3542" s="36">
        <v>664.06</v>
      </c>
      <c r="R3542" s="36">
        <v>544.30999999999995</v>
      </c>
      <c r="S3542" s="36">
        <v>645.09</v>
      </c>
      <c r="T3542" s="36">
        <v>528.76</v>
      </c>
      <c r="U3542" s="34"/>
      <c r="V3542" s="34"/>
      <c r="W3542" s="34"/>
      <c r="X3542" s="37">
        <v>0.01</v>
      </c>
      <c r="Y3542" s="38">
        <v>1.9000000000000001E-5</v>
      </c>
      <c r="Z3542" s="21">
        <v>4004764837618</v>
      </c>
    </row>
    <row r="3543" spans="1:26" ht="12" customHeight="1" outlineLevel="4" x14ac:dyDescent="0.2">
      <c r="A3543" s="14" t="s">
        <v>6902</v>
      </c>
      <c r="B3543" s="26" t="s">
        <v>6903</v>
      </c>
      <c r="C3543" s="52"/>
      <c r="D3543" s="55">
        <f t="shared" si="55"/>
        <v>0</v>
      </c>
      <c r="E3543" s="63" t="str">
        <f>HYPERLINK("https://www.sds-group.ru/product/marker-kraska-4mm-nitroosnova-belyy-munhwa-08-7605/", "Инфо")</f>
        <v>Инфо</v>
      </c>
      <c r="F3543" s="16" t="s">
        <v>39</v>
      </c>
      <c r="G3543" s="15"/>
      <c r="H3543" s="15"/>
      <c r="I3543" s="15"/>
      <c r="J3543" s="17">
        <v>491</v>
      </c>
      <c r="K3543" s="15"/>
      <c r="L3543" s="17">
        <v>5</v>
      </c>
      <c r="M3543" s="17">
        <v>576</v>
      </c>
      <c r="N3543" s="17">
        <v>5</v>
      </c>
      <c r="O3543" s="18">
        <v>474.33</v>
      </c>
      <c r="P3543" s="18">
        <v>388.8</v>
      </c>
      <c r="Q3543" s="18">
        <v>379.46</v>
      </c>
      <c r="R3543" s="18">
        <v>311.02999999999997</v>
      </c>
      <c r="S3543" s="18">
        <v>322.54000000000002</v>
      </c>
      <c r="T3543" s="18">
        <v>264.38</v>
      </c>
      <c r="U3543" s="16"/>
      <c r="V3543" s="16"/>
      <c r="W3543" s="16" t="s">
        <v>40</v>
      </c>
      <c r="X3543" s="19">
        <v>0.03</v>
      </c>
      <c r="Y3543" s="20">
        <v>4.1E-5</v>
      </c>
      <c r="Z3543" s="21">
        <v>8801006711219</v>
      </c>
    </row>
    <row r="3544" spans="1:26" ht="12" customHeight="1" outlineLevel="4" x14ac:dyDescent="0.2">
      <c r="A3544" s="14" t="s">
        <v>6904</v>
      </c>
      <c r="B3544" s="26" t="s">
        <v>6905</v>
      </c>
      <c r="C3544" s="52"/>
      <c r="D3544" s="55">
        <f t="shared" si="55"/>
        <v>0</v>
      </c>
      <c r="E3544" s="63" t="str">
        <f>HYPERLINK("https://www.sds-group.ru/product/marker-kraska-4mm-nitroosnova-chernyy-munhwa-08-7601/", "Инфо")</f>
        <v>Инфо</v>
      </c>
      <c r="F3544" s="16" t="s">
        <v>39</v>
      </c>
      <c r="G3544" s="15"/>
      <c r="H3544" s="15"/>
      <c r="I3544" s="15"/>
      <c r="J3544" s="17">
        <v>104</v>
      </c>
      <c r="K3544" s="15"/>
      <c r="L3544" s="17">
        <v>5</v>
      </c>
      <c r="M3544" s="17">
        <v>576</v>
      </c>
      <c r="N3544" s="17">
        <v>5</v>
      </c>
      <c r="O3544" s="18">
        <v>485.11</v>
      </c>
      <c r="P3544" s="18">
        <v>397.63</v>
      </c>
      <c r="Q3544" s="18">
        <v>388.09</v>
      </c>
      <c r="R3544" s="18">
        <v>318.11</v>
      </c>
      <c r="S3544" s="18">
        <v>329.87</v>
      </c>
      <c r="T3544" s="18">
        <v>270.39</v>
      </c>
      <c r="U3544" s="16"/>
      <c r="V3544" s="16"/>
      <c r="W3544" s="16" t="s">
        <v>40</v>
      </c>
      <c r="X3544" s="19">
        <v>2.7E-2</v>
      </c>
      <c r="Y3544" s="20">
        <v>5.0000000000000002E-5</v>
      </c>
      <c r="Z3544" s="21">
        <v>8801006711271</v>
      </c>
    </row>
    <row r="3545" spans="1:26" ht="12" customHeight="1" outlineLevel="4" x14ac:dyDescent="0.2">
      <c r="A3545" s="14" t="s">
        <v>6906</v>
      </c>
      <c r="B3545" s="26" t="s">
        <v>6907</v>
      </c>
      <c r="C3545" s="52"/>
      <c r="D3545" s="55">
        <f t="shared" si="55"/>
        <v>0</v>
      </c>
      <c r="E3545" s="63" t="str">
        <f>HYPERLINK("https://www.sds-group.ru/product/marker-kraska-extra-fine-paint-marker-1mm-nitroosnova-belyy-munhwa-08-7205/", "Инфо")</f>
        <v>Инфо</v>
      </c>
      <c r="F3545" s="16" t="s">
        <v>39</v>
      </c>
      <c r="G3545" s="15"/>
      <c r="H3545" s="15"/>
      <c r="I3545" s="15"/>
      <c r="J3545" s="17">
        <v>237</v>
      </c>
      <c r="K3545" s="15"/>
      <c r="L3545" s="17">
        <v>1</v>
      </c>
      <c r="M3545" s="17">
        <v>576</v>
      </c>
      <c r="N3545" s="17">
        <v>1</v>
      </c>
      <c r="O3545" s="18">
        <v>679.15</v>
      </c>
      <c r="P3545" s="18">
        <v>556.67999999999995</v>
      </c>
      <c r="Q3545" s="18">
        <v>543.32000000000005</v>
      </c>
      <c r="R3545" s="18">
        <v>445.34</v>
      </c>
      <c r="S3545" s="18">
        <v>461.82</v>
      </c>
      <c r="T3545" s="18">
        <v>378.54</v>
      </c>
      <c r="U3545" s="16"/>
      <c r="V3545" s="16"/>
      <c r="W3545" s="16" t="s">
        <v>40</v>
      </c>
      <c r="X3545" s="19">
        <v>2.5999999999999999E-2</v>
      </c>
      <c r="Y3545" s="20">
        <v>4.6E-5</v>
      </c>
      <c r="Z3545" s="21">
        <v>8801006713183</v>
      </c>
    </row>
    <row r="3546" spans="1:26" ht="12" customHeight="1" outlineLevel="4" x14ac:dyDescent="0.2">
      <c r="A3546" s="14" t="s">
        <v>6908</v>
      </c>
      <c r="B3546" s="26" t="s">
        <v>6909</v>
      </c>
      <c r="C3546" s="52"/>
      <c r="D3546" s="55">
        <f t="shared" si="55"/>
        <v>0</v>
      </c>
      <c r="E3546" s="63" t="str">
        <f>HYPERLINK("https://www.sds-group.ru/product/marker-kraska-slim-2mm-nitroosnova-belyy-munhwa-08-7405/", "Инфо")</f>
        <v>Инфо</v>
      </c>
      <c r="F3546" s="16" t="s">
        <v>39</v>
      </c>
      <c r="G3546" s="15"/>
      <c r="H3546" s="15"/>
      <c r="I3546" s="15"/>
      <c r="J3546" s="17">
        <v>993</v>
      </c>
      <c r="K3546" s="15"/>
      <c r="L3546" s="17">
        <v>5</v>
      </c>
      <c r="M3546" s="17">
        <v>576</v>
      </c>
      <c r="N3546" s="17">
        <v>5</v>
      </c>
      <c r="O3546" s="18">
        <v>452.77</v>
      </c>
      <c r="P3546" s="18">
        <v>371.12</v>
      </c>
      <c r="Q3546" s="18">
        <v>362.22</v>
      </c>
      <c r="R3546" s="18">
        <v>296.89999999999998</v>
      </c>
      <c r="S3546" s="18">
        <v>307.88</v>
      </c>
      <c r="T3546" s="18">
        <v>252.36</v>
      </c>
      <c r="U3546" s="16"/>
      <c r="V3546" s="16"/>
      <c r="W3546" s="16" t="s">
        <v>40</v>
      </c>
      <c r="X3546" s="19">
        <v>1.4E-2</v>
      </c>
      <c r="Y3546" s="20">
        <v>1.5999999999999999E-5</v>
      </c>
      <c r="Z3546" s="21">
        <v>8801006711387</v>
      </c>
    </row>
    <row r="3547" spans="1:26" ht="12.95" customHeight="1" outlineLevel="3" x14ac:dyDescent="0.2">
      <c r="A3547" s="76" t="s">
        <v>6910</v>
      </c>
      <c r="B3547" s="76"/>
      <c r="C3547" s="77"/>
      <c r="D3547" s="58"/>
      <c r="E3547" s="68"/>
      <c r="F3547" s="13"/>
      <c r="G3547" s="13"/>
      <c r="H3547" s="13"/>
      <c r="I3547" s="13"/>
      <c r="J3547" s="13"/>
      <c r="K3547" s="13"/>
      <c r="L3547" s="13"/>
      <c r="M3547" s="13"/>
      <c r="N3547" s="13"/>
      <c r="O3547" s="13"/>
      <c r="P3547" s="13"/>
      <c r="Q3547" s="13"/>
      <c r="R3547" s="13"/>
      <c r="S3547" s="13"/>
      <c r="T3547" s="13"/>
      <c r="U3547" s="13"/>
      <c r="V3547" s="13"/>
      <c r="W3547" s="13"/>
      <c r="X3547" s="13"/>
      <c r="Y3547" s="13"/>
      <c r="Z3547" s="13"/>
    </row>
    <row r="3548" spans="1:26" ht="12" customHeight="1" outlineLevel="4" x14ac:dyDescent="0.2">
      <c r="A3548" s="14" t="s">
        <v>6911</v>
      </c>
      <c r="B3548" s="26" t="s">
        <v>6912</v>
      </c>
      <c r="C3548" s="52"/>
      <c r="D3548" s="55">
        <f t="shared" si="55"/>
        <v>0</v>
      </c>
      <c r="E3548" s="63" t="str">
        <f>HYPERLINK("https://www.sds-group.ru/product/marker-permanentnyy-0-75mm-dlya-risunka-pechatnyh-plat-chernyy-edding-404-09-3993/", "Инфо")</f>
        <v>Инфо</v>
      </c>
      <c r="F3548" s="16" t="s">
        <v>39</v>
      </c>
      <c r="G3548" s="15"/>
      <c r="H3548" s="15"/>
      <c r="I3548" s="15"/>
      <c r="J3548" s="17">
        <v>404</v>
      </c>
      <c r="K3548" s="15"/>
      <c r="L3548" s="17">
        <v>5</v>
      </c>
      <c r="M3548" s="17">
        <v>100</v>
      </c>
      <c r="N3548" s="17">
        <v>5</v>
      </c>
      <c r="O3548" s="18">
        <v>530</v>
      </c>
      <c r="P3548" s="18">
        <v>434.43</v>
      </c>
      <c r="Q3548" s="18">
        <v>397.5</v>
      </c>
      <c r="R3548" s="18">
        <v>325.82</v>
      </c>
      <c r="S3548" s="18">
        <v>360.4</v>
      </c>
      <c r="T3548" s="18">
        <v>295.41000000000003</v>
      </c>
      <c r="U3548" s="16"/>
      <c r="V3548" s="16"/>
      <c r="W3548" s="16" t="s">
        <v>40</v>
      </c>
      <c r="X3548" s="19">
        <v>1.2999999999999999E-2</v>
      </c>
      <c r="Y3548" s="20">
        <v>3.4E-5</v>
      </c>
      <c r="Z3548" s="21">
        <v>4004764028313</v>
      </c>
    </row>
    <row r="3549" spans="1:26" ht="12" customHeight="1" outlineLevel="4" x14ac:dyDescent="0.2">
      <c r="A3549" s="14" t="s">
        <v>6913</v>
      </c>
      <c r="B3549" s="26" t="s">
        <v>6914</v>
      </c>
      <c r="C3549" s="52"/>
      <c r="D3549" s="55">
        <f t="shared" si="55"/>
        <v>0</v>
      </c>
      <c r="E3549" s="63" t="str">
        <f>HYPERLINK("https://www.sds-group.ru/product/marker-permanentnyy-multi-marker-3mm-chernyy-pulevidnyy-crown-08-8601/", "Инфо")</f>
        <v>Инфо</v>
      </c>
      <c r="F3549" s="16" t="s">
        <v>39</v>
      </c>
      <c r="G3549" s="15"/>
      <c r="H3549" s="15"/>
      <c r="I3549" s="15"/>
      <c r="J3549" s="22">
        <v>1044</v>
      </c>
      <c r="K3549" s="15"/>
      <c r="L3549" s="17">
        <v>10</v>
      </c>
      <c r="M3549" s="17">
        <v>12</v>
      </c>
      <c r="N3549" s="17">
        <v>10</v>
      </c>
      <c r="O3549" s="18">
        <v>161.69999999999999</v>
      </c>
      <c r="P3549" s="18">
        <v>132.54</v>
      </c>
      <c r="Q3549" s="18">
        <v>137.44999999999999</v>
      </c>
      <c r="R3549" s="18">
        <v>112.66</v>
      </c>
      <c r="S3549" s="18">
        <v>109.96</v>
      </c>
      <c r="T3549" s="18">
        <v>90.13</v>
      </c>
      <c r="U3549" s="16"/>
      <c r="V3549" s="16"/>
      <c r="W3549" s="16" t="s">
        <v>40</v>
      </c>
      <c r="X3549" s="19">
        <v>1.9E-2</v>
      </c>
      <c r="Y3549" s="20">
        <v>4.8999999999999998E-5</v>
      </c>
      <c r="Z3549" s="21">
        <v>8803654007003</v>
      </c>
    </row>
    <row r="3550" spans="1:26" ht="12" customHeight="1" outlineLevel="4" x14ac:dyDescent="0.2">
      <c r="A3550" s="14" t="s">
        <v>6915</v>
      </c>
      <c r="B3550" s="26" t="s">
        <v>6916</v>
      </c>
      <c r="C3550" s="52"/>
      <c r="D3550" s="55">
        <f t="shared" si="55"/>
        <v>0</v>
      </c>
      <c r="E3550" s="63" t="str">
        <f>HYPERLINK("https://www.sds-group.ru/product/marker-permanentnyy-multi-marker-chisel-5mm-chernyy-skoshennyy-crown-08-8801/", "Инфо")</f>
        <v>Инфо</v>
      </c>
      <c r="F3550" s="16" t="s">
        <v>39</v>
      </c>
      <c r="G3550" s="15"/>
      <c r="H3550" s="15"/>
      <c r="I3550" s="15"/>
      <c r="J3550" s="17">
        <v>519</v>
      </c>
      <c r="K3550" s="15"/>
      <c r="L3550" s="17">
        <v>10</v>
      </c>
      <c r="M3550" s="17">
        <v>12</v>
      </c>
      <c r="N3550" s="17">
        <v>10</v>
      </c>
      <c r="O3550" s="18">
        <v>161.69999999999999</v>
      </c>
      <c r="P3550" s="18">
        <v>132.54</v>
      </c>
      <c r="Q3550" s="18">
        <v>137.44999999999999</v>
      </c>
      <c r="R3550" s="18">
        <v>112.66</v>
      </c>
      <c r="S3550" s="18">
        <v>109.96</v>
      </c>
      <c r="T3550" s="18">
        <v>90.13</v>
      </c>
      <c r="U3550" s="16"/>
      <c r="V3550" s="16"/>
      <c r="W3550" s="16" t="s">
        <v>40</v>
      </c>
      <c r="X3550" s="19">
        <v>0.02</v>
      </c>
      <c r="Y3550" s="20">
        <v>6.0000000000000002E-5</v>
      </c>
      <c r="Z3550" s="21">
        <v>8803654001773</v>
      </c>
    </row>
    <row r="3551" spans="1:26" ht="12" customHeight="1" outlineLevel="4" x14ac:dyDescent="0.2">
      <c r="A3551" s="14" t="s">
        <v>6917</v>
      </c>
      <c r="B3551" s="26" t="s">
        <v>6918</v>
      </c>
      <c r="C3551" s="52"/>
      <c r="D3551" s="55">
        <f t="shared" si="55"/>
        <v>0</v>
      </c>
      <c r="E3551" s="63" t="str">
        <f>HYPERLINK("https://www.sds-group.ru/product/marker-permanentnyy-multi-marker-slim-2mm-chernyy-pulevidnyy-crown-08-8201/", "Инфо")</f>
        <v>Инфо</v>
      </c>
      <c r="F3551" s="16" t="s">
        <v>39</v>
      </c>
      <c r="G3551" s="15"/>
      <c r="H3551" s="15"/>
      <c r="I3551" s="15"/>
      <c r="J3551" s="22">
        <v>1068</v>
      </c>
      <c r="K3551" s="15"/>
      <c r="L3551" s="17">
        <v>10</v>
      </c>
      <c r="M3551" s="17">
        <v>12</v>
      </c>
      <c r="N3551" s="17">
        <v>10</v>
      </c>
      <c r="O3551" s="18">
        <v>118.58</v>
      </c>
      <c r="P3551" s="18">
        <v>97.2</v>
      </c>
      <c r="Q3551" s="18">
        <v>100.79</v>
      </c>
      <c r="R3551" s="18">
        <v>82.61</v>
      </c>
      <c r="S3551" s="18">
        <v>80.63</v>
      </c>
      <c r="T3551" s="18">
        <v>66.09</v>
      </c>
      <c r="U3551" s="16"/>
      <c r="V3551" s="16"/>
      <c r="W3551" s="16" t="s">
        <v>40</v>
      </c>
      <c r="X3551" s="19">
        <v>1.0999999999999999E-2</v>
      </c>
      <c r="Y3551" s="20">
        <v>3.1000000000000001E-5</v>
      </c>
      <c r="Z3551" s="21">
        <v>8803654004682</v>
      </c>
    </row>
    <row r="3552" spans="1:26" ht="12" customHeight="1" outlineLevel="4" x14ac:dyDescent="0.2">
      <c r="A3552" s="14" t="s">
        <v>6919</v>
      </c>
      <c r="B3552" s="26" t="s">
        <v>6920</v>
      </c>
      <c r="C3552" s="52"/>
      <c r="D3552" s="55">
        <f t="shared" si="55"/>
        <v>0</v>
      </c>
      <c r="E3552" s="63" t="str">
        <f>HYPERLINK("https://www.sds-group.ru/product/marker-permanentnyy-multi-marker-super-slim-1mm-chernyy-pulevidnyy-crown-08-8001/", "Инфо")</f>
        <v>Инфо</v>
      </c>
      <c r="F3552" s="16" t="s">
        <v>39</v>
      </c>
      <c r="G3552" s="15"/>
      <c r="H3552" s="15"/>
      <c r="I3552" s="15"/>
      <c r="J3552" s="22">
        <v>4910</v>
      </c>
      <c r="K3552" s="15"/>
      <c r="L3552" s="17">
        <v>10</v>
      </c>
      <c r="M3552" s="17">
        <v>12</v>
      </c>
      <c r="N3552" s="17">
        <v>10</v>
      </c>
      <c r="O3552" s="18">
        <v>100.25</v>
      </c>
      <c r="P3552" s="18">
        <v>82.17</v>
      </c>
      <c r="Q3552" s="18">
        <v>85.21</v>
      </c>
      <c r="R3552" s="18">
        <v>69.84</v>
      </c>
      <c r="S3552" s="18">
        <v>68.17</v>
      </c>
      <c r="T3552" s="18">
        <v>55.88</v>
      </c>
      <c r="U3552" s="16"/>
      <c r="V3552" s="16"/>
      <c r="W3552" s="16" t="s">
        <v>40</v>
      </c>
      <c r="X3552" s="19">
        <v>1.0999999999999999E-2</v>
      </c>
      <c r="Y3552" s="20">
        <v>3.1000000000000001E-5</v>
      </c>
      <c r="Z3552" s="21">
        <v>8803654006068</v>
      </c>
    </row>
    <row r="3553" spans="1:26" ht="12" customHeight="1" outlineLevel="4" x14ac:dyDescent="0.2">
      <c r="A3553" s="14" t="s">
        <v>6921</v>
      </c>
      <c r="B3553" s="26" t="s">
        <v>6922</v>
      </c>
      <c r="C3553" s="52"/>
      <c r="D3553" s="55">
        <f t="shared" si="55"/>
        <v>0</v>
      </c>
      <c r="E3553" s="63" t="str">
        <f>HYPERLINK("https://www.sds-group.ru/product/marker-permanentnyy-s-0-3mm-dlya-plenok-i-pvh-chernyy-edding-140-09-3995/", "Инфо")</f>
        <v>Инфо</v>
      </c>
      <c r="F3553" s="16" t="s">
        <v>39</v>
      </c>
      <c r="G3553" s="15"/>
      <c r="H3553" s="15"/>
      <c r="I3553" s="15"/>
      <c r="J3553" s="22">
        <v>2809</v>
      </c>
      <c r="K3553" s="15"/>
      <c r="L3553" s="17">
        <v>5</v>
      </c>
      <c r="M3553" s="17">
        <v>100</v>
      </c>
      <c r="N3553" s="17">
        <v>5</v>
      </c>
      <c r="O3553" s="18">
        <v>376.3</v>
      </c>
      <c r="P3553" s="18">
        <v>308.44</v>
      </c>
      <c r="Q3553" s="18">
        <v>282.23</v>
      </c>
      <c r="R3553" s="18">
        <v>231.34</v>
      </c>
      <c r="S3553" s="18">
        <v>255.88</v>
      </c>
      <c r="T3553" s="18">
        <v>209.74</v>
      </c>
      <c r="U3553" s="16"/>
      <c r="V3553" s="16"/>
      <c r="W3553" s="16" t="s">
        <v>40</v>
      </c>
      <c r="X3553" s="19">
        <v>0.01</v>
      </c>
      <c r="Y3553" s="20">
        <v>2.4000000000000001E-5</v>
      </c>
      <c r="Z3553" s="21">
        <v>4004764001606</v>
      </c>
    </row>
    <row r="3554" spans="1:26" ht="12" customHeight="1" outlineLevel="4" x14ac:dyDescent="0.2">
      <c r="A3554" s="14" t="s">
        <v>6923</v>
      </c>
      <c r="B3554" s="26" t="s">
        <v>6924</v>
      </c>
      <c r="C3554" s="52"/>
      <c r="D3554" s="55">
        <f t="shared" si="55"/>
        <v>0</v>
      </c>
      <c r="E3554" s="63" t="str">
        <f>HYPERLINK("https://www.sds-group.ru/product/nabor-markerov-4s-0-3mm-dlya-markirovki-kabeley-nabor-chernyy-krasnyy-zelenyy-siniy-edding-8-09-3997/", "Инфо")</f>
        <v>Инфо</v>
      </c>
      <c r="F3554" s="16" t="s">
        <v>4698</v>
      </c>
      <c r="G3554" s="15"/>
      <c r="H3554" s="15"/>
      <c r="I3554" s="15"/>
      <c r="J3554" s="17">
        <v>15</v>
      </c>
      <c r="K3554" s="15"/>
      <c r="L3554" s="17">
        <v>1</v>
      </c>
      <c r="M3554" s="17">
        <v>100</v>
      </c>
      <c r="N3554" s="17">
        <v>1</v>
      </c>
      <c r="O3554" s="18">
        <v>2748.95</v>
      </c>
      <c r="P3554" s="18">
        <v>2253.2399999999998</v>
      </c>
      <c r="Q3554" s="18">
        <v>2116.69</v>
      </c>
      <c r="R3554" s="18">
        <v>1734.99</v>
      </c>
      <c r="S3554" s="18">
        <v>1869.29</v>
      </c>
      <c r="T3554" s="18">
        <v>1532.2</v>
      </c>
      <c r="U3554" s="16"/>
      <c r="V3554" s="16"/>
      <c r="W3554" s="16" t="s">
        <v>40</v>
      </c>
      <c r="X3554" s="19">
        <v>4.2999999999999997E-2</v>
      </c>
      <c r="Y3554" s="20">
        <v>2.0699999999999999E-4</v>
      </c>
      <c r="Z3554" s="21">
        <v>4004764937400</v>
      </c>
    </row>
    <row r="3555" spans="1:26" ht="12.95" customHeight="1" outlineLevel="2" x14ac:dyDescent="0.2">
      <c r="A3555" s="76" t="s">
        <v>6925</v>
      </c>
      <c r="B3555" s="76"/>
      <c r="C3555" s="77"/>
      <c r="D3555" s="58"/>
      <c r="E3555" s="68"/>
      <c r="F3555" s="13"/>
      <c r="G3555" s="13"/>
      <c r="H3555" s="13"/>
      <c r="I3555" s="13"/>
      <c r="J3555" s="13"/>
      <c r="K3555" s="13"/>
      <c r="L3555" s="13"/>
      <c r="M3555" s="13"/>
      <c r="N3555" s="13"/>
      <c r="O3555" s="13"/>
      <c r="P3555" s="13"/>
      <c r="Q3555" s="13"/>
      <c r="R3555" s="13"/>
      <c r="S3555" s="13"/>
      <c r="T3555" s="13"/>
      <c r="U3555" s="13"/>
      <c r="V3555" s="13"/>
      <c r="W3555" s="13"/>
      <c r="X3555" s="13"/>
      <c r="Y3555" s="13"/>
      <c r="Z3555" s="13"/>
    </row>
    <row r="3556" spans="1:26" ht="12" customHeight="1" outlineLevel="3" x14ac:dyDescent="0.2">
      <c r="A3556" s="14" t="s">
        <v>6926</v>
      </c>
      <c r="B3556" s="26" t="s">
        <v>6927</v>
      </c>
      <c r="C3556" s="52"/>
      <c r="D3556" s="55">
        <f t="shared" si="55"/>
        <v>0</v>
      </c>
      <c r="E3556" s="63" t="str">
        <f>HYPERLINK("https://www.sds-group.ru/product/zahvat-magnitnyy-gibkiy-465mm-uderzhanie-1kg-rexant-12-4814/", "Инфо")</f>
        <v>Инфо</v>
      </c>
      <c r="F3556" s="16" t="s">
        <v>39</v>
      </c>
      <c r="G3556" s="15"/>
      <c r="H3556" s="15"/>
      <c r="I3556" s="15"/>
      <c r="J3556" s="16" t="s">
        <v>100</v>
      </c>
      <c r="K3556" s="15" t="s">
        <v>925</v>
      </c>
      <c r="L3556" s="17">
        <v>1</v>
      </c>
      <c r="M3556" s="17">
        <v>120</v>
      </c>
      <c r="N3556" s="17">
        <v>1</v>
      </c>
      <c r="O3556" s="18">
        <v>539.01</v>
      </c>
      <c r="P3556" s="18">
        <v>441.81</v>
      </c>
      <c r="Q3556" s="18">
        <v>377.31</v>
      </c>
      <c r="R3556" s="18">
        <v>309.27</v>
      </c>
      <c r="S3556" s="18">
        <v>366.53</v>
      </c>
      <c r="T3556" s="18">
        <v>300.43</v>
      </c>
      <c r="U3556" s="16"/>
      <c r="V3556" s="16"/>
      <c r="W3556" s="16"/>
      <c r="X3556" s="19">
        <v>0.13500000000000001</v>
      </c>
      <c r="Y3556" s="20">
        <v>6.6299999999999996E-4</v>
      </c>
      <c r="Z3556" s="21">
        <v>4601004043299</v>
      </c>
    </row>
    <row r="3557" spans="1:26" ht="12" customHeight="1" outlineLevel="3" x14ac:dyDescent="0.2">
      <c r="A3557" s="14" t="s">
        <v>6928</v>
      </c>
      <c r="B3557" s="26" t="s">
        <v>6929</v>
      </c>
      <c r="C3557" s="52"/>
      <c r="D3557" s="55">
        <f t="shared" si="55"/>
        <v>0</v>
      </c>
      <c r="E3557" s="63" t="str">
        <f>HYPERLINK("https://www.sds-group.ru/product/zahvat-magnitnyy-tsangovyy-4-lapki-610mm-uderzhanie-2kg-rexant-12-4816/", "Инфо")</f>
        <v>Инфо</v>
      </c>
      <c r="F3557" s="16" t="s">
        <v>39</v>
      </c>
      <c r="G3557" s="15"/>
      <c r="H3557" s="15"/>
      <c r="I3557" s="15"/>
      <c r="J3557" s="16" t="s">
        <v>100</v>
      </c>
      <c r="K3557" s="15" t="s">
        <v>6930</v>
      </c>
      <c r="L3557" s="17">
        <v>1</v>
      </c>
      <c r="M3557" s="17">
        <v>100</v>
      </c>
      <c r="N3557" s="17">
        <v>1</v>
      </c>
      <c r="O3557" s="18">
        <v>646.80999999999995</v>
      </c>
      <c r="P3557" s="18">
        <v>530.16999999999996</v>
      </c>
      <c r="Q3557" s="18">
        <v>452.77</v>
      </c>
      <c r="R3557" s="18">
        <v>371.12</v>
      </c>
      <c r="S3557" s="18">
        <v>439.83</v>
      </c>
      <c r="T3557" s="18">
        <v>360.52</v>
      </c>
      <c r="U3557" s="16"/>
      <c r="V3557" s="16"/>
      <c r="W3557" s="16"/>
      <c r="X3557" s="19">
        <v>0.14199999999999999</v>
      </c>
      <c r="Y3557" s="20">
        <v>9.7400000000000004E-4</v>
      </c>
      <c r="Z3557" s="21">
        <v>4601004043305</v>
      </c>
    </row>
    <row r="3558" spans="1:26" ht="12" customHeight="1" outlineLevel="3" x14ac:dyDescent="0.2">
      <c r="A3558" s="32" t="s">
        <v>6931</v>
      </c>
      <c r="B3558" s="74" t="s">
        <v>6932</v>
      </c>
      <c r="C3558" s="50"/>
      <c r="D3558" s="53">
        <f t="shared" si="55"/>
        <v>0</v>
      </c>
      <c r="E3558" s="60" t="str">
        <f>HYPERLINK("https://www.sds-group.ru/product/magnit-na-sharnire-teleskopicheskiy-280-430mm-uderzhanie-450g-rexant-12-4813/", "Инфо")</f>
        <v>Инфо</v>
      </c>
      <c r="F3558" s="34" t="s">
        <v>39</v>
      </c>
      <c r="G3558" s="33"/>
      <c r="H3558" s="33" t="s">
        <v>40</v>
      </c>
      <c r="I3558" s="33"/>
      <c r="J3558" s="35">
        <v>668</v>
      </c>
      <c r="K3558" s="33"/>
      <c r="L3558" s="35">
        <v>1</v>
      </c>
      <c r="M3558" s="35">
        <v>144</v>
      </c>
      <c r="N3558" s="35">
        <v>1</v>
      </c>
      <c r="O3558" s="36">
        <v>290.33</v>
      </c>
      <c r="P3558" s="36">
        <v>237.98</v>
      </c>
      <c r="Q3558" s="36">
        <v>203.23</v>
      </c>
      <c r="R3558" s="36">
        <v>166.58</v>
      </c>
      <c r="S3558" s="36">
        <v>197.42</v>
      </c>
      <c r="T3558" s="36">
        <v>161.82</v>
      </c>
      <c r="U3558" s="34"/>
      <c r="V3558" s="34"/>
      <c r="W3558" s="34"/>
      <c r="X3558" s="37">
        <v>8.5000000000000006E-2</v>
      </c>
      <c r="Y3558" s="38">
        <v>3.8699999999999997E-4</v>
      </c>
      <c r="Z3558" s="21">
        <v>4601004024656</v>
      </c>
    </row>
    <row r="3559" spans="1:26" ht="12" customHeight="1" outlineLevel="3" x14ac:dyDescent="0.2">
      <c r="A3559" s="14" t="s">
        <v>6933</v>
      </c>
      <c r="B3559" s="26" t="s">
        <v>6934</v>
      </c>
      <c r="C3559" s="52"/>
      <c r="D3559" s="55">
        <f t="shared" si="55"/>
        <v>0</v>
      </c>
      <c r="E3559" s="63" t="str">
        <f>HYPERLINK("https://www.sds-group.ru/product/magnit-teleskopicheskiy-130-640mm-uderzhanie-1600g-rexant-12-4811/", "Инфо")</f>
        <v>Инфо</v>
      </c>
      <c r="F3559" s="16" t="s">
        <v>39</v>
      </c>
      <c r="G3559" s="15"/>
      <c r="H3559" s="15"/>
      <c r="I3559" s="15"/>
      <c r="J3559" s="17">
        <v>446</v>
      </c>
      <c r="K3559" s="15" t="s">
        <v>925</v>
      </c>
      <c r="L3559" s="17">
        <v>1</v>
      </c>
      <c r="M3559" s="17">
        <v>168</v>
      </c>
      <c r="N3559" s="17">
        <v>1</v>
      </c>
      <c r="O3559" s="18">
        <v>323.41000000000003</v>
      </c>
      <c r="P3559" s="18">
        <v>265.08999999999997</v>
      </c>
      <c r="Q3559" s="18">
        <v>226.39</v>
      </c>
      <c r="R3559" s="18">
        <v>185.57</v>
      </c>
      <c r="S3559" s="18">
        <v>219.92</v>
      </c>
      <c r="T3559" s="18">
        <v>180.26</v>
      </c>
      <c r="U3559" s="16"/>
      <c r="V3559" s="16"/>
      <c r="W3559" s="16"/>
      <c r="X3559" s="19">
        <v>5.0999999999999997E-2</v>
      </c>
      <c r="Y3559" s="20">
        <v>1.94E-4</v>
      </c>
      <c r="Z3559" s="21">
        <v>4601004024632</v>
      </c>
    </row>
    <row r="3560" spans="1:26" ht="12" customHeight="1" outlineLevel="3" x14ac:dyDescent="0.2">
      <c r="A3560" s="14" t="s">
        <v>6935</v>
      </c>
      <c r="B3560" s="26" t="s">
        <v>6936</v>
      </c>
      <c r="C3560" s="52"/>
      <c r="D3560" s="55">
        <f t="shared" si="55"/>
        <v>0</v>
      </c>
      <c r="E3560" s="63" t="str">
        <f>HYPERLINK("https://www.sds-group.ru/product/magnit-teleskopicheskiy-160-850mm-uderzhanie-2300g-rexant-12-4812/", "Инфо")</f>
        <v>Инфо</v>
      </c>
      <c r="F3560" s="16" t="s">
        <v>39</v>
      </c>
      <c r="G3560" s="15"/>
      <c r="H3560" s="15"/>
      <c r="I3560" s="15"/>
      <c r="J3560" s="17">
        <v>1</v>
      </c>
      <c r="K3560" s="15" t="s">
        <v>925</v>
      </c>
      <c r="L3560" s="17">
        <v>1</v>
      </c>
      <c r="M3560" s="17">
        <v>80</v>
      </c>
      <c r="N3560" s="17">
        <v>1</v>
      </c>
      <c r="O3560" s="18">
        <v>485.11</v>
      </c>
      <c r="P3560" s="18">
        <v>397.63</v>
      </c>
      <c r="Q3560" s="18">
        <v>339.58</v>
      </c>
      <c r="R3560" s="18">
        <v>278.33999999999997</v>
      </c>
      <c r="S3560" s="18">
        <v>329.87</v>
      </c>
      <c r="T3560" s="18">
        <v>270.39</v>
      </c>
      <c r="U3560" s="16"/>
      <c r="V3560" s="16"/>
      <c r="W3560" s="16"/>
      <c r="X3560" s="19">
        <v>0.10199999999999999</v>
      </c>
      <c r="Y3560" s="20">
        <v>3.59E-4</v>
      </c>
      <c r="Z3560" s="21">
        <v>4601004024649</v>
      </c>
    </row>
    <row r="3561" spans="1:26" ht="12" customHeight="1" outlineLevel="3" x14ac:dyDescent="0.2">
      <c r="A3561" s="14" t="s">
        <v>6937</v>
      </c>
      <c r="B3561" s="26" t="s">
        <v>6938</v>
      </c>
      <c r="C3561" s="52"/>
      <c r="D3561" s="55">
        <f t="shared" si="55"/>
        <v>0</v>
      </c>
      <c r="E3561" s="63" t="str">
        <f>HYPERLINK("https://www.sds-group.ru/product/magnit-teleskopicheskiy-i-zerkalo-v-nabore-2-pr-rexant-12-4822/", "Инфо")</f>
        <v>Инфо</v>
      </c>
      <c r="F3561" s="16" t="s">
        <v>39</v>
      </c>
      <c r="G3561" s="15"/>
      <c r="H3561" s="15"/>
      <c r="I3561" s="15"/>
      <c r="J3561" s="17">
        <v>752</v>
      </c>
      <c r="K3561" s="15" t="s">
        <v>6939</v>
      </c>
      <c r="L3561" s="17">
        <v>1</v>
      </c>
      <c r="M3561" s="17">
        <v>80</v>
      </c>
      <c r="N3561" s="17">
        <v>1</v>
      </c>
      <c r="O3561" s="18">
        <v>970.22</v>
      </c>
      <c r="P3561" s="18">
        <v>795.26</v>
      </c>
      <c r="Q3561" s="18">
        <v>679.15</v>
      </c>
      <c r="R3561" s="18">
        <v>556.67999999999995</v>
      </c>
      <c r="S3561" s="18">
        <v>659.75</v>
      </c>
      <c r="T3561" s="18">
        <v>540.78</v>
      </c>
      <c r="U3561" s="16"/>
      <c r="V3561" s="16"/>
      <c r="W3561" s="16"/>
      <c r="X3561" s="19">
        <v>0.17599999999999999</v>
      </c>
      <c r="Y3561" s="20">
        <v>4.3199999999999998E-4</v>
      </c>
      <c r="Z3561" s="21">
        <v>4601004024687</v>
      </c>
    </row>
    <row r="3562" spans="1:26" ht="12" customHeight="1" outlineLevel="3" x14ac:dyDescent="0.2">
      <c r="A3562" s="14" t="s">
        <v>6940</v>
      </c>
      <c r="B3562" s="26" t="s">
        <v>6941</v>
      </c>
      <c r="C3562" s="52"/>
      <c r="D3562" s="55">
        <f t="shared" si="55"/>
        <v>0</v>
      </c>
      <c r="E3562" s="63" t="str">
        <f>HYPERLINK("https://www.sds-group.ru/product/zerkalo-teleskopicheskoe-diametrom-57mm-na-240-920mm-rexant-12-4801/", "Инфо")</f>
        <v>Инфо</v>
      </c>
      <c r="F3562" s="16" t="s">
        <v>39</v>
      </c>
      <c r="G3562" s="15"/>
      <c r="H3562" s="15"/>
      <c r="I3562" s="15"/>
      <c r="J3562" s="16" t="s">
        <v>100</v>
      </c>
      <c r="K3562" s="15" t="s">
        <v>925</v>
      </c>
      <c r="L3562" s="17">
        <v>1</v>
      </c>
      <c r="M3562" s="17">
        <v>100</v>
      </c>
      <c r="N3562" s="17">
        <v>1</v>
      </c>
      <c r="O3562" s="18">
        <v>592.91</v>
      </c>
      <c r="P3562" s="18">
        <v>485.99</v>
      </c>
      <c r="Q3562" s="18">
        <v>415.04</v>
      </c>
      <c r="R3562" s="18">
        <v>340.2</v>
      </c>
      <c r="S3562" s="18">
        <v>403.18</v>
      </c>
      <c r="T3562" s="18">
        <v>330.48</v>
      </c>
      <c r="U3562" s="16"/>
      <c r="V3562" s="16"/>
      <c r="W3562" s="16"/>
      <c r="X3562" s="19">
        <v>0.13900000000000001</v>
      </c>
      <c r="Y3562" s="20">
        <v>8.0199999999999998E-4</v>
      </c>
      <c r="Z3562" s="21">
        <v>4601004024670</v>
      </c>
    </row>
    <row r="3563" spans="1:26" ht="12.95" customHeight="1" outlineLevel="2" x14ac:dyDescent="0.2">
      <c r="A3563" s="76" t="s">
        <v>6942</v>
      </c>
      <c r="B3563" s="76"/>
      <c r="C3563" s="77"/>
      <c r="D3563" s="58"/>
      <c r="E3563" s="68"/>
      <c r="F3563" s="13"/>
      <c r="G3563" s="13"/>
      <c r="H3563" s="13"/>
      <c r="I3563" s="13"/>
      <c r="J3563" s="13"/>
      <c r="K3563" s="13"/>
      <c r="L3563" s="13"/>
      <c r="M3563" s="13"/>
      <c r="N3563" s="13"/>
      <c r="O3563" s="13"/>
      <c r="P3563" s="13"/>
      <c r="Q3563" s="13"/>
      <c r="R3563" s="13"/>
      <c r="S3563" s="13"/>
      <c r="T3563" s="13"/>
      <c r="U3563" s="13"/>
      <c r="V3563" s="13"/>
      <c r="W3563" s="13"/>
      <c r="X3563" s="13"/>
      <c r="Y3563" s="13"/>
      <c r="Z3563" s="13"/>
    </row>
    <row r="3564" spans="1:26" ht="12" customHeight="1" outlineLevel="3" x14ac:dyDescent="0.2">
      <c r="A3564" s="32" t="s">
        <v>6943</v>
      </c>
      <c r="B3564" s="74" t="s">
        <v>6944</v>
      </c>
      <c r="C3564" s="50"/>
      <c r="D3564" s="53">
        <f t="shared" si="55"/>
        <v>0</v>
      </c>
      <c r="E3564" s="60" t="str">
        <f>HYPERLINK("https://www.sds-group.ru/product/instrument-dlya-vskrytiya-korpusov-mobilnoy-tehniki-ra-06-rexant-12-4786/", "Инфо")</f>
        <v>Инфо</v>
      </c>
      <c r="F3564" s="34" t="s">
        <v>39</v>
      </c>
      <c r="G3564" s="33"/>
      <c r="H3564" s="33" t="s">
        <v>40</v>
      </c>
      <c r="I3564" s="33"/>
      <c r="J3564" s="35">
        <v>70</v>
      </c>
      <c r="K3564" s="33"/>
      <c r="L3564" s="35">
        <v>1</v>
      </c>
      <c r="M3564" s="35">
        <v>200</v>
      </c>
      <c r="N3564" s="35">
        <v>1</v>
      </c>
      <c r="O3564" s="36">
        <v>452.77</v>
      </c>
      <c r="P3564" s="36">
        <v>371.12</v>
      </c>
      <c r="Q3564" s="36">
        <v>316.94</v>
      </c>
      <c r="R3564" s="36">
        <v>259.79000000000002</v>
      </c>
      <c r="S3564" s="36">
        <v>307.88</v>
      </c>
      <c r="T3564" s="36">
        <v>252.36</v>
      </c>
      <c r="U3564" s="34"/>
      <c r="V3564" s="34"/>
      <c r="W3564" s="34"/>
      <c r="X3564" s="37">
        <v>1.7000000000000001E-2</v>
      </c>
      <c r="Y3564" s="38">
        <v>9.0000000000000006E-5</v>
      </c>
      <c r="Z3564" s="21">
        <v>4601004116924</v>
      </c>
    </row>
    <row r="3565" spans="1:26" ht="12" customHeight="1" outlineLevel="3" x14ac:dyDescent="0.2">
      <c r="A3565" s="14" t="s">
        <v>6945</v>
      </c>
      <c r="B3565" s="26" t="s">
        <v>6946</v>
      </c>
      <c r="C3565" s="52"/>
      <c r="D3565" s="55">
        <f t="shared" si="55"/>
        <v>0</v>
      </c>
      <c r="E3565" s="63" t="str">
        <f>HYPERLINK("https://www.sds-group.ru/product/nabor-instrumentov-dlya-vskrytiya-korpusov-mobilnoy-tehniki-10-predmetov-ra-04-rexant-12-4784/", "Инфо")</f>
        <v>Инфо</v>
      </c>
      <c r="F3565" s="16" t="s">
        <v>39</v>
      </c>
      <c r="G3565" s="15"/>
      <c r="H3565" s="15"/>
      <c r="I3565" s="15"/>
      <c r="J3565" s="16" t="s">
        <v>100</v>
      </c>
      <c r="K3565" s="15" t="s">
        <v>1587</v>
      </c>
      <c r="L3565" s="17">
        <v>1</v>
      </c>
      <c r="M3565" s="17">
        <v>100</v>
      </c>
      <c r="N3565" s="17">
        <v>1</v>
      </c>
      <c r="O3565" s="18">
        <v>355.75</v>
      </c>
      <c r="P3565" s="18">
        <v>291.60000000000002</v>
      </c>
      <c r="Q3565" s="18">
        <v>249.03</v>
      </c>
      <c r="R3565" s="18">
        <v>204.12</v>
      </c>
      <c r="S3565" s="18">
        <v>241.91</v>
      </c>
      <c r="T3565" s="18">
        <v>198.29</v>
      </c>
      <c r="U3565" s="16"/>
      <c r="V3565" s="16"/>
      <c r="W3565" s="16"/>
      <c r="X3565" s="19">
        <v>8.1000000000000003E-2</v>
      </c>
      <c r="Y3565" s="20">
        <v>4.44E-4</v>
      </c>
      <c r="Z3565" s="21">
        <v>4601004116931</v>
      </c>
    </row>
    <row r="3566" spans="1:26" ht="12" customHeight="1" outlineLevel="3" x14ac:dyDescent="0.2">
      <c r="A3566" s="14" t="s">
        <v>6947</v>
      </c>
      <c r="B3566" s="26" t="s">
        <v>6948</v>
      </c>
      <c r="C3566" s="52"/>
      <c r="D3566" s="55">
        <f t="shared" si="55"/>
        <v>0</v>
      </c>
      <c r="E3566" s="63" t="str">
        <f>HYPERLINK("https://www.sds-group.ru/product/nabor-instrumentov-dlya-vskrytiya-korpusov-mobilnoy-tehniki-6-predmetov-ra-05-rexant-12-4785/", "Инфо")</f>
        <v>Инфо</v>
      </c>
      <c r="F3566" s="16" t="s">
        <v>39</v>
      </c>
      <c r="G3566" s="15"/>
      <c r="H3566" s="15"/>
      <c r="I3566" s="15"/>
      <c r="J3566" s="16" t="s">
        <v>100</v>
      </c>
      <c r="K3566" s="15" t="s">
        <v>1587</v>
      </c>
      <c r="L3566" s="17">
        <v>1</v>
      </c>
      <c r="M3566" s="17">
        <v>120</v>
      </c>
      <c r="N3566" s="17">
        <v>1</v>
      </c>
      <c r="O3566" s="18">
        <v>717.96</v>
      </c>
      <c r="P3566" s="18">
        <v>588.49</v>
      </c>
      <c r="Q3566" s="18">
        <v>502.57</v>
      </c>
      <c r="R3566" s="18">
        <v>411.94</v>
      </c>
      <c r="S3566" s="18">
        <v>488.21</v>
      </c>
      <c r="T3566" s="18">
        <v>400.17</v>
      </c>
      <c r="U3566" s="16"/>
      <c r="V3566" s="16"/>
      <c r="W3566" s="16"/>
      <c r="X3566" s="19">
        <v>0.112</v>
      </c>
      <c r="Y3566" s="20">
        <v>4.2400000000000001E-4</v>
      </c>
      <c r="Z3566" s="21">
        <v>4601004116955</v>
      </c>
    </row>
    <row r="3567" spans="1:26" ht="12.95" customHeight="1" outlineLevel="2" x14ac:dyDescent="0.2">
      <c r="A3567" s="76" t="s">
        <v>6949</v>
      </c>
      <c r="B3567" s="76"/>
      <c r="C3567" s="77"/>
      <c r="D3567" s="58"/>
      <c r="E3567" s="68"/>
      <c r="F3567" s="13"/>
      <c r="G3567" s="13"/>
      <c r="H3567" s="13"/>
      <c r="I3567" s="13"/>
      <c r="J3567" s="13"/>
      <c r="K3567" s="13"/>
      <c r="L3567" s="13"/>
      <c r="M3567" s="13"/>
      <c r="N3567" s="13"/>
      <c r="O3567" s="13"/>
      <c r="P3567" s="13"/>
      <c r="Q3567" s="13"/>
      <c r="R3567" s="13"/>
      <c r="S3567" s="13"/>
      <c r="T3567" s="13"/>
      <c r="U3567" s="13"/>
      <c r="V3567" s="13"/>
      <c r="W3567" s="13"/>
      <c r="X3567" s="13"/>
      <c r="Y3567" s="13"/>
      <c r="Z3567" s="13"/>
    </row>
    <row r="3568" spans="1:26" ht="12" customHeight="1" outlineLevel="3" x14ac:dyDescent="0.2">
      <c r="A3568" s="32" t="s">
        <v>6950</v>
      </c>
      <c r="B3568" s="74" t="s">
        <v>6951</v>
      </c>
      <c r="C3568" s="50"/>
      <c r="D3568" s="53">
        <f t="shared" si="55"/>
        <v>0</v>
      </c>
      <c r="E3568" s="60" t="str">
        <f>HYPERLINK("https://www.sds-group.ru/product/zazhim-ruchnoy-125mm-rexant-12-4664/", "Инфо")</f>
        <v>Инфо</v>
      </c>
      <c r="F3568" s="34" t="s">
        <v>39</v>
      </c>
      <c r="G3568" s="33"/>
      <c r="H3568" s="33" t="s">
        <v>40</v>
      </c>
      <c r="I3568" s="33"/>
      <c r="J3568" s="35">
        <v>80</v>
      </c>
      <c r="K3568" s="33"/>
      <c r="L3568" s="35">
        <v>1</v>
      </c>
      <c r="M3568" s="35">
        <v>100</v>
      </c>
      <c r="N3568" s="35">
        <v>1</v>
      </c>
      <c r="O3568" s="36">
        <v>405.56</v>
      </c>
      <c r="P3568" s="36">
        <v>332.43</v>
      </c>
      <c r="Q3568" s="36">
        <v>283.89</v>
      </c>
      <c r="R3568" s="36">
        <v>232.7</v>
      </c>
      <c r="S3568" s="36">
        <v>275.77999999999997</v>
      </c>
      <c r="T3568" s="36">
        <v>226.05</v>
      </c>
      <c r="U3568" s="34"/>
      <c r="V3568" s="34"/>
      <c r="W3568" s="34"/>
      <c r="X3568" s="37">
        <v>0.187</v>
      </c>
      <c r="Y3568" s="38">
        <v>2.22E-4</v>
      </c>
      <c r="Z3568" s="21">
        <v>4601004146358</v>
      </c>
    </row>
    <row r="3569" spans="1:26" ht="12" customHeight="1" outlineLevel="3" x14ac:dyDescent="0.2">
      <c r="A3569" s="14" t="s">
        <v>6952</v>
      </c>
      <c r="B3569" s="26" t="s">
        <v>6953</v>
      </c>
      <c r="C3569" s="52"/>
      <c r="D3569" s="55">
        <f t="shared" si="55"/>
        <v>0</v>
      </c>
      <c r="E3569" s="63" t="str">
        <f>HYPERLINK("https://www.sds-group.ru/product/zazhim-ruchnoy-175mm-rexant-12-4665/", "Инфо")</f>
        <v>Инфо</v>
      </c>
      <c r="F3569" s="16" t="s">
        <v>39</v>
      </c>
      <c r="G3569" s="15"/>
      <c r="H3569" s="15"/>
      <c r="I3569" s="15"/>
      <c r="J3569" s="16" t="s">
        <v>100</v>
      </c>
      <c r="K3569" s="15" t="s">
        <v>6556</v>
      </c>
      <c r="L3569" s="17">
        <v>1</v>
      </c>
      <c r="M3569" s="17">
        <v>60</v>
      </c>
      <c r="N3569" s="17">
        <v>1</v>
      </c>
      <c r="O3569" s="18">
        <v>549.79</v>
      </c>
      <c r="P3569" s="18">
        <v>450.65</v>
      </c>
      <c r="Q3569" s="18">
        <v>384.85</v>
      </c>
      <c r="R3569" s="18">
        <v>315.45</v>
      </c>
      <c r="S3569" s="18">
        <v>373.86</v>
      </c>
      <c r="T3569" s="18">
        <v>306.44</v>
      </c>
      <c r="U3569" s="16"/>
      <c r="V3569" s="16"/>
      <c r="W3569" s="16"/>
      <c r="X3569" s="19">
        <v>0.311</v>
      </c>
      <c r="Y3569" s="20">
        <v>2.7599999999999999E-4</v>
      </c>
      <c r="Z3569" s="21">
        <v>4601004146259</v>
      </c>
    </row>
    <row r="3570" spans="1:26" ht="12" customHeight="1" outlineLevel="3" x14ac:dyDescent="0.2">
      <c r="A3570" s="14" t="s">
        <v>6954</v>
      </c>
      <c r="B3570" s="26" t="s">
        <v>6955</v>
      </c>
      <c r="C3570" s="52"/>
      <c r="D3570" s="55">
        <f t="shared" si="55"/>
        <v>0</v>
      </c>
      <c r="E3570" s="63" t="str">
        <f>HYPERLINK("https://www.sds-group.ru/product/strubtsina-g-obraznaya-100mm-rexant-12-5703/", "Инфо")</f>
        <v>Инфо</v>
      </c>
      <c r="F3570" s="16" t="s">
        <v>39</v>
      </c>
      <c r="G3570" s="15"/>
      <c r="H3570" s="15"/>
      <c r="I3570" s="15"/>
      <c r="J3570" s="16" t="s">
        <v>100</v>
      </c>
      <c r="K3570" s="15" t="s">
        <v>6181</v>
      </c>
      <c r="L3570" s="17">
        <v>1</v>
      </c>
      <c r="M3570" s="17">
        <v>40</v>
      </c>
      <c r="N3570" s="17">
        <v>1</v>
      </c>
      <c r="O3570" s="18">
        <v>539.01</v>
      </c>
      <c r="P3570" s="18">
        <v>441.81</v>
      </c>
      <c r="Q3570" s="18">
        <v>377.31</v>
      </c>
      <c r="R3570" s="18">
        <v>309.27</v>
      </c>
      <c r="S3570" s="18">
        <v>366.53</v>
      </c>
      <c r="T3570" s="18">
        <v>300.43</v>
      </c>
      <c r="U3570" s="16"/>
      <c r="V3570" s="16"/>
      <c r="W3570" s="16"/>
      <c r="X3570" s="19">
        <v>0.56499999999999995</v>
      </c>
      <c r="Y3570" s="20">
        <v>4.4799999999999999E-4</v>
      </c>
      <c r="Z3570" s="21">
        <v>4601004146297</v>
      </c>
    </row>
    <row r="3571" spans="1:26" ht="12" customHeight="1" outlineLevel="3" x14ac:dyDescent="0.2">
      <c r="A3571" s="14" t="s">
        <v>6956</v>
      </c>
      <c r="B3571" s="26" t="s">
        <v>6957</v>
      </c>
      <c r="C3571" s="52"/>
      <c r="D3571" s="55">
        <f t="shared" si="55"/>
        <v>0</v>
      </c>
      <c r="E3571" s="63" t="str">
        <f>HYPERLINK("https://www.sds-group.ru/product/strubtsina-g-obraznaya-125mm-rexant-12-5705/", "Инфо")</f>
        <v>Инфо</v>
      </c>
      <c r="F3571" s="16" t="s">
        <v>39</v>
      </c>
      <c r="G3571" s="15"/>
      <c r="H3571" s="15"/>
      <c r="I3571" s="15"/>
      <c r="J3571" s="17">
        <v>236</v>
      </c>
      <c r="K3571" s="15" t="s">
        <v>6556</v>
      </c>
      <c r="L3571" s="17">
        <v>1</v>
      </c>
      <c r="M3571" s="17">
        <v>20</v>
      </c>
      <c r="N3571" s="17">
        <v>1</v>
      </c>
      <c r="O3571" s="18">
        <v>816.2</v>
      </c>
      <c r="P3571" s="18">
        <v>669.02</v>
      </c>
      <c r="Q3571" s="18">
        <v>571.34</v>
      </c>
      <c r="R3571" s="18">
        <v>468.31</v>
      </c>
      <c r="S3571" s="18">
        <v>555.02</v>
      </c>
      <c r="T3571" s="18">
        <v>454.93</v>
      </c>
      <c r="U3571" s="16"/>
      <c r="V3571" s="16"/>
      <c r="W3571" s="16"/>
      <c r="X3571" s="19">
        <v>0.68300000000000005</v>
      </c>
      <c r="Y3571" s="20">
        <v>6.3500000000000004E-4</v>
      </c>
      <c r="Z3571" s="21">
        <v>4601004146303</v>
      </c>
    </row>
    <row r="3572" spans="1:26" ht="12" customHeight="1" outlineLevel="3" x14ac:dyDescent="0.2">
      <c r="A3572" s="14" t="s">
        <v>6958</v>
      </c>
      <c r="B3572" s="26" t="s">
        <v>6959</v>
      </c>
      <c r="C3572" s="52"/>
      <c r="D3572" s="55">
        <f t="shared" si="55"/>
        <v>0</v>
      </c>
      <c r="E3572" s="63" t="str">
        <f>HYPERLINK("https://www.sds-group.ru/product/strubtsina-g-obraznaya-150mm-rexant-12-5706/", "Инфо")</f>
        <v>Инфо</v>
      </c>
      <c r="F3572" s="16" t="s">
        <v>39</v>
      </c>
      <c r="G3572" s="15"/>
      <c r="H3572" s="15"/>
      <c r="I3572" s="15"/>
      <c r="J3572" s="17">
        <v>223</v>
      </c>
      <c r="K3572" s="15" t="s">
        <v>6556</v>
      </c>
      <c r="L3572" s="17">
        <v>1</v>
      </c>
      <c r="M3572" s="17">
        <v>20</v>
      </c>
      <c r="N3572" s="17">
        <v>1</v>
      </c>
      <c r="O3572" s="18">
        <v>862.42</v>
      </c>
      <c r="P3572" s="18">
        <v>706.9</v>
      </c>
      <c r="Q3572" s="18">
        <v>603.69000000000005</v>
      </c>
      <c r="R3572" s="18">
        <v>494.83</v>
      </c>
      <c r="S3572" s="18">
        <v>586.45000000000005</v>
      </c>
      <c r="T3572" s="18">
        <v>480.7</v>
      </c>
      <c r="U3572" s="16"/>
      <c r="V3572" s="16"/>
      <c r="W3572" s="16"/>
      <c r="X3572" s="19">
        <v>0.78400000000000003</v>
      </c>
      <c r="Y3572" s="20">
        <v>7.2800000000000002E-4</v>
      </c>
      <c r="Z3572" s="21">
        <v>4601004146310</v>
      </c>
    </row>
    <row r="3573" spans="1:26" ht="12" customHeight="1" outlineLevel="3" x14ac:dyDescent="0.2">
      <c r="A3573" s="14" t="s">
        <v>6960</v>
      </c>
      <c r="B3573" s="26" t="s">
        <v>6961</v>
      </c>
      <c r="C3573" s="52"/>
      <c r="D3573" s="55">
        <f t="shared" si="55"/>
        <v>0</v>
      </c>
      <c r="E3573" s="63" t="str">
        <f>HYPERLINK("https://www.sds-group.ru/product/strubtsina-g-obraznaya-50mm-rexant-12-5701/", "Инфо")</f>
        <v>Инфо</v>
      </c>
      <c r="F3573" s="16" t="s">
        <v>39</v>
      </c>
      <c r="G3573" s="15"/>
      <c r="H3573" s="15"/>
      <c r="I3573" s="15"/>
      <c r="J3573" s="17">
        <v>781</v>
      </c>
      <c r="K3573" s="15" t="s">
        <v>6556</v>
      </c>
      <c r="L3573" s="17">
        <v>1</v>
      </c>
      <c r="M3573" s="17">
        <v>80</v>
      </c>
      <c r="N3573" s="17">
        <v>1</v>
      </c>
      <c r="O3573" s="18">
        <v>259.7</v>
      </c>
      <c r="P3573" s="18">
        <v>212.87</v>
      </c>
      <c r="Q3573" s="18">
        <v>220.75</v>
      </c>
      <c r="R3573" s="18">
        <v>180.94</v>
      </c>
      <c r="S3573" s="18">
        <v>176.6</v>
      </c>
      <c r="T3573" s="18">
        <v>144.75</v>
      </c>
      <c r="U3573" s="16"/>
      <c r="V3573" s="16"/>
      <c r="W3573" s="16" t="s">
        <v>40</v>
      </c>
      <c r="X3573" s="19">
        <v>0.25700000000000001</v>
      </c>
      <c r="Y3573" s="20">
        <v>1.74E-4</v>
      </c>
      <c r="Z3573" s="21">
        <v>4601004146273</v>
      </c>
    </row>
    <row r="3574" spans="1:26" ht="12" customHeight="1" outlineLevel="3" x14ac:dyDescent="0.2">
      <c r="A3574" s="14" t="s">
        <v>6962</v>
      </c>
      <c r="B3574" s="26" t="s">
        <v>6963</v>
      </c>
      <c r="C3574" s="52"/>
      <c r="D3574" s="55">
        <f t="shared" si="55"/>
        <v>0</v>
      </c>
      <c r="E3574" s="63" t="str">
        <f>HYPERLINK("https://www.sds-group.ru/product/strubtsina-g-obraznaya-75mm-rexant-12-5702/", "Инфо")</f>
        <v>Инфо</v>
      </c>
      <c r="F3574" s="16" t="s">
        <v>39</v>
      </c>
      <c r="G3574" s="15"/>
      <c r="H3574" s="15"/>
      <c r="I3574" s="15"/>
      <c r="J3574" s="17">
        <v>249</v>
      </c>
      <c r="K3574" s="15" t="s">
        <v>6181</v>
      </c>
      <c r="L3574" s="17">
        <v>1</v>
      </c>
      <c r="M3574" s="17">
        <v>60</v>
      </c>
      <c r="N3574" s="17">
        <v>1</v>
      </c>
      <c r="O3574" s="18">
        <v>408.1</v>
      </c>
      <c r="P3574" s="18">
        <v>334.51</v>
      </c>
      <c r="Q3574" s="18">
        <v>285.67</v>
      </c>
      <c r="R3574" s="18">
        <v>234.16</v>
      </c>
      <c r="S3574" s="18">
        <v>277.51</v>
      </c>
      <c r="T3574" s="18">
        <v>227.47</v>
      </c>
      <c r="U3574" s="16"/>
      <c r="V3574" s="16"/>
      <c r="W3574" s="16"/>
      <c r="X3574" s="19">
        <v>0.34899999999999998</v>
      </c>
      <c r="Y3574" s="20">
        <v>3.0699999999999998E-4</v>
      </c>
      <c r="Z3574" s="21">
        <v>4601004146280</v>
      </c>
    </row>
    <row r="3575" spans="1:26" ht="12" customHeight="1" outlineLevel="3" x14ac:dyDescent="0.2">
      <c r="A3575" s="32" t="s">
        <v>6964</v>
      </c>
      <c r="B3575" s="74" t="s">
        <v>6965</v>
      </c>
      <c r="C3575" s="50"/>
      <c r="D3575" s="53">
        <f t="shared" si="55"/>
        <v>0</v>
      </c>
      <c r="E3575" s="60" t="str">
        <f>HYPERLINK("https://www.sds-group.ru/product/tiski-slesarnye-100mm-povorotnye-s-nakovalney-kranz-KR-12-5101/", "Инфо")</f>
        <v>Инфо</v>
      </c>
      <c r="F3575" s="34" t="s">
        <v>39</v>
      </c>
      <c r="G3575" s="33"/>
      <c r="H3575" s="33" t="s">
        <v>40</v>
      </c>
      <c r="I3575" s="33"/>
      <c r="J3575" s="35">
        <v>70</v>
      </c>
      <c r="K3575" s="33"/>
      <c r="L3575" s="35">
        <v>1</v>
      </c>
      <c r="M3575" s="35">
        <v>4</v>
      </c>
      <c r="N3575" s="35">
        <v>1</v>
      </c>
      <c r="O3575" s="36">
        <v>4204.28</v>
      </c>
      <c r="P3575" s="36">
        <v>3446.13</v>
      </c>
      <c r="Q3575" s="36">
        <v>2943</v>
      </c>
      <c r="R3575" s="36">
        <v>2412.3000000000002</v>
      </c>
      <c r="S3575" s="36">
        <v>2858.91</v>
      </c>
      <c r="T3575" s="36">
        <v>2343.37</v>
      </c>
      <c r="U3575" s="34"/>
      <c r="V3575" s="34"/>
      <c r="W3575" s="34"/>
      <c r="X3575" s="37">
        <v>5.22</v>
      </c>
      <c r="Y3575" s="38">
        <v>7.4269999999999996E-3</v>
      </c>
      <c r="Z3575" s="21">
        <v>4601004223196</v>
      </c>
    </row>
    <row r="3576" spans="1:26" ht="12.95" customHeight="1" outlineLevel="2" x14ac:dyDescent="0.2">
      <c r="A3576" s="76" t="s">
        <v>6966</v>
      </c>
      <c r="B3576" s="76"/>
      <c r="C3576" s="77"/>
      <c r="D3576" s="58"/>
      <c r="E3576" s="68"/>
      <c r="F3576" s="13"/>
      <c r="G3576" s="13"/>
      <c r="H3576" s="13"/>
      <c r="I3576" s="13"/>
      <c r="J3576" s="13"/>
      <c r="K3576" s="13"/>
      <c r="L3576" s="13"/>
      <c r="M3576" s="13"/>
      <c r="N3576" s="13"/>
      <c r="O3576" s="13"/>
      <c r="P3576" s="13"/>
      <c r="Q3576" s="13"/>
      <c r="R3576" s="13"/>
      <c r="S3576" s="13"/>
      <c r="T3576" s="13"/>
      <c r="U3576" s="13"/>
      <c r="V3576" s="13"/>
      <c r="W3576" s="13"/>
      <c r="X3576" s="13"/>
      <c r="Y3576" s="13"/>
      <c r="Z3576" s="13"/>
    </row>
    <row r="3577" spans="1:26" ht="12" customHeight="1" outlineLevel="3" x14ac:dyDescent="0.2">
      <c r="A3577" s="14" t="s">
        <v>6967</v>
      </c>
      <c r="B3577" s="26" t="s">
        <v>6968</v>
      </c>
      <c r="C3577" s="52"/>
      <c r="D3577" s="55">
        <f t="shared" si="55"/>
        <v>0</v>
      </c>
      <c r="E3577" s="63" t="str">
        <f>HYPERLINK("https://www.sds-group.ru/product/kiyanka-rezinovaya-225-g-cherno-belaya-rezina-fiberglasovaya-rukoyatka-kranz-KR-12-8152/", "Инфо")</f>
        <v>Инфо</v>
      </c>
      <c r="F3577" s="16" t="s">
        <v>39</v>
      </c>
      <c r="G3577" s="15"/>
      <c r="H3577" s="15"/>
      <c r="I3577" s="15"/>
      <c r="J3577" s="17">
        <v>338</v>
      </c>
      <c r="K3577" s="15"/>
      <c r="L3577" s="17">
        <v>1</v>
      </c>
      <c r="M3577" s="17">
        <v>36</v>
      </c>
      <c r="N3577" s="17">
        <v>1</v>
      </c>
      <c r="O3577" s="18">
        <v>657.59</v>
      </c>
      <c r="P3577" s="18">
        <v>539.01</v>
      </c>
      <c r="Q3577" s="18">
        <v>558.95000000000005</v>
      </c>
      <c r="R3577" s="18">
        <v>458.16</v>
      </c>
      <c r="S3577" s="18">
        <v>447.16</v>
      </c>
      <c r="T3577" s="18">
        <v>366.52</v>
      </c>
      <c r="U3577" s="16"/>
      <c r="V3577" s="16"/>
      <c r="W3577" s="16" t="s">
        <v>40</v>
      </c>
      <c r="X3577" s="19">
        <v>0.42899999999999999</v>
      </c>
      <c r="Y3577" s="20">
        <v>8.8800000000000001E-4</v>
      </c>
      <c r="Z3577" s="21">
        <v>4601004226746</v>
      </c>
    </row>
    <row r="3578" spans="1:26" ht="12" customHeight="1" outlineLevel="3" x14ac:dyDescent="0.2">
      <c r="A3578" s="14" t="s">
        <v>6969</v>
      </c>
      <c r="B3578" s="26" t="s">
        <v>6970</v>
      </c>
      <c r="C3578" s="52"/>
      <c r="D3578" s="55">
        <f t="shared" si="55"/>
        <v>0</v>
      </c>
      <c r="E3578" s="63" t="str">
        <f>HYPERLINK("https://www.sds-group.ru/product/kiyanka-rezinovaya-450-g-cherno-belaya-rezina-fiberglasovaya-rukoyatka-kranz-KR-12-8153/", "Инфо")</f>
        <v>Инфо</v>
      </c>
      <c r="F3578" s="16" t="s">
        <v>39</v>
      </c>
      <c r="G3578" s="15"/>
      <c r="H3578" s="15"/>
      <c r="I3578" s="15"/>
      <c r="J3578" s="17">
        <v>111</v>
      </c>
      <c r="K3578" s="15" t="s">
        <v>1665</v>
      </c>
      <c r="L3578" s="17">
        <v>1</v>
      </c>
      <c r="M3578" s="17">
        <v>24</v>
      </c>
      <c r="N3578" s="17">
        <v>1</v>
      </c>
      <c r="O3578" s="18">
        <v>894.76</v>
      </c>
      <c r="P3578" s="18">
        <v>733.41</v>
      </c>
      <c r="Q3578" s="18">
        <v>760.55</v>
      </c>
      <c r="R3578" s="18">
        <v>623.4</v>
      </c>
      <c r="S3578" s="18">
        <v>608.44000000000005</v>
      </c>
      <c r="T3578" s="18">
        <v>498.72</v>
      </c>
      <c r="U3578" s="16"/>
      <c r="V3578" s="16"/>
      <c r="W3578" s="16" t="s">
        <v>40</v>
      </c>
      <c r="X3578" s="19">
        <v>0.65100000000000002</v>
      </c>
      <c r="Y3578" s="20">
        <v>1.474E-3</v>
      </c>
      <c r="Z3578" s="21">
        <v>4601004226777</v>
      </c>
    </row>
    <row r="3579" spans="1:26" ht="12" customHeight="1" outlineLevel="3" x14ac:dyDescent="0.2">
      <c r="A3579" s="32" t="s">
        <v>6971</v>
      </c>
      <c r="B3579" s="74" t="s">
        <v>6972</v>
      </c>
      <c r="C3579" s="50"/>
      <c r="D3579" s="53">
        <f t="shared" si="55"/>
        <v>0</v>
      </c>
      <c r="E3579" s="60" t="str">
        <f>HYPERLINK("https://www.sds-group.ru/product/kiyanka-rezinovaya-680-g-chernaya-rezina-derevyannaya-rukoyatka-kranz-KR-12-8144/", "Инфо")</f>
        <v>Инфо</v>
      </c>
      <c r="F3579" s="34" t="s">
        <v>39</v>
      </c>
      <c r="G3579" s="33"/>
      <c r="H3579" s="33" t="s">
        <v>40</v>
      </c>
      <c r="I3579" s="33"/>
      <c r="J3579" s="35">
        <v>29</v>
      </c>
      <c r="K3579" s="33"/>
      <c r="L3579" s="35">
        <v>1</v>
      </c>
      <c r="M3579" s="35">
        <v>24</v>
      </c>
      <c r="N3579" s="35">
        <v>1</v>
      </c>
      <c r="O3579" s="36">
        <v>368.38</v>
      </c>
      <c r="P3579" s="36">
        <v>301.95</v>
      </c>
      <c r="Q3579" s="36">
        <v>257.87</v>
      </c>
      <c r="R3579" s="36">
        <v>211.37</v>
      </c>
      <c r="S3579" s="36">
        <v>250.5</v>
      </c>
      <c r="T3579" s="36">
        <v>205.33</v>
      </c>
      <c r="U3579" s="34"/>
      <c r="V3579" s="34"/>
      <c r="W3579" s="34"/>
      <c r="X3579" s="37">
        <v>0.85499999999999998</v>
      </c>
      <c r="Y3579" s="38">
        <v>2.2769999999999999E-3</v>
      </c>
      <c r="Z3579" s="21">
        <v>4601004283114</v>
      </c>
    </row>
    <row r="3580" spans="1:26" ht="12" customHeight="1" outlineLevel="3" x14ac:dyDescent="0.2">
      <c r="A3580" s="14" t="s">
        <v>6973</v>
      </c>
      <c r="B3580" s="26" t="s">
        <v>6974</v>
      </c>
      <c r="C3580" s="52"/>
      <c r="D3580" s="55">
        <f t="shared" si="55"/>
        <v>0</v>
      </c>
      <c r="E3580" s="63" t="str">
        <f>HYPERLINK("https://www.sds-group.ru/product/kiyanka-rezinovaya-680-g-cherno-belaya-rezina-fiberglasovaya-rukoyatka-kranz-KR-12-8154/", "Инфо")</f>
        <v>Инфо</v>
      </c>
      <c r="F3580" s="16" t="s">
        <v>39</v>
      </c>
      <c r="G3580" s="15"/>
      <c r="H3580" s="15"/>
      <c r="I3580" s="15"/>
      <c r="J3580" s="17">
        <v>155</v>
      </c>
      <c r="K3580" s="15"/>
      <c r="L3580" s="17">
        <v>1</v>
      </c>
      <c r="M3580" s="17">
        <v>24</v>
      </c>
      <c r="N3580" s="17">
        <v>1</v>
      </c>
      <c r="O3580" s="18">
        <v>1078.02</v>
      </c>
      <c r="P3580" s="18">
        <v>883.62</v>
      </c>
      <c r="Q3580" s="18">
        <v>916.32</v>
      </c>
      <c r="R3580" s="18">
        <v>751.08</v>
      </c>
      <c r="S3580" s="18">
        <v>733.05</v>
      </c>
      <c r="T3580" s="18">
        <v>600.86</v>
      </c>
      <c r="U3580" s="16"/>
      <c r="V3580" s="16"/>
      <c r="W3580" s="16" t="s">
        <v>40</v>
      </c>
      <c r="X3580" s="19">
        <v>1.006</v>
      </c>
      <c r="Y3580" s="20">
        <v>2.3679999999999999E-3</v>
      </c>
      <c r="Z3580" s="21">
        <v>4601004226753</v>
      </c>
    </row>
    <row r="3581" spans="1:26" ht="12" customHeight="1" outlineLevel="3" x14ac:dyDescent="0.2">
      <c r="A3581" s="14" t="s">
        <v>6975</v>
      </c>
      <c r="B3581" s="26" t="s">
        <v>6976</v>
      </c>
      <c r="C3581" s="52"/>
      <c r="D3581" s="55">
        <f t="shared" si="55"/>
        <v>0</v>
      </c>
      <c r="E3581" s="63" t="str">
        <f>HYPERLINK("https://www.sds-group.ru/product/kuvalda-s-fiberglasovoy-obrezinennoy-rukoyatkoy-1500g-rexant-12-8131/", "Инфо")</f>
        <v>Инфо</v>
      </c>
      <c r="F3581" s="16" t="s">
        <v>39</v>
      </c>
      <c r="G3581" s="15"/>
      <c r="H3581" s="15"/>
      <c r="I3581" s="15"/>
      <c r="J3581" s="17">
        <v>310</v>
      </c>
      <c r="K3581" s="15" t="s">
        <v>4029</v>
      </c>
      <c r="L3581" s="17">
        <v>1</v>
      </c>
      <c r="M3581" s="17">
        <v>12</v>
      </c>
      <c r="N3581" s="17">
        <v>1</v>
      </c>
      <c r="O3581" s="18">
        <v>1439.16</v>
      </c>
      <c r="P3581" s="18">
        <v>1179.6400000000001</v>
      </c>
      <c r="Q3581" s="18">
        <v>1136.94</v>
      </c>
      <c r="R3581" s="18">
        <v>931.92</v>
      </c>
      <c r="S3581" s="18">
        <v>978.63</v>
      </c>
      <c r="T3581" s="18">
        <v>802.16</v>
      </c>
      <c r="U3581" s="16"/>
      <c r="V3581" s="16"/>
      <c r="W3581" s="16" t="s">
        <v>40</v>
      </c>
      <c r="X3581" s="19">
        <v>1.766</v>
      </c>
      <c r="Y3581" s="20">
        <v>1.163E-3</v>
      </c>
      <c r="Z3581" s="21">
        <v>4601004178595</v>
      </c>
    </row>
    <row r="3582" spans="1:26" ht="12" customHeight="1" outlineLevel="3" x14ac:dyDescent="0.2">
      <c r="A3582" s="14" t="s">
        <v>6977</v>
      </c>
      <c r="B3582" s="26" t="s">
        <v>6978</v>
      </c>
      <c r="C3582" s="52"/>
      <c r="D3582" s="55">
        <f t="shared" si="55"/>
        <v>0</v>
      </c>
      <c r="E3582" s="63" t="str">
        <f>HYPERLINK("https://www.sds-group.ru/product/kuvalda-s-fiberglasovoy-obrezinennoy-rukoyatkoy-3000g-rexant-12-8133/", "Инфо")</f>
        <v>Инфо</v>
      </c>
      <c r="F3582" s="16" t="s">
        <v>39</v>
      </c>
      <c r="G3582" s="15"/>
      <c r="H3582" s="15"/>
      <c r="I3582" s="15"/>
      <c r="J3582" s="17">
        <v>213</v>
      </c>
      <c r="K3582" s="15" t="s">
        <v>4029</v>
      </c>
      <c r="L3582" s="17">
        <v>1</v>
      </c>
      <c r="M3582" s="17">
        <v>4</v>
      </c>
      <c r="N3582" s="17">
        <v>1</v>
      </c>
      <c r="O3582" s="18">
        <v>2910.65</v>
      </c>
      <c r="P3582" s="18">
        <v>2385.7800000000002</v>
      </c>
      <c r="Q3582" s="18">
        <v>2124.77</v>
      </c>
      <c r="R3582" s="18">
        <v>1741.61</v>
      </c>
      <c r="S3582" s="18">
        <v>1979.24</v>
      </c>
      <c r="T3582" s="18">
        <v>1622.33</v>
      </c>
      <c r="U3582" s="16"/>
      <c r="V3582" s="16"/>
      <c r="W3582" s="16" t="s">
        <v>40</v>
      </c>
      <c r="X3582" s="19">
        <v>4.05</v>
      </c>
      <c r="Y3582" s="20">
        <v>7.0219999999999996E-3</v>
      </c>
      <c r="Z3582" s="21">
        <v>4601004178601</v>
      </c>
    </row>
    <row r="3583" spans="1:26" ht="12" customHeight="1" outlineLevel="3" x14ac:dyDescent="0.2">
      <c r="A3583" s="14" t="s">
        <v>6979</v>
      </c>
      <c r="B3583" s="26" t="s">
        <v>6980</v>
      </c>
      <c r="C3583" s="52"/>
      <c r="D3583" s="55">
        <f t="shared" si="55"/>
        <v>0</v>
      </c>
      <c r="E3583" s="63" t="str">
        <f>HYPERLINK("https://www.sds-group.ru/product/kuvalda-s-fiberglasovoy-obrezinennoy-rukoyatkoy-4000g-rexant-12-8134/", "Инфо")</f>
        <v>Инфо</v>
      </c>
      <c r="F3583" s="16" t="s">
        <v>39</v>
      </c>
      <c r="G3583" s="15"/>
      <c r="H3583" s="15"/>
      <c r="I3583" s="15"/>
      <c r="J3583" s="16" t="s">
        <v>100</v>
      </c>
      <c r="K3583" s="15" t="s">
        <v>4029</v>
      </c>
      <c r="L3583" s="17">
        <v>1</v>
      </c>
      <c r="M3583" s="17">
        <v>4</v>
      </c>
      <c r="N3583" s="17">
        <v>1</v>
      </c>
      <c r="O3583" s="18">
        <v>3589.81</v>
      </c>
      <c r="P3583" s="18">
        <v>2942.47</v>
      </c>
      <c r="Q3583" s="18">
        <v>2620.56</v>
      </c>
      <c r="R3583" s="18">
        <v>2148</v>
      </c>
      <c r="S3583" s="18">
        <v>2441.0700000000002</v>
      </c>
      <c r="T3583" s="18">
        <v>2000.88</v>
      </c>
      <c r="U3583" s="16"/>
      <c r="V3583" s="16"/>
      <c r="W3583" s="16" t="s">
        <v>40</v>
      </c>
      <c r="X3583" s="19">
        <v>5.1630000000000003</v>
      </c>
      <c r="Y3583" s="20">
        <v>6.1440000000000002E-3</v>
      </c>
      <c r="Z3583" s="21">
        <v>4601004178618</v>
      </c>
    </row>
    <row r="3584" spans="1:26" ht="12" customHeight="1" outlineLevel="3" x14ac:dyDescent="0.2">
      <c r="A3584" s="14" t="s">
        <v>6981</v>
      </c>
      <c r="B3584" s="26" t="s">
        <v>6982</v>
      </c>
      <c r="C3584" s="52"/>
      <c r="D3584" s="55">
        <f t="shared" si="55"/>
        <v>0</v>
      </c>
      <c r="E3584" s="63" t="str">
        <f>HYPERLINK("https://www.sds-group.ru/product/kuvalda-s-fiberglasovoy-obrezinennoy-rukoyatkoy-5000g-rexant-12-8135/", "Инфо")</f>
        <v>Инфо</v>
      </c>
      <c r="F3584" s="16" t="s">
        <v>39</v>
      </c>
      <c r="G3584" s="15"/>
      <c r="H3584" s="15"/>
      <c r="I3584" s="15"/>
      <c r="J3584" s="17">
        <v>477</v>
      </c>
      <c r="K3584" s="15" t="s">
        <v>6402</v>
      </c>
      <c r="L3584" s="17">
        <v>1</v>
      </c>
      <c r="M3584" s="17">
        <v>2</v>
      </c>
      <c r="N3584" s="17">
        <v>1</v>
      </c>
      <c r="O3584" s="18">
        <v>4096.4799999999996</v>
      </c>
      <c r="P3584" s="18">
        <v>3357.77</v>
      </c>
      <c r="Q3584" s="18">
        <v>2990.43</v>
      </c>
      <c r="R3584" s="18">
        <v>2451.17</v>
      </c>
      <c r="S3584" s="18">
        <v>2785.61</v>
      </c>
      <c r="T3584" s="18">
        <v>2283.29</v>
      </c>
      <c r="U3584" s="16"/>
      <c r="V3584" s="16"/>
      <c r="W3584" s="16" t="s">
        <v>40</v>
      </c>
      <c r="X3584" s="19">
        <v>6.1749999999999998</v>
      </c>
      <c r="Y3584" s="20">
        <v>6.6049999999999998E-3</v>
      </c>
      <c r="Z3584" s="21">
        <v>4601004178625</v>
      </c>
    </row>
    <row r="3585" spans="1:26" ht="12" customHeight="1" outlineLevel="3" x14ac:dyDescent="0.2">
      <c r="A3585" s="14" t="s">
        <v>6983</v>
      </c>
      <c r="B3585" s="26" t="s">
        <v>6984</v>
      </c>
      <c r="C3585" s="52"/>
      <c r="D3585" s="55">
        <f t="shared" si="55"/>
        <v>0</v>
      </c>
      <c r="E3585" s="63" t="str">
        <f>HYPERLINK("https://www.sds-group.ru/product/molotok-300g-fiberglasovaya-rukoyatka-rexant-12-8113/", "Инфо")</f>
        <v>Инфо</v>
      </c>
      <c r="F3585" s="16" t="s">
        <v>39</v>
      </c>
      <c r="G3585" s="15"/>
      <c r="H3585" s="15"/>
      <c r="I3585" s="15"/>
      <c r="J3585" s="16" t="s">
        <v>100</v>
      </c>
      <c r="K3585" s="15" t="s">
        <v>4029</v>
      </c>
      <c r="L3585" s="17">
        <v>1</v>
      </c>
      <c r="M3585" s="17">
        <v>48</v>
      </c>
      <c r="N3585" s="17">
        <v>1</v>
      </c>
      <c r="O3585" s="18">
        <v>453.68</v>
      </c>
      <c r="P3585" s="18">
        <v>371.87</v>
      </c>
      <c r="Q3585" s="18">
        <v>362.94</v>
      </c>
      <c r="R3585" s="18">
        <v>297.49</v>
      </c>
      <c r="S3585" s="18">
        <v>308.5</v>
      </c>
      <c r="T3585" s="18">
        <v>252.87</v>
      </c>
      <c r="U3585" s="16"/>
      <c r="V3585" s="16"/>
      <c r="W3585" s="16" t="s">
        <v>40</v>
      </c>
      <c r="X3585" s="19">
        <v>0.51</v>
      </c>
      <c r="Y3585" s="20">
        <v>5.9299999999999999E-4</v>
      </c>
      <c r="Z3585" s="21">
        <v>4601004178526</v>
      </c>
    </row>
    <row r="3586" spans="1:26" ht="12" customHeight="1" outlineLevel="3" x14ac:dyDescent="0.2">
      <c r="A3586" s="14" t="s">
        <v>6985</v>
      </c>
      <c r="B3586" s="26" t="s">
        <v>6986</v>
      </c>
      <c r="C3586" s="52"/>
      <c r="D3586" s="55">
        <f t="shared" si="55"/>
        <v>0</v>
      </c>
      <c r="E3586" s="63" t="str">
        <f>HYPERLINK("https://www.sds-group.ru/product/molotok-400g-fiberglasovaya-rukoyatka-rexant-12-8114/", "Инфо")</f>
        <v>Инфо</v>
      </c>
      <c r="F3586" s="16" t="s">
        <v>39</v>
      </c>
      <c r="G3586" s="15"/>
      <c r="H3586" s="15"/>
      <c r="I3586" s="15"/>
      <c r="J3586" s="22">
        <v>1357</v>
      </c>
      <c r="K3586" s="15"/>
      <c r="L3586" s="17">
        <v>1</v>
      </c>
      <c r="M3586" s="17">
        <v>36</v>
      </c>
      <c r="N3586" s="17">
        <v>1</v>
      </c>
      <c r="O3586" s="18">
        <v>502.44</v>
      </c>
      <c r="P3586" s="18">
        <v>411.84</v>
      </c>
      <c r="Q3586" s="18">
        <v>401.95</v>
      </c>
      <c r="R3586" s="18">
        <v>329.47</v>
      </c>
      <c r="S3586" s="18">
        <v>341.66</v>
      </c>
      <c r="T3586" s="18">
        <v>280.05</v>
      </c>
      <c r="U3586" s="16"/>
      <c r="V3586" s="16"/>
      <c r="W3586" s="16" t="s">
        <v>40</v>
      </c>
      <c r="X3586" s="19">
        <v>0.61699999999999999</v>
      </c>
      <c r="Y3586" s="20">
        <v>3.0000000000000001E-5</v>
      </c>
      <c r="Z3586" s="21">
        <v>4601004178540</v>
      </c>
    </row>
    <row r="3587" spans="1:26" ht="12" customHeight="1" outlineLevel="3" x14ac:dyDescent="0.2">
      <c r="A3587" s="14" t="s">
        <v>6987</v>
      </c>
      <c r="B3587" s="26" t="s">
        <v>6988</v>
      </c>
      <c r="C3587" s="52"/>
      <c r="D3587" s="55">
        <f t="shared" si="55"/>
        <v>0</v>
      </c>
      <c r="E3587" s="63" t="str">
        <f>HYPERLINK("https://www.sds-group.ru/product/molotok-500g-fiberglasovaya-rukoyatka-rexant-12-8115/", "Инфо")</f>
        <v>Инфо</v>
      </c>
      <c r="F3587" s="16" t="s">
        <v>39</v>
      </c>
      <c r="G3587" s="15"/>
      <c r="H3587" s="15"/>
      <c r="I3587" s="15"/>
      <c r="J3587" s="17">
        <v>880</v>
      </c>
      <c r="K3587" s="15" t="s">
        <v>4029</v>
      </c>
      <c r="L3587" s="17">
        <v>1</v>
      </c>
      <c r="M3587" s="17">
        <v>36</v>
      </c>
      <c r="N3587" s="17">
        <v>1</v>
      </c>
      <c r="O3587" s="18">
        <v>597.84</v>
      </c>
      <c r="P3587" s="18">
        <v>490.03</v>
      </c>
      <c r="Q3587" s="18">
        <v>478.27</v>
      </c>
      <c r="R3587" s="18">
        <v>392.02</v>
      </c>
      <c r="S3587" s="18">
        <v>406.53</v>
      </c>
      <c r="T3587" s="18">
        <v>333.22</v>
      </c>
      <c r="U3587" s="16"/>
      <c r="V3587" s="16"/>
      <c r="W3587" s="16" t="s">
        <v>40</v>
      </c>
      <c r="X3587" s="19">
        <v>0.72199999999999998</v>
      </c>
      <c r="Y3587" s="20">
        <v>7.3399999999999995E-4</v>
      </c>
      <c r="Z3587" s="21">
        <v>4601004178557</v>
      </c>
    </row>
    <row r="3588" spans="1:26" ht="12" customHeight="1" outlineLevel="3" x14ac:dyDescent="0.2">
      <c r="A3588" s="14" t="s">
        <v>6989</v>
      </c>
      <c r="B3588" s="26" t="s">
        <v>6990</v>
      </c>
      <c r="C3588" s="52"/>
      <c r="D3588" s="55">
        <f t="shared" si="55"/>
        <v>0</v>
      </c>
      <c r="E3588" s="63" t="str">
        <f>HYPERLINK("https://www.sds-group.ru/product/molotok-600g-fiberglasovaya-rukoyatka-rexant-12-8116/", "Инфо")</f>
        <v>Инфо</v>
      </c>
      <c r="F3588" s="16" t="s">
        <v>39</v>
      </c>
      <c r="G3588" s="15"/>
      <c r="H3588" s="15"/>
      <c r="I3588" s="15"/>
      <c r="J3588" s="22">
        <v>2464</v>
      </c>
      <c r="K3588" s="15"/>
      <c r="L3588" s="17">
        <v>1</v>
      </c>
      <c r="M3588" s="17">
        <v>24</v>
      </c>
      <c r="N3588" s="17">
        <v>1</v>
      </c>
      <c r="O3588" s="18">
        <v>700.71</v>
      </c>
      <c r="P3588" s="18">
        <v>574.35</v>
      </c>
      <c r="Q3588" s="18">
        <v>560.57000000000005</v>
      </c>
      <c r="R3588" s="18">
        <v>459.48</v>
      </c>
      <c r="S3588" s="18">
        <v>476.48</v>
      </c>
      <c r="T3588" s="18">
        <v>390.56</v>
      </c>
      <c r="U3588" s="16"/>
      <c r="V3588" s="16"/>
      <c r="W3588" s="16" t="s">
        <v>40</v>
      </c>
      <c r="X3588" s="19">
        <v>0.84099999999999997</v>
      </c>
      <c r="Y3588" s="20">
        <v>9.2100000000000005E-4</v>
      </c>
      <c r="Z3588" s="21">
        <v>4601004178564</v>
      </c>
    </row>
    <row r="3589" spans="1:26" ht="12" customHeight="1" outlineLevel="3" x14ac:dyDescent="0.2">
      <c r="A3589" s="14" t="s">
        <v>6991</v>
      </c>
      <c r="B3589" s="26" t="s">
        <v>6992</v>
      </c>
      <c r="C3589" s="52"/>
      <c r="D3589" s="55">
        <f t="shared" si="55"/>
        <v>0</v>
      </c>
      <c r="E3589" s="63" t="str">
        <f>HYPERLINK("https://www.sds-group.ru/product/molotok-800g-fiberglasovaya-rukoyatka-rexant-12-8118/", "Инфо")</f>
        <v>Инфо</v>
      </c>
      <c r="F3589" s="16" t="s">
        <v>39</v>
      </c>
      <c r="G3589" s="15"/>
      <c r="H3589" s="15"/>
      <c r="I3589" s="15"/>
      <c r="J3589" s="17">
        <v>283</v>
      </c>
      <c r="K3589" s="15"/>
      <c r="L3589" s="17">
        <v>1</v>
      </c>
      <c r="M3589" s="17">
        <v>24</v>
      </c>
      <c r="N3589" s="17">
        <v>1</v>
      </c>
      <c r="O3589" s="18">
        <v>921.14</v>
      </c>
      <c r="P3589" s="18">
        <v>755.03</v>
      </c>
      <c r="Q3589" s="18">
        <v>736.91</v>
      </c>
      <c r="R3589" s="18">
        <v>604.02</v>
      </c>
      <c r="S3589" s="18">
        <v>626.38</v>
      </c>
      <c r="T3589" s="18">
        <v>513.42999999999995</v>
      </c>
      <c r="U3589" s="16"/>
      <c r="V3589" s="16"/>
      <c r="W3589" s="16" t="s">
        <v>40</v>
      </c>
      <c r="X3589" s="19">
        <v>1.044</v>
      </c>
      <c r="Y3589" s="20">
        <v>1.021E-3</v>
      </c>
      <c r="Z3589" s="21">
        <v>4601004178571</v>
      </c>
    </row>
    <row r="3590" spans="1:26" ht="12" customHeight="1" outlineLevel="3" x14ac:dyDescent="0.2">
      <c r="A3590" s="14" t="s">
        <v>6993</v>
      </c>
      <c r="B3590" s="26" t="s">
        <v>6994</v>
      </c>
      <c r="C3590" s="52"/>
      <c r="D3590" s="55">
        <f t="shared" si="55"/>
        <v>0</v>
      </c>
      <c r="E3590" s="63" t="str">
        <f>HYPERLINK("https://www.sds-group.ru/product/molotok-slesarnyy-s-derevyannoy-rukoyatkoy-300g-rexant-12-8103/", "Инфо")</f>
        <v>Инфо</v>
      </c>
      <c r="F3590" s="16" t="s">
        <v>39</v>
      </c>
      <c r="G3590" s="15"/>
      <c r="H3590" s="15"/>
      <c r="I3590" s="15"/>
      <c r="J3590" s="17">
        <v>446</v>
      </c>
      <c r="K3590" s="15" t="s">
        <v>1665</v>
      </c>
      <c r="L3590" s="17">
        <v>1</v>
      </c>
      <c r="M3590" s="17">
        <v>48</v>
      </c>
      <c r="N3590" s="17">
        <v>1</v>
      </c>
      <c r="O3590" s="18">
        <v>346.62</v>
      </c>
      <c r="P3590" s="18">
        <v>284.11</v>
      </c>
      <c r="Q3590" s="18">
        <v>277.3</v>
      </c>
      <c r="R3590" s="18">
        <v>227.3</v>
      </c>
      <c r="S3590" s="18">
        <v>235.7</v>
      </c>
      <c r="T3590" s="18">
        <v>193.2</v>
      </c>
      <c r="U3590" s="16"/>
      <c r="V3590" s="16"/>
      <c r="W3590" s="16" t="s">
        <v>40</v>
      </c>
      <c r="X3590" s="19">
        <v>0.39</v>
      </c>
      <c r="Y3590" s="20">
        <v>5.8600000000000004E-4</v>
      </c>
      <c r="Z3590" s="21">
        <v>4601004178472</v>
      </c>
    </row>
    <row r="3591" spans="1:26" ht="12" customHeight="1" outlineLevel="3" x14ac:dyDescent="0.2">
      <c r="A3591" s="14" t="s">
        <v>6995</v>
      </c>
      <c r="B3591" s="26" t="s">
        <v>6996</v>
      </c>
      <c r="C3591" s="52"/>
      <c r="D3591" s="55">
        <f t="shared" si="55"/>
        <v>0</v>
      </c>
      <c r="E3591" s="63" t="str">
        <f>HYPERLINK("https://www.sds-group.ru/product/molotok-slesarnyy-s-derevyannoy-rukoyatkoy-400g-rexant-12-8104/", "Инфо")</f>
        <v>Инфо</v>
      </c>
      <c r="F3591" s="16" t="s">
        <v>39</v>
      </c>
      <c r="G3591" s="15"/>
      <c r="H3591" s="15"/>
      <c r="I3591" s="15"/>
      <c r="J3591" s="22">
        <v>1078</v>
      </c>
      <c r="K3591" s="15"/>
      <c r="L3591" s="17">
        <v>1</v>
      </c>
      <c r="M3591" s="17">
        <v>48</v>
      </c>
      <c r="N3591" s="17">
        <v>1</v>
      </c>
      <c r="O3591" s="18">
        <v>418.7</v>
      </c>
      <c r="P3591" s="18">
        <v>343.2</v>
      </c>
      <c r="Q3591" s="18">
        <v>334.96</v>
      </c>
      <c r="R3591" s="18">
        <v>274.56</v>
      </c>
      <c r="S3591" s="18">
        <v>284.72000000000003</v>
      </c>
      <c r="T3591" s="18">
        <v>233.38</v>
      </c>
      <c r="U3591" s="16"/>
      <c r="V3591" s="16"/>
      <c r="W3591" s="16" t="s">
        <v>40</v>
      </c>
      <c r="X3591" s="19">
        <v>0.48799999999999999</v>
      </c>
      <c r="Y3591" s="20">
        <v>6.6200000000000015E-4</v>
      </c>
      <c r="Z3591" s="21">
        <v>4601004178489</v>
      </c>
    </row>
    <row r="3592" spans="1:26" ht="12" customHeight="1" outlineLevel="3" x14ac:dyDescent="0.2">
      <c r="A3592" s="14" t="s">
        <v>6997</v>
      </c>
      <c r="B3592" s="26" t="s">
        <v>6998</v>
      </c>
      <c r="C3592" s="52"/>
      <c r="D3592" s="55">
        <f t="shared" si="55"/>
        <v>0</v>
      </c>
      <c r="E3592" s="63" t="str">
        <f>HYPERLINK("https://www.sds-group.ru/product/molotok-slesarnyy-s-derevyannoy-rukoyatkoy-500g-rexant-12-8105/", "Инфо")</f>
        <v>Инфо</v>
      </c>
      <c r="F3592" s="16" t="s">
        <v>39</v>
      </c>
      <c r="G3592" s="15"/>
      <c r="H3592" s="15"/>
      <c r="I3592" s="15"/>
      <c r="J3592" s="17">
        <v>290</v>
      </c>
      <c r="K3592" s="15" t="s">
        <v>4029</v>
      </c>
      <c r="L3592" s="17">
        <v>5</v>
      </c>
      <c r="M3592" s="17">
        <v>36</v>
      </c>
      <c r="N3592" s="17">
        <v>5</v>
      </c>
      <c r="O3592" s="18">
        <v>470.64</v>
      </c>
      <c r="P3592" s="18">
        <v>385.77</v>
      </c>
      <c r="Q3592" s="18">
        <v>376.51</v>
      </c>
      <c r="R3592" s="18">
        <v>308.61</v>
      </c>
      <c r="S3592" s="18">
        <v>320.04000000000002</v>
      </c>
      <c r="T3592" s="18">
        <v>262.33</v>
      </c>
      <c r="U3592" s="16"/>
      <c r="V3592" s="16"/>
      <c r="W3592" s="16" t="s">
        <v>40</v>
      </c>
      <c r="X3592" s="19">
        <v>0.65200000000000002</v>
      </c>
      <c r="Y3592" s="20">
        <v>8.1099999999999998E-4</v>
      </c>
      <c r="Z3592" s="21">
        <v>4601004178496</v>
      </c>
    </row>
    <row r="3593" spans="1:26" ht="12" customHeight="1" outlineLevel="3" x14ac:dyDescent="0.2">
      <c r="A3593" s="14" t="s">
        <v>6999</v>
      </c>
      <c r="B3593" s="26" t="s">
        <v>7000</v>
      </c>
      <c r="C3593" s="52"/>
      <c r="D3593" s="55">
        <f t="shared" ref="D3593:D3656" si="56">C3593*(O3593-O3593*$G$3)</f>
        <v>0</v>
      </c>
      <c r="E3593" s="63" t="str">
        <f>HYPERLINK("https://www.sds-group.ru/product/molotok-slesarnyy-s-derevyannoy-rukoyatkoy-600g-rexant-12-8106/", "Инфо")</f>
        <v>Инфо</v>
      </c>
      <c r="F3593" s="16" t="s">
        <v>39</v>
      </c>
      <c r="G3593" s="15"/>
      <c r="H3593" s="15"/>
      <c r="I3593" s="15"/>
      <c r="J3593" s="17">
        <v>265</v>
      </c>
      <c r="K3593" s="15" t="s">
        <v>6402</v>
      </c>
      <c r="L3593" s="17">
        <v>1</v>
      </c>
      <c r="M3593" s="17">
        <v>24</v>
      </c>
      <c r="N3593" s="17">
        <v>1</v>
      </c>
      <c r="O3593" s="18">
        <v>564.98</v>
      </c>
      <c r="P3593" s="18">
        <v>463.1</v>
      </c>
      <c r="Q3593" s="18">
        <v>451.98</v>
      </c>
      <c r="R3593" s="18">
        <v>370.48</v>
      </c>
      <c r="S3593" s="18">
        <v>384.19</v>
      </c>
      <c r="T3593" s="18">
        <v>314.91000000000003</v>
      </c>
      <c r="U3593" s="16"/>
      <c r="V3593" s="16"/>
      <c r="W3593" s="16" t="s">
        <v>40</v>
      </c>
      <c r="X3593" s="19">
        <v>0.74199999999999999</v>
      </c>
      <c r="Y3593" s="20">
        <v>8.5300000000000003E-4</v>
      </c>
      <c r="Z3593" s="21">
        <v>4601004178502</v>
      </c>
    </row>
    <row r="3594" spans="1:26" ht="12" customHeight="1" outlineLevel="3" x14ac:dyDescent="0.2">
      <c r="A3594" s="14" t="s">
        <v>7001</v>
      </c>
      <c r="B3594" s="26" t="s">
        <v>7002</v>
      </c>
      <c r="C3594" s="52"/>
      <c r="D3594" s="55">
        <f t="shared" si="56"/>
        <v>0</v>
      </c>
      <c r="E3594" s="63" t="str">
        <f>HYPERLINK("https://www.sds-group.ru/product/molotok-slesarnyy-s-derevyannoy-rukoyatkoy-800g-rexant-12-8108/", "Инфо")</f>
        <v>Инфо</v>
      </c>
      <c r="F3594" s="16" t="s">
        <v>39</v>
      </c>
      <c r="G3594" s="15"/>
      <c r="H3594" s="15"/>
      <c r="I3594" s="15"/>
      <c r="J3594" s="17">
        <v>141</v>
      </c>
      <c r="K3594" s="15" t="s">
        <v>4029</v>
      </c>
      <c r="L3594" s="17">
        <v>1</v>
      </c>
      <c r="M3594" s="17">
        <v>24</v>
      </c>
      <c r="N3594" s="17">
        <v>1</v>
      </c>
      <c r="O3594" s="18">
        <v>897.99</v>
      </c>
      <c r="P3594" s="18">
        <v>736.06</v>
      </c>
      <c r="Q3594" s="18">
        <v>718.39</v>
      </c>
      <c r="R3594" s="18">
        <v>588.84</v>
      </c>
      <c r="S3594" s="18">
        <v>610.63</v>
      </c>
      <c r="T3594" s="18">
        <v>500.52</v>
      </c>
      <c r="U3594" s="16"/>
      <c r="V3594" s="16"/>
      <c r="W3594" s="16" t="s">
        <v>40</v>
      </c>
      <c r="X3594" s="19">
        <v>0.97899999999999998</v>
      </c>
      <c r="Y3594" s="20">
        <v>3.3189999999999999E-3</v>
      </c>
      <c r="Z3594" s="21">
        <v>4601004178519</v>
      </c>
    </row>
    <row r="3595" spans="1:26" ht="12" customHeight="1" outlineLevel="3" x14ac:dyDescent="0.2">
      <c r="A3595" s="14" t="s">
        <v>7003</v>
      </c>
      <c r="B3595" s="26" t="s">
        <v>7004</v>
      </c>
      <c r="C3595" s="52"/>
      <c r="D3595" s="55">
        <f t="shared" si="56"/>
        <v>0</v>
      </c>
      <c r="E3595" s="63" t="str">
        <f>HYPERLINK("https://www.sds-group.ru/product/molotok-gvozdoder-450g-fiberglasovaya-rukoyatka-rexant-12-8121/", "Инфо")</f>
        <v>Инфо</v>
      </c>
      <c r="F3595" s="16" t="s">
        <v>39</v>
      </c>
      <c r="G3595" s="15"/>
      <c r="H3595" s="15"/>
      <c r="I3595" s="15"/>
      <c r="J3595" s="17">
        <v>686</v>
      </c>
      <c r="K3595" s="15" t="s">
        <v>6402</v>
      </c>
      <c r="L3595" s="17">
        <v>1</v>
      </c>
      <c r="M3595" s="17">
        <v>36</v>
      </c>
      <c r="N3595" s="17">
        <v>1</v>
      </c>
      <c r="O3595" s="18">
        <v>808.52</v>
      </c>
      <c r="P3595" s="18">
        <v>662.72</v>
      </c>
      <c r="Q3595" s="18">
        <v>646.82000000000005</v>
      </c>
      <c r="R3595" s="18">
        <v>530.17999999999995</v>
      </c>
      <c r="S3595" s="18">
        <v>549.79</v>
      </c>
      <c r="T3595" s="18">
        <v>450.65</v>
      </c>
      <c r="U3595" s="16"/>
      <c r="V3595" s="16"/>
      <c r="W3595" s="16" t="s">
        <v>40</v>
      </c>
      <c r="X3595" s="19">
        <v>0.11700000000000001</v>
      </c>
      <c r="Y3595" s="20">
        <v>1.4799999999999999E-4</v>
      </c>
      <c r="Z3595" s="21">
        <v>4601004178588</v>
      </c>
    </row>
    <row r="3596" spans="1:26" ht="12.95" customHeight="1" outlineLevel="2" x14ac:dyDescent="0.2">
      <c r="A3596" s="76" t="s">
        <v>7005</v>
      </c>
      <c r="B3596" s="76"/>
      <c r="C3596" s="77"/>
      <c r="D3596" s="58"/>
      <c r="E3596" s="68"/>
      <c r="F3596" s="13"/>
      <c r="G3596" s="13"/>
      <c r="H3596" s="13"/>
      <c r="I3596" s="13"/>
      <c r="J3596" s="13"/>
      <c r="K3596" s="13"/>
      <c r="L3596" s="13"/>
      <c r="M3596" s="13"/>
      <c r="N3596" s="13"/>
      <c r="O3596" s="13"/>
      <c r="P3596" s="13"/>
      <c r="Q3596" s="13"/>
      <c r="R3596" s="13"/>
      <c r="S3596" s="13"/>
      <c r="T3596" s="13"/>
      <c r="U3596" s="13"/>
      <c r="V3596" s="13"/>
      <c r="W3596" s="13"/>
      <c r="X3596" s="13"/>
      <c r="Y3596" s="13"/>
      <c r="Z3596" s="13"/>
    </row>
    <row r="3597" spans="1:26" ht="12" customHeight="1" outlineLevel="3" x14ac:dyDescent="0.2">
      <c r="A3597" s="14" t="s">
        <v>7006</v>
      </c>
      <c r="B3597" s="26" t="s">
        <v>7007</v>
      </c>
      <c r="C3597" s="52"/>
      <c r="D3597" s="55">
        <f t="shared" si="56"/>
        <v>0</v>
      </c>
      <c r="E3597" s="63" t="str">
        <f>HYPERLINK("https://www.sds-group.ru/product/lobzik-200mm-rexant-12-8201/", "Инфо")</f>
        <v>Инфо</v>
      </c>
      <c r="F3597" s="16" t="s">
        <v>39</v>
      </c>
      <c r="G3597" s="15"/>
      <c r="H3597" s="15"/>
      <c r="I3597" s="15"/>
      <c r="J3597" s="22">
        <v>4337</v>
      </c>
      <c r="K3597" s="15" t="s">
        <v>6744</v>
      </c>
      <c r="L3597" s="17">
        <v>1</v>
      </c>
      <c r="M3597" s="17">
        <v>120</v>
      </c>
      <c r="N3597" s="17">
        <v>1</v>
      </c>
      <c r="O3597" s="18">
        <v>355.75</v>
      </c>
      <c r="P3597" s="18">
        <v>291.60000000000002</v>
      </c>
      <c r="Q3597" s="18">
        <v>249.03</v>
      </c>
      <c r="R3597" s="18">
        <v>204.12</v>
      </c>
      <c r="S3597" s="18">
        <v>241.91</v>
      </c>
      <c r="T3597" s="18">
        <v>198.29</v>
      </c>
      <c r="U3597" s="16"/>
      <c r="V3597" s="16"/>
      <c r="W3597" s="16"/>
      <c r="X3597" s="19">
        <v>0.2</v>
      </c>
      <c r="Y3597" s="20">
        <v>4.0900000000000002E-4</v>
      </c>
      <c r="Z3597" s="21">
        <v>4601004178632</v>
      </c>
    </row>
    <row r="3598" spans="1:26" ht="12" customHeight="1" outlineLevel="3" x14ac:dyDescent="0.2">
      <c r="A3598" s="14" t="s">
        <v>7008</v>
      </c>
      <c r="B3598" s="26" t="s">
        <v>7009</v>
      </c>
      <c r="C3598" s="52"/>
      <c r="D3598" s="55">
        <f t="shared" si="56"/>
        <v>0</v>
      </c>
      <c r="E3598" s="63" t="str">
        <f>HYPERLINK("https://www.sds-group.ru/product/nozhovka-po-gipsokartonu-180mm-dvuhkomponentnaya-rukoyatka-rexant-12-8221/", "Инфо")</f>
        <v>Инфо</v>
      </c>
      <c r="F3598" s="16" t="s">
        <v>39</v>
      </c>
      <c r="G3598" s="15"/>
      <c r="H3598" s="15"/>
      <c r="I3598" s="15"/>
      <c r="J3598" s="16" t="s">
        <v>100</v>
      </c>
      <c r="K3598" s="15" t="s">
        <v>1590</v>
      </c>
      <c r="L3598" s="17">
        <v>1</v>
      </c>
      <c r="M3598" s="17">
        <v>60</v>
      </c>
      <c r="N3598" s="17">
        <v>1</v>
      </c>
      <c r="O3598" s="18">
        <v>474.33</v>
      </c>
      <c r="P3598" s="18">
        <v>388.8</v>
      </c>
      <c r="Q3598" s="18">
        <v>332.03</v>
      </c>
      <c r="R3598" s="18">
        <v>272.16000000000003</v>
      </c>
      <c r="S3598" s="18">
        <v>322.54000000000002</v>
      </c>
      <c r="T3598" s="18">
        <v>264.38</v>
      </c>
      <c r="U3598" s="16"/>
      <c r="V3598" s="16"/>
      <c r="W3598" s="16"/>
      <c r="X3598" s="19">
        <v>0.104</v>
      </c>
      <c r="Y3598" s="20">
        <v>2.5799999999999998E-4</v>
      </c>
      <c r="Z3598" s="21">
        <v>4601004178687</v>
      </c>
    </row>
    <row r="3599" spans="1:26" ht="12" customHeight="1" outlineLevel="3" x14ac:dyDescent="0.2">
      <c r="A3599" s="14" t="s">
        <v>7010</v>
      </c>
      <c r="B3599" s="26" t="s">
        <v>7011</v>
      </c>
      <c r="C3599" s="52"/>
      <c r="D3599" s="55">
        <f t="shared" si="56"/>
        <v>0</v>
      </c>
      <c r="E3599" s="63" t="str">
        <f>HYPERLINK("https://www.sds-group.ru/product/nozhovka-po-derevu-zubets-350mm-7-8-zubev-na-dyuym-kalenyy-zub-2d-dvuhkomponentnaya-rukoyatk-12-8212/", "Инфо")</f>
        <v>Инфо</v>
      </c>
      <c r="F3599" s="16" t="s">
        <v>39</v>
      </c>
      <c r="G3599" s="15"/>
      <c r="H3599" s="15"/>
      <c r="I3599" s="15"/>
      <c r="J3599" s="17">
        <v>781</v>
      </c>
      <c r="K3599" s="15" t="s">
        <v>1055</v>
      </c>
      <c r="L3599" s="17">
        <v>1</v>
      </c>
      <c r="M3599" s="17">
        <v>48</v>
      </c>
      <c r="N3599" s="17">
        <v>1</v>
      </c>
      <c r="O3599" s="18">
        <v>560.57000000000005</v>
      </c>
      <c r="P3599" s="18">
        <v>459.48</v>
      </c>
      <c r="Q3599" s="18">
        <v>392.4</v>
      </c>
      <c r="R3599" s="18">
        <v>321.64</v>
      </c>
      <c r="S3599" s="18">
        <v>381.19</v>
      </c>
      <c r="T3599" s="18">
        <v>312.45</v>
      </c>
      <c r="U3599" s="16"/>
      <c r="V3599" s="16"/>
      <c r="W3599" s="16"/>
      <c r="X3599" s="19">
        <v>0.35699999999999998</v>
      </c>
      <c r="Y3599" s="20">
        <v>1.276E-3</v>
      </c>
      <c r="Z3599" s="21">
        <v>4601004178649</v>
      </c>
    </row>
    <row r="3600" spans="1:26" ht="12" customHeight="1" outlineLevel="3" x14ac:dyDescent="0.2">
      <c r="A3600" s="14" t="s">
        <v>7012</v>
      </c>
      <c r="B3600" s="26" t="s">
        <v>7013</v>
      </c>
      <c r="C3600" s="52"/>
      <c r="D3600" s="55">
        <f t="shared" si="56"/>
        <v>0</v>
      </c>
      <c r="E3600" s="63" t="str">
        <f>HYPERLINK("https://www.sds-group.ru/product/nozhovka-po-derevu-zubets-400mm-7-8-zubev-na-dyuym-kalenyy-zub-2d-dvuhkomponentnaya-rukoyatk-12-8213/", "Инфо")</f>
        <v>Инфо</v>
      </c>
      <c r="F3600" s="16" t="s">
        <v>39</v>
      </c>
      <c r="G3600" s="15"/>
      <c r="H3600" s="15"/>
      <c r="I3600" s="15"/>
      <c r="J3600" s="17">
        <v>727</v>
      </c>
      <c r="K3600" s="15" t="s">
        <v>6744</v>
      </c>
      <c r="L3600" s="17">
        <v>1</v>
      </c>
      <c r="M3600" s="17">
        <v>48</v>
      </c>
      <c r="N3600" s="17">
        <v>1</v>
      </c>
      <c r="O3600" s="18">
        <v>517.45000000000005</v>
      </c>
      <c r="P3600" s="18">
        <v>424.14</v>
      </c>
      <c r="Q3600" s="18">
        <v>362.22</v>
      </c>
      <c r="R3600" s="18">
        <v>296.89999999999998</v>
      </c>
      <c r="S3600" s="18">
        <v>351.87</v>
      </c>
      <c r="T3600" s="18">
        <v>288.42</v>
      </c>
      <c r="U3600" s="16"/>
      <c r="V3600" s="16"/>
      <c r="W3600" s="16"/>
      <c r="X3600" s="19">
        <v>0.38800000000000001</v>
      </c>
      <c r="Y3600" s="20">
        <v>1.351E-3</v>
      </c>
      <c r="Z3600" s="21">
        <v>4601004178656</v>
      </c>
    </row>
    <row r="3601" spans="1:26" ht="12" customHeight="1" outlineLevel="3" x14ac:dyDescent="0.2">
      <c r="A3601" s="14" t="s">
        <v>7014</v>
      </c>
      <c r="B3601" s="26" t="s">
        <v>7015</v>
      </c>
      <c r="C3601" s="52"/>
      <c r="D3601" s="55">
        <f t="shared" si="56"/>
        <v>0</v>
      </c>
      <c r="E3601" s="63" t="str">
        <f>HYPERLINK("https://www.sds-group.ru/product/nozhovka-po-derevu-zubets-450mm-7-8-zubev-na-dyuym-kalenyy-zub-2d-dvuhkomponentnaya-rukoyatk-12-8214/", "Инфо")</f>
        <v>Инфо</v>
      </c>
      <c r="F3601" s="16" t="s">
        <v>39</v>
      </c>
      <c r="G3601" s="15"/>
      <c r="H3601" s="15"/>
      <c r="I3601" s="15"/>
      <c r="J3601" s="16" t="s">
        <v>100</v>
      </c>
      <c r="K3601" s="15" t="s">
        <v>1055</v>
      </c>
      <c r="L3601" s="17">
        <v>1</v>
      </c>
      <c r="M3601" s="17">
        <v>48</v>
      </c>
      <c r="N3601" s="17">
        <v>1</v>
      </c>
      <c r="O3601" s="18">
        <v>549.79</v>
      </c>
      <c r="P3601" s="18">
        <v>450.65</v>
      </c>
      <c r="Q3601" s="18">
        <v>384.85</v>
      </c>
      <c r="R3601" s="18">
        <v>315.45</v>
      </c>
      <c r="S3601" s="18">
        <v>373.86</v>
      </c>
      <c r="T3601" s="18">
        <v>306.44</v>
      </c>
      <c r="U3601" s="16"/>
      <c r="V3601" s="16"/>
      <c r="W3601" s="16"/>
      <c r="X3601" s="19">
        <v>0.40899999999999997</v>
      </c>
      <c r="Y3601" s="20">
        <v>1.526E-3</v>
      </c>
      <c r="Z3601" s="21">
        <v>4601004178663</v>
      </c>
    </row>
    <row r="3602" spans="1:26" ht="12" customHeight="1" outlineLevel="3" x14ac:dyDescent="0.2">
      <c r="A3602" s="14" t="s">
        <v>7016</v>
      </c>
      <c r="B3602" s="26" t="s">
        <v>7017</v>
      </c>
      <c r="C3602" s="52"/>
      <c r="D3602" s="55">
        <f t="shared" si="56"/>
        <v>0</v>
      </c>
      <c r="E3602" s="63" t="str">
        <f>HYPERLINK("https://www.sds-group.ru/product/nozhovka-po-derevu-zubets-500mm-7-8-zubev-na-dyuym-kalenyy-zub-2d-dvuhkomponentnaya-rukoyatk-12-8215/", "Инфо")</f>
        <v>Инфо</v>
      </c>
      <c r="F3602" s="16" t="s">
        <v>39</v>
      </c>
      <c r="G3602" s="15"/>
      <c r="H3602" s="15"/>
      <c r="I3602" s="15"/>
      <c r="J3602" s="16" t="s">
        <v>100</v>
      </c>
      <c r="K3602" s="15" t="s">
        <v>1590</v>
      </c>
      <c r="L3602" s="17">
        <v>1</v>
      </c>
      <c r="M3602" s="17">
        <v>48</v>
      </c>
      <c r="N3602" s="17">
        <v>1</v>
      </c>
      <c r="O3602" s="18">
        <v>582.13</v>
      </c>
      <c r="P3602" s="18">
        <v>477.16</v>
      </c>
      <c r="Q3602" s="18">
        <v>407.49</v>
      </c>
      <c r="R3602" s="18">
        <v>334.01</v>
      </c>
      <c r="S3602" s="18">
        <v>395.85</v>
      </c>
      <c r="T3602" s="18">
        <v>324.47000000000003</v>
      </c>
      <c r="U3602" s="16"/>
      <c r="V3602" s="16"/>
      <c r="W3602" s="16"/>
      <c r="X3602" s="19">
        <v>0.44800000000000001</v>
      </c>
      <c r="Y3602" s="20">
        <v>1.7060000000000001E-3</v>
      </c>
      <c r="Z3602" s="21">
        <v>4601004178670</v>
      </c>
    </row>
    <row r="3603" spans="1:26" ht="12" customHeight="1" outlineLevel="3" x14ac:dyDescent="0.2">
      <c r="A3603" s="14" t="s">
        <v>7018</v>
      </c>
      <c r="B3603" s="26" t="s">
        <v>7019</v>
      </c>
      <c r="C3603" s="52"/>
      <c r="D3603" s="55">
        <f t="shared" si="56"/>
        <v>0</v>
      </c>
      <c r="E3603" s="63" t="str">
        <f>HYPERLINK("https://www.sds-group.ru/product/nozhovka-po-penobetonu-500mm-zaschitnoe-pokrytie-tverdosplavnye-napayki-na-zubya-dvuhkompone-12-8225/", "Инфо")</f>
        <v>Инфо</v>
      </c>
      <c r="F3603" s="16" t="s">
        <v>39</v>
      </c>
      <c r="G3603" s="15"/>
      <c r="H3603" s="15"/>
      <c r="I3603" s="15"/>
      <c r="J3603" s="17">
        <v>570</v>
      </c>
      <c r="K3603" s="15"/>
      <c r="L3603" s="17">
        <v>1</v>
      </c>
      <c r="M3603" s="17">
        <v>24</v>
      </c>
      <c r="N3603" s="17">
        <v>1</v>
      </c>
      <c r="O3603" s="18">
        <v>1552.35</v>
      </c>
      <c r="P3603" s="18">
        <v>1272.42</v>
      </c>
      <c r="Q3603" s="18">
        <v>1086.6500000000001</v>
      </c>
      <c r="R3603" s="18">
        <v>890.7</v>
      </c>
      <c r="S3603" s="18">
        <v>1055.5999999999999</v>
      </c>
      <c r="T3603" s="18">
        <v>865.25</v>
      </c>
      <c r="U3603" s="16"/>
      <c r="V3603" s="16"/>
      <c r="W3603" s="16"/>
      <c r="X3603" s="19">
        <v>0.70699999999999996</v>
      </c>
      <c r="Y3603" s="20">
        <v>2.0929999999999998E-3</v>
      </c>
      <c r="Z3603" s="21">
        <v>4601004178694</v>
      </c>
    </row>
    <row r="3604" spans="1:26" ht="12" customHeight="1" outlineLevel="3" x14ac:dyDescent="0.2">
      <c r="A3604" s="14" t="s">
        <v>7020</v>
      </c>
      <c r="B3604" s="26" t="s">
        <v>7021</v>
      </c>
      <c r="C3604" s="52"/>
      <c r="D3604" s="55">
        <f t="shared" si="56"/>
        <v>0</v>
      </c>
      <c r="E3604" s="63" t="str">
        <f>HYPERLINK("https://www.sds-group.ru/product/nozhovka-po-penobetonu-700mm-zaschitnoe-pokrytie-tverdosplavnye-napayki-na-zubya-dvuhkompone-12-8227/", "Инфо")</f>
        <v>Инфо</v>
      </c>
      <c r="F3604" s="16" t="s">
        <v>39</v>
      </c>
      <c r="G3604" s="15"/>
      <c r="H3604" s="15"/>
      <c r="I3604" s="15"/>
      <c r="J3604" s="16" t="s">
        <v>100</v>
      </c>
      <c r="K3604" s="15"/>
      <c r="L3604" s="17">
        <v>1</v>
      </c>
      <c r="M3604" s="17">
        <v>24</v>
      </c>
      <c r="N3604" s="17">
        <v>1</v>
      </c>
      <c r="O3604" s="18">
        <v>1649.37</v>
      </c>
      <c r="P3604" s="18">
        <v>1351.94</v>
      </c>
      <c r="Q3604" s="18">
        <v>1154.56</v>
      </c>
      <c r="R3604" s="18">
        <v>946.36</v>
      </c>
      <c r="S3604" s="18">
        <v>1121.57</v>
      </c>
      <c r="T3604" s="18">
        <v>919.32</v>
      </c>
      <c r="U3604" s="16"/>
      <c r="V3604" s="16"/>
      <c r="W3604" s="16"/>
      <c r="X3604" s="19">
        <v>0.95299999999999996</v>
      </c>
      <c r="Y3604" s="20">
        <v>2.745E-3</v>
      </c>
      <c r="Z3604" s="21">
        <v>4601004178700</v>
      </c>
    </row>
    <row r="3605" spans="1:26" ht="12" customHeight="1" outlineLevel="3" x14ac:dyDescent="0.2">
      <c r="A3605" s="14" t="s">
        <v>7022</v>
      </c>
      <c r="B3605" s="26" t="s">
        <v>7023</v>
      </c>
      <c r="C3605" s="52"/>
      <c r="D3605" s="55">
        <f t="shared" si="56"/>
        <v>0</v>
      </c>
      <c r="E3605" s="63" t="str">
        <f>HYPERLINK("https://www.sds-group.ru/product/pila-dlya-fanery-s-zapilom-330mm-dvuhkomponentnaya-rukoyatka-rexant-12-8229/", "Инфо")</f>
        <v>Инфо</v>
      </c>
      <c r="F3605" s="16" t="s">
        <v>39</v>
      </c>
      <c r="G3605" s="15"/>
      <c r="H3605" s="15"/>
      <c r="I3605" s="15"/>
      <c r="J3605" s="16" t="s">
        <v>100</v>
      </c>
      <c r="K3605" s="15" t="s">
        <v>1055</v>
      </c>
      <c r="L3605" s="17">
        <v>1</v>
      </c>
      <c r="M3605" s="17">
        <v>48</v>
      </c>
      <c r="N3605" s="17">
        <v>1</v>
      </c>
      <c r="O3605" s="18">
        <v>711.49</v>
      </c>
      <c r="P3605" s="18">
        <v>583.19000000000005</v>
      </c>
      <c r="Q3605" s="18">
        <v>498.04</v>
      </c>
      <c r="R3605" s="18">
        <v>408.23</v>
      </c>
      <c r="S3605" s="18">
        <v>483.81</v>
      </c>
      <c r="T3605" s="18">
        <v>396.57</v>
      </c>
      <c r="U3605" s="16"/>
      <c r="V3605" s="16"/>
      <c r="W3605" s="16"/>
      <c r="X3605" s="19">
        <v>0.34599999999999997</v>
      </c>
      <c r="Y3605" s="20">
        <v>1.2110000000000001E-3</v>
      </c>
      <c r="Z3605" s="21">
        <v>4601004178717</v>
      </c>
    </row>
    <row r="3606" spans="1:26" ht="12.95" customHeight="1" outlineLevel="2" x14ac:dyDescent="0.2">
      <c r="A3606" s="76" t="s">
        <v>7024</v>
      </c>
      <c r="B3606" s="76"/>
      <c r="C3606" s="77"/>
      <c r="D3606" s="58"/>
      <c r="E3606" s="68"/>
      <c r="F3606" s="13"/>
      <c r="G3606" s="13"/>
      <c r="H3606" s="13"/>
      <c r="I3606" s="13"/>
      <c r="J3606" s="13"/>
      <c r="K3606" s="13"/>
      <c r="L3606" s="13"/>
      <c r="M3606" s="13"/>
      <c r="N3606" s="13"/>
      <c r="O3606" s="13"/>
      <c r="P3606" s="13"/>
      <c r="Q3606" s="13"/>
      <c r="R3606" s="13"/>
      <c r="S3606" s="13"/>
      <c r="T3606" s="13"/>
      <c r="U3606" s="13"/>
      <c r="V3606" s="13"/>
      <c r="W3606" s="13"/>
      <c r="X3606" s="13"/>
      <c r="Y3606" s="13"/>
      <c r="Z3606" s="13"/>
    </row>
    <row r="3607" spans="1:26" ht="12" customHeight="1" outlineLevel="3" x14ac:dyDescent="0.2">
      <c r="A3607" s="32" t="s">
        <v>7025</v>
      </c>
      <c r="B3607" s="74" t="s">
        <v>7026</v>
      </c>
      <c r="C3607" s="50"/>
      <c r="D3607" s="53">
        <f t="shared" si="56"/>
        <v>0</v>
      </c>
      <c r="E3607" s="60" t="str">
        <f>HYPERLINK("https://www.sds-group.ru/product/nabor-nadfiley-almaznih-140h70h3mm-10-sht-kranz-30385/", "Инфо")</f>
        <v>Инфо</v>
      </c>
      <c r="F3607" s="34" t="s">
        <v>4698</v>
      </c>
      <c r="G3607" s="33"/>
      <c r="H3607" s="33" t="s">
        <v>40</v>
      </c>
      <c r="I3607" s="33"/>
      <c r="J3607" s="35">
        <v>1</v>
      </c>
      <c r="K3607" s="33"/>
      <c r="L3607" s="35">
        <v>1</v>
      </c>
      <c r="M3607" s="35">
        <v>120</v>
      </c>
      <c r="N3607" s="35">
        <v>1</v>
      </c>
      <c r="O3607" s="36">
        <v>1099.03</v>
      </c>
      <c r="P3607" s="36">
        <v>900.84</v>
      </c>
      <c r="Q3607" s="36">
        <v>769.32</v>
      </c>
      <c r="R3607" s="36">
        <v>630.59</v>
      </c>
      <c r="S3607" s="36">
        <v>747.34</v>
      </c>
      <c r="T3607" s="36">
        <v>612.57000000000005</v>
      </c>
      <c r="U3607" s="34"/>
      <c r="V3607" s="34"/>
      <c r="W3607" s="34"/>
      <c r="X3607" s="37">
        <v>9.2999999999999999E-2</v>
      </c>
      <c r="Y3607" s="38">
        <v>9.1000000000000003E-5</v>
      </c>
      <c r="Z3607" s="21">
        <v>4601004282018</v>
      </c>
    </row>
    <row r="3608" spans="1:26" ht="12" customHeight="1" outlineLevel="3" x14ac:dyDescent="0.2">
      <c r="A3608" s="32" t="s">
        <v>7027</v>
      </c>
      <c r="B3608" s="74" t="s">
        <v>7028</v>
      </c>
      <c r="C3608" s="50"/>
      <c r="D3608" s="53">
        <f t="shared" si="56"/>
        <v>0</v>
      </c>
      <c r="E3608" s="60" t="str">
        <f>HYPERLINK("https://www.sds-group.ru/product/nabor-nadfiley-almaznih-kranz-140h50h3-mm-5-sht-27845/", "Инфо")</f>
        <v>Инфо</v>
      </c>
      <c r="F3608" s="34" t="s">
        <v>4698</v>
      </c>
      <c r="G3608" s="33"/>
      <c r="H3608" s="33" t="s">
        <v>40</v>
      </c>
      <c r="I3608" s="33"/>
      <c r="J3608" s="34" t="s">
        <v>100</v>
      </c>
      <c r="K3608" s="33"/>
      <c r="L3608" s="35">
        <v>1</v>
      </c>
      <c r="M3608" s="35">
        <v>240</v>
      </c>
      <c r="N3608" s="35">
        <v>1</v>
      </c>
      <c r="O3608" s="36">
        <v>437.64</v>
      </c>
      <c r="P3608" s="36">
        <v>358.72</v>
      </c>
      <c r="Q3608" s="36">
        <v>306.35000000000002</v>
      </c>
      <c r="R3608" s="36">
        <v>251.11</v>
      </c>
      <c r="S3608" s="36">
        <v>297.60000000000002</v>
      </c>
      <c r="T3608" s="36">
        <v>243.93</v>
      </c>
      <c r="U3608" s="34"/>
      <c r="V3608" s="34"/>
      <c r="W3608" s="34"/>
      <c r="X3608" s="37">
        <v>4.9000000000000002E-2</v>
      </c>
      <c r="Y3608" s="38">
        <v>5.8E-5</v>
      </c>
      <c r="Z3608" s="21">
        <v>4601004233560</v>
      </c>
    </row>
    <row r="3609" spans="1:26" ht="12.95" customHeight="1" outlineLevel="1" x14ac:dyDescent="0.2">
      <c r="A3609" s="78" t="s">
        <v>7029</v>
      </c>
      <c r="B3609" s="78"/>
      <c r="C3609" s="79"/>
      <c r="D3609" s="57"/>
      <c r="E3609" s="67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</row>
    <row r="3610" spans="1:26" ht="12.95" customHeight="1" outlineLevel="2" x14ac:dyDescent="0.2">
      <c r="A3610" s="76" t="s">
        <v>7030</v>
      </c>
      <c r="B3610" s="76"/>
      <c r="C3610" s="77"/>
      <c r="D3610" s="58"/>
      <c r="E3610" s="68"/>
      <c r="F3610" s="13"/>
      <c r="G3610" s="13"/>
      <c r="H3610" s="13"/>
      <c r="I3610" s="13"/>
      <c r="J3610" s="13"/>
      <c r="K3610" s="13"/>
      <c r="L3610" s="13"/>
      <c r="M3610" s="13"/>
      <c r="N3610" s="13"/>
      <c r="O3610" s="13"/>
      <c r="P3610" s="13"/>
      <c r="Q3610" s="13"/>
      <c r="R3610" s="13"/>
      <c r="S3610" s="13"/>
      <c r="T3610" s="13"/>
      <c r="U3610" s="13"/>
      <c r="V3610" s="13"/>
      <c r="W3610" s="13"/>
      <c r="X3610" s="13"/>
      <c r="Y3610" s="13"/>
      <c r="Z3610" s="13"/>
    </row>
    <row r="3611" spans="1:26" ht="12" customHeight="1" outlineLevel="3" x14ac:dyDescent="0.2">
      <c r="A3611" s="14" t="s">
        <v>7031</v>
      </c>
      <c r="B3611" s="26" t="s">
        <v>7032</v>
      </c>
      <c r="C3611" s="52"/>
      <c r="D3611" s="55">
        <f t="shared" si="56"/>
        <v>0</v>
      </c>
      <c r="E3611" s="63" t="str">
        <f>HYPERLINK("https://www.sds-group.ru/product/krimper-dlya-obzhima-izolirovannyh-avtoklemm-0-5-6-0mm-proconnect-12-3014-4/", "Инфо")</f>
        <v>Инфо</v>
      </c>
      <c r="F3611" s="16" t="s">
        <v>39</v>
      </c>
      <c r="G3611" s="15"/>
      <c r="H3611" s="15"/>
      <c r="I3611" s="15"/>
      <c r="J3611" s="17">
        <v>552</v>
      </c>
      <c r="K3611" s="15" t="s">
        <v>6741</v>
      </c>
      <c r="L3611" s="17">
        <v>1</v>
      </c>
      <c r="M3611" s="17">
        <v>50</v>
      </c>
      <c r="N3611" s="17">
        <v>1</v>
      </c>
      <c r="O3611" s="18">
        <v>1401.43</v>
      </c>
      <c r="P3611" s="18">
        <v>1148.71</v>
      </c>
      <c r="Q3611" s="18">
        <v>981</v>
      </c>
      <c r="R3611" s="18">
        <v>804.1</v>
      </c>
      <c r="S3611" s="18">
        <v>952.97</v>
      </c>
      <c r="T3611" s="18">
        <v>781.12</v>
      </c>
      <c r="U3611" s="16"/>
      <c r="V3611" s="16"/>
      <c r="W3611" s="16"/>
      <c r="X3611" s="19">
        <v>0.55900000000000005</v>
      </c>
      <c r="Y3611" s="20">
        <v>1.2509999999999999E-3</v>
      </c>
      <c r="Z3611" s="21">
        <v>4660008014186</v>
      </c>
    </row>
    <row r="3612" spans="1:26" ht="12" customHeight="1" outlineLevel="3" x14ac:dyDescent="0.2">
      <c r="A3612" s="14" t="s">
        <v>7033</v>
      </c>
      <c r="B3612" s="26" t="s">
        <v>7034</v>
      </c>
      <c r="C3612" s="52"/>
      <c r="D3612" s="55">
        <f t="shared" si="56"/>
        <v>0</v>
      </c>
      <c r="E3612" s="63" t="str">
        <f>HYPERLINK("https://www.sds-group.ru/product/krimper-dlya-obzhima-izolirovannyh-avtoklemm-0-5-6-0mm-rexant-12-3014/", "Инфо")</f>
        <v>Инфо</v>
      </c>
      <c r="F3612" s="16" t="s">
        <v>39</v>
      </c>
      <c r="G3612" s="15"/>
      <c r="H3612" s="15"/>
      <c r="I3612" s="15"/>
      <c r="J3612" s="17">
        <v>733</v>
      </c>
      <c r="K3612" s="15"/>
      <c r="L3612" s="17">
        <v>1</v>
      </c>
      <c r="M3612" s="17">
        <v>50</v>
      </c>
      <c r="N3612" s="17">
        <v>1</v>
      </c>
      <c r="O3612" s="18">
        <v>1617.03</v>
      </c>
      <c r="P3612" s="18">
        <v>1325.43</v>
      </c>
      <c r="Q3612" s="18">
        <v>1245.1099999999999</v>
      </c>
      <c r="R3612" s="18">
        <v>1020.58</v>
      </c>
      <c r="S3612" s="18">
        <v>1099.58</v>
      </c>
      <c r="T3612" s="18">
        <v>901.3</v>
      </c>
      <c r="U3612" s="16"/>
      <c r="V3612" s="16"/>
      <c r="W3612" s="16" t="s">
        <v>40</v>
      </c>
      <c r="X3612" s="19">
        <v>0.53500000000000003</v>
      </c>
      <c r="Y3612" s="20">
        <v>1.32E-3</v>
      </c>
      <c r="Z3612" s="21">
        <v>4660008017316</v>
      </c>
    </row>
    <row r="3613" spans="1:26" ht="12" customHeight="1" outlineLevel="3" x14ac:dyDescent="0.2">
      <c r="A3613" s="14" t="s">
        <v>7035</v>
      </c>
      <c r="B3613" s="26" t="s">
        <v>7036</v>
      </c>
      <c r="C3613" s="52"/>
      <c r="D3613" s="55">
        <f t="shared" si="56"/>
        <v>0</v>
      </c>
      <c r="E3613" s="63" t="str">
        <f>HYPERLINK("https://www.sds-group.ru/product/krimper-dlya-obzhima-izolirovannyh-i-neizolirovannyh-gilz-1-5-10-0mm-proconnect-12-3016-4/", "Инфо")</f>
        <v>Инфо</v>
      </c>
      <c r="F3613" s="16" t="s">
        <v>39</v>
      </c>
      <c r="G3613" s="15"/>
      <c r="H3613" s="15"/>
      <c r="I3613" s="15"/>
      <c r="J3613" s="17">
        <v>662</v>
      </c>
      <c r="K3613" s="15" t="s">
        <v>6744</v>
      </c>
      <c r="L3613" s="17">
        <v>1</v>
      </c>
      <c r="M3613" s="17">
        <v>50</v>
      </c>
      <c r="N3613" s="17">
        <v>1</v>
      </c>
      <c r="O3613" s="18">
        <v>1401.43</v>
      </c>
      <c r="P3613" s="18">
        <v>1148.71</v>
      </c>
      <c r="Q3613" s="18">
        <v>981</v>
      </c>
      <c r="R3613" s="18">
        <v>804.1</v>
      </c>
      <c r="S3613" s="18">
        <v>952.97</v>
      </c>
      <c r="T3613" s="18">
        <v>781.12</v>
      </c>
      <c r="U3613" s="16"/>
      <c r="V3613" s="16"/>
      <c r="W3613" s="16"/>
      <c r="X3613" s="19">
        <v>0.55500000000000005</v>
      </c>
      <c r="Y3613" s="20">
        <v>1.3320000000000001E-3</v>
      </c>
      <c r="Z3613" s="21">
        <v>4660008014209</v>
      </c>
    </row>
    <row r="3614" spans="1:26" ht="12" customHeight="1" outlineLevel="3" x14ac:dyDescent="0.2">
      <c r="A3614" s="14" t="s">
        <v>7037</v>
      </c>
      <c r="B3614" s="26" t="s">
        <v>7038</v>
      </c>
      <c r="C3614" s="52"/>
      <c r="D3614" s="55">
        <f t="shared" si="56"/>
        <v>0</v>
      </c>
      <c r="E3614" s="63" t="str">
        <f>HYPERLINK("https://www.sds-group.ru/product/krimper-dlya-obzhima-izolirovannyh-i-neizolirovannyh-gilz-1-5-10-0mm-rexant-12-3016/", "Инфо")</f>
        <v>Инфо</v>
      </c>
      <c r="F3614" s="16" t="s">
        <v>39</v>
      </c>
      <c r="G3614" s="15"/>
      <c r="H3614" s="15"/>
      <c r="I3614" s="15"/>
      <c r="J3614" s="17">
        <v>375</v>
      </c>
      <c r="K3614" s="15" t="s">
        <v>6741</v>
      </c>
      <c r="L3614" s="17">
        <v>1</v>
      </c>
      <c r="M3614" s="17">
        <v>50</v>
      </c>
      <c r="N3614" s="17">
        <v>1</v>
      </c>
      <c r="O3614" s="18">
        <v>1617.03</v>
      </c>
      <c r="P3614" s="18">
        <v>1325.43</v>
      </c>
      <c r="Q3614" s="18">
        <v>1245.1099999999999</v>
      </c>
      <c r="R3614" s="18">
        <v>1020.58</v>
      </c>
      <c r="S3614" s="18">
        <v>1099.58</v>
      </c>
      <c r="T3614" s="18">
        <v>901.3</v>
      </c>
      <c r="U3614" s="16"/>
      <c r="V3614" s="16"/>
      <c r="W3614" s="16" t="s">
        <v>40</v>
      </c>
      <c r="X3614" s="19">
        <v>0.56999999999999995</v>
      </c>
      <c r="Y3614" s="20">
        <v>1.333E-3</v>
      </c>
      <c r="Z3614" s="21">
        <v>4660008014193</v>
      </c>
    </row>
    <row r="3615" spans="1:26" ht="12" customHeight="1" outlineLevel="3" x14ac:dyDescent="0.2">
      <c r="A3615" s="14" t="s">
        <v>7039</v>
      </c>
      <c r="B3615" s="26" t="s">
        <v>7040</v>
      </c>
      <c r="C3615" s="52"/>
      <c r="D3615" s="55">
        <f t="shared" si="56"/>
        <v>0</v>
      </c>
      <c r="E3615" s="63" t="str">
        <f>HYPERLINK("https://www.sds-group.ru/product/krimper-dlya-obzhima-izolirovannyh-klemm-0-5-6-0mm-rexant-12-3021/", "Инфо")</f>
        <v>Инфо</v>
      </c>
      <c r="F3615" s="16" t="s">
        <v>39</v>
      </c>
      <c r="G3615" s="15"/>
      <c r="H3615" s="15"/>
      <c r="I3615" s="15"/>
      <c r="J3615" s="17">
        <v>197</v>
      </c>
      <c r="K3615" s="15"/>
      <c r="L3615" s="17">
        <v>1</v>
      </c>
      <c r="M3615" s="17">
        <v>50</v>
      </c>
      <c r="N3615" s="17">
        <v>1</v>
      </c>
      <c r="O3615" s="18">
        <v>1617.03</v>
      </c>
      <c r="P3615" s="18">
        <v>1325.43</v>
      </c>
      <c r="Q3615" s="18">
        <v>1245.1099999999999</v>
      </c>
      <c r="R3615" s="18">
        <v>1020.58</v>
      </c>
      <c r="S3615" s="18">
        <v>1099.58</v>
      </c>
      <c r="T3615" s="18">
        <v>901.3</v>
      </c>
      <c r="U3615" s="16"/>
      <c r="V3615" s="16"/>
      <c r="W3615" s="16" t="s">
        <v>40</v>
      </c>
      <c r="X3615" s="19">
        <v>0.55000000000000004</v>
      </c>
      <c r="Y3615" s="20">
        <v>1.32E-3</v>
      </c>
      <c r="Z3615" s="21">
        <v>4660008014087</v>
      </c>
    </row>
    <row r="3616" spans="1:26" ht="12.95" customHeight="1" outlineLevel="2" x14ac:dyDescent="0.2">
      <c r="A3616" s="76" t="s">
        <v>7041</v>
      </c>
      <c r="B3616" s="76"/>
      <c r="C3616" s="77"/>
      <c r="D3616" s="58"/>
      <c r="E3616" s="68"/>
      <c r="F3616" s="13"/>
      <c r="G3616" s="13"/>
      <c r="H3616" s="13"/>
      <c r="I3616" s="13"/>
      <c r="J3616" s="13"/>
      <c r="K3616" s="13"/>
      <c r="L3616" s="13"/>
      <c r="M3616" s="13"/>
      <c r="N3616" s="13"/>
      <c r="O3616" s="13"/>
      <c r="P3616" s="13"/>
      <c r="Q3616" s="13"/>
      <c r="R3616" s="13"/>
      <c r="S3616" s="13"/>
      <c r="T3616" s="13"/>
      <c r="U3616" s="13"/>
      <c r="V3616" s="13"/>
      <c r="W3616" s="13"/>
      <c r="X3616" s="13"/>
      <c r="Y3616" s="13"/>
      <c r="Z3616" s="13"/>
    </row>
    <row r="3617" spans="1:26" ht="12" customHeight="1" outlineLevel="3" x14ac:dyDescent="0.2">
      <c r="A3617" s="14" t="s">
        <v>7042</v>
      </c>
      <c r="B3617" s="26" t="s">
        <v>7043</v>
      </c>
      <c r="C3617" s="52"/>
      <c r="D3617" s="55">
        <f t="shared" si="56"/>
        <v>0</v>
      </c>
      <c r="E3617" s="63" t="str">
        <f>HYPERLINK("https://www.sds-group.ru/product/krimper-dlya-obzhima-avtoklemm-0-10-6-0mm-proconnect-12-3032-4/", "Инфо")</f>
        <v>Инфо</v>
      </c>
      <c r="F3617" s="16" t="s">
        <v>39</v>
      </c>
      <c r="G3617" s="15"/>
      <c r="H3617" s="15"/>
      <c r="I3617" s="15"/>
      <c r="J3617" s="22">
        <v>1447</v>
      </c>
      <c r="K3617" s="15" t="s">
        <v>1094</v>
      </c>
      <c r="L3617" s="17">
        <v>1</v>
      </c>
      <c r="M3617" s="17">
        <v>50</v>
      </c>
      <c r="N3617" s="17">
        <v>1</v>
      </c>
      <c r="O3617" s="18">
        <v>894.76</v>
      </c>
      <c r="P3617" s="18">
        <v>733.41</v>
      </c>
      <c r="Q3617" s="18">
        <v>626.33000000000004</v>
      </c>
      <c r="R3617" s="18">
        <v>513.39</v>
      </c>
      <c r="S3617" s="18">
        <v>608.44000000000005</v>
      </c>
      <c r="T3617" s="18">
        <v>498.72</v>
      </c>
      <c r="U3617" s="16"/>
      <c r="V3617" s="16"/>
      <c r="W3617" s="16"/>
      <c r="X3617" s="19">
        <v>0.28399999999999997</v>
      </c>
      <c r="Y3617" s="20">
        <v>1.08E-3</v>
      </c>
      <c r="Z3617" s="21">
        <v>4660008014292</v>
      </c>
    </row>
    <row r="3618" spans="1:26" ht="12" customHeight="1" outlineLevel="3" x14ac:dyDescent="0.2">
      <c r="A3618" s="14" t="s">
        <v>7044</v>
      </c>
      <c r="B3618" s="26" t="s">
        <v>7045</v>
      </c>
      <c r="C3618" s="52"/>
      <c r="D3618" s="55">
        <f t="shared" si="56"/>
        <v>0</v>
      </c>
      <c r="E3618" s="63" t="str">
        <f>HYPERLINK("https://www.sds-group.ru/product/krimper-dlya-obzhima-avtoklemm-0-10-6-0mm-rexant-12-3032/", "Инфо")</f>
        <v>Инфо</v>
      </c>
      <c r="F3618" s="16" t="s">
        <v>39</v>
      </c>
      <c r="G3618" s="15"/>
      <c r="H3618" s="15"/>
      <c r="I3618" s="15"/>
      <c r="J3618" s="17">
        <v>597</v>
      </c>
      <c r="K3618" s="15" t="s">
        <v>6344</v>
      </c>
      <c r="L3618" s="17">
        <v>1</v>
      </c>
      <c r="M3618" s="17">
        <v>50</v>
      </c>
      <c r="N3618" s="17">
        <v>1</v>
      </c>
      <c r="O3618" s="18">
        <v>1024.1199999999999</v>
      </c>
      <c r="P3618" s="18">
        <v>839.44</v>
      </c>
      <c r="Q3618" s="18">
        <v>809.05</v>
      </c>
      <c r="R3618" s="18">
        <v>663.16</v>
      </c>
      <c r="S3618" s="18">
        <v>696.4</v>
      </c>
      <c r="T3618" s="18">
        <v>570.82000000000005</v>
      </c>
      <c r="U3618" s="16"/>
      <c r="V3618" s="16"/>
      <c r="W3618" s="16" t="s">
        <v>40</v>
      </c>
      <c r="X3618" s="19">
        <v>0.26700000000000002</v>
      </c>
      <c r="Y3618" s="20">
        <v>6.3900000000000003E-4</v>
      </c>
      <c r="Z3618" s="21">
        <v>4660008014285</v>
      </c>
    </row>
    <row r="3619" spans="1:26" ht="12" customHeight="1" outlineLevel="3" x14ac:dyDescent="0.2">
      <c r="A3619" s="32" t="s">
        <v>7046</v>
      </c>
      <c r="B3619" s="74" t="s">
        <v>7047</v>
      </c>
      <c r="C3619" s="50"/>
      <c r="D3619" s="53">
        <f t="shared" si="56"/>
        <v>0</v>
      </c>
      <c r="E3619" s="60" t="str">
        <f>HYPERLINK("https://www.sds-group.ru/product/krimper-dlya-obzhima-avtoklemm-0-35-6-0mm-proconnect-12-3031-4/", "Инфо")</f>
        <v>Инфо</v>
      </c>
      <c r="F3619" s="34" t="s">
        <v>39</v>
      </c>
      <c r="G3619" s="33"/>
      <c r="H3619" s="33" t="s">
        <v>40</v>
      </c>
      <c r="I3619" s="33"/>
      <c r="J3619" s="35">
        <v>366</v>
      </c>
      <c r="K3619" s="33"/>
      <c r="L3619" s="35">
        <v>1</v>
      </c>
      <c r="M3619" s="35">
        <v>50</v>
      </c>
      <c r="N3619" s="35">
        <v>1</v>
      </c>
      <c r="O3619" s="36">
        <v>808.52</v>
      </c>
      <c r="P3619" s="36">
        <v>662.72</v>
      </c>
      <c r="Q3619" s="36">
        <v>565.96</v>
      </c>
      <c r="R3619" s="36">
        <v>463.9</v>
      </c>
      <c r="S3619" s="36">
        <v>549.79</v>
      </c>
      <c r="T3619" s="36">
        <v>450.65</v>
      </c>
      <c r="U3619" s="34"/>
      <c r="V3619" s="34"/>
      <c r="W3619" s="34"/>
      <c r="X3619" s="37">
        <v>0.28399999999999997</v>
      </c>
      <c r="Y3619" s="38">
        <v>1.067E-3</v>
      </c>
      <c r="Z3619" s="21">
        <v>4660008014278</v>
      </c>
    </row>
    <row r="3620" spans="1:26" ht="12" customHeight="1" outlineLevel="3" x14ac:dyDescent="0.2">
      <c r="A3620" s="14" t="s">
        <v>7048</v>
      </c>
      <c r="B3620" s="26" t="s">
        <v>7049</v>
      </c>
      <c r="C3620" s="52"/>
      <c r="D3620" s="55">
        <f t="shared" si="56"/>
        <v>0</v>
      </c>
      <c r="E3620" s="63" t="str">
        <f>HYPERLINK("https://www.sds-group.ru/product/krimper-dlya-obzhima-nakonechnikov-i-zachistki-provodov-rexant-12-3033/", "Инфо")</f>
        <v>Инфо</v>
      </c>
      <c r="F3620" s="16" t="s">
        <v>39</v>
      </c>
      <c r="G3620" s="15"/>
      <c r="H3620" s="15"/>
      <c r="I3620" s="15"/>
      <c r="J3620" s="17">
        <v>14</v>
      </c>
      <c r="K3620" s="15" t="s">
        <v>1094</v>
      </c>
      <c r="L3620" s="17">
        <v>1</v>
      </c>
      <c r="M3620" s="17">
        <v>60</v>
      </c>
      <c r="N3620" s="17">
        <v>1</v>
      </c>
      <c r="O3620" s="18">
        <v>776.17</v>
      </c>
      <c r="P3620" s="18">
        <v>636.20000000000005</v>
      </c>
      <c r="Q3620" s="18">
        <v>620.94000000000005</v>
      </c>
      <c r="R3620" s="18">
        <v>508.97</v>
      </c>
      <c r="S3620" s="18">
        <v>527.79999999999995</v>
      </c>
      <c r="T3620" s="18">
        <v>432.62</v>
      </c>
      <c r="U3620" s="16"/>
      <c r="V3620" s="16"/>
      <c r="W3620" s="16" t="s">
        <v>40</v>
      </c>
      <c r="X3620" s="19">
        <v>0.28199999999999997</v>
      </c>
      <c r="Y3620" s="20">
        <v>5.8399999999999999E-4</v>
      </c>
      <c r="Z3620" s="21">
        <v>4660008017361</v>
      </c>
    </row>
    <row r="3621" spans="1:26" ht="12" customHeight="1" outlineLevel="3" x14ac:dyDescent="0.2">
      <c r="A3621" s="14" t="s">
        <v>7050</v>
      </c>
      <c r="B3621" s="26" t="s">
        <v>7051</v>
      </c>
      <c r="C3621" s="52"/>
      <c r="D3621" s="55">
        <f t="shared" si="56"/>
        <v>0</v>
      </c>
      <c r="E3621" s="63" t="str">
        <f>HYPERLINK("https://www.sds-group.ru/product/krimper-dlya-obzhima-neizolirovannyh-avtoklemm-0-5-6-0mm-proconnect-12-3001-4/", "Инфо")</f>
        <v>Инфо</v>
      </c>
      <c r="F3621" s="16" t="s">
        <v>39</v>
      </c>
      <c r="G3621" s="15"/>
      <c r="H3621" s="15"/>
      <c r="I3621" s="15"/>
      <c r="J3621" s="22">
        <v>1006</v>
      </c>
      <c r="K3621" s="15"/>
      <c r="L3621" s="17">
        <v>1</v>
      </c>
      <c r="M3621" s="17">
        <v>50</v>
      </c>
      <c r="N3621" s="17">
        <v>1</v>
      </c>
      <c r="O3621" s="18">
        <v>1401.43</v>
      </c>
      <c r="P3621" s="18">
        <v>1148.71</v>
      </c>
      <c r="Q3621" s="18">
        <v>1107.1300000000001</v>
      </c>
      <c r="R3621" s="18">
        <v>907.48</v>
      </c>
      <c r="S3621" s="18">
        <v>952.97</v>
      </c>
      <c r="T3621" s="18">
        <v>781.12</v>
      </c>
      <c r="U3621" s="16"/>
      <c r="V3621" s="16"/>
      <c r="W3621" s="16" t="s">
        <v>40</v>
      </c>
      <c r="X3621" s="19">
        <v>0.56599999999999995</v>
      </c>
      <c r="Y3621" s="20">
        <v>1.3129999999999999E-3</v>
      </c>
      <c r="Z3621" s="21">
        <v>4660008014162</v>
      </c>
    </row>
    <row r="3622" spans="1:26" ht="12" customHeight="1" outlineLevel="3" x14ac:dyDescent="0.2">
      <c r="A3622" s="14" t="s">
        <v>7052</v>
      </c>
      <c r="B3622" s="26" t="s">
        <v>7053</v>
      </c>
      <c r="C3622" s="52"/>
      <c r="D3622" s="55">
        <f t="shared" si="56"/>
        <v>0</v>
      </c>
      <c r="E3622" s="63" t="str">
        <f>HYPERLINK("https://www.sds-group.ru/product/krimper-dlya-obzhima-neizolirovannyh-avtoklemm-0-5-6-0mm-rexant-12-3001/", "Инфо")</f>
        <v>Инфо</v>
      </c>
      <c r="F3622" s="16" t="s">
        <v>39</v>
      </c>
      <c r="G3622" s="15"/>
      <c r="H3622" s="15"/>
      <c r="I3622" s="15"/>
      <c r="J3622" s="17">
        <v>479</v>
      </c>
      <c r="K3622" s="15" t="s">
        <v>6741</v>
      </c>
      <c r="L3622" s="17">
        <v>1</v>
      </c>
      <c r="M3622" s="17">
        <v>50</v>
      </c>
      <c r="N3622" s="17">
        <v>1</v>
      </c>
      <c r="O3622" s="18">
        <v>1455.33</v>
      </c>
      <c r="P3622" s="18">
        <v>1192.8900000000001</v>
      </c>
      <c r="Q3622" s="18">
        <v>1120.5999999999999</v>
      </c>
      <c r="R3622" s="18">
        <v>918.52</v>
      </c>
      <c r="S3622" s="18">
        <v>989.62</v>
      </c>
      <c r="T3622" s="18">
        <v>811.16</v>
      </c>
      <c r="U3622" s="16"/>
      <c r="V3622" s="16"/>
      <c r="W3622" s="16" t="s">
        <v>40</v>
      </c>
      <c r="X3622" s="19">
        <v>0.56399999999999995</v>
      </c>
      <c r="Y3622" s="20">
        <v>1.32E-3</v>
      </c>
      <c r="Z3622" s="21">
        <v>4660008014063</v>
      </c>
    </row>
    <row r="3623" spans="1:26" ht="12" customHeight="1" outlineLevel="3" x14ac:dyDescent="0.2">
      <c r="A3623" s="32" t="s">
        <v>7054</v>
      </c>
      <c r="B3623" s="74" t="s">
        <v>7055</v>
      </c>
      <c r="C3623" s="50"/>
      <c r="D3623" s="53">
        <f t="shared" si="56"/>
        <v>0</v>
      </c>
      <c r="E3623" s="60" t="str">
        <f>HYPERLINK("https://www.sds-group.ru/product/krimper-dlya-obzhima-neizolirovannyh-klemm-0-35-6-0mm-rexant-12-3031/", "Инфо")</f>
        <v>Инфо</v>
      </c>
      <c r="F3623" s="34" t="s">
        <v>39</v>
      </c>
      <c r="G3623" s="33"/>
      <c r="H3623" s="33" t="s">
        <v>40</v>
      </c>
      <c r="I3623" s="33"/>
      <c r="J3623" s="35">
        <v>226</v>
      </c>
      <c r="K3623" s="33"/>
      <c r="L3623" s="35">
        <v>1</v>
      </c>
      <c r="M3623" s="35">
        <v>50</v>
      </c>
      <c r="N3623" s="35">
        <v>1</v>
      </c>
      <c r="O3623" s="36">
        <v>1024.1199999999999</v>
      </c>
      <c r="P3623" s="36">
        <v>839.44</v>
      </c>
      <c r="Q3623" s="36">
        <v>716.88</v>
      </c>
      <c r="R3623" s="36">
        <v>587.61</v>
      </c>
      <c r="S3623" s="36">
        <v>696.4</v>
      </c>
      <c r="T3623" s="36">
        <v>570.82000000000005</v>
      </c>
      <c r="U3623" s="34"/>
      <c r="V3623" s="34"/>
      <c r="W3623" s="34"/>
      <c r="X3623" s="37">
        <v>0.28399999999999997</v>
      </c>
      <c r="Y3623" s="38">
        <v>1.1000000000000001E-3</v>
      </c>
      <c r="Z3623" s="21">
        <v>4660008014261</v>
      </c>
    </row>
    <row r="3624" spans="1:26" ht="12.95" customHeight="1" outlineLevel="2" x14ac:dyDescent="0.2">
      <c r="A3624" s="76" t="s">
        <v>7056</v>
      </c>
      <c r="B3624" s="76"/>
      <c r="C3624" s="77"/>
      <c r="D3624" s="58"/>
      <c r="E3624" s="68"/>
      <c r="F3624" s="13"/>
      <c r="G3624" s="13"/>
      <c r="H3624" s="13"/>
      <c r="I3624" s="13"/>
      <c r="J3624" s="13"/>
      <c r="K3624" s="13"/>
      <c r="L3624" s="13"/>
      <c r="M3624" s="13"/>
      <c r="N3624" s="13"/>
      <c r="O3624" s="13"/>
      <c r="P3624" s="13"/>
      <c r="Q3624" s="13"/>
      <c r="R3624" s="13"/>
      <c r="S3624" s="13"/>
      <c r="T3624" s="13"/>
      <c r="U3624" s="13"/>
      <c r="V3624" s="13"/>
      <c r="W3624" s="13"/>
      <c r="X3624" s="13"/>
      <c r="Y3624" s="13"/>
      <c r="Z3624" s="13"/>
    </row>
    <row r="3625" spans="1:26" ht="12" customHeight="1" outlineLevel="3" x14ac:dyDescent="0.2">
      <c r="A3625" s="14" t="s">
        <v>7057</v>
      </c>
      <c r="B3625" s="26" t="s">
        <v>7058</v>
      </c>
      <c r="C3625" s="52"/>
      <c r="D3625" s="55">
        <f t="shared" si="56"/>
        <v>0</v>
      </c>
      <c r="E3625" s="63" t="str">
        <f>HYPERLINK("https://www.sds-group.ru/product/krimper-dlya-obzhima-neizolirovannyh-nakonechnikov-i-gilz-1-5-16-0mm-rexant-12-3041/", "Инфо")</f>
        <v>Инфо</v>
      </c>
      <c r="F3625" s="16" t="s">
        <v>39</v>
      </c>
      <c r="G3625" s="15"/>
      <c r="H3625" s="15"/>
      <c r="I3625" s="15"/>
      <c r="J3625" s="17">
        <v>27</v>
      </c>
      <c r="K3625" s="15" t="s">
        <v>6744</v>
      </c>
      <c r="L3625" s="17">
        <v>1</v>
      </c>
      <c r="M3625" s="17">
        <v>30</v>
      </c>
      <c r="N3625" s="17">
        <v>1</v>
      </c>
      <c r="O3625" s="18">
        <v>2587.25</v>
      </c>
      <c r="P3625" s="18">
        <v>2120.6999999999998</v>
      </c>
      <c r="Q3625" s="18">
        <v>1992.18</v>
      </c>
      <c r="R3625" s="18">
        <v>1632.93</v>
      </c>
      <c r="S3625" s="18">
        <v>1759.33</v>
      </c>
      <c r="T3625" s="18">
        <v>1442.07</v>
      </c>
      <c r="U3625" s="16"/>
      <c r="V3625" s="16"/>
      <c r="W3625" s="16" t="s">
        <v>40</v>
      </c>
      <c r="X3625" s="19">
        <v>0.51900000000000002</v>
      </c>
      <c r="Y3625" s="20">
        <v>1.1000000000000001E-3</v>
      </c>
      <c r="Z3625" s="21">
        <v>4660008014308</v>
      </c>
    </row>
    <row r="3626" spans="1:26" ht="12" customHeight="1" outlineLevel="3" x14ac:dyDescent="0.2">
      <c r="A3626" s="14" t="s">
        <v>7059</v>
      </c>
      <c r="B3626" s="26" t="s">
        <v>7060</v>
      </c>
      <c r="C3626" s="52"/>
      <c r="D3626" s="55">
        <f t="shared" si="56"/>
        <v>0</v>
      </c>
      <c r="E3626" s="63" t="str">
        <f>HYPERLINK("https://www.sds-group.ru/product/krimper-dlya-obzhima-neizolirovannyh-nakonechnikov-i-gilz-6-0-26-0mm-rexant-12-3051/", "Инфо")</f>
        <v>Инфо</v>
      </c>
      <c r="F3626" s="16" t="s">
        <v>39</v>
      </c>
      <c r="G3626" s="15"/>
      <c r="H3626" s="15"/>
      <c r="I3626" s="15"/>
      <c r="J3626" s="17">
        <v>28</v>
      </c>
      <c r="K3626" s="15" t="s">
        <v>2798</v>
      </c>
      <c r="L3626" s="17">
        <v>1</v>
      </c>
      <c r="M3626" s="17">
        <v>10</v>
      </c>
      <c r="N3626" s="17">
        <v>1</v>
      </c>
      <c r="O3626" s="18">
        <v>3498</v>
      </c>
      <c r="P3626" s="18">
        <v>2867.21</v>
      </c>
      <c r="Q3626" s="18">
        <v>2553.54</v>
      </c>
      <c r="R3626" s="18">
        <v>2093.0700000000002</v>
      </c>
      <c r="S3626" s="18">
        <v>2378.64</v>
      </c>
      <c r="T3626" s="18">
        <v>1949.7</v>
      </c>
      <c r="U3626" s="16"/>
      <c r="V3626" s="16"/>
      <c r="W3626" s="16" t="s">
        <v>40</v>
      </c>
      <c r="X3626" s="19">
        <v>0.93500000000000005</v>
      </c>
      <c r="Y3626" s="20">
        <v>2.5999999999999999E-3</v>
      </c>
      <c r="Z3626" s="21">
        <v>4660008014315</v>
      </c>
    </row>
    <row r="3627" spans="1:26" ht="12" customHeight="1" outlineLevel="3" x14ac:dyDescent="0.2">
      <c r="A3627" s="32" t="s">
        <v>7061</v>
      </c>
      <c r="B3627" s="74" t="s">
        <v>7062</v>
      </c>
      <c r="C3627" s="50"/>
      <c r="D3627" s="53">
        <f t="shared" si="56"/>
        <v>0</v>
      </c>
      <c r="E3627" s="60" t="str">
        <f>HYPERLINK("https://www.sds-group.ru/product/krimper-dlya-obzhima-silovyh-nakonechnikov-i-gilz-16-120mm-rexant-12-3057/", "Инфо")</f>
        <v>Инфо</v>
      </c>
      <c r="F3627" s="34" t="s">
        <v>39</v>
      </c>
      <c r="G3627" s="33"/>
      <c r="H3627" s="33" t="s">
        <v>40</v>
      </c>
      <c r="I3627" s="33"/>
      <c r="J3627" s="35">
        <v>60</v>
      </c>
      <c r="K3627" s="33"/>
      <c r="L3627" s="35">
        <v>1</v>
      </c>
      <c r="M3627" s="35">
        <v>5</v>
      </c>
      <c r="N3627" s="35">
        <v>1</v>
      </c>
      <c r="O3627" s="36">
        <v>8162</v>
      </c>
      <c r="P3627" s="36">
        <v>6690.16</v>
      </c>
      <c r="Q3627" s="36">
        <v>5713.4</v>
      </c>
      <c r="R3627" s="36">
        <v>4683.1099999999997</v>
      </c>
      <c r="S3627" s="36">
        <v>5550.16</v>
      </c>
      <c r="T3627" s="36">
        <v>4549.3100000000004</v>
      </c>
      <c r="U3627" s="34"/>
      <c r="V3627" s="34"/>
      <c r="W3627" s="34"/>
      <c r="X3627" s="37">
        <v>4.4059999999999997</v>
      </c>
      <c r="Y3627" s="38">
        <v>1.061E-2</v>
      </c>
      <c r="Z3627" s="21">
        <v>4660008014346</v>
      </c>
    </row>
    <row r="3628" spans="1:26" ht="12" customHeight="1" outlineLevel="3" x14ac:dyDescent="0.2">
      <c r="A3628" s="14" t="s">
        <v>7063</v>
      </c>
      <c r="B3628" s="26" t="s">
        <v>7064</v>
      </c>
      <c r="C3628" s="52"/>
      <c r="D3628" s="55">
        <f t="shared" si="56"/>
        <v>0</v>
      </c>
      <c r="E3628" s="63" t="str">
        <f>HYPERLINK("https://www.sds-group.ru/product/krimper-dlya-obzhima-silovyh-nakonechnikov-i-gilz-6-0-50-0mm-rexant-12-3055/", "Инфо")</f>
        <v>Инфо</v>
      </c>
      <c r="F3628" s="16" t="s">
        <v>39</v>
      </c>
      <c r="G3628" s="15"/>
      <c r="H3628" s="15"/>
      <c r="I3628" s="15"/>
      <c r="J3628" s="17">
        <v>240</v>
      </c>
      <c r="K3628" s="15" t="s">
        <v>6744</v>
      </c>
      <c r="L3628" s="17">
        <v>1</v>
      </c>
      <c r="M3628" s="17">
        <v>10</v>
      </c>
      <c r="N3628" s="17">
        <v>1</v>
      </c>
      <c r="O3628" s="18">
        <v>3286</v>
      </c>
      <c r="P3628" s="18">
        <v>2693.44</v>
      </c>
      <c r="Q3628" s="18">
        <v>2398.7800000000002</v>
      </c>
      <c r="R3628" s="18">
        <v>1966.21</v>
      </c>
      <c r="S3628" s="18">
        <v>2234.48</v>
      </c>
      <c r="T3628" s="18">
        <v>1831.54</v>
      </c>
      <c r="U3628" s="16"/>
      <c r="V3628" s="16"/>
      <c r="W3628" s="16" t="s">
        <v>40</v>
      </c>
      <c r="X3628" s="19">
        <v>1.4950000000000001</v>
      </c>
      <c r="Y3628" s="20">
        <v>3.4250000000000001E-3</v>
      </c>
      <c r="Z3628" s="21">
        <v>4660008014339</v>
      </c>
    </row>
    <row r="3629" spans="1:26" ht="12" customHeight="1" outlineLevel="3" x14ac:dyDescent="0.2">
      <c r="A3629" s="32" t="s">
        <v>7065</v>
      </c>
      <c r="B3629" s="74" t="s">
        <v>7066</v>
      </c>
      <c r="C3629" s="50"/>
      <c r="D3629" s="53">
        <f t="shared" si="56"/>
        <v>0</v>
      </c>
      <c r="E3629" s="60" t="str">
        <f>HYPERLINK("https://www.sds-group.ru/product/press-mehanicheskiy-universalnyy-dlya-klinovidnoy-opressovki-nakonechnikov-10-120mm-rexant-12-3058/", "Инфо")</f>
        <v>Инфо</v>
      </c>
      <c r="F3629" s="34" t="s">
        <v>39</v>
      </c>
      <c r="G3629" s="33"/>
      <c r="H3629" s="33" t="s">
        <v>40</v>
      </c>
      <c r="I3629" s="33"/>
      <c r="J3629" s="35">
        <v>5</v>
      </c>
      <c r="K3629" s="33"/>
      <c r="L3629" s="35">
        <v>1</v>
      </c>
      <c r="M3629" s="35">
        <v>5</v>
      </c>
      <c r="N3629" s="35">
        <v>1</v>
      </c>
      <c r="O3629" s="36">
        <v>8699.41</v>
      </c>
      <c r="P3629" s="36">
        <v>7130.66</v>
      </c>
      <c r="Q3629" s="36">
        <v>6089.59</v>
      </c>
      <c r="R3629" s="36">
        <v>4991.47</v>
      </c>
      <c r="S3629" s="36">
        <v>5915.6</v>
      </c>
      <c r="T3629" s="36">
        <v>4848.8500000000004</v>
      </c>
      <c r="U3629" s="34"/>
      <c r="V3629" s="34"/>
      <c r="W3629" s="34"/>
      <c r="X3629" s="37">
        <v>3.4</v>
      </c>
      <c r="Y3629" s="38">
        <v>5.7959999999999999E-3</v>
      </c>
      <c r="Z3629" s="21">
        <v>4601004148871</v>
      </c>
    </row>
    <row r="3630" spans="1:26" ht="12" customHeight="1" outlineLevel="3" x14ac:dyDescent="0.2">
      <c r="A3630" s="32" t="s">
        <v>7067</v>
      </c>
      <c r="B3630" s="74" t="s">
        <v>7068</v>
      </c>
      <c r="C3630" s="50"/>
      <c r="D3630" s="53">
        <f t="shared" si="56"/>
        <v>0</v>
      </c>
      <c r="E3630" s="60" t="str">
        <f>HYPERLINK("https://www.sds-group.ru/product/press-mehanicheskiy-universalniy-rexant-zht-230-dlya-klinovidnoy-opressovki-nakonechnikov-10-300-mm-sup2-20585/", "Инфо")</f>
        <v>Инфо</v>
      </c>
      <c r="F3630" s="34" t="s">
        <v>39</v>
      </c>
      <c r="G3630" s="33"/>
      <c r="H3630" s="33" t="s">
        <v>40</v>
      </c>
      <c r="I3630" s="33"/>
      <c r="J3630" s="35">
        <v>8</v>
      </c>
      <c r="K3630" s="33"/>
      <c r="L3630" s="35">
        <v>1</v>
      </c>
      <c r="M3630" s="35">
        <v>5</v>
      </c>
      <c r="N3630" s="35">
        <v>1</v>
      </c>
      <c r="O3630" s="36">
        <v>8762.19</v>
      </c>
      <c r="P3630" s="36">
        <v>7182.12</v>
      </c>
      <c r="Q3630" s="36">
        <v>6133.53</v>
      </c>
      <c r="R3630" s="36">
        <v>5027.4799999999996</v>
      </c>
      <c r="S3630" s="36">
        <v>5958.29</v>
      </c>
      <c r="T3630" s="36">
        <v>4883.84</v>
      </c>
      <c r="U3630" s="34"/>
      <c r="V3630" s="34"/>
      <c r="W3630" s="34"/>
      <c r="X3630" s="37">
        <v>3.87</v>
      </c>
      <c r="Y3630" s="38">
        <v>5.5770000000000004E-3</v>
      </c>
      <c r="Z3630" s="21">
        <v>4601004148857</v>
      </c>
    </row>
    <row r="3631" spans="1:26" ht="12" customHeight="1" outlineLevel="3" x14ac:dyDescent="0.2">
      <c r="A3631" s="14" t="s">
        <v>7069</v>
      </c>
      <c r="B3631" s="26" t="s">
        <v>7070</v>
      </c>
      <c r="C3631" s="52"/>
      <c r="D3631" s="55">
        <f t="shared" si="56"/>
        <v>0</v>
      </c>
      <c r="E3631" s="63" t="str">
        <f>HYPERLINK("https://www.sds-group.ru/product/press-kleschi-dlya-obzhima-metalloplastikovyh-trub-rexant-12-3071/", "Инфо")</f>
        <v>Инфо</v>
      </c>
      <c r="F3631" s="16" t="s">
        <v>39</v>
      </c>
      <c r="G3631" s="15"/>
      <c r="H3631" s="15"/>
      <c r="I3631" s="15"/>
      <c r="J3631" s="17">
        <v>71</v>
      </c>
      <c r="K3631" s="15"/>
      <c r="L3631" s="17">
        <v>1</v>
      </c>
      <c r="M3631" s="17">
        <v>4</v>
      </c>
      <c r="N3631" s="17">
        <v>1</v>
      </c>
      <c r="O3631" s="18">
        <v>23716.44</v>
      </c>
      <c r="P3631" s="18">
        <v>19439.7</v>
      </c>
      <c r="Q3631" s="18">
        <v>17313</v>
      </c>
      <c r="R3631" s="18">
        <v>14190.98</v>
      </c>
      <c r="S3631" s="18">
        <v>16127.18</v>
      </c>
      <c r="T3631" s="18">
        <v>13219</v>
      </c>
      <c r="U3631" s="16"/>
      <c r="V3631" s="16"/>
      <c r="W3631" s="16" t="s">
        <v>40</v>
      </c>
      <c r="X3631" s="19">
        <v>6.298</v>
      </c>
      <c r="Y3631" s="20">
        <v>1.1499000000000001E-2</v>
      </c>
      <c r="Z3631" s="21">
        <v>4601004133587</v>
      </c>
    </row>
    <row r="3632" spans="1:26" ht="12.95" customHeight="1" outlineLevel="2" x14ac:dyDescent="0.2">
      <c r="A3632" s="76" t="s">
        <v>7071</v>
      </c>
      <c r="B3632" s="76"/>
      <c r="C3632" s="77"/>
      <c r="D3632" s="58"/>
      <c r="E3632" s="68"/>
      <c r="F3632" s="13"/>
      <c r="G3632" s="13"/>
      <c r="H3632" s="13"/>
      <c r="I3632" s="13"/>
      <c r="J3632" s="13"/>
      <c r="K3632" s="13"/>
      <c r="L3632" s="13"/>
      <c r="M3632" s="13"/>
      <c r="N3632" s="13"/>
      <c r="O3632" s="13"/>
      <c r="P3632" s="13"/>
      <c r="Q3632" s="13"/>
      <c r="R3632" s="13"/>
      <c r="S3632" s="13"/>
      <c r="T3632" s="13"/>
      <c r="U3632" s="13"/>
      <c r="V3632" s="13"/>
      <c r="W3632" s="13"/>
      <c r="X3632" s="13"/>
      <c r="Y3632" s="13"/>
      <c r="Z3632" s="13"/>
    </row>
    <row r="3633" spans="1:26" ht="12" customHeight="1" outlineLevel="3" x14ac:dyDescent="0.2">
      <c r="A3633" s="14" t="s">
        <v>7072</v>
      </c>
      <c r="B3633" s="26" t="s">
        <v>7073</v>
      </c>
      <c r="C3633" s="52"/>
      <c r="D3633" s="55">
        <f t="shared" si="56"/>
        <v>0</v>
      </c>
      <c r="E3633" s="63" t="str">
        <f>HYPERLINK("https://www.sds-group.ru/product/press-gidravlicheskiy-ct-120-dlya-nakonechnikov-10-120mm-rexant-12-3062/", "Инфо")</f>
        <v>Инфо</v>
      </c>
      <c r="F3633" s="16" t="s">
        <v>39</v>
      </c>
      <c r="G3633" s="15"/>
      <c r="H3633" s="15"/>
      <c r="I3633" s="15"/>
      <c r="J3633" s="17">
        <v>32</v>
      </c>
      <c r="K3633" s="15" t="s">
        <v>1055</v>
      </c>
      <c r="L3633" s="17">
        <v>1</v>
      </c>
      <c r="M3633" s="17">
        <v>4</v>
      </c>
      <c r="N3633" s="17">
        <v>1</v>
      </c>
      <c r="O3633" s="18">
        <v>8056</v>
      </c>
      <c r="P3633" s="18">
        <v>6603.28</v>
      </c>
      <c r="Q3633" s="18">
        <v>5639.2</v>
      </c>
      <c r="R3633" s="18">
        <v>4622.3</v>
      </c>
      <c r="S3633" s="18">
        <v>5478.08</v>
      </c>
      <c r="T3633" s="18">
        <v>4490.2299999999996</v>
      </c>
      <c r="U3633" s="16"/>
      <c r="V3633" s="16"/>
      <c r="W3633" s="16"/>
      <c r="X3633" s="19">
        <v>4.0880000000000001</v>
      </c>
      <c r="Y3633" s="20">
        <v>8.7799999999999996E-3</v>
      </c>
      <c r="Z3633" s="21">
        <v>4601004133556</v>
      </c>
    </row>
    <row r="3634" spans="1:26" ht="12" customHeight="1" outlineLevel="3" x14ac:dyDescent="0.2">
      <c r="A3634" s="14" t="s">
        <v>7074</v>
      </c>
      <c r="B3634" s="26" t="s">
        <v>7075</v>
      </c>
      <c r="C3634" s="52"/>
      <c r="D3634" s="55">
        <f t="shared" si="56"/>
        <v>0</v>
      </c>
      <c r="E3634" s="63" t="str">
        <f>HYPERLINK("https://www.sds-group.ru/product/press-gidravlicheskiy-ct-240-dlya-nakonechnikov-16-240mm-rexant-12-3063/", "Инфо")</f>
        <v>Инфо</v>
      </c>
      <c r="F3634" s="16" t="s">
        <v>39</v>
      </c>
      <c r="G3634" s="15"/>
      <c r="H3634" s="15"/>
      <c r="I3634" s="15"/>
      <c r="J3634" s="17">
        <v>49</v>
      </c>
      <c r="K3634" s="15" t="s">
        <v>1055</v>
      </c>
      <c r="L3634" s="17">
        <v>1</v>
      </c>
      <c r="M3634" s="17">
        <v>4</v>
      </c>
      <c r="N3634" s="17">
        <v>1</v>
      </c>
      <c r="O3634" s="18">
        <v>9116</v>
      </c>
      <c r="P3634" s="18">
        <v>7472.13</v>
      </c>
      <c r="Q3634" s="18">
        <v>6381.2</v>
      </c>
      <c r="R3634" s="18">
        <v>5230.49</v>
      </c>
      <c r="S3634" s="18">
        <v>6198.88</v>
      </c>
      <c r="T3634" s="18">
        <v>5081.05</v>
      </c>
      <c r="U3634" s="16"/>
      <c r="V3634" s="16"/>
      <c r="W3634" s="16"/>
      <c r="X3634" s="19">
        <v>6.0289999999999999</v>
      </c>
      <c r="Y3634" s="20">
        <v>1.0496E-2</v>
      </c>
      <c r="Z3634" s="21">
        <v>4601004133563</v>
      </c>
    </row>
    <row r="3635" spans="1:26" ht="12" customHeight="1" outlineLevel="3" x14ac:dyDescent="0.2">
      <c r="A3635" s="14" t="s">
        <v>7076</v>
      </c>
      <c r="B3635" s="26" t="s">
        <v>7077</v>
      </c>
      <c r="C3635" s="52"/>
      <c r="D3635" s="55">
        <f t="shared" si="56"/>
        <v>0</v>
      </c>
      <c r="E3635" s="63" t="str">
        <f>HYPERLINK("https://www.sds-group.ru/product/press-gidravlicheskiy-ct-300-dlya-nakonechnikov-10-300mm-rexant-12-3064/", "Инфо")</f>
        <v>Инфо</v>
      </c>
      <c r="F3635" s="16" t="s">
        <v>39</v>
      </c>
      <c r="G3635" s="15"/>
      <c r="H3635" s="15"/>
      <c r="I3635" s="15"/>
      <c r="J3635" s="17">
        <v>92</v>
      </c>
      <c r="K3635" s="15" t="s">
        <v>1055</v>
      </c>
      <c r="L3635" s="17">
        <v>1</v>
      </c>
      <c r="M3635" s="17">
        <v>4</v>
      </c>
      <c r="N3635" s="17">
        <v>1</v>
      </c>
      <c r="O3635" s="18">
        <v>9540</v>
      </c>
      <c r="P3635" s="18">
        <v>7819.67</v>
      </c>
      <c r="Q3635" s="18">
        <v>6678</v>
      </c>
      <c r="R3635" s="18">
        <v>5473.77</v>
      </c>
      <c r="S3635" s="18">
        <v>6487.2</v>
      </c>
      <c r="T3635" s="18">
        <v>5317.38</v>
      </c>
      <c r="U3635" s="16"/>
      <c r="V3635" s="16"/>
      <c r="W3635" s="16"/>
      <c r="X3635" s="19">
        <v>6.3280000000000003</v>
      </c>
      <c r="Y3635" s="20">
        <v>1.0382000000000001E-2</v>
      </c>
      <c r="Z3635" s="21">
        <v>4601004133570</v>
      </c>
    </row>
    <row r="3636" spans="1:26" ht="12" customHeight="1" outlineLevel="3" x14ac:dyDescent="0.2">
      <c r="A3636" s="14" t="s">
        <v>7078</v>
      </c>
      <c r="B3636" s="26" t="s">
        <v>7079</v>
      </c>
      <c r="C3636" s="52"/>
      <c r="D3636" s="55">
        <f t="shared" si="56"/>
        <v>0</v>
      </c>
      <c r="E3636" s="63" t="str">
        <f>HYPERLINK("https://www.sds-group.ru/product/press-gidravlicheskiy-ct-70-dlya-nakonechnikov-4-70mm-rexant-12-3061/", "Инфо")</f>
        <v>Инфо</v>
      </c>
      <c r="F3636" s="16" t="s">
        <v>39</v>
      </c>
      <c r="G3636" s="15"/>
      <c r="H3636" s="15"/>
      <c r="I3636" s="15"/>
      <c r="J3636" s="17">
        <v>361</v>
      </c>
      <c r="K3636" s="15" t="s">
        <v>1055</v>
      </c>
      <c r="L3636" s="17">
        <v>1</v>
      </c>
      <c r="M3636" s="17">
        <v>5</v>
      </c>
      <c r="N3636" s="17">
        <v>1</v>
      </c>
      <c r="O3636" s="18">
        <v>7155</v>
      </c>
      <c r="P3636" s="18">
        <v>5864.75</v>
      </c>
      <c r="Q3636" s="18">
        <v>5008.5</v>
      </c>
      <c r="R3636" s="18">
        <v>4105.33</v>
      </c>
      <c r="S3636" s="18">
        <v>4865.3999999999996</v>
      </c>
      <c r="T3636" s="18">
        <v>3988.03</v>
      </c>
      <c r="U3636" s="16"/>
      <c r="V3636" s="16"/>
      <c r="W3636" s="16"/>
      <c r="X3636" s="19">
        <v>3.1829999999999998</v>
      </c>
      <c r="Y3636" s="20">
        <v>5.999E-3</v>
      </c>
      <c r="Z3636" s="21">
        <v>4601004133594</v>
      </c>
    </row>
    <row r="3637" spans="1:26" ht="12.95" customHeight="1" outlineLevel="2" x14ac:dyDescent="0.2">
      <c r="A3637" s="76" t="s">
        <v>7080</v>
      </c>
      <c r="B3637" s="76"/>
      <c r="C3637" s="77"/>
      <c r="D3637" s="58"/>
      <c r="E3637" s="68"/>
      <c r="F3637" s="13"/>
      <c r="G3637" s="13"/>
      <c r="H3637" s="13"/>
      <c r="I3637" s="13"/>
      <c r="J3637" s="13"/>
      <c r="K3637" s="13"/>
      <c r="L3637" s="13"/>
      <c r="M3637" s="13"/>
      <c r="N3637" s="13"/>
      <c r="O3637" s="13"/>
      <c r="P3637" s="13"/>
      <c r="Q3637" s="13"/>
      <c r="R3637" s="13"/>
      <c r="S3637" s="13"/>
      <c r="T3637" s="13"/>
      <c r="U3637" s="13"/>
      <c r="V3637" s="13"/>
      <c r="W3637" s="13"/>
      <c r="X3637" s="13"/>
      <c r="Y3637" s="13"/>
      <c r="Z3637" s="13"/>
    </row>
    <row r="3638" spans="1:26" ht="12" customHeight="1" outlineLevel="3" x14ac:dyDescent="0.2">
      <c r="A3638" s="14" t="s">
        <v>7081</v>
      </c>
      <c r="B3638" s="26" t="s">
        <v>7082</v>
      </c>
      <c r="C3638" s="52"/>
      <c r="D3638" s="55">
        <f t="shared" si="56"/>
        <v>0</v>
      </c>
      <c r="E3638" s="63" t="str">
        <f>HYPERLINK("https://www.sds-group.ru/product/krimper-dlya-obzhima-dvoynyh-shtyrevyh-nakonechnikov-2x-0-5-6-0-mm-rexant-12-3222/", "Инфо")</f>
        <v>Инфо</v>
      </c>
      <c r="F3638" s="16" t="s">
        <v>39</v>
      </c>
      <c r="G3638" s="15"/>
      <c r="H3638" s="15"/>
      <c r="I3638" s="15"/>
      <c r="J3638" s="17">
        <v>207</v>
      </c>
      <c r="K3638" s="15"/>
      <c r="L3638" s="17">
        <v>1</v>
      </c>
      <c r="M3638" s="17">
        <v>50</v>
      </c>
      <c r="N3638" s="17">
        <v>1</v>
      </c>
      <c r="O3638" s="18">
        <v>1617.03</v>
      </c>
      <c r="P3638" s="18">
        <v>1325.43</v>
      </c>
      <c r="Q3638" s="18">
        <v>1617.03</v>
      </c>
      <c r="R3638" s="18">
        <v>1325.43</v>
      </c>
      <c r="S3638" s="18">
        <v>1099.58</v>
      </c>
      <c r="T3638" s="18">
        <v>901.3</v>
      </c>
      <c r="U3638" s="16"/>
      <c r="V3638" s="16"/>
      <c r="W3638" s="16" t="s">
        <v>40</v>
      </c>
      <c r="X3638" s="19">
        <v>0.63300000000000001</v>
      </c>
      <c r="Y3638" s="20">
        <v>1.0139999999999999E-3</v>
      </c>
      <c r="Z3638" s="21">
        <v>4601004163065</v>
      </c>
    </row>
    <row r="3639" spans="1:26" ht="12" customHeight="1" outlineLevel="3" x14ac:dyDescent="0.2">
      <c r="A3639" s="40" t="s">
        <v>7083</v>
      </c>
      <c r="B3639" s="75" t="s">
        <v>7084</v>
      </c>
      <c r="C3639" s="51"/>
      <c r="D3639" s="54">
        <f t="shared" si="56"/>
        <v>0</v>
      </c>
      <c r="E3639" s="61" t="str">
        <f>HYPERLINK("https://www.sds-group.ru/product/krimper-dlya-obzhima-shtyrevyh-nakonechnikov-0-25-10-mm-rexant-12-3303/", "Инфо")</f>
        <v>Инфо</v>
      </c>
      <c r="F3639" s="42" t="s">
        <v>39</v>
      </c>
      <c r="G3639" s="41" t="s">
        <v>40</v>
      </c>
      <c r="H3639" s="41"/>
      <c r="I3639" s="41"/>
      <c r="J3639" s="47">
        <v>1451</v>
      </c>
      <c r="K3639" s="41" t="s">
        <v>6741</v>
      </c>
      <c r="L3639" s="43">
        <v>1</v>
      </c>
      <c r="M3639" s="43">
        <v>40</v>
      </c>
      <c r="N3639" s="43">
        <v>1</v>
      </c>
      <c r="O3639" s="44">
        <v>2048.2399999999998</v>
      </c>
      <c r="P3639" s="44">
        <v>1678.89</v>
      </c>
      <c r="Q3639" s="44">
        <v>1843.42</v>
      </c>
      <c r="R3639" s="44">
        <v>1511</v>
      </c>
      <c r="S3639" s="44">
        <v>1392.8</v>
      </c>
      <c r="T3639" s="44">
        <v>1141.6400000000001</v>
      </c>
      <c r="U3639" s="42"/>
      <c r="V3639" s="42"/>
      <c r="W3639" s="42" t="s">
        <v>40</v>
      </c>
      <c r="X3639" s="45">
        <v>0.48299999999999998</v>
      </c>
      <c r="Y3639" s="46">
        <v>1.2279999999999999E-3</v>
      </c>
      <c r="Z3639" s="21">
        <v>4601004317222</v>
      </c>
    </row>
    <row r="3640" spans="1:26" ht="12" customHeight="1" outlineLevel="3" x14ac:dyDescent="0.2">
      <c r="A3640" s="40" t="s">
        <v>7085</v>
      </c>
      <c r="B3640" s="75" t="s">
        <v>7086</v>
      </c>
      <c r="C3640" s="51"/>
      <c r="D3640" s="54">
        <f t="shared" si="56"/>
        <v>0</v>
      </c>
      <c r="E3640" s="62"/>
      <c r="F3640" s="42" t="s">
        <v>39</v>
      </c>
      <c r="G3640" s="41" t="s">
        <v>40</v>
      </c>
      <c r="H3640" s="41"/>
      <c r="I3640" s="41"/>
      <c r="J3640" s="43">
        <v>266</v>
      </c>
      <c r="K3640" s="41" t="s">
        <v>6744</v>
      </c>
      <c r="L3640" s="43">
        <v>1</v>
      </c>
      <c r="M3640" s="43">
        <v>40</v>
      </c>
      <c r="N3640" s="43">
        <v>1</v>
      </c>
      <c r="O3640" s="44">
        <v>2385</v>
      </c>
      <c r="P3640" s="44">
        <v>1954.92</v>
      </c>
      <c r="Q3640" s="44">
        <v>2146.5</v>
      </c>
      <c r="R3640" s="44">
        <v>1759.43</v>
      </c>
      <c r="S3640" s="44">
        <v>1621.8</v>
      </c>
      <c r="T3640" s="44">
        <v>1329.34</v>
      </c>
      <c r="U3640" s="42"/>
      <c r="V3640" s="42"/>
      <c r="W3640" s="42" t="s">
        <v>40</v>
      </c>
      <c r="X3640" s="45">
        <v>0.49099999999999999</v>
      </c>
      <c r="Y3640" s="46">
        <v>9.2500000000000004E-4</v>
      </c>
      <c r="Z3640" s="21">
        <v>4601004352346</v>
      </c>
    </row>
    <row r="3641" spans="1:26" ht="12" customHeight="1" outlineLevel="3" x14ac:dyDescent="0.2">
      <c r="A3641" s="14" t="s">
        <v>7087</v>
      </c>
      <c r="B3641" s="26" t="s">
        <v>7088</v>
      </c>
      <c r="C3641" s="52"/>
      <c r="D3641" s="55">
        <f t="shared" si="56"/>
        <v>0</v>
      </c>
      <c r="E3641" s="63" t="str">
        <f>HYPERLINK("https://www.sds-group.ru/product/krimper-dlya-obzhima-shtyrevyh-nakonechnikov-0-08-10-0mm-s-regulyatorom-prizhimnogo-usiliy-12-3210-1/", "Инфо")</f>
        <v>Инфо</v>
      </c>
      <c r="F3641" s="16" t="s">
        <v>39</v>
      </c>
      <c r="G3641" s="15"/>
      <c r="H3641" s="15"/>
      <c r="I3641" s="15"/>
      <c r="J3641" s="17">
        <v>62</v>
      </c>
      <c r="K3641" s="15"/>
      <c r="L3641" s="17">
        <v>1</v>
      </c>
      <c r="M3641" s="17">
        <v>20</v>
      </c>
      <c r="N3641" s="17">
        <v>1</v>
      </c>
      <c r="O3641" s="18">
        <v>3481.04</v>
      </c>
      <c r="P3641" s="18">
        <v>2853.31</v>
      </c>
      <c r="Q3641" s="18">
        <v>2541.16</v>
      </c>
      <c r="R3641" s="18">
        <v>2082.92</v>
      </c>
      <c r="S3641" s="18">
        <v>2367.11</v>
      </c>
      <c r="T3641" s="18">
        <v>1940.25</v>
      </c>
      <c r="U3641" s="16"/>
      <c r="V3641" s="16"/>
      <c r="W3641" s="16" t="s">
        <v>40</v>
      </c>
      <c r="X3641" s="19">
        <v>0.442</v>
      </c>
      <c r="Y3641" s="20">
        <v>1.1559999999999999E-3</v>
      </c>
      <c r="Z3641" s="21">
        <v>4601004148840</v>
      </c>
    </row>
    <row r="3642" spans="1:26" ht="12" customHeight="1" outlineLevel="3" x14ac:dyDescent="0.2">
      <c r="A3642" s="40" t="s">
        <v>7089</v>
      </c>
      <c r="B3642" s="75" t="s">
        <v>7090</v>
      </c>
      <c r="C3642" s="51"/>
      <c r="D3642" s="54">
        <f t="shared" si="56"/>
        <v>0</v>
      </c>
      <c r="E3642" s="62"/>
      <c r="F3642" s="42" t="s">
        <v>39</v>
      </c>
      <c r="G3642" s="41" t="s">
        <v>40</v>
      </c>
      <c r="H3642" s="41"/>
      <c r="I3642" s="41"/>
      <c r="J3642" s="43">
        <v>277</v>
      </c>
      <c r="K3642" s="41" t="s">
        <v>6744</v>
      </c>
      <c r="L3642" s="43">
        <v>1</v>
      </c>
      <c r="M3642" s="43">
        <v>40</v>
      </c>
      <c r="N3642" s="43">
        <v>1</v>
      </c>
      <c r="O3642" s="44">
        <v>2862</v>
      </c>
      <c r="P3642" s="44">
        <v>2345.9</v>
      </c>
      <c r="Q3642" s="44">
        <v>2575.8000000000002</v>
      </c>
      <c r="R3642" s="44">
        <v>2111.31</v>
      </c>
      <c r="S3642" s="44">
        <v>1946.16</v>
      </c>
      <c r="T3642" s="44">
        <v>1595.21</v>
      </c>
      <c r="U3642" s="42"/>
      <c r="V3642" s="42"/>
      <c r="W3642" s="42" t="s">
        <v>40</v>
      </c>
      <c r="X3642" s="45">
        <v>0.66</v>
      </c>
      <c r="Y3642" s="46">
        <v>1.073E-3</v>
      </c>
      <c r="Z3642" s="21">
        <v>4601004352353</v>
      </c>
    </row>
    <row r="3643" spans="1:26" ht="12" customHeight="1" outlineLevel="3" x14ac:dyDescent="0.2">
      <c r="A3643" s="14" t="s">
        <v>7091</v>
      </c>
      <c r="B3643" s="26" t="s">
        <v>7092</v>
      </c>
      <c r="C3643" s="52"/>
      <c r="D3643" s="55">
        <f t="shared" si="56"/>
        <v>0</v>
      </c>
      <c r="E3643" s="63" t="str">
        <f>HYPERLINK("https://www.sds-group.ru/product/krimper-dlya-obzhima-shtyrevyh-nakonechnikov-0-08-16-0mm-s-regulyatorom-prizhimnogo-usiliy-12-3216-1/", "Инфо")</f>
        <v>Инфо</v>
      </c>
      <c r="F3643" s="16" t="s">
        <v>39</v>
      </c>
      <c r="G3643" s="15"/>
      <c r="H3643" s="15"/>
      <c r="I3643" s="15"/>
      <c r="J3643" s="16" t="s">
        <v>100</v>
      </c>
      <c r="K3643" s="15" t="s">
        <v>2798</v>
      </c>
      <c r="L3643" s="17">
        <v>1</v>
      </c>
      <c r="M3643" s="17">
        <v>50</v>
      </c>
      <c r="N3643" s="17">
        <v>1</v>
      </c>
      <c r="O3643" s="18">
        <v>4028</v>
      </c>
      <c r="P3643" s="18">
        <v>3301.64</v>
      </c>
      <c r="Q3643" s="18">
        <v>2940.44</v>
      </c>
      <c r="R3643" s="18">
        <v>2410.1999999999998</v>
      </c>
      <c r="S3643" s="18">
        <v>2739.04</v>
      </c>
      <c r="T3643" s="18">
        <v>2245.11</v>
      </c>
      <c r="U3643" s="16"/>
      <c r="V3643" s="16"/>
      <c r="W3643" s="16" t="s">
        <v>40</v>
      </c>
      <c r="X3643" s="19">
        <v>0.48799999999999999</v>
      </c>
      <c r="Y3643" s="20">
        <v>9.6699999999999998E-4</v>
      </c>
      <c r="Z3643" s="21">
        <v>4601004148864</v>
      </c>
    </row>
    <row r="3644" spans="1:26" ht="12" customHeight="1" outlineLevel="3" x14ac:dyDescent="0.2">
      <c r="A3644" s="14" t="s">
        <v>7093</v>
      </c>
      <c r="B3644" s="26" t="s">
        <v>7094</v>
      </c>
      <c r="C3644" s="52"/>
      <c r="D3644" s="55">
        <f t="shared" si="56"/>
        <v>0</v>
      </c>
      <c r="E3644" s="63" t="str">
        <f>HYPERLINK("https://www.sds-group.ru/product/krimper-dlya-obzhima-shtyrevyh-nakonechnikov-0-25-6-0mm-proconnect-12-3202-4/", "Инфо")</f>
        <v>Инфо</v>
      </c>
      <c r="F3644" s="16" t="s">
        <v>39</v>
      </c>
      <c r="G3644" s="15"/>
      <c r="H3644" s="15"/>
      <c r="I3644" s="15"/>
      <c r="J3644" s="17">
        <v>643</v>
      </c>
      <c r="K3644" s="15" t="s">
        <v>6741</v>
      </c>
      <c r="L3644" s="17">
        <v>1</v>
      </c>
      <c r="M3644" s="17">
        <v>50</v>
      </c>
      <c r="N3644" s="17">
        <v>1</v>
      </c>
      <c r="O3644" s="18">
        <v>1484</v>
      </c>
      <c r="P3644" s="18">
        <v>1216.3900000000001</v>
      </c>
      <c r="Q3644" s="18">
        <v>1142.68</v>
      </c>
      <c r="R3644" s="18">
        <v>936.62</v>
      </c>
      <c r="S3644" s="18">
        <v>1009.12</v>
      </c>
      <c r="T3644" s="18">
        <v>827.15</v>
      </c>
      <c r="U3644" s="16"/>
      <c r="V3644" s="16"/>
      <c r="W3644" s="16" t="s">
        <v>40</v>
      </c>
      <c r="X3644" s="19">
        <v>0.47</v>
      </c>
      <c r="Y3644" s="20">
        <v>1.0859999999999999E-3</v>
      </c>
      <c r="Z3644" s="21">
        <v>4660008014360</v>
      </c>
    </row>
    <row r="3645" spans="1:26" ht="12" customHeight="1" outlineLevel="3" x14ac:dyDescent="0.2">
      <c r="A3645" s="14" t="s">
        <v>7095</v>
      </c>
      <c r="B3645" s="26" t="s">
        <v>7096</v>
      </c>
      <c r="C3645" s="52"/>
      <c r="D3645" s="55">
        <f t="shared" si="56"/>
        <v>0</v>
      </c>
      <c r="E3645" s="63" t="str">
        <f>HYPERLINK("https://www.sds-group.ru/product/krimper-dlya-obzhima-shtyrevyh-nakonechnikov-0-25-6-0mm-rexant-12-3202/", "Инфо")</f>
        <v>Инфо</v>
      </c>
      <c r="F3645" s="16" t="s">
        <v>39</v>
      </c>
      <c r="G3645" s="15"/>
      <c r="H3645" s="15"/>
      <c r="I3645" s="15"/>
      <c r="J3645" s="17">
        <v>39</v>
      </c>
      <c r="K3645" s="15" t="s">
        <v>6744</v>
      </c>
      <c r="L3645" s="17">
        <v>1</v>
      </c>
      <c r="M3645" s="17">
        <v>50</v>
      </c>
      <c r="N3645" s="17">
        <v>1</v>
      </c>
      <c r="O3645" s="18">
        <v>1696</v>
      </c>
      <c r="P3645" s="18">
        <v>1390.16</v>
      </c>
      <c r="Q3645" s="18">
        <v>1238.08</v>
      </c>
      <c r="R3645" s="18">
        <v>1014.82</v>
      </c>
      <c r="S3645" s="18">
        <v>1153.28</v>
      </c>
      <c r="T3645" s="18">
        <v>945.31</v>
      </c>
      <c r="U3645" s="16"/>
      <c r="V3645" s="16"/>
      <c r="W3645" s="16" t="s">
        <v>40</v>
      </c>
      <c r="X3645" s="19">
        <v>0.44900000000000001</v>
      </c>
      <c r="Y3645" s="20">
        <v>1.222E-3</v>
      </c>
      <c r="Z3645" s="21">
        <v>4660008014353</v>
      </c>
    </row>
    <row r="3646" spans="1:26" ht="12" customHeight="1" outlineLevel="3" x14ac:dyDescent="0.2">
      <c r="A3646" s="14" t="s">
        <v>7097</v>
      </c>
      <c r="B3646" s="26" t="s">
        <v>7098</v>
      </c>
      <c r="C3646" s="52"/>
      <c r="D3646" s="55">
        <f t="shared" si="56"/>
        <v>0</v>
      </c>
      <c r="E3646" s="63" t="str">
        <f>HYPERLINK("https://www.sds-group.ru/product/krimper-dlya-obzhima-shtyrevyh-nakonechnikov-0-5-4-0mm-proconnect-12-3013-4/", "Инфо")</f>
        <v>Инфо</v>
      </c>
      <c r="F3646" s="16" t="s">
        <v>39</v>
      </c>
      <c r="G3646" s="15"/>
      <c r="H3646" s="15"/>
      <c r="I3646" s="15"/>
      <c r="J3646" s="16" t="s">
        <v>100</v>
      </c>
      <c r="K3646" s="15" t="s">
        <v>6741</v>
      </c>
      <c r="L3646" s="17">
        <v>1</v>
      </c>
      <c r="M3646" s="17">
        <v>50</v>
      </c>
      <c r="N3646" s="17">
        <v>1</v>
      </c>
      <c r="O3646" s="18">
        <v>1455.33</v>
      </c>
      <c r="P3646" s="18">
        <v>1192.8900000000001</v>
      </c>
      <c r="Q3646" s="18">
        <v>1149.71</v>
      </c>
      <c r="R3646" s="18">
        <v>942.39</v>
      </c>
      <c r="S3646" s="18">
        <v>989.62</v>
      </c>
      <c r="T3646" s="18">
        <v>811.16</v>
      </c>
      <c r="U3646" s="16"/>
      <c r="V3646" s="16"/>
      <c r="W3646" s="16" t="s">
        <v>40</v>
      </c>
      <c r="X3646" s="19">
        <v>0.56699999999999995</v>
      </c>
      <c r="Y3646" s="20">
        <v>1.3420000000000001E-3</v>
      </c>
      <c r="Z3646" s="21">
        <v>4660008014179</v>
      </c>
    </row>
    <row r="3647" spans="1:26" ht="12" customHeight="1" outlineLevel="3" x14ac:dyDescent="0.2">
      <c r="A3647" s="32" t="s">
        <v>7099</v>
      </c>
      <c r="B3647" s="74" t="s">
        <v>7100</v>
      </c>
      <c r="C3647" s="50"/>
      <c r="D3647" s="53">
        <f t="shared" si="56"/>
        <v>0</v>
      </c>
      <c r="E3647" s="60" t="str">
        <f>HYPERLINK("https://www.sds-group.ru/product/krimper-dlya-obzhima-shtyrevyh-nakonechnikov-0-5-4-0mm-rexant-12-3013/", "Инфо")</f>
        <v>Инфо</v>
      </c>
      <c r="F3647" s="34" t="s">
        <v>39</v>
      </c>
      <c r="G3647" s="33"/>
      <c r="H3647" s="33" t="s">
        <v>40</v>
      </c>
      <c r="I3647" s="33"/>
      <c r="J3647" s="35">
        <v>190</v>
      </c>
      <c r="K3647" s="33"/>
      <c r="L3647" s="35">
        <v>1</v>
      </c>
      <c r="M3647" s="35">
        <v>50</v>
      </c>
      <c r="N3647" s="35">
        <v>1</v>
      </c>
      <c r="O3647" s="36">
        <v>1563.13</v>
      </c>
      <c r="P3647" s="36">
        <v>1281.25</v>
      </c>
      <c r="Q3647" s="36">
        <v>1203.6099999999999</v>
      </c>
      <c r="R3647" s="36">
        <v>986.57</v>
      </c>
      <c r="S3647" s="36">
        <v>1062.93</v>
      </c>
      <c r="T3647" s="36">
        <v>871.25</v>
      </c>
      <c r="U3647" s="34"/>
      <c r="V3647" s="34"/>
      <c r="W3647" s="34" t="s">
        <v>40</v>
      </c>
      <c r="X3647" s="37">
        <v>0.56499999999999995</v>
      </c>
      <c r="Y3647" s="38">
        <v>1.3450000000000001E-3</v>
      </c>
      <c r="Z3647" s="21">
        <v>4660008011574</v>
      </c>
    </row>
    <row r="3648" spans="1:26" ht="12" customHeight="1" outlineLevel="3" x14ac:dyDescent="0.2">
      <c r="A3648" s="14" t="s">
        <v>7101</v>
      </c>
      <c r="B3648" s="26" t="s">
        <v>7102</v>
      </c>
      <c r="C3648" s="52"/>
      <c r="D3648" s="55">
        <f t="shared" si="56"/>
        <v>0</v>
      </c>
      <c r="E3648" s="63" t="str">
        <f>HYPERLINK("https://www.sds-group.ru/product/krimper-dlya-obzhima-shtyrevyh-nakonechnikov-6-0-10-0-16-0mm-proconnect-12-3019-4/", "Инфо")</f>
        <v>Инфо</v>
      </c>
      <c r="F3648" s="16" t="s">
        <v>39</v>
      </c>
      <c r="G3648" s="15"/>
      <c r="H3648" s="15"/>
      <c r="I3648" s="15"/>
      <c r="J3648" s="17">
        <v>208</v>
      </c>
      <c r="K3648" s="15"/>
      <c r="L3648" s="17">
        <v>1</v>
      </c>
      <c r="M3648" s="17">
        <v>50</v>
      </c>
      <c r="N3648" s="17">
        <v>1</v>
      </c>
      <c r="O3648" s="18">
        <v>1401.43</v>
      </c>
      <c r="P3648" s="18">
        <v>1148.71</v>
      </c>
      <c r="Q3648" s="18">
        <v>981</v>
      </c>
      <c r="R3648" s="18">
        <v>804.1</v>
      </c>
      <c r="S3648" s="18">
        <v>952.97</v>
      </c>
      <c r="T3648" s="18">
        <v>781.12</v>
      </c>
      <c r="U3648" s="16"/>
      <c r="V3648" s="16"/>
      <c r="W3648" s="16"/>
      <c r="X3648" s="19">
        <v>0.57399999999999995</v>
      </c>
      <c r="Y3648" s="20">
        <v>1.3110000000000001E-3</v>
      </c>
      <c r="Z3648" s="21">
        <v>4660008014223</v>
      </c>
    </row>
    <row r="3649" spans="1:26" ht="12" customHeight="1" outlineLevel="3" x14ac:dyDescent="0.2">
      <c r="A3649" s="32" t="s">
        <v>7103</v>
      </c>
      <c r="B3649" s="74" t="s">
        <v>7104</v>
      </c>
      <c r="C3649" s="50"/>
      <c r="D3649" s="53">
        <f t="shared" si="56"/>
        <v>0</v>
      </c>
      <c r="E3649" s="60" t="str">
        <f>HYPERLINK("https://www.sds-group.ru/product/krimper-dlya-obzhima-shtyrevyh-nakonechnikov-6-0-10-0-16-0mm-rexant-12-3019/", "Инфо")</f>
        <v>Инфо</v>
      </c>
      <c r="F3649" s="34" t="s">
        <v>39</v>
      </c>
      <c r="G3649" s="33"/>
      <c r="H3649" s="33" t="s">
        <v>40</v>
      </c>
      <c r="I3649" s="33"/>
      <c r="J3649" s="35">
        <v>61</v>
      </c>
      <c r="K3649" s="33"/>
      <c r="L3649" s="35">
        <v>1</v>
      </c>
      <c r="M3649" s="35">
        <v>50</v>
      </c>
      <c r="N3649" s="35">
        <v>1</v>
      </c>
      <c r="O3649" s="36">
        <v>1536.18</v>
      </c>
      <c r="P3649" s="36">
        <v>1259.1600000000001</v>
      </c>
      <c r="Q3649" s="36">
        <v>1075.33</v>
      </c>
      <c r="R3649" s="36">
        <v>881.42</v>
      </c>
      <c r="S3649" s="36">
        <v>1044.5999999999999</v>
      </c>
      <c r="T3649" s="36">
        <v>856.23</v>
      </c>
      <c r="U3649" s="34"/>
      <c r="V3649" s="34"/>
      <c r="W3649" s="34"/>
      <c r="X3649" s="37">
        <v>0.56999999999999995</v>
      </c>
      <c r="Y3649" s="38">
        <v>1.2210000000000001E-3</v>
      </c>
      <c r="Z3649" s="21">
        <v>4660008014216</v>
      </c>
    </row>
    <row r="3650" spans="1:26" ht="12" customHeight="1" outlineLevel="3" x14ac:dyDescent="0.2">
      <c r="A3650" s="14" t="s">
        <v>7105</v>
      </c>
      <c r="B3650" s="26" t="s">
        <v>7106</v>
      </c>
      <c r="C3650" s="52"/>
      <c r="D3650" s="55">
        <f t="shared" si="56"/>
        <v>0</v>
      </c>
      <c r="E3650" s="63" t="str">
        <f>HYPERLINK("https://www.sds-group.ru/product/krimper-dlya-obzhima-shtyrevyh-nakonechnikov-6-0-16-0mm-rexant-12-3206/", "Инфо")</f>
        <v>Инфо</v>
      </c>
      <c r="F3650" s="16" t="s">
        <v>39</v>
      </c>
      <c r="G3650" s="15"/>
      <c r="H3650" s="15"/>
      <c r="I3650" s="15"/>
      <c r="J3650" s="17">
        <v>158</v>
      </c>
      <c r="K3650" s="15"/>
      <c r="L3650" s="17">
        <v>1</v>
      </c>
      <c r="M3650" s="17">
        <v>50</v>
      </c>
      <c r="N3650" s="17">
        <v>1</v>
      </c>
      <c r="O3650" s="18">
        <v>3557.47</v>
      </c>
      <c r="P3650" s="18">
        <v>2915.96</v>
      </c>
      <c r="Q3650" s="18">
        <v>2596.9499999999998</v>
      </c>
      <c r="R3650" s="18">
        <v>2128.65</v>
      </c>
      <c r="S3650" s="18">
        <v>2419.08</v>
      </c>
      <c r="T3650" s="18">
        <v>1982.85</v>
      </c>
      <c r="U3650" s="16"/>
      <c r="V3650" s="16"/>
      <c r="W3650" s="16" t="s">
        <v>40</v>
      </c>
      <c r="X3650" s="19">
        <v>0.626</v>
      </c>
      <c r="Y3650" s="20">
        <v>1.2279999999999999E-3</v>
      </c>
      <c r="Z3650" s="21">
        <v>4660008014391</v>
      </c>
    </row>
    <row r="3651" spans="1:26" ht="12" customHeight="1" outlineLevel="3" x14ac:dyDescent="0.2">
      <c r="A3651" s="14" t="s">
        <v>7107</v>
      </c>
      <c r="B3651" s="26" t="s">
        <v>7108</v>
      </c>
      <c r="C3651" s="52"/>
      <c r="D3651" s="55">
        <f t="shared" si="56"/>
        <v>0</v>
      </c>
      <c r="E3651" s="63" t="str">
        <f>HYPERLINK("https://www.sds-group.ru/product/krimper-dlya-obzhima-shtyrevyh-nakonechnikov-0-25-6-0mm-proconnect-12-3205-4/", "Инфо")</f>
        <v>Инфо</v>
      </c>
      <c r="F3651" s="16" t="s">
        <v>39</v>
      </c>
      <c r="G3651" s="15"/>
      <c r="H3651" s="15"/>
      <c r="I3651" s="15"/>
      <c r="J3651" s="17">
        <v>216</v>
      </c>
      <c r="K3651" s="15"/>
      <c r="L3651" s="17">
        <v>1</v>
      </c>
      <c r="M3651" s="17">
        <v>50</v>
      </c>
      <c r="N3651" s="17">
        <v>1</v>
      </c>
      <c r="O3651" s="18">
        <v>1696</v>
      </c>
      <c r="P3651" s="18">
        <v>1390.16</v>
      </c>
      <c r="Q3651" s="18">
        <v>1238.08</v>
      </c>
      <c r="R3651" s="18">
        <v>1014.82</v>
      </c>
      <c r="S3651" s="18">
        <v>1153.28</v>
      </c>
      <c r="T3651" s="18">
        <v>945.31</v>
      </c>
      <c r="U3651" s="16"/>
      <c r="V3651" s="16"/>
      <c r="W3651" s="16" t="s">
        <v>40</v>
      </c>
      <c r="X3651" s="19">
        <v>0.45300000000000001</v>
      </c>
      <c r="Y3651" s="20">
        <v>1.2769999999999999E-3</v>
      </c>
      <c r="Z3651" s="21">
        <v>4601004165076</v>
      </c>
    </row>
    <row r="3652" spans="1:26" ht="12" customHeight="1" outlineLevel="3" x14ac:dyDescent="0.2">
      <c r="A3652" s="14" t="s">
        <v>7109</v>
      </c>
      <c r="B3652" s="26" t="s">
        <v>7110</v>
      </c>
      <c r="C3652" s="52"/>
      <c r="D3652" s="55">
        <f t="shared" si="56"/>
        <v>0</v>
      </c>
      <c r="E3652" s="63" t="str">
        <f>HYPERLINK("https://www.sds-group.ru/product/krimper-dlya-obzhima-shtyrevyh-nakonechnikov-0-08-6-0mm-rexant-12-3205/", "Инфо")</f>
        <v>Инфо</v>
      </c>
      <c r="F3652" s="16" t="s">
        <v>39</v>
      </c>
      <c r="G3652" s="15"/>
      <c r="H3652" s="15"/>
      <c r="I3652" s="15"/>
      <c r="J3652" s="17">
        <v>601</v>
      </c>
      <c r="K3652" s="15" t="s">
        <v>6741</v>
      </c>
      <c r="L3652" s="17">
        <v>1</v>
      </c>
      <c r="M3652" s="17">
        <v>50</v>
      </c>
      <c r="N3652" s="17">
        <v>1</v>
      </c>
      <c r="O3652" s="18">
        <v>1908</v>
      </c>
      <c r="P3652" s="18">
        <v>1563.93</v>
      </c>
      <c r="Q3652" s="18">
        <v>1392.84</v>
      </c>
      <c r="R3652" s="18">
        <v>1141.67</v>
      </c>
      <c r="S3652" s="18">
        <v>1297.44</v>
      </c>
      <c r="T3652" s="18">
        <v>1063.48</v>
      </c>
      <c r="U3652" s="16"/>
      <c r="V3652" s="16"/>
      <c r="W3652" s="16" t="s">
        <v>40</v>
      </c>
      <c r="X3652" s="19">
        <v>0.434</v>
      </c>
      <c r="Y3652" s="20">
        <v>9.3999999999999997E-4</v>
      </c>
      <c r="Z3652" s="21">
        <v>4660008014384</v>
      </c>
    </row>
    <row r="3653" spans="1:26" ht="12" customHeight="1" outlineLevel="3" x14ac:dyDescent="0.2">
      <c r="A3653" s="14" t="s">
        <v>7111</v>
      </c>
      <c r="B3653" s="26" t="s">
        <v>7112</v>
      </c>
      <c r="C3653" s="52"/>
      <c r="D3653" s="55">
        <f t="shared" si="56"/>
        <v>0</v>
      </c>
      <c r="E3653" s="63" t="str">
        <f>HYPERLINK("https://www.sds-group.ru/product/krimper-kombinirovannyy-dlya-obzhima-izolirovannyh-i-shtyrevyh-nakonechnikov-0-5-2-5mm-rexan-12-3219/", "Инфо")</f>
        <v>Инфо</v>
      </c>
      <c r="F3653" s="16" t="s">
        <v>39</v>
      </c>
      <c r="G3653" s="15"/>
      <c r="H3653" s="15"/>
      <c r="I3653" s="15"/>
      <c r="J3653" s="17">
        <v>333</v>
      </c>
      <c r="K3653" s="15"/>
      <c r="L3653" s="17">
        <v>1</v>
      </c>
      <c r="M3653" s="17">
        <v>50</v>
      </c>
      <c r="N3653" s="17">
        <v>1</v>
      </c>
      <c r="O3653" s="18">
        <v>1724.83</v>
      </c>
      <c r="P3653" s="18">
        <v>1413.8</v>
      </c>
      <c r="Q3653" s="18">
        <v>1328.12</v>
      </c>
      <c r="R3653" s="18">
        <v>1088.6199999999999</v>
      </c>
      <c r="S3653" s="18">
        <v>1172.8800000000001</v>
      </c>
      <c r="T3653" s="18">
        <v>961.38</v>
      </c>
      <c r="U3653" s="16"/>
      <c r="V3653" s="16"/>
      <c r="W3653" s="16" t="s">
        <v>40</v>
      </c>
      <c r="X3653" s="19">
        <v>0.63500000000000001</v>
      </c>
      <c r="Y3653" s="20">
        <v>1.034E-3</v>
      </c>
      <c r="Z3653" s="21">
        <v>4601004163058</v>
      </c>
    </row>
    <row r="3654" spans="1:26" ht="12" customHeight="1" outlineLevel="3" x14ac:dyDescent="0.2">
      <c r="A3654" s="32" t="s">
        <v>7113</v>
      </c>
      <c r="B3654" s="74" t="s">
        <v>7114</v>
      </c>
      <c r="C3654" s="50"/>
      <c r="D3654" s="53">
        <f t="shared" si="56"/>
        <v>0</v>
      </c>
      <c r="E3654" s="60" t="str">
        <f>HYPERLINK("https://www.sds-group.ru/product/press-mehanicheskiy-dlya-obzhima-vtulochnyh-nakonechnikov-10-50mm-rexant-12-3220/", "Инфо")</f>
        <v>Инфо</v>
      </c>
      <c r="F3654" s="34" t="s">
        <v>39</v>
      </c>
      <c r="G3654" s="33"/>
      <c r="H3654" s="33" t="s">
        <v>40</v>
      </c>
      <c r="I3654" s="33"/>
      <c r="J3654" s="35">
        <v>52</v>
      </c>
      <c r="K3654" s="33"/>
      <c r="L3654" s="35">
        <v>1</v>
      </c>
      <c r="M3654" s="35">
        <v>30</v>
      </c>
      <c r="N3654" s="35">
        <v>1</v>
      </c>
      <c r="O3654" s="36">
        <v>3557.47</v>
      </c>
      <c r="P3654" s="36">
        <v>2915.96</v>
      </c>
      <c r="Q3654" s="36">
        <v>3095</v>
      </c>
      <c r="R3654" s="36">
        <v>2536.89</v>
      </c>
      <c r="S3654" s="36">
        <v>2419.08</v>
      </c>
      <c r="T3654" s="36">
        <v>1982.85</v>
      </c>
      <c r="U3654" s="34"/>
      <c r="V3654" s="34"/>
      <c r="W3654" s="34" t="s">
        <v>40</v>
      </c>
      <c r="X3654" s="37">
        <v>0.78</v>
      </c>
      <c r="Y3654" s="38">
        <v>9.6599999999999995E-4</v>
      </c>
      <c r="Z3654" s="21">
        <v>4601004163089</v>
      </c>
    </row>
    <row r="3655" spans="1:26" ht="12" customHeight="1" outlineLevel="3" x14ac:dyDescent="0.2">
      <c r="A3655" s="14" t="s">
        <v>7115</v>
      </c>
      <c r="B3655" s="26" t="s">
        <v>7116</v>
      </c>
      <c r="C3655" s="52"/>
      <c r="D3655" s="55">
        <f t="shared" si="56"/>
        <v>0</v>
      </c>
      <c r="E3655" s="63" t="str">
        <f>HYPERLINK("https://www.sds-group.ru/product/press-kleschi-dlya-obzhima-vtulochnyh-nakonechnikov-0-5-16mm-rexant-12-3208/", "Инфо")</f>
        <v>Инфо</v>
      </c>
      <c r="F3655" s="16" t="s">
        <v>39</v>
      </c>
      <c r="G3655" s="15"/>
      <c r="H3655" s="15"/>
      <c r="I3655" s="15"/>
      <c r="J3655" s="17">
        <v>869</v>
      </c>
      <c r="K3655" s="15" t="s">
        <v>662</v>
      </c>
      <c r="L3655" s="17">
        <v>1</v>
      </c>
      <c r="M3655" s="17">
        <v>80</v>
      </c>
      <c r="N3655" s="17">
        <v>1</v>
      </c>
      <c r="O3655" s="18">
        <v>1401.43</v>
      </c>
      <c r="P3655" s="18">
        <v>1148.71</v>
      </c>
      <c r="Q3655" s="18">
        <v>1107.1300000000001</v>
      </c>
      <c r="R3655" s="18">
        <v>907.48</v>
      </c>
      <c r="S3655" s="18">
        <v>952.97</v>
      </c>
      <c r="T3655" s="18">
        <v>781.12</v>
      </c>
      <c r="U3655" s="16"/>
      <c r="V3655" s="16"/>
      <c r="W3655" s="16" t="s">
        <v>40</v>
      </c>
      <c r="X3655" s="19">
        <v>0.32800000000000001</v>
      </c>
      <c r="Y3655" s="20">
        <v>5.2599999999999999E-4</v>
      </c>
      <c r="Z3655" s="21">
        <v>4601004163102</v>
      </c>
    </row>
    <row r="3656" spans="1:26" ht="12" customHeight="1" outlineLevel="3" x14ac:dyDescent="0.2">
      <c r="A3656" s="14" t="s">
        <v>7117</v>
      </c>
      <c r="B3656" s="26" t="s">
        <v>7118</v>
      </c>
      <c r="C3656" s="52"/>
      <c r="D3656" s="55">
        <f t="shared" si="56"/>
        <v>0</v>
      </c>
      <c r="E3656" s="63" t="str">
        <f>HYPERLINK("https://www.sds-group.ru/product/press-kleschi-dlya-obzhima-vtulochnyh-nakonechnikov-10-35mm-rexant-12-3209/", "Инфо")</f>
        <v>Инфо</v>
      </c>
      <c r="F3656" s="16" t="s">
        <v>39</v>
      </c>
      <c r="G3656" s="15"/>
      <c r="H3656" s="15"/>
      <c r="I3656" s="15"/>
      <c r="J3656" s="17">
        <v>94</v>
      </c>
      <c r="K3656" s="15" t="s">
        <v>6939</v>
      </c>
      <c r="L3656" s="17">
        <v>1</v>
      </c>
      <c r="M3656" s="17">
        <v>80</v>
      </c>
      <c r="N3656" s="17">
        <v>1</v>
      </c>
      <c r="O3656" s="18">
        <v>1509.23</v>
      </c>
      <c r="P3656" s="18">
        <v>1237.07</v>
      </c>
      <c r="Q3656" s="18">
        <v>1192.29</v>
      </c>
      <c r="R3656" s="18">
        <v>977.29</v>
      </c>
      <c r="S3656" s="18">
        <v>1026.28</v>
      </c>
      <c r="T3656" s="18">
        <v>841.21</v>
      </c>
      <c r="U3656" s="16"/>
      <c r="V3656" s="16"/>
      <c r="W3656" s="16" t="s">
        <v>40</v>
      </c>
      <c r="X3656" s="19">
        <v>0.41899999999999998</v>
      </c>
      <c r="Y3656" s="20">
        <v>7.5199999999999996E-4</v>
      </c>
      <c r="Z3656" s="21">
        <v>4601004163119</v>
      </c>
    </row>
    <row r="3657" spans="1:26" ht="12.95" customHeight="1" outlineLevel="2" x14ac:dyDescent="0.2">
      <c r="A3657" s="76" t="s">
        <v>7119</v>
      </c>
      <c r="B3657" s="76"/>
      <c r="C3657" s="77"/>
      <c r="D3657" s="58"/>
      <c r="E3657" s="68"/>
      <c r="F3657" s="13"/>
      <c r="G3657" s="13"/>
      <c r="H3657" s="13"/>
      <c r="I3657" s="13"/>
      <c r="J3657" s="13"/>
      <c r="K3657" s="13"/>
      <c r="L3657" s="13"/>
      <c r="M3657" s="13"/>
      <c r="N3657" s="13"/>
      <c r="O3657" s="13"/>
      <c r="P3657" s="13"/>
      <c r="Q3657" s="13"/>
      <c r="R3657" s="13"/>
      <c r="S3657" s="13"/>
      <c r="T3657" s="13"/>
      <c r="U3657" s="13"/>
      <c r="V3657" s="13"/>
      <c r="W3657" s="13"/>
      <c r="X3657" s="13"/>
      <c r="Y3657" s="13"/>
      <c r="Z3657" s="13"/>
    </row>
    <row r="3658" spans="1:26" ht="12" customHeight="1" outlineLevel="3" x14ac:dyDescent="0.2">
      <c r="A3658" s="14" t="s">
        <v>7120</v>
      </c>
      <c r="B3658" s="26" t="s">
        <v>7121</v>
      </c>
      <c r="C3658" s="52"/>
      <c r="D3658" s="55">
        <f t="shared" ref="D3658:D3720" si="57">C3658*(O3658-O3658*$G$3)</f>
        <v>0</v>
      </c>
      <c r="E3658" s="63" t="str">
        <f>HYPERLINK("https://www.sds-group.ru/product/krimper-dlya-obzhima-f-i-bnc-razemov-tipa-rg-58-rg-59-rg-62-rg-6-rexant-12-3214/", "Инфо")</f>
        <v>Инфо</v>
      </c>
      <c r="F3658" s="16" t="s">
        <v>39</v>
      </c>
      <c r="G3658" s="15"/>
      <c r="H3658" s="15"/>
      <c r="I3658" s="15"/>
      <c r="J3658" s="17">
        <v>338</v>
      </c>
      <c r="K3658" s="15" t="s">
        <v>6741</v>
      </c>
      <c r="L3658" s="17">
        <v>1</v>
      </c>
      <c r="M3658" s="17">
        <v>50</v>
      </c>
      <c r="N3658" s="17">
        <v>1</v>
      </c>
      <c r="O3658" s="18">
        <v>1563.13</v>
      </c>
      <c r="P3658" s="18">
        <v>1281.25</v>
      </c>
      <c r="Q3658" s="18">
        <v>1203.6099999999999</v>
      </c>
      <c r="R3658" s="18">
        <v>986.57</v>
      </c>
      <c r="S3658" s="18">
        <v>1062.93</v>
      </c>
      <c r="T3658" s="18">
        <v>871.25</v>
      </c>
      <c r="U3658" s="16"/>
      <c r="V3658" s="16"/>
      <c r="W3658" s="16" t="s">
        <v>40</v>
      </c>
      <c r="X3658" s="19">
        <v>0.56999999999999995</v>
      </c>
      <c r="Y3658" s="20">
        <v>1.325E-3</v>
      </c>
      <c r="Z3658" s="21">
        <v>4660008014070</v>
      </c>
    </row>
    <row r="3659" spans="1:26" ht="12" customHeight="1" outlineLevel="3" x14ac:dyDescent="0.2">
      <c r="A3659" s="14" t="s">
        <v>7122</v>
      </c>
      <c r="B3659" s="26" t="s">
        <v>7123</v>
      </c>
      <c r="C3659" s="52"/>
      <c r="D3659" s="55">
        <f t="shared" si="57"/>
        <v>0</v>
      </c>
      <c r="E3659" s="63" t="str">
        <f>HYPERLINK("https://www.sds-group.ru/product/krimper-dlya-obzhima-f-i-bnc-razemov-tipa-rg-174-rg-179-rexant-12-3015/", "Инфо")</f>
        <v>Инфо</v>
      </c>
      <c r="F3659" s="16" t="s">
        <v>39</v>
      </c>
      <c r="G3659" s="15"/>
      <c r="H3659" s="15"/>
      <c r="I3659" s="15"/>
      <c r="J3659" s="17">
        <v>68</v>
      </c>
      <c r="K3659" s="15" t="s">
        <v>6741</v>
      </c>
      <c r="L3659" s="17">
        <v>1</v>
      </c>
      <c r="M3659" s="17">
        <v>50</v>
      </c>
      <c r="N3659" s="17">
        <v>1</v>
      </c>
      <c r="O3659" s="18">
        <v>1724.83</v>
      </c>
      <c r="P3659" s="18">
        <v>1413.8</v>
      </c>
      <c r="Q3659" s="18">
        <v>1328.12</v>
      </c>
      <c r="R3659" s="18">
        <v>1088.6199999999999</v>
      </c>
      <c r="S3659" s="18">
        <v>1172.8800000000001</v>
      </c>
      <c r="T3659" s="18">
        <v>961.38</v>
      </c>
      <c r="U3659" s="16"/>
      <c r="V3659" s="16"/>
      <c r="W3659" s="16" t="s">
        <v>40</v>
      </c>
      <c r="X3659" s="19">
        <v>0.55600000000000005</v>
      </c>
      <c r="Y3659" s="20">
        <v>1.389E-3</v>
      </c>
      <c r="Z3659" s="21">
        <v>4601004005143</v>
      </c>
    </row>
    <row r="3660" spans="1:26" ht="12" customHeight="1" outlineLevel="3" x14ac:dyDescent="0.2">
      <c r="A3660" s="14" t="s">
        <v>7124</v>
      </c>
      <c r="B3660" s="26" t="s">
        <v>7125</v>
      </c>
      <c r="C3660" s="52"/>
      <c r="D3660" s="55">
        <f t="shared" si="57"/>
        <v>0</v>
      </c>
      <c r="E3660" s="63" t="str">
        <f>HYPERLINK("https://www.sds-group.ru/product/krimper-dlya-obzhima-f-i-bnc-razemov-tipa-rg-58-rg-6-rg-11-rg-213-rexant-12-3204/", "Инфо")</f>
        <v>Инфо</v>
      </c>
      <c r="F3660" s="16" t="s">
        <v>39</v>
      </c>
      <c r="G3660" s="15"/>
      <c r="H3660" s="15"/>
      <c r="I3660" s="15"/>
      <c r="J3660" s="17">
        <v>21</v>
      </c>
      <c r="K3660" s="15" t="s">
        <v>1094</v>
      </c>
      <c r="L3660" s="17">
        <v>1</v>
      </c>
      <c r="M3660" s="17">
        <v>50</v>
      </c>
      <c r="N3660" s="17">
        <v>1</v>
      </c>
      <c r="O3660" s="18">
        <v>1590</v>
      </c>
      <c r="P3660" s="18">
        <v>1303.28</v>
      </c>
      <c r="Q3660" s="18">
        <v>1160.7</v>
      </c>
      <c r="R3660" s="18">
        <v>951.39</v>
      </c>
      <c r="S3660" s="18">
        <v>1081.2</v>
      </c>
      <c r="T3660" s="18">
        <v>886.23</v>
      </c>
      <c r="U3660" s="16"/>
      <c r="V3660" s="16"/>
      <c r="W3660" s="16" t="s">
        <v>40</v>
      </c>
      <c r="X3660" s="19">
        <v>0.75600000000000001</v>
      </c>
      <c r="Y3660" s="20">
        <v>1.2769999999999999E-3</v>
      </c>
      <c r="Z3660" s="21">
        <v>4660008014377</v>
      </c>
    </row>
    <row r="3661" spans="1:26" ht="12" customHeight="1" outlineLevel="3" x14ac:dyDescent="0.2">
      <c r="A3661" s="14" t="s">
        <v>7126</v>
      </c>
      <c r="B3661" s="26" t="s">
        <v>7127</v>
      </c>
      <c r="C3661" s="52"/>
      <c r="D3661" s="55">
        <f t="shared" si="57"/>
        <v>0</v>
      </c>
      <c r="E3661" s="63" t="str">
        <f>HYPERLINK("https://www.sds-group.ru/product/krimper-dlya-obzhima-f-i-bnc-razemov-tipa-rg-59-rg-58-rg-62-rg-174-rexant-12-3213/", "Инфо")</f>
        <v>Инфо</v>
      </c>
      <c r="F3661" s="16" t="s">
        <v>39</v>
      </c>
      <c r="G3661" s="15"/>
      <c r="H3661" s="15"/>
      <c r="I3661" s="15"/>
      <c r="J3661" s="17">
        <v>6</v>
      </c>
      <c r="K3661" s="15" t="s">
        <v>6744</v>
      </c>
      <c r="L3661" s="17">
        <v>1</v>
      </c>
      <c r="M3661" s="17">
        <v>50</v>
      </c>
      <c r="N3661" s="17">
        <v>1</v>
      </c>
      <c r="O3661" s="18">
        <v>1724.83</v>
      </c>
      <c r="P3661" s="18">
        <v>1413.8</v>
      </c>
      <c r="Q3661" s="18">
        <v>1328.12</v>
      </c>
      <c r="R3661" s="18">
        <v>1088.6199999999999</v>
      </c>
      <c r="S3661" s="18">
        <v>1172.8800000000001</v>
      </c>
      <c r="T3661" s="18">
        <v>961.38</v>
      </c>
      <c r="U3661" s="16"/>
      <c r="V3661" s="16"/>
      <c r="W3661" s="16" t="s">
        <v>40</v>
      </c>
      <c r="X3661" s="19">
        <v>0.56799999999999995</v>
      </c>
      <c r="Y3661" s="20">
        <v>1.3439999999999999E-3</v>
      </c>
      <c r="Z3661" s="21">
        <v>4660008017323</v>
      </c>
    </row>
    <row r="3662" spans="1:26" ht="12.95" customHeight="1" outlineLevel="2" x14ac:dyDescent="0.2">
      <c r="A3662" s="76" t="s">
        <v>7128</v>
      </c>
      <c r="B3662" s="76"/>
      <c r="C3662" s="77"/>
      <c r="D3662" s="58"/>
      <c r="E3662" s="68"/>
      <c r="F3662" s="13"/>
      <c r="G3662" s="13"/>
      <c r="H3662" s="13"/>
      <c r="I3662" s="13"/>
      <c r="J3662" s="13"/>
      <c r="K3662" s="13"/>
      <c r="L3662" s="13"/>
      <c r="M3662" s="13"/>
      <c r="N3662" s="13"/>
      <c r="O3662" s="13"/>
      <c r="P3662" s="13"/>
      <c r="Q3662" s="13"/>
      <c r="R3662" s="13"/>
      <c r="S3662" s="13"/>
      <c r="T3662" s="13"/>
      <c r="U3662" s="13"/>
      <c r="V3662" s="13"/>
      <c r="W3662" s="13"/>
      <c r="X3662" s="13"/>
      <c r="Y3662" s="13"/>
      <c r="Z3662" s="13"/>
    </row>
    <row r="3663" spans="1:26" ht="12" customHeight="1" outlineLevel="3" x14ac:dyDescent="0.2">
      <c r="A3663" s="14" t="s">
        <v>7129</v>
      </c>
      <c r="B3663" s="26" t="s">
        <v>7130</v>
      </c>
      <c r="C3663" s="52"/>
      <c r="D3663" s="55">
        <f t="shared" si="57"/>
        <v>0</v>
      </c>
      <c r="E3663" s="63" t="str">
        <f>HYPERLINK("https://www.sds-group.ru/product/krimper-dlya-obzhima-10p10c-8p8c-6p6c-4p4c-rexant-12-3442/", "Инфо")</f>
        <v>Инфо</v>
      </c>
      <c r="F3663" s="16" t="s">
        <v>39</v>
      </c>
      <c r="G3663" s="15"/>
      <c r="H3663" s="15"/>
      <c r="I3663" s="15"/>
      <c r="J3663" s="17">
        <v>191</v>
      </c>
      <c r="K3663" s="15" t="s">
        <v>6344</v>
      </c>
      <c r="L3663" s="17">
        <v>1</v>
      </c>
      <c r="M3663" s="17">
        <v>50</v>
      </c>
      <c r="N3663" s="17">
        <v>1</v>
      </c>
      <c r="O3663" s="18">
        <v>1717.2</v>
      </c>
      <c r="P3663" s="18">
        <v>1407.54</v>
      </c>
      <c r="Q3663" s="18">
        <v>1253.56</v>
      </c>
      <c r="R3663" s="18">
        <v>1027.51</v>
      </c>
      <c r="S3663" s="18">
        <v>1167.7</v>
      </c>
      <c r="T3663" s="18">
        <v>957.13</v>
      </c>
      <c r="U3663" s="16"/>
      <c r="V3663" s="16"/>
      <c r="W3663" s="16" t="s">
        <v>40</v>
      </c>
      <c r="X3663" s="19">
        <v>0.60399999999999998</v>
      </c>
      <c r="Y3663" s="20">
        <v>1.175E-3</v>
      </c>
      <c r="Z3663" s="21">
        <v>4601004002814</v>
      </c>
    </row>
    <row r="3664" spans="1:26" ht="12" customHeight="1" outlineLevel="3" x14ac:dyDescent="0.2">
      <c r="A3664" s="14" t="s">
        <v>7131</v>
      </c>
      <c r="B3664" s="26" t="s">
        <v>7132</v>
      </c>
      <c r="C3664" s="52"/>
      <c r="D3664" s="55">
        <f t="shared" si="57"/>
        <v>0</v>
      </c>
      <c r="E3664" s="63" t="str">
        <f>HYPERLINK("https://www.sds-group.ru/product/krimper-dlya-obzhima-8p8c-proconnect-12-3451-4/", "Инфо")</f>
        <v>Инфо</v>
      </c>
      <c r="F3664" s="16" t="s">
        <v>39</v>
      </c>
      <c r="G3664" s="15"/>
      <c r="H3664" s="15"/>
      <c r="I3664" s="15"/>
      <c r="J3664" s="22">
        <v>1616</v>
      </c>
      <c r="K3664" s="15" t="s">
        <v>1094</v>
      </c>
      <c r="L3664" s="17">
        <v>1</v>
      </c>
      <c r="M3664" s="17">
        <v>50</v>
      </c>
      <c r="N3664" s="17">
        <v>1</v>
      </c>
      <c r="O3664" s="18">
        <v>720.8</v>
      </c>
      <c r="P3664" s="18">
        <v>590.82000000000005</v>
      </c>
      <c r="Q3664" s="18">
        <v>576.64</v>
      </c>
      <c r="R3664" s="18">
        <v>472.66</v>
      </c>
      <c r="S3664" s="18">
        <v>490.14</v>
      </c>
      <c r="T3664" s="18">
        <v>401.75</v>
      </c>
      <c r="U3664" s="16"/>
      <c r="V3664" s="16"/>
      <c r="W3664" s="16" t="s">
        <v>40</v>
      </c>
      <c r="X3664" s="19">
        <v>0.313</v>
      </c>
      <c r="Y3664" s="20">
        <v>9.0899999999999998E-4</v>
      </c>
      <c r="Z3664" s="21">
        <v>4660008014544</v>
      </c>
    </row>
    <row r="3665" spans="1:26" ht="12" customHeight="1" outlineLevel="3" x14ac:dyDescent="0.2">
      <c r="A3665" s="14" t="s">
        <v>7133</v>
      </c>
      <c r="B3665" s="26" t="s">
        <v>7134</v>
      </c>
      <c r="C3665" s="52"/>
      <c r="D3665" s="55">
        <f t="shared" si="57"/>
        <v>0</v>
      </c>
      <c r="E3665" s="63" t="str">
        <f>HYPERLINK("https://www.sds-group.ru/product/krimper-dlya-obzhima-8p8c-rexant-12-3451/", "Инфо")</f>
        <v>Инфо</v>
      </c>
      <c r="F3665" s="16" t="s">
        <v>39</v>
      </c>
      <c r="G3665" s="15"/>
      <c r="H3665" s="15"/>
      <c r="I3665" s="15"/>
      <c r="J3665" s="22">
        <v>1287</v>
      </c>
      <c r="K3665" s="15" t="s">
        <v>1094</v>
      </c>
      <c r="L3665" s="17">
        <v>1</v>
      </c>
      <c r="M3665" s="17">
        <v>50</v>
      </c>
      <c r="N3665" s="17">
        <v>1</v>
      </c>
      <c r="O3665" s="18">
        <v>784.4</v>
      </c>
      <c r="P3665" s="18">
        <v>642.95000000000005</v>
      </c>
      <c r="Q3665" s="18">
        <v>627.52</v>
      </c>
      <c r="R3665" s="18">
        <v>514.36</v>
      </c>
      <c r="S3665" s="18">
        <v>533.39</v>
      </c>
      <c r="T3665" s="18">
        <v>437.2</v>
      </c>
      <c r="U3665" s="16"/>
      <c r="V3665" s="16"/>
      <c r="W3665" s="16" t="s">
        <v>40</v>
      </c>
      <c r="X3665" s="19">
        <v>0.33900000000000002</v>
      </c>
      <c r="Y3665" s="20">
        <v>1.098E-3</v>
      </c>
      <c r="Z3665" s="21">
        <v>4660008014124</v>
      </c>
    </row>
    <row r="3666" spans="1:26" ht="12" customHeight="1" outlineLevel="3" x14ac:dyDescent="0.2">
      <c r="A3666" s="32" t="s">
        <v>7135</v>
      </c>
      <c r="B3666" s="74" t="s">
        <v>7136</v>
      </c>
      <c r="C3666" s="50"/>
      <c r="D3666" s="53">
        <f t="shared" si="57"/>
        <v>0</v>
      </c>
      <c r="E3666" s="60" t="str">
        <f>HYPERLINK("https://www.sds-group.ru/product/krimper-dlya-obzhima-8p8c-6p4c-proconnect-12-3434-4/", "Инфо")</f>
        <v>Инфо</v>
      </c>
      <c r="F3666" s="34" t="s">
        <v>39</v>
      </c>
      <c r="G3666" s="33"/>
      <c r="H3666" s="33" t="s">
        <v>40</v>
      </c>
      <c r="I3666" s="33"/>
      <c r="J3666" s="35">
        <v>265</v>
      </c>
      <c r="K3666" s="33"/>
      <c r="L3666" s="35">
        <v>1</v>
      </c>
      <c r="M3666" s="35">
        <v>50</v>
      </c>
      <c r="N3666" s="35">
        <v>1</v>
      </c>
      <c r="O3666" s="36">
        <v>1331.36</v>
      </c>
      <c r="P3666" s="36">
        <v>1091.28</v>
      </c>
      <c r="Q3666" s="36">
        <v>931.95</v>
      </c>
      <c r="R3666" s="36">
        <v>763.89</v>
      </c>
      <c r="S3666" s="36">
        <v>905.32</v>
      </c>
      <c r="T3666" s="36">
        <v>742.07</v>
      </c>
      <c r="U3666" s="34"/>
      <c r="V3666" s="34"/>
      <c r="W3666" s="34"/>
      <c r="X3666" s="37">
        <v>0.44700000000000001</v>
      </c>
      <c r="Y3666" s="38">
        <v>7.5799999999999999E-4</v>
      </c>
      <c r="Z3666" s="21">
        <v>4601004001107</v>
      </c>
    </row>
    <row r="3667" spans="1:26" ht="12" customHeight="1" outlineLevel="3" x14ac:dyDescent="0.2">
      <c r="A3667" s="14" t="s">
        <v>7137</v>
      </c>
      <c r="B3667" s="26" t="s">
        <v>7138</v>
      </c>
      <c r="C3667" s="52"/>
      <c r="D3667" s="55">
        <f t="shared" si="57"/>
        <v>0</v>
      </c>
      <c r="E3667" s="63" t="str">
        <f>HYPERLINK("https://www.sds-group.ru/product/krimper-dlya-obzhima-8p8c-6p4c-rexant-12-3434/", "Инфо")</f>
        <v>Инфо</v>
      </c>
      <c r="F3667" s="16" t="s">
        <v>39</v>
      </c>
      <c r="G3667" s="15"/>
      <c r="H3667" s="15"/>
      <c r="I3667" s="15"/>
      <c r="J3667" s="17">
        <v>499</v>
      </c>
      <c r="K3667" s="15"/>
      <c r="L3667" s="17">
        <v>1</v>
      </c>
      <c r="M3667" s="17">
        <v>50</v>
      </c>
      <c r="N3667" s="17">
        <v>1</v>
      </c>
      <c r="O3667" s="18">
        <v>1563.13</v>
      </c>
      <c r="P3667" s="18">
        <v>1281.25</v>
      </c>
      <c r="Q3667" s="18">
        <v>1516.24</v>
      </c>
      <c r="R3667" s="18">
        <v>1242.82</v>
      </c>
      <c r="S3667" s="18">
        <v>1062.93</v>
      </c>
      <c r="T3667" s="18">
        <v>871.25</v>
      </c>
      <c r="U3667" s="16"/>
      <c r="V3667" s="16"/>
      <c r="W3667" s="16" t="s">
        <v>40</v>
      </c>
      <c r="X3667" s="19">
        <v>0.54900000000000004</v>
      </c>
      <c r="Y3667" s="20">
        <v>1.119E-3</v>
      </c>
      <c r="Z3667" s="21">
        <v>4660008017347</v>
      </c>
    </row>
    <row r="3668" spans="1:26" ht="12" customHeight="1" outlineLevel="3" x14ac:dyDescent="0.2">
      <c r="A3668" s="14" t="s">
        <v>7139</v>
      </c>
      <c r="B3668" s="26" t="s">
        <v>7140</v>
      </c>
      <c r="C3668" s="52"/>
      <c r="D3668" s="55">
        <f t="shared" si="57"/>
        <v>0</v>
      </c>
      <c r="E3668" s="63" t="str">
        <f>HYPERLINK("https://www.sds-group.ru/product/krimper-dlya-obzhima-8p8c-6p6c-proconnect-12-3432-4/", "Инфо")</f>
        <v>Инфо</v>
      </c>
      <c r="F3668" s="16" t="s">
        <v>39</v>
      </c>
      <c r="G3668" s="15"/>
      <c r="H3668" s="15"/>
      <c r="I3668" s="15"/>
      <c r="J3668" s="22">
        <v>1551</v>
      </c>
      <c r="K3668" s="15"/>
      <c r="L3668" s="17">
        <v>1</v>
      </c>
      <c r="M3668" s="17">
        <v>50</v>
      </c>
      <c r="N3668" s="17">
        <v>1</v>
      </c>
      <c r="O3668" s="18">
        <v>916.32</v>
      </c>
      <c r="P3668" s="18">
        <v>751.08</v>
      </c>
      <c r="Q3668" s="18">
        <v>733.06</v>
      </c>
      <c r="R3668" s="18">
        <v>600.87</v>
      </c>
      <c r="S3668" s="18">
        <v>623.1</v>
      </c>
      <c r="T3668" s="18">
        <v>510.74</v>
      </c>
      <c r="U3668" s="16"/>
      <c r="V3668" s="16"/>
      <c r="W3668" s="16" t="s">
        <v>40</v>
      </c>
      <c r="X3668" s="19">
        <v>0.36799999999999999</v>
      </c>
      <c r="Y3668" s="20">
        <v>1.121E-3</v>
      </c>
      <c r="Z3668" s="21">
        <v>4660008014476</v>
      </c>
    </row>
    <row r="3669" spans="1:26" ht="12" customHeight="1" outlineLevel="3" x14ac:dyDescent="0.2">
      <c r="A3669" s="14" t="s">
        <v>7141</v>
      </c>
      <c r="B3669" s="26" t="s">
        <v>7140</v>
      </c>
      <c r="C3669" s="52"/>
      <c r="D3669" s="55">
        <f t="shared" si="57"/>
        <v>0</v>
      </c>
      <c r="E3669" s="63" t="str">
        <f>HYPERLINK("https://www.sds-group.ru/product/krimper-dlya-obzhima-8p8c-6p6c-proconnect-12-3432-6/", "Инфо")</f>
        <v>Инфо</v>
      </c>
      <c r="F3669" s="16" t="s">
        <v>39</v>
      </c>
      <c r="G3669" s="15"/>
      <c r="H3669" s="15"/>
      <c r="I3669" s="15"/>
      <c r="J3669" s="17">
        <v>211</v>
      </c>
      <c r="K3669" s="15" t="s">
        <v>6798</v>
      </c>
      <c r="L3669" s="17">
        <v>1</v>
      </c>
      <c r="M3669" s="17">
        <v>50</v>
      </c>
      <c r="N3669" s="17">
        <v>1</v>
      </c>
      <c r="O3669" s="18">
        <v>1002.56</v>
      </c>
      <c r="P3669" s="18">
        <v>821.77</v>
      </c>
      <c r="Q3669" s="18">
        <v>902.3</v>
      </c>
      <c r="R3669" s="18">
        <v>739.59</v>
      </c>
      <c r="S3669" s="18">
        <v>681.74</v>
      </c>
      <c r="T3669" s="18">
        <v>558.79999999999995</v>
      </c>
      <c r="U3669" s="16"/>
      <c r="V3669" s="16"/>
      <c r="W3669" s="16" t="s">
        <v>40</v>
      </c>
      <c r="X3669" s="19">
        <v>0.37</v>
      </c>
      <c r="Y3669" s="20">
        <v>1.1360000000000001E-3</v>
      </c>
      <c r="Z3669" s="21">
        <v>4660008014483</v>
      </c>
    </row>
    <row r="3670" spans="1:26" ht="12" customHeight="1" outlineLevel="3" x14ac:dyDescent="0.2">
      <c r="A3670" s="14" t="s">
        <v>7142</v>
      </c>
      <c r="B3670" s="26" t="s">
        <v>7143</v>
      </c>
      <c r="C3670" s="52"/>
      <c r="D3670" s="55">
        <f t="shared" si="57"/>
        <v>0</v>
      </c>
      <c r="E3670" s="63" t="str">
        <f>HYPERLINK("https://www.sds-group.ru/product/krimper-dlya-obzhima-8p8c-6p6c-rexant-12-3432/", "Инфо")</f>
        <v>Инфо</v>
      </c>
      <c r="F3670" s="16" t="s">
        <v>39</v>
      </c>
      <c r="G3670" s="15"/>
      <c r="H3670" s="15"/>
      <c r="I3670" s="15"/>
      <c r="J3670" s="22">
        <v>1366</v>
      </c>
      <c r="K3670" s="15" t="s">
        <v>1094</v>
      </c>
      <c r="L3670" s="17">
        <v>1</v>
      </c>
      <c r="M3670" s="17">
        <v>50</v>
      </c>
      <c r="N3670" s="17">
        <v>1</v>
      </c>
      <c r="O3670" s="18">
        <v>1024.1199999999999</v>
      </c>
      <c r="P3670" s="18">
        <v>839.44</v>
      </c>
      <c r="Q3670" s="18">
        <v>809.05</v>
      </c>
      <c r="R3670" s="18">
        <v>663.16</v>
      </c>
      <c r="S3670" s="18">
        <v>696.4</v>
      </c>
      <c r="T3670" s="18">
        <v>570.82000000000005</v>
      </c>
      <c r="U3670" s="16"/>
      <c r="V3670" s="16"/>
      <c r="W3670" s="16" t="s">
        <v>40</v>
      </c>
      <c r="X3670" s="19">
        <v>0.34899999999999998</v>
      </c>
      <c r="Y3670" s="20">
        <v>1.072E-3</v>
      </c>
      <c r="Z3670" s="21">
        <v>4610003608651</v>
      </c>
    </row>
    <row r="3671" spans="1:26" ht="12" customHeight="1" outlineLevel="3" x14ac:dyDescent="0.2">
      <c r="A3671" s="32" t="s">
        <v>7144</v>
      </c>
      <c r="B3671" s="74" t="s">
        <v>7145</v>
      </c>
      <c r="C3671" s="50"/>
      <c r="D3671" s="53">
        <f t="shared" si="57"/>
        <v>0</v>
      </c>
      <c r="E3671" s="60" t="str">
        <f>HYPERLINK("https://www.sds-group.ru/product/krimper-dlya-obzhima-8p8c-6p6c-4p4c-proconnect-12-3442-4/", "Инфо")</f>
        <v>Инфо</v>
      </c>
      <c r="F3671" s="34" t="s">
        <v>39</v>
      </c>
      <c r="G3671" s="33"/>
      <c r="H3671" s="33" t="s">
        <v>40</v>
      </c>
      <c r="I3671" s="33"/>
      <c r="J3671" s="35">
        <v>25</v>
      </c>
      <c r="K3671" s="33"/>
      <c r="L3671" s="35">
        <v>1</v>
      </c>
      <c r="M3671" s="35">
        <v>50</v>
      </c>
      <c r="N3671" s="35">
        <v>1</v>
      </c>
      <c r="O3671" s="36">
        <v>1643</v>
      </c>
      <c r="P3671" s="36">
        <v>1346.72</v>
      </c>
      <c r="Q3671" s="36">
        <v>1199.3900000000001</v>
      </c>
      <c r="R3671" s="36">
        <v>983.11</v>
      </c>
      <c r="S3671" s="36">
        <v>1117.24</v>
      </c>
      <c r="T3671" s="36">
        <v>915.77</v>
      </c>
      <c r="U3671" s="34"/>
      <c r="V3671" s="34"/>
      <c r="W3671" s="34" t="s">
        <v>40</v>
      </c>
      <c r="X3671" s="37">
        <v>0.59799999999999998</v>
      </c>
      <c r="Y3671" s="38">
        <v>1.333E-3</v>
      </c>
      <c r="Z3671" s="21">
        <v>4660008014520</v>
      </c>
    </row>
    <row r="3672" spans="1:26" ht="12" customHeight="1" outlineLevel="3" x14ac:dyDescent="0.2">
      <c r="A3672" s="14" t="s">
        <v>7146</v>
      </c>
      <c r="B3672" s="26" t="s">
        <v>7147</v>
      </c>
      <c r="C3672" s="52"/>
      <c r="D3672" s="55">
        <f t="shared" si="57"/>
        <v>0</v>
      </c>
      <c r="E3672" s="63" t="str">
        <f>HYPERLINK("https://www.sds-group.ru/product/krimper-dlya-obzhima-8p8c-6p6c-4p4c-proconnect-12-3441-4/", "Инфо")</f>
        <v>Инфо</v>
      </c>
      <c r="F3672" s="16" t="s">
        <v>39</v>
      </c>
      <c r="G3672" s="15"/>
      <c r="H3672" s="15"/>
      <c r="I3672" s="15"/>
      <c r="J3672" s="17">
        <v>86</v>
      </c>
      <c r="K3672" s="15" t="s">
        <v>1094</v>
      </c>
      <c r="L3672" s="17">
        <v>1</v>
      </c>
      <c r="M3672" s="17">
        <v>50</v>
      </c>
      <c r="N3672" s="17">
        <v>1</v>
      </c>
      <c r="O3672" s="18">
        <v>1024.1199999999999</v>
      </c>
      <c r="P3672" s="18">
        <v>839.44</v>
      </c>
      <c r="Q3672" s="18">
        <v>809.05</v>
      </c>
      <c r="R3672" s="18">
        <v>663.16</v>
      </c>
      <c r="S3672" s="18">
        <v>696.4</v>
      </c>
      <c r="T3672" s="18">
        <v>570.82000000000005</v>
      </c>
      <c r="U3672" s="16"/>
      <c r="V3672" s="16"/>
      <c r="W3672" s="16" t="s">
        <v>40</v>
      </c>
      <c r="X3672" s="19">
        <v>0.42399999999999999</v>
      </c>
      <c r="Y3672" s="20">
        <v>1.0859999999999999E-3</v>
      </c>
      <c r="Z3672" s="21">
        <v>4660008014506</v>
      </c>
    </row>
    <row r="3673" spans="1:26" ht="12" customHeight="1" outlineLevel="3" x14ac:dyDescent="0.2">
      <c r="A3673" s="32" t="s">
        <v>7148</v>
      </c>
      <c r="B3673" s="74" t="s">
        <v>7149</v>
      </c>
      <c r="C3673" s="50"/>
      <c r="D3673" s="53">
        <f t="shared" si="57"/>
        <v>0</v>
      </c>
      <c r="E3673" s="60" t="str">
        <f>HYPERLINK("https://www.sds-group.ru/product/krimper-dlya-obzhima-8p8c-6p6c-4p4c-rexant-12-3443/", "Инфо")</f>
        <v>Инфо</v>
      </c>
      <c r="F3673" s="34" t="s">
        <v>39</v>
      </c>
      <c r="G3673" s="33"/>
      <c r="H3673" s="33" t="s">
        <v>40</v>
      </c>
      <c r="I3673" s="33"/>
      <c r="J3673" s="35">
        <v>24</v>
      </c>
      <c r="K3673" s="33"/>
      <c r="L3673" s="35">
        <v>1</v>
      </c>
      <c r="M3673" s="35">
        <v>50</v>
      </c>
      <c r="N3673" s="35">
        <v>1</v>
      </c>
      <c r="O3673" s="36">
        <v>1024.1199999999999</v>
      </c>
      <c r="P3673" s="36">
        <v>839.44</v>
      </c>
      <c r="Q3673" s="36">
        <v>716.88</v>
      </c>
      <c r="R3673" s="36">
        <v>587.61</v>
      </c>
      <c r="S3673" s="36">
        <v>696.4</v>
      </c>
      <c r="T3673" s="36">
        <v>570.82000000000005</v>
      </c>
      <c r="U3673" s="34"/>
      <c r="V3673" s="34"/>
      <c r="W3673" s="34"/>
      <c r="X3673" s="37">
        <v>0.24</v>
      </c>
      <c r="Y3673" s="38">
        <v>1.2019999999999999E-3</v>
      </c>
      <c r="Z3673" s="21">
        <v>4660008014537</v>
      </c>
    </row>
    <row r="3674" spans="1:26" ht="12" customHeight="1" outlineLevel="3" x14ac:dyDescent="0.2">
      <c r="A3674" s="14" t="s">
        <v>7150</v>
      </c>
      <c r="B3674" s="26" t="s">
        <v>7151</v>
      </c>
      <c r="C3674" s="52"/>
      <c r="D3674" s="55">
        <f t="shared" si="57"/>
        <v>0</v>
      </c>
      <c r="E3674" s="63" t="str">
        <f>HYPERLINK("https://www.sds-group.ru/product/krimper-dlya-obzhima-8p8c-6p6c-4p4c-zadelka-vitoy-pary-rexant-12-3441/", "Инфо")</f>
        <v>Инфо</v>
      </c>
      <c r="F3674" s="16" t="s">
        <v>39</v>
      </c>
      <c r="G3674" s="15"/>
      <c r="H3674" s="15"/>
      <c r="I3674" s="15"/>
      <c r="J3674" s="22">
        <v>2367</v>
      </c>
      <c r="K3674" s="15" t="s">
        <v>1094</v>
      </c>
      <c r="L3674" s="17">
        <v>1</v>
      </c>
      <c r="M3674" s="17">
        <v>50</v>
      </c>
      <c r="N3674" s="17">
        <v>1</v>
      </c>
      <c r="O3674" s="18">
        <v>1185.82</v>
      </c>
      <c r="P3674" s="18">
        <v>971.98</v>
      </c>
      <c r="Q3674" s="18">
        <v>936.8</v>
      </c>
      <c r="R3674" s="18">
        <v>767.87</v>
      </c>
      <c r="S3674" s="18">
        <v>806.36</v>
      </c>
      <c r="T3674" s="18">
        <v>660.95</v>
      </c>
      <c r="U3674" s="16"/>
      <c r="V3674" s="16"/>
      <c r="W3674" s="16" t="s">
        <v>40</v>
      </c>
      <c r="X3674" s="19">
        <v>0.42399999999999999</v>
      </c>
      <c r="Y3674" s="20">
        <v>9.4200000000000002E-4</v>
      </c>
      <c r="Z3674" s="21">
        <v>4660008014117</v>
      </c>
    </row>
    <row r="3675" spans="1:26" ht="12" customHeight="1" outlineLevel="3" x14ac:dyDescent="0.2">
      <c r="A3675" s="32" t="s">
        <v>7152</v>
      </c>
      <c r="B3675" s="74" t="s">
        <v>7153</v>
      </c>
      <c r="C3675" s="50"/>
      <c r="D3675" s="53">
        <f t="shared" si="57"/>
        <v>0</v>
      </c>
      <c r="E3675" s="60" t="str">
        <f>HYPERLINK("https://www.sds-group.ru/product/krimper-dlya-obzhima-8p8c-6p6c-6p4c-6p2c-rexant-12-3435/", "Инфо")</f>
        <v>Инфо</v>
      </c>
      <c r="F3675" s="34" t="s">
        <v>39</v>
      </c>
      <c r="G3675" s="33"/>
      <c r="H3675" s="33" t="s">
        <v>40</v>
      </c>
      <c r="I3675" s="33"/>
      <c r="J3675" s="35">
        <v>258</v>
      </c>
      <c r="K3675" s="33"/>
      <c r="L3675" s="35">
        <v>1</v>
      </c>
      <c r="M3675" s="35">
        <v>50</v>
      </c>
      <c r="N3675" s="35">
        <v>1</v>
      </c>
      <c r="O3675" s="36">
        <v>1024.1199999999999</v>
      </c>
      <c r="P3675" s="36">
        <v>839.44</v>
      </c>
      <c r="Q3675" s="36">
        <v>819.3</v>
      </c>
      <c r="R3675" s="36">
        <v>671.56</v>
      </c>
      <c r="S3675" s="36">
        <v>696.4</v>
      </c>
      <c r="T3675" s="36">
        <v>570.82000000000005</v>
      </c>
      <c r="U3675" s="34"/>
      <c r="V3675" s="34"/>
      <c r="W3675" s="34" t="s">
        <v>40</v>
      </c>
      <c r="X3675" s="37">
        <v>0.35599999999999998</v>
      </c>
      <c r="Y3675" s="38">
        <v>1.041E-3</v>
      </c>
      <c r="Z3675" s="21">
        <v>4660008014490</v>
      </c>
    </row>
    <row r="3676" spans="1:26" ht="12" customHeight="1" outlineLevel="3" x14ac:dyDescent="0.2">
      <c r="A3676" s="14" t="s">
        <v>7154</v>
      </c>
      <c r="B3676" s="26" t="s">
        <v>7155</v>
      </c>
      <c r="C3676" s="52"/>
      <c r="D3676" s="55">
        <f t="shared" si="57"/>
        <v>0</v>
      </c>
      <c r="E3676" s="63" t="str">
        <f>HYPERLINK("https://www.sds-group.ru/product/krimper-dlya-obzhima-8p8c-6p6c-rexant-12-3450-4/", "Инфо")</f>
        <v>Инфо</v>
      </c>
      <c r="F3676" s="16" t="s">
        <v>39</v>
      </c>
      <c r="G3676" s="15"/>
      <c r="H3676" s="15"/>
      <c r="I3676" s="15"/>
      <c r="J3676" s="16" t="s">
        <v>100</v>
      </c>
      <c r="K3676" s="15" t="s">
        <v>6043</v>
      </c>
      <c r="L3676" s="17">
        <v>1</v>
      </c>
      <c r="M3676" s="17">
        <v>50</v>
      </c>
      <c r="N3676" s="17">
        <v>1</v>
      </c>
      <c r="O3676" s="18">
        <v>1670.93</v>
      </c>
      <c r="P3676" s="18">
        <v>1369.61</v>
      </c>
      <c r="Q3676" s="18">
        <v>1169.6500000000001</v>
      </c>
      <c r="R3676" s="18">
        <v>958.73</v>
      </c>
      <c r="S3676" s="18">
        <v>1136.23</v>
      </c>
      <c r="T3676" s="18">
        <v>931.34</v>
      </c>
      <c r="U3676" s="16"/>
      <c r="V3676" s="16"/>
      <c r="W3676" s="16"/>
      <c r="X3676" s="19">
        <v>0.36599999999999999</v>
      </c>
      <c r="Y3676" s="20">
        <v>1.2329999999999999E-3</v>
      </c>
      <c r="Z3676" s="21">
        <v>4601004035799</v>
      </c>
    </row>
    <row r="3677" spans="1:26" ht="12" customHeight="1" outlineLevel="3" x14ac:dyDescent="0.2">
      <c r="A3677" s="32" t="s">
        <v>7156</v>
      </c>
      <c r="B3677" s="74" t="s">
        <v>7157</v>
      </c>
      <c r="C3677" s="50"/>
      <c r="D3677" s="53">
        <f t="shared" si="57"/>
        <v>0</v>
      </c>
      <c r="E3677" s="60" t="str">
        <f>HYPERLINK("https://www.sds-group.ru/product/krimper-profi-dlya-obzhima-tortsevoy-8p8c-rexant-12-3453/", "Инфо")</f>
        <v>Инфо</v>
      </c>
      <c r="F3677" s="34" t="s">
        <v>39</v>
      </c>
      <c r="G3677" s="33"/>
      <c r="H3677" s="33" t="s">
        <v>40</v>
      </c>
      <c r="I3677" s="33"/>
      <c r="J3677" s="35">
        <v>74</v>
      </c>
      <c r="K3677" s="33"/>
      <c r="L3677" s="35">
        <v>1</v>
      </c>
      <c r="M3677" s="35">
        <v>50</v>
      </c>
      <c r="N3677" s="35">
        <v>1</v>
      </c>
      <c r="O3677" s="36">
        <v>2080.58</v>
      </c>
      <c r="P3677" s="36">
        <v>1705.39</v>
      </c>
      <c r="Q3677" s="36">
        <v>1456.41</v>
      </c>
      <c r="R3677" s="36">
        <v>1193.78</v>
      </c>
      <c r="S3677" s="36">
        <v>1414.79</v>
      </c>
      <c r="T3677" s="36">
        <v>1159.6600000000001</v>
      </c>
      <c r="U3677" s="34"/>
      <c r="V3677" s="34"/>
      <c r="W3677" s="34"/>
      <c r="X3677" s="37">
        <v>0.45200000000000001</v>
      </c>
      <c r="Y3677" s="38">
        <v>1.2030000000000001E-3</v>
      </c>
      <c r="Z3677" s="21">
        <v>4660008014568</v>
      </c>
    </row>
    <row r="3678" spans="1:26" ht="12" customHeight="1" outlineLevel="3" x14ac:dyDescent="0.2">
      <c r="A3678" s="14" t="s">
        <v>7158</v>
      </c>
      <c r="B3678" s="26" t="s">
        <v>7159</v>
      </c>
      <c r="C3678" s="52"/>
      <c r="D3678" s="55">
        <f t="shared" si="57"/>
        <v>0</v>
      </c>
      <c r="E3678" s="63" t="str">
        <f>HYPERLINK("https://www.sds-group.ru/product/krimper-tayvan-dlya-obzhima-10p10c-8p8c-6p6c-4p4c-rexant-12-3442-1/", "Инфо")</f>
        <v>Инфо</v>
      </c>
      <c r="F3678" s="16" t="s">
        <v>39</v>
      </c>
      <c r="G3678" s="15"/>
      <c r="H3678" s="15"/>
      <c r="I3678" s="15"/>
      <c r="J3678" s="17">
        <v>159</v>
      </c>
      <c r="K3678" s="15" t="s">
        <v>662</v>
      </c>
      <c r="L3678" s="17">
        <v>1</v>
      </c>
      <c r="M3678" s="17">
        <v>50</v>
      </c>
      <c r="N3678" s="17">
        <v>1</v>
      </c>
      <c r="O3678" s="18">
        <v>3074</v>
      </c>
      <c r="P3678" s="18">
        <v>2519.67</v>
      </c>
      <c r="Q3678" s="18">
        <v>2244.02</v>
      </c>
      <c r="R3678" s="18">
        <v>1839.36</v>
      </c>
      <c r="S3678" s="18">
        <v>2090.3200000000002</v>
      </c>
      <c r="T3678" s="18">
        <v>1713.38</v>
      </c>
      <c r="U3678" s="16"/>
      <c r="V3678" s="16"/>
      <c r="W3678" s="16" t="s">
        <v>40</v>
      </c>
      <c r="X3678" s="19">
        <v>0.60599999999999998</v>
      </c>
      <c r="Y3678" s="20">
        <v>1.3450000000000001E-3</v>
      </c>
      <c r="Z3678" s="21">
        <v>4660008014513</v>
      </c>
    </row>
    <row r="3679" spans="1:26" ht="12" customHeight="1" outlineLevel="3" x14ac:dyDescent="0.2">
      <c r="A3679" s="32" t="s">
        <v>7160</v>
      </c>
      <c r="B3679" s="74" t="s">
        <v>7161</v>
      </c>
      <c r="C3679" s="50"/>
      <c r="D3679" s="53">
        <f t="shared" si="57"/>
        <v>0</v>
      </c>
      <c r="E3679" s="60" t="str">
        <f>HYPERLINK("https://www.sds-group.ru/product/krimper-tayvan-dlya-obzhima-8p8c-6p4c-rexant-12-3434-1/", "Инфо")</f>
        <v>Инфо</v>
      </c>
      <c r="F3679" s="34" t="s">
        <v>39</v>
      </c>
      <c r="G3679" s="33"/>
      <c r="H3679" s="33" t="s">
        <v>40</v>
      </c>
      <c r="I3679" s="33"/>
      <c r="J3679" s="35">
        <v>16</v>
      </c>
      <c r="K3679" s="33" t="s">
        <v>6359</v>
      </c>
      <c r="L3679" s="35">
        <v>1</v>
      </c>
      <c r="M3679" s="35">
        <v>50</v>
      </c>
      <c r="N3679" s="35">
        <v>1</v>
      </c>
      <c r="O3679" s="36">
        <v>1649.37</v>
      </c>
      <c r="P3679" s="36">
        <v>1351.94</v>
      </c>
      <c r="Q3679" s="36">
        <v>1319.5</v>
      </c>
      <c r="R3679" s="36">
        <v>1081.56</v>
      </c>
      <c r="S3679" s="36">
        <v>1121.57</v>
      </c>
      <c r="T3679" s="36">
        <v>919.32</v>
      </c>
      <c r="U3679" s="34"/>
      <c r="V3679" s="34"/>
      <c r="W3679" s="34" t="s">
        <v>40</v>
      </c>
      <c r="X3679" s="37">
        <v>0.54700000000000004</v>
      </c>
      <c r="Y3679" s="38">
        <v>9.8400000000000007E-4</v>
      </c>
      <c r="Z3679" s="21">
        <v>4660008017354</v>
      </c>
    </row>
    <row r="3680" spans="1:26" ht="12" customHeight="1" outlineLevel="3" x14ac:dyDescent="0.2">
      <c r="A3680" s="32" t="s">
        <v>7162</v>
      </c>
      <c r="B3680" s="74" t="s">
        <v>7163</v>
      </c>
      <c r="C3680" s="50"/>
      <c r="D3680" s="53">
        <f t="shared" si="57"/>
        <v>0</v>
      </c>
      <c r="E3680" s="60" t="str">
        <f>HYPERLINK("https://www.sds-group.ru/product/krimper-tayvan-dlya-obzhima-8p8c-6p6c-rexant-12-3432-1/", "Инфо")</f>
        <v>Инфо</v>
      </c>
      <c r="F3680" s="34" t="s">
        <v>39</v>
      </c>
      <c r="G3680" s="33"/>
      <c r="H3680" s="33" t="s">
        <v>40</v>
      </c>
      <c r="I3680" s="33"/>
      <c r="J3680" s="35">
        <v>51</v>
      </c>
      <c r="K3680" s="33"/>
      <c r="L3680" s="35">
        <v>1</v>
      </c>
      <c r="M3680" s="35">
        <v>50</v>
      </c>
      <c r="N3680" s="35">
        <v>1</v>
      </c>
      <c r="O3680" s="36">
        <v>1024.1199999999999</v>
      </c>
      <c r="P3680" s="36">
        <v>839.44</v>
      </c>
      <c r="Q3680" s="36">
        <v>716.88</v>
      </c>
      <c r="R3680" s="36">
        <v>587.61</v>
      </c>
      <c r="S3680" s="36">
        <v>696.4</v>
      </c>
      <c r="T3680" s="36">
        <v>570.82000000000005</v>
      </c>
      <c r="U3680" s="34"/>
      <c r="V3680" s="34"/>
      <c r="W3680" s="34"/>
      <c r="X3680" s="37">
        <v>0.374</v>
      </c>
      <c r="Y3680" s="38">
        <v>1.5299999999999999E-3</v>
      </c>
      <c r="Z3680" s="21">
        <v>4660008014469</v>
      </c>
    </row>
    <row r="3681" spans="1:26" ht="12.95" customHeight="1" outlineLevel="2" x14ac:dyDescent="0.2">
      <c r="A3681" s="76" t="s">
        <v>7164</v>
      </c>
      <c r="B3681" s="76"/>
      <c r="C3681" s="77"/>
      <c r="D3681" s="58"/>
      <c r="E3681" s="68"/>
      <c r="F3681" s="13"/>
      <c r="G3681" s="13"/>
      <c r="H3681" s="13"/>
      <c r="I3681" s="13"/>
      <c r="J3681" s="13"/>
      <c r="K3681" s="13"/>
      <c r="L3681" s="13"/>
      <c r="M3681" s="13"/>
      <c r="N3681" s="13"/>
      <c r="O3681" s="13"/>
      <c r="P3681" s="13"/>
      <c r="Q3681" s="13"/>
      <c r="R3681" s="13"/>
      <c r="S3681" s="13"/>
      <c r="T3681" s="13"/>
      <c r="U3681" s="13"/>
      <c r="V3681" s="13"/>
      <c r="W3681" s="13"/>
      <c r="X3681" s="13"/>
      <c r="Y3681" s="13"/>
      <c r="Z3681" s="13"/>
    </row>
    <row r="3682" spans="1:26" ht="12" customHeight="1" outlineLevel="3" x14ac:dyDescent="0.2">
      <c r="A3682" s="14" t="s">
        <v>7165</v>
      </c>
      <c r="B3682" s="26" t="s">
        <v>7166</v>
      </c>
      <c r="C3682" s="52"/>
      <c r="D3682" s="55">
        <f t="shared" si="57"/>
        <v>0</v>
      </c>
      <c r="E3682" s="63" t="str">
        <f>HYPERLINK("https://www.sds-group.ru/product/instrument-dlya-zachistki-kabelya-0-2-6-0-mm-i-obzhima-nakonechnikov-proconnect-12-4005-6/", "Инфо")</f>
        <v>Инфо</v>
      </c>
      <c r="F3682" s="16" t="s">
        <v>39</v>
      </c>
      <c r="G3682" s="15"/>
      <c r="H3682" s="15"/>
      <c r="I3682" s="15"/>
      <c r="J3682" s="17">
        <v>805</v>
      </c>
      <c r="K3682" s="15"/>
      <c r="L3682" s="17">
        <v>1</v>
      </c>
      <c r="M3682" s="17">
        <v>5</v>
      </c>
      <c r="N3682" s="17">
        <v>1</v>
      </c>
      <c r="O3682" s="18">
        <v>1185.82</v>
      </c>
      <c r="P3682" s="18">
        <v>971.98</v>
      </c>
      <c r="Q3682" s="18">
        <v>830.07</v>
      </c>
      <c r="R3682" s="18">
        <v>680.39</v>
      </c>
      <c r="S3682" s="18">
        <v>806.36</v>
      </c>
      <c r="T3682" s="18">
        <v>660.95</v>
      </c>
      <c r="U3682" s="16"/>
      <c r="V3682" s="16"/>
      <c r="W3682" s="16"/>
      <c r="X3682" s="19">
        <v>0.23899999999999999</v>
      </c>
      <c r="Y3682" s="20">
        <v>1.0480000000000001E-3</v>
      </c>
      <c r="Z3682" s="21">
        <v>4601004292901</v>
      </c>
    </row>
    <row r="3683" spans="1:26" ht="12" customHeight="1" outlineLevel="3" x14ac:dyDescent="0.2">
      <c r="A3683" s="14" t="s">
        <v>7167</v>
      </c>
      <c r="B3683" s="26" t="s">
        <v>7168</v>
      </c>
      <c r="C3683" s="52"/>
      <c r="D3683" s="55">
        <f t="shared" si="57"/>
        <v>0</v>
      </c>
      <c r="E3683" s="63" t="str">
        <f>HYPERLINK("https://www.sds-group.ru/product/instrument-dlya-zachistki-kabelya-0-2-6-0mm-i-obzhima-nakonechnikov-rexant-12-4005/", "Инфо")</f>
        <v>Инфо</v>
      </c>
      <c r="F3683" s="16" t="s">
        <v>39</v>
      </c>
      <c r="G3683" s="15"/>
      <c r="H3683" s="15"/>
      <c r="I3683" s="15"/>
      <c r="J3683" s="22">
        <v>1858</v>
      </c>
      <c r="K3683" s="15" t="s">
        <v>6359</v>
      </c>
      <c r="L3683" s="17">
        <v>1</v>
      </c>
      <c r="M3683" s="17">
        <v>50</v>
      </c>
      <c r="N3683" s="17">
        <v>1</v>
      </c>
      <c r="O3683" s="18">
        <v>1563.13</v>
      </c>
      <c r="P3683" s="18">
        <v>1281.25</v>
      </c>
      <c r="Q3683" s="18">
        <v>1203.6099999999999</v>
      </c>
      <c r="R3683" s="18">
        <v>986.57</v>
      </c>
      <c r="S3683" s="18">
        <v>1062.93</v>
      </c>
      <c r="T3683" s="18">
        <v>871.25</v>
      </c>
      <c r="U3683" s="16"/>
      <c r="V3683" s="16"/>
      <c r="W3683" s="16" t="s">
        <v>40</v>
      </c>
      <c r="X3683" s="19">
        <v>0.374</v>
      </c>
      <c r="Y3683" s="20">
        <v>1.1440000000000001E-3</v>
      </c>
      <c r="Z3683" s="21">
        <v>4610003608637</v>
      </c>
    </row>
    <row r="3684" spans="1:26" ht="12" customHeight="1" outlineLevel="3" x14ac:dyDescent="0.2">
      <c r="A3684" s="32" t="s">
        <v>7169</v>
      </c>
      <c r="B3684" s="74" t="s">
        <v>7170</v>
      </c>
      <c r="C3684" s="50"/>
      <c r="D3684" s="53">
        <f t="shared" si="57"/>
        <v>0</v>
      </c>
      <c r="E3684" s="60" t="str">
        <f>HYPERLINK("https://www.sds-group.ru/product/instrument-dlya-zachistki-kabelya-0-2-6mm-proconnect-12-4015-4/", "Инфо")</f>
        <v>Инфо</v>
      </c>
      <c r="F3684" s="34" t="s">
        <v>39</v>
      </c>
      <c r="G3684" s="33"/>
      <c r="H3684" s="33" t="s">
        <v>40</v>
      </c>
      <c r="I3684" s="33"/>
      <c r="J3684" s="35">
        <v>205</v>
      </c>
      <c r="K3684" s="33"/>
      <c r="L3684" s="35">
        <v>1</v>
      </c>
      <c r="M3684" s="35">
        <v>100</v>
      </c>
      <c r="N3684" s="35">
        <v>1</v>
      </c>
      <c r="O3684" s="36">
        <v>1509.23</v>
      </c>
      <c r="P3684" s="36">
        <v>1237.07</v>
      </c>
      <c r="Q3684" s="36">
        <v>1192.29</v>
      </c>
      <c r="R3684" s="36">
        <v>977.29</v>
      </c>
      <c r="S3684" s="36">
        <v>1026.28</v>
      </c>
      <c r="T3684" s="36">
        <v>841.21</v>
      </c>
      <c r="U3684" s="34"/>
      <c r="V3684" s="34"/>
      <c r="W3684" s="34" t="s">
        <v>40</v>
      </c>
      <c r="X3684" s="37">
        <v>0.224</v>
      </c>
      <c r="Y3684" s="38">
        <v>7.85E-4</v>
      </c>
      <c r="Z3684" s="21">
        <v>4601004035775</v>
      </c>
    </row>
    <row r="3685" spans="1:26" ht="12" customHeight="1" outlineLevel="3" x14ac:dyDescent="0.2">
      <c r="A3685" s="32" t="s">
        <v>7171</v>
      </c>
      <c r="B3685" s="74" t="s">
        <v>7172</v>
      </c>
      <c r="C3685" s="50"/>
      <c r="D3685" s="53">
        <f t="shared" si="57"/>
        <v>0</v>
      </c>
      <c r="E3685" s="60" t="str">
        <f>HYPERLINK("https://www.sds-group.ru/product/instrument-dlya-zachistki-kabelya-0-20-1-25mm-rexant-12-4025/", "Инфо")</f>
        <v>Инфо</v>
      </c>
      <c r="F3685" s="34" t="s">
        <v>39</v>
      </c>
      <c r="G3685" s="33"/>
      <c r="H3685" s="33" t="s">
        <v>40</v>
      </c>
      <c r="I3685" s="33"/>
      <c r="J3685" s="35">
        <v>166</v>
      </c>
      <c r="K3685" s="33"/>
      <c r="L3685" s="35">
        <v>1</v>
      </c>
      <c r="M3685" s="35">
        <v>100</v>
      </c>
      <c r="N3685" s="35">
        <v>1</v>
      </c>
      <c r="O3685" s="36">
        <v>862.42</v>
      </c>
      <c r="P3685" s="36">
        <v>706.9</v>
      </c>
      <c r="Q3685" s="36">
        <v>689.94</v>
      </c>
      <c r="R3685" s="36">
        <v>565.52</v>
      </c>
      <c r="S3685" s="36">
        <v>586.45000000000005</v>
      </c>
      <c r="T3685" s="36">
        <v>480.7</v>
      </c>
      <c r="U3685" s="34"/>
      <c r="V3685" s="34"/>
      <c r="W3685" s="34" t="s">
        <v>40</v>
      </c>
      <c r="X3685" s="37">
        <v>0.159</v>
      </c>
      <c r="Y3685" s="38">
        <v>4.75E-4</v>
      </c>
      <c r="Z3685" s="21">
        <v>4660008014735</v>
      </c>
    </row>
    <row r="3686" spans="1:26" ht="12" customHeight="1" outlineLevel="3" x14ac:dyDescent="0.2">
      <c r="A3686" s="32" t="s">
        <v>7173</v>
      </c>
      <c r="B3686" s="74" t="s">
        <v>7174</v>
      </c>
      <c r="C3686" s="50"/>
      <c r="D3686" s="53">
        <f t="shared" si="57"/>
        <v>0</v>
      </c>
      <c r="E3686" s="60" t="str">
        <f>HYPERLINK("https://www.sds-group.ru/product/instrument-dlya-zachistki-kabelya-0-25-0-65mm-rexant-12-4026/", "Инфо")</f>
        <v>Инфо</v>
      </c>
      <c r="F3686" s="34" t="s">
        <v>39</v>
      </c>
      <c r="G3686" s="33"/>
      <c r="H3686" s="33" t="s">
        <v>40</v>
      </c>
      <c r="I3686" s="33"/>
      <c r="J3686" s="35">
        <v>181</v>
      </c>
      <c r="K3686" s="33"/>
      <c r="L3686" s="35">
        <v>1</v>
      </c>
      <c r="M3686" s="35">
        <v>100</v>
      </c>
      <c r="N3686" s="35">
        <v>1</v>
      </c>
      <c r="O3686" s="36">
        <v>830.08</v>
      </c>
      <c r="P3686" s="36">
        <v>680.39</v>
      </c>
      <c r="Q3686" s="36">
        <v>664.06</v>
      </c>
      <c r="R3686" s="36">
        <v>544.30999999999995</v>
      </c>
      <c r="S3686" s="36">
        <v>564.45000000000005</v>
      </c>
      <c r="T3686" s="36">
        <v>462.66</v>
      </c>
      <c r="U3686" s="34"/>
      <c r="V3686" s="34"/>
      <c r="W3686" s="34" t="s">
        <v>40</v>
      </c>
      <c r="X3686" s="37">
        <v>0.16500000000000001</v>
      </c>
      <c r="Y3686" s="38">
        <v>5.62E-4</v>
      </c>
      <c r="Z3686" s="21">
        <v>4660008014742</v>
      </c>
    </row>
    <row r="3687" spans="1:26" ht="12" customHeight="1" outlineLevel="3" x14ac:dyDescent="0.2">
      <c r="A3687" s="14" t="s">
        <v>7175</v>
      </c>
      <c r="B3687" s="26" t="s">
        <v>7176</v>
      </c>
      <c r="C3687" s="52"/>
      <c r="D3687" s="55">
        <f t="shared" si="57"/>
        <v>0</v>
      </c>
      <c r="E3687" s="63" t="str">
        <f>HYPERLINK("https://www.sds-group.ru/product/instrument-dlya-zachistki-kabelya-0-3-6mm-rexant-12-4004/", "Инфо")</f>
        <v>Инфо</v>
      </c>
      <c r="F3687" s="16" t="s">
        <v>39</v>
      </c>
      <c r="G3687" s="15"/>
      <c r="H3687" s="15"/>
      <c r="I3687" s="15"/>
      <c r="J3687" s="17">
        <v>17</v>
      </c>
      <c r="K3687" s="15" t="s">
        <v>1094</v>
      </c>
      <c r="L3687" s="17">
        <v>1</v>
      </c>
      <c r="M3687" s="17">
        <v>50</v>
      </c>
      <c r="N3687" s="17">
        <v>1</v>
      </c>
      <c r="O3687" s="18">
        <v>1293.6199999999999</v>
      </c>
      <c r="P3687" s="18">
        <v>1060.3399999999999</v>
      </c>
      <c r="Q3687" s="18">
        <v>1021.96</v>
      </c>
      <c r="R3687" s="18">
        <v>837.67</v>
      </c>
      <c r="S3687" s="18">
        <v>879.66</v>
      </c>
      <c r="T3687" s="18">
        <v>721.03</v>
      </c>
      <c r="U3687" s="16"/>
      <c r="V3687" s="16"/>
      <c r="W3687" s="16" t="s">
        <v>40</v>
      </c>
      <c r="X3687" s="19">
        <v>0.34200000000000003</v>
      </c>
      <c r="Y3687" s="20">
        <v>1.121E-3</v>
      </c>
      <c r="Z3687" s="21">
        <v>4660008014629</v>
      </c>
    </row>
    <row r="3688" spans="1:26" ht="12" customHeight="1" outlineLevel="3" x14ac:dyDescent="0.2">
      <c r="A3688" s="32" t="s">
        <v>7177</v>
      </c>
      <c r="B3688" s="74" t="s">
        <v>7178</v>
      </c>
      <c r="C3688" s="50"/>
      <c r="D3688" s="53">
        <f t="shared" si="57"/>
        <v>0</v>
      </c>
      <c r="E3688" s="60" t="str">
        <f>HYPERLINK("https://www.sds-group.ru/product/instrument-dlya-zachistki-kabelya-0-5-1-6mm-rexant-12-4022/", "Инфо")</f>
        <v>Инфо</v>
      </c>
      <c r="F3688" s="34" t="s">
        <v>39</v>
      </c>
      <c r="G3688" s="33"/>
      <c r="H3688" s="33" t="s">
        <v>40</v>
      </c>
      <c r="I3688" s="33"/>
      <c r="J3688" s="35">
        <v>138</v>
      </c>
      <c r="K3688" s="33"/>
      <c r="L3688" s="35">
        <v>1</v>
      </c>
      <c r="M3688" s="35">
        <v>100</v>
      </c>
      <c r="N3688" s="35">
        <v>1</v>
      </c>
      <c r="O3688" s="36">
        <v>679.15</v>
      </c>
      <c r="P3688" s="36">
        <v>556.67999999999995</v>
      </c>
      <c r="Q3688" s="36">
        <v>543.32000000000005</v>
      </c>
      <c r="R3688" s="36">
        <v>445.34</v>
      </c>
      <c r="S3688" s="36">
        <v>461.82</v>
      </c>
      <c r="T3688" s="36">
        <v>378.54</v>
      </c>
      <c r="U3688" s="34"/>
      <c r="V3688" s="34"/>
      <c r="W3688" s="34" t="s">
        <v>40</v>
      </c>
      <c r="X3688" s="37">
        <v>0.14899999999999999</v>
      </c>
      <c r="Y3688" s="38">
        <v>4.8799999999999999E-4</v>
      </c>
      <c r="Z3688" s="21">
        <v>4660008014704</v>
      </c>
    </row>
    <row r="3689" spans="1:26" ht="12" customHeight="1" outlineLevel="3" x14ac:dyDescent="0.2">
      <c r="A3689" s="32" t="s">
        <v>7179</v>
      </c>
      <c r="B3689" s="74" t="s">
        <v>7180</v>
      </c>
      <c r="C3689" s="50"/>
      <c r="D3689" s="53">
        <f t="shared" si="57"/>
        <v>0</v>
      </c>
      <c r="E3689" s="60" t="str">
        <f>HYPERLINK("https://www.sds-group.ru/product/instrument-dlya-zachistki-kabelya-0-5-2-0mm-rexant-12-4002/", "Инфо")</f>
        <v>Инфо</v>
      </c>
      <c r="F3689" s="34" t="s">
        <v>39</v>
      </c>
      <c r="G3689" s="33"/>
      <c r="H3689" s="33" t="s">
        <v>40</v>
      </c>
      <c r="I3689" s="33"/>
      <c r="J3689" s="35">
        <v>113</v>
      </c>
      <c r="K3689" s="33"/>
      <c r="L3689" s="35">
        <v>1</v>
      </c>
      <c r="M3689" s="35">
        <v>50</v>
      </c>
      <c r="N3689" s="35">
        <v>1</v>
      </c>
      <c r="O3689" s="36">
        <v>972.91</v>
      </c>
      <c r="P3689" s="36">
        <v>797.47</v>
      </c>
      <c r="Q3689" s="36">
        <v>681.04</v>
      </c>
      <c r="R3689" s="36">
        <v>558.23</v>
      </c>
      <c r="S3689" s="36">
        <v>661.58</v>
      </c>
      <c r="T3689" s="36">
        <v>542.28</v>
      </c>
      <c r="U3689" s="34"/>
      <c r="V3689" s="34"/>
      <c r="W3689" s="34"/>
      <c r="X3689" s="37">
        <v>0.34</v>
      </c>
      <c r="Y3689" s="38">
        <v>1.1100000000000001E-3</v>
      </c>
      <c r="Z3689" s="21">
        <v>4660008014605</v>
      </c>
    </row>
    <row r="3690" spans="1:26" ht="12" customHeight="1" outlineLevel="3" x14ac:dyDescent="0.2">
      <c r="A3690" s="14" t="s">
        <v>7181</v>
      </c>
      <c r="B3690" s="26" t="s">
        <v>7182</v>
      </c>
      <c r="C3690" s="52"/>
      <c r="D3690" s="55">
        <f t="shared" si="57"/>
        <v>0</v>
      </c>
      <c r="E3690" s="63" t="str">
        <f>HYPERLINK("https://www.sds-group.ru/product/instrument-dlya-zachistki-kabelya-0-5-4-0mm-rexant-12-4031/", "Инфо")</f>
        <v>Инфо</v>
      </c>
      <c r="F3690" s="16" t="s">
        <v>39</v>
      </c>
      <c r="G3690" s="15"/>
      <c r="H3690" s="15"/>
      <c r="I3690" s="15"/>
      <c r="J3690" s="17">
        <v>36</v>
      </c>
      <c r="K3690" s="15"/>
      <c r="L3690" s="17">
        <v>1</v>
      </c>
      <c r="M3690" s="17">
        <v>100</v>
      </c>
      <c r="N3690" s="17">
        <v>1</v>
      </c>
      <c r="O3690" s="18">
        <v>1185.82</v>
      </c>
      <c r="P3690" s="18">
        <v>971.98</v>
      </c>
      <c r="Q3690" s="18">
        <v>936.8</v>
      </c>
      <c r="R3690" s="18">
        <v>767.87</v>
      </c>
      <c r="S3690" s="18">
        <v>806.36</v>
      </c>
      <c r="T3690" s="18">
        <v>660.95</v>
      </c>
      <c r="U3690" s="16"/>
      <c r="V3690" s="16"/>
      <c r="W3690" s="16" t="s">
        <v>40</v>
      </c>
      <c r="X3690" s="19">
        <v>0.108</v>
      </c>
      <c r="Y3690" s="20">
        <v>4.1599999999999997E-4</v>
      </c>
      <c r="Z3690" s="21">
        <v>4660008014759</v>
      </c>
    </row>
    <row r="3691" spans="1:26" ht="12" customHeight="1" outlineLevel="3" x14ac:dyDescent="0.2">
      <c r="A3691" s="32" t="s">
        <v>7183</v>
      </c>
      <c r="B3691" s="74" t="s">
        <v>7184</v>
      </c>
      <c r="C3691" s="50"/>
      <c r="D3691" s="53">
        <f t="shared" si="57"/>
        <v>0</v>
      </c>
      <c r="E3691" s="60" t="str">
        <f>HYPERLINK("https://www.sds-group.ru/product/instrument-dlya-zachistki-kabelya-0-6-2-6mm-rexant-12-4021/", "Инфо")</f>
        <v>Инфо</v>
      </c>
      <c r="F3691" s="34" t="s">
        <v>39</v>
      </c>
      <c r="G3691" s="33"/>
      <c r="H3691" s="33" t="s">
        <v>40</v>
      </c>
      <c r="I3691" s="33"/>
      <c r="J3691" s="35">
        <v>484</v>
      </c>
      <c r="K3691" s="33"/>
      <c r="L3691" s="35">
        <v>1</v>
      </c>
      <c r="M3691" s="35">
        <v>100</v>
      </c>
      <c r="N3691" s="35">
        <v>1</v>
      </c>
      <c r="O3691" s="36">
        <v>571.35</v>
      </c>
      <c r="P3691" s="36">
        <v>468.32</v>
      </c>
      <c r="Q3691" s="36">
        <v>399.95</v>
      </c>
      <c r="R3691" s="36">
        <v>327.83</v>
      </c>
      <c r="S3691" s="36">
        <v>388.52</v>
      </c>
      <c r="T3691" s="36">
        <v>318.45999999999998</v>
      </c>
      <c r="U3691" s="34"/>
      <c r="V3691" s="34"/>
      <c r="W3691" s="34"/>
      <c r="X3691" s="37">
        <v>0.182</v>
      </c>
      <c r="Y3691" s="38">
        <v>5.9999999999999995E-4</v>
      </c>
      <c r="Z3691" s="21">
        <v>4660008014698</v>
      </c>
    </row>
    <row r="3692" spans="1:26" ht="12" customHeight="1" outlineLevel="3" x14ac:dyDescent="0.2">
      <c r="A3692" s="32" t="s">
        <v>7185</v>
      </c>
      <c r="B3692" s="74" t="s">
        <v>7186</v>
      </c>
      <c r="C3692" s="50"/>
      <c r="D3692" s="53">
        <f t="shared" si="57"/>
        <v>0</v>
      </c>
      <c r="E3692" s="60" t="str">
        <f>HYPERLINK("https://www.sds-group.ru/product/instrument-dlya-zachistki-kabelya-0-9-6-0mm-rexant-12-4024/", "Инфо")</f>
        <v>Инфо</v>
      </c>
      <c r="F3692" s="34" t="s">
        <v>39</v>
      </c>
      <c r="G3692" s="33"/>
      <c r="H3692" s="33" t="s">
        <v>40</v>
      </c>
      <c r="I3692" s="33"/>
      <c r="J3692" s="35">
        <v>302</v>
      </c>
      <c r="K3692" s="33"/>
      <c r="L3692" s="35">
        <v>1</v>
      </c>
      <c r="M3692" s="35">
        <v>100</v>
      </c>
      <c r="N3692" s="35">
        <v>1</v>
      </c>
      <c r="O3692" s="36">
        <v>970.22</v>
      </c>
      <c r="P3692" s="36">
        <v>795.26</v>
      </c>
      <c r="Q3692" s="36">
        <v>776.18</v>
      </c>
      <c r="R3692" s="36">
        <v>636.21</v>
      </c>
      <c r="S3692" s="36">
        <v>659.75</v>
      </c>
      <c r="T3692" s="36">
        <v>540.78</v>
      </c>
      <c r="U3692" s="34"/>
      <c r="V3692" s="34"/>
      <c r="W3692" s="34" t="s">
        <v>40</v>
      </c>
      <c r="X3692" s="37">
        <v>0.17399999999999999</v>
      </c>
      <c r="Y3692" s="38">
        <v>5.3300000000000005E-4</v>
      </c>
      <c r="Z3692" s="21">
        <v>4660008014728</v>
      </c>
    </row>
    <row r="3693" spans="1:26" ht="12" customHeight="1" outlineLevel="3" x14ac:dyDescent="0.2">
      <c r="A3693" s="32" t="s">
        <v>7187</v>
      </c>
      <c r="B3693" s="74" t="s">
        <v>7188</v>
      </c>
      <c r="C3693" s="50"/>
      <c r="D3693" s="53">
        <f t="shared" si="57"/>
        <v>0</v>
      </c>
      <c r="E3693" s="60" t="str">
        <f>HYPERLINK("https://www.sds-group.ru/product/instrument-dlya-zachistki-kabelya-1-0-3-2mm-rexant-12-4003/", "Инфо")</f>
        <v>Инфо</v>
      </c>
      <c r="F3693" s="34" t="s">
        <v>39</v>
      </c>
      <c r="G3693" s="33"/>
      <c r="H3693" s="33" t="s">
        <v>40</v>
      </c>
      <c r="I3693" s="33"/>
      <c r="J3693" s="35">
        <v>232</v>
      </c>
      <c r="K3693" s="33"/>
      <c r="L3693" s="35">
        <v>1</v>
      </c>
      <c r="M3693" s="35">
        <v>50</v>
      </c>
      <c r="N3693" s="35">
        <v>1</v>
      </c>
      <c r="O3693" s="36">
        <v>970.22</v>
      </c>
      <c r="P3693" s="36">
        <v>795.26</v>
      </c>
      <c r="Q3693" s="36">
        <v>679.15</v>
      </c>
      <c r="R3693" s="36">
        <v>556.67999999999995</v>
      </c>
      <c r="S3693" s="36">
        <v>659.75</v>
      </c>
      <c r="T3693" s="36">
        <v>540.78</v>
      </c>
      <c r="U3693" s="34"/>
      <c r="V3693" s="34"/>
      <c r="W3693" s="34"/>
      <c r="X3693" s="37">
        <v>0.34399999999999997</v>
      </c>
      <c r="Y3693" s="38">
        <v>1.067E-3</v>
      </c>
      <c r="Z3693" s="21">
        <v>4660008014612</v>
      </c>
    </row>
    <row r="3694" spans="1:26" ht="12" customHeight="1" outlineLevel="3" x14ac:dyDescent="0.2">
      <c r="A3694" s="32" t="s">
        <v>7189</v>
      </c>
      <c r="B3694" s="74" t="s">
        <v>7190</v>
      </c>
      <c r="C3694" s="50"/>
      <c r="D3694" s="53">
        <f t="shared" si="57"/>
        <v>0</v>
      </c>
      <c r="E3694" s="60" t="str">
        <f>HYPERLINK("https://www.sds-group.ru/product/instrument-dlya-zachistki-kabelya-i-obzhima-nakonechnikov-proconnect-12-4005-4/", "Инфо")</f>
        <v>Инфо</v>
      </c>
      <c r="F3694" s="34" t="s">
        <v>39</v>
      </c>
      <c r="G3694" s="33"/>
      <c r="H3694" s="33" t="s">
        <v>40</v>
      </c>
      <c r="I3694" s="33"/>
      <c r="J3694" s="39">
        <v>1013</v>
      </c>
      <c r="K3694" s="33"/>
      <c r="L3694" s="35">
        <v>1</v>
      </c>
      <c r="M3694" s="35">
        <v>50</v>
      </c>
      <c r="N3694" s="35">
        <v>1</v>
      </c>
      <c r="O3694" s="36">
        <v>1401.43</v>
      </c>
      <c r="P3694" s="36">
        <v>1148.71</v>
      </c>
      <c r="Q3694" s="36">
        <v>981</v>
      </c>
      <c r="R3694" s="36">
        <v>804.1</v>
      </c>
      <c r="S3694" s="36">
        <v>952.97</v>
      </c>
      <c r="T3694" s="36">
        <v>781.12</v>
      </c>
      <c r="U3694" s="34"/>
      <c r="V3694" s="34"/>
      <c r="W3694" s="34"/>
      <c r="X3694" s="37">
        <v>0.375</v>
      </c>
      <c r="Y3694" s="38">
        <v>8.1300000000000003E-4</v>
      </c>
      <c r="Z3694" s="21">
        <v>4660008014636</v>
      </c>
    </row>
    <row r="3695" spans="1:26" ht="12" customHeight="1" outlineLevel="3" x14ac:dyDescent="0.2">
      <c r="A3695" s="14" t="s">
        <v>7191</v>
      </c>
      <c r="B3695" s="26" t="s">
        <v>7192</v>
      </c>
      <c r="C3695" s="52"/>
      <c r="D3695" s="55">
        <f t="shared" si="57"/>
        <v>0</v>
      </c>
      <c r="E3695" s="63" t="str">
        <f>HYPERLINK("https://www.sds-group.ru/product/instrument-dlya-zachistki-mnogozhilnogo-kabelya-proconnect-12-4001-4/", "Инфо")</f>
        <v>Инфо</v>
      </c>
      <c r="F3695" s="16" t="s">
        <v>39</v>
      </c>
      <c r="G3695" s="15"/>
      <c r="H3695" s="15"/>
      <c r="I3695" s="15"/>
      <c r="J3695" s="17">
        <v>738</v>
      </c>
      <c r="K3695" s="15" t="s">
        <v>979</v>
      </c>
      <c r="L3695" s="17">
        <v>1</v>
      </c>
      <c r="M3695" s="17">
        <v>50</v>
      </c>
      <c r="N3695" s="17">
        <v>1</v>
      </c>
      <c r="O3695" s="18">
        <v>808.52</v>
      </c>
      <c r="P3695" s="18">
        <v>662.72</v>
      </c>
      <c r="Q3695" s="18">
        <v>646.82000000000005</v>
      </c>
      <c r="R3695" s="18">
        <v>530.17999999999995</v>
      </c>
      <c r="S3695" s="18">
        <v>549.79</v>
      </c>
      <c r="T3695" s="18">
        <v>450.65</v>
      </c>
      <c r="U3695" s="16"/>
      <c r="V3695" s="16"/>
      <c r="W3695" s="16" t="s">
        <v>40</v>
      </c>
      <c r="X3695" s="19">
        <v>0.24399999999999999</v>
      </c>
      <c r="Y3695" s="20">
        <v>9.0600000000000001E-4</v>
      </c>
      <c r="Z3695" s="21">
        <v>4660008014599</v>
      </c>
    </row>
    <row r="3696" spans="1:26" ht="12" customHeight="1" outlineLevel="3" x14ac:dyDescent="0.2">
      <c r="A3696" s="14" t="s">
        <v>7193</v>
      </c>
      <c r="B3696" s="26" t="s">
        <v>7194</v>
      </c>
      <c r="C3696" s="52"/>
      <c r="D3696" s="55">
        <f t="shared" si="57"/>
        <v>0</v>
      </c>
      <c r="E3696" s="63" t="str">
        <f>HYPERLINK("https://www.sds-group.ru/product/instrument-dlya-zachistki-mnogozhilnogo-kabelya-rexant-12-4001/", "Инфо")</f>
        <v>Инфо</v>
      </c>
      <c r="F3696" s="16" t="s">
        <v>39</v>
      </c>
      <c r="G3696" s="15"/>
      <c r="H3696" s="15"/>
      <c r="I3696" s="15"/>
      <c r="J3696" s="16" t="s">
        <v>100</v>
      </c>
      <c r="K3696" s="15" t="s">
        <v>6344</v>
      </c>
      <c r="L3696" s="17">
        <v>1</v>
      </c>
      <c r="M3696" s="17">
        <v>50</v>
      </c>
      <c r="N3696" s="17">
        <v>1</v>
      </c>
      <c r="O3696" s="18">
        <v>916.32</v>
      </c>
      <c r="P3696" s="18">
        <v>751.08</v>
      </c>
      <c r="Q3696" s="18">
        <v>733.06</v>
      </c>
      <c r="R3696" s="18">
        <v>600.87</v>
      </c>
      <c r="S3696" s="18">
        <v>623.1</v>
      </c>
      <c r="T3696" s="18">
        <v>510.74</v>
      </c>
      <c r="U3696" s="16"/>
      <c r="V3696" s="16"/>
      <c r="W3696" s="16" t="s">
        <v>40</v>
      </c>
      <c r="X3696" s="19">
        <v>0.26700000000000002</v>
      </c>
      <c r="Y3696" s="20">
        <v>1.0820000000000001E-3</v>
      </c>
      <c r="Z3696" s="21">
        <v>4660008014582</v>
      </c>
    </row>
    <row r="3697" spans="1:26" ht="12" customHeight="1" outlineLevel="3" x14ac:dyDescent="0.2">
      <c r="A3697" s="14" t="s">
        <v>7195</v>
      </c>
      <c r="B3697" s="26" t="s">
        <v>7196</v>
      </c>
      <c r="C3697" s="52"/>
      <c r="D3697" s="55">
        <f t="shared" si="57"/>
        <v>0</v>
      </c>
      <c r="E3697" s="63" t="str">
        <f>HYPERLINK("https://www.sds-group.ru/product/instrument-dlya-prodolnoy-zachistki-kabelya-4-5-25-0mm-rexant-12-4052/", "Инфо")</f>
        <v>Инфо</v>
      </c>
      <c r="F3697" s="16" t="s">
        <v>39</v>
      </c>
      <c r="G3697" s="15"/>
      <c r="H3697" s="15"/>
      <c r="I3697" s="15"/>
      <c r="J3697" s="17">
        <v>29</v>
      </c>
      <c r="K3697" s="15" t="s">
        <v>1094</v>
      </c>
      <c r="L3697" s="17">
        <v>1</v>
      </c>
      <c r="M3697" s="17">
        <v>50</v>
      </c>
      <c r="N3697" s="17">
        <v>1</v>
      </c>
      <c r="O3697" s="18">
        <v>1484</v>
      </c>
      <c r="P3697" s="18">
        <v>1216.3900000000001</v>
      </c>
      <c r="Q3697" s="18">
        <v>1142.68</v>
      </c>
      <c r="R3697" s="18">
        <v>936.62</v>
      </c>
      <c r="S3697" s="18">
        <v>1009.12</v>
      </c>
      <c r="T3697" s="18">
        <v>827.15</v>
      </c>
      <c r="U3697" s="16"/>
      <c r="V3697" s="16"/>
      <c r="W3697" s="16" t="s">
        <v>40</v>
      </c>
      <c r="X3697" s="19">
        <v>0.189</v>
      </c>
      <c r="Y3697" s="20">
        <v>1.093E-3</v>
      </c>
      <c r="Z3697" s="21">
        <v>4660008014773</v>
      </c>
    </row>
    <row r="3698" spans="1:26" ht="12" customHeight="1" outlineLevel="3" x14ac:dyDescent="0.2">
      <c r="A3698" s="32" t="s">
        <v>7197</v>
      </c>
      <c r="B3698" s="74" t="s">
        <v>7198</v>
      </c>
      <c r="C3698" s="50"/>
      <c r="D3698" s="53">
        <f t="shared" si="57"/>
        <v>0</v>
      </c>
      <c r="E3698" s="60" t="str">
        <f>HYPERLINK("https://www.sds-group.ru/product/instrument-dlya-prodolnoy-i-poperechnoy-zachistki-kabelya-ot-25mm-rexant-12-4054/", "Инфо")</f>
        <v>Инфо</v>
      </c>
      <c r="F3698" s="34" t="s">
        <v>39</v>
      </c>
      <c r="G3698" s="33"/>
      <c r="H3698" s="33" t="s">
        <v>40</v>
      </c>
      <c r="I3698" s="33"/>
      <c r="J3698" s="35">
        <v>54</v>
      </c>
      <c r="K3698" s="33"/>
      <c r="L3698" s="35">
        <v>1</v>
      </c>
      <c r="M3698" s="35">
        <v>50</v>
      </c>
      <c r="N3698" s="35">
        <v>1</v>
      </c>
      <c r="O3698" s="36">
        <v>3449.66</v>
      </c>
      <c r="P3698" s="36">
        <v>2827.59</v>
      </c>
      <c r="Q3698" s="36">
        <v>2518.25</v>
      </c>
      <c r="R3698" s="36">
        <v>2064.14</v>
      </c>
      <c r="S3698" s="36">
        <v>2345.77</v>
      </c>
      <c r="T3698" s="36">
        <v>1922.76</v>
      </c>
      <c r="U3698" s="34"/>
      <c r="V3698" s="34"/>
      <c r="W3698" s="34" t="s">
        <v>40</v>
      </c>
      <c r="X3698" s="37">
        <v>0.32100000000000001</v>
      </c>
      <c r="Y3698" s="38">
        <v>1.4E-3</v>
      </c>
      <c r="Z3698" s="21">
        <v>4601004163072</v>
      </c>
    </row>
    <row r="3699" spans="1:26" ht="12" customHeight="1" outlineLevel="3" x14ac:dyDescent="0.2">
      <c r="A3699" s="32" t="s">
        <v>7199</v>
      </c>
      <c r="B3699" s="74" t="s">
        <v>7200</v>
      </c>
      <c r="C3699" s="50"/>
      <c r="D3699" s="53">
        <f t="shared" si="57"/>
        <v>0</v>
      </c>
      <c r="E3699" s="60" t="str">
        <f>HYPERLINK("https://www.sds-group.ru/product/ploskogubtsy-dlya-zachistki-provodov-160mm-nikelirovannye-dvuhkomponentnye-rukoyatki-rexant-12-4646/", "Инфо")</f>
        <v>Инфо</v>
      </c>
      <c r="F3699" s="34" t="s">
        <v>39</v>
      </c>
      <c r="G3699" s="33"/>
      <c r="H3699" s="33" t="s">
        <v>40</v>
      </c>
      <c r="I3699" s="33"/>
      <c r="J3699" s="35">
        <v>216</v>
      </c>
      <c r="K3699" s="33"/>
      <c r="L3699" s="35">
        <v>1</v>
      </c>
      <c r="M3699" s="35">
        <v>60</v>
      </c>
      <c r="N3699" s="35">
        <v>1</v>
      </c>
      <c r="O3699" s="36">
        <v>592.91</v>
      </c>
      <c r="P3699" s="36">
        <v>485.99</v>
      </c>
      <c r="Q3699" s="36">
        <v>415.04</v>
      </c>
      <c r="R3699" s="36">
        <v>340.2</v>
      </c>
      <c r="S3699" s="36">
        <v>403.18</v>
      </c>
      <c r="T3699" s="36">
        <v>330.48</v>
      </c>
      <c r="U3699" s="34"/>
      <c r="V3699" s="34"/>
      <c r="W3699" s="34"/>
      <c r="X3699" s="37">
        <v>0.23300000000000001</v>
      </c>
      <c r="Y3699" s="38">
        <v>6.9300000000000004E-4</v>
      </c>
      <c r="Z3699" s="21">
        <v>4601004163607</v>
      </c>
    </row>
    <row r="3700" spans="1:26" ht="12.95" customHeight="1" outlineLevel="2" x14ac:dyDescent="0.2">
      <c r="A3700" s="76" t="s">
        <v>7201</v>
      </c>
      <c r="B3700" s="76"/>
      <c r="C3700" s="77"/>
      <c r="D3700" s="58"/>
      <c r="E3700" s="68"/>
      <c r="F3700" s="13"/>
      <c r="G3700" s="13"/>
      <c r="H3700" s="13"/>
      <c r="I3700" s="13"/>
      <c r="J3700" s="13"/>
      <c r="K3700" s="13"/>
      <c r="L3700" s="13"/>
      <c r="M3700" s="13"/>
      <c r="N3700" s="13"/>
      <c r="O3700" s="13"/>
      <c r="P3700" s="13"/>
      <c r="Q3700" s="13"/>
      <c r="R3700" s="13"/>
      <c r="S3700" s="13"/>
      <c r="T3700" s="13"/>
      <c r="U3700" s="13"/>
      <c r="V3700" s="13"/>
      <c r="W3700" s="13"/>
      <c r="X3700" s="13"/>
      <c r="Y3700" s="13"/>
      <c r="Z3700" s="13"/>
    </row>
    <row r="3701" spans="1:26" ht="12" customHeight="1" outlineLevel="3" x14ac:dyDescent="0.2">
      <c r="A3701" s="32" t="s">
        <v>7202</v>
      </c>
      <c r="B3701" s="74" t="s">
        <v>7203</v>
      </c>
      <c r="C3701" s="50"/>
      <c r="D3701" s="53">
        <f t="shared" si="57"/>
        <v>0</v>
      </c>
      <c r="E3701" s="60" t="str">
        <f>HYPERLINK("https://www.sds-group.ru/product/instrument-dlya-zachistki-i-obrezki-vitoy-pary-proconnect-12-4042-4/", "Инфо")</f>
        <v>Инфо</v>
      </c>
      <c r="F3701" s="34" t="s">
        <v>39</v>
      </c>
      <c r="G3701" s="33"/>
      <c r="H3701" s="33" t="s">
        <v>40</v>
      </c>
      <c r="I3701" s="33"/>
      <c r="J3701" s="35">
        <v>26</v>
      </c>
      <c r="K3701" s="33"/>
      <c r="L3701" s="35">
        <v>1</v>
      </c>
      <c r="M3701" s="35">
        <v>100</v>
      </c>
      <c r="N3701" s="35">
        <v>1</v>
      </c>
      <c r="O3701" s="36">
        <v>360.4</v>
      </c>
      <c r="P3701" s="36">
        <v>295.41000000000003</v>
      </c>
      <c r="Q3701" s="36">
        <v>252.28</v>
      </c>
      <c r="R3701" s="36">
        <v>206.79</v>
      </c>
      <c r="S3701" s="36">
        <v>245.07</v>
      </c>
      <c r="T3701" s="36">
        <v>200.88</v>
      </c>
      <c r="U3701" s="34"/>
      <c r="V3701" s="34"/>
      <c r="W3701" s="34"/>
      <c r="X3701" s="37">
        <v>0.09</v>
      </c>
      <c r="Y3701" s="38">
        <v>6.1300000000000005E-4</v>
      </c>
      <c r="Z3701" s="21">
        <v>4660008014766</v>
      </c>
    </row>
    <row r="3702" spans="1:26" ht="12" customHeight="1" outlineLevel="3" x14ac:dyDescent="0.2">
      <c r="A3702" s="14" t="s">
        <v>7204</v>
      </c>
      <c r="B3702" s="26" t="s">
        <v>7205</v>
      </c>
      <c r="C3702" s="52"/>
      <c r="D3702" s="55">
        <f t="shared" si="57"/>
        <v>0</v>
      </c>
      <c r="E3702" s="63" t="str">
        <f>HYPERLINK("https://www.sds-group.ru/product/instrument-dlya-zachistki-i-obrezki-vitoy-pary-rexant-12-4042/", "Инфо")</f>
        <v>Инфо</v>
      </c>
      <c r="F3702" s="16" t="s">
        <v>39</v>
      </c>
      <c r="G3702" s="15"/>
      <c r="H3702" s="15"/>
      <c r="I3702" s="15"/>
      <c r="J3702" s="16" t="s">
        <v>100</v>
      </c>
      <c r="K3702" s="15" t="s">
        <v>6344</v>
      </c>
      <c r="L3702" s="17">
        <v>1</v>
      </c>
      <c r="M3702" s="17">
        <v>100</v>
      </c>
      <c r="N3702" s="17">
        <v>1</v>
      </c>
      <c r="O3702" s="18">
        <v>431.21</v>
      </c>
      <c r="P3702" s="18">
        <v>353.45</v>
      </c>
      <c r="Q3702" s="18">
        <v>344.97</v>
      </c>
      <c r="R3702" s="18">
        <v>282.76</v>
      </c>
      <c r="S3702" s="18">
        <v>293.22000000000003</v>
      </c>
      <c r="T3702" s="18">
        <v>240.34</v>
      </c>
      <c r="U3702" s="16"/>
      <c r="V3702" s="16"/>
      <c r="W3702" s="16" t="s">
        <v>40</v>
      </c>
      <c r="X3702" s="19">
        <v>7.8E-2</v>
      </c>
      <c r="Y3702" s="20">
        <v>5.5099999999999995E-4</v>
      </c>
      <c r="Z3702" s="21">
        <v>4610003608644</v>
      </c>
    </row>
    <row r="3703" spans="1:26" ht="12" customHeight="1" outlineLevel="3" x14ac:dyDescent="0.2">
      <c r="A3703" s="14" t="s">
        <v>7206</v>
      </c>
      <c r="B3703" s="26" t="s">
        <v>7207</v>
      </c>
      <c r="C3703" s="52"/>
      <c r="D3703" s="55">
        <f t="shared" si="57"/>
        <v>0</v>
      </c>
      <c r="E3703" s="63" t="str">
        <f>HYPERLINK("https://www.sds-group.ru/product/instrument-dlya-zachistki-i-obrezki-kabeley-rg-58-rg-59-rg-6-rg-11-rexant-12-4016-4/", "Инфо")</f>
        <v>Инфо</v>
      </c>
      <c r="F3703" s="16" t="s">
        <v>39</v>
      </c>
      <c r="G3703" s="15"/>
      <c r="H3703" s="15"/>
      <c r="I3703" s="15"/>
      <c r="J3703" s="17">
        <v>48</v>
      </c>
      <c r="K3703" s="15" t="s">
        <v>6359</v>
      </c>
      <c r="L3703" s="17">
        <v>1</v>
      </c>
      <c r="M3703" s="17">
        <v>100</v>
      </c>
      <c r="N3703" s="17">
        <v>1</v>
      </c>
      <c r="O3703" s="18">
        <v>970.22</v>
      </c>
      <c r="P3703" s="18">
        <v>795.26</v>
      </c>
      <c r="Q3703" s="18">
        <v>776.18</v>
      </c>
      <c r="R3703" s="18">
        <v>636.21</v>
      </c>
      <c r="S3703" s="18">
        <v>659.75</v>
      </c>
      <c r="T3703" s="18">
        <v>540.78</v>
      </c>
      <c r="U3703" s="16"/>
      <c r="V3703" s="16"/>
      <c r="W3703" s="16" t="s">
        <v>40</v>
      </c>
      <c r="X3703" s="19">
        <v>0.115</v>
      </c>
      <c r="Y3703" s="20">
        <v>6.6100000000000002E-4</v>
      </c>
      <c r="Z3703" s="21">
        <v>4601004035805</v>
      </c>
    </row>
    <row r="3704" spans="1:26" ht="12" customHeight="1" outlineLevel="3" x14ac:dyDescent="0.2">
      <c r="A3704" s="14" t="s">
        <v>7208</v>
      </c>
      <c r="B3704" s="26" t="s">
        <v>7209</v>
      </c>
      <c r="C3704" s="52"/>
      <c r="D3704" s="55">
        <f t="shared" si="57"/>
        <v>0</v>
      </c>
      <c r="E3704" s="63" t="str">
        <f>HYPERLINK("https://www.sds-group.ru/product/instrument-dlya-zachistki-koaksialnogo-kabelya-rg-58-rg-59-rg-6-rexant-12-4011/", "Инфо")</f>
        <v>Инфо</v>
      </c>
      <c r="F3704" s="16" t="s">
        <v>39</v>
      </c>
      <c r="G3704" s="15"/>
      <c r="H3704" s="15"/>
      <c r="I3704" s="15"/>
      <c r="J3704" s="17">
        <v>68</v>
      </c>
      <c r="K3704" s="15" t="s">
        <v>5329</v>
      </c>
      <c r="L3704" s="17">
        <v>1</v>
      </c>
      <c r="M3704" s="17">
        <v>100</v>
      </c>
      <c r="N3704" s="17">
        <v>1</v>
      </c>
      <c r="O3704" s="18">
        <v>477</v>
      </c>
      <c r="P3704" s="18">
        <v>390.98</v>
      </c>
      <c r="Q3704" s="18">
        <v>381.6</v>
      </c>
      <c r="R3704" s="18">
        <v>312.79000000000002</v>
      </c>
      <c r="S3704" s="18">
        <v>324.36</v>
      </c>
      <c r="T3704" s="18">
        <v>265.87</v>
      </c>
      <c r="U3704" s="16"/>
      <c r="V3704" s="16"/>
      <c r="W3704" s="16" t="s">
        <v>40</v>
      </c>
      <c r="X3704" s="19">
        <v>7.4999999999999997E-2</v>
      </c>
      <c r="Y3704" s="20">
        <v>5.5699999999999999E-4</v>
      </c>
      <c r="Z3704" s="21">
        <v>4660008014643</v>
      </c>
    </row>
    <row r="3705" spans="1:26" ht="12.95" customHeight="1" outlineLevel="2" x14ac:dyDescent="0.2">
      <c r="A3705" s="76" t="s">
        <v>7210</v>
      </c>
      <c r="B3705" s="76"/>
      <c r="C3705" s="77"/>
      <c r="D3705" s="58"/>
      <c r="E3705" s="68"/>
      <c r="F3705" s="13"/>
      <c r="G3705" s="13"/>
      <c r="H3705" s="13"/>
      <c r="I3705" s="13"/>
      <c r="J3705" s="13"/>
      <c r="K3705" s="13"/>
      <c r="L3705" s="13"/>
      <c r="M3705" s="13"/>
      <c r="N3705" s="13"/>
      <c r="O3705" s="13"/>
      <c r="P3705" s="13"/>
      <c r="Q3705" s="13"/>
      <c r="R3705" s="13"/>
      <c r="S3705" s="13"/>
      <c r="T3705" s="13"/>
      <c r="U3705" s="13"/>
      <c r="V3705" s="13"/>
      <c r="W3705" s="13"/>
      <c r="X3705" s="13"/>
      <c r="Y3705" s="13"/>
      <c r="Z3705" s="13"/>
    </row>
    <row r="3706" spans="1:26" ht="12" customHeight="1" outlineLevel="3" x14ac:dyDescent="0.2">
      <c r="A3706" s="14" t="s">
        <v>7211</v>
      </c>
      <c r="B3706" s="26" t="s">
        <v>7212</v>
      </c>
      <c r="C3706" s="52"/>
      <c r="D3706" s="55">
        <f t="shared" si="57"/>
        <v>0</v>
      </c>
      <c r="E3706" s="63" t="str">
        <f>HYPERLINK("https://www.sds-group.ru/product/instrument-dlya-zadelki-vitoy-pary-110-tipa-kontaktov-proconnect-12-4201-4/", "Инфо")</f>
        <v>Инфо</v>
      </c>
      <c r="F3706" s="16" t="s">
        <v>39</v>
      </c>
      <c r="G3706" s="15"/>
      <c r="H3706" s="15"/>
      <c r="I3706" s="15"/>
      <c r="J3706" s="17">
        <v>676</v>
      </c>
      <c r="K3706" s="15" t="s">
        <v>1094</v>
      </c>
      <c r="L3706" s="17">
        <v>1</v>
      </c>
      <c r="M3706" s="17">
        <v>100</v>
      </c>
      <c r="N3706" s="17">
        <v>1</v>
      </c>
      <c r="O3706" s="18">
        <v>402.8</v>
      </c>
      <c r="P3706" s="18">
        <v>330.16</v>
      </c>
      <c r="Q3706" s="18">
        <v>281.95999999999998</v>
      </c>
      <c r="R3706" s="18">
        <v>231.11</v>
      </c>
      <c r="S3706" s="18">
        <v>273.89999999999998</v>
      </c>
      <c r="T3706" s="18">
        <v>224.51</v>
      </c>
      <c r="U3706" s="16"/>
      <c r="V3706" s="16"/>
      <c r="W3706" s="16"/>
      <c r="X3706" s="19">
        <v>9.9000000000000005E-2</v>
      </c>
      <c r="Y3706" s="20">
        <v>5.6300000000000002E-4</v>
      </c>
      <c r="Z3706" s="21">
        <v>4601004001114</v>
      </c>
    </row>
    <row r="3707" spans="1:26" ht="12" customHeight="1" outlineLevel="3" x14ac:dyDescent="0.2">
      <c r="A3707" s="14" t="s">
        <v>7213</v>
      </c>
      <c r="B3707" s="26" t="s">
        <v>7214</v>
      </c>
      <c r="C3707" s="52"/>
      <c r="D3707" s="55">
        <f t="shared" si="57"/>
        <v>0</v>
      </c>
      <c r="E3707" s="63" t="str">
        <f>HYPERLINK("https://www.sds-group.ru/product/instrument-dlya-zadelki-vitoy-pary-110-tipa-kontaktov-rexant-12-4221/", "Инфо")</f>
        <v>Инфо</v>
      </c>
      <c r="F3707" s="16" t="s">
        <v>39</v>
      </c>
      <c r="G3707" s="15"/>
      <c r="H3707" s="15"/>
      <c r="I3707" s="15"/>
      <c r="J3707" s="17">
        <v>446</v>
      </c>
      <c r="K3707" s="15"/>
      <c r="L3707" s="17">
        <v>1</v>
      </c>
      <c r="M3707" s="17">
        <v>50</v>
      </c>
      <c r="N3707" s="17">
        <v>1</v>
      </c>
      <c r="O3707" s="18">
        <v>862.42</v>
      </c>
      <c r="P3707" s="18">
        <v>706.9</v>
      </c>
      <c r="Q3707" s="18">
        <v>603.69000000000005</v>
      </c>
      <c r="R3707" s="18">
        <v>494.83</v>
      </c>
      <c r="S3707" s="18">
        <v>586.45000000000005</v>
      </c>
      <c r="T3707" s="18">
        <v>480.7</v>
      </c>
      <c r="U3707" s="16"/>
      <c r="V3707" s="16"/>
      <c r="W3707" s="16"/>
      <c r="X3707" s="19">
        <v>0.186</v>
      </c>
      <c r="Y3707" s="20">
        <v>1.08E-3</v>
      </c>
      <c r="Z3707" s="21">
        <v>4660008017330</v>
      </c>
    </row>
    <row r="3708" spans="1:26" ht="12" customHeight="1" outlineLevel="3" x14ac:dyDescent="0.2">
      <c r="A3708" s="14" t="s">
        <v>7215</v>
      </c>
      <c r="B3708" s="26" t="s">
        <v>7216</v>
      </c>
      <c r="C3708" s="52"/>
      <c r="D3708" s="55">
        <f t="shared" si="57"/>
        <v>0</v>
      </c>
      <c r="E3708" s="63" t="str">
        <f>HYPERLINK("https://www.sds-group.ru/product/instrument-dlya-zadelki-i-obrezki-vitoy-pary-110-tipa-kontaktov-rexant-12-4201/", "Инфо")</f>
        <v>Инфо</v>
      </c>
      <c r="F3708" s="16" t="s">
        <v>39</v>
      </c>
      <c r="G3708" s="15"/>
      <c r="H3708" s="15"/>
      <c r="I3708" s="15"/>
      <c r="J3708" s="17">
        <v>66</v>
      </c>
      <c r="K3708" s="15" t="s">
        <v>1094</v>
      </c>
      <c r="L3708" s="17">
        <v>1</v>
      </c>
      <c r="M3708" s="17">
        <v>100</v>
      </c>
      <c r="N3708" s="17">
        <v>1</v>
      </c>
      <c r="O3708" s="18">
        <v>466.4</v>
      </c>
      <c r="P3708" s="18">
        <v>382.3</v>
      </c>
      <c r="Q3708" s="18">
        <v>373.12</v>
      </c>
      <c r="R3708" s="18">
        <v>305.83999999999997</v>
      </c>
      <c r="S3708" s="18">
        <v>317.14999999999998</v>
      </c>
      <c r="T3708" s="18">
        <v>259.95999999999998</v>
      </c>
      <c r="U3708" s="16"/>
      <c r="V3708" s="16"/>
      <c r="W3708" s="16" t="s">
        <v>40</v>
      </c>
      <c r="X3708" s="19">
        <v>9.8000000000000004E-2</v>
      </c>
      <c r="Y3708" s="20">
        <v>5.5900000000000004E-4</v>
      </c>
      <c r="Z3708" s="21">
        <v>4610003608668</v>
      </c>
    </row>
    <row r="3709" spans="1:26" ht="12" customHeight="1" outlineLevel="3" x14ac:dyDescent="0.2">
      <c r="A3709" s="14" t="s">
        <v>7217</v>
      </c>
      <c r="B3709" s="26" t="s">
        <v>7218</v>
      </c>
      <c r="C3709" s="52"/>
      <c r="D3709" s="55">
        <f t="shared" si="57"/>
        <v>0</v>
      </c>
      <c r="E3709" s="63" t="str">
        <f>HYPERLINK("https://www.sds-group.ru/product/instrument-dlya-zadelki-i-obrezki-vitoy-pary-110-tipa-kontaktov-mini-rexant-12-4231/", "Инфо")</f>
        <v>Инфо</v>
      </c>
      <c r="F3709" s="16" t="s">
        <v>39</v>
      </c>
      <c r="G3709" s="15"/>
      <c r="H3709" s="15"/>
      <c r="I3709" s="15"/>
      <c r="J3709" s="16" t="s">
        <v>100</v>
      </c>
      <c r="K3709" s="15" t="s">
        <v>6043</v>
      </c>
      <c r="L3709" s="17">
        <v>10</v>
      </c>
      <c r="M3709" s="22">
        <v>1000</v>
      </c>
      <c r="N3709" s="17">
        <v>10</v>
      </c>
      <c r="O3709" s="18">
        <v>74.2</v>
      </c>
      <c r="P3709" s="18">
        <v>60.82</v>
      </c>
      <c r="Q3709" s="18">
        <v>63.07</v>
      </c>
      <c r="R3709" s="18">
        <v>51.7</v>
      </c>
      <c r="S3709" s="18">
        <v>50.46</v>
      </c>
      <c r="T3709" s="18">
        <v>41.36</v>
      </c>
      <c r="U3709" s="16"/>
      <c r="V3709" s="16"/>
      <c r="W3709" s="16" t="s">
        <v>40</v>
      </c>
      <c r="X3709" s="19">
        <v>1.2999999999999999E-2</v>
      </c>
      <c r="Y3709" s="20">
        <v>5.8E-5</v>
      </c>
      <c r="Z3709" s="21">
        <v>4660008014964</v>
      </c>
    </row>
    <row r="3710" spans="1:26" ht="12" customHeight="1" outlineLevel="3" x14ac:dyDescent="0.2">
      <c r="A3710" s="14" t="s">
        <v>7219</v>
      </c>
      <c r="B3710" s="26" t="s">
        <v>7220</v>
      </c>
      <c r="C3710" s="52"/>
      <c r="D3710" s="55">
        <f t="shared" si="57"/>
        <v>0</v>
      </c>
      <c r="E3710" s="63" t="str">
        <f>HYPERLINK("https://www.sds-group.ru/product/instrument-dlya-zadelki-i-obrezki-vitoy-pary-110-go-tipa-kontaktov-rexant-12-4222/", "Инфо")</f>
        <v>Инфо</v>
      </c>
      <c r="F3710" s="16" t="s">
        <v>39</v>
      </c>
      <c r="G3710" s="15"/>
      <c r="H3710" s="15"/>
      <c r="I3710" s="15"/>
      <c r="J3710" s="17">
        <v>778</v>
      </c>
      <c r="K3710" s="15" t="s">
        <v>662</v>
      </c>
      <c r="L3710" s="17">
        <v>1</v>
      </c>
      <c r="M3710" s="17">
        <v>100</v>
      </c>
      <c r="N3710" s="17">
        <v>1</v>
      </c>
      <c r="O3710" s="18">
        <v>830.08</v>
      </c>
      <c r="P3710" s="18">
        <v>680.39</v>
      </c>
      <c r="Q3710" s="18">
        <v>664.06</v>
      </c>
      <c r="R3710" s="18">
        <v>544.30999999999995</v>
      </c>
      <c r="S3710" s="18">
        <v>564.45000000000005</v>
      </c>
      <c r="T3710" s="18">
        <v>462.66</v>
      </c>
      <c r="U3710" s="16"/>
      <c r="V3710" s="16"/>
      <c r="W3710" s="16" t="s">
        <v>40</v>
      </c>
      <c r="X3710" s="19">
        <v>0.14199999999999999</v>
      </c>
      <c r="Y3710" s="20">
        <v>5.4900000000000001E-4</v>
      </c>
      <c r="Z3710" s="21">
        <v>4660008014797</v>
      </c>
    </row>
    <row r="3711" spans="1:26" ht="12.95" customHeight="1" outlineLevel="2" x14ac:dyDescent="0.2">
      <c r="A3711" s="76" t="s">
        <v>7221</v>
      </c>
      <c r="B3711" s="76"/>
      <c r="C3711" s="77"/>
      <c r="D3711" s="58"/>
      <c r="E3711" s="68"/>
      <c r="F3711" s="13"/>
      <c r="G3711" s="13"/>
      <c r="H3711" s="13"/>
      <c r="I3711" s="13"/>
      <c r="J3711" s="13"/>
      <c r="K3711" s="13"/>
      <c r="L3711" s="13"/>
      <c r="M3711" s="13"/>
      <c r="N3711" s="13"/>
      <c r="O3711" s="13"/>
      <c r="P3711" s="13"/>
      <c r="Q3711" s="13"/>
      <c r="R3711" s="13"/>
      <c r="S3711" s="13"/>
      <c r="T3711" s="13"/>
      <c r="U3711" s="13"/>
      <c r="V3711" s="13"/>
      <c r="W3711" s="13"/>
      <c r="X3711" s="13"/>
      <c r="Y3711" s="13"/>
      <c r="Z3711" s="13"/>
    </row>
    <row r="3712" spans="1:26" ht="12" customHeight="1" outlineLevel="3" x14ac:dyDescent="0.2">
      <c r="A3712" s="32" t="s">
        <v>7222</v>
      </c>
      <c r="B3712" s="74" t="s">
        <v>7223</v>
      </c>
      <c r="C3712" s="50"/>
      <c r="D3712" s="53">
        <f t="shared" si="57"/>
        <v>0</v>
      </c>
      <c r="E3712" s="60" t="str">
        <f>HYPERLINK("https://www.sds-group.ru/product/boltorez-s-dvoynym-rychagom-450mm-18-rexant-12-4972/", "Инфо")</f>
        <v>Инфо</v>
      </c>
      <c r="F3712" s="34" t="s">
        <v>39</v>
      </c>
      <c r="G3712" s="33"/>
      <c r="H3712" s="33" t="s">
        <v>40</v>
      </c>
      <c r="I3712" s="33"/>
      <c r="J3712" s="35">
        <v>167</v>
      </c>
      <c r="K3712" s="33"/>
      <c r="L3712" s="35">
        <v>1</v>
      </c>
      <c r="M3712" s="35">
        <v>1</v>
      </c>
      <c r="N3712" s="35">
        <v>1</v>
      </c>
      <c r="O3712" s="36">
        <v>1617.03</v>
      </c>
      <c r="P3712" s="36">
        <v>1325.43</v>
      </c>
      <c r="Q3712" s="36">
        <v>1277.45</v>
      </c>
      <c r="R3712" s="36">
        <v>1047.0899999999999</v>
      </c>
      <c r="S3712" s="36">
        <v>1099.58</v>
      </c>
      <c r="T3712" s="36">
        <v>901.3</v>
      </c>
      <c r="U3712" s="34"/>
      <c r="V3712" s="34"/>
      <c r="W3712" s="34" t="s">
        <v>40</v>
      </c>
      <c r="X3712" s="37">
        <v>1.496</v>
      </c>
      <c r="Y3712" s="38">
        <v>5.0860000000000002E-3</v>
      </c>
      <c r="Z3712" s="21">
        <v>4601004288997</v>
      </c>
    </row>
    <row r="3713" spans="1:26" ht="12" customHeight="1" outlineLevel="3" x14ac:dyDescent="0.2">
      <c r="A3713" s="14" t="s">
        <v>7224</v>
      </c>
      <c r="B3713" s="26" t="s">
        <v>7225</v>
      </c>
      <c r="C3713" s="52"/>
      <c r="D3713" s="55">
        <f t="shared" si="57"/>
        <v>0</v>
      </c>
      <c r="E3713" s="63" t="str">
        <f>HYPERLINK("https://www.sds-group.ru/product/boltorez-s-dvoynym-rychagom-600mm-24-rexant-12-4973/", "Инфо")</f>
        <v>Инфо</v>
      </c>
      <c r="F3713" s="16" t="s">
        <v>39</v>
      </c>
      <c r="G3713" s="15"/>
      <c r="H3713" s="15"/>
      <c r="I3713" s="15"/>
      <c r="J3713" s="17">
        <v>125</v>
      </c>
      <c r="K3713" s="15"/>
      <c r="L3713" s="17">
        <v>1</v>
      </c>
      <c r="M3713" s="17">
        <v>10</v>
      </c>
      <c r="N3713" s="17">
        <v>1</v>
      </c>
      <c r="O3713" s="18">
        <v>2188.38</v>
      </c>
      <c r="P3713" s="18">
        <v>1793.75</v>
      </c>
      <c r="Q3713" s="18">
        <v>1531.87</v>
      </c>
      <c r="R3713" s="18">
        <v>1255.6300000000001</v>
      </c>
      <c r="S3713" s="18">
        <v>1488.1</v>
      </c>
      <c r="T3713" s="18">
        <v>1219.75</v>
      </c>
      <c r="U3713" s="16"/>
      <c r="V3713" s="16"/>
      <c r="W3713" s="16"/>
      <c r="X3713" s="19">
        <v>2.492</v>
      </c>
      <c r="Y3713" s="20">
        <v>3.784E-3</v>
      </c>
      <c r="Z3713" s="21">
        <v>4601004289000</v>
      </c>
    </row>
    <row r="3714" spans="1:26" ht="12" customHeight="1" outlineLevel="3" x14ac:dyDescent="0.2">
      <c r="A3714" s="32" t="s">
        <v>7226</v>
      </c>
      <c r="B3714" s="74" t="s">
        <v>7227</v>
      </c>
      <c r="C3714" s="50"/>
      <c r="D3714" s="53">
        <f t="shared" si="57"/>
        <v>0</v>
      </c>
      <c r="E3714" s="60" t="str">
        <f>HYPERLINK("https://www.sds-group.ru/product/boltorez-s-dvoynym-rychagom-760mm-30-rexant-12-4974/", "Инфо")</f>
        <v>Инфо</v>
      </c>
      <c r="F3714" s="34" t="s">
        <v>39</v>
      </c>
      <c r="G3714" s="33"/>
      <c r="H3714" s="33" t="s">
        <v>40</v>
      </c>
      <c r="I3714" s="33"/>
      <c r="J3714" s="35">
        <v>106</v>
      </c>
      <c r="K3714" s="33"/>
      <c r="L3714" s="35">
        <v>1</v>
      </c>
      <c r="M3714" s="35">
        <v>5</v>
      </c>
      <c r="N3714" s="35">
        <v>1</v>
      </c>
      <c r="O3714" s="36">
        <v>3374.2</v>
      </c>
      <c r="P3714" s="36">
        <v>2765.74</v>
      </c>
      <c r="Q3714" s="36">
        <v>2361.94</v>
      </c>
      <c r="R3714" s="36">
        <v>1936.02</v>
      </c>
      <c r="S3714" s="36">
        <v>2294.46</v>
      </c>
      <c r="T3714" s="36">
        <v>1880.7</v>
      </c>
      <c r="U3714" s="34"/>
      <c r="V3714" s="34"/>
      <c r="W3714" s="34"/>
      <c r="X3714" s="37">
        <v>3.9049999999999998</v>
      </c>
      <c r="Y3714" s="38">
        <v>1.0050999999999999E-2</v>
      </c>
      <c r="Z3714" s="21">
        <v>4601004289017</v>
      </c>
    </row>
    <row r="3715" spans="1:26" ht="12" customHeight="1" outlineLevel="3" x14ac:dyDescent="0.2">
      <c r="A3715" s="32" t="s">
        <v>7228</v>
      </c>
      <c r="B3715" s="74" t="s">
        <v>7229</v>
      </c>
      <c r="C3715" s="50"/>
      <c r="D3715" s="53">
        <f t="shared" si="57"/>
        <v>0</v>
      </c>
      <c r="E3715" s="60" t="str">
        <f>HYPERLINK("https://www.sds-group.ru/product/boltorez-s-dvoynym-rychagom-900mm-36-rexant-12-4975/", "Инфо")</f>
        <v>Инфо</v>
      </c>
      <c r="F3715" s="34" t="s">
        <v>39</v>
      </c>
      <c r="G3715" s="33"/>
      <c r="H3715" s="33" t="s">
        <v>40</v>
      </c>
      <c r="I3715" s="33"/>
      <c r="J3715" s="35">
        <v>2</v>
      </c>
      <c r="K3715" s="33"/>
      <c r="L3715" s="35">
        <v>1</v>
      </c>
      <c r="M3715" s="35">
        <v>5</v>
      </c>
      <c r="N3715" s="35">
        <v>1</v>
      </c>
      <c r="O3715" s="36">
        <v>4312.08</v>
      </c>
      <c r="P3715" s="36">
        <v>3534.49</v>
      </c>
      <c r="Q3715" s="36">
        <v>3018.46</v>
      </c>
      <c r="R3715" s="36">
        <v>2474.15</v>
      </c>
      <c r="S3715" s="36">
        <v>2932.21</v>
      </c>
      <c r="T3715" s="36">
        <v>2403.4499999999998</v>
      </c>
      <c r="U3715" s="34"/>
      <c r="V3715" s="34"/>
      <c r="W3715" s="34"/>
      <c r="X3715" s="37">
        <v>5.38</v>
      </c>
      <c r="Y3715" s="38">
        <v>7.4000000000000003E-3</v>
      </c>
      <c r="Z3715" s="21">
        <v>4601004289024</v>
      </c>
    </row>
    <row r="3716" spans="1:26" ht="12" customHeight="1" outlineLevel="3" x14ac:dyDescent="0.2">
      <c r="A3716" s="32" t="s">
        <v>7230</v>
      </c>
      <c r="B3716" s="74" t="s">
        <v>7231</v>
      </c>
      <c r="C3716" s="50"/>
      <c r="D3716" s="53">
        <f t="shared" si="57"/>
        <v>0</v>
      </c>
      <c r="E3716" s="60" t="str">
        <f>HYPERLINK("https://www.sds-group.ru/product/gidravlicheskie-nozhnitsy-diametr-do-50mm-rexant-12-4947/", "Инфо")</f>
        <v>Инфо</v>
      </c>
      <c r="F3716" s="34" t="s">
        <v>39</v>
      </c>
      <c r="G3716" s="33"/>
      <c r="H3716" s="33" t="s">
        <v>40</v>
      </c>
      <c r="I3716" s="33"/>
      <c r="J3716" s="35">
        <v>1</v>
      </c>
      <c r="K3716" s="33"/>
      <c r="L3716" s="35">
        <v>1</v>
      </c>
      <c r="M3716" s="35">
        <v>10</v>
      </c>
      <c r="N3716" s="35">
        <v>1</v>
      </c>
      <c r="O3716" s="36">
        <v>21352.12</v>
      </c>
      <c r="P3716" s="36">
        <v>17501.740000000002</v>
      </c>
      <c r="Q3716" s="36">
        <v>14946.48</v>
      </c>
      <c r="R3716" s="36">
        <v>12251.21</v>
      </c>
      <c r="S3716" s="36">
        <v>14519.44</v>
      </c>
      <c r="T3716" s="36">
        <v>11901.18</v>
      </c>
      <c r="U3716" s="34"/>
      <c r="V3716" s="34"/>
      <c r="W3716" s="34"/>
      <c r="X3716" s="37">
        <v>11.234</v>
      </c>
      <c r="Y3716" s="38">
        <v>1.4586E-2</v>
      </c>
      <c r="Z3716" s="21">
        <v>4601004133938</v>
      </c>
    </row>
    <row r="3717" spans="1:26" ht="12" customHeight="1" outlineLevel="3" x14ac:dyDescent="0.2">
      <c r="A3717" s="14" t="s">
        <v>7232</v>
      </c>
      <c r="B3717" s="26" t="s">
        <v>7233</v>
      </c>
      <c r="C3717" s="52"/>
      <c r="D3717" s="55">
        <f t="shared" si="57"/>
        <v>0</v>
      </c>
      <c r="E3717" s="63" t="str">
        <f>HYPERLINK("https://www.sds-group.ru/product/instrument-dlya-obrezki-kabelya-32-0-240mm-rexant-12-4402/", "Инфо")</f>
        <v>Инфо</v>
      </c>
      <c r="F3717" s="16" t="s">
        <v>39</v>
      </c>
      <c r="G3717" s="15"/>
      <c r="H3717" s="15"/>
      <c r="I3717" s="15"/>
      <c r="J3717" s="17">
        <v>40</v>
      </c>
      <c r="K3717" s="15" t="s">
        <v>1590</v>
      </c>
      <c r="L3717" s="17">
        <v>1</v>
      </c>
      <c r="M3717" s="17">
        <v>20</v>
      </c>
      <c r="N3717" s="17">
        <v>1</v>
      </c>
      <c r="O3717" s="18">
        <v>7546.14</v>
      </c>
      <c r="P3717" s="18">
        <v>6185.36</v>
      </c>
      <c r="Q3717" s="18">
        <v>5508.68</v>
      </c>
      <c r="R3717" s="18">
        <v>4515.3100000000004</v>
      </c>
      <c r="S3717" s="18">
        <v>5131.38</v>
      </c>
      <c r="T3717" s="18">
        <v>4206.05</v>
      </c>
      <c r="U3717" s="16"/>
      <c r="V3717" s="16"/>
      <c r="W3717" s="16" t="s">
        <v>40</v>
      </c>
      <c r="X3717" s="19">
        <v>0.71199999999999997</v>
      </c>
      <c r="Y3717" s="20">
        <v>1.379E-3</v>
      </c>
      <c r="Z3717" s="21">
        <v>4660008014803</v>
      </c>
    </row>
    <row r="3718" spans="1:26" ht="12" customHeight="1" outlineLevel="3" x14ac:dyDescent="0.2">
      <c r="A3718" s="32" t="s">
        <v>7234</v>
      </c>
      <c r="B3718" s="74" t="s">
        <v>7235</v>
      </c>
      <c r="C3718" s="50"/>
      <c r="D3718" s="53">
        <f t="shared" si="57"/>
        <v>0</v>
      </c>
      <c r="E3718" s="60" t="str">
        <f>HYPERLINK("https://www.sds-group.ru/product/kabelerez-180mm-nikelirovannyy-dvuhkomponentnye-rukoyatki-rexant-12-4626/", "Инфо")</f>
        <v>Инфо</v>
      </c>
      <c r="F3718" s="34" t="s">
        <v>39</v>
      </c>
      <c r="G3718" s="33"/>
      <c r="H3718" s="33" t="s">
        <v>40</v>
      </c>
      <c r="I3718" s="33"/>
      <c r="J3718" s="35">
        <v>60</v>
      </c>
      <c r="K3718" s="33"/>
      <c r="L3718" s="35">
        <v>1</v>
      </c>
      <c r="M3718" s="35">
        <v>60</v>
      </c>
      <c r="N3718" s="35">
        <v>1</v>
      </c>
      <c r="O3718" s="36">
        <v>970.22</v>
      </c>
      <c r="P3718" s="36">
        <v>795.26</v>
      </c>
      <c r="Q3718" s="36">
        <v>776.18</v>
      </c>
      <c r="R3718" s="36">
        <v>636.21</v>
      </c>
      <c r="S3718" s="36">
        <v>659.75</v>
      </c>
      <c r="T3718" s="36">
        <v>540.78</v>
      </c>
      <c r="U3718" s="34"/>
      <c r="V3718" s="34"/>
      <c r="W3718" s="34" t="s">
        <v>40</v>
      </c>
      <c r="X3718" s="37">
        <v>0.29499999999999998</v>
      </c>
      <c r="Y3718" s="38">
        <v>6.5700000000000003E-4</v>
      </c>
      <c r="Z3718" s="21">
        <v>4601004160071</v>
      </c>
    </row>
    <row r="3719" spans="1:26" ht="12" customHeight="1" outlineLevel="3" x14ac:dyDescent="0.2">
      <c r="A3719" s="14" t="s">
        <v>7236</v>
      </c>
      <c r="B3719" s="26" t="s">
        <v>7237</v>
      </c>
      <c r="C3719" s="52"/>
      <c r="D3719" s="55">
        <f t="shared" si="57"/>
        <v>0</v>
      </c>
      <c r="E3719" s="63" t="str">
        <f>HYPERLINK("https://www.sds-group.ru/product/kabelerez-200mm-nikelirovannyy-oblivnye-rukoyatki-rexant-12-4627/", "Инфо")</f>
        <v>Инфо</v>
      </c>
      <c r="F3719" s="16" t="s">
        <v>39</v>
      </c>
      <c r="G3719" s="15"/>
      <c r="H3719" s="15"/>
      <c r="I3719" s="15"/>
      <c r="J3719" s="17">
        <v>283</v>
      </c>
      <c r="K3719" s="15" t="s">
        <v>662</v>
      </c>
      <c r="L3719" s="17">
        <v>1</v>
      </c>
      <c r="M3719" s="17">
        <v>60</v>
      </c>
      <c r="N3719" s="17">
        <v>1</v>
      </c>
      <c r="O3719" s="18">
        <v>583</v>
      </c>
      <c r="P3719" s="18">
        <v>477.87</v>
      </c>
      <c r="Q3719" s="18">
        <v>466.4</v>
      </c>
      <c r="R3719" s="18">
        <v>382.3</v>
      </c>
      <c r="S3719" s="18">
        <v>396.44</v>
      </c>
      <c r="T3719" s="18">
        <v>324.95</v>
      </c>
      <c r="U3719" s="16"/>
      <c r="V3719" s="16"/>
      <c r="W3719" s="16" t="s">
        <v>40</v>
      </c>
      <c r="X3719" s="19">
        <v>0.314</v>
      </c>
      <c r="Y3719" s="20">
        <v>3.9300000000000001E-4</v>
      </c>
      <c r="Z3719" s="21">
        <v>4601004160095</v>
      </c>
    </row>
    <row r="3720" spans="1:26" ht="12" customHeight="1" outlineLevel="3" x14ac:dyDescent="0.2">
      <c r="A3720" s="14" t="s">
        <v>7238</v>
      </c>
      <c r="B3720" s="26" t="s">
        <v>7239</v>
      </c>
      <c r="C3720" s="52"/>
      <c r="D3720" s="55">
        <f t="shared" si="57"/>
        <v>0</v>
      </c>
      <c r="E3720" s="63" t="str">
        <f>HYPERLINK("https://www.sds-group.ru/product/kabelerez-250mm-nikelirovannyy-oblivnye-rukoyatki-rexant-12-4628/", "Инфо")</f>
        <v>Инфо</v>
      </c>
      <c r="F3720" s="16" t="s">
        <v>39</v>
      </c>
      <c r="G3720" s="15"/>
      <c r="H3720" s="15"/>
      <c r="I3720" s="15"/>
      <c r="J3720" s="17">
        <v>23</v>
      </c>
      <c r="K3720" s="15" t="s">
        <v>6344</v>
      </c>
      <c r="L3720" s="17">
        <v>1</v>
      </c>
      <c r="M3720" s="17">
        <v>48</v>
      </c>
      <c r="N3720" s="17">
        <v>1</v>
      </c>
      <c r="O3720" s="18">
        <v>720.8</v>
      </c>
      <c r="P3720" s="18">
        <v>590.82000000000005</v>
      </c>
      <c r="Q3720" s="18">
        <v>576.64</v>
      </c>
      <c r="R3720" s="18">
        <v>472.66</v>
      </c>
      <c r="S3720" s="18">
        <v>490.14</v>
      </c>
      <c r="T3720" s="18">
        <v>401.75</v>
      </c>
      <c r="U3720" s="16"/>
      <c r="V3720" s="16"/>
      <c r="W3720" s="16" t="s">
        <v>40</v>
      </c>
      <c r="X3720" s="19">
        <v>0.38800000000000001</v>
      </c>
      <c r="Y3720" s="20">
        <v>4.1599999999999997E-4</v>
      </c>
      <c r="Z3720" s="21">
        <v>4601004160101</v>
      </c>
    </row>
    <row r="3721" spans="1:26" ht="12" customHeight="1" outlineLevel="3" x14ac:dyDescent="0.2">
      <c r="A3721" s="14" t="s">
        <v>7240</v>
      </c>
      <c r="B3721" s="26" t="s">
        <v>7241</v>
      </c>
      <c r="C3721" s="52"/>
      <c r="D3721" s="55">
        <f t="shared" ref="D3721:D3784" si="58">C3721*(O3721-O3721*$G$3)</f>
        <v>0</v>
      </c>
      <c r="E3721" s="63" t="str">
        <f>HYPERLINK("https://www.sds-group.ru/product/kabelerez-diametr-do-25mm-rexant-12-5420/", "Инфо")</f>
        <v>Инфо</v>
      </c>
      <c r="F3721" s="16" t="s">
        <v>39</v>
      </c>
      <c r="G3721" s="15"/>
      <c r="H3721" s="15"/>
      <c r="I3721" s="15"/>
      <c r="J3721" s="17">
        <v>167</v>
      </c>
      <c r="K3721" s="15"/>
      <c r="L3721" s="17">
        <v>1</v>
      </c>
      <c r="M3721" s="17">
        <v>10</v>
      </c>
      <c r="N3721" s="17">
        <v>1</v>
      </c>
      <c r="O3721" s="18">
        <v>4312.08</v>
      </c>
      <c r="P3721" s="18">
        <v>3534.49</v>
      </c>
      <c r="Q3721" s="18">
        <v>3147.82</v>
      </c>
      <c r="R3721" s="18">
        <v>2580.1799999999998</v>
      </c>
      <c r="S3721" s="18">
        <v>2932.21</v>
      </c>
      <c r="T3721" s="18">
        <v>2403.4499999999998</v>
      </c>
      <c r="U3721" s="16"/>
      <c r="V3721" s="16"/>
      <c r="W3721" s="16" t="s">
        <v>40</v>
      </c>
      <c r="X3721" s="19">
        <v>0.73599999999999999</v>
      </c>
      <c r="Y3721" s="20">
        <v>2.0950000000000001E-3</v>
      </c>
      <c r="Z3721" s="21">
        <v>4601004163140</v>
      </c>
    </row>
    <row r="3722" spans="1:26" ht="12" customHeight="1" outlineLevel="3" x14ac:dyDescent="0.2">
      <c r="A3722" s="14" t="s">
        <v>7242</v>
      </c>
      <c r="B3722" s="26" t="s">
        <v>7243</v>
      </c>
      <c r="C3722" s="52"/>
      <c r="D3722" s="55">
        <f t="shared" si="58"/>
        <v>0</v>
      </c>
      <c r="E3722" s="63" t="str">
        <f>HYPERLINK("https://www.sds-group.ru/product/kabelerez-diametr-do-35mm-rexant-12-5421/", "Инфо")</f>
        <v>Инфо</v>
      </c>
      <c r="F3722" s="16" t="s">
        <v>39</v>
      </c>
      <c r="G3722" s="15"/>
      <c r="H3722" s="15"/>
      <c r="I3722" s="15"/>
      <c r="J3722" s="17">
        <v>3</v>
      </c>
      <c r="K3722" s="15" t="s">
        <v>2798</v>
      </c>
      <c r="L3722" s="17">
        <v>1</v>
      </c>
      <c r="M3722" s="17">
        <v>10</v>
      </c>
      <c r="N3722" s="17">
        <v>1</v>
      </c>
      <c r="O3722" s="18">
        <v>5605.7</v>
      </c>
      <c r="P3722" s="18">
        <v>4594.84</v>
      </c>
      <c r="Q3722" s="18">
        <v>4092.16</v>
      </c>
      <c r="R3722" s="18">
        <v>3354.23</v>
      </c>
      <c r="S3722" s="18">
        <v>3811.88</v>
      </c>
      <c r="T3722" s="18">
        <v>3124.49</v>
      </c>
      <c r="U3722" s="16"/>
      <c r="V3722" s="16"/>
      <c r="W3722" s="16" t="s">
        <v>40</v>
      </c>
      <c r="X3722" s="19">
        <v>2.1309999999999998</v>
      </c>
      <c r="Y3722" s="20">
        <v>5.7959999999999999E-3</v>
      </c>
      <c r="Z3722" s="21">
        <v>4601004163041</v>
      </c>
    </row>
    <row r="3723" spans="1:26" ht="12" customHeight="1" outlineLevel="3" x14ac:dyDescent="0.2">
      <c r="A3723" s="14" t="s">
        <v>7244</v>
      </c>
      <c r="B3723" s="26" t="s">
        <v>7245</v>
      </c>
      <c r="C3723" s="52"/>
      <c r="D3723" s="55">
        <f t="shared" si="58"/>
        <v>0</v>
      </c>
      <c r="E3723" s="63" t="str">
        <f>HYPERLINK("https://www.sds-group.ru/product/kabelerez-master-diametr-do-13-5mm-s-funktsiey-zachistki-kabelya-0-5-6mm-rexant-12-5412/", "Инфо")</f>
        <v>Инфо</v>
      </c>
      <c r="F3723" s="16" t="s">
        <v>39</v>
      </c>
      <c r="G3723" s="15"/>
      <c r="H3723" s="15"/>
      <c r="I3723" s="15"/>
      <c r="J3723" s="16" t="s">
        <v>100</v>
      </c>
      <c r="K3723" s="15" t="s">
        <v>6344</v>
      </c>
      <c r="L3723" s="17">
        <v>1</v>
      </c>
      <c r="M3723" s="17">
        <v>60</v>
      </c>
      <c r="N3723" s="17">
        <v>1</v>
      </c>
      <c r="O3723" s="18">
        <v>700.71</v>
      </c>
      <c r="P3723" s="18">
        <v>574.35</v>
      </c>
      <c r="Q3723" s="18">
        <v>560.57000000000005</v>
      </c>
      <c r="R3723" s="18">
        <v>459.48</v>
      </c>
      <c r="S3723" s="18">
        <v>476.48</v>
      </c>
      <c r="T3723" s="18">
        <v>390.56</v>
      </c>
      <c r="U3723" s="16"/>
      <c r="V3723" s="16"/>
      <c r="W3723" s="16" t="s">
        <v>40</v>
      </c>
      <c r="X3723" s="19">
        <v>0.255</v>
      </c>
      <c r="Y3723" s="20">
        <v>6.1499999999999999E-4</v>
      </c>
      <c r="Z3723" s="21">
        <v>4601004163096</v>
      </c>
    </row>
    <row r="3724" spans="1:26" ht="12" customHeight="1" outlineLevel="3" x14ac:dyDescent="0.2">
      <c r="A3724" s="14" t="s">
        <v>7246</v>
      </c>
      <c r="B3724" s="26" t="s">
        <v>7247</v>
      </c>
      <c r="C3724" s="52"/>
      <c r="D3724" s="55">
        <f t="shared" si="58"/>
        <v>0</v>
      </c>
      <c r="E3724" s="63" t="str">
        <f>HYPERLINK("https://www.sds-group.ru/product/nozhnitsy-sektornye-diametr-do-75mm-rexant-12-4948/", "Инфо")</f>
        <v>Инфо</v>
      </c>
      <c r="F3724" s="16" t="s">
        <v>39</v>
      </c>
      <c r="G3724" s="15"/>
      <c r="H3724" s="15"/>
      <c r="I3724" s="15"/>
      <c r="J3724" s="16" t="s">
        <v>100</v>
      </c>
      <c r="K3724" s="15" t="s">
        <v>2798</v>
      </c>
      <c r="L3724" s="17">
        <v>1</v>
      </c>
      <c r="M3724" s="17">
        <v>5</v>
      </c>
      <c r="N3724" s="17">
        <v>1</v>
      </c>
      <c r="O3724" s="18">
        <v>20482.38</v>
      </c>
      <c r="P3724" s="18">
        <v>16788.84</v>
      </c>
      <c r="Q3724" s="18">
        <v>14952.14</v>
      </c>
      <c r="R3724" s="18">
        <v>12255.85</v>
      </c>
      <c r="S3724" s="18">
        <v>13928.02</v>
      </c>
      <c r="T3724" s="18">
        <v>11416.41</v>
      </c>
      <c r="U3724" s="16"/>
      <c r="V3724" s="16"/>
      <c r="W3724" s="16" t="s">
        <v>40</v>
      </c>
      <c r="X3724" s="19">
        <v>4.97</v>
      </c>
      <c r="Y3724" s="20">
        <v>7.4549999999999998E-3</v>
      </c>
      <c r="Z3724" s="21">
        <v>4601004133945</v>
      </c>
    </row>
    <row r="3725" spans="1:26" ht="12" customHeight="1" outlineLevel="3" x14ac:dyDescent="0.2">
      <c r="A3725" s="32" t="s">
        <v>7248</v>
      </c>
      <c r="B3725" s="74" t="s">
        <v>7249</v>
      </c>
      <c r="C3725" s="50"/>
      <c r="D3725" s="53">
        <f t="shared" si="58"/>
        <v>0</v>
      </c>
      <c r="E3725" s="60" t="str">
        <f>HYPERLINK("https://www.sds-group.ru/product/nozhnitsy-universalnye-140mm-rexant-12-4945/", "Инфо")</f>
        <v>Инфо</v>
      </c>
      <c r="F3725" s="34" t="s">
        <v>39</v>
      </c>
      <c r="G3725" s="33"/>
      <c r="H3725" s="33" t="s">
        <v>40</v>
      </c>
      <c r="I3725" s="33"/>
      <c r="J3725" s="35">
        <v>15</v>
      </c>
      <c r="K3725" s="33"/>
      <c r="L3725" s="35">
        <v>1</v>
      </c>
      <c r="M3725" s="35">
        <v>60</v>
      </c>
      <c r="N3725" s="35">
        <v>1</v>
      </c>
      <c r="O3725" s="36">
        <v>646.80999999999995</v>
      </c>
      <c r="P3725" s="36">
        <v>530.16999999999996</v>
      </c>
      <c r="Q3725" s="36">
        <v>517.45000000000005</v>
      </c>
      <c r="R3725" s="36">
        <v>424.14</v>
      </c>
      <c r="S3725" s="36">
        <v>439.83</v>
      </c>
      <c r="T3725" s="36">
        <v>360.52</v>
      </c>
      <c r="U3725" s="34"/>
      <c r="V3725" s="34"/>
      <c r="W3725" s="34" t="s">
        <v>40</v>
      </c>
      <c r="X3725" s="37">
        <v>0.105</v>
      </c>
      <c r="Y3725" s="38">
        <v>5.1999999999999995E-4</v>
      </c>
      <c r="Z3725" s="21">
        <v>4601004161726</v>
      </c>
    </row>
    <row r="3726" spans="1:26" ht="12.95" customHeight="1" outlineLevel="2" x14ac:dyDescent="0.2">
      <c r="A3726" s="76" t="s">
        <v>7250</v>
      </c>
      <c r="B3726" s="76"/>
      <c r="C3726" s="77"/>
      <c r="D3726" s="58"/>
      <c r="E3726" s="68"/>
      <c r="F3726" s="13"/>
      <c r="G3726" s="13"/>
      <c r="H3726" s="13"/>
      <c r="I3726" s="13"/>
      <c r="J3726" s="13"/>
      <c r="K3726" s="13"/>
      <c r="L3726" s="13"/>
      <c r="M3726" s="13"/>
      <c r="N3726" s="13"/>
      <c r="O3726" s="13"/>
      <c r="P3726" s="13"/>
      <c r="Q3726" s="13"/>
      <c r="R3726" s="13"/>
      <c r="S3726" s="13"/>
      <c r="T3726" s="13"/>
      <c r="U3726" s="13"/>
      <c r="V3726" s="13"/>
      <c r="W3726" s="13"/>
      <c r="X3726" s="13"/>
      <c r="Y3726" s="13"/>
      <c r="Z3726" s="13"/>
    </row>
    <row r="3727" spans="1:26" ht="12" customHeight="1" outlineLevel="3" x14ac:dyDescent="0.2">
      <c r="A3727" s="14" t="s">
        <v>7251</v>
      </c>
      <c r="B3727" s="26" t="s">
        <v>7252</v>
      </c>
      <c r="C3727" s="52"/>
      <c r="D3727" s="55">
        <f t="shared" si="58"/>
        <v>0</v>
      </c>
      <c r="E3727" s="63" t="str">
        <f>HYPERLINK("https://www.sds-group.ru/product/nozh-montazhnyy-nerzhaveyuschaya-stal-dvuhstoronnyaya-zatochka-lezvie-33mm-rexant-12-4931/", "Инфо")</f>
        <v>Инфо</v>
      </c>
      <c r="F3727" s="16" t="s">
        <v>39</v>
      </c>
      <c r="G3727" s="15"/>
      <c r="H3727" s="15"/>
      <c r="I3727" s="15"/>
      <c r="J3727" s="17">
        <v>951</v>
      </c>
      <c r="K3727" s="15"/>
      <c r="L3727" s="17">
        <v>1</v>
      </c>
      <c r="M3727" s="17">
        <v>72</v>
      </c>
      <c r="N3727" s="17">
        <v>1</v>
      </c>
      <c r="O3727" s="18">
        <v>916.32</v>
      </c>
      <c r="P3727" s="18">
        <v>751.08</v>
      </c>
      <c r="Q3727" s="18">
        <v>733.06</v>
      </c>
      <c r="R3727" s="18">
        <v>600.87</v>
      </c>
      <c r="S3727" s="18">
        <v>623.1</v>
      </c>
      <c r="T3727" s="18">
        <v>510.74</v>
      </c>
      <c r="U3727" s="16"/>
      <c r="V3727" s="16"/>
      <c r="W3727" s="16" t="s">
        <v>40</v>
      </c>
      <c r="X3727" s="19">
        <v>0.14699999999999999</v>
      </c>
      <c r="Y3727" s="20">
        <v>9.7400000000000004E-4</v>
      </c>
      <c r="Z3727" s="21">
        <v>4601004068278</v>
      </c>
    </row>
    <row r="3728" spans="1:26" ht="12" customHeight="1" outlineLevel="3" x14ac:dyDescent="0.2">
      <c r="A3728" s="32" t="s">
        <v>7253</v>
      </c>
      <c r="B3728" s="74" t="s">
        <v>7254</v>
      </c>
      <c r="C3728" s="50"/>
      <c r="D3728" s="53">
        <f t="shared" si="58"/>
        <v>0</v>
      </c>
      <c r="E3728" s="60" t="str">
        <f>HYPERLINK("https://www.sds-group.ru/product/nozh-montazhnyy-nerzhaveyuschaya-stal-lezvie-42mm-rexant-12-4932/", "Инфо")</f>
        <v>Инфо</v>
      </c>
      <c r="F3728" s="34" t="s">
        <v>39</v>
      </c>
      <c r="G3728" s="33"/>
      <c r="H3728" s="33" t="s">
        <v>40</v>
      </c>
      <c r="I3728" s="33"/>
      <c r="J3728" s="35">
        <v>56</v>
      </c>
      <c r="K3728" s="33"/>
      <c r="L3728" s="35">
        <v>1</v>
      </c>
      <c r="M3728" s="35">
        <v>72</v>
      </c>
      <c r="N3728" s="35">
        <v>1</v>
      </c>
      <c r="O3728" s="36">
        <v>700.71</v>
      </c>
      <c r="P3728" s="36">
        <v>574.35</v>
      </c>
      <c r="Q3728" s="36">
        <v>560.57000000000005</v>
      </c>
      <c r="R3728" s="36">
        <v>459.48</v>
      </c>
      <c r="S3728" s="36">
        <v>476.48</v>
      </c>
      <c r="T3728" s="36">
        <v>390.56</v>
      </c>
      <c r="U3728" s="34"/>
      <c r="V3728" s="34"/>
      <c r="W3728" s="34" t="s">
        <v>40</v>
      </c>
      <c r="X3728" s="37">
        <v>0.14699999999999999</v>
      </c>
      <c r="Y3728" s="38">
        <v>9.7400000000000004E-4</v>
      </c>
      <c r="Z3728" s="21">
        <v>4601004068292</v>
      </c>
    </row>
    <row r="3729" spans="1:26" ht="12" customHeight="1" outlineLevel="3" x14ac:dyDescent="0.2">
      <c r="A3729" s="14" t="s">
        <v>7255</v>
      </c>
      <c r="B3729" s="26" t="s">
        <v>7256</v>
      </c>
      <c r="C3729" s="52"/>
      <c r="D3729" s="55">
        <f t="shared" si="58"/>
        <v>0</v>
      </c>
      <c r="E3729" s="63" t="str">
        <f>HYPERLINK("https://www.sds-group.ru/product/nozh-montazhnyy-nerzhaveyuschaya-stal-lezvie-50mm-rexant-12-4933/", "Инфо")</f>
        <v>Инфо</v>
      </c>
      <c r="F3729" s="16" t="s">
        <v>39</v>
      </c>
      <c r="G3729" s="15"/>
      <c r="H3729" s="15"/>
      <c r="I3729" s="15"/>
      <c r="J3729" s="22">
        <v>1118</v>
      </c>
      <c r="K3729" s="15"/>
      <c r="L3729" s="17">
        <v>1</v>
      </c>
      <c r="M3729" s="17">
        <v>100</v>
      </c>
      <c r="N3729" s="17">
        <v>1</v>
      </c>
      <c r="O3729" s="18">
        <v>808.52</v>
      </c>
      <c r="P3729" s="18">
        <v>662.72</v>
      </c>
      <c r="Q3729" s="18">
        <v>646.82000000000005</v>
      </c>
      <c r="R3729" s="18">
        <v>530.17999999999995</v>
      </c>
      <c r="S3729" s="18">
        <v>549.79</v>
      </c>
      <c r="T3729" s="18">
        <v>450.65</v>
      </c>
      <c r="U3729" s="16"/>
      <c r="V3729" s="16"/>
      <c r="W3729" s="16" t="s">
        <v>40</v>
      </c>
      <c r="X3729" s="19">
        <v>0.14899999999999999</v>
      </c>
      <c r="Y3729" s="20">
        <v>7.4799999999999997E-4</v>
      </c>
      <c r="Z3729" s="21">
        <v>4601004068285</v>
      </c>
    </row>
    <row r="3730" spans="1:26" ht="12" customHeight="1" outlineLevel="3" x14ac:dyDescent="0.2">
      <c r="A3730" s="14" t="s">
        <v>7257</v>
      </c>
      <c r="B3730" s="26" t="s">
        <v>7258</v>
      </c>
      <c r="C3730" s="52"/>
      <c r="D3730" s="55">
        <f t="shared" si="58"/>
        <v>0</v>
      </c>
      <c r="E3730" s="63" t="str">
        <f>HYPERLINK("https://www.sds-group.ru/product/nozh-montazhnyy-nerzhaveyuschaya-stal-pryamoe-lezvie-rexant-12-4936/", "Инфо")</f>
        <v>Инфо</v>
      </c>
      <c r="F3730" s="16" t="s">
        <v>39</v>
      </c>
      <c r="G3730" s="15"/>
      <c r="H3730" s="15"/>
      <c r="I3730" s="15"/>
      <c r="J3730" s="17">
        <v>755</v>
      </c>
      <c r="K3730" s="15"/>
      <c r="L3730" s="17">
        <v>1</v>
      </c>
      <c r="M3730" s="17">
        <v>72</v>
      </c>
      <c r="N3730" s="17">
        <v>1</v>
      </c>
      <c r="O3730" s="18">
        <v>700.71</v>
      </c>
      <c r="P3730" s="18">
        <v>574.35</v>
      </c>
      <c r="Q3730" s="18">
        <v>560.57000000000005</v>
      </c>
      <c r="R3730" s="18">
        <v>459.48</v>
      </c>
      <c r="S3730" s="18">
        <v>476.48</v>
      </c>
      <c r="T3730" s="18">
        <v>390.56</v>
      </c>
      <c r="U3730" s="16"/>
      <c r="V3730" s="16"/>
      <c r="W3730" s="16" t="s">
        <v>40</v>
      </c>
      <c r="X3730" s="19">
        <v>0.122</v>
      </c>
      <c r="Y3730" s="20">
        <v>8.6399999999999997E-4</v>
      </c>
      <c r="Z3730" s="21">
        <v>4601004113893</v>
      </c>
    </row>
    <row r="3731" spans="1:26" ht="12" customHeight="1" outlineLevel="3" x14ac:dyDescent="0.2">
      <c r="A3731" s="14" t="s">
        <v>7259</v>
      </c>
      <c r="B3731" s="26" t="s">
        <v>7260</v>
      </c>
      <c r="C3731" s="52"/>
      <c r="D3731" s="55">
        <f t="shared" si="58"/>
        <v>0</v>
      </c>
      <c r="E3731" s="63" t="str">
        <f>HYPERLINK("https://www.sds-group.ru/product/nozh-montazhnyy-nerzhaveyuschaya-stal-s-pyatkoy-rexant-12-4935/", "Инфо")</f>
        <v>Инфо</v>
      </c>
      <c r="F3731" s="16" t="s">
        <v>39</v>
      </c>
      <c r="G3731" s="15"/>
      <c r="H3731" s="15"/>
      <c r="I3731" s="15"/>
      <c r="J3731" s="22">
        <v>1716</v>
      </c>
      <c r="K3731" s="15"/>
      <c r="L3731" s="17">
        <v>1</v>
      </c>
      <c r="M3731" s="17">
        <v>100</v>
      </c>
      <c r="N3731" s="17">
        <v>1</v>
      </c>
      <c r="O3731" s="18">
        <v>784.4</v>
      </c>
      <c r="P3731" s="18">
        <v>642.95000000000005</v>
      </c>
      <c r="Q3731" s="18">
        <v>619.67999999999995</v>
      </c>
      <c r="R3731" s="18">
        <v>507.93</v>
      </c>
      <c r="S3731" s="18">
        <v>533.39</v>
      </c>
      <c r="T3731" s="18">
        <v>437.2</v>
      </c>
      <c r="U3731" s="16"/>
      <c r="V3731" s="16"/>
      <c r="W3731" s="16" t="s">
        <v>40</v>
      </c>
      <c r="X3731" s="19">
        <v>0.122</v>
      </c>
      <c r="Y3731" s="20">
        <v>8.7100000000000003E-4</v>
      </c>
      <c r="Z3731" s="21">
        <v>4601004113909</v>
      </c>
    </row>
    <row r="3732" spans="1:26" ht="12" customHeight="1" outlineLevel="3" x14ac:dyDescent="0.2">
      <c r="A3732" s="14" t="s">
        <v>7261</v>
      </c>
      <c r="B3732" s="26" t="s">
        <v>7262</v>
      </c>
      <c r="C3732" s="52"/>
      <c r="D3732" s="55">
        <f t="shared" si="58"/>
        <v>0</v>
      </c>
      <c r="E3732" s="63" t="str">
        <f>HYPERLINK("https://www.sds-group.ru/product/nozh-montazhnyy-nerzhaveyuschaya-stal-izognutoe-lezvie-rexant-12-4937/", "Инфо")</f>
        <v>Инфо</v>
      </c>
      <c r="F3732" s="16" t="s">
        <v>39</v>
      </c>
      <c r="G3732" s="15"/>
      <c r="H3732" s="15"/>
      <c r="I3732" s="15"/>
      <c r="J3732" s="17">
        <v>144</v>
      </c>
      <c r="K3732" s="15" t="s">
        <v>6798</v>
      </c>
      <c r="L3732" s="17">
        <v>1</v>
      </c>
      <c r="M3732" s="17">
        <v>72</v>
      </c>
      <c r="N3732" s="17">
        <v>1</v>
      </c>
      <c r="O3732" s="18">
        <v>862.42</v>
      </c>
      <c r="P3732" s="18">
        <v>706.9</v>
      </c>
      <c r="Q3732" s="18">
        <v>689.94</v>
      </c>
      <c r="R3732" s="18">
        <v>565.52</v>
      </c>
      <c r="S3732" s="18">
        <v>586.45000000000005</v>
      </c>
      <c r="T3732" s="18">
        <v>480.7</v>
      </c>
      <c r="U3732" s="16"/>
      <c r="V3732" s="16"/>
      <c r="W3732" s="16" t="s">
        <v>40</v>
      </c>
      <c r="X3732" s="19">
        <v>0.11899999999999999</v>
      </c>
      <c r="Y3732" s="20">
        <v>8.3600000000000005E-4</v>
      </c>
      <c r="Z3732" s="21">
        <v>4601004113916</v>
      </c>
    </row>
    <row r="3733" spans="1:26" ht="12.95" customHeight="1" outlineLevel="2" x14ac:dyDescent="0.2">
      <c r="A3733" s="76" t="s">
        <v>7263</v>
      </c>
      <c r="B3733" s="76"/>
      <c r="C3733" s="77"/>
      <c r="D3733" s="58"/>
      <c r="E3733" s="68"/>
      <c r="F3733" s="13"/>
      <c r="G3733" s="13"/>
      <c r="H3733" s="13"/>
      <c r="I3733" s="13"/>
      <c r="J3733" s="13"/>
      <c r="K3733" s="13"/>
      <c r="L3733" s="13"/>
      <c r="M3733" s="13"/>
      <c r="N3733" s="13"/>
      <c r="O3733" s="13"/>
      <c r="P3733" s="13"/>
      <c r="Q3733" s="13"/>
      <c r="R3733" s="13"/>
      <c r="S3733" s="13"/>
      <c r="T3733" s="13"/>
      <c r="U3733" s="13"/>
      <c r="V3733" s="13"/>
      <c r="W3733" s="13"/>
      <c r="X3733" s="13"/>
      <c r="Y3733" s="13"/>
      <c r="Z3733" s="13"/>
    </row>
    <row r="3734" spans="1:26" ht="12" customHeight="1" outlineLevel="3" x14ac:dyDescent="0.2">
      <c r="A3734" s="14" t="s">
        <v>7264</v>
      </c>
      <c r="B3734" s="26" t="s">
        <v>7265</v>
      </c>
      <c r="C3734" s="52"/>
      <c r="D3734" s="55">
        <f t="shared" si="58"/>
        <v>0</v>
      </c>
      <c r="E3734" s="63" t="str">
        <f>HYPERLINK("https://www.sds-group.ru/product/instrument-dlya-montazha-stalnyh-styazhek-4-6-7-9mm-rexant-12-4522/", "Инфо")</f>
        <v>Инфо</v>
      </c>
      <c r="F3734" s="16" t="s">
        <v>39</v>
      </c>
      <c r="G3734" s="15"/>
      <c r="H3734" s="15"/>
      <c r="I3734" s="15"/>
      <c r="J3734" s="17">
        <v>109</v>
      </c>
      <c r="K3734" s="15" t="s">
        <v>2798</v>
      </c>
      <c r="L3734" s="17">
        <v>1</v>
      </c>
      <c r="M3734" s="17">
        <v>20</v>
      </c>
      <c r="N3734" s="17">
        <v>1</v>
      </c>
      <c r="O3734" s="18">
        <v>5174.5</v>
      </c>
      <c r="P3734" s="18">
        <v>4241.3900000000003</v>
      </c>
      <c r="Q3734" s="18">
        <v>3777.39</v>
      </c>
      <c r="R3734" s="18">
        <v>3096.22</v>
      </c>
      <c r="S3734" s="18">
        <v>3518.66</v>
      </c>
      <c r="T3734" s="18">
        <v>2884.15</v>
      </c>
      <c r="U3734" s="16"/>
      <c r="V3734" s="16"/>
      <c r="W3734" s="16" t="s">
        <v>40</v>
      </c>
      <c r="X3734" s="19">
        <v>0.67600000000000005</v>
      </c>
      <c r="Y3734" s="20">
        <v>2.9169999999999999E-3</v>
      </c>
      <c r="Z3734" s="21">
        <v>4601004163133</v>
      </c>
    </row>
    <row r="3735" spans="1:26" ht="12" customHeight="1" outlineLevel="3" x14ac:dyDescent="0.2">
      <c r="A3735" s="14" t="s">
        <v>7266</v>
      </c>
      <c r="B3735" s="26" t="s">
        <v>7267</v>
      </c>
      <c r="C3735" s="52"/>
      <c r="D3735" s="55">
        <f t="shared" si="58"/>
        <v>0</v>
      </c>
      <c r="E3735" s="63" t="str">
        <f>HYPERLINK("https://www.sds-group.ru/product/instrument-dlya-montazha-styazhek-2-4-10mm-rexant-12-4524/", "Инфо")</f>
        <v>Инфо</v>
      </c>
      <c r="F3735" s="16" t="s">
        <v>39</v>
      </c>
      <c r="G3735" s="15"/>
      <c r="H3735" s="15"/>
      <c r="I3735" s="15"/>
      <c r="J3735" s="17">
        <v>358</v>
      </c>
      <c r="K3735" s="15" t="s">
        <v>6344</v>
      </c>
      <c r="L3735" s="17">
        <v>1</v>
      </c>
      <c r="M3735" s="17">
        <v>40</v>
      </c>
      <c r="N3735" s="17">
        <v>1</v>
      </c>
      <c r="O3735" s="18">
        <v>1185.82</v>
      </c>
      <c r="P3735" s="18">
        <v>971.98</v>
      </c>
      <c r="Q3735" s="18">
        <v>936.8</v>
      </c>
      <c r="R3735" s="18">
        <v>767.87</v>
      </c>
      <c r="S3735" s="18">
        <v>806.36</v>
      </c>
      <c r="T3735" s="18">
        <v>660.95</v>
      </c>
      <c r="U3735" s="16"/>
      <c r="V3735" s="16"/>
      <c r="W3735" s="16" t="s">
        <v>40</v>
      </c>
      <c r="X3735" s="19">
        <v>0.35899999999999999</v>
      </c>
      <c r="Y3735" s="20">
        <v>1.1180000000000001E-3</v>
      </c>
      <c r="Z3735" s="21">
        <v>4601004163126</v>
      </c>
    </row>
    <row r="3736" spans="1:26" ht="12" customHeight="1" outlineLevel="3" x14ac:dyDescent="0.2">
      <c r="A3736" s="40" t="s">
        <v>7268</v>
      </c>
      <c r="B3736" s="75" t="s">
        <v>7269</v>
      </c>
      <c r="C3736" s="51"/>
      <c r="D3736" s="54">
        <f t="shared" si="58"/>
        <v>0</v>
      </c>
      <c r="E3736" s="61" t="str">
        <f>HYPERLINK("https://www.sds-group.ru/product/instrument-dlya-natyazheniya-stalnoy-lenty-rexant-07-1601/", "Инфо")</f>
        <v>Инфо</v>
      </c>
      <c r="F3736" s="42" t="s">
        <v>39</v>
      </c>
      <c r="G3736" s="41" t="s">
        <v>40</v>
      </c>
      <c r="H3736" s="41"/>
      <c r="I3736" s="41"/>
      <c r="J3736" s="43">
        <v>71</v>
      </c>
      <c r="K3736" s="41" t="s">
        <v>4926</v>
      </c>
      <c r="L3736" s="43">
        <v>1</v>
      </c>
      <c r="M3736" s="43">
        <v>10</v>
      </c>
      <c r="N3736" s="43">
        <v>1</v>
      </c>
      <c r="O3736" s="44">
        <v>6768.88</v>
      </c>
      <c r="P3736" s="44">
        <v>5548.26</v>
      </c>
      <c r="Q3736" s="44">
        <v>6295.06</v>
      </c>
      <c r="R3736" s="44">
        <v>5159.8900000000003</v>
      </c>
      <c r="S3736" s="44">
        <v>4602.84</v>
      </c>
      <c r="T3736" s="44">
        <v>3772.82</v>
      </c>
      <c r="U3736" s="42"/>
      <c r="V3736" s="42"/>
      <c r="W3736" s="42" t="s">
        <v>40</v>
      </c>
      <c r="X3736" s="45">
        <v>1.929</v>
      </c>
      <c r="Y3736" s="46">
        <v>2.5430000000000001E-3</v>
      </c>
      <c r="Z3736" s="21">
        <v>4601004339132</v>
      </c>
    </row>
    <row r="3737" spans="1:26" ht="12" customHeight="1" outlineLevel="3" x14ac:dyDescent="0.2">
      <c r="A3737" s="40" t="s">
        <v>7270</v>
      </c>
      <c r="B3737" s="75" t="s">
        <v>7271</v>
      </c>
      <c r="C3737" s="51"/>
      <c r="D3737" s="54">
        <f t="shared" si="58"/>
        <v>0</v>
      </c>
      <c r="E3737" s="61" t="str">
        <f>HYPERLINK("https://www.sds-group.ru/product/instrument-s-hrapovym-mehanizmom-dlya-natyazheniya-stalnoy-lenty-rexant-07-1600/", "Инфо")</f>
        <v>Инфо</v>
      </c>
      <c r="F3737" s="42" t="s">
        <v>39</v>
      </c>
      <c r="G3737" s="41" t="s">
        <v>40</v>
      </c>
      <c r="H3737" s="41"/>
      <c r="I3737" s="41"/>
      <c r="J3737" s="43">
        <v>76</v>
      </c>
      <c r="K3737" s="41" t="s">
        <v>4926</v>
      </c>
      <c r="L3737" s="43">
        <v>1</v>
      </c>
      <c r="M3737" s="43">
        <v>10</v>
      </c>
      <c r="N3737" s="43">
        <v>1</v>
      </c>
      <c r="O3737" s="44">
        <v>7243.21</v>
      </c>
      <c r="P3737" s="44">
        <v>5937.06</v>
      </c>
      <c r="Q3737" s="44">
        <v>6736.19</v>
      </c>
      <c r="R3737" s="44">
        <v>5521.47</v>
      </c>
      <c r="S3737" s="44">
        <v>4925.38</v>
      </c>
      <c r="T3737" s="44">
        <v>4037.2</v>
      </c>
      <c r="U3737" s="42"/>
      <c r="V3737" s="42"/>
      <c r="W3737" s="42" t="s">
        <v>40</v>
      </c>
      <c r="X3737" s="45">
        <v>1.2969999999999999</v>
      </c>
      <c r="Y3737" s="46">
        <v>2.5790000000000001E-3</v>
      </c>
      <c r="Z3737" s="21">
        <v>4601004339125</v>
      </c>
    </row>
    <row r="3738" spans="1:26" ht="12" customHeight="1" outlineLevel="3" x14ac:dyDescent="0.2">
      <c r="A3738" s="14" t="s">
        <v>7272</v>
      </c>
      <c r="B3738" s="26" t="s">
        <v>7273</v>
      </c>
      <c r="C3738" s="52"/>
      <c r="D3738" s="55">
        <f t="shared" si="58"/>
        <v>0</v>
      </c>
      <c r="E3738" s="63" t="str">
        <f>HYPERLINK("https://www.sds-group.ru/product/montazhnyy-instrument-ps-100-dlya-styazhek-rexant-12-4541/", "Инфо")</f>
        <v>Инфо</v>
      </c>
      <c r="F3738" s="16" t="s">
        <v>39</v>
      </c>
      <c r="G3738" s="15"/>
      <c r="H3738" s="15"/>
      <c r="I3738" s="15"/>
      <c r="J3738" s="17">
        <v>61</v>
      </c>
      <c r="K3738" s="15" t="s">
        <v>6020</v>
      </c>
      <c r="L3738" s="17">
        <v>1</v>
      </c>
      <c r="M3738" s="17">
        <v>100</v>
      </c>
      <c r="N3738" s="17">
        <v>1</v>
      </c>
      <c r="O3738" s="18">
        <v>455.8</v>
      </c>
      <c r="P3738" s="18">
        <v>373.61</v>
      </c>
      <c r="Q3738" s="18">
        <v>319.06</v>
      </c>
      <c r="R3738" s="18">
        <v>261.52</v>
      </c>
      <c r="S3738" s="18">
        <v>309.94</v>
      </c>
      <c r="T3738" s="18">
        <v>254.05</v>
      </c>
      <c r="U3738" s="16"/>
      <c r="V3738" s="16"/>
      <c r="W3738" s="16"/>
      <c r="X3738" s="19">
        <v>9.0999999999999998E-2</v>
      </c>
      <c r="Y3738" s="20">
        <v>5.4900000000000001E-4</v>
      </c>
      <c r="Z3738" s="21">
        <v>4660008017804</v>
      </c>
    </row>
    <row r="3739" spans="1:26" ht="12" customHeight="1" outlineLevel="3" x14ac:dyDescent="0.2">
      <c r="A3739" s="14" t="s">
        <v>7274</v>
      </c>
      <c r="B3739" s="26" t="s">
        <v>7275</v>
      </c>
      <c r="C3739" s="52"/>
      <c r="D3739" s="55">
        <f t="shared" si="58"/>
        <v>0</v>
      </c>
      <c r="E3739" s="63" t="str">
        <f>HYPERLINK("https://www.sds-group.ru/product/montazhnyy-instrument-ps-600a-dlya-styazhek-rexant-12-4521/", "Инфо")</f>
        <v>Инфо</v>
      </c>
      <c r="F3739" s="16" t="s">
        <v>39</v>
      </c>
      <c r="G3739" s="15"/>
      <c r="H3739" s="15"/>
      <c r="I3739" s="15"/>
      <c r="J3739" s="16" t="s">
        <v>100</v>
      </c>
      <c r="K3739" s="15" t="s">
        <v>1126</v>
      </c>
      <c r="L3739" s="17">
        <v>1</v>
      </c>
      <c r="M3739" s="17">
        <v>50</v>
      </c>
      <c r="N3739" s="17">
        <v>1</v>
      </c>
      <c r="O3739" s="18">
        <v>1378</v>
      </c>
      <c r="P3739" s="18">
        <v>1129.51</v>
      </c>
      <c r="Q3739" s="18">
        <v>1061.06</v>
      </c>
      <c r="R3739" s="18">
        <v>869.72</v>
      </c>
      <c r="S3739" s="18">
        <v>937.04</v>
      </c>
      <c r="T3739" s="18">
        <v>768.07</v>
      </c>
      <c r="U3739" s="16"/>
      <c r="V3739" s="16"/>
      <c r="W3739" s="16" t="s">
        <v>40</v>
      </c>
      <c r="X3739" s="19">
        <v>0.35199999999999998</v>
      </c>
      <c r="Y3739" s="20">
        <v>8.4400000000000002E-4</v>
      </c>
      <c r="Z3739" s="21">
        <v>4610003603465</v>
      </c>
    </row>
    <row r="3740" spans="1:26" ht="12.95" customHeight="1" outlineLevel="2" x14ac:dyDescent="0.2">
      <c r="A3740" s="76" t="s">
        <v>7276</v>
      </c>
      <c r="B3740" s="76"/>
      <c r="C3740" s="77"/>
      <c r="D3740" s="58"/>
      <c r="E3740" s="68"/>
      <c r="F3740" s="13"/>
      <c r="G3740" s="13"/>
      <c r="H3740" s="13"/>
      <c r="I3740" s="13"/>
      <c r="J3740" s="13"/>
      <c r="K3740" s="13"/>
      <c r="L3740" s="13"/>
      <c r="M3740" s="13"/>
      <c r="N3740" s="13"/>
      <c r="O3740" s="13"/>
      <c r="P3740" s="13"/>
      <c r="Q3740" s="13"/>
      <c r="R3740" s="13"/>
      <c r="S3740" s="13"/>
      <c r="T3740" s="13"/>
      <c r="U3740" s="13"/>
      <c r="V3740" s="13"/>
      <c r="W3740" s="13"/>
      <c r="X3740" s="13"/>
      <c r="Y3740" s="13"/>
      <c r="Z3740" s="13"/>
    </row>
    <row r="3741" spans="1:26" ht="12" customHeight="1" outlineLevel="3" x14ac:dyDescent="0.2">
      <c r="A3741" s="14" t="s">
        <v>7277</v>
      </c>
      <c r="B3741" s="26" t="s">
        <v>7278</v>
      </c>
      <c r="C3741" s="52"/>
      <c r="D3741" s="55">
        <f t="shared" si="58"/>
        <v>0</v>
      </c>
      <c r="E3741" s="63" t="str">
        <f>HYPERLINK("https://www.sds-group.ru/product/protyazhka-kabelnaya-mini-uzk-v-buhte-stekloprutok-3-0mm-10m-proconnect-47-1010-6/", "Инфо")</f>
        <v>Инфо</v>
      </c>
      <c r="F3741" s="16" t="s">
        <v>39</v>
      </c>
      <c r="G3741" s="15"/>
      <c r="H3741" s="15"/>
      <c r="I3741" s="15"/>
      <c r="J3741" s="17">
        <v>77</v>
      </c>
      <c r="K3741" s="15"/>
      <c r="L3741" s="17">
        <v>1</v>
      </c>
      <c r="M3741" s="17">
        <v>75</v>
      </c>
      <c r="N3741" s="17">
        <v>1</v>
      </c>
      <c r="O3741" s="18">
        <v>1126.94</v>
      </c>
      <c r="P3741" s="18">
        <v>923.72</v>
      </c>
      <c r="Q3741" s="18">
        <v>957.9</v>
      </c>
      <c r="R3741" s="18">
        <v>785.16</v>
      </c>
      <c r="S3741" s="18">
        <v>766.32</v>
      </c>
      <c r="T3741" s="18">
        <v>628.13</v>
      </c>
      <c r="U3741" s="16"/>
      <c r="V3741" s="16"/>
      <c r="W3741" s="16" t="s">
        <v>40</v>
      </c>
      <c r="X3741" s="19">
        <v>0.184</v>
      </c>
      <c r="Y3741" s="20">
        <v>1.338E-3</v>
      </c>
      <c r="Z3741" s="21">
        <v>4601004118850</v>
      </c>
    </row>
    <row r="3742" spans="1:26" ht="12" customHeight="1" outlineLevel="3" x14ac:dyDescent="0.2">
      <c r="A3742" s="14" t="s">
        <v>7279</v>
      </c>
      <c r="B3742" s="26" t="s">
        <v>7280</v>
      </c>
      <c r="C3742" s="52"/>
      <c r="D3742" s="55">
        <f t="shared" si="58"/>
        <v>0</v>
      </c>
      <c r="E3742" s="63" t="str">
        <f>HYPERLINK("https://www.sds-group.ru/product/protyazhka-kabelnaya-mini-uzk-v-buhte-stekloprutok-3-0mm-15m-proconnect-47-1015-6/", "Инфо")</f>
        <v>Инфо</v>
      </c>
      <c r="F3742" s="16" t="s">
        <v>39</v>
      </c>
      <c r="G3742" s="15"/>
      <c r="H3742" s="15"/>
      <c r="I3742" s="15"/>
      <c r="J3742" s="17">
        <v>55</v>
      </c>
      <c r="K3742" s="15"/>
      <c r="L3742" s="17">
        <v>1</v>
      </c>
      <c r="M3742" s="17">
        <v>50</v>
      </c>
      <c r="N3742" s="17">
        <v>1</v>
      </c>
      <c r="O3742" s="18">
        <v>1381.29</v>
      </c>
      <c r="P3742" s="18">
        <v>1132.2</v>
      </c>
      <c r="Q3742" s="18">
        <v>1174.0999999999999</v>
      </c>
      <c r="R3742" s="18">
        <v>962.38</v>
      </c>
      <c r="S3742" s="18">
        <v>939.28</v>
      </c>
      <c r="T3742" s="18">
        <v>769.9</v>
      </c>
      <c r="U3742" s="16"/>
      <c r="V3742" s="16"/>
      <c r="W3742" s="16" t="s">
        <v>40</v>
      </c>
      <c r="X3742" s="19">
        <v>0.25600000000000001</v>
      </c>
      <c r="Y3742" s="20">
        <v>1.957E-3</v>
      </c>
      <c r="Z3742" s="21">
        <v>4601004118867</v>
      </c>
    </row>
    <row r="3743" spans="1:26" ht="12" customHeight="1" outlineLevel="3" x14ac:dyDescent="0.2">
      <c r="A3743" s="14" t="s">
        <v>7281</v>
      </c>
      <c r="B3743" s="26" t="s">
        <v>7282</v>
      </c>
      <c r="C3743" s="52"/>
      <c r="D3743" s="55">
        <f t="shared" si="58"/>
        <v>0</v>
      </c>
      <c r="E3743" s="63" t="str">
        <f>HYPERLINK("https://www.sds-group.ru/product/protyazhka-kabelnaya-mini-uzk-v-buhte-stekloprutok-3-0mm-5m-proconnect-47-1005-6/", "Инфо")</f>
        <v>Инфо</v>
      </c>
      <c r="F3743" s="16" t="s">
        <v>39</v>
      </c>
      <c r="G3743" s="15"/>
      <c r="H3743" s="15"/>
      <c r="I3743" s="15"/>
      <c r="J3743" s="17">
        <v>251</v>
      </c>
      <c r="K3743" s="15"/>
      <c r="L3743" s="17">
        <v>1</v>
      </c>
      <c r="M3743" s="17">
        <v>100</v>
      </c>
      <c r="N3743" s="17">
        <v>1</v>
      </c>
      <c r="O3743" s="18">
        <v>729.06</v>
      </c>
      <c r="P3743" s="18">
        <v>597.59</v>
      </c>
      <c r="Q3743" s="18">
        <v>619.70000000000005</v>
      </c>
      <c r="R3743" s="18">
        <v>507.95</v>
      </c>
      <c r="S3743" s="18">
        <v>495.76</v>
      </c>
      <c r="T3743" s="18">
        <v>406.36</v>
      </c>
      <c r="U3743" s="16"/>
      <c r="V3743" s="16"/>
      <c r="W3743" s="16" t="s">
        <v>40</v>
      </c>
      <c r="X3743" s="19">
        <v>0.10100000000000001</v>
      </c>
      <c r="Y3743" s="20">
        <v>1.5449999999999999E-3</v>
      </c>
      <c r="Z3743" s="21">
        <v>4601004118874</v>
      </c>
    </row>
    <row r="3744" spans="1:26" ht="12" customHeight="1" outlineLevel="3" x14ac:dyDescent="0.2">
      <c r="A3744" s="14" t="s">
        <v>7283</v>
      </c>
      <c r="B3744" s="26" t="s">
        <v>7284</v>
      </c>
      <c r="C3744" s="52"/>
      <c r="D3744" s="55">
        <f t="shared" si="58"/>
        <v>0</v>
      </c>
      <c r="E3744" s="63" t="str">
        <f>HYPERLINK("https://www.sds-group.ru/product/protyazhka-kabelnaya-mini-uzk-v-buhte-stekloprutok-3-5mm-100m-krasnaya-rexant-47-1100/", "Инфо")</f>
        <v>Инфо</v>
      </c>
      <c r="F3744" s="16" t="s">
        <v>39</v>
      </c>
      <c r="G3744" s="15"/>
      <c r="H3744" s="15"/>
      <c r="I3744" s="15"/>
      <c r="J3744" s="16" t="s">
        <v>100</v>
      </c>
      <c r="K3744" s="15" t="s">
        <v>1408</v>
      </c>
      <c r="L3744" s="17">
        <v>1</v>
      </c>
      <c r="M3744" s="17">
        <v>15</v>
      </c>
      <c r="N3744" s="17">
        <v>1</v>
      </c>
      <c r="O3744" s="18">
        <v>6429.22</v>
      </c>
      <c r="P3744" s="18">
        <v>5269.85</v>
      </c>
      <c r="Q3744" s="18">
        <v>5079.08</v>
      </c>
      <c r="R3744" s="18">
        <v>4163.18</v>
      </c>
      <c r="S3744" s="18">
        <v>4371.87</v>
      </c>
      <c r="T3744" s="18">
        <v>3583.5</v>
      </c>
      <c r="U3744" s="16"/>
      <c r="V3744" s="16"/>
      <c r="W3744" s="16" t="s">
        <v>40</v>
      </c>
      <c r="X3744" s="19">
        <v>1.359</v>
      </c>
      <c r="Y3744" s="20">
        <v>5.3290000000000004E-3</v>
      </c>
      <c r="Z3744" s="21">
        <v>4601004043572</v>
      </c>
    </row>
    <row r="3745" spans="1:26" ht="12" customHeight="1" outlineLevel="3" x14ac:dyDescent="0.2">
      <c r="A3745" s="14" t="s">
        <v>7285</v>
      </c>
      <c r="B3745" s="26" t="s">
        <v>7286</v>
      </c>
      <c r="C3745" s="52"/>
      <c r="D3745" s="55">
        <f t="shared" si="58"/>
        <v>0</v>
      </c>
      <c r="E3745" s="63" t="str">
        <f>HYPERLINK("https://www.sds-group.ru/product/protyazhka-kabelnaya-mini-uzk-v-buhte-stekloprutok-3-5mm-10m-krasnaya-rexant-47-1010/", "Инфо")</f>
        <v>Инфо</v>
      </c>
      <c r="F3745" s="16" t="s">
        <v>39</v>
      </c>
      <c r="G3745" s="15"/>
      <c r="H3745" s="15"/>
      <c r="I3745" s="15"/>
      <c r="J3745" s="22">
        <v>1262</v>
      </c>
      <c r="K3745" s="15" t="s">
        <v>1408</v>
      </c>
      <c r="L3745" s="17">
        <v>1</v>
      </c>
      <c r="M3745" s="17">
        <v>75</v>
      </c>
      <c r="N3745" s="17">
        <v>1</v>
      </c>
      <c r="O3745" s="18">
        <v>1034.9000000000001</v>
      </c>
      <c r="P3745" s="18">
        <v>848.28</v>
      </c>
      <c r="Q3745" s="18">
        <v>879.67</v>
      </c>
      <c r="R3745" s="18">
        <v>721.04</v>
      </c>
      <c r="S3745" s="18">
        <v>703.73</v>
      </c>
      <c r="T3745" s="18">
        <v>576.83000000000004</v>
      </c>
      <c r="U3745" s="16"/>
      <c r="V3745" s="16"/>
      <c r="W3745" s="16" t="s">
        <v>40</v>
      </c>
      <c r="X3745" s="19">
        <v>0.20499999999999999</v>
      </c>
      <c r="Y3745" s="20">
        <v>1.3259999999999999E-3</v>
      </c>
      <c r="Z3745" s="21">
        <v>4601004019287</v>
      </c>
    </row>
    <row r="3746" spans="1:26" ht="12" customHeight="1" outlineLevel="3" x14ac:dyDescent="0.2">
      <c r="A3746" s="14" t="s">
        <v>7287</v>
      </c>
      <c r="B3746" s="26" t="s">
        <v>7288</v>
      </c>
      <c r="C3746" s="52"/>
      <c r="D3746" s="55">
        <f t="shared" si="58"/>
        <v>0</v>
      </c>
      <c r="E3746" s="63" t="str">
        <f>HYPERLINK("https://www.sds-group.ru/product/protyazhka-kabelnaya-mini-uzk-v-buhte-stekloprutok-3-5mm-15m-krasnaya-rexant-47-1015/", "Инфо")</f>
        <v>Инфо</v>
      </c>
      <c r="F3746" s="16" t="s">
        <v>39</v>
      </c>
      <c r="G3746" s="15"/>
      <c r="H3746" s="15"/>
      <c r="I3746" s="15"/>
      <c r="J3746" s="17">
        <v>93</v>
      </c>
      <c r="K3746" s="15" t="s">
        <v>1408</v>
      </c>
      <c r="L3746" s="17">
        <v>1</v>
      </c>
      <c r="M3746" s="17">
        <v>50</v>
      </c>
      <c r="N3746" s="17">
        <v>1</v>
      </c>
      <c r="O3746" s="18">
        <v>1245.1199999999999</v>
      </c>
      <c r="P3746" s="18">
        <v>1020.59</v>
      </c>
      <c r="Q3746" s="18">
        <v>1058.3499999999999</v>
      </c>
      <c r="R3746" s="18">
        <v>867.5</v>
      </c>
      <c r="S3746" s="18">
        <v>846.68</v>
      </c>
      <c r="T3746" s="18">
        <v>694</v>
      </c>
      <c r="U3746" s="16"/>
      <c r="V3746" s="16"/>
      <c r="W3746" s="16" t="s">
        <v>40</v>
      </c>
      <c r="X3746" s="19">
        <v>0.27800000000000002</v>
      </c>
      <c r="Y3746" s="20">
        <v>2.0339999999999998E-3</v>
      </c>
      <c r="Z3746" s="21">
        <v>4601004018280</v>
      </c>
    </row>
    <row r="3747" spans="1:26" ht="12" customHeight="1" outlineLevel="3" x14ac:dyDescent="0.2">
      <c r="A3747" s="14" t="s">
        <v>7289</v>
      </c>
      <c r="B3747" s="26" t="s">
        <v>7290</v>
      </c>
      <c r="C3747" s="52"/>
      <c r="D3747" s="55">
        <f t="shared" si="58"/>
        <v>0</v>
      </c>
      <c r="E3747" s="63" t="str">
        <f>HYPERLINK("https://www.sds-group.ru/product/protyazhka-kabelnaya-mini-uzk-v-buhte-stekloprutok-3-5mm-20m-krasnaya-rexant-47-1020/", "Инфо")</f>
        <v>Инфо</v>
      </c>
      <c r="F3747" s="16" t="s">
        <v>39</v>
      </c>
      <c r="G3747" s="15"/>
      <c r="H3747" s="15"/>
      <c r="I3747" s="15"/>
      <c r="J3747" s="16" t="s">
        <v>100</v>
      </c>
      <c r="K3747" s="15" t="s">
        <v>1408</v>
      </c>
      <c r="L3747" s="17">
        <v>1</v>
      </c>
      <c r="M3747" s="17">
        <v>50</v>
      </c>
      <c r="N3747" s="17">
        <v>1</v>
      </c>
      <c r="O3747" s="18">
        <v>1916.42</v>
      </c>
      <c r="P3747" s="18">
        <v>1570.84</v>
      </c>
      <c r="Q3747" s="18">
        <v>1628.96</v>
      </c>
      <c r="R3747" s="18">
        <v>1335.21</v>
      </c>
      <c r="S3747" s="18">
        <v>1303.17</v>
      </c>
      <c r="T3747" s="18">
        <v>1068.17</v>
      </c>
      <c r="U3747" s="16"/>
      <c r="V3747" s="16"/>
      <c r="W3747" s="16" t="s">
        <v>40</v>
      </c>
      <c r="X3747" s="19">
        <v>0.35699999999999998</v>
      </c>
      <c r="Y3747" s="20">
        <v>2.0170000000000001E-3</v>
      </c>
      <c r="Z3747" s="21">
        <v>4601004018310</v>
      </c>
    </row>
    <row r="3748" spans="1:26" ht="12" customHeight="1" outlineLevel="3" x14ac:dyDescent="0.2">
      <c r="A3748" s="14" t="s">
        <v>7291</v>
      </c>
      <c r="B3748" s="26" t="s">
        <v>7292</v>
      </c>
      <c r="C3748" s="52"/>
      <c r="D3748" s="55">
        <f t="shared" si="58"/>
        <v>0</v>
      </c>
      <c r="E3748" s="63" t="str">
        <f>HYPERLINK("https://www.sds-group.ru/product/protyazhka-kabelnaya-mini-uzk-v-buhte-stekloprutok-3-5mm-25m-krasnaya-rexant-47-1025/", "Инфо")</f>
        <v>Инфо</v>
      </c>
      <c r="F3748" s="16" t="s">
        <v>39</v>
      </c>
      <c r="G3748" s="15"/>
      <c r="H3748" s="15"/>
      <c r="I3748" s="15"/>
      <c r="J3748" s="17">
        <v>68</v>
      </c>
      <c r="K3748" s="15" t="s">
        <v>1408</v>
      </c>
      <c r="L3748" s="17">
        <v>1</v>
      </c>
      <c r="M3748" s="17">
        <v>40</v>
      </c>
      <c r="N3748" s="17">
        <v>1</v>
      </c>
      <c r="O3748" s="18">
        <v>2517.0300000000002</v>
      </c>
      <c r="P3748" s="18">
        <v>2063.14</v>
      </c>
      <c r="Q3748" s="18">
        <v>2139.48</v>
      </c>
      <c r="R3748" s="18">
        <v>1753.67</v>
      </c>
      <c r="S3748" s="18">
        <v>1711.58</v>
      </c>
      <c r="T3748" s="18">
        <v>1402.93</v>
      </c>
      <c r="U3748" s="16"/>
      <c r="V3748" s="16"/>
      <c r="W3748" s="16" t="s">
        <v>40</v>
      </c>
      <c r="X3748" s="19">
        <v>0.438</v>
      </c>
      <c r="Y3748" s="20">
        <v>2.575E-3</v>
      </c>
      <c r="Z3748" s="21">
        <v>4601004117181</v>
      </c>
    </row>
    <row r="3749" spans="1:26" ht="12" customHeight="1" outlineLevel="3" x14ac:dyDescent="0.2">
      <c r="A3749" s="14" t="s">
        <v>7293</v>
      </c>
      <c r="B3749" s="26" t="s">
        <v>7294</v>
      </c>
      <c r="C3749" s="52"/>
      <c r="D3749" s="55">
        <f t="shared" si="58"/>
        <v>0</v>
      </c>
      <c r="E3749" s="63" t="str">
        <f>HYPERLINK("https://www.sds-group.ru/product/protyazhka-kabelnaya-mini-uzk-v-buhte-stekloprutok-3-5mm-30m-krasnaya-rexant-47-1030/", "Инфо")</f>
        <v>Инфо</v>
      </c>
      <c r="F3749" s="16" t="s">
        <v>39</v>
      </c>
      <c r="G3749" s="15"/>
      <c r="H3749" s="15"/>
      <c r="I3749" s="15"/>
      <c r="J3749" s="16" t="s">
        <v>100</v>
      </c>
      <c r="K3749" s="15" t="s">
        <v>1408</v>
      </c>
      <c r="L3749" s="17">
        <v>1</v>
      </c>
      <c r="M3749" s="17">
        <v>35</v>
      </c>
      <c r="N3749" s="17">
        <v>1</v>
      </c>
      <c r="O3749" s="18">
        <v>1903.82</v>
      </c>
      <c r="P3749" s="18">
        <v>1560.51</v>
      </c>
      <c r="Q3749" s="18">
        <v>1618.25</v>
      </c>
      <c r="R3749" s="18">
        <v>1326.43</v>
      </c>
      <c r="S3749" s="18">
        <v>1294.5999999999999</v>
      </c>
      <c r="T3749" s="18">
        <v>1061.1500000000001</v>
      </c>
      <c r="U3749" s="16"/>
      <c r="V3749" s="16"/>
      <c r="W3749" s="16" t="s">
        <v>40</v>
      </c>
      <c r="X3749" s="19">
        <v>0.45</v>
      </c>
      <c r="Y3749" s="20">
        <v>2.738E-3</v>
      </c>
      <c r="Z3749" s="21">
        <v>4601004018303</v>
      </c>
    </row>
    <row r="3750" spans="1:26" ht="12" customHeight="1" outlineLevel="3" x14ac:dyDescent="0.2">
      <c r="A3750" s="14" t="s">
        <v>7295</v>
      </c>
      <c r="B3750" s="26" t="s">
        <v>7296</v>
      </c>
      <c r="C3750" s="52"/>
      <c r="D3750" s="55">
        <f t="shared" si="58"/>
        <v>0</v>
      </c>
      <c r="E3750" s="63" t="str">
        <f>HYPERLINK("https://www.sds-group.ru/product/protyazhka-kabelnaya-mini-uzk-v-buhte-stekloprutok-3-5mm-3m-krasnaya-rexant-47-1003/", "Инфо")</f>
        <v>Инфо</v>
      </c>
      <c r="F3750" s="16" t="s">
        <v>39</v>
      </c>
      <c r="G3750" s="15"/>
      <c r="H3750" s="15"/>
      <c r="I3750" s="15"/>
      <c r="J3750" s="17">
        <v>136</v>
      </c>
      <c r="K3750" s="15" t="s">
        <v>1408</v>
      </c>
      <c r="L3750" s="17">
        <v>1</v>
      </c>
      <c r="M3750" s="17">
        <v>50</v>
      </c>
      <c r="N3750" s="17">
        <v>1</v>
      </c>
      <c r="O3750" s="18">
        <v>775.63</v>
      </c>
      <c r="P3750" s="18">
        <v>635.76</v>
      </c>
      <c r="Q3750" s="18">
        <v>659.29</v>
      </c>
      <c r="R3750" s="18">
        <v>540.4</v>
      </c>
      <c r="S3750" s="18">
        <v>527.42999999999995</v>
      </c>
      <c r="T3750" s="18">
        <v>432.32</v>
      </c>
      <c r="U3750" s="16"/>
      <c r="V3750" s="16"/>
      <c r="W3750" s="16" t="s">
        <v>40</v>
      </c>
      <c r="X3750" s="19">
        <v>0.23100000000000001</v>
      </c>
      <c r="Y3750" s="20">
        <v>1.9300000000000001E-3</v>
      </c>
      <c r="Z3750" s="21">
        <v>4601004117198</v>
      </c>
    </row>
    <row r="3751" spans="1:26" ht="12" customHeight="1" outlineLevel="3" x14ac:dyDescent="0.2">
      <c r="A3751" s="14" t="s">
        <v>7297</v>
      </c>
      <c r="B3751" s="26" t="s">
        <v>7298</v>
      </c>
      <c r="C3751" s="52"/>
      <c r="D3751" s="55">
        <f t="shared" si="58"/>
        <v>0</v>
      </c>
      <c r="E3751" s="63" t="str">
        <f>HYPERLINK("https://www.sds-group.ru/product/protyazhka-kabelnaya-mini-uzk-v-buhte-stekloprutok-3-5mm-50m-krasnaya-rexant-47-1050/", "Инфо")</f>
        <v>Инфо</v>
      </c>
      <c r="F3751" s="16" t="s">
        <v>39</v>
      </c>
      <c r="G3751" s="15"/>
      <c r="H3751" s="15"/>
      <c r="I3751" s="15"/>
      <c r="J3751" s="16" t="s">
        <v>100</v>
      </c>
      <c r="K3751" s="15" t="s">
        <v>1408</v>
      </c>
      <c r="L3751" s="17">
        <v>1</v>
      </c>
      <c r="M3751" s="17">
        <v>20</v>
      </c>
      <c r="N3751" s="17">
        <v>1</v>
      </c>
      <c r="O3751" s="18">
        <v>3032.35</v>
      </c>
      <c r="P3751" s="18">
        <v>2485.5300000000002</v>
      </c>
      <c r="Q3751" s="18">
        <v>2395.56</v>
      </c>
      <c r="R3751" s="18">
        <v>1963.57</v>
      </c>
      <c r="S3751" s="18">
        <v>2062</v>
      </c>
      <c r="T3751" s="18">
        <v>1690.16</v>
      </c>
      <c r="U3751" s="16"/>
      <c r="V3751" s="16"/>
      <c r="W3751" s="16" t="s">
        <v>40</v>
      </c>
      <c r="X3751" s="19">
        <v>0.70499999999999996</v>
      </c>
      <c r="Y3751" s="20">
        <v>3.9690000000000003E-3</v>
      </c>
      <c r="Z3751" s="21">
        <v>4601004043558</v>
      </c>
    </row>
    <row r="3752" spans="1:26" ht="12" customHeight="1" outlineLevel="3" x14ac:dyDescent="0.2">
      <c r="A3752" s="14" t="s">
        <v>7299</v>
      </c>
      <c r="B3752" s="26" t="s">
        <v>7300</v>
      </c>
      <c r="C3752" s="52"/>
      <c r="D3752" s="55">
        <f t="shared" si="58"/>
        <v>0</v>
      </c>
      <c r="E3752" s="63" t="str">
        <f>HYPERLINK("https://www.sds-group.ru/product/protyazhka-kabelnaya-mini-uzk-v-buhte-stekloprutok-3-5mm-5m-krasnaya-rexant-47-1005/", "Инфо")</f>
        <v>Инфо</v>
      </c>
      <c r="F3752" s="16" t="s">
        <v>39</v>
      </c>
      <c r="G3752" s="15"/>
      <c r="H3752" s="15"/>
      <c r="I3752" s="15"/>
      <c r="J3752" s="22">
        <v>3097</v>
      </c>
      <c r="K3752" s="15"/>
      <c r="L3752" s="17">
        <v>1</v>
      </c>
      <c r="M3752" s="17">
        <v>100</v>
      </c>
      <c r="N3752" s="17">
        <v>1</v>
      </c>
      <c r="O3752" s="18">
        <v>793.27</v>
      </c>
      <c r="P3752" s="18">
        <v>650.22</v>
      </c>
      <c r="Q3752" s="18">
        <v>674.28</v>
      </c>
      <c r="R3752" s="18">
        <v>552.69000000000005</v>
      </c>
      <c r="S3752" s="18">
        <v>539.41999999999996</v>
      </c>
      <c r="T3752" s="18">
        <v>442.15</v>
      </c>
      <c r="U3752" s="16"/>
      <c r="V3752" s="16"/>
      <c r="W3752" s="16" t="s">
        <v>40</v>
      </c>
      <c r="X3752" s="19">
        <v>0.114</v>
      </c>
      <c r="Y3752" s="20">
        <v>1.0059999999999999E-3</v>
      </c>
      <c r="Z3752" s="21">
        <v>4601004018297</v>
      </c>
    </row>
    <row r="3753" spans="1:26" ht="12" customHeight="1" outlineLevel="3" x14ac:dyDescent="0.2">
      <c r="A3753" s="14" t="s">
        <v>7301</v>
      </c>
      <c r="B3753" s="26" t="s">
        <v>7302</v>
      </c>
      <c r="C3753" s="52"/>
      <c r="D3753" s="55">
        <f t="shared" si="58"/>
        <v>0</v>
      </c>
      <c r="E3753" s="63" t="str">
        <f>HYPERLINK("https://www.sds-group.ru/product/protyazhka-kabelnaya-mini-uzk-v-buhte-stekloprutok-3-5mm-70m-krasnaya-rexant-47-1070/", "Инфо")</f>
        <v>Инфо</v>
      </c>
      <c r="F3753" s="16" t="s">
        <v>39</v>
      </c>
      <c r="G3753" s="15"/>
      <c r="H3753" s="15"/>
      <c r="I3753" s="15"/>
      <c r="J3753" s="17">
        <v>30</v>
      </c>
      <c r="K3753" s="15"/>
      <c r="L3753" s="17">
        <v>1</v>
      </c>
      <c r="M3753" s="17">
        <v>20</v>
      </c>
      <c r="N3753" s="17">
        <v>1</v>
      </c>
      <c r="O3753" s="18">
        <v>4904.3900000000003</v>
      </c>
      <c r="P3753" s="18">
        <v>4019.99</v>
      </c>
      <c r="Q3753" s="18">
        <v>3874.47</v>
      </c>
      <c r="R3753" s="18">
        <v>3175.8</v>
      </c>
      <c r="S3753" s="18">
        <v>3334.99</v>
      </c>
      <c r="T3753" s="18">
        <v>2733.6</v>
      </c>
      <c r="U3753" s="16"/>
      <c r="V3753" s="16"/>
      <c r="W3753" s="16" t="s">
        <v>40</v>
      </c>
      <c r="X3753" s="19">
        <v>0.999</v>
      </c>
      <c r="Y3753" s="20">
        <v>4.7720000000000002E-3</v>
      </c>
      <c r="Z3753" s="21">
        <v>4601004043565</v>
      </c>
    </row>
    <row r="3754" spans="1:26" ht="12" customHeight="1" outlineLevel="3" x14ac:dyDescent="0.2">
      <c r="A3754" s="14" t="s">
        <v>7303</v>
      </c>
      <c r="B3754" s="26" t="s">
        <v>7304</v>
      </c>
      <c r="C3754" s="52"/>
      <c r="D3754" s="55">
        <f t="shared" si="58"/>
        <v>0</v>
      </c>
      <c r="E3754" s="63" t="str">
        <f>HYPERLINK("https://www.sds-group.ru/product/protyazhka-kabelnaya-mini-uzk-v-buhte-stekloprutok-3-5mm-7m-krasnaya-rexant-47-1007/", "Инфо")</f>
        <v>Инфо</v>
      </c>
      <c r="F3754" s="16" t="s">
        <v>39</v>
      </c>
      <c r="G3754" s="15"/>
      <c r="H3754" s="15"/>
      <c r="I3754" s="15"/>
      <c r="J3754" s="17">
        <v>125</v>
      </c>
      <c r="K3754" s="15"/>
      <c r="L3754" s="17">
        <v>1</v>
      </c>
      <c r="M3754" s="17">
        <v>20</v>
      </c>
      <c r="N3754" s="17">
        <v>1</v>
      </c>
      <c r="O3754" s="18">
        <v>1095.45</v>
      </c>
      <c r="P3754" s="18">
        <v>897.91</v>
      </c>
      <c r="Q3754" s="18">
        <v>931.13</v>
      </c>
      <c r="R3754" s="18">
        <v>763.22</v>
      </c>
      <c r="S3754" s="18">
        <v>744.91</v>
      </c>
      <c r="T3754" s="18">
        <v>610.58000000000004</v>
      </c>
      <c r="U3754" s="16"/>
      <c r="V3754" s="16"/>
      <c r="W3754" s="16" t="s">
        <v>40</v>
      </c>
      <c r="X3754" s="19">
        <v>0.13</v>
      </c>
      <c r="Y3754" s="20">
        <v>7.9600000000000005E-4</v>
      </c>
      <c r="Z3754" s="21">
        <v>4601004117174</v>
      </c>
    </row>
    <row r="3755" spans="1:26" ht="12" customHeight="1" outlineLevel="3" x14ac:dyDescent="0.2">
      <c r="A3755" s="14" t="s">
        <v>7305</v>
      </c>
      <c r="B3755" s="26" t="s">
        <v>7306</v>
      </c>
      <c r="C3755" s="52"/>
      <c r="D3755" s="55">
        <f t="shared" si="58"/>
        <v>0</v>
      </c>
      <c r="E3755" s="63" t="str">
        <f>HYPERLINK("https://www.sds-group.ru/product/protyazhka-kabelnaya-uzk-v-napolnoy-katushke-stekloprutok-6-0mm-30m-krasnaya-rexant-47-2030/", "Инфо")</f>
        <v>Инфо</v>
      </c>
      <c r="F3755" s="16" t="s">
        <v>39</v>
      </c>
      <c r="G3755" s="15"/>
      <c r="H3755" s="15"/>
      <c r="I3755" s="15"/>
      <c r="J3755" s="16" t="s">
        <v>100</v>
      </c>
      <c r="K3755" s="15"/>
      <c r="L3755" s="17">
        <v>1</v>
      </c>
      <c r="M3755" s="17">
        <v>1</v>
      </c>
      <c r="N3755" s="17">
        <v>1</v>
      </c>
      <c r="O3755" s="18">
        <v>10702.77</v>
      </c>
      <c r="P3755" s="18">
        <v>8772.76</v>
      </c>
      <c r="Q3755" s="18">
        <v>8562.2199999999993</v>
      </c>
      <c r="R3755" s="18">
        <v>7018.21</v>
      </c>
      <c r="S3755" s="18">
        <v>7277.88</v>
      </c>
      <c r="T3755" s="18">
        <v>5965.48</v>
      </c>
      <c r="U3755" s="16"/>
      <c r="V3755" s="16"/>
      <c r="W3755" s="16" t="s">
        <v>40</v>
      </c>
      <c r="X3755" s="19">
        <v>2.9580000000000002</v>
      </c>
      <c r="Y3755" s="20">
        <v>5.2553000000000002E-2</v>
      </c>
      <c r="Z3755" s="21">
        <v>4601004316508</v>
      </c>
    </row>
    <row r="3756" spans="1:26" ht="12" customHeight="1" outlineLevel="3" x14ac:dyDescent="0.2">
      <c r="A3756" s="14" t="s">
        <v>7307</v>
      </c>
      <c r="B3756" s="26" t="s">
        <v>7308</v>
      </c>
      <c r="C3756" s="52"/>
      <c r="D3756" s="55">
        <f t="shared" si="58"/>
        <v>0</v>
      </c>
      <c r="E3756" s="63" t="str">
        <f>HYPERLINK("https://www.sds-group.ru/product/protyazhka-kabelnaya-uzk-v-telezhke-stekloprutok-11-0mm-100m-krasnaya-rexant-47-1110/", "Инфо")</f>
        <v>Инфо</v>
      </c>
      <c r="F3756" s="16" t="s">
        <v>39</v>
      </c>
      <c r="G3756" s="15"/>
      <c r="H3756" s="15"/>
      <c r="I3756" s="15"/>
      <c r="J3756" s="17">
        <v>1</v>
      </c>
      <c r="K3756" s="15" t="s">
        <v>1408</v>
      </c>
      <c r="L3756" s="17">
        <v>1</v>
      </c>
      <c r="M3756" s="17">
        <v>1</v>
      </c>
      <c r="N3756" s="17">
        <v>1</v>
      </c>
      <c r="O3756" s="18">
        <v>54342.34</v>
      </c>
      <c r="P3756" s="18">
        <v>44542.9</v>
      </c>
      <c r="Q3756" s="18">
        <v>42930.45</v>
      </c>
      <c r="R3756" s="18">
        <v>35188.89</v>
      </c>
      <c r="S3756" s="18">
        <v>36952.79</v>
      </c>
      <c r="T3756" s="18">
        <v>30289.17</v>
      </c>
      <c r="U3756" s="16"/>
      <c r="V3756" s="16"/>
      <c r="W3756" s="16" t="s">
        <v>40</v>
      </c>
      <c r="X3756" s="19">
        <v>19</v>
      </c>
      <c r="Y3756" s="20">
        <v>0.52800000000000002</v>
      </c>
      <c r="Z3756" s="21">
        <v>4601004138476</v>
      </c>
    </row>
    <row r="3757" spans="1:26" ht="12" customHeight="1" outlineLevel="3" x14ac:dyDescent="0.2">
      <c r="A3757" s="14" t="s">
        <v>7309</v>
      </c>
      <c r="B3757" s="26" t="s">
        <v>7310</v>
      </c>
      <c r="C3757" s="52"/>
      <c r="D3757" s="55">
        <f t="shared" si="58"/>
        <v>0</v>
      </c>
      <c r="E3757" s="63" t="str">
        <f>HYPERLINK("https://www.sds-group.ru/product/protyazhka-kabelnaya-uzk-v-telezhke-stekloprutok-11-0mm-150m-krasnaya-rexant-47-1115/", "Инфо")</f>
        <v>Инфо</v>
      </c>
      <c r="F3757" s="16" t="s">
        <v>39</v>
      </c>
      <c r="G3757" s="15"/>
      <c r="H3757" s="15"/>
      <c r="I3757" s="15"/>
      <c r="J3757" s="17">
        <v>3</v>
      </c>
      <c r="K3757" s="15"/>
      <c r="L3757" s="17">
        <v>1</v>
      </c>
      <c r="M3757" s="17">
        <v>1</v>
      </c>
      <c r="N3757" s="17">
        <v>1</v>
      </c>
      <c r="O3757" s="18">
        <v>66271.5</v>
      </c>
      <c r="P3757" s="18">
        <v>54320.9</v>
      </c>
      <c r="Q3757" s="18">
        <v>52354.49</v>
      </c>
      <c r="R3757" s="18">
        <v>42913.52</v>
      </c>
      <c r="S3757" s="18">
        <v>45064.62</v>
      </c>
      <c r="T3757" s="18">
        <v>36938.21</v>
      </c>
      <c r="U3757" s="16"/>
      <c r="V3757" s="16"/>
      <c r="W3757" s="16" t="s">
        <v>40</v>
      </c>
      <c r="X3757" s="19">
        <v>29.5</v>
      </c>
      <c r="Y3757" s="20">
        <v>0.56159999999999999</v>
      </c>
      <c r="Z3757" s="21">
        <v>4601004138483</v>
      </c>
    </row>
    <row r="3758" spans="1:26" ht="12" customHeight="1" outlineLevel="3" x14ac:dyDescent="0.2">
      <c r="A3758" s="14" t="s">
        <v>7311</v>
      </c>
      <c r="B3758" s="26" t="s">
        <v>7312</v>
      </c>
      <c r="C3758" s="52"/>
      <c r="D3758" s="55">
        <f t="shared" si="58"/>
        <v>0</v>
      </c>
      <c r="E3758" s="63" t="str">
        <f>HYPERLINK("https://www.sds-group.ru/product/protyazhka-kabelnaya-uzk-v-telezhke-stekloprutok-11-0mm-200m-krasnaya-rexant-47-1200/", "Инфо")</f>
        <v>Инфо</v>
      </c>
      <c r="F3758" s="16" t="s">
        <v>39</v>
      </c>
      <c r="G3758" s="15"/>
      <c r="H3758" s="15"/>
      <c r="I3758" s="15"/>
      <c r="J3758" s="17">
        <v>1</v>
      </c>
      <c r="K3758" s="15" t="s">
        <v>1408</v>
      </c>
      <c r="L3758" s="17">
        <v>1</v>
      </c>
      <c r="M3758" s="17">
        <v>1</v>
      </c>
      <c r="N3758" s="17">
        <v>1</v>
      </c>
      <c r="O3758" s="18">
        <v>88140.42</v>
      </c>
      <c r="P3758" s="18">
        <v>72246.25</v>
      </c>
      <c r="Q3758" s="18">
        <v>74919.360000000001</v>
      </c>
      <c r="R3758" s="18">
        <v>61409.31</v>
      </c>
      <c r="S3758" s="18">
        <v>59935.49</v>
      </c>
      <c r="T3758" s="18">
        <v>49127.45</v>
      </c>
      <c r="U3758" s="16"/>
      <c r="V3758" s="16"/>
      <c r="W3758" s="16" t="s">
        <v>40</v>
      </c>
      <c r="X3758" s="19">
        <v>38</v>
      </c>
      <c r="Y3758" s="20">
        <v>8.6400000000000005E-2</v>
      </c>
      <c r="Z3758" s="21">
        <v>4601004316539</v>
      </c>
    </row>
    <row r="3759" spans="1:26" ht="12" customHeight="1" outlineLevel="3" x14ac:dyDescent="0.2">
      <c r="A3759" s="14" t="s">
        <v>7313</v>
      </c>
      <c r="B3759" s="26" t="s">
        <v>7314</v>
      </c>
      <c r="C3759" s="52"/>
      <c r="D3759" s="55">
        <f t="shared" si="58"/>
        <v>0</v>
      </c>
      <c r="E3759" s="63" t="str">
        <f>HYPERLINK("https://www.sds-group.ru/product/protyazhka-kabelnaya-uzk-v-telezhke-stekloprutok-11-0mm-250m-krasnaya-rexant-47-1250/", "Инфо")</f>
        <v>Инфо</v>
      </c>
      <c r="F3759" s="16" t="s">
        <v>39</v>
      </c>
      <c r="G3759" s="15"/>
      <c r="H3759" s="15"/>
      <c r="I3759" s="15"/>
      <c r="J3759" s="17">
        <v>3</v>
      </c>
      <c r="K3759" s="15"/>
      <c r="L3759" s="17">
        <v>1</v>
      </c>
      <c r="M3759" s="17">
        <v>1</v>
      </c>
      <c r="N3759" s="17">
        <v>1</v>
      </c>
      <c r="O3759" s="18">
        <v>109546.24000000001</v>
      </c>
      <c r="P3759" s="18">
        <v>89792</v>
      </c>
      <c r="Q3759" s="18">
        <v>97496.15</v>
      </c>
      <c r="R3759" s="18">
        <v>79914.880000000005</v>
      </c>
      <c r="S3759" s="18">
        <v>74491.44</v>
      </c>
      <c r="T3759" s="18">
        <v>61058.559999999998</v>
      </c>
      <c r="U3759" s="16"/>
      <c r="V3759" s="16"/>
      <c r="W3759" s="16" t="s">
        <v>40</v>
      </c>
      <c r="X3759" s="19">
        <v>42</v>
      </c>
      <c r="Y3759" s="20">
        <v>8.6400000000000005E-2</v>
      </c>
      <c r="Z3759" s="21">
        <v>4601004316522</v>
      </c>
    </row>
    <row r="3760" spans="1:26" ht="12" customHeight="1" outlineLevel="3" x14ac:dyDescent="0.2">
      <c r="A3760" s="14" t="s">
        <v>7315</v>
      </c>
      <c r="B3760" s="26" t="s">
        <v>7316</v>
      </c>
      <c r="C3760" s="52"/>
      <c r="D3760" s="55">
        <f t="shared" si="58"/>
        <v>0</v>
      </c>
      <c r="E3760" s="63" t="str">
        <f>HYPERLINK("https://www.sds-group.ru/product/protyazhka-kabelnaya-uzk-v-telezhke-stekloprutok-11-0mm-300m-krasnaya-rexant-47-1300/", "Инфо")</f>
        <v>Инфо</v>
      </c>
      <c r="F3760" s="16" t="s">
        <v>39</v>
      </c>
      <c r="G3760" s="15"/>
      <c r="H3760" s="15"/>
      <c r="I3760" s="15"/>
      <c r="J3760" s="17">
        <v>1</v>
      </c>
      <c r="K3760" s="15"/>
      <c r="L3760" s="17">
        <v>1</v>
      </c>
      <c r="M3760" s="17">
        <v>1</v>
      </c>
      <c r="N3760" s="17">
        <v>1</v>
      </c>
      <c r="O3760" s="18">
        <v>130951.4</v>
      </c>
      <c r="P3760" s="18">
        <v>107337.21</v>
      </c>
      <c r="Q3760" s="18">
        <v>119165.77</v>
      </c>
      <c r="R3760" s="18">
        <v>97676.86</v>
      </c>
      <c r="S3760" s="18">
        <v>89046.95</v>
      </c>
      <c r="T3760" s="18">
        <v>72989.3</v>
      </c>
      <c r="U3760" s="16"/>
      <c r="V3760" s="16"/>
      <c r="W3760" s="16" t="s">
        <v>40</v>
      </c>
      <c r="X3760" s="19">
        <v>46</v>
      </c>
      <c r="Y3760" s="20">
        <v>8.6400000000000005E-2</v>
      </c>
      <c r="Z3760" s="21">
        <v>4601004316515</v>
      </c>
    </row>
    <row r="3761" spans="1:26" ht="12" customHeight="1" outlineLevel="3" x14ac:dyDescent="0.2">
      <c r="A3761" s="14" t="s">
        <v>7317</v>
      </c>
      <c r="B3761" s="26" t="s">
        <v>7318</v>
      </c>
      <c r="C3761" s="52"/>
      <c r="D3761" s="55">
        <f t="shared" si="58"/>
        <v>0</v>
      </c>
      <c r="E3761" s="63" t="str">
        <f>HYPERLINK("https://www.sds-group.ru/product/protyazhka-kabelnaya-uzk-v-telezhke-stekloprutok-11-0mm-50m-krasnaya-rexant-47-1150/", "Инфо")</f>
        <v>Инфо</v>
      </c>
      <c r="F3761" s="16" t="s">
        <v>39</v>
      </c>
      <c r="G3761" s="15"/>
      <c r="H3761" s="15"/>
      <c r="I3761" s="15"/>
      <c r="J3761" s="17">
        <v>2</v>
      </c>
      <c r="K3761" s="15"/>
      <c r="L3761" s="17">
        <v>1</v>
      </c>
      <c r="M3761" s="17">
        <v>1</v>
      </c>
      <c r="N3761" s="17">
        <v>1</v>
      </c>
      <c r="O3761" s="18">
        <v>42414.48</v>
      </c>
      <c r="P3761" s="18">
        <v>34765.97</v>
      </c>
      <c r="Q3761" s="18">
        <v>33507.440000000002</v>
      </c>
      <c r="R3761" s="18">
        <v>27465.11</v>
      </c>
      <c r="S3761" s="18">
        <v>28841.85</v>
      </c>
      <c r="T3761" s="18">
        <v>23640.86</v>
      </c>
      <c r="U3761" s="16"/>
      <c r="V3761" s="16"/>
      <c r="W3761" s="16" t="s">
        <v>40</v>
      </c>
      <c r="X3761" s="19">
        <v>12.5</v>
      </c>
      <c r="Y3761" s="20">
        <v>0.31428</v>
      </c>
      <c r="Z3761" s="21">
        <v>4601004138469</v>
      </c>
    </row>
    <row r="3762" spans="1:26" ht="12.95" customHeight="1" outlineLevel="2" x14ac:dyDescent="0.2">
      <c r="A3762" s="76" t="s">
        <v>7319</v>
      </c>
      <c r="B3762" s="76"/>
      <c r="C3762" s="77"/>
      <c r="D3762" s="58"/>
      <c r="E3762" s="68"/>
      <c r="F3762" s="13"/>
      <c r="G3762" s="13"/>
      <c r="H3762" s="13"/>
      <c r="I3762" s="13"/>
      <c r="J3762" s="13"/>
      <c r="K3762" s="13"/>
      <c r="L3762" s="13"/>
      <c r="M3762" s="13"/>
      <c r="N3762" s="13"/>
      <c r="O3762" s="13"/>
      <c r="P3762" s="13"/>
      <c r="Q3762" s="13"/>
      <c r="R3762" s="13"/>
      <c r="S3762" s="13"/>
      <c r="T3762" s="13"/>
      <c r="U3762" s="13"/>
      <c r="V3762" s="13"/>
      <c r="W3762" s="13"/>
      <c r="X3762" s="13"/>
      <c r="Y3762" s="13"/>
      <c r="Z3762" s="13"/>
    </row>
    <row r="3763" spans="1:26" ht="12" customHeight="1" outlineLevel="3" x14ac:dyDescent="0.2">
      <c r="A3763" s="40" t="s">
        <v>7320</v>
      </c>
      <c r="B3763" s="75" t="s">
        <v>7321</v>
      </c>
      <c r="C3763" s="51"/>
      <c r="D3763" s="54">
        <f t="shared" si="58"/>
        <v>0</v>
      </c>
      <c r="E3763" s="62"/>
      <c r="F3763" s="42" t="s">
        <v>39</v>
      </c>
      <c r="G3763" s="41" t="s">
        <v>40</v>
      </c>
      <c r="H3763" s="41"/>
      <c r="I3763" s="41"/>
      <c r="J3763" s="43">
        <v>320</v>
      </c>
      <c r="K3763" s="41" t="s">
        <v>6744</v>
      </c>
      <c r="L3763" s="43">
        <v>1</v>
      </c>
      <c r="M3763" s="43">
        <v>30</v>
      </c>
      <c r="N3763" s="43">
        <v>1</v>
      </c>
      <c r="O3763" s="44">
        <v>2544</v>
      </c>
      <c r="P3763" s="44">
        <v>2085.25</v>
      </c>
      <c r="Q3763" s="44">
        <v>2289.6</v>
      </c>
      <c r="R3763" s="44">
        <v>1876.72</v>
      </c>
      <c r="S3763" s="44">
        <v>1729.92</v>
      </c>
      <c r="T3763" s="44">
        <v>1417.97</v>
      </c>
      <c r="U3763" s="42"/>
      <c r="V3763" s="42"/>
      <c r="W3763" s="42" t="s">
        <v>40</v>
      </c>
      <c r="X3763" s="45">
        <v>0.69899999999999995</v>
      </c>
      <c r="Y3763" s="46">
        <v>1.6670000000000001E-3</v>
      </c>
      <c r="Z3763" s="21">
        <v>4601004352315</v>
      </c>
    </row>
    <row r="3764" spans="1:26" ht="12" customHeight="1" outlineLevel="3" x14ac:dyDescent="0.2">
      <c r="A3764" s="40" t="s">
        <v>7322</v>
      </c>
      <c r="B3764" s="75" t="s">
        <v>7323</v>
      </c>
      <c r="C3764" s="51"/>
      <c r="D3764" s="54">
        <f t="shared" si="58"/>
        <v>0</v>
      </c>
      <c r="E3764" s="62"/>
      <c r="F3764" s="42" t="s">
        <v>39</v>
      </c>
      <c r="G3764" s="41" t="s">
        <v>40</v>
      </c>
      <c r="H3764" s="41"/>
      <c r="I3764" s="41"/>
      <c r="J3764" s="43">
        <v>243</v>
      </c>
      <c r="K3764" s="41" t="s">
        <v>6744</v>
      </c>
      <c r="L3764" s="43">
        <v>1</v>
      </c>
      <c r="M3764" s="43">
        <v>20</v>
      </c>
      <c r="N3764" s="43">
        <v>1</v>
      </c>
      <c r="O3764" s="44">
        <v>8957</v>
      </c>
      <c r="P3764" s="44">
        <v>7341.8</v>
      </c>
      <c r="Q3764" s="44">
        <v>8061.3</v>
      </c>
      <c r="R3764" s="44">
        <v>6607.62</v>
      </c>
      <c r="S3764" s="44">
        <v>6090.76</v>
      </c>
      <c r="T3764" s="44">
        <v>4992.43</v>
      </c>
      <c r="U3764" s="42"/>
      <c r="V3764" s="42"/>
      <c r="W3764" s="42" t="s">
        <v>40</v>
      </c>
      <c r="X3764" s="45">
        <v>1.0249999999999999</v>
      </c>
      <c r="Y3764" s="46">
        <v>3.4680000000000002E-3</v>
      </c>
      <c r="Z3764" s="21">
        <v>4601004352339</v>
      </c>
    </row>
    <row r="3765" spans="1:26" ht="12" customHeight="1" outlineLevel="3" x14ac:dyDescent="0.2">
      <c r="A3765" s="40" t="s">
        <v>7324</v>
      </c>
      <c r="B3765" s="75" t="s">
        <v>7325</v>
      </c>
      <c r="C3765" s="51"/>
      <c r="D3765" s="54">
        <f t="shared" si="58"/>
        <v>0</v>
      </c>
      <c r="E3765" s="62"/>
      <c r="F3765" s="42" t="s">
        <v>39</v>
      </c>
      <c r="G3765" s="41" t="s">
        <v>40</v>
      </c>
      <c r="H3765" s="41"/>
      <c r="I3765" s="41"/>
      <c r="J3765" s="43">
        <v>179</v>
      </c>
      <c r="K3765" s="41" t="s">
        <v>6744</v>
      </c>
      <c r="L3765" s="43">
        <v>1</v>
      </c>
      <c r="M3765" s="43">
        <v>20</v>
      </c>
      <c r="N3765" s="43">
        <v>1</v>
      </c>
      <c r="O3765" s="44">
        <v>4770</v>
      </c>
      <c r="P3765" s="44">
        <v>3909.84</v>
      </c>
      <c r="Q3765" s="44">
        <v>4293</v>
      </c>
      <c r="R3765" s="44">
        <v>3518.85</v>
      </c>
      <c r="S3765" s="44">
        <v>3243.6</v>
      </c>
      <c r="T3765" s="44">
        <v>2658.69</v>
      </c>
      <c r="U3765" s="42"/>
      <c r="V3765" s="42"/>
      <c r="W3765" s="42" t="s">
        <v>40</v>
      </c>
      <c r="X3765" s="45">
        <v>1.0549999999999999</v>
      </c>
      <c r="Y3765" s="46">
        <v>3.081E-3</v>
      </c>
      <c r="Z3765" s="21">
        <v>4601004352322</v>
      </c>
    </row>
    <row r="3766" spans="1:26" ht="12" customHeight="1" outlineLevel="3" x14ac:dyDescent="0.2">
      <c r="A3766" s="40" t="s">
        <v>7326</v>
      </c>
      <c r="B3766" s="75" t="s">
        <v>7327</v>
      </c>
      <c r="C3766" s="51"/>
      <c r="D3766" s="54">
        <f t="shared" si="58"/>
        <v>0</v>
      </c>
      <c r="E3766" s="62"/>
      <c r="F3766" s="42" t="s">
        <v>39</v>
      </c>
      <c r="G3766" s="41" t="s">
        <v>40</v>
      </c>
      <c r="H3766" s="41"/>
      <c r="I3766" s="41"/>
      <c r="J3766" s="43">
        <v>554</v>
      </c>
      <c r="K3766" s="41" t="s">
        <v>6744</v>
      </c>
      <c r="L3766" s="43">
        <v>1</v>
      </c>
      <c r="M3766" s="43">
        <v>40</v>
      </c>
      <c r="N3766" s="43">
        <v>1</v>
      </c>
      <c r="O3766" s="44">
        <v>1855</v>
      </c>
      <c r="P3766" s="44">
        <v>1520.49</v>
      </c>
      <c r="Q3766" s="44">
        <v>1669.5</v>
      </c>
      <c r="R3766" s="44">
        <v>1368.44</v>
      </c>
      <c r="S3766" s="44">
        <v>1261.4000000000001</v>
      </c>
      <c r="T3766" s="44">
        <v>1033.93</v>
      </c>
      <c r="U3766" s="42"/>
      <c r="V3766" s="42"/>
      <c r="W3766" s="42" t="s">
        <v>40</v>
      </c>
      <c r="X3766" s="45">
        <v>0.73799999999999999</v>
      </c>
      <c r="Y3766" s="46">
        <v>1.7409999999999999E-3</v>
      </c>
      <c r="Z3766" s="21">
        <v>4601004352360</v>
      </c>
    </row>
    <row r="3767" spans="1:26" ht="12" customHeight="1" outlineLevel="3" x14ac:dyDescent="0.2">
      <c r="A3767" s="40" t="s">
        <v>7328</v>
      </c>
      <c r="B3767" s="75" t="s">
        <v>7329</v>
      </c>
      <c r="C3767" s="51"/>
      <c r="D3767" s="54">
        <f t="shared" si="58"/>
        <v>0</v>
      </c>
      <c r="E3767" s="62"/>
      <c r="F3767" s="42" t="s">
        <v>39</v>
      </c>
      <c r="G3767" s="41" t="s">
        <v>40</v>
      </c>
      <c r="H3767" s="41"/>
      <c r="I3767" s="41"/>
      <c r="J3767" s="43">
        <v>520</v>
      </c>
      <c r="K3767" s="41" t="s">
        <v>6744</v>
      </c>
      <c r="L3767" s="43">
        <v>1</v>
      </c>
      <c r="M3767" s="43">
        <v>30</v>
      </c>
      <c r="N3767" s="43">
        <v>1</v>
      </c>
      <c r="O3767" s="44">
        <v>2014</v>
      </c>
      <c r="P3767" s="44">
        <v>1650.82</v>
      </c>
      <c r="Q3767" s="44">
        <v>1812.6</v>
      </c>
      <c r="R3767" s="44">
        <v>1485.74</v>
      </c>
      <c r="S3767" s="44">
        <v>1369.52</v>
      </c>
      <c r="T3767" s="44">
        <v>1122.56</v>
      </c>
      <c r="U3767" s="42"/>
      <c r="V3767" s="42"/>
      <c r="W3767" s="42" t="s">
        <v>40</v>
      </c>
      <c r="X3767" s="45">
        <v>0.72499999999999998</v>
      </c>
      <c r="Y3767" s="46">
        <v>1.4040000000000001E-3</v>
      </c>
      <c r="Z3767" s="21">
        <v>4601004352308</v>
      </c>
    </row>
    <row r="3768" spans="1:26" ht="12.95" customHeight="1" outlineLevel="1" x14ac:dyDescent="0.2">
      <c r="A3768" s="78" t="s">
        <v>7330</v>
      </c>
      <c r="B3768" s="78"/>
      <c r="C3768" s="79"/>
      <c r="D3768" s="57"/>
      <c r="E3768" s="67"/>
      <c r="F3768" s="12"/>
      <c r="G3768" s="12"/>
      <c r="H3768" s="12"/>
      <c r="I3768" s="12"/>
      <c r="J3768" s="12"/>
      <c r="K3768" s="12"/>
      <c r="L3768" s="12"/>
      <c r="M3768" s="12"/>
      <c r="N3768" s="12"/>
      <c r="O3768" s="12"/>
      <c r="P3768" s="12"/>
      <c r="Q3768" s="12"/>
      <c r="R3768" s="12"/>
      <c r="S3768" s="12"/>
      <c r="T3768" s="12"/>
      <c r="U3768" s="12"/>
      <c r="V3768" s="12"/>
      <c r="W3768" s="12"/>
      <c r="X3768" s="12"/>
      <c r="Y3768" s="12"/>
      <c r="Z3768" s="12"/>
    </row>
    <row r="3769" spans="1:26" ht="12.95" customHeight="1" outlineLevel="2" x14ac:dyDescent="0.2">
      <c r="A3769" s="76" t="s">
        <v>7331</v>
      </c>
      <c r="B3769" s="76"/>
      <c r="C3769" s="77"/>
      <c r="D3769" s="58"/>
      <c r="E3769" s="68"/>
      <c r="F3769" s="13"/>
      <c r="G3769" s="13"/>
      <c r="H3769" s="13"/>
      <c r="I3769" s="13"/>
      <c r="J3769" s="13"/>
      <c r="K3769" s="13"/>
      <c r="L3769" s="13"/>
      <c r="M3769" s="13"/>
      <c r="N3769" s="13"/>
      <c r="O3769" s="13"/>
      <c r="P3769" s="13"/>
      <c r="Q3769" s="13"/>
      <c r="R3769" s="13"/>
      <c r="S3769" s="13"/>
      <c r="T3769" s="13"/>
      <c r="U3769" s="13"/>
      <c r="V3769" s="13"/>
      <c r="W3769" s="13"/>
      <c r="X3769" s="13"/>
      <c r="Y3769" s="13"/>
      <c r="Z3769" s="13"/>
    </row>
    <row r="3770" spans="1:26" ht="12" customHeight="1" outlineLevel="3" x14ac:dyDescent="0.2">
      <c r="A3770" s="32" t="s">
        <v>7332</v>
      </c>
      <c r="B3770" s="74" t="s">
        <v>7333</v>
      </c>
      <c r="C3770" s="50"/>
      <c r="D3770" s="53">
        <f t="shared" si="58"/>
        <v>0</v>
      </c>
      <c r="E3770" s="60" t="str">
        <f>HYPERLINK("https://www.sds-group.ru/product/kabelnyy-lokator-ms-6818-mastech-13-1211/", "Инфо")</f>
        <v>Инфо</v>
      </c>
      <c r="F3770" s="34" t="s">
        <v>39</v>
      </c>
      <c r="G3770" s="33"/>
      <c r="H3770" s="33" t="s">
        <v>40</v>
      </c>
      <c r="I3770" s="33"/>
      <c r="J3770" s="35">
        <v>588</v>
      </c>
      <c r="K3770" s="33"/>
      <c r="L3770" s="35">
        <v>1</v>
      </c>
      <c r="M3770" s="35">
        <v>10</v>
      </c>
      <c r="N3770" s="35">
        <v>1</v>
      </c>
      <c r="O3770" s="36">
        <v>34496.639999999999</v>
      </c>
      <c r="P3770" s="36">
        <v>28275.93</v>
      </c>
      <c r="Q3770" s="36">
        <v>24147.65</v>
      </c>
      <c r="R3770" s="36">
        <v>19793.16</v>
      </c>
      <c r="S3770" s="36">
        <v>23457.72</v>
      </c>
      <c r="T3770" s="36">
        <v>19227.64</v>
      </c>
      <c r="U3770" s="34"/>
      <c r="V3770" s="34"/>
      <c r="W3770" s="34"/>
      <c r="X3770" s="37">
        <v>1.528</v>
      </c>
      <c r="Y3770" s="38">
        <v>6.2329999999999998E-3</v>
      </c>
      <c r="Z3770" s="21">
        <v>4601004056534</v>
      </c>
    </row>
    <row r="3771" spans="1:26" ht="12" customHeight="1" outlineLevel="3" x14ac:dyDescent="0.2">
      <c r="A3771" s="14" t="s">
        <v>7334</v>
      </c>
      <c r="B3771" s="26" t="s">
        <v>7335</v>
      </c>
      <c r="C3771" s="52"/>
      <c r="D3771" s="55">
        <f t="shared" si="58"/>
        <v>0</v>
      </c>
      <c r="E3771" s="63" t="str">
        <f>HYPERLINK("https://www.sds-group.ru/product/kabelnyy-lokator-r6818-rexant-12-1024/", "Инфо")</f>
        <v>Инфо</v>
      </c>
      <c r="F3771" s="16" t="s">
        <v>39</v>
      </c>
      <c r="G3771" s="15"/>
      <c r="H3771" s="15"/>
      <c r="I3771" s="15"/>
      <c r="J3771" s="16" t="s">
        <v>100</v>
      </c>
      <c r="K3771" s="15" t="s">
        <v>7336</v>
      </c>
      <c r="L3771" s="17">
        <v>1</v>
      </c>
      <c r="M3771" s="17">
        <v>10</v>
      </c>
      <c r="N3771" s="17">
        <v>1</v>
      </c>
      <c r="O3771" s="18">
        <v>32879.61</v>
      </c>
      <c r="P3771" s="18">
        <v>26950.5</v>
      </c>
      <c r="Q3771" s="18">
        <v>24002.12</v>
      </c>
      <c r="R3771" s="18">
        <v>19673.87</v>
      </c>
      <c r="S3771" s="18">
        <v>22358.13</v>
      </c>
      <c r="T3771" s="18">
        <v>18326.34</v>
      </c>
      <c r="U3771" s="16"/>
      <c r="V3771" s="16"/>
      <c r="W3771" s="16" t="s">
        <v>40</v>
      </c>
      <c r="X3771" s="19">
        <v>1.425</v>
      </c>
      <c r="Y3771" s="20">
        <v>6.1269999999999996E-3</v>
      </c>
      <c r="Z3771" s="21">
        <v>4601004295278</v>
      </c>
    </row>
    <row r="3772" spans="1:26" ht="12" customHeight="1" outlineLevel="3" x14ac:dyDescent="0.2">
      <c r="A3772" s="32" t="s">
        <v>7337</v>
      </c>
      <c r="B3772" s="74" t="s">
        <v>7338</v>
      </c>
      <c r="C3772" s="50"/>
      <c r="D3772" s="53">
        <f t="shared" si="58"/>
        <v>0</v>
      </c>
      <c r="E3772" s="60" t="str">
        <f>HYPERLINK("https://www.sds-group.ru/product/kabelnyy-tester-lokator-uni-t-ut685kit-tdr-13-1093/", "Инфо")</f>
        <v>Инфо</v>
      </c>
      <c r="F3772" s="34" t="s">
        <v>39</v>
      </c>
      <c r="G3772" s="33"/>
      <c r="H3772" s="33" t="s">
        <v>40</v>
      </c>
      <c r="I3772" s="33"/>
      <c r="J3772" s="35">
        <v>3</v>
      </c>
      <c r="K3772" s="33" t="s">
        <v>1587</v>
      </c>
      <c r="L3772" s="35">
        <v>1</v>
      </c>
      <c r="M3772" s="35">
        <v>10</v>
      </c>
      <c r="N3772" s="35">
        <v>1</v>
      </c>
      <c r="O3772" s="36">
        <v>34229.29</v>
      </c>
      <c r="P3772" s="36">
        <v>28056.799999999999</v>
      </c>
      <c r="Q3772" s="36">
        <v>23960.5</v>
      </c>
      <c r="R3772" s="36">
        <v>19639.75</v>
      </c>
      <c r="S3772" s="36">
        <v>23275.919999999998</v>
      </c>
      <c r="T3772" s="36">
        <v>19078.62</v>
      </c>
      <c r="U3772" s="34"/>
      <c r="V3772" s="34"/>
      <c r="W3772" s="34"/>
      <c r="X3772" s="37">
        <v>0.89300000000000002</v>
      </c>
      <c r="Y3772" s="38">
        <v>3.6900000000000001E-3</v>
      </c>
      <c r="Z3772" s="21">
        <v>4601004290341</v>
      </c>
    </row>
    <row r="3773" spans="1:26" ht="24" customHeight="1" outlineLevel="3" x14ac:dyDescent="0.2">
      <c r="A3773" s="32" t="s">
        <v>7339</v>
      </c>
      <c r="B3773" s="74" t="s">
        <v>7340</v>
      </c>
      <c r="C3773" s="50"/>
      <c r="D3773" s="53">
        <f t="shared" si="58"/>
        <v>0</v>
      </c>
      <c r="E3773" s="60" t="str">
        <f>HYPERLINK("https://www.sds-group.ru/product/tester-kabelya-mnogofunktsionalnyy-rj-45-828-rexant-12-1009/", "Инфо")</f>
        <v>Инфо</v>
      </c>
      <c r="F3773" s="34" t="s">
        <v>39</v>
      </c>
      <c r="G3773" s="33"/>
      <c r="H3773" s="33" t="s">
        <v>40</v>
      </c>
      <c r="I3773" s="33"/>
      <c r="J3773" s="35">
        <v>96</v>
      </c>
      <c r="K3773" s="33"/>
      <c r="L3773" s="35">
        <v>1</v>
      </c>
      <c r="M3773" s="35">
        <v>20</v>
      </c>
      <c r="N3773" s="35">
        <v>1</v>
      </c>
      <c r="O3773" s="36">
        <v>14896.94</v>
      </c>
      <c r="P3773" s="36">
        <v>12210.61</v>
      </c>
      <c r="Q3773" s="36">
        <v>10427.86</v>
      </c>
      <c r="R3773" s="36">
        <v>8547.43</v>
      </c>
      <c r="S3773" s="36">
        <v>10129.92</v>
      </c>
      <c r="T3773" s="36">
        <v>8303.2099999999991</v>
      </c>
      <c r="U3773" s="34" t="s">
        <v>7341</v>
      </c>
      <c r="V3773" s="34" t="s">
        <v>7342</v>
      </c>
      <c r="W3773" s="34"/>
      <c r="X3773" s="37">
        <v>0.77400000000000002</v>
      </c>
      <c r="Y3773" s="38">
        <v>4.8219999999999999E-3</v>
      </c>
      <c r="Z3773" s="21">
        <v>4660008014957</v>
      </c>
    </row>
    <row r="3774" spans="1:26" ht="12" customHeight="1" outlineLevel="3" x14ac:dyDescent="0.2">
      <c r="A3774" s="14" t="s">
        <v>7343</v>
      </c>
      <c r="B3774" s="26" t="s">
        <v>7344</v>
      </c>
      <c r="C3774" s="52"/>
      <c r="D3774" s="55">
        <f t="shared" si="58"/>
        <v>0</v>
      </c>
      <c r="E3774" s="63" t="str">
        <f>HYPERLINK("https://www.sds-group.ru/product/tester-kabelya-universalnyy-5-v-1-rj-45-rj-11-rj-12-1394-usb-bnc-3468-rexant-12-1003/", "Инфо")</f>
        <v>Инфо</v>
      </c>
      <c r="F3774" s="16" t="s">
        <v>39</v>
      </c>
      <c r="G3774" s="15"/>
      <c r="H3774" s="15"/>
      <c r="I3774" s="15"/>
      <c r="J3774" s="17">
        <v>150</v>
      </c>
      <c r="K3774" s="15" t="s">
        <v>1519</v>
      </c>
      <c r="L3774" s="17">
        <v>1</v>
      </c>
      <c r="M3774" s="17">
        <v>50</v>
      </c>
      <c r="N3774" s="17">
        <v>1</v>
      </c>
      <c r="O3774" s="18">
        <v>3018.46</v>
      </c>
      <c r="P3774" s="18">
        <v>2474.15</v>
      </c>
      <c r="Q3774" s="18">
        <v>2324.21</v>
      </c>
      <c r="R3774" s="18">
        <v>1905.09</v>
      </c>
      <c r="S3774" s="18">
        <v>2052.5500000000002</v>
      </c>
      <c r="T3774" s="18">
        <v>1682.42</v>
      </c>
      <c r="U3774" s="16"/>
      <c r="V3774" s="16"/>
      <c r="W3774" s="16" t="s">
        <v>40</v>
      </c>
      <c r="X3774" s="19">
        <v>0.24099999999999999</v>
      </c>
      <c r="Y3774" s="20">
        <v>1.258E-3</v>
      </c>
      <c r="Z3774" s="21">
        <v>4601004002791</v>
      </c>
    </row>
    <row r="3775" spans="1:26" ht="12" customHeight="1" outlineLevel="3" x14ac:dyDescent="0.2">
      <c r="A3775" s="14" t="s">
        <v>7345</v>
      </c>
      <c r="B3775" s="26" t="s">
        <v>7346</v>
      </c>
      <c r="C3775" s="52"/>
      <c r="D3775" s="55">
        <f t="shared" si="58"/>
        <v>0</v>
      </c>
      <c r="E3775" s="63" t="str">
        <f>HYPERLINK("https://www.sds-group.ru/product/tester-kabelya-rj-45-rj-12-rj-11-bnc-5248-rexant-12-1001/", "Инфо")</f>
        <v>Инфо</v>
      </c>
      <c r="F3775" s="16" t="s">
        <v>39</v>
      </c>
      <c r="G3775" s="15"/>
      <c r="H3775" s="15"/>
      <c r="I3775" s="15"/>
      <c r="J3775" s="17">
        <v>313</v>
      </c>
      <c r="K3775" s="15" t="s">
        <v>6043</v>
      </c>
      <c r="L3775" s="17">
        <v>1</v>
      </c>
      <c r="M3775" s="17">
        <v>100</v>
      </c>
      <c r="N3775" s="17">
        <v>1</v>
      </c>
      <c r="O3775" s="18">
        <v>1056.46</v>
      </c>
      <c r="P3775" s="18">
        <v>865.95</v>
      </c>
      <c r="Q3775" s="18">
        <v>845.17</v>
      </c>
      <c r="R3775" s="18">
        <v>692.76</v>
      </c>
      <c r="S3775" s="18">
        <v>718.39</v>
      </c>
      <c r="T3775" s="18">
        <v>588.84</v>
      </c>
      <c r="U3775" s="16"/>
      <c r="V3775" s="16"/>
      <c r="W3775" s="16" t="s">
        <v>40</v>
      </c>
      <c r="X3775" s="19">
        <v>0.17100000000000001</v>
      </c>
      <c r="Y3775" s="20">
        <v>7.5100000000000004E-4</v>
      </c>
      <c r="Z3775" s="21">
        <v>4660008014131</v>
      </c>
    </row>
    <row r="3776" spans="1:26" ht="12" customHeight="1" outlineLevel="3" x14ac:dyDescent="0.2">
      <c r="A3776" s="14" t="s">
        <v>7347</v>
      </c>
      <c r="B3776" s="26" t="s">
        <v>7348</v>
      </c>
      <c r="C3776" s="52"/>
      <c r="D3776" s="55">
        <f t="shared" si="58"/>
        <v>0</v>
      </c>
      <c r="E3776" s="63" t="str">
        <f>HYPERLINK("https://www.sds-group.ru/product/tester-kabelya-rj-45-rj-11-rj-12-468-proconnect-12-1006-4/", "Инфо")</f>
        <v>Инфо</v>
      </c>
      <c r="F3776" s="16" t="s">
        <v>39</v>
      </c>
      <c r="G3776" s="15"/>
      <c r="H3776" s="15"/>
      <c r="I3776" s="15"/>
      <c r="J3776" s="17">
        <v>990</v>
      </c>
      <c r="K3776" s="15" t="s">
        <v>1519</v>
      </c>
      <c r="L3776" s="17">
        <v>1</v>
      </c>
      <c r="M3776" s="17">
        <v>100</v>
      </c>
      <c r="N3776" s="17">
        <v>1</v>
      </c>
      <c r="O3776" s="18">
        <v>582.13</v>
      </c>
      <c r="P3776" s="18">
        <v>477.16</v>
      </c>
      <c r="Q3776" s="18">
        <v>465.7</v>
      </c>
      <c r="R3776" s="18">
        <v>381.72</v>
      </c>
      <c r="S3776" s="18">
        <v>395.85</v>
      </c>
      <c r="T3776" s="18">
        <v>324.47000000000003</v>
      </c>
      <c r="U3776" s="16"/>
      <c r="V3776" s="16"/>
      <c r="W3776" s="16" t="s">
        <v>40</v>
      </c>
      <c r="X3776" s="19">
        <v>0.13200000000000001</v>
      </c>
      <c r="Y3776" s="20">
        <v>6.7100000000000005E-4</v>
      </c>
      <c r="Z3776" s="21">
        <v>4601004001077</v>
      </c>
    </row>
    <row r="3777" spans="1:26" ht="12" customHeight="1" outlineLevel="3" x14ac:dyDescent="0.2">
      <c r="A3777" s="14" t="s">
        <v>7349</v>
      </c>
      <c r="B3777" s="26" t="s">
        <v>7350</v>
      </c>
      <c r="C3777" s="52"/>
      <c r="D3777" s="55">
        <f t="shared" si="58"/>
        <v>0</v>
      </c>
      <c r="E3777" s="63" t="str">
        <f>HYPERLINK("https://www.sds-group.ru/product/tester-kabelya-rj-45-rj-11-rj-12-468-rexant-12-1006/", "Инфо")</f>
        <v>Инфо</v>
      </c>
      <c r="F3777" s="16" t="s">
        <v>39</v>
      </c>
      <c r="G3777" s="15"/>
      <c r="H3777" s="15"/>
      <c r="I3777" s="15"/>
      <c r="J3777" s="22">
        <v>1730</v>
      </c>
      <c r="K3777" s="15" t="s">
        <v>1094</v>
      </c>
      <c r="L3777" s="17">
        <v>1</v>
      </c>
      <c r="M3777" s="17">
        <v>100</v>
      </c>
      <c r="N3777" s="17">
        <v>1</v>
      </c>
      <c r="O3777" s="18">
        <v>1078.02</v>
      </c>
      <c r="P3777" s="18">
        <v>883.62</v>
      </c>
      <c r="Q3777" s="18">
        <v>862.42</v>
      </c>
      <c r="R3777" s="18">
        <v>706.9</v>
      </c>
      <c r="S3777" s="18">
        <v>733.05</v>
      </c>
      <c r="T3777" s="18">
        <v>600.86</v>
      </c>
      <c r="U3777" s="16"/>
      <c r="V3777" s="16"/>
      <c r="W3777" s="16" t="s">
        <v>40</v>
      </c>
      <c r="X3777" s="19">
        <v>0.16800000000000001</v>
      </c>
      <c r="Y3777" s="20">
        <v>9.5399999999999999E-4</v>
      </c>
      <c r="Z3777" s="21">
        <v>4610003606329</v>
      </c>
    </row>
    <row r="3778" spans="1:26" ht="24" customHeight="1" outlineLevel="3" x14ac:dyDescent="0.2">
      <c r="A3778" s="32" t="s">
        <v>7351</v>
      </c>
      <c r="B3778" s="74" t="s">
        <v>7352</v>
      </c>
      <c r="C3778" s="50"/>
      <c r="D3778" s="53">
        <f t="shared" si="58"/>
        <v>0</v>
      </c>
      <c r="E3778" s="60" t="str">
        <f>HYPERLINK("https://www.sds-group.ru/product/tester-s-generatorom-signala-ms6810-mastech-13-1222/", "Инфо")</f>
        <v>Инфо</v>
      </c>
      <c r="F3778" s="34" t="s">
        <v>39</v>
      </c>
      <c r="G3778" s="33"/>
      <c r="H3778" s="33" t="s">
        <v>40</v>
      </c>
      <c r="I3778" s="33"/>
      <c r="J3778" s="35">
        <v>151</v>
      </c>
      <c r="K3778" s="33"/>
      <c r="L3778" s="35">
        <v>1</v>
      </c>
      <c r="M3778" s="35">
        <v>60</v>
      </c>
      <c r="N3778" s="35">
        <v>1</v>
      </c>
      <c r="O3778" s="36">
        <v>2587.25</v>
      </c>
      <c r="P3778" s="36">
        <v>2120.6999999999998</v>
      </c>
      <c r="Q3778" s="36">
        <v>1811.08</v>
      </c>
      <c r="R3778" s="36">
        <v>1484.49</v>
      </c>
      <c r="S3778" s="36">
        <v>1759.33</v>
      </c>
      <c r="T3778" s="36">
        <v>1442.07</v>
      </c>
      <c r="U3778" s="34" t="s">
        <v>7341</v>
      </c>
      <c r="V3778" s="34" t="s">
        <v>7342</v>
      </c>
      <c r="W3778" s="34"/>
      <c r="X3778" s="37">
        <v>0.23200000000000001</v>
      </c>
      <c r="Y3778" s="38">
        <v>7.7499999999999997E-4</v>
      </c>
      <c r="Z3778" s="21">
        <v>4601004052208</v>
      </c>
    </row>
    <row r="3779" spans="1:26" ht="12" customHeight="1" outlineLevel="3" x14ac:dyDescent="0.2">
      <c r="A3779" s="32" t="s">
        <v>7353</v>
      </c>
      <c r="B3779" s="74" t="s">
        <v>7354</v>
      </c>
      <c r="C3779" s="50"/>
      <c r="D3779" s="53">
        <f t="shared" si="58"/>
        <v>0</v>
      </c>
      <c r="E3779" s="60" t="str">
        <f>HYPERLINK("https://www.sds-group.ru/product/tester-trassoiskatel-ms6812a-s-generatorom-signala-mastech-13-1220/", "Инфо")</f>
        <v>Инфо</v>
      </c>
      <c r="F3779" s="34" t="s">
        <v>39</v>
      </c>
      <c r="G3779" s="33"/>
      <c r="H3779" s="33" t="s">
        <v>40</v>
      </c>
      <c r="I3779" s="33"/>
      <c r="J3779" s="39">
        <v>2569</v>
      </c>
      <c r="K3779" s="33" t="s">
        <v>1004</v>
      </c>
      <c r="L3779" s="35">
        <v>1</v>
      </c>
      <c r="M3779" s="35">
        <v>20</v>
      </c>
      <c r="N3779" s="35">
        <v>1</v>
      </c>
      <c r="O3779" s="36">
        <v>3018.46</v>
      </c>
      <c r="P3779" s="36">
        <v>2474.15</v>
      </c>
      <c r="Q3779" s="36">
        <v>2112.92</v>
      </c>
      <c r="R3779" s="36">
        <v>1731.9</v>
      </c>
      <c r="S3779" s="36">
        <v>2052.5500000000002</v>
      </c>
      <c r="T3779" s="36">
        <v>1682.42</v>
      </c>
      <c r="U3779" s="34"/>
      <c r="V3779" s="34"/>
      <c r="W3779" s="34"/>
      <c r="X3779" s="37">
        <v>0.36299999999999999</v>
      </c>
      <c r="Y3779" s="38">
        <v>1.6379999999999999E-3</v>
      </c>
      <c r="Z3779" s="21">
        <v>4601004018259</v>
      </c>
    </row>
    <row r="3780" spans="1:26" ht="12" customHeight="1" outlineLevel="3" x14ac:dyDescent="0.2">
      <c r="A3780" s="32" t="s">
        <v>7355</v>
      </c>
      <c r="B3780" s="74" t="s">
        <v>7356</v>
      </c>
      <c r="C3780" s="50"/>
      <c r="D3780" s="53">
        <f t="shared" si="58"/>
        <v>0</v>
      </c>
      <c r="E3780" s="60" t="str">
        <f>HYPERLINK("https://www.sds-group.ru/product/tester-trassoiskatel-s-generatorom-signala-ms6813-mastech-13-1221/", "Инфо")</f>
        <v>Инфо</v>
      </c>
      <c r="F3780" s="34" t="s">
        <v>39</v>
      </c>
      <c r="G3780" s="33"/>
      <c r="H3780" s="33" t="s">
        <v>40</v>
      </c>
      <c r="I3780" s="33"/>
      <c r="J3780" s="35">
        <v>448</v>
      </c>
      <c r="K3780" s="33"/>
      <c r="L3780" s="35">
        <v>1</v>
      </c>
      <c r="M3780" s="35">
        <v>10</v>
      </c>
      <c r="N3780" s="35">
        <v>1</v>
      </c>
      <c r="O3780" s="36">
        <v>5929.11</v>
      </c>
      <c r="P3780" s="36">
        <v>4859.93</v>
      </c>
      <c r="Q3780" s="36">
        <v>4150.38</v>
      </c>
      <c r="R3780" s="36">
        <v>3401.95</v>
      </c>
      <c r="S3780" s="36">
        <v>4031.79</v>
      </c>
      <c r="T3780" s="36">
        <v>3304.75</v>
      </c>
      <c r="U3780" s="34"/>
      <c r="V3780" s="34"/>
      <c r="W3780" s="34"/>
      <c r="X3780" s="37">
        <v>0.626</v>
      </c>
      <c r="Y3780" s="38">
        <v>4.8399999999999997E-3</v>
      </c>
      <c r="Z3780" s="21">
        <v>4601004018266</v>
      </c>
    </row>
    <row r="3781" spans="1:26" ht="24" customHeight="1" outlineLevel="3" x14ac:dyDescent="0.2">
      <c r="A3781" s="32" t="s">
        <v>7357</v>
      </c>
      <c r="B3781" s="74" t="s">
        <v>7358</v>
      </c>
      <c r="C3781" s="50"/>
      <c r="D3781" s="53">
        <f t="shared" si="58"/>
        <v>0</v>
      </c>
      <c r="E3781" s="60" t="str">
        <f>HYPERLINK("https://www.sds-group.ru/product/tester-trassoiskatel-s-generatorom-signala-uni-t-ut682-13-1091/", "Инфо")</f>
        <v>Инфо</v>
      </c>
      <c r="F3781" s="34" t="s">
        <v>39</v>
      </c>
      <c r="G3781" s="33"/>
      <c r="H3781" s="33" t="s">
        <v>40</v>
      </c>
      <c r="I3781" s="33"/>
      <c r="J3781" s="35">
        <v>65</v>
      </c>
      <c r="K3781" s="33"/>
      <c r="L3781" s="35">
        <v>1</v>
      </c>
      <c r="M3781" s="35">
        <v>20</v>
      </c>
      <c r="N3781" s="35">
        <v>1</v>
      </c>
      <c r="O3781" s="36">
        <v>6640.6</v>
      </c>
      <c r="P3781" s="36">
        <v>5443.11</v>
      </c>
      <c r="Q3781" s="36">
        <v>4648.42</v>
      </c>
      <c r="R3781" s="36">
        <v>3810.18</v>
      </c>
      <c r="S3781" s="36">
        <v>4515.6099999999997</v>
      </c>
      <c r="T3781" s="36">
        <v>3701.32</v>
      </c>
      <c r="U3781" s="34" t="s">
        <v>7341</v>
      </c>
      <c r="V3781" s="34" t="s">
        <v>7342</v>
      </c>
      <c r="W3781" s="34"/>
      <c r="X3781" s="37">
        <v>0.44900000000000001</v>
      </c>
      <c r="Y3781" s="38">
        <v>1.8929999999999999E-3</v>
      </c>
      <c r="Z3781" s="21">
        <v>4601004290358</v>
      </c>
    </row>
    <row r="3782" spans="1:26" ht="12" customHeight="1" outlineLevel="3" x14ac:dyDescent="0.2">
      <c r="A3782" s="32" t="s">
        <v>7359</v>
      </c>
      <c r="B3782" s="74" t="s">
        <v>7360</v>
      </c>
      <c r="C3782" s="50"/>
      <c r="D3782" s="53">
        <f t="shared" si="58"/>
        <v>0</v>
      </c>
      <c r="E3782" s="60" t="str">
        <f>HYPERLINK("https://www.sds-group.ru/product/tester-trassoiskatel-s-generatorom-signala-uni-t-ut682d-13-1090/", "Инфо")</f>
        <v>Инфо</v>
      </c>
      <c r="F3782" s="34" t="s">
        <v>39</v>
      </c>
      <c r="G3782" s="33"/>
      <c r="H3782" s="33" t="s">
        <v>40</v>
      </c>
      <c r="I3782" s="33"/>
      <c r="J3782" s="35">
        <v>31</v>
      </c>
      <c r="K3782" s="33" t="s">
        <v>7336</v>
      </c>
      <c r="L3782" s="35">
        <v>1</v>
      </c>
      <c r="M3782" s="35">
        <v>20</v>
      </c>
      <c r="N3782" s="35">
        <v>1</v>
      </c>
      <c r="O3782" s="36">
        <v>4792.1000000000004</v>
      </c>
      <c r="P3782" s="36">
        <v>3927.95</v>
      </c>
      <c r="Q3782" s="36">
        <v>3354.47</v>
      </c>
      <c r="R3782" s="36">
        <v>2749.57</v>
      </c>
      <c r="S3782" s="36">
        <v>3258.63</v>
      </c>
      <c r="T3782" s="36">
        <v>2671.01</v>
      </c>
      <c r="U3782" s="34"/>
      <c r="V3782" s="34"/>
      <c r="W3782" s="34"/>
      <c r="X3782" s="37">
        <v>0.36599999999999999</v>
      </c>
      <c r="Y3782" s="38">
        <v>1.513E-3</v>
      </c>
      <c r="Z3782" s="21">
        <v>4601004290327</v>
      </c>
    </row>
    <row r="3783" spans="1:26" ht="24" customHeight="1" outlineLevel="3" x14ac:dyDescent="0.2">
      <c r="A3783" s="32" t="s">
        <v>7361</v>
      </c>
      <c r="B3783" s="74" t="s">
        <v>7362</v>
      </c>
      <c r="C3783" s="50"/>
      <c r="D3783" s="53">
        <f t="shared" si="58"/>
        <v>0</v>
      </c>
      <c r="E3783" s="60" t="str">
        <f>HYPERLINK("https://www.sds-group.ru/product/tester-trassoiskatel-s-generatorom-signala-uni-t-ut683kit-13-1092/", "Инфо")</f>
        <v>Инфо</v>
      </c>
      <c r="F3783" s="34" t="s">
        <v>39</v>
      </c>
      <c r="G3783" s="33"/>
      <c r="H3783" s="33" t="s">
        <v>40</v>
      </c>
      <c r="I3783" s="33"/>
      <c r="J3783" s="35">
        <v>222</v>
      </c>
      <c r="K3783" s="33"/>
      <c r="L3783" s="35">
        <v>1</v>
      </c>
      <c r="M3783" s="35">
        <v>1</v>
      </c>
      <c r="N3783" s="35">
        <v>1</v>
      </c>
      <c r="O3783" s="36">
        <v>12127.73</v>
      </c>
      <c r="P3783" s="36">
        <v>9940.76</v>
      </c>
      <c r="Q3783" s="36">
        <v>8489.41</v>
      </c>
      <c r="R3783" s="36">
        <v>6958.53</v>
      </c>
      <c r="S3783" s="36">
        <v>8246.86</v>
      </c>
      <c r="T3783" s="36">
        <v>6759.72</v>
      </c>
      <c r="U3783" s="34" t="s">
        <v>7341</v>
      </c>
      <c r="V3783" s="34" t="s">
        <v>7342</v>
      </c>
      <c r="W3783" s="34"/>
      <c r="X3783" s="37">
        <v>0.51100000000000001</v>
      </c>
      <c r="Y3783" s="38">
        <v>3.0270000000000002E-3</v>
      </c>
      <c r="Z3783" s="21">
        <v>4601004290334</v>
      </c>
    </row>
    <row r="3784" spans="1:26" ht="12" customHeight="1" outlineLevel="3" x14ac:dyDescent="0.2">
      <c r="A3784" s="14" t="s">
        <v>7363</v>
      </c>
      <c r="B3784" s="26" t="s">
        <v>7364</v>
      </c>
      <c r="C3784" s="52"/>
      <c r="D3784" s="55">
        <f t="shared" si="58"/>
        <v>0</v>
      </c>
      <c r="E3784" s="63" t="str">
        <f>HYPERLINK("https://www.sds-group.ru/product/tester-trassoiskatel-r6812-rexant-12-1020/", "Инфо")</f>
        <v>Инфо</v>
      </c>
      <c r="F3784" s="16" t="s">
        <v>39</v>
      </c>
      <c r="G3784" s="15"/>
      <c r="H3784" s="15"/>
      <c r="I3784" s="15"/>
      <c r="J3784" s="17">
        <v>115</v>
      </c>
      <c r="K3784" s="15" t="s">
        <v>7336</v>
      </c>
      <c r="L3784" s="17">
        <v>1</v>
      </c>
      <c r="M3784" s="17">
        <v>40</v>
      </c>
      <c r="N3784" s="17">
        <v>1</v>
      </c>
      <c r="O3784" s="18">
        <v>2091.36</v>
      </c>
      <c r="P3784" s="18">
        <v>1714.23</v>
      </c>
      <c r="Q3784" s="18">
        <v>1673.09</v>
      </c>
      <c r="R3784" s="18">
        <v>1371.39</v>
      </c>
      <c r="S3784" s="18">
        <v>1422.12</v>
      </c>
      <c r="T3784" s="18">
        <v>1165.67</v>
      </c>
      <c r="U3784" s="16"/>
      <c r="V3784" s="16"/>
      <c r="W3784" s="16" t="s">
        <v>40</v>
      </c>
      <c r="X3784" s="19">
        <v>0.36199999999999999</v>
      </c>
      <c r="Y3784" s="20">
        <v>1.7719999999999999E-3</v>
      </c>
      <c r="Z3784" s="21">
        <v>4601004295322</v>
      </c>
    </row>
    <row r="3785" spans="1:26" ht="12" customHeight="1" outlineLevel="3" x14ac:dyDescent="0.2">
      <c r="A3785" s="14" t="s">
        <v>7365</v>
      </c>
      <c r="B3785" s="26" t="s">
        <v>7366</v>
      </c>
      <c r="C3785" s="52"/>
      <c r="D3785" s="55">
        <f t="shared" ref="D3785:D3848" si="59">C3785*(O3785-O3785*$G$3)</f>
        <v>0</v>
      </c>
      <c r="E3785" s="63" t="str">
        <f>HYPERLINK("https://www.sds-group.ru/product/tester-trassoiskatel-r6816-rexant-12-1016/", "Инфо")</f>
        <v>Инфо</v>
      </c>
      <c r="F3785" s="16" t="s">
        <v>39</v>
      </c>
      <c r="G3785" s="15"/>
      <c r="H3785" s="15"/>
      <c r="I3785" s="15"/>
      <c r="J3785" s="17">
        <v>36</v>
      </c>
      <c r="K3785" s="15" t="s">
        <v>6939</v>
      </c>
      <c r="L3785" s="17">
        <v>1</v>
      </c>
      <c r="M3785" s="17">
        <v>20</v>
      </c>
      <c r="N3785" s="17">
        <v>1</v>
      </c>
      <c r="O3785" s="18">
        <v>3773.07</v>
      </c>
      <c r="P3785" s="18">
        <v>3092.68</v>
      </c>
      <c r="Q3785" s="18">
        <v>2754.34</v>
      </c>
      <c r="R3785" s="18">
        <v>2257.66</v>
      </c>
      <c r="S3785" s="18">
        <v>2565.69</v>
      </c>
      <c r="T3785" s="18">
        <v>2103.02</v>
      </c>
      <c r="U3785" s="16"/>
      <c r="V3785" s="16"/>
      <c r="W3785" s="16" t="s">
        <v>40</v>
      </c>
      <c r="X3785" s="19">
        <v>0.49099999999999999</v>
      </c>
      <c r="Y3785" s="20">
        <v>2.3149999999999998E-3</v>
      </c>
      <c r="Z3785" s="21">
        <v>4601004295254</v>
      </c>
    </row>
    <row r="3786" spans="1:26" ht="12.95" customHeight="1" outlineLevel="2" x14ac:dyDescent="0.2">
      <c r="A3786" s="76" t="s">
        <v>7367</v>
      </c>
      <c r="B3786" s="76"/>
      <c r="C3786" s="77"/>
      <c r="D3786" s="58"/>
      <c r="E3786" s="68"/>
      <c r="F3786" s="13"/>
      <c r="G3786" s="13"/>
      <c r="H3786" s="13"/>
      <c r="I3786" s="13"/>
      <c r="J3786" s="13"/>
      <c r="K3786" s="13"/>
      <c r="L3786" s="13"/>
      <c r="M3786" s="13"/>
      <c r="N3786" s="13"/>
      <c r="O3786" s="13"/>
      <c r="P3786" s="13"/>
      <c r="Q3786" s="13"/>
      <c r="R3786" s="13"/>
      <c r="S3786" s="13"/>
      <c r="T3786" s="13"/>
      <c r="U3786" s="13"/>
      <c r="V3786" s="13"/>
      <c r="W3786" s="13"/>
      <c r="X3786" s="13"/>
      <c r="Y3786" s="13"/>
      <c r="Z3786" s="13"/>
    </row>
    <row r="3787" spans="1:26" ht="12" customHeight="1" outlineLevel="3" x14ac:dyDescent="0.2">
      <c r="A3787" s="32" t="s">
        <v>7368</v>
      </c>
      <c r="B3787" s="74" t="s">
        <v>7369</v>
      </c>
      <c r="C3787" s="50"/>
      <c r="D3787" s="53">
        <f t="shared" si="59"/>
        <v>0</v>
      </c>
      <c r="E3787" s="60" t="str">
        <f>HYPERLINK("https://www.sds-group.ru/product/avtomobilnyy-multimetr-mastech-ms8239d-13-2089/", "Инфо")</f>
        <v>Инфо</v>
      </c>
      <c r="F3787" s="34" t="s">
        <v>39</v>
      </c>
      <c r="G3787" s="33"/>
      <c r="H3787" s="33" t="s">
        <v>40</v>
      </c>
      <c r="I3787" s="33"/>
      <c r="J3787" s="35">
        <v>83</v>
      </c>
      <c r="K3787" s="33"/>
      <c r="L3787" s="35">
        <v>1</v>
      </c>
      <c r="M3787" s="35">
        <v>20</v>
      </c>
      <c r="N3787" s="35">
        <v>1</v>
      </c>
      <c r="O3787" s="36">
        <v>3939.09</v>
      </c>
      <c r="P3787" s="36">
        <v>3228.76</v>
      </c>
      <c r="Q3787" s="36">
        <v>2757.36</v>
      </c>
      <c r="R3787" s="36">
        <v>2260.13</v>
      </c>
      <c r="S3787" s="36">
        <v>2678.58</v>
      </c>
      <c r="T3787" s="36">
        <v>2195.56</v>
      </c>
      <c r="U3787" s="34"/>
      <c r="V3787" s="34"/>
      <c r="W3787" s="34"/>
      <c r="X3787" s="37">
        <v>0.38500000000000001</v>
      </c>
      <c r="Y3787" s="38">
        <v>2.0409999999999998E-3</v>
      </c>
      <c r="Z3787" s="21">
        <v>4601004195677</v>
      </c>
    </row>
    <row r="3788" spans="1:26" ht="12" customHeight="1" outlineLevel="3" x14ac:dyDescent="0.2">
      <c r="A3788" s="32" t="s">
        <v>7370</v>
      </c>
      <c r="B3788" s="74" t="s">
        <v>7371</v>
      </c>
      <c r="C3788" s="50"/>
      <c r="D3788" s="53">
        <f t="shared" si="59"/>
        <v>0</v>
      </c>
      <c r="E3788" s="60" t="str">
        <f>HYPERLINK("https://www.sds-group.ru/product/avtomobilnyy-multimetr-uni-t-ut107-13-0060/", "Инфо")</f>
        <v>Инфо</v>
      </c>
      <c r="F3788" s="34" t="s">
        <v>39</v>
      </c>
      <c r="G3788" s="33"/>
      <c r="H3788" s="33" t="s">
        <v>40</v>
      </c>
      <c r="I3788" s="33"/>
      <c r="J3788" s="35">
        <v>26</v>
      </c>
      <c r="K3788" s="33" t="s">
        <v>1587</v>
      </c>
      <c r="L3788" s="35">
        <v>1</v>
      </c>
      <c r="M3788" s="35">
        <v>20</v>
      </c>
      <c r="N3788" s="35">
        <v>1</v>
      </c>
      <c r="O3788" s="36">
        <v>6468.12</v>
      </c>
      <c r="P3788" s="36">
        <v>5301.74</v>
      </c>
      <c r="Q3788" s="36">
        <v>4527.68</v>
      </c>
      <c r="R3788" s="36">
        <v>3711.21</v>
      </c>
      <c r="S3788" s="36">
        <v>4398.32</v>
      </c>
      <c r="T3788" s="36">
        <v>3605.18</v>
      </c>
      <c r="U3788" s="34"/>
      <c r="V3788" s="34"/>
      <c r="W3788" s="34"/>
      <c r="X3788" s="37">
        <v>0.54800000000000004</v>
      </c>
      <c r="Y3788" s="38">
        <v>2.1289999999999998E-3</v>
      </c>
      <c r="Z3788" s="21">
        <v>4601004268364</v>
      </c>
    </row>
    <row r="3789" spans="1:26" ht="12" customHeight="1" outlineLevel="3" x14ac:dyDescent="0.2">
      <c r="A3789" s="14" t="s">
        <v>7372</v>
      </c>
      <c r="B3789" s="26" t="s">
        <v>7373</v>
      </c>
      <c r="C3789" s="52"/>
      <c r="D3789" s="55">
        <f t="shared" si="59"/>
        <v>0</v>
      </c>
      <c r="E3789" s="63" t="str">
        <f>HYPERLINK("https://www.sds-group.ru/product/avtotester-universalnyy-metallicheskiy-rexant-16-0103/", "Инфо")</f>
        <v>Инфо</v>
      </c>
      <c r="F3789" s="16" t="s">
        <v>39</v>
      </c>
      <c r="G3789" s="15"/>
      <c r="H3789" s="15"/>
      <c r="I3789" s="15"/>
      <c r="J3789" s="17">
        <v>283</v>
      </c>
      <c r="K3789" s="15" t="s">
        <v>6174</v>
      </c>
      <c r="L3789" s="17">
        <v>10</v>
      </c>
      <c r="M3789" s="17">
        <v>400</v>
      </c>
      <c r="N3789" s="17">
        <v>10</v>
      </c>
      <c r="O3789" s="18">
        <v>280.29000000000002</v>
      </c>
      <c r="P3789" s="18">
        <v>229.75</v>
      </c>
      <c r="Q3789" s="18">
        <v>238.25</v>
      </c>
      <c r="R3789" s="18">
        <v>195.29</v>
      </c>
      <c r="S3789" s="18">
        <v>190.6</v>
      </c>
      <c r="T3789" s="18">
        <v>156.22999999999999</v>
      </c>
      <c r="U3789" s="16"/>
      <c r="V3789" s="16"/>
      <c r="W3789" s="16" t="s">
        <v>40</v>
      </c>
      <c r="X3789" s="19">
        <v>4.4999999999999998E-2</v>
      </c>
      <c r="Y3789" s="20">
        <v>1.84E-4</v>
      </c>
      <c r="Z3789" s="21">
        <v>4601004001381</v>
      </c>
    </row>
    <row r="3790" spans="1:26" ht="12" customHeight="1" outlineLevel="3" x14ac:dyDescent="0.2">
      <c r="A3790" s="14" t="s">
        <v>7374</v>
      </c>
      <c r="B3790" s="26" t="s">
        <v>7375</v>
      </c>
      <c r="C3790" s="52"/>
      <c r="D3790" s="55">
        <f t="shared" si="59"/>
        <v>0</v>
      </c>
      <c r="E3790" s="63" t="str">
        <f>HYPERLINK("https://www.sds-group.ru/product/avtotester-universalnyy-rexant-16-0101/", "Инфо")</f>
        <v>Инфо</v>
      </c>
      <c r="F3790" s="16" t="s">
        <v>39</v>
      </c>
      <c r="G3790" s="15"/>
      <c r="H3790" s="15"/>
      <c r="I3790" s="15"/>
      <c r="J3790" s="22">
        <v>5754</v>
      </c>
      <c r="K3790" s="15" t="s">
        <v>6174</v>
      </c>
      <c r="L3790" s="17">
        <v>10</v>
      </c>
      <c r="M3790" s="17">
        <v>500</v>
      </c>
      <c r="N3790" s="17">
        <v>10</v>
      </c>
      <c r="O3790" s="18">
        <v>107.8</v>
      </c>
      <c r="P3790" s="18">
        <v>88.36</v>
      </c>
      <c r="Q3790" s="18">
        <v>91.63</v>
      </c>
      <c r="R3790" s="18">
        <v>75.11</v>
      </c>
      <c r="S3790" s="18">
        <v>73.3</v>
      </c>
      <c r="T3790" s="18">
        <v>60.08</v>
      </c>
      <c r="U3790" s="16"/>
      <c r="V3790" s="16"/>
      <c r="W3790" s="16" t="s">
        <v>40</v>
      </c>
      <c r="X3790" s="19">
        <v>1.9E-2</v>
      </c>
      <c r="Y3790" s="20">
        <v>5.7000000000000003E-5</v>
      </c>
      <c r="Z3790" s="21">
        <v>4601004005822</v>
      </c>
    </row>
    <row r="3791" spans="1:26" ht="12" customHeight="1" outlineLevel="3" x14ac:dyDescent="0.2">
      <c r="A3791" s="14" t="s">
        <v>7376</v>
      </c>
      <c r="B3791" s="26" t="s">
        <v>7377</v>
      </c>
      <c r="C3791" s="52"/>
      <c r="D3791" s="55">
        <f t="shared" si="59"/>
        <v>0</v>
      </c>
      <c r="E3791" s="63" t="str">
        <f>HYPERLINK("https://www.sds-group.ru/product/avtotester-universalnyy-chernyy-igla-rexant-16-0102-1/", "Инфо")</f>
        <v>Инфо</v>
      </c>
      <c r="F3791" s="16" t="s">
        <v>39</v>
      </c>
      <c r="G3791" s="15"/>
      <c r="H3791" s="15"/>
      <c r="I3791" s="15"/>
      <c r="J3791" s="22">
        <v>76194</v>
      </c>
      <c r="K3791" s="15" t="s">
        <v>6174</v>
      </c>
      <c r="L3791" s="17">
        <v>10</v>
      </c>
      <c r="M3791" s="17">
        <v>500</v>
      </c>
      <c r="N3791" s="17">
        <v>10</v>
      </c>
      <c r="O3791" s="18">
        <v>215.6</v>
      </c>
      <c r="P3791" s="18">
        <v>176.72</v>
      </c>
      <c r="Q3791" s="18">
        <v>172.48</v>
      </c>
      <c r="R3791" s="18">
        <v>141.38</v>
      </c>
      <c r="S3791" s="18">
        <v>146.61000000000001</v>
      </c>
      <c r="T3791" s="18">
        <v>120.17</v>
      </c>
      <c r="U3791" s="16"/>
      <c r="V3791" s="16"/>
      <c r="W3791" s="16" t="s">
        <v>40</v>
      </c>
      <c r="X3791" s="19">
        <v>3.5000000000000003E-2</v>
      </c>
      <c r="Y3791" s="20">
        <v>1.3999999999999999E-4</v>
      </c>
      <c r="Z3791" s="21">
        <v>4601004009998</v>
      </c>
    </row>
    <row r="3792" spans="1:26" ht="12" customHeight="1" outlineLevel="3" x14ac:dyDescent="0.2">
      <c r="A3792" s="14" t="s">
        <v>7378</v>
      </c>
      <c r="B3792" s="26" t="s">
        <v>7379</v>
      </c>
      <c r="C3792" s="52"/>
      <c r="D3792" s="55">
        <f t="shared" si="59"/>
        <v>0</v>
      </c>
      <c r="E3792" s="63" t="str">
        <f>HYPERLINK("https://www.sds-group.ru/product/avtotester-universalnyy-so-zvukovoy-i-svetovoy-indikatsiey-6-24-v-rexant-16-0102/", "Инфо")</f>
        <v>Инфо</v>
      </c>
      <c r="F3792" s="16" t="s">
        <v>39</v>
      </c>
      <c r="G3792" s="15"/>
      <c r="H3792" s="15"/>
      <c r="I3792" s="15"/>
      <c r="J3792" s="22">
        <v>135247</v>
      </c>
      <c r="K3792" s="15" t="s">
        <v>6174</v>
      </c>
      <c r="L3792" s="17">
        <v>10</v>
      </c>
      <c r="M3792" s="17">
        <v>500</v>
      </c>
      <c r="N3792" s="17">
        <v>10</v>
      </c>
      <c r="O3792" s="18">
        <v>194.04</v>
      </c>
      <c r="P3792" s="18">
        <v>159.05000000000001</v>
      </c>
      <c r="Q3792" s="18">
        <v>155.22999999999999</v>
      </c>
      <c r="R3792" s="18">
        <v>127.24</v>
      </c>
      <c r="S3792" s="18">
        <v>131.94999999999999</v>
      </c>
      <c r="T3792" s="18">
        <v>108.16</v>
      </c>
      <c r="U3792" s="16"/>
      <c r="V3792" s="16"/>
      <c r="W3792" s="16" t="s">
        <v>40</v>
      </c>
      <c r="X3792" s="19">
        <v>3.5999999999999997E-2</v>
      </c>
      <c r="Y3792" s="20">
        <v>1.34E-4</v>
      </c>
      <c r="Z3792" s="21">
        <v>4660008017811</v>
      </c>
    </row>
    <row r="3793" spans="1:26" ht="12" customHeight="1" outlineLevel="3" x14ac:dyDescent="0.2">
      <c r="A3793" s="32" t="s">
        <v>7380</v>
      </c>
      <c r="B3793" s="74" t="s">
        <v>7381</v>
      </c>
      <c r="C3793" s="50"/>
      <c r="D3793" s="53">
        <f t="shared" si="59"/>
        <v>0</v>
      </c>
      <c r="E3793" s="60" t="str">
        <f>HYPERLINK("https://www.sds-group.ru/product/tolschinomer-lakokrasochnyh-pokrytiy-uni-t-ut343d-13-1098/", "Инфо")</f>
        <v>Инфо</v>
      </c>
      <c r="F3793" s="34" t="s">
        <v>39</v>
      </c>
      <c r="G3793" s="33"/>
      <c r="H3793" s="33" t="s">
        <v>40</v>
      </c>
      <c r="I3793" s="33"/>
      <c r="J3793" s="35">
        <v>12</v>
      </c>
      <c r="K3793" s="33"/>
      <c r="L3793" s="35">
        <v>1</v>
      </c>
      <c r="M3793" s="35">
        <v>10</v>
      </c>
      <c r="N3793" s="35">
        <v>1</v>
      </c>
      <c r="O3793" s="36">
        <v>17776.55</v>
      </c>
      <c r="P3793" s="36">
        <v>14570.94</v>
      </c>
      <c r="Q3793" s="36">
        <v>12443.59</v>
      </c>
      <c r="R3793" s="36">
        <v>10199.66</v>
      </c>
      <c r="S3793" s="36">
        <v>12088.05</v>
      </c>
      <c r="T3793" s="36">
        <v>9908.24</v>
      </c>
      <c r="U3793" s="34"/>
      <c r="V3793" s="34"/>
      <c r="W3793" s="34"/>
      <c r="X3793" s="37">
        <v>0.56699999999999995</v>
      </c>
      <c r="Y3793" s="38">
        <v>3.9240000000000004E-3</v>
      </c>
      <c r="Z3793" s="21">
        <v>4601004290211</v>
      </c>
    </row>
    <row r="3794" spans="1:26" ht="12.95" customHeight="1" outlineLevel="2" x14ac:dyDescent="0.2">
      <c r="A3794" s="76" t="s">
        <v>7382</v>
      </c>
      <c r="B3794" s="76"/>
      <c r="C3794" s="77"/>
      <c r="D3794" s="58"/>
      <c r="E3794" s="68"/>
      <c r="F3794" s="13"/>
      <c r="G3794" s="13"/>
      <c r="H3794" s="13"/>
      <c r="I3794" s="13"/>
      <c r="J3794" s="13"/>
      <c r="K3794" s="13"/>
      <c r="L3794" s="13"/>
      <c r="M3794" s="13"/>
      <c r="N3794" s="13"/>
      <c r="O3794" s="13"/>
      <c r="P3794" s="13"/>
      <c r="Q3794" s="13"/>
      <c r="R3794" s="13"/>
      <c r="S3794" s="13"/>
      <c r="T3794" s="13"/>
      <c r="U3794" s="13"/>
      <c r="V3794" s="13"/>
      <c r="W3794" s="13"/>
      <c r="X3794" s="13"/>
      <c r="Y3794" s="13"/>
      <c r="Z3794" s="13"/>
    </row>
    <row r="3795" spans="1:26" ht="12" customHeight="1" outlineLevel="3" x14ac:dyDescent="0.2">
      <c r="A3795" s="32" t="s">
        <v>7383</v>
      </c>
      <c r="B3795" s="74" t="s">
        <v>7384</v>
      </c>
      <c r="C3795" s="50"/>
      <c r="D3795" s="53">
        <f t="shared" si="59"/>
        <v>0</v>
      </c>
      <c r="E3795" s="60" t="str">
        <f>HYPERLINK("https://www.sds-group.ru/product/detektor-posledovatelnosti-faz-ms5900-mastech-13-1251/", "Инфо")</f>
        <v>Инфо</v>
      </c>
      <c r="F3795" s="34" t="s">
        <v>39</v>
      </c>
      <c r="G3795" s="33"/>
      <c r="H3795" s="33" t="s">
        <v>40</v>
      </c>
      <c r="I3795" s="33"/>
      <c r="J3795" s="35">
        <v>116</v>
      </c>
      <c r="K3795" s="33" t="s">
        <v>1004</v>
      </c>
      <c r="L3795" s="35">
        <v>1</v>
      </c>
      <c r="M3795" s="35">
        <v>20</v>
      </c>
      <c r="N3795" s="35">
        <v>1</v>
      </c>
      <c r="O3795" s="36">
        <v>6468.12</v>
      </c>
      <c r="P3795" s="36">
        <v>5301.74</v>
      </c>
      <c r="Q3795" s="36">
        <v>4527.68</v>
      </c>
      <c r="R3795" s="36">
        <v>3711.21</v>
      </c>
      <c r="S3795" s="36">
        <v>4398.32</v>
      </c>
      <c r="T3795" s="36">
        <v>3605.18</v>
      </c>
      <c r="U3795" s="34"/>
      <c r="V3795" s="34"/>
      <c r="W3795" s="34"/>
      <c r="X3795" s="37">
        <v>0.60199999999999998</v>
      </c>
      <c r="Y3795" s="38">
        <v>3.13E-3</v>
      </c>
      <c r="Z3795" s="21">
        <v>4601004058057</v>
      </c>
    </row>
    <row r="3796" spans="1:26" ht="12" customHeight="1" outlineLevel="3" x14ac:dyDescent="0.2">
      <c r="A3796" s="32" t="s">
        <v>7385</v>
      </c>
      <c r="B3796" s="74" t="s">
        <v>7386</v>
      </c>
      <c r="C3796" s="50"/>
      <c r="D3796" s="53">
        <f t="shared" si="59"/>
        <v>0</v>
      </c>
      <c r="E3796" s="60" t="str">
        <f>HYPERLINK("https://www.sds-group.ru/product/detektor-posledovatelnosti-faz-uni-t-ut261b-13-1124/", "Инфо")</f>
        <v>Инфо</v>
      </c>
      <c r="F3796" s="34" t="s">
        <v>39</v>
      </c>
      <c r="G3796" s="33"/>
      <c r="H3796" s="33" t="s">
        <v>40</v>
      </c>
      <c r="I3796" s="33"/>
      <c r="J3796" s="35">
        <v>7</v>
      </c>
      <c r="K3796" s="33" t="s">
        <v>7336</v>
      </c>
      <c r="L3796" s="35">
        <v>1</v>
      </c>
      <c r="M3796" s="35">
        <v>20</v>
      </c>
      <c r="N3796" s="35">
        <v>1</v>
      </c>
      <c r="O3796" s="36">
        <v>10672.4</v>
      </c>
      <c r="P3796" s="36">
        <v>8747.8700000000008</v>
      </c>
      <c r="Q3796" s="36">
        <v>7470.68</v>
      </c>
      <c r="R3796" s="36">
        <v>6123.51</v>
      </c>
      <c r="S3796" s="36">
        <v>7257.23</v>
      </c>
      <c r="T3796" s="36">
        <v>5948.55</v>
      </c>
      <c r="U3796" s="34"/>
      <c r="V3796" s="34"/>
      <c r="W3796" s="34"/>
      <c r="X3796" s="37">
        <v>0.51500000000000001</v>
      </c>
      <c r="Y3796" s="38">
        <v>2.4729999999999999E-3</v>
      </c>
      <c r="Z3796" s="21">
        <v>4601004289918</v>
      </c>
    </row>
    <row r="3797" spans="1:26" ht="12" customHeight="1" outlineLevel="3" x14ac:dyDescent="0.2">
      <c r="A3797" s="32" t="s">
        <v>7387</v>
      </c>
      <c r="B3797" s="74" t="s">
        <v>7388</v>
      </c>
      <c r="C3797" s="50"/>
      <c r="D3797" s="53">
        <f t="shared" si="59"/>
        <v>0</v>
      </c>
      <c r="E3797" s="60" t="str">
        <f>HYPERLINK("https://www.sds-group.ru/product/indikator-napryazheniya-ms8922a-mastech-13-1204/", "Инфо")</f>
        <v>Инфо</v>
      </c>
      <c r="F3797" s="34" t="s">
        <v>39</v>
      </c>
      <c r="G3797" s="33"/>
      <c r="H3797" s="33" t="s">
        <v>40</v>
      </c>
      <c r="I3797" s="33"/>
      <c r="J3797" s="39">
        <v>2318</v>
      </c>
      <c r="K3797" s="33"/>
      <c r="L3797" s="35">
        <v>1</v>
      </c>
      <c r="M3797" s="35">
        <v>20</v>
      </c>
      <c r="N3797" s="35">
        <v>1</v>
      </c>
      <c r="O3797" s="36">
        <v>2371.64</v>
      </c>
      <c r="P3797" s="36">
        <v>1943.97</v>
      </c>
      <c r="Q3797" s="36">
        <v>1660.15</v>
      </c>
      <c r="R3797" s="36">
        <v>1360.78</v>
      </c>
      <c r="S3797" s="36">
        <v>1612.72</v>
      </c>
      <c r="T3797" s="36">
        <v>1321.9</v>
      </c>
      <c r="U3797" s="34"/>
      <c r="V3797" s="34"/>
      <c r="W3797" s="34"/>
      <c r="X3797" s="37">
        <v>0.19900000000000001</v>
      </c>
      <c r="Y3797" s="38">
        <v>1.642E-3</v>
      </c>
      <c r="Z3797" s="21">
        <v>4601004075443</v>
      </c>
    </row>
    <row r="3798" spans="1:26" ht="12" customHeight="1" outlineLevel="3" x14ac:dyDescent="0.2">
      <c r="A3798" s="32" t="s">
        <v>7389</v>
      </c>
      <c r="B3798" s="74" t="s">
        <v>7390</v>
      </c>
      <c r="C3798" s="50"/>
      <c r="D3798" s="53">
        <f t="shared" si="59"/>
        <v>0</v>
      </c>
      <c r="E3798" s="60" t="str">
        <f>HYPERLINK("https://www.sds-group.ru/product/indikator-napryazheniya-uni-t-ut15c-13-1018/", "Инфо")</f>
        <v>Инфо</v>
      </c>
      <c r="F3798" s="34" t="s">
        <v>39</v>
      </c>
      <c r="G3798" s="33"/>
      <c r="H3798" s="33" t="s">
        <v>40</v>
      </c>
      <c r="I3798" s="33"/>
      <c r="J3798" s="35">
        <v>688</v>
      </c>
      <c r="K3798" s="33" t="s">
        <v>7336</v>
      </c>
      <c r="L3798" s="35">
        <v>1</v>
      </c>
      <c r="M3798" s="35">
        <v>30</v>
      </c>
      <c r="N3798" s="35">
        <v>1</v>
      </c>
      <c r="O3798" s="36">
        <v>6198.62</v>
      </c>
      <c r="P3798" s="36">
        <v>5080.84</v>
      </c>
      <c r="Q3798" s="36">
        <v>4339.03</v>
      </c>
      <c r="R3798" s="36">
        <v>3556.58</v>
      </c>
      <c r="S3798" s="36">
        <v>4215.0600000000004</v>
      </c>
      <c r="T3798" s="36">
        <v>3454.97</v>
      </c>
      <c r="U3798" s="34"/>
      <c r="V3798" s="34"/>
      <c r="W3798" s="34"/>
      <c r="X3798" s="37">
        <v>0.36199999999999999</v>
      </c>
      <c r="Y3798" s="38">
        <v>3.4999999999999997E-5</v>
      </c>
      <c r="Z3798" s="21">
        <v>4601004050082</v>
      </c>
    </row>
    <row r="3799" spans="1:26" ht="12" customHeight="1" outlineLevel="3" x14ac:dyDescent="0.2">
      <c r="A3799" s="32" t="s">
        <v>7391</v>
      </c>
      <c r="B3799" s="74" t="s">
        <v>7392</v>
      </c>
      <c r="C3799" s="50"/>
      <c r="D3799" s="53">
        <f t="shared" si="59"/>
        <v>0</v>
      </c>
      <c r="E3799" s="60" t="str">
        <f>HYPERLINK("https://www.sds-group.ru/product/indikator-napryazheniya-uni-t-ut18s-13-1041/", "Инфо")</f>
        <v>Инфо</v>
      </c>
      <c r="F3799" s="34" t="s">
        <v>39</v>
      </c>
      <c r="G3799" s="33"/>
      <c r="H3799" s="33" t="s">
        <v>40</v>
      </c>
      <c r="I3799" s="33"/>
      <c r="J3799" s="35">
        <v>13</v>
      </c>
      <c r="K3799" s="33" t="s">
        <v>1587</v>
      </c>
      <c r="L3799" s="35">
        <v>1</v>
      </c>
      <c r="M3799" s="35">
        <v>20</v>
      </c>
      <c r="N3799" s="35">
        <v>1</v>
      </c>
      <c r="O3799" s="36">
        <v>7761.74</v>
      </c>
      <c r="P3799" s="36">
        <v>6362.08</v>
      </c>
      <c r="Q3799" s="36">
        <v>5433.22</v>
      </c>
      <c r="R3799" s="36">
        <v>4453.46</v>
      </c>
      <c r="S3799" s="36">
        <v>5277.98</v>
      </c>
      <c r="T3799" s="36">
        <v>4326.21</v>
      </c>
      <c r="U3799" s="34"/>
      <c r="V3799" s="34"/>
      <c r="W3799" s="34"/>
      <c r="X3799" s="37">
        <v>0.46700000000000003</v>
      </c>
      <c r="Y3799" s="38">
        <v>3.0240000000000002E-3</v>
      </c>
      <c r="Z3799" s="21">
        <v>4601004289666</v>
      </c>
    </row>
    <row r="3800" spans="1:26" ht="12" customHeight="1" outlineLevel="3" x14ac:dyDescent="0.2">
      <c r="A3800" s="32" t="s">
        <v>7393</v>
      </c>
      <c r="B3800" s="74" t="s">
        <v>7394</v>
      </c>
      <c r="C3800" s="50"/>
      <c r="D3800" s="53">
        <f t="shared" si="59"/>
        <v>0</v>
      </c>
      <c r="E3800" s="60" t="str">
        <f>HYPERLINK("https://www.sds-group.ru/product/indikator-napryazheniya-uni-t-ut22b-eu-13-1019/", "Инфо")</f>
        <v>Инфо</v>
      </c>
      <c r="F3800" s="34" t="s">
        <v>39</v>
      </c>
      <c r="G3800" s="33"/>
      <c r="H3800" s="33" t="s">
        <v>40</v>
      </c>
      <c r="I3800" s="33"/>
      <c r="J3800" s="35">
        <v>24</v>
      </c>
      <c r="K3800" s="33"/>
      <c r="L3800" s="35">
        <v>1</v>
      </c>
      <c r="M3800" s="35">
        <v>40</v>
      </c>
      <c r="N3800" s="35">
        <v>1</v>
      </c>
      <c r="O3800" s="36">
        <v>2263.84</v>
      </c>
      <c r="P3800" s="36">
        <v>1855.61</v>
      </c>
      <c r="Q3800" s="36">
        <v>1584.69</v>
      </c>
      <c r="R3800" s="36">
        <v>1298.93</v>
      </c>
      <c r="S3800" s="36">
        <v>1539.41</v>
      </c>
      <c r="T3800" s="36">
        <v>1261.81</v>
      </c>
      <c r="U3800" s="34"/>
      <c r="V3800" s="34"/>
      <c r="W3800" s="34"/>
      <c r="X3800" s="37">
        <v>0.21299999999999999</v>
      </c>
      <c r="Y3800" s="38">
        <v>1.289E-3</v>
      </c>
      <c r="Z3800" s="21">
        <v>4601004289895</v>
      </c>
    </row>
    <row r="3801" spans="1:26" ht="12" customHeight="1" outlineLevel="3" x14ac:dyDescent="0.2">
      <c r="A3801" s="14" t="s">
        <v>7395</v>
      </c>
      <c r="B3801" s="26" t="s">
        <v>7396</v>
      </c>
      <c r="C3801" s="52"/>
      <c r="D3801" s="55">
        <f t="shared" si="59"/>
        <v>0</v>
      </c>
      <c r="E3801" s="63" t="str">
        <f>HYPERLINK("https://www.sds-group.ru/product/indikator-napryazheniya-tsifrovoy-r-30-rexant-12-2050/", "Инфо")</f>
        <v>Инфо</v>
      </c>
      <c r="F3801" s="16" t="s">
        <v>39</v>
      </c>
      <c r="G3801" s="15"/>
      <c r="H3801" s="15"/>
      <c r="I3801" s="15"/>
      <c r="J3801" s="22">
        <v>1653</v>
      </c>
      <c r="K3801" s="15"/>
      <c r="L3801" s="17">
        <v>1</v>
      </c>
      <c r="M3801" s="17">
        <v>200</v>
      </c>
      <c r="N3801" s="17">
        <v>1</v>
      </c>
      <c r="O3801" s="18">
        <v>819.3</v>
      </c>
      <c r="P3801" s="18">
        <v>671.56</v>
      </c>
      <c r="Q3801" s="18">
        <v>696.41</v>
      </c>
      <c r="R3801" s="18">
        <v>570.83000000000004</v>
      </c>
      <c r="S3801" s="18">
        <v>557.12</v>
      </c>
      <c r="T3801" s="18">
        <v>456.66</v>
      </c>
      <c r="U3801" s="16"/>
      <c r="V3801" s="16"/>
      <c r="W3801" s="16" t="s">
        <v>40</v>
      </c>
      <c r="X3801" s="19">
        <v>5.8999999999999997E-2</v>
      </c>
      <c r="Y3801" s="20">
        <v>1.35E-4</v>
      </c>
      <c r="Z3801" s="21">
        <v>4601004295308</v>
      </c>
    </row>
    <row r="3802" spans="1:26" ht="24" customHeight="1" outlineLevel="3" x14ac:dyDescent="0.2">
      <c r="A3802" s="32" t="s">
        <v>7397</v>
      </c>
      <c r="B3802" s="74" t="s">
        <v>7398</v>
      </c>
      <c r="C3802" s="50"/>
      <c r="D3802" s="53">
        <f t="shared" si="59"/>
        <v>0</v>
      </c>
      <c r="E3802" s="60" t="str">
        <f>HYPERLINK("https://www.sds-group.ru/product/tester-rozetok-ms6860d-mastech-13-1260/", "Инфо")</f>
        <v>Инфо</v>
      </c>
      <c r="F3802" s="34" t="s">
        <v>39</v>
      </c>
      <c r="G3802" s="33"/>
      <c r="H3802" s="33" t="s">
        <v>40</v>
      </c>
      <c r="I3802" s="33"/>
      <c r="J3802" s="35">
        <v>175</v>
      </c>
      <c r="K3802" s="33"/>
      <c r="L3802" s="35">
        <v>1</v>
      </c>
      <c r="M3802" s="35">
        <v>40</v>
      </c>
      <c r="N3802" s="35">
        <v>1</v>
      </c>
      <c r="O3802" s="36">
        <v>1724.83</v>
      </c>
      <c r="P3802" s="36">
        <v>1413.8</v>
      </c>
      <c r="Q3802" s="36">
        <v>1207.3800000000001</v>
      </c>
      <c r="R3802" s="36">
        <v>989.66</v>
      </c>
      <c r="S3802" s="36">
        <v>1172.8800000000001</v>
      </c>
      <c r="T3802" s="36">
        <v>961.38</v>
      </c>
      <c r="U3802" s="34" t="s">
        <v>7341</v>
      </c>
      <c r="V3802" s="34" t="s">
        <v>7342</v>
      </c>
      <c r="W3802" s="34"/>
      <c r="X3802" s="37">
        <v>0.11</v>
      </c>
      <c r="Y3802" s="38">
        <v>7.7700000000000002E-4</v>
      </c>
      <c r="Z3802" s="21">
        <v>4601004075412</v>
      </c>
    </row>
    <row r="3803" spans="1:26" ht="12" customHeight="1" outlineLevel="3" x14ac:dyDescent="0.2">
      <c r="A3803" s="32" t="s">
        <v>7399</v>
      </c>
      <c r="B3803" s="74" t="s">
        <v>7400</v>
      </c>
      <c r="C3803" s="50"/>
      <c r="D3803" s="53">
        <f t="shared" si="59"/>
        <v>0</v>
      </c>
      <c r="E3803" s="60" t="str">
        <f>HYPERLINK("https://www.sds-group.ru/product/tester-rozetok-uni-t-ut07b-eu-13-1121/", "Инфо")</f>
        <v>Инфо</v>
      </c>
      <c r="F3803" s="34" t="s">
        <v>39</v>
      </c>
      <c r="G3803" s="33"/>
      <c r="H3803" s="33" t="s">
        <v>40</v>
      </c>
      <c r="I3803" s="33"/>
      <c r="J3803" s="35">
        <v>3</v>
      </c>
      <c r="K3803" s="33" t="s">
        <v>1587</v>
      </c>
      <c r="L3803" s="35">
        <v>1</v>
      </c>
      <c r="M3803" s="35">
        <v>48</v>
      </c>
      <c r="N3803" s="35">
        <v>1</v>
      </c>
      <c r="O3803" s="36">
        <v>1832.63</v>
      </c>
      <c r="P3803" s="36">
        <v>1502.16</v>
      </c>
      <c r="Q3803" s="36">
        <v>1282.8399999999999</v>
      </c>
      <c r="R3803" s="36">
        <v>1051.51</v>
      </c>
      <c r="S3803" s="36">
        <v>1246.19</v>
      </c>
      <c r="T3803" s="36">
        <v>1021.47</v>
      </c>
      <c r="U3803" s="34"/>
      <c r="V3803" s="34"/>
      <c r="W3803" s="34"/>
      <c r="X3803" s="37">
        <v>0.128</v>
      </c>
      <c r="Y3803" s="38">
        <v>1.0629999999999999E-3</v>
      </c>
      <c r="Z3803" s="21">
        <v>4601004289697</v>
      </c>
    </row>
    <row r="3804" spans="1:26" ht="12" customHeight="1" outlineLevel="3" x14ac:dyDescent="0.2">
      <c r="A3804" s="32" t="s">
        <v>7401</v>
      </c>
      <c r="B3804" s="74" t="s">
        <v>7402</v>
      </c>
      <c r="C3804" s="50"/>
      <c r="D3804" s="53">
        <f t="shared" si="59"/>
        <v>0</v>
      </c>
      <c r="E3804" s="60" t="str">
        <f>HYPERLINK("https://www.sds-group.ru/product/tester-rozetok-detektor-avtomatov-ms5902rtd-mastech-13-1262/", "Инфо")</f>
        <v>Инфо</v>
      </c>
      <c r="F3804" s="34" t="s">
        <v>39</v>
      </c>
      <c r="G3804" s="33"/>
      <c r="H3804" s="33" t="s">
        <v>40</v>
      </c>
      <c r="I3804" s="33"/>
      <c r="J3804" s="35">
        <v>249</v>
      </c>
      <c r="K3804" s="33" t="s">
        <v>1126</v>
      </c>
      <c r="L3804" s="35">
        <v>1</v>
      </c>
      <c r="M3804" s="35">
        <v>20</v>
      </c>
      <c r="N3804" s="35">
        <v>1</v>
      </c>
      <c r="O3804" s="36">
        <v>6360.32</v>
      </c>
      <c r="P3804" s="36">
        <v>5213.38</v>
      </c>
      <c r="Q3804" s="36">
        <v>4452.22</v>
      </c>
      <c r="R3804" s="36">
        <v>3649.36</v>
      </c>
      <c r="S3804" s="36">
        <v>4325.0200000000004</v>
      </c>
      <c r="T3804" s="36">
        <v>3545.1</v>
      </c>
      <c r="U3804" s="34"/>
      <c r="V3804" s="34"/>
      <c r="W3804" s="34"/>
      <c r="X3804" s="37">
        <v>0.42099999999999999</v>
      </c>
      <c r="Y3804" s="38">
        <v>2.6199999999999999E-3</v>
      </c>
      <c r="Z3804" s="21">
        <v>4601004195691</v>
      </c>
    </row>
    <row r="3805" spans="1:26" ht="12" customHeight="1" outlineLevel="3" x14ac:dyDescent="0.2">
      <c r="A3805" s="32" t="s">
        <v>7403</v>
      </c>
      <c r="B3805" s="74" t="s">
        <v>7404</v>
      </c>
      <c r="C3805" s="50"/>
      <c r="D3805" s="53">
        <f t="shared" si="59"/>
        <v>0</v>
      </c>
      <c r="E3805" s="60" t="str">
        <f>HYPERLINK("https://www.sds-group.ru/product/tester-rozetok-detektor-avtomatov-ms5905rtd-mastech-13-1265/", "Инфо")</f>
        <v>Инфо</v>
      </c>
      <c r="F3805" s="34" t="s">
        <v>39</v>
      </c>
      <c r="G3805" s="33"/>
      <c r="H3805" s="33" t="s">
        <v>40</v>
      </c>
      <c r="I3805" s="33"/>
      <c r="J3805" s="35">
        <v>62</v>
      </c>
      <c r="K3805" s="33"/>
      <c r="L3805" s="35">
        <v>1</v>
      </c>
      <c r="M3805" s="35">
        <v>20</v>
      </c>
      <c r="N3805" s="35">
        <v>1</v>
      </c>
      <c r="O3805" s="36">
        <v>7546.14</v>
      </c>
      <c r="P3805" s="36">
        <v>6185.36</v>
      </c>
      <c r="Q3805" s="36">
        <v>5282.3</v>
      </c>
      <c r="R3805" s="36">
        <v>4329.75</v>
      </c>
      <c r="S3805" s="36">
        <v>5131.38</v>
      </c>
      <c r="T3805" s="36">
        <v>4206.05</v>
      </c>
      <c r="U3805" s="34"/>
      <c r="V3805" s="34"/>
      <c r="W3805" s="34"/>
      <c r="X3805" s="37">
        <v>0.379</v>
      </c>
      <c r="Y3805" s="38">
        <v>2.6700000000000001E-3</v>
      </c>
      <c r="Z3805" s="21">
        <v>4601004195707</v>
      </c>
    </row>
    <row r="3806" spans="1:26" ht="24" customHeight="1" outlineLevel="3" x14ac:dyDescent="0.2">
      <c r="A3806" s="32" t="s">
        <v>7405</v>
      </c>
      <c r="B3806" s="74" t="s">
        <v>7406</v>
      </c>
      <c r="C3806" s="50"/>
      <c r="D3806" s="53">
        <f t="shared" si="59"/>
        <v>0</v>
      </c>
      <c r="E3806" s="60" t="str">
        <f>HYPERLINK("https://www.sds-group.ru/product/tester-probnik-ms8902a-mastech-13-1202/", "Инфо")</f>
        <v>Инфо</v>
      </c>
      <c r="F3806" s="34" t="s">
        <v>39</v>
      </c>
      <c r="G3806" s="33"/>
      <c r="H3806" s="33" t="s">
        <v>40</v>
      </c>
      <c r="I3806" s="33"/>
      <c r="J3806" s="35">
        <v>299</v>
      </c>
      <c r="K3806" s="33"/>
      <c r="L3806" s="35">
        <v>1</v>
      </c>
      <c r="M3806" s="35">
        <v>40</v>
      </c>
      <c r="N3806" s="35">
        <v>1</v>
      </c>
      <c r="O3806" s="36">
        <v>2371.64</v>
      </c>
      <c r="P3806" s="36">
        <v>1943.97</v>
      </c>
      <c r="Q3806" s="36">
        <v>1660.15</v>
      </c>
      <c r="R3806" s="36">
        <v>1360.78</v>
      </c>
      <c r="S3806" s="36">
        <v>1612.72</v>
      </c>
      <c r="T3806" s="36">
        <v>1321.9</v>
      </c>
      <c r="U3806" s="34" t="s">
        <v>7341</v>
      </c>
      <c r="V3806" s="34" t="s">
        <v>7342</v>
      </c>
      <c r="W3806" s="34"/>
      <c r="X3806" s="37">
        <v>9.7000000000000003E-2</v>
      </c>
      <c r="Y3806" s="38">
        <v>7.8799999999999996E-4</v>
      </c>
      <c r="Z3806" s="21">
        <v>4601004195684</v>
      </c>
    </row>
    <row r="3807" spans="1:26" ht="12" customHeight="1" outlineLevel="3" x14ac:dyDescent="0.2">
      <c r="A3807" s="14" t="s">
        <v>7407</v>
      </c>
      <c r="B3807" s="26" t="s">
        <v>7408</v>
      </c>
      <c r="C3807" s="52"/>
      <c r="D3807" s="55">
        <f t="shared" si="59"/>
        <v>0</v>
      </c>
      <c r="E3807" s="63" t="str">
        <f>HYPERLINK("https://www.sds-group.ru/product/tester-probnik-p-01-140-mm-proconnect-12-2031/", "Инфо")</f>
        <v>Инфо</v>
      </c>
      <c r="F3807" s="16" t="s">
        <v>39</v>
      </c>
      <c r="G3807" s="15"/>
      <c r="H3807" s="15"/>
      <c r="I3807" s="15"/>
      <c r="J3807" s="22">
        <v>24937</v>
      </c>
      <c r="K3807" s="15" t="s">
        <v>6174</v>
      </c>
      <c r="L3807" s="17">
        <v>20</v>
      </c>
      <c r="M3807" s="17">
        <v>960</v>
      </c>
      <c r="N3807" s="17">
        <v>20</v>
      </c>
      <c r="O3807" s="18">
        <v>51.21</v>
      </c>
      <c r="P3807" s="18">
        <v>41.98</v>
      </c>
      <c r="Q3807" s="18">
        <v>43.53</v>
      </c>
      <c r="R3807" s="18">
        <v>35.68</v>
      </c>
      <c r="S3807" s="18">
        <v>34.82</v>
      </c>
      <c r="T3807" s="18">
        <v>28.54</v>
      </c>
      <c r="U3807" s="16"/>
      <c r="V3807" s="16"/>
      <c r="W3807" s="16" t="s">
        <v>40</v>
      </c>
      <c r="X3807" s="19">
        <v>2.1000000000000001E-2</v>
      </c>
      <c r="Y3807" s="20">
        <v>5.8E-5</v>
      </c>
      <c r="Z3807" s="21">
        <v>4601004100046</v>
      </c>
    </row>
    <row r="3808" spans="1:26" ht="12" customHeight="1" outlineLevel="3" x14ac:dyDescent="0.2">
      <c r="A3808" s="14" t="s">
        <v>7409</v>
      </c>
      <c r="B3808" s="26" t="s">
        <v>7410</v>
      </c>
      <c r="C3808" s="52"/>
      <c r="D3808" s="55">
        <f t="shared" si="59"/>
        <v>0</v>
      </c>
      <c r="E3808" s="63" t="str">
        <f>HYPERLINK("https://www.sds-group.ru/product/tester-probnik-p-02-190-mm-proconnect-12-2032/", "Инфо")</f>
        <v>Инфо</v>
      </c>
      <c r="F3808" s="16" t="s">
        <v>39</v>
      </c>
      <c r="G3808" s="15"/>
      <c r="H3808" s="15"/>
      <c r="I3808" s="15"/>
      <c r="J3808" s="22">
        <v>10198</v>
      </c>
      <c r="K3808" s="15" t="s">
        <v>6174</v>
      </c>
      <c r="L3808" s="17">
        <v>20</v>
      </c>
      <c r="M3808" s="17">
        <v>600</v>
      </c>
      <c r="N3808" s="17">
        <v>20</v>
      </c>
      <c r="O3808" s="18">
        <v>75.459999999999994</v>
      </c>
      <c r="P3808" s="18">
        <v>61.85</v>
      </c>
      <c r="Q3808" s="18">
        <v>64.14</v>
      </c>
      <c r="R3808" s="18">
        <v>52.57</v>
      </c>
      <c r="S3808" s="18">
        <v>51.31</v>
      </c>
      <c r="T3808" s="18">
        <v>42.06</v>
      </c>
      <c r="U3808" s="16"/>
      <c r="V3808" s="16"/>
      <c r="W3808" s="16" t="s">
        <v>40</v>
      </c>
      <c r="X3808" s="19">
        <v>0.03</v>
      </c>
      <c r="Y3808" s="20">
        <v>5.7000000000000003E-5</v>
      </c>
      <c r="Z3808" s="21">
        <v>4601004100039</v>
      </c>
    </row>
    <row r="3809" spans="1:26" ht="12" customHeight="1" outlineLevel="3" x14ac:dyDescent="0.2">
      <c r="A3809" s="14" t="s">
        <v>7411</v>
      </c>
      <c r="B3809" s="26" t="s">
        <v>7412</v>
      </c>
      <c r="C3809" s="52"/>
      <c r="D3809" s="55">
        <f t="shared" si="59"/>
        <v>0</v>
      </c>
      <c r="E3809" s="63" t="str">
        <f>HYPERLINK("https://www.sds-group.ru/product/tester-probnik-r-15-190-mm-rexant-12-2033/", "Инфо")</f>
        <v>Инфо</v>
      </c>
      <c r="F3809" s="16" t="s">
        <v>39</v>
      </c>
      <c r="G3809" s="15"/>
      <c r="H3809" s="15"/>
      <c r="I3809" s="15"/>
      <c r="J3809" s="22">
        <v>2024</v>
      </c>
      <c r="K3809" s="15"/>
      <c r="L3809" s="17">
        <v>8</v>
      </c>
      <c r="M3809" s="17">
        <v>160</v>
      </c>
      <c r="N3809" s="17">
        <v>8</v>
      </c>
      <c r="O3809" s="18">
        <v>237.16</v>
      </c>
      <c r="P3809" s="18">
        <v>194.39</v>
      </c>
      <c r="Q3809" s="18">
        <v>201.59</v>
      </c>
      <c r="R3809" s="18">
        <v>165.24</v>
      </c>
      <c r="S3809" s="18">
        <v>161.27000000000001</v>
      </c>
      <c r="T3809" s="18">
        <v>132.19</v>
      </c>
      <c r="U3809" s="16"/>
      <c r="V3809" s="16"/>
      <c r="W3809" s="16" t="s">
        <v>40</v>
      </c>
      <c r="X3809" s="19">
        <v>0.06</v>
      </c>
      <c r="Y3809" s="20">
        <v>3.68E-4</v>
      </c>
      <c r="Z3809" s="21">
        <v>4601004069909</v>
      </c>
    </row>
    <row r="3810" spans="1:26" ht="12" customHeight="1" outlineLevel="3" x14ac:dyDescent="0.2">
      <c r="A3810" s="14" t="s">
        <v>7413</v>
      </c>
      <c r="B3810" s="26" t="s">
        <v>7414</v>
      </c>
      <c r="C3810" s="52"/>
      <c r="D3810" s="55">
        <f t="shared" si="59"/>
        <v>0</v>
      </c>
      <c r="E3810" s="63" t="str">
        <f>HYPERLINK("https://www.sds-group.ru/product/tester-probnik-r-18-rexant-12-2036/", "Инфо")</f>
        <v>Инфо</v>
      </c>
      <c r="F3810" s="16" t="s">
        <v>39</v>
      </c>
      <c r="G3810" s="15"/>
      <c r="H3810" s="15"/>
      <c r="I3810" s="15"/>
      <c r="J3810" s="16" t="s">
        <v>100</v>
      </c>
      <c r="K3810" s="15" t="s">
        <v>6174</v>
      </c>
      <c r="L3810" s="17">
        <v>10</v>
      </c>
      <c r="M3810" s="17">
        <v>250</v>
      </c>
      <c r="N3810" s="17">
        <v>10</v>
      </c>
      <c r="O3810" s="18">
        <v>210.22</v>
      </c>
      <c r="P3810" s="18">
        <v>172.31</v>
      </c>
      <c r="Q3810" s="18">
        <v>178.69</v>
      </c>
      <c r="R3810" s="18">
        <v>146.47</v>
      </c>
      <c r="S3810" s="18">
        <v>142.94999999999999</v>
      </c>
      <c r="T3810" s="18">
        <v>117.17</v>
      </c>
      <c r="U3810" s="16"/>
      <c r="V3810" s="16"/>
      <c r="W3810" s="16" t="s">
        <v>40</v>
      </c>
      <c r="X3810" s="19">
        <v>4.7E-2</v>
      </c>
      <c r="Y3810" s="20">
        <v>3.0200000000000002E-4</v>
      </c>
      <c r="Z3810" s="21">
        <v>4601004069893</v>
      </c>
    </row>
    <row r="3811" spans="1:26" ht="12" customHeight="1" outlineLevel="3" x14ac:dyDescent="0.2">
      <c r="A3811" s="14" t="s">
        <v>7415</v>
      </c>
      <c r="B3811" s="26" t="s">
        <v>7416</v>
      </c>
      <c r="C3811" s="52"/>
      <c r="D3811" s="55">
        <f t="shared" si="59"/>
        <v>0</v>
      </c>
      <c r="E3811" s="63" t="str">
        <f>HYPERLINK("https://www.sds-group.ru/product/tester-probnik-r-20-rexant-12-2038/", "Инфо")</f>
        <v>Инфо</v>
      </c>
      <c r="F3811" s="16" t="s">
        <v>39</v>
      </c>
      <c r="G3811" s="15"/>
      <c r="H3811" s="15"/>
      <c r="I3811" s="15"/>
      <c r="J3811" s="17">
        <v>94</v>
      </c>
      <c r="K3811" s="15" t="s">
        <v>940</v>
      </c>
      <c r="L3811" s="17">
        <v>5</v>
      </c>
      <c r="M3811" s="17">
        <v>200</v>
      </c>
      <c r="N3811" s="17">
        <v>5</v>
      </c>
      <c r="O3811" s="18">
        <v>539.01</v>
      </c>
      <c r="P3811" s="18">
        <v>441.81</v>
      </c>
      <c r="Q3811" s="18">
        <v>458.16</v>
      </c>
      <c r="R3811" s="18">
        <v>375.54</v>
      </c>
      <c r="S3811" s="18">
        <v>366.53</v>
      </c>
      <c r="T3811" s="18">
        <v>300.43</v>
      </c>
      <c r="U3811" s="16"/>
      <c r="V3811" s="16"/>
      <c r="W3811" s="16" t="s">
        <v>40</v>
      </c>
      <c r="X3811" s="19">
        <v>6.5000000000000002E-2</v>
      </c>
      <c r="Y3811" s="20">
        <v>2.2900000000000001E-4</v>
      </c>
      <c r="Z3811" s="21">
        <v>4601004295285</v>
      </c>
    </row>
    <row r="3812" spans="1:26" ht="12" customHeight="1" outlineLevel="3" x14ac:dyDescent="0.2">
      <c r="A3812" s="14" t="s">
        <v>7417</v>
      </c>
      <c r="B3812" s="26" t="s">
        <v>7418</v>
      </c>
      <c r="C3812" s="52"/>
      <c r="D3812" s="55">
        <f t="shared" si="59"/>
        <v>0</v>
      </c>
      <c r="E3812" s="63" t="str">
        <f>HYPERLINK("https://www.sds-group.ru/product/tester-probnik-r-48-rexant-12-2035/", "Инфо")</f>
        <v>Инфо</v>
      </c>
      <c r="F3812" s="16" t="s">
        <v>39</v>
      </c>
      <c r="G3812" s="15"/>
      <c r="H3812" s="15"/>
      <c r="I3812" s="15"/>
      <c r="J3812" s="22">
        <v>3457</v>
      </c>
      <c r="K3812" s="15" t="s">
        <v>6174</v>
      </c>
      <c r="L3812" s="17">
        <v>5</v>
      </c>
      <c r="M3812" s="17">
        <v>250</v>
      </c>
      <c r="N3812" s="17">
        <v>5</v>
      </c>
      <c r="O3812" s="18">
        <v>366.53</v>
      </c>
      <c r="P3812" s="18">
        <v>300.43</v>
      </c>
      <c r="Q3812" s="18">
        <v>293.22000000000003</v>
      </c>
      <c r="R3812" s="18">
        <v>240.34</v>
      </c>
      <c r="S3812" s="18">
        <v>249.24</v>
      </c>
      <c r="T3812" s="18">
        <v>204.3</v>
      </c>
      <c r="U3812" s="16"/>
      <c r="V3812" s="16"/>
      <c r="W3812" s="16" t="s">
        <v>40</v>
      </c>
      <c r="X3812" s="19">
        <v>5.8000000000000003E-2</v>
      </c>
      <c r="Y3812" s="20">
        <v>3.5199999999999999E-4</v>
      </c>
      <c r="Z3812" s="21">
        <v>4601004069930</v>
      </c>
    </row>
    <row r="3813" spans="1:26" ht="12" customHeight="1" outlineLevel="3" x14ac:dyDescent="0.2">
      <c r="A3813" s="32" t="s">
        <v>7419</v>
      </c>
      <c r="B3813" s="74" t="s">
        <v>7420</v>
      </c>
      <c r="C3813" s="50"/>
      <c r="D3813" s="53">
        <f t="shared" si="59"/>
        <v>0</v>
      </c>
      <c r="E3813" s="60" t="str">
        <f>HYPERLINK("https://www.sds-group.ru/product/tester-probnik-uni-t-ut12d-13-1031/", "Инфо")</f>
        <v>Инфо</v>
      </c>
      <c r="F3813" s="34" t="s">
        <v>39</v>
      </c>
      <c r="G3813" s="33"/>
      <c r="H3813" s="33" t="s">
        <v>40</v>
      </c>
      <c r="I3813" s="33"/>
      <c r="J3813" s="35">
        <v>83</v>
      </c>
      <c r="K3813" s="33" t="s">
        <v>7336</v>
      </c>
      <c r="L3813" s="35">
        <v>1</v>
      </c>
      <c r="M3813" s="35">
        <v>40</v>
      </c>
      <c r="N3813" s="35">
        <v>1</v>
      </c>
      <c r="O3813" s="36">
        <v>1670.93</v>
      </c>
      <c r="P3813" s="36">
        <v>1369.61</v>
      </c>
      <c r="Q3813" s="36">
        <v>1169.6500000000001</v>
      </c>
      <c r="R3813" s="36">
        <v>958.73</v>
      </c>
      <c r="S3813" s="36">
        <v>1136.23</v>
      </c>
      <c r="T3813" s="36">
        <v>931.34</v>
      </c>
      <c r="U3813" s="34"/>
      <c r="V3813" s="34"/>
      <c r="W3813" s="34"/>
      <c r="X3813" s="37">
        <v>9.1999999999999998E-2</v>
      </c>
      <c r="Y3813" s="38">
        <v>5.4199999999999995E-4</v>
      </c>
      <c r="Z3813" s="21">
        <v>4601004289611</v>
      </c>
    </row>
    <row r="3814" spans="1:26" ht="12" customHeight="1" outlineLevel="3" x14ac:dyDescent="0.2">
      <c r="A3814" s="32" t="s">
        <v>7421</v>
      </c>
      <c r="B3814" s="74" t="s">
        <v>7422</v>
      </c>
      <c r="C3814" s="50"/>
      <c r="D3814" s="53">
        <f t="shared" si="59"/>
        <v>0</v>
      </c>
      <c r="E3814" s="60" t="str">
        <f>HYPERLINK("https://www.sds-group.ru/product/tester-probnik-uni-t-ut12m-13-1033/", "Инфо")</f>
        <v>Инфо</v>
      </c>
      <c r="F3814" s="34" t="s">
        <v>39</v>
      </c>
      <c r="G3814" s="33"/>
      <c r="H3814" s="33" t="s">
        <v>40</v>
      </c>
      <c r="I3814" s="33"/>
      <c r="J3814" s="34" t="s">
        <v>100</v>
      </c>
      <c r="K3814" s="33" t="s">
        <v>1587</v>
      </c>
      <c r="L3814" s="35">
        <v>1</v>
      </c>
      <c r="M3814" s="35">
        <v>40</v>
      </c>
      <c r="N3814" s="35">
        <v>1</v>
      </c>
      <c r="O3814" s="36">
        <v>3234.06</v>
      </c>
      <c r="P3814" s="36">
        <v>2650.87</v>
      </c>
      <c r="Q3814" s="36">
        <v>2263.84</v>
      </c>
      <c r="R3814" s="36">
        <v>1855.61</v>
      </c>
      <c r="S3814" s="36">
        <v>2199.16</v>
      </c>
      <c r="T3814" s="36">
        <v>1802.59</v>
      </c>
      <c r="U3814" s="34"/>
      <c r="V3814" s="34"/>
      <c r="W3814" s="34"/>
      <c r="X3814" s="37">
        <v>0.113</v>
      </c>
      <c r="Y3814" s="38">
        <v>6.0800000000000003E-4</v>
      </c>
      <c r="Z3814" s="21">
        <v>4601004289734</v>
      </c>
    </row>
    <row r="3815" spans="1:26" ht="12" customHeight="1" outlineLevel="3" x14ac:dyDescent="0.2">
      <c r="A3815" s="14" t="s">
        <v>7423</v>
      </c>
      <c r="B3815" s="26" t="s">
        <v>7424</v>
      </c>
      <c r="C3815" s="52"/>
      <c r="D3815" s="55">
        <f t="shared" si="59"/>
        <v>0</v>
      </c>
      <c r="E3815" s="63" t="str">
        <f>HYPERLINK("https://www.sds-group.ru/product/tester-probnik-s-kombinirovannym-zhalom-r-13-rexant-12-2043/", "Инфо")</f>
        <v>Инфо</v>
      </c>
      <c r="F3815" s="16" t="s">
        <v>39</v>
      </c>
      <c r="G3815" s="15"/>
      <c r="H3815" s="15"/>
      <c r="I3815" s="15"/>
      <c r="J3815" s="22">
        <v>1904</v>
      </c>
      <c r="K3815" s="15"/>
      <c r="L3815" s="17">
        <v>10</v>
      </c>
      <c r="M3815" s="17">
        <v>200</v>
      </c>
      <c r="N3815" s="17">
        <v>10</v>
      </c>
      <c r="O3815" s="18">
        <v>175.72</v>
      </c>
      <c r="P3815" s="18">
        <v>144.03</v>
      </c>
      <c r="Q3815" s="18">
        <v>158.15</v>
      </c>
      <c r="R3815" s="18">
        <v>129.63</v>
      </c>
      <c r="S3815" s="18">
        <v>119.49</v>
      </c>
      <c r="T3815" s="18">
        <v>97.94</v>
      </c>
      <c r="U3815" s="16"/>
      <c r="V3815" s="16"/>
      <c r="W3815" s="16" t="s">
        <v>40</v>
      </c>
      <c r="X3815" s="19">
        <v>5.3999999999999999E-2</v>
      </c>
      <c r="Y3815" s="20">
        <v>3.6999999999999999E-4</v>
      </c>
      <c r="Z3815" s="21">
        <v>4601004284357</v>
      </c>
    </row>
    <row r="3816" spans="1:26" ht="12" customHeight="1" outlineLevel="3" x14ac:dyDescent="0.2">
      <c r="A3816" s="14" t="s">
        <v>7425</v>
      </c>
      <c r="B3816" s="26" t="s">
        <v>7426</v>
      </c>
      <c r="C3816" s="52"/>
      <c r="D3816" s="55">
        <f t="shared" si="59"/>
        <v>0</v>
      </c>
      <c r="E3816" s="63" t="str">
        <f>HYPERLINK("https://www.sds-group.ru/product/tester-probnik-s-kombinirovannym-zhalom-r-14-rexant-12-2044/", "Инфо")</f>
        <v>Инфо</v>
      </c>
      <c r="F3816" s="16" t="s">
        <v>39</v>
      </c>
      <c r="G3816" s="15"/>
      <c r="H3816" s="15"/>
      <c r="I3816" s="15"/>
      <c r="J3816" s="22">
        <v>2051</v>
      </c>
      <c r="K3816" s="15" t="s">
        <v>940</v>
      </c>
      <c r="L3816" s="17">
        <v>10</v>
      </c>
      <c r="M3816" s="17">
        <v>200</v>
      </c>
      <c r="N3816" s="17">
        <v>10</v>
      </c>
      <c r="O3816" s="18">
        <v>199.44</v>
      </c>
      <c r="P3816" s="18">
        <v>163.47999999999999</v>
      </c>
      <c r="Q3816" s="18">
        <v>179.5</v>
      </c>
      <c r="R3816" s="18">
        <v>147.13</v>
      </c>
      <c r="S3816" s="18">
        <v>135.62</v>
      </c>
      <c r="T3816" s="18">
        <v>111.16</v>
      </c>
      <c r="U3816" s="16"/>
      <c r="V3816" s="16"/>
      <c r="W3816" s="16" t="s">
        <v>40</v>
      </c>
      <c r="X3816" s="19">
        <v>0.06</v>
      </c>
      <c r="Y3816" s="20">
        <v>3.9500000000000001E-4</v>
      </c>
      <c r="Z3816" s="21">
        <v>4601004284364</v>
      </c>
    </row>
    <row r="3817" spans="1:26" ht="12" customHeight="1" outlineLevel="3" x14ac:dyDescent="0.2">
      <c r="A3817" s="14" t="s">
        <v>7427</v>
      </c>
      <c r="B3817" s="26" t="s">
        <v>7428</v>
      </c>
      <c r="C3817" s="52"/>
      <c r="D3817" s="55">
        <f t="shared" si="59"/>
        <v>0</v>
      </c>
      <c r="E3817" s="63" t="str">
        <f>HYPERLINK("https://www.sds-group.ru/product/tester-probnik-s-kombinirovannym-zhalom-r-16-rexant-12-2042/", "Инфо")</f>
        <v>Инфо</v>
      </c>
      <c r="F3817" s="16" t="s">
        <v>39</v>
      </c>
      <c r="G3817" s="15"/>
      <c r="H3817" s="15"/>
      <c r="I3817" s="15"/>
      <c r="J3817" s="16" t="s">
        <v>100</v>
      </c>
      <c r="K3817" s="15" t="s">
        <v>6174</v>
      </c>
      <c r="L3817" s="17">
        <v>10</v>
      </c>
      <c r="M3817" s="17">
        <v>360</v>
      </c>
      <c r="N3817" s="17">
        <v>10</v>
      </c>
      <c r="O3817" s="18">
        <v>107.8</v>
      </c>
      <c r="P3817" s="18">
        <v>88.36</v>
      </c>
      <c r="Q3817" s="18">
        <v>97.02</v>
      </c>
      <c r="R3817" s="18">
        <v>79.52</v>
      </c>
      <c r="S3817" s="18">
        <v>73.3</v>
      </c>
      <c r="T3817" s="18">
        <v>60.08</v>
      </c>
      <c r="U3817" s="16"/>
      <c r="V3817" s="16"/>
      <c r="W3817" s="16" t="s">
        <v>40</v>
      </c>
      <c r="X3817" s="19">
        <v>4.2999999999999997E-2</v>
      </c>
      <c r="Y3817" s="20">
        <v>2.04E-4</v>
      </c>
      <c r="Z3817" s="21">
        <v>4601004284340</v>
      </c>
    </row>
    <row r="3818" spans="1:26" ht="12.95" customHeight="1" outlineLevel="2" x14ac:dyDescent="0.2">
      <c r="A3818" s="76" t="s">
        <v>7429</v>
      </c>
      <c r="B3818" s="76"/>
      <c r="C3818" s="77"/>
      <c r="D3818" s="58"/>
      <c r="E3818" s="68"/>
      <c r="F3818" s="13"/>
      <c r="G3818" s="13"/>
      <c r="H3818" s="13"/>
      <c r="I3818" s="13"/>
      <c r="J3818" s="13"/>
      <c r="K3818" s="13"/>
      <c r="L3818" s="13"/>
      <c r="M3818" s="13"/>
      <c r="N3818" s="13"/>
      <c r="O3818" s="13"/>
      <c r="P3818" s="13"/>
      <c r="Q3818" s="13"/>
      <c r="R3818" s="13"/>
      <c r="S3818" s="13"/>
      <c r="T3818" s="13"/>
      <c r="U3818" s="13"/>
      <c r="V3818" s="13"/>
      <c r="W3818" s="13"/>
      <c r="X3818" s="13"/>
      <c r="Y3818" s="13"/>
      <c r="Z3818" s="13"/>
    </row>
    <row r="3819" spans="1:26" ht="12" customHeight="1" outlineLevel="3" x14ac:dyDescent="0.2">
      <c r="A3819" s="14" t="s">
        <v>7430</v>
      </c>
      <c r="B3819" s="26" t="s">
        <v>7431</v>
      </c>
      <c r="C3819" s="52"/>
      <c r="D3819" s="55">
        <f t="shared" si="59"/>
        <v>0</v>
      </c>
      <c r="E3819" s="63" t="str">
        <f>HYPERLINK("https://www.sds-group.ru/product/multimetr-portativnyy-r109l-rexant-13-3100/", "Инфо")</f>
        <v>Инфо</v>
      </c>
      <c r="F3819" s="16" t="s">
        <v>39</v>
      </c>
      <c r="G3819" s="15"/>
      <c r="H3819" s="15"/>
      <c r="I3819" s="15"/>
      <c r="J3819" s="16" t="s">
        <v>100</v>
      </c>
      <c r="K3819" s="15" t="s">
        <v>1094</v>
      </c>
      <c r="L3819" s="17">
        <v>1</v>
      </c>
      <c r="M3819" s="17">
        <v>60</v>
      </c>
      <c r="N3819" s="17">
        <v>1</v>
      </c>
      <c r="O3819" s="18">
        <v>1509.23</v>
      </c>
      <c r="P3819" s="18">
        <v>1237.07</v>
      </c>
      <c r="Q3819" s="18">
        <v>1192.29</v>
      </c>
      <c r="R3819" s="18">
        <v>977.29</v>
      </c>
      <c r="S3819" s="18">
        <v>1026.28</v>
      </c>
      <c r="T3819" s="18">
        <v>841.21</v>
      </c>
      <c r="U3819" s="16"/>
      <c r="V3819" s="16"/>
      <c r="W3819" s="16" t="s">
        <v>40</v>
      </c>
      <c r="X3819" s="19">
        <v>0.18</v>
      </c>
      <c r="Y3819" s="20">
        <v>6.9099999999999999E-4</v>
      </c>
      <c r="Z3819" s="21">
        <v>4601004302099</v>
      </c>
    </row>
    <row r="3820" spans="1:26" ht="12" customHeight="1" outlineLevel="3" x14ac:dyDescent="0.2">
      <c r="A3820" s="14" t="s">
        <v>7432</v>
      </c>
      <c r="B3820" s="26" t="s">
        <v>7433</v>
      </c>
      <c r="C3820" s="52"/>
      <c r="D3820" s="55">
        <f t="shared" si="59"/>
        <v>0</v>
      </c>
      <c r="E3820" s="63" t="str">
        <f>HYPERLINK("https://www.sds-group.ru/product/multimetr-portativnyy-r113a-rexant-13-3109/", "Инфо")</f>
        <v>Инфо</v>
      </c>
      <c r="F3820" s="16" t="s">
        <v>39</v>
      </c>
      <c r="G3820" s="15"/>
      <c r="H3820" s="15"/>
      <c r="I3820" s="15"/>
      <c r="J3820" s="17">
        <v>731</v>
      </c>
      <c r="K3820" s="15"/>
      <c r="L3820" s="17">
        <v>1</v>
      </c>
      <c r="M3820" s="17">
        <v>50</v>
      </c>
      <c r="N3820" s="17">
        <v>1</v>
      </c>
      <c r="O3820" s="18">
        <v>2263.84</v>
      </c>
      <c r="P3820" s="18">
        <v>1855.61</v>
      </c>
      <c r="Q3820" s="18">
        <v>1811.07</v>
      </c>
      <c r="R3820" s="18">
        <v>1484.48</v>
      </c>
      <c r="S3820" s="18">
        <v>1539.41</v>
      </c>
      <c r="T3820" s="18">
        <v>1261.81</v>
      </c>
      <c r="U3820" s="16"/>
      <c r="V3820" s="16"/>
      <c r="W3820" s="16" t="s">
        <v>40</v>
      </c>
      <c r="X3820" s="19">
        <v>0.35</v>
      </c>
      <c r="Y3820" s="20">
        <v>1.194E-3</v>
      </c>
      <c r="Z3820" s="21">
        <v>4601004302044</v>
      </c>
    </row>
    <row r="3821" spans="1:26" ht="12" customHeight="1" outlineLevel="3" x14ac:dyDescent="0.2">
      <c r="A3821" s="14" t="s">
        <v>7434</v>
      </c>
      <c r="B3821" s="26" t="s">
        <v>7435</v>
      </c>
      <c r="C3821" s="52"/>
      <c r="D3821" s="55">
        <f t="shared" si="59"/>
        <v>0</v>
      </c>
      <c r="E3821" s="63" t="str">
        <f>HYPERLINK("https://www.sds-group.ru/product/multimetr-portativnyy-r113c-rexant-13-3112/", "Инфо")</f>
        <v>Инфо</v>
      </c>
      <c r="F3821" s="16" t="s">
        <v>39</v>
      </c>
      <c r="G3821" s="15"/>
      <c r="H3821" s="15"/>
      <c r="I3821" s="15"/>
      <c r="J3821" s="16" t="s">
        <v>100</v>
      </c>
      <c r="K3821" s="15" t="s">
        <v>1094</v>
      </c>
      <c r="L3821" s="17">
        <v>1</v>
      </c>
      <c r="M3821" s="17">
        <v>50</v>
      </c>
      <c r="N3821" s="17">
        <v>1</v>
      </c>
      <c r="O3821" s="18">
        <v>3286</v>
      </c>
      <c r="P3821" s="18">
        <v>2693.44</v>
      </c>
      <c r="Q3821" s="18">
        <v>2793.1</v>
      </c>
      <c r="R3821" s="18">
        <v>2289.4299999999998</v>
      </c>
      <c r="S3821" s="18">
        <v>2234.48</v>
      </c>
      <c r="T3821" s="18">
        <v>1831.54</v>
      </c>
      <c r="U3821" s="16"/>
      <c r="V3821" s="16"/>
      <c r="W3821" s="16" t="s">
        <v>40</v>
      </c>
      <c r="X3821" s="19">
        <v>0.371</v>
      </c>
      <c r="Y3821" s="20">
        <v>1.2019999999999999E-3</v>
      </c>
      <c r="Z3821" s="21">
        <v>4601004302075</v>
      </c>
    </row>
    <row r="3822" spans="1:26" ht="12" customHeight="1" outlineLevel="3" x14ac:dyDescent="0.2">
      <c r="A3822" s="14" t="s">
        <v>7436</v>
      </c>
      <c r="B3822" s="26" t="s">
        <v>7437</v>
      </c>
      <c r="C3822" s="52"/>
      <c r="D3822" s="55">
        <f t="shared" si="59"/>
        <v>0</v>
      </c>
      <c r="E3822" s="63" t="str">
        <f>HYPERLINK("https://www.sds-group.ru/product/multimetr-portativnyy-r124b-rexant-13-3120/", "Инфо")</f>
        <v>Инфо</v>
      </c>
      <c r="F3822" s="16" t="s">
        <v>39</v>
      </c>
      <c r="G3822" s="15"/>
      <c r="H3822" s="15"/>
      <c r="I3822" s="15"/>
      <c r="J3822" s="16" t="s">
        <v>100</v>
      </c>
      <c r="K3822" s="15" t="s">
        <v>1094</v>
      </c>
      <c r="L3822" s="17">
        <v>1</v>
      </c>
      <c r="M3822" s="17">
        <v>50</v>
      </c>
      <c r="N3822" s="17">
        <v>1</v>
      </c>
      <c r="O3822" s="18">
        <v>3535.91</v>
      </c>
      <c r="P3822" s="18">
        <v>2898.29</v>
      </c>
      <c r="Q3822" s="18">
        <v>2581.21</v>
      </c>
      <c r="R3822" s="18">
        <v>2115.75</v>
      </c>
      <c r="S3822" s="18">
        <v>2404.42</v>
      </c>
      <c r="T3822" s="18">
        <v>1970.84</v>
      </c>
      <c r="U3822" s="16"/>
      <c r="V3822" s="16"/>
      <c r="W3822" s="16" t="s">
        <v>40</v>
      </c>
      <c r="X3822" s="19">
        <v>0.254</v>
      </c>
      <c r="Y3822" s="20">
        <v>9.5799999999999998E-4</v>
      </c>
      <c r="Z3822" s="21">
        <v>4601004301962</v>
      </c>
    </row>
    <row r="3823" spans="1:26" ht="12" customHeight="1" outlineLevel="3" x14ac:dyDescent="0.2">
      <c r="A3823" s="14" t="s">
        <v>7438</v>
      </c>
      <c r="B3823" s="26" t="s">
        <v>7439</v>
      </c>
      <c r="C3823" s="52"/>
      <c r="D3823" s="55">
        <f t="shared" si="59"/>
        <v>0</v>
      </c>
      <c r="E3823" s="63" t="str">
        <f>HYPERLINK("https://www.sds-group.ru/product/multimetr-portativnyy-r131a-rexant-13-3115/", "Инфо")</f>
        <v>Инфо</v>
      </c>
      <c r="F3823" s="16" t="s">
        <v>39</v>
      </c>
      <c r="G3823" s="15"/>
      <c r="H3823" s="15"/>
      <c r="I3823" s="15"/>
      <c r="J3823" s="16" t="s">
        <v>100</v>
      </c>
      <c r="K3823" s="15" t="s">
        <v>1580</v>
      </c>
      <c r="L3823" s="17">
        <v>1</v>
      </c>
      <c r="M3823" s="17">
        <v>50</v>
      </c>
      <c r="N3823" s="17">
        <v>1</v>
      </c>
      <c r="O3823" s="18">
        <v>3018.46</v>
      </c>
      <c r="P3823" s="18">
        <v>2474.15</v>
      </c>
      <c r="Q3823" s="18">
        <v>2324.21</v>
      </c>
      <c r="R3823" s="18">
        <v>1905.09</v>
      </c>
      <c r="S3823" s="18">
        <v>2052.5500000000002</v>
      </c>
      <c r="T3823" s="18">
        <v>1682.42</v>
      </c>
      <c r="U3823" s="16"/>
      <c r="V3823" s="16"/>
      <c r="W3823" s="16" t="s">
        <v>40</v>
      </c>
      <c r="X3823" s="19">
        <v>0.35899999999999999</v>
      </c>
      <c r="Y3823" s="20">
        <v>1.108E-3</v>
      </c>
      <c r="Z3823" s="21">
        <v>4601004302082</v>
      </c>
    </row>
    <row r="3824" spans="1:26" ht="12" customHeight="1" outlineLevel="3" x14ac:dyDescent="0.2">
      <c r="A3824" s="14" t="s">
        <v>7440</v>
      </c>
      <c r="B3824" s="26" t="s">
        <v>7441</v>
      </c>
      <c r="C3824" s="52"/>
      <c r="D3824" s="55">
        <f t="shared" si="59"/>
        <v>0</v>
      </c>
      <c r="E3824" s="63" t="str">
        <f>HYPERLINK("https://www.sds-group.ru/product/multimetr-portativnyy-r830l-rexant-13-3106/", "Инфо")</f>
        <v>Инфо</v>
      </c>
      <c r="F3824" s="16" t="s">
        <v>39</v>
      </c>
      <c r="G3824" s="15"/>
      <c r="H3824" s="15"/>
      <c r="I3824" s="15"/>
      <c r="J3824" s="16" t="s">
        <v>100</v>
      </c>
      <c r="K3824" s="15" t="s">
        <v>6633</v>
      </c>
      <c r="L3824" s="17">
        <v>1</v>
      </c>
      <c r="M3824" s="17">
        <v>50</v>
      </c>
      <c r="N3824" s="17">
        <v>1</v>
      </c>
      <c r="O3824" s="18">
        <v>2078.96</v>
      </c>
      <c r="P3824" s="18">
        <v>1704.07</v>
      </c>
      <c r="Q3824" s="18">
        <v>1642.38</v>
      </c>
      <c r="R3824" s="18">
        <v>1346.21</v>
      </c>
      <c r="S3824" s="18">
        <v>1413.69</v>
      </c>
      <c r="T3824" s="18">
        <v>1158.76</v>
      </c>
      <c r="U3824" s="16"/>
      <c r="V3824" s="16"/>
      <c r="W3824" s="16" t="s">
        <v>40</v>
      </c>
      <c r="X3824" s="19">
        <v>0.34</v>
      </c>
      <c r="Y3824" s="20">
        <v>1.207E-3</v>
      </c>
      <c r="Z3824" s="21">
        <v>4601004302013</v>
      </c>
    </row>
    <row r="3825" spans="1:26" ht="12" customHeight="1" outlineLevel="3" x14ac:dyDescent="0.2">
      <c r="A3825" s="32" t="s">
        <v>7442</v>
      </c>
      <c r="B3825" s="74" t="s">
        <v>7443</v>
      </c>
      <c r="C3825" s="50"/>
      <c r="D3825" s="53">
        <f t="shared" si="59"/>
        <v>0</v>
      </c>
      <c r="E3825" s="60" t="str">
        <f>HYPERLINK("https://www.sds-group.ru/product/multimetr-portativnyy-uni-t-ut123-13-0020/", "Инфо")</f>
        <v>Инфо</v>
      </c>
      <c r="F3825" s="34" t="s">
        <v>39</v>
      </c>
      <c r="G3825" s="33"/>
      <c r="H3825" s="33" t="s">
        <v>40</v>
      </c>
      <c r="I3825" s="33"/>
      <c r="J3825" s="35">
        <v>4</v>
      </c>
      <c r="K3825" s="33" t="s">
        <v>7336</v>
      </c>
      <c r="L3825" s="35">
        <v>1</v>
      </c>
      <c r="M3825" s="35">
        <v>60</v>
      </c>
      <c r="N3825" s="35">
        <v>1</v>
      </c>
      <c r="O3825" s="36">
        <v>2328.52</v>
      </c>
      <c r="P3825" s="36">
        <v>1908.62</v>
      </c>
      <c r="Q3825" s="36">
        <v>1629.96</v>
      </c>
      <c r="R3825" s="36">
        <v>1336.03</v>
      </c>
      <c r="S3825" s="36">
        <v>1583.39</v>
      </c>
      <c r="T3825" s="36">
        <v>1297.8599999999999</v>
      </c>
      <c r="U3825" s="34"/>
      <c r="V3825" s="34"/>
      <c r="W3825" s="34"/>
      <c r="X3825" s="37">
        <v>0.253</v>
      </c>
      <c r="Y3825" s="38">
        <v>9.2100000000000005E-4</v>
      </c>
      <c r="Z3825" s="21">
        <v>4601004289741</v>
      </c>
    </row>
    <row r="3826" spans="1:26" ht="24" customHeight="1" outlineLevel="3" x14ac:dyDescent="0.2">
      <c r="A3826" s="32" t="s">
        <v>7444</v>
      </c>
      <c r="B3826" s="74" t="s">
        <v>7445</v>
      </c>
      <c r="C3826" s="50"/>
      <c r="D3826" s="53">
        <f t="shared" si="59"/>
        <v>0</v>
      </c>
      <c r="E3826" s="60" t="str">
        <f>HYPERLINK("https://www.sds-group.ru/product/multimetr-portativnyy-smart-uni-t-ut118b-13-0083/", "Инфо")</f>
        <v>Инфо</v>
      </c>
      <c r="F3826" s="34" t="s">
        <v>39</v>
      </c>
      <c r="G3826" s="33"/>
      <c r="H3826" s="33" t="s">
        <v>40</v>
      </c>
      <c r="I3826" s="33"/>
      <c r="J3826" s="35">
        <v>192</v>
      </c>
      <c r="K3826" s="33"/>
      <c r="L3826" s="35">
        <v>1</v>
      </c>
      <c r="M3826" s="35">
        <v>40</v>
      </c>
      <c r="N3826" s="35">
        <v>1</v>
      </c>
      <c r="O3826" s="36">
        <v>3537.11</v>
      </c>
      <c r="P3826" s="36">
        <v>2899.27</v>
      </c>
      <c r="Q3826" s="36">
        <v>2475.98</v>
      </c>
      <c r="R3826" s="36">
        <v>2029.49</v>
      </c>
      <c r="S3826" s="36">
        <v>2405.23</v>
      </c>
      <c r="T3826" s="36">
        <v>1971.5</v>
      </c>
      <c r="U3826" s="34" t="s">
        <v>7341</v>
      </c>
      <c r="V3826" s="34" t="s">
        <v>7342</v>
      </c>
      <c r="W3826" s="34"/>
      <c r="X3826" s="37">
        <v>0.16700000000000001</v>
      </c>
      <c r="Y3826" s="38">
        <v>9.4499999999999998E-4</v>
      </c>
      <c r="Z3826" s="21">
        <v>4601004289581</v>
      </c>
    </row>
    <row r="3827" spans="1:26" ht="12" customHeight="1" outlineLevel="3" x14ac:dyDescent="0.2">
      <c r="A3827" s="32" t="s">
        <v>7446</v>
      </c>
      <c r="B3827" s="74" t="s">
        <v>7447</v>
      </c>
      <c r="C3827" s="50"/>
      <c r="D3827" s="53">
        <f t="shared" si="59"/>
        <v>0</v>
      </c>
      <c r="E3827" s="60" t="str">
        <f>HYPERLINK("https://www.sds-group.ru/product/multimetr-portativnyy-smart-uni-t-ut121b-13-0051/", "Инфо")</f>
        <v>Инфо</v>
      </c>
      <c r="F3827" s="34" t="s">
        <v>39</v>
      </c>
      <c r="G3827" s="33"/>
      <c r="H3827" s="33" t="s">
        <v>40</v>
      </c>
      <c r="I3827" s="33"/>
      <c r="J3827" s="35">
        <v>14</v>
      </c>
      <c r="K3827" s="33"/>
      <c r="L3827" s="35">
        <v>1</v>
      </c>
      <c r="M3827" s="35">
        <v>40</v>
      </c>
      <c r="N3827" s="35">
        <v>1</v>
      </c>
      <c r="O3827" s="36">
        <v>3773.07</v>
      </c>
      <c r="P3827" s="36">
        <v>3092.68</v>
      </c>
      <c r="Q3827" s="36">
        <v>2641.15</v>
      </c>
      <c r="R3827" s="36">
        <v>2164.88</v>
      </c>
      <c r="S3827" s="36">
        <v>2565.69</v>
      </c>
      <c r="T3827" s="36">
        <v>2103.02</v>
      </c>
      <c r="U3827" s="34"/>
      <c r="V3827" s="34"/>
      <c r="W3827" s="34"/>
      <c r="X3827" s="37">
        <v>0.36399999999999999</v>
      </c>
      <c r="Y3827" s="38">
        <v>1.444E-3</v>
      </c>
      <c r="Z3827" s="21">
        <v>4601004289765</v>
      </c>
    </row>
    <row r="3828" spans="1:26" ht="12" customHeight="1" outlineLevel="3" x14ac:dyDescent="0.2">
      <c r="A3828" s="32" t="s">
        <v>7448</v>
      </c>
      <c r="B3828" s="74" t="s">
        <v>7449</v>
      </c>
      <c r="C3828" s="50"/>
      <c r="D3828" s="53">
        <f t="shared" si="59"/>
        <v>0</v>
      </c>
      <c r="E3828" s="60" t="str">
        <f>HYPERLINK("https://www.sds-group.ru/product/multimetr-portativnyy-smart-uni-t-ut122-13-0052/", "Инфо")</f>
        <v>Инфо</v>
      </c>
      <c r="F3828" s="34" t="s">
        <v>39</v>
      </c>
      <c r="G3828" s="33"/>
      <c r="H3828" s="33" t="s">
        <v>40</v>
      </c>
      <c r="I3828" s="33"/>
      <c r="J3828" s="35">
        <v>59</v>
      </c>
      <c r="K3828" s="33" t="s">
        <v>7336</v>
      </c>
      <c r="L3828" s="35">
        <v>1</v>
      </c>
      <c r="M3828" s="35">
        <v>40</v>
      </c>
      <c r="N3828" s="35">
        <v>1</v>
      </c>
      <c r="O3828" s="36">
        <v>4581.59</v>
      </c>
      <c r="P3828" s="36">
        <v>3755.4</v>
      </c>
      <c r="Q3828" s="36">
        <v>3207.11</v>
      </c>
      <c r="R3828" s="36">
        <v>2628.78</v>
      </c>
      <c r="S3828" s="36">
        <v>3115.48</v>
      </c>
      <c r="T3828" s="36">
        <v>2553.67</v>
      </c>
      <c r="U3828" s="34"/>
      <c r="V3828" s="34"/>
      <c r="W3828" s="34"/>
      <c r="X3828" s="37">
        <v>0.38200000000000001</v>
      </c>
      <c r="Y3828" s="38">
        <v>9.8400000000000007E-4</v>
      </c>
      <c r="Z3828" s="21">
        <v>4601004289758</v>
      </c>
    </row>
    <row r="3829" spans="1:26" ht="12" customHeight="1" outlineLevel="3" x14ac:dyDescent="0.2">
      <c r="A3829" s="32" t="s">
        <v>7450</v>
      </c>
      <c r="B3829" s="74" t="s">
        <v>7451</v>
      </c>
      <c r="C3829" s="50"/>
      <c r="D3829" s="53">
        <f t="shared" si="59"/>
        <v>0</v>
      </c>
      <c r="E3829" s="60" t="str">
        <f>HYPERLINK("https://www.sds-group.ru/product/multimetr-universalnyy-uni-t-ut133b-13-0063/", "Инфо")</f>
        <v>Инфо</v>
      </c>
      <c r="F3829" s="34" t="s">
        <v>39</v>
      </c>
      <c r="G3829" s="33"/>
      <c r="H3829" s="33" t="s">
        <v>40</v>
      </c>
      <c r="I3829" s="33"/>
      <c r="J3829" s="35">
        <v>11</v>
      </c>
      <c r="K3829" s="33"/>
      <c r="L3829" s="35">
        <v>1</v>
      </c>
      <c r="M3829" s="35">
        <v>60</v>
      </c>
      <c r="N3829" s="35">
        <v>1</v>
      </c>
      <c r="O3829" s="36">
        <v>3773.07</v>
      </c>
      <c r="P3829" s="36">
        <v>3092.68</v>
      </c>
      <c r="Q3829" s="36">
        <v>2641.15</v>
      </c>
      <c r="R3829" s="36">
        <v>2164.88</v>
      </c>
      <c r="S3829" s="36">
        <v>2565.69</v>
      </c>
      <c r="T3829" s="36">
        <v>2103.02</v>
      </c>
      <c r="U3829" s="34"/>
      <c r="V3829" s="34"/>
      <c r="W3829" s="34"/>
      <c r="X3829" s="37">
        <v>0.39600000000000002</v>
      </c>
      <c r="Y3829" s="38">
        <v>1.243E-3</v>
      </c>
      <c r="Z3829" s="21">
        <v>4601004289932</v>
      </c>
    </row>
    <row r="3830" spans="1:26" ht="12" customHeight="1" outlineLevel="3" x14ac:dyDescent="0.2">
      <c r="A3830" s="14" t="s">
        <v>7452</v>
      </c>
      <c r="B3830" s="26" t="s">
        <v>7453</v>
      </c>
      <c r="C3830" s="52"/>
      <c r="D3830" s="55">
        <f t="shared" si="59"/>
        <v>0</v>
      </c>
      <c r="E3830" s="63" t="str">
        <f>HYPERLINK("https://www.sds-group.ru/product/multimetr-probnik-tsifrovoy-r8211-rexant-13-3125/", "Инфо")</f>
        <v>Инфо</v>
      </c>
      <c r="F3830" s="16" t="s">
        <v>39</v>
      </c>
      <c r="G3830" s="15"/>
      <c r="H3830" s="15"/>
      <c r="I3830" s="15"/>
      <c r="J3830" s="22">
        <v>1156</v>
      </c>
      <c r="K3830" s="15"/>
      <c r="L3830" s="17">
        <v>1</v>
      </c>
      <c r="M3830" s="17">
        <v>100</v>
      </c>
      <c r="N3830" s="17">
        <v>1</v>
      </c>
      <c r="O3830" s="18">
        <v>1940.44</v>
      </c>
      <c r="P3830" s="18">
        <v>1590.52</v>
      </c>
      <c r="Q3830" s="18">
        <v>1552.35</v>
      </c>
      <c r="R3830" s="18">
        <v>1272.42</v>
      </c>
      <c r="S3830" s="18">
        <v>1319.5</v>
      </c>
      <c r="T3830" s="18">
        <v>1081.56</v>
      </c>
      <c r="U3830" s="16"/>
      <c r="V3830" s="16"/>
      <c r="W3830" s="16" t="s">
        <v>40</v>
      </c>
      <c r="X3830" s="19">
        <v>0.14799999999999999</v>
      </c>
      <c r="Y3830" s="20">
        <v>5.3399999999999997E-4</v>
      </c>
      <c r="Z3830" s="21">
        <v>4601004295315</v>
      </c>
    </row>
    <row r="3831" spans="1:26" ht="24" customHeight="1" outlineLevel="3" x14ac:dyDescent="0.2">
      <c r="A3831" s="32" t="s">
        <v>7454</v>
      </c>
      <c r="B3831" s="74" t="s">
        <v>7455</v>
      </c>
      <c r="C3831" s="50"/>
      <c r="D3831" s="53">
        <f t="shared" si="59"/>
        <v>0</v>
      </c>
      <c r="E3831" s="60" t="str">
        <f>HYPERLINK("https://www.sds-group.ru/product/portativnyy-multimetr-m300-mastech-13-2006/", "Инфо")</f>
        <v>Инфо</v>
      </c>
      <c r="F3831" s="34" t="s">
        <v>39</v>
      </c>
      <c r="G3831" s="33"/>
      <c r="H3831" s="33" t="s">
        <v>40</v>
      </c>
      <c r="I3831" s="33"/>
      <c r="J3831" s="35">
        <v>197</v>
      </c>
      <c r="K3831" s="33"/>
      <c r="L3831" s="35">
        <v>1</v>
      </c>
      <c r="M3831" s="35">
        <v>40</v>
      </c>
      <c r="N3831" s="35">
        <v>1</v>
      </c>
      <c r="O3831" s="36">
        <v>1951.22</v>
      </c>
      <c r="P3831" s="36">
        <v>1599.36</v>
      </c>
      <c r="Q3831" s="36">
        <v>1365.85</v>
      </c>
      <c r="R3831" s="36">
        <v>1119.55</v>
      </c>
      <c r="S3831" s="36">
        <v>1326.83</v>
      </c>
      <c r="T3831" s="36">
        <v>1087.57</v>
      </c>
      <c r="U3831" s="34" t="s">
        <v>7341</v>
      </c>
      <c r="V3831" s="34" t="s">
        <v>7342</v>
      </c>
      <c r="W3831" s="34"/>
      <c r="X3831" s="37">
        <v>0.16500000000000001</v>
      </c>
      <c r="Y3831" s="38">
        <v>6.8099999999999996E-4</v>
      </c>
      <c r="Z3831" s="21">
        <v>4601004008441</v>
      </c>
    </row>
    <row r="3832" spans="1:26" ht="12" customHeight="1" outlineLevel="3" x14ac:dyDescent="0.2">
      <c r="A3832" s="32" t="s">
        <v>7456</v>
      </c>
      <c r="B3832" s="74" t="s">
        <v>7457</v>
      </c>
      <c r="C3832" s="50"/>
      <c r="D3832" s="53">
        <f t="shared" si="59"/>
        <v>0</v>
      </c>
      <c r="E3832" s="60" t="str">
        <f>HYPERLINK("https://www.sds-group.ru/product/portativnyy-multimetr-m320-mastech-13-2009/", "Инфо")</f>
        <v>Инфо</v>
      </c>
      <c r="F3832" s="34" t="s">
        <v>39</v>
      </c>
      <c r="G3832" s="33"/>
      <c r="H3832" s="33" t="s">
        <v>40</v>
      </c>
      <c r="I3832" s="33"/>
      <c r="J3832" s="35">
        <v>217</v>
      </c>
      <c r="K3832" s="33"/>
      <c r="L3832" s="35">
        <v>1</v>
      </c>
      <c r="M3832" s="35">
        <v>40</v>
      </c>
      <c r="N3832" s="35">
        <v>1</v>
      </c>
      <c r="O3832" s="36">
        <v>2544.13</v>
      </c>
      <c r="P3832" s="36">
        <v>2085.35</v>
      </c>
      <c r="Q3832" s="36">
        <v>1780.89</v>
      </c>
      <c r="R3832" s="36">
        <v>1459.75</v>
      </c>
      <c r="S3832" s="36">
        <v>1730.01</v>
      </c>
      <c r="T3832" s="36">
        <v>1418.04</v>
      </c>
      <c r="U3832" s="34"/>
      <c r="V3832" s="34"/>
      <c r="W3832" s="34"/>
      <c r="X3832" s="37">
        <v>0.14399999999999999</v>
      </c>
      <c r="Y3832" s="38">
        <v>4.66E-4</v>
      </c>
      <c r="Z3832" s="21">
        <v>4601004018242</v>
      </c>
    </row>
    <row r="3833" spans="1:26" ht="12" customHeight="1" outlineLevel="3" x14ac:dyDescent="0.2">
      <c r="A3833" s="14" t="s">
        <v>7458</v>
      </c>
      <c r="B3833" s="26" t="s">
        <v>7459</v>
      </c>
      <c r="C3833" s="52"/>
      <c r="D3833" s="55">
        <f t="shared" si="59"/>
        <v>0</v>
      </c>
      <c r="E3833" s="63" t="str">
        <f>HYPERLINK("https://www.sds-group.ru/product/portativnyy-multimetr-m830b-dt830b-proconnect-13-3011/", "Инфо")</f>
        <v>Инфо</v>
      </c>
      <c r="F3833" s="16" t="s">
        <v>39</v>
      </c>
      <c r="G3833" s="15"/>
      <c r="H3833" s="15"/>
      <c r="I3833" s="15"/>
      <c r="J3833" s="22">
        <v>8006</v>
      </c>
      <c r="K3833" s="15" t="s">
        <v>1519</v>
      </c>
      <c r="L3833" s="17">
        <v>1</v>
      </c>
      <c r="M3833" s="17">
        <v>50</v>
      </c>
      <c r="N3833" s="17">
        <v>1</v>
      </c>
      <c r="O3833" s="18">
        <v>549.79</v>
      </c>
      <c r="P3833" s="18">
        <v>450.65</v>
      </c>
      <c r="Q3833" s="18">
        <v>439.83</v>
      </c>
      <c r="R3833" s="18">
        <v>360.52</v>
      </c>
      <c r="S3833" s="18">
        <v>373.86</v>
      </c>
      <c r="T3833" s="18">
        <v>306.44</v>
      </c>
      <c r="U3833" s="16"/>
      <c r="V3833" s="16"/>
      <c r="W3833" s="16" t="s">
        <v>40</v>
      </c>
      <c r="X3833" s="19">
        <v>0.17399999999999999</v>
      </c>
      <c r="Y3833" s="20">
        <v>7.2099999999999996E-4</v>
      </c>
      <c r="Z3833" s="21">
        <v>4601004024908</v>
      </c>
    </row>
    <row r="3834" spans="1:26" ht="24" customHeight="1" outlineLevel="3" x14ac:dyDescent="0.2">
      <c r="A3834" s="32" t="s">
        <v>7460</v>
      </c>
      <c r="B3834" s="74" t="s">
        <v>7461</v>
      </c>
      <c r="C3834" s="50"/>
      <c r="D3834" s="53">
        <f t="shared" si="59"/>
        <v>0</v>
      </c>
      <c r="E3834" s="60" t="str">
        <f>HYPERLINK("https://www.sds-group.ru/product/portativnyy-multimetr-m830b-mastech-13-2001/", "Инфо")</f>
        <v>Инфо</v>
      </c>
      <c r="F3834" s="34" t="s">
        <v>39</v>
      </c>
      <c r="G3834" s="33"/>
      <c r="H3834" s="33" t="s">
        <v>40</v>
      </c>
      <c r="I3834" s="33"/>
      <c r="J3834" s="39">
        <v>1058</v>
      </c>
      <c r="K3834" s="33"/>
      <c r="L3834" s="35">
        <v>1</v>
      </c>
      <c r="M3834" s="35">
        <v>20</v>
      </c>
      <c r="N3834" s="35">
        <v>1</v>
      </c>
      <c r="O3834" s="36">
        <v>1693.31</v>
      </c>
      <c r="P3834" s="36">
        <v>1387.96</v>
      </c>
      <c r="Q3834" s="36">
        <v>1185.32</v>
      </c>
      <c r="R3834" s="36">
        <v>971.57</v>
      </c>
      <c r="S3834" s="36">
        <v>1151.45</v>
      </c>
      <c r="T3834" s="36">
        <v>943.81</v>
      </c>
      <c r="U3834" s="34" t="s">
        <v>7341</v>
      </c>
      <c r="V3834" s="34" t="s">
        <v>7342</v>
      </c>
      <c r="W3834" s="34"/>
      <c r="X3834" s="37">
        <v>0.28599999999999998</v>
      </c>
      <c r="Y3834" s="38">
        <v>2.0140000000000002E-3</v>
      </c>
      <c r="Z3834" s="21">
        <v>4601004008410</v>
      </c>
    </row>
    <row r="3835" spans="1:26" ht="24" customHeight="1" outlineLevel="3" x14ac:dyDescent="0.2">
      <c r="A3835" s="32" t="s">
        <v>7462</v>
      </c>
      <c r="B3835" s="74" t="s">
        <v>7463</v>
      </c>
      <c r="C3835" s="50"/>
      <c r="D3835" s="53">
        <f t="shared" si="59"/>
        <v>0</v>
      </c>
      <c r="E3835" s="60" t="str">
        <f>HYPERLINK("https://www.sds-group.ru/product/portativnyy-multimetr-m830bz-mastech-13-2002/", "Инфо")</f>
        <v>Инфо</v>
      </c>
      <c r="F3835" s="34" t="s">
        <v>39</v>
      </c>
      <c r="G3835" s="33"/>
      <c r="H3835" s="33" t="s">
        <v>40</v>
      </c>
      <c r="I3835" s="33"/>
      <c r="J3835" s="35">
        <v>646</v>
      </c>
      <c r="K3835" s="33"/>
      <c r="L3835" s="35">
        <v>1</v>
      </c>
      <c r="M3835" s="35">
        <v>20</v>
      </c>
      <c r="N3835" s="35">
        <v>1</v>
      </c>
      <c r="O3835" s="36">
        <v>1983.15</v>
      </c>
      <c r="P3835" s="36">
        <v>1625.53</v>
      </c>
      <c r="Q3835" s="36">
        <v>1388.21</v>
      </c>
      <c r="R3835" s="36">
        <v>1137.8800000000001</v>
      </c>
      <c r="S3835" s="36">
        <v>1348.54</v>
      </c>
      <c r="T3835" s="36">
        <v>1105.3599999999999</v>
      </c>
      <c r="U3835" s="34" t="s">
        <v>7341</v>
      </c>
      <c r="V3835" s="34" t="s">
        <v>7342</v>
      </c>
      <c r="W3835" s="34"/>
      <c r="X3835" s="37">
        <v>0.28899999999999998</v>
      </c>
      <c r="Y3835" s="38">
        <v>2.055E-3</v>
      </c>
      <c r="Z3835" s="21">
        <v>4601004008366</v>
      </c>
    </row>
    <row r="3836" spans="1:26" ht="12" customHeight="1" outlineLevel="3" x14ac:dyDescent="0.2">
      <c r="A3836" s="14" t="s">
        <v>7464</v>
      </c>
      <c r="B3836" s="26" t="s">
        <v>7465</v>
      </c>
      <c r="C3836" s="52"/>
      <c r="D3836" s="55">
        <f t="shared" si="59"/>
        <v>0</v>
      </c>
      <c r="E3836" s="63" t="str">
        <f>HYPERLINK("https://www.sds-group.ru/product/portativnyy-multimetr-m832-dt832-proconnect-13-3012/", "Инфо")</f>
        <v>Инфо</v>
      </c>
      <c r="F3836" s="16" t="s">
        <v>39</v>
      </c>
      <c r="G3836" s="15"/>
      <c r="H3836" s="15"/>
      <c r="I3836" s="15"/>
      <c r="J3836" s="22">
        <v>8021</v>
      </c>
      <c r="K3836" s="15" t="s">
        <v>1519</v>
      </c>
      <c r="L3836" s="17">
        <v>1</v>
      </c>
      <c r="M3836" s="17">
        <v>50</v>
      </c>
      <c r="N3836" s="17">
        <v>1</v>
      </c>
      <c r="O3836" s="18">
        <v>582.13</v>
      </c>
      <c r="P3836" s="18">
        <v>477.16</v>
      </c>
      <c r="Q3836" s="18">
        <v>465.7</v>
      </c>
      <c r="R3836" s="18">
        <v>381.72</v>
      </c>
      <c r="S3836" s="18">
        <v>395.85</v>
      </c>
      <c r="T3836" s="18">
        <v>324.47000000000003</v>
      </c>
      <c r="U3836" s="16"/>
      <c r="V3836" s="16"/>
      <c r="W3836" s="16" t="s">
        <v>40</v>
      </c>
      <c r="X3836" s="19">
        <v>0.18</v>
      </c>
      <c r="Y3836" s="20">
        <v>7.2000000000000015E-4</v>
      </c>
      <c r="Z3836" s="21">
        <v>4601004024922</v>
      </c>
    </row>
    <row r="3837" spans="1:26" ht="24" customHeight="1" outlineLevel="3" x14ac:dyDescent="0.2">
      <c r="A3837" s="32" t="s">
        <v>7466</v>
      </c>
      <c r="B3837" s="74" t="s">
        <v>7467</v>
      </c>
      <c r="C3837" s="50"/>
      <c r="D3837" s="53">
        <f t="shared" si="59"/>
        <v>0</v>
      </c>
      <c r="E3837" s="60" t="str">
        <f>HYPERLINK("https://www.sds-group.ru/product/portativnyy-multimetr-m832-mastech-13-2003/", "Инфо")</f>
        <v>Инфо</v>
      </c>
      <c r="F3837" s="34" t="s">
        <v>39</v>
      </c>
      <c r="G3837" s="33"/>
      <c r="H3837" s="33" t="s">
        <v>40</v>
      </c>
      <c r="I3837" s="33"/>
      <c r="J3837" s="35">
        <v>211</v>
      </c>
      <c r="K3837" s="33"/>
      <c r="L3837" s="35">
        <v>1</v>
      </c>
      <c r="M3837" s="35">
        <v>20</v>
      </c>
      <c r="N3837" s="35">
        <v>1</v>
      </c>
      <c r="O3837" s="36">
        <v>2231.5</v>
      </c>
      <c r="P3837" s="36">
        <v>1829.1</v>
      </c>
      <c r="Q3837" s="36">
        <v>1562.05</v>
      </c>
      <c r="R3837" s="36">
        <v>1280.3699999999999</v>
      </c>
      <c r="S3837" s="36">
        <v>1517.42</v>
      </c>
      <c r="T3837" s="36">
        <v>1243.79</v>
      </c>
      <c r="U3837" s="34" t="s">
        <v>7341</v>
      </c>
      <c r="V3837" s="34" t="s">
        <v>7342</v>
      </c>
      <c r="W3837" s="34"/>
      <c r="X3837" s="37">
        <v>0.28999999999999998</v>
      </c>
      <c r="Y3837" s="38">
        <v>2.0209999999999998E-3</v>
      </c>
      <c r="Z3837" s="21">
        <v>4601004008427</v>
      </c>
    </row>
    <row r="3838" spans="1:26" ht="12" customHeight="1" outlineLevel="3" x14ac:dyDescent="0.2">
      <c r="A3838" s="14" t="s">
        <v>7468</v>
      </c>
      <c r="B3838" s="26" t="s">
        <v>7469</v>
      </c>
      <c r="C3838" s="52"/>
      <c r="D3838" s="55">
        <f t="shared" si="59"/>
        <v>0</v>
      </c>
      <c r="E3838" s="63" t="str">
        <f>HYPERLINK("https://www.sds-group.ru/product/portativnyy-multimetr-m838-dt838-proconnect-13-3013/", "Инфо")</f>
        <v>Инфо</v>
      </c>
      <c r="F3838" s="16" t="s">
        <v>39</v>
      </c>
      <c r="G3838" s="15"/>
      <c r="H3838" s="15"/>
      <c r="I3838" s="15"/>
      <c r="J3838" s="22">
        <v>1560</v>
      </c>
      <c r="K3838" s="15" t="s">
        <v>1519</v>
      </c>
      <c r="L3838" s="17">
        <v>1</v>
      </c>
      <c r="M3838" s="17">
        <v>50</v>
      </c>
      <c r="N3838" s="17">
        <v>1</v>
      </c>
      <c r="O3838" s="18">
        <v>668.37</v>
      </c>
      <c r="P3838" s="18">
        <v>547.84</v>
      </c>
      <c r="Q3838" s="18">
        <v>534.70000000000005</v>
      </c>
      <c r="R3838" s="18">
        <v>438.28</v>
      </c>
      <c r="S3838" s="18">
        <v>454.49</v>
      </c>
      <c r="T3838" s="18">
        <v>372.53</v>
      </c>
      <c r="U3838" s="16"/>
      <c r="V3838" s="16"/>
      <c r="W3838" s="16" t="s">
        <v>40</v>
      </c>
      <c r="X3838" s="19">
        <v>0.191</v>
      </c>
      <c r="Y3838" s="20">
        <v>6.87E-4</v>
      </c>
      <c r="Z3838" s="21">
        <v>4601004024939</v>
      </c>
    </row>
    <row r="3839" spans="1:26" ht="12" customHeight="1" outlineLevel="3" x14ac:dyDescent="0.2">
      <c r="A3839" s="32" t="s">
        <v>7470</v>
      </c>
      <c r="B3839" s="74" t="s">
        <v>7471</v>
      </c>
      <c r="C3839" s="50"/>
      <c r="D3839" s="53">
        <f t="shared" si="59"/>
        <v>0</v>
      </c>
      <c r="E3839" s="60" t="str">
        <f>HYPERLINK("https://www.sds-group.ru/product/portativnyy-multimetr-m838-mastech-13-2004/", "Инфо")</f>
        <v>Инфо</v>
      </c>
      <c r="F3839" s="34" t="s">
        <v>39</v>
      </c>
      <c r="G3839" s="33"/>
      <c r="H3839" s="33" t="s">
        <v>40</v>
      </c>
      <c r="I3839" s="33"/>
      <c r="J3839" s="35">
        <v>870</v>
      </c>
      <c r="K3839" s="33"/>
      <c r="L3839" s="35">
        <v>1</v>
      </c>
      <c r="M3839" s="35">
        <v>20</v>
      </c>
      <c r="N3839" s="35">
        <v>1</v>
      </c>
      <c r="O3839" s="36">
        <v>1811.07</v>
      </c>
      <c r="P3839" s="36">
        <v>1484.48</v>
      </c>
      <c r="Q3839" s="36">
        <v>1267.75</v>
      </c>
      <c r="R3839" s="36">
        <v>1039.1400000000001</v>
      </c>
      <c r="S3839" s="36">
        <v>1231.53</v>
      </c>
      <c r="T3839" s="36">
        <v>1009.45</v>
      </c>
      <c r="U3839" s="34"/>
      <c r="V3839" s="34"/>
      <c r="W3839" s="34"/>
      <c r="X3839" s="37">
        <v>0.30499999999999999</v>
      </c>
      <c r="Y3839" s="38">
        <v>2.0460000000000001E-3</v>
      </c>
      <c r="Z3839" s="21">
        <v>4601004008434</v>
      </c>
    </row>
    <row r="3840" spans="1:26" ht="12" customHeight="1" outlineLevel="3" x14ac:dyDescent="0.2">
      <c r="A3840" s="32" t="s">
        <v>7472</v>
      </c>
      <c r="B3840" s="74" t="s">
        <v>7473</v>
      </c>
      <c r="C3840" s="50"/>
      <c r="D3840" s="53">
        <f t="shared" si="59"/>
        <v>0</v>
      </c>
      <c r="E3840" s="60" t="str">
        <f>HYPERLINK("https://www.sds-group.ru/product/portativnyy-multimetr-mas830-mastech-13-2011/", "Инфо")</f>
        <v>Инфо</v>
      </c>
      <c r="F3840" s="34" t="s">
        <v>39</v>
      </c>
      <c r="G3840" s="33"/>
      <c r="H3840" s="33" t="s">
        <v>40</v>
      </c>
      <c r="I3840" s="33"/>
      <c r="J3840" s="35">
        <v>547</v>
      </c>
      <c r="K3840" s="33"/>
      <c r="L3840" s="35">
        <v>1</v>
      </c>
      <c r="M3840" s="35">
        <v>20</v>
      </c>
      <c r="N3840" s="35">
        <v>1</v>
      </c>
      <c r="O3840" s="36">
        <v>2371.64</v>
      </c>
      <c r="P3840" s="36">
        <v>1943.97</v>
      </c>
      <c r="Q3840" s="36">
        <v>1660.15</v>
      </c>
      <c r="R3840" s="36">
        <v>1360.78</v>
      </c>
      <c r="S3840" s="36">
        <v>1612.72</v>
      </c>
      <c r="T3840" s="36">
        <v>1321.9</v>
      </c>
      <c r="U3840" s="34"/>
      <c r="V3840" s="34"/>
      <c r="W3840" s="34"/>
      <c r="X3840" s="37">
        <v>0.40600000000000003</v>
      </c>
      <c r="Y3840" s="38">
        <v>2.0179999999999998E-3</v>
      </c>
      <c r="Z3840" s="21">
        <v>4601004008250</v>
      </c>
    </row>
    <row r="3841" spans="1:26" ht="12" customHeight="1" outlineLevel="3" x14ac:dyDescent="0.2">
      <c r="A3841" s="32" t="s">
        <v>7474</v>
      </c>
      <c r="B3841" s="74" t="s">
        <v>7475</v>
      </c>
      <c r="C3841" s="50"/>
      <c r="D3841" s="53">
        <f t="shared" si="59"/>
        <v>0</v>
      </c>
      <c r="E3841" s="60" t="str">
        <f>HYPERLINK("https://www.sds-group.ru/product/portativnyy-multimetr-mas830b-mastech-13-2010/", "Инфо")</f>
        <v>Инфо</v>
      </c>
      <c r="F3841" s="34" t="s">
        <v>39</v>
      </c>
      <c r="G3841" s="33"/>
      <c r="H3841" s="33" t="s">
        <v>40</v>
      </c>
      <c r="I3841" s="33"/>
      <c r="J3841" s="35">
        <v>133</v>
      </c>
      <c r="K3841" s="33" t="s">
        <v>1126</v>
      </c>
      <c r="L3841" s="35">
        <v>1</v>
      </c>
      <c r="M3841" s="35">
        <v>20</v>
      </c>
      <c r="N3841" s="35">
        <v>1</v>
      </c>
      <c r="O3841" s="36">
        <v>2328.52</v>
      </c>
      <c r="P3841" s="36">
        <v>1908.62</v>
      </c>
      <c r="Q3841" s="36">
        <v>1629.96</v>
      </c>
      <c r="R3841" s="36">
        <v>1336.03</v>
      </c>
      <c r="S3841" s="36">
        <v>1583.39</v>
      </c>
      <c r="T3841" s="36">
        <v>1297.8599999999999</v>
      </c>
      <c r="U3841" s="34"/>
      <c r="V3841" s="34"/>
      <c r="W3841" s="34"/>
      <c r="X3841" s="37">
        <v>0.40300000000000002</v>
      </c>
      <c r="Y3841" s="38">
        <v>1.9970000000000001E-3</v>
      </c>
      <c r="Z3841" s="21">
        <v>4601004008199</v>
      </c>
    </row>
    <row r="3842" spans="1:26" ht="12" customHeight="1" outlineLevel="3" x14ac:dyDescent="0.2">
      <c r="A3842" s="14" t="s">
        <v>7476</v>
      </c>
      <c r="B3842" s="26" t="s">
        <v>7477</v>
      </c>
      <c r="C3842" s="52"/>
      <c r="D3842" s="55">
        <f t="shared" si="59"/>
        <v>0</v>
      </c>
      <c r="E3842" s="63" t="str">
        <f>HYPERLINK("https://www.sds-group.ru/product/portativnyy-multimetr-mas830l-dt850l-proconnect-13-3021/", "Инфо")</f>
        <v>Инфо</v>
      </c>
      <c r="F3842" s="16" t="s">
        <v>39</v>
      </c>
      <c r="G3842" s="15"/>
      <c r="H3842" s="15"/>
      <c r="I3842" s="15"/>
      <c r="J3842" s="22">
        <v>5142</v>
      </c>
      <c r="K3842" s="15"/>
      <c r="L3842" s="17">
        <v>1</v>
      </c>
      <c r="M3842" s="17">
        <v>50</v>
      </c>
      <c r="N3842" s="17">
        <v>1</v>
      </c>
      <c r="O3842" s="18">
        <v>1078.02</v>
      </c>
      <c r="P3842" s="18">
        <v>883.62</v>
      </c>
      <c r="Q3842" s="18">
        <v>851.64</v>
      </c>
      <c r="R3842" s="18">
        <v>698.07</v>
      </c>
      <c r="S3842" s="18">
        <v>733.05</v>
      </c>
      <c r="T3842" s="18">
        <v>600.86</v>
      </c>
      <c r="U3842" s="16"/>
      <c r="V3842" s="16"/>
      <c r="W3842" s="16" t="s">
        <v>40</v>
      </c>
      <c r="X3842" s="19">
        <v>0.29299999999999998</v>
      </c>
      <c r="Y3842" s="20">
        <v>1.0150000000000001E-3</v>
      </c>
      <c r="Z3842" s="21">
        <v>4601004024946</v>
      </c>
    </row>
    <row r="3843" spans="1:26" ht="12" customHeight="1" outlineLevel="3" x14ac:dyDescent="0.2">
      <c r="A3843" s="32" t="s">
        <v>7478</v>
      </c>
      <c r="B3843" s="74" t="s">
        <v>7479</v>
      </c>
      <c r="C3843" s="50"/>
      <c r="D3843" s="53">
        <f t="shared" si="59"/>
        <v>0</v>
      </c>
      <c r="E3843" s="60" t="str">
        <f>HYPERLINK("https://www.sds-group.ru/product/portativnyy-multimetr-mas830l-mastech-13-2007/", "Инфо")</f>
        <v>Инфо</v>
      </c>
      <c r="F3843" s="34" t="s">
        <v>39</v>
      </c>
      <c r="G3843" s="33"/>
      <c r="H3843" s="33" t="s">
        <v>40</v>
      </c>
      <c r="I3843" s="33"/>
      <c r="J3843" s="39">
        <v>2451</v>
      </c>
      <c r="K3843" s="33"/>
      <c r="L3843" s="35">
        <v>1</v>
      </c>
      <c r="M3843" s="35">
        <v>20</v>
      </c>
      <c r="N3843" s="35">
        <v>1</v>
      </c>
      <c r="O3843" s="36">
        <v>2371.64</v>
      </c>
      <c r="P3843" s="36">
        <v>1943.97</v>
      </c>
      <c r="Q3843" s="36">
        <v>1660.15</v>
      </c>
      <c r="R3843" s="36">
        <v>1360.78</v>
      </c>
      <c r="S3843" s="36">
        <v>1612.72</v>
      </c>
      <c r="T3843" s="36">
        <v>1321.9</v>
      </c>
      <c r="U3843" s="34"/>
      <c r="V3843" s="34"/>
      <c r="W3843" s="34"/>
      <c r="X3843" s="37">
        <v>0.40300000000000002</v>
      </c>
      <c r="Y3843" s="38">
        <v>1.9989999999999999E-3</v>
      </c>
      <c r="Z3843" s="21">
        <v>4601004008298</v>
      </c>
    </row>
    <row r="3844" spans="1:26" ht="12" customHeight="1" outlineLevel="3" x14ac:dyDescent="0.2">
      <c r="A3844" s="32" t="s">
        <v>7480</v>
      </c>
      <c r="B3844" s="74" t="s">
        <v>7481</v>
      </c>
      <c r="C3844" s="50"/>
      <c r="D3844" s="53">
        <f t="shared" si="59"/>
        <v>0</v>
      </c>
      <c r="E3844" s="60" t="str">
        <f>HYPERLINK("https://www.sds-group.ru/product/portativnyy-multimetr-mas838-v-kozhuhe-s-prozvonkoy-i-izmereniem-temperatury-mastech-13-2008/", "Инфо")</f>
        <v>Инфо</v>
      </c>
      <c r="F3844" s="34" t="s">
        <v>39</v>
      </c>
      <c r="G3844" s="33"/>
      <c r="H3844" s="33" t="s">
        <v>40</v>
      </c>
      <c r="I3844" s="33"/>
      <c r="J3844" s="39">
        <v>1093</v>
      </c>
      <c r="K3844" s="33" t="s">
        <v>1004</v>
      </c>
      <c r="L3844" s="35">
        <v>1</v>
      </c>
      <c r="M3844" s="35">
        <v>20</v>
      </c>
      <c r="N3844" s="35">
        <v>1</v>
      </c>
      <c r="O3844" s="36">
        <v>2425.5500000000002</v>
      </c>
      <c r="P3844" s="36">
        <v>1988.16</v>
      </c>
      <c r="Q3844" s="36">
        <v>1697.89</v>
      </c>
      <c r="R3844" s="36">
        <v>1391.71</v>
      </c>
      <c r="S3844" s="36">
        <v>1649.37</v>
      </c>
      <c r="T3844" s="36">
        <v>1351.94</v>
      </c>
      <c r="U3844" s="34"/>
      <c r="V3844" s="34"/>
      <c r="W3844" s="34"/>
      <c r="X3844" s="37">
        <v>0.41499999999999998</v>
      </c>
      <c r="Y3844" s="38">
        <v>1.9620000000000002E-3</v>
      </c>
      <c r="Z3844" s="21">
        <v>4601004008403</v>
      </c>
    </row>
    <row r="3845" spans="1:26" ht="12" customHeight="1" outlineLevel="3" x14ac:dyDescent="0.2">
      <c r="A3845" s="14" t="s">
        <v>7482</v>
      </c>
      <c r="B3845" s="26" t="s">
        <v>7483</v>
      </c>
      <c r="C3845" s="52"/>
      <c r="D3845" s="55">
        <f t="shared" si="59"/>
        <v>0</v>
      </c>
      <c r="E3845" s="63" t="str">
        <f>HYPERLINK("https://www.sds-group.ru/product/portativnyy-multimetr-mas838l-dt858l-proconnect-13-3022/", "Инфо")</f>
        <v>Инфо</v>
      </c>
      <c r="F3845" s="16" t="s">
        <v>39</v>
      </c>
      <c r="G3845" s="15"/>
      <c r="H3845" s="15"/>
      <c r="I3845" s="15"/>
      <c r="J3845" s="17">
        <v>850</v>
      </c>
      <c r="K3845" s="15" t="s">
        <v>6939</v>
      </c>
      <c r="L3845" s="17">
        <v>1</v>
      </c>
      <c r="M3845" s="17">
        <v>50</v>
      </c>
      <c r="N3845" s="17">
        <v>1</v>
      </c>
      <c r="O3845" s="18">
        <v>1293.6199999999999</v>
      </c>
      <c r="P3845" s="18">
        <v>1060.3399999999999</v>
      </c>
      <c r="Q3845" s="18">
        <v>1021.96</v>
      </c>
      <c r="R3845" s="18">
        <v>837.67</v>
      </c>
      <c r="S3845" s="18">
        <v>879.66</v>
      </c>
      <c r="T3845" s="18">
        <v>721.03</v>
      </c>
      <c r="U3845" s="16"/>
      <c r="V3845" s="16"/>
      <c r="W3845" s="16" t="s">
        <v>40</v>
      </c>
      <c r="X3845" s="19">
        <v>0.30099999999999999</v>
      </c>
      <c r="Y3845" s="20">
        <v>9.7199999999999999E-4</v>
      </c>
      <c r="Z3845" s="21">
        <v>4601004024915</v>
      </c>
    </row>
    <row r="3846" spans="1:26" ht="12" customHeight="1" outlineLevel="3" x14ac:dyDescent="0.2">
      <c r="A3846" s="32" t="s">
        <v>7484</v>
      </c>
      <c r="B3846" s="74" t="s">
        <v>7485</v>
      </c>
      <c r="C3846" s="50"/>
      <c r="D3846" s="53">
        <f t="shared" si="59"/>
        <v>0</v>
      </c>
      <c r="E3846" s="60" t="str">
        <f>HYPERLINK("https://www.sds-group.ru/product/portativnyy-multimetr-ms8238-mastech-13-2026/", "Инфо")</f>
        <v>Инфо</v>
      </c>
      <c r="F3846" s="34" t="s">
        <v>39</v>
      </c>
      <c r="G3846" s="33"/>
      <c r="H3846" s="33" t="s">
        <v>40</v>
      </c>
      <c r="I3846" s="33"/>
      <c r="J3846" s="35">
        <v>218</v>
      </c>
      <c r="K3846" s="33"/>
      <c r="L3846" s="35">
        <v>1</v>
      </c>
      <c r="M3846" s="35">
        <v>20</v>
      </c>
      <c r="N3846" s="35">
        <v>1</v>
      </c>
      <c r="O3846" s="36">
        <v>2910.65</v>
      </c>
      <c r="P3846" s="36">
        <v>2385.7800000000002</v>
      </c>
      <c r="Q3846" s="36">
        <v>2037.46</v>
      </c>
      <c r="R3846" s="36">
        <v>1670.05</v>
      </c>
      <c r="S3846" s="36">
        <v>1979.24</v>
      </c>
      <c r="T3846" s="36">
        <v>1622.33</v>
      </c>
      <c r="U3846" s="34"/>
      <c r="V3846" s="34"/>
      <c r="W3846" s="34"/>
      <c r="X3846" s="37">
        <v>0.375</v>
      </c>
      <c r="Y3846" s="38">
        <v>2.0140000000000002E-3</v>
      </c>
      <c r="Z3846" s="21">
        <v>4601004018204</v>
      </c>
    </row>
    <row r="3847" spans="1:26" ht="12" customHeight="1" outlineLevel="3" x14ac:dyDescent="0.2">
      <c r="A3847" s="32" t="s">
        <v>7486</v>
      </c>
      <c r="B3847" s="74" t="s">
        <v>7487</v>
      </c>
      <c r="C3847" s="50"/>
      <c r="D3847" s="53">
        <f t="shared" si="59"/>
        <v>0</v>
      </c>
      <c r="E3847" s="60" t="str">
        <f>HYPERLINK("https://www.sds-group.ru/product/portativnyy-multimetr-uni-t-ut120c-13-0019/", "Инфо")</f>
        <v>Инфо</v>
      </c>
      <c r="F3847" s="34" t="s">
        <v>39</v>
      </c>
      <c r="G3847" s="33"/>
      <c r="H3847" s="33" t="s">
        <v>40</v>
      </c>
      <c r="I3847" s="33"/>
      <c r="J3847" s="35">
        <v>71</v>
      </c>
      <c r="K3847" s="33"/>
      <c r="L3847" s="35">
        <v>1</v>
      </c>
      <c r="M3847" s="35">
        <v>100</v>
      </c>
      <c r="N3847" s="35">
        <v>1</v>
      </c>
      <c r="O3847" s="36">
        <v>4473.78</v>
      </c>
      <c r="P3847" s="36">
        <v>3667.03</v>
      </c>
      <c r="Q3847" s="36">
        <v>3131.65</v>
      </c>
      <c r="R3847" s="36">
        <v>2566.9299999999998</v>
      </c>
      <c r="S3847" s="36">
        <v>3042.17</v>
      </c>
      <c r="T3847" s="36">
        <v>2493.58</v>
      </c>
      <c r="U3847" s="34"/>
      <c r="V3847" s="34"/>
      <c r="W3847" s="34"/>
      <c r="X3847" s="37">
        <v>0.13200000000000001</v>
      </c>
      <c r="Y3847" s="38">
        <v>8.6200000000000003E-4</v>
      </c>
      <c r="Z3847" s="21">
        <v>4601004070134</v>
      </c>
    </row>
    <row r="3848" spans="1:26" ht="12" customHeight="1" outlineLevel="3" x14ac:dyDescent="0.2">
      <c r="A3848" s="32" t="s">
        <v>7488</v>
      </c>
      <c r="B3848" s="74" t="s">
        <v>7489</v>
      </c>
      <c r="C3848" s="50"/>
      <c r="D3848" s="53">
        <f t="shared" si="59"/>
        <v>0</v>
      </c>
      <c r="E3848" s="60" t="str">
        <f>HYPERLINK("https://www.sds-group.ru/product/portativnyy-multimetr-uni-t-ut33a-13-0055/", "Инфо")</f>
        <v>Инфо</v>
      </c>
      <c r="F3848" s="34" t="s">
        <v>39</v>
      </c>
      <c r="G3848" s="33"/>
      <c r="H3848" s="33" t="s">
        <v>40</v>
      </c>
      <c r="I3848" s="33"/>
      <c r="J3848" s="39">
        <v>2067</v>
      </c>
      <c r="K3848" s="33"/>
      <c r="L3848" s="35">
        <v>1</v>
      </c>
      <c r="M3848" s="35">
        <v>60</v>
      </c>
      <c r="N3848" s="35">
        <v>1</v>
      </c>
      <c r="O3848" s="36">
        <v>2759.73</v>
      </c>
      <c r="P3848" s="36">
        <v>2262.0700000000002</v>
      </c>
      <c r="Q3848" s="36">
        <v>1931.81</v>
      </c>
      <c r="R3848" s="36">
        <v>1583.45</v>
      </c>
      <c r="S3848" s="36">
        <v>1876.62</v>
      </c>
      <c r="T3848" s="36">
        <v>1538.21</v>
      </c>
      <c r="U3848" s="34"/>
      <c r="V3848" s="34"/>
      <c r="W3848" s="34"/>
      <c r="X3848" s="37">
        <v>0.33</v>
      </c>
      <c r="Y3848" s="38">
        <v>1.1379999999999999E-3</v>
      </c>
      <c r="Z3848" s="21">
        <v>4601004146952</v>
      </c>
    </row>
    <row r="3849" spans="1:26" ht="12" customHeight="1" outlineLevel="3" x14ac:dyDescent="0.2">
      <c r="A3849" s="32" t="s">
        <v>7490</v>
      </c>
      <c r="B3849" s="74" t="s">
        <v>7491</v>
      </c>
      <c r="C3849" s="50"/>
      <c r="D3849" s="53">
        <f t="shared" ref="D3849:D3912" si="60">C3849*(O3849-O3849*$G$3)</f>
        <v>0</v>
      </c>
      <c r="E3849" s="60" t="str">
        <f>HYPERLINK("https://www.sds-group.ru/product/portativnyy-multimetr-uni-t-ut33b-13-0056/", "Инфо")</f>
        <v>Инфо</v>
      </c>
      <c r="F3849" s="34" t="s">
        <v>39</v>
      </c>
      <c r="G3849" s="33"/>
      <c r="H3849" s="33" t="s">
        <v>40</v>
      </c>
      <c r="I3849" s="33"/>
      <c r="J3849" s="35">
        <v>470</v>
      </c>
      <c r="K3849" s="33" t="s">
        <v>1587</v>
      </c>
      <c r="L3849" s="35">
        <v>1</v>
      </c>
      <c r="M3849" s="35">
        <v>60</v>
      </c>
      <c r="N3849" s="35">
        <v>1</v>
      </c>
      <c r="O3849" s="36">
        <v>2102.14</v>
      </c>
      <c r="P3849" s="36">
        <v>1723.07</v>
      </c>
      <c r="Q3849" s="36">
        <v>1471.5</v>
      </c>
      <c r="R3849" s="36">
        <v>1206.1500000000001</v>
      </c>
      <c r="S3849" s="36">
        <v>1429.46</v>
      </c>
      <c r="T3849" s="36">
        <v>1171.69</v>
      </c>
      <c r="U3849" s="34"/>
      <c r="V3849" s="34"/>
      <c r="W3849" s="34"/>
      <c r="X3849" s="37">
        <v>0.33100000000000002</v>
      </c>
      <c r="Y3849" s="38">
        <v>1.1540000000000001E-3</v>
      </c>
      <c r="Z3849" s="21">
        <v>4601004146921</v>
      </c>
    </row>
    <row r="3850" spans="1:26" ht="12" customHeight="1" outlineLevel="3" x14ac:dyDescent="0.2">
      <c r="A3850" s="32" t="s">
        <v>7492</v>
      </c>
      <c r="B3850" s="74" t="s">
        <v>7493</v>
      </c>
      <c r="C3850" s="50"/>
      <c r="D3850" s="53">
        <f t="shared" si="60"/>
        <v>0</v>
      </c>
      <c r="E3850" s="60" t="str">
        <f>HYPERLINK("https://www.sds-group.ru/product/portativnyy-multimetr-uni-t-ut33c-13-0057/", "Инфо")</f>
        <v>Инфо</v>
      </c>
      <c r="F3850" s="34" t="s">
        <v>39</v>
      </c>
      <c r="G3850" s="33"/>
      <c r="H3850" s="33" t="s">
        <v>40</v>
      </c>
      <c r="I3850" s="33"/>
      <c r="J3850" s="34" t="s">
        <v>100</v>
      </c>
      <c r="K3850" s="33" t="s">
        <v>1587</v>
      </c>
      <c r="L3850" s="35">
        <v>1</v>
      </c>
      <c r="M3850" s="35">
        <v>60</v>
      </c>
      <c r="N3850" s="35">
        <v>1</v>
      </c>
      <c r="O3850" s="36">
        <v>2231.5</v>
      </c>
      <c r="P3850" s="36">
        <v>1829.1</v>
      </c>
      <c r="Q3850" s="36">
        <v>1562.05</v>
      </c>
      <c r="R3850" s="36">
        <v>1280.3699999999999</v>
      </c>
      <c r="S3850" s="36">
        <v>1517.42</v>
      </c>
      <c r="T3850" s="36">
        <v>1243.79</v>
      </c>
      <c r="U3850" s="34"/>
      <c r="V3850" s="34"/>
      <c r="W3850" s="34"/>
      <c r="X3850" s="37">
        <v>0.34200000000000003</v>
      </c>
      <c r="Y3850" s="38">
        <v>1.196E-3</v>
      </c>
      <c r="Z3850" s="21">
        <v>4601004146938</v>
      </c>
    </row>
    <row r="3851" spans="1:26" ht="12" customHeight="1" outlineLevel="3" x14ac:dyDescent="0.2">
      <c r="A3851" s="32" t="s">
        <v>7494</v>
      </c>
      <c r="B3851" s="74" t="s">
        <v>7495</v>
      </c>
      <c r="C3851" s="50"/>
      <c r="D3851" s="53">
        <f t="shared" si="60"/>
        <v>0</v>
      </c>
      <c r="E3851" s="60" t="str">
        <f>HYPERLINK("https://www.sds-group.ru/product/portativnyy-multimetr-uni-t-ut33d-13-0058/", "Инфо")</f>
        <v>Инфо</v>
      </c>
      <c r="F3851" s="34" t="s">
        <v>39</v>
      </c>
      <c r="G3851" s="33"/>
      <c r="H3851" s="33" t="s">
        <v>40</v>
      </c>
      <c r="I3851" s="33"/>
      <c r="J3851" s="35">
        <v>954</v>
      </c>
      <c r="K3851" s="33" t="s">
        <v>1587</v>
      </c>
      <c r="L3851" s="35">
        <v>1</v>
      </c>
      <c r="M3851" s="35">
        <v>60</v>
      </c>
      <c r="N3851" s="35">
        <v>1</v>
      </c>
      <c r="O3851" s="36">
        <v>2134.48</v>
      </c>
      <c r="P3851" s="36">
        <v>1749.57</v>
      </c>
      <c r="Q3851" s="36">
        <v>1494.14</v>
      </c>
      <c r="R3851" s="36">
        <v>1224.7</v>
      </c>
      <c r="S3851" s="36">
        <v>1451.45</v>
      </c>
      <c r="T3851" s="36">
        <v>1189.71</v>
      </c>
      <c r="U3851" s="34"/>
      <c r="V3851" s="34"/>
      <c r="W3851" s="34"/>
      <c r="X3851" s="37">
        <v>0.33</v>
      </c>
      <c r="Y3851" s="38">
        <v>1.1670000000000001E-3</v>
      </c>
      <c r="Z3851" s="21">
        <v>4601004146945</v>
      </c>
    </row>
    <row r="3852" spans="1:26" ht="12" customHeight="1" outlineLevel="3" x14ac:dyDescent="0.2">
      <c r="A3852" s="14" t="s">
        <v>7496</v>
      </c>
      <c r="B3852" s="26" t="s">
        <v>7497</v>
      </c>
      <c r="C3852" s="52"/>
      <c r="D3852" s="55">
        <f t="shared" si="60"/>
        <v>0</v>
      </c>
      <c r="E3852" s="63" t="str">
        <f>HYPERLINK("https://www.sds-group.ru/product/portativnyy-multimetr-m-182-dt-182-proconnect-13-3014/", "Инфо")</f>
        <v>Инфо</v>
      </c>
      <c r="F3852" s="16" t="s">
        <v>39</v>
      </c>
      <c r="G3852" s="15"/>
      <c r="H3852" s="15"/>
      <c r="I3852" s="15"/>
      <c r="J3852" s="22">
        <v>2614</v>
      </c>
      <c r="K3852" s="15" t="s">
        <v>6939</v>
      </c>
      <c r="L3852" s="17">
        <v>1</v>
      </c>
      <c r="M3852" s="17">
        <v>100</v>
      </c>
      <c r="N3852" s="17">
        <v>1</v>
      </c>
      <c r="O3852" s="18">
        <v>722.27</v>
      </c>
      <c r="P3852" s="18">
        <v>592.02</v>
      </c>
      <c r="Q3852" s="18">
        <v>577.82000000000005</v>
      </c>
      <c r="R3852" s="18">
        <v>473.62</v>
      </c>
      <c r="S3852" s="18">
        <v>491.14</v>
      </c>
      <c r="T3852" s="18">
        <v>402.57</v>
      </c>
      <c r="U3852" s="16"/>
      <c r="V3852" s="16"/>
      <c r="W3852" s="16" t="s">
        <v>40</v>
      </c>
      <c r="X3852" s="19">
        <v>0.1</v>
      </c>
      <c r="Y3852" s="20">
        <v>3.9199999999999999E-4</v>
      </c>
      <c r="Z3852" s="21">
        <v>4601004044975</v>
      </c>
    </row>
    <row r="3853" spans="1:26" ht="12" customHeight="1" outlineLevel="3" x14ac:dyDescent="0.2">
      <c r="A3853" s="32" t="s">
        <v>7498</v>
      </c>
      <c r="B3853" s="74" t="s">
        <v>7499</v>
      </c>
      <c r="C3853" s="50"/>
      <c r="D3853" s="53">
        <f t="shared" si="60"/>
        <v>0</v>
      </c>
      <c r="E3853" s="60" t="str">
        <f>HYPERLINK("https://www.sds-group.ru/product/tsifrovoy-multimetr-probnik-ms8211-mastech-13-2044/", "Инфо")</f>
        <v>Инфо</v>
      </c>
      <c r="F3853" s="34" t="s">
        <v>39</v>
      </c>
      <c r="G3853" s="33"/>
      <c r="H3853" s="33" t="s">
        <v>40</v>
      </c>
      <c r="I3853" s="33"/>
      <c r="J3853" s="35">
        <v>131</v>
      </c>
      <c r="K3853" s="33" t="s">
        <v>1004</v>
      </c>
      <c r="L3853" s="35">
        <v>1</v>
      </c>
      <c r="M3853" s="35">
        <v>40</v>
      </c>
      <c r="N3853" s="35">
        <v>1</v>
      </c>
      <c r="O3853" s="36">
        <v>4549.24</v>
      </c>
      <c r="P3853" s="36">
        <v>3728.89</v>
      </c>
      <c r="Q3853" s="36">
        <v>3184.47</v>
      </c>
      <c r="R3853" s="36">
        <v>2610.2199999999998</v>
      </c>
      <c r="S3853" s="36">
        <v>3093.48</v>
      </c>
      <c r="T3853" s="36">
        <v>2535.64</v>
      </c>
      <c r="U3853" s="34"/>
      <c r="V3853" s="34"/>
      <c r="W3853" s="34"/>
      <c r="X3853" s="37">
        <v>0.28499999999999998</v>
      </c>
      <c r="Y3853" s="38">
        <v>1.145E-3</v>
      </c>
      <c r="Z3853" s="21">
        <v>4601004060197</v>
      </c>
    </row>
    <row r="3854" spans="1:26" ht="12" customHeight="1" outlineLevel="3" x14ac:dyDescent="0.2">
      <c r="A3854" s="32" t="s">
        <v>7500</v>
      </c>
      <c r="B3854" s="74" t="s">
        <v>7501</v>
      </c>
      <c r="C3854" s="50"/>
      <c r="D3854" s="53">
        <f t="shared" si="60"/>
        <v>0</v>
      </c>
      <c r="E3854" s="60" t="str">
        <f>HYPERLINK("https://www.sds-group.ru/product/tsifrovoy-multimetr-probnik-ms8211d-mastech-13-2045/", "Инфо")</f>
        <v>Инфо</v>
      </c>
      <c r="F3854" s="34" t="s">
        <v>39</v>
      </c>
      <c r="G3854" s="33"/>
      <c r="H3854" s="33" t="s">
        <v>40</v>
      </c>
      <c r="I3854" s="33"/>
      <c r="J3854" s="35">
        <v>429</v>
      </c>
      <c r="K3854" s="33"/>
      <c r="L3854" s="35">
        <v>1</v>
      </c>
      <c r="M3854" s="35">
        <v>40</v>
      </c>
      <c r="N3854" s="35">
        <v>1</v>
      </c>
      <c r="O3854" s="36">
        <v>4657.05</v>
      </c>
      <c r="P3854" s="36">
        <v>3817.25</v>
      </c>
      <c r="Q3854" s="36">
        <v>3259.94</v>
      </c>
      <c r="R3854" s="36">
        <v>2672.08</v>
      </c>
      <c r="S3854" s="36">
        <v>3166.79</v>
      </c>
      <c r="T3854" s="36">
        <v>2595.73</v>
      </c>
      <c r="U3854" s="34"/>
      <c r="V3854" s="34"/>
      <c r="W3854" s="34"/>
      <c r="X3854" s="37">
        <v>0.28299999999999997</v>
      </c>
      <c r="Y3854" s="38">
        <v>1.2199999999999999E-3</v>
      </c>
      <c r="Z3854" s="21">
        <v>4601004052109</v>
      </c>
    </row>
    <row r="3855" spans="1:26" ht="12" customHeight="1" outlineLevel="3" x14ac:dyDescent="0.2">
      <c r="A3855" s="32" t="s">
        <v>7502</v>
      </c>
      <c r="B3855" s="74" t="s">
        <v>7503</v>
      </c>
      <c r="C3855" s="50"/>
      <c r="D3855" s="53">
        <f t="shared" si="60"/>
        <v>0</v>
      </c>
      <c r="E3855" s="60" t="str">
        <f>HYPERLINK("https://www.sds-group.ru/product/tsifrovoy-multimetr-probnik-ms8223a-mastech-13-2046/", "Инфо")</f>
        <v>Инфо</v>
      </c>
      <c r="F3855" s="34" t="s">
        <v>39</v>
      </c>
      <c r="G3855" s="33"/>
      <c r="H3855" s="33" t="s">
        <v>40</v>
      </c>
      <c r="I3855" s="33"/>
      <c r="J3855" s="35">
        <v>151</v>
      </c>
      <c r="K3855" s="33"/>
      <c r="L3855" s="35">
        <v>1</v>
      </c>
      <c r="M3855" s="35">
        <v>40</v>
      </c>
      <c r="N3855" s="35">
        <v>1</v>
      </c>
      <c r="O3855" s="36">
        <v>4958.8900000000003</v>
      </c>
      <c r="P3855" s="36">
        <v>4064.66</v>
      </c>
      <c r="Q3855" s="36">
        <v>3471.22</v>
      </c>
      <c r="R3855" s="36">
        <v>2845.26</v>
      </c>
      <c r="S3855" s="36">
        <v>3372.05</v>
      </c>
      <c r="T3855" s="36">
        <v>2763.98</v>
      </c>
      <c r="U3855" s="34"/>
      <c r="V3855" s="34"/>
      <c r="W3855" s="34"/>
      <c r="X3855" s="37">
        <v>0.29099999999999998</v>
      </c>
      <c r="Y3855" s="38">
        <v>1.307E-3</v>
      </c>
      <c r="Z3855" s="21">
        <v>4601004195714</v>
      </c>
    </row>
    <row r="3856" spans="1:26" ht="12.95" customHeight="1" outlineLevel="2" x14ac:dyDescent="0.2">
      <c r="A3856" s="76" t="s">
        <v>7504</v>
      </c>
      <c r="B3856" s="76"/>
      <c r="C3856" s="77"/>
      <c r="D3856" s="58"/>
      <c r="E3856" s="68"/>
      <c r="F3856" s="13"/>
      <c r="G3856" s="13"/>
      <c r="H3856" s="13"/>
      <c r="I3856" s="13"/>
      <c r="J3856" s="13"/>
      <c r="K3856" s="13"/>
      <c r="L3856" s="13"/>
      <c r="M3856" s="13"/>
      <c r="N3856" s="13"/>
      <c r="O3856" s="13"/>
      <c r="P3856" s="13"/>
      <c r="Q3856" s="13"/>
      <c r="R3856" s="13"/>
      <c r="S3856" s="13"/>
      <c r="T3856" s="13"/>
      <c r="U3856" s="13"/>
      <c r="V3856" s="13"/>
      <c r="W3856" s="13"/>
      <c r="X3856" s="13"/>
      <c r="Y3856" s="13"/>
      <c r="Z3856" s="13"/>
    </row>
    <row r="3857" spans="1:26" ht="12" customHeight="1" outlineLevel="3" x14ac:dyDescent="0.2">
      <c r="A3857" s="14" t="s">
        <v>7505</v>
      </c>
      <c r="B3857" s="26" t="s">
        <v>7506</v>
      </c>
      <c r="C3857" s="52"/>
      <c r="D3857" s="55">
        <f t="shared" si="60"/>
        <v>0</v>
      </c>
      <c r="E3857" s="63" t="str">
        <f>HYPERLINK("https://www.sds-group.ru/product/multimetr-universalnyy-p9205m-proconnect-13-3026/", "Инфо")</f>
        <v>Инфо</v>
      </c>
      <c r="F3857" s="16" t="s">
        <v>39</v>
      </c>
      <c r="G3857" s="15"/>
      <c r="H3857" s="15"/>
      <c r="I3857" s="15"/>
      <c r="J3857" s="17">
        <v>782</v>
      </c>
      <c r="K3857" s="15"/>
      <c r="L3857" s="17">
        <v>1</v>
      </c>
      <c r="M3857" s="17">
        <v>40</v>
      </c>
      <c r="N3857" s="17">
        <v>1</v>
      </c>
      <c r="O3857" s="18">
        <v>1272.06</v>
      </c>
      <c r="P3857" s="18">
        <v>1042.67</v>
      </c>
      <c r="Q3857" s="18">
        <v>1004.93</v>
      </c>
      <c r="R3857" s="18">
        <v>823.71</v>
      </c>
      <c r="S3857" s="18">
        <v>865</v>
      </c>
      <c r="T3857" s="18">
        <v>709.02</v>
      </c>
      <c r="U3857" s="16"/>
      <c r="V3857" s="16"/>
      <c r="W3857" s="16" t="s">
        <v>40</v>
      </c>
      <c r="X3857" s="19">
        <v>0.378</v>
      </c>
      <c r="Y3857" s="20">
        <v>1.753E-3</v>
      </c>
      <c r="Z3857" s="21">
        <v>4601004301955</v>
      </c>
    </row>
    <row r="3858" spans="1:26" ht="12" customHeight="1" outlineLevel="3" x14ac:dyDescent="0.2">
      <c r="A3858" s="14" t="s">
        <v>7507</v>
      </c>
      <c r="B3858" s="26" t="s">
        <v>7508</v>
      </c>
      <c r="C3858" s="52"/>
      <c r="D3858" s="55">
        <f t="shared" si="60"/>
        <v>0</v>
      </c>
      <c r="E3858" s="63" t="str">
        <f>HYPERLINK("https://www.sds-group.ru/product/multimetr-universalnyy-r132s-rexant-13-3154/", "Инфо")</f>
        <v>Инфо</v>
      </c>
      <c r="F3858" s="16" t="s">
        <v>39</v>
      </c>
      <c r="G3858" s="15"/>
      <c r="H3858" s="15"/>
      <c r="I3858" s="15"/>
      <c r="J3858" s="17">
        <v>407</v>
      </c>
      <c r="K3858" s="15"/>
      <c r="L3858" s="17">
        <v>1</v>
      </c>
      <c r="M3858" s="17">
        <v>40</v>
      </c>
      <c r="N3858" s="17">
        <v>1</v>
      </c>
      <c r="O3858" s="18">
        <v>5334.22</v>
      </c>
      <c r="P3858" s="18">
        <v>4372.3100000000004</v>
      </c>
      <c r="Q3858" s="18">
        <v>3893.98</v>
      </c>
      <c r="R3858" s="18">
        <v>3191.79</v>
      </c>
      <c r="S3858" s="18">
        <v>3627.27</v>
      </c>
      <c r="T3858" s="18">
        <v>2973.17</v>
      </c>
      <c r="U3858" s="16"/>
      <c r="V3858" s="16"/>
      <c r="W3858" s="16" t="s">
        <v>40</v>
      </c>
      <c r="X3858" s="19">
        <v>0.56399999999999995</v>
      </c>
      <c r="Y3858" s="20">
        <v>2.222E-3</v>
      </c>
      <c r="Z3858" s="21">
        <v>4601004302068</v>
      </c>
    </row>
    <row r="3859" spans="1:26" ht="12" customHeight="1" outlineLevel="3" x14ac:dyDescent="0.2">
      <c r="A3859" s="14" t="s">
        <v>7509</v>
      </c>
      <c r="B3859" s="26" t="s">
        <v>7510</v>
      </c>
      <c r="C3859" s="52"/>
      <c r="D3859" s="55">
        <f t="shared" si="60"/>
        <v>0</v>
      </c>
      <c r="E3859" s="63" t="str">
        <f>HYPERLINK("https://www.sds-group.ru/product/multimetr-universalnyy-r135d-rexant-13-3151/", "Инфо")</f>
        <v>Инфо</v>
      </c>
      <c r="F3859" s="16" t="s">
        <v>39</v>
      </c>
      <c r="G3859" s="15"/>
      <c r="H3859" s="15"/>
      <c r="I3859" s="15"/>
      <c r="J3859" s="17">
        <v>462</v>
      </c>
      <c r="K3859" s="15"/>
      <c r="L3859" s="17">
        <v>1</v>
      </c>
      <c r="M3859" s="17">
        <v>40</v>
      </c>
      <c r="N3859" s="17">
        <v>1</v>
      </c>
      <c r="O3859" s="18">
        <v>3967.11</v>
      </c>
      <c r="P3859" s="18">
        <v>3251.73</v>
      </c>
      <c r="Q3859" s="18">
        <v>2895.99</v>
      </c>
      <c r="R3859" s="18">
        <v>2373.7600000000002</v>
      </c>
      <c r="S3859" s="18">
        <v>2697.63</v>
      </c>
      <c r="T3859" s="18">
        <v>2211.17</v>
      </c>
      <c r="U3859" s="16"/>
      <c r="V3859" s="16"/>
      <c r="W3859" s="16" t="s">
        <v>40</v>
      </c>
      <c r="X3859" s="19">
        <v>0.46400000000000002</v>
      </c>
      <c r="Y3859" s="20">
        <v>1.5640000000000001E-3</v>
      </c>
      <c r="Z3859" s="21">
        <v>4601004302051</v>
      </c>
    </row>
    <row r="3860" spans="1:26" ht="12" customHeight="1" outlineLevel="3" x14ac:dyDescent="0.2">
      <c r="A3860" s="32" t="s">
        <v>7511</v>
      </c>
      <c r="B3860" s="74" t="s">
        <v>7512</v>
      </c>
      <c r="C3860" s="50"/>
      <c r="D3860" s="53">
        <f t="shared" si="60"/>
        <v>0</v>
      </c>
      <c r="E3860" s="60" t="str">
        <f>HYPERLINK("https://www.sds-group.ru/product/multimetr-universalnyy-uni-t-ut136c-13-0069/", "Инфо")</f>
        <v>Инфо</v>
      </c>
      <c r="F3860" s="34" t="s">
        <v>39</v>
      </c>
      <c r="G3860" s="33"/>
      <c r="H3860" s="33" t="s">
        <v>40</v>
      </c>
      <c r="I3860" s="33"/>
      <c r="J3860" s="35">
        <v>39</v>
      </c>
      <c r="K3860" s="33" t="s">
        <v>7336</v>
      </c>
      <c r="L3860" s="35">
        <v>1</v>
      </c>
      <c r="M3860" s="35">
        <v>30</v>
      </c>
      <c r="N3860" s="35">
        <v>1</v>
      </c>
      <c r="O3860" s="36">
        <v>4851.09</v>
      </c>
      <c r="P3860" s="36">
        <v>3976.3</v>
      </c>
      <c r="Q3860" s="36">
        <v>3395.76</v>
      </c>
      <c r="R3860" s="36">
        <v>2783.41</v>
      </c>
      <c r="S3860" s="36">
        <v>3298.74</v>
      </c>
      <c r="T3860" s="36">
        <v>2703.89</v>
      </c>
      <c r="U3860" s="34"/>
      <c r="V3860" s="34"/>
      <c r="W3860" s="34"/>
      <c r="X3860" s="37">
        <v>0.47499999999999998</v>
      </c>
      <c r="Y3860" s="38">
        <v>1.5679999999999999E-3</v>
      </c>
      <c r="Z3860" s="21">
        <v>4601004289949</v>
      </c>
    </row>
    <row r="3861" spans="1:26" ht="12" customHeight="1" outlineLevel="3" x14ac:dyDescent="0.2">
      <c r="A3861" s="32" t="s">
        <v>7513</v>
      </c>
      <c r="B3861" s="74" t="s">
        <v>7514</v>
      </c>
      <c r="C3861" s="50"/>
      <c r="D3861" s="53">
        <f t="shared" si="60"/>
        <v>0</v>
      </c>
      <c r="E3861" s="60" t="str">
        <f>HYPERLINK("https://www.sds-group.ru/product/multimetr-universalnyy-uni-t-ut39a-13-0066/", "Инфо")</f>
        <v>Инфо</v>
      </c>
      <c r="F3861" s="34" t="s">
        <v>39</v>
      </c>
      <c r="G3861" s="33"/>
      <c r="H3861" s="33" t="s">
        <v>40</v>
      </c>
      <c r="I3861" s="33"/>
      <c r="J3861" s="35">
        <v>14</v>
      </c>
      <c r="K3861" s="33" t="s">
        <v>1587</v>
      </c>
      <c r="L3861" s="35">
        <v>1</v>
      </c>
      <c r="M3861" s="35">
        <v>30</v>
      </c>
      <c r="N3861" s="35">
        <v>1</v>
      </c>
      <c r="O3861" s="36">
        <v>3449.66</v>
      </c>
      <c r="P3861" s="36">
        <v>2827.59</v>
      </c>
      <c r="Q3861" s="36">
        <v>2414.7600000000002</v>
      </c>
      <c r="R3861" s="36">
        <v>1979.31</v>
      </c>
      <c r="S3861" s="36">
        <v>2345.77</v>
      </c>
      <c r="T3861" s="36">
        <v>1922.76</v>
      </c>
      <c r="U3861" s="34"/>
      <c r="V3861" s="34"/>
      <c r="W3861" s="34"/>
      <c r="X3861" s="37">
        <v>0.46500000000000002</v>
      </c>
      <c r="Y3861" s="38">
        <v>1.621E-3</v>
      </c>
      <c r="Z3861" s="21">
        <v>4601004289970</v>
      </c>
    </row>
    <row r="3862" spans="1:26" ht="24" customHeight="1" outlineLevel="3" x14ac:dyDescent="0.2">
      <c r="A3862" s="32" t="s">
        <v>7515</v>
      </c>
      <c r="B3862" s="74" t="s">
        <v>7516</v>
      </c>
      <c r="C3862" s="50"/>
      <c r="D3862" s="53">
        <f t="shared" si="60"/>
        <v>0</v>
      </c>
      <c r="E3862" s="60" t="str">
        <f>HYPERLINK("https://www.sds-group.ru/product/multimetr-universalnyy-uni-t-ut39e-13-0068/", "Инфо")</f>
        <v>Инфо</v>
      </c>
      <c r="F3862" s="34" t="s">
        <v>39</v>
      </c>
      <c r="G3862" s="33"/>
      <c r="H3862" s="33" t="s">
        <v>40</v>
      </c>
      <c r="I3862" s="33"/>
      <c r="J3862" s="35">
        <v>72</v>
      </c>
      <c r="K3862" s="33"/>
      <c r="L3862" s="35">
        <v>1</v>
      </c>
      <c r="M3862" s="35">
        <v>1</v>
      </c>
      <c r="N3862" s="35">
        <v>1</v>
      </c>
      <c r="O3862" s="36">
        <v>6899.33</v>
      </c>
      <c r="P3862" s="36">
        <v>5655.19</v>
      </c>
      <c r="Q3862" s="36">
        <v>4829.53</v>
      </c>
      <c r="R3862" s="36">
        <v>3958.63</v>
      </c>
      <c r="S3862" s="36">
        <v>4691.54</v>
      </c>
      <c r="T3862" s="36">
        <v>3845.52</v>
      </c>
      <c r="U3862" s="34" t="s">
        <v>7341</v>
      </c>
      <c r="V3862" s="34" t="s">
        <v>7342</v>
      </c>
      <c r="W3862" s="34"/>
      <c r="X3862" s="37">
        <v>0.50900000000000001</v>
      </c>
      <c r="Y3862" s="38">
        <v>1.668E-3</v>
      </c>
      <c r="Z3862" s="21">
        <v>4601004289802</v>
      </c>
    </row>
    <row r="3863" spans="1:26" ht="24" customHeight="1" outlineLevel="3" x14ac:dyDescent="0.2">
      <c r="A3863" s="32" t="s">
        <v>7517</v>
      </c>
      <c r="B3863" s="74" t="s">
        <v>7518</v>
      </c>
      <c r="C3863" s="50"/>
      <c r="D3863" s="53">
        <f t="shared" si="60"/>
        <v>0</v>
      </c>
      <c r="E3863" s="60" t="str">
        <f>HYPERLINK("https://www.sds-group.ru/product/multimetr-universalnyy-uni-t-ut39s-13-0067/", "Инфо")</f>
        <v>Инфо</v>
      </c>
      <c r="F3863" s="34" t="s">
        <v>39</v>
      </c>
      <c r="G3863" s="33"/>
      <c r="H3863" s="33" t="s">
        <v>40</v>
      </c>
      <c r="I3863" s="33"/>
      <c r="J3863" s="34" t="s">
        <v>100</v>
      </c>
      <c r="K3863" s="33"/>
      <c r="L3863" s="35">
        <v>1</v>
      </c>
      <c r="M3863" s="35">
        <v>30</v>
      </c>
      <c r="N3863" s="35">
        <v>1</v>
      </c>
      <c r="O3863" s="36">
        <v>3665.27</v>
      </c>
      <c r="P3863" s="36">
        <v>3004.32</v>
      </c>
      <c r="Q3863" s="36">
        <v>2565.69</v>
      </c>
      <c r="R3863" s="36">
        <v>2103.02</v>
      </c>
      <c r="S3863" s="36">
        <v>2492.38</v>
      </c>
      <c r="T3863" s="36">
        <v>2042.93</v>
      </c>
      <c r="U3863" s="34" t="s">
        <v>7341</v>
      </c>
      <c r="V3863" s="34" t="s">
        <v>7342</v>
      </c>
      <c r="W3863" s="34"/>
      <c r="X3863" s="37">
        <v>0.47499999999999998</v>
      </c>
      <c r="Y3863" s="38">
        <v>1.5640000000000001E-3</v>
      </c>
      <c r="Z3863" s="21">
        <v>4601004289772</v>
      </c>
    </row>
    <row r="3864" spans="1:26" ht="12" customHeight="1" outlineLevel="3" x14ac:dyDescent="0.2">
      <c r="A3864" s="32" t="s">
        <v>7519</v>
      </c>
      <c r="B3864" s="74" t="s">
        <v>7520</v>
      </c>
      <c r="C3864" s="50"/>
      <c r="D3864" s="53">
        <f t="shared" si="60"/>
        <v>0</v>
      </c>
      <c r="E3864" s="60" t="str">
        <f>HYPERLINK("https://www.sds-group.ru/product/multimetr-universalnyy-uni-t-ut890c-13-0070/", "Инфо")</f>
        <v>Инфо</v>
      </c>
      <c r="F3864" s="34" t="s">
        <v>39</v>
      </c>
      <c r="G3864" s="33"/>
      <c r="H3864" s="33" t="s">
        <v>40</v>
      </c>
      <c r="I3864" s="33"/>
      <c r="J3864" s="35">
        <v>110</v>
      </c>
      <c r="K3864" s="33" t="s">
        <v>7336</v>
      </c>
      <c r="L3864" s="35">
        <v>1</v>
      </c>
      <c r="M3864" s="35">
        <v>1</v>
      </c>
      <c r="N3864" s="35">
        <v>1</v>
      </c>
      <c r="O3864" s="36">
        <v>4312.08</v>
      </c>
      <c r="P3864" s="36">
        <v>3534.49</v>
      </c>
      <c r="Q3864" s="36">
        <v>3018.46</v>
      </c>
      <c r="R3864" s="36">
        <v>2474.15</v>
      </c>
      <c r="S3864" s="36">
        <v>2932.21</v>
      </c>
      <c r="T3864" s="36">
        <v>2403.4499999999998</v>
      </c>
      <c r="U3864" s="34"/>
      <c r="V3864" s="34"/>
      <c r="W3864" s="34"/>
      <c r="X3864" s="37">
        <v>0.56799999999999995</v>
      </c>
      <c r="Y3864" s="38">
        <v>2.6700000000000001E-3</v>
      </c>
      <c r="Z3864" s="21">
        <v>4601004289833</v>
      </c>
    </row>
    <row r="3865" spans="1:26" ht="12" customHeight="1" outlineLevel="3" x14ac:dyDescent="0.2">
      <c r="A3865" s="32" t="s">
        <v>7521</v>
      </c>
      <c r="B3865" s="74" t="s">
        <v>7522</v>
      </c>
      <c r="C3865" s="50"/>
      <c r="D3865" s="53">
        <f t="shared" si="60"/>
        <v>0</v>
      </c>
      <c r="E3865" s="60" t="str">
        <f>HYPERLINK("https://www.sds-group.ru/product/multimetr-universalnyy-uni-t-ut890d-13-0071/", "Инфо")</f>
        <v>Инфо</v>
      </c>
      <c r="F3865" s="34" t="s">
        <v>39</v>
      </c>
      <c r="G3865" s="33"/>
      <c r="H3865" s="33" t="s">
        <v>40</v>
      </c>
      <c r="I3865" s="33"/>
      <c r="J3865" s="35">
        <v>50</v>
      </c>
      <c r="K3865" s="33" t="s">
        <v>1587</v>
      </c>
      <c r="L3865" s="35">
        <v>1</v>
      </c>
      <c r="M3865" s="35">
        <v>40</v>
      </c>
      <c r="N3865" s="35">
        <v>1</v>
      </c>
      <c r="O3865" s="36">
        <v>3880.87</v>
      </c>
      <c r="P3865" s="36">
        <v>3181.04</v>
      </c>
      <c r="Q3865" s="36">
        <v>2716.61</v>
      </c>
      <c r="R3865" s="36">
        <v>2226.73</v>
      </c>
      <c r="S3865" s="36">
        <v>2638.99</v>
      </c>
      <c r="T3865" s="36">
        <v>2163.11</v>
      </c>
      <c r="U3865" s="34"/>
      <c r="V3865" s="34"/>
      <c r="W3865" s="34"/>
      <c r="X3865" s="37">
        <v>0.55700000000000005</v>
      </c>
      <c r="Y3865" s="38">
        <v>2.6340000000000001E-3</v>
      </c>
      <c r="Z3865" s="21">
        <v>4601004289789</v>
      </c>
    </row>
    <row r="3866" spans="1:26" ht="12" customHeight="1" outlineLevel="3" x14ac:dyDescent="0.2">
      <c r="A3866" s="32" t="s">
        <v>7523</v>
      </c>
      <c r="B3866" s="74" t="s">
        <v>7524</v>
      </c>
      <c r="C3866" s="50"/>
      <c r="D3866" s="53">
        <f t="shared" si="60"/>
        <v>0</v>
      </c>
      <c r="E3866" s="60" t="str">
        <f>HYPERLINK("https://www.sds-group.ru/product/multimetr-universalnyy-uni-t-ut89x-13-0075/", "Инфо")</f>
        <v>Инфо</v>
      </c>
      <c r="F3866" s="34" t="s">
        <v>39</v>
      </c>
      <c r="G3866" s="33"/>
      <c r="H3866" s="33" t="s">
        <v>40</v>
      </c>
      <c r="I3866" s="33"/>
      <c r="J3866" s="35">
        <v>1</v>
      </c>
      <c r="K3866" s="33" t="s">
        <v>1587</v>
      </c>
      <c r="L3866" s="35">
        <v>1</v>
      </c>
      <c r="M3866" s="35">
        <v>20</v>
      </c>
      <c r="N3866" s="35">
        <v>1</v>
      </c>
      <c r="O3866" s="36">
        <v>5174.5</v>
      </c>
      <c r="P3866" s="36">
        <v>4241.3900000000003</v>
      </c>
      <c r="Q3866" s="36">
        <v>3622.15</v>
      </c>
      <c r="R3866" s="36">
        <v>2968.98</v>
      </c>
      <c r="S3866" s="36">
        <v>3518.66</v>
      </c>
      <c r="T3866" s="36">
        <v>2884.15</v>
      </c>
      <c r="U3866" s="34"/>
      <c r="V3866" s="34"/>
      <c r="W3866" s="34"/>
      <c r="X3866" s="37">
        <v>0.58399999999999996</v>
      </c>
      <c r="Y3866" s="38">
        <v>2.5509999999999999E-3</v>
      </c>
      <c r="Z3866" s="21">
        <v>4601004289826</v>
      </c>
    </row>
    <row r="3867" spans="1:26" ht="12" customHeight="1" outlineLevel="3" x14ac:dyDescent="0.2">
      <c r="A3867" s="32" t="s">
        <v>7525</v>
      </c>
      <c r="B3867" s="74" t="s">
        <v>7526</v>
      </c>
      <c r="C3867" s="50"/>
      <c r="D3867" s="53">
        <f t="shared" si="60"/>
        <v>0</v>
      </c>
      <c r="E3867" s="60" t="str">
        <f>HYPERLINK("https://www.sds-group.ru/product/multimetr-universalnyy-uni-t-ut89xd-13-0076/", "Инфо")</f>
        <v>Инфо</v>
      </c>
      <c r="F3867" s="34" t="s">
        <v>39</v>
      </c>
      <c r="G3867" s="33"/>
      <c r="H3867" s="33" t="s">
        <v>40</v>
      </c>
      <c r="I3867" s="33"/>
      <c r="J3867" s="35">
        <v>66</v>
      </c>
      <c r="K3867" s="33"/>
      <c r="L3867" s="35">
        <v>1</v>
      </c>
      <c r="M3867" s="35">
        <v>20</v>
      </c>
      <c r="N3867" s="35">
        <v>1</v>
      </c>
      <c r="O3867" s="36">
        <v>5497.9</v>
      </c>
      <c r="P3867" s="36">
        <v>4506.4799999999996</v>
      </c>
      <c r="Q3867" s="36">
        <v>3848.53</v>
      </c>
      <c r="R3867" s="36">
        <v>3154.53</v>
      </c>
      <c r="S3867" s="36">
        <v>3738.57</v>
      </c>
      <c r="T3867" s="36">
        <v>3064.4</v>
      </c>
      <c r="U3867" s="34"/>
      <c r="V3867" s="34"/>
      <c r="W3867" s="34"/>
      <c r="X3867" s="37">
        <v>0.57599999999999996</v>
      </c>
      <c r="Y3867" s="38">
        <v>2.6940000000000002E-3</v>
      </c>
      <c r="Z3867" s="21">
        <v>4601004289819</v>
      </c>
    </row>
    <row r="3868" spans="1:26" ht="12" customHeight="1" outlineLevel="3" x14ac:dyDescent="0.2">
      <c r="A3868" s="32" t="s">
        <v>7527</v>
      </c>
      <c r="B3868" s="74" t="s">
        <v>7528</v>
      </c>
      <c r="C3868" s="50"/>
      <c r="D3868" s="53">
        <f t="shared" si="60"/>
        <v>0</v>
      </c>
      <c r="E3868" s="60" t="str">
        <f>HYPERLINK("https://www.sds-group.ru/product/multimetr-universalnyy-uni-t-ut89xe-13-0077/", "Инфо")</f>
        <v>Инфо</v>
      </c>
      <c r="F3868" s="34" t="s">
        <v>39</v>
      </c>
      <c r="G3868" s="33"/>
      <c r="H3868" s="33" t="s">
        <v>40</v>
      </c>
      <c r="I3868" s="33"/>
      <c r="J3868" s="34" t="s">
        <v>100</v>
      </c>
      <c r="K3868" s="33" t="s">
        <v>7336</v>
      </c>
      <c r="L3868" s="35">
        <v>1</v>
      </c>
      <c r="M3868" s="35">
        <v>20</v>
      </c>
      <c r="N3868" s="35">
        <v>1</v>
      </c>
      <c r="O3868" s="36">
        <v>11427.01</v>
      </c>
      <c r="P3868" s="36">
        <v>9366.4</v>
      </c>
      <c r="Q3868" s="36">
        <v>7998.91</v>
      </c>
      <c r="R3868" s="36">
        <v>6556.48</v>
      </c>
      <c r="S3868" s="36">
        <v>7770.37</v>
      </c>
      <c r="T3868" s="36">
        <v>6369.16</v>
      </c>
      <c r="U3868" s="34"/>
      <c r="V3868" s="34"/>
      <c r="W3868" s="34"/>
      <c r="X3868" s="37">
        <v>0.58699999999999997</v>
      </c>
      <c r="Y3868" s="38">
        <v>2.5869999999999999E-3</v>
      </c>
      <c r="Z3868" s="21">
        <v>4601004289796</v>
      </c>
    </row>
    <row r="3869" spans="1:26" ht="12" customHeight="1" outlineLevel="3" x14ac:dyDescent="0.2">
      <c r="A3869" s="32" t="s">
        <v>7529</v>
      </c>
      <c r="B3869" s="74" t="s">
        <v>7530</v>
      </c>
      <c r="C3869" s="50"/>
      <c r="D3869" s="53">
        <f t="shared" si="60"/>
        <v>0</v>
      </c>
      <c r="E3869" s="60" t="str">
        <f>HYPERLINK("https://www.sds-group.ru/product/universalnyy-multimetr-ms8221s-mastech-13-2056/", "Инфо")</f>
        <v>Инфо</v>
      </c>
      <c r="F3869" s="34" t="s">
        <v>39</v>
      </c>
      <c r="G3869" s="33"/>
      <c r="H3869" s="33" t="s">
        <v>40</v>
      </c>
      <c r="I3869" s="33"/>
      <c r="J3869" s="35">
        <v>147</v>
      </c>
      <c r="K3869" s="33" t="s">
        <v>1126</v>
      </c>
      <c r="L3869" s="35">
        <v>1</v>
      </c>
      <c r="M3869" s="35">
        <v>20</v>
      </c>
      <c r="N3869" s="35">
        <v>1</v>
      </c>
      <c r="O3869" s="36">
        <v>4527.68</v>
      </c>
      <c r="P3869" s="36">
        <v>3711.21</v>
      </c>
      <c r="Q3869" s="36">
        <v>3169.38</v>
      </c>
      <c r="R3869" s="36">
        <v>2597.85</v>
      </c>
      <c r="S3869" s="36">
        <v>3078.82</v>
      </c>
      <c r="T3869" s="36">
        <v>2523.62</v>
      </c>
      <c r="U3869" s="34"/>
      <c r="V3869" s="34"/>
      <c r="W3869" s="34"/>
      <c r="X3869" s="37">
        <v>0.44700000000000001</v>
      </c>
      <c r="Y3869" s="38">
        <v>2.1199999999999999E-3</v>
      </c>
      <c r="Z3869" s="21">
        <v>4601004093355</v>
      </c>
    </row>
    <row r="3870" spans="1:26" ht="12" customHeight="1" outlineLevel="3" x14ac:dyDescent="0.2">
      <c r="A3870" s="32" t="s">
        <v>7531</v>
      </c>
      <c r="B3870" s="74" t="s">
        <v>7532</v>
      </c>
      <c r="C3870" s="50"/>
      <c r="D3870" s="53">
        <f t="shared" si="60"/>
        <v>0</v>
      </c>
      <c r="E3870" s="60" t="str">
        <f>HYPERLINK("https://www.sds-group.ru/product/universalnyy-multimetr-ms8233a-mastech-13-2014/", "Инфо")</f>
        <v>Инфо</v>
      </c>
      <c r="F3870" s="34" t="s">
        <v>39</v>
      </c>
      <c r="G3870" s="33"/>
      <c r="H3870" s="33" t="s">
        <v>40</v>
      </c>
      <c r="I3870" s="33"/>
      <c r="J3870" s="35">
        <v>81</v>
      </c>
      <c r="K3870" s="33"/>
      <c r="L3870" s="35">
        <v>1</v>
      </c>
      <c r="M3870" s="35">
        <v>20</v>
      </c>
      <c r="N3870" s="35">
        <v>1</v>
      </c>
      <c r="O3870" s="36">
        <v>3018.46</v>
      </c>
      <c r="P3870" s="36">
        <v>2474.15</v>
      </c>
      <c r="Q3870" s="36">
        <v>2112.92</v>
      </c>
      <c r="R3870" s="36">
        <v>1731.9</v>
      </c>
      <c r="S3870" s="36">
        <v>2052.5500000000002</v>
      </c>
      <c r="T3870" s="36">
        <v>1682.42</v>
      </c>
      <c r="U3870" s="34"/>
      <c r="V3870" s="34"/>
      <c r="W3870" s="34"/>
      <c r="X3870" s="37">
        <v>0.38700000000000001</v>
      </c>
      <c r="Y3870" s="38">
        <v>2.1199999999999999E-3</v>
      </c>
      <c r="Z3870" s="21">
        <v>4601004008342</v>
      </c>
    </row>
    <row r="3871" spans="1:26" ht="24" customHeight="1" outlineLevel="3" x14ac:dyDescent="0.2">
      <c r="A3871" s="32" t="s">
        <v>7533</v>
      </c>
      <c r="B3871" s="74" t="s">
        <v>7534</v>
      </c>
      <c r="C3871" s="50"/>
      <c r="D3871" s="53">
        <f t="shared" si="60"/>
        <v>0</v>
      </c>
      <c r="E3871" s="60" t="str">
        <f>HYPERLINK("https://www.sds-group.ru/product/universalnyy-multimetr-ms8233b-mastech-13-2016/", "Инфо")</f>
        <v>Инфо</v>
      </c>
      <c r="F3871" s="34" t="s">
        <v>39</v>
      </c>
      <c r="G3871" s="33"/>
      <c r="H3871" s="33" t="s">
        <v>40</v>
      </c>
      <c r="I3871" s="33"/>
      <c r="J3871" s="35">
        <v>591</v>
      </c>
      <c r="K3871" s="33"/>
      <c r="L3871" s="35">
        <v>1</v>
      </c>
      <c r="M3871" s="35">
        <v>20</v>
      </c>
      <c r="N3871" s="35">
        <v>1</v>
      </c>
      <c r="O3871" s="36">
        <v>3449.66</v>
      </c>
      <c r="P3871" s="36">
        <v>2827.59</v>
      </c>
      <c r="Q3871" s="36">
        <v>2414.7600000000002</v>
      </c>
      <c r="R3871" s="36">
        <v>1979.31</v>
      </c>
      <c r="S3871" s="36">
        <v>2345.77</v>
      </c>
      <c r="T3871" s="36">
        <v>1922.76</v>
      </c>
      <c r="U3871" s="34" t="s">
        <v>7341</v>
      </c>
      <c r="V3871" s="34" t="s">
        <v>7342</v>
      </c>
      <c r="W3871" s="34"/>
      <c r="X3871" s="37">
        <v>0.35799999999999998</v>
      </c>
      <c r="Y3871" s="38">
        <v>1.624E-3</v>
      </c>
      <c r="Z3871" s="21">
        <v>4601004008328</v>
      </c>
    </row>
    <row r="3872" spans="1:26" ht="24" customHeight="1" outlineLevel="3" x14ac:dyDescent="0.2">
      <c r="A3872" s="32" t="s">
        <v>7535</v>
      </c>
      <c r="B3872" s="74" t="s">
        <v>7536</v>
      </c>
      <c r="C3872" s="50"/>
      <c r="D3872" s="53">
        <f t="shared" si="60"/>
        <v>0</v>
      </c>
      <c r="E3872" s="60" t="str">
        <f>HYPERLINK("https://www.sds-group.ru/product/universalnyy-multimetr-ms8233c-mastech-13-2015/", "Инфо")</f>
        <v>Инфо</v>
      </c>
      <c r="F3872" s="34" t="s">
        <v>39</v>
      </c>
      <c r="G3872" s="33"/>
      <c r="H3872" s="33" t="s">
        <v>40</v>
      </c>
      <c r="I3872" s="33"/>
      <c r="J3872" s="35">
        <v>199</v>
      </c>
      <c r="K3872" s="33"/>
      <c r="L3872" s="35">
        <v>1</v>
      </c>
      <c r="M3872" s="35">
        <v>20</v>
      </c>
      <c r="N3872" s="35">
        <v>1</v>
      </c>
      <c r="O3872" s="36">
        <v>3783.24</v>
      </c>
      <c r="P3872" s="36">
        <v>3101.02</v>
      </c>
      <c r="Q3872" s="36">
        <v>2648.27</v>
      </c>
      <c r="R3872" s="36">
        <v>2170.71</v>
      </c>
      <c r="S3872" s="36">
        <v>2572.6</v>
      </c>
      <c r="T3872" s="36">
        <v>2108.69</v>
      </c>
      <c r="U3872" s="34" t="s">
        <v>7341</v>
      </c>
      <c r="V3872" s="34" t="s">
        <v>7342</v>
      </c>
      <c r="W3872" s="34"/>
      <c r="X3872" s="37">
        <v>0.4</v>
      </c>
      <c r="Y3872" s="38">
        <v>2.042E-3</v>
      </c>
      <c r="Z3872" s="21">
        <v>4601004008267</v>
      </c>
    </row>
    <row r="3873" spans="1:26" ht="12" customHeight="1" outlineLevel="3" x14ac:dyDescent="0.2">
      <c r="A3873" s="32" t="s">
        <v>7537</v>
      </c>
      <c r="B3873" s="74" t="s">
        <v>7538</v>
      </c>
      <c r="C3873" s="50"/>
      <c r="D3873" s="53">
        <f t="shared" si="60"/>
        <v>0</v>
      </c>
      <c r="E3873" s="60" t="str">
        <f>HYPERLINK("https://www.sds-group.ru/product/universalnyy-multimetr-ms8233d-mastech-13-2070/", "Инфо")</f>
        <v>Инфо</v>
      </c>
      <c r="F3873" s="34" t="s">
        <v>39</v>
      </c>
      <c r="G3873" s="33"/>
      <c r="H3873" s="33" t="s">
        <v>40</v>
      </c>
      <c r="I3873" s="33"/>
      <c r="J3873" s="35">
        <v>54</v>
      </c>
      <c r="K3873" s="33"/>
      <c r="L3873" s="35">
        <v>1</v>
      </c>
      <c r="M3873" s="35">
        <v>20</v>
      </c>
      <c r="N3873" s="35">
        <v>1</v>
      </c>
      <c r="O3873" s="36">
        <v>4419.88</v>
      </c>
      <c r="P3873" s="36">
        <v>3622.85</v>
      </c>
      <c r="Q3873" s="36">
        <v>3093.92</v>
      </c>
      <c r="R3873" s="36">
        <v>2536</v>
      </c>
      <c r="S3873" s="36">
        <v>3005.52</v>
      </c>
      <c r="T3873" s="36">
        <v>2463.54</v>
      </c>
      <c r="U3873" s="34"/>
      <c r="V3873" s="34"/>
      <c r="W3873" s="34"/>
      <c r="X3873" s="37">
        <v>0.38900000000000001</v>
      </c>
      <c r="Y3873" s="38">
        <v>2.0460000000000001E-3</v>
      </c>
      <c r="Z3873" s="21">
        <v>4601004195721</v>
      </c>
    </row>
    <row r="3874" spans="1:26" ht="12" customHeight="1" outlineLevel="3" x14ac:dyDescent="0.2">
      <c r="A3874" s="32" t="s">
        <v>7539</v>
      </c>
      <c r="B3874" s="74" t="s">
        <v>7540</v>
      </c>
      <c r="C3874" s="50"/>
      <c r="D3874" s="53">
        <f t="shared" si="60"/>
        <v>0</v>
      </c>
      <c r="E3874" s="60" t="str">
        <f>HYPERLINK("https://www.sds-group.ru/product/universalnyy-multimetr-ms8233e-mastech-13-2013/", "Инфо")</f>
        <v>Инфо</v>
      </c>
      <c r="F3874" s="34" t="s">
        <v>39</v>
      </c>
      <c r="G3874" s="33"/>
      <c r="H3874" s="33" t="s">
        <v>40</v>
      </c>
      <c r="I3874" s="33"/>
      <c r="J3874" s="35">
        <v>172</v>
      </c>
      <c r="K3874" s="33" t="s">
        <v>1126</v>
      </c>
      <c r="L3874" s="35">
        <v>1</v>
      </c>
      <c r="M3874" s="35">
        <v>20</v>
      </c>
      <c r="N3874" s="35">
        <v>1</v>
      </c>
      <c r="O3874" s="36">
        <v>4042.58</v>
      </c>
      <c r="P3874" s="36">
        <v>3313.59</v>
      </c>
      <c r="Q3874" s="36">
        <v>2829.81</v>
      </c>
      <c r="R3874" s="36">
        <v>2319.52</v>
      </c>
      <c r="S3874" s="36">
        <v>2748.95</v>
      </c>
      <c r="T3874" s="36">
        <v>2253.2399999999998</v>
      </c>
      <c r="U3874" s="34"/>
      <c r="V3874" s="34"/>
      <c r="W3874" s="34"/>
      <c r="X3874" s="37">
        <v>0.42599999999999999</v>
      </c>
      <c r="Y3874" s="38">
        <v>2.4269999999999999E-3</v>
      </c>
      <c r="Z3874" s="21">
        <v>4601004008304</v>
      </c>
    </row>
    <row r="3875" spans="1:26" ht="12" customHeight="1" outlineLevel="3" x14ac:dyDescent="0.2">
      <c r="A3875" s="32" t="s">
        <v>7541</v>
      </c>
      <c r="B3875" s="74" t="s">
        <v>7542</v>
      </c>
      <c r="C3875" s="50"/>
      <c r="D3875" s="53">
        <f t="shared" si="60"/>
        <v>0</v>
      </c>
      <c r="E3875" s="60" t="str">
        <f>HYPERLINK("https://www.sds-group.ru/product/universalnyy-multimetr-my61n-mastech-13-2053/", "Инфо")</f>
        <v>Инфо</v>
      </c>
      <c r="F3875" s="34" t="s">
        <v>39</v>
      </c>
      <c r="G3875" s="33"/>
      <c r="H3875" s="33" t="s">
        <v>40</v>
      </c>
      <c r="I3875" s="33"/>
      <c r="J3875" s="35">
        <v>84</v>
      </c>
      <c r="K3875" s="33"/>
      <c r="L3875" s="35">
        <v>1</v>
      </c>
      <c r="M3875" s="35">
        <v>20</v>
      </c>
      <c r="N3875" s="35">
        <v>1</v>
      </c>
      <c r="O3875" s="36">
        <v>5592.74</v>
      </c>
      <c r="P3875" s="36">
        <v>4584.21</v>
      </c>
      <c r="Q3875" s="36">
        <v>3914.92</v>
      </c>
      <c r="R3875" s="36">
        <v>3208.95</v>
      </c>
      <c r="S3875" s="36">
        <v>3803.06</v>
      </c>
      <c r="T3875" s="36">
        <v>3117.26</v>
      </c>
      <c r="U3875" s="34"/>
      <c r="V3875" s="34"/>
      <c r="W3875" s="34"/>
      <c r="X3875" s="37">
        <v>0.65800000000000003</v>
      </c>
      <c r="Y3875" s="38">
        <v>3.1849999999999999E-3</v>
      </c>
      <c r="Z3875" s="21">
        <v>4601004195738</v>
      </c>
    </row>
    <row r="3876" spans="1:26" ht="24" customHeight="1" outlineLevel="3" x14ac:dyDescent="0.2">
      <c r="A3876" s="32" t="s">
        <v>7543</v>
      </c>
      <c r="B3876" s="74" t="s">
        <v>7544</v>
      </c>
      <c r="C3876" s="50"/>
      <c r="D3876" s="53">
        <f t="shared" si="60"/>
        <v>0</v>
      </c>
      <c r="E3876" s="60" t="str">
        <f>HYPERLINK("https://www.sds-group.ru/product/universalnyy-multimetr-my62n-mastech-13-2019/", "Инфо")</f>
        <v>Инфо</v>
      </c>
      <c r="F3876" s="34" t="s">
        <v>39</v>
      </c>
      <c r="G3876" s="33"/>
      <c r="H3876" s="33" t="s">
        <v>40</v>
      </c>
      <c r="I3876" s="33"/>
      <c r="J3876" s="35">
        <v>679</v>
      </c>
      <c r="K3876" s="33"/>
      <c r="L3876" s="35">
        <v>1</v>
      </c>
      <c r="M3876" s="35">
        <v>20</v>
      </c>
      <c r="N3876" s="35">
        <v>1</v>
      </c>
      <c r="O3876" s="36">
        <v>5174.5</v>
      </c>
      <c r="P3876" s="36">
        <v>4241.3900000000003</v>
      </c>
      <c r="Q3876" s="36">
        <v>3622.15</v>
      </c>
      <c r="R3876" s="36">
        <v>2968.98</v>
      </c>
      <c r="S3876" s="36">
        <v>3518.66</v>
      </c>
      <c r="T3876" s="36">
        <v>2884.15</v>
      </c>
      <c r="U3876" s="34" t="s">
        <v>7341</v>
      </c>
      <c r="V3876" s="34" t="s">
        <v>7342</v>
      </c>
      <c r="W3876" s="34"/>
      <c r="X3876" s="37">
        <v>0.65900000000000003</v>
      </c>
      <c r="Y3876" s="38">
        <v>3.2130000000000001E-3</v>
      </c>
      <c r="Z3876" s="21">
        <v>4601004008335</v>
      </c>
    </row>
    <row r="3877" spans="1:26" ht="24" customHeight="1" outlineLevel="3" x14ac:dyDescent="0.2">
      <c r="A3877" s="32" t="s">
        <v>7545</v>
      </c>
      <c r="B3877" s="74" t="s">
        <v>7546</v>
      </c>
      <c r="C3877" s="50"/>
      <c r="D3877" s="53">
        <f t="shared" si="60"/>
        <v>0</v>
      </c>
      <c r="E3877" s="60" t="str">
        <f>HYPERLINK("https://www.sds-group.ru/product/universalnyy-multimetr-my63n-mastech-13-2051/", "Инфо")</f>
        <v>Инфо</v>
      </c>
      <c r="F3877" s="34" t="s">
        <v>39</v>
      </c>
      <c r="G3877" s="33"/>
      <c r="H3877" s="33" t="s">
        <v>40</v>
      </c>
      <c r="I3877" s="33"/>
      <c r="J3877" s="35">
        <v>304</v>
      </c>
      <c r="K3877" s="33"/>
      <c r="L3877" s="35">
        <v>1</v>
      </c>
      <c r="M3877" s="35">
        <v>20</v>
      </c>
      <c r="N3877" s="35">
        <v>1</v>
      </c>
      <c r="O3877" s="36">
        <v>6166.36</v>
      </c>
      <c r="P3877" s="36">
        <v>5054.3900000000003</v>
      </c>
      <c r="Q3877" s="36">
        <v>4316.45</v>
      </c>
      <c r="R3877" s="36">
        <v>3538.07</v>
      </c>
      <c r="S3877" s="36">
        <v>4193.12</v>
      </c>
      <c r="T3877" s="36">
        <v>3436.98</v>
      </c>
      <c r="U3877" s="34" t="s">
        <v>7341</v>
      </c>
      <c r="V3877" s="34" t="s">
        <v>7342</v>
      </c>
      <c r="W3877" s="34"/>
      <c r="X3877" s="37">
        <v>0.61199999999999999</v>
      </c>
      <c r="Y3877" s="38">
        <v>2.591E-3</v>
      </c>
      <c r="Z3877" s="21">
        <v>4601004052055</v>
      </c>
    </row>
    <row r="3878" spans="1:26" ht="12" customHeight="1" outlineLevel="3" x14ac:dyDescent="0.2">
      <c r="A3878" s="32" t="s">
        <v>7547</v>
      </c>
      <c r="B3878" s="74" t="s">
        <v>7548</v>
      </c>
      <c r="C3878" s="50"/>
      <c r="D3878" s="53">
        <f t="shared" si="60"/>
        <v>0</v>
      </c>
      <c r="E3878" s="60" t="str">
        <f>HYPERLINK("https://www.sds-group.ru/product/universalnyy-multimetr-my64n-mastech-13-2054/", "Инфо")</f>
        <v>Инфо</v>
      </c>
      <c r="F3878" s="34" t="s">
        <v>39</v>
      </c>
      <c r="G3878" s="33"/>
      <c r="H3878" s="33" t="s">
        <v>40</v>
      </c>
      <c r="I3878" s="33"/>
      <c r="J3878" s="39">
        <v>1347</v>
      </c>
      <c r="K3878" s="33"/>
      <c r="L3878" s="35">
        <v>1</v>
      </c>
      <c r="M3878" s="35">
        <v>20</v>
      </c>
      <c r="N3878" s="35">
        <v>1</v>
      </c>
      <c r="O3878" s="36">
        <v>5228.3999999999996</v>
      </c>
      <c r="P3878" s="36">
        <v>4285.57</v>
      </c>
      <c r="Q3878" s="36">
        <v>3659.88</v>
      </c>
      <c r="R3878" s="36">
        <v>2999.9</v>
      </c>
      <c r="S3878" s="36">
        <v>3555.31</v>
      </c>
      <c r="T3878" s="36">
        <v>2914.19</v>
      </c>
      <c r="U3878" s="34"/>
      <c r="V3878" s="34"/>
      <c r="W3878" s="34"/>
      <c r="X3878" s="37">
        <v>0.66200000000000003</v>
      </c>
      <c r="Y3878" s="38">
        <v>3.241E-3</v>
      </c>
      <c r="Z3878" s="21">
        <v>4601004195745</v>
      </c>
    </row>
    <row r="3879" spans="1:26" ht="24" customHeight="1" outlineLevel="3" x14ac:dyDescent="0.2">
      <c r="A3879" s="32" t="s">
        <v>7549</v>
      </c>
      <c r="B3879" s="74" t="s">
        <v>7550</v>
      </c>
      <c r="C3879" s="50"/>
      <c r="D3879" s="53">
        <f t="shared" si="60"/>
        <v>0</v>
      </c>
      <c r="E3879" s="60" t="str">
        <f>HYPERLINK("https://www.sds-group.ru/product/universalnyy-multimetr-my65n-mastech-13-2052/", "Инфо")</f>
        <v>Инфо</v>
      </c>
      <c r="F3879" s="34" t="s">
        <v>39</v>
      </c>
      <c r="G3879" s="33"/>
      <c r="H3879" s="33" t="s">
        <v>40</v>
      </c>
      <c r="I3879" s="33"/>
      <c r="J3879" s="35">
        <v>329</v>
      </c>
      <c r="K3879" s="33"/>
      <c r="L3879" s="35">
        <v>1</v>
      </c>
      <c r="M3879" s="35">
        <v>20</v>
      </c>
      <c r="N3879" s="35">
        <v>1</v>
      </c>
      <c r="O3879" s="36">
        <v>9484.57</v>
      </c>
      <c r="P3879" s="36">
        <v>7774.24</v>
      </c>
      <c r="Q3879" s="36">
        <v>6639.2</v>
      </c>
      <c r="R3879" s="36">
        <v>5441.97</v>
      </c>
      <c r="S3879" s="36">
        <v>6449.51</v>
      </c>
      <c r="T3879" s="36">
        <v>5286.48</v>
      </c>
      <c r="U3879" s="34" t="s">
        <v>7341</v>
      </c>
      <c r="V3879" s="34" t="s">
        <v>7342</v>
      </c>
      <c r="W3879" s="34"/>
      <c r="X3879" s="37">
        <v>0.626</v>
      </c>
      <c r="Y3879" s="38">
        <v>2.6310000000000001E-3</v>
      </c>
      <c r="Z3879" s="21">
        <v>4601004052048</v>
      </c>
    </row>
    <row r="3880" spans="1:26" ht="12" customHeight="1" outlineLevel="3" x14ac:dyDescent="0.2">
      <c r="A3880" s="32" t="s">
        <v>7551</v>
      </c>
      <c r="B3880" s="74" t="s">
        <v>7552</v>
      </c>
      <c r="C3880" s="50"/>
      <c r="D3880" s="53">
        <f t="shared" si="60"/>
        <v>0</v>
      </c>
      <c r="E3880" s="60" t="str">
        <f>HYPERLINK("https://www.sds-group.ru/product/universalnyy-multimetr-my68-mastech-13-2058/", "Инфо")</f>
        <v>Инфо</v>
      </c>
      <c r="F3880" s="34" t="s">
        <v>39</v>
      </c>
      <c r="G3880" s="33"/>
      <c r="H3880" s="33" t="s">
        <v>40</v>
      </c>
      <c r="I3880" s="33"/>
      <c r="J3880" s="35">
        <v>222</v>
      </c>
      <c r="K3880" s="33"/>
      <c r="L3880" s="35">
        <v>1</v>
      </c>
      <c r="M3880" s="35">
        <v>20</v>
      </c>
      <c r="N3880" s="35">
        <v>1</v>
      </c>
      <c r="O3880" s="36">
        <v>5174.5</v>
      </c>
      <c r="P3880" s="36">
        <v>4241.3900000000003</v>
      </c>
      <c r="Q3880" s="36">
        <v>3622.15</v>
      </c>
      <c r="R3880" s="36">
        <v>2968.98</v>
      </c>
      <c r="S3880" s="36">
        <v>3518.66</v>
      </c>
      <c r="T3880" s="36">
        <v>2884.15</v>
      </c>
      <c r="U3880" s="34"/>
      <c r="V3880" s="34"/>
      <c r="W3880" s="34"/>
      <c r="X3880" s="37">
        <v>0.69499999999999995</v>
      </c>
      <c r="Y3880" s="38">
        <v>3.2420000000000001E-3</v>
      </c>
      <c r="Z3880" s="21">
        <v>4601004065444</v>
      </c>
    </row>
    <row r="3881" spans="1:26" ht="12" customHeight="1" outlineLevel="3" x14ac:dyDescent="0.2">
      <c r="A3881" s="32" t="s">
        <v>7553</v>
      </c>
      <c r="B3881" s="74" t="s">
        <v>7554</v>
      </c>
      <c r="C3881" s="50"/>
      <c r="D3881" s="53">
        <f t="shared" si="60"/>
        <v>0</v>
      </c>
      <c r="E3881" s="60" t="str">
        <f>HYPERLINK("https://www.sds-group.ru/product/universalnyy-multimetr-uni-t-ut-139s-13-1029/", "Инфо")</f>
        <v>Инфо</v>
      </c>
      <c r="F3881" s="34" t="s">
        <v>39</v>
      </c>
      <c r="G3881" s="33"/>
      <c r="H3881" s="33" t="s">
        <v>40</v>
      </c>
      <c r="I3881" s="33"/>
      <c r="J3881" s="35">
        <v>59</v>
      </c>
      <c r="K3881" s="33"/>
      <c r="L3881" s="35">
        <v>1</v>
      </c>
      <c r="M3881" s="35">
        <v>20</v>
      </c>
      <c r="N3881" s="35">
        <v>1</v>
      </c>
      <c r="O3881" s="36">
        <v>12397.23</v>
      </c>
      <c r="P3881" s="36">
        <v>10161.66</v>
      </c>
      <c r="Q3881" s="36">
        <v>8678.06</v>
      </c>
      <c r="R3881" s="36">
        <v>7113.16</v>
      </c>
      <c r="S3881" s="36">
        <v>8430.1200000000008</v>
      </c>
      <c r="T3881" s="36">
        <v>6909.93</v>
      </c>
      <c r="U3881" s="34"/>
      <c r="V3881" s="34"/>
      <c r="W3881" s="34"/>
      <c r="X3881" s="37">
        <v>0.61099999999999999</v>
      </c>
      <c r="Y3881" s="38">
        <v>2.6570000000000001E-3</v>
      </c>
      <c r="Z3881" s="21">
        <v>4601004164635</v>
      </c>
    </row>
    <row r="3882" spans="1:26" ht="12" customHeight="1" outlineLevel="3" x14ac:dyDescent="0.2">
      <c r="A3882" s="32" t="s">
        <v>7555</v>
      </c>
      <c r="B3882" s="74" t="s">
        <v>7556</v>
      </c>
      <c r="C3882" s="50"/>
      <c r="D3882" s="53">
        <f t="shared" si="60"/>
        <v>0</v>
      </c>
      <c r="E3882" s="60" t="str">
        <f>HYPERLINK("https://www.sds-group.ru/product/universalnyy-multimetr-uni-t-ut-139s-13-1028/", "Инфо")</f>
        <v>Инфо</v>
      </c>
      <c r="F3882" s="34" t="s">
        <v>39</v>
      </c>
      <c r="G3882" s="33"/>
      <c r="H3882" s="33" t="s">
        <v>40</v>
      </c>
      <c r="I3882" s="33"/>
      <c r="J3882" s="34" t="s">
        <v>100</v>
      </c>
      <c r="K3882" s="33" t="s">
        <v>1587</v>
      </c>
      <c r="L3882" s="35">
        <v>1</v>
      </c>
      <c r="M3882" s="35">
        <v>20</v>
      </c>
      <c r="N3882" s="35">
        <v>1</v>
      </c>
      <c r="O3882" s="36">
        <v>8516.36</v>
      </c>
      <c r="P3882" s="36">
        <v>6980.62</v>
      </c>
      <c r="Q3882" s="36">
        <v>5961.45</v>
      </c>
      <c r="R3882" s="36">
        <v>4886.43</v>
      </c>
      <c r="S3882" s="36">
        <v>5791.12</v>
      </c>
      <c r="T3882" s="36">
        <v>4746.82</v>
      </c>
      <c r="U3882" s="34"/>
      <c r="V3882" s="34"/>
      <c r="W3882" s="34"/>
      <c r="X3882" s="37">
        <v>0.59699999999999998</v>
      </c>
      <c r="Y3882" s="38">
        <v>2.431E-3</v>
      </c>
      <c r="Z3882" s="21">
        <v>4601004164628</v>
      </c>
    </row>
    <row r="3883" spans="1:26" ht="24" customHeight="1" outlineLevel="3" x14ac:dyDescent="0.2">
      <c r="A3883" s="32" t="s">
        <v>7557</v>
      </c>
      <c r="B3883" s="74" t="s">
        <v>7558</v>
      </c>
      <c r="C3883" s="50"/>
      <c r="D3883" s="53">
        <f t="shared" si="60"/>
        <v>0</v>
      </c>
      <c r="E3883" s="60" t="str">
        <f>HYPERLINK("https://www.sds-group.ru/product/universalnyy-multimetr-uni-t-ut-58a-13-1020/", "Инфо")</f>
        <v>Инфо</v>
      </c>
      <c r="F3883" s="34" t="s">
        <v>39</v>
      </c>
      <c r="G3883" s="33"/>
      <c r="H3883" s="33" t="s">
        <v>40</v>
      </c>
      <c r="I3883" s="33"/>
      <c r="J3883" s="35">
        <v>158</v>
      </c>
      <c r="K3883" s="33"/>
      <c r="L3883" s="35">
        <v>1</v>
      </c>
      <c r="M3883" s="35">
        <v>40</v>
      </c>
      <c r="N3883" s="35">
        <v>1</v>
      </c>
      <c r="O3883" s="36">
        <v>7114.93</v>
      </c>
      <c r="P3883" s="36">
        <v>5831.91</v>
      </c>
      <c r="Q3883" s="36">
        <v>4980.45</v>
      </c>
      <c r="R3883" s="36">
        <v>4082.34</v>
      </c>
      <c r="S3883" s="36">
        <v>4838.1499999999996</v>
      </c>
      <c r="T3883" s="36">
        <v>3965.7</v>
      </c>
      <c r="U3883" s="34" t="s">
        <v>7341</v>
      </c>
      <c r="V3883" s="34" t="s">
        <v>7342</v>
      </c>
      <c r="W3883" s="34"/>
      <c r="X3883" s="37">
        <v>0.55900000000000005</v>
      </c>
      <c r="Y3883" s="38">
        <v>2.3679999999999999E-3</v>
      </c>
      <c r="Z3883" s="21">
        <v>4601004059344</v>
      </c>
    </row>
    <row r="3884" spans="1:26" ht="24" customHeight="1" outlineLevel="3" x14ac:dyDescent="0.2">
      <c r="A3884" s="32" t="s">
        <v>7559</v>
      </c>
      <c r="B3884" s="74" t="s">
        <v>7560</v>
      </c>
      <c r="C3884" s="50"/>
      <c r="D3884" s="53">
        <f t="shared" si="60"/>
        <v>0</v>
      </c>
      <c r="E3884" s="60" t="str">
        <f>HYPERLINK("https://www.sds-group.ru/product/universalnyy-multimetr-uni-t-ut-58b-13-1022/", "Инфо")</f>
        <v>Инфо</v>
      </c>
      <c r="F3884" s="34" t="s">
        <v>39</v>
      </c>
      <c r="G3884" s="33"/>
      <c r="H3884" s="33" t="s">
        <v>40</v>
      </c>
      <c r="I3884" s="33"/>
      <c r="J3884" s="35">
        <v>236</v>
      </c>
      <c r="K3884" s="33"/>
      <c r="L3884" s="35">
        <v>1</v>
      </c>
      <c r="M3884" s="35">
        <v>20</v>
      </c>
      <c r="N3884" s="35">
        <v>1</v>
      </c>
      <c r="O3884" s="36">
        <v>7438.34</v>
      </c>
      <c r="P3884" s="36">
        <v>6097</v>
      </c>
      <c r="Q3884" s="36">
        <v>5206.84</v>
      </c>
      <c r="R3884" s="36">
        <v>4267.8999999999996</v>
      </c>
      <c r="S3884" s="36">
        <v>5058.07</v>
      </c>
      <c r="T3884" s="36">
        <v>4145.96</v>
      </c>
      <c r="U3884" s="34" t="s">
        <v>7341</v>
      </c>
      <c r="V3884" s="34" t="s">
        <v>7342</v>
      </c>
      <c r="W3884" s="34"/>
      <c r="X3884" s="37">
        <v>0.57599999999999996</v>
      </c>
      <c r="Y3884" s="38">
        <v>2.382E-3</v>
      </c>
      <c r="Z3884" s="21">
        <v>4601004059290</v>
      </c>
    </row>
    <row r="3885" spans="1:26" ht="24" customHeight="1" outlineLevel="3" x14ac:dyDescent="0.2">
      <c r="A3885" s="32" t="s">
        <v>7561</v>
      </c>
      <c r="B3885" s="74" t="s">
        <v>7562</v>
      </c>
      <c r="C3885" s="50"/>
      <c r="D3885" s="53">
        <f t="shared" si="60"/>
        <v>0</v>
      </c>
      <c r="E3885" s="60" t="str">
        <f>HYPERLINK("https://www.sds-group.ru/product/universalnyy-multimetr-uni-t-ut-58c-13-1023/", "Инфо")</f>
        <v>Инфо</v>
      </c>
      <c r="F3885" s="34" t="s">
        <v>39</v>
      </c>
      <c r="G3885" s="33"/>
      <c r="H3885" s="33" t="s">
        <v>40</v>
      </c>
      <c r="I3885" s="33"/>
      <c r="J3885" s="35">
        <v>175</v>
      </c>
      <c r="K3885" s="33"/>
      <c r="L3885" s="35">
        <v>1</v>
      </c>
      <c r="M3885" s="35">
        <v>20</v>
      </c>
      <c r="N3885" s="35">
        <v>1</v>
      </c>
      <c r="O3885" s="36">
        <v>7093.37</v>
      </c>
      <c r="P3885" s="36">
        <v>5814.24</v>
      </c>
      <c r="Q3885" s="36">
        <v>4965.3599999999997</v>
      </c>
      <c r="R3885" s="36">
        <v>4069.97</v>
      </c>
      <c r="S3885" s="36">
        <v>4823.49</v>
      </c>
      <c r="T3885" s="36">
        <v>3953.68</v>
      </c>
      <c r="U3885" s="34" t="s">
        <v>7341</v>
      </c>
      <c r="V3885" s="34" t="s">
        <v>7342</v>
      </c>
      <c r="W3885" s="34"/>
      <c r="X3885" s="37">
        <v>0.57899999999999996</v>
      </c>
      <c r="Y3885" s="38">
        <v>2.395E-3</v>
      </c>
      <c r="Z3885" s="21">
        <v>4601004059306</v>
      </c>
    </row>
    <row r="3886" spans="1:26" ht="12" customHeight="1" outlineLevel="3" x14ac:dyDescent="0.2">
      <c r="A3886" s="32" t="s">
        <v>7563</v>
      </c>
      <c r="B3886" s="74" t="s">
        <v>7564</v>
      </c>
      <c r="C3886" s="50"/>
      <c r="D3886" s="53">
        <f t="shared" si="60"/>
        <v>0</v>
      </c>
      <c r="E3886" s="60" t="str">
        <f>HYPERLINK("https://www.sds-group.ru/product/universalnyy-multimetr-uni-t-ut-58d-13-1024/", "Инфо")</f>
        <v>Инфо</v>
      </c>
      <c r="F3886" s="34" t="s">
        <v>39</v>
      </c>
      <c r="G3886" s="33"/>
      <c r="H3886" s="33" t="s">
        <v>40</v>
      </c>
      <c r="I3886" s="33"/>
      <c r="J3886" s="35">
        <v>121</v>
      </c>
      <c r="K3886" s="33"/>
      <c r="L3886" s="35">
        <v>1</v>
      </c>
      <c r="M3886" s="35">
        <v>20</v>
      </c>
      <c r="N3886" s="35">
        <v>1</v>
      </c>
      <c r="O3886" s="36">
        <v>8624.16</v>
      </c>
      <c r="P3886" s="36">
        <v>7068.98</v>
      </c>
      <c r="Q3886" s="36">
        <v>6036.91</v>
      </c>
      <c r="R3886" s="36">
        <v>4948.29</v>
      </c>
      <c r="S3886" s="36">
        <v>5864.43</v>
      </c>
      <c r="T3886" s="36">
        <v>4806.91</v>
      </c>
      <c r="U3886" s="34"/>
      <c r="V3886" s="34"/>
      <c r="W3886" s="34"/>
      <c r="X3886" s="37">
        <v>0.59599999999999997</v>
      </c>
      <c r="Y3886" s="38">
        <v>2.5140000000000002E-3</v>
      </c>
      <c r="Z3886" s="21">
        <v>4601004059313</v>
      </c>
    </row>
    <row r="3887" spans="1:26" ht="12" customHeight="1" outlineLevel="3" x14ac:dyDescent="0.2">
      <c r="A3887" s="32" t="s">
        <v>7565</v>
      </c>
      <c r="B3887" s="74" t="s">
        <v>7566</v>
      </c>
      <c r="C3887" s="50"/>
      <c r="D3887" s="53">
        <f t="shared" si="60"/>
        <v>0</v>
      </c>
      <c r="E3887" s="60" t="str">
        <f>HYPERLINK("https://www.sds-group.ru/product/universalnyy-multimetr-uni-t-ut-58e-13-1025/", "Инфо")</f>
        <v>Инфо</v>
      </c>
      <c r="F3887" s="34" t="s">
        <v>39</v>
      </c>
      <c r="G3887" s="33"/>
      <c r="H3887" s="33" t="s">
        <v>40</v>
      </c>
      <c r="I3887" s="33"/>
      <c r="J3887" s="35">
        <v>40</v>
      </c>
      <c r="K3887" s="33"/>
      <c r="L3887" s="35">
        <v>1</v>
      </c>
      <c r="M3887" s="35">
        <v>20</v>
      </c>
      <c r="N3887" s="35">
        <v>1</v>
      </c>
      <c r="O3887" s="36">
        <v>12936.24</v>
      </c>
      <c r="P3887" s="36">
        <v>10603.48</v>
      </c>
      <c r="Q3887" s="36">
        <v>9055.3700000000008</v>
      </c>
      <c r="R3887" s="36">
        <v>7422.43</v>
      </c>
      <c r="S3887" s="36">
        <v>8796.64</v>
      </c>
      <c r="T3887" s="36">
        <v>7210.36</v>
      </c>
      <c r="U3887" s="34"/>
      <c r="V3887" s="34"/>
      <c r="W3887" s="34"/>
      <c r="X3887" s="37">
        <v>0.59899999999999998</v>
      </c>
      <c r="Y3887" s="38">
        <v>2.503E-3</v>
      </c>
      <c r="Z3887" s="21">
        <v>4601004059337</v>
      </c>
    </row>
    <row r="3888" spans="1:26" ht="12.95" customHeight="1" outlineLevel="2" x14ac:dyDescent="0.2">
      <c r="A3888" s="76" t="s">
        <v>7567</v>
      </c>
      <c r="B3888" s="76"/>
      <c r="C3888" s="77"/>
      <c r="D3888" s="58"/>
      <c r="E3888" s="68"/>
      <c r="F3888" s="13"/>
      <c r="G3888" s="13"/>
      <c r="H3888" s="13"/>
      <c r="I3888" s="13"/>
      <c r="J3888" s="13"/>
      <c r="K3888" s="13"/>
      <c r="L3888" s="13"/>
      <c r="M3888" s="13"/>
      <c r="N3888" s="13"/>
      <c r="O3888" s="13"/>
      <c r="P3888" s="13"/>
      <c r="Q3888" s="13"/>
      <c r="R3888" s="13"/>
      <c r="S3888" s="13"/>
      <c r="T3888" s="13"/>
      <c r="U3888" s="13"/>
      <c r="V3888" s="13"/>
      <c r="W3888" s="13"/>
      <c r="X3888" s="13"/>
      <c r="Y3888" s="13"/>
      <c r="Z3888" s="13"/>
    </row>
    <row r="3889" spans="1:26" ht="12" customHeight="1" outlineLevel="3" x14ac:dyDescent="0.2">
      <c r="A3889" s="32" t="s">
        <v>7568</v>
      </c>
      <c r="B3889" s="74" t="s">
        <v>7569</v>
      </c>
      <c r="C3889" s="50"/>
      <c r="D3889" s="53">
        <f t="shared" si="60"/>
        <v>0</v>
      </c>
      <c r="E3889" s="60" t="str">
        <f>HYPERLINK("https://www.sds-group.ru/product/multimetr-professionalnyy-uni-t-ut15b-pro-13-0087/", "Инфо")</f>
        <v>Инфо</v>
      </c>
      <c r="F3889" s="34" t="s">
        <v>39</v>
      </c>
      <c r="G3889" s="33"/>
      <c r="H3889" s="33" t="s">
        <v>40</v>
      </c>
      <c r="I3889" s="33"/>
      <c r="J3889" s="35">
        <v>18</v>
      </c>
      <c r="K3889" s="33"/>
      <c r="L3889" s="35">
        <v>1</v>
      </c>
      <c r="M3889" s="35">
        <v>10</v>
      </c>
      <c r="N3889" s="35">
        <v>1</v>
      </c>
      <c r="O3889" s="36">
        <v>12273.26</v>
      </c>
      <c r="P3889" s="36">
        <v>10060.049999999999</v>
      </c>
      <c r="Q3889" s="36">
        <v>8591.2800000000007</v>
      </c>
      <c r="R3889" s="36">
        <v>7042.03</v>
      </c>
      <c r="S3889" s="36">
        <v>8345.82</v>
      </c>
      <c r="T3889" s="36">
        <v>6840.84</v>
      </c>
      <c r="U3889" s="34"/>
      <c r="V3889" s="34"/>
      <c r="W3889" s="34"/>
      <c r="X3889" s="37">
        <v>0.88400000000000001</v>
      </c>
      <c r="Y3889" s="38">
        <v>3.627E-3</v>
      </c>
      <c r="Z3889" s="21">
        <v>4601004289840</v>
      </c>
    </row>
    <row r="3890" spans="1:26" ht="12" customHeight="1" outlineLevel="3" x14ac:dyDescent="0.2">
      <c r="A3890" s="32" t="s">
        <v>7570</v>
      </c>
      <c r="B3890" s="74" t="s">
        <v>7571</v>
      </c>
      <c r="C3890" s="50"/>
      <c r="D3890" s="53">
        <f t="shared" si="60"/>
        <v>0</v>
      </c>
      <c r="E3890" s="60" t="str">
        <f>HYPERLINK("https://www.sds-group.ru/product/multimetr-professionalnyy-uni-t-ut191t-13-0086/", "Инфо")</f>
        <v>Инфо</v>
      </c>
      <c r="F3890" s="34" t="s">
        <v>39</v>
      </c>
      <c r="G3890" s="33"/>
      <c r="H3890" s="33" t="s">
        <v>40</v>
      </c>
      <c r="I3890" s="33"/>
      <c r="J3890" s="34" t="s">
        <v>100</v>
      </c>
      <c r="K3890" s="33" t="s">
        <v>1587</v>
      </c>
      <c r="L3890" s="35">
        <v>1</v>
      </c>
      <c r="M3890" s="35">
        <v>10</v>
      </c>
      <c r="N3890" s="35">
        <v>1</v>
      </c>
      <c r="O3890" s="36">
        <v>15426.47</v>
      </c>
      <c r="P3890" s="36">
        <v>12644.65</v>
      </c>
      <c r="Q3890" s="36">
        <v>10798.53</v>
      </c>
      <c r="R3890" s="36">
        <v>8851.25</v>
      </c>
      <c r="S3890" s="36">
        <v>10490</v>
      </c>
      <c r="T3890" s="36">
        <v>8598.36</v>
      </c>
      <c r="U3890" s="34"/>
      <c r="V3890" s="34"/>
      <c r="W3890" s="34"/>
      <c r="X3890" s="37">
        <v>0.88</v>
      </c>
      <c r="Y3890" s="38">
        <v>5.862E-3</v>
      </c>
      <c r="Z3890" s="21">
        <v>4601004289864</v>
      </c>
    </row>
    <row r="3891" spans="1:26" ht="24" customHeight="1" outlineLevel="3" x14ac:dyDescent="0.2">
      <c r="A3891" s="32" t="s">
        <v>7572</v>
      </c>
      <c r="B3891" s="74" t="s">
        <v>7573</v>
      </c>
      <c r="C3891" s="50"/>
      <c r="D3891" s="53">
        <f t="shared" si="60"/>
        <v>0</v>
      </c>
      <c r="E3891" s="60" t="str">
        <f>HYPERLINK("https://www.sds-group.ru/product/professionalnyy-multimetr-5-v-1-ms8229-mastech-13-2029/", "Инфо")</f>
        <v>Инфо</v>
      </c>
      <c r="F3891" s="34" t="s">
        <v>39</v>
      </c>
      <c r="G3891" s="33"/>
      <c r="H3891" s="33" t="s">
        <v>40</v>
      </c>
      <c r="I3891" s="33"/>
      <c r="J3891" s="35">
        <v>185</v>
      </c>
      <c r="K3891" s="33"/>
      <c r="L3891" s="35">
        <v>1</v>
      </c>
      <c r="M3891" s="35">
        <v>20</v>
      </c>
      <c r="N3891" s="35">
        <v>1</v>
      </c>
      <c r="O3891" s="36">
        <v>11211.41</v>
      </c>
      <c r="P3891" s="36">
        <v>9189.68</v>
      </c>
      <c r="Q3891" s="36">
        <v>7847.99</v>
      </c>
      <c r="R3891" s="36">
        <v>6432.78</v>
      </c>
      <c r="S3891" s="36">
        <v>7623.76</v>
      </c>
      <c r="T3891" s="36">
        <v>6248.98</v>
      </c>
      <c r="U3891" s="34" t="s">
        <v>7341</v>
      </c>
      <c r="V3891" s="34" t="s">
        <v>7342</v>
      </c>
      <c r="W3891" s="34"/>
      <c r="X3891" s="37">
        <v>0.68799999999999994</v>
      </c>
      <c r="Y3891" s="38">
        <v>3.3300000000000001E-3</v>
      </c>
      <c r="Z3891" s="21">
        <v>4601004052178</v>
      </c>
    </row>
    <row r="3892" spans="1:26" ht="12" customHeight="1" outlineLevel="3" x14ac:dyDescent="0.2">
      <c r="A3892" s="32" t="s">
        <v>7574</v>
      </c>
      <c r="B3892" s="74" t="s">
        <v>7575</v>
      </c>
      <c r="C3892" s="50"/>
      <c r="D3892" s="53">
        <f t="shared" si="60"/>
        <v>0</v>
      </c>
      <c r="E3892" s="60" t="str">
        <f>HYPERLINK("https://www.sds-group.ru/product/professionalnyy-multimetr-ms8209-mastech-13-2087/", "Инфо")</f>
        <v>Инфо</v>
      </c>
      <c r="F3892" s="34" t="s">
        <v>39</v>
      </c>
      <c r="G3892" s="33"/>
      <c r="H3892" s="33" t="s">
        <v>40</v>
      </c>
      <c r="I3892" s="33"/>
      <c r="J3892" s="35">
        <v>142</v>
      </c>
      <c r="K3892" s="33"/>
      <c r="L3892" s="35">
        <v>1</v>
      </c>
      <c r="M3892" s="35">
        <v>20</v>
      </c>
      <c r="N3892" s="35">
        <v>1</v>
      </c>
      <c r="O3892" s="36">
        <v>8695.35</v>
      </c>
      <c r="P3892" s="36">
        <v>7127.34</v>
      </c>
      <c r="Q3892" s="36">
        <v>6086.75</v>
      </c>
      <c r="R3892" s="36">
        <v>4989.1400000000003</v>
      </c>
      <c r="S3892" s="36">
        <v>5912.84</v>
      </c>
      <c r="T3892" s="36">
        <v>4846.59</v>
      </c>
      <c r="U3892" s="34"/>
      <c r="V3892" s="34"/>
      <c r="W3892" s="34"/>
      <c r="X3892" s="37">
        <v>0.70899999999999996</v>
      </c>
      <c r="Y3892" s="38">
        <v>5.3769999999999998E-3</v>
      </c>
      <c r="Z3892" s="21">
        <v>4601004195752</v>
      </c>
    </row>
    <row r="3893" spans="1:26" ht="24" customHeight="1" outlineLevel="3" x14ac:dyDescent="0.2">
      <c r="A3893" s="32" t="s">
        <v>7576</v>
      </c>
      <c r="B3893" s="74" t="s">
        <v>7577</v>
      </c>
      <c r="C3893" s="50"/>
      <c r="D3893" s="53">
        <f t="shared" si="60"/>
        <v>0</v>
      </c>
      <c r="E3893" s="60" t="str">
        <f>HYPERLINK("https://www.sds-group.ru/product/professionalnyy-multimetr-ms8217-mastech-13-2021/", "Инфо")</f>
        <v>Инфо</v>
      </c>
      <c r="F3893" s="34" t="s">
        <v>39</v>
      </c>
      <c r="G3893" s="33"/>
      <c r="H3893" s="33" t="s">
        <v>40</v>
      </c>
      <c r="I3893" s="33"/>
      <c r="J3893" s="35">
        <v>161</v>
      </c>
      <c r="K3893" s="33"/>
      <c r="L3893" s="35">
        <v>1</v>
      </c>
      <c r="M3893" s="35">
        <v>20</v>
      </c>
      <c r="N3893" s="35">
        <v>1</v>
      </c>
      <c r="O3893" s="36">
        <v>5077.47</v>
      </c>
      <c r="P3893" s="36">
        <v>4161.8599999999997</v>
      </c>
      <c r="Q3893" s="36">
        <v>3554.23</v>
      </c>
      <c r="R3893" s="36">
        <v>2913.3</v>
      </c>
      <c r="S3893" s="36">
        <v>3452.68</v>
      </c>
      <c r="T3893" s="36">
        <v>2830.07</v>
      </c>
      <c r="U3893" s="34" t="s">
        <v>7341</v>
      </c>
      <c r="V3893" s="34" t="s">
        <v>7342</v>
      </c>
      <c r="W3893" s="34"/>
      <c r="X3893" s="37">
        <v>0.63300000000000001</v>
      </c>
      <c r="Y3893" s="38">
        <v>3.202E-3</v>
      </c>
      <c r="Z3893" s="21">
        <v>4601004008243</v>
      </c>
    </row>
    <row r="3894" spans="1:26" ht="24" customHeight="1" outlineLevel="3" x14ac:dyDescent="0.2">
      <c r="A3894" s="32" t="s">
        <v>7578</v>
      </c>
      <c r="B3894" s="74" t="s">
        <v>7579</v>
      </c>
      <c r="C3894" s="50"/>
      <c r="D3894" s="53">
        <f t="shared" si="60"/>
        <v>0</v>
      </c>
      <c r="E3894" s="60" t="str">
        <f>HYPERLINK("https://www.sds-group.ru/product/professionalnyy-multimetr-ms8239c-mastech-13-2020/", "Инфо")</f>
        <v>Инфо</v>
      </c>
      <c r="F3894" s="34" t="s">
        <v>39</v>
      </c>
      <c r="G3894" s="33"/>
      <c r="H3894" s="33" t="s">
        <v>40</v>
      </c>
      <c r="I3894" s="33"/>
      <c r="J3894" s="39">
        <v>1744</v>
      </c>
      <c r="K3894" s="33"/>
      <c r="L3894" s="35">
        <v>1</v>
      </c>
      <c r="M3894" s="35">
        <v>20</v>
      </c>
      <c r="N3894" s="35">
        <v>1</v>
      </c>
      <c r="O3894" s="36">
        <v>4150.38</v>
      </c>
      <c r="P3894" s="36">
        <v>3401.95</v>
      </c>
      <c r="Q3894" s="36">
        <v>2905.27</v>
      </c>
      <c r="R3894" s="36">
        <v>2381.37</v>
      </c>
      <c r="S3894" s="36">
        <v>2822.26</v>
      </c>
      <c r="T3894" s="36">
        <v>2313.33</v>
      </c>
      <c r="U3894" s="34" t="s">
        <v>7341</v>
      </c>
      <c r="V3894" s="34" t="s">
        <v>7342</v>
      </c>
      <c r="W3894" s="34"/>
      <c r="X3894" s="37">
        <v>0.38</v>
      </c>
      <c r="Y3894" s="38">
        <v>2.0569999999999998E-3</v>
      </c>
      <c r="Z3894" s="21">
        <v>4601004008397</v>
      </c>
    </row>
    <row r="3895" spans="1:26" ht="12" customHeight="1" outlineLevel="3" x14ac:dyDescent="0.2">
      <c r="A3895" s="32" t="s">
        <v>7580</v>
      </c>
      <c r="B3895" s="74" t="s">
        <v>7581</v>
      </c>
      <c r="C3895" s="50"/>
      <c r="D3895" s="53">
        <f t="shared" si="60"/>
        <v>0</v>
      </c>
      <c r="E3895" s="60" t="str">
        <f>HYPERLINK("https://www.sds-group.ru/product/professionalnyy-multimetr-ms8250a-mastech-13-2101/", "Инфо")</f>
        <v>Инфо</v>
      </c>
      <c r="F3895" s="34" t="s">
        <v>39</v>
      </c>
      <c r="G3895" s="33"/>
      <c r="H3895" s="33" t="s">
        <v>40</v>
      </c>
      <c r="I3895" s="33"/>
      <c r="J3895" s="35">
        <v>25</v>
      </c>
      <c r="K3895" s="33"/>
      <c r="L3895" s="35">
        <v>1</v>
      </c>
      <c r="M3895" s="35">
        <v>20</v>
      </c>
      <c r="N3895" s="35">
        <v>1</v>
      </c>
      <c r="O3895" s="36">
        <v>6468.12</v>
      </c>
      <c r="P3895" s="36">
        <v>5301.74</v>
      </c>
      <c r="Q3895" s="36">
        <v>4527.68</v>
      </c>
      <c r="R3895" s="36">
        <v>3711.21</v>
      </c>
      <c r="S3895" s="36">
        <v>4398.32</v>
      </c>
      <c r="T3895" s="36">
        <v>3605.18</v>
      </c>
      <c r="U3895" s="34"/>
      <c r="V3895" s="34"/>
      <c r="W3895" s="34"/>
      <c r="X3895" s="37">
        <v>0.64700000000000002</v>
      </c>
      <c r="Y3895" s="38">
        <v>3.1830000000000001E-3</v>
      </c>
      <c r="Z3895" s="21">
        <v>4601004195790</v>
      </c>
    </row>
    <row r="3896" spans="1:26" ht="24" customHeight="1" outlineLevel="3" x14ac:dyDescent="0.2">
      <c r="A3896" s="32" t="s">
        <v>7582</v>
      </c>
      <c r="B3896" s="74" t="s">
        <v>7583</v>
      </c>
      <c r="C3896" s="50"/>
      <c r="D3896" s="53">
        <f t="shared" si="60"/>
        <v>0</v>
      </c>
      <c r="E3896" s="60" t="str">
        <f>HYPERLINK("https://www.sds-group.ru/product/professionalnyy-multimetr-ms8251b-mastech-13-2102/", "Инфо")</f>
        <v>Инфо</v>
      </c>
      <c r="F3896" s="34" t="s">
        <v>39</v>
      </c>
      <c r="G3896" s="33"/>
      <c r="H3896" s="33" t="s">
        <v>40</v>
      </c>
      <c r="I3896" s="33"/>
      <c r="J3896" s="35">
        <v>175</v>
      </c>
      <c r="K3896" s="33"/>
      <c r="L3896" s="35">
        <v>1</v>
      </c>
      <c r="M3896" s="35">
        <v>20</v>
      </c>
      <c r="N3896" s="35">
        <v>1</v>
      </c>
      <c r="O3896" s="36">
        <v>9153</v>
      </c>
      <c r="P3896" s="36">
        <v>7502.46</v>
      </c>
      <c r="Q3896" s="36">
        <v>6407.1</v>
      </c>
      <c r="R3896" s="36">
        <v>5251.72</v>
      </c>
      <c r="S3896" s="36">
        <v>6224.04</v>
      </c>
      <c r="T3896" s="36">
        <v>5101.67</v>
      </c>
      <c r="U3896" s="34" t="s">
        <v>7341</v>
      </c>
      <c r="V3896" s="34" t="s">
        <v>7342</v>
      </c>
      <c r="W3896" s="34"/>
      <c r="X3896" s="37">
        <v>0.71899999999999997</v>
      </c>
      <c r="Y3896" s="38">
        <v>2.6380000000000002E-3</v>
      </c>
      <c r="Z3896" s="21">
        <v>4601004195806</v>
      </c>
    </row>
    <row r="3897" spans="1:26" ht="24" customHeight="1" outlineLevel="3" x14ac:dyDescent="0.2">
      <c r="A3897" s="32" t="s">
        <v>7584</v>
      </c>
      <c r="B3897" s="74" t="s">
        <v>7585</v>
      </c>
      <c r="C3897" s="50"/>
      <c r="D3897" s="53">
        <f t="shared" si="60"/>
        <v>0</v>
      </c>
      <c r="E3897" s="60" t="str">
        <f>HYPERLINK("https://www.sds-group.ru/product/professionalnyy-multimetr-ms8265-mastech-13-2060/", "Инфо")</f>
        <v>Инфо</v>
      </c>
      <c r="F3897" s="34" t="s">
        <v>39</v>
      </c>
      <c r="G3897" s="33"/>
      <c r="H3897" s="33" t="s">
        <v>40</v>
      </c>
      <c r="I3897" s="33"/>
      <c r="J3897" s="35">
        <v>336</v>
      </c>
      <c r="K3897" s="33"/>
      <c r="L3897" s="35">
        <v>1</v>
      </c>
      <c r="M3897" s="35">
        <v>20</v>
      </c>
      <c r="N3897" s="35">
        <v>1</v>
      </c>
      <c r="O3897" s="36">
        <v>9594.3799999999992</v>
      </c>
      <c r="P3897" s="36">
        <v>7864.25</v>
      </c>
      <c r="Q3897" s="36">
        <v>6716.07</v>
      </c>
      <c r="R3897" s="36">
        <v>5504.98</v>
      </c>
      <c r="S3897" s="36">
        <v>6524.18</v>
      </c>
      <c r="T3897" s="36">
        <v>5347.69</v>
      </c>
      <c r="U3897" s="34" t="s">
        <v>7341</v>
      </c>
      <c r="V3897" s="34" t="s">
        <v>7342</v>
      </c>
      <c r="W3897" s="34"/>
      <c r="X3897" s="37">
        <v>0.67200000000000004</v>
      </c>
      <c r="Y3897" s="38">
        <v>3.2910000000000001E-3</v>
      </c>
      <c r="Z3897" s="21">
        <v>4601004093331</v>
      </c>
    </row>
    <row r="3898" spans="1:26" ht="24" customHeight="1" outlineLevel="3" x14ac:dyDescent="0.2">
      <c r="A3898" s="32" t="s">
        <v>7586</v>
      </c>
      <c r="B3898" s="74" t="s">
        <v>7587</v>
      </c>
      <c r="C3898" s="50"/>
      <c r="D3898" s="53">
        <f t="shared" si="60"/>
        <v>0</v>
      </c>
      <c r="E3898" s="60" t="str">
        <f>HYPERLINK("https://www.sds-group.ru/product/professionalnyy-multimetr-ms8268-mastech-13-2068/", "Инфо")</f>
        <v>Инфо</v>
      </c>
      <c r="F3898" s="34" t="s">
        <v>39</v>
      </c>
      <c r="G3898" s="33"/>
      <c r="H3898" s="33" t="s">
        <v>40</v>
      </c>
      <c r="I3898" s="33"/>
      <c r="J3898" s="35">
        <v>353</v>
      </c>
      <c r="K3898" s="33"/>
      <c r="L3898" s="35">
        <v>1</v>
      </c>
      <c r="M3898" s="35">
        <v>20</v>
      </c>
      <c r="N3898" s="35">
        <v>1</v>
      </c>
      <c r="O3898" s="36">
        <v>6447.78</v>
      </c>
      <c r="P3898" s="36">
        <v>5285.07</v>
      </c>
      <c r="Q3898" s="36">
        <v>4513.45</v>
      </c>
      <c r="R3898" s="36">
        <v>3699.55</v>
      </c>
      <c r="S3898" s="36">
        <v>4384.49</v>
      </c>
      <c r="T3898" s="36">
        <v>3593.84</v>
      </c>
      <c r="U3898" s="34" t="s">
        <v>7341</v>
      </c>
      <c r="V3898" s="34" t="s">
        <v>7342</v>
      </c>
      <c r="W3898" s="34"/>
      <c r="X3898" s="37">
        <v>0.60299999999999998</v>
      </c>
      <c r="Y3898" s="38">
        <v>2.5920000000000001E-3</v>
      </c>
      <c r="Z3898" s="21">
        <v>4601004195783</v>
      </c>
    </row>
    <row r="3899" spans="1:26" ht="12" customHeight="1" outlineLevel="3" x14ac:dyDescent="0.2">
      <c r="A3899" s="32" t="s">
        <v>7588</v>
      </c>
      <c r="B3899" s="74" t="s">
        <v>7589</v>
      </c>
      <c r="C3899" s="50"/>
      <c r="D3899" s="53">
        <f t="shared" si="60"/>
        <v>0</v>
      </c>
      <c r="E3899" s="60" t="str">
        <f>HYPERLINK("https://www.sds-group.ru/product/professionalnyy-multimetr-ms8269-mastech-13-2022/", "Инфо")</f>
        <v>Инфо</v>
      </c>
      <c r="F3899" s="34" t="s">
        <v>39</v>
      </c>
      <c r="G3899" s="33"/>
      <c r="H3899" s="33" t="s">
        <v>40</v>
      </c>
      <c r="I3899" s="33"/>
      <c r="J3899" s="35">
        <v>336</v>
      </c>
      <c r="K3899" s="33" t="s">
        <v>1126</v>
      </c>
      <c r="L3899" s="35">
        <v>1</v>
      </c>
      <c r="M3899" s="35">
        <v>20</v>
      </c>
      <c r="N3899" s="35">
        <v>1</v>
      </c>
      <c r="O3899" s="36">
        <v>7007.13</v>
      </c>
      <c r="P3899" s="36">
        <v>5743.55</v>
      </c>
      <c r="Q3899" s="36">
        <v>4904.99</v>
      </c>
      <c r="R3899" s="36">
        <v>4020.48</v>
      </c>
      <c r="S3899" s="36">
        <v>4764.8500000000004</v>
      </c>
      <c r="T3899" s="36">
        <v>3905.61</v>
      </c>
      <c r="U3899" s="34"/>
      <c r="V3899" s="34"/>
      <c r="W3899" s="34"/>
      <c r="X3899" s="37">
        <v>0.66</v>
      </c>
      <c r="Y3899" s="38">
        <v>3.2889999999999998E-3</v>
      </c>
      <c r="Z3899" s="21">
        <v>4601004008359</v>
      </c>
    </row>
    <row r="3900" spans="1:26" ht="24" customHeight="1" outlineLevel="3" x14ac:dyDescent="0.2">
      <c r="A3900" s="32" t="s">
        <v>7590</v>
      </c>
      <c r="B3900" s="74" t="s">
        <v>7591</v>
      </c>
      <c r="C3900" s="50"/>
      <c r="D3900" s="53">
        <f t="shared" si="60"/>
        <v>0</v>
      </c>
      <c r="E3900" s="60" t="str">
        <f>HYPERLINK("https://www.sds-group.ru/product/professionalnyy-multimetr-ms8360c-mastech-13-2027/", "Инфо")</f>
        <v>Инфо</v>
      </c>
      <c r="F3900" s="34" t="s">
        <v>39</v>
      </c>
      <c r="G3900" s="33"/>
      <c r="H3900" s="33" t="s">
        <v>40</v>
      </c>
      <c r="I3900" s="33"/>
      <c r="J3900" s="35">
        <v>116</v>
      </c>
      <c r="K3900" s="33"/>
      <c r="L3900" s="35">
        <v>1</v>
      </c>
      <c r="M3900" s="35">
        <v>20</v>
      </c>
      <c r="N3900" s="35">
        <v>1</v>
      </c>
      <c r="O3900" s="36">
        <v>6683.72</v>
      </c>
      <c r="P3900" s="36">
        <v>5478.46</v>
      </c>
      <c r="Q3900" s="36">
        <v>4678.6000000000004</v>
      </c>
      <c r="R3900" s="36">
        <v>3834.92</v>
      </c>
      <c r="S3900" s="36">
        <v>4544.93</v>
      </c>
      <c r="T3900" s="36">
        <v>3725.35</v>
      </c>
      <c r="U3900" s="34" t="s">
        <v>7341</v>
      </c>
      <c r="V3900" s="34" t="s">
        <v>7342</v>
      </c>
      <c r="W3900" s="34"/>
      <c r="X3900" s="37">
        <v>0.68400000000000005</v>
      </c>
      <c r="Y3900" s="38">
        <v>3.2399999999999998E-3</v>
      </c>
      <c r="Z3900" s="21">
        <v>4601004018167</v>
      </c>
    </row>
    <row r="3901" spans="1:26" ht="12" customHeight="1" outlineLevel="3" x14ac:dyDescent="0.2">
      <c r="A3901" s="32" t="s">
        <v>7592</v>
      </c>
      <c r="B3901" s="74" t="s">
        <v>7593</v>
      </c>
      <c r="C3901" s="50"/>
      <c r="D3901" s="53">
        <f t="shared" si="60"/>
        <v>0</v>
      </c>
      <c r="E3901" s="60" t="str">
        <f>HYPERLINK("https://www.sds-group.ru/product/professionalnyy-multimetr-ms8361d-mastech-13-2069/", "Инфо")</f>
        <v>Инфо</v>
      </c>
      <c r="F3901" s="34" t="s">
        <v>39</v>
      </c>
      <c r="G3901" s="33"/>
      <c r="H3901" s="33" t="s">
        <v>40</v>
      </c>
      <c r="I3901" s="33"/>
      <c r="J3901" s="35">
        <v>85</v>
      </c>
      <c r="K3901" s="33"/>
      <c r="L3901" s="35">
        <v>1</v>
      </c>
      <c r="M3901" s="35">
        <v>20</v>
      </c>
      <c r="N3901" s="35">
        <v>1</v>
      </c>
      <c r="O3901" s="36">
        <v>8786.8799999999992</v>
      </c>
      <c r="P3901" s="36">
        <v>7202.36</v>
      </c>
      <c r="Q3901" s="36">
        <v>6150.82</v>
      </c>
      <c r="R3901" s="36">
        <v>5041.66</v>
      </c>
      <c r="S3901" s="36">
        <v>5975.08</v>
      </c>
      <c r="T3901" s="36">
        <v>4897.6099999999997</v>
      </c>
      <c r="U3901" s="34"/>
      <c r="V3901" s="34"/>
      <c r="W3901" s="34"/>
      <c r="X3901" s="37">
        <v>0.68400000000000005</v>
      </c>
      <c r="Y3901" s="38">
        <v>3.0959999999999998E-3</v>
      </c>
      <c r="Z3901" s="21">
        <v>4601004195776</v>
      </c>
    </row>
    <row r="3902" spans="1:26" ht="12" customHeight="1" outlineLevel="3" x14ac:dyDescent="0.2">
      <c r="A3902" s="32" t="s">
        <v>7594</v>
      </c>
      <c r="B3902" s="74" t="s">
        <v>7595</v>
      </c>
      <c r="C3902" s="50"/>
      <c r="D3902" s="53">
        <f t="shared" si="60"/>
        <v>0</v>
      </c>
      <c r="E3902" s="60" t="str">
        <f>HYPERLINK("https://www.sds-group.ru/product/professionalnyy-multimetr-uni-t-60bt-13-0090/", "Инфо")</f>
        <v>Инфо</v>
      </c>
      <c r="F3902" s="34" t="s">
        <v>39</v>
      </c>
      <c r="G3902" s="33"/>
      <c r="H3902" s="33" t="s">
        <v>40</v>
      </c>
      <c r="I3902" s="33"/>
      <c r="J3902" s="35">
        <v>20</v>
      </c>
      <c r="K3902" s="33" t="s">
        <v>1587</v>
      </c>
      <c r="L3902" s="35">
        <v>1</v>
      </c>
      <c r="M3902" s="35">
        <v>20</v>
      </c>
      <c r="N3902" s="35">
        <v>1</v>
      </c>
      <c r="O3902" s="36">
        <v>7007.13</v>
      </c>
      <c r="P3902" s="36">
        <v>5743.55</v>
      </c>
      <c r="Q3902" s="36">
        <v>4904.99</v>
      </c>
      <c r="R3902" s="36">
        <v>4020.48</v>
      </c>
      <c r="S3902" s="36">
        <v>4764.8500000000004</v>
      </c>
      <c r="T3902" s="36">
        <v>3905.61</v>
      </c>
      <c r="U3902" s="34"/>
      <c r="V3902" s="34"/>
      <c r="W3902" s="34"/>
      <c r="X3902" s="37">
        <v>0.48399999999999999</v>
      </c>
      <c r="Y3902" s="38">
        <v>2.1050000000000001E-3</v>
      </c>
      <c r="Z3902" s="21">
        <v>4601004268401</v>
      </c>
    </row>
    <row r="3903" spans="1:26" ht="12" customHeight="1" outlineLevel="3" x14ac:dyDescent="0.2">
      <c r="A3903" s="32" t="s">
        <v>7596</v>
      </c>
      <c r="B3903" s="74" t="s">
        <v>7597</v>
      </c>
      <c r="C3903" s="50"/>
      <c r="D3903" s="53">
        <f t="shared" si="60"/>
        <v>0</v>
      </c>
      <c r="E3903" s="60" t="str">
        <f>HYPERLINK("https://www.sds-group.ru/product/professionalnyy-multimetr-uni-t-60s-13-0091/", "Инфо")</f>
        <v>Инфо</v>
      </c>
      <c r="F3903" s="34" t="s">
        <v>39</v>
      </c>
      <c r="G3903" s="33"/>
      <c r="H3903" s="33" t="s">
        <v>40</v>
      </c>
      <c r="I3903" s="33"/>
      <c r="J3903" s="35">
        <v>41</v>
      </c>
      <c r="K3903" s="33" t="s">
        <v>1587</v>
      </c>
      <c r="L3903" s="35">
        <v>1</v>
      </c>
      <c r="M3903" s="35">
        <v>1</v>
      </c>
      <c r="N3903" s="35">
        <v>1</v>
      </c>
      <c r="O3903" s="36">
        <v>6705.28</v>
      </c>
      <c r="P3903" s="36">
        <v>5496.13</v>
      </c>
      <c r="Q3903" s="36">
        <v>4693.7</v>
      </c>
      <c r="R3903" s="36">
        <v>3847.3</v>
      </c>
      <c r="S3903" s="36">
        <v>4559.59</v>
      </c>
      <c r="T3903" s="36">
        <v>3737.37</v>
      </c>
      <c r="U3903" s="34"/>
      <c r="V3903" s="34"/>
      <c r="W3903" s="34"/>
      <c r="X3903" s="37">
        <v>0.50900000000000001</v>
      </c>
      <c r="Y3903" s="38">
        <v>2.127E-3</v>
      </c>
      <c r="Z3903" s="21">
        <v>4601004268418</v>
      </c>
    </row>
    <row r="3904" spans="1:26" ht="12" customHeight="1" outlineLevel="3" x14ac:dyDescent="0.2">
      <c r="A3904" s="32" t="s">
        <v>7598</v>
      </c>
      <c r="B3904" s="74" t="s">
        <v>7599</v>
      </c>
      <c r="C3904" s="50"/>
      <c r="D3904" s="53">
        <f t="shared" si="60"/>
        <v>0</v>
      </c>
      <c r="E3904" s="60" t="str">
        <f>HYPERLINK("https://www.sds-group.ru/product/professionalnyy-multimetr-uni-t-ut61b-13-0092/", "Инфо")</f>
        <v>Инфо</v>
      </c>
      <c r="F3904" s="34" t="s">
        <v>39</v>
      </c>
      <c r="G3904" s="33"/>
      <c r="H3904" s="33" t="s">
        <v>40</v>
      </c>
      <c r="I3904" s="33"/>
      <c r="J3904" s="35">
        <v>36</v>
      </c>
      <c r="K3904" s="33" t="s">
        <v>1587</v>
      </c>
      <c r="L3904" s="35">
        <v>1</v>
      </c>
      <c r="M3904" s="35">
        <v>20</v>
      </c>
      <c r="N3904" s="35">
        <v>1</v>
      </c>
      <c r="O3904" s="36">
        <v>10004.030000000001</v>
      </c>
      <c r="P3904" s="36">
        <v>8200.02</v>
      </c>
      <c r="Q3904" s="36">
        <v>7002.82</v>
      </c>
      <c r="R3904" s="36">
        <v>5740.02</v>
      </c>
      <c r="S3904" s="36">
        <v>6802.74</v>
      </c>
      <c r="T3904" s="36">
        <v>5576.02</v>
      </c>
      <c r="U3904" s="34"/>
      <c r="V3904" s="34"/>
      <c r="W3904" s="34"/>
      <c r="X3904" s="37">
        <v>0.78500000000000003</v>
      </c>
      <c r="Y3904" s="38">
        <v>3.2550000000000001E-3</v>
      </c>
      <c r="Z3904" s="21">
        <v>4601004268371</v>
      </c>
    </row>
    <row r="3905" spans="1:26" ht="12" customHeight="1" outlineLevel="3" x14ac:dyDescent="0.2">
      <c r="A3905" s="32" t="s">
        <v>7600</v>
      </c>
      <c r="B3905" s="74" t="s">
        <v>7601</v>
      </c>
      <c r="C3905" s="50"/>
      <c r="D3905" s="53">
        <f t="shared" si="60"/>
        <v>0</v>
      </c>
      <c r="E3905" s="60" t="str">
        <f>HYPERLINK("https://www.sds-group.ru/product/professionalnyy-multimetr-uni-t-ut61d-13-0093/", "Инфо")</f>
        <v>Инфо</v>
      </c>
      <c r="F3905" s="34" t="s">
        <v>39</v>
      </c>
      <c r="G3905" s="33"/>
      <c r="H3905" s="33" t="s">
        <v>40</v>
      </c>
      <c r="I3905" s="33"/>
      <c r="J3905" s="35">
        <v>66</v>
      </c>
      <c r="K3905" s="33"/>
      <c r="L3905" s="35">
        <v>1</v>
      </c>
      <c r="M3905" s="35">
        <v>20</v>
      </c>
      <c r="N3905" s="35">
        <v>1</v>
      </c>
      <c r="O3905" s="36">
        <v>11858.22</v>
      </c>
      <c r="P3905" s="36">
        <v>9719.85</v>
      </c>
      <c r="Q3905" s="36">
        <v>8300.75</v>
      </c>
      <c r="R3905" s="36">
        <v>6803.89</v>
      </c>
      <c r="S3905" s="36">
        <v>8063.59</v>
      </c>
      <c r="T3905" s="36">
        <v>6609.5</v>
      </c>
      <c r="U3905" s="34"/>
      <c r="V3905" s="34"/>
      <c r="W3905" s="34"/>
      <c r="X3905" s="37">
        <v>0.80600000000000005</v>
      </c>
      <c r="Y3905" s="38">
        <v>3.3050000000000002E-3</v>
      </c>
      <c r="Z3905" s="21">
        <v>4601004268388</v>
      </c>
    </row>
    <row r="3906" spans="1:26" ht="12" customHeight="1" outlineLevel="3" x14ac:dyDescent="0.2">
      <c r="A3906" s="32" t="s">
        <v>7602</v>
      </c>
      <c r="B3906" s="74" t="s">
        <v>7603</v>
      </c>
      <c r="C3906" s="50"/>
      <c r="D3906" s="53">
        <f t="shared" si="60"/>
        <v>0</v>
      </c>
      <c r="E3906" s="60" t="str">
        <f>HYPERLINK("https://www.sds-group.ru/product/professionalnyy-multimetr-uni-t-ut61e-13-0094/", "Инфо")</f>
        <v>Инфо</v>
      </c>
      <c r="F3906" s="34" t="s">
        <v>39</v>
      </c>
      <c r="G3906" s="33"/>
      <c r="H3906" s="33" t="s">
        <v>40</v>
      </c>
      <c r="I3906" s="33"/>
      <c r="J3906" s="34" t="s">
        <v>100</v>
      </c>
      <c r="K3906" s="33" t="s">
        <v>1587</v>
      </c>
      <c r="L3906" s="35">
        <v>1</v>
      </c>
      <c r="M3906" s="35">
        <v>1</v>
      </c>
      <c r="N3906" s="35">
        <v>1</v>
      </c>
      <c r="O3906" s="36">
        <v>17776.55</v>
      </c>
      <c r="P3906" s="36">
        <v>14570.94</v>
      </c>
      <c r="Q3906" s="36">
        <v>12443.59</v>
      </c>
      <c r="R3906" s="36">
        <v>10199.66</v>
      </c>
      <c r="S3906" s="36">
        <v>12088.05</v>
      </c>
      <c r="T3906" s="36">
        <v>9908.24</v>
      </c>
      <c r="U3906" s="34"/>
      <c r="V3906" s="34"/>
      <c r="W3906" s="34"/>
      <c r="X3906" s="37">
        <v>0.84299999999999997</v>
      </c>
      <c r="Y3906" s="38">
        <v>3.3370000000000001E-3</v>
      </c>
      <c r="Z3906" s="21">
        <v>4601004268395</v>
      </c>
    </row>
    <row r="3907" spans="1:26" ht="12" customHeight="1" outlineLevel="3" x14ac:dyDescent="0.2">
      <c r="A3907" s="32" t="s">
        <v>7604</v>
      </c>
      <c r="B3907" s="74" t="s">
        <v>7605</v>
      </c>
      <c r="C3907" s="50"/>
      <c r="D3907" s="53">
        <f t="shared" si="60"/>
        <v>0</v>
      </c>
      <c r="E3907" s="60" t="str">
        <f>HYPERLINK("https://www.sds-group.ru/product/professionalnyy-multimetr-trassoiskatel-ms8236-masctech-13-1223/", "Инфо")</f>
        <v>Инфо</v>
      </c>
      <c r="F3907" s="34" t="s">
        <v>39</v>
      </c>
      <c r="G3907" s="33"/>
      <c r="H3907" s="33" t="s">
        <v>40</v>
      </c>
      <c r="I3907" s="33"/>
      <c r="J3907" s="35">
        <v>117</v>
      </c>
      <c r="K3907" s="33"/>
      <c r="L3907" s="35">
        <v>1</v>
      </c>
      <c r="M3907" s="35">
        <v>20</v>
      </c>
      <c r="N3907" s="35">
        <v>1</v>
      </c>
      <c r="O3907" s="36">
        <v>12828.44</v>
      </c>
      <c r="P3907" s="36">
        <v>10515.11</v>
      </c>
      <c r="Q3907" s="36">
        <v>8979.91</v>
      </c>
      <c r="R3907" s="36">
        <v>7360.58</v>
      </c>
      <c r="S3907" s="36">
        <v>8723.34</v>
      </c>
      <c r="T3907" s="36">
        <v>7150.28</v>
      </c>
      <c r="U3907" s="34"/>
      <c r="V3907" s="34"/>
      <c r="W3907" s="34"/>
      <c r="X3907" s="37">
        <v>0.93400000000000005</v>
      </c>
      <c r="Y3907" s="38">
        <v>5.3889999999999997E-3</v>
      </c>
      <c r="Z3907" s="21">
        <v>4601004056497</v>
      </c>
    </row>
    <row r="3908" spans="1:26" ht="12.95" customHeight="1" outlineLevel="2" x14ac:dyDescent="0.2">
      <c r="A3908" s="76" t="s">
        <v>7606</v>
      </c>
      <c r="B3908" s="76"/>
      <c r="C3908" s="77"/>
      <c r="D3908" s="58"/>
      <c r="E3908" s="68"/>
      <c r="F3908" s="13"/>
      <c r="G3908" s="13"/>
      <c r="H3908" s="13"/>
      <c r="I3908" s="13"/>
      <c r="J3908" s="13"/>
      <c r="K3908" s="13"/>
      <c r="L3908" s="13"/>
      <c r="M3908" s="13"/>
      <c r="N3908" s="13"/>
      <c r="O3908" s="13"/>
      <c r="P3908" s="13"/>
      <c r="Q3908" s="13"/>
      <c r="R3908" s="13"/>
      <c r="S3908" s="13"/>
      <c r="T3908" s="13"/>
      <c r="U3908" s="13"/>
      <c r="V3908" s="13"/>
      <c r="W3908" s="13"/>
      <c r="X3908" s="13"/>
      <c r="Y3908" s="13"/>
      <c r="Z3908" s="13"/>
    </row>
    <row r="3909" spans="1:26" ht="24" customHeight="1" outlineLevel="3" x14ac:dyDescent="0.2">
      <c r="A3909" s="32" t="s">
        <v>7607</v>
      </c>
      <c r="B3909" s="74" t="s">
        <v>7608</v>
      </c>
      <c r="C3909" s="50"/>
      <c r="D3909" s="53">
        <f t="shared" si="60"/>
        <v>0</v>
      </c>
      <c r="E3909" s="60" t="str">
        <f>HYPERLINK("https://www.sds-group.ru/product/pristavka-dlya-tokovyh-kleschey-ms922d-mastech-13-1340/", "Инфо")</f>
        <v>Инфо</v>
      </c>
      <c r="F3909" s="34" t="s">
        <v>39</v>
      </c>
      <c r="G3909" s="33"/>
      <c r="H3909" s="33" t="s">
        <v>40</v>
      </c>
      <c r="I3909" s="33"/>
      <c r="J3909" s="35">
        <v>202</v>
      </c>
      <c r="K3909" s="33"/>
      <c r="L3909" s="35">
        <v>1</v>
      </c>
      <c r="M3909" s="35">
        <v>40</v>
      </c>
      <c r="N3909" s="35">
        <v>1</v>
      </c>
      <c r="O3909" s="36">
        <v>2371.64</v>
      </c>
      <c r="P3909" s="36">
        <v>1943.97</v>
      </c>
      <c r="Q3909" s="36">
        <v>1660.15</v>
      </c>
      <c r="R3909" s="36">
        <v>1360.78</v>
      </c>
      <c r="S3909" s="36">
        <v>1612.72</v>
      </c>
      <c r="T3909" s="36">
        <v>1321.9</v>
      </c>
      <c r="U3909" s="34" t="s">
        <v>7341</v>
      </c>
      <c r="V3909" s="34" t="s">
        <v>7342</v>
      </c>
      <c r="W3909" s="34"/>
      <c r="X3909" s="37">
        <v>0.221</v>
      </c>
      <c r="Y3909" s="38">
        <v>1.5590000000000001E-3</v>
      </c>
      <c r="Z3909" s="21">
        <v>4601004195899</v>
      </c>
    </row>
    <row r="3910" spans="1:26" ht="12" customHeight="1" outlineLevel="3" x14ac:dyDescent="0.2">
      <c r="A3910" s="32" t="s">
        <v>7609</v>
      </c>
      <c r="B3910" s="74" t="s">
        <v>7610</v>
      </c>
      <c r="C3910" s="50"/>
      <c r="D3910" s="53">
        <f t="shared" si="60"/>
        <v>0</v>
      </c>
      <c r="E3910" s="60" t="str">
        <f>HYPERLINK("https://www.sds-group.ru/product/tokovye-kleschi-m266-mastech-13-1306/", "Инфо")</f>
        <v>Инфо</v>
      </c>
      <c r="F3910" s="34" t="s">
        <v>39</v>
      </c>
      <c r="G3910" s="33"/>
      <c r="H3910" s="33" t="s">
        <v>40</v>
      </c>
      <c r="I3910" s="33"/>
      <c r="J3910" s="35">
        <v>490</v>
      </c>
      <c r="K3910" s="33" t="s">
        <v>1126</v>
      </c>
      <c r="L3910" s="35">
        <v>1</v>
      </c>
      <c r="M3910" s="35">
        <v>20</v>
      </c>
      <c r="N3910" s="35">
        <v>1</v>
      </c>
      <c r="O3910" s="36">
        <v>3449.66</v>
      </c>
      <c r="P3910" s="36">
        <v>2827.59</v>
      </c>
      <c r="Q3910" s="36">
        <v>2414.7600000000002</v>
      </c>
      <c r="R3910" s="36">
        <v>1979.31</v>
      </c>
      <c r="S3910" s="36">
        <v>2345.77</v>
      </c>
      <c r="T3910" s="36">
        <v>1922.76</v>
      </c>
      <c r="U3910" s="34"/>
      <c r="V3910" s="34"/>
      <c r="W3910" s="34"/>
      <c r="X3910" s="37">
        <v>0.56799999999999995</v>
      </c>
      <c r="Y3910" s="38">
        <v>2.6069999999999999E-3</v>
      </c>
      <c r="Z3910" s="21">
        <v>4601004052192</v>
      </c>
    </row>
    <row r="3911" spans="1:26" ht="12" customHeight="1" outlineLevel="3" x14ac:dyDescent="0.2">
      <c r="A3911" s="32" t="s">
        <v>7611</v>
      </c>
      <c r="B3911" s="74" t="s">
        <v>7612</v>
      </c>
      <c r="C3911" s="50"/>
      <c r="D3911" s="53">
        <f t="shared" si="60"/>
        <v>0</v>
      </c>
      <c r="E3911" s="60" t="str">
        <f>HYPERLINK("https://www.sds-group.ru/product/tokovye-kleschi-m266c-mastech-13-1303/", "Инфо")</f>
        <v>Инфо</v>
      </c>
      <c r="F3911" s="34" t="s">
        <v>39</v>
      </c>
      <c r="G3911" s="33"/>
      <c r="H3911" s="33" t="s">
        <v>40</v>
      </c>
      <c r="I3911" s="33"/>
      <c r="J3911" s="39">
        <v>1550</v>
      </c>
      <c r="K3911" s="33"/>
      <c r="L3911" s="35">
        <v>1</v>
      </c>
      <c r="M3911" s="35">
        <v>20</v>
      </c>
      <c r="N3911" s="35">
        <v>1</v>
      </c>
      <c r="O3911" s="36">
        <v>3341.86</v>
      </c>
      <c r="P3911" s="36">
        <v>2739.23</v>
      </c>
      <c r="Q3911" s="36">
        <v>2339.3000000000002</v>
      </c>
      <c r="R3911" s="36">
        <v>1917.46</v>
      </c>
      <c r="S3911" s="36">
        <v>2272.46</v>
      </c>
      <c r="T3911" s="36">
        <v>1862.67</v>
      </c>
      <c r="U3911" s="34"/>
      <c r="V3911" s="34"/>
      <c r="W3911" s="34"/>
      <c r="X3911" s="37">
        <v>0.56699999999999995</v>
      </c>
      <c r="Y3911" s="38">
        <v>2.6640000000000001E-3</v>
      </c>
      <c r="Z3911" s="21">
        <v>4601004008205</v>
      </c>
    </row>
    <row r="3912" spans="1:26" ht="12" customHeight="1" outlineLevel="3" x14ac:dyDescent="0.2">
      <c r="A3912" s="32" t="s">
        <v>7613</v>
      </c>
      <c r="B3912" s="74" t="s">
        <v>7614</v>
      </c>
      <c r="C3912" s="50"/>
      <c r="D3912" s="53">
        <f t="shared" si="60"/>
        <v>0</v>
      </c>
      <c r="E3912" s="60" t="str">
        <f>HYPERLINK("https://www.sds-group.ru/product/tokovye-kleschi-m266f-mastech-13-1304/", "Инфо")</f>
        <v>Инфо</v>
      </c>
      <c r="F3912" s="34" t="s">
        <v>39</v>
      </c>
      <c r="G3912" s="33"/>
      <c r="H3912" s="33" t="s">
        <v>40</v>
      </c>
      <c r="I3912" s="33"/>
      <c r="J3912" s="35">
        <v>719</v>
      </c>
      <c r="K3912" s="33" t="s">
        <v>1004</v>
      </c>
      <c r="L3912" s="35">
        <v>1</v>
      </c>
      <c r="M3912" s="35">
        <v>20</v>
      </c>
      <c r="N3912" s="35">
        <v>1</v>
      </c>
      <c r="O3912" s="36">
        <v>3449.66</v>
      </c>
      <c r="P3912" s="36">
        <v>2827.59</v>
      </c>
      <c r="Q3912" s="36">
        <v>2414.7600000000002</v>
      </c>
      <c r="R3912" s="36">
        <v>1979.31</v>
      </c>
      <c r="S3912" s="36">
        <v>2345.77</v>
      </c>
      <c r="T3912" s="36">
        <v>1922.76</v>
      </c>
      <c r="U3912" s="34"/>
      <c r="V3912" s="34"/>
      <c r="W3912" s="34"/>
      <c r="X3912" s="37">
        <v>0.57499999999999996</v>
      </c>
      <c r="Y3912" s="38">
        <v>2.5920000000000001E-3</v>
      </c>
      <c r="Z3912" s="21">
        <v>4601004008175</v>
      </c>
    </row>
    <row r="3913" spans="1:26" ht="12" customHeight="1" outlineLevel="3" x14ac:dyDescent="0.2">
      <c r="A3913" s="32" t="s">
        <v>7615</v>
      </c>
      <c r="B3913" s="74" t="s">
        <v>7616</v>
      </c>
      <c r="C3913" s="50"/>
      <c r="D3913" s="53">
        <f t="shared" ref="D3913:D3975" si="61">C3913*(O3913-O3913*$G$3)</f>
        <v>0</v>
      </c>
      <c r="E3913" s="60" t="str">
        <f>HYPERLINK("https://www.sds-group.ru/product/tokovye-kleschi-ms2000g-mastech-13-1301/", "Инфо")</f>
        <v>Инфо</v>
      </c>
      <c r="F3913" s="34" t="s">
        <v>39</v>
      </c>
      <c r="G3913" s="33"/>
      <c r="H3913" s="33" t="s">
        <v>40</v>
      </c>
      <c r="I3913" s="33"/>
      <c r="J3913" s="35">
        <v>136</v>
      </c>
      <c r="K3913" s="33"/>
      <c r="L3913" s="35">
        <v>1</v>
      </c>
      <c r="M3913" s="35">
        <v>10</v>
      </c>
      <c r="N3913" s="35">
        <v>1</v>
      </c>
      <c r="O3913" s="36">
        <v>7810.56</v>
      </c>
      <c r="P3913" s="36">
        <v>6402.1</v>
      </c>
      <c r="Q3913" s="36">
        <v>5467.39</v>
      </c>
      <c r="R3913" s="36">
        <v>4481.47</v>
      </c>
      <c r="S3913" s="36">
        <v>5311.18</v>
      </c>
      <c r="T3913" s="36">
        <v>4353.43</v>
      </c>
      <c r="U3913" s="34"/>
      <c r="V3913" s="34"/>
      <c r="W3913" s="34"/>
      <c r="X3913" s="37">
        <v>1.4950000000000001</v>
      </c>
      <c r="Y3913" s="38">
        <v>6.3200000000000001E-3</v>
      </c>
      <c r="Z3913" s="21">
        <v>4601004008168</v>
      </c>
    </row>
    <row r="3914" spans="1:26" ht="12" customHeight="1" outlineLevel="3" x14ac:dyDescent="0.2">
      <c r="A3914" s="32" t="s">
        <v>7617</v>
      </c>
      <c r="B3914" s="74" t="s">
        <v>7618</v>
      </c>
      <c r="C3914" s="50"/>
      <c r="D3914" s="53">
        <f t="shared" si="61"/>
        <v>0</v>
      </c>
      <c r="E3914" s="60" t="str">
        <f>HYPERLINK("https://www.sds-group.ru/product/tokovye-kleschi-ms2001-mastech-13-1307/", "Инфо")</f>
        <v>Инфо</v>
      </c>
      <c r="F3914" s="34" t="s">
        <v>39</v>
      </c>
      <c r="G3914" s="33"/>
      <c r="H3914" s="33" t="s">
        <v>40</v>
      </c>
      <c r="I3914" s="33"/>
      <c r="J3914" s="35">
        <v>90</v>
      </c>
      <c r="K3914" s="33"/>
      <c r="L3914" s="35">
        <v>1</v>
      </c>
      <c r="M3914" s="35">
        <v>10</v>
      </c>
      <c r="N3914" s="35">
        <v>1</v>
      </c>
      <c r="O3914" s="36">
        <v>4818.75</v>
      </c>
      <c r="P3914" s="36">
        <v>3949.8</v>
      </c>
      <c r="Q3914" s="36">
        <v>3373.13</v>
      </c>
      <c r="R3914" s="36">
        <v>2764.86</v>
      </c>
      <c r="S3914" s="36">
        <v>3276.75</v>
      </c>
      <c r="T3914" s="36">
        <v>2685.86</v>
      </c>
      <c r="U3914" s="34"/>
      <c r="V3914" s="34"/>
      <c r="W3914" s="34"/>
      <c r="X3914" s="37">
        <v>0.753</v>
      </c>
      <c r="Y3914" s="38">
        <v>3.0100000000000001E-3</v>
      </c>
      <c r="Z3914" s="21">
        <v>4601004052116</v>
      </c>
    </row>
    <row r="3915" spans="1:26" ht="24" customHeight="1" outlineLevel="3" x14ac:dyDescent="0.2">
      <c r="A3915" s="32" t="s">
        <v>7619</v>
      </c>
      <c r="B3915" s="74" t="s">
        <v>7620</v>
      </c>
      <c r="C3915" s="50"/>
      <c r="D3915" s="53">
        <f t="shared" si="61"/>
        <v>0</v>
      </c>
      <c r="E3915" s="60" t="str">
        <f>HYPERLINK("https://www.sds-group.ru/product/tokovye-kleschi-ms2001c-mastech-13-1310/", "Инфо")</f>
        <v>Инфо</v>
      </c>
      <c r="F3915" s="34" t="s">
        <v>39</v>
      </c>
      <c r="G3915" s="33"/>
      <c r="H3915" s="33" t="s">
        <v>40</v>
      </c>
      <c r="I3915" s="33"/>
      <c r="J3915" s="35">
        <v>218</v>
      </c>
      <c r="K3915" s="33"/>
      <c r="L3915" s="35">
        <v>1</v>
      </c>
      <c r="M3915" s="35">
        <v>10</v>
      </c>
      <c r="N3915" s="35">
        <v>1</v>
      </c>
      <c r="O3915" s="36">
        <v>5255.86</v>
      </c>
      <c r="P3915" s="36">
        <v>4308.08</v>
      </c>
      <c r="Q3915" s="36">
        <v>3679.1</v>
      </c>
      <c r="R3915" s="36">
        <v>3015.66</v>
      </c>
      <c r="S3915" s="36">
        <v>3573.98</v>
      </c>
      <c r="T3915" s="36">
        <v>2929.49</v>
      </c>
      <c r="U3915" s="34" t="s">
        <v>7341</v>
      </c>
      <c r="V3915" s="34" t="s">
        <v>7342</v>
      </c>
      <c r="W3915" s="34"/>
      <c r="X3915" s="37">
        <v>0.71299999999999997</v>
      </c>
      <c r="Y3915" s="38">
        <v>2.379E-3</v>
      </c>
      <c r="Z3915" s="21">
        <v>4601004056503</v>
      </c>
    </row>
    <row r="3916" spans="1:26" ht="12" customHeight="1" outlineLevel="3" x14ac:dyDescent="0.2">
      <c r="A3916" s="32" t="s">
        <v>7621</v>
      </c>
      <c r="B3916" s="74" t="s">
        <v>7622</v>
      </c>
      <c r="C3916" s="50"/>
      <c r="D3916" s="53">
        <f t="shared" si="61"/>
        <v>0</v>
      </c>
      <c r="E3916" s="60" t="str">
        <f>HYPERLINK("https://www.sds-group.ru/product/tokovye-kleschi-ms2008b-mastech-13-1313/", "Инфо")</f>
        <v>Инфо</v>
      </c>
      <c r="F3916" s="34" t="s">
        <v>39</v>
      </c>
      <c r="G3916" s="33"/>
      <c r="H3916" s="33" t="s">
        <v>40</v>
      </c>
      <c r="I3916" s="33"/>
      <c r="J3916" s="35">
        <v>565</v>
      </c>
      <c r="K3916" s="33"/>
      <c r="L3916" s="35">
        <v>1</v>
      </c>
      <c r="M3916" s="35">
        <v>20</v>
      </c>
      <c r="N3916" s="35">
        <v>1</v>
      </c>
      <c r="O3916" s="36">
        <v>6036.91</v>
      </c>
      <c r="P3916" s="36">
        <v>4948.29</v>
      </c>
      <c r="Q3916" s="36">
        <v>4225.84</v>
      </c>
      <c r="R3916" s="36">
        <v>3463.8</v>
      </c>
      <c r="S3916" s="36">
        <v>4105.1000000000004</v>
      </c>
      <c r="T3916" s="36">
        <v>3364.84</v>
      </c>
      <c r="U3916" s="34"/>
      <c r="V3916" s="34"/>
      <c r="W3916" s="34"/>
      <c r="X3916" s="37">
        <v>0.50600000000000001</v>
      </c>
      <c r="Y3916" s="38">
        <v>1.8339999999999999E-3</v>
      </c>
      <c r="Z3916" s="21">
        <v>4601004075429</v>
      </c>
    </row>
    <row r="3917" spans="1:26" ht="12" customHeight="1" outlineLevel="3" x14ac:dyDescent="0.2">
      <c r="A3917" s="32" t="s">
        <v>7623</v>
      </c>
      <c r="B3917" s="74" t="s">
        <v>7624</v>
      </c>
      <c r="C3917" s="50"/>
      <c r="D3917" s="53">
        <f t="shared" si="61"/>
        <v>0</v>
      </c>
      <c r="E3917" s="60" t="str">
        <f>HYPERLINK("https://www.sds-group.ru/product/tokovye-kleschi-ms2025c-mastech-13-1321/", "Инфо")</f>
        <v>Инфо</v>
      </c>
      <c r="F3917" s="34" t="s">
        <v>39</v>
      </c>
      <c r="G3917" s="33"/>
      <c r="H3917" s="33" t="s">
        <v>40</v>
      </c>
      <c r="I3917" s="33"/>
      <c r="J3917" s="35">
        <v>84</v>
      </c>
      <c r="K3917" s="33"/>
      <c r="L3917" s="35">
        <v>1</v>
      </c>
      <c r="M3917" s="35">
        <v>20</v>
      </c>
      <c r="N3917" s="35">
        <v>1</v>
      </c>
      <c r="O3917" s="36">
        <v>9763.2000000000007</v>
      </c>
      <c r="P3917" s="36">
        <v>8002.62</v>
      </c>
      <c r="Q3917" s="36">
        <v>6834.24</v>
      </c>
      <c r="R3917" s="36">
        <v>5601.84</v>
      </c>
      <c r="S3917" s="36">
        <v>6638.98</v>
      </c>
      <c r="T3917" s="36">
        <v>5441.79</v>
      </c>
      <c r="U3917" s="34"/>
      <c r="V3917" s="34"/>
      <c r="W3917" s="34"/>
      <c r="X3917" s="37">
        <v>0.73599999999999999</v>
      </c>
      <c r="Y3917" s="38">
        <v>2.6150000000000001E-3</v>
      </c>
      <c r="Z3917" s="21">
        <v>4601004195905</v>
      </c>
    </row>
    <row r="3918" spans="1:26" ht="24" customHeight="1" outlineLevel="3" x14ac:dyDescent="0.2">
      <c r="A3918" s="32" t="s">
        <v>7625</v>
      </c>
      <c r="B3918" s="74" t="s">
        <v>7626</v>
      </c>
      <c r="C3918" s="50"/>
      <c r="D3918" s="53">
        <f t="shared" si="61"/>
        <v>0</v>
      </c>
      <c r="E3918" s="60" t="str">
        <f>HYPERLINK("https://www.sds-group.ru/product/tokovye-kleschi-ms2028a-mastech-13-1316/", "Инфо")</f>
        <v>Инфо</v>
      </c>
      <c r="F3918" s="34" t="s">
        <v>39</v>
      </c>
      <c r="G3918" s="33"/>
      <c r="H3918" s="33" t="s">
        <v>40</v>
      </c>
      <c r="I3918" s="33"/>
      <c r="J3918" s="35">
        <v>134</v>
      </c>
      <c r="K3918" s="33"/>
      <c r="L3918" s="35">
        <v>1</v>
      </c>
      <c r="M3918" s="35">
        <v>20</v>
      </c>
      <c r="N3918" s="35">
        <v>1</v>
      </c>
      <c r="O3918" s="36">
        <v>4958.8900000000003</v>
      </c>
      <c r="P3918" s="36">
        <v>4064.66</v>
      </c>
      <c r="Q3918" s="36">
        <v>3471.22</v>
      </c>
      <c r="R3918" s="36">
        <v>2845.26</v>
      </c>
      <c r="S3918" s="36">
        <v>3372.05</v>
      </c>
      <c r="T3918" s="36">
        <v>2763.98</v>
      </c>
      <c r="U3918" s="34" t="s">
        <v>7341</v>
      </c>
      <c r="V3918" s="34" t="s">
        <v>7342</v>
      </c>
      <c r="W3918" s="34"/>
      <c r="X3918" s="37">
        <v>0.47699999999999998</v>
      </c>
      <c r="Y3918" s="38">
        <v>1.4059999999999999E-3</v>
      </c>
      <c r="Z3918" s="21">
        <v>4601004195844</v>
      </c>
    </row>
    <row r="3919" spans="1:26" ht="24" customHeight="1" outlineLevel="3" x14ac:dyDescent="0.2">
      <c r="A3919" s="32" t="s">
        <v>7627</v>
      </c>
      <c r="B3919" s="74" t="s">
        <v>7628</v>
      </c>
      <c r="C3919" s="50"/>
      <c r="D3919" s="53">
        <f t="shared" si="61"/>
        <v>0</v>
      </c>
      <c r="E3919" s="60" t="str">
        <f>HYPERLINK("https://www.sds-group.ru/product/tokovye-kleschi-ms2030-mastech-13-1305/", "Инфо")</f>
        <v>Инфо</v>
      </c>
      <c r="F3919" s="34" t="s">
        <v>39</v>
      </c>
      <c r="G3919" s="33"/>
      <c r="H3919" s="33" t="s">
        <v>40</v>
      </c>
      <c r="I3919" s="33"/>
      <c r="J3919" s="35">
        <v>126</v>
      </c>
      <c r="K3919" s="33"/>
      <c r="L3919" s="35">
        <v>1</v>
      </c>
      <c r="M3919" s="35">
        <v>20</v>
      </c>
      <c r="N3919" s="35">
        <v>1</v>
      </c>
      <c r="O3919" s="36">
        <v>4107.26</v>
      </c>
      <c r="P3919" s="36">
        <v>3366.61</v>
      </c>
      <c r="Q3919" s="36">
        <v>2875.08</v>
      </c>
      <c r="R3919" s="36">
        <v>2356.62</v>
      </c>
      <c r="S3919" s="36">
        <v>2792.94</v>
      </c>
      <c r="T3919" s="36">
        <v>2289.3000000000002</v>
      </c>
      <c r="U3919" s="34" t="s">
        <v>7341</v>
      </c>
      <c r="V3919" s="34" t="s">
        <v>7342</v>
      </c>
      <c r="W3919" s="34"/>
      <c r="X3919" s="37">
        <v>0.42599999999999999</v>
      </c>
      <c r="Y3919" s="38">
        <v>1.833E-3</v>
      </c>
      <c r="Z3919" s="21">
        <v>4601004018211</v>
      </c>
    </row>
    <row r="3920" spans="1:26" ht="24" customHeight="1" outlineLevel="3" x14ac:dyDescent="0.2">
      <c r="A3920" s="32" t="s">
        <v>7629</v>
      </c>
      <c r="B3920" s="74" t="s">
        <v>7630</v>
      </c>
      <c r="C3920" s="50"/>
      <c r="D3920" s="53">
        <f t="shared" si="61"/>
        <v>0</v>
      </c>
      <c r="E3920" s="60" t="str">
        <f>HYPERLINK("https://www.sds-group.ru/product/tokovye-kleschi-ms2033a-smart-mastech-13-1320/", "Инфо")</f>
        <v>Инфо</v>
      </c>
      <c r="F3920" s="34" t="s">
        <v>39</v>
      </c>
      <c r="G3920" s="33"/>
      <c r="H3920" s="33" t="s">
        <v>40</v>
      </c>
      <c r="I3920" s="33"/>
      <c r="J3920" s="35">
        <v>51</v>
      </c>
      <c r="K3920" s="33"/>
      <c r="L3920" s="35">
        <v>1</v>
      </c>
      <c r="M3920" s="35">
        <v>20</v>
      </c>
      <c r="N3920" s="35">
        <v>1</v>
      </c>
      <c r="O3920" s="36">
        <v>8624.16</v>
      </c>
      <c r="P3920" s="36">
        <v>7068.98</v>
      </c>
      <c r="Q3920" s="36">
        <v>6036.91</v>
      </c>
      <c r="R3920" s="36">
        <v>4948.29</v>
      </c>
      <c r="S3920" s="36">
        <v>5864.43</v>
      </c>
      <c r="T3920" s="36">
        <v>4806.91</v>
      </c>
      <c r="U3920" s="34" t="s">
        <v>7341</v>
      </c>
      <c r="V3920" s="34" t="s">
        <v>7342</v>
      </c>
      <c r="W3920" s="34"/>
      <c r="X3920" s="37">
        <v>0.438</v>
      </c>
      <c r="Y3920" s="38">
        <v>1.3619999999999999E-3</v>
      </c>
      <c r="Z3920" s="21">
        <v>4601004195868</v>
      </c>
    </row>
    <row r="3921" spans="1:26" ht="24" customHeight="1" outlineLevel="3" x14ac:dyDescent="0.2">
      <c r="A3921" s="32" t="s">
        <v>7631</v>
      </c>
      <c r="B3921" s="74" t="s">
        <v>7632</v>
      </c>
      <c r="C3921" s="50"/>
      <c r="D3921" s="53">
        <f t="shared" si="61"/>
        <v>0</v>
      </c>
      <c r="E3921" s="60" t="str">
        <f>HYPERLINK("https://www.sds-group.ru/product/tokovye-kleschi-ms2101-mastech-13-1308/", "Инфо")</f>
        <v>Инфо</v>
      </c>
      <c r="F3921" s="34" t="s">
        <v>39</v>
      </c>
      <c r="G3921" s="33"/>
      <c r="H3921" s="33" t="s">
        <v>40</v>
      </c>
      <c r="I3921" s="33"/>
      <c r="J3921" s="35">
        <v>194</v>
      </c>
      <c r="K3921" s="33"/>
      <c r="L3921" s="35">
        <v>1</v>
      </c>
      <c r="M3921" s="35">
        <v>10</v>
      </c>
      <c r="N3921" s="35">
        <v>1</v>
      </c>
      <c r="O3921" s="36">
        <v>9427.59</v>
      </c>
      <c r="P3921" s="36">
        <v>7727.53</v>
      </c>
      <c r="Q3921" s="36">
        <v>6599.31</v>
      </c>
      <c r="R3921" s="36">
        <v>5409.27</v>
      </c>
      <c r="S3921" s="36">
        <v>6410.76</v>
      </c>
      <c r="T3921" s="36">
        <v>5254.72</v>
      </c>
      <c r="U3921" s="34" t="s">
        <v>7341</v>
      </c>
      <c r="V3921" s="34" t="s">
        <v>7342</v>
      </c>
      <c r="W3921" s="34"/>
      <c r="X3921" s="37">
        <v>0.78100000000000003</v>
      </c>
      <c r="Y3921" s="38">
        <v>3.5339999999999998E-3</v>
      </c>
      <c r="Z3921" s="21">
        <v>4601004052123</v>
      </c>
    </row>
    <row r="3922" spans="1:26" ht="12" customHeight="1" outlineLevel="3" x14ac:dyDescent="0.2">
      <c r="A3922" s="32" t="s">
        <v>7633</v>
      </c>
      <c r="B3922" s="74" t="s">
        <v>7634</v>
      </c>
      <c r="C3922" s="50"/>
      <c r="D3922" s="53">
        <f t="shared" si="61"/>
        <v>0</v>
      </c>
      <c r="E3922" s="60" t="str">
        <f>HYPERLINK("https://www.sds-group.ru/product/tokovye-kleschi-ms2109a-mastech-13-1309/", "Инфо")</f>
        <v>Инфо</v>
      </c>
      <c r="F3922" s="34" t="s">
        <v>39</v>
      </c>
      <c r="G3922" s="33"/>
      <c r="H3922" s="33" t="s">
        <v>40</v>
      </c>
      <c r="I3922" s="33"/>
      <c r="J3922" s="35">
        <v>172</v>
      </c>
      <c r="K3922" s="33" t="s">
        <v>1126</v>
      </c>
      <c r="L3922" s="35">
        <v>1</v>
      </c>
      <c r="M3922" s="35">
        <v>20</v>
      </c>
      <c r="N3922" s="35">
        <v>1</v>
      </c>
      <c r="O3922" s="36">
        <v>11858.22</v>
      </c>
      <c r="P3922" s="36">
        <v>9719.85</v>
      </c>
      <c r="Q3922" s="36">
        <v>8300.75</v>
      </c>
      <c r="R3922" s="36">
        <v>6803.89</v>
      </c>
      <c r="S3922" s="36">
        <v>8063.59</v>
      </c>
      <c r="T3922" s="36">
        <v>6609.5</v>
      </c>
      <c r="U3922" s="34"/>
      <c r="V3922" s="34"/>
      <c r="W3922" s="34"/>
      <c r="X3922" s="37">
        <v>0.53800000000000003</v>
      </c>
      <c r="Y3922" s="38">
        <v>1.823E-3</v>
      </c>
      <c r="Z3922" s="21">
        <v>4601004052185</v>
      </c>
    </row>
    <row r="3923" spans="1:26" ht="12" customHeight="1" outlineLevel="3" x14ac:dyDescent="0.2">
      <c r="A3923" s="32" t="s">
        <v>7635</v>
      </c>
      <c r="B3923" s="74" t="s">
        <v>7636</v>
      </c>
      <c r="C3923" s="50"/>
      <c r="D3923" s="53">
        <f t="shared" si="61"/>
        <v>0</v>
      </c>
      <c r="E3923" s="60" t="str">
        <f>HYPERLINK("https://www.sds-group.ru/product/tokovye-kleschi-ms2125a-mastech-13-1323/", "Инфо")</f>
        <v>Инфо</v>
      </c>
      <c r="F3923" s="34" t="s">
        <v>39</v>
      </c>
      <c r="G3923" s="33"/>
      <c r="H3923" s="33" t="s">
        <v>40</v>
      </c>
      <c r="I3923" s="33"/>
      <c r="J3923" s="35">
        <v>67</v>
      </c>
      <c r="K3923" s="33"/>
      <c r="L3923" s="35">
        <v>1</v>
      </c>
      <c r="M3923" s="35">
        <v>20</v>
      </c>
      <c r="N3923" s="35">
        <v>1</v>
      </c>
      <c r="O3923" s="36">
        <v>13151.84</v>
      </c>
      <c r="P3923" s="36">
        <v>10780.2</v>
      </c>
      <c r="Q3923" s="36">
        <v>9206.2900000000009</v>
      </c>
      <c r="R3923" s="36">
        <v>7546.14</v>
      </c>
      <c r="S3923" s="36">
        <v>8943.25</v>
      </c>
      <c r="T3923" s="36">
        <v>7330.53</v>
      </c>
      <c r="U3923" s="34"/>
      <c r="V3923" s="34"/>
      <c r="W3923" s="34"/>
      <c r="X3923" s="37">
        <v>0.66300000000000003</v>
      </c>
      <c r="Y3923" s="38">
        <v>2.5669999999999998E-3</v>
      </c>
      <c r="Z3923" s="21">
        <v>4601004195912</v>
      </c>
    </row>
    <row r="3924" spans="1:26" ht="12" customHeight="1" outlineLevel="3" x14ac:dyDescent="0.2">
      <c r="A3924" s="32" t="s">
        <v>7637</v>
      </c>
      <c r="B3924" s="74" t="s">
        <v>7638</v>
      </c>
      <c r="C3924" s="50"/>
      <c r="D3924" s="53">
        <f t="shared" si="61"/>
        <v>0</v>
      </c>
      <c r="E3924" s="60" t="str">
        <f>HYPERLINK("https://www.sds-group.ru/product/tokovye-kleschi-ms2128-mastech-13-1317/", "Инфо")</f>
        <v>Инфо</v>
      </c>
      <c r="F3924" s="34" t="s">
        <v>39</v>
      </c>
      <c r="G3924" s="33"/>
      <c r="H3924" s="33" t="s">
        <v>40</v>
      </c>
      <c r="I3924" s="33"/>
      <c r="J3924" s="35">
        <v>47</v>
      </c>
      <c r="K3924" s="33"/>
      <c r="L3924" s="35">
        <v>1</v>
      </c>
      <c r="M3924" s="35">
        <v>20</v>
      </c>
      <c r="N3924" s="35">
        <v>1</v>
      </c>
      <c r="O3924" s="36">
        <v>15092.28</v>
      </c>
      <c r="P3924" s="36">
        <v>12370.72</v>
      </c>
      <c r="Q3924" s="36">
        <v>10564.6</v>
      </c>
      <c r="R3924" s="36">
        <v>8659.51</v>
      </c>
      <c r="S3924" s="36">
        <v>10262.75</v>
      </c>
      <c r="T3924" s="36">
        <v>8412.09</v>
      </c>
      <c r="U3924" s="34"/>
      <c r="V3924" s="34"/>
      <c r="W3924" s="34"/>
      <c r="X3924" s="37">
        <v>0.496</v>
      </c>
      <c r="Y3924" s="38">
        <v>1.7910000000000001E-3</v>
      </c>
      <c r="Z3924" s="21">
        <v>4601004195851</v>
      </c>
    </row>
    <row r="3925" spans="1:26" ht="12" customHeight="1" outlineLevel="3" x14ac:dyDescent="0.2">
      <c r="A3925" s="32" t="s">
        <v>7639</v>
      </c>
      <c r="B3925" s="74" t="s">
        <v>7640</v>
      </c>
      <c r="C3925" s="50"/>
      <c r="D3925" s="53">
        <f t="shared" si="61"/>
        <v>0</v>
      </c>
      <c r="E3925" s="60" t="str">
        <f>HYPERLINK("https://www.sds-group.ru/product/tokovye-kleschi-ms2138-mastech-13-1311/", "Инфо")</f>
        <v>Инфо</v>
      </c>
      <c r="F3925" s="34" t="s">
        <v>39</v>
      </c>
      <c r="G3925" s="33"/>
      <c r="H3925" s="33" t="s">
        <v>40</v>
      </c>
      <c r="I3925" s="33"/>
      <c r="J3925" s="35">
        <v>384</v>
      </c>
      <c r="K3925" s="33"/>
      <c r="L3925" s="35">
        <v>1</v>
      </c>
      <c r="M3925" s="35">
        <v>20</v>
      </c>
      <c r="N3925" s="35">
        <v>1</v>
      </c>
      <c r="O3925" s="36">
        <v>13475.25</v>
      </c>
      <c r="P3925" s="36">
        <v>11045.29</v>
      </c>
      <c r="Q3925" s="36">
        <v>9432.68</v>
      </c>
      <c r="R3925" s="36">
        <v>7731.7</v>
      </c>
      <c r="S3925" s="36">
        <v>9163.17</v>
      </c>
      <c r="T3925" s="36">
        <v>7510.8</v>
      </c>
      <c r="U3925" s="34"/>
      <c r="V3925" s="34"/>
      <c r="W3925" s="34"/>
      <c r="X3925" s="37">
        <v>0.624</v>
      </c>
      <c r="Y3925" s="38">
        <v>2.7079999999999999E-3</v>
      </c>
      <c r="Z3925" s="21">
        <v>4601004056510</v>
      </c>
    </row>
    <row r="3926" spans="1:26" ht="12" customHeight="1" outlineLevel="3" x14ac:dyDescent="0.2">
      <c r="A3926" s="32" t="s">
        <v>7641</v>
      </c>
      <c r="B3926" s="74" t="s">
        <v>7642</v>
      </c>
      <c r="C3926" s="50"/>
      <c r="D3926" s="53">
        <f t="shared" si="61"/>
        <v>0</v>
      </c>
      <c r="E3926" s="60" t="str">
        <f>HYPERLINK("https://www.sds-group.ru/product/tokovye-kleschi-ms2601-mastech-13-1315/", "Инфо")</f>
        <v>Инфо</v>
      </c>
      <c r="F3926" s="34" t="s">
        <v>39</v>
      </c>
      <c r="G3926" s="33"/>
      <c r="H3926" s="33" t="s">
        <v>40</v>
      </c>
      <c r="I3926" s="33"/>
      <c r="J3926" s="35">
        <v>53</v>
      </c>
      <c r="K3926" s="33"/>
      <c r="L3926" s="35">
        <v>1</v>
      </c>
      <c r="M3926" s="35">
        <v>20</v>
      </c>
      <c r="N3926" s="35">
        <v>1</v>
      </c>
      <c r="O3926" s="36">
        <v>8949.6</v>
      </c>
      <c r="P3926" s="36">
        <v>7335.74</v>
      </c>
      <c r="Q3926" s="36">
        <v>6264.72</v>
      </c>
      <c r="R3926" s="36">
        <v>5135.0200000000004</v>
      </c>
      <c r="S3926" s="36">
        <v>6085.73</v>
      </c>
      <c r="T3926" s="36">
        <v>4988.3</v>
      </c>
      <c r="U3926" s="34"/>
      <c r="V3926" s="34"/>
      <c r="W3926" s="34"/>
      <c r="X3926" s="37">
        <v>0.69299999999999995</v>
      </c>
      <c r="Y3926" s="38">
        <v>4.4840000000000001E-3</v>
      </c>
      <c r="Z3926" s="21">
        <v>4601004195882</v>
      </c>
    </row>
    <row r="3927" spans="1:26" ht="12" customHeight="1" outlineLevel="3" x14ac:dyDescent="0.2">
      <c r="A3927" s="14" t="s">
        <v>7643</v>
      </c>
      <c r="B3927" s="26" t="s">
        <v>7644</v>
      </c>
      <c r="C3927" s="52"/>
      <c r="D3927" s="55">
        <f t="shared" si="61"/>
        <v>0</v>
      </c>
      <c r="E3927" s="63" t="str">
        <f>HYPERLINK("https://www.sds-group.ru/product/tokovye-kleschi-p266-proconnect-13-3050/", "Инфо")</f>
        <v>Инфо</v>
      </c>
      <c r="F3927" s="16" t="s">
        <v>39</v>
      </c>
      <c r="G3927" s="15"/>
      <c r="H3927" s="15"/>
      <c r="I3927" s="15"/>
      <c r="J3927" s="17">
        <v>703</v>
      </c>
      <c r="K3927" s="15" t="s">
        <v>6939</v>
      </c>
      <c r="L3927" s="17">
        <v>1</v>
      </c>
      <c r="M3927" s="17">
        <v>40</v>
      </c>
      <c r="N3927" s="17">
        <v>1</v>
      </c>
      <c r="O3927" s="18">
        <v>1272.06</v>
      </c>
      <c r="P3927" s="18">
        <v>1042.67</v>
      </c>
      <c r="Q3927" s="18">
        <v>1004.93</v>
      </c>
      <c r="R3927" s="18">
        <v>823.71</v>
      </c>
      <c r="S3927" s="18">
        <v>865</v>
      </c>
      <c r="T3927" s="18">
        <v>709.02</v>
      </c>
      <c r="U3927" s="16"/>
      <c r="V3927" s="16"/>
      <c r="W3927" s="16" t="s">
        <v>40</v>
      </c>
      <c r="X3927" s="19">
        <v>0.4</v>
      </c>
      <c r="Y3927" s="20">
        <v>1.9599999999999999E-3</v>
      </c>
      <c r="Z3927" s="21">
        <v>4601004088436</v>
      </c>
    </row>
    <row r="3928" spans="1:26" ht="12" customHeight="1" outlineLevel="3" x14ac:dyDescent="0.2">
      <c r="A3928" s="14" t="s">
        <v>7645</v>
      </c>
      <c r="B3928" s="26" t="s">
        <v>7646</v>
      </c>
      <c r="C3928" s="52"/>
      <c r="D3928" s="55">
        <f t="shared" si="61"/>
        <v>0</v>
      </c>
      <c r="E3928" s="63" t="str">
        <f>HYPERLINK("https://www.sds-group.ru/product/tokovye-kleschi-p266c-proconnect-13-3052/", "Инфо")</f>
        <v>Инфо</v>
      </c>
      <c r="F3928" s="16" t="s">
        <v>39</v>
      </c>
      <c r="G3928" s="15"/>
      <c r="H3928" s="15"/>
      <c r="I3928" s="15"/>
      <c r="J3928" s="16" t="s">
        <v>100</v>
      </c>
      <c r="K3928" s="15" t="s">
        <v>1519</v>
      </c>
      <c r="L3928" s="17">
        <v>1</v>
      </c>
      <c r="M3928" s="17">
        <v>40</v>
      </c>
      <c r="N3928" s="17">
        <v>1</v>
      </c>
      <c r="O3928" s="18">
        <v>1617.03</v>
      </c>
      <c r="P3928" s="18">
        <v>1325.43</v>
      </c>
      <c r="Q3928" s="18">
        <v>1277.45</v>
      </c>
      <c r="R3928" s="18">
        <v>1047.0899999999999</v>
      </c>
      <c r="S3928" s="18">
        <v>1099.58</v>
      </c>
      <c r="T3928" s="18">
        <v>901.3</v>
      </c>
      <c r="U3928" s="16"/>
      <c r="V3928" s="16"/>
      <c r="W3928" s="16" t="s">
        <v>40</v>
      </c>
      <c r="X3928" s="19">
        <v>0.42399999999999999</v>
      </c>
      <c r="Y3928" s="20">
        <v>2.1050000000000001E-3</v>
      </c>
      <c r="Z3928" s="21">
        <v>4601004088412</v>
      </c>
    </row>
    <row r="3929" spans="1:26" ht="12" customHeight="1" outlineLevel="3" x14ac:dyDescent="0.2">
      <c r="A3929" s="14" t="s">
        <v>7647</v>
      </c>
      <c r="B3929" s="26" t="s">
        <v>7648</v>
      </c>
      <c r="C3929" s="52"/>
      <c r="D3929" s="55">
        <f t="shared" si="61"/>
        <v>0</v>
      </c>
      <c r="E3929" s="63" t="str">
        <f>HYPERLINK("https://www.sds-group.ru/product/tokovye-kleschi-p266f-proconnect-13-3051/", "Инфо")</f>
        <v>Инфо</v>
      </c>
      <c r="F3929" s="16" t="s">
        <v>39</v>
      </c>
      <c r="G3929" s="15"/>
      <c r="H3929" s="15"/>
      <c r="I3929" s="15"/>
      <c r="J3929" s="17">
        <v>978</v>
      </c>
      <c r="K3929" s="15"/>
      <c r="L3929" s="17">
        <v>1</v>
      </c>
      <c r="M3929" s="17">
        <v>40</v>
      </c>
      <c r="N3929" s="17">
        <v>1</v>
      </c>
      <c r="O3929" s="18">
        <v>1617.03</v>
      </c>
      <c r="P3929" s="18">
        <v>1325.43</v>
      </c>
      <c r="Q3929" s="18">
        <v>1277.45</v>
      </c>
      <c r="R3929" s="18">
        <v>1047.0899999999999</v>
      </c>
      <c r="S3929" s="18">
        <v>1099.58</v>
      </c>
      <c r="T3929" s="18">
        <v>901.3</v>
      </c>
      <c r="U3929" s="16"/>
      <c r="V3929" s="16"/>
      <c r="W3929" s="16" t="s">
        <v>40</v>
      </c>
      <c r="X3929" s="19">
        <v>0.42199999999999999</v>
      </c>
      <c r="Y3929" s="20">
        <v>2.0799999999999998E-3</v>
      </c>
      <c r="Z3929" s="21">
        <v>4601004088405</v>
      </c>
    </row>
    <row r="3930" spans="1:26" ht="12" customHeight="1" outlineLevel="3" x14ac:dyDescent="0.2">
      <c r="A3930" s="14" t="s">
        <v>7649</v>
      </c>
      <c r="B3930" s="26" t="s">
        <v>7650</v>
      </c>
      <c r="C3930" s="52"/>
      <c r="D3930" s="55">
        <f t="shared" si="61"/>
        <v>0</v>
      </c>
      <c r="E3930" s="63" t="str">
        <f>HYPERLINK("https://www.sds-group.ru/product/tokovye-kleschi-r200a-rexant-13-3201/", "Инфо")</f>
        <v>Инфо</v>
      </c>
      <c r="F3930" s="16" t="s">
        <v>39</v>
      </c>
      <c r="G3930" s="15"/>
      <c r="H3930" s="15"/>
      <c r="I3930" s="15"/>
      <c r="J3930" s="17">
        <v>909</v>
      </c>
      <c r="K3930" s="15"/>
      <c r="L3930" s="17">
        <v>1</v>
      </c>
      <c r="M3930" s="17">
        <v>60</v>
      </c>
      <c r="N3930" s="17">
        <v>1</v>
      </c>
      <c r="O3930" s="18">
        <v>2845.97</v>
      </c>
      <c r="P3930" s="18">
        <v>2332.7600000000002</v>
      </c>
      <c r="Q3930" s="18">
        <v>2191.4</v>
      </c>
      <c r="R3930" s="18">
        <v>1796.23</v>
      </c>
      <c r="S3930" s="18">
        <v>1935.26</v>
      </c>
      <c r="T3930" s="18">
        <v>1586.28</v>
      </c>
      <c r="U3930" s="16"/>
      <c r="V3930" s="16"/>
      <c r="W3930" s="16" t="s">
        <v>40</v>
      </c>
      <c r="X3930" s="19">
        <v>0.25</v>
      </c>
      <c r="Y3930" s="20">
        <v>8.3199999999999995E-4</v>
      </c>
      <c r="Z3930" s="21">
        <v>4601004302006</v>
      </c>
    </row>
    <row r="3931" spans="1:26" ht="12" customHeight="1" outlineLevel="3" x14ac:dyDescent="0.2">
      <c r="A3931" s="14" t="s">
        <v>7651</v>
      </c>
      <c r="B3931" s="26" t="s">
        <v>7652</v>
      </c>
      <c r="C3931" s="52"/>
      <c r="D3931" s="55">
        <f t="shared" si="61"/>
        <v>0</v>
      </c>
      <c r="E3931" s="63" t="str">
        <f>HYPERLINK("https://www.sds-group.ru/product/tokovye-kleschi-r200d-rexant-13-3220/", "Инфо")</f>
        <v>Инфо</v>
      </c>
      <c r="F3931" s="16" t="s">
        <v>39</v>
      </c>
      <c r="G3931" s="15"/>
      <c r="H3931" s="15"/>
      <c r="I3931" s="15"/>
      <c r="J3931" s="17">
        <v>372</v>
      </c>
      <c r="K3931" s="15"/>
      <c r="L3931" s="17">
        <v>1</v>
      </c>
      <c r="M3931" s="17">
        <v>60</v>
      </c>
      <c r="N3931" s="17">
        <v>1</v>
      </c>
      <c r="O3931" s="18">
        <v>5918.33</v>
      </c>
      <c r="P3931" s="18">
        <v>4851.09</v>
      </c>
      <c r="Q3931" s="18">
        <v>4320.38</v>
      </c>
      <c r="R3931" s="18">
        <v>3541.3</v>
      </c>
      <c r="S3931" s="18">
        <v>4024.46</v>
      </c>
      <c r="T3931" s="18">
        <v>3298.74</v>
      </c>
      <c r="U3931" s="16"/>
      <c r="V3931" s="16"/>
      <c r="W3931" s="16" t="s">
        <v>40</v>
      </c>
      <c r="X3931" s="19">
        <v>0.25</v>
      </c>
      <c r="Y3931" s="20">
        <v>8.7500000000000002E-4</v>
      </c>
      <c r="Z3931" s="21">
        <v>4601004301986</v>
      </c>
    </row>
    <row r="3932" spans="1:26" ht="12" customHeight="1" outlineLevel="3" x14ac:dyDescent="0.2">
      <c r="A3932" s="14" t="s">
        <v>7653</v>
      </c>
      <c r="B3932" s="26" t="s">
        <v>7654</v>
      </c>
      <c r="C3932" s="52"/>
      <c r="D3932" s="55">
        <f t="shared" si="61"/>
        <v>0</v>
      </c>
      <c r="E3932" s="63" t="str">
        <f>HYPERLINK("https://www.sds-group.ru/product/tokovye-kleschi-r207b-rexant-13-3213/", "Инфо")</f>
        <v>Инфо</v>
      </c>
      <c r="F3932" s="16" t="s">
        <v>39</v>
      </c>
      <c r="G3932" s="15"/>
      <c r="H3932" s="15"/>
      <c r="I3932" s="15"/>
      <c r="J3932" s="17">
        <v>131</v>
      </c>
      <c r="K3932" s="15" t="s">
        <v>1580</v>
      </c>
      <c r="L3932" s="17">
        <v>1</v>
      </c>
      <c r="M3932" s="17">
        <v>40</v>
      </c>
      <c r="N3932" s="17">
        <v>1</v>
      </c>
      <c r="O3932" s="18">
        <v>4134</v>
      </c>
      <c r="P3932" s="18">
        <v>3388.52</v>
      </c>
      <c r="Q3932" s="18">
        <v>3513.9</v>
      </c>
      <c r="R3932" s="18">
        <v>2880.25</v>
      </c>
      <c r="S3932" s="18">
        <v>2811.12</v>
      </c>
      <c r="T3932" s="18">
        <v>2304.1999999999998</v>
      </c>
      <c r="U3932" s="16"/>
      <c r="V3932" s="16"/>
      <c r="W3932" s="16" t="s">
        <v>40</v>
      </c>
      <c r="X3932" s="19">
        <v>0.42299999999999999</v>
      </c>
      <c r="Y3932" s="20">
        <v>1.4170000000000001E-3</v>
      </c>
      <c r="Z3932" s="21">
        <v>4601004302037</v>
      </c>
    </row>
    <row r="3933" spans="1:26" ht="12" customHeight="1" outlineLevel="3" x14ac:dyDescent="0.2">
      <c r="A3933" s="14" t="s">
        <v>7655</v>
      </c>
      <c r="B3933" s="26" t="s">
        <v>7656</v>
      </c>
      <c r="C3933" s="52"/>
      <c r="D3933" s="55">
        <f t="shared" si="61"/>
        <v>0</v>
      </c>
      <c r="E3933" s="63" t="str">
        <f>HYPERLINK("https://www.sds-group.ru/product/tokovye-kleschi-r266c-rexant-13-3203/", "Инфо")</f>
        <v>Инфо</v>
      </c>
      <c r="F3933" s="16" t="s">
        <v>39</v>
      </c>
      <c r="G3933" s="15"/>
      <c r="H3933" s="15"/>
      <c r="I3933" s="15"/>
      <c r="J3933" s="17">
        <v>518</v>
      </c>
      <c r="K3933" s="15"/>
      <c r="L3933" s="17">
        <v>1</v>
      </c>
      <c r="M3933" s="17">
        <v>20</v>
      </c>
      <c r="N3933" s="17">
        <v>1</v>
      </c>
      <c r="O3933" s="18">
        <v>3341.86</v>
      </c>
      <c r="P3933" s="18">
        <v>2739.23</v>
      </c>
      <c r="Q3933" s="18">
        <v>2573.23</v>
      </c>
      <c r="R3933" s="18">
        <v>2109.1999999999998</v>
      </c>
      <c r="S3933" s="18">
        <v>2272.46</v>
      </c>
      <c r="T3933" s="18">
        <v>1862.67</v>
      </c>
      <c r="U3933" s="16"/>
      <c r="V3933" s="16"/>
      <c r="W3933" s="16" t="s">
        <v>40</v>
      </c>
      <c r="X3933" s="19">
        <v>0.53500000000000003</v>
      </c>
      <c r="Y3933" s="20">
        <v>2.5000000000000001E-3</v>
      </c>
      <c r="Z3933" s="21">
        <v>4601004301993</v>
      </c>
    </row>
    <row r="3934" spans="1:26" ht="12" customHeight="1" outlineLevel="3" x14ac:dyDescent="0.2">
      <c r="A3934" s="32" t="s">
        <v>7657</v>
      </c>
      <c r="B3934" s="74" t="s">
        <v>7658</v>
      </c>
      <c r="C3934" s="50"/>
      <c r="D3934" s="53">
        <f t="shared" si="61"/>
        <v>0</v>
      </c>
      <c r="E3934" s="60" t="str">
        <f>HYPERLINK("https://www.sds-group.ru/product/tokovye-kleschi-uni-t-ut200a-13-1080/", "Инфо")</f>
        <v>Инфо</v>
      </c>
      <c r="F3934" s="34" t="s">
        <v>39</v>
      </c>
      <c r="G3934" s="33"/>
      <c r="H3934" s="33" t="s">
        <v>40</v>
      </c>
      <c r="I3934" s="33"/>
      <c r="J3934" s="35">
        <v>14</v>
      </c>
      <c r="K3934" s="33" t="s">
        <v>1587</v>
      </c>
      <c r="L3934" s="35">
        <v>1</v>
      </c>
      <c r="M3934" s="35">
        <v>40</v>
      </c>
      <c r="N3934" s="35">
        <v>1</v>
      </c>
      <c r="O3934" s="36">
        <v>3880.87</v>
      </c>
      <c r="P3934" s="36">
        <v>3181.04</v>
      </c>
      <c r="Q3934" s="36">
        <v>2716.61</v>
      </c>
      <c r="R3934" s="36">
        <v>2226.73</v>
      </c>
      <c r="S3934" s="36">
        <v>2638.99</v>
      </c>
      <c r="T3934" s="36">
        <v>2163.11</v>
      </c>
      <c r="U3934" s="34"/>
      <c r="V3934" s="34"/>
      <c r="W3934" s="34"/>
      <c r="X3934" s="37">
        <v>0.41299999999999998</v>
      </c>
      <c r="Y3934" s="38">
        <v>1.421E-3</v>
      </c>
      <c r="Z3934" s="21">
        <v>4601004289888</v>
      </c>
    </row>
    <row r="3935" spans="1:26" ht="12" customHeight="1" outlineLevel="3" x14ac:dyDescent="0.2">
      <c r="A3935" s="32" t="s">
        <v>7659</v>
      </c>
      <c r="B3935" s="74" t="s">
        <v>7660</v>
      </c>
      <c r="C3935" s="50"/>
      <c r="D3935" s="53">
        <f t="shared" si="61"/>
        <v>0</v>
      </c>
      <c r="E3935" s="60" t="str">
        <f>HYPERLINK("https://www.sds-group.ru/product/tokovye-kleschi-uni-t-ut201-13-1060/", "Инфо")</f>
        <v>Инфо</v>
      </c>
      <c r="F3935" s="34" t="s">
        <v>39</v>
      </c>
      <c r="G3935" s="33"/>
      <c r="H3935" s="33" t="s">
        <v>40</v>
      </c>
      <c r="I3935" s="33"/>
      <c r="J3935" s="35">
        <v>363</v>
      </c>
      <c r="K3935" s="33" t="s">
        <v>1587</v>
      </c>
      <c r="L3935" s="35">
        <v>1</v>
      </c>
      <c r="M3935" s="35">
        <v>40</v>
      </c>
      <c r="N3935" s="35">
        <v>1</v>
      </c>
      <c r="O3935" s="36">
        <v>4312.08</v>
      </c>
      <c r="P3935" s="36">
        <v>3534.49</v>
      </c>
      <c r="Q3935" s="36">
        <v>3018.46</v>
      </c>
      <c r="R3935" s="36">
        <v>2474.15</v>
      </c>
      <c r="S3935" s="36">
        <v>2932.21</v>
      </c>
      <c r="T3935" s="36">
        <v>2403.4499999999998</v>
      </c>
      <c r="U3935" s="34"/>
      <c r="V3935" s="34"/>
      <c r="W3935" s="34"/>
      <c r="X3935" s="37">
        <v>0.41799999999999998</v>
      </c>
      <c r="Y3935" s="38">
        <v>1.5299999999999999E-3</v>
      </c>
      <c r="Z3935" s="21">
        <v>4601004268425</v>
      </c>
    </row>
    <row r="3936" spans="1:26" ht="24" customHeight="1" outlineLevel="3" x14ac:dyDescent="0.2">
      <c r="A3936" s="32" t="s">
        <v>7661</v>
      </c>
      <c r="B3936" s="74" t="s">
        <v>7662</v>
      </c>
      <c r="C3936" s="50"/>
      <c r="D3936" s="53">
        <f t="shared" si="61"/>
        <v>0</v>
      </c>
      <c r="E3936" s="60" t="str">
        <f>HYPERLINK("https://www.sds-group.ru/product/tokovye-kleschi-uni-t-ut202-13-1061/", "Инфо")</f>
        <v>Инфо</v>
      </c>
      <c r="F3936" s="34" t="s">
        <v>39</v>
      </c>
      <c r="G3936" s="33"/>
      <c r="H3936" s="33" t="s">
        <v>40</v>
      </c>
      <c r="I3936" s="33"/>
      <c r="J3936" s="35">
        <v>132</v>
      </c>
      <c r="K3936" s="33"/>
      <c r="L3936" s="35">
        <v>1</v>
      </c>
      <c r="M3936" s="35">
        <v>40</v>
      </c>
      <c r="N3936" s="35">
        <v>1</v>
      </c>
      <c r="O3936" s="36">
        <v>4851.09</v>
      </c>
      <c r="P3936" s="36">
        <v>3976.3</v>
      </c>
      <c r="Q3936" s="36">
        <v>3395.76</v>
      </c>
      <c r="R3936" s="36">
        <v>2783.41</v>
      </c>
      <c r="S3936" s="36">
        <v>3298.74</v>
      </c>
      <c r="T3936" s="36">
        <v>2703.89</v>
      </c>
      <c r="U3936" s="34" t="s">
        <v>7341</v>
      </c>
      <c r="V3936" s="34" t="s">
        <v>7342</v>
      </c>
      <c r="W3936" s="34"/>
      <c r="X3936" s="37">
        <v>0.42799999999999999</v>
      </c>
      <c r="Y3936" s="38">
        <v>1.588E-3</v>
      </c>
      <c r="Z3936" s="21">
        <v>4601004268432</v>
      </c>
    </row>
    <row r="3937" spans="1:26" ht="12" customHeight="1" outlineLevel="3" x14ac:dyDescent="0.2">
      <c r="A3937" s="32" t="s">
        <v>7663</v>
      </c>
      <c r="B3937" s="74" t="s">
        <v>7664</v>
      </c>
      <c r="C3937" s="50"/>
      <c r="D3937" s="53">
        <f t="shared" si="61"/>
        <v>0</v>
      </c>
      <c r="E3937" s="60" t="str">
        <f>HYPERLINK("https://www.sds-group.ru/product/tokovye-kleschi-uni-t-ut202a-13-1062/", "Инфо")</f>
        <v>Инфо</v>
      </c>
      <c r="F3937" s="34" t="s">
        <v>39</v>
      </c>
      <c r="G3937" s="33"/>
      <c r="H3937" s="33" t="s">
        <v>40</v>
      </c>
      <c r="I3937" s="33"/>
      <c r="J3937" s="35">
        <v>50</v>
      </c>
      <c r="K3937" s="33" t="s">
        <v>1587</v>
      </c>
      <c r="L3937" s="35">
        <v>1</v>
      </c>
      <c r="M3937" s="35">
        <v>40</v>
      </c>
      <c r="N3937" s="35">
        <v>1</v>
      </c>
      <c r="O3937" s="36">
        <v>4527.68</v>
      </c>
      <c r="P3937" s="36">
        <v>3711.21</v>
      </c>
      <c r="Q3937" s="36">
        <v>3169.38</v>
      </c>
      <c r="R3937" s="36">
        <v>2597.85</v>
      </c>
      <c r="S3937" s="36">
        <v>3078.82</v>
      </c>
      <c r="T3937" s="36">
        <v>2523.62</v>
      </c>
      <c r="U3937" s="34"/>
      <c r="V3937" s="34"/>
      <c r="W3937" s="34"/>
      <c r="X3937" s="37">
        <v>0.41599999999999998</v>
      </c>
      <c r="Y3937" s="38">
        <v>1.5299999999999999E-3</v>
      </c>
      <c r="Z3937" s="21">
        <v>4601004290204</v>
      </c>
    </row>
    <row r="3938" spans="1:26" ht="24" customHeight="1" outlineLevel="3" x14ac:dyDescent="0.2">
      <c r="A3938" s="32" t="s">
        <v>7665</v>
      </c>
      <c r="B3938" s="74" t="s">
        <v>7666</v>
      </c>
      <c r="C3938" s="50"/>
      <c r="D3938" s="53">
        <f t="shared" si="61"/>
        <v>0</v>
      </c>
      <c r="E3938" s="60" t="str">
        <f>HYPERLINK("https://www.sds-group.ru/product/tokovye-kleschi-uni-t-ut202t-13-1084/", "Инфо")</f>
        <v>Инфо</v>
      </c>
      <c r="F3938" s="34" t="s">
        <v>39</v>
      </c>
      <c r="G3938" s="33"/>
      <c r="H3938" s="33" t="s">
        <v>40</v>
      </c>
      <c r="I3938" s="33"/>
      <c r="J3938" s="35">
        <v>52</v>
      </c>
      <c r="K3938" s="33"/>
      <c r="L3938" s="35">
        <v>1</v>
      </c>
      <c r="M3938" s="35">
        <v>40</v>
      </c>
      <c r="N3938" s="35">
        <v>1</v>
      </c>
      <c r="O3938" s="36">
        <v>6209.4</v>
      </c>
      <c r="P3938" s="36">
        <v>5089.67</v>
      </c>
      <c r="Q3938" s="36">
        <v>4346.58</v>
      </c>
      <c r="R3938" s="36">
        <v>3562.77</v>
      </c>
      <c r="S3938" s="36">
        <v>4222.3900000000003</v>
      </c>
      <c r="T3938" s="36">
        <v>3460.98</v>
      </c>
      <c r="U3938" s="34" t="s">
        <v>7341</v>
      </c>
      <c r="V3938" s="34" t="s">
        <v>7342</v>
      </c>
      <c r="W3938" s="34"/>
      <c r="X3938" s="37">
        <v>0.42799999999999999</v>
      </c>
      <c r="Y3938" s="38">
        <v>1.438E-3</v>
      </c>
      <c r="Z3938" s="21">
        <v>4601004290082</v>
      </c>
    </row>
    <row r="3939" spans="1:26" ht="12" customHeight="1" outlineLevel="3" x14ac:dyDescent="0.2">
      <c r="A3939" s="32" t="s">
        <v>7667</v>
      </c>
      <c r="B3939" s="74" t="s">
        <v>7668</v>
      </c>
      <c r="C3939" s="50"/>
      <c r="D3939" s="53">
        <f t="shared" si="61"/>
        <v>0</v>
      </c>
      <c r="E3939" s="60" t="str">
        <f>HYPERLINK("https://www.sds-group.ru/product/tokovye-kleschi-uni-t-ut203-13-1063/", "Инфо")</f>
        <v>Инфо</v>
      </c>
      <c r="F3939" s="34" t="s">
        <v>39</v>
      </c>
      <c r="G3939" s="33"/>
      <c r="H3939" s="33" t="s">
        <v>40</v>
      </c>
      <c r="I3939" s="33"/>
      <c r="J3939" s="34" t="s">
        <v>100</v>
      </c>
      <c r="K3939" s="33" t="s">
        <v>7336</v>
      </c>
      <c r="L3939" s="35">
        <v>1</v>
      </c>
      <c r="M3939" s="35">
        <v>40</v>
      </c>
      <c r="N3939" s="35">
        <v>1</v>
      </c>
      <c r="O3939" s="36">
        <v>7945.01</v>
      </c>
      <c r="P3939" s="36">
        <v>6512.3</v>
      </c>
      <c r="Q3939" s="36">
        <v>5561.51</v>
      </c>
      <c r="R3939" s="36">
        <v>4558.6099999999997</v>
      </c>
      <c r="S3939" s="36">
        <v>5402.61</v>
      </c>
      <c r="T3939" s="36">
        <v>4428.37</v>
      </c>
      <c r="U3939" s="34"/>
      <c r="V3939" s="34"/>
      <c r="W3939" s="34"/>
      <c r="X3939" s="37">
        <v>0.40200000000000002</v>
      </c>
      <c r="Y3939" s="38">
        <v>1.562E-3</v>
      </c>
      <c r="Z3939" s="21">
        <v>4601004290198</v>
      </c>
    </row>
    <row r="3940" spans="1:26" ht="12" customHeight="1" outlineLevel="3" x14ac:dyDescent="0.2">
      <c r="A3940" s="32" t="s">
        <v>7669</v>
      </c>
      <c r="B3940" s="74" t="s">
        <v>7670</v>
      </c>
      <c r="C3940" s="50"/>
      <c r="D3940" s="53">
        <f t="shared" si="61"/>
        <v>0</v>
      </c>
      <c r="E3940" s="60" t="str">
        <f>HYPERLINK("https://www.sds-group.ru/product/tokovye-kleschi-uni-t-ut204-13-1064/", "Инфо")</f>
        <v>Инфо</v>
      </c>
      <c r="F3940" s="34" t="s">
        <v>39</v>
      </c>
      <c r="G3940" s="33"/>
      <c r="H3940" s="33" t="s">
        <v>40</v>
      </c>
      <c r="I3940" s="33"/>
      <c r="J3940" s="35">
        <v>68</v>
      </c>
      <c r="K3940" s="33" t="s">
        <v>1587</v>
      </c>
      <c r="L3940" s="35">
        <v>1</v>
      </c>
      <c r="M3940" s="35">
        <v>40</v>
      </c>
      <c r="N3940" s="35">
        <v>1</v>
      </c>
      <c r="O3940" s="36">
        <v>8958.35</v>
      </c>
      <c r="P3940" s="36">
        <v>7342.91</v>
      </c>
      <c r="Q3940" s="36">
        <v>6270.85</v>
      </c>
      <c r="R3940" s="36">
        <v>5140.04</v>
      </c>
      <c r="S3940" s="36">
        <v>6091.68</v>
      </c>
      <c r="T3940" s="36">
        <v>4993.18</v>
      </c>
      <c r="U3940" s="34"/>
      <c r="V3940" s="34"/>
      <c r="W3940" s="34"/>
      <c r="X3940" s="37">
        <v>0.41399999999999998</v>
      </c>
      <c r="Y3940" s="38">
        <v>1.511E-3</v>
      </c>
      <c r="Z3940" s="21">
        <v>4601004268449</v>
      </c>
    </row>
    <row r="3941" spans="1:26" ht="12" customHeight="1" outlineLevel="3" x14ac:dyDescent="0.2">
      <c r="A3941" s="32" t="s">
        <v>7671</v>
      </c>
      <c r="B3941" s="74" t="s">
        <v>7672</v>
      </c>
      <c r="C3941" s="50"/>
      <c r="D3941" s="53">
        <f t="shared" si="61"/>
        <v>0</v>
      </c>
      <c r="E3941" s="60" t="str">
        <f>HYPERLINK("https://www.sds-group.ru/product/tokovye-kleschi-uni-t-ut205b-13-1067/", "Инфо")</f>
        <v>Инфо</v>
      </c>
      <c r="F3941" s="34" t="s">
        <v>39</v>
      </c>
      <c r="G3941" s="33"/>
      <c r="H3941" s="33" t="s">
        <v>40</v>
      </c>
      <c r="I3941" s="33"/>
      <c r="J3941" s="34" t="s">
        <v>100</v>
      </c>
      <c r="K3941" s="33" t="s">
        <v>1587</v>
      </c>
      <c r="L3941" s="35">
        <v>1</v>
      </c>
      <c r="M3941" s="35">
        <v>20</v>
      </c>
      <c r="N3941" s="35">
        <v>1</v>
      </c>
      <c r="O3941" s="36">
        <v>9486.58</v>
      </c>
      <c r="P3941" s="36">
        <v>7775.89</v>
      </c>
      <c r="Q3941" s="36">
        <v>6640.61</v>
      </c>
      <c r="R3941" s="36">
        <v>5443.12</v>
      </c>
      <c r="S3941" s="36">
        <v>6450.87</v>
      </c>
      <c r="T3941" s="36">
        <v>5287.6</v>
      </c>
      <c r="U3941" s="34"/>
      <c r="V3941" s="34"/>
      <c r="W3941" s="34"/>
      <c r="X3941" s="37">
        <v>0.43</v>
      </c>
      <c r="Y3941" s="38">
        <v>1.7819999999999999E-3</v>
      </c>
      <c r="Z3941" s="21">
        <v>4601004290044</v>
      </c>
    </row>
    <row r="3942" spans="1:26" ht="12" customHeight="1" outlineLevel="3" x14ac:dyDescent="0.2">
      <c r="A3942" s="32" t="s">
        <v>7673</v>
      </c>
      <c r="B3942" s="74" t="s">
        <v>7674</v>
      </c>
      <c r="C3942" s="50"/>
      <c r="D3942" s="53">
        <f t="shared" si="61"/>
        <v>0</v>
      </c>
      <c r="E3942" s="60" t="str">
        <f>HYPERLINK("https://www.sds-group.ru/product/tokovye-kleschi-uni-t-ut205a-13-1065/", "Инфо")</f>
        <v>Инфо</v>
      </c>
      <c r="F3942" s="34" t="s">
        <v>39</v>
      </c>
      <c r="G3942" s="33"/>
      <c r="H3942" s="33" t="s">
        <v>40</v>
      </c>
      <c r="I3942" s="33"/>
      <c r="J3942" s="35">
        <v>2</v>
      </c>
      <c r="K3942" s="33" t="s">
        <v>1587</v>
      </c>
      <c r="L3942" s="35">
        <v>1</v>
      </c>
      <c r="M3942" s="35">
        <v>20</v>
      </c>
      <c r="N3942" s="35">
        <v>1</v>
      </c>
      <c r="O3942" s="36">
        <v>9270.9699999999993</v>
      </c>
      <c r="P3942" s="36">
        <v>7599.16</v>
      </c>
      <c r="Q3942" s="36">
        <v>6489.68</v>
      </c>
      <c r="R3942" s="36">
        <v>5319.41</v>
      </c>
      <c r="S3942" s="36">
        <v>6304.26</v>
      </c>
      <c r="T3942" s="36">
        <v>5167.43</v>
      </c>
      <c r="U3942" s="34"/>
      <c r="V3942" s="34"/>
      <c r="W3942" s="34"/>
      <c r="X3942" s="37">
        <v>0.39400000000000002</v>
      </c>
      <c r="Y3942" s="38">
        <v>1.2620000000000001E-3</v>
      </c>
      <c r="Z3942" s="21">
        <v>4601004268456</v>
      </c>
    </row>
    <row r="3943" spans="1:26" ht="12" customHeight="1" outlineLevel="3" x14ac:dyDescent="0.2">
      <c r="A3943" s="32" t="s">
        <v>7675</v>
      </c>
      <c r="B3943" s="74" t="s">
        <v>7676</v>
      </c>
      <c r="C3943" s="50"/>
      <c r="D3943" s="53">
        <f t="shared" si="61"/>
        <v>0</v>
      </c>
      <c r="E3943" s="60" t="str">
        <f>HYPERLINK("https://www.sds-group.ru/product/tokovye-kleschi-uni-t-ut206a-13-1066/", "Инфо")</f>
        <v>Инфо</v>
      </c>
      <c r="F3943" s="34" t="s">
        <v>39</v>
      </c>
      <c r="G3943" s="33"/>
      <c r="H3943" s="33" t="s">
        <v>40</v>
      </c>
      <c r="I3943" s="33"/>
      <c r="J3943" s="35">
        <v>23</v>
      </c>
      <c r="K3943" s="33" t="s">
        <v>1587</v>
      </c>
      <c r="L3943" s="35">
        <v>1</v>
      </c>
      <c r="M3943" s="35">
        <v>20</v>
      </c>
      <c r="N3943" s="35">
        <v>1</v>
      </c>
      <c r="O3943" s="36">
        <v>10564.6</v>
      </c>
      <c r="P3943" s="36">
        <v>8659.51</v>
      </c>
      <c r="Q3943" s="36">
        <v>7395.22</v>
      </c>
      <c r="R3943" s="36">
        <v>6061.66</v>
      </c>
      <c r="S3943" s="36">
        <v>7183.93</v>
      </c>
      <c r="T3943" s="36">
        <v>5888.47</v>
      </c>
      <c r="U3943" s="34"/>
      <c r="V3943" s="34"/>
      <c r="W3943" s="34"/>
      <c r="X3943" s="37">
        <v>0.439</v>
      </c>
      <c r="Y3943" s="38">
        <v>1.751E-3</v>
      </c>
      <c r="Z3943" s="21">
        <v>4601004268463</v>
      </c>
    </row>
    <row r="3944" spans="1:26" ht="12" customHeight="1" outlineLevel="3" x14ac:dyDescent="0.2">
      <c r="A3944" s="32" t="s">
        <v>7677</v>
      </c>
      <c r="B3944" s="74" t="s">
        <v>7678</v>
      </c>
      <c r="C3944" s="50"/>
      <c r="D3944" s="53">
        <f t="shared" si="61"/>
        <v>0</v>
      </c>
      <c r="E3944" s="60" t="str">
        <f>HYPERLINK("https://www.sds-group.ru/product/tokovye-kleschi-uni-t-ut206b-13-1069/", "Инфо")</f>
        <v>Инфо</v>
      </c>
      <c r="F3944" s="34" t="s">
        <v>39</v>
      </c>
      <c r="G3944" s="33"/>
      <c r="H3944" s="33" t="s">
        <v>40</v>
      </c>
      <c r="I3944" s="33"/>
      <c r="J3944" s="34" t="s">
        <v>100</v>
      </c>
      <c r="K3944" s="33" t="s">
        <v>1587</v>
      </c>
      <c r="L3944" s="35">
        <v>1</v>
      </c>
      <c r="M3944" s="35">
        <v>10</v>
      </c>
      <c r="N3944" s="35">
        <v>1</v>
      </c>
      <c r="O3944" s="36">
        <v>12936.24</v>
      </c>
      <c r="P3944" s="36">
        <v>10603.48</v>
      </c>
      <c r="Q3944" s="36">
        <v>9055.3700000000008</v>
      </c>
      <c r="R3944" s="36">
        <v>7422.43</v>
      </c>
      <c r="S3944" s="36">
        <v>8796.64</v>
      </c>
      <c r="T3944" s="36">
        <v>7210.36</v>
      </c>
      <c r="U3944" s="34"/>
      <c r="V3944" s="34"/>
      <c r="W3944" s="34"/>
      <c r="X3944" s="37">
        <v>0.995</v>
      </c>
      <c r="Y3944" s="38">
        <v>3.888E-3</v>
      </c>
      <c r="Z3944" s="21">
        <v>4601004290181</v>
      </c>
    </row>
    <row r="3945" spans="1:26" ht="12" customHeight="1" outlineLevel="3" x14ac:dyDescent="0.2">
      <c r="A3945" s="32" t="s">
        <v>7679</v>
      </c>
      <c r="B3945" s="74" t="s">
        <v>7680</v>
      </c>
      <c r="C3945" s="50"/>
      <c r="D3945" s="53">
        <f t="shared" si="61"/>
        <v>0</v>
      </c>
      <c r="E3945" s="60" t="str">
        <f>HYPERLINK("https://www.sds-group.ru/product/tokovye-kleschi-uni-t-ut208b-13-1068/", "Инфо")</f>
        <v>Инфо</v>
      </c>
      <c r="F3945" s="34" t="s">
        <v>39</v>
      </c>
      <c r="G3945" s="33"/>
      <c r="H3945" s="33" t="s">
        <v>40</v>
      </c>
      <c r="I3945" s="33"/>
      <c r="J3945" s="34" t="s">
        <v>100</v>
      </c>
      <c r="K3945" s="33" t="s">
        <v>1587</v>
      </c>
      <c r="L3945" s="35">
        <v>1</v>
      </c>
      <c r="M3945" s="35">
        <v>1</v>
      </c>
      <c r="N3945" s="35">
        <v>1</v>
      </c>
      <c r="O3945" s="36">
        <v>19943.37</v>
      </c>
      <c r="P3945" s="36">
        <v>16347.02</v>
      </c>
      <c r="Q3945" s="36">
        <v>13960.36</v>
      </c>
      <c r="R3945" s="36">
        <v>11442.92</v>
      </c>
      <c r="S3945" s="36">
        <v>13561.49</v>
      </c>
      <c r="T3945" s="36">
        <v>11115.98</v>
      </c>
      <c r="U3945" s="34"/>
      <c r="V3945" s="34"/>
      <c r="W3945" s="34"/>
      <c r="X3945" s="37">
        <v>0.99199999999999999</v>
      </c>
      <c r="Y3945" s="38">
        <v>3.9430000000000003E-3</v>
      </c>
      <c r="Z3945" s="21">
        <v>4601004268470</v>
      </c>
    </row>
    <row r="3946" spans="1:26" ht="24" customHeight="1" outlineLevel="3" x14ac:dyDescent="0.2">
      <c r="A3946" s="32" t="s">
        <v>7681</v>
      </c>
      <c r="B3946" s="74" t="s">
        <v>7682</v>
      </c>
      <c r="C3946" s="50"/>
      <c r="D3946" s="53">
        <f t="shared" si="61"/>
        <v>0</v>
      </c>
      <c r="E3946" s="60" t="str">
        <f>HYPERLINK("https://www.sds-group.ru/product/tokovye-kleschi-uni-t-ut210b-s-funktsiey-izmereniya-srednekvadratichnogo-znacheniya-13-0007/", "Инфо")</f>
        <v>Инфо</v>
      </c>
      <c r="F3946" s="34" t="s">
        <v>39</v>
      </c>
      <c r="G3946" s="33"/>
      <c r="H3946" s="33" t="s">
        <v>40</v>
      </c>
      <c r="I3946" s="33"/>
      <c r="J3946" s="35">
        <v>283</v>
      </c>
      <c r="K3946" s="33"/>
      <c r="L3946" s="35">
        <v>1</v>
      </c>
      <c r="M3946" s="35">
        <v>40</v>
      </c>
      <c r="N3946" s="35">
        <v>1</v>
      </c>
      <c r="O3946" s="36">
        <v>4743.29</v>
      </c>
      <c r="P3946" s="36">
        <v>3887.94</v>
      </c>
      <c r="Q3946" s="36">
        <v>3320.3</v>
      </c>
      <c r="R3946" s="36">
        <v>2721.56</v>
      </c>
      <c r="S3946" s="36">
        <v>3225.44</v>
      </c>
      <c r="T3946" s="36">
        <v>2643.8</v>
      </c>
      <c r="U3946" s="34" t="s">
        <v>7341</v>
      </c>
      <c r="V3946" s="34" t="s">
        <v>7342</v>
      </c>
      <c r="W3946" s="34"/>
      <c r="X3946" s="37">
        <v>0.19600000000000001</v>
      </c>
      <c r="Y3946" s="38">
        <v>5.6300000000000002E-4</v>
      </c>
      <c r="Z3946" s="21">
        <v>4601004164659</v>
      </c>
    </row>
    <row r="3947" spans="1:26" ht="24" customHeight="1" outlineLevel="3" x14ac:dyDescent="0.2">
      <c r="A3947" s="32" t="s">
        <v>7683</v>
      </c>
      <c r="B3947" s="74" t="s">
        <v>7684</v>
      </c>
      <c r="C3947" s="50"/>
      <c r="D3947" s="53">
        <f t="shared" si="61"/>
        <v>0</v>
      </c>
      <c r="E3947" s="60" t="str">
        <f>HYPERLINK("https://www.sds-group.ru/product/tokovye-kleschi-uni-t-ut210c-13-0006/", "Инфо")</f>
        <v>Инфо</v>
      </c>
      <c r="F3947" s="34" t="s">
        <v>39</v>
      </c>
      <c r="G3947" s="33"/>
      <c r="H3947" s="33" t="s">
        <v>40</v>
      </c>
      <c r="I3947" s="33"/>
      <c r="J3947" s="35">
        <v>124</v>
      </c>
      <c r="K3947" s="33"/>
      <c r="L3947" s="35">
        <v>1</v>
      </c>
      <c r="M3947" s="35">
        <v>1</v>
      </c>
      <c r="N3947" s="35">
        <v>1</v>
      </c>
      <c r="O3947" s="36">
        <v>8085.15</v>
      </c>
      <c r="P3947" s="36">
        <v>6627.17</v>
      </c>
      <c r="Q3947" s="36">
        <v>5659.61</v>
      </c>
      <c r="R3947" s="36">
        <v>4639.0200000000004</v>
      </c>
      <c r="S3947" s="36">
        <v>5497.9</v>
      </c>
      <c r="T3947" s="36">
        <v>4506.4799999999996</v>
      </c>
      <c r="U3947" s="34" t="s">
        <v>7341</v>
      </c>
      <c r="V3947" s="34" t="s">
        <v>7342</v>
      </c>
      <c r="W3947" s="34"/>
      <c r="X3947" s="37">
        <v>0.34899999999999998</v>
      </c>
      <c r="Y3947" s="38">
        <v>1.003E-3</v>
      </c>
      <c r="Z3947" s="21">
        <v>4601004290068</v>
      </c>
    </row>
    <row r="3948" spans="1:26" ht="12" customHeight="1" outlineLevel="3" x14ac:dyDescent="0.2">
      <c r="A3948" s="32" t="s">
        <v>7685</v>
      </c>
      <c r="B3948" s="74" t="s">
        <v>7686</v>
      </c>
      <c r="C3948" s="50"/>
      <c r="D3948" s="53">
        <f t="shared" si="61"/>
        <v>0</v>
      </c>
      <c r="E3948" s="60" t="str">
        <f>HYPERLINK("https://www.sds-group.ru/product/tokovye-kleschi-uni-t-ut210d-13-0008/", "Инфо")</f>
        <v>Инфо</v>
      </c>
      <c r="F3948" s="34" t="s">
        <v>39</v>
      </c>
      <c r="G3948" s="33"/>
      <c r="H3948" s="33" t="s">
        <v>40</v>
      </c>
      <c r="I3948" s="33"/>
      <c r="J3948" s="35">
        <v>608</v>
      </c>
      <c r="K3948" s="33" t="s">
        <v>1587</v>
      </c>
      <c r="L3948" s="35">
        <v>1</v>
      </c>
      <c r="M3948" s="35">
        <v>40</v>
      </c>
      <c r="N3948" s="35">
        <v>1</v>
      </c>
      <c r="O3948" s="36">
        <v>11394.67</v>
      </c>
      <c r="P3948" s="36">
        <v>9339.89</v>
      </c>
      <c r="Q3948" s="36">
        <v>7976.27</v>
      </c>
      <c r="R3948" s="36">
        <v>6537.93</v>
      </c>
      <c r="S3948" s="36">
        <v>7748.38</v>
      </c>
      <c r="T3948" s="36">
        <v>6351.13</v>
      </c>
      <c r="U3948" s="34"/>
      <c r="V3948" s="34"/>
      <c r="W3948" s="34"/>
      <c r="X3948" s="37">
        <v>0.34200000000000003</v>
      </c>
      <c r="Y3948" s="38">
        <v>1.0139999999999999E-3</v>
      </c>
      <c r="Z3948" s="21">
        <v>4601004075542</v>
      </c>
    </row>
    <row r="3949" spans="1:26" ht="12" customHeight="1" outlineLevel="3" x14ac:dyDescent="0.2">
      <c r="A3949" s="32" t="s">
        <v>7687</v>
      </c>
      <c r="B3949" s="74" t="s">
        <v>7688</v>
      </c>
      <c r="C3949" s="50"/>
      <c r="D3949" s="53">
        <f t="shared" si="61"/>
        <v>0</v>
      </c>
      <c r="E3949" s="60" t="str">
        <f>HYPERLINK("https://www.sds-group.ru/product/tokovye-kleschi-uni-t-ut210e-13-0009/", "Инфо")</f>
        <v>Инфо</v>
      </c>
      <c r="F3949" s="34" t="s">
        <v>39</v>
      </c>
      <c r="G3949" s="33"/>
      <c r="H3949" s="33" t="s">
        <v>40</v>
      </c>
      <c r="I3949" s="33"/>
      <c r="J3949" s="35">
        <v>451</v>
      </c>
      <c r="K3949" s="33" t="s">
        <v>1587</v>
      </c>
      <c r="L3949" s="35">
        <v>1</v>
      </c>
      <c r="M3949" s="35">
        <v>40</v>
      </c>
      <c r="N3949" s="35">
        <v>1</v>
      </c>
      <c r="O3949" s="36">
        <v>9323.7900000000009</v>
      </c>
      <c r="P3949" s="36">
        <v>7642.45</v>
      </c>
      <c r="Q3949" s="36">
        <v>6526.65</v>
      </c>
      <c r="R3949" s="36">
        <v>5349.71</v>
      </c>
      <c r="S3949" s="36">
        <v>6340.18</v>
      </c>
      <c r="T3949" s="36">
        <v>5196.87</v>
      </c>
      <c r="U3949" s="34"/>
      <c r="V3949" s="34"/>
      <c r="W3949" s="34"/>
      <c r="X3949" s="37">
        <v>0.32800000000000001</v>
      </c>
      <c r="Y3949" s="38">
        <v>9.8999999999999999E-4</v>
      </c>
      <c r="Z3949" s="21">
        <v>4601004075450</v>
      </c>
    </row>
    <row r="3950" spans="1:26" ht="12" customHeight="1" outlineLevel="3" x14ac:dyDescent="0.2">
      <c r="A3950" s="32" t="s">
        <v>7689</v>
      </c>
      <c r="B3950" s="74" t="s">
        <v>7690</v>
      </c>
      <c r="C3950" s="50"/>
      <c r="D3950" s="53">
        <f t="shared" si="61"/>
        <v>0</v>
      </c>
      <c r="E3950" s="60" t="str">
        <f>HYPERLINK("https://www.sds-group.ru/product/tokovye-kleschi-uni-t-ut2117r-13-1082/", "Инфо")</f>
        <v>Инфо</v>
      </c>
      <c r="F3950" s="34" t="s">
        <v>39</v>
      </c>
      <c r="G3950" s="33"/>
      <c r="H3950" s="33" t="s">
        <v>40</v>
      </c>
      <c r="I3950" s="33"/>
      <c r="J3950" s="35">
        <v>12</v>
      </c>
      <c r="K3950" s="33" t="s">
        <v>1587</v>
      </c>
      <c r="L3950" s="35">
        <v>1</v>
      </c>
      <c r="M3950" s="35">
        <v>40</v>
      </c>
      <c r="N3950" s="35">
        <v>1</v>
      </c>
      <c r="O3950" s="36">
        <v>7653.94</v>
      </c>
      <c r="P3950" s="36">
        <v>6273.72</v>
      </c>
      <c r="Q3950" s="36">
        <v>5357.76</v>
      </c>
      <c r="R3950" s="36">
        <v>4391.6099999999997</v>
      </c>
      <c r="S3950" s="36">
        <v>5204.68</v>
      </c>
      <c r="T3950" s="36">
        <v>4266.13</v>
      </c>
      <c r="U3950" s="34"/>
      <c r="V3950" s="34"/>
      <c r="W3950" s="34"/>
      <c r="X3950" s="37">
        <v>0.38600000000000001</v>
      </c>
      <c r="Y3950" s="38">
        <v>1.4450000000000001E-3</v>
      </c>
      <c r="Z3950" s="21">
        <v>4601004289987</v>
      </c>
    </row>
    <row r="3951" spans="1:26" ht="12" customHeight="1" outlineLevel="3" x14ac:dyDescent="0.2">
      <c r="A3951" s="32" t="s">
        <v>7691</v>
      </c>
      <c r="B3951" s="74" t="s">
        <v>7692</v>
      </c>
      <c r="C3951" s="50"/>
      <c r="D3951" s="53">
        <f t="shared" si="61"/>
        <v>0</v>
      </c>
      <c r="E3951" s="60" t="str">
        <f>HYPERLINK("https://www.sds-group.ru/product/tokovye-kleschi-uni-t-ut216c-13-1077/", "Инфо")</f>
        <v>Инфо</v>
      </c>
      <c r="F3951" s="34" t="s">
        <v>39</v>
      </c>
      <c r="G3951" s="33"/>
      <c r="H3951" s="33" t="s">
        <v>40</v>
      </c>
      <c r="I3951" s="33"/>
      <c r="J3951" s="34" t="s">
        <v>100</v>
      </c>
      <c r="K3951" s="33" t="s">
        <v>1587</v>
      </c>
      <c r="L3951" s="35">
        <v>1</v>
      </c>
      <c r="M3951" s="35">
        <v>10</v>
      </c>
      <c r="N3951" s="35">
        <v>1</v>
      </c>
      <c r="O3951" s="36">
        <v>20913.59</v>
      </c>
      <c r="P3951" s="36">
        <v>17142.29</v>
      </c>
      <c r="Q3951" s="36">
        <v>14639.51</v>
      </c>
      <c r="R3951" s="36">
        <v>11999.6</v>
      </c>
      <c r="S3951" s="36">
        <v>14221.24</v>
      </c>
      <c r="T3951" s="36">
        <v>11656.75</v>
      </c>
      <c r="U3951" s="34"/>
      <c r="V3951" s="34"/>
      <c r="W3951" s="34"/>
      <c r="X3951" s="37">
        <v>0.50600000000000001</v>
      </c>
      <c r="Y3951" s="38">
        <v>1.8580000000000001E-3</v>
      </c>
      <c r="Z3951" s="21">
        <v>4601004290013</v>
      </c>
    </row>
    <row r="3952" spans="1:26" ht="12" customHeight="1" outlineLevel="3" x14ac:dyDescent="0.2">
      <c r="A3952" s="32" t="s">
        <v>7693</v>
      </c>
      <c r="B3952" s="74" t="s">
        <v>7694</v>
      </c>
      <c r="C3952" s="50"/>
      <c r="D3952" s="53">
        <f t="shared" si="61"/>
        <v>0</v>
      </c>
      <c r="E3952" s="60" t="str">
        <f>HYPERLINK("https://www.sds-group.ru/product/tokovye-kleschi-uni-t-ut256-13-1086/", "Инфо")</f>
        <v>Инфо</v>
      </c>
      <c r="F3952" s="34" t="s">
        <v>39</v>
      </c>
      <c r="G3952" s="33"/>
      <c r="H3952" s="33" t="s">
        <v>40</v>
      </c>
      <c r="I3952" s="33"/>
      <c r="J3952" s="35">
        <v>74</v>
      </c>
      <c r="K3952" s="33" t="s">
        <v>7336</v>
      </c>
      <c r="L3952" s="35">
        <v>1</v>
      </c>
      <c r="M3952" s="35">
        <v>40</v>
      </c>
      <c r="N3952" s="35">
        <v>1</v>
      </c>
      <c r="O3952" s="36">
        <v>6144.71</v>
      </c>
      <c r="P3952" s="36">
        <v>5036.6499999999996</v>
      </c>
      <c r="Q3952" s="36">
        <v>4301.3</v>
      </c>
      <c r="R3952" s="36">
        <v>3525.66</v>
      </c>
      <c r="S3952" s="36">
        <v>4178.3999999999996</v>
      </c>
      <c r="T3952" s="36">
        <v>3424.92</v>
      </c>
      <c r="U3952" s="34"/>
      <c r="V3952" s="34"/>
      <c r="W3952" s="34"/>
      <c r="X3952" s="37">
        <v>0.17599999999999999</v>
      </c>
      <c r="Y3952" s="38">
        <v>6.5200000000000002E-4</v>
      </c>
      <c r="Z3952" s="21">
        <v>4601004290051</v>
      </c>
    </row>
    <row r="3953" spans="1:26" ht="12.95" customHeight="1" outlineLevel="2" x14ac:dyDescent="0.2">
      <c r="A3953" s="76" t="s">
        <v>7695</v>
      </c>
      <c r="B3953" s="76"/>
      <c r="C3953" s="77"/>
      <c r="D3953" s="58"/>
      <c r="E3953" s="68"/>
      <c r="F3953" s="13"/>
      <c r="G3953" s="13"/>
      <c r="H3953" s="13"/>
      <c r="I3953" s="13"/>
      <c r="J3953" s="13"/>
      <c r="K3953" s="13"/>
      <c r="L3953" s="13"/>
      <c r="M3953" s="13"/>
      <c r="N3953" s="13"/>
      <c r="O3953" s="13"/>
      <c r="P3953" s="13"/>
      <c r="Q3953" s="13"/>
      <c r="R3953" s="13"/>
      <c r="S3953" s="13"/>
      <c r="T3953" s="13"/>
      <c r="U3953" s="13"/>
      <c r="V3953" s="13"/>
      <c r="W3953" s="13"/>
      <c r="X3953" s="13"/>
      <c r="Y3953" s="13"/>
      <c r="Z3953" s="13"/>
    </row>
    <row r="3954" spans="1:26" ht="12" customHeight="1" outlineLevel="3" x14ac:dyDescent="0.2">
      <c r="A3954" s="32" t="s">
        <v>7696</v>
      </c>
      <c r="B3954" s="74" t="s">
        <v>7697</v>
      </c>
      <c r="C3954" s="50"/>
      <c r="D3954" s="53">
        <f t="shared" si="61"/>
        <v>0</v>
      </c>
      <c r="E3954" s="60" t="str">
        <f>HYPERLINK("https://www.sds-group.ru/product/pirometr-ms6522a-mastech-13-1233/", "Инфо")</f>
        <v>Инфо</v>
      </c>
      <c r="F3954" s="34" t="s">
        <v>39</v>
      </c>
      <c r="G3954" s="33"/>
      <c r="H3954" s="33" t="s">
        <v>40</v>
      </c>
      <c r="I3954" s="33"/>
      <c r="J3954" s="35">
        <v>209</v>
      </c>
      <c r="K3954" s="33"/>
      <c r="L3954" s="35">
        <v>1</v>
      </c>
      <c r="M3954" s="35">
        <v>40</v>
      </c>
      <c r="N3954" s="35">
        <v>1</v>
      </c>
      <c r="O3954" s="36">
        <v>4527.68</v>
      </c>
      <c r="P3954" s="36">
        <v>3711.21</v>
      </c>
      <c r="Q3954" s="36">
        <v>3169.38</v>
      </c>
      <c r="R3954" s="36">
        <v>2597.85</v>
      </c>
      <c r="S3954" s="36">
        <v>3078.82</v>
      </c>
      <c r="T3954" s="36">
        <v>2523.62</v>
      </c>
      <c r="U3954" s="34"/>
      <c r="V3954" s="34"/>
      <c r="W3954" s="34"/>
      <c r="X3954" s="37">
        <v>0.23799999999999999</v>
      </c>
      <c r="Y3954" s="38">
        <v>1.586E-3</v>
      </c>
      <c r="Z3954" s="21">
        <v>4601004070141</v>
      </c>
    </row>
    <row r="3955" spans="1:26" ht="12" customHeight="1" outlineLevel="3" x14ac:dyDescent="0.2">
      <c r="A3955" s="32" t="s">
        <v>7698</v>
      </c>
      <c r="B3955" s="74" t="s">
        <v>7699</v>
      </c>
      <c r="C3955" s="50"/>
      <c r="D3955" s="53">
        <f t="shared" si="61"/>
        <v>0</v>
      </c>
      <c r="E3955" s="60" t="str">
        <f>HYPERLINK("https://www.sds-group.ru/product/pirometr-ms6522b-mastech-13-1231/", "Инфо")</f>
        <v>Инфо</v>
      </c>
      <c r="F3955" s="34" t="s">
        <v>39</v>
      </c>
      <c r="G3955" s="33"/>
      <c r="H3955" s="33" t="s">
        <v>40</v>
      </c>
      <c r="I3955" s="33"/>
      <c r="J3955" s="35">
        <v>184</v>
      </c>
      <c r="K3955" s="33" t="s">
        <v>1126</v>
      </c>
      <c r="L3955" s="35">
        <v>1</v>
      </c>
      <c r="M3955" s="35">
        <v>40</v>
      </c>
      <c r="N3955" s="35">
        <v>1</v>
      </c>
      <c r="O3955" s="36">
        <v>4670.8599999999997</v>
      </c>
      <c r="P3955" s="36">
        <v>3828.57</v>
      </c>
      <c r="Q3955" s="36">
        <v>3269.6</v>
      </c>
      <c r="R3955" s="36">
        <v>2680</v>
      </c>
      <c r="S3955" s="36">
        <v>3176.18</v>
      </c>
      <c r="T3955" s="36">
        <v>2603.4299999999998</v>
      </c>
      <c r="U3955" s="34"/>
      <c r="V3955" s="34"/>
      <c r="W3955" s="34"/>
      <c r="X3955" s="37">
        <v>0.23899999999999999</v>
      </c>
      <c r="Y3955" s="38">
        <v>1.585E-3</v>
      </c>
      <c r="Z3955" s="21">
        <v>4601004052093</v>
      </c>
    </row>
    <row r="3956" spans="1:26" ht="12" customHeight="1" outlineLevel="3" x14ac:dyDescent="0.2">
      <c r="A3956" s="32" t="s">
        <v>7700</v>
      </c>
      <c r="B3956" s="74" t="s">
        <v>7701</v>
      </c>
      <c r="C3956" s="50"/>
      <c r="D3956" s="53">
        <f t="shared" si="61"/>
        <v>0</v>
      </c>
      <c r="E3956" s="60" t="str">
        <f>HYPERLINK("https://www.sds-group.ru/product/pirometr-ms6541-mastech-13-1235/", "Инфо")</f>
        <v>Инфо</v>
      </c>
      <c r="F3956" s="34" t="s">
        <v>39</v>
      </c>
      <c r="G3956" s="33"/>
      <c r="H3956" s="33" t="s">
        <v>40</v>
      </c>
      <c r="I3956" s="33"/>
      <c r="J3956" s="35">
        <v>18</v>
      </c>
      <c r="K3956" s="33"/>
      <c r="L3956" s="35">
        <v>1</v>
      </c>
      <c r="M3956" s="35">
        <v>20</v>
      </c>
      <c r="N3956" s="35">
        <v>1</v>
      </c>
      <c r="O3956" s="36">
        <v>12936.24</v>
      </c>
      <c r="P3956" s="36">
        <v>10603.48</v>
      </c>
      <c r="Q3956" s="36">
        <v>9055.3700000000008</v>
      </c>
      <c r="R3956" s="36">
        <v>7422.43</v>
      </c>
      <c r="S3956" s="36">
        <v>8796.64</v>
      </c>
      <c r="T3956" s="36">
        <v>7210.36</v>
      </c>
      <c r="U3956" s="34"/>
      <c r="V3956" s="34"/>
      <c r="W3956" s="34"/>
      <c r="X3956" s="37">
        <v>0.34799999999999998</v>
      </c>
      <c r="Y3956" s="38">
        <v>1.635E-3</v>
      </c>
      <c r="Z3956" s="21">
        <v>4601004195929</v>
      </c>
    </row>
    <row r="3957" spans="1:26" ht="12" customHeight="1" outlineLevel="3" x14ac:dyDescent="0.2">
      <c r="A3957" s="14" t="s">
        <v>7702</v>
      </c>
      <c r="B3957" s="26" t="s">
        <v>7703</v>
      </c>
      <c r="C3957" s="52"/>
      <c r="D3957" s="55">
        <f t="shared" si="61"/>
        <v>0</v>
      </c>
      <c r="E3957" s="63" t="str">
        <f>HYPERLINK("https://www.sds-group.ru/product/pirometr-r-400-rexant-13-3060/", "Инфо")</f>
        <v>Инфо</v>
      </c>
      <c r="F3957" s="16" t="s">
        <v>39</v>
      </c>
      <c r="G3957" s="15"/>
      <c r="H3957" s="15"/>
      <c r="I3957" s="15"/>
      <c r="J3957" s="22">
        <v>1170</v>
      </c>
      <c r="K3957" s="15"/>
      <c r="L3957" s="17">
        <v>1</v>
      </c>
      <c r="M3957" s="17">
        <v>40</v>
      </c>
      <c r="N3957" s="17">
        <v>1</v>
      </c>
      <c r="O3957" s="18">
        <v>2209.94</v>
      </c>
      <c r="P3957" s="18">
        <v>1811.43</v>
      </c>
      <c r="Q3957" s="18">
        <v>1701.65</v>
      </c>
      <c r="R3957" s="18">
        <v>1394.8</v>
      </c>
      <c r="S3957" s="18">
        <v>1502.76</v>
      </c>
      <c r="T3957" s="18">
        <v>1231.77</v>
      </c>
      <c r="U3957" s="16"/>
      <c r="V3957" s="16"/>
      <c r="W3957" s="16" t="s">
        <v>40</v>
      </c>
      <c r="X3957" s="19">
        <v>0.2</v>
      </c>
      <c r="Y3957" s="20">
        <v>1.9610000000000001E-3</v>
      </c>
      <c r="Z3957" s="21">
        <v>4601004088429</v>
      </c>
    </row>
    <row r="3958" spans="1:26" ht="24" customHeight="1" outlineLevel="3" x14ac:dyDescent="0.2">
      <c r="A3958" s="32" t="s">
        <v>7704</v>
      </c>
      <c r="B3958" s="74" t="s">
        <v>7705</v>
      </c>
      <c r="C3958" s="50"/>
      <c r="D3958" s="53">
        <f t="shared" si="61"/>
        <v>0</v>
      </c>
      <c r="E3958" s="60" t="str">
        <f>HYPERLINK("https://www.sds-group.ru/product/pirometr-uni-t-ut300a-13-0030/", "Инфо")</f>
        <v>Инфо</v>
      </c>
      <c r="F3958" s="34" t="s">
        <v>39</v>
      </c>
      <c r="G3958" s="33"/>
      <c r="H3958" s="33" t="s">
        <v>40</v>
      </c>
      <c r="I3958" s="33"/>
      <c r="J3958" s="35">
        <v>357</v>
      </c>
      <c r="K3958" s="33"/>
      <c r="L3958" s="35">
        <v>1</v>
      </c>
      <c r="M3958" s="35">
        <v>1</v>
      </c>
      <c r="N3958" s="35">
        <v>1</v>
      </c>
      <c r="O3958" s="36">
        <v>2288.25</v>
      </c>
      <c r="P3958" s="36">
        <v>1875.61</v>
      </c>
      <c r="Q3958" s="36">
        <v>1601.78</v>
      </c>
      <c r="R3958" s="36">
        <v>1312.93</v>
      </c>
      <c r="S3958" s="36">
        <v>1556.01</v>
      </c>
      <c r="T3958" s="36">
        <v>1275.42</v>
      </c>
      <c r="U3958" s="34" t="s">
        <v>7341</v>
      </c>
      <c r="V3958" s="34" t="s">
        <v>7342</v>
      </c>
      <c r="W3958" s="34"/>
      <c r="X3958" s="37">
        <v>0.20100000000000001</v>
      </c>
      <c r="Y3958" s="38">
        <v>9.5E-4</v>
      </c>
      <c r="Z3958" s="21">
        <v>4601004290143</v>
      </c>
    </row>
    <row r="3959" spans="1:26" ht="24" customHeight="1" outlineLevel="3" x14ac:dyDescent="0.2">
      <c r="A3959" s="32" t="s">
        <v>7706</v>
      </c>
      <c r="B3959" s="74" t="s">
        <v>7707</v>
      </c>
      <c r="C3959" s="50"/>
      <c r="D3959" s="53">
        <f t="shared" si="61"/>
        <v>0</v>
      </c>
      <c r="E3959" s="60" t="str">
        <f>HYPERLINK("https://www.sds-group.ru/product/pirometr-uni-t-ut300s-13-0025/", "Инфо")</f>
        <v>Инфо</v>
      </c>
      <c r="F3959" s="34" t="s">
        <v>39</v>
      </c>
      <c r="G3959" s="33"/>
      <c r="H3959" s="33" t="s">
        <v>40</v>
      </c>
      <c r="I3959" s="33"/>
      <c r="J3959" s="35">
        <v>275</v>
      </c>
      <c r="K3959" s="33"/>
      <c r="L3959" s="35">
        <v>1</v>
      </c>
      <c r="M3959" s="35">
        <v>48</v>
      </c>
      <c r="N3959" s="35">
        <v>1</v>
      </c>
      <c r="O3959" s="36">
        <v>2910.65</v>
      </c>
      <c r="P3959" s="36">
        <v>2385.7800000000002</v>
      </c>
      <c r="Q3959" s="36">
        <v>2037.46</v>
      </c>
      <c r="R3959" s="36">
        <v>1670.05</v>
      </c>
      <c r="S3959" s="36">
        <v>1979.24</v>
      </c>
      <c r="T3959" s="36">
        <v>1622.33</v>
      </c>
      <c r="U3959" s="34" t="s">
        <v>7341</v>
      </c>
      <c r="V3959" s="34" t="s">
        <v>7342</v>
      </c>
      <c r="W3959" s="34"/>
      <c r="X3959" s="37">
        <v>0.27</v>
      </c>
      <c r="Y3959" s="38">
        <v>1.9550000000000001E-3</v>
      </c>
      <c r="Z3959" s="21">
        <v>4601004059320</v>
      </c>
    </row>
    <row r="3960" spans="1:26" ht="12" customHeight="1" outlineLevel="3" x14ac:dyDescent="0.2">
      <c r="A3960" s="32" t="s">
        <v>7708</v>
      </c>
      <c r="B3960" s="74" t="s">
        <v>7709</v>
      </c>
      <c r="C3960" s="50"/>
      <c r="D3960" s="53">
        <f t="shared" si="61"/>
        <v>0</v>
      </c>
      <c r="E3960" s="60" t="str">
        <f>HYPERLINK("https://www.sds-group.ru/product/pirometr-uni-t-ut301a-13-0039/", "Инфо")</f>
        <v>Инфо</v>
      </c>
      <c r="F3960" s="34" t="s">
        <v>39</v>
      </c>
      <c r="G3960" s="33"/>
      <c r="H3960" s="33" t="s">
        <v>40</v>
      </c>
      <c r="I3960" s="33"/>
      <c r="J3960" s="35">
        <v>20</v>
      </c>
      <c r="K3960" s="33"/>
      <c r="L3960" s="35">
        <v>1</v>
      </c>
      <c r="M3960" s="35">
        <v>20</v>
      </c>
      <c r="N3960" s="35">
        <v>1</v>
      </c>
      <c r="O3960" s="36">
        <v>7007.13</v>
      </c>
      <c r="P3960" s="36">
        <v>5743.55</v>
      </c>
      <c r="Q3960" s="36">
        <v>4904.99</v>
      </c>
      <c r="R3960" s="36">
        <v>4020.48</v>
      </c>
      <c r="S3960" s="36">
        <v>4764.8500000000004</v>
      </c>
      <c r="T3960" s="36">
        <v>3905.61</v>
      </c>
      <c r="U3960" s="34"/>
      <c r="V3960" s="34"/>
      <c r="W3960" s="34"/>
      <c r="X3960" s="37">
        <v>0.36099999999999999</v>
      </c>
      <c r="Y3960" s="38">
        <v>2.1410000000000001E-3</v>
      </c>
      <c r="Z3960" s="21">
        <v>4601004290136</v>
      </c>
    </row>
    <row r="3961" spans="1:26" ht="24" customHeight="1" outlineLevel="3" x14ac:dyDescent="0.2">
      <c r="A3961" s="32" t="s">
        <v>7710</v>
      </c>
      <c r="B3961" s="74" t="s">
        <v>7711</v>
      </c>
      <c r="C3961" s="50"/>
      <c r="D3961" s="53">
        <f t="shared" si="61"/>
        <v>0</v>
      </c>
      <c r="E3961" s="60" t="str">
        <f>HYPERLINK("https://www.sds-group.ru/product/pirometr-uni-t-ut301c-13-0029/", "Инфо")</f>
        <v>Инфо</v>
      </c>
      <c r="F3961" s="34" t="s">
        <v>39</v>
      </c>
      <c r="G3961" s="33"/>
      <c r="H3961" s="33" t="s">
        <v>40</v>
      </c>
      <c r="I3961" s="33"/>
      <c r="J3961" s="35">
        <v>157</v>
      </c>
      <c r="K3961" s="33"/>
      <c r="L3961" s="35">
        <v>1</v>
      </c>
      <c r="M3961" s="35">
        <v>20</v>
      </c>
      <c r="N3961" s="35">
        <v>1</v>
      </c>
      <c r="O3961" s="36">
        <v>8237.7000000000007</v>
      </c>
      <c r="P3961" s="36">
        <v>6752.21</v>
      </c>
      <c r="Q3961" s="36">
        <v>5766.39</v>
      </c>
      <c r="R3961" s="36">
        <v>4726.55</v>
      </c>
      <c r="S3961" s="36">
        <v>5601.64</v>
      </c>
      <c r="T3961" s="36">
        <v>4591.51</v>
      </c>
      <c r="U3961" s="34" t="s">
        <v>7341</v>
      </c>
      <c r="V3961" s="34" t="s">
        <v>7342</v>
      </c>
      <c r="W3961" s="34"/>
      <c r="X3961" s="37">
        <v>0.35699999999999998</v>
      </c>
      <c r="Y3961" s="38">
        <v>2.1979999999999999E-3</v>
      </c>
      <c r="Z3961" s="21">
        <v>4601004268487</v>
      </c>
    </row>
    <row r="3962" spans="1:26" ht="24" customHeight="1" outlineLevel="3" x14ac:dyDescent="0.2">
      <c r="A3962" s="32" t="s">
        <v>7712</v>
      </c>
      <c r="B3962" s="74" t="s">
        <v>7713</v>
      </c>
      <c r="C3962" s="50"/>
      <c r="D3962" s="53">
        <f t="shared" si="61"/>
        <v>0</v>
      </c>
      <c r="E3962" s="60" t="str">
        <f>HYPERLINK("https://www.sds-group.ru/product/pirometr-karmannyy-uni-t-ut306a-13-0026/", "Инфо")</f>
        <v>Инфо</v>
      </c>
      <c r="F3962" s="34" t="s">
        <v>39</v>
      </c>
      <c r="G3962" s="33"/>
      <c r="H3962" s="33" t="s">
        <v>40</v>
      </c>
      <c r="I3962" s="33"/>
      <c r="J3962" s="35">
        <v>203</v>
      </c>
      <c r="K3962" s="33"/>
      <c r="L3962" s="35">
        <v>1</v>
      </c>
      <c r="M3962" s="35">
        <v>20</v>
      </c>
      <c r="N3962" s="35">
        <v>1</v>
      </c>
      <c r="O3962" s="36">
        <v>4031.79</v>
      </c>
      <c r="P3962" s="36">
        <v>3304.75</v>
      </c>
      <c r="Q3962" s="36">
        <v>2822.25</v>
      </c>
      <c r="R3962" s="36">
        <v>2313.3200000000002</v>
      </c>
      <c r="S3962" s="36">
        <v>2741.62</v>
      </c>
      <c r="T3962" s="36">
        <v>2247.23</v>
      </c>
      <c r="U3962" s="34" t="s">
        <v>7341</v>
      </c>
      <c r="V3962" s="34" t="s">
        <v>7342</v>
      </c>
      <c r="W3962" s="34"/>
      <c r="X3962" s="37">
        <v>0.161</v>
      </c>
      <c r="Y3962" s="38">
        <v>5.7200000000000003E-4</v>
      </c>
      <c r="Z3962" s="21">
        <v>4601004164642</v>
      </c>
    </row>
    <row r="3963" spans="1:26" ht="12.95" customHeight="1" outlineLevel="2" x14ac:dyDescent="0.2">
      <c r="A3963" s="76" t="s">
        <v>7714</v>
      </c>
      <c r="B3963" s="76"/>
      <c r="C3963" s="77"/>
      <c r="D3963" s="58"/>
      <c r="E3963" s="68"/>
      <c r="F3963" s="13"/>
      <c r="G3963" s="13"/>
      <c r="H3963" s="13"/>
      <c r="I3963" s="13"/>
      <c r="J3963" s="13"/>
      <c r="K3963" s="13"/>
      <c r="L3963" s="13"/>
      <c r="M3963" s="13"/>
      <c r="N3963" s="13"/>
      <c r="O3963" s="13"/>
      <c r="P3963" s="13"/>
      <c r="Q3963" s="13"/>
      <c r="R3963" s="13"/>
      <c r="S3963" s="13"/>
      <c r="T3963" s="13"/>
      <c r="U3963" s="13"/>
      <c r="V3963" s="13"/>
      <c r="W3963" s="13"/>
      <c r="X3963" s="13"/>
      <c r="Y3963" s="13"/>
      <c r="Z3963" s="13"/>
    </row>
    <row r="3964" spans="1:26" ht="12" customHeight="1" outlineLevel="3" x14ac:dyDescent="0.2">
      <c r="A3964" s="32" t="s">
        <v>7715</v>
      </c>
      <c r="B3964" s="74" t="s">
        <v>7716</v>
      </c>
      <c r="C3964" s="50"/>
      <c r="D3964" s="53">
        <f t="shared" si="61"/>
        <v>0</v>
      </c>
      <c r="E3964" s="60" t="str">
        <f>HYPERLINK("https://www.sds-group.ru/product/izmeritel-soprotivleniya-izolyatsii-ms5201-mastech-13-1346/", "Инфо")</f>
        <v>Инфо</v>
      </c>
      <c r="F3964" s="34" t="s">
        <v>39</v>
      </c>
      <c r="G3964" s="33"/>
      <c r="H3964" s="33" t="s">
        <v>40</v>
      </c>
      <c r="I3964" s="33"/>
      <c r="J3964" s="35">
        <v>97</v>
      </c>
      <c r="K3964" s="33"/>
      <c r="L3964" s="35">
        <v>1</v>
      </c>
      <c r="M3964" s="35">
        <v>4</v>
      </c>
      <c r="N3964" s="35">
        <v>1</v>
      </c>
      <c r="O3964" s="36">
        <v>14848.2</v>
      </c>
      <c r="P3964" s="36">
        <v>12170.66</v>
      </c>
      <c r="Q3964" s="36">
        <v>10393.74</v>
      </c>
      <c r="R3964" s="36">
        <v>8519.4599999999991</v>
      </c>
      <c r="S3964" s="36">
        <v>10096.780000000001</v>
      </c>
      <c r="T3964" s="36">
        <v>8276.0499999999993</v>
      </c>
      <c r="U3964" s="34"/>
      <c r="V3964" s="34"/>
      <c r="W3964" s="34"/>
      <c r="X3964" s="37">
        <v>2.399</v>
      </c>
      <c r="Y3964" s="38">
        <v>2.0389999999999998E-2</v>
      </c>
      <c r="Z3964" s="21">
        <v>4601004195936</v>
      </c>
    </row>
    <row r="3965" spans="1:26" ht="12" customHeight="1" outlineLevel="3" x14ac:dyDescent="0.2">
      <c r="A3965" s="32" t="s">
        <v>7717</v>
      </c>
      <c r="B3965" s="74" t="s">
        <v>7718</v>
      </c>
      <c r="C3965" s="50"/>
      <c r="D3965" s="53">
        <f t="shared" si="61"/>
        <v>0</v>
      </c>
      <c r="E3965" s="60" t="str">
        <f>HYPERLINK("https://www.sds-group.ru/product/izmeritel-soprotivleniya-izolyatsii-uni-t-ut501a-13-0043/", "Инфо")</f>
        <v>Инфо</v>
      </c>
      <c r="F3965" s="34" t="s">
        <v>39</v>
      </c>
      <c r="G3965" s="33"/>
      <c r="H3965" s="33" t="s">
        <v>40</v>
      </c>
      <c r="I3965" s="33"/>
      <c r="J3965" s="35">
        <v>142</v>
      </c>
      <c r="K3965" s="33"/>
      <c r="L3965" s="35">
        <v>1</v>
      </c>
      <c r="M3965" s="35">
        <v>1</v>
      </c>
      <c r="N3965" s="35">
        <v>1</v>
      </c>
      <c r="O3965" s="36">
        <v>9519.1200000000008</v>
      </c>
      <c r="P3965" s="36">
        <v>7802.56</v>
      </c>
      <c r="Q3965" s="36">
        <v>6663.38</v>
      </c>
      <c r="R3965" s="36">
        <v>5461.79</v>
      </c>
      <c r="S3965" s="36">
        <v>6473</v>
      </c>
      <c r="T3965" s="36">
        <v>5305.74</v>
      </c>
      <c r="U3965" s="34"/>
      <c r="V3965" s="34"/>
      <c r="W3965" s="34"/>
      <c r="X3965" s="37">
        <v>0.872</v>
      </c>
      <c r="Y3965" s="38">
        <v>3.2799999999999999E-3</v>
      </c>
      <c r="Z3965" s="21">
        <v>4601004290389</v>
      </c>
    </row>
    <row r="3966" spans="1:26" ht="12" customHeight="1" outlineLevel="3" x14ac:dyDescent="0.2">
      <c r="A3966" s="32" t="s">
        <v>7719</v>
      </c>
      <c r="B3966" s="74" t="s">
        <v>7720</v>
      </c>
      <c r="C3966" s="50"/>
      <c r="D3966" s="53">
        <f t="shared" si="61"/>
        <v>0</v>
      </c>
      <c r="E3966" s="60" t="str">
        <f>HYPERLINK("https://www.sds-group.ru/product/izmeritel-soprotivleniya-izolyatsii-uni-t-ut501b-13-0045/", "Инфо")</f>
        <v>Инфо</v>
      </c>
      <c r="F3966" s="34" t="s">
        <v>39</v>
      </c>
      <c r="G3966" s="33"/>
      <c r="H3966" s="33" t="s">
        <v>40</v>
      </c>
      <c r="I3966" s="33"/>
      <c r="J3966" s="35">
        <v>4</v>
      </c>
      <c r="K3966" s="33"/>
      <c r="L3966" s="35">
        <v>1</v>
      </c>
      <c r="M3966" s="35">
        <v>20</v>
      </c>
      <c r="N3966" s="35">
        <v>1</v>
      </c>
      <c r="O3966" s="36">
        <v>15092.28</v>
      </c>
      <c r="P3966" s="36">
        <v>12370.72</v>
      </c>
      <c r="Q3966" s="36">
        <v>10564.6</v>
      </c>
      <c r="R3966" s="36">
        <v>8659.51</v>
      </c>
      <c r="S3966" s="36">
        <v>10262.75</v>
      </c>
      <c r="T3966" s="36">
        <v>8412.09</v>
      </c>
      <c r="U3966" s="34"/>
      <c r="V3966" s="34"/>
      <c r="W3966" s="34"/>
      <c r="X3966" s="37">
        <v>0.91800000000000004</v>
      </c>
      <c r="Y3966" s="38">
        <v>3.1979999999999999E-3</v>
      </c>
      <c r="Z3966" s="21">
        <v>4601004290365</v>
      </c>
    </row>
    <row r="3967" spans="1:26" ht="24" customHeight="1" outlineLevel="3" x14ac:dyDescent="0.2">
      <c r="A3967" s="32" t="s">
        <v>7721</v>
      </c>
      <c r="B3967" s="74" t="s">
        <v>7722</v>
      </c>
      <c r="C3967" s="50"/>
      <c r="D3967" s="53">
        <f t="shared" si="61"/>
        <v>0</v>
      </c>
      <c r="E3967" s="60" t="str">
        <f>HYPERLINK("https://www.sds-group.ru/product/izmeritel-soprotivleniya-izolyatsii-uni-t-ut502a-13-0044/", "Инфо")</f>
        <v>Инфо</v>
      </c>
      <c r="F3967" s="34" t="s">
        <v>39</v>
      </c>
      <c r="G3967" s="33"/>
      <c r="H3967" s="33" t="s">
        <v>40</v>
      </c>
      <c r="I3967" s="33"/>
      <c r="J3967" s="35">
        <v>171</v>
      </c>
      <c r="K3967" s="33"/>
      <c r="L3967" s="35">
        <v>1</v>
      </c>
      <c r="M3967" s="35">
        <v>20</v>
      </c>
      <c r="N3967" s="35">
        <v>1</v>
      </c>
      <c r="O3967" s="36">
        <v>17032.72</v>
      </c>
      <c r="P3967" s="36">
        <v>13961.25</v>
      </c>
      <c r="Q3967" s="36">
        <v>11922.9</v>
      </c>
      <c r="R3967" s="36">
        <v>9772.8700000000008</v>
      </c>
      <c r="S3967" s="36">
        <v>11582.25</v>
      </c>
      <c r="T3967" s="36">
        <v>9493.65</v>
      </c>
      <c r="U3967" s="34" t="s">
        <v>7341</v>
      </c>
      <c r="V3967" s="34" t="s">
        <v>7342</v>
      </c>
      <c r="W3967" s="34"/>
      <c r="X3967" s="37">
        <v>0.94799999999999995</v>
      </c>
      <c r="Y3967" s="38">
        <v>3.0899999999999999E-3</v>
      </c>
      <c r="Z3967" s="21">
        <v>4601004060203</v>
      </c>
    </row>
    <row r="3968" spans="1:26" ht="12" customHeight="1" outlineLevel="3" x14ac:dyDescent="0.2">
      <c r="A3968" s="32" t="s">
        <v>7723</v>
      </c>
      <c r="B3968" s="74" t="s">
        <v>7724</v>
      </c>
      <c r="C3968" s="50"/>
      <c r="D3968" s="53">
        <f t="shared" si="61"/>
        <v>0</v>
      </c>
      <c r="E3968" s="60" t="str">
        <f>HYPERLINK("https://www.sds-group.ru/product/izmeritel-soprotivleniya-izolyatsii-uni-t-ut511-13-0042/", "Инфо")</f>
        <v>Инфо</v>
      </c>
      <c r="F3968" s="34" t="s">
        <v>39</v>
      </c>
      <c r="G3968" s="33"/>
      <c r="H3968" s="33" t="s">
        <v>40</v>
      </c>
      <c r="I3968" s="33"/>
      <c r="J3968" s="35">
        <v>112</v>
      </c>
      <c r="K3968" s="33"/>
      <c r="L3968" s="35">
        <v>1</v>
      </c>
      <c r="M3968" s="35">
        <v>4</v>
      </c>
      <c r="N3968" s="35">
        <v>1</v>
      </c>
      <c r="O3968" s="36">
        <v>21560.400000000001</v>
      </c>
      <c r="P3968" s="36">
        <v>17672.46</v>
      </c>
      <c r="Q3968" s="36">
        <v>15092.28</v>
      </c>
      <c r="R3968" s="36">
        <v>12370.72</v>
      </c>
      <c r="S3968" s="36">
        <v>14661.07</v>
      </c>
      <c r="T3968" s="36">
        <v>12017.27</v>
      </c>
      <c r="U3968" s="34"/>
      <c r="V3968" s="34"/>
      <c r="W3968" s="34"/>
      <c r="X3968" s="37">
        <v>3.335</v>
      </c>
      <c r="Y3968" s="38">
        <v>1.9057000000000001E-2</v>
      </c>
      <c r="Z3968" s="21">
        <v>4601004005709</v>
      </c>
    </row>
    <row r="3969" spans="1:26" ht="12.95" customHeight="1" outlineLevel="2" x14ac:dyDescent="0.2">
      <c r="A3969" s="76" t="s">
        <v>7725</v>
      </c>
      <c r="B3969" s="76"/>
      <c r="C3969" s="77"/>
      <c r="D3969" s="58"/>
      <c r="E3969" s="68"/>
      <c r="F3969" s="13"/>
      <c r="G3969" s="13"/>
      <c r="H3969" s="13"/>
      <c r="I3969" s="13"/>
      <c r="J3969" s="13"/>
      <c r="K3969" s="13"/>
      <c r="L3969" s="13"/>
      <c r="M3969" s="13"/>
      <c r="N3969" s="13"/>
      <c r="O3969" s="13"/>
      <c r="P3969" s="13"/>
      <c r="Q3969" s="13"/>
      <c r="R3969" s="13"/>
      <c r="S3969" s="13"/>
      <c r="T3969" s="13"/>
      <c r="U3969" s="13"/>
      <c r="V3969" s="13"/>
      <c r="W3969" s="13"/>
      <c r="X3969" s="13"/>
      <c r="Y3969" s="13"/>
      <c r="Z3969" s="13"/>
    </row>
    <row r="3970" spans="1:26" ht="24" customHeight="1" outlineLevel="3" x14ac:dyDescent="0.2">
      <c r="A3970" s="32" t="s">
        <v>7726</v>
      </c>
      <c r="B3970" s="74" t="s">
        <v>7727</v>
      </c>
      <c r="C3970" s="50"/>
      <c r="D3970" s="53">
        <f t="shared" si="61"/>
        <v>0</v>
      </c>
      <c r="E3970" s="60" t="str">
        <f>HYPERLINK("https://www.sds-group.ru/product/detektor-metalla-ms6906-mastech-13-1210/", "Инфо")</f>
        <v>Инфо</v>
      </c>
      <c r="F3970" s="34" t="s">
        <v>39</v>
      </c>
      <c r="G3970" s="33"/>
      <c r="H3970" s="33" t="s">
        <v>40</v>
      </c>
      <c r="I3970" s="33"/>
      <c r="J3970" s="35">
        <v>695</v>
      </c>
      <c r="K3970" s="33"/>
      <c r="L3970" s="35">
        <v>1</v>
      </c>
      <c r="M3970" s="35">
        <v>20</v>
      </c>
      <c r="N3970" s="35">
        <v>1</v>
      </c>
      <c r="O3970" s="36">
        <v>5390.1</v>
      </c>
      <c r="P3970" s="36">
        <v>4418.1099999999997</v>
      </c>
      <c r="Q3970" s="36">
        <v>3773.07</v>
      </c>
      <c r="R3970" s="36">
        <v>3092.68</v>
      </c>
      <c r="S3970" s="36">
        <v>3665.27</v>
      </c>
      <c r="T3970" s="36">
        <v>3004.32</v>
      </c>
      <c r="U3970" s="34" t="s">
        <v>7341</v>
      </c>
      <c r="V3970" s="34" t="s">
        <v>7342</v>
      </c>
      <c r="W3970" s="34"/>
      <c r="X3970" s="37">
        <v>0.314</v>
      </c>
      <c r="Y3970" s="38">
        <v>2.1150000000000001E-3</v>
      </c>
      <c r="Z3970" s="21">
        <v>4601004018235</v>
      </c>
    </row>
    <row r="3971" spans="1:26" ht="12.95" customHeight="1" outlineLevel="2" x14ac:dyDescent="0.2">
      <c r="A3971" s="76" t="s">
        <v>7728</v>
      </c>
      <c r="B3971" s="76"/>
      <c r="C3971" s="77"/>
      <c r="D3971" s="58"/>
      <c r="E3971" s="68"/>
      <c r="F3971" s="13"/>
      <c r="G3971" s="13"/>
      <c r="H3971" s="13"/>
      <c r="I3971" s="13"/>
      <c r="J3971" s="13"/>
      <c r="K3971" s="13"/>
      <c r="L3971" s="13"/>
      <c r="M3971" s="13"/>
      <c r="N3971" s="13"/>
      <c r="O3971" s="13"/>
      <c r="P3971" s="13"/>
      <c r="Q3971" s="13"/>
      <c r="R3971" s="13"/>
      <c r="S3971" s="13"/>
      <c r="T3971" s="13"/>
      <c r="U3971" s="13"/>
      <c r="V3971" s="13"/>
      <c r="W3971" s="13"/>
      <c r="X3971" s="13"/>
      <c r="Y3971" s="13"/>
      <c r="Z3971" s="13"/>
    </row>
    <row r="3972" spans="1:26" ht="12" customHeight="1" outlineLevel="3" x14ac:dyDescent="0.2">
      <c r="A3972" s="32" t="s">
        <v>7729</v>
      </c>
      <c r="B3972" s="74" t="s">
        <v>7730</v>
      </c>
      <c r="C3972" s="50"/>
      <c r="D3972" s="53">
        <f t="shared" si="61"/>
        <v>0</v>
      </c>
      <c r="E3972" s="60" t="str">
        <f>HYPERLINK("https://www.sds-group.ru/product/lazernyy-dalnomer-uni-t-lm100a-13-1162/", "Инфо")</f>
        <v>Инфо</v>
      </c>
      <c r="F3972" s="34" t="s">
        <v>39</v>
      </c>
      <c r="G3972" s="33"/>
      <c r="H3972" s="33" t="s">
        <v>40</v>
      </c>
      <c r="I3972" s="33"/>
      <c r="J3972" s="34" t="s">
        <v>100</v>
      </c>
      <c r="K3972" s="33" t="s">
        <v>1587</v>
      </c>
      <c r="L3972" s="35">
        <v>1</v>
      </c>
      <c r="M3972" s="35">
        <v>40</v>
      </c>
      <c r="N3972" s="35">
        <v>1</v>
      </c>
      <c r="O3972" s="36">
        <v>7114.93</v>
      </c>
      <c r="P3972" s="36">
        <v>5831.91</v>
      </c>
      <c r="Q3972" s="36">
        <v>4980.45</v>
      </c>
      <c r="R3972" s="36">
        <v>4082.34</v>
      </c>
      <c r="S3972" s="36">
        <v>4838.1499999999996</v>
      </c>
      <c r="T3972" s="36">
        <v>3965.7</v>
      </c>
      <c r="U3972" s="34"/>
      <c r="V3972" s="34"/>
      <c r="W3972" s="34"/>
      <c r="X3972" s="37">
        <v>0.23</v>
      </c>
      <c r="Y3972" s="38">
        <v>1.505E-3</v>
      </c>
      <c r="Z3972" s="21">
        <v>4601004290075</v>
      </c>
    </row>
    <row r="3973" spans="1:26" ht="12" customHeight="1" outlineLevel="3" x14ac:dyDescent="0.2">
      <c r="A3973" s="32" t="s">
        <v>7731</v>
      </c>
      <c r="B3973" s="74" t="s">
        <v>7732</v>
      </c>
      <c r="C3973" s="50"/>
      <c r="D3973" s="53">
        <f t="shared" si="61"/>
        <v>0</v>
      </c>
      <c r="E3973" s="60" t="str">
        <f>HYPERLINK("https://www.sds-group.ru/product/lazernyy-dalnomer-uni-t-lm120a-13-1163/", "Инфо")</f>
        <v>Инфо</v>
      </c>
      <c r="F3973" s="34" t="s">
        <v>39</v>
      </c>
      <c r="G3973" s="33"/>
      <c r="H3973" s="33" t="s">
        <v>40</v>
      </c>
      <c r="I3973" s="33"/>
      <c r="J3973" s="35">
        <v>22</v>
      </c>
      <c r="K3973" s="33"/>
      <c r="L3973" s="35">
        <v>1</v>
      </c>
      <c r="M3973" s="35">
        <v>40</v>
      </c>
      <c r="N3973" s="35">
        <v>1</v>
      </c>
      <c r="O3973" s="36">
        <v>8624.16</v>
      </c>
      <c r="P3973" s="36">
        <v>7068.98</v>
      </c>
      <c r="Q3973" s="36">
        <v>6036.91</v>
      </c>
      <c r="R3973" s="36">
        <v>4948.29</v>
      </c>
      <c r="S3973" s="36">
        <v>5864.43</v>
      </c>
      <c r="T3973" s="36">
        <v>4806.91</v>
      </c>
      <c r="U3973" s="34"/>
      <c r="V3973" s="34"/>
      <c r="W3973" s="34"/>
      <c r="X3973" s="37">
        <v>0.21299999999999999</v>
      </c>
      <c r="Y3973" s="38">
        <v>1.1299999999999999E-3</v>
      </c>
      <c r="Z3973" s="21">
        <v>4601004290037</v>
      </c>
    </row>
    <row r="3974" spans="1:26" ht="12" customHeight="1" outlineLevel="3" x14ac:dyDescent="0.2">
      <c r="A3974" s="32" t="s">
        <v>7733</v>
      </c>
      <c r="B3974" s="74" t="s">
        <v>7734</v>
      </c>
      <c r="C3974" s="50"/>
      <c r="D3974" s="53">
        <f t="shared" si="61"/>
        <v>0</v>
      </c>
      <c r="E3974" s="60" t="str">
        <f>HYPERLINK("https://www.sds-group.ru/product/lazernyy-dalnomer-uni-t-lm50a-13-1160/", "Инфо")</f>
        <v>Инфо</v>
      </c>
      <c r="F3974" s="34" t="s">
        <v>39</v>
      </c>
      <c r="G3974" s="33"/>
      <c r="H3974" s="33" t="s">
        <v>40</v>
      </c>
      <c r="I3974" s="33"/>
      <c r="J3974" s="34" t="s">
        <v>100</v>
      </c>
      <c r="K3974" s="33" t="s">
        <v>7336</v>
      </c>
      <c r="L3974" s="35">
        <v>1</v>
      </c>
      <c r="M3974" s="35">
        <v>40</v>
      </c>
      <c r="N3974" s="35">
        <v>1</v>
      </c>
      <c r="O3974" s="36">
        <v>4312.08</v>
      </c>
      <c r="P3974" s="36">
        <v>3534.49</v>
      </c>
      <c r="Q3974" s="36">
        <v>3018.46</v>
      </c>
      <c r="R3974" s="36">
        <v>2474.15</v>
      </c>
      <c r="S3974" s="36">
        <v>2932.21</v>
      </c>
      <c r="T3974" s="36">
        <v>2403.4499999999998</v>
      </c>
      <c r="U3974" s="34"/>
      <c r="V3974" s="34"/>
      <c r="W3974" s="34"/>
      <c r="X3974" s="37">
        <v>0.21</v>
      </c>
      <c r="Y3974" s="38">
        <v>1.1609999999999999E-3</v>
      </c>
      <c r="Z3974" s="21">
        <v>4601004290174</v>
      </c>
    </row>
    <row r="3975" spans="1:26" ht="12" customHeight="1" outlineLevel="3" x14ac:dyDescent="0.2">
      <c r="A3975" s="32" t="s">
        <v>7735</v>
      </c>
      <c r="B3975" s="74" t="s">
        <v>7736</v>
      </c>
      <c r="C3975" s="50"/>
      <c r="D3975" s="53">
        <f t="shared" si="61"/>
        <v>0</v>
      </c>
      <c r="E3975" s="60" t="str">
        <f>HYPERLINK("https://www.sds-group.ru/product/lazernyy-dalnomer-uni-t-lm70a-13-1161/", "Инфо")</f>
        <v>Инфо</v>
      </c>
      <c r="F3975" s="34" t="s">
        <v>39</v>
      </c>
      <c r="G3975" s="33"/>
      <c r="H3975" s="33" t="s">
        <v>40</v>
      </c>
      <c r="I3975" s="33"/>
      <c r="J3975" s="34" t="s">
        <v>100</v>
      </c>
      <c r="K3975" s="33" t="s">
        <v>1587</v>
      </c>
      <c r="L3975" s="35">
        <v>1</v>
      </c>
      <c r="M3975" s="35">
        <v>40</v>
      </c>
      <c r="N3975" s="35">
        <v>1</v>
      </c>
      <c r="O3975" s="36">
        <v>4958.8900000000003</v>
      </c>
      <c r="P3975" s="36">
        <v>4064.66</v>
      </c>
      <c r="Q3975" s="36">
        <v>3471.22</v>
      </c>
      <c r="R3975" s="36">
        <v>2845.26</v>
      </c>
      <c r="S3975" s="36">
        <v>3372.05</v>
      </c>
      <c r="T3975" s="36">
        <v>2763.98</v>
      </c>
      <c r="U3975" s="34"/>
      <c r="V3975" s="34"/>
      <c r="W3975" s="34"/>
      <c r="X3975" s="37">
        <v>0.21</v>
      </c>
      <c r="Y3975" s="38">
        <v>1.137E-3</v>
      </c>
      <c r="Z3975" s="21">
        <v>4601004290020</v>
      </c>
    </row>
    <row r="3976" spans="1:26" ht="12.95" customHeight="1" outlineLevel="2" x14ac:dyDescent="0.2">
      <c r="A3976" s="76" t="s">
        <v>7737</v>
      </c>
      <c r="B3976" s="76"/>
      <c r="C3976" s="77"/>
      <c r="D3976" s="58"/>
      <c r="E3976" s="68"/>
      <c r="F3976" s="13"/>
      <c r="G3976" s="13"/>
      <c r="H3976" s="13"/>
      <c r="I3976" s="13"/>
      <c r="J3976" s="13"/>
      <c r="K3976" s="13"/>
      <c r="L3976" s="13"/>
      <c r="M3976" s="13"/>
      <c r="N3976" s="13"/>
      <c r="O3976" s="13"/>
      <c r="P3976" s="13"/>
      <c r="Q3976" s="13"/>
      <c r="R3976" s="13"/>
      <c r="S3976" s="13"/>
      <c r="T3976" s="13"/>
      <c r="U3976" s="13"/>
      <c r="V3976" s="13"/>
      <c r="W3976" s="13"/>
      <c r="X3976" s="13"/>
      <c r="Y3976" s="13"/>
      <c r="Z3976" s="13"/>
    </row>
    <row r="3977" spans="1:26" ht="12" customHeight="1" outlineLevel="3" x14ac:dyDescent="0.2">
      <c r="A3977" s="32" t="s">
        <v>7738</v>
      </c>
      <c r="B3977" s="74" t="s">
        <v>7739</v>
      </c>
      <c r="C3977" s="50"/>
      <c r="D3977" s="53">
        <f t="shared" ref="D3977:D4040" si="62">C3977*(O3977-O3977*$G$3)</f>
        <v>0</v>
      </c>
      <c r="E3977" s="60" t="str">
        <f>HYPERLINK("https://www.sds-group.ru/product/anemometr-kompaktnyy-uni-t-ut363-13-1142/", "Инфо")</f>
        <v>Инфо</v>
      </c>
      <c r="F3977" s="34" t="s">
        <v>39</v>
      </c>
      <c r="G3977" s="33"/>
      <c r="H3977" s="33" t="s">
        <v>40</v>
      </c>
      <c r="I3977" s="33"/>
      <c r="J3977" s="34" t="s">
        <v>100</v>
      </c>
      <c r="K3977" s="33" t="s">
        <v>1587</v>
      </c>
      <c r="L3977" s="35">
        <v>1</v>
      </c>
      <c r="M3977" s="35">
        <v>40</v>
      </c>
      <c r="N3977" s="35">
        <v>1</v>
      </c>
      <c r="O3977" s="36">
        <v>3557.47</v>
      </c>
      <c r="P3977" s="36">
        <v>2915.96</v>
      </c>
      <c r="Q3977" s="36">
        <v>2490.23</v>
      </c>
      <c r="R3977" s="36">
        <v>2041.17</v>
      </c>
      <c r="S3977" s="36">
        <v>2419.08</v>
      </c>
      <c r="T3977" s="36">
        <v>1982.85</v>
      </c>
      <c r="U3977" s="34"/>
      <c r="V3977" s="34"/>
      <c r="W3977" s="34"/>
      <c r="X3977" s="37">
        <v>0.14799999999999999</v>
      </c>
      <c r="Y3977" s="38">
        <v>5.7399999999999997E-4</v>
      </c>
      <c r="Z3977" s="21">
        <v>4601004289659</v>
      </c>
    </row>
    <row r="3978" spans="1:26" ht="24" customHeight="1" outlineLevel="3" x14ac:dyDescent="0.2">
      <c r="A3978" s="32" t="s">
        <v>7740</v>
      </c>
      <c r="B3978" s="74" t="s">
        <v>7741</v>
      </c>
      <c r="C3978" s="50"/>
      <c r="D3978" s="53">
        <f t="shared" si="62"/>
        <v>0</v>
      </c>
      <c r="E3978" s="60" t="str">
        <f>HYPERLINK("https://www.sds-group.ru/product/izmeritel-vlazhnosti-materialov-tsifrovoy-uni-t-ut377a-13-1147/", "Инфо")</f>
        <v>Инфо</v>
      </c>
      <c r="F3978" s="34" t="s">
        <v>39</v>
      </c>
      <c r="G3978" s="33"/>
      <c r="H3978" s="33" t="s">
        <v>40</v>
      </c>
      <c r="I3978" s="33"/>
      <c r="J3978" s="35">
        <v>22</v>
      </c>
      <c r="K3978" s="33"/>
      <c r="L3978" s="35">
        <v>1</v>
      </c>
      <c r="M3978" s="35">
        <v>20</v>
      </c>
      <c r="N3978" s="35">
        <v>1</v>
      </c>
      <c r="O3978" s="36">
        <v>3891.65</v>
      </c>
      <c r="P3978" s="36">
        <v>3189.88</v>
      </c>
      <c r="Q3978" s="36">
        <v>2724.16</v>
      </c>
      <c r="R3978" s="36">
        <v>2232.92</v>
      </c>
      <c r="S3978" s="36">
        <v>2646.32</v>
      </c>
      <c r="T3978" s="36">
        <v>2169.11</v>
      </c>
      <c r="U3978" s="34" t="s">
        <v>7341</v>
      </c>
      <c r="V3978" s="34" t="s">
        <v>7342</v>
      </c>
      <c r="W3978" s="34"/>
      <c r="X3978" s="37">
        <v>0.16400000000000001</v>
      </c>
      <c r="Y3978" s="38">
        <v>7.0299999999999996E-4</v>
      </c>
      <c r="Z3978" s="21">
        <v>4601004290167</v>
      </c>
    </row>
    <row r="3979" spans="1:26" ht="12" customHeight="1" outlineLevel="3" x14ac:dyDescent="0.2">
      <c r="A3979" s="32" t="s">
        <v>7742</v>
      </c>
      <c r="B3979" s="74" t="s">
        <v>7743</v>
      </c>
      <c r="C3979" s="50"/>
      <c r="D3979" s="53">
        <f t="shared" si="62"/>
        <v>0</v>
      </c>
      <c r="E3979" s="60" t="str">
        <f>HYPERLINK("https://www.sds-group.ru/product/izmeritel-urovnya-shuma-kompaktnyy-uni-t-ut353-13-1134/", "Инфо")</f>
        <v>Инфо</v>
      </c>
      <c r="F3979" s="34" t="s">
        <v>39</v>
      </c>
      <c r="G3979" s="33"/>
      <c r="H3979" s="33" t="s">
        <v>40</v>
      </c>
      <c r="I3979" s="33"/>
      <c r="J3979" s="35">
        <v>33</v>
      </c>
      <c r="K3979" s="33"/>
      <c r="L3979" s="35">
        <v>1</v>
      </c>
      <c r="M3979" s="35">
        <v>40</v>
      </c>
      <c r="N3979" s="35">
        <v>1</v>
      </c>
      <c r="O3979" s="36">
        <v>3557.47</v>
      </c>
      <c r="P3979" s="36">
        <v>2915.96</v>
      </c>
      <c r="Q3979" s="36">
        <v>2490.23</v>
      </c>
      <c r="R3979" s="36">
        <v>2041.17</v>
      </c>
      <c r="S3979" s="36">
        <v>2419.08</v>
      </c>
      <c r="T3979" s="36">
        <v>1982.85</v>
      </c>
      <c r="U3979" s="34"/>
      <c r="V3979" s="34"/>
      <c r="W3979" s="34"/>
      <c r="X3979" s="37">
        <v>0.14299999999999999</v>
      </c>
      <c r="Y3979" s="38">
        <v>5.8900000000000001E-4</v>
      </c>
      <c r="Z3979" s="21">
        <v>4601004289673</v>
      </c>
    </row>
    <row r="3980" spans="1:26" ht="12" customHeight="1" outlineLevel="3" x14ac:dyDescent="0.2">
      <c r="A3980" s="32" t="s">
        <v>7744</v>
      </c>
      <c r="B3980" s="74" t="s">
        <v>7745</v>
      </c>
      <c r="C3980" s="50"/>
      <c r="D3980" s="53">
        <f t="shared" si="62"/>
        <v>0</v>
      </c>
      <c r="E3980" s="60" t="str">
        <f>HYPERLINK("https://www.sds-group.ru/product/lyuksmetr-ms6610-mastech-13-1215/", "Инфо")</f>
        <v>Инфо</v>
      </c>
      <c r="F3980" s="34" t="s">
        <v>39</v>
      </c>
      <c r="G3980" s="33"/>
      <c r="H3980" s="33" t="s">
        <v>40</v>
      </c>
      <c r="I3980" s="33"/>
      <c r="J3980" s="35">
        <v>253</v>
      </c>
      <c r="K3980" s="33" t="s">
        <v>1004</v>
      </c>
      <c r="L3980" s="35">
        <v>1</v>
      </c>
      <c r="M3980" s="35">
        <v>40</v>
      </c>
      <c r="N3980" s="35">
        <v>1</v>
      </c>
      <c r="O3980" s="36">
        <v>3880.87</v>
      </c>
      <c r="P3980" s="36">
        <v>3181.04</v>
      </c>
      <c r="Q3980" s="36">
        <v>2716.61</v>
      </c>
      <c r="R3980" s="36">
        <v>2226.73</v>
      </c>
      <c r="S3980" s="36">
        <v>2638.99</v>
      </c>
      <c r="T3980" s="36">
        <v>2163.11</v>
      </c>
      <c r="U3980" s="34"/>
      <c r="V3980" s="34"/>
      <c r="W3980" s="34"/>
      <c r="X3980" s="37">
        <v>0.29699999999999999</v>
      </c>
      <c r="Y3980" s="38">
        <v>1.3320000000000001E-3</v>
      </c>
      <c r="Z3980" s="21">
        <v>4601004052062</v>
      </c>
    </row>
    <row r="3981" spans="1:26" ht="12" customHeight="1" outlineLevel="3" x14ac:dyDescent="0.2">
      <c r="A3981" s="32" t="s">
        <v>7746</v>
      </c>
      <c r="B3981" s="74" t="s">
        <v>7747</v>
      </c>
      <c r="C3981" s="50"/>
      <c r="D3981" s="53">
        <f t="shared" si="62"/>
        <v>0</v>
      </c>
      <c r="E3981" s="60" t="str">
        <f>HYPERLINK("https://www.sds-group.ru/product/lyuksmetr-ms6612-mastech-13-1216/", "Инфо")</f>
        <v>Инфо</v>
      </c>
      <c r="F3981" s="34" t="s">
        <v>39</v>
      </c>
      <c r="G3981" s="33"/>
      <c r="H3981" s="33" t="s">
        <v>40</v>
      </c>
      <c r="I3981" s="33"/>
      <c r="J3981" s="35">
        <v>41</v>
      </c>
      <c r="K3981" s="33"/>
      <c r="L3981" s="35">
        <v>1</v>
      </c>
      <c r="M3981" s="35">
        <v>20</v>
      </c>
      <c r="N3981" s="35">
        <v>1</v>
      </c>
      <c r="O3981" s="36">
        <v>7546.14</v>
      </c>
      <c r="P3981" s="36">
        <v>6185.36</v>
      </c>
      <c r="Q3981" s="36">
        <v>5282.3</v>
      </c>
      <c r="R3981" s="36">
        <v>4329.75</v>
      </c>
      <c r="S3981" s="36">
        <v>5131.38</v>
      </c>
      <c r="T3981" s="36">
        <v>4206.05</v>
      </c>
      <c r="U3981" s="34"/>
      <c r="V3981" s="34"/>
      <c r="W3981" s="34"/>
      <c r="X3981" s="37">
        <v>0.33100000000000002</v>
      </c>
      <c r="Y3981" s="38">
        <v>1.6800000000000001E-3</v>
      </c>
      <c r="Z3981" s="21">
        <v>4601004093348</v>
      </c>
    </row>
    <row r="3982" spans="1:26" ht="12" customHeight="1" outlineLevel="3" x14ac:dyDescent="0.2">
      <c r="A3982" s="32" t="s">
        <v>7748</v>
      </c>
      <c r="B3982" s="74" t="s">
        <v>7749</v>
      </c>
      <c r="C3982" s="50"/>
      <c r="D3982" s="53">
        <f t="shared" si="62"/>
        <v>0</v>
      </c>
      <c r="E3982" s="60" t="str">
        <f>HYPERLINK("https://www.sds-group.ru/product/mnogofunktsionalnyy-tester-okruzhayuschey-sredy-ms6300-mastech-13-1250/", "Инфо")</f>
        <v>Инфо</v>
      </c>
      <c r="F3982" s="34" t="s">
        <v>39</v>
      </c>
      <c r="G3982" s="33"/>
      <c r="H3982" s="33" t="s">
        <v>40</v>
      </c>
      <c r="I3982" s="33"/>
      <c r="J3982" s="34" t="s">
        <v>100</v>
      </c>
      <c r="K3982" s="33"/>
      <c r="L3982" s="35">
        <v>1</v>
      </c>
      <c r="M3982" s="35">
        <v>10</v>
      </c>
      <c r="N3982" s="35">
        <v>1</v>
      </c>
      <c r="O3982" s="36">
        <v>17797.5</v>
      </c>
      <c r="P3982" s="36">
        <v>14588.11</v>
      </c>
      <c r="Q3982" s="36">
        <v>12458.25</v>
      </c>
      <c r="R3982" s="36">
        <v>10211.68</v>
      </c>
      <c r="S3982" s="36">
        <v>12102.3</v>
      </c>
      <c r="T3982" s="36">
        <v>9919.92</v>
      </c>
      <c r="U3982" s="34"/>
      <c r="V3982" s="34"/>
      <c r="W3982" s="34"/>
      <c r="X3982" s="37">
        <v>1.123</v>
      </c>
      <c r="Y3982" s="38">
        <v>5.3400000000000001E-3</v>
      </c>
      <c r="Z3982" s="21">
        <v>4601004052161</v>
      </c>
    </row>
    <row r="3983" spans="1:26" ht="12" customHeight="1" outlineLevel="3" x14ac:dyDescent="0.2">
      <c r="A3983" s="32" t="s">
        <v>7750</v>
      </c>
      <c r="B3983" s="74" t="s">
        <v>7751</v>
      </c>
      <c r="C3983" s="50"/>
      <c r="D3983" s="53">
        <f t="shared" si="62"/>
        <v>0</v>
      </c>
      <c r="E3983" s="60" t="str">
        <f>HYPERLINK("https://www.sds-group.ru/product/uglomer-tsifrovoy-lm320a-uni-t-13-1127/", "Инфо")</f>
        <v>Инфо</v>
      </c>
      <c r="F3983" s="34" t="s">
        <v>39</v>
      </c>
      <c r="G3983" s="33"/>
      <c r="H3983" s="33" t="s">
        <v>40</v>
      </c>
      <c r="I3983" s="33"/>
      <c r="J3983" s="35">
        <v>2</v>
      </c>
      <c r="K3983" s="33" t="s">
        <v>1587</v>
      </c>
      <c r="L3983" s="35">
        <v>1</v>
      </c>
      <c r="M3983" s="35">
        <v>6</v>
      </c>
      <c r="N3983" s="35">
        <v>1</v>
      </c>
      <c r="O3983" s="36">
        <v>5390.1</v>
      </c>
      <c r="P3983" s="36">
        <v>4418.1099999999997</v>
      </c>
      <c r="Q3983" s="36">
        <v>3773.07</v>
      </c>
      <c r="R3983" s="36">
        <v>3092.68</v>
      </c>
      <c r="S3983" s="36">
        <v>3665.27</v>
      </c>
      <c r="T3983" s="36">
        <v>3004.32</v>
      </c>
      <c r="U3983" s="34"/>
      <c r="V3983" s="34"/>
      <c r="W3983" s="34"/>
      <c r="X3983" s="37">
        <v>0.20599999999999999</v>
      </c>
      <c r="Y3983" s="38">
        <v>5.1500000000000005E-4</v>
      </c>
      <c r="Z3983" s="21">
        <v>4601004289871</v>
      </c>
    </row>
    <row r="3984" spans="1:26" ht="12" customHeight="1" outlineLevel="3" x14ac:dyDescent="0.2">
      <c r="A3984" s="32" t="s">
        <v>7752</v>
      </c>
      <c r="B3984" s="74" t="s">
        <v>7753</v>
      </c>
      <c r="C3984" s="50"/>
      <c r="D3984" s="53">
        <f t="shared" si="62"/>
        <v>0</v>
      </c>
      <c r="E3984" s="60" t="str">
        <f>HYPERLINK("https://www.sds-group.ru/product/tsifrovoy-anemometr-ms6252b-mastech-13-1272/", "Инфо")</f>
        <v>Инфо</v>
      </c>
      <c r="F3984" s="34" t="s">
        <v>39</v>
      </c>
      <c r="G3984" s="33"/>
      <c r="H3984" s="33" t="s">
        <v>40</v>
      </c>
      <c r="I3984" s="33"/>
      <c r="J3984" s="35">
        <v>44</v>
      </c>
      <c r="K3984" s="33"/>
      <c r="L3984" s="35">
        <v>1</v>
      </c>
      <c r="M3984" s="35">
        <v>20</v>
      </c>
      <c r="N3984" s="35">
        <v>1</v>
      </c>
      <c r="O3984" s="36">
        <v>12936.24</v>
      </c>
      <c r="P3984" s="36">
        <v>10603.48</v>
      </c>
      <c r="Q3984" s="36">
        <v>9055.3700000000008</v>
      </c>
      <c r="R3984" s="36">
        <v>7422.43</v>
      </c>
      <c r="S3984" s="36">
        <v>8796.64</v>
      </c>
      <c r="T3984" s="36">
        <v>7210.36</v>
      </c>
      <c r="U3984" s="34"/>
      <c r="V3984" s="34"/>
      <c r="W3984" s="34"/>
      <c r="X3984" s="37">
        <v>0.41099999999999998</v>
      </c>
      <c r="Y3984" s="38">
        <v>1.689E-3</v>
      </c>
      <c r="Z3984" s="21">
        <v>4601004195981</v>
      </c>
    </row>
    <row r="3985" spans="1:26" ht="12" customHeight="1" outlineLevel="3" x14ac:dyDescent="0.2">
      <c r="A3985" s="32" t="s">
        <v>7754</v>
      </c>
      <c r="B3985" s="74" t="s">
        <v>7755</v>
      </c>
      <c r="C3985" s="50"/>
      <c r="D3985" s="53">
        <f t="shared" si="62"/>
        <v>0</v>
      </c>
      <c r="E3985" s="60" t="str">
        <f>HYPERLINK("https://www.sds-group.ru/product/tsifrovoy-detektor-utechki-gaza-ms6310-mastech-13-1246/", "Инфо")</f>
        <v>Инфо</v>
      </c>
      <c r="F3985" s="34" t="s">
        <v>39</v>
      </c>
      <c r="G3985" s="33"/>
      <c r="H3985" s="33" t="s">
        <v>40</v>
      </c>
      <c r="I3985" s="33"/>
      <c r="J3985" s="35">
        <v>85</v>
      </c>
      <c r="K3985" s="33"/>
      <c r="L3985" s="35">
        <v>1</v>
      </c>
      <c r="M3985" s="35">
        <v>20</v>
      </c>
      <c r="N3985" s="35">
        <v>1</v>
      </c>
      <c r="O3985" s="36">
        <v>8115.66</v>
      </c>
      <c r="P3985" s="36">
        <v>6652.18</v>
      </c>
      <c r="Q3985" s="36">
        <v>5680.96</v>
      </c>
      <c r="R3985" s="36">
        <v>4656.5200000000004</v>
      </c>
      <c r="S3985" s="36">
        <v>5518.65</v>
      </c>
      <c r="T3985" s="36">
        <v>4523.4799999999996</v>
      </c>
      <c r="U3985" s="34"/>
      <c r="V3985" s="34"/>
      <c r="W3985" s="34"/>
      <c r="X3985" s="37">
        <v>0.56899999999999995</v>
      </c>
      <c r="Y3985" s="38">
        <v>2.7079999999999999E-3</v>
      </c>
      <c r="Z3985" s="21">
        <v>4601004052154</v>
      </c>
    </row>
    <row r="3986" spans="1:26" ht="12" customHeight="1" outlineLevel="3" x14ac:dyDescent="0.2">
      <c r="A3986" s="32" t="s">
        <v>7756</v>
      </c>
      <c r="B3986" s="74" t="s">
        <v>7757</v>
      </c>
      <c r="C3986" s="50"/>
      <c r="D3986" s="53">
        <f t="shared" si="62"/>
        <v>0</v>
      </c>
      <c r="E3986" s="60" t="str">
        <f>HYPERLINK("https://www.sds-group.ru/product/tsifrovoy-izmeritel-vlazhnosti-materialov-ms6900-mastech-13-1275/", "Инфо")</f>
        <v>Инфо</v>
      </c>
      <c r="F3986" s="34" t="s">
        <v>39</v>
      </c>
      <c r="G3986" s="33"/>
      <c r="H3986" s="33" t="s">
        <v>40</v>
      </c>
      <c r="I3986" s="33"/>
      <c r="J3986" s="35">
        <v>57</v>
      </c>
      <c r="K3986" s="33"/>
      <c r="L3986" s="35">
        <v>1</v>
      </c>
      <c r="M3986" s="35">
        <v>60</v>
      </c>
      <c r="N3986" s="35">
        <v>1</v>
      </c>
      <c r="O3986" s="36">
        <v>8949.6</v>
      </c>
      <c r="P3986" s="36">
        <v>7335.74</v>
      </c>
      <c r="Q3986" s="36">
        <v>6264.72</v>
      </c>
      <c r="R3986" s="36">
        <v>5135.0200000000004</v>
      </c>
      <c r="S3986" s="36">
        <v>6085.73</v>
      </c>
      <c r="T3986" s="36">
        <v>4988.3</v>
      </c>
      <c r="U3986" s="34"/>
      <c r="V3986" s="34"/>
      <c r="W3986" s="34"/>
      <c r="X3986" s="37">
        <v>0.222</v>
      </c>
      <c r="Y3986" s="38">
        <v>8.5300000000000003E-4</v>
      </c>
      <c r="Z3986" s="21">
        <v>4601004196001</v>
      </c>
    </row>
    <row r="3987" spans="1:26" ht="24" customHeight="1" outlineLevel="3" x14ac:dyDescent="0.2">
      <c r="A3987" s="32" t="s">
        <v>7758</v>
      </c>
      <c r="B3987" s="74" t="s">
        <v>7759</v>
      </c>
      <c r="C3987" s="50"/>
      <c r="D3987" s="53">
        <f t="shared" si="62"/>
        <v>0</v>
      </c>
      <c r="E3987" s="60" t="str">
        <f>HYPERLINK("https://www.sds-group.ru/product/tsifrovoy-izmeritel-urovnya-shuma-ms6701-mastech-13-1252/", "Инфо")</f>
        <v>Инфо</v>
      </c>
      <c r="F3987" s="34" t="s">
        <v>39</v>
      </c>
      <c r="G3987" s="33"/>
      <c r="H3987" s="33" t="s">
        <v>40</v>
      </c>
      <c r="I3987" s="33"/>
      <c r="J3987" s="35">
        <v>17</v>
      </c>
      <c r="K3987" s="33"/>
      <c r="L3987" s="35">
        <v>1</v>
      </c>
      <c r="M3987" s="35">
        <v>10</v>
      </c>
      <c r="N3987" s="35">
        <v>1</v>
      </c>
      <c r="O3987" s="36">
        <v>19619.96</v>
      </c>
      <c r="P3987" s="36">
        <v>16081.93</v>
      </c>
      <c r="Q3987" s="36">
        <v>13733.97</v>
      </c>
      <c r="R3987" s="36">
        <v>11257.35</v>
      </c>
      <c r="S3987" s="36">
        <v>13341.57</v>
      </c>
      <c r="T3987" s="36">
        <v>10935.71</v>
      </c>
      <c r="U3987" s="34" t="s">
        <v>7341</v>
      </c>
      <c r="V3987" s="34" t="s">
        <v>7342</v>
      </c>
      <c r="W3987" s="34"/>
      <c r="X3987" s="37">
        <v>0.92400000000000004</v>
      </c>
      <c r="Y3987" s="38">
        <v>4.6620000000000003E-3</v>
      </c>
      <c r="Z3987" s="21">
        <v>4601004195998</v>
      </c>
    </row>
    <row r="3988" spans="1:26" ht="12" customHeight="1" outlineLevel="3" x14ac:dyDescent="0.2">
      <c r="A3988" s="32" t="s">
        <v>7760</v>
      </c>
      <c r="B3988" s="74" t="s">
        <v>7761</v>
      </c>
      <c r="C3988" s="50"/>
      <c r="D3988" s="53">
        <f t="shared" si="62"/>
        <v>0</v>
      </c>
      <c r="E3988" s="60" t="str">
        <f>HYPERLINK("https://www.sds-group.ru/product/tsifrovoy-termometr-ms6500-mastech-13-1240/", "Инфо")</f>
        <v>Инфо</v>
      </c>
      <c r="F3988" s="34" t="s">
        <v>39</v>
      </c>
      <c r="G3988" s="33"/>
      <c r="H3988" s="33" t="s">
        <v>40</v>
      </c>
      <c r="I3988" s="33"/>
      <c r="J3988" s="35">
        <v>120</v>
      </c>
      <c r="K3988" s="33"/>
      <c r="L3988" s="35">
        <v>1</v>
      </c>
      <c r="M3988" s="35">
        <v>60</v>
      </c>
      <c r="N3988" s="35">
        <v>1</v>
      </c>
      <c r="O3988" s="36">
        <v>2847.6</v>
      </c>
      <c r="P3988" s="36">
        <v>2334.1</v>
      </c>
      <c r="Q3988" s="36">
        <v>1993.32</v>
      </c>
      <c r="R3988" s="36">
        <v>1633.87</v>
      </c>
      <c r="S3988" s="36">
        <v>1936.37</v>
      </c>
      <c r="T3988" s="36">
        <v>1587.19</v>
      </c>
      <c r="U3988" s="34"/>
      <c r="V3988" s="34"/>
      <c r="W3988" s="34"/>
      <c r="X3988" s="37">
        <v>0.24</v>
      </c>
      <c r="Y3988" s="38">
        <v>7.9600000000000005E-4</v>
      </c>
      <c r="Z3988" s="21">
        <v>4601004052147</v>
      </c>
    </row>
    <row r="3989" spans="1:26" ht="12.95" customHeight="1" outlineLevel="2" x14ac:dyDescent="0.2">
      <c r="A3989" s="76" t="s">
        <v>7762</v>
      </c>
      <c r="B3989" s="76"/>
      <c r="C3989" s="77"/>
      <c r="D3989" s="58"/>
      <c r="E3989" s="68"/>
      <c r="F3989" s="13"/>
      <c r="G3989" s="13"/>
      <c r="H3989" s="13"/>
      <c r="I3989" s="13"/>
      <c r="J3989" s="13"/>
      <c r="K3989" s="13"/>
      <c r="L3989" s="13"/>
      <c r="M3989" s="13"/>
      <c r="N3989" s="13"/>
      <c r="O3989" s="13"/>
      <c r="P3989" s="13"/>
      <c r="Q3989" s="13"/>
      <c r="R3989" s="13"/>
      <c r="S3989" s="13"/>
      <c r="T3989" s="13"/>
      <c r="U3989" s="13"/>
      <c r="V3989" s="13"/>
      <c r="W3989" s="13"/>
      <c r="X3989" s="13"/>
      <c r="Y3989" s="13"/>
      <c r="Z3989" s="13"/>
    </row>
    <row r="3990" spans="1:26" ht="12" customHeight="1" outlineLevel="3" x14ac:dyDescent="0.2">
      <c r="A3990" s="14" t="s">
        <v>7763</v>
      </c>
      <c r="B3990" s="26" t="s">
        <v>7764</v>
      </c>
      <c r="C3990" s="52"/>
      <c r="D3990" s="55">
        <f t="shared" si="62"/>
        <v>0</v>
      </c>
      <c r="E3990" s="63" t="str">
        <f>HYPERLINK("https://www.sds-group.ru/product/datchik-temperatury-k-1-dlya-izmeritelnyh-priborov-rexant-13-3048/", "Инфо")</f>
        <v>Инфо</v>
      </c>
      <c r="F3990" s="16" t="s">
        <v>39</v>
      </c>
      <c r="G3990" s="15"/>
      <c r="H3990" s="15"/>
      <c r="I3990" s="15"/>
      <c r="J3990" s="22">
        <v>2349</v>
      </c>
      <c r="K3990" s="15"/>
      <c r="L3990" s="17">
        <v>10</v>
      </c>
      <c r="M3990" s="17">
        <v>600</v>
      </c>
      <c r="N3990" s="17">
        <v>10</v>
      </c>
      <c r="O3990" s="18">
        <v>207.63</v>
      </c>
      <c r="P3990" s="18">
        <v>170.19</v>
      </c>
      <c r="Q3990" s="18">
        <v>176.49</v>
      </c>
      <c r="R3990" s="18">
        <v>144.66</v>
      </c>
      <c r="S3990" s="18">
        <v>141.19</v>
      </c>
      <c r="T3990" s="18">
        <v>115.73</v>
      </c>
      <c r="U3990" s="16"/>
      <c r="V3990" s="16"/>
      <c r="W3990" s="16" t="s">
        <v>40</v>
      </c>
      <c r="X3990" s="19">
        <v>1.7999999999999999E-2</v>
      </c>
      <c r="Y3990" s="20">
        <v>9.1000000000000003E-5</v>
      </c>
      <c r="Z3990" s="21">
        <v>4601004138223</v>
      </c>
    </row>
    <row r="3991" spans="1:26" ht="12" customHeight="1" outlineLevel="3" x14ac:dyDescent="0.2">
      <c r="A3991" s="14" t="s">
        <v>7765</v>
      </c>
      <c r="B3991" s="26" t="s">
        <v>7766</v>
      </c>
      <c r="C3991" s="52"/>
      <c r="D3991" s="55">
        <f t="shared" si="62"/>
        <v>0</v>
      </c>
      <c r="E3991" s="63" t="str">
        <f>HYPERLINK("https://www.sds-group.ru/product/nabor-schupov-so-smennymi-nasadkami-rexant-13-3035/", "Инфо")</f>
        <v>Инфо</v>
      </c>
      <c r="F3991" s="16" t="s">
        <v>39</v>
      </c>
      <c r="G3991" s="15"/>
      <c r="H3991" s="15"/>
      <c r="I3991" s="15"/>
      <c r="J3991" s="17">
        <v>40</v>
      </c>
      <c r="K3991" s="15" t="s">
        <v>1266</v>
      </c>
      <c r="L3991" s="17">
        <v>1</v>
      </c>
      <c r="M3991" s="17">
        <v>60</v>
      </c>
      <c r="N3991" s="17">
        <v>1</v>
      </c>
      <c r="O3991" s="18">
        <v>700.71</v>
      </c>
      <c r="P3991" s="18">
        <v>574.35</v>
      </c>
      <c r="Q3991" s="18">
        <v>560.57000000000005</v>
      </c>
      <c r="R3991" s="18">
        <v>459.48</v>
      </c>
      <c r="S3991" s="18">
        <v>476.48</v>
      </c>
      <c r="T3991" s="18">
        <v>390.56</v>
      </c>
      <c r="U3991" s="16"/>
      <c r="V3991" s="16"/>
      <c r="W3991" s="16" t="s">
        <v>40</v>
      </c>
      <c r="X3991" s="19">
        <v>9.7000000000000003E-2</v>
      </c>
      <c r="Y3991" s="20">
        <v>4.17E-4</v>
      </c>
      <c r="Z3991" s="21">
        <v>4601004138230</v>
      </c>
    </row>
    <row r="3992" spans="1:26" ht="12" customHeight="1" outlineLevel="3" x14ac:dyDescent="0.2">
      <c r="A3992" s="32" t="s">
        <v>7767</v>
      </c>
      <c r="B3992" s="74" t="s">
        <v>7768</v>
      </c>
      <c r="C3992" s="50"/>
      <c r="D3992" s="53">
        <f t="shared" si="62"/>
        <v>0</v>
      </c>
      <c r="E3992" s="60" t="str">
        <f>HYPERLINK("https://www.sds-group.ru/product/schupy-t3030u-mastech-13-2033/", "Инфо")</f>
        <v>Инфо</v>
      </c>
      <c r="F3992" s="34" t="s">
        <v>39</v>
      </c>
      <c r="G3992" s="33"/>
      <c r="H3992" s="33" t="s">
        <v>40</v>
      </c>
      <c r="I3992" s="33"/>
      <c r="J3992" s="39">
        <v>1046</v>
      </c>
      <c r="K3992" s="33" t="s">
        <v>1004</v>
      </c>
      <c r="L3992" s="35">
        <v>1</v>
      </c>
      <c r="M3992" s="35">
        <v>100</v>
      </c>
      <c r="N3992" s="35">
        <v>1</v>
      </c>
      <c r="O3992" s="36">
        <v>625.25</v>
      </c>
      <c r="P3992" s="36">
        <v>512.5</v>
      </c>
      <c r="Q3992" s="36">
        <v>437.68</v>
      </c>
      <c r="R3992" s="36">
        <v>358.75</v>
      </c>
      <c r="S3992" s="36">
        <v>425.17</v>
      </c>
      <c r="T3992" s="36">
        <v>348.5</v>
      </c>
      <c r="U3992" s="34"/>
      <c r="V3992" s="34"/>
      <c r="W3992" s="34"/>
      <c r="X3992" s="37">
        <v>8.8999999999999996E-2</v>
      </c>
      <c r="Y3992" s="38">
        <v>3.7800000000000003E-4</v>
      </c>
      <c r="Z3992" s="21">
        <v>4601004068322</v>
      </c>
    </row>
    <row r="3993" spans="1:26" ht="12" customHeight="1" outlineLevel="3" x14ac:dyDescent="0.2">
      <c r="A3993" s="32" t="s">
        <v>7769</v>
      </c>
      <c r="B3993" s="74" t="s">
        <v>7770</v>
      </c>
      <c r="C3993" s="50"/>
      <c r="D3993" s="53">
        <f t="shared" si="62"/>
        <v>0</v>
      </c>
      <c r="E3993" s="60" t="str">
        <f>HYPERLINK("https://www.sds-group.ru/product/schupy-t3033u-mastech-13-2034/", "Инфо")</f>
        <v>Инфо</v>
      </c>
      <c r="F3993" s="34" t="s">
        <v>39</v>
      </c>
      <c r="G3993" s="33"/>
      <c r="H3993" s="33" t="s">
        <v>40</v>
      </c>
      <c r="I3993" s="33"/>
      <c r="J3993" s="39">
        <v>1821</v>
      </c>
      <c r="K3993" s="33"/>
      <c r="L3993" s="35">
        <v>1</v>
      </c>
      <c r="M3993" s="35">
        <v>200</v>
      </c>
      <c r="N3993" s="35">
        <v>1</v>
      </c>
      <c r="O3993" s="36">
        <v>560.57000000000005</v>
      </c>
      <c r="P3993" s="36">
        <v>459.48</v>
      </c>
      <c r="Q3993" s="36">
        <v>392.4</v>
      </c>
      <c r="R3993" s="36">
        <v>321.64</v>
      </c>
      <c r="S3993" s="36">
        <v>381.19</v>
      </c>
      <c r="T3993" s="36">
        <v>312.45</v>
      </c>
      <c r="U3993" s="34"/>
      <c r="V3993" s="34"/>
      <c r="W3993" s="34"/>
      <c r="X3993" s="37">
        <v>7.0000000000000007E-2</v>
      </c>
      <c r="Y3993" s="38">
        <v>3.8699999999999997E-4</v>
      </c>
      <c r="Z3993" s="21">
        <v>4601004068339</v>
      </c>
    </row>
    <row r="3994" spans="1:26" ht="12" customHeight="1" outlineLevel="3" x14ac:dyDescent="0.2">
      <c r="A3994" s="14" t="s">
        <v>7771</v>
      </c>
      <c r="B3994" s="26" t="s">
        <v>7772</v>
      </c>
      <c r="C3994" s="52"/>
      <c r="D3994" s="55">
        <f t="shared" si="62"/>
        <v>0</v>
      </c>
      <c r="E3994" s="63" t="str">
        <f>HYPERLINK("https://www.sds-group.ru/product/schupy-testera-rex04-rexant-13-3031/", "Инфо")</f>
        <v>Инфо</v>
      </c>
      <c r="F3994" s="16" t="s">
        <v>39</v>
      </c>
      <c r="G3994" s="15"/>
      <c r="H3994" s="15"/>
      <c r="I3994" s="15"/>
      <c r="J3994" s="22">
        <v>13574</v>
      </c>
      <c r="K3994" s="15" t="s">
        <v>1519</v>
      </c>
      <c r="L3994" s="17">
        <v>10</v>
      </c>
      <c r="M3994" s="17">
        <v>600</v>
      </c>
      <c r="N3994" s="17">
        <v>10</v>
      </c>
      <c r="O3994" s="18">
        <v>123.98</v>
      </c>
      <c r="P3994" s="18">
        <v>101.62</v>
      </c>
      <c r="Q3994" s="18">
        <v>105.38</v>
      </c>
      <c r="R3994" s="18">
        <v>86.38</v>
      </c>
      <c r="S3994" s="18">
        <v>84.31</v>
      </c>
      <c r="T3994" s="18">
        <v>69.11</v>
      </c>
      <c r="U3994" s="16"/>
      <c r="V3994" s="16"/>
      <c r="W3994" s="16" t="s">
        <v>40</v>
      </c>
      <c r="X3994" s="19">
        <v>2.8000000000000001E-2</v>
      </c>
      <c r="Y3994" s="20">
        <v>1.18E-4</v>
      </c>
      <c r="Z3994" s="21">
        <v>4601004035324</v>
      </c>
    </row>
    <row r="3995" spans="1:26" ht="12" customHeight="1" outlineLevel="3" x14ac:dyDescent="0.2">
      <c r="A3995" s="14" t="s">
        <v>7773</v>
      </c>
      <c r="B3995" s="26" t="s">
        <v>7774</v>
      </c>
      <c r="C3995" s="52"/>
      <c r="D3995" s="55">
        <f t="shared" si="62"/>
        <v>0</v>
      </c>
      <c r="E3995" s="63" t="str">
        <f>HYPERLINK("https://www.sds-group.ru/product/schupy-testera-rex05-rexant-13-3041/", "Инфо")</f>
        <v>Инфо</v>
      </c>
      <c r="F3995" s="16" t="s">
        <v>39</v>
      </c>
      <c r="G3995" s="15"/>
      <c r="H3995" s="15"/>
      <c r="I3995" s="15"/>
      <c r="J3995" s="22">
        <v>17622</v>
      </c>
      <c r="K3995" s="15" t="s">
        <v>1519</v>
      </c>
      <c r="L3995" s="17">
        <v>10</v>
      </c>
      <c r="M3995" s="17">
        <v>200</v>
      </c>
      <c r="N3995" s="17">
        <v>10</v>
      </c>
      <c r="O3995" s="18">
        <v>301.85000000000002</v>
      </c>
      <c r="P3995" s="18">
        <v>247.42</v>
      </c>
      <c r="Q3995" s="18">
        <v>256.57</v>
      </c>
      <c r="R3995" s="18">
        <v>210.3</v>
      </c>
      <c r="S3995" s="18">
        <v>205.26</v>
      </c>
      <c r="T3995" s="18">
        <v>168.25</v>
      </c>
      <c r="U3995" s="16"/>
      <c r="V3995" s="16"/>
      <c r="W3995" s="16" t="s">
        <v>40</v>
      </c>
      <c r="X3995" s="19">
        <v>8.3000000000000004E-2</v>
      </c>
      <c r="Y3995" s="20">
        <v>2.8800000000000001E-4</v>
      </c>
      <c r="Z3995" s="21">
        <v>4601004035317</v>
      </c>
    </row>
    <row r="3996" spans="1:26" ht="12" customHeight="1" outlineLevel="3" x14ac:dyDescent="0.2">
      <c r="A3996" s="14" t="s">
        <v>7775</v>
      </c>
      <c r="B3996" s="26" t="s">
        <v>7776</v>
      </c>
      <c r="C3996" s="52"/>
      <c r="D3996" s="55">
        <f t="shared" si="62"/>
        <v>0</v>
      </c>
      <c r="E3996" s="63" t="str">
        <f>HYPERLINK("https://www.sds-group.ru/product/schupy-testera-rex07-rexant-13-3032/", "Инфо")</f>
        <v>Инфо</v>
      </c>
      <c r="F3996" s="16" t="s">
        <v>39</v>
      </c>
      <c r="G3996" s="15"/>
      <c r="H3996" s="15"/>
      <c r="I3996" s="15"/>
      <c r="J3996" s="22">
        <v>10184</v>
      </c>
      <c r="K3996" s="15" t="s">
        <v>6939</v>
      </c>
      <c r="L3996" s="17">
        <v>10</v>
      </c>
      <c r="M3996" s="17">
        <v>300</v>
      </c>
      <c r="N3996" s="17">
        <v>10</v>
      </c>
      <c r="O3996" s="18">
        <v>159</v>
      </c>
      <c r="P3996" s="18">
        <v>130.33000000000001</v>
      </c>
      <c r="Q3996" s="18">
        <v>135.15</v>
      </c>
      <c r="R3996" s="18">
        <v>110.78</v>
      </c>
      <c r="S3996" s="18">
        <v>108.12</v>
      </c>
      <c r="T3996" s="18">
        <v>88.62</v>
      </c>
      <c r="U3996" s="16"/>
      <c r="V3996" s="16"/>
      <c r="W3996" s="16" t="s">
        <v>40</v>
      </c>
      <c r="X3996" s="19">
        <v>4.2999999999999997E-2</v>
      </c>
      <c r="Y3996" s="20">
        <v>1.8699999999999999E-4</v>
      </c>
      <c r="Z3996" s="21">
        <v>4601004035331</v>
      </c>
    </row>
    <row r="3997" spans="1:26" ht="12" customHeight="1" outlineLevel="3" x14ac:dyDescent="0.2">
      <c r="A3997" s="14" t="s">
        <v>7777</v>
      </c>
      <c r="B3997" s="26" t="s">
        <v>7778</v>
      </c>
      <c r="C3997" s="52"/>
      <c r="D3997" s="55">
        <f t="shared" si="62"/>
        <v>0</v>
      </c>
      <c r="E3997" s="63" t="str">
        <f>HYPERLINK("https://www.sds-group.ru/product/schupy-testera-rex08-rexant-13-3033/", "Инфо")</f>
        <v>Инфо</v>
      </c>
      <c r="F3997" s="16" t="s">
        <v>39</v>
      </c>
      <c r="G3997" s="15"/>
      <c r="H3997" s="15"/>
      <c r="I3997" s="15"/>
      <c r="J3997" s="22">
        <v>4055</v>
      </c>
      <c r="K3997" s="15"/>
      <c r="L3997" s="17">
        <v>5</v>
      </c>
      <c r="M3997" s="17">
        <v>300</v>
      </c>
      <c r="N3997" s="17">
        <v>5</v>
      </c>
      <c r="O3997" s="18">
        <v>280.29000000000002</v>
      </c>
      <c r="P3997" s="18">
        <v>229.75</v>
      </c>
      <c r="Q3997" s="18">
        <v>238.25</v>
      </c>
      <c r="R3997" s="18">
        <v>195.29</v>
      </c>
      <c r="S3997" s="18">
        <v>190.6</v>
      </c>
      <c r="T3997" s="18">
        <v>156.22999999999999</v>
      </c>
      <c r="U3997" s="16"/>
      <c r="V3997" s="16"/>
      <c r="W3997" s="16" t="s">
        <v>40</v>
      </c>
      <c r="X3997" s="19">
        <v>6.0999999999999999E-2</v>
      </c>
      <c r="Y3997" s="20">
        <v>2.1699999999999999E-4</v>
      </c>
      <c r="Z3997" s="21">
        <v>4601004138490</v>
      </c>
    </row>
    <row r="3998" spans="1:26" ht="12" customHeight="1" outlineLevel="3" x14ac:dyDescent="0.2">
      <c r="A3998" s="32" t="s">
        <v>7779</v>
      </c>
      <c r="B3998" s="74" t="s">
        <v>7780</v>
      </c>
      <c r="C3998" s="50"/>
      <c r="D3998" s="53">
        <f t="shared" si="62"/>
        <v>0</v>
      </c>
      <c r="E3998" s="60" t="str">
        <f>HYPERLINK("https://www.sds-group.ru/product/schupy-testera-uni-t-ut-l13-13-0031/", "Инфо")</f>
        <v>Инфо</v>
      </c>
      <c r="F3998" s="34" t="s">
        <v>39</v>
      </c>
      <c r="G3998" s="33"/>
      <c r="H3998" s="33" t="s">
        <v>40</v>
      </c>
      <c r="I3998" s="33"/>
      <c r="J3998" s="35">
        <v>732</v>
      </c>
      <c r="K3998" s="33"/>
      <c r="L3998" s="35">
        <v>1</v>
      </c>
      <c r="M3998" s="35">
        <v>250</v>
      </c>
      <c r="N3998" s="35">
        <v>1</v>
      </c>
      <c r="O3998" s="36">
        <v>1498.45</v>
      </c>
      <c r="P3998" s="36">
        <v>1228.24</v>
      </c>
      <c r="Q3998" s="36">
        <v>1048.92</v>
      </c>
      <c r="R3998" s="36">
        <v>859.77</v>
      </c>
      <c r="S3998" s="36">
        <v>1018.95</v>
      </c>
      <c r="T3998" s="36">
        <v>835.2</v>
      </c>
      <c r="U3998" s="34"/>
      <c r="V3998" s="34"/>
      <c r="W3998" s="34"/>
      <c r="X3998" s="37">
        <v>0.12</v>
      </c>
      <c r="Y3998" s="38">
        <v>3.4099999999999999E-4</v>
      </c>
      <c r="Z3998" s="21">
        <v>4601004005815</v>
      </c>
    </row>
    <row r="3999" spans="1:26" ht="12" customHeight="1" outlineLevel="3" x14ac:dyDescent="0.2">
      <c r="A3999" s="32" t="s">
        <v>7781</v>
      </c>
      <c r="B3999" s="74" t="s">
        <v>7782</v>
      </c>
      <c r="C3999" s="50"/>
      <c r="D3999" s="53">
        <f t="shared" si="62"/>
        <v>0</v>
      </c>
      <c r="E3999" s="60" t="str">
        <f>HYPERLINK("https://www.sds-group.ru/product/schupy-testera-uni-t-ut-l27-13-0034/", "Инфо")</f>
        <v>Инфо</v>
      </c>
      <c r="F3999" s="34" t="s">
        <v>39</v>
      </c>
      <c r="G3999" s="33"/>
      <c r="H3999" s="33" t="s">
        <v>40</v>
      </c>
      <c r="I3999" s="33"/>
      <c r="J3999" s="35">
        <v>243</v>
      </c>
      <c r="K3999" s="33" t="s">
        <v>1587</v>
      </c>
      <c r="L3999" s="35">
        <v>1</v>
      </c>
      <c r="M3999" s="35">
        <v>100</v>
      </c>
      <c r="N3999" s="35">
        <v>1</v>
      </c>
      <c r="O3999" s="36">
        <v>970.22</v>
      </c>
      <c r="P3999" s="36">
        <v>795.26</v>
      </c>
      <c r="Q3999" s="36">
        <v>679.15</v>
      </c>
      <c r="R3999" s="36">
        <v>556.67999999999995</v>
      </c>
      <c r="S3999" s="36">
        <v>659.75</v>
      </c>
      <c r="T3999" s="36">
        <v>540.78</v>
      </c>
      <c r="U3999" s="34"/>
      <c r="V3999" s="34"/>
      <c r="W3999" s="34"/>
      <c r="X3999" s="37">
        <v>0.123</v>
      </c>
      <c r="Y3999" s="38">
        <v>4.5100000000000001E-4</v>
      </c>
      <c r="Z3999" s="21">
        <v>4601004068155</v>
      </c>
    </row>
    <row r="4000" spans="1:26" ht="12" customHeight="1" outlineLevel="3" x14ac:dyDescent="0.2">
      <c r="A4000" s="14" t="s">
        <v>7783</v>
      </c>
      <c r="B4000" s="26" t="s">
        <v>7784</v>
      </c>
      <c r="C4000" s="52"/>
      <c r="D4000" s="55">
        <f t="shared" si="62"/>
        <v>0</v>
      </c>
      <c r="E4000" s="63" t="str">
        <f>HYPERLINK("https://www.sds-group.ru/product/schupy-testera-s-zazhimom-tipa-krokodil-rex10-rexant-13-3040/", "Инфо")</f>
        <v>Инфо</v>
      </c>
      <c r="F4000" s="16" t="s">
        <v>39</v>
      </c>
      <c r="G4000" s="15"/>
      <c r="H4000" s="15"/>
      <c r="I4000" s="15"/>
      <c r="J4000" s="22">
        <v>1488</v>
      </c>
      <c r="K4000" s="15"/>
      <c r="L4000" s="17">
        <v>10</v>
      </c>
      <c r="M4000" s="17">
        <v>900</v>
      </c>
      <c r="N4000" s="17">
        <v>10</v>
      </c>
      <c r="O4000" s="18">
        <v>172.77</v>
      </c>
      <c r="P4000" s="18">
        <v>141.61000000000001</v>
      </c>
      <c r="Q4000" s="18">
        <v>146.85</v>
      </c>
      <c r="R4000" s="18">
        <v>120.37</v>
      </c>
      <c r="S4000" s="18">
        <v>117.48</v>
      </c>
      <c r="T4000" s="18">
        <v>96.3</v>
      </c>
      <c r="U4000" s="16"/>
      <c r="V4000" s="16"/>
      <c r="W4000" s="16" t="s">
        <v>40</v>
      </c>
      <c r="X4000" s="19">
        <v>1.9E-2</v>
      </c>
      <c r="Y4000" s="20">
        <v>7.7999999999999999E-5</v>
      </c>
      <c r="Z4000" s="21">
        <v>4601004088399</v>
      </c>
    </row>
    <row r="4001" spans="1:26" ht="12" customHeight="1" outlineLevel="3" x14ac:dyDescent="0.2">
      <c r="A4001" s="14" t="s">
        <v>7785</v>
      </c>
      <c r="B4001" s="26" t="s">
        <v>7786</v>
      </c>
      <c r="C4001" s="52"/>
      <c r="D4001" s="55">
        <f t="shared" si="62"/>
        <v>0</v>
      </c>
      <c r="E4001" s="63" t="str">
        <f>HYPERLINK("https://www.sds-group.ru/product/schupy-testera-s-zazhimom-tipa-krokodil-rex11-rexant-13-3042/", "Инфо")</f>
        <v>Инфо</v>
      </c>
      <c r="F4001" s="16" t="s">
        <v>39</v>
      </c>
      <c r="G4001" s="15"/>
      <c r="H4001" s="15"/>
      <c r="I4001" s="15"/>
      <c r="J4001" s="22">
        <v>2844</v>
      </c>
      <c r="K4001" s="15" t="s">
        <v>1519</v>
      </c>
      <c r="L4001" s="17">
        <v>10</v>
      </c>
      <c r="M4001" s="17">
        <v>300</v>
      </c>
      <c r="N4001" s="17">
        <v>10</v>
      </c>
      <c r="O4001" s="18">
        <v>194.04</v>
      </c>
      <c r="P4001" s="18">
        <v>159.05000000000001</v>
      </c>
      <c r="Q4001" s="18">
        <v>164.93</v>
      </c>
      <c r="R4001" s="18">
        <v>135.19</v>
      </c>
      <c r="S4001" s="18">
        <v>131.94999999999999</v>
      </c>
      <c r="T4001" s="18">
        <v>108.16</v>
      </c>
      <c r="U4001" s="16"/>
      <c r="V4001" s="16"/>
      <c r="W4001" s="16" t="s">
        <v>40</v>
      </c>
      <c r="X4001" s="19">
        <v>4.1000000000000002E-2</v>
      </c>
      <c r="Y4001" s="20">
        <v>1.8699999999999999E-4</v>
      </c>
      <c r="Z4001" s="21">
        <v>4601004138216</v>
      </c>
    </row>
    <row r="4002" spans="1:26" ht="12.95" customHeight="1" outlineLevel="2" x14ac:dyDescent="0.2">
      <c r="A4002" s="76" t="s">
        <v>7787</v>
      </c>
      <c r="B4002" s="76"/>
      <c r="C4002" s="77"/>
      <c r="D4002" s="58"/>
      <c r="E4002" s="68"/>
      <c r="F4002" s="13"/>
      <c r="G4002" s="13"/>
      <c r="H4002" s="13"/>
      <c r="I4002" s="13"/>
      <c r="J4002" s="13"/>
      <c r="K4002" s="13"/>
      <c r="L4002" s="13"/>
      <c r="M4002" s="13"/>
      <c r="N4002" s="13"/>
      <c r="O4002" s="13"/>
      <c r="P4002" s="13"/>
      <c r="Q4002" s="13"/>
      <c r="R4002" s="13"/>
      <c r="S4002" s="13"/>
      <c r="T4002" s="13"/>
      <c r="U4002" s="13"/>
      <c r="V4002" s="13"/>
      <c r="W4002" s="13"/>
      <c r="X4002" s="13"/>
      <c r="Y4002" s="13"/>
      <c r="Z4002" s="13"/>
    </row>
    <row r="4003" spans="1:26" ht="12" customHeight="1" outlineLevel="3" x14ac:dyDescent="0.2">
      <c r="A4003" s="32" t="s">
        <v>7788</v>
      </c>
      <c r="B4003" s="74" t="s">
        <v>7789</v>
      </c>
      <c r="C4003" s="50"/>
      <c r="D4003" s="53">
        <f t="shared" si="62"/>
        <v>0</v>
      </c>
      <c r="E4003" s="60" t="str">
        <f>HYPERLINK("https://www.sds-group.ru/product/izmeritel-emkosti-i-induktivnosti-lc-metr-my6243-mastech-13-2078/", "Инфо")</f>
        <v>Инфо</v>
      </c>
      <c r="F4003" s="34" t="s">
        <v>39</v>
      </c>
      <c r="G4003" s="33"/>
      <c r="H4003" s="33" t="s">
        <v>40</v>
      </c>
      <c r="I4003" s="33"/>
      <c r="J4003" s="35">
        <v>39</v>
      </c>
      <c r="K4003" s="33"/>
      <c r="L4003" s="35">
        <v>1</v>
      </c>
      <c r="M4003" s="35">
        <v>20</v>
      </c>
      <c r="N4003" s="35">
        <v>1</v>
      </c>
      <c r="O4003" s="36">
        <v>7977.35</v>
      </c>
      <c r="P4003" s="36">
        <v>6538.81</v>
      </c>
      <c r="Q4003" s="36">
        <v>5584.15</v>
      </c>
      <c r="R4003" s="36">
        <v>4577.17</v>
      </c>
      <c r="S4003" s="36">
        <v>5424.6</v>
      </c>
      <c r="T4003" s="36">
        <v>4446.3900000000003</v>
      </c>
      <c r="U4003" s="34"/>
      <c r="V4003" s="34"/>
      <c r="W4003" s="34"/>
      <c r="X4003" s="37">
        <v>0.64400000000000002</v>
      </c>
      <c r="Y4003" s="38">
        <v>3.2460000000000002E-3</v>
      </c>
      <c r="Z4003" s="21">
        <v>4601004196032</v>
      </c>
    </row>
    <row r="4004" spans="1:26" ht="24" customHeight="1" outlineLevel="3" x14ac:dyDescent="0.2">
      <c r="A4004" s="32" t="s">
        <v>7790</v>
      </c>
      <c r="B4004" s="74" t="s">
        <v>7791</v>
      </c>
      <c r="C4004" s="50"/>
      <c r="D4004" s="53">
        <f t="shared" si="62"/>
        <v>0</v>
      </c>
      <c r="E4004" s="60" t="str">
        <f>HYPERLINK("https://www.sds-group.ru/product/izmeritel-emkosti-i-induktivnosti-rlc-metr-ms8360e-mastech-13-2028/", "Инфо")</f>
        <v>Инфо</v>
      </c>
      <c r="F4004" s="34" t="s">
        <v>39</v>
      </c>
      <c r="G4004" s="33"/>
      <c r="H4004" s="33" t="s">
        <v>40</v>
      </c>
      <c r="I4004" s="33"/>
      <c r="J4004" s="35">
        <v>238</v>
      </c>
      <c r="K4004" s="33"/>
      <c r="L4004" s="35">
        <v>1</v>
      </c>
      <c r="M4004" s="35">
        <v>20</v>
      </c>
      <c r="N4004" s="35">
        <v>1</v>
      </c>
      <c r="O4004" s="36">
        <v>6040.98</v>
      </c>
      <c r="P4004" s="36">
        <v>4951.62</v>
      </c>
      <c r="Q4004" s="36">
        <v>4228.6899999999996</v>
      </c>
      <c r="R4004" s="36">
        <v>3466.14</v>
      </c>
      <c r="S4004" s="36">
        <v>4107.87</v>
      </c>
      <c r="T4004" s="36">
        <v>3367.11</v>
      </c>
      <c r="U4004" s="34" t="s">
        <v>7341</v>
      </c>
      <c r="V4004" s="34" t="s">
        <v>7342</v>
      </c>
      <c r="W4004" s="34"/>
      <c r="X4004" s="37">
        <v>0.68</v>
      </c>
      <c r="Y4004" s="38">
        <v>3.3279999999999998E-3</v>
      </c>
      <c r="Z4004" s="21">
        <v>4601004018174</v>
      </c>
    </row>
    <row r="4005" spans="1:26" ht="24" customHeight="1" outlineLevel="3" x14ac:dyDescent="0.2">
      <c r="A4005" s="32" t="s">
        <v>7792</v>
      </c>
      <c r="B4005" s="74" t="s">
        <v>7793</v>
      </c>
      <c r="C4005" s="50"/>
      <c r="D4005" s="53">
        <f t="shared" si="62"/>
        <v>0</v>
      </c>
      <c r="E4005" s="60" t="str">
        <f>HYPERLINK("https://www.sds-group.ru/product/izmeritel-emkosti-kondensatorov-c-metr-ms6013-mastech-13-2079/", "Инфо")</f>
        <v>Инфо</v>
      </c>
      <c r="F4005" s="34" t="s">
        <v>39</v>
      </c>
      <c r="G4005" s="33"/>
      <c r="H4005" s="33" t="s">
        <v>40</v>
      </c>
      <c r="I4005" s="33"/>
      <c r="J4005" s="35">
        <v>99</v>
      </c>
      <c r="K4005" s="33"/>
      <c r="L4005" s="35">
        <v>1</v>
      </c>
      <c r="M4005" s="35">
        <v>20</v>
      </c>
      <c r="N4005" s="35">
        <v>1</v>
      </c>
      <c r="O4005" s="36">
        <v>6306.42</v>
      </c>
      <c r="P4005" s="36">
        <v>5169.2</v>
      </c>
      <c r="Q4005" s="36">
        <v>4414.49</v>
      </c>
      <c r="R4005" s="36">
        <v>3618.43</v>
      </c>
      <c r="S4005" s="36">
        <v>4288.37</v>
      </c>
      <c r="T4005" s="36">
        <v>3515.06</v>
      </c>
      <c r="U4005" s="34" t="s">
        <v>7341</v>
      </c>
      <c r="V4005" s="34" t="s">
        <v>7342</v>
      </c>
      <c r="W4005" s="34"/>
      <c r="X4005" s="37">
        <v>0.59299999999999997</v>
      </c>
      <c r="Y4005" s="38">
        <v>2.5769999999999999E-3</v>
      </c>
      <c r="Z4005" s="21">
        <v>4601004196025</v>
      </c>
    </row>
    <row r="4006" spans="1:26" ht="12" customHeight="1" outlineLevel="3" x14ac:dyDescent="0.2">
      <c r="A4006" s="32" t="s">
        <v>7794</v>
      </c>
      <c r="B4006" s="74" t="s">
        <v>7795</v>
      </c>
      <c r="C4006" s="50"/>
      <c r="D4006" s="53">
        <f t="shared" si="62"/>
        <v>0</v>
      </c>
      <c r="E4006" s="60" t="str">
        <f>HYPERLINK("https://www.sds-group.ru/product/mostovoy-vysokotochnyy-izmeritel-ms5308-rlc-metr-mastech-13-2039/", "Инфо")</f>
        <v>Инфо</v>
      </c>
      <c r="F4006" s="34" t="s">
        <v>39</v>
      </c>
      <c r="G4006" s="33"/>
      <c r="H4006" s="33" t="s">
        <v>40</v>
      </c>
      <c r="I4006" s="33"/>
      <c r="J4006" s="35">
        <v>62</v>
      </c>
      <c r="K4006" s="33"/>
      <c r="L4006" s="35">
        <v>1</v>
      </c>
      <c r="M4006" s="35">
        <v>4</v>
      </c>
      <c r="N4006" s="35">
        <v>1</v>
      </c>
      <c r="O4006" s="36">
        <v>26543.7</v>
      </c>
      <c r="P4006" s="36">
        <v>21757.13</v>
      </c>
      <c r="Q4006" s="36">
        <v>18580.59</v>
      </c>
      <c r="R4006" s="36">
        <v>15229.99</v>
      </c>
      <c r="S4006" s="36">
        <v>18049.72</v>
      </c>
      <c r="T4006" s="36">
        <v>14794.85</v>
      </c>
      <c r="U4006" s="34"/>
      <c r="V4006" s="34"/>
      <c r="W4006" s="34"/>
      <c r="X4006" s="37">
        <v>2.4580000000000002</v>
      </c>
      <c r="Y4006" s="38">
        <v>1.3132E-2</v>
      </c>
      <c r="Z4006" s="21">
        <v>4601004070103</v>
      </c>
    </row>
    <row r="4007" spans="1:26" ht="12" customHeight="1" outlineLevel="3" x14ac:dyDescent="0.2">
      <c r="A4007" s="32" t="s">
        <v>7796</v>
      </c>
      <c r="B4007" s="74" t="s">
        <v>7797</v>
      </c>
      <c r="C4007" s="50"/>
      <c r="D4007" s="53">
        <f t="shared" si="62"/>
        <v>0</v>
      </c>
      <c r="E4007" s="60" t="str">
        <f>HYPERLINK("https://www.sds-group.ru/product/multimetr-dlya-chip-komponentov-smd-tester-ms8910-mastech-13-2048/", "Инфо")</f>
        <v>Инфо</v>
      </c>
      <c r="F4007" s="34" t="s">
        <v>39</v>
      </c>
      <c r="G4007" s="33"/>
      <c r="H4007" s="33" t="s">
        <v>40</v>
      </c>
      <c r="I4007" s="33"/>
      <c r="J4007" s="35">
        <v>21</v>
      </c>
      <c r="K4007" s="33" t="s">
        <v>1126</v>
      </c>
      <c r="L4007" s="35">
        <v>1</v>
      </c>
      <c r="M4007" s="35">
        <v>40</v>
      </c>
      <c r="N4007" s="35">
        <v>1</v>
      </c>
      <c r="O4007" s="36">
        <v>4312.08</v>
      </c>
      <c r="P4007" s="36">
        <v>3534.49</v>
      </c>
      <c r="Q4007" s="36">
        <v>3018.46</v>
      </c>
      <c r="R4007" s="36">
        <v>2474.15</v>
      </c>
      <c r="S4007" s="36">
        <v>2932.21</v>
      </c>
      <c r="T4007" s="36">
        <v>2403.4499999999998</v>
      </c>
      <c r="U4007" s="34"/>
      <c r="V4007" s="34"/>
      <c r="W4007" s="34"/>
      <c r="X4007" s="37">
        <v>0.14399999999999999</v>
      </c>
      <c r="Y4007" s="38">
        <v>3.1799999999999998E-4</v>
      </c>
      <c r="Z4007" s="21">
        <v>4601004052079</v>
      </c>
    </row>
    <row r="4008" spans="1:26" ht="12" customHeight="1" outlineLevel="3" x14ac:dyDescent="0.2">
      <c r="A4008" s="32" t="s">
        <v>7798</v>
      </c>
      <c r="B4008" s="74" t="s">
        <v>7799</v>
      </c>
      <c r="C4008" s="50"/>
      <c r="D4008" s="53">
        <f t="shared" si="62"/>
        <v>0</v>
      </c>
      <c r="E4008" s="60" t="str">
        <f>HYPERLINK("https://www.sds-group.ru/product/multimetr-smd-tester-ms8911-mastech-13-2049/", "Инфо")</f>
        <v>Инфо</v>
      </c>
      <c r="F4008" s="34" t="s">
        <v>39</v>
      </c>
      <c r="G4008" s="33"/>
      <c r="H4008" s="33" t="s">
        <v>40</v>
      </c>
      <c r="I4008" s="33"/>
      <c r="J4008" s="34" t="s">
        <v>100</v>
      </c>
      <c r="K4008" s="33" t="s">
        <v>1004</v>
      </c>
      <c r="L4008" s="35">
        <v>1</v>
      </c>
      <c r="M4008" s="35">
        <v>100</v>
      </c>
      <c r="N4008" s="35">
        <v>1</v>
      </c>
      <c r="O4008" s="36">
        <v>8839.76</v>
      </c>
      <c r="P4008" s="36">
        <v>7245.7</v>
      </c>
      <c r="Q4008" s="36">
        <v>6187.83</v>
      </c>
      <c r="R4008" s="36">
        <v>5071.99</v>
      </c>
      <c r="S4008" s="36">
        <v>6011.04</v>
      </c>
      <c r="T4008" s="36">
        <v>4927.08</v>
      </c>
      <c r="U4008" s="34"/>
      <c r="V4008" s="34"/>
      <c r="W4008" s="34"/>
      <c r="X4008" s="37">
        <v>0.129</v>
      </c>
      <c r="Y4008" s="38">
        <v>2.9100000000000003E-4</v>
      </c>
      <c r="Z4008" s="21">
        <v>4601004196018</v>
      </c>
    </row>
    <row r="4009" spans="1:26" ht="12" customHeight="1" outlineLevel="3" x14ac:dyDescent="0.2">
      <c r="A4009" s="32" t="s">
        <v>7800</v>
      </c>
      <c r="B4009" s="74" t="s">
        <v>7801</v>
      </c>
      <c r="C4009" s="50"/>
      <c r="D4009" s="53">
        <f t="shared" si="62"/>
        <v>0</v>
      </c>
      <c r="E4009" s="60" t="str">
        <f>HYPERLINK("https://www.sds-group.ru/product/multimetr-dlya-chip-komponentov-smd-tester-uni-t-ut116c-13-0085/", "Инфо")</f>
        <v>Инфо</v>
      </c>
      <c r="F4009" s="34" t="s">
        <v>39</v>
      </c>
      <c r="G4009" s="33"/>
      <c r="H4009" s="33" t="s">
        <v>40</v>
      </c>
      <c r="I4009" s="33"/>
      <c r="J4009" s="34" t="s">
        <v>100</v>
      </c>
      <c r="K4009" s="33" t="s">
        <v>1587</v>
      </c>
      <c r="L4009" s="35">
        <v>1</v>
      </c>
      <c r="M4009" s="35">
        <v>60</v>
      </c>
      <c r="N4009" s="35">
        <v>1</v>
      </c>
      <c r="O4009" s="36">
        <v>3665.27</v>
      </c>
      <c r="P4009" s="36">
        <v>3004.32</v>
      </c>
      <c r="Q4009" s="36">
        <v>2565.69</v>
      </c>
      <c r="R4009" s="36">
        <v>2103.02</v>
      </c>
      <c r="S4009" s="36">
        <v>2492.38</v>
      </c>
      <c r="T4009" s="36">
        <v>2042.93</v>
      </c>
      <c r="U4009" s="34"/>
      <c r="V4009" s="34"/>
      <c r="W4009" s="34"/>
      <c r="X4009" s="37">
        <v>0.19500000000000001</v>
      </c>
      <c r="Y4009" s="38">
        <v>8.1300000000000003E-4</v>
      </c>
      <c r="Z4009" s="21">
        <v>4601004289901</v>
      </c>
    </row>
    <row r="4010" spans="1:26" ht="12.95" customHeight="1" outlineLevel="2" x14ac:dyDescent="0.2">
      <c r="A4010" s="76" t="s">
        <v>7802</v>
      </c>
      <c r="B4010" s="76"/>
      <c r="C4010" s="77"/>
      <c r="D4010" s="58"/>
      <c r="E4010" s="68"/>
      <c r="F4010" s="13"/>
      <c r="G4010" s="13"/>
      <c r="H4010" s="13"/>
      <c r="I4010" s="13"/>
      <c r="J4010" s="13"/>
      <c r="K4010" s="13"/>
      <c r="L4010" s="13"/>
      <c r="M4010" s="13"/>
      <c r="N4010" s="13"/>
      <c r="O4010" s="13"/>
      <c r="P4010" s="13"/>
      <c r="Q4010" s="13"/>
      <c r="R4010" s="13"/>
      <c r="S4010" s="13"/>
      <c r="T4010" s="13"/>
      <c r="U4010" s="13"/>
      <c r="V4010" s="13"/>
      <c r="W4010" s="13"/>
      <c r="X4010" s="13"/>
      <c r="Y4010" s="13"/>
      <c r="Z4010" s="13"/>
    </row>
    <row r="4011" spans="1:26" ht="12" customHeight="1" outlineLevel="3" x14ac:dyDescent="0.2">
      <c r="A4011" s="32" t="s">
        <v>7803</v>
      </c>
      <c r="B4011" s="74" t="s">
        <v>7804</v>
      </c>
      <c r="C4011" s="50"/>
      <c r="D4011" s="53">
        <f t="shared" si="62"/>
        <v>0</v>
      </c>
      <c r="E4011" s="60" t="str">
        <f>HYPERLINK("https://www.sds-group.ru/product/teplovizor-uni-t-uti120b-13-1182/", "Инфо")</f>
        <v>Инфо</v>
      </c>
      <c r="F4011" s="34" t="s">
        <v>39</v>
      </c>
      <c r="G4011" s="33"/>
      <c r="H4011" s="33" t="s">
        <v>40</v>
      </c>
      <c r="I4011" s="33"/>
      <c r="J4011" s="35">
        <v>15</v>
      </c>
      <c r="K4011" s="33" t="s">
        <v>7336</v>
      </c>
      <c r="L4011" s="35">
        <v>1</v>
      </c>
      <c r="M4011" s="35">
        <v>10</v>
      </c>
      <c r="N4011" s="35">
        <v>1</v>
      </c>
      <c r="O4011" s="36">
        <v>73305.36</v>
      </c>
      <c r="P4011" s="36">
        <v>60086.36</v>
      </c>
      <c r="Q4011" s="36">
        <v>51313.75</v>
      </c>
      <c r="R4011" s="36">
        <v>42060.45</v>
      </c>
      <c r="S4011" s="36">
        <v>49847.64</v>
      </c>
      <c r="T4011" s="36">
        <v>40858.720000000001</v>
      </c>
      <c r="U4011" s="34"/>
      <c r="V4011" s="34"/>
      <c r="W4011" s="34"/>
      <c r="X4011" s="37">
        <v>0.96699999999999997</v>
      </c>
      <c r="Y4011" s="38">
        <v>4.895E-3</v>
      </c>
      <c r="Z4011" s="21">
        <v>4601004290259</v>
      </c>
    </row>
    <row r="4012" spans="1:26" ht="12" customHeight="1" outlineLevel="3" x14ac:dyDescent="0.2">
      <c r="A4012" s="32" t="s">
        <v>7805</v>
      </c>
      <c r="B4012" s="74" t="s">
        <v>7806</v>
      </c>
      <c r="C4012" s="50"/>
      <c r="D4012" s="53">
        <f t="shared" si="62"/>
        <v>0</v>
      </c>
      <c r="E4012" s="60" t="str">
        <f>HYPERLINK("https://www.sds-group.ru/product/teplovizor-kompaktnyy-uni-t-uti120p-13-1172/", "Инфо")</f>
        <v>Инфо</v>
      </c>
      <c r="F4012" s="34" t="s">
        <v>39</v>
      </c>
      <c r="G4012" s="33"/>
      <c r="H4012" s="33" t="s">
        <v>40</v>
      </c>
      <c r="I4012" s="33"/>
      <c r="J4012" s="35">
        <v>8</v>
      </c>
      <c r="K4012" s="33"/>
      <c r="L4012" s="35">
        <v>1</v>
      </c>
      <c r="M4012" s="35">
        <v>5</v>
      </c>
      <c r="N4012" s="35">
        <v>1</v>
      </c>
      <c r="O4012" s="36">
        <v>51744.959999999999</v>
      </c>
      <c r="P4012" s="36">
        <v>42413.9</v>
      </c>
      <c r="Q4012" s="36">
        <v>36221.47</v>
      </c>
      <c r="R4012" s="36">
        <v>29689.73</v>
      </c>
      <c r="S4012" s="36">
        <v>35186.57</v>
      </c>
      <c r="T4012" s="36">
        <v>28841.45</v>
      </c>
      <c r="U4012" s="34"/>
      <c r="V4012" s="34"/>
      <c r="W4012" s="34"/>
      <c r="X4012" s="37">
        <v>0.47699999999999998</v>
      </c>
      <c r="Y4012" s="38">
        <v>2.1810000000000002E-3</v>
      </c>
      <c r="Z4012" s="21">
        <v>4601004290303</v>
      </c>
    </row>
    <row r="4013" spans="1:26" ht="12.95" customHeight="1" outlineLevel="1" x14ac:dyDescent="0.2">
      <c r="A4013" s="78" t="s">
        <v>7807</v>
      </c>
      <c r="B4013" s="78"/>
      <c r="C4013" s="79"/>
      <c r="D4013" s="57"/>
      <c r="E4013" s="67"/>
      <c r="F4013" s="12"/>
      <c r="G4013" s="12"/>
      <c r="H4013" s="12"/>
      <c r="I4013" s="12"/>
      <c r="J4013" s="12"/>
      <c r="K4013" s="12"/>
      <c r="L4013" s="12"/>
      <c r="M4013" s="12"/>
      <c r="N4013" s="12"/>
      <c r="O4013" s="12"/>
      <c r="P4013" s="12"/>
      <c r="Q4013" s="12"/>
      <c r="R4013" s="12"/>
      <c r="S4013" s="12"/>
      <c r="T4013" s="12"/>
      <c r="U4013" s="12"/>
      <c r="V4013" s="12"/>
      <c r="W4013" s="12"/>
      <c r="X4013" s="12"/>
      <c r="Y4013" s="12"/>
      <c r="Z4013" s="12"/>
    </row>
    <row r="4014" spans="1:26" ht="12.95" customHeight="1" outlineLevel="2" x14ac:dyDescent="0.2">
      <c r="A4014" s="76" t="s">
        <v>7808</v>
      </c>
      <c r="B4014" s="76"/>
      <c r="C4014" s="77"/>
      <c r="D4014" s="58"/>
      <c r="E4014" s="68"/>
      <c r="F4014" s="13"/>
      <c r="G4014" s="13"/>
      <c r="H4014" s="13"/>
      <c r="I4014" s="13"/>
      <c r="J4014" s="13"/>
      <c r="K4014" s="13"/>
      <c r="L4014" s="13"/>
      <c r="M4014" s="13"/>
      <c r="N4014" s="13"/>
      <c r="O4014" s="13"/>
      <c r="P4014" s="13"/>
      <c r="Q4014" s="13"/>
      <c r="R4014" s="13"/>
      <c r="S4014" s="13"/>
      <c r="T4014" s="13"/>
      <c r="U4014" s="13"/>
      <c r="V4014" s="13"/>
      <c r="W4014" s="13"/>
      <c r="X4014" s="13"/>
      <c r="Y4014" s="13"/>
      <c r="Z4014" s="13"/>
    </row>
    <row r="4015" spans="1:26" ht="12" customHeight="1" outlineLevel="3" x14ac:dyDescent="0.2">
      <c r="A4015" s="14" t="s">
        <v>7809</v>
      </c>
      <c r="B4015" s="26" t="s">
        <v>7810</v>
      </c>
      <c r="C4015" s="52"/>
      <c r="D4015" s="55">
        <f t="shared" si="62"/>
        <v>0</v>
      </c>
      <c r="E4015" s="63" t="str">
        <f>HYPERLINK("https://www.sds-group.ru/product/nabor-pk01-dlya-tvorchestva-pistolet-15vt-sterzhni-7mm-12-1701/", "Инфо")</f>
        <v>Инфо</v>
      </c>
      <c r="F4015" s="16" t="s">
        <v>4698</v>
      </c>
      <c r="G4015" s="15"/>
      <c r="H4015" s="15"/>
      <c r="I4015" s="15"/>
      <c r="J4015" s="17">
        <v>307</v>
      </c>
      <c r="K4015" s="15"/>
      <c r="L4015" s="17">
        <v>1</v>
      </c>
      <c r="M4015" s="17">
        <v>20</v>
      </c>
      <c r="N4015" s="17">
        <v>1</v>
      </c>
      <c r="O4015" s="18">
        <v>678.68</v>
      </c>
      <c r="P4015" s="18">
        <v>556.29999999999995</v>
      </c>
      <c r="Q4015" s="18">
        <v>475.08</v>
      </c>
      <c r="R4015" s="18">
        <v>389.41</v>
      </c>
      <c r="S4015" s="18">
        <v>461.5</v>
      </c>
      <c r="T4015" s="18">
        <v>378.28</v>
      </c>
      <c r="U4015" s="16"/>
      <c r="V4015" s="16"/>
      <c r="W4015" s="16"/>
      <c r="X4015" s="19">
        <v>0.22800000000000001</v>
      </c>
      <c r="Y4015" s="20">
        <v>1.652E-3</v>
      </c>
      <c r="Z4015" s="21">
        <v>4601004240896</v>
      </c>
    </row>
    <row r="4016" spans="1:26" ht="12" customHeight="1" outlineLevel="3" x14ac:dyDescent="0.2">
      <c r="A4016" s="14" t="s">
        <v>7811</v>
      </c>
      <c r="B4016" s="26" t="s">
        <v>7812</v>
      </c>
      <c r="C4016" s="52"/>
      <c r="D4016" s="55">
        <f t="shared" si="62"/>
        <v>0</v>
      </c>
      <c r="E4016" s="63" t="str">
        <f>HYPERLINK("https://www.sds-group.ru/product/nabor-pk03-dlya-tvorchestva-pistolet-60vt-sterzhni-11mm-12-1703/", "Инфо")</f>
        <v>Инфо</v>
      </c>
      <c r="F4016" s="16" t="s">
        <v>4698</v>
      </c>
      <c r="G4016" s="15"/>
      <c r="H4016" s="15"/>
      <c r="I4016" s="15"/>
      <c r="J4016" s="22">
        <v>1354</v>
      </c>
      <c r="K4016" s="15"/>
      <c r="L4016" s="17">
        <v>1</v>
      </c>
      <c r="M4016" s="17">
        <v>25</v>
      </c>
      <c r="N4016" s="17">
        <v>1</v>
      </c>
      <c r="O4016" s="18">
        <v>1031.24</v>
      </c>
      <c r="P4016" s="18">
        <v>845.28</v>
      </c>
      <c r="Q4016" s="18">
        <v>721.87</v>
      </c>
      <c r="R4016" s="18">
        <v>591.70000000000005</v>
      </c>
      <c r="S4016" s="18">
        <v>701.24</v>
      </c>
      <c r="T4016" s="18">
        <v>574.79</v>
      </c>
      <c r="U4016" s="16"/>
      <c r="V4016" s="16"/>
      <c r="W4016" s="16"/>
      <c r="X4016" s="19">
        <v>0.35499999999999998</v>
      </c>
      <c r="Y4016" s="20">
        <v>3.5399999999999999E-4</v>
      </c>
      <c r="Z4016" s="21">
        <v>4601004240827</v>
      </c>
    </row>
    <row r="4017" spans="1:26" ht="12" customHeight="1" outlineLevel="3" x14ac:dyDescent="0.2">
      <c r="A4017" s="14" t="s">
        <v>7813</v>
      </c>
      <c r="B4017" s="26" t="s">
        <v>7814</v>
      </c>
      <c r="C4017" s="52"/>
      <c r="D4017" s="55">
        <f t="shared" si="62"/>
        <v>0</v>
      </c>
      <c r="E4017" s="63" t="str">
        <f>HYPERLINK("https://www.sds-group.ru/product/nasadka-dlya-kleevyh-pistoletov-udlinennaya-70mm-silikonovaya-zaschita-rexant-12-1680/", "Инфо")</f>
        <v>Инфо</v>
      </c>
      <c r="F4017" s="16" t="s">
        <v>39</v>
      </c>
      <c r="G4017" s="15"/>
      <c r="H4017" s="15"/>
      <c r="I4017" s="15"/>
      <c r="J4017" s="17">
        <v>354</v>
      </c>
      <c r="K4017" s="15" t="s">
        <v>3762</v>
      </c>
      <c r="L4017" s="17">
        <v>1</v>
      </c>
      <c r="M4017" s="17">
        <v>200</v>
      </c>
      <c r="N4017" s="17">
        <v>1</v>
      </c>
      <c r="O4017" s="18">
        <v>644.52</v>
      </c>
      <c r="P4017" s="18">
        <v>528.29999999999995</v>
      </c>
      <c r="Q4017" s="18">
        <v>515.62</v>
      </c>
      <c r="R4017" s="18">
        <v>422.64</v>
      </c>
      <c r="S4017" s="18">
        <v>438.27</v>
      </c>
      <c r="T4017" s="18">
        <v>359.24</v>
      </c>
      <c r="U4017" s="16"/>
      <c r="V4017" s="16"/>
      <c r="W4017" s="16" t="s">
        <v>40</v>
      </c>
      <c r="X4017" s="19">
        <v>2.3E-2</v>
      </c>
      <c r="Y4017" s="20">
        <v>2.32E-4</v>
      </c>
      <c r="Z4017" s="21">
        <v>4601004171800</v>
      </c>
    </row>
    <row r="4018" spans="1:26" ht="12" customHeight="1" outlineLevel="3" x14ac:dyDescent="0.2">
      <c r="A4018" s="14" t="s">
        <v>7815</v>
      </c>
      <c r="B4018" s="26" t="s">
        <v>7816</v>
      </c>
      <c r="C4018" s="52"/>
      <c r="D4018" s="55">
        <f t="shared" si="62"/>
        <v>0</v>
      </c>
      <c r="E4018" s="63" t="str">
        <f>HYPERLINK("https://www.sds-group.ru/product/pistolet-kleevoy-100vt-11mm-bez-knopki-blister-rexant-12-0105/", "Инфо")</f>
        <v>Инфо</v>
      </c>
      <c r="F4018" s="16" t="s">
        <v>39</v>
      </c>
      <c r="G4018" s="15"/>
      <c r="H4018" s="15"/>
      <c r="I4018" s="15"/>
      <c r="J4018" s="17">
        <v>983</v>
      </c>
      <c r="K4018" s="15"/>
      <c r="L4018" s="17">
        <v>1</v>
      </c>
      <c r="M4018" s="17">
        <v>36</v>
      </c>
      <c r="N4018" s="17">
        <v>1</v>
      </c>
      <c r="O4018" s="18">
        <v>922.2</v>
      </c>
      <c r="P4018" s="18">
        <v>755.9</v>
      </c>
      <c r="Q4018" s="18">
        <v>737.76</v>
      </c>
      <c r="R4018" s="18">
        <v>604.72</v>
      </c>
      <c r="S4018" s="18">
        <v>627.1</v>
      </c>
      <c r="T4018" s="18">
        <v>514.02</v>
      </c>
      <c r="U4018" s="16"/>
      <c r="V4018" s="16"/>
      <c r="W4018" s="16" t="s">
        <v>40</v>
      </c>
      <c r="X4018" s="19">
        <v>0.29899999999999999</v>
      </c>
      <c r="Y4018" s="20">
        <v>2.2139999999999998E-3</v>
      </c>
      <c r="Z4018" s="21">
        <v>4610003604240</v>
      </c>
    </row>
    <row r="4019" spans="1:26" ht="12" customHeight="1" outlineLevel="3" x14ac:dyDescent="0.2">
      <c r="A4019" s="14" t="s">
        <v>7817</v>
      </c>
      <c r="B4019" s="26" t="s">
        <v>7818</v>
      </c>
      <c r="C4019" s="52"/>
      <c r="D4019" s="55">
        <f t="shared" si="62"/>
        <v>0</v>
      </c>
      <c r="E4019" s="63" t="str">
        <f>HYPERLINK("https://www.sds-group.ru/product/pistolet-kleevoy-100vt-11mm-s-knopkoy-blister-rexant-12-0115/", "Инфо")</f>
        <v>Инфо</v>
      </c>
      <c r="F4019" s="16" t="s">
        <v>39</v>
      </c>
      <c r="G4019" s="15"/>
      <c r="H4019" s="15"/>
      <c r="I4019" s="15"/>
      <c r="J4019" s="16" t="s">
        <v>100</v>
      </c>
      <c r="K4019" s="15" t="s">
        <v>1590</v>
      </c>
      <c r="L4019" s="17">
        <v>1</v>
      </c>
      <c r="M4019" s="17">
        <v>36</v>
      </c>
      <c r="N4019" s="17">
        <v>1</v>
      </c>
      <c r="O4019" s="18">
        <v>1076.94</v>
      </c>
      <c r="P4019" s="18">
        <v>882.74</v>
      </c>
      <c r="Q4019" s="18">
        <v>850.78</v>
      </c>
      <c r="R4019" s="18">
        <v>697.36</v>
      </c>
      <c r="S4019" s="18">
        <v>732.32</v>
      </c>
      <c r="T4019" s="18">
        <v>600.26</v>
      </c>
      <c r="U4019" s="16"/>
      <c r="V4019" s="16"/>
      <c r="W4019" s="16" t="s">
        <v>40</v>
      </c>
      <c r="X4019" s="19">
        <v>0.40799999999999997</v>
      </c>
      <c r="Y4019" s="20">
        <v>2.7590000000000002E-3</v>
      </c>
      <c r="Z4019" s="21">
        <v>4601004005853</v>
      </c>
    </row>
    <row r="4020" spans="1:26" ht="12" customHeight="1" outlineLevel="3" x14ac:dyDescent="0.2">
      <c r="A4020" s="14" t="s">
        <v>7819</v>
      </c>
      <c r="B4020" s="26" t="s">
        <v>7820</v>
      </c>
      <c r="C4020" s="52"/>
      <c r="D4020" s="55">
        <f t="shared" si="62"/>
        <v>0</v>
      </c>
      <c r="E4020" s="63" t="str">
        <f>HYPERLINK("https://www.sds-group.ru/product/pistolet-kleevoy-100vt-11mm-ekspert-blister-rexant-12-0118/", "Инфо")</f>
        <v>Инфо</v>
      </c>
      <c r="F4020" s="16" t="s">
        <v>39</v>
      </c>
      <c r="G4020" s="15"/>
      <c r="H4020" s="15"/>
      <c r="I4020" s="15"/>
      <c r="J4020" s="17">
        <v>358</v>
      </c>
      <c r="K4020" s="15"/>
      <c r="L4020" s="17">
        <v>1</v>
      </c>
      <c r="M4020" s="17">
        <v>40</v>
      </c>
      <c r="N4020" s="17">
        <v>1</v>
      </c>
      <c r="O4020" s="18">
        <v>1166</v>
      </c>
      <c r="P4020" s="18">
        <v>955.74</v>
      </c>
      <c r="Q4020" s="18">
        <v>921.14</v>
      </c>
      <c r="R4020" s="18">
        <v>755.03</v>
      </c>
      <c r="S4020" s="18">
        <v>792.88</v>
      </c>
      <c r="T4020" s="18">
        <v>649.9</v>
      </c>
      <c r="U4020" s="16"/>
      <c r="V4020" s="16"/>
      <c r="W4020" s="16" t="s">
        <v>40</v>
      </c>
      <c r="X4020" s="19">
        <v>0.377</v>
      </c>
      <c r="Y4020" s="20">
        <v>2.7330000000000002E-3</v>
      </c>
      <c r="Z4020" s="21">
        <v>4601004068759</v>
      </c>
    </row>
    <row r="4021" spans="1:26" ht="12" customHeight="1" outlineLevel="3" x14ac:dyDescent="0.2">
      <c r="A4021" s="14" t="s">
        <v>7821</v>
      </c>
      <c r="B4021" s="26" t="s">
        <v>7822</v>
      </c>
      <c r="C4021" s="52"/>
      <c r="D4021" s="55">
        <f t="shared" si="62"/>
        <v>0</v>
      </c>
      <c r="E4021" s="63" t="str">
        <f>HYPERLINK("https://www.sds-group.ru/product/pistolet-kleevoy-100vt-11mm-ekspert-blister-rexant-12-1530/", "Инфо")</f>
        <v>Инфо</v>
      </c>
      <c r="F4021" s="16" t="s">
        <v>39</v>
      </c>
      <c r="G4021" s="15"/>
      <c r="H4021" s="15"/>
      <c r="I4021" s="15"/>
      <c r="J4021" s="17">
        <v>1</v>
      </c>
      <c r="K4021" s="15" t="s">
        <v>3762</v>
      </c>
      <c r="L4021" s="17">
        <v>1</v>
      </c>
      <c r="M4021" s="17">
        <v>30</v>
      </c>
      <c r="N4021" s="17">
        <v>1</v>
      </c>
      <c r="O4021" s="18">
        <v>1421.91</v>
      </c>
      <c r="P4021" s="18">
        <v>1165.5</v>
      </c>
      <c r="Q4021" s="18">
        <v>995.34</v>
      </c>
      <c r="R4021" s="18">
        <v>815.85</v>
      </c>
      <c r="S4021" s="18">
        <v>966.9</v>
      </c>
      <c r="T4021" s="18">
        <v>792.54</v>
      </c>
      <c r="U4021" s="16"/>
      <c r="V4021" s="16"/>
      <c r="W4021" s="16"/>
      <c r="X4021" s="19">
        <v>0.48699999999999999</v>
      </c>
      <c r="Y4021" s="20">
        <v>4.0660000000000002E-3</v>
      </c>
      <c r="Z4021" s="21">
        <v>4601004161290</v>
      </c>
    </row>
    <row r="4022" spans="1:26" ht="12" customHeight="1" outlineLevel="3" x14ac:dyDescent="0.2">
      <c r="A4022" s="14" t="s">
        <v>7823</v>
      </c>
      <c r="B4022" s="26" t="s">
        <v>7824</v>
      </c>
      <c r="C4022" s="52"/>
      <c r="D4022" s="55">
        <f t="shared" si="62"/>
        <v>0</v>
      </c>
      <c r="E4022" s="63" t="str">
        <f>HYPERLINK("https://www.sds-group.ru/product/pistolet-kleevoy-10vt-7mm-ekspert-akkumulyatornyy-blister-rexant-12-1501/", "Инфо")</f>
        <v>Инфо</v>
      </c>
      <c r="F4022" s="16" t="s">
        <v>39</v>
      </c>
      <c r="G4022" s="15"/>
      <c r="H4022" s="15"/>
      <c r="I4022" s="15"/>
      <c r="J4022" s="17">
        <v>507</v>
      </c>
      <c r="K4022" s="15"/>
      <c r="L4022" s="17">
        <v>1</v>
      </c>
      <c r="M4022" s="17">
        <v>30</v>
      </c>
      <c r="N4022" s="17">
        <v>1</v>
      </c>
      <c r="O4022" s="18">
        <v>2176.52</v>
      </c>
      <c r="P4022" s="18">
        <v>1784.03</v>
      </c>
      <c r="Q4022" s="18">
        <v>1523.56</v>
      </c>
      <c r="R4022" s="18">
        <v>1248.82</v>
      </c>
      <c r="S4022" s="18">
        <v>1480.03</v>
      </c>
      <c r="T4022" s="18">
        <v>1213.1400000000001</v>
      </c>
      <c r="U4022" s="16"/>
      <c r="V4022" s="16"/>
      <c r="W4022" s="16"/>
      <c r="X4022" s="19">
        <v>0.215</v>
      </c>
      <c r="Y4022" s="20">
        <v>1.2049999999999999E-3</v>
      </c>
      <c r="Z4022" s="21">
        <v>4601004161252</v>
      </c>
    </row>
    <row r="4023" spans="1:26" ht="12" customHeight="1" outlineLevel="3" x14ac:dyDescent="0.2">
      <c r="A4023" s="14" t="s">
        <v>7825</v>
      </c>
      <c r="B4023" s="26" t="s">
        <v>7826</v>
      </c>
      <c r="C4023" s="52"/>
      <c r="D4023" s="55">
        <f t="shared" si="62"/>
        <v>0</v>
      </c>
      <c r="E4023" s="63" t="str">
        <f>HYPERLINK("https://www.sds-group.ru/product/pistolet-kleevoy-15vt-7mm-nabor-tsvetnyh-sterzhney-12-sht-blister-rexant-12-0112/", "Инфо")</f>
        <v>Инфо</v>
      </c>
      <c r="F4023" s="16" t="s">
        <v>39</v>
      </c>
      <c r="G4023" s="15"/>
      <c r="H4023" s="15"/>
      <c r="I4023" s="15"/>
      <c r="J4023" s="17">
        <v>222</v>
      </c>
      <c r="K4023" s="15" t="s">
        <v>1058</v>
      </c>
      <c r="L4023" s="17">
        <v>1</v>
      </c>
      <c r="M4023" s="17">
        <v>48</v>
      </c>
      <c r="N4023" s="17">
        <v>1</v>
      </c>
      <c r="O4023" s="18">
        <v>997.76</v>
      </c>
      <c r="P4023" s="18">
        <v>817.84</v>
      </c>
      <c r="Q4023" s="18">
        <v>698.43</v>
      </c>
      <c r="R4023" s="18">
        <v>572.48</v>
      </c>
      <c r="S4023" s="18">
        <v>678.48</v>
      </c>
      <c r="T4023" s="18">
        <v>556.13</v>
      </c>
      <c r="U4023" s="16"/>
      <c r="V4023" s="16"/>
      <c r="W4023" s="16"/>
      <c r="X4023" s="19">
        <v>0.23</v>
      </c>
      <c r="Y4023" s="20">
        <v>1.5430000000000001E-3</v>
      </c>
      <c r="Z4023" s="21">
        <v>4601004096691</v>
      </c>
    </row>
    <row r="4024" spans="1:26" ht="12" customHeight="1" outlineLevel="3" x14ac:dyDescent="0.2">
      <c r="A4024" s="14" t="s">
        <v>7827</v>
      </c>
      <c r="B4024" s="26" t="s">
        <v>7828</v>
      </c>
      <c r="C4024" s="52"/>
      <c r="D4024" s="55">
        <f t="shared" si="62"/>
        <v>0</v>
      </c>
      <c r="E4024" s="63" t="str">
        <f>HYPERLINK("https://www.sds-group.ru/product/pistolet-kleevoy-15vt-7mm-bez-knopki-blister-rexant-12-0113/", "Инфо")</f>
        <v>Инфо</v>
      </c>
      <c r="F4024" s="16" t="s">
        <v>39</v>
      </c>
      <c r="G4024" s="15"/>
      <c r="H4024" s="15"/>
      <c r="I4024" s="15"/>
      <c r="J4024" s="17">
        <v>904</v>
      </c>
      <c r="K4024" s="15" t="s">
        <v>979</v>
      </c>
      <c r="L4024" s="17">
        <v>1</v>
      </c>
      <c r="M4024" s="17">
        <v>36</v>
      </c>
      <c r="N4024" s="17">
        <v>1</v>
      </c>
      <c r="O4024" s="18">
        <v>650.78</v>
      </c>
      <c r="P4024" s="18">
        <v>533.42999999999995</v>
      </c>
      <c r="Q4024" s="18">
        <v>520.62</v>
      </c>
      <c r="R4024" s="18">
        <v>426.74</v>
      </c>
      <c r="S4024" s="18">
        <v>442.53</v>
      </c>
      <c r="T4024" s="18">
        <v>362.73</v>
      </c>
      <c r="U4024" s="16"/>
      <c r="V4024" s="16"/>
      <c r="W4024" s="16" t="s">
        <v>40</v>
      </c>
      <c r="X4024" s="19">
        <v>0.23599999999999999</v>
      </c>
      <c r="Y4024" s="20">
        <v>1.7359999999999999E-3</v>
      </c>
      <c r="Z4024" s="21">
        <v>4601004005877</v>
      </c>
    </row>
    <row r="4025" spans="1:26" ht="12" customHeight="1" outlineLevel="3" x14ac:dyDescent="0.2">
      <c r="A4025" s="14" t="s">
        <v>7829</v>
      </c>
      <c r="B4025" s="26" t="s">
        <v>7830</v>
      </c>
      <c r="C4025" s="52"/>
      <c r="D4025" s="55">
        <f t="shared" si="62"/>
        <v>0</v>
      </c>
      <c r="E4025" s="63" t="str">
        <f>HYPERLINK("https://www.sds-group.ru/product/pistolet-kleevoy-15vt-7mm-blister-proconnect-12-0102/", "Инфо")</f>
        <v>Инфо</v>
      </c>
      <c r="F4025" s="16" t="s">
        <v>39</v>
      </c>
      <c r="G4025" s="15"/>
      <c r="H4025" s="15"/>
      <c r="I4025" s="15"/>
      <c r="J4025" s="16" t="s">
        <v>100</v>
      </c>
      <c r="K4025" s="15" t="s">
        <v>1094</v>
      </c>
      <c r="L4025" s="17">
        <v>5</v>
      </c>
      <c r="M4025" s="17">
        <v>48</v>
      </c>
      <c r="N4025" s="17">
        <v>5</v>
      </c>
      <c r="O4025" s="18">
        <v>472.98</v>
      </c>
      <c r="P4025" s="18">
        <v>387.69</v>
      </c>
      <c r="Q4025" s="18">
        <v>402.03</v>
      </c>
      <c r="R4025" s="18">
        <v>329.53</v>
      </c>
      <c r="S4025" s="18">
        <v>321.63</v>
      </c>
      <c r="T4025" s="18">
        <v>263.63</v>
      </c>
      <c r="U4025" s="16"/>
      <c r="V4025" s="16"/>
      <c r="W4025" s="16" t="s">
        <v>40</v>
      </c>
      <c r="X4025" s="19">
        <v>0.157</v>
      </c>
      <c r="Y4025" s="20">
        <v>1.2390000000000001E-3</v>
      </c>
      <c r="Z4025" s="21">
        <v>4610003605223</v>
      </c>
    </row>
    <row r="4026" spans="1:26" ht="12" customHeight="1" outlineLevel="3" x14ac:dyDescent="0.2">
      <c r="A4026" s="14" t="s">
        <v>7831</v>
      </c>
      <c r="B4026" s="26" t="s">
        <v>7832</v>
      </c>
      <c r="C4026" s="52"/>
      <c r="D4026" s="55">
        <f t="shared" si="62"/>
        <v>0</v>
      </c>
      <c r="E4026" s="63" t="str">
        <f>HYPERLINK("https://www.sds-group.ru/product/pistolet-kleevoy-200vt-11mm-ekspert-blister-rexant-12-1533/", "Инфо")</f>
        <v>Инфо</v>
      </c>
      <c r="F4026" s="16" t="s">
        <v>39</v>
      </c>
      <c r="G4026" s="15"/>
      <c r="H4026" s="15"/>
      <c r="I4026" s="15"/>
      <c r="J4026" s="17">
        <v>571</v>
      </c>
      <c r="K4026" s="15" t="s">
        <v>2750</v>
      </c>
      <c r="L4026" s="17">
        <v>1</v>
      </c>
      <c r="M4026" s="17">
        <v>30</v>
      </c>
      <c r="N4026" s="17">
        <v>1</v>
      </c>
      <c r="O4026" s="18">
        <v>1971.7</v>
      </c>
      <c r="P4026" s="18">
        <v>1616.15</v>
      </c>
      <c r="Q4026" s="18">
        <v>1518.21</v>
      </c>
      <c r="R4026" s="18">
        <v>1244.43</v>
      </c>
      <c r="S4026" s="18">
        <v>1340.76</v>
      </c>
      <c r="T4026" s="18">
        <v>1098.98</v>
      </c>
      <c r="U4026" s="16"/>
      <c r="V4026" s="16"/>
      <c r="W4026" s="16" t="s">
        <v>40</v>
      </c>
      <c r="X4026" s="19">
        <v>0.55200000000000005</v>
      </c>
      <c r="Y4026" s="20">
        <v>4.0660000000000002E-3</v>
      </c>
      <c r="Z4026" s="21">
        <v>4601004161283</v>
      </c>
    </row>
    <row r="4027" spans="1:26" ht="12" customHeight="1" outlineLevel="3" x14ac:dyDescent="0.2">
      <c r="A4027" s="14" t="s">
        <v>7833</v>
      </c>
      <c r="B4027" s="26" t="s">
        <v>7834</v>
      </c>
      <c r="C4027" s="52"/>
      <c r="D4027" s="55">
        <f t="shared" si="62"/>
        <v>0</v>
      </c>
      <c r="E4027" s="63" t="str">
        <f>HYPERLINK("https://www.sds-group.ru/product/pistolet-kleevoy-20vt-7mm-ekspert-blister-rexant-12-1510/", "Инфо")</f>
        <v>Инфо</v>
      </c>
      <c r="F4027" s="16" t="s">
        <v>39</v>
      </c>
      <c r="G4027" s="15"/>
      <c r="H4027" s="15"/>
      <c r="I4027" s="15"/>
      <c r="J4027" s="17">
        <v>743</v>
      </c>
      <c r="K4027" s="15" t="s">
        <v>6174</v>
      </c>
      <c r="L4027" s="17">
        <v>1</v>
      </c>
      <c r="M4027" s="17">
        <v>48</v>
      </c>
      <c r="N4027" s="17">
        <v>1</v>
      </c>
      <c r="O4027" s="18">
        <v>796.65</v>
      </c>
      <c r="P4027" s="18">
        <v>652.99</v>
      </c>
      <c r="Q4027" s="18">
        <v>557.66</v>
      </c>
      <c r="R4027" s="18">
        <v>457.1</v>
      </c>
      <c r="S4027" s="18">
        <v>541.72</v>
      </c>
      <c r="T4027" s="18">
        <v>444.03</v>
      </c>
      <c r="U4027" s="16"/>
      <c r="V4027" s="16"/>
      <c r="W4027" s="16"/>
      <c r="X4027" s="19">
        <v>0.28199999999999997</v>
      </c>
      <c r="Y4027" s="20">
        <v>2.2539999999999999E-3</v>
      </c>
      <c r="Z4027" s="21">
        <v>4601004161245</v>
      </c>
    </row>
    <row r="4028" spans="1:26" ht="12" customHeight="1" outlineLevel="3" x14ac:dyDescent="0.2">
      <c r="A4028" s="14" t="s">
        <v>7835</v>
      </c>
      <c r="B4028" s="26" t="s">
        <v>7836</v>
      </c>
      <c r="C4028" s="52"/>
      <c r="D4028" s="55">
        <f t="shared" si="62"/>
        <v>0</v>
      </c>
      <c r="E4028" s="63" t="str">
        <f>HYPERLINK("https://www.sds-group.ru/product/pistolet-kleevoy-280vt-11mm-profimax-blister-rexant-12-0119/", "Инфо")</f>
        <v>Инфо</v>
      </c>
      <c r="F4028" s="16" t="s">
        <v>39</v>
      </c>
      <c r="G4028" s="15"/>
      <c r="H4028" s="15"/>
      <c r="I4028" s="15"/>
      <c r="J4028" s="17">
        <v>283</v>
      </c>
      <c r="K4028" s="15" t="s">
        <v>4866</v>
      </c>
      <c r="L4028" s="17">
        <v>1</v>
      </c>
      <c r="M4028" s="17">
        <v>20</v>
      </c>
      <c r="N4028" s="17">
        <v>1</v>
      </c>
      <c r="O4028" s="18">
        <v>2463.14</v>
      </c>
      <c r="P4028" s="18">
        <v>2018.97</v>
      </c>
      <c r="Q4028" s="18">
        <v>1896.62</v>
      </c>
      <c r="R4028" s="18">
        <v>1554.61</v>
      </c>
      <c r="S4028" s="18">
        <v>1674.94</v>
      </c>
      <c r="T4028" s="18">
        <v>1372.9</v>
      </c>
      <c r="U4028" s="16"/>
      <c r="V4028" s="16"/>
      <c r="W4028" s="16" t="s">
        <v>40</v>
      </c>
      <c r="X4028" s="19">
        <v>0.621</v>
      </c>
      <c r="Y4028" s="20">
        <v>3.692E-3</v>
      </c>
      <c r="Z4028" s="21">
        <v>4601004068766</v>
      </c>
    </row>
    <row r="4029" spans="1:26" ht="12" customHeight="1" outlineLevel="3" x14ac:dyDescent="0.2">
      <c r="A4029" s="14" t="s">
        <v>7837</v>
      </c>
      <c r="B4029" s="26" t="s">
        <v>7838</v>
      </c>
      <c r="C4029" s="52"/>
      <c r="D4029" s="55">
        <f t="shared" si="62"/>
        <v>0</v>
      </c>
      <c r="E4029" s="63" t="str">
        <f>HYPERLINK("https://www.sds-group.ru/product/pistolet-kleevoy-300vt-11mm-ekspert-nastroyka-temperatury-100-220-blister-rexant-12-1550/", "Инфо")</f>
        <v>Инфо</v>
      </c>
      <c r="F4029" s="16" t="s">
        <v>39</v>
      </c>
      <c r="G4029" s="15"/>
      <c r="H4029" s="15"/>
      <c r="I4029" s="15"/>
      <c r="J4029" s="16" t="s">
        <v>100</v>
      </c>
      <c r="K4029" s="15" t="s">
        <v>3762</v>
      </c>
      <c r="L4029" s="17">
        <v>1</v>
      </c>
      <c r="M4029" s="17">
        <v>30</v>
      </c>
      <c r="N4029" s="17">
        <v>1</v>
      </c>
      <c r="O4029" s="18">
        <v>4203.2</v>
      </c>
      <c r="P4029" s="18">
        <v>3445.25</v>
      </c>
      <c r="Q4029" s="18">
        <v>3068.34</v>
      </c>
      <c r="R4029" s="18">
        <v>2515.0300000000002</v>
      </c>
      <c r="S4029" s="18">
        <v>2858.18</v>
      </c>
      <c r="T4029" s="18">
        <v>2342.77</v>
      </c>
      <c r="U4029" s="16"/>
      <c r="V4029" s="16"/>
      <c r="W4029" s="16" t="s">
        <v>40</v>
      </c>
      <c r="X4029" s="19">
        <v>0.56000000000000005</v>
      </c>
      <c r="Y4029" s="20">
        <v>4.1749999999999999E-3</v>
      </c>
      <c r="Z4029" s="21">
        <v>4601004161276</v>
      </c>
    </row>
    <row r="4030" spans="1:26" ht="12" customHeight="1" outlineLevel="3" x14ac:dyDescent="0.2">
      <c r="A4030" s="14" t="s">
        <v>7839</v>
      </c>
      <c r="B4030" s="26" t="s">
        <v>7840</v>
      </c>
      <c r="C4030" s="52"/>
      <c r="D4030" s="55">
        <f t="shared" si="62"/>
        <v>0</v>
      </c>
      <c r="E4030" s="63" t="str">
        <f>HYPERLINK("https://www.sds-group.ru/product/pistolet-kleevoy-40vt-11mm-blister-proconnect-12-0103/", "Инфо")</f>
        <v>Инфо</v>
      </c>
      <c r="F4030" s="16" t="s">
        <v>39</v>
      </c>
      <c r="G4030" s="15"/>
      <c r="H4030" s="15"/>
      <c r="I4030" s="15"/>
      <c r="J4030" s="22">
        <v>1644</v>
      </c>
      <c r="K4030" s="15" t="s">
        <v>1094</v>
      </c>
      <c r="L4030" s="17">
        <v>1</v>
      </c>
      <c r="M4030" s="17">
        <v>36</v>
      </c>
      <c r="N4030" s="17">
        <v>1</v>
      </c>
      <c r="O4030" s="18">
        <v>559.49</v>
      </c>
      <c r="P4030" s="18">
        <v>458.6</v>
      </c>
      <c r="Q4030" s="18">
        <v>391.64</v>
      </c>
      <c r="R4030" s="18">
        <v>321.02</v>
      </c>
      <c r="S4030" s="18">
        <v>380.45</v>
      </c>
      <c r="T4030" s="18">
        <v>311.83999999999997</v>
      </c>
      <c r="U4030" s="16"/>
      <c r="V4030" s="16"/>
      <c r="W4030" s="16"/>
      <c r="X4030" s="19">
        <v>0.25800000000000001</v>
      </c>
      <c r="Y4030" s="20">
        <v>2.1159999999999998E-3</v>
      </c>
      <c r="Z4030" s="21">
        <v>4610003605247</v>
      </c>
    </row>
    <row r="4031" spans="1:26" ht="12" customHeight="1" outlineLevel="3" x14ac:dyDescent="0.2">
      <c r="A4031" s="14" t="s">
        <v>7841</v>
      </c>
      <c r="B4031" s="26" t="s">
        <v>7842</v>
      </c>
      <c r="C4031" s="52"/>
      <c r="D4031" s="55">
        <f t="shared" si="62"/>
        <v>0</v>
      </c>
      <c r="E4031" s="63" t="str">
        <f>HYPERLINK("https://www.sds-group.ru/product/pistolet-kleevoy-40vt-7mm-ekspert-blister-rexant-12-1511/", "Инфо")</f>
        <v>Инфо</v>
      </c>
      <c r="F4031" s="16" t="s">
        <v>39</v>
      </c>
      <c r="G4031" s="15"/>
      <c r="H4031" s="15"/>
      <c r="I4031" s="15"/>
      <c r="J4031" s="22">
        <v>1394</v>
      </c>
      <c r="K4031" s="15" t="s">
        <v>6174</v>
      </c>
      <c r="L4031" s="17">
        <v>1</v>
      </c>
      <c r="M4031" s="17">
        <v>48</v>
      </c>
      <c r="N4031" s="17">
        <v>1</v>
      </c>
      <c r="O4031" s="18">
        <v>973.45</v>
      </c>
      <c r="P4031" s="18">
        <v>797.91</v>
      </c>
      <c r="Q4031" s="18">
        <v>681.42</v>
      </c>
      <c r="R4031" s="18">
        <v>558.54</v>
      </c>
      <c r="S4031" s="18">
        <v>661.95</v>
      </c>
      <c r="T4031" s="18">
        <v>542.58000000000004</v>
      </c>
      <c r="U4031" s="16"/>
      <c r="V4031" s="16"/>
      <c r="W4031" s="16"/>
      <c r="X4031" s="19">
        <v>0.28699999999999998</v>
      </c>
      <c r="Y4031" s="20">
        <v>2.2880000000000001E-3</v>
      </c>
      <c r="Z4031" s="21">
        <v>4601004161306</v>
      </c>
    </row>
    <row r="4032" spans="1:26" ht="12" customHeight="1" outlineLevel="3" x14ac:dyDescent="0.2">
      <c r="A4032" s="14" t="s">
        <v>7843</v>
      </c>
      <c r="B4032" s="26" t="s">
        <v>7844</v>
      </c>
      <c r="C4032" s="52"/>
      <c r="D4032" s="55">
        <f t="shared" si="62"/>
        <v>0</v>
      </c>
      <c r="E4032" s="63" t="str">
        <f>HYPERLINK("https://www.sds-group.ru/product/pistolet-kleevoy-60vt-11mm-blister-proconnect-12-0104/", "Инфо")</f>
        <v>Инфо</v>
      </c>
      <c r="F4032" s="16" t="s">
        <v>39</v>
      </c>
      <c r="G4032" s="15"/>
      <c r="H4032" s="15"/>
      <c r="I4032" s="15"/>
      <c r="J4032" s="22">
        <v>6520</v>
      </c>
      <c r="K4032" s="15" t="s">
        <v>1094</v>
      </c>
      <c r="L4032" s="17">
        <v>1</v>
      </c>
      <c r="M4032" s="17">
        <v>36</v>
      </c>
      <c r="N4032" s="17">
        <v>1</v>
      </c>
      <c r="O4032" s="18">
        <v>627.84</v>
      </c>
      <c r="P4032" s="18">
        <v>514.62</v>
      </c>
      <c r="Q4032" s="18">
        <v>439.49</v>
      </c>
      <c r="R4032" s="18">
        <v>360.24</v>
      </c>
      <c r="S4032" s="18">
        <v>426.93</v>
      </c>
      <c r="T4032" s="18">
        <v>349.94</v>
      </c>
      <c r="U4032" s="16"/>
      <c r="V4032" s="16"/>
      <c r="W4032" s="16"/>
      <c r="X4032" s="19">
        <v>0.26100000000000001</v>
      </c>
      <c r="Y4032" s="20">
        <v>2.127E-3</v>
      </c>
      <c r="Z4032" s="21">
        <v>4610003605285</v>
      </c>
    </row>
    <row r="4033" spans="1:26" ht="12" customHeight="1" outlineLevel="3" x14ac:dyDescent="0.2">
      <c r="A4033" s="14" t="s">
        <v>7845</v>
      </c>
      <c r="B4033" s="26" t="s">
        <v>7846</v>
      </c>
      <c r="C4033" s="52"/>
      <c r="D4033" s="55">
        <f t="shared" si="62"/>
        <v>0</v>
      </c>
      <c r="E4033" s="63" t="str">
        <f>HYPERLINK("https://www.sds-group.ru/product/pistolet-kleevoy-60vt-11mm-nastroyka-temperatury-120-240-keys-rexant-12-0111/", "Инфо")</f>
        <v>Инфо</v>
      </c>
      <c r="F4033" s="16" t="s">
        <v>39</v>
      </c>
      <c r="G4033" s="15"/>
      <c r="H4033" s="15"/>
      <c r="I4033" s="15"/>
      <c r="J4033" s="16" t="s">
        <v>100</v>
      </c>
      <c r="K4033" s="15"/>
      <c r="L4033" s="17">
        <v>1</v>
      </c>
      <c r="M4033" s="17">
        <v>24</v>
      </c>
      <c r="N4033" s="17">
        <v>1</v>
      </c>
      <c r="O4033" s="18">
        <v>2478.36</v>
      </c>
      <c r="P4033" s="18">
        <v>2031.44</v>
      </c>
      <c r="Q4033" s="18">
        <v>1908.34</v>
      </c>
      <c r="R4033" s="18">
        <v>1564.21</v>
      </c>
      <c r="S4033" s="18">
        <v>1685.28</v>
      </c>
      <c r="T4033" s="18">
        <v>1381.38</v>
      </c>
      <c r="U4033" s="16"/>
      <c r="V4033" s="16"/>
      <c r="W4033" s="16" t="s">
        <v>40</v>
      </c>
      <c r="X4033" s="19">
        <v>0.76700000000000002</v>
      </c>
      <c r="Y4033" s="20">
        <v>1.06E-4</v>
      </c>
      <c r="Z4033" s="21">
        <v>4610003605278</v>
      </c>
    </row>
    <row r="4034" spans="1:26" ht="12" customHeight="1" outlineLevel="3" x14ac:dyDescent="0.2">
      <c r="A4034" s="14" t="s">
        <v>7847</v>
      </c>
      <c r="B4034" s="26" t="s">
        <v>7848</v>
      </c>
      <c r="C4034" s="52"/>
      <c r="D4034" s="55">
        <f t="shared" si="62"/>
        <v>0</v>
      </c>
      <c r="E4034" s="63" t="str">
        <f>HYPERLINK("https://www.sds-group.ru/product/pistolet-kleevoy-60vt-11mm-prozrachnyy-korpus-s-knopkoy-blister-rexant-12-0107/", "Инфо")</f>
        <v>Инфо</v>
      </c>
      <c r="F4034" s="16" t="s">
        <v>39</v>
      </c>
      <c r="G4034" s="15"/>
      <c r="H4034" s="15"/>
      <c r="I4034" s="15"/>
      <c r="J4034" s="17">
        <v>135</v>
      </c>
      <c r="K4034" s="15" t="s">
        <v>6526</v>
      </c>
      <c r="L4034" s="17">
        <v>1</v>
      </c>
      <c r="M4034" s="17">
        <v>48</v>
      </c>
      <c r="N4034" s="17">
        <v>1</v>
      </c>
      <c r="O4034" s="18">
        <v>1346.44</v>
      </c>
      <c r="P4034" s="18">
        <v>1103.6400000000001</v>
      </c>
      <c r="Q4034" s="18">
        <v>1063.69</v>
      </c>
      <c r="R4034" s="18">
        <v>871.88</v>
      </c>
      <c r="S4034" s="18">
        <v>915.58</v>
      </c>
      <c r="T4034" s="18">
        <v>750.48</v>
      </c>
      <c r="U4034" s="16"/>
      <c r="V4034" s="16"/>
      <c r="W4034" s="16" t="s">
        <v>40</v>
      </c>
      <c r="X4034" s="19">
        <v>0.29499999999999998</v>
      </c>
      <c r="Y4034" s="20">
        <v>2.7729999999999999E-3</v>
      </c>
      <c r="Z4034" s="21">
        <v>4610003605261</v>
      </c>
    </row>
    <row r="4035" spans="1:26" ht="12" customHeight="1" outlineLevel="3" x14ac:dyDescent="0.2">
      <c r="A4035" s="14" t="s">
        <v>7849</v>
      </c>
      <c r="B4035" s="26" t="s">
        <v>7850</v>
      </c>
      <c r="C4035" s="52"/>
      <c r="D4035" s="55">
        <f t="shared" si="62"/>
        <v>0</v>
      </c>
      <c r="E4035" s="63" t="str">
        <f>HYPERLINK("https://www.sds-group.ru/product/pistolet-kleevoy-60vt-11mm-s-knopkoy-blister-rexant-12-0114/", "Инфо")</f>
        <v>Инфо</v>
      </c>
      <c r="F4035" s="16" t="s">
        <v>39</v>
      </c>
      <c r="G4035" s="15"/>
      <c r="H4035" s="15"/>
      <c r="I4035" s="15"/>
      <c r="J4035" s="17">
        <v>656</v>
      </c>
      <c r="K4035" s="15"/>
      <c r="L4035" s="17">
        <v>1</v>
      </c>
      <c r="M4035" s="17">
        <v>36</v>
      </c>
      <c r="N4035" s="17">
        <v>1</v>
      </c>
      <c r="O4035" s="18">
        <v>1049.4000000000001</v>
      </c>
      <c r="P4035" s="18">
        <v>860.16</v>
      </c>
      <c r="Q4035" s="18">
        <v>829.03</v>
      </c>
      <c r="R4035" s="18">
        <v>679.53</v>
      </c>
      <c r="S4035" s="18">
        <v>713.59</v>
      </c>
      <c r="T4035" s="18">
        <v>584.91</v>
      </c>
      <c r="U4035" s="16"/>
      <c r="V4035" s="16"/>
      <c r="W4035" s="16" t="s">
        <v>40</v>
      </c>
      <c r="X4035" s="19">
        <v>0.40100000000000002</v>
      </c>
      <c r="Y4035" s="20">
        <v>2.6870000000000002E-3</v>
      </c>
      <c r="Z4035" s="21">
        <v>4601004005860</v>
      </c>
    </row>
    <row r="4036" spans="1:26" ht="12" customHeight="1" outlineLevel="3" x14ac:dyDescent="0.2">
      <c r="A4036" s="32" t="s">
        <v>7851</v>
      </c>
      <c r="B4036" s="74" t="s">
        <v>7852</v>
      </c>
      <c r="C4036" s="50"/>
      <c r="D4036" s="53">
        <f t="shared" si="62"/>
        <v>0</v>
      </c>
      <c r="E4036" s="60" t="str">
        <f>HYPERLINK("https://www.sds-group.ru/product/pistolet-kleevoy-60vt-11mm-ekspert-akkumulyatornyy-korobka-rexant-12-1553/", "Инфо")</f>
        <v>Инфо</v>
      </c>
      <c r="F4036" s="34" t="s">
        <v>39</v>
      </c>
      <c r="G4036" s="33"/>
      <c r="H4036" s="33" t="s">
        <v>40</v>
      </c>
      <c r="I4036" s="33"/>
      <c r="J4036" s="34" t="s">
        <v>100</v>
      </c>
      <c r="K4036" s="33"/>
      <c r="L4036" s="35">
        <v>1</v>
      </c>
      <c r="M4036" s="35">
        <v>20</v>
      </c>
      <c r="N4036" s="35">
        <v>1</v>
      </c>
      <c r="O4036" s="36">
        <v>5011.71</v>
      </c>
      <c r="P4036" s="36">
        <v>4107.96</v>
      </c>
      <c r="Q4036" s="36">
        <v>3508.2</v>
      </c>
      <c r="R4036" s="36">
        <v>2875.57</v>
      </c>
      <c r="S4036" s="36">
        <v>3407.96</v>
      </c>
      <c r="T4036" s="36">
        <v>2793.41</v>
      </c>
      <c r="U4036" s="34"/>
      <c r="V4036" s="34"/>
      <c r="W4036" s="34"/>
      <c r="X4036" s="37">
        <v>0.82699999999999996</v>
      </c>
      <c r="Y4036" s="38">
        <v>3.5460000000000001E-3</v>
      </c>
      <c r="Z4036" s="21">
        <v>4601004193666</v>
      </c>
    </row>
    <row r="4037" spans="1:26" ht="12" customHeight="1" outlineLevel="3" x14ac:dyDescent="0.2">
      <c r="A4037" s="14" t="s">
        <v>7853</v>
      </c>
      <c r="B4037" s="26" t="s">
        <v>7854</v>
      </c>
      <c r="C4037" s="52"/>
      <c r="D4037" s="55">
        <f t="shared" si="62"/>
        <v>0</v>
      </c>
      <c r="E4037" s="63" t="str">
        <f>HYPERLINK("https://www.sds-group.ru/product/pistolet-kleevoy-60vt-100vt-dva-rezhima-11mm-blister-rexant-12-0116/", "Инфо")</f>
        <v>Инфо</v>
      </c>
      <c r="F4037" s="16" t="s">
        <v>39</v>
      </c>
      <c r="G4037" s="15"/>
      <c r="H4037" s="15"/>
      <c r="I4037" s="15"/>
      <c r="J4037" s="22">
        <v>1121</v>
      </c>
      <c r="K4037" s="15" t="s">
        <v>922</v>
      </c>
      <c r="L4037" s="17">
        <v>1</v>
      </c>
      <c r="M4037" s="17">
        <v>36</v>
      </c>
      <c r="N4037" s="17">
        <v>1</v>
      </c>
      <c r="O4037" s="18">
        <v>1393.25</v>
      </c>
      <c r="P4037" s="18">
        <v>1142.01</v>
      </c>
      <c r="Q4037" s="18">
        <v>975.28</v>
      </c>
      <c r="R4037" s="18">
        <v>799.41</v>
      </c>
      <c r="S4037" s="18">
        <v>947.41</v>
      </c>
      <c r="T4037" s="18">
        <v>776.57</v>
      </c>
      <c r="U4037" s="16"/>
      <c r="V4037" s="16"/>
      <c r="W4037" s="16"/>
      <c r="X4037" s="19">
        <v>0.41099999999999998</v>
      </c>
      <c r="Y4037" s="20">
        <v>2.5890000000000002E-3</v>
      </c>
      <c r="Z4037" s="21">
        <v>4601004090651</v>
      </c>
    </row>
    <row r="4038" spans="1:26" ht="12.95" customHeight="1" outlineLevel="2" x14ac:dyDescent="0.2">
      <c r="A4038" s="76" t="s">
        <v>7855</v>
      </c>
      <c r="B4038" s="76"/>
      <c r="C4038" s="77"/>
      <c r="D4038" s="58"/>
      <c r="E4038" s="68"/>
      <c r="F4038" s="13"/>
      <c r="G4038" s="13"/>
      <c r="H4038" s="13"/>
      <c r="I4038" s="13"/>
      <c r="J4038" s="13"/>
      <c r="K4038" s="13"/>
      <c r="L4038" s="13"/>
      <c r="M4038" s="13"/>
      <c r="N4038" s="13"/>
      <c r="O4038" s="13"/>
      <c r="P4038" s="13"/>
      <c r="Q4038" s="13"/>
      <c r="R4038" s="13"/>
      <c r="S4038" s="13"/>
      <c r="T4038" s="13"/>
      <c r="U4038" s="13"/>
      <c r="V4038" s="13"/>
      <c r="W4038" s="13"/>
      <c r="X4038" s="13"/>
      <c r="Y4038" s="13"/>
      <c r="Z4038" s="13"/>
    </row>
    <row r="4039" spans="1:26" ht="12" customHeight="1" outlineLevel="3" x14ac:dyDescent="0.2">
      <c r="A4039" s="32" t="s">
        <v>7856</v>
      </c>
      <c r="B4039" s="74" t="s">
        <v>7857</v>
      </c>
      <c r="C4039" s="50"/>
      <c r="D4039" s="53">
        <f t="shared" si="62"/>
        <v>0</v>
      </c>
      <c r="E4039" s="60" t="str">
        <f>HYPERLINK("https://www.sds-group.ru/product/sterzhni-kleevye-11mm-100mm-krasnye-6-sht-up-blister-rexant-09-1229/", "Инфо")</f>
        <v>Инфо</v>
      </c>
      <c r="F4039" s="34" t="s">
        <v>1001</v>
      </c>
      <c r="G4039" s="33"/>
      <c r="H4039" s="33" t="s">
        <v>40</v>
      </c>
      <c r="I4039" s="33"/>
      <c r="J4039" s="35">
        <v>256</v>
      </c>
      <c r="K4039" s="33"/>
      <c r="L4039" s="35">
        <v>1</v>
      </c>
      <c r="M4039" s="35">
        <v>100</v>
      </c>
      <c r="N4039" s="35">
        <v>1</v>
      </c>
      <c r="O4039" s="36">
        <v>84.8</v>
      </c>
      <c r="P4039" s="36">
        <v>69.510000000000005</v>
      </c>
      <c r="Q4039" s="36">
        <v>59.36</v>
      </c>
      <c r="R4039" s="36">
        <v>48.66</v>
      </c>
      <c r="S4039" s="36">
        <v>57.66</v>
      </c>
      <c r="T4039" s="36">
        <v>47.26</v>
      </c>
      <c r="U4039" s="34"/>
      <c r="V4039" s="34"/>
      <c r="W4039" s="34"/>
      <c r="X4039" s="37">
        <v>8.6999999999999994E-2</v>
      </c>
      <c r="Y4039" s="38">
        <v>2.9E-4</v>
      </c>
      <c r="Z4039" s="21">
        <v>4601004145504</v>
      </c>
    </row>
    <row r="4040" spans="1:26" ht="12" customHeight="1" outlineLevel="3" x14ac:dyDescent="0.2">
      <c r="A4040" s="14" t="s">
        <v>7858</v>
      </c>
      <c r="B4040" s="26" t="s">
        <v>7859</v>
      </c>
      <c r="C4040" s="52"/>
      <c r="D4040" s="55">
        <f t="shared" si="62"/>
        <v>0</v>
      </c>
      <c r="E4040" s="63" t="str">
        <f>HYPERLINK("https://www.sds-group.ru/product/sterzhni-kleevye-11mm-100mm-prozrachnye-12-sht-up-blister-rexant-09-1220/", "Инфо")</f>
        <v>Инфо</v>
      </c>
      <c r="F4040" s="16" t="s">
        <v>1001</v>
      </c>
      <c r="G4040" s="15"/>
      <c r="H4040" s="15"/>
      <c r="I4040" s="15"/>
      <c r="J4040" s="22">
        <v>2858</v>
      </c>
      <c r="K4040" s="15" t="s">
        <v>1058</v>
      </c>
      <c r="L4040" s="17">
        <v>10</v>
      </c>
      <c r="M4040" s="17">
        <v>100</v>
      </c>
      <c r="N4040" s="17">
        <v>10</v>
      </c>
      <c r="O4040" s="18">
        <v>210.22</v>
      </c>
      <c r="P4040" s="18">
        <v>172.31</v>
      </c>
      <c r="Q4040" s="18">
        <v>147.15</v>
      </c>
      <c r="R4040" s="18">
        <v>120.61</v>
      </c>
      <c r="S4040" s="18">
        <v>142.94999999999999</v>
      </c>
      <c r="T4040" s="18">
        <v>117.17</v>
      </c>
      <c r="U4040" s="16"/>
      <c r="V4040" s="16"/>
      <c r="W4040" s="16"/>
      <c r="X4040" s="19">
        <v>0.14899999999999999</v>
      </c>
      <c r="Y4040" s="20">
        <v>4.4200000000000001E-4</v>
      </c>
      <c r="Z4040" s="21">
        <v>4601004028043</v>
      </c>
    </row>
    <row r="4041" spans="1:26" ht="12" customHeight="1" outlineLevel="3" x14ac:dyDescent="0.2">
      <c r="A4041" s="14" t="s">
        <v>7860</v>
      </c>
      <c r="B4041" s="26" t="s">
        <v>7861</v>
      </c>
      <c r="C4041" s="52"/>
      <c r="D4041" s="55">
        <f t="shared" ref="D4041:D4104" si="63">C4041*(O4041-O4041*$G$3)</f>
        <v>0</v>
      </c>
      <c r="E4041" s="63" t="str">
        <f>HYPERLINK("https://www.sds-group.ru/product/sterzhni-kleevye-11mm-100mm-prozrachnye-6-sht-up-blister-rexant-09-1225/", "Инфо")</f>
        <v>Инфо</v>
      </c>
      <c r="F4041" s="16" t="s">
        <v>1001</v>
      </c>
      <c r="G4041" s="15"/>
      <c r="H4041" s="15"/>
      <c r="I4041" s="15"/>
      <c r="J4041" s="17">
        <v>130</v>
      </c>
      <c r="K4041" s="15" t="s">
        <v>6633</v>
      </c>
      <c r="L4041" s="17">
        <v>10</v>
      </c>
      <c r="M4041" s="17">
        <v>100</v>
      </c>
      <c r="N4041" s="17">
        <v>10</v>
      </c>
      <c r="O4041" s="18">
        <v>106.72</v>
      </c>
      <c r="P4041" s="18">
        <v>87.48</v>
      </c>
      <c r="Q4041" s="18">
        <v>90.71</v>
      </c>
      <c r="R4041" s="18">
        <v>74.349999999999994</v>
      </c>
      <c r="S4041" s="18">
        <v>72.569999999999993</v>
      </c>
      <c r="T4041" s="18">
        <v>59.48</v>
      </c>
      <c r="U4041" s="16"/>
      <c r="V4041" s="16"/>
      <c r="W4041" s="16" t="s">
        <v>40</v>
      </c>
      <c r="X4041" s="19">
        <v>8.6999999999999994E-2</v>
      </c>
      <c r="Y4041" s="20">
        <v>2.99E-4</v>
      </c>
      <c r="Z4041" s="21">
        <v>4601004145474</v>
      </c>
    </row>
    <row r="4042" spans="1:26" ht="12" customHeight="1" outlineLevel="3" x14ac:dyDescent="0.2">
      <c r="A4042" s="32" t="s">
        <v>7862</v>
      </c>
      <c r="B4042" s="74" t="s">
        <v>7863</v>
      </c>
      <c r="C4042" s="50"/>
      <c r="D4042" s="53">
        <f t="shared" si="63"/>
        <v>0</v>
      </c>
      <c r="E4042" s="60" t="str">
        <f>HYPERLINK("https://www.sds-group.ru/product/sterzhni-kleevye-11mm-100mm-prozrachnye-svetyaschiesya-12-sht-up-blister-rexant-09-1260/", "Инфо")</f>
        <v>Инфо</v>
      </c>
      <c r="F4042" s="34" t="s">
        <v>1001</v>
      </c>
      <c r="G4042" s="33"/>
      <c r="H4042" s="33" t="s">
        <v>40</v>
      </c>
      <c r="I4042" s="33"/>
      <c r="J4042" s="35">
        <v>172</v>
      </c>
      <c r="K4042" s="33"/>
      <c r="L4042" s="35">
        <v>1</v>
      </c>
      <c r="M4042" s="35">
        <v>100</v>
      </c>
      <c r="N4042" s="35">
        <v>1</v>
      </c>
      <c r="O4042" s="36">
        <v>225.3</v>
      </c>
      <c r="P4042" s="36">
        <v>184.67</v>
      </c>
      <c r="Q4042" s="36">
        <v>191.51</v>
      </c>
      <c r="R4042" s="36">
        <v>156.97999999999999</v>
      </c>
      <c r="S4042" s="36">
        <v>153.19999999999999</v>
      </c>
      <c r="T4042" s="36">
        <v>125.57</v>
      </c>
      <c r="U4042" s="34"/>
      <c r="V4042" s="34"/>
      <c r="W4042" s="34" t="s">
        <v>40</v>
      </c>
      <c r="X4042" s="37">
        <v>0.14199999999999999</v>
      </c>
      <c r="Y4042" s="38">
        <v>4.37E-4</v>
      </c>
      <c r="Z4042" s="21">
        <v>4601004065949</v>
      </c>
    </row>
    <row r="4043" spans="1:26" ht="12" customHeight="1" outlineLevel="3" x14ac:dyDescent="0.2">
      <c r="A4043" s="32" t="s">
        <v>7864</v>
      </c>
      <c r="B4043" s="74" t="s">
        <v>7865</v>
      </c>
      <c r="C4043" s="50"/>
      <c r="D4043" s="53">
        <f t="shared" si="63"/>
        <v>0</v>
      </c>
      <c r="E4043" s="60" t="str">
        <f>HYPERLINK("https://www.sds-group.ru/product/sterzhni-kleevye-11mm-100mm-sinie-6-sht-up-blister-rexant-09-1227/", "Инфо")</f>
        <v>Инфо</v>
      </c>
      <c r="F4043" s="34" t="s">
        <v>1001</v>
      </c>
      <c r="G4043" s="33"/>
      <c r="H4043" s="33" t="s">
        <v>40</v>
      </c>
      <c r="I4043" s="33"/>
      <c r="J4043" s="35">
        <v>62</v>
      </c>
      <c r="K4043" s="33"/>
      <c r="L4043" s="35">
        <v>1</v>
      </c>
      <c r="M4043" s="35">
        <v>100</v>
      </c>
      <c r="N4043" s="35">
        <v>1</v>
      </c>
      <c r="O4043" s="36">
        <v>106.72</v>
      </c>
      <c r="P4043" s="36">
        <v>87.48</v>
      </c>
      <c r="Q4043" s="36">
        <v>74.7</v>
      </c>
      <c r="R4043" s="36">
        <v>61.23</v>
      </c>
      <c r="S4043" s="36">
        <v>72.569999999999993</v>
      </c>
      <c r="T4043" s="36">
        <v>59.48</v>
      </c>
      <c r="U4043" s="34"/>
      <c r="V4043" s="34"/>
      <c r="W4043" s="34"/>
      <c r="X4043" s="37">
        <v>8.8999999999999996E-2</v>
      </c>
      <c r="Y4043" s="38">
        <v>2.9799999999999998E-4</v>
      </c>
      <c r="Z4043" s="21">
        <v>4601004145481</v>
      </c>
    </row>
    <row r="4044" spans="1:26" ht="12" customHeight="1" outlineLevel="3" x14ac:dyDescent="0.2">
      <c r="A4044" s="14" t="s">
        <v>7866</v>
      </c>
      <c r="B4044" s="26" t="s">
        <v>7867</v>
      </c>
      <c r="C4044" s="52"/>
      <c r="D4044" s="55">
        <f t="shared" si="63"/>
        <v>0</v>
      </c>
      <c r="E4044" s="63" t="str">
        <f>HYPERLINK("https://www.sds-group.ru/product/sterzhni-kleevye-11mm-100mm-tsvetnye-12-sht-up-blister-rexant-09-1230/", "Инфо")</f>
        <v>Инфо</v>
      </c>
      <c r="F4044" s="16" t="s">
        <v>1001</v>
      </c>
      <c r="G4044" s="15"/>
      <c r="H4044" s="15"/>
      <c r="I4044" s="15"/>
      <c r="J4044" s="17">
        <v>138</v>
      </c>
      <c r="K4044" s="15" t="s">
        <v>1058</v>
      </c>
      <c r="L4044" s="17">
        <v>10</v>
      </c>
      <c r="M4044" s="17">
        <v>100</v>
      </c>
      <c r="N4044" s="17">
        <v>10</v>
      </c>
      <c r="O4044" s="18">
        <v>210.22</v>
      </c>
      <c r="P4044" s="18">
        <v>172.31</v>
      </c>
      <c r="Q4044" s="18">
        <v>178.69</v>
      </c>
      <c r="R4044" s="18">
        <v>146.47</v>
      </c>
      <c r="S4044" s="18">
        <v>142.94999999999999</v>
      </c>
      <c r="T4044" s="18">
        <v>117.17</v>
      </c>
      <c r="U4044" s="16"/>
      <c r="V4044" s="16"/>
      <c r="W4044" s="16" t="s">
        <v>40</v>
      </c>
      <c r="X4044" s="19">
        <v>0.14799999999999999</v>
      </c>
      <c r="Y4044" s="20">
        <v>4.35E-4</v>
      </c>
      <c r="Z4044" s="21">
        <v>4601004028050</v>
      </c>
    </row>
    <row r="4045" spans="1:26" ht="12" customHeight="1" outlineLevel="3" x14ac:dyDescent="0.2">
      <c r="A4045" s="14" t="s">
        <v>7868</v>
      </c>
      <c r="B4045" s="26" t="s">
        <v>7869</v>
      </c>
      <c r="C4045" s="52"/>
      <c r="D4045" s="55">
        <f t="shared" si="63"/>
        <v>0</v>
      </c>
      <c r="E4045" s="63" t="str">
        <f>HYPERLINK("https://www.sds-group.ru/product/sterzhni-kleevye-11mm-100mm-tsvetnye-s-blestkami-12-sht-up-blister-rexant-09-1235/", "Инфо")</f>
        <v>Инфо</v>
      </c>
      <c r="F4045" s="16" t="s">
        <v>1001</v>
      </c>
      <c r="G4045" s="15"/>
      <c r="H4045" s="15"/>
      <c r="I4045" s="15"/>
      <c r="J4045" s="17">
        <v>358</v>
      </c>
      <c r="K4045" s="15" t="s">
        <v>6633</v>
      </c>
      <c r="L4045" s="17">
        <v>10</v>
      </c>
      <c r="M4045" s="17">
        <v>100</v>
      </c>
      <c r="N4045" s="17">
        <v>10</v>
      </c>
      <c r="O4045" s="18">
        <v>210.22</v>
      </c>
      <c r="P4045" s="18">
        <v>172.31</v>
      </c>
      <c r="Q4045" s="18">
        <v>147.15</v>
      </c>
      <c r="R4045" s="18">
        <v>120.61</v>
      </c>
      <c r="S4045" s="18">
        <v>142.94999999999999</v>
      </c>
      <c r="T4045" s="18">
        <v>117.17</v>
      </c>
      <c r="U4045" s="16"/>
      <c r="V4045" s="16"/>
      <c r="W4045" s="16"/>
      <c r="X4045" s="19">
        <v>0.151</v>
      </c>
      <c r="Y4045" s="20">
        <v>4.4099999999999999E-4</v>
      </c>
      <c r="Z4045" s="21">
        <v>4601004028067</v>
      </c>
    </row>
    <row r="4046" spans="1:26" ht="12" customHeight="1" outlineLevel="3" x14ac:dyDescent="0.2">
      <c r="A4046" s="14" t="s">
        <v>7870</v>
      </c>
      <c r="B4046" s="26" t="s">
        <v>7871</v>
      </c>
      <c r="C4046" s="52"/>
      <c r="D4046" s="55">
        <f t="shared" si="63"/>
        <v>0</v>
      </c>
      <c r="E4046" s="63" t="str">
        <f>HYPERLINK("https://www.sds-group.ru/product/sterzhni-kleevye-11mm-270mm-belye-10-sht-up-heder-rexant-09-1277/", "Инфо")</f>
        <v>Инфо</v>
      </c>
      <c r="F4046" s="16" t="s">
        <v>1001</v>
      </c>
      <c r="G4046" s="15"/>
      <c r="H4046" s="15"/>
      <c r="I4046" s="15"/>
      <c r="J4046" s="17">
        <v>126</v>
      </c>
      <c r="K4046" s="15"/>
      <c r="L4046" s="17">
        <v>10</v>
      </c>
      <c r="M4046" s="17">
        <v>100</v>
      </c>
      <c r="N4046" s="17">
        <v>10</v>
      </c>
      <c r="O4046" s="18">
        <v>484.03</v>
      </c>
      <c r="P4046" s="18">
        <v>396.75</v>
      </c>
      <c r="Q4046" s="18">
        <v>387.22</v>
      </c>
      <c r="R4046" s="18">
        <v>317.39</v>
      </c>
      <c r="S4046" s="18">
        <v>329.14</v>
      </c>
      <c r="T4046" s="18">
        <v>269.79000000000002</v>
      </c>
      <c r="U4046" s="16"/>
      <c r="V4046" s="16"/>
      <c r="W4046" s="16" t="s">
        <v>40</v>
      </c>
      <c r="X4046" s="19">
        <v>0.27600000000000002</v>
      </c>
      <c r="Y4046" s="20">
        <v>4.4200000000000001E-4</v>
      </c>
      <c r="Z4046" s="21">
        <v>4601004145412</v>
      </c>
    </row>
    <row r="4047" spans="1:26" ht="12" customHeight="1" outlineLevel="3" x14ac:dyDescent="0.2">
      <c r="A4047" s="14" t="s">
        <v>7872</v>
      </c>
      <c r="B4047" s="26" t="s">
        <v>7873</v>
      </c>
      <c r="C4047" s="52"/>
      <c r="D4047" s="55">
        <f t="shared" si="63"/>
        <v>0</v>
      </c>
      <c r="E4047" s="63" t="str">
        <f>HYPERLINK("https://www.sds-group.ru/product/sterzhni-kleevye-11mm-270mm-zelenye-10-sht-up-heder-rexant-09-1273/", "Инфо")</f>
        <v>Инфо</v>
      </c>
      <c r="F4047" s="16" t="s">
        <v>1001</v>
      </c>
      <c r="G4047" s="15"/>
      <c r="H4047" s="15"/>
      <c r="I4047" s="15"/>
      <c r="J4047" s="17">
        <v>395</v>
      </c>
      <c r="K4047" s="15" t="s">
        <v>5329</v>
      </c>
      <c r="L4047" s="17">
        <v>10</v>
      </c>
      <c r="M4047" s="17">
        <v>100</v>
      </c>
      <c r="N4047" s="17">
        <v>10</v>
      </c>
      <c r="O4047" s="18">
        <v>484.03</v>
      </c>
      <c r="P4047" s="18">
        <v>396.75</v>
      </c>
      <c r="Q4047" s="18">
        <v>338.82</v>
      </c>
      <c r="R4047" s="18">
        <v>277.72000000000003</v>
      </c>
      <c r="S4047" s="18">
        <v>329.14</v>
      </c>
      <c r="T4047" s="18">
        <v>269.79000000000002</v>
      </c>
      <c r="U4047" s="16"/>
      <c r="V4047" s="16"/>
      <c r="W4047" s="16"/>
      <c r="X4047" s="19">
        <v>0.28499999999999998</v>
      </c>
      <c r="Y4047" s="20">
        <v>4.8099999999999998E-4</v>
      </c>
      <c r="Z4047" s="21">
        <v>4601004145450</v>
      </c>
    </row>
    <row r="4048" spans="1:26" ht="12" customHeight="1" outlineLevel="3" x14ac:dyDescent="0.2">
      <c r="A4048" s="14" t="s">
        <v>7874</v>
      </c>
      <c r="B4048" s="26" t="s">
        <v>7875</v>
      </c>
      <c r="C4048" s="52"/>
      <c r="D4048" s="55">
        <f t="shared" si="63"/>
        <v>0</v>
      </c>
      <c r="E4048" s="63" t="str">
        <f>HYPERLINK("https://www.sds-group.ru/product/sterzhni-kleevye-11mm-270mm-krasnye-10-sht-up-heder-rexant-09-1274/", "Инфо")</f>
        <v>Инфо</v>
      </c>
      <c r="F4048" s="16" t="s">
        <v>1001</v>
      </c>
      <c r="G4048" s="15"/>
      <c r="H4048" s="15"/>
      <c r="I4048" s="15"/>
      <c r="J4048" s="17">
        <v>259</v>
      </c>
      <c r="K4048" s="15" t="s">
        <v>6633</v>
      </c>
      <c r="L4048" s="17">
        <v>10</v>
      </c>
      <c r="M4048" s="17">
        <v>100</v>
      </c>
      <c r="N4048" s="17">
        <v>10</v>
      </c>
      <c r="O4048" s="18">
        <v>484.03</v>
      </c>
      <c r="P4048" s="18">
        <v>396.75</v>
      </c>
      <c r="Q4048" s="18">
        <v>387.22</v>
      </c>
      <c r="R4048" s="18">
        <v>317.39</v>
      </c>
      <c r="S4048" s="18">
        <v>329.14</v>
      </c>
      <c r="T4048" s="18">
        <v>269.79000000000002</v>
      </c>
      <c r="U4048" s="16"/>
      <c r="V4048" s="16"/>
      <c r="W4048" s="16" t="s">
        <v>40</v>
      </c>
      <c r="X4048" s="19">
        <v>0.28100000000000003</v>
      </c>
      <c r="Y4048" s="20">
        <v>4.6799999999999999E-4</v>
      </c>
      <c r="Z4048" s="21">
        <v>4601004145467</v>
      </c>
    </row>
    <row r="4049" spans="1:26" ht="12" customHeight="1" outlineLevel="3" x14ac:dyDescent="0.2">
      <c r="A4049" s="14" t="s">
        <v>7876</v>
      </c>
      <c r="B4049" s="26" t="s">
        <v>7877</v>
      </c>
      <c r="C4049" s="52"/>
      <c r="D4049" s="55">
        <f t="shared" si="63"/>
        <v>0</v>
      </c>
      <c r="E4049" s="63" t="str">
        <f>HYPERLINK("https://www.sds-group.ru/product/sterzhni-kleevye-11mm-270mm-prozrachnye-10-sht-up-heder-rexant-09-1270/", "Инфо")</f>
        <v>Инфо</v>
      </c>
      <c r="F4049" s="16" t="s">
        <v>1001</v>
      </c>
      <c r="G4049" s="15"/>
      <c r="H4049" s="15"/>
      <c r="I4049" s="15"/>
      <c r="J4049" s="16" t="s">
        <v>100</v>
      </c>
      <c r="K4049" s="15" t="s">
        <v>1058</v>
      </c>
      <c r="L4049" s="17">
        <v>10</v>
      </c>
      <c r="M4049" s="17">
        <v>100</v>
      </c>
      <c r="N4049" s="17">
        <v>10</v>
      </c>
      <c r="O4049" s="18">
        <v>484.03</v>
      </c>
      <c r="P4049" s="18">
        <v>396.75</v>
      </c>
      <c r="Q4049" s="18">
        <v>387.22</v>
      </c>
      <c r="R4049" s="18">
        <v>317.39</v>
      </c>
      <c r="S4049" s="18">
        <v>329.14</v>
      </c>
      <c r="T4049" s="18">
        <v>269.79000000000002</v>
      </c>
      <c r="U4049" s="16"/>
      <c r="V4049" s="16"/>
      <c r="W4049" s="16" t="s">
        <v>40</v>
      </c>
      <c r="X4049" s="19">
        <v>0.29799999999999999</v>
      </c>
      <c r="Y4049" s="20">
        <v>4.5300000000000001E-4</v>
      </c>
      <c r="Z4049" s="21">
        <v>4601004145429</v>
      </c>
    </row>
    <row r="4050" spans="1:26" ht="12" customHeight="1" outlineLevel="3" x14ac:dyDescent="0.2">
      <c r="A4050" s="14" t="s">
        <v>7878</v>
      </c>
      <c r="B4050" s="26" t="s">
        <v>7879</v>
      </c>
      <c r="C4050" s="52"/>
      <c r="D4050" s="55">
        <f t="shared" si="63"/>
        <v>0</v>
      </c>
      <c r="E4050" s="63" t="str">
        <f>HYPERLINK("https://www.sds-group.ru/product/sterzhni-kleevye-11mm-270mm-prozrachnye-1kg-0-5kg-0-5kg-paket-rexant-09-1857-1/", "Инфо")</f>
        <v>Инфо</v>
      </c>
      <c r="F4050" s="16" t="s">
        <v>7880</v>
      </c>
      <c r="G4050" s="15"/>
      <c r="H4050" s="15"/>
      <c r="I4050" s="15"/>
      <c r="J4050" s="16" t="s">
        <v>100</v>
      </c>
      <c r="K4050" s="15" t="s">
        <v>1058</v>
      </c>
      <c r="L4050" s="17">
        <v>1</v>
      </c>
      <c r="M4050" s="17">
        <v>25</v>
      </c>
      <c r="N4050" s="17">
        <v>1</v>
      </c>
      <c r="O4050" s="18">
        <v>1012.26</v>
      </c>
      <c r="P4050" s="18">
        <v>829.72</v>
      </c>
      <c r="Q4050" s="18">
        <v>799.69</v>
      </c>
      <c r="R4050" s="18">
        <v>655.48</v>
      </c>
      <c r="S4050" s="18">
        <v>688.34</v>
      </c>
      <c r="T4050" s="18">
        <v>564.21</v>
      </c>
      <c r="U4050" s="16"/>
      <c r="V4050" s="16"/>
      <c r="W4050" s="16" t="s">
        <v>40</v>
      </c>
      <c r="X4050" s="19">
        <v>1</v>
      </c>
      <c r="Y4050" s="20">
        <v>1.4660000000000001E-3</v>
      </c>
      <c r="Z4050" s="21">
        <v>4660008011031</v>
      </c>
    </row>
    <row r="4051" spans="1:26" ht="12" customHeight="1" outlineLevel="3" x14ac:dyDescent="0.2">
      <c r="A4051" s="32" t="s">
        <v>7881</v>
      </c>
      <c r="B4051" s="74" t="s">
        <v>7882</v>
      </c>
      <c r="C4051" s="50"/>
      <c r="D4051" s="53">
        <f t="shared" si="63"/>
        <v>0</v>
      </c>
      <c r="E4051" s="60" t="str">
        <f>HYPERLINK("https://www.sds-group.ru/product/sterzhni-kleevye-11mm-270mm-sinie-10-sht-up-heder-rexant-09-1272/", "Инфо")</f>
        <v>Инфо</v>
      </c>
      <c r="F4051" s="34" t="s">
        <v>1001</v>
      </c>
      <c r="G4051" s="33"/>
      <c r="H4051" s="33" t="s">
        <v>40</v>
      </c>
      <c r="I4051" s="33"/>
      <c r="J4051" s="35">
        <v>2</v>
      </c>
      <c r="K4051" s="33"/>
      <c r="L4051" s="35">
        <v>1</v>
      </c>
      <c r="M4051" s="35">
        <v>100</v>
      </c>
      <c r="N4051" s="35">
        <v>1</v>
      </c>
      <c r="O4051" s="36">
        <v>484.03</v>
      </c>
      <c r="P4051" s="36">
        <v>396.75</v>
      </c>
      <c r="Q4051" s="36">
        <v>387.22</v>
      </c>
      <c r="R4051" s="36">
        <v>317.39</v>
      </c>
      <c r="S4051" s="36">
        <v>329.14</v>
      </c>
      <c r="T4051" s="36">
        <v>269.79000000000002</v>
      </c>
      <c r="U4051" s="34"/>
      <c r="V4051" s="34"/>
      <c r="W4051" s="34" t="s">
        <v>40</v>
      </c>
      <c r="X4051" s="37">
        <v>0.27500000000000002</v>
      </c>
      <c r="Y4051" s="38">
        <v>4.7100000000000001E-4</v>
      </c>
      <c r="Z4051" s="21">
        <v>4601004145443</v>
      </c>
    </row>
    <row r="4052" spans="1:26" ht="12" customHeight="1" outlineLevel="3" x14ac:dyDescent="0.2">
      <c r="A4052" s="14" t="s">
        <v>7883</v>
      </c>
      <c r="B4052" s="26" t="s">
        <v>7884</v>
      </c>
      <c r="C4052" s="52"/>
      <c r="D4052" s="55">
        <f t="shared" si="63"/>
        <v>0</v>
      </c>
      <c r="E4052" s="63" t="str">
        <f>HYPERLINK("https://www.sds-group.ru/product/sterzhni-kleevye-11mm-270mm-tsvetnye-10-sht-up-heder-rexant-09-1280/", "Инфо")</f>
        <v>Инфо</v>
      </c>
      <c r="F4052" s="16" t="s">
        <v>1001</v>
      </c>
      <c r="G4052" s="15"/>
      <c r="H4052" s="15"/>
      <c r="I4052" s="15"/>
      <c r="J4052" s="16" t="s">
        <v>100</v>
      </c>
      <c r="K4052" s="15" t="s">
        <v>1058</v>
      </c>
      <c r="L4052" s="17">
        <v>10</v>
      </c>
      <c r="M4052" s="17">
        <v>100</v>
      </c>
      <c r="N4052" s="17">
        <v>10</v>
      </c>
      <c r="O4052" s="18">
        <v>484.03</v>
      </c>
      <c r="P4052" s="18">
        <v>396.75</v>
      </c>
      <c r="Q4052" s="18">
        <v>387.22</v>
      </c>
      <c r="R4052" s="18">
        <v>317.39</v>
      </c>
      <c r="S4052" s="18">
        <v>329.14</v>
      </c>
      <c r="T4052" s="18">
        <v>269.79000000000002</v>
      </c>
      <c r="U4052" s="16"/>
      <c r="V4052" s="16"/>
      <c r="W4052" s="16" t="s">
        <v>40</v>
      </c>
      <c r="X4052" s="19">
        <v>0.28000000000000003</v>
      </c>
      <c r="Y4052" s="20">
        <v>4.6900000000000002E-4</v>
      </c>
      <c r="Z4052" s="21">
        <v>4601004145528</v>
      </c>
    </row>
    <row r="4053" spans="1:26" ht="12" customHeight="1" outlineLevel="3" x14ac:dyDescent="0.2">
      <c r="A4053" s="32" t="s">
        <v>7885</v>
      </c>
      <c r="B4053" s="74" t="s">
        <v>7886</v>
      </c>
      <c r="C4053" s="50"/>
      <c r="D4053" s="53">
        <f t="shared" si="63"/>
        <v>0</v>
      </c>
      <c r="E4053" s="60" t="str">
        <f>HYPERLINK("https://www.sds-group.ru/product/sterzhni-kleevye-11mm-270mm-tsvetnye-s-blestkami-10-sht-up-heder-rexant-09-1285/", "Инфо")</f>
        <v>Инфо</v>
      </c>
      <c r="F4053" s="34" t="s">
        <v>1001</v>
      </c>
      <c r="G4053" s="33"/>
      <c r="H4053" s="33" t="s">
        <v>40</v>
      </c>
      <c r="I4053" s="33"/>
      <c r="J4053" s="35">
        <v>200</v>
      </c>
      <c r="K4053" s="33"/>
      <c r="L4053" s="35">
        <v>1</v>
      </c>
      <c r="M4053" s="35">
        <v>100</v>
      </c>
      <c r="N4053" s="35">
        <v>1</v>
      </c>
      <c r="O4053" s="36">
        <v>350</v>
      </c>
      <c r="P4053" s="36">
        <v>286.89</v>
      </c>
      <c r="Q4053" s="36">
        <v>245</v>
      </c>
      <c r="R4053" s="36">
        <v>200.82</v>
      </c>
      <c r="S4053" s="36">
        <v>238</v>
      </c>
      <c r="T4053" s="36">
        <v>195.08</v>
      </c>
      <c r="U4053" s="34"/>
      <c r="V4053" s="34"/>
      <c r="W4053" s="34"/>
      <c r="X4053" s="37">
        <v>0.23699999999999999</v>
      </c>
      <c r="Y4053" s="38">
        <v>6.3000000000000003E-4</v>
      </c>
      <c r="Z4053" s="21">
        <v>4601004145535</v>
      </c>
    </row>
    <row r="4054" spans="1:26" ht="12" customHeight="1" outlineLevel="3" x14ac:dyDescent="0.2">
      <c r="A4054" s="14" t="s">
        <v>7887</v>
      </c>
      <c r="B4054" s="26" t="s">
        <v>7888</v>
      </c>
      <c r="C4054" s="52"/>
      <c r="D4054" s="55">
        <f t="shared" si="63"/>
        <v>0</v>
      </c>
      <c r="E4054" s="63" t="str">
        <f>HYPERLINK("https://www.sds-group.ru/product/sterzhni-kleevye-11mm-270mm-chernye-10-sht-up-heder-rexant-09-1271/", "Инфо")</f>
        <v>Инфо</v>
      </c>
      <c r="F4054" s="16" t="s">
        <v>1001</v>
      </c>
      <c r="G4054" s="15"/>
      <c r="H4054" s="15"/>
      <c r="I4054" s="15"/>
      <c r="J4054" s="22">
        <v>1157</v>
      </c>
      <c r="K4054" s="15" t="s">
        <v>1058</v>
      </c>
      <c r="L4054" s="17">
        <v>10</v>
      </c>
      <c r="M4054" s="17">
        <v>100</v>
      </c>
      <c r="N4054" s="17">
        <v>10</v>
      </c>
      <c r="O4054" s="18">
        <v>484.03</v>
      </c>
      <c r="P4054" s="18">
        <v>396.75</v>
      </c>
      <c r="Q4054" s="18">
        <v>387.22</v>
      </c>
      <c r="R4054" s="18">
        <v>317.39</v>
      </c>
      <c r="S4054" s="18">
        <v>329.14</v>
      </c>
      <c r="T4054" s="18">
        <v>269.79000000000002</v>
      </c>
      <c r="U4054" s="16"/>
      <c r="V4054" s="16"/>
      <c r="W4054" s="16" t="s">
        <v>40</v>
      </c>
      <c r="X4054" s="19">
        <v>0.28000000000000003</v>
      </c>
      <c r="Y4054" s="20">
        <v>4.6500000000000003E-4</v>
      </c>
      <c r="Z4054" s="21">
        <v>4601004145436</v>
      </c>
    </row>
    <row r="4055" spans="1:26" ht="12" customHeight="1" outlineLevel="3" x14ac:dyDescent="0.2">
      <c r="A4055" s="14" t="s">
        <v>7889</v>
      </c>
      <c r="B4055" s="26" t="s">
        <v>7890</v>
      </c>
      <c r="C4055" s="52"/>
      <c r="D4055" s="55">
        <f t="shared" si="63"/>
        <v>0</v>
      </c>
      <c r="E4055" s="63" t="str">
        <f>HYPERLINK("https://www.sds-group.ru/product/sterzhni-kleevye-11mm-270mm-chernye-1kg-0-5kg-0-5kg-paket-rexant-09-1271-1/", "Инфо")</f>
        <v>Инфо</v>
      </c>
      <c r="F4055" s="16" t="s">
        <v>7880</v>
      </c>
      <c r="G4055" s="15"/>
      <c r="H4055" s="15"/>
      <c r="I4055" s="15"/>
      <c r="J4055" s="17">
        <v>467</v>
      </c>
      <c r="K4055" s="15" t="s">
        <v>1058</v>
      </c>
      <c r="L4055" s="17">
        <v>1</v>
      </c>
      <c r="M4055" s="17">
        <v>25</v>
      </c>
      <c r="N4055" s="17">
        <v>1</v>
      </c>
      <c r="O4055" s="18">
        <v>1130.8399999999999</v>
      </c>
      <c r="P4055" s="18">
        <v>926.92</v>
      </c>
      <c r="Q4055" s="18">
        <v>893.36</v>
      </c>
      <c r="R4055" s="18">
        <v>732.26</v>
      </c>
      <c r="S4055" s="18">
        <v>768.97</v>
      </c>
      <c r="T4055" s="18">
        <v>630.29999999999995</v>
      </c>
      <c r="U4055" s="16"/>
      <c r="V4055" s="16"/>
      <c r="W4055" s="16" t="s">
        <v>40</v>
      </c>
      <c r="X4055" s="19">
        <v>1.03</v>
      </c>
      <c r="Y4055" s="20">
        <v>1.5399999999999999E-3</v>
      </c>
      <c r="Z4055" s="21">
        <v>4601004145511</v>
      </c>
    </row>
    <row r="4056" spans="1:26" ht="12" customHeight="1" outlineLevel="3" x14ac:dyDescent="0.2">
      <c r="A4056" s="32" t="s">
        <v>7891</v>
      </c>
      <c r="B4056" s="74" t="s">
        <v>7892</v>
      </c>
      <c r="C4056" s="50"/>
      <c r="D4056" s="53">
        <f t="shared" si="63"/>
        <v>0</v>
      </c>
      <c r="E4056" s="60" t="str">
        <f>HYPERLINK("https://www.sds-group.ru/product/sterzhni-kleevye-7mm-100mm-zelenye-6-sht-up-blister-rexant-09-1018/", "Инфо")</f>
        <v>Инфо</v>
      </c>
      <c r="F4056" s="34" t="s">
        <v>1001</v>
      </c>
      <c r="G4056" s="33"/>
      <c r="H4056" s="33" t="s">
        <v>40</v>
      </c>
      <c r="I4056" s="33"/>
      <c r="J4056" s="35">
        <v>163</v>
      </c>
      <c r="K4056" s="33"/>
      <c r="L4056" s="35">
        <v>1</v>
      </c>
      <c r="M4056" s="35">
        <v>100</v>
      </c>
      <c r="N4056" s="35">
        <v>1</v>
      </c>
      <c r="O4056" s="36">
        <v>56.18</v>
      </c>
      <c r="P4056" s="36">
        <v>46.05</v>
      </c>
      <c r="Q4056" s="36">
        <v>39.33</v>
      </c>
      <c r="R4056" s="36">
        <v>32.24</v>
      </c>
      <c r="S4056" s="36">
        <v>38.200000000000003</v>
      </c>
      <c r="T4056" s="36">
        <v>31.31</v>
      </c>
      <c r="U4056" s="34"/>
      <c r="V4056" s="34"/>
      <c r="W4056" s="34"/>
      <c r="X4056" s="37">
        <v>0.05</v>
      </c>
      <c r="Y4056" s="38">
        <v>2.41E-4</v>
      </c>
      <c r="Z4056" s="21">
        <v>4601004145399</v>
      </c>
    </row>
    <row r="4057" spans="1:26" ht="12" customHeight="1" outlineLevel="3" x14ac:dyDescent="0.2">
      <c r="A4057" s="32" t="s">
        <v>7893</v>
      </c>
      <c r="B4057" s="74" t="s">
        <v>7894</v>
      </c>
      <c r="C4057" s="50"/>
      <c r="D4057" s="53">
        <f t="shared" si="63"/>
        <v>0</v>
      </c>
      <c r="E4057" s="60" t="str">
        <f>HYPERLINK("https://www.sds-group.ru/product/sterzhni-kleevye-7mm-100mm-krasnye-6-sht-up-blister-rexant-09-1019/", "Инфо")</f>
        <v>Инфо</v>
      </c>
      <c r="F4057" s="34" t="s">
        <v>1001</v>
      </c>
      <c r="G4057" s="33"/>
      <c r="H4057" s="33" t="s">
        <v>40</v>
      </c>
      <c r="I4057" s="33"/>
      <c r="J4057" s="35">
        <v>830</v>
      </c>
      <c r="K4057" s="33"/>
      <c r="L4057" s="35">
        <v>1</v>
      </c>
      <c r="M4057" s="35">
        <v>100</v>
      </c>
      <c r="N4057" s="35">
        <v>1</v>
      </c>
      <c r="O4057" s="36">
        <v>56.18</v>
      </c>
      <c r="P4057" s="36">
        <v>46.05</v>
      </c>
      <c r="Q4057" s="36">
        <v>39.33</v>
      </c>
      <c r="R4057" s="36">
        <v>32.24</v>
      </c>
      <c r="S4057" s="36">
        <v>38.200000000000003</v>
      </c>
      <c r="T4057" s="36">
        <v>31.31</v>
      </c>
      <c r="U4057" s="34"/>
      <c r="V4057" s="34"/>
      <c r="W4057" s="34"/>
      <c r="X4057" s="37">
        <v>4.9000000000000002E-2</v>
      </c>
      <c r="Y4057" s="38">
        <v>2.4899999999999998E-4</v>
      </c>
      <c r="Z4057" s="21">
        <v>4601004145405</v>
      </c>
    </row>
    <row r="4058" spans="1:26" ht="12" customHeight="1" outlineLevel="3" x14ac:dyDescent="0.2">
      <c r="A4058" s="14" t="s">
        <v>7895</v>
      </c>
      <c r="B4058" s="26" t="s">
        <v>7896</v>
      </c>
      <c r="C4058" s="52"/>
      <c r="D4058" s="55">
        <f t="shared" si="63"/>
        <v>0</v>
      </c>
      <c r="E4058" s="63" t="str">
        <f>HYPERLINK("https://www.sds-group.ru/product/sterzhni-kleevye-7mm-100mm-prozrachnye-12-sht-up-blister-rexant-09-1010/", "Инфо")</f>
        <v>Инфо</v>
      </c>
      <c r="F4058" s="16" t="s">
        <v>1001</v>
      </c>
      <c r="G4058" s="15"/>
      <c r="H4058" s="15"/>
      <c r="I4058" s="15"/>
      <c r="J4058" s="17">
        <v>875</v>
      </c>
      <c r="K4058" s="15" t="s">
        <v>1058</v>
      </c>
      <c r="L4058" s="17">
        <v>10</v>
      </c>
      <c r="M4058" s="17">
        <v>100</v>
      </c>
      <c r="N4058" s="17">
        <v>10</v>
      </c>
      <c r="O4058" s="18">
        <v>129.36000000000001</v>
      </c>
      <c r="P4058" s="18">
        <v>106.03</v>
      </c>
      <c r="Q4058" s="18">
        <v>109.96</v>
      </c>
      <c r="R4058" s="18">
        <v>90.13</v>
      </c>
      <c r="S4058" s="18">
        <v>87.96</v>
      </c>
      <c r="T4058" s="18">
        <v>72.099999999999994</v>
      </c>
      <c r="U4058" s="16"/>
      <c r="V4058" s="16"/>
      <c r="W4058" s="16" t="s">
        <v>40</v>
      </c>
      <c r="X4058" s="19">
        <v>7.6999999999999999E-2</v>
      </c>
      <c r="Y4058" s="20">
        <v>3.5E-4</v>
      </c>
      <c r="Z4058" s="21">
        <v>4601004028074</v>
      </c>
    </row>
    <row r="4059" spans="1:26" ht="12" customHeight="1" outlineLevel="3" x14ac:dyDescent="0.2">
      <c r="A4059" s="14" t="s">
        <v>7897</v>
      </c>
      <c r="B4059" s="26" t="s">
        <v>7898</v>
      </c>
      <c r="C4059" s="52"/>
      <c r="D4059" s="55">
        <f t="shared" si="63"/>
        <v>0</v>
      </c>
      <c r="E4059" s="63" t="str">
        <f>HYPERLINK("https://www.sds-group.ru/product/sterzhni-kleevye-7mm-100mm-prozrachnye-6-sht-up-blister-rexant-09-1015/", "Инфо")</f>
        <v>Инфо</v>
      </c>
      <c r="F4059" s="16" t="s">
        <v>1001</v>
      </c>
      <c r="G4059" s="15"/>
      <c r="H4059" s="15"/>
      <c r="I4059" s="15"/>
      <c r="J4059" s="17">
        <v>428</v>
      </c>
      <c r="K4059" s="15" t="s">
        <v>5329</v>
      </c>
      <c r="L4059" s="17">
        <v>10</v>
      </c>
      <c r="M4059" s="17">
        <v>100</v>
      </c>
      <c r="N4059" s="17">
        <v>10</v>
      </c>
      <c r="O4059" s="18">
        <v>66.83</v>
      </c>
      <c r="P4059" s="18">
        <v>54.78</v>
      </c>
      <c r="Q4059" s="18">
        <v>46.78</v>
      </c>
      <c r="R4059" s="18">
        <v>38.340000000000003</v>
      </c>
      <c r="S4059" s="18">
        <v>45.44</v>
      </c>
      <c r="T4059" s="18">
        <v>37.25</v>
      </c>
      <c r="U4059" s="16"/>
      <c r="V4059" s="16"/>
      <c r="W4059" s="16"/>
      <c r="X4059" s="19">
        <v>4.9000000000000002E-2</v>
      </c>
      <c r="Y4059" s="20">
        <v>2.43E-4</v>
      </c>
      <c r="Z4059" s="21">
        <v>4601004145375</v>
      </c>
    </row>
    <row r="4060" spans="1:26" ht="12" customHeight="1" outlineLevel="3" x14ac:dyDescent="0.2">
      <c r="A4060" s="14" t="s">
        <v>7899</v>
      </c>
      <c r="B4060" s="26" t="s">
        <v>7900</v>
      </c>
      <c r="C4060" s="52"/>
      <c r="D4060" s="55">
        <f t="shared" si="63"/>
        <v>0</v>
      </c>
      <c r="E4060" s="63" t="str">
        <f>HYPERLINK("https://www.sds-group.ru/product/sterzhni-kleevye-7mm-100mm-prozrachnye-svetyaschiesya-12-sht-up-blister-rexant-09-1060/", "Инфо")</f>
        <v>Инфо</v>
      </c>
      <c r="F4060" s="16" t="s">
        <v>1001</v>
      </c>
      <c r="G4060" s="15"/>
      <c r="H4060" s="15"/>
      <c r="I4060" s="15"/>
      <c r="J4060" s="22">
        <v>3602</v>
      </c>
      <c r="K4060" s="15"/>
      <c r="L4060" s="17">
        <v>10</v>
      </c>
      <c r="M4060" s="17">
        <v>100</v>
      </c>
      <c r="N4060" s="17">
        <v>10</v>
      </c>
      <c r="O4060" s="18">
        <v>139.06</v>
      </c>
      <c r="P4060" s="18">
        <v>113.98</v>
      </c>
      <c r="Q4060" s="18">
        <v>118.2</v>
      </c>
      <c r="R4060" s="18">
        <v>96.89</v>
      </c>
      <c r="S4060" s="18">
        <v>94.56</v>
      </c>
      <c r="T4060" s="18">
        <v>77.510000000000005</v>
      </c>
      <c r="U4060" s="16"/>
      <c r="V4060" s="16"/>
      <c r="W4060" s="16" t="s">
        <v>40</v>
      </c>
      <c r="X4060" s="19">
        <v>7.4999999999999997E-2</v>
      </c>
      <c r="Y4060" s="20">
        <v>3.4499999999999998E-4</v>
      </c>
      <c r="Z4060" s="21">
        <v>4601004065918</v>
      </c>
    </row>
    <row r="4061" spans="1:26" ht="12" customHeight="1" outlineLevel="3" x14ac:dyDescent="0.2">
      <c r="A4061" s="32" t="s">
        <v>7901</v>
      </c>
      <c r="B4061" s="74" t="s">
        <v>7902</v>
      </c>
      <c r="C4061" s="50"/>
      <c r="D4061" s="53">
        <f t="shared" si="63"/>
        <v>0</v>
      </c>
      <c r="E4061" s="60" t="str">
        <f>HYPERLINK("https://www.sds-group.ru/product/sterzhni-kleevye-7mm-100mm-sinie-6-sht-up-blister-rexant-09-1017/", "Инфо")</f>
        <v>Инфо</v>
      </c>
      <c r="F4061" s="34" t="s">
        <v>1001</v>
      </c>
      <c r="G4061" s="33"/>
      <c r="H4061" s="33" t="s">
        <v>40</v>
      </c>
      <c r="I4061" s="33"/>
      <c r="J4061" s="35">
        <v>112</v>
      </c>
      <c r="K4061" s="33"/>
      <c r="L4061" s="35">
        <v>1</v>
      </c>
      <c r="M4061" s="35">
        <v>100</v>
      </c>
      <c r="N4061" s="35">
        <v>1</v>
      </c>
      <c r="O4061" s="36">
        <v>56.18</v>
      </c>
      <c r="P4061" s="36">
        <v>46.05</v>
      </c>
      <c r="Q4061" s="36">
        <v>39.33</v>
      </c>
      <c r="R4061" s="36">
        <v>32.24</v>
      </c>
      <c r="S4061" s="36">
        <v>38.200000000000003</v>
      </c>
      <c r="T4061" s="36">
        <v>31.31</v>
      </c>
      <c r="U4061" s="34"/>
      <c r="V4061" s="34"/>
      <c r="W4061" s="34"/>
      <c r="X4061" s="37">
        <v>3.4000000000000002E-2</v>
      </c>
      <c r="Y4061" s="38">
        <v>2.2100000000000001E-4</v>
      </c>
      <c r="Z4061" s="21">
        <v>4601004145382</v>
      </c>
    </row>
    <row r="4062" spans="1:26" ht="12" customHeight="1" outlineLevel="3" x14ac:dyDescent="0.2">
      <c r="A4062" s="14" t="s">
        <v>7903</v>
      </c>
      <c r="B4062" s="26" t="s">
        <v>7904</v>
      </c>
      <c r="C4062" s="52"/>
      <c r="D4062" s="55">
        <f t="shared" si="63"/>
        <v>0</v>
      </c>
      <c r="E4062" s="63" t="str">
        <f>HYPERLINK("https://www.sds-group.ru/product/sterzhni-kleevye-7mm-100mm-tsvetnye-12-sht-up-blister-rexant-09-1020/", "Инфо")</f>
        <v>Инфо</v>
      </c>
      <c r="F4062" s="16" t="s">
        <v>1001</v>
      </c>
      <c r="G4062" s="15"/>
      <c r="H4062" s="15"/>
      <c r="I4062" s="15"/>
      <c r="J4062" s="22">
        <v>1265</v>
      </c>
      <c r="K4062" s="15" t="s">
        <v>1058</v>
      </c>
      <c r="L4062" s="17">
        <v>10</v>
      </c>
      <c r="M4062" s="17">
        <v>100</v>
      </c>
      <c r="N4062" s="17">
        <v>10</v>
      </c>
      <c r="O4062" s="18">
        <v>128.28</v>
      </c>
      <c r="P4062" s="18">
        <v>105.15</v>
      </c>
      <c r="Q4062" s="18">
        <v>109.04</v>
      </c>
      <c r="R4062" s="18">
        <v>89.38</v>
      </c>
      <c r="S4062" s="18">
        <v>87.23</v>
      </c>
      <c r="T4062" s="18">
        <v>71.5</v>
      </c>
      <c r="U4062" s="16"/>
      <c r="V4062" s="16"/>
      <c r="W4062" s="16" t="s">
        <v>40</v>
      </c>
      <c r="X4062" s="19">
        <v>7.8E-2</v>
      </c>
      <c r="Y4062" s="20">
        <v>3.3500000000000001E-4</v>
      </c>
      <c r="Z4062" s="21">
        <v>4601004028029</v>
      </c>
    </row>
    <row r="4063" spans="1:26" ht="12" customHeight="1" outlineLevel="3" x14ac:dyDescent="0.2">
      <c r="A4063" s="14" t="s">
        <v>7905</v>
      </c>
      <c r="B4063" s="26" t="s">
        <v>7906</v>
      </c>
      <c r="C4063" s="52"/>
      <c r="D4063" s="55">
        <f t="shared" si="63"/>
        <v>0</v>
      </c>
      <c r="E4063" s="63" t="str">
        <f>HYPERLINK("https://www.sds-group.ru/product/sterzhni-kleevye-7mm-100mm-tsvetnye-s-blestkami-12-sht-up-blister-rexant-09-1025/", "Инфо")</f>
        <v>Инфо</v>
      </c>
      <c r="F4063" s="16" t="s">
        <v>1001</v>
      </c>
      <c r="G4063" s="15"/>
      <c r="H4063" s="15"/>
      <c r="I4063" s="15"/>
      <c r="J4063" s="16" t="s">
        <v>100</v>
      </c>
      <c r="K4063" s="15" t="s">
        <v>6633</v>
      </c>
      <c r="L4063" s="17">
        <v>10</v>
      </c>
      <c r="M4063" s="17">
        <v>100</v>
      </c>
      <c r="N4063" s="17">
        <v>10</v>
      </c>
      <c r="O4063" s="18">
        <v>139.06</v>
      </c>
      <c r="P4063" s="18">
        <v>113.98</v>
      </c>
      <c r="Q4063" s="18">
        <v>97.34</v>
      </c>
      <c r="R4063" s="18">
        <v>79.790000000000006</v>
      </c>
      <c r="S4063" s="18">
        <v>94.56</v>
      </c>
      <c r="T4063" s="18">
        <v>77.510000000000005</v>
      </c>
      <c r="U4063" s="16"/>
      <c r="V4063" s="16"/>
      <c r="W4063" s="16"/>
      <c r="X4063" s="19">
        <v>7.6999999999999999E-2</v>
      </c>
      <c r="Y4063" s="20">
        <v>3.3700000000000001E-4</v>
      </c>
      <c r="Z4063" s="21">
        <v>4601004028036</v>
      </c>
    </row>
    <row r="4064" spans="1:26" ht="12" customHeight="1" outlineLevel="3" x14ac:dyDescent="0.2">
      <c r="A4064" s="32" t="s">
        <v>7907</v>
      </c>
      <c r="B4064" s="74" t="s">
        <v>7908</v>
      </c>
      <c r="C4064" s="50"/>
      <c r="D4064" s="53">
        <f t="shared" si="63"/>
        <v>0</v>
      </c>
      <c r="E4064" s="60" t="str">
        <f>HYPERLINK("https://www.sds-group.ru/product/sterzhni-kleevye-7mm-200mm-belye-10-sht-up-heder-rexant-09-1105/", "Инфо")</f>
        <v>Инфо</v>
      </c>
      <c r="F4064" s="34" t="s">
        <v>1001</v>
      </c>
      <c r="G4064" s="33"/>
      <c r="H4064" s="33" t="s">
        <v>40</v>
      </c>
      <c r="I4064" s="33"/>
      <c r="J4064" s="35">
        <v>105</v>
      </c>
      <c r="K4064" s="33"/>
      <c r="L4064" s="35">
        <v>1</v>
      </c>
      <c r="M4064" s="35">
        <v>100</v>
      </c>
      <c r="N4064" s="35">
        <v>1</v>
      </c>
      <c r="O4064" s="36">
        <v>145.54</v>
      </c>
      <c r="P4064" s="36">
        <v>119.3</v>
      </c>
      <c r="Q4064" s="36">
        <v>123.71</v>
      </c>
      <c r="R4064" s="36">
        <v>101.4</v>
      </c>
      <c r="S4064" s="36">
        <v>98.97</v>
      </c>
      <c r="T4064" s="36">
        <v>81.12</v>
      </c>
      <c r="U4064" s="34"/>
      <c r="V4064" s="34"/>
      <c r="W4064" s="34" t="s">
        <v>40</v>
      </c>
      <c r="X4064" s="37">
        <v>8.2000000000000003E-2</v>
      </c>
      <c r="Y4064" s="38">
        <v>1.7699999999999999E-4</v>
      </c>
      <c r="Z4064" s="21">
        <v>4601004252851</v>
      </c>
    </row>
    <row r="4065" spans="1:26" ht="12" customHeight="1" outlineLevel="3" x14ac:dyDescent="0.2">
      <c r="A4065" s="14" t="s">
        <v>7909</v>
      </c>
      <c r="B4065" s="26" t="s">
        <v>7910</v>
      </c>
      <c r="C4065" s="52"/>
      <c r="D4065" s="55">
        <f t="shared" si="63"/>
        <v>0</v>
      </c>
      <c r="E4065" s="63" t="str">
        <f>HYPERLINK("https://www.sds-group.ru/product/sterzhni-kleevye-7mm-200mm-prozrachnye-10-sht-up-heder-rexant-09-1103/", "Инфо")</f>
        <v>Инфо</v>
      </c>
      <c r="F4065" s="16" t="s">
        <v>1001</v>
      </c>
      <c r="G4065" s="15"/>
      <c r="H4065" s="15"/>
      <c r="I4065" s="15"/>
      <c r="J4065" s="17">
        <v>1</v>
      </c>
      <c r="K4065" s="15" t="s">
        <v>1058</v>
      </c>
      <c r="L4065" s="17">
        <v>10</v>
      </c>
      <c r="M4065" s="17">
        <v>100</v>
      </c>
      <c r="N4065" s="17">
        <v>10</v>
      </c>
      <c r="O4065" s="18">
        <v>145.54</v>
      </c>
      <c r="P4065" s="18">
        <v>119.3</v>
      </c>
      <c r="Q4065" s="18">
        <v>123.71</v>
      </c>
      <c r="R4065" s="18">
        <v>101.4</v>
      </c>
      <c r="S4065" s="18">
        <v>98.97</v>
      </c>
      <c r="T4065" s="18">
        <v>81.12</v>
      </c>
      <c r="U4065" s="16"/>
      <c r="V4065" s="16"/>
      <c r="W4065" s="16" t="s">
        <v>40</v>
      </c>
      <c r="X4065" s="19">
        <v>9.5000000000000001E-2</v>
      </c>
      <c r="Y4065" s="20">
        <v>1.6899999999999999E-4</v>
      </c>
      <c r="Z4065" s="21">
        <v>4601004145542</v>
      </c>
    </row>
    <row r="4066" spans="1:26" ht="12" customHeight="1" outlineLevel="3" x14ac:dyDescent="0.2">
      <c r="A4066" s="14" t="s">
        <v>7911</v>
      </c>
      <c r="B4066" s="26" t="s">
        <v>7912</v>
      </c>
      <c r="C4066" s="52"/>
      <c r="D4066" s="55">
        <f t="shared" si="63"/>
        <v>0</v>
      </c>
      <c r="E4066" s="63" t="str">
        <f>HYPERLINK("https://www.sds-group.ru/product/sterzhni-kleevye-7mm-200mm-prozrachnye-1kg-0-5kg-0-5kg-paket-rexant-09-1103-1/", "Инфо")</f>
        <v>Инфо</v>
      </c>
      <c r="F4066" s="16" t="s">
        <v>7880</v>
      </c>
      <c r="G4066" s="15"/>
      <c r="H4066" s="15"/>
      <c r="I4066" s="15"/>
      <c r="J4066" s="17">
        <v>168</v>
      </c>
      <c r="K4066" s="15" t="s">
        <v>6633</v>
      </c>
      <c r="L4066" s="17">
        <v>1</v>
      </c>
      <c r="M4066" s="17">
        <v>25</v>
      </c>
      <c r="N4066" s="17">
        <v>1</v>
      </c>
      <c r="O4066" s="18">
        <v>1238.6400000000001</v>
      </c>
      <c r="P4066" s="18">
        <v>1015.28</v>
      </c>
      <c r="Q4066" s="18">
        <v>978.53</v>
      </c>
      <c r="R4066" s="18">
        <v>802.07</v>
      </c>
      <c r="S4066" s="18">
        <v>842.28</v>
      </c>
      <c r="T4066" s="18">
        <v>690.39</v>
      </c>
      <c r="U4066" s="16"/>
      <c r="V4066" s="16"/>
      <c r="W4066" s="16" t="s">
        <v>40</v>
      </c>
      <c r="X4066" s="19">
        <v>1.0329999999999999</v>
      </c>
      <c r="Y4066" s="20">
        <v>1.6969999999999999E-3</v>
      </c>
      <c r="Z4066" s="21">
        <v>4601004145351</v>
      </c>
    </row>
    <row r="4067" spans="1:26" ht="12" customHeight="1" outlineLevel="3" x14ac:dyDescent="0.2">
      <c r="A4067" s="14" t="s">
        <v>7913</v>
      </c>
      <c r="B4067" s="26" t="s">
        <v>7914</v>
      </c>
      <c r="C4067" s="52"/>
      <c r="D4067" s="55">
        <f t="shared" si="63"/>
        <v>0</v>
      </c>
      <c r="E4067" s="63" t="str">
        <f>HYPERLINK("https://www.sds-group.ru/product/sterzhni-kleevye-7mm-200mm-chernye-10-sht-up-heder-rexant-09-1104/", "Инфо")</f>
        <v>Инфо</v>
      </c>
      <c r="F4067" s="16" t="s">
        <v>1001</v>
      </c>
      <c r="G4067" s="15"/>
      <c r="H4067" s="15"/>
      <c r="I4067" s="15"/>
      <c r="J4067" s="22">
        <v>3588</v>
      </c>
      <c r="K4067" s="15" t="s">
        <v>1058</v>
      </c>
      <c r="L4067" s="17">
        <v>10</v>
      </c>
      <c r="M4067" s="17">
        <v>100</v>
      </c>
      <c r="N4067" s="17">
        <v>10</v>
      </c>
      <c r="O4067" s="18">
        <v>145.54</v>
      </c>
      <c r="P4067" s="18">
        <v>119.3</v>
      </c>
      <c r="Q4067" s="18">
        <v>101.88</v>
      </c>
      <c r="R4067" s="18">
        <v>83.51</v>
      </c>
      <c r="S4067" s="18">
        <v>98.97</v>
      </c>
      <c r="T4067" s="18">
        <v>81.12</v>
      </c>
      <c r="U4067" s="16"/>
      <c r="V4067" s="16"/>
      <c r="W4067" s="16"/>
      <c r="X4067" s="19">
        <v>9.2999999999999999E-2</v>
      </c>
      <c r="Y4067" s="20">
        <v>1.7100000000000001E-4</v>
      </c>
      <c r="Z4067" s="21">
        <v>4601004145344</v>
      </c>
    </row>
    <row r="4068" spans="1:26" ht="12" customHeight="1" outlineLevel="3" x14ac:dyDescent="0.2">
      <c r="A4068" s="14" t="s">
        <v>7915</v>
      </c>
      <c r="B4068" s="26" t="s">
        <v>7916</v>
      </c>
      <c r="C4068" s="52"/>
      <c r="D4068" s="55">
        <f t="shared" si="63"/>
        <v>0</v>
      </c>
      <c r="E4068" s="63" t="str">
        <f>HYPERLINK("https://www.sds-group.ru/product/sterzhni-kleevye-7mm-200mm-chernye-1kg-0-5kg-0-5kg-paket-rexant-09-1104-1/", "Инфо")</f>
        <v>Инфо</v>
      </c>
      <c r="F4068" s="16" t="s">
        <v>7880</v>
      </c>
      <c r="G4068" s="15"/>
      <c r="H4068" s="15"/>
      <c r="I4068" s="15"/>
      <c r="J4068" s="17">
        <v>41</v>
      </c>
      <c r="K4068" s="15" t="s">
        <v>6633</v>
      </c>
      <c r="L4068" s="17">
        <v>1</v>
      </c>
      <c r="M4068" s="17">
        <v>25</v>
      </c>
      <c r="N4068" s="17">
        <v>1</v>
      </c>
      <c r="O4068" s="18">
        <v>1238.6400000000001</v>
      </c>
      <c r="P4068" s="18">
        <v>1015.28</v>
      </c>
      <c r="Q4068" s="18">
        <v>867.05</v>
      </c>
      <c r="R4068" s="18">
        <v>710.7</v>
      </c>
      <c r="S4068" s="18">
        <v>842.28</v>
      </c>
      <c r="T4068" s="18">
        <v>690.39</v>
      </c>
      <c r="U4068" s="16"/>
      <c r="V4068" s="16"/>
      <c r="W4068" s="16"/>
      <c r="X4068" s="19">
        <v>1.0309999999999999</v>
      </c>
      <c r="Y4068" s="20">
        <v>1.6789999999999999E-3</v>
      </c>
      <c r="Z4068" s="21">
        <v>4601004145368</v>
      </c>
    </row>
    <row r="4069" spans="1:26" ht="12.95" customHeight="1" outlineLevel="2" x14ac:dyDescent="0.2">
      <c r="A4069" s="76" t="s">
        <v>7917</v>
      </c>
      <c r="B4069" s="76"/>
      <c r="C4069" s="77"/>
      <c r="D4069" s="58"/>
      <c r="E4069" s="68"/>
      <c r="F4069" s="13"/>
      <c r="G4069" s="13"/>
      <c r="H4069" s="13"/>
      <c r="I4069" s="13"/>
      <c r="J4069" s="13"/>
      <c r="K4069" s="13"/>
      <c r="L4069" s="13"/>
      <c r="M4069" s="13"/>
      <c r="N4069" s="13"/>
      <c r="O4069" s="13"/>
      <c r="P4069" s="13"/>
      <c r="Q4069" s="13"/>
      <c r="R4069" s="13"/>
      <c r="S4069" s="13"/>
      <c r="T4069" s="13"/>
      <c r="U4069" s="13"/>
      <c r="V4069" s="13"/>
      <c r="W4069" s="13"/>
      <c r="X4069" s="13"/>
      <c r="Y4069" s="13"/>
      <c r="Z4069" s="13"/>
    </row>
    <row r="4070" spans="1:26" ht="12" customHeight="1" outlineLevel="3" x14ac:dyDescent="0.2">
      <c r="A4070" s="14" t="s">
        <v>7918</v>
      </c>
      <c r="B4070" s="26" t="s">
        <v>7919</v>
      </c>
      <c r="C4070" s="52"/>
      <c r="D4070" s="55">
        <f t="shared" si="63"/>
        <v>0</v>
      </c>
      <c r="E4070" s="63" t="str">
        <f>HYPERLINK("https://www.sds-group.ru/product/fen-stroitelnyy-kompakt-230-v-1800-vt-rexant-12-0051/", "Инфо")</f>
        <v>Инфо</v>
      </c>
      <c r="F4070" s="16" t="s">
        <v>39</v>
      </c>
      <c r="G4070" s="15"/>
      <c r="H4070" s="15"/>
      <c r="I4070" s="15"/>
      <c r="J4070" s="17">
        <v>725</v>
      </c>
      <c r="K4070" s="15" t="s">
        <v>6521</v>
      </c>
      <c r="L4070" s="17">
        <v>1</v>
      </c>
      <c r="M4070" s="17">
        <v>10</v>
      </c>
      <c r="N4070" s="17">
        <v>1</v>
      </c>
      <c r="O4070" s="18">
        <v>2154.96</v>
      </c>
      <c r="P4070" s="18">
        <v>1766.36</v>
      </c>
      <c r="Q4070" s="18">
        <v>1659.32</v>
      </c>
      <c r="R4070" s="18">
        <v>1360.1</v>
      </c>
      <c r="S4070" s="18">
        <v>1465.37</v>
      </c>
      <c r="T4070" s="18">
        <v>1201.1199999999999</v>
      </c>
      <c r="U4070" s="16"/>
      <c r="V4070" s="16"/>
      <c r="W4070" s="16" t="s">
        <v>40</v>
      </c>
      <c r="X4070" s="19">
        <v>0.81799999999999995</v>
      </c>
      <c r="Y4070" s="20">
        <v>5.4840000000000002E-3</v>
      </c>
      <c r="Z4070" s="21">
        <v>4601004134850</v>
      </c>
    </row>
    <row r="4071" spans="1:26" ht="12" customHeight="1" outlineLevel="3" x14ac:dyDescent="0.2">
      <c r="A4071" s="14" t="s">
        <v>7920</v>
      </c>
      <c r="B4071" s="26" t="s">
        <v>7921</v>
      </c>
      <c r="C4071" s="52"/>
      <c r="D4071" s="55">
        <f t="shared" si="63"/>
        <v>0</v>
      </c>
      <c r="E4071" s="63" t="str">
        <f>HYPERLINK("https://www.sds-group.ru/product/fen-stroitelnyy-master-230-v-1800-vt-s-termoregulyatorom-rexant-12-0056/", "Инфо")</f>
        <v>Инфо</v>
      </c>
      <c r="F4071" s="16" t="s">
        <v>39</v>
      </c>
      <c r="G4071" s="15"/>
      <c r="H4071" s="15"/>
      <c r="I4071" s="15"/>
      <c r="J4071" s="17">
        <v>192</v>
      </c>
      <c r="K4071" s="15"/>
      <c r="L4071" s="17">
        <v>1</v>
      </c>
      <c r="M4071" s="17">
        <v>10</v>
      </c>
      <c r="N4071" s="17">
        <v>1</v>
      </c>
      <c r="O4071" s="18">
        <v>3655.27</v>
      </c>
      <c r="P4071" s="18">
        <v>2996.12</v>
      </c>
      <c r="Q4071" s="18">
        <v>2558.69</v>
      </c>
      <c r="R4071" s="18">
        <v>2097.29</v>
      </c>
      <c r="S4071" s="18">
        <v>2485.58</v>
      </c>
      <c r="T4071" s="18">
        <v>2037.36</v>
      </c>
      <c r="U4071" s="16"/>
      <c r="V4071" s="16"/>
      <c r="W4071" s="16"/>
      <c r="X4071" s="19">
        <v>0.96599999999999997</v>
      </c>
      <c r="Y4071" s="20">
        <v>6.711E-3</v>
      </c>
      <c r="Z4071" s="21">
        <v>4601004063167</v>
      </c>
    </row>
    <row r="4072" spans="1:26" ht="12" customHeight="1" outlineLevel="3" x14ac:dyDescent="0.2">
      <c r="A4072" s="14" t="s">
        <v>7922</v>
      </c>
      <c r="B4072" s="26" t="s">
        <v>7923</v>
      </c>
      <c r="C4072" s="52"/>
      <c r="D4072" s="55">
        <f t="shared" si="63"/>
        <v>0</v>
      </c>
      <c r="E4072" s="63" t="str">
        <f>HYPERLINK("https://www.sds-group.ru/product/fen-stroitelnyy-master-230-v-1800-vt-s-termoregulyatorom-i-zhk-displeem-rexant-12-0057/", "Инфо")</f>
        <v>Инфо</v>
      </c>
      <c r="F4072" s="16" t="s">
        <v>39</v>
      </c>
      <c r="G4072" s="15"/>
      <c r="H4072" s="15"/>
      <c r="I4072" s="15"/>
      <c r="J4072" s="17">
        <v>49</v>
      </c>
      <c r="K4072" s="15" t="s">
        <v>6521</v>
      </c>
      <c r="L4072" s="17">
        <v>1</v>
      </c>
      <c r="M4072" s="17">
        <v>10</v>
      </c>
      <c r="N4072" s="17">
        <v>1</v>
      </c>
      <c r="O4072" s="18">
        <v>4699.33</v>
      </c>
      <c r="P4072" s="18">
        <v>3851.91</v>
      </c>
      <c r="Q4072" s="18">
        <v>3289.53</v>
      </c>
      <c r="R4072" s="18">
        <v>2696.34</v>
      </c>
      <c r="S4072" s="18">
        <v>3195.54</v>
      </c>
      <c r="T4072" s="18">
        <v>2619.3000000000002</v>
      </c>
      <c r="U4072" s="16"/>
      <c r="V4072" s="16"/>
      <c r="W4072" s="16"/>
      <c r="X4072" s="19">
        <v>0.97</v>
      </c>
      <c r="Y4072" s="20">
        <v>6.7400000000000003E-3</v>
      </c>
      <c r="Z4072" s="21">
        <v>4601004063174</v>
      </c>
    </row>
    <row r="4073" spans="1:26" ht="12" customHeight="1" outlineLevel="3" x14ac:dyDescent="0.2">
      <c r="A4073" s="14" t="s">
        <v>7924</v>
      </c>
      <c r="B4073" s="26" t="s">
        <v>7925</v>
      </c>
      <c r="C4073" s="52"/>
      <c r="D4073" s="55">
        <f t="shared" si="63"/>
        <v>0</v>
      </c>
      <c r="E4073" s="63" t="str">
        <f>HYPERLINK("https://www.sds-group.ru/product/fen-stroitelnyy-standart-230-v-1600-vt-rexant-12-0054/", "Инфо")</f>
        <v>Инфо</v>
      </c>
      <c r="F4073" s="16" t="s">
        <v>39</v>
      </c>
      <c r="G4073" s="15"/>
      <c r="H4073" s="15"/>
      <c r="I4073" s="15"/>
      <c r="J4073" s="17">
        <v>179</v>
      </c>
      <c r="K4073" s="15"/>
      <c r="L4073" s="17">
        <v>1</v>
      </c>
      <c r="M4073" s="17">
        <v>10</v>
      </c>
      <c r="N4073" s="17">
        <v>1</v>
      </c>
      <c r="O4073" s="18">
        <v>3125.18</v>
      </c>
      <c r="P4073" s="18">
        <v>2561.62</v>
      </c>
      <c r="Q4073" s="18">
        <v>2187.63</v>
      </c>
      <c r="R4073" s="18">
        <v>1793.14</v>
      </c>
      <c r="S4073" s="18">
        <v>2125.12</v>
      </c>
      <c r="T4073" s="18">
        <v>1741.9</v>
      </c>
      <c r="U4073" s="16"/>
      <c r="V4073" s="16"/>
      <c r="W4073" s="16"/>
      <c r="X4073" s="19">
        <v>0.93500000000000005</v>
      </c>
      <c r="Y4073" s="20">
        <v>6.5459999999999997E-3</v>
      </c>
      <c r="Z4073" s="21">
        <v>4601004001251</v>
      </c>
    </row>
    <row r="4074" spans="1:26" ht="12" customHeight="1" outlineLevel="3" x14ac:dyDescent="0.2">
      <c r="A4074" s="14" t="s">
        <v>7926</v>
      </c>
      <c r="B4074" s="26" t="s">
        <v>7927</v>
      </c>
      <c r="C4074" s="52"/>
      <c r="D4074" s="55">
        <f t="shared" si="63"/>
        <v>0</v>
      </c>
      <c r="E4074" s="63" t="str">
        <f>HYPERLINK("https://www.sds-group.ru/product/fen-stroitelnyy-standart-230-v-1800-vt-s-termoregulyatorom-rexant-12-0052/", "Инфо")</f>
        <v>Инфо</v>
      </c>
      <c r="F4074" s="16" t="s">
        <v>39</v>
      </c>
      <c r="G4074" s="15"/>
      <c r="H4074" s="15"/>
      <c r="I4074" s="15"/>
      <c r="J4074" s="17">
        <v>125</v>
      </c>
      <c r="K4074" s="15"/>
      <c r="L4074" s="17">
        <v>1</v>
      </c>
      <c r="M4074" s="17">
        <v>10</v>
      </c>
      <c r="N4074" s="17">
        <v>1</v>
      </c>
      <c r="O4074" s="18">
        <v>3514.47</v>
      </c>
      <c r="P4074" s="18">
        <v>2880.71</v>
      </c>
      <c r="Q4074" s="18">
        <v>2460.13</v>
      </c>
      <c r="R4074" s="18">
        <v>2016.5</v>
      </c>
      <c r="S4074" s="18">
        <v>2389.84</v>
      </c>
      <c r="T4074" s="18">
        <v>1958.89</v>
      </c>
      <c r="U4074" s="16"/>
      <c r="V4074" s="16"/>
      <c r="W4074" s="16"/>
      <c r="X4074" s="19">
        <v>0.97099999999999997</v>
      </c>
      <c r="Y4074" s="20">
        <v>5.8269999999999997E-3</v>
      </c>
      <c r="Z4074" s="21">
        <v>4601004001244</v>
      </c>
    </row>
    <row r="4075" spans="1:26" ht="12" customHeight="1" outlineLevel="3" x14ac:dyDescent="0.2">
      <c r="A4075" s="14" t="s">
        <v>7928</v>
      </c>
      <c r="B4075" s="26" t="s">
        <v>7929</v>
      </c>
      <c r="C4075" s="52"/>
      <c r="D4075" s="55">
        <f t="shared" si="63"/>
        <v>0</v>
      </c>
      <c r="E4075" s="63" t="str">
        <f>HYPERLINK("https://www.sds-group.ru/product/fen-stroitelnyy-standart-230-v-2000-vt-s-termoregulyatorom-i-displeem-rexant-12-0053/", "Инфо")</f>
        <v>Инфо</v>
      </c>
      <c r="F4075" s="16" t="s">
        <v>39</v>
      </c>
      <c r="G4075" s="15"/>
      <c r="H4075" s="15"/>
      <c r="I4075" s="15"/>
      <c r="J4075" s="17">
        <v>488</v>
      </c>
      <c r="K4075" s="15"/>
      <c r="L4075" s="17">
        <v>1</v>
      </c>
      <c r="M4075" s="17">
        <v>10</v>
      </c>
      <c r="N4075" s="17">
        <v>1</v>
      </c>
      <c r="O4075" s="18">
        <v>3771.99</v>
      </c>
      <c r="P4075" s="18">
        <v>3091.8</v>
      </c>
      <c r="Q4075" s="18">
        <v>2640.39</v>
      </c>
      <c r="R4075" s="18">
        <v>2164.25</v>
      </c>
      <c r="S4075" s="18">
        <v>2564.9499999999998</v>
      </c>
      <c r="T4075" s="18">
        <v>2102.42</v>
      </c>
      <c r="U4075" s="16"/>
      <c r="V4075" s="16"/>
      <c r="W4075" s="16"/>
      <c r="X4075" s="19">
        <v>1.0740000000000001</v>
      </c>
      <c r="Y4075" s="20">
        <v>6.2310000000000004E-3</v>
      </c>
      <c r="Z4075" s="21">
        <v>4601004199156</v>
      </c>
    </row>
    <row r="4076" spans="1:26" ht="12.95" customHeight="1" outlineLevel="2" x14ac:dyDescent="0.2">
      <c r="A4076" s="76" t="s">
        <v>7930</v>
      </c>
      <c r="B4076" s="76"/>
      <c r="C4076" s="77"/>
      <c r="D4076" s="58"/>
      <c r="E4076" s="68"/>
      <c r="F4076" s="13"/>
      <c r="G4076" s="13"/>
      <c r="H4076" s="13"/>
      <c r="I4076" s="13"/>
      <c r="J4076" s="13"/>
      <c r="K4076" s="13"/>
      <c r="L4076" s="13"/>
      <c r="M4076" s="13"/>
      <c r="N4076" s="13"/>
      <c r="O4076" s="13"/>
      <c r="P4076" s="13"/>
      <c r="Q4076" s="13"/>
      <c r="R4076" s="13"/>
      <c r="S4076" s="13"/>
      <c r="T4076" s="13"/>
      <c r="U4076" s="13"/>
      <c r="V4076" s="13"/>
      <c r="W4076" s="13"/>
      <c r="X4076" s="13"/>
      <c r="Y4076" s="13"/>
      <c r="Z4076" s="13"/>
    </row>
    <row r="4077" spans="1:26" ht="12" customHeight="1" outlineLevel="3" x14ac:dyDescent="0.2">
      <c r="A4077" s="14" t="s">
        <v>7931</v>
      </c>
      <c r="B4077" s="26" t="s">
        <v>7932</v>
      </c>
      <c r="C4077" s="52"/>
      <c r="D4077" s="55">
        <f t="shared" si="63"/>
        <v>0</v>
      </c>
      <c r="E4077" s="63" t="str">
        <f>HYPERLINK("https://www.sds-group.ru/product/drel-graver-12000-ob-min-12vt-10-nasadok-v-keyse-rexant-12-4451/", "Инфо")</f>
        <v>Инфо</v>
      </c>
      <c r="F4077" s="16" t="s">
        <v>39</v>
      </c>
      <c r="G4077" s="15"/>
      <c r="H4077" s="15"/>
      <c r="I4077" s="15"/>
      <c r="J4077" s="17">
        <v>31</v>
      </c>
      <c r="K4077" s="15" t="s">
        <v>7933</v>
      </c>
      <c r="L4077" s="17">
        <v>1</v>
      </c>
      <c r="M4077" s="17">
        <v>20</v>
      </c>
      <c r="N4077" s="17">
        <v>1</v>
      </c>
      <c r="O4077" s="18">
        <v>2748.04</v>
      </c>
      <c r="P4077" s="18">
        <v>2252.4899999999998</v>
      </c>
      <c r="Q4077" s="18">
        <v>2006.07</v>
      </c>
      <c r="R4077" s="18">
        <v>1644.32</v>
      </c>
      <c r="S4077" s="18">
        <v>1868.67</v>
      </c>
      <c r="T4077" s="18">
        <v>1531.7</v>
      </c>
      <c r="U4077" s="16"/>
      <c r="V4077" s="16"/>
      <c r="W4077" s="16" t="s">
        <v>40</v>
      </c>
      <c r="X4077" s="19">
        <v>0.44700000000000001</v>
      </c>
      <c r="Y4077" s="20">
        <v>2.2260000000000001E-3</v>
      </c>
      <c r="Z4077" s="21">
        <v>4660008014889</v>
      </c>
    </row>
    <row r="4078" spans="1:26" ht="12" customHeight="1" outlineLevel="3" x14ac:dyDescent="0.2">
      <c r="A4078" s="14" t="s">
        <v>7934</v>
      </c>
      <c r="B4078" s="26" t="s">
        <v>7935</v>
      </c>
      <c r="C4078" s="52"/>
      <c r="D4078" s="55">
        <f t="shared" si="63"/>
        <v>0</v>
      </c>
      <c r="E4078" s="63" t="str">
        <f>HYPERLINK("https://www.sds-group.ru/product/drel-graver-rexant-5000-18000-ob-min-20-vt-26-nasadok-blister-12-4453/", "Инфо")</f>
        <v>Инфо</v>
      </c>
      <c r="F4078" s="16" t="s">
        <v>39</v>
      </c>
      <c r="G4078" s="15"/>
      <c r="H4078" s="15"/>
      <c r="I4078" s="15"/>
      <c r="J4078" s="17">
        <v>69</v>
      </c>
      <c r="K4078" s="15" t="s">
        <v>1590</v>
      </c>
      <c r="L4078" s="17">
        <v>1</v>
      </c>
      <c r="M4078" s="17">
        <v>20</v>
      </c>
      <c r="N4078" s="17">
        <v>1</v>
      </c>
      <c r="O4078" s="18">
        <v>3718.09</v>
      </c>
      <c r="P4078" s="18">
        <v>3047.61</v>
      </c>
      <c r="Q4078" s="18">
        <v>2714.21</v>
      </c>
      <c r="R4078" s="18">
        <v>2224.7600000000002</v>
      </c>
      <c r="S4078" s="18">
        <v>2528.3000000000002</v>
      </c>
      <c r="T4078" s="18">
        <v>2072.38</v>
      </c>
      <c r="U4078" s="16"/>
      <c r="V4078" s="16"/>
      <c r="W4078" s="16" t="s">
        <v>40</v>
      </c>
      <c r="X4078" s="19">
        <v>0.34100000000000003</v>
      </c>
      <c r="Y4078" s="20">
        <v>1.4499999999999999E-3</v>
      </c>
      <c r="Z4078" s="21">
        <v>4601004005891</v>
      </c>
    </row>
    <row r="4079" spans="1:26" ht="12.95" customHeight="1" outlineLevel="2" x14ac:dyDescent="0.2">
      <c r="A4079" s="76" t="s">
        <v>7936</v>
      </c>
      <c r="B4079" s="76"/>
      <c r="C4079" s="77"/>
      <c r="D4079" s="58"/>
      <c r="E4079" s="68"/>
      <c r="F4079" s="13"/>
      <c r="G4079" s="13"/>
      <c r="H4079" s="13"/>
      <c r="I4079" s="13"/>
      <c r="J4079" s="13"/>
      <c r="K4079" s="13"/>
      <c r="L4079" s="13"/>
      <c r="M4079" s="13"/>
      <c r="N4079" s="13"/>
      <c r="O4079" s="13"/>
      <c r="P4079" s="13"/>
      <c r="Q4079" s="13"/>
      <c r="R4079" s="13"/>
      <c r="S4079" s="13"/>
      <c r="T4079" s="13"/>
      <c r="U4079" s="13"/>
      <c r="V4079" s="13"/>
      <c r="W4079" s="13"/>
      <c r="X4079" s="13"/>
      <c r="Y4079" s="13"/>
      <c r="Z4079" s="13"/>
    </row>
    <row r="4080" spans="1:26" ht="12" customHeight="1" outlineLevel="3" x14ac:dyDescent="0.2">
      <c r="A4080" s="32" t="s">
        <v>7937</v>
      </c>
      <c r="B4080" s="74" t="s">
        <v>7938</v>
      </c>
      <c r="C4080" s="50"/>
      <c r="D4080" s="53">
        <f t="shared" si="63"/>
        <v>0</v>
      </c>
      <c r="E4080" s="60" t="str">
        <f>HYPERLINK("https://www.sds-group.ru/product/ustroystvo-dlya-zapaivaniya-paketov-150vt-100-200-s-rexant-12-0055/", "Инфо")</f>
        <v>Инфо</v>
      </c>
      <c r="F4080" s="34" t="s">
        <v>39</v>
      </c>
      <c r="G4080" s="33"/>
      <c r="H4080" s="33" t="s">
        <v>40</v>
      </c>
      <c r="I4080" s="33"/>
      <c r="J4080" s="35">
        <v>94</v>
      </c>
      <c r="K4080" s="33"/>
      <c r="L4080" s="35">
        <v>1</v>
      </c>
      <c r="M4080" s="35">
        <v>20</v>
      </c>
      <c r="N4080" s="35">
        <v>1</v>
      </c>
      <c r="O4080" s="36">
        <v>1855</v>
      </c>
      <c r="P4080" s="36">
        <v>1520.49</v>
      </c>
      <c r="Q4080" s="36">
        <v>1298.5</v>
      </c>
      <c r="R4080" s="36">
        <v>1064.3399999999999</v>
      </c>
      <c r="S4080" s="36">
        <v>1261.4000000000001</v>
      </c>
      <c r="T4080" s="36">
        <v>1033.93</v>
      </c>
      <c r="U4080" s="34"/>
      <c r="V4080" s="34"/>
      <c r="W4080" s="34"/>
      <c r="X4080" s="37">
        <v>0.313</v>
      </c>
      <c r="Y4080" s="38">
        <v>5.8630000000000002E-3</v>
      </c>
      <c r="Z4080" s="21">
        <v>4601004001275</v>
      </c>
    </row>
    <row r="4081" spans="1:26" ht="12.95" customHeight="1" outlineLevel="2" x14ac:dyDescent="0.2">
      <c r="A4081" s="76" t="s">
        <v>7939</v>
      </c>
      <c r="B4081" s="76"/>
      <c r="C4081" s="77"/>
      <c r="D4081" s="58"/>
      <c r="E4081" s="68"/>
      <c r="F4081" s="13"/>
      <c r="G4081" s="13"/>
      <c r="H4081" s="13"/>
      <c r="I4081" s="13"/>
      <c r="J4081" s="13"/>
      <c r="K4081" s="13"/>
      <c r="L4081" s="13"/>
      <c r="M4081" s="13"/>
      <c r="N4081" s="13"/>
      <c r="O4081" s="13"/>
      <c r="P4081" s="13"/>
      <c r="Q4081" s="13"/>
      <c r="R4081" s="13"/>
      <c r="S4081" s="13"/>
      <c r="T4081" s="13"/>
      <c r="U4081" s="13"/>
      <c r="V4081" s="13"/>
      <c r="W4081" s="13"/>
      <c r="X4081" s="13"/>
      <c r="Y4081" s="13"/>
      <c r="Z4081" s="13"/>
    </row>
    <row r="4082" spans="1:26" ht="12" customHeight="1" outlineLevel="3" x14ac:dyDescent="0.2">
      <c r="A4082" s="14" t="s">
        <v>7940</v>
      </c>
      <c r="B4082" s="26" t="s">
        <v>7941</v>
      </c>
      <c r="C4082" s="52"/>
      <c r="D4082" s="55">
        <f t="shared" si="63"/>
        <v>0</v>
      </c>
      <c r="E4082" s="63" t="str">
        <f>HYPERLINK("https://www.sds-group.ru/product/drel-shurupovert-besschetochnaya-akkumulyatornaya-20v-55nm-2-akk-h-2ach-v-keyse-kranz-KR-PT-055/", "Инфо")</f>
        <v>Инфо</v>
      </c>
      <c r="F4082" s="16" t="s">
        <v>39</v>
      </c>
      <c r="G4082" s="15"/>
      <c r="H4082" s="15"/>
      <c r="I4082" s="15"/>
      <c r="J4082" s="17">
        <v>929</v>
      </c>
      <c r="K4082" s="15" t="s">
        <v>6939</v>
      </c>
      <c r="L4082" s="17">
        <v>1</v>
      </c>
      <c r="M4082" s="17">
        <v>4</v>
      </c>
      <c r="N4082" s="17">
        <v>1</v>
      </c>
      <c r="O4082" s="18">
        <v>12646</v>
      </c>
      <c r="P4082" s="18">
        <v>10365.57</v>
      </c>
      <c r="Q4082" s="18">
        <v>9863.8799999999992</v>
      </c>
      <c r="R4082" s="18">
        <v>8085.15</v>
      </c>
      <c r="S4082" s="18">
        <v>8599.2800000000007</v>
      </c>
      <c r="T4082" s="18">
        <v>7048.59</v>
      </c>
      <c r="U4082" s="16"/>
      <c r="V4082" s="16"/>
      <c r="W4082" s="16" t="s">
        <v>40</v>
      </c>
      <c r="X4082" s="19">
        <v>2.8639999999999999</v>
      </c>
      <c r="Y4082" s="20">
        <v>8.4919999999999995E-3</v>
      </c>
      <c r="Z4082" s="21">
        <v>4601004316492</v>
      </c>
    </row>
    <row r="4083" spans="1:26" ht="12.95" customHeight="1" outlineLevel="2" x14ac:dyDescent="0.2">
      <c r="A4083" s="76" t="s">
        <v>7942</v>
      </c>
      <c r="B4083" s="76"/>
      <c r="C4083" s="77"/>
      <c r="D4083" s="58"/>
      <c r="E4083" s="68"/>
      <c r="F4083" s="13"/>
      <c r="G4083" s="13"/>
      <c r="H4083" s="13"/>
      <c r="I4083" s="13"/>
      <c r="J4083" s="13"/>
      <c r="K4083" s="13"/>
      <c r="L4083" s="13"/>
      <c r="M4083" s="13"/>
      <c r="N4083" s="13"/>
      <c r="O4083" s="13"/>
      <c r="P4083" s="13"/>
      <c r="Q4083" s="13"/>
      <c r="R4083" s="13"/>
      <c r="S4083" s="13"/>
      <c r="T4083" s="13"/>
      <c r="U4083" s="13"/>
      <c r="V4083" s="13"/>
      <c r="W4083" s="13"/>
      <c r="X4083" s="13"/>
      <c r="Y4083" s="13"/>
      <c r="Z4083" s="13"/>
    </row>
    <row r="4084" spans="1:26" ht="12" customHeight="1" outlineLevel="3" x14ac:dyDescent="0.2">
      <c r="A4084" s="14" t="s">
        <v>7943</v>
      </c>
      <c r="B4084" s="26" t="s">
        <v>7944</v>
      </c>
      <c r="C4084" s="52"/>
      <c r="D4084" s="55">
        <f t="shared" si="63"/>
        <v>0</v>
      </c>
      <c r="E4084" s="63" t="str">
        <f>HYPERLINK("https://www.sds-group.ru/product/perforator-akkumulyatornyy-patron-sds-plus-2-2dzh-1h4ach-v-keyse-kranz-KR-PT-120/", "Инфо")</f>
        <v>Инфо</v>
      </c>
      <c r="F4084" s="16" t="s">
        <v>39</v>
      </c>
      <c r="G4084" s="15"/>
      <c r="H4084" s="15"/>
      <c r="I4084" s="15"/>
      <c r="J4084" s="17">
        <v>861</v>
      </c>
      <c r="K4084" s="15"/>
      <c r="L4084" s="17">
        <v>1</v>
      </c>
      <c r="M4084" s="17">
        <v>4</v>
      </c>
      <c r="N4084" s="17">
        <v>1</v>
      </c>
      <c r="O4084" s="18">
        <v>21021.39</v>
      </c>
      <c r="P4084" s="18">
        <v>17230.650000000001</v>
      </c>
      <c r="Q4084" s="18">
        <v>16396.68</v>
      </c>
      <c r="R4084" s="18">
        <v>13439.9</v>
      </c>
      <c r="S4084" s="18">
        <v>14294.55</v>
      </c>
      <c r="T4084" s="18">
        <v>11716.84</v>
      </c>
      <c r="U4084" s="16"/>
      <c r="V4084" s="16"/>
      <c r="W4084" s="16" t="s">
        <v>40</v>
      </c>
      <c r="X4084" s="19">
        <v>5.8789999999999996</v>
      </c>
      <c r="Y4084" s="20">
        <v>2.2619E-2</v>
      </c>
      <c r="Z4084" s="21">
        <v>4601004297975</v>
      </c>
    </row>
    <row r="4085" spans="1:26" ht="12" customHeight="1" outlineLevel="3" x14ac:dyDescent="0.2">
      <c r="A4085" s="14" t="s">
        <v>7945</v>
      </c>
      <c r="B4085" s="26" t="s">
        <v>7946</v>
      </c>
      <c r="C4085" s="52"/>
      <c r="D4085" s="55">
        <f t="shared" si="63"/>
        <v>0</v>
      </c>
      <c r="E4085" s="63" t="str">
        <f>HYPERLINK("https://www.sds-group.ru/product/perforator-setevoy-patron-sds-plus-1050vt-3-2dzh-v-keyse-kranz-KR-PT-110/", "Инфо")</f>
        <v>Инфо</v>
      </c>
      <c r="F4085" s="16" t="s">
        <v>39</v>
      </c>
      <c r="G4085" s="15"/>
      <c r="H4085" s="15"/>
      <c r="I4085" s="15"/>
      <c r="J4085" s="17">
        <v>873</v>
      </c>
      <c r="K4085" s="15" t="s">
        <v>6939</v>
      </c>
      <c r="L4085" s="17">
        <v>1</v>
      </c>
      <c r="M4085" s="17">
        <v>4</v>
      </c>
      <c r="N4085" s="17">
        <v>1</v>
      </c>
      <c r="O4085" s="18">
        <v>11828.28</v>
      </c>
      <c r="P4085" s="18">
        <v>9695.31</v>
      </c>
      <c r="Q4085" s="18">
        <v>9226.06</v>
      </c>
      <c r="R4085" s="18">
        <v>7562.34</v>
      </c>
      <c r="S4085" s="18">
        <v>8043.23</v>
      </c>
      <c r="T4085" s="18">
        <v>6592.81</v>
      </c>
      <c r="U4085" s="16"/>
      <c r="V4085" s="16"/>
      <c r="W4085" s="16" t="s">
        <v>40</v>
      </c>
      <c r="X4085" s="19">
        <v>5.7510000000000003</v>
      </c>
      <c r="Y4085" s="20">
        <v>1.5029000000000001E-2</v>
      </c>
      <c r="Z4085" s="21">
        <v>4601004297968</v>
      </c>
    </row>
    <row r="4086" spans="1:26" ht="12.95" customHeight="1" outlineLevel="2" x14ac:dyDescent="0.2">
      <c r="A4086" s="76" t="s">
        <v>7947</v>
      </c>
      <c r="B4086" s="76"/>
      <c r="C4086" s="77"/>
      <c r="D4086" s="58"/>
      <c r="E4086" s="68"/>
      <c r="F4086" s="13"/>
      <c r="G4086" s="13"/>
      <c r="H4086" s="13"/>
      <c r="I4086" s="13"/>
      <c r="J4086" s="13"/>
      <c r="K4086" s="13"/>
      <c r="L4086" s="13"/>
      <c r="M4086" s="13"/>
      <c r="N4086" s="13"/>
      <c r="O4086" s="13"/>
      <c r="P4086" s="13"/>
      <c r="Q4086" s="13"/>
      <c r="R4086" s="13"/>
      <c r="S4086" s="13"/>
      <c r="T4086" s="13"/>
      <c r="U4086" s="13"/>
      <c r="V4086" s="13"/>
      <c r="W4086" s="13"/>
      <c r="X4086" s="13"/>
      <c r="Y4086" s="13"/>
      <c r="Z4086" s="13"/>
    </row>
    <row r="4087" spans="1:26" ht="12" customHeight="1" outlineLevel="3" x14ac:dyDescent="0.2">
      <c r="A4087" s="14" t="s">
        <v>7948</v>
      </c>
      <c r="B4087" s="26" t="s">
        <v>7949</v>
      </c>
      <c r="C4087" s="52"/>
      <c r="D4087" s="55">
        <f t="shared" si="63"/>
        <v>0</v>
      </c>
      <c r="E4087" s="63" t="str">
        <f>HYPERLINK("https://www.sds-group.ru/product/uglovaya-shlifovalnaya-mashina-ushm-bolgarka-akkumulyatornaya-1h4ach-v-keyse-kranz-KR-PT-250/", "Инфо")</f>
        <v>Инфо</v>
      </c>
      <c r="F4087" s="16" t="s">
        <v>39</v>
      </c>
      <c r="G4087" s="15"/>
      <c r="H4087" s="15"/>
      <c r="I4087" s="15"/>
      <c r="J4087" s="22">
        <v>1344</v>
      </c>
      <c r="K4087" s="15"/>
      <c r="L4087" s="17">
        <v>1</v>
      </c>
      <c r="M4087" s="17">
        <v>4</v>
      </c>
      <c r="N4087" s="17">
        <v>1</v>
      </c>
      <c r="O4087" s="18">
        <v>18550</v>
      </c>
      <c r="P4087" s="18">
        <v>15204.92</v>
      </c>
      <c r="Q4087" s="18">
        <v>14469</v>
      </c>
      <c r="R4087" s="18">
        <v>11859.84</v>
      </c>
      <c r="S4087" s="18">
        <v>12614</v>
      </c>
      <c r="T4087" s="18">
        <v>10339.34</v>
      </c>
      <c r="U4087" s="16"/>
      <c r="V4087" s="16"/>
      <c r="W4087" s="16" t="s">
        <v>40</v>
      </c>
      <c r="X4087" s="19">
        <v>4.6890000000000001</v>
      </c>
      <c r="Y4087" s="20">
        <v>1.8196E-2</v>
      </c>
      <c r="Z4087" s="21">
        <v>4601004297951</v>
      </c>
    </row>
    <row r="4088" spans="1:26" ht="12" customHeight="1" outlineLevel="3" x14ac:dyDescent="0.2">
      <c r="A4088" s="14" t="s">
        <v>7950</v>
      </c>
      <c r="B4088" s="26" t="s">
        <v>7951</v>
      </c>
      <c r="C4088" s="52"/>
      <c r="D4088" s="55">
        <f t="shared" si="63"/>
        <v>0</v>
      </c>
      <c r="E4088" s="63" t="str">
        <f>HYPERLINK("https://www.sds-group.ru/product/uglovaya-shlifovalnaya-mashina-ushm-bolgarka-125mm-900vt-kranz-KR-PT-212/", "Инфо")</f>
        <v>Инфо</v>
      </c>
      <c r="F4088" s="16" t="s">
        <v>39</v>
      </c>
      <c r="G4088" s="15"/>
      <c r="H4088" s="15"/>
      <c r="I4088" s="15"/>
      <c r="J4088" s="17">
        <v>982</v>
      </c>
      <c r="K4088" s="15" t="s">
        <v>6939</v>
      </c>
      <c r="L4088" s="17">
        <v>1</v>
      </c>
      <c r="M4088" s="17">
        <v>10</v>
      </c>
      <c r="N4088" s="17">
        <v>1</v>
      </c>
      <c r="O4088" s="18">
        <v>5182.79</v>
      </c>
      <c r="P4088" s="18">
        <v>4248.1899999999996</v>
      </c>
      <c r="Q4088" s="18">
        <v>3783.44</v>
      </c>
      <c r="R4088" s="18">
        <v>3101.18</v>
      </c>
      <c r="S4088" s="18">
        <v>3524.3</v>
      </c>
      <c r="T4088" s="18">
        <v>2888.77</v>
      </c>
      <c r="U4088" s="16"/>
      <c r="V4088" s="16"/>
      <c r="W4088" s="16" t="s">
        <v>40</v>
      </c>
      <c r="X4088" s="19">
        <v>2.4489999999999998</v>
      </c>
      <c r="Y4088" s="20">
        <v>5.1599999999999997E-3</v>
      </c>
      <c r="Z4088" s="21">
        <v>4601004297982</v>
      </c>
    </row>
    <row r="4089" spans="1:26" ht="12.95" customHeight="1" outlineLevel="1" x14ac:dyDescent="0.2">
      <c r="A4089" s="78" t="s">
        <v>7952</v>
      </c>
      <c r="B4089" s="78"/>
      <c r="C4089" s="79"/>
      <c r="D4089" s="57"/>
      <c r="E4089" s="67"/>
      <c r="F4089" s="12"/>
      <c r="G4089" s="12"/>
      <c r="H4089" s="12"/>
      <c r="I4089" s="12"/>
      <c r="J4089" s="12"/>
      <c r="K4089" s="12"/>
      <c r="L4089" s="12"/>
      <c r="M4089" s="12"/>
      <c r="N4089" s="12"/>
      <c r="O4089" s="12"/>
      <c r="P4089" s="12"/>
      <c r="Q4089" s="12"/>
      <c r="R4089" s="12"/>
      <c r="S4089" s="12"/>
      <c r="T4089" s="12"/>
      <c r="U4089" s="12"/>
      <c r="V4089" s="12"/>
      <c r="W4089" s="12"/>
      <c r="X4089" s="12"/>
      <c r="Y4089" s="12"/>
      <c r="Z4089" s="12"/>
    </row>
    <row r="4090" spans="1:26" ht="12.95" customHeight="1" outlineLevel="2" x14ac:dyDescent="0.2">
      <c r="A4090" s="76" t="s">
        <v>7953</v>
      </c>
      <c r="B4090" s="76"/>
      <c r="C4090" s="77"/>
      <c r="D4090" s="58"/>
      <c r="E4090" s="68"/>
      <c r="F4090" s="13"/>
      <c r="G4090" s="13"/>
      <c r="H4090" s="13"/>
      <c r="I4090" s="13"/>
      <c r="J4090" s="13"/>
      <c r="K4090" s="13"/>
      <c r="L4090" s="13"/>
      <c r="M4090" s="13"/>
      <c r="N4090" s="13"/>
      <c r="O4090" s="13"/>
      <c r="P4090" s="13"/>
      <c r="Q4090" s="13"/>
      <c r="R4090" s="13"/>
      <c r="S4090" s="13"/>
      <c r="T4090" s="13"/>
      <c r="U4090" s="13"/>
      <c r="V4090" s="13"/>
      <c r="W4090" s="13"/>
      <c r="X4090" s="13"/>
      <c r="Y4090" s="13"/>
      <c r="Z4090" s="13"/>
    </row>
    <row r="4091" spans="1:26" ht="12.95" customHeight="1" outlineLevel="3" x14ac:dyDescent="0.2">
      <c r="A4091" s="76" t="s">
        <v>7954</v>
      </c>
      <c r="B4091" s="76"/>
      <c r="C4091" s="77"/>
      <c r="D4091" s="58"/>
      <c r="E4091" s="68"/>
      <c r="F4091" s="13"/>
      <c r="G4091" s="13"/>
      <c r="H4091" s="13"/>
      <c r="I4091" s="13"/>
      <c r="J4091" s="13"/>
      <c r="K4091" s="13"/>
      <c r="L4091" s="13"/>
      <c r="M4091" s="13"/>
      <c r="N4091" s="13"/>
      <c r="O4091" s="13"/>
      <c r="P4091" s="13"/>
      <c r="Q4091" s="13"/>
      <c r="R4091" s="13"/>
      <c r="S4091" s="13"/>
      <c r="T4091" s="13"/>
      <c r="U4091" s="13"/>
      <c r="V4091" s="13"/>
      <c r="W4091" s="13"/>
      <c r="X4091" s="13"/>
      <c r="Y4091" s="13"/>
      <c r="Z4091" s="13"/>
    </row>
    <row r="4092" spans="1:26" ht="12" customHeight="1" outlineLevel="4" x14ac:dyDescent="0.2">
      <c r="A4092" s="32" t="s">
        <v>7955</v>
      </c>
      <c r="B4092" s="74" t="s">
        <v>7956</v>
      </c>
      <c r="C4092" s="50"/>
      <c r="D4092" s="53">
        <f t="shared" si="63"/>
        <v>0</v>
      </c>
      <c r="E4092" s="60" t="str">
        <f>HYPERLINK("https://www.sds-group.ru/product/bur-po-betonu-10x210mm-hvostovik-sds-plus-10-sht-rexant-91-0019-4/", "Инфо")</f>
        <v>Инфо</v>
      </c>
      <c r="F4092" s="34" t="s">
        <v>39</v>
      </c>
      <c r="G4092" s="33"/>
      <c r="H4092" s="33" t="s">
        <v>40</v>
      </c>
      <c r="I4092" s="33"/>
      <c r="J4092" s="35">
        <v>320</v>
      </c>
      <c r="K4092" s="33"/>
      <c r="L4092" s="35">
        <v>10</v>
      </c>
      <c r="M4092" s="35">
        <v>200</v>
      </c>
      <c r="N4092" s="35">
        <v>10</v>
      </c>
      <c r="O4092" s="36">
        <v>111.08</v>
      </c>
      <c r="P4092" s="36">
        <v>91.05</v>
      </c>
      <c r="Q4092" s="36">
        <v>77.760000000000005</v>
      </c>
      <c r="R4092" s="36">
        <v>63.74</v>
      </c>
      <c r="S4092" s="36">
        <v>75.53</v>
      </c>
      <c r="T4092" s="36">
        <v>61.91</v>
      </c>
      <c r="U4092" s="34"/>
      <c r="V4092" s="34"/>
      <c r="W4092" s="34"/>
      <c r="X4092" s="37">
        <v>8.5000000000000006E-2</v>
      </c>
      <c r="Y4092" s="38">
        <v>3.8000000000000002E-5</v>
      </c>
      <c r="Z4092" s="21">
        <v>4601004170261</v>
      </c>
    </row>
    <row r="4093" spans="1:26" ht="12.95" customHeight="1" outlineLevel="3" x14ac:dyDescent="0.2">
      <c r="A4093" s="76" t="s">
        <v>7957</v>
      </c>
      <c r="B4093" s="76"/>
      <c r="C4093" s="77"/>
      <c r="D4093" s="58"/>
      <c r="E4093" s="68"/>
      <c r="F4093" s="13"/>
      <c r="G4093" s="13"/>
      <c r="H4093" s="13"/>
      <c r="I4093" s="13"/>
      <c r="J4093" s="13"/>
      <c r="K4093" s="13"/>
      <c r="L4093" s="13"/>
      <c r="M4093" s="13"/>
      <c r="N4093" s="13"/>
      <c r="O4093" s="13"/>
      <c r="P4093" s="13"/>
      <c r="Q4093" s="13"/>
      <c r="R4093" s="13"/>
      <c r="S4093" s="13"/>
      <c r="T4093" s="13"/>
      <c r="U4093" s="13"/>
      <c r="V4093" s="13"/>
      <c r="W4093" s="13"/>
      <c r="X4093" s="13"/>
      <c r="Y4093" s="13"/>
      <c r="Z4093" s="13"/>
    </row>
    <row r="4094" spans="1:26" ht="12" customHeight="1" outlineLevel="4" x14ac:dyDescent="0.2">
      <c r="A4094" s="32" t="s">
        <v>7958</v>
      </c>
      <c r="B4094" s="74" t="s">
        <v>7959</v>
      </c>
      <c r="C4094" s="50"/>
      <c r="D4094" s="53">
        <f t="shared" si="63"/>
        <v>0</v>
      </c>
      <c r="E4094" s="60" t="str">
        <f>HYPERLINK("https://www.sds-group.ru/product/bur-po-betonu-10h460mm-krestovaya-plastina-hvostovik-sds-plus-rexant-91-0826/", "Инфо")</f>
        <v>Инфо</v>
      </c>
      <c r="F4094" s="34" t="s">
        <v>39</v>
      </c>
      <c r="G4094" s="33"/>
      <c r="H4094" s="33" t="s">
        <v>40</v>
      </c>
      <c r="I4094" s="33"/>
      <c r="J4094" s="35">
        <v>35</v>
      </c>
      <c r="K4094" s="33"/>
      <c r="L4094" s="35">
        <v>1</v>
      </c>
      <c r="M4094" s="35">
        <v>80</v>
      </c>
      <c r="N4094" s="35">
        <v>1</v>
      </c>
      <c r="O4094" s="36">
        <v>378.04</v>
      </c>
      <c r="P4094" s="36">
        <v>309.87</v>
      </c>
      <c r="Q4094" s="36">
        <v>264.63</v>
      </c>
      <c r="R4094" s="36">
        <v>216.91</v>
      </c>
      <c r="S4094" s="36">
        <v>257.07</v>
      </c>
      <c r="T4094" s="36">
        <v>210.71</v>
      </c>
      <c r="U4094" s="34"/>
      <c r="V4094" s="34"/>
      <c r="W4094" s="34"/>
      <c r="X4094" s="37">
        <v>0.17899999999999999</v>
      </c>
      <c r="Y4094" s="38">
        <v>2.0900000000000001E-4</v>
      </c>
      <c r="Z4094" s="21">
        <v>4601004170056</v>
      </c>
    </row>
    <row r="4095" spans="1:26" ht="12.95" customHeight="1" outlineLevel="2" x14ac:dyDescent="0.2">
      <c r="A4095" s="76" t="s">
        <v>7960</v>
      </c>
      <c r="B4095" s="76"/>
      <c r="C4095" s="77"/>
      <c r="D4095" s="58"/>
      <c r="E4095" s="68"/>
      <c r="F4095" s="13"/>
      <c r="G4095" s="13"/>
      <c r="H4095" s="13"/>
      <c r="I4095" s="13"/>
      <c r="J4095" s="13"/>
      <c r="K4095" s="13"/>
      <c r="L4095" s="13"/>
      <c r="M4095" s="13"/>
      <c r="N4095" s="13"/>
      <c r="O4095" s="13"/>
      <c r="P4095" s="13"/>
      <c r="Q4095" s="13"/>
      <c r="R4095" s="13"/>
      <c r="S4095" s="13"/>
      <c r="T4095" s="13"/>
      <c r="U4095" s="13"/>
      <c r="V4095" s="13"/>
      <c r="W4095" s="13"/>
      <c r="X4095" s="13"/>
      <c r="Y4095" s="13"/>
      <c r="Z4095" s="13"/>
    </row>
    <row r="4096" spans="1:26" ht="12.95" customHeight="1" outlineLevel="3" x14ac:dyDescent="0.2">
      <c r="A4096" s="76" t="s">
        <v>7961</v>
      </c>
      <c r="B4096" s="76"/>
      <c r="C4096" s="77"/>
      <c r="D4096" s="58"/>
      <c r="E4096" s="68"/>
      <c r="F4096" s="13"/>
      <c r="G4096" s="13"/>
      <c r="H4096" s="13"/>
      <c r="I4096" s="13"/>
      <c r="J4096" s="13"/>
      <c r="K4096" s="13"/>
      <c r="L4096" s="13"/>
      <c r="M4096" s="13"/>
      <c r="N4096" s="13"/>
      <c r="O4096" s="13"/>
      <c r="P4096" s="13"/>
      <c r="Q4096" s="13"/>
      <c r="R4096" s="13"/>
      <c r="S4096" s="13"/>
      <c r="T4096" s="13"/>
      <c r="U4096" s="13"/>
      <c r="V4096" s="13"/>
      <c r="W4096" s="13"/>
      <c r="X4096" s="13"/>
      <c r="Y4096" s="13"/>
      <c r="Z4096" s="13"/>
    </row>
    <row r="4097" spans="1:26" ht="12" customHeight="1" outlineLevel="4" x14ac:dyDescent="0.2">
      <c r="A4097" s="32" t="s">
        <v>7962</v>
      </c>
      <c r="B4097" s="74" t="s">
        <v>7963</v>
      </c>
      <c r="C4097" s="50"/>
      <c r="D4097" s="53">
        <f t="shared" si="63"/>
        <v>0</v>
      </c>
      <c r="E4097" s="60" t="str">
        <f>HYPERLINK("https://www.sds-group.ru/product/disk-almaznyy-otreznoy-ultratonkiy-230x22-23h2x10mm-rexant-90-0145/", "Инфо")</f>
        <v>Инфо</v>
      </c>
      <c r="F4097" s="34" t="s">
        <v>39</v>
      </c>
      <c r="G4097" s="33"/>
      <c r="H4097" s="33" t="s">
        <v>40</v>
      </c>
      <c r="I4097" s="33"/>
      <c r="J4097" s="35">
        <v>115</v>
      </c>
      <c r="K4097" s="33"/>
      <c r="L4097" s="35">
        <v>1</v>
      </c>
      <c r="M4097" s="35">
        <v>40</v>
      </c>
      <c r="N4097" s="35">
        <v>1</v>
      </c>
      <c r="O4097" s="36">
        <v>1369.19</v>
      </c>
      <c r="P4097" s="36">
        <v>1122.29</v>
      </c>
      <c r="Q4097" s="36">
        <v>958.43</v>
      </c>
      <c r="R4097" s="36">
        <v>785.6</v>
      </c>
      <c r="S4097" s="36">
        <v>931.05</v>
      </c>
      <c r="T4097" s="36">
        <v>763.16</v>
      </c>
      <c r="U4097" s="34"/>
      <c r="V4097" s="34"/>
      <c r="W4097" s="34"/>
      <c r="X4097" s="37">
        <v>0.68</v>
      </c>
      <c r="Y4097" s="38">
        <v>8.7600000000000004E-4</v>
      </c>
      <c r="Z4097" s="21">
        <v>4601004151925</v>
      </c>
    </row>
    <row r="4098" spans="1:26" ht="12.95" customHeight="1" outlineLevel="2" x14ac:dyDescent="0.2">
      <c r="A4098" s="76" t="s">
        <v>7964</v>
      </c>
      <c r="B4098" s="76"/>
      <c r="C4098" s="77"/>
      <c r="D4098" s="58"/>
      <c r="E4098" s="68"/>
      <c r="F4098" s="13"/>
      <c r="G4098" s="13"/>
      <c r="H4098" s="13"/>
      <c r="I4098" s="13"/>
      <c r="J4098" s="13"/>
      <c r="K4098" s="13"/>
      <c r="L4098" s="13"/>
      <c r="M4098" s="13"/>
      <c r="N4098" s="13"/>
      <c r="O4098" s="13"/>
      <c r="P4098" s="13"/>
      <c r="Q4098" s="13"/>
      <c r="R4098" s="13"/>
      <c r="S4098" s="13"/>
      <c r="T4098" s="13"/>
      <c r="U4098" s="13"/>
      <c r="V4098" s="13"/>
      <c r="W4098" s="13"/>
      <c r="X4098" s="13"/>
      <c r="Y4098" s="13"/>
      <c r="Z4098" s="13"/>
    </row>
    <row r="4099" spans="1:26" ht="12.95" customHeight="1" outlineLevel="3" x14ac:dyDescent="0.2">
      <c r="A4099" s="76" t="s">
        <v>7965</v>
      </c>
      <c r="B4099" s="76"/>
      <c r="C4099" s="77"/>
      <c r="D4099" s="58"/>
      <c r="E4099" s="68"/>
      <c r="F4099" s="13"/>
      <c r="G4099" s="13"/>
      <c r="H4099" s="13"/>
      <c r="I4099" s="13"/>
      <c r="J4099" s="13"/>
      <c r="K4099" s="13"/>
      <c r="L4099" s="13"/>
      <c r="M4099" s="13"/>
      <c r="N4099" s="13"/>
      <c r="O4099" s="13"/>
      <c r="P4099" s="13"/>
      <c r="Q4099" s="13"/>
      <c r="R4099" s="13"/>
      <c r="S4099" s="13"/>
      <c r="T4099" s="13"/>
      <c r="U4099" s="13"/>
      <c r="V4099" s="13"/>
      <c r="W4099" s="13"/>
      <c r="X4099" s="13"/>
      <c r="Y4099" s="13"/>
      <c r="Z4099" s="13"/>
    </row>
    <row r="4100" spans="1:26" ht="12" customHeight="1" outlineLevel="4" x14ac:dyDescent="0.2">
      <c r="A4100" s="14" t="s">
        <v>7966</v>
      </c>
      <c r="B4100" s="26" t="s">
        <v>7967</v>
      </c>
      <c r="C4100" s="52"/>
      <c r="D4100" s="55">
        <f t="shared" si="63"/>
        <v>0</v>
      </c>
      <c r="E4100" s="63" t="str">
        <f>HYPERLINK("https://www.sds-group.ru/product/bur-po-betonu-10x1000x940mm-hvostovik-sds-plus-kranz-KR-91-0086/", "Инфо")</f>
        <v>Инфо</v>
      </c>
      <c r="F4100" s="16" t="s">
        <v>39</v>
      </c>
      <c r="G4100" s="15"/>
      <c r="H4100" s="15"/>
      <c r="I4100" s="15"/>
      <c r="J4100" s="17">
        <v>156</v>
      </c>
      <c r="K4100" s="15" t="s">
        <v>6798</v>
      </c>
      <c r="L4100" s="17">
        <v>1</v>
      </c>
      <c r="M4100" s="17">
        <v>50</v>
      </c>
      <c r="N4100" s="17">
        <v>1</v>
      </c>
      <c r="O4100" s="18">
        <v>804.3</v>
      </c>
      <c r="P4100" s="18">
        <v>659.26</v>
      </c>
      <c r="Q4100" s="18">
        <v>683.66</v>
      </c>
      <c r="R4100" s="18">
        <v>560.38</v>
      </c>
      <c r="S4100" s="18">
        <v>546.91999999999996</v>
      </c>
      <c r="T4100" s="18">
        <v>448.3</v>
      </c>
      <c r="U4100" s="16"/>
      <c r="V4100" s="16"/>
      <c r="W4100" s="16" t="s">
        <v>40</v>
      </c>
      <c r="X4100" s="19">
        <v>0.36099999999999999</v>
      </c>
      <c r="Y4100" s="20">
        <v>3.5E-4</v>
      </c>
      <c r="Z4100" s="21">
        <v>4601004202108</v>
      </c>
    </row>
    <row r="4101" spans="1:26" ht="12" customHeight="1" outlineLevel="4" x14ac:dyDescent="0.2">
      <c r="A4101" s="14" t="s">
        <v>7968</v>
      </c>
      <c r="B4101" s="26" t="s">
        <v>7969</v>
      </c>
      <c r="C4101" s="52"/>
      <c r="D4101" s="55">
        <f t="shared" si="63"/>
        <v>0</v>
      </c>
      <c r="E4101" s="63" t="str">
        <f>HYPERLINK("https://www.sds-group.ru/product/bur-po-betonu-10x110x50mm-hvostovik-sds-plus-kranz-KR-91-0029/", "Инфо")</f>
        <v>Инфо</v>
      </c>
      <c r="F4101" s="16" t="s">
        <v>39</v>
      </c>
      <c r="G4101" s="15"/>
      <c r="H4101" s="15"/>
      <c r="I4101" s="15"/>
      <c r="J4101" s="22">
        <v>1964</v>
      </c>
      <c r="K4101" s="15"/>
      <c r="L4101" s="17">
        <v>5</v>
      </c>
      <c r="M4101" s="17">
        <v>240</v>
      </c>
      <c r="N4101" s="17">
        <v>5</v>
      </c>
      <c r="O4101" s="18">
        <v>153.01</v>
      </c>
      <c r="P4101" s="18">
        <v>125.42</v>
      </c>
      <c r="Q4101" s="18">
        <v>137.71</v>
      </c>
      <c r="R4101" s="18">
        <v>112.88</v>
      </c>
      <c r="S4101" s="18">
        <v>104.05</v>
      </c>
      <c r="T4101" s="18">
        <v>85.29</v>
      </c>
      <c r="U4101" s="16"/>
      <c r="V4101" s="16"/>
      <c r="W4101" s="16" t="s">
        <v>40</v>
      </c>
      <c r="X4101" s="19">
        <v>6.0999999999999999E-2</v>
      </c>
      <c r="Y4101" s="20">
        <v>1.11E-4</v>
      </c>
      <c r="Z4101" s="21">
        <v>4601004174535</v>
      </c>
    </row>
    <row r="4102" spans="1:26" ht="12" customHeight="1" outlineLevel="4" x14ac:dyDescent="0.2">
      <c r="A4102" s="14" t="s">
        <v>7970</v>
      </c>
      <c r="B4102" s="26" t="s">
        <v>7971</v>
      </c>
      <c r="C4102" s="52"/>
      <c r="D4102" s="55">
        <f t="shared" si="63"/>
        <v>0</v>
      </c>
      <c r="E4102" s="63" t="str">
        <f>HYPERLINK("https://www.sds-group.ru/product/bur-po-betonu-10x160x100mm-hvostovik-sds-plus-kranz-KR-91-0013/", "Инфо")</f>
        <v>Инфо</v>
      </c>
      <c r="F4102" s="16" t="s">
        <v>39</v>
      </c>
      <c r="G4102" s="15"/>
      <c r="H4102" s="15"/>
      <c r="I4102" s="15"/>
      <c r="J4102" s="22">
        <v>6288</v>
      </c>
      <c r="K4102" s="15" t="s">
        <v>5369</v>
      </c>
      <c r="L4102" s="17">
        <v>5</v>
      </c>
      <c r="M4102" s="17">
        <v>240</v>
      </c>
      <c r="N4102" s="17">
        <v>5</v>
      </c>
      <c r="O4102" s="18">
        <v>193.65</v>
      </c>
      <c r="P4102" s="18">
        <v>158.72999999999999</v>
      </c>
      <c r="Q4102" s="18">
        <v>174.29</v>
      </c>
      <c r="R4102" s="18">
        <v>142.86000000000001</v>
      </c>
      <c r="S4102" s="18">
        <v>131.68</v>
      </c>
      <c r="T4102" s="18">
        <v>107.93</v>
      </c>
      <c r="U4102" s="16"/>
      <c r="V4102" s="16"/>
      <c r="W4102" s="16" t="s">
        <v>40</v>
      </c>
      <c r="X4102" s="19">
        <v>7.8E-2</v>
      </c>
      <c r="Y4102" s="20">
        <v>1.11E-4</v>
      </c>
      <c r="Z4102" s="21">
        <v>4601004174542</v>
      </c>
    </row>
    <row r="4103" spans="1:26" ht="12" customHeight="1" outlineLevel="4" x14ac:dyDescent="0.2">
      <c r="A4103" s="32" t="s">
        <v>7972</v>
      </c>
      <c r="B4103" s="74" t="s">
        <v>7973</v>
      </c>
      <c r="C4103" s="50"/>
      <c r="D4103" s="53">
        <f t="shared" si="63"/>
        <v>0</v>
      </c>
      <c r="E4103" s="60" t="str">
        <f>HYPERLINK("https://www.sds-group.ru/product/bur-po-betonu-10x210x150mm-hvostovik-sds-plus-10-sht-kranz-KR-91-0019-4/", "Инфо")</f>
        <v>Инфо</v>
      </c>
      <c r="F4103" s="34" t="s">
        <v>39</v>
      </c>
      <c r="G4103" s="33"/>
      <c r="H4103" s="33" t="s">
        <v>40</v>
      </c>
      <c r="I4103" s="33"/>
      <c r="J4103" s="35">
        <v>185</v>
      </c>
      <c r="K4103" s="33"/>
      <c r="L4103" s="35">
        <v>1</v>
      </c>
      <c r="M4103" s="35">
        <v>1</v>
      </c>
      <c r="N4103" s="35">
        <v>1</v>
      </c>
      <c r="O4103" s="36">
        <v>96.95</v>
      </c>
      <c r="P4103" s="36">
        <v>79.47</v>
      </c>
      <c r="Q4103" s="36">
        <v>67.87</v>
      </c>
      <c r="R4103" s="36">
        <v>55.63</v>
      </c>
      <c r="S4103" s="36">
        <v>65.930000000000007</v>
      </c>
      <c r="T4103" s="36">
        <v>54.04</v>
      </c>
      <c r="U4103" s="34"/>
      <c r="V4103" s="34"/>
      <c r="W4103" s="34"/>
      <c r="X4103" s="37">
        <v>8.5999999999999993E-2</v>
      </c>
      <c r="Y4103" s="38">
        <v>1.25E-4</v>
      </c>
      <c r="Z4103" s="21">
        <v>4601004202238</v>
      </c>
    </row>
    <row r="4104" spans="1:26" ht="12" customHeight="1" outlineLevel="4" x14ac:dyDescent="0.2">
      <c r="A4104" s="14" t="s">
        <v>7974</v>
      </c>
      <c r="B4104" s="26" t="s">
        <v>7975</v>
      </c>
      <c r="C4104" s="52"/>
      <c r="D4104" s="55">
        <f t="shared" si="63"/>
        <v>0</v>
      </c>
      <c r="E4104" s="63" t="str">
        <f>HYPERLINK("https://www.sds-group.ru/product/bur-po-betonu-10x210x150mm-hvostovik-sds-plus-kranz-KR-91-0019/", "Инфо")</f>
        <v>Инфо</v>
      </c>
      <c r="F4104" s="16" t="s">
        <v>39</v>
      </c>
      <c r="G4104" s="15"/>
      <c r="H4104" s="15"/>
      <c r="I4104" s="15"/>
      <c r="J4104" s="22">
        <v>2028</v>
      </c>
      <c r="K4104" s="15" t="s">
        <v>5369</v>
      </c>
      <c r="L4104" s="17">
        <v>5</v>
      </c>
      <c r="M4104" s="17">
        <v>120</v>
      </c>
      <c r="N4104" s="17">
        <v>5</v>
      </c>
      <c r="O4104" s="18">
        <v>220.15</v>
      </c>
      <c r="P4104" s="18">
        <v>180.45</v>
      </c>
      <c r="Q4104" s="18">
        <v>187.13</v>
      </c>
      <c r="R4104" s="18">
        <v>153.38999999999999</v>
      </c>
      <c r="S4104" s="18">
        <v>149.69999999999999</v>
      </c>
      <c r="T4104" s="18">
        <v>122.7</v>
      </c>
      <c r="U4104" s="16"/>
      <c r="V4104" s="16"/>
      <c r="W4104" s="16" t="s">
        <v>40</v>
      </c>
      <c r="X4104" s="19">
        <v>9.6000000000000002E-2</v>
      </c>
      <c r="Y4104" s="20">
        <v>1.5799999999999999E-4</v>
      </c>
      <c r="Z4104" s="21">
        <v>4601004174559</v>
      </c>
    </row>
    <row r="4105" spans="1:26" ht="12" customHeight="1" outlineLevel="4" x14ac:dyDescent="0.2">
      <c r="A4105" s="14" t="s">
        <v>7976</v>
      </c>
      <c r="B4105" s="26" t="s">
        <v>7977</v>
      </c>
      <c r="C4105" s="52"/>
      <c r="D4105" s="55">
        <f t="shared" ref="D4105:D4168" si="64">C4105*(O4105-O4105*$G$3)</f>
        <v>0</v>
      </c>
      <c r="E4105" s="63" t="str">
        <f>HYPERLINK("https://www.sds-group.ru/product/bur-po-betonu-10x260x200mm-hvostovik-sds-plus-kranz-KR-91-0815/", "Инфо")</f>
        <v>Инфо</v>
      </c>
      <c r="F4105" s="16" t="s">
        <v>39</v>
      </c>
      <c r="G4105" s="15"/>
      <c r="H4105" s="15"/>
      <c r="I4105" s="15"/>
      <c r="J4105" s="17">
        <v>153</v>
      </c>
      <c r="K4105" s="15"/>
      <c r="L4105" s="17">
        <v>10</v>
      </c>
      <c r="M4105" s="17">
        <v>120</v>
      </c>
      <c r="N4105" s="17">
        <v>10</v>
      </c>
      <c r="O4105" s="18">
        <v>236.1</v>
      </c>
      <c r="P4105" s="18">
        <v>193.52</v>
      </c>
      <c r="Q4105" s="18">
        <v>200.69</v>
      </c>
      <c r="R4105" s="18">
        <v>164.5</v>
      </c>
      <c r="S4105" s="18">
        <v>160.55000000000001</v>
      </c>
      <c r="T4105" s="18">
        <v>131.6</v>
      </c>
      <c r="U4105" s="16"/>
      <c r="V4105" s="16"/>
      <c r="W4105" s="16" t="s">
        <v>40</v>
      </c>
      <c r="X4105" s="19">
        <v>0.114</v>
      </c>
      <c r="Y4105" s="20">
        <v>1.5300000000000001E-4</v>
      </c>
      <c r="Z4105" s="21">
        <v>4601004174573</v>
      </c>
    </row>
    <row r="4106" spans="1:26" ht="12" customHeight="1" outlineLevel="4" x14ac:dyDescent="0.2">
      <c r="A4106" s="14" t="s">
        <v>7978</v>
      </c>
      <c r="B4106" s="26" t="s">
        <v>7979</v>
      </c>
      <c r="C4106" s="52"/>
      <c r="D4106" s="55">
        <f t="shared" si="64"/>
        <v>0</v>
      </c>
      <c r="E4106" s="63" t="str">
        <f>HYPERLINK("https://www.sds-group.ru/product/bur-po-betonu-10x310x250mm-hvostovik-sds-plus-kranz-KR-91-0026/", "Инфо")</f>
        <v>Инфо</v>
      </c>
      <c r="F4106" s="16" t="s">
        <v>39</v>
      </c>
      <c r="G4106" s="15"/>
      <c r="H4106" s="15"/>
      <c r="I4106" s="15"/>
      <c r="J4106" s="22">
        <v>2533</v>
      </c>
      <c r="K4106" s="15"/>
      <c r="L4106" s="17">
        <v>5</v>
      </c>
      <c r="M4106" s="17">
        <v>120</v>
      </c>
      <c r="N4106" s="17">
        <v>5</v>
      </c>
      <c r="O4106" s="18">
        <v>242.58</v>
      </c>
      <c r="P4106" s="18">
        <v>198.84</v>
      </c>
      <c r="Q4106" s="18">
        <v>206.19</v>
      </c>
      <c r="R4106" s="18">
        <v>169.01</v>
      </c>
      <c r="S4106" s="18">
        <v>164.95</v>
      </c>
      <c r="T4106" s="18">
        <v>135.19999999999999</v>
      </c>
      <c r="U4106" s="16"/>
      <c r="V4106" s="16"/>
      <c r="W4106" s="16" t="s">
        <v>40</v>
      </c>
      <c r="X4106" s="19">
        <v>0.13100000000000001</v>
      </c>
      <c r="Y4106" s="20">
        <v>1.6899999999999999E-4</v>
      </c>
      <c r="Z4106" s="21">
        <v>4601004174580</v>
      </c>
    </row>
    <row r="4107" spans="1:26" ht="12" customHeight="1" outlineLevel="4" x14ac:dyDescent="0.2">
      <c r="A4107" s="14" t="s">
        <v>7980</v>
      </c>
      <c r="B4107" s="26" t="s">
        <v>7981</v>
      </c>
      <c r="C4107" s="52"/>
      <c r="D4107" s="55">
        <f t="shared" si="64"/>
        <v>0</v>
      </c>
      <c r="E4107" s="63" t="str">
        <f>HYPERLINK("https://www.sds-group.ru/product/bur-po-betonu-10x350x290mm-hvostovik-sds-plus-kranz-KR-91-0817/", "Инфо")</f>
        <v>Инфо</v>
      </c>
      <c r="F4107" s="16" t="s">
        <v>39</v>
      </c>
      <c r="G4107" s="15"/>
      <c r="H4107" s="15"/>
      <c r="I4107" s="15"/>
      <c r="J4107" s="17">
        <v>6</v>
      </c>
      <c r="K4107" s="15"/>
      <c r="L4107" s="17">
        <v>5</v>
      </c>
      <c r="M4107" s="17">
        <v>120</v>
      </c>
      <c r="N4107" s="17">
        <v>5</v>
      </c>
      <c r="O4107" s="18">
        <v>331.7</v>
      </c>
      <c r="P4107" s="18">
        <v>271.89</v>
      </c>
      <c r="Q4107" s="18">
        <v>281.95</v>
      </c>
      <c r="R4107" s="18">
        <v>231.11</v>
      </c>
      <c r="S4107" s="18">
        <v>225.56</v>
      </c>
      <c r="T4107" s="18">
        <v>184.89</v>
      </c>
      <c r="U4107" s="16"/>
      <c r="V4107" s="16"/>
      <c r="W4107" s="16" t="s">
        <v>40</v>
      </c>
      <c r="X4107" s="19">
        <v>0.14499999999999999</v>
      </c>
      <c r="Y4107" s="20">
        <v>1.5799999999999999E-4</v>
      </c>
      <c r="Z4107" s="21">
        <v>4601004174597</v>
      </c>
    </row>
    <row r="4108" spans="1:26" ht="12" customHeight="1" outlineLevel="4" x14ac:dyDescent="0.2">
      <c r="A4108" s="14" t="s">
        <v>7982</v>
      </c>
      <c r="B4108" s="26" t="s">
        <v>7983</v>
      </c>
      <c r="C4108" s="52"/>
      <c r="D4108" s="55">
        <f t="shared" si="64"/>
        <v>0</v>
      </c>
      <c r="E4108" s="63" t="str">
        <f>HYPERLINK("https://www.sds-group.ru/product/bur-po-betonu-10x400x340mm-hvostovik-sds-plus-kranz-KR-91-0851/", "Инфо")</f>
        <v>Инфо</v>
      </c>
      <c r="F4108" s="16" t="s">
        <v>39</v>
      </c>
      <c r="G4108" s="15"/>
      <c r="H4108" s="15"/>
      <c r="I4108" s="15"/>
      <c r="J4108" s="17">
        <v>196</v>
      </c>
      <c r="K4108" s="15"/>
      <c r="L4108" s="17">
        <v>5</v>
      </c>
      <c r="M4108" s="17">
        <v>100</v>
      </c>
      <c r="N4108" s="17">
        <v>5</v>
      </c>
      <c r="O4108" s="18">
        <v>366.92</v>
      </c>
      <c r="P4108" s="18">
        <v>300.75</v>
      </c>
      <c r="Q4108" s="18">
        <v>330.23</v>
      </c>
      <c r="R4108" s="18">
        <v>270.68</v>
      </c>
      <c r="S4108" s="18">
        <v>249.51</v>
      </c>
      <c r="T4108" s="18">
        <v>204.52</v>
      </c>
      <c r="U4108" s="16"/>
      <c r="V4108" s="16"/>
      <c r="W4108" s="16" t="s">
        <v>40</v>
      </c>
      <c r="X4108" s="19">
        <v>0.16200000000000001</v>
      </c>
      <c r="Y4108" s="20">
        <v>2.04E-4</v>
      </c>
      <c r="Z4108" s="21">
        <v>4601004282100</v>
      </c>
    </row>
    <row r="4109" spans="1:26" ht="12" customHeight="1" outlineLevel="4" x14ac:dyDescent="0.2">
      <c r="A4109" s="14" t="s">
        <v>7984</v>
      </c>
      <c r="B4109" s="26" t="s">
        <v>7985</v>
      </c>
      <c r="C4109" s="52"/>
      <c r="D4109" s="55">
        <f t="shared" si="64"/>
        <v>0</v>
      </c>
      <c r="E4109" s="63" t="str">
        <f>HYPERLINK("https://www.sds-group.ru/product/bur-po-betonu-10x460x400mm-hvostovik-sds-plus-kranz-KR-91-0818/", "Инфо")</f>
        <v>Инфо</v>
      </c>
      <c r="F4109" s="16" t="s">
        <v>39</v>
      </c>
      <c r="G4109" s="15"/>
      <c r="H4109" s="15"/>
      <c r="I4109" s="15"/>
      <c r="J4109" s="16" t="s">
        <v>100</v>
      </c>
      <c r="K4109" s="15" t="s">
        <v>5369</v>
      </c>
      <c r="L4109" s="17">
        <v>10</v>
      </c>
      <c r="M4109" s="17">
        <v>100</v>
      </c>
      <c r="N4109" s="17">
        <v>10</v>
      </c>
      <c r="O4109" s="18">
        <v>348.28</v>
      </c>
      <c r="P4109" s="18">
        <v>285.48</v>
      </c>
      <c r="Q4109" s="18">
        <v>313.45</v>
      </c>
      <c r="R4109" s="18">
        <v>256.93</v>
      </c>
      <c r="S4109" s="18">
        <v>236.83</v>
      </c>
      <c r="T4109" s="18">
        <v>194.12</v>
      </c>
      <c r="U4109" s="16"/>
      <c r="V4109" s="16"/>
      <c r="W4109" s="16" t="s">
        <v>40</v>
      </c>
      <c r="X4109" s="19">
        <v>0.184</v>
      </c>
      <c r="Y4109" s="20">
        <v>2.8899999999999998E-4</v>
      </c>
      <c r="Z4109" s="21">
        <v>4601004174603</v>
      </c>
    </row>
    <row r="4110" spans="1:26" ht="12" customHeight="1" outlineLevel="4" x14ac:dyDescent="0.2">
      <c r="A4110" s="14" t="s">
        <v>7986</v>
      </c>
      <c r="B4110" s="26" t="s">
        <v>7987</v>
      </c>
      <c r="C4110" s="52"/>
      <c r="D4110" s="55">
        <f t="shared" si="64"/>
        <v>0</v>
      </c>
      <c r="E4110" s="63" t="str">
        <f>HYPERLINK("https://www.sds-group.ru/product/bur-po-betonu-10x600x540mm-hvostovik-sds-plus-kranz-KR-91-0062/", "Инфо")</f>
        <v>Инфо</v>
      </c>
      <c r="F4110" s="16" t="s">
        <v>39</v>
      </c>
      <c r="G4110" s="15"/>
      <c r="H4110" s="15"/>
      <c r="I4110" s="15"/>
      <c r="J4110" s="22">
        <v>1970</v>
      </c>
      <c r="K4110" s="15"/>
      <c r="L4110" s="17">
        <v>1</v>
      </c>
      <c r="M4110" s="17">
        <v>100</v>
      </c>
      <c r="N4110" s="17">
        <v>1</v>
      </c>
      <c r="O4110" s="18">
        <v>480.1</v>
      </c>
      <c r="P4110" s="18">
        <v>393.52</v>
      </c>
      <c r="Q4110" s="18">
        <v>456.1</v>
      </c>
      <c r="R4110" s="18">
        <v>373.85</v>
      </c>
      <c r="S4110" s="18">
        <v>326.47000000000003</v>
      </c>
      <c r="T4110" s="18">
        <v>267.60000000000002</v>
      </c>
      <c r="U4110" s="16"/>
      <c r="V4110" s="16"/>
      <c r="W4110" s="16" t="s">
        <v>40</v>
      </c>
      <c r="X4110" s="19">
        <v>0.22900000000000001</v>
      </c>
      <c r="Y4110" s="20">
        <v>2.72E-4</v>
      </c>
      <c r="Z4110" s="21">
        <v>4601004174566</v>
      </c>
    </row>
    <row r="4111" spans="1:26" ht="12" customHeight="1" outlineLevel="4" x14ac:dyDescent="0.2">
      <c r="A4111" s="14" t="s">
        <v>7988</v>
      </c>
      <c r="B4111" s="26" t="s">
        <v>7989</v>
      </c>
      <c r="C4111" s="52"/>
      <c r="D4111" s="55">
        <f t="shared" si="64"/>
        <v>0</v>
      </c>
      <c r="E4111" s="63" t="str">
        <f>HYPERLINK("https://www.sds-group.ru/product/bur-po-betonu-10x800x740mm-hvostovik-sds-plus-kranz-KR-91-0074/", "Инфо")</f>
        <v>Инфо</v>
      </c>
      <c r="F4111" s="16" t="s">
        <v>39</v>
      </c>
      <c r="G4111" s="15"/>
      <c r="H4111" s="15"/>
      <c r="I4111" s="15"/>
      <c r="J4111" s="17">
        <v>328</v>
      </c>
      <c r="K4111" s="15" t="s">
        <v>5369</v>
      </c>
      <c r="L4111" s="17">
        <v>1</v>
      </c>
      <c r="M4111" s="17">
        <v>50</v>
      </c>
      <c r="N4111" s="17">
        <v>1</v>
      </c>
      <c r="O4111" s="18">
        <v>788.28</v>
      </c>
      <c r="P4111" s="18">
        <v>646.13</v>
      </c>
      <c r="Q4111" s="18">
        <v>630.62</v>
      </c>
      <c r="R4111" s="18">
        <v>516.9</v>
      </c>
      <c r="S4111" s="18">
        <v>536.03</v>
      </c>
      <c r="T4111" s="18">
        <v>439.37</v>
      </c>
      <c r="U4111" s="16"/>
      <c r="V4111" s="16"/>
      <c r="W4111" s="16" t="s">
        <v>40</v>
      </c>
      <c r="X4111" s="19">
        <v>0.32400000000000001</v>
      </c>
      <c r="Y4111" s="20">
        <v>2.8800000000000001E-4</v>
      </c>
      <c r="Z4111" s="21">
        <v>4601004201989</v>
      </c>
    </row>
    <row r="4112" spans="1:26" ht="12" customHeight="1" outlineLevel="4" x14ac:dyDescent="0.2">
      <c r="A4112" s="14" t="s">
        <v>7990</v>
      </c>
      <c r="B4112" s="26" t="s">
        <v>7991</v>
      </c>
      <c r="C4112" s="52"/>
      <c r="D4112" s="55">
        <f t="shared" si="64"/>
        <v>0</v>
      </c>
      <c r="E4112" s="63" t="str">
        <f>HYPERLINK("https://www.sds-group.ru/product/bur-po-betonu-12x1000x940mm-hvostovik-sds-plus-kranz-KR-91-0087/", "Инфо")</f>
        <v>Инфо</v>
      </c>
      <c r="F4112" s="16" t="s">
        <v>39</v>
      </c>
      <c r="G4112" s="15"/>
      <c r="H4112" s="15"/>
      <c r="I4112" s="15"/>
      <c r="J4112" s="17">
        <v>549</v>
      </c>
      <c r="K4112" s="15" t="s">
        <v>6798</v>
      </c>
      <c r="L4112" s="17">
        <v>1</v>
      </c>
      <c r="M4112" s="17">
        <v>40</v>
      </c>
      <c r="N4112" s="17">
        <v>1</v>
      </c>
      <c r="O4112" s="18">
        <v>881.01</v>
      </c>
      <c r="P4112" s="18">
        <v>722.14</v>
      </c>
      <c r="Q4112" s="18">
        <v>748.86</v>
      </c>
      <c r="R4112" s="18">
        <v>613.82000000000005</v>
      </c>
      <c r="S4112" s="18">
        <v>599.09</v>
      </c>
      <c r="T4112" s="18">
        <v>491.06</v>
      </c>
      <c r="U4112" s="16"/>
      <c r="V4112" s="16"/>
      <c r="W4112" s="16" t="s">
        <v>40</v>
      </c>
      <c r="X4112" s="19">
        <v>0.45</v>
      </c>
      <c r="Y4112" s="20">
        <v>4.2900000000000002E-4</v>
      </c>
      <c r="Z4112" s="21">
        <v>4601004202115</v>
      </c>
    </row>
    <row r="4113" spans="1:26" ht="12" customHeight="1" outlineLevel="4" x14ac:dyDescent="0.2">
      <c r="A4113" s="14" t="s">
        <v>7992</v>
      </c>
      <c r="B4113" s="26" t="s">
        <v>7993</v>
      </c>
      <c r="C4113" s="52"/>
      <c r="D4113" s="55">
        <f t="shared" si="64"/>
        <v>0</v>
      </c>
      <c r="E4113" s="63" t="str">
        <f>HYPERLINK("https://www.sds-group.ru/product/bur-po-betonu-12x110x50mm-hvostovik-sds-plus-kranz-KR-91-0030/", "Инфо")</f>
        <v>Инфо</v>
      </c>
      <c r="F4113" s="16" t="s">
        <v>39</v>
      </c>
      <c r="G4113" s="15"/>
      <c r="H4113" s="15"/>
      <c r="I4113" s="15"/>
      <c r="J4113" s="16" t="s">
        <v>100</v>
      </c>
      <c r="K4113" s="15" t="s">
        <v>883</v>
      </c>
      <c r="L4113" s="17">
        <v>5</v>
      </c>
      <c r="M4113" s="17">
        <v>240</v>
      </c>
      <c r="N4113" s="17">
        <v>5</v>
      </c>
      <c r="O4113" s="18">
        <v>182.27</v>
      </c>
      <c r="P4113" s="18">
        <v>149.4</v>
      </c>
      <c r="Q4113" s="18">
        <v>154.93</v>
      </c>
      <c r="R4113" s="18">
        <v>126.99</v>
      </c>
      <c r="S4113" s="18">
        <v>123.94</v>
      </c>
      <c r="T4113" s="18">
        <v>101.59</v>
      </c>
      <c r="U4113" s="16"/>
      <c r="V4113" s="16"/>
      <c r="W4113" s="16" t="s">
        <v>40</v>
      </c>
      <c r="X4113" s="19">
        <v>6.7000000000000004E-2</v>
      </c>
      <c r="Y4113" s="20">
        <v>1.2400000000000001E-4</v>
      </c>
      <c r="Z4113" s="21">
        <v>4601004203099</v>
      </c>
    </row>
    <row r="4114" spans="1:26" ht="12" customHeight="1" outlineLevel="4" x14ac:dyDescent="0.2">
      <c r="A4114" s="14" t="s">
        <v>7994</v>
      </c>
      <c r="B4114" s="26" t="s">
        <v>7995</v>
      </c>
      <c r="C4114" s="52"/>
      <c r="D4114" s="55">
        <f t="shared" si="64"/>
        <v>0</v>
      </c>
      <c r="E4114" s="63" t="str">
        <f>HYPERLINK("https://www.sds-group.ru/product/bur-po-betonu-12x160x100mm-hvostovik-sds-plus-kranz-KR-91-0014/", "Инфо")</f>
        <v>Инфо</v>
      </c>
      <c r="F4114" s="16" t="s">
        <v>39</v>
      </c>
      <c r="G4114" s="15"/>
      <c r="H4114" s="15"/>
      <c r="I4114" s="15"/>
      <c r="J4114" s="22">
        <v>2170</v>
      </c>
      <c r="K4114" s="15" t="s">
        <v>5369</v>
      </c>
      <c r="L4114" s="17">
        <v>5</v>
      </c>
      <c r="M4114" s="17">
        <v>100</v>
      </c>
      <c r="N4114" s="17">
        <v>5</v>
      </c>
      <c r="O4114" s="18">
        <v>216.43</v>
      </c>
      <c r="P4114" s="18">
        <v>177.4</v>
      </c>
      <c r="Q4114" s="18">
        <v>183.97</v>
      </c>
      <c r="R4114" s="18">
        <v>150.80000000000001</v>
      </c>
      <c r="S4114" s="18">
        <v>147.16999999999999</v>
      </c>
      <c r="T4114" s="18">
        <v>120.63</v>
      </c>
      <c r="U4114" s="16"/>
      <c r="V4114" s="16"/>
      <c r="W4114" s="16" t="s">
        <v>40</v>
      </c>
      <c r="X4114" s="19">
        <v>8.5999999999999993E-2</v>
      </c>
      <c r="Y4114" s="20">
        <v>1.05E-4</v>
      </c>
      <c r="Z4114" s="21">
        <v>4601004174627</v>
      </c>
    </row>
    <row r="4115" spans="1:26" ht="12" customHeight="1" outlineLevel="4" x14ac:dyDescent="0.2">
      <c r="A4115" s="14" t="s">
        <v>7996</v>
      </c>
      <c r="B4115" s="26" t="s">
        <v>7997</v>
      </c>
      <c r="C4115" s="52"/>
      <c r="D4115" s="55">
        <f t="shared" si="64"/>
        <v>0</v>
      </c>
      <c r="E4115" s="63" t="str">
        <f>HYPERLINK("https://www.sds-group.ru/product/bur-po-betonu-12x210x150mm-hvostovik-sds-plus-kranz-KR-91-0020/", "Инфо")</f>
        <v>Инфо</v>
      </c>
      <c r="F4115" s="16" t="s">
        <v>39</v>
      </c>
      <c r="G4115" s="15"/>
      <c r="H4115" s="15"/>
      <c r="I4115" s="15"/>
      <c r="J4115" s="22">
        <v>2292</v>
      </c>
      <c r="K4115" s="15" t="s">
        <v>5369</v>
      </c>
      <c r="L4115" s="17">
        <v>5</v>
      </c>
      <c r="M4115" s="17">
        <v>120</v>
      </c>
      <c r="N4115" s="17">
        <v>5</v>
      </c>
      <c r="O4115" s="18">
        <v>253.29</v>
      </c>
      <c r="P4115" s="18">
        <v>207.61</v>
      </c>
      <c r="Q4115" s="18">
        <v>227.96</v>
      </c>
      <c r="R4115" s="18">
        <v>186.85</v>
      </c>
      <c r="S4115" s="18">
        <v>172.24</v>
      </c>
      <c r="T4115" s="18">
        <v>141.18</v>
      </c>
      <c r="U4115" s="16"/>
      <c r="V4115" s="16"/>
      <c r="W4115" s="16" t="s">
        <v>40</v>
      </c>
      <c r="X4115" s="19">
        <v>0.109</v>
      </c>
      <c r="Y4115" s="20">
        <v>1.2899999999999999E-4</v>
      </c>
      <c r="Z4115" s="21">
        <v>4601004174610</v>
      </c>
    </row>
    <row r="4116" spans="1:26" ht="12" customHeight="1" outlineLevel="4" x14ac:dyDescent="0.2">
      <c r="A4116" s="14" t="s">
        <v>7998</v>
      </c>
      <c r="B4116" s="26" t="s">
        <v>7999</v>
      </c>
      <c r="C4116" s="52"/>
      <c r="D4116" s="55">
        <f t="shared" si="64"/>
        <v>0</v>
      </c>
      <c r="E4116" s="63" t="str">
        <f>HYPERLINK("https://www.sds-group.ru/product/bur-po-betonu-12x260x200mm-hvostovik-sds-plus-kranz-KR-91-0816/", "Инфо")</f>
        <v>Инфо</v>
      </c>
      <c r="F4116" s="16" t="s">
        <v>39</v>
      </c>
      <c r="G4116" s="15"/>
      <c r="H4116" s="15"/>
      <c r="I4116" s="15"/>
      <c r="J4116" s="22">
        <v>1104</v>
      </c>
      <c r="K4116" s="15"/>
      <c r="L4116" s="17">
        <v>5</v>
      </c>
      <c r="M4116" s="17">
        <v>120</v>
      </c>
      <c r="N4116" s="17">
        <v>5</v>
      </c>
      <c r="O4116" s="18">
        <v>250.61</v>
      </c>
      <c r="P4116" s="18">
        <v>205.42</v>
      </c>
      <c r="Q4116" s="18">
        <v>225.55</v>
      </c>
      <c r="R4116" s="18">
        <v>184.88</v>
      </c>
      <c r="S4116" s="18">
        <v>170.41</v>
      </c>
      <c r="T4116" s="18">
        <v>139.68</v>
      </c>
      <c r="U4116" s="16"/>
      <c r="V4116" s="16"/>
      <c r="W4116" s="16" t="s">
        <v>40</v>
      </c>
      <c r="X4116" s="19">
        <v>0.13200000000000001</v>
      </c>
      <c r="Y4116" s="20">
        <v>1.65E-4</v>
      </c>
      <c r="Z4116" s="21">
        <v>4601004174634</v>
      </c>
    </row>
    <row r="4117" spans="1:26" ht="12" customHeight="1" outlineLevel="4" x14ac:dyDescent="0.2">
      <c r="A4117" s="14" t="s">
        <v>8000</v>
      </c>
      <c r="B4117" s="26" t="s">
        <v>8001</v>
      </c>
      <c r="C4117" s="52"/>
      <c r="D4117" s="55">
        <f t="shared" si="64"/>
        <v>0</v>
      </c>
      <c r="E4117" s="63" t="str">
        <f>HYPERLINK("https://www.sds-group.ru/product/bur-po-betonu-12x310x250mm-hvostovik-sds-plus-kranz-KR-91-0027/", "Инфо")</f>
        <v>Инфо</v>
      </c>
      <c r="F4117" s="16" t="s">
        <v>39</v>
      </c>
      <c r="G4117" s="15"/>
      <c r="H4117" s="15"/>
      <c r="I4117" s="15"/>
      <c r="J4117" s="17">
        <v>687</v>
      </c>
      <c r="K4117" s="15"/>
      <c r="L4117" s="17">
        <v>5</v>
      </c>
      <c r="M4117" s="17">
        <v>120</v>
      </c>
      <c r="N4117" s="17">
        <v>5</v>
      </c>
      <c r="O4117" s="18">
        <v>254.8</v>
      </c>
      <c r="P4117" s="18">
        <v>208.85</v>
      </c>
      <c r="Q4117" s="18">
        <v>229.32</v>
      </c>
      <c r="R4117" s="18">
        <v>187.97</v>
      </c>
      <c r="S4117" s="18">
        <v>173.26</v>
      </c>
      <c r="T4117" s="18">
        <v>142.02000000000001</v>
      </c>
      <c r="U4117" s="16"/>
      <c r="V4117" s="16"/>
      <c r="W4117" s="16" t="s">
        <v>40</v>
      </c>
      <c r="X4117" s="19">
        <v>0.154</v>
      </c>
      <c r="Y4117" s="20">
        <v>1.73E-4</v>
      </c>
      <c r="Z4117" s="21">
        <v>4601004174641</v>
      </c>
    </row>
    <row r="4118" spans="1:26" ht="12" customHeight="1" outlineLevel="4" x14ac:dyDescent="0.2">
      <c r="A4118" s="14" t="s">
        <v>8002</v>
      </c>
      <c r="B4118" s="26" t="s">
        <v>8003</v>
      </c>
      <c r="C4118" s="52"/>
      <c r="D4118" s="55">
        <f t="shared" si="64"/>
        <v>0</v>
      </c>
      <c r="E4118" s="63" t="str">
        <f>HYPERLINK("https://www.sds-group.ru/product/bur-po-betonu-12x350x290mm-hvostovik-sds-plus-kranz-KR-91-0834/", "Инфо")</f>
        <v>Инфо</v>
      </c>
      <c r="F4118" s="16" t="s">
        <v>39</v>
      </c>
      <c r="G4118" s="15"/>
      <c r="H4118" s="15"/>
      <c r="I4118" s="15"/>
      <c r="J4118" s="17">
        <v>280</v>
      </c>
      <c r="K4118" s="15" t="s">
        <v>6798</v>
      </c>
      <c r="L4118" s="17">
        <v>5</v>
      </c>
      <c r="M4118" s="17">
        <v>100</v>
      </c>
      <c r="N4118" s="17">
        <v>5</v>
      </c>
      <c r="O4118" s="18">
        <v>352.43</v>
      </c>
      <c r="P4118" s="18">
        <v>288.88</v>
      </c>
      <c r="Q4118" s="18">
        <v>317.19</v>
      </c>
      <c r="R4118" s="18">
        <v>259.99</v>
      </c>
      <c r="S4118" s="18">
        <v>239.65</v>
      </c>
      <c r="T4118" s="18">
        <v>196.43</v>
      </c>
      <c r="U4118" s="16"/>
      <c r="V4118" s="16"/>
      <c r="W4118" s="16" t="s">
        <v>40</v>
      </c>
      <c r="X4118" s="19">
        <v>0.17299999999999999</v>
      </c>
      <c r="Y4118" s="20">
        <v>1.8900000000000001E-4</v>
      </c>
      <c r="Z4118" s="21">
        <v>4601004199248</v>
      </c>
    </row>
    <row r="4119" spans="1:26" ht="12" customHeight="1" outlineLevel="4" x14ac:dyDescent="0.2">
      <c r="A4119" s="14" t="s">
        <v>8004</v>
      </c>
      <c r="B4119" s="26" t="s">
        <v>8005</v>
      </c>
      <c r="C4119" s="52"/>
      <c r="D4119" s="55">
        <f t="shared" si="64"/>
        <v>0</v>
      </c>
      <c r="E4119" s="63" t="str">
        <f>HYPERLINK("https://www.sds-group.ru/product/bur-po-betonu-12x400x340mm-hvostovik-sds-plus-kranz-KR-91-0852/", "Инфо")</f>
        <v>Инфо</v>
      </c>
      <c r="F4119" s="16" t="s">
        <v>39</v>
      </c>
      <c r="G4119" s="15"/>
      <c r="H4119" s="15"/>
      <c r="I4119" s="15"/>
      <c r="J4119" s="17">
        <v>557</v>
      </c>
      <c r="K4119" s="15"/>
      <c r="L4119" s="17">
        <v>5</v>
      </c>
      <c r="M4119" s="17">
        <v>100</v>
      </c>
      <c r="N4119" s="17">
        <v>5</v>
      </c>
      <c r="O4119" s="18">
        <v>407.7</v>
      </c>
      <c r="P4119" s="18">
        <v>334.18</v>
      </c>
      <c r="Q4119" s="18">
        <v>366.93</v>
      </c>
      <c r="R4119" s="18">
        <v>300.76</v>
      </c>
      <c r="S4119" s="18">
        <v>277.24</v>
      </c>
      <c r="T4119" s="18">
        <v>227.25</v>
      </c>
      <c r="U4119" s="16"/>
      <c r="V4119" s="16"/>
      <c r="W4119" s="16" t="s">
        <v>40</v>
      </c>
      <c r="X4119" s="19">
        <v>0.19</v>
      </c>
      <c r="Y4119" s="20">
        <v>2.1499999999999999E-4</v>
      </c>
      <c r="Z4119" s="21">
        <v>4601004282087</v>
      </c>
    </row>
    <row r="4120" spans="1:26" ht="12" customHeight="1" outlineLevel="4" x14ac:dyDescent="0.2">
      <c r="A4120" s="14" t="s">
        <v>8006</v>
      </c>
      <c r="B4120" s="26" t="s">
        <v>8007</v>
      </c>
      <c r="C4120" s="52"/>
      <c r="D4120" s="55">
        <f t="shared" si="64"/>
        <v>0</v>
      </c>
      <c r="E4120" s="63" t="str">
        <f>HYPERLINK("https://www.sds-group.ru/product/bur-po-betonu-12x460x400mm-hvostovik-sds-plus-kranz-KR-91-0050/", "Инфо")</f>
        <v>Инфо</v>
      </c>
      <c r="F4120" s="16" t="s">
        <v>39</v>
      </c>
      <c r="G4120" s="15"/>
      <c r="H4120" s="15"/>
      <c r="I4120" s="15"/>
      <c r="J4120" s="17">
        <v>285</v>
      </c>
      <c r="K4120" s="15" t="s">
        <v>5369</v>
      </c>
      <c r="L4120" s="17">
        <v>5</v>
      </c>
      <c r="M4120" s="17">
        <v>100</v>
      </c>
      <c r="N4120" s="17">
        <v>5</v>
      </c>
      <c r="O4120" s="18">
        <v>392.2</v>
      </c>
      <c r="P4120" s="18">
        <v>321.48</v>
      </c>
      <c r="Q4120" s="18">
        <v>333.37</v>
      </c>
      <c r="R4120" s="18">
        <v>273.25</v>
      </c>
      <c r="S4120" s="18">
        <v>266.7</v>
      </c>
      <c r="T4120" s="18">
        <v>218.61</v>
      </c>
      <c r="U4120" s="16"/>
      <c r="V4120" s="16"/>
      <c r="W4120" s="16" t="s">
        <v>40</v>
      </c>
      <c r="X4120" s="19">
        <v>0.21299999999999999</v>
      </c>
      <c r="Y4120" s="20">
        <v>1.6699999999999999E-4</v>
      </c>
      <c r="Z4120" s="21">
        <v>4601004174658</v>
      </c>
    </row>
    <row r="4121" spans="1:26" ht="12" customHeight="1" outlineLevel="4" x14ac:dyDescent="0.2">
      <c r="A4121" s="14" t="s">
        <v>8008</v>
      </c>
      <c r="B4121" s="26" t="s">
        <v>8009</v>
      </c>
      <c r="C4121" s="52"/>
      <c r="D4121" s="55">
        <f t="shared" si="64"/>
        <v>0</v>
      </c>
      <c r="E4121" s="63" t="str">
        <f>HYPERLINK("https://www.sds-group.ru/product/bur-po-betonu-12x600x540mm-hvostovik-sds-plus-kranz-KR-91-0063/", "Инфо")</f>
        <v>Инфо</v>
      </c>
      <c r="F4121" s="16" t="s">
        <v>39</v>
      </c>
      <c r="G4121" s="15"/>
      <c r="H4121" s="15"/>
      <c r="I4121" s="15"/>
      <c r="J4121" s="22">
        <v>1557</v>
      </c>
      <c r="K4121" s="15"/>
      <c r="L4121" s="17">
        <v>1</v>
      </c>
      <c r="M4121" s="17">
        <v>50</v>
      </c>
      <c r="N4121" s="17">
        <v>1</v>
      </c>
      <c r="O4121" s="18">
        <v>501.92</v>
      </c>
      <c r="P4121" s="18">
        <v>411.41</v>
      </c>
      <c r="Q4121" s="18">
        <v>476.82</v>
      </c>
      <c r="R4121" s="18">
        <v>390.84</v>
      </c>
      <c r="S4121" s="18">
        <v>341.31</v>
      </c>
      <c r="T4121" s="18">
        <v>279.76</v>
      </c>
      <c r="U4121" s="16"/>
      <c r="V4121" s="16"/>
      <c r="W4121" s="16" t="s">
        <v>40</v>
      </c>
      <c r="X4121" s="19">
        <v>0.26600000000000001</v>
      </c>
      <c r="Y4121" s="20">
        <v>2.41E-4</v>
      </c>
      <c r="Z4121" s="21">
        <v>4601004201873</v>
      </c>
    </row>
    <row r="4122" spans="1:26" ht="12" customHeight="1" outlineLevel="4" x14ac:dyDescent="0.2">
      <c r="A4122" s="14" t="s">
        <v>8010</v>
      </c>
      <c r="B4122" s="26" t="s">
        <v>8011</v>
      </c>
      <c r="C4122" s="52"/>
      <c r="D4122" s="55">
        <f t="shared" si="64"/>
        <v>0</v>
      </c>
      <c r="E4122" s="63" t="str">
        <f>HYPERLINK("https://www.sds-group.ru/product/bur-po-betonu-12x800x740mm-hvostovik-sds-plus-kranz-KR-91-0075/", "Инфо")</f>
        <v>Инфо</v>
      </c>
      <c r="F4122" s="16" t="s">
        <v>39</v>
      </c>
      <c r="G4122" s="15"/>
      <c r="H4122" s="15"/>
      <c r="I4122" s="15"/>
      <c r="J4122" s="17">
        <v>426</v>
      </c>
      <c r="K4122" s="15" t="s">
        <v>5369</v>
      </c>
      <c r="L4122" s="17">
        <v>1</v>
      </c>
      <c r="M4122" s="17">
        <v>50</v>
      </c>
      <c r="N4122" s="17">
        <v>1</v>
      </c>
      <c r="O4122" s="18">
        <v>609.5</v>
      </c>
      <c r="P4122" s="18">
        <v>499.59</v>
      </c>
      <c r="Q4122" s="18">
        <v>487.6</v>
      </c>
      <c r="R4122" s="18">
        <v>399.67</v>
      </c>
      <c r="S4122" s="18">
        <v>414.46</v>
      </c>
      <c r="T4122" s="18">
        <v>339.72</v>
      </c>
      <c r="U4122" s="16"/>
      <c r="V4122" s="16"/>
      <c r="W4122" s="16" t="s">
        <v>40</v>
      </c>
      <c r="X4122" s="19">
        <v>0.35399999999999998</v>
      </c>
      <c r="Y4122" s="20">
        <v>2.9999999999999997E-4</v>
      </c>
      <c r="Z4122" s="21">
        <v>4601004201996</v>
      </c>
    </row>
    <row r="4123" spans="1:26" ht="12" customHeight="1" outlineLevel="4" x14ac:dyDescent="0.2">
      <c r="A4123" s="14" t="s">
        <v>8012</v>
      </c>
      <c r="B4123" s="26" t="s">
        <v>8013</v>
      </c>
      <c r="C4123" s="52"/>
      <c r="D4123" s="55">
        <f t="shared" si="64"/>
        <v>0</v>
      </c>
      <c r="E4123" s="63" t="str">
        <f>HYPERLINK("https://www.sds-group.ru/product/bur-po-betonu-14x1000x940mm-hvostovik-sds-plus-kranz-KR-91-0088/", "Инфо")</f>
        <v>Инфо</v>
      </c>
      <c r="F4123" s="16" t="s">
        <v>39</v>
      </c>
      <c r="G4123" s="15"/>
      <c r="H4123" s="15"/>
      <c r="I4123" s="15"/>
      <c r="J4123" s="17">
        <v>100</v>
      </c>
      <c r="K4123" s="15" t="s">
        <v>5369</v>
      </c>
      <c r="L4123" s="17">
        <v>1</v>
      </c>
      <c r="M4123" s="17">
        <v>30</v>
      </c>
      <c r="N4123" s="17">
        <v>1</v>
      </c>
      <c r="O4123" s="18">
        <v>1110.1500000000001</v>
      </c>
      <c r="P4123" s="18">
        <v>909.96</v>
      </c>
      <c r="Q4123" s="18">
        <v>888.12</v>
      </c>
      <c r="R4123" s="18">
        <v>727.97</v>
      </c>
      <c r="S4123" s="18">
        <v>754.9</v>
      </c>
      <c r="T4123" s="18">
        <v>618.77</v>
      </c>
      <c r="U4123" s="16"/>
      <c r="V4123" s="16"/>
      <c r="W4123" s="16" t="s">
        <v>40</v>
      </c>
      <c r="X4123" s="19">
        <v>0.60499999999999998</v>
      </c>
      <c r="Y4123" s="20">
        <v>4.44E-4</v>
      </c>
      <c r="Z4123" s="21">
        <v>4601004202122</v>
      </c>
    </row>
    <row r="4124" spans="1:26" ht="12" customHeight="1" outlineLevel="4" x14ac:dyDescent="0.2">
      <c r="A4124" s="14" t="s">
        <v>8014</v>
      </c>
      <c r="B4124" s="26" t="s">
        <v>8015</v>
      </c>
      <c r="C4124" s="52"/>
      <c r="D4124" s="55">
        <f t="shared" si="64"/>
        <v>0</v>
      </c>
      <c r="E4124" s="63" t="str">
        <f>HYPERLINK("https://www.sds-group.ru/product/bur-po-betonu-14x160x100mm-hvostovik-sds-plus-kranz-KR-91-0032/", "Инфо")</f>
        <v>Инфо</v>
      </c>
      <c r="F4124" s="16" t="s">
        <v>39</v>
      </c>
      <c r="G4124" s="15"/>
      <c r="H4124" s="15"/>
      <c r="I4124" s="15"/>
      <c r="J4124" s="17">
        <v>919</v>
      </c>
      <c r="K4124" s="15" t="s">
        <v>6798</v>
      </c>
      <c r="L4124" s="17">
        <v>5</v>
      </c>
      <c r="M4124" s="17">
        <v>120</v>
      </c>
      <c r="N4124" s="17">
        <v>5</v>
      </c>
      <c r="O4124" s="18">
        <v>356.73</v>
      </c>
      <c r="P4124" s="18">
        <v>292.39999999999998</v>
      </c>
      <c r="Q4124" s="18">
        <v>303.22000000000003</v>
      </c>
      <c r="R4124" s="18">
        <v>248.54</v>
      </c>
      <c r="S4124" s="18">
        <v>242.58</v>
      </c>
      <c r="T4124" s="18">
        <v>198.84</v>
      </c>
      <c r="U4124" s="16"/>
      <c r="V4124" s="16"/>
      <c r="W4124" s="16" t="s">
        <v>40</v>
      </c>
      <c r="X4124" s="19">
        <v>0.113</v>
      </c>
      <c r="Y4124" s="20">
        <v>1.3799999999999999E-4</v>
      </c>
      <c r="Z4124" s="21">
        <v>4601004201682</v>
      </c>
    </row>
    <row r="4125" spans="1:26" ht="12" customHeight="1" outlineLevel="4" x14ac:dyDescent="0.2">
      <c r="A4125" s="14" t="s">
        <v>8016</v>
      </c>
      <c r="B4125" s="26" t="s">
        <v>8017</v>
      </c>
      <c r="C4125" s="52"/>
      <c r="D4125" s="55">
        <f t="shared" si="64"/>
        <v>0</v>
      </c>
      <c r="E4125" s="63" t="str">
        <f>HYPERLINK("https://www.sds-group.ru/product/bur-po-betonu-14x210x150mm-hvostovik-sds-plus-kranz-KR-91-0034/", "Инфо")</f>
        <v>Инфо</v>
      </c>
      <c r="F4125" s="16" t="s">
        <v>39</v>
      </c>
      <c r="G4125" s="15"/>
      <c r="H4125" s="15"/>
      <c r="I4125" s="15"/>
      <c r="J4125" s="17">
        <v>444</v>
      </c>
      <c r="K4125" s="15" t="s">
        <v>5369</v>
      </c>
      <c r="L4125" s="17">
        <v>5</v>
      </c>
      <c r="M4125" s="17">
        <v>120</v>
      </c>
      <c r="N4125" s="17">
        <v>5</v>
      </c>
      <c r="O4125" s="18">
        <v>284.92</v>
      </c>
      <c r="P4125" s="18">
        <v>233.54</v>
      </c>
      <c r="Q4125" s="18">
        <v>256.43</v>
      </c>
      <c r="R4125" s="18">
        <v>210.19</v>
      </c>
      <c r="S4125" s="18">
        <v>193.75</v>
      </c>
      <c r="T4125" s="18">
        <v>158.81</v>
      </c>
      <c r="U4125" s="16"/>
      <c r="V4125" s="16"/>
      <c r="W4125" s="16" t="s">
        <v>40</v>
      </c>
      <c r="X4125" s="19">
        <v>0.14299999999999999</v>
      </c>
      <c r="Y4125" s="20">
        <v>1.2999999999999999E-4</v>
      </c>
      <c r="Z4125" s="21">
        <v>4601004174665</v>
      </c>
    </row>
    <row r="4126" spans="1:26" ht="12" customHeight="1" outlineLevel="4" x14ac:dyDescent="0.2">
      <c r="A4126" s="14" t="s">
        <v>8018</v>
      </c>
      <c r="B4126" s="26" t="s">
        <v>8019</v>
      </c>
      <c r="C4126" s="52"/>
      <c r="D4126" s="55">
        <f t="shared" si="64"/>
        <v>0</v>
      </c>
      <c r="E4126" s="63" t="str">
        <f>HYPERLINK("https://www.sds-group.ru/product/bur-po-betonu-14x310x240mm-hvostovik-sds-plus-kranz-KR-91-0038/", "Инфо")</f>
        <v>Инфо</v>
      </c>
      <c r="F4126" s="16" t="s">
        <v>39</v>
      </c>
      <c r="G4126" s="15"/>
      <c r="H4126" s="15"/>
      <c r="I4126" s="15"/>
      <c r="J4126" s="22">
        <v>1435</v>
      </c>
      <c r="K4126" s="15"/>
      <c r="L4126" s="17">
        <v>5</v>
      </c>
      <c r="M4126" s="17">
        <v>100</v>
      </c>
      <c r="N4126" s="17">
        <v>5</v>
      </c>
      <c r="O4126" s="18">
        <v>331.7</v>
      </c>
      <c r="P4126" s="18">
        <v>271.89</v>
      </c>
      <c r="Q4126" s="18">
        <v>281.95</v>
      </c>
      <c r="R4126" s="18">
        <v>231.11</v>
      </c>
      <c r="S4126" s="18">
        <v>225.56</v>
      </c>
      <c r="T4126" s="18">
        <v>184.89</v>
      </c>
      <c r="U4126" s="16"/>
      <c r="V4126" s="16"/>
      <c r="W4126" s="16" t="s">
        <v>40</v>
      </c>
      <c r="X4126" s="19">
        <v>0.20699999999999999</v>
      </c>
      <c r="Y4126" s="20">
        <v>1.75E-4</v>
      </c>
      <c r="Z4126" s="21">
        <v>4601004174672</v>
      </c>
    </row>
    <row r="4127" spans="1:26" ht="12" customHeight="1" outlineLevel="4" x14ac:dyDescent="0.2">
      <c r="A4127" s="32" t="s">
        <v>8020</v>
      </c>
      <c r="B4127" s="74" t="s">
        <v>8021</v>
      </c>
      <c r="C4127" s="50"/>
      <c r="D4127" s="53">
        <f t="shared" si="64"/>
        <v>0</v>
      </c>
      <c r="E4127" s="60" t="str">
        <f>HYPERLINK("https://www.sds-group.ru/product/bur-po-betonu-14x400x340mm-hvostovik-sds-plus-kranz-KR-91-0853/", "Инфо")</f>
        <v>Инфо</v>
      </c>
      <c r="F4127" s="34" t="s">
        <v>39</v>
      </c>
      <c r="G4127" s="33"/>
      <c r="H4127" s="33" t="s">
        <v>40</v>
      </c>
      <c r="I4127" s="33"/>
      <c r="J4127" s="35">
        <v>109</v>
      </c>
      <c r="K4127" s="33" t="s">
        <v>5369</v>
      </c>
      <c r="L4127" s="35">
        <v>1</v>
      </c>
      <c r="M4127" s="35">
        <v>50</v>
      </c>
      <c r="N4127" s="35">
        <v>1</v>
      </c>
      <c r="O4127" s="36">
        <v>489.23</v>
      </c>
      <c r="P4127" s="36">
        <v>401.01</v>
      </c>
      <c r="Q4127" s="36">
        <v>415.85</v>
      </c>
      <c r="R4127" s="36">
        <v>340.86</v>
      </c>
      <c r="S4127" s="36">
        <v>332.68</v>
      </c>
      <c r="T4127" s="36">
        <v>272.69</v>
      </c>
      <c r="U4127" s="34"/>
      <c r="V4127" s="34"/>
      <c r="W4127" s="34" t="s">
        <v>40</v>
      </c>
      <c r="X4127" s="37">
        <v>0.26400000000000001</v>
      </c>
      <c r="Y4127" s="38">
        <v>2.3499999999999999E-4</v>
      </c>
      <c r="Z4127" s="21">
        <v>4601004282094</v>
      </c>
    </row>
    <row r="4128" spans="1:26" ht="12" customHeight="1" outlineLevel="4" x14ac:dyDescent="0.2">
      <c r="A4128" s="14" t="s">
        <v>8022</v>
      </c>
      <c r="B4128" s="26" t="s">
        <v>8023</v>
      </c>
      <c r="C4128" s="52"/>
      <c r="D4128" s="55">
        <f t="shared" si="64"/>
        <v>0</v>
      </c>
      <c r="E4128" s="63" t="str">
        <f>HYPERLINK("https://www.sds-group.ru/product/bur-po-betonu-14x460x400mm-hvostovik-sds-plus-kranz-KR-91-0051/", "Инфо")</f>
        <v>Инфо</v>
      </c>
      <c r="F4128" s="16" t="s">
        <v>39</v>
      </c>
      <c r="G4128" s="15"/>
      <c r="H4128" s="15"/>
      <c r="I4128" s="15"/>
      <c r="J4128" s="17">
        <v>436</v>
      </c>
      <c r="K4128" s="15"/>
      <c r="L4128" s="17">
        <v>1</v>
      </c>
      <c r="M4128" s="17">
        <v>100</v>
      </c>
      <c r="N4128" s="17">
        <v>1</v>
      </c>
      <c r="O4128" s="18">
        <v>480.1</v>
      </c>
      <c r="P4128" s="18">
        <v>393.52</v>
      </c>
      <c r="Q4128" s="18">
        <v>408.09</v>
      </c>
      <c r="R4128" s="18">
        <v>334.5</v>
      </c>
      <c r="S4128" s="18">
        <v>326.47000000000003</v>
      </c>
      <c r="T4128" s="18">
        <v>267.60000000000002</v>
      </c>
      <c r="U4128" s="16"/>
      <c r="V4128" s="16"/>
      <c r="W4128" s="16" t="s">
        <v>40</v>
      </c>
      <c r="X4128" s="19">
        <v>0.307</v>
      </c>
      <c r="Y4128" s="20">
        <v>2.4399999999999999E-4</v>
      </c>
      <c r="Z4128" s="21">
        <v>4601004174689</v>
      </c>
    </row>
    <row r="4129" spans="1:26" ht="12" customHeight="1" outlineLevel="4" x14ac:dyDescent="0.2">
      <c r="A4129" s="14" t="s">
        <v>8024</v>
      </c>
      <c r="B4129" s="26" t="s">
        <v>8025</v>
      </c>
      <c r="C4129" s="52"/>
      <c r="D4129" s="55">
        <f t="shared" si="64"/>
        <v>0</v>
      </c>
      <c r="E4129" s="63" t="str">
        <f>HYPERLINK("https://www.sds-group.ru/product/bur-po-betonu-14x600x540mm-hvostovik-sds-plus-kranz-KR-91-0064/", "Инфо")</f>
        <v>Инфо</v>
      </c>
      <c r="F4129" s="16" t="s">
        <v>39</v>
      </c>
      <c r="G4129" s="15"/>
      <c r="H4129" s="15"/>
      <c r="I4129" s="15"/>
      <c r="J4129" s="17">
        <v>473</v>
      </c>
      <c r="K4129" s="15"/>
      <c r="L4129" s="17">
        <v>1</v>
      </c>
      <c r="M4129" s="17">
        <v>50</v>
      </c>
      <c r="N4129" s="17">
        <v>1</v>
      </c>
      <c r="O4129" s="18">
        <v>690.28</v>
      </c>
      <c r="P4129" s="18">
        <v>565.79999999999995</v>
      </c>
      <c r="Q4129" s="18">
        <v>552.22</v>
      </c>
      <c r="R4129" s="18">
        <v>452.64</v>
      </c>
      <c r="S4129" s="18">
        <v>469.39</v>
      </c>
      <c r="T4129" s="18">
        <v>384.75</v>
      </c>
      <c r="U4129" s="16"/>
      <c r="V4129" s="16"/>
      <c r="W4129" s="16" t="s">
        <v>40</v>
      </c>
      <c r="X4129" s="19">
        <v>0.372</v>
      </c>
      <c r="Y4129" s="20">
        <v>2.4499999999999999E-4</v>
      </c>
      <c r="Z4129" s="21">
        <v>4601004201880</v>
      </c>
    </row>
    <row r="4130" spans="1:26" ht="12" customHeight="1" outlineLevel="4" x14ac:dyDescent="0.2">
      <c r="A4130" s="14" t="s">
        <v>8026</v>
      </c>
      <c r="B4130" s="26" t="s">
        <v>8027</v>
      </c>
      <c r="C4130" s="52"/>
      <c r="D4130" s="55">
        <f t="shared" si="64"/>
        <v>0</v>
      </c>
      <c r="E4130" s="63" t="str">
        <f>HYPERLINK("https://www.sds-group.ru/product/bur-po-betonu-14x800x740mm-hvostovik-sds-plus-kranz-KR-91-0076/", "Инфо")</f>
        <v>Инфо</v>
      </c>
      <c r="F4130" s="16" t="s">
        <v>39</v>
      </c>
      <c r="G4130" s="15"/>
      <c r="H4130" s="15"/>
      <c r="I4130" s="15"/>
      <c r="J4130" s="17">
        <v>38</v>
      </c>
      <c r="K4130" s="15" t="s">
        <v>5369</v>
      </c>
      <c r="L4130" s="17">
        <v>1</v>
      </c>
      <c r="M4130" s="17">
        <v>30</v>
      </c>
      <c r="N4130" s="17">
        <v>1</v>
      </c>
      <c r="O4130" s="18">
        <v>911.26</v>
      </c>
      <c r="P4130" s="18">
        <v>746.93</v>
      </c>
      <c r="Q4130" s="18">
        <v>729.01</v>
      </c>
      <c r="R4130" s="18">
        <v>597.54999999999995</v>
      </c>
      <c r="S4130" s="18">
        <v>619.66</v>
      </c>
      <c r="T4130" s="18">
        <v>507.92</v>
      </c>
      <c r="U4130" s="16"/>
      <c r="V4130" s="16"/>
      <c r="W4130" s="16" t="s">
        <v>40</v>
      </c>
      <c r="X4130" s="19">
        <v>0.49299999999999999</v>
      </c>
      <c r="Y4130" s="20">
        <v>3.3300000000000002E-4</v>
      </c>
      <c r="Z4130" s="21">
        <v>4601004202009</v>
      </c>
    </row>
    <row r="4131" spans="1:26" ht="12" customHeight="1" outlineLevel="4" x14ac:dyDescent="0.2">
      <c r="A4131" s="14" t="s">
        <v>8028</v>
      </c>
      <c r="B4131" s="26" t="s">
        <v>8029</v>
      </c>
      <c r="C4131" s="52"/>
      <c r="D4131" s="55">
        <f t="shared" si="64"/>
        <v>0</v>
      </c>
      <c r="E4131" s="63" t="str">
        <f>HYPERLINK("https://www.sds-group.ru/product/bur-po-betonu-16x1000x940mm-hvostovik-sds-plus-kranz-KR-91-0089/", "Инфо")</f>
        <v>Инфо</v>
      </c>
      <c r="F4131" s="16" t="s">
        <v>39</v>
      </c>
      <c r="G4131" s="15"/>
      <c r="H4131" s="15"/>
      <c r="I4131" s="15"/>
      <c r="J4131" s="17">
        <v>219</v>
      </c>
      <c r="K4131" s="15"/>
      <c r="L4131" s="17">
        <v>1</v>
      </c>
      <c r="M4131" s="17">
        <v>20</v>
      </c>
      <c r="N4131" s="17">
        <v>1</v>
      </c>
      <c r="O4131" s="18">
        <v>1458.83</v>
      </c>
      <c r="P4131" s="18">
        <v>1195.76</v>
      </c>
      <c r="Q4131" s="18">
        <v>1152.48</v>
      </c>
      <c r="R4131" s="18">
        <v>944.66</v>
      </c>
      <c r="S4131" s="18">
        <v>992</v>
      </c>
      <c r="T4131" s="18">
        <v>813.11</v>
      </c>
      <c r="U4131" s="16"/>
      <c r="V4131" s="16"/>
      <c r="W4131" s="16" t="s">
        <v>40</v>
      </c>
      <c r="X4131" s="19">
        <v>0.72</v>
      </c>
      <c r="Y4131" s="20">
        <v>5.0000000000000001E-4</v>
      </c>
      <c r="Z4131" s="21">
        <v>4601004202139</v>
      </c>
    </row>
    <row r="4132" spans="1:26" ht="12" customHeight="1" outlineLevel="4" x14ac:dyDescent="0.2">
      <c r="A4132" s="14" t="s">
        <v>8030</v>
      </c>
      <c r="B4132" s="26" t="s">
        <v>8031</v>
      </c>
      <c r="C4132" s="52"/>
      <c r="D4132" s="55">
        <f t="shared" si="64"/>
        <v>0</v>
      </c>
      <c r="E4132" s="63" t="str">
        <f>HYPERLINK("https://www.sds-group.ru/product/bur-po-betonu-16x160x100mm-hvostovik-sds-plus-kranz-KR-91-0033/", "Инфо")</f>
        <v>Инфо</v>
      </c>
      <c r="F4132" s="16" t="s">
        <v>39</v>
      </c>
      <c r="G4132" s="15"/>
      <c r="H4132" s="15"/>
      <c r="I4132" s="15"/>
      <c r="J4132" s="17">
        <v>19</v>
      </c>
      <c r="K4132" s="15" t="s">
        <v>5369</v>
      </c>
      <c r="L4132" s="17">
        <v>5</v>
      </c>
      <c r="M4132" s="17">
        <v>120</v>
      </c>
      <c r="N4132" s="17">
        <v>5</v>
      </c>
      <c r="O4132" s="18">
        <v>382.99</v>
      </c>
      <c r="P4132" s="18">
        <v>313.93</v>
      </c>
      <c r="Q4132" s="18">
        <v>325.54000000000002</v>
      </c>
      <c r="R4132" s="18">
        <v>266.83999999999997</v>
      </c>
      <c r="S4132" s="18">
        <v>260.43</v>
      </c>
      <c r="T4132" s="18">
        <v>213.47</v>
      </c>
      <c r="U4132" s="16"/>
      <c r="V4132" s="16"/>
      <c r="W4132" s="16" t="s">
        <v>40</v>
      </c>
      <c r="X4132" s="19">
        <v>0.127</v>
      </c>
      <c r="Y4132" s="20">
        <v>1.44E-4</v>
      </c>
      <c r="Z4132" s="21">
        <v>4601004201699</v>
      </c>
    </row>
    <row r="4133" spans="1:26" ht="12" customHeight="1" outlineLevel="4" x14ac:dyDescent="0.2">
      <c r="A4133" s="14" t="s">
        <v>8032</v>
      </c>
      <c r="B4133" s="26" t="s">
        <v>8033</v>
      </c>
      <c r="C4133" s="52"/>
      <c r="D4133" s="55">
        <f t="shared" si="64"/>
        <v>0</v>
      </c>
      <c r="E4133" s="63" t="str">
        <f>HYPERLINK("https://www.sds-group.ru/product/bur-po-betonu-16x210x150mm-hvostovik-sds-plus-kranz-KR-91-0035/", "Инфо")</f>
        <v>Инфо</v>
      </c>
      <c r="F4133" s="16" t="s">
        <v>39</v>
      </c>
      <c r="G4133" s="15"/>
      <c r="H4133" s="15"/>
      <c r="I4133" s="15"/>
      <c r="J4133" s="17">
        <v>356</v>
      </c>
      <c r="K4133" s="15"/>
      <c r="L4133" s="17">
        <v>5</v>
      </c>
      <c r="M4133" s="17">
        <v>120</v>
      </c>
      <c r="N4133" s="17">
        <v>5</v>
      </c>
      <c r="O4133" s="18">
        <v>318.63</v>
      </c>
      <c r="P4133" s="18">
        <v>261.17</v>
      </c>
      <c r="Q4133" s="18">
        <v>286.77</v>
      </c>
      <c r="R4133" s="18">
        <v>235.06</v>
      </c>
      <c r="S4133" s="18">
        <v>216.67</v>
      </c>
      <c r="T4133" s="18">
        <v>177.6</v>
      </c>
      <c r="U4133" s="16"/>
      <c r="V4133" s="16"/>
      <c r="W4133" s="16" t="s">
        <v>40</v>
      </c>
      <c r="X4133" s="19">
        <v>0.16300000000000001</v>
      </c>
      <c r="Y4133" s="20">
        <v>1.46E-4</v>
      </c>
      <c r="Z4133" s="21">
        <v>4601004174696</v>
      </c>
    </row>
    <row r="4134" spans="1:26" ht="12" customHeight="1" outlineLevel="4" x14ac:dyDescent="0.2">
      <c r="A4134" s="14" t="s">
        <v>8034</v>
      </c>
      <c r="B4134" s="26" t="s">
        <v>8035</v>
      </c>
      <c r="C4134" s="52"/>
      <c r="D4134" s="55">
        <f t="shared" si="64"/>
        <v>0</v>
      </c>
      <c r="E4134" s="63" t="str">
        <f>HYPERLINK("https://www.sds-group.ru/product/bur-po-betonu-16x260x200mm-hvostovik-sds-plus-kranz-KR-91-0832/", "Инфо")</f>
        <v>Инфо</v>
      </c>
      <c r="F4134" s="16" t="s">
        <v>39</v>
      </c>
      <c r="G4134" s="15"/>
      <c r="H4134" s="15"/>
      <c r="I4134" s="15"/>
      <c r="J4134" s="17">
        <v>503</v>
      </c>
      <c r="K4134" s="15"/>
      <c r="L4134" s="17">
        <v>10</v>
      </c>
      <c r="M4134" s="17">
        <v>120</v>
      </c>
      <c r="N4134" s="17">
        <v>10</v>
      </c>
      <c r="O4134" s="18">
        <v>393.89</v>
      </c>
      <c r="P4134" s="18">
        <v>322.86</v>
      </c>
      <c r="Q4134" s="18">
        <v>334.81</v>
      </c>
      <c r="R4134" s="18">
        <v>274.43</v>
      </c>
      <c r="S4134" s="18">
        <v>267.85000000000002</v>
      </c>
      <c r="T4134" s="18">
        <v>219.55</v>
      </c>
      <c r="U4134" s="16"/>
      <c r="V4134" s="16"/>
      <c r="W4134" s="16" t="s">
        <v>40</v>
      </c>
      <c r="X4134" s="19">
        <v>0.19800000000000001</v>
      </c>
      <c r="Y4134" s="20">
        <v>1.5799999999999999E-4</v>
      </c>
      <c r="Z4134" s="21">
        <v>4601004199200</v>
      </c>
    </row>
    <row r="4135" spans="1:26" ht="12" customHeight="1" outlineLevel="4" x14ac:dyDescent="0.2">
      <c r="A4135" s="14" t="s">
        <v>8036</v>
      </c>
      <c r="B4135" s="26" t="s">
        <v>8037</v>
      </c>
      <c r="C4135" s="52"/>
      <c r="D4135" s="55">
        <f t="shared" si="64"/>
        <v>0</v>
      </c>
      <c r="E4135" s="63" t="str">
        <f>HYPERLINK("https://www.sds-group.ru/product/bur-po-betonu-16x310x250mm-hvostovik-sds-plus-kranz-KR-91-0039/", "Инфо")</f>
        <v>Инфо</v>
      </c>
      <c r="F4135" s="16" t="s">
        <v>39</v>
      </c>
      <c r="G4135" s="15"/>
      <c r="H4135" s="15"/>
      <c r="I4135" s="15"/>
      <c r="J4135" s="17">
        <v>568</v>
      </c>
      <c r="K4135" s="15" t="s">
        <v>883</v>
      </c>
      <c r="L4135" s="17">
        <v>1</v>
      </c>
      <c r="M4135" s="17">
        <v>80</v>
      </c>
      <c r="N4135" s="17">
        <v>1</v>
      </c>
      <c r="O4135" s="18">
        <v>456.09</v>
      </c>
      <c r="P4135" s="18">
        <v>373.84</v>
      </c>
      <c r="Q4135" s="18">
        <v>410.48</v>
      </c>
      <c r="R4135" s="18">
        <v>336.46</v>
      </c>
      <c r="S4135" s="18">
        <v>310.14</v>
      </c>
      <c r="T4135" s="18">
        <v>254.21</v>
      </c>
      <c r="U4135" s="16"/>
      <c r="V4135" s="16"/>
      <c r="W4135" s="16" t="s">
        <v>40</v>
      </c>
      <c r="X4135" s="19">
        <v>0.23699999999999999</v>
      </c>
      <c r="Y4135" s="20">
        <v>2.24E-4</v>
      </c>
      <c r="Z4135" s="21">
        <v>4601004174702</v>
      </c>
    </row>
    <row r="4136" spans="1:26" ht="12" customHeight="1" outlineLevel="4" x14ac:dyDescent="0.2">
      <c r="A4136" s="32" t="s">
        <v>8038</v>
      </c>
      <c r="B4136" s="74" t="s">
        <v>8039</v>
      </c>
      <c r="C4136" s="50"/>
      <c r="D4136" s="53">
        <f t="shared" si="64"/>
        <v>0</v>
      </c>
      <c r="E4136" s="60" t="str">
        <f>HYPERLINK("https://www.sds-group.ru/product/bur-po-betonu-16x400x340mm-hvostovik-sds-plus-kranz-KR-91-0854/", "Инфо")</f>
        <v>Инфо</v>
      </c>
      <c r="F4136" s="34" t="s">
        <v>39</v>
      </c>
      <c r="G4136" s="33"/>
      <c r="H4136" s="33" t="s">
        <v>40</v>
      </c>
      <c r="I4136" s="33"/>
      <c r="J4136" s="35">
        <v>451</v>
      </c>
      <c r="K4136" s="33"/>
      <c r="L4136" s="35">
        <v>1</v>
      </c>
      <c r="M4136" s="35">
        <v>50</v>
      </c>
      <c r="N4136" s="35">
        <v>1</v>
      </c>
      <c r="O4136" s="36">
        <v>604.19000000000005</v>
      </c>
      <c r="P4136" s="36">
        <v>495.24</v>
      </c>
      <c r="Q4136" s="36">
        <v>513.55999999999995</v>
      </c>
      <c r="R4136" s="36">
        <v>420.95</v>
      </c>
      <c r="S4136" s="36">
        <v>410.85</v>
      </c>
      <c r="T4136" s="36">
        <v>336.76</v>
      </c>
      <c r="U4136" s="34"/>
      <c r="V4136" s="34"/>
      <c r="W4136" s="34" t="s">
        <v>40</v>
      </c>
      <c r="X4136" s="37">
        <v>0.312</v>
      </c>
      <c r="Y4136" s="38">
        <v>2.7E-4</v>
      </c>
      <c r="Z4136" s="21">
        <v>4601004282070</v>
      </c>
    </row>
    <row r="4137" spans="1:26" ht="12" customHeight="1" outlineLevel="4" x14ac:dyDescent="0.2">
      <c r="A4137" s="14" t="s">
        <v>8040</v>
      </c>
      <c r="B4137" s="26" t="s">
        <v>8041</v>
      </c>
      <c r="C4137" s="52"/>
      <c r="D4137" s="55">
        <f t="shared" si="64"/>
        <v>0</v>
      </c>
      <c r="E4137" s="63" t="str">
        <f>HYPERLINK("https://www.sds-group.ru/product/bur-po-betonu-16x460x400mm-hvostovik-sds-plus-kranz-KR-91-0052/", "Инфо")</f>
        <v>Инфо</v>
      </c>
      <c r="F4137" s="16" t="s">
        <v>39</v>
      </c>
      <c r="G4137" s="15"/>
      <c r="H4137" s="15"/>
      <c r="I4137" s="15"/>
      <c r="J4137" s="17">
        <v>536</v>
      </c>
      <c r="K4137" s="15"/>
      <c r="L4137" s="17">
        <v>1</v>
      </c>
      <c r="M4137" s="17">
        <v>100</v>
      </c>
      <c r="N4137" s="17">
        <v>1</v>
      </c>
      <c r="O4137" s="18">
        <v>603.78</v>
      </c>
      <c r="P4137" s="18">
        <v>494.9</v>
      </c>
      <c r="Q4137" s="18">
        <v>513.21</v>
      </c>
      <c r="R4137" s="18">
        <v>420.66</v>
      </c>
      <c r="S4137" s="18">
        <v>410.57</v>
      </c>
      <c r="T4137" s="18">
        <v>336.53</v>
      </c>
      <c r="U4137" s="16"/>
      <c r="V4137" s="16"/>
      <c r="W4137" s="16" t="s">
        <v>40</v>
      </c>
      <c r="X4137" s="19">
        <v>0.34599999999999997</v>
      </c>
      <c r="Y4137" s="20">
        <v>2.13E-4</v>
      </c>
      <c r="Z4137" s="21">
        <v>4601004174719</v>
      </c>
    </row>
    <row r="4138" spans="1:26" ht="12" customHeight="1" outlineLevel="4" x14ac:dyDescent="0.2">
      <c r="A4138" s="14" t="s">
        <v>8042</v>
      </c>
      <c r="B4138" s="26" t="s">
        <v>8043</v>
      </c>
      <c r="C4138" s="52"/>
      <c r="D4138" s="55">
        <f t="shared" si="64"/>
        <v>0</v>
      </c>
      <c r="E4138" s="63" t="str">
        <f>HYPERLINK("https://www.sds-group.ru/product/bur-po-betonu-16x600x540mm-hvostovik-sds-plus-kranz-KR-91-0065/", "Инфо")</f>
        <v>Инфо</v>
      </c>
      <c r="F4138" s="16" t="s">
        <v>39</v>
      </c>
      <c r="G4138" s="15"/>
      <c r="H4138" s="15"/>
      <c r="I4138" s="15"/>
      <c r="J4138" s="17">
        <v>512</v>
      </c>
      <c r="K4138" s="15" t="s">
        <v>5369</v>
      </c>
      <c r="L4138" s="17">
        <v>1</v>
      </c>
      <c r="M4138" s="17">
        <v>50</v>
      </c>
      <c r="N4138" s="17">
        <v>1</v>
      </c>
      <c r="O4138" s="18">
        <v>849.82</v>
      </c>
      <c r="P4138" s="18">
        <v>696.57</v>
      </c>
      <c r="Q4138" s="18">
        <v>679.86</v>
      </c>
      <c r="R4138" s="18">
        <v>557.26</v>
      </c>
      <c r="S4138" s="18">
        <v>577.88</v>
      </c>
      <c r="T4138" s="18">
        <v>473.67</v>
      </c>
      <c r="U4138" s="16"/>
      <c r="V4138" s="16"/>
      <c r="W4138" s="16" t="s">
        <v>40</v>
      </c>
      <c r="X4138" s="19">
        <v>0.44800000000000001</v>
      </c>
      <c r="Y4138" s="20">
        <v>2.7399999999999999E-4</v>
      </c>
      <c r="Z4138" s="21">
        <v>4601004201897</v>
      </c>
    </row>
    <row r="4139" spans="1:26" ht="12" customHeight="1" outlineLevel="4" x14ac:dyDescent="0.2">
      <c r="A4139" s="14" t="s">
        <v>8044</v>
      </c>
      <c r="B4139" s="26" t="s">
        <v>8045</v>
      </c>
      <c r="C4139" s="52"/>
      <c r="D4139" s="55">
        <f t="shared" si="64"/>
        <v>0</v>
      </c>
      <c r="E4139" s="63" t="str">
        <f>HYPERLINK("https://www.sds-group.ru/product/bur-po-betonu-16x800x740mm-hvostovik-sds-plus-kranz-KR-91-0077/", "Инфо")</f>
        <v>Инфо</v>
      </c>
      <c r="F4139" s="16" t="s">
        <v>39</v>
      </c>
      <c r="G4139" s="15"/>
      <c r="H4139" s="15"/>
      <c r="I4139" s="15"/>
      <c r="J4139" s="17">
        <v>376</v>
      </c>
      <c r="K4139" s="15"/>
      <c r="L4139" s="17">
        <v>1</v>
      </c>
      <c r="M4139" s="17">
        <v>30</v>
      </c>
      <c r="N4139" s="17">
        <v>1</v>
      </c>
      <c r="O4139" s="18">
        <v>1139.08</v>
      </c>
      <c r="P4139" s="18">
        <v>933.67</v>
      </c>
      <c r="Q4139" s="18">
        <v>911.26</v>
      </c>
      <c r="R4139" s="18">
        <v>746.93</v>
      </c>
      <c r="S4139" s="18">
        <v>774.57</v>
      </c>
      <c r="T4139" s="18">
        <v>634.89</v>
      </c>
      <c r="U4139" s="16"/>
      <c r="V4139" s="16"/>
      <c r="W4139" s="16" t="s">
        <v>40</v>
      </c>
      <c r="X4139" s="19">
        <v>0.56499999999999995</v>
      </c>
      <c r="Y4139" s="20">
        <v>4.17E-4</v>
      </c>
      <c r="Z4139" s="21">
        <v>4601004202016</v>
      </c>
    </row>
    <row r="4140" spans="1:26" ht="12" customHeight="1" outlineLevel="4" x14ac:dyDescent="0.2">
      <c r="A4140" s="32" t="s">
        <v>8046</v>
      </c>
      <c r="B4140" s="74" t="s">
        <v>8047</v>
      </c>
      <c r="C4140" s="50"/>
      <c r="D4140" s="53">
        <f t="shared" si="64"/>
        <v>0</v>
      </c>
      <c r="E4140" s="60" t="str">
        <f>HYPERLINK("https://www.sds-group.ru/product/bur-po-betonu-18x210x150mm-hvostovik-sds-plus-kranz-KR-91-0036/", "Инфо")</f>
        <v>Инфо</v>
      </c>
      <c r="F4140" s="34" t="s">
        <v>39</v>
      </c>
      <c r="G4140" s="33"/>
      <c r="H4140" s="33" t="s">
        <v>40</v>
      </c>
      <c r="I4140" s="33"/>
      <c r="J4140" s="35">
        <v>535</v>
      </c>
      <c r="K4140" s="33"/>
      <c r="L4140" s="35">
        <v>1</v>
      </c>
      <c r="M4140" s="35">
        <v>120</v>
      </c>
      <c r="N4140" s="35">
        <v>1</v>
      </c>
      <c r="O4140" s="36">
        <v>378.44</v>
      </c>
      <c r="P4140" s="36">
        <v>310.2</v>
      </c>
      <c r="Q4140" s="36">
        <v>264.91000000000003</v>
      </c>
      <c r="R4140" s="36">
        <v>217.14</v>
      </c>
      <c r="S4140" s="36">
        <v>257.33999999999997</v>
      </c>
      <c r="T4140" s="36">
        <v>210.93</v>
      </c>
      <c r="U4140" s="34"/>
      <c r="V4140" s="34"/>
      <c r="W4140" s="34"/>
      <c r="X4140" s="37">
        <v>0.20200000000000001</v>
      </c>
      <c r="Y4140" s="38">
        <v>1.56E-4</v>
      </c>
      <c r="Z4140" s="21">
        <v>4601004201705</v>
      </c>
    </row>
    <row r="4141" spans="1:26" ht="12" customHeight="1" outlineLevel="4" x14ac:dyDescent="0.2">
      <c r="A4141" s="14" t="s">
        <v>8048</v>
      </c>
      <c r="B4141" s="26" t="s">
        <v>8049</v>
      </c>
      <c r="C4141" s="52"/>
      <c r="D4141" s="55">
        <f t="shared" si="64"/>
        <v>0</v>
      </c>
      <c r="E4141" s="63" t="str">
        <f>HYPERLINK("https://www.sds-group.ru/product/bur-po-betonu-18x310x250mm-hvostovik-sds-plus-kranz-KR-91-0040/", "Инфо")</f>
        <v>Инфо</v>
      </c>
      <c r="F4141" s="16" t="s">
        <v>39</v>
      </c>
      <c r="G4141" s="15"/>
      <c r="H4141" s="15"/>
      <c r="I4141" s="15"/>
      <c r="J4141" s="17">
        <v>252</v>
      </c>
      <c r="K4141" s="15"/>
      <c r="L4141" s="17">
        <v>1</v>
      </c>
      <c r="M4141" s="17">
        <v>100</v>
      </c>
      <c r="N4141" s="17">
        <v>1</v>
      </c>
      <c r="O4141" s="18">
        <v>601.20000000000005</v>
      </c>
      <c r="P4141" s="18">
        <v>492.79</v>
      </c>
      <c r="Q4141" s="18">
        <v>480.96</v>
      </c>
      <c r="R4141" s="18">
        <v>394.23</v>
      </c>
      <c r="S4141" s="18">
        <v>408.82</v>
      </c>
      <c r="T4141" s="18">
        <v>335.1</v>
      </c>
      <c r="U4141" s="16"/>
      <c r="V4141" s="16"/>
      <c r="W4141" s="16" t="s">
        <v>40</v>
      </c>
      <c r="X4141" s="19">
        <v>0.3</v>
      </c>
      <c r="Y4141" s="20">
        <v>2.0000000000000001E-4</v>
      </c>
      <c r="Z4141" s="21">
        <v>4601004174726</v>
      </c>
    </row>
    <row r="4142" spans="1:26" ht="12" customHeight="1" outlineLevel="4" x14ac:dyDescent="0.2">
      <c r="A4142" s="32" t="s">
        <v>8050</v>
      </c>
      <c r="B4142" s="74" t="s">
        <v>8051</v>
      </c>
      <c r="C4142" s="50"/>
      <c r="D4142" s="53">
        <f t="shared" si="64"/>
        <v>0</v>
      </c>
      <c r="E4142" s="60" t="str">
        <f>HYPERLINK("https://www.sds-group.ru/product/bur-po-betonu-18x400x340mm-hvostovik-sds-plus-kranz-KR-91-0845/", "Инфо")</f>
        <v>Инфо</v>
      </c>
      <c r="F4142" s="34" t="s">
        <v>39</v>
      </c>
      <c r="G4142" s="33"/>
      <c r="H4142" s="33" t="s">
        <v>40</v>
      </c>
      <c r="I4142" s="33"/>
      <c r="J4142" s="35">
        <v>180</v>
      </c>
      <c r="K4142" s="33"/>
      <c r="L4142" s="35">
        <v>1</v>
      </c>
      <c r="M4142" s="35">
        <v>50</v>
      </c>
      <c r="N4142" s="35">
        <v>1</v>
      </c>
      <c r="O4142" s="36">
        <v>815.38</v>
      </c>
      <c r="P4142" s="36">
        <v>668.34</v>
      </c>
      <c r="Q4142" s="36">
        <v>652.29999999999995</v>
      </c>
      <c r="R4142" s="36">
        <v>534.66999999999996</v>
      </c>
      <c r="S4142" s="36">
        <v>554.46</v>
      </c>
      <c r="T4142" s="36">
        <v>454.48</v>
      </c>
      <c r="U4142" s="34"/>
      <c r="V4142" s="34"/>
      <c r="W4142" s="34" t="s">
        <v>40</v>
      </c>
      <c r="X4142" s="37">
        <v>0.38</v>
      </c>
      <c r="Y4142" s="38">
        <v>2.7799999999999998E-4</v>
      </c>
      <c r="Z4142" s="21">
        <v>4601004281714</v>
      </c>
    </row>
    <row r="4143" spans="1:26" ht="12" customHeight="1" outlineLevel="4" x14ac:dyDescent="0.2">
      <c r="A4143" s="32" t="s">
        <v>8052</v>
      </c>
      <c r="B4143" s="74" t="s">
        <v>8053</v>
      </c>
      <c r="C4143" s="50"/>
      <c r="D4143" s="53">
        <f t="shared" si="64"/>
        <v>0</v>
      </c>
      <c r="E4143" s="60" t="str">
        <f>HYPERLINK("https://www.sds-group.ru/product/bur-po-betonu-18x460x400mm-hvostovik-sds-plus-kranz-KR-91-0053/", "Инфо")</f>
        <v>Инфо</v>
      </c>
      <c r="F4143" s="34" t="s">
        <v>39</v>
      </c>
      <c r="G4143" s="33"/>
      <c r="H4143" s="33" t="s">
        <v>40</v>
      </c>
      <c r="I4143" s="33"/>
      <c r="J4143" s="35">
        <v>78</v>
      </c>
      <c r="K4143" s="33"/>
      <c r="L4143" s="35">
        <v>1</v>
      </c>
      <c r="M4143" s="35">
        <v>40</v>
      </c>
      <c r="N4143" s="35">
        <v>1</v>
      </c>
      <c r="O4143" s="36">
        <v>777.43</v>
      </c>
      <c r="P4143" s="36">
        <v>637.24</v>
      </c>
      <c r="Q4143" s="36">
        <v>621.94000000000005</v>
      </c>
      <c r="R4143" s="36">
        <v>509.79</v>
      </c>
      <c r="S4143" s="36">
        <v>528.65</v>
      </c>
      <c r="T4143" s="36">
        <v>433.32</v>
      </c>
      <c r="U4143" s="34"/>
      <c r="V4143" s="34"/>
      <c r="W4143" s="34" t="s">
        <v>40</v>
      </c>
      <c r="X4143" s="37">
        <v>0.443</v>
      </c>
      <c r="Y4143" s="38">
        <v>3.1300000000000002E-4</v>
      </c>
      <c r="Z4143" s="21">
        <v>4601004201798</v>
      </c>
    </row>
    <row r="4144" spans="1:26" ht="12" customHeight="1" outlineLevel="4" x14ac:dyDescent="0.2">
      <c r="A4144" s="14" t="s">
        <v>8054</v>
      </c>
      <c r="B4144" s="26" t="s">
        <v>8055</v>
      </c>
      <c r="C4144" s="52"/>
      <c r="D4144" s="55">
        <f t="shared" si="64"/>
        <v>0</v>
      </c>
      <c r="E4144" s="63" t="str">
        <f>HYPERLINK("https://www.sds-group.ru/product/bur-po-betonu-18x600x540mm-hvostovik-sds-plus-kranz-KR-91-0066/", "Инфо")</f>
        <v>Инфо</v>
      </c>
      <c r="F4144" s="16" t="s">
        <v>39</v>
      </c>
      <c r="G4144" s="15"/>
      <c r="H4144" s="15"/>
      <c r="I4144" s="15"/>
      <c r="J4144" s="17">
        <v>337</v>
      </c>
      <c r="K4144" s="15" t="s">
        <v>5369</v>
      </c>
      <c r="L4144" s="17">
        <v>1</v>
      </c>
      <c r="M4144" s="17">
        <v>30</v>
      </c>
      <c r="N4144" s="17">
        <v>1</v>
      </c>
      <c r="O4144" s="18">
        <v>1060</v>
      </c>
      <c r="P4144" s="18">
        <v>868.85</v>
      </c>
      <c r="Q4144" s="18">
        <v>848</v>
      </c>
      <c r="R4144" s="18">
        <v>695.08</v>
      </c>
      <c r="S4144" s="18">
        <v>720.8</v>
      </c>
      <c r="T4144" s="18">
        <v>590.82000000000005</v>
      </c>
      <c r="U4144" s="16"/>
      <c r="V4144" s="16"/>
      <c r="W4144" s="16" t="s">
        <v>40</v>
      </c>
      <c r="X4144" s="19">
        <v>0.57799999999999996</v>
      </c>
      <c r="Y4144" s="20">
        <v>3.8400000000000001E-4</v>
      </c>
      <c r="Z4144" s="21">
        <v>4601004201903</v>
      </c>
    </row>
    <row r="4145" spans="1:26" ht="12" customHeight="1" outlineLevel="4" x14ac:dyDescent="0.2">
      <c r="A4145" s="14" t="s">
        <v>8056</v>
      </c>
      <c r="B4145" s="26" t="s">
        <v>8057</v>
      </c>
      <c r="C4145" s="52"/>
      <c r="D4145" s="55">
        <f t="shared" si="64"/>
        <v>0</v>
      </c>
      <c r="E4145" s="63" t="str">
        <f>HYPERLINK("https://www.sds-group.ru/product/bur-po-betonu-18x800x740mm-hvostovik-sds-plus-kranz-KR-91-0078/", "Инфо")</f>
        <v>Инфо</v>
      </c>
      <c r="F4145" s="16" t="s">
        <v>39</v>
      </c>
      <c r="G4145" s="15"/>
      <c r="H4145" s="15"/>
      <c r="I4145" s="15"/>
      <c r="J4145" s="17">
        <v>195</v>
      </c>
      <c r="K4145" s="15"/>
      <c r="L4145" s="17">
        <v>1</v>
      </c>
      <c r="M4145" s="17">
        <v>20</v>
      </c>
      <c r="N4145" s="17">
        <v>1</v>
      </c>
      <c r="O4145" s="18">
        <v>1311.3</v>
      </c>
      <c r="P4145" s="18">
        <v>1074.8399999999999</v>
      </c>
      <c r="Q4145" s="18">
        <v>1049.04</v>
      </c>
      <c r="R4145" s="18">
        <v>859.87</v>
      </c>
      <c r="S4145" s="18">
        <v>891.68</v>
      </c>
      <c r="T4145" s="18">
        <v>730.89</v>
      </c>
      <c r="U4145" s="16"/>
      <c r="V4145" s="16"/>
      <c r="W4145" s="16" t="s">
        <v>40</v>
      </c>
      <c r="X4145" s="19">
        <v>0.74299999999999999</v>
      </c>
      <c r="Y4145" s="20">
        <v>5.0000000000000001E-4</v>
      </c>
      <c r="Z4145" s="21">
        <v>4601004202023</v>
      </c>
    </row>
    <row r="4146" spans="1:26" ht="12" customHeight="1" outlineLevel="4" x14ac:dyDescent="0.2">
      <c r="A4146" s="14" t="s">
        <v>8058</v>
      </c>
      <c r="B4146" s="26" t="s">
        <v>8059</v>
      </c>
      <c r="C4146" s="52"/>
      <c r="D4146" s="55">
        <f t="shared" si="64"/>
        <v>0</v>
      </c>
      <c r="E4146" s="63" t="str">
        <f>HYPERLINK("https://www.sds-group.ru/product/bur-po-betonu-20x1000x940mm-hvostovik-sds-plus-kranz-KR-91-0090/", "Инфо")</f>
        <v>Инфо</v>
      </c>
      <c r="F4146" s="16" t="s">
        <v>39</v>
      </c>
      <c r="G4146" s="15"/>
      <c r="H4146" s="15"/>
      <c r="I4146" s="15"/>
      <c r="J4146" s="17">
        <v>107</v>
      </c>
      <c r="K4146" s="15"/>
      <c r="L4146" s="17">
        <v>1</v>
      </c>
      <c r="M4146" s="17">
        <v>10</v>
      </c>
      <c r="N4146" s="17">
        <v>1</v>
      </c>
      <c r="O4146" s="18">
        <v>2181.15</v>
      </c>
      <c r="P4146" s="18">
        <v>1787.83</v>
      </c>
      <c r="Q4146" s="18">
        <v>1723.11</v>
      </c>
      <c r="R4146" s="18">
        <v>1412.39</v>
      </c>
      <c r="S4146" s="18">
        <v>1483.18</v>
      </c>
      <c r="T4146" s="18">
        <v>1215.72</v>
      </c>
      <c r="U4146" s="16"/>
      <c r="V4146" s="16"/>
      <c r="W4146" s="16" t="s">
        <v>40</v>
      </c>
      <c r="X4146" s="19">
        <v>1.03</v>
      </c>
      <c r="Y4146" s="20">
        <v>6.6699999999999995E-4</v>
      </c>
      <c r="Z4146" s="21">
        <v>4601004281677</v>
      </c>
    </row>
    <row r="4147" spans="1:26" ht="12" customHeight="1" outlineLevel="4" x14ac:dyDescent="0.2">
      <c r="A4147" s="14" t="s">
        <v>8060</v>
      </c>
      <c r="B4147" s="26" t="s">
        <v>8061</v>
      </c>
      <c r="C4147" s="52"/>
      <c r="D4147" s="55">
        <f t="shared" si="64"/>
        <v>0</v>
      </c>
      <c r="E4147" s="63" t="str">
        <f>HYPERLINK("https://www.sds-group.ru/product/bur-po-betonu-20x310x250mm-hvostovik-sds-plus-kranz-KR-91-0041/", "Инфо")</f>
        <v>Инфо</v>
      </c>
      <c r="F4147" s="16" t="s">
        <v>39</v>
      </c>
      <c r="G4147" s="15"/>
      <c r="H4147" s="15"/>
      <c r="I4147" s="15"/>
      <c r="J4147" s="17">
        <v>182</v>
      </c>
      <c r="K4147" s="15" t="s">
        <v>883</v>
      </c>
      <c r="L4147" s="17">
        <v>1</v>
      </c>
      <c r="M4147" s="17">
        <v>50</v>
      </c>
      <c r="N4147" s="17">
        <v>1</v>
      </c>
      <c r="O4147" s="18">
        <v>704.87</v>
      </c>
      <c r="P4147" s="18">
        <v>577.76</v>
      </c>
      <c r="Q4147" s="18">
        <v>563.9</v>
      </c>
      <c r="R4147" s="18">
        <v>462.21</v>
      </c>
      <c r="S4147" s="18">
        <v>479.31</v>
      </c>
      <c r="T4147" s="18">
        <v>392.88</v>
      </c>
      <c r="U4147" s="16"/>
      <c r="V4147" s="16"/>
      <c r="W4147" s="16" t="s">
        <v>40</v>
      </c>
      <c r="X4147" s="19">
        <v>0.379</v>
      </c>
      <c r="Y4147" s="20">
        <v>2.0699999999999999E-4</v>
      </c>
      <c r="Z4147" s="21">
        <v>4601004201712</v>
      </c>
    </row>
    <row r="4148" spans="1:26" ht="12" customHeight="1" outlineLevel="4" x14ac:dyDescent="0.2">
      <c r="A4148" s="14" t="s">
        <v>8062</v>
      </c>
      <c r="B4148" s="26" t="s">
        <v>8063</v>
      </c>
      <c r="C4148" s="52"/>
      <c r="D4148" s="55">
        <f t="shared" si="64"/>
        <v>0</v>
      </c>
      <c r="E4148" s="63" t="str">
        <f>HYPERLINK("https://www.sds-group.ru/product/bur-po-betonu-20x400x340mm-hvostovik-sds-plus-kranz-KR-91-0846/", "Инфо")</f>
        <v>Инфо</v>
      </c>
      <c r="F4148" s="16" t="s">
        <v>39</v>
      </c>
      <c r="G4148" s="15"/>
      <c r="H4148" s="15"/>
      <c r="I4148" s="15"/>
      <c r="J4148" s="17">
        <v>318</v>
      </c>
      <c r="K4148" s="15"/>
      <c r="L4148" s="17">
        <v>1</v>
      </c>
      <c r="M4148" s="17">
        <v>25</v>
      </c>
      <c r="N4148" s="17">
        <v>1</v>
      </c>
      <c r="O4148" s="18">
        <v>1019.23</v>
      </c>
      <c r="P4148" s="18">
        <v>835.43</v>
      </c>
      <c r="Q4148" s="18">
        <v>815.38</v>
      </c>
      <c r="R4148" s="18">
        <v>668.34</v>
      </c>
      <c r="S4148" s="18">
        <v>693.08</v>
      </c>
      <c r="T4148" s="18">
        <v>568.1</v>
      </c>
      <c r="U4148" s="16"/>
      <c r="V4148" s="16"/>
      <c r="W4148" s="16" t="s">
        <v>40</v>
      </c>
      <c r="X4148" s="19">
        <v>0.48499999999999999</v>
      </c>
      <c r="Y4148" s="20">
        <v>2.8499999999999999E-4</v>
      </c>
      <c r="Z4148" s="21">
        <v>4601004281707</v>
      </c>
    </row>
    <row r="4149" spans="1:26" ht="12" customHeight="1" outlineLevel="4" x14ac:dyDescent="0.2">
      <c r="A4149" s="14" t="s">
        <v>8064</v>
      </c>
      <c r="B4149" s="26" t="s">
        <v>8065</v>
      </c>
      <c r="C4149" s="52"/>
      <c r="D4149" s="55">
        <f t="shared" si="64"/>
        <v>0</v>
      </c>
      <c r="E4149" s="63" t="str">
        <f>HYPERLINK("https://www.sds-group.ru/product/bur-po-betonu-20x460x400mm-hvostovik-sds-plus-kranz-KR-91-0054/", "Инфо")</f>
        <v>Инфо</v>
      </c>
      <c r="F4149" s="16" t="s">
        <v>39</v>
      </c>
      <c r="G4149" s="15"/>
      <c r="H4149" s="15"/>
      <c r="I4149" s="15"/>
      <c r="J4149" s="17">
        <v>78</v>
      </c>
      <c r="K4149" s="15"/>
      <c r="L4149" s="17">
        <v>1</v>
      </c>
      <c r="M4149" s="17">
        <v>40</v>
      </c>
      <c r="N4149" s="17">
        <v>1</v>
      </c>
      <c r="O4149" s="18">
        <v>1135.1300000000001</v>
      </c>
      <c r="P4149" s="18">
        <v>930.43</v>
      </c>
      <c r="Q4149" s="18">
        <v>908.1</v>
      </c>
      <c r="R4149" s="18">
        <v>744.34</v>
      </c>
      <c r="S4149" s="18">
        <v>771.89</v>
      </c>
      <c r="T4149" s="18">
        <v>632.70000000000005</v>
      </c>
      <c r="U4149" s="16"/>
      <c r="V4149" s="16"/>
      <c r="W4149" s="16" t="s">
        <v>40</v>
      </c>
      <c r="X4149" s="19">
        <v>0.57299999999999995</v>
      </c>
      <c r="Y4149" s="20">
        <v>2.6800000000000001E-4</v>
      </c>
      <c r="Z4149" s="21">
        <v>4601004201804</v>
      </c>
    </row>
    <row r="4150" spans="1:26" ht="12" customHeight="1" outlineLevel="4" x14ac:dyDescent="0.2">
      <c r="A4150" s="14" t="s">
        <v>8066</v>
      </c>
      <c r="B4150" s="26" t="s">
        <v>8067</v>
      </c>
      <c r="C4150" s="52"/>
      <c r="D4150" s="55">
        <f t="shared" si="64"/>
        <v>0</v>
      </c>
      <c r="E4150" s="63" t="str">
        <f>HYPERLINK("https://www.sds-group.ru/product/bur-po-betonu-20x600x540mm-hvostovik-sds-plus-kranz-KR-91-0067/", "Инфо")</f>
        <v>Инфо</v>
      </c>
      <c r="F4150" s="16" t="s">
        <v>39</v>
      </c>
      <c r="G4150" s="15"/>
      <c r="H4150" s="15"/>
      <c r="I4150" s="15"/>
      <c r="J4150" s="17">
        <v>50</v>
      </c>
      <c r="K4150" s="15" t="s">
        <v>5369</v>
      </c>
      <c r="L4150" s="17">
        <v>1</v>
      </c>
      <c r="M4150" s="17">
        <v>20</v>
      </c>
      <c r="N4150" s="17">
        <v>1</v>
      </c>
      <c r="O4150" s="18">
        <v>1251.08</v>
      </c>
      <c r="P4150" s="18">
        <v>1025.48</v>
      </c>
      <c r="Q4150" s="18">
        <v>1000.86</v>
      </c>
      <c r="R4150" s="18">
        <v>820.38</v>
      </c>
      <c r="S4150" s="18">
        <v>850.73</v>
      </c>
      <c r="T4150" s="18">
        <v>697.32</v>
      </c>
      <c r="U4150" s="16"/>
      <c r="V4150" s="16"/>
      <c r="W4150" s="16" t="s">
        <v>40</v>
      </c>
      <c r="X4150" s="19">
        <v>0.74</v>
      </c>
      <c r="Y4150" s="20">
        <v>5.0900000000000001E-4</v>
      </c>
      <c r="Z4150" s="21">
        <v>4601004201910</v>
      </c>
    </row>
    <row r="4151" spans="1:26" ht="12" customHeight="1" outlineLevel="4" x14ac:dyDescent="0.2">
      <c r="A4151" s="14" t="s">
        <v>8068</v>
      </c>
      <c r="B4151" s="26" t="s">
        <v>8069</v>
      </c>
      <c r="C4151" s="52"/>
      <c r="D4151" s="55">
        <f t="shared" si="64"/>
        <v>0</v>
      </c>
      <c r="E4151" s="63" t="str">
        <f>HYPERLINK("https://www.sds-group.ru/product/bur-po-betonu-20x800x740mm-hvostovik-sds-plus-kranz-KR-91-0079/", "Инфо")</f>
        <v>Инфо</v>
      </c>
      <c r="F4151" s="16" t="s">
        <v>39</v>
      </c>
      <c r="G4151" s="15"/>
      <c r="H4151" s="15"/>
      <c r="I4151" s="15"/>
      <c r="J4151" s="16" t="s">
        <v>100</v>
      </c>
      <c r="K4151" s="15"/>
      <c r="L4151" s="17">
        <v>1</v>
      </c>
      <c r="M4151" s="17">
        <v>20</v>
      </c>
      <c r="N4151" s="17">
        <v>1</v>
      </c>
      <c r="O4151" s="18">
        <v>1691.23</v>
      </c>
      <c r="P4151" s="18">
        <v>1386.25</v>
      </c>
      <c r="Q4151" s="18">
        <v>1336.07</v>
      </c>
      <c r="R4151" s="18">
        <v>1095.1400000000001</v>
      </c>
      <c r="S4151" s="18">
        <v>1150.04</v>
      </c>
      <c r="T4151" s="18">
        <v>942.66</v>
      </c>
      <c r="U4151" s="16"/>
      <c r="V4151" s="16"/>
      <c r="W4151" s="16" t="s">
        <v>40</v>
      </c>
      <c r="X4151" s="19">
        <v>0.97499999999999998</v>
      </c>
      <c r="Y4151" s="20">
        <v>5.71E-4</v>
      </c>
      <c r="Z4151" s="21">
        <v>4601004202030</v>
      </c>
    </row>
    <row r="4152" spans="1:26" ht="12" customHeight="1" outlineLevel="4" x14ac:dyDescent="0.2">
      <c r="A4152" s="14" t="s">
        <v>8070</v>
      </c>
      <c r="B4152" s="26" t="s">
        <v>8071</v>
      </c>
      <c r="C4152" s="52"/>
      <c r="D4152" s="55">
        <f t="shared" si="64"/>
        <v>0</v>
      </c>
      <c r="E4152" s="63" t="str">
        <f>HYPERLINK("https://www.sds-group.ru/product/bur-po-betonu-22x1000x940mm-hvostovik-sds-plus-kranz-KR-91-0091/", "Инфо")</f>
        <v>Инфо</v>
      </c>
      <c r="F4152" s="16" t="s">
        <v>39</v>
      </c>
      <c r="G4152" s="15"/>
      <c r="H4152" s="15"/>
      <c r="I4152" s="15"/>
      <c r="J4152" s="17">
        <v>120</v>
      </c>
      <c r="K4152" s="15" t="s">
        <v>5369</v>
      </c>
      <c r="L4152" s="17">
        <v>1</v>
      </c>
      <c r="M4152" s="17">
        <v>10</v>
      </c>
      <c r="N4152" s="17">
        <v>1</v>
      </c>
      <c r="O4152" s="18">
        <v>2379.2199999999998</v>
      </c>
      <c r="P4152" s="18">
        <v>1950.18</v>
      </c>
      <c r="Q4152" s="18">
        <v>1832</v>
      </c>
      <c r="R4152" s="18">
        <v>1501.64</v>
      </c>
      <c r="S4152" s="18">
        <v>1617.87</v>
      </c>
      <c r="T4152" s="18">
        <v>1326.12</v>
      </c>
      <c r="U4152" s="16"/>
      <c r="V4152" s="16"/>
      <c r="W4152" s="16" t="s">
        <v>40</v>
      </c>
      <c r="X4152" s="19">
        <v>1.3220000000000001</v>
      </c>
      <c r="Y4152" s="20">
        <v>1E-3</v>
      </c>
      <c r="Z4152" s="21">
        <v>4601004281721</v>
      </c>
    </row>
    <row r="4153" spans="1:26" ht="12" customHeight="1" outlineLevel="4" x14ac:dyDescent="0.2">
      <c r="A4153" s="32" t="s">
        <v>8072</v>
      </c>
      <c r="B4153" s="74" t="s">
        <v>8073</v>
      </c>
      <c r="C4153" s="50"/>
      <c r="D4153" s="53">
        <f t="shared" si="64"/>
        <v>0</v>
      </c>
      <c r="E4153" s="60" t="str">
        <f>HYPERLINK("https://www.sds-group.ru/product/bur-po-betonu-22x310x250mm-hvostovik-sds-plus-kranz-KR-91-0042/", "Инфо")</f>
        <v>Инфо</v>
      </c>
      <c r="F4153" s="34" t="s">
        <v>39</v>
      </c>
      <c r="G4153" s="33"/>
      <c r="H4153" s="33" t="s">
        <v>40</v>
      </c>
      <c r="I4153" s="33"/>
      <c r="J4153" s="35">
        <v>70</v>
      </c>
      <c r="K4153" s="33"/>
      <c r="L4153" s="35">
        <v>1</v>
      </c>
      <c r="M4153" s="35">
        <v>40</v>
      </c>
      <c r="N4153" s="35">
        <v>1</v>
      </c>
      <c r="O4153" s="36">
        <v>722.27</v>
      </c>
      <c r="P4153" s="36">
        <v>592.02</v>
      </c>
      <c r="Q4153" s="36">
        <v>505.59</v>
      </c>
      <c r="R4153" s="36">
        <v>414.42</v>
      </c>
      <c r="S4153" s="36">
        <v>491.14</v>
      </c>
      <c r="T4153" s="36">
        <v>402.57</v>
      </c>
      <c r="U4153" s="34"/>
      <c r="V4153" s="34"/>
      <c r="W4153" s="34"/>
      <c r="X4153" s="37">
        <v>0.438</v>
      </c>
      <c r="Y4153" s="38">
        <v>2.04E-4</v>
      </c>
      <c r="Z4153" s="21">
        <v>4601004201729</v>
      </c>
    </row>
    <row r="4154" spans="1:26" ht="12" customHeight="1" outlineLevel="4" x14ac:dyDescent="0.2">
      <c r="A4154" s="14" t="s">
        <v>8074</v>
      </c>
      <c r="B4154" s="26" t="s">
        <v>8075</v>
      </c>
      <c r="C4154" s="52"/>
      <c r="D4154" s="55">
        <f t="shared" si="64"/>
        <v>0</v>
      </c>
      <c r="E4154" s="63" t="str">
        <f>HYPERLINK("https://www.sds-group.ru/product/bur-po-betonu-22x460x400mm-hvostovik-sds-plus-kranz-KR-91-0055/", "Инфо")</f>
        <v>Инфо</v>
      </c>
      <c r="F4154" s="16" t="s">
        <v>39</v>
      </c>
      <c r="G4154" s="15"/>
      <c r="H4154" s="15"/>
      <c r="I4154" s="15"/>
      <c r="J4154" s="17">
        <v>53</v>
      </c>
      <c r="K4154" s="15"/>
      <c r="L4154" s="17">
        <v>1</v>
      </c>
      <c r="M4154" s="17">
        <v>30</v>
      </c>
      <c r="N4154" s="17">
        <v>1</v>
      </c>
      <c r="O4154" s="18">
        <v>1242</v>
      </c>
      <c r="P4154" s="18">
        <v>1018.03</v>
      </c>
      <c r="Q4154" s="18">
        <v>993.6</v>
      </c>
      <c r="R4154" s="18">
        <v>814.43</v>
      </c>
      <c r="S4154" s="18">
        <v>844.56</v>
      </c>
      <c r="T4154" s="18">
        <v>692.26</v>
      </c>
      <c r="U4154" s="16"/>
      <c r="V4154" s="16"/>
      <c r="W4154" s="16" t="s">
        <v>40</v>
      </c>
      <c r="X4154" s="19">
        <v>0.67500000000000004</v>
      </c>
      <c r="Y4154" s="20">
        <v>3.4099999999999999E-4</v>
      </c>
      <c r="Z4154" s="21">
        <v>4601004201811</v>
      </c>
    </row>
    <row r="4155" spans="1:26" ht="12" customHeight="1" outlineLevel="4" x14ac:dyDescent="0.2">
      <c r="A4155" s="14" t="s">
        <v>8076</v>
      </c>
      <c r="B4155" s="26" t="s">
        <v>8077</v>
      </c>
      <c r="C4155" s="52"/>
      <c r="D4155" s="55">
        <f t="shared" si="64"/>
        <v>0</v>
      </c>
      <c r="E4155" s="63" t="str">
        <f>HYPERLINK("https://www.sds-group.ru/product/bur-po-betonu-22x600x540mm-hvostovik-sds-plus-kranz-KR-91-0068/", "Инфо")</f>
        <v>Инфо</v>
      </c>
      <c r="F4155" s="16" t="s">
        <v>39</v>
      </c>
      <c r="G4155" s="15"/>
      <c r="H4155" s="15"/>
      <c r="I4155" s="15"/>
      <c r="J4155" s="17">
        <v>325</v>
      </c>
      <c r="K4155" s="15" t="s">
        <v>6798</v>
      </c>
      <c r="L4155" s="17">
        <v>1</v>
      </c>
      <c r="M4155" s="17">
        <v>20</v>
      </c>
      <c r="N4155" s="17">
        <v>1</v>
      </c>
      <c r="O4155" s="18">
        <v>1657.79</v>
      </c>
      <c r="P4155" s="18">
        <v>1358.84</v>
      </c>
      <c r="Q4155" s="18">
        <v>1309.6500000000001</v>
      </c>
      <c r="R4155" s="18">
        <v>1073.48</v>
      </c>
      <c r="S4155" s="18">
        <v>1127.3</v>
      </c>
      <c r="T4155" s="18">
        <v>924.02</v>
      </c>
      <c r="U4155" s="16"/>
      <c r="V4155" s="16"/>
      <c r="W4155" s="16" t="s">
        <v>40</v>
      </c>
      <c r="X4155" s="19">
        <v>0.88</v>
      </c>
      <c r="Y4155" s="20">
        <v>5.0600000000000005E-4</v>
      </c>
      <c r="Z4155" s="21">
        <v>4601004201927</v>
      </c>
    </row>
    <row r="4156" spans="1:26" ht="12" customHeight="1" outlineLevel="4" x14ac:dyDescent="0.2">
      <c r="A4156" s="14" t="s">
        <v>8078</v>
      </c>
      <c r="B4156" s="26" t="s">
        <v>8079</v>
      </c>
      <c r="C4156" s="52"/>
      <c r="D4156" s="55">
        <f t="shared" si="64"/>
        <v>0</v>
      </c>
      <c r="E4156" s="63" t="str">
        <f>HYPERLINK("https://www.sds-group.ru/product/bur-po-betonu-22x800x740mm-hvostovik-sds-plus-kranz-KR-91-0080/", "Инфо")</f>
        <v>Инфо</v>
      </c>
      <c r="F4156" s="16" t="s">
        <v>39</v>
      </c>
      <c r="G4156" s="15"/>
      <c r="H4156" s="15"/>
      <c r="I4156" s="15"/>
      <c r="J4156" s="17">
        <v>134</v>
      </c>
      <c r="K4156" s="15" t="s">
        <v>5369</v>
      </c>
      <c r="L4156" s="17">
        <v>1</v>
      </c>
      <c r="M4156" s="17">
        <v>20</v>
      </c>
      <c r="N4156" s="17">
        <v>1</v>
      </c>
      <c r="O4156" s="18">
        <v>2119.5</v>
      </c>
      <c r="P4156" s="18">
        <v>1737.3</v>
      </c>
      <c r="Q4156" s="18">
        <v>1674.41</v>
      </c>
      <c r="R4156" s="18">
        <v>1372.47</v>
      </c>
      <c r="S4156" s="18">
        <v>1441.26</v>
      </c>
      <c r="T4156" s="18">
        <v>1181.3599999999999</v>
      </c>
      <c r="U4156" s="16"/>
      <c r="V4156" s="16"/>
      <c r="W4156" s="16" t="s">
        <v>40</v>
      </c>
      <c r="X4156" s="19">
        <v>1.0549999999999999</v>
      </c>
      <c r="Y4156" s="20">
        <v>5.0000000000000001E-4</v>
      </c>
      <c r="Z4156" s="21">
        <v>4601004202047</v>
      </c>
    </row>
    <row r="4157" spans="1:26" ht="12" customHeight="1" outlineLevel="4" x14ac:dyDescent="0.2">
      <c r="A4157" s="32" t="s">
        <v>8080</v>
      </c>
      <c r="B4157" s="74" t="s">
        <v>8081</v>
      </c>
      <c r="C4157" s="50"/>
      <c r="D4157" s="53">
        <f t="shared" si="64"/>
        <v>0</v>
      </c>
      <c r="E4157" s="60" t="str">
        <f>HYPERLINK("https://www.sds-group.ru/product/bur-po-betonu-24x310x250mm-hvostovik-sds-plus-kranz-KR-91-0043/", "Инфо")</f>
        <v>Инфо</v>
      </c>
      <c r="F4157" s="34" t="s">
        <v>39</v>
      </c>
      <c r="G4157" s="33"/>
      <c r="H4157" s="33" t="s">
        <v>40</v>
      </c>
      <c r="I4157" s="33"/>
      <c r="J4157" s="35">
        <v>4</v>
      </c>
      <c r="K4157" s="33"/>
      <c r="L4157" s="35">
        <v>1</v>
      </c>
      <c r="M4157" s="35">
        <v>40</v>
      </c>
      <c r="N4157" s="35">
        <v>1</v>
      </c>
      <c r="O4157" s="36">
        <v>730.77</v>
      </c>
      <c r="P4157" s="36">
        <v>598.99</v>
      </c>
      <c r="Q4157" s="36">
        <v>511.54</v>
      </c>
      <c r="R4157" s="36">
        <v>419.3</v>
      </c>
      <c r="S4157" s="36">
        <v>496.92</v>
      </c>
      <c r="T4157" s="36">
        <v>407.31</v>
      </c>
      <c r="U4157" s="34"/>
      <c r="V4157" s="34"/>
      <c r="W4157" s="34"/>
      <c r="X4157" s="37">
        <v>0.51700000000000002</v>
      </c>
      <c r="Y4157" s="38">
        <v>2.7999999999999998E-4</v>
      </c>
      <c r="Z4157" s="21">
        <v>4601004201736</v>
      </c>
    </row>
    <row r="4158" spans="1:26" ht="12" customHeight="1" outlineLevel="4" x14ac:dyDescent="0.2">
      <c r="A4158" s="32" t="s">
        <v>8082</v>
      </c>
      <c r="B4158" s="74" t="s">
        <v>8083</v>
      </c>
      <c r="C4158" s="50"/>
      <c r="D4158" s="53">
        <f t="shared" si="64"/>
        <v>0</v>
      </c>
      <c r="E4158" s="60" t="str">
        <f>HYPERLINK("https://www.sds-group.ru/product/bur-po-betonu-24x460x400mm-hvostovik-sds-plus-kranz-KR-91-0056/", "Инфо")</f>
        <v>Инфо</v>
      </c>
      <c r="F4158" s="34" t="s">
        <v>39</v>
      </c>
      <c r="G4158" s="33"/>
      <c r="H4158" s="33" t="s">
        <v>40</v>
      </c>
      <c r="I4158" s="33"/>
      <c r="J4158" s="34" t="s">
        <v>100</v>
      </c>
      <c r="K4158" s="33" t="s">
        <v>5369</v>
      </c>
      <c r="L4158" s="35">
        <v>1</v>
      </c>
      <c r="M4158" s="35">
        <v>30</v>
      </c>
      <c r="N4158" s="35">
        <v>1</v>
      </c>
      <c r="O4158" s="36">
        <v>1544.71</v>
      </c>
      <c r="P4158" s="36">
        <v>1266.1600000000001</v>
      </c>
      <c r="Q4158" s="36">
        <v>1220.32</v>
      </c>
      <c r="R4158" s="36">
        <v>1000.26</v>
      </c>
      <c r="S4158" s="36">
        <v>1050.4000000000001</v>
      </c>
      <c r="T4158" s="36">
        <v>860.98</v>
      </c>
      <c r="U4158" s="34"/>
      <c r="V4158" s="34"/>
      <c r="W4158" s="34" t="s">
        <v>40</v>
      </c>
      <c r="X4158" s="37">
        <v>0.747</v>
      </c>
      <c r="Y4158" s="38">
        <v>3.88E-4</v>
      </c>
      <c r="Z4158" s="21">
        <v>4601004201828</v>
      </c>
    </row>
    <row r="4159" spans="1:26" ht="12" customHeight="1" outlineLevel="4" x14ac:dyDescent="0.2">
      <c r="A4159" s="14" t="s">
        <v>8084</v>
      </c>
      <c r="B4159" s="26" t="s">
        <v>8085</v>
      </c>
      <c r="C4159" s="52"/>
      <c r="D4159" s="55">
        <f t="shared" si="64"/>
        <v>0</v>
      </c>
      <c r="E4159" s="63" t="str">
        <f>HYPERLINK("https://www.sds-group.ru/product/bur-po-betonu-24x600x540mm-hvostovik-sds-plus-kranz-KR-91-0069/", "Инфо")</f>
        <v>Инфо</v>
      </c>
      <c r="F4159" s="16" t="s">
        <v>39</v>
      </c>
      <c r="G4159" s="15"/>
      <c r="H4159" s="15"/>
      <c r="I4159" s="15"/>
      <c r="J4159" s="17">
        <v>41</v>
      </c>
      <c r="K4159" s="15" t="s">
        <v>883</v>
      </c>
      <c r="L4159" s="17">
        <v>1</v>
      </c>
      <c r="M4159" s="17">
        <v>15</v>
      </c>
      <c r="N4159" s="17">
        <v>1</v>
      </c>
      <c r="O4159" s="18">
        <v>1746.34</v>
      </c>
      <c r="P4159" s="18">
        <v>1431.43</v>
      </c>
      <c r="Q4159" s="18">
        <v>1379.61</v>
      </c>
      <c r="R4159" s="18">
        <v>1130.83</v>
      </c>
      <c r="S4159" s="18">
        <v>1187.51</v>
      </c>
      <c r="T4159" s="18">
        <v>973.37</v>
      </c>
      <c r="U4159" s="16"/>
      <c r="V4159" s="16"/>
      <c r="W4159" s="16" t="s">
        <v>40</v>
      </c>
      <c r="X4159" s="19">
        <v>1.0469999999999999</v>
      </c>
      <c r="Y4159" s="20">
        <v>6.1300000000000005E-4</v>
      </c>
      <c r="Z4159" s="21">
        <v>4601004201934</v>
      </c>
    </row>
    <row r="4160" spans="1:26" ht="12" customHeight="1" outlineLevel="4" x14ac:dyDescent="0.2">
      <c r="A4160" s="32" t="s">
        <v>8086</v>
      </c>
      <c r="B4160" s="74" t="s">
        <v>8087</v>
      </c>
      <c r="C4160" s="50"/>
      <c r="D4160" s="53">
        <f t="shared" si="64"/>
        <v>0</v>
      </c>
      <c r="E4160" s="60" t="str">
        <f>HYPERLINK("https://www.sds-group.ru/product/bur-po-betonu-24x800x740mm-hvostovik-sds-plus-kranz-KR-91-0081/", "Инфо")</f>
        <v>Инфо</v>
      </c>
      <c r="F4160" s="34" t="s">
        <v>39</v>
      </c>
      <c r="G4160" s="33"/>
      <c r="H4160" s="33" t="s">
        <v>40</v>
      </c>
      <c r="I4160" s="33"/>
      <c r="J4160" s="34" t="s">
        <v>100</v>
      </c>
      <c r="K4160" s="33"/>
      <c r="L4160" s="35">
        <v>1</v>
      </c>
      <c r="M4160" s="35">
        <v>10</v>
      </c>
      <c r="N4160" s="35">
        <v>1</v>
      </c>
      <c r="O4160" s="36">
        <v>1689.59</v>
      </c>
      <c r="P4160" s="36">
        <v>1384.91</v>
      </c>
      <c r="Q4160" s="36">
        <v>1334.78</v>
      </c>
      <c r="R4160" s="36">
        <v>1094.08</v>
      </c>
      <c r="S4160" s="36">
        <v>1148.92</v>
      </c>
      <c r="T4160" s="36">
        <v>941.74</v>
      </c>
      <c r="U4160" s="34"/>
      <c r="V4160" s="34"/>
      <c r="W4160" s="34" t="s">
        <v>40</v>
      </c>
      <c r="X4160" s="37">
        <v>1.5</v>
      </c>
      <c r="Y4160" s="38">
        <v>8.0999999999999996E-4</v>
      </c>
      <c r="Z4160" s="21">
        <v>4601004202054</v>
      </c>
    </row>
    <row r="4161" spans="1:26" ht="12" customHeight="1" outlineLevel="4" x14ac:dyDescent="0.2">
      <c r="A4161" s="14" t="s">
        <v>8088</v>
      </c>
      <c r="B4161" s="26" t="s">
        <v>8089</v>
      </c>
      <c r="C4161" s="52"/>
      <c r="D4161" s="55">
        <f t="shared" si="64"/>
        <v>0</v>
      </c>
      <c r="E4161" s="63" t="str">
        <f>HYPERLINK("https://www.sds-group.ru/product/bur-po-betonu-26x1000x940mm-hvostovik-sds-plus-kranz-KR-91-0092/", "Инфо")</f>
        <v>Инфо</v>
      </c>
      <c r="F4161" s="16" t="s">
        <v>39</v>
      </c>
      <c r="G4161" s="15"/>
      <c r="H4161" s="15"/>
      <c r="I4161" s="15"/>
      <c r="J4161" s="17">
        <v>93</v>
      </c>
      <c r="K4161" s="15" t="s">
        <v>5369</v>
      </c>
      <c r="L4161" s="17">
        <v>1</v>
      </c>
      <c r="M4161" s="17">
        <v>5</v>
      </c>
      <c r="N4161" s="17">
        <v>1</v>
      </c>
      <c r="O4161" s="18">
        <v>3145.59</v>
      </c>
      <c r="P4161" s="18">
        <v>2578.35</v>
      </c>
      <c r="Q4161" s="18">
        <v>2422.1</v>
      </c>
      <c r="R4161" s="18">
        <v>1985.33</v>
      </c>
      <c r="S4161" s="18">
        <v>2139</v>
      </c>
      <c r="T4161" s="18">
        <v>1753.28</v>
      </c>
      <c r="U4161" s="16"/>
      <c r="V4161" s="16"/>
      <c r="W4161" s="16" t="s">
        <v>40</v>
      </c>
      <c r="X4161" s="19">
        <v>1.8879999999999999</v>
      </c>
      <c r="Y4161" s="20">
        <v>1.4289999999999999E-3</v>
      </c>
      <c r="Z4161" s="21">
        <v>4601004281745</v>
      </c>
    </row>
    <row r="4162" spans="1:26" ht="12" customHeight="1" outlineLevel="4" x14ac:dyDescent="0.2">
      <c r="A4162" s="32" t="s">
        <v>8090</v>
      </c>
      <c r="B4162" s="74" t="s">
        <v>8091</v>
      </c>
      <c r="C4162" s="50"/>
      <c r="D4162" s="53">
        <f t="shared" si="64"/>
        <v>0</v>
      </c>
      <c r="E4162" s="60" t="str">
        <f>HYPERLINK("https://www.sds-group.ru/product/bur-po-betonu-26x400x340mm-hvostovik-sds-plus-kranz-KR-91-0841/", "Инфо")</f>
        <v>Инфо</v>
      </c>
      <c r="F4162" s="34" t="s">
        <v>39</v>
      </c>
      <c r="G4162" s="33"/>
      <c r="H4162" s="33" t="s">
        <v>40</v>
      </c>
      <c r="I4162" s="33"/>
      <c r="J4162" s="35">
        <v>71</v>
      </c>
      <c r="K4162" s="33"/>
      <c r="L4162" s="35">
        <v>1</v>
      </c>
      <c r="M4162" s="35">
        <v>25</v>
      </c>
      <c r="N4162" s="35">
        <v>1</v>
      </c>
      <c r="O4162" s="36">
        <v>1549.23</v>
      </c>
      <c r="P4162" s="36">
        <v>1269.8599999999999</v>
      </c>
      <c r="Q4162" s="36">
        <v>1223.8900000000001</v>
      </c>
      <c r="R4162" s="36">
        <v>1003.19</v>
      </c>
      <c r="S4162" s="36">
        <v>1053.48</v>
      </c>
      <c r="T4162" s="36">
        <v>863.51</v>
      </c>
      <c r="U4162" s="34"/>
      <c r="V4162" s="34"/>
      <c r="W4162" s="34" t="s">
        <v>40</v>
      </c>
      <c r="X4162" s="37">
        <v>0.80900000000000005</v>
      </c>
      <c r="Y4162" s="38">
        <v>6.1499999999999999E-4</v>
      </c>
      <c r="Z4162" s="21">
        <v>4601004281875</v>
      </c>
    </row>
    <row r="4163" spans="1:26" ht="12" customHeight="1" outlineLevel="4" x14ac:dyDescent="0.2">
      <c r="A4163" s="14" t="s">
        <v>8092</v>
      </c>
      <c r="B4163" s="26" t="s">
        <v>8093</v>
      </c>
      <c r="C4163" s="52"/>
      <c r="D4163" s="55">
        <f t="shared" si="64"/>
        <v>0</v>
      </c>
      <c r="E4163" s="63" t="str">
        <f>HYPERLINK("https://www.sds-group.ru/product/bur-po-betonu-26x460x400mm-hvostovik-sds-plus-kranz-KR-91-0057/", "Инфо")</f>
        <v>Инфо</v>
      </c>
      <c r="F4163" s="16" t="s">
        <v>39</v>
      </c>
      <c r="G4163" s="15"/>
      <c r="H4163" s="15"/>
      <c r="I4163" s="15"/>
      <c r="J4163" s="17">
        <v>85</v>
      </c>
      <c r="K4163" s="15" t="s">
        <v>5369</v>
      </c>
      <c r="L4163" s="17">
        <v>1</v>
      </c>
      <c r="M4163" s="17">
        <v>20</v>
      </c>
      <c r="N4163" s="17">
        <v>1</v>
      </c>
      <c r="O4163" s="18">
        <v>1830.29</v>
      </c>
      <c r="P4163" s="18">
        <v>1500.24</v>
      </c>
      <c r="Q4163" s="18">
        <v>1445.93</v>
      </c>
      <c r="R4163" s="18">
        <v>1185.19</v>
      </c>
      <c r="S4163" s="18">
        <v>1244.5999999999999</v>
      </c>
      <c r="T4163" s="18">
        <v>1020.16</v>
      </c>
      <c r="U4163" s="16"/>
      <c r="V4163" s="16"/>
      <c r="W4163" s="16" t="s">
        <v>40</v>
      </c>
      <c r="X4163" s="19">
        <v>0.88200000000000001</v>
      </c>
      <c r="Y4163" s="20">
        <v>4.8099999999999998E-4</v>
      </c>
      <c r="Z4163" s="21">
        <v>4601004201835</v>
      </c>
    </row>
    <row r="4164" spans="1:26" ht="12" customHeight="1" outlineLevel="4" x14ac:dyDescent="0.2">
      <c r="A4164" s="14" t="s">
        <v>8094</v>
      </c>
      <c r="B4164" s="26" t="s">
        <v>8095</v>
      </c>
      <c r="C4164" s="52"/>
      <c r="D4164" s="55">
        <f t="shared" si="64"/>
        <v>0</v>
      </c>
      <c r="E4164" s="63" t="str">
        <f>HYPERLINK("https://www.sds-group.ru/product/bur-po-betonu-26x600x540mm-hvostovik-sds-plus-kranz-KR-91-0070/", "Инфо")</f>
        <v>Инфо</v>
      </c>
      <c r="F4164" s="16" t="s">
        <v>39</v>
      </c>
      <c r="G4164" s="15"/>
      <c r="H4164" s="15"/>
      <c r="I4164" s="15"/>
      <c r="J4164" s="17">
        <v>216</v>
      </c>
      <c r="K4164" s="15"/>
      <c r="L4164" s="17">
        <v>1</v>
      </c>
      <c r="M4164" s="17">
        <v>15</v>
      </c>
      <c r="N4164" s="17">
        <v>1</v>
      </c>
      <c r="O4164" s="18">
        <v>2242.3000000000002</v>
      </c>
      <c r="P4164" s="18">
        <v>1837.95</v>
      </c>
      <c r="Q4164" s="18">
        <v>1726.57</v>
      </c>
      <c r="R4164" s="18">
        <v>1415.22</v>
      </c>
      <c r="S4164" s="18">
        <v>1524.76</v>
      </c>
      <c r="T4164" s="18">
        <v>1249.8</v>
      </c>
      <c r="U4164" s="16"/>
      <c r="V4164" s="16"/>
      <c r="W4164" s="16" t="s">
        <v>40</v>
      </c>
      <c r="X4164" s="19">
        <v>1.0740000000000001</v>
      </c>
      <c r="Y4164" s="20">
        <v>6.2100000000000002E-4</v>
      </c>
      <c r="Z4164" s="21">
        <v>4601004201941</v>
      </c>
    </row>
    <row r="4165" spans="1:26" ht="12" customHeight="1" outlineLevel="4" x14ac:dyDescent="0.2">
      <c r="A4165" s="14" t="s">
        <v>8096</v>
      </c>
      <c r="B4165" s="26" t="s">
        <v>8097</v>
      </c>
      <c r="C4165" s="52"/>
      <c r="D4165" s="55">
        <f t="shared" si="64"/>
        <v>0</v>
      </c>
      <c r="E4165" s="63" t="str">
        <f>HYPERLINK("https://www.sds-group.ru/product/bur-po-betonu-26x800x740mm-hvostovik-sds-plus-kranz-KR-91-0082/", "Инфо")</f>
        <v>Инфо</v>
      </c>
      <c r="F4165" s="16" t="s">
        <v>39</v>
      </c>
      <c r="G4165" s="15"/>
      <c r="H4165" s="15"/>
      <c r="I4165" s="15"/>
      <c r="J4165" s="17">
        <v>88</v>
      </c>
      <c r="K4165" s="15" t="s">
        <v>5369</v>
      </c>
      <c r="L4165" s="17">
        <v>1</v>
      </c>
      <c r="M4165" s="17">
        <v>10</v>
      </c>
      <c r="N4165" s="17">
        <v>1</v>
      </c>
      <c r="O4165" s="18">
        <v>2242.3000000000002</v>
      </c>
      <c r="P4165" s="18">
        <v>1837.95</v>
      </c>
      <c r="Q4165" s="18">
        <v>1771.42</v>
      </c>
      <c r="R4165" s="18">
        <v>1451.98</v>
      </c>
      <c r="S4165" s="18">
        <v>1524.76</v>
      </c>
      <c r="T4165" s="18">
        <v>1249.8</v>
      </c>
      <c r="U4165" s="16"/>
      <c r="V4165" s="16"/>
      <c r="W4165" s="16" t="s">
        <v>40</v>
      </c>
      <c r="X4165" s="19">
        <v>1.62</v>
      </c>
      <c r="Y4165" s="20">
        <v>8.4999999999999995E-4</v>
      </c>
      <c r="Z4165" s="21">
        <v>4601004202061</v>
      </c>
    </row>
    <row r="4166" spans="1:26" ht="12" customHeight="1" outlineLevel="4" x14ac:dyDescent="0.2">
      <c r="A4166" s="14" t="s">
        <v>8098</v>
      </c>
      <c r="B4166" s="26" t="s">
        <v>8099</v>
      </c>
      <c r="C4166" s="52"/>
      <c r="D4166" s="55">
        <f t="shared" si="64"/>
        <v>0</v>
      </c>
      <c r="E4166" s="63" t="str">
        <f>HYPERLINK("https://www.sds-group.ru/product/bur-po-betonu-28x310x250mm-hvostovik-sds-plus-kranz-KR-91-0045/", "Инфо")</f>
        <v>Инфо</v>
      </c>
      <c r="F4166" s="16" t="s">
        <v>39</v>
      </c>
      <c r="G4166" s="15"/>
      <c r="H4166" s="15"/>
      <c r="I4166" s="15"/>
      <c r="J4166" s="16" t="s">
        <v>100</v>
      </c>
      <c r="K4166" s="15" t="s">
        <v>5369</v>
      </c>
      <c r="L4166" s="17">
        <v>1</v>
      </c>
      <c r="M4166" s="17">
        <v>20</v>
      </c>
      <c r="N4166" s="17">
        <v>1</v>
      </c>
      <c r="O4166" s="18">
        <v>1561.27</v>
      </c>
      <c r="P4166" s="18">
        <v>1279.73</v>
      </c>
      <c r="Q4166" s="18">
        <v>1233.4000000000001</v>
      </c>
      <c r="R4166" s="18">
        <v>1010.98</v>
      </c>
      <c r="S4166" s="18">
        <v>1061.6600000000001</v>
      </c>
      <c r="T4166" s="18">
        <v>870.21</v>
      </c>
      <c r="U4166" s="16"/>
      <c r="V4166" s="16"/>
      <c r="W4166" s="16" t="s">
        <v>40</v>
      </c>
      <c r="X4166" s="19">
        <v>0.66900000000000004</v>
      </c>
      <c r="Y4166" s="20">
        <v>6.8999999999999997E-4</v>
      </c>
      <c r="Z4166" s="21">
        <v>4601004201750</v>
      </c>
    </row>
    <row r="4167" spans="1:26" ht="12" customHeight="1" outlineLevel="4" x14ac:dyDescent="0.2">
      <c r="A4167" s="32" t="s">
        <v>8100</v>
      </c>
      <c r="B4167" s="74" t="s">
        <v>8101</v>
      </c>
      <c r="C4167" s="50"/>
      <c r="D4167" s="53">
        <f t="shared" si="64"/>
        <v>0</v>
      </c>
      <c r="E4167" s="60" t="str">
        <f>HYPERLINK("https://www.sds-group.ru/product/bur-po-betonu-28x400x340mm-hvostovik-sds-plus-kranz-KR-91-0842/", "Инфо")</f>
        <v>Инфо</v>
      </c>
      <c r="F4167" s="34" t="s">
        <v>39</v>
      </c>
      <c r="G4167" s="33"/>
      <c r="H4167" s="33" t="s">
        <v>40</v>
      </c>
      <c r="I4167" s="33"/>
      <c r="J4167" s="35">
        <v>43</v>
      </c>
      <c r="K4167" s="33"/>
      <c r="L4167" s="35">
        <v>1</v>
      </c>
      <c r="M4167" s="35">
        <v>20</v>
      </c>
      <c r="N4167" s="35">
        <v>1</v>
      </c>
      <c r="O4167" s="36">
        <v>1636.67</v>
      </c>
      <c r="P4167" s="36">
        <v>1341.53</v>
      </c>
      <c r="Q4167" s="36">
        <v>1292.97</v>
      </c>
      <c r="R4167" s="36">
        <v>1059.81</v>
      </c>
      <c r="S4167" s="36">
        <v>1112.94</v>
      </c>
      <c r="T4167" s="36">
        <v>912.25</v>
      </c>
      <c r="U4167" s="34"/>
      <c r="V4167" s="34"/>
      <c r="W4167" s="34" t="s">
        <v>40</v>
      </c>
      <c r="X4167" s="37">
        <v>0.85099999999999998</v>
      </c>
      <c r="Y4167" s="38">
        <v>4.0700000000000003E-4</v>
      </c>
      <c r="Z4167" s="21">
        <v>4601004281646</v>
      </c>
    </row>
    <row r="4168" spans="1:26" ht="12" customHeight="1" outlineLevel="4" x14ac:dyDescent="0.2">
      <c r="A4168" s="14" t="s">
        <v>8102</v>
      </c>
      <c r="B4168" s="26" t="s">
        <v>8103</v>
      </c>
      <c r="C4168" s="52"/>
      <c r="D4168" s="55">
        <f t="shared" si="64"/>
        <v>0</v>
      </c>
      <c r="E4168" s="63" t="str">
        <f>HYPERLINK("https://www.sds-group.ru/product/bur-po-betonu-28x460x400mm-hvostovik-sds-plus-kranz-KR-91-0058/", "Инфо")</f>
        <v>Инфо</v>
      </c>
      <c r="F4168" s="16" t="s">
        <v>39</v>
      </c>
      <c r="G4168" s="15"/>
      <c r="H4168" s="15"/>
      <c r="I4168" s="15"/>
      <c r="J4168" s="17">
        <v>65</v>
      </c>
      <c r="K4168" s="15"/>
      <c r="L4168" s="17">
        <v>1</v>
      </c>
      <c r="M4168" s="17">
        <v>20</v>
      </c>
      <c r="N4168" s="17">
        <v>1</v>
      </c>
      <c r="O4168" s="18">
        <v>1975.12</v>
      </c>
      <c r="P4168" s="18">
        <v>1618.95</v>
      </c>
      <c r="Q4168" s="18">
        <v>1560.34</v>
      </c>
      <c r="R4168" s="18">
        <v>1278.97</v>
      </c>
      <c r="S4168" s="18">
        <v>1343.08</v>
      </c>
      <c r="T4168" s="18">
        <v>1100.8900000000001</v>
      </c>
      <c r="U4168" s="16"/>
      <c r="V4168" s="16"/>
      <c r="W4168" s="16" t="s">
        <v>40</v>
      </c>
      <c r="X4168" s="19">
        <v>0.98299999999999998</v>
      </c>
      <c r="Y4168" s="20">
        <v>4.7800000000000002E-4</v>
      </c>
      <c r="Z4168" s="21">
        <v>4601004201842</v>
      </c>
    </row>
    <row r="4169" spans="1:26" ht="12" customHeight="1" outlineLevel="4" x14ac:dyDescent="0.2">
      <c r="A4169" s="14" t="s">
        <v>8104</v>
      </c>
      <c r="B4169" s="26" t="s">
        <v>8105</v>
      </c>
      <c r="C4169" s="52"/>
      <c r="D4169" s="55">
        <f t="shared" ref="D4169:D4232" si="65">C4169*(O4169-O4169*$G$3)</f>
        <v>0</v>
      </c>
      <c r="E4169" s="63" t="str">
        <f>HYPERLINK("https://www.sds-group.ru/product/bur-po-betonu-28x600x540mm-hvostovik-sds-plus-kranz-KR-91-0071/", "Инфо")</f>
        <v>Инфо</v>
      </c>
      <c r="F4169" s="16" t="s">
        <v>39</v>
      </c>
      <c r="G4169" s="15"/>
      <c r="H4169" s="15"/>
      <c r="I4169" s="15"/>
      <c r="J4169" s="17">
        <v>263</v>
      </c>
      <c r="K4169" s="15"/>
      <c r="L4169" s="17">
        <v>1</v>
      </c>
      <c r="M4169" s="17">
        <v>15</v>
      </c>
      <c r="N4169" s="17">
        <v>1</v>
      </c>
      <c r="O4169" s="18">
        <v>2446.15</v>
      </c>
      <c r="P4169" s="18">
        <v>2005.04</v>
      </c>
      <c r="Q4169" s="18">
        <v>1883.54</v>
      </c>
      <c r="R4169" s="18">
        <v>1543.89</v>
      </c>
      <c r="S4169" s="18">
        <v>1663.38</v>
      </c>
      <c r="T4169" s="18">
        <v>1363.43</v>
      </c>
      <c r="U4169" s="16"/>
      <c r="V4169" s="16"/>
      <c r="W4169" s="16" t="s">
        <v>40</v>
      </c>
      <c r="X4169" s="19">
        <v>1.266</v>
      </c>
      <c r="Y4169" s="20">
        <v>7.0399999999999998E-4</v>
      </c>
      <c r="Z4169" s="21">
        <v>4601004201958</v>
      </c>
    </row>
    <row r="4170" spans="1:26" ht="12" customHeight="1" outlineLevel="4" x14ac:dyDescent="0.2">
      <c r="A4170" s="14" t="s">
        <v>8106</v>
      </c>
      <c r="B4170" s="26" t="s">
        <v>8107</v>
      </c>
      <c r="C4170" s="52"/>
      <c r="D4170" s="55">
        <f t="shared" si="65"/>
        <v>0</v>
      </c>
      <c r="E4170" s="63" t="str">
        <f>HYPERLINK("https://www.sds-group.ru/product/bur-po-betonu-28x800x740mm-hvostovik-sds-plus-kranz-KR-91-0083/", "Инфо")</f>
        <v>Инфо</v>
      </c>
      <c r="F4170" s="16" t="s">
        <v>39</v>
      </c>
      <c r="G4170" s="15"/>
      <c r="H4170" s="15"/>
      <c r="I4170" s="15"/>
      <c r="J4170" s="17">
        <v>159</v>
      </c>
      <c r="K4170" s="15" t="s">
        <v>5369</v>
      </c>
      <c r="L4170" s="17">
        <v>1</v>
      </c>
      <c r="M4170" s="17">
        <v>10</v>
      </c>
      <c r="N4170" s="17">
        <v>1</v>
      </c>
      <c r="O4170" s="18">
        <v>3348.54</v>
      </c>
      <c r="P4170" s="18">
        <v>2744.7</v>
      </c>
      <c r="Q4170" s="18">
        <v>2578.38</v>
      </c>
      <c r="R4170" s="18">
        <v>2113.4299999999998</v>
      </c>
      <c r="S4170" s="18">
        <v>2277.0100000000002</v>
      </c>
      <c r="T4170" s="18">
        <v>1866.4</v>
      </c>
      <c r="U4170" s="16"/>
      <c r="V4170" s="16"/>
      <c r="W4170" s="16" t="s">
        <v>40</v>
      </c>
      <c r="X4170" s="19">
        <v>1.712</v>
      </c>
      <c r="Y4170" s="20">
        <v>8.0000000000000004E-4</v>
      </c>
      <c r="Z4170" s="21">
        <v>4601004202078</v>
      </c>
    </row>
    <row r="4171" spans="1:26" ht="12" customHeight="1" outlineLevel="4" x14ac:dyDescent="0.2">
      <c r="A4171" s="32" t="s">
        <v>8108</v>
      </c>
      <c r="B4171" s="74" t="s">
        <v>8109</v>
      </c>
      <c r="C4171" s="50"/>
      <c r="D4171" s="53">
        <f t="shared" si="65"/>
        <v>0</v>
      </c>
      <c r="E4171" s="60" t="str">
        <f>HYPERLINK("https://www.sds-group.ru/product/bur-po-betonu-30x310x250mm-hvostovik-sds-plus-kranz-KR-91-0046/", "Инфо")</f>
        <v>Инфо</v>
      </c>
      <c r="F4171" s="34" t="s">
        <v>39</v>
      </c>
      <c r="G4171" s="33"/>
      <c r="H4171" s="33" t="s">
        <v>40</v>
      </c>
      <c r="I4171" s="33"/>
      <c r="J4171" s="35">
        <v>176</v>
      </c>
      <c r="K4171" s="33"/>
      <c r="L4171" s="35">
        <v>1</v>
      </c>
      <c r="M4171" s="35">
        <v>20</v>
      </c>
      <c r="N4171" s="35">
        <v>1</v>
      </c>
      <c r="O4171" s="36">
        <v>1161.73</v>
      </c>
      <c r="P4171" s="36">
        <v>952.24</v>
      </c>
      <c r="Q4171" s="36">
        <v>813.21</v>
      </c>
      <c r="R4171" s="36">
        <v>666.57</v>
      </c>
      <c r="S4171" s="36">
        <v>789.98</v>
      </c>
      <c r="T4171" s="36">
        <v>647.52</v>
      </c>
      <c r="U4171" s="34"/>
      <c r="V4171" s="34"/>
      <c r="W4171" s="34"/>
      <c r="X4171" s="37">
        <v>0.83599999999999997</v>
      </c>
      <c r="Y4171" s="38">
        <v>7.0200000000000004E-4</v>
      </c>
      <c r="Z4171" s="21">
        <v>4601004201767</v>
      </c>
    </row>
    <row r="4172" spans="1:26" ht="12" customHeight="1" outlineLevel="4" x14ac:dyDescent="0.2">
      <c r="A4172" s="32" t="s">
        <v>8110</v>
      </c>
      <c r="B4172" s="74" t="s">
        <v>8111</v>
      </c>
      <c r="C4172" s="50"/>
      <c r="D4172" s="53">
        <f t="shared" si="65"/>
        <v>0</v>
      </c>
      <c r="E4172" s="60" t="str">
        <f>HYPERLINK("https://www.sds-group.ru/product/bur-po-betonu-30x400x340mm-hvostovik-sds-plus-kranz-KR-91-0843/", "Инфо")</f>
        <v>Инфо</v>
      </c>
      <c r="F4172" s="34" t="s">
        <v>39</v>
      </c>
      <c r="G4172" s="33"/>
      <c r="H4172" s="33" t="s">
        <v>40</v>
      </c>
      <c r="I4172" s="33"/>
      <c r="J4172" s="35">
        <v>41</v>
      </c>
      <c r="K4172" s="33"/>
      <c r="L4172" s="35">
        <v>1</v>
      </c>
      <c r="M4172" s="35">
        <v>15</v>
      </c>
      <c r="N4172" s="35">
        <v>1</v>
      </c>
      <c r="O4172" s="36">
        <v>1637.76</v>
      </c>
      <c r="P4172" s="36">
        <v>1342.43</v>
      </c>
      <c r="Q4172" s="36">
        <v>1293.83</v>
      </c>
      <c r="R4172" s="36">
        <v>1060.52</v>
      </c>
      <c r="S4172" s="36">
        <v>1113.68</v>
      </c>
      <c r="T4172" s="36">
        <v>912.85</v>
      </c>
      <c r="U4172" s="34"/>
      <c r="V4172" s="34"/>
      <c r="W4172" s="34" t="s">
        <v>40</v>
      </c>
      <c r="X4172" s="37">
        <v>1.0669999999999999</v>
      </c>
      <c r="Y4172" s="38">
        <v>8.9999999999999998E-4</v>
      </c>
      <c r="Z4172" s="21">
        <v>4601004281653</v>
      </c>
    </row>
    <row r="4173" spans="1:26" ht="12" customHeight="1" outlineLevel="4" x14ac:dyDescent="0.2">
      <c r="A4173" s="32" t="s">
        <v>8112</v>
      </c>
      <c r="B4173" s="74" t="s">
        <v>8113</v>
      </c>
      <c r="C4173" s="50"/>
      <c r="D4173" s="53">
        <f t="shared" si="65"/>
        <v>0</v>
      </c>
      <c r="E4173" s="60" t="str">
        <f>HYPERLINK("https://www.sds-group.ru/product/bur-po-betonu-30x460x400mm-hvostovik-sds-plus-kranz-KR-91-0059/", "Инфо")</f>
        <v>Инфо</v>
      </c>
      <c r="F4173" s="34" t="s">
        <v>39</v>
      </c>
      <c r="G4173" s="33"/>
      <c r="H4173" s="33" t="s">
        <v>40</v>
      </c>
      <c r="I4173" s="33"/>
      <c r="J4173" s="35">
        <v>83</v>
      </c>
      <c r="K4173" s="33"/>
      <c r="L4173" s="35">
        <v>1</v>
      </c>
      <c r="M4173" s="35">
        <v>20</v>
      </c>
      <c r="N4173" s="35">
        <v>1</v>
      </c>
      <c r="O4173" s="36">
        <v>1857.98</v>
      </c>
      <c r="P4173" s="36">
        <v>1522.93</v>
      </c>
      <c r="Q4173" s="36">
        <v>1430.64</v>
      </c>
      <c r="R4173" s="36">
        <v>1172.6600000000001</v>
      </c>
      <c r="S4173" s="36">
        <v>1263.43</v>
      </c>
      <c r="T4173" s="36">
        <v>1035.5999999999999</v>
      </c>
      <c r="U4173" s="34"/>
      <c r="V4173" s="34"/>
      <c r="W4173" s="34" t="s">
        <v>40</v>
      </c>
      <c r="X4173" s="37">
        <v>1.1819999999999999</v>
      </c>
      <c r="Y4173" s="38">
        <v>4.8000000000000001E-4</v>
      </c>
      <c r="Z4173" s="21">
        <v>4601004201859</v>
      </c>
    </row>
    <row r="4174" spans="1:26" ht="12" customHeight="1" outlineLevel="4" x14ac:dyDescent="0.2">
      <c r="A4174" s="32" t="s">
        <v>8114</v>
      </c>
      <c r="B4174" s="74" t="s">
        <v>8115</v>
      </c>
      <c r="C4174" s="50"/>
      <c r="D4174" s="53">
        <f t="shared" si="65"/>
        <v>0</v>
      </c>
      <c r="E4174" s="60" t="str">
        <f>HYPERLINK("https://www.sds-group.ru/product/bur-po-betonu-30x600x540mm-hvostovik-sds-plus-kranz-KR-91-0072/", "Инфо")</f>
        <v>Инфо</v>
      </c>
      <c r="F4174" s="34" t="s">
        <v>39</v>
      </c>
      <c r="G4174" s="33"/>
      <c r="H4174" s="33" t="s">
        <v>40</v>
      </c>
      <c r="I4174" s="33"/>
      <c r="J4174" s="35">
        <v>91</v>
      </c>
      <c r="K4174" s="33"/>
      <c r="L4174" s="35">
        <v>1</v>
      </c>
      <c r="M4174" s="35">
        <v>10</v>
      </c>
      <c r="N4174" s="35">
        <v>1</v>
      </c>
      <c r="O4174" s="36">
        <v>2481.52</v>
      </c>
      <c r="P4174" s="36">
        <v>2034.03</v>
      </c>
      <c r="Q4174" s="36">
        <v>1910.77</v>
      </c>
      <c r="R4174" s="36">
        <v>1566.2</v>
      </c>
      <c r="S4174" s="36">
        <v>1687.43</v>
      </c>
      <c r="T4174" s="36">
        <v>1383.14</v>
      </c>
      <c r="U4174" s="34"/>
      <c r="V4174" s="34"/>
      <c r="W4174" s="34" t="s">
        <v>40</v>
      </c>
      <c r="X4174" s="37">
        <v>1.7</v>
      </c>
      <c r="Y4174" s="38">
        <v>8.5599999999999999E-4</v>
      </c>
      <c r="Z4174" s="21">
        <v>4601004201965</v>
      </c>
    </row>
    <row r="4175" spans="1:26" ht="12" customHeight="1" outlineLevel="4" x14ac:dyDescent="0.2">
      <c r="A4175" s="32" t="s">
        <v>8116</v>
      </c>
      <c r="B4175" s="74" t="s">
        <v>8117</v>
      </c>
      <c r="C4175" s="50"/>
      <c r="D4175" s="53">
        <f t="shared" si="65"/>
        <v>0</v>
      </c>
      <c r="E4175" s="60" t="str">
        <f>HYPERLINK("https://www.sds-group.ru/product/bur-po-betonu-30x800x740mm-hvostovik-sds-plus-kranz-KR-91-0084/", "Инфо")</f>
        <v>Инфо</v>
      </c>
      <c r="F4175" s="34" t="s">
        <v>39</v>
      </c>
      <c r="G4175" s="33"/>
      <c r="H4175" s="33" t="s">
        <v>40</v>
      </c>
      <c r="I4175" s="33"/>
      <c r="J4175" s="35">
        <v>36</v>
      </c>
      <c r="K4175" s="33"/>
      <c r="L4175" s="35">
        <v>1</v>
      </c>
      <c r="M4175" s="35">
        <v>10</v>
      </c>
      <c r="N4175" s="35">
        <v>1</v>
      </c>
      <c r="O4175" s="36">
        <v>3524.3</v>
      </c>
      <c r="P4175" s="36">
        <v>2888.77</v>
      </c>
      <c r="Q4175" s="36">
        <v>2572.7399999999998</v>
      </c>
      <c r="R4175" s="36">
        <v>2108.8000000000002</v>
      </c>
      <c r="S4175" s="36">
        <v>2396.52</v>
      </c>
      <c r="T4175" s="36">
        <v>1964.36</v>
      </c>
      <c r="U4175" s="34"/>
      <c r="V4175" s="34"/>
      <c r="W4175" s="34" t="s">
        <v>40</v>
      </c>
      <c r="X4175" s="37">
        <v>2.165</v>
      </c>
      <c r="Y4175" s="38">
        <v>1E-3</v>
      </c>
      <c r="Z4175" s="21">
        <v>4601004202085</v>
      </c>
    </row>
    <row r="4176" spans="1:26" ht="12" customHeight="1" outlineLevel="4" x14ac:dyDescent="0.2">
      <c r="A4176" s="14" t="s">
        <v>8118</v>
      </c>
      <c r="B4176" s="26" t="s">
        <v>8119</v>
      </c>
      <c r="C4176" s="52"/>
      <c r="D4176" s="55">
        <f t="shared" si="65"/>
        <v>0</v>
      </c>
      <c r="E4176" s="63" t="str">
        <f>HYPERLINK("https://www.sds-group.ru/product/bur-po-betonu-32x1000x940mm-hvostovik-sds-plus-kranz-KR-91-0093/", "Инфо")</f>
        <v>Инфо</v>
      </c>
      <c r="F4176" s="16" t="s">
        <v>39</v>
      </c>
      <c r="G4176" s="15"/>
      <c r="H4176" s="15"/>
      <c r="I4176" s="15"/>
      <c r="J4176" s="17">
        <v>104</v>
      </c>
      <c r="K4176" s="15"/>
      <c r="L4176" s="17">
        <v>1</v>
      </c>
      <c r="M4176" s="17">
        <v>5</v>
      </c>
      <c r="N4176" s="17">
        <v>1</v>
      </c>
      <c r="O4176" s="18">
        <v>5457.07</v>
      </c>
      <c r="P4176" s="18">
        <v>4473.01</v>
      </c>
      <c r="Q4176" s="18">
        <v>3983.66</v>
      </c>
      <c r="R4176" s="18">
        <v>3265.3</v>
      </c>
      <c r="S4176" s="18">
        <v>3710.81</v>
      </c>
      <c r="T4176" s="18">
        <v>3041.65</v>
      </c>
      <c r="U4176" s="16"/>
      <c r="V4176" s="16"/>
      <c r="W4176" s="16" t="s">
        <v>40</v>
      </c>
      <c r="X4176" s="19">
        <v>2.8039999999999998</v>
      </c>
      <c r="Y4176" s="20">
        <v>1.333E-3</v>
      </c>
      <c r="Z4176" s="21">
        <v>4601004281752</v>
      </c>
    </row>
    <row r="4177" spans="1:26" ht="12" customHeight="1" outlineLevel="4" x14ac:dyDescent="0.2">
      <c r="A4177" s="14" t="s">
        <v>8120</v>
      </c>
      <c r="B4177" s="26" t="s">
        <v>8121</v>
      </c>
      <c r="C4177" s="52"/>
      <c r="D4177" s="55">
        <f t="shared" si="65"/>
        <v>0</v>
      </c>
      <c r="E4177" s="63" t="str">
        <f>HYPERLINK("https://www.sds-group.ru/product/bur-po-betonu-32x310x250mm-hvostovik-sds-plus-kranz-KR-91-0047/", "Инфо")</f>
        <v>Инфо</v>
      </c>
      <c r="F4177" s="16" t="s">
        <v>39</v>
      </c>
      <c r="G4177" s="15"/>
      <c r="H4177" s="15"/>
      <c r="I4177" s="15"/>
      <c r="J4177" s="16" t="s">
        <v>100</v>
      </c>
      <c r="K4177" s="15" t="s">
        <v>883</v>
      </c>
      <c r="L4177" s="17">
        <v>1</v>
      </c>
      <c r="M4177" s="17">
        <v>20</v>
      </c>
      <c r="N4177" s="17">
        <v>1</v>
      </c>
      <c r="O4177" s="18">
        <v>2202.5</v>
      </c>
      <c r="P4177" s="18">
        <v>1805.33</v>
      </c>
      <c r="Q4177" s="18">
        <v>1695.93</v>
      </c>
      <c r="R4177" s="18">
        <v>1390.11</v>
      </c>
      <c r="S4177" s="18">
        <v>1497.7</v>
      </c>
      <c r="T4177" s="18">
        <v>1227.6199999999999</v>
      </c>
      <c r="U4177" s="16"/>
      <c r="V4177" s="16"/>
      <c r="W4177" s="16" t="s">
        <v>40</v>
      </c>
      <c r="X4177" s="19">
        <v>0.89</v>
      </c>
      <c r="Y4177" s="20">
        <v>4.84E-4</v>
      </c>
      <c r="Z4177" s="21">
        <v>4601004201774</v>
      </c>
    </row>
    <row r="4178" spans="1:26" ht="12" customHeight="1" outlineLevel="4" x14ac:dyDescent="0.2">
      <c r="A4178" s="14" t="s">
        <v>8122</v>
      </c>
      <c r="B4178" s="26" t="s">
        <v>8123</v>
      </c>
      <c r="C4178" s="52"/>
      <c r="D4178" s="55">
        <f t="shared" si="65"/>
        <v>0</v>
      </c>
      <c r="E4178" s="63" t="str">
        <f>HYPERLINK("https://www.sds-group.ru/product/bur-po-betonu-32x400x340mm-hvostovik-sds-plus-kranz-KR-91-0844/", "Инфо")</f>
        <v>Инфо</v>
      </c>
      <c r="F4178" s="16" t="s">
        <v>39</v>
      </c>
      <c r="G4178" s="15"/>
      <c r="H4178" s="15"/>
      <c r="I4178" s="15"/>
      <c r="J4178" s="17">
        <v>178</v>
      </c>
      <c r="K4178" s="15"/>
      <c r="L4178" s="17">
        <v>1</v>
      </c>
      <c r="M4178" s="17">
        <v>10</v>
      </c>
      <c r="N4178" s="17">
        <v>1</v>
      </c>
      <c r="O4178" s="18">
        <v>2650</v>
      </c>
      <c r="P4178" s="18">
        <v>2172.13</v>
      </c>
      <c r="Q4178" s="18">
        <v>2040.5</v>
      </c>
      <c r="R4178" s="18">
        <v>1672.54</v>
      </c>
      <c r="S4178" s="18">
        <v>1802</v>
      </c>
      <c r="T4178" s="18">
        <v>1477.05</v>
      </c>
      <c r="U4178" s="16"/>
      <c r="V4178" s="16"/>
      <c r="W4178" s="16" t="s">
        <v>40</v>
      </c>
      <c r="X4178" s="19">
        <v>1.169</v>
      </c>
      <c r="Y4178" s="20">
        <v>6.7299999999999999E-4</v>
      </c>
      <c r="Z4178" s="21">
        <v>4601004281660</v>
      </c>
    </row>
    <row r="4179" spans="1:26" ht="12" customHeight="1" outlineLevel="4" x14ac:dyDescent="0.2">
      <c r="A4179" s="14" t="s">
        <v>8124</v>
      </c>
      <c r="B4179" s="26" t="s">
        <v>8125</v>
      </c>
      <c r="C4179" s="52"/>
      <c r="D4179" s="55">
        <f t="shared" si="65"/>
        <v>0</v>
      </c>
      <c r="E4179" s="63" t="str">
        <f>HYPERLINK("https://www.sds-group.ru/product/bur-po-betonu-32x460x400mm-hvostovik-sds-plus-kranz-KR-91-0060/", "Инфо")</f>
        <v>Инфо</v>
      </c>
      <c r="F4179" s="16" t="s">
        <v>39</v>
      </c>
      <c r="G4179" s="15"/>
      <c r="H4179" s="15"/>
      <c r="I4179" s="15"/>
      <c r="J4179" s="17">
        <v>68</v>
      </c>
      <c r="K4179" s="15" t="s">
        <v>5369</v>
      </c>
      <c r="L4179" s="17">
        <v>1</v>
      </c>
      <c r="M4179" s="17">
        <v>20</v>
      </c>
      <c r="N4179" s="17">
        <v>1</v>
      </c>
      <c r="O4179" s="18">
        <v>2672.93</v>
      </c>
      <c r="P4179" s="18">
        <v>2190.9299999999998</v>
      </c>
      <c r="Q4179" s="18">
        <v>2058.16</v>
      </c>
      <c r="R4179" s="18">
        <v>1687.02</v>
      </c>
      <c r="S4179" s="18">
        <v>1817.59</v>
      </c>
      <c r="T4179" s="18">
        <v>1489.83</v>
      </c>
      <c r="U4179" s="16"/>
      <c r="V4179" s="16"/>
      <c r="W4179" s="16" t="s">
        <v>40</v>
      </c>
      <c r="X4179" s="19">
        <v>1.41</v>
      </c>
      <c r="Y4179" s="20">
        <v>5.2099999999999998E-4</v>
      </c>
      <c r="Z4179" s="21">
        <v>4601004201866</v>
      </c>
    </row>
    <row r="4180" spans="1:26" ht="12" customHeight="1" outlineLevel="4" x14ac:dyDescent="0.2">
      <c r="A4180" s="14" t="s">
        <v>8126</v>
      </c>
      <c r="B4180" s="26" t="s">
        <v>8127</v>
      </c>
      <c r="C4180" s="52"/>
      <c r="D4180" s="55">
        <f t="shared" si="65"/>
        <v>0</v>
      </c>
      <c r="E4180" s="63" t="str">
        <f>HYPERLINK("https://www.sds-group.ru/product/bur-po-betonu-32x600x540mm-hvostovik-sds-plus-kranz-KR-91-0073/", "Инфо")</f>
        <v>Инфо</v>
      </c>
      <c r="F4180" s="16" t="s">
        <v>39</v>
      </c>
      <c r="G4180" s="15"/>
      <c r="H4180" s="15"/>
      <c r="I4180" s="15"/>
      <c r="J4180" s="16" t="s">
        <v>100</v>
      </c>
      <c r="K4180" s="15" t="s">
        <v>5369</v>
      </c>
      <c r="L4180" s="17">
        <v>1</v>
      </c>
      <c r="M4180" s="17">
        <v>10</v>
      </c>
      <c r="N4180" s="17">
        <v>1</v>
      </c>
      <c r="O4180" s="18">
        <v>3204.27</v>
      </c>
      <c r="P4180" s="18">
        <v>2626.45</v>
      </c>
      <c r="Q4180" s="18">
        <v>2467.29</v>
      </c>
      <c r="R4180" s="18">
        <v>2022.37</v>
      </c>
      <c r="S4180" s="18">
        <v>2178.9</v>
      </c>
      <c r="T4180" s="18">
        <v>1785.98</v>
      </c>
      <c r="U4180" s="16"/>
      <c r="V4180" s="16"/>
      <c r="W4180" s="16" t="s">
        <v>40</v>
      </c>
      <c r="X4180" s="19">
        <v>1.825</v>
      </c>
      <c r="Y4180" s="20">
        <v>8.8900000000000003E-4</v>
      </c>
      <c r="Z4180" s="21">
        <v>4601004201972</v>
      </c>
    </row>
    <row r="4181" spans="1:26" ht="12" customHeight="1" outlineLevel="4" x14ac:dyDescent="0.2">
      <c r="A4181" s="14" t="s">
        <v>8128</v>
      </c>
      <c r="B4181" s="26" t="s">
        <v>8129</v>
      </c>
      <c r="C4181" s="52"/>
      <c r="D4181" s="55">
        <f t="shared" si="65"/>
        <v>0</v>
      </c>
      <c r="E4181" s="63" t="str">
        <f>HYPERLINK("https://www.sds-group.ru/product/bur-po-betonu-32x800x740mm-hvostovik-sds-plus-kranz-KR-91-0085/", "Инфо")</f>
        <v>Инфо</v>
      </c>
      <c r="F4181" s="16" t="s">
        <v>39</v>
      </c>
      <c r="G4181" s="15"/>
      <c r="H4181" s="15"/>
      <c r="I4181" s="15"/>
      <c r="J4181" s="17">
        <v>25</v>
      </c>
      <c r="K4181" s="15" t="s">
        <v>6798</v>
      </c>
      <c r="L4181" s="17">
        <v>1</v>
      </c>
      <c r="M4181" s="17">
        <v>10</v>
      </c>
      <c r="N4181" s="17">
        <v>1</v>
      </c>
      <c r="O4181" s="18">
        <v>3642.57</v>
      </c>
      <c r="P4181" s="18">
        <v>2985.71</v>
      </c>
      <c r="Q4181" s="18">
        <v>2659.08</v>
      </c>
      <c r="R4181" s="18">
        <v>2179.5700000000002</v>
      </c>
      <c r="S4181" s="18">
        <v>2476.9499999999998</v>
      </c>
      <c r="T4181" s="18">
        <v>2030.29</v>
      </c>
      <c r="U4181" s="16"/>
      <c r="V4181" s="16"/>
      <c r="W4181" s="16" t="s">
        <v>40</v>
      </c>
      <c r="X4181" s="19">
        <v>2.2719999999999998</v>
      </c>
      <c r="Y4181" s="20">
        <v>1E-3</v>
      </c>
      <c r="Z4181" s="21">
        <v>4601004202092</v>
      </c>
    </row>
    <row r="4182" spans="1:26" ht="12" customHeight="1" outlineLevel="4" x14ac:dyDescent="0.2">
      <c r="A4182" s="14" t="s">
        <v>8130</v>
      </c>
      <c r="B4182" s="26" t="s">
        <v>8131</v>
      </c>
      <c r="C4182" s="52"/>
      <c r="D4182" s="55">
        <f t="shared" si="65"/>
        <v>0</v>
      </c>
      <c r="E4182" s="63" t="str">
        <f>HYPERLINK("https://www.sds-group.ru/product/bur-po-betonu-4x110x50mm-hvostovik-sds-plus-kranz-KR-91-0028/", "Инфо")</f>
        <v>Инфо</v>
      </c>
      <c r="F4182" s="16" t="s">
        <v>39</v>
      </c>
      <c r="G4182" s="15"/>
      <c r="H4182" s="15"/>
      <c r="I4182" s="15"/>
      <c r="J4182" s="22">
        <v>1017</v>
      </c>
      <c r="K4182" s="15" t="s">
        <v>5369</v>
      </c>
      <c r="L4182" s="17">
        <v>10</v>
      </c>
      <c r="M4182" s="17">
        <v>240</v>
      </c>
      <c r="N4182" s="17">
        <v>10</v>
      </c>
      <c r="O4182" s="18">
        <v>97.85</v>
      </c>
      <c r="P4182" s="18">
        <v>80.2</v>
      </c>
      <c r="Q4182" s="18">
        <v>88.07</v>
      </c>
      <c r="R4182" s="18">
        <v>72.19</v>
      </c>
      <c r="S4182" s="18">
        <v>66.540000000000006</v>
      </c>
      <c r="T4182" s="18">
        <v>54.54</v>
      </c>
      <c r="U4182" s="16"/>
      <c r="V4182" s="16"/>
      <c r="W4182" s="16" t="s">
        <v>40</v>
      </c>
      <c r="X4182" s="19">
        <v>4.2000000000000003E-2</v>
      </c>
      <c r="Y4182" s="20">
        <v>1.1400000000000001E-4</v>
      </c>
      <c r="Z4182" s="21">
        <v>4601004177598</v>
      </c>
    </row>
    <row r="4183" spans="1:26" ht="12" customHeight="1" outlineLevel="4" x14ac:dyDescent="0.2">
      <c r="A4183" s="14" t="s">
        <v>8132</v>
      </c>
      <c r="B4183" s="26" t="s">
        <v>8133</v>
      </c>
      <c r="C4183" s="52"/>
      <c r="D4183" s="55">
        <f t="shared" si="65"/>
        <v>0</v>
      </c>
      <c r="E4183" s="63" t="str">
        <f>HYPERLINK("https://www.sds-group.ru/product/bur-po-betonu-5-5x110x50mm-hvostovik-sds-plus-kranz-KR-91-0003/", "Инфо")</f>
        <v>Инфо</v>
      </c>
      <c r="F4183" s="16" t="s">
        <v>39</v>
      </c>
      <c r="G4183" s="15"/>
      <c r="H4183" s="15"/>
      <c r="I4183" s="15"/>
      <c r="J4183" s="17">
        <v>393</v>
      </c>
      <c r="K4183" s="15" t="s">
        <v>5369</v>
      </c>
      <c r="L4183" s="17">
        <v>5</v>
      </c>
      <c r="M4183" s="17">
        <v>240</v>
      </c>
      <c r="N4183" s="17">
        <v>5</v>
      </c>
      <c r="O4183" s="18">
        <v>114</v>
      </c>
      <c r="P4183" s="18">
        <v>93.44</v>
      </c>
      <c r="Q4183" s="18">
        <v>102.6</v>
      </c>
      <c r="R4183" s="18">
        <v>84.1</v>
      </c>
      <c r="S4183" s="18">
        <v>77.52</v>
      </c>
      <c r="T4183" s="18">
        <v>63.54</v>
      </c>
      <c r="U4183" s="16"/>
      <c r="V4183" s="16"/>
      <c r="W4183" s="16" t="s">
        <v>40</v>
      </c>
      <c r="X4183" s="19">
        <v>4.4999999999999998E-2</v>
      </c>
      <c r="Y4183" s="20">
        <v>1.12E-4</v>
      </c>
      <c r="Z4183" s="21">
        <v>4601004199088</v>
      </c>
    </row>
    <row r="4184" spans="1:26" ht="12" customHeight="1" outlineLevel="4" x14ac:dyDescent="0.2">
      <c r="A4184" s="14" t="s">
        <v>8134</v>
      </c>
      <c r="B4184" s="26" t="s">
        <v>8135</v>
      </c>
      <c r="C4184" s="52"/>
      <c r="D4184" s="55">
        <f t="shared" si="65"/>
        <v>0</v>
      </c>
      <c r="E4184" s="63" t="str">
        <f>HYPERLINK("https://www.sds-group.ru/product/bur-po-betonu-5-5x160x100mm-hvostovik-sds-plus-kranz-KR-91-0008/", "Инфо")</f>
        <v>Инфо</v>
      </c>
      <c r="F4184" s="16" t="s">
        <v>39</v>
      </c>
      <c r="G4184" s="15"/>
      <c r="H4184" s="15"/>
      <c r="I4184" s="15"/>
      <c r="J4184" s="17">
        <v>95</v>
      </c>
      <c r="K4184" s="15" t="s">
        <v>5369</v>
      </c>
      <c r="L4184" s="17">
        <v>5</v>
      </c>
      <c r="M4184" s="17">
        <v>240</v>
      </c>
      <c r="N4184" s="17">
        <v>5</v>
      </c>
      <c r="O4184" s="18">
        <v>111.3</v>
      </c>
      <c r="P4184" s="18">
        <v>91.23</v>
      </c>
      <c r="Q4184" s="18">
        <v>100.17</v>
      </c>
      <c r="R4184" s="18">
        <v>82.11</v>
      </c>
      <c r="S4184" s="18">
        <v>75.680000000000007</v>
      </c>
      <c r="T4184" s="18">
        <v>62.03</v>
      </c>
      <c r="U4184" s="16"/>
      <c r="V4184" s="16"/>
      <c r="W4184" s="16" t="s">
        <v>40</v>
      </c>
      <c r="X4184" s="19">
        <v>0.05</v>
      </c>
      <c r="Y4184" s="20">
        <v>1.11E-4</v>
      </c>
      <c r="Z4184" s="21">
        <v>4601004199101</v>
      </c>
    </row>
    <row r="4185" spans="1:26" ht="12" customHeight="1" outlineLevel="4" x14ac:dyDescent="0.2">
      <c r="A4185" s="14" t="s">
        <v>8136</v>
      </c>
      <c r="B4185" s="26" t="s">
        <v>8137</v>
      </c>
      <c r="C4185" s="52"/>
      <c r="D4185" s="55">
        <f t="shared" si="65"/>
        <v>0</v>
      </c>
      <c r="E4185" s="63" t="str">
        <f>HYPERLINK("https://www.sds-group.ru/product/bur-po-betonu-5x110x50mm-hvostovik-sds-plus-kranz-KR-91-0005/", "Инфо")</f>
        <v>Инфо</v>
      </c>
      <c r="F4185" s="16" t="s">
        <v>39</v>
      </c>
      <c r="G4185" s="15"/>
      <c r="H4185" s="15"/>
      <c r="I4185" s="15"/>
      <c r="J4185" s="22">
        <v>2571</v>
      </c>
      <c r="K4185" s="15" t="s">
        <v>5369</v>
      </c>
      <c r="L4185" s="17">
        <v>10</v>
      </c>
      <c r="M4185" s="17">
        <v>240</v>
      </c>
      <c r="N4185" s="17">
        <v>10</v>
      </c>
      <c r="O4185" s="18">
        <v>112.12</v>
      </c>
      <c r="P4185" s="18">
        <v>91.9</v>
      </c>
      <c r="Q4185" s="18">
        <v>100.91</v>
      </c>
      <c r="R4185" s="18">
        <v>82.71</v>
      </c>
      <c r="S4185" s="18">
        <v>76.239999999999995</v>
      </c>
      <c r="T4185" s="18">
        <v>62.49</v>
      </c>
      <c r="U4185" s="16"/>
      <c r="V4185" s="16"/>
      <c r="W4185" s="16" t="s">
        <v>40</v>
      </c>
      <c r="X4185" s="19">
        <v>4.3999999999999997E-2</v>
      </c>
      <c r="Y4185" s="20">
        <v>1.13E-4</v>
      </c>
      <c r="Z4185" s="21">
        <v>4601004174399</v>
      </c>
    </row>
    <row r="4186" spans="1:26" ht="12" customHeight="1" outlineLevel="4" x14ac:dyDescent="0.2">
      <c r="A4186" s="14" t="s">
        <v>8138</v>
      </c>
      <c r="B4186" s="26" t="s">
        <v>8139</v>
      </c>
      <c r="C4186" s="52"/>
      <c r="D4186" s="55">
        <f t="shared" si="65"/>
        <v>0</v>
      </c>
      <c r="E4186" s="63" t="str">
        <f>HYPERLINK("https://www.sds-group.ru/product/bur-po-betonu-5x160x100xmm-hvostovik-sds-plus-kranz-KR-91-0031/", "Инфо")</f>
        <v>Инфо</v>
      </c>
      <c r="F4186" s="16" t="s">
        <v>39</v>
      </c>
      <c r="G4186" s="15"/>
      <c r="H4186" s="15"/>
      <c r="I4186" s="15"/>
      <c r="J4186" s="17">
        <v>492</v>
      </c>
      <c r="K4186" s="15" t="s">
        <v>5369</v>
      </c>
      <c r="L4186" s="17">
        <v>5</v>
      </c>
      <c r="M4186" s="17">
        <v>240</v>
      </c>
      <c r="N4186" s="17">
        <v>5</v>
      </c>
      <c r="O4186" s="18">
        <v>109.87</v>
      </c>
      <c r="P4186" s="18">
        <v>90.06</v>
      </c>
      <c r="Q4186" s="18">
        <v>98.88</v>
      </c>
      <c r="R4186" s="18">
        <v>81.05</v>
      </c>
      <c r="S4186" s="18">
        <v>74.709999999999994</v>
      </c>
      <c r="T4186" s="18">
        <v>61.24</v>
      </c>
      <c r="U4186" s="16"/>
      <c r="V4186" s="16"/>
      <c r="W4186" s="16" t="s">
        <v>40</v>
      </c>
      <c r="X4186" s="19">
        <v>0.05</v>
      </c>
      <c r="Y4186" s="20">
        <v>1.12E-4</v>
      </c>
      <c r="Z4186" s="21">
        <v>4601004174405</v>
      </c>
    </row>
    <row r="4187" spans="1:26" ht="12" customHeight="1" outlineLevel="4" x14ac:dyDescent="0.2">
      <c r="A4187" s="14" t="s">
        <v>8140</v>
      </c>
      <c r="B4187" s="26" t="s">
        <v>8141</v>
      </c>
      <c r="C4187" s="52"/>
      <c r="D4187" s="55">
        <f t="shared" si="65"/>
        <v>0</v>
      </c>
      <c r="E4187" s="63" t="str">
        <f>HYPERLINK("https://www.sds-group.ru/product/bur-po-betonu-5x210x150mm-hvostovik-sds-plus-kranz-KR-91-0830/", "Инфо")</f>
        <v>Инфо</v>
      </c>
      <c r="F4187" s="16" t="s">
        <v>39</v>
      </c>
      <c r="G4187" s="15"/>
      <c r="H4187" s="15"/>
      <c r="I4187" s="15"/>
      <c r="J4187" s="17">
        <v>49</v>
      </c>
      <c r="K4187" s="15" t="s">
        <v>5369</v>
      </c>
      <c r="L4187" s="17">
        <v>5</v>
      </c>
      <c r="M4187" s="17">
        <v>140</v>
      </c>
      <c r="N4187" s="17">
        <v>5</v>
      </c>
      <c r="O4187" s="18">
        <v>163.47</v>
      </c>
      <c r="P4187" s="18">
        <v>133.99</v>
      </c>
      <c r="Q4187" s="18">
        <v>138.94999999999999</v>
      </c>
      <c r="R4187" s="18">
        <v>113.89</v>
      </c>
      <c r="S4187" s="18">
        <v>111.16</v>
      </c>
      <c r="T4187" s="18">
        <v>91.11</v>
      </c>
      <c r="U4187" s="16"/>
      <c r="V4187" s="16"/>
      <c r="W4187" s="16" t="s">
        <v>40</v>
      </c>
      <c r="X4187" s="19">
        <v>5.5E-2</v>
      </c>
      <c r="Y4187" s="20">
        <v>1.2899999999999999E-4</v>
      </c>
      <c r="Z4187" s="21">
        <v>4601004199163</v>
      </c>
    </row>
    <row r="4188" spans="1:26" ht="12" customHeight="1" outlineLevel="4" x14ac:dyDescent="0.2">
      <c r="A4188" s="14" t="s">
        <v>8142</v>
      </c>
      <c r="B4188" s="26" t="s">
        <v>8143</v>
      </c>
      <c r="C4188" s="52"/>
      <c r="D4188" s="55">
        <f t="shared" si="65"/>
        <v>0</v>
      </c>
      <c r="E4188" s="63" t="str">
        <f>HYPERLINK("https://www.sds-group.ru/product/bur-po-betonu-6-5x110x50mm-hvostovik-sds-plus-kranz-KR-91-0004/", "Инфо")</f>
        <v>Инфо</v>
      </c>
      <c r="F4188" s="16" t="s">
        <v>39</v>
      </c>
      <c r="G4188" s="15"/>
      <c r="H4188" s="15"/>
      <c r="I4188" s="15"/>
      <c r="J4188" s="22">
        <v>1058</v>
      </c>
      <c r="K4188" s="15" t="s">
        <v>5369</v>
      </c>
      <c r="L4188" s="17">
        <v>5</v>
      </c>
      <c r="M4188" s="17">
        <v>240</v>
      </c>
      <c r="N4188" s="17">
        <v>5</v>
      </c>
      <c r="O4188" s="18">
        <v>122.3</v>
      </c>
      <c r="P4188" s="18">
        <v>100.25</v>
      </c>
      <c r="Q4188" s="18">
        <v>110.07</v>
      </c>
      <c r="R4188" s="18">
        <v>90.22</v>
      </c>
      <c r="S4188" s="18">
        <v>83.16</v>
      </c>
      <c r="T4188" s="18">
        <v>68.16</v>
      </c>
      <c r="U4188" s="16"/>
      <c r="V4188" s="16"/>
      <c r="W4188" s="16" t="s">
        <v>40</v>
      </c>
      <c r="X4188" s="19">
        <v>4.7E-2</v>
      </c>
      <c r="Y4188" s="20">
        <v>1.15E-4</v>
      </c>
      <c r="Z4188" s="21">
        <v>4601004199095</v>
      </c>
    </row>
    <row r="4189" spans="1:26" ht="12" customHeight="1" outlineLevel="4" x14ac:dyDescent="0.2">
      <c r="A4189" s="32" t="s">
        <v>8144</v>
      </c>
      <c r="B4189" s="74" t="s">
        <v>8145</v>
      </c>
      <c r="C4189" s="50"/>
      <c r="D4189" s="53">
        <f t="shared" si="65"/>
        <v>0</v>
      </c>
      <c r="E4189" s="60" t="str">
        <f>HYPERLINK("https://www.sds-group.ru/product/bur-po-betonu-6-5x160x100mm-hvostovik-sds-plus-kranz-KR-91-0009/", "Инфо")</f>
        <v>Инфо</v>
      </c>
      <c r="F4189" s="34" t="s">
        <v>39</v>
      </c>
      <c r="G4189" s="33"/>
      <c r="H4189" s="33" t="s">
        <v>40</v>
      </c>
      <c r="I4189" s="33"/>
      <c r="J4189" s="34" t="s">
        <v>100</v>
      </c>
      <c r="K4189" s="33" t="s">
        <v>5369</v>
      </c>
      <c r="L4189" s="35">
        <v>1</v>
      </c>
      <c r="M4189" s="35">
        <v>240</v>
      </c>
      <c r="N4189" s="35">
        <v>1</v>
      </c>
      <c r="O4189" s="36">
        <v>132.65</v>
      </c>
      <c r="P4189" s="36">
        <v>108.73</v>
      </c>
      <c r="Q4189" s="36">
        <v>119.39</v>
      </c>
      <c r="R4189" s="36">
        <v>97.86</v>
      </c>
      <c r="S4189" s="36">
        <v>90.2</v>
      </c>
      <c r="T4189" s="36">
        <v>73.930000000000007</v>
      </c>
      <c r="U4189" s="34"/>
      <c r="V4189" s="34"/>
      <c r="W4189" s="34" t="s">
        <v>40</v>
      </c>
      <c r="X4189" s="37">
        <v>5.5E-2</v>
      </c>
      <c r="Y4189" s="38">
        <v>1.06E-4</v>
      </c>
      <c r="Z4189" s="21">
        <v>4601004199118</v>
      </c>
    </row>
    <row r="4190" spans="1:26" ht="12" customHeight="1" outlineLevel="4" x14ac:dyDescent="0.2">
      <c r="A4190" s="14" t="s">
        <v>8146</v>
      </c>
      <c r="B4190" s="26" t="s">
        <v>8147</v>
      </c>
      <c r="C4190" s="52"/>
      <c r="D4190" s="55">
        <f t="shared" si="65"/>
        <v>0</v>
      </c>
      <c r="E4190" s="63" t="str">
        <f>HYPERLINK("https://www.sds-group.ru/product/bur-po-betonu-6x110x50mm-hvostovik-sds-plus-10-sht-kranz-KR-91-0006-4/", "Инфо")</f>
        <v>Инфо</v>
      </c>
      <c r="F4190" s="16" t="s">
        <v>39</v>
      </c>
      <c r="G4190" s="15"/>
      <c r="H4190" s="15"/>
      <c r="I4190" s="15"/>
      <c r="J4190" s="22">
        <v>31974</v>
      </c>
      <c r="K4190" s="15" t="s">
        <v>5369</v>
      </c>
      <c r="L4190" s="17">
        <v>10</v>
      </c>
      <c r="M4190" s="17">
        <v>500</v>
      </c>
      <c r="N4190" s="17">
        <v>10</v>
      </c>
      <c r="O4190" s="18">
        <v>95.4</v>
      </c>
      <c r="P4190" s="18">
        <v>78.2</v>
      </c>
      <c r="Q4190" s="18">
        <v>85.86</v>
      </c>
      <c r="R4190" s="18">
        <v>70.38</v>
      </c>
      <c r="S4190" s="18">
        <v>64.87</v>
      </c>
      <c r="T4190" s="18">
        <v>53.17</v>
      </c>
      <c r="U4190" s="16"/>
      <c r="V4190" s="16"/>
      <c r="W4190" s="16" t="s">
        <v>40</v>
      </c>
      <c r="X4190" s="19">
        <v>3.5999999999999997E-2</v>
      </c>
      <c r="Y4190" s="20">
        <v>1.2999999999999999E-5</v>
      </c>
      <c r="Z4190" s="21">
        <v>4601004199484</v>
      </c>
    </row>
    <row r="4191" spans="1:26" ht="12" customHeight="1" outlineLevel="4" x14ac:dyDescent="0.2">
      <c r="A4191" s="14" t="s">
        <v>8148</v>
      </c>
      <c r="B4191" s="26" t="s">
        <v>8149</v>
      </c>
      <c r="C4191" s="52"/>
      <c r="D4191" s="55">
        <f t="shared" si="65"/>
        <v>0</v>
      </c>
      <c r="E4191" s="63" t="str">
        <f>HYPERLINK("https://www.sds-group.ru/product/bur-po-betonu-6x110x50mm-hvostovik-sds-plus-kranz-KR-91-0006/", "Инфо")</f>
        <v>Инфо</v>
      </c>
      <c r="F4191" s="16" t="s">
        <v>39</v>
      </c>
      <c r="G4191" s="15"/>
      <c r="H4191" s="15"/>
      <c r="I4191" s="15"/>
      <c r="J4191" s="22">
        <v>89870</v>
      </c>
      <c r="K4191" s="15" t="s">
        <v>5369</v>
      </c>
      <c r="L4191" s="17">
        <v>10</v>
      </c>
      <c r="M4191" s="17">
        <v>240</v>
      </c>
      <c r="N4191" s="17">
        <v>10</v>
      </c>
      <c r="O4191" s="18">
        <v>108.04</v>
      </c>
      <c r="P4191" s="18">
        <v>88.56</v>
      </c>
      <c r="Q4191" s="18">
        <v>97.24</v>
      </c>
      <c r="R4191" s="18">
        <v>79.7</v>
      </c>
      <c r="S4191" s="18">
        <v>73.47</v>
      </c>
      <c r="T4191" s="18">
        <v>60.22</v>
      </c>
      <c r="U4191" s="16"/>
      <c r="V4191" s="16"/>
      <c r="W4191" s="16" t="s">
        <v>40</v>
      </c>
      <c r="X4191" s="19">
        <v>4.7E-2</v>
      </c>
      <c r="Y4191" s="20">
        <v>1.11E-4</v>
      </c>
      <c r="Z4191" s="21">
        <v>4601004174412</v>
      </c>
    </row>
    <row r="4192" spans="1:26" ht="12" customHeight="1" outlineLevel="4" x14ac:dyDescent="0.2">
      <c r="A4192" s="14" t="s">
        <v>8150</v>
      </c>
      <c r="B4192" s="26" t="s">
        <v>8151</v>
      </c>
      <c r="C4192" s="52"/>
      <c r="D4192" s="55">
        <f t="shared" si="65"/>
        <v>0</v>
      </c>
      <c r="E4192" s="63" t="str">
        <f>HYPERLINK("https://www.sds-group.ru/product/bur-po-betonu-6x160x100mm-hvostovik-sds-plus-10-sht-kranz-KR-91-0011-4/", "Инфо")</f>
        <v>Инфо</v>
      </c>
      <c r="F4192" s="16" t="s">
        <v>39</v>
      </c>
      <c r="G4192" s="15"/>
      <c r="H4192" s="15"/>
      <c r="I4192" s="15"/>
      <c r="J4192" s="22">
        <v>3792</v>
      </c>
      <c r="K4192" s="15" t="s">
        <v>5369</v>
      </c>
      <c r="L4192" s="17">
        <v>10</v>
      </c>
      <c r="M4192" s="17">
        <v>400</v>
      </c>
      <c r="N4192" s="17">
        <v>10</v>
      </c>
      <c r="O4192" s="18">
        <v>124.69</v>
      </c>
      <c r="P4192" s="18">
        <v>102.2</v>
      </c>
      <c r="Q4192" s="18">
        <v>112.22</v>
      </c>
      <c r="R4192" s="18">
        <v>91.98</v>
      </c>
      <c r="S4192" s="18">
        <v>84.79</v>
      </c>
      <c r="T4192" s="18">
        <v>69.5</v>
      </c>
      <c r="U4192" s="16"/>
      <c r="V4192" s="16"/>
      <c r="W4192" s="16" t="s">
        <v>40</v>
      </c>
      <c r="X4192" s="19">
        <v>4.3999999999999997E-2</v>
      </c>
      <c r="Y4192" s="20">
        <v>3.1000000000000001E-5</v>
      </c>
      <c r="Z4192" s="21">
        <v>4601004202207</v>
      </c>
    </row>
    <row r="4193" spans="1:26" ht="12" customHeight="1" outlineLevel="4" x14ac:dyDescent="0.2">
      <c r="A4193" s="14" t="s">
        <v>8152</v>
      </c>
      <c r="B4193" s="26" t="s">
        <v>8153</v>
      </c>
      <c r="C4193" s="52"/>
      <c r="D4193" s="55">
        <f t="shared" si="65"/>
        <v>0</v>
      </c>
      <c r="E4193" s="63" t="str">
        <f>HYPERLINK("https://www.sds-group.ru/product/bur-po-betonu-6x160x100mm-hvostovik-sds-plus-kranz-KR-91-0011/", "Инфо")</f>
        <v>Инфо</v>
      </c>
      <c r="F4193" s="16" t="s">
        <v>39</v>
      </c>
      <c r="G4193" s="15"/>
      <c r="H4193" s="15"/>
      <c r="I4193" s="15"/>
      <c r="J4193" s="22">
        <v>33757</v>
      </c>
      <c r="K4193" s="15" t="s">
        <v>5369</v>
      </c>
      <c r="L4193" s="17">
        <v>10</v>
      </c>
      <c r="M4193" s="17">
        <v>240</v>
      </c>
      <c r="N4193" s="17">
        <v>10</v>
      </c>
      <c r="O4193" s="18">
        <v>128.41999999999999</v>
      </c>
      <c r="P4193" s="18">
        <v>105.26</v>
      </c>
      <c r="Q4193" s="18">
        <v>115.58</v>
      </c>
      <c r="R4193" s="18">
        <v>94.74</v>
      </c>
      <c r="S4193" s="18">
        <v>87.33</v>
      </c>
      <c r="T4193" s="18">
        <v>71.58</v>
      </c>
      <c r="U4193" s="16"/>
      <c r="V4193" s="16"/>
      <c r="W4193" s="16" t="s">
        <v>40</v>
      </c>
      <c r="X4193" s="19">
        <v>5.3999999999999999E-2</v>
      </c>
      <c r="Y4193" s="20">
        <v>1.15E-4</v>
      </c>
      <c r="Z4193" s="21">
        <v>4601004174429</v>
      </c>
    </row>
    <row r="4194" spans="1:26" ht="12" customHeight="1" outlineLevel="4" x14ac:dyDescent="0.2">
      <c r="A4194" s="14" t="s">
        <v>8154</v>
      </c>
      <c r="B4194" s="26" t="s">
        <v>8155</v>
      </c>
      <c r="C4194" s="52"/>
      <c r="D4194" s="55">
        <f t="shared" si="65"/>
        <v>0</v>
      </c>
      <c r="E4194" s="63" t="str">
        <f>HYPERLINK("https://www.sds-group.ru/product/bur-po-betonu-6x210x150mm-hvostovik-sds-plus-kranz-KR-91-0017/", "Инфо")</f>
        <v>Инфо</v>
      </c>
      <c r="F4194" s="16" t="s">
        <v>39</v>
      </c>
      <c r="G4194" s="15"/>
      <c r="H4194" s="15"/>
      <c r="I4194" s="15"/>
      <c r="J4194" s="22">
        <v>4581</v>
      </c>
      <c r="K4194" s="15" t="s">
        <v>5369</v>
      </c>
      <c r="L4194" s="17">
        <v>5</v>
      </c>
      <c r="M4194" s="17">
        <v>240</v>
      </c>
      <c r="N4194" s="17">
        <v>5</v>
      </c>
      <c r="O4194" s="18">
        <v>155.47999999999999</v>
      </c>
      <c r="P4194" s="18">
        <v>127.44</v>
      </c>
      <c r="Q4194" s="18">
        <v>132.16</v>
      </c>
      <c r="R4194" s="18">
        <v>108.33</v>
      </c>
      <c r="S4194" s="18">
        <v>105.73</v>
      </c>
      <c r="T4194" s="18">
        <v>86.66</v>
      </c>
      <c r="U4194" s="16"/>
      <c r="V4194" s="16"/>
      <c r="W4194" s="16" t="s">
        <v>40</v>
      </c>
      <c r="X4194" s="19">
        <v>6.2E-2</v>
      </c>
      <c r="Y4194" s="20">
        <v>1.36E-4</v>
      </c>
      <c r="Z4194" s="21">
        <v>4601004174436</v>
      </c>
    </row>
    <row r="4195" spans="1:26" ht="12" customHeight="1" outlineLevel="4" x14ac:dyDescent="0.2">
      <c r="A4195" s="14" t="s">
        <v>8156</v>
      </c>
      <c r="B4195" s="26" t="s">
        <v>8157</v>
      </c>
      <c r="C4195" s="52"/>
      <c r="D4195" s="55">
        <f t="shared" si="65"/>
        <v>0</v>
      </c>
      <c r="E4195" s="63" t="str">
        <f>HYPERLINK("https://www.sds-group.ru/product/bur-po-betonu-6x260x200mm-hvostovik-sds-plus-kranz-KR-91-0813/", "Инфо")</f>
        <v>Инфо</v>
      </c>
      <c r="F4195" s="16" t="s">
        <v>39</v>
      </c>
      <c r="G4195" s="15"/>
      <c r="H4195" s="15"/>
      <c r="I4195" s="15"/>
      <c r="J4195" s="22">
        <v>1077</v>
      </c>
      <c r="K4195" s="15"/>
      <c r="L4195" s="17">
        <v>5</v>
      </c>
      <c r="M4195" s="17">
        <v>120</v>
      </c>
      <c r="N4195" s="17">
        <v>5</v>
      </c>
      <c r="O4195" s="18">
        <v>175.41</v>
      </c>
      <c r="P4195" s="18">
        <v>143.78</v>
      </c>
      <c r="Q4195" s="18">
        <v>157.87</v>
      </c>
      <c r="R4195" s="18">
        <v>129.4</v>
      </c>
      <c r="S4195" s="18">
        <v>119.28</v>
      </c>
      <c r="T4195" s="18">
        <v>97.77</v>
      </c>
      <c r="U4195" s="16"/>
      <c r="V4195" s="16"/>
      <c r="W4195" s="16" t="s">
        <v>40</v>
      </c>
      <c r="X4195" s="19">
        <v>7.3999999999999996E-2</v>
      </c>
      <c r="Y4195" s="20">
        <v>1.74E-4</v>
      </c>
      <c r="Z4195" s="21">
        <v>4601004174450</v>
      </c>
    </row>
    <row r="4196" spans="1:26" ht="12" customHeight="1" outlineLevel="4" x14ac:dyDescent="0.2">
      <c r="A4196" s="14" t="s">
        <v>8158</v>
      </c>
      <c r="B4196" s="26" t="s">
        <v>8159</v>
      </c>
      <c r="C4196" s="52"/>
      <c r="D4196" s="55">
        <f t="shared" si="65"/>
        <v>0</v>
      </c>
      <c r="E4196" s="63" t="str">
        <f>HYPERLINK("https://www.sds-group.ru/product/bur-po-betonu-6x310x250mm-hvostovik-sds-plus-kranz-KR-91-0037/", "Инфо")</f>
        <v>Инфо</v>
      </c>
      <c r="F4196" s="16" t="s">
        <v>39</v>
      </c>
      <c r="G4196" s="15"/>
      <c r="H4196" s="15"/>
      <c r="I4196" s="15"/>
      <c r="J4196" s="22">
        <v>1878</v>
      </c>
      <c r="K4196" s="15"/>
      <c r="L4196" s="17">
        <v>5</v>
      </c>
      <c r="M4196" s="17">
        <v>120</v>
      </c>
      <c r="N4196" s="17">
        <v>5</v>
      </c>
      <c r="O4196" s="18">
        <v>193.65</v>
      </c>
      <c r="P4196" s="18">
        <v>158.72999999999999</v>
      </c>
      <c r="Q4196" s="18">
        <v>164.6</v>
      </c>
      <c r="R4196" s="18">
        <v>134.91999999999999</v>
      </c>
      <c r="S4196" s="18">
        <v>131.68</v>
      </c>
      <c r="T4196" s="18">
        <v>107.93</v>
      </c>
      <c r="U4196" s="16"/>
      <c r="V4196" s="16"/>
      <c r="W4196" s="16" t="s">
        <v>40</v>
      </c>
      <c r="X4196" s="19">
        <v>7.8E-2</v>
      </c>
      <c r="Y4196" s="20">
        <v>1.7100000000000001E-4</v>
      </c>
      <c r="Z4196" s="21">
        <v>4601004174443</v>
      </c>
    </row>
    <row r="4197" spans="1:26" ht="12" customHeight="1" outlineLevel="4" x14ac:dyDescent="0.2">
      <c r="A4197" s="14" t="s">
        <v>8160</v>
      </c>
      <c r="B4197" s="26" t="s">
        <v>8161</v>
      </c>
      <c r="C4197" s="52"/>
      <c r="D4197" s="55">
        <f t="shared" si="65"/>
        <v>0</v>
      </c>
      <c r="E4197" s="63" t="str">
        <f>HYPERLINK("https://www.sds-group.ru/product/bur-po-betonu-8x110x50mm-hvostovik-sds-plus-kranz-KR-91-0007/", "Инфо")</f>
        <v>Инфо</v>
      </c>
      <c r="F4197" s="16" t="s">
        <v>39</v>
      </c>
      <c r="G4197" s="15"/>
      <c r="H4197" s="15"/>
      <c r="I4197" s="15"/>
      <c r="J4197" s="22">
        <v>3551</v>
      </c>
      <c r="K4197" s="15" t="s">
        <v>5369</v>
      </c>
      <c r="L4197" s="17">
        <v>5</v>
      </c>
      <c r="M4197" s="17">
        <v>240</v>
      </c>
      <c r="N4197" s="17">
        <v>5</v>
      </c>
      <c r="O4197" s="18">
        <v>143.65</v>
      </c>
      <c r="P4197" s="18">
        <v>117.75</v>
      </c>
      <c r="Q4197" s="18">
        <v>129.29</v>
      </c>
      <c r="R4197" s="18">
        <v>105.98</v>
      </c>
      <c r="S4197" s="18">
        <v>97.68</v>
      </c>
      <c r="T4197" s="18">
        <v>80.069999999999993</v>
      </c>
      <c r="U4197" s="16"/>
      <c r="V4197" s="16"/>
      <c r="W4197" s="16" t="s">
        <v>40</v>
      </c>
      <c r="X4197" s="19">
        <v>5.3999999999999999E-2</v>
      </c>
      <c r="Y4197" s="20">
        <v>1.12E-4</v>
      </c>
      <c r="Z4197" s="21">
        <v>4601004174467</v>
      </c>
    </row>
    <row r="4198" spans="1:26" ht="12" customHeight="1" outlineLevel="4" x14ac:dyDescent="0.2">
      <c r="A4198" s="14" t="s">
        <v>8162</v>
      </c>
      <c r="B4198" s="26" t="s">
        <v>8163</v>
      </c>
      <c r="C4198" s="52"/>
      <c r="D4198" s="55">
        <f t="shared" si="65"/>
        <v>0</v>
      </c>
      <c r="E4198" s="63" t="str">
        <f>HYPERLINK("https://www.sds-group.ru/product/bur-po-betonu-8x160x100mm-hvostovik-sds-plus-10-sht-kranz-KR-91-0012-4/", "Инфо")</f>
        <v>Инфо</v>
      </c>
      <c r="F4198" s="16" t="s">
        <v>39</v>
      </c>
      <c r="G4198" s="15"/>
      <c r="H4198" s="15"/>
      <c r="I4198" s="15"/>
      <c r="J4198" s="17">
        <v>559</v>
      </c>
      <c r="K4198" s="15" t="s">
        <v>5369</v>
      </c>
      <c r="L4198" s="17">
        <v>10</v>
      </c>
      <c r="M4198" s="17">
        <v>250</v>
      </c>
      <c r="N4198" s="17">
        <v>10</v>
      </c>
      <c r="O4198" s="18">
        <v>159.91</v>
      </c>
      <c r="P4198" s="18">
        <v>131.07</v>
      </c>
      <c r="Q4198" s="18">
        <v>143.91999999999999</v>
      </c>
      <c r="R4198" s="18">
        <v>117.97</v>
      </c>
      <c r="S4198" s="18">
        <v>108.74</v>
      </c>
      <c r="T4198" s="18">
        <v>89.13</v>
      </c>
      <c r="U4198" s="16"/>
      <c r="V4198" s="16"/>
      <c r="W4198" s="16" t="s">
        <v>40</v>
      </c>
      <c r="X4198" s="19">
        <v>5.5E-2</v>
      </c>
      <c r="Y4198" s="20">
        <v>2.8E-5</v>
      </c>
      <c r="Z4198" s="21">
        <v>4601004202214</v>
      </c>
    </row>
    <row r="4199" spans="1:26" ht="12" customHeight="1" outlineLevel="4" x14ac:dyDescent="0.2">
      <c r="A4199" s="14" t="s">
        <v>8164</v>
      </c>
      <c r="B4199" s="26" t="s">
        <v>8165</v>
      </c>
      <c r="C4199" s="52"/>
      <c r="D4199" s="55">
        <f t="shared" si="65"/>
        <v>0</v>
      </c>
      <c r="E4199" s="63" t="str">
        <f>HYPERLINK("https://www.sds-group.ru/product/bur-po-betonu-8x160x100mm-hvostovik-sds-plus-kranz-KR-91-0012/", "Инфо")</f>
        <v>Инфо</v>
      </c>
      <c r="F4199" s="16" t="s">
        <v>39</v>
      </c>
      <c r="G4199" s="15"/>
      <c r="H4199" s="15"/>
      <c r="I4199" s="15"/>
      <c r="J4199" s="22">
        <v>5442</v>
      </c>
      <c r="K4199" s="15" t="s">
        <v>5369</v>
      </c>
      <c r="L4199" s="17">
        <v>10</v>
      </c>
      <c r="M4199" s="17">
        <v>240</v>
      </c>
      <c r="N4199" s="17">
        <v>10</v>
      </c>
      <c r="O4199" s="18">
        <v>159</v>
      </c>
      <c r="P4199" s="18">
        <v>130.33000000000001</v>
      </c>
      <c r="Q4199" s="18">
        <v>143.1</v>
      </c>
      <c r="R4199" s="18">
        <v>117.3</v>
      </c>
      <c r="S4199" s="18">
        <v>108.12</v>
      </c>
      <c r="T4199" s="18">
        <v>88.62</v>
      </c>
      <c r="U4199" s="16"/>
      <c r="V4199" s="16"/>
      <c r="W4199" s="16" t="s">
        <v>40</v>
      </c>
      <c r="X4199" s="19">
        <v>6.4000000000000001E-2</v>
      </c>
      <c r="Y4199" s="20">
        <v>1.12E-4</v>
      </c>
      <c r="Z4199" s="21">
        <v>4601004174474</v>
      </c>
    </row>
    <row r="4200" spans="1:26" ht="12" customHeight="1" outlineLevel="4" x14ac:dyDescent="0.2">
      <c r="A4200" s="14" t="s">
        <v>8166</v>
      </c>
      <c r="B4200" s="26" t="s">
        <v>8167</v>
      </c>
      <c r="C4200" s="52"/>
      <c r="D4200" s="55">
        <f t="shared" si="65"/>
        <v>0</v>
      </c>
      <c r="E4200" s="63" t="str">
        <f>HYPERLINK("https://www.sds-group.ru/product/bur-po-betonu-8x210x150mm-hvostovik-sds-plus-kranz-KR-91-0018/", "Инфо")</f>
        <v>Инфо</v>
      </c>
      <c r="F4200" s="16" t="s">
        <v>39</v>
      </c>
      <c r="G4200" s="15"/>
      <c r="H4200" s="15"/>
      <c r="I4200" s="15"/>
      <c r="J4200" s="22">
        <v>1514</v>
      </c>
      <c r="K4200" s="15" t="s">
        <v>883</v>
      </c>
      <c r="L4200" s="17">
        <v>5</v>
      </c>
      <c r="M4200" s="17">
        <v>120</v>
      </c>
      <c r="N4200" s="17">
        <v>5</v>
      </c>
      <c r="O4200" s="18">
        <v>176.21</v>
      </c>
      <c r="P4200" s="18">
        <v>144.43</v>
      </c>
      <c r="Q4200" s="18">
        <v>149.78</v>
      </c>
      <c r="R4200" s="18">
        <v>122.77</v>
      </c>
      <c r="S4200" s="18">
        <v>119.82</v>
      </c>
      <c r="T4200" s="18">
        <v>98.21</v>
      </c>
      <c r="U4200" s="16"/>
      <c r="V4200" s="16"/>
      <c r="W4200" s="16" t="s">
        <v>40</v>
      </c>
      <c r="X4200" s="19">
        <v>7.8E-2</v>
      </c>
      <c r="Y4200" s="20">
        <v>1.35E-4</v>
      </c>
      <c r="Z4200" s="21">
        <v>4601004174481</v>
      </c>
    </row>
    <row r="4201" spans="1:26" ht="12" customHeight="1" outlineLevel="4" x14ac:dyDescent="0.2">
      <c r="A4201" s="14" t="s">
        <v>8168</v>
      </c>
      <c r="B4201" s="26" t="s">
        <v>8169</v>
      </c>
      <c r="C4201" s="52"/>
      <c r="D4201" s="55">
        <f t="shared" si="65"/>
        <v>0</v>
      </c>
      <c r="E4201" s="63" t="str">
        <f>HYPERLINK("https://www.sds-group.ru/product/bur-po-betonu-8x260x200mm-hvostovik-sds-plus-kranz-KR-91-0814/", "Инфо")</f>
        <v>Инфо</v>
      </c>
      <c r="F4201" s="16" t="s">
        <v>39</v>
      </c>
      <c r="G4201" s="15"/>
      <c r="H4201" s="15"/>
      <c r="I4201" s="15"/>
      <c r="J4201" s="22">
        <v>1052</v>
      </c>
      <c r="K4201" s="15"/>
      <c r="L4201" s="17">
        <v>5</v>
      </c>
      <c r="M4201" s="17">
        <v>120</v>
      </c>
      <c r="N4201" s="17">
        <v>5</v>
      </c>
      <c r="O4201" s="18">
        <v>227.82</v>
      </c>
      <c r="P4201" s="18">
        <v>186.74</v>
      </c>
      <c r="Q4201" s="18">
        <v>193.65</v>
      </c>
      <c r="R4201" s="18">
        <v>158.72999999999999</v>
      </c>
      <c r="S4201" s="18">
        <v>154.91999999999999</v>
      </c>
      <c r="T4201" s="18">
        <v>126.98</v>
      </c>
      <c r="U4201" s="16"/>
      <c r="V4201" s="16"/>
      <c r="W4201" s="16" t="s">
        <v>40</v>
      </c>
      <c r="X4201" s="19">
        <v>8.8999999999999996E-2</v>
      </c>
      <c r="Y4201" s="20">
        <v>1.7200000000000001E-4</v>
      </c>
      <c r="Z4201" s="21">
        <v>4601004174504</v>
      </c>
    </row>
    <row r="4202" spans="1:26" ht="12" customHeight="1" outlineLevel="4" x14ac:dyDescent="0.2">
      <c r="A4202" s="14" t="s">
        <v>8170</v>
      </c>
      <c r="B4202" s="26" t="s">
        <v>8171</v>
      </c>
      <c r="C4202" s="52"/>
      <c r="D4202" s="55">
        <f t="shared" si="65"/>
        <v>0</v>
      </c>
      <c r="E4202" s="63" t="str">
        <f>HYPERLINK("https://www.sds-group.ru/product/bur-po-betonu-8x310x250mm-hvostovik-sds-plus-kranz-KR-91-0025/", "Инфо")</f>
        <v>Инфо</v>
      </c>
      <c r="F4202" s="16" t="s">
        <v>39</v>
      </c>
      <c r="G4202" s="15"/>
      <c r="H4202" s="15"/>
      <c r="I4202" s="15"/>
      <c r="J4202" s="17">
        <v>602</v>
      </c>
      <c r="K4202" s="15" t="s">
        <v>5369</v>
      </c>
      <c r="L4202" s="17">
        <v>5</v>
      </c>
      <c r="M4202" s="17">
        <v>120</v>
      </c>
      <c r="N4202" s="17">
        <v>5</v>
      </c>
      <c r="O4202" s="18">
        <v>214.04</v>
      </c>
      <c r="P4202" s="18">
        <v>175.44</v>
      </c>
      <c r="Q4202" s="18">
        <v>181.93</v>
      </c>
      <c r="R4202" s="18">
        <v>149.12</v>
      </c>
      <c r="S4202" s="18">
        <v>145.55000000000001</v>
      </c>
      <c r="T4202" s="18">
        <v>119.3</v>
      </c>
      <c r="U4202" s="16"/>
      <c r="V4202" s="16"/>
      <c r="W4202" s="16" t="s">
        <v>40</v>
      </c>
      <c r="X4202" s="19">
        <v>0.1</v>
      </c>
      <c r="Y4202" s="20">
        <v>1.7100000000000001E-4</v>
      </c>
      <c r="Z4202" s="21">
        <v>4601004174511</v>
      </c>
    </row>
    <row r="4203" spans="1:26" ht="12" customHeight="1" outlineLevel="4" x14ac:dyDescent="0.2">
      <c r="A4203" s="32" t="s">
        <v>8172</v>
      </c>
      <c r="B4203" s="74" t="s">
        <v>8173</v>
      </c>
      <c r="C4203" s="50"/>
      <c r="D4203" s="53">
        <f t="shared" si="65"/>
        <v>0</v>
      </c>
      <c r="E4203" s="60" t="str">
        <f>HYPERLINK("https://www.sds-group.ru/product/bur-po-betonu-8x350x290mm-hvostovik-sds-plus-kranz-KR-91-0833/", "Инфо")</f>
        <v>Инфо</v>
      </c>
      <c r="F4203" s="34" t="s">
        <v>39</v>
      </c>
      <c r="G4203" s="33"/>
      <c r="H4203" s="33" t="s">
        <v>40</v>
      </c>
      <c r="I4203" s="33"/>
      <c r="J4203" s="35">
        <v>8</v>
      </c>
      <c r="K4203" s="33"/>
      <c r="L4203" s="35">
        <v>1</v>
      </c>
      <c r="M4203" s="35">
        <v>150</v>
      </c>
      <c r="N4203" s="35">
        <v>1</v>
      </c>
      <c r="O4203" s="36">
        <v>270.54000000000002</v>
      </c>
      <c r="P4203" s="36">
        <v>221.75</v>
      </c>
      <c r="Q4203" s="36">
        <v>189.38</v>
      </c>
      <c r="R4203" s="36">
        <v>155.22999999999999</v>
      </c>
      <c r="S4203" s="36">
        <v>183.97</v>
      </c>
      <c r="T4203" s="36">
        <v>150.80000000000001</v>
      </c>
      <c r="U4203" s="34"/>
      <c r="V4203" s="34"/>
      <c r="W4203" s="34"/>
      <c r="X4203" s="37">
        <v>0.11700000000000001</v>
      </c>
      <c r="Y4203" s="38">
        <v>1.4799999999999999E-4</v>
      </c>
      <c r="Z4203" s="21">
        <v>4601004199224</v>
      </c>
    </row>
    <row r="4204" spans="1:26" ht="12" customHeight="1" outlineLevel="4" x14ac:dyDescent="0.2">
      <c r="A4204" s="14" t="s">
        <v>8174</v>
      </c>
      <c r="B4204" s="26" t="s">
        <v>8175</v>
      </c>
      <c r="C4204" s="52"/>
      <c r="D4204" s="55">
        <f t="shared" si="65"/>
        <v>0</v>
      </c>
      <c r="E4204" s="63" t="str">
        <f>HYPERLINK("https://www.sds-group.ru/product/bur-po-betonu-8x460x400mm-hvostovik-sds-plus-kranz-KR-91-0048/", "Инфо")</f>
        <v>Инфо</v>
      </c>
      <c r="F4204" s="16" t="s">
        <v>39</v>
      </c>
      <c r="G4204" s="15"/>
      <c r="H4204" s="15"/>
      <c r="I4204" s="15"/>
      <c r="J4204" s="17">
        <v>270</v>
      </c>
      <c r="K4204" s="15" t="s">
        <v>883</v>
      </c>
      <c r="L4204" s="17">
        <v>5</v>
      </c>
      <c r="M4204" s="17">
        <v>100</v>
      </c>
      <c r="N4204" s="17">
        <v>5</v>
      </c>
      <c r="O4204" s="18">
        <v>375.9</v>
      </c>
      <c r="P4204" s="18">
        <v>308.11</v>
      </c>
      <c r="Q4204" s="18">
        <v>338.31</v>
      </c>
      <c r="R4204" s="18">
        <v>277.3</v>
      </c>
      <c r="S4204" s="18">
        <v>255.61</v>
      </c>
      <c r="T4204" s="18">
        <v>209.52</v>
      </c>
      <c r="U4204" s="16"/>
      <c r="V4204" s="16"/>
      <c r="W4204" s="16" t="s">
        <v>40</v>
      </c>
      <c r="X4204" s="19">
        <v>0.13900000000000001</v>
      </c>
      <c r="Y4204" s="20">
        <v>2.2000000000000001E-4</v>
      </c>
      <c r="Z4204" s="21">
        <v>4601004174528</v>
      </c>
    </row>
    <row r="4205" spans="1:26" ht="12" customHeight="1" outlineLevel="4" x14ac:dyDescent="0.2">
      <c r="A4205" s="14" t="s">
        <v>8176</v>
      </c>
      <c r="B4205" s="26" t="s">
        <v>8177</v>
      </c>
      <c r="C4205" s="52"/>
      <c r="D4205" s="55">
        <f t="shared" si="65"/>
        <v>0</v>
      </c>
      <c r="E4205" s="63" t="str">
        <f>HYPERLINK("https://www.sds-group.ru/product/bur-po-betonu-8x600x540mm-hvostovik-sds-plus-kranz-KR-91-0061/", "Инфо")</f>
        <v>Инфо</v>
      </c>
      <c r="F4205" s="16" t="s">
        <v>39</v>
      </c>
      <c r="G4205" s="15"/>
      <c r="H4205" s="15"/>
      <c r="I4205" s="15"/>
      <c r="J4205" s="17">
        <v>456</v>
      </c>
      <c r="K4205" s="15"/>
      <c r="L4205" s="17">
        <v>1</v>
      </c>
      <c r="M4205" s="17">
        <v>50</v>
      </c>
      <c r="N4205" s="17">
        <v>1</v>
      </c>
      <c r="O4205" s="18">
        <v>456.09</v>
      </c>
      <c r="P4205" s="18">
        <v>373.84</v>
      </c>
      <c r="Q4205" s="18">
        <v>364.87</v>
      </c>
      <c r="R4205" s="18">
        <v>299.07</v>
      </c>
      <c r="S4205" s="18">
        <v>310.14</v>
      </c>
      <c r="T4205" s="18">
        <v>254.21</v>
      </c>
      <c r="U4205" s="16"/>
      <c r="V4205" s="16"/>
      <c r="W4205" s="16" t="s">
        <v>40</v>
      </c>
      <c r="X4205" s="19">
        <v>0.17100000000000001</v>
      </c>
      <c r="Y4205" s="20">
        <v>2.5399999999999999E-4</v>
      </c>
      <c r="Z4205" s="21">
        <v>4601004174498</v>
      </c>
    </row>
    <row r="4206" spans="1:26" ht="12.95" customHeight="1" outlineLevel="3" x14ac:dyDescent="0.2">
      <c r="A4206" s="76" t="s">
        <v>8178</v>
      </c>
      <c r="B4206" s="76"/>
      <c r="C4206" s="77"/>
      <c r="D4206" s="58"/>
      <c r="E4206" s="68"/>
      <c r="F4206" s="13"/>
      <c r="G4206" s="13"/>
      <c r="H4206" s="13"/>
      <c r="I4206" s="13"/>
      <c r="J4206" s="13"/>
      <c r="K4206" s="13"/>
      <c r="L4206" s="13"/>
      <c r="M4206" s="13"/>
      <c r="N4206" s="13"/>
      <c r="O4206" s="13"/>
      <c r="P4206" s="13"/>
      <c r="Q4206" s="13"/>
      <c r="R4206" s="13"/>
      <c r="S4206" s="13"/>
      <c r="T4206" s="13"/>
      <c r="U4206" s="13"/>
      <c r="V4206" s="13"/>
      <c r="W4206" s="13"/>
      <c r="X4206" s="13"/>
      <c r="Y4206" s="13"/>
      <c r="Z4206" s="13"/>
    </row>
    <row r="4207" spans="1:26" ht="12" customHeight="1" outlineLevel="4" x14ac:dyDescent="0.2">
      <c r="A4207" s="14" t="s">
        <v>8179</v>
      </c>
      <c r="B4207" s="26" t="s">
        <v>8180</v>
      </c>
      <c r="C4207" s="52"/>
      <c r="D4207" s="55">
        <f t="shared" si="65"/>
        <v>0</v>
      </c>
      <c r="E4207" s="63" t="str">
        <f>HYPERLINK("https://www.sds-group.ru/product/nabor-burov-i-dolot-hvostovik-sds-plus-13-predmetov-kranz-KR-91-0409/", "Инфо")</f>
        <v>Инфо</v>
      </c>
      <c r="F4207" s="16" t="s">
        <v>39</v>
      </c>
      <c r="G4207" s="15"/>
      <c r="H4207" s="15"/>
      <c r="I4207" s="15"/>
      <c r="J4207" s="17">
        <v>210</v>
      </c>
      <c r="K4207" s="15" t="s">
        <v>5369</v>
      </c>
      <c r="L4207" s="17">
        <v>1</v>
      </c>
      <c r="M4207" s="17">
        <v>10</v>
      </c>
      <c r="N4207" s="17">
        <v>1</v>
      </c>
      <c r="O4207" s="18">
        <v>4328.4799999999996</v>
      </c>
      <c r="P4207" s="18">
        <v>3547.93</v>
      </c>
      <c r="Q4207" s="18">
        <v>3376.21</v>
      </c>
      <c r="R4207" s="18">
        <v>2767.39</v>
      </c>
      <c r="S4207" s="18">
        <v>2943.37</v>
      </c>
      <c r="T4207" s="18">
        <v>2412.6</v>
      </c>
      <c r="U4207" s="16"/>
      <c r="V4207" s="16"/>
      <c r="W4207" s="16" t="s">
        <v>40</v>
      </c>
      <c r="X4207" s="19">
        <v>2.3519999999999999</v>
      </c>
      <c r="Y4207" s="20">
        <v>4.8690000000000001E-3</v>
      </c>
      <c r="Z4207" s="21">
        <v>4601004199132</v>
      </c>
    </row>
    <row r="4208" spans="1:26" ht="12" customHeight="1" outlineLevel="4" x14ac:dyDescent="0.2">
      <c r="A4208" s="14" t="s">
        <v>8181</v>
      </c>
      <c r="B4208" s="26" t="s">
        <v>8182</v>
      </c>
      <c r="C4208" s="52"/>
      <c r="D4208" s="55">
        <f t="shared" si="65"/>
        <v>0</v>
      </c>
      <c r="E4208" s="63" t="str">
        <f>HYPERLINK("https://www.sds-group.ru/product/nabor-burov-po-betonu-5-6-8-10h160h100mm-4-sht-v-plastikovoy-korobke-hvostovik-sds-plus-k-KR-91-0405/", "Инфо")</f>
        <v>Инфо</v>
      </c>
      <c r="F4208" s="16" t="s">
        <v>39</v>
      </c>
      <c r="G4208" s="15"/>
      <c r="H4208" s="15"/>
      <c r="I4208" s="15"/>
      <c r="J4208" s="22">
        <v>5268</v>
      </c>
      <c r="K4208" s="15"/>
      <c r="L4208" s="17">
        <v>1</v>
      </c>
      <c r="M4208" s="17">
        <v>100</v>
      </c>
      <c r="N4208" s="17">
        <v>1</v>
      </c>
      <c r="O4208" s="18">
        <v>567.1</v>
      </c>
      <c r="P4208" s="18">
        <v>464.84</v>
      </c>
      <c r="Q4208" s="18">
        <v>482.04</v>
      </c>
      <c r="R4208" s="18">
        <v>395.11</v>
      </c>
      <c r="S4208" s="18">
        <v>385.63</v>
      </c>
      <c r="T4208" s="18">
        <v>316.08999999999997</v>
      </c>
      <c r="U4208" s="16"/>
      <c r="V4208" s="16"/>
      <c r="W4208" s="16" t="s">
        <v>40</v>
      </c>
      <c r="X4208" s="19">
        <v>0.24299999999999999</v>
      </c>
      <c r="Y4208" s="20">
        <v>3.3799999999999998E-4</v>
      </c>
      <c r="Z4208" s="21">
        <v>4601004174733</v>
      </c>
    </row>
    <row r="4209" spans="1:26" ht="12" customHeight="1" outlineLevel="4" x14ac:dyDescent="0.2">
      <c r="A4209" s="14" t="s">
        <v>8183</v>
      </c>
      <c r="B4209" s="26" t="s">
        <v>8184</v>
      </c>
      <c r="C4209" s="52"/>
      <c r="D4209" s="55">
        <f t="shared" si="65"/>
        <v>0</v>
      </c>
      <c r="E4209" s="63" t="str">
        <f>HYPERLINK("https://www.sds-group.ru/product/nabor-burov-po-betonu-5-6h110h50-6-8-10h160h100mm-5-sht-v-plastikovoy-korobke-hvostovik-s-KR-91-0406/", "Инфо")</f>
        <v>Инфо</v>
      </c>
      <c r="F4209" s="16" t="s">
        <v>39</v>
      </c>
      <c r="G4209" s="15"/>
      <c r="H4209" s="15"/>
      <c r="I4209" s="15"/>
      <c r="J4209" s="17">
        <v>385</v>
      </c>
      <c r="K4209" s="15" t="s">
        <v>5369</v>
      </c>
      <c r="L4209" s="17">
        <v>1</v>
      </c>
      <c r="M4209" s="17">
        <v>80</v>
      </c>
      <c r="N4209" s="17">
        <v>1</v>
      </c>
      <c r="O4209" s="18">
        <v>817.43</v>
      </c>
      <c r="P4209" s="18">
        <v>670.02</v>
      </c>
      <c r="Q4209" s="18">
        <v>694.82</v>
      </c>
      <c r="R4209" s="18">
        <v>569.52</v>
      </c>
      <c r="S4209" s="18">
        <v>555.85</v>
      </c>
      <c r="T4209" s="18">
        <v>455.61</v>
      </c>
      <c r="U4209" s="16"/>
      <c r="V4209" s="16"/>
      <c r="W4209" s="16" t="s">
        <v>40</v>
      </c>
      <c r="X4209" s="19">
        <v>0.27400000000000002</v>
      </c>
      <c r="Y4209" s="20">
        <v>3.3799999999999998E-4</v>
      </c>
      <c r="Z4209" s="21">
        <v>4601004174740</v>
      </c>
    </row>
    <row r="4210" spans="1:26" ht="12" customHeight="1" outlineLevel="4" x14ac:dyDescent="0.2">
      <c r="A4210" s="14" t="s">
        <v>8185</v>
      </c>
      <c r="B4210" s="26" t="s">
        <v>8186</v>
      </c>
      <c r="C4210" s="52"/>
      <c r="D4210" s="55">
        <f t="shared" si="65"/>
        <v>0</v>
      </c>
      <c r="E4210" s="63" t="str">
        <f>HYPERLINK("https://www.sds-group.ru/product/nabor-burov-po-betonu-5h110h50-6h110h50-8h160h100mm-3-sht-v-plastikovoy-korobke-hvostovik-KR-91-0404/", "Инфо")</f>
        <v>Инфо</v>
      </c>
      <c r="F4210" s="16" t="s">
        <v>39</v>
      </c>
      <c r="G4210" s="15"/>
      <c r="H4210" s="15"/>
      <c r="I4210" s="15"/>
      <c r="J4210" s="22">
        <v>1069</v>
      </c>
      <c r="K4210" s="15"/>
      <c r="L4210" s="17">
        <v>1</v>
      </c>
      <c r="M4210" s="17">
        <v>100</v>
      </c>
      <c r="N4210" s="17">
        <v>1</v>
      </c>
      <c r="O4210" s="18">
        <v>458.87</v>
      </c>
      <c r="P4210" s="18">
        <v>376.12</v>
      </c>
      <c r="Q4210" s="18">
        <v>390.04</v>
      </c>
      <c r="R4210" s="18">
        <v>319.7</v>
      </c>
      <c r="S4210" s="18">
        <v>312.02999999999997</v>
      </c>
      <c r="T4210" s="18">
        <v>255.76</v>
      </c>
      <c r="U4210" s="16"/>
      <c r="V4210" s="16"/>
      <c r="W4210" s="16" t="s">
        <v>40</v>
      </c>
      <c r="X4210" s="19">
        <v>0.16600000000000001</v>
      </c>
      <c r="Y4210" s="20">
        <v>3.4000000000000002E-4</v>
      </c>
      <c r="Z4210" s="21">
        <v>4601004174757</v>
      </c>
    </row>
    <row r="4211" spans="1:26" ht="12" customHeight="1" outlineLevel="4" x14ac:dyDescent="0.2">
      <c r="A4211" s="14" t="s">
        <v>8187</v>
      </c>
      <c r="B4211" s="26" t="s">
        <v>8188</v>
      </c>
      <c r="C4211" s="52"/>
      <c r="D4211" s="55">
        <f t="shared" si="65"/>
        <v>0</v>
      </c>
      <c r="E4211" s="63" t="str">
        <f>HYPERLINK("https://www.sds-group.ru/product/nabor-dlya-ustanovki-podrozetnikov-hvostovik-sds-plus-5-predmetov-kranz-KR-91-0431/", "Инфо")</f>
        <v>Инфо</v>
      </c>
      <c r="F4211" s="16" t="s">
        <v>39</v>
      </c>
      <c r="G4211" s="15"/>
      <c r="H4211" s="15"/>
      <c r="I4211" s="15"/>
      <c r="J4211" s="17">
        <v>161</v>
      </c>
      <c r="K4211" s="15" t="s">
        <v>5369</v>
      </c>
      <c r="L4211" s="17">
        <v>1</v>
      </c>
      <c r="M4211" s="17">
        <v>4</v>
      </c>
      <c r="N4211" s="17">
        <v>1</v>
      </c>
      <c r="O4211" s="18">
        <v>4784.1099999999997</v>
      </c>
      <c r="P4211" s="18">
        <v>3921.4</v>
      </c>
      <c r="Q4211" s="18">
        <v>3731.61</v>
      </c>
      <c r="R4211" s="18">
        <v>3058.7</v>
      </c>
      <c r="S4211" s="18">
        <v>3253.19</v>
      </c>
      <c r="T4211" s="18">
        <v>2666.55</v>
      </c>
      <c r="U4211" s="16"/>
      <c r="V4211" s="16"/>
      <c r="W4211" s="16" t="s">
        <v>40</v>
      </c>
      <c r="X4211" s="19">
        <v>1.85</v>
      </c>
      <c r="Y4211" s="20">
        <v>5.1630000000000001E-3</v>
      </c>
      <c r="Z4211" s="21">
        <v>4601004199149</v>
      </c>
    </row>
    <row r="4212" spans="1:26" ht="12.95" customHeight="1" outlineLevel="3" x14ac:dyDescent="0.2">
      <c r="A4212" s="76" t="s">
        <v>8189</v>
      </c>
      <c r="B4212" s="76"/>
      <c r="C4212" s="77"/>
      <c r="D4212" s="58"/>
      <c r="E4212" s="68"/>
      <c r="F4212" s="13"/>
      <c r="G4212" s="13"/>
      <c r="H4212" s="13"/>
      <c r="I4212" s="13"/>
      <c r="J4212" s="13"/>
      <c r="K4212" s="13"/>
      <c r="L4212" s="13"/>
      <c r="M4212" s="13"/>
      <c r="N4212" s="13"/>
      <c r="O4212" s="13"/>
      <c r="P4212" s="13"/>
      <c r="Q4212" s="13"/>
      <c r="R4212" s="13"/>
      <c r="S4212" s="13"/>
      <c r="T4212" s="13"/>
      <c r="U4212" s="13"/>
      <c r="V4212" s="13"/>
      <c r="W4212" s="13"/>
      <c r="X4212" s="13"/>
      <c r="Y4212" s="13"/>
      <c r="Z4212" s="13"/>
    </row>
    <row r="4213" spans="1:26" ht="12" customHeight="1" outlineLevel="4" x14ac:dyDescent="0.2">
      <c r="A4213" s="14" t="s">
        <v>8190</v>
      </c>
      <c r="B4213" s="26" t="s">
        <v>8191</v>
      </c>
      <c r="C4213" s="52"/>
      <c r="D4213" s="55">
        <f t="shared" si="65"/>
        <v>0</v>
      </c>
      <c r="E4213" s="63" t="str">
        <f>HYPERLINK("https://www.sds-group.ru/product/bur-po-betonu-10x110x50mm-krestovaya-plastina-hvostovik-sds-plus-kranz-KR-91-0819/", "Инфо")</f>
        <v>Инфо</v>
      </c>
      <c r="F4213" s="16" t="s">
        <v>39</v>
      </c>
      <c r="G4213" s="15"/>
      <c r="H4213" s="15"/>
      <c r="I4213" s="15"/>
      <c r="J4213" s="17">
        <v>23</v>
      </c>
      <c r="K4213" s="15" t="s">
        <v>6798</v>
      </c>
      <c r="L4213" s="17">
        <v>5</v>
      </c>
      <c r="M4213" s="17">
        <v>240</v>
      </c>
      <c r="N4213" s="17">
        <v>5</v>
      </c>
      <c r="O4213" s="18">
        <v>248.01</v>
      </c>
      <c r="P4213" s="18">
        <v>203.29</v>
      </c>
      <c r="Q4213" s="18">
        <v>223.21</v>
      </c>
      <c r="R4213" s="18">
        <v>182.96</v>
      </c>
      <c r="S4213" s="18">
        <v>168.65</v>
      </c>
      <c r="T4213" s="18">
        <v>138.24</v>
      </c>
      <c r="U4213" s="16"/>
      <c r="V4213" s="16"/>
      <c r="W4213" s="16" t="s">
        <v>40</v>
      </c>
      <c r="X4213" s="19">
        <v>6.0999999999999999E-2</v>
      </c>
      <c r="Y4213" s="20">
        <v>1.0900000000000001E-4</v>
      </c>
      <c r="Z4213" s="21">
        <v>4601004174863</v>
      </c>
    </row>
    <row r="4214" spans="1:26" ht="12" customHeight="1" outlineLevel="4" x14ac:dyDescent="0.2">
      <c r="A4214" s="14" t="s">
        <v>8192</v>
      </c>
      <c r="B4214" s="26" t="s">
        <v>8193</v>
      </c>
      <c r="C4214" s="52"/>
      <c r="D4214" s="55">
        <f t="shared" si="65"/>
        <v>0</v>
      </c>
      <c r="E4214" s="63" t="str">
        <f>HYPERLINK("https://www.sds-group.ru/product/bur-po-betonu-10x160x100mm-krestovaya-plastina-hvostovik-sds-plus-kranz-KR-91-0809/", "Инфо")</f>
        <v>Инфо</v>
      </c>
      <c r="F4214" s="16" t="s">
        <v>39</v>
      </c>
      <c r="G4214" s="15"/>
      <c r="H4214" s="15"/>
      <c r="I4214" s="15"/>
      <c r="J4214" s="22">
        <v>2109</v>
      </c>
      <c r="K4214" s="15"/>
      <c r="L4214" s="17">
        <v>5</v>
      </c>
      <c r="M4214" s="17">
        <v>240</v>
      </c>
      <c r="N4214" s="17">
        <v>5</v>
      </c>
      <c r="O4214" s="18">
        <v>240.13</v>
      </c>
      <c r="P4214" s="18">
        <v>196.83</v>
      </c>
      <c r="Q4214" s="18">
        <v>216.12</v>
      </c>
      <c r="R4214" s="18">
        <v>177.15</v>
      </c>
      <c r="S4214" s="18">
        <v>163.29</v>
      </c>
      <c r="T4214" s="18">
        <v>133.84</v>
      </c>
      <c r="U4214" s="16"/>
      <c r="V4214" s="16"/>
      <c r="W4214" s="16" t="s">
        <v>40</v>
      </c>
      <c r="X4214" s="19">
        <v>0.08</v>
      </c>
      <c r="Y4214" s="20">
        <v>1.13E-4</v>
      </c>
      <c r="Z4214" s="21">
        <v>4601004174870</v>
      </c>
    </row>
    <row r="4215" spans="1:26" ht="12" customHeight="1" outlineLevel="4" x14ac:dyDescent="0.2">
      <c r="A4215" s="14" t="s">
        <v>8194</v>
      </c>
      <c r="B4215" s="26" t="s">
        <v>8195</v>
      </c>
      <c r="C4215" s="52"/>
      <c r="D4215" s="55">
        <f t="shared" si="65"/>
        <v>0</v>
      </c>
      <c r="E4215" s="63" t="str">
        <f>HYPERLINK("https://www.sds-group.ru/product/bur-po-betonu-10x210x150mm-krestovaya-plastina-hvostovik-sds-plus-kranz-KR-91-0810/", "Инфо")</f>
        <v>Инфо</v>
      </c>
      <c r="F4215" s="16" t="s">
        <v>39</v>
      </c>
      <c r="G4215" s="15"/>
      <c r="H4215" s="15"/>
      <c r="I4215" s="15"/>
      <c r="J4215" s="22">
        <v>1385</v>
      </c>
      <c r="K4215" s="15"/>
      <c r="L4215" s="17">
        <v>5</v>
      </c>
      <c r="M4215" s="17">
        <v>120</v>
      </c>
      <c r="N4215" s="17">
        <v>5</v>
      </c>
      <c r="O4215" s="18">
        <v>298.73</v>
      </c>
      <c r="P4215" s="18">
        <v>244.86</v>
      </c>
      <c r="Q4215" s="18">
        <v>268.86</v>
      </c>
      <c r="R4215" s="18">
        <v>220.38</v>
      </c>
      <c r="S4215" s="18">
        <v>203.14</v>
      </c>
      <c r="T4215" s="18">
        <v>166.51</v>
      </c>
      <c r="U4215" s="16"/>
      <c r="V4215" s="16"/>
      <c r="W4215" s="16" t="s">
        <v>40</v>
      </c>
      <c r="X4215" s="19">
        <v>0.1</v>
      </c>
      <c r="Y4215" s="20">
        <v>1.55E-4</v>
      </c>
      <c r="Z4215" s="21">
        <v>4601004174887</v>
      </c>
    </row>
    <row r="4216" spans="1:26" ht="12" customHeight="1" outlineLevel="4" x14ac:dyDescent="0.2">
      <c r="A4216" s="32" t="s">
        <v>8196</v>
      </c>
      <c r="B4216" s="74" t="s">
        <v>8197</v>
      </c>
      <c r="C4216" s="50"/>
      <c r="D4216" s="53">
        <f t="shared" si="65"/>
        <v>0</v>
      </c>
      <c r="E4216" s="60" t="str">
        <f>HYPERLINK("https://www.sds-group.ru/product/bur-po-betonu-10x260x200mm-krestovaya-plastina-hvostovik-sds-plus-kranz-KR-91-0811/", "Инфо")</f>
        <v>Инфо</v>
      </c>
      <c r="F4216" s="34" t="s">
        <v>39</v>
      </c>
      <c r="G4216" s="33"/>
      <c r="H4216" s="33" t="s">
        <v>40</v>
      </c>
      <c r="I4216" s="33"/>
      <c r="J4216" s="35">
        <v>332</v>
      </c>
      <c r="K4216" s="33"/>
      <c r="L4216" s="35">
        <v>1</v>
      </c>
      <c r="M4216" s="35">
        <v>120</v>
      </c>
      <c r="N4216" s="35">
        <v>1</v>
      </c>
      <c r="O4216" s="36">
        <v>190.59</v>
      </c>
      <c r="P4216" s="36">
        <v>156.22</v>
      </c>
      <c r="Q4216" s="36">
        <v>133.41</v>
      </c>
      <c r="R4216" s="36">
        <v>109.35</v>
      </c>
      <c r="S4216" s="36">
        <v>129.6</v>
      </c>
      <c r="T4216" s="36">
        <v>106.23</v>
      </c>
      <c r="U4216" s="34"/>
      <c r="V4216" s="34"/>
      <c r="W4216" s="34"/>
      <c r="X4216" s="37">
        <v>0.114</v>
      </c>
      <c r="Y4216" s="38">
        <v>1.6100000000000001E-4</v>
      </c>
      <c r="Z4216" s="21">
        <v>4601004174894</v>
      </c>
    </row>
    <row r="4217" spans="1:26" ht="12" customHeight="1" outlineLevel="4" x14ac:dyDescent="0.2">
      <c r="A4217" s="14" t="s">
        <v>8198</v>
      </c>
      <c r="B4217" s="26" t="s">
        <v>8199</v>
      </c>
      <c r="C4217" s="52"/>
      <c r="D4217" s="55">
        <f t="shared" si="65"/>
        <v>0</v>
      </c>
      <c r="E4217" s="63" t="str">
        <f>HYPERLINK("https://www.sds-group.ru/product/bur-po-betonu-10x310x250mm-krestovaya-plastina-hvostovik-sds-plus-kranz-KR-91-0812/", "Инфо")</f>
        <v>Инфо</v>
      </c>
      <c r="F4217" s="16" t="s">
        <v>39</v>
      </c>
      <c r="G4217" s="15"/>
      <c r="H4217" s="15"/>
      <c r="I4217" s="15"/>
      <c r="J4217" s="22">
        <v>2222</v>
      </c>
      <c r="K4217" s="15"/>
      <c r="L4217" s="17">
        <v>5</v>
      </c>
      <c r="M4217" s="17">
        <v>120</v>
      </c>
      <c r="N4217" s="17">
        <v>5</v>
      </c>
      <c r="O4217" s="18">
        <v>409.75</v>
      </c>
      <c r="P4217" s="18">
        <v>335.86</v>
      </c>
      <c r="Q4217" s="18">
        <v>368.78</v>
      </c>
      <c r="R4217" s="18">
        <v>302.27999999999997</v>
      </c>
      <c r="S4217" s="18">
        <v>278.63</v>
      </c>
      <c r="T4217" s="18">
        <v>228.39</v>
      </c>
      <c r="U4217" s="16"/>
      <c r="V4217" s="16"/>
      <c r="W4217" s="16" t="s">
        <v>40</v>
      </c>
      <c r="X4217" s="19">
        <v>0.13200000000000001</v>
      </c>
      <c r="Y4217" s="20">
        <v>1.7200000000000001E-4</v>
      </c>
      <c r="Z4217" s="21">
        <v>4601004174900</v>
      </c>
    </row>
    <row r="4218" spans="1:26" ht="12" customHeight="1" outlineLevel="4" x14ac:dyDescent="0.2">
      <c r="A4218" s="14" t="s">
        <v>8200</v>
      </c>
      <c r="B4218" s="26" t="s">
        <v>8201</v>
      </c>
      <c r="C4218" s="52"/>
      <c r="D4218" s="55">
        <f t="shared" si="65"/>
        <v>0</v>
      </c>
      <c r="E4218" s="63" t="str">
        <f>HYPERLINK("https://www.sds-group.ru/product/bur-po-betonu-10x350x290mm-krestovaya-plastina-hvostovik-sds-plus-kranz-KR-91-0825/", "Инфо")</f>
        <v>Инфо</v>
      </c>
      <c r="F4218" s="16" t="s">
        <v>39</v>
      </c>
      <c r="G4218" s="15"/>
      <c r="H4218" s="15"/>
      <c r="I4218" s="15"/>
      <c r="J4218" s="17">
        <v>979</v>
      </c>
      <c r="K4218" s="15"/>
      <c r="L4218" s="17">
        <v>5</v>
      </c>
      <c r="M4218" s="17">
        <v>90</v>
      </c>
      <c r="N4218" s="17">
        <v>5</v>
      </c>
      <c r="O4218" s="18">
        <v>412.82</v>
      </c>
      <c r="P4218" s="18">
        <v>338.38</v>
      </c>
      <c r="Q4218" s="18">
        <v>371.54</v>
      </c>
      <c r="R4218" s="18">
        <v>304.54000000000002</v>
      </c>
      <c r="S4218" s="18">
        <v>280.72000000000003</v>
      </c>
      <c r="T4218" s="18">
        <v>230.1</v>
      </c>
      <c r="U4218" s="16"/>
      <c r="V4218" s="16"/>
      <c r="W4218" s="16" t="s">
        <v>40</v>
      </c>
      <c r="X4218" s="19">
        <v>0.14799999999999999</v>
      </c>
      <c r="Y4218" s="20">
        <v>2.04E-4</v>
      </c>
      <c r="Z4218" s="21">
        <v>4601004174917</v>
      </c>
    </row>
    <row r="4219" spans="1:26" ht="12" customHeight="1" outlineLevel="4" x14ac:dyDescent="0.2">
      <c r="A4219" s="14" t="s">
        <v>8202</v>
      </c>
      <c r="B4219" s="26" t="s">
        <v>8203</v>
      </c>
      <c r="C4219" s="52"/>
      <c r="D4219" s="55">
        <f t="shared" si="65"/>
        <v>0</v>
      </c>
      <c r="E4219" s="63" t="str">
        <f>HYPERLINK("https://www.sds-group.ru/product/bur-po-betonu-10x460x400mm-krestovaya-plastina-hvostovik-sds-plus-kranz-KR-91-0826/", "Инфо")</f>
        <v>Инфо</v>
      </c>
      <c r="F4219" s="16" t="s">
        <v>39</v>
      </c>
      <c r="G4219" s="15"/>
      <c r="H4219" s="15"/>
      <c r="I4219" s="15"/>
      <c r="J4219" s="17">
        <v>745</v>
      </c>
      <c r="K4219" s="15"/>
      <c r="L4219" s="17">
        <v>5</v>
      </c>
      <c r="M4219" s="17">
        <v>80</v>
      </c>
      <c r="N4219" s="17">
        <v>5</v>
      </c>
      <c r="O4219" s="18">
        <v>485.42</v>
      </c>
      <c r="P4219" s="18">
        <v>397.89</v>
      </c>
      <c r="Q4219" s="18">
        <v>412.61</v>
      </c>
      <c r="R4219" s="18">
        <v>338.2</v>
      </c>
      <c r="S4219" s="18">
        <v>330.09</v>
      </c>
      <c r="T4219" s="18">
        <v>270.57</v>
      </c>
      <c r="U4219" s="16"/>
      <c r="V4219" s="16"/>
      <c r="W4219" s="16" t="s">
        <v>40</v>
      </c>
      <c r="X4219" s="19">
        <v>0.187</v>
      </c>
      <c r="Y4219" s="20">
        <v>2.3599999999999999E-4</v>
      </c>
      <c r="Z4219" s="21">
        <v>4601004174924</v>
      </c>
    </row>
    <row r="4220" spans="1:26" ht="12" customHeight="1" outlineLevel="4" x14ac:dyDescent="0.2">
      <c r="A4220" s="14" t="s">
        <v>8204</v>
      </c>
      <c r="B4220" s="26" t="s">
        <v>8205</v>
      </c>
      <c r="C4220" s="52"/>
      <c r="D4220" s="55">
        <f t="shared" si="65"/>
        <v>0</v>
      </c>
      <c r="E4220" s="63" t="str">
        <f>HYPERLINK("https://www.sds-group.ru/product/bur-po-betonu-12x160x100mm-krestovaya-plastina-hvostovik-sds-plus-kranz-KR-91-0821/", "Инфо")</f>
        <v>Инфо</v>
      </c>
      <c r="F4220" s="16" t="s">
        <v>39</v>
      </c>
      <c r="G4220" s="15"/>
      <c r="H4220" s="15"/>
      <c r="I4220" s="15"/>
      <c r="J4220" s="22">
        <v>1102</v>
      </c>
      <c r="K4220" s="15"/>
      <c r="L4220" s="17">
        <v>5</v>
      </c>
      <c r="M4220" s="17">
        <v>240</v>
      </c>
      <c r="N4220" s="17">
        <v>5</v>
      </c>
      <c r="O4220" s="18">
        <v>273.37</v>
      </c>
      <c r="P4220" s="18">
        <v>224.07</v>
      </c>
      <c r="Q4220" s="18">
        <v>246.03</v>
      </c>
      <c r="R4220" s="18">
        <v>201.66</v>
      </c>
      <c r="S4220" s="18">
        <v>185.89</v>
      </c>
      <c r="T4220" s="18">
        <v>152.37</v>
      </c>
      <c r="U4220" s="16"/>
      <c r="V4220" s="16"/>
      <c r="W4220" s="16" t="s">
        <v>40</v>
      </c>
      <c r="X4220" s="19">
        <v>0.09</v>
      </c>
      <c r="Y4220" s="20">
        <v>1.12E-4</v>
      </c>
      <c r="Z4220" s="21">
        <v>4601004174931</v>
      </c>
    </row>
    <row r="4221" spans="1:26" ht="12" customHeight="1" outlineLevel="4" x14ac:dyDescent="0.2">
      <c r="A4221" s="14" t="s">
        <v>8206</v>
      </c>
      <c r="B4221" s="26" t="s">
        <v>8207</v>
      </c>
      <c r="C4221" s="52"/>
      <c r="D4221" s="55">
        <f t="shared" si="65"/>
        <v>0</v>
      </c>
      <c r="E4221" s="63" t="str">
        <f>HYPERLINK("https://www.sds-group.ru/product/bur-po-betonu-12x210x150mm-krestovaya-plastina-hvostovik-sds-plus-kranz-KR-91-0822/", "Инфо")</f>
        <v>Инфо</v>
      </c>
      <c r="F4221" s="16" t="s">
        <v>39</v>
      </c>
      <c r="G4221" s="15"/>
      <c r="H4221" s="15"/>
      <c r="I4221" s="15"/>
      <c r="J4221" s="17">
        <v>476</v>
      </c>
      <c r="K4221" s="15"/>
      <c r="L4221" s="17">
        <v>5</v>
      </c>
      <c r="M4221" s="17">
        <v>120</v>
      </c>
      <c r="N4221" s="17">
        <v>5</v>
      </c>
      <c r="O4221" s="18">
        <v>318.94</v>
      </c>
      <c r="P4221" s="18">
        <v>261.43</v>
      </c>
      <c r="Q4221" s="18">
        <v>287.05</v>
      </c>
      <c r="R4221" s="18">
        <v>235.29</v>
      </c>
      <c r="S4221" s="18">
        <v>216.88</v>
      </c>
      <c r="T4221" s="18">
        <v>177.77</v>
      </c>
      <c r="U4221" s="16"/>
      <c r="V4221" s="16"/>
      <c r="W4221" s="16" t="s">
        <v>40</v>
      </c>
      <c r="X4221" s="19">
        <v>0.113</v>
      </c>
      <c r="Y4221" s="20">
        <v>1.3799999999999999E-4</v>
      </c>
      <c r="Z4221" s="21">
        <v>4601004174948</v>
      </c>
    </row>
    <row r="4222" spans="1:26" ht="12" customHeight="1" outlineLevel="4" x14ac:dyDescent="0.2">
      <c r="A4222" s="14" t="s">
        <v>8208</v>
      </c>
      <c r="B4222" s="26" t="s">
        <v>8209</v>
      </c>
      <c r="C4222" s="52"/>
      <c r="D4222" s="55">
        <f t="shared" si="65"/>
        <v>0</v>
      </c>
      <c r="E4222" s="63" t="str">
        <f>HYPERLINK("https://www.sds-group.ru/product/bur-po-betonu-12x260x200mm-krestovaya-plastina-hvostovik-sds-plus-kranz-KR-91-0823/", "Инфо")</f>
        <v>Инфо</v>
      </c>
      <c r="F4222" s="16" t="s">
        <v>39</v>
      </c>
      <c r="G4222" s="15"/>
      <c r="H4222" s="15"/>
      <c r="I4222" s="15"/>
      <c r="J4222" s="17">
        <v>386</v>
      </c>
      <c r="K4222" s="15"/>
      <c r="L4222" s="17">
        <v>5</v>
      </c>
      <c r="M4222" s="17">
        <v>120</v>
      </c>
      <c r="N4222" s="17">
        <v>5</v>
      </c>
      <c r="O4222" s="18">
        <v>391</v>
      </c>
      <c r="P4222" s="18">
        <v>320.49</v>
      </c>
      <c r="Q4222" s="18">
        <v>351.9</v>
      </c>
      <c r="R4222" s="18">
        <v>288.44</v>
      </c>
      <c r="S4222" s="18">
        <v>265.88</v>
      </c>
      <c r="T4222" s="18">
        <v>217.93</v>
      </c>
      <c r="U4222" s="16"/>
      <c r="V4222" s="16"/>
      <c r="W4222" s="16" t="s">
        <v>40</v>
      </c>
      <c r="X4222" s="19">
        <v>0.13400000000000001</v>
      </c>
      <c r="Y4222" s="20">
        <v>1.5100000000000001E-4</v>
      </c>
      <c r="Z4222" s="21">
        <v>4601004174955</v>
      </c>
    </row>
    <row r="4223" spans="1:26" ht="12" customHeight="1" outlineLevel="4" x14ac:dyDescent="0.2">
      <c r="A4223" s="32" t="s">
        <v>8210</v>
      </c>
      <c r="B4223" s="74" t="s">
        <v>8211</v>
      </c>
      <c r="C4223" s="50"/>
      <c r="D4223" s="53">
        <f t="shared" si="65"/>
        <v>0</v>
      </c>
      <c r="E4223" s="60" t="str">
        <f>HYPERLINK("https://www.sds-group.ru/product/bur-po-betonu-12x460x400mm-krestovaya-plastina-hvostovik-sds-plus-kranz-KR-91-0103/", "Инфо")</f>
        <v>Инфо</v>
      </c>
      <c r="F4223" s="34" t="s">
        <v>39</v>
      </c>
      <c r="G4223" s="33"/>
      <c r="H4223" s="33" t="s">
        <v>40</v>
      </c>
      <c r="I4223" s="33"/>
      <c r="J4223" s="35">
        <v>553</v>
      </c>
      <c r="K4223" s="33"/>
      <c r="L4223" s="35">
        <v>1</v>
      </c>
      <c r="M4223" s="35">
        <v>80</v>
      </c>
      <c r="N4223" s="35">
        <v>1</v>
      </c>
      <c r="O4223" s="36">
        <v>479.16</v>
      </c>
      <c r="P4223" s="36">
        <v>392.75</v>
      </c>
      <c r="Q4223" s="36">
        <v>407.29</v>
      </c>
      <c r="R4223" s="36">
        <v>333.84</v>
      </c>
      <c r="S4223" s="36">
        <v>325.83</v>
      </c>
      <c r="T4223" s="36">
        <v>267.07</v>
      </c>
      <c r="U4223" s="34"/>
      <c r="V4223" s="34"/>
      <c r="W4223" s="34" t="s">
        <v>40</v>
      </c>
      <c r="X4223" s="37">
        <v>0.223</v>
      </c>
      <c r="Y4223" s="38">
        <v>2.3599999999999999E-4</v>
      </c>
      <c r="Z4223" s="21">
        <v>4601004199408</v>
      </c>
    </row>
    <row r="4224" spans="1:26" ht="12" customHeight="1" outlineLevel="4" x14ac:dyDescent="0.2">
      <c r="A4224" s="14" t="s">
        <v>8212</v>
      </c>
      <c r="B4224" s="26" t="s">
        <v>8213</v>
      </c>
      <c r="C4224" s="52"/>
      <c r="D4224" s="55">
        <f t="shared" si="65"/>
        <v>0</v>
      </c>
      <c r="E4224" s="63" t="str">
        <f>HYPERLINK("https://www.sds-group.ru/product/bur-po-betonu-14x210x150mm-krestovaya-plastina-hvostovik-sds-plus-kranz-KR-91-0835/", "Инфо")</f>
        <v>Инфо</v>
      </c>
      <c r="F4224" s="16" t="s">
        <v>39</v>
      </c>
      <c r="G4224" s="15"/>
      <c r="H4224" s="15"/>
      <c r="I4224" s="15"/>
      <c r="J4224" s="16" t="s">
        <v>100</v>
      </c>
      <c r="K4224" s="15" t="s">
        <v>5369</v>
      </c>
      <c r="L4224" s="17">
        <v>1</v>
      </c>
      <c r="M4224" s="17">
        <v>120</v>
      </c>
      <c r="N4224" s="17">
        <v>1</v>
      </c>
      <c r="O4224" s="18">
        <v>433.28</v>
      </c>
      <c r="P4224" s="18">
        <v>355.15</v>
      </c>
      <c r="Q4224" s="18">
        <v>368.29</v>
      </c>
      <c r="R4224" s="18">
        <v>301.88</v>
      </c>
      <c r="S4224" s="18">
        <v>294.63</v>
      </c>
      <c r="T4224" s="18">
        <v>241.5</v>
      </c>
      <c r="U4224" s="16"/>
      <c r="V4224" s="16"/>
      <c r="W4224" s="16" t="s">
        <v>40</v>
      </c>
      <c r="X4224" s="19">
        <v>0.14699999999999999</v>
      </c>
      <c r="Y4224" s="20">
        <v>1.44E-4</v>
      </c>
      <c r="Z4224" s="21">
        <v>4601004199262</v>
      </c>
    </row>
    <row r="4225" spans="1:26" ht="12" customHeight="1" outlineLevel="4" x14ac:dyDescent="0.2">
      <c r="A4225" s="32" t="s">
        <v>8214</v>
      </c>
      <c r="B4225" s="74" t="s">
        <v>8215</v>
      </c>
      <c r="C4225" s="50"/>
      <c r="D4225" s="53">
        <f t="shared" si="65"/>
        <v>0</v>
      </c>
      <c r="E4225" s="60" t="str">
        <f>HYPERLINK("https://www.sds-group.ru/product/bur-po-betonu-14x260x200mm-krestovaya-plastina-hvostovik-sds-plus-kranz-KR-91-0837/", "Инфо")</f>
        <v>Инфо</v>
      </c>
      <c r="F4225" s="34" t="s">
        <v>39</v>
      </c>
      <c r="G4225" s="33"/>
      <c r="H4225" s="33" t="s">
        <v>40</v>
      </c>
      <c r="I4225" s="33"/>
      <c r="J4225" s="39">
        <v>1054</v>
      </c>
      <c r="K4225" s="33"/>
      <c r="L4225" s="35">
        <v>10</v>
      </c>
      <c r="M4225" s="35">
        <v>120</v>
      </c>
      <c r="N4225" s="35">
        <v>10</v>
      </c>
      <c r="O4225" s="36">
        <v>402.7</v>
      </c>
      <c r="P4225" s="36">
        <v>330.08</v>
      </c>
      <c r="Q4225" s="36">
        <v>342.3</v>
      </c>
      <c r="R4225" s="36">
        <v>280.57</v>
      </c>
      <c r="S4225" s="36">
        <v>273.83999999999997</v>
      </c>
      <c r="T4225" s="36">
        <v>224.46</v>
      </c>
      <c r="U4225" s="34"/>
      <c r="V4225" s="34"/>
      <c r="W4225" s="34" t="s">
        <v>40</v>
      </c>
      <c r="X4225" s="37">
        <v>0.18</v>
      </c>
      <c r="Y4225" s="38">
        <v>1.54E-4</v>
      </c>
      <c r="Z4225" s="21">
        <v>4601004199309</v>
      </c>
    </row>
    <row r="4226" spans="1:26" ht="12" customHeight="1" outlineLevel="4" x14ac:dyDescent="0.2">
      <c r="A4226" s="14" t="s">
        <v>8216</v>
      </c>
      <c r="B4226" s="26" t="s">
        <v>8217</v>
      </c>
      <c r="C4226" s="52"/>
      <c r="D4226" s="55">
        <f t="shared" si="65"/>
        <v>0</v>
      </c>
      <c r="E4226" s="63" t="str">
        <f>HYPERLINK("https://www.sds-group.ru/product/bur-po-betonu-14x310x250mm-krestovaya-plastina-hvostovik-sds-plus-kranz-KR-91-0101/", "Инфо")</f>
        <v>Инфо</v>
      </c>
      <c r="F4226" s="16" t="s">
        <v>39</v>
      </c>
      <c r="G4226" s="15"/>
      <c r="H4226" s="15"/>
      <c r="I4226" s="15"/>
      <c r="J4226" s="22">
        <v>1252</v>
      </c>
      <c r="K4226" s="15"/>
      <c r="L4226" s="17">
        <v>5</v>
      </c>
      <c r="M4226" s="17">
        <v>100</v>
      </c>
      <c r="N4226" s="17">
        <v>5</v>
      </c>
      <c r="O4226" s="18">
        <v>512.04999999999995</v>
      </c>
      <c r="P4226" s="18">
        <v>419.71</v>
      </c>
      <c r="Q4226" s="18">
        <v>435.24</v>
      </c>
      <c r="R4226" s="18">
        <v>356.75</v>
      </c>
      <c r="S4226" s="18">
        <v>348.19</v>
      </c>
      <c r="T4226" s="18">
        <v>285.39999999999998</v>
      </c>
      <c r="U4226" s="16"/>
      <c r="V4226" s="16"/>
      <c r="W4226" s="16" t="s">
        <v>40</v>
      </c>
      <c r="X4226" s="19">
        <v>0.20599999999999999</v>
      </c>
      <c r="Y4226" s="20">
        <v>1.2899999999999999E-4</v>
      </c>
      <c r="Z4226" s="21">
        <v>4601004199347</v>
      </c>
    </row>
    <row r="4227" spans="1:26" ht="12" customHeight="1" outlineLevel="4" x14ac:dyDescent="0.2">
      <c r="A4227" s="14" t="s">
        <v>8218</v>
      </c>
      <c r="B4227" s="26" t="s">
        <v>8219</v>
      </c>
      <c r="C4227" s="52"/>
      <c r="D4227" s="55">
        <f t="shared" si="65"/>
        <v>0</v>
      </c>
      <c r="E4227" s="63" t="str">
        <f>HYPERLINK("https://www.sds-group.ru/product/bur-po-betonu-16x210x150mm-krestovaya-plastina-hvostovik-sds-plus-kranz-KR-91-0836/", "Инфо")</f>
        <v>Инфо</v>
      </c>
      <c r="F4227" s="16" t="s">
        <v>39</v>
      </c>
      <c r="G4227" s="15"/>
      <c r="H4227" s="15"/>
      <c r="I4227" s="15"/>
      <c r="J4227" s="17">
        <v>356</v>
      </c>
      <c r="K4227" s="15"/>
      <c r="L4227" s="17">
        <v>1</v>
      </c>
      <c r="M4227" s="17">
        <v>120</v>
      </c>
      <c r="N4227" s="17">
        <v>1</v>
      </c>
      <c r="O4227" s="18">
        <v>548.47</v>
      </c>
      <c r="P4227" s="18">
        <v>449.57</v>
      </c>
      <c r="Q4227" s="18">
        <v>466.2</v>
      </c>
      <c r="R4227" s="18">
        <v>382.13</v>
      </c>
      <c r="S4227" s="18">
        <v>372.96</v>
      </c>
      <c r="T4227" s="18">
        <v>305.7</v>
      </c>
      <c r="U4227" s="16"/>
      <c r="V4227" s="16"/>
      <c r="W4227" s="16" t="s">
        <v>40</v>
      </c>
      <c r="X4227" s="19">
        <v>0.16</v>
      </c>
      <c r="Y4227" s="20">
        <v>1.4899999999999999E-4</v>
      </c>
      <c r="Z4227" s="21">
        <v>4601004199286</v>
      </c>
    </row>
    <row r="4228" spans="1:26" ht="12" customHeight="1" outlineLevel="4" x14ac:dyDescent="0.2">
      <c r="A4228" s="14" t="s">
        <v>8220</v>
      </c>
      <c r="B4228" s="26" t="s">
        <v>8221</v>
      </c>
      <c r="C4228" s="52"/>
      <c r="D4228" s="55">
        <f t="shared" si="65"/>
        <v>0</v>
      </c>
      <c r="E4228" s="63" t="str">
        <f>HYPERLINK("https://www.sds-group.ru/product/bur-po-betonu-16x310x250mm-krestovaya-plastina-hvostovik-sds-plus-kranz-KR-91-0102/", "Инфо")</f>
        <v>Инфо</v>
      </c>
      <c r="F4228" s="16" t="s">
        <v>39</v>
      </c>
      <c r="G4228" s="15"/>
      <c r="H4228" s="15"/>
      <c r="I4228" s="15"/>
      <c r="J4228" s="17">
        <v>694</v>
      </c>
      <c r="K4228" s="15"/>
      <c r="L4228" s="17">
        <v>1</v>
      </c>
      <c r="M4228" s="17">
        <v>120</v>
      </c>
      <c r="N4228" s="17">
        <v>1</v>
      </c>
      <c r="O4228" s="18">
        <v>598.19000000000005</v>
      </c>
      <c r="P4228" s="18">
        <v>490.32</v>
      </c>
      <c r="Q4228" s="18">
        <v>508.46</v>
      </c>
      <c r="R4228" s="18">
        <v>416.77</v>
      </c>
      <c r="S4228" s="18">
        <v>406.77</v>
      </c>
      <c r="T4228" s="18">
        <v>333.42</v>
      </c>
      <c r="U4228" s="16"/>
      <c r="V4228" s="16"/>
      <c r="W4228" s="16" t="s">
        <v>40</v>
      </c>
      <c r="X4228" s="19">
        <v>0.23499999999999999</v>
      </c>
      <c r="Y4228" s="20">
        <v>1.2899999999999999E-4</v>
      </c>
      <c r="Z4228" s="21">
        <v>4601004199361</v>
      </c>
    </row>
    <row r="4229" spans="1:26" ht="12" customHeight="1" outlineLevel="4" x14ac:dyDescent="0.2">
      <c r="A4229" s="14" t="s">
        <v>8222</v>
      </c>
      <c r="B4229" s="26" t="s">
        <v>8223</v>
      </c>
      <c r="C4229" s="52"/>
      <c r="D4229" s="55">
        <f t="shared" si="65"/>
        <v>0</v>
      </c>
      <c r="E4229" s="63" t="str">
        <f>HYPERLINK("https://www.sds-group.ru/product/bur-po-betonu-5x110x50mm-krestovaya-plastina-hvostovik-sds-plus-kranz-KR-91-0800/", "Инфо")</f>
        <v>Инфо</v>
      </c>
      <c r="F4229" s="16" t="s">
        <v>39</v>
      </c>
      <c r="G4229" s="15"/>
      <c r="H4229" s="15"/>
      <c r="I4229" s="15"/>
      <c r="J4229" s="22">
        <v>1163</v>
      </c>
      <c r="K4229" s="15" t="s">
        <v>5369</v>
      </c>
      <c r="L4229" s="17">
        <v>10</v>
      </c>
      <c r="M4229" s="17">
        <v>240</v>
      </c>
      <c r="N4229" s="17">
        <v>10</v>
      </c>
      <c r="O4229" s="18">
        <v>130.46</v>
      </c>
      <c r="P4229" s="18">
        <v>106.93</v>
      </c>
      <c r="Q4229" s="18">
        <v>117.41</v>
      </c>
      <c r="R4229" s="18">
        <v>96.24</v>
      </c>
      <c r="S4229" s="18">
        <v>88.71</v>
      </c>
      <c r="T4229" s="18">
        <v>72.709999999999994</v>
      </c>
      <c r="U4229" s="16"/>
      <c r="V4229" s="16"/>
      <c r="W4229" s="16" t="s">
        <v>40</v>
      </c>
      <c r="X4229" s="19">
        <v>4.4999999999999998E-2</v>
      </c>
      <c r="Y4229" s="20">
        <v>1.17E-4</v>
      </c>
      <c r="Z4229" s="21">
        <v>4601004174764</v>
      </c>
    </row>
    <row r="4230" spans="1:26" ht="12" customHeight="1" outlineLevel="4" x14ac:dyDescent="0.2">
      <c r="A4230" s="14" t="s">
        <v>8224</v>
      </c>
      <c r="B4230" s="26" t="s">
        <v>8225</v>
      </c>
      <c r="C4230" s="52"/>
      <c r="D4230" s="55">
        <f t="shared" si="65"/>
        <v>0</v>
      </c>
      <c r="E4230" s="63" t="str">
        <f>HYPERLINK("https://www.sds-group.ru/product/bur-po-betonu-5x160x100mm-krestovaya-plastina-hvostovik-sds-plus-kranz-KR-91-0820/", "Инфо")</f>
        <v>Инфо</v>
      </c>
      <c r="F4230" s="16" t="s">
        <v>39</v>
      </c>
      <c r="G4230" s="15"/>
      <c r="H4230" s="15"/>
      <c r="I4230" s="15"/>
      <c r="J4230" s="22">
        <v>1337</v>
      </c>
      <c r="K4230" s="15"/>
      <c r="L4230" s="17">
        <v>5</v>
      </c>
      <c r="M4230" s="17">
        <v>240</v>
      </c>
      <c r="N4230" s="17">
        <v>5</v>
      </c>
      <c r="O4230" s="18">
        <v>167.15</v>
      </c>
      <c r="P4230" s="18">
        <v>137.01</v>
      </c>
      <c r="Q4230" s="18">
        <v>150.44</v>
      </c>
      <c r="R4230" s="18">
        <v>123.31</v>
      </c>
      <c r="S4230" s="18">
        <v>113.66</v>
      </c>
      <c r="T4230" s="18">
        <v>93.16</v>
      </c>
      <c r="U4230" s="16"/>
      <c r="V4230" s="16"/>
      <c r="W4230" s="16" t="s">
        <v>40</v>
      </c>
      <c r="X4230" s="19">
        <v>5.0999999999999997E-2</v>
      </c>
      <c r="Y4230" s="20">
        <v>1.15E-4</v>
      </c>
      <c r="Z4230" s="21">
        <v>4601004174771</v>
      </c>
    </row>
    <row r="4231" spans="1:26" ht="12" customHeight="1" outlineLevel="4" x14ac:dyDescent="0.2">
      <c r="A4231" s="14" t="s">
        <v>8226</v>
      </c>
      <c r="B4231" s="26" t="s">
        <v>8227</v>
      </c>
      <c r="C4231" s="52"/>
      <c r="D4231" s="55">
        <f t="shared" si="65"/>
        <v>0</v>
      </c>
      <c r="E4231" s="63" t="str">
        <f>HYPERLINK("https://www.sds-group.ru/product/bur-po-betonu-6x110x50mm-krestovaya-plastina-hvostovik-sds-plus-kranz-KR-91-0801/", "Инфо")</f>
        <v>Инфо</v>
      </c>
      <c r="F4231" s="16" t="s">
        <v>39</v>
      </c>
      <c r="G4231" s="15"/>
      <c r="H4231" s="15"/>
      <c r="I4231" s="15"/>
      <c r="J4231" s="22">
        <v>20455</v>
      </c>
      <c r="K4231" s="15" t="s">
        <v>5369</v>
      </c>
      <c r="L4231" s="17">
        <v>5</v>
      </c>
      <c r="M4231" s="17">
        <v>240</v>
      </c>
      <c r="N4231" s="17">
        <v>5</v>
      </c>
      <c r="O4231" s="18">
        <v>169.2</v>
      </c>
      <c r="P4231" s="18">
        <v>138.69</v>
      </c>
      <c r="Q4231" s="18">
        <v>152.28</v>
      </c>
      <c r="R4231" s="18">
        <v>124.82</v>
      </c>
      <c r="S4231" s="18">
        <v>115.06</v>
      </c>
      <c r="T4231" s="18">
        <v>94.31</v>
      </c>
      <c r="U4231" s="16"/>
      <c r="V4231" s="16"/>
      <c r="W4231" s="16" t="s">
        <v>40</v>
      </c>
      <c r="X4231" s="19">
        <v>4.8000000000000001E-2</v>
      </c>
      <c r="Y4231" s="20">
        <v>1.15E-4</v>
      </c>
      <c r="Z4231" s="21">
        <v>4601004174788</v>
      </c>
    </row>
    <row r="4232" spans="1:26" ht="12" customHeight="1" outlineLevel="4" x14ac:dyDescent="0.2">
      <c r="A4232" s="14" t="s">
        <v>8228</v>
      </c>
      <c r="B4232" s="26" t="s">
        <v>8229</v>
      </c>
      <c r="C4232" s="52"/>
      <c r="D4232" s="55">
        <f t="shared" si="65"/>
        <v>0</v>
      </c>
      <c r="E4232" s="63" t="str">
        <f>HYPERLINK("https://www.sds-group.ru/product/bur-po-betonu-6x160x100mm-krestovaya-plastina-hvostovik-sds-plus-kranz-KR-91-0802/", "Инфо")</f>
        <v>Инфо</v>
      </c>
      <c r="F4232" s="16" t="s">
        <v>39</v>
      </c>
      <c r="G4232" s="15"/>
      <c r="H4232" s="15"/>
      <c r="I4232" s="15"/>
      <c r="J4232" s="22">
        <v>1663</v>
      </c>
      <c r="K4232" s="15" t="s">
        <v>5369</v>
      </c>
      <c r="L4232" s="17">
        <v>5</v>
      </c>
      <c r="M4232" s="17">
        <v>240</v>
      </c>
      <c r="N4232" s="17">
        <v>5</v>
      </c>
      <c r="O4232" s="18">
        <v>189.58</v>
      </c>
      <c r="P4232" s="18">
        <v>155.38999999999999</v>
      </c>
      <c r="Q4232" s="18">
        <v>170.62</v>
      </c>
      <c r="R4232" s="18">
        <v>139.85</v>
      </c>
      <c r="S4232" s="18">
        <v>128.91</v>
      </c>
      <c r="T4232" s="18">
        <v>105.66</v>
      </c>
      <c r="U4232" s="16"/>
      <c r="V4232" s="16"/>
      <c r="W4232" s="16" t="s">
        <v>40</v>
      </c>
      <c r="X4232" s="19">
        <v>5.3999999999999999E-2</v>
      </c>
      <c r="Y4232" s="20">
        <v>1.17E-4</v>
      </c>
      <c r="Z4232" s="21">
        <v>4601004174795</v>
      </c>
    </row>
    <row r="4233" spans="1:26" ht="12" customHeight="1" outlineLevel="4" x14ac:dyDescent="0.2">
      <c r="A4233" s="14" t="s">
        <v>8230</v>
      </c>
      <c r="B4233" s="26" t="s">
        <v>8231</v>
      </c>
      <c r="C4233" s="52"/>
      <c r="D4233" s="55">
        <f t="shared" ref="D4233:D4296" si="66">C4233*(O4233-O4233*$G$3)</f>
        <v>0</v>
      </c>
      <c r="E4233" s="63" t="str">
        <f>HYPERLINK("https://www.sds-group.ru/product/bur-po-betonu-6x210x150mm-krestovaya-plastina-hvostovik-sds-plus-kranz-KR-91-0803/", "Инфо")</f>
        <v>Инфо</v>
      </c>
      <c r="F4233" s="16" t="s">
        <v>39</v>
      </c>
      <c r="G4233" s="15"/>
      <c r="H4233" s="15"/>
      <c r="I4233" s="15"/>
      <c r="J4233" s="22">
        <v>1371</v>
      </c>
      <c r="K4233" s="15" t="s">
        <v>5369</v>
      </c>
      <c r="L4233" s="17">
        <v>5</v>
      </c>
      <c r="M4233" s="17">
        <v>240</v>
      </c>
      <c r="N4233" s="17">
        <v>5</v>
      </c>
      <c r="O4233" s="18">
        <v>217.49</v>
      </c>
      <c r="P4233" s="18">
        <v>178.27</v>
      </c>
      <c r="Q4233" s="18">
        <v>195.74</v>
      </c>
      <c r="R4233" s="18">
        <v>160.44</v>
      </c>
      <c r="S4233" s="18">
        <v>147.88999999999999</v>
      </c>
      <c r="T4233" s="18">
        <v>121.22</v>
      </c>
      <c r="U4233" s="16"/>
      <c r="V4233" s="16"/>
      <c r="W4233" s="16" t="s">
        <v>40</v>
      </c>
      <c r="X4233" s="19">
        <v>6.4000000000000001E-2</v>
      </c>
      <c r="Y4233" s="20">
        <v>1.22E-4</v>
      </c>
      <c r="Z4233" s="21">
        <v>4601004174801</v>
      </c>
    </row>
    <row r="4234" spans="1:26" ht="12" customHeight="1" outlineLevel="4" x14ac:dyDescent="0.2">
      <c r="A4234" s="14" t="s">
        <v>8232</v>
      </c>
      <c r="B4234" s="26" t="s">
        <v>8233</v>
      </c>
      <c r="C4234" s="52"/>
      <c r="D4234" s="55">
        <f t="shared" si="66"/>
        <v>0</v>
      </c>
      <c r="E4234" s="63" t="str">
        <f>HYPERLINK("https://www.sds-group.ru/product/bur-po-betonu-6x260x200mm-krestovaya-plastina-hvostovik-sds-plus-kranz-KR-91-0804/", "Инфо")</f>
        <v>Инфо</v>
      </c>
      <c r="F4234" s="16" t="s">
        <v>39</v>
      </c>
      <c r="G4234" s="15"/>
      <c r="H4234" s="15"/>
      <c r="I4234" s="15"/>
      <c r="J4234" s="17">
        <v>274</v>
      </c>
      <c r="K4234" s="15" t="s">
        <v>6798</v>
      </c>
      <c r="L4234" s="17">
        <v>5</v>
      </c>
      <c r="M4234" s="17">
        <v>120</v>
      </c>
      <c r="N4234" s="17">
        <v>5</v>
      </c>
      <c r="O4234" s="18">
        <v>225.39</v>
      </c>
      <c r="P4234" s="18">
        <v>184.75</v>
      </c>
      <c r="Q4234" s="18">
        <v>202.85</v>
      </c>
      <c r="R4234" s="18">
        <v>166.27</v>
      </c>
      <c r="S4234" s="18">
        <v>153.27000000000001</v>
      </c>
      <c r="T4234" s="18">
        <v>125.63</v>
      </c>
      <c r="U4234" s="16"/>
      <c r="V4234" s="16"/>
      <c r="W4234" s="16" t="s">
        <v>40</v>
      </c>
      <c r="X4234" s="19">
        <v>7.0000000000000007E-2</v>
      </c>
      <c r="Y4234" s="20">
        <v>1.03E-4</v>
      </c>
      <c r="Z4234" s="21">
        <v>4601004174818</v>
      </c>
    </row>
    <row r="4235" spans="1:26" ht="12" customHeight="1" outlineLevel="4" x14ac:dyDescent="0.2">
      <c r="A4235" s="14" t="s">
        <v>8234</v>
      </c>
      <c r="B4235" s="26" t="s">
        <v>8235</v>
      </c>
      <c r="C4235" s="52"/>
      <c r="D4235" s="55">
        <f t="shared" si="66"/>
        <v>0</v>
      </c>
      <c r="E4235" s="63" t="str">
        <f>HYPERLINK("https://www.sds-group.ru/product/bur-po-betonu-8x110x50mm-krestovaya-plastina-hvostovik-sds-plus-kranz-KR-91-0805/", "Инфо")</f>
        <v>Инфо</v>
      </c>
      <c r="F4235" s="16" t="s">
        <v>39</v>
      </c>
      <c r="G4235" s="15"/>
      <c r="H4235" s="15"/>
      <c r="I4235" s="15"/>
      <c r="J4235" s="22">
        <v>1660</v>
      </c>
      <c r="K4235" s="15"/>
      <c r="L4235" s="17">
        <v>5</v>
      </c>
      <c r="M4235" s="17">
        <v>240</v>
      </c>
      <c r="N4235" s="17">
        <v>5</v>
      </c>
      <c r="O4235" s="18">
        <v>192.25</v>
      </c>
      <c r="P4235" s="18">
        <v>157.58000000000001</v>
      </c>
      <c r="Q4235" s="18">
        <v>173.03</v>
      </c>
      <c r="R4235" s="18">
        <v>141.83000000000001</v>
      </c>
      <c r="S4235" s="18">
        <v>130.72999999999999</v>
      </c>
      <c r="T4235" s="18">
        <v>107.16</v>
      </c>
      <c r="U4235" s="16"/>
      <c r="V4235" s="16"/>
      <c r="W4235" s="16" t="s">
        <v>40</v>
      </c>
      <c r="X4235" s="19">
        <v>5.5E-2</v>
      </c>
      <c r="Y4235" s="20">
        <v>1.1E-4</v>
      </c>
      <c r="Z4235" s="21">
        <v>4601004174825</v>
      </c>
    </row>
    <row r="4236" spans="1:26" ht="12" customHeight="1" outlineLevel="4" x14ac:dyDescent="0.2">
      <c r="A4236" s="14" t="s">
        <v>8236</v>
      </c>
      <c r="B4236" s="26" t="s">
        <v>8237</v>
      </c>
      <c r="C4236" s="52"/>
      <c r="D4236" s="55">
        <f t="shared" si="66"/>
        <v>0</v>
      </c>
      <c r="E4236" s="63" t="str">
        <f>HYPERLINK("https://www.sds-group.ru/product/bur-po-betonu-8x160x100mm-krestovaya-plastina-hvostovik-sds-plus-kranz-KR-91-0806/", "Инфо")</f>
        <v>Инфо</v>
      </c>
      <c r="F4236" s="16" t="s">
        <v>39</v>
      </c>
      <c r="G4236" s="15"/>
      <c r="H4236" s="15"/>
      <c r="I4236" s="15"/>
      <c r="J4236" s="17">
        <v>888</v>
      </c>
      <c r="K4236" s="15" t="s">
        <v>5369</v>
      </c>
      <c r="L4236" s="17">
        <v>5</v>
      </c>
      <c r="M4236" s="17">
        <v>240</v>
      </c>
      <c r="N4236" s="17">
        <v>5</v>
      </c>
      <c r="O4236" s="18">
        <v>233.83</v>
      </c>
      <c r="P4236" s="18">
        <v>191.66</v>
      </c>
      <c r="Q4236" s="18">
        <v>210.45</v>
      </c>
      <c r="R4236" s="18">
        <v>172.5</v>
      </c>
      <c r="S4236" s="18">
        <v>159</v>
      </c>
      <c r="T4236" s="18">
        <v>130.33000000000001</v>
      </c>
      <c r="U4236" s="16"/>
      <c r="V4236" s="16"/>
      <c r="W4236" s="16" t="s">
        <v>40</v>
      </c>
      <c r="X4236" s="19">
        <v>6.6000000000000003E-2</v>
      </c>
      <c r="Y4236" s="20">
        <v>1.13E-4</v>
      </c>
      <c r="Z4236" s="21">
        <v>4601004174832</v>
      </c>
    </row>
    <row r="4237" spans="1:26" ht="12" customHeight="1" outlineLevel="4" x14ac:dyDescent="0.2">
      <c r="A4237" s="14" t="s">
        <v>8238</v>
      </c>
      <c r="B4237" s="26" t="s">
        <v>8239</v>
      </c>
      <c r="C4237" s="52"/>
      <c r="D4237" s="55">
        <f t="shared" si="66"/>
        <v>0</v>
      </c>
      <c r="E4237" s="63" t="str">
        <f>HYPERLINK("https://www.sds-group.ru/product/bur-po-betonu-8x210x150mm-krestovaya-plastina-hvostovik-sds-plus-kranz-KR-91-0807/", "Инфо")</f>
        <v>Инфо</v>
      </c>
      <c r="F4237" s="16" t="s">
        <v>39</v>
      </c>
      <c r="G4237" s="15"/>
      <c r="H4237" s="15"/>
      <c r="I4237" s="15"/>
      <c r="J4237" s="22">
        <v>1282</v>
      </c>
      <c r="K4237" s="15"/>
      <c r="L4237" s="17">
        <v>5</v>
      </c>
      <c r="M4237" s="17">
        <v>120</v>
      </c>
      <c r="N4237" s="17">
        <v>5</v>
      </c>
      <c r="O4237" s="18">
        <v>250.59</v>
      </c>
      <c r="P4237" s="18">
        <v>205.4</v>
      </c>
      <c r="Q4237" s="18">
        <v>225.53</v>
      </c>
      <c r="R4237" s="18">
        <v>184.86</v>
      </c>
      <c r="S4237" s="18">
        <v>170.4</v>
      </c>
      <c r="T4237" s="18">
        <v>139.66999999999999</v>
      </c>
      <c r="U4237" s="16"/>
      <c r="V4237" s="16"/>
      <c r="W4237" s="16" t="s">
        <v>40</v>
      </c>
      <c r="X4237" s="19">
        <v>7.8E-2</v>
      </c>
      <c r="Y4237" s="20">
        <v>1.4100000000000001E-4</v>
      </c>
      <c r="Z4237" s="21">
        <v>4601004174849</v>
      </c>
    </row>
    <row r="4238" spans="1:26" ht="12" customHeight="1" outlineLevel="4" x14ac:dyDescent="0.2">
      <c r="A4238" s="14" t="s">
        <v>8240</v>
      </c>
      <c r="B4238" s="26" t="s">
        <v>8241</v>
      </c>
      <c r="C4238" s="52"/>
      <c r="D4238" s="55">
        <f t="shared" si="66"/>
        <v>0</v>
      </c>
      <c r="E4238" s="63" t="str">
        <f>HYPERLINK("https://www.sds-group.ru/product/bur-po-betonu-8x260x200mm-krestovaya-plastina-hvostovik-sds-plus-kranz-KR-91-0808/", "Инфо")</f>
        <v>Инфо</v>
      </c>
      <c r="F4238" s="16" t="s">
        <v>39</v>
      </c>
      <c r="G4238" s="15"/>
      <c r="H4238" s="15"/>
      <c r="I4238" s="15"/>
      <c r="J4238" s="22">
        <v>1304</v>
      </c>
      <c r="K4238" s="15"/>
      <c r="L4238" s="17">
        <v>10</v>
      </c>
      <c r="M4238" s="17">
        <v>120</v>
      </c>
      <c r="N4238" s="17">
        <v>10</v>
      </c>
      <c r="O4238" s="18">
        <v>268.83</v>
      </c>
      <c r="P4238" s="18">
        <v>220.35</v>
      </c>
      <c r="Q4238" s="18">
        <v>241.95</v>
      </c>
      <c r="R4238" s="18">
        <v>198.32</v>
      </c>
      <c r="S4238" s="18">
        <v>182.8</v>
      </c>
      <c r="T4238" s="18">
        <v>149.84</v>
      </c>
      <c r="U4238" s="16"/>
      <c r="V4238" s="16"/>
      <c r="W4238" s="16" t="s">
        <v>40</v>
      </c>
      <c r="X4238" s="19">
        <v>9.1999999999999998E-2</v>
      </c>
      <c r="Y4238" s="20">
        <v>1.8100000000000001E-4</v>
      </c>
      <c r="Z4238" s="21">
        <v>4601004174856</v>
      </c>
    </row>
    <row r="4239" spans="1:26" ht="12" customHeight="1" outlineLevel="4" x14ac:dyDescent="0.2">
      <c r="A4239" s="32" t="s">
        <v>8242</v>
      </c>
      <c r="B4239" s="74" t="s">
        <v>8243</v>
      </c>
      <c r="C4239" s="50"/>
      <c r="D4239" s="53">
        <f t="shared" si="66"/>
        <v>0</v>
      </c>
      <c r="E4239" s="60" t="str">
        <f>HYPERLINK("https://www.sds-group.ru/product/bur-po-betonu-8x310x250mm-krestovaya-plastina-hvostovik-sds-plus-kranz-KR-91-0838/", "Инфо")</f>
        <v>Инфо</v>
      </c>
      <c r="F4239" s="34" t="s">
        <v>39</v>
      </c>
      <c r="G4239" s="33"/>
      <c r="H4239" s="33" t="s">
        <v>40</v>
      </c>
      <c r="I4239" s="33"/>
      <c r="J4239" s="35">
        <v>574</v>
      </c>
      <c r="K4239" s="33"/>
      <c r="L4239" s="35">
        <v>1</v>
      </c>
      <c r="M4239" s="35">
        <v>120</v>
      </c>
      <c r="N4239" s="35">
        <v>1</v>
      </c>
      <c r="O4239" s="36">
        <v>346.06</v>
      </c>
      <c r="P4239" s="36">
        <v>283.66000000000003</v>
      </c>
      <c r="Q4239" s="36">
        <v>311.45</v>
      </c>
      <c r="R4239" s="36">
        <v>255.29</v>
      </c>
      <c r="S4239" s="36">
        <v>235.32</v>
      </c>
      <c r="T4239" s="36">
        <v>192.89</v>
      </c>
      <c r="U4239" s="34"/>
      <c r="V4239" s="34"/>
      <c r="W4239" s="34" t="s">
        <v>40</v>
      </c>
      <c r="X4239" s="37">
        <v>0.107</v>
      </c>
      <c r="Y4239" s="38">
        <v>1.6799999999999999E-4</v>
      </c>
      <c r="Z4239" s="21">
        <v>4601004199323</v>
      </c>
    </row>
    <row r="4240" spans="1:26" ht="12" customHeight="1" outlineLevel="4" x14ac:dyDescent="0.2">
      <c r="A4240" s="32" t="s">
        <v>8244</v>
      </c>
      <c r="B4240" s="74" t="s">
        <v>8245</v>
      </c>
      <c r="C4240" s="50"/>
      <c r="D4240" s="53">
        <f t="shared" si="66"/>
        <v>0</v>
      </c>
      <c r="E4240" s="60" t="str">
        <f>HYPERLINK("https://www.sds-group.ru/product/bur-po-betonu-8x350x290mm-krestovaya-plastina-hvostovik-sds-plus-kranz-KR-91-0839/", "Инфо")</f>
        <v>Инфо</v>
      </c>
      <c r="F4240" s="34" t="s">
        <v>39</v>
      </c>
      <c r="G4240" s="33"/>
      <c r="H4240" s="33" t="s">
        <v>40</v>
      </c>
      <c r="I4240" s="33"/>
      <c r="J4240" s="35">
        <v>1</v>
      </c>
      <c r="K4240" s="33"/>
      <c r="L4240" s="35">
        <v>1</v>
      </c>
      <c r="M4240" s="35">
        <v>120</v>
      </c>
      <c r="N4240" s="35">
        <v>1</v>
      </c>
      <c r="O4240" s="36">
        <v>360.6</v>
      </c>
      <c r="P4240" s="36">
        <v>295.57</v>
      </c>
      <c r="Q4240" s="36">
        <v>252.42</v>
      </c>
      <c r="R4240" s="36">
        <v>206.9</v>
      </c>
      <c r="S4240" s="36">
        <v>245.21</v>
      </c>
      <c r="T4240" s="36">
        <v>200.99</v>
      </c>
      <c r="U4240" s="34"/>
      <c r="V4240" s="34"/>
      <c r="W4240" s="34"/>
      <c r="X4240" s="37">
        <v>0.11700000000000001</v>
      </c>
      <c r="Y4240" s="38">
        <v>1.85E-4</v>
      </c>
      <c r="Z4240" s="21">
        <v>4601004199385</v>
      </c>
    </row>
    <row r="4241" spans="1:26" ht="12" customHeight="1" outlineLevel="4" x14ac:dyDescent="0.2">
      <c r="A4241" s="32" t="s">
        <v>8246</v>
      </c>
      <c r="B4241" s="74" t="s">
        <v>8247</v>
      </c>
      <c r="C4241" s="50"/>
      <c r="D4241" s="53">
        <f t="shared" si="66"/>
        <v>0</v>
      </c>
      <c r="E4241" s="60" t="str">
        <f>HYPERLINK("https://www.sds-group.ru/product/bur-po-betonu-8x460x400mm-krestovaya-plastina-hvostovik-sds-plus-kranz-KR-91-0827/", "Инфо")</f>
        <v>Инфо</v>
      </c>
      <c r="F4241" s="34" t="s">
        <v>39</v>
      </c>
      <c r="G4241" s="33"/>
      <c r="H4241" s="33" t="s">
        <v>40</v>
      </c>
      <c r="I4241" s="33"/>
      <c r="J4241" s="35">
        <v>133</v>
      </c>
      <c r="K4241" s="33"/>
      <c r="L4241" s="35">
        <v>1</v>
      </c>
      <c r="M4241" s="35">
        <v>80</v>
      </c>
      <c r="N4241" s="35">
        <v>1</v>
      </c>
      <c r="O4241" s="36">
        <v>298.52999999999997</v>
      </c>
      <c r="P4241" s="36">
        <v>244.7</v>
      </c>
      <c r="Q4241" s="36">
        <v>208.97</v>
      </c>
      <c r="R4241" s="36">
        <v>171.29</v>
      </c>
      <c r="S4241" s="36">
        <v>203</v>
      </c>
      <c r="T4241" s="36">
        <v>166.39</v>
      </c>
      <c r="U4241" s="34"/>
      <c r="V4241" s="34"/>
      <c r="W4241" s="34"/>
      <c r="X4241" s="37">
        <v>0.14399999999999999</v>
      </c>
      <c r="Y4241" s="38">
        <v>2.8200000000000002E-4</v>
      </c>
      <c r="Z4241" s="21">
        <v>4601004202245</v>
      </c>
    </row>
    <row r="4242" spans="1:26" ht="12" customHeight="1" outlineLevel="4" x14ac:dyDescent="0.2">
      <c r="A4242" s="14" t="s">
        <v>8248</v>
      </c>
      <c r="B4242" s="26" t="s">
        <v>8249</v>
      </c>
      <c r="C4242" s="52"/>
      <c r="D4242" s="55">
        <f t="shared" si="66"/>
        <v>0</v>
      </c>
      <c r="E4242" s="63" t="str">
        <f>HYPERLINK("https://www.sds-group.ru/product/bur-po-betonu-super-10x160mm-professionalnyy-tselnaya-krestovaya-plastina-hvostovik-sds-p-KR-91-0461/", "Инфо")</f>
        <v>Инфо</v>
      </c>
      <c r="F4242" s="16" t="s">
        <v>39</v>
      </c>
      <c r="G4242" s="15"/>
      <c r="H4242" s="15"/>
      <c r="I4242" s="15"/>
      <c r="J4242" s="17">
        <v>572</v>
      </c>
      <c r="K4242" s="15"/>
      <c r="L4242" s="17">
        <v>1</v>
      </c>
      <c r="M4242" s="17">
        <v>240</v>
      </c>
      <c r="N4242" s="17">
        <v>1</v>
      </c>
      <c r="O4242" s="18">
        <v>709.65</v>
      </c>
      <c r="P4242" s="18">
        <v>581.67999999999995</v>
      </c>
      <c r="Q4242" s="18">
        <v>567.72</v>
      </c>
      <c r="R4242" s="18">
        <v>465.34</v>
      </c>
      <c r="S4242" s="18">
        <v>482.56</v>
      </c>
      <c r="T4242" s="18">
        <v>395.54</v>
      </c>
      <c r="U4242" s="16"/>
      <c r="V4242" s="16"/>
      <c r="W4242" s="16" t="s">
        <v>40</v>
      </c>
      <c r="X4242" s="19">
        <v>8.1000000000000003E-2</v>
      </c>
      <c r="Y4242" s="20">
        <v>8.0000000000000007E-5</v>
      </c>
      <c r="Z4242" s="21">
        <v>4601004302990</v>
      </c>
    </row>
    <row r="4243" spans="1:26" ht="12" customHeight="1" outlineLevel="4" x14ac:dyDescent="0.2">
      <c r="A4243" s="14" t="s">
        <v>8250</v>
      </c>
      <c r="B4243" s="26" t="s">
        <v>8251</v>
      </c>
      <c r="C4243" s="52"/>
      <c r="D4243" s="55">
        <f t="shared" si="66"/>
        <v>0</v>
      </c>
      <c r="E4243" s="63" t="str">
        <f>HYPERLINK("https://www.sds-group.ru/product/bur-po-betonu-super-12x210mm-professionalnyy-tselnaya-krestovaya-plastina-hvostovik-sds-p-KR-91-0465/", "Инфо")</f>
        <v>Инфо</v>
      </c>
      <c r="F4243" s="16" t="s">
        <v>39</v>
      </c>
      <c r="G4243" s="15"/>
      <c r="H4243" s="15"/>
      <c r="I4243" s="15"/>
      <c r="J4243" s="17">
        <v>499</v>
      </c>
      <c r="K4243" s="15"/>
      <c r="L4243" s="17">
        <v>1</v>
      </c>
      <c r="M4243" s="17">
        <v>120</v>
      </c>
      <c r="N4243" s="17">
        <v>1</v>
      </c>
      <c r="O4243" s="18">
        <v>1013.76</v>
      </c>
      <c r="P4243" s="18">
        <v>830.95</v>
      </c>
      <c r="Q4243" s="18">
        <v>800.87</v>
      </c>
      <c r="R4243" s="18">
        <v>656.45</v>
      </c>
      <c r="S4243" s="18">
        <v>689.36</v>
      </c>
      <c r="T4243" s="18">
        <v>565.04999999999995</v>
      </c>
      <c r="U4243" s="16"/>
      <c r="V4243" s="16"/>
      <c r="W4243" s="16" t="s">
        <v>40</v>
      </c>
      <c r="X4243" s="19">
        <v>0.129</v>
      </c>
      <c r="Y4243" s="20">
        <v>1.1400000000000001E-4</v>
      </c>
      <c r="Z4243" s="21">
        <v>4601004303034</v>
      </c>
    </row>
    <row r="4244" spans="1:26" ht="12" customHeight="1" outlineLevel="4" x14ac:dyDescent="0.2">
      <c r="A4244" s="14" t="s">
        <v>8252</v>
      </c>
      <c r="B4244" s="26" t="s">
        <v>8253</v>
      </c>
      <c r="C4244" s="52"/>
      <c r="D4244" s="55">
        <f t="shared" si="66"/>
        <v>0</v>
      </c>
      <c r="E4244" s="63" t="str">
        <f>HYPERLINK("https://www.sds-group.ru/product/bur-po-betonu-super-6x110mm-professionalnyy-tselnaya-krestovaya-plastina-hvostovik-sds-pl-KR-91-0452/", "Инфо")</f>
        <v>Инфо</v>
      </c>
      <c r="F4244" s="16" t="s">
        <v>39</v>
      </c>
      <c r="G4244" s="15"/>
      <c r="H4244" s="15"/>
      <c r="I4244" s="15"/>
      <c r="J4244" s="22">
        <v>1797</v>
      </c>
      <c r="K4244" s="15"/>
      <c r="L4244" s="17">
        <v>1</v>
      </c>
      <c r="M4244" s="17">
        <v>240</v>
      </c>
      <c r="N4244" s="17">
        <v>1</v>
      </c>
      <c r="O4244" s="18">
        <v>439.32</v>
      </c>
      <c r="P4244" s="18">
        <v>360.1</v>
      </c>
      <c r="Q4244" s="18">
        <v>351.46</v>
      </c>
      <c r="R4244" s="18">
        <v>288.08</v>
      </c>
      <c r="S4244" s="18">
        <v>298.74</v>
      </c>
      <c r="T4244" s="18">
        <v>244.87</v>
      </c>
      <c r="U4244" s="16"/>
      <c r="V4244" s="16"/>
      <c r="W4244" s="16" t="s">
        <v>40</v>
      </c>
      <c r="X4244" s="19">
        <v>4.4999999999999998E-2</v>
      </c>
      <c r="Y4244" s="20">
        <v>8.1000000000000004E-5</v>
      </c>
      <c r="Z4244" s="21">
        <v>4601004302907</v>
      </c>
    </row>
    <row r="4245" spans="1:26" ht="12" customHeight="1" outlineLevel="4" x14ac:dyDescent="0.2">
      <c r="A4245" s="14" t="s">
        <v>8254</v>
      </c>
      <c r="B4245" s="26" t="s">
        <v>8255</v>
      </c>
      <c r="C4245" s="52"/>
      <c r="D4245" s="55">
        <f t="shared" si="66"/>
        <v>0</v>
      </c>
      <c r="E4245" s="63" t="str">
        <f>HYPERLINK("https://www.sds-group.ru/product/bur-po-betonu-super-6x160mm-professionalnyy-tselnaya-krestovaya-plastina-hvostovik-sds-pl-KR-91-0453/", "Инфо")</f>
        <v>Инфо</v>
      </c>
      <c r="F4245" s="16" t="s">
        <v>39</v>
      </c>
      <c r="G4245" s="15"/>
      <c r="H4245" s="15"/>
      <c r="I4245" s="15"/>
      <c r="J4245" s="17">
        <v>991</v>
      </c>
      <c r="K4245" s="15"/>
      <c r="L4245" s="17">
        <v>5</v>
      </c>
      <c r="M4245" s="17">
        <v>240</v>
      </c>
      <c r="N4245" s="17">
        <v>5</v>
      </c>
      <c r="O4245" s="18">
        <v>506.91</v>
      </c>
      <c r="P4245" s="18">
        <v>415.5</v>
      </c>
      <c r="Q4245" s="18">
        <v>405.53</v>
      </c>
      <c r="R4245" s="18">
        <v>332.4</v>
      </c>
      <c r="S4245" s="18">
        <v>344.7</v>
      </c>
      <c r="T4245" s="18">
        <v>282.54000000000002</v>
      </c>
      <c r="U4245" s="16"/>
      <c r="V4245" s="16"/>
      <c r="W4245" s="16" t="s">
        <v>40</v>
      </c>
      <c r="X4245" s="19">
        <v>5.2999999999999999E-2</v>
      </c>
      <c r="Y4245" s="20">
        <v>8.2999999999999998E-5</v>
      </c>
      <c r="Z4245" s="21">
        <v>4601004302914</v>
      </c>
    </row>
    <row r="4246" spans="1:26" ht="12" customHeight="1" outlineLevel="4" x14ac:dyDescent="0.2">
      <c r="A4246" s="14" t="s">
        <v>8256</v>
      </c>
      <c r="B4246" s="26" t="s">
        <v>8257</v>
      </c>
      <c r="C4246" s="52"/>
      <c r="D4246" s="55">
        <f t="shared" si="66"/>
        <v>0</v>
      </c>
      <c r="E4246" s="63" t="str">
        <f>HYPERLINK("https://www.sds-group.ru/product/bur-po-betonu-super-8x110mm-professionalnyy-tselnaya-krestovaya-plastina-hvostovik-sds-pl-KR-91-0456/", "Инфо")</f>
        <v>Инфо</v>
      </c>
      <c r="F4246" s="16" t="s">
        <v>39</v>
      </c>
      <c r="G4246" s="15"/>
      <c r="H4246" s="15"/>
      <c r="I4246" s="15"/>
      <c r="J4246" s="17">
        <v>20</v>
      </c>
      <c r="K4246" s="15"/>
      <c r="L4246" s="17">
        <v>1</v>
      </c>
      <c r="M4246" s="17">
        <v>240</v>
      </c>
      <c r="N4246" s="17">
        <v>1</v>
      </c>
      <c r="O4246" s="18">
        <v>506.91</v>
      </c>
      <c r="P4246" s="18">
        <v>415.5</v>
      </c>
      <c r="Q4246" s="18">
        <v>405.53</v>
      </c>
      <c r="R4246" s="18">
        <v>332.4</v>
      </c>
      <c r="S4246" s="18">
        <v>344.7</v>
      </c>
      <c r="T4246" s="18">
        <v>282.54000000000002</v>
      </c>
      <c r="U4246" s="16"/>
      <c r="V4246" s="16"/>
      <c r="W4246" s="16" t="s">
        <v>40</v>
      </c>
      <c r="X4246" s="19">
        <v>5.0999999999999997E-2</v>
      </c>
      <c r="Y4246" s="20">
        <v>7.8999999999999996E-5</v>
      </c>
      <c r="Z4246" s="21">
        <v>4601004302945</v>
      </c>
    </row>
    <row r="4247" spans="1:26" ht="12" customHeight="1" outlineLevel="4" x14ac:dyDescent="0.2">
      <c r="A4247" s="14" t="s">
        <v>8258</v>
      </c>
      <c r="B4247" s="26" t="s">
        <v>8259</v>
      </c>
      <c r="C4247" s="52"/>
      <c r="D4247" s="55">
        <f t="shared" si="66"/>
        <v>0</v>
      </c>
      <c r="E4247" s="63" t="str">
        <f>HYPERLINK("https://www.sds-group.ru/product/bur-po-betonu-super-8x160mm-professionalnyy-tselnaya-krestovaya-plastina-hvostovik-sds-pl-KR-91-0457/", "Инфо")</f>
        <v>Инфо</v>
      </c>
      <c r="F4247" s="16" t="s">
        <v>39</v>
      </c>
      <c r="G4247" s="15"/>
      <c r="H4247" s="15"/>
      <c r="I4247" s="15"/>
      <c r="J4247" s="17">
        <v>490</v>
      </c>
      <c r="K4247" s="15"/>
      <c r="L4247" s="17">
        <v>1</v>
      </c>
      <c r="M4247" s="17">
        <v>240</v>
      </c>
      <c r="N4247" s="17">
        <v>1</v>
      </c>
      <c r="O4247" s="18">
        <v>587.99</v>
      </c>
      <c r="P4247" s="18">
        <v>481.96</v>
      </c>
      <c r="Q4247" s="18">
        <v>470.39</v>
      </c>
      <c r="R4247" s="18">
        <v>385.57</v>
      </c>
      <c r="S4247" s="18">
        <v>399.83</v>
      </c>
      <c r="T4247" s="18">
        <v>327.73</v>
      </c>
      <c r="U4247" s="16"/>
      <c r="V4247" s="16"/>
      <c r="W4247" s="16" t="s">
        <v>40</v>
      </c>
      <c r="X4247" s="19">
        <v>6.5000000000000002E-2</v>
      </c>
      <c r="Y4247" s="20">
        <v>8.0000000000000007E-5</v>
      </c>
      <c r="Z4247" s="21">
        <v>4601004302952</v>
      </c>
    </row>
    <row r="4248" spans="1:26" ht="12" customHeight="1" outlineLevel="4" x14ac:dyDescent="0.2">
      <c r="A4248" s="14" t="s">
        <v>8260</v>
      </c>
      <c r="B4248" s="26" t="s">
        <v>8261</v>
      </c>
      <c r="C4248" s="52"/>
      <c r="D4248" s="55">
        <f t="shared" si="66"/>
        <v>0</v>
      </c>
      <c r="E4248" s="63" t="str">
        <f>HYPERLINK("https://www.sds-group.ru/product/bur-po-betonu-super-8x210mm-professionalnyy-tselnaya-krestovaya-plastina-hvostovik-sds-pl-KR-91-0458/", "Инфо")</f>
        <v>Инфо</v>
      </c>
      <c r="F4248" s="16" t="s">
        <v>39</v>
      </c>
      <c r="G4248" s="15"/>
      <c r="H4248" s="15"/>
      <c r="I4248" s="15"/>
      <c r="J4248" s="17">
        <v>487</v>
      </c>
      <c r="K4248" s="15"/>
      <c r="L4248" s="17">
        <v>1</v>
      </c>
      <c r="M4248" s="17">
        <v>120</v>
      </c>
      <c r="N4248" s="17">
        <v>1</v>
      </c>
      <c r="O4248" s="18">
        <v>689.36</v>
      </c>
      <c r="P4248" s="18">
        <v>565.04999999999995</v>
      </c>
      <c r="Q4248" s="18">
        <v>551.49</v>
      </c>
      <c r="R4248" s="18">
        <v>452.04</v>
      </c>
      <c r="S4248" s="18">
        <v>468.76</v>
      </c>
      <c r="T4248" s="18">
        <v>384.23</v>
      </c>
      <c r="U4248" s="16"/>
      <c r="V4248" s="16"/>
      <c r="W4248" s="16" t="s">
        <v>40</v>
      </c>
      <c r="X4248" s="19">
        <v>7.9000000000000001E-2</v>
      </c>
      <c r="Y4248" s="20">
        <v>1.12E-4</v>
      </c>
      <c r="Z4248" s="21">
        <v>4601004302969</v>
      </c>
    </row>
    <row r="4249" spans="1:26" ht="12.95" customHeight="1" outlineLevel="3" x14ac:dyDescent="0.2">
      <c r="A4249" s="76" t="s">
        <v>8262</v>
      </c>
      <c r="B4249" s="76"/>
      <c r="C4249" s="77"/>
      <c r="D4249" s="58"/>
      <c r="E4249" s="68"/>
      <c r="F4249" s="13"/>
      <c r="G4249" s="13"/>
      <c r="H4249" s="13"/>
      <c r="I4249" s="13"/>
      <c r="J4249" s="13"/>
      <c r="K4249" s="13"/>
      <c r="L4249" s="13"/>
      <c r="M4249" s="13"/>
      <c r="N4249" s="13"/>
      <c r="O4249" s="13"/>
      <c r="P4249" s="13"/>
      <c r="Q4249" s="13"/>
      <c r="R4249" s="13"/>
      <c r="S4249" s="13"/>
      <c r="T4249" s="13"/>
      <c r="U4249" s="13"/>
      <c r="V4249" s="13"/>
      <c r="W4249" s="13"/>
      <c r="X4249" s="13"/>
      <c r="Y4249" s="13"/>
      <c r="Z4249" s="13"/>
    </row>
    <row r="4250" spans="1:26" ht="12" customHeight="1" outlineLevel="4" x14ac:dyDescent="0.2">
      <c r="A4250" s="14" t="s">
        <v>8263</v>
      </c>
      <c r="B4250" s="26" t="s">
        <v>8264</v>
      </c>
      <c r="C4250" s="52"/>
      <c r="D4250" s="55">
        <f t="shared" si="66"/>
        <v>0</v>
      </c>
      <c r="E4250" s="63" t="str">
        <f>HYPERLINK("https://www.sds-group.ru/product/nabor-sverl-po-betonu-4-5-6-8-10mm-plastikovyy-keys-kranz-KR-91-0411/", "Инфо")</f>
        <v>Инфо</v>
      </c>
      <c r="F4250" s="16" t="s">
        <v>39</v>
      </c>
      <c r="G4250" s="15"/>
      <c r="H4250" s="15"/>
      <c r="I4250" s="15"/>
      <c r="J4250" s="17">
        <v>125</v>
      </c>
      <c r="K4250" s="15" t="s">
        <v>5369</v>
      </c>
      <c r="L4250" s="17">
        <v>1</v>
      </c>
      <c r="M4250" s="17">
        <v>100</v>
      </c>
      <c r="N4250" s="17">
        <v>1</v>
      </c>
      <c r="O4250" s="18">
        <v>784.4</v>
      </c>
      <c r="P4250" s="18">
        <v>642.95000000000005</v>
      </c>
      <c r="Q4250" s="18">
        <v>666.74</v>
      </c>
      <c r="R4250" s="18">
        <v>546.51</v>
      </c>
      <c r="S4250" s="18">
        <v>533.39</v>
      </c>
      <c r="T4250" s="18">
        <v>437.2</v>
      </c>
      <c r="U4250" s="16"/>
      <c r="V4250" s="16"/>
      <c r="W4250" s="16" t="s">
        <v>40</v>
      </c>
      <c r="X4250" s="19">
        <v>0.157</v>
      </c>
      <c r="Y4250" s="20">
        <v>3.3700000000000001E-4</v>
      </c>
      <c r="Z4250" s="21">
        <v>4601004197954</v>
      </c>
    </row>
    <row r="4251" spans="1:26" ht="12" customHeight="1" outlineLevel="4" x14ac:dyDescent="0.2">
      <c r="A4251" s="14" t="s">
        <v>8265</v>
      </c>
      <c r="B4251" s="26" t="s">
        <v>8266</v>
      </c>
      <c r="C4251" s="52"/>
      <c r="D4251" s="55">
        <f t="shared" si="66"/>
        <v>0</v>
      </c>
      <c r="E4251" s="63" t="str">
        <f>HYPERLINK("https://www.sds-group.ru/product/sverlo-po-betonu-10h120mm-tsilindricheskiy-hvostovik-kranz-KR-91-0308/", "Инфо")</f>
        <v>Инфо</v>
      </c>
      <c r="F4251" s="16" t="s">
        <v>39</v>
      </c>
      <c r="G4251" s="15"/>
      <c r="H4251" s="15"/>
      <c r="I4251" s="15"/>
      <c r="J4251" s="22">
        <v>6163</v>
      </c>
      <c r="K4251" s="15" t="s">
        <v>5369</v>
      </c>
      <c r="L4251" s="17">
        <v>10</v>
      </c>
      <c r="M4251" s="17">
        <v>400</v>
      </c>
      <c r="N4251" s="17">
        <v>10</v>
      </c>
      <c r="O4251" s="18">
        <v>156.88</v>
      </c>
      <c r="P4251" s="18">
        <v>128.59</v>
      </c>
      <c r="Q4251" s="18">
        <v>149.04</v>
      </c>
      <c r="R4251" s="18">
        <v>122.16</v>
      </c>
      <c r="S4251" s="18">
        <v>106.68</v>
      </c>
      <c r="T4251" s="18">
        <v>87.44</v>
      </c>
      <c r="U4251" s="16"/>
      <c r="V4251" s="16"/>
      <c r="W4251" s="16" t="s">
        <v>40</v>
      </c>
      <c r="X4251" s="19">
        <v>5.3999999999999999E-2</v>
      </c>
      <c r="Y4251" s="20">
        <v>8.7999999999999998E-5</v>
      </c>
      <c r="Z4251" s="21">
        <v>4601004174979</v>
      </c>
    </row>
    <row r="4252" spans="1:26" ht="12" customHeight="1" outlineLevel="4" x14ac:dyDescent="0.2">
      <c r="A4252" s="14" t="s">
        <v>8267</v>
      </c>
      <c r="B4252" s="26" t="s">
        <v>8268</v>
      </c>
      <c r="C4252" s="52"/>
      <c r="D4252" s="55">
        <f t="shared" si="66"/>
        <v>0</v>
      </c>
      <c r="E4252" s="63" t="str">
        <f>HYPERLINK("https://www.sds-group.ru/product/sverlo-po-betonu-10h200mm-tsilindricheskiy-hvostovik-kranz-KR-91-0312/", "Инфо")</f>
        <v>Инфо</v>
      </c>
      <c r="F4252" s="16" t="s">
        <v>39</v>
      </c>
      <c r="G4252" s="15"/>
      <c r="H4252" s="15"/>
      <c r="I4252" s="15"/>
      <c r="J4252" s="22">
        <v>4000</v>
      </c>
      <c r="K4252" s="15"/>
      <c r="L4252" s="17">
        <v>5</v>
      </c>
      <c r="M4252" s="17">
        <v>200</v>
      </c>
      <c r="N4252" s="17">
        <v>5</v>
      </c>
      <c r="O4252" s="18">
        <v>201.4</v>
      </c>
      <c r="P4252" s="18">
        <v>165.08</v>
      </c>
      <c r="Q4252" s="18">
        <v>191.33</v>
      </c>
      <c r="R4252" s="18">
        <v>156.83000000000001</v>
      </c>
      <c r="S4252" s="18">
        <v>136.94999999999999</v>
      </c>
      <c r="T4252" s="18">
        <v>112.25</v>
      </c>
      <c r="U4252" s="16"/>
      <c r="V4252" s="16"/>
      <c r="W4252" s="16" t="s">
        <v>40</v>
      </c>
      <c r="X4252" s="19">
        <v>7.3999999999999996E-2</v>
      </c>
      <c r="Y4252" s="20">
        <v>7.2999999999999999E-5</v>
      </c>
      <c r="Z4252" s="21">
        <v>4601004174986</v>
      </c>
    </row>
    <row r="4253" spans="1:26" ht="12" customHeight="1" outlineLevel="4" x14ac:dyDescent="0.2">
      <c r="A4253" s="14" t="s">
        <v>8269</v>
      </c>
      <c r="B4253" s="26" t="s">
        <v>8270</v>
      </c>
      <c r="C4253" s="52"/>
      <c r="D4253" s="55">
        <f t="shared" si="66"/>
        <v>0</v>
      </c>
      <c r="E4253" s="63" t="str">
        <f>HYPERLINK("https://www.sds-group.ru/product/sverlo-po-betonu-12h150mm-tsilindricheskiy-hvostovik-kranz-KR-91-0309/", "Инфо")</f>
        <v>Инфо</v>
      </c>
      <c r="F4253" s="16" t="s">
        <v>39</v>
      </c>
      <c r="G4253" s="15"/>
      <c r="H4253" s="15"/>
      <c r="I4253" s="15"/>
      <c r="J4253" s="17">
        <v>588</v>
      </c>
      <c r="K4253" s="15"/>
      <c r="L4253" s="17">
        <v>5</v>
      </c>
      <c r="M4253" s="17">
        <v>200</v>
      </c>
      <c r="N4253" s="17">
        <v>5</v>
      </c>
      <c r="O4253" s="18">
        <v>224.23</v>
      </c>
      <c r="P4253" s="18">
        <v>183.8</v>
      </c>
      <c r="Q4253" s="18">
        <v>213.02</v>
      </c>
      <c r="R4253" s="18">
        <v>174.61</v>
      </c>
      <c r="S4253" s="18">
        <v>152.47999999999999</v>
      </c>
      <c r="T4253" s="18">
        <v>124.98</v>
      </c>
      <c r="U4253" s="16"/>
      <c r="V4253" s="16"/>
      <c r="W4253" s="16" t="s">
        <v>40</v>
      </c>
      <c r="X4253" s="19">
        <v>7.9000000000000001E-2</v>
      </c>
      <c r="Y4253" s="20">
        <v>1.07E-4</v>
      </c>
      <c r="Z4253" s="21">
        <v>4601004174993</v>
      </c>
    </row>
    <row r="4254" spans="1:26" ht="12" customHeight="1" outlineLevel="4" x14ac:dyDescent="0.2">
      <c r="A4254" s="14" t="s">
        <v>8271</v>
      </c>
      <c r="B4254" s="26" t="s">
        <v>8272</v>
      </c>
      <c r="C4254" s="52"/>
      <c r="D4254" s="55">
        <f t="shared" si="66"/>
        <v>0</v>
      </c>
      <c r="E4254" s="63" t="str">
        <f>HYPERLINK("https://www.sds-group.ru/product/sverlo-po-betonu-4h75mm-tsilindricheskiy-hvostovik-kranz-KR-91-0304/", "Инфо")</f>
        <v>Инфо</v>
      </c>
      <c r="F4254" s="16" t="s">
        <v>39</v>
      </c>
      <c r="G4254" s="15"/>
      <c r="H4254" s="15"/>
      <c r="I4254" s="15"/>
      <c r="J4254" s="22">
        <v>4029</v>
      </c>
      <c r="K4254" s="15" t="s">
        <v>5369</v>
      </c>
      <c r="L4254" s="17">
        <v>10</v>
      </c>
      <c r="M4254" s="22">
        <v>1200</v>
      </c>
      <c r="N4254" s="17">
        <v>10</v>
      </c>
      <c r="O4254" s="18">
        <v>72.77</v>
      </c>
      <c r="P4254" s="18">
        <v>59.65</v>
      </c>
      <c r="Q4254" s="18">
        <v>69.13</v>
      </c>
      <c r="R4254" s="18">
        <v>56.66</v>
      </c>
      <c r="S4254" s="18">
        <v>49.48</v>
      </c>
      <c r="T4254" s="18">
        <v>40.56</v>
      </c>
      <c r="U4254" s="16"/>
      <c r="V4254" s="16"/>
      <c r="W4254" s="16" t="s">
        <v>40</v>
      </c>
      <c r="X4254" s="19">
        <v>1.2999999999999999E-2</v>
      </c>
      <c r="Y4254" s="20">
        <v>4.6999999999999997E-5</v>
      </c>
      <c r="Z4254" s="21">
        <v>4601004175006</v>
      </c>
    </row>
    <row r="4255" spans="1:26" ht="12" customHeight="1" outlineLevel="4" x14ac:dyDescent="0.2">
      <c r="A4255" s="14" t="s">
        <v>8273</v>
      </c>
      <c r="B4255" s="26" t="s">
        <v>8274</v>
      </c>
      <c r="C4255" s="52"/>
      <c r="D4255" s="55">
        <f t="shared" si="66"/>
        <v>0</v>
      </c>
      <c r="E4255" s="63" t="str">
        <f>HYPERLINK("https://www.sds-group.ru/product/sverlo-po-betonu-5h85mm-tsilindricheskiy-hvostovik-kranz-KR-91-0305/", "Инфо")</f>
        <v>Инфо</v>
      </c>
      <c r="F4255" s="16" t="s">
        <v>39</v>
      </c>
      <c r="G4255" s="15"/>
      <c r="H4255" s="15"/>
      <c r="I4255" s="15"/>
      <c r="J4255" s="22">
        <v>1529</v>
      </c>
      <c r="K4255" s="15" t="s">
        <v>5369</v>
      </c>
      <c r="L4255" s="17">
        <v>10</v>
      </c>
      <c r="M4255" s="22">
        <v>1200</v>
      </c>
      <c r="N4255" s="17">
        <v>10</v>
      </c>
      <c r="O4255" s="18">
        <v>87.96</v>
      </c>
      <c r="P4255" s="18">
        <v>72.099999999999994</v>
      </c>
      <c r="Q4255" s="18">
        <v>83.56</v>
      </c>
      <c r="R4255" s="18">
        <v>68.489999999999995</v>
      </c>
      <c r="S4255" s="18">
        <v>59.81</v>
      </c>
      <c r="T4255" s="18">
        <v>49.02</v>
      </c>
      <c r="U4255" s="16"/>
      <c r="V4255" s="16"/>
      <c r="W4255" s="16" t="s">
        <v>40</v>
      </c>
      <c r="X4255" s="19">
        <v>1.7999999999999999E-2</v>
      </c>
      <c r="Y4255" s="20">
        <v>5.5000000000000002E-5</v>
      </c>
      <c r="Z4255" s="21">
        <v>4601004175013</v>
      </c>
    </row>
    <row r="4256" spans="1:26" ht="12" customHeight="1" outlineLevel="4" x14ac:dyDescent="0.2">
      <c r="A4256" s="14" t="s">
        <v>8275</v>
      </c>
      <c r="B4256" s="26" t="s">
        <v>8276</v>
      </c>
      <c r="C4256" s="52"/>
      <c r="D4256" s="55">
        <f t="shared" si="66"/>
        <v>0</v>
      </c>
      <c r="E4256" s="63" t="str">
        <f>HYPERLINK("https://www.sds-group.ru/product/sverlo-po-betonu-6h100mm-tsilindricheskiy-hvostovik-kranz-KR-91-0306/", "Инфо")</f>
        <v>Инфо</v>
      </c>
      <c r="F4256" s="16" t="s">
        <v>39</v>
      </c>
      <c r="G4256" s="15"/>
      <c r="H4256" s="15"/>
      <c r="I4256" s="15"/>
      <c r="J4256" s="22">
        <v>3245</v>
      </c>
      <c r="K4256" s="15" t="s">
        <v>5369</v>
      </c>
      <c r="L4256" s="17">
        <v>10</v>
      </c>
      <c r="M4256" s="22">
        <v>1200</v>
      </c>
      <c r="N4256" s="17">
        <v>10</v>
      </c>
      <c r="O4256" s="18">
        <v>89.04</v>
      </c>
      <c r="P4256" s="18">
        <v>72.98</v>
      </c>
      <c r="Q4256" s="18">
        <v>84.59</v>
      </c>
      <c r="R4256" s="18">
        <v>69.34</v>
      </c>
      <c r="S4256" s="18">
        <v>60.55</v>
      </c>
      <c r="T4256" s="18">
        <v>49.63</v>
      </c>
      <c r="U4256" s="16"/>
      <c r="V4256" s="16"/>
      <c r="W4256" s="16" t="s">
        <v>40</v>
      </c>
      <c r="X4256" s="19">
        <v>2.1000000000000001E-2</v>
      </c>
      <c r="Y4256" s="20">
        <v>5.0000000000000002E-5</v>
      </c>
      <c r="Z4256" s="21">
        <v>4601004175020</v>
      </c>
    </row>
    <row r="4257" spans="1:26" ht="12" customHeight="1" outlineLevel="4" x14ac:dyDescent="0.2">
      <c r="A4257" s="14" t="s">
        <v>8277</v>
      </c>
      <c r="B4257" s="26" t="s">
        <v>8278</v>
      </c>
      <c r="C4257" s="52"/>
      <c r="D4257" s="55">
        <f t="shared" si="66"/>
        <v>0</v>
      </c>
      <c r="E4257" s="63" t="str">
        <f>HYPERLINK("https://www.sds-group.ru/product/sverlo-po-betonu-6h200mm-tsilindricheskiy-hvostovik-kranz-KR-91-0310/", "Инфо")</f>
        <v>Инфо</v>
      </c>
      <c r="F4257" s="16" t="s">
        <v>39</v>
      </c>
      <c r="G4257" s="15"/>
      <c r="H4257" s="15"/>
      <c r="I4257" s="15"/>
      <c r="J4257" s="22">
        <v>9437</v>
      </c>
      <c r="K4257" s="15"/>
      <c r="L4257" s="17">
        <v>10</v>
      </c>
      <c r="M4257" s="17">
        <v>400</v>
      </c>
      <c r="N4257" s="17">
        <v>10</v>
      </c>
      <c r="O4257" s="18">
        <v>111.3</v>
      </c>
      <c r="P4257" s="18">
        <v>91.23</v>
      </c>
      <c r="Q4257" s="18">
        <v>105.74</v>
      </c>
      <c r="R4257" s="18">
        <v>86.67</v>
      </c>
      <c r="S4257" s="18">
        <v>75.680000000000007</v>
      </c>
      <c r="T4257" s="18">
        <v>62.03</v>
      </c>
      <c r="U4257" s="16"/>
      <c r="V4257" s="16"/>
      <c r="W4257" s="16" t="s">
        <v>40</v>
      </c>
      <c r="X4257" s="19">
        <v>3.5000000000000003E-2</v>
      </c>
      <c r="Y4257" s="20">
        <v>7.1000000000000005E-5</v>
      </c>
      <c r="Z4257" s="21">
        <v>4601004175037</v>
      </c>
    </row>
    <row r="4258" spans="1:26" ht="12" customHeight="1" outlineLevel="4" x14ac:dyDescent="0.2">
      <c r="A4258" s="14" t="s">
        <v>8279</v>
      </c>
      <c r="B4258" s="26" t="s">
        <v>8280</v>
      </c>
      <c r="C4258" s="52"/>
      <c r="D4258" s="55">
        <f t="shared" si="66"/>
        <v>0</v>
      </c>
      <c r="E4258" s="63" t="str">
        <f>HYPERLINK("https://www.sds-group.ru/product/sverlo-po-betonu-8h120mm-tsilindricheskiy-hvostovik-kranz-KR-91-0307/", "Инфо")</f>
        <v>Инфо</v>
      </c>
      <c r="F4258" s="16" t="s">
        <v>39</v>
      </c>
      <c r="G4258" s="15"/>
      <c r="H4258" s="15"/>
      <c r="I4258" s="15"/>
      <c r="J4258" s="22">
        <v>8763</v>
      </c>
      <c r="K4258" s="15" t="s">
        <v>5369</v>
      </c>
      <c r="L4258" s="17">
        <v>10</v>
      </c>
      <c r="M4258" s="17">
        <v>400</v>
      </c>
      <c r="N4258" s="17">
        <v>10</v>
      </c>
      <c r="O4258" s="18">
        <v>121.9</v>
      </c>
      <c r="P4258" s="18">
        <v>99.92</v>
      </c>
      <c r="Q4258" s="18">
        <v>115.81</v>
      </c>
      <c r="R4258" s="18">
        <v>94.93</v>
      </c>
      <c r="S4258" s="18">
        <v>82.89</v>
      </c>
      <c r="T4258" s="18">
        <v>67.94</v>
      </c>
      <c r="U4258" s="16"/>
      <c r="V4258" s="16"/>
      <c r="W4258" s="16" t="s">
        <v>40</v>
      </c>
      <c r="X4258" s="19">
        <v>0.04</v>
      </c>
      <c r="Y4258" s="20">
        <v>8.1000000000000004E-5</v>
      </c>
      <c r="Z4258" s="21">
        <v>4601004175044</v>
      </c>
    </row>
    <row r="4259" spans="1:26" ht="12" customHeight="1" outlineLevel="4" x14ac:dyDescent="0.2">
      <c r="A4259" s="14" t="s">
        <v>8281</v>
      </c>
      <c r="B4259" s="26" t="s">
        <v>8282</v>
      </c>
      <c r="C4259" s="52"/>
      <c r="D4259" s="55">
        <f t="shared" si="66"/>
        <v>0</v>
      </c>
      <c r="E4259" s="63" t="str">
        <f>HYPERLINK("https://www.sds-group.ru/product/sverlo-po-betonu-8h200mm-tsilindricheskiy-hvostovik-kranz-KR-91-0311/", "Инфо")</f>
        <v>Инфо</v>
      </c>
      <c r="F4259" s="16" t="s">
        <v>39</v>
      </c>
      <c r="G4259" s="15"/>
      <c r="H4259" s="15"/>
      <c r="I4259" s="15"/>
      <c r="J4259" s="22">
        <v>3664</v>
      </c>
      <c r="K4259" s="15"/>
      <c r="L4259" s="17">
        <v>10</v>
      </c>
      <c r="M4259" s="17">
        <v>325</v>
      </c>
      <c r="N4259" s="17">
        <v>10</v>
      </c>
      <c r="O4259" s="18">
        <v>144.16</v>
      </c>
      <c r="P4259" s="18">
        <v>118.16</v>
      </c>
      <c r="Q4259" s="18">
        <v>136.94999999999999</v>
      </c>
      <c r="R4259" s="18">
        <v>112.25</v>
      </c>
      <c r="S4259" s="18">
        <v>98.03</v>
      </c>
      <c r="T4259" s="18">
        <v>80.349999999999994</v>
      </c>
      <c r="U4259" s="16"/>
      <c r="V4259" s="16"/>
      <c r="W4259" s="16" t="s">
        <v>40</v>
      </c>
      <c r="X4259" s="19">
        <v>5.8000000000000003E-2</v>
      </c>
      <c r="Y4259" s="20">
        <v>7.8999999999999996E-5</v>
      </c>
      <c r="Z4259" s="21">
        <v>4601004175051</v>
      </c>
    </row>
    <row r="4260" spans="1:26" ht="12" customHeight="1" outlineLevel="4" x14ac:dyDescent="0.2">
      <c r="A4260" s="14" t="s">
        <v>8283</v>
      </c>
      <c r="B4260" s="26" t="s">
        <v>8284</v>
      </c>
      <c r="C4260" s="52"/>
      <c r="D4260" s="55">
        <f t="shared" si="66"/>
        <v>0</v>
      </c>
      <c r="E4260" s="63" t="str">
        <f>HYPERLINK("https://www.sds-group.ru/product/sverlo-universalnoe-tverdosplavnoe-10mm-kranz-KR-91-0323/", "Инфо")</f>
        <v>Инфо</v>
      </c>
      <c r="F4260" s="16" t="s">
        <v>39</v>
      </c>
      <c r="G4260" s="15"/>
      <c r="H4260" s="15"/>
      <c r="I4260" s="15"/>
      <c r="J4260" s="22">
        <v>1914</v>
      </c>
      <c r="K4260" s="15"/>
      <c r="L4260" s="17">
        <v>10</v>
      </c>
      <c r="M4260" s="17">
        <v>400</v>
      </c>
      <c r="N4260" s="17">
        <v>10</v>
      </c>
      <c r="O4260" s="18">
        <v>144.16</v>
      </c>
      <c r="P4260" s="18">
        <v>118.16</v>
      </c>
      <c r="Q4260" s="18">
        <v>136.94999999999999</v>
      </c>
      <c r="R4260" s="18">
        <v>112.25</v>
      </c>
      <c r="S4260" s="18">
        <v>98.03</v>
      </c>
      <c r="T4260" s="18">
        <v>80.349999999999994</v>
      </c>
      <c r="U4260" s="16"/>
      <c r="V4260" s="16"/>
      <c r="W4260" s="16" t="s">
        <v>40</v>
      </c>
      <c r="X4260" s="19">
        <v>4.9000000000000002E-2</v>
      </c>
      <c r="Y4260" s="20">
        <v>8.1000000000000004E-5</v>
      </c>
      <c r="Z4260" s="21">
        <v>4601004281820</v>
      </c>
    </row>
    <row r="4261" spans="1:26" ht="12" customHeight="1" outlineLevel="4" x14ac:dyDescent="0.2">
      <c r="A4261" s="14" t="s">
        <v>8285</v>
      </c>
      <c r="B4261" s="26" t="s">
        <v>8286</v>
      </c>
      <c r="C4261" s="52"/>
      <c r="D4261" s="55">
        <f t="shared" si="66"/>
        <v>0</v>
      </c>
      <c r="E4261" s="63" t="str">
        <f>HYPERLINK("https://www.sds-group.ru/product/sverlo-universalnoe-tverdosplavnoe-12mm-kranz-KR-91-0324/", "Инфо")</f>
        <v>Инфо</v>
      </c>
      <c r="F4261" s="16" t="s">
        <v>39</v>
      </c>
      <c r="G4261" s="15"/>
      <c r="H4261" s="15"/>
      <c r="I4261" s="15"/>
      <c r="J4261" s="22">
        <v>2521</v>
      </c>
      <c r="K4261" s="15"/>
      <c r="L4261" s="17">
        <v>5</v>
      </c>
      <c r="M4261" s="17">
        <v>300</v>
      </c>
      <c r="N4261" s="17">
        <v>5</v>
      </c>
      <c r="O4261" s="18">
        <v>212</v>
      </c>
      <c r="P4261" s="18">
        <v>173.77</v>
      </c>
      <c r="Q4261" s="18">
        <v>201.4</v>
      </c>
      <c r="R4261" s="18">
        <v>165.08</v>
      </c>
      <c r="S4261" s="18">
        <v>144.16</v>
      </c>
      <c r="T4261" s="18">
        <v>118.16</v>
      </c>
      <c r="U4261" s="16"/>
      <c r="V4261" s="16"/>
      <c r="W4261" s="16" t="s">
        <v>40</v>
      </c>
      <c r="X4261" s="19">
        <v>8.4000000000000005E-2</v>
      </c>
      <c r="Y4261" s="20">
        <v>1.06E-4</v>
      </c>
      <c r="Z4261" s="21">
        <v>4601004281950</v>
      </c>
    </row>
    <row r="4262" spans="1:26" ht="12" customHeight="1" outlineLevel="4" x14ac:dyDescent="0.2">
      <c r="A4262" s="14" t="s">
        <v>8287</v>
      </c>
      <c r="B4262" s="26" t="s">
        <v>8288</v>
      </c>
      <c r="C4262" s="52"/>
      <c r="D4262" s="55">
        <f t="shared" si="66"/>
        <v>0</v>
      </c>
      <c r="E4262" s="63" t="str">
        <f>HYPERLINK("https://www.sds-group.ru/product/sverlo-universalnoe-tverdosplavnoe-5mm-kranz-KR-91-0320/", "Инфо")</f>
        <v>Инфо</v>
      </c>
      <c r="F4262" s="16" t="s">
        <v>39</v>
      </c>
      <c r="G4262" s="15"/>
      <c r="H4262" s="15"/>
      <c r="I4262" s="15"/>
      <c r="J4262" s="16" t="s">
        <v>100</v>
      </c>
      <c r="K4262" s="15" t="s">
        <v>5369</v>
      </c>
      <c r="L4262" s="17">
        <v>10</v>
      </c>
      <c r="M4262" s="17">
        <v>500</v>
      </c>
      <c r="N4262" s="17">
        <v>10</v>
      </c>
      <c r="O4262" s="18">
        <v>100.7</v>
      </c>
      <c r="P4262" s="18">
        <v>82.54</v>
      </c>
      <c r="Q4262" s="18">
        <v>95.67</v>
      </c>
      <c r="R4262" s="18">
        <v>78.42</v>
      </c>
      <c r="S4262" s="18">
        <v>68.48</v>
      </c>
      <c r="T4262" s="18">
        <v>56.13</v>
      </c>
      <c r="U4262" s="16"/>
      <c r="V4262" s="16"/>
      <c r="W4262" s="16" t="s">
        <v>40</v>
      </c>
      <c r="X4262" s="19">
        <v>1.7000000000000001E-2</v>
      </c>
      <c r="Y4262" s="20">
        <v>1.21E-4</v>
      </c>
      <c r="Z4262" s="21">
        <v>4601004281936</v>
      </c>
    </row>
    <row r="4263" spans="1:26" ht="12" customHeight="1" outlineLevel="4" x14ac:dyDescent="0.2">
      <c r="A4263" s="14" t="s">
        <v>8289</v>
      </c>
      <c r="B4263" s="26" t="s">
        <v>8290</v>
      </c>
      <c r="C4263" s="52"/>
      <c r="D4263" s="55">
        <f t="shared" si="66"/>
        <v>0</v>
      </c>
      <c r="E4263" s="63" t="str">
        <f>HYPERLINK("https://www.sds-group.ru/product/sverlo-universalnoe-tverdosplavnoe-6mm-kranz-KR-91-0321/", "Инфо")</f>
        <v>Инфо</v>
      </c>
      <c r="F4263" s="16" t="s">
        <v>39</v>
      </c>
      <c r="G4263" s="15"/>
      <c r="H4263" s="15"/>
      <c r="I4263" s="15"/>
      <c r="J4263" s="17">
        <v>547</v>
      </c>
      <c r="K4263" s="15" t="s">
        <v>5369</v>
      </c>
      <c r="L4263" s="17">
        <v>10</v>
      </c>
      <c r="M4263" s="17">
        <v>500</v>
      </c>
      <c r="N4263" s="17">
        <v>10</v>
      </c>
      <c r="O4263" s="18">
        <v>121.9</v>
      </c>
      <c r="P4263" s="18">
        <v>99.92</v>
      </c>
      <c r="Q4263" s="18">
        <v>115.81</v>
      </c>
      <c r="R4263" s="18">
        <v>94.93</v>
      </c>
      <c r="S4263" s="18">
        <v>82.89</v>
      </c>
      <c r="T4263" s="18">
        <v>67.94</v>
      </c>
      <c r="U4263" s="16"/>
      <c r="V4263" s="16"/>
      <c r="W4263" s="16" t="s">
        <v>40</v>
      </c>
      <c r="X4263" s="19">
        <v>2.3E-2</v>
      </c>
      <c r="Y4263" s="20">
        <v>1.1900000000000001E-4</v>
      </c>
      <c r="Z4263" s="21">
        <v>4601004281929</v>
      </c>
    </row>
    <row r="4264" spans="1:26" ht="12" customHeight="1" outlineLevel="4" x14ac:dyDescent="0.2">
      <c r="A4264" s="14" t="s">
        <v>8291</v>
      </c>
      <c r="B4264" s="26" t="s">
        <v>8292</v>
      </c>
      <c r="C4264" s="52"/>
      <c r="D4264" s="55">
        <f t="shared" si="66"/>
        <v>0</v>
      </c>
      <c r="E4264" s="63" t="str">
        <f>HYPERLINK("https://www.sds-group.ru/product/sverlo-universalnoe-tverdosplavnoe-8mm-kranz-KR-91-0322/", "Инфо")</f>
        <v>Инфо</v>
      </c>
      <c r="F4264" s="16" t="s">
        <v>39</v>
      </c>
      <c r="G4264" s="15"/>
      <c r="H4264" s="15"/>
      <c r="I4264" s="15"/>
      <c r="J4264" s="17">
        <v>147</v>
      </c>
      <c r="K4264" s="15" t="s">
        <v>5369</v>
      </c>
      <c r="L4264" s="17">
        <v>10</v>
      </c>
      <c r="M4264" s="17">
        <v>500</v>
      </c>
      <c r="N4264" s="17">
        <v>10</v>
      </c>
      <c r="O4264" s="18">
        <v>133.56</v>
      </c>
      <c r="P4264" s="18">
        <v>109.48</v>
      </c>
      <c r="Q4264" s="18">
        <v>126.88</v>
      </c>
      <c r="R4264" s="18">
        <v>104</v>
      </c>
      <c r="S4264" s="18">
        <v>90.82</v>
      </c>
      <c r="T4264" s="18">
        <v>74.44</v>
      </c>
      <c r="U4264" s="16"/>
      <c r="V4264" s="16"/>
      <c r="W4264" s="16" t="s">
        <v>40</v>
      </c>
      <c r="X4264" s="19">
        <v>0.03</v>
      </c>
      <c r="Y4264" s="20">
        <v>1.2E-4</v>
      </c>
      <c r="Z4264" s="21">
        <v>4601004281943</v>
      </c>
    </row>
    <row r="4265" spans="1:26" ht="12.95" customHeight="1" outlineLevel="3" x14ac:dyDescent="0.2">
      <c r="A4265" s="76" t="s">
        <v>8293</v>
      </c>
      <c r="B4265" s="76"/>
      <c r="C4265" s="77"/>
      <c r="D4265" s="58"/>
      <c r="E4265" s="68"/>
      <c r="F4265" s="13"/>
      <c r="G4265" s="13"/>
      <c r="H4265" s="13"/>
      <c r="I4265" s="13"/>
      <c r="J4265" s="13"/>
      <c r="K4265" s="13"/>
      <c r="L4265" s="13"/>
      <c r="M4265" s="13"/>
      <c r="N4265" s="13"/>
      <c r="O4265" s="13"/>
      <c r="P4265" s="13"/>
      <c r="Q4265" s="13"/>
      <c r="R4265" s="13"/>
      <c r="S4265" s="13"/>
      <c r="T4265" s="13"/>
      <c r="U4265" s="13"/>
      <c r="V4265" s="13"/>
      <c r="W4265" s="13"/>
      <c r="X4265" s="13"/>
      <c r="Y4265" s="13"/>
      <c r="Z4265" s="13"/>
    </row>
    <row r="4266" spans="1:26" ht="12" customHeight="1" outlineLevel="4" x14ac:dyDescent="0.2">
      <c r="A4266" s="14" t="s">
        <v>8294</v>
      </c>
      <c r="B4266" s="26" t="s">
        <v>8295</v>
      </c>
      <c r="C4266" s="52"/>
      <c r="D4266" s="55">
        <f t="shared" si="66"/>
        <v>0</v>
      </c>
      <c r="E4266" s="63" t="str">
        <f>HYPERLINK("https://www.sds-group.ru/product/zubilo-kanalnoe-14h22h250mm-hvostovik-sds-plus-kranz-KR-91-0201/", "Инфо")</f>
        <v>Инфо</v>
      </c>
      <c r="F4266" s="16" t="s">
        <v>39</v>
      </c>
      <c r="G4266" s="15"/>
      <c r="H4266" s="15"/>
      <c r="I4266" s="15"/>
      <c r="J4266" s="22">
        <v>2944</v>
      </c>
      <c r="K4266" s="15"/>
      <c r="L4266" s="17">
        <v>5</v>
      </c>
      <c r="M4266" s="17">
        <v>50</v>
      </c>
      <c r="N4266" s="17">
        <v>5</v>
      </c>
      <c r="O4266" s="18">
        <v>285.38</v>
      </c>
      <c r="P4266" s="18">
        <v>233.92</v>
      </c>
      <c r="Q4266" s="18">
        <v>242.57</v>
      </c>
      <c r="R4266" s="18">
        <v>198.83</v>
      </c>
      <c r="S4266" s="18">
        <v>194.06</v>
      </c>
      <c r="T4266" s="18">
        <v>159.07</v>
      </c>
      <c r="U4266" s="16"/>
      <c r="V4266" s="16"/>
      <c r="W4266" s="16" t="s">
        <v>40</v>
      </c>
      <c r="X4266" s="19">
        <v>0.26100000000000001</v>
      </c>
      <c r="Y4266" s="20">
        <v>2.4000000000000001E-4</v>
      </c>
      <c r="Z4266" s="21">
        <v>4601004202252</v>
      </c>
    </row>
    <row r="4267" spans="1:26" ht="12" customHeight="1" outlineLevel="4" x14ac:dyDescent="0.2">
      <c r="A4267" s="14" t="s">
        <v>8296</v>
      </c>
      <c r="B4267" s="26" t="s">
        <v>8297</v>
      </c>
      <c r="C4267" s="52"/>
      <c r="D4267" s="55">
        <f t="shared" si="66"/>
        <v>0</v>
      </c>
      <c r="E4267" s="63" t="str">
        <f>HYPERLINK("https://www.sds-group.ru/product/zubilo-ploskoe-14h20h250mm-hvostovik-sds-plus-kranz-KR-91-0207/", "Инфо")</f>
        <v>Инфо</v>
      </c>
      <c r="F4267" s="16" t="s">
        <v>39</v>
      </c>
      <c r="G4267" s="15"/>
      <c r="H4267" s="15"/>
      <c r="I4267" s="15"/>
      <c r="J4267" s="22">
        <v>5687</v>
      </c>
      <c r="K4267" s="15" t="s">
        <v>5369</v>
      </c>
      <c r="L4267" s="17">
        <v>5</v>
      </c>
      <c r="M4267" s="17">
        <v>100</v>
      </c>
      <c r="N4267" s="17">
        <v>5</v>
      </c>
      <c r="O4267" s="18">
        <v>290.24</v>
      </c>
      <c r="P4267" s="18">
        <v>237.9</v>
      </c>
      <c r="Q4267" s="18">
        <v>246.7</v>
      </c>
      <c r="R4267" s="18">
        <v>202.21</v>
      </c>
      <c r="S4267" s="18">
        <v>197.36</v>
      </c>
      <c r="T4267" s="18">
        <v>161.77000000000001</v>
      </c>
      <c r="U4267" s="16"/>
      <c r="V4267" s="16"/>
      <c r="W4267" s="16" t="s">
        <v>40</v>
      </c>
      <c r="X4267" s="19">
        <v>0.254</v>
      </c>
      <c r="Y4267" s="20">
        <v>1.5300000000000001E-4</v>
      </c>
      <c r="Z4267" s="21">
        <v>4601004175075</v>
      </c>
    </row>
    <row r="4268" spans="1:26" ht="12" customHeight="1" outlineLevel="4" x14ac:dyDescent="0.2">
      <c r="A4268" s="14" t="s">
        <v>8298</v>
      </c>
      <c r="B4268" s="26" t="s">
        <v>8299</v>
      </c>
      <c r="C4268" s="52"/>
      <c r="D4268" s="55">
        <f t="shared" si="66"/>
        <v>0</v>
      </c>
      <c r="E4268" s="63" t="str">
        <f>HYPERLINK("https://www.sds-group.ru/product/zubilo-ploskoe-14h20h400mm-hvostovik-sds-plus-kranz-KR-91-0210/", "Инфо")</f>
        <v>Инфо</v>
      </c>
      <c r="F4268" s="16" t="s">
        <v>39</v>
      </c>
      <c r="G4268" s="15"/>
      <c r="H4268" s="15"/>
      <c r="I4268" s="15"/>
      <c r="J4268" s="22">
        <v>1445</v>
      </c>
      <c r="K4268" s="15"/>
      <c r="L4268" s="17">
        <v>1</v>
      </c>
      <c r="M4268" s="17">
        <v>40</v>
      </c>
      <c r="N4268" s="17">
        <v>1</v>
      </c>
      <c r="O4268" s="18">
        <v>410.47</v>
      </c>
      <c r="P4268" s="18">
        <v>336.45</v>
      </c>
      <c r="Q4268" s="18">
        <v>328.38</v>
      </c>
      <c r="R4268" s="18">
        <v>269.16000000000003</v>
      </c>
      <c r="S4268" s="18">
        <v>279.12</v>
      </c>
      <c r="T4268" s="18">
        <v>228.79</v>
      </c>
      <c r="U4268" s="16"/>
      <c r="V4268" s="16"/>
      <c r="W4268" s="16" t="s">
        <v>40</v>
      </c>
      <c r="X4268" s="19">
        <v>0.44</v>
      </c>
      <c r="Y4268" s="20">
        <v>2.2699999999999999E-4</v>
      </c>
      <c r="Z4268" s="21">
        <v>4601004175082</v>
      </c>
    </row>
    <row r="4269" spans="1:26" ht="12" customHeight="1" outlineLevel="4" x14ac:dyDescent="0.2">
      <c r="A4269" s="14" t="s">
        <v>8300</v>
      </c>
      <c r="B4269" s="26" t="s">
        <v>8301</v>
      </c>
      <c r="C4269" s="52"/>
      <c r="D4269" s="55">
        <f t="shared" si="66"/>
        <v>0</v>
      </c>
      <c r="E4269" s="63" t="str">
        <f>HYPERLINK("https://www.sds-group.ru/product/zubilo-ploskoe-14h20h600mm-hvostovik-sds-plus-kranz-KR-91-0211/", "Инфо")</f>
        <v>Инфо</v>
      </c>
      <c r="F4269" s="16" t="s">
        <v>39</v>
      </c>
      <c r="G4269" s="15"/>
      <c r="H4269" s="15"/>
      <c r="I4269" s="15"/>
      <c r="J4269" s="17">
        <v>682</v>
      </c>
      <c r="K4269" s="15"/>
      <c r="L4269" s="17">
        <v>1</v>
      </c>
      <c r="M4269" s="17">
        <v>25</v>
      </c>
      <c r="N4269" s="17">
        <v>1</v>
      </c>
      <c r="O4269" s="18">
        <v>663.4</v>
      </c>
      <c r="P4269" s="18">
        <v>543.77</v>
      </c>
      <c r="Q4269" s="18">
        <v>530.72</v>
      </c>
      <c r="R4269" s="18">
        <v>435.02</v>
      </c>
      <c r="S4269" s="18">
        <v>451.11</v>
      </c>
      <c r="T4269" s="18">
        <v>369.76</v>
      </c>
      <c r="U4269" s="16"/>
      <c r="V4269" s="16"/>
      <c r="W4269" s="16" t="s">
        <v>40</v>
      </c>
      <c r="X4269" s="19">
        <v>0.68700000000000006</v>
      </c>
      <c r="Y4269" s="20">
        <v>2.2800000000000001E-4</v>
      </c>
      <c r="Z4269" s="21">
        <v>4601004281691</v>
      </c>
    </row>
    <row r="4270" spans="1:26" ht="12" customHeight="1" outlineLevel="4" x14ac:dyDescent="0.2">
      <c r="A4270" s="14" t="s">
        <v>8302</v>
      </c>
      <c r="B4270" s="26" t="s">
        <v>8303</v>
      </c>
      <c r="C4270" s="52"/>
      <c r="D4270" s="55">
        <f t="shared" si="66"/>
        <v>0</v>
      </c>
      <c r="E4270" s="63" t="str">
        <f>HYPERLINK("https://www.sds-group.ru/product/zubilo-ploskoe-14h40h250mm-hvostovik-sds-plus-otognutoe-dlya-snyatiya-plitki-kranz-KR-91-0209/", "Инфо")</f>
        <v>Инфо</v>
      </c>
      <c r="F4270" s="16" t="s">
        <v>39</v>
      </c>
      <c r="G4270" s="15"/>
      <c r="H4270" s="15"/>
      <c r="I4270" s="15"/>
      <c r="J4270" s="22">
        <v>1779</v>
      </c>
      <c r="K4270" s="15" t="s">
        <v>5369</v>
      </c>
      <c r="L4270" s="17">
        <v>5</v>
      </c>
      <c r="M4270" s="17">
        <v>50</v>
      </c>
      <c r="N4270" s="17">
        <v>5</v>
      </c>
      <c r="O4270" s="18">
        <v>315.95999999999998</v>
      </c>
      <c r="P4270" s="18">
        <v>258.98</v>
      </c>
      <c r="Q4270" s="18">
        <v>268.57</v>
      </c>
      <c r="R4270" s="18">
        <v>220.14</v>
      </c>
      <c r="S4270" s="18">
        <v>214.85</v>
      </c>
      <c r="T4270" s="18">
        <v>176.11</v>
      </c>
      <c r="U4270" s="16"/>
      <c r="V4270" s="16"/>
      <c r="W4270" s="16" t="s">
        <v>40</v>
      </c>
      <c r="X4270" s="19">
        <v>0.28499999999999998</v>
      </c>
      <c r="Y4270" s="20">
        <v>2.3499999999999999E-4</v>
      </c>
      <c r="Z4270" s="21">
        <v>4601004175099</v>
      </c>
    </row>
    <row r="4271" spans="1:26" ht="12" customHeight="1" outlineLevel="4" x14ac:dyDescent="0.2">
      <c r="A4271" s="14" t="s">
        <v>8304</v>
      </c>
      <c r="B4271" s="26" t="s">
        <v>8305</v>
      </c>
      <c r="C4271" s="52"/>
      <c r="D4271" s="55">
        <f t="shared" si="66"/>
        <v>0</v>
      </c>
      <c r="E4271" s="63" t="str">
        <f>HYPERLINK("https://www.sds-group.ru/product/zubilo-ploskoe-18h25h280mm-hvostovik-sds-max-kranz-KR-91-0221/", "Инфо")</f>
        <v>Инфо</v>
      </c>
      <c r="F4271" s="16" t="s">
        <v>39</v>
      </c>
      <c r="G4271" s="15"/>
      <c r="H4271" s="15"/>
      <c r="I4271" s="15"/>
      <c r="J4271" s="17">
        <v>577</v>
      </c>
      <c r="K4271" s="15"/>
      <c r="L4271" s="17">
        <v>5</v>
      </c>
      <c r="M4271" s="17">
        <v>50</v>
      </c>
      <c r="N4271" s="17">
        <v>5</v>
      </c>
      <c r="O4271" s="18">
        <v>403.71</v>
      </c>
      <c r="P4271" s="18">
        <v>330.91</v>
      </c>
      <c r="Q4271" s="18">
        <v>343.15</v>
      </c>
      <c r="R4271" s="18">
        <v>281.27</v>
      </c>
      <c r="S4271" s="18">
        <v>274.52</v>
      </c>
      <c r="T4271" s="18">
        <v>225.02</v>
      </c>
      <c r="U4271" s="16"/>
      <c r="V4271" s="16"/>
      <c r="W4271" s="16" t="s">
        <v>40</v>
      </c>
      <c r="X4271" s="19">
        <v>0.498</v>
      </c>
      <c r="Y4271" s="20">
        <v>2.2599999999999999E-4</v>
      </c>
      <c r="Z4271" s="21">
        <v>4601004281813</v>
      </c>
    </row>
    <row r="4272" spans="1:26" ht="12" customHeight="1" outlineLevel="4" x14ac:dyDescent="0.2">
      <c r="A4272" s="14" t="s">
        <v>8306</v>
      </c>
      <c r="B4272" s="26" t="s">
        <v>8307</v>
      </c>
      <c r="C4272" s="52"/>
      <c r="D4272" s="55">
        <f t="shared" si="66"/>
        <v>0</v>
      </c>
      <c r="E4272" s="63" t="str">
        <f>HYPERLINK("https://www.sds-group.ru/product/zubilo-ploskoe-18h25h400mm-hvostovik-sds-max-kranz-KR-91-0222/", "Инфо")</f>
        <v>Инфо</v>
      </c>
      <c r="F4272" s="16" t="s">
        <v>39</v>
      </c>
      <c r="G4272" s="15"/>
      <c r="H4272" s="15"/>
      <c r="I4272" s="15"/>
      <c r="J4272" s="22">
        <v>1288</v>
      </c>
      <c r="K4272" s="15"/>
      <c r="L4272" s="17">
        <v>5</v>
      </c>
      <c r="M4272" s="17">
        <v>25</v>
      </c>
      <c r="N4272" s="17">
        <v>5</v>
      </c>
      <c r="O4272" s="18">
        <v>539.84</v>
      </c>
      <c r="P4272" s="18">
        <v>442.49</v>
      </c>
      <c r="Q4272" s="18">
        <v>431.87</v>
      </c>
      <c r="R4272" s="18">
        <v>353.99</v>
      </c>
      <c r="S4272" s="18">
        <v>367.09</v>
      </c>
      <c r="T4272" s="18">
        <v>300.89</v>
      </c>
      <c r="U4272" s="16"/>
      <c r="V4272" s="16"/>
      <c r="W4272" s="16" t="s">
        <v>40</v>
      </c>
      <c r="X4272" s="19">
        <v>0.73599999999999999</v>
      </c>
      <c r="Y4272" s="20">
        <v>3.3399999999999999E-4</v>
      </c>
      <c r="Z4272" s="21">
        <v>4601004281776</v>
      </c>
    </row>
    <row r="4273" spans="1:26" ht="12" customHeight="1" outlineLevel="4" x14ac:dyDescent="0.2">
      <c r="A4273" s="14" t="s">
        <v>8308</v>
      </c>
      <c r="B4273" s="26" t="s">
        <v>8309</v>
      </c>
      <c r="C4273" s="52"/>
      <c r="D4273" s="55">
        <f t="shared" si="66"/>
        <v>0</v>
      </c>
      <c r="E4273" s="63" t="str">
        <f>HYPERLINK("https://www.sds-group.ru/product/zubilo-ploskoe-18h25h600mm-hvostovik-sds-max-kranz-KR-91-0223/", "Инфо")</f>
        <v>Инфо</v>
      </c>
      <c r="F4273" s="16" t="s">
        <v>39</v>
      </c>
      <c r="G4273" s="15"/>
      <c r="H4273" s="15"/>
      <c r="I4273" s="15"/>
      <c r="J4273" s="17">
        <v>994</v>
      </c>
      <c r="K4273" s="15"/>
      <c r="L4273" s="17">
        <v>1</v>
      </c>
      <c r="M4273" s="17">
        <v>20</v>
      </c>
      <c r="N4273" s="17">
        <v>1</v>
      </c>
      <c r="O4273" s="18">
        <v>795</v>
      </c>
      <c r="P4273" s="18">
        <v>651.64</v>
      </c>
      <c r="Q4273" s="18">
        <v>636</v>
      </c>
      <c r="R4273" s="18">
        <v>521.30999999999995</v>
      </c>
      <c r="S4273" s="18">
        <v>540.6</v>
      </c>
      <c r="T4273" s="18">
        <v>443.11</v>
      </c>
      <c r="U4273" s="16"/>
      <c r="V4273" s="16"/>
      <c r="W4273" s="16" t="s">
        <v>40</v>
      </c>
      <c r="X4273" s="19">
        <v>1.125</v>
      </c>
      <c r="Y4273" s="20">
        <v>4.8000000000000001E-4</v>
      </c>
      <c r="Z4273" s="21">
        <v>4601004281905</v>
      </c>
    </row>
    <row r="4274" spans="1:26" ht="12" customHeight="1" outlineLevel="4" x14ac:dyDescent="0.2">
      <c r="A4274" s="14" t="s">
        <v>8310</v>
      </c>
      <c r="B4274" s="26" t="s">
        <v>8311</v>
      </c>
      <c r="C4274" s="52"/>
      <c r="D4274" s="55">
        <f t="shared" si="66"/>
        <v>0</v>
      </c>
      <c r="E4274" s="63" t="str">
        <f>HYPERLINK("https://www.sds-group.ru/product/zubilo-ploskoe-shirokoe-14h40h250mm-hvostovik-sds-plus-kranz-KR-91-0203/", "Инфо")</f>
        <v>Инфо</v>
      </c>
      <c r="F4274" s="16" t="s">
        <v>39</v>
      </c>
      <c r="G4274" s="15"/>
      <c r="H4274" s="15"/>
      <c r="I4274" s="15"/>
      <c r="J4274" s="22">
        <v>11388</v>
      </c>
      <c r="K4274" s="15" t="s">
        <v>5369</v>
      </c>
      <c r="L4274" s="17">
        <v>5</v>
      </c>
      <c r="M4274" s="17">
        <v>50</v>
      </c>
      <c r="N4274" s="17">
        <v>5</v>
      </c>
      <c r="O4274" s="18">
        <v>296.62</v>
      </c>
      <c r="P4274" s="18">
        <v>243.13</v>
      </c>
      <c r="Q4274" s="18">
        <v>252.13</v>
      </c>
      <c r="R4274" s="18">
        <v>206.66</v>
      </c>
      <c r="S4274" s="18">
        <v>201.7</v>
      </c>
      <c r="T4274" s="18">
        <v>165.33</v>
      </c>
      <c r="U4274" s="16"/>
      <c r="V4274" s="16"/>
      <c r="W4274" s="16" t="s">
        <v>40</v>
      </c>
      <c r="X4274" s="19">
        <v>0.28699999999999998</v>
      </c>
      <c r="Y4274" s="20">
        <v>1.9799999999999999E-4</v>
      </c>
      <c r="Z4274" s="21">
        <v>4601004175105</v>
      </c>
    </row>
    <row r="4275" spans="1:26" ht="12" customHeight="1" outlineLevel="4" x14ac:dyDescent="0.2">
      <c r="A4275" s="14" t="s">
        <v>8312</v>
      </c>
      <c r="B4275" s="26" t="s">
        <v>8313</v>
      </c>
      <c r="C4275" s="52"/>
      <c r="D4275" s="55">
        <f t="shared" si="66"/>
        <v>0</v>
      </c>
      <c r="E4275" s="63" t="str">
        <f>HYPERLINK("https://www.sds-group.ru/product/zubilo-ploskoe-shirokoe-14h40h400mm-hvostovik-sds-plus-kranz-KR-91-0205/", "Инфо")</f>
        <v>Инфо</v>
      </c>
      <c r="F4275" s="16" t="s">
        <v>39</v>
      </c>
      <c r="G4275" s="15"/>
      <c r="H4275" s="15"/>
      <c r="I4275" s="15"/>
      <c r="J4275" s="22">
        <v>1652</v>
      </c>
      <c r="K4275" s="15"/>
      <c r="L4275" s="17">
        <v>5</v>
      </c>
      <c r="M4275" s="17">
        <v>50</v>
      </c>
      <c r="N4275" s="17">
        <v>5</v>
      </c>
      <c r="O4275" s="18">
        <v>652.29999999999995</v>
      </c>
      <c r="P4275" s="18">
        <v>534.66999999999996</v>
      </c>
      <c r="Q4275" s="18">
        <v>521.84</v>
      </c>
      <c r="R4275" s="18">
        <v>427.74</v>
      </c>
      <c r="S4275" s="18">
        <v>443.56</v>
      </c>
      <c r="T4275" s="18">
        <v>363.57</v>
      </c>
      <c r="U4275" s="16"/>
      <c r="V4275" s="16"/>
      <c r="W4275" s="16" t="s">
        <v>40</v>
      </c>
      <c r="X4275" s="19">
        <v>0.46800000000000003</v>
      </c>
      <c r="Y4275" s="20">
        <v>2.9999999999999997E-4</v>
      </c>
      <c r="Z4275" s="21">
        <v>4601004281806</v>
      </c>
    </row>
    <row r="4276" spans="1:26" ht="12" customHeight="1" outlineLevel="4" x14ac:dyDescent="0.2">
      <c r="A4276" s="14" t="s">
        <v>8314</v>
      </c>
      <c r="B4276" s="26" t="s">
        <v>8315</v>
      </c>
      <c r="C4276" s="52"/>
      <c r="D4276" s="55">
        <f t="shared" si="66"/>
        <v>0</v>
      </c>
      <c r="E4276" s="63" t="str">
        <f>HYPERLINK("https://www.sds-group.ru/product/zubilo-ploskoe-shirokoe-14h40h600mm-hvostovik-sds-plus-kranz-KR-91-0206/", "Инфо")</f>
        <v>Инфо</v>
      </c>
      <c r="F4276" s="16" t="s">
        <v>39</v>
      </c>
      <c r="G4276" s="15"/>
      <c r="H4276" s="15"/>
      <c r="I4276" s="15"/>
      <c r="J4276" s="17">
        <v>963</v>
      </c>
      <c r="K4276" s="15"/>
      <c r="L4276" s="17">
        <v>1</v>
      </c>
      <c r="M4276" s="17">
        <v>25</v>
      </c>
      <c r="N4276" s="17">
        <v>1</v>
      </c>
      <c r="O4276" s="18">
        <v>872.1</v>
      </c>
      <c r="P4276" s="18">
        <v>714.84</v>
      </c>
      <c r="Q4276" s="18">
        <v>697.68</v>
      </c>
      <c r="R4276" s="18">
        <v>571.87</v>
      </c>
      <c r="S4276" s="18">
        <v>593.03</v>
      </c>
      <c r="T4276" s="18">
        <v>486.09</v>
      </c>
      <c r="U4276" s="16"/>
      <c r="V4276" s="16"/>
      <c r="W4276" s="16" t="s">
        <v>40</v>
      </c>
      <c r="X4276" s="19">
        <v>0.66900000000000004</v>
      </c>
      <c r="Y4276" s="20">
        <v>5.8799999999999998E-4</v>
      </c>
      <c r="Z4276" s="21">
        <v>4601004281684</v>
      </c>
    </row>
    <row r="4277" spans="1:26" ht="12" customHeight="1" outlineLevel="4" x14ac:dyDescent="0.2">
      <c r="A4277" s="14" t="s">
        <v>8316</v>
      </c>
      <c r="B4277" s="26" t="s">
        <v>8317</v>
      </c>
      <c r="C4277" s="52"/>
      <c r="D4277" s="55">
        <f t="shared" si="66"/>
        <v>0</v>
      </c>
      <c r="E4277" s="63" t="str">
        <f>HYPERLINK("https://www.sds-group.ru/product/zubilo-ploskoe-shirokoe-25h50h360mm-hvostovik-sds-max-kranz-KR-91-0227/", "Инфо")</f>
        <v>Инфо</v>
      </c>
      <c r="F4277" s="16" t="s">
        <v>39</v>
      </c>
      <c r="G4277" s="15"/>
      <c r="H4277" s="15"/>
      <c r="I4277" s="15"/>
      <c r="J4277" s="17">
        <v>667</v>
      </c>
      <c r="K4277" s="15"/>
      <c r="L4277" s="17">
        <v>1</v>
      </c>
      <c r="M4277" s="17">
        <v>20</v>
      </c>
      <c r="N4277" s="17">
        <v>1</v>
      </c>
      <c r="O4277" s="18">
        <v>870.71</v>
      </c>
      <c r="P4277" s="18">
        <v>713.7</v>
      </c>
      <c r="Q4277" s="18">
        <v>696.57</v>
      </c>
      <c r="R4277" s="18">
        <v>570.96</v>
      </c>
      <c r="S4277" s="18">
        <v>592.08000000000004</v>
      </c>
      <c r="T4277" s="18">
        <v>485.31</v>
      </c>
      <c r="U4277" s="16"/>
      <c r="V4277" s="16"/>
      <c r="W4277" s="16" t="s">
        <v>40</v>
      </c>
      <c r="X4277" s="19">
        <v>1.034</v>
      </c>
      <c r="Y4277" s="20">
        <v>4.1399999999999998E-4</v>
      </c>
      <c r="Z4277" s="21">
        <v>4601004281837</v>
      </c>
    </row>
    <row r="4278" spans="1:26" ht="12" customHeight="1" outlineLevel="4" x14ac:dyDescent="0.2">
      <c r="A4278" s="14" t="s">
        <v>8318</v>
      </c>
      <c r="B4278" s="26" t="s">
        <v>8319</v>
      </c>
      <c r="C4278" s="52"/>
      <c r="D4278" s="55">
        <f t="shared" si="66"/>
        <v>0</v>
      </c>
      <c r="E4278" s="63" t="str">
        <f>HYPERLINK("https://www.sds-group.ru/product/nabor-zubil-dlya-perforatora-hvostovik-sds-plus-3-predmeta-kranz-KR-91-0430/", "Инфо")</f>
        <v>Инфо</v>
      </c>
      <c r="F4278" s="16" t="s">
        <v>39</v>
      </c>
      <c r="G4278" s="15"/>
      <c r="H4278" s="15"/>
      <c r="I4278" s="15"/>
      <c r="J4278" s="17">
        <v>51</v>
      </c>
      <c r="K4278" s="15" t="s">
        <v>5369</v>
      </c>
      <c r="L4278" s="17">
        <v>1</v>
      </c>
      <c r="M4278" s="17">
        <v>20</v>
      </c>
      <c r="N4278" s="17">
        <v>1</v>
      </c>
      <c r="O4278" s="18">
        <v>1081.2</v>
      </c>
      <c r="P4278" s="18">
        <v>886.23</v>
      </c>
      <c r="Q4278" s="18">
        <v>854.15</v>
      </c>
      <c r="R4278" s="18">
        <v>700.12</v>
      </c>
      <c r="S4278" s="18">
        <v>735.22</v>
      </c>
      <c r="T4278" s="18">
        <v>602.64</v>
      </c>
      <c r="U4278" s="16"/>
      <c r="V4278" s="16"/>
      <c r="W4278" s="16" t="s">
        <v>40</v>
      </c>
      <c r="X4278" s="19">
        <v>0.81200000000000006</v>
      </c>
      <c r="Y4278" s="20">
        <v>8.0400000000000003E-4</v>
      </c>
      <c r="Z4278" s="21">
        <v>4601004199125</v>
      </c>
    </row>
    <row r="4279" spans="1:26" ht="12" customHeight="1" outlineLevel="4" x14ac:dyDescent="0.2">
      <c r="A4279" s="14" t="s">
        <v>8320</v>
      </c>
      <c r="B4279" s="26" t="s">
        <v>8321</v>
      </c>
      <c r="C4279" s="52"/>
      <c r="D4279" s="55">
        <f t="shared" si="66"/>
        <v>0</v>
      </c>
      <c r="E4279" s="63" t="str">
        <f>HYPERLINK("https://www.sds-group.ru/product/pika-14h250mm-hvostovik-sds-plus-kranz-KR-91-0212/", "Инфо")</f>
        <v>Инфо</v>
      </c>
      <c r="F4279" s="16" t="s">
        <v>39</v>
      </c>
      <c r="G4279" s="15"/>
      <c r="H4279" s="15"/>
      <c r="I4279" s="15"/>
      <c r="J4279" s="22">
        <v>3447</v>
      </c>
      <c r="K4279" s="15" t="s">
        <v>5369</v>
      </c>
      <c r="L4279" s="17">
        <v>5</v>
      </c>
      <c r="M4279" s="17">
        <v>100</v>
      </c>
      <c r="N4279" s="17">
        <v>5</v>
      </c>
      <c r="O4279" s="18">
        <v>252.92</v>
      </c>
      <c r="P4279" s="18">
        <v>207.31</v>
      </c>
      <c r="Q4279" s="18">
        <v>214.98</v>
      </c>
      <c r="R4279" s="18">
        <v>176.21</v>
      </c>
      <c r="S4279" s="18">
        <v>171.99</v>
      </c>
      <c r="T4279" s="18">
        <v>140.97999999999999</v>
      </c>
      <c r="U4279" s="16"/>
      <c r="V4279" s="16"/>
      <c r="W4279" s="16" t="s">
        <v>40</v>
      </c>
      <c r="X4279" s="19">
        <v>0.246</v>
      </c>
      <c r="Y4279" s="20">
        <v>1.3799999999999999E-4</v>
      </c>
      <c r="Z4279" s="21">
        <v>4601004175112</v>
      </c>
    </row>
    <row r="4280" spans="1:26" ht="12" customHeight="1" outlineLevel="4" x14ac:dyDescent="0.2">
      <c r="A4280" s="14" t="s">
        <v>8322</v>
      </c>
      <c r="B4280" s="26" t="s">
        <v>8323</v>
      </c>
      <c r="C4280" s="52"/>
      <c r="D4280" s="55">
        <f t="shared" si="66"/>
        <v>0</v>
      </c>
      <c r="E4280" s="63" t="str">
        <f>HYPERLINK("https://www.sds-group.ru/product/pika-14h400mm-hvostovik-sds-plus-kranz-KR-91-0213/", "Инфо")</f>
        <v>Инфо</v>
      </c>
      <c r="F4280" s="16" t="s">
        <v>39</v>
      </c>
      <c r="G4280" s="15"/>
      <c r="H4280" s="15"/>
      <c r="I4280" s="15"/>
      <c r="J4280" s="17">
        <v>530</v>
      </c>
      <c r="K4280" s="15" t="s">
        <v>5369</v>
      </c>
      <c r="L4280" s="17">
        <v>5</v>
      </c>
      <c r="M4280" s="17">
        <v>50</v>
      </c>
      <c r="N4280" s="17">
        <v>5</v>
      </c>
      <c r="O4280" s="18">
        <v>346.54</v>
      </c>
      <c r="P4280" s="18">
        <v>284.05</v>
      </c>
      <c r="Q4280" s="18">
        <v>294.56</v>
      </c>
      <c r="R4280" s="18">
        <v>241.44</v>
      </c>
      <c r="S4280" s="18">
        <v>235.65</v>
      </c>
      <c r="T4280" s="18">
        <v>193.16</v>
      </c>
      <c r="U4280" s="16"/>
      <c r="V4280" s="16"/>
      <c r="W4280" s="16" t="s">
        <v>40</v>
      </c>
      <c r="X4280" s="19">
        <v>0.432</v>
      </c>
      <c r="Y4280" s="20">
        <v>2.3800000000000001E-4</v>
      </c>
      <c r="Z4280" s="21">
        <v>4601004281769</v>
      </c>
    </row>
    <row r="4281" spans="1:26" ht="12" customHeight="1" outlineLevel="4" x14ac:dyDescent="0.2">
      <c r="A4281" s="14" t="s">
        <v>8324</v>
      </c>
      <c r="B4281" s="26" t="s">
        <v>8325</v>
      </c>
      <c r="C4281" s="52"/>
      <c r="D4281" s="55">
        <f t="shared" si="66"/>
        <v>0</v>
      </c>
      <c r="E4281" s="63" t="str">
        <f>HYPERLINK("https://www.sds-group.ru/product/pika-14h600mm-hvostovik-sds-plus-kranz-KR-91-0214/", "Инфо")</f>
        <v>Инфо</v>
      </c>
      <c r="F4281" s="16" t="s">
        <v>39</v>
      </c>
      <c r="G4281" s="15"/>
      <c r="H4281" s="15"/>
      <c r="I4281" s="15"/>
      <c r="J4281" s="17">
        <v>203</v>
      </c>
      <c r="K4281" s="15" t="s">
        <v>5369</v>
      </c>
      <c r="L4281" s="17">
        <v>1</v>
      </c>
      <c r="M4281" s="17">
        <v>25</v>
      </c>
      <c r="N4281" s="17">
        <v>1</v>
      </c>
      <c r="O4281" s="18">
        <v>653.03</v>
      </c>
      <c r="P4281" s="18">
        <v>535.27</v>
      </c>
      <c r="Q4281" s="18">
        <v>522.41999999999996</v>
      </c>
      <c r="R4281" s="18">
        <v>428.21</v>
      </c>
      <c r="S4281" s="18">
        <v>444.06</v>
      </c>
      <c r="T4281" s="18">
        <v>363.98</v>
      </c>
      <c r="U4281" s="16"/>
      <c r="V4281" s="16"/>
      <c r="W4281" s="16" t="s">
        <v>40</v>
      </c>
      <c r="X4281" s="19">
        <v>0.67600000000000005</v>
      </c>
      <c r="Y4281" s="20">
        <v>3.2499999999999999E-4</v>
      </c>
      <c r="Z4281" s="21">
        <v>4601004281738</v>
      </c>
    </row>
    <row r="4282" spans="1:26" ht="12" customHeight="1" outlineLevel="4" x14ac:dyDescent="0.2">
      <c r="A4282" s="14" t="s">
        <v>8326</v>
      </c>
      <c r="B4282" s="26" t="s">
        <v>8327</v>
      </c>
      <c r="C4282" s="52"/>
      <c r="D4282" s="55">
        <f t="shared" si="66"/>
        <v>0</v>
      </c>
      <c r="E4282" s="63" t="str">
        <f>HYPERLINK("https://www.sds-group.ru/product/pika-18h280mm-hvostovik-sds-max-kranz-KR-91-0224/", "Инфо")</f>
        <v>Инфо</v>
      </c>
      <c r="F4282" s="16" t="s">
        <v>39</v>
      </c>
      <c r="G4282" s="15"/>
      <c r="H4282" s="15"/>
      <c r="I4282" s="15"/>
      <c r="J4282" s="17">
        <v>232</v>
      </c>
      <c r="K4282" s="15" t="s">
        <v>5369</v>
      </c>
      <c r="L4282" s="17">
        <v>5</v>
      </c>
      <c r="M4282" s="17">
        <v>50</v>
      </c>
      <c r="N4282" s="17">
        <v>5</v>
      </c>
      <c r="O4282" s="18">
        <v>387.67</v>
      </c>
      <c r="P4282" s="18">
        <v>317.76</v>
      </c>
      <c r="Q4282" s="18">
        <v>329.52</v>
      </c>
      <c r="R4282" s="18">
        <v>270.10000000000002</v>
      </c>
      <c r="S4282" s="18">
        <v>263.62</v>
      </c>
      <c r="T4282" s="18">
        <v>216.08</v>
      </c>
      <c r="U4282" s="16"/>
      <c r="V4282" s="16"/>
      <c r="W4282" s="16" t="s">
        <v>40</v>
      </c>
      <c r="X4282" s="19">
        <v>0.47699999999999998</v>
      </c>
      <c r="Y4282" s="20">
        <v>2.4800000000000001E-4</v>
      </c>
      <c r="Z4282" s="21">
        <v>4601004281868</v>
      </c>
    </row>
    <row r="4283" spans="1:26" ht="12" customHeight="1" outlineLevel="4" x14ac:dyDescent="0.2">
      <c r="A4283" s="14" t="s">
        <v>8328</v>
      </c>
      <c r="B4283" s="26" t="s">
        <v>8329</v>
      </c>
      <c r="C4283" s="52"/>
      <c r="D4283" s="55">
        <f t="shared" si="66"/>
        <v>0</v>
      </c>
      <c r="E4283" s="63" t="str">
        <f>HYPERLINK("https://www.sds-group.ru/product/pika-18h400mm-hvostovik-sds-max-kranz-KR-91-0225/", "Инфо")</f>
        <v>Инфо</v>
      </c>
      <c r="F4283" s="16" t="s">
        <v>39</v>
      </c>
      <c r="G4283" s="15"/>
      <c r="H4283" s="15"/>
      <c r="I4283" s="15"/>
      <c r="J4283" s="17">
        <v>186</v>
      </c>
      <c r="K4283" s="15" t="s">
        <v>5369</v>
      </c>
      <c r="L4283" s="17">
        <v>1</v>
      </c>
      <c r="M4283" s="17">
        <v>25</v>
      </c>
      <c r="N4283" s="17">
        <v>1</v>
      </c>
      <c r="O4283" s="18">
        <v>530</v>
      </c>
      <c r="P4283" s="18">
        <v>434.43</v>
      </c>
      <c r="Q4283" s="18">
        <v>424</v>
      </c>
      <c r="R4283" s="18">
        <v>347.54</v>
      </c>
      <c r="S4283" s="18">
        <v>360.4</v>
      </c>
      <c r="T4283" s="18">
        <v>295.41000000000003</v>
      </c>
      <c r="U4283" s="16"/>
      <c r="V4283" s="16"/>
      <c r="W4283" s="16" t="s">
        <v>40</v>
      </c>
      <c r="X4283" s="19">
        <v>0.71599999999999997</v>
      </c>
      <c r="Y4283" s="20">
        <v>3.1399999999999999E-4</v>
      </c>
      <c r="Z4283" s="21">
        <v>4601004281882</v>
      </c>
    </row>
    <row r="4284" spans="1:26" ht="12" customHeight="1" outlineLevel="4" x14ac:dyDescent="0.2">
      <c r="A4284" s="14" t="s">
        <v>8330</v>
      </c>
      <c r="B4284" s="26" t="s">
        <v>8331</v>
      </c>
      <c r="C4284" s="52"/>
      <c r="D4284" s="55">
        <f t="shared" si="66"/>
        <v>0</v>
      </c>
      <c r="E4284" s="63" t="str">
        <f>HYPERLINK("https://www.sds-group.ru/product/pika-18h600mm-hvostovik-sds-max-kranz-KR-91-0226/", "Инфо")</f>
        <v>Инфо</v>
      </c>
      <c r="F4284" s="16" t="s">
        <v>39</v>
      </c>
      <c r="G4284" s="15"/>
      <c r="H4284" s="15"/>
      <c r="I4284" s="15"/>
      <c r="J4284" s="17">
        <v>289</v>
      </c>
      <c r="K4284" s="15" t="s">
        <v>5369</v>
      </c>
      <c r="L4284" s="17">
        <v>1</v>
      </c>
      <c r="M4284" s="17">
        <v>20</v>
      </c>
      <c r="N4284" s="17">
        <v>1</v>
      </c>
      <c r="O4284" s="18">
        <v>849.98</v>
      </c>
      <c r="P4284" s="18">
        <v>696.7</v>
      </c>
      <c r="Q4284" s="18">
        <v>679.98</v>
      </c>
      <c r="R4284" s="18">
        <v>557.36</v>
      </c>
      <c r="S4284" s="18">
        <v>577.99</v>
      </c>
      <c r="T4284" s="18">
        <v>473.76</v>
      </c>
      <c r="U4284" s="16"/>
      <c r="V4284" s="16"/>
      <c r="W4284" s="16" t="s">
        <v>40</v>
      </c>
      <c r="X4284" s="19">
        <v>1.109</v>
      </c>
      <c r="Y4284" s="20">
        <v>4.7600000000000002E-4</v>
      </c>
      <c r="Z4284" s="21">
        <v>4601004281899</v>
      </c>
    </row>
    <row r="4285" spans="1:26" ht="12.95" customHeight="1" outlineLevel="3" x14ac:dyDescent="0.2">
      <c r="A4285" s="76" t="s">
        <v>8332</v>
      </c>
      <c r="B4285" s="76"/>
      <c r="C4285" s="77"/>
      <c r="D4285" s="58"/>
      <c r="E4285" s="68"/>
      <c r="F4285" s="13"/>
      <c r="G4285" s="13"/>
      <c r="H4285" s="13"/>
      <c r="I4285" s="13"/>
      <c r="J4285" s="13"/>
      <c r="K4285" s="13"/>
      <c r="L4285" s="13"/>
      <c r="M4285" s="13"/>
      <c r="N4285" s="13"/>
      <c r="O4285" s="13"/>
      <c r="P4285" s="13"/>
      <c r="Q4285" s="13"/>
      <c r="R4285" s="13"/>
      <c r="S4285" s="13"/>
      <c r="T4285" s="13"/>
      <c r="U4285" s="13"/>
      <c r="V4285" s="13"/>
      <c r="W4285" s="13"/>
      <c r="X4285" s="13"/>
      <c r="Y4285" s="13"/>
      <c r="Z4285" s="13"/>
    </row>
    <row r="4286" spans="1:26" ht="12" customHeight="1" outlineLevel="4" x14ac:dyDescent="0.2">
      <c r="A4286" s="14" t="s">
        <v>8333</v>
      </c>
      <c r="B4286" s="26" t="s">
        <v>8334</v>
      </c>
      <c r="C4286" s="52"/>
      <c r="D4286" s="55">
        <f t="shared" si="66"/>
        <v>0</v>
      </c>
      <c r="E4286" s="63" t="str">
        <f>HYPERLINK("https://www.sds-group.ru/product/burovaya-koronka-m22h150mm-kranz-KR-91-0441/", "Инфо")</f>
        <v>Инфо</v>
      </c>
      <c r="F4286" s="16" t="s">
        <v>39</v>
      </c>
      <c r="G4286" s="15"/>
      <c r="H4286" s="15"/>
      <c r="I4286" s="15"/>
      <c r="J4286" s="17">
        <v>51</v>
      </c>
      <c r="K4286" s="15"/>
      <c r="L4286" s="17">
        <v>1</v>
      </c>
      <c r="M4286" s="17">
        <v>5</v>
      </c>
      <c r="N4286" s="17">
        <v>1</v>
      </c>
      <c r="O4286" s="18">
        <v>5001.16</v>
      </c>
      <c r="P4286" s="18">
        <v>4099.3100000000004</v>
      </c>
      <c r="Q4286" s="18">
        <v>3650.85</v>
      </c>
      <c r="R4286" s="18">
        <v>2992.5</v>
      </c>
      <c r="S4286" s="18">
        <v>3400.79</v>
      </c>
      <c r="T4286" s="18">
        <v>2787.53</v>
      </c>
      <c r="U4286" s="16"/>
      <c r="V4286" s="16"/>
      <c r="W4286" s="16" t="s">
        <v>40</v>
      </c>
      <c r="X4286" s="19">
        <v>1.893</v>
      </c>
      <c r="Y4286" s="20">
        <v>3.1870000000000002E-3</v>
      </c>
      <c r="Z4286" s="21">
        <v>4601004281783</v>
      </c>
    </row>
    <row r="4287" spans="1:26" ht="12" customHeight="1" outlineLevel="4" x14ac:dyDescent="0.2">
      <c r="A4287" s="14" t="s">
        <v>8335</v>
      </c>
      <c r="B4287" s="26" t="s">
        <v>8336</v>
      </c>
      <c r="C4287" s="52"/>
      <c r="D4287" s="55">
        <f t="shared" si="66"/>
        <v>0</v>
      </c>
      <c r="E4287" s="63" t="str">
        <f>HYPERLINK("https://www.sds-group.ru/product/burovaya-koronka-m22h68mm-kranz-KR-91-0440/", "Инфо")</f>
        <v>Инфо</v>
      </c>
      <c r="F4287" s="16" t="s">
        <v>39</v>
      </c>
      <c r="G4287" s="15"/>
      <c r="H4287" s="15"/>
      <c r="I4287" s="15"/>
      <c r="J4287" s="17">
        <v>320</v>
      </c>
      <c r="K4287" s="15"/>
      <c r="L4287" s="17">
        <v>1</v>
      </c>
      <c r="M4287" s="17">
        <v>20</v>
      </c>
      <c r="N4287" s="17">
        <v>1</v>
      </c>
      <c r="O4287" s="18">
        <v>990.99</v>
      </c>
      <c r="P4287" s="18">
        <v>812.29</v>
      </c>
      <c r="Q4287" s="18">
        <v>792.79</v>
      </c>
      <c r="R4287" s="18">
        <v>649.83000000000004</v>
      </c>
      <c r="S4287" s="18">
        <v>673.87</v>
      </c>
      <c r="T4287" s="18">
        <v>552.35</v>
      </c>
      <c r="U4287" s="16"/>
      <c r="V4287" s="16"/>
      <c r="W4287" s="16" t="s">
        <v>40</v>
      </c>
      <c r="X4287" s="19">
        <v>0.56299999999999994</v>
      </c>
      <c r="Y4287" s="20">
        <v>6.6799999999999997E-4</v>
      </c>
      <c r="Z4287" s="21">
        <v>4601004281912</v>
      </c>
    </row>
    <row r="4288" spans="1:26" ht="12" customHeight="1" outlineLevel="4" x14ac:dyDescent="0.2">
      <c r="A4288" s="14" t="s">
        <v>8337</v>
      </c>
      <c r="B4288" s="26" t="s">
        <v>8338</v>
      </c>
      <c r="C4288" s="52"/>
      <c r="D4288" s="55">
        <f t="shared" si="66"/>
        <v>0</v>
      </c>
      <c r="E4288" s="63" t="str">
        <f>HYPERLINK("https://www.sds-group.ru/product/koronka-po-betonu-v-sbore-m22h65mm-hvostovik-sds-plus-kranz-KR-91-0413/", "Инфо")</f>
        <v>Инфо</v>
      </c>
      <c r="F4288" s="16" t="s">
        <v>39</v>
      </c>
      <c r="G4288" s="15"/>
      <c r="H4288" s="15"/>
      <c r="I4288" s="15"/>
      <c r="J4288" s="17">
        <v>562</v>
      </c>
      <c r="K4288" s="15"/>
      <c r="L4288" s="17">
        <v>1</v>
      </c>
      <c r="M4288" s="17">
        <v>20</v>
      </c>
      <c r="N4288" s="17">
        <v>1</v>
      </c>
      <c r="O4288" s="18">
        <v>1140.21</v>
      </c>
      <c r="P4288" s="18">
        <v>934.6</v>
      </c>
      <c r="Q4288" s="18">
        <v>912.17</v>
      </c>
      <c r="R4288" s="18">
        <v>747.68</v>
      </c>
      <c r="S4288" s="18">
        <v>775.34</v>
      </c>
      <c r="T4288" s="18">
        <v>635.52</v>
      </c>
      <c r="U4288" s="16"/>
      <c r="V4288" s="16"/>
      <c r="W4288" s="16" t="s">
        <v>40</v>
      </c>
      <c r="X4288" s="19">
        <v>0.73099999999999998</v>
      </c>
      <c r="Y4288" s="20">
        <v>9.6900000000000003E-4</v>
      </c>
      <c r="Z4288" s="21">
        <v>4601004175129</v>
      </c>
    </row>
    <row r="4289" spans="1:26" ht="12" customHeight="1" outlineLevel="4" x14ac:dyDescent="0.2">
      <c r="A4289" s="14" t="s">
        <v>8339</v>
      </c>
      <c r="B4289" s="26" t="s">
        <v>8340</v>
      </c>
      <c r="C4289" s="52"/>
      <c r="D4289" s="55">
        <f t="shared" si="66"/>
        <v>0</v>
      </c>
      <c r="E4289" s="63" t="str">
        <f>HYPERLINK("https://www.sds-group.ru/product/koronka-po-betonu-v-sbore-m22h68mm-hvostovik-sds-plus-kranz-KR-91-0412/", "Инфо")</f>
        <v>Инфо</v>
      </c>
      <c r="F4289" s="16" t="s">
        <v>39</v>
      </c>
      <c r="G4289" s="15"/>
      <c r="H4289" s="15"/>
      <c r="I4289" s="15"/>
      <c r="J4289" s="22">
        <v>3101</v>
      </c>
      <c r="K4289" s="15" t="s">
        <v>5369</v>
      </c>
      <c r="L4289" s="17">
        <v>1</v>
      </c>
      <c r="M4289" s="17">
        <v>20</v>
      </c>
      <c r="N4289" s="17">
        <v>1</v>
      </c>
      <c r="O4289" s="18">
        <v>1294.42</v>
      </c>
      <c r="P4289" s="18">
        <v>1061</v>
      </c>
      <c r="Q4289" s="18">
        <v>1035.54</v>
      </c>
      <c r="R4289" s="18">
        <v>848.8</v>
      </c>
      <c r="S4289" s="18">
        <v>880.21</v>
      </c>
      <c r="T4289" s="18">
        <v>721.48</v>
      </c>
      <c r="U4289" s="16"/>
      <c r="V4289" s="16"/>
      <c r="W4289" s="16" t="s">
        <v>40</v>
      </c>
      <c r="X4289" s="19">
        <v>0.77900000000000003</v>
      </c>
      <c r="Y4289" s="20">
        <v>1.1360000000000001E-3</v>
      </c>
      <c r="Z4289" s="21">
        <v>4601004175136</v>
      </c>
    </row>
    <row r="4290" spans="1:26" ht="12" customHeight="1" outlineLevel="4" x14ac:dyDescent="0.2">
      <c r="A4290" s="14" t="s">
        <v>8341</v>
      </c>
      <c r="B4290" s="26" t="s">
        <v>8342</v>
      </c>
      <c r="C4290" s="52"/>
      <c r="D4290" s="55">
        <f t="shared" si="66"/>
        <v>0</v>
      </c>
      <c r="E4290" s="63" t="str">
        <f>HYPERLINK("https://www.sds-group.ru/product/koronka-po-betonu-v-sbore-m22h73mm-hvostovik-sds-plus-kranz-KR-91-0415/", "Инфо")</f>
        <v>Инфо</v>
      </c>
      <c r="F4290" s="16" t="s">
        <v>39</v>
      </c>
      <c r="G4290" s="15"/>
      <c r="H4290" s="15"/>
      <c r="I4290" s="15"/>
      <c r="J4290" s="17">
        <v>916</v>
      </c>
      <c r="K4290" s="15" t="s">
        <v>5369</v>
      </c>
      <c r="L4290" s="17">
        <v>1</v>
      </c>
      <c r="M4290" s="17">
        <v>20</v>
      </c>
      <c r="N4290" s="17">
        <v>1</v>
      </c>
      <c r="O4290" s="18">
        <v>1386.15</v>
      </c>
      <c r="P4290" s="18">
        <v>1136.19</v>
      </c>
      <c r="Q4290" s="18">
        <v>1108.92</v>
      </c>
      <c r="R4290" s="18">
        <v>908.95</v>
      </c>
      <c r="S4290" s="18">
        <v>942.58</v>
      </c>
      <c r="T4290" s="18">
        <v>772.61</v>
      </c>
      <c r="U4290" s="16"/>
      <c r="V4290" s="16"/>
      <c r="W4290" s="16" t="s">
        <v>40</v>
      </c>
      <c r="X4290" s="19">
        <v>0.87</v>
      </c>
      <c r="Y4290" s="20">
        <v>1.325E-3</v>
      </c>
      <c r="Z4290" s="21">
        <v>4601004197947</v>
      </c>
    </row>
    <row r="4291" spans="1:26" ht="12" customHeight="1" outlineLevel="4" x14ac:dyDescent="0.2">
      <c r="A4291" s="14" t="s">
        <v>8343</v>
      </c>
      <c r="B4291" s="26" t="s">
        <v>8344</v>
      </c>
      <c r="C4291" s="52"/>
      <c r="D4291" s="55">
        <f t="shared" si="66"/>
        <v>0</v>
      </c>
      <c r="E4291" s="63" t="str">
        <f>HYPERLINK("https://www.sds-group.ru/product/koronka-po-betonu-v-sbore-m22h80mm-hvostovik-sds-plus-kranz-KR-91-0414/", "Инфо")</f>
        <v>Инфо</v>
      </c>
      <c r="F4291" s="16" t="s">
        <v>39</v>
      </c>
      <c r="G4291" s="15"/>
      <c r="H4291" s="15"/>
      <c r="I4291" s="15"/>
      <c r="J4291" s="16" t="s">
        <v>100</v>
      </c>
      <c r="K4291" s="15"/>
      <c r="L4291" s="17">
        <v>1</v>
      </c>
      <c r="M4291" s="17">
        <v>20</v>
      </c>
      <c r="N4291" s="17">
        <v>1</v>
      </c>
      <c r="O4291" s="18">
        <v>1610.38</v>
      </c>
      <c r="P4291" s="18">
        <v>1319.98</v>
      </c>
      <c r="Q4291" s="18">
        <v>1272.2</v>
      </c>
      <c r="R4291" s="18">
        <v>1042.79</v>
      </c>
      <c r="S4291" s="18">
        <v>1095.06</v>
      </c>
      <c r="T4291" s="18">
        <v>897.59</v>
      </c>
      <c r="U4291" s="16"/>
      <c r="V4291" s="16"/>
      <c r="W4291" s="16" t="s">
        <v>40</v>
      </c>
      <c r="X4291" s="19">
        <v>0.93600000000000005</v>
      </c>
      <c r="Y4291" s="20">
        <v>1.2210000000000001E-3</v>
      </c>
      <c r="Z4291" s="21">
        <v>4601004175143</v>
      </c>
    </row>
    <row r="4292" spans="1:26" ht="12" customHeight="1" outlineLevel="4" x14ac:dyDescent="0.2">
      <c r="A4292" s="14" t="s">
        <v>8345</v>
      </c>
      <c r="B4292" s="26" t="s">
        <v>8346</v>
      </c>
      <c r="C4292" s="52"/>
      <c r="D4292" s="55">
        <f t="shared" si="66"/>
        <v>0</v>
      </c>
      <c r="E4292" s="63" t="str">
        <f>HYPERLINK("https://www.sds-group.ru/product/koronka-po-betonu-m22h100mm-kranz-KR-91-0418/", "Инфо")</f>
        <v>Инфо</v>
      </c>
      <c r="F4292" s="16" t="s">
        <v>39</v>
      </c>
      <c r="G4292" s="15"/>
      <c r="H4292" s="15"/>
      <c r="I4292" s="15"/>
      <c r="J4292" s="17">
        <v>162</v>
      </c>
      <c r="K4292" s="15"/>
      <c r="L4292" s="17">
        <v>1</v>
      </c>
      <c r="M4292" s="17">
        <v>25</v>
      </c>
      <c r="N4292" s="17">
        <v>1</v>
      </c>
      <c r="O4292" s="18">
        <v>2176.77</v>
      </c>
      <c r="P4292" s="18">
        <v>1784.24</v>
      </c>
      <c r="Q4292" s="18">
        <v>1676.11</v>
      </c>
      <c r="R4292" s="18">
        <v>1373.86</v>
      </c>
      <c r="S4292" s="18">
        <v>1480.2</v>
      </c>
      <c r="T4292" s="18">
        <v>1213.28</v>
      </c>
      <c r="U4292" s="16"/>
      <c r="V4292" s="16"/>
      <c r="W4292" s="16" t="s">
        <v>40</v>
      </c>
      <c r="X4292" s="19">
        <v>0.99099999999999999</v>
      </c>
      <c r="Y4292" s="20">
        <v>1.188E-3</v>
      </c>
      <c r="Z4292" s="21">
        <v>4601004199422</v>
      </c>
    </row>
    <row r="4293" spans="1:26" ht="12" customHeight="1" outlineLevel="4" x14ac:dyDescent="0.2">
      <c r="A4293" s="14" t="s">
        <v>8347</v>
      </c>
      <c r="B4293" s="26" t="s">
        <v>8348</v>
      </c>
      <c r="C4293" s="52"/>
      <c r="D4293" s="55">
        <f t="shared" si="66"/>
        <v>0</v>
      </c>
      <c r="E4293" s="63" t="str">
        <f>HYPERLINK("https://www.sds-group.ru/product/koronka-po-betonu-m22h110mm-kranz-KR-91-0419/", "Инфо")</f>
        <v>Инфо</v>
      </c>
      <c r="F4293" s="16" t="s">
        <v>39</v>
      </c>
      <c r="G4293" s="15"/>
      <c r="H4293" s="15"/>
      <c r="I4293" s="15"/>
      <c r="J4293" s="16" t="s">
        <v>100</v>
      </c>
      <c r="K4293" s="15"/>
      <c r="L4293" s="17">
        <v>1</v>
      </c>
      <c r="M4293" s="17">
        <v>10</v>
      </c>
      <c r="N4293" s="17">
        <v>1</v>
      </c>
      <c r="O4293" s="18">
        <v>2425.14</v>
      </c>
      <c r="P4293" s="18">
        <v>1987.82</v>
      </c>
      <c r="Q4293" s="18">
        <v>1867.36</v>
      </c>
      <c r="R4293" s="18">
        <v>1530.62</v>
      </c>
      <c r="S4293" s="18">
        <v>1649.1</v>
      </c>
      <c r="T4293" s="18">
        <v>1351.72</v>
      </c>
      <c r="U4293" s="16"/>
      <c r="V4293" s="16"/>
      <c r="W4293" s="16" t="s">
        <v>40</v>
      </c>
      <c r="X4293" s="19">
        <v>1.163</v>
      </c>
      <c r="Y4293" s="20">
        <v>2.036E-3</v>
      </c>
      <c r="Z4293" s="21">
        <v>4601004199446</v>
      </c>
    </row>
    <row r="4294" spans="1:26" ht="12" customHeight="1" outlineLevel="4" x14ac:dyDescent="0.2">
      <c r="A4294" s="14" t="s">
        <v>8349</v>
      </c>
      <c r="B4294" s="26" t="s">
        <v>8350</v>
      </c>
      <c r="C4294" s="52"/>
      <c r="D4294" s="55">
        <f t="shared" si="66"/>
        <v>0</v>
      </c>
      <c r="E4294" s="63" t="str">
        <f>HYPERLINK("https://www.sds-group.ru/product/koronka-po-betonu-m22h120mm-kranz-KR-91-0420/", "Инфо")</f>
        <v>Инфо</v>
      </c>
      <c r="F4294" s="16" t="s">
        <v>39</v>
      </c>
      <c r="G4294" s="15"/>
      <c r="H4294" s="15"/>
      <c r="I4294" s="15"/>
      <c r="J4294" s="17">
        <v>251</v>
      </c>
      <c r="K4294" s="15"/>
      <c r="L4294" s="17">
        <v>1</v>
      </c>
      <c r="M4294" s="17">
        <v>10</v>
      </c>
      <c r="N4294" s="17">
        <v>1</v>
      </c>
      <c r="O4294" s="18">
        <v>2939</v>
      </c>
      <c r="P4294" s="18">
        <v>2409.02</v>
      </c>
      <c r="Q4294" s="18">
        <v>2263.0300000000002</v>
      </c>
      <c r="R4294" s="18">
        <v>1854.94</v>
      </c>
      <c r="S4294" s="18">
        <v>1998.52</v>
      </c>
      <c r="T4294" s="18">
        <v>1638.13</v>
      </c>
      <c r="U4294" s="16"/>
      <c r="V4294" s="16"/>
      <c r="W4294" s="16" t="s">
        <v>40</v>
      </c>
      <c r="X4294" s="19">
        <v>1.32</v>
      </c>
      <c r="Y4294" s="20">
        <v>2.085E-3</v>
      </c>
      <c r="Z4294" s="21">
        <v>4601004199460</v>
      </c>
    </row>
    <row r="4295" spans="1:26" ht="12" customHeight="1" outlineLevel="4" x14ac:dyDescent="0.2">
      <c r="A4295" s="14" t="s">
        <v>8351</v>
      </c>
      <c r="B4295" s="26" t="s">
        <v>8352</v>
      </c>
      <c r="C4295" s="52"/>
      <c r="D4295" s="55">
        <f t="shared" si="66"/>
        <v>0</v>
      </c>
      <c r="E4295" s="63" t="str">
        <f>HYPERLINK("https://www.sds-group.ru/product/koronka-po-betonu-m22h35mm-kranz-KR-91-0417/", "Инфо")</f>
        <v>Инфо</v>
      </c>
      <c r="F4295" s="16" t="s">
        <v>39</v>
      </c>
      <c r="G4295" s="15"/>
      <c r="H4295" s="15"/>
      <c r="I4295" s="15"/>
      <c r="J4295" s="17">
        <v>187</v>
      </c>
      <c r="K4295" s="15"/>
      <c r="L4295" s="17">
        <v>1</v>
      </c>
      <c r="M4295" s="17">
        <v>50</v>
      </c>
      <c r="N4295" s="17">
        <v>1</v>
      </c>
      <c r="O4295" s="18">
        <v>598.09</v>
      </c>
      <c r="P4295" s="18">
        <v>490.24</v>
      </c>
      <c r="Q4295" s="18">
        <v>478.47</v>
      </c>
      <c r="R4295" s="18">
        <v>392.19</v>
      </c>
      <c r="S4295" s="18">
        <v>406.7</v>
      </c>
      <c r="T4295" s="18">
        <v>333.36</v>
      </c>
      <c r="U4295" s="16"/>
      <c r="V4295" s="16"/>
      <c r="W4295" s="16" t="s">
        <v>40</v>
      </c>
      <c r="X4295" s="19">
        <v>0.217</v>
      </c>
      <c r="Y4295" s="20">
        <v>2.3499999999999999E-4</v>
      </c>
      <c r="Z4295" s="21">
        <v>4601004202269</v>
      </c>
    </row>
    <row r="4296" spans="1:26" ht="12" customHeight="1" outlineLevel="4" x14ac:dyDescent="0.2">
      <c r="A4296" s="14" t="s">
        <v>8353</v>
      </c>
      <c r="B4296" s="26" t="s">
        <v>8354</v>
      </c>
      <c r="C4296" s="52"/>
      <c r="D4296" s="55">
        <f t="shared" si="66"/>
        <v>0</v>
      </c>
      <c r="E4296" s="63" t="str">
        <f>HYPERLINK("https://www.sds-group.ru/product/perehodnik-dlya-perforatora-sds-max-na-sds-plus-kranz-KR-91-0230/", "Инфо")</f>
        <v>Инфо</v>
      </c>
      <c r="F4296" s="16" t="s">
        <v>39</v>
      </c>
      <c r="G4296" s="15"/>
      <c r="H4296" s="15"/>
      <c r="I4296" s="15"/>
      <c r="J4296" s="17">
        <v>474</v>
      </c>
      <c r="K4296" s="15"/>
      <c r="L4296" s="17">
        <v>1</v>
      </c>
      <c r="M4296" s="17">
        <v>25</v>
      </c>
      <c r="N4296" s="17">
        <v>1</v>
      </c>
      <c r="O4296" s="18">
        <v>1461.55</v>
      </c>
      <c r="P4296" s="18">
        <v>1197.99</v>
      </c>
      <c r="Q4296" s="18">
        <v>1154.6199999999999</v>
      </c>
      <c r="R4296" s="18">
        <v>946.41</v>
      </c>
      <c r="S4296" s="18">
        <v>993.85</v>
      </c>
      <c r="T4296" s="18">
        <v>814.63</v>
      </c>
      <c r="U4296" s="16"/>
      <c r="V4296" s="16"/>
      <c r="W4296" s="16" t="s">
        <v>40</v>
      </c>
      <c r="X4296" s="19">
        <v>0.58099999999999996</v>
      </c>
      <c r="Y4296" s="20">
        <v>3.9899999999999999E-4</v>
      </c>
      <c r="Z4296" s="21">
        <v>4601004281844</v>
      </c>
    </row>
    <row r="4297" spans="1:26" ht="12" customHeight="1" outlineLevel="4" x14ac:dyDescent="0.2">
      <c r="A4297" s="14" t="s">
        <v>8355</v>
      </c>
      <c r="B4297" s="26" t="s">
        <v>8356</v>
      </c>
      <c r="C4297" s="52"/>
      <c r="D4297" s="55">
        <f t="shared" ref="D4297:D4360" si="67">C4297*(O4297-O4297*$G$3)</f>
        <v>0</v>
      </c>
      <c r="E4297" s="63" t="str">
        <f>HYPERLINK("https://www.sds-group.ru/product/perehodnik-dlya-perforatora-plastikovyy-kozhuh-hvostovik-sds-max-na-hvostovik-sds-plus-kr-KR-91-0231/", "Инфо")</f>
        <v>Инфо</v>
      </c>
      <c r="F4297" s="16" t="s">
        <v>39</v>
      </c>
      <c r="G4297" s="15"/>
      <c r="H4297" s="15"/>
      <c r="I4297" s="15"/>
      <c r="J4297" s="17">
        <v>73</v>
      </c>
      <c r="K4297" s="15" t="s">
        <v>883</v>
      </c>
      <c r="L4297" s="17">
        <v>1</v>
      </c>
      <c r="M4297" s="17">
        <v>25</v>
      </c>
      <c r="N4297" s="17">
        <v>1</v>
      </c>
      <c r="O4297" s="18">
        <v>1637.76</v>
      </c>
      <c r="P4297" s="18">
        <v>1342.43</v>
      </c>
      <c r="Q4297" s="18">
        <v>1293.83</v>
      </c>
      <c r="R4297" s="18">
        <v>1060.52</v>
      </c>
      <c r="S4297" s="18">
        <v>1113.68</v>
      </c>
      <c r="T4297" s="18">
        <v>912.85</v>
      </c>
      <c r="U4297" s="16"/>
      <c r="V4297" s="16"/>
      <c r="W4297" s="16" t="s">
        <v>40</v>
      </c>
      <c r="X4297" s="19">
        <v>0.60599999999999998</v>
      </c>
      <c r="Y4297" s="20">
        <v>4.3100000000000001E-4</v>
      </c>
      <c r="Z4297" s="21">
        <v>4601004281851</v>
      </c>
    </row>
    <row r="4298" spans="1:26" ht="12" customHeight="1" outlineLevel="4" x14ac:dyDescent="0.2">
      <c r="A4298" s="32" t="s">
        <v>8357</v>
      </c>
      <c r="B4298" s="74" t="s">
        <v>8358</v>
      </c>
      <c r="C4298" s="50"/>
      <c r="D4298" s="53">
        <f t="shared" si="67"/>
        <v>0</v>
      </c>
      <c r="E4298" s="60" t="str">
        <f>HYPERLINK("https://www.sds-group.ru/product/hvostovik-dlya-koronki-m16h120mm-hvostovik-sds-plus-kranz-KR-91-0401/", "Инфо")</f>
        <v>Инфо</v>
      </c>
      <c r="F4298" s="34" t="s">
        <v>39</v>
      </c>
      <c r="G4298" s="33"/>
      <c r="H4298" s="33" t="s">
        <v>40</v>
      </c>
      <c r="I4298" s="33"/>
      <c r="J4298" s="35">
        <v>114</v>
      </c>
      <c r="K4298" s="33"/>
      <c r="L4298" s="35">
        <v>1</v>
      </c>
      <c r="M4298" s="35">
        <v>50</v>
      </c>
      <c r="N4298" s="35">
        <v>1</v>
      </c>
      <c r="O4298" s="36">
        <v>744.04</v>
      </c>
      <c r="P4298" s="36">
        <v>609.87</v>
      </c>
      <c r="Q4298" s="36">
        <v>595.23</v>
      </c>
      <c r="R4298" s="36">
        <v>487.89</v>
      </c>
      <c r="S4298" s="36">
        <v>505.95</v>
      </c>
      <c r="T4298" s="36">
        <v>414.71</v>
      </c>
      <c r="U4298" s="34"/>
      <c r="V4298" s="34"/>
      <c r="W4298" s="34" t="s">
        <v>40</v>
      </c>
      <c r="X4298" s="37">
        <v>0.18</v>
      </c>
      <c r="Y4298" s="38">
        <v>5.3700000000000004E-4</v>
      </c>
      <c r="Z4298" s="21">
        <v>4601004255098</v>
      </c>
    </row>
    <row r="4299" spans="1:26" ht="12" customHeight="1" outlineLevel="4" x14ac:dyDescent="0.2">
      <c r="A4299" s="14" t="s">
        <v>8359</v>
      </c>
      <c r="B4299" s="26" t="s">
        <v>8360</v>
      </c>
      <c r="C4299" s="52"/>
      <c r="D4299" s="55">
        <f t="shared" si="67"/>
        <v>0</v>
      </c>
      <c r="E4299" s="63" t="str">
        <f>HYPERLINK("https://www.sds-group.ru/product/hvostovik-dlya-koronki-m22h120mm-hvostovik-sds-plus-kranz-KR-91-0421/", "Инфо")</f>
        <v>Инфо</v>
      </c>
      <c r="F4299" s="16" t="s">
        <v>39</v>
      </c>
      <c r="G4299" s="15"/>
      <c r="H4299" s="15"/>
      <c r="I4299" s="15"/>
      <c r="J4299" s="17">
        <v>625</v>
      </c>
      <c r="K4299" s="15"/>
      <c r="L4299" s="17">
        <v>1</v>
      </c>
      <c r="M4299" s="17">
        <v>100</v>
      </c>
      <c r="N4299" s="17">
        <v>1</v>
      </c>
      <c r="O4299" s="18">
        <v>417.88</v>
      </c>
      <c r="P4299" s="18">
        <v>342.52</v>
      </c>
      <c r="Q4299" s="18">
        <v>334.3</v>
      </c>
      <c r="R4299" s="18">
        <v>274.02</v>
      </c>
      <c r="S4299" s="18">
        <v>284.16000000000003</v>
      </c>
      <c r="T4299" s="18">
        <v>232.92</v>
      </c>
      <c r="U4299" s="16"/>
      <c r="V4299" s="16"/>
      <c r="W4299" s="16" t="s">
        <v>40</v>
      </c>
      <c r="X4299" s="19">
        <v>0.25600000000000001</v>
      </c>
      <c r="Y4299" s="20">
        <v>2.2800000000000001E-4</v>
      </c>
      <c r="Z4299" s="21">
        <v>4601004175150</v>
      </c>
    </row>
    <row r="4300" spans="1:26" ht="12" customHeight="1" outlineLevel="4" x14ac:dyDescent="0.2">
      <c r="A4300" s="32" t="s">
        <v>8361</v>
      </c>
      <c r="B4300" s="74" t="s">
        <v>8362</v>
      </c>
      <c r="C4300" s="50"/>
      <c r="D4300" s="53">
        <f t="shared" si="67"/>
        <v>0</v>
      </c>
      <c r="E4300" s="60" t="str">
        <f>HYPERLINK("https://www.sds-group.ru/product/hvostovik-dlya-koronki-m22h250mm-hvostovik-sds-plus-kranz-KR-91-0422/", "Инфо")</f>
        <v>Инфо</v>
      </c>
      <c r="F4300" s="34" t="s">
        <v>39</v>
      </c>
      <c r="G4300" s="33"/>
      <c r="H4300" s="33" t="s">
        <v>40</v>
      </c>
      <c r="I4300" s="33"/>
      <c r="J4300" s="35">
        <v>362</v>
      </c>
      <c r="K4300" s="33"/>
      <c r="L4300" s="35">
        <v>1</v>
      </c>
      <c r="M4300" s="35">
        <v>50</v>
      </c>
      <c r="N4300" s="35">
        <v>1</v>
      </c>
      <c r="O4300" s="36">
        <v>725.59</v>
      </c>
      <c r="P4300" s="36">
        <v>594.75</v>
      </c>
      <c r="Q4300" s="36">
        <v>580.47</v>
      </c>
      <c r="R4300" s="36">
        <v>475.8</v>
      </c>
      <c r="S4300" s="36">
        <v>493.4</v>
      </c>
      <c r="T4300" s="36">
        <v>404.43</v>
      </c>
      <c r="U4300" s="34"/>
      <c r="V4300" s="34"/>
      <c r="W4300" s="34" t="s">
        <v>40</v>
      </c>
      <c r="X4300" s="37">
        <v>0.49299999999999999</v>
      </c>
      <c r="Y4300" s="38">
        <v>4.4999999999999999E-4</v>
      </c>
      <c r="Z4300" s="21">
        <v>4601004175167</v>
      </c>
    </row>
    <row r="4301" spans="1:26" ht="12" customHeight="1" outlineLevel="4" x14ac:dyDescent="0.2">
      <c r="A4301" s="14" t="s">
        <v>8363</v>
      </c>
      <c r="B4301" s="26" t="s">
        <v>8364</v>
      </c>
      <c r="C4301" s="52"/>
      <c r="D4301" s="55">
        <f t="shared" si="67"/>
        <v>0</v>
      </c>
      <c r="E4301" s="63" t="str">
        <f>HYPERLINK("https://www.sds-group.ru/product/hvostovik-dlya-koronki-m22h400mm-hvostovik-sds-plus-kranz-KR-91-0423/", "Инфо")</f>
        <v>Инфо</v>
      </c>
      <c r="F4301" s="16" t="s">
        <v>39</v>
      </c>
      <c r="G4301" s="15"/>
      <c r="H4301" s="15"/>
      <c r="I4301" s="15"/>
      <c r="J4301" s="17">
        <v>524</v>
      </c>
      <c r="K4301" s="15"/>
      <c r="L4301" s="17">
        <v>1</v>
      </c>
      <c r="M4301" s="17">
        <v>20</v>
      </c>
      <c r="N4301" s="17">
        <v>1</v>
      </c>
      <c r="O4301" s="18">
        <v>1140.21</v>
      </c>
      <c r="P4301" s="18">
        <v>934.6</v>
      </c>
      <c r="Q4301" s="18">
        <v>912.17</v>
      </c>
      <c r="R4301" s="18">
        <v>747.68</v>
      </c>
      <c r="S4301" s="18">
        <v>775.34</v>
      </c>
      <c r="T4301" s="18">
        <v>635.52</v>
      </c>
      <c r="U4301" s="16"/>
      <c r="V4301" s="16"/>
      <c r="W4301" s="16" t="s">
        <v>40</v>
      </c>
      <c r="X4301" s="19">
        <v>0.78300000000000003</v>
      </c>
      <c r="Y4301" s="20">
        <v>5.8399999999999999E-4</v>
      </c>
      <c r="Z4301" s="21">
        <v>4601004281790</v>
      </c>
    </row>
    <row r="4302" spans="1:26" ht="12" customHeight="1" outlineLevel="4" x14ac:dyDescent="0.2">
      <c r="A4302" s="32" t="s">
        <v>8365</v>
      </c>
      <c r="B4302" s="74" t="s">
        <v>8366</v>
      </c>
      <c r="C4302" s="50"/>
      <c r="D4302" s="53">
        <f t="shared" si="67"/>
        <v>0</v>
      </c>
      <c r="E4302" s="60" t="str">
        <f>HYPERLINK("https://www.sds-group.ru/product/hvostovik-dlya-koronki-m22h600mm-hvostovik-sds-max-kranz-KR-91-0426/", "Инфо")</f>
        <v>Инфо</v>
      </c>
      <c r="F4302" s="34" t="s">
        <v>39</v>
      </c>
      <c r="G4302" s="33"/>
      <c r="H4302" s="33" t="s">
        <v>40</v>
      </c>
      <c r="I4302" s="33"/>
      <c r="J4302" s="35">
        <v>740</v>
      </c>
      <c r="K4302" s="33"/>
      <c r="L4302" s="35">
        <v>1</v>
      </c>
      <c r="M4302" s="35">
        <v>10</v>
      </c>
      <c r="N4302" s="35">
        <v>1</v>
      </c>
      <c r="O4302" s="36">
        <v>672.19</v>
      </c>
      <c r="P4302" s="36">
        <v>550.98</v>
      </c>
      <c r="Q4302" s="36">
        <v>470.53</v>
      </c>
      <c r="R4302" s="36">
        <v>385.68</v>
      </c>
      <c r="S4302" s="36">
        <v>457.09</v>
      </c>
      <c r="T4302" s="36">
        <v>374.66</v>
      </c>
      <c r="U4302" s="34"/>
      <c r="V4302" s="34"/>
      <c r="W4302" s="34"/>
      <c r="X4302" s="37">
        <v>1.272</v>
      </c>
      <c r="Y4302" s="38">
        <v>1.175E-3</v>
      </c>
      <c r="Z4302" s="21">
        <v>4601004175174</v>
      </c>
    </row>
    <row r="4303" spans="1:26" ht="12.95" customHeight="1" outlineLevel="2" x14ac:dyDescent="0.2">
      <c r="A4303" s="76" t="s">
        <v>8367</v>
      </c>
      <c r="B4303" s="76"/>
      <c r="C4303" s="77"/>
      <c r="D4303" s="58"/>
      <c r="E4303" s="68"/>
      <c r="F4303" s="13"/>
      <c r="G4303" s="13"/>
      <c r="H4303" s="13"/>
      <c r="I4303" s="13"/>
      <c r="J4303" s="13"/>
      <c r="K4303" s="13"/>
      <c r="L4303" s="13"/>
      <c r="M4303" s="13"/>
      <c r="N4303" s="13"/>
      <c r="O4303" s="13"/>
      <c r="P4303" s="13"/>
      <c r="Q4303" s="13"/>
      <c r="R4303" s="13"/>
      <c r="S4303" s="13"/>
      <c r="T4303" s="13"/>
      <c r="U4303" s="13"/>
      <c r="V4303" s="13"/>
      <c r="W4303" s="13"/>
      <c r="X4303" s="13"/>
      <c r="Y4303" s="13"/>
      <c r="Z4303" s="13"/>
    </row>
    <row r="4304" spans="1:26" ht="12.95" customHeight="1" outlineLevel="3" x14ac:dyDescent="0.2">
      <c r="A4304" s="82" t="s">
        <v>8368</v>
      </c>
      <c r="B4304" s="82"/>
      <c r="C4304" s="83"/>
      <c r="D4304" s="59"/>
      <c r="E4304" s="69"/>
      <c r="F4304" s="23"/>
      <c r="G4304" s="23"/>
      <c r="H4304" s="23"/>
      <c r="I4304" s="23"/>
      <c r="J4304" s="23"/>
      <c r="K4304" s="23"/>
      <c r="L4304" s="23"/>
      <c r="M4304" s="23"/>
      <c r="N4304" s="23"/>
      <c r="O4304" s="23"/>
      <c r="P4304" s="23"/>
      <c r="Q4304" s="23"/>
      <c r="R4304" s="23"/>
      <c r="S4304" s="23"/>
      <c r="T4304" s="23"/>
      <c r="U4304" s="23"/>
      <c r="V4304" s="23"/>
      <c r="W4304" s="23"/>
      <c r="X4304" s="23"/>
      <c r="Y4304" s="23"/>
      <c r="Z4304" s="23"/>
    </row>
    <row r="4305" spans="1:26" ht="12" customHeight="1" outlineLevel="4" x14ac:dyDescent="0.2">
      <c r="A4305" s="14" t="s">
        <v>8369</v>
      </c>
      <c r="B4305" s="26" t="s">
        <v>8370</v>
      </c>
      <c r="C4305" s="52"/>
      <c r="D4305" s="55">
        <f t="shared" si="67"/>
        <v>0</v>
      </c>
      <c r="E4305" s="63" t="str">
        <f>HYPERLINK("https://www.sds-group.ru/product/disk-otreznoy-po-metallu-115h1-0h22-23mm-kranz-KR-90-0902/", "Инфо")</f>
        <v>Инфо</v>
      </c>
      <c r="F4305" s="16" t="s">
        <v>39</v>
      </c>
      <c r="G4305" s="15"/>
      <c r="H4305" s="15"/>
      <c r="I4305" s="15"/>
      <c r="J4305" s="22">
        <v>7787</v>
      </c>
      <c r="K4305" s="15" t="s">
        <v>1058</v>
      </c>
      <c r="L4305" s="17">
        <v>10</v>
      </c>
      <c r="M4305" s="17">
        <v>400</v>
      </c>
      <c r="N4305" s="17">
        <v>10</v>
      </c>
      <c r="O4305" s="18">
        <v>55.14</v>
      </c>
      <c r="P4305" s="18">
        <v>45.2</v>
      </c>
      <c r="Q4305" s="18">
        <v>49.63</v>
      </c>
      <c r="R4305" s="18">
        <v>40.68</v>
      </c>
      <c r="S4305" s="18">
        <v>37.5</v>
      </c>
      <c r="T4305" s="18">
        <v>30.74</v>
      </c>
      <c r="U4305" s="16"/>
      <c r="V4305" s="16"/>
      <c r="W4305" s="16" t="s">
        <v>40</v>
      </c>
      <c r="X4305" s="19">
        <v>3.1E-2</v>
      </c>
      <c r="Y4305" s="20">
        <v>3.6999999999999998E-5</v>
      </c>
      <c r="Z4305" s="21">
        <v>4601004175181</v>
      </c>
    </row>
    <row r="4306" spans="1:26" ht="12" customHeight="1" outlineLevel="4" x14ac:dyDescent="0.2">
      <c r="A4306" s="14" t="s">
        <v>8371</v>
      </c>
      <c r="B4306" s="26" t="s">
        <v>8372</v>
      </c>
      <c r="C4306" s="52"/>
      <c r="D4306" s="55">
        <f t="shared" si="67"/>
        <v>0</v>
      </c>
      <c r="E4306" s="63" t="str">
        <f>HYPERLINK("https://www.sds-group.ru/product/disk-otreznoy-po-metallu-125h1-0h22-23mm-kranz-KR-90-0912/", "Инфо")</f>
        <v>Инфо</v>
      </c>
      <c r="F4306" s="16" t="s">
        <v>39</v>
      </c>
      <c r="G4306" s="15"/>
      <c r="H4306" s="15"/>
      <c r="I4306" s="15"/>
      <c r="J4306" s="22">
        <v>76144</v>
      </c>
      <c r="K4306" s="15" t="s">
        <v>1058</v>
      </c>
      <c r="L4306" s="17">
        <v>10</v>
      </c>
      <c r="M4306" s="17">
        <v>400</v>
      </c>
      <c r="N4306" s="17">
        <v>10</v>
      </c>
      <c r="O4306" s="18">
        <v>60.49</v>
      </c>
      <c r="P4306" s="18">
        <v>49.58</v>
      </c>
      <c r="Q4306" s="18">
        <v>54.44</v>
      </c>
      <c r="R4306" s="18">
        <v>44.62</v>
      </c>
      <c r="S4306" s="18">
        <v>41.13</v>
      </c>
      <c r="T4306" s="18">
        <v>33.71</v>
      </c>
      <c r="U4306" s="16"/>
      <c r="V4306" s="16"/>
      <c r="W4306" s="16" t="s">
        <v>40</v>
      </c>
      <c r="X4306" s="19">
        <v>3.5999999999999997E-2</v>
      </c>
      <c r="Y4306" s="20">
        <v>4.1999999999999998E-5</v>
      </c>
      <c r="Z4306" s="21">
        <v>4601004175198</v>
      </c>
    </row>
    <row r="4307" spans="1:26" ht="12" customHeight="1" outlineLevel="4" x14ac:dyDescent="0.2">
      <c r="A4307" s="14" t="s">
        <v>8373</v>
      </c>
      <c r="B4307" s="26" t="s">
        <v>8374</v>
      </c>
      <c r="C4307" s="52"/>
      <c r="D4307" s="55">
        <f t="shared" si="67"/>
        <v>0</v>
      </c>
      <c r="E4307" s="63" t="str">
        <f>HYPERLINK("https://www.sds-group.ru/product/disk-otreznoy-po-metallu-125h1-0h22-23mm-metallicheskiy-boks-10-sht-kranz-KR-90-0912-4/", "Инфо")</f>
        <v>Инфо</v>
      </c>
      <c r="F4307" s="16" t="s">
        <v>1001</v>
      </c>
      <c r="G4307" s="15"/>
      <c r="H4307" s="15"/>
      <c r="I4307" s="15"/>
      <c r="J4307" s="22">
        <v>1006</v>
      </c>
      <c r="K4307" s="15" t="s">
        <v>1058</v>
      </c>
      <c r="L4307" s="17">
        <v>1</v>
      </c>
      <c r="M4307" s="17">
        <v>40</v>
      </c>
      <c r="N4307" s="17">
        <v>1</v>
      </c>
      <c r="O4307" s="18">
        <v>632.80999999999995</v>
      </c>
      <c r="P4307" s="18">
        <v>518.70000000000005</v>
      </c>
      <c r="Q4307" s="18">
        <v>569.53</v>
      </c>
      <c r="R4307" s="18">
        <v>466.83</v>
      </c>
      <c r="S4307" s="18">
        <v>430.31</v>
      </c>
      <c r="T4307" s="18">
        <v>352.71</v>
      </c>
      <c r="U4307" s="16"/>
      <c r="V4307" s="16"/>
      <c r="W4307" s="16" t="s">
        <v>40</v>
      </c>
      <c r="X4307" s="19">
        <v>0.442</v>
      </c>
      <c r="Y4307" s="20">
        <v>6.1399999999999996E-4</v>
      </c>
      <c r="Z4307" s="21">
        <v>4601004295032</v>
      </c>
    </row>
    <row r="4308" spans="1:26" ht="12" customHeight="1" outlineLevel="4" x14ac:dyDescent="0.2">
      <c r="A4308" s="14" t="s">
        <v>8375</v>
      </c>
      <c r="B4308" s="26" t="s">
        <v>8376</v>
      </c>
      <c r="C4308" s="52"/>
      <c r="D4308" s="55">
        <f t="shared" si="67"/>
        <v>0</v>
      </c>
      <c r="E4308" s="63" t="str">
        <f>HYPERLINK("https://www.sds-group.ru/product/disk-otreznoy-po-metallu-125h1-2h22-23mm-kranz-KR-90-0913/", "Инфо")</f>
        <v>Инфо</v>
      </c>
      <c r="F4308" s="16" t="s">
        <v>39</v>
      </c>
      <c r="G4308" s="15"/>
      <c r="H4308" s="15"/>
      <c r="I4308" s="15"/>
      <c r="J4308" s="22">
        <v>71076</v>
      </c>
      <c r="K4308" s="15" t="s">
        <v>1058</v>
      </c>
      <c r="L4308" s="17">
        <v>10</v>
      </c>
      <c r="M4308" s="17">
        <v>400</v>
      </c>
      <c r="N4308" s="17">
        <v>10</v>
      </c>
      <c r="O4308" s="18">
        <v>64.62</v>
      </c>
      <c r="P4308" s="18">
        <v>52.97</v>
      </c>
      <c r="Q4308" s="18">
        <v>58.16</v>
      </c>
      <c r="R4308" s="18">
        <v>47.67</v>
      </c>
      <c r="S4308" s="18">
        <v>43.94</v>
      </c>
      <c r="T4308" s="18">
        <v>36.020000000000003</v>
      </c>
      <c r="U4308" s="16"/>
      <c r="V4308" s="16"/>
      <c r="W4308" s="16" t="s">
        <v>40</v>
      </c>
      <c r="X4308" s="19">
        <v>3.5999999999999997E-2</v>
      </c>
      <c r="Y4308" s="20">
        <v>4.1E-5</v>
      </c>
      <c r="Z4308" s="21">
        <v>4601004175204</v>
      </c>
    </row>
    <row r="4309" spans="1:26" ht="12" customHeight="1" outlineLevel="4" x14ac:dyDescent="0.2">
      <c r="A4309" s="14" t="s">
        <v>8377</v>
      </c>
      <c r="B4309" s="26" t="s">
        <v>8378</v>
      </c>
      <c r="C4309" s="52"/>
      <c r="D4309" s="55">
        <f t="shared" si="67"/>
        <v>0</v>
      </c>
      <c r="E4309" s="63" t="str">
        <f>HYPERLINK("https://www.sds-group.ru/product/disk-otreznoy-po-metallu-125h1-2h22-23mm-metallicheskiy-boks-10-sht-kranz-KR-90-0913-4/", "Инфо")</f>
        <v>Инфо</v>
      </c>
      <c r="F4309" s="16" t="s">
        <v>1001</v>
      </c>
      <c r="G4309" s="15"/>
      <c r="H4309" s="15"/>
      <c r="I4309" s="15"/>
      <c r="J4309" s="22">
        <v>1749</v>
      </c>
      <c r="K4309" s="15" t="s">
        <v>1058</v>
      </c>
      <c r="L4309" s="17">
        <v>1</v>
      </c>
      <c r="M4309" s="17">
        <v>40</v>
      </c>
      <c r="N4309" s="17">
        <v>1</v>
      </c>
      <c r="O4309" s="18">
        <v>616.14</v>
      </c>
      <c r="P4309" s="18">
        <v>505.03</v>
      </c>
      <c r="Q4309" s="18">
        <v>554.53</v>
      </c>
      <c r="R4309" s="18">
        <v>454.53</v>
      </c>
      <c r="S4309" s="18">
        <v>418.98</v>
      </c>
      <c r="T4309" s="18">
        <v>343.43</v>
      </c>
      <c r="U4309" s="16"/>
      <c r="V4309" s="16"/>
      <c r="W4309" s="16" t="s">
        <v>40</v>
      </c>
      <c r="X4309" s="19">
        <v>0.438</v>
      </c>
      <c r="Y4309" s="20">
        <v>6.1300000000000005E-4</v>
      </c>
      <c r="Z4309" s="21">
        <v>4601004295049</v>
      </c>
    </row>
    <row r="4310" spans="1:26" ht="12" customHeight="1" outlineLevel="4" x14ac:dyDescent="0.2">
      <c r="A4310" s="14" t="s">
        <v>8379</v>
      </c>
      <c r="B4310" s="26" t="s">
        <v>8380</v>
      </c>
      <c r="C4310" s="52"/>
      <c r="D4310" s="55">
        <f t="shared" si="67"/>
        <v>0</v>
      </c>
      <c r="E4310" s="63" t="str">
        <f>HYPERLINK("https://www.sds-group.ru/product/disk-otreznoy-po-metallu-125h1-6h22-23mm-kranz-KR-90-0914/", "Инфо")</f>
        <v>Инфо</v>
      </c>
      <c r="F4310" s="16" t="s">
        <v>39</v>
      </c>
      <c r="G4310" s="15"/>
      <c r="H4310" s="15"/>
      <c r="I4310" s="15"/>
      <c r="J4310" s="22">
        <v>42213</v>
      </c>
      <c r="K4310" s="15"/>
      <c r="L4310" s="17">
        <v>10</v>
      </c>
      <c r="M4310" s="17">
        <v>400</v>
      </c>
      <c r="N4310" s="17">
        <v>10</v>
      </c>
      <c r="O4310" s="18">
        <v>70.489999999999995</v>
      </c>
      <c r="P4310" s="18">
        <v>57.78</v>
      </c>
      <c r="Q4310" s="18">
        <v>63.44</v>
      </c>
      <c r="R4310" s="18">
        <v>52</v>
      </c>
      <c r="S4310" s="18">
        <v>47.93</v>
      </c>
      <c r="T4310" s="18">
        <v>39.29</v>
      </c>
      <c r="U4310" s="16"/>
      <c r="V4310" s="16"/>
      <c r="W4310" s="16" t="s">
        <v>40</v>
      </c>
      <c r="X4310" s="19">
        <v>4.4999999999999998E-2</v>
      </c>
      <c r="Y4310" s="20">
        <v>4.1999999999999998E-5</v>
      </c>
      <c r="Z4310" s="21">
        <v>4601004202276</v>
      </c>
    </row>
    <row r="4311" spans="1:26" ht="12" customHeight="1" outlineLevel="4" x14ac:dyDescent="0.2">
      <c r="A4311" s="14" t="s">
        <v>8381</v>
      </c>
      <c r="B4311" s="26" t="s">
        <v>8382</v>
      </c>
      <c r="C4311" s="52"/>
      <c r="D4311" s="55">
        <f t="shared" si="67"/>
        <v>0</v>
      </c>
      <c r="E4311" s="63" t="str">
        <f>HYPERLINK("https://www.sds-group.ru/product/disk-otreznoy-po-metallu-125h1-6h22-23mm-metallicheskiy-boks-10-sht-kranz-KR-90-0914-4/", "Инфо")</f>
        <v>Инфо</v>
      </c>
      <c r="F4311" s="16" t="s">
        <v>1001</v>
      </c>
      <c r="G4311" s="15"/>
      <c r="H4311" s="15"/>
      <c r="I4311" s="15"/>
      <c r="J4311" s="17">
        <v>334</v>
      </c>
      <c r="K4311" s="15" t="s">
        <v>1058</v>
      </c>
      <c r="L4311" s="17">
        <v>1</v>
      </c>
      <c r="M4311" s="17">
        <v>40</v>
      </c>
      <c r="N4311" s="17">
        <v>1</v>
      </c>
      <c r="O4311" s="18">
        <v>860.02</v>
      </c>
      <c r="P4311" s="18">
        <v>704.93</v>
      </c>
      <c r="Q4311" s="18">
        <v>774.02</v>
      </c>
      <c r="R4311" s="18">
        <v>634.44000000000005</v>
      </c>
      <c r="S4311" s="18">
        <v>584.80999999999995</v>
      </c>
      <c r="T4311" s="18">
        <v>479.35</v>
      </c>
      <c r="U4311" s="16"/>
      <c r="V4311" s="16"/>
      <c r="W4311" s="16" t="s">
        <v>40</v>
      </c>
      <c r="X4311" s="19">
        <v>0.51400000000000001</v>
      </c>
      <c r="Y4311" s="20">
        <v>5.9599999999999996E-4</v>
      </c>
      <c r="Z4311" s="21">
        <v>4601004295056</v>
      </c>
    </row>
    <row r="4312" spans="1:26" ht="12" customHeight="1" outlineLevel="4" x14ac:dyDescent="0.2">
      <c r="A4312" s="14" t="s">
        <v>8383</v>
      </c>
      <c r="B4312" s="26" t="s">
        <v>8384</v>
      </c>
      <c r="C4312" s="52"/>
      <c r="D4312" s="55">
        <f t="shared" si="67"/>
        <v>0</v>
      </c>
      <c r="E4312" s="63" t="str">
        <f>HYPERLINK("https://www.sds-group.ru/product/disk-otreznoy-po-metallu-150h1-2h22-23mm-kranz-KR-90-0923/", "Инфо")</f>
        <v>Инфо</v>
      </c>
      <c r="F4312" s="16" t="s">
        <v>39</v>
      </c>
      <c r="G4312" s="15"/>
      <c r="H4312" s="15"/>
      <c r="I4312" s="15"/>
      <c r="J4312" s="22">
        <v>2098</v>
      </c>
      <c r="K4312" s="15" t="s">
        <v>1058</v>
      </c>
      <c r="L4312" s="17">
        <v>5</v>
      </c>
      <c r="M4312" s="17">
        <v>400</v>
      </c>
      <c r="N4312" s="17">
        <v>5</v>
      </c>
      <c r="O4312" s="18">
        <v>110.75</v>
      </c>
      <c r="P4312" s="18">
        <v>90.78</v>
      </c>
      <c r="Q4312" s="18">
        <v>99.68</v>
      </c>
      <c r="R4312" s="18">
        <v>81.7</v>
      </c>
      <c r="S4312" s="18">
        <v>75.31</v>
      </c>
      <c r="T4312" s="18">
        <v>61.73</v>
      </c>
      <c r="U4312" s="16"/>
      <c r="V4312" s="16"/>
      <c r="W4312" s="16" t="s">
        <v>40</v>
      </c>
      <c r="X4312" s="19">
        <v>5.6000000000000001E-2</v>
      </c>
      <c r="Y4312" s="20">
        <v>5.5999999999999999E-5</v>
      </c>
      <c r="Z4312" s="21">
        <v>4601004175211</v>
      </c>
    </row>
    <row r="4313" spans="1:26" ht="12" customHeight="1" outlineLevel="4" x14ac:dyDescent="0.2">
      <c r="A4313" s="14" t="s">
        <v>8385</v>
      </c>
      <c r="B4313" s="26" t="s">
        <v>8386</v>
      </c>
      <c r="C4313" s="52"/>
      <c r="D4313" s="55">
        <f t="shared" si="67"/>
        <v>0</v>
      </c>
      <c r="E4313" s="63" t="str">
        <f>HYPERLINK("https://www.sds-group.ru/product/disk-otreznoy-po-metallu-180h1-6h22-23mm-kranz-KR-90-0932/", "Инфо")</f>
        <v>Инфо</v>
      </c>
      <c r="F4313" s="16" t="s">
        <v>39</v>
      </c>
      <c r="G4313" s="15"/>
      <c r="H4313" s="15"/>
      <c r="I4313" s="15"/>
      <c r="J4313" s="22">
        <v>2351</v>
      </c>
      <c r="K4313" s="15" t="s">
        <v>1058</v>
      </c>
      <c r="L4313" s="17">
        <v>10</v>
      </c>
      <c r="M4313" s="17">
        <v>100</v>
      </c>
      <c r="N4313" s="17">
        <v>10</v>
      </c>
      <c r="O4313" s="18">
        <v>152.28</v>
      </c>
      <c r="P4313" s="18">
        <v>124.82</v>
      </c>
      <c r="Q4313" s="18">
        <v>137.05000000000001</v>
      </c>
      <c r="R4313" s="18">
        <v>112.34</v>
      </c>
      <c r="S4313" s="18">
        <v>103.55</v>
      </c>
      <c r="T4313" s="18">
        <v>84.88</v>
      </c>
      <c r="U4313" s="16"/>
      <c r="V4313" s="16"/>
      <c r="W4313" s="16" t="s">
        <v>40</v>
      </c>
      <c r="X4313" s="19">
        <v>9.4E-2</v>
      </c>
      <c r="Y4313" s="20">
        <v>1.3100000000000001E-4</v>
      </c>
      <c r="Z4313" s="21">
        <v>4601004175228</v>
      </c>
    </row>
    <row r="4314" spans="1:26" ht="12" customHeight="1" outlineLevel="4" x14ac:dyDescent="0.2">
      <c r="A4314" s="14" t="s">
        <v>8387</v>
      </c>
      <c r="B4314" s="26" t="s">
        <v>8388</v>
      </c>
      <c r="C4314" s="52"/>
      <c r="D4314" s="55">
        <f t="shared" si="67"/>
        <v>0</v>
      </c>
      <c r="E4314" s="63" t="str">
        <f>HYPERLINK("https://www.sds-group.ru/product/disk-otreznoy-po-metallu-230h1-8h22-23mm-kranz-KR-90-0943/", "Инфо")</f>
        <v>Инфо</v>
      </c>
      <c r="F4314" s="16" t="s">
        <v>39</v>
      </c>
      <c r="G4314" s="15"/>
      <c r="H4314" s="15"/>
      <c r="I4314" s="15"/>
      <c r="J4314" s="17">
        <v>925</v>
      </c>
      <c r="K4314" s="15" t="s">
        <v>1058</v>
      </c>
      <c r="L4314" s="17">
        <v>5</v>
      </c>
      <c r="M4314" s="17">
        <v>100</v>
      </c>
      <c r="N4314" s="17">
        <v>5</v>
      </c>
      <c r="O4314" s="18">
        <v>196.66</v>
      </c>
      <c r="P4314" s="18">
        <v>161.19999999999999</v>
      </c>
      <c r="Q4314" s="18">
        <v>176.99</v>
      </c>
      <c r="R4314" s="18">
        <v>145.07</v>
      </c>
      <c r="S4314" s="18">
        <v>133.72999999999999</v>
      </c>
      <c r="T4314" s="18">
        <v>109.61</v>
      </c>
      <c r="U4314" s="16"/>
      <c r="V4314" s="16"/>
      <c r="W4314" s="16" t="s">
        <v>40</v>
      </c>
      <c r="X4314" s="19">
        <v>0.187</v>
      </c>
      <c r="Y4314" s="20">
        <v>1.95E-4</v>
      </c>
      <c r="Z4314" s="21">
        <v>4601004175235</v>
      </c>
    </row>
    <row r="4315" spans="1:26" ht="12" customHeight="1" outlineLevel="4" x14ac:dyDescent="0.2">
      <c r="A4315" s="14" t="s">
        <v>8389</v>
      </c>
      <c r="B4315" s="26" t="s">
        <v>8390</v>
      </c>
      <c r="C4315" s="52"/>
      <c r="D4315" s="55">
        <f t="shared" si="67"/>
        <v>0</v>
      </c>
      <c r="E4315" s="63" t="str">
        <f>HYPERLINK("https://www.sds-group.ru/product/disk-otreznoy-po-metallu-230h2-0h22-23mm-kranz-KR-90-0944/", "Инфо")</f>
        <v>Инфо</v>
      </c>
      <c r="F4315" s="16" t="s">
        <v>39</v>
      </c>
      <c r="G4315" s="15"/>
      <c r="H4315" s="15"/>
      <c r="I4315" s="15"/>
      <c r="J4315" s="17">
        <v>590</v>
      </c>
      <c r="K4315" s="15" t="s">
        <v>1058</v>
      </c>
      <c r="L4315" s="17">
        <v>5</v>
      </c>
      <c r="M4315" s="17">
        <v>100</v>
      </c>
      <c r="N4315" s="17">
        <v>5</v>
      </c>
      <c r="O4315" s="18">
        <v>202.69</v>
      </c>
      <c r="P4315" s="18">
        <v>166.14</v>
      </c>
      <c r="Q4315" s="18">
        <v>182.42</v>
      </c>
      <c r="R4315" s="18">
        <v>149.52000000000001</v>
      </c>
      <c r="S4315" s="18">
        <v>137.83000000000001</v>
      </c>
      <c r="T4315" s="18">
        <v>112.98</v>
      </c>
      <c r="U4315" s="16"/>
      <c r="V4315" s="16"/>
      <c r="W4315" s="16" t="s">
        <v>40</v>
      </c>
      <c r="X4315" s="19">
        <v>0.20300000000000001</v>
      </c>
      <c r="Y4315" s="20">
        <v>1.85E-4</v>
      </c>
      <c r="Z4315" s="21">
        <v>4601004202283</v>
      </c>
    </row>
    <row r="4316" spans="1:26" ht="12" customHeight="1" outlineLevel="4" x14ac:dyDescent="0.2">
      <c r="A4316" s="14" t="s">
        <v>8391</v>
      </c>
      <c r="B4316" s="26" t="s">
        <v>8392</v>
      </c>
      <c r="C4316" s="52"/>
      <c r="D4316" s="55">
        <f t="shared" si="67"/>
        <v>0</v>
      </c>
      <c r="E4316" s="63" t="str">
        <f>HYPERLINK("https://www.sds-group.ru/product/disk-otreznoy-po-metallu-230h2-5h22-23mm-kranz-KR-90-0945/", "Инфо")</f>
        <v>Инфо</v>
      </c>
      <c r="F4316" s="16" t="s">
        <v>39</v>
      </c>
      <c r="G4316" s="15"/>
      <c r="H4316" s="15"/>
      <c r="I4316" s="15"/>
      <c r="J4316" s="22">
        <v>5956</v>
      </c>
      <c r="K4316" s="15" t="s">
        <v>1058</v>
      </c>
      <c r="L4316" s="17">
        <v>5</v>
      </c>
      <c r="M4316" s="17">
        <v>50</v>
      </c>
      <c r="N4316" s="17">
        <v>5</v>
      </c>
      <c r="O4316" s="18">
        <v>225.93</v>
      </c>
      <c r="P4316" s="18">
        <v>185.19</v>
      </c>
      <c r="Q4316" s="18">
        <v>203.34</v>
      </c>
      <c r="R4316" s="18">
        <v>166.67</v>
      </c>
      <c r="S4316" s="18">
        <v>153.63</v>
      </c>
      <c r="T4316" s="18">
        <v>125.93</v>
      </c>
      <c r="U4316" s="16"/>
      <c r="V4316" s="16"/>
      <c r="W4316" s="16" t="s">
        <v>40</v>
      </c>
      <c r="X4316" s="19">
        <v>0.25</v>
      </c>
      <c r="Y4316" s="20">
        <v>3.8900000000000002E-4</v>
      </c>
      <c r="Z4316" s="21">
        <v>4601004202290</v>
      </c>
    </row>
    <row r="4317" spans="1:26" ht="12" customHeight="1" outlineLevel="4" x14ac:dyDescent="0.2">
      <c r="A4317" s="14" t="s">
        <v>8393</v>
      </c>
      <c r="B4317" s="26" t="s">
        <v>8394</v>
      </c>
      <c r="C4317" s="52"/>
      <c r="D4317" s="55">
        <f t="shared" si="67"/>
        <v>0</v>
      </c>
      <c r="E4317" s="63" t="str">
        <f>HYPERLINK("https://www.sds-group.ru/product/disk-otreznoy-po-metallu-230h3-0h22-23mm-kranz-KR-90-0946/", "Инфо")</f>
        <v>Инфо</v>
      </c>
      <c r="F4317" s="16" t="s">
        <v>39</v>
      </c>
      <c r="G4317" s="15"/>
      <c r="H4317" s="15"/>
      <c r="I4317" s="15"/>
      <c r="J4317" s="17">
        <v>123</v>
      </c>
      <c r="K4317" s="15" t="s">
        <v>1058</v>
      </c>
      <c r="L4317" s="17">
        <v>5</v>
      </c>
      <c r="M4317" s="17">
        <v>100</v>
      </c>
      <c r="N4317" s="17">
        <v>5</v>
      </c>
      <c r="O4317" s="18">
        <v>259.57</v>
      </c>
      <c r="P4317" s="18">
        <v>212.76</v>
      </c>
      <c r="Q4317" s="18">
        <v>233.61</v>
      </c>
      <c r="R4317" s="18">
        <v>191.48</v>
      </c>
      <c r="S4317" s="18">
        <v>176.51</v>
      </c>
      <c r="T4317" s="18">
        <v>144.68</v>
      </c>
      <c r="U4317" s="16"/>
      <c r="V4317" s="16"/>
      <c r="W4317" s="16" t="s">
        <v>40</v>
      </c>
      <c r="X4317" s="19">
        <v>0.28999999999999998</v>
      </c>
      <c r="Y4317" s="20">
        <v>3.3E-4</v>
      </c>
      <c r="Z4317" s="21">
        <v>4601004295025</v>
      </c>
    </row>
    <row r="4318" spans="1:26" ht="12" customHeight="1" outlineLevel="4" x14ac:dyDescent="0.2">
      <c r="A4318" s="14" t="s">
        <v>8395</v>
      </c>
      <c r="B4318" s="26" t="s">
        <v>8396</v>
      </c>
      <c r="C4318" s="52"/>
      <c r="D4318" s="55">
        <f t="shared" si="67"/>
        <v>0</v>
      </c>
      <c r="E4318" s="63" t="str">
        <f>HYPERLINK("https://www.sds-group.ru/product/disk-otreznoy-po-metallu-230h6-0h22-23mm-kranz-KR-90-0947/", "Инфо")</f>
        <v>Инфо</v>
      </c>
      <c r="F4318" s="16" t="s">
        <v>39</v>
      </c>
      <c r="G4318" s="15"/>
      <c r="H4318" s="15"/>
      <c r="I4318" s="15"/>
      <c r="J4318" s="17">
        <v>360</v>
      </c>
      <c r="K4318" s="15" t="s">
        <v>1058</v>
      </c>
      <c r="L4318" s="17">
        <v>5</v>
      </c>
      <c r="M4318" s="17">
        <v>50</v>
      </c>
      <c r="N4318" s="17">
        <v>5</v>
      </c>
      <c r="O4318" s="18">
        <v>453.92</v>
      </c>
      <c r="P4318" s="18">
        <v>372.07</v>
      </c>
      <c r="Q4318" s="18">
        <v>408.53</v>
      </c>
      <c r="R4318" s="18">
        <v>334.86</v>
      </c>
      <c r="S4318" s="18">
        <v>308.67</v>
      </c>
      <c r="T4318" s="18">
        <v>253.01</v>
      </c>
      <c r="U4318" s="16"/>
      <c r="V4318" s="16"/>
      <c r="W4318" s="16" t="s">
        <v>40</v>
      </c>
      <c r="X4318" s="19">
        <v>0.59399999999999997</v>
      </c>
      <c r="Y4318" s="20">
        <v>5.9900000000000003E-4</v>
      </c>
      <c r="Z4318" s="21">
        <v>4601004295018</v>
      </c>
    </row>
    <row r="4319" spans="1:26" ht="12.95" customHeight="1" outlineLevel="3" x14ac:dyDescent="0.2">
      <c r="A4319" s="76" t="s">
        <v>8397</v>
      </c>
      <c r="B4319" s="76"/>
      <c r="C4319" s="77"/>
      <c r="D4319" s="58"/>
      <c r="E4319" s="68"/>
      <c r="F4319" s="13"/>
      <c r="G4319" s="13"/>
      <c r="H4319" s="13"/>
      <c r="I4319" s="13"/>
      <c r="J4319" s="13"/>
      <c r="K4319" s="13"/>
      <c r="L4319" s="13"/>
      <c r="M4319" s="13"/>
      <c r="N4319" s="13"/>
      <c r="O4319" s="13"/>
      <c r="P4319" s="13"/>
      <c r="Q4319" s="13"/>
      <c r="R4319" s="13"/>
      <c r="S4319" s="13"/>
      <c r="T4319" s="13"/>
      <c r="U4319" s="13"/>
      <c r="V4319" s="13"/>
      <c r="W4319" s="13"/>
      <c r="X4319" s="13"/>
      <c r="Y4319" s="13"/>
      <c r="Z4319" s="13"/>
    </row>
    <row r="4320" spans="1:26" ht="12" customHeight="1" outlineLevel="4" x14ac:dyDescent="0.2">
      <c r="A4320" s="14" t="s">
        <v>8398</v>
      </c>
      <c r="B4320" s="26" t="s">
        <v>8399</v>
      </c>
      <c r="C4320" s="52"/>
      <c r="D4320" s="55">
        <f t="shared" si="67"/>
        <v>0</v>
      </c>
      <c r="E4320" s="63" t="str">
        <f>HYPERLINK("https://www.sds-group.ru/product/koronka-po-metallu-bimetallicheskaya-bimetal-100mm-kranz-KR-92-0243/", "Инфо")</f>
        <v>Инфо</v>
      </c>
      <c r="F4320" s="16" t="s">
        <v>39</v>
      </c>
      <c r="G4320" s="15"/>
      <c r="H4320" s="15"/>
      <c r="I4320" s="15"/>
      <c r="J4320" s="17">
        <v>187</v>
      </c>
      <c r="K4320" s="15" t="s">
        <v>6633</v>
      </c>
      <c r="L4320" s="17">
        <v>1</v>
      </c>
      <c r="M4320" s="17">
        <v>48</v>
      </c>
      <c r="N4320" s="17">
        <v>1</v>
      </c>
      <c r="O4320" s="18">
        <v>1233.5</v>
      </c>
      <c r="P4320" s="18">
        <v>1011.07</v>
      </c>
      <c r="Q4320" s="18">
        <v>1036.1400000000001</v>
      </c>
      <c r="R4320" s="18">
        <v>849.3</v>
      </c>
      <c r="S4320" s="18">
        <v>838.78</v>
      </c>
      <c r="T4320" s="18">
        <v>687.52</v>
      </c>
      <c r="U4320" s="16"/>
      <c r="V4320" s="16"/>
      <c r="W4320" s="16" t="s">
        <v>40</v>
      </c>
      <c r="X4320" s="19">
        <v>0.504</v>
      </c>
      <c r="Y4320" s="20">
        <v>1.354E-3</v>
      </c>
      <c r="Z4320" s="21">
        <v>4601004202573</v>
      </c>
    </row>
    <row r="4321" spans="1:26" ht="12" customHeight="1" outlineLevel="4" x14ac:dyDescent="0.2">
      <c r="A4321" s="14" t="s">
        <v>8400</v>
      </c>
      <c r="B4321" s="26" t="s">
        <v>8401</v>
      </c>
      <c r="C4321" s="52"/>
      <c r="D4321" s="55">
        <f t="shared" si="67"/>
        <v>0</v>
      </c>
      <c r="E4321" s="63" t="str">
        <f>HYPERLINK("https://www.sds-group.ru/product/koronka-po-metallu-bimetallicheskaya-bimetal-102mm-kranz-KR-92-0244/", "Инфо")</f>
        <v>Инфо</v>
      </c>
      <c r="F4321" s="16" t="s">
        <v>39</v>
      </c>
      <c r="G4321" s="15"/>
      <c r="H4321" s="15"/>
      <c r="I4321" s="15"/>
      <c r="J4321" s="17">
        <v>107</v>
      </c>
      <c r="K4321" s="15" t="s">
        <v>6633</v>
      </c>
      <c r="L4321" s="17">
        <v>1</v>
      </c>
      <c r="M4321" s="17">
        <v>48</v>
      </c>
      <c r="N4321" s="17">
        <v>1</v>
      </c>
      <c r="O4321" s="18">
        <v>1481.09</v>
      </c>
      <c r="P4321" s="18">
        <v>1214.01</v>
      </c>
      <c r="Q4321" s="18">
        <v>1244.1199999999999</v>
      </c>
      <c r="R4321" s="18">
        <v>1019.77</v>
      </c>
      <c r="S4321" s="18">
        <v>1007.14</v>
      </c>
      <c r="T4321" s="18">
        <v>825.52</v>
      </c>
      <c r="U4321" s="16"/>
      <c r="V4321" s="16"/>
      <c r="W4321" s="16" t="s">
        <v>40</v>
      </c>
      <c r="X4321" s="19">
        <v>0.51500000000000001</v>
      </c>
      <c r="Y4321" s="20">
        <v>1.3619999999999999E-3</v>
      </c>
      <c r="Z4321" s="21">
        <v>4601004202580</v>
      </c>
    </row>
    <row r="4322" spans="1:26" ht="12" customHeight="1" outlineLevel="4" x14ac:dyDescent="0.2">
      <c r="A4322" s="14" t="s">
        <v>8402</v>
      </c>
      <c r="B4322" s="26" t="s">
        <v>8403</v>
      </c>
      <c r="C4322" s="52"/>
      <c r="D4322" s="55">
        <f t="shared" si="67"/>
        <v>0</v>
      </c>
      <c r="E4322" s="63" t="str">
        <f>HYPERLINK("https://www.sds-group.ru/product/koronka-po-metallu-bimetallicheskaya-bimetal-105mm-kranz-KR-92-0245/", "Инфо")</f>
        <v>Инфо</v>
      </c>
      <c r="F4322" s="16" t="s">
        <v>39</v>
      </c>
      <c r="G4322" s="15"/>
      <c r="H4322" s="15"/>
      <c r="I4322" s="15"/>
      <c r="J4322" s="17">
        <v>210</v>
      </c>
      <c r="K4322" s="15"/>
      <c r="L4322" s="17">
        <v>1</v>
      </c>
      <c r="M4322" s="17">
        <v>48</v>
      </c>
      <c r="N4322" s="17">
        <v>1</v>
      </c>
      <c r="O4322" s="18">
        <v>1506</v>
      </c>
      <c r="P4322" s="18">
        <v>1234.43</v>
      </c>
      <c r="Q4322" s="18">
        <v>1265.04</v>
      </c>
      <c r="R4322" s="18">
        <v>1036.92</v>
      </c>
      <c r="S4322" s="18">
        <v>1024.08</v>
      </c>
      <c r="T4322" s="18">
        <v>839.41</v>
      </c>
      <c r="U4322" s="16"/>
      <c r="V4322" s="16"/>
      <c r="W4322" s="16" t="s">
        <v>40</v>
      </c>
      <c r="X4322" s="19">
        <v>0.53900000000000003</v>
      </c>
      <c r="Y4322" s="20">
        <v>1.4940000000000001E-3</v>
      </c>
      <c r="Z4322" s="21">
        <v>4601004202597</v>
      </c>
    </row>
    <row r="4323" spans="1:26" ht="12" customHeight="1" outlineLevel="4" x14ac:dyDescent="0.2">
      <c r="A4323" s="14" t="s">
        <v>8404</v>
      </c>
      <c r="B4323" s="26" t="s">
        <v>8405</v>
      </c>
      <c r="C4323" s="52"/>
      <c r="D4323" s="55">
        <f t="shared" si="67"/>
        <v>0</v>
      </c>
      <c r="E4323" s="63" t="str">
        <f>HYPERLINK("https://www.sds-group.ru/product/koronka-po-metallu-bimetallicheskaya-bimetal-111mm-kranz-KR-92-0246/", "Инфо")</f>
        <v>Инфо</v>
      </c>
      <c r="F4323" s="16" t="s">
        <v>39</v>
      </c>
      <c r="G4323" s="15"/>
      <c r="H4323" s="15"/>
      <c r="I4323" s="15"/>
      <c r="J4323" s="17">
        <v>159</v>
      </c>
      <c r="K4323" s="15" t="s">
        <v>6633</v>
      </c>
      <c r="L4323" s="17">
        <v>1</v>
      </c>
      <c r="M4323" s="17">
        <v>36</v>
      </c>
      <c r="N4323" s="17">
        <v>1</v>
      </c>
      <c r="O4323" s="18">
        <v>1514.25</v>
      </c>
      <c r="P4323" s="18">
        <v>1241.19</v>
      </c>
      <c r="Q4323" s="18">
        <v>1271.97</v>
      </c>
      <c r="R4323" s="18">
        <v>1042.5999999999999</v>
      </c>
      <c r="S4323" s="18">
        <v>1029.69</v>
      </c>
      <c r="T4323" s="18">
        <v>844.01</v>
      </c>
      <c r="U4323" s="16"/>
      <c r="V4323" s="16"/>
      <c r="W4323" s="16" t="s">
        <v>40</v>
      </c>
      <c r="X4323" s="19">
        <v>0.61599999999999999</v>
      </c>
      <c r="Y4323" s="20">
        <v>1.5479999999999999E-3</v>
      </c>
      <c r="Z4323" s="21">
        <v>4601004202603</v>
      </c>
    </row>
    <row r="4324" spans="1:26" ht="12" customHeight="1" outlineLevel="4" x14ac:dyDescent="0.2">
      <c r="A4324" s="14" t="s">
        <v>8406</v>
      </c>
      <c r="B4324" s="26" t="s">
        <v>8407</v>
      </c>
      <c r="C4324" s="52"/>
      <c r="D4324" s="55">
        <f t="shared" si="67"/>
        <v>0</v>
      </c>
      <c r="E4324" s="63" t="str">
        <f>HYPERLINK("https://www.sds-group.ru/product/koronka-po-metallu-bimetallicheskaya-bimetal-114mm-kranz-KR-92-0247/", "Инфо")</f>
        <v>Инфо</v>
      </c>
      <c r="F4324" s="16" t="s">
        <v>39</v>
      </c>
      <c r="G4324" s="15"/>
      <c r="H4324" s="15"/>
      <c r="I4324" s="15"/>
      <c r="J4324" s="17">
        <v>202</v>
      </c>
      <c r="K4324" s="15" t="s">
        <v>1055</v>
      </c>
      <c r="L4324" s="17">
        <v>1</v>
      </c>
      <c r="M4324" s="17">
        <v>36</v>
      </c>
      <c r="N4324" s="17">
        <v>1</v>
      </c>
      <c r="O4324" s="18">
        <v>1552.38</v>
      </c>
      <c r="P4324" s="18">
        <v>1272.44</v>
      </c>
      <c r="Q4324" s="18">
        <v>1304</v>
      </c>
      <c r="R4324" s="18">
        <v>1068.8499999999999</v>
      </c>
      <c r="S4324" s="18">
        <v>1055.6199999999999</v>
      </c>
      <c r="T4324" s="18">
        <v>865.26</v>
      </c>
      <c r="U4324" s="16"/>
      <c r="V4324" s="16"/>
      <c r="W4324" s="16" t="s">
        <v>40</v>
      </c>
      <c r="X4324" s="19">
        <v>0.69</v>
      </c>
      <c r="Y4324" s="20">
        <v>1.7949999999999999E-3</v>
      </c>
      <c r="Z4324" s="21">
        <v>4601004202610</v>
      </c>
    </row>
    <row r="4325" spans="1:26" ht="12" customHeight="1" outlineLevel="4" x14ac:dyDescent="0.2">
      <c r="A4325" s="14" t="s">
        <v>8408</v>
      </c>
      <c r="B4325" s="26" t="s">
        <v>8409</v>
      </c>
      <c r="C4325" s="52"/>
      <c r="D4325" s="55">
        <f t="shared" si="67"/>
        <v>0</v>
      </c>
      <c r="E4325" s="63" t="str">
        <f>HYPERLINK("https://www.sds-group.ru/product/koronka-po-metallu-bimetallicheskaya-bimetal-121mm-kranz-KR-92-0248/", "Инфо")</f>
        <v>Инфо</v>
      </c>
      <c r="F4325" s="16" t="s">
        <v>39</v>
      </c>
      <c r="G4325" s="15"/>
      <c r="H4325" s="15"/>
      <c r="I4325" s="15"/>
      <c r="J4325" s="17">
        <v>53</v>
      </c>
      <c r="K4325" s="15" t="s">
        <v>6633</v>
      </c>
      <c r="L4325" s="17">
        <v>1</v>
      </c>
      <c r="M4325" s="17">
        <v>24</v>
      </c>
      <c r="N4325" s="17">
        <v>1</v>
      </c>
      <c r="O4325" s="18">
        <v>1554.84</v>
      </c>
      <c r="P4325" s="18">
        <v>1274.46</v>
      </c>
      <c r="Q4325" s="18">
        <v>1306.07</v>
      </c>
      <c r="R4325" s="18">
        <v>1070.55</v>
      </c>
      <c r="S4325" s="18">
        <v>1057.29</v>
      </c>
      <c r="T4325" s="18">
        <v>866.63</v>
      </c>
      <c r="U4325" s="16"/>
      <c r="V4325" s="16"/>
      <c r="W4325" s="16" t="s">
        <v>40</v>
      </c>
      <c r="X4325" s="19">
        <v>0.70899999999999996</v>
      </c>
      <c r="Y4325" s="20">
        <v>1.908E-3</v>
      </c>
      <c r="Z4325" s="21">
        <v>4601004202627</v>
      </c>
    </row>
    <row r="4326" spans="1:26" ht="12" customHeight="1" outlineLevel="4" x14ac:dyDescent="0.2">
      <c r="A4326" s="14" t="s">
        <v>8410</v>
      </c>
      <c r="B4326" s="26" t="s">
        <v>8411</v>
      </c>
      <c r="C4326" s="52"/>
      <c r="D4326" s="55">
        <f t="shared" si="67"/>
        <v>0</v>
      </c>
      <c r="E4326" s="63" t="str">
        <f>HYPERLINK("https://www.sds-group.ru/product/koronka-po-metallu-bimetallicheskaya-bimetal-127mm-kranz-KR-92-0249/", "Инфо")</f>
        <v>Инфо</v>
      </c>
      <c r="F4326" s="16" t="s">
        <v>39</v>
      </c>
      <c r="G4326" s="15"/>
      <c r="H4326" s="15"/>
      <c r="I4326" s="15"/>
      <c r="J4326" s="17">
        <v>394</v>
      </c>
      <c r="K4326" s="15"/>
      <c r="L4326" s="17">
        <v>1</v>
      </c>
      <c r="M4326" s="17">
        <v>24</v>
      </c>
      <c r="N4326" s="17">
        <v>1</v>
      </c>
      <c r="O4326" s="18">
        <v>1617.03</v>
      </c>
      <c r="P4326" s="18">
        <v>1325.43</v>
      </c>
      <c r="Q4326" s="18">
        <v>1358.31</v>
      </c>
      <c r="R4326" s="18">
        <v>1113.3699999999999</v>
      </c>
      <c r="S4326" s="18">
        <v>1099.58</v>
      </c>
      <c r="T4326" s="18">
        <v>901.3</v>
      </c>
      <c r="U4326" s="16"/>
      <c r="V4326" s="16"/>
      <c r="W4326" s="16" t="s">
        <v>40</v>
      </c>
      <c r="X4326" s="19">
        <v>0.77400000000000002</v>
      </c>
      <c r="Y4326" s="20">
        <v>2.1059999999999998E-3</v>
      </c>
      <c r="Z4326" s="21">
        <v>4601004202634</v>
      </c>
    </row>
    <row r="4327" spans="1:26" ht="12" customHeight="1" outlineLevel="4" x14ac:dyDescent="0.2">
      <c r="A4327" s="14" t="s">
        <v>8412</v>
      </c>
      <c r="B4327" s="26" t="s">
        <v>8413</v>
      </c>
      <c r="C4327" s="52"/>
      <c r="D4327" s="55">
        <f t="shared" si="67"/>
        <v>0</v>
      </c>
      <c r="E4327" s="63" t="str">
        <f>HYPERLINK("https://www.sds-group.ru/product/koronka-po-metallu-bimetallicheskaya-bimetal-140mm-kranz-KR-92-0250/", "Инфо")</f>
        <v>Инфо</v>
      </c>
      <c r="F4327" s="16" t="s">
        <v>39</v>
      </c>
      <c r="G4327" s="15"/>
      <c r="H4327" s="15"/>
      <c r="I4327" s="15"/>
      <c r="J4327" s="17">
        <v>118</v>
      </c>
      <c r="K4327" s="15" t="s">
        <v>6939</v>
      </c>
      <c r="L4327" s="17">
        <v>1</v>
      </c>
      <c r="M4327" s="17">
        <v>24</v>
      </c>
      <c r="N4327" s="17">
        <v>1</v>
      </c>
      <c r="O4327" s="18">
        <v>1658.5</v>
      </c>
      <c r="P4327" s="18">
        <v>1359.43</v>
      </c>
      <c r="Q4327" s="18">
        <v>1393.14</v>
      </c>
      <c r="R4327" s="18">
        <v>1141.92</v>
      </c>
      <c r="S4327" s="18">
        <v>1127.78</v>
      </c>
      <c r="T4327" s="18">
        <v>924.41</v>
      </c>
      <c r="U4327" s="16"/>
      <c r="V4327" s="16"/>
      <c r="W4327" s="16" t="s">
        <v>40</v>
      </c>
      <c r="X4327" s="19">
        <v>0.93400000000000005</v>
      </c>
      <c r="Y4327" s="20">
        <v>2.7360000000000002E-3</v>
      </c>
      <c r="Z4327" s="21">
        <v>4601004202641</v>
      </c>
    </row>
    <row r="4328" spans="1:26" ht="12" customHeight="1" outlineLevel="4" x14ac:dyDescent="0.2">
      <c r="A4328" s="32" t="s">
        <v>8414</v>
      </c>
      <c r="B4328" s="74" t="s">
        <v>8415</v>
      </c>
      <c r="C4328" s="50"/>
      <c r="D4328" s="53">
        <f t="shared" si="67"/>
        <v>0</v>
      </c>
      <c r="E4328" s="60" t="str">
        <f>HYPERLINK("https://www.sds-group.ru/product/koronka-po-metallu-bimetallicheskaya-bimetal-14mm-kranz-KR-92-0205/", "Инфо")</f>
        <v>Инфо</v>
      </c>
      <c r="F4328" s="34" t="s">
        <v>39</v>
      </c>
      <c r="G4328" s="33"/>
      <c r="H4328" s="33" t="s">
        <v>40</v>
      </c>
      <c r="I4328" s="33"/>
      <c r="J4328" s="35">
        <v>127</v>
      </c>
      <c r="K4328" s="33"/>
      <c r="L4328" s="35">
        <v>1</v>
      </c>
      <c r="M4328" s="35">
        <v>300</v>
      </c>
      <c r="N4328" s="35">
        <v>1</v>
      </c>
      <c r="O4328" s="36">
        <v>248.77</v>
      </c>
      <c r="P4328" s="36">
        <v>203.91</v>
      </c>
      <c r="Q4328" s="36">
        <v>174.14</v>
      </c>
      <c r="R4328" s="36">
        <v>142.74</v>
      </c>
      <c r="S4328" s="36">
        <v>169.16</v>
      </c>
      <c r="T4328" s="36">
        <v>138.66</v>
      </c>
      <c r="U4328" s="34"/>
      <c r="V4328" s="34"/>
      <c r="W4328" s="34"/>
      <c r="X4328" s="37">
        <v>3.7999999999999999E-2</v>
      </c>
      <c r="Y4328" s="38">
        <v>7.7000000000000001E-5</v>
      </c>
      <c r="Z4328" s="21">
        <v>4601004202306</v>
      </c>
    </row>
    <row r="4329" spans="1:26" ht="12" customHeight="1" outlineLevel="4" x14ac:dyDescent="0.2">
      <c r="A4329" s="14" t="s">
        <v>8416</v>
      </c>
      <c r="B4329" s="26" t="s">
        <v>8417</v>
      </c>
      <c r="C4329" s="52"/>
      <c r="D4329" s="55">
        <f t="shared" si="67"/>
        <v>0</v>
      </c>
      <c r="E4329" s="63" t="str">
        <f>HYPERLINK("https://www.sds-group.ru/product/koronka-po-metallu-bimetallicheskaya-bimetal-16mm-kranz-KR-92-0206/", "Инфо")</f>
        <v>Инфо</v>
      </c>
      <c r="F4329" s="16" t="s">
        <v>39</v>
      </c>
      <c r="G4329" s="15"/>
      <c r="H4329" s="15"/>
      <c r="I4329" s="15"/>
      <c r="J4329" s="17">
        <v>859</v>
      </c>
      <c r="K4329" s="15"/>
      <c r="L4329" s="17">
        <v>1</v>
      </c>
      <c r="M4329" s="17">
        <v>300</v>
      </c>
      <c r="N4329" s="17">
        <v>1</v>
      </c>
      <c r="O4329" s="18">
        <v>242.56</v>
      </c>
      <c r="P4329" s="18">
        <v>198.82</v>
      </c>
      <c r="Q4329" s="18">
        <v>218.3</v>
      </c>
      <c r="R4329" s="18">
        <v>178.93</v>
      </c>
      <c r="S4329" s="18">
        <v>164.94</v>
      </c>
      <c r="T4329" s="18">
        <v>135.19999999999999</v>
      </c>
      <c r="U4329" s="16"/>
      <c r="V4329" s="16"/>
      <c r="W4329" s="16" t="s">
        <v>40</v>
      </c>
      <c r="X4329" s="19">
        <v>3.9E-2</v>
      </c>
      <c r="Y4329" s="20">
        <v>7.3999999999999996E-5</v>
      </c>
      <c r="Z4329" s="21">
        <v>4601004202313</v>
      </c>
    </row>
    <row r="4330" spans="1:26" ht="12" customHeight="1" outlineLevel="4" x14ac:dyDescent="0.2">
      <c r="A4330" s="14" t="s">
        <v>8418</v>
      </c>
      <c r="B4330" s="26" t="s">
        <v>8419</v>
      </c>
      <c r="C4330" s="52"/>
      <c r="D4330" s="55">
        <f t="shared" si="67"/>
        <v>0</v>
      </c>
      <c r="E4330" s="63" t="str">
        <f>HYPERLINK("https://www.sds-group.ru/product/koronka-po-metallu-bimetallicheskaya-bimetal-20mm-kranz-KR-92-0207/", "Инфо")</f>
        <v>Инфо</v>
      </c>
      <c r="F4330" s="16" t="s">
        <v>39</v>
      </c>
      <c r="G4330" s="15"/>
      <c r="H4330" s="15"/>
      <c r="I4330" s="15"/>
      <c r="J4330" s="17">
        <v>784</v>
      </c>
      <c r="K4330" s="15" t="s">
        <v>1055</v>
      </c>
      <c r="L4330" s="17">
        <v>1</v>
      </c>
      <c r="M4330" s="17">
        <v>300</v>
      </c>
      <c r="N4330" s="17">
        <v>1</v>
      </c>
      <c r="O4330" s="18">
        <v>259.14</v>
      </c>
      <c r="P4330" s="18">
        <v>212.41</v>
      </c>
      <c r="Q4330" s="18">
        <v>230.63</v>
      </c>
      <c r="R4330" s="18">
        <v>189.04</v>
      </c>
      <c r="S4330" s="18">
        <v>176.22</v>
      </c>
      <c r="T4330" s="18">
        <v>144.44</v>
      </c>
      <c r="U4330" s="16"/>
      <c r="V4330" s="16"/>
      <c r="W4330" s="16" t="s">
        <v>40</v>
      </c>
      <c r="X4330" s="19">
        <v>4.2000000000000003E-2</v>
      </c>
      <c r="Y4330" s="20">
        <v>7.4999999999999993E-5</v>
      </c>
      <c r="Z4330" s="21">
        <v>4601004175242</v>
      </c>
    </row>
    <row r="4331" spans="1:26" ht="12" customHeight="1" outlineLevel="4" x14ac:dyDescent="0.2">
      <c r="A4331" s="14" t="s">
        <v>8420</v>
      </c>
      <c r="B4331" s="26" t="s">
        <v>8421</v>
      </c>
      <c r="C4331" s="52"/>
      <c r="D4331" s="55">
        <f t="shared" si="67"/>
        <v>0</v>
      </c>
      <c r="E4331" s="63" t="str">
        <f>HYPERLINK("https://www.sds-group.ru/product/koronka-po-metallu-bimetallicheskaya-bimetal-22mm-kranz-KR-92-0209/", "Инфо")</f>
        <v>Инфо</v>
      </c>
      <c r="F4331" s="16" t="s">
        <v>39</v>
      </c>
      <c r="G4331" s="15"/>
      <c r="H4331" s="15"/>
      <c r="I4331" s="15"/>
      <c r="J4331" s="17">
        <v>778</v>
      </c>
      <c r="K4331" s="15" t="s">
        <v>6633</v>
      </c>
      <c r="L4331" s="17">
        <v>1</v>
      </c>
      <c r="M4331" s="17">
        <v>300</v>
      </c>
      <c r="N4331" s="17">
        <v>1</v>
      </c>
      <c r="O4331" s="18">
        <v>290.24</v>
      </c>
      <c r="P4331" s="18">
        <v>237.9</v>
      </c>
      <c r="Q4331" s="18">
        <v>261.22000000000003</v>
      </c>
      <c r="R4331" s="18">
        <v>214.11</v>
      </c>
      <c r="S4331" s="18">
        <v>197.36</v>
      </c>
      <c r="T4331" s="18">
        <v>161.77000000000001</v>
      </c>
      <c r="U4331" s="16"/>
      <c r="V4331" s="16"/>
      <c r="W4331" s="16" t="s">
        <v>40</v>
      </c>
      <c r="X4331" s="19">
        <v>4.8000000000000001E-2</v>
      </c>
      <c r="Y4331" s="20">
        <v>7.6000000000000004E-5</v>
      </c>
      <c r="Z4331" s="21">
        <v>4601004175259</v>
      </c>
    </row>
    <row r="4332" spans="1:26" ht="12" customHeight="1" outlineLevel="4" x14ac:dyDescent="0.2">
      <c r="A4332" s="14" t="s">
        <v>8422</v>
      </c>
      <c r="B4332" s="26" t="s">
        <v>8423</v>
      </c>
      <c r="C4332" s="52"/>
      <c r="D4332" s="55">
        <f t="shared" si="67"/>
        <v>0</v>
      </c>
      <c r="E4332" s="63" t="str">
        <f>HYPERLINK("https://www.sds-group.ru/product/koronka-po-metallu-bimetallicheskaya-bimetal-25mm-kranz-KR-92-0211/", "Инфо")</f>
        <v>Инфо</v>
      </c>
      <c r="F4332" s="16" t="s">
        <v>39</v>
      </c>
      <c r="G4332" s="15"/>
      <c r="H4332" s="15"/>
      <c r="I4332" s="15"/>
      <c r="J4332" s="17">
        <v>763</v>
      </c>
      <c r="K4332" s="15" t="s">
        <v>6633</v>
      </c>
      <c r="L4332" s="17">
        <v>1</v>
      </c>
      <c r="M4332" s="17">
        <v>300</v>
      </c>
      <c r="N4332" s="17">
        <v>1</v>
      </c>
      <c r="O4332" s="18">
        <v>340</v>
      </c>
      <c r="P4332" s="18">
        <v>278.69</v>
      </c>
      <c r="Q4332" s="18">
        <v>306</v>
      </c>
      <c r="R4332" s="18">
        <v>250.82</v>
      </c>
      <c r="S4332" s="18">
        <v>231.2</v>
      </c>
      <c r="T4332" s="18">
        <v>189.51</v>
      </c>
      <c r="U4332" s="16"/>
      <c r="V4332" s="16"/>
      <c r="W4332" s="16" t="s">
        <v>40</v>
      </c>
      <c r="X4332" s="19">
        <v>0.06</v>
      </c>
      <c r="Y4332" s="20">
        <v>1.05E-4</v>
      </c>
      <c r="Z4332" s="21">
        <v>4601004175266</v>
      </c>
    </row>
    <row r="4333" spans="1:26" ht="12" customHeight="1" outlineLevel="4" x14ac:dyDescent="0.2">
      <c r="A4333" s="14" t="s">
        <v>8424</v>
      </c>
      <c r="B4333" s="26" t="s">
        <v>8425</v>
      </c>
      <c r="C4333" s="52"/>
      <c r="D4333" s="55">
        <f t="shared" si="67"/>
        <v>0</v>
      </c>
      <c r="E4333" s="63" t="str">
        <f>HYPERLINK("https://www.sds-group.ru/product/koronka-po-metallu-bimetallicheskaya-bimetal-27mm-kranz-KR-92-0212/", "Инфо")</f>
        <v>Инфо</v>
      </c>
      <c r="F4333" s="16" t="s">
        <v>39</v>
      </c>
      <c r="G4333" s="15"/>
      <c r="H4333" s="15"/>
      <c r="I4333" s="15"/>
      <c r="J4333" s="22">
        <v>1018</v>
      </c>
      <c r="K4333" s="15"/>
      <c r="L4333" s="17">
        <v>1</v>
      </c>
      <c r="M4333" s="17">
        <v>300</v>
      </c>
      <c r="N4333" s="17">
        <v>1</v>
      </c>
      <c r="O4333" s="18">
        <v>373.16</v>
      </c>
      <c r="P4333" s="18">
        <v>305.87</v>
      </c>
      <c r="Q4333" s="18">
        <v>335.84</v>
      </c>
      <c r="R4333" s="18">
        <v>275.27999999999997</v>
      </c>
      <c r="S4333" s="18">
        <v>253.75</v>
      </c>
      <c r="T4333" s="18">
        <v>207.99</v>
      </c>
      <c r="U4333" s="16"/>
      <c r="V4333" s="16"/>
      <c r="W4333" s="16" t="s">
        <v>40</v>
      </c>
      <c r="X4333" s="19">
        <v>6.7000000000000004E-2</v>
      </c>
      <c r="Y4333" s="20">
        <v>1.06E-4</v>
      </c>
      <c r="Z4333" s="21">
        <v>4601004175273</v>
      </c>
    </row>
    <row r="4334" spans="1:26" ht="12" customHeight="1" outlineLevel="4" x14ac:dyDescent="0.2">
      <c r="A4334" s="14" t="s">
        <v>8426</v>
      </c>
      <c r="B4334" s="26" t="s">
        <v>8427</v>
      </c>
      <c r="C4334" s="52"/>
      <c r="D4334" s="55">
        <f t="shared" si="67"/>
        <v>0</v>
      </c>
      <c r="E4334" s="63" t="str">
        <f>HYPERLINK("https://www.sds-group.ru/product/koronka-po-metallu-bimetallicheskaya-bimetal-29mm-kranz-KR-92-0213/", "Инфо")</f>
        <v>Инфо</v>
      </c>
      <c r="F4334" s="16" t="s">
        <v>39</v>
      </c>
      <c r="G4334" s="15"/>
      <c r="H4334" s="15"/>
      <c r="I4334" s="15"/>
      <c r="J4334" s="17">
        <v>241</v>
      </c>
      <c r="K4334" s="15"/>
      <c r="L4334" s="17">
        <v>1</v>
      </c>
      <c r="M4334" s="17">
        <v>300</v>
      </c>
      <c r="N4334" s="17">
        <v>1</v>
      </c>
      <c r="O4334" s="18">
        <v>402.19</v>
      </c>
      <c r="P4334" s="18">
        <v>329.66</v>
      </c>
      <c r="Q4334" s="18">
        <v>361.97</v>
      </c>
      <c r="R4334" s="18">
        <v>296.7</v>
      </c>
      <c r="S4334" s="18">
        <v>273.49</v>
      </c>
      <c r="T4334" s="18">
        <v>224.17</v>
      </c>
      <c r="U4334" s="16"/>
      <c r="V4334" s="16"/>
      <c r="W4334" s="16" t="s">
        <v>40</v>
      </c>
      <c r="X4334" s="19">
        <v>8.5000000000000006E-2</v>
      </c>
      <c r="Y4334" s="20">
        <v>1.4300000000000001E-4</v>
      </c>
      <c r="Z4334" s="21">
        <v>4601004202344</v>
      </c>
    </row>
    <row r="4335" spans="1:26" ht="12" customHeight="1" outlineLevel="4" x14ac:dyDescent="0.2">
      <c r="A4335" s="14" t="s">
        <v>8428</v>
      </c>
      <c r="B4335" s="26" t="s">
        <v>8429</v>
      </c>
      <c r="C4335" s="52"/>
      <c r="D4335" s="55">
        <f t="shared" si="67"/>
        <v>0</v>
      </c>
      <c r="E4335" s="63" t="str">
        <f>HYPERLINK("https://www.sds-group.ru/product/koronka-po-metallu-bimetallicheskaya-bimetal-30mm-kranz-KR-92-0214/", "Инфо")</f>
        <v>Инфо</v>
      </c>
      <c r="F4335" s="16" t="s">
        <v>39</v>
      </c>
      <c r="G4335" s="15"/>
      <c r="H4335" s="15"/>
      <c r="I4335" s="15"/>
      <c r="J4335" s="17">
        <v>228</v>
      </c>
      <c r="K4335" s="15"/>
      <c r="L4335" s="17">
        <v>1</v>
      </c>
      <c r="M4335" s="17">
        <v>300</v>
      </c>
      <c r="N4335" s="17">
        <v>1</v>
      </c>
      <c r="O4335" s="18">
        <v>410.47</v>
      </c>
      <c r="P4335" s="18">
        <v>336.45</v>
      </c>
      <c r="Q4335" s="18">
        <v>369.42</v>
      </c>
      <c r="R4335" s="18">
        <v>302.8</v>
      </c>
      <c r="S4335" s="18">
        <v>279.12</v>
      </c>
      <c r="T4335" s="18">
        <v>228.79</v>
      </c>
      <c r="U4335" s="16"/>
      <c r="V4335" s="16"/>
      <c r="W4335" s="16" t="s">
        <v>40</v>
      </c>
      <c r="X4335" s="19">
        <v>0.08</v>
      </c>
      <c r="Y4335" s="20">
        <v>1.3300000000000001E-4</v>
      </c>
      <c r="Z4335" s="21">
        <v>4601004175280</v>
      </c>
    </row>
    <row r="4336" spans="1:26" ht="12" customHeight="1" outlineLevel="4" x14ac:dyDescent="0.2">
      <c r="A4336" s="14" t="s">
        <v>8430</v>
      </c>
      <c r="B4336" s="26" t="s">
        <v>8431</v>
      </c>
      <c r="C4336" s="52"/>
      <c r="D4336" s="55">
        <f t="shared" si="67"/>
        <v>0</v>
      </c>
      <c r="E4336" s="63" t="str">
        <f>HYPERLINK("https://www.sds-group.ru/product/koronka-po-metallu-bimetallicheskaya-bimetal-32mm-kranz-KR-92-0215/", "Инфо")</f>
        <v>Инфо</v>
      </c>
      <c r="F4336" s="16" t="s">
        <v>39</v>
      </c>
      <c r="G4336" s="15"/>
      <c r="H4336" s="15"/>
      <c r="I4336" s="15"/>
      <c r="J4336" s="22">
        <v>1139</v>
      </c>
      <c r="K4336" s="15" t="s">
        <v>6633</v>
      </c>
      <c r="L4336" s="17">
        <v>1</v>
      </c>
      <c r="M4336" s="17">
        <v>180</v>
      </c>
      <c r="N4336" s="17">
        <v>1</v>
      </c>
      <c r="O4336" s="18">
        <v>450.85</v>
      </c>
      <c r="P4336" s="18">
        <v>369.55</v>
      </c>
      <c r="Q4336" s="18">
        <v>405.77</v>
      </c>
      <c r="R4336" s="18">
        <v>332.6</v>
      </c>
      <c r="S4336" s="18">
        <v>306.58</v>
      </c>
      <c r="T4336" s="18">
        <v>251.3</v>
      </c>
      <c r="U4336" s="16"/>
      <c r="V4336" s="16"/>
      <c r="W4336" s="16" t="s">
        <v>40</v>
      </c>
      <c r="X4336" s="19">
        <v>0.1</v>
      </c>
      <c r="Y4336" s="20">
        <v>1.64E-4</v>
      </c>
      <c r="Z4336" s="21">
        <v>4601004175297</v>
      </c>
    </row>
    <row r="4337" spans="1:26" ht="12" customHeight="1" outlineLevel="4" x14ac:dyDescent="0.2">
      <c r="A4337" s="14" t="s">
        <v>8432</v>
      </c>
      <c r="B4337" s="26" t="s">
        <v>8433</v>
      </c>
      <c r="C4337" s="52"/>
      <c r="D4337" s="55">
        <f t="shared" si="67"/>
        <v>0</v>
      </c>
      <c r="E4337" s="63" t="str">
        <f>HYPERLINK("https://www.sds-group.ru/product/koronka-po-metallu-bimetallicheskaya-bimetal-35mm-kranz-KR-92-0216/", "Инфо")</f>
        <v>Инфо</v>
      </c>
      <c r="F4337" s="16" t="s">
        <v>39</v>
      </c>
      <c r="G4337" s="15"/>
      <c r="H4337" s="15"/>
      <c r="I4337" s="15"/>
      <c r="J4337" s="22">
        <v>1522</v>
      </c>
      <c r="K4337" s="15" t="s">
        <v>6633</v>
      </c>
      <c r="L4337" s="17">
        <v>1</v>
      </c>
      <c r="M4337" s="17">
        <v>180</v>
      </c>
      <c r="N4337" s="17">
        <v>1</v>
      </c>
      <c r="O4337" s="18">
        <v>386.9</v>
      </c>
      <c r="P4337" s="18">
        <v>317.13</v>
      </c>
      <c r="Q4337" s="18">
        <v>328.87</v>
      </c>
      <c r="R4337" s="18">
        <v>269.57</v>
      </c>
      <c r="S4337" s="18">
        <v>263.08999999999997</v>
      </c>
      <c r="T4337" s="18">
        <v>215.65</v>
      </c>
      <c r="U4337" s="16"/>
      <c r="V4337" s="16"/>
      <c r="W4337" s="16" t="s">
        <v>40</v>
      </c>
      <c r="X4337" s="19">
        <v>0.114</v>
      </c>
      <c r="Y4337" s="20">
        <v>1.8799999999999999E-4</v>
      </c>
      <c r="Z4337" s="21">
        <v>4601004175303</v>
      </c>
    </row>
    <row r="4338" spans="1:26" ht="12" customHeight="1" outlineLevel="4" x14ac:dyDescent="0.2">
      <c r="A4338" s="14" t="s">
        <v>8434</v>
      </c>
      <c r="B4338" s="26" t="s">
        <v>8435</v>
      </c>
      <c r="C4338" s="52"/>
      <c r="D4338" s="55">
        <f t="shared" si="67"/>
        <v>0</v>
      </c>
      <c r="E4338" s="63" t="str">
        <f>HYPERLINK("https://www.sds-group.ru/product/koronka-po-metallu-bimetallicheskaya-bimetal-37mm-kranz-KR-92-0217/", "Инфо")</f>
        <v>Инфо</v>
      </c>
      <c r="F4338" s="16" t="s">
        <v>39</v>
      </c>
      <c r="G4338" s="15"/>
      <c r="H4338" s="15"/>
      <c r="I4338" s="15"/>
      <c r="J4338" s="17">
        <v>144</v>
      </c>
      <c r="K4338" s="15"/>
      <c r="L4338" s="17">
        <v>1</v>
      </c>
      <c r="M4338" s="17">
        <v>180</v>
      </c>
      <c r="N4338" s="17">
        <v>1</v>
      </c>
      <c r="O4338" s="18">
        <v>507.91</v>
      </c>
      <c r="P4338" s="18">
        <v>416.32</v>
      </c>
      <c r="Q4338" s="18">
        <v>431.72</v>
      </c>
      <c r="R4338" s="18">
        <v>353.87</v>
      </c>
      <c r="S4338" s="18">
        <v>345.38</v>
      </c>
      <c r="T4338" s="18">
        <v>283.10000000000002</v>
      </c>
      <c r="U4338" s="16"/>
      <c r="V4338" s="16"/>
      <c r="W4338" s="16" t="s">
        <v>40</v>
      </c>
      <c r="X4338" s="19">
        <v>8.7999999999999995E-2</v>
      </c>
      <c r="Y4338" s="20">
        <v>2.23E-4</v>
      </c>
      <c r="Z4338" s="21">
        <v>4601004202351</v>
      </c>
    </row>
    <row r="4339" spans="1:26" ht="12" customHeight="1" outlineLevel="4" x14ac:dyDescent="0.2">
      <c r="A4339" s="14" t="s">
        <v>8436</v>
      </c>
      <c r="B4339" s="26" t="s">
        <v>8437</v>
      </c>
      <c r="C4339" s="52"/>
      <c r="D4339" s="55">
        <f t="shared" si="67"/>
        <v>0</v>
      </c>
      <c r="E4339" s="63" t="str">
        <f>HYPERLINK("https://www.sds-group.ru/product/koronka-po-metallu-bimetallicheskaya-bimetal-38mm-kranz-KR-92-0218/", "Инфо")</f>
        <v>Инфо</v>
      </c>
      <c r="F4339" s="16" t="s">
        <v>39</v>
      </c>
      <c r="G4339" s="15"/>
      <c r="H4339" s="15"/>
      <c r="I4339" s="15"/>
      <c r="J4339" s="17">
        <v>166</v>
      </c>
      <c r="K4339" s="15" t="s">
        <v>1055</v>
      </c>
      <c r="L4339" s="17">
        <v>1</v>
      </c>
      <c r="M4339" s="17">
        <v>180</v>
      </c>
      <c r="N4339" s="17">
        <v>1</v>
      </c>
      <c r="O4339" s="18">
        <v>528.64</v>
      </c>
      <c r="P4339" s="18">
        <v>433.31</v>
      </c>
      <c r="Q4339" s="18">
        <v>449.34</v>
      </c>
      <c r="R4339" s="18">
        <v>368.31</v>
      </c>
      <c r="S4339" s="18">
        <v>359.48</v>
      </c>
      <c r="T4339" s="18">
        <v>294.66000000000003</v>
      </c>
      <c r="U4339" s="16"/>
      <c r="V4339" s="16"/>
      <c r="W4339" s="16" t="s">
        <v>40</v>
      </c>
      <c r="X4339" s="19">
        <v>9.0999999999999998E-2</v>
      </c>
      <c r="Y4339" s="20">
        <v>2.1499999999999999E-4</v>
      </c>
      <c r="Z4339" s="21">
        <v>4601004202368</v>
      </c>
    </row>
    <row r="4340" spans="1:26" ht="12" customHeight="1" outlineLevel="4" x14ac:dyDescent="0.2">
      <c r="A4340" s="14" t="s">
        <v>8438</v>
      </c>
      <c r="B4340" s="26" t="s">
        <v>8439</v>
      </c>
      <c r="C4340" s="52"/>
      <c r="D4340" s="55">
        <f t="shared" si="67"/>
        <v>0</v>
      </c>
      <c r="E4340" s="63" t="str">
        <f>HYPERLINK("https://www.sds-group.ru/product/koronka-po-metallu-bimetallicheskaya-bimetal-40mm-kranz-KR-92-0219/", "Инфо")</f>
        <v>Инфо</v>
      </c>
      <c r="F4340" s="16" t="s">
        <v>39</v>
      </c>
      <c r="G4340" s="15"/>
      <c r="H4340" s="15"/>
      <c r="I4340" s="15"/>
      <c r="J4340" s="17">
        <v>169</v>
      </c>
      <c r="K4340" s="15" t="s">
        <v>1055</v>
      </c>
      <c r="L4340" s="17">
        <v>1</v>
      </c>
      <c r="M4340" s="17">
        <v>180</v>
      </c>
      <c r="N4340" s="17">
        <v>1</v>
      </c>
      <c r="O4340" s="18">
        <v>539.01</v>
      </c>
      <c r="P4340" s="18">
        <v>441.81</v>
      </c>
      <c r="Q4340" s="18">
        <v>458.16</v>
      </c>
      <c r="R4340" s="18">
        <v>375.54</v>
      </c>
      <c r="S4340" s="18">
        <v>366.53</v>
      </c>
      <c r="T4340" s="18">
        <v>300.43</v>
      </c>
      <c r="U4340" s="16"/>
      <c r="V4340" s="16"/>
      <c r="W4340" s="16" t="s">
        <v>40</v>
      </c>
      <c r="X4340" s="19">
        <v>0.10199999999999999</v>
      </c>
      <c r="Y4340" s="20">
        <v>2.1499999999999999E-4</v>
      </c>
      <c r="Z4340" s="21">
        <v>4601004175310</v>
      </c>
    </row>
    <row r="4341" spans="1:26" ht="12" customHeight="1" outlineLevel="4" x14ac:dyDescent="0.2">
      <c r="A4341" s="14" t="s">
        <v>8440</v>
      </c>
      <c r="B4341" s="26" t="s">
        <v>8441</v>
      </c>
      <c r="C4341" s="52"/>
      <c r="D4341" s="55">
        <f t="shared" si="67"/>
        <v>0</v>
      </c>
      <c r="E4341" s="63" t="str">
        <f>HYPERLINK("https://www.sds-group.ru/product/koronka-po-metallu-bimetallicheskaya-bimetal-41mm-kranz-KR-92-0220/", "Инфо")</f>
        <v>Инфо</v>
      </c>
      <c r="F4341" s="16" t="s">
        <v>39</v>
      </c>
      <c r="G4341" s="15"/>
      <c r="H4341" s="15"/>
      <c r="I4341" s="15"/>
      <c r="J4341" s="17">
        <v>75</v>
      </c>
      <c r="K4341" s="15"/>
      <c r="L4341" s="17">
        <v>1</v>
      </c>
      <c r="M4341" s="17">
        <v>180</v>
      </c>
      <c r="N4341" s="17">
        <v>1</v>
      </c>
      <c r="O4341" s="18">
        <v>559.74</v>
      </c>
      <c r="P4341" s="18">
        <v>458.8</v>
      </c>
      <c r="Q4341" s="18">
        <v>475.78</v>
      </c>
      <c r="R4341" s="18">
        <v>389.98</v>
      </c>
      <c r="S4341" s="18">
        <v>380.62</v>
      </c>
      <c r="T4341" s="18">
        <v>311.98</v>
      </c>
      <c r="U4341" s="16"/>
      <c r="V4341" s="16"/>
      <c r="W4341" s="16" t="s">
        <v>40</v>
      </c>
      <c r="X4341" s="19">
        <v>0.105</v>
      </c>
      <c r="Y4341" s="20">
        <v>2.24E-4</v>
      </c>
      <c r="Z4341" s="21">
        <v>4601004202375</v>
      </c>
    </row>
    <row r="4342" spans="1:26" ht="12" customHeight="1" outlineLevel="4" x14ac:dyDescent="0.2">
      <c r="A4342" s="14" t="s">
        <v>8442</v>
      </c>
      <c r="B4342" s="26" t="s">
        <v>8443</v>
      </c>
      <c r="C4342" s="52"/>
      <c r="D4342" s="55">
        <f t="shared" si="67"/>
        <v>0</v>
      </c>
      <c r="E4342" s="63" t="str">
        <f>HYPERLINK("https://www.sds-group.ru/product/koronka-po-metallu-bimetallicheskaya-bimetal-44mm-kranz-KR-92-0221/", "Инфо")</f>
        <v>Инфо</v>
      </c>
      <c r="F4342" s="16" t="s">
        <v>39</v>
      </c>
      <c r="G4342" s="15"/>
      <c r="H4342" s="15"/>
      <c r="I4342" s="15"/>
      <c r="J4342" s="16" t="s">
        <v>100</v>
      </c>
      <c r="K4342" s="15" t="s">
        <v>6939</v>
      </c>
      <c r="L4342" s="17">
        <v>1</v>
      </c>
      <c r="M4342" s="17">
        <v>180</v>
      </c>
      <c r="N4342" s="17">
        <v>1</v>
      </c>
      <c r="O4342" s="18">
        <v>570.11</v>
      </c>
      <c r="P4342" s="18">
        <v>467.3</v>
      </c>
      <c r="Q4342" s="18">
        <v>484.59</v>
      </c>
      <c r="R4342" s="18">
        <v>397.2</v>
      </c>
      <c r="S4342" s="18">
        <v>387.67</v>
      </c>
      <c r="T4342" s="18">
        <v>317.76</v>
      </c>
      <c r="U4342" s="16"/>
      <c r="V4342" s="16"/>
      <c r="W4342" s="16" t="s">
        <v>40</v>
      </c>
      <c r="X4342" s="19">
        <v>0.11700000000000001</v>
      </c>
      <c r="Y4342" s="20">
        <v>2.8600000000000001E-4</v>
      </c>
      <c r="Z4342" s="21">
        <v>4601004202382</v>
      </c>
    </row>
    <row r="4343" spans="1:26" ht="12" customHeight="1" outlineLevel="4" x14ac:dyDescent="0.2">
      <c r="A4343" s="14" t="s">
        <v>8444</v>
      </c>
      <c r="B4343" s="26" t="s">
        <v>8445</v>
      </c>
      <c r="C4343" s="52"/>
      <c r="D4343" s="55">
        <f t="shared" si="67"/>
        <v>0</v>
      </c>
      <c r="E4343" s="63" t="str">
        <f>HYPERLINK("https://www.sds-group.ru/product/koronka-po-metallu-bimetallicheskaya-bimetal-45mm-kranz-KR-92-0222/", "Инфо")</f>
        <v>Инфо</v>
      </c>
      <c r="F4343" s="16" t="s">
        <v>39</v>
      </c>
      <c r="G4343" s="15"/>
      <c r="H4343" s="15"/>
      <c r="I4343" s="15"/>
      <c r="J4343" s="17">
        <v>146</v>
      </c>
      <c r="K4343" s="15" t="s">
        <v>1055</v>
      </c>
      <c r="L4343" s="17">
        <v>1</v>
      </c>
      <c r="M4343" s="17">
        <v>180</v>
      </c>
      <c r="N4343" s="17">
        <v>1</v>
      </c>
      <c r="O4343" s="18">
        <v>580.48</v>
      </c>
      <c r="P4343" s="18">
        <v>475.8</v>
      </c>
      <c r="Q4343" s="18">
        <v>493.41</v>
      </c>
      <c r="R4343" s="18">
        <v>404.43</v>
      </c>
      <c r="S4343" s="18">
        <v>394.73</v>
      </c>
      <c r="T4343" s="18">
        <v>323.55</v>
      </c>
      <c r="U4343" s="16"/>
      <c r="V4343" s="16"/>
      <c r="W4343" s="16" t="s">
        <v>40</v>
      </c>
      <c r="X4343" s="19">
        <v>0.125</v>
      </c>
      <c r="Y4343" s="20">
        <v>2.7999999999999998E-4</v>
      </c>
      <c r="Z4343" s="21">
        <v>4601004202399</v>
      </c>
    </row>
    <row r="4344" spans="1:26" ht="12" customHeight="1" outlineLevel="4" x14ac:dyDescent="0.2">
      <c r="A4344" s="14" t="s">
        <v>8446</v>
      </c>
      <c r="B4344" s="26" t="s">
        <v>8447</v>
      </c>
      <c r="C4344" s="52"/>
      <c r="D4344" s="55">
        <f t="shared" si="67"/>
        <v>0</v>
      </c>
      <c r="E4344" s="63" t="str">
        <f>HYPERLINK("https://www.sds-group.ru/product/koronka-po-metallu-bimetallicheskaya-bimetal-46mm-kranz-KR-92-0223/", "Инфо")</f>
        <v>Инфо</v>
      </c>
      <c r="F4344" s="16" t="s">
        <v>39</v>
      </c>
      <c r="G4344" s="15"/>
      <c r="H4344" s="15"/>
      <c r="I4344" s="15"/>
      <c r="J4344" s="17">
        <v>346</v>
      </c>
      <c r="K4344" s="15"/>
      <c r="L4344" s="17">
        <v>1</v>
      </c>
      <c r="M4344" s="17">
        <v>180</v>
      </c>
      <c r="N4344" s="17">
        <v>1</v>
      </c>
      <c r="O4344" s="18">
        <v>601.20000000000005</v>
      </c>
      <c r="P4344" s="18">
        <v>492.79</v>
      </c>
      <c r="Q4344" s="18">
        <v>511.02</v>
      </c>
      <c r="R4344" s="18">
        <v>418.87</v>
      </c>
      <c r="S4344" s="18">
        <v>408.82</v>
      </c>
      <c r="T4344" s="18">
        <v>335.1</v>
      </c>
      <c r="U4344" s="16"/>
      <c r="V4344" s="16"/>
      <c r="W4344" s="16" t="s">
        <v>40</v>
      </c>
      <c r="X4344" s="19">
        <v>0.13</v>
      </c>
      <c r="Y4344" s="20">
        <v>2.9999999999999997E-4</v>
      </c>
      <c r="Z4344" s="21">
        <v>4601004202405</v>
      </c>
    </row>
    <row r="4345" spans="1:26" ht="12" customHeight="1" outlineLevel="4" x14ac:dyDescent="0.2">
      <c r="A4345" s="14" t="s">
        <v>8448</v>
      </c>
      <c r="B4345" s="26" t="s">
        <v>8449</v>
      </c>
      <c r="C4345" s="52"/>
      <c r="D4345" s="55">
        <f t="shared" si="67"/>
        <v>0</v>
      </c>
      <c r="E4345" s="63" t="str">
        <f>HYPERLINK("https://www.sds-group.ru/product/koronka-po-metallu-bimetallicheskaya-bimetal-48mm-kranz-KR-92-0224/", "Инфо")</f>
        <v>Инфо</v>
      </c>
      <c r="F4345" s="16" t="s">
        <v>39</v>
      </c>
      <c r="G4345" s="15"/>
      <c r="H4345" s="15"/>
      <c r="I4345" s="15"/>
      <c r="J4345" s="17">
        <v>99</v>
      </c>
      <c r="K4345" s="15" t="s">
        <v>1055</v>
      </c>
      <c r="L4345" s="17">
        <v>1</v>
      </c>
      <c r="M4345" s="17">
        <v>120</v>
      </c>
      <c r="N4345" s="17">
        <v>1</v>
      </c>
      <c r="O4345" s="18">
        <v>611.57000000000005</v>
      </c>
      <c r="P4345" s="18">
        <v>501.29</v>
      </c>
      <c r="Q4345" s="18">
        <v>519.83000000000004</v>
      </c>
      <c r="R4345" s="18">
        <v>426.09</v>
      </c>
      <c r="S4345" s="18">
        <v>415.87</v>
      </c>
      <c r="T4345" s="18">
        <v>340.88</v>
      </c>
      <c r="U4345" s="16"/>
      <c r="V4345" s="16"/>
      <c r="W4345" s="16" t="s">
        <v>40</v>
      </c>
      <c r="X4345" s="19">
        <v>0.14099999999999999</v>
      </c>
      <c r="Y4345" s="20">
        <v>3.1599999999999998E-4</v>
      </c>
      <c r="Z4345" s="21">
        <v>4601004202412</v>
      </c>
    </row>
    <row r="4346" spans="1:26" ht="12" customHeight="1" outlineLevel="4" x14ac:dyDescent="0.2">
      <c r="A4346" s="14" t="s">
        <v>8450</v>
      </c>
      <c r="B4346" s="26" t="s">
        <v>8451</v>
      </c>
      <c r="C4346" s="52"/>
      <c r="D4346" s="55">
        <f t="shared" si="67"/>
        <v>0</v>
      </c>
      <c r="E4346" s="63" t="str">
        <f>HYPERLINK("https://www.sds-group.ru/product/koronka-po-metallu-bimetallicheskaya-bimetal-50mm-kranz-KR-92-0225/", "Инфо")</f>
        <v>Инфо</v>
      </c>
      <c r="F4346" s="16" t="s">
        <v>39</v>
      </c>
      <c r="G4346" s="15"/>
      <c r="H4346" s="15"/>
      <c r="I4346" s="15"/>
      <c r="J4346" s="17">
        <v>836</v>
      </c>
      <c r="K4346" s="15" t="s">
        <v>6633</v>
      </c>
      <c r="L4346" s="17">
        <v>1</v>
      </c>
      <c r="M4346" s="17">
        <v>120</v>
      </c>
      <c r="N4346" s="17">
        <v>1</v>
      </c>
      <c r="O4346" s="18">
        <v>621.92999999999995</v>
      </c>
      <c r="P4346" s="18">
        <v>509.78</v>
      </c>
      <c r="Q4346" s="18">
        <v>528.64</v>
      </c>
      <c r="R4346" s="18">
        <v>433.31</v>
      </c>
      <c r="S4346" s="18">
        <v>422.91</v>
      </c>
      <c r="T4346" s="18">
        <v>346.65</v>
      </c>
      <c r="U4346" s="16"/>
      <c r="V4346" s="16"/>
      <c r="W4346" s="16" t="s">
        <v>40</v>
      </c>
      <c r="X4346" s="19">
        <v>0.14799999999999999</v>
      </c>
      <c r="Y4346" s="20">
        <v>3.7399999999999998E-4</v>
      </c>
      <c r="Z4346" s="21">
        <v>4601004175327</v>
      </c>
    </row>
    <row r="4347" spans="1:26" ht="12" customHeight="1" outlineLevel="4" x14ac:dyDescent="0.2">
      <c r="A4347" s="14" t="s">
        <v>8452</v>
      </c>
      <c r="B4347" s="26" t="s">
        <v>8453</v>
      </c>
      <c r="C4347" s="52"/>
      <c r="D4347" s="55">
        <f t="shared" si="67"/>
        <v>0</v>
      </c>
      <c r="E4347" s="63" t="str">
        <f>HYPERLINK("https://www.sds-group.ru/product/koronka-po-metallu-bimetallicheskaya-bimetal-51mm-kranz-KR-92-0226/", "Инфо")</f>
        <v>Инфо</v>
      </c>
      <c r="F4347" s="16" t="s">
        <v>39</v>
      </c>
      <c r="G4347" s="15"/>
      <c r="H4347" s="15"/>
      <c r="I4347" s="15"/>
      <c r="J4347" s="17">
        <v>230</v>
      </c>
      <c r="K4347" s="15"/>
      <c r="L4347" s="17">
        <v>1</v>
      </c>
      <c r="M4347" s="17">
        <v>120</v>
      </c>
      <c r="N4347" s="17">
        <v>1</v>
      </c>
      <c r="O4347" s="18">
        <v>663.4</v>
      </c>
      <c r="P4347" s="18">
        <v>543.77</v>
      </c>
      <c r="Q4347" s="18">
        <v>563.89</v>
      </c>
      <c r="R4347" s="18">
        <v>462.2</v>
      </c>
      <c r="S4347" s="18">
        <v>451.11</v>
      </c>
      <c r="T4347" s="18">
        <v>369.76</v>
      </c>
      <c r="U4347" s="16"/>
      <c r="V4347" s="16"/>
      <c r="W4347" s="16" t="s">
        <v>40</v>
      </c>
      <c r="X4347" s="19">
        <v>0.153</v>
      </c>
      <c r="Y4347" s="20">
        <v>3.86E-4</v>
      </c>
      <c r="Z4347" s="21">
        <v>4601004202429</v>
      </c>
    </row>
    <row r="4348" spans="1:26" ht="12" customHeight="1" outlineLevel="4" x14ac:dyDescent="0.2">
      <c r="A4348" s="14" t="s">
        <v>8454</v>
      </c>
      <c r="B4348" s="26" t="s">
        <v>8455</v>
      </c>
      <c r="C4348" s="52"/>
      <c r="D4348" s="55">
        <f t="shared" si="67"/>
        <v>0</v>
      </c>
      <c r="E4348" s="63" t="str">
        <f>HYPERLINK("https://www.sds-group.ru/product/koronka-po-metallu-bimetallicheskaya-bimetal-52mm-kranz-KR-92-0227/", "Инфо")</f>
        <v>Инфо</v>
      </c>
      <c r="F4348" s="16" t="s">
        <v>39</v>
      </c>
      <c r="G4348" s="15"/>
      <c r="H4348" s="15"/>
      <c r="I4348" s="15"/>
      <c r="J4348" s="17">
        <v>257</v>
      </c>
      <c r="K4348" s="15" t="s">
        <v>1055</v>
      </c>
      <c r="L4348" s="17">
        <v>1</v>
      </c>
      <c r="M4348" s="17">
        <v>120</v>
      </c>
      <c r="N4348" s="17">
        <v>1</v>
      </c>
      <c r="O4348" s="18">
        <v>684.12</v>
      </c>
      <c r="P4348" s="18">
        <v>560.75</v>
      </c>
      <c r="Q4348" s="18">
        <v>581.5</v>
      </c>
      <c r="R4348" s="18">
        <v>476.64</v>
      </c>
      <c r="S4348" s="18">
        <v>465.2</v>
      </c>
      <c r="T4348" s="18">
        <v>381.31</v>
      </c>
      <c r="U4348" s="16"/>
      <c r="V4348" s="16"/>
      <c r="W4348" s="16" t="s">
        <v>40</v>
      </c>
      <c r="X4348" s="19">
        <v>0.156</v>
      </c>
      <c r="Y4348" s="20">
        <v>3.79E-4</v>
      </c>
      <c r="Z4348" s="21">
        <v>4601004202436</v>
      </c>
    </row>
    <row r="4349" spans="1:26" ht="12" customHeight="1" outlineLevel="4" x14ac:dyDescent="0.2">
      <c r="A4349" s="14" t="s">
        <v>8456</v>
      </c>
      <c r="B4349" s="26" t="s">
        <v>8457</v>
      </c>
      <c r="C4349" s="52"/>
      <c r="D4349" s="55">
        <f t="shared" si="67"/>
        <v>0</v>
      </c>
      <c r="E4349" s="63" t="str">
        <f>HYPERLINK("https://www.sds-group.ru/product/koronka-po-metallu-bimetallicheskaya-bimetal-55mm-kranz-KR-92-0229/", "Инфо")</f>
        <v>Инфо</v>
      </c>
      <c r="F4349" s="16" t="s">
        <v>39</v>
      </c>
      <c r="G4349" s="15"/>
      <c r="H4349" s="15"/>
      <c r="I4349" s="15"/>
      <c r="J4349" s="22">
        <v>1103</v>
      </c>
      <c r="K4349" s="15" t="s">
        <v>6633</v>
      </c>
      <c r="L4349" s="17">
        <v>1</v>
      </c>
      <c r="M4349" s="17">
        <v>120</v>
      </c>
      <c r="N4349" s="17">
        <v>1</v>
      </c>
      <c r="O4349" s="18">
        <v>572.4</v>
      </c>
      <c r="P4349" s="18">
        <v>469.18</v>
      </c>
      <c r="Q4349" s="18">
        <v>486.54</v>
      </c>
      <c r="R4349" s="18">
        <v>398.8</v>
      </c>
      <c r="S4349" s="18">
        <v>389.23</v>
      </c>
      <c r="T4349" s="18">
        <v>319.04000000000002</v>
      </c>
      <c r="U4349" s="16"/>
      <c r="V4349" s="16"/>
      <c r="W4349" s="16" t="s">
        <v>40</v>
      </c>
      <c r="X4349" s="19">
        <v>0.17299999999999999</v>
      </c>
      <c r="Y4349" s="20">
        <v>4.0200000000000001E-4</v>
      </c>
      <c r="Z4349" s="21">
        <v>4601004202450</v>
      </c>
    </row>
    <row r="4350" spans="1:26" ht="12" customHeight="1" outlineLevel="4" x14ac:dyDescent="0.2">
      <c r="A4350" s="14" t="s">
        <v>8458</v>
      </c>
      <c r="B4350" s="26" t="s">
        <v>8459</v>
      </c>
      <c r="C4350" s="52"/>
      <c r="D4350" s="55">
        <f t="shared" si="67"/>
        <v>0</v>
      </c>
      <c r="E4350" s="63" t="str">
        <f>HYPERLINK("https://www.sds-group.ru/product/koronka-po-metallu-bimetallicheskaya-bimetal-60mm-kranz-KR-92-0231/", "Инфо")</f>
        <v>Инфо</v>
      </c>
      <c r="F4350" s="16" t="s">
        <v>39</v>
      </c>
      <c r="G4350" s="15"/>
      <c r="H4350" s="15"/>
      <c r="I4350" s="15"/>
      <c r="J4350" s="17">
        <v>479</v>
      </c>
      <c r="K4350" s="15" t="s">
        <v>1055</v>
      </c>
      <c r="L4350" s="17">
        <v>1</v>
      </c>
      <c r="M4350" s="17">
        <v>120</v>
      </c>
      <c r="N4350" s="17">
        <v>1</v>
      </c>
      <c r="O4350" s="18">
        <v>746.32</v>
      </c>
      <c r="P4350" s="18">
        <v>611.74</v>
      </c>
      <c r="Q4350" s="18">
        <v>634.37</v>
      </c>
      <c r="R4350" s="18">
        <v>519.98</v>
      </c>
      <c r="S4350" s="18">
        <v>507.5</v>
      </c>
      <c r="T4350" s="18">
        <v>415.98</v>
      </c>
      <c r="U4350" s="16"/>
      <c r="V4350" s="16"/>
      <c r="W4350" s="16" t="s">
        <v>40</v>
      </c>
      <c r="X4350" s="19">
        <v>0.20699999999999999</v>
      </c>
      <c r="Y4350" s="20">
        <v>4.5300000000000001E-4</v>
      </c>
      <c r="Z4350" s="21">
        <v>4601004175334</v>
      </c>
    </row>
    <row r="4351" spans="1:26" ht="12" customHeight="1" outlineLevel="4" x14ac:dyDescent="0.2">
      <c r="A4351" s="14" t="s">
        <v>8460</v>
      </c>
      <c r="B4351" s="26" t="s">
        <v>8461</v>
      </c>
      <c r="C4351" s="52"/>
      <c r="D4351" s="55">
        <f t="shared" si="67"/>
        <v>0</v>
      </c>
      <c r="E4351" s="63" t="str">
        <f>HYPERLINK("https://www.sds-group.ru/product/koronka-po-metallu-bimetallicheskaya-bimetal-64mm-kranz-KR-92-0232/", "Инфо")</f>
        <v>Инфо</v>
      </c>
      <c r="F4351" s="16" t="s">
        <v>39</v>
      </c>
      <c r="G4351" s="15"/>
      <c r="H4351" s="15"/>
      <c r="I4351" s="15"/>
      <c r="J4351" s="17">
        <v>229</v>
      </c>
      <c r="K4351" s="15" t="s">
        <v>1055</v>
      </c>
      <c r="L4351" s="17">
        <v>1</v>
      </c>
      <c r="M4351" s="17">
        <v>80</v>
      </c>
      <c r="N4351" s="17">
        <v>1</v>
      </c>
      <c r="O4351" s="18">
        <v>794</v>
      </c>
      <c r="P4351" s="18">
        <v>650.82000000000005</v>
      </c>
      <c r="Q4351" s="18">
        <v>674.9</v>
      </c>
      <c r="R4351" s="18">
        <v>553.20000000000005</v>
      </c>
      <c r="S4351" s="18">
        <v>539.91999999999996</v>
      </c>
      <c r="T4351" s="18">
        <v>442.56</v>
      </c>
      <c r="U4351" s="16"/>
      <c r="V4351" s="16"/>
      <c r="W4351" s="16" t="s">
        <v>40</v>
      </c>
      <c r="X4351" s="19">
        <v>0.22900000000000001</v>
      </c>
      <c r="Y4351" s="20">
        <v>6.3900000000000003E-4</v>
      </c>
      <c r="Z4351" s="21">
        <v>4601004202474</v>
      </c>
    </row>
    <row r="4352" spans="1:26" ht="12" customHeight="1" outlineLevel="4" x14ac:dyDescent="0.2">
      <c r="A4352" s="14" t="s">
        <v>8462</v>
      </c>
      <c r="B4352" s="26" t="s">
        <v>8463</v>
      </c>
      <c r="C4352" s="52"/>
      <c r="D4352" s="55">
        <f t="shared" si="67"/>
        <v>0</v>
      </c>
      <c r="E4352" s="63" t="str">
        <f>HYPERLINK("https://www.sds-group.ru/product/koronka-po-metallu-bimetallicheskaya-bimetal-65mm-kranz-KR-92-0233/", "Инфо")</f>
        <v>Инфо</v>
      </c>
      <c r="F4352" s="16" t="s">
        <v>39</v>
      </c>
      <c r="G4352" s="15"/>
      <c r="H4352" s="15"/>
      <c r="I4352" s="15"/>
      <c r="J4352" s="17">
        <v>394</v>
      </c>
      <c r="K4352" s="15" t="s">
        <v>6633</v>
      </c>
      <c r="L4352" s="17">
        <v>1</v>
      </c>
      <c r="M4352" s="17">
        <v>80</v>
      </c>
      <c r="N4352" s="17">
        <v>1</v>
      </c>
      <c r="O4352" s="18">
        <v>829.25</v>
      </c>
      <c r="P4352" s="18">
        <v>679.71</v>
      </c>
      <c r="Q4352" s="18">
        <v>704.86</v>
      </c>
      <c r="R4352" s="18">
        <v>577.75</v>
      </c>
      <c r="S4352" s="18">
        <v>563.89</v>
      </c>
      <c r="T4352" s="18">
        <v>462.2</v>
      </c>
      <c r="U4352" s="16"/>
      <c r="V4352" s="16"/>
      <c r="W4352" s="16" t="s">
        <v>40</v>
      </c>
      <c r="X4352" s="19">
        <v>0.24</v>
      </c>
      <c r="Y4352" s="20">
        <v>6.5099999999999999E-4</v>
      </c>
      <c r="Z4352" s="21">
        <v>4601004202481</v>
      </c>
    </row>
    <row r="4353" spans="1:26" ht="12" customHeight="1" outlineLevel="4" x14ac:dyDescent="0.2">
      <c r="A4353" s="14" t="s">
        <v>8464</v>
      </c>
      <c r="B4353" s="26" t="s">
        <v>8465</v>
      </c>
      <c r="C4353" s="52"/>
      <c r="D4353" s="55">
        <f t="shared" si="67"/>
        <v>0</v>
      </c>
      <c r="E4353" s="63" t="str">
        <f>HYPERLINK("https://www.sds-group.ru/product/koronka-po-metallu-bimetallicheskaya-bimetal-67mm-kranz-KR-92-0234/", "Инфо")</f>
        <v>Инфо</v>
      </c>
      <c r="F4353" s="16" t="s">
        <v>39</v>
      </c>
      <c r="G4353" s="15"/>
      <c r="H4353" s="15"/>
      <c r="I4353" s="15"/>
      <c r="J4353" s="17">
        <v>466</v>
      </c>
      <c r="K4353" s="15" t="s">
        <v>6633</v>
      </c>
      <c r="L4353" s="17">
        <v>1</v>
      </c>
      <c r="M4353" s="17">
        <v>80</v>
      </c>
      <c r="N4353" s="17">
        <v>1</v>
      </c>
      <c r="O4353" s="18">
        <v>863.07</v>
      </c>
      <c r="P4353" s="18">
        <v>707.43</v>
      </c>
      <c r="Q4353" s="18">
        <v>733.61</v>
      </c>
      <c r="R4353" s="18">
        <v>601.32000000000005</v>
      </c>
      <c r="S4353" s="18">
        <v>586.89</v>
      </c>
      <c r="T4353" s="18">
        <v>481.06</v>
      </c>
      <c r="U4353" s="16"/>
      <c r="V4353" s="16"/>
      <c r="W4353" s="16" t="s">
        <v>40</v>
      </c>
      <c r="X4353" s="19">
        <v>0.251</v>
      </c>
      <c r="Y4353" s="20">
        <v>6.1799999999999995E-4</v>
      </c>
      <c r="Z4353" s="21">
        <v>4601004202498</v>
      </c>
    </row>
    <row r="4354" spans="1:26" ht="12" customHeight="1" outlineLevel="4" x14ac:dyDescent="0.2">
      <c r="A4354" s="14" t="s">
        <v>8466</v>
      </c>
      <c r="B4354" s="26" t="s">
        <v>8467</v>
      </c>
      <c r="C4354" s="52"/>
      <c r="D4354" s="55">
        <f t="shared" si="67"/>
        <v>0</v>
      </c>
      <c r="E4354" s="63" t="str">
        <f>HYPERLINK("https://www.sds-group.ru/product/koronka-po-metallu-bimetallicheskaya-bimetal-68mm-kranz-KR-92-0235/", "Инфо")</f>
        <v>Инфо</v>
      </c>
      <c r="F4354" s="16" t="s">
        <v>39</v>
      </c>
      <c r="G4354" s="15"/>
      <c r="H4354" s="15"/>
      <c r="I4354" s="15"/>
      <c r="J4354" s="22">
        <v>1924</v>
      </c>
      <c r="K4354" s="15" t="s">
        <v>1055</v>
      </c>
      <c r="L4354" s="17">
        <v>1</v>
      </c>
      <c r="M4354" s="17">
        <v>80</v>
      </c>
      <c r="N4354" s="17">
        <v>1</v>
      </c>
      <c r="O4354" s="18">
        <v>891.44</v>
      </c>
      <c r="P4354" s="18">
        <v>730.69</v>
      </c>
      <c r="Q4354" s="18">
        <v>757.72</v>
      </c>
      <c r="R4354" s="18">
        <v>621.08000000000004</v>
      </c>
      <c r="S4354" s="18">
        <v>606.17999999999995</v>
      </c>
      <c r="T4354" s="18">
        <v>496.87</v>
      </c>
      <c r="U4354" s="16"/>
      <c r="V4354" s="16"/>
      <c r="W4354" s="16" t="s">
        <v>40</v>
      </c>
      <c r="X4354" s="19">
        <v>0.25</v>
      </c>
      <c r="Y4354" s="20">
        <v>6.7000000000000002E-4</v>
      </c>
      <c r="Z4354" s="21">
        <v>4601004175341</v>
      </c>
    </row>
    <row r="4355" spans="1:26" ht="12" customHeight="1" outlineLevel="4" x14ac:dyDescent="0.2">
      <c r="A4355" s="14" t="s">
        <v>8468</v>
      </c>
      <c r="B4355" s="26" t="s">
        <v>8469</v>
      </c>
      <c r="C4355" s="52"/>
      <c r="D4355" s="55">
        <f t="shared" si="67"/>
        <v>0</v>
      </c>
      <c r="E4355" s="63" t="str">
        <f>HYPERLINK("https://www.sds-group.ru/product/koronka-po-metallu-bimetallicheskaya-bimetal-70mm-kranz-KR-92-0236/", "Инфо")</f>
        <v>Инфо</v>
      </c>
      <c r="F4355" s="16" t="s">
        <v>39</v>
      </c>
      <c r="G4355" s="15"/>
      <c r="H4355" s="15"/>
      <c r="I4355" s="15"/>
      <c r="J4355" s="17">
        <v>203</v>
      </c>
      <c r="K4355" s="15" t="s">
        <v>1055</v>
      </c>
      <c r="L4355" s="17">
        <v>1</v>
      </c>
      <c r="M4355" s="17">
        <v>80</v>
      </c>
      <c r="N4355" s="17">
        <v>1</v>
      </c>
      <c r="O4355" s="18">
        <v>932.91</v>
      </c>
      <c r="P4355" s="18">
        <v>764.68</v>
      </c>
      <c r="Q4355" s="18">
        <v>792.97</v>
      </c>
      <c r="R4355" s="18">
        <v>649.98</v>
      </c>
      <c r="S4355" s="18">
        <v>634.38</v>
      </c>
      <c r="T4355" s="18">
        <v>519.98</v>
      </c>
      <c r="U4355" s="16"/>
      <c r="V4355" s="16"/>
      <c r="W4355" s="16" t="s">
        <v>40</v>
      </c>
      <c r="X4355" s="19">
        <v>0.24</v>
      </c>
      <c r="Y4355" s="20">
        <v>6.6399999999999999E-4</v>
      </c>
      <c r="Z4355" s="21">
        <v>4601004202504</v>
      </c>
    </row>
    <row r="4356" spans="1:26" ht="12" customHeight="1" outlineLevel="4" x14ac:dyDescent="0.2">
      <c r="A4356" s="14" t="s">
        <v>8470</v>
      </c>
      <c r="B4356" s="26" t="s">
        <v>8471</v>
      </c>
      <c r="C4356" s="52"/>
      <c r="D4356" s="55">
        <f t="shared" si="67"/>
        <v>0</v>
      </c>
      <c r="E4356" s="63" t="str">
        <f>HYPERLINK("https://www.sds-group.ru/product/koronka-po-metallu-bimetallicheskaya-bimetal-73mm-kranz-KR-92-0261/", "Инфо")</f>
        <v>Инфо</v>
      </c>
      <c r="F4356" s="16" t="s">
        <v>39</v>
      </c>
      <c r="G4356" s="15"/>
      <c r="H4356" s="15"/>
      <c r="I4356" s="15"/>
      <c r="J4356" s="17">
        <v>360</v>
      </c>
      <c r="K4356" s="15" t="s">
        <v>6939</v>
      </c>
      <c r="L4356" s="17">
        <v>1</v>
      </c>
      <c r="M4356" s="17">
        <v>64</v>
      </c>
      <c r="N4356" s="17">
        <v>1</v>
      </c>
      <c r="O4356" s="18">
        <v>995.1</v>
      </c>
      <c r="P4356" s="18">
        <v>815.66</v>
      </c>
      <c r="Q4356" s="18">
        <v>845.84</v>
      </c>
      <c r="R4356" s="18">
        <v>693.31</v>
      </c>
      <c r="S4356" s="18">
        <v>676.67</v>
      </c>
      <c r="T4356" s="18">
        <v>554.65</v>
      </c>
      <c r="U4356" s="16"/>
      <c r="V4356" s="16"/>
      <c r="W4356" s="16" t="s">
        <v>40</v>
      </c>
      <c r="X4356" s="19">
        <v>0.29799999999999999</v>
      </c>
      <c r="Y4356" s="20">
        <v>9.0700000000000004E-4</v>
      </c>
      <c r="Z4356" s="21">
        <v>4601004286177</v>
      </c>
    </row>
    <row r="4357" spans="1:26" ht="12" customHeight="1" outlineLevel="4" x14ac:dyDescent="0.2">
      <c r="A4357" s="14" t="s">
        <v>8472</v>
      </c>
      <c r="B4357" s="26" t="s">
        <v>8473</v>
      </c>
      <c r="C4357" s="52"/>
      <c r="D4357" s="55">
        <f t="shared" si="67"/>
        <v>0</v>
      </c>
      <c r="E4357" s="63" t="str">
        <f>HYPERLINK("https://www.sds-group.ru/product/koronka-po-metallu-bimetallicheskaya-bimetal-75mm-kranz-KR-92-0237/", "Инфо")</f>
        <v>Инфо</v>
      </c>
      <c r="F4357" s="16" t="s">
        <v>39</v>
      </c>
      <c r="G4357" s="15"/>
      <c r="H4357" s="15"/>
      <c r="I4357" s="15"/>
      <c r="J4357" s="17">
        <v>520</v>
      </c>
      <c r="K4357" s="15" t="s">
        <v>6633</v>
      </c>
      <c r="L4357" s="17">
        <v>1</v>
      </c>
      <c r="M4357" s="17">
        <v>64</v>
      </c>
      <c r="N4357" s="17">
        <v>1</v>
      </c>
      <c r="O4357" s="18">
        <v>1036.55</v>
      </c>
      <c r="P4357" s="18">
        <v>849.63</v>
      </c>
      <c r="Q4357" s="18">
        <v>881.07</v>
      </c>
      <c r="R4357" s="18">
        <v>722.19</v>
      </c>
      <c r="S4357" s="18">
        <v>704.85</v>
      </c>
      <c r="T4357" s="18">
        <v>577.75</v>
      </c>
      <c r="U4357" s="16"/>
      <c r="V4357" s="16"/>
      <c r="W4357" s="16" t="s">
        <v>40</v>
      </c>
      <c r="X4357" s="19">
        <v>0.29699999999999999</v>
      </c>
      <c r="Y4357" s="20">
        <v>7.94E-4</v>
      </c>
      <c r="Z4357" s="21">
        <v>4601004202511</v>
      </c>
    </row>
    <row r="4358" spans="1:26" ht="12" customHeight="1" outlineLevel="4" x14ac:dyDescent="0.2">
      <c r="A4358" s="14" t="s">
        <v>8474</v>
      </c>
      <c r="B4358" s="26" t="s">
        <v>8475</v>
      </c>
      <c r="C4358" s="52"/>
      <c r="D4358" s="55">
        <f t="shared" si="67"/>
        <v>0</v>
      </c>
      <c r="E4358" s="63" t="str">
        <f>HYPERLINK("https://www.sds-group.ru/product/koronka-po-metallu-bimetallicheskaya-bimetal-76mm-kranz-KR-92-0238/", "Инфо")</f>
        <v>Инфо</v>
      </c>
      <c r="F4358" s="16" t="s">
        <v>39</v>
      </c>
      <c r="G4358" s="15"/>
      <c r="H4358" s="15"/>
      <c r="I4358" s="15"/>
      <c r="J4358" s="17">
        <v>358</v>
      </c>
      <c r="K4358" s="15"/>
      <c r="L4358" s="17">
        <v>1</v>
      </c>
      <c r="M4358" s="17">
        <v>64</v>
      </c>
      <c r="N4358" s="17">
        <v>1</v>
      </c>
      <c r="O4358" s="18">
        <v>1105.3900000000001</v>
      </c>
      <c r="P4358" s="18">
        <v>906.06</v>
      </c>
      <c r="Q4358" s="18">
        <v>939.58</v>
      </c>
      <c r="R4358" s="18">
        <v>770.15</v>
      </c>
      <c r="S4358" s="18">
        <v>751.67</v>
      </c>
      <c r="T4358" s="18">
        <v>616.12</v>
      </c>
      <c r="U4358" s="16"/>
      <c r="V4358" s="16"/>
      <c r="W4358" s="16" t="s">
        <v>40</v>
      </c>
      <c r="X4358" s="19">
        <v>0.31</v>
      </c>
      <c r="Y4358" s="20">
        <v>7.7899999999999996E-4</v>
      </c>
      <c r="Z4358" s="21">
        <v>4601004202528</v>
      </c>
    </row>
    <row r="4359" spans="1:26" ht="12" customHeight="1" outlineLevel="4" x14ac:dyDescent="0.2">
      <c r="A4359" s="14" t="s">
        <v>8476</v>
      </c>
      <c r="B4359" s="26" t="s">
        <v>8477</v>
      </c>
      <c r="C4359" s="52"/>
      <c r="D4359" s="55">
        <f t="shared" si="67"/>
        <v>0</v>
      </c>
      <c r="E4359" s="63" t="str">
        <f>HYPERLINK("https://www.sds-group.ru/product/koronka-po-metallu-bimetallicheskaya-bimetal-79mm-kranz-KR-92-0239/", "Инфо")</f>
        <v>Инфо</v>
      </c>
      <c r="F4359" s="16" t="s">
        <v>39</v>
      </c>
      <c r="G4359" s="15"/>
      <c r="H4359" s="15"/>
      <c r="I4359" s="15"/>
      <c r="J4359" s="17">
        <v>193</v>
      </c>
      <c r="K4359" s="15" t="s">
        <v>6633</v>
      </c>
      <c r="L4359" s="17">
        <v>1</v>
      </c>
      <c r="M4359" s="17">
        <v>64</v>
      </c>
      <c r="N4359" s="17">
        <v>1</v>
      </c>
      <c r="O4359" s="18">
        <v>1098.75</v>
      </c>
      <c r="P4359" s="18">
        <v>900.61</v>
      </c>
      <c r="Q4359" s="18">
        <v>933.94</v>
      </c>
      <c r="R4359" s="18">
        <v>765.52</v>
      </c>
      <c r="S4359" s="18">
        <v>747.15</v>
      </c>
      <c r="T4359" s="18">
        <v>612.41999999999996</v>
      </c>
      <c r="U4359" s="16"/>
      <c r="V4359" s="16"/>
      <c r="W4359" s="16" t="s">
        <v>40</v>
      </c>
      <c r="X4359" s="19">
        <v>0.33300000000000002</v>
      </c>
      <c r="Y4359" s="20">
        <v>8.7100000000000003E-4</v>
      </c>
      <c r="Z4359" s="21">
        <v>4601004202535</v>
      </c>
    </row>
    <row r="4360" spans="1:26" ht="12" customHeight="1" outlineLevel="4" x14ac:dyDescent="0.2">
      <c r="A4360" s="14" t="s">
        <v>8478</v>
      </c>
      <c r="B4360" s="26" t="s">
        <v>8479</v>
      </c>
      <c r="C4360" s="52"/>
      <c r="D4360" s="55">
        <f t="shared" si="67"/>
        <v>0</v>
      </c>
      <c r="E4360" s="63" t="str">
        <f>HYPERLINK("https://www.sds-group.ru/product/koronka-po-metallu-bimetallicheskaya-bimetal-83mm-kranz-KR-92-0240/", "Инфо")</f>
        <v>Инфо</v>
      </c>
      <c r="F4360" s="16" t="s">
        <v>39</v>
      </c>
      <c r="G4360" s="15"/>
      <c r="H4360" s="15"/>
      <c r="I4360" s="15"/>
      <c r="J4360" s="16" t="s">
        <v>100</v>
      </c>
      <c r="K4360" s="15" t="s">
        <v>6939</v>
      </c>
      <c r="L4360" s="17">
        <v>1</v>
      </c>
      <c r="M4360" s="17">
        <v>64</v>
      </c>
      <c r="N4360" s="17">
        <v>1</v>
      </c>
      <c r="O4360" s="18">
        <v>1159.19</v>
      </c>
      <c r="P4360" s="18">
        <v>950.16</v>
      </c>
      <c r="Q4360" s="18">
        <v>985.31</v>
      </c>
      <c r="R4360" s="18">
        <v>807.63</v>
      </c>
      <c r="S4360" s="18">
        <v>788.25</v>
      </c>
      <c r="T4360" s="18">
        <v>646.11</v>
      </c>
      <c r="U4360" s="16"/>
      <c r="V4360" s="16"/>
      <c r="W4360" s="16" t="s">
        <v>40</v>
      </c>
      <c r="X4360" s="19">
        <v>0.35799999999999998</v>
      </c>
      <c r="Y4360" s="20">
        <v>9.6599999999999995E-4</v>
      </c>
      <c r="Z4360" s="21">
        <v>4601004202542</v>
      </c>
    </row>
    <row r="4361" spans="1:26" ht="12" customHeight="1" outlineLevel="4" x14ac:dyDescent="0.2">
      <c r="A4361" s="14" t="s">
        <v>8480</v>
      </c>
      <c r="B4361" s="26" t="s">
        <v>8481</v>
      </c>
      <c r="C4361" s="52"/>
      <c r="D4361" s="55">
        <f t="shared" ref="D4361:D4424" si="68">C4361*(O4361-O4361*$G$3)</f>
        <v>0</v>
      </c>
      <c r="E4361" s="63" t="str">
        <f>HYPERLINK("https://www.sds-group.ru/product/koronka-po-metallu-bimetallicheskaya-bimetal-86mm-kranz-KR-92-0241/", "Инфо")</f>
        <v>Инфо</v>
      </c>
      <c r="F4361" s="16" t="s">
        <v>39</v>
      </c>
      <c r="G4361" s="15"/>
      <c r="H4361" s="15"/>
      <c r="I4361" s="15"/>
      <c r="J4361" s="17">
        <v>318</v>
      </c>
      <c r="K4361" s="15"/>
      <c r="L4361" s="17">
        <v>1</v>
      </c>
      <c r="M4361" s="17">
        <v>64</v>
      </c>
      <c r="N4361" s="17">
        <v>1</v>
      </c>
      <c r="O4361" s="18">
        <v>1160.94</v>
      </c>
      <c r="P4361" s="18">
        <v>951.59</v>
      </c>
      <c r="Q4361" s="18">
        <v>986.8</v>
      </c>
      <c r="R4361" s="18">
        <v>808.85</v>
      </c>
      <c r="S4361" s="18">
        <v>789.44</v>
      </c>
      <c r="T4361" s="18">
        <v>647.08000000000004</v>
      </c>
      <c r="U4361" s="16"/>
      <c r="V4361" s="16"/>
      <c r="W4361" s="16" t="s">
        <v>40</v>
      </c>
      <c r="X4361" s="19">
        <v>0.38800000000000001</v>
      </c>
      <c r="Y4361" s="20">
        <v>1.0579999999999999E-3</v>
      </c>
      <c r="Z4361" s="21">
        <v>4601004202559</v>
      </c>
    </row>
    <row r="4362" spans="1:26" ht="12" customHeight="1" outlineLevel="4" x14ac:dyDescent="0.2">
      <c r="A4362" s="14" t="s">
        <v>8482</v>
      </c>
      <c r="B4362" s="26" t="s">
        <v>8483</v>
      </c>
      <c r="C4362" s="52"/>
      <c r="D4362" s="55">
        <f t="shared" si="68"/>
        <v>0</v>
      </c>
      <c r="E4362" s="63" t="str">
        <f>HYPERLINK("https://www.sds-group.ru/product/koronka-po-metallu-bimetallicheskaya-bimetal-95mm-kranz-KR-92-0242/", "Инфо")</f>
        <v>Инфо</v>
      </c>
      <c r="F4362" s="16" t="s">
        <v>39</v>
      </c>
      <c r="G4362" s="15"/>
      <c r="H4362" s="15"/>
      <c r="I4362" s="15"/>
      <c r="J4362" s="17">
        <v>330</v>
      </c>
      <c r="K4362" s="15" t="s">
        <v>6633</v>
      </c>
      <c r="L4362" s="17">
        <v>1</v>
      </c>
      <c r="M4362" s="17">
        <v>48</v>
      </c>
      <c r="N4362" s="17">
        <v>1</v>
      </c>
      <c r="O4362" s="18">
        <v>1202.4100000000001</v>
      </c>
      <c r="P4362" s="18">
        <v>985.58</v>
      </c>
      <c r="Q4362" s="18">
        <v>1022.05</v>
      </c>
      <c r="R4362" s="18">
        <v>837.75</v>
      </c>
      <c r="S4362" s="18">
        <v>817.64</v>
      </c>
      <c r="T4362" s="18">
        <v>670.2</v>
      </c>
      <c r="U4362" s="16"/>
      <c r="V4362" s="16"/>
      <c r="W4362" s="16" t="s">
        <v>40</v>
      </c>
      <c r="X4362" s="19">
        <v>0.47199999999999998</v>
      </c>
      <c r="Y4362" s="20">
        <v>1.1839999999999999E-3</v>
      </c>
      <c r="Z4362" s="21">
        <v>4601004202566</v>
      </c>
    </row>
    <row r="4363" spans="1:26" ht="12" customHeight="1" outlineLevel="4" x14ac:dyDescent="0.2">
      <c r="A4363" s="14" t="s">
        <v>8484</v>
      </c>
      <c r="B4363" s="26" t="s">
        <v>8485</v>
      </c>
      <c r="C4363" s="52"/>
      <c r="D4363" s="55">
        <f t="shared" si="68"/>
        <v>0</v>
      </c>
      <c r="E4363" s="63" t="str">
        <f>HYPERLINK("https://www.sds-group.ru/product/nabor-bimetallicheskih-koronok-bimetal-14-20-22-25-30-35-40-51-60-64-67-16-predmetov-me-KR-92-0203-1/", "Инфо")</f>
        <v>Инфо</v>
      </c>
      <c r="F4363" s="16" t="s">
        <v>4698</v>
      </c>
      <c r="G4363" s="15"/>
      <c r="H4363" s="15"/>
      <c r="I4363" s="15"/>
      <c r="J4363" s="17">
        <v>278</v>
      </c>
      <c r="K4363" s="15" t="s">
        <v>1055</v>
      </c>
      <c r="L4363" s="17">
        <v>1</v>
      </c>
      <c r="M4363" s="17">
        <v>10</v>
      </c>
      <c r="N4363" s="17">
        <v>1</v>
      </c>
      <c r="O4363" s="18">
        <v>9264.4699999999993</v>
      </c>
      <c r="P4363" s="18">
        <v>7593.83</v>
      </c>
      <c r="Q4363" s="18">
        <v>7226.29</v>
      </c>
      <c r="R4363" s="18">
        <v>5923.19</v>
      </c>
      <c r="S4363" s="18">
        <v>6299.84</v>
      </c>
      <c r="T4363" s="18">
        <v>5163.8</v>
      </c>
      <c r="U4363" s="16"/>
      <c r="V4363" s="16"/>
      <c r="W4363" s="16" t="s">
        <v>40</v>
      </c>
      <c r="X4363" s="19">
        <v>2.1469999999999998</v>
      </c>
      <c r="Y4363" s="20">
        <v>4.8780000000000004E-3</v>
      </c>
      <c r="Z4363" s="21">
        <v>4601004286252</v>
      </c>
    </row>
    <row r="4364" spans="1:26" ht="12" customHeight="1" outlineLevel="4" x14ac:dyDescent="0.2">
      <c r="A4364" s="14" t="s">
        <v>8486</v>
      </c>
      <c r="B4364" s="26" t="s">
        <v>8487</v>
      </c>
      <c r="C4364" s="52"/>
      <c r="D4364" s="55">
        <f t="shared" si="68"/>
        <v>0</v>
      </c>
      <c r="E4364" s="63" t="str">
        <f>HYPERLINK("https://www.sds-group.ru/product/nabor-bimetallicheskih-koronok-bimetal-20-22-25-30-35-60-11-predmetov-metallicheskiy-ke-KR-92-0201-1/", "Инфо")</f>
        <v>Инфо</v>
      </c>
      <c r="F4364" s="16" t="s">
        <v>4698</v>
      </c>
      <c r="G4364" s="15"/>
      <c r="H4364" s="15"/>
      <c r="I4364" s="15"/>
      <c r="J4364" s="17">
        <v>117</v>
      </c>
      <c r="K4364" s="15" t="s">
        <v>6633</v>
      </c>
      <c r="L4364" s="17">
        <v>1</v>
      </c>
      <c r="M4364" s="17">
        <v>10</v>
      </c>
      <c r="N4364" s="17">
        <v>1</v>
      </c>
      <c r="O4364" s="18">
        <v>6032.21</v>
      </c>
      <c r="P4364" s="18">
        <v>4944.43</v>
      </c>
      <c r="Q4364" s="18">
        <v>4705.12</v>
      </c>
      <c r="R4364" s="18">
        <v>3856.66</v>
      </c>
      <c r="S4364" s="18">
        <v>4101.8999999999996</v>
      </c>
      <c r="T4364" s="18">
        <v>3362.21</v>
      </c>
      <c r="U4364" s="16"/>
      <c r="V4364" s="16"/>
      <c r="W4364" s="16" t="s">
        <v>40</v>
      </c>
      <c r="X4364" s="19">
        <v>1.1779999999999999</v>
      </c>
      <c r="Y4364" s="20">
        <v>2.928E-3</v>
      </c>
      <c r="Z4364" s="21">
        <v>4601004286238</v>
      </c>
    </row>
    <row r="4365" spans="1:26" ht="12" customHeight="1" outlineLevel="4" x14ac:dyDescent="0.2">
      <c r="A4365" s="14" t="s">
        <v>8488</v>
      </c>
      <c r="B4365" s="26" t="s">
        <v>8489</v>
      </c>
      <c r="C4365" s="52"/>
      <c r="D4365" s="55">
        <f t="shared" si="68"/>
        <v>0</v>
      </c>
      <c r="E4365" s="63" t="str">
        <f>HYPERLINK("https://www.sds-group.ru/product/nabor-bimetallicheskih-koronok-bimetal-22-25-35-40-51-67-11-predmetov-metallicheskiy-ke-KR-92-0202-1/", "Инфо")</f>
        <v>Инфо</v>
      </c>
      <c r="F4365" s="16" t="s">
        <v>4698</v>
      </c>
      <c r="G4365" s="15"/>
      <c r="H4365" s="15"/>
      <c r="I4365" s="15"/>
      <c r="J4365" s="17">
        <v>243</v>
      </c>
      <c r="K4365" s="15" t="s">
        <v>6633</v>
      </c>
      <c r="L4365" s="17">
        <v>1</v>
      </c>
      <c r="M4365" s="17">
        <v>10</v>
      </c>
      <c r="N4365" s="17">
        <v>1</v>
      </c>
      <c r="O4365" s="18">
        <v>6592.34</v>
      </c>
      <c r="P4365" s="18">
        <v>5403.56</v>
      </c>
      <c r="Q4365" s="18">
        <v>5142.03</v>
      </c>
      <c r="R4365" s="18">
        <v>4214.78</v>
      </c>
      <c r="S4365" s="18">
        <v>4482.79</v>
      </c>
      <c r="T4365" s="18">
        <v>3674.42</v>
      </c>
      <c r="U4365" s="16"/>
      <c r="V4365" s="16"/>
      <c r="W4365" s="16" t="s">
        <v>40</v>
      </c>
      <c r="X4365" s="19">
        <v>1.363</v>
      </c>
      <c r="Y4365" s="20">
        <v>3.0860000000000002E-3</v>
      </c>
      <c r="Z4365" s="21">
        <v>4601004286245</v>
      </c>
    </row>
    <row r="4366" spans="1:26" ht="12" customHeight="1" outlineLevel="4" x14ac:dyDescent="0.2">
      <c r="A4366" s="14" t="s">
        <v>8490</v>
      </c>
      <c r="B4366" s="26" t="s">
        <v>8491</v>
      </c>
      <c r="C4366" s="52"/>
      <c r="D4366" s="55">
        <f t="shared" si="68"/>
        <v>0</v>
      </c>
      <c r="E4366" s="63" t="str">
        <f>HYPERLINK("https://www.sds-group.ru/product/hvostovik-sds-plus-dlya-bimetallicheskih-koronok-bimetal-14-30mm-kranz-KR-92-0201/", "Инфо")</f>
        <v>Инфо</v>
      </c>
      <c r="F4366" s="16" t="s">
        <v>39</v>
      </c>
      <c r="G4366" s="15"/>
      <c r="H4366" s="15"/>
      <c r="I4366" s="15"/>
      <c r="J4366" s="17">
        <v>362</v>
      </c>
      <c r="K4366" s="15" t="s">
        <v>6939</v>
      </c>
      <c r="L4366" s="17">
        <v>1</v>
      </c>
      <c r="M4366" s="17">
        <v>100</v>
      </c>
      <c r="N4366" s="17">
        <v>1</v>
      </c>
      <c r="O4366" s="18">
        <v>294.38</v>
      </c>
      <c r="P4366" s="18">
        <v>241.3</v>
      </c>
      <c r="Q4366" s="18">
        <v>264.94</v>
      </c>
      <c r="R4366" s="18">
        <v>217.16</v>
      </c>
      <c r="S4366" s="18">
        <v>200.18</v>
      </c>
      <c r="T4366" s="18">
        <v>164.08</v>
      </c>
      <c r="U4366" s="16"/>
      <c r="V4366" s="16"/>
      <c r="W4366" s="16" t="s">
        <v>40</v>
      </c>
      <c r="X4366" s="19">
        <v>0.10199999999999999</v>
      </c>
      <c r="Y4366" s="20">
        <v>1.8000000000000001E-4</v>
      </c>
      <c r="Z4366" s="21">
        <v>4601004175358</v>
      </c>
    </row>
    <row r="4367" spans="1:26" ht="12" customHeight="1" outlineLevel="4" x14ac:dyDescent="0.2">
      <c r="A4367" s="14" t="s">
        <v>8492</v>
      </c>
      <c r="B4367" s="26" t="s">
        <v>8493</v>
      </c>
      <c r="C4367" s="52"/>
      <c r="D4367" s="55">
        <f t="shared" si="68"/>
        <v>0</v>
      </c>
      <c r="E4367" s="63" t="str">
        <f>HYPERLINK("https://www.sds-group.ru/product/hvostovik-sds-plus-dlya-bimetallicheskih-koronok-bimetal-32-152mm-kranz-KR-92-0202/", "Инфо")</f>
        <v>Инфо</v>
      </c>
      <c r="F4367" s="16" t="s">
        <v>39</v>
      </c>
      <c r="G4367" s="15"/>
      <c r="H4367" s="15"/>
      <c r="I4367" s="15"/>
      <c r="J4367" s="17">
        <v>915</v>
      </c>
      <c r="K4367" s="15" t="s">
        <v>1055</v>
      </c>
      <c r="L4367" s="17">
        <v>1</v>
      </c>
      <c r="M4367" s="17">
        <v>100</v>
      </c>
      <c r="N4367" s="17">
        <v>1</v>
      </c>
      <c r="O4367" s="18">
        <v>525.88</v>
      </c>
      <c r="P4367" s="18">
        <v>431.05</v>
      </c>
      <c r="Q4367" s="18">
        <v>447</v>
      </c>
      <c r="R4367" s="18">
        <v>366.39</v>
      </c>
      <c r="S4367" s="18">
        <v>357.6</v>
      </c>
      <c r="T4367" s="18">
        <v>293.11</v>
      </c>
      <c r="U4367" s="16"/>
      <c r="V4367" s="16"/>
      <c r="W4367" s="16" t="s">
        <v>40</v>
      </c>
      <c r="X4367" s="19">
        <v>0.23599999999999999</v>
      </c>
      <c r="Y4367" s="20">
        <v>5.1699999999999999E-4</v>
      </c>
      <c r="Z4367" s="21">
        <v>4601004175365</v>
      </c>
    </row>
    <row r="4368" spans="1:26" ht="12" customHeight="1" outlineLevel="4" x14ac:dyDescent="0.2">
      <c r="A4368" s="14" t="s">
        <v>8494</v>
      </c>
      <c r="B4368" s="26" t="s">
        <v>8495</v>
      </c>
      <c r="C4368" s="52"/>
      <c r="D4368" s="55">
        <f t="shared" si="68"/>
        <v>0</v>
      </c>
      <c r="E4368" s="63" t="str">
        <f>HYPERLINK("https://www.sds-group.ru/product/hvostovik-shestigrannyy-dlya-bimetallicheskih-koronok-bimeta-14-30mm-kranz-KR-92-0203/", "Инфо")</f>
        <v>Инфо</v>
      </c>
      <c r="F4368" s="16" t="s">
        <v>39</v>
      </c>
      <c r="G4368" s="15"/>
      <c r="H4368" s="15"/>
      <c r="I4368" s="15"/>
      <c r="J4368" s="22">
        <v>1584</v>
      </c>
      <c r="K4368" s="15" t="s">
        <v>6633</v>
      </c>
      <c r="L4368" s="17">
        <v>5</v>
      </c>
      <c r="M4368" s="17">
        <v>100</v>
      </c>
      <c r="N4368" s="17">
        <v>5</v>
      </c>
      <c r="O4368" s="18">
        <v>275.8</v>
      </c>
      <c r="P4368" s="18">
        <v>226.07</v>
      </c>
      <c r="Q4368" s="18">
        <v>248.22</v>
      </c>
      <c r="R4368" s="18">
        <v>203.46</v>
      </c>
      <c r="S4368" s="18">
        <v>187.54</v>
      </c>
      <c r="T4368" s="18">
        <v>153.72</v>
      </c>
      <c r="U4368" s="16"/>
      <c r="V4368" s="16"/>
      <c r="W4368" s="16" t="s">
        <v>40</v>
      </c>
      <c r="X4368" s="19">
        <v>7.4999999999999997E-2</v>
      </c>
      <c r="Y4368" s="20">
        <v>1.54E-4</v>
      </c>
      <c r="Z4368" s="21">
        <v>4601004175372</v>
      </c>
    </row>
    <row r="4369" spans="1:26" ht="12" customHeight="1" outlineLevel="4" x14ac:dyDescent="0.2">
      <c r="A4369" s="14" t="s">
        <v>8496</v>
      </c>
      <c r="B4369" s="26" t="s">
        <v>8497</v>
      </c>
      <c r="C4369" s="52"/>
      <c r="D4369" s="55">
        <f t="shared" si="68"/>
        <v>0</v>
      </c>
      <c r="E4369" s="63" t="str">
        <f>HYPERLINK("https://www.sds-group.ru/product/hvostovik-shestigrannyy-dlya-bimetallicheskih-koronok-bimetal-32-152mm-kranz-KR-92-0204/", "Инфо")</f>
        <v>Инфо</v>
      </c>
      <c r="F4369" s="16" t="s">
        <v>39</v>
      </c>
      <c r="G4369" s="15"/>
      <c r="H4369" s="15"/>
      <c r="I4369" s="15"/>
      <c r="J4369" s="17">
        <v>777</v>
      </c>
      <c r="K4369" s="15" t="s">
        <v>1055</v>
      </c>
      <c r="L4369" s="17">
        <v>1</v>
      </c>
      <c r="M4369" s="17">
        <v>100</v>
      </c>
      <c r="N4369" s="17">
        <v>1</v>
      </c>
      <c r="O4369" s="18">
        <v>476.82</v>
      </c>
      <c r="P4369" s="18">
        <v>390.84</v>
      </c>
      <c r="Q4369" s="18">
        <v>405.3</v>
      </c>
      <c r="R4369" s="18">
        <v>332.21</v>
      </c>
      <c r="S4369" s="18">
        <v>324.24</v>
      </c>
      <c r="T4369" s="18">
        <v>265.77</v>
      </c>
      <c r="U4369" s="16"/>
      <c r="V4369" s="16"/>
      <c r="W4369" s="16" t="s">
        <v>40</v>
      </c>
      <c r="X4369" s="19">
        <v>0.222</v>
      </c>
      <c r="Y4369" s="20">
        <v>4.44E-4</v>
      </c>
      <c r="Z4369" s="21">
        <v>4601004175389</v>
      </c>
    </row>
    <row r="4370" spans="1:26" ht="12.95" customHeight="1" outlineLevel="3" x14ac:dyDescent="0.2">
      <c r="A4370" s="76" t="s">
        <v>8498</v>
      </c>
      <c r="B4370" s="76"/>
      <c r="C4370" s="77"/>
      <c r="D4370" s="58"/>
      <c r="E4370" s="68"/>
      <c r="F4370" s="13"/>
      <c r="G4370" s="13"/>
      <c r="H4370" s="13"/>
      <c r="I4370" s="13"/>
      <c r="J4370" s="13"/>
      <c r="K4370" s="13"/>
      <c r="L4370" s="13"/>
      <c r="M4370" s="13"/>
      <c r="N4370" s="13"/>
      <c r="O4370" s="13"/>
      <c r="P4370" s="13"/>
      <c r="Q4370" s="13"/>
      <c r="R4370" s="13"/>
      <c r="S4370" s="13"/>
      <c r="T4370" s="13"/>
      <c r="U4370" s="13"/>
      <c r="V4370" s="13"/>
      <c r="W4370" s="13"/>
      <c r="X4370" s="13"/>
      <c r="Y4370" s="13"/>
      <c r="Z4370" s="13"/>
    </row>
    <row r="4371" spans="1:26" ht="12" customHeight="1" outlineLevel="4" x14ac:dyDescent="0.2">
      <c r="A4371" s="14" t="s">
        <v>8499</v>
      </c>
      <c r="B4371" s="26" t="s">
        <v>8500</v>
      </c>
      <c r="C4371" s="52"/>
      <c r="D4371" s="55">
        <f t="shared" si="68"/>
        <v>0</v>
      </c>
      <c r="E4371" s="63" t="str">
        <f>HYPERLINK("https://www.sds-group.ru/product/sverlo-po-metallu-10h133h87mm-kobalt-5-p6m5k5-m35-din-338-1-sht-kranz-KR-91-0511/", "Инфо")</f>
        <v>Инфо</v>
      </c>
      <c r="F4371" s="16" t="s">
        <v>1001</v>
      </c>
      <c r="G4371" s="15"/>
      <c r="H4371" s="15"/>
      <c r="I4371" s="15"/>
      <c r="J4371" s="22">
        <v>4933</v>
      </c>
      <c r="K4371" s="15" t="s">
        <v>6344</v>
      </c>
      <c r="L4371" s="17">
        <v>1</v>
      </c>
      <c r="M4371" s="17">
        <v>150</v>
      </c>
      <c r="N4371" s="17">
        <v>1</v>
      </c>
      <c r="O4371" s="18">
        <v>838.05</v>
      </c>
      <c r="P4371" s="18">
        <v>686.93</v>
      </c>
      <c r="Q4371" s="18">
        <v>779.39</v>
      </c>
      <c r="R4371" s="18">
        <v>638.84</v>
      </c>
      <c r="S4371" s="18">
        <v>569.87</v>
      </c>
      <c r="T4371" s="18">
        <v>467.11</v>
      </c>
      <c r="U4371" s="16"/>
      <c r="V4371" s="16"/>
      <c r="W4371" s="16" t="s">
        <v>40</v>
      </c>
      <c r="X4371" s="19">
        <v>6.8000000000000005E-2</v>
      </c>
      <c r="Y4371" s="20">
        <v>1.2300000000000001E-4</v>
      </c>
      <c r="Z4371" s="21">
        <v>4601004175495</v>
      </c>
    </row>
    <row r="4372" spans="1:26" ht="12" customHeight="1" outlineLevel="4" x14ac:dyDescent="0.2">
      <c r="A4372" s="14" t="s">
        <v>8501</v>
      </c>
      <c r="B4372" s="26" t="s">
        <v>8502</v>
      </c>
      <c r="C4372" s="52"/>
      <c r="D4372" s="55">
        <f t="shared" si="68"/>
        <v>0</v>
      </c>
      <c r="E4372" s="63" t="str">
        <f>HYPERLINK("https://www.sds-group.ru/product/sverlo-po-metallu-12h151h101mm-kobalt-5-p6m5k5-m35-din-338-1-sht-kranz-KR-91-0513/", "Инфо")</f>
        <v>Инфо</v>
      </c>
      <c r="F4372" s="16" t="s">
        <v>39</v>
      </c>
      <c r="G4372" s="15"/>
      <c r="H4372" s="15"/>
      <c r="I4372" s="15"/>
      <c r="J4372" s="22">
        <v>7338</v>
      </c>
      <c r="K4372" s="15" t="s">
        <v>210</v>
      </c>
      <c r="L4372" s="17">
        <v>1</v>
      </c>
      <c r="M4372" s="17">
        <v>100</v>
      </c>
      <c r="N4372" s="17">
        <v>1</v>
      </c>
      <c r="O4372" s="18">
        <v>943.4</v>
      </c>
      <c r="P4372" s="18">
        <v>773.28</v>
      </c>
      <c r="Q4372" s="18">
        <v>877.36</v>
      </c>
      <c r="R4372" s="18">
        <v>719.15</v>
      </c>
      <c r="S4372" s="18">
        <v>641.51</v>
      </c>
      <c r="T4372" s="18">
        <v>525.83000000000004</v>
      </c>
      <c r="U4372" s="16"/>
      <c r="V4372" s="16"/>
      <c r="W4372" s="16" t="s">
        <v>40</v>
      </c>
      <c r="X4372" s="19">
        <v>0.108</v>
      </c>
      <c r="Y4372" s="20">
        <v>1.8699999999999999E-4</v>
      </c>
      <c r="Z4372" s="21">
        <v>4601004202665</v>
      </c>
    </row>
    <row r="4373" spans="1:26" ht="12" customHeight="1" outlineLevel="4" x14ac:dyDescent="0.2">
      <c r="A4373" s="14" t="s">
        <v>8503</v>
      </c>
      <c r="B4373" s="26" t="s">
        <v>8504</v>
      </c>
      <c r="C4373" s="52"/>
      <c r="D4373" s="55">
        <f t="shared" si="68"/>
        <v>0</v>
      </c>
      <c r="E4373" s="63" t="str">
        <f>HYPERLINK("https://www.sds-group.ru/product/sverlo-po-metallu-2-5h57h30mm-kobalt-5-p6m5k5-m35-din-338-2-sht-kranz-KR-91-0501/", "Инфо")</f>
        <v>Инфо</v>
      </c>
      <c r="F4373" s="16" t="s">
        <v>1001</v>
      </c>
      <c r="G4373" s="15"/>
      <c r="H4373" s="15"/>
      <c r="I4373" s="15"/>
      <c r="J4373" s="22">
        <v>3958</v>
      </c>
      <c r="K4373" s="15"/>
      <c r="L4373" s="17">
        <v>10</v>
      </c>
      <c r="M4373" s="17">
        <v>400</v>
      </c>
      <c r="N4373" s="17">
        <v>10</v>
      </c>
      <c r="O4373" s="18">
        <v>124.02</v>
      </c>
      <c r="P4373" s="18">
        <v>101.66</v>
      </c>
      <c r="Q4373" s="18">
        <v>115.34</v>
      </c>
      <c r="R4373" s="18">
        <v>94.54</v>
      </c>
      <c r="S4373" s="18">
        <v>84.33</v>
      </c>
      <c r="T4373" s="18">
        <v>69.12</v>
      </c>
      <c r="U4373" s="16"/>
      <c r="V4373" s="16"/>
      <c r="W4373" s="16" t="s">
        <v>40</v>
      </c>
      <c r="X4373" s="19">
        <v>8.9999999999999993E-3</v>
      </c>
      <c r="Y4373" s="20">
        <v>5.1E-5</v>
      </c>
      <c r="Z4373" s="21">
        <v>4601004175396</v>
      </c>
    </row>
    <row r="4374" spans="1:26" ht="12" customHeight="1" outlineLevel="4" x14ac:dyDescent="0.2">
      <c r="A4374" s="14" t="s">
        <v>8505</v>
      </c>
      <c r="B4374" s="26" t="s">
        <v>8506</v>
      </c>
      <c r="C4374" s="52"/>
      <c r="D4374" s="55">
        <f t="shared" si="68"/>
        <v>0</v>
      </c>
      <c r="E4374" s="63" t="str">
        <f>HYPERLINK("https://www.sds-group.ru/product/sverlo-po-metallu-2h49h24mm-kobalt-5-p6m5k5-m35-din-338-2-sht-kranz-KR-91-0512/", "Инфо")</f>
        <v>Инфо</v>
      </c>
      <c r="F4374" s="16" t="s">
        <v>1001</v>
      </c>
      <c r="G4374" s="15"/>
      <c r="H4374" s="15"/>
      <c r="I4374" s="15"/>
      <c r="J4374" s="22">
        <v>4112</v>
      </c>
      <c r="K4374" s="15"/>
      <c r="L4374" s="17">
        <v>10</v>
      </c>
      <c r="M4374" s="17">
        <v>400</v>
      </c>
      <c r="N4374" s="17">
        <v>10</v>
      </c>
      <c r="O4374" s="18">
        <v>109.87</v>
      </c>
      <c r="P4374" s="18">
        <v>90.06</v>
      </c>
      <c r="Q4374" s="18">
        <v>102.18</v>
      </c>
      <c r="R4374" s="18">
        <v>83.75</v>
      </c>
      <c r="S4374" s="18">
        <v>74.709999999999994</v>
      </c>
      <c r="T4374" s="18">
        <v>61.24</v>
      </c>
      <c r="U4374" s="16"/>
      <c r="V4374" s="16"/>
      <c r="W4374" s="16" t="s">
        <v>40</v>
      </c>
      <c r="X4374" s="19">
        <v>8.0000000000000002E-3</v>
      </c>
      <c r="Y4374" s="20">
        <v>4.8000000000000001E-5</v>
      </c>
      <c r="Z4374" s="21">
        <v>4601004202658</v>
      </c>
    </row>
    <row r="4375" spans="1:26" ht="12" customHeight="1" outlineLevel="4" x14ac:dyDescent="0.2">
      <c r="A4375" s="14" t="s">
        <v>8507</v>
      </c>
      <c r="B4375" s="26" t="s">
        <v>8508</v>
      </c>
      <c r="C4375" s="52"/>
      <c r="D4375" s="55">
        <f t="shared" si="68"/>
        <v>0</v>
      </c>
      <c r="E4375" s="63" t="str">
        <f>HYPERLINK("https://www.sds-group.ru/product/sverlo-po-metallu-3-2h65h36mm-kobalt-5-p6m5k5-m35-din-338-2-sht-kranz-KR-91-0503/", "Инфо")</f>
        <v>Инфо</v>
      </c>
      <c r="F4375" s="16" t="s">
        <v>1001</v>
      </c>
      <c r="G4375" s="15"/>
      <c r="H4375" s="15"/>
      <c r="I4375" s="15"/>
      <c r="J4375" s="17">
        <v>317</v>
      </c>
      <c r="K4375" s="15" t="s">
        <v>6344</v>
      </c>
      <c r="L4375" s="17">
        <v>10</v>
      </c>
      <c r="M4375" s="17">
        <v>400</v>
      </c>
      <c r="N4375" s="17">
        <v>10</v>
      </c>
      <c r="O4375" s="18">
        <v>161.72</v>
      </c>
      <c r="P4375" s="18">
        <v>132.56</v>
      </c>
      <c r="Q4375" s="18">
        <v>150.4</v>
      </c>
      <c r="R4375" s="18">
        <v>123.28</v>
      </c>
      <c r="S4375" s="18">
        <v>109.97</v>
      </c>
      <c r="T4375" s="18">
        <v>90.14</v>
      </c>
      <c r="U4375" s="16"/>
      <c r="V4375" s="16"/>
      <c r="W4375" s="16" t="s">
        <v>40</v>
      </c>
      <c r="X4375" s="19">
        <v>1.2E-2</v>
      </c>
      <c r="Y4375" s="20">
        <v>4.6999999999999997E-5</v>
      </c>
      <c r="Z4375" s="21">
        <v>4601004175419</v>
      </c>
    </row>
    <row r="4376" spans="1:26" ht="12" customHeight="1" outlineLevel="4" x14ac:dyDescent="0.2">
      <c r="A4376" s="14" t="s">
        <v>8509</v>
      </c>
      <c r="B4376" s="26" t="s">
        <v>8510</v>
      </c>
      <c r="C4376" s="52"/>
      <c r="D4376" s="55">
        <f t="shared" si="68"/>
        <v>0</v>
      </c>
      <c r="E4376" s="63" t="str">
        <f>HYPERLINK("https://www.sds-group.ru/product/sverlo-po-metallu-3-5h70h39mm-kobalt-5-p6m5k5-m35-din-338-2-sht-kranz-KR-91-0504/", "Инфо")</f>
        <v>Инфо</v>
      </c>
      <c r="F4376" s="16" t="s">
        <v>1001</v>
      </c>
      <c r="G4376" s="15"/>
      <c r="H4376" s="15"/>
      <c r="I4376" s="15"/>
      <c r="J4376" s="22">
        <v>5919</v>
      </c>
      <c r="K4376" s="15"/>
      <c r="L4376" s="17">
        <v>10</v>
      </c>
      <c r="M4376" s="17">
        <v>400</v>
      </c>
      <c r="N4376" s="17">
        <v>10</v>
      </c>
      <c r="O4376" s="18">
        <v>171.72</v>
      </c>
      <c r="P4376" s="18">
        <v>140.75</v>
      </c>
      <c r="Q4376" s="18">
        <v>159.69999999999999</v>
      </c>
      <c r="R4376" s="18">
        <v>130.9</v>
      </c>
      <c r="S4376" s="18">
        <v>116.77</v>
      </c>
      <c r="T4376" s="18">
        <v>95.71</v>
      </c>
      <c r="U4376" s="16"/>
      <c r="V4376" s="16"/>
      <c r="W4376" s="16" t="s">
        <v>40</v>
      </c>
      <c r="X4376" s="19">
        <v>1.4E-2</v>
      </c>
      <c r="Y4376" s="20">
        <v>4.6999999999999997E-5</v>
      </c>
      <c r="Z4376" s="21">
        <v>4601004175426</v>
      </c>
    </row>
    <row r="4377" spans="1:26" ht="12" customHeight="1" outlineLevel="4" x14ac:dyDescent="0.2">
      <c r="A4377" s="14" t="s">
        <v>8511</v>
      </c>
      <c r="B4377" s="26" t="s">
        <v>8512</v>
      </c>
      <c r="C4377" s="52"/>
      <c r="D4377" s="55">
        <f t="shared" si="68"/>
        <v>0</v>
      </c>
      <c r="E4377" s="63" t="str">
        <f>HYPERLINK("https://www.sds-group.ru/product/sverlo-po-metallu-3h61h33mm-kobalt-5-p6m5k5-m35-din-338-2-sht-kranz-KR-91-0502/", "Инфо")</f>
        <v>Инфо</v>
      </c>
      <c r="F4377" s="16" t="s">
        <v>1001</v>
      </c>
      <c r="G4377" s="15"/>
      <c r="H4377" s="15"/>
      <c r="I4377" s="15"/>
      <c r="J4377" s="22">
        <v>1170</v>
      </c>
      <c r="K4377" s="15"/>
      <c r="L4377" s="17">
        <v>10</v>
      </c>
      <c r="M4377" s="17">
        <v>400</v>
      </c>
      <c r="N4377" s="17">
        <v>10</v>
      </c>
      <c r="O4377" s="18">
        <v>131.44</v>
      </c>
      <c r="P4377" s="18">
        <v>107.74</v>
      </c>
      <c r="Q4377" s="18">
        <v>122.24</v>
      </c>
      <c r="R4377" s="18">
        <v>100.2</v>
      </c>
      <c r="S4377" s="18">
        <v>89.38</v>
      </c>
      <c r="T4377" s="18">
        <v>73.260000000000005</v>
      </c>
      <c r="U4377" s="16"/>
      <c r="V4377" s="16"/>
      <c r="W4377" s="16" t="s">
        <v>40</v>
      </c>
      <c r="X4377" s="19">
        <v>1.0999999999999999E-2</v>
      </c>
      <c r="Y4377" s="20">
        <v>4.6999999999999997E-5</v>
      </c>
      <c r="Z4377" s="21">
        <v>4601004175402</v>
      </c>
    </row>
    <row r="4378" spans="1:26" ht="12" customHeight="1" outlineLevel="4" x14ac:dyDescent="0.2">
      <c r="A4378" s="14" t="s">
        <v>8513</v>
      </c>
      <c r="B4378" s="26" t="s">
        <v>8514</v>
      </c>
      <c r="C4378" s="52"/>
      <c r="D4378" s="55">
        <f t="shared" si="68"/>
        <v>0</v>
      </c>
      <c r="E4378" s="63" t="str">
        <f>HYPERLINK("https://www.sds-group.ru/product/sverlo-po-metallu-4-5h80h47mm-kobalt-5-p6m5k5-m35-din-338-1-sht-kranz-KR-91-0506/", "Инфо")</f>
        <v>Инфо</v>
      </c>
      <c r="F4378" s="16" t="s">
        <v>1001</v>
      </c>
      <c r="G4378" s="15"/>
      <c r="H4378" s="15"/>
      <c r="I4378" s="15"/>
      <c r="J4378" s="16" t="s">
        <v>100</v>
      </c>
      <c r="K4378" s="15" t="s">
        <v>6344</v>
      </c>
      <c r="L4378" s="17">
        <v>10</v>
      </c>
      <c r="M4378" s="17">
        <v>400</v>
      </c>
      <c r="N4378" s="17">
        <v>10</v>
      </c>
      <c r="O4378" s="18">
        <v>135.68</v>
      </c>
      <c r="P4378" s="18">
        <v>111.21</v>
      </c>
      <c r="Q4378" s="18">
        <v>126.18</v>
      </c>
      <c r="R4378" s="18">
        <v>103.43</v>
      </c>
      <c r="S4378" s="18">
        <v>92.26</v>
      </c>
      <c r="T4378" s="18">
        <v>75.62</v>
      </c>
      <c r="U4378" s="16"/>
      <c r="V4378" s="16"/>
      <c r="W4378" s="16" t="s">
        <v>40</v>
      </c>
      <c r="X4378" s="19">
        <v>1.2999999999999999E-2</v>
      </c>
      <c r="Y4378" s="20">
        <v>4.5000000000000003E-5</v>
      </c>
      <c r="Z4378" s="21">
        <v>4601004175440</v>
      </c>
    </row>
    <row r="4379" spans="1:26" ht="12" customHeight="1" outlineLevel="4" x14ac:dyDescent="0.2">
      <c r="A4379" s="14" t="s">
        <v>8515</v>
      </c>
      <c r="B4379" s="26" t="s">
        <v>8516</v>
      </c>
      <c r="C4379" s="52"/>
      <c r="D4379" s="55">
        <f t="shared" si="68"/>
        <v>0</v>
      </c>
      <c r="E4379" s="63" t="str">
        <f>HYPERLINK("https://www.sds-group.ru/product/sverlo-po-metallu-4h75h43mm-kobalt-5-p6m5k5-m35-din-338-1-sht-kranz-KR-91-0505/", "Инфо")</f>
        <v>Инфо</v>
      </c>
      <c r="F4379" s="16" t="s">
        <v>1001</v>
      </c>
      <c r="G4379" s="15"/>
      <c r="H4379" s="15"/>
      <c r="I4379" s="15"/>
      <c r="J4379" s="22">
        <v>2699</v>
      </c>
      <c r="K4379" s="15" t="s">
        <v>6344</v>
      </c>
      <c r="L4379" s="17">
        <v>10</v>
      </c>
      <c r="M4379" s="17">
        <v>400</v>
      </c>
      <c r="N4379" s="17">
        <v>10</v>
      </c>
      <c r="O4379" s="18">
        <v>130.38</v>
      </c>
      <c r="P4379" s="18">
        <v>106.87</v>
      </c>
      <c r="Q4379" s="18">
        <v>121.25</v>
      </c>
      <c r="R4379" s="18">
        <v>99.39</v>
      </c>
      <c r="S4379" s="18">
        <v>88.66</v>
      </c>
      <c r="T4379" s="18">
        <v>72.67</v>
      </c>
      <c r="U4379" s="16"/>
      <c r="V4379" s="16"/>
      <c r="W4379" s="16" t="s">
        <v>40</v>
      </c>
      <c r="X4379" s="19">
        <v>1.0999999999999999E-2</v>
      </c>
      <c r="Y4379" s="20">
        <v>4.8000000000000001E-5</v>
      </c>
      <c r="Z4379" s="21">
        <v>4601004175433</v>
      </c>
    </row>
    <row r="4380" spans="1:26" ht="12" customHeight="1" outlineLevel="4" x14ac:dyDescent="0.2">
      <c r="A4380" s="14" t="s">
        <v>8517</v>
      </c>
      <c r="B4380" s="26" t="s">
        <v>8518</v>
      </c>
      <c r="C4380" s="52"/>
      <c r="D4380" s="55">
        <f t="shared" si="68"/>
        <v>0</v>
      </c>
      <c r="E4380" s="63" t="str">
        <f>HYPERLINK("https://www.sds-group.ru/product/sverlo-po-metallu-5h86h52mm-kobalt-5-p6m5k5-m35-din-338-1-sht-kranz-KR-91-0507/", "Инфо")</f>
        <v>Инфо</v>
      </c>
      <c r="F4380" s="16" t="s">
        <v>1001</v>
      </c>
      <c r="G4380" s="15"/>
      <c r="H4380" s="15"/>
      <c r="I4380" s="15"/>
      <c r="J4380" s="22">
        <v>1435</v>
      </c>
      <c r="K4380" s="15" t="s">
        <v>210</v>
      </c>
      <c r="L4380" s="17">
        <v>10</v>
      </c>
      <c r="M4380" s="17">
        <v>400</v>
      </c>
      <c r="N4380" s="17">
        <v>10</v>
      </c>
      <c r="O4380" s="18">
        <v>159</v>
      </c>
      <c r="P4380" s="18">
        <v>130.33000000000001</v>
      </c>
      <c r="Q4380" s="18">
        <v>147.87</v>
      </c>
      <c r="R4380" s="18">
        <v>121.2</v>
      </c>
      <c r="S4380" s="18">
        <v>108.12</v>
      </c>
      <c r="T4380" s="18">
        <v>88.62</v>
      </c>
      <c r="U4380" s="16"/>
      <c r="V4380" s="16"/>
      <c r="W4380" s="16" t="s">
        <v>40</v>
      </c>
      <c r="X4380" s="19">
        <v>1.6E-2</v>
      </c>
      <c r="Y4380" s="20">
        <v>4.6E-5</v>
      </c>
      <c r="Z4380" s="21">
        <v>4601004175457</v>
      </c>
    </row>
    <row r="4381" spans="1:26" ht="12" customHeight="1" outlineLevel="4" x14ac:dyDescent="0.2">
      <c r="A4381" s="14" t="s">
        <v>8519</v>
      </c>
      <c r="B4381" s="26" t="s">
        <v>8520</v>
      </c>
      <c r="C4381" s="52"/>
      <c r="D4381" s="55">
        <f t="shared" si="68"/>
        <v>0</v>
      </c>
      <c r="E4381" s="63" t="str">
        <f>HYPERLINK("https://www.sds-group.ru/product/sverlo-po-metallu-6h93h57mm-kobalt-5-p6m5k5-m35-din-338-1-sht-kranz-KR-91-0508/", "Инфо")</f>
        <v>Инфо</v>
      </c>
      <c r="F4381" s="16" t="s">
        <v>1001</v>
      </c>
      <c r="G4381" s="15"/>
      <c r="H4381" s="15"/>
      <c r="I4381" s="15"/>
      <c r="J4381" s="17">
        <v>918</v>
      </c>
      <c r="K4381" s="15" t="s">
        <v>6344</v>
      </c>
      <c r="L4381" s="17">
        <v>10</v>
      </c>
      <c r="M4381" s="17">
        <v>400</v>
      </c>
      <c r="N4381" s="17">
        <v>10</v>
      </c>
      <c r="O4381" s="18">
        <v>175.96</v>
      </c>
      <c r="P4381" s="18">
        <v>144.22999999999999</v>
      </c>
      <c r="Q4381" s="18">
        <v>163.63999999999999</v>
      </c>
      <c r="R4381" s="18">
        <v>134.13</v>
      </c>
      <c r="S4381" s="18">
        <v>119.65</v>
      </c>
      <c r="T4381" s="18">
        <v>98.07</v>
      </c>
      <c r="U4381" s="16"/>
      <c r="V4381" s="16"/>
      <c r="W4381" s="16" t="s">
        <v>40</v>
      </c>
      <c r="X4381" s="19">
        <v>2.1000000000000001E-2</v>
      </c>
      <c r="Y4381" s="20">
        <v>4.6999999999999997E-5</v>
      </c>
      <c r="Z4381" s="21">
        <v>4601004175464</v>
      </c>
    </row>
    <row r="4382" spans="1:26" ht="12" customHeight="1" outlineLevel="4" x14ac:dyDescent="0.2">
      <c r="A4382" s="14" t="s">
        <v>8521</v>
      </c>
      <c r="B4382" s="26" t="s">
        <v>8522</v>
      </c>
      <c r="C4382" s="52"/>
      <c r="D4382" s="55">
        <f t="shared" si="68"/>
        <v>0</v>
      </c>
      <c r="E4382" s="63" t="str">
        <f>HYPERLINK("https://www.sds-group.ru/product/sverlo-po-metallu-7h109h69mm-kobalt-5-p6m5k5-m35-din-338-1-sht-kranz-KR-91-0509/", "Инфо")</f>
        <v>Инфо</v>
      </c>
      <c r="F4382" s="16" t="s">
        <v>1001</v>
      </c>
      <c r="G4382" s="15"/>
      <c r="H4382" s="15"/>
      <c r="I4382" s="15"/>
      <c r="J4382" s="17">
        <v>158</v>
      </c>
      <c r="K4382" s="15" t="s">
        <v>210</v>
      </c>
      <c r="L4382" s="17">
        <v>5</v>
      </c>
      <c r="M4382" s="17">
        <v>200</v>
      </c>
      <c r="N4382" s="17">
        <v>5</v>
      </c>
      <c r="O4382" s="18">
        <v>262.88</v>
      </c>
      <c r="P4382" s="18">
        <v>215.48</v>
      </c>
      <c r="Q4382" s="18">
        <v>244.48</v>
      </c>
      <c r="R4382" s="18">
        <v>200.39</v>
      </c>
      <c r="S4382" s="18">
        <v>178.76</v>
      </c>
      <c r="T4382" s="18">
        <v>146.52000000000001</v>
      </c>
      <c r="U4382" s="16"/>
      <c r="V4382" s="16"/>
      <c r="W4382" s="16" t="s">
        <v>40</v>
      </c>
      <c r="X4382" s="19">
        <v>3.3000000000000002E-2</v>
      </c>
      <c r="Y4382" s="20">
        <v>9.3999999999999994E-5</v>
      </c>
      <c r="Z4382" s="21">
        <v>4601004175471</v>
      </c>
    </row>
    <row r="4383" spans="1:26" ht="12" customHeight="1" outlineLevel="4" x14ac:dyDescent="0.2">
      <c r="A4383" s="14" t="s">
        <v>8523</v>
      </c>
      <c r="B4383" s="26" t="s">
        <v>8524</v>
      </c>
      <c r="C4383" s="52"/>
      <c r="D4383" s="55">
        <f t="shared" si="68"/>
        <v>0</v>
      </c>
      <c r="E4383" s="63" t="str">
        <f>HYPERLINK("https://www.sds-group.ru/product/sverlo-po-metallu-8h117h75mm-kobalt-5-p6m5k5-m35-din-338-1-sht-kranz-KR-91-0510/", "Инфо")</f>
        <v>Инфо</v>
      </c>
      <c r="F4383" s="16" t="s">
        <v>1001</v>
      </c>
      <c r="G4383" s="15"/>
      <c r="H4383" s="15"/>
      <c r="I4383" s="15"/>
      <c r="J4383" s="22">
        <v>2950</v>
      </c>
      <c r="K4383" s="15" t="s">
        <v>210</v>
      </c>
      <c r="L4383" s="17">
        <v>1</v>
      </c>
      <c r="M4383" s="17">
        <v>200</v>
      </c>
      <c r="N4383" s="17">
        <v>1</v>
      </c>
      <c r="O4383" s="18">
        <v>324.36</v>
      </c>
      <c r="P4383" s="18">
        <v>265.87</v>
      </c>
      <c r="Q4383" s="18">
        <v>301.64999999999998</v>
      </c>
      <c r="R4383" s="18">
        <v>247.25</v>
      </c>
      <c r="S4383" s="18">
        <v>220.56</v>
      </c>
      <c r="T4383" s="18">
        <v>180.79</v>
      </c>
      <c r="U4383" s="16"/>
      <c r="V4383" s="16"/>
      <c r="W4383" s="16" t="s">
        <v>40</v>
      </c>
      <c r="X4383" s="19">
        <v>4.1000000000000002E-2</v>
      </c>
      <c r="Y4383" s="20">
        <v>9.3999999999999994E-5</v>
      </c>
      <c r="Z4383" s="21">
        <v>4601004175488</v>
      </c>
    </row>
    <row r="4384" spans="1:26" ht="12" customHeight="1" outlineLevel="4" x14ac:dyDescent="0.2">
      <c r="A4384" s="40" t="s">
        <v>8525</v>
      </c>
      <c r="B4384" s="75" t="s">
        <v>8526</v>
      </c>
      <c r="C4384" s="51"/>
      <c r="D4384" s="54">
        <f t="shared" si="68"/>
        <v>0</v>
      </c>
      <c r="E4384" s="61" t="str">
        <f>HYPERLINK("https://www.sds-group.ru/product/sverlo-po-metallu-udarnoe-3mm-kobalt-p6m5k8-din-338-shestigrannyy-hvostovik-1-sht-kranz-KR-91-0543/", "Инфо")</f>
        <v>Инфо</v>
      </c>
      <c r="F4384" s="42" t="s">
        <v>39</v>
      </c>
      <c r="G4384" s="41" t="s">
        <v>40</v>
      </c>
      <c r="H4384" s="41"/>
      <c r="I4384" s="41"/>
      <c r="J4384" s="43">
        <v>714</v>
      </c>
      <c r="K4384" s="41" t="s">
        <v>6939</v>
      </c>
      <c r="L4384" s="43">
        <v>5</v>
      </c>
      <c r="M4384" s="43">
        <v>150</v>
      </c>
      <c r="N4384" s="43">
        <v>5</v>
      </c>
      <c r="O4384" s="44">
        <v>377.31</v>
      </c>
      <c r="P4384" s="44">
        <v>309.27</v>
      </c>
      <c r="Q4384" s="44">
        <v>320.70999999999998</v>
      </c>
      <c r="R4384" s="44">
        <v>262.88</v>
      </c>
      <c r="S4384" s="44">
        <v>256.57</v>
      </c>
      <c r="T4384" s="44">
        <v>210.3</v>
      </c>
      <c r="U4384" s="42"/>
      <c r="V4384" s="42"/>
      <c r="W4384" s="42" t="s">
        <v>40</v>
      </c>
      <c r="X4384" s="45">
        <v>2.1000000000000001E-2</v>
      </c>
      <c r="Y4384" s="46">
        <v>9.7E-5</v>
      </c>
      <c r="Z4384" s="21">
        <v>4601004336063</v>
      </c>
    </row>
    <row r="4385" spans="1:26" ht="12" customHeight="1" outlineLevel="4" x14ac:dyDescent="0.2">
      <c r="A4385" s="40" t="s">
        <v>8527</v>
      </c>
      <c r="B4385" s="75" t="s">
        <v>8528</v>
      </c>
      <c r="C4385" s="51"/>
      <c r="D4385" s="54">
        <f t="shared" si="68"/>
        <v>0</v>
      </c>
      <c r="E4385" s="61" t="str">
        <f>HYPERLINK("https://www.sds-group.ru/product/sverlo-po-metallu-udarnoe-4mm-kobalt-p6m5k8-din-338-shestigrannyy-hvostovik-1-sht-kranz-KR-91-0544/", "Инфо")</f>
        <v>Инфо</v>
      </c>
      <c r="F4385" s="42" t="s">
        <v>39</v>
      </c>
      <c r="G4385" s="41" t="s">
        <v>40</v>
      </c>
      <c r="H4385" s="41"/>
      <c r="I4385" s="41"/>
      <c r="J4385" s="43">
        <v>464</v>
      </c>
      <c r="K4385" s="41" t="s">
        <v>6344</v>
      </c>
      <c r="L4385" s="43">
        <v>5</v>
      </c>
      <c r="M4385" s="43">
        <v>150</v>
      </c>
      <c r="N4385" s="43">
        <v>5</v>
      </c>
      <c r="O4385" s="44">
        <v>388.09</v>
      </c>
      <c r="P4385" s="44">
        <v>318.11</v>
      </c>
      <c r="Q4385" s="44">
        <v>329.88</v>
      </c>
      <c r="R4385" s="44">
        <v>270.39</v>
      </c>
      <c r="S4385" s="44">
        <v>263.89999999999998</v>
      </c>
      <c r="T4385" s="44">
        <v>216.31</v>
      </c>
      <c r="U4385" s="42"/>
      <c r="V4385" s="42"/>
      <c r="W4385" s="42" t="s">
        <v>40</v>
      </c>
      <c r="X4385" s="45">
        <v>2.3E-2</v>
      </c>
      <c r="Y4385" s="46">
        <v>9.7999999999999997E-5</v>
      </c>
      <c r="Z4385" s="21">
        <v>4601004336025</v>
      </c>
    </row>
    <row r="4386" spans="1:26" ht="12" customHeight="1" outlineLevel="4" x14ac:dyDescent="0.2">
      <c r="A4386" s="40" t="s">
        <v>8529</v>
      </c>
      <c r="B4386" s="75" t="s">
        <v>8530</v>
      </c>
      <c r="C4386" s="51"/>
      <c r="D4386" s="54">
        <f t="shared" si="68"/>
        <v>0</v>
      </c>
      <c r="E4386" s="61" t="str">
        <f>HYPERLINK("https://www.sds-group.ru/product/sverlo-po-metallu-udarnoe-5mm-kobalt-p6m5k8-din-338-shestigrannyy-hvostovik-1-sht-kranz-KR-91-0545/", "Инфо")</f>
        <v>Инфо</v>
      </c>
      <c r="F4386" s="42" t="s">
        <v>39</v>
      </c>
      <c r="G4386" s="41" t="s">
        <v>40</v>
      </c>
      <c r="H4386" s="41"/>
      <c r="I4386" s="41"/>
      <c r="J4386" s="43">
        <v>575</v>
      </c>
      <c r="K4386" s="41" t="s">
        <v>6344</v>
      </c>
      <c r="L4386" s="43">
        <v>5</v>
      </c>
      <c r="M4386" s="43">
        <v>150</v>
      </c>
      <c r="N4386" s="43">
        <v>5</v>
      </c>
      <c r="O4386" s="44">
        <v>398.87</v>
      </c>
      <c r="P4386" s="44">
        <v>326.94</v>
      </c>
      <c r="Q4386" s="44">
        <v>339.04</v>
      </c>
      <c r="R4386" s="44">
        <v>277.89999999999998</v>
      </c>
      <c r="S4386" s="44">
        <v>271.23</v>
      </c>
      <c r="T4386" s="44">
        <v>222.32</v>
      </c>
      <c r="U4386" s="42"/>
      <c r="V4386" s="42"/>
      <c r="W4386" s="42" t="s">
        <v>40</v>
      </c>
      <c r="X4386" s="45">
        <v>2.4E-2</v>
      </c>
      <c r="Y4386" s="46">
        <v>9.6000000000000002E-5</v>
      </c>
      <c r="Z4386" s="21">
        <v>4601004336100</v>
      </c>
    </row>
    <row r="4387" spans="1:26" ht="12" customHeight="1" outlineLevel="4" x14ac:dyDescent="0.2">
      <c r="A4387" s="40" t="s">
        <v>8531</v>
      </c>
      <c r="B4387" s="75" t="s">
        <v>8532</v>
      </c>
      <c r="C4387" s="51"/>
      <c r="D4387" s="54">
        <f t="shared" si="68"/>
        <v>0</v>
      </c>
      <c r="E4387" s="61" t="str">
        <f>HYPERLINK("https://www.sds-group.ru/product/sverlo-po-metallu-udarnoe-6mm-kobalt-p6m5k8-din-338-shestigrannyy-hvostovik-1-sht-kranz-KR-91-0546/", "Инфо")</f>
        <v>Инфо</v>
      </c>
      <c r="F4387" s="42" t="s">
        <v>39</v>
      </c>
      <c r="G4387" s="41" t="s">
        <v>40</v>
      </c>
      <c r="H4387" s="41"/>
      <c r="I4387" s="41"/>
      <c r="J4387" s="43">
        <v>3</v>
      </c>
      <c r="K4387" s="41" t="s">
        <v>6939</v>
      </c>
      <c r="L4387" s="43">
        <v>1</v>
      </c>
      <c r="M4387" s="43">
        <v>150</v>
      </c>
      <c r="N4387" s="43">
        <v>1</v>
      </c>
      <c r="O4387" s="44">
        <v>409.65</v>
      </c>
      <c r="P4387" s="44">
        <v>335.78</v>
      </c>
      <c r="Q4387" s="44">
        <v>348.2</v>
      </c>
      <c r="R4387" s="44">
        <v>285.41000000000003</v>
      </c>
      <c r="S4387" s="44">
        <v>278.56</v>
      </c>
      <c r="T4387" s="44">
        <v>228.33</v>
      </c>
      <c r="U4387" s="42"/>
      <c r="V4387" s="42"/>
      <c r="W4387" s="42" t="s">
        <v>40</v>
      </c>
      <c r="X4387" s="45">
        <v>2.7E-2</v>
      </c>
      <c r="Y4387" s="46">
        <v>9.5000000000000005E-5</v>
      </c>
      <c r="Z4387" s="21">
        <v>4601004336117</v>
      </c>
    </row>
    <row r="4388" spans="1:26" ht="12" customHeight="1" outlineLevel="4" x14ac:dyDescent="0.2">
      <c r="A4388" s="40" t="s">
        <v>8533</v>
      </c>
      <c r="B4388" s="75" t="s">
        <v>8534</v>
      </c>
      <c r="C4388" s="51"/>
      <c r="D4388" s="54">
        <f t="shared" si="68"/>
        <v>0</v>
      </c>
      <c r="E4388" s="61" t="str">
        <f>HYPERLINK("https://www.sds-group.ru/product/sverlo-po-metallu-udarnoe-7mm-kobalt-p6m5k8-din-338-shestigrannyy-hvostovik-1-sht-kranz-KR-91-0547/", "Инфо")</f>
        <v>Инфо</v>
      </c>
      <c r="F4388" s="42" t="s">
        <v>39</v>
      </c>
      <c r="G4388" s="41" t="s">
        <v>40</v>
      </c>
      <c r="H4388" s="41"/>
      <c r="I4388" s="41"/>
      <c r="J4388" s="42" t="s">
        <v>100</v>
      </c>
      <c r="K4388" s="41" t="s">
        <v>6939</v>
      </c>
      <c r="L4388" s="43">
        <v>5</v>
      </c>
      <c r="M4388" s="43">
        <v>100</v>
      </c>
      <c r="N4388" s="43">
        <v>5</v>
      </c>
      <c r="O4388" s="44">
        <v>431.21</v>
      </c>
      <c r="P4388" s="44">
        <v>353.45</v>
      </c>
      <c r="Q4388" s="44">
        <v>366.53</v>
      </c>
      <c r="R4388" s="44">
        <v>300.43</v>
      </c>
      <c r="S4388" s="44">
        <v>293.22000000000003</v>
      </c>
      <c r="T4388" s="44">
        <v>240.34</v>
      </c>
      <c r="U4388" s="42"/>
      <c r="V4388" s="42"/>
      <c r="W4388" s="42" t="s">
        <v>40</v>
      </c>
      <c r="X4388" s="45">
        <v>3.1E-2</v>
      </c>
      <c r="Y4388" s="46">
        <v>9.7999999999999997E-5</v>
      </c>
      <c r="Z4388" s="21">
        <v>4601004336018</v>
      </c>
    </row>
    <row r="4389" spans="1:26" ht="12" customHeight="1" outlineLevel="4" x14ac:dyDescent="0.2">
      <c r="A4389" s="40" t="s">
        <v>8535</v>
      </c>
      <c r="B4389" s="75" t="s">
        <v>8536</v>
      </c>
      <c r="C4389" s="51"/>
      <c r="D4389" s="54">
        <f t="shared" si="68"/>
        <v>0</v>
      </c>
      <c r="E4389" s="61" t="str">
        <f>HYPERLINK("https://www.sds-group.ru/product/sverlo-po-metallu-udarnoe-8mm-kobalt-p6m5k8-din-338-shestigrannyy-hvostovik-1-sht-kranz-KR-91-0548/", "Инфо")</f>
        <v>Инфо</v>
      </c>
      <c r="F4389" s="42" t="s">
        <v>39</v>
      </c>
      <c r="G4389" s="41" t="s">
        <v>40</v>
      </c>
      <c r="H4389" s="41"/>
      <c r="I4389" s="41"/>
      <c r="J4389" s="43">
        <v>208</v>
      </c>
      <c r="K4389" s="41" t="s">
        <v>6939</v>
      </c>
      <c r="L4389" s="43">
        <v>1</v>
      </c>
      <c r="M4389" s="43">
        <v>200</v>
      </c>
      <c r="N4389" s="43">
        <v>1</v>
      </c>
      <c r="O4389" s="44">
        <v>506.67</v>
      </c>
      <c r="P4389" s="44">
        <v>415.3</v>
      </c>
      <c r="Q4389" s="44">
        <v>430.67</v>
      </c>
      <c r="R4389" s="44">
        <v>353.01</v>
      </c>
      <c r="S4389" s="44">
        <v>344.54</v>
      </c>
      <c r="T4389" s="44">
        <v>282.41000000000003</v>
      </c>
      <c r="U4389" s="42"/>
      <c r="V4389" s="42"/>
      <c r="W4389" s="42" t="s">
        <v>40</v>
      </c>
      <c r="X4389" s="45">
        <v>3.7999999999999999E-2</v>
      </c>
      <c r="Y4389" s="46">
        <v>9.7E-5</v>
      </c>
      <c r="Z4389" s="21">
        <v>4601004336032</v>
      </c>
    </row>
    <row r="4390" spans="1:26" ht="12.95" customHeight="1" outlineLevel="3" x14ac:dyDescent="0.2">
      <c r="A4390" s="76" t="s">
        <v>8537</v>
      </c>
      <c r="B4390" s="76"/>
      <c r="C4390" s="77"/>
      <c r="D4390" s="58"/>
      <c r="E4390" s="68"/>
      <c r="F4390" s="13"/>
      <c r="G4390" s="13"/>
      <c r="H4390" s="13"/>
      <c r="I4390" s="13"/>
      <c r="J4390" s="13"/>
      <c r="K4390" s="13"/>
      <c r="L4390" s="13"/>
      <c r="M4390" s="13"/>
      <c r="N4390" s="13"/>
      <c r="O4390" s="13"/>
      <c r="P4390" s="13"/>
      <c r="Q4390" s="13"/>
      <c r="R4390" s="13"/>
      <c r="S4390" s="13"/>
      <c r="T4390" s="13"/>
      <c r="U4390" s="13"/>
      <c r="V4390" s="13"/>
      <c r="W4390" s="13"/>
      <c r="X4390" s="13"/>
      <c r="Y4390" s="13"/>
      <c r="Z4390" s="13"/>
    </row>
    <row r="4391" spans="1:26" ht="12" customHeight="1" outlineLevel="4" x14ac:dyDescent="0.2">
      <c r="A4391" s="14" t="s">
        <v>8538</v>
      </c>
      <c r="B4391" s="26" t="s">
        <v>8539</v>
      </c>
      <c r="C4391" s="52"/>
      <c r="D4391" s="55">
        <f t="shared" si="68"/>
        <v>0</v>
      </c>
      <c r="E4391" s="63" t="str">
        <f>HYPERLINK("https://www.sds-group.ru/product/nabor-stupenchatyh-sverl-titan-4-12mm-4-20mm-4-32mm-stal-hss-tin-3-sht-kranz-KR-12-6620/", "Инфо")</f>
        <v>Инфо</v>
      </c>
      <c r="F4391" s="16" t="s">
        <v>4698</v>
      </c>
      <c r="G4391" s="15"/>
      <c r="H4391" s="15"/>
      <c r="I4391" s="15"/>
      <c r="J4391" s="17">
        <v>81</v>
      </c>
      <c r="K4391" s="15" t="s">
        <v>6344</v>
      </c>
      <c r="L4391" s="17">
        <v>1</v>
      </c>
      <c r="M4391" s="17">
        <v>25</v>
      </c>
      <c r="N4391" s="17">
        <v>1</v>
      </c>
      <c r="O4391" s="18">
        <v>3098.46</v>
      </c>
      <c r="P4391" s="18">
        <v>2539.7199999999998</v>
      </c>
      <c r="Q4391" s="18">
        <v>2385.81</v>
      </c>
      <c r="R4391" s="18">
        <v>1955.58</v>
      </c>
      <c r="S4391" s="18">
        <v>2106.9499999999998</v>
      </c>
      <c r="T4391" s="18">
        <v>1727.01</v>
      </c>
      <c r="U4391" s="16"/>
      <c r="V4391" s="16"/>
      <c r="W4391" s="16" t="s">
        <v>40</v>
      </c>
      <c r="X4391" s="19">
        <v>0.46600000000000003</v>
      </c>
      <c r="Y4391" s="20">
        <v>8.4000000000000003E-4</v>
      </c>
      <c r="Z4391" s="21">
        <v>4601004284524</v>
      </c>
    </row>
    <row r="4392" spans="1:26" ht="12" customHeight="1" outlineLevel="4" x14ac:dyDescent="0.2">
      <c r="A4392" s="14" t="s">
        <v>8540</v>
      </c>
      <c r="B4392" s="26" t="s">
        <v>8541</v>
      </c>
      <c r="C4392" s="52"/>
      <c r="D4392" s="55">
        <f t="shared" si="68"/>
        <v>0</v>
      </c>
      <c r="E4392" s="63" t="str">
        <f>HYPERLINK("https://www.sds-group.ru/product/sverlo-po-metallu-stupenchatoe-4-0-20-0mm-76mm-62-hrc-kranz-KR-12-6601/", "Инфо")</f>
        <v>Инфо</v>
      </c>
      <c r="F4392" s="16" t="s">
        <v>39</v>
      </c>
      <c r="G4392" s="15"/>
      <c r="H4392" s="15"/>
      <c r="I4392" s="15"/>
      <c r="J4392" s="22">
        <v>1405</v>
      </c>
      <c r="K4392" s="15" t="s">
        <v>6344</v>
      </c>
      <c r="L4392" s="17">
        <v>1</v>
      </c>
      <c r="M4392" s="17">
        <v>60</v>
      </c>
      <c r="N4392" s="17">
        <v>1</v>
      </c>
      <c r="O4392" s="18">
        <v>815.38</v>
      </c>
      <c r="P4392" s="18">
        <v>668.34</v>
      </c>
      <c r="Q4392" s="18">
        <v>652.29999999999995</v>
      </c>
      <c r="R4392" s="18">
        <v>534.66999999999996</v>
      </c>
      <c r="S4392" s="18">
        <v>554.46</v>
      </c>
      <c r="T4392" s="18">
        <v>454.48</v>
      </c>
      <c r="U4392" s="16"/>
      <c r="V4392" s="16"/>
      <c r="W4392" s="16" t="s">
        <v>40</v>
      </c>
      <c r="X4392" s="19">
        <v>6.7000000000000004E-2</v>
      </c>
      <c r="Y4392" s="20">
        <v>3.0899999999999998E-4</v>
      </c>
      <c r="Z4392" s="21">
        <v>4601004202672</v>
      </c>
    </row>
    <row r="4393" spans="1:26" ht="12" customHeight="1" outlineLevel="4" x14ac:dyDescent="0.2">
      <c r="A4393" s="14" t="s">
        <v>8542</v>
      </c>
      <c r="B4393" s="26" t="s">
        <v>8543</v>
      </c>
      <c r="C4393" s="52"/>
      <c r="D4393" s="55">
        <f t="shared" si="68"/>
        <v>0</v>
      </c>
      <c r="E4393" s="63" t="str">
        <f>HYPERLINK("https://www.sds-group.ru/product/sverlo-po-metallu-stupenchatoe-4-0-30-0mm-98mm-62-hrc-kranz-KR-12-6602/", "Инфо")</f>
        <v>Инфо</v>
      </c>
      <c r="F4393" s="16" t="s">
        <v>39</v>
      </c>
      <c r="G4393" s="15"/>
      <c r="H4393" s="15"/>
      <c r="I4393" s="15"/>
      <c r="J4393" s="17">
        <v>793</v>
      </c>
      <c r="K4393" s="15" t="s">
        <v>6344</v>
      </c>
      <c r="L4393" s="17">
        <v>1</v>
      </c>
      <c r="M4393" s="17">
        <v>40</v>
      </c>
      <c r="N4393" s="17">
        <v>1</v>
      </c>
      <c r="O4393" s="18">
        <v>1461.55</v>
      </c>
      <c r="P4393" s="18">
        <v>1197.99</v>
      </c>
      <c r="Q4393" s="18">
        <v>1154.6199999999999</v>
      </c>
      <c r="R4393" s="18">
        <v>946.41</v>
      </c>
      <c r="S4393" s="18">
        <v>993.85</v>
      </c>
      <c r="T4393" s="18">
        <v>814.63</v>
      </c>
      <c r="U4393" s="16"/>
      <c r="V4393" s="16"/>
      <c r="W4393" s="16" t="s">
        <v>40</v>
      </c>
      <c r="X4393" s="19">
        <v>0.161</v>
      </c>
      <c r="Y4393" s="20">
        <v>4.6200000000000001E-4</v>
      </c>
      <c r="Z4393" s="21">
        <v>4601004202689</v>
      </c>
    </row>
    <row r="4394" spans="1:26" ht="12" customHeight="1" outlineLevel="4" x14ac:dyDescent="0.2">
      <c r="A4394" s="14" t="s">
        <v>8544</v>
      </c>
      <c r="B4394" s="26" t="s">
        <v>8545</v>
      </c>
      <c r="C4394" s="52"/>
      <c r="D4394" s="55">
        <f t="shared" si="68"/>
        <v>0</v>
      </c>
      <c r="E4394" s="63" t="str">
        <f>HYPERLINK("https://www.sds-group.ru/product/sverlo-po-metallu-stupenchatoe-4-0-32-0mm-102mm-62-hrc-kranz-KR-12-6603/", "Инфо")</f>
        <v>Инфо</v>
      </c>
      <c r="F4394" s="16" t="s">
        <v>39</v>
      </c>
      <c r="G4394" s="15"/>
      <c r="H4394" s="15"/>
      <c r="I4394" s="15"/>
      <c r="J4394" s="17">
        <v>579</v>
      </c>
      <c r="K4394" s="15" t="s">
        <v>6344</v>
      </c>
      <c r="L4394" s="17">
        <v>1</v>
      </c>
      <c r="M4394" s="17">
        <v>50</v>
      </c>
      <c r="N4394" s="17">
        <v>1</v>
      </c>
      <c r="O4394" s="18">
        <v>1426.92</v>
      </c>
      <c r="P4394" s="18">
        <v>1169.6099999999999</v>
      </c>
      <c r="Q4394" s="18">
        <v>1127.27</v>
      </c>
      <c r="R4394" s="18">
        <v>923.99</v>
      </c>
      <c r="S4394" s="18">
        <v>970.31</v>
      </c>
      <c r="T4394" s="18">
        <v>795.34</v>
      </c>
      <c r="U4394" s="16"/>
      <c r="V4394" s="16"/>
      <c r="W4394" s="16" t="s">
        <v>40</v>
      </c>
      <c r="X4394" s="19">
        <v>0.19500000000000001</v>
      </c>
      <c r="Y4394" s="20">
        <v>4.6200000000000001E-4</v>
      </c>
      <c r="Z4394" s="21">
        <v>4601004175501</v>
      </c>
    </row>
    <row r="4395" spans="1:26" ht="12" customHeight="1" outlineLevel="4" x14ac:dyDescent="0.2">
      <c r="A4395" s="14" t="s">
        <v>8546</v>
      </c>
      <c r="B4395" s="26" t="s">
        <v>8547</v>
      </c>
      <c r="C4395" s="52"/>
      <c r="D4395" s="55">
        <f t="shared" si="68"/>
        <v>0</v>
      </c>
      <c r="E4395" s="63" t="str">
        <f>HYPERLINK("https://www.sds-group.ru/product/sverlo-po-metallu-stupenchatoe-9-0-36-0mm-110mm-62-hrc-kranz-KR-12-6604/", "Инфо")</f>
        <v>Инфо</v>
      </c>
      <c r="F4395" s="16" t="s">
        <v>39</v>
      </c>
      <c r="G4395" s="15"/>
      <c r="H4395" s="15"/>
      <c r="I4395" s="15"/>
      <c r="J4395" s="17">
        <v>558</v>
      </c>
      <c r="K4395" s="15" t="s">
        <v>6526</v>
      </c>
      <c r="L4395" s="17">
        <v>1</v>
      </c>
      <c r="M4395" s="17">
        <v>40</v>
      </c>
      <c r="N4395" s="17">
        <v>1</v>
      </c>
      <c r="O4395" s="18">
        <v>1875.38</v>
      </c>
      <c r="P4395" s="18">
        <v>1537.2</v>
      </c>
      <c r="Q4395" s="18">
        <v>1481.55</v>
      </c>
      <c r="R4395" s="18">
        <v>1214.3900000000001</v>
      </c>
      <c r="S4395" s="18">
        <v>1275.26</v>
      </c>
      <c r="T4395" s="18">
        <v>1045.3</v>
      </c>
      <c r="U4395" s="16"/>
      <c r="V4395" s="16"/>
      <c r="W4395" s="16" t="s">
        <v>40</v>
      </c>
      <c r="X4395" s="19">
        <v>0.19900000000000001</v>
      </c>
      <c r="Y4395" s="20">
        <v>4.6099999999999998E-4</v>
      </c>
      <c r="Z4395" s="21">
        <v>4601004175518</v>
      </c>
    </row>
    <row r="4396" spans="1:26" ht="12" customHeight="1" outlineLevel="4" x14ac:dyDescent="0.2">
      <c r="A4396" s="14" t="s">
        <v>8548</v>
      </c>
      <c r="B4396" s="26" t="s">
        <v>8549</v>
      </c>
      <c r="C4396" s="52"/>
      <c r="D4396" s="55">
        <f t="shared" si="68"/>
        <v>0</v>
      </c>
      <c r="E4396" s="63" t="str">
        <f>HYPERLINK("https://www.sds-group.ru/product/sverlo-po-metallu-stupenchatoe-titan-4-0-20-0mm-76mm-65-hrc-r6m5-tin-kranz-KR-12-6611/", "Инфо")</f>
        <v>Инфо</v>
      </c>
      <c r="F4396" s="16" t="s">
        <v>39</v>
      </c>
      <c r="G4396" s="15"/>
      <c r="H4396" s="15"/>
      <c r="I4396" s="15"/>
      <c r="J4396" s="17">
        <v>304</v>
      </c>
      <c r="K4396" s="15" t="s">
        <v>6344</v>
      </c>
      <c r="L4396" s="17">
        <v>1</v>
      </c>
      <c r="M4396" s="17">
        <v>60</v>
      </c>
      <c r="N4396" s="17">
        <v>1</v>
      </c>
      <c r="O4396" s="18">
        <v>1306.06</v>
      </c>
      <c r="P4396" s="18">
        <v>1070.54</v>
      </c>
      <c r="Q4396" s="18">
        <v>1031.79</v>
      </c>
      <c r="R4396" s="18">
        <v>845.73</v>
      </c>
      <c r="S4396" s="18">
        <v>888.12</v>
      </c>
      <c r="T4396" s="18">
        <v>727.97</v>
      </c>
      <c r="U4396" s="16"/>
      <c r="V4396" s="16"/>
      <c r="W4396" s="16" t="s">
        <v>40</v>
      </c>
      <c r="X4396" s="19">
        <v>6.7000000000000004E-2</v>
      </c>
      <c r="Y4396" s="20">
        <v>3.0400000000000002E-4</v>
      </c>
      <c r="Z4396" s="21">
        <v>4601004202696</v>
      </c>
    </row>
    <row r="4397" spans="1:26" ht="12" customHeight="1" outlineLevel="4" x14ac:dyDescent="0.2">
      <c r="A4397" s="14" t="s">
        <v>8550</v>
      </c>
      <c r="B4397" s="26" t="s">
        <v>8551</v>
      </c>
      <c r="C4397" s="52"/>
      <c r="D4397" s="55">
        <f t="shared" si="68"/>
        <v>0</v>
      </c>
      <c r="E4397" s="63" t="str">
        <f>HYPERLINK("https://www.sds-group.ru/product/sverlo-po-metallu-stupenchatoe-titan-4-0-30-0mm-98mm-65-hrc-r6m5-tin-kranz-KR-12-6612/", "Инфо")</f>
        <v>Инфо</v>
      </c>
      <c r="F4397" s="16" t="s">
        <v>39</v>
      </c>
      <c r="G4397" s="15"/>
      <c r="H4397" s="15"/>
      <c r="I4397" s="15"/>
      <c r="J4397" s="17">
        <v>425</v>
      </c>
      <c r="K4397" s="15"/>
      <c r="L4397" s="17">
        <v>1</v>
      </c>
      <c r="M4397" s="17">
        <v>40</v>
      </c>
      <c r="N4397" s="17">
        <v>1</v>
      </c>
      <c r="O4397" s="18">
        <v>2591.39</v>
      </c>
      <c r="P4397" s="18">
        <v>2124.09</v>
      </c>
      <c r="Q4397" s="18">
        <v>1995.37</v>
      </c>
      <c r="R4397" s="18">
        <v>1635.55</v>
      </c>
      <c r="S4397" s="18">
        <v>1762.15</v>
      </c>
      <c r="T4397" s="18">
        <v>1444.39</v>
      </c>
      <c r="U4397" s="16"/>
      <c r="V4397" s="16"/>
      <c r="W4397" s="16" t="s">
        <v>40</v>
      </c>
      <c r="X4397" s="19">
        <v>0.16600000000000001</v>
      </c>
      <c r="Y4397" s="20">
        <v>4.6799999999999999E-4</v>
      </c>
      <c r="Z4397" s="21">
        <v>4601004202702</v>
      </c>
    </row>
    <row r="4398" spans="1:26" ht="12" customHeight="1" outlineLevel="4" x14ac:dyDescent="0.2">
      <c r="A4398" s="14" t="s">
        <v>8552</v>
      </c>
      <c r="B4398" s="26" t="s">
        <v>8553</v>
      </c>
      <c r="C4398" s="52"/>
      <c r="D4398" s="55">
        <f t="shared" si="68"/>
        <v>0</v>
      </c>
      <c r="E4398" s="63" t="str">
        <f>HYPERLINK("https://www.sds-group.ru/product/sverlo-po-metallu-stupenchatoe-titan-4-0-32-0mm-102mm-65-hrc-r6m5-tin-kranz-KR-12-6613/", "Инфо")</f>
        <v>Инфо</v>
      </c>
      <c r="F4398" s="16" t="s">
        <v>39</v>
      </c>
      <c r="G4398" s="15"/>
      <c r="H4398" s="15"/>
      <c r="I4398" s="15"/>
      <c r="J4398" s="17">
        <v>87</v>
      </c>
      <c r="K4398" s="15" t="s">
        <v>6344</v>
      </c>
      <c r="L4398" s="17">
        <v>1</v>
      </c>
      <c r="M4398" s="17">
        <v>40</v>
      </c>
      <c r="N4398" s="17">
        <v>1</v>
      </c>
      <c r="O4398" s="18">
        <v>3731.6</v>
      </c>
      <c r="P4398" s="18">
        <v>3058.69</v>
      </c>
      <c r="Q4398" s="18">
        <v>2724.07</v>
      </c>
      <c r="R4398" s="18">
        <v>2232.84</v>
      </c>
      <c r="S4398" s="18">
        <v>2537.4899999999998</v>
      </c>
      <c r="T4398" s="18">
        <v>2079.91</v>
      </c>
      <c r="U4398" s="16"/>
      <c r="V4398" s="16"/>
      <c r="W4398" s="16" t="s">
        <v>40</v>
      </c>
      <c r="X4398" s="19">
        <v>0.187</v>
      </c>
      <c r="Y4398" s="20">
        <v>4.6500000000000003E-4</v>
      </c>
      <c r="Z4398" s="21">
        <v>4601004202719</v>
      </c>
    </row>
    <row r="4399" spans="1:26" ht="12" customHeight="1" outlineLevel="4" x14ac:dyDescent="0.2">
      <c r="A4399" s="14" t="s">
        <v>8554</v>
      </c>
      <c r="B4399" s="26" t="s">
        <v>8555</v>
      </c>
      <c r="C4399" s="52"/>
      <c r="D4399" s="55">
        <f t="shared" si="68"/>
        <v>0</v>
      </c>
      <c r="E4399" s="63" t="str">
        <f>HYPERLINK("https://www.sds-group.ru/product/sverlo-po-metallu-stupenchatoe-titan-9-0-36-0mm-110mm-65-hrc-r6m5-tin-kranz-KR-12-6614/", "Инфо")</f>
        <v>Инфо</v>
      </c>
      <c r="F4399" s="16" t="s">
        <v>39</v>
      </c>
      <c r="G4399" s="15"/>
      <c r="H4399" s="15"/>
      <c r="I4399" s="15"/>
      <c r="J4399" s="17">
        <v>218</v>
      </c>
      <c r="K4399" s="15"/>
      <c r="L4399" s="17">
        <v>1</v>
      </c>
      <c r="M4399" s="17">
        <v>40</v>
      </c>
      <c r="N4399" s="17">
        <v>1</v>
      </c>
      <c r="O4399" s="18">
        <v>3524.3</v>
      </c>
      <c r="P4399" s="18">
        <v>2888.77</v>
      </c>
      <c r="Q4399" s="18">
        <v>2572.7399999999998</v>
      </c>
      <c r="R4399" s="18">
        <v>2108.8000000000002</v>
      </c>
      <c r="S4399" s="18">
        <v>2396.52</v>
      </c>
      <c r="T4399" s="18">
        <v>1964.36</v>
      </c>
      <c r="U4399" s="16"/>
      <c r="V4399" s="16"/>
      <c r="W4399" s="16" t="s">
        <v>40</v>
      </c>
      <c r="X4399" s="19">
        <v>0.20499999999999999</v>
      </c>
      <c r="Y4399" s="20">
        <v>4.64E-4</v>
      </c>
      <c r="Z4399" s="21">
        <v>4601004255555</v>
      </c>
    </row>
    <row r="4400" spans="1:26" ht="12" customHeight="1" outlineLevel="4" x14ac:dyDescent="0.2">
      <c r="A4400" s="14" t="s">
        <v>8556</v>
      </c>
      <c r="B4400" s="26" t="s">
        <v>8557</v>
      </c>
      <c r="C4400" s="52"/>
      <c r="D4400" s="55">
        <f t="shared" si="68"/>
        <v>0</v>
      </c>
      <c r="E4400" s="63" t="str">
        <f>HYPERLINK("https://www.sds-group.ru/product/sverlo-stupenchatoe-titan-4-5-6-7-8-9-10-11-12mm-r6m5-shestigrannyy-hvostovik-kranz-KR-12-6615/", "Инфо")</f>
        <v>Инфо</v>
      </c>
      <c r="F4400" s="16" t="s">
        <v>39</v>
      </c>
      <c r="G4400" s="15"/>
      <c r="H4400" s="15"/>
      <c r="I4400" s="15"/>
      <c r="J4400" s="17">
        <v>62</v>
      </c>
      <c r="K4400" s="15" t="s">
        <v>6344</v>
      </c>
      <c r="L4400" s="17">
        <v>1</v>
      </c>
      <c r="M4400" s="17">
        <v>60</v>
      </c>
      <c r="N4400" s="17">
        <v>1</v>
      </c>
      <c r="O4400" s="18">
        <v>725.59</v>
      </c>
      <c r="P4400" s="18">
        <v>594.75</v>
      </c>
      <c r="Q4400" s="18">
        <v>580.47</v>
      </c>
      <c r="R4400" s="18">
        <v>475.8</v>
      </c>
      <c r="S4400" s="18">
        <v>493.4</v>
      </c>
      <c r="T4400" s="18">
        <v>404.43</v>
      </c>
      <c r="U4400" s="16"/>
      <c r="V4400" s="16"/>
      <c r="W4400" s="16" t="s">
        <v>40</v>
      </c>
      <c r="X4400" s="19">
        <v>4.7E-2</v>
      </c>
      <c r="Y4400" s="20">
        <v>3.1500000000000001E-4</v>
      </c>
      <c r="Z4400" s="21">
        <v>4601004284517</v>
      </c>
    </row>
    <row r="4401" spans="1:26" ht="12" customHeight="1" outlineLevel="4" x14ac:dyDescent="0.2">
      <c r="A4401" s="14" t="s">
        <v>8558</v>
      </c>
      <c r="B4401" s="26" t="s">
        <v>8559</v>
      </c>
      <c r="C4401" s="52"/>
      <c r="D4401" s="55">
        <f t="shared" si="68"/>
        <v>0</v>
      </c>
      <c r="E4401" s="63" t="str">
        <f>HYPERLINK("https://www.sds-group.ru/product/sverlo-stupenchatoe-titan-6-8-10-12-14-16-18-20-22-24-26-28-30mm-r6m5-trehgrannyy-hvostov-KR-12-6616/", "Инфо")</f>
        <v>Инфо</v>
      </c>
      <c r="F4401" s="16" t="s">
        <v>39</v>
      </c>
      <c r="G4401" s="15"/>
      <c r="H4401" s="15"/>
      <c r="I4401" s="15"/>
      <c r="J4401" s="17">
        <v>376</v>
      </c>
      <c r="K4401" s="15" t="s">
        <v>210</v>
      </c>
      <c r="L4401" s="17">
        <v>1</v>
      </c>
      <c r="M4401" s="17">
        <v>40</v>
      </c>
      <c r="N4401" s="17">
        <v>1</v>
      </c>
      <c r="O4401" s="18">
        <v>2695.05</v>
      </c>
      <c r="P4401" s="18">
        <v>2209.06</v>
      </c>
      <c r="Q4401" s="18">
        <v>2075.19</v>
      </c>
      <c r="R4401" s="18">
        <v>1700.98</v>
      </c>
      <c r="S4401" s="18">
        <v>1832.63</v>
      </c>
      <c r="T4401" s="18">
        <v>1502.16</v>
      </c>
      <c r="U4401" s="16"/>
      <c r="V4401" s="16"/>
      <c r="W4401" s="16" t="s">
        <v>40</v>
      </c>
      <c r="X4401" s="19">
        <v>0.187</v>
      </c>
      <c r="Y4401" s="20">
        <v>4.46E-4</v>
      </c>
      <c r="Z4401" s="21">
        <v>4601004284500</v>
      </c>
    </row>
    <row r="4402" spans="1:26" ht="12.95" customHeight="1" outlineLevel="3" x14ac:dyDescent="0.2">
      <c r="A4402" s="76" t="s">
        <v>8560</v>
      </c>
      <c r="B4402" s="76"/>
      <c r="C4402" s="77"/>
      <c r="D4402" s="58"/>
      <c r="E4402" s="68"/>
      <c r="F4402" s="13"/>
      <c r="G4402" s="13"/>
      <c r="H4402" s="13"/>
      <c r="I4402" s="13"/>
      <c r="J4402" s="13"/>
      <c r="K4402" s="13"/>
      <c r="L4402" s="13"/>
      <c r="M4402" s="13"/>
      <c r="N4402" s="13"/>
      <c r="O4402" s="13"/>
      <c r="P4402" s="13"/>
      <c r="Q4402" s="13"/>
      <c r="R4402" s="13"/>
      <c r="S4402" s="13"/>
      <c r="T4402" s="13"/>
      <c r="U4402" s="13"/>
      <c r="V4402" s="13"/>
      <c r="W4402" s="13"/>
      <c r="X4402" s="13"/>
      <c r="Y4402" s="13"/>
      <c r="Z4402" s="13"/>
    </row>
    <row r="4403" spans="1:26" ht="12" customHeight="1" outlineLevel="4" x14ac:dyDescent="0.2">
      <c r="A4403" s="14" t="s">
        <v>8561</v>
      </c>
      <c r="B4403" s="26" t="s">
        <v>8562</v>
      </c>
      <c r="C4403" s="52"/>
      <c r="D4403" s="55">
        <f t="shared" si="68"/>
        <v>0</v>
      </c>
      <c r="E4403" s="63" t="str">
        <f>HYPERLINK("https://www.sds-group.ru/product/sverlo-po-metallu-10h133h87mm-standart-p6m5-m-2-din-338-1-sht-kranz-KR-91-0534/", "Инфо")</f>
        <v>Инфо</v>
      </c>
      <c r="F4403" s="16" t="s">
        <v>1001</v>
      </c>
      <c r="G4403" s="15"/>
      <c r="H4403" s="15"/>
      <c r="I4403" s="15"/>
      <c r="J4403" s="16" t="s">
        <v>100</v>
      </c>
      <c r="K4403" s="15" t="s">
        <v>6344</v>
      </c>
      <c r="L4403" s="17">
        <v>1</v>
      </c>
      <c r="M4403" s="17">
        <v>150</v>
      </c>
      <c r="N4403" s="17">
        <v>1</v>
      </c>
      <c r="O4403" s="18">
        <v>519.4</v>
      </c>
      <c r="P4403" s="18">
        <v>425.74</v>
      </c>
      <c r="Q4403" s="18">
        <v>467.46</v>
      </c>
      <c r="R4403" s="18">
        <v>383.16</v>
      </c>
      <c r="S4403" s="18">
        <v>353.19</v>
      </c>
      <c r="T4403" s="18">
        <v>289.5</v>
      </c>
      <c r="U4403" s="16"/>
      <c r="V4403" s="16"/>
      <c r="W4403" s="16" t="s">
        <v>40</v>
      </c>
      <c r="X4403" s="19">
        <v>6.8000000000000005E-2</v>
      </c>
      <c r="Y4403" s="20">
        <v>1.27E-4</v>
      </c>
      <c r="Z4403" s="21">
        <v>4601004175716</v>
      </c>
    </row>
    <row r="4404" spans="1:26" ht="12" customHeight="1" outlineLevel="4" x14ac:dyDescent="0.2">
      <c r="A4404" s="14" t="s">
        <v>8563</v>
      </c>
      <c r="B4404" s="26" t="s">
        <v>8564</v>
      </c>
      <c r="C4404" s="52"/>
      <c r="D4404" s="55">
        <f t="shared" si="68"/>
        <v>0</v>
      </c>
      <c r="E4404" s="63" t="str">
        <f>HYPERLINK("https://www.sds-group.ru/product/sverlo-po-metallu-12h151h101mm-standart-p6m5-m-2-din-338-1-sht-kranz-KR-91-0537/", "Инфо")</f>
        <v>Инфо</v>
      </c>
      <c r="F4404" s="16" t="s">
        <v>1001</v>
      </c>
      <c r="G4404" s="15"/>
      <c r="H4404" s="15"/>
      <c r="I4404" s="15"/>
      <c r="J4404" s="17">
        <v>327</v>
      </c>
      <c r="K4404" s="15" t="s">
        <v>6344</v>
      </c>
      <c r="L4404" s="17">
        <v>1</v>
      </c>
      <c r="M4404" s="17">
        <v>100</v>
      </c>
      <c r="N4404" s="17">
        <v>1</v>
      </c>
      <c r="O4404" s="18">
        <v>689</v>
      </c>
      <c r="P4404" s="18">
        <v>564.75</v>
      </c>
      <c r="Q4404" s="18">
        <v>620.1</v>
      </c>
      <c r="R4404" s="18">
        <v>508.28</v>
      </c>
      <c r="S4404" s="18">
        <v>468.52</v>
      </c>
      <c r="T4404" s="18">
        <v>384.03</v>
      </c>
      <c r="U4404" s="16"/>
      <c r="V4404" s="16"/>
      <c r="W4404" s="16" t="s">
        <v>40</v>
      </c>
      <c r="X4404" s="19">
        <v>0.108</v>
      </c>
      <c r="Y4404" s="20">
        <v>1.9100000000000001E-4</v>
      </c>
      <c r="Z4404" s="21">
        <v>4601004202771</v>
      </c>
    </row>
    <row r="4405" spans="1:26" ht="12" customHeight="1" outlineLevel="4" x14ac:dyDescent="0.2">
      <c r="A4405" s="14" t="s">
        <v>8565</v>
      </c>
      <c r="B4405" s="26" t="s">
        <v>8566</v>
      </c>
      <c r="C4405" s="52"/>
      <c r="D4405" s="55">
        <f t="shared" si="68"/>
        <v>0</v>
      </c>
      <c r="E4405" s="63" t="str">
        <f>HYPERLINK("https://www.sds-group.ru/product/sverlo-po-metallu-2-5h57h30mm-standart-p6m5-m-2-din-338-2-sht-kranz-KR-91-0522/", "Инфо")</f>
        <v>Инфо</v>
      </c>
      <c r="F4405" s="16" t="s">
        <v>1001</v>
      </c>
      <c r="G4405" s="15"/>
      <c r="H4405" s="15"/>
      <c r="I4405" s="15"/>
      <c r="J4405" s="17">
        <v>353</v>
      </c>
      <c r="K4405" s="15" t="s">
        <v>6344</v>
      </c>
      <c r="L4405" s="17">
        <v>10</v>
      </c>
      <c r="M4405" s="17">
        <v>400</v>
      </c>
      <c r="N4405" s="17">
        <v>10</v>
      </c>
      <c r="O4405" s="18">
        <v>94.34</v>
      </c>
      <c r="P4405" s="18">
        <v>77.33</v>
      </c>
      <c r="Q4405" s="18">
        <v>89.62</v>
      </c>
      <c r="R4405" s="18">
        <v>73.459999999999994</v>
      </c>
      <c r="S4405" s="18">
        <v>64.150000000000006</v>
      </c>
      <c r="T4405" s="18">
        <v>52.58</v>
      </c>
      <c r="U4405" s="16"/>
      <c r="V4405" s="16"/>
      <c r="W4405" s="16" t="s">
        <v>40</v>
      </c>
      <c r="X4405" s="19">
        <v>8.9999999999999993E-3</v>
      </c>
      <c r="Y4405" s="20">
        <v>4.6999999999999997E-5</v>
      </c>
      <c r="Z4405" s="21">
        <v>4601004175624</v>
      </c>
    </row>
    <row r="4406" spans="1:26" ht="12" customHeight="1" outlineLevel="4" x14ac:dyDescent="0.2">
      <c r="A4406" s="14" t="s">
        <v>8567</v>
      </c>
      <c r="B4406" s="26" t="s">
        <v>8568</v>
      </c>
      <c r="C4406" s="52"/>
      <c r="D4406" s="55">
        <f t="shared" si="68"/>
        <v>0</v>
      </c>
      <c r="E4406" s="63" t="str">
        <f>HYPERLINK("https://www.sds-group.ru/product/sverlo-po-metallu-2h49h24mm-standart-p6m5-m-2-din-338-2-sht-kranz-KR-91-0521/", "Инфо")</f>
        <v>Инфо</v>
      </c>
      <c r="F4406" s="16" t="s">
        <v>1001</v>
      </c>
      <c r="G4406" s="15"/>
      <c r="H4406" s="15"/>
      <c r="I4406" s="15"/>
      <c r="J4406" s="17">
        <v>305</v>
      </c>
      <c r="K4406" s="15" t="s">
        <v>6344</v>
      </c>
      <c r="L4406" s="17">
        <v>10</v>
      </c>
      <c r="M4406" s="17">
        <v>400</v>
      </c>
      <c r="N4406" s="17">
        <v>10</v>
      </c>
      <c r="O4406" s="18">
        <v>82.68</v>
      </c>
      <c r="P4406" s="18">
        <v>67.77</v>
      </c>
      <c r="Q4406" s="18">
        <v>78.55</v>
      </c>
      <c r="R4406" s="18">
        <v>64.39</v>
      </c>
      <c r="S4406" s="18">
        <v>56.22</v>
      </c>
      <c r="T4406" s="18">
        <v>46.08</v>
      </c>
      <c r="U4406" s="16"/>
      <c r="V4406" s="16"/>
      <c r="W4406" s="16" t="s">
        <v>40</v>
      </c>
      <c r="X4406" s="19">
        <v>8.0000000000000002E-3</v>
      </c>
      <c r="Y4406" s="20">
        <v>4.6999999999999997E-5</v>
      </c>
      <c r="Z4406" s="21">
        <v>4601004175617</v>
      </c>
    </row>
    <row r="4407" spans="1:26" ht="12" customHeight="1" outlineLevel="4" x14ac:dyDescent="0.2">
      <c r="A4407" s="14" t="s">
        <v>8569</v>
      </c>
      <c r="B4407" s="26" t="s">
        <v>8570</v>
      </c>
      <c r="C4407" s="52"/>
      <c r="D4407" s="55">
        <f t="shared" si="68"/>
        <v>0</v>
      </c>
      <c r="E4407" s="63" t="str">
        <f>HYPERLINK("https://www.sds-group.ru/product/sverlo-po-metallu-3-2h65h36mm-standart-p6m5-m-2-din-338-2-sht-kranz-KR-91-0524/", "Инфо")</f>
        <v>Инфо</v>
      </c>
      <c r="F4407" s="16" t="s">
        <v>1001</v>
      </c>
      <c r="G4407" s="15"/>
      <c r="H4407" s="15"/>
      <c r="I4407" s="15"/>
      <c r="J4407" s="17">
        <v>390</v>
      </c>
      <c r="K4407" s="15"/>
      <c r="L4407" s="17">
        <v>5</v>
      </c>
      <c r="M4407" s="17">
        <v>400</v>
      </c>
      <c r="N4407" s="17">
        <v>5</v>
      </c>
      <c r="O4407" s="18">
        <v>121.9</v>
      </c>
      <c r="P4407" s="18">
        <v>99.92</v>
      </c>
      <c r="Q4407" s="18">
        <v>115.81</v>
      </c>
      <c r="R4407" s="18">
        <v>94.93</v>
      </c>
      <c r="S4407" s="18">
        <v>82.89</v>
      </c>
      <c r="T4407" s="18">
        <v>67.94</v>
      </c>
      <c r="U4407" s="16"/>
      <c r="V4407" s="16"/>
      <c r="W4407" s="16" t="s">
        <v>40</v>
      </c>
      <c r="X4407" s="19">
        <v>1.2E-2</v>
      </c>
      <c r="Y4407" s="20">
        <v>4.8000000000000001E-5</v>
      </c>
      <c r="Z4407" s="21">
        <v>4601004175648</v>
      </c>
    </row>
    <row r="4408" spans="1:26" ht="12" customHeight="1" outlineLevel="4" x14ac:dyDescent="0.2">
      <c r="A4408" s="14" t="s">
        <v>8571</v>
      </c>
      <c r="B4408" s="26" t="s">
        <v>8572</v>
      </c>
      <c r="C4408" s="52"/>
      <c r="D4408" s="55">
        <f t="shared" si="68"/>
        <v>0</v>
      </c>
      <c r="E4408" s="63" t="str">
        <f>HYPERLINK("https://www.sds-group.ru/product/sverlo-po-metallu-3h61h33mm-standart-p6m5-m-2-din-338-2-sht-kranz-KR-91-0523/", "Инфо")</f>
        <v>Инфо</v>
      </c>
      <c r="F4408" s="16" t="s">
        <v>1001</v>
      </c>
      <c r="G4408" s="15"/>
      <c r="H4408" s="15"/>
      <c r="I4408" s="15"/>
      <c r="J4408" s="22">
        <v>1214</v>
      </c>
      <c r="K4408" s="15"/>
      <c r="L4408" s="17">
        <v>5</v>
      </c>
      <c r="M4408" s="17">
        <v>400</v>
      </c>
      <c r="N4408" s="17">
        <v>5</v>
      </c>
      <c r="O4408" s="18">
        <v>101.76</v>
      </c>
      <c r="P4408" s="18">
        <v>83.41</v>
      </c>
      <c r="Q4408" s="18">
        <v>96.67</v>
      </c>
      <c r="R4408" s="18">
        <v>79.239999999999995</v>
      </c>
      <c r="S4408" s="18">
        <v>69.2</v>
      </c>
      <c r="T4408" s="18">
        <v>56.72</v>
      </c>
      <c r="U4408" s="16"/>
      <c r="V4408" s="16"/>
      <c r="W4408" s="16" t="s">
        <v>40</v>
      </c>
      <c r="X4408" s="19">
        <v>1.0999999999999999E-2</v>
      </c>
      <c r="Y4408" s="20">
        <v>4.8000000000000001E-5</v>
      </c>
      <c r="Z4408" s="21">
        <v>4601004175631</v>
      </c>
    </row>
    <row r="4409" spans="1:26" ht="12" customHeight="1" outlineLevel="4" x14ac:dyDescent="0.2">
      <c r="A4409" s="14" t="s">
        <v>8573</v>
      </c>
      <c r="B4409" s="26" t="s">
        <v>8574</v>
      </c>
      <c r="C4409" s="52"/>
      <c r="D4409" s="55">
        <f t="shared" si="68"/>
        <v>0</v>
      </c>
      <c r="E4409" s="63" t="str">
        <f>HYPERLINK("https://www.sds-group.ru/product/sverlo-po-metallu-4-5h80h47mm-standart-p6m5-m-2-din-338-1-sht-kranz-KR-91-0529/", "Инфо")</f>
        <v>Инфо</v>
      </c>
      <c r="F4409" s="16" t="s">
        <v>1001</v>
      </c>
      <c r="G4409" s="15"/>
      <c r="H4409" s="15"/>
      <c r="I4409" s="15"/>
      <c r="J4409" s="17">
        <v>800</v>
      </c>
      <c r="K4409" s="15"/>
      <c r="L4409" s="17">
        <v>5</v>
      </c>
      <c r="M4409" s="17">
        <v>400</v>
      </c>
      <c r="N4409" s="17">
        <v>5</v>
      </c>
      <c r="O4409" s="18">
        <v>103.88</v>
      </c>
      <c r="P4409" s="18">
        <v>85.15</v>
      </c>
      <c r="Q4409" s="18">
        <v>98.69</v>
      </c>
      <c r="R4409" s="18">
        <v>80.89</v>
      </c>
      <c r="S4409" s="18">
        <v>70.64</v>
      </c>
      <c r="T4409" s="18">
        <v>57.9</v>
      </c>
      <c r="U4409" s="16"/>
      <c r="V4409" s="16"/>
      <c r="W4409" s="16" t="s">
        <v>40</v>
      </c>
      <c r="X4409" s="19">
        <v>1.2999999999999999E-2</v>
      </c>
      <c r="Y4409" s="20">
        <v>4.6999999999999997E-5</v>
      </c>
      <c r="Z4409" s="21">
        <v>4601004202733</v>
      </c>
    </row>
    <row r="4410" spans="1:26" ht="12" customHeight="1" outlineLevel="4" x14ac:dyDescent="0.2">
      <c r="A4410" s="14" t="s">
        <v>8575</v>
      </c>
      <c r="B4410" s="26" t="s">
        <v>8576</v>
      </c>
      <c r="C4410" s="52"/>
      <c r="D4410" s="55">
        <f t="shared" si="68"/>
        <v>0</v>
      </c>
      <c r="E4410" s="63" t="str">
        <f>HYPERLINK("https://www.sds-group.ru/product/sverlo-po-metallu-4h75h43mm-standart-p6m5-m-2-din-338-1-sht-kranz-KR-91-0525/", "Инфо")</f>
        <v>Инфо</v>
      </c>
      <c r="F4410" s="16" t="s">
        <v>1001</v>
      </c>
      <c r="G4410" s="15"/>
      <c r="H4410" s="15"/>
      <c r="I4410" s="15"/>
      <c r="J4410" s="17">
        <v>276</v>
      </c>
      <c r="K4410" s="15" t="s">
        <v>6344</v>
      </c>
      <c r="L4410" s="17">
        <v>10</v>
      </c>
      <c r="M4410" s="17">
        <v>400</v>
      </c>
      <c r="N4410" s="17">
        <v>10</v>
      </c>
      <c r="O4410" s="18">
        <v>100.7</v>
      </c>
      <c r="P4410" s="18">
        <v>82.54</v>
      </c>
      <c r="Q4410" s="18">
        <v>95.67</v>
      </c>
      <c r="R4410" s="18">
        <v>78.42</v>
      </c>
      <c r="S4410" s="18">
        <v>68.48</v>
      </c>
      <c r="T4410" s="18">
        <v>56.13</v>
      </c>
      <c r="U4410" s="16"/>
      <c r="V4410" s="16"/>
      <c r="W4410" s="16" t="s">
        <v>40</v>
      </c>
      <c r="X4410" s="19">
        <v>1.0999999999999999E-2</v>
      </c>
      <c r="Y4410" s="20">
        <v>4.8000000000000001E-5</v>
      </c>
      <c r="Z4410" s="21">
        <v>4601004175655</v>
      </c>
    </row>
    <row r="4411" spans="1:26" ht="12" customHeight="1" outlineLevel="4" x14ac:dyDescent="0.2">
      <c r="A4411" s="14" t="s">
        <v>8577</v>
      </c>
      <c r="B4411" s="26" t="s">
        <v>8578</v>
      </c>
      <c r="C4411" s="52"/>
      <c r="D4411" s="55">
        <f t="shared" si="68"/>
        <v>0</v>
      </c>
      <c r="E4411" s="63" t="str">
        <f>HYPERLINK("https://www.sds-group.ru/product/sverlo-po-metallu-5-5h93h57mm-standart-p6m5-m-2-din-338-1-sht-kranz-KR-91-0531/", "Инфо")</f>
        <v>Инфо</v>
      </c>
      <c r="F4411" s="16" t="s">
        <v>1001</v>
      </c>
      <c r="G4411" s="15"/>
      <c r="H4411" s="15"/>
      <c r="I4411" s="15"/>
      <c r="J4411" s="17">
        <v>415</v>
      </c>
      <c r="K4411" s="15"/>
      <c r="L4411" s="17">
        <v>5</v>
      </c>
      <c r="M4411" s="17">
        <v>400</v>
      </c>
      <c r="N4411" s="17">
        <v>5</v>
      </c>
      <c r="O4411" s="18">
        <v>154.76</v>
      </c>
      <c r="P4411" s="18">
        <v>126.85</v>
      </c>
      <c r="Q4411" s="18">
        <v>147.02000000000001</v>
      </c>
      <c r="R4411" s="18">
        <v>120.51</v>
      </c>
      <c r="S4411" s="18">
        <v>105.24</v>
      </c>
      <c r="T4411" s="18">
        <v>86.26</v>
      </c>
      <c r="U4411" s="16"/>
      <c r="V4411" s="16"/>
      <c r="W4411" s="16" t="s">
        <v>40</v>
      </c>
      <c r="X4411" s="19">
        <v>1.7999999999999999E-2</v>
      </c>
      <c r="Y4411" s="20">
        <v>4.6E-5</v>
      </c>
      <c r="Z4411" s="21">
        <v>4601004202740</v>
      </c>
    </row>
    <row r="4412" spans="1:26" ht="12" customHeight="1" outlineLevel="4" x14ac:dyDescent="0.2">
      <c r="A4412" s="14" t="s">
        <v>8579</v>
      </c>
      <c r="B4412" s="26" t="s">
        <v>8580</v>
      </c>
      <c r="C4412" s="52"/>
      <c r="D4412" s="55">
        <f t="shared" si="68"/>
        <v>0</v>
      </c>
      <c r="E4412" s="63" t="str">
        <f>HYPERLINK("https://www.sds-group.ru/product/sverlo-po-metallu-5h86h52mm-standart-p6m5-m-2-din-338-1-sht-kranz-KR-91-0526/", "Инфо")</f>
        <v>Инфо</v>
      </c>
      <c r="F4412" s="16" t="s">
        <v>1001</v>
      </c>
      <c r="G4412" s="15"/>
      <c r="H4412" s="15"/>
      <c r="I4412" s="15"/>
      <c r="J4412" s="16" t="s">
        <v>100</v>
      </c>
      <c r="K4412" s="15" t="s">
        <v>6344</v>
      </c>
      <c r="L4412" s="17">
        <v>10</v>
      </c>
      <c r="M4412" s="17">
        <v>400</v>
      </c>
      <c r="N4412" s="17">
        <v>10</v>
      </c>
      <c r="O4412" s="18">
        <v>150.52000000000001</v>
      </c>
      <c r="P4412" s="18">
        <v>123.38</v>
      </c>
      <c r="Q4412" s="18">
        <v>142.99</v>
      </c>
      <c r="R4412" s="18">
        <v>117.2</v>
      </c>
      <c r="S4412" s="18">
        <v>102.35</v>
      </c>
      <c r="T4412" s="18">
        <v>83.89</v>
      </c>
      <c r="U4412" s="16"/>
      <c r="V4412" s="16"/>
      <c r="W4412" s="16" t="s">
        <v>40</v>
      </c>
      <c r="X4412" s="19">
        <v>1.4999999999999999E-2</v>
      </c>
      <c r="Y4412" s="20">
        <v>4.8999999999999998E-5</v>
      </c>
      <c r="Z4412" s="21">
        <v>4601004175662</v>
      </c>
    </row>
    <row r="4413" spans="1:26" ht="12" customHeight="1" outlineLevel="4" x14ac:dyDescent="0.2">
      <c r="A4413" s="14" t="s">
        <v>8581</v>
      </c>
      <c r="B4413" s="26" t="s">
        <v>8582</v>
      </c>
      <c r="C4413" s="52"/>
      <c r="D4413" s="55">
        <f t="shared" si="68"/>
        <v>0</v>
      </c>
      <c r="E4413" s="63" t="str">
        <f>HYPERLINK("https://www.sds-group.ru/product/sverlo-po-metallu-6-5h101h63mm-standart-p6m5-m-2-din-338-1-sht-kranz-KR-91-0532/", "Инфо")</f>
        <v>Инфо</v>
      </c>
      <c r="F4413" s="16" t="s">
        <v>1001</v>
      </c>
      <c r="G4413" s="15"/>
      <c r="H4413" s="15"/>
      <c r="I4413" s="15"/>
      <c r="J4413" s="17">
        <v>148</v>
      </c>
      <c r="K4413" s="15" t="s">
        <v>6939</v>
      </c>
      <c r="L4413" s="17">
        <v>5</v>
      </c>
      <c r="M4413" s="17">
        <v>200</v>
      </c>
      <c r="N4413" s="17">
        <v>5</v>
      </c>
      <c r="O4413" s="18">
        <v>201.4</v>
      </c>
      <c r="P4413" s="18">
        <v>165.08</v>
      </c>
      <c r="Q4413" s="18">
        <v>191.33</v>
      </c>
      <c r="R4413" s="18">
        <v>156.83000000000001</v>
      </c>
      <c r="S4413" s="18">
        <v>136.94999999999999</v>
      </c>
      <c r="T4413" s="18">
        <v>112.25</v>
      </c>
      <c r="U4413" s="16"/>
      <c r="V4413" s="16"/>
      <c r="W4413" s="16" t="s">
        <v>40</v>
      </c>
      <c r="X4413" s="19">
        <v>2.8000000000000001E-2</v>
      </c>
      <c r="Y4413" s="20">
        <v>9.3999999999999994E-5</v>
      </c>
      <c r="Z4413" s="21">
        <v>4601004202757</v>
      </c>
    </row>
    <row r="4414" spans="1:26" ht="12" customHeight="1" outlineLevel="4" x14ac:dyDescent="0.2">
      <c r="A4414" s="14" t="s">
        <v>8583</v>
      </c>
      <c r="B4414" s="26" t="s">
        <v>8584</v>
      </c>
      <c r="C4414" s="52"/>
      <c r="D4414" s="55">
        <f t="shared" si="68"/>
        <v>0</v>
      </c>
      <c r="E4414" s="63" t="str">
        <f>HYPERLINK("https://www.sds-group.ru/product/sverlo-po-metallu-6h93h57mm-standart-p6m5-m-2-din-338-1-sht-kranz-KR-91-0528/", "Инфо")</f>
        <v>Инфо</v>
      </c>
      <c r="F4414" s="16" t="s">
        <v>1001</v>
      </c>
      <c r="G4414" s="15"/>
      <c r="H4414" s="15"/>
      <c r="I4414" s="15"/>
      <c r="J4414" s="17">
        <v>348</v>
      </c>
      <c r="K4414" s="15" t="s">
        <v>6344</v>
      </c>
      <c r="L4414" s="17">
        <v>10</v>
      </c>
      <c r="M4414" s="17">
        <v>400</v>
      </c>
      <c r="N4414" s="17">
        <v>10</v>
      </c>
      <c r="O4414" s="18">
        <v>159</v>
      </c>
      <c r="P4414" s="18">
        <v>130.33000000000001</v>
      </c>
      <c r="Q4414" s="18">
        <v>151.05000000000001</v>
      </c>
      <c r="R4414" s="18">
        <v>123.81</v>
      </c>
      <c r="S4414" s="18">
        <v>108.12</v>
      </c>
      <c r="T4414" s="18">
        <v>88.62</v>
      </c>
      <c r="U4414" s="16"/>
      <c r="V4414" s="16"/>
      <c r="W4414" s="16" t="s">
        <v>40</v>
      </c>
      <c r="X4414" s="19">
        <v>2.1000000000000001E-2</v>
      </c>
      <c r="Y4414" s="20">
        <v>4.6999999999999997E-5</v>
      </c>
      <c r="Z4414" s="21">
        <v>4601004175679</v>
      </c>
    </row>
    <row r="4415" spans="1:26" ht="12" customHeight="1" outlineLevel="4" x14ac:dyDescent="0.2">
      <c r="A4415" s="14" t="s">
        <v>8585</v>
      </c>
      <c r="B4415" s="26" t="s">
        <v>8586</v>
      </c>
      <c r="C4415" s="52"/>
      <c r="D4415" s="55">
        <f t="shared" si="68"/>
        <v>0</v>
      </c>
      <c r="E4415" s="63" t="str">
        <f>HYPERLINK("https://www.sds-group.ru/product/sverlo-po-metallu-7-5h109h69mm-standart-p6m5-m-2-din-338-1-sht-kranz-KR-91-0535/", "Инфо")</f>
        <v>Инфо</v>
      </c>
      <c r="F4415" s="16" t="s">
        <v>1001</v>
      </c>
      <c r="G4415" s="15"/>
      <c r="H4415" s="15"/>
      <c r="I4415" s="15"/>
      <c r="J4415" s="17">
        <v>235</v>
      </c>
      <c r="K4415" s="15" t="s">
        <v>6526</v>
      </c>
      <c r="L4415" s="17">
        <v>5</v>
      </c>
      <c r="M4415" s="17">
        <v>200</v>
      </c>
      <c r="N4415" s="17">
        <v>5</v>
      </c>
      <c r="O4415" s="18">
        <v>243.8</v>
      </c>
      <c r="P4415" s="18">
        <v>199.84</v>
      </c>
      <c r="Q4415" s="18">
        <v>231.61</v>
      </c>
      <c r="R4415" s="18">
        <v>189.84</v>
      </c>
      <c r="S4415" s="18">
        <v>165.78</v>
      </c>
      <c r="T4415" s="18">
        <v>135.88999999999999</v>
      </c>
      <c r="U4415" s="16"/>
      <c r="V4415" s="16"/>
      <c r="W4415" s="16" t="s">
        <v>40</v>
      </c>
      <c r="X4415" s="19">
        <v>3.5999999999999997E-2</v>
      </c>
      <c r="Y4415" s="20">
        <v>9.3999999999999994E-5</v>
      </c>
      <c r="Z4415" s="21">
        <v>4601004202764</v>
      </c>
    </row>
    <row r="4416" spans="1:26" ht="12" customHeight="1" outlineLevel="4" x14ac:dyDescent="0.2">
      <c r="A4416" s="14" t="s">
        <v>8587</v>
      </c>
      <c r="B4416" s="26" t="s">
        <v>8588</v>
      </c>
      <c r="C4416" s="52"/>
      <c r="D4416" s="55">
        <f t="shared" si="68"/>
        <v>0</v>
      </c>
      <c r="E4416" s="63" t="str">
        <f>HYPERLINK("https://www.sds-group.ru/product/sverlo-po-metallu-7h109h96mm-standart-p6m5-m-2-din-338-1-sht-kranz-KR-91-0530/", "Инфо")</f>
        <v>Инфо</v>
      </c>
      <c r="F4416" s="16" t="s">
        <v>1001</v>
      </c>
      <c r="G4416" s="15"/>
      <c r="H4416" s="15"/>
      <c r="I4416" s="15"/>
      <c r="J4416" s="22">
        <v>1004</v>
      </c>
      <c r="K4416" s="15"/>
      <c r="L4416" s="17">
        <v>5</v>
      </c>
      <c r="M4416" s="17">
        <v>400</v>
      </c>
      <c r="N4416" s="17">
        <v>5</v>
      </c>
      <c r="O4416" s="18">
        <v>233.2</v>
      </c>
      <c r="P4416" s="18">
        <v>191.15</v>
      </c>
      <c r="Q4416" s="18">
        <v>221.54</v>
      </c>
      <c r="R4416" s="18">
        <v>181.59</v>
      </c>
      <c r="S4416" s="18">
        <v>158.58000000000001</v>
      </c>
      <c r="T4416" s="18">
        <v>129.97999999999999</v>
      </c>
      <c r="U4416" s="16"/>
      <c r="V4416" s="16"/>
      <c r="W4416" s="16" t="s">
        <v>40</v>
      </c>
      <c r="X4416" s="19">
        <v>3.3000000000000002E-2</v>
      </c>
      <c r="Y4416" s="20">
        <v>9.7E-5</v>
      </c>
      <c r="Z4416" s="21">
        <v>4601004175686</v>
      </c>
    </row>
    <row r="4417" spans="1:26" ht="12" customHeight="1" outlineLevel="4" x14ac:dyDescent="0.2">
      <c r="A4417" s="14" t="s">
        <v>8589</v>
      </c>
      <c r="B4417" s="26" t="s">
        <v>8590</v>
      </c>
      <c r="C4417" s="52"/>
      <c r="D4417" s="55">
        <f t="shared" si="68"/>
        <v>0</v>
      </c>
      <c r="E4417" s="63" t="str">
        <f>HYPERLINK("https://www.sds-group.ru/product/sverlo-po-metallu-8h117h75mm-standart-p6m5-m-2-din-338-1-sht-kranz-KR-91-0536/", "Инфо")</f>
        <v>Инфо</v>
      </c>
      <c r="F4417" s="16" t="s">
        <v>1001</v>
      </c>
      <c r="G4417" s="15"/>
      <c r="H4417" s="15"/>
      <c r="I4417" s="15"/>
      <c r="J4417" s="22">
        <v>1683</v>
      </c>
      <c r="K4417" s="15" t="s">
        <v>6344</v>
      </c>
      <c r="L4417" s="17">
        <v>5</v>
      </c>
      <c r="M4417" s="17">
        <v>200</v>
      </c>
      <c r="N4417" s="17">
        <v>5</v>
      </c>
      <c r="O4417" s="18">
        <v>307.39999999999998</v>
      </c>
      <c r="P4417" s="18">
        <v>251.97</v>
      </c>
      <c r="Q4417" s="18">
        <v>292.02999999999997</v>
      </c>
      <c r="R4417" s="18">
        <v>239.37</v>
      </c>
      <c r="S4417" s="18">
        <v>209.03</v>
      </c>
      <c r="T4417" s="18">
        <v>171.34</v>
      </c>
      <c r="U4417" s="16"/>
      <c r="V4417" s="16"/>
      <c r="W4417" s="16" t="s">
        <v>40</v>
      </c>
      <c r="X4417" s="19">
        <v>4.2000000000000003E-2</v>
      </c>
      <c r="Y4417" s="20">
        <v>4.8000000000000001E-5</v>
      </c>
      <c r="Z4417" s="21">
        <v>4601004175693</v>
      </c>
    </row>
    <row r="4418" spans="1:26" ht="12" customHeight="1" outlineLevel="4" x14ac:dyDescent="0.2">
      <c r="A4418" s="14" t="s">
        <v>8591</v>
      </c>
      <c r="B4418" s="26" t="s">
        <v>8592</v>
      </c>
      <c r="C4418" s="52"/>
      <c r="D4418" s="55">
        <f t="shared" si="68"/>
        <v>0</v>
      </c>
      <c r="E4418" s="63" t="str">
        <f>HYPERLINK("https://www.sds-group.ru/product/sverlo-po-metallu-9h125h81mm-standart-p6m5-m-2-din-338-1-sht-kranz-KR-91-0533/", "Инфо")</f>
        <v>Инфо</v>
      </c>
      <c r="F4418" s="16" t="s">
        <v>1001</v>
      </c>
      <c r="G4418" s="15"/>
      <c r="H4418" s="15"/>
      <c r="I4418" s="15"/>
      <c r="J4418" s="17">
        <v>354</v>
      </c>
      <c r="K4418" s="15"/>
      <c r="L4418" s="17">
        <v>1</v>
      </c>
      <c r="M4418" s="17">
        <v>400</v>
      </c>
      <c r="N4418" s="17">
        <v>1</v>
      </c>
      <c r="O4418" s="18">
        <v>381.6</v>
      </c>
      <c r="P4418" s="18">
        <v>312.79000000000002</v>
      </c>
      <c r="Q4418" s="18">
        <v>362.52</v>
      </c>
      <c r="R4418" s="18">
        <v>297.14999999999998</v>
      </c>
      <c r="S4418" s="18">
        <v>259.49</v>
      </c>
      <c r="T4418" s="18">
        <v>212.7</v>
      </c>
      <c r="U4418" s="16"/>
      <c r="V4418" s="16"/>
      <c r="W4418" s="16" t="s">
        <v>40</v>
      </c>
      <c r="X4418" s="19">
        <v>5.2999999999999999E-2</v>
      </c>
      <c r="Y4418" s="20">
        <v>9.5000000000000005E-5</v>
      </c>
      <c r="Z4418" s="21">
        <v>4601004175709</v>
      </c>
    </row>
    <row r="4419" spans="1:26" ht="12" customHeight="1" outlineLevel="4" x14ac:dyDescent="0.2">
      <c r="A4419" s="14" t="s">
        <v>8593</v>
      </c>
      <c r="B4419" s="26" t="s">
        <v>8594</v>
      </c>
      <c r="C4419" s="52"/>
      <c r="D4419" s="55">
        <f t="shared" si="68"/>
        <v>0</v>
      </c>
      <c r="E4419" s="63" t="str">
        <f>HYPERLINK("https://www.sds-group.ru/product/sverlo-po-metallu-10mm-r6m5-titan-shestigrannyy-hvostovik-din-338-1-sht-kranz-KR-91-5511/", "Инфо")</f>
        <v>Инфо</v>
      </c>
      <c r="F4419" s="16" t="s">
        <v>39</v>
      </c>
      <c r="G4419" s="15"/>
      <c r="H4419" s="15"/>
      <c r="I4419" s="15"/>
      <c r="J4419" s="17">
        <v>22</v>
      </c>
      <c r="K4419" s="15"/>
      <c r="L4419" s="17">
        <v>1</v>
      </c>
      <c r="M4419" s="17">
        <v>100</v>
      </c>
      <c r="N4419" s="17">
        <v>1</v>
      </c>
      <c r="O4419" s="18">
        <v>531.13</v>
      </c>
      <c r="P4419" s="18">
        <v>435.35</v>
      </c>
      <c r="Q4419" s="18">
        <v>478.02</v>
      </c>
      <c r="R4419" s="18">
        <v>391.82</v>
      </c>
      <c r="S4419" s="18">
        <v>361.17</v>
      </c>
      <c r="T4419" s="18">
        <v>296.04000000000002</v>
      </c>
      <c r="U4419" s="16"/>
      <c r="V4419" s="16"/>
      <c r="W4419" s="16" t="s">
        <v>40</v>
      </c>
      <c r="X4419" s="19">
        <v>0.06</v>
      </c>
      <c r="Y4419" s="20">
        <v>1.8900000000000001E-4</v>
      </c>
      <c r="Z4419" s="21">
        <v>4601004284449</v>
      </c>
    </row>
    <row r="4420" spans="1:26" ht="12" customHeight="1" outlineLevel="4" x14ac:dyDescent="0.2">
      <c r="A4420" s="14" t="s">
        <v>8595</v>
      </c>
      <c r="B4420" s="26" t="s">
        <v>8596</v>
      </c>
      <c r="C4420" s="52"/>
      <c r="D4420" s="55">
        <f t="shared" si="68"/>
        <v>0</v>
      </c>
      <c r="E4420" s="63" t="str">
        <f>HYPERLINK("https://www.sds-group.ru/product/sverlo-po-metallu-12mm-r6m5-titan-shestigrannyy-hvostovik-din-338-1-sht-kranz-KR-91-5512/", "Инфо")</f>
        <v>Инфо</v>
      </c>
      <c r="F4420" s="16" t="s">
        <v>39</v>
      </c>
      <c r="G4420" s="15"/>
      <c r="H4420" s="15"/>
      <c r="I4420" s="15"/>
      <c r="J4420" s="16" t="s">
        <v>100</v>
      </c>
      <c r="K4420" s="15"/>
      <c r="L4420" s="17">
        <v>1</v>
      </c>
      <c r="M4420" s="17">
        <v>1</v>
      </c>
      <c r="N4420" s="17">
        <v>1</v>
      </c>
      <c r="O4420" s="18">
        <v>847.27</v>
      </c>
      <c r="P4420" s="18">
        <v>694.48</v>
      </c>
      <c r="Q4420" s="18">
        <v>762.54</v>
      </c>
      <c r="R4420" s="18">
        <v>625.03</v>
      </c>
      <c r="S4420" s="18">
        <v>576.14</v>
      </c>
      <c r="T4420" s="18">
        <v>472.25</v>
      </c>
      <c r="U4420" s="16"/>
      <c r="V4420" s="16"/>
      <c r="W4420" s="16" t="s">
        <v>40</v>
      </c>
      <c r="X4420" s="19">
        <v>8.8999999999999996E-2</v>
      </c>
      <c r="Y4420" s="20">
        <v>1.8699999999999999E-4</v>
      </c>
      <c r="Z4420" s="21">
        <v>4601004284463</v>
      </c>
    </row>
    <row r="4421" spans="1:26" ht="12" customHeight="1" outlineLevel="4" x14ac:dyDescent="0.2">
      <c r="A4421" s="14" t="s">
        <v>8597</v>
      </c>
      <c r="B4421" s="26" t="s">
        <v>8598</v>
      </c>
      <c r="C4421" s="52"/>
      <c r="D4421" s="55">
        <f t="shared" si="68"/>
        <v>0</v>
      </c>
      <c r="E4421" s="63" t="str">
        <f>HYPERLINK("https://www.sds-group.ru/product/sverlo-po-metallu-2-5mm-r6m5-titan-shestigrannyy-hvostovik-din-338-1-sht-kranz-KR-91-5501/", "Инфо")</f>
        <v>Инфо</v>
      </c>
      <c r="F4421" s="16" t="s">
        <v>1001</v>
      </c>
      <c r="G4421" s="15"/>
      <c r="H4421" s="15"/>
      <c r="I4421" s="15"/>
      <c r="J4421" s="17">
        <v>219</v>
      </c>
      <c r="K4421" s="15" t="s">
        <v>6344</v>
      </c>
      <c r="L4421" s="17">
        <v>10</v>
      </c>
      <c r="M4421" s="17">
        <v>150</v>
      </c>
      <c r="N4421" s="17">
        <v>10</v>
      </c>
      <c r="O4421" s="18">
        <v>87.26</v>
      </c>
      <c r="P4421" s="18">
        <v>71.52</v>
      </c>
      <c r="Q4421" s="18">
        <v>82.9</v>
      </c>
      <c r="R4421" s="18">
        <v>67.95</v>
      </c>
      <c r="S4421" s="18">
        <v>59.34</v>
      </c>
      <c r="T4421" s="18">
        <v>48.64</v>
      </c>
      <c r="U4421" s="16"/>
      <c r="V4421" s="16"/>
      <c r="W4421" s="16" t="s">
        <v>40</v>
      </c>
      <c r="X4421" s="19">
        <v>0.02</v>
      </c>
      <c r="Y4421" s="20">
        <v>1.25E-4</v>
      </c>
      <c r="Z4421" s="21">
        <v>4601004287495</v>
      </c>
    </row>
    <row r="4422" spans="1:26" ht="12" customHeight="1" outlineLevel="4" x14ac:dyDescent="0.2">
      <c r="A4422" s="14" t="s">
        <v>8599</v>
      </c>
      <c r="B4422" s="26" t="s">
        <v>8600</v>
      </c>
      <c r="C4422" s="52"/>
      <c r="D4422" s="55">
        <f t="shared" si="68"/>
        <v>0</v>
      </c>
      <c r="E4422" s="63" t="str">
        <f>HYPERLINK("https://www.sds-group.ru/product/sverlo-po-metallu-2mm-r6m5-titan-shestigrannyy-hvostovik-din-338-1-sht-kranz-KR-91-5500/", "Инфо")</f>
        <v>Инфо</v>
      </c>
      <c r="F4422" s="16" t="s">
        <v>1001</v>
      </c>
      <c r="G4422" s="15"/>
      <c r="H4422" s="15"/>
      <c r="I4422" s="15"/>
      <c r="J4422" s="17">
        <v>283</v>
      </c>
      <c r="K4422" s="15" t="s">
        <v>6344</v>
      </c>
      <c r="L4422" s="17">
        <v>10</v>
      </c>
      <c r="M4422" s="17">
        <v>150</v>
      </c>
      <c r="N4422" s="17">
        <v>10</v>
      </c>
      <c r="O4422" s="18">
        <v>79.67</v>
      </c>
      <c r="P4422" s="18">
        <v>65.3</v>
      </c>
      <c r="Q4422" s="18">
        <v>75.69</v>
      </c>
      <c r="R4422" s="18">
        <v>62.04</v>
      </c>
      <c r="S4422" s="18">
        <v>54.18</v>
      </c>
      <c r="T4422" s="18">
        <v>44.41</v>
      </c>
      <c r="U4422" s="16"/>
      <c r="V4422" s="16"/>
      <c r="W4422" s="16" t="s">
        <v>40</v>
      </c>
      <c r="X4422" s="19">
        <v>1.9E-2</v>
      </c>
      <c r="Y4422" s="20">
        <v>1.25E-4</v>
      </c>
      <c r="Z4422" s="21">
        <v>4601004287488</v>
      </c>
    </row>
    <row r="4423" spans="1:26" ht="12" customHeight="1" outlineLevel="4" x14ac:dyDescent="0.2">
      <c r="A4423" s="14" t="s">
        <v>8601</v>
      </c>
      <c r="B4423" s="26" t="s">
        <v>8602</v>
      </c>
      <c r="C4423" s="52"/>
      <c r="D4423" s="55">
        <f t="shared" si="68"/>
        <v>0</v>
      </c>
      <c r="E4423" s="63" t="str">
        <f>HYPERLINK("https://www.sds-group.ru/product/sverlo-po-metallu-3mm-r6m5-titan-shestigrannyy-hvostovik-din-338-1-sht-kranz-KR-91-5502/", "Инфо")</f>
        <v>Инфо</v>
      </c>
      <c r="F4423" s="16" t="s">
        <v>1001</v>
      </c>
      <c r="G4423" s="15"/>
      <c r="H4423" s="15"/>
      <c r="I4423" s="15"/>
      <c r="J4423" s="17">
        <v>152</v>
      </c>
      <c r="K4423" s="15" t="s">
        <v>6344</v>
      </c>
      <c r="L4423" s="17">
        <v>10</v>
      </c>
      <c r="M4423" s="17">
        <v>150</v>
      </c>
      <c r="N4423" s="17">
        <v>10</v>
      </c>
      <c r="O4423" s="18">
        <v>103.71</v>
      </c>
      <c r="P4423" s="18">
        <v>85.01</v>
      </c>
      <c r="Q4423" s="18">
        <v>98.52</v>
      </c>
      <c r="R4423" s="18">
        <v>80.75</v>
      </c>
      <c r="S4423" s="18">
        <v>70.52</v>
      </c>
      <c r="T4423" s="18">
        <v>57.8</v>
      </c>
      <c r="U4423" s="16"/>
      <c r="V4423" s="16"/>
      <c r="W4423" s="16" t="s">
        <v>40</v>
      </c>
      <c r="X4423" s="19">
        <v>0.02</v>
      </c>
      <c r="Y4423" s="20">
        <v>1.27E-4</v>
      </c>
      <c r="Z4423" s="21">
        <v>4601004287501</v>
      </c>
    </row>
    <row r="4424" spans="1:26" ht="12" customHeight="1" outlineLevel="4" x14ac:dyDescent="0.2">
      <c r="A4424" s="14" t="s">
        <v>8603</v>
      </c>
      <c r="B4424" s="26" t="s">
        <v>8604</v>
      </c>
      <c r="C4424" s="52"/>
      <c r="D4424" s="55">
        <f t="shared" si="68"/>
        <v>0</v>
      </c>
      <c r="E4424" s="63" t="str">
        <f>HYPERLINK("https://www.sds-group.ru/product/sverlo-po-metallu-4-2mm-r6m5-titan-shestigrannyy-hvostovik-din-338-1-sht-kranz-KR-91-5504/", "Инфо")</f>
        <v>Инфо</v>
      </c>
      <c r="F4424" s="16" t="s">
        <v>39</v>
      </c>
      <c r="G4424" s="15"/>
      <c r="H4424" s="15"/>
      <c r="I4424" s="15"/>
      <c r="J4424" s="16" t="s">
        <v>100</v>
      </c>
      <c r="K4424" s="15" t="s">
        <v>6344</v>
      </c>
      <c r="L4424" s="17">
        <v>5</v>
      </c>
      <c r="M4424" s="17">
        <v>1</v>
      </c>
      <c r="N4424" s="17">
        <v>5</v>
      </c>
      <c r="O4424" s="18">
        <v>145.41999999999999</v>
      </c>
      <c r="P4424" s="18">
        <v>119.2</v>
      </c>
      <c r="Q4424" s="18">
        <v>138.15</v>
      </c>
      <c r="R4424" s="18">
        <v>113.24</v>
      </c>
      <c r="S4424" s="18">
        <v>98.89</v>
      </c>
      <c r="T4424" s="18">
        <v>81.06</v>
      </c>
      <c r="U4424" s="16"/>
      <c r="V4424" s="16"/>
      <c r="W4424" s="16" t="s">
        <v>40</v>
      </c>
      <c r="X4424" s="19">
        <v>2.3E-2</v>
      </c>
      <c r="Y4424" s="20">
        <v>1.2799999999999999E-4</v>
      </c>
      <c r="Z4424" s="21">
        <v>4601004284494</v>
      </c>
    </row>
    <row r="4425" spans="1:26" ht="12" customHeight="1" outlineLevel="4" x14ac:dyDescent="0.2">
      <c r="A4425" s="14" t="s">
        <v>8605</v>
      </c>
      <c r="B4425" s="26" t="s">
        <v>8606</v>
      </c>
      <c r="C4425" s="52"/>
      <c r="D4425" s="55">
        <f t="shared" ref="D4425:D4488" si="69">C4425*(O4425-O4425*$G$3)</f>
        <v>0</v>
      </c>
      <c r="E4425" s="63" t="str">
        <f>HYPERLINK("https://www.sds-group.ru/product/sverlo-po-metallu-4-5mm-r6m5-titan-shestigrannyy-hvostovik-din-338-1-sht-kranz-KR-91-5505/", "Инфо")</f>
        <v>Инфо</v>
      </c>
      <c r="F4425" s="16" t="s">
        <v>39</v>
      </c>
      <c r="G4425" s="15"/>
      <c r="H4425" s="15"/>
      <c r="I4425" s="15"/>
      <c r="J4425" s="17">
        <v>123</v>
      </c>
      <c r="K4425" s="15" t="s">
        <v>210</v>
      </c>
      <c r="L4425" s="17">
        <v>5</v>
      </c>
      <c r="M4425" s="17">
        <v>150</v>
      </c>
      <c r="N4425" s="17">
        <v>5</v>
      </c>
      <c r="O4425" s="18">
        <v>154.28</v>
      </c>
      <c r="P4425" s="18">
        <v>126.46</v>
      </c>
      <c r="Q4425" s="18">
        <v>146.57</v>
      </c>
      <c r="R4425" s="18">
        <v>120.14</v>
      </c>
      <c r="S4425" s="18">
        <v>104.91</v>
      </c>
      <c r="T4425" s="18">
        <v>85.99</v>
      </c>
      <c r="U4425" s="16"/>
      <c r="V4425" s="16"/>
      <c r="W4425" s="16" t="s">
        <v>40</v>
      </c>
      <c r="X4425" s="19">
        <v>2.4E-2</v>
      </c>
      <c r="Y4425" s="20">
        <v>1.25E-4</v>
      </c>
      <c r="Z4425" s="21">
        <v>4601004284487</v>
      </c>
    </row>
    <row r="4426" spans="1:26" ht="12" customHeight="1" outlineLevel="4" x14ac:dyDescent="0.2">
      <c r="A4426" s="14" t="s">
        <v>8607</v>
      </c>
      <c r="B4426" s="26" t="s">
        <v>8608</v>
      </c>
      <c r="C4426" s="52"/>
      <c r="D4426" s="55">
        <f t="shared" si="69"/>
        <v>0</v>
      </c>
      <c r="E4426" s="63" t="str">
        <f>HYPERLINK("https://www.sds-group.ru/product/sverlo-po-metallu-4mm-r6m5-titan-shestigrannyy-hvostovik-din-338-1-sht-kranz-KR-91-5503/", "Инфо")</f>
        <v>Инфо</v>
      </c>
      <c r="F4426" s="16" t="s">
        <v>39</v>
      </c>
      <c r="G4426" s="15"/>
      <c r="H4426" s="15"/>
      <c r="I4426" s="15"/>
      <c r="J4426" s="17">
        <v>558</v>
      </c>
      <c r="K4426" s="15" t="s">
        <v>210</v>
      </c>
      <c r="L4426" s="17">
        <v>5</v>
      </c>
      <c r="M4426" s="17">
        <v>150</v>
      </c>
      <c r="N4426" s="17">
        <v>5</v>
      </c>
      <c r="O4426" s="18">
        <v>139.1</v>
      </c>
      <c r="P4426" s="18">
        <v>114.02</v>
      </c>
      <c r="Q4426" s="18">
        <v>132.15</v>
      </c>
      <c r="R4426" s="18">
        <v>108.32</v>
      </c>
      <c r="S4426" s="18">
        <v>94.59</v>
      </c>
      <c r="T4426" s="18">
        <v>77.53</v>
      </c>
      <c r="U4426" s="16"/>
      <c r="V4426" s="16"/>
      <c r="W4426" s="16" t="s">
        <v>40</v>
      </c>
      <c r="X4426" s="19">
        <v>2.3E-2</v>
      </c>
      <c r="Y4426" s="20">
        <v>1.22E-4</v>
      </c>
      <c r="Z4426" s="21">
        <v>4601004284418</v>
      </c>
    </row>
    <row r="4427" spans="1:26" ht="12" customHeight="1" outlineLevel="4" x14ac:dyDescent="0.2">
      <c r="A4427" s="14" t="s">
        <v>8609</v>
      </c>
      <c r="B4427" s="26" t="s">
        <v>8610</v>
      </c>
      <c r="C4427" s="52"/>
      <c r="D4427" s="55">
        <f t="shared" si="69"/>
        <v>0</v>
      </c>
      <c r="E4427" s="63" t="str">
        <f>HYPERLINK("https://www.sds-group.ru/product/sverlo-po-metallu-5mm-r6m5-titan-shestigrannyy-hvostovik-din-338-1-sht-kranz-KR-91-5506/", "Инфо")</f>
        <v>Инфо</v>
      </c>
      <c r="F4427" s="16" t="s">
        <v>39</v>
      </c>
      <c r="G4427" s="15"/>
      <c r="H4427" s="15"/>
      <c r="I4427" s="15"/>
      <c r="J4427" s="17">
        <v>798</v>
      </c>
      <c r="K4427" s="15" t="s">
        <v>6344</v>
      </c>
      <c r="L4427" s="17">
        <v>5</v>
      </c>
      <c r="M4427" s="17">
        <v>150</v>
      </c>
      <c r="N4427" s="17">
        <v>5</v>
      </c>
      <c r="O4427" s="18">
        <v>169.44</v>
      </c>
      <c r="P4427" s="18">
        <v>138.88999999999999</v>
      </c>
      <c r="Q4427" s="18">
        <v>160.97</v>
      </c>
      <c r="R4427" s="18">
        <v>131.94</v>
      </c>
      <c r="S4427" s="18">
        <v>115.22</v>
      </c>
      <c r="T4427" s="18">
        <v>94.44</v>
      </c>
      <c r="U4427" s="16"/>
      <c r="V4427" s="16"/>
      <c r="W4427" s="16" t="s">
        <v>40</v>
      </c>
      <c r="X4427" s="19">
        <v>2.4E-2</v>
      </c>
      <c r="Y4427" s="20">
        <v>1.2E-4</v>
      </c>
      <c r="Z4427" s="21">
        <v>4601004284470</v>
      </c>
    </row>
    <row r="4428" spans="1:26" ht="12" customHeight="1" outlineLevel="4" x14ac:dyDescent="0.2">
      <c r="A4428" s="14" t="s">
        <v>8611</v>
      </c>
      <c r="B4428" s="26" t="s">
        <v>8612</v>
      </c>
      <c r="C4428" s="52"/>
      <c r="D4428" s="55">
        <f t="shared" si="69"/>
        <v>0</v>
      </c>
      <c r="E4428" s="63" t="str">
        <f>HYPERLINK("https://www.sds-group.ru/product/sverlo-po-metallu-6mm-r6m5-titan-shestigrannyy-hvostovik-din-338-1-sht-kranz-KR-91-5507/", "Инфо")</f>
        <v>Инфо</v>
      </c>
      <c r="F4428" s="16" t="s">
        <v>39</v>
      </c>
      <c r="G4428" s="15"/>
      <c r="H4428" s="15"/>
      <c r="I4428" s="15"/>
      <c r="J4428" s="17">
        <v>403</v>
      </c>
      <c r="K4428" s="15" t="s">
        <v>6344</v>
      </c>
      <c r="L4428" s="17">
        <v>5</v>
      </c>
      <c r="M4428" s="17">
        <v>150</v>
      </c>
      <c r="N4428" s="17">
        <v>5</v>
      </c>
      <c r="O4428" s="18">
        <v>202.95</v>
      </c>
      <c r="P4428" s="18">
        <v>166.35</v>
      </c>
      <c r="Q4428" s="18">
        <v>192.8</v>
      </c>
      <c r="R4428" s="18">
        <v>158.03</v>
      </c>
      <c r="S4428" s="18">
        <v>138.01</v>
      </c>
      <c r="T4428" s="18">
        <v>113.12</v>
      </c>
      <c r="U4428" s="16"/>
      <c r="V4428" s="16"/>
      <c r="W4428" s="16" t="s">
        <v>40</v>
      </c>
      <c r="X4428" s="19">
        <v>0.03</v>
      </c>
      <c r="Y4428" s="20">
        <v>1.25E-4</v>
      </c>
      <c r="Z4428" s="21">
        <v>4601004284425</v>
      </c>
    </row>
    <row r="4429" spans="1:26" ht="12" customHeight="1" outlineLevel="4" x14ac:dyDescent="0.2">
      <c r="A4429" s="14" t="s">
        <v>8613</v>
      </c>
      <c r="B4429" s="26" t="s">
        <v>8614</v>
      </c>
      <c r="C4429" s="52"/>
      <c r="D4429" s="55">
        <f t="shared" si="69"/>
        <v>0</v>
      </c>
      <c r="E4429" s="63" t="str">
        <f>HYPERLINK("https://www.sds-group.ru/product/sverlo-po-metallu-7mm-r6m5-titan-shestigrannyy-hvostovik-din-338-1-sht-kranz-KR-91-5508/", "Инфо")</f>
        <v>Инфо</v>
      </c>
      <c r="F4429" s="16" t="s">
        <v>39</v>
      </c>
      <c r="G4429" s="15"/>
      <c r="H4429" s="15"/>
      <c r="I4429" s="15"/>
      <c r="J4429" s="16" t="s">
        <v>100</v>
      </c>
      <c r="K4429" s="15" t="s">
        <v>6344</v>
      </c>
      <c r="L4429" s="17">
        <v>5</v>
      </c>
      <c r="M4429" s="17">
        <v>1</v>
      </c>
      <c r="N4429" s="17">
        <v>5</v>
      </c>
      <c r="O4429" s="18">
        <v>271.88</v>
      </c>
      <c r="P4429" s="18">
        <v>222.85</v>
      </c>
      <c r="Q4429" s="18">
        <v>258.29000000000002</v>
      </c>
      <c r="R4429" s="18">
        <v>211.71</v>
      </c>
      <c r="S4429" s="18">
        <v>184.88</v>
      </c>
      <c r="T4429" s="18">
        <v>151.54</v>
      </c>
      <c r="U4429" s="16"/>
      <c r="V4429" s="16"/>
      <c r="W4429" s="16" t="s">
        <v>40</v>
      </c>
      <c r="X4429" s="19">
        <v>3.2000000000000001E-2</v>
      </c>
      <c r="Y4429" s="20">
        <v>1.22E-4</v>
      </c>
      <c r="Z4429" s="21">
        <v>4601004284456</v>
      </c>
    </row>
    <row r="4430" spans="1:26" ht="12" customHeight="1" outlineLevel="4" x14ac:dyDescent="0.2">
      <c r="A4430" s="14" t="s">
        <v>8615</v>
      </c>
      <c r="B4430" s="26" t="s">
        <v>8616</v>
      </c>
      <c r="C4430" s="52"/>
      <c r="D4430" s="55">
        <f t="shared" si="69"/>
        <v>0</v>
      </c>
      <c r="E4430" s="63" t="str">
        <f>HYPERLINK("https://www.sds-group.ru/product/sverlo-po-metallu-8mm-r6m5-titan-shestigrannyy-hvostovik-din-338-1-sht-kranz-KR-91-5509/", "Инфо")</f>
        <v>Инфо</v>
      </c>
      <c r="F4430" s="16" t="s">
        <v>39</v>
      </c>
      <c r="G4430" s="15"/>
      <c r="H4430" s="15"/>
      <c r="I4430" s="15"/>
      <c r="J4430" s="17">
        <v>440</v>
      </c>
      <c r="K4430" s="15" t="s">
        <v>6344</v>
      </c>
      <c r="L4430" s="17">
        <v>5</v>
      </c>
      <c r="M4430" s="17">
        <v>150</v>
      </c>
      <c r="N4430" s="17">
        <v>5</v>
      </c>
      <c r="O4430" s="18">
        <v>346.5</v>
      </c>
      <c r="P4430" s="18">
        <v>284.02</v>
      </c>
      <c r="Q4430" s="18">
        <v>329.18</v>
      </c>
      <c r="R4430" s="18">
        <v>269.82</v>
      </c>
      <c r="S4430" s="18">
        <v>235.62</v>
      </c>
      <c r="T4430" s="18">
        <v>193.13</v>
      </c>
      <c r="U4430" s="16"/>
      <c r="V4430" s="16"/>
      <c r="W4430" s="16" t="s">
        <v>40</v>
      </c>
      <c r="X4430" s="19">
        <v>3.7999999999999999E-2</v>
      </c>
      <c r="Y4430" s="20">
        <v>1.26E-4</v>
      </c>
      <c r="Z4430" s="21">
        <v>4601004284401</v>
      </c>
    </row>
    <row r="4431" spans="1:26" ht="12" customHeight="1" outlineLevel="4" x14ac:dyDescent="0.2">
      <c r="A4431" s="14" t="s">
        <v>8617</v>
      </c>
      <c r="B4431" s="26" t="s">
        <v>8618</v>
      </c>
      <c r="C4431" s="52"/>
      <c r="D4431" s="55">
        <f t="shared" si="69"/>
        <v>0</v>
      </c>
      <c r="E4431" s="63" t="str">
        <f>HYPERLINK("https://www.sds-group.ru/product/sverlo-po-metallu-9mm-r6m5-titan-shestigrannyy-hvostovik-din-338-1-sht-kranz-KR-91-5510/", "Инфо")</f>
        <v>Инфо</v>
      </c>
      <c r="F4431" s="16" t="s">
        <v>39</v>
      </c>
      <c r="G4431" s="15"/>
      <c r="H4431" s="15"/>
      <c r="I4431" s="15"/>
      <c r="J4431" s="17">
        <v>39</v>
      </c>
      <c r="K4431" s="15" t="s">
        <v>6344</v>
      </c>
      <c r="L4431" s="17">
        <v>1</v>
      </c>
      <c r="M4431" s="17">
        <v>1</v>
      </c>
      <c r="N4431" s="17">
        <v>1</v>
      </c>
      <c r="O4431" s="18">
        <v>447.67</v>
      </c>
      <c r="P4431" s="18">
        <v>366.94</v>
      </c>
      <c r="Q4431" s="18">
        <v>425.29</v>
      </c>
      <c r="R4431" s="18">
        <v>348.6</v>
      </c>
      <c r="S4431" s="18">
        <v>304.42</v>
      </c>
      <c r="T4431" s="18">
        <v>249.52</v>
      </c>
      <c r="U4431" s="16"/>
      <c r="V4431" s="16"/>
      <c r="W4431" s="16" t="s">
        <v>40</v>
      </c>
      <c r="X4431" s="19">
        <v>4.4999999999999998E-2</v>
      </c>
      <c r="Y4431" s="20">
        <v>1.4200000000000001E-4</v>
      </c>
      <c r="Z4431" s="21">
        <v>4601004284432</v>
      </c>
    </row>
    <row r="4432" spans="1:26" ht="12.95" customHeight="1" outlineLevel="3" x14ac:dyDescent="0.2">
      <c r="A4432" s="76" t="s">
        <v>8619</v>
      </c>
      <c r="B4432" s="76"/>
      <c r="C4432" s="77"/>
      <c r="D4432" s="58"/>
      <c r="E4432" s="68"/>
      <c r="F4432" s="13"/>
      <c r="G4432" s="13"/>
      <c r="H4432" s="13"/>
      <c r="I4432" s="13"/>
      <c r="J4432" s="13"/>
      <c r="K4432" s="13"/>
      <c r="L4432" s="13"/>
      <c r="M4432" s="13"/>
      <c r="N4432" s="13"/>
      <c r="O4432" s="13"/>
      <c r="P4432" s="13"/>
      <c r="Q4432" s="13"/>
      <c r="R4432" s="13"/>
      <c r="S4432" s="13"/>
      <c r="T4432" s="13"/>
      <c r="U4432" s="13"/>
      <c r="V4432" s="13"/>
      <c r="W4432" s="13"/>
      <c r="X4432" s="13"/>
      <c r="Y4432" s="13"/>
      <c r="Z4432" s="13"/>
    </row>
    <row r="4433" spans="1:26" ht="12" customHeight="1" outlineLevel="4" x14ac:dyDescent="0.2">
      <c r="A4433" s="14" t="s">
        <v>8620</v>
      </c>
      <c r="B4433" s="26" t="s">
        <v>8621</v>
      </c>
      <c r="C4433" s="52"/>
      <c r="D4433" s="55">
        <f t="shared" si="69"/>
        <v>0</v>
      </c>
      <c r="E4433" s="63" t="str">
        <f>HYPERLINK("https://www.sds-group.ru/product/sverlo-po-metallu-1-0h34h12mm-stal-hss-din-338-2-sht-kranz-KR-91-0551/", "Инфо")</f>
        <v>Инфо</v>
      </c>
      <c r="F4433" s="16" t="s">
        <v>1001</v>
      </c>
      <c r="G4433" s="15"/>
      <c r="H4433" s="15"/>
      <c r="I4433" s="15"/>
      <c r="J4433" s="22">
        <v>6277</v>
      </c>
      <c r="K4433" s="15"/>
      <c r="L4433" s="17">
        <v>10</v>
      </c>
      <c r="M4433" s="17">
        <v>600</v>
      </c>
      <c r="N4433" s="17">
        <v>10</v>
      </c>
      <c r="O4433" s="18">
        <v>57.16</v>
      </c>
      <c r="P4433" s="18">
        <v>46.85</v>
      </c>
      <c r="Q4433" s="18">
        <v>54.3</v>
      </c>
      <c r="R4433" s="18">
        <v>44.51</v>
      </c>
      <c r="S4433" s="18">
        <v>38.869999999999997</v>
      </c>
      <c r="T4433" s="18">
        <v>31.86</v>
      </c>
      <c r="U4433" s="16"/>
      <c r="V4433" s="16"/>
      <c r="W4433" s="16" t="s">
        <v>40</v>
      </c>
      <c r="X4433" s="19">
        <v>7.0000000000000001E-3</v>
      </c>
      <c r="Y4433" s="20">
        <v>3.0000000000000001E-5</v>
      </c>
      <c r="Z4433" s="21">
        <v>4601004175723</v>
      </c>
    </row>
    <row r="4434" spans="1:26" ht="12" customHeight="1" outlineLevel="4" x14ac:dyDescent="0.2">
      <c r="A4434" s="14" t="s">
        <v>8622</v>
      </c>
      <c r="B4434" s="26" t="s">
        <v>8623</v>
      </c>
      <c r="C4434" s="52"/>
      <c r="D4434" s="55">
        <f t="shared" si="69"/>
        <v>0</v>
      </c>
      <c r="E4434" s="63" t="str">
        <f>HYPERLINK("https://www.sds-group.ru/product/sverlo-po-metallu-1-5h40h18mm-stal-hss-din-338-2-sht-kranz-KR-91-0552/", "Инфо")</f>
        <v>Инфо</v>
      </c>
      <c r="F4434" s="16" t="s">
        <v>1001</v>
      </c>
      <c r="G4434" s="15"/>
      <c r="H4434" s="15"/>
      <c r="I4434" s="15"/>
      <c r="J4434" s="22">
        <v>1566</v>
      </c>
      <c r="K4434" s="15" t="s">
        <v>6344</v>
      </c>
      <c r="L4434" s="17">
        <v>10</v>
      </c>
      <c r="M4434" s="17">
        <v>600</v>
      </c>
      <c r="N4434" s="17">
        <v>10</v>
      </c>
      <c r="O4434" s="18">
        <v>52.86</v>
      </c>
      <c r="P4434" s="18">
        <v>43.33</v>
      </c>
      <c r="Q4434" s="18">
        <v>50.22</v>
      </c>
      <c r="R4434" s="18">
        <v>41.16</v>
      </c>
      <c r="S4434" s="18">
        <v>35.94</v>
      </c>
      <c r="T4434" s="18">
        <v>29.46</v>
      </c>
      <c r="U4434" s="16"/>
      <c r="V4434" s="16"/>
      <c r="W4434" s="16" t="s">
        <v>40</v>
      </c>
      <c r="X4434" s="19">
        <v>8.0000000000000002E-3</v>
      </c>
      <c r="Y4434" s="20">
        <v>3.1000000000000001E-5</v>
      </c>
      <c r="Z4434" s="21">
        <v>4601004175730</v>
      </c>
    </row>
    <row r="4435" spans="1:26" ht="12" customHeight="1" outlineLevel="4" x14ac:dyDescent="0.2">
      <c r="A4435" s="14" t="s">
        <v>8624</v>
      </c>
      <c r="B4435" s="26" t="s">
        <v>8625</v>
      </c>
      <c r="C4435" s="52"/>
      <c r="D4435" s="55">
        <f t="shared" si="69"/>
        <v>0</v>
      </c>
      <c r="E4435" s="63" t="str">
        <f>HYPERLINK("https://www.sds-group.ru/product/sverlo-po-metallu-10h133h87mm-stal-hss-din-338-1-sht-kranz-KR-91-0574/", "Инфо")</f>
        <v>Инфо</v>
      </c>
      <c r="F4435" s="16" t="s">
        <v>1001</v>
      </c>
      <c r="G4435" s="15"/>
      <c r="H4435" s="15"/>
      <c r="I4435" s="15"/>
      <c r="J4435" s="22">
        <v>4961</v>
      </c>
      <c r="K4435" s="15" t="s">
        <v>6344</v>
      </c>
      <c r="L4435" s="17">
        <v>5</v>
      </c>
      <c r="M4435" s="17">
        <v>150</v>
      </c>
      <c r="N4435" s="17">
        <v>5</v>
      </c>
      <c r="O4435" s="18">
        <v>212</v>
      </c>
      <c r="P4435" s="18">
        <v>173.77</v>
      </c>
      <c r="Q4435" s="18">
        <v>201.4</v>
      </c>
      <c r="R4435" s="18">
        <v>165.08</v>
      </c>
      <c r="S4435" s="18">
        <v>144.16</v>
      </c>
      <c r="T4435" s="18">
        <v>118.16</v>
      </c>
      <c r="U4435" s="16"/>
      <c r="V4435" s="16"/>
      <c r="W4435" s="16" t="s">
        <v>40</v>
      </c>
      <c r="X4435" s="19">
        <v>6.4000000000000001E-2</v>
      </c>
      <c r="Y4435" s="20">
        <v>1.25E-4</v>
      </c>
      <c r="Z4435" s="21">
        <v>4601004175860</v>
      </c>
    </row>
    <row r="4436" spans="1:26" ht="12" customHeight="1" outlineLevel="4" x14ac:dyDescent="0.2">
      <c r="A4436" s="14" t="s">
        <v>8626</v>
      </c>
      <c r="B4436" s="26" t="s">
        <v>8627</v>
      </c>
      <c r="C4436" s="52"/>
      <c r="D4436" s="55">
        <f t="shared" si="69"/>
        <v>0</v>
      </c>
      <c r="E4436" s="63" t="str">
        <f>HYPERLINK("https://www.sds-group.ru/product/sverlo-po-metallu-2-5h57h30mm-stal-hss-din-338-2-sht-kranz-KR-91-0554/", "Инфо")</f>
        <v>Инфо</v>
      </c>
      <c r="F4436" s="16" t="s">
        <v>1001</v>
      </c>
      <c r="G4436" s="15"/>
      <c r="H4436" s="15"/>
      <c r="I4436" s="15"/>
      <c r="J4436" s="17">
        <v>203</v>
      </c>
      <c r="K4436" s="15" t="s">
        <v>6344</v>
      </c>
      <c r="L4436" s="17">
        <v>10</v>
      </c>
      <c r="M4436" s="17">
        <v>500</v>
      </c>
      <c r="N4436" s="17">
        <v>10</v>
      </c>
      <c r="O4436" s="18">
        <v>75.540000000000006</v>
      </c>
      <c r="P4436" s="18">
        <v>61.92</v>
      </c>
      <c r="Q4436" s="18">
        <v>71.760000000000005</v>
      </c>
      <c r="R4436" s="18">
        <v>58.82</v>
      </c>
      <c r="S4436" s="18">
        <v>51.37</v>
      </c>
      <c r="T4436" s="18">
        <v>42.11</v>
      </c>
      <c r="U4436" s="16"/>
      <c r="V4436" s="16"/>
      <c r="W4436" s="16" t="s">
        <v>40</v>
      </c>
      <c r="X4436" s="19">
        <v>0.01</v>
      </c>
      <c r="Y4436" s="20">
        <v>3.8000000000000002E-5</v>
      </c>
      <c r="Z4436" s="21">
        <v>4601004175754</v>
      </c>
    </row>
    <row r="4437" spans="1:26" ht="12" customHeight="1" outlineLevel="4" x14ac:dyDescent="0.2">
      <c r="A4437" s="14" t="s">
        <v>8628</v>
      </c>
      <c r="B4437" s="26" t="s">
        <v>8629</v>
      </c>
      <c r="C4437" s="52"/>
      <c r="D4437" s="55">
        <f t="shared" si="69"/>
        <v>0</v>
      </c>
      <c r="E4437" s="63" t="str">
        <f>HYPERLINK("https://www.sds-group.ru/product/sverlo-po-metallu-2h49h24mm-stal-hss-din-338-2-sht-kranz-KR-91-0553/", "Инфо")</f>
        <v>Инфо</v>
      </c>
      <c r="F4437" s="16" t="s">
        <v>1001</v>
      </c>
      <c r="G4437" s="15"/>
      <c r="H4437" s="15"/>
      <c r="I4437" s="15"/>
      <c r="J4437" s="16" t="s">
        <v>100</v>
      </c>
      <c r="K4437" s="15" t="s">
        <v>6344</v>
      </c>
      <c r="L4437" s="17">
        <v>10</v>
      </c>
      <c r="M4437" s="17">
        <v>500</v>
      </c>
      <c r="N4437" s="17">
        <v>10</v>
      </c>
      <c r="O4437" s="18">
        <v>66.37</v>
      </c>
      <c r="P4437" s="18">
        <v>54.4</v>
      </c>
      <c r="Q4437" s="18">
        <v>63.05</v>
      </c>
      <c r="R4437" s="18">
        <v>51.68</v>
      </c>
      <c r="S4437" s="18">
        <v>45.13</v>
      </c>
      <c r="T4437" s="18">
        <v>36.99</v>
      </c>
      <c r="U4437" s="16"/>
      <c r="V4437" s="16"/>
      <c r="W4437" s="16" t="s">
        <v>40</v>
      </c>
      <c r="X4437" s="19">
        <v>8.9999999999999993E-3</v>
      </c>
      <c r="Y4437" s="20">
        <v>3.8000000000000002E-5</v>
      </c>
      <c r="Z4437" s="21">
        <v>4601004175747</v>
      </c>
    </row>
    <row r="4438" spans="1:26" ht="12" customHeight="1" outlineLevel="4" x14ac:dyDescent="0.2">
      <c r="A4438" s="14" t="s">
        <v>8630</v>
      </c>
      <c r="B4438" s="26" t="s">
        <v>8631</v>
      </c>
      <c r="C4438" s="52"/>
      <c r="D4438" s="55">
        <f t="shared" si="69"/>
        <v>0</v>
      </c>
      <c r="E4438" s="63" t="str">
        <f>HYPERLINK("https://www.sds-group.ru/product/sverlo-po-metallu-3-0h61h33mm-stal-hss-din-338-2-sht-kranz-KR-91-0556/", "Инфо")</f>
        <v>Инфо</v>
      </c>
      <c r="F4438" s="16" t="s">
        <v>1001</v>
      </c>
      <c r="G4438" s="15"/>
      <c r="H4438" s="15"/>
      <c r="I4438" s="15"/>
      <c r="J4438" s="22">
        <v>5621</v>
      </c>
      <c r="K4438" s="15" t="s">
        <v>6344</v>
      </c>
      <c r="L4438" s="17">
        <v>10</v>
      </c>
      <c r="M4438" s="17">
        <v>500</v>
      </c>
      <c r="N4438" s="17">
        <v>10</v>
      </c>
      <c r="O4438" s="18">
        <v>75.98</v>
      </c>
      <c r="P4438" s="18">
        <v>62.28</v>
      </c>
      <c r="Q4438" s="18">
        <v>72.180000000000007</v>
      </c>
      <c r="R4438" s="18">
        <v>59.16</v>
      </c>
      <c r="S4438" s="18">
        <v>51.67</v>
      </c>
      <c r="T4438" s="18">
        <v>42.35</v>
      </c>
      <c r="U4438" s="16"/>
      <c r="V4438" s="16"/>
      <c r="W4438" s="16" t="s">
        <v>40</v>
      </c>
      <c r="X4438" s="19">
        <v>1.2E-2</v>
      </c>
      <c r="Y4438" s="20">
        <v>3.6999999999999998E-5</v>
      </c>
      <c r="Z4438" s="21">
        <v>4601004175761</v>
      </c>
    </row>
    <row r="4439" spans="1:26" ht="12" customHeight="1" outlineLevel="4" x14ac:dyDescent="0.2">
      <c r="A4439" s="14" t="s">
        <v>8632</v>
      </c>
      <c r="B4439" s="26" t="s">
        <v>8633</v>
      </c>
      <c r="C4439" s="52"/>
      <c r="D4439" s="55">
        <f t="shared" si="69"/>
        <v>0</v>
      </c>
      <c r="E4439" s="63" t="str">
        <f>HYPERLINK("https://www.sds-group.ru/product/sverlo-po-metallu-3-2h65h35mm-stal-hss-din-338-2-sht-kranz-KR-91-0557/", "Инфо")</f>
        <v>Инфо</v>
      </c>
      <c r="F4439" s="16" t="s">
        <v>1001</v>
      </c>
      <c r="G4439" s="15"/>
      <c r="H4439" s="15"/>
      <c r="I4439" s="15"/>
      <c r="J4439" s="17">
        <v>139</v>
      </c>
      <c r="K4439" s="15" t="s">
        <v>6344</v>
      </c>
      <c r="L4439" s="17">
        <v>10</v>
      </c>
      <c r="M4439" s="17">
        <v>400</v>
      </c>
      <c r="N4439" s="17">
        <v>10</v>
      </c>
      <c r="O4439" s="18">
        <v>79.569999999999993</v>
      </c>
      <c r="P4439" s="18">
        <v>65.22</v>
      </c>
      <c r="Q4439" s="18">
        <v>75.59</v>
      </c>
      <c r="R4439" s="18">
        <v>61.96</v>
      </c>
      <c r="S4439" s="18">
        <v>54.11</v>
      </c>
      <c r="T4439" s="18">
        <v>44.35</v>
      </c>
      <c r="U4439" s="16"/>
      <c r="V4439" s="16"/>
      <c r="W4439" s="16" t="s">
        <v>40</v>
      </c>
      <c r="X4439" s="19">
        <v>1.2999999999999999E-2</v>
      </c>
      <c r="Y4439" s="20">
        <v>4.6999999999999997E-5</v>
      </c>
      <c r="Z4439" s="21">
        <v>4601004175778</v>
      </c>
    </row>
    <row r="4440" spans="1:26" ht="12" customHeight="1" outlineLevel="4" x14ac:dyDescent="0.2">
      <c r="A4440" s="14" t="s">
        <v>8634</v>
      </c>
      <c r="B4440" s="26" t="s">
        <v>8635</v>
      </c>
      <c r="C4440" s="52"/>
      <c r="D4440" s="55">
        <f t="shared" si="69"/>
        <v>0</v>
      </c>
      <c r="E4440" s="63" t="str">
        <f>HYPERLINK("https://www.sds-group.ru/product/sverlo-po-metallu-3-5h70h39mm-stal-hss-din-338-2-sht-kranz-KR-91-0558/", "Инфо")</f>
        <v>Инфо</v>
      </c>
      <c r="F4440" s="16" t="s">
        <v>1001</v>
      </c>
      <c r="G4440" s="15"/>
      <c r="H4440" s="15"/>
      <c r="I4440" s="15"/>
      <c r="J4440" s="16" t="s">
        <v>100</v>
      </c>
      <c r="K4440" s="15" t="s">
        <v>6344</v>
      </c>
      <c r="L4440" s="17">
        <v>10</v>
      </c>
      <c r="M4440" s="17">
        <v>400</v>
      </c>
      <c r="N4440" s="17">
        <v>10</v>
      </c>
      <c r="O4440" s="18">
        <v>80.83</v>
      </c>
      <c r="P4440" s="18">
        <v>66.25</v>
      </c>
      <c r="Q4440" s="18">
        <v>76.790000000000006</v>
      </c>
      <c r="R4440" s="18">
        <v>62.94</v>
      </c>
      <c r="S4440" s="18">
        <v>54.96</v>
      </c>
      <c r="T4440" s="18">
        <v>45.05</v>
      </c>
      <c r="U4440" s="16"/>
      <c r="V4440" s="16"/>
      <c r="W4440" s="16" t="s">
        <v>40</v>
      </c>
      <c r="X4440" s="19">
        <v>1.4999999999999999E-2</v>
      </c>
      <c r="Y4440" s="20">
        <v>4.6E-5</v>
      </c>
      <c r="Z4440" s="21">
        <v>4601004175785</v>
      </c>
    </row>
    <row r="4441" spans="1:26" ht="12" customHeight="1" outlineLevel="4" x14ac:dyDescent="0.2">
      <c r="A4441" s="14" t="s">
        <v>8636</v>
      </c>
      <c r="B4441" s="26" t="s">
        <v>8637</v>
      </c>
      <c r="C4441" s="52"/>
      <c r="D4441" s="55">
        <f t="shared" si="69"/>
        <v>0</v>
      </c>
      <c r="E4441" s="63" t="str">
        <f>HYPERLINK("https://www.sds-group.ru/product/sverlo-po-metallu-4-0h75h43mm-stal-hss-din-338-1-sht-kranz-KR-91-0560/", "Инфо")</f>
        <v>Инфо</v>
      </c>
      <c r="F4441" s="16" t="s">
        <v>1001</v>
      </c>
      <c r="G4441" s="15"/>
      <c r="H4441" s="15"/>
      <c r="I4441" s="15"/>
      <c r="J4441" s="22">
        <v>3310</v>
      </c>
      <c r="K4441" s="15" t="s">
        <v>6344</v>
      </c>
      <c r="L4441" s="17">
        <v>10</v>
      </c>
      <c r="M4441" s="17">
        <v>400</v>
      </c>
      <c r="N4441" s="17">
        <v>10</v>
      </c>
      <c r="O4441" s="18">
        <v>60.19</v>
      </c>
      <c r="P4441" s="18">
        <v>49.34</v>
      </c>
      <c r="Q4441" s="18">
        <v>57.18</v>
      </c>
      <c r="R4441" s="18">
        <v>46.87</v>
      </c>
      <c r="S4441" s="18">
        <v>40.93</v>
      </c>
      <c r="T4441" s="18">
        <v>33.549999999999997</v>
      </c>
      <c r="U4441" s="16"/>
      <c r="V4441" s="16"/>
      <c r="W4441" s="16" t="s">
        <v>40</v>
      </c>
      <c r="X4441" s="19">
        <v>1.2999999999999999E-2</v>
      </c>
      <c r="Y4441" s="20">
        <v>4.6E-5</v>
      </c>
      <c r="Z4441" s="21">
        <v>4601004175792</v>
      </c>
    </row>
    <row r="4442" spans="1:26" ht="12" customHeight="1" outlineLevel="4" x14ac:dyDescent="0.2">
      <c r="A4442" s="14" t="s">
        <v>8638</v>
      </c>
      <c r="B4442" s="26" t="s">
        <v>8639</v>
      </c>
      <c r="C4442" s="52"/>
      <c r="D4442" s="55">
        <f t="shared" si="69"/>
        <v>0</v>
      </c>
      <c r="E4442" s="63" t="str">
        <f>HYPERLINK("https://www.sds-group.ru/product/sverlo-po-metallu-4-2h75h43mm-stal-hss-din-338-1-sht-kranz-KR-91-0559/", "Инфо")</f>
        <v>Инфо</v>
      </c>
      <c r="F4442" s="16" t="s">
        <v>1001</v>
      </c>
      <c r="G4442" s="15"/>
      <c r="H4442" s="15"/>
      <c r="I4442" s="15"/>
      <c r="J4442" s="17">
        <v>56</v>
      </c>
      <c r="K4442" s="15" t="s">
        <v>6344</v>
      </c>
      <c r="L4442" s="17">
        <v>10</v>
      </c>
      <c r="M4442" s="17">
        <v>400</v>
      </c>
      <c r="N4442" s="17">
        <v>10</v>
      </c>
      <c r="O4442" s="18">
        <v>67.05</v>
      </c>
      <c r="P4442" s="18">
        <v>54.96</v>
      </c>
      <c r="Q4442" s="18">
        <v>63.7</v>
      </c>
      <c r="R4442" s="18">
        <v>52.21</v>
      </c>
      <c r="S4442" s="18">
        <v>45.59</v>
      </c>
      <c r="T4442" s="18">
        <v>37.369999999999997</v>
      </c>
      <c r="U4442" s="16"/>
      <c r="V4442" s="16"/>
      <c r="W4442" s="16" t="s">
        <v>40</v>
      </c>
      <c r="X4442" s="19">
        <v>1.2999999999999999E-2</v>
      </c>
      <c r="Y4442" s="20">
        <v>4.6E-5</v>
      </c>
      <c r="Z4442" s="21">
        <v>4601004202788</v>
      </c>
    </row>
    <row r="4443" spans="1:26" ht="12" customHeight="1" outlineLevel="4" x14ac:dyDescent="0.2">
      <c r="A4443" s="14" t="s">
        <v>8640</v>
      </c>
      <c r="B4443" s="26" t="s">
        <v>8641</v>
      </c>
      <c r="C4443" s="52"/>
      <c r="D4443" s="55">
        <f t="shared" si="69"/>
        <v>0</v>
      </c>
      <c r="E4443" s="63" t="str">
        <f>HYPERLINK("https://www.sds-group.ru/product/sverlo-po-metallu-4-5h80h47mm-stal-hss-din-338-1-sht-kranz-KR-91-0562/", "Инфо")</f>
        <v>Инфо</v>
      </c>
      <c r="F4443" s="16" t="s">
        <v>1001</v>
      </c>
      <c r="G4443" s="15"/>
      <c r="H4443" s="15"/>
      <c r="I4443" s="15"/>
      <c r="J4443" s="22">
        <v>3260</v>
      </c>
      <c r="K4443" s="15" t="s">
        <v>210</v>
      </c>
      <c r="L4443" s="17">
        <v>10</v>
      </c>
      <c r="M4443" s="17">
        <v>400</v>
      </c>
      <c r="N4443" s="17">
        <v>10</v>
      </c>
      <c r="O4443" s="18">
        <v>73.03</v>
      </c>
      <c r="P4443" s="18">
        <v>59.86</v>
      </c>
      <c r="Q4443" s="18">
        <v>69.38</v>
      </c>
      <c r="R4443" s="18">
        <v>56.87</v>
      </c>
      <c r="S4443" s="18">
        <v>49.66</v>
      </c>
      <c r="T4443" s="18">
        <v>40.700000000000003</v>
      </c>
      <c r="U4443" s="16"/>
      <c r="V4443" s="16"/>
      <c r="W4443" s="16" t="s">
        <v>40</v>
      </c>
      <c r="X4443" s="19">
        <v>1.4E-2</v>
      </c>
      <c r="Y4443" s="20">
        <v>4.6E-5</v>
      </c>
      <c r="Z4443" s="21">
        <v>4601004175808</v>
      </c>
    </row>
    <row r="4444" spans="1:26" ht="12" customHeight="1" outlineLevel="4" x14ac:dyDescent="0.2">
      <c r="A4444" s="14" t="s">
        <v>8642</v>
      </c>
      <c r="B4444" s="26" t="s">
        <v>8643</v>
      </c>
      <c r="C4444" s="52"/>
      <c r="D4444" s="55">
        <f t="shared" si="69"/>
        <v>0</v>
      </c>
      <c r="E4444" s="63" t="str">
        <f>HYPERLINK("https://www.sds-group.ru/product/sverlo-po-metallu-5-0h86h52mm-stal-hss-din-338-1-sht-kranz-KR-91-0564/", "Инфо")</f>
        <v>Инфо</v>
      </c>
      <c r="F4444" s="16" t="s">
        <v>1001</v>
      </c>
      <c r="G4444" s="15"/>
      <c r="H4444" s="15"/>
      <c r="I4444" s="15"/>
      <c r="J4444" s="22">
        <v>1820</v>
      </c>
      <c r="K4444" s="15" t="s">
        <v>6344</v>
      </c>
      <c r="L4444" s="17">
        <v>10</v>
      </c>
      <c r="M4444" s="17">
        <v>400</v>
      </c>
      <c r="N4444" s="17">
        <v>10</v>
      </c>
      <c r="O4444" s="18">
        <v>76.66</v>
      </c>
      <c r="P4444" s="18">
        <v>62.84</v>
      </c>
      <c r="Q4444" s="18">
        <v>72.83</v>
      </c>
      <c r="R4444" s="18">
        <v>59.7</v>
      </c>
      <c r="S4444" s="18">
        <v>52.13</v>
      </c>
      <c r="T4444" s="18">
        <v>42.73</v>
      </c>
      <c r="U4444" s="16"/>
      <c r="V4444" s="16"/>
      <c r="W4444" s="16" t="s">
        <v>40</v>
      </c>
      <c r="X4444" s="19">
        <v>1.6E-2</v>
      </c>
      <c r="Y4444" s="20">
        <v>4.6E-5</v>
      </c>
      <c r="Z4444" s="21">
        <v>4601004175815</v>
      </c>
    </row>
    <row r="4445" spans="1:26" ht="12" customHeight="1" outlineLevel="4" x14ac:dyDescent="0.2">
      <c r="A4445" s="14" t="s">
        <v>8644</v>
      </c>
      <c r="B4445" s="26" t="s">
        <v>8645</v>
      </c>
      <c r="C4445" s="52"/>
      <c r="D4445" s="55">
        <f t="shared" si="69"/>
        <v>0</v>
      </c>
      <c r="E4445" s="63" t="str">
        <f>HYPERLINK("https://www.sds-group.ru/product/sverlo-po-metallu-6-0h93h57mm-stal-hss-din-338-1-sht-kranz-KR-91-0566/", "Инфо")</f>
        <v>Инфо</v>
      </c>
      <c r="F4445" s="16" t="s">
        <v>1001</v>
      </c>
      <c r="G4445" s="15"/>
      <c r="H4445" s="15"/>
      <c r="I4445" s="15"/>
      <c r="J4445" s="22">
        <v>25963</v>
      </c>
      <c r="K4445" s="15" t="s">
        <v>6344</v>
      </c>
      <c r="L4445" s="17">
        <v>10</v>
      </c>
      <c r="M4445" s="17">
        <v>300</v>
      </c>
      <c r="N4445" s="17">
        <v>10</v>
      </c>
      <c r="O4445" s="18">
        <v>93.96</v>
      </c>
      <c r="P4445" s="18">
        <v>77.02</v>
      </c>
      <c r="Q4445" s="18">
        <v>89.26</v>
      </c>
      <c r="R4445" s="18">
        <v>73.16</v>
      </c>
      <c r="S4445" s="18">
        <v>63.89</v>
      </c>
      <c r="T4445" s="18">
        <v>52.37</v>
      </c>
      <c r="U4445" s="16"/>
      <c r="V4445" s="16"/>
      <c r="W4445" s="16" t="s">
        <v>40</v>
      </c>
      <c r="X4445" s="19">
        <v>2.1000000000000001E-2</v>
      </c>
      <c r="Y4445" s="20">
        <v>6.2000000000000003E-5</v>
      </c>
      <c r="Z4445" s="21">
        <v>4601004175822</v>
      </c>
    </row>
    <row r="4446" spans="1:26" ht="12" customHeight="1" outlineLevel="4" x14ac:dyDescent="0.2">
      <c r="A4446" s="14" t="s">
        <v>8646</v>
      </c>
      <c r="B4446" s="26" t="s">
        <v>8647</v>
      </c>
      <c r="C4446" s="52"/>
      <c r="D4446" s="55">
        <f t="shared" si="69"/>
        <v>0</v>
      </c>
      <c r="E4446" s="63" t="str">
        <f>HYPERLINK("https://www.sds-group.ru/product/sverlo-po-metallu-7-0h109h69mm-stal-hss-din-338-1-sht-kranz-KR-91-0568/", "Инфо")</f>
        <v>Инфо</v>
      </c>
      <c r="F4446" s="16" t="s">
        <v>1001</v>
      </c>
      <c r="G4446" s="15"/>
      <c r="H4446" s="15"/>
      <c r="I4446" s="15"/>
      <c r="J4446" s="17">
        <v>607</v>
      </c>
      <c r="K4446" s="15" t="s">
        <v>6344</v>
      </c>
      <c r="L4446" s="17">
        <v>10</v>
      </c>
      <c r="M4446" s="17">
        <v>200</v>
      </c>
      <c r="N4446" s="17">
        <v>10</v>
      </c>
      <c r="O4446" s="18">
        <v>122.24</v>
      </c>
      <c r="P4446" s="18">
        <v>100.2</v>
      </c>
      <c r="Q4446" s="18">
        <v>116.13</v>
      </c>
      <c r="R4446" s="18">
        <v>95.19</v>
      </c>
      <c r="S4446" s="18">
        <v>83.12</v>
      </c>
      <c r="T4446" s="18">
        <v>68.13</v>
      </c>
      <c r="U4446" s="16"/>
      <c r="V4446" s="16"/>
      <c r="W4446" s="16" t="s">
        <v>40</v>
      </c>
      <c r="X4446" s="19">
        <v>3.4000000000000002E-2</v>
      </c>
      <c r="Y4446" s="20">
        <v>9.3999999999999994E-5</v>
      </c>
      <c r="Z4446" s="21">
        <v>4601004175839</v>
      </c>
    </row>
    <row r="4447" spans="1:26" ht="12" customHeight="1" outlineLevel="4" x14ac:dyDescent="0.2">
      <c r="A4447" s="14" t="s">
        <v>8648</v>
      </c>
      <c r="B4447" s="26" t="s">
        <v>8649</v>
      </c>
      <c r="C4447" s="52"/>
      <c r="D4447" s="55">
        <f t="shared" si="69"/>
        <v>0</v>
      </c>
      <c r="E4447" s="63" t="str">
        <f>HYPERLINK("https://www.sds-group.ru/product/sverlo-po-metallu-8-0h117h75mm-stal-hss-din-338-1-sht-kranz-KR-91-0570/", "Инфо")</f>
        <v>Инфо</v>
      </c>
      <c r="F4447" s="16" t="s">
        <v>1001</v>
      </c>
      <c r="G4447" s="15"/>
      <c r="H4447" s="15"/>
      <c r="I4447" s="15"/>
      <c r="J4447" s="22">
        <v>1098</v>
      </c>
      <c r="K4447" s="15" t="s">
        <v>6344</v>
      </c>
      <c r="L4447" s="17">
        <v>5</v>
      </c>
      <c r="M4447" s="17">
        <v>200</v>
      </c>
      <c r="N4447" s="17">
        <v>5</v>
      </c>
      <c r="O4447" s="18">
        <v>164.89</v>
      </c>
      <c r="P4447" s="18">
        <v>135.16</v>
      </c>
      <c r="Q4447" s="18">
        <v>156.65</v>
      </c>
      <c r="R4447" s="18">
        <v>128.4</v>
      </c>
      <c r="S4447" s="18">
        <v>112.13</v>
      </c>
      <c r="T4447" s="18">
        <v>91.91</v>
      </c>
      <c r="U4447" s="16"/>
      <c r="V4447" s="16"/>
      <c r="W4447" s="16" t="s">
        <v>40</v>
      </c>
      <c r="X4447" s="19">
        <v>0.04</v>
      </c>
      <c r="Y4447" s="20">
        <v>9.1000000000000003E-5</v>
      </c>
      <c r="Z4447" s="21">
        <v>4601004175846</v>
      </c>
    </row>
    <row r="4448" spans="1:26" ht="12" customHeight="1" outlineLevel="4" x14ac:dyDescent="0.2">
      <c r="A4448" s="14" t="s">
        <v>8650</v>
      </c>
      <c r="B4448" s="26" t="s">
        <v>8651</v>
      </c>
      <c r="C4448" s="52"/>
      <c r="D4448" s="55">
        <f t="shared" si="69"/>
        <v>0</v>
      </c>
      <c r="E4448" s="63" t="str">
        <f>HYPERLINK("https://www.sds-group.ru/product/sverlo-po-metallu-9-0h125h81mm-stal-hss-din-338-1-sht-kranz-KR-91-0572/", "Инфо")</f>
        <v>Инфо</v>
      </c>
      <c r="F4448" s="16" t="s">
        <v>1001</v>
      </c>
      <c r="G4448" s="15"/>
      <c r="H4448" s="15"/>
      <c r="I4448" s="15"/>
      <c r="J4448" s="17">
        <v>435</v>
      </c>
      <c r="K4448" s="15" t="s">
        <v>6344</v>
      </c>
      <c r="L4448" s="17">
        <v>10</v>
      </c>
      <c r="M4448" s="17">
        <v>150</v>
      </c>
      <c r="N4448" s="17">
        <v>10</v>
      </c>
      <c r="O4448" s="18">
        <v>194.46</v>
      </c>
      <c r="P4448" s="18">
        <v>159.38999999999999</v>
      </c>
      <c r="Q4448" s="18">
        <v>184.74</v>
      </c>
      <c r="R4448" s="18">
        <v>151.43</v>
      </c>
      <c r="S4448" s="18">
        <v>132.22999999999999</v>
      </c>
      <c r="T4448" s="18">
        <v>108.39</v>
      </c>
      <c r="U4448" s="16"/>
      <c r="V4448" s="16"/>
      <c r="W4448" s="16" t="s">
        <v>40</v>
      </c>
      <c r="X4448" s="19">
        <v>5.0999999999999997E-2</v>
      </c>
      <c r="Y4448" s="20">
        <v>1.25E-4</v>
      </c>
      <c r="Z4448" s="21">
        <v>4601004175853</v>
      </c>
    </row>
    <row r="4449" spans="1:26" ht="12.95" customHeight="1" outlineLevel="3" x14ac:dyDescent="0.2">
      <c r="A4449" s="76" t="s">
        <v>8652</v>
      </c>
      <c r="B4449" s="76"/>
      <c r="C4449" s="77"/>
      <c r="D4449" s="58"/>
      <c r="E4449" s="68"/>
      <c r="F4449" s="13"/>
      <c r="G4449" s="13"/>
      <c r="H4449" s="13"/>
      <c r="I4449" s="13"/>
      <c r="J4449" s="13"/>
      <c r="K4449" s="13"/>
      <c r="L4449" s="13"/>
      <c r="M4449" s="13"/>
      <c r="N4449" s="13"/>
      <c r="O4449" s="13"/>
      <c r="P4449" s="13"/>
      <c r="Q4449" s="13"/>
      <c r="R4449" s="13"/>
      <c r="S4449" s="13"/>
      <c r="T4449" s="13"/>
      <c r="U4449" s="13"/>
      <c r="V4449" s="13"/>
      <c r="W4449" s="13"/>
      <c r="X4449" s="13"/>
      <c r="Y4449" s="13"/>
      <c r="Z4449" s="13"/>
    </row>
    <row r="4450" spans="1:26" ht="12" customHeight="1" outlineLevel="4" x14ac:dyDescent="0.2">
      <c r="A4450" s="14" t="s">
        <v>8653</v>
      </c>
      <c r="B4450" s="26" t="s">
        <v>8654</v>
      </c>
      <c r="C4450" s="52"/>
      <c r="D4450" s="55">
        <f t="shared" si="69"/>
        <v>0</v>
      </c>
      <c r="E4450" s="63" t="str">
        <f>HYPERLINK("https://www.sds-group.ru/product/sverlo-po-metallu-1-0h34h12mm-stal-hss-din-338-10-sht-kranz-KR-91-0603/", "Инфо")</f>
        <v>Инфо</v>
      </c>
      <c r="F4450" s="16" t="s">
        <v>1001</v>
      </c>
      <c r="G4450" s="15"/>
      <c r="H4450" s="15"/>
      <c r="I4450" s="15"/>
      <c r="J4450" s="17">
        <v>833</v>
      </c>
      <c r="K4450" s="15" t="s">
        <v>6344</v>
      </c>
      <c r="L4450" s="17">
        <v>10</v>
      </c>
      <c r="M4450" s="17">
        <v>480</v>
      </c>
      <c r="N4450" s="17">
        <v>10</v>
      </c>
      <c r="O4450" s="18">
        <v>82.92</v>
      </c>
      <c r="P4450" s="18">
        <v>67.97</v>
      </c>
      <c r="Q4450" s="18">
        <v>78.77</v>
      </c>
      <c r="R4450" s="18">
        <v>64.569999999999993</v>
      </c>
      <c r="S4450" s="18">
        <v>56.39</v>
      </c>
      <c r="T4450" s="18">
        <v>46.22</v>
      </c>
      <c r="U4450" s="16"/>
      <c r="V4450" s="16"/>
      <c r="W4450" s="16" t="s">
        <v>40</v>
      </c>
      <c r="X4450" s="19">
        <v>6.0000000000000001E-3</v>
      </c>
      <c r="Y4450" s="20">
        <v>3.8999999999999999E-5</v>
      </c>
      <c r="Z4450" s="21">
        <v>4601004175877</v>
      </c>
    </row>
    <row r="4451" spans="1:26" ht="12" customHeight="1" outlineLevel="4" x14ac:dyDescent="0.2">
      <c r="A4451" s="14" t="s">
        <v>8655</v>
      </c>
      <c r="B4451" s="26" t="s">
        <v>8656</v>
      </c>
      <c r="C4451" s="52"/>
      <c r="D4451" s="55">
        <f t="shared" si="69"/>
        <v>0</v>
      </c>
      <c r="E4451" s="63" t="str">
        <f>HYPERLINK("https://www.sds-group.ru/product/sverlo-po-metallu-1-5h40h18mm-stal-hss-din-338-10-sht-kranz-KR-91-0604/", "Инфо")</f>
        <v>Инфо</v>
      </c>
      <c r="F4451" s="16" t="s">
        <v>1001</v>
      </c>
      <c r="G4451" s="15"/>
      <c r="H4451" s="15"/>
      <c r="I4451" s="15"/>
      <c r="J4451" s="17">
        <v>1</v>
      </c>
      <c r="K4451" s="15" t="s">
        <v>6344</v>
      </c>
      <c r="L4451" s="17">
        <v>5</v>
      </c>
      <c r="M4451" s="17">
        <v>400</v>
      </c>
      <c r="N4451" s="17">
        <v>5</v>
      </c>
      <c r="O4451" s="18">
        <v>114.02</v>
      </c>
      <c r="P4451" s="18">
        <v>93.46</v>
      </c>
      <c r="Q4451" s="18">
        <v>108.32</v>
      </c>
      <c r="R4451" s="18">
        <v>88.79</v>
      </c>
      <c r="S4451" s="18">
        <v>77.53</v>
      </c>
      <c r="T4451" s="18">
        <v>63.55</v>
      </c>
      <c r="U4451" s="16"/>
      <c r="V4451" s="16"/>
      <c r="W4451" s="16" t="s">
        <v>40</v>
      </c>
      <c r="X4451" s="19">
        <v>8.9999999999999993E-3</v>
      </c>
      <c r="Y4451" s="20">
        <v>3.8999999999999999E-5</v>
      </c>
      <c r="Z4451" s="21">
        <v>4601004175884</v>
      </c>
    </row>
    <row r="4452" spans="1:26" ht="12" customHeight="1" outlineLevel="4" x14ac:dyDescent="0.2">
      <c r="A4452" s="14" t="s">
        <v>8657</v>
      </c>
      <c r="B4452" s="26" t="s">
        <v>8658</v>
      </c>
      <c r="C4452" s="52"/>
      <c r="D4452" s="55">
        <f t="shared" si="69"/>
        <v>0</v>
      </c>
      <c r="E4452" s="63" t="str">
        <f>HYPERLINK("https://www.sds-group.ru/product/sverlo-po-metallu-10-0h133h87mm-stal-hss-din-338-5-sht-kranz-KR-91-0629/", "Инфо")</f>
        <v>Инфо</v>
      </c>
      <c r="F4452" s="16" t="s">
        <v>1001</v>
      </c>
      <c r="G4452" s="15"/>
      <c r="H4452" s="15"/>
      <c r="I4452" s="15"/>
      <c r="J4452" s="17">
        <v>703</v>
      </c>
      <c r="K4452" s="15" t="s">
        <v>6344</v>
      </c>
      <c r="L4452" s="17">
        <v>1</v>
      </c>
      <c r="M4452" s="17">
        <v>60</v>
      </c>
      <c r="N4452" s="17">
        <v>1</v>
      </c>
      <c r="O4452" s="18">
        <v>615.71</v>
      </c>
      <c r="P4452" s="18">
        <v>504.68</v>
      </c>
      <c r="Q4452" s="18">
        <v>554.14</v>
      </c>
      <c r="R4452" s="18">
        <v>454.21</v>
      </c>
      <c r="S4452" s="18">
        <v>418.68</v>
      </c>
      <c r="T4452" s="18">
        <v>343.18</v>
      </c>
      <c r="U4452" s="16"/>
      <c r="V4452" s="16"/>
      <c r="W4452" s="16" t="s">
        <v>40</v>
      </c>
      <c r="X4452" s="19">
        <v>0.25700000000000001</v>
      </c>
      <c r="Y4452" s="20">
        <v>2.8800000000000001E-4</v>
      </c>
      <c r="Z4452" s="21">
        <v>4601004176041</v>
      </c>
    </row>
    <row r="4453" spans="1:26" ht="12" customHeight="1" outlineLevel="4" x14ac:dyDescent="0.2">
      <c r="A4453" s="14" t="s">
        <v>8659</v>
      </c>
      <c r="B4453" s="26" t="s">
        <v>8660</v>
      </c>
      <c r="C4453" s="52"/>
      <c r="D4453" s="55">
        <f t="shared" si="69"/>
        <v>0</v>
      </c>
      <c r="E4453" s="63" t="str">
        <f>HYPERLINK("https://www.sds-group.ru/product/sverlo-po-metallu-2-0h49h24mm-stal-hss-din-338-10-sht-kranz-KR-91-0605/", "Инфо")</f>
        <v>Инфо</v>
      </c>
      <c r="F4453" s="16" t="s">
        <v>1001</v>
      </c>
      <c r="G4453" s="15"/>
      <c r="H4453" s="15"/>
      <c r="I4453" s="15"/>
      <c r="J4453" s="17">
        <v>318</v>
      </c>
      <c r="K4453" s="15" t="s">
        <v>6344</v>
      </c>
      <c r="L4453" s="17">
        <v>5</v>
      </c>
      <c r="M4453" s="17">
        <v>480</v>
      </c>
      <c r="N4453" s="17">
        <v>5</v>
      </c>
      <c r="O4453" s="18">
        <v>118.17</v>
      </c>
      <c r="P4453" s="18">
        <v>96.86</v>
      </c>
      <c r="Q4453" s="18">
        <v>112.26</v>
      </c>
      <c r="R4453" s="18">
        <v>92.02</v>
      </c>
      <c r="S4453" s="18">
        <v>80.36</v>
      </c>
      <c r="T4453" s="18">
        <v>65.87</v>
      </c>
      <c r="U4453" s="16"/>
      <c r="V4453" s="16"/>
      <c r="W4453" s="16" t="s">
        <v>40</v>
      </c>
      <c r="X4453" s="19">
        <v>1.2999999999999999E-2</v>
      </c>
      <c r="Y4453" s="20">
        <v>3.8000000000000002E-5</v>
      </c>
      <c r="Z4453" s="21">
        <v>4601004175891</v>
      </c>
    </row>
    <row r="4454" spans="1:26" ht="12" customHeight="1" outlineLevel="4" x14ac:dyDescent="0.2">
      <c r="A4454" s="14" t="s">
        <v>8661</v>
      </c>
      <c r="B4454" s="26" t="s">
        <v>8662</v>
      </c>
      <c r="C4454" s="52"/>
      <c r="D4454" s="55">
        <f t="shared" si="69"/>
        <v>0</v>
      </c>
      <c r="E4454" s="63" t="str">
        <f>HYPERLINK("https://www.sds-group.ru/product/sverlo-po-metallu-2-5h57h30mm-stal-hss-din-338-10-sht-kranz-KR-91-0608/", "Инфо")</f>
        <v>Инфо</v>
      </c>
      <c r="F4454" s="16" t="s">
        <v>1001</v>
      </c>
      <c r="G4454" s="15"/>
      <c r="H4454" s="15"/>
      <c r="I4454" s="15"/>
      <c r="J4454" s="17">
        <v>422</v>
      </c>
      <c r="K4454" s="15" t="s">
        <v>6344</v>
      </c>
      <c r="L4454" s="17">
        <v>5</v>
      </c>
      <c r="M4454" s="17">
        <v>480</v>
      </c>
      <c r="N4454" s="17">
        <v>5</v>
      </c>
      <c r="O4454" s="18">
        <v>125.1</v>
      </c>
      <c r="P4454" s="18">
        <v>102.54</v>
      </c>
      <c r="Q4454" s="18">
        <v>118.85</v>
      </c>
      <c r="R4454" s="18">
        <v>97.42</v>
      </c>
      <c r="S4454" s="18">
        <v>85.07</v>
      </c>
      <c r="T4454" s="18">
        <v>69.73</v>
      </c>
      <c r="U4454" s="16"/>
      <c r="V4454" s="16"/>
      <c r="W4454" s="16" t="s">
        <v>40</v>
      </c>
      <c r="X4454" s="19">
        <v>0.02</v>
      </c>
      <c r="Y4454" s="20">
        <v>3.8999999999999999E-5</v>
      </c>
      <c r="Z4454" s="21">
        <v>4601004175907</v>
      </c>
    </row>
    <row r="4455" spans="1:26" ht="12" customHeight="1" outlineLevel="4" x14ac:dyDescent="0.2">
      <c r="A4455" s="14" t="s">
        <v>8663</v>
      </c>
      <c r="B4455" s="26" t="s">
        <v>8664</v>
      </c>
      <c r="C4455" s="52"/>
      <c r="D4455" s="55">
        <f t="shared" si="69"/>
        <v>0</v>
      </c>
      <c r="E4455" s="63" t="str">
        <f>HYPERLINK("https://www.sds-group.ru/product/sverlo-po-metallu-3-0h61h33mm-stal-hss-din-338-10-sht-kranz-KR-91-0610/", "Инфо")</f>
        <v>Инфо</v>
      </c>
      <c r="F4455" s="16" t="s">
        <v>1001</v>
      </c>
      <c r="G4455" s="15"/>
      <c r="H4455" s="15"/>
      <c r="I4455" s="15"/>
      <c r="J4455" s="22">
        <v>1973</v>
      </c>
      <c r="K4455" s="15" t="s">
        <v>6344</v>
      </c>
      <c r="L4455" s="17">
        <v>5</v>
      </c>
      <c r="M4455" s="17">
        <v>480</v>
      </c>
      <c r="N4455" s="17">
        <v>5</v>
      </c>
      <c r="O4455" s="18">
        <v>130.46</v>
      </c>
      <c r="P4455" s="18">
        <v>106.93</v>
      </c>
      <c r="Q4455" s="18">
        <v>123.94</v>
      </c>
      <c r="R4455" s="18">
        <v>101.59</v>
      </c>
      <c r="S4455" s="18">
        <v>88.71</v>
      </c>
      <c r="T4455" s="18">
        <v>72.709999999999994</v>
      </c>
      <c r="U4455" s="16"/>
      <c r="V4455" s="16"/>
      <c r="W4455" s="16" t="s">
        <v>40</v>
      </c>
      <c r="X4455" s="19">
        <v>2.8000000000000001E-2</v>
      </c>
      <c r="Y4455" s="20">
        <v>4.0000000000000003E-5</v>
      </c>
      <c r="Z4455" s="21">
        <v>4601004175914</v>
      </c>
    </row>
    <row r="4456" spans="1:26" ht="12" customHeight="1" outlineLevel="4" x14ac:dyDescent="0.2">
      <c r="A4456" s="14" t="s">
        <v>8665</v>
      </c>
      <c r="B4456" s="26" t="s">
        <v>8666</v>
      </c>
      <c r="C4456" s="52"/>
      <c r="D4456" s="55">
        <f t="shared" si="69"/>
        <v>0</v>
      </c>
      <c r="E4456" s="63" t="str">
        <f>HYPERLINK("https://www.sds-group.ru/product/sverlo-po-metallu-3-2h65h36mm-stal-hss-din-338-10-sht-kranz-KR-91-0611/", "Инфо")</f>
        <v>Инфо</v>
      </c>
      <c r="F4456" s="16" t="s">
        <v>1001</v>
      </c>
      <c r="G4456" s="15"/>
      <c r="H4456" s="15"/>
      <c r="I4456" s="15"/>
      <c r="J4456" s="22">
        <v>1370</v>
      </c>
      <c r="K4456" s="15" t="s">
        <v>6344</v>
      </c>
      <c r="L4456" s="17">
        <v>5</v>
      </c>
      <c r="M4456" s="17">
        <v>480</v>
      </c>
      <c r="N4456" s="17">
        <v>5</v>
      </c>
      <c r="O4456" s="18">
        <v>155.47999999999999</v>
      </c>
      <c r="P4456" s="18">
        <v>127.44</v>
      </c>
      <c r="Q4456" s="18">
        <v>147.71</v>
      </c>
      <c r="R4456" s="18">
        <v>121.07</v>
      </c>
      <c r="S4456" s="18">
        <v>105.73</v>
      </c>
      <c r="T4456" s="18">
        <v>86.66</v>
      </c>
      <c r="U4456" s="16"/>
      <c r="V4456" s="16"/>
      <c r="W4456" s="16" t="s">
        <v>40</v>
      </c>
      <c r="X4456" s="19">
        <v>3.1E-2</v>
      </c>
      <c r="Y4456" s="20">
        <v>4.1999999999999998E-5</v>
      </c>
      <c r="Z4456" s="21">
        <v>4601004175921</v>
      </c>
    </row>
    <row r="4457" spans="1:26" ht="12" customHeight="1" outlineLevel="4" x14ac:dyDescent="0.2">
      <c r="A4457" s="14" t="s">
        <v>8667</v>
      </c>
      <c r="B4457" s="26" t="s">
        <v>8668</v>
      </c>
      <c r="C4457" s="52"/>
      <c r="D4457" s="55">
        <f t="shared" si="69"/>
        <v>0</v>
      </c>
      <c r="E4457" s="63" t="str">
        <f>HYPERLINK("https://www.sds-group.ru/product/sverlo-po-metallu-3-5h70h39mm-stal-hss-din-338-10-sht-kranz-KR-91-0612/", "Инфо")</f>
        <v>Инфо</v>
      </c>
      <c r="F4457" s="16" t="s">
        <v>1001</v>
      </c>
      <c r="G4457" s="15"/>
      <c r="H4457" s="15"/>
      <c r="I4457" s="15"/>
      <c r="J4457" s="17">
        <v>372</v>
      </c>
      <c r="K4457" s="15" t="s">
        <v>6344</v>
      </c>
      <c r="L4457" s="17">
        <v>5</v>
      </c>
      <c r="M4457" s="17">
        <v>480</v>
      </c>
      <c r="N4457" s="17">
        <v>5</v>
      </c>
      <c r="O4457" s="18">
        <v>174.14</v>
      </c>
      <c r="P4457" s="18">
        <v>142.74</v>
      </c>
      <c r="Q4457" s="18">
        <v>165.43</v>
      </c>
      <c r="R4457" s="18">
        <v>135.6</v>
      </c>
      <c r="S4457" s="18">
        <v>118.42</v>
      </c>
      <c r="T4457" s="18">
        <v>97.07</v>
      </c>
      <c r="U4457" s="16"/>
      <c r="V4457" s="16"/>
      <c r="W4457" s="16" t="s">
        <v>40</v>
      </c>
      <c r="X4457" s="19">
        <v>4.1000000000000002E-2</v>
      </c>
      <c r="Y4457" s="20">
        <v>4.3999999999999999E-5</v>
      </c>
      <c r="Z4457" s="21">
        <v>4601004175938</v>
      </c>
    </row>
    <row r="4458" spans="1:26" ht="12" customHeight="1" outlineLevel="4" x14ac:dyDescent="0.2">
      <c r="A4458" s="14" t="s">
        <v>8669</v>
      </c>
      <c r="B4458" s="26" t="s">
        <v>8670</v>
      </c>
      <c r="C4458" s="52"/>
      <c r="D4458" s="55">
        <f t="shared" si="69"/>
        <v>0</v>
      </c>
      <c r="E4458" s="63" t="str">
        <f>HYPERLINK("https://www.sds-group.ru/product/sverlo-po-metallu-4-0h75h43mm-stal-hss-din-338-10-sht-kranz-KR-91-0614/", "Инфо")</f>
        <v>Инфо</v>
      </c>
      <c r="F4458" s="16" t="s">
        <v>1001</v>
      </c>
      <c r="G4458" s="15"/>
      <c r="H4458" s="15"/>
      <c r="I4458" s="15"/>
      <c r="J4458" s="22">
        <v>1764</v>
      </c>
      <c r="K4458" s="15" t="s">
        <v>6344</v>
      </c>
      <c r="L4458" s="17">
        <v>5</v>
      </c>
      <c r="M4458" s="17">
        <v>200</v>
      </c>
      <c r="N4458" s="17">
        <v>5</v>
      </c>
      <c r="O4458" s="18">
        <v>187.85</v>
      </c>
      <c r="P4458" s="18">
        <v>153.97999999999999</v>
      </c>
      <c r="Q4458" s="18">
        <v>178.46</v>
      </c>
      <c r="R4458" s="18">
        <v>146.28</v>
      </c>
      <c r="S4458" s="18">
        <v>127.74</v>
      </c>
      <c r="T4458" s="18">
        <v>104.7</v>
      </c>
      <c r="U4458" s="16"/>
      <c r="V4458" s="16"/>
      <c r="W4458" s="16" t="s">
        <v>40</v>
      </c>
      <c r="X4458" s="19">
        <v>5.1999999999999998E-2</v>
      </c>
      <c r="Y4458" s="20">
        <v>9.2999999999999997E-5</v>
      </c>
      <c r="Z4458" s="21">
        <v>4601004175945</v>
      </c>
    </row>
    <row r="4459" spans="1:26" ht="12" customHeight="1" outlineLevel="4" x14ac:dyDescent="0.2">
      <c r="A4459" s="14" t="s">
        <v>8671</v>
      </c>
      <c r="B4459" s="26" t="s">
        <v>8672</v>
      </c>
      <c r="C4459" s="52"/>
      <c r="D4459" s="55">
        <f t="shared" si="69"/>
        <v>0</v>
      </c>
      <c r="E4459" s="63" t="str">
        <f>HYPERLINK("https://www.sds-group.ru/product/sverlo-po-metallu-4-2h75h43mm-stal-hss-din-338-10-sht-kranz-KR-91-0616/", "Инфо")</f>
        <v>Инфо</v>
      </c>
      <c r="F4459" s="16" t="s">
        <v>1001</v>
      </c>
      <c r="G4459" s="15"/>
      <c r="H4459" s="15"/>
      <c r="I4459" s="15"/>
      <c r="J4459" s="22">
        <v>1145</v>
      </c>
      <c r="K4459" s="15" t="s">
        <v>6344</v>
      </c>
      <c r="L4459" s="17">
        <v>5</v>
      </c>
      <c r="M4459" s="17">
        <v>200</v>
      </c>
      <c r="N4459" s="17">
        <v>5</v>
      </c>
      <c r="O4459" s="18">
        <v>221.83</v>
      </c>
      <c r="P4459" s="18">
        <v>181.83</v>
      </c>
      <c r="Q4459" s="18">
        <v>210.74</v>
      </c>
      <c r="R4459" s="18">
        <v>172.74</v>
      </c>
      <c r="S4459" s="18">
        <v>150.84</v>
      </c>
      <c r="T4459" s="18">
        <v>123.64</v>
      </c>
      <c r="U4459" s="16"/>
      <c r="V4459" s="16"/>
      <c r="W4459" s="16" t="s">
        <v>40</v>
      </c>
      <c r="X4459" s="19">
        <v>5.7000000000000002E-2</v>
      </c>
      <c r="Y4459" s="20">
        <v>9.2E-5</v>
      </c>
      <c r="Z4459" s="21">
        <v>4601004175952</v>
      </c>
    </row>
    <row r="4460" spans="1:26" ht="12" customHeight="1" outlineLevel="4" x14ac:dyDescent="0.2">
      <c r="A4460" s="14" t="s">
        <v>8673</v>
      </c>
      <c r="B4460" s="26" t="s">
        <v>8674</v>
      </c>
      <c r="C4460" s="52"/>
      <c r="D4460" s="55">
        <f t="shared" si="69"/>
        <v>0</v>
      </c>
      <c r="E4460" s="63" t="str">
        <f>HYPERLINK("https://www.sds-group.ru/product/sverlo-po-metallu-4-5h80h47mm-stal-hss-din-338-10-sht-kranz-KR-91-0617/", "Инфо")</f>
        <v>Инфо</v>
      </c>
      <c r="F4460" s="16" t="s">
        <v>1001</v>
      </c>
      <c r="G4460" s="15"/>
      <c r="H4460" s="15"/>
      <c r="I4460" s="15"/>
      <c r="J4460" s="16" t="s">
        <v>100</v>
      </c>
      <c r="K4460" s="15" t="s">
        <v>6344</v>
      </c>
      <c r="L4460" s="17">
        <v>5</v>
      </c>
      <c r="M4460" s="17">
        <v>200</v>
      </c>
      <c r="N4460" s="17">
        <v>5</v>
      </c>
      <c r="O4460" s="18">
        <v>228.04</v>
      </c>
      <c r="P4460" s="18">
        <v>186.92</v>
      </c>
      <c r="Q4460" s="18">
        <v>216.64</v>
      </c>
      <c r="R4460" s="18">
        <v>177.57</v>
      </c>
      <c r="S4460" s="18">
        <v>155.07</v>
      </c>
      <c r="T4460" s="18">
        <v>127.11</v>
      </c>
      <c r="U4460" s="16"/>
      <c r="V4460" s="16"/>
      <c r="W4460" s="16" t="s">
        <v>40</v>
      </c>
      <c r="X4460" s="19">
        <v>7.3999999999999996E-2</v>
      </c>
      <c r="Y4460" s="20">
        <v>8.0000000000000007E-5</v>
      </c>
      <c r="Z4460" s="21">
        <v>4601004175969</v>
      </c>
    </row>
    <row r="4461" spans="1:26" ht="12" customHeight="1" outlineLevel="4" x14ac:dyDescent="0.2">
      <c r="A4461" s="14" t="s">
        <v>8675</v>
      </c>
      <c r="B4461" s="26" t="s">
        <v>8676</v>
      </c>
      <c r="C4461" s="52"/>
      <c r="D4461" s="55">
        <f t="shared" si="69"/>
        <v>0</v>
      </c>
      <c r="E4461" s="63" t="str">
        <f>HYPERLINK("https://www.sds-group.ru/product/sverlo-po-metallu-4-8h86h52mm-stal-hss-din-338-10-sht-kranz-KR-91-0840/", "Инфо")</f>
        <v>Инфо</v>
      </c>
      <c r="F4461" s="16" t="s">
        <v>1001</v>
      </c>
      <c r="G4461" s="15"/>
      <c r="H4461" s="15"/>
      <c r="I4461" s="15"/>
      <c r="J4461" s="17">
        <v>77</v>
      </c>
      <c r="K4461" s="15" t="s">
        <v>6344</v>
      </c>
      <c r="L4461" s="17">
        <v>5</v>
      </c>
      <c r="M4461" s="17">
        <v>200</v>
      </c>
      <c r="N4461" s="17">
        <v>5</v>
      </c>
      <c r="O4461" s="18">
        <v>271.93</v>
      </c>
      <c r="P4461" s="18">
        <v>222.89</v>
      </c>
      <c r="Q4461" s="18">
        <v>258.33</v>
      </c>
      <c r="R4461" s="18">
        <v>211.75</v>
      </c>
      <c r="S4461" s="18">
        <v>184.91</v>
      </c>
      <c r="T4461" s="18">
        <v>151.57</v>
      </c>
      <c r="U4461" s="16"/>
      <c r="V4461" s="16"/>
      <c r="W4461" s="16" t="s">
        <v>40</v>
      </c>
      <c r="X4461" s="19">
        <v>8.6999999999999994E-2</v>
      </c>
      <c r="Y4461" s="20">
        <v>9.2E-5</v>
      </c>
      <c r="Z4461" s="21">
        <v>4601004175976</v>
      </c>
    </row>
    <row r="4462" spans="1:26" ht="12" customHeight="1" outlineLevel="4" x14ac:dyDescent="0.2">
      <c r="A4462" s="14" t="s">
        <v>8677</v>
      </c>
      <c r="B4462" s="26" t="s">
        <v>8678</v>
      </c>
      <c r="C4462" s="52"/>
      <c r="D4462" s="55">
        <f t="shared" si="69"/>
        <v>0</v>
      </c>
      <c r="E4462" s="63" t="str">
        <f>HYPERLINK("https://www.sds-group.ru/product/sverlo-po-metallu-5-0h86h52mm-stal-hss-din-338-10-sht-kranz-KR-91-0618/", "Инфо")</f>
        <v>Инфо</v>
      </c>
      <c r="F4462" s="16" t="s">
        <v>1001</v>
      </c>
      <c r="G4462" s="15"/>
      <c r="H4462" s="15"/>
      <c r="I4462" s="15"/>
      <c r="J4462" s="22">
        <v>1289</v>
      </c>
      <c r="K4462" s="15" t="s">
        <v>6344</v>
      </c>
      <c r="L4462" s="17">
        <v>5</v>
      </c>
      <c r="M4462" s="17">
        <v>200</v>
      </c>
      <c r="N4462" s="17">
        <v>5</v>
      </c>
      <c r="O4462" s="18">
        <v>275.04000000000002</v>
      </c>
      <c r="P4462" s="18">
        <v>225.44</v>
      </c>
      <c r="Q4462" s="18">
        <v>261.29000000000002</v>
      </c>
      <c r="R4462" s="18">
        <v>214.17</v>
      </c>
      <c r="S4462" s="18">
        <v>187.03</v>
      </c>
      <c r="T4462" s="18">
        <v>153.30000000000001</v>
      </c>
      <c r="U4462" s="16"/>
      <c r="V4462" s="16"/>
      <c r="W4462" s="16" t="s">
        <v>40</v>
      </c>
      <c r="X4462" s="19">
        <v>0.09</v>
      </c>
      <c r="Y4462" s="20">
        <v>9.2999999999999997E-5</v>
      </c>
      <c r="Z4462" s="21">
        <v>4601004175983</v>
      </c>
    </row>
    <row r="4463" spans="1:26" ht="12" customHeight="1" outlineLevel="4" x14ac:dyDescent="0.2">
      <c r="A4463" s="14" t="s">
        <v>8679</v>
      </c>
      <c r="B4463" s="26" t="s">
        <v>8680</v>
      </c>
      <c r="C4463" s="52"/>
      <c r="D4463" s="55">
        <f t="shared" si="69"/>
        <v>0</v>
      </c>
      <c r="E4463" s="63" t="str">
        <f>HYPERLINK("https://www.sds-group.ru/product/sverlo-po-metallu-5-5h93h57mm-stal-hss-din-338-10-sht-kranz-KR-91-0620/", "Инфо")</f>
        <v>Инфо</v>
      </c>
      <c r="F4463" s="16" t="s">
        <v>1001</v>
      </c>
      <c r="G4463" s="15"/>
      <c r="H4463" s="15"/>
      <c r="I4463" s="15"/>
      <c r="J4463" s="17">
        <v>407</v>
      </c>
      <c r="K4463" s="15"/>
      <c r="L4463" s="17">
        <v>5</v>
      </c>
      <c r="M4463" s="17">
        <v>100</v>
      </c>
      <c r="N4463" s="17">
        <v>5</v>
      </c>
      <c r="O4463" s="18">
        <v>350.66</v>
      </c>
      <c r="P4463" s="18">
        <v>287.43</v>
      </c>
      <c r="Q4463" s="18">
        <v>333.13</v>
      </c>
      <c r="R4463" s="18">
        <v>273.06</v>
      </c>
      <c r="S4463" s="18">
        <v>238.45</v>
      </c>
      <c r="T4463" s="18">
        <v>195.45</v>
      </c>
      <c r="U4463" s="16"/>
      <c r="V4463" s="16"/>
      <c r="W4463" s="16" t="s">
        <v>40</v>
      </c>
      <c r="X4463" s="19">
        <v>0.11700000000000001</v>
      </c>
      <c r="Y4463" s="20">
        <v>1.8900000000000001E-4</v>
      </c>
      <c r="Z4463" s="21">
        <v>4601004175990</v>
      </c>
    </row>
    <row r="4464" spans="1:26" ht="12" customHeight="1" outlineLevel="4" x14ac:dyDescent="0.2">
      <c r="A4464" s="14" t="s">
        <v>8681</v>
      </c>
      <c r="B4464" s="26" t="s">
        <v>8682</v>
      </c>
      <c r="C4464" s="52"/>
      <c r="D4464" s="55">
        <f t="shared" si="69"/>
        <v>0</v>
      </c>
      <c r="E4464" s="63" t="str">
        <f>HYPERLINK("https://www.sds-group.ru/product/sverlo-po-metallu-6-0h93h57mm-stal-hss-din-338-10-sht-kranz-KR-91-0621/", "Инфо")</f>
        <v>Инфо</v>
      </c>
      <c r="F4464" s="16" t="s">
        <v>1001</v>
      </c>
      <c r="G4464" s="15"/>
      <c r="H4464" s="15"/>
      <c r="I4464" s="15"/>
      <c r="J4464" s="17">
        <v>1</v>
      </c>
      <c r="K4464" s="15" t="s">
        <v>6344</v>
      </c>
      <c r="L4464" s="17">
        <v>5</v>
      </c>
      <c r="M4464" s="17">
        <v>100</v>
      </c>
      <c r="N4464" s="17">
        <v>5</v>
      </c>
      <c r="O4464" s="18">
        <v>364.34</v>
      </c>
      <c r="P4464" s="18">
        <v>298.64</v>
      </c>
      <c r="Q4464" s="18">
        <v>346.12</v>
      </c>
      <c r="R4464" s="18">
        <v>283.7</v>
      </c>
      <c r="S4464" s="18">
        <v>247.75</v>
      </c>
      <c r="T4464" s="18">
        <v>203.07</v>
      </c>
      <c r="U4464" s="16"/>
      <c r="V4464" s="16"/>
      <c r="W4464" s="16" t="s">
        <v>40</v>
      </c>
      <c r="X4464" s="19">
        <v>0.14000000000000001</v>
      </c>
      <c r="Y4464" s="20">
        <v>1.8599999999999999E-4</v>
      </c>
      <c r="Z4464" s="21">
        <v>4601004176003</v>
      </c>
    </row>
    <row r="4465" spans="1:26" ht="12" customHeight="1" outlineLevel="4" x14ac:dyDescent="0.2">
      <c r="A4465" s="14" t="s">
        <v>8683</v>
      </c>
      <c r="B4465" s="26" t="s">
        <v>8684</v>
      </c>
      <c r="C4465" s="52"/>
      <c r="D4465" s="55">
        <f t="shared" si="69"/>
        <v>0</v>
      </c>
      <c r="E4465" s="63" t="str">
        <f>HYPERLINK("https://www.sds-group.ru/product/sverlo-po-metallu-7-0h109h69mm-stal-hss-din-338-10-sht-kranz-KR-91-0623/", "Инфо")</f>
        <v>Инфо</v>
      </c>
      <c r="F4465" s="16" t="s">
        <v>1001</v>
      </c>
      <c r="G4465" s="15"/>
      <c r="H4465" s="15"/>
      <c r="I4465" s="15"/>
      <c r="J4465" s="16" t="s">
        <v>100</v>
      </c>
      <c r="K4465" s="15" t="s">
        <v>210</v>
      </c>
      <c r="L4465" s="17">
        <v>1</v>
      </c>
      <c r="M4465" s="17">
        <v>100</v>
      </c>
      <c r="N4465" s="17">
        <v>1</v>
      </c>
      <c r="O4465" s="18">
        <v>576.32000000000005</v>
      </c>
      <c r="P4465" s="18">
        <v>472.39</v>
      </c>
      <c r="Q4465" s="18">
        <v>518.69000000000005</v>
      </c>
      <c r="R4465" s="18">
        <v>425.16</v>
      </c>
      <c r="S4465" s="18">
        <v>391.9</v>
      </c>
      <c r="T4465" s="18">
        <v>321.23</v>
      </c>
      <c r="U4465" s="16"/>
      <c r="V4465" s="16"/>
      <c r="W4465" s="16" t="s">
        <v>40</v>
      </c>
      <c r="X4465" s="19">
        <v>0.21199999999999999</v>
      </c>
      <c r="Y4465" s="20">
        <v>1.8799999999999999E-4</v>
      </c>
      <c r="Z4465" s="21">
        <v>4601004176010</v>
      </c>
    </row>
    <row r="4466" spans="1:26" ht="12" customHeight="1" outlineLevel="4" x14ac:dyDescent="0.2">
      <c r="A4466" s="14" t="s">
        <v>8685</v>
      </c>
      <c r="B4466" s="26" t="s">
        <v>8686</v>
      </c>
      <c r="C4466" s="52"/>
      <c r="D4466" s="55">
        <f t="shared" si="69"/>
        <v>0</v>
      </c>
      <c r="E4466" s="63" t="str">
        <f>HYPERLINK("https://www.sds-group.ru/product/sverlo-po-metallu-8-0h117h75mm-stal-hss-din-338-5-sht-kranz-KR-91-0625/", "Инфо")</f>
        <v>Инфо</v>
      </c>
      <c r="F4466" s="16" t="s">
        <v>1001</v>
      </c>
      <c r="G4466" s="15"/>
      <c r="H4466" s="15"/>
      <c r="I4466" s="15"/>
      <c r="J4466" s="17">
        <v>899</v>
      </c>
      <c r="K4466" s="15" t="s">
        <v>6344</v>
      </c>
      <c r="L4466" s="17">
        <v>1</v>
      </c>
      <c r="M4466" s="17">
        <v>100</v>
      </c>
      <c r="N4466" s="17">
        <v>1</v>
      </c>
      <c r="O4466" s="18">
        <v>528.64</v>
      </c>
      <c r="P4466" s="18">
        <v>433.31</v>
      </c>
      <c r="Q4466" s="18">
        <v>502.21</v>
      </c>
      <c r="R4466" s="18">
        <v>411.65</v>
      </c>
      <c r="S4466" s="18">
        <v>359.48</v>
      </c>
      <c r="T4466" s="18">
        <v>294.66000000000003</v>
      </c>
      <c r="U4466" s="16"/>
      <c r="V4466" s="16"/>
      <c r="W4466" s="16" t="s">
        <v>40</v>
      </c>
      <c r="X4466" s="19">
        <v>0.154</v>
      </c>
      <c r="Y4466" s="20">
        <v>1.93E-4</v>
      </c>
      <c r="Z4466" s="21">
        <v>4601004176027</v>
      </c>
    </row>
    <row r="4467" spans="1:26" ht="12" customHeight="1" outlineLevel="4" x14ac:dyDescent="0.2">
      <c r="A4467" s="14" t="s">
        <v>8687</v>
      </c>
      <c r="B4467" s="26" t="s">
        <v>8688</v>
      </c>
      <c r="C4467" s="52"/>
      <c r="D4467" s="55">
        <f t="shared" si="69"/>
        <v>0</v>
      </c>
      <c r="E4467" s="63" t="str">
        <f>HYPERLINK("https://www.sds-group.ru/product/sverlo-po-metallu-9-0h125h81mm-stal-hss-din-338-5-sht-kranz-KR-91-0627/", "Инфо")</f>
        <v>Инфо</v>
      </c>
      <c r="F4467" s="16" t="s">
        <v>1001</v>
      </c>
      <c r="G4467" s="15"/>
      <c r="H4467" s="15"/>
      <c r="I4467" s="15"/>
      <c r="J4467" s="17">
        <v>164</v>
      </c>
      <c r="K4467" s="15" t="s">
        <v>6344</v>
      </c>
      <c r="L4467" s="17">
        <v>1</v>
      </c>
      <c r="M4467" s="17">
        <v>60</v>
      </c>
      <c r="N4467" s="17">
        <v>1</v>
      </c>
      <c r="O4467" s="18">
        <v>494.88</v>
      </c>
      <c r="P4467" s="18">
        <v>405.64</v>
      </c>
      <c r="Q4467" s="18">
        <v>445.39</v>
      </c>
      <c r="R4467" s="18">
        <v>365.07</v>
      </c>
      <c r="S4467" s="18">
        <v>336.52</v>
      </c>
      <c r="T4467" s="18">
        <v>275.83999999999997</v>
      </c>
      <c r="U4467" s="16"/>
      <c r="V4467" s="16"/>
      <c r="W4467" s="16" t="s">
        <v>40</v>
      </c>
      <c r="X4467" s="19">
        <v>0.20100000000000001</v>
      </c>
      <c r="Y4467" s="20">
        <v>3.1E-4</v>
      </c>
      <c r="Z4467" s="21">
        <v>4601004176034</v>
      </c>
    </row>
    <row r="4468" spans="1:26" ht="12.95" customHeight="1" outlineLevel="3" x14ac:dyDescent="0.2">
      <c r="A4468" s="76" t="s">
        <v>8689</v>
      </c>
      <c r="B4468" s="76"/>
      <c r="C4468" s="77"/>
      <c r="D4468" s="58"/>
      <c r="E4468" s="68"/>
      <c r="F4468" s="13"/>
      <c r="G4468" s="13"/>
      <c r="H4468" s="13"/>
      <c r="I4468" s="13"/>
      <c r="J4468" s="13"/>
      <c r="K4468" s="13"/>
      <c r="L4468" s="13"/>
      <c r="M4468" s="13"/>
      <c r="N4468" s="13"/>
      <c r="O4468" s="13"/>
      <c r="P4468" s="13"/>
      <c r="Q4468" s="13"/>
      <c r="R4468" s="13"/>
      <c r="S4468" s="13"/>
      <c r="T4468" s="13"/>
      <c r="U4468" s="13"/>
      <c r="V4468" s="13"/>
      <c r="W4468" s="13"/>
      <c r="X4468" s="13"/>
      <c r="Y4468" s="13"/>
      <c r="Z4468" s="13"/>
    </row>
    <row r="4469" spans="1:26" ht="12" customHeight="1" outlineLevel="4" x14ac:dyDescent="0.2">
      <c r="A4469" s="14" t="s">
        <v>8690</v>
      </c>
      <c r="B4469" s="26" t="s">
        <v>8691</v>
      </c>
      <c r="C4469" s="52"/>
      <c r="D4469" s="55">
        <f t="shared" si="69"/>
        <v>0</v>
      </c>
      <c r="E4469" s="63" t="str">
        <f>HYPERLINK("https://www.sds-group.ru/product/nabor-sverl-po-metallu-kobalt-1-5-10-mm-r6m5k5-shestigrannyy-hvostovik-10-sht-kranz-KR-91-0634-1/", "Инфо")</f>
        <v>Инфо</v>
      </c>
      <c r="F4469" s="16" t="s">
        <v>4698</v>
      </c>
      <c r="G4469" s="15"/>
      <c r="H4469" s="15"/>
      <c r="I4469" s="15"/>
      <c r="J4469" s="17">
        <v>285</v>
      </c>
      <c r="K4469" s="15" t="s">
        <v>979</v>
      </c>
      <c r="L4469" s="17">
        <v>1</v>
      </c>
      <c r="M4469" s="17">
        <v>80</v>
      </c>
      <c r="N4469" s="17">
        <v>1</v>
      </c>
      <c r="O4469" s="18">
        <v>2915.83</v>
      </c>
      <c r="P4469" s="18">
        <v>2390.02</v>
      </c>
      <c r="Q4469" s="18">
        <v>2624.25</v>
      </c>
      <c r="R4469" s="18">
        <v>2151.02</v>
      </c>
      <c r="S4469" s="18">
        <v>1982.76</v>
      </c>
      <c r="T4469" s="18">
        <v>1625.21</v>
      </c>
      <c r="U4469" s="16"/>
      <c r="V4469" s="16"/>
      <c r="W4469" s="16" t="s">
        <v>40</v>
      </c>
      <c r="X4469" s="19">
        <v>0.247</v>
      </c>
      <c r="Y4469" s="20">
        <v>4.4000000000000002E-4</v>
      </c>
      <c r="Z4469" s="21">
        <v>4601004311114</v>
      </c>
    </row>
    <row r="4470" spans="1:26" ht="12" customHeight="1" outlineLevel="4" x14ac:dyDescent="0.2">
      <c r="A4470" s="14" t="s">
        <v>8692</v>
      </c>
      <c r="B4470" s="26" t="s">
        <v>8693</v>
      </c>
      <c r="C4470" s="52"/>
      <c r="D4470" s="55">
        <f t="shared" si="69"/>
        <v>0</v>
      </c>
      <c r="E4470" s="63" t="str">
        <f>HYPERLINK("https://www.sds-group.ru/product/nabor-sverl-po-metallu-kobalt-3-8-mm-r6m5k5-shestigrannyy-hvostovik-5-sht-kranz-KR-91-0634/", "Инфо")</f>
        <v>Инфо</v>
      </c>
      <c r="F4470" s="16" t="s">
        <v>4698</v>
      </c>
      <c r="G4470" s="15"/>
      <c r="H4470" s="15"/>
      <c r="I4470" s="15"/>
      <c r="J4470" s="17">
        <v>365</v>
      </c>
      <c r="K4470" s="15" t="s">
        <v>979</v>
      </c>
      <c r="L4470" s="17">
        <v>1</v>
      </c>
      <c r="M4470" s="17">
        <v>120</v>
      </c>
      <c r="N4470" s="17">
        <v>1</v>
      </c>
      <c r="O4470" s="18">
        <v>1521.3</v>
      </c>
      <c r="P4470" s="18">
        <v>1246.97</v>
      </c>
      <c r="Q4470" s="18">
        <v>1369.17</v>
      </c>
      <c r="R4470" s="18">
        <v>1122.27</v>
      </c>
      <c r="S4470" s="18">
        <v>1034.48</v>
      </c>
      <c r="T4470" s="18">
        <v>847.93</v>
      </c>
      <c r="U4470" s="16"/>
      <c r="V4470" s="16"/>
      <c r="W4470" s="16" t="s">
        <v>40</v>
      </c>
      <c r="X4470" s="19">
        <v>0.155</v>
      </c>
      <c r="Y4470" s="20">
        <v>2.7700000000000001E-4</v>
      </c>
      <c r="Z4470" s="21">
        <v>4601004311107</v>
      </c>
    </row>
    <row r="4471" spans="1:26" ht="12" customHeight="1" outlineLevel="4" x14ac:dyDescent="0.2">
      <c r="A4471" s="14" t="s">
        <v>8694</v>
      </c>
      <c r="B4471" s="26" t="s">
        <v>8695</v>
      </c>
      <c r="C4471" s="52"/>
      <c r="D4471" s="55">
        <f t="shared" si="69"/>
        <v>0</v>
      </c>
      <c r="E4471" s="63" t="str">
        <f>HYPERLINK("https://www.sds-group.ru/product/nabor-sverl-po-metallu-titan-1-5-6-5mm-cherez-0-5mm-3-2mm-4-8mm-stal-hss-shestigrannyy-hv-KR-91-0622/", "Инфо")</f>
        <v>Инфо</v>
      </c>
      <c r="F4471" s="16" t="s">
        <v>4698</v>
      </c>
      <c r="G4471" s="15"/>
      <c r="H4471" s="15"/>
      <c r="I4471" s="15"/>
      <c r="J4471" s="17">
        <v>26</v>
      </c>
      <c r="K4471" s="15" t="s">
        <v>6344</v>
      </c>
      <c r="L4471" s="17">
        <v>1</v>
      </c>
      <c r="M4471" s="17">
        <v>20</v>
      </c>
      <c r="N4471" s="17">
        <v>1</v>
      </c>
      <c r="O4471" s="18">
        <v>1347.53</v>
      </c>
      <c r="P4471" s="18">
        <v>1104.53</v>
      </c>
      <c r="Q4471" s="18">
        <v>1212.78</v>
      </c>
      <c r="R4471" s="18">
        <v>994.08</v>
      </c>
      <c r="S4471" s="18">
        <v>916.32</v>
      </c>
      <c r="T4471" s="18">
        <v>751.08</v>
      </c>
      <c r="U4471" s="16"/>
      <c r="V4471" s="16"/>
      <c r="W4471" s="16" t="s">
        <v>40</v>
      </c>
      <c r="X4471" s="19">
        <v>0.249</v>
      </c>
      <c r="Y4471" s="20">
        <v>9.6000000000000002E-4</v>
      </c>
      <c r="Z4471" s="21">
        <v>4601004284531</v>
      </c>
    </row>
    <row r="4472" spans="1:26" ht="12" customHeight="1" outlineLevel="4" x14ac:dyDescent="0.2">
      <c r="A4472" s="14" t="s">
        <v>8696</v>
      </c>
      <c r="B4472" s="26" t="s">
        <v>8697</v>
      </c>
      <c r="C4472" s="52"/>
      <c r="D4472" s="55">
        <f t="shared" si="69"/>
        <v>0</v>
      </c>
      <c r="E4472" s="63" t="str">
        <f>HYPERLINK("https://www.sds-group.ru/product/nabor-sverl-po-metallu-titan-1-5-6-5mm-cherez-0-5mm-3-2mm-4-8mm-stal-nss-tsilindricheskiy-KR-91-0633/", "Инфо")</f>
        <v>Инфо</v>
      </c>
      <c r="F4472" s="16" t="s">
        <v>4698</v>
      </c>
      <c r="G4472" s="15"/>
      <c r="H4472" s="15"/>
      <c r="I4472" s="15"/>
      <c r="J4472" s="16" t="s">
        <v>100</v>
      </c>
      <c r="K4472" s="15" t="s">
        <v>6344</v>
      </c>
      <c r="L4472" s="17">
        <v>1</v>
      </c>
      <c r="M4472" s="17">
        <v>50</v>
      </c>
      <c r="N4472" s="17">
        <v>1</v>
      </c>
      <c r="O4472" s="18">
        <v>704.86</v>
      </c>
      <c r="P4472" s="18">
        <v>577.75</v>
      </c>
      <c r="Q4472" s="18">
        <v>634.37</v>
      </c>
      <c r="R4472" s="18">
        <v>519.98</v>
      </c>
      <c r="S4472" s="18">
        <v>479.3</v>
      </c>
      <c r="T4472" s="18">
        <v>392.87</v>
      </c>
      <c r="U4472" s="16"/>
      <c r="V4472" s="16"/>
      <c r="W4472" s="16" t="s">
        <v>40</v>
      </c>
      <c r="X4472" s="19">
        <v>0.23300000000000001</v>
      </c>
      <c r="Y4472" s="20">
        <v>3.6499999999999998E-4</v>
      </c>
      <c r="Z4472" s="21">
        <v>4601004284555</v>
      </c>
    </row>
    <row r="4473" spans="1:26" ht="12" customHeight="1" outlineLevel="4" x14ac:dyDescent="0.2">
      <c r="A4473" s="14" t="s">
        <v>8698</v>
      </c>
      <c r="B4473" s="26" t="s">
        <v>8699</v>
      </c>
      <c r="C4473" s="52"/>
      <c r="D4473" s="55">
        <f t="shared" si="69"/>
        <v>0</v>
      </c>
      <c r="E4473" s="63" t="str">
        <f>HYPERLINK("https://www.sds-group.ru/product/nabor-sverl-po-metallu-1-10mm-cherez-0-5mm-3-2mm-4-8mm-stal-hss-tsilindricheskiy-hvostovi-KR-91-0638/", "Инфо")</f>
        <v>Инфо</v>
      </c>
      <c r="F4473" s="16" t="s">
        <v>4698</v>
      </c>
      <c r="G4473" s="15"/>
      <c r="H4473" s="15"/>
      <c r="I4473" s="15"/>
      <c r="J4473" s="17">
        <v>393</v>
      </c>
      <c r="K4473" s="15"/>
      <c r="L4473" s="17">
        <v>1</v>
      </c>
      <c r="M4473" s="17">
        <v>20</v>
      </c>
      <c r="N4473" s="17">
        <v>1</v>
      </c>
      <c r="O4473" s="18">
        <v>1757.77</v>
      </c>
      <c r="P4473" s="18">
        <v>1440.8</v>
      </c>
      <c r="Q4473" s="18">
        <v>1564.42</v>
      </c>
      <c r="R4473" s="18">
        <v>1282.31</v>
      </c>
      <c r="S4473" s="18">
        <v>1195.28</v>
      </c>
      <c r="T4473" s="18">
        <v>979.74</v>
      </c>
      <c r="U4473" s="16"/>
      <c r="V4473" s="16"/>
      <c r="W4473" s="16" t="s">
        <v>40</v>
      </c>
      <c r="X4473" s="19">
        <v>0.62</v>
      </c>
      <c r="Y4473" s="20">
        <v>9.1E-4</v>
      </c>
      <c r="Z4473" s="21">
        <v>4601004284562</v>
      </c>
    </row>
    <row r="4474" spans="1:26" ht="12" customHeight="1" outlineLevel="4" x14ac:dyDescent="0.2">
      <c r="A4474" s="14" t="s">
        <v>8700</v>
      </c>
      <c r="B4474" s="26" t="s">
        <v>8701</v>
      </c>
      <c r="C4474" s="52"/>
      <c r="D4474" s="55">
        <f t="shared" si="69"/>
        <v>0</v>
      </c>
      <c r="E4474" s="63" t="str">
        <f>HYPERLINK("https://www.sds-group.ru/product/nabor-sverl-po-metallu-1-10mm-cherez-0-5mm-r6m5-tsilindricheskiy-hvostovik-19-sht-kranz-KR-91-0635/", "Инфо")</f>
        <v>Инфо</v>
      </c>
      <c r="F4474" s="16" t="s">
        <v>4698</v>
      </c>
      <c r="G4474" s="15"/>
      <c r="H4474" s="15"/>
      <c r="I4474" s="15"/>
      <c r="J4474" s="17">
        <v>360</v>
      </c>
      <c r="K4474" s="15" t="s">
        <v>6344</v>
      </c>
      <c r="L4474" s="17">
        <v>1</v>
      </c>
      <c r="M4474" s="17">
        <v>18</v>
      </c>
      <c r="N4474" s="17">
        <v>1</v>
      </c>
      <c r="O4474" s="18">
        <v>3323.18</v>
      </c>
      <c r="P4474" s="18">
        <v>2723.92</v>
      </c>
      <c r="Q4474" s="18">
        <v>2891.17</v>
      </c>
      <c r="R4474" s="18">
        <v>2369.81</v>
      </c>
      <c r="S4474" s="18">
        <v>2259.7600000000002</v>
      </c>
      <c r="T4474" s="18">
        <v>1852.26</v>
      </c>
      <c r="U4474" s="16"/>
      <c r="V4474" s="16"/>
      <c r="W4474" s="16" t="s">
        <v>40</v>
      </c>
      <c r="X4474" s="19">
        <v>0.46300000000000002</v>
      </c>
      <c r="Y4474" s="20">
        <v>1.042E-3</v>
      </c>
      <c r="Z4474" s="21">
        <v>4601004241237</v>
      </c>
    </row>
    <row r="4475" spans="1:26" ht="12" customHeight="1" outlineLevel="4" x14ac:dyDescent="0.2">
      <c r="A4475" s="14" t="s">
        <v>8702</v>
      </c>
      <c r="B4475" s="26" t="s">
        <v>8703</v>
      </c>
      <c r="C4475" s="52"/>
      <c r="D4475" s="55">
        <f t="shared" si="69"/>
        <v>0</v>
      </c>
      <c r="E4475" s="63" t="str">
        <f>HYPERLINK("https://www.sds-group.ru/product/nabor-sverl-po-metallu-1-10mm-cherez-0-5mm-stal-hss-4241-tsilindricheskiy-hvostovik-19-sh-KR-91-0636/", "Инфо")</f>
        <v>Инфо</v>
      </c>
      <c r="F4475" s="16" t="s">
        <v>4698</v>
      </c>
      <c r="G4475" s="15"/>
      <c r="H4475" s="15"/>
      <c r="I4475" s="15"/>
      <c r="J4475" s="17">
        <v>941</v>
      </c>
      <c r="K4475" s="15" t="s">
        <v>6344</v>
      </c>
      <c r="L4475" s="17">
        <v>1</v>
      </c>
      <c r="M4475" s="17">
        <v>20</v>
      </c>
      <c r="N4475" s="17">
        <v>1</v>
      </c>
      <c r="O4475" s="18">
        <v>1229.5999999999999</v>
      </c>
      <c r="P4475" s="18">
        <v>1007.87</v>
      </c>
      <c r="Q4475" s="18">
        <v>1094.3399999999999</v>
      </c>
      <c r="R4475" s="18">
        <v>897</v>
      </c>
      <c r="S4475" s="18">
        <v>836.13</v>
      </c>
      <c r="T4475" s="18">
        <v>685.35</v>
      </c>
      <c r="U4475" s="16"/>
      <c r="V4475" s="16"/>
      <c r="W4475" s="16" t="s">
        <v>40</v>
      </c>
      <c r="X4475" s="19">
        <v>0.47299999999999998</v>
      </c>
      <c r="Y4475" s="20">
        <v>9.4600000000000001E-4</v>
      </c>
      <c r="Z4475" s="21">
        <v>4601004241138</v>
      </c>
    </row>
    <row r="4476" spans="1:26" ht="12" customHeight="1" outlineLevel="4" x14ac:dyDescent="0.2">
      <c r="A4476" s="14" t="s">
        <v>8704</v>
      </c>
      <c r="B4476" s="26" t="s">
        <v>8705</v>
      </c>
      <c r="C4476" s="52"/>
      <c r="D4476" s="55">
        <f t="shared" si="69"/>
        <v>0</v>
      </c>
      <c r="E4476" s="63" t="str">
        <f>HYPERLINK("https://www.sds-group.ru/product/nabor-sverl-po-metallu-1-10mm-cherez-0-5mm-stal-hss-tsilindricheskiy-hvostovik-metalliche-KR-91-0630/", "Инфо")</f>
        <v>Инфо</v>
      </c>
      <c r="F4476" s="16" t="s">
        <v>4698</v>
      </c>
      <c r="G4476" s="15"/>
      <c r="H4476" s="15"/>
      <c r="I4476" s="15"/>
      <c r="J4476" s="16" t="s">
        <v>100</v>
      </c>
      <c r="K4476" s="15" t="s">
        <v>6344</v>
      </c>
      <c r="L4476" s="17">
        <v>1</v>
      </c>
      <c r="M4476" s="17">
        <v>20</v>
      </c>
      <c r="N4476" s="17">
        <v>1</v>
      </c>
      <c r="O4476" s="18">
        <v>1484</v>
      </c>
      <c r="P4476" s="18">
        <v>1216.3900000000001</v>
      </c>
      <c r="Q4476" s="18">
        <v>1320.76</v>
      </c>
      <c r="R4476" s="18">
        <v>1082.5899999999999</v>
      </c>
      <c r="S4476" s="18">
        <v>1009.12</v>
      </c>
      <c r="T4476" s="18">
        <v>827.15</v>
      </c>
      <c r="U4476" s="16"/>
      <c r="V4476" s="16"/>
      <c r="W4476" s="16" t="s">
        <v>40</v>
      </c>
      <c r="X4476" s="19">
        <v>0.59099999999999997</v>
      </c>
      <c r="Y4476" s="20">
        <v>9.2100000000000005E-4</v>
      </c>
      <c r="Z4476" s="21">
        <v>4601004284593</v>
      </c>
    </row>
    <row r="4477" spans="1:26" ht="12" customHeight="1" outlineLevel="4" x14ac:dyDescent="0.2">
      <c r="A4477" s="14" t="s">
        <v>8706</v>
      </c>
      <c r="B4477" s="26" t="s">
        <v>8707</v>
      </c>
      <c r="C4477" s="52"/>
      <c r="D4477" s="55">
        <f t="shared" si="69"/>
        <v>0</v>
      </c>
      <c r="E4477" s="63" t="str">
        <f>HYPERLINK("https://www.sds-group.ru/product/nabor-sverl-po-metallu-1-13mm-cherez-0-5mm-stal-hss-tsilindricheskiy-hvostovik-metalliche-KR-91-0637/", "Инфо")</f>
        <v>Инфо</v>
      </c>
      <c r="F4477" s="16" t="s">
        <v>4698</v>
      </c>
      <c r="G4477" s="15"/>
      <c r="H4477" s="15"/>
      <c r="I4477" s="15"/>
      <c r="J4477" s="17">
        <v>166</v>
      </c>
      <c r="K4477" s="15" t="s">
        <v>6344</v>
      </c>
      <c r="L4477" s="17">
        <v>1</v>
      </c>
      <c r="M4477" s="17">
        <v>12</v>
      </c>
      <c r="N4477" s="17">
        <v>1</v>
      </c>
      <c r="O4477" s="18">
        <v>3148.83</v>
      </c>
      <c r="P4477" s="18">
        <v>2581.0100000000002</v>
      </c>
      <c r="Q4477" s="18">
        <v>2739.48</v>
      </c>
      <c r="R4477" s="18">
        <v>2245.48</v>
      </c>
      <c r="S4477" s="18">
        <v>2141.1999999999998</v>
      </c>
      <c r="T4477" s="18">
        <v>1755.08</v>
      </c>
      <c r="U4477" s="16"/>
      <c r="V4477" s="16"/>
      <c r="W4477" s="16" t="s">
        <v>40</v>
      </c>
      <c r="X4477" s="19">
        <v>1.1930000000000001</v>
      </c>
      <c r="Y4477" s="20">
        <v>1.586E-3</v>
      </c>
      <c r="Z4477" s="21">
        <v>4601004284579</v>
      </c>
    </row>
    <row r="4478" spans="1:26" ht="12" customHeight="1" outlineLevel="4" x14ac:dyDescent="0.2">
      <c r="A4478" s="14" t="s">
        <v>8708</v>
      </c>
      <c r="B4478" s="26" t="s">
        <v>8709</v>
      </c>
      <c r="C4478" s="52"/>
      <c r="D4478" s="55">
        <f t="shared" si="69"/>
        <v>0</v>
      </c>
      <c r="E4478" s="63" t="str">
        <f>HYPERLINK("https://www.sds-group.ru/product/nabor-sverl-po-metallu-2-8mm-cherez-0-5mm-stal-hss-tsilindricheskiy-hvostovik-metalliches-KR-91-0639/", "Инфо")</f>
        <v>Инфо</v>
      </c>
      <c r="F4478" s="16" t="s">
        <v>4698</v>
      </c>
      <c r="G4478" s="15"/>
      <c r="H4478" s="15"/>
      <c r="I4478" s="15"/>
      <c r="J4478" s="17">
        <v>193</v>
      </c>
      <c r="K4478" s="15" t="s">
        <v>6939</v>
      </c>
      <c r="L4478" s="17">
        <v>1</v>
      </c>
      <c r="M4478" s="17">
        <v>25</v>
      </c>
      <c r="N4478" s="17">
        <v>1</v>
      </c>
      <c r="O4478" s="18">
        <v>1019.23</v>
      </c>
      <c r="P4478" s="18">
        <v>835.43</v>
      </c>
      <c r="Q4478" s="18">
        <v>917.31</v>
      </c>
      <c r="R4478" s="18">
        <v>751.89</v>
      </c>
      <c r="S4478" s="18">
        <v>693.08</v>
      </c>
      <c r="T4478" s="18">
        <v>568.1</v>
      </c>
      <c r="U4478" s="16"/>
      <c r="V4478" s="16"/>
      <c r="W4478" s="16" t="s">
        <v>40</v>
      </c>
      <c r="X4478" s="19">
        <v>0.377</v>
      </c>
      <c r="Y4478" s="20">
        <v>7.36E-4</v>
      </c>
      <c r="Z4478" s="21">
        <v>4601004284586</v>
      </c>
    </row>
    <row r="4479" spans="1:26" ht="12" customHeight="1" outlineLevel="4" x14ac:dyDescent="0.2">
      <c r="A4479" s="14" t="s">
        <v>8710</v>
      </c>
      <c r="B4479" s="26" t="s">
        <v>8711</v>
      </c>
      <c r="C4479" s="52"/>
      <c r="D4479" s="55">
        <f t="shared" si="69"/>
        <v>0</v>
      </c>
      <c r="E4479" s="63" t="str">
        <f>HYPERLINK("https://www.sds-group.ru/product/nabor-sverl-po-metallu-stal-hss-diametr-1-5-6-5mm-13-sht-kranz-KR-91-0631/", "Инфо")</f>
        <v>Инфо</v>
      </c>
      <c r="F4479" s="16" t="s">
        <v>4698</v>
      </c>
      <c r="G4479" s="15"/>
      <c r="H4479" s="15"/>
      <c r="I4479" s="15"/>
      <c r="J4479" s="16" t="s">
        <v>100</v>
      </c>
      <c r="K4479" s="15" t="s">
        <v>6344</v>
      </c>
      <c r="L4479" s="17">
        <v>1</v>
      </c>
      <c r="M4479" s="17">
        <v>50</v>
      </c>
      <c r="N4479" s="17">
        <v>1</v>
      </c>
      <c r="O4479" s="18">
        <v>611.57000000000005</v>
      </c>
      <c r="P4479" s="18">
        <v>501.29</v>
      </c>
      <c r="Q4479" s="18">
        <v>550.41</v>
      </c>
      <c r="R4479" s="18">
        <v>451.16</v>
      </c>
      <c r="S4479" s="18">
        <v>415.87</v>
      </c>
      <c r="T4479" s="18">
        <v>340.88</v>
      </c>
      <c r="U4479" s="16"/>
      <c r="V4479" s="16"/>
      <c r="W4479" s="16" t="s">
        <v>40</v>
      </c>
      <c r="X4479" s="19">
        <v>0.129</v>
      </c>
      <c r="Y4479" s="20">
        <v>3.68E-4</v>
      </c>
      <c r="Z4479" s="21">
        <v>4601004176065</v>
      </c>
    </row>
    <row r="4480" spans="1:26" ht="12" customHeight="1" outlineLevel="4" x14ac:dyDescent="0.2">
      <c r="A4480" s="14" t="s">
        <v>8712</v>
      </c>
      <c r="B4480" s="26" t="s">
        <v>8713</v>
      </c>
      <c r="C4480" s="52"/>
      <c r="D4480" s="55">
        <f t="shared" si="69"/>
        <v>0</v>
      </c>
      <c r="E4480" s="63" t="str">
        <f>HYPERLINK("https://www.sds-group.ru/product/nabor-sverl-po-metallu-stal-hss-diametr-4-0-10-0mm-5-sht-kranz-KR-91-0632/", "Инфо")</f>
        <v>Инфо</v>
      </c>
      <c r="F4480" s="16" t="s">
        <v>4698</v>
      </c>
      <c r="G4480" s="15"/>
      <c r="H4480" s="15"/>
      <c r="I4480" s="15"/>
      <c r="J4480" s="17">
        <v>568</v>
      </c>
      <c r="K4480" s="15" t="s">
        <v>6344</v>
      </c>
      <c r="L4480" s="17">
        <v>1</v>
      </c>
      <c r="M4480" s="17">
        <v>50</v>
      </c>
      <c r="N4480" s="17">
        <v>1</v>
      </c>
      <c r="O4480" s="18">
        <v>731.34</v>
      </c>
      <c r="P4480" s="18">
        <v>599.46</v>
      </c>
      <c r="Q4480" s="18">
        <v>658.21</v>
      </c>
      <c r="R4480" s="18">
        <v>539.52</v>
      </c>
      <c r="S4480" s="18">
        <v>497.31</v>
      </c>
      <c r="T4480" s="18">
        <v>407.63</v>
      </c>
      <c r="U4480" s="16"/>
      <c r="V4480" s="16"/>
      <c r="W4480" s="16" t="s">
        <v>40</v>
      </c>
      <c r="X4480" s="19">
        <v>0.16200000000000001</v>
      </c>
      <c r="Y4480" s="20">
        <v>3.77E-4</v>
      </c>
      <c r="Z4480" s="21">
        <v>4601004176058</v>
      </c>
    </row>
    <row r="4481" spans="1:26" ht="12.95" customHeight="1" outlineLevel="3" x14ac:dyDescent="0.2">
      <c r="A4481" s="76" t="s">
        <v>8714</v>
      </c>
      <c r="B4481" s="76"/>
      <c r="C4481" s="77"/>
      <c r="D4481" s="58"/>
      <c r="E4481" s="68"/>
      <c r="F4481" s="13"/>
      <c r="G4481" s="13"/>
      <c r="H4481" s="13"/>
      <c r="I4481" s="13"/>
      <c r="J4481" s="13"/>
      <c r="K4481" s="13"/>
      <c r="L4481" s="13"/>
      <c r="M4481" s="13"/>
      <c r="N4481" s="13"/>
      <c r="O4481" s="13"/>
      <c r="P4481" s="13"/>
      <c r="Q4481" s="13"/>
      <c r="R4481" s="13"/>
      <c r="S4481" s="13"/>
      <c r="T4481" s="13"/>
      <c r="U4481" s="13"/>
      <c r="V4481" s="13"/>
      <c r="W4481" s="13"/>
      <c r="X4481" s="13"/>
      <c r="Y4481" s="13"/>
      <c r="Z4481" s="13"/>
    </row>
    <row r="4482" spans="1:26" ht="12" customHeight="1" outlineLevel="4" x14ac:dyDescent="0.2">
      <c r="A4482" s="14" t="s">
        <v>8715</v>
      </c>
      <c r="B4482" s="26" t="s">
        <v>8716</v>
      </c>
      <c r="C4482" s="52"/>
      <c r="D4482" s="55">
        <f t="shared" si="69"/>
        <v>0</v>
      </c>
      <c r="E4482" s="63" t="str">
        <f>HYPERLINK("https://www.sds-group.ru/product/nabor-ekstraktorov-dlya-shurupov-1-kranz-KR-12-6701/", "Инфо")</f>
        <v>Инфо</v>
      </c>
      <c r="F4482" s="16" t="s">
        <v>39</v>
      </c>
      <c r="G4482" s="15"/>
      <c r="H4482" s="15"/>
      <c r="I4482" s="15"/>
      <c r="J4482" s="17">
        <v>172</v>
      </c>
      <c r="K4482" s="15" t="s">
        <v>6344</v>
      </c>
      <c r="L4482" s="17">
        <v>1</v>
      </c>
      <c r="M4482" s="17">
        <v>40</v>
      </c>
      <c r="N4482" s="17">
        <v>1</v>
      </c>
      <c r="O4482" s="18">
        <v>518.28</v>
      </c>
      <c r="P4482" s="18">
        <v>424.82</v>
      </c>
      <c r="Q4482" s="18">
        <v>466.45</v>
      </c>
      <c r="R4482" s="18">
        <v>382.34</v>
      </c>
      <c r="S4482" s="18">
        <v>352.43</v>
      </c>
      <c r="T4482" s="18">
        <v>288.88</v>
      </c>
      <c r="U4482" s="16"/>
      <c r="V4482" s="16"/>
      <c r="W4482" s="16" t="s">
        <v>40</v>
      </c>
      <c r="X4482" s="19">
        <v>0.14499999999999999</v>
      </c>
      <c r="Y4482" s="20">
        <v>4.7199999999999998E-4</v>
      </c>
      <c r="Z4482" s="21">
        <v>4601004202795</v>
      </c>
    </row>
    <row r="4483" spans="1:26" ht="12" customHeight="1" outlineLevel="4" x14ac:dyDescent="0.2">
      <c r="A4483" s="14" t="s">
        <v>8717</v>
      </c>
      <c r="B4483" s="26" t="s">
        <v>8718</v>
      </c>
      <c r="C4483" s="52"/>
      <c r="D4483" s="55">
        <f t="shared" si="69"/>
        <v>0</v>
      </c>
      <c r="E4483" s="63" t="str">
        <f>HYPERLINK("https://www.sds-group.ru/product/nabor-ekstraktorov-dlya-shurupov-2-kranz-KR-12-6702/", "Инфо")</f>
        <v>Инфо</v>
      </c>
      <c r="F4483" s="16" t="s">
        <v>39</v>
      </c>
      <c r="G4483" s="15"/>
      <c r="H4483" s="15"/>
      <c r="I4483" s="15"/>
      <c r="J4483" s="17">
        <v>917</v>
      </c>
      <c r="K4483" s="15" t="s">
        <v>6344</v>
      </c>
      <c r="L4483" s="17">
        <v>1</v>
      </c>
      <c r="M4483" s="17">
        <v>40</v>
      </c>
      <c r="N4483" s="17">
        <v>1</v>
      </c>
      <c r="O4483" s="18">
        <v>326.14999999999998</v>
      </c>
      <c r="P4483" s="18">
        <v>267.33999999999997</v>
      </c>
      <c r="Q4483" s="18">
        <v>309.83999999999997</v>
      </c>
      <c r="R4483" s="18">
        <v>253.97</v>
      </c>
      <c r="S4483" s="18">
        <v>221.78</v>
      </c>
      <c r="T4483" s="18">
        <v>181.79</v>
      </c>
      <c r="U4483" s="16"/>
      <c r="V4483" s="16"/>
      <c r="W4483" s="16" t="s">
        <v>40</v>
      </c>
      <c r="X4483" s="19">
        <v>0.13700000000000001</v>
      </c>
      <c r="Y4483" s="20">
        <v>4.7100000000000001E-4</v>
      </c>
      <c r="Z4483" s="21">
        <v>4601004202801</v>
      </c>
    </row>
    <row r="4484" spans="1:26" ht="12" customHeight="1" outlineLevel="4" x14ac:dyDescent="0.2">
      <c r="A4484" s="14" t="s">
        <v>8719</v>
      </c>
      <c r="B4484" s="26" t="s">
        <v>8720</v>
      </c>
      <c r="C4484" s="52"/>
      <c r="D4484" s="55">
        <f t="shared" si="69"/>
        <v>0</v>
      </c>
      <c r="E4484" s="63" t="str">
        <f>HYPERLINK("https://www.sds-group.ru/product/nabor-ekstraktorov-dlya-shurupov-profi-kranz-KR-12-6703/", "Инфо")</f>
        <v>Инфо</v>
      </c>
      <c r="F4484" s="16" t="s">
        <v>39</v>
      </c>
      <c r="G4484" s="15"/>
      <c r="H4484" s="15"/>
      <c r="I4484" s="15"/>
      <c r="J4484" s="17">
        <v>770</v>
      </c>
      <c r="K4484" s="15"/>
      <c r="L4484" s="17">
        <v>1</v>
      </c>
      <c r="M4484" s="17">
        <v>40</v>
      </c>
      <c r="N4484" s="17">
        <v>1</v>
      </c>
      <c r="O4484" s="18">
        <v>570.77</v>
      </c>
      <c r="P4484" s="18">
        <v>467.84</v>
      </c>
      <c r="Q4484" s="18">
        <v>513.69000000000005</v>
      </c>
      <c r="R4484" s="18">
        <v>421.06</v>
      </c>
      <c r="S4484" s="18">
        <v>388.12</v>
      </c>
      <c r="T4484" s="18">
        <v>318.13</v>
      </c>
      <c r="U4484" s="16"/>
      <c r="V4484" s="16"/>
      <c r="W4484" s="16" t="s">
        <v>40</v>
      </c>
      <c r="X4484" s="19">
        <v>0.11899999999999999</v>
      </c>
      <c r="Y4484" s="20">
        <v>4.7699999999999999E-4</v>
      </c>
      <c r="Z4484" s="21">
        <v>4601004202818</v>
      </c>
    </row>
    <row r="4485" spans="1:26" ht="12.95" customHeight="1" outlineLevel="3" x14ac:dyDescent="0.2">
      <c r="A4485" s="76" t="s">
        <v>8721</v>
      </c>
      <c r="B4485" s="76"/>
      <c r="C4485" s="77"/>
      <c r="D4485" s="58"/>
      <c r="E4485" s="68"/>
      <c r="F4485" s="13"/>
      <c r="G4485" s="13"/>
      <c r="H4485" s="13"/>
      <c r="I4485" s="13"/>
      <c r="J4485" s="13"/>
      <c r="K4485" s="13"/>
      <c r="L4485" s="13"/>
      <c r="M4485" s="13"/>
      <c r="N4485" s="13"/>
      <c r="O4485" s="13"/>
      <c r="P4485" s="13"/>
      <c r="Q4485" s="13"/>
      <c r="R4485" s="13"/>
      <c r="S4485" s="13"/>
      <c r="T4485" s="13"/>
      <c r="U4485" s="13"/>
      <c r="V4485" s="13"/>
      <c r="W4485" s="13"/>
      <c r="X4485" s="13"/>
      <c r="Y4485" s="13"/>
      <c r="Z4485" s="13"/>
    </row>
    <row r="4486" spans="1:26" ht="12" customHeight="1" outlineLevel="4" x14ac:dyDescent="0.2">
      <c r="A4486" s="14" t="s">
        <v>8722</v>
      </c>
      <c r="B4486" s="26" t="s">
        <v>8723</v>
      </c>
      <c r="C4486" s="52"/>
      <c r="D4486" s="55">
        <f t="shared" si="69"/>
        <v>0</v>
      </c>
      <c r="E4486" s="63" t="str">
        <f>HYPERLINK("https://www.sds-group.ru/product/nabor-cverl-frez-po-metallu-3-4-5-6-8mm-stal-hss-titan-tsilindricheskiy-hvostovik-5-sht-k-KR-91-0585/", "Инфо")</f>
        <v>Инфо</v>
      </c>
      <c r="F4486" s="16" t="s">
        <v>4698</v>
      </c>
      <c r="G4486" s="15"/>
      <c r="H4486" s="15"/>
      <c r="I4486" s="15"/>
      <c r="J4486" s="17">
        <v>709</v>
      </c>
      <c r="K4486" s="15"/>
      <c r="L4486" s="17">
        <v>1</v>
      </c>
      <c r="M4486" s="17">
        <v>100</v>
      </c>
      <c r="N4486" s="17">
        <v>1</v>
      </c>
      <c r="O4486" s="18">
        <v>704.52</v>
      </c>
      <c r="P4486" s="18">
        <v>577.48</v>
      </c>
      <c r="Q4486" s="18">
        <v>634.07000000000005</v>
      </c>
      <c r="R4486" s="18">
        <v>519.73</v>
      </c>
      <c r="S4486" s="18">
        <v>479.07</v>
      </c>
      <c r="T4486" s="18">
        <v>392.68</v>
      </c>
      <c r="U4486" s="16"/>
      <c r="V4486" s="16"/>
      <c r="W4486" s="16" t="s">
        <v>40</v>
      </c>
      <c r="X4486" s="19">
        <v>8.7999999999999995E-2</v>
      </c>
      <c r="Y4486" s="20">
        <v>2.8499999999999999E-4</v>
      </c>
      <c r="Z4486" s="21">
        <v>4601004293274</v>
      </c>
    </row>
    <row r="4487" spans="1:26" ht="12" customHeight="1" outlineLevel="4" x14ac:dyDescent="0.2">
      <c r="A4487" s="40" t="s">
        <v>8724</v>
      </c>
      <c r="B4487" s="75" t="s">
        <v>8725</v>
      </c>
      <c r="C4487" s="51"/>
      <c r="D4487" s="54">
        <f t="shared" si="69"/>
        <v>0</v>
      </c>
      <c r="E4487" s="61" t="str">
        <f>HYPERLINK("https://www.sds-group.ru/product/nabor-sverl-metchikov-m3x1-m4x1-m5x2-m6x2-m8x2-m10x2-r6m5-titan-10-sht-kranz-KR-91-0699/", "Инфо")</f>
        <v>Инфо</v>
      </c>
      <c r="F4487" s="42" t="s">
        <v>4698</v>
      </c>
      <c r="G4487" s="41" t="s">
        <v>40</v>
      </c>
      <c r="H4487" s="41"/>
      <c r="I4487" s="41"/>
      <c r="J4487" s="43">
        <v>243</v>
      </c>
      <c r="K4487" s="41" t="s">
        <v>6344</v>
      </c>
      <c r="L4487" s="43">
        <v>1</v>
      </c>
      <c r="M4487" s="43">
        <v>64</v>
      </c>
      <c r="N4487" s="43">
        <v>1</v>
      </c>
      <c r="O4487" s="44">
        <v>3773.07</v>
      </c>
      <c r="P4487" s="44">
        <v>3092.68</v>
      </c>
      <c r="Q4487" s="44">
        <v>3207.11</v>
      </c>
      <c r="R4487" s="44">
        <v>2628.78</v>
      </c>
      <c r="S4487" s="44">
        <v>2565.69</v>
      </c>
      <c r="T4487" s="44">
        <v>2103.02</v>
      </c>
      <c r="U4487" s="42"/>
      <c r="V4487" s="42"/>
      <c r="W4487" s="42" t="s">
        <v>40</v>
      </c>
      <c r="X4487" s="45">
        <v>0.19800000000000001</v>
      </c>
      <c r="Y4487" s="46">
        <v>3.01E-4</v>
      </c>
      <c r="Z4487" s="21">
        <v>4601004334878</v>
      </c>
    </row>
    <row r="4488" spans="1:26" ht="12" customHeight="1" outlineLevel="4" x14ac:dyDescent="0.2">
      <c r="A4488" s="40" t="s">
        <v>8726</v>
      </c>
      <c r="B4488" s="75" t="s">
        <v>8727</v>
      </c>
      <c r="C4488" s="51"/>
      <c r="D4488" s="54">
        <f t="shared" si="69"/>
        <v>0</v>
      </c>
      <c r="E4488" s="61" t="str">
        <f>HYPERLINK("https://www.sds-group.ru/product/sverlo-metchik-m10-r6m5-titan-kranz-KR-91-0698/", "Инфо")</f>
        <v>Инфо</v>
      </c>
      <c r="F4488" s="42" t="s">
        <v>39</v>
      </c>
      <c r="G4488" s="41" t="s">
        <v>40</v>
      </c>
      <c r="H4488" s="41"/>
      <c r="I4488" s="41"/>
      <c r="J4488" s="43">
        <v>690</v>
      </c>
      <c r="K4488" s="41"/>
      <c r="L4488" s="43">
        <v>1</v>
      </c>
      <c r="M4488" s="43">
        <v>200</v>
      </c>
      <c r="N4488" s="43">
        <v>1</v>
      </c>
      <c r="O4488" s="44">
        <v>733.05</v>
      </c>
      <c r="P4488" s="44">
        <v>600.86</v>
      </c>
      <c r="Q4488" s="44">
        <v>623.09</v>
      </c>
      <c r="R4488" s="44">
        <v>510.73</v>
      </c>
      <c r="S4488" s="44">
        <v>498.47</v>
      </c>
      <c r="T4488" s="44">
        <v>408.58</v>
      </c>
      <c r="U4488" s="42"/>
      <c r="V4488" s="42"/>
      <c r="W4488" s="42" t="s">
        <v>40</v>
      </c>
      <c r="X4488" s="45">
        <v>2.5999999999999999E-2</v>
      </c>
      <c r="Y4488" s="46">
        <v>9.7E-5</v>
      </c>
      <c r="Z4488" s="21">
        <v>4601004334861</v>
      </c>
    </row>
    <row r="4489" spans="1:26" ht="12" customHeight="1" outlineLevel="4" x14ac:dyDescent="0.2">
      <c r="A4489" s="40" t="s">
        <v>8728</v>
      </c>
      <c r="B4489" s="75" t="s">
        <v>8729</v>
      </c>
      <c r="C4489" s="51"/>
      <c r="D4489" s="54">
        <f t="shared" ref="D4489:D4552" si="70">C4489*(O4489-O4489*$G$3)</f>
        <v>0</v>
      </c>
      <c r="E4489" s="61" t="str">
        <f>HYPERLINK("https://www.sds-group.ru/product/sverlo-metchik-m3-r6m5-titan-kranz-KR-91-0693/", "Инфо")</f>
        <v>Инфо</v>
      </c>
      <c r="F4489" s="42" t="s">
        <v>39</v>
      </c>
      <c r="G4489" s="41" t="s">
        <v>40</v>
      </c>
      <c r="H4489" s="41"/>
      <c r="I4489" s="41"/>
      <c r="J4489" s="43">
        <v>437</v>
      </c>
      <c r="K4489" s="41" t="s">
        <v>6344</v>
      </c>
      <c r="L4489" s="43">
        <v>1</v>
      </c>
      <c r="M4489" s="43">
        <v>200</v>
      </c>
      <c r="N4489" s="43">
        <v>1</v>
      </c>
      <c r="O4489" s="44">
        <v>539.01</v>
      </c>
      <c r="P4489" s="44">
        <v>441.81</v>
      </c>
      <c r="Q4489" s="44">
        <v>458.16</v>
      </c>
      <c r="R4489" s="44">
        <v>375.54</v>
      </c>
      <c r="S4489" s="44">
        <v>366.53</v>
      </c>
      <c r="T4489" s="44">
        <v>300.43</v>
      </c>
      <c r="U4489" s="42"/>
      <c r="V4489" s="42"/>
      <c r="W4489" s="42" t="s">
        <v>40</v>
      </c>
      <c r="X4489" s="45">
        <v>0.02</v>
      </c>
      <c r="Y4489" s="46">
        <v>9.7E-5</v>
      </c>
      <c r="Z4489" s="21">
        <v>4601004334816</v>
      </c>
    </row>
    <row r="4490" spans="1:26" ht="12" customHeight="1" outlineLevel="4" x14ac:dyDescent="0.2">
      <c r="A4490" s="40" t="s">
        <v>8730</v>
      </c>
      <c r="B4490" s="75" t="s">
        <v>8731</v>
      </c>
      <c r="C4490" s="51"/>
      <c r="D4490" s="54">
        <f t="shared" si="70"/>
        <v>0</v>
      </c>
      <c r="E4490" s="61" t="str">
        <f>HYPERLINK("https://www.sds-group.ru/product/sverlo-metchik-m4-r6m5-titan-kranz-KR-91-0694/", "Инфо")</f>
        <v>Инфо</v>
      </c>
      <c r="F4490" s="42" t="s">
        <v>39</v>
      </c>
      <c r="G4490" s="41" t="s">
        <v>40</v>
      </c>
      <c r="H4490" s="41"/>
      <c r="I4490" s="41"/>
      <c r="J4490" s="43">
        <v>545</v>
      </c>
      <c r="K4490" s="41"/>
      <c r="L4490" s="43">
        <v>1</v>
      </c>
      <c r="M4490" s="43">
        <v>200</v>
      </c>
      <c r="N4490" s="43">
        <v>1</v>
      </c>
      <c r="O4490" s="44">
        <v>582.13</v>
      </c>
      <c r="P4490" s="44">
        <v>477.16</v>
      </c>
      <c r="Q4490" s="44">
        <v>494.81</v>
      </c>
      <c r="R4490" s="44">
        <v>405.58</v>
      </c>
      <c r="S4490" s="44">
        <v>395.85</v>
      </c>
      <c r="T4490" s="44">
        <v>324.47000000000003</v>
      </c>
      <c r="U4490" s="42"/>
      <c r="V4490" s="42"/>
      <c r="W4490" s="42" t="s">
        <v>40</v>
      </c>
      <c r="X4490" s="45">
        <v>0.02</v>
      </c>
      <c r="Y4490" s="46">
        <v>9.8999999999999994E-5</v>
      </c>
      <c r="Z4490" s="21">
        <v>4601004334762</v>
      </c>
    </row>
    <row r="4491" spans="1:26" ht="12" customHeight="1" outlineLevel="4" x14ac:dyDescent="0.2">
      <c r="A4491" s="40" t="s">
        <v>8732</v>
      </c>
      <c r="B4491" s="75" t="s">
        <v>8733</v>
      </c>
      <c r="C4491" s="51"/>
      <c r="D4491" s="54">
        <f t="shared" si="70"/>
        <v>0</v>
      </c>
      <c r="E4491" s="61" t="str">
        <f>HYPERLINK("https://www.sds-group.ru/product/sverlo-metchik-m5-r6m5-titan-kranz-KR-91-0695/", "Инфо")</f>
        <v>Инфо</v>
      </c>
      <c r="F4491" s="42" t="s">
        <v>39</v>
      </c>
      <c r="G4491" s="41" t="s">
        <v>40</v>
      </c>
      <c r="H4491" s="41"/>
      <c r="I4491" s="41"/>
      <c r="J4491" s="43">
        <v>762</v>
      </c>
      <c r="K4491" s="41" t="s">
        <v>6344</v>
      </c>
      <c r="L4491" s="43">
        <v>1</v>
      </c>
      <c r="M4491" s="43">
        <v>200</v>
      </c>
      <c r="N4491" s="43">
        <v>1</v>
      </c>
      <c r="O4491" s="44">
        <v>603.69000000000005</v>
      </c>
      <c r="P4491" s="44">
        <v>494.83</v>
      </c>
      <c r="Q4491" s="44">
        <v>513.14</v>
      </c>
      <c r="R4491" s="44">
        <v>420.61</v>
      </c>
      <c r="S4491" s="44">
        <v>410.51</v>
      </c>
      <c r="T4491" s="44">
        <v>336.48</v>
      </c>
      <c r="U4491" s="42"/>
      <c r="V4491" s="42"/>
      <c r="W4491" s="42" t="s">
        <v>40</v>
      </c>
      <c r="X4491" s="45">
        <v>2.1999999999999999E-2</v>
      </c>
      <c r="Y4491" s="46">
        <v>9.7E-5</v>
      </c>
      <c r="Z4491" s="21">
        <v>4601004334748</v>
      </c>
    </row>
    <row r="4492" spans="1:26" ht="12" customHeight="1" outlineLevel="4" x14ac:dyDescent="0.2">
      <c r="A4492" s="40" t="s">
        <v>8734</v>
      </c>
      <c r="B4492" s="75" t="s">
        <v>8735</v>
      </c>
      <c r="C4492" s="51"/>
      <c r="D4492" s="54">
        <f t="shared" si="70"/>
        <v>0</v>
      </c>
      <c r="E4492" s="61" t="str">
        <f>HYPERLINK("https://www.sds-group.ru/product/sverlo-metchik-m6-r6m5-titan-kranz-KR-91-0696/", "Инфо")</f>
        <v>Инфо</v>
      </c>
      <c r="F4492" s="42" t="s">
        <v>39</v>
      </c>
      <c r="G4492" s="41" t="s">
        <v>40</v>
      </c>
      <c r="H4492" s="41"/>
      <c r="I4492" s="41"/>
      <c r="J4492" s="43">
        <v>111</v>
      </c>
      <c r="K4492" s="41" t="s">
        <v>6344</v>
      </c>
      <c r="L4492" s="43">
        <v>1</v>
      </c>
      <c r="M4492" s="43">
        <v>200</v>
      </c>
      <c r="N4492" s="43">
        <v>1</v>
      </c>
      <c r="O4492" s="44">
        <v>646.80999999999995</v>
      </c>
      <c r="P4492" s="44">
        <v>530.16999999999996</v>
      </c>
      <c r="Q4492" s="44">
        <v>549.79</v>
      </c>
      <c r="R4492" s="44">
        <v>450.65</v>
      </c>
      <c r="S4492" s="44">
        <v>439.83</v>
      </c>
      <c r="T4492" s="44">
        <v>360.52</v>
      </c>
      <c r="U4492" s="42"/>
      <c r="V4492" s="42"/>
      <c r="W4492" s="42" t="s">
        <v>40</v>
      </c>
      <c r="X4492" s="45">
        <v>2.1999999999999999E-2</v>
      </c>
      <c r="Y4492" s="46">
        <v>9.7E-5</v>
      </c>
      <c r="Z4492" s="21">
        <v>4601004334786</v>
      </c>
    </row>
    <row r="4493" spans="1:26" ht="12" customHeight="1" outlineLevel="4" x14ac:dyDescent="0.2">
      <c r="A4493" s="40" t="s">
        <v>8736</v>
      </c>
      <c r="B4493" s="75" t="s">
        <v>8737</v>
      </c>
      <c r="C4493" s="51"/>
      <c r="D4493" s="54">
        <f t="shared" si="70"/>
        <v>0</v>
      </c>
      <c r="E4493" s="61" t="str">
        <f>HYPERLINK("https://www.sds-group.ru/product/sverlo-metchik-m8-r6m5-titan-kranz-KR-91-0697/", "Инфо")</f>
        <v>Инфо</v>
      </c>
      <c r="F4493" s="42" t="s">
        <v>39</v>
      </c>
      <c r="G4493" s="41" t="s">
        <v>40</v>
      </c>
      <c r="H4493" s="41"/>
      <c r="I4493" s="41"/>
      <c r="J4493" s="43">
        <v>132</v>
      </c>
      <c r="K4493" s="41" t="s">
        <v>6344</v>
      </c>
      <c r="L4493" s="43">
        <v>1</v>
      </c>
      <c r="M4493" s="43">
        <v>200</v>
      </c>
      <c r="N4493" s="43">
        <v>1</v>
      </c>
      <c r="O4493" s="44">
        <v>679.15</v>
      </c>
      <c r="P4493" s="44">
        <v>556.67999999999995</v>
      </c>
      <c r="Q4493" s="44">
        <v>577.28</v>
      </c>
      <c r="R4493" s="44">
        <v>473.18</v>
      </c>
      <c r="S4493" s="44">
        <v>461.82</v>
      </c>
      <c r="T4493" s="44">
        <v>378.54</v>
      </c>
      <c r="U4493" s="42"/>
      <c r="V4493" s="42"/>
      <c r="W4493" s="42" t="s">
        <v>40</v>
      </c>
      <c r="X4493" s="45">
        <v>2.4E-2</v>
      </c>
      <c r="Y4493" s="46">
        <v>9.5000000000000005E-5</v>
      </c>
      <c r="Z4493" s="21">
        <v>4601004334793</v>
      </c>
    </row>
    <row r="4494" spans="1:26" ht="12" customHeight="1" outlineLevel="4" x14ac:dyDescent="0.2">
      <c r="A4494" s="14" t="s">
        <v>8738</v>
      </c>
      <c r="B4494" s="26" t="s">
        <v>8739</v>
      </c>
      <c r="C4494" s="52"/>
      <c r="D4494" s="55">
        <f t="shared" si="70"/>
        <v>0</v>
      </c>
      <c r="E4494" s="63" t="str">
        <f>HYPERLINK("https://www.sds-group.ru/product/sverlo-freza-po-metallu-3mm-stal-hss-titan-tsilindricheskiy-hvostovik-1-sht-up-kranz-KR-91-0580/", "Инфо")</f>
        <v>Инфо</v>
      </c>
      <c r="F4494" s="16" t="s">
        <v>39</v>
      </c>
      <c r="G4494" s="15"/>
      <c r="H4494" s="15"/>
      <c r="I4494" s="15"/>
      <c r="J4494" s="17">
        <v>455</v>
      </c>
      <c r="K4494" s="15" t="s">
        <v>979</v>
      </c>
      <c r="L4494" s="17">
        <v>10</v>
      </c>
      <c r="M4494" s="17">
        <v>500</v>
      </c>
      <c r="N4494" s="17">
        <v>10</v>
      </c>
      <c r="O4494" s="18">
        <v>105.98</v>
      </c>
      <c r="P4494" s="18">
        <v>86.87</v>
      </c>
      <c r="Q4494" s="18">
        <v>100.68</v>
      </c>
      <c r="R4494" s="18">
        <v>82.52</v>
      </c>
      <c r="S4494" s="18">
        <v>72.069999999999993</v>
      </c>
      <c r="T4494" s="18">
        <v>59.07</v>
      </c>
      <c r="U4494" s="16"/>
      <c r="V4494" s="16"/>
      <c r="W4494" s="16" t="s">
        <v>40</v>
      </c>
      <c r="X4494" s="19">
        <v>0.01</v>
      </c>
      <c r="Y4494" s="20">
        <v>8.7999999999999998E-5</v>
      </c>
      <c r="Z4494" s="21">
        <v>4601004293236</v>
      </c>
    </row>
    <row r="4495" spans="1:26" ht="12" customHeight="1" outlineLevel="4" x14ac:dyDescent="0.2">
      <c r="A4495" s="14" t="s">
        <v>8740</v>
      </c>
      <c r="B4495" s="26" t="s">
        <v>8741</v>
      </c>
      <c r="C4495" s="52"/>
      <c r="D4495" s="55">
        <f t="shared" si="70"/>
        <v>0</v>
      </c>
      <c r="E4495" s="63" t="str">
        <f>HYPERLINK("https://www.sds-group.ru/product/sverlo-freza-po-metallu-4mm-stal-hss-titan-tsilindricheskiy-hvostovik-1-sht-up-kranz-KR-91-0581/", "Инфо")</f>
        <v>Инфо</v>
      </c>
      <c r="F4495" s="16" t="s">
        <v>39</v>
      </c>
      <c r="G4495" s="15"/>
      <c r="H4495" s="15"/>
      <c r="I4495" s="15"/>
      <c r="J4495" s="17">
        <v>324</v>
      </c>
      <c r="K4495" s="15"/>
      <c r="L4495" s="17">
        <v>5</v>
      </c>
      <c r="M4495" s="17">
        <v>500</v>
      </c>
      <c r="N4495" s="17">
        <v>5</v>
      </c>
      <c r="O4495" s="18">
        <v>128.09</v>
      </c>
      <c r="P4495" s="18">
        <v>104.99</v>
      </c>
      <c r="Q4495" s="18">
        <v>121.69</v>
      </c>
      <c r="R4495" s="18">
        <v>99.75</v>
      </c>
      <c r="S4495" s="18">
        <v>87.1</v>
      </c>
      <c r="T4495" s="18">
        <v>71.39</v>
      </c>
      <c r="U4495" s="16"/>
      <c r="V4495" s="16"/>
      <c r="W4495" s="16" t="s">
        <v>40</v>
      </c>
      <c r="X4495" s="19">
        <v>1.4E-2</v>
      </c>
      <c r="Y4495" s="20">
        <v>8.7000000000000001E-5</v>
      </c>
      <c r="Z4495" s="21">
        <v>4601004293250</v>
      </c>
    </row>
    <row r="4496" spans="1:26" ht="12" customHeight="1" outlineLevel="4" x14ac:dyDescent="0.2">
      <c r="A4496" s="14" t="s">
        <v>8742</v>
      </c>
      <c r="B4496" s="26" t="s">
        <v>8743</v>
      </c>
      <c r="C4496" s="52"/>
      <c r="D4496" s="55">
        <f t="shared" si="70"/>
        <v>0</v>
      </c>
      <c r="E4496" s="63" t="str">
        <f>HYPERLINK("https://www.sds-group.ru/product/sverlo-freza-po-metallu-5mm-stal-hss-titan-tsilindricheskiy-hvostovik-1-sht-up-kranz-KR-91-0582/", "Инфо")</f>
        <v>Инфо</v>
      </c>
      <c r="F4496" s="16" t="s">
        <v>39</v>
      </c>
      <c r="G4496" s="15"/>
      <c r="H4496" s="15"/>
      <c r="I4496" s="15"/>
      <c r="J4496" s="17">
        <v>487</v>
      </c>
      <c r="K4496" s="15"/>
      <c r="L4496" s="17">
        <v>5</v>
      </c>
      <c r="M4496" s="17">
        <v>500</v>
      </c>
      <c r="N4496" s="17">
        <v>5</v>
      </c>
      <c r="O4496" s="18">
        <v>146.51</v>
      </c>
      <c r="P4496" s="18">
        <v>120.09</v>
      </c>
      <c r="Q4496" s="18">
        <v>139.18</v>
      </c>
      <c r="R4496" s="18">
        <v>114.08</v>
      </c>
      <c r="S4496" s="18">
        <v>99.63</v>
      </c>
      <c r="T4496" s="18">
        <v>81.66</v>
      </c>
      <c r="U4496" s="16"/>
      <c r="V4496" s="16"/>
      <c r="W4496" s="16" t="s">
        <v>40</v>
      </c>
      <c r="X4496" s="19">
        <v>1.7999999999999999E-2</v>
      </c>
      <c r="Y4496" s="20">
        <v>8.7999999999999998E-5</v>
      </c>
      <c r="Z4496" s="21">
        <v>4601004293243</v>
      </c>
    </row>
    <row r="4497" spans="1:26" ht="12" customHeight="1" outlineLevel="4" x14ac:dyDescent="0.2">
      <c r="A4497" s="14" t="s">
        <v>8744</v>
      </c>
      <c r="B4497" s="26" t="s">
        <v>8745</v>
      </c>
      <c r="C4497" s="52"/>
      <c r="D4497" s="55">
        <f t="shared" si="70"/>
        <v>0</v>
      </c>
      <c r="E4497" s="63" t="str">
        <f>HYPERLINK("https://www.sds-group.ru/product/sverlo-freza-po-metallu-6mm-stal-hss-titan-tsilindricheskiy-hvostovik-1-sht-up-kranz-KR-91-0583/", "Инфо")</f>
        <v>Инфо</v>
      </c>
      <c r="F4497" s="16" t="s">
        <v>39</v>
      </c>
      <c r="G4497" s="15"/>
      <c r="H4497" s="15"/>
      <c r="I4497" s="15"/>
      <c r="J4497" s="17">
        <v>170</v>
      </c>
      <c r="K4497" s="15" t="s">
        <v>979</v>
      </c>
      <c r="L4497" s="17">
        <v>5</v>
      </c>
      <c r="M4497" s="17">
        <v>500</v>
      </c>
      <c r="N4497" s="17">
        <v>5</v>
      </c>
      <c r="O4497" s="18">
        <v>162.16</v>
      </c>
      <c r="P4497" s="18">
        <v>132.91999999999999</v>
      </c>
      <c r="Q4497" s="18">
        <v>154.05000000000001</v>
      </c>
      <c r="R4497" s="18">
        <v>126.27</v>
      </c>
      <c r="S4497" s="18">
        <v>110.27</v>
      </c>
      <c r="T4497" s="18">
        <v>90.39</v>
      </c>
      <c r="U4497" s="16"/>
      <c r="V4497" s="16"/>
      <c r="W4497" s="16" t="s">
        <v>40</v>
      </c>
      <c r="X4497" s="19">
        <v>2.4E-2</v>
      </c>
      <c r="Y4497" s="20">
        <v>1.03E-4</v>
      </c>
      <c r="Z4497" s="21">
        <v>4601004293281</v>
      </c>
    </row>
    <row r="4498" spans="1:26" ht="12" customHeight="1" outlineLevel="4" x14ac:dyDescent="0.2">
      <c r="A4498" s="14" t="s">
        <v>8746</v>
      </c>
      <c r="B4498" s="26" t="s">
        <v>8747</v>
      </c>
      <c r="C4498" s="52"/>
      <c r="D4498" s="55">
        <f t="shared" si="70"/>
        <v>0</v>
      </c>
      <c r="E4498" s="63" t="str">
        <f>HYPERLINK("https://www.sds-group.ru/product/sverlo-freza-po-metallu-8mm-stal-hss-titan-tsilindricheskiy-hvostovik-1-sht-up-kranz-KR-91-0584/", "Инфо")</f>
        <v>Инфо</v>
      </c>
      <c r="F4498" s="16" t="s">
        <v>39</v>
      </c>
      <c r="G4498" s="15"/>
      <c r="H4498" s="15"/>
      <c r="I4498" s="15"/>
      <c r="J4498" s="22">
        <v>1175</v>
      </c>
      <c r="K4498" s="15"/>
      <c r="L4498" s="17">
        <v>5</v>
      </c>
      <c r="M4498" s="17">
        <v>500</v>
      </c>
      <c r="N4498" s="17">
        <v>5</v>
      </c>
      <c r="O4498" s="18">
        <v>245.41</v>
      </c>
      <c r="P4498" s="18">
        <v>201.16</v>
      </c>
      <c r="Q4498" s="18">
        <v>233.14</v>
      </c>
      <c r="R4498" s="18">
        <v>191.1</v>
      </c>
      <c r="S4498" s="18">
        <v>166.88</v>
      </c>
      <c r="T4498" s="18">
        <v>136.79</v>
      </c>
      <c r="U4498" s="16"/>
      <c r="V4498" s="16"/>
      <c r="W4498" s="16" t="s">
        <v>40</v>
      </c>
      <c r="X4498" s="19">
        <v>3.6999999999999998E-2</v>
      </c>
      <c r="Y4498" s="20">
        <v>1E-4</v>
      </c>
      <c r="Z4498" s="21">
        <v>4601004293267</v>
      </c>
    </row>
    <row r="4499" spans="1:26" ht="12.95" customHeight="1" outlineLevel="2" x14ac:dyDescent="0.2">
      <c r="A4499" s="76" t="s">
        <v>8748</v>
      </c>
      <c r="B4499" s="76"/>
      <c r="C4499" s="77"/>
      <c r="D4499" s="58"/>
      <c r="E4499" s="68"/>
      <c r="F4499" s="13"/>
      <c r="G4499" s="13"/>
      <c r="H4499" s="13"/>
      <c r="I4499" s="13"/>
      <c r="J4499" s="13"/>
      <c r="K4499" s="13"/>
      <c r="L4499" s="13"/>
      <c r="M4499" s="13"/>
      <c r="N4499" s="13"/>
      <c r="O4499" s="13"/>
      <c r="P4499" s="13"/>
      <c r="Q4499" s="13"/>
      <c r="R4499" s="13"/>
      <c r="S4499" s="13"/>
      <c r="T4499" s="13"/>
      <c r="U4499" s="13"/>
      <c r="V4499" s="13"/>
      <c r="W4499" s="13"/>
      <c r="X4499" s="13"/>
      <c r="Y4499" s="13"/>
      <c r="Z4499" s="13"/>
    </row>
    <row r="4500" spans="1:26" ht="12.95" customHeight="1" outlineLevel="3" x14ac:dyDescent="0.2">
      <c r="A4500" s="76" t="s">
        <v>8749</v>
      </c>
      <c r="B4500" s="76"/>
      <c r="C4500" s="77"/>
      <c r="D4500" s="58"/>
      <c r="E4500" s="68"/>
      <c r="F4500" s="13"/>
      <c r="G4500" s="13"/>
      <c r="H4500" s="13"/>
      <c r="I4500" s="13"/>
      <c r="J4500" s="13"/>
      <c r="K4500" s="13"/>
      <c r="L4500" s="13"/>
      <c r="M4500" s="13"/>
      <c r="N4500" s="13"/>
      <c r="O4500" s="13"/>
      <c r="P4500" s="13"/>
      <c r="Q4500" s="13"/>
      <c r="R4500" s="13"/>
      <c r="S4500" s="13"/>
      <c r="T4500" s="13"/>
      <c r="U4500" s="13"/>
      <c r="V4500" s="13"/>
      <c r="W4500" s="13"/>
      <c r="X4500" s="13"/>
      <c r="Y4500" s="13"/>
      <c r="Z4500" s="13"/>
    </row>
    <row r="4501" spans="1:26" ht="12" customHeight="1" outlineLevel="4" x14ac:dyDescent="0.2">
      <c r="A4501" s="14" t="s">
        <v>8750</v>
      </c>
      <c r="B4501" s="26" t="s">
        <v>8751</v>
      </c>
      <c r="C4501" s="52"/>
      <c r="D4501" s="55">
        <f t="shared" si="70"/>
        <v>0</v>
      </c>
      <c r="E4501" s="63" t="str">
        <f>HYPERLINK("https://www.sds-group.ru/product/sverlo-perovoe-po-derevu-10h152-mm-shestigrannyy-hvostovik-kranz-KR-91-0662/", "Инфо")</f>
        <v>Инфо</v>
      </c>
      <c r="F4501" s="16" t="s">
        <v>39</v>
      </c>
      <c r="G4501" s="15"/>
      <c r="H4501" s="15"/>
      <c r="I4501" s="15"/>
      <c r="J4501" s="17">
        <v>774</v>
      </c>
      <c r="K4501" s="15" t="s">
        <v>979</v>
      </c>
      <c r="L4501" s="17">
        <v>5</v>
      </c>
      <c r="M4501" s="17">
        <v>300</v>
      </c>
      <c r="N4501" s="17">
        <v>5</v>
      </c>
      <c r="O4501" s="18">
        <v>110.37</v>
      </c>
      <c r="P4501" s="18">
        <v>90.47</v>
      </c>
      <c r="Q4501" s="18">
        <v>104.85</v>
      </c>
      <c r="R4501" s="18">
        <v>85.94</v>
      </c>
      <c r="S4501" s="18">
        <v>75.05</v>
      </c>
      <c r="T4501" s="18">
        <v>61.52</v>
      </c>
      <c r="U4501" s="16"/>
      <c r="V4501" s="16"/>
      <c r="W4501" s="16" t="s">
        <v>40</v>
      </c>
      <c r="X4501" s="19">
        <v>4.8000000000000001E-2</v>
      </c>
      <c r="Y4501" s="20">
        <v>1E-4</v>
      </c>
      <c r="Z4501" s="21">
        <v>4601004176072</v>
      </c>
    </row>
    <row r="4502" spans="1:26" ht="12" customHeight="1" outlineLevel="4" x14ac:dyDescent="0.2">
      <c r="A4502" s="14" t="s">
        <v>8752</v>
      </c>
      <c r="B4502" s="26" t="s">
        <v>8753</v>
      </c>
      <c r="C4502" s="52"/>
      <c r="D4502" s="55">
        <f t="shared" si="70"/>
        <v>0</v>
      </c>
      <c r="E4502" s="63" t="str">
        <f>HYPERLINK("https://www.sds-group.ru/product/sverlo-perovoe-po-derevu-12h152-mm-shestigrannyy-hvostovik-kranz-KR-91-0663/", "Инфо")</f>
        <v>Инфо</v>
      </c>
      <c r="F4502" s="16" t="s">
        <v>39</v>
      </c>
      <c r="G4502" s="15"/>
      <c r="H4502" s="15"/>
      <c r="I4502" s="15"/>
      <c r="J4502" s="17">
        <v>497</v>
      </c>
      <c r="K4502" s="15" t="s">
        <v>1131</v>
      </c>
      <c r="L4502" s="17">
        <v>5</v>
      </c>
      <c r="M4502" s="17">
        <v>300</v>
      </c>
      <c r="N4502" s="17">
        <v>5</v>
      </c>
      <c r="O4502" s="18">
        <v>111.97</v>
      </c>
      <c r="P4502" s="18">
        <v>91.78</v>
      </c>
      <c r="Q4502" s="18">
        <v>106.37</v>
      </c>
      <c r="R4502" s="18">
        <v>87.19</v>
      </c>
      <c r="S4502" s="18">
        <v>76.14</v>
      </c>
      <c r="T4502" s="18">
        <v>62.41</v>
      </c>
      <c r="U4502" s="16"/>
      <c r="V4502" s="16"/>
      <c r="W4502" s="16" t="s">
        <v>40</v>
      </c>
      <c r="X4502" s="19">
        <v>4.9000000000000002E-2</v>
      </c>
      <c r="Y4502" s="20">
        <v>1E-4</v>
      </c>
      <c r="Z4502" s="21">
        <v>4601004176089</v>
      </c>
    </row>
    <row r="4503" spans="1:26" ht="12" customHeight="1" outlineLevel="4" x14ac:dyDescent="0.2">
      <c r="A4503" s="14" t="s">
        <v>8754</v>
      </c>
      <c r="B4503" s="26" t="s">
        <v>8755</v>
      </c>
      <c r="C4503" s="52"/>
      <c r="D4503" s="55">
        <f t="shared" si="70"/>
        <v>0</v>
      </c>
      <c r="E4503" s="63" t="str">
        <f>HYPERLINK("https://www.sds-group.ru/product/sverlo-perovoe-po-derevu-14h152-mm-shestigrannyy-hvostovik-kranz-KR-91-0664/", "Инфо")</f>
        <v>Инфо</v>
      </c>
      <c r="F4503" s="16" t="s">
        <v>39</v>
      </c>
      <c r="G4503" s="15"/>
      <c r="H4503" s="15"/>
      <c r="I4503" s="15"/>
      <c r="J4503" s="17">
        <v>565</v>
      </c>
      <c r="K4503" s="15" t="s">
        <v>979</v>
      </c>
      <c r="L4503" s="17">
        <v>5</v>
      </c>
      <c r="M4503" s="17">
        <v>300</v>
      </c>
      <c r="N4503" s="17">
        <v>5</v>
      </c>
      <c r="O4503" s="18">
        <v>116.48</v>
      </c>
      <c r="P4503" s="18">
        <v>95.48</v>
      </c>
      <c r="Q4503" s="18">
        <v>110.66</v>
      </c>
      <c r="R4503" s="18">
        <v>90.7</v>
      </c>
      <c r="S4503" s="18">
        <v>79.209999999999994</v>
      </c>
      <c r="T4503" s="18">
        <v>64.930000000000007</v>
      </c>
      <c r="U4503" s="16"/>
      <c r="V4503" s="16"/>
      <c r="W4503" s="16" t="s">
        <v>40</v>
      </c>
      <c r="X4503" s="19">
        <v>5.0999999999999997E-2</v>
      </c>
      <c r="Y4503" s="20">
        <v>9.8999999999999994E-5</v>
      </c>
      <c r="Z4503" s="21">
        <v>4601004176096</v>
      </c>
    </row>
    <row r="4504" spans="1:26" ht="12" customHeight="1" outlineLevel="4" x14ac:dyDescent="0.2">
      <c r="A4504" s="14" t="s">
        <v>8756</v>
      </c>
      <c r="B4504" s="26" t="s">
        <v>8757</v>
      </c>
      <c r="C4504" s="52"/>
      <c r="D4504" s="55">
        <f t="shared" si="70"/>
        <v>0</v>
      </c>
      <c r="E4504" s="63" t="str">
        <f>HYPERLINK("https://www.sds-group.ru/product/sverlo-perovoe-po-derevu-16h152-mm-shestigrannyy-hvostovik-kranz-KR-91-0665/", "Инфо")</f>
        <v>Инфо</v>
      </c>
      <c r="F4504" s="16" t="s">
        <v>39</v>
      </c>
      <c r="G4504" s="15"/>
      <c r="H4504" s="15"/>
      <c r="I4504" s="15"/>
      <c r="J4504" s="16" t="s">
        <v>100</v>
      </c>
      <c r="K4504" s="15" t="s">
        <v>1272</v>
      </c>
      <c r="L4504" s="17">
        <v>10</v>
      </c>
      <c r="M4504" s="17">
        <v>300</v>
      </c>
      <c r="N4504" s="17">
        <v>10</v>
      </c>
      <c r="O4504" s="18">
        <v>119.25</v>
      </c>
      <c r="P4504" s="18">
        <v>97.75</v>
      </c>
      <c r="Q4504" s="18">
        <v>113.29</v>
      </c>
      <c r="R4504" s="18">
        <v>92.86</v>
      </c>
      <c r="S4504" s="18">
        <v>81.09</v>
      </c>
      <c r="T4504" s="18">
        <v>66.47</v>
      </c>
      <c r="U4504" s="16"/>
      <c r="V4504" s="16"/>
      <c r="W4504" s="16" t="s">
        <v>40</v>
      </c>
      <c r="X4504" s="19">
        <v>5.0999999999999997E-2</v>
      </c>
      <c r="Y4504" s="20">
        <v>1.01E-4</v>
      </c>
      <c r="Z4504" s="21">
        <v>4601004176102</v>
      </c>
    </row>
    <row r="4505" spans="1:26" ht="12" customHeight="1" outlineLevel="4" x14ac:dyDescent="0.2">
      <c r="A4505" s="14" t="s">
        <v>8758</v>
      </c>
      <c r="B4505" s="26" t="s">
        <v>8759</v>
      </c>
      <c r="C4505" s="52"/>
      <c r="D4505" s="55">
        <f t="shared" si="70"/>
        <v>0</v>
      </c>
      <c r="E4505" s="63" t="str">
        <f>HYPERLINK("https://www.sds-group.ru/product/sverlo-perovoe-po-derevu-18h152-mm-shestigrannyy-hvostovik-kranz-KR-91-0666/", "Инфо")</f>
        <v>Инфо</v>
      </c>
      <c r="F4505" s="16" t="s">
        <v>39</v>
      </c>
      <c r="G4505" s="15"/>
      <c r="H4505" s="15"/>
      <c r="I4505" s="15"/>
      <c r="J4505" s="17">
        <v>261</v>
      </c>
      <c r="K4505" s="15" t="s">
        <v>979</v>
      </c>
      <c r="L4505" s="17">
        <v>5</v>
      </c>
      <c r="M4505" s="17">
        <v>300</v>
      </c>
      <c r="N4505" s="17">
        <v>5</v>
      </c>
      <c r="O4505" s="18">
        <v>134.63999999999999</v>
      </c>
      <c r="P4505" s="18">
        <v>110.36</v>
      </c>
      <c r="Q4505" s="18">
        <v>127.91</v>
      </c>
      <c r="R4505" s="18">
        <v>104.84</v>
      </c>
      <c r="S4505" s="18">
        <v>91.56</v>
      </c>
      <c r="T4505" s="18">
        <v>75.05</v>
      </c>
      <c r="U4505" s="16"/>
      <c r="V4505" s="16"/>
      <c r="W4505" s="16" t="s">
        <v>40</v>
      </c>
      <c r="X4505" s="19">
        <v>5.1999999999999998E-2</v>
      </c>
      <c r="Y4505" s="20">
        <v>9.8999999999999994E-5</v>
      </c>
      <c r="Z4505" s="21">
        <v>4601004176119</v>
      </c>
    </row>
    <row r="4506" spans="1:26" ht="12" customHeight="1" outlineLevel="4" x14ac:dyDescent="0.2">
      <c r="A4506" s="14" t="s">
        <v>8760</v>
      </c>
      <c r="B4506" s="26" t="s">
        <v>8761</v>
      </c>
      <c r="C4506" s="52"/>
      <c r="D4506" s="55">
        <f t="shared" si="70"/>
        <v>0</v>
      </c>
      <c r="E4506" s="63" t="str">
        <f>HYPERLINK("https://www.sds-group.ru/product/sverlo-perovoe-po-derevu-20h152-mm-shestigrannyy-hvostovik-kranz-KR-91-0667/", "Инфо")</f>
        <v>Инфо</v>
      </c>
      <c r="F4506" s="16" t="s">
        <v>39</v>
      </c>
      <c r="G4506" s="15"/>
      <c r="H4506" s="15"/>
      <c r="I4506" s="15"/>
      <c r="J4506" s="17">
        <v>190</v>
      </c>
      <c r="K4506" s="15" t="s">
        <v>979</v>
      </c>
      <c r="L4506" s="17">
        <v>10</v>
      </c>
      <c r="M4506" s="17">
        <v>300</v>
      </c>
      <c r="N4506" s="17">
        <v>10</v>
      </c>
      <c r="O4506" s="18">
        <v>143.1</v>
      </c>
      <c r="P4506" s="18">
        <v>117.3</v>
      </c>
      <c r="Q4506" s="18">
        <v>135.94999999999999</v>
      </c>
      <c r="R4506" s="18">
        <v>111.43</v>
      </c>
      <c r="S4506" s="18">
        <v>97.31</v>
      </c>
      <c r="T4506" s="18">
        <v>79.760000000000005</v>
      </c>
      <c r="U4506" s="16"/>
      <c r="V4506" s="16"/>
      <c r="W4506" s="16" t="s">
        <v>40</v>
      </c>
      <c r="X4506" s="19">
        <v>5.2999999999999999E-2</v>
      </c>
      <c r="Y4506" s="20">
        <v>1E-4</v>
      </c>
      <c r="Z4506" s="21">
        <v>4601004176126</v>
      </c>
    </row>
    <row r="4507" spans="1:26" ht="12" customHeight="1" outlineLevel="4" x14ac:dyDescent="0.2">
      <c r="A4507" s="14" t="s">
        <v>8762</v>
      </c>
      <c r="B4507" s="26" t="s">
        <v>8763</v>
      </c>
      <c r="C4507" s="52"/>
      <c r="D4507" s="55">
        <f t="shared" si="70"/>
        <v>0</v>
      </c>
      <c r="E4507" s="63" t="str">
        <f>HYPERLINK("https://www.sds-group.ru/product/sverlo-perovoe-po-derevu-22h152-mm-shestigrannyy-hvostovik-kranz-KR-91-0668/", "Инфо")</f>
        <v>Инфо</v>
      </c>
      <c r="F4507" s="16" t="s">
        <v>39</v>
      </c>
      <c r="G4507" s="15"/>
      <c r="H4507" s="15"/>
      <c r="I4507" s="15"/>
      <c r="J4507" s="17">
        <v>376</v>
      </c>
      <c r="K4507" s="15" t="s">
        <v>979</v>
      </c>
      <c r="L4507" s="17">
        <v>5</v>
      </c>
      <c r="M4507" s="17">
        <v>300</v>
      </c>
      <c r="N4507" s="17">
        <v>5</v>
      </c>
      <c r="O4507" s="18">
        <v>148.4</v>
      </c>
      <c r="P4507" s="18">
        <v>121.64</v>
      </c>
      <c r="Q4507" s="18">
        <v>140.97999999999999</v>
      </c>
      <c r="R4507" s="18">
        <v>115.56</v>
      </c>
      <c r="S4507" s="18">
        <v>100.91</v>
      </c>
      <c r="T4507" s="18">
        <v>82.71</v>
      </c>
      <c r="U4507" s="16"/>
      <c r="V4507" s="16"/>
      <c r="W4507" s="16" t="s">
        <v>40</v>
      </c>
      <c r="X4507" s="19">
        <v>5.7000000000000002E-2</v>
      </c>
      <c r="Y4507" s="20">
        <v>1.01E-4</v>
      </c>
      <c r="Z4507" s="21">
        <v>4601004176133</v>
      </c>
    </row>
    <row r="4508" spans="1:26" ht="12" customHeight="1" outlineLevel="4" x14ac:dyDescent="0.2">
      <c r="A4508" s="14" t="s">
        <v>8764</v>
      </c>
      <c r="B4508" s="26" t="s">
        <v>8765</v>
      </c>
      <c r="C4508" s="52"/>
      <c r="D4508" s="55">
        <f t="shared" si="70"/>
        <v>0</v>
      </c>
      <c r="E4508" s="63" t="str">
        <f>HYPERLINK("https://www.sds-group.ru/product/sverlo-perovoe-po-derevu-24h152-mm-shestigrannyy-hvostovik-kranz-KR-91-0669/", "Инфо")</f>
        <v>Инфо</v>
      </c>
      <c r="F4508" s="16" t="s">
        <v>39</v>
      </c>
      <c r="G4508" s="15"/>
      <c r="H4508" s="15"/>
      <c r="I4508" s="15"/>
      <c r="J4508" s="17">
        <v>397</v>
      </c>
      <c r="K4508" s="15"/>
      <c r="L4508" s="17">
        <v>5</v>
      </c>
      <c r="M4508" s="17">
        <v>300</v>
      </c>
      <c r="N4508" s="17">
        <v>5</v>
      </c>
      <c r="O4508" s="18">
        <v>156.34</v>
      </c>
      <c r="P4508" s="18">
        <v>128.15</v>
      </c>
      <c r="Q4508" s="18">
        <v>148.52000000000001</v>
      </c>
      <c r="R4508" s="18">
        <v>121.74</v>
      </c>
      <c r="S4508" s="18">
        <v>106.31</v>
      </c>
      <c r="T4508" s="18">
        <v>87.14</v>
      </c>
      <c r="U4508" s="16"/>
      <c r="V4508" s="16"/>
      <c r="W4508" s="16" t="s">
        <v>40</v>
      </c>
      <c r="X4508" s="19">
        <v>5.6000000000000001E-2</v>
      </c>
      <c r="Y4508" s="20">
        <v>9.8999999999999994E-5</v>
      </c>
      <c r="Z4508" s="21">
        <v>4601004176140</v>
      </c>
    </row>
    <row r="4509" spans="1:26" ht="12" customHeight="1" outlineLevel="4" x14ac:dyDescent="0.2">
      <c r="A4509" s="14" t="s">
        <v>8766</v>
      </c>
      <c r="B4509" s="26" t="s">
        <v>8767</v>
      </c>
      <c r="C4509" s="52"/>
      <c r="D4509" s="55">
        <f t="shared" si="70"/>
        <v>0</v>
      </c>
      <c r="E4509" s="63" t="str">
        <f>HYPERLINK("https://www.sds-group.ru/product/sverlo-perovoe-po-derevu-25h152-mm-shestigrannyy-hvostovik-kranz-KR-91-0670/", "Инфо")</f>
        <v>Инфо</v>
      </c>
      <c r="F4509" s="16" t="s">
        <v>39</v>
      </c>
      <c r="G4509" s="15"/>
      <c r="H4509" s="15"/>
      <c r="I4509" s="15"/>
      <c r="J4509" s="16" t="s">
        <v>100</v>
      </c>
      <c r="K4509" s="15" t="s">
        <v>979</v>
      </c>
      <c r="L4509" s="17">
        <v>10</v>
      </c>
      <c r="M4509" s="17">
        <v>300</v>
      </c>
      <c r="N4509" s="17">
        <v>10</v>
      </c>
      <c r="O4509" s="18">
        <v>161.4</v>
      </c>
      <c r="P4509" s="18">
        <v>132.30000000000001</v>
      </c>
      <c r="Q4509" s="18">
        <v>153.33000000000001</v>
      </c>
      <c r="R4509" s="18">
        <v>125.68</v>
      </c>
      <c r="S4509" s="18">
        <v>109.75</v>
      </c>
      <c r="T4509" s="18">
        <v>89.96</v>
      </c>
      <c r="U4509" s="16"/>
      <c r="V4509" s="16"/>
      <c r="W4509" s="16" t="s">
        <v>40</v>
      </c>
      <c r="X4509" s="19">
        <v>5.6000000000000001E-2</v>
      </c>
      <c r="Y4509" s="20">
        <v>1.02E-4</v>
      </c>
      <c r="Z4509" s="21">
        <v>4601004176157</v>
      </c>
    </row>
    <row r="4510" spans="1:26" ht="12" customHeight="1" outlineLevel="4" x14ac:dyDescent="0.2">
      <c r="A4510" s="14" t="s">
        <v>8768</v>
      </c>
      <c r="B4510" s="26" t="s">
        <v>8769</v>
      </c>
      <c r="C4510" s="52"/>
      <c r="D4510" s="55">
        <f t="shared" si="70"/>
        <v>0</v>
      </c>
      <c r="E4510" s="63" t="str">
        <f>HYPERLINK("https://www.sds-group.ru/product/sverlo-perovoe-po-derevu-28h152-mm-shestigrannyy-hvostovik-kranz-KR-91-0671/", "Инфо")</f>
        <v>Инфо</v>
      </c>
      <c r="F4510" s="16" t="s">
        <v>39</v>
      </c>
      <c r="G4510" s="15"/>
      <c r="H4510" s="15"/>
      <c r="I4510" s="15"/>
      <c r="J4510" s="16" t="s">
        <v>100</v>
      </c>
      <c r="K4510" s="15" t="s">
        <v>979</v>
      </c>
      <c r="L4510" s="17">
        <v>10</v>
      </c>
      <c r="M4510" s="17">
        <v>300</v>
      </c>
      <c r="N4510" s="17">
        <v>10</v>
      </c>
      <c r="O4510" s="18">
        <v>168.78</v>
      </c>
      <c r="P4510" s="18">
        <v>138.34</v>
      </c>
      <c r="Q4510" s="18">
        <v>160.34</v>
      </c>
      <c r="R4510" s="18">
        <v>131.43</v>
      </c>
      <c r="S4510" s="18">
        <v>114.77</v>
      </c>
      <c r="T4510" s="18">
        <v>94.07</v>
      </c>
      <c r="U4510" s="16"/>
      <c r="V4510" s="16"/>
      <c r="W4510" s="16" t="s">
        <v>40</v>
      </c>
      <c r="X4510" s="19">
        <v>5.8000000000000003E-2</v>
      </c>
      <c r="Y4510" s="20">
        <v>9.8999999999999994E-5</v>
      </c>
      <c r="Z4510" s="21">
        <v>4601004202849</v>
      </c>
    </row>
    <row r="4511" spans="1:26" ht="12" customHeight="1" outlineLevel="4" x14ac:dyDescent="0.2">
      <c r="A4511" s="14" t="s">
        <v>8770</v>
      </c>
      <c r="B4511" s="26" t="s">
        <v>8771</v>
      </c>
      <c r="C4511" s="52"/>
      <c r="D4511" s="55">
        <f t="shared" si="70"/>
        <v>0</v>
      </c>
      <c r="E4511" s="63" t="str">
        <f>HYPERLINK("https://www.sds-group.ru/product/sverlo-perovoe-po-derevu-30h152-mm-shestigrannyy-hvostovik-kranz-KR-91-0672/", "Инфо")</f>
        <v>Инфо</v>
      </c>
      <c r="F4511" s="16" t="s">
        <v>39</v>
      </c>
      <c r="G4511" s="15"/>
      <c r="H4511" s="15"/>
      <c r="I4511" s="15"/>
      <c r="J4511" s="16" t="s">
        <v>100</v>
      </c>
      <c r="K4511" s="15" t="s">
        <v>979</v>
      </c>
      <c r="L4511" s="17">
        <v>5</v>
      </c>
      <c r="M4511" s="17">
        <v>300</v>
      </c>
      <c r="N4511" s="17">
        <v>5</v>
      </c>
      <c r="O4511" s="18">
        <v>167.48</v>
      </c>
      <c r="P4511" s="18">
        <v>137.28</v>
      </c>
      <c r="Q4511" s="18">
        <v>159.11000000000001</v>
      </c>
      <c r="R4511" s="18">
        <v>130.41999999999999</v>
      </c>
      <c r="S4511" s="18">
        <v>113.89</v>
      </c>
      <c r="T4511" s="18">
        <v>93.35</v>
      </c>
      <c r="U4511" s="16"/>
      <c r="V4511" s="16"/>
      <c r="W4511" s="16" t="s">
        <v>40</v>
      </c>
      <c r="X4511" s="19">
        <v>5.8000000000000003E-2</v>
      </c>
      <c r="Y4511" s="20">
        <v>9.8999999999999994E-5</v>
      </c>
      <c r="Z4511" s="21">
        <v>4601004176164</v>
      </c>
    </row>
    <row r="4512" spans="1:26" ht="12" customHeight="1" outlineLevel="4" x14ac:dyDescent="0.2">
      <c r="A4512" s="14" t="s">
        <v>8772</v>
      </c>
      <c r="B4512" s="26" t="s">
        <v>8773</v>
      </c>
      <c r="C4512" s="52"/>
      <c r="D4512" s="55">
        <f t="shared" si="70"/>
        <v>0</v>
      </c>
      <c r="E4512" s="63" t="str">
        <f>HYPERLINK("https://www.sds-group.ru/product/sverlo-perovoe-po-derevu-32h152-mm-shestigrannyy-hvostovik-kranz-KR-91-0673/", "Инфо")</f>
        <v>Инфо</v>
      </c>
      <c r="F4512" s="16" t="s">
        <v>39</v>
      </c>
      <c r="G4512" s="15"/>
      <c r="H4512" s="15"/>
      <c r="I4512" s="15"/>
      <c r="J4512" s="16" t="s">
        <v>100</v>
      </c>
      <c r="K4512" s="15" t="s">
        <v>979</v>
      </c>
      <c r="L4512" s="17">
        <v>5</v>
      </c>
      <c r="M4512" s="17">
        <v>300</v>
      </c>
      <c r="N4512" s="17">
        <v>5</v>
      </c>
      <c r="O4512" s="18">
        <v>185.58</v>
      </c>
      <c r="P4512" s="18">
        <v>152.11000000000001</v>
      </c>
      <c r="Q4512" s="18">
        <v>176.3</v>
      </c>
      <c r="R4512" s="18">
        <v>144.51</v>
      </c>
      <c r="S4512" s="18">
        <v>126.19</v>
      </c>
      <c r="T4512" s="18">
        <v>103.43</v>
      </c>
      <c r="U4512" s="16"/>
      <c r="V4512" s="16"/>
      <c r="W4512" s="16" t="s">
        <v>40</v>
      </c>
      <c r="X4512" s="19">
        <v>6.4000000000000001E-2</v>
      </c>
      <c r="Y4512" s="20">
        <v>1E-4</v>
      </c>
      <c r="Z4512" s="21">
        <v>4601004176171</v>
      </c>
    </row>
    <row r="4513" spans="1:26" ht="12" customHeight="1" outlineLevel="4" x14ac:dyDescent="0.2">
      <c r="A4513" s="14" t="s">
        <v>8774</v>
      </c>
      <c r="B4513" s="26" t="s">
        <v>8775</v>
      </c>
      <c r="C4513" s="52"/>
      <c r="D4513" s="55">
        <f t="shared" si="70"/>
        <v>0</v>
      </c>
      <c r="E4513" s="63" t="str">
        <f>HYPERLINK("https://www.sds-group.ru/product/sverlo-perovoe-po-derevu-35h152-mm-shestigrannyy-hvostovik-kranz-KR-91-0674/", "Инфо")</f>
        <v>Инфо</v>
      </c>
      <c r="F4513" s="16" t="s">
        <v>39</v>
      </c>
      <c r="G4513" s="15"/>
      <c r="H4513" s="15"/>
      <c r="I4513" s="15"/>
      <c r="J4513" s="16" t="s">
        <v>100</v>
      </c>
      <c r="K4513" s="15" t="s">
        <v>1272</v>
      </c>
      <c r="L4513" s="17">
        <v>5</v>
      </c>
      <c r="M4513" s="17">
        <v>300</v>
      </c>
      <c r="N4513" s="17">
        <v>5</v>
      </c>
      <c r="O4513" s="18">
        <v>189.9</v>
      </c>
      <c r="P4513" s="18">
        <v>155.66</v>
      </c>
      <c r="Q4513" s="18">
        <v>180.41</v>
      </c>
      <c r="R4513" s="18">
        <v>147.88</v>
      </c>
      <c r="S4513" s="18">
        <v>129.13</v>
      </c>
      <c r="T4513" s="18">
        <v>105.84</v>
      </c>
      <c r="U4513" s="16"/>
      <c r="V4513" s="16"/>
      <c r="W4513" s="16" t="s">
        <v>40</v>
      </c>
      <c r="X4513" s="19">
        <v>6.4000000000000001E-2</v>
      </c>
      <c r="Y4513" s="20">
        <v>9.7E-5</v>
      </c>
      <c r="Z4513" s="21">
        <v>4601004176188</v>
      </c>
    </row>
    <row r="4514" spans="1:26" ht="12" customHeight="1" outlineLevel="4" x14ac:dyDescent="0.2">
      <c r="A4514" s="14" t="s">
        <v>8776</v>
      </c>
      <c r="B4514" s="26" t="s">
        <v>8777</v>
      </c>
      <c r="C4514" s="52"/>
      <c r="D4514" s="55">
        <f t="shared" si="70"/>
        <v>0</v>
      </c>
      <c r="E4514" s="63" t="str">
        <f>HYPERLINK("https://www.sds-group.ru/product/sverlo-perovoe-po-derevu-36h152-mm-shestigrannyy-hvostovik-kranz-KR-91-0675/", "Инфо")</f>
        <v>Инфо</v>
      </c>
      <c r="F4514" s="16" t="s">
        <v>39</v>
      </c>
      <c r="G4514" s="15"/>
      <c r="H4514" s="15"/>
      <c r="I4514" s="15"/>
      <c r="J4514" s="17">
        <v>705</v>
      </c>
      <c r="K4514" s="15" t="s">
        <v>979</v>
      </c>
      <c r="L4514" s="17">
        <v>5</v>
      </c>
      <c r="M4514" s="17">
        <v>300</v>
      </c>
      <c r="N4514" s="17">
        <v>5</v>
      </c>
      <c r="O4514" s="18">
        <v>211.7</v>
      </c>
      <c r="P4514" s="18">
        <v>173.52</v>
      </c>
      <c r="Q4514" s="18">
        <v>201.12</v>
      </c>
      <c r="R4514" s="18">
        <v>164.85</v>
      </c>
      <c r="S4514" s="18">
        <v>143.96</v>
      </c>
      <c r="T4514" s="18">
        <v>118</v>
      </c>
      <c r="U4514" s="16"/>
      <c r="V4514" s="16"/>
      <c r="W4514" s="16" t="s">
        <v>40</v>
      </c>
      <c r="X4514" s="19">
        <v>6.6000000000000003E-2</v>
      </c>
      <c r="Y4514" s="20">
        <v>1.01E-4</v>
      </c>
      <c r="Z4514" s="21">
        <v>4601004202856</v>
      </c>
    </row>
    <row r="4515" spans="1:26" ht="12" customHeight="1" outlineLevel="4" x14ac:dyDescent="0.2">
      <c r="A4515" s="14" t="s">
        <v>8778</v>
      </c>
      <c r="B4515" s="26" t="s">
        <v>8779</v>
      </c>
      <c r="C4515" s="52"/>
      <c r="D4515" s="55">
        <f t="shared" si="70"/>
        <v>0</v>
      </c>
      <c r="E4515" s="63" t="str">
        <f>HYPERLINK("https://www.sds-group.ru/product/sverlo-perovoe-po-derevu-38h152-mm-shestigrannyy-hvostovik-kranz-KR-91-0676/", "Инфо")</f>
        <v>Инфо</v>
      </c>
      <c r="F4515" s="16" t="s">
        <v>39</v>
      </c>
      <c r="G4515" s="15"/>
      <c r="H4515" s="15"/>
      <c r="I4515" s="15"/>
      <c r="J4515" s="17">
        <v>687</v>
      </c>
      <c r="K4515" s="15" t="s">
        <v>979</v>
      </c>
      <c r="L4515" s="17">
        <v>5</v>
      </c>
      <c r="M4515" s="17">
        <v>300</v>
      </c>
      <c r="N4515" s="17">
        <v>5</v>
      </c>
      <c r="O4515" s="18">
        <v>215.64</v>
      </c>
      <c r="P4515" s="18">
        <v>176.75</v>
      </c>
      <c r="Q4515" s="18">
        <v>204.86</v>
      </c>
      <c r="R4515" s="18">
        <v>167.92</v>
      </c>
      <c r="S4515" s="18">
        <v>146.63999999999999</v>
      </c>
      <c r="T4515" s="18">
        <v>120.2</v>
      </c>
      <c r="U4515" s="16"/>
      <c r="V4515" s="16"/>
      <c r="W4515" s="16" t="s">
        <v>40</v>
      </c>
      <c r="X4515" s="19">
        <v>6.6000000000000003E-2</v>
      </c>
      <c r="Y4515" s="20">
        <v>9.6000000000000002E-5</v>
      </c>
      <c r="Z4515" s="21">
        <v>4601004202863</v>
      </c>
    </row>
    <row r="4516" spans="1:26" ht="12" customHeight="1" outlineLevel="4" x14ac:dyDescent="0.2">
      <c r="A4516" s="14" t="s">
        <v>8780</v>
      </c>
      <c r="B4516" s="26" t="s">
        <v>8781</v>
      </c>
      <c r="C4516" s="52"/>
      <c r="D4516" s="55">
        <f t="shared" si="70"/>
        <v>0</v>
      </c>
      <c r="E4516" s="63" t="str">
        <f>HYPERLINK("https://www.sds-group.ru/product/sverlo-perovoe-po-derevu-40h152-mm-shestigrannyy-hvostovik-kranz-KR-91-0677/", "Инфо")</f>
        <v>Инфо</v>
      </c>
      <c r="F4516" s="16" t="s">
        <v>39</v>
      </c>
      <c r="G4516" s="15"/>
      <c r="H4516" s="15"/>
      <c r="I4516" s="15"/>
      <c r="J4516" s="22">
        <v>1782</v>
      </c>
      <c r="K4516" s="15"/>
      <c r="L4516" s="17">
        <v>5</v>
      </c>
      <c r="M4516" s="17">
        <v>300</v>
      </c>
      <c r="N4516" s="17">
        <v>5</v>
      </c>
      <c r="O4516" s="18">
        <v>255.13</v>
      </c>
      <c r="P4516" s="18">
        <v>209.12</v>
      </c>
      <c r="Q4516" s="18">
        <v>242.37</v>
      </c>
      <c r="R4516" s="18">
        <v>198.66</v>
      </c>
      <c r="S4516" s="18">
        <v>173.49</v>
      </c>
      <c r="T4516" s="18">
        <v>142.19999999999999</v>
      </c>
      <c r="U4516" s="16"/>
      <c r="V4516" s="16"/>
      <c r="W4516" s="16" t="s">
        <v>40</v>
      </c>
      <c r="X4516" s="19">
        <v>6.7000000000000004E-2</v>
      </c>
      <c r="Y4516" s="20">
        <v>1.02E-4</v>
      </c>
      <c r="Z4516" s="21">
        <v>4601004176195</v>
      </c>
    </row>
    <row r="4517" spans="1:26" ht="12" customHeight="1" outlineLevel="4" x14ac:dyDescent="0.2">
      <c r="A4517" s="14" t="s">
        <v>8782</v>
      </c>
      <c r="B4517" s="26" t="s">
        <v>8783</v>
      </c>
      <c r="C4517" s="52"/>
      <c r="D4517" s="55">
        <f t="shared" si="70"/>
        <v>0</v>
      </c>
      <c r="E4517" s="63" t="str">
        <f>HYPERLINK("https://www.sds-group.ru/product/sverlo-perovoe-po-derevu-45h152-mm-shestigrannyy-hvostovik-kranz-KR-91-0678/", "Инфо")</f>
        <v>Инфо</v>
      </c>
      <c r="F4517" s="16" t="s">
        <v>39</v>
      </c>
      <c r="G4517" s="15"/>
      <c r="H4517" s="15"/>
      <c r="I4517" s="15"/>
      <c r="J4517" s="22">
        <v>1193</v>
      </c>
      <c r="K4517" s="15"/>
      <c r="L4517" s="17">
        <v>5</v>
      </c>
      <c r="M4517" s="17">
        <v>300</v>
      </c>
      <c r="N4517" s="17">
        <v>5</v>
      </c>
      <c r="O4517" s="18">
        <v>303.13</v>
      </c>
      <c r="P4517" s="18">
        <v>248.47</v>
      </c>
      <c r="Q4517" s="18">
        <v>287.97000000000003</v>
      </c>
      <c r="R4517" s="18">
        <v>236.04</v>
      </c>
      <c r="S4517" s="18">
        <v>206.13</v>
      </c>
      <c r="T4517" s="18">
        <v>168.96</v>
      </c>
      <c r="U4517" s="16"/>
      <c r="V4517" s="16"/>
      <c r="W4517" s="16" t="s">
        <v>40</v>
      </c>
      <c r="X4517" s="19">
        <v>7.0999999999999994E-2</v>
      </c>
      <c r="Y4517" s="20">
        <v>9.8999999999999994E-5</v>
      </c>
      <c r="Z4517" s="21">
        <v>4601004202870</v>
      </c>
    </row>
    <row r="4518" spans="1:26" ht="12" customHeight="1" outlineLevel="4" x14ac:dyDescent="0.2">
      <c r="A4518" s="14" t="s">
        <v>8784</v>
      </c>
      <c r="B4518" s="26" t="s">
        <v>8785</v>
      </c>
      <c r="C4518" s="52"/>
      <c r="D4518" s="55">
        <f t="shared" si="70"/>
        <v>0</v>
      </c>
      <c r="E4518" s="63" t="str">
        <f>HYPERLINK("https://www.sds-group.ru/product/sverlo-perovoe-po-derevu-50h152-mm-shestigrannyy-hvostovik-kranz-KR-91-0679/", "Инфо")</f>
        <v>Инфо</v>
      </c>
      <c r="F4518" s="16" t="s">
        <v>39</v>
      </c>
      <c r="G4518" s="15"/>
      <c r="H4518" s="15"/>
      <c r="I4518" s="15"/>
      <c r="J4518" s="22">
        <v>2781</v>
      </c>
      <c r="K4518" s="15"/>
      <c r="L4518" s="17">
        <v>5</v>
      </c>
      <c r="M4518" s="17">
        <v>300</v>
      </c>
      <c r="N4518" s="17">
        <v>5</v>
      </c>
      <c r="O4518" s="18">
        <v>314.76</v>
      </c>
      <c r="P4518" s="18">
        <v>258</v>
      </c>
      <c r="Q4518" s="18">
        <v>299.02</v>
      </c>
      <c r="R4518" s="18">
        <v>245.1</v>
      </c>
      <c r="S4518" s="18">
        <v>214.04</v>
      </c>
      <c r="T4518" s="18">
        <v>175.44</v>
      </c>
      <c r="U4518" s="16"/>
      <c r="V4518" s="16"/>
      <c r="W4518" s="16" t="s">
        <v>40</v>
      </c>
      <c r="X4518" s="19">
        <v>7.4999999999999997E-2</v>
      </c>
      <c r="Y4518" s="20">
        <v>1E-4</v>
      </c>
      <c r="Z4518" s="21">
        <v>4601004176201</v>
      </c>
    </row>
    <row r="4519" spans="1:26" ht="12" customHeight="1" outlineLevel="4" x14ac:dyDescent="0.2">
      <c r="A4519" s="14" t="s">
        <v>8786</v>
      </c>
      <c r="B4519" s="26" t="s">
        <v>8787</v>
      </c>
      <c r="C4519" s="52"/>
      <c r="D4519" s="55">
        <f t="shared" si="70"/>
        <v>0</v>
      </c>
      <c r="E4519" s="63" t="str">
        <f>HYPERLINK("https://www.sds-group.ru/product/sverlo-perovoe-po-derevu-55h152-mm-shestigrannyy-hvostovik-kranz-KR-91-0680/", "Инфо")</f>
        <v>Инфо</v>
      </c>
      <c r="F4519" s="16" t="s">
        <v>39</v>
      </c>
      <c r="G4519" s="15"/>
      <c r="H4519" s="15"/>
      <c r="I4519" s="15"/>
      <c r="J4519" s="17">
        <v>775</v>
      </c>
      <c r="K4519" s="15"/>
      <c r="L4519" s="17">
        <v>5</v>
      </c>
      <c r="M4519" s="17">
        <v>300</v>
      </c>
      <c r="N4519" s="17">
        <v>5</v>
      </c>
      <c r="O4519" s="18">
        <v>372.84</v>
      </c>
      <c r="P4519" s="18">
        <v>305.61</v>
      </c>
      <c r="Q4519" s="18">
        <v>335.56</v>
      </c>
      <c r="R4519" s="18">
        <v>275.05</v>
      </c>
      <c r="S4519" s="18">
        <v>253.53</v>
      </c>
      <c r="T4519" s="18">
        <v>207.81</v>
      </c>
      <c r="U4519" s="16"/>
      <c r="V4519" s="16"/>
      <c r="W4519" s="16" t="s">
        <v>40</v>
      </c>
      <c r="X4519" s="19">
        <v>7.6999999999999999E-2</v>
      </c>
      <c r="Y4519" s="20">
        <v>1.02E-4</v>
      </c>
      <c r="Z4519" s="21">
        <v>4601004202887</v>
      </c>
    </row>
    <row r="4520" spans="1:26" ht="12" customHeight="1" outlineLevel="4" x14ac:dyDescent="0.2">
      <c r="A4520" s="14" t="s">
        <v>8788</v>
      </c>
      <c r="B4520" s="26" t="s">
        <v>8789</v>
      </c>
      <c r="C4520" s="52"/>
      <c r="D4520" s="55">
        <f t="shared" si="70"/>
        <v>0</v>
      </c>
      <c r="E4520" s="63" t="str">
        <f>HYPERLINK("https://www.sds-group.ru/product/sverlo-perovoe-po-derevu-6h152-mm-shestigrannyy-hvostovik-kranz-KR-91-0660/", "Инфо")</f>
        <v>Инфо</v>
      </c>
      <c r="F4520" s="16" t="s">
        <v>39</v>
      </c>
      <c r="G4520" s="15"/>
      <c r="H4520" s="15"/>
      <c r="I4520" s="15"/>
      <c r="J4520" s="22">
        <v>2277</v>
      </c>
      <c r="K4520" s="15" t="s">
        <v>979</v>
      </c>
      <c r="L4520" s="17">
        <v>5</v>
      </c>
      <c r="M4520" s="17">
        <v>300</v>
      </c>
      <c r="N4520" s="17">
        <v>5</v>
      </c>
      <c r="O4520" s="18">
        <v>95.03</v>
      </c>
      <c r="P4520" s="18">
        <v>77.89</v>
      </c>
      <c r="Q4520" s="18">
        <v>90.28</v>
      </c>
      <c r="R4520" s="18">
        <v>74</v>
      </c>
      <c r="S4520" s="18">
        <v>64.62</v>
      </c>
      <c r="T4520" s="18">
        <v>52.97</v>
      </c>
      <c r="U4520" s="16"/>
      <c r="V4520" s="16"/>
      <c r="W4520" s="16" t="s">
        <v>40</v>
      </c>
      <c r="X4520" s="19">
        <v>3.9E-2</v>
      </c>
      <c r="Y4520" s="20">
        <v>9.7999999999999997E-5</v>
      </c>
      <c r="Z4520" s="21">
        <v>4601004202825</v>
      </c>
    </row>
    <row r="4521" spans="1:26" ht="12" customHeight="1" outlineLevel="4" x14ac:dyDescent="0.2">
      <c r="A4521" s="14" t="s">
        <v>8790</v>
      </c>
      <c r="B4521" s="26" t="s">
        <v>8791</v>
      </c>
      <c r="C4521" s="52"/>
      <c r="D4521" s="55">
        <f t="shared" si="70"/>
        <v>0</v>
      </c>
      <c r="E4521" s="63" t="str">
        <f>HYPERLINK("https://www.sds-group.ru/product/sverlo-perovoe-po-derevu-8h152-mm-shestigrannyy-hvostovik-kranz-KR-91-0661/", "Инфо")</f>
        <v>Инфо</v>
      </c>
      <c r="F4521" s="16" t="s">
        <v>39</v>
      </c>
      <c r="G4521" s="15"/>
      <c r="H4521" s="15"/>
      <c r="I4521" s="15"/>
      <c r="J4521" s="22">
        <v>1139</v>
      </c>
      <c r="K4521" s="15" t="s">
        <v>979</v>
      </c>
      <c r="L4521" s="17">
        <v>5</v>
      </c>
      <c r="M4521" s="17">
        <v>300</v>
      </c>
      <c r="N4521" s="17">
        <v>5</v>
      </c>
      <c r="O4521" s="18">
        <v>98.7</v>
      </c>
      <c r="P4521" s="18">
        <v>80.900000000000006</v>
      </c>
      <c r="Q4521" s="18">
        <v>93.77</v>
      </c>
      <c r="R4521" s="18">
        <v>76.86</v>
      </c>
      <c r="S4521" s="18">
        <v>67.12</v>
      </c>
      <c r="T4521" s="18">
        <v>55.02</v>
      </c>
      <c r="U4521" s="16"/>
      <c r="V4521" s="16"/>
      <c r="W4521" s="16" t="s">
        <v>40</v>
      </c>
      <c r="X4521" s="19">
        <v>0.04</v>
      </c>
      <c r="Y4521" s="20">
        <v>9.8999999999999994E-5</v>
      </c>
      <c r="Z4521" s="21">
        <v>4601004202832</v>
      </c>
    </row>
    <row r="4522" spans="1:26" ht="12" customHeight="1" outlineLevel="4" x14ac:dyDescent="0.2">
      <c r="A4522" s="14" t="s">
        <v>8792</v>
      </c>
      <c r="B4522" s="26" t="s">
        <v>8793</v>
      </c>
      <c r="C4522" s="52"/>
      <c r="D4522" s="55">
        <f t="shared" si="70"/>
        <v>0</v>
      </c>
      <c r="E4522" s="63" t="str">
        <f>HYPERLINK("https://www.sds-group.ru/product/udlinitel-sverla-perovogo-po-derevu-300-mm-e-6-3-kranz-KR-91-0761/", "Инфо")</f>
        <v>Инфо</v>
      </c>
      <c r="F4522" s="16" t="s">
        <v>39</v>
      </c>
      <c r="G4522" s="15"/>
      <c r="H4522" s="15"/>
      <c r="I4522" s="15"/>
      <c r="J4522" s="22">
        <v>1520</v>
      </c>
      <c r="K4522" s="15"/>
      <c r="L4522" s="17">
        <v>5</v>
      </c>
      <c r="M4522" s="17">
        <v>120</v>
      </c>
      <c r="N4522" s="17">
        <v>5</v>
      </c>
      <c r="O4522" s="18">
        <v>288.81</v>
      </c>
      <c r="P4522" s="18">
        <v>236.73</v>
      </c>
      <c r="Q4522" s="18">
        <v>274.37</v>
      </c>
      <c r="R4522" s="18">
        <v>224.89</v>
      </c>
      <c r="S4522" s="18">
        <v>196.39</v>
      </c>
      <c r="T4522" s="18">
        <v>160.97999999999999</v>
      </c>
      <c r="U4522" s="16"/>
      <c r="V4522" s="16"/>
      <c r="W4522" s="16" t="s">
        <v>40</v>
      </c>
      <c r="X4522" s="19">
        <v>0.13300000000000001</v>
      </c>
      <c r="Y4522" s="20">
        <v>2.02E-4</v>
      </c>
      <c r="Z4522" s="21">
        <v>4601004176218</v>
      </c>
    </row>
    <row r="4523" spans="1:26" ht="12.95" customHeight="1" outlineLevel="3" x14ac:dyDescent="0.2">
      <c r="A4523" s="76" t="s">
        <v>8794</v>
      </c>
      <c r="B4523" s="76"/>
      <c r="C4523" s="77"/>
      <c r="D4523" s="58"/>
      <c r="E4523" s="68"/>
      <c r="F4523" s="13"/>
      <c r="G4523" s="13"/>
      <c r="H4523" s="13"/>
      <c r="I4523" s="13"/>
      <c r="J4523" s="13"/>
      <c r="K4523" s="13"/>
      <c r="L4523" s="13"/>
      <c r="M4523" s="13"/>
      <c r="N4523" s="13"/>
      <c r="O4523" s="13"/>
      <c r="P4523" s="13"/>
      <c r="Q4523" s="13"/>
      <c r="R4523" s="13"/>
      <c r="S4523" s="13"/>
      <c r="T4523" s="13"/>
      <c r="U4523" s="13"/>
      <c r="V4523" s="13"/>
      <c r="W4523" s="13"/>
      <c r="X4523" s="13"/>
      <c r="Y4523" s="13"/>
      <c r="Z4523" s="13"/>
    </row>
    <row r="4524" spans="1:26" ht="12" customHeight="1" outlineLevel="4" x14ac:dyDescent="0.2">
      <c r="A4524" s="14" t="s">
        <v>8795</v>
      </c>
      <c r="B4524" s="26" t="s">
        <v>8796</v>
      </c>
      <c r="C4524" s="52"/>
      <c r="D4524" s="55">
        <f t="shared" si="70"/>
        <v>0</v>
      </c>
      <c r="E4524" s="63" t="str">
        <f>HYPERLINK("https://www.sds-group.ru/product/nabor-sverl-perovyh-po-derevu-9-predmetov-14-16-18-20-22-25-30h152-mm-udlinitel-klyuch-ug-KR-91-0762/", "Инфо")</f>
        <v>Инфо</v>
      </c>
      <c r="F4524" s="16" t="s">
        <v>4698</v>
      </c>
      <c r="G4524" s="15"/>
      <c r="H4524" s="15"/>
      <c r="I4524" s="15"/>
      <c r="J4524" s="16" t="s">
        <v>100</v>
      </c>
      <c r="K4524" s="15" t="s">
        <v>979</v>
      </c>
      <c r="L4524" s="17">
        <v>1</v>
      </c>
      <c r="M4524" s="17">
        <v>40</v>
      </c>
      <c r="N4524" s="17">
        <v>1</v>
      </c>
      <c r="O4524" s="18">
        <v>891.44</v>
      </c>
      <c r="P4524" s="18">
        <v>730.69</v>
      </c>
      <c r="Q4524" s="18">
        <v>802.3</v>
      </c>
      <c r="R4524" s="18">
        <v>657.62</v>
      </c>
      <c r="S4524" s="18">
        <v>606.17999999999995</v>
      </c>
      <c r="T4524" s="18">
        <v>496.87</v>
      </c>
      <c r="U4524" s="16"/>
      <c r="V4524" s="16"/>
      <c r="W4524" s="16" t="s">
        <v>40</v>
      </c>
      <c r="X4524" s="19">
        <v>0.436</v>
      </c>
      <c r="Y4524" s="20">
        <v>7.2300000000000001E-4</v>
      </c>
      <c r="Z4524" s="21">
        <v>4601004176225</v>
      </c>
    </row>
    <row r="4525" spans="1:26" ht="12.95" customHeight="1" outlineLevel="3" x14ac:dyDescent="0.2">
      <c r="A4525" s="76" t="s">
        <v>8797</v>
      </c>
      <c r="B4525" s="76"/>
      <c r="C4525" s="77"/>
      <c r="D4525" s="58"/>
      <c r="E4525" s="68"/>
      <c r="F4525" s="13"/>
      <c r="G4525" s="13"/>
      <c r="H4525" s="13"/>
      <c r="I4525" s="13"/>
      <c r="J4525" s="13"/>
      <c r="K4525" s="13"/>
      <c r="L4525" s="13"/>
      <c r="M4525" s="13"/>
      <c r="N4525" s="13"/>
      <c r="O4525" s="13"/>
      <c r="P4525" s="13"/>
      <c r="Q4525" s="13"/>
      <c r="R4525" s="13"/>
      <c r="S4525" s="13"/>
      <c r="T4525" s="13"/>
      <c r="U4525" s="13"/>
      <c r="V4525" s="13"/>
      <c r="W4525" s="13"/>
      <c r="X4525" s="13"/>
      <c r="Y4525" s="13"/>
      <c r="Z4525" s="13"/>
    </row>
    <row r="4526" spans="1:26" ht="12" customHeight="1" outlineLevel="4" x14ac:dyDescent="0.2">
      <c r="A4526" s="14" t="s">
        <v>8798</v>
      </c>
      <c r="B4526" s="26" t="s">
        <v>8799</v>
      </c>
      <c r="C4526" s="52"/>
      <c r="D4526" s="55">
        <f t="shared" si="70"/>
        <v>0</v>
      </c>
      <c r="E4526" s="63" t="str">
        <f>HYPERLINK("https://www.sds-group.ru/product/sverlo-vintovoe-po-derevu-10h230mm-shestigrannyy-hvostovik-kranz-KR-91-0692/", "Инфо")</f>
        <v>Инфо</v>
      </c>
      <c r="F4526" s="16" t="s">
        <v>39</v>
      </c>
      <c r="G4526" s="15"/>
      <c r="H4526" s="15"/>
      <c r="I4526" s="15"/>
      <c r="J4526" s="17">
        <v>442</v>
      </c>
      <c r="K4526" s="15"/>
      <c r="L4526" s="17">
        <v>5</v>
      </c>
      <c r="M4526" s="17">
        <v>250</v>
      </c>
      <c r="N4526" s="17">
        <v>5</v>
      </c>
      <c r="O4526" s="18">
        <v>199.28</v>
      </c>
      <c r="P4526" s="18">
        <v>163.34</v>
      </c>
      <c r="Q4526" s="18">
        <v>189.32</v>
      </c>
      <c r="R4526" s="18">
        <v>155.18</v>
      </c>
      <c r="S4526" s="18">
        <v>135.51</v>
      </c>
      <c r="T4526" s="18">
        <v>111.07</v>
      </c>
      <c r="U4526" s="16"/>
      <c r="V4526" s="16"/>
      <c r="W4526" s="16" t="s">
        <v>40</v>
      </c>
      <c r="X4526" s="19">
        <v>9.9000000000000005E-2</v>
      </c>
      <c r="Y4526" s="20">
        <v>1E-4</v>
      </c>
      <c r="Z4526" s="21">
        <v>4601004176249</v>
      </c>
    </row>
    <row r="4527" spans="1:26" ht="12" customHeight="1" outlineLevel="4" x14ac:dyDescent="0.2">
      <c r="A4527" s="14" t="s">
        <v>8800</v>
      </c>
      <c r="B4527" s="26" t="s">
        <v>8801</v>
      </c>
      <c r="C4527" s="52"/>
      <c r="D4527" s="55">
        <f t="shared" si="70"/>
        <v>0</v>
      </c>
      <c r="E4527" s="63" t="str">
        <f>HYPERLINK("https://www.sds-group.ru/product/sverlo-vintovoe-po-derevu-12h230mm-shestigrannyy-hvostovik-kranz-KR-91-0702/", "Инфо")</f>
        <v>Инфо</v>
      </c>
      <c r="F4527" s="16" t="s">
        <v>39</v>
      </c>
      <c r="G4527" s="15"/>
      <c r="H4527" s="15"/>
      <c r="I4527" s="15"/>
      <c r="J4527" s="17">
        <v>322</v>
      </c>
      <c r="K4527" s="15"/>
      <c r="L4527" s="17">
        <v>5</v>
      </c>
      <c r="M4527" s="17">
        <v>200</v>
      </c>
      <c r="N4527" s="17">
        <v>5</v>
      </c>
      <c r="O4527" s="18">
        <v>233.2</v>
      </c>
      <c r="P4527" s="18">
        <v>191.15</v>
      </c>
      <c r="Q4527" s="18">
        <v>221.54</v>
      </c>
      <c r="R4527" s="18">
        <v>181.59</v>
      </c>
      <c r="S4527" s="18">
        <v>158.58000000000001</v>
      </c>
      <c r="T4527" s="18">
        <v>129.97999999999999</v>
      </c>
      <c r="U4527" s="16"/>
      <c r="V4527" s="16"/>
      <c r="W4527" s="16" t="s">
        <v>40</v>
      </c>
      <c r="X4527" s="19">
        <v>0.13900000000000001</v>
      </c>
      <c r="Y4527" s="20">
        <v>1.17E-4</v>
      </c>
      <c r="Z4527" s="21">
        <v>4601004176256</v>
      </c>
    </row>
    <row r="4528" spans="1:26" ht="12" customHeight="1" outlineLevel="4" x14ac:dyDescent="0.2">
      <c r="A4528" s="14" t="s">
        <v>8802</v>
      </c>
      <c r="B4528" s="26" t="s">
        <v>8803</v>
      </c>
      <c r="C4528" s="52"/>
      <c r="D4528" s="55">
        <f t="shared" si="70"/>
        <v>0</v>
      </c>
      <c r="E4528" s="63" t="str">
        <f>HYPERLINK("https://www.sds-group.ru/product/sverlo-vintovoe-po-derevu-14h230mm-shestigrannyy-hvostovik-kranz-KR-91-0705/", "Инфо")</f>
        <v>Инфо</v>
      </c>
      <c r="F4528" s="16" t="s">
        <v>39</v>
      </c>
      <c r="G4528" s="15"/>
      <c r="H4528" s="15"/>
      <c r="I4528" s="15"/>
      <c r="J4528" s="17">
        <v>870</v>
      </c>
      <c r="K4528" s="15"/>
      <c r="L4528" s="17">
        <v>5</v>
      </c>
      <c r="M4528" s="17">
        <v>150</v>
      </c>
      <c r="N4528" s="17">
        <v>5</v>
      </c>
      <c r="O4528" s="18">
        <v>267.12</v>
      </c>
      <c r="P4528" s="18">
        <v>218.95</v>
      </c>
      <c r="Q4528" s="18">
        <v>253.76</v>
      </c>
      <c r="R4528" s="18">
        <v>208</v>
      </c>
      <c r="S4528" s="18">
        <v>181.64</v>
      </c>
      <c r="T4528" s="18">
        <v>148.88999999999999</v>
      </c>
      <c r="U4528" s="16"/>
      <c r="V4528" s="16"/>
      <c r="W4528" s="16" t="s">
        <v>40</v>
      </c>
      <c r="X4528" s="19">
        <v>0.16900000000000001</v>
      </c>
      <c r="Y4528" s="20">
        <v>1.6100000000000001E-4</v>
      </c>
      <c r="Z4528" s="21">
        <v>4601004176263</v>
      </c>
    </row>
    <row r="4529" spans="1:26" ht="12" customHeight="1" outlineLevel="4" x14ac:dyDescent="0.2">
      <c r="A4529" s="14" t="s">
        <v>8804</v>
      </c>
      <c r="B4529" s="26" t="s">
        <v>8805</v>
      </c>
      <c r="C4529" s="52"/>
      <c r="D4529" s="55">
        <f t="shared" si="70"/>
        <v>0</v>
      </c>
      <c r="E4529" s="63" t="str">
        <f>HYPERLINK("https://www.sds-group.ru/product/sverlo-vintovoe-po-derevu-16h230mm-shestigrannyy-hvostovik-kranz-KR-91-0707/", "Инфо")</f>
        <v>Инфо</v>
      </c>
      <c r="F4529" s="16" t="s">
        <v>39</v>
      </c>
      <c r="G4529" s="15"/>
      <c r="H4529" s="15"/>
      <c r="I4529" s="15"/>
      <c r="J4529" s="16" t="s">
        <v>100</v>
      </c>
      <c r="K4529" s="15"/>
      <c r="L4529" s="17">
        <v>5</v>
      </c>
      <c r="M4529" s="17">
        <v>126</v>
      </c>
      <c r="N4529" s="17">
        <v>5</v>
      </c>
      <c r="O4529" s="18">
        <v>323.3</v>
      </c>
      <c r="P4529" s="18">
        <v>265</v>
      </c>
      <c r="Q4529" s="18">
        <v>307.14</v>
      </c>
      <c r="R4529" s="18">
        <v>251.75</v>
      </c>
      <c r="S4529" s="18">
        <v>219.84</v>
      </c>
      <c r="T4529" s="18">
        <v>180.2</v>
      </c>
      <c r="U4529" s="16"/>
      <c r="V4529" s="16"/>
      <c r="W4529" s="16" t="s">
        <v>40</v>
      </c>
      <c r="X4529" s="19">
        <v>0.19400000000000001</v>
      </c>
      <c r="Y4529" s="20">
        <v>1.9100000000000001E-4</v>
      </c>
      <c r="Z4529" s="21">
        <v>4601004176270</v>
      </c>
    </row>
    <row r="4530" spans="1:26" ht="12" customHeight="1" outlineLevel="4" x14ac:dyDescent="0.2">
      <c r="A4530" s="14" t="s">
        <v>8806</v>
      </c>
      <c r="B4530" s="26" t="s">
        <v>8807</v>
      </c>
      <c r="C4530" s="52"/>
      <c r="D4530" s="55">
        <f t="shared" si="70"/>
        <v>0</v>
      </c>
      <c r="E4530" s="63" t="str">
        <f>HYPERLINK("https://www.sds-group.ru/product/sverlo-vintovoe-po-derevu-18h230mm-shestigrannyy-hvostovik-kranz-KR-91-0709/", "Инфо")</f>
        <v>Инфо</v>
      </c>
      <c r="F4530" s="16" t="s">
        <v>39</v>
      </c>
      <c r="G4530" s="15"/>
      <c r="H4530" s="15"/>
      <c r="I4530" s="15"/>
      <c r="J4530" s="17">
        <v>234</v>
      </c>
      <c r="K4530" s="15"/>
      <c r="L4530" s="17">
        <v>1</v>
      </c>
      <c r="M4530" s="17">
        <v>100</v>
      </c>
      <c r="N4530" s="17">
        <v>1</v>
      </c>
      <c r="O4530" s="18">
        <v>381.6</v>
      </c>
      <c r="P4530" s="18">
        <v>312.79000000000002</v>
      </c>
      <c r="Q4530" s="18">
        <v>343.44</v>
      </c>
      <c r="R4530" s="18">
        <v>281.51</v>
      </c>
      <c r="S4530" s="18">
        <v>259.49</v>
      </c>
      <c r="T4530" s="18">
        <v>212.7</v>
      </c>
      <c r="U4530" s="16"/>
      <c r="V4530" s="16"/>
      <c r="W4530" s="16" t="s">
        <v>40</v>
      </c>
      <c r="X4530" s="19">
        <v>0.23200000000000001</v>
      </c>
      <c r="Y4530" s="20">
        <v>2.3599999999999999E-4</v>
      </c>
      <c r="Z4530" s="21">
        <v>4601004202979</v>
      </c>
    </row>
    <row r="4531" spans="1:26" ht="12" customHeight="1" outlineLevel="4" x14ac:dyDescent="0.2">
      <c r="A4531" s="14" t="s">
        <v>8808</v>
      </c>
      <c r="B4531" s="26" t="s">
        <v>8809</v>
      </c>
      <c r="C4531" s="52"/>
      <c r="D4531" s="55">
        <f t="shared" si="70"/>
        <v>0</v>
      </c>
      <c r="E4531" s="63" t="str">
        <f>HYPERLINK("https://www.sds-group.ru/product/sverlo-vintovoe-po-derevu-20h230mm-shestigrannyy-hvostovik-kranz-KR-91-0711/", "Инфо")</f>
        <v>Инфо</v>
      </c>
      <c r="F4531" s="16" t="s">
        <v>39</v>
      </c>
      <c r="G4531" s="15"/>
      <c r="H4531" s="15"/>
      <c r="I4531" s="15"/>
      <c r="J4531" s="17">
        <v>212</v>
      </c>
      <c r="K4531" s="15"/>
      <c r="L4531" s="17">
        <v>1</v>
      </c>
      <c r="M4531" s="17">
        <v>100</v>
      </c>
      <c r="N4531" s="17">
        <v>1</v>
      </c>
      <c r="O4531" s="18">
        <v>492.9</v>
      </c>
      <c r="P4531" s="18">
        <v>404.02</v>
      </c>
      <c r="Q4531" s="18">
        <v>443.61</v>
      </c>
      <c r="R4531" s="18">
        <v>363.61</v>
      </c>
      <c r="S4531" s="18">
        <v>335.17</v>
      </c>
      <c r="T4531" s="18">
        <v>274.73</v>
      </c>
      <c r="U4531" s="16"/>
      <c r="V4531" s="16"/>
      <c r="W4531" s="16" t="s">
        <v>40</v>
      </c>
      <c r="X4531" s="19">
        <v>0.28799999999999998</v>
      </c>
      <c r="Y4531" s="20">
        <v>3.6200000000000002E-4</v>
      </c>
      <c r="Z4531" s="21">
        <v>4601004176287</v>
      </c>
    </row>
    <row r="4532" spans="1:26" ht="12" customHeight="1" outlineLevel="4" x14ac:dyDescent="0.2">
      <c r="A4532" s="14" t="s">
        <v>8810</v>
      </c>
      <c r="B4532" s="26" t="s">
        <v>8811</v>
      </c>
      <c r="C4532" s="52"/>
      <c r="D4532" s="55">
        <f t="shared" si="70"/>
        <v>0</v>
      </c>
      <c r="E4532" s="63" t="str">
        <f>HYPERLINK("https://www.sds-group.ru/product/sverlo-vintovoe-po-derevu-22h230mm-shestigrannyy-hvostovik-kranz-KR-91-0713/", "Инфо")</f>
        <v>Инфо</v>
      </c>
      <c r="F4532" s="16" t="s">
        <v>39</v>
      </c>
      <c r="G4532" s="15"/>
      <c r="H4532" s="15"/>
      <c r="I4532" s="15"/>
      <c r="J4532" s="17">
        <v>465</v>
      </c>
      <c r="K4532" s="15"/>
      <c r="L4532" s="17">
        <v>1</v>
      </c>
      <c r="M4532" s="17">
        <v>50</v>
      </c>
      <c r="N4532" s="17">
        <v>1</v>
      </c>
      <c r="O4532" s="18">
        <v>552.71</v>
      </c>
      <c r="P4532" s="18">
        <v>453.04</v>
      </c>
      <c r="Q4532" s="18">
        <v>497.44</v>
      </c>
      <c r="R4532" s="18">
        <v>407.74</v>
      </c>
      <c r="S4532" s="18">
        <v>375.84</v>
      </c>
      <c r="T4532" s="18">
        <v>308.07</v>
      </c>
      <c r="U4532" s="16"/>
      <c r="V4532" s="16"/>
      <c r="W4532" s="16" t="s">
        <v>40</v>
      </c>
      <c r="X4532" s="19">
        <v>0.30599999999999999</v>
      </c>
      <c r="Y4532" s="20">
        <v>3.2400000000000001E-4</v>
      </c>
      <c r="Z4532" s="21">
        <v>4601004202986</v>
      </c>
    </row>
    <row r="4533" spans="1:26" ht="12" customHeight="1" outlineLevel="4" x14ac:dyDescent="0.2">
      <c r="A4533" s="14" t="s">
        <v>8812</v>
      </c>
      <c r="B4533" s="26" t="s">
        <v>8813</v>
      </c>
      <c r="C4533" s="52"/>
      <c r="D4533" s="55">
        <f t="shared" si="70"/>
        <v>0</v>
      </c>
      <c r="E4533" s="63" t="str">
        <f>HYPERLINK("https://www.sds-group.ru/product/sverlo-vintovoe-po-derevu-25h230mm-shestigrannyy-hvostovik-kranz-KR-91-0715/", "Инфо")</f>
        <v>Инфо</v>
      </c>
      <c r="F4533" s="16" t="s">
        <v>39</v>
      </c>
      <c r="G4533" s="15"/>
      <c r="H4533" s="15"/>
      <c r="I4533" s="15"/>
      <c r="J4533" s="17">
        <v>401</v>
      </c>
      <c r="K4533" s="15"/>
      <c r="L4533" s="17">
        <v>1</v>
      </c>
      <c r="M4533" s="17">
        <v>50</v>
      </c>
      <c r="N4533" s="17">
        <v>1</v>
      </c>
      <c r="O4533" s="18">
        <v>607.46</v>
      </c>
      <c r="P4533" s="18">
        <v>497.92</v>
      </c>
      <c r="Q4533" s="18">
        <v>546.71</v>
      </c>
      <c r="R4533" s="18">
        <v>448.12</v>
      </c>
      <c r="S4533" s="18">
        <v>413.07</v>
      </c>
      <c r="T4533" s="18">
        <v>338.58</v>
      </c>
      <c r="U4533" s="16"/>
      <c r="V4533" s="16"/>
      <c r="W4533" s="16" t="s">
        <v>40</v>
      </c>
      <c r="X4533" s="19">
        <v>0.38200000000000001</v>
      </c>
      <c r="Y4533" s="20">
        <v>3.3199999999999999E-4</v>
      </c>
      <c r="Z4533" s="21">
        <v>4601004202993</v>
      </c>
    </row>
    <row r="4534" spans="1:26" ht="12" customHeight="1" outlineLevel="4" x14ac:dyDescent="0.2">
      <c r="A4534" s="32" t="s">
        <v>8814</v>
      </c>
      <c r="B4534" s="74" t="s">
        <v>8815</v>
      </c>
      <c r="C4534" s="50"/>
      <c r="D4534" s="53">
        <f t="shared" si="70"/>
        <v>0</v>
      </c>
      <c r="E4534" s="60" t="str">
        <f>HYPERLINK("https://www.sds-group.ru/product/sverlo-vintovoe-po-derevu-28h230mm-shestigrannyy-hvostovik-kranz-KR-91-0781/", "Инфо")</f>
        <v>Инфо</v>
      </c>
      <c r="F4534" s="34" t="s">
        <v>39</v>
      </c>
      <c r="G4534" s="33"/>
      <c r="H4534" s="33" t="s">
        <v>40</v>
      </c>
      <c r="I4534" s="33"/>
      <c r="J4534" s="35">
        <v>430</v>
      </c>
      <c r="K4534" s="33"/>
      <c r="L4534" s="35">
        <v>1</v>
      </c>
      <c r="M4534" s="35">
        <v>50</v>
      </c>
      <c r="N4534" s="35">
        <v>1</v>
      </c>
      <c r="O4534" s="36">
        <v>712.23</v>
      </c>
      <c r="P4534" s="36">
        <v>583.79999999999995</v>
      </c>
      <c r="Q4534" s="36">
        <v>641.01</v>
      </c>
      <c r="R4534" s="36">
        <v>525.41999999999996</v>
      </c>
      <c r="S4534" s="36">
        <v>484.32</v>
      </c>
      <c r="T4534" s="36">
        <v>396.98</v>
      </c>
      <c r="U4534" s="34"/>
      <c r="V4534" s="34"/>
      <c r="W4534" s="34" t="s">
        <v>40</v>
      </c>
      <c r="X4534" s="37">
        <v>0.47399999999999998</v>
      </c>
      <c r="Y4534" s="38">
        <v>5.3399999999999997E-4</v>
      </c>
      <c r="Z4534" s="21">
        <v>4601004203037</v>
      </c>
    </row>
    <row r="4535" spans="1:26" ht="12" customHeight="1" outlineLevel="4" x14ac:dyDescent="0.2">
      <c r="A4535" s="32" t="s">
        <v>8816</v>
      </c>
      <c r="B4535" s="74" t="s">
        <v>8817</v>
      </c>
      <c r="C4535" s="50"/>
      <c r="D4535" s="53">
        <f t="shared" si="70"/>
        <v>0</v>
      </c>
      <c r="E4535" s="60" t="str">
        <f>HYPERLINK("https://www.sds-group.ru/product/sverlo-vintovoe-po-derevu-30h230mm-shestigrannyy-hvostovik-kranz-KR-91-0718/", "Инфо")</f>
        <v>Инфо</v>
      </c>
      <c r="F4535" s="34" t="s">
        <v>39</v>
      </c>
      <c r="G4535" s="33"/>
      <c r="H4535" s="33" t="s">
        <v>40</v>
      </c>
      <c r="I4535" s="33"/>
      <c r="J4535" s="34" t="s">
        <v>100</v>
      </c>
      <c r="K4535" s="33"/>
      <c r="L4535" s="35">
        <v>1</v>
      </c>
      <c r="M4535" s="35">
        <v>50</v>
      </c>
      <c r="N4535" s="35">
        <v>1</v>
      </c>
      <c r="O4535" s="36">
        <v>905.72</v>
      </c>
      <c r="P4535" s="36">
        <v>742.39</v>
      </c>
      <c r="Q4535" s="36">
        <v>634</v>
      </c>
      <c r="R4535" s="36">
        <v>519.66999999999996</v>
      </c>
      <c r="S4535" s="36">
        <v>615.89</v>
      </c>
      <c r="T4535" s="36">
        <v>504.83</v>
      </c>
      <c r="U4535" s="34"/>
      <c r="V4535" s="34"/>
      <c r="W4535" s="34"/>
      <c r="X4535" s="37">
        <v>0.5</v>
      </c>
      <c r="Y4535" s="38">
        <v>5.5699999999999999E-4</v>
      </c>
      <c r="Z4535" s="21">
        <v>4601004203006</v>
      </c>
    </row>
    <row r="4536" spans="1:26" ht="12" customHeight="1" outlineLevel="4" x14ac:dyDescent="0.2">
      <c r="A4536" s="14" t="s">
        <v>8818</v>
      </c>
      <c r="B4536" s="26" t="s">
        <v>8819</v>
      </c>
      <c r="C4536" s="52"/>
      <c r="D4536" s="55">
        <f t="shared" si="70"/>
        <v>0</v>
      </c>
      <c r="E4536" s="63" t="str">
        <f>HYPERLINK("https://www.sds-group.ru/product/sverlo-vintovoe-po-derevu-32h230mm-shestigrannyy-hvostovik-kranz-KR-91-0721/", "Инфо")</f>
        <v>Инфо</v>
      </c>
      <c r="F4536" s="16" t="s">
        <v>39</v>
      </c>
      <c r="G4536" s="15"/>
      <c r="H4536" s="15"/>
      <c r="I4536" s="15"/>
      <c r="J4536" s="17">
        <v>979</v>
      </c>
      <c r="K4536" s="15"/>
      <c r="L4536" s="17">
        <v>1</v>
      </c>
      <c r="M4536" s="17">
        <v>50</v>
      </c>
      <c r="N4536" s="17">
        <v>1</v>
      </c>
      <c r="O4536" s="18">
        <v>964.7</v>
      </c>
      <c r="P4536" s="18">
        <v>790.74</v>
      </c>
      <c r="Q4536" s="18">
        <v>868.23</v>
      </c>
      <c r="R4536" s="18">
        <v>711.66</v>
      </c>
      <c r="S4536" s="18">
        <v>656</v>
      </c>
      <c r="T4536" s="18">
        <v>537.70000000000005</v>
      </c>
      <c r="U4536" s="16"/>
      <c r="V4536" s="16"/>
      <c r="W4536" s="16" t="s">
        <v>40</v>
      </c>
      <c r="X4536" s="19">
        <v>0.55800000000000005</v>
      </c>
      <c r="Y4536" s="20">
        <v>5.6400000000000005E-4</v>
      </c>
      <c r="Z4536" s="21">
        <v>4601004203013</v>
      </c>
    </row>
    <row r="4537" spans="1:26" ht="12" customHeight="1" outlineLevel="4" x14ac:dyDescent="0.2">
      <c r="A4537" s="14" t="s">
        <v>8820</v>
      </c>
      <c r="B4537" s="26" t="s">
        <v>8821</v>
      </c>
      <c r="C4537" s="52"/>
      <c r="D4537" s="55">
        <f t="shared" si="70"/>
        <v>0</v>
      </c>
      <c r="E4537" s="63" t="str">
        <f>HYPERLINK("https://www.sds-group.ru/product/sverlo-vintovoe-po-derevu-35h230mm-shestigrannyy-hvostovik-kranz-KR-91-0724/", "Инфо")</f>
        <v>Инфо</v>
      </c>
      <c r="F4537" s="16" t="s">
        <v>39</v>
      </c>
      <c r="G4537" s="15"/>
      <c r="H4537" s="15"/>
      <c r="I4537" s="15"/>
      <c r="J4537" s="17">
        <v>628</v>
      </c>
      <c r="K4537" s="15"/>
      <c r="L4537" s="17">
        <v>1</v>
      </c>
      <c r="M4537" s="17">
        <v>50</v>
      </c>
      <c r="N4537" s="17">
        <v>1</v>
      </c>
      <c r="O4537" s="18">
        <v>1222.58</v>
      </c>
      <c r="P4537" s="18">
        <v>1002.11</v>
      </c>
      <c r="Q4537" s="18">
        <v>1088.0999999999999</v>
      </c>
      <c r="R4537" s="18">
        <v>891.89</v>
      </c>
      <c r="S4537" s="18">
        <v>831.35</v>
      </c>
      <c r="T4537" s="18">
        <v>681.43</v>
      </c>
      <c r="U4537" s="16"/>
      <c r="V4537" s="16"/>
      <c r="W4537" s="16" t="s">
        <v>40</v>
      </c>
      <c r="X4537" s="19">
        <v>0.64600000000000002</v>
      </c>
      <c r="Y4537" s="20">
        <v>5.3300000000000005E-4</v>
      </c>
      <c r="Z4537" s="21">
        <v>4601004176294</v>
      </c>
    </row>
    <row r="4538" spans="1:26" ht="12" customHeight="1" outlineLevel="4" x14ac:dyDescent="0.2">
      <c r="A4538" s="14" t="s">
        <v>8822</v>
      </c>
      <c r="B4538" s="26" t="s">
        <v>8823</v>
      </c>
      <c r="C4538" s="52"/>
      <c r="D4538" s="55">
        <f t="shared" si="70"/>
        <v>0</v>
      </c>
      <c r="E4538" s="63" t="str">
        <f>HYPERLINK("https://www.sds-group.ru/product/sverlo-vintovoe-po-derevu-40h230mm-shestigrannyy-hvostovik-kranz-KR-91-0729/", "Инфо")</f>
        <v>Инфо</v>
      </c>
      <c r="F4538" s="16" t="s">
        <v>39</v>
      </c>
      <c r="G4538" s="15"/>
      <c r="H4538" s="15"/>
      <c r="I4538" s="15"/>
      <c r="J4538" s="17">
        <v>176</v>
      </c>
      <c r="K4538" s="15"/>
      <c r="L4538" s="17">
        <v>1</v>
      </c>
      <c r="M4538" s="17">
        <v>30</v>
      </c>
      <c r="N4538" s="17">
        <v>1</v>
      </c>
      <c r="O4538" s="18">
        <v>1684.61</v>
      </c>
      <c r="P4538" s="18">
        <v>1380.83</v>
      </c>
      <c r="Q4538" s="18">
        <v>1499.3</v>
      </c>
      <c r="R4538" s="18">
        <v>1228.93</v>
      </c>
      <c r="S4538" s="18">
        <v>1145.53</v>
      </c>
      <c r="T4538" s="18">
        <v>938.96</v>
      </c>
      <c r="U4538" s="16"/>
      <c r="V4538" s="16"/>
      <c r="W4538" s="16" t="s">
        <v>40</v>
      </c>
      <c r="X4538" s="19">
        <v>0.84899999999999998</v>
      </c>
      <c r="Y4538" s="20">
        <v>7.9699999999999997E-4</v>
      </c>
      <c r="Z4538" s="21">
        <v>4601004176300</v>
      </c>
    </row>
    <row r="4539" spans="1:26" ht="12" customHeight="1" outlineLevel="4" x14ac:dyDescent="0.2">
      <c r="A4539" s="14" t="s">
        <v>8824</v>
      </c>
      <c r="B4539" s="26" t="s">
        <v>8825</v>
      </c>
      <c r="C4539" s="52"/>
      <c r="D4539" s="55">
        <f t="shared" si="70"/>
        <v>0</v>
      </c>
      <c r="E4539" s="63" t="str">
        <f>HYPERLINK("https://www.sds-group.ru/product/sverlo-vintovoe-po-derevu-6h230mm-shestigrannyy-hvostovik-kranz-KR-91-0778/", "Инфо")</f>
        <v>Инфо</v>
      </c>
      <c r="F4539" s="16" t="s">
        <v>39</v>
      </c>
      <c r="G4539" s="15"/>
      <c r="H4539" s="15"/>
      <c r="I4539" s="15"/>
      <c r="J4539" s="22">
        <v>1070</v>
      </c>
      <c r="K4539" s="15"/>
      <c r="L4539" s="17">
        <v>10</v>
      </c>
      <c r="M4539" s="17">
        <v>500</v>
      </c>
      <c r="N4539" s="17">
        <v>10</v>
      </c>
      <c r="O4539" s="18">
        <v>152.54</v>
      </c>
      <c r="P4539" s="18">
        <v>125.03</v>
      </c>
      <c r="Q4539" s="18">
        <v>144.91</v>
      </c>
      <c r="R4539" s="18">
        <v>118.78</v>
      </c>
      <c r="S4539" s="18">
        <v>103.73</v>
      </c>
      <c r="T4539" s="18">
        <v>85.02</v>
      </c>
      <c r="U4539" s="16"/>
      <c r="V4539" s="16"/>
      <c r="W4539" s="16" t="s">
        <v>40</v>
      </c>
      <c r="X4539" s="19">
        <v>4.3999999999999997E-2</v>
      </c>
      <c r="Y4539" s="20">
        <v>8.8999999999999995E-5</v>
      </c>
      <c r="Z4539" s="21">
        <v>4601004203020</v>
      </c>
    </row>
    <row r="4540" spans="1:26" ht="12" customHeight="1" outlineLevel="4" x14ac:dyDescent="0.2">
      <c r="A4540" s="14" t="s">
        <v>8826</v>
      </c>
      <c r="B4540" s="26" t="s">
        <v>8827</v>
      </c>
      <c r="C4540" s="52"/>
      <c r="D4540" s="55">
        <f t="shared" si="70"/>
        <v>0</v>
      </c>
      <c r="E4540" s="63" t="str">
        <f>HYPERLINK("https://www.sds-group.ru/product/sverlo-vintovoe-po-derevu-8h230mm-shestigrannyy-hvostovik-kranz-KR-91-0733/", "Инфо")</f>
        <v>Инфо</v>
      </c>
      <c r="F4540" s="16" t="s">
        <v>39</v>
      </c>
      <c r="G4540" s="15"/>
      <c r="H4540" s="15"/>
      <c r="I4540" s="15"/>
      <c r="J4540" s="16" t="s">
        <v>100</v>
      </c>
      <c r="K4540" s="15" t="s">
        <v>1131</v>
      </c>
      <c r="L4540" s="17">
        <v>10</v>
      </c>
      <c r="M4540" s="17">
        <v>400</v>
      </c>
      <c r="N4540" s="17">
        <v>10</v>
      </c>
      <c r="O4540" s="18">
        <v>154.69999999999999</v>
      </c>
      <c r="P4540" s="18">
        <v>126.8</v>
      </c>
      <c r="Q4540" s="18">
        <v>146.97</v>
      </c>
      <c r="R4540" s="18">
        <v>120.47</v>
      </c>
      <c r="S4540" s="18">
        <v>105.2</v>
      </c>
      <c r="T4540" s="18">
        <v>86.23</v>
      </c>
      <c r="U4540" s="16"/>
      <c r="V4540" s="16"/>
      <c r="W4540" s="16" t="s">
        <v>40</v>
      </c>
      <c r="X4540" s="19">
        <v>7.0999999999999994E-2</v>
      </c>
      <c r="Y4540" s="20">
        <v>8.5000000000000006E-5</v>
      </c>
      <c r="Z4540" s="21">
        <v>4601004176232</v>
      </c>
    </row>
    <row r="4541" spans="1:26" ht="12" customHeight="1" outlineLevel="4" x14ac:dyDescent="0.2">
      <c r="A4541" s="14" t="s">
        <v>8828</v>
      </c>
      <c r="B4541" s="26" t="s">
        <v>8829</v>
      </c>
      <c r="C4541" s="52"/>
      <c r="D4541" s="55">
        <f t="shared" si="70"/>
        <v>0</v>
      </c>
      <c r="E4541" s="63" t="str">
        <f>HYPERLINK("https://www.sds-group.ru/product/udlinitel-sverla-vintovogo-po-derevu-140mm-shestigrannyy-hvostovik-kranz-KR-91-0783/", "Инфо")</f>
        <v>Инфо</v>
      </c>
      <c r="F4541" s="16" t="s">
        <v>39</v>
      </c>
      <c r="G4541" s="15"/>
      <c r="H4541" s="15"/>
      <c r="I4541" s="15"/>
      <c r="J4541" s="16" t="s">
        <v>100</v>
      </c>
      <c r="K4541" s="15"/>
      <c r="L4541" s="17">
        <v>1</v>
      </c>
      <c r="M4541" s="17">
        <v>100</v>
      </c>
      <c r="N4541" s="17">
        <v>1</v>
      </c>
      <c r="O4541" s="18">
        <v>676.64</v>
      </c>
      <c r="P4541" s="18">
        <v>554.62</v>
      </c>
      <c r="Q4541" s="18">
        <v>608.98</v>
      </c>
      <c r="R4541" s="18">
        <v>499.16</v>
      </c>
      <c r="S4541" s="18">
        <v>460.12</v>
      </c>
      <c r="T4541" s="18">
        <v>377.15</v>
      </c>
      <c r="U4541" s="16"/>
      <c r="V4541" s="16"/>
      <c r="W4541" s="16" t="s">
        <v>40</v>
      </c>
      <c r="X4541" s="19">
        <v>0.192</v>
      </c>
      <c r="Y4541" s="20">
        <v>1.9000000000000001E-4</v>
      </c>
      <c r="Z4541" s="21">
        <v>4601004202191</v>
      </c>
    </row>
    <row r="4542" spans="1:26" ht="12.95" customHeight="1" outlineLevel="3" x14ac:dyDescent="0.2">
      <c r="A4542" s="76" t="s">
        <v>8830</v>
      </c>
      <c r="B4542" s="76"/>
      <c r="C4542" s="77"/>
      <c r="D4542" s="58"/>
      <c r="E4542" s="68"/>
      <c r="F4542" s="13"/>
      <c r="G4542" s="13"/>
      <c r="H4542" s="13"/>
      <c r="I4542" s="13"/>
      <c r="J4542" s="13"/>
      <c r="K4542" s="13"/>
      <c r="L4542" s="13"/>
      <c r="M4542" s="13"/>
      <c r="N4542" s="13"/>
      <c r="O4542" s="13"/>
      <c r="P4542" s="13"/>
      <c r="Q4542" s="13"/>
      <c r="R4542" s="13"/>
      <c r="S4542" s="13"/>
      <c r="T4542" s="13"/>
      <c r="U4542" s="13"/>
      <c r="V4542" s="13"/>
      <c r="W4542" s="13"/>
      <c r="X4542" s="13"/>
      <c r="Y4542" s="13"/>
      <c r="Z4542" s="13"/>
    </row>
    <row r="4543" spans="1:26" ht="12" customHeight="1" outlineLevel="4" x14ac:dyDescent="0.2">
      <c r="A4543" s="14" t="s">
        <v>8831</v>
      </c>
      <c r="B4543" s="26" t="s">
        <v>8832</v>
      </c>
      <c r="C4543" s="52"/>
      <c r="D4543" s="55">
        <f t="shared" si="70"/>
        <v>0</v>
      </c>
      <c r="E4543" s="63" t="str">
        <f>HYPERLINK("https://www.sds-group.ru/product/sverlo-vintovoe-po-derevu-10h460mm-shestigrannyy-hvostovik-kranz-KR-91-0701/", "Инфо")</f>
        <v>Инфо</v>
      </c>
      <c r="F4543" s="16" t="s">
        <v>39</v>
      </c>
      <c r="G4543" s="15"/>
      <c r="H4543" s="15"/>
      <c r="I4543" s="15"/>
      <c r="J4543" s="22">
        <v>2184</v>
      </c>
      <c r="K4543" s="15"/>
      <c r="L4543" s="17">
        <v>5</v>
      </c>
      <c r="M4543" s="17">
        <v>100</v>
      </c>
      <c r="N4543" s="17">
        <v>5</v>
      </c>
      <c r="O4543" s="18">
        <v>345.32</v>
      </c>
      <c r="P4543" s="18">
        <v>283.05</v>
      </c>
      <c r="Q4543" s="18">
        <v>328.05</v>
      </c>
      <c r="R4543" s="18">
        <v>268.89</v>
      </c>
      <c r="S4543" s="18">
        <v>234.82</v>
      </c>
      <c r="T4543" s="18">
        <v>192.48</v>
      </c>
      <c r="U4543" s="16"/>
      <c r="V4543" s="16"/>
      <c r="W4543" s="16" t="s">
        <v>40</v>
      </c>
      <c r="X4543" s="19">
        <v>0.19900000000000001</v>
      </c>
      <c r="Y4543" s="20">
        <v>3.5399999999999999E-4</v>
      </c>
      <c r="Z4543" s="21">
        <v>4601004176317</v>
      </c>
    </row>
    <row r="4544" spans="1:26" ht="12" customHeight="1" outlineLevel="4" x14ac:dyDescent="0.2">
      <c r="A4544" s="14" t="s">
        <v>8833</v>
      </c>
      <c r="B4544" s="26" t="s">
        <v>8834</v>
      </c>
      <c r="C4544" s="52"/>
      <c r="D4544" s="55">
        <f t="shared" si="70"/>
        <v>0</v>
      </c>
      <c r="E4544" s="63" t="str">
        <f>HYPERLINK("https://www.sds-group.ru/product/sverlo-vintovoe-po-derevu-12h460mm-shestigrannyy-hvostovik-kranz-KR-91-0703/", "Инфо")</f>
        <v>Инфо</v>
      </c>
      <c r="F4544" s="16" t="s">
        <v>39</v>
      </c>
      <c r="G4544" s="15"/>
      <c r="H4544" s="15"/>
      <c r="I4544" s="15"/>
      <c r="J4544" s="22">
        <v>1455</v>
      </c>
      <c r="K4544" s="15"/>
      <c r="L4544" s="17">
        <v>5</v>
      </c>
      <c r="M4544" s="17">
        <v>100</v>
      </c>
      <c r="N4544" s="17">
        <v>5</v>
      </c>
      <c r="O4544" s="18">
        <v>399.29</v>
      </c>
      <c r="P4544" s="18">
        <v>327.29000000000002</v>
      </c>
      <c r="Q4544" s="18">
        <v>359.36</v>
      </c>
      <c r="R4544" s="18">
        <v>294.56</v>
      </c>
      <c r="S4544" s="18">
        <v>271.52</v>
      </c>
      <c r="T4544" s="18">
        <v>222.56</v>
      </c>
      <c r="U4544" s="16"/>
      <c r="V4544" s="16"/>
      <c r="W4544" s="16" t="s">
        <v>40</v>
      </c>
      <c r="X4544" s="19">
        <v>0.27800000000000002</v>
      </c>
      <c r="Y4544" s="20">
        <v>3.5799999999999997E-4</v>
      </c>
      <c r="Z4544" s="21">
        <v>4601004176324</v>
      </c>
    </row>
    <row r="4545" spans="1:26" ht="12" customHeight="1" outlineLevel="4" x14ac:dyDescent="0.2">
      <c r="A4545" s="14" t="s">
        <v>8835</v>
      </c>
      <c r="B4545" s="26" t="s">
        <v>8836</v>
      </c>
      <c r="C4545" s="52"/>
      <c r="D4545" s="55">
        <f t="shared" si="70"/>
        <v>0</v>
      </c>
      <c r="E4545" s="63" t="str">
        <f>HYPERLINK("https://www.sds-group.ru/product/sverlo-vintovoe-po-derevu-14h460mm-shestigrannyy-hvostovik-kranz-KR-91-0706/", "Инфо")</f>
        <v>Инфо</v>
      </c>
      <c r="F4545" s="16" t="s">
        <v>39</v>
      </c>
      <c r="G4545" s="15"/>
      <c r="H4545" s="15"/>
      <c r="I4545" s="15"/>
      <c r="J4545" s="17">
        <v>320</v>
      </c>
      <c r="K4545" s="15"/>
      <c r="L4545" s="17">
        <v>1</v>
      </c>
      <c r="M4545" s="17">
        <v>50</v>
      </c>
      <c r="N4545" s="17">
        <v>1</v>
      </c>
      <c r="O4545" s="18">
        <v>529.49</v>
      </c>
      <c r="P4545" s="18">
        <v>434.01</v>
      </c>
      <c r="Q4545" s="18">
        <v>476.54</v>
      </c>
      <c r="R4545" s="18">
        <v>390.61</v>
      </c>
      <c r="S4545" s="18">
        <v>360.05</v>
      </c>
      <c r="T4545" s="18">
        <v>295.12</v>
      </c>
      <c r="U4545" s="16"/>
      <c r="V4545" s="16"/>
      <c r="W4545" s="16" t="s">
        <v>40</v>
      </c>
      <c r="X4545" s="19">
        <v>0.33200000000000002</v>
      </c>
      <c r="Y4545" s="20">
        <v>3.97E-4</v>
      </c>
      <c r="Z4545" s="21">
        <v>4601004176331</v>
      </c>
    </row>
    <row r="4546" spans="1:26" ht="12" customHeight="1" outlineLevel="4" x14ac:dyDescent="0.2">
      <c r="A4546" s="14" t="s">
        <v>8837</v>
      </c>
      <c r="B4546" s="26" t="s">
        <v>8838</v>
      </c>
      <c r="C4546" s="52"/>
      <c r="D4546" s="55">
        <f t="shared" si="70"/>
        <v>0</v>
      </c>
      <c r="E4546" s="63" t="str">
        <f>HYPERLINK("https://www.sds-group.ru/product/sverlo-vintovoe-po-derevu-16h460mm-shestigrannyy-hvostovik-kranz-KR-91-0708/", "Инфо")</f>
        <v>Инфо</v>
      </c>
      <c r="F4546" s="16" t="s">
        <v>39</v>
      </c>
      <c r="G4546" s="15"/>
      <c r="H4546" s="15"/>
      <c r="I4546" s="15"/>
      <c r="J4546" s="17">
        <v>300</v>
      </c>
      <c r="K4546" s="15"/>
      <c r="L4546" s="17">
        <v>1</v>
      </c>
      <c r="M4546" s="17">
        <v>50</v>
      </c>
      <c r="N4546" s="17">
        <v>1</v>
      </c>
      <c r="O4546" s="18">
        <v>628.88</v>
      </c>
      <c r="P4546" s="18">
        <v>515.48</v>
      </c>
      <c r="Q4546" s="18">
        <v>565.99</v>
      </c>
      <c r="R4546" s="18">
        <v>463.93</v>
      </c>
      <c r="S4546" s="18">
        <v>427.64</v>
      </c>
      <c r="T4546" s="18">
        <v>350.52</v>
      </c>
      <c r="U4546" s="16"/>
      <c r="V4546" s="16"/>
      <c r="W4546" s="16" t="s">
        <v>40</v>
      </c>
      <c r="X4546" s="19">
        <v>0.38600000000000001</v>
      </c>
      <c r="Y4546" s="20">
        <v>3.4600000000000001E-4</v>
      </c>
      <c r="Z4546" s="21">
        <v>4601004176348</v>
      </c>
    </row>
    <row r="4547" spans="1:26" ht="12" customHeight="1" outlineLevel="4" x14ac:dyDescent="0.2">
      <c r="A4547" s="14" t="s">
        <v>8839</v>
      </c>
      <c r="B4547" s="26" t="s">
        <v>8840</v>
      </c>
      <c r="C4547" s="52"/>
      <c r="D4547" s="55">
        <f t="shared" si="70"/>
        <v>0</v>
      </c>
      <c r="E4547" s="63" t="str">
        <f>HYPERLINK("https://www.sds-group.ru/product/sverlo-vintovoe-po-derevu-18h460mm-shestigrannyy-hvostovik-kranz-KR-91-0710/", "Инфо")</f>
        <v>Инфо</v>
      </c>
      <c r="F4547" s="16" t="s">
        <v>39</v>
      </c>
      <c r="G4547" s="15"/>
      <c r="H4547" s="15"/>
      <c r="I4547" s="15"/>
      <c r="J4547" s="17">
        <v>435</v>
      </c>
      <c r="K4547" s="15"/>
      <c r="L4547" s="17">
        <v>1</v>
      </c>
      <c r="M4547" s="17">
        <v>50</v>
      </c>
      <c r="N4547" s="17">
        <v>1</v>
      </c>
      <c r="O4547" s="18">
        <v>639.66</v>
      </c>
      <c r="P4547" s="18">
        <v>524.30999999999995</v>
      </c>
      <c r="Q4547" s="18">
        <v>575.69000000000005</v>
      </c>
      <c r="R4547" s="18">
        <v>471.88</v>
      </c>
      <c r="S4547" s="18">
        <v>434.97</v>
      </c>
      <c r="T4547" s="18">
        <v>356.53</v>
      </c>
      <c r="U4547" s="16"/>
      <c r="V4547" s="16"/>
      <c r="W4547" s="16" t="s">
        <v>40</v>
      </c>
      <c r="X4547" s="19">
        <v>0.47599999999999998</v>
      </c>
      <c r="Y4547" s="20">
        <v>7.0500000000000001E-4</v>
      </c>
      <c r="Z4547" s="21">
        <v>4601004176355</v>
      </c>
    </row>
    <row r="4548" spans="1:26" ht="12" customHeight="1" outlineLevel="4" x14ac:dyDescent="0.2">
      <c r="A4548" s="14" t="s">
        <v>8841</v>
      </c>
      <c r="B4548" s="26" t="s">
        <v>8842</v>
      </c>
      <c r="C4548" s="52"/>
      <c r="D4548" s="55">
        <f t="shared" si="70"/>
        <v>0</v>
      </c>
      <c r="E4548" s="63" t="str">
        <f>HYPERLINK("https://www.sds-group.ru/product/sverlo-vintovoe-po-derevu-20h460mm-shestigrannyy-hvostovik-kranz-KR-91-0712/", "Инфо")</f>
        <v>Инфо</v>
      </c>
      <c r="F4548" s="16" t="s">
        <v>39</v>
      </c>
      <c r="G4548" s="15"/>
      <c r="H4548" s="15"/>
      <c r="I4548" s="15"/>
      <c r="J4548" s="17">
        <v>632</v>
      </c>
      <c r="K4548" s="15"/>
      <c r="L4548" s="17">
        <v>1</v>
      </c>
      <c r="M4548" s="17">
        <v>30</v>
      </c>
      <c r="N4548" s="17">
        <v>1</v>
      </c>
      <c r="O4548" s="18">
        <v>745.02</v>
      </c>
      <c r="P4548" s="18">
        <v>610.66999999999996</v>
      </c>
      <c r="Q4548" s="18">
        <v>670.52</v>
      </c>
      <c r="R4548" s="18">
        <v>549.61</v>
      </c>
      <c r="S4548" s="18">
        <v>506.61</v>
      </c>
      <c r="T4548" s="18">
        <v>415.25</v>
      </c>
      <c r="U4548" s="16"/>
      <c r="V4548" s="16"/>
      <c r="W4548" s="16" t="s">
        <v>40</v>
      </c>
      <c r="X4548" s="19">
        <v>0.57799999999999996</v>
      </c>
      <c r="Y4548" s="20">
        <v>6.4099999999999997E-4</v>
      </c>
      <c r="Z4548" s="21">
        <v>4601004176362</v>
      </c>
    </row>
    <row r="4549" spans="1:26" ht="12" customHeight="1" outlineLevel="4" x14ac:dyDescent="0.2">
      <c r="A4549" s="14" t="s">
        <v>8843</v>
      </c>
      <c r="B4549" s="26" t="s">
        <v>8844</v>
      </c>
      <c r="C4549" s="52"/>
      <c r="D4549" s="55">
        <f t="shared" si="70"/>
        <v>0</v>
      </c>
      <c r="E4549" s="63" t="str">
        <f>HYPERLINK("https://www.sds-group.ru/product/sverlo-vintovoe-po-derevu-22h460mm-shestigrannyy-hvostovik-kranz-KR-91-0714/", "Инфо")</f>
        <v>Инфо</v>
      </c>
      <c r="F4549" s="16" t="s">
        <v>39</v>
      </c>
      <c r="G4549" s="15"/>
      <c r="H4549" s="15"/>
      <c r="I4549" s="15"/>
      <c r="J4549" s="17">
        <v>337</v>
      </c>
      <c r="K4549" s="15"/>
      <c r="L4549" s="17">
        <v>1</v>
      </c>
      <c r="M4549" s="17">
        <v>30</v>
      </c>
      <c r="N4549" s="17">
        <v>1</v>
      </c>
      <c r="O4549" s="18">
        <v>958.09</v>
      </c>
      <c r="P4549" s="18">
        <v>785.32</v>
      </c>
      <c r="Q4549" s="18">
        <v>862.28</v>
      </c>
      <c r="R4549" s="18">
        <v>706.79</v>
      </c>
      <c r="S4549" s="18">
        <v>651.5</v>
      </c>
      <c r="T4549" s="18">
        <v>534.02</v>
      </c>
      <c r="U4549" s="16"/>
      <c r="V4549" s="16"/>
      <c r="W4549" s="16" t="s">
        <v>40</v>
      </c>
      <c r="X4549" s="19">
        <v>0.64700000000000002</v>
      </c>
      <c r="Y4549" s="20">
        <v>6.3900000000000003E-4</v>
      </c>
      <c r="Z4549" s="21">
        <v>4601004176379</v>
      </c>
    </row>
    <row r="4550" spans="1:26" ht="12" customHeight="1" outlineLevel="4" x14ac:dyDescent="0.2">
      <c r="A4550" s="14" t="s">
        <v>8845</v>
      </c>
      <c r="B4550" s="26" t="s">
        <v>8846</v>
      </c>
      <c r="C4550" s="52"/>
      <c r="D4550" s="55">
        <f t="shared" si="70"/>
        <v>0</v>
      </c>
      <c r="E4550" s="63" t="str">
        <f>HYPERLINK("https://www.sds-group.ru/product/sverlo-vintovoe-po-derevu-24h460mm-shestigrannyy-hvostovik-kranz-KR-91-0780/", "Инфо")</f>
        <v>Инфо</v>
      </c>
      <c r="F4550" s="16" t="s">
        <v>39</v>
      </c>
      <c r="G4550" s="15"/>
      <c r="H4550" s="15"/>
      <c r="I4550" s="15"/>
      <c r="J4550" s="16" t="s">
        <v>100</v>
      </c>
      <c r="K4550" s="15" t="s">
        <v>979</v>
      </c>
      <c r="L4550" s="17">
        <v>1</v>
      </c>
      <c r="M4550" s="17">
        <v>50</v>
      </c>
      <c r="N4550" s="17">
        <v>1</v>
      </c>
      <c r="O4550" s="18">
        <v>1044.49</v>
      </c>
      <c r="P4550" s="18">
        <v>856.14</v>
      </c>
      <c r="Q4550" s="18">
        <v>940.04</v>
      </c>
      <c r="R4550" s="18">
        <v>770.52</v>
      </c>
      <c r="S4550" s="18">
        <v>710.25</v>
      </c>
      <c r="T4550" s="18">
        <v>582.16999999999996</v>
      </c>
      <c r="U4550" s="16"/>
      <c r="V4550" s="16"/>
      <c r="W4550" s="16" t="s">
        <v>40</v>
      </c>
      <c r="X4550" s="19">
        <v>0.71399999999999997</v>
      </c>
      <c r="Y4550" s="20">
        <v>6.87E-4</v>
      </c>
      <c r="Z4550" s="21">
        <v>4601004202177</v>
      </c>
    </row>
    <row r="4551" spans="1:26" ht="12" customHeight="1" outlineLevel="4" x14ac:dyDescent="0.2">
      <c r="A4551" s="14" t="s">
        <v>8847</v>
      </c>
      <c r="B4551" s="26" t="s">
        <v>8848</v>
      </c>
      <c r="C4551" s="52"/>
      <c r="D4551" s="55">
        <f t="shared" si="70"/>
        <v>0</v>
      </c>
      <c r="E4551" s="63" t="str">
        <f>HYPERLINK("https://www.sds-group.ru/product/sverlo-vintovoe-po-derevu-25h460mm-shestigrannyy-hvostovik-kranz-KR-91-0716/", "Инфо")</f>
        <v>Инфо</v>
      </c>
      <c r="F4551" s="16" t="s">
        <v>39</v>
      </c>
      <c r="G4551" s="15"/>
      <c r="H4551" s="15"/>
      <c r="I4551" s="15"/>
      <c r="J4551" s="17">
        <v>15</v>
      </c>
      <c r="K4551" s="15"/>
      <c r="L4551" s="17">
        <v>1</v>
      </c>
      <c r="M4551" s="17">
        <v>26</v>
      </c>
      <c r="N4551" s="17">
        <v>1</v>
      </c>
      <c r="O4551" s="18">
        <v>1033.0999999999999</v>
      </c>
      <c r="P4551" s="18">
        <v>846.8</v>
      </c>
      <c r="Q4551" s="18">
        <v>929.79</v>
      </c>
      <c r="R4551" s="18">
        <v>762.12</v>
      </c>
      <c r="S4551" s="18">
        <v>702.51</v>
      </c>
      <c r="T4551" s="18">
        <v>575.83000000000004</v>
      </c>
      <c r="U4551" s="16"/>
      <c r="V4551" s="16"/>
      <c r="W4551" s="16" t="s">
        <v>40</v>
      </c>
      <c r="X4551" s="19">
        <v>0.80600000000000005</v>
      </c>
      <c r="Y4551" s="20">
        <v>7.6599999999999997E-4</v>
      </c>
      <c r="Z4551" s="21">
        <v>4601004176386</v>
      </c>
    </row>
    <row r="4552" spans="1:26" ht="12" customHeight="1" outlineLevel="4" x14ac:dyDescent="0.2">
      <c r="A4552" s="14" t="s">
        <v>8849</v>
      </c>
      <c r="B4552" s="26" t="s">
        <v>8850</v>
      </c>
      <c r="C4552" s="52"/>
      <c r="D4552" s="55">
        <f t="shared" si="70"/>
        <v>0</v>
      </c>
      <c r="E4552" s="63" t="str">
        <f>HYPERLINK("https://www.sds-group.ru/product/sverlo-vintovoe-po-derevu-26h460mm-shestigrannyy-hvostovik-kranz-KR-91-0782/", "Инфо")</f>
        <v>Инфо</v>
      </c>
      <c r="F4552" s="16" t="s">
        <v>39</v>
      </c>
      <c r="G4552" s="15"/>
      <c r="H4552" s="15"/>
      <c r="I4552" s="15"/>
      <c r="J4552" s="17">
        <v>339</v>
      </c>
      <c r="K4552" s="15"/>
      <c r="L4552" s="17">
        <v>1</v>
      </c>
      <c r="M4552" s="17">
        <v>30</v>
      </c>
      <c r="N4552" s="17">
        <v>1</v>
      </c>
      <c r="O4552" s="18">
        <v>1306.44</v>
      </c>
      <c r="P4552" s="18">
        <v>1070.8499999999999</v>
      </c>
      <c r="Q4552" s="18">
        <v>1162.73</v>
      </c>
      <c r="R4552" s="18">
        <v>953.06</v>
      </c>
      <c r="S4552" s="18">
        <v>888.38</v>
      </c>
      <c r="T4552" s="18">
        <v>728.18</v>
      </c>
      <c r="U4552" s="16"/>
      <c r="V4552" s="16"/>
      <c r="W4552" s="16" t="s">
        <v>40</v>
      </c>
      <c r="X4552" s="19">
        <v>0.83599999999999997</v>
      </c>
      <c r="Y4552" s="20">
        <v>6.6E-4</v>
      </c>
      <c r="Z4552" s="21">
        <v>4601004202160</v>
      </c>
    </row>
    <row r="4553" spans="1:26" ht="12" customHeight="1" outlineLevel="4" x14ac:dyDescent="0.2">
      <c r="A4553" s="14" t="s">
        <v>8851</v>
      </c>
      <c r="B4553" s="26" t="s">
        <v>8852</v>
      </c>
      <c r="C4553" s="52"/>
      <c r="D4553" s="55">
        <f t="shared" ref="D4553:D4616" si="71">C4553*(O4553-O4553*$G$3)</f>
        <v>0</v>
      </c>
      <c r="E4553" s="63" t="str">
        <f>HYPERLINK("https://www.sds-group.ru/product/sverlo-vintovoe-po-derevu-28h460mm-shestigrannyy-hvostovik-kranz-KR-91-0760/", "Инфо")</f>
        <v>Инфо</v>
      </c>
      <c r="F4553" s="16" t="s">
        <v>39</v>
      </c>
      <c r="G4553" s="15"/>
      <c r="H4553" s="15"/>
      <c r="I4553" s="15"/>
      <c r="J4553" s="17">
        <v>480</v>
      </c>
      <c r="K4553" s="15"/>
      <c r="L4553" s="17">
        <v>1</v>
      </c>
      <c r="M4553" s="17">
        <v>20</v>
      </c>
      <c r="N4553" s="17">
        <v>1</v>
      </c>
      <c r="O4553" s="18">
        <v>1501.97</v>
      </c>
      <c r="P4553" s="18">
        <v>1231.1199999999999</v>
      </c>
      <c r="Q4553" s="18">
        <v>1336.75</v>
      </c>
      <c r="R4553" s="18">
        <v>1095.7</v>
      </c>
      <c r="S4553" s="18">
        <v>1021.34</v>
      </c>
      <c r="T4553" s="18">
        <v>837.16</v>
      </c>
      <c r="U4553" s="16"/>
      <c r="V4553" s="16"/>
      <c r="W4553" s="16" t="s">
        <v>40</v>
      </c>
      <c r="X4553" s="19">
        <v>1.022</v>
      </c>
      <c r="Y4553" s="20">
        <v>1.163E-3</v>
      </c>
      <c r="Z4553" s="21">
        <v>4601004176393</v>
      </c>
    </row>
    <row r="4554" spans="1:26" ht="12" customHeight="1" outlineLevel="4" x14ac:dyDescent="0.2">
      <c r="A4554" s="14" t="s">
        <v>8853</v>
      </c>
      <c r="B4554" s="26" t="s">
        <v>8854</v>
      </c>
      <c r="C4554" s="52"/>
      <c r="D4554" s="55">
        <f t="shared" si="71"/>
        <v>0</v>
      </c>
      <c r="E4554" s="63" t="str">
        <f>HYPERLINK("https://www.sds-group.ru/product/sverlo-vintovoe-po-derevu-30h460mm-shestigrannyy-hvostovik-kranz-KR-91-0719/", "Инфо")</f>
        <v>Инфо</v>
      </c>
      <c r="F4554" s="16" t="s">
        <v>39</v>
      </c>
      <c r="G4554" s="15"/>
      <c r="H4554" s="15"/>
      <c r="I4554" s="15"/>
      <c r="J4554" s="17">
        <v>209</v>
      </c>
      <c r="K4554" s="15"/>
      <c r="L4554" s="17">
        <v>1</v>
      </c>
      <c r="M4554" s="17">
        <v>20</v>
      </c>
      <c r="N4554" s="17">
        <v>1</v>
      </c>
      <c r="O4554" s="18">
        <v>1600.57</v>
      </c>
      <c r="P4554" s="18">
        <v>1311.94</v>
      </c>
      <c r="Q4554" s="18">
        <v>1424.51</v>
      </c>
      <c r="R4554" s="18">
        <v>1167.6300000000001</v>
      </c>
      <c r="S4554" s="18">
        <v>1088.3900000000001</v>
      </c>
      <c r="T4554" s="18">
        <v>892.12</v>
      </c>
      <c r="U4554" s="16"/>
      <c r="V4554" s="16"/>
      <c r="W4554" s="16" t="s">
        <v>40</v>
      </c>
      <c r="X4554" s="19">
        <v>1.181</v>
      </c>
      <c r="Y4554" s="20">
        <v>1.2409999999999999E-3</v>
      </c>
      <c r="Z4554" s="21">
        <v>4601004176409</v>
      </c>
    </row>
    <row r="4555" spans="1:26" ht="12" customHeight="1" outlineLevel="4" x14ac:dyDescent="0.2">
      <c r="A4555" s="14" t="s">
        <v>8855</v>
      </c>
      <c r="B4555" s="26" t="s">
        <v>8856</v>
      </c>
      <c r="C4555" s="52"/>
      <c r="D4555" s="55">
        <f t="shared" si="71"/>
        <v>0</v>
      </c>
      <c r="E4555" s="63" t="str">
        <f>HYPERLINK("https://www.sds-group.ru/product/sverlo-vintovoe-po-derevu-32h460mm-shestigrannyy-hvostovik-kranz-KR-91-0722/", "Инфо")</f>
        <v>Инфо</v>
      </c>
      <c r="F4555" s="16" t="s">
        <v>39</v>
      </c>
      <c r="G4555" s="15"/>
      <c r="H4555" s="15"/>
      <c r="I4555" s="15"/>
      <c r="J4555" s="17">
        <v>103</v>
      </c>
      <c r="K4555" s="15"/>
      <c r="L4555" s="17">
        <v>1</v>
      </c>
      <c r="M4555" s="17">
        <v>20</v>
      </c>
      <c r="N4555" s="17">
        <v>1</v>
      </c>
      <c r="O4555" s="18">
        <v>1924</v>
      </c>
      <c r="P4555" s="18">
        <v>1577.05</v>
      </c>
      <c r="Q4555" s="18">
        <v>1673.88</v>
      </c>
      <c r="R4555" s="18">
        <v>1372.03</v>
      </c>
      <c r="S4555" s="18">
        <v>1308.32</v>
      </c>
      <c r="T4555" s="18">
        <v>1072.3900000000001</v>
      </c>
      <c r="U4555" s="16"/>
      <c r="V4555" s="16"/>
      <c r="W4555" s="16" t="s">
        <v>40</v>
      </c>
      <c r="X4555" s="19">
        <v>1.208</v>
      </c>
      <c r="Y4555" s="20">
        <v>1.204E-3</v>
      </c>
      <c r="Z4555" s="21">
        <v>4601004176416</v>
      </c>
    </row>
    <row r="4556" spans="1:26" ht="12" customHeight="1" outlineLevel="4" x14ac:dyDescent="0.2">
      <c r="A4556" s="32" t="s">
        <v>8857</v>
      </c>
      <c r="B4556" s="74" t="s">
        <v>8858</v>
      </c>
      <c r="C4556" s="50"/>
      <c r="D4556" s="53">
        <f t="shared" si="71"/>
        <v>0</v>
      </c>
      <c r="E4556" s="60" t="str">
        <f>HYPERLINK("https://www.sds-group.ru/product/sverlo-vintovoe-po-derevu-35h460mm-shestigrannyy-hvostovik-kranz-KR-91-0725/", "Инфо")</f>
        <v>Инфо</v>
      </c>
      <c r="F4556" s="34" t="s">
        <v>39</v>
      </c>
      <c r="G4556" s="33"/>
      <c r="H4556" s="33" t="s">
        <v>40</v>
      </c>
      <c r="I4556" s="33"/>
      <c r="J4556" s="35">
        <v>246</v>
      </c>
      <c r="K4556" s="33"/>
      <c r="L4556" s="35">
        <v>1</v>
      </c>
      <c r="M4556" s="35">
        <v>20</v>
      </c>
      <c r="N4556" s="35">
        <v>1</v>
      </c>
      <c r="O4556" s="36">
        <v>2331.39</v>
      </c>
      <c r="P4556" s="36">
        <v>1910.98</v>
      </c>
      <c r="Q4556" s="36">
        <v>1631.97</v>
      </c>
      <c r="R4556" s="36">
        <v>1337.68</v>
      </c>
      <c r="S4556" s="36">
        <v>1585.35</v>
      </c>
      <c r="T4556" s="36">
        <v>1299.47</v>
      </c>
      <c r="U4556" s="34"/>
      <c r="V4556" s="34"/>
      <c r="W4556" s="34"/>
      <c r="X4556" s="37">
        <v>1.5509999999999999</v>
      </c>
      <c r="Y4556" s="38">
        <v>1.214E-3</v>
      </c>
      <c r="Z4556" s="21">
        <v>4601004176423</v>
      </c>
    </row>
    <row r="4557" spans="1:26" ht="12" customHeight="1" outlineLevel="4" x14ac:dyDescent="0.2">
      <c r="A4557" s="32" t="s">
        <v>8859</v>
      </c>
      <c r="B4557" s="74" t="s">
        <v>8860</v>
      </c>
      <c r="C4557" s="50"/>
      <c r="D4557" s="53">
        <f t="shared" si="71"/>
        <v>0</v>
      </c>
      <c r="E4557" s="60" t="str">
        <f>HYPERLINK("https://www.sds-group.ru/product/sverlo-vintovoe-po-derevu-40h460mm-shestigrannyy-hvostovik-kranz-KR-91-0730/", "Инфо")</f>
        <v>Инфо</v>
      </c>
      <c r="F4557" s="34" t="s">
        <v>39</v>
      </c>
      <c r="G4557" s="33"/>
      <c r="H4557" s="33" t="s">
        <v>40</v>
      </c>
      <c r="I4557" s="33"/>
      <c r="J4557" s="35">
        <v>307</v>
      </c>
      <c r="K4557" s="33"/>
      <c r="L4557" s="35">
        <v>1</v>
      </c>
      <c r="M4557" s="35">
        <v>16</v>
      </c>
      <c r="N4557" s="35">
        <v>1</v>
      </c>
      <c r="O4557" s="36">
        <v>3107.55</v>
      </c>
      <c r="P4557" s="36">
        <v>2547.17</v>
      </c>
      <c r="Q4557" s="36">
        <v>2175.29</v>
      </c>
      <c r="R4557" s="36">
        <v>1783.02</v>
      </c>
      <c r="S4557" s="36">
        <v>2113.13</v>
      </c>
      <c r="T4557" s="36">
        <v>1732.07</v>
      </c>
      <c r="U4557" s="34"/>
      <c r="V4557" s="34"/>
      <c r="W4557" s="34"/>
      <c r="X4557" s="37">
        <v>1.897</v>
      </c>
      <c r="Y4557" s="38">
        <v>1.689E-3</v>
      </c>
      <c r="Z4557" s="21">
        <v>4601004176430</v>
      </c>
    </row>
    <row r="4558" spans="1:26" ht="12" customHeight="1" outlineLevel="4" x14ac:dyDescent="0.2">
      <c r="A4558" s="32" t="s">
        <v>8861</v>
      </c>
      <c r="B4558" s="74" t="s">
        <v>8862</v>
      </c>
      <c r="C4558" s="50"/>
      <c r="D4558" s="53">
        <f t="shared" si="71"/>
        <v>0</v>
      </c>
      <c r="E4558" s="60" t="str">
        <f>HYPERLINK("https://www.sds-group.ru/product/sverlo-vintovoe-po-derevu-8h460mm-shestigrannyy-hvostovik-kranz-KR-91-0779/", "Инфо")</f>
        <v>Инфо</v>
      </c>
      <c r="F4558" s="34" t="s">
        <v>39</v>
      </c>
      <c r="G4558" s="33"/>
      <c r="H4558" s="33" t="s">
        <v>40</v>
      </c>
      <c r="I4558" s="33"/>
      <c r="J4558" s="34" t="s">
        <v>100</v>
      </c>
      <c r="K4558" s="33"/>
      <c r="L4558" s="35">
        <v>1</v>
      </c>
      <c r="M4558" s="35">
        <v>200</v>
      </c>
      <c r="N4558" s="35">
        <v>1</v>
      </c>
      <c r="O4558" s="36">
        <v>348.51</v>
      </c>
      <c r="P4558" s="36">
        <v>285.66000000000003</v>
      </c>
      <c r="Q4558" s="36">
        <v>331.08</v>
      </c>
      <c r="R4558" s="36">
        <v>271.38</v>
      </c>
      <c r="S4558" s="36">
        <v>236.99</v>
      </c>
      <c r="T4558" s="36">
        <v>194.25</v>
      </c>
      <c r="U4558" s="34"/>
      <c r="V4558" s="34"/>
      <c r="W4558" s="34" t="s">
        <v>40</v>
      </c>
      <c r="X4558" s="37">
        <v>0.14199999999999999</v>
      </c>
      <c r="Y4558" s="38">
        <v>2.8200000000000002E-4</v>
      </c>
      <c r="Z4558" s="21">
        <v>4601004202184</v>
      </c>
    </row>
    <row r="4559" spans="1:26" ht="12.95" customHeight="1" outlineLevel="3" x14ac:dyDescent="0.2">
      <c r="A4559" s="76" t="s">
        <v>8863</v>
      </c>
      <c r="B4559" s="76"/>
      <c r="C4559" s="77"/>
      <c r="D4559" s="58"/>
      <c r="E4559" s="68"/>
      <c r="F4559" s="13"/>
      <c r="G4559" s="13"/>
      <c r="H4559" s="13"/>
      <c r="I4559" s="13"/>
      <c r="J4559" s="13"/>
      <c r="K4559" s="13"/>
      <c r="L4559" s="13"/>
      <c r="M4559" s="13"/>
      <c r="N4559" s="13"/>
      <c r="O4559" s="13"/>
      <c r="P4559" s="13"/>
      <c r="Q4559" s="13"/>
      <c r="R4559" s="13"/>
      <c r="S4559" s="13"/>
      <c r="T4559" s="13"/>
      <c r="U4559" s="13"/>
      <c r="V4559" s="13"/>
      <c r="W4559" s="13"/>
      <c r="X4559" s="13"/>
      <c r="Y4559" s="13"/>
      <c r="Z4559" s="13"/>
    </row>
    <row r="4560" spans="1:26" ht="12" customHeight="1" outlineLevel="4" x14ac:dyDescent="0.2">
      <c r="A4560" s="14" t="s">
        <v>8864</v>
      </c>
      <c r="B4560" s="26" t="s">
        <v>8865</v>
      </c>
      <c r="C4560" s="52"/>
      <c r="D4560" s="55">
        <f t="shared" si="71"/>
        <v>0</v>
      </c>
      <c r="E4560" s="63" t="str">
        <f>HYPERLINK("https://www.sds-group.ru/product/sverlo-po-derevu-10h130-mm-tsilindricheskiy-hvostovik-kranz-KR-91-0739/", "Инфо")</f>
        <v>Инфо</v>
      </c>
      <c r="F4560" s="16" t="s">
        <v>39</v>
      </c>
      <c r="G4560" s="15"/>
      <c r="H4560" s="15"/>
      <c r="I4560" s="15"/>
      <c r="J4560" s="17">
        <v>502</v>
      </c>
      <c r="K4560" s="15" t="s">
        <v>6344</v>
      </c>
      <c r="L4560" s="17">
        <v>5</v>
      </c>
      <c r="M4560" s="17">
        <v>150</v>
      </c>
      <c r="N4560" s="17">
        <v>5</v>
      </c>
      <c r="O4560" s="18">
        <v>110.08</v>
      </c>
      <c r="P4560" s="18">
        <v>90.23</v>
      </c>
      <c r="Q4560" s="18">
        <v>110.08</v>
      </c>
      <c r="R4560" s="18">
        <v>90.23</v>
      </c>
      <c r="S4560" s="18">
        <v>74.849999999999994</v>
      </c>
      <c r="T4560" s="18">
        <v>61.35</v>
      </c>
      <c r="U4560" s="16"/>
      <c r="V4560" s="16"/>
      <c r="W4560" s="16" t="s">
        <v>40</v>
      </c>
      <c r="X4560" s="19">
        <v>5.5E-2</v>
      </c>
      <c r="Y4560" s="20">
        <v>1.2400000000000001E-4</v>
      </c>
      <c r="Z4560" s="21">
        <v>4601004203075</v>
      </c>
    </row>
    <row r="4561" spans="1:26" ht="12" customHeight="1" outlineLevel="4" x14ac:dyDescent="0.2">
      <c r="A4561" s="14" t="s">
        <v>8866</v>
      </c>
      <c r="B4561" s="26" t="s">
        <v>8867</v>
      </c>
      <c r="C4561" s="52"/>
      <c r="D4561" s="55">
        <f t="shared" si="71"/>
        <v>0</v>
      </c>
      <c r="E4561" s="63" t="str">
        <f>HYPERLINK("https://www.sds-group.ru/product/sverlo-po-derevu-12h150-mm-tsilindricheskiy-hvostovik-kranz-KR-91-0740/", "Инфо")</f>
        <v>Инфо</v>
      </c>
      <c r="F4561" s="16" t="s">
        <v>39</v>
      </c>
      <c r="G4561" s="15"/>
      <c r="H4561" s="15"/>
      <c r="I4561" s="15"/>
      <c r="J4561" s="17">
        <v>381</v>
      </c>
      <c r="K4561" s="15" t="s">
        <v>6344</v>
      </c>
      <c r="L4561" s="17">
        <v>5</v>
      </c>
      <c r="M4561" s="17">
        <v>100</v>
      </c>
      <c r="N4561" s="17">
        <v>5</v>
      </c>
      <c r="O4561" s="18">
        <v>163.08000000000001</v>
      </c>
      <c r="P4561" s="18">
        <v>133.66999999999999</v>
      </c>
      <c r="Q4561" s="18">
        <v>163.08000000000001</v>
      </c>
      <c r="R4561" s="18">
        <v>133.66999999999999</v>
      </c>
      <c r="S4561" s="18">
        <v>110.89</v>
      </c>
      <c r="T4561" s="18">
        <v>90.89</v>
      </c>
      <c r="U4561" s="16"/>
      <c r="V4561" s="16"/>
      <c r="W4561" s="16" t="s">
        <v>40</v>
      </c>
      <c r="X4561" s="19">
        <v>8.2000000000000003E-2</v>
      </c>
      <c r="Y4561" s="20">
        <v>1.8900000000000001E-4</v>
      </c>
      <c r="Z4561" s="21">
        <v>4601004203082</v>
      </c>
    </row>
    <row r="4562" spans="1:26" ht="12" customHeight="1" outlineLevel="4" x14ac:dyDescent="0.2">
      <c r="A4562" s="14" t="s">
        <v>8868</v>
      </c>
      <c r="B4562" s="26" t="s">
        <v>8869</v>
      </c>
      <c r="C4562" s="52"/>
      <c r="D4562" s="55">
        <f t="shared" si="71"/>
        <v>0</v>
      </c>
      <c r="E4562" s="63" t="str">
        <f>HYPERLINK("https://www.sds-group.ru/product/sverlo-po-derevu-5h85-mm-tsilindricheskiy-hvostovik-kranz-KR-91-0734/", "Инфо")</f>
        <v>Инфо</v>
      </c>
      <c r="F4562" s="16" t="s">
        <v>39</v>
      </c>
      <c r="G4562" s="15"/>
      <c r="H4562" s="15"/>
      <c r="I4562" s="15"/>
      <c r="J4562" s="17">
        <v>213</v>
      </c>
      <c r="K4562" s="15" t="s">
        <v>6344</v>
      </c>
      <c r="L4562" s="17">
        <v>10</v>
      </c>
      <c r="M4562" s="17">
        <v>250</v>
      </c>
      <c r="N4562" s="17">
        <v>10</v>
      </c>
      <c r="O4562" s="18">
        <v>53</v>
      </c>
      <c r="P4562" s="18">
        <v>43.44</v>
      </c>
      <c r="Q4562" s="18">
        <v>53</v>
      </c>
      <c r="R4562" s="18">
        <v>43.44</v>
      </c>
      <c r="S4562" s="18">
        <v>36.04</v>
      </c>
      <c r="T4562" s="18">
        <v>29.54</v>
      </c>
      <c r="U4562" s="16"/>
      <c r="V4562" s="16"/>
      <c r="W4562" s="16" t="s">
        <v>40</v>
      </c>
      <c r="X4562" s="19">
        <v>1.7000000000000001E-2</v>
      </c>
      <c r="Y4562" s="20">
        <v>7.3999999999999996E-5</v>
      </c>
      <c r="Z4562" s="21">
        <v>4601004202153</v>
      </c>
    </row>
    <row r="4563" spans="1:26" ht="12" customHeight="1" outlineLevel="4" x14ac:dyDescent="0.2">
      <c r="A4563" s="14" t="s">
        <v>8870</v>
      </c>
      <c r="B4563" s="26" t="s">
        <v>8871</v>
      </c>
      <c r="C4563" s="52"/>
      <c r="D4563" s="55">
        <f t="shared" si="71"/>
        <v>0</v>
      </c>
      <c r="E4563" s="63" t="str">
        <f>HYPERLINK("https://www.sds-group.ru/product/sverlo-po-derevu-6h90-mm-tsilindricheskiy-hvostovik-kranz-KR-91-0735/", "Инфо")</f>
        <v>Инфо</v>
      </c>
      <c r="F4563" s="16" t="s">
        <v>39</v>
      </c>
      <c r="G4563" s="15"/>
      <c r="H4563" s="15"/>
      <c r="I4563" s="15"/>
      <c r="J4563" s="17">
        <v>364</v>
      </c>
      <c r="K4563" s="15" t="s">
        <v>6344</v>
      </c>
      <c r="L4563" s="17">
        <v>10</v>
      </c>
      <c r="M4563" s="17">
        <v>250</v>
      </c>
      <c r="N4563" s="17">
        <v>10</v>
      </c>
      <c r="O4563" s="18">
        <v>58.3</v>
      </c>
      <c r="P4563" s="18">
        <v>47.79</v>
      </c>
      <c r="Q4563" s="18">
        <v>58.3</v>
      </c>
      <c r="R4563" s="18">
        <v>47.79</v>
      </c>
      <c r="S4563" s="18">
        <v>39.64</v>
      </c>
      <c r="T4563" s="18">
        <v>32.49</v>
      </c>
      <c r="U4563" s="16"/>
      <c r="V4563" s="16"/>
      <c r="W4563" s="16" t="s">
        <v>40</v>
      </c>
      <c r="X4563" s="19">
        <v>2.1000000000000001E-2</v>
      </c>
      <c r="Y4563" s="20">
        <v>7.4999999999999993E-5</v>
      </c>
      <c r="Z4563" s="21">
        <v>4601004202146</v>
      </c>
    </row>
    <row r="4564" spans="1:26" ht="12" customHeight="1" outlineLevel="4" x14ac:dyDescent="0.2">
      <c r="A4564" s="14" t="s">
        <v>8872</v>
      </c>
      <c r="B4564" s="26" t="s">
        <v>8873</v>
      </c>
      <c r="C4564" s="52"/>
      <c r="D4564" s="55">
        <f t="shared" si="71"/>
        <v>0</v>
      </c>
      <c r="E4564" s="63" t="str">
        <f>HYPERLINK("https://www.sds-group.ru/product/sverlo-po-derevu-7h105-mm-tsilindricheskiy-hvostovik-kranz-KR-91-0736/", "Инфо")</f>
        <v>Инфо</v>
      </c>
      <c r="F4564" s="16" t="s">
        <v>39</v>
      </c>
      <c r="G4564" s="15"/>
      <c r="H4564" s="15"/>
      <c r="I4564" s="15"/>
      <c r="J4564" s="16" t="s">
        <v>100</v>
      </c>
      <c r="K4564" s="15" t="s">
        <v>6344</v>
      </c>
      <c r="L4564" s="17">
        <v>10</v>
      </c>
      <c r="M4564" s="17">
        <v>200</v>
      </c>
      <c r="N4564" s="17">
        <v>10</v>
      </c>
      <c r="O4564" s="18">
        <v>63.6</v>
      </c>
      <c r="P4564" s="18">
        <v>52.13</v>
      </c>
      <c r="Q4564" s="18">
        <v>63.6</v>
      </c>
      <c r="R4564" s="18">
        <v>52.13</v>
      </c>
      <c r="S4564" s="18">
        <v>43.25</v>
      </c>
      <c r="T4564" s="18">
        <v>35.450000000000003</v>
      </c>
      <c r="U4564" s="16"/>
      <c r="V4564" s="16"/>
      <c r="W4564" s="16" t="s">
        <v>40</v>
      </c>
      <c r="X4564" s="19">
        <v>0.03</v>
      </c>
      <c r="Y4564" s="20">
        <v>9.3999999999999994E-5</v>
      </c>
      <c r="Z4564" s="21">
        <v>4601004203044</v>
      </c>
    </row>
    <row r="4565" spans="1:26" ht="12" customHeight="1" outlineLevel="4" x14ac:dyDescent="0.2">
      <c r="A4565" s="14" t="s">
        <v>8874</v>
      </c>
      <c r="B4565" s="26" t="s">
        <v>8875</v>
      </c>
      <c r="C4565" s="52"/>
      <c r="D4565" s="55">
        <f t="shared" si="71"/>
        <v>0</v>
      </c>
      <c r="E4565" s="63" t="str">
        <f>HYPERLINK("https://www.sds-group.ru/product/sverlo-po-derevu-8h115-mm-tsilindricheskiy-hvostovik-kranz-KR-91-0737/", "Инфо")</f>
        <v>Инфо</v>
      </c>
      <c r="F4565" s="16" t="s">
        <v>39</v>
      </c>
      <c r="G4565" s="15"/>
      <c r="H4565" s="15"/>
      <c r="I4565" s="15"/>
      <c r="J4565" s="17">
        <v>1</v>
      </c>
      <c r="K4565" s="15" t="s">
        <v>210</v>
      </c>
      <c r="L4565" s="17">
        <v>10</v>
      </c>
      <c r="M4565" s="17">
        <v>200</v>
      </c>
      <c r="N4565" s="17">
        <v>10</v>
      </c>
      <c r="O4565" s="18">
        <v>89.7</v>
      </c>
      <c r="P4565" s="18">
        <v>73.52</v>
      </c>
      <c r="Q4565" s="18">
        <v>89.7</v>
      </c>
      <c r="R4565" s="18">
        <v>73.52</v>
      </c>
      <c r="S4565" s="18">
        <v>61</v>
      </c>
      <c r="T4565" s="18">
        <v>50</v>
      </c>
      <c r="U4565" s="16"/>
      <c r="V4565" s="16"/>
      <c r="W4565" s="16" t="s">
        <v>40</v>
      </c>
      <c r="X4565" s="19">
        <v>3.7999999999999999E-2</v>
      </c>
      <c r="Y4565" s="20">
        <v>9.2999999999999997E-5</v>
      </c>
      <c r="Z4565" s="21">
        <v>4601004203051</v>
      </c>
    </row>
    <row r="4566" spans="1:26" ht="12" customHeight="1" outlineLevel="4" x14ac:dyDescent="0.2">
      <c r="A4566" s="14" t="s">
        <v>8876</v>
      </c>
      <c r="B4566" s="26" t="s">
        <v>8877</v>
      </c>
      <c r="C4566" s="52"/>
      <c r="D4566" s="55">
        <f t="shared" si="71"/>
        <v>0</v>
      </c>
      <c r="E4566" s="63" t="str">
        <f>HYPERLINK("https://www.sds-group.ru/product/sverlo-po-derevu-9h125-mm-tsilindricheskiy-hvostovik-kranz-KR-91-0738/", "Инфо")</f>
        <v>Инфо</v>
      </c>
      <c r="F4566" s="16" t="s">
        <v>39</v>
      </c>
      <c r="G4566" s="15"/>
      <c r="H4566" s="15"/>
      <c r="I4566" s="15"/>
      <c r="J4566" s="17">
        <v>21</v>
      </c>
      <c r="K4566" s="15" t="s">
        <v>6344</v>
      </c>
      <c r="L4566" s="17">
        <v>10</v>
      </c>
      <c r="M4566" s="17">
        <v>150</v>
      </c>
      <c r="N4566" s="17">
        <v>10</v>
      </c>
      <c r="O4566" s="18">
        <v>100.7</v>
      </c>
      <c r="P4566" s="18">
        <v>82.54</v>
      </c>
      <c r="Q4566" s="18">
        <v>100.7</v>
      </c>
      <c r="R4566" s="18">
        <v>82.54</v>
      </c>
      <c r="S4566" s="18">
        <v>68.48</v>
      </c>
      <c r="T4566" s="18">
        <v>56.13</v>
      </c>
      <c r="U4566" s="16"/>
      <c r="V4566" s="16"/>
      <c r="W4566" s="16" t="s">
        <v>40</v>
      </c>
      <c r="X4566" s="19">
        <v>4.7E-2</v>
      </c>
      <c r="Y4566" s="20">
        <v>1.2899999999999999E-4</v>
      </c>
      <c r="Z4566" s="21">
        <v>4601004203068</v>
      </c>
    </row>
    <row r="4567" spans="1:26" ht="12.95" customHeight="1" outlineLevel="3" x14ac:dyDescent="0.2">
      <c r="A4567" s="76" t="s">
        <v>8878</v>
      </c>
      <c r="B4567" s="76"/>
      <c r="C4567" s="77"/>
      <c r="D4567" s="58"/>
      <c r="E4567" s="68"/>
      <c r="F4567" s="13"/>
      <c r="G4567" s="13"/>
      <c r="H4567" s="13"/>
      <c r="I4567" s="13"/>
      <c r="J4567" s="13"/>
      <c r="K4567" s="13"/>
      <c r="L4567" s="13"/>
      <c r="M4567" s="13"/>
      <c r="N4567" s="13"/>
      <c r="O4567" s="13"/>
      <c r="P4567" s="13"/>
      <c r="Q4567" s="13"/>
      <c r="R4567" s="13"/>
      <c r="S4567" s="13"/>
      <c r="T4567" s="13"/>
      <c r="U4567" s="13"/>
      <c r="V4567" s="13"/>
      <c r="W4567" s="13"/>
      <c r="X4567" s="13"/>
      <c r="Y4567" s="13"/>
      <c r="Z4567" s="13"/>
    </row>
    <row r="4568" spans="1:26" ht="12" customHeight="1" outlineLevel="4" x14ac:dyDescent="0.2">
      <c r="A4568" s="14" t="s">
        <v>8879</v>
      </c>
      <c r="B4568" s="26" t="s">
        <v>8880</v>
      </c>
      <c r="C4568" s="52"/>
      <c r="D4568" s="55">
        <f t="shared" si="71"/>
        <v>0</v>
      </c>
      <c r="E4568" s="63" t="str">
        <f>HYPERLINK("https://www.sds-group.ru/product/nabor-sverl-po-derevu-4-10-mm-5-sht-kranz-KR-91-0750/", "Инфо")</f>
        <v>Инфо</v>
      </c>
      <c r="F4568" s="16" t="s">
        <v>4698</v>
      </c>
      <c r="G4568" s="15"/>
      <c r="H4568" s="15"/>
      <c r="I4568" s="15"/>
      <c r="J4568" s="16" t="s">
        <v>100</v>
      </c>
      <c r="K4568" s="15" t="s">
        <v>6344</v>
      </c>
      <c r="L4568" s="17">
        <v>5</v>
      </c>
      <c r="M4568" s="17">
        <v>50</v>
      </c>
      <c r="N4568" s="17">
        <v>5</v>
      </c>
      <c r="O4568" s="18">
        <v>296.8</v>
      </c>
      <c r="P4568" s="18">
        <v>243.28</v>
      </c>
      <c r="Q4568" s="18">
        <v>296.8</v>
      </c>
      <c r="R4568" s="18">
        <v>243.28</v>
      </c>
      <c r="S4568" s="18">
        <v>201.82</v>
      </c>
      <c r="T4568" s="18">
        <v>165.43</v>
      </c>
      <c r="U4568" s="16"/>
      <c r="V4568" s="16"/>
      <c r="W4568" s="16" t="s">
        <v>40</v>
      </c>
      <c r="X4568" s="19">
        <v>0.16600000000000001</v>
      </c>
      <c r="Y4568" s="20">
        <v>3.77E-4</v>
      </c>
      <c r="Z4568" s="21">
        <v>4601004176447</v>
      </c>
    </row>
    <row r="4569" spans="1:26" ht="12.95" customHeight="1" outlineLevel="3" x14ac:dyDescent="0.2">
      <c r="A4569" s="76" t="s">
        <v>8881</v>
      </c>
      <c r="B4569" s="76"/>
      <c r="C4569" s="77"/>
      <c r="D4569" s="58"/>
      <c r="E4569" s="68"/>
      <c r="F4569" s="13"/>
      <c r="G4569" s="13"/>
      <c r="H4569" s="13"/>
      <c r="I4569" s="13"/>
      <c r="J4569" s="13"/>
      <c r="K4569" s="13"/>
      <c r="L4569" s="13"/>
      <c r="M4569" s="13"/>
      <c r="N4569" s="13"/>
      <c r="O4569" s="13"/>
      <c r="P4569" s="13"/>
      <c r="Q4569" s="13"/>
      <c r="R4569" s="13"/>
      <c r="S4569" s="13"/>
      <c r="T4569" s="13"/>
      <c r="U4569" s="13"/>
      <c r="V4569" s="13"/>
      <c r="W4569" s="13"/>
      <c r="X4569" s="13"/>
      <c r="Y4569" s="13"/>
      <c r="Z4569" s="13"/>
    </row>
    <row r="4570" spans="1:26" ht="12" customHeight="1" outlineLevel="4" x14ac:dyDescent="0.2">
      <c r="A4570" s="14" t="s">
        <v>8882</v>
      </c>
      <c r="B4570" s="26" t="s">
        <v>8883</v>
      </c>
      <c r="C4570" s="52"/>
      <c r="D4570" s="55">
        <f t="shared" si="71"/>
        <v>0</v>
      </c>
      <c r="E4570" s="63" t="str">
        <f>HYPERLINK("https://www.sds-group.ru/product/disk-pilnyy-210-mm-h-40-zub-h-30-mm-kranz-KR-92-0122/", "Инфо")</f>
        <v>Инфо</v>
      </c>
      <c r="F4570" s="16" t="s">
        <v>39</v>
      </c>
      <c r="G4570" s="15"/>
      <c r="H4570" s="15"/>
      <c r="I4570" s="15"/>
      <c r="J4570" s="17">
        <v>458</v>
      </c>
      <c r="K4570" s="15"/>
      <c r="L4570" s="17">
        <v>1</v>
      </c>
      <c r="M4570" s="17">
        <v>50</v>
      </c>
      <c r="N4570" s="17">
        <v>1</v>
      </c>
      <c r="O4570" s="18">
        <v>866.88</v>
      </c>
      <c r="P4570" s="18">
        <v>710.56</v>
      </c>
      <c r="Q4570" s="18">
        <v>780.19</v>
      </c>
      <c r="R4570" s="18">
        <v>639.5</v>
      </c>
      <c r="S4570" s="18">
        <v>589.48</v>
      </c>
      <c r="T4570" s="18">
        <v>483.18</v>
      </c>
      <c r="U4570" s="16"/>
      <c r="V4570" s="16"/>
      <c r="W4570" s="16" t="s">
        <v>40</v>
      </c>
      <c r="X4570" s="19">
        <v>0.45100000000000001</v>
      </c>
      <c r="Y4570" s="20">
        <v>4.0999999999999999E-4</v>
      </c>
      <c r="Z4570" s="21">
        <v>4601004205673</v>
      </c>
    </row>
    <row r="4571" spans="1:26" ht="12" customHeight="1" outlineLevel="4" x14ac:dyDescent="0.2">
      <c r="A4571" s="14" t="s">
        <v>8884</v>
      </c>
      <c r="B4571" s="26" t="s">
        <v>8885</v>
      </c>
      <c r="C4571" s="52"/>
      <c r="D4571" s="55">
        <f t="shared" si="71"/>
        <v>0</v>
      </c>
      <c r="E4571" s="63" t="str">
        <f>HYPERLINK("https://www.sds-group.ru/product/disk-pilnyy-125-mm-h-12-zub-h-22-23-mm-kranz-KR-92-0102/", "Инфо")</f>
        <v>Инфо</v>
      </c>
      <c r="F4571" s="16" t="s">
        <v>39</v>
      </c>
      <c r="G4571" s="15"/>
      <c r="H4571" s="15"/>
      <c r="I4571" s="15"/>
      <c r="J4571" s="22">
        <v>1200</v>
      </c>
      <c r="K4571" s="15"/>
      <c r="L4571" s="17">
        <v>1</v>
      </c>
      <c r="M4571" s="17">
        <v>100</v>
      </c>
      <c r="N4571" s="17">
        <v>1</v>
      </c>
      <c r="O4571" s="18">
        <v>690.35</v>
      </c>
      <c r="P4571" s="18">
        <v>565.86</v>
      </c>
      <c r="Q4571" s="18">
        <v>621.32000000000005</v>
      </c>
      <c r="R4571" s="18">
        <v>509.28</v>
      </c>
      <c r="S4571" s="18">
        <v>469.44</v>
      </c>
      <c r="T4571" s="18">
        <v>384.79</v>
      </c>
      <c r="U4571" s="16"/>
      <c r="V4571" s="16"/>
      <c r="W4571" s="16" t="s">
        <v>40</v>
      </c>
      <c r="X4571" s="19">
        <v>0.17499999999999999</v>
      </c>
      <c r="Y4571" s="20">
        <v>2.6200000000000003E-4</v>
      </c>
      <c r="Z4571" s="21">
        <v>4601004176454</v>
      </c>
    </row>
    <row r="4572" spans="1:26" ht="12" customHeight="1" outlineLevel="4" x14ac:dyDescent="0.2">
      <c r="A4572" s="14" t="s">
        <v>8886</v>
      </c>
      <c r="B4572" s="26" t="s">
        <v>8887</v>
      </c>
      <c r="C4572" s="52"/>
      <c r="D4572" s="55">
        <f t="shared" si="71"/>
        <v>0</v>
      </c>
      <c r="E4572" s="63" t="str">
        <f>HYPERLINK("https://www.sds-group.ru/product/disk-pilnyy-125-mm-h-3-zub-h-22-23-mm-kranz-KR-92-0100/", "Инфо")</f>
        <v>Инфо</v>
      </c>
      <c r="F4572" s="16" t="s">
        <v>39</v>
      </c>
      <c r="G4572" s="15"/>
      <c r="H4572" s="15"/>
      <c r="I4572" s="15"/>
      <c r="J4572" s="22">
        <v>3109</v>
      </c>
      <c r="K4572" s="15"/>
      <c r="L4572" s="17">
        <v>1</v>
      </c>
      <c r="M4572" s="17">
        <v>100</v>
      </c>
      <c r="N4572" s="17">
        <v>1</v>
      </c>
      <c r="O4572" s="18">
        <v>489.77</v>
      </c>
      <c r="P4572" s="18">
        <v>401.45</v>
      </c>
      <c r="Q4572" s="18">
        <v>440.79</v>
      </c>
      <c r="R4572" s="18">
        <v>361.3</v>
      </c>
      <c r="S4572" s="18">
        <v>333.04</v>
      </c>
      <c r="T4572" s="18">
        <v>272.98</v>
      </c>
      <c r="U4572" s="16"/>
      <c r="V4572" s="16"/>
      <c r="W4572" s="16" t="s">
        <v>40</v>
      </c>
      <c r="X4572" s="19">
        <v>0.222</v>
      </c>
      <c r="Y4572" s="20">
        <v>2.8499999999999999E-4</v>
      </c>
      <c r="Z4572" s="21">
        <v>4601004176461</v>
      </c>
    </row>
    <row r="4573" spans="1:26" ht="12" customHeight="1" outlineLevel="4" x14ac:dyDescent="0.2">
      <c r="A4573" s="14" t="s">
        <v>8888</v>
      </c>
      <c r="B4573" s="26" t="s">
        <v>8889</v>
      </c>
      <c r="C4573" s="52"/>
      <c r="D4573" s="55">
        <f t="shared" si="71"/>
        <v>0</v>
      </c>
      <c r="E4573" s="63" t="str">
        <f>HYPERLINK("https://www.sds-group.ru/product/disk-pilnyy-125-mm-h-48-zub-h-22-23-mm-kranz-KR-92-0103/", "Инфо")</f>
        <v>Инфо</v>
      </c>
      <c r="F4573" s="16" t="s">
        <v>39</v>
      </c>
      <c r="G4573" s="15"/>
      <c r="H4573" s="15"/>
      <c r="I4573" s="15"/>
      <c r="J4573" s="16" t="s">
        <v>100</v>
      </c>
      <c r="K4573" s="15" t="s">
        <v>8890</v>
      </c>
      <c r="L4573" s="17">
        <v>5</v>
      </c>
      <c r="M4573" s="17">
        <v>100</v>
      </c>
      <c r="N4573" s="17">
        <v>5</v>
      </c>
      <c r="O4573" s="18">
        <v>559.74</v>
      </c>
      <c r="P4573" s="18">
        <v>458.8</v>
      </c>
      <c r="Q4573" s="18">
        <v>503.77</v>
      </c>
      <c r="R4573" s="18">
        <v>412.93</v>
      </c>
      <c r="S4573" s="18">
        <v>380.62</v>
      </c>
      <c r="T4573" s="18">
        <v>311.98</v>
      </c>
      <c r="U4573" s="16"/>
      <c r="V4573" s="16"/>
      <c r="W4573" s="16" t="s">
        <v>40</v>
      </c>
      <c r="X4573" s="19">
        <v>0.13300000000000001</v>
      </c>
      <c r="Y4573" s="20">
        <v>2.5900000000000001E-4</v>
      </c>
      <c r="Z4573" s="21">
        <v>4601004176478</v>
      </c>
    </row>
    <row r="4574" spans="1:26" ht="12" customHeight="1" outlineLevel="4" x14ac:dyDescent="0.2">
      <c r="A4574" s="14" t="s">
        <v>8891</v>
      </c>
      <c r="B4574" s="26" t="s">
        <v>8892</v>
      </c>
      <c r="C4574" s="52"/>
      <c r="D4574" s="55">
        <f t="shared" si="71"/>
        <v>0</v>
      </c>
      <c r="E4574" s="63" t="str">
        <f>HYPERLINK("https://www.sds-group.ru/product/disk-pilnyy-125-mm-h-6-zub-h-22-23-mm-kranz-KR-92-0101/", "Инфо")</f>
        <v>Инфо</v>
      </c>
      <c r="F4574" s="16" t="s">
        <v>39</v>
      </c>
      <c r="G4574" s="15"/>
      <c r="H4574" s="15"/>
      <c r="I4574" s="15"/>
      <c r="J4574" s="16" t="s">
        <v>100</v>
      </c>
      <c r="K4574" s="15" t="s">
        <v>8890</v>
      </c>
      <c r="L4574" s="17">
        <v>5</v>
      </c>
      <c r="M4574" s="17">
        <v>25</v>
      </c>
      <c r="N4574" s="17">
        <v>5</v>
      </c>
      <c r="O4574" s="18">
        <v>537.73</v>
      </c>
      <c r="P4574" s="18">
        <v>440.76</v>
      </c>
      <c r="Q4574" s="18">
        <v>483.96</v>
      </c>
      <c r="R4574" s="18">
        <v>396.69</v>
      </c>
      <c r="S4574" s="18">
        <v>365.66</v>
      </c>
      <c r="T4574" s="18">
        <v>299.72000000000003</v>
      </c>
      <c r="U4574" s="16"/>
      <c r="V4574" s="16"/>
      <c r="W4574" s="16" t="s">
        <v>40</v>
      </c>
      <c r="X4574" s="19">
        <v>0.11</v>
      </c>
      <c r="Y4574" s="20">
        <v>4.1199999999999999E-4</v>
      </c>
      <c r="Z4574" s="21">
        <v>4601004176485</v>
      </c>
    </row>
    <row r="4575" spans="1:26" ht="12" customHeight="1" outlineLevel="4" x14ac:dyDescent="0.2">
      <c r="A4575" s="32" t="s">
        <v>8893</v>
      </c>
      <c r="B4575" s="74" t="s">
        <v>8894</v>
      </c>
      <c r="C4575" s="50"/>
      <c r="D4575" s="53">
        <f t="shared" si="71"/>
        <v>0</v>
      </c>
      <c r="E4575" s="60" t="str">
        <f>HYPERLINK("https://www.sds-group.ru/product/disk-pilnyy-160-mm-h-32-zub-h-20-16-mm-kranz-KR-92-0107/", "Инфо")</f>
        <v>Инфо</v>
      </c>
      <c r="F4575" s="34" t="s">
        <v>39</v>
      </c>
      <c r="G4575" s="33"/>
      <c r="H4575" s="33" t="s">
        <v>40</v>
      </c>
      <c r="I4575" s="33"/>
      <c r="J4575" s="35">
        <v>294</v>
      </c>
      <c r="K4575" s="33"/>
      <c r="L4575" s="35">
        <v>1</v>
      </c>
      <c r="M4575" s="35">
        <v>50</v>
      </c>
      <c r="N4575" s="35">
        <v>1</v>
      </c>
      <c r="O4575" s="36">
        <v>400.73</v>
      </c>
      <c r="P4575" s="36">
        <v>328.47</v>
      </c>
      <c r="Q4575" s="36">
        <v>280.51</v>
      </c>
      <c r="R4575" s="36">
        <v>229.93</v>
      </c>
      <c r="S4575" s="36">
        <v>272.5</v>
      </c>
      <c r="T4575" s="36">
        <v>223.36</v>
      </c>
      <c r="U4575" s="34"/>
      <c r="V4575" s="34"/>
      <c r="W4575" s="34"/>
      <c r="X4575" s="37">
        <v>0.23599999999999999</v>
      </c>
      <c r="Y4575" s="38">
        <v>3.68E-4</v>
      </c>
      <c r="Z4575" s="21">
        <v>4601004176492</v>
      </c>
    </row>
    <row r="4576" spans="1:26" ht="12" customHeight="1" outlineLevel="4" x14ac:dyDescent="0.2">
      <c r="A4576" s="14" t="s">
        <v>8895</v>
      </c>
      <c r="B4576" s="26" t="s">
        <v>8896</v>
      </c>
      <c r="C4576" s="52"/>
      <c r="D4576" s="55">
        <f t="shared" si="71"/>
        <v>0</v>
      </c>
      <c r="E4576" s="63" t="str">
        <f>HYPERLINK("https://www.sds-group.ru/product/disk-pilnyy-160-mm-h-48-zub-h-20-16-mm-kranz-KR-92-0108/", "Инфо")</f>
        <v>Инфо</v>
      </c>
      <c r="F4576" s="16" t="s">
        <v>39</v>
      </c>
      <c r="G4576" s="15"/>
      <c r="H4576" s="15"/>
      <c r="I4576" s="15"/>
      <c r="J4576" s="16" t="s">
        <v>100</v>
      </c>
      <c r="K4576" s="15" t="s">
        <v>8890</v>
      </c>
      <c r="L4576" s="17">
        <v>1</v>
      </c>
      <c r="M4576" s="17">
        <v>50</v>
      </c>
      <c r="N4576" s="17">
        <v>1</v>
      </c>
      <c r="O4576" s="18">
        <v>652.29999999999995</v>
      </c>
      <c r="P4576" s="18">
        <v>534.66999999999996</v>
      </c>
      <c r="Q4576" s="18">
        <v>587.07000000000005</v>
      </c>
      <c r="R4576" s="18">
        <v>481.2</v>
      </c>
      <c r="S4576" s="18">
        <v>443.56</v>
      </c>
      <c r="T4576" s="18">
        <v>363.57</v>
      </c>
      <c r="U4576" s="16"/>
      <c r="V4576" s="16"/>
      <c r="W4576" s="16" t="s">
        <v>40</v>
      </c>
      <c r="X4576" s="19">
        <v>0.24</v>
      </c>
      <c r="Y4576" s="20">
        <v>2.7700000000000001E-4</v>
      </c>
      <c r="Z4576" s="21">
        <v>4601004205604</v>
      </c>
    </row>
    <row r="4577" spans="1:26" ht="12" customHeight="1" outlineLevel="4" x14ac:dyDescent="0.2">
      <c r="A4577" s="14" t="s">
        <v>8897</v>
      </c>
      <c r="B4577" s="26" t="s">
        <v>8898</v>
      </c>
      <c r="C4577" s="52"/>
      <c r="D4577" s="55">
        <f t="shared" si="71"/>
        <v>0</v>
      </c>
      <c r="E4577" s="63" t="str">
        <f>HYPERLINK("https://www.sds-group.ru/product/disk-pilnyy-165-mm-h-24-zub-h-20-16-mm-kranz-KR-92-0105/", "Инфо")</f>
        <v>Инфо</v>
      </c>
      <c r="F4577" s="16" t="s">
        <v>39</v>
      </c>
      <c r="G4577" s="15"/>
      <c r="H4577" s="15"/>
      <c r="I4577" s="15"/>
      <c r="J4577" s="17">
        <v>815</v>
      </c>
      <c r="K4577" s="15"/>
      <c r="L4577" s="17">
        <v>1</v>
      </c>
      <c r="M4577" s="17">
        <v>50</v>
      </c>
      <c r="N4577" s="17">
        <v>1</v>
      </c>
      <c r="O4577" s="18">
        <v>448.46</v>
      </c>
      <c r="P4577" s="18">
        <v>367.59</v>
      </c>
      <c r="Q4577" s="18">
        <v>403.61</v>
      </c>
      <c r="R4577" s="18">
        <v>330.83</v>
      </c>
      <c r="S4577" s="18">
        <v>304.95</v>
      </c>
      <c r="T4577" s="18">
        <v>249.96</v>
      </c>
      <c r="U4577" s="16"/>
      <c r="V4577" s="16"/>
      <c r="W4577" s="16" t="s">
        <v>40</v>
      </c>
      <c r="X4577" s="19">
        <v>0.23499999999999999</v>
      </c>
      <c r="Y4577" s="20">
        <v>4.15E-4</v>
      </c>
      <c r="Z4577" s="21">
        <v>4601004206519</v>
      </c>
    </row>
    <row r="4578" spans="1:26" ht="12" customHeight="1" outlineLevel="4" x14ac:dyDescent="0.2">
      <c r="A4578" s="14" t="s">
        <v>8899</v>
      </c>
      <c r="B4578" s="26" t="s">
        <v>8900</v>
      </c>
      <c r="C4578" s="52"/>
      <c r="D4578" s="55">
        <f t="shared" si="71"/>
        <v>0</v>
      </c>
      <c r="E4578" s="63" t="str">
        <f>HYPERLINK("https://www.sds-group.ru/product/disk-pilnyy-165-mm-h-30-zub-h-20-16-mm-kranz-KR-92-0106/", "Инфо")</f>
        <v>Инфо</v>
      </c>
      <c r="F4578" s="16" t="s">
        <v>39</v>
      </c>
      <c r="G4578" s="15"/>
      <c r="H4578" s="15"/>
      <c r="I4578" s="15"/>
      <c r="J4578" s="17">
        <v>384</v>
      </c>
      <c r="K4578" s="15"/>
      <c r="L4578" s="17">
        <v>1</v>
      </c>
      <c r="M4578" s="17">
        <v>50</v>
      </c>
      <c r="N4578" s="17">
        <v>1</v>
      </c>
      <c r="O4578" s="18">
        <v>676.77</v>
      </c>
      <c r="P4578" s="18">
        <v>554.73</v>
      </c>
      <c r="Q4578" s="18">
        <v>609.09</v>
      </c>
      <c r="R4578" s="18">
        <v>499.25</v>
      </c>
      <c r="S4578" s="18">
        <v>460.2</v>
      </c>
      <c r="T4578" s="18">
        <v>377.21</v>
      </c>
      <c r="U4578" s="16"/>
      <c r="V4578" s="16"/>
      <c r="W4578" s="16" t="s">
        <v>40</v>
      </c>
      <c r="X4578" s="19">
        <v>0.25</v>
      </c>
      <c r="Y4578" s="20">
        <v>3.6600000000000001E-4</v>
      </c>
      <c r="Z4578" s="21">
        <v>4601004205598</v>
      </c>
    </row>
    <row r="4579" spans="1:26" ht="12" customHeight="1" outlineLevel="4" x14ac:dyDescent="0.2">
      <c r="A4579" s="14" t="s">
        <v>8901</v>
      </c>
      <c r="B4579" s="26" t="s">
        <v>8902</v>
      </c>
      <c r="C4579" s="52"/>
      <c r="D4579" s="55">
        <f t="shared" si="71"/>
        <v>0</v>
      </c>
      <c r="E4579" s="63" t="str">
        <f>HYPERLINK("https://www.sds-group.ru/product/disk-pilnyy-184-mm-h-30-zub-h-20-16-mm-kranz-KR-92-0109/", "Инфо")</f>
        <v>Инфо</v>
      </c>
      <c r="F4579" s="16" t="s">
        <v>39</v>
      </c>
      <c r="G4579" s="15"/>
      <c r="H4579" s="15"/>
      <c r="I4579" s="15"/>
      <c r="J4579" s="17">
        <v>399</v>
      </c>
      <c r="K4579" s="15" t="s">
        <v>8890</v>
      </c>
      <c r="L4579" s="17">
        <v>5</v>
      </c>
      <c r="M4579" s="17">
        <v>50</v>
      </c>
      <c r="N4579" s="17">
        <v>5</v>
      </c>
      <c r="O4579" s="18">
        <v>578.4</v>
      </c>
      <c r="P4579" s="18">
        <v>474.1</v>
      </c>
      <c r="Q4579" s="18">
        <v>520.55999999999995</v>
      </c>
      <c r="R4579" s="18">
        <v>426.69</v>
      </c>
      <c r="S4579" s="18">
        <v>393.31</v>
      </c>
      <c r="T4579" s="18">
        <v>322.39</v>
      </c>
      <c r="U4579" s="16"/>
      <c r="V4579" s="16"/>
      <c r="W4579" s="16" t="s">
        <v>40</v>
      </c>
      <c r="X4579" s="19">
        <v>0.308</v>
      </c>
      <c r="Y4579" s="20">
        <v>4.3100000000000001E-4</v>
      </c>
      <c r="Z4579" s="21">
        <v>4601004176515</v>
      </c>
    </row>
    <row r="4580" spans="1:26" ht="12" customHeight="1" outlineLevel="4" x14ac:dyDescent="0.2">
      <c r="A4580" s="14" t="s">
        <v>8903</v>
      </c>
      <c r="B4580" s="26" t="s">
        <v>8904</v>
      </c>
      <c r="C4580" s="52"/>
      <c r="D4580" s="55">
        <f t="shared" si="71"/>
        <v>0</v>
      </c>
      <c r="E4580" s="63" t="str">
        <f>HYPERLINK("https://www.sds-group.ru/product/disk-pilnyy-184-mm-h-40-zub-h-20-16-mm-kranz-KR-92-0110/", "Инфо")</f>
        <v>Инфо</v>
      </c>
      <c r="F4580" s="16" t="s">
        <v>39</v>
      </c>
      <c r="G4580" s="15"/>
      <c r="H4580" s="15"/>
      <c r="I4580" s="15"/>
      <c r="J4580" s="17">
        <v>395</v>
      </c>
      <c r="K4580" s="15"/>
      <c r="L4580" s="17">
        <v>1</v>
      </c>
      <c r="M4580" s="17">
        <v>50</v>
      </c>
      <c r="N4580" s="17">
        <v>1</v>
      </c>
      <c r="O4580" s="18">
        <v>690.35</v>
      </c>
      <c r="P4580" s="18">
        <v>565.86</v>
      </c>
      <c r="Q4580" s="18">
        <v>621.32000000000005</v>
      </c>
      <c r="R4580" s="18">
        <v>509.28</v>
      </c>
      <c r="S4580" s="18">
        <v>469.44</v>
      </c>
      <c r="T4580" s="18">
        <v>384.79</v>
      </c>
      <c r="U4580" s="16"/>
      <c r="V4580" s="16"/>
      <c r="W4580" s="16" t="s">
        <v>40</v>
      </c>
      <c r="X4580" s="19">
        <v>0.315</v>
      </c>
      <c r="Y4580" s="20">
        <v>4.4999999999999999E-4</v>
      </c>
      <c r="Z4580" s="21">
        <v>4601004176522</v>
      </c>
    </row>
    <row r="4581" spans="1:26" ht="12" customHeight="1" outlineLevel="4" x14ac:dyDescent="0.2">
      <c r="A4581" s="14" t="s">
        <v>8905</v>
      </c>
      <c r="B4581" s="26" t="s">
        <v>8906</v>
      </c>
      <c r="C4581" s="52"/>
      <c r="D4581" s="55">
        <f t="shared" si="71"/>
        <v>0</v>
      </c>
      <c r="E4581" s="63" t="str">
        <f>HYPERLINK("https://www.sds-group.ru/product/disk-pilnyy-185-mm-h-40-zub-h-30-20-mm-kranz-KR-92-0111/", "Инфо")</f>
        <v>Инфо</v>
      </c>
      <c r="F4581" s="16" t="s">
        <v>39</v>
      </c>
      <c r="G4581" s="15"/>
      <c r="H4581" s="15"/>
      <c r="I4581" s="15"/>
      <c r="J4581" s="17">
        <v>965</v>
      </c>
      <c r="K4581" s="15"/>
      <c r="L4581" s="17">
        <v>1</v>
      </c>
      <c r="M4581" s="17">
        <v>50</v>
      </c>
      <c r="N4581" s="17">
        <v>1</v>
      </c>
      <c r="O4581" s="18">
        <v>690.35</v>
      </c>
      <c r="P4581" s="18">
        <v>565.86</v>
      </c>
      <c r="Q4581" s="18">
        <v>621.32000000000005</v>
      </c>
      <c r="R4581" s="18">
        <v>509.28</v>
      </c>
      <c r="S4581" s="18">
        <v>469.44</v>
      </c>
      <c r="T4581" s="18">
        <v>384.79</v>
      </c>
      <c r="U4581" s="16"/>
      <c r="V4581" s="16"/>
      <c r="W4581" s="16" t="s">
        <v>40</v>
      </c>
      <c r="X4581" s="19">
        <v>0.32200000000000001</v>
      </c>
      <c r="Y4581" s="20">
        <v>4.9700000000000005E-4</v>
      </c>
      <c r="Z4581" s="21">
        <v>4601004205611</v>
      </c>
    </row>
    <row r="4582" spans="1:26" ht="12" customHeight="1" outlineLevel="4" x14ac:dyDescent="0.2">
      <c r="A4582" s="14" t="s">
        <v>8907</v>
      </c>
      <c r="B4582" s="26" t="s">
        <v>8908</v>
      </c>
      <c r="C4582" s="52"/>
      <c r="D4582" s="55">
        <f t="shared" si="71"/>
        <v>0</v>
      </c>
      <c r="E4582" s="63" t="str">
        <f>HYPERLINK("https://www.sds-group.ru/product/disk-pilnyy-190-mm-h-18-zub-h-30-20-mm-kranz-KR-92-0112/", "Инфо")</f>
        <v>Инфо</v>
      </c>
      <c r="F4582" s="16" t="s">
        <v>39</v>
      </c>
      <c r="G4582" s="15"/>
      <c r="H4582" s="15"/>
      <c r="I4582" s="15"/>
      <c r="J4582" s="17">
        <v>318</v>
      </c>
      <c r="K4582" s="15"/>
      <c r="L4582" s="17">
        <v>1</v>
      </c>
      <c r="M4582" s="17">
        <v>50</v>
      </c>
      <c r="N4582" s="17">
        <v>1</v>
      </c>
      <c r="O4582" s="18">
        <v>466.45</v>
      </c>
      <c r="P4582" s="18">
        <v>382.34</v>
      </c>
      <c r="Q4582" s="18">
        <v>419.81</v>
      </c>
      <c r="R4582" s="18">
        <v>344.11</v>
      </c>
      <c r="S4582" s="18">
        <v>317.19</v>
      </c>
      <c r="T4582" s="18">
        <v>259.99</v>
      </c>
      <c r="U4582" s="16"/>
      <c r="V4582" s="16"/>
      <c r="W4582" s="16" t="s">
        <v>40</v>
      </c>
      <c r="X4582" s="19">
        <v>0.31</v>
      </c>
      <c r="Y4582" s="20">
        <v>5.1699999999999999E-4</v>
      </c>
      <c r="Z4582" s="21">
        <v>4601004205628</v>
      </c>
    </row>
    <row r="4583" spans="1:26" ht="12" customHeight="1" outlineLevel="4" x14ac:dyDescent="0.2">
      <c r="A4583" s="14" t="s">
        <v>8909</v>
      </c>
      <c r="B4583" s="26" t="s">
        <v>8910</v>
      </c>
      <c r="C4583" s="52"/>
      <c r="D4583" s="55">
        <f t="shared" si="71"/>
        <v>0</v>
      </c>
      <c r="E4583" s="63" t="str">
        <f>HYPERLINK("https://www.sds-group.ru/product/disk-pilnyy-190-mm-h-24-zub-h-30-20-mm-kranz-KR-92-0113/", "Инфо")</f>
        <v>Инфо</v>
      </c>
      <c r="F4583" s="16" t="s">
        <v>39</v>
      </c>
      <c r="G4583" s="15"/>
      <c r="H4583" s="15"/>
      <c r="I4583" s="15"/>
      <c r="J4583" s="17">
        <v>812</v>
      </c>
      <c r="K4583" s="15"/>
      <c r="L4583" s="17">
        <v>1</v>
      </c>
      <c r="M4583" s="17">
        <v>50</v>
      </c>
      <c r="N4583" s="17">
        <v>1</v>
      </c>
      <c r="O4583" s="18">
        <v>596.91</v>
      </c>
      <c r="P4583" s="18">
        <v>489.27</v>
      </c>
      <c r="Q4583" s="18">
        <v>537.22</v>
      </c>
      <c r="R4583" s="18">
        <v>440.34</v>
      </c>
      <c r="S4583" s="18">
        <v>405.9</v>
      </c>
      <c r="T4583" s="18">
        <v>332.7</v>
      </c>
      <c r="U4583" s="16"/>
      <c r="V4583" s="16"/>
      <c r="W4583" s="16" t="s">
        <v>40</v>
      </c>
      <c r="X4583" s="19">
        <v>0.32800000000000001</v>
      </c>
      <c r="Y4583" s="20">
        <v>4.84E-4</v>
      </c>
      <c r="Z4583" s="21">
        <v>4601004176539</v>
      </c>
    </row>
    <row r="4584" spans="1:26" ht="12" customHeight="1" outlineLevel="4" x14ac:dyDescent="0.2">
      <c r="A4584" s="14" t="s">
        <v>8911</v>
      </c>
      <c r="B4584" s="26" t="s">
        <v>8912</v>
      </c>
      <c r="C4584" s="52"/>
      <c r="D4584" s="55">
        <f t="shared" si="71"/>
        <v>0</v>
      </c>
      <c r="E4584" s="63" t="str">
        <f>HYPERLINK("https://www.sds-group.ru/product/disk-pilnyy-190-mm-h-32-zub-h-30-20-mm-kranz-KR-92-0114/", "Инфо")</f>
        <v>Инфо</v>
      </c>
      <c r="F4584" s="16" t="s">
        <v>39</v>
      </c>
      <c r="G4584" s="15"/>
      <c r="H4584" s="15"/>
      <c r="I4584" s="15"/>
      <c r="J4584" s="22">
        <v>2418</v>
      </c>
      <c r="K4584" s="15"/>
      <c r="L4584" s="17">
        <v>1</v>
      </c>
      <c r="M4584" s="17">
        <v>50</v>
      </c>
      <c r="N4584" s="17">
        <v>1</v>
      </c>
      <c r="O4584" s="18">
        <v>727.66</v>
      </c>
      <c r="P4584" s="18">
        <v>596.44000000000005</v>
      </c>
      <c r="Q4584" s="18">
        <v>654.89</v>
      </c>
      <c r="R4584" s="18">
        <v>536.79999999999995</v>
      </c>
      <c r="S4584" s="18">
        <v>494.81</v>
      </c>
      <c r="T4584" s="18">
        <v>405.58</v>
      </c>
      <c r="U4584" s="16"/>
      <c r="V4584" s="16"/>
      <c r="W4584" s="16" t="s">
        <v>40</v>
      </c>
      <c r="X4584" s="19">
        <v>0.33700000000000002</v>
      </c>
      <c r="Y4584" s="20">
        <v>4.8000000000000001E-4</v>
      </c>
      <c r="Z4584" s="21">
        <v>4601004176546</v>
      </c>
    </row>
    <row r="4585" spans="1:26" ht="12" customHeight="1" outlineLevel="4" x14ac:dyDescent="0.2">
      <c r="A4585" s="14" t="s">
        <v>8913</v>
      </c>
      <c r="B4585" s="26" t="s">
        <v>8914</v>
      </c>
      <c r="C4585" s="52"/>
      <c r="D4585" s="55">
        <f t="shared" si="71"/>
        <v>0</v>
      </c>
      <c r="E4585" s="63" t="str">
        <f>HYPERLINK("https://www.sds-group.ru/product/disk-pilnyy-190-mm-h-48-zub-h-30-20-mm-kranz-KR-92-0115/", "Инфо")</f>
        <v>Инфо</v>
      </c>
      <c r="F4585" s="16" t="s">
        <v>39</v>
      </c>
      <c r="G4585" s="15"/>
      <c r="H4585" s="15"/>
      <c r="I4585" s="15"/>
      <c r="J4585" s="22">
        <v>1123</v>
      </c>
      <c r="K4585" s="15"/>
      <c r="L4585" s="17">
        <v>1</v>
      </c>
      <c r="M4585" s="17">
        <v>50</v>
      </c>
      <c r="N4585" s="17">
        <v>1</v>
      </c>
      <c r="O4585" s="18">
        <v>802.29</v>
      </c>
      <c r="P4585" s="18">
        <v>657.61</v>
      </c>
      <c r="Q4585" s="18">
        <v>722.06</v>
      </c>
      <c r="R4585" s="18">
        <v>591.85</v>
      </c>
      <c r="S4585" s="18">
        <v>545.55999999999995</v>
      </c>
      <c r="T4585" s="18">
        <v>447.18</v>
      </c>
      <c r="U4585" s="16"/>
      <c r="V4585" s="16"/>
      <c r="W4585" s="16" t="s">
        <v>40</v>
      </c>
      <c r="X4585" s="19">
        <v>0.38500000000000001</v>
      </c>
      <c r="Y4585" s="20">
        <v>4.7800000000000002E-4</v>
      </c>
      <c r="Z4585" s="21">
        <v>4601004176553</v>
      </c>
    </row>
    <row r="4586" spans="1:26" ht="12" customHeight="1" outlineLevel="4" x14ac:dyDescent="0.2">
      <c r="A4586" s="32" t="s">
        <v>8915</v>
      </c>
      <c r="B4586" s="74" t="s">
        <v>8916</v>
      </c>
      <c r="C4586" s="50"/>
      <c r="D4586" s="53">
        <f t="shared" si="71"/>
        <v>0</v>
      </c>
      <c r="E4586" s="60" t="str">
        <f>HYPERLINK("https://www.sds-group.ru/product/disk-pilnyy-200-mm-h-36-zub-h-30-20-mm-kranz-KR-92-0117/", "Инфо")</f>
        <v>Инфо</v>
      </c>
      <c r="F4586" s="34" t="s">
        <v>39</v>
      </c>
      <c r="G4586" s="33"/>
      <c r="H4586" s="33" t="s">
        <v>40</v>
      </c>
      <c r="I4586" s="33"/>
      <c r="J4586" s="35">
        <v>157</v>
      </c>
      <c r="K4586" s="33"/>
      <c r="L4586" s="35">
        <v>1</v>
      </c>
      <c r="M4586" s="35">
        <v>50</v>
      </c>
      <c r="N4586" s="35">
        <v>1</v>
      </c>
      <c r="O4586" s="36">
        <v>492.97</v>
      </c>
      <c r="P4586" s="36">
        <v>404.07</v>
      </c>
      <c r="Q4586" s="36">
        <v>345.08</v>
      </c>
      <c r="R4586" s="36">
        <v>282.85000000000002</v>
      </c>
      <c r="S4586" s="36">
        <v>335.22</v>
      </c>
      <c r="T4586" s="36">
        <v>274.77</v>
      </c>
      <c r="U4586" s="34"/>
      <c r="V4586" s="34"/>
      <c r="W4586" s="34"/>
      <c r="X4586" s="37">
        <v>0.34899999999999998</v>
      </c>
      <c r="Y4586" s="38">
        <v>1.0759999999999999E-3</v>
      </c>
      <c r="Z4586" s="21">
        <v>4601004176577</v>
      </c>
    </row>
    <row r="4587" spans="1:26" ht="12" customHeight="1" outlineLevel="4" x14ac:dyDescent="0.2">
      <c r="A4587" s="32" t="s">
        <v>8917</v>
      </c>
      <c r="B4587" s="74" t="s">
        <v>8918</v>
      </c>
      <c r="C4587" s="50"/>
      <c r="D4587" s="53">
        <f t="shared" si="71"/>
        <v>0</v>
      </c>
      <c r="E4587" s="60" t="str">
        <f>HYPERLINK("https://www.sds-group.ru/product/disk-pilnyy-200-mm-h-48-zub-h-30-20-mm-kranz-KR-92-0118/", "Инфо")</f>
        <v>Инфо</v>
      </c>
      <c r="F4587" s="34" t="s">
        <v>39</v>
      </c>
      <c r="G4587" s="33"/>
      <c r="H4587" s="33" t="s">
        <v>40</v>
      </c>
      <c r="I4587" s="33"/>
      <c r="J4587" s="35">
        <v>378</v>
      </c>
      <c r="K4587" s="33"/>
      <c r="L4587" s="35">
        <v>1</v>
      </c>
      <c r="M4587" s="35">
        <v>50</v>
      </c>
      <c r="N4587" s="35">
        <v>1</v>
      </c>
      <c r="O4587" s="36">
        <v>427.68</v>
      </c>
      <c r="P4587" s="36">
        <v>350.56</v>
      </c>
      <c r="Q4587" s="36">
        <v>299.38</v>
      </c>
      <c r="R4587" s="36">
        <v>245.39</v>
      </c>
      <c r="S4587" s="36">
        <v>290.82</v>
      </c>
      <c r="T4587" s="36">
        <v>238.38</v>
      </c>
      <c r="U4587" s="34"/>
      <c r="V4587" s="34"/>
      <c r="W4587" s="34"/>
      <c r="X4587" s="37">
        <v>0.40500000000000003</v>
      </c>
      <c r="Y4587" s="38">
        <v>4.5199999999999998E-4</v>
      </c>
      <c r="Z4587" s="21">
        <v>4601004205635</v>
      </c>
    </row>
    <row r="4588" spans="1:26" ht="12" customHeight="1" outlineLevel="4" x14ac:dyDescent="0.2">
      <c r="A4588" s="32" t="s">
        <v>8919</v>
      </c>
      <c r="B4588" s="74" t="s">
        <v>8920</v>
      </c>
      <c r="C4588" s="50"/>
      <c r="D4588" s="53">
        <f t="shared" si="71"/>
        <v>0</v>
      </c>
      <c r="E4588" s="60" t="str">
        <f>HYPERLINK("https://www.sds-group.ru/product/disk-pilnyy-200-mm-h-56-zub-h-30-20-mm-kranz-KR-92-0119/", "Инфо")</f>
        <v>Инфо</v>
      </c>
      <c r="F4588" s="34" t="s">
        <v>39</v>
      </c>
      <c r="G4588" s="33"/>
      <c r="H4588" s="33" t="s">
        <v>40</v>
      </c>
      <c r="I4588" s="33"/>
      <c r="J4588" s="35">
        <v>192</v>
      </c>
      <c r="K4588" s="33"/>
      <c r="L4588" s="35">
        <v>1</v>
      </c>
      <c r="M4588" s="35">
        <v>50</v>
      </c>
      <c r="N4588" s="35">
        <v>1</v>
      </c>
      <c r="O4588" s="36">
        <v>865.86</v>
      </c>
      <c r="P4588" s="36">
        <v>709.72</v>
      </c>
      <c r="Q4588" s="36">
        <v>779.27</v>
      </c>
      <c r="R4588" s="36">
        <v>638.75</v>
      </c>
      <c r="S4588" s="36">
        <v>588.78</v>
      </c>
      <c r="T4588" s="36">
        <v>482.61</v>
      </c>
      <c r="U4588" s="34"/>
      <c r="V4588" s="34"/>
      <c r="W4588" s="34" t="s">
        <v>40</v>
      </c>
      <c r="X4588" s="37">
        <v>0.41499999999999998</v>
      </c>
      <c r="Y4588" s="38">
        <v>4.57E-4</v>
      </c>
      <c r="Z4588" s="21">
        <v>4601004205642</v>
      </c>
    </row>
    <row r="4589" spans="1:26" ht="12" customHeight="1" outlineLevel="4" x14ac:dyDescent="0.2">
      <c r="A4589" s="32" t="s">
        <v>8921</v>
      </c>
      <c r="B4589" s="74" t="s">
        <v>8922</v>
      </c>
      <c r="C4589" s="50"/>
      <c r="D4589" s="53">
        <f t="shared" si="71"/>
        <v>0</v>
      </c>
      <c r="E4589" s="60" t="str">
        <f>HYPERLINK("https://www.sds-group.ru/product/disk-pilnyy-210-mm-h-24-zub-h-30-mm-kranz-KR-92-0120/", "Инфо")</f>
        <v>Инфо</v>
      </c>
      <c r="F4589" s="34" t="s">
        <v>39</v>
      </c>
      <c r="G4589" s="33"/>
      <c r="H4589" s="33" t="s">
        <v>40</v>
      </c>
      <c r="I4589" s="33"/>
      <c r="J4589" s="35">
        <v>65</v>
      </c>
      <c r="K4589" s="33"/>
      <c r="L4589" s="35">
        <v>1</v>
      </c>
      <c r="M4589" s="35">
        <v>50</v>
      </c>
      <c r="N4589" s="35">
        <v>1</v>
      </c>
      <c r="O4589" s="36">
        <v>493.94</v>
      </c>
      <c r="P4589" s="36">
        <v>404.87</v>
      </c>
      <c r="Q4589" s="36">
        <v>345.76</v>
      </c>
      <c r="R4589" s="36">
        <v>283.41000000000003</v>
      </c>
      <c r="S4589" s="36">
        <v>335.88</v>
      </c>
      <c r="T4589" s="36">
        <v>275.31</v>
      </c>
      <c r="U4589" s="34"/>
      <c r="V4589" s="34"/>
      <c r="W4589" s="34"/>
      <c r="X4589" s="37">
        <v>0.42099999999999999</v>
      </c>
      <c r="Y4589" s="38">
        <v>1.1310000000000001E-3</v>
      </c>
      <c r="Z4589" s="21">
        <v>4601004205659</v>
      </c>
    </row>
    <row r="4590" spans="1:26" ht="12" customHeight="1" outlineLevel="4" x14ac:dyDescent="0.2">
      <c r="A4590" s="32" t="s">
        <v>8923</v>
      </c>
      <c r="B4590" s="74" t="s">
        <v>8924</v>
      </c>
      <c r="C4590" s="50"/>
      <c r="D4590" s="53">
        <f t="shared" si="71"/>
        <v>0</v>
      </c>
      <c r="E4590" s="60" t="str">
        <f>HYPERLINK("https://www.sds-group.ru/product/disk-pilnyy-210-mm-h-36-zub-h-30-mm-kranz-KR-92-0121/", "Инфо")</f>
        <v>Инфо</v>
      </c>
      <c r="F4590" s="34" t="s">
        <v>39</v>
      </c>
      <c r="G4590" s="33"/>
      <c r="H4590" s="33" t="s">
        <v>40</v>
      </c>
      <c r="I4590" s="33"/>
      <c r="J4590" s="35">
        <v>288</v>
      </c>
      <c r="K4590" s="33"/>
      <c r="L4590" s="35">
        <v>1</v>
      </c>
      <c r="M4590" s="35">
        <v>40</v>
      </c>
      <c r="N4590" s="35">
        <v>1</v>
      </c>
      <c r="O4590" s="36">
        <v>467.78</v>
      </c>
      <c r="P4590" s="36">
        <v>383.43</v>
      </c>
      <c r="Q4590" s="36">
        <v>327.45</v>
      </c>
      <c r="R4590" s="36">
        <v>268.39999999999998</v>
      </c>
      <c r="S4590" s="36">
        <v>318.08999999999997</v>
      </c>
      <c r="T4590" s="36">
        <v>260.73</v>
      </c>
      <c r="U4590" s="34"/>
      <c r="V4590" s="34"/>
      <c r="W4590" s="34"/>
      <c r="X4590" s="37">
        <v>0.435</v>
      </c>
      <c r="Y4590" s="38">
        <v>9.4300000000000004E-4</v>
      </c>
      <c r="Z4590" s="21">
        <v>4601004205666</v>
      </c>
    </row>
    <row r="4591" spans="1:26" ht="12" customHeight="1" outlineLevel="4" x14ac:dyDescent="0.2">
      <c r="A4591" s="14" t="s">
        <v>8925</v>
      </c>
      <c r="B4591" s="26" t="s">
        <v>8926</v>
      </c>
      <c r="C4591" s="52"/>
      <c r="D4591" s="55">
        <f t="shared" si="71"/>
        <v>0</v>
      </c>
      <c r="E4591" s="63" t="str">
        <f>HYPERLINK("https://www.sds-group.ru/product/disk-pilnyy-210-mm-h-56-zub-h-30-mm-kranz-KR-92-0123/", "Инфо")</f>
        <v>Инфо</v>
      </c>
      <c r="F4591" s="16" t="s">
        <v>39</v>
      </c>
      <c r="G4591" s="15"/>
      <c r="H4591" s="15"/>
      <c r="I4591" s="15"/>
      <c r="J4591" s="17">
        <v>519</v>
      </c>
      <c r="K4591" s="15"/>
      <c r="L4591" s="17">
        <v>1</v>
      </c>
      <c r="M4591" s="17">
        <v>50</v>
      </c>
      <c r="N4591" s="17">
        <v>1</v>
      </c>
      <c r="O4591" s="18">
        <v>856.15</v>
      </c>
      <c r="P4591" s="18">
        <v>701.76</v>
      </c>
      <c r="Q4591" s="18">
        <v>770.54</v>
      </c>
      <c r="R4591" s="18">
        <v>631.59</v>
      </c>
      <c r="S4591" s="18">
        <v>582.17999999999995</v>
      </c>
      <c r="T4591" s="18">
        <v>477.2</v>
      </c>
      <c r="U4591" s="16"/>
      <c r="V4591" s="16"/>
      <c r="W4591" s="16" t="s">
        <v>40</v>
      </c>
      <c r="X4591" s="19">
        <v>0.45100000000000001</v>
      </c>
      <c r="Y4591" s="20">
        <v>8.8500000000000004E-4</v>
      </c>
      <c r="Z4591" s="21">
        <v>4601004205680</v>
      </c>
    </row>
    <row r="4592" spans="1:26" ht="12" customHeight="1" outlineLevel="4" x14ac:dyDescent="0.2">
      <c r="A4592" s="14" t="s">
        <v>8927</v>
      </c>
      <c r="B4592" s="26" t="s">
        <v>8928</v>
      </c>
      <c r="C4592" s="52"/>
      <c r="D4592" s="55">
        <f t="shared" si="71"/>
        <v>0</v>
      </c>
      <c r="E4592" s="63" t="str">
        <f>HYPERLINK("https://www.sds-group.ru/product/disk-pilnyy-235-mm-h-40-zub-h-30-mm-kranz-KR-92-0124/", "Инфо")</f>
        <v>Инфо</v>
      </c>
      <c r="F4592" s="16" t="s">
        <v>39</v>
      </c>
      <c r="G4592" s="15"/>
      <c r="H4592" s="15"/>
      <c r="I4592" s="15"/>
      <c r="J4592" s="17">
        <v>97</v>
      </c>
      <c r="K4592" s="15"/>
      <c r="L4592" s="17">
        <v>1</v>
      </c>
      <c r="M4592" s="17">
        <v>25</v>
      </c>
      <c r="N4592" s="17">
        <v>1</v>
      </c>
      <c r="O4592" s="18">
        <v>917.3</v>
      </c>
      <c r="P4592" s="18">
        <v>751.89</v>
      </c>
      <c r="Q4592" s="18">
        <v>825.57</v>
      </c>
      <c r="R4592" s="18">
        <v>676.7</v>
      </c>
      <c r="S4592" s="18">
        <v>623.76</v>
      </c>
      <c r="T4592" s="18">
        <v>511.28</v>
      </c>
      <c r="U4592" s="16"/>
      <c r="V4592" s="16"/>
      <c r="W4592" s="16" t="s">
        <v>40</v>
      </c>
      <c r="X4592" s="19">
        <v>0.56200000000000006</v>
      </c>
      <c r="Y4592" s="20">
        <v>1.1540000000000001E-3</v>
      </c>
      <c r="Z4592" s="21">
        <v>4601004205697</v>
      </c>
    </row>
    <row r="4593" spans="1:26" ht="12" customHeight="1" outlineLevel="4" x14ac:dyDescent="0.2">
      <c r="A4593" s="14" t="s">
        <v>8929</v>
      </c>
      <c r="B4593" s="26" t="s">
        <v>8930</v>
      </c>
      <c r="C4593" s="52"/>
      <c r="D4593" s="55">
        <f t="shared" si="71"/>
        <v>0</v>
      </c>
      <c r="E4593" s="63" t="str">
        <f>HYPERLINK("https://www.sds-group.ru/product/disk-pilnyy-235-mm-h-48-zub-h-30-mm-kranz-KR-92-0125/", "Инфо")</f>
        <v>Инфо</v>
      </c>
      <c r="F4593" s="16" t="s">
        <v>39</v>
      </c>
      <c r="G4593" s="15"/>
      <c r="H4593" s="15"/>
      <c r="I4593" s="15"/>
      <c r="J4593" s="17">
        <v>550</v>
      </c>
      <c r="K4593" s="15"/>
      <c r="L4593" s="17">
        <v>1</v>
      </c>
      <c r="M4593" s="17">
        <v>25</v>
      </c>
      <c r="N4593" s="17">
        <v>1</v>
      </c>
      <c r="O4593" s="18">
        <v>998.18</v>
      </c>
      <c r="P4593" s="18">
        <v>818.18</v>
      </c>
      <c r="Q4593" s="18">
        <v>898.36</v>
      </c>
      <c r="R4593" s="18">
        <v>736.36</v>
      </c>
      <c r="S4593" s="18">
        <v>678.76</v>
      </c>
      <c r="T4593" s="18">
        <v>556.36</v>
      </c>
      <c r="U4593" s="16"/>
      <c r="V4593" s="16"/>
      <c r="W4593" s="16" t="s">
        <v>40</v>
      </c>
      <c r="X4593" s="19">
        <v>0.57799999999999996</v>
      </c>
      <c r="Y4593" s="20">
        <v>5.4500000000000002E-4</v>
      </c>
      <c r="Z4593" s="21">
        <v>4601004205703</v>
      </c>
    </row>
    <row r="4594" spans="1:26" ht="12" customHeight="1" outlineLevel="4" x14ac:dyDescent="0.2">
      <c r="A4594" s="14" t="s">
        <v>8931</v>
      </c>
      <c r="B4594" s="26" t="s">
        <v>8932</v>
      </c>
      <c r="C4594" s="52"/>
      <c r="D4594" s="55">
        <f t="shared" si="71"/>
        <v>0</v>
      </c>
      <c r="E4594" s="63" t="str">
        <f>HYPERLINK("https://www.sds-group.ru/product/disk-pilnyy-250-mm-h-24-zub-h-30-mm-kranz-KR-92-0126/", "Инфо")</f>
        <v>Инфо</v>
      </c>
      <c r="F4594" s="16" t="s">
        <v>39</v>
      </c>
      <c r="G4594" s="15"/>
      <c r="H4594" s="15"/>
      <c r="I4594" s="15"/>
      <c r="J4594" s="17">
        <v>109</v>
      </c>
      <c r="K4594" s="15"/>
      <c r="L4594" s="17">
        <v>1</v>
      </c>
      <c r="M4594" s="17">
        <v>25</v>
      </c>
      <c r="N4594" s="17">
        <v>1</v>
      </c>
      <c r="O4594" s="18">
        <v>1003.7</v>
      </c>
      <c r="P4594" s="18">
        <v>822.7</v>
      </c>
      <c r="Q4594" s="18">
        <v>903.33</v>
      </c>
      <c r="R4594" s="18">
        <v>740.43</v>
      </c>
      <c r="S4594" s="18">
        <v>682.52</v>
      </c>
      <c r="T4594" s="18">
        <v>559.44000000000005</v>
      </c>
      <c r="U4594" s="16"/>
      <c r="V4594" s="16"/>
      <c r="W4594" s="16" t="s">
        <v>40</v>
      </c>
      <c r="X4594" s="19">
        <v>0.67300000000000004</v>
      </c>
      <c r="Y4594" s="20">
        <v>1.4779999999999999E-3</v>
      </c>
      <c r="Z4594" s="21">
        <v>4601004205710</v>
      </c>
    </row>
    <row r="4595" spans="1:26" ht="12" customHeight="1" outlineLevel="4" x14ac:dyDescent="0.2">
      <c r="A4595" s="32" t="s">
        <v>8933</v>
      </c>
      <c r="B4595" s="74" t="s">
        <v>8934</v>
      </c>
      <c r="C4595" s="50"/>
      <c r="D4595" s="53">
        <f t="shared" si="71"/>
        <v>0</v>
      </c>
      <c r="E4595" s="60" t="str">
        <f>HYPERLINK("https://www.sds-group.ru/product/disk-pilnyy-250-mm-h-36-zub-h-32-30-mm-kranz-KR-92-0127/", "Инфо")</f>
        <v>Инфо</v>
      </c>
      <c r="F4595" s="34" t="s">
        <v>39</v>
      </c>
      <c r="G4595" s="33"/>
      <c r="H4595" s="33" t="s">
        <v>40</v>
      </c>
      <c r="I4595" s="33"/>
      <c r="J4595" s="35">
        <v>237</v>
      </c>
      <c r="K4595" s="33"/>
      <c r="L4595" s="35">
        <v>1</v>
      </c>
      <c r="M4595" s="35">
        <v>25</v>
      </c>
      <c r="N4595" s="35">
        <v>1</v>
      </c>
      <c r="O4595" s="36">
        <v>804.94</v>
      </c>
      <c r="P4595" s="36">
        <v>659.79</v>
      </c>
      <c r="Q4595" s="36">
        <v>563.46</v>
      </c>
      <c r="R4595" s="36">
        <v>461.85</v>
      </c>
      <c r="S4595" s="36">
        <v>547.36</v>
      </c>
      <c r="T4595" s="36">
        <v>448.66</v>
      </c>
      <c r="U4595" s="34"/>
      <c r="V4595" s="34"/>
      <c r="W4595" s="34"/>
      <c r="X4595" s="37">
        <v>0.67</v>
      </c>
      <c r="Y4595" s="38">
        <v>1.0189999999999999E-3</v>
      </c>
      <c r="Z4595" s="21">
        <v>4601004205727</v>
      </c>
    </row>
    <row r="4596" spans="1:26" ht="12" customHeight="1" outlineLevel="4" x14ac:dyDescent="0.2">
      <c r="A4596" s="14" t="s">
        <v>8935</v>
      </c>
      <c r="B4596" s="26" t="s">
        <v>8936</v>
      </c>
      <c r="C4596" s="52"/>
      <c r="D4596" s="55">
        <f t="shared" si="71"/>
        <v>0</v>
      </c>
      <c r="E4596" s="63" t="str">
        <f>HYPERLINK("https://www.sds-group.ru/product/disk-pilnyy-250-mm-h-48-zub-h-32-30-mm-kranz-KR-92-0128/", "Инфо")</f>
        <v>Инфо</v>
      </c>
      <c r="F4596" s="16" t="s">
        <v>39</v>
      </c>
      <c r="G4596" s="15"/>
      <c r="H4596" s="15"/>
      <c r="I4596" s="15"/>
      <c r="J4596" s="17">
        <v>164</v>
      </c>
      <c r="K4596" s="15" t="s">
        <v>8890</v>
      </c>
      <c r="L4596" s="17">
        <v>1</v>
      </c>
      <c r="M4596" s="17">
        <v>25</v>
      </c>
      <c r="N4596" s="17">
        <v>1</v>
      </c>
      <c r="O4596" s="18">
        <v>1193.68</v>
      </c>
      <c r="P4596" s="18">
        <v>978.43</v>
      </c>
      <c r="Q4596" s="18">
        <v>1074.31</v>
      </c>
      <c r="R4596" s="18">
        <v>880.58</v>
      </c>
      <c r="S4596" s="18">
        <v>811.7</v>
      </c>
      <c r="T4596" s="18">
        <v>665.33</v>
      </c>
      <c r="U4596" s="16"/>
      <c r="V4596" s="16"/>
      <c r="W4596" s="16" t="s">
        <v>40</v>
      </c>
      <c r="X4596" s="19">
        <v>0.69099999999999995</v>
      </c>
      <c r="Y4596" s="20">
        <v>1.7279999999999999E-3</v>
      </c>
      <c r="Z4596" s="21">
        <v>4601004205734</v>
      </c>
    </row>
    <row r="4597" spans="1:26" ht="12" customHeight="1" outlineLevel="4" x14ac:dyDescent="0.2">
      <c r="A4597" s="14" t="s">
        <v>8937</v>
      </c>
      <c r="B4597" s="26" t="s">
        <v>8938</v>
      </c>
      <c r="C4597" s="52"/>
      <c r="D4597" s="55">
        <f t="shared" si="71"/>
        <v>0</v>
      </c>
      <c r="E4597" s="63" t="str">
        <f>HYPERLINK("https://www.sds-group.ru/product/disk-pilnyy-250-mm-h-60-zub-h-32-30-mm-kranz-KR-92-0129/", "Инфо")</f>
        <v>Инфо</v>
      </c>
      <c r="F4597" s="16" t="s">
        <v>39</v>
      </c>
      <c r="G4597" s="15"/>
      <c r="H4597" s="15"/>
      <c r="I4597" s="15"/>
      <c r="J4597" s="17">
        <v>165</v>
      </c>
      <c r="K4597" s="15"/>
      <c r="L4597" s="17">
        <v>1</v>
      </c>
      <c r="M4597" s="17">
        <v>25</v>
      </c>
      <c r="N4597" s="17">
        <v>1</v>
      </c>
      <c r="O4597" s="18">
        <v>1217.05</v>
      </c>
      <c r="P4597" s="18">
        <v>997.58</v>
      </c>
      <c r="Q4597" s="18">
        <v>1095.3499999999999</v>
      </c>
      <c r="R4597" s="18">
        <v>897.83</v>
      </c>
      <c r="S4597" s="18">
        <v>827.59</v>
      </c>
      <c r="T4597" s="18">
        <v>678.35</v>
      </c>
      <c r="U4597" s="16"/>
      <c r="V4597" s="16"/>
      <c r="W4597" s="16" t="s">
        <v>40</v>
      </c>
      <c r="X4597" s="19">
        <v>0.72699999999999998</v>
      </c>
      <c r="Y4597" s="20">
        <v>1.214E-3</v>
      </c>
      <c r="Z4597" s="21">
        <v>4601004205741</v>
      </c>
    </row>
    <row r="4598" spans="1:26" ht="12" customHeight="1" outlineLevel="4" x14ac:dyDescent="0.2">
      <c r="A4598" s="32" t="s">
        <v>8939</v>
      </c>
      <c r="B4598" s="74" t="s">
        <v>8940</v>
      </c>
      <c r="C4598" s="50"/>
      <c r="D4598" s="53">
        <f t="shared" si="71"/>
        <v>0</v>
      </c>
      <c r="E4598" s="60" t="str">
        <f>HYPERLINK("https://www.sds-group.ru/product/disk-pilnyy-254-mm-h-48-zub-h-32-30-mm-kranz-KR-92-0130/", "Инфо")</f>
        <v>Инфо</v>
      </c>
      <c r="F4598" s="34" t="s">
        <v>39</v>
      </c>
      <c r="G4598" s="33"/>
      <c r="H4598" s="33" t="s">
        <v>40</v>
      </c>
      <c r="I4598" s="33"/>
      <c r="J4598" s="35">
        <v>699</v>
      </c>
      <c r="K4598" s="33"/>
      <c r="L4598" s="35">
        <v>1</v>
      </c>
      <c r="M4598" s="35">
        <v>25</v>
      </c>
      <c r="N4598" s="35">
        <v>1</v>
      </c>
      <c r="O4598" s="36">
        <v>1263.6600000000001</v>
      </c>
      <c r="P4598" s="36">
        <v>1035.79</v>
      </c>
      <c r="Q4598" s="36">
        <v>884.56</v>
      </c>
      <c r="R4598" s="36">
        <v>725.05</v>
      </c>
      <c r="S4598" s="36">
        <v>859.29</v>
      </c>
      <c r="T4598" s="36">
        <v>704.34</v>
      </c>
      <c r="U4598" s="34"/>
      <c r="V4598" s="34"/>
      <c r="W4598" s="34"/>
      <c r="X4598" s="37">
        <v>0.73499999999999999</v>
      </c>
      <c r="Y4598" s="38">
        <v>6.5099999999999999E-4</v>
      </c>
      <c r="Z4598" s="21">
        <v>4601004205758</v>
      </c>
    </row>
    <row r="4599" spans="1:26" ht="12" customHeight="1" outlineLevel="4" x14ac:dyDescent="0.2">
      <c r="A4599" s="14" t="s">
        <v>8941</v>
      </c>
      <c r="B4599" s="26" t="s">
        <v>8942</v>
      </c>
      <c r="C4599" s="52"/>
      <c r="D4599" s="55">
        <f t="shared" si="71"/>
        <v>0</v>
      </c>
      <c r="E4599" s="63" t="str">
        <f>HYPERLINK("https://www.sds-group.ru/product/disk-pilnyy-255-mm-h-60-zub-h-32-30-mm-kranz-KR-92-0131/", "Инфо")</f>
        <v>Инфо</v>
      </c>
      <c r="F4599" s="16" t="s">
        <v>39</v>
      </c>
      <c r="G4599" s="15"/>
      <c r="H4599" s="15"/>
      <c r="I4599" s="15"/>
      <c r="J4599" s="17">
        <v>575</v>
      </c>
      <c r="K4599" s="15"/>
      <c r="L4599" s="17">
        <v>1</v>
      </c>
      <c r="M4599" s="17">
        <v>25</v>
      </c>
      <c r="N4599" s="17">
        <v>1</v>
      </c>
      <c r="O4599" s="18">
        <v>1350.94</v>
      </c>
      <c r="P4599" s="18">
        <v>1107.33</v>
      </c>
      <c r="Q4599" s="18">
        <v>1202.3399999999999</v>
      </c>
      <c r="R4599" s="18">
        <v>985.52</v>
      </c>
      <c r="S4599" s="18">
        <v>918.64</v>
      </c>
      <c r="T4599" s="18">
        <v>752.98</v>
      </c>
      <c r="U4599" s="16"/>
      <c r="V4599" s="16"/>
      <c r="W4599" s="16" t="s">
        <v>40</v>
      </c>
      <c r="X4599" s="19">
        <v>0.74</v>
      </c>
      <c r="Y4599" s="20">
        <v>6.1600000000000001E-4</v>
      </c>
      <c r="Z4599" s="21">
        <v>4601004205765</v>
      </c>
    </row>
    <row r="4600" spans="1:26" ht="12" customHeight="1" outlineLevel="4" x14ac:dyDescent="0.2">
      <c r="A4600" s="32" t="s">
        <v>8943</v>
      </c>
      <c r="B4600" s="74" t="s">
        <v>8944</v>
      </c>
      <c r="C4600" s="50"/>
      <c r="D4600" s="53">
        <f t="shared" si="71"/>
        <v>0</v>
      </c>
      <c r="E4600" s="60" t="str">
        <f>HYPERLINK("https://www.sds-group.ru/product/disk-pilnyy-300-mm-h-36-zub-h-32-30-mm-kranz-KR-92-0132/", "Инфо")</f>
        <v>Инфо</v>
      </c>
      <c r="F4600" s="34" t="s">
        <v>39</v>
      </c>
      <c r="G4600" s="33"/>
      <c r="H4600" s="33" t="s">
        <v>40</v>
      </c>
      <c r="I4600" s="33"/>
      <c r="J4600" s="35">
        <v>280</v>
      </c>
      <c r="K4600" s="33"/>
      <c r="L4600" s="35">
        <v>1</v>
      </c>
      <c r="M4600" s="35">
        <v>10</v>
      </c>
      <c r="N4600" s="35">
        <v>1</v>
      </c>
      <c r="O4600" s="36">
        <v>1079.76</v>
      </c>
      <c r="P4600" s="36">
        <v>885.05</v>
      </c>
      <c r="Q4600" s="36">
        <v>755.83</v>
      </c>
      <c r="R4600" s="36">
        <v>619.53</v>
      </c>
      <c r="S4600" s="36">
        <v>734.24</v>
      </c>
      <c r="T4600" s="36">
        <v>601.84</v>
      </c>
      <c r="U4600" s="34"/>
      <c r="V4600" s="34"/>
      <c r="W4600" s="34"/>
      <c r="X4600" s="37">
        <v>1.143</v>
      </c>
      <c r="Y4600" s="38">
        <v>1.3010000000000001E-3</v>
      </c>
      <c r="Z4600" s="21">
        <v>4601004205772</v>
      </c>
    </row>
    <row r="4601" spans="1:26" ht="12" customHeight="1" outlineLevel="4" x14ac:dyDescent="0.2">
      <c r="A4601" s="32" t="s">
        <v>8945</v>
      </c>
      <c r="B4601" s="74" t="s">
        <v>8946</v>
      </c>
      <c r="C4601" s="50"/>
      <c r="D4601" s="53">
        <f t="shared" si="71"/>
        <v>0</v>
      </c>
      <c r="E4601" s="60" t="str">
        <f>HYPERLINK("https://www.sds-group.ru/product/disk-pilnyy-300-mm-h-48-zub-h-32-30-mm-kranz-KR-92-0133/", "Инфо")</f>
        <v>Инфо</v>
      </c>
      <c r="F4601" s="34" t="s">
        <v>39</v>
      </c>
      <c r="G4601" s="33"/>
      <c r="H4601" s="33" t="s">
        <v>40</v>
      </c>
      <c r="I4601" s="33"/>
      <c r="J4601" s="35">
        <v>270</v>
      </c>
      <c r="K4601" s="33"/>
      <c r="L4601" s="35">
        <v>1</v>
      </c>
      <c r="M4601" s="35">
        <v>10</v>
      </c>
      <c r="N4601" s="35">
        <v>1</v>
      </c>
      <c r="O4601" s="36">
        <v>1385.37</v>
      </c>
      <c r="P4601" s="36">
        <v>1135.55</v>
      </c>
      <c r="Q4601" s="36">
        <v>969.76</v>
      </c>
      <c r="R4601" s="36">
        <v>794.89</v>
      </c>
      <c r="S4601" s="36">
        <v>942.05</v>
      </c>
      <c r="T4601" s="36">
        <v>772.17</v>
      </c>
      <c r="U4601" s="34"/>
      <c r="V4601" s="34"/>
      <c r="W4601" s="34"/>
      <c r="X4601" s="37">
        <v>1.137</v>
      </c>
      <c r="Y4601" s="38">
        <v>1.194E-3</v>
      </c>
      <c r="Z4601" s="21">
        <v>4601004205789</v>
      </c>
    </row>
    <row r="4602" spans="1:26" ht="12" customHeight="1" outlineLevel="4" x14ac:dyDescent="0.2">
      <c r="A4602" s="14" t="s">
        <v>8947</v>
      </c>
      <c r="B4602" s="26" t="s">
        <v>8948</v>
      </c>
      <c r="C4602" s="52"/>
      <c r="D4602" s="55">
        <f t="shared" si="71"/>
        <v>0</v>
      </c>
      <c r="E4602" s="63" t="str">
        <f>HYPERLINK("https://www.sds-group.ru/product/disk-pilnyy-305-mm-h-100-zub-h-32-30-mm-kranz-KR-92-0136/", "Инфо")</f>
        <v>Инфо</v>
      </c>
      <c r="F4602" s="16" t="s">
        <v>39</v>
      </c>
      <c r="G4602" s="15"/>
      <c r="H4602" s="15"/>
      <c r="I4602" s="15"/>
      <c r="J4602" s="17">
        <v>375</v>
      </c>
      <c r="K4602" s="15"/>
      <c r="L4602" s="17">
        <v>1</v>
      </c>
      <c r="M4602" s="17">
        <v>10</v>
      </c>
      <c r="N4602" s="17">
        <v>1</v>
      </c>
      <c r="O4602" s="18">
        <v>1818.43</v>
      </c>
      <c r="P4602" s="18">
        <v>1490.52</v>
      </c>
      <c r="Q4602" s="18">
        <v>1582.03</v>
      </c>
      <c r="R4602" s="18">
        <v>1296.75</v>
      </c>
      <c r="S4602" s="18">
        <v>1236.53</v>
      </c>
      <c r="T4602" s="18">
        <v>1013.55</v>
      </c>
      <c r="U4602" s="16"/>
      <c r="V4602" s="16"/>
      <c r="W4602" s="16" t="s">
        <v>40</v>
      </c>
      <c r="X4602" s="19">
        <v>1.2190000000000001</v>
      </c>
      <c r="Y4602" s="20">
        <v>1.2750000000000001E-3</v>
      </c>
      <c r="Z4602" s="21">
        <v>4601004205819</v>
      </c>
    </row>
    <row r="4603" spans="1:26" ht="12" customHeight="1" outlineLevel="4" x14ac:dyDescent="0.2">
      <c r="A4603" s="32" t="s">
        <v>8949</v>
      </c>
      <c r="B4603" s="74" t="s">
        <v>8950</v>
      </c>
      <c r="C4603" s="50"/>
      <c r="D4603" s="53">
        <f t="shared" si="71"/>
        <v>0</v>
      </c>
      <c r="E4603" s="60" t="str">
        <f>HYPERLINK("https://www.sds-group.ru/product/disk-pilnyy-305-mm-h-24-zub-h-32-30-mm-kranz-KR-92-0134/", "Инфо")</f>
        <v>Инфо</v>
      </c>
      <c r="F4603" s="34" t="s">
        <v>39</v>
      </c>
      <c r="G4603" s="33"/>
      <c r="H4603" s="33" t="s">
        <v>40</v>
      </c>
      <c r="I4603" s="33"/>
      <c r="J4603" s="35">
        <v>133</v>
      </c>
      <c r="K4603" s="33"/>
      <c r="L4603" s="35">
        <v>1</v>
      </c>
      <c r="M4603" s="35">
        <v>10</v>
      </c>
      <c r="N4603" s="35">
        <v>1</v>
      </c>
      <c r="O4603" s="36">
        <v>1877.79</v>
      </c>
      <c r="P4603" s="36">
        <v>1539.17</v>
      </c>
      <c r="Q4603" s="36">
        <v>1314.45</v>
      </c>
      <c r="R4603" s="36">
        <v>1077.42</v>
      </c>
      <c r="S4603" s="36">
        <v>1276.9000000000001</v>
      </c>
      <c r="T4603" s="36">
        <v>1046.6400000000001</v>
      </c>
      <c r="U4603" s="34"/>
      <c r="V4603" s="34"/>
      <c r="W4603" s="34"/>
      <c r="X4603" s="37">
        <v>1.0229999999999999</v>
      </c>
      <c r="Y4603" s="38">
        <v>1.189E-3</v>
      </c>
      <c r="Z4603" s="21">
        <v>4601004205796</v>
      </c>
    </row>
    <row r="4604" spans="1:26" ht="12" customHeight="1" outlineLevel="4" x14ac:dyDescent="0.2">
      <c r="A4604" s="32" t="s">
        <v>8951</v>
      </c>
      <c r="B4604" s="74" t="s">
        <v>8952</v>
      </c>
      <c r="C4604" s="50"/>
      <c r="D4604" s="53">
        <f t="shared" si="71"/>
        <v>0</v>
      </c>
      <c r="E4604" s="60" t="str">
        <f>HYPERLINK("https://www.sds-group.ru/product/disk-pilnyy-305-mm-h-60-zub-h-32-30-mm-kranz-KR-92-0135/", "Инфо")</f>
        <v>Инфо</v>
      </c>
      <c r="F4604" s="34" t="s">
        <v>39</v>
      </c>
      <c r="G4604" s="33"/>
      <c r="H4604" s="33" t="s">
        <v>40</v>
      </c>
      <c r="I4604" s="33"/>
      <c r="J4604" s="35">
        <v>306</v>
      </c>
      <c r="K4604" s="33"/>
      <c r="L4604" s="35">
        <v>1</v>
      </c>
      <c r="M4604" s="35">
        <v>10</v>
      </c>
      <c r="N4604" s="35">
        <v>1</v>
      </c>
      <c r="O4604" s="36">
        <v>1187.6600000000001</v>
      </c>
      <c r="P4604" s="36">
        <v>973.49</v>
      </c>
      <c r="Q4604" s="36">
        <v>831.36</v>
      </c>
      <c r="R4604" s="36">
        <v>681.44</v>
      </c>
      <c r="S4604" s="36">
        <v>807.61</v>
      </c>
      <c r="T4604" s="36">
        <v>661.98</v>
      </c>
      <c r="U4604" s="34"/>
      <c r="V4604" s="34"/>
      <c r="W4604" s="34"/>
      <c r="X4604" s="37">
        <v>1.196</v>
      </c>
      <c r="Y4604" s="38">
        <v>1.1150000000000001E-3</v>
      </c>
      <c r="Z4604" s="21">
        <v>4601004205802</v>
      </c>
    </row>
    <row r="4605" spans="1:26" ht="12.95" customHeight="1" outlineLevel="3" x14ac:dyDescent="0.2">
      <c r="A4605" s="76" t="s">
        <v>8953</v>
      </c>
      <c r="B4605" s="76"/>
      <c r="C4605" s="77"/>
      <c r="D4605" s="58"/>
      <c r="E4605" s="68"/>
      <c r="F4605" s="13"/>
      <c r="G4605" s="13"/>
      <c r="H4605" s="13"/>
      <c r="I4605" s="13"/>
      <c r="J4605" s="13"/>
      <c r="K4605" s="13"/>
      <c r="L4605" s="13"/>
      <c r="M4605" s="13"/>
      <c r="N4605" s="13"/>
      <c r="O4605" s="13"/>
      <c r="P4605" s="13"/>
      <c r="Q4605" s="13"/>
      <c r="R4605" s="13"/>
      <c r="S4605" s="13"/>
      <c r="T4605" s="13"/>
      <c r="U4605" s="13"/>
      <c r="V4605" s="13"/>
      <c r="W4605" s="13"/>
      <c r="X4605" s="13"/>
      <c r="Y4605" s="13"/>
      <c r="Z4605" s="13"/>
    </row>
    <row r="4606" spans="1:26" ht="12" customHeight="1" outlineLevel="4" x14ac:dyDescent="0.2">
      <c r="A4606" s="14" t="s">
        <v>8954</v>
      </c>
      <c r="B4606" s="26" t="s">
        <v>8955</v>
      </c>
      <c r="C4606" s="52"/>
      <c r="D4606" s="55">
        <f t="shared" si="71"/>
        <v>0</v>
      </c>
      <c r="E4606" s="63" t="str">
        <f>HYPERLINK("https://www.sds-group.ru/product/pilka-dlya-elektrolobzika-100-mm-10-z-d-4-30-mm-t101b-2-sht-up-derevo-kranz-KR-92-0303/", "Инфо")</f>
        <v>Инфо</v>
      </c>
      <c r="F4606" s="16" t="s">
        <v>1001</v>
      </c>
      <c r="G4606" s="15"/>
      <c r="H4606" s="15"/>
      <c r="I4606" s="15"/>
      <c r="J4606" s="22">
        <v>1276</v>
      </c>
      <c r="K4606" s="15"/>
      <c r="L4606" s="17">
        <v>5</v>
      </c>
      <c r="M4606" s="17">
        <v>500</v>
      </c>
      <c r="N4606" s="17">
        <v>5</v>
      </c>
      <c r="O4606" s="18">
        <v>113.03</v>
      </c>
      <c r="P4606" s="18">
        <v>92.65</v>
      </c>
      <c r="Q4606" s="18">
        <v>113.03</v>
      </c>
      <c r="R4606" s="18">
        <v>92.65</v>
      </c>
      <c r="S4606" s="18">
        <v>76.86</v>
      </c>
      <c r="T4606" s="18">
        <v>63</v>
      </c>
      <c r="U4606" s="16"/>
      <c r="V4606" s="16"/>
      <c r="W4606" s="16" t="s">
        <v>40</v>
      </c>
      <c r="X4606" s="19">
        <v>0.02</v>
      </c>
      <c r="Y4606" s="20">
        <v>4.6999999999999997E-5</v>
      </c>
      <c r="Z4606" s="21">
        <v>4601004176591</v>
      </c>
    </row>
    <row r="4607" spans="1:26" ht="12" customHeight="1" outlineLevel="4" x14ac:dyDescent="0.2">
      <c r="A4607" s="14" t="s">
        <v>8956</v>
      </c>
      <c r="B4607" s="26" t="s">
        <v>8957</v>
      </c>
      <c r="C4607" s="52"/>
      <c r="D4607" s="55">
        <f t="shared" si="71"/>
        <v>0</v>
      </c>
      <c r="E4607" s="63" t="str">
        <f>HYPERLINK("https://www.sds-group.ru/product/pilka-dlya-elektrolobzika-100-mm-10-z-d-4-30-mm-obr-zub-t101br-2-sht-up-derevo-kranz-KR-92-0301/", "Инфо")</f>
        <v>Инфо</v>
      </c>
      <c r="F4607" s="16" t="s">
        <v>1001</v>
      </c>
      <c r="G4607" s="15"/>
      <c r="H4607" s="15"/>
      <c r="I4607" s="15"/>
      <c r="J4607" s="22">
        <v>1895</v>
      </c>
      <c r="K4607" s="15"/>
      <c r="L4607" s="17">
        <v>5</v>
      </c>
      <c r="M4607" s="17">
        <v>500</v>
      </c>
      <c r="N4607" s="17">
        <v>5</v>
      </c>
      <c r="O4607" s="18">
        <v>153.6</v>
      </c>
      <c r="P4607" s="18">
        <v>125.9</v>
      </c>
      <c r="Q4607" s="18">
        <v>153.6</v>
      </c>
      <c r="R4607" s="18">
        <v>125.9</v>
      </c>
      <c r="S4607" s="18">
        <v>104.45</v>
      </c>
      <c r="T4607" s="18">
        <v>85.61</v>
      </c>
      <c r="U4607" s="16"/>
      <c r="V4607" s="16"/>
      <c r="W4607" s="16" t="s">
        <v>40</v>
      </c>
      <c r="X4607" s="19">
        <v>0.02</v>
      </c>
      <c r="Y4607" s="20">
        <v>3.6000000000000001E-5</v>
      </c>
      <c r="Z4607" s="21">
        <v>4601004176584</v>
      </c>
    </row>
    <row r="4608" spans="1:26" ht="12" customHeight="1" outlineLevel="4" x14ac:dyDescent="0.2">
      <c r="A4608" s="14" t="s">
        <v>8958</v>
      </c>
      <c r="B4608" s="26" t="s">
        <v>8959</v>
      </c>
      <c r="C4608" s="52"/>
      <c r="D4608" s="55">
        <f t="shared" si="71"/>
        <v>0</v>
      </c>
      <c r="E4608" s="63" t="str">
        <f>HYPERLINK("https://www.sds-group.ru/product/pilka-dlya-elektrolobzika-100-mm-6-z-d-6-60-mm-t101d-2-sht-up-derevo-kranz-KR-92-0304/", "Инфо")</f>
        <v>Инфо</v>
      </c>
      <c r="F4608" s="16" t="s">
        <v>1001</v>
      </c>
      <c r="G4608" s="15"/>
      <c r="H4608" s="15"/>
      <c r="I4608" s="15"/>
      <c r="J4608" s="22">
        <v>2853</v>
      </c>
      <c r="K4608" s="15"/>
      <c r="L4608" s="17">
        <v>5</v>
      </c>
      <c r="M4608" s="17">
        <v>500</v>
      </c>
      <c r="N4608" s="17">
        <v>5</v>
      </c>
      <c r="O4608" s="18">
        <v>146.77000000000001</v>
      </c>
      <c r="P4608" s="18">
        <v>120.3</v>
      </c>
      <c r="Q4608" s="18">
        <v>146.77000000000001</v>
      </c>
      <c r="R4608" s="18">
        <v>120.3</v>
      </c>
      <c r="S4608" s="18">
        <v>99.8</v>
      </c>
      <c r="T4608" s="18">
        <v>81.8</v>
      </c>
      <c r="U4608" s="16"/>
      <c r="V4608" s="16"/>
      <c r="W4608" s="16" t="s">
        <v>40</v>
      </c>
      <c r="X4608" s="19">
        <v>1.9E-2</v>
      </c>
      <c r="Y4608" s="20">
        <v>3.4999999999999997E-5</v>
      </c>
      <c r="Z4608" s="21">
        <v>4601004176607</v>
      </c>
    </row>
    <row r="4609" spans="1:26" ht="12" customHeight="1" outlineLevel="4" x14ac:dyDescent="0.2">
      <c r="A4609" s="14" t="s">
        <v>8960</v>
      </c>
      <c r="B4609" s="26" t="s">
        <v>8961</v>
      </c>
      <c r="C4609" s="52"/>
      <c r="D4609" s="55">
        <f t="shared" si="71"/>
        <v>0</v>
      </c>
      <c r="E4609" s="63" t="str">
        <f>HYPERLINK("https://www.sds-group.ru/product/pilka-dlya-elektrolobzika-100-mm-6-z-d-8-60-mm-t144d-2-sht-up-derevo-kranz-KR-92-0308/", "Инфо")</f>
        <v>Инфо</v>
      </c>
      <c r="F4609" s="16" t="s">
        <v>1001</v>
      </c>
      <c r="G4609" s="15"/>
      <c r="H4609" s="15"/>
      <c r="I4609" s="15"/>
      <c r="J4609" s="22">
        <v>4961</v>
      </c>
      <c r="K4609" s="15"/>
      <c r="L4609" s="17">
        <v>5</v>
      </c>
      <c r="M4609" s="17">
        <v>500</v>
      </c>
      <c r="N4609" s="17">
        <v>5</v>
      </c>
      <c r="O4609" s="18">
        <v>128.41999999999999</v>
      </c>
      <c r="P4609" s="18">
        <v>105.26</v>
      </c>
      <c r="Q4609" s="18">
        <v>128.41999999999999</v>
      </c>
      <c r="R4609" s="18">
        <v>105.26</v>
      </c>
      <c r="S4609" s="18">
        <v>87.33</v>
      </c>
      <c r="T4609" s="18">
        <v>71.58</v>
      </c>
      <c r="U4609" s="16"/>
      <c r="V4609" s="16"/>
      <c r="W4609" s="16" t="s">
        <v>40</v>
      </c>
      <c r="X4609" s="19">
        <v>1.7999999999999999E-2</v>
      </c>
      <c r="Y4609" s="20">
        <v>3.6000000000000001E-5</v>
      </c>
      <c r="Z4609" s="21">
        <v>4601004176614</v>
      </c>
    </row>
    <row r="4610" spans="1:26" ht="12" customHeight="1" outlineLevel="4" x14ac:dyDescent="0.2">
      <c r="A4610" s="14" t="s">
        <v>8962</v>
      </c>
      <c r="B4610" s="26" t="s">
        <v>8963</v>
      </c>
      <c r="C4610" s="52"/>
      <c r="D4610" s="55">
        <f t="shared" si="71"/>
        <v>0</v>
      </c>
      <c r="E4610" s="63" t="str">
        <f>HYPERLINK("https://www.sds-group.ru/product/pilka-dlya-elektrolobzika-100-mm-8-z-d-5-60-mm-t111c-2-sht-up-derevo-kranz-KR-92-0305/", "Инфо")</f>
        <v>Инфо</v>
      </c>
      <c r="F4610" s="16" t="s">
        <v>1001</v>
      </c>
      <c r="G4610" s="15"/>
      <c r="H4610" s="15"/>
      <c r="I4610" s="15"/>
      <c r="J4610" s="22">
        <v>5058</v>
      </c>
      <c r="K4610" s="15"/>
      <c r="L4610" s="17">
        <v>5</v>
      </c>
      <c r="M4610" s="17">
        <v>500</v>
      </c>
      <c r="N4610" s="17">
        <v>5</v>
      </c>
      <c r="O4610" s="18">
        <v>102.95</v>
      </c>
      <c r="P4610" s="18">
        <v>84.39</v>
      </c>
      <c r="Q4610" s="18">
        <v>102.95</v>
      </c>
      <c r="R4610" s="18">
        <v>84.39</v>
      </c>
      <c r="S4610" s="18">
        <v>70.010000000000005</v>
      </c>
      <c r="T4610" s="18">
        <v>57.39</v>
      </c>
      <c r="U4610" s="16"/>
      <c r="V4610" s="16"/>
      <c r="W4610" s="16" t="s">
        <v>40</v>
      </c>
      <c r="X4610" s="19">
        <v>1.9E-2</v>
      </c>
      <c r="Y4610" s="20">
        <v>3.4999999999999997E-5</v>
      </c>
      <c r="Z4610" s="21">
        <v>4601004176621</v>
      </c>
    </row>
    <row r="4611" spans="1:26" ht="12" customHeight="1" outlineLevel="4" x14ac:dyDescent="0.2">
      <c r="A4611" s="14" t="s">
        <v>8964</v>
      </c>
      <c r="B4611" s="26" t="s">
        <v>8965</v>
      </c>
      <c r="C4611" s="52"/>
      <c r="D4611" s="55">
        <f t="shared" si="71"/>
        <v>0</v>
      </c>
      <c r="E4611" s="63" t="str">
        <f>HYPERLINK("https://www.sds-group.ru/product/pilka-dlya-elektrolobzika-115-mm-8-z-d-6-60-mm-t301cd-2-sht-up-derevo-kranz-KR-92-0307/", "Инфо")</f>
        <v>Инфо</v>
      </c>
      <c r="F4611" s="16" t="s">
        <v>1001</v>
      </c>
      <c r="G4611" s="15"/>
      <c r="H4611" s="15"/>
      <c r="I4611" s="15"/>
      <c r="J4611" s="22">
        <v>2401</v>
      </c>
      <c r="K4611" s="15"/>
      <c r="L4611" s="17">
        <v>5</v>
      </c>
      <c r="M4611" s="17">
        <v>500</v>
      </c>
      <c r="N4611" s="17">
        <v>5</v>
      </c>
      <c r="O4611" s="18">
        <v>171.84</v>
      </c>
      <c r="P4611" s="18">
        <v>140.85</v>
      </c>
      <c r="Q4611" s="18">
        <v>171.84</v>
      </c>
      <c r="R4611" s="18">
        <v>140.85</v>
      </c>
      <c r="S4611" s="18">
        <v>116.85</v>
      </c>
      <c r="T4611" s="18">
        <v>95.78</v>
      </c>
      <c r="U4611" s="16"/>
      <c r="V4611" s="16"/>
      <c r="W4611" s="16" t="s">
        <v>40</v>
      </c>
      <c r="X4611" s="19">
        <v>2.3E-2</v>
      </c>
      <c r="Y4611" s="20">
        <v>4.3999999999999999E-5</v>
      </c>
      <c r="Z4611" s="21">
        <v>4601004176638</v>
      </c>
    </row>
    <row r="4612" spans="1:26" ht="12" customHeight="1" outlineLevel="4" x14ac:dyDescent="0.2">
      <c r="A4612" s="14" t="s">
        <v>8966</v>
      </c>
      <c r="B4612" s="26" t="s">
        <v>8967</v>
      </c>
      <c r="C4612" s="52"/>
      <c r="D4612" s="55">
        <f t="shared" si="71"/>
        <v>0</v>
      </c>
      <c r="E4612" s="63" t="str">
        <f>HYPERLINK("https://www.sds-group.ru/product/pilka-dlya-elektrolobzika-75-mm-20-z-d-2-20-mm-figurnyy-rez-t101ao-2-sht-up-derevo-kranz-KR-92-0302/", "Инфо")</f>
        <v>Инфо</v>
      </c>
      <c r="F4612" s="16" t="s">
        <v>1001</v>
      </c>
      <c r="G4612" s="15"/>
      <c r="H4612" s="15"/>
      <c r="I4612" s="15"/>
      <c r="J4612" s="22">
        <v>6380</v>
      </c>
      <c r="K4612" s="15" t="s">
        <v>6181</v>
      </c>
      <c r="L4612" s="17">
        <v>5</v>
      </c>
      <c r="M4612" s="17">
        <v>500</v>
      </c>
      <c r="N4612" s="17">
        <v>5</v>
      </c>
      <c r="O4612" s="18">
        <v>118.93</v>
      </c>
      <c r="P4612" s="18">
        <v>97.48</v>
      </c>
      <c r="Q4612" s="18">
        <v>118.93</v>
      </c>
      <c r="R4612" s="18">
        <v>97.48</v>
      </c>
      <c r="S4612" s="18">
        <v>80.87</v>
      </c>
      <c r="T4612" s="18">
        <v>66.290000000000006</v>
      </c>
      <c r="U4612" s="16"/>
      <c r="V4612" s="16"/>
      <c r="W4612" s="16" t="s">
        <v>40</v>
      </c>
      <c r="X4612" s="19">
        <v>1.4E-2</v>
      </c>
      <c r="Y4612" s="20">
        <v>4.6999999999999997E-5</v>
      </c>
      <c r="Z4612" s="21">
        <v>4601004176645</v>
      </c>
    </row>
    <row r="4613" spans="1:26" ht="12" customHeight="1" outlineLevel="4" x14ac:dyDescent="0.2">
      <c r="A4613" s="14" t="s">
        <v>8968</v>
      </c>
      <c r="B4613" s="26" t="s">
        <v>8969</v>
      </c>
      <c r="C4613" s="52"/>
      <c r="D4613" s="55">
        <f t="shared" si="71"/>
        <v>0</v>
      </c>
      <c r="E4613" s="63" t="str">
        <f>HYPERLINK("https://www.sds-group.ru/product/pilka-dlya-elektrolobzika-75-mm-21-z-d-1-5-3-mm-t118a-2-sht-up-metall-kranz-KR-92-0306/", "Инфо")</f>
        <v>Инфо</v>
      </c>
      <c r="F4613" s="16" t="s">
        <v>1001</v>
      </c>
      <c r="G4613" s="15"/>
      <c r="H4613" s="15"/>
      <c r="I4613" s="15"/>
      <c r="J4613" s="22">
        <v>4741</v>
      </c>
      <c r="K4613" s="15"/>
      <c r="L4613" s="17">
        <v>5</v>
      </c>
      <c r="M4613" s="17">
        <v>500</v>
      </c>
      <c r="N4613" s="17">
        <v>5</v>
      </c>
      <c r="O4613" s="18">
        <v>199.45</v>
      </c>
      <c r="P4613" s="18">
        <v>163.47999999999999</v>
      </c>
      <c r="Q4613" s="18">
        <v>199.45</v>
      </c>
      <c r="R4613" s="18">
        <v>163.47999999999999</v>
      </c>
      <c r="S4613" s="18">
        <v>135.63</v>
      </c>
      <c r="T4613" s="18">
        <v>111.17</v>
      </c>
      <c r="U4613" s="16"/>
      <c r="V4613" s="16"/>
      <c r="W4613" s="16" t="s">
        <v>40</v>
      </c>
      <c r="X4613" s="19">
        <v>1.4999999999999999E-2</v>
      </c>
      <c r="Y4613" s="20">
        <v>3.6999999999999998E-5</v>
      </c>
      <c r="Z4613" s="21">
        <v>4601004176652</v>
      </c>
    </row>
    <row r="4614" spans="1:26" ht="12" customHeight="1" outlineLevel="4" x14ac:dyDescent="0.2">
      <c r="A4614" s="14" t="s">
        <v>8970</v>
      </c>
      <c r="B4614" s="26" t="s">
        <v>8971</v>
      </c>
      <c r="C4614" s="52"/>
      <c r="D4614" s="55">
        <f t="shared" si="71"/>
        <v>0</v>
      </c>
      <c r="E4614" s="63" t="str">
        <f>HYPERLINK("https://www.sds-group.ru/product/pilka-dlya-elektrolobzika-po-derevu-t111d-100-mm-6-zubev-na-dyuym-6-60-mm-2-sht-up-kranz-KR-92-0319/", "Инфо")</f>
        <v>Инфо</v>
      </c>
      <c r="F4614" s="16" t="s">
        <v>1001</v>
      </c>
      <c r="G4614" s="15"/>
      <c r="H4614" s="15"/>
      <c r="I4614" s="15"/>
      <c r="J4614" s="22">
        <v>3271</v>
      </c>
      <c r="K4614" s="15" t="s">
        <v>6181</v>
      </c>
      <c r="L4614" s="17">
        <v>10</v>
      </c>
      <c r="M4614" s="17">
        <v>500</v>
      </c>
      <c r="N4614" s="17">
        <v>10</v>
      </c>
      <c r="O4614" s="18">
        <v>94.51</v>
      </c>
      <c r="P4614" s="18">
        <v>77.47</v>
      </c>
      <c r="Q4614" s="18">
        <v>94.51</v>
      </c>
      <c r="R4614" s="18">
        <v>77.47</v>
      </c>
      <c r="S4614" s="18">
        <v>64.27</v>
      </c>
      <c r="T4614" s="18">
        <v>52.68</v>
      </c>
      <c r="U4614" s="16"/>
      <c r="V4614" s="16"/>
      <c r="W4614" s="16" t="s">
        <v>40</v>
      </c>
      <c r="X4614" s="19">
        <v>0.02</v>
      </c>
      <c r="Y4614" s="20">
        <v>4.3999999999999999E-5</v>
      </c>
      <c r="Z4614" s="21">
        <v>4601004200210</v>
      </c>
    </row>
    <row r="4615" spans="1:26" ht="12" customHeight="1" outlineLevel="4" x14ac:dyDescent="0.2">
      <c r="A4615" s="14" t="s">
        <v>8972</v>
      </c>
      <c r="B4615" s="26" t="s">
        <v>8973</v>
      </c>
      <c r="C4615" s="52"/>
      <c r="D4615" s="55">
        <f t="shared" si="71"/>
        <v>0</v>
      </c>
      <c r="E4615" s="63" t="str">
        <f>HYPERLINK("https://www.sds-group.ru/product/pilka-dlya-elektrolobzika-po-derevu-t119b-76-mm-12-zubev-na-dyuym-4-30-mm-2-sht-up-kranz-KR-92-0310/", "Инфо")</f>
        <v>Инфо</v>
      </c>
      <c r="F4615" s="16" t="s">
        <v>1001</v>
      </c>
      <c r="G4615" s="15"/>
      <c r="H4615" s="15"/>
      <c r="I4615" s="15"/>
      <c r="J4615" s="22">
        <v>1900</v>
      </c>
      <c r="K4615" s="15"/>
      <c r="L4615" s="17">
        <v>5</v>
      </c>
      <c r="M4615" s="17">
        <v>500</v>
      </c>
      <c r="N4615" s="17">
        <v>5</v>
      </c>
      <c r="O4615" s="18">
        <v>99.88</v>
      </c>
      <c r="P4615" s="18">
        <v>81.87</v>
      </c>
      <c r="Q4615" s="18">
        <v>99.88</v>
      </c>
      <c r="R4615" s="18">
        <v>81.87</v>
      </c>
      <c r="S4615" s="18">
        <v>67.92</v>
      </c>
      <c r="T4615" s="18">
        <v>55.67</v>
      </c>
      <c r="U4615" s="16"/>
      <c r="V4615" s="16"/>
      <c r="W4615" s="16" t="s">
        <v>40</v>
      </c>
      <c r="X4615" s="19">
        <v>1.4999999999999999E-2</v>
      </c>
      <c r="Y4615" s="20">
        <v>3.6999999999999998E-5</v>
      </c>
      <c r="Z4615" s="21">
        <v>4601004200128</v>
      </c>
    </row>
    <row r="4616" spans="1:26" ht="12" customHeight="1" outlineLevel="4" x14ac:dyDescent="0.2">
      <c r="A4616" s="14" t="s">
        <v>8974</v>
      </c>
      <c r="B4616" s="26" t="s">
        <v>8975</v>
      </c>
      <c r="C4616" s="52"/>
      <c r="D4616" s="55">
        <f t="shared" si="71"/>
        <v>0</v>
      </c>
      <c r="E4616" s="63" t="str">
        <f>HYPERLINK("https://www.sds-group.ru/product/pilka-dlya-elektrolobzika-po-derevu-t119bl-132-mm-12-zubev-na-dyuym-4-100-mm-2-sht-up-kra-KR-92-0316/", "Инфо")</f>
        <v>Инфо</v>
      </c>
      <c r="F4616" s="16" t="s">
        <v>1001</v>
      </c>
      <c r="G4616" s="15"/>
      <c r="H4616" s="15"/>
      <c r="I4616" s="15"/>
      <c r="J4616" s="22">
        <v>1665</v>
      </c>
      <c r="K4616" s="15" t="s">
        <v>6181</v>
      </c>
      <c r="L4616" s="17">
        <v>5</v>
      </c>
      <c r="M4616" s="17">
        <v>500</v>
      </c>
      <c r="N4616" s="17">
        <v>5</v>
      </c>
      <c r="O4616" s="18">
        <v>103.96</v>
      </c>
      <c r="P4616" s="18">
        <v>85.21</v>
      </c>
      <c r="Q4616" s="18">
        <v>103.96</v>
      </c>
      <c r="R4616" s="18">
        <v>85.21</v>
      </c>
      <c r="S4616" s="18">
        <v>70.69</v>
      </c>
      <c r="T4616" s="18">
        <v>57.94</v>
      </c>
      <c r="U4616" s="16"/>
      <c r="V4616" s="16"/>
      <c r="W4616" s="16" t="s">
        <v>40</v>
      </c>
      <c r="X4616" s="19">
        <v>2.5999999999999999E-2</v>
      </c>
      <c r="Y4616" s="20">
        <v>5.1E-5</v>
      </c>
      <c r="Z4616" s="21">
        <v>4601004200180</v>
      </c>
    </row>
    <row r="4617" spans="1:26" ht="12" customHeight="1" outlineLevel="4" x14ac:dyDescent="0.2">
      <c r="A4617" s="14" t="s">
        <v>8976</v>
      </c>
      <c r="B4617" s="26" t="s">
        <v>8977</v>
      </c>
      <c r="C4617" s="52"/>
      <c r="D4617" s="55">
        <f t="shared" ref="D4617:D4680" si="72">C4617*(O4617-O4617*$G$3)</f>
        <v>0</v>
      </c>
      <c r="E4617" s="63" t="str">
        <f>HYPERLINK("https://www.sds-group.ru/product/pilka-dlya-elektrolobzika-po-derevu-t144dp-100-mm-6-zubev-na-dyuym-8-60-mm-2-sht-up-kranz-KR-92-0317/", "Инфо")</f>
        <v>Инфо</v>
      </c>
      <c r="F4617" s="16" t="s">
        <v>1001</v>
      </c>
      <c r="G4617" s="15"/>
      <c r="H4617" s="15"/>
      <c r="I4617" s="15"/>
      <c r="J4617" s="22">
        <v>2397</v>
      </c>
      <c r="K4617" s="15"/>
      <c r="L4617" s="17">
        <v>5</v>
      </c>
      <c r="M4617" s="17">
        <v>500</v>
      </c>
      <c r="N4617" s="17">
        <v>5</v>
      </c>
      <c r="O4617" s="18">
        <v>157.94</v>
      </c>
      <c r="P4617" s="18">
        <v>129.46</v>
      </c>
      <c r="Q4617" s="18">
        <v>157.94</v>
      </c>
      <c r="R4617" s="18">
        <v>129.46</v>
      </c>
      <c r="S4617" s="18">
        <v>107.4</v>
      </c>
      <c r="T4617" s="18">
        <v>88.03</v>
      </c>
      <c r="U4617" s="16"/>
      <c r="V4617" s="16"/>
      <c r="W4617" s="16" t="s">
        <v>40</v>
      </c>
      <c r="X4617" s="19">
        <v>2.1000000000000001E-2</v>
      </c>
      <c r="Y4617" s="20">
        <v>3.6000000000000001E-5</v>
      </c>
      <c r="Z4617" s="21">
        <v>4601004200197</v>
      </c>
    </row>
    <row r="4618" spans="1:26" ht="12" customHeight="1" outlineLevel="4" x14ac:dyDescent="0.2">
      <c r="A4618" s="14" t="s">
        <v>8978</v>
      </c>
      <c r="B4618" s="26" t="s">
        <v>8979</v>
      </c>
      <c r="C4618" s="52"/>
      <c r="D4618" s="55">
        <f t="shared" si="72"/>
        <v>0</v>
      </c>
      <c r="E4618" s="63" t="str">
        <f>HYPERLINK("https://www.sds-group.ru/product/pilka-dlya-elektrolobzika-po-derevu-t244d-100-mm-6-zubev-na-dyuym-8-60-mm-figurnyy-rez-2--KR-92-0312/", "Инфо")</f>
        <v>Инфо</v>
      </c>
      <c r="F4618" s="16" t="s">
        <v>1001</v>
      </c>
      <c r="G4618" s="15"/>
      <c r="H4618" s="15"/>
      <c r="I4618" s="15"/>
      <c r="J4618" s="22">
        <v>2925</v>
      </c>
      <c r="K4618" s="15"/>
      <c r="L4618" s="17">
        <v>5</v>
      </c>
      <c r="M4618" s="17">
        <v>500</v>
      </c>
      <c r="N4618" s="17">
        <v>5</v>
      </c>
      <c r="O4618" s="18">
        <v>136.86000000000001</v>
      </c>
      <c r="P4618" s="18">
        <v>112.18</v>
      </c>
      <c r="Q4618" s="18">
        <v>136.86000000000001</v>
      </c>
      <c r="R4618" s="18">
        <v>112.18</v>
      </c>
      <c r="S4618" s="18">
        <v>93.06</v>
      </c>
      <c r="T4618" s="18">
        <v>76.28</v>
      </c>
      <c r="U4618" s="16"/>
      <c r="V4618" s="16"/>
      <c r="W4618" s="16" t="s">
        <v>40</v>
      </c>
      <c r="X4618" s="19">
        <v>1.6E-2</v>
      </c>
      <c r="Y4618" s="20">
        <v>3.6000000000000001E-5</v>
      </c>
      <c r="Z4618" s="21">
        <v>4601004200142</v>
      </c>
    </row>
    <row r="4619" spans="1:26" ht="12" customHeight="1" outlineLevel="4" x14ac:dyDescent="0.2">
      <c r="A4619" s="14" t="s">
        <v>8980</v>
      </c>
      <c r="B4619" s="26" t="s">
        <v>8981</v>
      </c>
      <c r="C4619" s="52"/>
      <c r="D4619" s="55">
        <f t="shared" si="72"/>
        <v>0</v>
      </c>
      <c r="E4619" s="63" t="str">
        <f>HYPERLINK("https://www.sds-group.ru/product/pilka-dlya-elektrolobzika-po-derevu-t301dl-132-mm-6-zubev-na-dyuym-6-85-mm-2-sht-up-kranz-KR-92-0314/", "Инфо")</f>
        <v>Инфо</v>
      </c>
      <c r="F4619" s="16" t="s">
        <v>1001</v>
      </c>
      <c r="G4619" s="15"/>
      <c r="H4619" s="15"/>
      <c r="I4619" s="15"/>
      <c r="J4619" s="22">
        <v>5416</v>
      </c>
      <c r="K4619" s="15"/>
      <c r="L4619" s="17">
        <v>5</v>
      </c>
      <c r="M4619" s="17">
        <v>500</v>
      </c>
      <c r="N4619" s="17">
        <v>5</v>
      </c>
      <c r="O4619" s="18">
        <v>197.73</v>
      </c>
      <c r="P4619" s="18">
        <v>162.07</v>
      </c>
      <c r="Q4619" s="18">
        <v>197.73</v>
      </c>
      <c r="R4619" s="18">
        <v>162.07</v>
      </c>
      <c r="S4619" s="18">
        <v>134.46</v>
      </c>
      <c r="T4619" s="18">
        <v>110.21</v>
      </c>
      <c r="U4619" s="16"/>
      <c r="V4619" s="16"/>
      <c r="W4619" s="16" t="s">
        <v>40</v>
      </c>
      <c r="X4619" s="19">
        <v>2.8000000000000001E-2</v>
      </c>
      <c r="Y4619" s="20">
        <v>4.8999999999999998E-5</v>
      </c>
      <c r="Z4619" s="21">
        <v>4601004200166</v>
      </c>
    </row>
    <row r="4620" spans="1:26" ht="12" customHeight="1" outlineLevel="4" x14ac:dyDescent="0.2">
      <c r="A4620" s="14" t="s">
        <v>8982</v>
      </c>
      <c r="B4620" s="26" t="s">
        <v>8983</v>
      </c>
      <c r="C4620" s="52"/>
      <c r="D4620" s="55">
        <f t="shared" si="72"/>
        <v>0</v>
      </c>
      <c r="E4620" s="63" t="str">
        <f>HYPERLINK("https://www.sds-group.ru/product/pilka-dlya-elektrolobzika-po-derevu-t344d-152-mm-6-zubev-na-dyuym-8-100-mm-2-sht-up-kranz-KR-92-0309/", "Инфо")</f>
        <v>Инфо</v>
      </c>
      <c r="F4620" s="16" t="s">
        <v>1001</v>
      </c>
      <c r="G4620" s="15"/>
      <c r="H4620" s="15"/>
      <c r="I4620" s="15"/>
      <c r="J4620" s="22">
        <v>2598</v>
      </c>
      <c r="K4620" s="15" t="s">
        <v>6181</v>
      </c>
      <c r="L4620" s="17">
        <v>5</v>
      </c>
      <c r="M4620" s="17">
        <v>500</v>
      </c>
      <c r="N4620" s="17">
        <v>5</v>
      </c>
      <c r="O4620" s="18">
        <v>163.08000000000001</v>
      </c>
      <c r="P4620" s="18">
        <v>133.66999999999999</v>
      </c>
      <c r="Q4620" s="18">
        <v>163.08000000000001</v>
      </c>
      <c r="R4620" s="18">
        <v>133.66999999999999</v>
      </c>
      <c r="S4620" s="18">
        <v>110.89</v>
      </c>
      <c r="T4620" s="18">
        <v>90.89</v>
      </c>
      <c r="U4620" s="16"/>
      <c r="V4620" s="16"/>
      <c r="W4620" s="16" t="s">
        <v>40</v>
      </c>
      <c r="X4620" s="19">
        <v>3.1E-2</v>
      </c>
      <c r="Y4620" s="20">
        <v>6.6000000000000005E-5</v>
      </c>
      <c r="Z4620" s="21">
        <v>4601004200265</v>
      </c>
    </row>
    <row r="4621" spans="1:26" ht="12" customHeight="1" outlineLevel="4" x14ac:dyDescent="0.2">
      <c r="A4621" s="14" t="s">
        <v>8984</v>
      </c>
      <c r="B4621" s="26" t="s">
        <v>8985</v>
      </c>
      <c r="C4621" s="52"/>
      <c r="D4621" s="55">
        <f t="shared" si="72"/>
        <v>0</v>
      </c>
      <c r="E4621" s="63" t="str">
        <f>HYPERLINK("https://www.sds-group.ru/product/pilka-dlya-elektrolobzika-po-metallu-t118b-76-mm-12-zubev-na-dyuym-3-6-mm-2-sht-up-kranz-KR-92-0313/", "Инфо")</f>
        <v>Инфо</v>
      </c>
      <c r="F4621" s="16" t="s">
        <v>1001</v>
      </c>
      <c r="G4621" s="15"/>
      <c r="H4621" s="15"/>
      <c r="I4621" s="15"/>
      <c r="J4621" s="22">
        <v>2890</v>
      </c>
      <c r="K4621" s="15"/>
      <c r="L4621" s="17">
        <v>5</v>
      </c>
      <c r="M4621" s="17">
        <v>500</v>
      </c>
      <c r="N4621" s="17">
        <v>5</v>
      </c>
      <c r="O4621" s="18">
        <v>199.77</v>
      </c>
      <c r="P4621" s="18">
        <v>163.75</v>
      </c>
      <c r="Q4621" s="18">
        <v>199.77</v>
      </c>
      <c r="R4621" s="18">
        <v>163.75</v>
      </c>
      <c r="S4621" s="18">
        <v>135.84</v>
      </c>
      <c r="T4621" s="18">
        <v>111.34</v>
      </c>
      <c r="U4621" s="16"/>
      <c r="V4621" s="16"/>
      <c r="W4621" s="16" t="s">
        <v>40</v>
      </c>
      <c r="X4621" s="19">
        <v>1.4999999999999999E-2</v>
      </c>
      <c r="Y4621" s="20">
        <v>3.6999999999999998E-5</v>
      </c>
      <c r="Z4621" s="21">
        <v>4601004200159</v>
      </c>
    </row>
    <row r="4622" spans="1:26" ht="12" customHeight="1" outlineLevel="4" x14ac:dyDescent="0.2">
      <c r="A4622" s="14" t="s">
        <v>8986</v>
      </c>
      <c r="B4622" s="26" t="s">
        <v>8987</v>
      </c>
      <c r="C4622" s="52"/>
      <c r="D4622" s="55">
        <f t="shared" si="72"/>
        <v>0</v>
      </c>
      <c r="E4622" s="63" t="str">
        <f>HYPERLINK("https://www.sds-group.ru/product/pilka-dlya-elektrolobzika-po-metallu-t118g-76-mm-25-zubev-na-dyuym-0-9-1-2-mm-2-sht-up-kr-KR-92-0315/", "Инфо")</f>
        <v>Инфо</v>
      </c>
      <c r="F4622" s="16" t="s">
        <v>1001</v>
      </c>
      <c r="G4622" s="15"/>
      <c r="H4622" s="15"/>
      <c r="I4622" s="15"/>
      <c r="J4622" s="22">
        <v>1681</v>
      </c>
      <c r="K4622" s="15"/>
      <c r="L4622" s="17">
        <v>5</v>
      </c>
      <c r="M4622" s="17">
        <v>500</v>
      </c>
      <c r="N4622" s="17">
        <v>5</v>
      </c>
      <c r="O4622" s="18">
        <v>216.08</v>
      </c>
      <c r="P4622" s="18">
        <v>177.11</v>
      </c>
      <c r="Q4622" s="18">
        <v>216.08</v>
      </c>
      <c r="R4622" s="18">
        <v>177.11</v>
      </c>
      <c r="S4622" s="18">
        <v>146.93</v>
      </c>
      <c r="T4622" s="18">
        <v>120.43</v>
      </c>
      <c r="U4622" s="16"/>
      <c r="V4622" s="16"/>
      <c r="W4622" s="16" t="s">
        <v>40</v>
      </c>
      <c r="X4622" s="19">
        <v>1.4999999999999999E-2</v>
      </c>
      <c r="Y4622" s="20">
        <v>3.4999999999999997E-5</v>
      </c>
      <c r="Z4622" s="21">
        <v>4601004200173</v>
      </c>
    </row>
    <row r="4623" spans="1:26" ht="12" customHeight="1" outlineLevel="4" x14ac:dyDescent="0.2">
      <c r="A4623" s="14" t="s">
        <v>8988</v>
      </c>
      <c r="B4623" s="26" t="s">
        <v>8989</v>
      </c>
      <c r="C4623" s="52"/>
      <c r="D4623" s="55">
        <f t="shared" si="72"/>
        <v>0</v>
      </c>
      <c r="E4623" s="63" t="str">
        <f>HYPERLINK("https://www.sds-group.ru/product/pilka-dlya-elektrolobzika-po-myagkomu-metallu-t127d-100-mm-8-zubev-na-dyuym-4-20-mm-2-sht-KR-92-0318/", "Инфо")</f>
        <v>Инфо</v>
      </c>
      <c r="F4623" s="16" t="s">
        <v>1001</v>
      </c>
      <c r="G4623" s="15"/>
      <c r="H4623" s="15"/>
      <c r="I4623" s="15"/>
      <c r="J4623" s="22">
        <v>1478</v>
      </c>
      <c r="K4623" s="15"/>
      <c r="L4623" s="17">
        <v>5</v>
      </c>
      <c r="M4623" s="17">
        <v>500</v>
      </c>
      <c r="N4623" s="17">
        <v>5</v>
      </c>
      <c r="O4623" s="18">
        <v>275.2</v>
      </c>
      <c r="P4623" s="18">
        <v>225.57</v>
      </c>
      <c r="Q4623" s="18">
        <v>275.2</v>
      </c>
      <c r="R4623" s="18">
        <v>225.57</v>
      </c>
      <c r="S4623" s="18">
        <v>187.14</v>
      </c>
      <c r="T4623" s="18">
        <v>153.38999999999999</v>
      </c>
      <c r="U4623" s="16"/>
      <c r="V4623" s="16"/>
      <c r="W4623" s="16" t="s">
        <v>40</v>
      </c>
      <c r="X4623" s="19">
        <v>1.7000000000000001E-2</v>
      </c>
      <c r="Y4623" s="20">
        <v>3.6000000000000001E-5</v>
      </c>
      <c r="Z4623" s="21">
        <v>4601004200203</v>
      </c>
    </row>
    <row r="4624" spans="1:26" ht="12" customHeight="1" outlineLevel="4" x14ac:dyDescent="0.2">
      <c r="A4624" s="14" t="s">
        <v>8990</v>
      </c>
      <c r="B4624" s="26" t="s">
        <v>8991</v>
      </c>
      <c r="C4624" s="52"/>
      <c r="D4624" s="55">
        <f t="shared" si="72"/>
        <v>0</v>
      </c>
      <c r="E4624" s="63" t="str">
        <f>HYPERLINK("https://www.sds-group.ru/product/pilka-dlya-elektrolobzika-po-orgsteklu-t119bo-76-mm-12-zubev-na-dyuym-4-20-mm-figurnyy-re-KR-92-0311/", "Инфо")</f>
        <v>Инфо</v>
      </c>
      <c r="F4624" s="16" t="s">
        <v>1001</v>
      </c>
      <c r="G4624" s="15"/>
      <c r="H4624" s="15"/>
      <c r="I4624" s="15"/>
      <c r="J4624" s="22">
        <v>2599</v>
      </c>
      <c r="K4624" s="15"/>
      <c r="L4624" s="17">
        <v>5</v>
      </c>
      <c r="M4624" s="17">
        <v>500</v>
      </c>
      <c r="N4624" s="17">
        <v>5</v>
      </c>
      <c r="O4624" s="18">
        <v>106</v>
      </c>
      <c r="P4624" s="18">
        <v>86.89</v>
      </c>
      <c r="Q4624" s="18">
        <v>106</v>
      </c>
      <c r="R4624" s="18">
        <v>86.89</v>
      </c>
      <c r="S4624" s="18">
        <v>72.08</v>
      </c>
      <c r="T4624" s="18">
        <v>59.08</v>
      </c>
      <c r="U4624" s="16"/>
      <c r="V4624" s="16"/>
      <c r="W4624" s="16" t="s">
        <v>40</v>
      </c>
      <c r="X4624" s="19">
        <v>1.2999999999999999E-2</v>
      </c>
      <c r="Y4624" s="20">
        <v>3.8000000000000002E-5</v>
      </c>
      <c r="Z4624" s="21">
        <v>4601004200135</v>
      </c>
    </row>
    <row r="4625" spans="1:26" ht="12.95" customHeight="1" outlineLevel="3" x14ac:dyDescent="0.2">
      <c r="A4625" s="76" t="s">
        <v>8992</v>
      </c>
      <c r="B4625" s="76"/>
      <c r="C4625" s="77"/>
      <c r="D4625" s="58"/>
      <c r="E4625" s="68"/>
      <c r="F4625" s="13"/>
      <c r="G4625" s="13"/>
      <c r="H4625" s="13"/>
      <c r="I4625" s="13"/>
      <c r="J4625" s="13"/>
      <c r="K4625" s="13"/>
      <c r="L4625" s="13"/>
      <c r="M4625" s="13"/>
      <c r="N4625" s="13"/>
      <c r="O4625" s="13"/>
      <c r="P4625" s="13"/>
      <c r="Q4625" s="13"/>
      <c r="R4625" s="13"/>
      <c r="S4625" s="13"/>
      <c r="T4625" s="13"/>
      <c r="U4625" s="13"/>
      <c r="V4625" s="13"/>
      <c r="W4625" s="13"/>
      <c r="X4625" s="13"/>
      <c r="Y4625" s="13"/>
      <c r="Z4625" s="13"/>
    </row>
    <row r="4626" spans="1:26" ht="12" customHeight="1" outlineLevel="4" x14ac:dyDescent="0.2">
      <c r="A4626" s="14" t="s">
        <v>8993</v>
      </c>
      <c r="B4626" s="26" t="s">
        <v>8994</v>
      </c>
      <c r="C4626" s="52"/>
      <c r="D4626" s="55">
        <f t="shared" si="72"/>
        <v>0</v>
      </c>
      <c r="E4626" s="63" t="str">
        <f>HYPERLINK("https://www.sds-group.ru/product/nabor-poloten-dlya-elektrolobzika-1-t101b-t111c-t119bo-3-sht-up-kranz-KR-92-0321/", "Инфо")</f>
        <v>Инфо</v>
      </c>
      <c r="F4626" s="16" t="s">
        <v>1001</v>
      </c>
      <c r="G4626" s="15"/>
      <c r="H4626" s="15"/>
      <c r="I4626" s="15"/>
      <c r="J4626" s="22">
        <v>3407</v>
      </c>
      <c r="K4626" s="15"/>
      <c r="L4626" s="17">
        <v>5</v>
      </c>
      <c r="M4626" s="17">
        <v>500</v>
      </c>
      <c r="N4626" s="17">
        <v>5</v>
      </c>
      <c r="O4626" s="18">
        <v>184.63</v>
      </c>
      <c r="P4626" s="18">
        <v>151.34</v>
      </c>
      <c r="Q4626" s="18">
        <v>184.63</v>
      </c>
      <c r="R4626" s="18">
        <v>151.34</v>
      </c>
      <c r="S4626" s="18">
        <v>125.55</v>
      </c>
      <c r="T4626" s="18">
        <v>102.91</v>
      </c>
      <c r="U4626" s="16"/>
      <c r="V4626" s="16"/>
      <c r="W4626" s="16" t="s">
        <v>40</v>
      </c>
      <c r="X4626" s="19">
        <v>2.5000000000000001E-2</v>
      </c>
      <c r="Y4626" s="20">
        <v>3.0000000000000001E-5</v>
      </c>
      <c r="Z4626" s="21">
        <v>4601004200234</v>
      </c>
    </row>
    <row r="4627" spans="1:26" ht="12" customHeight="1" outlineLevel="4" x14ac:dyDescent="0.2">
      <c r="A4627" s="14" t="s">
        <v>8995</v>
      </c>
      <c r="B4627" s="26" t="s">
        <v>8996</v>
      </c>
      <c r="C4627" s="52"/>
      <c r="D4627" s="55">
        <f t="shared" si="72"/>
        <v>0</v>
      </c>
      <c r="E4627" s="63" t="str">
        <f>HYPERLINK("https://www.sds-group.ru/product/nabor-poloten-dlya-elektrolobzika-2-t101b-t118a-t244d-3-sht-up-kranz-KR-92-0320/", "Инфо")</f>
        <v>Инфо</v>
      </c>
      <c r="F4627" s="16" t="s">
        <v>1001</v>
      </c>
      <c r="G4627" s="15"/>
      <c r="H4627" s="15"/>
      <c r="I4627" s="15"/>
      <c r="J4627" s="22">
        <v>2166</v>
      </c>
      <c r="K4627" s="15"/>
      <c r="L4627" s="17">
        <v>5</v>
      </c>
      <c r="M4627" s="17">
        <v>500</v>
      </c>
      <c r="N4627" s="17">
        <v>5</v>
      </c>
      <c r="O4627" s="18">
        <v>201.07</v>
      </c>
      <c r="P4627" s="18">
        <v>164.81</v>
      </c>
      <c r="Q4627" s="18">
        <v>201.07</v>
      </c>
      <c r="R4627" s="18">
        <v>164.81</v>
      </c>
      <c r="S4627" s="18">
        <v>136.72999999999999</v>
      </c>
      <c r="T4627" s="18">
        <v>112.07</v>
      </c>
      <c r="U4627" s="16"/>
      <c r="V4627" s="16"/>
      <c r="W4627" s="16" t="s">
        <v>40</v>
      </c>
      <c r="X4627" s="19">
        <v>2.5000000000000001E-2</v>
      </c>
      <c r="Y4627" s="20">
        <v>3.3000000000000003E-5</v>
      </c>
      <c r="Z4627" s="21">
        <v>4601004200227</v>
      </c>
    </row>
    <row r="4628" spans="1:26" ht="12" customHeight="1" outlineLevel="4" x14ac:dyDescent="0.2">
      <c r="A4628" s="14" t="s">
        <v>8997</v>
      </c>
      <c r="B4628" s="26" t="s">
        <v>8998</v>
      </c>
      <c r="C4628" s="52"/>
      <c r="D4628" s="55">
        <f t="shared" si="72"/>
        <v>0</v>
      </c>
      <c r="E4628" s="63" t="str">
        <f>HYPERLINK("https://www.sds-group.ru/product/nabor-poloten-dlya-elektrolobzika-3-t144d-t101br-t119bo-3-sht-up-kranz-KR-92-0322/", "Инфо")</f>
        <v>Инфо</v>
      </c>
      <c r="F4628" s="16" t="s">
        <v>1001</v>
      </c>
      <c r="G4628" s="15"/>
      <c r="H4628" s="15"/>
      <c r="I4628" s="15"/>
      <c r="J4628" s="22">
        <v>2615</v>
      </c>
      <c r="K4628" s="15"/>
      <c r="L4628" s="17">
        <v>5</v>
      </c>
      <c r="M4628" s="17">
        <v>500</v>
      </c>
      <c r="N4628" s="17">
        <v>5</v>
      </c>
      <c r="O4628" s="18">
        <v>205.96</v>
      </c>
      <c r="P4628" s="18">
        <v>168.82</v>
      </c>
      <c r="Q4628" s="18">
        <v>205.96</v>
      </c>
      <c r="R4628" s="18">
        <v>168.82</v>
      </c>
      <c r="S4628" s="18">
        <v>140.05000000000001</v>
      </c>
      <c r="T4628" s="18">
        <v>114.8</v>
      </c>
      <c r="U4628" s="16"/>
      <c r="V4628" s="16"/>
      <c r="W4628" s="16" t="s">
        <v>40</v>
      </c>
      <c r="X4628" s="19">
        <v>2.5000000000000001E-2</v>
      </c>
      <c r="Y4628" s="20">
        <v>3.1999999999999999E-5</v>
      </c>
      <c r="Z4628" s="21">
        <v>4601004200241</v>
      </c>
    </row>
    <row r="4629" spans="1:26" ht="12" customHeight="1" outlineLevel="4" x14ac:dyDescent="0.2">
      <c r="A4629" s="14" t="s">
        <v>8999</v>
      </c>
      <c r="B4629" s="26" t="s">
        <v>9000</v>
      </c>
      <c r="C4629" s="52"/>
      <c r="D4629" s="55">
        <f t="shared" si="72"/>
        <v>0</v>
      </c>
      <c r="E4629" s="63" t="str">
        <f>HYPERLINK("https://www.sds-group.ru/product/nabor-poloten-dlya-elektrolobzika-4-t101d-t111c-t244d-3-sht-up-kranz-KR-92-0323/", "Инфо")</f>
        <v>Инфо</v>
      </c>
      <c r="F4629" s="16" t="s">
        <v>1001</v>
      </c>
      <c r="G4629" s="15"/>
      <c r="H4629" s="15"/>
      <c r="I4629" s="15"/>
      <c r="J4629" s="17">
        <v>11</v>
      </c>
      <c r="K4629" s="15"/>
      <c r="L4629" s="17">
        <v>5</v>
      </c>
      <c r="M4629" s="17">
        <v>500</v>
      </c>
      <c r="N4629" s="17">
        <v>5</v>
      </c>
      <c r="O4629" s="18">
        <v>205.96</v>
      </c>
      <c r="P4629" s="18">
        <v>168.82</v>
      </c>
      <c r="Q4629" s="18">
        <v>205.96</v>
      </c>
      <c r="R4629" s="18">
        <v>168.82</v>
      </c>
      <c r="S4629" s="18">
        <v>140.05000000000001</v>
      </c>
      <c r="T4629" s="18">
        <v>114.8</v>
      </c>
      <c r="U4629" s="16"/>
      <c r="V4629" s="16"/>
      <c r="W4629" s="16" t="s">
        <v>40</v>
      </c>
      <c r="X4629" s="19">
        <v>2.5999999999999999E-2</v>
      </c>
      <c r="Y4629" s="20">
        <v>3.1999999999999999E-5</v>
      </c>
      <c r="Z4629" s="21">
        <v>4601004200258</v>
      </c>
    </row>
    <row r="4630" spans="1:26" ht="12.95" customHeight="1" outlineLevel="3" x14ac:dyDescent="0.2">
      <c r="A4630" s="76" t="s">
        <v>9001</v>
      </c>
      <c r="B4630" s="76"/>
      <c r="C4630" s="77"/>
      <c r="D4630" s="58"/>
      <c r="E4630" s="68"/>
      <c r="F4630" s="13"/>
      <c r="G4630" s="13"/>
      <c r="H4630" s="13"/>
      <c r="I4630" s="13"/>
      <c r="J4630" s="13"/>
      <c r="K4630" s="13"/>
      <c r="L4630" s="13"/>
      <c r="M4630" s="13"/>
      <c r="N4630" s="13"/>
      <c r="O4630" s="13"/>
      <c r="P4630" s="13"/>
      <c r="Q4630" s="13"/>
      <c r="R4630" s="13"/>
      <c r="S4630" s="13"/>
      <c r="T4630" s="13"/>
      <c r="U4630" s="13"/>
      <c r="V4630" s="13"/>
      <c r="W4630" s="13"/>
      <c r="X4630" s="13"/>
      <c r="Y4630" s="13"/>
      <c r="Z4630" s="13"/>
    </row>
    <row r="4631" spans="1:26" ht="12" customHeight="1" outlineLevel="4" x14ac:dyDescent="0.2">
      <c r="A4631" s="14" t="s">
        <v>9002</v>
      </c>
      <c r="B4631" s="26" t="s">
        <v>9003</v>
      </c>
      <c r="C4631" s="52"/>
      <c r="D4631" s="55">
        <f t="shared" si="72"/>
        <v>0</v>
      </c>
      <c r="E4631" s="63" t="str">
        <f>HYPERLINK("https://www.sds-group.ru/product/nabor-dlya-ustanovki-vreznyh-zamkov-22-mm-48-mm-perovoe-sverlo-koltsevaya-pila-kranz-KR-92-0262/", "Инфо")</f>
        <v>Инфо</v>
      </c>
      <c r="F4631" s="16" t="s">
        <v>4698</v>
      </c>
      <c r="G4631" s="15"/>
      <c r="H4631" s="15"/>
      <c r="I4631" s="15"/>
      <c r="J4631" s="17">
        <v>365</v>
      </c>
      <c r="K4631" s="15" t="s">
        <v>6939</v>
      </c>
      <c r="L4631" s="17">
        <v>1</v>
      </c>
      <c r="M4631" s="17">
        <v>100</v>
      </c>
      <c r="N4631" s="17">
        <v>1</v>
      </c>
      <c r="O4631" s="18">
        <v>315.95999999999998</v>
      </c>
      <c r="P4631" s="18">
        <v>258.98</v>
      </c>
      <c r="Q4631" s="18">
        <v>300.16000000000003</v>
      </c>
      <c r="R4631" s="18">
        <v>246.03</v>
      </c>
      <c r="S4631" s="18">
        <v>214.85</v>
      </c>
      <c r="T4631" s="18">
        <v>176.11</v>
      </c>
      <c r="U4631" s="16"/>
      <c r="V4631" s="16"/>
      <c r="W4631" s="16" t="s">
        <v>40</v>
      </c>
      <c r="X4631" s="19">
        <v>0.19500000000000001</v>
      </c>
      <c r="Y4631" s="20">
        <v>7.4899999999999999E-4</v>
      </c>
      <c r="Z4631" s="21">
        <v>4601004286214</v>
      </c>
    </row>
    <row r="4632" spans="1:26" ht="12" customHeight="1" outlineLevel="4" x14ac:dyDescent="0.2">
      <c r="A4632" s="14" t="s">
        <v>9004</v>
      </c>
      <c r="B4632" s="26" t="s">
        <v>9005</v>
      </c>
      <c r="C4632" s="52"/>
      <c r="D4632" s="55">
        <f t="shared" si="72"/>
        <v>0</v>
      </c>
      <c r="E4632" s="63" t="str">
        <f>HYPERLINK("https://www.sds-group.ru/product/nabor-dlya-ustanovki-vreznyh-zamkov-22-mm-54-mm-perovoe-sverlo-koltsevaya-pila-kranz-KR-92-0263/", "Инфо")</f>
        <v>Инфо</v>
      </c>
      <c r="F4632" s="16" t="s">
        <v>4698</v>
      </c>
      <c r="G4632" s="15"/>
      <c r="H4632" s="15"/>
      <c r="I4632" s="15"/>
      <c r="J4632" s="17">
        <v>170</v>
      </c>
      <c r="K4632" s="15" t="s">
        <v>6633</v>
      </c>
      <c r="L4632" s="17">
        <v>5</v>
      </c>
      <c r="M4632" s="17">
        <v>100</v>
      </c>
      <c r="N4632" s="17">
        <v>5</v>
      </c>
      <c r="O4632" s="18">
        <v>330.23</v>
      </c>
      <c r="P4632" s="18">
        <v>270.68</v>
      </c>
      <c r="Q4632" s="18">
        <v>297.20999999999998</v>
      </c>
      <c r="R4632" s="18">
        <v>243.61</v>
      </c>
      <c r="S4632" s="18">
        <v>224.56</v>
      </c>
      <c r="T4632" s="18">
        <v>184.07</v>
      </c>
      <c r="U4632" s="16"/>
      <c r="V4632" s="16"/>
      <c r="W4632" s="16" t="s">
        <v>40</v>
      </c>
      <c r="X4632" s="19">
        <v>0.20300000000000001</v>
      </c>
      <c r="Y4632" s="20">
        <v>7.6800000000000002E-4</v>
      </c>
      <c r="Z4632" s="21">
        <v>4601004286191</v>
      </c>
    </row>
    <row r="4633" spans="1:26" ht="12" customHeight="1" outlineLevel="4" x14ac:dyDescent="0.2">
      <c r="A4633" s="14" t="s">
        <v>9006</v>
      </c>
      <c r="B4633" s="26" t="s">
        <v>9007</v>
      </c>
      <c r="C4633" s="52"/>
      <c r="D4633" s="55">
        <f t="shared" si="72"/>
        <v>0</v>
      </c>
      <c r="E4633" s="63" t="str">
        <f>HYPERLINK("https://www.sds-group.ru/product/nabor-koltsevyh-pil-po-derevu-19-127-mm-16-predmetov-kranz-KR-92-0253/", "Инфо")</f>
        <v>Инфо</v>
      </c>
      <c r="F4633" s="16" t="s">
        <v>4698</v>
      </c>
      <c r="G4633" s="15"/>
      <c r="H4633" s="15"/>
      <c r="I4633" s="15"/>
      <c r="J4633" s="17">
        <v>294</v>
      </c>
      <c r="K4633" s="15"/>
      <c r="L4633" s="17">
        <v>1</v>
      </c>
      <c r="M4633" s="17">
        <v>20</v>
      </c>
      <c r="N4633" s="17">
        <v>1</v>
      </c>
      <c r="O4633" s="18">
        <v>1080.3800000000001</v>
      </c>
      <c r="P4633" s="18">
        <v>885.56</v>
      </c>
      <c r="Q4633" s="18">
        <v>853.5</v>
      </c>
      <c r="R4633" s="18">
        <v>699.59</v>
      </c>
      <c r="S4633" s="18">
        <v>734.66</v>
      </c>
      <c r="T4633" s="18">
        <v>602.17999999999995</v>
      </c>
      <c r="U4633" s="16"/>
      <c r="V4633" s="16"/>
      <c r="W4633" s="16" t="s">
        <v>40</v>
      </c>
      <c r="X4633" s="19">
        <v>1.0069999999999999</v>
      </c>
      <c r="Y4633" s="20">
        <v>1.7359999999999999E-3</v>
      </c>
      <c r="Z4633" s="21">
        <v>4601004286269</v>
      </c>
    </row>
    <row r="4634" spans="1:26" ht="12" customHeight="1" outlineLevel="4" x14ac:dyDescent="0.2">
      <c r="A4634" s="14" t="s">
        <v>9008</v>
      </c>
      <c r="B4634" s="26" t="s">
        <v>9009</v>
      </c>
      <c r="C4634" s="52"/>
      <c r="D4634" s="55">
        <f t="shared" si="72"/>
        <v>0</v>
      </c>
      <c r="E4634" s="63" t="str">
        <f>HYPERLINK("https://www.sds-group.ru/product/nabor-koltsevyh-pil-po-derevu-64-127-mm-9-predmetov-kranz-KR-92-0252/", "Инфо")</f>
        <v>Инфо</v>
      </c>
      <c r="F4634" s="16" t="s">
        <v>4698</v>
      </c>
      <c r="G4634" s="15"/>
      <c r="H4634" s="15"/>
      <c r="I4634" s="15"/>
      <c r="J4634" s="17">
        <v>28</v>
      </c>
      <c r="K4634" s="15" t="s">
        <v>1055</v>
      </c>
      <c r="L4634" s="17">
        <v>1</v>
      </c>
      <c r="M4634" s="17">
        <v>30</v>
      </c>
      <c r="N4634" s="17">
        <v>1</v>
      </c>
      <c r="O4634" s="18">
        <v>774.62</v>
      </c>
      <c r="P4634" s="18">
        <v>634.92999999999995</v>
      </c>
      <c r="Q4634" s="18">
        <v>619.70000000000005</v>
      </c>
      <c r="R4634" s="18">
        <v>507.95</v>
      </c>
      <c r="S4634" s="18">
        <v>526.74</v>
      </c>
      <c r="T4634" s="18">
        <v>431.75</v>
      </c>
      <c r="U4634" s="16"/>
      <c r="V4634" s="16"/>
      <c r="W4634" s="16" t="s">
        <v>40</v>
      </c>
      <c r="X4634" s="19">
        <v>0.80400000000000005</v>
      </c>
      <c r="Y4634" s="20">
        <v>1.5770000000000001E-3</v>
      </c>
      <c r="Z4634" s="21">
        <v>4601004286276</v>
      </c>
    </row>
    <row r="4635" spans="1:26" ht="12" customHeight="1" outlineLevel="4" x14ac:dyDescent="0.2">
      <c r="A4635" s="14" t="s">
        <v>9010</v>
      </c>
      <c r="B4635" s="26" t="s">
        <v>9011</v>
      </c>
      <c r="C4635" s="52"/>
      <c r="D4635" s="55">
        <f t="shared" si="72"/>
        <v>0</v>
      </c>
      <c r="E4635" s="63" t="str">
        <f>HYPERLINK("https://www.sds-group.ru/product/nabor-koronok-po-derevu-19-22-28-32-38-44-54-64-mm-2-derzhatelya-s-klyuchom-kranz-KR-92-0251/", "Инфо")</f>
        <v>Инфо</v>
      </c>
      <c r="F4635" s="16" t="s">
        <v>39</v>
      </c>
      <c r="G4635" s="15"/>
      <c r="H4635" s="15"/>
      <c r="I4635" s="15"/>
      <c r="J4635" s="22">
        <v>1394</v>
      </c>
      <c r="K4635" s="15" t="s">
        <v>1055</v>
      </c>
      <c r="L4635" s="17">
        <v>1</v>
      </c>
      <c r="M4635" s="17">
        <v>50</v>
      </c>
      <c r="N4635" s="17">
        <v>1</v>
      </c>
      <c r="O4635" s="18">
        <v>733.85</v>
      </c>
      <c r="P4635" s="18">
        <v>601.52</v>
      </c>
      <c r="Q4635" s="18">
        <v>660.47</v>
      </c>
      <c r="R4635" s="18">
        <v>541.37</v>
      </c>
      <c r="S4635" s="18">
        <v>499.02</v>
      </c>
      <c r="T4635" s="18">
        <v>409.03</v>
      </c>
      <c r="U4635" s="16"/>
      <c r="V4635" s="16"/>
      <c r="W4635" s="16" t="s">
        <v>40</v>
      </c>
      <c r="X4635" s="19">
        <v>0.48899999999999999</v>
      </c>
      <c r="Y4635" s="20">
        <v>1.1410000000000001E-3</v>
      </c>
      <c r="Z4635" s="21">
        <v>4601004176669</v>
      </c>
    </row>
    <row r="4636" spans="1:26" ht="12" customHeight="1" outlineLevel="4" x14ac:dyDescent="0.2">
      <c r="A4636" s="32" t="s">
        <v>9012</v>
      </c>
      <c r="B4636" s="74" t="s">
        <v>9013</v>
      </c>
      <c r="C4636" s="50"/>
      <c r="D4636" s="53">
        <f t="shared" si="72"/>
        <v>0</v>
      </c>
      <c r="E4636" s="60" t="str">
        <f>HYPERLINK("https://www.sds-group.ru/product/pila-koltsevaya-26-32-38-45-50-56-63-mm-glubina-propila-1-kranz-KR-92-0256/", "Инфо")</f>
        <v>Инфо</v>
      </c>
      <c r="F4636" s="34" t="s">
        <v>4698</v>
      </c>
      <c r="G4636" s="33"/>
      <c r="H4636" s="33" t="s">
        <v>40</v>
      </c>
      <c r="I4636" s="33"/>
      <c r="J4636" s="35">
        <v>371</v>
      </c>
      <c r="K4636" s="33"/>
      <c r="L4636" s="35">
        <v>1</v>
      </c>
      <c r="M4636" s="35">
        <v>60</v>
      </c>
      <c r="N4636" s="35">
        <v>1</v>
      </c>
      <c r="O4636" s="36">
        <v>715.25</v>
      </c>
      <c r="P4636" s="36">
        <v>586.27</v>
      </c>
      <c r="Q4636" s="36">
        <v>572.20000000000005</v>
      </c>
      <c r="R4636" s="36">
        <v>469.02</v>
      </c>
      <c r="S4636" s="36">
        <v>486.37</v>
      </c>
      <c r="T4636" s="36">
        <v>398.66</v>
      </c>
      <c r="U4636" s="34"/>
      <c r="V4636" s="34"/>
      <c r="W4636" s="34" t="s">
        <v>40</v>
      </c>
      <c r="X4636" s="37">
        <v>0.127</v>
      </c>
      <c r="Y4636" s="38">
        <v>6.8800000000000003E-4</v>
      </c>
      <c r="Z4636" s="21">
        <v>4601004286184</v>
      </c>
    </row>
    <row r="4637" spans="1:26" ht="12" customHeight="1" outlineLevel="4" x14ac:dyDescent="0.2">
      <c r="A4637" s="32" t="s">
        <v>9014</v>
      </c>
      <c r="B4637" s="74" t="s">
        <v>9015</v>
      </c>
      <c r="C4637" s="50"/>
      <c r="D4637" s="53">
        <f t="shared" si="72"/>
        <v>0</v>
      </c>
      <c r="E4637" s="60" t="str">
        <f>HYPERLINK("https://www.sds-group.ru/product/pila-koltsevaya-26-32-38-45-50-56-63-mm-glubina-propila-2-kranz-KR-92-0257/", "Инфо")</f>
        <v>Инфо</v>
      </c>
      <c r="F4637" s="34" t="s">
        <v>4698</v>
      </c>
      <c r="G4637" s="33"/>
      <c r="H4637" s="33" t="s">
        <v>40</v>
      </c>
      <c r="I4637" s="33"/>
      <c r="J4637" s="35">
        <v>76</v>
      </c>
      <c r="K4637" s="33"/>
      <c r="L4637" s="35">
        <v>1</v>
      </c>
      <c r="M4637" s="35">
        <v>60</v>
      </c>
      <c r="N4637" s="35">
        <v>1</v>
      </c>
      <c r="O4637" s="36">
        <v>811.21</v>
      </c>
      <c r="P4637" s="36">
        <v>664.93</v>
      </c>
      <c r="Q4637" s="36">
        <v>648.97</v>
      </c>
      <c r="R4637" s="36">
        <v>531.94000000000005</v>
      </c>
      <c r="S4637" s="36">
        <v>551.62</v>
      </c>
      <c r="T4637" s="36">
        <v>452.15</v>
      </c>
      <c r="U4637" s="34"/>
      <c r="V4637" s="34"/>
      <c r="W4637" s="34" t="s">
        <v>40</v>
      </c>
      <c r="X4637" s="37">
        <v>0.20599999999999999</v>
      </c>
      <c r="Y4637" s="38">
        <v>8.8099999999999995E-4</v>
      </c>
      <c r="Z4637" s="21">
        <v>4601004286207</v>
      </c>
    </row>
    <row r="4638" spans="1:26" ht="12" customHeight="1" outlineLevel="4" x14ac:dyDescent="0.2">
      <c r="A4638" s="32" t="s">
        <v>9016</v>
      </c>
      <c r="B4638" s="74" t="s">
        <v>9017</v>
      </c>
      <c r="C4638" s="50"/>
      <c r="D4638" s="53">
        <f t="shared" si="72"/>
        <v>0</v>
      </c>
      <c r="E4638" s="60" t="str">
        <f>HYPERLINK("https://www.sds-group.ru/product/pila-koltsevaya-60-67-74-81-95-mm-glubina-propila-1-5-kranz-KR-92-0255/", "Инфо")</f>
        <v>Инфо</v>
      </c>
      <c r="F4638" s="34" t="s">
        <v>4698</v>
      </c>
      <c r="G4638" s="33"/>
      <c r="H4638" s="33" t="s">
        <v>40</v>
      </c>
      <c r="I4638" s="33"/>
      <c r="J4638" s="35">
        <v>354</v>
      </c>
      <c r="K4638" s="33"/>
      <c r="L4638" s="35">
        <v>1</v>
      </c>
      <c r="M4638" s="35">
        <v>24</v>
      </c>
      <c r="N4638" s="35">
        <v>1</v>
      </c>
      <c r="O4638" s="36">
        <v>1365.23</v>
      </c>
      <c r="P4638" s="36">
        <v>1119.04</v>
      </c>
      <c r="Q4638" s="36">
        <v>1078.53</v>
      </c>
      <c r="R4638" s="36">
        <v>884.04</v>
      </c>
      <c r="S4638" s="36">
        <v>928.36</v>
      </c>
      <c r="T4638" s="36">
        <v>760.95</v>
      </c>
      <c r="U4638" s="34"/>
      <c r="V4638" s="34"/>
      <c r="W4638" s="34" t="s">
        <v>40</v>
      </c>
      <c r="X4638" s="37">
        <v>0.34899999999999998</v>
      </c>
      <c r="Y4638" s="38">
        <v>2.0960000000000002E-3</v>
      </c>
      <c r="Z4638" s="21">
        <v>4601004286221</v>
      </c>
    </row>
    <row r="4639" spans="1:26" ht="12.95" customHeight="1" outlineLevel="3" x14ac:dyDescent="0.2">
      <c r="A4639" s="76" t="s">
        <v>9018</v>
      </c>
      <c r="B4639" s="76"/>
      <c r="C4639" s="77"/>
      <c r="D4639" s="58"/>
      <c r="E4639" s="68"/>
      <c r="F4639" s="13"/>
      <c r="G4639" s="13"/>
      <c r="H4639" s="13"/>
      <c r="I4639" s="13"/>
      <c r="J4639" s="13"/>
      <c r="K4639" s="13"/>
      <c r="L4639" s="13"/>
      <c r="M4639" s="13"/>
      <c r="N4639" s="13"/>
      <c r="O4639" s="13"/>
      <c r="P4639" s="13"/>
      <c r="Q4639" s="13"/>
      <c r="R4639" s="13"/>
      <c r="S4639" s="13"/>
      <c r="T4639" s="13"/>
      <c r="U4639" s="13"/>
      <c r="V4639" s="13"/>
      <c r="W4639" s="13"/>
      <c r="X4639" s="13"/>
      <c r="Y4639" s="13"/>
      <c r="Z4639" s="13"/>
    </row>
    <row r="4640" spans="1:26" ht="12" customHeight="1" outlineLevel="4" x14ac:dyDescent="0.2">
      <c r="A4640" s="32" t="s">
        <v>9019</v>
      </c>
      <c r="B4640" s="74" t="s">
        <v>9020</v>
      </c>
      <c r="C4640" s="50"/>
      <c r="D4640" s="53">
        <f t="shared" si="72"/>
        <v>0</v>
      </c>
      <c r="E4640" s="60" t="str">
        <f>HYPERLINK("https://www.sds-group.ru/product/sverlo-perovoe-po-derevu-12h300-mm-shestigrannyy-hvostovik-kranz-KR-91-0770/", "Инфо")</f>
        <v>Инфо</v>
      </c>
      <c r="F4640" s="34" t="s">
        <v>39</v>
      </c>
      <c r="G4640" s="33"/>
      <c r="H4640" s="33" t="s">
        <v>40</v>
      </c>
      <c r="I4640" s="33"/>
      <c r="J4640" s="35">
        <v>378</v>
      </c>
      <c r="K4640" s="33"/>
      <c r="L4640" s="35">
        <v>1</v>
      </c>
      <c r="M4640" s="35">
        <v>200</v>
      </c>
      <c r="N4640" s="35">
        <v>1</v>
      </c>
      <c r="O4640" s="36">
        <v>239.77</v>
      </c>
      <c r="P4640" s="36">
        <v>196.53</v>
      </c>
      <c r="Q4640" s="36">
        <v>167.84</v>
      </c>
      <c r="R4640" s="36">
        <v>137.57</v>
      </c>
      <c r="S4640" s="36">
        <v>163.04</v>
      </c>
      <c r="T4640" s="36">
        <v>133.63999999999999</v>
      </c>
      <c r="U4640" s="34"/>
      <c r="V4640" s="34"/>
      <c r="W4640" s="34"/>
      <c r="X4640" s="37">
        <v>9.9000000000000005E-2</v>
      </c>
      <c r="Y4640" s="38">
        <v>1.6899999999999999E-4</v>
      </c>
      <c r="Z4640" s="21">
        <v>4601004202894</v>
      </c>
    </row>
    <row r="4641" spans="1:26" ht="12" customHeight="1" outlineLevel="4" x14ac:dyDescent="0.2">
      <c r="A4641" s="32" t="s">
        <v>9021</v>
      </c>
      <c r="B4641" s="74" t="s">
        <v>9022</v>
      </c>
      <c r="C4641" s="50"/>
      <c r="D4641" s="53">
        <f t="shared" si="72"/>
        <v>0</v>
      </c>
      <c r="E4641" s="60" t="str">
        <f>HYPERLINK("https://www.sds-group.ru/product/sverlo-perovoe-po-derevu-16h300-mm-shestigrannyy-hvostovik-kranz-KR-91-0771/", "Инфо")</f>
        <v>Инфо</v>
      </c>
      <c r="F4641" s="34" t="s">
        <v>39</v>
      </c>
      <c r="G4641" s="33"/>
      <c r="H4641" s="33" t="s">
        <v>40</v>
      </c>
      <c r="I4641" s="33"/>
      <c r="J4641" s="35">
        <v>576</v>
      </c>
      <c r="K4641" s="33"/>
      <c r="L4641" s="35">
        <v>1</v>
      </c>
      <c r="M4641" s="35">
        <v>200</v>
      </c>
      <c r="N4641" s="35">
        <v>1</v>
      </c>
      <c r="O4641" s="36">
        <v>244.4</v>
      </c>
      <c r="P4641" s="36">
        <v>200.33</v>
      </c>
      <c r="Q4641" s="36">
        <v>171.08</v>
      </c>
      <c r="R4641" s="36">
        <v>140.22999999999999</v>
      </c>
      <c r="S4641" s="36">
        <v>166.19</v>
      </c>
      <c r="T4641" s="36">
        <v>136.22</v>
      </c>
      <c r="U4641" s="34"/>
      <c r="V4641" s="34"/>
      <c r="W4641" s="34"/>
      <c r="X4641" s="37">
        <v>0.10199999999999999</v>
      </c>
      <c r="Y4641" s="38">
        <v>1.6100000000000001E-4</v>
      </c>
      <c r="Z4641" s="21">
        <v>4601004202900</v>
      </c>
    </row>
    <row r="4642" spans="1:26" ht="12" customHeight="1" outlineLevel="4" x14ac:dyDescent="0.2">
      <c r="A4642" s="14" t="s">
        <v>9023</v>
      </c>
      <c r="B4642" s="26" t="s">
        <v>9024</v>
      </c>
      <c r="C4642" s="52"/>
      <c r="D4642" s="55">
        <f t="shared" si="72"/>
        <v>0</v>
      </c>
      <c r="E4642" s="63" t="str">
        <f>HYPERLINK("https://www.sds-group.ru/product/sverlo-perovoe-po-derevu-20h300-mm-shestigrannyy-hvostovik-kranz-KR-91-0772/", "Инфо")</f>
        <v>Инфо</v>
      </c>
      <c r="F4642" s="16" t="s">
        <v>39</v>
      </c>
      <c r="G4642" s="15"/>
      <c r="H4642" s="15"/>
      <c r="I4642" s="15"/>
      <c r="J4642" s="17">
        <v>287</v>
      </c>
      <c r="K4642" s="15"/>
      <c r="L4642" s="17">
        <v>5</v>
      </c>
      <c r="M4642" s="17">
        <v>200</v>
      </c>
      <c r="N4642" s="17">
        <v>5</v>
      </c>
      <c r="O4642" s="18">
        <v>267.48</v>
      </c>
      <c r="P4642" s="18">
        <v>219.25</v>
      </c>
      <c r="Q4642" s="18">
        <v>254.11</v>
      </c>
      <c r="R4642" s="18">
        <v>208.29</v>
      </c>
      <c r="S4642" s="18">
        <v>181.89</v>
      </c>
      <c r="T4642" s="18">
        <v>149.09</v>
      </c>
      <c r="U4642" s="16"/>
      <c r="V4642" s="16"/>
      <c r="W4642" s="16" t="s">
        <v>40</v>
      </c>
      <c r="X4642" s="19">
        <v>0.104</v>
      </c>
      <c r="Y4642" s="20">
        <v>1.63E-4</v>
      </c>
      <c r="Z4642" s="21">
        <v>4601004202917</v>
      </c>
    </row>
    <row r="4643" spans="1:26" ht="12" customHeight="1" outlineLevel="4" x14ac:dyDescent="0.2">
      <c r="A4643" s="14" t="s">
        <v>9025</v>
      </c>
      <c r="B4643" s="26" t="s">
        <v>9026</v>
      </c>
      <c r="C4643" s="52"/>
      <c r="D4643" s="55">
        <f t="shared" si="72"/>
        <v>0</v>
      </c>
      <c r="E4643" s="63" t="str">
        <f>HYPERLINK("https://www.sds-group.ru/product/sverlo-perovoe-po-derevu-22h300-mm-shestigrannyy-hvostovik-kranz-KR-91-0773/", "Инфо")</f>
        <v>Инфо</v>
      </c>
      <c r="F4643" s="16" t="s">
        <v>39</v>
      </c>
      <c r="G4643" s="15"/>
      <c r="H4643" s="15"/>
      <c r="I4643" s="15"/>
      <c r="J4643" s="17">
        <v>599</v>
      </c>
      <c r="K4643" s="15"/>
      <c r="L4643" s="17">
        <v>5</v>
      </c>
      <c r="M4643" s="17">
        <v>200</v>
      </c>
      <c r="N4643" s="17">
        <v>5</v>
      </c>
      <c r="O4643" s="18">
        <v>293.13</v>
      </c>
      <c r="P4643" s="18">
        <v>240.27</v>
      </c>
      <c r="Q4643" s="18">
        <v>278.47000000000003</v>
      </c>
      <c r="R4643" s="18">
        <v>228.25</v>
      </c>
      <c r="S4643" s="18">
        <v>199.33</v>
      </c>
      <c r="T4643" s="18">
        <v>163.38999999999999</v>
      </c>
      <c r="U4643" s="16"/>
      <c r="V4643" s="16"/>
      <c r="W4643" s="16" t="s">
        <v>40</v>
      </c>
      <c r="X4643" s="19">
        <v>0.105</v>
      </c>
      <c r="Y4643" s="20">
        <v>1.64E-4</v>
      </c>
      <c r="Z4643" s="21">
        <v>4601004202924</v>
      </c>
    </row>
    <row r="4644" spans="1:26" ht="12" customHeight="1" outlineLevel="4" x14ac:dyDescent="0.2">
      <c r="A4644" s="14" t="s">
        <v>9027</v>
      </c>
      <c r="B4644" s="26" t="s">
        <v>9028</v>
      </c>
      <c r="C4644" s="52"/>
      <c r="D4644" s="55">
        <f t="shared" si="72"/>
        <v>0</v>
      </c>
      <c r="E4644" s="63" t="str">
        <f>HYPERLINK("https://www.sds-group.ru/product/sverlo-perovoe-po-derevu-25h300-mm-shestigrannyy-hvostovik-kranz-KR-91-0774/", "Инфо")</f>
        <v>Инфо</v>
      </c>
      <c r="F4644" s="16" t="s">
        <v>39</v>
      </c>
      <c r="G4644" s="15"/>
      <c r="H4644" s="15"/>
      <c r="I4644" s="15"/>
      <c r="J4644" s="17">
        <v>62</v>
      </c>
      <c r="K4644" s="15"/>
      <c r="L4644" s="17">
        <v>5</v>
      </c>
      <c r="M4644" s="17">
        <v>200</v>
      </c>
      <c r="N4644" s="17">
        <v>5</v>
      </c>
      <c r="O4644" s="18">
        <v>334.59</v>
      </c>
      <c r="P4644" s="18">
        <v>274.25</v>
      </c>
      <c r="Q4644" s="18">
        <v>317.86</v>
      </c>
      <c r="R4644" s="18">
        <v>260.54000000000002</v>
      </c>
      <c r="S4644" s="18">
        <v>227.52</v>
      </c>
      <c r="T4644" s="18">
        <v>186.49</v>
      </c>
      <c r="U4644" s="16"/>
      <c r="V4644" s="16"/>
      <c r="W4644" s="16" t="s">
        <v>40</v>
      </c>
      <c r="X4644" s="19">
        <v>0.107</v>
      </c>
      <c r="Y4644" s="20">
        <v>1.6899999999999999E-4</v>
      </c>
      <c r="Z4644" s="21">
        <v>4601004202931</v>
      </c>
    </row>
    <row r="4645" spans="1:26" ht="12" customHeight="1" outlineLevel="4" x14ac:dyDescent="0.2">
      <c r="A4645" s="32" t="s">
        <v>9029</v>
      </c>
      <c r="B4645" s="74" t="s">
        <v>9030</v>
      </c>
      <c r="C4645" s="50"/>
      <c r="D4645" s="53">
        <f t="shared" si="72"/>
        <v>0</v>
      </c>
      <c r="E4645" s="60" t="str">
        <f>HYPERLINK("https://www.sds-group.ru/product/sverlo-perovoe-po-derevu-30h300-mm-shestigrannyy-hvostovik-kranz-KR-91-0775/", "Инфо")</f>
        <v>Инфо</v>
      </c>
      <c r="F4645" s="34" t="s">
        <v>39</v>
      </c>
      <c r="G4645" s="33"/>
      <c r="H4645" s="33" t="s">
        <v>40</v>
      </c>
      <c r="I4645" s="33"/>
      <c r="J4645" s="35">
        <v>365</v>
      </c>
      <c r="K4645" s="33"/>
      <c r="L4645" s="35">
        <v>1</v>
      </c>
      <c r="M4645" s="35">
        <v>200</v>
      </c>
      <c r="N4645" s="35">
        <v>1</v>
      </c>
      <c r="O4645" s="36">
        <v>400.22</v>
      </c>
      <c r="P4645" s="36">
        <v>328.05</v>
      </c>
      <c r="Q4645" s="36">
        <v>280.14999999999998</v>
      </c>
      <c r="R4645" s="36">
        <v>229.63</v>
      </c>
      <c r="S4645" s="36">
        <v>272.14999999999998</v>
      </c>
      <c r="T4645" s="36">
        <v>223.07</v>
      </c>
      <c r="U4645" s="34"/>
      <c r="V4645" s="34"/>
      <c r="W4645" s="34"/>
      <c r="X4645" s="37">
        <v>0.11</v>
      </c>
      <c r="Y4645" s="38">
        <v>1.6899999999999999E-4</v>
      </c>
      <c r="Z4645" s="21">
        <v>4601004202948</v>
      </c>
    </row>
    <row r="4646" spans="1:26" ht="12" customHeight="1" outlineLevel="4" x14ac:dyDescent="0.2">
      <c r="A4646" s="32" t="s">
        <v>9031</v>
      </c>
      <c r="B4646" s="74" t="s">
        <v>9032</v>
      </c>
      <c r="C4646" s="50"/>
      <c r="D4646" s="53">
        <f t="shared" si="72"/>
        <v>0</v>
      </c>
      <c r="E4646" s="60" t="str">
        <f>HYPERLINK("https://www.sds-group.ru/product/sverlo-perovoe-po-derevu-32h300-mm-shestigrannyy-hvostovik-kranz-KR-91-0776/", "Инфо")</f>
        <v>Инфо</v>
      </c>
      <c r="F4646" s="34" t="s">
        <v>39</v>
      </c>
      <c r="G4646" s="33"/>
      <c r="H4646" s="33" t="s">
        <v>40</v>
      </c>
      <c r="I4646" s="33"/>
      <c r="J4646" s="35">
        <v>771</v>
      </c>
      <c r="K4646" s="33"/>
      <c r="L4646" s="35">
        <v>1</v>
      </c>
      <c r="M4646" s="35">
        <v>200</v>
      </c>
      <c r="N4646" s="35">
        <v>1</v>
      </c>
      <c r="O4646" s="36">
        <v>382.99</v>
      </c>
      <c r="P4646" s="36">
        <v>313.93</v>
      </c>
      <c r="Q4646" s="36">
        <v>268.08999999999997</v>
      </c>
      <c r="R4646" s="36">
        <v>219.75</v>
      </c>
      <c r="S4646" s="36">
        <v>260.43</v>
      </c>
      <c r="T4646" s="36">
        <v>213.47</v>
      </c>
      <c r="U4646" s="34"/>
      <c r="V4646" s="34"/>
      <c r="W4646" s="34"/>
      <c r="X4646" s="37">
        <v>0.111</v>
      </c>
      <c r="Y4646" s="38">
        <v>1.63E-4</v>
      </c>
      <c r="Z4646" s="21">
        <v>4601004202955</v>
      </c>
    </row>
    <row r="4647" spans="1:26" ht="12" customHeight="1" outlineLevel="4" x14ac:dyDescent="0.2">
      <c r="A4647" s="14" t="s">
        <v>9033</v>
      </c>
      <c r="B4647" s="26" t="s">
        <v>9034</v>
      </c>
      <c r="C4647" s="52"/>
      <c r="D4647" s="55">
        <f t="shared" si="72"/>
        <v>0</v>
      </c>
      <c r="E4647" s="63" t="str">
        <f>HYPERLINK("https://www.sds-group.ru/product/sverlo-perovoe-po-derevu-35h300-mm-shestigrannyy-hvostovik-kranz-KR-91-0777/", "Инфо")</f>
        <v>Инфо</v>
      </c>
      <c r="F4647" s="16" t="s">
        <v>39</v>
      </c>
      <c r="G4647" s="15"/>
      <c r="H4647" s="15"/>
      <c r="I4647" s="15"/>
      <c r="J4647" s="17">
        <v>134</v>
      </c>
      <c r="K4647" s="15"/>
      <c r="L4647" s="17">
        <v>1</v>
      </c>
      <c r="M4647" s="17">
        <v>200</v>
      </c>
      <c r="N4647" s="17">
        <v>1</v>
      </c>
      <c r="O4647" s="18">
        <v>423.97</v>
      </c>
      <c r="P4647" s="18">
        <v>347.52</v>
      </c>
      <c r="Q4647" s="18">
        <v>381.57</v>
      </c>
      <c r="R4647" s="18">
        <v>312.76</v>
      </c>
      <c r="S4647" s="18">
        <v>288.3</v>
      </c>
      <c r="T4647" s="18">
        <v>236.31</v>
      </c>
      <c r="U4647" s="16"/>
      <c r="V4647" s="16"/>
      <c r="W4647" s="16" t="s">
        <v>40</v>
      </c>
      <c r="X4647" s="19">
        <v>0.112</v>
      </c>
      <c r="Y4647" s="20">
        <v>1.63E-4</v>
      </c>
      <c r="Z4647" s="21">
        <v>4601004202962</v>
      </c>
    </row>
    <row r="4648" spans="1:26" ht="12.95" customHeight="1" outlineLevel="3" x14ac:dyDescent="0.2">
      <c r="A4648" s="76" t="s">
        <v>9035</v>
      </c>
      <c r="B4648" s="76"/>
      <c r="C4648" s="77"/>
      <c r="D4648" s="58"/>
      <c r="E4648" s="68"/>
      <c r="F4648" s="13"/>
      <c r="G4648" s="13"/>
      <c r="H4648" s="13"/>
      <c r="I4648" s="13"/>
      <c r="J4648" s="13"/>
      <c r="K4648" s="13"/>
      <c r="L4648" s="13"/>
      <c r="M4648" s="13"/>
      <c r="N4648" s="13"/>
      <c r="O4648" s="13"/>
      <c r="P4648" s="13"/>
      <c r="Q4648" s="13"/>
      <c r="R4648" s="13"/>
      <c r="S4648" s="13"/>
      <c r="T4648" s="13"/>
      <c r="U4648" s="13"/>
      <c r="V4648" s="13"/>
      <c r="W4648" s="13"/>
      <c r="X4648" s="13"/>
      <c r="Y4648" s="13"/>
      <c r="Z4648" s="13"/>
    </row>
    <row r="4649" spans="1:26" ht="12" customHeight="1" outlineLevel="4" x14ac:dyDescent="0.2">
      <c r="A4649" s="14" t="s">
        <v>9036</v>
      </c>
      <c r="B4649" s="26" t="s">
        <v>9037</v>
      </c>
      <c r="C4649" s="52"/>
      <c r="D4649" s="55">
        <f t="shared" si="72"/>
        <v>0</v>
      </c>
      <c r="E4649" s="63" t="str">
        <f>HYPERLINK("https://www.sds-group.ru/product/nabor-sverl-forstnera-petelnyh-po-derevu-10-15-20-25-35-h-73mm-5-sht-tsilindricheskiy-hvo-KR-91-0792/", "Инфо")</f>
        <v>Инфо</v>
      </c>
      <c r="F4649" s="16" t="s">
        <v>4698</v>
      </c>
      <c r="G4649" s="15"/>
      <c r="H4649" s="15"/>
      <c r="I4649" s="15"/>
      <c r="J4649" s="17">
        <v>89</v>
      </c>
      <c r="K4649" s="15"/>
      <c r="L4649" s="17">
        <v>1</v>
      </c>
      <c r="M4649" s="17">
        <v>30</v>
      </c>
      <c r="N4649" s="17">
        <v>1</v>
      </c>
      <c r="O4649" s="18">
        <v>1508.46</v>
      </c>
      <c r="P4649" s="18">
        <v>1236.44</v>
      </c>
      <c r="Q4649" s="18">
        <v>1161.51</v>
      </c>
      <c r="R4649" s="18">
        <v>952.06</v>
      </c>
      <c r="S4649" s="18">
        <v>1025.75</v>
      </c>
      <c r="T4649" s="18">
        <v>840.78</v>
      </c>
      <c r="U4649" s="16"/>
      <c r="V4649" s="16"/>
      <c r="W4649" s="16" t="s">
        <v>40</v>
      </c>
      <c r="X4649" s="19">
        <v>0.441</v>
      </c>
      <c r="Y4649" s="20">
        <v>1.176E-3</v>
      </c>
      <c r="Z4649" s="21">
        <v>4601004287693</v>
      </c>
    </row>
    <row r="4650" spans="1:26" ht="12" customHeight="1" outlineLevel="4" x14ac:dyDescent="0.2">
      <c r="A4650" s="14" t="s">
        <v>9038</v>
      </c>
      <c r="B4650" s="26" t="s">
        <v>9039</v>
      </c>
      <c r="C4650" s="52"/>
      <c r="D4650" s="55">
        <f t="shared" si="72"/>
        <v>0</v>
      </c>
      <c r="E4650" s="63" t="str">
        <f>HYPERLINK("https://www.sds-group.ru/product/sverlo-forstnera-po-derevu-15mm-tsilindricheskiy-hvostovik-kranz-KR-91-0786/", "Инфо")</f>
        <v>Инфо</v>
      </c>
      <c r="F4650" s="16" t="s">
        <v>39</v>
      </c>
      <c r="G4650" s="15"/>
      <c r="H4650" s="15"/>
      <c r="I4650" s="15"/>
      <c r="J4650" s="17">
        <v>208</v>
      </c>
      <c r="K4650" s="15"/>
      <c r="L4650" s="17">
        <v>5</v>
      </c>
      <c r="M4650" s="17">
        <v>300</v>
      </c>
      <c r="N4650" s="17">
        <v>5</v>
      </c>
      <c r="O4650" s="18">
        <v>195.32</v>
      </c>
      <c r="P4650" s="18">
        <v>160.1</v>
      </c>
      <c r="Q4650" s="18">
        <v>166.02</v>
      </c>
      <c r="R4650" s="18">
        <v>136.08000000000001</v>
      </c>
      <c r="S4650" s="18">
        <v>132.82</v>
      </c>
      <c r="T4650" s="18">
        <v>108.87</v>
      </c>
      <c r="U4650" s="16"/>
      <c r="V4650" s="16"/>
      <c r="W4650" s="16" t="s">
        <v>40</v>
      </c>
      <c r="X4650" s="19">
        <v>4.1000000000000002E-2</v>
      </c>
      <c r="Y4650" s="20">
        <v>1.7799999999999999E-4</v>
      </c>
      <c r="Z4650" s="21">
        <v>4601004287631</v>
      </c>
    </row>
    <row r="4651" spans="1:26" ht="12" customHeight="1" outlineLevel="4" x14ac:dyDescent="0.2">
      <c r="A4651" s="14" t="s">
        <v>9040</v>
      </c>
      <c r="B4651" s="26" t="s">
        <v>9041</v>
      </c>
      <c r="C4651" s="52"/>
      <c r="D4651" s="55">
        <f t="shared" si="72"/>
        <v>0</v>
      </c>
      <c r="E4651" s="63" t="str">
        <f>HYPERLINK("https://www.sds-group.ru/product/sverlo-forstnera-po-derevu-20mm-tsilindricheskiy-hvostovik-kranz-KR-91-0787/", "Инфо")</f>
        <v>Инфо</v>
      </c>
      <c r="F4651" s="16" t="s">
        <v>39</v>
      </c>
      <c r="G4651" s="15"/>
      <c r="H4651" s="15"/>
      <c r="I4651" s="15"/>
      <c r="J4651" s="17">
        <v>251</v>
      </c>
      <c r="K4651" s="15"/>
      <c r="L4651" s="17">
        <v>5</v>
      </c>
      <c r="M4651" s="17">
        <v>300</v>
      </c>
      <c r="N4651" s="17">
        <v>5</v>
      </c>
      <c r="O4651" s="18">
        <v>243.01</v>
      </c>
      <c r="P4651" s="18">
        <v>199.19</v>
      </c>
      <c r="Q4651" s="18">
        <v>206.56</v>
      </c>
      <c r="R4651" s="18">
        <v>169.31</v>
      </c>
      <c r="S4651" s="18">
        <v>165.25</v>
      </c>
      <c r="T4651" s="18">
        <v>135.44999999999999</v>
      </c>
      <c r="U4651" s="16"/>
      <c r="V4651" s="16"/>
      <c r="W4651" s="16" t="s">
        <v>40</v>
      </c>
      <c r="X4651" s="19">
        <v>4.8000000000000001E-2</v>
      </c>
      <c r="Y4651" s="20">
        <v>1.73E-4</v>
      </c>
      <c r="Z4651" s="21">
        <v>4601004287648</v>
      </c>
    </row>
    <row r="4652" spans="1:26" ht="12" customHeight="1" outlineLevel="4" x14ac:dyDescent="0.2">
      <c r="A4652" s="14" t="s">
        <v>9042</v>
      </c>
      <c r="B4652" s="26" t="s">
        <v>9043</v>
      </c>
      <c r="C4652" s="52"/>
      <c r="D4652" s="55">
        <f t="shared" si="72"/>
        <v>0</v>
      </c>
      <c r="E4652" s="63" t="str">
        <f>HYPERLINK("https://www.sds-group.ru/product/sverlo-forstnera-po-derevu-22mm-tsilindricheskiy-hvostovik-kranz-KR-91-0788/", "Инфо")</f>
        <v>Инфо</v>
      </c>
      <c r="F4652" s="16" t="s">
        <v>39</v>
      </c>
      <c r="G4652" s="15"/>
      <c r="H4652" s="15"/>
      <c r="I4652" s="15"/>
      <c r="J4652" s="17">
        <v>528</v>
      </c>
      <c r="K4652" s="15"/>
      <c r="L4652" s="17">
        <v>5</v>
      </c>
      <c r="M4652" s="17">
        <v>300</v>
      </c>
      <c r="N4652" s="17">
        <v>5</v>
      </c>
      <c r="O4652" s="18">
        <v>254.8</v>
      </c>
      <c r="P4652" s="18">
        <v>208.85</v>
      </c>
      <c r="Q4652" s="18">
        <v>216.58</v>
      </c>
      <c r="R4652" s="18">
        <v>177.52</v>
      </c>
      <c r="S4652" s="18">
        <v>173.26</v>
      </c>
      <c r="T4652" s="18">
        <v>142.02000000000001</v>
      </c>
      <c r="U4652" s="16"/>
      <c r="V4652" s="16"/>
      <c r="W4652" s="16" t="s">
        <v>40</v>
      </c>
      <c r="X4652" s="19">
        <v>4.9000000000000002E-2</v>
      </c>
      <c r="Y4652" s="20">
        <v>1.73E-4</v>
      </c>
      <c r="Z4652" s="21">
        <v>4601004287655</v>
      </c>
    </row>
    <row r="4653" spans="1:26" ht="12" customHeight="1" outlineLevel="4" x14ac:dyDescent="0.2">
      <c r="A4653" s="14" t="s">
        <v>9044</v>
      </c>
      <c r="B4653" s="26" t="s">
        <v>9045</v>
      </c>
      <c r="C4653" s="52"/>
      <c r="D4653" s="55">
        <f t="shared" si="72"/>
        <v>0</v>
      </c>
      <c r="E4653" s="63" t="str">
        <f>HYPERLINK("https://www.sds-group.ru/product/sverlo-forstnera-po-derevu-30mm-tsilindricheskiy-hvostovik-kranz-KR-91-0790/", "Инфо")</f>
        <v>Инфо</v>
      </c>
      <c r="F4653" s="16" t="s">
        <v>39</v>
      </c>
      <c r="G4653" s="15"/>
      <c r="H4653" s="15"/>
      <c r="I4653" s="15"/>
      <c r="J4653" s="17">
        <v>129</v>
      </c>
      <c r="K4653" s="15"/>
      <c r="L4653" s="17">
        <v>5</v>
      </c>
      <c r="M4653" s="17">
        <v>200</v>
      </c>
      <c r="N4653" s="17">
        <v>5</v>
      </c>
      <c r="O4653" s="18">
        <v>324.48</v>
      </c>
      <c r="P4653" s="18">
        <v>265.97000000000003</v>
      </c>
      <c r="Q4653" s="18">
        <v>275.81</v>
      </c>
      <c r="R4653" s="18">
        <v>226.07</v>
      </c>
      <c r="S4653" s="18">
        <v>220.65</v>
      </c>
      <c r="T4653" s="18">
        <v>180.86</v>
      </c>
      <c r="U4653" s="16"/>
      <c r="V4653" s="16"/>
      <c r="W4653" s="16" t="s">
        <v>40</v>
      </c>
      <c r="X4653" s="19">
        <v>7.0000000000000007E-2</v>
      </c>
      <c r="Y4653" s="20">
        <v>1.7E-5</v>
      </c>
      <c r="Z4653" s="21">
        <v>4601004287679</v>
      </c>
    </row>
    <row r="4654" spans="1:26" ht="12" customHeight="1" outlineLevel="4" x14ac:dyDescent="0.2">
      <c r="A4654" s="14" t="s">
        <v>9046</v>
      </c>
      <c r="B4654" s="26" t="s">
        <v>9047</v>
      </c>
      <c r="C4654" s="52"/>
      <c r="D4654" s="55">
        <f t="shared" si="72"/>
        <v>0</v>
      </c>
      <c r="E4654" s="63" t="str">
        <f>HYPERLINK("https://www.sds-group.ru/product/sverlo-forstnera-po-derevu-35mm-tsilindricheskiy-hvostovik-kranz-KR-91-0791/", "Инфо")</f>
        <v>Инфо</v>
      </c>
      <c r="F4654" s="16" t="s">
        <v>39</v>
      </c>
      <c r="G4654" s="15"/>
      <c r="H4654" s="15"/>
      <c r="I4654" s="15"/>
      <c r="J4654" s="17">
        <v>282</v>
      </c>
      <c r="K4654" s="15"/>
      <c r="L4654" s="17">
        <v>5</v>
      </c>
      <c r="M4654" s="17">
        <v>200</v>
      </c>
      <c r="N4654" s="17">
        <v>5</v>
      </c>
      <c r="O4654" s="18">
        <v>378.98</v>
      </c>
      <c r="P4654" s="18">
        <v>310.64</v>
      </c>
      <c r="Q4654" s="18">
        <v>303.18</v>
      </c>
      <c r="R4654" s="18">
        <v>248.51</v>
      </c>
      <c r="S4654" s="18">
        <v>257.70999999999998</v>
      </c>
      <c r="T4654" s="18">
        <v>211.24</v>
      </c>
      <c r="U4654" s="16"/>
      <c r="V4654" s="16"/>
      <c r="W4654" s="16" t="s">
        <v>40</v>
      </c>
      <c r="X4654" s="19">
        <v>8.3000000000000004E-2</v>
      </c>
      <c r="Y4654" s="20">
        <v>2.5999999999999998E-4</v>
      </c>
      <c r="Z4654" s="21">
        <v>4601004287686</v>
      </c>
    </row>
    <row r="4655" spans="1:26" ht="12" customHeight="1" outlineLevel="4" x14ac:dyDescent="0.2">
      <c r="A4655" s="14" t="s">
        <v>9048</v>
      </c>
      <c r="B4655" s="26" t="s">
        <v>9049</v>
      </c>
      <c r="C4655" s="52"/>
      <c r="D4655" s="55">
        <f t="shared" si="72"/>
        <v>0</v>
      </c>
      <c r="E4655" s="63" t="str">
        <f>HYPERLINK("https://www.sds-group.ru/product/sverlo-forstnera-po-derevu-40mm-tsilindricheskiy-hvostovik-kranz-KR-91-0793/", "Инфо")</f>
        <v>Инфо</v>
      </c>
      <c r="F4655" s="16" t="s">
        <v>39</v>
      </c>
      <c r="G4655" s="15"/>
      <c r="H4655" s="15"/>
      <c r="I4655" s="15"/>
      <c r="J4655" s="17">
        <v>122</v>
      </c>
      <c r="K4655" s="15"/>
      <c r="L4655" s="17">
        <v>5</v>
      </c>
      <c r="M4655" s="17">
        <v>200</v>
      </c>
      <c r="N4655" s="17">
        <v>5</v>
      </c>
      <c r="O4655" s="18">
        <v>397.5</v>
      </c>
      <c r="P4655" s="18">
        <v>325.82</v>
      </c>
      <c r="Q4655" s="18">
        <v>318</v>
      </c>
      <c r="R4655" s="18">
        <v>260.66000000000003</v>
      </c>
      <c r="S4655" s="18">
        <v>270.3</v>
      </c>
      <c r="T4655" s="18">
        <v>221.56</v>
      </c>
      <c r="U4655" s="16"/>
      <c r="V4655" s="16"/>
      <c r="W4655" s="16" t="s">
        <v>40</v>
      </c>
      <c r="X4655" s="19">
        <v>9.6000000000000002E-2</v>
      </c>
      <c r="Y4655" s="20">
        <v>3.19E-4</v>
      </c>
      <c r="Z4655" s="21">
        <v>4601004287334</v>
      </c>
    </row>
    <row r="4656" spans="1:26" ht="12" customHeight="1" outlineLevel="4" x14ac:dyDescent="0.2">
      <c r="A4656" s="14" t="s">
        <v>9050</v>
      </c>
      <c r="B4656" s="26" t="s">
        <v>9051</v>
      </c>
      <c r="C4656" s="52"/>
      <c r="D4656" s="55">
        <f t="shared" si="72"/>
        <v>0</v>
      </c>
      <c r="E4656" s="63" t="str">
        <f>HYPERLINK("https://www.sds-group.ru/product/sverlo-forstnera-po-derevu-50mm-tsilindricheskiy-hvostovik-kranz-KR-91-0794/", "Инфо")</f>
        <v>Инфо</v>
      </c>
      <c r="F4656" s="16" t="s">
        <v>39</v>
      </c>
      <c r="G4656" s="15"/>
      <c r="H4656" s="15"/>
      <c r="I4656" s="15"/>
      <c r="J4656" s="17">
        <v>872</v>
      </c>
      <c r="K4656" s="15"/>
      <c r="L4656" s="17">
        <v>1</v>
      </c>
      <c r="M4656" s="17">
        <v>100</v>
      </c>
      <c r="N4656" s="17">
        <v>1</v>
      </c>
      <c r="O4656" s="18">
        <v>499.42</v>
      </c>
      <c r="P4656" s="18">
        <v>409.36</v>
      </c>
      <c r="Q4656" s="18">
        <v>399.54</v>
      </c>
      <c r="R4656" s="18">
        <v>327.49</v>
      </c>
      <c r="S4656" s="18">
        <v>339.61</v>
      </c>
      <c r="T4656" s="18">
        <v>278.37</v>
      </c>
      <c r="U4656" s="16"/>
      <c r="V4656" s="16"/>
      <c r="W4656" s="16" t="s">
        <v>40</v>
      </c>
      <c r="X4656" s="19">
        <v>0.13600000000000001</v>
      </c>
      <c r="Y4656" s="20">
        <v>5.0199999999999995E-4</v>
      </c>
      <c r="Z4656" s="21">
        <v>4601004287280</v>
      </c>
    </row>
    <row r="4657" spans="1:26" ht="12" customHeight="1" outlineLevel="4" x14ac:dyDescent="0.2">
      <c r="A4657" s="14" t="s">
        <v>9052</v>
      </c>
      <c r="B4657" s="26" t="s">
        <v>9053</v>
      </c>
      <c r="C4657" s="52"/>
      <c r="D4657" s="55">
        <f t="shared" si="72"/>
        <v>0</v>
      </c>
      <c r="E4657" s="63" t="str">
        <f>HYPERLINK("https://www.sds-group.ru/product/sverlo-forstnera-po-derevu-60mm-tsilindricheskiy-hvostovik-kranz-KR-91-0795/", "Инфо")</f>
        <v>Инфо</v>
      </c>
      <c r="F4657" s="16" t="s">
        <v>39</v>
      </c>
      <c r="G4657" s="15"/>
      <c r="H4657" s="15"/>
      <c r="I4657" s="15"/>
      <c r="J4657" s="17">
        <v>99</v>
      </c>
      <c r="K4657" s="15"/>
      <c r="L4657" s="17">
        <v>1</v>
      </c>
      <c r="M4657" s="17">
        <v>100</v>
      </c>
      <c r="N4657" s="17">
        <v>1</v>
      </c>
      <c r="O4657" s="18">
        <v>652.29999999999995</v>
      </c>
      <c r="P4657" s="18">
        <v>534.66999999999996</v>
      </c>
      <c r="Q4657" s="18">
        <v>521.84</v>
      </c>
      <c r="R4657" s="18">
        <v>427.74</v>
      </c>
      <c r="S4657" s="18">
        <v>443.56</v>
      </c>
      <c r="T4657" s="18">
        <v>363.57</v>
      </c>
      <c r="U4657" s="16"/>
      <c r="V4657" s="16"/>
      <c r="W4657" s="16" t="s">
        <v>40</v>
      </c>
      <c r="X4657" s="19">
        <v>0.16400000000000001</v>
      </c>
      <c r="Y4657" s="20">
        <v>6.4099999999999997E-4</v>
      </c>
      <c r="Z4657" s="21">
        <v>4601004287297</v>
      </c>
    </row>
    <row r="4658" spans="1:26" ht="12.95" customHeight="1" outlineLevel="3" x14ac:dyDescent="0.2">
      <c r="A4658" s="76" t="s">
        <v>9054</v>
      </c>
      <c r="B4658" s="76"/>
      <c r="C4658" s="77"/>
      <c r="D4658" s="58"/>
      <c r="E4658" s="68"/>
      <c r="F4658" s="13"/>
      <c r="G4658" s="13"/>
      <c r="H4658" s="13"/>
      <c r="I4658" s="13"/>
      <c r="J4658" s="13"/>
      <c r="K4658" s="13"/>
      <c r="L4658" s="13"/>
      <c r="M4658" s="13"/>
      <c r="N4658" s="13"/>
      <c r="O4658" s="13"/>
      <c r="P4658" s="13"/>
      <c r="Q4658" s="13"/>
      <c r="R4658" s="13"/>
      <c r="S4658" s="13"/>
      <c r="T4658" s="13"/>
      <c r="U4658" s="13"/>
      <c r="V4658" s="13"/>
      <c r="W4658" s="13"/>
      <c r="X4658" s="13"/>
      <c r="Y4658" s="13"/>
      <c r="Z4658" s="13"/>
    </row>
    <row r="4659" spans="1:26" ht="12" customHeight="1" outlineLevel="4" x14ac:dyDescent="0.2">
      <c r="A4659" s="14" t="s">
        <v>9055</v>
      </c>
      <c r="B4659" s="26" t="s">
        <v>9056</v>
      </c>
      <c r="C4659" s="52"/>
      <c r="D4659" s="55">
        <f t="shared" si="72"/>
        <v>0</v>
      </c>
      <c r="E4659" s="63" t="str">
        <f>HYPERLINK("https://www.sds-group.ru/product/nabor-borfrez-sharoshek-po-derevu-5-sht-kranz-KR-91-0798/", "Инфо")</f>
        <v>Инфо</v>
      </c>
      <c r="F4659" s="16" t="s">
        <v>4698</v>
      </c>
      <c r="G4659" s="15"/>
      <c r="H4659" s="15"/>
      <c r="I4659" s="15"/>
      <c r="J4659" s="17">
        <v>842</v>
      </c>
      <c r="K4659" s="15"/>
      <c r="L4659" s="17">
        <v>1</v>
      </c>
      <c r="M4659" s="17">
        <v>100</v>
      </c>
      <c r="N4659" s="17">
        <v>1</v>
      </c>
      <c r="O4659" s="18">
        <v>550.38</v>
      </c>
      <c r="P4659" s="18">
        <v>451.13</v>
      </c>
      <c r="Q4659" s="18">
        <v>440.3</v>
      </c>
      <c r="R4659" s="18">
        <v>360.9</v>
      </c>
      <c r="S4659" s="18">
        <v>374.26</v>
      </c>
      <c r="T4659" s="18">
        <v>306.77</v>
      </c>
      <c r="U4659" s="16"/>
      <c r="V4659" s="16"/>
      <c r="W4659" s="16" t="s">
        <v>40</v>
      </c>
      <c r="X4659" s="19">
        <v>0.11600000000000001</v>
      </c>
      <c r="Y4659" s="20">
        <v>2.4699999999999999E-4</v>
      </c>
      <c r="Z4659" s="21">
        <v>4601004287273</v>
      </c>
    </row>
    <row r="4660" spans="1:26" ht="12" customHeight="1" outlineLevel="4" x14ac:dyDescent="0.2">
      <c r="A4660" s="14" t="s">
        <v>9057</v>
      </c>
      <c r="B4660" s="26" t="s">
        <v>9058</v>
      </c>
      <c r="C4660" s="52"/>
      <c r="D4660" s="55">
        <f t="shared" si="72"/>
        <v>0</v>
      </c>
      <c r="E4660" s="63" t="str">
        <f>HYPERLINK("https://www.sds-group.ru/product/sverlo-po-derevu-balerinka-reguliruemoe-30-120mm-kranz-KR-91-0799/", "Инфо")</f>
        <v>Инфо</v>
      </c>
      <c r="F4660" s="16" t="s">
        <v>39</v>
      </c>
      <c r="G4660" s="15"/>
      <c r="H4660" s="15"/>
      <c r="I4660" s="15"/>
      <c r="J4660" s="17">
        <v>714</v>
      </c>
      <c r="K4660" s="15"/>
      <c r="L4660" s="17">
        <v>1</v>
      </c>
      <c r="M4660" s="17">
        <v>60</v>
      </c>
      <c r="N4660" s="17">
        <v>1</v>
      </c>
      <c r="O4660" s="18">
        <v>652</v>
      </c>
      <c r="P4660" s="18">
        <v>534.42999999999995</v>
      </c>
      <c r="Q4660" s="18">
        <v>521.6</v>
      </c>
      <c r="R4660" s="18">
        <v>427.54</v>
      </c>
      <c r="S4660" s="18">
        <v>443.36</v>
      </c>
      <c r="T4660" s="18">
        <v>363.41</v>
      </c>
      <c r="U4660" s="16"/>
      <c r="V4660" s="16"/>
      <c r="W4660" s="16" t="s">
        <v>40</v>
      </c>
      <c r="X4660" s="19">
        <v>0.34899999999999998</v>
      </c>
      <c r="Y4660" s="20">
        <v>7.1699999999999997E-4</v>
      </c>
      <c r="Z4660" s="21">
        <v>4601004287303</v>
      </c>
    </row>
    <row r="4661" spans="1:26" ht="12.95" customHeight="1" outlineLevel="2" x14ac:dyDescent="0.2">
      <c r="A4661" s="76" t="s">
        <v>9059</v>
      </c>
      <c r="B4661" s="76"/>
      <c r="C4661" s="77"/>
      <c r="D4661" s="58"/>
      <c r="E4661" s="68"/>
      <c r="F4661" s="13"/>
      <c r="G4661" s="13"/>
      <c r="H4661" s="13"/>
      <c r="I4661" s="13"/>
      <c r="J4661" s="13"/>
      <c r="K4661" s="13"/>
      <c r="L4661" s="13"/>
      <c r="M4661" s="13"/>
      <c r="N4661" s="13"/>
      <c r="O4661" s="13"/>
      <c r="P4661" s="13"/>
      <c r="Q4661" s="13"/>
      <c r="R4661" s="13"/>
      <c r="S4661" s="13"/>
      <c r="T4661" s="13"/>
      <c r="U4661" s="13"/>
      <c r="V4661" s="13"/>
      <c r="W4661" s="13"/>
      <c r="X4661" s="13"/>
      <c r="Y4661" s="13"/>
      <c r="Z4661" s="13"/>
    </row>
    <row r="4662" spans="1:26" ht="12.95" customHeight="1" outlineLevel="3" x14ac:dyDescent="0.2">
      <c r="A4662" s="76" t="s">
        <v>9060</v>
      </c>
      <c r="B4662" s="76"/>
      <c r="C4662" s="77"/>
      <c r="D4662" s="58"/>
      <c r="E4662" s="68"/>
      <c r="F4662" s="13"/>
      <c r="G4662" s="13"/>
      <c r="H4662" s="13"/>
      <c r="I4662" s="13"/>
      <c r="J4662" s="13"/>
      <c r="K4662" s="13"/>
      <c r="L4662" s="13"/>
      <c r="M4662" s="13"/>
      <c r="N4662" s="13"/>
      <c r="O4662" s="13"/>
      <c r="P4662" s="13"/>
      <c r="Q4662" s="13"/>
      <c r="R4662" s="13"/>
      <c r="S4662" s="13"/>
      <c r="T4662" s="13"/>
      <c r="U4662" s="13"/>
      <c r="V4662" s="13"/>
      <c r="W4662" s="13"/>
      <c r="X4662" s="13"/>
      <c r="Y4662" s="13"/>
      <c r="Z4662" s="13"/>
    </row>
    <row r="4663" spans="1:26" ht="12" customHeight="1" outlineLevel="4" x14ac:dyDescent="0.2">
      <c r="A4663" s="14" t="s">
        <v>9061</v>
      </c>
      <c r="B4663" s="26" t="s">
        <v>9062</v>
      </c>
      <c r="C4663" s="52"/>
      <c r="D4663" s="55">
        <f t="shared" si="72"/>
        <v>0</v>
      </c>
      <c r="E4663" s="63" t="str">
        <f>HYPERLINK("https://www.sds-group.ru/product/sverlo-po-steklu-i-keramike-10-mm-2-grani-tsilindr-hvostovik-kranz-KR-12-6806/", "Инфо")</f>
        <v>Инфо</v>
      </c>
      <c r="F4663" s="16" t="s">
        <v>39</v>
      </c>
      <c r="G4663" s="15"/>
      <c r="H4663" s="15"/>
      <c r="I4663" s="15"/>
      <c r="J4663" s="16" t="s">
        <v>100</v>
      </c>
      <c r="K4663" s="15" t="s">
        <v>979</v>
      </c>
      <c r="L4663" s="17">
        <v>5</v>
      </c>
      <c r="M4663" s="17">
        <v>600</v>
      </c>
      <c r="N4663" s="17">
        <v>5</v>
      </c>
      <c r="O4663" s="18">
        <v>174.9</v>
      </c>
      <c r="P4663" s="18">
        <v>143.36000000000001</v>
      </c>
      <c r="Q4663" s="18">
        <v>148.66999999999999</v>
      </c>
      <c r="R4663" s="18">
        <v>121.86</v>
      </c>
      <c r="S4663" s="18">
        <v>118.93</v>
      </c>
      <c r="T4663" s="18">
        <v>97.48</v>
      </c>
      <c r="U4663" s="16"/>
      <c r="V4663" s="16"/>
      <c r="W4663" s="16" t="s">
        <v>40</v>
      </c>
      <c r="X4663" s="19">
        <v>3.1E-2</v>
      </c>
      <c r="Y4663" s="20">
        <v>6.3E-5</v>
      </c>
      <c r="Z4663" s="21">
        <v>4601004198173</v>
      </c>
    </row>
    <row r="4664" spans="1:26" ht="12" customHeight="1" outlineLevel="4" x14ac:dyDescent="0.2">
      <c r="A4664" s="14" t="s">
        <v>9063</v>
      </c>
      <c r="B4664" s="26" t="s">
        <v>9064</v>
      </c>
      <c r="C4664" s="52"/>
      <c r="D4664" s="55">
        <f t="shared" si="72"/>
        <v>0</v>
      </c>
      <c r="E4664" s="63" t="str">
        <f>HYPERLINK("https://www.sds-group.ru/product/sverlo-po-steklu-i-keramike-12-mm-2-grani-tsilindr-hvostovik-kranz-KR-12-6807/", "Инфо")</f>
        <v>Инфо</v>
      </c>
      <c r="F4664" s="16" t="s">
        <v>39</v>
      </c>
      <c r="G4664" s="15"/>
      <c r="H4664" s="15"/>
      <c r="I4664" s="15"/>
      <c r="J4664" s="17">
        <v>6</v>
      </c>
      <c r="K4664" s="15"/>
      <c r="L4664" s="17">
        <v>5</v>
      </c>
      <c r="M4664" s="17">
        <v>600</v>
      </c>
      <c r="N4664" s="17">
        <v>5</v>
      </c>
      <c r="O4664" s="18">
        <v>206.7</v>
      </c>
      <c r="P4664" s="18">
        <v>169.43</v>
      </c>
      <c r="Q4664" s="18">
        <v>175.7</v>
      </c>
      <c r="R4664" s="18">
        <v>144.02000000000001</v>
      </c>
      <c r="S4664" s="18">
        <v>140.56</v>
      </c>
      <c r="T4664" s="18">
        <v>115.21</v>
      </c>
      <c r="U4664" s="16"/>
      <c r="V4664" s="16"/>
      <c r="W4664" s="16" t="s">
        <v>40</v>
      </c>
      <c r="X4664" s="19">
        <v>5.0999999999999997E-2</v>
      </c>
      <c r="Y4664" s="20">
        <v>6.2000000000000003E-5</v>
      </c>
      <c r="Z4664" s="21">
        <v>4601004198180</v>
      </c>
    </row>
    <row r="4665" spans="1:26" ht="12" customHeight="1" outlineLevel="4" x14ac:dyDescent="0.2">
      <c r="A4665" s="14" t="s">
        <v>9065</v>
      </c>
      <c r="B4665" s="26" t="s">
        <v>9066</v>
      </c>
      <c r="C4665" s="52"/>
      <c r="D4665" s="55">
        <f t="shared" si="72"/>
        <v>0</v>
      </c>
      <c r="E4665" s="63" t="str">
        <f>HYPERLINK("https://www.sds-group.ru/product/sverlo-po-steklu-i-keramike-3-mm-2-grani-tsilindr-hvostovik-kranz-KR-12-6801/", "Инфо")</f>
        <v>Инфо</v>
      </c>
      <c r="F4665" s="16" t="s">
        <v>39</v>
      </c>
      <c r="G4665" s="15"/>
      <c r="H4665" s="15"/>
      <c r="I4665" s="15"/>
      <c r="J4665" s="17">
        <v>118</v>
      </c>
      <c r="K4665" s="15" t="s">
        <v>979</v>
      </c>
      <c r="L4665" s="17">
        <v>10</v>
      </c>
      <c r="M4665" s="17">
        <v>800</v>
      </c>
      <c r="N4665" s="17">
        <v>10</v>
      </c>
      <c r="O4665" s="18">
        <v>90.1</v>
      </c>
      <c r="P4665" s="18">
        <v>73.849999999999994</v>
      </c>
      <c r="Q4665" s="18">
        <v>76.59</v>
      </c>
      <c r="R4665" s="18">
        <v>62.78</v>
      </c>
      <c r="S4665" s="18">
        <v>61.27</v>
      </c>
      <c r="T4665" s="18">
        <v>50.22</v>
      </c>
      <c r="U4665" s="16"/>
      <c r="V4665" s="16"/>
      <c r="W4665" s="16" t="s">
        <v>40</v>
      </c>
      <c r="X4665" s="19">
        <v>0.01</v>
      </c>
      <c r="Y4665" s="20">
        <v>4.6E-5</v>
      </c>
      <c r="Z4665" s="21">
        <v>4601004198135</v>
      </c>
    </row>
    <row r="4666" spans="1:26" ht="12" customHeight="1" outlineLevel="4" x14ac:dyDescent="0.2">
      <c r="A4666" s="14" t="s">
        <v>9067</v>
      </c>
      <c r="B4666" s="26" t="s">
        <v>9068</v>
      </c>
      <c r="C4666" s="52"/>
      <c r="D4666" s="55">
        <f t="shared" si="72"/>
        <v>0</v>
      </c>
      <c r="E4666" s="63" t="str">
        <f>HYPERLINK("https://www.sds-group.ru/product/sverlo-po-steklu-i-keramike-4-mm-2-grani-tsilindr-hvostovik-kranz-KR-12-6802/", "Инфо")</f>
        <v>Инфо</v>
      </c>
      <c r="F4666" s="16" t="s">
        <v>39</v>
      </c>
      <c r="G4666" s="15"/>
      <c r="H4666" s="15"/>
      <c r="I4666" s="15"/>
      <c r="J4666" s="22">
        <v>1187</v>
      </c>
      <c r="K4666" s="15"/>
      <c r="L4666" s="17">
        <v>5</v>
      </c>
      <c r="M4666" s="17">
        <v>800</v>
      </c>
      <c r="N4666" s="17">
        <v>5</v>
      </c>
      <c r="O4666" s="18">
        <v>99.64</v>
      </c>
      <c r="P4666" s="18">
        <v>81.67</v>
      </c>
      <c r="Q4666" s="18">
        <v>84.69</v>
      </c>
      <c r="R4666" s="18">
        <v>69.42</v>
      </c>
      <c r="S4666" s="18">
        <v>67.760000000000005</v>
      </c>
      <c r="T4666" s="18">
        <v>55.54</v>
      </c>
      <c r="U4666" s="16"/>
      <c r="V4666" s="16"/>
      <c r="W4666" s="16" t="s">
        <v>40</v>
      </c>
      <c r="X4666" s="19">
        <v>1.0999999999999999E-2</v>
      </c>
      <c r="Y4666" s="20">
        <v>4.6999999999999997E-5</v>
      </c>
      <c r="Z4666" s="21">
        <v>4601004198142</v>
      </c>
    </row>
    <row r="4667" spans="1:26" ht="12" customHeight="1" outlineLevel="4" x14ac:dyDescent="0.2">
      <c r="A4667" s="14" t="s">
        <v>9069</v>
      </c>
      <c r="B4667" s="26" t="s">
        <v>9070</v>
      </c>
      <c r="C4667" s="52"/>
      <c r="D4667" s="55">
        <f t="shared" si="72"/>
        <v>0</v>
      </c>
      <c r="E4667" s="63" t="str">
        <f>HYPERLINK("https://www.sds-group.ru/product/sverlo-po-steklu-i-keramike-5-mm-2-grani-tsilindr-hvostovik-kranz-KR-12-6803/", "Инфо")</f>
        <v>Инфо</v>
      </c>
      <c r="F4667" s="16" t="s">
        <v>39</v>
      </c>
      <c r="G4667" s="15"/>
      <c r="H4667" s="15"/>
      <c r="I4667" s="15"/>
      <c r="J4667" s="22">
        <v>3728</v>
      </c>
      <c r="K4667" s="15" t="s">
        <v>979</v>
      </c>
      <c r="L4667" s="17">
        <v>10</v>
      </c>
      <c r="M4667" s="17">
        <v>800</v>
      </c>
      <c r="N4667" s="17">
        <v>10</v>
      </c>
      <c r="O4667" s="18">
        <v>116.6</v>
      </c>
      <c r="P4667" s="18">
        <v>95.57</v>
      </c>
      <c r="Q4667" s="18">
        <v>99.11</v>
      </c>
      <c r="R4667" s="18">
        <v>81.239999999999995</v>
      </c>
      <c r="S4667" s="18">
        <v>79.290000000000006</v>
      </c>
      <c r="T4667" s="18">
        <v>64.989999999999995</v>
      </c>
      <c r="U4667" s="16"/>
      <c r="V4667" s="16"/>
      <c r="W4667" s="16" t="s">
        <v>40</v>
      </c>
      <c r="X4667" s="19">
        <v>1.4E-2</v>
      </c>
      <c r="Y4667" s="20">
        <v>4.8000000000000001E-5</v>
      </c>
      <c r="Z4667" s="21">
        <v>4601004198159</v>
      </c>
    </row>
    <row r="4668" spans="1:26" ht="12" customHeight="1" outlineLevel="4" x14ac:dyDescent="0.2">
      <c r="A4668" s="14" t="s">
        <v>9071</v>
      </c>
      <c r="B4668" s="26" t="s">
        <v>9072</v>
      </c>
      <c r="C4668" s="52"/>
      <c r="D4668" s="55">
        <f t="shared" si="72"/>
        <v>0</v>
      </c>
      <c r="E4668" s="63" t="str">
        <f>HYPERLINK("https://www.sds-group.ru/product/sverlo-po-steklu-i-keramike-6-mm-2-grani-tsilindr-hvostovik-kranz-KR-12-6804/", "Инфо")</f>
        <v>Инфо</v>
      </c>
      <c r="F4668" s="16" t="s">
        <v>39</v>
      </c>
      <c r="G4668" s="15"/>
      <c r="H4668" s="15"/>
      <c r="I4668" s="15"/>
      <c r="J4668" s="22">
        <v>38680</v>
      </c>
      <c r="K4668" s="15" t="s">
        <v>979</v>
      </c>
      <c r="L4668" s="17">
        <v>10</v>
      </c>
      <c r="M4668" s="17">
        <v>800</v>
      </c>
      <c r="N4668" s="17">
        <v>10</v>
      </c>
      <c r="O4668" s="18">
        <v>145.22</v>
      </c>
      <c r="P4668" s="18">
        <v>119.03</v>
      </c>
      <c r="Q4668" s="18">
        <v>123.44</v>
      </c>
      <c r="R4668" s="18">
        <v>101.18</v>
      </c>
      <c r="S4668" s="18">
        <v>98.75</v>
      </c>
      <c r="T4668" s="18">
        <v>80.94</v>
      </c>
      <c r="U4668" s="16"/>
      <c r="V4668" s="16"/>
      <c r="W4668" s="16" t="s">
        <v>40</v>
      </c>
      <c r="X4668" s="19">
        <v>1.7000000000000001E-2</v>
      </c>
      <c r="Y4668" s="20">
        <v>4.6999999999999997E-5</v>
      </c>
      <c r="Z4668" s="21">
        <v>4601004176676</v>
      </c>
    </row>
    <row r="4669" spans="1:26" ht="12" customHeight="1" outlineLevel="4" x14ac:dyDescent="0.2">
      <c r="A4669" s="14" t="s">
        <v>9073</v>
      </c>
      <c r="B4669" s="26" t="s">
        <v>9074</v>
      </c>
      <c r="C4669" s="52"/>
      <c r="D4669" s="55">
        <f t="shared" si="72"/>
        <v>0</v>
      </c>
      <c r="E4669" s="63" t="str">
        <f>HYPERLINK("https://www.sds-group.ru/product/sverlo-po-steklu-i-keramike-8-mm-2-grani-tsilindr-hvostovik-kranz-KR-12-6805/", "Инфо")</f>
        <v>Инфо</v>
      </c>
      <c r="F4669" s="16" t="s">
        <v>39</v>
      </c>
      <c r="G4669" s="15"/>
      <c r="H4669" s="15"/>
      <c r="I4669" s="15"/>
      <c r="J4669" s="22">
        <v>10300</v>
      </c>
      <c r="K4669" s="15" t="s">
        <v>979</v>
      </c>
      <c r="L4669" s="17">
        <v>10</v>
      </c>
      <c r="M4669" s="17">
        <v>800</v>
      </c>
      <c r="N4669" s="17">
        <v>10</v>
      </c>
      <c r="O4669" s="18">
        <v>150.52000000000001</v>
      </c>
      <c r="P4669" s="18">
        <v>123.38</v>
      </c>
      <c r="Q4669" s="18">
        <v>127.94</v>
      </c>
      <c r="R4669" s="18">
        <v>104.87</v>
      </c>
      <c r="S4669" s="18">
        <v>102.35</v>
      </c>
      <c r="T4669" s="18">
        <v>83.89</v>
      </c>
      <c r="U4669" s="16"/>
      <c r="V4669" s="16"/>
      <c r="W4669" s="16" t="s">
        <v>40</v>
      </c>
      <c r="X4669" s="19">
        <v>2.4E-2</v>
      </c>
      <c r="Y4669" s="20">
        <v>4.8999999999999998E-5</v>
      </c>
      <c r="Z4669" s="21">
        <v>4601004198166</v>
      </c>
    </row>
    <row r="4670" spans="1:26" ht="12.95" customHeight="1" outlineLevel="3" x14ac:dyDescent="0.2">
      <c r="A4670" s="76" t="s">
        <v>9075</v>
      </c>
      <c r="B4670" s="76"/>
      <c r="C4670" s="77"/>
      <c r="D4670" s="58"/>
      <c r="E4670" s="68"/>
      <c r="F4670" s="13"/>
      <c r="G4670" s="13"/>
      <c r="H4670" s="13"/>
      <c r="I4670" s="13"/>
      <c r="J4670" s="13"/>
      <c r="K4670" s="13"/>
      <c r="L4670" s="13"/>
      <c r="M4670" s="13"/>
      <c r="N4670" s="13"/>
      <c r="O4670" s="13"/>
      <c r="P4670" s="13"/>
      <c r="Q4670" s="13"/>
      <c r="R4670" s="13"/>
      <c r="S4670" s="13"/>
      <c r="T4670" s="13"/>
      <c r="U4670" s="13"/>
      <c r="V4670" s="13"/>
      <c r="W4670" s="13"/>
      <c r="X4670" s="13"/>
      <c r="Y4670" s="13"/>
      <c r="Z4670" s="13"/>
    </row>
    <row r="4671" spans="1:26" ht="12" customHeight="1" outlineLevel="4" x14ac:dyDescent="0.2">
      <c r="A4671" s="14" t="s">
        <v>9076</v>
      </c>
      <c r="B4671" s="26" t="s">
        <v>9077</v>
      </c>
      <c r="C4671" s="52"/>
      <c r="D4671" s="55">
        <f t="shared" si="72"/>
        <v>0</v>
      </c>
      <c r="E4671" s="63" t="str">
        <f>HYPERLINK("https://www.sds-group.ru/product/nabor-sverl-po-keramicheskoy-plitke-5-6-8mm-shestigrannyy-hvostovik-kranz-KR-91-0655/", "Инфо")</f>
        <v>Инфо</v>
      </c>
      <c r="F4671" s="16" t="s">
        <v>4698</v>
      </c>
      <c r="G4671" s="15"/>
      <c r="H4671" s="15"/>
      <c r="I4671" s="15"/>
      <c r="J4671" s="16" t="s">
        <v>100</v>
      </c>
      <c r="K4671" s="15" t="s">
        <v>979</v>
      </c>
      <c r="L4671" s="17">
        <v>1</v>
      </c>
      <c r="M4671" s="17">
        <v>200</v>
      </c>
      <c r="N4671" s="17">
        <v>1</v>
      </c>
      <c r="O4671" s="18">
        <v>684.1</v>
      </c>
      <c r="P4671" s="18">
        <v>560.74</v>
      </c>
      <c r="Q4671" s="18">
        <v>547.28</v>
      </c>
      <c r="R4671" s="18">
        <v>448.59</v>
      </c>
      <c r="S4671" s="18">
        <v>465.19</v>
      </c>
      <c r="T4671" s="18">
        <v>381.3</v>
      </c>
      <c r="U4671" s="16"/>
      <c r="V4671" s="16"/>
      <c r="W4671" s="16" t="s">
        <v>40</v>
      </c>
      <c r="X4671" s="19">
        <v>5.8000000000000003E-2</v>
      </c>
      <c r="Y4671" s="20">
        <v>1.6699999999999999E-4</v>
      </c>
      <c r="Z4671" s="21">
        <v>4601004287310</v>
      </c>
    </row>
    <row r="4672" spans="1:26" ht="12" customHeight="1" outlineLevel="4" x14ac:dyDescent="0.2">
      <c r="A4672" s="14" t="s">
        <v>9078</v>
      </c>
      <c r="B4672" s="26" t="s">
        <v>9079</v>
      </c>
      <c r="C4672" s="52"/>
      <c r="D4672" s="55">
        <f t="shared" si="72"/>
        <v>0</v>
      </c>
      <c r="E4672" s="63" t="str">
        <f>HYPERLINK("https://www.sds-group.ru/product/sverlo-po-steklu-i-keramike-12-mm-2-grani-shestigrannyy-hvostovik-kranz-KR-91-0645/", "Инфо")</f>
        <v>Инфо</v>
      </c>
      <c r="F4672" s="16" t="s">
        <v>39</v>
      </c>
      <c r="G4672" s="15"/>
      <c r="H4672" s="15"/>
      <c r="I4672" s="15"/>
      <c r="J4672" s="17">
        <v>161</v>
      </c>
      <c r="K4672" s="15"/>
      <c r="L4672" s="17">
        <v>5</v>
      </c>
      <c r="M4672" s="17">
        <v>600</v>
      </c>
      <c r="N4672" s="17">
        <v>5</v>
      </c>
      <c r="O4672" s="18">
        <v>295.58</v>
      </c>
      <c r="P4672" s="18">
        <v>242.28</v>
      </c>
      <c r="Q4672" s="18">
        <v>295.58</v>
      </c>
      <c r="R4672" s="18">
        <v>242.28</v>
      </c>
      <c r="S4672" s="18">
        <v>200.99</v>
      </c>
      <c r="T4672" s="18">
        <v>164.75</v>
      </c>
      <c r="U4672" s="16"/>
      <c r="V4672" s="16"/>
      <c r="W4672" s="16" t="s">
        <v>40</v>
      </c>
      <c r="X4672" s="19">
        <v>4.2999999999999997E-2</v>
      </c>
      <c r="Y4672" s="20">
        <v>6.4999999999999994E-5</v>
      </c>
      <c r="Z4672" s="21">
        <v>4601004205833</v>
      </c>
    </row>
    <row r="4673" spans="1:26" ht="12" customHeight="1" outlineLevel="4" x14ac:dyDescent="0.2">
      <c r="A4673" s="14" t="s">
        <v>9080</v>
      </c>
      <c r="B4673" s="26" t="s">
        <v>9081</v>
      </c>
      <c r="C4673" s="52"/>
      <c r="D4673" s="55">
        <f t="shared" si="72"/>
        <v>0</v>
      </c>
      <c r="E4673" s="63" t="str">
        <f>HYPERLINK("https://www.sds-group.ru/product/sverlo-po-steklu-i-keramike-4-mm-2-grani-shestigrannyy-hvostovik-kranz-KR-91-0640/", "Инфо")</f>
        <v>Инфо</v>
      </c>
      <c r="F4673" s="16" t="s">
        <v>39</v>
      </c>
      <c r="G4673" s="15"/>
      <c r="H4673" s="15"/>
      <c r="I4673" s="15"/>
      <c r="J4673" s="17">
        <v>496</v>
      </c>
      <c r="K4673" s="15"/>
      <c r="L4673" s="17">
        <v>5</v>
      </c>
      <c r="M4673" s="17">
        <v>800</v>
      </c>
      <c r="N4673" s="17">
        <v>5</v>
      </c>
      <c r="O4673" s="18">
        <v>142.12</v>
      </c>
      <c r="P4673" s="18">
        <v>116.49</v>
      </c>
      <c r="Q4673" s="18">
        <v>142.12</v>
      </c>
      <c r="R4673" s="18">
        <v>116.49</v>
      </c>
      <c r="S4673" s="18">
        <v>96.64</v>
      </c>
      <c r="T4673" s="18">
        <v>79.209999999999994</v>
      </c>
      <c r="U4673" s="16"/>
      <c r="V4673" s="16"/>
      <c r="W4673" s="16" t="s">
        <v>40</v>
      </c>
      <c r="X4673" s="19">
        <v>1.7999999999999999E-2</v>
      </c>
      <c r="Y4673" s="20">
        <v>4.8000000000000001E-5</v>
      </c>
      <c r="Z4673" s="21">
        <v>4601004205826</v>
      </c>
    </row>
    <row r="4674" spans="1:26" ht="12" customHeight="1" outlineLevel="4" x14ac:dyDescent="0.2">
      <c r="A4674" s="14" t="s">
        <v>9082</v>
      </c>
      <c r="B4674" s="26" t="s">
        <v>9083</v>
      </c>
      <c r="C4674" s="52"/>
      <c r="D4674" s="55">
        <f t="shared" si="72"/>
        <v>0</v>
      </c>
      <c r="E4674" s="63" t="str">
        <f>HYPERLINK("https://www.sds-group.ru/product/sverlo-po-steklu-i-keramike-5-mm-2-grani-shestigrannyy-hvostovik-kranz-KR-91-0641/", "Инфо")</f>
        <v>Инфо</v>
      </c>
      <c r="F4674" s="16" t="s">
        <v>39</v>
      </c>
      <c r="G4674" s="15"/>
      <c r="H4674" s="15"/>
      <c r="I4674" s="15"/>
      <c r="J4674" s="17">
        <v>646</v>
      </c>
      <c r="K4674" s="15" t="s">
        <v>1131</v>
      </c>
      <c r="L4674" s="17">
        <v>5</v>
      </c>
      <c r="M4674" s="17">
        <v>800</v>
      </c>
      <c r="N4674" s="17">
        <v>5</v>
      </c>
      <c r="O4674" s="18">
        <v>159</v>
      </c>
      <c r="P4674" s="18">
        <v>130.33000000000001</v>
      </c>
      <c r="Q4674" s="18">
        <v>159</v>
      </c>
      <c r="R4674" s="18">
        <v>130.33000000000001</v>
      </c>
      <c r="S4674" s="18">
        <v>108.12</v>
      </c>
      <c r="T4674" s="18">
        <v>88.62</v>
      </c>
      <c r="U4674" s="16"/>
      <c r="V4674" s="16"/>
      <c r="W4674" s="16" t="s">
        <v>40</v>
      </c>
      <c r="X4674" s="19">
        <v>1.9E-2</v>
      </c>
      <c r="Y4674" s="20">
        <v>4.6E-5</v>
      </c>
      <c r="Z4674" s="21">
        <v>4601004176683</v>
      </c>
    </row>
    <row r="4675" spans="1:26" ht="12" customHeight="1" outlineLevel="4" x14ac:dyDescent="0.2">
      <c r="A4675" s="14" t="s">
        <v>9084</v>
      </c>
      <c r="B4675" s="26" t="s">
        <v>9085</v>
      </c>
      <c r="C4675" s="52"/>
      <c r="D4675" s="55">
        <f t="shared" si="72"/>
        <v>0</v>
      </c>
      <c r="E4675" s="63" t="str">
        <f>HYPERLINK("https://www.sds-group.ru/product/sverlo-po-steklu-i-keramike-6-mm-2-grani-shestigrannyy-hvostovik-kranz-KR-91-0642/", "Инфо")</f>
        <v>Инфо</v>
      </c>
      <c r="F4675" s="16" t="s">
        <v>39</v>
      </c>
      <c r="G4675" s="15"/>
      <c r="H4675" s="15"/>
      <c r="I4675" s="15"/>
      <c r="J4675" s="22">
        <v>5420</v>
      </c>
      <c r="K4675" s="15" t="s">
        <v>979</v>
      </c>
      <c r="L4675" s="17">
        <v>10</v>
      </c>
      <c r="M4675" s="17">
        <v>800</v>
      </c>
      <c r="N4675" s="17">
        <v>10</v>
      </c>
      <c r="O4675" s="18">
        <v>173.27</v>
      </c>
      <c r="P4675" s="18">
        <v>142.02000000000001</v>
      </c>
      <c r="Q4675" s="18">
        <v>173.27</v>
      </c>
      <c r="R4675" s="18">
        <v>142.02000000000001</v>
      </c>
      <c r="S4675" s="18">
        <v>117.82</v>
      </c>
      <c r="T4675" s="18">
        <v>96.57</v>
      </c>
      <c r="U4675" s="16"/>
      <c r="V4675" s="16"/>
      <c r="W4675" s="16" t="s">
        <v>40</v>
      </c>
      <c r="X4675" s="19">
        <v>0.02</v>
      </c>
      <c r="Y4675" s="20">
        <v>4.8999999999999998E-5</v>
      </c>
      <c r="Z4675" s="21">
        <v>4601004176690</v>
      </c>
    </row>
    <row r="4676" spans="1:26" ht="12" customHeight="1" outlineLevel="4" x14ac:dyDescent="0.2">
      <c r="A4676" s="14" t="s">
        <v>9086</v>
      </c>
      <c r="B4676" s="26" t="s">
        <v>9087</v>
      </c>
      <c r="C4676" s="52"/>
      <c r="D4676" s="55">
        <f t="shared" si="72"/>
        <v>0</v>
      </c>
      <c r="E4676" s="63" t="str">
        <f>HYPERLINK("https://www.sds-group.ru/product/sverlo-po-steklu-i-keramike-8-mm-2-grani-shestigrannyy-hvostovik-kranz-KR-91-0643/", "Инфо")</f>
        <v>Инфо</v>
      </c>
      <c r="F4676" s="16" t="s">
        <v>39</v>
      </c>
      <c r="G4676" s="15"/>
      <c r="H4676" s="15"/>
      <c r="I4676" s="15"/>
      <c r="J4676" s="17">
        <v>336</v>
      </c>
      <c r="K4676" s="15" t="s">
        <v>979</v>
      </c>
      <c r="L4676" s="17">
        <v>10</v>
      </c>
      <c r="M4676" s="17">
        <v>800</v>
      </c>
      <c r="N4676" s="17">
        <v>10</v>
      </c>
      <c r="O4676" s="18">
        <v>224.46</v>
      </c>
      <c r="P4676" s="18">
        <v>183.98</v>
      </c>
      <c r="Q4676" s="18">
        <v>224.46</v>
      </c>
      <c r="R4676" s="18">
        <v>183.98</v>
      </c>
      <c r="S4676" s="18">
        <v>152.63</v>
      </c>
      <c r="T4676" s="18">
        <v>125.11</v>
      </c>
      <c r="U4676" s="16"/>
      <c r="V4676" s="16"/>
      <c r="W4676" s="16" t="s">
        <v>40</v>
      </c>
      <c r="X4676" s="19">
        <v>2.3E-2</v>
      </c>
      <c r="Y4676" s="20">
        <v>4.6E-5</v>
      </c>
      <c r="Z4676" s="21">
        <v>4601004176706</v>
      </c>
    </row>
    <row r="4677" spans="1:26" ht="12" customHeight="1" outlineLevel="4" x14ac:dyDescent="0.2">
      <c r="A4677" s="14" t="s">
        <v>9088</v>
      </c>
      <c r="B4677" s="26" t="s">
        <v>9089</v>
      </c>
      <c r="C4677" s="52"/>
      <c r="D4677" s="55">
        <f t="shared" si="72"/>
        <v>0</v>
      </c>
      <c r="E4677" s="63" t="str">
        <f>HYPERLINK("https://www.sds-group.ru/product/sverlo-po-steklu-i-keramike10-mm-2-grani-shestigrannyy-hvostovik-kranz-KR-91-0644/", "Инфо")</f>
        <v>Инфо</v>
      </c>
      <c r="F4677" s="16" t="s">
        <v>39</v>
      </c>
      <c r="G4677" s="15"/>
      <c r="H4677" s="15"/>
      <c r="I4677" s="15"/>
      <c r="J4677" s="17">
        <v>964</v>
      </c>
      <c r="K4677" s="15"/>
      <c r="L4677" s="17">
        <v>5</v>
      </c>
      <c r="M4677" s="17">
        <v>600</v>
      </c>
      <c r="N4677" s="17">
        <v>5</v>
      </c>
      <c r="O4677" s="18">
        <v>277.76</v>
      </c>
      <c r="P4677" s="18">
        <v>227.67</v>
      </c>
      <c r="Q4677" s="18">
        <v>277.76</v>
      </c>
      <c r="R4677" s="18">
        <v>227.67</v>
      </c>
      <c r="S4677" s="18">
        <v>188.88</v>
      </c>
      <c r="T4677" s="18">
        <v>154.82</v>
      </c>
      <c r="U4677" s="16"/>
      <c r="V4677" s="16"/>
      <c r="W4677" s="16" t="s">
        <v>40</v>
      </c>
      <c r="X4677" s="19">
        <v>2.8000000000000001E-2</v>
      </c>
      <c r="Y4677" s="20">
        <v>6.7000000000000002E-5</v>
      </c>
      <c r="Z4677" s="21">
        <v>4601004176713</v>
      </c>
    </row>
    <row r="4678" spans="1:26" ht="12.95" customHeight="1" outlineLevel="3" x14ac:dyDescent="0.2">
      <c r="A4678" s="76" t="s">
        <v>9090</v>
      </c>
      <c r="B4678" s="76"/>
      <c r="C4678" s="77"/>
      <c r="D4678" s="58"/>
      <c r="E4678" s="68"/>
      <c r="F4678" s="13"/>
      <c r="G4678" s="13"/>
      <c r="H4678" s="13"/>
      <c r="I4678" s="13"/>
      <c r="J4678" s="13"/>
      <c r="K4678" s="13"/>
      <c r="L4678" s="13"/>
      <c r="M4678" s="13"/>
      <c r="N4678" s="13"/>
      <c r="O4678" s="13"/>
      <c r="P4678" s="13"/>
      <c r="Q4678" s="13"/>
      <c r="R4678" s="13"/>
      <c r="S4678" s="13"/>
      <c r="T4678" s="13"/>
      <c r="U4678" s="13"/>
      <c r="V4678" s="13"/>
      <c r="W4678" s="13"/>
      <c r="X4678" s="13"/>
      <c r="Y4678" s="13"/>
      <c r="Z4678" s="13"/>
    </row>
    <row r="4679" spans="1:26" ht="12" customHeight="1" outlineLevel="4" x14ac:dyDescent="0.2">
      <c r="A4679" s="14" t="s">
        <v>9091</v>
      </c>
      <c r="B4679" s="26" t="s">
        <v>9092</v>
      </c>
      <c r="C4679" s="52"/>
      <c r="D4679" s="55">
        <f t="shared" si="72"/>
        <v>0</v>
      </c>
      <c r="E4679" s="63" t="str">
        <f>HYPERLINK("https://www.sds-group.ru/product/nabor-sverl-po-steklu-i-keramike-suhoe-sverlenie-4-10-mm-5-sht-plastikovyy-keys-kranz-KR-91-0653/", "Инфо")</f>
        <v>Инфо</v>
      </c>
      <c r="F4679" s="16" t="s">
        <v>4698</v>
      </c>
      <c r="G4679" s="15"/>
      <c r="H4679" s="15"/>
      <c r="I4679" s="15"/>
      <c r="J4679" s="16" t="s">
        <v>100</v>
      </c>
      <c r="K4679" s="15" t="s">
        <v>979</v>
      </c>
      <c r="L4679" s="17">
        <v>1</v>
      </c>
      <c r="M4679" s="17">
        <v>80</v>
      </c>
      <c r="N4679" s="17">
        <v>1</v>
      </c>
      <c r="O4679" s="18">
        <v>1521.3</v>
      </c>
      <c r="P4679" s="18">
        <v>1246.97</v>
      </c>
      <c r="Q4679" s="18">
        <v>1369.17</v>
      </c>
      <c r="R4679" s="18">
        <v>1122.27</v>
      </c>
      <c r="S4679" s="18">
        <v>1034.48</v>
      </c>
      <c r="T4679" s="18">
        <v>847.93</v>
      </c>
      <c r="U4679" s="16"/>
      <c r="V4679" s="16"/>
      <c r="W4679" s="16" t="s">
        <v>40</v>
      </c>
      <c r="X4679" s="19">
        <v>0.14099999999999999</v>
      </c>
      <c r="Y4679" s="20">
        <v>1.6899999999999999E-4</v>
      </c>
      <c r="Z4679" s="21">
        <v>4601004310926</v>
      </c>
    </row>
    <row r="4680" spans="1:26" ht="12" customHeight="1" outlineLevel="4" x14ac:dyDescent="0.2">
      <c r="A4680" s="14" t="s">
        <v>9093</v>
      </c>
      <c r="B4680" s="26" t="s">
        <v>9094</v>
      </c>
      <c r="C4680" s="52"/>
      <c r="D4680" s="55">
        <f t="shared" si="72"/>
        <v>0</v>
      </c>
      <c r="E4680" s="63" t="str">
        <f>HYPERLINK("https://www.sds-group.ru/product/sverlo-po-steklu-i-keramike-5-mm-4-grani-shestigrannyy-hvostovik-kranz-KR-91-0648/", "Инфо")</f>
        <v>Инфо</v>
      </c>
      <c r="F4680" s="16" t="s">
        <v>39</v>
      </c>
      <c r="G4680" s="15"/>
      <c r="H4680" s="15"/>
      <c r="I4680" s="15"/>
      <c r="J4680" s="22">
        <v>20522</v>
      </c>
      <c r="K4680" s="15" t="s">
        <v>979</v>
      </c>
      <c r="L4680" s="17">
        <v>5</v>
      </c>
      <c r="M4680" s="17">
        <v>800</v>
      </c>
      <c r="N4680" s="17">
        <v>5</v>
      </c>
      <c r="O4680" s="18">
        <v>225.78</v>
      </c>
      <c r="P4680" s="18">
        <v>185.07</v>
      </c>
      <c r="Q4680" s="18">
        <v>191.91</v>
      </c>
      <c r="R4680" s="18">
        <v>157.30000000000001</v>
      </c>
      <c r="S4680" s="18">
        <v>153.53</v>
      </c>
      <c r="T4680" s="18">
        <v>125.84</v>
      </c>
      <c r="U4680" s="16"/>
      <c r="V4680" s="16"/>
      <c r="W4680" s="16" t="s">
        <v>40</v>
      </c>
      <c r="X4680" s="19">
        <v>1.9E-2</v>
      </c>
      <c r="Y4680" s="20">
        <v>4.8000000000000001E-5</v>
      </c>
      <c r="Z4680" s="21">
        <v>4601004176720</v>
      </c>
    </row>
    <row r="4681" spans="1:26" ht="12" customHeight="1" outlineLevel="4" x14ac:dyDescent="0.2">
      <c r="A4681" s="14" t="s">
        <v>9095</v>
      </c>
      <c r="B4681" s="26" t="s">
        <v>9096</v>
      </c>
      <c r="C4681" s="52"/>
      <c r="D4681" s="55">
        <f t="shared" ref="D4681:D4744" si="73">C4681*(O4681-O4681*$G$3)</f>
        <v>0</v>
      </c>
      <c r="E4681" s="63" t="str">
        <f>HYPERLINK("https://www.sds-group.ru/product/sverlo-po-steklu-i-keramike-6-mm-4-grani-shestigrannyy-hvostovik-kranz-KR-91-0649/", "Инфо")</f>
        <v>Инфо</v>
      </c>
      <c r="F4681" s="16" t="s">
        <v>39</v>
      </c>
      <c r="G4681" s="15"/>
      <c r="H4681" s="15"/>
      <c r="I4681" s="15"/>
      <c r="J4681" s="22">
        <v>211591</v>
      </c>
      <c r="K4681" s="15" t="s">
        <v>979</v>
      </c>
      <c r="L4681" s="17">
        <v>5</v>
      </c>
      <c r="M4681" s="17">
        <v>800</v>
      </c>
      <c r="N4681" s="17">
        <v>5</v>
      </c>
      <c r="O4681" s="18">
        <v>275.60000000000002</v>
      </c>
      <c r="P4681" s="18">
        <v>225.9</v>
      </c>
      <c r="Q4681" s="18">
        <v>234.26</v>
      </c>
      <c r="R4681" s="18">
        <v>192.02</v>
      </c>
      <c r="S4681" s="18">
        <v>187.41</v>
      </c>
      <c r="T4681" s="18">
        <v>153.61000000000001</v>
      </c>
      <c r="U4681" s="16"/>
      <c r="V4681" s="16"/>
      <c r="W4681" s="16" t="s">
        <v>40</v>
      </c>
      <c r="X4681" s="19">
        <v>2.1000000000000001E-2</v>
      </c>
      <c r="Y4681" s="20">
        <v>4.8999999999999998E-5</v>
      </c>
      <c r="Z4681" s="21">
        <v>4601004176737</v>
      </c>
    </row>
    <row r="4682" spans="1:26" ht="12" customHeight="1" outlineLevel="4" x14ac:dyDescent="0.2">
      <c r="A4682" s="14" t="s">
        <v>9097</v>
      </c>
      <c r="B4682" s="26" t="s">
        <v>9098</v>
      </c>
      <c r="C4682" s="52"/>
      <c r="D4682" s="55">
        <f t="shared" si="73"/>
        <v>0</v>
      </c>
      <c r="E4682" s="63" t="str">
        <f>HYPERLINK("https://www.sds-group.ru/product/sverlo-po-steklu-i-keramike-8-mm-4-grani-shestigrannyy-hvostovik-kranz-KR-91-0650/", "Инфо")</f>
        <v>Инфо</v>
      </c>
      <c r="F4682" s="16" t="s">
        <v>39</v>
      </c>
      <c r="G4682" s="15"/>
      <c r="H4682" s="15"/>
      <c r="I4682" s="15"/>
      <c r="J4682" s="22">
        <v>22023</v>
      </c>
      <c r="K4682" s="15" t="s">
        <v>979</v>
      </c>
      <c r="L4682" s="17">
        <v>5</v>
      </c>
      <c r="M4682" s="17">
        <v>800</v>
      </c>
      <c r="N4682" s="17">
        <v>5</v>
      </c>
      <c r="O4682" s="18">
        <v>349.8</v>
      </c>
      <c r="P4682" s="18">
        <v>286.72000000000003</v>
      </c>
      <c r="Q4682" s="18">
        <v>297.33</v>
      </c>
      <c r="R4682" s="18">
        <v>243.71</v>
      </c>
      <c r="S4682" s="18">
        <v>237.86</v>
      </c>
      <c r="T4682" s="18">
        <v>194.97</v>
      </c>
      <c r="U4682" s="16"/>
      <c r="V4682" s="16"/>
      <c r="W4682" s="16" t="s">
        <v>40</v>
      </c>
      <c r="X4682" s="19">
        <v>2.4E-2</v>
      </c>
      <c r="Y4682" s="20">
        <v>4.3999999999999999E-5</v>
      </c>
      <c r="Z4682" s="21">
        <v>4601004176744</v>
      </c>
    </row>
    <row r="4683" spans="1:26" ht="12" customHeight="1" outlineLevel="4" x14ac:dyDescent="0.2">
      <c r="A4683" s="14" t="s">
        <v>9099</v>
      </c>
      <c r="B4683" s="26" t="s">
        <v>9100</v>
      </c>
      <c r="C4683" s="52"/>
      <c r="D4683" s="55">
        <f t="shared" si="73"/>
        <v>0</v>
      </c>
      <c r="E4683" s="63" t="str">
        <f>HYPERLINK("https://www.sds-group.ru/product/sverlo-po-steklu-i-keramike-12-mm-4-grani-shestigrannyy-hvostovik-kranz-KR-91-0652/", "Инфо")</f>
        <v>Инфо</v>
      </c>
      <c r="F4683" s="16" t="s">
        <v>39</v>
      </c>
      <c r="G4683" s="15"/>
      <c r="H4683" s="15"/>
      <c r="I4683" s="15"/>
      <c r="J4683" s="22">
        <v>9884</v>
      </c>
      <c r="K4683" s="15" t="s">
        <v>979</v>
      </c>
      <c r="L4683" s="17">
        <v>5</v>
      </c>
      <c r="M4683" s="17">
        <v>600</v>
      </c>
      <c r="N4683" s="17">
        <v>5</v>
      </c>
      <c r="O4683" s="18">
        <v>461.1</v>
      </c>
      <c r="P4683" s="18">
        <v>377.95</v>
      </c>
      <c r="Q4683" s="18">
        <v>391.94</v>
      </c>
      <c r="R4683" s="18">
        <v>321.26</v>
      </c>
      <c r="S4683" s="18">
        <v>313.55</v>
      </c>
      <c r="T4683" s="18">
        <v>257.01</v>
      </c>
      <c r="U4683" s="16"/>
      <c r="V4683" s="16"/>
      <c r="W4683" s="16" t="s">
        <v>40</v>
      </c>
      <c r="X4683" s="19">
        <v>4.4999999999999998E-2</v>
      </c>
      <c r="Y4683" s="20">
        <v>6.4999999999999994E-5</v>
      </c>
      <c r="Z4683" s="21">
        <v>4601004205864</v>
      </c>
    </row>
    <row r="4684" spans="1:26" ht="12" customHeight="1" outlineLevel="4" x14ac:dyDescent="0.2">
      <c r="A4684" s="14" t="s">
        <v>9101</v>
      </c>
      <c r="B4684" s="26" t="s">
        <v>9102</v>
      </c>
      <c r="C4684" s="52"/>
      <c r="D4684" s="55">
        <f t="shared" si="73"/>
        <v>0</v>
      </c>
      <c r="E4684" s="63" t="str">
        <f>HYPERLINK("https://www.sds-group.ru/product/sverlo-po-steklu-i-keramike-3-mm-4-grani-shestigrannyy-hvostovik-kranz-KR-91-0646/", "Инфо")</f>
        <v>Инфо</v>
      </c>
      <c r="F4684" s="16" t="s">
        <v>39</v>
      </c>
      <c r="G4684" s="15"/>
      <c r="H4684" s="15"/>
      <c r="I4684" s="15"/>
      <c r="J4684" s="22">
        <v>1593</v>
      </c>
      <c r="K4684" s="15" t="s">
        <v>979</v>
      </c>
      <c r="L4684" s="17">
        <v>5</v>
      </c>
      <c r="M4684" s="17">
        <v>800</v>
      </c>
      <c r="N4684" s="17">
        <v>5</v>
      </c>
      <c r="O4684" s="18">
        <v>199.28</v>
      </c>
      <c r="P4684" s="18">
        <v>163.34</v>
      </c>
      <c r="Q4684" s="18">
        <v>169.39</v>
      </c>
      <c r="R4684" s="18">
        <v>138.84</v>
      </c>
      <c r="S4684" s="18">
        <v>135.51</v>
      </c>
      <c r="T4684" s="18">
        <v>111.07</v>
      </c>
      <c r="U4684" s="16"/>
      <c r="V4684" s="16"/>
      <c r="W4684" s="16" t="s">
        <v>40</v>
      </c>
      <c r="X4684" s="19">
        <v>1.7000000000000001E-2</v>
      </c>
      <c r="Y4684" s="20">
        <v>4.8000000000000001E-5</v>
      </c>
      <c r="Z4684" s="21">
        <v>4601004205840</v>
      </c>
    </row>
    <row r="4685" spans="1:26" ht="12" customHeight="1" outlineLevel="4" x14ac:dyDescent="0.2">
      <c r="A4685" s="14" t="s">
        <v>9103</v>
      </c>
      <c r="B4685" s="26" t="s">
        <v>9104</v>
      </c>
      <c r="C4685" s="52"/>
      <c r="D4685" s="55">
        <f t="shared" si="73"/>
        <v>0</v>
      </c>
      <c r="E4685" s="63" t="str">
        <f>HYPERLINK("https://www.sds-group.ru/product/sverlo-po-steklu-i-keramike-4-mm-4-grani-shestigrannyy-hvostovik-kranz-KR-91-0647/", "Инфо")</f>
        <v>Инфо</v>
      </c>
      <c r="F4685" s="16" t="s">
        <v>39</v>
      </c>
      <c r="G4685" s="15"/>
      <c r="H4685" s="15"/>
      <c r="I4685" s="15"/>
      <c r="J4685" s="22">
        <v>7242</v>
      </c>
      <c r="K4685" s="15" t="s">
        <v>979</v>
      </c>
      <c r="L4685" s="17">
        <v>5</v>
      </c>
      <c r="M4685" s="17">
        <v>800</v>
      </c>
      <c r="N4685" s="17">
        <v>5</v>
      </c>
      <c r="O4685" s="18">
        <v>208.82</v>
      </c>
      <c r="P4685" s="18">
        <v>171.16</v>
      </c>
      <c r="Q4685" s="18">
        <v>177.5</v>
      </c>
      <c r="R4685" s="18">
        <v>145.49</v>
      </c>
      <c r="S4685" s="18">
        <v>142</v>
      </c>
      <c r="T4685" s="18">
        <v>116.39</v>
      </c>
      <c r="U4685" s="16"/>
      <c r="V4685" s="16"/>
      <c r="W4685" s="16" t="s">
        <v>40</v>
      </c>
      <c r="X4685" s="19">
        <v>1.7999999999999999E-2</v>
      </c>
      <c r="Y4685" s="20">
        <v>4.6999999999999997E-5</v>
      </c>
      <c r="Z4685" s="21">
        <v>4601004205857</v>
      </c>
    </row>
    <row r="4686" spans="1:26" ht="12" customHeight="1" outlineLevel="4" x14ac:dyDescent="0.2">
      <c r="A4686" s="14" t="s">
        <v>9105</v>
      </c>
      <c r="B4686" s="26" t="s">
        <v>9106</v>
      </c>
      <c r="C4686" s="52"/>
      <c r="D4686" s="55">
        <f t="shared" si="73"/>
        <v>0</v>
      </c>
      <c r="E4686" s="63" t="str">
        <f>HYPERLINK("https://www.sds-group.ru/product/sverlo-po-steklu-i-keramike-suhoe-sverlenie-10mm-shestigrannyy-hvostovik-kranz-KR-91-0769/", "Инфо")</f>
        <v>Инфо</v>
      </c>
      <c r="F4686" s="16" t="s">
        <v>39</v>
      </c>
      <c r="G4686" s="15"/>
      <c r="H4686" s="15"/>
      <c r="I4686" s="15"/>
      <c r="J4686" s="17">
        <v>689</v>
      </c>
      <c r="K4686" s="15" t="s">
        <v>979</v>
      </c>
      <c r="L4686" s="17">
        <v>1</v>
      </c>
      <c r="M4686" s="17">
        <v>800</v>
      </c>
      <c r="N4686" s="17">
        <v>1</v>
      </c>
      <c r="O4686" s="18">
        <v>521.99</v>
      </c>
      <c r="P4686" s="18">
        <v>427.86</v>
      </c>
      <c r="Q4686" s="18">
        <v>521.99</v>
      </c>
      <c r="R4686" s="18">
        <v>427.86</v>
      </c>
      <c r="S4686" s="18">
        <v>354.95</v>
      </c>
      <c r="T4686" s="18">
        <v>290.94</v>
      </c>
      <c r="U4686" s="16"/>
      <c r="V4686" s="16"/>
      <c r="W4686" s="16" t="s">
        <v>40</v>
      </c>
      <c r="X4686" s="19">
        <v>3.6999999999999998E-2</v>
      </c>
      <c r="Y4686" s="20">
        <v>5.8999999999999998E-5</v>
      </c>
      <c r="Z4686" s="21">
        <v>4601004316768</v>
      </c>
    </row>
    <row r="4687" spans="1:26" ht="12" customHeight="1" outlineLevel="4" x14ac:dyDescent="0.2">
      <c r="A4687" s="14" t="s">
        <v>9107</v>
      </c>
      <c r="B4687" s="26" t="s">
        <v>9108</v>
      </c>
      <c r="C4687" s="52"/>
      <c r="D4687" s="55">
        <f t="shared" si="73"/>
        <v>0</v>
      </c>
      <c r="E4687" s="63" t="str">
        <f>HYPERLINK("https://www.sds-group.ru/product/sverlo-po-steklu-i-keramike-suhoe-sverlenie-5mm-shestigrannyy-hvostovik-kranz-KR-91-0765/", "Инфо")</f>
        <v>Инфо</v>
      </c>
      <c r="F4687" s="16" t="s">
        <v>39</v>
      </c>
      <c r="G4687" s="15"/>
      <c r="H4687" s="15"/>
      <c r="I4687" s="15"/>
      <c r="J4687" s="17">
        <v>548</v>
      </c>
      <c r="K4687" s="15" t="s">
        <v>979</v>
      </c>
      <c r="L4687" s="17">
        <v>5</v>
      </c>
      <c r="M4687" s="17">
        <v>800</v>
      </c>
      <c r="N4687" s="17">
        <v>5</v>
      </c>
      <c r="O4687" s="18">
        <v>291.07</v>
      </c>
      <c r="P4687" s="18">
        <v>238.58</v>
      </c>
      <c r="Q4687" s="18">
        <v>291.07</v>
      </c>
      <c r="R4687" s="18">
        <v>238.58</v>
      </c>
      <c r="S4687" s="18">
        <v>197.93</v>
      </c>
      <c r="T4687" s="18">
        <v>162.24</v>
      </c>
      <c r="U4687" s="16"/>
      <c r="V4687" s="16"/>
      <c r="W4687" s="16" t="s">
        <v>40</v>
      </c>
      <c r="X4687" s="19">
        <v>2.1999999999999999E-2</v>
      </c>
      <c r="Y4687" s="20">
        <v>6.0000000000000002E-5</v>
      </c>
      <c r="Z4687" s="21">
        <v>4601004316782</v>
      </c>
    </row>
    <row r="4688" spans="1:26" ht="12" customHeight="1" outlineLevel="4" x14ac:dyDescent="0.2">
      <c r="A4688" s="14" t="s">
        <v>9109</v>
      </c>
      <c r="B4688" s="26" t="s">
        <v>9110</v>
      </c>
      <c r="C4688" s="52"/>
      <c r="D4688" s="55">
        <f t="shared" si="73"/>
        <v>0</v>
      </c>
      <c r="E4688" s="63" t="str">
        <f>HYPERLINK("https://www.sds-group.ru/product/sverlo-po-steklu-i-keramike-suhoe-sverlenie-6mm-shestigrannyy-hvostovik-kranz-KR-91-0766/", "Инфо")</f>
        <v>Инфо</v>
      </c>
      <c r="F4688" s="16" t="s">
        <v>39</v>
      </c>
      <c r="G4688" s="15"/>
      <c r="H4688" s="15"/>
      <c r="I4688" s="15"/>
      <c r="J4688" s="17">
        <v>361</v>
      </c>
      <c r="K4688" s="15" t="s">
        <v>979</v>
      </c>
      <c r="L4688" s="17">
        <v>5</v>
      </c>
      <c r="M4688" s="17">
        <v>800</v>
      </c>
      <c r="N4688" s="17">
        <v>5</v>
      </c>
      <c r="O4688" s="18">
        <v>344.97</v>
      </c>
      <c r="P4688" s="18">
        <v>282.76</v>
      </c>
      <c r="Q4688" s="18">
        <v>344.97</v>
      </c>
      <c r="R4688" s="18">
        <v>282.76</v>
      </c>
      <c r="S4688" s="18">
        <v>234.58</v>
      </c>
      <c r="T4688" s="18">
        <v>192.28</v>
      </c>
      <c r="U4688" s="16"/>
      <c r="V4688" s="16"/>
      <c r="W4688" s="16" t="s">
        <v>40</v>
      </c>
      <c r="X4688" s="19">
        <v>2.1999999999999999E-2</v>
      </c>
      <c r="Y4688" s="20">
        <v>5.8E-5</v>
      </c>
      <c r="Z4688" s="21">
        <v>4601004316805</v>
      </c>
    </row>
    <row r="4689" spans="1:26" ht="12" customHeight="1" outlineLevel="4" x14ac:dyDescent="0.2">
      <c r="A4689" s="14" t="s">
        <v>9111</v>
      </c>
      <c r="B4689" s="26" t="s">
        <v>9112</v>
      </c>
      <c r="C4689" s="52"/>
      <c r="D4689" s="55">
        <f t="shared" si="73"/>
        <v>0</v>
      </c>
      <c r="E4689" s="63" t="str">
        <f>HYPERLINK("https://www.sds-group.ru/product/sverlo-po-steklu-i-keramike-suhoe-sverlenie-8mm-shestigrannyy-hvostovik-kranz-KR-91-0768/", "Инфо")</f>
        <v>Инфо</v>
      </c>
      <c r="F4689" s="16" t="s">
        <v>39</v>
      </c>
      <c r="G4689" s="15"/>
      <c r="H4689" s="15"/>
      <c r="I4689" s="15"/>
      <c r="J4689" s="22">
        <v>1615</v>
      </c>
      <c r="K4689" s="15"/>
      <c r="L4689" s="17">
        <v>1</v>
      </c>
      <c r="M4689" s="17">
        <v>800</v>
      </c>
      <c r="N4689" s="17">
        <v>1</v>
      </c>
      <c r="O4689" s="18">
        <v>409.65</v>
      </c>
      <c r="P4689" s="18">
        <v>335.78</v>
      </c>
      <c r="Q4689" s="18">
        <v>409.65</v>
      </c>
      <c r="R4689" s="18">
        <v>335.78</v>
      </c>
      <c r="S4689" s="18">
        <v>278.56</v>
      </c>
      <c r="T4689" s="18">
        <v>228.33</v>
      </c>
      <c r="U4689" s="16"/>
      <c r="V4689" s="16"/>
      <c r="W4689" s="16" t="s">
        <v>40</v>
      </c>
      <c r="X4689" s="19">
        <v>2.8000000000000001E-2</v>
      </c>
      <c r="Y4689" s="20">
        <v>5.7000000000000003E-5</v>
      </c>
      <c r="Z4689" s="21">
        <v>4601004316799</v>
      </c>
    </row>
    <row r="4690" spans="1:26" ht="12" customHeight="1" outlineLevel="4" x14ac:dyDescent="0.2">
      <c r="A4690" s="14" t="s">
        <v>9113</v>
      </c>
      <c r="B4690" s="26" t="s">
        <v>9114</v>
      </c>
      <c r="C4690" s="52"/>
      <c r="D4690" s="55">
        <f t="shared" si="73"/>
        <v>0</v>
      </c>
      <c r="E4690" s="63" t="str">
        <f>HYPERLINK("https://www.sds-group.ru/product/sverlo-po-steklu-i-keramike10-mm-4-grani-shestigrannyy-hvostovik-kranz-KR-91-0651/", "Инфо")</f>
        <v>Инфо</v>
      </c>
      <c r="F4690" s="16" t="s">
        <v>39</v>
      </c>
      <c r="G4690" s="15"/>
      <c r="H4690" s="15"/>
      <c r="I4690" s="15"/>
      <c r="J4690" s="22">
        <v>6376</v>
      </c>
      <c r="K4690" s="15" t="s">
        <v>979</v>
      </c>
      <c r="L4690" s="17">
        <v>5</v>
      </c>
      <c r="M4690" s="17">
        <v>600</v>
      </c>
      <c r="N4690" s="17">
        <v>5</v>
      </c>
      <c r="O4690" s="18">
        <v>378.42</v>
      </c>
      <c r="P4690" s="18">
        <v>310.18</v>
      </c>
      <c r="Q4690" s="18">
        <v>321.66000000000003</v>
      </c>
      <c r="R4690" s="18">
        <v>263.66000000000003</v>
      </c>
      <c r="S4690" s="18">
        <v>257.33</v>
      </c>
      <c r="T4690" s="18">
        <v>210.93</v>
      </c>
      <c r="U4690" s="16"/>
      <c r="V4690" s="16"/>
      <c r="W4690" s="16" t="s">
        <v>40</v>
      </c>
      <c r="X4690" s="19">
        <v>0.03</v>
      </c>
      <c r="Y4690" s="20">
        <v>6.4999999999999994E-5</v>
      </c>
      <c r="Z4690" s="21">
        <v>4601004176751</v>
      </c>
    </row>
    <row r="4691" spans="1:26" ht="12.95" customHeight="1" outlineLevel="3" x14ac:dyDescent="0.2">
      <c r="A4691" s="76" t="s">
        <v>9115</v>
      </c>
      <c r="B4691" s="76"/>
      <c r="C4691" s="77"/>
      <c r="D4691" s="58"/>
      <c r="E4691" s="68"/>
      <c r="F4691" s="13"/>
      <c r="G4691" s="13"/>
      <c r="H4691" s="13"/>
      <c r="I4691" s="13"/>
      <c r="J4691" s="13"/>
      <c r="K4691" s="13"/>
      <c r="L4691" s="13"/>
      <c r="M4691" s="13"/>
      <c r="N4691" s="13"/>
      <c r="O4691" s="13"/>
      <c r="P4691" s="13"/>
      <c r="Q4691" s="13"/>
      <c r="R4691" s="13"/>
      <c r="S4691" s="13"/>
      <c r="T4691" s="13"/>
      <c r="U4691" s="13"/>
      <c r="V4691" s="13"/>
      <c r="W4691" s="13"/>
      <c r="X4691" s="13"/>
      <c r="Y4691" s="13"/>
      <c r="Z4691" s="13"/>
    </row>
    <row r="4692" spans="1:26" ht="12" customHeight="1" outlineLevel="4" x14ac:dyDescent="0.2">
      <c r="A4692" s="14" t="s">
        <v>9116</v>
      </c>
      <c r="B4692" s="26" t="s">
        <v>9117</v>
      </c>
      <c r="C4692" s="52"/>
      <c r="D4692" s="55">
        <f t="shared" si="73"/>
        <v>0</v>
      </c>
      <c r="E4692" s="63" t="str">
        <f>HYPERLINK("https://www.sds-group.ru/product/sverlo-po-kafelyu-i-plitke-balerinka-reguliruemoe-30-130mm-kranz-KR-91-0656/", "Инфо")</f>
        <v>Инфо</v>
      </c>
      <c r="F4692" s="16" t="s">
        <v>39</v>
      </c>
      <c r="G4692" s="15"/>
      <c r="H4692" s="15"/>
      <c r="I4692" s="15"/>
      <c r="J4692" s="17">
        <v>124</v>
      </c>
      <c r="K4692" s="15" t="s">
        <v>5837</v>
      </c>
      <c r="L4692" s="17">
        <v>1</v>
      </c>
      <c r="M4692" s="17">
        <v>60</v>
      </c>
      <c r="N4692" s="17">
        <v>1</v>
      </c>
      <c r="O4692" s="18">
        <v>750.15</v>
      </c>
      <c r="P4692" s="18">
        <v>614.88</v>
      </c>
      <c r="Q4692" s="18">
        <v>600.12</v>
      </c>
      <c r="R4692" s="18">
        <v>491.9</v>
      </c>
      <c r="S4692" s="18">
        <v>510.1</v>
      </c>
      <c r="T4692" s="18">
        <v>418.11</v>
      </c>
      <c r="U4692" s="16"/>
      <c r="V4692" s="16"/>
      <c r="W4692" s="16" t="s">
        <v>40</v>
      </c>
      <c r="X4692" s="19">
        <v>0.34399999999999997</v>
      </c>
      <c r="Y4692" s="20">
        <v>1.047E-3</v>
      </c>
      <c r="Z4692" s="21">
        <v>4601004287082</v>
      </c>
    </row>
    <row r="4693" spans="1:26" ht="12.95" customHeight="1" outlineLevel="2" x14ac:dyDescent="0.2">
      <c r="A4693" s="76" t="s">
        <v>9118</v>
      </c>
      <c r="B4693" s="76"/>
      <c r="C4693" s="77"/>
      <c r="D4693" s="58"/>
      <c r="E4693" s="68"/>
      <c r="F4693" s="13"/>
      <c r="G4693" s="13"/>
      <c r="H4693" s="13"/>
      <c r="I4693" s="13"/>
      <c r="J4693" s="13"/>
      <c r="K4693" s="13"/>
      <c r="L4693" s="13"/>
      <c r="M4693" s="13"/>
      <c r="N4693" s="13"/>
      <c r="O4693" s="13"/>
      <c r="P4693" s="13"/>
      <c r="Q4693" s="13"/>
      <c r="R4693" s="13"/>
      <c r="S4693" s="13"/>
      <c r="T4693" s="13"/>
      <c r="U4693" s="13"/>
      <c r="V4693" s="13"/>
      <c r="W4693" s="13"/>
      <c r="X4693" s="13"/>
      <c r="Y4693" s="13"/>
      <c r="Z4693" s="13"/>
    </row>
    <row r="4694" spans="1:26" ht="12.95" customHeight="1" outlineLevel="3" x14ac:dyDescent="0.2">
      <c r="A4694" s="76" t="s">
        <v>9119</v>
      </c>
      <c r="B4694" s="76"/>
      <c r="C4694" s="77"/>
      <c r="D4694" s="58"/>
      <c r="E4694" s="68"/>
      <c r="F4694" s="13"/>
      <c r="G4694" s="13"/>
      <c r="H4694" s="13"/>
      <c r="I4694" s="13"/>
      <c r="J4694" s="13"/>
      <c r="K4694" s="13"/>
      <c r="L4694" s="13"/>
      <c r="M4694" s="13"/>
      <c r="N4694" s="13"/>
      <c r="O4694" s="13"/>
      <c r="P4694" s="13"/>
      <c r="Q4694" s="13"/>
      <c r="R4694" s="13"/>
      <c r="S4694" s="13"/>
      <c r="T4694" s="13"/>
      <c r="U4694" s="13"/>
      <c r="V4694" s="13"/>
      <c r="W4694" s="13"/>
      <c r="X4694" s="13"/>
      <c r="Y4694" s="13"/>
      <c r="Z4694" s="13"/>
    </row>
    <row r="4695" spans="1:26" ht="12" customHeight="1" outlineLevel="4" x14ac:dyDescent="0.2">
      <c r="A4695" s="14" t="s">
        <v>9120</v>
      </c>
      <c r="B4695" s="26" t="s">
        <v>9121</v>
      </c>
      <c r="C4695" s="52"/>
      <c r="D4695" s="55">
        <f t="shared" si="73"/>
        <v>0</v>
      </c>
      <c r="E4695" s="63" t="str">
        <f>HYPERLINK("https://www.sds-group.ru/product/bita-ph-1x50-mm-dlya-shurupoverta-stal-s2-5-sht-lenta-kranz-KR-12-6212/", "Инфо")</f>
        <v>Инфо</v>
      </c>
      <c r="F4695" s="16" t="s">
        <v>39</v>
      </c>
      <c r="G4695" s="15"/>
      <c r="H4695" s="15"/>
      <c r="I4695" s="15"/>
      <c r="J4695" s="22">
        <v>2904</v>
      </c>
      <c r="K4695" s="15"/>
      <c r="L4695" s="17">
        <v>10</v>
      </c>
      <c r="M4695" s="22">
        <v>1200</v>
      </c>
      <c r="N4695" s="17">
        <v>10</v>
      </c>
      <c r="O4695" s="18">
        <v>57.54</v>
      </c>
      <c r="P4695" s="18">
        <v>47.16</v>
      </c>
      <c r="Q4695" s="18">
        <v>57.54</v>
      </c>
      <c r="R4695" s="18">
        <v>47.16</v>
      </c>
      <c r="S4695" s="18">
        <v>39.130000000000003</v>
      </c>
      <c r="T4695" s="18">
        <v>32.07</v>
      </c>
      <c r="U4695" s="16"/>
      <c r="V4695" s="16"/>
      <c r="W4695" s="16" t="s">
        <v>40</v>
      </c>
      <c r="X4695" s="19">
        <v>1.2999999999999999E-2</v>
      </c>
      <c r="Y4695" s="20">
        <v>2.8E-5</v>
      </c>
      <c r="Z4695" s="21">
        <v>4601004176768</v>
      </c>
    </row>
    <row r="4696" spans="1:26" ht="12" customHeight="1" outlineLevel="4" x14ac:dyDescent="0.2">
      <c r="A4696" s="14" t="s">
        <v>9122</v>
      </c>
      <c r="B4696" s="26" t="s">
        <v>9123</v>
      </c>
      <c r="C4696" s="52"/>
      <c r="D4696" s="55">
        <f t="shared" si="73"/>
        <v>0</v>
      </c>
      <c r="E4696" s="63" t="str">
        <f>HYPERLINK("https://www.sds-group.ru/product/bita-ph-2x50-mm-dlya-shurupoverta-stal-s2-5-sht-lenta-kranz-KR-12-6222/", "Инфо")</f>
        <v>Инфо</v>
      </c>
      <c r="F4696" s="16" t="s">
        <v>39</v>
      </c>
      <c r="G4696" s="15"/>
      <c r="H4696" s="15"/>
      <c r="I4696" s="15"/>
      <c r="J4696" s="16" t="s">
        <v>100</v>
      </c>
      <c r="K4696" s="15" t="s">
        <v>1126</v>
      </c>
      <c r="L4696" s="17">
        <v>10</v>
      </c>
      <c r="M4696" s="22">
        <v>1200</v>
      </c>
      <c r="N4696" s="17">
        <v>10</v>
      </c>
      <c r="O4696" s="18">
        <v>64.680000000000007</v>
      </c>
      <c r="P4696" s="18">
        <v>53.02</v>
      </c>
      <c r="Q4696" s="18">
        <v>51.74</v>
      </c>
      <c r="R4696" s="18">
        <v>42.41</v>
      </c>
      <c r="S4696" s="18">
        <v>43.98</v>
      </c>
      <c r="T4696" s="18">
        <v>36.049999999999997</v>
      </c>
      <c r="U4696" s="16"/>
      <c r="V4696" s="16"/>
      <c r="W4696" s="16" t="s">
        <v>40</v>
      </c>
      <c r="X4696" s="19">
        <v>1.4E-2</v>
      </c>
      <c r="Y4696" s="20">
        <v>2.1999999999999999E-5</v>
      </c>
      <c r="Z4696" s="21">
        <v>4601004176782</v>
      </c>
    </row>
    <row r="4697" spans="1:26" ht="12" customHeight="1" outlineLevel="4" x14ac:dyDescent="0.2">
      <c r="A4697" s="14" t="s">
        <v>9124</v>
      </c>
      <c r="B4697" s="26" t="s">
        <v>9125</v>
      </c>
      <c r="C4697" s="52"/>
      <c r="D4697" s="55">
        <f t="shared" si="73"/>
        <v>0</v>
      </c>
      <c r="E4697" s="63" t="str">
        <f>HYPERLINK("https://www.sds-group.ru/product/bita-ph1h50-mm-dlya-shurupoverta-upak-10-sht-kranz-KR-92-0413/", "Инфо")</f>
        <v>Инфо</v>
      </c>
      <c r="F4697" s="16" t="s">
        <v>39</v>
      </c>
      <c r="G4697" s="15"/>
      <c r="H4697" s="15"/>
      <c r="I4697" s="15"/>
      <c r="J4697" s="22">
        <v>1990</v>
      </c>
      <c r="K4697" s="15" t="s">
        <v>1126</v>
      </c>
      <c r="L4697" s="17">
        <v>10</v>
      </c>
      <c r="M4697" s="22">
        <v>1200</v>
      </c>
      <c r="N4697" s="17">
        <v>10</v>
      </c>
      <c r="O4697" s="18">
        <v>48.92</v>
      </c>
      <c r="P4697" s="18">
        <v>40.1</v>
      </c>
      <c r="Q4697" s="18">
        <v>48.92</v>
      </c>
      <c r="R4697" s="18">
        <v>40.1</v>
      </c>
      <c r="S4697" s="18">
        <v>33.270000000000003</v>
      </c>
      <c r="T4697" s="18">
        <v>27.27</v>
      </c>
      <c r="U4697" s="16"/>
      <c r="V4697" s="16"/>
      <c r="W4697" s="16" t="s">
        <v>40</v>
      </c>
      <c r="X4697" s="19">
        <v>1.0999999999999999E-2</v>
      </c>
      <c r="Y4697" s="20">
        <v>1.0000000000000001E-5</v>
      </c>
      <c r="Z4697" s="21">
        <v>4601004176775</v>
      </c>
    </row>
    <row r="4698" spans="1:26" ht="12" customHeight="1" outlineLevel="4" x14ac:dyDescent="0.2">
      <c r="A4698" s="14" t="s">
        <v>9126</v>
      </c>
      <c r="B4698" s="26" t="s">
        <v>9127</v>
      </c>
      <c r="C4698" s="52"/>
      <c r="D4698" s="55">
        <f t="shared" si="73"/>
        <v>0</v>
      </c>
      <c r="E4698" s="63" t="str">
        <f>HYPERLINK("https://www.sds-group.ru/product/bita-ph2h110-mm-dlya-shurupoverta-upak-5-sht-kranz-KR-92-0409/", "Инфо")</f>
        <v>Инфо</v>
      </c>
      <c r="F4698" s="16" t="s">
        <v>39</v>
      </c>
      <c r="G4698" s="15"/>
      <c r="H4698" s="15"/>
      <c r="I4698" s="15"/>
      <c r="J4698" s="22">
        <v>2029</v>
      </c>
      <c r="K4698" s="15" t="s">
        <v>1126</v>
      </c>
      <c r="L4698" s="17">
        <v>5</v>
      </c>
      <c r="M4698" s="17">
        <v>600</v>
      </c>
      <c r="N4698" s="17">
        <v>5</v>
      </c>
      <c r="O4698" s="18">
        <v>117.03</v>
      </c>
      <c r="P4698" s="18">
        <v>95.93</v>
      </c>
      <c r="Q4698" s="18">
        <v>117.03</v>
      </c>
      <c r="R4698" s="18">
        <v>95.93</v>
      </c>
      <c r="S4698" s="18">
        <v>79.58</v>
      </c>
      <c r="T4698" s="18">
        <v>65.23</v>
      </c>
      <c r="U4698" s="16"/>
      <c r="V4698" s="16"/>
      <c r="W4698" s="16" t="s">
        <v>40</v>
      </c>
      <c r="X4698" s="19">
        <v>2.9000000000000001E-2</v>
      </c>
      <c r="Y4698" s="20">
        <v>2.6999999999999999E-5</v>
      </c>
      <c r="Z4698" s="21">
        <v>4601004176799</v>
      </c>
    </row>
    <row r="4699" spans="1:26" ht="12" customHeight="1" outlineLevel="4" x14ac:dyDescent="0.2">
      <c r="A4699" s="14" t="s">
        <v>9128</v>
      </c>
      <c r="B4699" s="26" t="s">
        <v>9129</v>
      </c>
      <c r="C4699" s="52"/>
      <c r="D4699" s="55">
        <f t="shared" si="73"/>
        <v>0</v>
      </c>
      <c r="E4699" s="63" t="str">
        <f>HYPERLINK("https://www.sds-group.ru/product/bita-ph2h127-mm-dlya-shurupoverta-upak-5-sht-kranz-KR-92-0410/", "Инфо")</f>
        <v>Инфо</v>
      </c>
      <c r="F4699" s="16" t="s">
        <v>39</v>
      </c>
      <c r="G4699" s="15"/>
      <c r="H4699" s="15"/>
      <c r="I4699" s="15"/>
      <c r="J4699" s="22">
        <v>3090</v>
      </c>
      <c r="K4699" s="15"/>
      <c r="L4699" s="17">
        <v>5</v>
      </c>
      <c r="M4699" s="17">
        <v>600</v>
      </c>
      <c r="N4699" s="17">
        <v>5</v>
      </c>
      <c r="O4699" s="18">
        <v>112.12</v>
      </c>
      <c r="P4699" s="18">
        <v>91.9</v>
      </c>
      <c r="Q4699" s="18">
        <v>112.12</v>
      </c>
      <c r="R4699" s="18">
        <v>91.9</v>
      </c>
      <c r="S4699" s="18">
        <v>76.239999999999995</v>
      </c>
      <c r="T4699" s="18">
        <v>62.49</v>
      </c>
      <c r="U4699" s="16"/>
      <c r="V4699" s="16"/>
      <c r="W4699" s="16" t="s">
        <v>40</v>
      </c>
      <c r="X4699" s="19">
        <v>3.3000000000000002E-2</v>
      </c>
      <c r="Y4699" s="20">
        <v>2.8E-5</v>
      </c>
      <c r="Z4699" s="21">
        <v>4601004176805</v>
      </c>
    </row>
    <row r="4700" spans="1:26" ht="12" customHeight="1" outlineLevel="4" x14ac:dyDescent="0.2">
      <c r="A4700" s="14" t="s">
        <v>9130</v>
      </c>
      <c r="B4700" s="26" t="s">
        <v>9131</v>
      </c>
      <c r="C4700" s="52"/>
      <c r="D4700" s="55">
        <f t="shared" si="73"/>
        <v>0</v>
      </c>
      <c r="E4700" s="63" t="str">
        <f>HYPERLINK("https://www.sds-group.ru/product/bita-ph2h150-mm-dlya-shurupoverta-upak-10-sht-kranz-KR-92-0411/", "Инфо")</f>
        <v>Инфо</v>
      </c>
      <c r="F4700" s="16" t="s">
        <v>39</v>
      </c>
      <c r="G4700" s="15"/>
      <c r="H4700" s="15"/>
      <c r="I4700" s="15"/>
      <c r="J4700" s="22">
        <v>3510</v>
      </c>
      <c r="K4700" s="15" t="s">
        <v>1126</v>
      </c>
      <c r="L4700" s="17">
        <v>10</v>
      </c>
      <c r="M4700" s="17">
        <v>600</v>
      </c>
      <c r="N4700" s="17">
        <v>10</v>
      </c>
      <c r="O4700" s="18">
        <v>146.77000000000001</v>
      </c>
      <c r="P4700" s="18">
        <v>120.3</v>
      </c>
      <c r="Q4700" s="18">
        <v>146.77000000000001</v>
      </c>
      <c r="R4700" s="18">
        <v>120.3</v>
      </c>
      <c r="S4700" s="18">
        <v>99.8</v>
      </c>
      <c r="T4700" s="18">
        <v>81.8</v>
      </c>
      <c r="U4700" s="16"/>
      <c r="V4700" s="16"/>
      <c r="W4700" s="16" t="s">
        <v>40</v>
      </c>
      <c r="X4700" s="19">
        <v>3.7999999999999999E-2</v>
      </c>
      <c r="Y4700" s="20">
        <v>2.3E-5</v>
      </c>
      <c r="Z4700" s="21">
        <v>4601004176812</v>
      </c>
    </row>
    <row r="4701" spans="1:26" ht="12" customHeight="1" outlineLevel="4" x14ac:dyDescent="0.2">
      <c r="A4701" s="32" t="s">
        <v>9132</v>
      </c>
      <c r="B4701" s="74" t="s">
        <v>9133</v>
      </c>
      <c r="C4701" s="50"/>
      <c r="D4701" s="53">
        <f t="shared" si="73"/>
        <v>0</v>
      </c>
      <c r="E4701" s="60" t="str">
        <f>HYPERLINK("https://www.sds-group.ru/product/bita-ph2h25-mm-dlya-shurupoverta-upak-25-sht-kranz-KR-92-0414/", "Инфо")</f>
        <v>Инфо</v>
      </c>
      <c r="F4701" s="34" t="s">
        <v>39</v>
      </c>
      <c r="G4701" s="33"/>
      <c r="H4701" s="33" t="s">
        <v>40</v>
      </c>
      <c r="I4701" s="33"/>
      <c r="J4701" s="39">
        <v>12075</v>
      </c>
      <c r="K4701" s="33"/>
      <c r="L4701" s="35">
        <v>25</v>
      </c>
      <c r="M4701" s="39">
        <v>2000</v>
      </c>
      <c r="N4701" s="35">
        <v>25</v>
      </c>
      <c r="O4701" s="36">
        <v>21.4</v>
      </c>
      <c r="P4701" s="36">
        <v>17.54</v>
      </c>
      <c r="Q4701" s="36">
        <v>21.4</v>
      </c>
      <c r="R4701" s="36">
        <v>17.54</v>
      </c>
      <c r="S4701" s="36">
        <v>14.55</v>
      </c>
      <c r="T4701" s="36">
        <v>11.93</v>
      </c>
      <c r="U4701" s="34"/>
      <c r="V4701" s="34"/>
      <c r="W4701" s="34" t="s">
        <v>40</v>
      </c>
      <c r="X4701" s="37">
        <v>6.0000000000000001E-3</v>
      </c>
      <c r="Y4701" s="38">
        <v>6.9999999999999999E-6</v>
      </c>
      <c r="Z4701" s="21">
        <v>4601004176829</v>
      </c>
    </row>
    <row r="4702" spans="1:26" ht="12" customHeight="1" outlineLevel="4" x14ac:dyDescent="0.2">
      <c r="A4702" s="14" t="s">
        <v>9134</v>
      </c>
      <c r="B4702" s="26" t="s">
        <v>9135</v>
      </c>
      <c r="C4702" s="52"/>
      <c r="D4702" s="55">
        <f t="shared" si="73"/>
        <v>0</v>
      </c>
      <c r="E4702" s="63" t="str">
        <f>HYPERLINK("https://www.sds-group.ru/product/bita-ph2h50-mm-dlya-shurupoverta-upak-10-sht-kranz-KR-92-0415/", "Инфо")</f>
        <v>Инфо</v>
      </c>
      <c r="F4702" s="16" t="s">
        <v>39</v>
      </c>
      <c r="G4702" s="15"/>
      <c r="H4702" s="15"/>
      <c r="I4702" s="15"/>
      <c r="J4702" s="22">
        <v>20725</v>
      </c>
      <c r="K4702" s="15"/>
      <c r="L4702" s="17">
        <v>10</v>
      </c>
      <c r="M4702" s="22">
        <v>1200</v>
      </c>
      <c r="N4702" s="17">
        <v>10</v>
      </c>
      <c r="O4702" s="18">
        <v>46.88</v>
      </c>
      <c r="P4702" s="18">
        <v>38.43</v>
      </c>
      <c r="Q4702" s="18">
        <v>46.88</v>
      </c>
      <c r="R4702" s="18">
        <v>38.43</v>
      </c>
      <c r="S4702" s="18">
        <v>31.88</v>
      </c>
      <c r="T4702" s="18">
        <v>26.13</v>
      </c>
      <c r="U4702" s="16"/>
      <c r="V4702" s="16"/>
      <c r="W4702" s="16" t="s">
        <v>40</v>
      </c>
      <c r="X4702" s="19">
        <v>1.2999999999999999E-2</v>
      </c>
      <c r="Y4702" s="20">
        <v>1.0000000000000001E-5</v>
      </c>
      <c r="Z4702" s="21">
        <v>2000604425528</v>
      </c>
    </row>
    <row r="4703" spans="1:26" ht="12" customHeight="1" outlineLevel="4" x14ac:dyDescent="0.2">
      <c r="A4703" s="14" t="s">
        <v>9136</v>
      </c>
      <c r="B4703" s="26" t="s">
        <v>9137</v>
      </c>
      <c r="C4703" s="52"/>
      <c r="D4703" s="55">
        <f t="shared" si="73"/>
        <v>0</v>
      </c>
      <c r="E4703" s="63" t="str">
        <f>HYPERLINK("https://www.sds-group.ru/product/bita-ph2h70-mm-dlya-shurupoverta-upak-10-sht-kranz-KR-92-0416/", "Инфо")</f>
        <v>Инфо</v>
      </c>
      <c r="F4703" s="16" t="s">
        <v>39</v>
      </c>
      <c r="G4703" s="15"/>
      <c r="H4703" s="15"/>
      <c r="I4703" s="15"/>
      <c r="J4703" s="22">
        <v>3320</v>
      </c>
      <c r="K4703" s="15" t="s">
        <v>1126</v>
      </c>
      <c r="L4703" s="17">
        <v>10</v>
      </c>
      <c r="M4703" s="22">
        <v>1200</v>
      </c>
      <c r="N4703" s="17">
        <v>10</v>
      </c>
      <c r="O4703" s="18">
        <v>71.14</v>
      </c>
      <c r="P4703" s="18">
        <v>58.31</v>
      </c>
      <c r="Q4703" s="18">
        <v>67.58</v>
      </c>
      <c r="R4703" s="18">
        <v>55.39</v>
      </c>
      <c r="S4703" s="18">
        <v>48.38</v>
      </c>
      <c r="T4703" s="18">
        <v>39.659999999999997</v>
      </c>
      <c r="U4703" s="16"/>
      <c r="V4703" s="16"/>
      <c r="W4703" s="16" t="s">
        <v>40</v>
      </c>
      <c r="X4703" s="19">
        <v>1.7000000000000001E-2</v>
      </c>
      <c r="Y4703" s="20">
        <v>1.2999999999999999E-5</v>
      </c>
      <c r="Z4703" s="21">
        <v>4601004274198</v>
      </c>
    </row>
    <row r="4704" spans="1:26" ht="12" customHeight="1" outlineLevel="4" x14ac:dyDescent="0.2">
      <c r="A4704" s="14" t="s">
        <v>9138</v>
      </c>
      <c r="B4704" s="26" t="s">
        <v>9139</v>
      </c>
      <c r="C4704" s="52"/>
      <c r="D4704" s="55">
        <f t="shared" si="73"/>
        <v>0</v>
      </c>
      <c r="E4704" s="63" t="str">
        <f>HYPERLINK("https://www.sds-group.ru/product/bita-ph2h90-mm-dlya-shurupoverta-upak-5-sht-kranz-KR-92-0412/", "Инфо")</f>
        <v>Инфо</v>
      </c>
      <c r="F4704" s="16" t="s">
        <v>39</v>
      </c>
      <c r="G4704" s="15"/>
      <c r="H4704" s="15"/>
      <c r="I4704" s="15"/>
      <c r="J4704" s="22">
        <v>2044</v>
      </c>
      <c r="K4704" s="15" t="s">
        <v>1126</v>
      </c>
      <c r="L4704" s="17">
        <v>5</v>
      </c>
      <c r="M4704" s="17">
        <v>600</v>
      </c>
      <c r="N4704" s="17">
        <v>5</v>
      </c>
      <c r="O4704" s="18">
        <v>105.87</v>
      </c>
      <c r="P4704" s="18">
        <v>86.78</v>
      </c>
      <c r="Q4704" s="18">
        <v>105.87</v>
      </c>
      <c r="R4704" s="18">
        <v>86.78</v>
      </c>
      <c r="S4704" s="18">
        <v>71.989999999999995</v>
      </c>
      <c r="T4704" s="18">
        <v>59.01</v>
      </c>
      <c r="U4704" s="16"/>
      <c r="V4704" s="16"/>
      <c r="W4704" s="16" t="s">
        <v>40</v>
      </c>
      <c r="X4704" s="19">
        <v>2.5000000000000001E-2</v>
      </c>
      <c r="Y4704" s="20">
        <v>2.8E-5</v>
      </c>
      <c r="Z4704" s="21">
        <v>4601004176850</v>
      </c>
    </row>
    <row r="4705" spans="1:26" ht="12" customHeight="1" outlineLevel="4" x14ac:dyDescent="0.2">
      <c r="A4705" s="32" t="s">
        <v>9140</v>
      </c>
      <c r="B4705" s="74" t="s">
        <v>9141</v>
      </c>
      <c r="C4705" s="50"/>
      <c r="D4705" s="53">
        <f t="shared" si="73"/>
        <v>0</v>
      </c>
      <c r="E4705" s="60" t="str">
        <f>HYPERLINK("https://www.sds-group.ru/product/bita-pz-1x50-mm-dlya-shurupoverta-stal-s2-5-sht-lenta-kranz-KR-12-6312/", "Инфо")</f>
        <v>Инфо</v>
      </c>
      <c r="F4705" s="34" t="s">
        <v>39</v>
      </c>
      <c r="G4705" s="33"/>
      <c r="H4705" s="33" t="s">
        <v>40</v>
      </c>
      <c r="I4705" s="33"/>
      <c r="J4705" s="39">
        <v>1679</v>
      </c>
      <c r="K4705" s="33"/>
      <c r="L4705" s="35">
        <v>10</v>
      </c>
      <c r="M4705" s="39">
        <v>1200</v>
      </c>
      <c r="N4705" s="35">
        <v>10</v>
      </c>
      <c r="O4705" s="36">
        <v>54.79</v>
      </c>
      <c r="P4705" s="36">
        <v>44.91</v>
      </c>
      <c r="Q4705" s="36">
        <v>54.79</v>
      </c>
      <c r="R4705" s="36">
        <v>44.91</v>
      </c>
      <c r="S4705" s="36">
        <v>37.26</v>
      </c>
      <c r="T4705" s="36">
        <v>30.54</v>
      </c>
      <c r="U4705" s="34"/>
      <c r="V4705" s="34"/>
      <c r="W4705" s="34" t="s">
        <v>40</v>
      </c>
      <c r="X4705" s="37">
        <v>1.6E-2</v>
      </c>
      <c r="Y4705" s="38">
        <v>4.6E-5</v>
      </c>
      <c r="Z4705" s="21">
        <v>4601004176874</v>
      </c>
    </row>
    <row r="4706" spans="1:26" ht="12" customHeight="1" outlineLevel="4" x14ac:dyDescent="0.2">
      <c r="A4706" s="14" t="s">
        <v>9142</v>
      </c>
      <c r="B4706" s="26" t="s">
        <v>9143</v>
      </c>
      <c r="C4706" s="52"/>
      <c r="D4706" s="55">
        <f t="shared" si="73"/>
        <v>0</v>
      </c>
      <c r="E4706" s="63" t="str">
        <f>HYPERLINK("https://www.sds-group.ru/product/bita-pz-2x50-mm-dlya-shurupoverta-stal-s2-5-sht-lenta-kranz-KR-12-6322/", "Инфо")</f>
        <v>Инфо</v>
      </c>
      <c r="F4706" s="16" t="s">
        <v>39</v>
      </c>
      <c r="G4706" s="15"/>
      <c r="H4706" s="15"/>
      <c r="I4706" s="15"/>
      <c r="J4706" s="22">
        <v>3230</v>
      </c>
      <c r="K4706" s="15"/>
      <c r="L4706" s="17">
        <v>10</v>
      </c>
      <c r="M4706" s="22">
        <v>1200</v>
      </c>
      <c r="N4706" s="17">
        <v>10</v>
      </c>
      <c r="O4706" s="18">
        <v>57.08</v>
      </c>
      <c r="P4706" s="18">
        <v>46.79</v>
      </c>
      <c r="Q4706" s="18">
        <v>57.08</v>
      </c>
      <c r="R4706" s="18">
        <v>46.79</v>
      </c>
      <c r="S4706" s="18">
        <v>38.81</v>
      </c>
      <c r="T4706" s="18">
        <v>31.81</v>
      </c>
      <c r="U4706" s="16"/>
      <c r="V4706" s="16"/>
      <c r="W4706" s="16" t="s">
        <v>40</v>
      </c>
      <c r="X4706" s="19">
        <v>1.4999999999999999E-2</v>
      </c>
      <c r="Y4706" s="20">
        <v>2.8E-5</v>
      </c>
      <c r="Z4706" s="21">
        <v>4601004176898</v>
      </c>
    </row>
    <row r="4707" spans="1:26" ht="12" customHeight="1" outlineLevel="4" x14ac:dyDescent="0.2">
      <c r="A4707" s="14" t="s">
        <v>9144</v>
      </c>
      <c r="B4707" s="26" t="s">
        <v>9145</v>
      </c>
      <c r="C4707" s="52"/>
      <c r="D4707" s="55">
        <f t="shared" si="73"/>
        <v>0</v>
      </c>
      <c r="E4707" s="63" t="str">
        <f>HYPERLINK("https://www.sds-group.ru/product/bita-pz1h50-mm-dlya-shurupoverta-upak-10-sht-kranz-KR-92-0418/", "Инфо")</f>
        <v>Инфо</v>
      </c>
      <c r="F4707" s="16" t="s">
        <v>39</v>
      </c>
      <c r="G4707" s="15"/>
      <c r="H4707" s="15"/>
      <c r="I4707" s="15"/>
      <c r="J4707" s="22">
        <v>11110</v>
      </c>
      <c r="K4707" s="15"/>
      <c r="L4707" s="17">
        <v>10</v>
      </c>
      <c r="M4707" s="22">
        <v>1200</v>
      </c>
      <c r="N4707" s="17">
        <v>10</v>
      </c>
      <c r="O4707" s="18">
        <v>48.92</v>
      </c>
      <c r="P4707" s="18">
        <v>40.1</v>
      </c>
      <c r="Q4707" s="18">
        <v>48.92</v>
      </c>
      <c r="R4707" s="18">
        <v>40.1</v>
      </c>
      <c r="S4707" s="18">
        <v>33.270000000000003</v>
      </c>
      <c r="T4707" s="18">
        <v>27.27</v>
      </c>
      <c r="U4707" s="16"/>
      <c r="V4707" s="16"/>
      <c r="W4707" s="16" t="s">
        <v>40</v>
      </c>
      <c r="X4707" s="19">
        <v>1.0999999999999999E-2</v>
      </c>
      <c r="Y4707" s="20">
        <v>1.1E-5</v>
      </c>
      <c r="Z4707" s="21">
        <v>4601004208087</v>
      </c>
    </row>
    <row r="4708" spans="1:26" ht="12" customHeight="1" outlineLevel="4" x14ac:dyDescent="0.2">
      <c r="A4708" s="14" t="s">
        <v>9146</v>
      </c>
      <c r="B4708" s="26" t="s">
        <v>9147</v>
      </c>
      <c r="C4708" s="52"/>
      <c r="D4708" s="55">
        <f t="shared" si="73"/>
        <v>0</v>
      </c>
      <c r="E4708" s="63" t="str">
        <f>HYPERLINK("https://www.sds-group.ru/product/bita-torx-t-10h50-mm-dlya-shurupoverta-upak-10-sht-kranz-KR-92-0425/", "Инфо")</f>
        <v>Инфо</v>
      </c>
      <c r="F4708" s="16" t="s">
        <v>39</v>
      </c>
      <c r="G4708" s="15"/>
      <c r="H4708" s="15"/>
      <c r="I4708" s="15"/>
      <c r="J4708" s="22">
        <v>1200</v>
      </c>
      <c r="K4708" s="15"/>
      <c r="L4708" s="17">
        <v>10</v>
      </c>
      <c r="M4708" s="22">
        <v>1200</v>
      </c>
      <c r="N4708" s="17">
        <v>10</v>
      </c>
      <c r="O4708" s="18">
        <v>54.19</v>
      </c>
      <c r="P4708" s="18">
        <v>44.42</v>
      </c>
      <c r="Q4708" s="18">
        <v>54.19</v>
      </c>
      <c r="R4708" s="18">
        <v>44.42</v>
      </c>
      <c r="S4708" s="18">
        <v>36.85</v>
      </c>
      <c r="T4708" s="18">
        <v>30.2</v>
      </c>
      <c r="U4708" s="16"/>
      <c r="V4708" s="16"/>
      <c r="W4708" s="16" t="s">
        <v>40</v>
      </c>
      <c r="X4708" s="19">
        <v>0.01</v>
      </c>
      <c r="Y4708" s="20">
        <v>1.1E-5</v>
      </c>
      <c r="Z4708" s="21">
        <v>4601004274174</v>
      </c>
    </row>
    <row r="4709" spans="1:26" ht="12" customHeight="1" outlineLevel="4" x14ac:dyDescent="0.2">
      <c r="A4709" s="14" t="s">
        <v>9148</v>
      </c>
      <c r="B4709" s="26" t="s">
        <v>9149</v>
      </c>
      <c r="C4709" s="52"/>
      <c r="D4709" s="55">
        <f t="shared" si="73"/>
        <v>0</v>
      </c>
      <c r="E4709" s="63" t="str">
        <f>HYPERLINK("https://www.sds-group.ru/product/bita-torx-t-15h50-mm-dlya-shurupoverta-upak-10-sht-kranz-KR-92-0426/", "Инфо")</f>
        <v>Инфо</v>
      </c>
      <c r="F4709" s="16" t="s">
        <v>39</v>
      </c>
      <c r="G4709" s="15"/>
      <c r="H4709" s="15"/>
      <c r="I4709" s="15"/>
      <c r="J4709" s="22">
        <v>1990</v>
      </c>
      <c r="K4709" s="15" t="s">
        <v>1126</v>
      </c>
      <c r="L4709" s="17">
        <v>10</v>
      </c>
      <c r="M4709" s="22">
        <v>1200</v>
      </c>
      <c r="N4709" s="17">
        <v>10</v>
      </c>
      <c r="O4709" s="18">
        <v>54.19</v>
      </c>
      <c r="P4709" s="18">
        <v>44.42</v>
      </c>
      <c r="Q4709" s="18">
        <v>54.19</v>
      </c>
      <c r="R4709" s="18">
        <v>44.42</v>
      </c>
      <c r="S4709" s="18">
        <v>36.85</v>
      </c>
      <c r="T4709" s="18">
        <v>30.2</v>
      </c>
      <c r="U4709" s="16"/>
      <c r="V4709" s="16"/>
      <c r="W4709" s="16" t="s">
        <v>40</v>
      </c>
      <c r="X4709" s="19">
        <v>0.01</v>
      </c>
      <c r="Y4709" s="20">
        <v>1.1E-5</v>
      </c>
      <c r="Z4709" s="21">
        <v>4601004176935</v>
      </c>
    </row>
    <row r="4710" spans="1:26" ht="12" customHeight="1" outlineLevel="4" x14ac:dyDescent="0.2">
      <c r="A4710" s="14" t="s">
        <v>9150</v>
      </c>
      <c r="B4710" s="26" t="s">
        <v>9151</v>
      </c>
      <c r="C4710" s="52"/>
      <c r="D4710" s="55">
        <f t="shared" si="73"/>
        <v>0</v>
      </c>
      <c r="E4710" s="63" t="str">
        <f>HYPERLINK("https://www.sds-group.ru/product/bita-torx-t-20h50-mm-dlya-shurupoverta-upak-10-sht-kranz-KR-92-0427/", "Инфо")</f>
        <v>Инфо</v>
      </c>
      <c r="F4710" s="16" t="s">
        <v>39</v>
      </c>
      <c r="G4710" s="15"/>
      <c r="H4710" s="15"/>
      <c r="I4710" s="15"/>
      <c r="J4710" s="22">
        <v>3138</v>
      </c>
      <c r="K4710" s="15"/>
      <c r="L4710" s="17">
        <v>10</v>
      </c>
      <c r="M4710" s="22">
        <v>1200</v>
      </c>
      <c r="N4710" s="17">
        <v>10</v>
      </c>
      <c r="O4710" s="18">
        <v>44.85</v>
      </c>
      <c r="P4710" s="18">
        <v>36.76</v>
      </c>
      <c r="Q4710" s="18">
        <v>44.85</v>
      </c>
      <c r="R4710" s="18">
        <v>36.76</v>
      </c>
      <c r="S4710" s="18">
        <v>30.5</v>
      </c>
      <c r="T4710" s="18">
        <v>25</v>
      </c>
      <c r="U4710" s="16"/>
      <c r="V4710" s="16"/>
      <c r="W4710" s="16" t="s">
        <v>40</v>
      </c>
      <c r="X4710" s="19">
        <v>1.0999999999999999E-2</v>
      </c>
      <c r="Y4710" s="20">
        <v>1.0000000000000001E-5</v>
      </c>
      <c r="Z4710" s="21">
        <v>4601004274204</v>
      </c>
    </row>
    <row r="4711" spans="1:26" ht="12" customHeight="1" outlineLevel="4" x14ac:dyDescent="0.2">
      <c r="A4711" s="14" t="s">
        <v>9152</v>
      </c>
      <c r="B4711" s="26" t="s">
        <v>9153</v>
      </c>
      <c r="C4711" s="52"/>
      <c r="D4711" s="55">
        <f t="shared" si="73"/>
        <v>0</v>
      </c>
      <c r="E4711" s="63" t="str">
        <f>HYPERLINK("https://www.sds-group.ru/product/bita-torx-t-25h50-mm-dlya-shurupoverta-upak-10-sht-kranz-KR-92-0428/", "Инфо")</f>
        <v>Инфо</v>
      </c>
      <c r="F4711" s="16" t="s">
        <v>39</v>
      </c>
      <c r="G4711" s="15"/>
      <c r="H4711" s="15"/>
      <c r="I4711" s="15"/>
      <c r="J4711" s="16" t="s">
        <v>100</v>
      </c>
      <c r="K4711" s="15" t="s">
        <v>1126</v>
      </c>
      <c r="L4711" s="17">
        <v>10</v>
      </c>
      <c r="M4711" s="22">
        <v>1200</v>
      </c>
      <c r="N4711" s="17">
        <v>10</v>
      </c>
      <c r="O4711" s="18">
        <v>54.19</v>
      </c>
      <c r="P4711" s="18">
        <v>44.42</v>
      </c>
      <c r="Q4711" s="18">
        <v>54.19</v>
      </c>
      <c r="R4711" s="18">
        <v>44.42</v>
      </c>
      <c r="S4711" s="18">
        <v>36.85</v>
      </c>
      <c r="T4711" s="18">
        <v>30.2</v>
      </c>
      <c r="U4711" s="16"/>
      <c r="V4711" s="16"/>
      <c r="W4711" s="16" t="s">
        <v>40</v>
      </c>
      <c r="X4711" s="19">
        <v>1.0999999999999999E-2</v>
      </c>
      <c r="Y4711" s="20">
        <v>1.1E-5</v>
      </c>
      <c r="Z4711" s="21">
        <v>4601004274211</v>
      </c>
    </row>
    <row r="4712" spans="1:26" ht="12" customHeight="1" outlineLevel="4" x14ac:dyDescent="0.2">
      <c r="A4712" s="32" t="s">
        <v>9154</v>
      </c>
      <c r="B4712" s="74" t="s">
        <v>9155</v>
      </c>
      <c r="C4712" s="50"/>
      <c r="D4712" s="53">
        <f t="shared" si="73"/>
        <v>0</v>
      </c>
      <c r="E4712" s="60" t="str">
        <f>HYPERLINK("https://www.sds-group.ru/product/bita-torx-t-27h50-mm-dlya-shurupoverta-upak-10-sht-kranz-KR-92-0429/", "Инфо")</f>
        <v>Инфо</v>
      </c>
      <c r="F4712" s="34" t="s">
        <v>39</v>
      </c>
      <c r="G4712" s="33"/>
      <c r="H4712" s="33" t="s">
        <v>40</v>
      </c>
      <c r="I4712" s="33"/>
      <c r="J4712" s="39">
        <v>1200</v>
      </c>
      <c r="K4712" s="33"/>
      <c r="L4712" s="35">
        <v>10</v>
      </c>
      <c r="M4712" s="39">
        <v>1200</v>
      </c>
      <c r="N4712" s="35">
        <v>10</v>
      </c>
      <c r="O4712" s="36">
        <v>46.88</v>
      </c>
      <c r="P4712" s="36">
        <v>38.43</v>
      </c>
      <c r="Q4712" s="36">
        <v>46.88</v>
      </c>
      <c r="R4712" s="36">
        <v>38.43</v>
      </c>
      <c r="S4712" s="36">
        <v>31.88</v>
      </c>
      <c r="T4712" s="36">
        <v>26.13</v>
      </c>
      <c r="U4712" s="34"/>
      <c r="V4712" s="34"/>
      <c r="W4712" s="34" t="s">
        <v>40</v>
      </c>
      <c r="X4712" s="37">
        <v>1.2999999999999999E-2</v>
      </c>
      <c r="Y4712" s="38">
        <v>1.1E-5</v>
      </c>
      <c r="Z4712" s="21">
        <v>4601004176966</v>
      </c>
    </row>
    <row r="4713" spans="1:26" ht="12" customHeight="1" outlineLevel="4" x14ac:dyDescent="0.2">
      <c r="A4713" s="14" t="s">
        <v>9156</v>
      </c>
      <c r="B4713" s="26" t="s">
        <v>9157</v>
      </c>
      <c r="C4713" s="52"/>
      <c r="D4713" s="55">
        <f t="shared" si="73"/>
        <v>0</v>
      </c>
      <c r="E4713" s="63" t="str">
        <f>HYPERLINK("https://www.sds-group.ru/product/bita-shestigrannaya-hex-3h50-mm-dlya-shurupoverta-upak-10-sht-kranz-KR-92-0421/", "Инфо")</f>
        <v>Инфо</v>
      </c>
      <c r="F4713" s="16" t="s">
        <v>39</v>
      </c>
      <c r="G4713" s="15"/>
      <c r="H4713" s="15"/>
      <c r="I4713" s="15"/>
      <c r="J4713" s="16" t="s">
        <v>100</v>
      </c>
      <c r="K4713" s="15" t="s">
        <v>1126</v>
      </c>
      <c r="L4713" s="17">
        <v>10</v>
      </c>
      <c r="M4713" s="22">
        <v>1200</v>
      </c>
      <c r="N4713" s="17">
        <v>10</v>
      </c>
      <c r="O4713" s="18">
        <v>49.86</v>
      </c>
      <c r="P4713" s="18">
        <v>40.869999999999997</v>
      </c>
      <c r="Q4713" s="18">
        <v>49.86</v>
      </c>
      <c r="R4713" s="18">
        <v>40.869999999999997</v>
      </c>
      <c r="S4713" s="18">
        <v>33.9</v>
      </c>
      <c r="T4713" s="18">
        <v>27.79</v>
      </c>
      <c r="U4713" s="16"/>
      <c r="V4713" s="16"/>
      <c r="W4713" s="16" t="s">
        <v>40</v>
      </c>
      <c r="X4713" s="19">
        <v>0.01</v>
      </c>
      <c r="Y4713" s="20">
        <v>1.1E-5</v>
      </c>
      <c r="Z4713" s="21">
        <v>4601004176997</v>
      </c>
    </row>
    <row r="4714" spans="1:26" ht="12" customHeight="1" outlineLevel="4" x14ac:dyDescent="0.2">
      <c r="A4714" s="14" t="s">
        <v>9158</v>
      </c>
      <c r="B4714" s="26" t="s">
        <v>9159</v>
      </c>
      <c r="C4714" s="52"/>
      <c r="D4714" s="55">
        <f t="shared" si="73"/>
        <v>0</v>
      </c>
      <c r="E4714" s="63" t="str">
        <f>HYPERLINK("https://www.sds-group.ru/product/bita-shestigrannaya-hex-4h50-mm-dlya-shurupoverta-upak-10-sht-kranz-KR-92-0422/", "Инфо")</f>
        <v>Инфо</v>
      </c>
      <c r="F4714" s="16" t="s">
        <v>39</v>
      </c>
      <c r="G4714" s="15"/>
      <c r="H4714" s="15"/>
      <c r="I4714" s="15"/>
      <c r="J4714" s="22">
        <v>2030</v>
      </c>
      <c r="K4714" s="15" t="s">
        <v>1126</v>
      </c>
      <c r="L4714" s="17">
        <v>10</v>
      </c>
      <c r="M4714" s="22">
        <v>1200</v>
      </c>
      <c r="N4714" s="17">
        <v>10</v>
      </c>
      <c r="O4714" s="18">
        <v>48.01</v>
      </c>
      <c r="P4714" s="18">
        <v>39.35</v>
      </c>
      <c r="Q4714" s="18">
        <v>48.01</v>
      </c>
      <c r="R4714" s="18">
        <v>39.35</v>
      </c>
      <c r="S4714" s="18">
        <v>32.65</v>
      </c>
      <c r="T4714" s="18">
        <v>26.76</v>
      </c>
      <c r="U4714" s="16"/>
      <c r="V4714" s="16"/>
      <c r="W4714" s="16" t="s">
        <v>40</v>
      </c>
      <c r="X4714" s="19">
        <v>1.0999999999999999E-2</v>
      </c>
      <c r="Y4714" s="20">
        <v>1.0000000000000001E-5</v>
      </c>
      <c r="Z4714" s="21">
        <v>4601004177000</v>
      </c>
    </row>
    <row r="4715" spans="1:26" ht="12" customHeight="1" outlineLevel="4" x14ac:dyDescent="0.2">
      <c r="A4715" s="14" t="s">
        <v>9160</v>
      </c>
      <c r="B4715" s="26" t="s">
        <v>9161</v>
      </c>
      <c r="C4715" s="52"/>
      <c r="D4715" s="55">
        <f t="shared" si="73"/>
        <v>0</v>
      </c>
      <c r="E4715" s="63" t="str">
        <f>HYPERLINK("https://www.sds-group.ru/product/bita-shestigrannaya-hex-6h50-mm-dlya-shurupoverta-upak-10-sht-kranz-KR-92-0424/", "Инфо")</f>
        <v>Инфо</v>
      </c>
      <c r="F4715" s="16" t="s">
        <v>39</v>
      </c>
      <c r="G4715" s="15"/>
      <c r="H4715" s="15"/>
      <c r="I4715" s="15"/>
      <c r="J4715" s="22">
        <v>1210</v>
      </c>
      <c r="K4715" s="15"/>
      <c r="L4715" s="17">
        <v>10</v>
      </c>
      <c r="M4715" s="22">
        <v>1200</v>
      </c>
      <c r="N4715" s="17">
        <v>10</v>
      </c>
      <c r="O4715" s="18">
        <v>67.14</v>
      </c>
      <c r="P4715" s="18">
        <v>55.03</v>
      </c>
      <c r="Q4715" s="18">
        <v>67.14</v>
      </c>
      <c r="R4715" s="18">
        <v>55.03</v>
      </c>
      <c r="S4715" s="18">
        <v>45.66</v>
      </c>
      <c r="T4715" s="18">
        <v>37.43</v>
      </c>
      <c r="U4715" s="16"/>
      <c r="V4715" s="16"/>
      <c r="W4715" s="16" t="s">
        <v>40</v>
      </c>
      <c r="X4715" s="19">
        <v>1.4E-2</v>
      </c>
      <c r="Y4715" s="20">
        <v>1.1E-5</v>
      </c>
      <c r="Z4715" s="21">
        <v>4601004208100</v>
      </c>
    </row>
    <row r="4716" spans="1:26" ht="12.95" customHeight="1" outlineLevel="3" x14ac:dyDescent="0.2">
      <c r="A4716" s="76" t="s">
        <v>9162</v>
      </c>
      <c r="B4716" s="76"/>
      <c r="C4716" s="77"/>
      <c r="D4716" s="58"/>
      <c r="E4716" s="68"/>
      <c r="F4716" s="13"/>
      <c r="G4716" s="13"/>
      <c r="H4716" s="13"/>
      <c r="I4716" s="13"/>
      <c r="J4716" s="13"/>
      <c r="K4716" s="13"/>
      <c r="L4716" s="13"/>
      <c r="M4716" s="13"/>
      <c r="N4716" s="13"/>
      <c r="O4716" s="13"/>
      <c r="P4716" s="13"/>
      <c r="Q4716" s="13"/>
      <c r="R4716" s="13"/>
      <c r="S4716" s="13"/>
      <c r="T4716" s="13"/>
      <c r="U4716" s="13"/>
      <c r="V4716" s="13"/>
      <c r="W4716" s="13"/>
      <c r="X4716" s="13"/>
      <c r="Y4716" s="13"/>
      <c r="Z4716" s="13"/>
    </row>
    <row r="4717" spans="1:26" ht="12" customHeight="1" outlineLevel="4" x14ac:dyDescent="0.2">
      <c r="A4717" s="14" t="s">
        <v>9163</v>
      </c>
      <c r="B4717" s="26" t="s">
        <v>9164</v>
      </c>
      <c r="C4717" s="52"/>
      <c r="D4717" s="55">
        <f t="shared" si="73"/>
        <v>0</v>
      </c>
      <c r="E4717" s="63" t="str">
        <f>HYPERLINK("https://www.sds-group.ru/product/nabor-dlya-zachistki-provodov-myagkiy-chehol-6-predmetov-kranz-KR-92-0460-1/", "Инфо")</f>
        <v>Инфо</v>
      </c>
      <c r="F4717" s="16" t="s">
        <v>4698</v>
      </c>
      <c r="G4717" s="15"/>
      <c r="H4717" s="15"/>
      <c r="I4717" s="15"/>
      <c r="J4717" s="17">
        <v>174</v>
      </c>
      <c r="K4717" s="15" t="s">
        <v>979</v>
      </c>
      <c r="L4717" s="17">
        <v>1</v>
      </c>
      <c r="M4717" s="17">
        <v>60</v>
      </c>
      <c r="N4717" s="17">
        <v>1</v>
      </c>
      <c r="O4717" s="18">
        <v>3710</v>
      </c>
      <c r="P4717" s="18">
        <v>3040.98</v>
      </c>
      <c r="Q4717" s="18">
        <v>2968</v>
      </c>
      <c r="R4717" s="18">
        <v>2432.79</v>
      </c>
      <c r="S4717" s="18">
        <v>2522.8000000000002</v>
      </c>
      <c r="T4717" s="18">
        <v>2067.87</v>
      </c>
      <c r="U4717" s="16"/>
      <c r="V4717" s="16"/>
      <c r="W4717" s="16" t="s">
        <v>40</v>
      </c>
      <c r="X4717" s="19">
        <v>0.28999999999999998</v>
      </c>
      <c r="Y4717" s="20">
        <v>1.506E-3</v>
      </c>
      <c r="Z4717" s="21">
        <v>4601004312715</v>
      </c>
    </row>
    <row r="4718" spans="1:26" ht="12" customHeight="1" outlineLevel="4" x14ac:dyDescent="0.2">
      <c r="A4718" s="40" t="s">
        <v>9165</v>
      </c>
      <c r="B4718" s="75" t="s">
        <v>9166</v>
      </c>
      <c r="C4718" s="51"/>
      <c r="D4718" s="54">
        <f t="shared" si="73"/>
        <v>0</v>
      </c>
      <c r="E4718" s="61" t="str">
        <f>HYPERLINK("https://www.sds-group.ru/product/nabor-sverl-kombinirovannyy-10-predmetov-kranz-KR-92-0470/", "Инфо")</f>
        <v>Инфо</v>
      </c>
      <c r="F4718" s="42" t="s">
        <v>39</v>
      </c>
      <c r="G4718" s="41" t="s">
        <v>40</v>
      </c>
      <c r="H4718" s="41"/>
      <c r="I4718" s="41"/>
      <c r="J4718" s="43">
        <v>43</v>
      </c>
      <c r="K4718" s="41" t="s">
        <v>6344</v>
      </c>
      <c r="L4718" s="43">
        <v>1</v>
      </c>
      <c r="M4718" s="43">
        <v>35</v>
      </c>
      <c r="N4718" s="43">
        <v>1</v>
      </c>
      <c r="O4718" s="44">
        <v>1293.6199999999999</v>
      </c>
      <c r="P4718" s="44">
        <v>1060.3399999999999</v>
      </c>
      <c r="Q4718" s="44">
        <v>1099.58</v>
      </c>
      <c r="R4718" s="44">
        <v>901.3</v>
      </c>
      <c r="S4718" s="44">
        <v>879.66</v>
      </c>
      <c r="T4718" s="44">
        <v>721.03</v>
      </c>
      <c r="U4718" s="42"/>
      <c r="V4718" s="42"/>
      <c r="W4718" s="42" t="s">
        <v>40</v>
      </c>
      <c r="X4718" s="45">
        <v>0.27300000000000002</v>
      </c>
      <c r="Y4718" s="46">
        <v>5.3300000000000005E-4</v>
      </c>
      <c r="Z4718" s="21">
        <v>4601004336094</v>
      </c>
    </row>
    <row r="4719" spans="1:26" ht="12.95" customHeight="1" outlineLevel="3" x14ac:dyDescent="0.2">
      <c r="A4719" s="76" t="s">
        <v>9167</v>
      </c>
      <c r="B4719" s="76"/>
      <c r="C4719" s="77"/>
      <c r="D4719" s="58"/>
      <c r="E4719" s="68"/>
      <c r="F4719" s="13"/>
      <c r="G4719" s="13"/>
      <c r="H4719" s="13"/>
      <c r="I4719" s="13"/>
      <c r="J4719" s="13"/>
      <c r="K4719" s="13"/>
      <c r="L4719" s="13"/>
      <c r="M4719" s="13"/>
      <c r="N4719" s="13"/>
      <c r="O4719" s="13"/>
      <c r="P4719" s="13"/>
      <c r="Q4719" s="13"/>
      <c r="R4719" s="13"/>
      <c r="S4719" s="13"/>
      <c r="T4719" s="13"/>
      <c r="U4719" s="13"/>
      <c r="V4719" s="13"/>
      <c r="W4719" s="13"/>
      <c r="X4719" s="13"/>
      <c r="Y4719" s="13"/>
      <c r="Z4719" s="13"/>
    </row>
    <row r="4720" spans="1:26" ht="12" customHeight="1" outlineLevel="4" x14ac:dyDescent="0.2">
      <c r="A4720" s="14" t="s">
        <v>9168</v>
      </c>
      <c r="B4720" s="26" t="s">
        <v>9169</v>
      </c>
      <c r="C4720" s="52"/>
      <c r="D4720" s="55">
        <f t="shared" si="73"/>
        <v>0</v>
      </c>
      <c r="E4720" s="63" t="str">
        <f>HYPERLINK("https://www.sds-group.ru/product/mini-nabor-bit-dvuhstoronnih-ph2xph2-ph1xph3-50-mm-2-bity-na-blistere-kranz-KR-92-0452/", "Инфо")</f>
        <v>Инфо</v>
      </c>
      <c r="F4720" s="16" t="s">
        <v>1001</v>
      </c>
      <c r="G4720" s="15"/>
      <c r="H4720" s="15"/>
      <c r="I4720" s="15"/>
      <c r="J4720" s="22">
        <v>7453</v>
      </c>
      <c r="K4720" s="15"/>
      <c r="L4720" s="17">
        <v>5</v>
      </c>
      <c r="M4720" s="17">
        <v>400</v>
      </c>
      <c r="N4720" s="17">
        <v>5</v>
      </c>
      <c r="O4720" s="18">
        <v>167.29</v>
      </c>
      <c r="P4720" s="18">
        <v>137.12</v>
      </c>
      <c r="Q4720" s="18">
        <v>167.29</v>
      </c>
      <c r="R4720" s="18">
        <v>137.12</v>
      </c>
      <c r="S4720" s="18">
        <v>113.76</v>
      </c>
      <c r="T4720" s="18">
        <v>93.25</v>
      </c>
      <c r="U4720" s="16"/>
      <c r="V4720" s="16"/>
      <c r="W4720" s="16" t="s">
        <v>40</v>
      </c>
      <c r="X4720" s="19">
        <v>2.5999999999999999E-2</v>
      </c>
      <c r="Y4720" s="20">
        <v>5.1999999999999997E-5</v>
      </c>
      <c r="Z4720" s="21">
        <v>4601004201187</v>
      </c>
    </row>
    <row r="4721" spans="1:26" ht="12" customHeight="1" outlineLevel="4" x14ac:dyDescent="0.2">
      <c r="A4721" s="14" t="s">
        <v>9170</v>
      </c>
      <c r="B4721" s="26" t="s">
        <v>9171</v>
      </c>
      <c r="C4721" s="52"/>
      <c r="D4721" s="55">
        <f t="shared" si="73"/>
        <v>0</v>
      </c>
      <c r="E4721" s="63" t="str">
        <f>HYPERLINK("https://www.sds-group.ru/product/mini-nabor-bit-dvuhstoronnih-pz2xpz2-pz1xpz3-50-mm-2-bity-na-blistere-kranz-KR-92-0453/", "Инфо")</f>
        <v>Инфо</v>
      </c>
      <c r="F4721" s="16" t="s">
        <v>1001</v>
      </c>
      <c r="G4721" s="15"/>
      <c r="H4721" s="15"/>
      <c r="I4721" s="15"/>
      <c r="J4721" s="22">
        <v>2887</v>
      </c>
      <c r="K4721" s="15"/>
      <c r="L4721" s="17">
        <v>5</v>
      </c>
      <c r="M4721" s="17">
        <v>400</v>
      </c>
      <c r="N4721" s="17">
        <v>5</v>
      </c>
      <c r="O4721" s="18">
        <v>150.71</v>
      </c>
      <c r="P4721" s="18">
        <v>123.53</v>
      </c>
      <c r="Q4721" s="18">
        <v>150.71</v>
      </c>
      <c r="R4721" s="18">
        <v>123.53</v>
      </c>
      <c r="S4721" s="18">
        <v>102.48</v>
      </c>
      <c r="T4721" s="18">
        <v>84</v>
      </c>
      <c r="U4721" s="16"/>
      <c r="V4721" s="16"/>
      <c r="W4721" s="16" t="s">
        <v>40</v>
      </c>
      <c r="X4721" s="19">
        <v>2.5000000000000001E-2</v>
      </c>
      <c r="Y4721" s="20">
        <v>5.5000000000000002E-5</v>
      </c>
      <c r="Z4721" s="21">
        <v>4601004201194</v>
      </c>
    </row>
    <row r="4722" spans="1:26" ht="12" customHeight="1" outlineLevel="4" x14ac:dyDescent="0.2">
      <c r="A4722" s="14" t="s">
        <v>9172</v>
      </c>
      <c r="B4722" s="26" t="s">
        <v>9173</v>
      </c>
      <c r="C4722" s="52"/>
      <c r="D4722" s="55">
        <f t="shared" si="73"/>
        <v>0</v>
      </c>
      <c r="E4722" s="63" t="str">
        <f>HYPERLINK("https://www.sds-group.ru/product/nabor-bit-25-mm-ph1-ph2-pz1-pz2-sl5-5-t30-s-magnitnym-derzhatelem-7-sht-up-kranz-KR-92-0433/", "Инфо")</f>
        <v>Инфо</v>
      </c>
      <c r="F4722" s="16" t="s">
        <v>1001</v>
      </c>
      <c r="G4722" s="15"/>
      <c r="H4722" s="15"/>
      <c r="I4722" s="15"/>
      <c r="J4722" s="22">
        <v>2402</v>
      </c>
      <c r="K4722" s="15"/>
      <c r="L4722" s="17">
        <v>5</v>
      </c>
      <c r="M4722" s="17">
        <v>80</v>
      </c>
      <c r="N4722" s="17">
        <v>5</v>
      </c>
      <c r="O4722" s="18">
        <v>355.66</v>
      </c>
      <c r="P4722" s="18">
        <v>291.52</v>
      </c>
      <c r="Q4722" s="18">
        <v>355.66</v>
      </c>
      <c r="R4722" s="18">
        <v>291.52</v>
      </c>
      <c r="S4722" s="18">
        <v>241.85</v>
      </c>
      <c r="T4722" s="18">
        <v>198.24</v>
      </c>
      <c r="U4722" s="16"/>
      <c r="V4722" s="16"/>
      <c r="W4722" s="16" t="s">
        <v>40</v>
      </c>
      <c r="X4722" s="19">
        <v>8.4000000000000005E-2</v>
      </c>
      <c r="Y4722" s="20">
        <v>2.1499999999999999E-4</v>
      </c>
      <c r="Z4722" s="21">
        <v>4601004201170</v>
      </c>
    </row>
    <row r="4723" spans="1:26" ht="12" customHeight="1" outlineLevel="4" x14ac:dyDescent="0.2">
      <c r="A4723" s="14" t="s">
        <v>9174</v>
      </c>
      <c r="B4723" s="26" t="s">
        <v>9175</v>
      </c>
      <c r="C4723" s="52"/>
      <c r="D4723" s="55">
        <f t="shared" si="73"/>
        <v>0</v>
      </c>
      <c r="E4723" s="63" t="str">
        <f>HYPERLINK("https://www.sds-group.ru/product/nabor-bit-s-magnitnym-derzhatelem-25-50-mm-49-sht-50-sht-up-kranz-KR-92-0462/", "Инфо")</f>
        <v>Инфо</v>
      </c>
      <c r="F4723" s="16" t="s">
        <v>1001</v>
      </c>
      <c r="G4723" s="15"/>
      <c r="H4723" s="15"/>
      <c r="I4723" s="15"/>
      <c r="J4723" s="22">
        <v>8903</v>
      </c>
      <c r="K4723" s="15"/>
      <c r="L4723" s="17">
        <v>1</v>
      </c>
      <c r="M4723" s="17">
        <v>40</v>
      </c>
      <c r="N4723" s="17">
        <v>1</v>
      </c>
      <c r="O4723" s="18">
        <v>1802</v>
      </c>
      <c r="P4723" s="18">
        <v>1477.05</v>
      </c>
      <c r="Q4723" s="18">
        <v>1261.4000000000001</v>
      </c>
      <c r="R4723" s="18">
        <v>1033.93</v>
      </c>
      <c r="S4723" s="18">
        <v>1225.3599999999999</v>
      </c>
      <c r="T4723" s="18">
        <v>1004.39</v>
      </c>
      <c r="U4723" s="16"/>
      <c r="V4723" s="16"/>
      <c r="W4723" s="16" t="s">
        <v>40</v>
      </c>
      <c r="X4723" s="19">
        <v>0.47599999999999998</v>
      </c>
      <c r="Y4723" s="20">
        <v>7.36E-4</v>
      </c>
      <c r="Z4723" s="21">
        <v>4601004201217</v>
      </c>
    </row>
    <row r="4724" spans="1:26" ht="12" customHeight="1" outlineLevel="4" x14ac:dyDescent="0.2">
      <c r="A4724" s="14" t="s">
        <v>9176</v>
      </c>
      <c r="B4724" s="26" t="s">
        <v>9177</v>
      </c>
      <c r="C4724" s="52"/>
      <c r="D4724" s="55">
        <f t="shared" si="73"/>
        <v>0</v>
      </c>
      <c r="E4724" s="63" t="str">
        <f>HYPERLINK("https://www.sds-group.ru/product/nabor-bit-s-magnitnym-derzhatelem-plastikovyy-keys-10-sht-kranz-KR-92-0466/", "Инфо")</f>
        <v>Инфо</v>
      </c>
      <c r="F4724" s="16" t="s">
        <v>4698</v>
      </c>
      <c r="G4724" s="15"/>
      <c r="H4724" s="15"/>
      <c r="I4724" s="15"/>
      <c r="J4724" s="17">
        <v>841</v>
      </c>
      <c r="K4724" s="15"/>
      <c r="L4724" s="17">
        <v>1</v>
      </c>
      <c r="M4724" s="17">
        <v>80</v>
      </c>
      <c r="N4724" s="17">
        <v>1</v>
      </c>
      <c r="O4724" s="18">
        <v>848</v>
      </c>
      <c r="P4724" s="18">
        <v>695.08</v>
      </c>
      <c r="Q4724" s="18">
        <v>678.4</v>
      </c>
      <c r="R4724" s="18">
        <v>556.07000000000005</v>
      </c>
      <c r="S4724" s="18">
        <v>576.64</v>
      </c>
      <c r="T4724" s="18">
        <v>472.66</v>
      </c>
      <c r="U4724" s="16"/>
      <c r="V4724" s="16"/>
      <c r="W4724" s="16" t="s">
        <v>40</v>
      </c>
      <c r="X4724" s="19">
        <v>0.16200000000000001</v>
      </c>
      <c r="Y4724" s="20">
        <v>6.9899999999999997E-4</v>
      </c>
      <c r="Z4724" s="21">
        <v>4601004286917</v>
      </c>
    </row>
    <row r="4725" spans="1:26" ht="12" customHeight="1" outlineLevel="4" x14ac:dyDescent="0.2">
      <c r="A4725" s="14" t="s">
        <v>9178</v>
      </c>
      <c r="B4725" s="26" t="s">
        <v>9179</v>
      </c>
      <c r="C4725" s="52"/>
      <c r="D4725" s="55">
        <f t="shared" si="73"/>
        <v>0</v>
      </c>
      <c r="E4725" s="63" t="str">
        <f>HYPERLINK("https://www.sds-group.ru/product/nabor-bit-s-magnitnym-derzhatelem-plastikovyy-keys-19-sht-kranz-KR-92-0465/", "Инфо")</f>
        <v>Инфо</v>
      </c>
      <c r="F4725" s="16" t="s">
        <v>4698</v>
      </c>
      <c r="G4725" s="15"/>
      <c r="H4725" s="15"/>
      <c r="I4725" s="15"/>
      <c r="J4725" s="22">
        <v>5784</v>
      </c>
      <c r="K4725" s="15"/>
      <c r="L4725" s="17">
        <v>1</v>
      </c>
      <c r="M4725" s="17">
        <v>80</v>
      </c>
      <c r="N4725" s="17">
        <v>1</v>
      </c>
      <c r="O4725" s="18">
        <v>1166</v>
      </c>
      <c r="P4725" s="18">
        <v>955.74</v>
      </c>
      <c r="Q4725" s="18">
        <v>932.8</v>
      </c>
      <c r="R4725" s="18">
        <v>764.59</v>
      </c>
      <c r="S4725" s="18">
        <v>792.88</v>
      </c>
      <c r="T4725" s="18">
        <v>649.9</v>
      </c>
      <c r="U4725" s="16"/>
      <c r="V4725" s="16"/>
      <c r="W4725" s="16" t="s">
        <v>40</v>
      </c>
      <c r="X4725" s="19">
        <v>0.19700000000000001</v>
      </c>
      <c r="Y4725" s="20">
        <v>6.9700000000000003E-4</v>
      </c>
      <c r="Z4725" s="21">
        <v>4601004286894</v>
      </c>
    </row>
    <row r="4726" spans="1:26" ht="12" customHeight="1" outlineLevel="4" x14ac:dyDescent="0.2">
      <c r="A4726" s="14" t="s">
        <v>9180</v>
      </c>
      <c r="B4726" s="26" t="s">
        <v>9181</v>
      </c>
      <c r="C4726" s="52"/>
      <c r="D4726" s="55">
        <f t="shared" si="73"/>
        <v>0</v>
      </c>
      <c r="E4726" s="63" t="str">
        <f>HYPERLINK("https://www.sds-group.ru/product/nabor-bit-s-magnitnym-derzhatelem-plastikovyy-keys-32-sht-kranz-KR-92-0464/", "Инфо")</f>
        <v>Инфо</v>
      </c>
      <c r="F4726" s="16" t="s">
        <v>4698</v>
      </c>
      <c r="G4726" s="15"/>
      <c r="H4726" s="15"/>
      <c r="I4726" s="15"/>
      <c r="J4726" s="17">
        <v>861</v>
      </c>
      <c r="K4726" s="15"/>
      <c r="L4726" s="17">
        <v>1</v>
      </c>
      <c r="M4726" s="17">
        <v>60</v>
      </c>
      <c r="N4726" s="17">
        <v>1</v>
      </c>
      <c r="O4726" s="18">
        <v>1484</v>
      </c>
      <c r="P4726" s="18">
        <v>1216.3900000000001</v>
      </c>
      <c r="Q4726" s="18">
        <v>1187.2</v>
      </c>
      <c r="R4726" s="18">
        <v>973.11</v>
      </c>
      <c r="S4726" s="18">
        <v>1009.12</v>
      </c>
      <c r="T4726" s="18">
        <v>827.15</v>
      </c>
      <c r="U4726" s="16"/>
      <c r="V4726" s="16"/>
      <c r="W4726" s="16" t="s">
        <v>40</v>
      </c>
      <c r="X4726" s="19">
        <v>0.26100000000000001</v>
      </c>
      <c r="Y4726" s="20">
        <v>3.7800000000000003E-4</v>
      </c>
      <c r="Z4726" s="21">
        <v>4601004286900</v>
      </c>
    </row>
    <row r="4727" spans="1:26" ht="12" customHeight="1" outlineLevel="4" x14ac:dyDescent="0.2">
      <c r="A4727" s="14" t="s">
        <v>9182</v>
      </c>
      <c r="B4727" s="26" t="s">
        <v>9183</v>
      </c>
      <c r="C4727" s="52"/>
      <c r="D4727" s="55">
        <f t="shared" si="73"/>
        <v>0</v>
      </c>
      <c r="E4727" s="63" t="str">
        <f>HYPERLINK("https://www.sds-group.ru/product/nabor-nasadok-na-shurupovert-ph2-pz2-s-magnitnym-derzhatelem-50-mm-golovka-8-mm-10-mm-kra-KR-92-0461/", "Инфо")</f>
        <v>Инфо</v>
      </c>
      <c r="F4727" s="16" t="s">
        <v>1001</v>
      </c>
      <c r="G4727" s="15"/>
      <c r="H4727" s="15"/>
      <c r="I4727" s="15"/>
      <c r="J4727" s="22">
        <v>9924</v>
      </c>
      <c r="K4727" s="15"/>
      <c r="L4727" s="17">
        <v>1</v>
      </c>
      <c r="M4727" s="17">
        <v>80</v>
      </c>
      <c r="N4727" s="17">
        <v>1</v>
      </c>
      <c r="O4727" s="18">
        <v>318</v>
      </c>
      <c r="P4727" s="18">
        <v>260.66000000000003</v>
      </c>
      <c r="Q4727" s="18">
        <v>318</v>
      </c>
      <c r="R4727" s="18">
        <v>260.66000000000003</v>
      </c>
      <c r="S4727" s="18">
        <v>216.24</v>
      </c>
      <c r="T4727" s="18">
        <v>177.25</v>
      </c>
      <c r="U4727" s="16"/>
      <c r="V4727" s="16"/>
      <c r="W4727" s="16" t="s">
        <v>40</v>
      </c>
      <c r="X4727" s="19">
        <v>9.1999999999999998E-2</v>
      </c>
      <c r="Y4727" s="20">
        <v>1.7200000000000001E-4</v>
      </c>
      <c r="Z4727" s="21">
        <v>4601004201200</v>
      </c>
    </row>
    <row r="4728" spans="1:26" ht="12" customHeight="1" outlineLevel="4" x14ac:dyDescent="0.2">
      <c r="A4728" s="14" t="s">
        <v>9184</v>
      </c>
      <c r="B4728" s="26" t="s">
        <v>9185</v>
      </c>
      <c r="C4728" s="52"/>
      <c r="D4728" s="55">
        <f t="shared" si="73"/>
        <v>0</v>
      </c>
      <c r="E4728" s="63" t="str">
        <f>HYPERLINK("https://www.sds-group.ru/product/nabor-torsionnyh-bit-s-magnitnym-derzhatelem-i-tortsevymi-golovkami-plastikovyy-keys-41-s-KR-92-0463/", "Инфо")</f>
        <v>Инфо</v>
      </c>
      <c r="F4728" s="16" t="s">
        <v>4698</v>
      </c>
      <c r="G4728" s="15"/>
      <c r="H4728" s="15"/>
      <c r="I4728" s="15"/>
      <c r="J4728" s="22">
        <v>2307</v>
      </c>
      <c r="K4728" s="15"/>
      <c r="L4728" s="17">
        <v>1</v>
      </c>
      <c r="M4728" s="17">
        <v>40</v>
      </c>
      <c r="N4728" s="17">
        <v>1</v>
      </c>
      <c r="O4728" s="18">
        <v>2173</v>
      </c>
      <c r="P4728" s="18">
        <v>1781.15</v>
      </c>
      <c r="Q4728" s="18">
        <v>1738.4</v>
      </c>
      <c r="R4728" s="18">
        <v>1424.92</v>
      </c>
      <c r="S4728" s="18">
        <v>1477.64</v>
      </c>
      <c r="T4728" s="18">
        <v>1211.18</v>
      </c>
      <c r="U4728" s="16"/>
      <c r="V4728" s="16"/>
      <c r="W4728" s="16" t="s">
        <v>40</v>
      </c>
      <c r="X4728" s="19">
        <v>0.497</v>
      </c>
      <c r="Y4728" s="20">
        <v>1.0859999999999999E-3</v>
      </c>
      <c r="Z4728" s="21">
        <v>4601004286924</v>
      </c>
    </row>
    <row r="4729" spans="1:26" ht="12.95" customHeight="1" outlineLevel="3" x14ac:dyDescent="0.2">
      <c r="A4729" s="76" t="s">
        <v>9186</v>
      </c>
      <c r="B4729" s="76"/>
      <c r="C4729" s="77"/>
      <c r="D4729" s="58"/>
      <c r="E4729" s="68"/>
      <c r="F4729" s="13"/>
      <c r="G4729" s="13"/>
      <c r="H4729" s="13"/>
      <c r="I4729" s="13"/>
      <c r="J4729" s="13"/>
      <c r="K4729" s="13"/>
      <c r="L4729" s="13"/>
      <c r="M4729" s="13"/>
      <c r="N4729" s="13"/>
      <c r="O4729" s="13"/>
      <c r="P4729" s="13"/>
      <c r="Q4729" s="13"/>
      <c r="R4729" s="13"/>
      <c r="S4729" s="13"/>
      <c r="T4729" s="13"/>
      <c r="U4729" s="13"/>
      <c r="V4729" s="13"/>
      <c r="W4729" s="13"/>
      <c r="X4729" s="13"/>
      <c r="Y4729" s="13"/>
      <c r="Z4729" s="13"/>
    </row>
    <row r="4730" spans="1:26" ht="12" customHeight="1" outlineLevel="4" x14ac:dyDescent="0.2">
      <c r="A4730" s="14" t="s">
        <v>9187</v>
      </c>
      <c r="B4730" s="26" t="s">
        <v>9188</v>
      </c>
      <c r="C4730" s="52"/>
      <c r="D4730" s="55">
        <f t="shared" si="73"/>
        <v>0</v>
      </c>
      <c r="E4730" s="63" t="str">
        <f>HYPERLINK("https://www.sds-group.ru/product/klyuch-nasadka-magnitnyy-1-4-10h48mm-1-sht-up-kranz-KR-92-0402-1/", "Инфо")</f>
        <v>Инфо</v>
      </c>
      <c r="F4730" s="16" t="s">
        <v>1001</v>
      </c>
      <c r="G4730" s="15"/>
      <c r="H4730" s="15"/>
      <c r="I4730" s="15"/>
      <c r="J4730" s="22">
        <v>1811</v>
      </c>
      <c r="K4730" s="15" t="s">
        <v>1126</v>
      </c>
      <c r="L4730" s="17">
        <v>5</v>
      </c>
      <c r="M4730" s="17">
        <v>200</v>
      </c>
      <c r="N4730" s="17">
        <v>5</v>
      </c>
      <c r="O4730" s="18">
        <v>119.62</v>
      </c>
      <c r="P4730" s="18">
        <v>98.05</v>
      </c>
      <c r="Q4730" s="18">
        <v>119.62</v>
      </c>
      <c r="R4730" s="18">
        <v>98.05</v>
      </c>
      <c r="S4730" s="18">
        <v>81.34</v>
      </c>
      <c r="T4730" s="18">
        <v>66.67</v>
      </c>
      <c r="U4730" s="16"/>
      <c r="V4730" s="16"/>
      <c r="W4730" s="16" t="s">
        <v>40</v>
      </c>
      <c r="X4730" s="19">
        <v>0.04</v>
      </c>
      <c r="Y4730" s="20">
        <v>1.7699999999999999E-4</v>
      </c>
      <c r="Z4730" s="21">
        <v>4601004200852</v>
      </c>
    </row>
    <row r="4731" spans="1:26" ht="12" customHeight="1" outlineLevel="4" x14ac:dyDescent="0.2">
      <c r="A4731" s="32" t="s">
        <v>9189</v>
      </c>
      <c r="B4731" s="74" t="s">
        <v>9190</v>
      </c>
      <c r="C4731" s="50"/>
      <c r="D4731" s="53">
        <f t="shared" si="73"/>
        <v>0</v>
      </c>
      <c r="E4731" s="60" t="str">
        <f>HYPERLINK("https://www.sds-group.ru/product/klyuch-nasadka-magnitnyy-1-4-12h48mm-1-sht-up-kranz-KR-92-0403-1/", "Инфо")</f>
        <v>Инфо</v>
      </c>
      <c r="F4731" s="34" t="s">
        <v>1001</v>
      </c>
      <c r="G4731" s="33"/>
      <c r="H4731" s="33" t="s">
        <v>40</v>
      </c>
      <c r="I4731" s="33"/>
      <c r="J4731" s="35">
        <v>186</v>
      </c>
      <c r="K4731" s="33"/>
      <c r="L4731" s="35">
        <v>1</v>
      </c>
      <c r="M4731" s="35">
        <v>200</v>
      </c>
      <c r="N4731" s="35">
        <v>1</v>
      </c>
      <c r="O4731" s="36">
        <v>85.16</v>
      </c>
      <c r="P4731" s="36">
        <v>69.8</v>
      </c>
      <c r="Q4731" s="36">
        <v>59.61</v>
      </c>
      <c r="R4731" s="36">
        <v>48.86</v>
      </c>
      <c r="S4731" s="36">
        <v>57.91</v>
      </c>
      <c r="T4731" s="36">
        <v>47.47</v>
      </c>
      <c r="U4731" s="34"/>
      <c r="V4731" s="34"/>
      <c r="W4731" s="34"/>
      <c r="X4731" s="37">
        <v>4.8000000000000001E-2</v>
      </c>
      <c r="Y4731" s="38">
        <v>7.2000000000000002E-5</v>
      </c>
      <c r="Z4731" s="21">
        <v>4601004200869</v>
      </c>
    </row>
    <row r="4732" spans="1:26" ht="12" customHeight="1" outlineLevel="4" x14ac:dyDescent="0.2">
      <c r="A4732" s="14" t="s">
        <v>9191</v>
      </c>
      <c r="B4732" s="26" t="s">
        <v>9192</v>
      </c>
      <c r="C4732" s="52"/>
      <c r="D4732" s="55">
        <f t="shared" si="73"/>
        <v>0</v>
      </c>
      <c r="E4732" s="63" t="str">
        <f>HYPERLINK("https://www.sds-group.ru/product/klyuch-nasadka-magnitnyy-1-4-13h48mm-1-sht-up-kranz-KR-92-0404-1/", "Инфо")</f>
        <v>Инфо</v>
      </c>
      <c r="F4732" s="16" t="s">
        <v>1001</v>
      </c>
      <c r="G4732" s="15"/>
      <c r="H4732" s="15"/>
      <c r="I4732" s="15"/>
      <c r="J4732" s="22">
        <v>1841</v>
      </c>
      <c r="K4732" s="15"/>
      <c r="L4732" s="17">
        <v>5</v>
      </c>
      <c r="M4732" s="17">
        <v>200</v>
      </c>
      <c r="N4732" s="17">
        <v>5</v>
      </c>
      <c r="O4732" s="18">
        <v>155.53</v>
      </c>
      <c r="P4732" s="18">
        <v>127.48</v>
      </c>
      <c r="Q4732" s="18">
        <v>155.53</v>
      </c>
      <c r="R4732" s="18">
        <v>127.48</v>
      </c>
      <c r="S4732" s="18">
        <v>105.76</v>
      </c>
      <c r="T4732" s="18">
        <v>86.69</v>
      </c>
      <c r="U4732" s="16"/>
      <c r="V4732" s="16"/>
      <c r="W4732" s="16" t="s">
        <v>40</v>
      </c>
      <c r="X4732" s="19">
        <v>0.04</v>
      </c>
      <c r="Y4732" s="20">
        <v>1.6699999999999999E-4</v>
      </c>
      <c r="Z4732" s="21">
        <v>4601004200876</v>
      </c>
    </row>
    <row r="4733" spans="1:26" ht="12" customHeight="1" outlineLevel="4" x14ac:dyDescent="0.2">
      <c r="A4733" s="14" t="s">
        <v>9193</v>
      </c>
      <c r="B4733" s="26" t="s">
        <v>9194</v>
      </c>
      <c r="C4733" s="52"/>
      <c r="D4733" s="55">
        <f t="shared" si="73"/>
        <v>0</v>
      </c>
      <c r="E4733" s="63" t="str">
        <f>HYPERLINK("https://www.sds-group.ru/product/klyuch-nasadka-magnitnyy-1-4-13h48mm-20-sht-up-kranz-KR-92-0404/", "Инфо")</f>
        <v>Инфо</v>
      </c>
      <c r="F4733" s="16" t="s">
        <v>39</v>
      </c>
      <c r="G4733" s="15"/>
      <c r="H4733" s="15"/>
      <c r="I4733" s="15"/>
      <c r="J4733" s="22">
        <v>3514</v>
      </c>
      <c r="K4733" s="15"/>
      <c r="L4733" s="17">
        <v>20</v>
      </c>
      <c r="M4733" s="17">
        <v>400</v>
      </c>
      <c r="N4733" s="17">
        <v>20</v>
      </c>
      <c r="O4733" s="18">
        <v>77.98</v>
      </c>
      <c r="P4733" s="18">
        <v>63.92</v>
      </c>
      <c r="Q4733" s="18">
        <v>77.98</v>
      </c>
      <c r="R4733" s="18">
        <v>63.92</v>
      </c>
      <c r="S4733" s="18">
        <v>53.03</v>
      </c>
      <c r="T4733" s="18">
        <v>43.47</v>
      </c>
      <c r="U4733" s="16"/>
      <c r="V4733" s="16"/>
      <c r="W4733" s="16" t="s">
        <v>40</v>
      </c>
      <c r="X4733" s="19">
        <v>3.3000000000000002E-2</v>
      </c>
      <c r="Y4733" s="20">
        <v>3.4E-5</v>
      </c>
      <c r="Z4733" s="21">
        <v>4601004177055</v>
      </c>
    </row>
    <row r="4734" spans="1:26" ht="12" customHeight="1" outlineLevel="4" x14ac:dyDescent="0.2">
      <c r="A4734" s="14" t="s">
        <v>9195</v>
      </c>
      <c r="B4734" s="26" t="s">
        <v>9196</v>
      </c>
      <c r="C4734" s="52"/>
      <c r="D4734" s="55">
        <f t="shared" si="73"/>
        <v>0</v>
      </c>
      <c r="E4734" s="63" t="str">
        <f>HYPERLINK("https://www.sds-group.ru/product/klyuch-nasadka-magnitnyy-1-4-17h65mm-1-sht-up-kranz-KR-92-0405-1/", "Инфо")</f>
        <v>Инфо</v>
      </c>
      <c r="F4734" s="16" t="s">
        <v>1001</v>
      </c>
      <c r="G4734" s="15"/>
      <c r="H4734" s="15"/>
      <c r="I4734" s="15"/>
      <c r="J4734" s="22">
        <v>2856</v>
      </c>
      <c r="K4734" s="15"/>
      <c r="L4734" s="17">
        <v>5</v>
      </c>
      <c r="M4734" s="17">
        <v>240</v>
      </c>
      <c r="N4734" s="17">
        <v>5</v>
      </c>
      <c r="O4734" s="18">
        <v>295.58</v>
      </c>
      <c r="P4734" s="18">
        <v>242.28</v>
      </c>
      <c r="Q4734" s="18">
        <v>295.58</v>
      </c>
      <c r="R4734" s="18">
        <v>242.28</v>
      </c>
      <c r="S4734" s="18">
        <v>200.99</v>
      </c>
      <c r="T4734" s="18">
        <v>164.75</v>
      </c>
      <c r="U4734" s="16"/>
      <c r="V4734" s="16"/>
      <c r="W4734" s="16" t="s">
        <v>40</v>
      </c>
      <c r="X4734" s="19">
        <v>8.5000000000000006E-2</v>
      </c>
      <c r="Y4734" s="20">
        <v>1.9900000000000001E-4</v>
      </c>
      <c r="Z4734" s="21">
        <v>4601004200883</v>
      </c>
    </row>
    <row r="4735" spans="1:26" ht="12" customHeight="1" outlineLevel="4" x14ac:dyDescent="0.2">
      <c r="A4735" s="14" t="s">
        <v>9197</v>
      </c>
      <c r="B4735" s="26" t="s">
        <v>9198</v>
      </c>
      <c r="C4735" s="52"/>
      <c r="D4735" s="55">
        <f t="shared" si="73"/>
        <v>0</v>
      </c>
      <c r="E4735" s="63" t="str">
        <f>HYPERLINK("https://www.sds-group.ru/product/klyuch-nasadka-magnitnyy-1-4-17h65mm-5-sht-up-kranz-KR-92-0405/", "Инфо")</f>
        <v>Инфо</v>
      </c>
      <c r="F4735" s="16" t="s">
        <v>39</v>
      </c>
      <c r="G4735" s="15"/>
      <c r="H4735" s="15"/>
      <c r="I4735" s="15"/>
      <c r="J4735" s="22">
        <v>1171</v>
      </c>
      <c r="K4735" s="15"/>
      <c r="L4735" s="17">
        <v>5</v>
      </c>
      <c r="M4735" s="17">
        <v>300</v>
      </c>
      <c r="N4735" s="17">
        <v>5</v>
      </c>
      <c r="O4735" s="18">
        <v>267.04000000000002</v>
      </c>
      <c r="P4735" s="18">
        <v>218.89</v>
      </c>
      <c r="Q4735" s="18">
        <v>267.04000000000002</v>
      </c>
      <c r="R4735" s="18">
        <v>218.89</v>
      </c>
      <c r="S4735" s="18">
        <v>181.59</v>
      </c>
      <c r="T4735" s="18">
        <v>148.84</v>
      </c>
      <c r="U4735" s="16"/>
      <c r="V4735" s="16"/>
      <c r="W4735" s="16" t="s">
        <v>40</v>
      </c>
      <c r="X4735" s="19">
        <v>7.3999999999999996E-2</v>
      </c>
      <c r="Y4735" s="20">
        <v>4.8000000000000001E-5</v>
      </c>
      <c r="Z4735" s="21">
        <v>4601004177062</v>
      </c>
    </row>
    <row r="4736" spans="1:26" ht="12" customHeight="1" outlineLevel="4" x14ac:dyDescent="0.2">
      <c r="A4736" s="14" t="s">
        <v>9199</v>
      </c>
      <c r="B4736" s="26" t="s">
        <v>9200</v>
      </c>
      <c r="C4736" s="52"/>
      <c r="D4736" s="55">
        <f t="shared" si="73"/>
        <v>0</v>
      </c>
      <c r="E4736" s="63" t="str">
        <f>HYPERLINK("https://www.sds-group.ru/product/klyuch-nasadka-magnitnyy-1-4-8h48mm-1-sht-up-kranz-KR-92-0401-1/", "Инфо")</f>
        <v>Инфо</v>
      </c>
      <c r="F4736" s="16" t="s">
        <v>1001</v>
      </c>
      <c r="G4736" s="15"/>
      <c r="H4736" s="15"/>
      <c r="I4736" s="15"/>
      <c r="J4736" s="22">
        <v>6854</v>
      </c>
      <c r="K4736" s="15" t="s">
        <v>1126</v>
      </c>
      <c r="L4736" s="17">
        <v>10</v>
      </c>
      <c r="M4736" s="17">
        <v>200</v>
      </c>
      <c r="N4736" s="17">
        <v>10</v>
      </c>
      <c r="O4736" s="18">
        <v>104.06</v>
      </c>
      <c r="P4736" s="18">
        <v>85.3</v>
      </c>
      <c r="Q4736" s="18">
        <v>104.06</v>
      </c>
      <c r="R4736" s="18">
        <v>85.3</v>
      </c>
      <c r="S4736" s="18">
        <v>70.760000000000005</v>
      </c>
      <c r="T4736" s="18">
        <v>58</v>
      </c>
      <c r="U4736" s="16"/>
      <c r="V4736" s="16"/>
      <c r="W4736" s="16" t="s">
        <v>40</v>
      </c>
      <c r="X4736" s="19">
        <v>3.5999999999999997E-2</v>
      </c>
      <c r="Y4736" s="20">
        <v>1.75E-4</v>
      </c>
      <c r="Z4736" s="21">
        <v>4601004200845</v>
      </c>
    </row>
    <row r="4737" spans="1:26" ht="12" customHeight="1" outlineLevel="4" x14ac:dyDescent="0.2">
      <c r="A4737" s="14" t="s">
        <v>9201</v>
      </c>
      <c r="B4737" s="26" t="s">
        <v>9202</v>
      </c>
      <c r="C4737" s="52"/>
      <c r="D4737" s="55">
        <f t="shared" si="73"/>
        <v>0</v>
      </c>
      <c r="E4737" s="63" t="str">
        <f>HYPERLINK("https://www.sds-group.ru/product/klyuch-nasadka-magnitnyy-1-4-8h48mm-20-sht-up-kranz-KR-92-0401/", "Инфо")</f>
        <v>Инфо</v>
      </c>
      <c r="F4737" s="16" t="s">
        <v>39</v>
      </c>
      <c r="G4737" s="15"/>
      <c r="H4737" s="15"/>
      <c r="I4737" s="15"/>
      <c r="J4737" s="22">
        <v>20086</v>
      </c>
      <c r="K4737" s="15" t="s">
        <v>1126</v>
      </c>
      <c r="L4737" s="17">
        <v>20</v>
      </c>
      <c r="M4737" s="17">
        <v>800</v>
      </c>
      <c r="N4737" s="17">
        <v>20</v>
      </c>
      <c r="O4737" s="18">
        <v>42.87</v>
      </c>
      <c r="P4737" s="18">
        <v>35.14</v>
      </c>
      <c r="Q4737" s="18">
        <v>42.87</v>
      </c>
      <c r="R4737" s="18">
        <v>35.14</v>
      </c>
      <c r="S4737" s="18">
        <v>29.15</v>
      </c>
      <c r="T4737" s="18">
        <v>23.89</v>
      </c>
      <c r="U4737" s="16"/>
      <c r="V4737" s="16"/>
      <c r="W4737" s="16" t="s">
        <v>40</v>
      </c>
      <c r="X4737" s="19">
        <v>2.4E-2</v>
      </c>
      <c r="Y4737" s="20">
        <v>2.1999999999999999E-5</v>
      </c>
      <c r="Z4737" s="21">
        <v>4601004208056</v>
      </c>
    </row>
    <row r="4738" spans="1:26" ht="12" customHeight="1" outlineLevel="4" x14ac:dyDescent="0.2">
      <c r="A4738" s="14" t="s">
        <v>9203</v>
      </c>
      <c r="B4738" s="26" t="s">
        <v>9204</v>
      </c>
      <c r="C4738" s="52"/>
      <c r="D4738" s="55">
        <f t="shared" si="73"/>
        <v>0</v>
      </c>
      <c r="E4738" s="63" t="str">
        <f>HYPERLINK("https://www.sds-group.ru/product/klyuch-nasadka-magnitnyy-1-4-8h48mm-10h48-mm-2-sht-up-kranz-KR-92-0402-2/", "Инфо")</f>
        <v>Инфо</v>
      </c>
      <c r="F4738" s="16" t="s">
        <v>1001</v>
      </c>
      <c r="G4738" s="15"/>
      <c r="H4738" s="15"/>
      <c r="I4738" s="15"/>
      <c r="J4738" s="22">
        <v>3955</v>
      </c>
      <c r="K4738" s="15" t="s">
        <v>1126</v>
      </c>
      <c r="L4738" s="17">
        <v>5</v>
      </c>
      <c r="M4738" s="17">
        <v>200</v>
      </c>
      <c r="N4738" s="17">
        <v>5</v>
      </c>
      <c r="O4738" s="18">
        <v>172.59</v>
      </c>
      <c r="P4738" s="18">
        <v>141.47</v>
      </c>
      <c r="Q4738" s="18">
        <v>172.59</v>
      </c>
      <c r="R4738" s="18">
        <v>141.47</v>
      </c>
      <c r="S4738" s="18">
        <v>117.36</v>
      </c>
      <c r="T4738" s="18">
        <v>96.2</v>
      </c>
      <c r="U4738" s="16"/>
      <c r="V4738" s="16"/>
      <c r="W4738" s="16" t="s">
        <v>40</v>
      </c>
      <c r="X4738" s="19">
        <v>6.3E-2</v>
      </c>
      <c r="Y4738" s="20">
        <v>1.7000000000000001E-4</v>
      </c>
      <c r="Z4738" s="21">
        <v>4601004200890</v>
      </c>
    </row>
    <row r="4739" spans="1:26" ht="12" customHeight="1" outlineLevel="4" x14ac:dyDescent="0.2">
      <c r="A4739" s="14" t="s">
        <v>9205</v>
      </c>
      <c r="B4739" s="26" t="s">
        <v>9206</v>
      </c>
      <c r="C4739" s="52"/>
      <c r="D4739" s="55">
        <f t="shared" si="73"/>
        <v>0</v>
      </c>
      <c r="E4739" s="63" t="str">
        <f>HYPERLINK("https://www.sds-group.ru/product/nabor-klyuchey-nasadok-magnitnyh-6-8-10-13h48-mm-s-shestigrannoy-golovkoy-kranz-KR-92-0408/", "Инфо")</f>
        <v>Инфо</v>
      </c>
      <c r="F4739" s="16" t="s">
        <v>1001</v>
      </c>
      <c r="G4739" s="15"/>
      <c r="H4739" s="15"/>
      <c r="I4739" s="15"/>
      <c r="J4739" s="22">
        <v>2489</v>
      </c>
      <c r="K4739" s="15"/>
      <c r="L4739" s="17">
        <v>1</v>
      </c>
      <c r="M4739" s="17">
        <v>120</v>
      </c>
      <c r="N4739" s="17">
        <v>1</v>
      </c>
      <c r="O4739" s="18">
        <v>387.3</v>
      </c>
      <c r="P4739" s="18">
        <v>317.45999999999998</v>
      </c>
      <c r="Q4739" s="18">
        <v>387.3</v>
      </c>
      <c r="R4739" s="18">
        <v>317.45999999999998</v>
      </c>
      <c r="S4739" s="18">
        <v>263.36</v>
      </c>
      <c r="T4739" s="18">
        <v>215.87</v>
      </c>
      <c r="U4739" s="16"/>
      <c r="V4739" s="16"/>
      <c r="W4739" s="16" t="s">
        <v>40</v>
      </c>
      <c r="X4739" s="19">
        <v>0.11899999999999999</v>
      </c>
      <c r="Y4739" s="20">
        <v>1.76E-4</v>
      </c>
      <c r="Z4739" s="21">
        <v>4601004177093</v>
      </c>
    </row>
    <row r="4740" spans="1:26" ht="12.95" customHeight="1" outlineLevel="3" x14ac:dyDescent="0.2">
      <c r="A4740" s="76" t="s">
        <v>9207</v>
      </c>
      <c r="B4740" s="76"/>
      <c r="C4740" s="77"/>
      <c r="D4740" s="58"/>
      <c r="E4740" s="68"/>
      <c r="F4740" s="13"/>
      <c r="G4740" s="13"/>
      <c r="H4740" s="13"/>
      <c r="I4740" s="13"/>
      <c r="J4740" s="13"/>
      <c r="K4740" s="13"/>
      <c r="L4740" s="13"/>
      <c r="M4740" s="13"/>
      <c r="N4740" s="13"/>
      <c r="O4740" s="13"/>
      <c r="P4740" s="13"/>
      <c r="Q4740" s="13"/>
      <c r="R4740" s="13"/>
      <c r="S4740" s="13"/>
      <c r="T4740" s="13"/>
      <c r="U4740" s="13"/>
      <c r="V4740" s="13"/>
      <c r="W4740" s="13"/>
      <c r="X4740" s="13"/>
      <c r="Y4740" s="13"/>
      <c r="Z4740" s="13"/>
    </row>
    <row r="4741" spans="1:26" ht="12" customHeight="1" outlineLevel="4" x14ac:dyDescent="0.2">
      <c r="A4741" s="14" t="s">
        <v>9208</v>
      </c>
      <c r="B4741" s="26" t="s">
        <v>9209</v>
      </c>
      <c r="C4741" s="52"/>
      <c r="D4741" s="55">
        <f t="shared" si="73"/>
        <v>0</v>
      </c>
      <c r="E4741" s="63" t="str">
        <f>HYPERLINK("https://www.sds-group.ru/product/magnitnyy-derzhatel-dlya-bit-60-mm-1-sht-up-kranz-KR-92-0432-1/", "Инфо")</f>
        <v>Инфо</v>
      </c>
      <c r="F4741" s="16" t="s">
        <v>1001</v>
      </c>
      <c r="G4741" s="15"/>
      <c r="H4741" s="15"/>
      <c r="I4741" s="15"/>
      <c r="J4741" s="22">
        <v>10812</v>
      </c>
      <c r="K4741" s="15" t="s">
        <v>1126</v>
      </c>
      <c r="L4741" s="17">
        <v>10</v>
      </c>
      <c r="M4741" s="17">
        <v>200</v>
      </c>
      <c r="N4741" s="17">
        <v>10</v>
      </c>
      <c r="O4741" s="18">
        <v>150.85</v>
      </c>
      <c r="P4741" s="18">
        <v>123.65</v>
      </c>
      <c r="Q4741" s="18">
        <v>150.85</v>
      </c>
      <c r="R4741" s="18">
        <v>123.65</v>
      </c>
      <c r="S4741" s="18">
        <v>102.58</v>
      </c>
      <c r="T4741" s="18">
        <v>84.08</v>
      </c>
      <c r="U4741" s="16"/>
      <c r="V4741" s="16"/>
      <c r="W4741" s="16" t="s">
        <v>40</v>
      </c>
      <c r="X4741" s="19">
        <v>2.9000000000000001E-2</v>
      </c>
      <c r="Y4741" s="20">
        <v>9.6000000000000002E-5</v>
      </c>
      <c r="Z4741" s="21">
        <v>4601004200906</v>
      </c>
    </row>
    <row r="4742" spans="1:26" ht="12" customHeight="1" outlineLevel="4" x14ac:dyDescent="0.2">
      <c r="A4742" s="14" t="s">
        <v>9210</v>
      </c>
      <c r="B4742" s="26" t="s">
        <v>9211</v>
      </c>
      <c r="C4742" s="52"/>
      <c r="D4742" s="55">
        <f t="shared" si="73"/>
        <v>0</v>
      </c>
      <c r="E4742" s="63" t="str">
        <f>HYPERLINK("https://www.sds-group.ru/product/magnitnyy-derzhatel-dlya-bit-bystrosemnyy-60mm-kranz-KR-92-0467/", "Инфо")</f>
        <v>Инфо</v>
      </c>
      <c r="F4742" s="16" t="s">
        <v>39</v>
      </c>
      <c r="G4742" s="15"/>
      <c r="H4742" s="15"/>
      <c r="I4742" s="15"/>
      <c r="J4742" s="22">
        <v>1823</v>
      </c>
      <c r="K4742" s="15"/>
      <c r="L4742" s="17">
        <v>5</v>
      </c>
      <c r="M4742" s="17">
        <v>400</v>
      </c>
      <c r="N4742" s="17">
        <v>5</v>
      </c>
      <c r="O4742" s="18">
        <v>416.58</v>
      </c>
      <c r="P4742" s="18">
        <v>341.46</v>
      </c>
      <c r="Q4742" s="18">
        <v>312.44</v>
      </c>
      <c r="R4742" s="18">
        <v>256.10000000000002</v>
      </c>
      <c r="S4742" s="18">
        <v>283.27</v>
      </c>
      <c r="T4742" s="18">
        <v>232.19</v>
      </c>
      <c r="U4742" s="16"/>
      <c r="V4742" s="16"/>
      <c r="W4742" s="16" t="s">
        <v>40</v>
      </c>
      <c r="X4742" s="19">
        <v>0.04</v>
      </c>
      <c r="Y4742" s="20">
        <v>1.44E-4</v>
      </c>
      <c r="Z4742" s="21">
        <v>4601004286931</v>
      </c>
    </row>
    <row r="4743" spans="1:26" ht="12.95" customHeight="1" outlineLevel="3" x14ac:dyDescent="0.2">
      <c r="A4743" s="76" t="s">
        <v>9212</v>
      </c>
      <c r="B4743" s="76"/>
      <c r="C4743" s="77"/>
      <c r="D4743" s="58"/>
      <c r="E4743" s="68"/>
      <c r="F4743" s="13"/>
      <c r="G4743" s="13"/>
      <c r="H4743" s="13"/>
      <c r="I4743" s="13"/>
      <c r="J4743" s="13"/>
      <c r="K4743" s="13"/>
      <c r="L4743" s="13"/>
      <c r="M4743" s="13"/>
      <c r="N4743" s="13"/>
      <c r="O4743" s="13"/>
      <c r="P4743" s="13"/>
      <c r="Q4743" s="13"/>
      <c r="R4743" s="13"/>
      <c r="S4743" s="13"/>
      <c r="T4743" s="13"/>
      <c r="U4743" s="13"/>
      <c r="V4743" s="13"/>
      <c r="W4743" s="13"/>
      <c r="X4743" s="13"/>
      <c r="Y4743" s="13"/>
      <c r="Z4743" s="13"/>
    </row>
    <row r="4744" spans="1:26" ht="12" customHeight="1" outlineLevel="4" x14ac:dyDescent="0.2">
      <c r="A4744" s="14" t="s">
        <v>9213</v>
      </c>
      <c r="B4744" s="26" t="s">
        <v>9214</v>
      </c>
      <c r="C4744" s="52"/>
      <c r="D4744" s="55">
        <f t="shared" si="73"/>
        <v>0</v>
      </c>
      <c r="E4744" s="63" t="str">
        <f>HYPERLINK("https://www.sds-group.ru/product/bita-dlya-shurupoverta-ph-sl1-x-ph-sl2h65-mm-2-sht-up-kranz-KR-92-0451-1/", "Инфо")</f>
        <v>Инфо</v>
      </c>
      <c r="F4744" s="16" t="s">
        <v>1001</v>
      </c>
      <c r="G4744" s="15"/>
      <c r="H4744" s="15"/>
      <c r="I4744" s="15"/>
      <c r="J4744" s="22">
        <v>7819</v>
      </c>
      <c r="K4744" s="15"/>
      <c r="L4744" s="17">
        <v>5</v>
      </c>
      <c r="M4744" s="17">
        <v>400</v>
      </c>
      <c r="N4744" s="17">
        <v>5</v>
      </c>
      <c r="O4744" s="18">
        <v>212</v>
      </c>
      <c r="P4744" s="18">
        <v>173.77</v>
      </c>
      <c r="Q4744" s="18">
        <v>212</v>
      </c>
      <c r="R4744" s="18">
        <v>173.77</v>
      </c>
      <c r="S4744" s="18">
        <v>144.16</v>
      </c>
      <c r="T4744" s="18">
        <v>118.16</v>
      </c>
      <c r="U4744" s="16"/>
      <c r="V4744" s="16"/>
      <c r="W4744" s="16" t="s">
        <v>40</v>
      </c>
      <c r="X4744" s="19">
        <v>2.8000000000000001E-2</v>
      </c>
      <c r="Y4744" s="20">
        <v>5.5999999999999999E-5</v>
      </c>
      <c r="Z4744" s="21">
        <v>4601004337404</v>
      </c>
    </row>
    <row r="4745" spans="1:26" ht="12" customHeight="1" outlineLevel="4" x14ac:dyDescent="0.2">
      <c r="A4745" s="14" t="s">
        <v>9215</v>
      </c>
      <c r="B4745" s="26" t="s">
        <v>9216</v>
      </c>
      <c r="C4745" s="52"/>
      <c r="D4745" s="55">
        <f t="shared" ref="D4745:D4808" si="74">C4745*(O4745-O4745*$G$3)</f>
        <v>0</v>
      </c>
      <c r="E4745" s="63" t="str">
        <f>HYPERLINK("https://www.sds-group.ru/product/bita-dlya-shurupoverta-ph-sl1h50-mm-2-sht-up-kranz-KR-92-0413-3/", "Инфо")</f>
        <v>Инфо</v>
      </c>
      <c r="F4745" s="16" t="s">
        <v>1001</v>
      </c>
      <c r="G4745" s="15"/>
      <c r="H4745" s="15"/>
      <c r="I4745" s="15"/>
      <c r="J4745" s="22">
        <v>1943</v>
      </c>
      <c r="K4745" s="15"/>
      <c r="L4745" s="17">
        <v>5</v>
      </c>
      <c r="M4745" s="17">
        <v>400</v>
      </c>
      <c r="N4745" s="17">
        <v>5</v>
      </c>
      <c r="O4745" s="18">
        <v>191.89</v>
      </c>
      <c r="P4745" s="18">
        <v>157.29</v>
      </c>
      <c r="Q4745" s="18">
        <v>191.89</v>
      </c>
      <c r="R4745" s="18">
        <v>157.29</v>
      </c>
      <c r="S4745" s="18">
        <v>130.49</v>
      </c>
      <c r="T4745" s="18">
        <v>106.96</v>
      </c>
      <c r="U4745" s="16"/>
      <c r="V4745" s="16"/>
      <c r="W4745" s="16" t="s">
        <v>40</v>
      </c>
      <c r="X4745" s="19">
        <v>2.1999999999999999E-2</v>
      </c>
      <c r="Y4745" s="20">
        <v>5.7000000000000003E-5</v>
      </c>
      <c r="Z4745" s="21">
        <v>4601004316836</v>
      </c>
    </row>
    <row r="4746" spans="1:26" ht="12" customHeight="1" outlineLevel="4" x14ac:dyDescent="0.2">
      <c r="A4746" s="14" t="s">
        <v>9217</v>
      </c>
      <c r="B4746" s="26" t="s">
        <v>9218</v>
      </c>
      <c r="C4746" s="52"/>
      <c r="D4746" s="55">
        <f t="shared" si="74"/>
        <v>0</v>
      </c>
      <c r="E4746" s="63" t="str">
        <f>HYPERLINK("https://www.sds-group.ru/product/bita-dlya-shurupoverta-ph-sl2h50-mm-2-sht-up-kranz-KR-92-0415-3/", "Инфо")</f>
        <v>Инфо</v>
      </c>
      <c r="F4746" s="16" t="s">
        <v>1001</v>
      </c>
      <c r="G4746" s="15"/>
      <c r="H4746" s="15"/>
      <c r="I4746" s="15"/>
      <c r="J4746" s="22">
        <v>1964</v>
      </c>
      <c r="K4746" s="15"/>
      <c r="L4746" s="17">
        <v>5</v>
      </c>
      <c r="M4746" s="17">
        <v>400</v>
      </c>
      <c r="N4746" s="17">
        <v>5</v>
      </c>
      <c r="O4746" s="18">
        <v>199.06</v>
      </c>
      <c r="P4746" s="18">
        <v>163.16</v>
      </c>
      <c r="Q4746" s="18">
        <v>179.15</v>
      </c>
      <c r="R4746" s="18">
        <v>146.84</v>
      </c>
      <c r="S4746" s="18">
        <v>135.36000000000001</v>
      </c>
      <c r="T4746" s="18">
        <v>110.95</v>
      </c>
      <c r="U4746" s="16"/>
      <c r="V4746" s="16"/>
      <c r="W4746" s="16" t="s">
        <v>40</v>
      </c>
      <c r="X4746" s="19">
        <v>2.3E-2</v>
      </c>
      <c r="Y4746" s="20">
        <v>5.7000000000000003E-5</v>
      </c>
      <c r="Z4746" s="21">
        <v>4601004316843</v>
      </c>
    </row>
    <row r="4747" spans="1:26" ht="12" customHeight="1" outlineLevel="4" x14ac:dyDescent="0.2">
      <c r="A4747" s="14" t="s">
        <v>9219</v>
      </c>
      <c r="B4747" s="26" t="s">
        <v>9220</v>
      </c>
      <c r="C4747" s="52"/>
      <c r="D4747" s="55">
        <f t="shared" si="74"/>
        <v>0</v>
      </c>
      <c r="E4747" s="63" t="str">
        <f>HYPERLINK("https://www.sds-group.ru/product/bita-dlya-shurupoverta-ph1h50-mm-2-sht-up-kranz-KR-92-0413-1/", "Инфо")</f>
        <v>Инфо</v>
      </c>
      <c r="F4747" s="16" t="s">
        <v>1001</v>
      </c>
      <c r="G4747" s="15"/>
      <c r="H4747" s="15"/>
      <c r="I4747" s="15"/>
      <c r="J4747" s="22">
        <v>7785</v>
      </c>
      <c r="K4747" s="15"/>
      <c r="L4747" s="17">
        <v>5</v>
      </c>
      <c r="M4747" s="17">
        <v>400</v>
      </c>
      <c r="N4747" s="17">
        <v>5</v>
      </c>
      <c r="O4747" s="18">
        <v>168.84</v>
      </c>
      <c r="P4747" s="18">
        <v>138.38999999999999</v>
      </c>
      <c r="Q4747" s="18">
        <v>168.84</v>
      </c>
      <c r="R4747" s="18">
        <v>138.38999999999999</v>
      </c>
      <c r="S4747" s="18">
        <v>114.81</v>
      </c>
      <c r="T4747" s="18">
        <v>94.11</v>
      </c>
      <c r="U4747" s="16"/>
      <c r="V4747" s="16"/>
      <c r="W4747" s="16" t="s">
        <v>40</v>
      </c>
      <c r="X4747" s="19">
        <v>2.4E-2</v>
      </c>
      <c r="Y4747" s="20">
        <v>6.0000000000000002E-5</v>
      </c>
      <c r="Z4747" s="21">
        <v>4601004200920</v>
      </c>
    </row>
    <row r="4748" spans="1:26" ht="12" customHeight="1" outlineLevel="4" x14ac:dyDescent="0.2">
      <c r="A4748" s="14" t="s">
        <v>9221</v>
      </c>
      <c r="B4748" s="26" t="s">
        <v>9222</v>
      </c>
      <c r="C4748" s="52"/>
      <c r="D4748" s="55">
        <f t="shared" si="74"/>
        <v>0</v>
      </c>
      <c r="E4748" s="63" t="str">
        <f>HYPERLINK("https://www.sds-group.ru/product/bita-dlya-shurupoverta-ph2-ph2h50-mm-2-sht-up-kranz-KR-92-0451/", "Инфо")</f>
        <v>Инфо</v>
      </c>
      <c r="F4748" s="16" t="s">
        <v>1001</v>
      </c>
      <c r="G4748" s="15"/>
      <c r="H4748" s="15"/>
      <c r="I4748" s="15"/>
      <c r="J4748" s="22">
        <v>3650</v>
      </c>
      <c r="K4748" s="15" t="s">
        <v>1126</v>
      </c>
      <c r="L4748" s="17">
        <v>5</v>
      </c>
      <c r="M4748" s="17">
        <v>400</v>
      </c>
      <c r="N4748" s="17">
        <v>5</v>
      </c>
      <c r="O4748" s="18">
        <v>143.35</v>
      </c>
      <c r="P4748" s="18">
        <v>117.5</v>
      </c>
      <c r="Q4748" s="18">
        <v>143.35</v>
      </c>
      <c r="R4748" s="18">
        <v>117.5</v>
      </c>
      <c r="S4748" s="18">
        <v>97.48</v>
      </c>
      <c r="T4748" s="18">
        <v>79.900000000000006</v>
      </c>
      <c r="U4748" s="16"/>
      <c r="V4748" s="16"/>
      <c r="W4748" s="16" t="s">
        <v>40</v>
      </c>
      <c r="X4748" s="19">
        <v>2.7E-2</v>
      </c>
      <c r="Y4748" s="20">
        <v>5.7000000000000003E-5</v>
      </c>
      <c r="Z4748" s="21">
        <v>4601004201163</v>
      </c>
    </row>
    <row r="4749" spans="1:26" ht="12" customHeight="1" outlineLevel="4" x14ac:dyDescent="0.2">
      <c r="A4749" s="14" t="s">
        <v>9223</v>
      </c>
      <c r="B4749" s="26" t="s">
        <v>9224</v>
      </c>
      <c r="C4749" s="52"/>
      <c r="D4749" s="55">
        <f t="shared" si="74"/>
        <v>0</v>
      </c>
      <c r="E4749" s="63" t="str">
        <f>HYPERLINK("https://www.sds-group.ru/product/bita-dlya-shurupoverta-ph2h110-mm-1-sht-up-kranz-KR-92-0409-1/", "Инфо")</f>
        <v>Инфо</v>
      </c>
      <c r="F4749" s="16" t="s">
        <v>1001</v>
      </c>
      <c r="G4749" s="15"/>
      <c r="H4749" s="15"/>
      <c r="I4749" s="15"/>
      <c r="J4749" s="22">
        <v>13874</v>
      </c>
      <c r="K4749" s="15"/>
      <c r="L4749" s="17">
        <v>10</v>
      </c>
      <c r="M4749" s="17">
        <v>250</v>
      </c>
      <c r="N4749" s="17">
        <v>10</v>
      </c>
      <c r="O4749" s="18">
        <v>148.4</v>
      </c>
      <c r="P4749" s="18">
        <v>121.64</v>
      </c>
      <c r="Q4749" s="18">
        <v>148.4</v>
      </c>
      <c r="R4749" s="18">
        <v>121.64</v>
      </c>
      <c r="S4749" s="18">
        <v>100.91</v>
      </c>
      <c r="T4749" s="18">
        <v>82.71</v>
      </c>
      <c r="U4749" s="16"/>
      <c r="V4749" s="16"/>
      <c r="W4749" s="16" t="s">
        <v>40</v>
      </c>
      <c r="X4749" s="19">
        <v>3.5000000000000003E-2</v>
      </c>
      <c r="Y4749" s="20">
        <v>9.5000000000000005E-5</v>
      </c>
      <c r="Z4749" s="21">
        <v>4601004200975</v>
      </c>
    </row>
    <row r="4750" spans="1:26" ht="12" customHeight="1" outlineLevel="4" x14ac:dyDescent="0.2">
      <c r="A4750" s="14" t="s">
        <v>9225</v>
      </c>
      <c r="B4750" s="26" t="s">
        <v>9226</v>
      </c>
      <c r="C4750" s="52"/>
      <c r="D4750" s="55">
        <f t="shared" si="74"/>
        <v>0</v>
      </c>
      <c r="E4750" s="63" t="str">
        <f>HYPERLINK("https://www.sds-group.ru/product/bita-dlya-shurupoverta-ph2h127-mm-1-sht-up-kranz-KR-92-0410-1/", "Инфо")</f>
        <v>Инфо</v>
      </c>
      <c r="F4750" s="16" t="s">
        <v>1001</v>
      </c>
      <c r="G4750" s="15"/>
      <c r="H4750" s="15"/>
      <c r="I4750" s="15"/>
      <c r="J4750" s="22">
        <v>3094</v>
      </c>
      <c r="K4750" s="15"/>
      <c r="L4750" s="17">
        <v>5</v>
      </c>
      <c r="M4750" s="17">
        <v>250</v>
      </c>
      <c r="N4750" s="17">
        <v>5</v>
      </c>
      <c r="O4750" s="18">
        <v>165.12</v>
      </c>
      <c r="P4750" s="18">
        <v>135.34</v>
      </c>
      <c r="Q4750" s="18">
        <v>165.12</v>
      </c>
      <c r="R4750" s="18">
        <v>135.34</v>
      </c>
      <c r="S4750" s="18">
        <v>112.28</v>
      </c>
      <c r="T4750" s="18">
        <v>92.03</v>
      </c>
      <c r="U4750" s="16"/>
      <c r="V4750" s="16"/>
      <c r="W4750" s="16" t="s">
        <v>40</v>
      </c>
      <c r="X4750" s="19">
        <v>3.9E-2</v>
      </c>
      <c r="Y4750" s="20">
        <v>9.7999999999999997E-5</v>
      </c>
      <c r="Z4750" s="21">
        <v>4601004200982</v>
      </c>
    </row>
    <row r="4751" spans="1:26" ht="12" customHeight="1" outlineLevel="4" x14ac:dyDescent="0.2">
      <c r="A4751" s="14" t="s">
        <v>9227</v>
      </c>
      <c r="B4751" s="26" t="s">
        <v>9228</v>
      </c>
      <c r="C4751" s="52"/>
      <c r="D4751" s="55">
        <f t="shared" si="74"/>
        <v>0</v>
      </c>
      <c r="E4751" s="63" t="str">
        <f>HYPERLINK("https://www.sds-group.ru/product/bita-dlya-shurupoverta-ph2h150-mm-1-sht-up-kranz-KR-92-0411-1/", "Инфо")</f>
        <v>Инфо</v>
      </c>
      <c r="F4751" s="16" t="s">
        <v>1001</v>
      </c>
      <c r="G4751" s="15"/>
      <c r="H4751" s="15"/>
      <c r="I4751" s="15"/>
      <c r="J4751" s="22">
        <v>5066</v>
      </c>
      <c r="K4751" s="15"/>
      <c r="L4751" s="17">
        <v>5</v>
      </c>
      <c r="M4751" s="17">
        <v>250</v>
      </c>
      <c r="N4751" s="17">
        <v>5</v>
      </c>
      <c r="O4751" s="18">
        <v>222.2</v>
      </c>
      <c r="P4751" s="18">
        <v>182.13</v>
      </c>
      <c r="Q4751" s="18">
        <v>222.2</v>
      </c>
      <c r="R4751" s="18">
        <v>182.13</v>
      </c>
      <c r="S4751" s="18">
        <v>151.1</v>
      </c>
      <c r="T4751" s="18">
        <v>123.85</v>
      </c>
      <c r="U4751" s="16"/>
      <c r="V4751" s="16"/>
      <c r="W4751" s="16" t="s">
        <v>40</v>
      </c>
      <c r="X4751" s="19">
        <v>4.4999999999999998E-2</v>
      </c>
      <c r="Y4751" s="20">
        <v>1.1400000000000001E-4</v>
      </c>
      <c r="Z4751" s="21">
        <v>4601004200999</v>
      </c>
    </row>
    <row r="4752" spans="1:26" ht="12" customHeight="1" outlineLevel="4" x14ac:dyDescent="0.2">
      <c r="A4752" s="14" t="s">
        <v>9229</v>
      </c>
      <c r="B4752" s="26" t="s">
        <v>9230</v>
      </c>
      <c r="C4752" s="52"/>
      <c r="D4752" s="55">
        <f t="shared" si="74"/>
        <v>0</v>
      </c>
      <c r="E4752" s="63" t="str">
        <f>HYPERLINK("https://www.sds-group.ru/product/bita-dlya-shurupoverta-ph2h25-mm-2-sht-up-kranz-KR-92-0414-1/", "Инфо")</f>
        <v>Инфо</v>
      </c>
      <c r="F4752" s="16" t="s">
        <v>1001</v>
      </c>
      <c r="G4752" s="15"/>
      <c r="H4752" s="15"/>
      <c r="I4752" s="15"/>
      <c r="J4752" s="17">
        <v>740</v>
      </c>
      <c r="K4752" s="15"/>
      <c r="L4752" s="17">
        <v>10</v>
      </c>
      <c r="M4752" s="17">
        <v>400</v>
      </c>
      <c r="N4752" s="17">
        <v>10</v>
      </c>
      <c r="O4752" s="18">
        <v>89.15</v>
      </c>
      <c r="P4752" s="18">
        <v>73.069999999999993</v>
      </c>
      <c r="Q4752" s="18">
        <v>89.15</v>
      </c>
      <c r="R4752" s="18">
        <v>73.069999999999993</v>
      </c>
      <c r="S4752" s="18">
        <v>60.62</v>
      </c>
      <c r="T4752" s="18">
        <v>49.69</v>
      </c>
      <c r="U4752" s="16"/>
      <c r="V4752" s="16"/>
      <c r="W4752" s="16" t="s">
        <v>40</v>
      </c>
      <c r="X4752" s="19">
        <v>1.7000000000000001E-2</v>
      </c>
      <c r="Y4752" s="20">
        <v>5.7000000000000003E-5</v>
      </c>
      <c r="Z4752" s="21">
        <v>4601004200937</v>
      </c>
    </row>
    <row r="4753" spans="1:26" ht="12" customHeight="1" outlineLevel="4" x14ac:dyDescent="0.2">
      <c r="A4753" s="14" t="s">
        <v>9231</v>
      </c>
      <c r="B4753" s="26" t="s">
        <v>9232</v>
      </c>
      <c r="C4753" s="52"/>
      <c r="D4753" s="55">
        <f t="shared" si="74"/>
        <v>0</v>
      </c>
      <c r="E4753" s="63" t="str">
        <f>HYPERLINK("https://www.sds-group.ru/product/bita-dlya-shurupoverta-ph2h50-mm-2-sht-up-kranz-KR-92-0415-1/", "Инфо")</f>
        <v>Инфо</v>
      </c>
      <c r="F4753" s="16" t="s">
        <v>1001</v>
      </c>
      <c r="G4753" s="15"/>
      <c r="H4753" s="15"/>
      <c r="I4753" s="15"/>
      <c r="J4753" s="22">
        <v>10012</v>
      </c>
      <c r="K4753" s="15" t="s">
        <v>1126</v>
      </c>
      <c r="L4753" s="17">
        <v>10</v>
      </c>
      <c r="M4753" s="17">
        <v>400</v>
      </c>
      <c r="N4753" s="17">
        <v>10</v>
      </c>
      <c r="O4753" s="18">
        <v>165.86</v>
      </c>
      <c r="P4753" s="18">
        <v>135.94999999999999</v>
      </c>
      <c r="Q4753" s="18">
        <v>132.69</v>
      </c>
      <c r="R4753" s="18">
        <v>108.76</v>
      </c>
      <c r="S4753" s="18">
        <v>112.78</v>
      </c>
      <c r="T4753" s="18">
        <v>92.44</v>
      </c>
      <c r="U4753" s="16"/>
      <c r="V4753" s="16"/>
      <c r="W4753" s="16" t="s">
        <v>40</v>
      </c>
      <c r="X4753" s="19">
        <v>2.7E-2</v>
      </c>
      <c r="Y4753" s="20">
        <v>6.0999999999999999E-5</v>
      </c>
      <c r="Z4753" s="21">
        <v>4601004200944</v>
      </c>
    </row>
    <row r="4754" spans="1:26" ht="12" customHeight="1" outlineLevel="4" x14ac:dyDescent="0.2">
      <c r="A4754" s="14" t="s">
        <v>9233</v>
      </c>
      <c r="B4754" s="26" t="s">
        <v>9234</v>
      </c>
      <c r="C4754" s="52"/>
      <c r="D4754" s="55">
        <f t="shared" si="74"/>
        <v>0</v>
      </c>
      <c r="E4754" s="63" t="str">
        <f>HYPERLINK("https://www.sds-group.ru/product/bita-dlya-shurupoverta-ph2h50-mm-pod-gipsokarton-2-sht-up-kranz-KR-92-0415-2/", "Инфо")</f>
        <v>Инфо</v>
      </c>
      <c r="F4754" s="16" t="s">
        <v>1001</v>
      </c>
      <c r="G4754" s="15"/>
      <c r="H4754" s="15"/>
      <c r="I4754" s="15"/>
      <c r="J4754" s="22">
        <v>7770</v>
      </c>
      <c r="K4754" s="15" t="s">
        <v>1126</v>
      </c>
      <c r="L4754" s="17">
        <v>10</v>
      </c>
      <c r="M4754" s="17">
        <v>400</v>
      </c>
      <c r="N4754" s="17">
        <v>10</v>
      </c>
      <c r="O4754" s="18">
        <v>194.13</v>
      </c>
      <c r="P4754" s="18">
        <v>159.12</v>
      </c>
      <c r="Q4754" s="18">
        <v>194.13</v>
      </c>
      <c r="R4754" s="18">
        <v>159.12</v>
      </c>
      <c r="S4754" s="18">
        <v>132.01</v>
      </c>
      <c r="T4754" s="18">
        <v>108.2</v>
      </c>
      <c r="U4754" s="16"/>
      <c r="V4754" s="16"/>
      <c r="W4754" s="16" t="s">
        <v>40</v>
      </c>
      <c r="X4754" s="19">
        <v>4.8000000000000001E-2</v>
      </c>
      <c r="Y4754" s="20">
        <v>1.4300000000000001E-4</v>
      </c>
      <c r="Z4754" s="21">
        <v>4601004201156</v>
      </c>
    </row>
    <row r="4755" spans="1:26" ht="12" customHeight="1" outlineLevel="4" x14ac:dyDescent="0.2">
      <c r="A4755" s="14" t="s">
        <v>9235</v>
      </c>
      <c r="B4755" s="26" t="s">
        <v>9236</v>
      </c>
      <c r="C4755" s="52"/>
      <c r="D4755" s="55">
        <f t="shared" si="74"/>
        <v>0</v>
      </c>
      <c r="E4755" s="63" t="str">
        <f>HYPERLINK("https://www.sds-group.ru/product/bita-dlya-shurupoverta-ph2h70-mm-1-sht-up-kranz-KR-92-0416-1/", "Инфо")</f>
        <v>Инфо</v>
      </c>
      <c r="F4755" s="16" t="s">
        <v>1001</v>
      </c>
      <c r="G4755" s="15"/>
      <c r="H4755" s="15"/>
      <c r="I4755" s="15"/>
      <c r="J4755" s="22">
        <v>43623</v>
      </c>
      <c r="K4755" s="15"/>
      <c r="L4755" s="17">
        <v>10</v>
      </c>
      <c r="M4755" s="17">
        <v>250</v>
      </c>
      <c r="N4755" s="17">
        <v>10</v>
      </c>
      <c r="O4755" s="18">
        <v>143.1</v>
      </c>
      <c r="P4755" s="18">
        <v>117.3</v>
      </c>
      <c r="Q4755" s="18">
        <v>143.1</v>
      </c>
      <c r="R4755" s="18">
        <v>117.3</v>
      </c>
      <c r="S4755" s="18">
        <v>97.31</v>
      </c>
      <c r="T4755" s="18">
        <v>79.760000000000005</v>
      </c>
      <c r="U4755" s="16"/>
      <c r="V4755" s="16"/>
      <c r="W4755" s="16" t="s">
        <v>40</v>
      </c>
      <c r="X4755" s="19">
        <v>2.4E-2</v>
      </c>
      <c r="Y4755" s="20">
        <v>8.7000000000000001E-5</v>
      </c>
      <c r="Z4755" s="21">
        <v>4601004200951</v>
      </c>
    </row>
    <row r="4756" spans="1:26" ht="12" customHeight="1" outlineLevel="4" x14ac:dyDescent="0.2">
      <c r="A4756" s="14" t="s">
        <v>9237</v>
      </c>
      <c r="B4756" s="26" t="s">
        <v>9238</v>
      </c>
      <c r="C4756" s="52"/>
      <c r="D4756" s="55">
        <f t="shared" si="74"/>
        <v>0</v>
      </c>
      <c r="E4756" s="63" t="str">
        <f>HYPERLINK("https://www.sds-group.ru/product/bita-dlya-shurupoverta-ph2h90-mm-1-sht-up-kranz-KR-92-0412-1/", "Инфо")</f>
        <v>Инфо</v>
      </c>
      <c r="F4756" s="16" t="s">
        <v>1001</v>
      </c>
      <c r="G4756" s="15"/>
      <c r="H4756" s="15"/>
      <c r="I4756" s="15"/>
      <c r="J4756" s="22">
        <v>4592</v>
      </c>
      <c r="K4756" s="15" t="s">
        <v>1126</v>
      </c>
      <c r="L4756" s="17">
        <v>10</v>
      </c>
      <c r="M4756" s="17">
        <v>250</v>
      </c>
      <c r="N4756" s="17">
        <v>10</v>
      </c>
      <c r="O4756" s="18">
        <v>159.99</v>
      </c>
      <c r="P4756" s="18">
        <v>131.13999999999999</v>
      </c>
      <c r="Q4756" s="18">
        <v>159.99</v>
      </c>
      <c r="R4756" s="18">
        <v>131.13999999999999</v>
      </c>
      <c r="S4756" s="18">
        <v>108.79</v>
      </c>
      <c r="T4756" s="18">
        <v>89.17</v>
      </c>
      <c r="U4756" s="16"/>
      <c r="V4756" s="16"/>
      <c r="W4756" s="16" t="s">
        <v>40</v>
      </c>
      <c r="X4756" s="19">
        <v>2.9000000000000001E-2</v>
      </c>
      <c r="Y4756" s="20">
        <v>8.8999999999999995E-5</v>
      </c>
      <c r="Z4756" s="21">
        <v>4601004200968</v>
      </c>
    </row>
    <row r="4757" spans="1:26" ht="12" customHeight="1" outlineLevel="4" x14ac:dyDescent="0.2">
      <c r="A4757" s="14" t="s">
        <v>9239</v>
      </c>
      <c r="B4757" s="26" t="s">
        <v>9240</v>
      </c>
      <c r="C4757" s="52"/>
      <c r="D4757" s="55">
        <f t="shared" si="74"/>
        <v>0</v>
      </c>
      <c r="E4757" s="63" t="str">
        <f>HYPERLINK("https://www.sds-group.ru/product/bita-dlya-shurupoverta-ph3h50-mm-2-sht-up-kranz-KR-92-0417-1/", "Инфо")</f>
        <v>Инфо</v>
      </c>
      <c r="F4757" s="16" t="s">
        <v>1001</v>
      </c>
      <c r="G4757" s="15"/>
      <c r="H4757" s="15"/>
      <c r="I4757" s="15"/>
      <c r="J4757" s="22">
        <v>2896</v>
      </c>
      <c r="K4757" s="15"/>
      <c r="L4757" s="17">
        <v>5</v>
      </c>
      <c r="M4757" s="17">
        <v>400</v>
      </c>
      <c r="N4757" s="17">
        <v>5</v>
      </c>
      <c r="O4757" s="18">
        <v>186.58</v>
      </c>
      <c r="P4757" s="18">
        <v>152.93</v>
      </c>
      <c r="Q4757" s="18">
        <v>130.61000000000001</v>
      </c>
      <c r="R4757" s="18">
        <v>107.06</v>
      </c>
      <c r="S4757" s="18">
        <v>126.87</v>
      </c>
      <c r="T4757" s="18">
        <v>103.99</v>
      </c>
      <c r="U4757" s="16"/>
      <c r="V4757" s="16"/>
      <c r="W4757" s="16" t="s">
        <v>40</v>
      </c>
      <c r="X4757" s="19">
        <v>2.8000000000000001E-2</v>
      </c>
      <c r="Y4757" s="20">
        <v>5.8E-5</v>
      </c>
      <c r="Z4757" s="21">
        <v>4601004201002</v>
      </c>
    </row>
    <row r="4758" spans="1:26" ht="12" customHeight="1" outlineLevel="4" x14ac:dyDescent="0.2">
      <c r="A4758" s="14" t="s">
        <v>9241</v>
      </c>
      <c r="B4758" s="26" t="s">
        <v>9242</v>
      </c>
      <c r="C4758" s="52"/>
      <c r="D4758" s="55">
        <f t="shared" si="74"/>
        <v>0</v>
      </c>
      <c r="E4758" s="63" t="str">
        <f>HYPERLINK("https://www.sds-group.ru/product/bita-dlya-shurupoverta-pz-fl1-x-pz-fl2h65-mm-2-sht-up-kranz-KR-92-0451-2/", "Инфо")</f>
        <v>Инфо</v>
      </c>
      <c r="F4758" s="16" t="s">
        <v>1001</v>
      </c>
      <c r="G4758" s="15"/>
      <c r="H4758" s="15"/>
      <c r="I4758" s="15"/>
      <c r="J4758" s="17">
        <v>801</v>
      </c>
      <c r="K4758" s="15"/>
      <c r="L4758" s="17">
        <v>5</v>
      </c>
      <c r="M4758" s="17">
        <v>400</v>
      </c>
      <c r="N4758" s="17">
        <v>5</v>
      </c>
      <c r="O4758" s="18">
        <v>247.94</v>
      </c>
      <c r="P4758" s="18">
        <v>203.23</v>
      </c>
      <c r="Q4758" s="18">
        <v>247.94</v>
      </c>
      <c r="R4758" s="18">
        <v>203.23</v>
      </c>
      <c r="S4758" s="18">
        <v>168.6</v>
      </c>
      <c r="T4758" s="18">
        <v>138.19999999999999</v>
      </c>
      <c r="U4758" s="16"/>
      <c r="V4758" s="16"/>
      <c r="W4758" s="16" t="s">
        <v>40</v>
      </c>
      <c r="X4758" s="19">
        <v>2.8000000000000001E-2</v>
      </c>
      <c r="Y4758" s="20">
        <v>5.8E-5</v>
      </c>
      <c r="Z4758" s="21">
        <v>4601004337411</v>
      </c>
    </row>
    <row r="4759" spans="1:26" ht="12" customHeight="1" outlineLevel="4" x14ac:dyDescent="0.2">
      <c r="A4759" s="14" t="s">
        <v>9243</v>
      </c>
      <c r="B4759" s="26" t="s">
        <v>9244</v>
      </c>
      <c r="C4759" s="52"/>
      <c r="D4759" s="55">
        <f t="shared" si="74"/>
        <v>0</v>
      </c>
      <c r="E4759" s="63" t="str">
        <f>HYPERLINK("https://www.sds-group.ru/product/bita-dlya-shurupoverta-pz-fl1h50-mm-2-sht-up-kranz-KR-92-0418-2/", "Инфо")</f>
        <v>Инфо</v>
      </c>
      <c r="F4759" s="16" t="s">
        <v>1001</v>
      </c>
      <c r="G4759" s="15"/>
      <c r="H4759" s="15"/>
      <c r="I4759" s="15"/>
      <c r="J4759" s="22">
        <v>1708</v>
      </c>
      <c r="K4759" s="15" t="s">
        <v>1126</v>
      </c>
      <c r="L4759" s="17">
        <v>5</v>
      </c>
      <c r="M4759" s="17">
        <v>400</v>
      </c>
      <c r="N4759" s="17">
        <v>5</v>
      </c>
      <c r="O4759" s="18">
        <v>191.89</v>
      </c>
      <c r="P4759" s="18">
        <v>157.29</v>
      </c>
      <c r="Q4759" s="18">
        <v>191.89</v>
      </c>
      <c r="R4759" s="18">
        <v>157.29</v>
      </c>
      <c r="S4759" s="18">
        <v>130.49</v>
      </c>
      <c r="T4759" s="18">
        <v>106.96</v>
      </c>
      <c r="U4759" s="16"/>
      <c r="V4759" s="16"/>
      <c r="W4759" s="16" t="s">
        <v>40</v>
      </c>
      <c r="X4759" s="19">
        <v>2.1999999999999999E-2</v>
      </c>
      <c r="Y4759" s="20">
        <v>5.7000000000000003E-5</v>
      </c>
      <c r="Z4759" s="21">
        <v>4601004316850</v>
      </c>
    </row>
    <row r="4760" spans="1:26" ht="12" customHeight="1" outlineLevel="4" x14ac:dyDescent="0.2">
      <c r="A4760" s="14" t="s">
        <v>9245</v>
      </c>
      <c r="B4760" s="26" t="s">
        <v>9246</v>
      </c>
      <c r="C4760" s="52"/>
      <c r="D4760" s="55">
        <f t="shared" si="74"/>
        <v>0</v>
      </c>
      <c r="E4760" s="63" t="str">
        <f>HYPERLINK("https://www.sds-group.ru/product/bita-dlya-shurupoverta-pz-fl2h50-mm-2-sht-up-kranz-KR-92-0419-2/", "Инфо")</f>
        <v>Инфо</v>
      </c>
      <c r="F4760" s="16" t="s">
        <v>1001</v>
      </c>
      <c r="G4760" s="15"/>
      <c r="H4760" s="15"/>
      <c r="I4760" s="15"/>
      <c r="J4760" s="17">
        <v>627</v>
      </c>
      <c r="K4760" s="15"/>
      <c r="L4760" s="17">
        <v>5</v>
      </c>
      <c r="M4760" s="17">
        <v>400</v>
      </c>
      <c r="N4760" s="17">
        <v>5</v>
      </c>
      <c r="O4760" s="18">
        <v>199.06</v>
      </c>
      <c r="P4760" s="18">
        <v>163.16</v>
      </c>
      <c r="Q4760" s="18">
        <v>199.06</v>
      </c>
      <c r="R4760" s="18">
        <v>163.16</v>
      </c>
      <c r="S4760" s="18">
        <v>135.36000000000001</v>
      </c>
      <c r="T4760" s="18">
        <v>110.95</v>
      </c>
      <c r="U4760" s="16"/>
      <c r="V4760" s="16"/>
      <c r="W4760" s="16" t="s">
        <v>40</v>
      </c>
      <c r="X4760" s="19">
        <v>2.3E-2</v>
      </c>
      <c r="Y4760" s="20">
        <v>5.8E-5</v>
      </c>
      <c r="Z4760" s="21">
        <v>4601004316775</v>
      </c>
    </row>
    <row r="4761" spans="1:26" ht="12" customHeight="1" outlineLevel="4" x14ac:dyDescent="0.2">
      <c r="A4761" s="14" t="s">
        <v>9247</v>
      </c>
      <c r="B4761" s="26" t="s">
        <v>9248</v>
      </c>
      <c r="C4761" s="52"/>
      <c r="D4761" s="55">
        <f t="shared" si="74"/>
        <v>0</v>
      </c>
      <c r="E4761" s="63" t="str">
        <f>HYPERLINK("https://www.sds-group.ru/product/bita-dlya-shurupoverta-pz1h50-mm-2-sht-up-kranz-KR-92-0418-1/", "Инфо")</f>
        <v>Инфо</v>
      </c>
      <c r="F4761" s="16" t="s">
        <v>1001</v>
      </c>
      <c r="G4761" s="15"/>
      <c r="H4761" s="15"/>
      <c r="I4761" s="15"/>
      <c r="J4761" s="22">
        <v>15998</v>
      </c>
      <c r="K4761" s="15"/>
      <c r="L4761" s="17">
        <v>10</v>
      </c>
      <c r="M4761" s="17">
        <v>400</v>
      </c>
      <c r="N4761" s="17">
        <v>10</v>
      </c>
      <c r="O4761" s="18">
        <v>133.56</v>
      </c>
      <c r="P4761" s="18">
        <v>109.48</v>
      </c>
      <c r="Q4761" s="18">
        <v>133.56</v>
      </c>
      <c r="R4761" s="18">
        <v>109.48</v>
      </c>
      <c r="S4761" s="18">
        <v>90.82</v>
      </c>
      <c r="T4761" s="18">
        <v>74.44</v>
      </c>
      <c r="U4761" s="16"/>
      <c r="V4761" s="16"/>
      <c r="W4761" s="16" t="s">
        <v>40</v>
      </c>
      <c r="X4761" s="19">
        <v>2.4E-2</v>
      </c>
      <c r="Y4761" s="20">
        <v>5.8E-5</v>
      </c>
      <c r="Z4761" s="21">
        <v>4601004201019</v>
      </c>
    </row>
    <row r="4762" spans="1:26" ht="12" customHeight="1" outlineLevel="4" x14ac:dyDescent="0.2">
      <c r="A4762" s="14" t="s">
        <v>9249</v>
      </c>
      <c r="B4762" s="26" t="s">
        <v>9250</v>
      </c>
      <c r="C4762" s="52"/>
      <c r="D4762" s="55">
        <f t="shared" si="74"/>
        <v>0</v>
      </c>
      <c r="E4762" s="63" t="str">
        <f>HYPERLINK("https://www.sds-group.ru/product/bita-dlya-shurupoverta-pz2h50-mm-2-sht-up-kranz-KR-92-0419-1/", "Инфо")</f>
        <v>Инфо</v>
      </c>
      <c r="F4762" s="16" t="s">
        <v>1001</v>
      </c>
      <c r="G4762" s="15"/>
      <c r="H4762" s="15"/>
      <c r="I4762" s="15"/>
      <c r="J4762" s="22">
        <v>33833</v>
      </c>
      <c r="K4762" s="15"/>
      <c r="L4762" s="17">
        <v>10</v>
      </c>
      <c r="M4762" s="17">
        <v>400</v>
      </c>
      <c r="N4762" s="17">
        <v>10</v>
      </c>
      <c r="O4762" s="18">
        <v>133.56</v>
      </c>
      <c r="P4762" s="18">
        <v>109.48</v>
      </c>
      <c r="Q4762" s="18">
        <v>133.56</v>
      </c>
      <c r="R4762" s="18">
        <v>109.48</v>
      </c>
      <c r="S4762" s="18">
        <v>90.82</v>
      </c>
      <c r="T4762" s="18">
        <v>74.44</v>
      </c>
      <c r="U4762" s="16"/>
      <c r="V4762" s="16"/>
      <c r="W4762" s="16" t="s">
        <v>40</v>
      </c>
      <c r="X4762" s="19">
        <v>2.8000000000000001E-2</v>
      </c>
      <c r="Y4762" s="20">
        <v>5.7000000000000003E-5</v>
      </c>
      <c r="Z4762" s="21">
        <v>4601004201026</v>
      </c>
    </row>
    <row r="4763" spans="1:26" ht="12" customHeight="1" outlineLevel="4" x14ac:dyDescent="0.2">
      <c r="A4763" s="14" t="s">
        <v>9251</v>
      </c>
      <c r="B4763" s="26" t="s">
        <v>9252</v>
      </c>
      <c r="C4763" s="52"/>
      <c r="D4763" s="55">
        <f t="shared" si="74"/>
        <v>0</v>
      </c>
      <c r="E4763" s="63" t="str">
        <f>HYPERLINK("https://www.sds-group.ru/product/bita-dlya-shurupoverta-pz3h50-mm-2-sht-up-kranz-KR-92-0420-1/", "Инфо")</f>
        <v>Инфо</v>
      </c>
      <c r="F4763" s="16" t="s">
        <v>1001</v>
      </c>
      <c r="G4763" s="15"/>
      <c r="H4763" s="15"/>
      <c r="I4763" s="15"/>
      <c r="J4763" s="22">
        <v>4073</v>
      </c>
      <c r="K4763" s="15"/>
      <c r="L4763" s="17">
        <v>5</v>
      </c>
      <c r="M4763" s="17">
        <v>400</v>
      </c>
      <c r="N4763" s="17">
        <v>5</v>
      </c>
      <c r="O4763" s="18">
        <v>143.77000000000001</v>
      </c>
      <c r="P4763" s="18">
        <v>117.84</v>
      </c>
      <c r="Q4763" s="18">
        <v>143.77000000000001</v>
      </c>
      <c r="R4763" s="18">
        <v>117.84</v>
      </c>
      <c r="S4763" s="18">
        <v>97.76</v>
      </c>
      <c r="T4763" s="18">
        <v>80.13</v>
      </c>
      <c r="U4763" s="16"/>
      <c r="V4763" s="16"/>
      <c r="W4763" s="16" t="s">
        <v>40</v>
      </c>
      <c r="X4763" s="19">
        <v>2.8000000000000001E-2</v>
      </c>
      <c r="Y4763" s="20">
        <v>5.3999999999999998E-5</v>
      </c>
      <c r="Z4763" s="21">
        <v>4601004201033</v>
      </c>
    </row>
    <row r="4764" spans="1:26" ht="12" customHeight="1" outlineLevel="4" x14ac:dyDescent="0.2">
      <c r="A4764" s="14" t="s">
        <v>9253</v>
      </c>
      <c r="B4764" s="26" t="s">
        <v>9254</v>
      </c>
      <c r="C4764" s="52"/>
      <c r="D4764" s="55">
        <f t="shared" si="74"/>
        <v>0</v>
      </c>
      <c r="E4764" s="63" t="str">
        <f>HYPERLINK("https://www.sds-group.ru/product/bita-dlya-shurupoverta-torx-t10h50-mm-2-sht-up-kranz-KR-92-0425-1/", "Инфо")</f>
        <v>Инфо</v>
      </c>
      <c r="F4764" s="16" t="s">
        <v>1001</v>
      </c>
      <c r="G4764" s="15"/>
      <c r="H4764" s="15"/>
      <c r="I4764" s="15"/>
      <c r="J4764" s="22">
        <v>7206</v>
      </c>
      <c r="K4764" s="15"/>
      <c r="L4764" s="17">
        <v>10</v>
      </c>
      <c r="M4764" s="17">
        <v>400</v>
      </c>
      <c r="N4764" s="17">
        <v>10</v>
      </c>
      <c r="O4764" s="18">
        <v>142.04</v>
      </c>
      <c r="P4764" s="18">
        <v>116.43</v>
      </c>
      <c r="Q4764" s="18">
        <v>142.04</v>
      </c>
      <c r="R4764" s="18">
        <v>116.43</v>
      </c>
      <c r="S4764" s="18">
        <v>96.59</v>
      </c>
      <c r="T4764" s="18">
        <v>79.17</v>
      </c>
      <c r="U4764" s="16"/>
      <c r="V4764" s="16"/>
      <c r="W4764" s="16" t="s">
        <v>40</v>
      </c>
      <c r="X4764" s="19">
        <v>2.3E-2</v>
      </c>
      <c r="Y4764" s="20">
        <v>5.7000000000000003E-5</v>
      </c>
      <c r="Z4764" s="21">
        <v>4601004201088</v>
      </c>
    </row>
    <row r="4765" spans="1:26" ht="12" customHeight="1" outlineLevel="4" x14ac:dyDescent="0.2">
      <c r="A4765" s="14" t="s">
        <v>9255</v>
      </c>
      <c r="B4765" s="26" t="s">
        <v>9256</v>
      </c>
      <c r="C4765" s="52"/>
      <c r="D4765" s="55">
        <f t="shared" si="74"/>
        <v>0</v>
      </c>
      <c r="E4765" s="63" t="str">
        <f>HYPERLINK("https://www.sds-group.ru/product/bita-dlya-shurupoverta-torx-t15h50-mm-2-sht-up-kranz-KR-92-0426-1/", "Инфо")</f>
        <v>Инфо</v>
      </c>
      <c r="F4765" s="16" t="s">
        <v>1001</v>
      </c>
      <c r="G4765" s="15"/>
      <c r="H4765" s="15"/>
      <c r="I4765" s="15"/>
      <c r="J4765" s="22">
        <v>10112</v>
      </c>
      <c r="K4765" s="15"/>
      <c r="L4765" s="17">
        <v>10</v>
      </c>
      <c r="M4765" s="17">
        <v>400</v>
      </c>
      <c r="N4765" s="17">
        <v>10</v>
      </c>
      <c r="O4765" s="18">
        <v>137.80000000000001</v>
      </c>
      <c r="P4765" s="18">
        <v>112.95</v>
      </c>
      <c r="Q4765" s="18">
        <v>137.80000000000001</v>
      </c>
      <c r="R4765" s="18">
        <v>112.95</v>
      </c>
      <c r="S4765" s="18">
        <v>93.7</v>
      </c>
      <c r="T4765" s="18">
        <v>76.8</v>
      </c>
      <c r="U4765" s="16"/>
      <c r="V4765" s="16"/>
      <c r="W4765" s="16" t="s">
        <v>40</v>
      </c>
      <c r="X4765" s="19">
        <v>2.4E-2</v>
      </c>
      <c r="Y4765" s="20">
        <v>5.5999999999999999E-5</v>
      </c>
      <c r="Z4765" s="21">
        <v>4601004201095</v>
      </c>
    </row>
    <row r="4766" spans="1:26" ht="12" customHeight="1" outlineLevel="4" x14ac:dyDescent="0.2">
      <c r="A4766" s="14" t="s">
        <v>9257</v>
      </c>
      <c r="B4766" s="26" t="s">
        <v>9258</v>
      </c>
      <c r="C4766" s="52"/>
      <c r="D4766" s="55">
        <f t="shared" si="74"/>
        <v>0</v>
      </c>
      <c r="E4766" s="63" t="str">
        <f>HYPERLINK("https://www.sds-group.ru/product/bita-dlya-shurupoverta-torx-t20h50-mm-2-sht-up-kranz-KR-92-0427-1/", "Инфо")</f>
        <v>Инфо</v>
      </c>
      <c r="F4766" s="16" t="s">
        <v>1001</v>
      </c>
      <c r="G4766" s="15"/>
      <c r="H4766" s="15"/>
      <c r="I4766" s="15"/>
      <c r="J4766" s="22">
        <v>6137</v>
      </c>
      <c r="K4766" s="15"/>
      <c r="L4766" s="17">
        <v>10</v>
      </c>
      <c r="M4766" s="17">
        <v>400</v>
      </c>
      <c r="N4766" s="17">
        <v>10</v>
      </c>
      <c r="O4766" s="18">
        <v>135.68</v>
      </c>
      <c r="P4766" s="18">
        <v>111.21</v>
      </c>
      <c r="Q4766" s="18">
        <v>135.68</v>
      </c>
      <c r="R4766" s="18">
        <v>111.21</v>
      </c>
      <c r="S4766" s="18">
        <v>92.26</v>
      </c>
      <c r="T4766" s="18">
        <v>75.62</v>
      </c>
      <c r="U4766" s="16"/>
      <c r="V4766" s="16"/>
      <c r="W4766" s="16" t="s">
        <v>40</v>
      </c>
      <c r="X4766" s="19">
        <v>2.5000000000000001E-2</v>
      </c>
      <c r="Y4766" s="20">
        <v>5.7000000000000003E-5</v>
      </c>
      <c r="Z4766" s="21">
        <v>4601004201101</v>
      </c>
    </row>
    <row r="4767" spans="1:26" ht="12" customHeight="1" outlineLevel="4" x14ac:dyDescent="0.2">
      <c r="A4767" s="14" t="s">
        <v>9259</v>
      </c>
      <c r="B4767" s="26" t="s">
        <v>9260</v>
      </c>
      <c r="C4767" s="52"/>
      <c r="D4767" s="55">
        <f t="shared" si="74"/>
        <v>0</v>
      </c>
      <c r="E4767" s="63" t="str">
        <f>HYPERLINK("https://www.sds-group.ru/product/bita-dlya-shurupoverta-torx-t25h50-mm-2-sht-up-kranz-KR-92-0428-1/", "Инфо")</f>
        <v>Инфо</v>
      </c>
      <c r="F4767" s="16" t="s">
        <v>1001</v>
      </c>
      <c r="G4767" s="15"/>
      <c r="H4767" s="15"/>
      <c r="I4767" s="15"/>
      <c r="J4767" s="22">
        <v>18527</v>
      </c>
      <c r="K4767" s="15"/>
      <c r="L4767" s="17">
        <v>10</v>
      </c>
      <c r="M4767" s="17">
        <v>400</v>
      </c>
      <c r="N4767" s="17">
        <v>10</v>
      </c>
      <c r="O4767" s="18">
        <v>127.2</v>
      </c>
      <c r="P4767" s="18">
        <v>104.26</v>
      </c>
      <c r="Q4767" s="18">
        <v>127.2</v>
      </c>
      <c r="R4767" s="18">
        <v>104.26</v>
      </c>
      <c r="S4767" s="18">
        <v>86.5</v>
      </c>
      <c r="T4767" s="18">
        <v>70.900000000000006</v>
      </c>
      <c r="U4767" s="16"/>
      <c r="V4767" s="16"/>
      <c r="W4767" s="16" t="s">
        <v>40</v>
      </c>
      <c r="X4767" s="19">
        <v>2.5999999999999999E-2</v>
      </c>
      <c r="Y4767" s="20">
        <v>5.7000000000000003E-5</v>
      </c>
      <c r="Z4767" s="21">
        <v>4601004201118</v>
      </c>
    </row>
    <row r="4768" spans="1:26" ht="12" customHeight="1" outlineLevel="4" x14ac:dyDescent="0.2">
      <c r="A4768" s="14" t="s">
        <v>9261</v>
      </c>
      <c r="B4768" s="26" t="s">
        <v>9262</v>
      </c>
      <c r="C4768" s="52"/>
      <c r="D4768" s="55">
        <f t="shared" si="74"/>
        <v>0</v>
      </c>
      <c r="E4768" s="63" t="str">
        <f>HYPERLINK("https://www.sds-group.ru/product/bita-dlya-shurupoverta-torx-t27h50-mm-2-sht-up-kranz-KR-92-0429-1/", "Инфо")</f>
        <v>Инфо</v>
      </c>
      <c r="F4768" s="16" t="s">
        <v>1001</v>
      </c>
      <c r="G4768" s="15"/>
      <c r="H4768" s="15"/>
      <c r="I4768" s="15"/>
      <c r="J4768" s="22">
        <v>2401</v>
      </c>
      <c r="K4768" s="15"/>
      <c r="L4768" s="17">
        <v>5</v>
      </c>
      <c r="M4768" s="17">
        <v>400</v>
      </c>
      <c r="N4768" s="17">
        <v>5</v>
      </c>
      <c r="O4768" s="18">
        <v>143.77000000000001</v>
      </c>
      <c r="P4768" s="18">
        <v>117.84</v>
      </c>
      <c r="Q4768" s="18">
        <v>143.77000000000001</v>
      </c>
      <c r="R4768" s="18">
        <v>117.84</v>
      </c>
      <c r="S4768" s="18">
        <v>97.76</v>
      </c>
      <c r="T4768" s="18">
        <v>80.13</v>
      </c>
      <c r="U4768" s="16"/>
      <c r="V4768" s="16"/>
      <c r="W4768" s="16" t="s">
        <v>40</v>
      </c>
      <c r="X4768" s="19">
        <v>2.8000000000000001E-2</v>
      </c>
      <c r="Y4768" s="20">
        <v>5.3999999999999998E-5</v>
      </c>
      <c r="Z4768" s="21">
        <v>4601004201125</v>
      </c>
    </row>
    <row r="4769" spans="1:26" ht="12" customHeight="1" outlineLevel="4" x14ac:dyDescent="0.2">
      <c r="A4769" s="14" t="s">
        <v>9263</v>
      </c>
      <c r="B4769" s="26" t="s">
        <v>9264</v>
      </c>
      <c r="C4769" s="52"/>
      <c r="D4769" s="55">
        <f t="shared" si="74"/>
        <v>0</v>
      </c>
      <c r="E4769" s="63" t="str">
        <f>HYPERLINK("https://www.sds-group.ru/product/bita-dlya-shurupoverta-torx-t30h50-mm-2-sht-up-kranz-KR-92-0430-1/", "Инфо")</f>
        <v>Инфо</v>
      </c>
      <c r="F4769" s="16" t="s">
        <v>1001</v>
      </c>
      <c r="G4769" s="15"/>
      <c r="H4769" s="15"/>
      <c r="I4769" s="15"/>
      <c r="J4769" s="22">
        <v>30420</v>
      </c>
      <c r="K4769" s="15"/>
      <c r="L4769" s="17">
        <v>10</v>
      </c>
      <c r="M4769" s="17">
        <v>400</v>
      </c>
      <c r="N4769" s="17">
        <v>10</v>
      </c>
      <c r="O4769" s="18">
        <v>161.93</v>
      </c>
      <c r="P4769" s="18">
        <v>132.72999999999999</v>
      </c>
      <c r="Q4769" s="18">
        <v>161.93</v>
      </c>
      <c r="R4769" s="18">
        <v>132.72999999999999</v>
      </c>
      <c r="S4769" s="18">
        <v>110.11</v>
      </c>
      <c r="T4769" s="18">
        <v>90.25</v>
      </c>
      <c r="U4769" s="16"/>
      <c r="V4769" s="16"/>
      <c r="W4769" s="16" t="s">
        <v>40</v>
      </c>
      <c r="X4769" s="19">
        <v>2.9000000000000001E-2</v>
      </c>
      <c r="Y4769" s="20">
        <v>5.8E-5</v>
      </c>
      <c r="Z4769" s="21">
        <v>4601004201132</v>
      </c>
    </row>
    <row r="4770" spans="1:26" ht="12" customHeight="1" outlineLevel="4" x14ac:dyDescent="0.2">
      <c r="A4770" s="14" t="s">
        <v>9265</v>
      </c>
      <c r="B4770" s="26" t="s">
        <v>9266</v>
      </c>
      <c r="C4770" s="52"/>
      <c r="D4770" s="55">
        <f t="shared" si="74"/>
        <v>0</v>
      </c>
      <c r="E4770" s="63" t="str">
        <f>HYPERLINK("https://www.sds-group.ru/product/bita-dlya-shurupoverta-torx-t40h50-mm-2-sht-up-kranz-KR-92-0431-1/", "Инфо")</f>
        <v>Инфо</v>
      </c>
      <c r="F4770" s="16" t="s">
        <v>1001</v>
      </c>
      <c r="G4770" s="15"/>
      <c r="H4770" s="15"/>
      <c r="I4770" s="15"/>
      <c r="J4770" s="22">
        <v>13512</v>
      </c>
      <c r="K4770" s="15"/>
      <c r="L4770" s="17">
        <v>10</v>
      </c>
      <c r="M4770" s="17">
        <v>400</v>
      </c>
      <c r="N4770" s="17">
        <v>10</v>
      </c>
      <c r="O4770" s="18">
        <v>148.4</v>
      </c>
      <c r="P4770" s="18">
        <v>121.64</v>
      </c>
      <c r="Q4770" s="18">
        <v>148.4</v>
      </c>
      <c r="R4770" s="18">
        <v>121.64</v>
      </c>
      <c r="S4770" s="18">
        <v>100.91</v>
      </c>
      <c r="T4770" s="18">
        <v>82.71</v>
      </c>
      <c r="U4770" s="16"/>
      <c r="V4770" s="16"/>
      <c r="W4770" s="16" t="s">
        <v>40</v>
      </c>
      <c r="X4770" s="19">
        <v>0.03</v>
      </c>
      <c r="Y4770" s="20">
        <v>5.5999999999999999E-5</v>
      </c>
      <c r="Z4770" s="21">
        <v>4601004201149</v>
      </c>
    </row>
    <row r="4771" spans="1:26" ht="12" customHeight="1" outlineLevel="4" x14ac:dyDescent="0.2">
      <c r="A4771" s="14" t="s">
        <v>9267</v>
      </c>
      <c r="B4771" s="26" t="s">
        <v>9268</v>
      </c>
      <c r="C4771" s="52"/>
      <c r="D4771" s="55">
        <f t="shared" si="74"/>
        <v>0</v>
      </c>
      <c r="E4771" s="63" t="str">
        <f>HYPERLINK("https://www.sds-group.ru/product/bita-dlya-shurupoverta-udarnaya-ph-2x50-dlya-shurupoverta-2-sht-up-kranz-KR-92-0441/", "Инфо")</f>
        <v>Инфо</v>
      </c>
      <c r="F4771" s="16" t="s">
        <v>1001</v>
      </c>
      <c r="G4771" s="15"/>
      <c r="H4771" s="15"/>
      <c r="I4771" s="15"/>
      <c r="J4771" s="22">
        <v>48982</v>
      </c>
      <c r="K4771" s="15"/>
      <c r="L4771" s="17">
        <v>10</v>
      </c>
      <c r="M4771" s="17">
        <v>400</v>
      </c>
      <c r="N4771" s="17">
        <v>10</v>
      </c>
      <c r="O4771" s="18">
        <v>135.68</v>
      </c>
      <c r="P4771" s="18">
        <v>111.21</v>
      </c>
      <c r="Q4771" s="18">
        <v>122.11</v>
      </c>
      <c r="R4771" s="18">
        <v>100.09</v>
      </c>
      <c r="S4771" s="18">
        <v>92.26</v>
      </c>
      <c r="T4771" s="18">
        <v>75.62</v>
      </c>
      <c r="U4771" s="16"/>
      <c r="V4771" s="16"/>
      <c r="W4771" s="16" t="s">
        <v>40</v>
      </c>
      <c r="X4771" s="19">
        <v>2.5000000000000001E-2</v>
      </c>
      <c r="Y4771" s="20">
        <v>5.5999999999999999E-5</v>
      </c>
      <c r="Z4771" s="21">
        <v>4601004200913</v>
      </c>
    </row>
    <row r="4772" spans="1:26" ht="12" customHeight="1" outlineLevel="4" x14ac:dyDescent="0.2">
      <c r="A4772" s="14" t="s">
        <v>9269</v>
      </c>
      <c r="B4772" s="26" t="s">
        <v>9270</v>
      </c>
      <c r="C4772" s="52"/>
      <c r="D4772" s="55">
        <f t="shared" si="74"/>
        <v>0</v>
      </c>
      <c r="E4772" s="63" t="str">
        <f>HYPERLINK("https://www.sds-group.ru/product/bita-shestigrannaya-dlya-shurupoverta-hex3h50-mm-2-sht-up-kranz-KR-92-0421-1/", "Инфо")</f>
        <v>Инфо</v>
      </c>
      <c r="F4772" s="16" t="s">
        <v>1001</v>
      </c>
      <c r="G4772" s="15"/>
      <c r="H4772" s="15"/>
      <c r="I4772" s="15"/>
      <c r="J4772" s="16" t="s">
        <v>100</v>
      </c>
      <c r="K4772" s="15"/>
      <c r="L4772" s="17">
        <v>5</v>
      </c>
      <c r="M4772" s="17">
        <v>400</v>
      </c>
      <c r="N4772" s="17">
        <v>5</v>
      </c>
      <c r="O4772" s="18">
        <v>143.1</v>
      </c>
      <c r="P4772" s="18">
        <v>117.3</v>
      </c>
      <c r="Q4772" s="18">
        <v>143.1</v>
      </c>
      <c r="R4772" s="18">
        <v>117.3</v>
      </c>
      <c r="S4772" s="18">
        <v>97.31</v>
      </c>
      <c r="T4772" s="18">
        <v>79.760000000000005</v>
      </c>
      <c r="U4772" s="16"/>
      <c r="V4772" s="16"/>
      <c r="W4772" s="16" t="s">
        <v>40</v>
      </c>
      <c r="X4772" s="19">
        <v>2.4E-2</v>
      </c>
      <c r="Y4772" s="20">
        <v>6.0999999999999999E-5</v>
      </c>
      <c r="Z4772" s="21">
        <v>4601004201040</v>
      </c>
    </row>
    <row r="4773" spans="1:26" ht="12" customHeight="1" outlineLevel="4" x14ac:dyDescent="0.2">
      <c r="A4773" s="14" t="s">
        <v>9271</v>
      </c>
      <c r="B4773" s="26" t="s">
        <v>9272</v>
      </c>
      <c r="C4773" s="52"/>
      <c r="D4773" s="55">
        <f t="shared" si="74"/>
        <v>0</v>
      </c>
      <c r="E4773" s="63" t="str">
        <f>HYPERLINK("https://www.sds-group.ru/product/bita-shestigrannaya-dlya-shurupoverta-hex4h50-mm-2-sht-up-kranz-KR-92-0422-1/", "Инфо")</f>
        <v>Инфо</v>
      </c>
      <c r="F4773" s="16" t="s">
        <v>1001</v>
      </c>
      <c r="G4773" s="15"/>
      <c r="H4773" s="15"/>
      <c r="I4773" s="15"/>
      <c r="J4773" s="22">
        <v>6596</v>
      </c>
      <c r="K4773" s="15"/>
      <c r="L4773" s="17">
        <v>10</v>
      </c>
      <c r="M4773" s="17">
        <v>400</v>
      </c>
      <c r="N4773" s="17">
        <v>10</v>
      </c>
      <c r="O4773" s="18">
        <v>143.1</v>
      </c>
      <c r="P4773" s="18">
        <v>117.3</v>
      </c>
      <c r="Q4773" s="18">
        <v>143.1</v>
      </c>
      <c r="R4773" s="18">
        <v>117.3</v>
      </c>
      <c r="S4773" s="18">
        <v>97.31</v>
      </c>
      <c r="T4773" s="18">
        <v>79.760000000000005</v>
      </c>
      <c r="U4773" s="16"/>
      <c r="V4773" s="16"/>
      <c r="W4773" s="16" t="s">
        <v>40</v>
      </c>
      <c r="X4773" s="19">
        <v>2.5999999999999999E-2</v>
      </c>
      <c r="Y4773" s="20">
        <v>6.0000000000000002E-5</v>
      </c>
      <c r="Z4773" s="21">
        <v>4601004201057</v>
      </c>
    </row>
    <row r="4774" spans="1:26" ht="12" customHeight="1" outlineLevel="4" x14ac:dyDescent="0.2">
      <c r="A4774" s="14" t="s">
        <v>9273</v>
      </c>
      <c r="B4774" s="26" t="s">
        <v>9274</v>
      </c>
      <c r="C4774" s="52"/>
      <c r="D4774" s="55">
        <f t="shared" si="74"/>
        <v>0</v>
      </c>
      <c r="E4774" s="63" t="str">
        <f>HYPERLINK("https://www.sds-group.ru/product/bita-shestigrannaya-dlya-shurupoverta-hex5h50-mm-2-sht-up-kranz-KR-92-0423-1/", "Инфо")</f>
        <v>Инфо</v>
      </c>
      <c r="F4774" s="16" t="s">
        <v>1001</v>
      </c>
      <c r="G4774" s="15"/>
      <c r="H4774" s="15"/>
      <c r="I4774" s="15"/>
      <c r="J4774" s="16" t="s">
        <v>100</v>
      </c>
      <c r="K4774" s="15" t="s">
        <v>1126</v>
      </c>
      <c r="L4774" s="17">
        <v>5</v>
      </c>
      <c r="M4774" s="17">
        <v>400</v>
      </c>
      <c r="N4774" s="17">
        <v>5</v>
      </c>
      <c r="O4774" s="18">
        <v>148.4</v>
      </c>
      <c r="P4774" s="18">
        <v>121.64</v>
      </c>
      <c r="Q4774" s="18">
        <v>148.4</v>
      </c>
      <c r="R4774" s="18">
        <v>121.64</v>
      </c>
      <c r="S4774" s="18">
        <v>100.91</v>
      </c>
      <c r="T4774" s="18">
        <v>82.71</v>
      </c>
      <c r="U4774" s="16"/>
      <c r="V4774" s="16"/>
      <c r="W4774" s="16" t="s">
        <v>40</v>
      </c>
      <c r="X4774" s="19">
        <v>2.9000000000000001E-2</v>
      </c>
      <c r="Y4774" s="20">
        <v>5.5999999999999999E-5</v>
      </c>
      <c r="Z4774" s="21">
        <v>4601004201064</v>
      </c>
    </row>
    <row r="4775" spans="1:26" ht="12" customHeight="1" outlineLevel="4" x14ac:dyDescent="0.2">
      <c r="A4775" s="14" t="s">
        <v>9275</v>
      </c>
      <c r="B4775" s="26" t="s">
        <v>9276</v>
      </c>
      <c r="C4775" s="52"/>
      <c r="D4775" s="55">
        <f t="shared" si="74"/>
        <v>0</v>
      </c>
      <c r="E4775" s="63" t="str">
        <f>HYPERLINK("https://www.sds-group.ru/product/bita-shestigrannaya-dlya-shurupoverta-hex6h50-mm-2-sht-up-kranz-KR-92-0424-1/", "Инфо")</f>
        <v>Инфо</v>
      </c>
      <c r="F4775" s="16" t="s">
        <v>1001</v>
      </c>
      <c r="G4775" s="15"/>
      <c r="H4775" s="15"/>
      <c r="I4775" s="15"/>
      <c r="J4775" s="22">
        <v>1896</v>
      </c>
      <c r="K4775" s="15"/>
      <c r="L4775" s="17">
        <v>10</v>
      </c>
      <c r="M4775" s="17">
        <v>400</v>
      </c>
      <c r="N4775" s="17">
        <v>10</v>
      </c>
      <c r="O4775" s="18">
        <v>143.77000000000001</v>
      </c>
      <c r="P4775" s="18">
        <v>117.84</v>
      </c>
      <c r="Q4775" s="18">
        <v>143.77000000000001</v>
      </c>
      <c r="R4775" s="18">
        <v>117.84</v>
      </c>
      <c r="S4775" s="18">
        <v>97.76</v>
      </c>
      <c r="T4775" s="18">
        <v>80.13</v>
      </c>
      <c r="U4775" s="16"/>
      <c r="V4775" s="16"/>
      <c r="W4775" s="16" t="s">
        <v>40</v>
      </c>
      <c r="X4775" s="19">
        <v>3.2000000000000001E-2</v>
      </c>
      <c r="Y4775" s="20">
        <v>5.7000000000000003E-5</v>
      </c>
      <c r="Z4775" s="21">
        <v>4601004201071</v>
      </c>
    </row>
    <row r="4776" spans="1:26" ht="12.95" customHeight="1" outlineLevel="2" x14ac:dyDescent="0.2">
      <c r="A4776" s="76" t="s">
        <v>9277</v>
      </c>
      <c r="B4776" s="76"/>
      <c r="C4776" s="77"/>
      <c r="D4776" s="58"/>
      <c r="E4776" s="68"/>
      <c r="F4776" s="13"/>
      <c r="G4776" s="13"/>
      <c r="H4776" s="13"/>
      <c r="I4776" s="13"/>
      <c r="J4776" s="13"/>
      <c r="K4776" s="13"/>
      <c r="L4776" s="13"/>
      <c r="M4776" s="13"/>
      <c r="N4776" s="13"/>
      <c r="O4776" s="13"/>
      <c r="P4776" s="13"/>
      <c r="Q4776" s="13"/>
      <c r="R4776" s="13"/>
      <c r="S4776" s="13"/>
      <c r="T4776" s="13"/>
      <c r="U4776" s="13"/>
      <c r="V4776" s="13"/>
      <c r="W4776" s="13"/>
      <c r="X4776" s="13"/>
      <c r="Y4776" s="13"/>
      <c r="Z4776" s="13"/>
    </row>
    <row r="4777" spans="1:26" ht="12" customHeight="1" outlineLevel="3" x14ac:dyDescent="0.2">
      <c r="A4777" s="32" t="s">
        <v>9278</v>
      </c>
      <c r="B4777" s="74" t="s">
        <v>9279</v>
      </c>
      <c r="C4777" s="50"/>
      <c r="D4777" s="53">
        <f t="shared" si="74"/>
        <v>0</v>
      </c>
      <c r="E4777" s="60" t="str">
        <f>HYPERLINK("https://www.sds-group.ru/product/nasadka-mikser-100h400mm-shestigrannyy-hvostovik-kranz-KR-92-0562/", "Инфо")</f>
        <v>Инфо</v>
      </c>
      <c r="F4777" s="34" t="s">
        <v>39</v>
      </c>
      <c r="G4777" s="33"/>
      <c r="H4777" s="33" t="s">
        <v>40</v>
      </c>
      <c r="I4777" s="33"/>
      <c r="J4777" s="34" t="s">
        <v>100</v>
      </c>
      <c r="K4777" s="33" t="s">
        <v>1266</v>
      </c>
      <c r="L4777" s="35">
        <v>1</v>
      </c>
      <c r="M4777" s="35">
        <v>20</v>
      </c>
      <c r="N4777" s="35">
        <v>1</v>
      </c>
      <c r="O4777" s="36">
        <v>244.97</v>
      </c>
      <c r="P4777" s="36">
        <v>200.8</v>
      </c>
      <c r="Q4777" s="36">
        <v>171.48</v>
      </c>
      <c r="R4777" s="36">
        <v>140.56</v>
      </c>
      <c r="S4777" s="36">
        <v>166.58</v>
      </c>
      <c r="T4777" s="36">
        <v>136.54</v>
      </c>
      <c r="U4777" s="34"/>
      <c r="V4777" s="34"/>
      <c r="W4777" s="34"/>
      <c r="X4777" s="37">
        <v>0.46400000000000002</v>
      </c>
      <c r="Y4777" s="38">
        <v>2.4459999999999998E-3</v>
      </c>
      <c r="Z4777" s="21">
        <v>4601004177116</v>
      </c>
    </row>
    <row r="4778" spans="1:26" ht="12" customHeight="1" outlineLevel="3" x14ac:dyDescent="0.2">
      <c r="A4778" s="14" t="s">
        <v>9280</v>
      </c>
      <c r="B4778" s="26" t="s">
        <v>9281</v>
      </c>
      <c r="C4778" s="52"/>
      <c r="D4778" s="55">
        <f t="shared" si="74"/>
        <v>0</v>
      </c>
      <c r="E4778" s="63" t="str">
        <f>HYPERLINK("https://www.sds-group.ru/product/nasadka-mikser-100h450mm-hvostovik-sds-plus-kranz-KR-92-0552/", "Инфо")</f>
        <v>Инфо</v>
      </c>
      <c r="F4778" s="16" t="s">
        <v>39</v>
      </c>
      <c r="G4778" s="15"/>
      <c r="H4778" s="15"/>
      <c r="I4778" s="15"/>
      <c r="J4778" s="17">
        <v>811</v>
      </c>
      <c r="K4778" s="15"/>
      <c r="L4778" s="17">
        <v>1</v>
      </c>
      <c r="M4778" s="17">
        <v>20</v>
      </c>
      <c r="N4778" s="17">
        <v>1</v>
      </c>
      <c r="O4778" s="18">
        <v>524.92999999999995</v>
      </c>
      <c r="P4778" s="18">
        <v>430.27</v>
      </c>
      <c r="Q4778" s="18">
        <v>498.68</v>
      </c>
      <c r="R4778" s="18">
        <v>408.75</v>
      </c>
      <c r="S4778" s="18">
        <v>356.95</v>
      </c>
      <c r="T4778" s="18">
        <v>292.58</v>
      </c>
      <c r="U4778" s="16"/>
      <c r="V4778" s="16"/>
      <c r="W4778" s="16" t="s">
        <v>40</v>
      </c>
      <c r="X4778" s="19">
        <v>0.49099999999999999</v>
      </c>
      <c r="Y4778" s="20">
        <v>2.5709999999999999E-3</v>
      </c>
      <c r="Z4778" s="21">
        <v>4601004177123</v>
      </c>
    </row>
    <row r="4779" spans="1:26" ht="12" customHeight="1" outlineLevel="3" x14ac:dyDescent="0.2">
      <c r="A4779" s="14" t="s">
        <v>9282</v>
      </c>
      <c r="B4779" s="26" t="s">
        <v>9283</v>
      </c>
      <c r="C4779" s="52"/>
      <c r="D4779" s="55">
        <f t="shared" si="74"/>
        <v>0</v>
      </c>
      <c r="E4779" s="63" t="str">
        <f>HYPERLINK("https://www.sds-group.ru/product/nasadka-mikser-60h400mm-shestigrannyy-hvostovik-kranz-KR-92-0560/", "Инфо")</f>
        <v>Инфо</v>
      </c>
      <c r="F4779" s="16" t="s">
        <v>39</v>
      </c>
      <c r="G4779" s="15"/>
      <c r="H4779" s="15"/>
      <c r="I4779" s="15"/>
      <c r="J4779" s="22">
        <v>9711</v>
      </c>
      <c r="K4779" s="15" t="s">
        <v>979</v>
      </c>
      <c r="L4779" s="17">
        <v>5</v>
      </c>
      <c r="M4779" s="17">
        <v>40</v>
      </c>
      <c r="N4779" s="17">
        <v>5</v>
      </c>
      <c r="O4779" s="18">
        <v>268.18</v>
      </c>
      <c r="P4779" s="18">
        <v>219.82</v>
      </c>
      <c r="Q4779" s="18">
        <v>254.77</v>
      </c>
      <c r="R4779" s="18">
        <v>208.83</v>
      </c>
      <c r="S4779" s="18">
        <v>182.36</v>
      </c>
      <c r="T4779" s="18">
        <v>149.47999999999999</v>
      </c>
      <c r="U4779" s="16"/>
      <c r="V4779" s="16"/>
      <c r="W4779" s="16" t="s">
        <v>40</v>
      </c>
      <c r="X4779" s="19">
        <v>0.29499999999999998</v>
      </c>
      <c r="Y4779" s="20">
        <v>8.0099999999999995E-4</v>
      </c>
      <c r="Z4779" s="21">
        <v>4601004177147</v>
      </c>
    </row>
    <row r="4780" spans="1:26" ht="12" customHeight="1" outlineLevel="3" x14ac:dyDescent="0.2">
      <c r="A4780" s="14" t="s">
        <v>9284</v>
      </c>
      <c r="B4780" s="26" t="s">
        <v>9285</v>
      </c>
      <c r="C4780" s="52"/>
      <c r="D4780" s="55">
        <f t="shared" si="74"/>
        <v>0</v>
      </c>
      <c r="E4780" s="63" t="str">
        <f>HYPERLINK("https://www.sds-group.ru/product/nasadka-mikser-80h400mm-hvostovik-sds-plus-kranz-KR-92-0551/", "Инфо")</f>
        <v>Инфо</v>
      </c>
      <c r="F4780" s="16" t="s">
        <v>39</v>
      </c>
      <c r="G4780" s="15"/>
      <c r="H4780" s="15"/>
      <c r="I4780" s="15"/>
      <c r="J4780" s="17">
        <v>442</v>
      </c>
      <c r="K4780" s="15" t="s">
        <v>979</v>
      </c>
      <c r="L4780" s="17">
        <v>5</v>
      </c>
      <c r="M4780" s="17">
        <v>40</v>
      </c>
      <c r="N4780" s="17">
        <v>5</v>
      </c>
      <c r="O4780" s="18">
        <v>366.53</v>
      </c>
      <c r="P4780" s="18">
        <v>300.43</v>
      </c>
      <c r="Q4780" s="18">
        <v>348.2</v>
      </c>
      <c r="R4780" s="18">
        <v>285.41000000000003</v>
      </c>
      <c r="S4780" s="18">
        <v>249.24</v>
      </c>
      <c r="T4780" s="18">
        <v>204.3</v>
      </c>
      <c r="U4780" s="16"/>
      <c r="V4780" s="16"/>
      <c r="W4780" s="16" t="s">
        <v>40</v>
      </c>
      <c r="X4780" s="19">
        <v>0.4</v>
      </c>
      <c r="Y4780" s="20">
        <v>1.2869999999999999E-3</v>
      </c>
      <c r="Z4780" s="21">
        <v>4601004177178</v>
      </c>
    </row>
    <row r="4781" spans="1:26" ht="12" customHeight="1" outlineLevel="3" x14ac:dyDescent="0.2">
      <c r="A4781" s="14" t="s">
        <v>9286</v>
      </c>
      <c r="B4781" s="26" t="s">
        <v>9287</v>
      </c>
      <c r="C4781" s="52"/>
      <c r="D4781" s="55">
        <f t="shared" si="74"/>
        <v>0</v>
      </c>
      <c r="E4781" s="63" t="str">
        <f>HYPERLINK("https://www.sds-group.ru/product/nasadka-mikser-80h400mm-shestigrannyy-hvostovik-kranz-KR-92-0561/", "Инфо")</f>
        <v>Инфо</v>
      </c>
      <c r="F4781" s="16" t="s">
        <v>39</v>
      </c>
      <c r="G4781" s="15"/>
      <c r="H4781" s="15"/>
      <c r="I4781" s="15"/>
      <c r="J4781" s="22">
        <v>2229</v>
      </c>
      <c r="K4781" s="15" t="s">
        <v>979</v>
      </c>
      <c r="L4781" s="17">
        <v>5</v>
      </c>
      <c r="M4781" s="17">
        <v>40</v>
      </c>
      <c r="N4781" s="17">
        <v>5</v>
      </c>
      <c r="O4781" s="18">
        <v>307.39</v>
      </c>
      <c r="P4781" s="18">
        <v>251.96</v>
      </c>
      <c r="Q4781" s="18">
        <v>292.02</v>
      </c>
      <c r="R4781" s="18">
        <v>239.36</v>
      </c>
      <c r="S4781" s="18">
        <v>209.03</v>
      </c>
      <c r="T4781" s="18">
        <v>171.34</v>
      </c>
      <c r="U4781" s="16"/>
      <c r="V4781" s="16"/>
      <c r="W4781" s="16" t="s">
        <v>40</v>
      </c>
      <c r="X4781" s="19">
        <v>0.27700000000000002</v>
      </c>
      <c r="Y4781" s="20">
        <v>1.2819999999999999E-3</v>
      </c>
      <c r="Z4781" s="21">
        <v>4601004177161</v>
      </c>
    </row>
    <row r="4782" spans="1:26" ht="12.95" customHeight="1" outlineLevel="2" x14ac:dyDescent="0.2">
      <c r="A4782" s="76" t="s">
        <v>9288</v>
      </c>
      <c r="B4782" s="76"/>
      <c r="C4782" s="77"/>
      <c r="D4782" s="58"/>
      <c r="E4782" s="68"/>
      <c r="F4782" s="13"/>
      <c r="G4782" s="13"/>
      <c r="H4782" s="13"/>
      <c r="I4782" s="13"/>
      <c r="J4782" s="13"/>
      <c r="K4782" s="13"/>
      <c r="L4782" s="13"/>
      <c r="M4782" s="13"/>
      <c r="N4782" s="13"/>
      <c r="O4782" s="13"/>
      <c r="P4782" s="13"/>
      <c r="Q4782" s="13"/>
      <c r="R4782" s="13"/>
      <c r="S4782" s="13"/>
      <c r="T4782" s="13"/>
      <c r="U4782" s="13"/>
      <c r="V4782" s="13"/>
      <c r="W4782" s="13"/>
      <c r="X4782" s="13"/>
      <c r="Y4782" s="13"/>
      <c r="Z4782" s="13"/>
    </row>
    <row r="4783" spans="1:26" ht="12.95" customHeight="1" outlineLevel="3" x14ac:dyDescent="0.2">
      <c r="A4783" s="76" t="s">
        <v>9289</v>
      </c>
      <c r="B4783" s="76"/>
      <c r="C4783" s="77"/>
      <c r="D4783" s="58"/>
      <c r="E4783" s="68"/>
      <c r="F4783" s="13"/>
      <c r="G4783" s="13"/>
      <c r="H4783" s="13"/>
      <c r="I4783" s="13"/>
      <c r="J4783" s="13"/>
      <c r="K4783" s="13"/>
      <c r="L4783" s="13"/>
      <c r="M4783" s="13"/>
      <c r="N4783" s="13"/>
      <c r="O4783" s="13"/>
      <c r="P4783" s="13"/>
      <c r="Q4783" s="13"/>
      <c r="R4783" s="13"/>
      <c r="S4783" s="13"/>
      <c r="T4783" s="13"/>
      <c r="U4783" s="13"/>
      <c r="V4783" s="13"/>
      <c r="W4783" s="13"/>
      <c r="X4783" s="13"/>
      <c r="Y4783" s="13"/>
      <c r="Z4783" s="13"/>
    </row>
    <row r="4784" spans="1:26" ht="12" customHeight="1" outlineLevel="4" x14ac:dyDescent="0.2">
      <c r="A4784" s="14" t="s">
        <v>9290</v>
      </c>
      <c r="B4784" s="26" t="s">
        <v>9291</v>
      </c>
      <c r="C4784" s="52"/>
      <c r="D4784" s="55">
        <f t="shared" si="74"/>
        <v>0</v>
      </c>
      <c r="E4784" s="63" t="str">
        <f>HYPERLINK("https://www.sds-group.ru/product/disk-almaznyy-dvoynoy-segmentnyy-125h22-2mm-suhaya-rezka-kranz-KR-90-0101-2/", "Инфо")</f>
        <v>Инфо</v>
      </c>
      <c r="F4784" s="16" t="s">
        <v>39</v>
      </c>
      <c r="G4784" s="15"/>
      <c r="H4784" s="15"/>
      <c r="I4784" s="15"/>
      <c r="J4784" s="17">
        <v>690</v>
      </c>
      <c r="K4784" s="15" t="s">
        <v>1058</v>
      </c>
      <c r="L4784" s="17">
        <v>1</v>
      </c>
      <c r="M4784" s="17">
        <v>50</v>
      </c>
      <c r="N4784" s="17">
        <v>1</v>
      </c>
      <c r="O4784" s="18">
        <v>3486.24</v>
      </c>
      <c r="P4784" s="18">
        <v>2857.57</v>
      </c>
      <c r="Q4784" s="18">
        <v>3033.03</v>
      </c>
      <c r="R4784" s="18">
        <v>2486.09</v>
      </c>
      <c r="S4784" s="18">
        <v>2370.64</v>
      </c>
      <c r="T4784" s="18">
        <v>1943.15</v>
      </c>
      <c r="U4784" s="16"/>
      <c r="V4784" s="16"/>
      <c r="W4784" s="16" t="s">
        <v>40</v>
      </c>
      <c r="X4784" s="19">
        <v>0.34300000000000003</v>
      </c>
      <c r="Y4784" s="20">
        <v>3.8999999999999999E-4</v>
      </c>
      <c r="Z4784" s="21">
        <v>4601004287259</v>
      </c>
    </row>
    <row r="4785" spans="1:26" ht="12" customHeight="1" outlineLevel="4" x14ac:dyDescent="0.2">
      <c r="A4785" s="14" t="s">
        <v>9292</v>
      </c>
      <c r="B4785" s="26" t="s">
        <v>9293</v>
      </c>
      <c r="C4785" s="52"/>
      <c r="D4785" s="55">
        <f t="shared" si="74"/>
        <v>0</v>
      </c>
      <c r="E4785" s="63" t="str">
        <f>HYPERLINK("https://www.sds-group.ru/product/disk-almaznyy-otreznoy-segmentnyy-115x22-2x2x10mm-kranz-KR-90-0100/", "Инфо")</f>
        <v>Инфо</v>
      </c>
      <c r="F4785" s="16" t="s">
        <v>39</v>
      </c>
      <c r="G4785" s="15"/>
      <c r="H4785" s="15"/>
      <c r="I4785" s="15"/>
      <c r="J4785" s="22">
        <v>1192</v>
      </c>
      <c r="K4785" s="15" t="s">
        <v>6434</v>
      </c>
      <c r="L4785" s="17">
        <v>5</v>
      </c>
      <c r="M4785" s="17">
        <v>200</v>
      </c>
      <c r="N4785" s="17">
        <v>5</v>
      </c>
      <c r="O4785" s="18">
        <v>265</v>
      </c>
      <c r="P4785" s="18">
        <v>217.21</v>
      </c>
      <c r="Q4785" s="18">
        <v>251.75</v>
      </c>
      <c r="R4785" s="18">
        <v>206.35</v>
      </c>
      <c r="S4785" s="18">
        <v>180.2</v>
      </c>
      <c r="T4785" s="18">
        <v>147.69999999999999</v>
      </c>
      <c r="U4785" s="16"/>
      <c r="V4785" s="16"/>
      <c r="W4785" s="16" t="s">
        <v>40</v>
      </c>
      <c r="X4785" s="19">
        <v>0.127</v>
      </c>
      <c r="Y4785" s="20">
        <v>1.5799999999999999E-4</v>
      </c>
      <c r="Z4785" s="21">
        <v>4601004177185</v>
      </c>
    </row>
    <row r="4786" spans="1:26" ht="12" customHeight="1" outlineLevel="4" x14ac:dyDescent="0.2">
      <c r="A4786" s="14" t="s">
        <v>9294</v>
      </c>
      <c r="B4786" s="26" t="s">
        <v>9295</v>
      </c>
      <c r="C4786" s="52"/>
      <c r="D4786" s="55">
        <f t="shared" si="74"/>
        <v>0</v>
      </c>
      <c r="E4786" s="63" t="str">
        <f>HYPERLINK("https://www.sds-group.ru/product/disk-almaznyy-otreznoy-segmentnyy-125x22-2x1-8x10mm-kranz-KR-90-0101/", "Инфо")</f>
        <v>Инфо</v>
      </c>
      <c r="F4786" s="16" t="s">
        <v>39</v>
      </c>
      <c r="G4786" s="15"/>
      <c r="H4786" s="15"/>
      <c r="I4786" s="15"/>
      <c r="J4786" s="22">
        <v>6484</v>
      </c>
      <c r="K4786" s="15" t="s">
        <v>1058</v>
      </c>
      <c r="L4786" s="17">
        <v>1</v>
      </c>
      <c r="M4786" s="17">
        <v>100</v>
      </c>
      <c r="N4786" s="17">
        <v>1</v>
      </c>
      <c r="O4786" s="18">
        <v>423.01</v>
      </c>
      <c r="P4786" s="18">
        <v>346.73</v>
      </c>
      <c r="Q4786" s="18">
        <v>401.86</v>
      </c>
      <c r="R4786" s="18">
        <v>329.39</v>
      </c>
      <c r="S4786" s="18">
        <v>287.64999999999998</v>
      </c>
      <c r="T4786" s="18">
        <v>235.78</v>
      </c>
      <c r="U4786" s="16"/>
      <c r="V4786" s="16"/>
      <c r="W4786" s="16" t="s">
        <v>40</v>
      </c>
      <c r="X4786" s="19">
        <v>0.14499999999999999</v>
      </c>
      <c r="Y4786" s="20">
        <v>1.9100000000000001E-4</v>
      </c>
      <c r="Z4786" s="21">
        <v>4601004177192</v>
      </c>
    </row>
    <row r="4787" spans="1:26" ht="12" customHeight="1" outlineLevel="4" x14ac:dyDescent="0.2">
      <c r="A4787" s="14" t="s">
        <v>9296</v>
      </c>
      <c r="B4787" s="26" t="s">
        <v>9297</v>
      </c>
      <c r="C4787" s="52"/>
      <c r="D4787" s="55">
        <f t="shared" si="74"/>
        <v>0</v>
      </c>
      <c r="E4787" s="63" t="str">
        <f>HYPERLINK("https://www.sds-group.ru/product/disk-almaznyy-otreznoy-segmentnyy-150x22-2x2x10mm-kranz-KR-90-0102/", "Инфо")</f>
        <v>Инфо</v>
      </c>
      <c r="F4787" s="16" t="s">
        <v>39</v>
      </c>
      <c r="G4787" s="15"/>
      <c r="H4787" s="15"/>
      <c r="I4787" s="15"/>
      <c r="J4787" s="17">
        <v>990</v>
      </c>
      <c r="K4787" s="15" t="s">
        <v>1058</v>
      </c>
      <c r="L4787" s="17">
        <v>1</v>
      </c>
      <c r="M4787" s="17">
        <v>100</v>
      </c>
      <c r="N4787" s="17">
        <v>1</v>
      </c>
      <c r="O4787" s="18">
        <v>678.4</v>
      </c>
      <c r="P4787" s="18">
        <v>556.07000000000005</v>
      </c>
      <c r="Q4787" s="18">
        <v>610.55999999999995</v>
      </c>
      <c r="R4787" s="18">
        <v>500.46</v>
      </c>
      <c r="S4787" s="18">
        <v>461.31</v>
      </c>
      <c r="T4787" s="18">
        <v>378.12</v>
      </c>
      <c r="U4787" s="16"/>
      <c r="V4787" s="16"/>
      <c r="W4787" s="16" t="s">
        <v>40</v>
      </c>
      <c r="X4787" s="19">
        <v>0.23599999999999999</v>
      </c>
      <c r="Y4787" s="20">
        <v>3.1700000000000001E-4</v>
      </c>
      <c r="Z4787" s="21">
        <v>4601004177208</v>
      </c>
    </row>
    <row r="4788" spans="1:26" ht="12" customHeight="1" outlineLevel="4" x14ac:dyDescent="0.2">
      <c r="A4788" s="14" t="s">
        <v>9298</v>
      </c>
      <c r="B4788" s="26" t="s">
        <v>9299</v>
      </c>
      <c r="C4788" s="52"/>
      <c r="D4788" s="55">
        <f t="shared" si="74"/>
        <v>0</v>
      </c>
      <c r="E4788" s="63" t="str">
        <f>HYPERLINK("https://www.sds-group.ru/product/disk-almaznyy-otreznoy-segmentnyy-180x22-2x2-2x10mm-kranz-KR-90-0103/", "Инфо")</f>
        <v>Инфо</v>
      </c>
      <c r="F4788" s="16" t="s">
        <v>39</v>
      </c>
      <c r="G4788" s="15"/>
      <c r="H4788" s="15"/>
      <c r="I4788" s="15"/>
      <c r="J4788" s="17">
        <v>680</v>
      </c>
      <c r="K4788" s="15" t="s">
        <v>662</v>
      </c>
      <c r="L4788" s="17">
        <v>1</v>
      </c>
      <c r="M4788" s="17">
        <v>50</v>
      </c>
      <c r="N4788" s="17">
        <v>1</v>
      </c>
      <c r="O4788" s="18">
        <v>685.82</v>
      </c>
      <c r="P4788" s="18">
        <v>562.15</v>
      </c>
      <c r="Q4788" s="18">
        <v>617.24</v>
      </c>
      <c r="R4788" s="18">
        <v>505.93</v>
      </c>
      <c r="S4788" s="18">
        <v>466.36</v>
      </c>
      <c r="T4788" s="18">
        <v>382.26</v>
      </c>
      <c r="U4788" s="16"/>
      <c r="V4788" s="16"/>
      <c r="W4788" s="16" t="s">
        <v>40</v>
      </c>
      <c r="X4788" s="19">
        <v>0.377</v>
      </c>
      <c r="Y4788" s="20">
        <v>3.8900000000000002E-4</v>
      </c>
      <c r="Z4788" s="21">
        <v>4601004177215</v>
      </c>
    </row>
    <row r="4789" spans="1:26" ht="12" customHeight="1" outlineLevel="4" x14ac:dyDescent="0.2">
      <c r="A4789" s="14" t="s">
        <v>9300</v>
      </c>
      <c r="B4789" s="26" t="s">
        <v>9301</v>
      </c>
      <c r="C4789" s="52"/>
      <c r="D4789" s="55">
        <f t="shared" si="74"/>
        <v>0</v>
      </c>
      <c r="E4789" s="63" t="str">
        <f>HYPERLINK("https://www.sds-group.ru/product/disk-almaznyy-otreznoy-segmentnyy-230x22-2x2-4x10mm-kranz-KR-90-0105/", "Инфо")</f>
        <v>Инфо</v>
      </c>
      <c r="F4789" s="16" t="s">
        <v>39</v>
      </c>
      <c r="G4789" s="15"/>
      <c r="H4789" s="15"/>
      <c r="I4789" s="15"/>
      <c r="J4789" s="22">
        <v>3876</v>
      </c>
      <c r="K4789" s="15"/>
      <c r="L4789" s="17">
        <v>1</v>
      </c>
      <c r="M4789" s="17">
        <v>40</v>
      </c>
      <c r="N4789" s="17">
        <v>1</v>
      </c>
      <c r="O4789" s="18">
        <v>1088.3800000000001</v>
      </c>
      <c r="P4789" s="18">
        <v>892.11</v>
      </c>
      <c r="Q4789" s="18">
        <v>968.66</v>
      </c>
      <c r="R4789" s="18">
        <v>793.98</v>
      </c>
      <c r="S4789" s="18">
        <v>740.1</v>
      </c>
      <c r="T4789" s="18">
        <v>606.64</v>
      </c>
      <c r="U4789" s="16"/>
      <c r="V4789" s="16"/>
      <c r="W4789" s="16" t="s">
        <v>40</v>
      </c>
      <c r="X4789" s="19">
        <v>0.64900000000000002</v>
      </c>
      <c r="Y4789" s="20">
        <v>5.7600000000000001E-4</v>
      </c>
      <c r="Z4789" s="21">
        <v>4601004177222</v>
      </c>
    </row>
    <row r="4790" spans="1:26" ht="12" customHeight="1" outlineLevel="4" x14ac:dyDescent="0.2">
      <c r="A4790" s="14" t="s">
        <v>9302</v>
      </c>
      <c r="B4790" s="26" t="s">
        <v>9303</v>
      </c>
      <c r="C4790" s="52"/>
      <c r="D4790" s="55">
        <f t="shared" si="74"/>
        <v>0</v>
      </c>
      <c r="E4790" s="63" t="str">
        <f>HYPERLINK("https://www.sds-group.ru/product/disk-almaznyy-otreznoy-turbo-segmentnyy-s-zaschitnymi-sektorami-125h22-2mm-kranz-KR-90-0106/", "Инфо")</f>
        <v>Инфо</v>
      </c>
      <c r="F4790" s="16" t="s">
        <v>39</v>
      </c>
      <c r="G4790" s="15"/>
      <c r="H4790" s="15"/>
      <c r="I4790" s="15"/>
      <c r="J4790" s="17">
        <v>104</v>
      </c>
      <c r="K4790" s="15" t="s">
        <v>1058</v>
      </c>
      <c r="L4790" s="17">
        <v>1</v>
      </c>
      <c r="M4790" s="17">
        <v>100</v>
      </c>
      <c r="N4790" s="17">
        <v>1</v>
      </c>
      <c r="O4790" s="18">
        <v>556.5</v>
      </c>
      <c r="P4790" s="18">
        <v>456.15</v>
      </c>
      <c r="Q4790" s="18">
        <v>500.85</v>
      </c>
      <c r="R4790" s="18">
        <v>410.53</v>
      </c>
      <c r="S4790" s="18">
        <v>378.42</v>
      </c>
      <c r="T4790" s="18">
        <v>310.18</v>
      </c>
      <c r="U4790" s="16"/>
      <c r="V4790" s="16"/>
      <c r="W4790" s="16" t="s">
        <v>40</v>
      </c>
      <c r="X4790" s="19">
        <v>0.16</v>
      </c>
      <c r="Y4790" s="20">
        <v>1.83E-4</v>
      </c>
      <c r="Z4790" s="21">
        <v>4601004283831</v>
      </c>
    </row>
    <row r="4791" spans="1:26" ht="12" customHeight="1" outlineLevel="4" x14ac:dyDescent="0.2">
      <c r="A4791" s="14" t="s">
        <v>9304</v>
      </c>
      <c r="B4791" s="26" t="s">
        <v>9305</v>
      </c>
      <c r="C4791" s="52"/>
      <c r="D4791" s="55">
        <f t="shared" si="74"/>
        <v>0</v>
      </c>
      <c r="E4791" s="63" t="str">
        <f>HYPERLINK("https://www.sds-group.ru/product/disk-almaznyy-otreznoy-turbo-segmentnyy-s-zaschitnymi-sektorami-230h22-2mm-kranz-KR-90-0108/", "Инфо")</f>
        <v>Инфо</v>
      </c>
      <c r="F4791" s="16" t="s">
        <v>39</v>
      </c>
      <c r="G4791" s="15"/>
      <c r="H4791" s="15"/>
      <c r="I4791" s="15"/>
      <c r="J4791" s="16" t="s">
        <v>100</v>
      </c>
      <c r="K4791" s="15" t="s">
        <v>662</v>
      </c>
      <c r="L4791" s="17">
        <v>1</v>
      </c>
      <c r="M4791" s="17">
        <v>40</v>
      </c>
      <c r="N4791" s="17">
        <v>1</v>
      </c>
      <c r="O4791" s="18">
        <v>1732.7</v>
      </c>
      <c r="P4791" s="18">
        <v>1420.25</v>
      </c>
      <c r="Q4791" s="18">
        <v>1542.1</v>
      </c>
      <c r="R4791" s="18">
        <v>1264.02</v>
      </c>
      <c r="S4791" s="18">
        <v>1178.24</v>
      </c>
      <c r="T4791" s="18">
        <v>965.77</v>
      </c>
      <c r="U4791" s="16"/>
      <c r="V4791" s="16"/>
      <c r="W4791" s="16" t="s">
        <v>40</v>
      </c>
      <c r="X4791" s="19">
        <v>0.67300000000000004</v>
      </c>
      <c r="Y4791" s="20">
        <v>4.9200000000000003E-4</v>
      </c>
      <c r="Z4791" s="21">
        <v>4601004283800</v>
      </c>
    </row>
    <row r="4792" spans="1:26" ht="12" customHeight="1" outlineLevel="4" x14ac:dyDescent="0.2">
      <c r="A4792" s="40" t="s">
        <v>9306</v>
      </c>
      <c r="B4792" s="75" t="s">
        <v>9307</v>
      </c>
      <c r="C4792" s="51"/>
      <c r="D4792" s="54">
        <f t="shared" si="74"/>
        <v>0</v>
      </c>
      <c r="E4792" s="61" t="str">
        <f>HYPERLINK("https://www.sds-group.ru/product/disk-almaznyy-troynoy-segmentnyy-125h22-2mm-suhaya-rezka-kranz-KR-90-0101-3/", "Инфо")</f>
        <v>Инфо</v>
      </c>
      <c r="F4792" s="42" t="s">
        <v>39</v>
      </c>
      <c r="G4792" s="41" t="s">
        <v>40</v>
      </c>
      <c r="H4792" s="41"/>
      <c r="I4792" s="41"/>
      <c r="J4792" s="43">
        <v>770</v>
      </c>
      <c r="K4792" s="41" t="s">
        <v>1058</v>
      </c>
      <c r="L4792" s="43">
        <v>1</v>
      </c>
      <c r="M4792" s="43">
        <v>50</v>
      </c>
      <c r="N4792" s="43">
        <v>1</v>
      </c>
      <c r="O4792" s="44">
        <v>4581.59</v>
      </c>
      <c r="P4792" s="44">
        <v>3755.4</v>
      </c>
      <c r="Q4792" s="44">
        <v>3665.27</v>
      </c>
      <c r="R4792" s="44">
        <v>3004.32</v>
      </c>
      <c r="S4792" s="44">
        <v>3115.48</v>
      </c>
      <c r="T4792" s="44">
        <v>2553.67</v>
      </c>
      <c r="U4792" s="42"/>
      <c r="V4792" s="42"/>
      <c r="W4792" s="42" t="s">
        <v>40</v>
      </c>
      <c r="X4792" s="45">
        <v>0.52700000000000002</v>
      </c>
      <c r="Y4792" s="46">
        <v>5.04E-4</v>
      </c>
      <c r="Z4792" s="21">
        <v>4601004305038</v>
      </c>
    </row>
    <row r="4793" spans="1:26" ht="12.95" customHeight="1" outlineLevel="3" x14ac:dyDescent="0.2">
      <c r="A4793" s="76" t="s">
        <v>9308</v>
      </c>
      <c r="B4793" s="76"/>
      <c r="C4793" s="77"/>
      <c r="D4793" s="58"/>
      <c r="E4793" s="68"/>
      <c r="F4793" s="13"/>
      <c r="G4793" s="13"/>
      <c r="H4793" s="13"/>
      <c r="I4793" s="13"/>
      <c r="J4793" s="13"/>
      <c r="K4793" s="13"/>
      <c r="L4793" s="13"/>
      <c r="M4793" s="13"/>
      <c r="N4793" s="13"/>
      <c r="O4793" s="13"/>
      <c r="P4793" s="13"/>
      <c r="Q4793" s="13"/>
      <c r="R4793" s="13"/>
      <c r="S4793" s="13"/>
      <c r="T4793" s="13"/>
      <c r="U4793" s="13"/>
      <c r="V4793" s="13"/>
      <c r="W4793" s="13"/>
      <c r="X4793" s="13"/>
      <c r="Y4793" s="13"/>
      <c r="Z4793" s="13"/>
    </row>
    <row r="4794" spans="1:26" ht="12" customHeight="1" outlineLevel="4" x14ac:dyDescent="0.2">
      <c r="A4794" s="14" t="s">
        <v>9309</v>
      </c>
      <c r="B4794" s="26" t="s">
        <v>9310</v>
      </c>
      <c r="C4794" s="52"/>
      <c r="D4794" s="55">
        <f t="shared" si="74"/>
        <v>0</v>
      </c>
      <c r="E4794" s="63" t="str">
        <f>HYPERLINK("https://www.sds-group.ru/product/disk-almaznyy-otreznoy-sploshnoy-115x22-2x1-8x10mm-kranz-KR-90-0110/", "Инфо")</f>
        <v>Инфо</v>
      </c>
      <c r="F4794" s="16" t="s">
        <v>39</v>
      </c>
      <c r="G4794" s="15"/>
      <c r="H4794" s="15"/>
      <c r="I4794" s="15"/>
      <c r="J4794" s="17">
        <v>417</v>
      </c>
      <c r="K4794" s="15"/>
      <c r="L4794" s="17">
        <v>5</v>
      </c>
      <c r="M4794" s="17">
        <v>200</v>
      </c>
      <c r="N4794" s="17">
        <v>5</v>
      </c>
      <c r="O4794" s="18">
        <v>307.8</v>
      </c>
      <c r="P4794" s="18">
        <v>252.3</v>
      </c>
      <c r="Q4794" s="18">
        <v>292.41000000000003</v>
      </c>
      <c r="R4794" s="18">
        <v>239.68</v>
      </c>
      <c r="S4794" s="18">
        <v>209.3</v>
      </c>
      <c r="T4794" s="18">
        <v>171.56</v>
      </c>
      <c r="U4794" s="16"/>
      <c r="V4794" s="16"/>
      <c r="W4794" s="16" t="s">
        <v>40</v>
      </c>
      <c r="X4794" s="19">
        <v>0.13200000000000001</v>
      </c>
      <c r="Y4794" s="20">
        <v>1.56E-4</v>
      </c>
      <c r="Z4794" s="21">
        <v>4601004177239</v>
      </c>
    </row>
    <row r="4795" spans="1:26" ht="12" customHeight="1" outlineLevel="4" x14ac:dyDescent="0.2">
      <c r="A4795" s="14" t="s">
        <v>9311</v>
      </c>
      <c r="B4795" s="26" t="s">
        <v>9312</v>
      </c>
      <c r="C4795" s="52"/>
      <c r="D4795" s="55">
        <f t="shared" si="74"/>
        <v>0</v>
      </c>
      <c r="E4795" s="63" t="str">
        <f>HYPERLINK("https://www.sds-group.ru/product/disk-almaznyy-otreznoy-sploshnoy-125x22-2x1-8x10mm-kranz-KR-90-0111/", "Инфо")</f>
        <v>Инфо</v>
      </c>
      <c r="F4795" s="16" t="s">
        <v>39</v>
      </c>
      <c r="G4795" s="15"/>
      <c r="H4795" s="15"/>
      <c r="I4795" s="15"/>
      <c r="J4795" s="17">
        <v>341</v>
      </c>
      <c r="K4795" s="15" t="s">
        <v>1058</v>
      </c>
      <c r="L4795" s="17">
        <v>5</v>
      </c>
      <c r="M4795" s="17">
        <v>100</v>
      </c>
      <c r="N4795" s="17">
        <v>5</v>
      </c>
      <c r="O4795" s="18">
        <v>350.62</v>
      </c>
      <c r="P4795" s="18">
        <v>287.39</v>
      </c>
      <c r="Q4795" s="18">
        <v>315.56</v>
      </c>
      <c r="R4795" s="18">
        <v>258.66000000000003</v>
      </c>
      <c r="S4795" s="18">
        <v>238.42</v>
      </c>
      <c r="T4795" s="18">
        <v>195.43</v>
      </c>
      <c r="U4795" s="16"/>
      <c r="V4795" s="16"/>
      <c r="W4795" s="16" t="s">
        <v>40</v>
      </c>
      <c r="X4795" s="19">
        <v>0.152</v>
      </c>
      <c r="Y4795" s="20">
        <v>2.0900000000000001E-4</v>
      </c>
      <c r="Z4795" s="21">
        <v>4601004177246</v>
      </c>
    </row>
    <row r="4796" spans="1:26" ht="12" customHeight="1" outlineLevel="4" x14ac:dyDescent="0.2">
      <c r="A4796" s="14" t="s">
        <v>9313</v>
      </c>
      <c r="B4796" s="26" t="s">
        <v>9314</v>
      </c>
      <c r="C4796" s="52"/>
      <c r="D4796" s="55">
        <f t="shared" si="74"/>
        <v>0</v>
      </c>
      <c r="E4796" s="63" t="str">
        <f>HYPERLINK("https://www.sds-group.ru/product/disk-almaznyy-otreznoy-sploshnoy-180x25-4-22-2x1-8x10mm-kranz-KR-90-0113/", "Инфо")</f>
        <v>Инфо</v>
      </c>
      <c r="F4796" s="16" t="s">
        <v>39</v>
      </c>
      <c r="G4796" s="15"/>
      <c r="H4796" s="15"/>
      <c r="I4796" s="15"/>
      <c r="J4796" s="17">
        <v>215</v>
      </c>
      <c r="K4796" s="15" t="s">
        <v>1058</v>
      </c>
      <c r="L4796" s="17">
        <v>1</v>
      </c>
      <c r="M4796" s="17">
        <v>50</v>
      </c>
      <c r="N4796" s="17">
        <v>1</v>
      </c>
      <c r="O4796" s="18">
        <v>707.35</v>
      </c>
      <c r="P4796" s="18">
        <v>579.79999999999995</v>
      </c>
      <c r="Q4796" s="18">
        <v>636.62</v>
      </c>
      <c r="R4796" s="18">
        <v>521.82000000000005</v>
      </c>
      <c r="S4796" s="18">
        <v>481</v>
      </c>
      <c r="T4796" s="18">
        <v>394.26</v>
      </c>
      <c r="U4796" s="16"/>
      <c r="V4796" s="16"/>
      <c r="W4796" s="16" t="s">
        <v>40</v>
      </c>
      <c r="X4796" s="19">
        <v>0.39</v>
      </c>
      <c r="Y4796" s="20">
        <v>3.9300000000000001E-4</v>
      </c>
      <c r="Z4796" s="21">
        <v>4601004177253</v>
      </c>
    </row>
    <row r="4797" spans="1:26" ht="12" customHeight="1" outlineLevel="4" x14ac:dyDescent="0.2">
      <c r="A4797" s="32" t="s">
        <v>9315</v>
      </c>
      <c r="B4797" s="74" t="s">
        <v>9316</v>
      </c>
      <c r="C4797" s="50"/>
      <c r="D4797" s="53">
        <f t="shared" si="74"/>
        <v>0</v>
      </c>
      <c r="E4797" s="60" t="str">
        <f>HYPERLINK("https://www.sds-group.ru/product/disk-almaznyy-otreznoy-sploshnoy-200x25-4-22-2x2x10mm-kranz-KR-90-0114/", "Инфо")</f>
        <v>Инфо</v>
      </c>
      <c r="F4797" s="34" t="s">
        <v>39</v>
      </c>
      <c r="G4797" s="33"/>
      <c r="H4797" s="33" t="s">
        <v>40</v>
      </c>
      <c r="I4797" s="33"/>
      <c r="J4797" s="35">
        <v>154</v>
      </c>
      <c r="K4797" s="33"/>
      <c r="L4797" s="35">
        <v>1</v>
      </c>
      <c r="M4797" s="35">
        <v>40</v>
      </c>
      <c r="N4797" s="35">
        <v>1</v>
      </c>
      <c r="O4797" s="36">
        <v>997.44</v>
      </c>
      <c r="P4797" s="36">
        <v>817.57</v>
      </c>
      <c r="Q4797" s="36">
        <v>897.7</v>
      </c>
      <c r="R4797" s="36">
        <v>735.82</v>
      </c>
      <c r="S4797" s="36">
        <v>678.26</v>
      </c>
      <c r="T4797" s="36">
        <v>555.95000000000005</v>
      </c>
      <c r="U4797" s="34"/>
      <c r="V4797" s="34"/>
      <c r="W4797" s="34" t="s">
        <v>40</v>
      </c>
      <c r="X4797" s="37">
        <v>0.46600000000000003</v>
      </c>
      <c r="Y4797" s="38">
        <v>4.0499999999999998E-4</v>
      </c>
      <c r="Z4797" s="21">
        <v>4601004200111</v>
      </c>
    </row>
    <row r="4798" spans="1:26" ht="12" customHeight="1" outlineLevel="4" x14ac:dyDescent="0.2">
      <c r="A4798" s="14" t="s">
        <v>9317</v>
      </c>
      <c r="B4798" s="26" t="s">
        <v>9318</v>
      </c>
      <c r="C4798" s="52"/>
      <c r="D4798" s="55">
        <f t="shared" si="74"/>
        <v>0</v>
      </c>
      <c r="E4798" s="63" t="str">
        <f>HYPERLINK("https://www.sds-group.ru/product/disk-almaznyy-otreznoy-sploshnoy-230x22-2x2-4x10mm-kranz-KR-90-0115/", "Инфо")</f>
        <v>Инфо</v>
      </c>
      <c r="F4798" s="16" t="s">
        <v>39</v>
      </c>
      <c r="G4798" s="15"/>
      <c r="H4798" s="15"/>
      <c r="I4798" s="15"/>
      <c r="J4798" s="17">
        <v>855</v>
      </c>
      <c r="K4798" s="15"/>
      <c r="L4798" s="17">
        <v>1</v>
      </c>
      <c r="M4798" s="17">
        <v>40</v>
      </c>
      <c r="N4798" s="17">
        <v>1</v>
      </c>
      <c r="O4798" s="18">
        <v>1099.8599999999999</v>
      </c>
      <c r="P4798" s="18">
        <v>901.52</v>
      </c>
      <c r="Q4798" s="18">
        <v>978.88</v>
      </c>
      <c r="R4798" s="18">
        <v>802.36</v>
      </c>
      <c r="S4798" s="18">
        <v>747.9</v>
      </c>
      <c r="T4798" s="18">
        <v>613.03</v>
      </c>
      <c r="U4798" s="16"/>
      <c r="V4798" s="16"/>
      <c r="W4798" s="16" t="s">
        <v>40</v>
      </c>
      <c r="X4798" s="19">
        <v>0.65700000000000003</v>
      </c>
      <c r="Y4798" s="20">
        <v>4.8899999999999996E-4</v>
      </c>
      <c r="Z4798" s="21">
        <v>4601004177260</v>
      </c>
    </row>
    <row r="4799" spans="1:26" ht="12" customHeight="1" outlineLevel="4" x14ac:dyDescent="0.2">
      <c r="A4799" s="14" t="s">
        <v>9319</v>
      </c>
      <c r="B4799" s="26" t="s">
        <v>9320</v>
      </c>
      <c r="C4799" s="52"/>
      <c r="D4799" s="55">
        <f t="shared" si="74"/>
        <v>0</v>
      </c>
      <c r="E4799" s="63" t="str">
        <f>HYPERLINK("https://www.sds-group.ru/product/disk-almaznyy-otreznoy-sploshnoy-125h22-2mm-suhoy-mokryy-rez-kranz-KR-90-0116/", "Инфо")</f>
        <v>Инфо</v>
      </c>
      <c r="F4799" s="16" t="s">
        <v>39</v>
      </c>
      <c r="G4799" s="15"/>
      <c r="H4799" s="15"/>
      <c r="I4799" s="15"/>
      <c r="J4799" s="17">
        <v>577</v>
      </c>
      <c r="K4799" s="15"/>
      <c r="L4799" s="17">
        <v>1</v>
      </c>
      <c r="M4799" s="17">
        <v>100</v>
      </c>
      <c r="N4799" s="17">
        <v>1</v>
      </c>
      <c r="O4799" s="18">
        <v>611.54</v>
      </c>
      <c r="P4799" s="18">
        <v>501.26</v>
      </c>
      <c r="Q4799" s="18">
        <v>550.39</v>
      </c>
      <c r="R4799" s="18">
        <v>451.14</v>
      </c>
      <c r="S4799" s="18">
        <v>415.85</v>
      </c>
      <c r="T4799" s="18">
        <v>340.86</v>
      </c>
      <c r="U4799" s="16"/>
      <c r="V4799" s="16"/>
      <c r="W4799" s="16" t="s">
        <v>40</v>
      </c>
      <c r="X4799" s="19">
        <v>0.154</v>
      </c>
      <c r="Y4799" s="20">
        <v>1.7899999999999999E-4</v>
      </c>
      <c r="Z4799" s="21">
        <v>4601004283817</v>
      </c>
    </row>
    <row r="4800" spans="1:26" ht="12" customHeight="1" outlineLevel="4" x14ac:dyDescent="0.2">
      <c r="A4800" s="14" t="s">
        <v>9321</v>
      </c>
      <c r="B4800" s="26" t="s">
        <v>9322</v>
      </c>
      <c r="C4800" s="52"/>
      <c r="D4800" s="55">
        <f t="shared" si="74"/>
        <v>0</v>
      </c>
      <c r="E4800" s="63" t="str">
        <f>HYPERLINK("https://www.sds-group.ru/product/disk-almaznyy-otreznoy-sploshnoy-230h22-2mm-suhoy-mokryy-rez-kranz-KR-90-0118/", "Инфо")</f>
        <v>Инфо</v>
      </c>
      <c r="F4800" s="16" t="s">
        <v>39</v>
      </c>
      <c r="G4800" s="15"/>
      <c r="H4800" s="15"/>
      <c r="I4800" s="15"/>
      <c r="J4800" s="17">
        <v>455</v>
      </c>
      <c r="K4800" s="15"/>
      <c r="L4800" s="17">
        <v>1</v>
      </c>
      <c r="M4800" s="17">
        <v>40</v>
      </c>
      <c r="N4800" s="17">
        <v>1</v>
      </c>
      <c r="O4800" s="18">
        <v>1263.8499999999999</v>
      </c>
      <c r="P4800" s="18">
        <v>1035.94</v>
      </c>
      <c r="Q4800" s="18">
        <v>1124.83</v>
      </c>
      <c r="R4800" s="18">
        <v>921.99</v>
      </c>
      <c r="S4800" s="18">
        <v>859.42</v>
      </c>
      <c r="T4800" s="18">
        <v>704.44</v>
      </c>
      <c r="U4800" s="16"/>
      <c r="V4800" s="16"/>
      <c r="W4800" s="16" t="s">
        <v>40</v>
      </c>
      <c r="X4800" s="19">
        <v>0.66700000000000004</v>
      </c>
      <c r="Y4800" s="20">
        <v>4.95E-4</v>
      </c>
      <c r="Z4800" s="21">
        <v>4601004283824</v>
      </c>
    </row>
    <row r="4801" spans="1:26" ht="12.95" customHeight="1" outlineLevel="3" x14ac:dyDescent="0.2">
      <c r="A4801" s="76" t="s">
        <v>9323</v>
      </c>
      <c r="B4801" s="76"/>
      <c r="C4801" s="77"/>
      <c r="D4801" s="58"/>
      <c r="E4801" s="68"/>
      <c r="F4801" s="13"/>
      <c r="G4801" s="13"/>
      <c r="H4801" s="13"/>
      <c r="I4801" s="13"/>
      <c r="J4801" s="13"/>
      <c r="K4801" s="13"/>
      <c r="L4801" s="13"/>
      <c r="M4801" s="13"/>
      <c r="N4801" s="13"/>
      <c r="O4801" s="13"/>
      <c r="P4801" s="13"/>
      <c r="Q4801" s="13"/>
      <c r="R4801" s="13"/>
      <c r="S4801" s="13"/>
      <c r="T4801" s="13"/>
      <c r="U4801" s="13"/>
      <c r="V4801" s="13"/>
      <c r="W4801" s="13"/>
      <c r="X4801" s="13"/>
      <c r="Y4801" s="13"/>
      <c r="Z4801" s="13"/>
    </row>
    <row r="4802" spans="1:26" ht="12" customHeight="1" outlineLevel="4" x14ac:dyDescent="0.2">
      <c r="A4802" s="14" t="s">
        <v>9324</v>
      </c>
      <c r="B4802" s="26" t="s">
        <v>9325</v>
      </c>
      <c r="C4802" s="52"/>
      <c r="D4802" s="55">
        <f t="shared" si="74"/>
        <v>0</v>
      </c>
      <c r="E4802" s="63" t="str">
        <f>HYPERLINK("https://www.sds-group.ru/product/disk-almaznyy-otreznoy-turbo-125x22-2x2-2x10mm-kranz-KR-90-0121/", "Инфо")</f>
        <v>Инфо</v>
      </c>
      <c r="F4802" s="16" t="s">
        <v>39</v>
      </c>
      <c r="G4802" s="15"/>
      <c r="H4802" s="15"/>
      <c r="I4802" s="15"/>
      <c r="J4802" s="22">
        <v>3829</v>
      </c>
      <c r="K4802" s="15" t="s">
        <v>6744</v>
      </c>
      <c r="L4802" s="17">
        <v>1</v>
      </c>
      <c r="M4802" s="17">
        <v>100</v>
      </c>
      <c r="N4802" s="17">
        <v>1</v>
      </c>
      <c r="O4802" s="18">
        <v>448.66</v>
      </c>
      <c r="P4802" s="18">
        <v>367.75</v>
      </c>
      <c r="Q4802" s="18">
        <v>426.23</v>
      </c>
      <c r="R4802" s="18">
        <v>349.37</v>
      </c>
      <c r="S4802" s="18">
        <v>305.08999999999997</v>
      </c>
      <c r="T4802" s="18">
        <v>250.07</v>
      </c>
      <c r="U4802" s="16"/>
      <c r="V4802" s="16"/>
      <c r="W4802" s="16" t="s">
        <v>40</v>
      </c>
      <c r="X4802" s="19">
        <v>0.157</v>
      </c>
      <c r="Y4802" s="20">
        <v>2.04E-4</v>
      </c>
      <c r="Z4802" s="21">
        <v>4601004177284</v>
      </c>
    </row>
    <row r="4803" spans="1:26" ht="12" customHeight="1" outlineLevel="4" x14ac:dyDescent="0.2">
      <c r="A4803" s="14" t="s">
        <v>9326</v>
      </c>
      <c r="B4803" s="26" t="s">
        <v>9327</v>
      </c>
      <c r="C4803" s="52"/>
      <c r="D4803" s="55">
        <f t="shared" si="74"/>
        <v>0</v>
      </c>
      <c r="E4803" s="63" t="str">
        <f>HYPERLINK("https://www.sds-group.ru/product/disk-almaznyy-otreznoy-turbo-150x22-2x2-4x10mm-kranz-KR-90-0122/", "Инфо")</f>
        <v>Инфо</v>
      </c>
      <c r="F4803" s="16" t="s">
        <v>39</v>
      </c>
      <c r="G4803" s="15"/>
      <c r="H4803" s="15"/>
      <c r="I4803" s="15"/>
      <c r="J4803" s="17">
        <v>442</v>
      </c>
      <c r="K4803" s="15"/>
      <c r="L4803" s="17">
        <v>1</v>
      </c>
      <c r="M4803" s="17">
        <v>100</v>
      </c>
      <c r="N4803" s="17">
        <v>1</v>
      </c>
      <c r="O4803" s="18">
        <v>747.6</v>
      </c>
      <c r="P4803" s="18">
        <v>612.79</v>
      </c>
      <c r="Q4803" s="18">
        <v>672.84</v>
      </c>
      <c r="R4803" s="18">
        <v>551.51</v>
      </c>
      <c r="S4803" s="18">
        <v>508.37</v>
      </c>
      <c r="T4803" s="18">
        <v>416.7</v>
      </c>
      <c r="U4803" s="16"/>
      <c r="V4803" s="16"/>
      <c r="W4803" s="16" t="s">
        <v>40</v>
      </c>
      <c r="X4803" s="19">
        <v>0.24199999999999999</v>
      </c>
      <c r="Y4803" s="20">
        <v>3.4900000000000003E-4</v>
      </c>
      <c r="Z4803" s="21">
        <v>4601004177291</v>
      </c>
    </row>
    <row r="4804" spans="1:26" ht="12" customHeight="1" outlineLevel="4" x14ac:dyDescent="0.2">
      <c r="A4804" s="14" t="s">
        <v>9328</v>
      </c>
      <c r="B4804" s="26" t="s">
        <v>9329</v>
      </c>
      <c r="C4804" s="52"/>
      <c r="D4804" s="55">
        <f t="shared" si="74"/>
        <v>0</v>
      </c>
      <c r="E4804" s="63" t="str">
        <f>HYPERLINK("https://www.sds-group.ru/product/disk-almaznyy-otreznoy-turbo-180x22-2x2-4x10mm-kranz-KR-90-0123/", "Инфо")</f>
        <v>Инфо</v>
      </c>
      <c r="F4804" s="16" t="s">
        <v>39</v>
      </c>
      <c r="G4804" s="15"/>
      <c r="H4804" s="15"/>
      <c r="I4804" s="15"/>
      <c r="J4804" s="17">
        <v>63</v>
      </c>
      <c r="K4804" s="15" t="s">
        <v>6434</v>
      </c>
      <c r="L4804" s="17">
        <v>1</v>
      </c>
      <c r="M4804" s="17">
        <v>50</v>
      </c>
      <c r="N4804" s="17">
        <v>1</v>
      </c>
      <c r="O4804" s="18">
        <v>958.07</v>
      </c>
      <c r="P4804" s="18">
        <v>785.3</v>
      </c>
      <c r="Q4804" s="18">
        <v>862.26</v>
      </c>
      <c r="R4804" s="18">
        <v>706.77</v>
      </c>
      <c r="S4804" s="18">
        <v>651.49</v>
      </c>
      <c r="T4804" s="18">
        <v>534.01</v>
      </c>
      <c r="U4804" s="16"/>
      <c r="V4804" s="16"/>
      <c r="W4804" s="16" t="s">
        <v>40</v>
      </c>
      <c r="X4804" s="19">
        <v>0.38400000000000001</v>
      </c>
      <c r="Y4804" s="20">
        <v>3.8499999999999998E-4</v>
      </c>
      <c r="Z4804" s="21">
        <v>4601004177307</v>
      </c>
    </row>
    <row r="4805" spans="1:26" ht="12" customHeight="1" outlineLevel="4" x14ac:dyDescent="0.2">
      <c r="A4805" s="14" t="s">
        <v>9330</v>
      </c>
      <c r="B4805" s="26" t="s">
        <v>9331</v>
      </c>
      <c r="C4805" s="52"/>
      <c r="D4805" s="55">
        <f t="shared" si="74"/>
        <v>0</v>
      </c>
      <c r="E4805" s="63" t="str">
        <f>HYPERLINK("https://www.sds-group.ru/product/disk-almaznyy-otreznoy-turbo-230x22-2x2-8x10mm-kranz-KR-90-0125/", "Инфо")</f>
        <v>Инфо</v>
      </c>
      <c r="F4805" s="16" t="s">
        <v>39</v>
      </c>
      <c r="G4805" s="15"/>
      <c r="H4805" s="15"/>
      <c r="I4805" s="15"/>
      <c r="J4805" s="22">
        <v>1264</v>
      </c>
      <c r="K4805" s="15"/>
      <c r="L4805" s="17">
        <v>1</v>
      </c>
      <c r="M4805" s="17">
        <v>40</v>
      </c>
      <c r="N4805" s="17">
        <v>1</v>
      </c>
      <c r="O4805" s="18">
        <v>1043.75</v>
      </c>
      <c r="P4805" s="18">
        <v>855.53</v>
      </c>
      <c r="Q4805" s="18">
        <v>928.94</v>
      </c>
      <c r="R4805" s="18">
        <v>761.43</v>
      </c>
      <c r="S4805" s="18">
        <v>709.75</v>
      </c>
      <c r="T4805" s="18">
        <v>581.76</v>
      </c>
      <c r="U4805" s="16"/>
      <c r="V4805" s="16"/>
      <c r="W4805" s="16" t="s">
        <v>40</v>
      </c>
      <c r="X4805" s="19">
        <v>0.67300000000000004</v>
      </c>
      <c r="Y4805" s="20">
        <v>5.2700000000000002E-4</v>
      </c>
      <c r="Z4805" s="21">
        <v>4601004177314</v>
      </c>
    </row>
    <row r="4806" spans="1:26" ht="12.95" customHeight="1" outlineLevel="3" x14ac:dyDescent="0.2">
      <c r="A4806" s="76" t="s">
        <v>9332</v>
      </c>
      <c r="B4806" s="76"/>
      <c r="C4806" s="77"/>
      <c r="D4806" s="58"/>
      <c r="E4806" s="68"/>
      <c r="F4806" s="13"/>
      <c r="G4806" s="13"/>
      <c r="H4806" s="13"/>
      <c r="I4806" s="13"/>
      <c r="J4806" s="13"/>
      <c r="K4806" s="13"/>
      <c r="L4806" s="13"/>
      <c r="M4806" s="13"/>
      <c r="N4806" s="13"/>
      <c r="O4806" s="13"/>
      <c r="P4806" s="13"/>
      <c r="Q4806" s="13"/>
      <c r="R4806" s="13"/>
      <c r="S4806" s="13"/>
      <c r="T4806" s="13"/>
      <c r="U4806" s="13"/>
      <c r="V4806" s="13"/>
      <c r="W4806" s="13"/>
      <c r="X4806" s="13"/>
      <c r="Y4806" s="13"/>
      <c r="Z4806" s="13"/>
    </row>
    <row r="4807" spans="1:26" ht="12" customHeight="1" outlineLevel="4" x14ac:dyDescent="0.2">
      <c r="A4807" s="14" t="s">
        <v>9333</v>
      </c>
      <c r="B4807" s="26" t="s">
        <v>9334</v>
      </c>
      <c r="C4807" s="52"/>
      <c r="D4807" s="55">
        <f t="shared" si="74"/>
        <v>0</v>
      </c>
      <c r="E4807" s="63" t="str">
        <f>HYPERLINK("https://www.sds-group.ru/product/disk-almaznyy-otreznoy-turbo-volna-125x22-2x2x10mm-kranz-KR-90-0131/", "Инфо")</f>
        <v>Инфо</v>
      </c>
      <c r="F4807" s="16" t="s">
        <v>39</v>
      </c>
      <c r="G4807" s="15"/>
      <c r="H4807" s="15"/>
      <c r="I4807" s="15"/>
      <c r="J4807" s="22">
        <v>3996</v>
      </c>
      <c r="K4807" s="15"/>
      <c r="L4807" s="17">
        <v>1</v>
      </c>
      <c r="M4807" s="17">
        <v>100</v>
      </c>
      <c r="N4807" s="17">
        <v>1</v>
      </c>
      <c r="O4807" s="18">
        <v>436.23</v>
      </c>
      <c r="P4807" s="18">
        <v>357.57</v>
      </c>
      <c r="Q4807" s="18">
        <v>392.61</v>
      </c>
      <c r="R4807" s="18">
        <v>321.81</v>
      </c>
      <c r="S4807" s="18">
        <v>296.64</v>
      </c>
      <c r="T4807" s="18">
        <v>243.15</v>
      </c>
      <c r="U4807" s="16"/>
      <c r="V4807" s="16"/>
      <c r="W4807" s="16" t="s">
        <v>40</v>
      </c>
      <c r="X4807" s="19">
        <v>0.158</v>
      </c>
      <c r="Y4807" s="20">
        <v>1.8900000000000001E-4</v>
      </c>
      <c r="Z4807" s="21">
        <v>4601004200005</v>
      </c>
    </row>
    <row r="4808" spans="1:26" ht="12" customHeight="1" outlineLevel="4" x14ac:dyDescent="0.2">
      <c r="A4808" s="14" t="s">
        <v>9335</v>
      </c>
      <c r="B4808" s="26" t="s">
        <v>9336</v>
      </c>
      <c r="C4808" s="52"/>
      <c r="D4808" s="55">
        <f t="shared" si="74"/>
        <v>0</v>
      </c>
      <c r="E4808" s="63" t="str">
        <f>HYPERLINK("https://www.sds-group.ru/product/disk-almaznyy-otreznoy-turbo-volna-150x22-2x2-2x10mm-kranz-KR-90-0132/", "Инфо")</f>
        <v>Инфо</v>
      </c>
      <c r="F4808" s="16" t="s">
        <v>39</v>
      </c>
      <c r="G4808" s="15"/>
      <c r="H4808" s="15"/>
      <c r="I4808" s="15"/>
      <c r="J4808" s="17">
        <v>426</v>
      </c>
      <c r="K4808" s="15"/>
      <c r="L4808" s="17">
        <v>1</v>
      </c>
      <c r="M4808" s="17">
        <v>100</v>
      </c>
      <c r="N4808" s="17">
        <v>1</v>
      </c>
      <c r="O4808" s="18">
        <v>832.7</v>
      </c>
      <c r="P4808" s="18">
        <v>682.54</v>
      </c>
      <c r="Q4808" s="18">
        <v>749.43</v>
      </c>
      <c r="R4808" s="18">
        <v>614.29</v>
      </c>
      <c r="S4808" s="18">
        <v>566.24</v>
      </c>
      <c r="T4808" s="18">
        <v>464.13</v>
      </c>
      <c r="U4808" s="16"/>
      <c r="V4808" s="16"/>
      <c r="W4808" s="16" t="s">
        <v>40</v>
      </c>
      <c r="X4808" s="19">
        <v>0.25800000000000001</v>
      </c>
      <c r="Y4808" s="20">
        <v>3.0499999999999999E-4</v>
      </c>
      <c r="Z4808" s="21">
        <v>4601004200012</v>
      </c>
    </row>
    <row r="4809" spans="1:26" ht="12" customHeight="1" outlineLevel="4" x14ac:dyDescent="0.2">
      <c r="A4809" s="14" t="s">
        <v>9337</v>
      </c>
      <c r="B4809" s="26" t="s">
        <v>9338</v>
      </c>
      <c r="C4809" s="52"/>
      <c r="D4809" s="55">
        <f t="shared" ref="D4809:D4872" si="75">C4809*(O4809-O4809*$G$3)</f>
        <v>0</v>
      </c>
      <c r="E4809" s="63" t="str">
        <f>HYPERLINK("https://www.sds-group.ru/product/disk-almaznyy-otreznoy-turbo-volna-180x22-2x2-2x10mm-kranz-KR-90-0133/", "Инфо")</f>
        <v>Инфо</v>
      </c>
      <c r="F4809" s="16" t="s">
        <v>39</v>
      </c>
      <c r="G4809" s="15"/>
      <c r="H4809" s="15"/>
      <c r="I4809" s="15"/>
      <c r="J4809" s="17">
        <v>453</v>
      </c>
      <c r="K4809" s="15"/>
      <c r="L4809" s="17">
        <v>1</v>
      </c>
      <c r="M4809" s="17">
        <v>50</v>
      </c>
      <c r="N4809" s="17">
        <v>1</v>
      </c>
      <c r="O4809" s="18">
        <v>825.58</v>
      </c>
      <c r="P4809" s="18">
        <v>676.7</v>
      </c>
      <c r="Q4809" s="18">
        <v>743.02</v>
      </c>
      <c r="R4809" s="18">
        <v>609.03</v>
      </c>
      <c r="S4809" s="18">
        <v>561.39</v>
      </c>
      <c r="T4809" s="18">
        <v>460.16</v>
      </c>
      <c r="U4809" s="16"/>
      <c r="V4809" s="16"/>
      <c r="W4809" s="16" t="s">
        <v>40</v>
      </c>
      <c r="X4809" s="19">
        <v>0.36799999999999999</v>
      </c>
      <c r="Y4809" s="20">
        <v>3.79E-4</v>
      </c>
      <c r="Z4809" s="21">
        <v>4601004200029</v>
      </c>
    </row>
    <row r="4810" spans="1:26" ht="12" customHeight="1" outlineLevel="4" x14ac:dyDescent="0.2">
      <c r="A4810" s="14" t="s">
        <v>9339</v>
      </c>
      <c r="B4810" s="26" t="s">
        <v>9340</v>
      </c>
      <c r="C4810" s="52"/>
      <c r="D4810" s="55">
        <f t="shared" si="75"/>
        <v>0</v>
      </c>
      <c r="E4810" s="63" t="str">
        <f>HYPERLINK("https://www.sds-group.ru/product/disk-almaznyy-otreznoy-turbo-volna-230x22-2x2-4x10mm-kranz-KR-90-0135/", "Инфо")</f>
        <v>Инфо</v>
      </c>
      <c r="F4810" s="16" t="s">
        <v>39</v>
      </c>
      <c r="G4810" s="15"/>
      <c r="H4810" s="15"/>
      <c r="I4810" s="15"/>
      <c r="J4810" s="17">
        <v>893</v>
      </c>
      <c r="K4810" s="15"/>
      <c r="L4810" s="17">
        <v>1</v>
      </c>
      <c r="M4810" s="17">
        <v>40</v>
      </c>
      <c r="N4810" s="17">
        <v>1</v>
      </c>
      <c r="O4810" s="18">
        <v>1361.7</v>
      </c>
      <c r="P4810" s="18">
        <v>1116.1500000000001</v>
      </c>
      <c r="Q4810" s="18">
        <v>1211.9100000000001</v>
      </c>
      <c r="R4810" s="18">
        <v>993.37</v>
      </c>
      <c r="S4810" s="18">
        <v>925.96</v>
      </c>
      <c r="T4810" s="18">
        <v>758.98</v>
      </c>
      <c r="U4810" s="16"/>
      <c r="V4810" s="16"/>
      <c r="W4810" s="16" t="s">
        <v>40</v>
      </c>
      <c r="X4810" s="19">
        <v>0.64</v>
      </c>
      <c r="Y4810" s="20">
        <v>6.2299999999999996E-4</v>
      </c>
      <c r="Z4810" s="21">
        <v>4601004200036</v>
      </c>
    </row>
    <row r="4811" spans="1:26" ht="12.95" customHeight="1" outlineLevel="3" x14ac:dyDescent="0.2">
      <c r="A4811" s="76" t="s">
        <v>9341</v>
      </c>
      <c r="B4811" s="76"/>
      <c r="C4811" s="77"/>
      <c r="D4811" s="58"/>
      <c r="E4811" s="68"/>
      <c r="F4811" s="13"/>
      <c r="G4811" s="13"/>
      <c r="H4811" s="13"/>
      <c r="I4811" s="13"/>
      <c r="J4811" s="13"/>
      <c r="K4811" s="13"/>
      <c r="L4811" s="13"/>
      <c r="M4811" s="13"/>
      <c r="N4811" s="13"/>
      <c r="O4811" s="13"/>
      <c r="P4811" s="13"/>
      <c r="Q4811" s="13"/>
      <c r="R4811" s="13"/>
      <c r="S4811" s="13"/>
      <c r="T4811" s="13"/>
      <c r="U4811" s="13"/>
      <c r="V4811" s="13"/>
      <c r="W4811" s="13"/>
      <c r="X4811" s="13"/>
      <c r="Y4811" s="13"/>
      <c r="Z4811" s="13"/>
    </row>
    <row r="4812" spans="1:26" ht="12" customHeight="1" outlineLevel="4" x14ac:dyDescent="0.2">
      <c r="A4812" s="14" t="s">
        <v>9342</v>
      </c>
      <c r="B4812" s="26" t="s">
        <v>9343</v>
      </c>
      <c r="C4812" s="52"/>
      <c r="D4812" s="55">
        <f t="shared" si="75"/>
        <v>0</v>
      </c>
      <c r="E4812" s="63" t="str">
        <f>HYPERLINK("https://www.sds-group.ru/product/disk-almaznyy-otreznoy-ultratonkiy-115x22-2x1-4x10-mm-kranz-KR-90-0140/", "Инфо")</f>
        <v>Инфо</v>
      </c>
      <c r="F4812" s="16" t="s">
        <v>39</v>
      </c>
      <c r="G4812" s="15"/>
      <c r="H4812" s="15"/>
      <c r="I4812" s="15"/>
      <c r="J4812" s="16" t="s">
        <v>100</v>
      </c>
      <c r="K4812" s="15" t="s">
        <v>662</v>
      </c>
      <c r="L4812" s="17">
        <v>1</v>
      </c>
      <c r="M4812" s="17">
        <v>200</v>
      </c>
      <c r="N4812" s="17">
        <v>1</v>
      </c>
      <c r="O4812" s="18">
        <v>1069.26</v>
      </c>
      <c r="P4812" s="18">
        <v>876.44</v>
      </c>
      <c r="Q4812" s="18">
        <v>962.33</v>
      </c>
      <c r="R4812" s="18">
        <v>788.8</v>
      </c>
      <c r="S4812" s="18">
        <v>727.1</v>
      </c>
      <c r="T4812" s="18">
        <v>595.98</v>
      </c>
      <c r="U4812" s="16"/>
      <c r="V4812" s="16"/>
      <c r="W4812" s="16" t="s">
        <v>40</v>
      </c>
      <c r="X4812" s="19">
        <v>0.13700000000000001</v>
      </c>
      <c r="Y4812" s="20">
        <v>1.5899999999999999E-4</v>
      </c>
      <c r="Z4812" s="21">
        <v>4601004201569</v>
      </c>
    </row>
    <row r="4813" spans="1:26" ht="12" customHeight="1" outlineLevel="4" x14ac:dyDescent="0.2">
      <c r="A4813" s="14" t="s">
        <v>9344</v>
      </c>
      <c r="B4813" s="26" t="s">
        <v>9345</v>
      </c>
      <c r="C4813" s="52"/>
      <c r="D4813" s="55">
        <f t="shared" si="75"/>
        <v>0</v>
      </c>
      <c r="E4813" s="63" t="str">
        <f>HYPERLINK("https://www.sds-group.ru/product/disk-almaznyy-otreznoy-ultratonkiy-125x22-2x1-4x10-mm-kranz-KR-90-0141/", "Инфо")</f>
        <v>Инфо</v>
      </c>
      <c r="F4813" s="16" t="s">
        <v>39</v>
      </c>
      <c r="G4813" s="15"/>
      <c r="H4813" s="15"/>
      <c r="I4813" s="15"/>
      <c r="J4813" s="17">
        <v>877</v>
      </c>
      <c r="K4813" s="15" t="s">
        <v>1058</v>
      </c>
      <c r="L4813" s="17">
        <v>1</v>
      </c>
      <c r="M4813" s="17">
        <v>100</v>
      </c>
      <c r="N4813" s="17">
        <v>1</v>
      </c>
      <c r="O4813" s="18">
        <v>1186.72</v>
      </c>
      <c r="P4813" s="18">
        <v>972.72</v>
      </c>
      <c r="Q4813" s="18">
        <v>1068.05</v>
      </c>
      <c r="R4813" s="18">
        <v>875.45</v>
      </c>
      <c r="S4813" s="18">
        <v>806.97</v>
      </c>
      <c r="T4813" s="18">
        <v>661.45</v>
      </c>
      <c r="U4813" s="16"/>
      <c r="V4813" s="16"/>
      <c r="W4813" s="16" t="s">
        <v>40</v>
      </c>
      <c r="X4813" s="19">
        <v>0.17100000000000001</v>
      </c>
      <c r="Y4813" s="20">
        <v>1.84E-4</v>
      </c>
      <c r="Z4813" s="21">
        <v>4601004177321</v>
      </c>
    </row>
    <row r="4814" spans="1:26" ht="12" customHeight="1" outlineLevel="4" x14ac:dyDescent="0.2">
      <c r="A4814" s="14" t="s">
        <v>9346</v>
      </c>
      <c r="B4814" s="26" t="s">
        <v>9347</v>
      </c>
      <c r="C4814" s="52"/>
      <c r="D4814" s="55">
        <f t="shared" si="75"/>
        <v>0</v>
      </c>
      <c r="E4814" s="63" t="str">
        <f>HYPERLINK("https://www.sds-group.ru/product/disk-almaznyy-otreznoy-ultratonkiy-150x22-2x1-6x10-mm-kranz-KR-90-0142/", "Инфо")</f>
        <v>Инфо</v>
      </c>
      <c r="F4814" s="16" t="s">
        <v>39</v>
      </c>
      <c r="G4814" s="15"/>
      <c r="H4814" s="15"/>
      <c r="I4814" s="15"/>
      <c r="J4814" s="17">
        <v>216</v>
      </c>
      <c r="K4814" s="15"/>
      <c r="L4814" s="17">
        <v>1</v>
      </c>
      <c r="M4814" s="17">
        <v>100</v>
      </c>
      <c r="N4814" s="17">
        <v>1</v>
      </c>
      <c r="O4814" s="18">
        <v>1751.54</v>
      </c>
      <c r="P4814" s="18">
        <v>1435.69</v>
      </c>
      <c r="Q4814" s="18">
        <v>1558.87</v>
      </c>
      <c r="R4814" s="18">
        <v>1277.76</v>
      </c>
      <c r="S4814" s="18">
        <v>1191.05</v>
      </c>
      <c r="T4814" s="18">
        <v>976.27</v>
      </c>
      <c r="U4814" s="16"/>
      <c r="V4814" s="16"/>
      <c r="W4814" s="16" t="s">
        <v>40</v>
      </c>
      <c r="X4814" s="19">
        <v>0.25800000000000001</v>
      </c>
      <c r="Y4814" s="20">
        <v>3.1500000000000001E-4</v>
      </c>
      <c r="Z4814" s="21">
        <v>4601004201576</v>
      </c>
    </row>
    <row r="4815" spans="1:26" ht="12" customHeight="1" outlineLevel="4" x14ac:dyDescent="0.2">
      <c r="A4815" s="32" t="s">
        <v>9348</v>
      </c>
      <c r="B4815" s="74" t="s">
        <v>9349</v>
      </c>
      <c r="C4815" s="50"/>
      <c r="D4815" s="53">
        <f t="shared" si="75"/>
        <v>0</v>
      </c>
      <c r="E4815" s="60" t="str">
        <f>HYPERLINK("https://www.sds-group.ru/product/disk-almaznyy-otreznoy-ultratonkiy-180x25-4-22-2x1-8x10-mm-kranz-KR-90-0143/", "Инфо")</f>
        <v>Инфо</v>
      </c>
      <c r="F4815" s="34" t="s">
        <v>39</v>
      </c>
      <c r="G4815" s="33"/>
      <c r="H4815" s="33" t="s">
        <v>40</v>
      </c>
      <c r="I4815" s="33"/>
      <c r="J4815" s="35">
        <v>15</v>
      </c>
      <c r="K4815" s="33"/>
      <c r="L4815" s="35">
        <v>1</v>
      </c>
      <c r="M4815" s="35">
        <v>50</v>
      </c>
      <c r="N4815" s="35">
        <v>1</v>
      </c>
      <c r="O4815" s="36">
        <v>1712.62</v>
      </c>
      <c r="P4815" s="36">
        <v>1403.79</v>
      </c>
      <c r="Q4815" s="36">
        <v>1198.83</v>
      </c>
      <c r="R4815" s="36">
        <v>982.65</v>
      </c>
      <c r="S4815" s="36">
        <v>1164.58</v>
      </c>
      <c r="T4815" s="36">
        <v>954.57</v>
      </c>
      <c r="U4815" s="34"/>
      <c r="V4815" s="34"/>
      <c r="W4815" s="34"/>
      <c r="X4815" s="37">
        <v>0.32700000000000001</v>
      </c>
      <c r="Y4815" s="38">
        <v>4.06E-4</v>
      </c>
      <c r="Z4815" s="21">
        <v>4601004200043</v>
      </c>
    </row>
    <row r="4816" spans="1:26" ht="12" customHeight="1" outlineLevel="4" x14ac:dyDescent="0.2">
      <c r="A4816" s="32" t="s">
        <v>9350</v>
      </c>
      <c r="B4816" s="74" t="s">
        <v>9351</v>
      </c>
      <c r="C4816" s="50"/>
      <c r="D4816" s="53">
        <f t="shared" si="75"/>
        <v>0</v>
      </c>
      <c r="E4816" s="60" t="str">
        <f>HYPERLINK("https://www.sds-group.ru/product/disk-almaznyy-otreznoy-ultratonkiy-200x25-4-22-2x1-8x10-mm-kranz-KR-90-0144/", "Инфо")</f>
        <v>Инфо</v>
      </c>
      <c r="F4816" s="34" t="s">
        <v>39</v>
      </c>
      <c r="G4816" s="33"/>
      <c r="H4816" s="33" t="s">
        <v>40</v>
      </c>
      <c r="I4816" s="33"/>
      <c r="J4816" s="35">
        <v>749</v>
      </c>
      <c r="K4816" s="33"/>
      <c r="L4816" s="35">
        <v>1</v>
      </c>
      <c r="M4816" s="35">
        <v>25</v>
      </c>
      <c r="N4816" s="35">
        <v>1</v>
      </c>
      <c r="O4816" s="36">
        <v>1667.55</v>
      </c>
      <c r="P4816" s="36">
        <v>1366.84</v>
      </c>
      <c r="Q4816" s="36">
        <v>1167.29</v>
      </c>
      <c r="R4816" s="36">
        <v>956.8</v>
      </c>
      <c r="S4816" s="36">
        <v>1133.93</v>
      </c>
      <c r="T4816" s="36">
        <v>929.45</v>
      </c>
      <c r="U4816" s="34"/>
      <c r="V4816" s="34"/>
      <c r="W4816" s="34"/>
      <c r="X4816" s="37">
        <v>0.43</v>
      </c>
      <c r="Y4816" s="38">
        <v>5.8100000000000003E-4</v>
      </c>
      <c r="Z4816" s="21">
        <v>4601004200050</v>
      </c>
    </row>
    <row r="4817" spans="1:26" ht="12" customHeight="1" outlineLevel="4" x14ac:dyDescent="0.2">
      <c r="A4817" s="14" t="s">
        <v>9352</v>
      </c>
      <c r="B4817" s="26" t="s">
        <v>9353</v>
      </c>
      <c r="C4817" s="52"/>
      <c r="D4817" s="55">
        <f t="shared" si="75"/>
        <v>0</v>
      </c>
      <c r="E4817" s="63" t="str">
        <f>HYPERLINK("https://www.sds-group.ru/product/disk-almaznyy-otreznoy-ultratonkiy-230x25-4-22-2x2x10-mm-kranz-KR-90-0145/", "Инфо")</f>
        <v>Инфо</v>
      </c>
      <c r="F4817" s="16" t="s">
        <v>39</v>
      </c>
      <c r="G4817" s="15"/>
      <c r="H4817" s="15"/>
      <c r="I4817" s="15"/>
      <c r="J4817" s="17">
        <v>143</v>
      </c>
      <c r="K4817" s="15"/>
      <c r="L4817" s="17">
        <v>1</v>
      </c>
      <c r="M4817" s="17">
        <v>25</v>
      </c>
      <c r="N4817" s="17">
        <v>1</v>
      </c>
      <c r="O4817" s="18">
        <v>3241.15</v>
      </c>
      <c r="P4817" s="18">
        <v>2656.68</v>
      </c>
      <c r="Q4817" s="18">
        <v>2819.8</v>
      </c>
      <c r="R4817" s="18">
        <v>2311.31</v>
      </c>
      <c r="S4817" s="18">
        <v>2203.98</v>
      </c>
      <c r="T4817" s="18">
        <v>1806.54</v>
      </c>
      <c r="U4817" s="16"/>
      <c r="V4817" s="16"/>
      <c r="W4817" s="16" t="s">
        <v>40</v>
      </c>
      <c r="X4817" s="19">
        <v>0.73099999999999998</v>
      </c>
      <c r="Y4817" s="20">
        <v>6.7000000000000002E-4</v>
      </c>
      <c r="Z4817" s="21">
        <v>4601004177338</v>
      </c>
    </row>
    <row r="4818" spans="1:26" ht="12.95" customHeight="1" outlineLevel="3" x14ac:dyDescent="0.2">
      <c r="A4818" s="76" t="s">
        <v>9354</v>
      </c>
      <c r="B4818" s="76"/>
      <c r="C4818" s="77"/>
      <c r="D4818" s="58"/>
      <c r="E4818" s="68"/>
      <c r="F4818" s="13"/>
      <c r="G4818" s="13"/>
      <c r="H4818" s="13"/>
      <c r="I4818" s="13"/>
      <c r="J4818" s="13"/>
      <c r="K4818" s="13"/>
      <c r="L4818" s="13"/>
      <c r="M4818" s="13"/>
      <c r="N4818" s="13"/>
      <c r="O4818" s="13"/>
      <c r="P4818" s="13"/>
      <c r="Q4818" s="13"/>
      <c r="R4818" s="13"/>
      <c r="S4818" s="13"/>
      <c r="T4818" s="13"/>
      <c r="U4818" s="13"/>
      <c r="V4818" s="13"/>
      <c r="W4818" s="13"/>
      <c r="X4818" s="13"/>
      <c r="Y4818" s="13"/>
      <c r="Z4818" s="13"/>
    </row>
    <row r="4819" spans="1:26" ht="12" customHeight="1" outlineLevel="4" x14ac:dyDescent="0.2">
      <c r="A4819" s="14" t="s">
        <v>9355</v>
      </c>
      <c r="B4819" s="26" t="s">
        <v>9356</v>
      </c>
      <c r="C4819" s="52"/>
      <c r="D4819" s="55">
        <f t="shared" si="75"/>
        <v>0</v>
      </c>
      <c r="E4819" s="63" t="str">
        <f>HYPERLINK("https://www.sds-group.ru/product/sverlo-almaznoe-10-mm-po-keramogranitu-keramike-i-steklu-kranz-KR-92-0003/", "Инфо")</f>
        <v>Инфо</v>
      </c>
      <c r="F4819" s="16" t="s">
        <v>39</v>
      </c>
      <c r="G4819" s="15"/>
      <c r="H4819" s="15"/>
      <c r="I4819" s="15"/>
      <c r="J4819" s="22">
        <v>2068</v>
      </c>
      <c r="K4819" s="15" t="s">
        <v>1650</v>
      </c>
      <c r="L4819" s="17">
        <v>5</v>
      </c>
      <c r="M4819" s="17">
        <v>800</v>
      </c>
      <c r="N4819" s="17">
        <v>5</v>
      </c>
      <c r="O4819" s="18">
        <v>269.51</v>
      </c>
      <c r="P4819" s="18">
        <v>220.91</v>
      </c>
      <c r="Q4819" s="18">
        <v>256.02999999999997</v>
      </c>
      <c r="R4819" s="18">
        <v>209.86</v>
      </c>
      <c r="S4819" s="18">
        <v>183.27</v>
      </c>
      <c r="T4819" s="18">
        <v>150.22</v>
      </c>
      <c r="U4819" s="16"/>
      <c r="V4819" s="16"/>
      <c r="W4819" s="16" t="s">
        <v>40</v>
      </c>
      <c r="X4819" s="19">
        <v>1.6E-2</v>
      </c>
      <c r="Y4819" s="20">
        <v>6.3999999999999997E-5</v>
      </c>
      <c r="Z4819" s="21">
        <v>4601004177345</v>
      </c>
    </row>
    <row r="4820" spans="1:26" ht="12" customHeight="1" outlineLevel="4" x14ac:dyDescent="0.2">
      <c r="A4820" s="14" t="s">
        <v>9357</v>
      </c>
      <c r="B4820" s="26" t="s">
        <v>9358</v>
      </c>
      <c r="C4820" s="52"/>
      <c r="D4820" s="55">
        <f t="shared" si="75"/>
        <v>0</v>
      </c>
      <c r="E4820" s="63" t="str">
        <f>HYPERLINK("https://www.sds-group.ru/product/sverlo-almaznoe-12-mm-po-keramogranitu-keramike-i-steklu-kranz-KR-92-0004/", "Инфо")</f>
        <v>Инфо</v>
      </c>
      <c r="F4820" s="16" t="s">
        <v>39</v>
      </c>
      <c r="G4820" s="15"/>
      <c r="H4820" s="15"/>
      <c r="I4820" s="15"/>
      <c r="J4820" s="22">
        <v>2739</v>
      </c>
      <c r="K4820" s="15" t="s">
        <v>5837</v>
      </c>
      <c r="L4820" s="17">
        <v>5</v>
      </c>
      <c r="M4820" s="17">
        <v>800</v>
      </c>
      <c r="N4820" s="17">
        <v>5</v>
      </c>
      <c r="O4820" s="18">
        <v>279.87</v>
      </c>
      <c r="P4820" s="18">
        <v>229.4</v>
      </c>
      <c r="Q4820" s="18">
        <v>265.88</v>
      </c>
      <c r="R4820" s="18">
        <v>217.93</v>
      </c>
      <c r="S4820" s="18">
        <v>190.31</v>
      </c>
      <c r="T4820" s="18">
        <v>155.99</v>
      </c>
      <c r="U4820" s="16"/>
      <c r="V4820" s="16"/>
      <c r="W4820" s="16" t="s">
        <v>40</v>
      </c>
      <c r="X4820" s="19">
        <v>1.7999999999999999E-2</v>
      </c>
      <c r="Y4820" s="20">
        <v>6.4999999999999994E-5</v>
      </c>
      <c r="Z4820" s="21">
        <v>4601004177352</v>
      </c>
    </row>
    <row r="4821" spans="1:26" ht="12" customHeight="1" outlineLevel="4" x14ac:dyDescent="0.2">
      <c r="A4821" s="14" t="s">
        <v>9359</v>
      </c>
      <c r="B4821" s="26" t="s">
        <v>9360</v>
      </c>
      <c r="C4821" s="52"/>
      <c r="D4821" s="55">
        <f t="shared" si="75"/>
        <v>0</v>
      </c>
      <c r="E4821" s="63" t="str">
        <f>HYPERLINK("https://www.sds-group.ru/product/sverlo-almaznoe-14-mm-po-keramogranitu-keramike-i-steklu-kranz-KR-92-0025/", "Инфо")</f>
        <v>Инфо</v>
      </c>
      <c r="F4821" s="16" t="s">
        <v>39</v>
      </c>
      <c r="G4821" s="15"/>
      <c r="H4821" s="15"/>
      <c r="I4821" s="15"/>
      <c r="J4821" s="22">
        <v>4858</v>
      </c>
      <c r="K4821" s="15"/>
      <c r="L4821" s="17">
        <v>5</v>
      </c>
      <c r="M4821" s="17">
        <v>800</v>
      </c>
      <c r="N4821" s="17">
        <v>5</v>
      </c>
      <c r="O4821" s="18">
        <v>300.61</v>
      </c>
      <c r="P4821" s="18">
        <v>246.4</v>
      </c>
      <c r="Q4821" s="18">
        <v>285.58</v>
      </c>
      <c r="R4821" s="18">
        <v>234.08</v>
      </c>
      <c r="S4821" s="18">
        <v>204.41</v>
      </c>
      <c r="T4821" s="18">
        <v>167.55</v>
      </c>
      <c r="U4821" s="16"/>
      <c r="V4821" s="16"/>
      <c r="W4821" s="16" t="s">
        <v>40</v>
      </c>
      <c r="X4821" s="19">
        <v>2.1000000000000001E-2</v>
      </c>
      <c r="Y4821" s="20">
        <v>6.3999999999999997E-5</v>
      </c>
      <c r="Z4821" s="21">
        <v>4601004205888</v>
      </c>
    </row>
    <row r="4822" spans="1:26" ht="12" customHeight="1" outlineLevel="4" x14ac:dyDescent="0.2">
      <c r="A4822" s="14" t="s">
        <v>9361</v>
      </c>
      <c r="B4822" s="26" t="s">
        <v>9362</v>
      </c>
      <c r="C4822" s="52"/>
      <c r="D4822" s="55">
        <f t="shared" si="75"/>
        <v>0</v>
      </c>
      <c r="E4822" s="63" t="str">
        <f>HYPERLINK("https://www.sds-group.ru/product/sverlo-almaznoe-5-mm-po-keramogranitu-keramike-i-steklu-kranz-KR-92-0000/", "Инфо")</f>
        <v>Инфо</v>
      </c>
      <c r="F4822" s="16" t="s">
        <v>39</v>
      </c>
      <c r="G4822" s="15"/>
      <c r="H4822" s="15"/>
      <c r="I4822" s="15"/>
      <c r="J4822" s="22">
        <v>6711</v>
      </c>
      <c r="K4822" s="15"/>
      <c r="L4822" s="17">
        <v>10</v>
      </c>
      <c r="M4822" s="22">
        <v>1000</v>
      </c>
      <c r="N4822" s="17">
        <v>10</v>
      </c>
      <c r="O4822" s="18">
        <v>139.97999999999999</v>
      </c>
      <c r="P4822" s="18">
        <v>114.74</v>
      </c>
      <c r="Q4822" s="18">
        <v>132.97999999999999</v>
      </c>
      <c r="R4822" s="18">
        <v>109</v>
      </c>
      <c r="S4822" s="18">
        <v>95.19</v>
      </c>
      <c r="T4822" s="18">
        <v>78.02</v>
      </c>
      <c r="U4822" s="16"/>
      <c r="V4822" s="16"/>
      <c r="W4822" s="16" t="s">
        <v>40</v>
      </c>
      <c r="X4822" s="19">
        <v>1.0999999999999999E-2</v>
      </c>
      <c r="Y4822" s="20">
        <v>5.1999999999999997E-5</v>
      </c>
      <c r="Z4822" s="21">
        <v>4601004177369</v>
      </c>
    </row>
    <row r="4823" spans="1:26" ht="12" customHeight="1" outlineLevel="4" x14ac:dyDescent="0.2">
      <c r="A4823" s="14" t="s">
        <v>9363</v>
      </c>
      <c r="B4823" s="26" t="s">
        <v>9364</v>
      </c>
      <c r="C4823" s="52"/>
      <c r="D4823" s="55">
        <f t="shared" si="75"/>
        <v>0</v>
      </c>
      <c r="E4823" s="63" t="str">
        <f>HYPERLINK("https://www.sds-group.ru/product/sverlo-almaznoe-6-mm-po-keramogranitu-keramike-i-steklu-kranz-KR-92-0001/", "Инфо")</f>
        <v>Инфо</v>
      </c>
      <c r="F4823" s="16" t="s">
        <v>39</v>
      </c>
      <c r="G4823" s="15"/>
      <c r="H4823" s="15"/>
      <c r="I4823" s="15"/>
      <c r="J4823" s="22">
        <v>15232</v>
      </c>
      <c r="K4823" s="15" t="s">
        <v>1650</v>
      </c>
      <c r="L4823" s="17">
        <v>10</v>
      </c>
      <c r="M4823" s="17">
        <v>400</v>
      </c>
      <c r="N4823" s="17">
        <v>10</v>
      </c>
      <c r="O4823" s="18">
        <v>174.14</v>
      </c>
      <c r="P4823" s="18">
        <v>142.74</v>
      </c>
      <c r="Q4823" s="18">
        <v>165.43</v>
      </c>
      <c r="R4823" s="18">
        <v>135.6</v>
      </c>
      <c r="S4823" s="18">
        <v>118.42</v>
      </c>
      <c r="T4823" s="18">
        <v>97.07</v>
      </c>
      <c r="U4823" s="16"/>
      <c r="V4823" s="16"/>
      <c r="W4823" s="16" t="s">
        <v>40</v>
      </c>
      <c r="X4823" s="19">
        <v>1.0999999999999999E-2</v>
      </c>
      <c r="Y4823" s="20">
        <v>6.4999999999999994E-5</v>
      </c>
      <c r="Z4823" s="21">
        <v>4601004177376</v>
      </c>
    </row>
    <row r="4824" spans="1:26" ht="12" customHeight="1" outlineLevel="4" x14ac:dyDescent="0.2">
      <c r="A4824" s="14" t="s">
        <v>9365</v>
      </c>
      <c r="B4824" s="26" t="s">
        <v>9366</v>
      </c>
      <c r="C4824" s="52"/>
      <c r="D4824" s="55">
        <f t="shared" si="75"/>
        <v>0</v>
      </c>
      <c r="E4824" s="63" t="str">
        <f>HYPERLINK("https://www.sds-group.ru/product/sverlo-almaznoe-8-mm-po-keramogranitu-keramike-i-steklu-kranz-KR-92-0002/", "Инфо")</f>
        <v>Инфо</v>
      </c>
      <c r="F4824" s="16" t="s">
        <v>39</v>
      </c>
      <c r="G4824" s="15"/>
      <c r="H4824" s="15"/>
      <c r="I4824" s="15"/>
      <c r="J4824" s="22">
        <v>4719</v>
      </c>
      <c r="K4824" s="15" t="s">
        <v>1650</v>
      </c>
      <c r="L4824" s="17">
        <v>5</v>
      </c>
      <c r="M4824" s="22">
        <v>1000</v>
      </c>
      <c r="N4824" s="17">
        <v>5</v>
      </c>
      <c r="O4824" s="18">
        <v>228.04</v>
      </c>
      <c r="P4824" s="18">
        <v>186.92</v>
      </c>
      <c r="Q4824" s="18">
        <v>216.64</v>
      </c>
      <c r="R4824" s="18">
        <v>177.57</v>
      </c>
      <c r="S4824" s="18">
        <v>155.07</v>
      </c>
      <c r="T4824" s="18">
        <v>127.11</v>
      </c>
      <c r="U4824" s="16"/>
      <c r="V4824" s="16"/>
      <c r="W4824" s="16" t="s">
        <v>40</v>
      </c>
      <c r="X4824" s="19">
        <v>1.4E-2</v>
      </c>
      <c r="Y4824" s="20">
        <v>5.1E-5</v>
      </c>
      <c r="Z4824" s="21">
        <v>4601004177383</v>
      </c>
    </row>
    <row r="4825" spans="1:26" ht="12.95" customHeight="1" outlineLevel="3" x14ac:dyDescent="0.2">
      <c r="A4825" s="76" t="s">
        <v>9367</v>
      </c>
      <c r="B4825" s="76"/>
      <c r="C4825" s="77"/>
      <c r="D4825" s="58"/>
      <c r="E4825" s="68"/>
      <c r="F4825" s="13"/>
      <c r="G4825" s="13"/>
      <c r="H4825" s="13"/>
      <c r="I4825" s="13"/>
      <c r="J4825" s="13"/>
      <c r="K4825" s="13"/>
      <c r="L4825" s="13"/>
      <c r="M4825" s="13"/>
      <c r="N4825" s="13"/>
      <c r="O4825" s="13"/>
      <c r="P4825" s="13"/>
      <c r="Q4825" s="13"/>
      <c r="R4825" s="13"/>
      <c r="S4825" s="13"/>
      <c r="T4825" s="13"/>
      <c r="U4825" s="13"/>
      <c r="V4825" s="13"/>
      <c r="W4825" s="13"/>
      <c r="X4825" s="13"/>
      <c r="Y4825" s="13"/>
      <c r="Z4825" s="13"/>
    </row>
    <row r="4826" spans="1:26" ht="12" customHeight="1" outlineLevel="4" x14ac:dyDescent="0.2">
      <c r="A4826" s="14" t="s">
        <v>9368</v>
      </c>
      <c r="B4826" s="26" t="s">
        <v>9369</v>
      </c>
      <c r="C4826" s="52"/>
      <c r="D4826" s="55">
        <f t="shared" si="75"/>
        <v>0</v>
      </c>
      <c r="E4826" s="63" t="str">
        <f>HYPERLINK("https://www.sds-group.ru/product/konduktor-dlya-almaznyh-sverl-14-82mm-kranz-KR-92-0030/", "Инфо")</f>
        <v>Инфо</v>
      </c>
      <c r="F4826" s="16" t="s">
        <v>39</v>
      </c>
      <c r="G4826" s="15"/>
      <c r="H4826" s="15"/>
      <c r="I4826" s="15"/>
      <c r="J4826" s="17">
        <v>132</v>
      </c>
      <c r="K4826" s="15"/>
      <c r="L4826" s="17">
        <v>1</v>
      </c>
      <c r="M4826" s="17">
        <v>50</v>
      </c>
      <c r="N4826" s="17">
        <v>1</v>
      </c>
      <c r="O4826" s="18">
        <v>2176.77</v>
      </c>
      <c r="P4826" s="18">
        <v>1784.24</v>
      </c>
      <c r="Q4826" s="18">
        <v>1676.11</v>
      </c>
      <c r="R4826" s="18">
        <v>1373.86</v>
      </c>
      <c r="S4826" s="18">
        <v>1480.2</v>
      </c>
      <c r="T4826" s="18">
        <v>1213.28</v>
      </c>
      <c r="U4826" s="16"/>
      <c r="V4826" s="16"/>
      <c r="W4826" s="16" t="s">
        <v>40</v>
      </c>
      <c r="X4826" s="19">
        <v>0.4</v>
      </c>
      <c r="Y4826" s="20">
        <v>1.9449999999999999E-3</v>
      </c>
      <c r="Z4826" s="21">
        <v>4601004287242</v>
      </c>
    </row>
    <row r="4827" spans="1:26" ht="12" customHeight="1" outlineLevel="4" x14ac:dyDescent="0.2">
      <c r="A4827" s="14" t="s">
        <v>9370</v>
      </c>
      <c r="B4827" s="26" t="s">
        <v>9371</v>
      </c>
      <c r="C4827" s="52"/>
      <c r="D4827" s="55">
        <f t="shared" si="75"/>
        <v>0</v>
      </c>
      <c r="E4827" s="63" t="str">
        <f>HYPERLINK("https://www.sds-group.ru/product/koronka-almaznaya-100mm-po-keramogranitu-s-tsentrovochnym-sverlom-kranz-KR-92-0021/", "Инфо")</f>
        <v>Инфо</v>
      </c>
      <c r="F4827" s="16" t="s">
        <v>39</v>
      </c>
      <c r="G4827" s="15"/>
      <c r="H4827" s="15"/>
      <c r="I4827" s="15"/>
      <c r="J4827" s="17">
        <v>365</v>
      </c>
      <c r="K4827" s="15"/>
      <c r="L4827" s="17">
        <v>1</v>
      </c>
      <c r="M4827" s="17">
        <v>20</v>
      </c>
      <c r="N4827" s="17">
        <v>1</v>
      </c>
      <c r="O4827" s="18">
        <v>2853.85</v>
      </c>
      <c r="P4827" s="18">
        <v>2339.2199999999998</v>
      </c>
      <c r="Q4827" s="18">
        <v>2654.08</v>
      </c>
      <c r="R4827" s="18">
        <v>2175.48</v>
      </c>
      <c r="S4827" s="18">
        <v>1940.62</v>
      </c>
      <c r="T4827" s="18">
        <v>1590.67</v>
      </c>
      <c r="U4827" s="16"/>
      <c r="V4827" s="16"/>
      <c r="W4827" s="16" t="s">
        <v>40</v>
      </c>
      <c r="X4827" s="19">
        <v>0.48199999999999998</v>
      </c>
      <c r="Y4827" s="20">
        <v>1.8619999999999999E-3</v>
      </c>
      <c r="Z4827" s="21">
        <v>4601004177475</v>
      </c>
    </row>
    <row r="4828" spans="1:26" ht="12" customHeight="1" outlineLevel="4" x14ac:dyDescent="0.2">
      <c r="A4828" s="14" t="s">
        <v>9372</v>
      </c>
      <c r="B4828" s="26" t="s">
        <v>9373</v>
      </c>
      <c r="C4828" s="52"/>
      <c r="D4828" s="55">
        <f t="shared" si="75"/>
        <v>0</v>
      </c>
      <c r="E4828" s="63" t="str">
        <f>HYPERLINK("https://www.sds-group.ru/product/koronka-almaznaya-110mm-po-keramogranitu-s-tsentrovochnym-sverlom-kranz-KR-92-0022/", "Инфо")</f>
        <v>Инфо</v>
      </c>
      <c r="F4828" s="16" t="s">
        <v>39</v>
      </c>
      <c r="G4828" s="15"/>
      <c r="H4828" s="15"/>
      <c r="I4828" s="15"/>
      <c r="J4828" s="17">
        <v>534</v>
      </c>
      <c r="K4828" s="15" t="s">
        <v>1650</v>
      </c>
      <c r="L4828" s="17">
        <v>1</v>
      </c>
      <c r="M4828" s="17">
        <v>20</v>
      </c>
      <c r="N4828" s="17">
        <v>1</v>
      </c>
      <c r="O4828" s="18">
        <v>2820.66</v>
      </c>
      <c r="P4828" s="18">
        <v>2312.02</v>
      </c>
      <c r="Q4828" s="18">
        <v>2707.83</v>
      </c>
      <c r="R4828" s="18">
        <v>2219.5300000000002</v>
      </c>
      <c r="S4828" s="18">
        <v>1918.05</v>
      </c>
      <c r="T4828" s="18">
        <v>1572.17</v>
      </c>
      <c r="U4828" s="16"/>
      <c r="V4828" s="16"/>
      <c r="W4828" s="16" t="s">
        <v>40</v>
      </c>
      <c r="X4828" s="19">
        <v>0.57399999999999995</v>
      </c>
      <c r="Y4828" s="20">
        <v>2.496E-3</v>
      </c>
      <c r="Z4828" s="21">
        <v>4601004177482</v>
      </c>
    </row>
    <row r="4829" spans="1:26" ht="12" customHeight="1" outlineLevel="4" x14ac:dyDescent="0.2">
      <c r="A4829" s="14" t="s">
        <v>9374</v>
      </c>
      <c r="B4829" s="26" t="s">
        <v>9375</v>
      </c>
      <c r="C4829" s="52"/>
      <c r="D4829" s="55">
        <f t="shared" si="75"/>
        <v>0</v>
      </c>
      <c r="E4829" s="63" t="str">
        <f>HYPERLINK("https://www.sds-group.ru/product/koronka-almaznaya-120mm-po-keramogranitu-s-tsentrovochnym-sverlom-kranz-KR-92-0023/", "Инфо")</f>
        <v>Инфо</v>
      </c>
      <c r="F4829" s="16" t="s">
        <v>39</v>
      </c>
      <c r="G4829" s="15"/>
      <c r="H4829" s="15"/>
      <c r="I4829" s="15"/>
      <c r="J4829" s="17">
        <v>130</v>
      </c>
      <c r="K4829" s="15" t="s">
        <v>1650</v>
      </c>
      <c r="L4829" s="17">
        <v>1</v>
      </c>
      <c r="M4829" s="17">
        <v>20</v>
      </c>
      <c r="N4829" s="17">
        <v>1</v>
      </c>
      <c r="O4829" s="18">
        <v>3465.38</v>
      </c>
      <c r="P4829" s="18">
        <v>2840.48</v>
      </c>
      <c r="Q4829" s="18">
        <v>3292.11</v>
      </c>
      <c r="R4829" s="18">
        <v>2698.45</v>
      </c>
      <c r="S4829" s="18">
        <v>2356.46</v>
      </c>
      <c r="T4829" s="18">
        <v>1931.52</v>
      </c>
      <c r="U4829" s="16"/>
      <c r="V4829" s="16"/>
      <c r="W4829" s="16" t="s">
        <v>40</v>
      </c>
      <c r="X4829" s="19">
        <v>0.66100000000000003</v>
      </c>
      <c r="Y4829" s="20">
        <v>2.4290000000000002E-3</v>
      </c>
      <c r="Z4829" s="21">
        <v>4601004177499</v>
      </c>
    </row>
    <row r="4830" spans="1:26" ht="12" customHeight="1" outlineLevel="4" x14ac:dyDescent="0.2">
      <c r="A4830" s="14" t="s">
        <v>9376</v>
      </c>
      <c r="B4830" s="26" t="s">
        <v>9377</v>
      </c>
      <c r="C4830" s="52"/>
      <c r="D4830" s="55">
        <f t="shared" si="75"/>
        <v>0</v>
      </c>
      <c r="E4830" s="63" t="str">
        <f>HYPERLINK("https://www.sds-group.ru/product/koronka-almaznaya-16mm-po-keramogranitu-s-tsentrovochnym-sverlom-kranz-KR-92-0005/", "Инфо")</f>
        <v>Инфо</v>
      </c>
      <c r="F4830" s="16" t="s">
        <v>39</v>
      </c>
      <c r="G4830" s="15"/>
      <c r="H4830" s="15"/>
      <c r="I4830" s="15"/>
      <c r="J4830" s="17">
        <v>815</v>
      </c>
      <c r="K4830" s="15" t="s">
        <v>1650</v>
      </c>
      <c r="L4830" s="17">
        <v>1</v>
      </c>
      <c r="M4830" s="17">
        <v>120</v>
      </c>
      <c r="N4830" s="17">
        <v>1</v>
      </c>
      <c r="O4830" s="18">
        <v>556.5</v>
      </c>
      <c r="P4830" s="18">
        <v>456.15</v>
      </c>
      <c r="Q4830" s="18">
        <v>556.5</v>
      </c>
      <c r="R4830" s="18">
        <v>456.15</v>
      </c>
      <c r="S4830" s="18">
        <v>378.42</v>
      </c>
      <c r="T4830" s="18">
        <v>310.18</v>
      </c>
      <c r="U4830" s="16"/>
      <c r="V4830" s="16"/>
      <c r="W4830" s="16" t="s">
        <v>40</v>
      </c>
      <c r="X4830" s="19">
        <v>7.6999999999999999E-2</v>
      </c>
      <c r="Y4830" s="20">
        <v>3.5E-4</v>
      </c>
      <c r="Z4830" s="21">
        <v>4601004205895</v>
      </c>
    </row>
    <row r="4831" spans="1:26" ht="12" customHeight="1" outlineLevel="4" x14ac:dyDescent="0.2">
      <c r="A4831" s="14" t="s">
        <v>9378</v>
      </c>
      <c r="B4831" s="26" t="s">
        <v>9379</v>
      </c>
      <c r="C4831" s="52"/>
      <c r="D4831" s="55">
        <f t="shared" si="75"/>
        <v>0</v>
      </c>
      <c r="E4831" s="63" t="str">
        <f>HYPERLINK("https://www.sds-group.ru/product/koronka-almaznaya-20mm-po-keramogranitu-s-tsentrovochnym-sverlom-kranz-KR-92-0006/", "Инфо")</f>
        <v>Инфо</v>
      </c>
      <c r="F4831" s="16" t="s">
        <v>39</v>
      </c>
      <c r="G4831" s="15"/>
      <c r="H4831" s="15"/>
      <c r="I4831" s="15"/>
      <c r="J4831" s="22">
        <v>1550</v>
      </c>
      <c r="K4831" s="15" t="s">
        <v>5837</v>
      </c>
      <c r="L4831" s="17">
        <v>1</v>
      </c>
      <c r="M4831" s="17">
        <v>120</v>
      </c>
      <c r="N4831" s="17">
        <v>1</v>
      </c>
      <c r="O4831" s="18">
        <v>636</v>
      </c>
      <c r="P4831" s="18">
        <v>521.30999999999995</v>
      </c>
      <c r="Q4831" s="18">
        <v>636</v>
      </c>
      <c r="R4831" s="18">
        <v>521.30999999999995</v>
      </c>
      <c r="S4831" s="18">
        <v>432.48</v>
      </c>
      <c r="T4831" s="18">
        <v>354.49</v>
      </c>
      <c r="U4831" s="16"/>
      <c r="V4831" s="16"/>
      <c r="W4831" s="16" t="s">
        <v>40</v>
      </c>
      <c r="X4831" s="19">
        <v>8.3000000000000004E-2</v>
      </c>
      <c r="Y4831" s="20">
        <v>3.4400000000000001E-4</v>
      </c>
      <c r="Z4831" s="21">
        <v>4601004205901</v>
      </c>
    </row>
    <row r="4832" spans="1:26" ht="12" customHeight="1" outlineLevel="4" x14ac:dyDescent="0.2">
      <c r="A4832" s="14" t="s">
        <v>9380</v>
      </c>
      <c r="B4832" s="26" t="s">
        <v>9381</v>
      </c>
      <c r="C4832" s="52"/>
      <c r="D4832" s="55">
        <f t="shared" si="75"/>
        <v>0</v>
      </c>
      <c r="E4832" s="63" t="str">
        <f>HYPERLINK("https://www.sds-group.ru/product/koronka-almaznaya-22mm-po-keramogranitu-s-tsentrovochnym-sverlom-kranz-KR-92-0007/", "Инфо")</f>
        <v>Инфо</v>
      </c>
      <c r="F4832" s="16" t="s">
        <v>39</v>
      </c>
      <c r="G4832" s="15"/>
      <c r="H4832" s="15"/>
      <c r="I4832" s="15"/>
      <c r="J4832" s="17">
        <v>605</v>
      </c>
      <c r="K4832" s="15" t="s">
        <v>1650</v>
      </c>
      <c r="L4832" s="17">
        <v>1</v>
      </c>
      <c r="M4832" s="17">
        <v>120</v>
      </c>
      <c r="N4832" s="17">
        <v>1</v>
      </c>
      <c r="O4832" s="18">
        <v>710.2</v>
      </c>
      <c r="P4832" s="18">
        <v>582.13</v>
      </c>
      <c r="Q4832" s="18">
        <v>688.89</v>
      </c>
      <c r="R4832" s="18">
        <v>564.66</v>
      </c>
      <c r="S4832" s="18">
        <v>482.94</v>
      </c>
      <c r="T4832" s="18">
        <v>395.85</v>
      </c>
      <c r="U4832" s="16"/>
      <c r="V4832" s="16"/>
      <c r="W4832" s="16" t="s">
        <v>40</v>
      </c>
      <c r="X4832" s="19">
        <v>8.7999999999999995E-2</v>
      </c>
      <c r="Y4832" s="20">
        <v>3.5300000000000002E-4</v>
      </c>
      <c r="Z4832" s="21">
        <v>4601004205918</v>
      </c>
    </row>
    <row r="4833" spans="1:26" ht="12" customHeight="1" outlineLevel="4" x14ac:dyDescent="0.2">
      <c r="A4833" s="14" t="s">
        <v>9382</v>
      </c>
      <c r="B4833" s="26" t="s">
        <v>9383</v>
      </c>
      <c r="C4833" s="52"/>
      <c r="D4833" s="55">
        <f t="shared" si="75"/>
        <v>0</v>
      </c>
      <c r="E4833" s="63" t="str">
        <f>HYPERLINK("https://www.sds-group.ru/product/koronka-almaznaya-25mm-po-keramogranitu-s-tsentrovochnym-sverlom-kranz-KR-92-0008/", "Инфо")</f>
        <v>Инфо</v>
      </c>
      <c r="F4833" s="16" t="s">
        <v>39</v>
      </c>
      <c r="G4833" s="15"/>
      <c r="H4833" s="15"/>
      <c r="I4833" s="15"/>
      <c r="J4833" s="17">
        <v>869</v>
      </c>
      <c r="K4833" s="15"/>
      <c r="L4833" s="17">
        <v>1</v>
      </c>
      <c r="M4833" s="17">
        <v>120</v>
      </c>
      <c r="N4833" s="17">
        <v>1</v>
      </c>
      <c r="O4833" s="18">
        <v>787.78</v>
      </c>
      <c r="P4833" s="18">
        <v>645.72</v>
      </c>
      <c r="Q4833" s="18">
        <v>709</v>
      </c>
      <c r="R4833" s="18">
        <v>581.15</v>
      </c>
      <c r="S4833" s="18">
        <v>535.69000000000005</v>
      </c>
      <c r="T4833" s="18">
        <v>439.09</v>
      </c>
      <c r="U4833" s="16"/>
      <c r="V4833" s="16"/>
      <c r="W4833" s="16" t="s">
        <v>40</v>
      </c>
      <c r="X4833" s="19">
        <v>0.09</v>
      </c>
      <c r="Y4833" s="20">
        <v>3.4099999999999999E-4</v>
      </c>
      <c r="Z4833" s="21">
        <v>4601004177437</v>
      </c>
    </row>
    <row r="4834" spans="1:26" ht="12" customHeight="1" outlineLevel="4" x14ac:dyDescent="0.2">
      <c r="A4834" s="14" t="s">
        <v>9384</v>
      </c>
      <c r="B4834" s="26" t="s">
        <v>9385</v>
      </c>
      <c r="C4834" s="52"/>
      <c r="D4834" s="55">
        <f t="shared" si="75"/>
        <v>0</v>
      </c>
      <c r="E4834" s="63" t="str">
        <f>HYPERLINK("https://www.sds-group.ru/product/koronka-almaznaya-28mm-po-keramogranitu-s-tsentrovochnym-sverlom-kranz-KR-92-0009/", "Инфо")</f>
        <v>Инфо</v>
      </c>
      <c r="F4834" s="16" t="s">
        <v>39</v>
      </c>
      <c r="G4834" s="15"/>
      <c r="H4834" s="15"/>
      <c r="I4834" s="15"/>
      <c r="J4834" s="22">
        <v>1157</v>
      </c>
      <c r="K4834" s="15"/>
      <c r="L4834" s="17">
        <v>1</v>
      </c>
      <c r="M4834" s="17">
        <v>120</v>
      </c>
      <c r="N4834" s="17">
        <v>1</v>
      </c>
      <c r="O4834" s="18">
        <v>819.46</v>
      </c>
      <c r="P4834" s="18">
        <v>671.69</v>
      </c>
      <c r="Q4834" s="18">
        <v>819.46</v>
      </c>
      <c r="R4834" s="18">
        <v>671.69</v>
      </c>
      <c r="S4834" s="18">
        <v>557.23</v>
      </c>
      <c r="T4834" s="18">
        <v>456.75</v>
      </c>
      <c r="U4834" s="16"/>
      <c r="V4834" s="16"/>
      <c r="W4834" s="16" t="s">
        <v>40</v>
      </c>
      <c r="X4834" s="19">
        <v>9.8000000000000004E-2</v>
      </c>
      <c r="Y4834" s="20">
        <v>3.3E-4</v>
      </c>
      <c r="Z4834" s="21">
        <v>4601004205925</v>
      </c>
    </row>
    <row r="4835" spans="1:26" ht="12" customHeight="1" outlineLevel="4" x14ac:dyDescent="0.2">
      <c r="A4835" s="14" t="s">
        <v>9386</v>
      </c>
      <c r="B4835" s="26" t="s">
        <v>9387</v>
      </c>
      <c r="C4835" s="52"/>
      <c r="D4835" s="55">
        <f t="shared" si="75"/>
        <v>0</v>
      </c>
      <c r="E4835" s="63" t="str">
        <f>HYPERLINK("https://www.sds-group.ru/product/koronka-almaznaya-30mm-po-keramogranitu-s-tsentrovochnym-sverlom-kranz-KR-92-0010/", "Инфо")</f>
        <v>Инфо</v>
      </c>
      <c r="F4835" s="16" t="s">
        <v>39</v>
      </c>
      <c r="G4835" s="15"/>
      <c r="H4835" s="15"/>
      <c r="I4835" s="15"/>
      <c r="J4835" s="22">
        <v>1021</v>
      </c>
      <c r="K4835" s="15" t="s">
        <v>5837</v>
      </c>
      <c r="L4835" s="17">
        <v>1</v>
      </c>
      <c r="M4835" s="17">
        <v>120</v>
      </c>
      <c r="N4835" s="17">
        <v>1</v>
      </c>
      <c r="O4835" s="18">
        <v>848</v>
      </c>
      <c r="P4835" s="18">
        <v>695.08</v>
      </c>
      <c r="Q4835" s="18">
        <v>848</v>
      </c>
      <c r="R4835" s="18">
        <v>695.08</v>
      </c>
      <c r="S4835" s="18">
        <v>576.64</v>
      </c>
      <c r="T4835" s="18">
        <v>472.66</v>
      </c>
      <c r="U4835" s="16"/>
      <c r="V4835" s="16"/>
      <c r="W4835" s="16" t="s">
        <v>40</v>
      </c>
      <c r="X4835" s="19">
        <v>0.106</v>
      </c>
      <c r="Y4835" s="20">
        <v>3.4000000000000002E-4</v>
      </c>
      <c r="Z4835" s="21">
        <v>4601004177406</v>
      </c>
    </row>
    <row r="4836" spans="1:26" ht="12" customHeight="1" outlineLevel="4" x14ac:dyDescent="0.2">
      <c r="A4836" s="14" t="s">
        <v>9388</v>
      </c>
      <c r="B4836" s="26" t="s">
        <v>9389</v>
      </c>
      <c r="C4836" s="52"/>
      <c r="D4836" s="55">
        <f t="shared" si="75"/>
        <v>0</v>
      </c>
      <c r="E4836" s="63" t="str">
        <f>HYPERLINK("https://www.sds-group.ru/product/koronka-almaznaya-32mm-po-keramogranitu-s-tsentrovochnym-sverlom-kranz-KR-92-0026/", "Инфо")</f>
        <v>Инфо</v>
      </c>
      <c r="F4836" s="16" t="s">
        <v>39</v>
      </c>
      <c r="G4836" s="15"/>
      <c r="H4836" s="15"/>
      <c r="I4836" s="15"/>
      <c r="J4836" s="17">
        <v>395</v>
      </c>
      <c r="K4836" s="15" t="s">
        <v>5837</v>
      </c>
      <c r="L4836" s="17">
        <v>1</v>
      </c>
      <c r="M4836" s="17">
        <v>120</v>
      </c>
      <c r="N4836" s="17">
        <v>1</v>
      </c>
      <c r="O4836" s="18">
        <v>995.32</v>
      </c>
      <c r="P4836" s="18">
        <v>815.84</v>
      </c>
      <c r="Q4836" s="18">
        <v>995.32</v>
      </c>
      <c r="R4836" s="18">
        <v>815.84</v>
      </c>
      <c r="S4836" s="18">
        <v>676.82</v>
      </c>
      <c r="T4836" s="18">
        <v>554.77</v>
      </c>
      <c r="U4836" s="16"/>
      <c r="V4836" s="16"/>
      <c r="W4836" s="16" t="s">
        <v>40</v>
      </c>
      <c r="X4836" s="19">
        <v>0.11700000000000001</v>
      </c>
      <c r="Y4836" s="20">
        <v>3.5500000000000001E-4</v>
      </c>
      <c r="Z4836" s="21">
        <v>4601004287266</v>
      </c>
    </row>
    <row r="4837" spans="1:26" ht="12" customHeight="1" outlineLevel="4" x14ac:dyDescent="0.2">
      <c r="A4837" s="14" t="s">
        <v>9390</v>
      </c>
      <c r="B4837" s="26" t="s">
        <v>9391</v>
      </c>
      <c r="C4837" s="52"/>
      <c r="D4837" s="55">
        <f t="shared" si="75"/>
        <v>0</v>
      </c>
      <c r="E4837" s="63" t="str">
        <f>HYPERLINK("https://www.sds-group.ru/product/koronka-almaznaya-35mm-po-keramogranitu-s-tsentrovochnym-sverlom-kranz-KR-92-0011/", "Инфо")</f>
        <v>Инфо</v>
      </c>
      <c r="F4837" s="16" t="s">
        <v>39</v>
      </c>
      <c r="G4837" s="15"/>
      <c r="H4837" s="15"/>
      <c r="I4837" s="15"/>
      <c r="J4837" s="17">
        <v>243</v>
      </c>
      <c r="K4837" s="15" t="s">
        <v>1650</v>
      </c>
      <c r="L4837" s="17">
        <v>1</v>
      </c>
      <c r="M4837" s="17">
        <v>60</v>
      </c>
      <c r="N4837" s="17">
        <v>1</v>
      </c>
      <c r="O4837" s="18">
        <v>1060</v>
      </c>
      <c r="P4837" s="18">
        <v>868.85</v>
      </c>
      <c r="Q4837" s="18">
        <v>1060</v>
      </c>
      <c r="R4837" s="18">
        <v>868.85</v>
      </c>
      <c r="S4837" s="18">
        <v>720.8</v>
      </c>
      <c r="T4837" s="18">
        <v>590.82000000000005</v>
      </c>
      <c r="U4837" s="16"/>
      <c r="V4837" s="16"/>
      <c r="W4837" s="16" t="s">
        <v>40</v>
      </c>
      <c r="X4837" s="19">
        <v>0.14299999999999999</v>
      </c>
      <c r="Y4837" s="20">
        <v>6.3599999999999996E-4</v>
      </c>
      <c r="Z4837" s="21">
        <v>4601004177444</v>
      </c>
    </row>
    <row r="4838" spans="1:26" ht="12" customHeight="1" outlineLevel="4" x14ac:dyDescent="0.2">
      <c r="A4838" s="14" t="s">
        <v>9392</v>
      </c>
      <c r="B4838" s="26" t="s">
        <v>9393</v>
      </c>
      <c r="C4838" s="52"/>
      <c r="D4838" s="55">
        <f t="shared" si="75"/>
        <v>0</v>
      </c>
      <c r="E4838" s="63" t="str">
        <f>HYPERLINK("https://www.sds-group.ru/product/koronka-almaznaya-38mm-po-keramogranitu-s-tsentrovochnym-sverlom-kranz-KR-92-0027/", "Инфо")</f>
        <v>Инфо</v>
      </c>
      <c r="F4838" s="16" t="s">
        <v>39</v>
      </c>
      <c r="G4838" s="15"/>
      <c r="H4838" s="15"/>
      <c r="I4838" s="15"/>
      <c r="J4838" s="22">
        <v>1078</v>
      </c>
      <c r="K4838" s="15"/>
      <c r="L4838" s="17">
        <v>1</v>
      </c>
      <c r="M4838" s="17">
        <v>60</v>
      </c>
      <c r="N4838" s="17">
        <v>1</v>
      </c>
      <c r="O4838" s="18">
        <v>962.13</v>
      </c>
      <c r="P4838" s="18">
        <v>788.63</v>
      </c>
      <c r="Q4838" s="18">
        <v>769.7</v>
      </c>
      <c r="R4838" s="18">
        <v>630.9</v>
      </c>
      <c r="S4838" s="18">
        <v>654.25</v>
      </c>
      <c r="T4838" s="18">
        <v>536.27</v>
      </c>
      <c r="U4838" s="16"/>
      <c r="V4838" s="16"/>
      <c r="W4838" s="16" t="s">
        <v>40</v>
      </c>
      <c r="X4838" s="19">
        <v>0.152</v>
      </c>
      <c r="Y4838" s="20">
        <v>6.4099999999999997E-4</v>
      </c>
      <c r="Z4838" s="21">
        <v>4601004287075</v>
      </c>
    </row>
    <row r="4839" spans="1:26" ht="12" customHeight="1" outlineLevel="4" x14ac:dyDescent="0.2">
      <c r="A4839" s="14" t="s">
        <v>9394</v>
      </c>
      <c r="B4839" s="26" t="s">
        <v>9395</v>
      </c>
      <c r="C4839" s="52"/>
      <c r="D4839" s="55">
        <f t="shared" si="75"/>
        <v>0</v>
      </c>
      <c r="E4839" s="63" t="str">
        <f>HYPERLINK("https://www.sds-group.ru/product/koronka-almaznaya-40mm-po-keramogranitu-s-tsentrovochnym-sverlom-kranz-KR-92-0012/", "Инфо")</f>
        <v>Инфо</v>
      </c>
      <c r="F4839" s="16" t="s">
        <v>39</v>
      </c>
      <c r="G4839" s="15"/>
      <c r="H4839" s="15"/>
      <c r="I4839" s="15"/>
      <c r="J4839" s="16" t="s">
        <v>100</v>
      </c>
      <c r="K4839" s="15" t="s">
        <v>1650</v>
      </c>
      <c r="L4839" s="17">
        <v>1</v>
      </c>
      <c r="M4839" s="17">
        <v>60</v>
      </c>
      <c r="N4839" s="17">
        <v>1</v>
      </c>
      <c r="O4839" s="18">
        <v>1239.53</v>
      </c>
      <c r="P4839" s="18">
        <v>1016.01</v>
      </c>
      <c r="Q4839" s="18">
        <v>1165.1600000000001</v>
      </c>
      <c r="R4839" s="18">
        <v>955.05</v>
      </c>
      <c r="S4839" s="18">
        <v>842.88</v>
      </c>
      <c r="T4839" s="18">
        <v>690.89</v>
      </c>
      <c r="U4839" s="16"/>
      <c r="V4839" s="16"/>
      <c r="W4839" s="16" t="s">
        <v>40</v>
      </c>
      <c r="X4839" s="19">
        <v>0.157</v>
      </c>
      <c r="Y4839" s="20">
        <v>6.2100000000000002E-4</v>
      </c>
      <c r="Z4839" s="21">
        <v>4601004205932</v>
      </c>
    </row>
    <row r="4840" spans="1:26" ht="12" customHeight="1" outlineLevel="4" x14ac:dyDescent="0.2">
      <c r="A4840" s="14" t="s">
        <v>9396</v>
      </c>
      <c r="B4840" s="26" t="s">
        <v>9397</v>
      </c>
      <c r="C4840" s="52"/>
      <c r="D4840" s="55">
        <f t="shared" si="75"/>
        <v>0</v>
      </c>
      <c r="E4840" s="63" t="str">
        <f>HYPERLINK("https://www.sds-group.ru/product/koronka-almaznaya-45mm-po-keramogranitu-s-tsentrovochnym-sverlom-kranz-KR-92-0013/", "Инфо")</f>
        <v>Инфо</v>
      </c>
      <c r="F4840" s="16" t="s">
        <v>39</v>
      </c>
      <c r="G4840" s="15"/>
      <c r="H4840" s="15"/>
      <c r="I4840" s="15"/>
      <c r="J4840" s="16" t="s">
        <v>100</v>
      </c>
      <c r="K4840" s="15" t="s">
        <v>1650</v>
      </c>
      <c r="L4840" s="17">
        <v>1</v>
      </c>
      <c r="M4840" s="17">
        <v>60</v>
      </c>
      <c r="N4840" s="17">
        <v>1</v>
      </c>
      <c r="O4840" s="18">
        <v>1272</v>
      </c>
      <c r="P4840" s="18">
        <v>1042.6199999999999</v>
      </c>
      <c r="Q4840" s="18">
        <v>1272</v>
      </c>
      <c r="R4840" s="18">
        <v>1042.6199999999999</v>
      </c>
      <c r="S4840" s="18">
        <v>864.96</v>
      </c>
      <c r="T4840" s="18">
        <v>708.98</v>
      </c>
      <c r="U4840" s="16"/>
      <c r="V4840" s="16"/>
      <c r="W4840" s="16" t="s">
        <v>40</v>
      </c>
      <c r="X4840" s="19">
        <v>0.17</v>
      </c>
      <c r="Y4840" s="20">
        <v>6.3400000000000001E-4</v>
      </c>
      <c r="Z4840" s="21">
        <v>4601004177451</v>
      </c>
    </row>
    <row r="4841" spans="1:26" ht="12" customHeight="1" outlineLevel="4" x14ac:dyDescent="0.2">
      <c r="A4841" s="14" t="s">
        <v>9398</v>
      </c>
      <c r="B4841" s="26" t="s">
        <v>9399</v>
      </c>
      <c r="C4841" s="52"/>
      <c r="D4841" s="55">
        <f t="shared" si="75"/>
        <v>0</v>
      </c>
      <c r="E4841" s="63" t="str">
        <f>HYPERLINK("https://www.sds-group.ru/product/koronka-almaznaya-50mm-po-keramogranitu-s-tsentrovochnym-sverlom-kranz-KR-92-0014/", "Инфо")</f>
        <v>Инфо</v>
      </c>
      <c r="F4841" s="16" t="s">
        <v>39</v>
      </c>
      <c r="G4841" s="15"/>
      <c r="H4841" s="15"/>
      <c r="I4841" s="15"/>
      <c r="J4841" s="22">
        <v>1095</v>
      </c>
      <c r="K4841" s="15"/>
      <c r="L4841" s="17">
        <v>1</v>
      </c>
      <c r="M4841" s="17">
        <v>60</v>
      </c>
      <c r="N4841" s="17">
        <v>1</v>
      </c>
      <c r="O4841" s="18">
        <v>1406.54</v>
      </c>
      <c r="P4841" s="18">
        <v>1152.9000000000001</v>
      </c>
      <c r="Q4841" s="18">
        <v>1378.41</v>
      </c>
      <c r="R4841" s="18">
        <v>1129.8399999999999</v>
      </c>
      <c r="S4841" s="18">
        <v>956.45</v>
      </c>
      <c r="T4841" s="18">
        <v>783.98</v>
      </c>
      <c r="U4841" s="16"/>
      <c r="V4841" s="16"/>
      <c r="W4841" s="16" t="s">
        <v>40</v>
      </c>
      <c r="X4841" s="19">
        <v>0.19600000000000001</v>
      </c>
      <c r="Y4841" s="20">
        <v>9.3999999999999997E-4</v>
      </c>
      <c r="Z4841" s="21">
        <v>4601004177413</v>
      </c>
    </row>
    <row r="4842" spans="1:26" ht="12" customHeight="1" outlineLevel="4" x14ac:dyDescent="0.2">
      <c r="A4842" s="14" t="s">
        <v>9400</v>
      </c>
      <c r="B4842" s="26" t="s">
        <v>9401</v>
      </c>
      <c r="C4842" s="52"/>
      <c r="D4842" s="55">
        <f t="shared" si="75"/>
        <v>0</v>
      </c>
      <c r="E4842" s="63" t="str">
        <f>HYPERLINK("https://www.sds-group.ru/product/koronka-almaznaya-55mm-po-keramogranitu-s-tsentrovochnym-sverlom-kranz-KR-92-0015/", "Инфо")</f>
        <v>Инфо</v>
      </c>
      <c r="F4842" s="16" t="s">
        <v>39</v>
      </c>
      <c r="G4842" s="15"/>
      <c r="H4842" s="15"/>
      <c r="I4842" s="15"/>
      <c r="J4842" s="17">
        <v>246</v>
      </c>
      <c r="K4842" s="15" t="s">
        <v>1650</v>
      </c>
      <c r="L4842" s="17">
        <v>1</v>
      </c>
      <c r="M4842" s="17">
        <v>60</v>
      </c>
      <c r="N4842" s="17">
        <v>1</v>
      </c>
      <c r="O4842" s="18">
        <v>1431</v>
      </c>
      <c r="P4842" s="18">
        <v>1172.95</v>
      </c>
      <c r="Q4842" s="18">
        <v>1431</v>
      </c>
      <c r="R4842" s="18">
        <v>1172.95</v>
      </c>
      <c r="S4842" s="18">
        <v>973.08</v>
      </c>
      <c r="T4842" s="18">
        <v>797.61</v>
      </c>
      <c r="U4842" s="16"/>
      <c r="V4842" s="16"/>
      <c r="W4842" s="16" t="s">
        <v>40</v>
      </c>
      <c r="X4842" s="19">
        <v>0.219</v>
      </c>
      <c r="Y4842" s="20">
        <v>9.6900000000000003E-4</v>
      </c>
      <c r="Z4842" s="21">
        <v>4601004205949</v>
      </c>
    </row>
    <row r="4843" spans="1:26" ht="12" customHeight="1" outlineLevel="4" x14ac:dyDescent="0.2">
      <c r="A4843" s="14" t="s">
        <v>9402</v>
      </c>
      <c r="B4843" s="26" t="s">
        <v>9403</v>
      </c>
      <c r="C4843" s="52"/>
      <c r="D4843" s="55">
        <f t="shared" si="75"/>
        <v>0</v>
      </c>
      <c r="E4843" s="63" t="str">
        <f>HYPERLINK("https://www.sds-group.ru/product/koronka-almaznaya-60mm-po-keramogranitu-s-tsentrovochnym-sverlom-kranz-KR-92-0016/", "Инфо")</f>
        <v>Инфо</v>
      </c>
      <c r="F4843" s="16" t="s">
        <v>39</v>
      </c>
      <c r="G4843" s="15"/>
      <c r="H4843" s="15"/>
      <c r="I4843" s="15"/>
      <c r="J4843" s="17">
        <v>507</v>
      </c>
      <c r="K4843" s="15"/>
      <c r="L4843" s="17">
        <v>1</v>
      </c>
      <c r="M4843" s="17">
        <v>60</v>
      </c>
      <c r="N4843" s="17">
        <v>1</v>
      </c>
      <c r="O4843" s="18">
        <v>1610.38</v>
      </c>
      <c r="P4843" s="18">
        <v>1319.98</v>
      </c>
      <c r="Q4843" s="18">
        <v>1545.96</v>
      </c>
      <c r="R4843" s="18">
        <v>1267.18</v>
      </c>
      <c r="S4843" s="18">
        <v>1095.06</v>
      </c>
      <c r="T4843" s="18">
        <v>897.59</v>
      </c>
      <c r="U4843" s="16"/>
      <c r="V4843" s="16"/>
      <c r="W4843" s="16" t="s">
        <v>40</v>
      </c>
      <c r="X4843" s="19">
        <v>0.24</v>
      </c>
      <c r="Y4843" s="20">
        <v>9.6699999999999998E-4</v>
      </c>
      <c r="Z4843" s="21">
        <v>4601004205956</v>
      </c>
    </row>
    <row r="4844" spans="1:26" ht="12" customHeight="1" outlineLevel="4" x14ac:dyDescent="0.2">
      <c r="A4844" s="14" t="s">
        <v>9404</v>
      </c>
      <c r="B4844" s="26" t="s">
        <v>9405</v>
      </c>
      <c r="C4844" s="52"/>
      <c r="D4844" s="55">
        <f t="shared" si="75"/>
        <v>0</v>
      </c>
      <c r="E4844" s="63" t="str">
        <f>HYPERLINK("https://www.sds-group.ru/product/koronka-almaznaya-65mm-po-keramogranitu-s-tsentrovochnym-sverlom-kranz-KR-92-0017/", "Инфо")</f>
        <v>Инфо</v>
      </c>
      <c r="F4844" s="16" t="s">
        <v>39</v>
      </c>
      <c r="G4844" s="15"/>
      <c r="H4844" s="15"/>
      <c r="I4844" s="15"/>
      <c r="J4844" s="17">
        <v>983</v>
      </c>
      <c r="K4844" s="15"/>
      <c r="L4844" s="17">
        <v>1</v>
      </c>
      <c r="M4844" s="17">
        <v>60</v>
      </c>
      <c r="N4844" s="17">
        <v>1</v>
      </c>
      <c r="O4844" s="18">
        <v>1696</v>
      </c>
      <c r="P4844" s="18">
        <v>1390.16</v>
      </c>
      <c r="Q4844" s="18">
        <v>1696</v>
      </c>
      <c r="R4844" s="18">
        <v>1390.16</v>
      </c>
      <c r="S4844" s="18">
        <v>1153.28</v>
      </c>
      <c r="T4844" s="18">
        <v>945.31</v>
      </c>
      <c r="U4844" s="16"/>
      <c r="V4844" s="16"/>
      <c r="W4844" s="16" t="s">
        <v>40</v>
      </c>
      <c r="X4844" s="19">
        <v>0.26600000000000001</v>
      </c>
      <c r="Y4844" s="20">
        <v>9.4899999999999997E-4</v>
      </c>
      <c r="Z4844" s="21">
        <v>4601004177420</v>
      </c>
    </row>
    <row r="4845" spans="1:26" ht="12" customHeight="1" outlineLevel="4" x14ac:dyDescent="0.2">
      <c r="A4845" s="14" t="s">
        <v>9406</v>
      </c>
      <c r="B4845" s="26" t="s">
        <v>9407</v>
      </c>
      <c r="C4845" s="52"/>
      <c r="D4845" s="55">
        <f t="shared" si="75"/>
        <v>0</v>
      </c>
      <c r="E4845" s="63" t="str">
        <f>HYPERLINK("https://www.sds-group.ru/product/koronka-almaznaya-68mm-po-keramogranitu-s-tsentrovochnym-sverlom-kranz-KR-92-0018/", "Инфо")</f>
        <v>Инфо</v>
      </c>
      <c r="F4845" s="16" t="s">
        <v>39</v>
      </c>
      <c r="G4845" s="15"/>
      <c r="H4845" s="15"/>
      <c r="I4845" s="15"/>
      <c r="J4845" s="17">
        <v>703</v>
      </c>
      <c r="K4845" s="15" t="s">
        <v>1650</v>
      </c>
      <c r="L4845" s="17">
        <v>1</v>
      </c>
      <c r="M4845" s="17">
        <v>60</v>
      </c>
      <c r="N4845" s="17">
        <v>1</v>
      </c>
      <c r="O4845" s="18">
        <v>1865.2</v>
      </c>
      <c r="P4845" s="18">
        <v>1528.85</v>
      </c>
      <c r="Q4845" s="18">
        <v>1809.24</v>
      </c>
      <c r="R4845" s="18">
        <v>1482.98</v>
      </c>
      <c r="S4845" s="18">
        <v>1268.3399999999999</v>
      </c>
      <c r="T4845" s="18">
        <v>1039.6199999999999</v>
      </c>
      <c r="U4845" s="16"/>
      <c r="V4845" s="16"/>
      <c r="W4845" s="16" t="s">
        <v>40</v>
      </c>
      <c r="X4845" s="19">
        <v>0.27600000000000002</v>
      </c>
      <c r="Y4845" s="20">
        <v>9.6000000000000002E-4</v>
      </c>
      <c r="Z4845" s="21">
        <v>4601004177468</v>
      </c>
    </row>
    <row r="4846" spans="1:26" ht="12" customHeight="1" outlineLevel="4" x14ac:dyDescent="0.2">
      <c r="A4846" s="14" t="s">
        <v>9408</v>
      </c>
      <c r="B4846" s="26" t="s">
        <v>9409</v>
      </c>
      <c r="C4846" s="52"/>
      <c r="D4846" s="55">
        <f t="shared" si="75"/>
        <v>0</v>
      </c>
      <c r="E4846" s="63" t="str">
        <f>HYPERLINK("https://www.sds-group.ru/product/koronka-almaznaya-70mm-po-keramogranitu-s-tsentrovochnym-sverlom-kranz-KR-92-0019/", "Инфо")</f>
        <v>Инфо</v>
      </c>
      <c r="F4846" s="16" t="s">
        <v>39</v>
      </c>
      <c r="G4846" s="15"/>
      <c r="H4846" s="15"/>
      <c r="I4846" s="15"/>
      <c r="J4846" s="17">
        <v>7</v>
      </c>
      <c r="K4846" s="15" t="s">
        <v>1650</v>
      </c>
      <c r="L4846" s="17">
        <v>1</v>
      </c>
      <c r="M4846" s="17">
        <v>60</v>
      </c>
      <c r="N4846" s="17">
        <v>1</v>
      </c>
      <c r="O4846" s="18">
        <v>1855</v>
      </c>
      <c r="P4846" s="18">
        <v>1520.49</v>
      </c>
      <c r="Q4846" s="18">
        <v>1855</v>
      </c>
      <c r="R4846" s="18">
        <v>1520.49</v>
      </c>
      <c r="S4846" s="18">
        <v>1261.4000000000001</v>
      </c>
      <c r="T4846" s="18">
        <v>1033.93</v>
      </c>
      <c r="U4846" s="16"/>
      <c r="V4846" s="16"/>
      <c r="W4846" s="16" t="s">
        <v>40</v>
      </c>
      <c r="X4846" s="19">
        <v>0.29399999999999998</v>
      </c>
      <c r="Y4846" s="20">
        <v>9.5799999999999998E-4</v>
      </c>
      <c r="Z4846" s="21">
        <v>4601004205963</v>
      </c>
    </row>
    <row r="4847" spans="1:26" ht="12" customHeight="1" outlineLevel="4" x14ac:dyDescent="0.2">
      <c r="A4847" s="14" t="s">
        <v>9410</v>
      </c>
      <c r="B4847" s="26" t="s">
        <v>9411</v>
      </c>
      <c r="C4847" s="52"/>
      <c r="D4847" s="55">
        <f t="shared" si="75"/>
        <v>0</v>
      </c>
      <c r="E4847" s="63" t="str">
        <f>HYPERLINK("https://www.sds-group.ru/product/koronka-almaznaya-80mm-po-keramogranitu-s-tsentrovochnym-sverlom-kranz-KR-92-0020/", "Инфо")</f>
        <v>Инфо</v>
      </c>
      <c r="F4847" s="16" t="s">
        <v>39</v>
      </c>
      <c r="G4847" s="15"/>
      <c r="H4847" s="15"/>
      <c r="I4847" s="15"/>
      <c r="J4847" s="17">
        <v>752</v>
      </c>
      <c r="K4847" s="15"/>
      <c r="L4847" s="17">
        <v>1</v>
      </c>
      <c r="M4847" s="17">
        <v>60</v>
      </c>
      <c r="N4847" s="17">
        <v>1</v>
      </c>
      <c r="O4847" s="18">
        <v>2466.11</v>
      </c>
      <c r="P4847" s="18">
        <v>2021.4</v>
      </c>
      <c r="Q4847" s="18">
        <v>1898.9</v>
      </c>
      <c r="R4847" s="18">
        <v>1556.48</v>
      </c>
      <c r="S4847" s="18">
        <v>1676.95</v>
      </c>
      <c r="T4847" s="18">
        <v>1374.55</v>
      </c>
      <c r="U4847" s="16"/>
      <c r="V4847" s="16"/>
      <c r="W4847" s="16" t="s">
        <v>40</v>
      </c>
      <c r="X4847" s="19">
        <v>0.35399999999999998</v>
      </c>
      <c r="Y4847" s="20">
        <v>1.2769999999999999E-3</v>
      </c>
      <c r="Z4847" s="21">
        <v>4601004205970</v>
      </c>
    </row>
    <row r="4848" spans="1:26" ht="12" customHeight="1" outlineLevel="4" x14ac:dyDescent="0.2">
      <c r="A4848" s="14" t="s">
        <v>9412</v>
      </c>
      <c r="B4848" s="26" t="s">
        <v>9413</v>
      </c>
      <c r="C4848" s="52"/>
      <c r="D4848" s="55">
        <f t="shared" si="75"/>
        <v>0</v>
      </c>
      <c r="E4848" s="63" t="str">
        <f>HYPERLINK("https://www.sds-group.ru/product/sverlo-napravlyayuschee-7mm-dlya-almaznoy-koronki-po-keramogranitu-kranz-KR-92-0024/", "Инфо")</f>
        <v>Инфо</v>
      </c>
      <c r="F4848" s="16" t="s">
        <v>39</v>
      </c>
      <c r="G4848" s="15"/>
      <c r="H4848" s="15"/>
      <c r="I4848" s="15"/>
      <c r="J4848" s="17">
        <v>1</v>
      </c>
      <c r="K4848" s="15"/>
      <c r="L4848" s="17">
        <v>10</v>
      </c>
      <c r="M4848" s="22">
        <v>1000</v>
      </c>
      <c r="N4848" s="17">
        <v>10</v>
      </c>
      <c r="O4848" s="18">
        <v>188.74</v>
      </c>
      <c r="P4848" s="18">
        <v>154.69999999999999</v>
      </c>
      <c r="Q4848" s="18">
        <v>160.43</v>
      </c>
      <c r="R4848" s="18">
        <v>131.5</v>
      </c>
      <c r="S4848" s="18">
        <v>128.34</v>
      </c>
      <c r="T4848" s="18">
        <v>105.2</v>
      </c>
      <c r="U4848" s="16"/>
      <c r="V4848" s="16"/>
      <c r="W4848" s="16" t="s">
        <v>40</v>
      </c>
      <c r="X4848" s="19">
        <v>1.7999999999999999E-2</v>
      </c>
      <c r="Y4848" s="20">
        <v>4.8999999999999998E-5</v>
      </c>
      <c r="Z4848" s="21">
        <v>4601004177390</v>
      </c>
    </row>
    <row r="4849" spans="1:26" ht="12.95" customHeight="1" outlineLevel="3" x14ac:dyDescent="0.2">
      <c r="A4849" s="76" t="s">
        <v>9414</v>
      </c>
      <c r="B4849" s="76"/>
      <c r="C4849" s="77"/>
      <c r="D4849" s="58"/>
      <c r="E4849" s="68"/>
      <c r="F4849" s="13"/>
      <c r="G4849" s="13"/>
      <c r="H4849" s="13"/>
      <c r="I4849" s="13"/>
      <c r="J4849" s="13"/>
      <c r="K4849" s="13"/>
      <c r="L4849" s="13"/>
      <c r="M4849" s="13"/>
      <c r="N4849" s="13"/>
      <c r="O4849" s="13"/>
      <c r="P4849" s="13"/>
      <c r="Q4849" s="13"/>
      <c r="R4849" s="13"/>
      <c r="S4849" s="13"/>
      <c r="T4849" s="13"/>
      <c r="U4849" s="13"/>
      <c r="V4849" s="13"/>
      <c r="W4849" s="13"/>
      <c r="X4849" s="13"/>
      <c r="Y4849" s="13"/>
      <c r="Z4849" s="13"/>
    </row>
    <row r="4850" spans="1:26" ht="12" customHeight="1" outlineLevel="4" x14ac:dyDescent="0.2">
      <c r="A4850" s="40" t="s">
        <v>9415</v>
      </c>
      <c r="B4850" s="75" t="s">
        <v>9416</v>
      </c>
      <c r="C4850" s="51"/>
      <c r="D4850" s="54">
        <f t="shared" si="75"/>
        <v>0</v>
      </c>
      <c r="E4850" s="61" t="str">
        <f>HYPERLINK("https://www.sds-group.ru/product/krug-almaznyy-gibkiy-shlifovalnyy-cherepashka-100mm-p100-suhoe-shlifovanie-kranz-KR-90-0322/", "Инфо")</f>
        <v>Инфо</v>
      </c>
      <c r="F4850" s="42" t="s">
        <v>39</v>
      </c>
      <c r="G4850" s="41" t="s">
        <v>40</v>
      </c>
      <c r="H4850" s="41"/>
      <c r="I4850" s="41"/>
      <c r="J4850" s="43">
        <v>86</v>
      </c>
      <c r="K4850" s="41" t="s">
        <v>662</v>
      </c>
      <c r="L4850" s="43">
        <v>1</v>
      </c>
      <c r="M4850" s="43">
        <v>100</v>
      </c>
      <c r="N4850" s="43">
        <v>1</v>
      </c>
      <c r="O4850" s="44">
        <v>539.01</v>
      </c>
      <c r="P4850" s="44">
        <v>441.81</v>
      </c>
      <c r="Q4850" s="44">
        <v>404.26</v>
      </c>
      <c r="R4850" s="44">
        <v>331.36</v>
      </c>
      <c r="S4850" s="44">
        <v>366.53</v>
      </c>
      <c r="T4850" s="44">
        <v>300.43</v>
      </c>
      <c r="U4850" s="42"/>
      <c r="V4850" s="42"/>
      <c r="W4850" s="42" t="s">
        <v>40</v>
      </c>
      <c r="X4850" s="45">
        <v>4.7E-2</v>
      </c>
      <c r="Y4850" s="46">
        <v>3.2400000000000001E-4</v>
      </c>
      <c r="Z4850" s="21">
        <v>4601004332157</v>
      </c>
    </row>
    <row r="4851" spans="1:26" ht="12" customHeight="1" outlineLevel="4" x14ac:dyDescent="0.2">
      <c r="A4851" s="40" t="s">
        <v>9417</v>
      </c>
      <c r="B4851" s="75" t="s">
        <v>9418</v>
      </c>
      <c r="C4851" s="51"/>
      <c r="D4851" s="54">
        <f t="shared" si="75"/>
        <v>0</v>
      </c>
      <c r="E4851" s="61" t="str">
        <f>HYPERLINK("https://www.sds-group.ru/product/krug-almaznyy-gibkiy-shlifovalnyy-cherepashka-100mm-p100-suhoe-mokroe-shlifovanie-kranz-KR-90-0302/", "Инфо")</f>
        <v>Инфо</v>
      </c>
      <c r="F4851" s="42" t="s">
        <v>39</v>
      </c>
      <c r="G4851" s="41" t="s">
        <v>40</v>
      </c>
      <c r="H4851" s="41"/>
      <c r="I4851" s="41"/>
      <c r="J4851" s="43">
        <v>37</v>
      </c>
      <c r="K4851" s="41" t="s">
        <v>662</v>
      </c>
      <c r="L4851" s="43">
        <v>1</v>
      </c>
      <c r="M4851" s="43">
        <v>100</v>
      </c>
      <c r="N4851" s="43">
        <v>1</v>
      </c>
      <c r="O4851" s="44">
        <v>409.65</v>
      </c>
      <c r="P4851" s="44">
        <v>335.78</v>
      </c>
      <c r="Q4851" s="44">
        <v>307.24</v>
      </c>
      <c r="R4851" s="44">
        <v>251.84</v>
      </c>
      <c r="S4851" s="44">
        <v>278.56</v>
      </c>
      <c r="T4851" s="44">
        <v>228.33</v>
      </c>
      <c r="U4851" s="42"/>
      <c r="V4851" s="42"/>
      <c r="W4851" s="42" t="s">
        <v>40</v>
      </c>
      <c r="X4851" s="45">
        <v>5.8999999999999997E-2</v>
      </c>
      <c r="Y4851" s="46">
        <v>3.1599999999999998E-4</v>
      </c>
      <c r="Z4851" s="21">
        <v>4601004339262</v>
      </c>
    </row>
    <row r="4852" spans="1:26" ht="12" customHeight="1" outlineLevel="4" x14ac:dyDescent="0.2">
      <c r="A4852" s="40" t="s">
        <v>9419</v>
      </c>
      <c r="B4852" s="75" t="s">
        <v>9420</v>
      </c>
      <c r="C4852" s="51"/>
      <c r="D4852" s="54">
        <f t="shared" si="75"/>
        <v>0</v>
      </c>
      <c r="E4852" s="61" t="str">
        <f>HYPERLINK("https://www.sds-group.ru/product/krug-almaznyy-gibkiy-shlifovalnyy-cherepashka-100mm-p1500-suhoe-shlifovanie-kranz-KR-90-0326/", "Инфо")</f>
        <v>Инфо</v>
      </c>
      <c r="F4852" s="42" t="s">
        <v>39</v>
      </c>
      <c r="G4852" s="41" t="s">
        <v>40</v>
      </c>
      <c r="H4852" s="41"/>
      <c r="I4852" s="41"/>
      <c r="J4852" s="43">
        <v>97</v>
      </c>
      <c r="K4852" s="41" t="s">
        <v>1058</v>
      </c>
      <c r="L4852" s="43">
        <v>1</v>
      </c>
      <c r="M4852" s="43">
        <v>100</v>
      </c>
      <c r="N4852" s="43">
        <v>1</v>
      </c>
      <c r="O4852" s="44">
        <v>539.01</v>
      </c>
      <c r="P4852" s="44">
        <v>441.81</v>
      </c>
      <c r="Q4852" s="44">
        <v>404.26</v>
      </c>
      <c r="R4852" s="44">
        <v>331.36</v>
      </c>
      <c r="S4852" s="44">
        <v>366.53</v>
      </c>
      <c r="T4852" s="44">
        <v>300.43</v>
      </c>
      <c r="U4852" s="42"/>
      <c r="V4852" s="42"/>
      <c r="W4852" s="42" t="s">
        <v>40</v>
      </c>
      <c r="X4852" s="45">
        <v>4.1000000000000002E-2</v>
      </c>
      <c r="Y4852" s="46">
        <v>2.43E-4</v>
      </c>
      <c r="Z4852" s="21">
        <v>4601004332218</v>
      </c>
    </row>
    <row r="4853" spans="1:26" ht="12" customHeight="1" outlineLevel="4" x14ac:dyDescent="0.2">
      <c r="A4853" s="40" t="s">
        <v>9421</v>
      </c>
      <c r="B4853" s="75" t="s">
        <v>9422</v>
      </c>
      <c r="C4853" s="51"/>
      <c r="D4853" s="54">
        <f t="shared" si="75"/>
        <v>0</v>
      </c>
      <c r="E4853" s="61" t="str">
        <f>HYPERLINK("https://www.sds-group.ru/product/krug-almaznyy-gibkiy-shlifovalnyy-cherepashka-100mm-p1500-suhoe-mokroe-shlifovanie-kranz-KR-90-0306/", "Инфо")</f>
        <v>Инфо</v>
      </c>
      <c r="F4853" s="42" t="s">
        <v>39</v>
      </c>
      <c r="G4853" s="41" t="s">
        <v>40</v>
      </c>
      <c r="H4853" s="41"/>
      <c r="I4853" s="41"/>
      <c r="J4853" s="42" t="s">
        <v>100</v>
      </c>
      <c r="K4853" s="41" t="s">
        <v>1058</v>
      </c>
      <c r="L4853" s="43">
        <v>5</v>
      </c>
      <c r="M4853" s="43">
        <v>100</v>
      </c>
      <c r="N4853" s="43">
        <v>5</v>
      </c>
      <c r="O4853" s="44">
        <v>409.65</v>
      </c>
      <c r="P4853" s="44">
        <v>335.78</v>
      </c>
      <c r="Q4853" s="44">
        <v>307.24</v>
      </c>
      <c r="R4853" s="44">
        <v>251.84</v>
      </c>
      <c r="S4853" s="44">
        <v>278.56</v>
      </c>
      <c r="T4853" s="44">
        <v>228.33</v>
      </c>
      <c r="U4853" s="42"/>
      <c r="V4853" s="42"/>
      <c r="W4853" s="42" t="s">
        <v>40</v>
      </c>
      <c r="X4853" s="45">
        <v>4.9000000000000002E-2</v>
      </c>
      <c r="Y4853" s="46">
        <v>2.03E-4</v>
      </c>
      <c r="Z4853" s="21">
        <v>4601004339309</v>
      </c>
    </row>
    <row r="4854" spans="1:26" ht="12" customHeight="1" outlineLevel="4" x14ac:dyDescent="0.2">
      <c r="A4854" s="40" t="s">
        <v>9423</v>
      </c>
      <c r="B4854" s="75" t="s">
        <v>9424</v>
      </c>
      <c r="C4854" s="51"/>
      <c r="D4854" s="54">
        <f t="shared" si="75"/>
        <v>0</v>
      </c>
      <c r="E4854" s="61" t="str">
        <f>HYPERLINK("https://www.sds-group.ru/product/krug-almaznyy-gibkiy-shlifovalnyy-cherepashka-100mm-p200-suhoe-shlifovanie-kranz-KR-90-0323/", "Инфо")</f>
        <v>Инфо</v>
      </c>
      <c r="F4854" s="42" t="s">
        <v>39</v>
      </c>
      <c r="G4854" s="41" t="s">
        <v>40</v>
      </c>
      <c r="H4854" s="41"/>
      <c r="I4854" s="41"/>
      <c r="J4854" s="43">
        <v>157</v>
      </c>
      <c r="K4854" s="41" t="s">
        <v>662</v>
      </c>
      <c r="L4854" s="43">
        <v>1</v>
      </c>
      <c r="M4854" s="43">
        <v>100</v>
      </c>
      <c r="N4854" s="43">
        <v>1</v>
      </c>
      <c r="O4854" s="44">
        <v>539.01</v>
      </c>
      <c r="P4854" s="44">
        <v>441.81</v>
      </c>
      <c r="Q4854" s="44">
        <v>404.26</v>
      </c>
      <c r="R4854" s="44">
        <v>331.36</v>
      </c>
      <c r="S4854" s="44">
        <v>366.53</v>
      </c>
      <c r="T4854" s="44">
        <v>300.43</v>
      </c>
      <c r="U4854" s="42"/>
      <c r="V4854" s="42"/>
      <c r="W4854" s="42" t="s">
        <v>40</v>
      </c>
      <c r="X4854" s="45">
        <v>4.7E-2</v>
      </c>
      <c r="Y4854" s="46">
        <v>3.1100000000000002E-4</v>
      </c>
      <c r="Z4854" s="21">
        <v>4601004332195</v>
      </c>
    </row>
    <row r="4855" spans="1:26" ht="12" customHeight="1" outlineLevel="4" x14ac:dyDescent="0.2">
      <c r="A4855" s="40" t="s">
        <v>9425</v>
      </c>
      <c r="B4855" s="75" t="s">
        <v>9426</v>
      </c>
      <c r="C4855" s="51"/>
      <c r="D4855" s="54">
        <f t="shared" si="75"/>
        <v>0</v>
      </c>
      <c r="E4855" s="61" t="str">
        <f>HYPERLINK("https://www.sds-group.ru/product/krug-almaznyy-gibkiy-shlifovalnyy-cherepashka-100mm-p200-suhoe-mokroe-shlifovanie-kranz-KR-90-0303/", "Инфо")</f>
        <v>Инфо</v>
      </c>
      <c r="F4855" s="42" t="s">
        <v>39</v>
      </c>
      <c r="G4855" s="41" t="s">
        <v>40</v>
      </c>
      <c r="H4855" s="41"/>
      <c r="I4855" s="41"/>
      <c r="J4855" s="43">
        <v>32</v>
      </c>
      <c r="K4855" s="41" t="s">
        <v>662</v>
      </c>
      <c r="L4855" s="43">
        <v>1</v>
      </c>
      <c r="M4855" s="43">
        <v>100</v>
      </c>
      <c r="N4855" s="43">
        <v>1</v>
      </c>
      <c r="O4855" s="44">
        <v>409.65</v>
      </c>
      <c r="P4855" s="44">
        <v>335.78</v>
      </c>
      <c r="Q4855" s="44">
        <v>307.24</v>
      </c>
      <c r="R4855" s="44">
        <v>251.84</v>
      </c>
      <c r="S4855" s="44">
        <v>278.56</v>
      </c>
      <c r="T4855" s="44">
        <v>228.33</v>
      </c>
      <c r="U4855" s="42"/>
      <c r="V4855" s="42"/>
      <c r="W4855" s="42" t="s">
        <v>40</v>
      </c>
      <c r="X4855" s="45">
        <v>5.7000000000000002E-2</v>
      </c>
      <c r="Y4855" s="46">
        <v>3.0800000000000001E-4</v>
      </c>
      <c r="Z4855" s="21">
        <v>4601004339279</v>
      </c>
    </row>
    <row r="4856" spans="1:26" ht="12" customHeight="1" outlineLevel="4" x14ac:dyDescent="0.2">
      <c r="A4856" s="40" t="s">
        <v>9427</v>
      </c>
      <c r="B4856" s="75" t="s">
        <v>9428</v>
      </c>
      <c r="C4856" s="51"/>
      <c r="D4856" s="54">
        <f t="shared" si="75"/>
        <v>0</v>
      </c>
      <c r="E4856" s="61" t="str">
        <f>HYPERLINK("https://www.sds-group.ru/product/krug-almaznyy-gibkiy-shlifovalnyy-cherepashka-100mm-p3000-suhoe-shlifovanie-kranz-KR-90-0327/", "Инфо")</f>
        <v>Инфо</v>
      </c>
      <c r="F4856" s="42" t="s">
        <v>39</v>
      </c>
      <c r="G4856" s="41" t="s">
        <v>40</v>
      </c>
      <c r="H4856" s="41"/>
      <c r="I4856" s="41"/>
      <c r="J4856" s="42" t="s">
        <v>100</v>
      </c>
      <c r="K4856" s="41" t="s">
        <v>662</v>
      </c>
      <c r="L4856" s="43">
        <v>1</v>
      </c>
      <c r="M4856" s="43">
        <v>100</v>
      </c>
      <c r="N4856" s="43">
        <v>1</v>
      </c>
      <c r="O4856" s="44">
        <v>539.01</v>
      </c>
      <c r="P4856" s="44">
        <v>441.81</v>
      </c>
      <c r="Q4856" s="44">
        <v>404.26</v>
      </c>
      <c r="R4856" s="44">
        <v>331.36</v>
      </c>
      <c r="S4856" s="44">
        <v>366.53</v>
      </c>
      <c r="T4856" s="44">
        <v>300.43</v>
      </c>
      <c r="U4856" s="42"/>
      <c r="V4856" s="42"/>
      <c r="W4856" s="42" t="s">
        <v>40</v>
      </c>
      <c r="X4856" s="45">
        <v>0.04</v>
      </c>
      <c r="Y4856" s="46">
        <v>2.0699999999999999E-4</v>
      </c>
      <c r="Z4856" s="21">
        <v>4601004332232</v>
      </c>
    </row>
    <row r="4857" spans="1:26" ht="12" customHeight="1" outlineLevel="4" x14ac:dyDescent="0.2">
      <c r="A4857" s="40" t="s">
        <v>9429</v>
      </c>
      <c r="B4857" s="75" t="s">
        <v>9430</v>
      </c>
      <c r="C4857" s="51"/>
      <c r="D4857" s="54">
        <f t="shared" si="75"/>
        <v>0</v>
      </c>
      <c r="E4857" s="61" t="str">
        <f>HYPERLINK("https://www.sds-group.ru/product/krug-almaznyy-gibkiy-shlifovalnyy-cherepashka-100mm-p3000-suhoe-mokroe-shlifovanie-kranz-KR-90-0307/", "Инфо")</f>
        <v>Инфо</v>
      </c>
      <c r="F4857" s="42" t="s">
        <v>39</v>
      </c>
      <c r="G4857" s="41" t="s">
        <v>40</v>
      </c>
      <c r="H4857" s="41"/>
      <c r="I4857" s="41"/>
      <c r="J4857" s="42" t="s">
        <v>100</v>
      </c>
      <c r="K4857" s="41" t="s">
        <v>1058</v>
      </c>
      <c r="L4857" s="43">
        <v>5</v>
      </c>
      <c r="M4857" s="43">
        <v>100</v>
      </c>
      <c r="N4857" s="43">
        <v>5</v>
      </c>
      <c r="O4857" s="44">
        <v>366.53</v>
      </c>
      <c r="P4857" s="44">
        <v>300.43</v>
      </c>
      <c r="Q4857" s="44">
        <v>256.57</v>
      </c>
      <c r="R4857" s="44">
        <v>210.3</v>
      </c>
      <c r="S4857" s="44">
        <v>249.24</v>
      </c>
      <c r="T4857" s="44">
        <v>204.3</v>
      </c>
      <c r="U4857" s="42"/>
      <c r="V4857" s="42"/>
      <c r="W4857" s="42" t="s">
        <v>40</v>
      </c>
      <c r="X4857" s="45">
        <v>5.3999999999999999E-2</v>
      </c>
      <c r="Y4857" s="46">
        <v>2.42E-4</v>
      </c>
      <c r="Z4857" s="21">
        <v>4601004332119</v>
      </c>
    </row>
    <row r="4858" spans="1:26" ht="12" customHeight="1" outlineLevel="4" x14ac:dyDescent="0.2">
      <c r="A4858" s="40" t="s">
        <v>9431</v>
      </c>
      <c r="B4858" s="75" t="s">
        <v>9432</v>
      </c>
      <c r="C4858" s="51"/>
      <c r="D4858" s="54">
        <f t="shared" si="75"/>
        <v>0</v>
      </c>
      <c r="E4858" s="61" t="str">
        <f>HYPERLINK("https://www.sds-group.ru/product/krug-almaznyy-gibkiy-shlifovalnyy-cherepashka-100mm-p400-suhoe-mokroe-shlifovanie-kranz-KR-90-0304/", "Инфо")</f>
        <v>Инфо</v>
      </c>
      <c r="F4858" s="42" t="s">
        <v>39</v>
      </c>
      <c r="G4858" s="41" t="s">
        <v>40</v>
      </c>
      <c r="H4858" s="41"/>
      <c r="I4858" s="41"/>
      <c r="J4858" s="43">
        <v>41</v>
      </c>
      <c r="K4858" s="41" t="s">
        <v>1058</v>
      </c>
      <c r="L4858" s="43">
        <v>5</v>
      </c>
      <c r="M4858" s="43">
        <v>100</v>
      </c>
      <c r="N4858" s="43">
        <v>5</v>
      </c>
      <c r="O4858" s="44">
        <v>409.65</v>
      </c>
      <c r="P4858" s="44">
        <v>335.78</v>
      </c>
      <c r="Q4858" s="44">
        <v>307.24</v>
      </c>
      <c r="R4858" s="44">
        <v>251.84</v>
      </c>
      <c r="S4858" s="44">
        <v>278.56</v>
      </c>
      <c r="T4858" s="44">
        <v>228.33</v>
      </c>
      <c r="U4858" s="42"/>
      <c r="V4858" s="42"/>
      <c r="W4858" s="42" t="s">
        <v>40</v>
      </c>
      <c r="X4858" s="45">
        <v>5.6000000000000001E-2</v>
      </c>
      <c r="Y4858" s="46">
        <v>3.1E-4</v>
      </c>
      <c r="Z4858" s="21">
        <v>4601004339286</v>
      </c>
    </row>
    <row r="4859" spans="1:26" ht="12" customHeight="1" outlineLevel="4" x14ac:dyDescent="0.2">
      <c r="A4859" s="40" t="s">
        <v>9433</v>
      </c>
      <c r="B4859" s="75" t="s">
        <v>9434</v>
      </c>
      <c r="C4859" s="51"/>
      <c r="D4859" s="54">
        <f t="shared" si="75"/>
        <v>0</v>
      </c>
      <c r="E4859" s="61" t="str">
        <f>HYPERLINK("https://www.sds-group.ru/product/krug-almaznyy-gibkiy-shlifovalnyy-cherepashka-100mm-p50-suhoe-shlifovanie-kranz-KR-90-0321/", "Инфо")</f>
        <v>Инфо</v>
      </c>
      <c r="F4859" s="42" t="s">
        <v>39</v>
      </c>
      <c r="G4859" s="41" t="s">
        <v>40</v>
      </c>
      <c r="H4859" s="41"/>
      <c r="I4859" s="41"/>
      <c r="J4859" s="43">
        <v>524</v>
      </c>
      <c r="K4859" s="41"/>
      <c r="L4859" s="43">
        <v>1</v>
      </c>
      <c r="M4859" s="43">
        <v>100</v>
      </c>
      <c r="N4859" s="43">
        <v>1</v>
      </c>
      <c r="O4859" s="44">
        <v>539.01</v>
      </c>
      <c r="P4859" s="44">
        <v>441.81</v>
      </c>
      <c r="Q4859" s="44">
        <v>404.26</v>
      </c>
      <c r="R4859" s="44">
        <v>331.36</v>
      </c>
      <c r="S4859" s="44">
        <v>366.53</v>
      </c>
      <c r="T4859" s="44">
        <v>300.43</v>
      </c>
      <c r="U4859" s="42"/>
      <c r="V4859" s="42"/>
      <c r="W4859" s="42" t="s">
        <v>40</v>
      </c>
      <c r="X4859" s="45">
        <v>4.7E-2</v>
      </c>
      <c r="Y4859" s="46">
        <v>3.1300000000000002E-4</v>
      </c>
      <c r="Z4859" s="21">
        <v>4601004332171</v>
      </c>
    </row>
    <row r="4860" spans="1:26" ht="12" customHeight="1" outlineLevel="4" x14ac:dyDescent="0.2">
      <c r="A4860" s="40" t="s">
        <v>9435</v>
      </c>
      <c r="B4860" s="75" t="s">
        <v>9436</v>
      </c>
      <c r="C4860" s="51"/>
      <c r="D4860" s="54">
        <f t="shared" si="75"/>
        <v>0</v>
      </c>
      <c r="E4860" s="61" t="str">
        <f>HYPERLINK("https://www.sds-group.ru/product/krug-almaznyy-gibkiy-shlifovalnyy-cherepashka-100mm-p50-suhoe-mokroe-shlifovanie-kranz-KR-90-0301/", "Инфо")</f>
        <v>Инфо</v>
      </c>
      <c r="F4860" s="42" t="s">
        <v>39</v>
      </c>
      <c r="G4860" s="41" t="s">
        <v>40</v>
      </c>
      <c r="H4860" s="41"/>
      <c r="I4860" s="41"/>
      <c r="J4860" s="42" t="s">
        <v>100</v>
      </c>
      <c r="K4860" s="41" t="s">
        <v>662</v>
      </c>
      <c r="L4860" s="43">
        <v>5</v>
      </c>
      <c r="M4860" s="43">
        <v>100</v>
      </c>
      <c r="N4860" s="43">
        <v>5</v>
      </c>
      <c r="O4860" s="44">
        <v>409.65</v>
      </c>
      <c r="P4860" s="44">
        <v>335.78</v>
      </c>
      <c r="Q4860" s="44">
        <v>307.24</v>
      </c>
      <c r="R4860" s="44">
        <v>251.84</v>
      </c>
      <c r="S4860" s="44">
        <v>278.56</v>
      </c>
      <c r="T4860" s="44">
        <v>228.33</v>
      </c>
      <c r="U4860" s="42"/>
      <c r="V4860" s="42"/>
      <c r="W4860" s="42" t="s">
        <v>40</v>
      </c>
      <c r="X4860" s="45">
        <v>5.8000000000000003E-2</v>
      </c>
      <c r="Y4860" s="46">
        <v>3.1E-4</v>
      </c>
      <c r="Z4860" s="21">
        <v>4601004339255</v>
      </c>
    </row>
    <row r="4861" spans="1:26" ht="12" customHeight="1" outlineLevel="4" x14ac:dyDescent="0.2">
      <c r="A4861" s="40" t="s">
        <v>9437</v>
      </c>
      <c r="B4861" s="75" t="s">
        <v>9438</v>
      </c>
      <c r="C4861" s="51"/>
      <c r="D4861" s="54">
        <f t="shared" si="75"/>
        <v>0</v>
      </c>
      <c r="E4861" s="61" t="str">
        <f>HYPERLINK("https://www.sds-group.ru/product/krug-almaznyy-gibkiy-shlifovalnyy-cherepashka-100mm-p800-suhoe-mokroe-shlifovanie-kranz-KR-90-0305/", "Инфо")</f>
        <v>Инфо</v>
      </c>
      <c r="F4861" s="42" t="s">
        <v>39</v>
      </c>
      <c r="G4861" s="41" t="s">
        <v>40</v>
      </c>
      <c r="H4861" s="41"/>
      <c r="I4861" s="41"/>
      <c r="J4861" s="42" t="s">
        <v>100</v>
      </c>
      <c r="K4861" s="41" t="s">
        <v>1058</v>
      </c>
      <c r="L4861" s="43">
        <v>5</v>
      </c>
      <c r="M4861" s="43">
        <v>100</v>
      </c>
      <c r="N4861" s="43">
        <v>5</v>
      </c>
      <c r="O4861" s="44">
        <v>409.65</v>
      </c>
      <c r="P4861" s="44">
        <v>335.78</v>
      </c>
      <c r="Q4861" s="44">
        <v>307.24</v>
      </c>
      <c r="R4861" s="44">
        <v>251.84</v>
      </c>
      <c r="S4861" s="44">
        <v>278.56</v>
      </c>
      <c r="T4861" s="44">
        <v>228.33</v>
      </c>
      <c r="U4861" s="42"/>
      <c r="V4861" s="42"/>
      <c r="W4861" s="42" t="s">
        <v>40</v>
      </c>
      <c r="X4861" s="45">
        <v>4.3999999999999997E-2</v>
      </c>
      <c r="Y4861" s="46">
        <v>2.0799999999999999E-4</v>
      </c>
      <c r="Z4861" s="21">
        <v>4601004339293</v>
      </c>
    </row>
    <row r="4862" spans="1:26" ht="12" customHeight="1" outlineLevel="4" x14ac:dyDescent="0.2">
      <c r="A4862" s="40" t="s">
        <v>9439</v>
      </c>
      <c r="B4862" s="75" t="s">
        <v>9440</v>
      </c>
      <c r="C4862" s="51"/>
      <c r="D4862" s="54">
        <f t="shared" si="75"/>
        <v>0</v>
      </c>
      <c r="E4862" s="61" t="str">
        <f>HYPERLINK("https://www.sds-group.ru/product/krug-almaznyy-gibkiy-shlifovalnyy-cherepashka-125mm-p100-suhoe-mokroe-shlifovanie-kranz-KR-90-0309/", "Инфо")</f>
        <v>Инфо</v>
      </c>
      <c r="F4862" s="42" t="s">
        <v>39</v>
      </c>
      <c r="G4862" s="41" t="s">
        <v>40</v>
      </c>
      <c r="H4862" s="41"/>
      <c r="I4862" s="41"/>
      <c r="J4862" s="43">
        <v>350</v>
      </c>
      <c r="K4862" s="41" t="s">
        <v>1058</v>
      </c>
      <c r="L4862" s="43">
        <v>1</v>
      </c>
      <c r="M4862" s="43">
        <v>100</v>
      </c>
      <c r="N4862" s="43">
        <v>1</v>
      </c>
      <c r="O4862" s="44">
        <v>754.61</v>
      </c>
      <c r="P4862" s="44">
        <v>618.53</v>
      </c>
      <c r="Q4862" s="44">
        <v>565.96</v>
      </c>
      <c r="R4862" s="44">
        <v>463.9</v>
      </c>
      <c r="S4862" s="44">
        <v>513.13</v>
      </c>
      <c r="T4862" s="44">
        <v>420.6</v>
      </c>
      <c r="U4862" s="42"/>
      <c r="V4862" s="42"/>
      <c r="W4862" s="42" t="s">
        <v>40</v>
      </c>
      <c r="X4862" s="45">
        <v>8.5999999999999993E-2</v>
      </c>
      <c r="Y4862" s="46">
        <v>3.7399999999999998E-4</v>
      </c>
      <c r="Z4862" s="21">
        <v>4601004332126</v>
      </c>
    </row>
    <row r="4863" spans="1:26" ht="12" customHeight="1" outlineLevel="4" x14ac:dyDescent="0.2">
      <c r="A4863" s="40" t="s">
        <v>9441</v>
      </c>
      <c r="B4863" s="75" t="s">
        <v>9442</v>
      </c>
      <c r="C4863" s="51"/>
      <c r="D4863" s="54">
        <f t="shared" si="75"/>
        <v>0</v>
      </c>
      <c r="E4863" s="61" t="str">
        <f>HYPERLINK("https://www.sds-group.ru/product/krug-almaznyy-gibkiy-shlifovalnyy-cherepashka-125mm-p1500-suhoe-mokroe-shlifovanie-kranz-KR-90-0313/", "Инфо")</f>
        <v>Инфо</v>
      </c>
      <c r="F4863" s="42" t="s">
        <v>39</v>
      </c>
      <c r="G4863" s="41" t="s">
        <v>40</v>
      </c>
      <c r="H4863" s="41"/>
      <c r="I4863" s="41"/>
      <c r="J4863" s="43">
        <v>190</v>
      </c>
      <c r="K4863" s="41" t="s">
        <v>662</v>
      </c>
      <c r="L4863" s="43">
        <v>1</v>
      </c>
      <c r="M4863" s="43">
        <v>100</v>
      </c>
      <c r="N4863" s="43">
        <v>1</v>
      </c>
      <c r="O4863" s="44">
        <v>700.71</v>
      </c>
      <c r="P4863" s="44">
        <v>574.35</v>
      </c>
      <c r="Q4863" s="44">
        <v>525.53</v>
      </c>
      <c r="R4863" s="44">
        <v>430.76</v>
      </c>
      <c r="S4863" s="44">
        <v>476.48</v>
      </c>
      <c r="T4863" s="44">
        <v>390.56</v>
      </c>
      <c r="U4863" s="42"/>
      <c r="V4863" s="42"/>
      <c r="W4863" s="42" t="s">
        <v>40</v>
      </c>
      <c r="X4863" s="45">
        <v>7.2999999999999995E-2</v>
      </c>
      <c r="Y4863" s="46">
        <v>2.2100000000000001E-4</v>
      </c>
      <c r="Z4863" s="21">
        <v>4601004332140</v>
      </c>
    </row>
    <row r="4864" spans="1:26" ht="12" customHeight="1" outlineLevel="4" x14ac:dyDescent="0.2">
      <c r="A4864" s="40" t="s">
        <v>9443</v>
      </c>
      <c r="B4864" s="75" t="s">
        <v>9444</v>
      </c>
      <c r="C4864" s="51"/>
      <c r="D4864" s="54">
        <f t="shared" si="75"/>
        <v>0</v>
      </c>
      <c r="E4864" s="61" t="str">
        <f>HYPERLINK("https://www.sds-group.ru/product/krug-almaznyy-gibkiy-shlifovalnyy-cherepashka-125mm-p200-suhoe-mokroe-shlifovanie-kranz-KR-90-0310/", "Инфо")</f>
        <v>Инфо</v>
      </c>
      <c r="F4864" s="42" t="s">
        <v>39</v>
      </c>
      <c r="G4864" s="41" t="s">
        <v>40</v>
      </c>
      <c r="H4864" s="41"/>
      <c r="I4864" s="41"/>
      <c r="J4864" s="43">
        <v>18</v>
      </c>
      <c r="K4864" s="41" t="s">
        <v>1058</v>
      </c>
      <c r="L4864" s="43">
        <v>1</v>
      </c>
      <c r="M4864" s="43">
        <v>100</v>
      </c>
      <c r="N4864" s="43">
        <v>1</v>
      </c>
      <c r="O4864" s="44">
        <v>700.71</v>
      </c>
      <c r="P4864" s="44">
        <v>574.35</v>
      </c>
      <c r="Q4864" s="44">
        <v>525.53</v>
      </c>
      <c r="R4864" s="44">
        <v>430.76</v>
      </c>
      <c r="S4864" s="44">
        <v>476.48</v>
      </c>
      <c r="T4864" s="44">
        <v>390.56</v>
      </c>
      <c r="U4864" s="42"/>
      <c r="V4864" s="42"/>
      <c r="W4864" s="42" t="s">
        <v>40</v>
      </c>
      <c r="X4864" s="45">
        <v>7.5999999999999998E-2</v>
      </c>
      <c r="Y4864" s="46">
        <v>2.8299999999999999E-4</v>
      </c>
      <c r="Z4864" s="21">
        <v>4601004332256</v>
      </c>
    </row>
    <row r="4865" spans="1:26" ht="12" customHeight="1" outlineLevel="4" x14ac:dyDescent="0.2">
      <c r="A4865" s="40" t="s">
        <v>9445</v>
      </c>
      <c r="B4865" s="75" t="s">
        <v>9446</v>
      </c>
      <c r="C4865" s="51"/>
      <c r="D4865" s="54">
        <f t="shared" si="75"/>
        <v>0</v>
      </c>
      <c r="E4865" s="61" t="str">
        <f>HYPERLINK("https://www.sds-group.ru/product/krug-almaznyy-gibkiy-shlifovalnyy-cherepashka-125mm-p3000-suhoe-mokroe-shlifovanie-kranz-KR-90-0314/", "Инфо")</f>
        <v>Инфо</v>
      </c>
      <c r="F4865" s="42" t="s">
        <v>39</v>
      </c>
      <c r="G4865" s="41" t="s">
        <v>40</v>
      </c>
      <c r="H4865" s="41"/>
      <c r="I4865" s="41"/>
      <c r="J4865" s="43">
        <v>193</v>
      </c>
      <c r="K4865" s="41" t="s">
        <v>662</v>
      </c>
      <c r="L4865" s="43">
        <v>1</v>
      </c>
      <c r="M4865" s="43">
        <v>100</v>
      </c>
      <c r="N4865" s="43">
        <v>1</v>
      </c>
      <c r="O4865" s="44">
        <v>700.71</v>
      </c>
      <c r="P4865" s="44">
        <v>574.35</v>
      </c>
      <c r="Q4865" s="44">
        <v>525.53</v>
      </c>
      <c r="R4865" s="44">
        <v>430.76</v>
      </c>
      <c r="S4865" s="44">
        <v>476.48</v>
      </c>
      <c r="T4865" s="44">
        <v>390.56</v>
      </c>
      <c r="U4865" s="42"/>
      <c r="V4865" s="42"/>
      <c r="W4865" s="42" t="s">
        <v>40</v>
      </c>
      <c r="X4865" s="45">
        <v>7.0000000000000007E-2</v>
      </c>
      <c r="Y4865" s="46">
        <v>2.8699999999999998E-4</v>
      </c>
      <c r="Z4865" s="21">
        <v>4601004332133</v>
      </c>
    </row>
    <row r="4866" spans="1:26" ht="12" customHeight="1" outlineLevel="4" x14ac:dyDescent="0.2">
      <c r="A4866" s="40" t="s">
        <v>9447</v>
      </c>
      <c r="B4866" s="75" t="s">
        <v>9448</v>
      </c>
      <c r="C4866" s="51"/>
      <c r="D4866" s="54">
        <f t="shared" si="75"/>
        <v>0</v>
      </c>
      <c r="E4866" s="61" t="str">
        <f>HYPERLINK("https://www.sds-group.ru/product/krug-almaznyy-gibkiy-shlifovalnyy-cherepashka-125mm-p400-suhoe-mokroe-shlifovanie-kranz-KR-90-0311/", "Инфо")</f>
        <v>Инфо</v>
      </c>
      <c r="F4866" s="42" t="s">
        <v>39</v>
      </c>
      <c r="G4866" s="41" t="s">
        <v>40</v>
      </c>
      <c r="H4866" s="41"/>
      <c r="I4866" s="41"/>
      <c r="J4866" s="42" t="s">
        <v>100</v>
      </c>
      <c r="K4866" s="41" t="s">
        <v>1058</v>
      </c>
      <c r="L4866" s="43">
        <v>1</v>
      </c>
      <c r="M4866" s="43">
        <v>100</v>
      </c>
      <c r="N4866" s="43">
        <v>1</v>
      </c>
      <c r="O4866" s="44">
        <v>700.71</v>
      </c>
      <c r="P4866" s="44">
        <v>574.35</v>
      </c>
      <c r="Q4866" s="44">
        <v>525.53</v>
      </c>
      <c r="R4866" s="44">
        <v>430.76</v>
      </c>
      <c r="S4866" s="44">
        <v>476.48</v>
      </c>
      <c r="T4866" s="44">
        <v>390.56</v>
      </c>
      <c r="U4866" s="42"/>
      <c r="V4866" s="42"/>
      <c r="W4866" s="42" t="s">
        <v>40</v>
      </c>
      <c r="X4866" s="45">
        <v>7.6999999999999999E-2</v>
      </c>
      <c r="Y4866" s="46">
        <v>2.9700000000000001E-4</v>
      </c>
      <c r="Z4866" s="21">
        <v>4601004332188</v>
      </c>
    </row>
    <row r="4867" spans="1:26" ht="12" customHeight="1" outlineLevel="4" x14ac:dyDescent="0.2">
      <c r="A4867" s="40" t="s">
        <v>9449</v>
      </c>
      <c r="B4867" s="75" t="s">
        <v>9450</v>
      </c>
      <c r="C4867" s="51"/>
      <c r="D4867" s="54">
        <f t="shared" si="75"/>
        <v>0</v>
      </c>
      <c r="E4867" s="61" t="str">
        <f>HYPERLINK("https://www.sds-group.ru/product/krug-almaznyy-gibkiy-shlifovalnyy-cherepashka-125mm-p50-suhoe-mokroe-shlifovanie-kranz-KR-90-0308/", "Инфо")</f>
        <v>Инфо</v>
      </c>
      <c r="F4867" s="42" t="s">
        <v>39</v>
      </c>
      <c r="G4867" s="41" t="s">
        <v>40</v>
      </c>
      <c r="H4867" s="41"/>
      <c r="I4867" s="41"/>
      <c r="J4867" s="42" t="s">
        <v>100</v>
      </c>
      <c r="K4867" s="41" t="s">
        <v>1058</v>
      </c>
      <c r="L4867" s="43">
        <v>1</v>
      </c>
      <c r="M4867" s="43">
        <v>100</v>
      </c>
      <c r="N4867" s="43">
        <v>1</v>
      </c>
      <c r="O4867" s="44">
        <v>754.61</v>
      </c>
      <c r="P4867" s="44">
        <v>618.53</v>
      </c>
      <c r="Q4867" s="44">
        <v>565.96</v>
      </c>
      <c r="R4867" s="44">
        <v>463.9</v>
      </c>
      <c r="S4867" s="44">
        <v>513.13</v>
      </c>
      <c r="T4867" s="44">
        <v>420.6</v>
      </c>
      <c r="U4867" s="42"/>
      <c r="V4867" s="42"/>
      <c r="W4867" s="42" t="s">
        <v>40</v>
      </c>
      <c r="X4867" s="45">
        <v>8.5000000000000006E-2</v>
      </c>
      <c r="Y4867" s="46">
        <v>3.77E-4</v>
      </c>
      <c r="Z4867" s="21">
        <v>4601004332249</v>
      </c>
    </row>
    <row r="4868" spans="1:26" ht="12" customHeight="1" outlineLevel="4" x14ac:dyDescent="0.2">
      <c r="A4868" s="40" t="s">
        <v>9451</v>
      </c>
      <c r="B4868" s="75" t="s">
        <v>9452</v>
      </c>
      <c r="C4868" s="51"/>
      <c r="D4868" s="54">
        <f t="shared" si="75"/>
        <v>0</v>
      </c>
      <c r="E4868" s="61" t="str">
        <f>HYPERLINK("https://www.sds-group.ru/product/krug-almaznyy-gibkiy-shlifovalnyy-cherepashka-125mm-p800-suhoe-mokroe-shlifovanie-kranz-KR-90-0312/", "Инфо")</f>
        <v>Инфо</v>
      </c>
      <c r="F4868" s="42" t="s">
        <v>39</v>
      </c>
      <c r="G4868" s="41" t="s">
        <v>40</v>
      </c>
      <c r="H4868" s="41"/>
      <c r="I4868" s="41"/>
      <c r="J4868" s="43">
        <v>29</v>
      </c>
      <c r="K4868" s="41" t="s">
        <v>1058</v>
      </c>
      <c r="L4868" s="43">
        <v>1</v>
      </c>
      <c r="M4868" s="43">
        <v>100</v>
      </c>
      <c r="N4868" s="43">
        <v>1</v>
      </c>
      <c r="O4868" s="44">
        <v>700.71</v>
      </c>
      <c r="P4868" s="44">
        <v>574.35</v>
      </c>
      <c r="Q4868" s="44">
        <v>525.53</v>
      </c>
      <c r="R4868" s="44">
        <v>430.76</v>
      </c>
      <c r="S4868" s="44">
        <v>476.48</v>
      </c>
      <c r="T4868" s="44">
        <v>390.56</v>
      </c>
      <c r="U4868" s="42"/>
      <c r="V4868" s="42"/>
      <c r="W4868" s="42" t="s">
        <v>40</v>
      </c>
      <c r="X4868" s="45">
        <v>8.4000000000000005E-2</v>
      </c>
      <c r="Y4868" s="46">
        <v>3.77E-4</v>
      </c>
      <c r="Z4868" s="21">
        <v>4601004332164</v>
      </c>
    </row>
    <row r="4869" spans="1:26" ht="12" customHeight="1" outlineLevel="4" x14ac:dyDescent="0.2">
      <c r="A4869" s="32" t="s">
        <v>9453</v>
      </c>
      <c r="B4869" s="74" t="s">
        <v>9454</v>
      </c>
      <c r="C4869" s="50"/>
      <c r="D4869" s="53">
        <f t="shared" si="75"/>
        <v>0</v>
      </c>
      <c r="E4869" s="60" t="str">
        <f>HYPERLINK("https://www.sds-group.ru/product/chashka-almaznaya-shlifovalnaya-odnoryadnaya-125h22-2mm-kranz-KR-90-0150/", "Инфо")</f>
        <v>Инфо</v>
      </c>
      <c r="F4869" s="34" t="s">
        <v>39</v>
      </c>
      <c r="G4869" s="33"/>
      <c r="H4869" s="33" t="s">
        <v>40</v>
      </c>
      <c r="I4869" s="33"/>
      <c r="J4869" s="35">
        <v>393</v>
      </c>
      <c r="K4869" s="33"/>
      <c r="L4869" s="35">
        <v>1</v>
      </c>
      <c r="M4869" s="35">
        <v>50</v>
      </c>
      <c r="N4869" s="35">
        <v>1</v>
      </c>
      <c r="O4869" s="36">
        <v>684.36</v>
      </c>
      <c r="P4869" s="36">
        <v>560.95000000000005</v>
      </c>
      <c r="Q4869" s="36">
        <v>479.05</v>
      </c>
      <c r="R4869" s="36">
        <v>392.66</v>
      </c>
      <c r="S4869" s="36">
        <v>465.36</v>
      </c>
      <c r="T4869" s="36">
        <v>381.44</v>
      </c>
      <c r="U4869" s="34"/>
      <c r="V4869" s="34"/>
      <c r="W4869" s="34"/>
      <c r="X4869" s="37">
        <v>0.374</v>
      </c>
      <c r="Y4869" s="38">
        <v>8.0599999999999997E-4</v>
      </c>
      <c r="Z4869" s="21">
        <v>4601004200067</v>
      </c>
    </row>
    <row r="4870" spans="1:26" ht="12" customHeight="1" outlineLevel="4" x14ac:dyDescent="0.2">
      <c r="A4870" s="14" t="s">
        <v>9455</v>
      </c>
      <c r="B4870" s="26" t="s">
        <v>9456</v>
      </c>
      <c r="C4870" s="52"/>
      <c r="D4870" s="55">
        <f t="shared" si="75"/>
        <v>0</v>
      </c>
      <c r="E4870" s="63" t="str">
        <f>HYPERLINK("https://www.sds-group.ru/product/chashka-almaznaya-shlifovalnaya-dvuhryadnaya-125h22-2mm-kranz-KR-90-0151/", "Инфо")</f>
        <v>Инфо</v>
      </c>
      <c r="F4870" s="16" t="s">
        <v>39</v>
      </c>
      <c r="G4870" s="15"/>
      <c r="H4870" s="15"/>
      <c r="I4870" s="15"/>
      <c r="J4870" s="17">
        <v>645</v>
      </c>
      <c r="K4870" s="15"/>
      <c r="L4870" s="17">
        <v>1</v>
      </c>
      <c r="M4870" s="17">
        <v>50</v>
      </c>
      <c r="N4870" s="17">
        <v>1</v>
      </c>
      <c r="O4870" s="18">
        <v>1212.78</v>
      </c>
      <c r="P4870" s="18">
        <v>994.08</v>
      </c>
      <c r="Q4870" s="18">
        <v>1030.8599999999999</v>
      </c>
      <c r="R4870" s="18">
        <v>844.97</v>
      </c>
      <c r="S4870" s="18">
        <v>824.69</v>
      </c>
      <c r="T4870" s="18">
        <v>675.98</v>
      </c>
      <c r="U4870" s="16"/>
      <c r="V4870" s="16"/>
      <c r="W4870" s="16" t="s">
        <v>40</v>
      </c>
      <c r="X4870" s="19">
        <v>0.45400000000000001</v>
      </c>
      <c r="Y4870" s="20">
        <v>7.2400000000000003E-4</v>
      </c>
      <c r="Z4870" s="21">
        <v>4601004200074</v>
      </c>
    </row>
    <row r="4871" spans="1:26" ht="12" customHeight="1" outlineLevel="4" x14ac:dyDescent="0.2">
      <c r="A4871" s="14" t="s">
        <v>9457</v>
      </c>
      <c r="B4871" s="26" t="s">
        <v>9458</v>
      </c>
      <c r="C4871" s="52"/>
      <c r="D4871" s="55">
        <f t="shared" si="75"/>
        <v>0</v>
      </c>
      <c r="E4871" s="63" t="str">
        <f>HYPERLINK("https://www.sds-group.ru/product/chashka-almaznaya-shlifovalnaya-turbo-125h22-2mm-kranz-KR-90-0152/", "Инфо")</f>
        <v>Инфо</v>
      </c>
      <c r="F4871" s="16" t="s">
        <v>39</v>
      </c>
      <c r="G4871" s="15"/>
      <c r="H4871" s="15"/>
      <c r="I4871" s="15"/>
      <c r="J4871" s="17">
        <v>310</v>
      </c>
      <c r="K4871" s="15"/>
      <c r="L4871" s="17">
        <v>1</v>
      </c>
      <c r="M4871" s="17">
        <v>50</v>
      </c>
      <c r="N4871" s="17">
        <v>1</v>
      </c>
      <c r="O4871" s="18">
        <v>1161.92</v>
      </c>
      <c r="P4871" s="18">
        <v>952.39</v>
      </c>
      <c r="Q4871" s="18">
        <v>987.63</v>
      </c>
      <c r="R4871" s="18">
        <v>809.53</v>
      </c>
      <c r="S4871" s="18">
        <v>790.11</v>
      </c>
      <c r="T4871" s="18">
        <v>647.63</v>
      </c>
      <c r="U4871" s="16"/>
      <c r="V4871" s="16"/>
      <c r="W4871" s="16" t="s">
        <v>40</v>
      </c>
      <c r="X4871" s="19">
        <v>0.48099999999999998</v>
      </c>
      <c r="Y4871" s="20">
        <v>7.2300000000000001E-4</v>
      </c>
      <c r="Z4871" s="21">
        <v>4601004200081</v>
      </c>
    </row>
    <row r="4872" spans="1:26" ht="12" customHeight="1" outlineLevel="4" x14ac:dyDescent="0.2">
      <c r="A4872" s="32" t="s">
        <v>9459</v>
      </c>
      <c r="B4872" s="74" t="s">
        <v>9460</v>
      </c>
      <c r="C4872" s="50"/>
      <c r="D4872" s="53">
        <f t="shared" si="75"/>
        <v>0</v>
      </c>
      <c r="E4872" s="60" t="str">
        <f>HYPERLINK("https://www.sds-group.ru/product/chashka-almaznaya-shlifovalnaya-turbo-180h22-2mm-kranz-KR-90-0256/", "Инфо")</f>
        <v>Инфо</v>
      </c>
      <c r="F4872" s="34" t="s">
        <v>39</v>
      </c>
      <c r="G4872" s="33"/>
      <c r="H4872" s="33" t="s">
        <v>40</v>
      </c>
      <c r="I4872" s="33"/>
      <c r="J4872" s="35">
        <v>18</v>
      </c>
      <c r="K4872" s="33"/>
      <c r="L4872" s="35">
        <v>1</v>
      </c>
      <c r="M4872" s="35">
        <v>25</v>
      </c>
      <c r="N4872" s="35">
        <v>1</v>
      </c>
      <c r="O4872" s="36">
        <v>1902.5</v>
      </c>
      <c r="P4872" s="36">
        <v>1559.43</v>
      </c>
      <c r="Q4872" s="36">
        <v>1331.75</v>
      </c>
      <c r="R4872" s="36">
        <v>1091.5999999999999</v>
      </c>
      <c r="S4872" s="36">
        <v>1293.7</v>
      </c>
      <c r="T4872" s="36">
        <v>1060.4100000000001</v>
      </c>
      <c r="U4872" s="34"/>
      <c r="V4872" s="34"/>
      <c r="W4872" s="34"/>
      <c r="X4872" s="37">
        <v>0.876</v>
      </c>
      <c r="Y4872" s="38">
        <v>9.2400000000000002E-4</v>
      </c>
      <c r="Z4872" s="21">
        <v>4601004283893</v>
      </c>
    </row>
    <row r="4873" spans="1:26" ht="12" customHeight="1" outlineLevel="4" x14ac:dyDescent="0.2">
      <c r="A4873" s="14" t="s">
        <v>9461</v>
      </c>
      <c r="B4873" s="26" t="s">
        <v>9462</v>
      </c>
      <c r="C4873" s="52"/>
      <c r="D4873" s="55">
        <f t="shared" ref="D4873:D4936" si="76">C4873*(O4873-O4873*$G$3)</f>
        <v>0</v>
      </c>
      <c r="E4873" s="63" t="str">
        <f>HYPERLINK("https://www.sds-group.ru/product/chashka-almaznaya-shlifovalnaya-turbo-230h22-2mm-kranz-KR-90-0257/", "Инфо")</f>
        <v>Инфо</v>
      </c>
      <c r="F4873" s="16" t="s">
        <v>39</v>
      </c>
      <c r="G4873" s="15"/>
      <c r="H4873" s="15"/>
      <c r="I4873" s="15"/>
      <c r="J4873" s="17">
        <v>24</v>
      </c>
      <c r="K4873" s="15" t="s">
        <v>6434</v>
      </c>
      <c r="L4873" s="17">
        <v>1</v>
      </c>
      <c r="M4873" s="17">
        <v>25</v>
      </c>
      <c r="N4873" s="17">
        <v>1</v>
      </c>
      <c r="O4873" s="18">
        <v>3669.23</v>
      </c>
      <c r="P4873" s="18">
        <v>3007.57</v>
      </c>
      <c r="Q4873" s="18">
        <v>3118.85</v>
      </c>
      <c r="R4873" s="18">
        <v>2556.4299999999998</v>
      </c>
      <c r="S4873" s="18">
        <v>2495.08</v>
      </c>
      <c r="T4873" s="18">
        <v>2045.15</v>
      </c>
      <c r="U4873" s="16"/>
      <c r="V4873" s="16"/>
      <c r="W4873" s="16" t="s">
        <v>40</v>
      </c>
      <c r="X4873" s="19">
        <v>1.36</v>
      </c>
      <c r="Y4873" s="20">
        <v>2.0140000000000002E-3</v>
      </c>
      <c r="Z4873" s="21">
        <v>4601004283909</v>
      </c>
    </row>
    <row r="4874" spans="1:26" ht="12" customHeight="1" outlineLevel="4" x14ac:dyDescent="0.2">
      <c r="A4874" s="32" t="s">
        <v>9463</v>
      </c>
      <c r="B4874" s="74" t="s">
        <v>9464</v>
      </c>
      <c r="C4874" s="50"/>
      <c r="D4874" s="53">
        <f t="shared" si="76"/>
        <v>0</v>
      </c>
      <c r="E4874" s="60" t="str">
        <f>HYPERLINK("https://www.sds-group.ru/product/chashka-almaznaya-shlifovalnaya-dvuhryadnaya-115h22-2mm-kranz-KR-90-0251/", "Инфо")</f>
        <v>Инфо</v>
      </c>
      <c r="F4874" s="34" t="s">
        <v>39</v>
      </c>
      <c r="G4874" s="33"/>
      <c r="H4874" s="33" t="s">
        <v>40</v>
      </c>
      <c r="I4874" s="33"/>
      <c r="J4874" s="35">
        <v>116</v>
      </c>
      <c r="K4874" s="33"/>
      <c r="L4874" s="35">
        <v>1</v>
      </c>
      <c r="M4874" s="35">
        <v>50</v>
      </c>
      <c r="N4874" s="35">
        <v>1</v>
      </c>
      <c r="O4874" s="36">
        <v>1044.8499999999999</v>
      </c>
      <c r="P4874" s="36">
        <v>856.43</v>
      </c>
      <c r="Q4874" s="36">
        <v>731.4</v>
      </c>
      <c r="R4874" s="36">
        <v>599.51</v>
      </c>
      <c r="S4874" s="36">
        <v>710.5</v>
      </c>
      <c r="T4874" s="36">
        <v>582.38</v>
      </c>
      <c r="U4874" s="34"/>
      <c r="V4874" s="34"/>
      <c r="W4874" s="34"/>
      <c r="X4874" s="37">
        <v>0.36799999999999999</v>
      </c>
      <c r="Y4874" s="38">
        <v>6.2100000000000002E-4</v>
      </c>
      <c r="Z4874" s="21">
        <v>4601004283848</v>
      </c>
    </row>
    <row r="4875" spans="1:26" ht="12" customHeight="1" outlineLevel="4" x14ac:dyDescent="0.2">
      <c r="A4875" s="14" t="s">
        <v>9465</v>
      </c>
      <c r="B4875" s="26" t="s">
        <v>9466</v>
      </c>
      <c r="C4875" s="52"/>
      <c r="D4875" s="55">
        <f t="shared" si="76"/>
        <v>0</v>
      </c>
      <c r="E4875" s="63" t="str">
        <f>HYPERLINK("https://www.sds-group.ru/product/chashka-almaznaya-shlifovalnaya-dvuhryadnaya-150h22-2mm-kranz-KR-90-0252/", "Инфо")</f>
        <v>Инфо</v>
      </c>
      <c r="F4875" s="16" t="s">
        <v>39</v>
      </c>
      <c r="G4875" s="15"/>
      <c r="H4875" s="15"/>
      <c r="I4875" s="15"/>
      <c r="J4875" s="17">
        <v>70</v>
      </c>
      <c r="K4875" s="15" t="s">
        <v>6434</v>
      </c>
      <c r="L4875" s="17">
        <v>1</v>
      </c>
      <c r="M4875" s="17">
        <v>25</v>
      </c>
      <c r="N4875" s="17">
        <v>1</v>
      </c>
      <c r="O4875" s="18">
        <v>1885.5</v>
      </c>
      <c r="P4875" s="18">
        <v>1545.49</v>
      </c>
      <c r="Q4875" s="18">
        <v>1602.68</v>
      </c>
      <c r="R4875" s="18">
        <v>1313.67</v>
      </c>
      <c r="S4875" s="18">
        <v>1282.1400000000001</v>
      </c>
      <c r="T4875" s="18">
        <v>1050.93</v>
      </c>
      <c r="U4875" s="16"/>
      <c r="V4875" s="16"/>
      <c r="W4875" s="16" t="s">
        <v>40</v>
      </c>
      <c r="X4875" s="19">
        <v>0.622</v>
      </c>
      <c r="Y4875" s="20">
        <v>1.088E-3</v>
      </c>
      <c r="Z4875" s="21">
        <v>4601004283855</v>
      </c>
    </row>
    <row r="4876" spans="1:26" ht="12" customHeight="1" outlineLevel="4" x14ac:dyDescent="0.2">
      <c r="A4876" s="14" t="s">
        <v>9467</v>
      </c>
      <c r="B4876" s="26" t="s">
        <v>9468</v>
      </c>
      <c r="C4876" s="52"/>
      <c r="D4876" s="55">
        <f t="shared" si="76"/>
        <v>0</v>
      </c>
      <c r="E4876" s="63" t="str">
        <f>HYPERLINK("https://www.sds-group.ru/product/chashka-almaznaya-shlifovalnaya-dvuhryadnaya-180h22-2mm-kranz-KR-90-0253/", "Инфо")</f>
        <v>Инфо</v>
      </c>
      <c r="F4876" s="16" t="s">
        <v>39</v>
      </c>
      <c r="G4876" s="15"/>
      <c r="H4876" s="15"/>
      <c r="I4876" s="15"/>
      <c r="J4876" s="17">
        <v>210</v>
      </c>
      <c r="K4876" s="15"/>
      <c r="L4876" s="17">
        <v>1</v>
      </c>
      <c r="M4876" s="17">
        <v>25</v>
      </c>
      <c r="N4876" s="17">
        <v>1</v>
      </c>
      <c r="O4876" s="18">
        <v>2695.05</v>
      </c>
      <c r="P4876" s="18">
        <v>2209.06</v>
      </c>
      <c r="Q4876" s="18">
        <v>2290.79</v>
      </c>
      <c r="R4876" s="18">
        <v>1877.7</v>
      </c>
      <c r="S4876" s="18">
        <v>1832.63</v>
      </c>
      <c r="T4876" s="18">
        <v>1502.16</v>
      </c>
      <c r="U4876" s="16"/>
      <c r="V4876" s="16"/>
      <c r="W4876" s="16" t="s">
        <v>40</v>
      </c>
      <c r="X4876" s="19">
        <v>0.84399999999999997</v>
      </c>
      <c r="Y4876" s="20">
        <v>1.519E-3</v>
      </c>
      <c r="Z4876" s="21">
        <v>4601004283862</v>
      </c>
    </row>
    <row r="4877" spans="1:26" ht="12" customHeight="1" outlineLevel="4" x14ac:dyDescent="0.2">
      <c r="A4877" s="14" t="s">
        <v>9469</v>
      </c>
      <c r="B4877" s="26" t="s">
        <v>9470</v>
      </c>
      <c r="C4877" s="52"/>
      <c r="D4877" s="55">
        <f t="shared" si="76"/>
        <v>0</v>
      </c>
      <c r="E4877" s="63" t="str">
        <f>HYPERLINK("https://www.sds-group.ru/product/chashka-almaznaya-shlifovalnaya-dvuhryadnaya-230h22-2mm-kranz-KR-90-0254/", "Инфо")</f>
        <v>Инфо</v>
      </c>
      <c r="F4877" s="16" t="s">
        <v>39</v>
      </c>
      <c r="G4877" s="15"/>
      <c r="H4877" s="15"/>
      <c r="I4877" s="15"/>
      <c r="J4877" s="17">
        <v>18</v>
      </c>
      <c r="K4877" s="15" t="s">
        <v>6744</v>
      </c>
      <c r="L4877" s="17">
        <v>1</v>
      </c>
      <c r="M4877" s="17">
        <v>20</v>
      </c>
      <c r="N4877" s="17">
        <v>1</v>
      </c>
      <c r="O4877" s="18">
        <v>4406.6899999999996</v>
      </c>
      <c r="P4877" s="18">
        <v>3612.04</v>
      </c>
      <c r="Q4877" s="18">
        <v>3745.69</v>
      </c>
      <c r="R4877" s="18">
        <v>3070.24</v>
      </c>
      <c r="S4877" s="18">
        <v>2996.55</v>
      </c>
      <c r="T4877" s="18">
        <v>2456.19</v>
      </c>
      <c r="U4877" s="16"/>
      <c r="V4877" s="16"/>
      <c r="W4877" s="16" t="s">
        <v>40</v>
      </c>
      <c r="X4877" s="19">
        <v>1.282</v>
      </c>
      <c r="Y4877" s="20">
        <v>2.5019999999999999E-3</v>
      </c>
      <c r="Z4877" s="21">
        <v>4601004283879</v>
      </c>
    </row>
    <row r="4878" spans="1:26" ht="12" customHeight="1" outlineLevel="4" x14ac:dyDescent="0.2">
      <c r="A4878" s="14" t="s">
        <v>9471</v>
      </c>
      <c r="B4878" s="26" t="s">
        <v>9472</v>
      </c>
      <c r="C4878" s="52"/>
      <c r="D4878" s="55">
        <f t="shared" si="76"/>
        <v>0</v>
      </c>
      <c r="E4878" s="63" t="str">
        <f>HYPERLINK("https://www.sds-group.ru/product/chashka-almaznaya-shlifovalnaya-turbo-segment-125h22-2mm-kranz-KR-90-0258/", "Инфо")</f>
        <v>Инфо</v>
      </c>
      <c r="F4878" s="16" t="s">
        <v>39</v>
      </c>
      <c r="G4878" s="15"/>
      <c r="H4878" s="15"/>
      <c r="I4878" s="15"/>
      <c r="J4878" s="17">
        <v>255</v>
      </c>
      <c r="K4878" s="15"/>
      <c r="L4878" s="17">
        <v>1</v>
      </c>
      <c r="M4878" s="17">
        <v>20</v>
      </c>
      <c r="N4878" s="17">
        <v>1</v>
      </c>
      <c r="O4878" s="18">
        <v>1406.54</v>
      </c>
      <c r="P4878" s="18">
        <v>1152.9000000000001</v>
      </c>
      <c r="Q4878" s="18">
        <v>1195.56</v>
      </c>
      <c r="R4878" s="18">
        <v>979.97</v>
      </c>
      <c r="S4878" s="18">
        <v>956.45</v>
      </c>
      <c r="T4878" s="18">
        <v>783.98</v>
      </c>
      <c r="U4878" s="16"/>
      <c r="V4878" s="16"/>
      <c r="W4878" s="16" t="s">
        <v>40</v>
      </c>
      <c r="X4878" s="19">
        <v>0.38300000000000001</v>
      </c>
      <c r="Y4878" s="20">
        <v>7.3899999999999997E-4</v>
      </c>
      <c r="Z4878" s="21">
        <v>4601004283916</v>
      </c>
    </row>
    <row r="4879" spans="1:26" ht="12.95" customHeight="1" outlineLevel="3" x14ac:dyDescent="0.2">
      <c r="A4879" s="76" t="s">
        <v>9473</v>
      </c>
      <c r="B4879" s="76"/>
      <c r="C4879" s="77"/>
      <c r="D4879" s="58"/>
      <c r="E4879" s="68"/>
      <c r="F4879" s="13"/>
      <c r="G4879" s="13"/>
      <c r="H4879" s="13"/>
      <c r="I4879" s="13"/>
      <c r="J4879" s="13"/>
      <c r="K4879" s="13"/>
      <c r="L4879" s="13"/>
      <c r="M4879" s="13"/>
      <c r="N4879" s="13"/>
      <c r="O4879" s="13"/>
      <c r="P4879" s="13"/>
      <c r="Q4879" s="13"/>
      <c r="R4879" s="13"/>
      <c r="S4879" s="13"/>
      <c r="T4879" s="13"/>
      <c r="U4879" s="13"/>
      <c r="V4879" s="13"/>
      <c r="W4879" s="13"/>
      <c r="X4879" s="13"/>
      <c r="Y4879" s="13"/>
      <c r="Z4879" s="13"/>
    </row>
    <row r="4880" spans="1:26" ht="12" customHeight="1" outlineLevel="4" x14ac:dyDescent="0.2">
      <c r="A4880" s="14" t="s">
        <v>9474</v>
      </c>
      <c r="B4880" s="26" t="s">
        <v>9475</v>
      </c>
      <c r="C4880" s="52"/>
      <c r="D4880" s="55">
        <f t="shared" si="76"/>
        <v>0</v>
      </c>
      <c r="E4880" s="63" t="str">
        <f>HYPERLINK("https://www.sds-group.ru/product/koronka-almaznaya-po-betonu-68-mm-dlina-90mm-m16-segment-hvostovik-sds-plus-kranz-KR-90-0163/", "Инфо")</f>
        <v>Инфо</v>
      </c>
      <c r="F4880" s="16" t="s">
        <v>39</v>
      </c>
      <c r="G4880" s="15"/>
      <c r="H4880" s="15"/>
      <c r="I4880" s="15"/>
      <c r="J4880" s="22">
        <v>1098</v>
      </c>
      <c r="K4880" s="15" t="s">
        <v>1058</v>
      </c>
      <c r="L4880" s="17">
        <v>1</v>
      </c>
      <c r="M4880" s="17">
        <v>25</v>
      </c>
      <c r="N4880" s="17">
        <v>1</v>
      </c>
      <c r="O4880" s="18">
        <v>4457.1899999999996</v>
      </c>
      <c r="P4880" s="18">
        <v>3653.43</v>
      </c>
      <c r="Q4880" s="18">
        <v>3788.61</v>
      </c>
      <c r="R4880" s="18">
        <v>3105.42</v>
      </c>
      <c r="S4880" s="18">
        <v>3030.89</v>
      </c>
      <c r="T4880" s="18">
        <v>2484.34</v>
      </c>
      <c r="U4880" s="16"/>
      <c r="V4880" s="16"/>
      <c r="W4880" s="16" t="s">
        <v>40</v>
      </c>
      <c r="X4880" s="19">
        <v>0.70499999999999996</v>
      </c>
      <c r="Y4880" s="20">
        <v>1.39E-3</v>
      </c>
      <c r="Z4880" s="21">
        <v>4601004200098</v>
      </c>
    </row>
    <row r="4881" spans="1:26" ht="12" customHeight="1" outlineLevel="4" x14ac:dyDescent="0.2">
      <c r="A4881" s="14" t="s">
        <v>9476</v>
      </c>
      <c r="B4881" s="26" t="s">
        <v>9477</v>
      </c>
      <c r="C4881" s="52"/>
      <c r="D4881" s="55">
        <f t="shared" si="76"/>
        <v>0</v>
      </c>
      <c r="E4881" s="63" t="str">
        <f>HYPERLINK("https://www.sds-group.ru/product/koronka-almaznaya-po-betonu-70-mm-dlina-90mm-m16-segment-hvostovik-sds-plus-kranz-KR-90-0164/", "Инфо")</f>
        <v>Инфо</v>
      </c>
      <c r="F4881" s="16" t="s">
        <v>39</v>
      </c>
      <c r="G4881" s="15"/>
      <c r="H4881" s="15"/>
      <c r="I4881" s="15"/>
      <c r="J4881" s="17">
        <v>481</v>
      </c>
      <c r="K4881" s="15" t="s">
        <v>1058</v>
      </c>
      <c r="L4881" s="17">
        <v>1</v>
      </c>
      <c r="M4881" s="17">
        <v>25</v>
      </c>
      <c r="N4881" s="17">
        <v>1</v>
      </c>
      <c r="O4881" s="18">
        <v>3643.92</v>
      </c>
      <c r="P4881" s="18">
        <v>2986.82</v>
      </c>
      <c r="Q4881" s="18">
        <v>3097.33</v>
      </c>
      <c r="R4881" s="18">
        <v>2538.8000000000002</v>
      </c>
      <c r="S4881" s="18">
        <v>2477.87</v>
      </c>
      <c r="T4881" s="18">
        <v>2031.04</v>
      </c>
      <c r="U4881" s="16"/>
      <c r="V4881" s="16"/>
      <c r="W4881" s="16" t="s">
        <v>40</v>
      </c>
      <c r="X4881" s="19">
        <v>0.746</v>
      </c>
      <c r="Y4881" s="20">
        <v>1.2440000000000001E-3</v>
      </c>
      <c r="Z4881" s="21">
        <v>4601004221901</v>
      </c>
    </row>
    <row r="4882" spans="1:26" ht="12" customHeight="1" outlineLevel="4" x14ac:dyDescent="0.2">
      <c r="A4882" s="14" t="s">
        <v>9478</v>
      </c>
      <c r="B4882" s="26" t="s">
        <v>9479</v>
      </c>
      <c r="C4882" s="52"/>
      <c r="D4882" s="55">
        <f t="shared" si="76"/>
        <v>0</v>
      </c>
      <c r="E4882" s="63" t="str">
        <f>HYPERLINK("https://www.sds-group.ru/product/koronka-almaznaya-po-betonu-72-mm-dlina-90mm-m16-segment-hvostovik-sds-plus-kranz-KR-90-0165/", "Инфо")</f>
        <v>Инфо</v>
      </c>
      <c r="F4882" s="16" t="s">
        <v>39</v>
      </c>
      <c r="G4882" s="15"/>
      <c r="H4882" s="15"/>
      <c r="I4882" s="15"/>
      <c r="J4882" s="17">
        <v>269</v>
      </c>
      <c r="K4882" s="15" t="s">
        <v>1058</v>
      </c>
      <c r="L4882" s="17">
        <v>1</v>
      </c>
      <c r="M4882" s="17">
        <v>25</v>
      </c>
      <c r="N4882" s="17">
        <v>1</v>
      </c>
      <c r="O4882" s="18">
        <v>4788.8999999999996</v>
      </c>
      <c r="P4882" s="18">
        <v>3925.33</v>
      </c>
      <c r="Q4882" s="18">
        <v>4070.57</v>
      </c>
      <c r="R4882" s="18">
        <v>3336.53</v>
      </c>
      <c r="S4882" s="18">
        <v>3256.45</v>
      </c>
      <c r="T4882" s="18">
        <v>2669.22</v>
      </c>
      <c r="U4882" s="16"/>
      <c r="V4882" s="16"/>
      <c r="W4882" s="16" t="s">
        <v>40</v>
      </c>
      <c r="X4882" s="19">
        <v>0.74</v>
      </c>
      <c r="Y4882" s="20">
        <v>1.395E-3</v>
      </c>
      <c r="Z4882" s="21">
        <v>4601004200104</v>
      </c>
    </row>
    <row r="4883" spans="1:26" ht="12" customHeight="1" outlineLevel="4" x14ac:dyDescent="0.2">
      <c r="A4883" s="40" t="s">
        <v>9480</v>
      </c>
      <c r="B4883" s="75" t="s">
        <v>9481</v>
      </c>
      <c r="C4883" s="51"/>
      <c r="D4883" s="54">
        <f t="shared" si="76"/>
        <v>0</v>
      </c>
      <c r="E4883" s="61" t="str">
        <f>HYPERLINK("https://www.sds-group.ru/product/koronka-almaznaya-po-betonu-s-pyleudaleniem-68mm-m16-turbo-segment-hvostovik-sds-plus-kra-KR-90-0173/", "Инфо")</f>
        <v>Инфо</v>
      </c>
      <c r="F4883" s="42" t="s">
        <v>39</v>
      </c>
      <c r="G4883" s="41" t="s">
        <v>40</v>
      </c>
      <c r="H4883" s="41"/>
      <c r="I4883" s="41"/>
      <c r="J4883" s="43">
        <v>297</v>
      </c>
      <c r="K4883" s="41" t="s">
        <v>1058</v>
      </c>
      <c r="L4883" s="43">
        <v>1</v>
      </c>
      <c r="M4883" s="43">
        <v>25</v>
      </c>
      <c r="N4883" s="43">
        <v>1</v>
      </c>
      <c r="O4883" s="44">
        <v>5066.6899999999996</v>
      </c>
      <c r="P4883" s="44">
        <v>4153.0200000000004</v>
      </c>
      <c r="Q4883" s="44">
        <v>3800.02</v>
      </c>
      <c r="R4883" s="44">
        <v>3114.77</v>
      </c>
      <c r="S4883" s="44">
        <v>3445.35</v>
      </c>
      <c r="T4883" s="44">
        <v>2824.06</v>
      </c>
      <c r="U4883" s="42"/>
      <c r="V4883" s="42"/>
      <c r="W4883" s="42" t="s">
        <v>40</v>
      </c>
      <c r="X4883" s="45">
        <v>0.79300000000000004</v>
      </c>
      <c r="Y4883" s="46">
        <v>3.5400000000000002E-3</v>
      </c>
      <c r="Z4883" s="21">
        <v>4601004331754</v>
      </c>
    </row>
    <row r="4884" spans="1:26" ht="12" customHeight="1" outlineLevel="4" x14ac:dyDescent="0.2">
      <c r="A4884" s="40" t="s">
        <v>9482</v>
      </c>
      <c r="B4884" s="75" t="s">
        <v>9483</v>
      </c>
      <c r="C4884" s="51"/>
      <c r="D4884" s="54">
        <f t="shared" si="76"/>
        <v>0</v>
      </c>
      <c r="E4884" s="61" t="str">
        <f>HYPERLINK("https://www.sds-group.ru/product/koronka-almaznaya-po-betonu-s-pyleudaleniem-72mm-m16-turbo-segment-hvostovik-sds-plus-kra-KR-90-0175/", "Инфо")</f>
        <v>Инфо</v>
      </c>
      <c r="F4884" s="42" t="s">
        <v>39</v>
      </c>
      <c r="G4884" s="41" t="s">
        <v>40</v>
      </c>
      <c r="H4884" s="41"/>
      <c r="I4884" s="41"/>
      <c r="J4884" s="43">
        <v>392</v>
      </c>
      <c r="K4884" s="41" t="s">
        <v>1058</v>
      </c>
      <c r="L4884" s="43">
        <v>1</v>
      </c>
      <c r="M4884" s="43">
        <v>25</v>
      </c>
      <c r="N4884" s="43">
        <v>1</v>
      </c>
      <c r="O4884" s="44">
        <v>5282.3</v>
      </c>
      <c r="P4884" s="44">
        <v>4329.75</v>
      </c>
      <c r="Q4884" s="44">
        <v>3961.73</v>
      </c>
      <c r="R4884" s="44">
        <v>3247.32</v>
      </c>
      <c r="S4884" s="44">
        <v>3591.96</v>
      </c>
      <c r="T4884" s="44">
        <v>2944.23</v>
      </c>
      <c r="U4884" s="42"/>
      <c r="V4884" s="42"/>
      <c r="W4884" s="42" t="s">
        <v>40</v>
      </c>
      <c r="X4884" s="45">
        <v>0.82399999999999995</v>
      </c>
      <c r="Y4884" s="46">
        <v>3.5260000000000001E-3</v>
      </c>
      <c r="Z4884" s="21">
        <v>4601004331761</v>
      </c>
    </row>
    <row r="4885" spans="1:26" ht="12" customHeight="1" outlineLevel="4" x14ac:dyDescent="0.2">
      <c r="A4885" s="14" t="s">
        <v>9484</v>
      </c>
      <c r="B4885" s="26" t="s">
        <v>9485</v>
      </c>
      <c r="C4885" s="52"/>
      <c r="D4885" s="55">
        <f t="shared" si="76"/>
        <v>0</v>
      </c>
      <c r="E4885" s="63" t="str">
        <f>HYPERLINK("https://www.sds-group.ru/product/koronka-almaznaya-professionalnaya-po-keramogranitu-i-zhelezobetonu-m14-vakuumnoe-spekani-KR-92-1003/", "Инфо")</f>
        <v>Инфо</v>
      </c>
      <c r="F4885" s="16" t="s">
        <v>39</v>
      </c>
      <c r="G4885" s="15"/>
      <c r="H4885" s="15"/>
      <c r="I4885" s="15"/>
      <c r="J4885" s="17">
        <v>35</v>
      </c>
      <c r="K4885" s="15" t="s">
        <v>1650</v>
      </c>
      <c r="L4885" s="17">
        <v>1</v>
      </c>
      <c r="M4885" s="17">
        <v>200</v>
      </c>
      <c r="N4885" s="17">
        <v>1</v>
      </c>
      <c r="O4885" s="18">
        <v>957.78</v>
      </c>
      <c r="P4885" s="18">
        <v>785.07</v>
      </c>
      <c r="Q4885" s="18">
        <v>766.22</v>
      </c>
      <c r="R4885" s="18">
        <v>628.04999999999995</v>
      </c>
      <c r="S4885" s="18">
        <v>651.29</v>
      </c>
      <c r="T4885" s="18">
        <v>533.84</v>
      </c>
      <c r="U4885" s="16"/>
      <c r="V4885" s="16"/>
      <c r="W4885" s="16" t="s">
        <v>40</v>
      </c>
      <c r="X4885" s="19">
        <v>0.1</v>
      </c>
      <c r="Y4885" s="20">
        <v>2.0000000000000001E-4</v>
      </c>
      <c r="Z4885" s="21">
        <v>4601004287112</v>
      </c>
    </row>
    <row r="4886" spans="1:26" ht="12" customHeight="1" outlineLevel="4" x14ac:dyDescent="0.2">
      <c r="A4886" s="14" t="s">
        <v>9486</v>
      </c>
      <c r="B4886" s="26" t="s">
        <v>9487</v>
      </c>
      <c r="C4886" s="52"/>
      <c r="D4886" s="55">
        <f t="shared" si="76"/>
        <v>0</v>
      </c>
      <c r="E4886" s="63" t="str">
        <f>HYPERLINK("https://www.sds-group.ru/product/koronka-almaznaya-professionalnaya-po-keramogranitu-i-zhelezobetonu-m14-vakuumnoe-spekani-KR-92-1010/", "Инфо")</f>
        <v>Инфо</v>
      </c>
      <c r="F4886" s="16" t="s">
        <v>39</v>
      </c>
      <c r="G4886" s="15"/>
      <c r="H4886" s="15"/>
      <c r="I4886" s="15"/>
      <c r="J4886" s="17">
        <v>307</v>
      </c>
      <c r="K4886" s="15"/>
      <c r="L4886" s="17">
        <v>1</v>
      </c>
      <c r="M4886" s="17">
        <v>100</v>
      </c>
      <c r="N4886" s="17">
        <v>1</v>
      </c>
      <c r="O4886" s="18">
        <v>1416.76</v>
      </c>
      <c r="P4886" s="18">
        <v>1161.28</v>
      </c>
      <c r="Q4886" s="18">
        <v>1119.24</v>
      </c>
      <c r="R4886" s="18">
        <v>917.41</v>
      </c>
      <c r="S4886" s="18">
        <v>963.4</v>
      </c>
      <c r="T4886" s="18">
        <v>789.67</v>
      </c>
      <c r="U4886" s="16"/>
      <c r="V4886" s="16"/>
      <c r="W4886" s="16" t="s">
        <v>40</v>
      </c>
      <c r="X4886" s="19">
        <v>0.13500000000000001</v>
      </c>
      <c r="Y4886" s="20">
        <v>1.66E-4</v>
      </c>
      <c r="Z4886" s="21">
        <v>4601004287136</v>
      </c>
    </row>
    <row r="4887" spans="1:26" ht="12" customHeight="1" outlineLevel="4" x14ac:dyDescent="0.2">
      <c r="A4887" s="14" t="s">
        <v>9488</v>
      </c>
      <c r="B4887" s="26" t="s">
        <v>9489</v>
      </c>
      <c r="C4887" s="52"/>
      <c r="D4887" s="55">
        <f t="shared" si="76"/>
        <v>0</v>
      </c>
      <c r="E4887" s="63" t="str">
        <f>HYPERLINK("https://www.sds-group.ru/product/koronka-almaznaya-professionalnaya-po-keramogranitu-i-zhelezobetonu-m14-vakuumnoe-spekani-KR-92-1012/", "Инфо")</f>
        <v>Инфо</v>
      </c>
      <c r="F4887" s="16" t="s">
        <v>39</v>
      </c>
      <c r="G4887" s="15"/>
      <c r="H4887" s="15"/>
      <c r="I4887" s="15"/>
      <c r="J4887" s="17">
        <v>171</v>
      </c>
      <c r="K4887" s="15"/>
      <c r="L4887" s="17">
        <v>1</v>
      </c>
      <c r="M4887" s="17">
        <v>100</v>
      </c>
      <c r="N4887" s="17">
        <v>1</v>
      </c>
      <c r="O4887" s="18">
        <v>1590</v>
      </c>
      <c r="P4887" s="18">
        <v>1303.28</v>
      </c>
      <c r="Q4887" s="18">
        <v>1256.0999999999999</v>
      </c>
      <c r="R4887" s="18">
        <v>1029.5899999999999</v>
      </c>
      <c r="S4887" s="18">
        <v>1081.2</v>
      </c>
      <c r="T4887" s="18">
        <v>886.23</v>
      </c>
      <c r="U4887" s="16"/>
      <c r="V4887" s="16"/>
      <c r="W4887" s="16" t="s">
        <v>40</v>
      </c>
      <c r="X4887" s="19">
        <v>0.14199999999999999</v>
      </c>
      <c r="Y4887" s="20">
        <v>1.63E-4</v>
      </c>
      <c r="Z4887" s="21">
        <v>4601004287143</v>
      </c>
    </row>
    <row r="4888" spans="1:26" ht="12" customHeight="1" outlineLevel="4" x14ac:dyDescent="0.2">
      <c r="A4888" s="14" t="s">
        <v>9490</v>
      </c>
      <c r="B4888" s="26" t="s">
        <v>9491</v>
      </c>
      <c r="C4888" s="52"/>
      <c r="D4888" s="55">
        <f t="shared" si="76"/>
        <v>0</v>
      </c>
      <c r="E4888" s="63" t="str">
        <f>HYPERLINK("https://www.sds-group.ru/product/koronka-almaznaya-professionalnaya-po-keramogranitu-i-zhelezobetonu-m14-vakuumnoe-spekani-KR-92-1014/", "Инфо")</f>
        <v>Инфо</v>
      </c>
      <c r="F4888" s="16" t="s">
        <v>39</v>
      </c>
      <c r="G4888" s="15"/>
      <c r="H4888" s="15"/>
      <c r="I4888" s="15"/>
      <c r="J4888" s="17">
        <v>410</v>
      </c>
      <c r="K4888" s="15"/>
      <c r="L4888" s="17">
        <v>1</v>
      </c>
      <c r="M4888" s="17">
        <v>50</v>
      </c>
      <c r="N4888" s="17">
        <v>1</v>
      </c>
      <c r="O4888" s="18">
        <v>1696</v>
      </c>
      <c r="P4888" s="18">
        <v>1390.16</v>
      </c>
      <c r="Q4888" s="18">
        <v>1339.84</v>
      </c>
      <c r="R4888" s="18">
        <v>1098.23</v>
      </c>
      <c r="S4888" s="18">
        <v>1153.28</v>
      </c>
      <c r="T4888" s="18">
        <v>945.31</v>
      </c>
      <c r="U4888" s="16"/>
      <c r="V4888" s="16"/>
      <c r="W4888" s="16" t="s">
        <v>40</v>
      </c>
      <c r="X4888" s="19">
        <v>0.189</v>
      </c>
      <c r="Y4888" s="20">
        <v>4.8000000000000001E-4</v>
      </c>
      <c r="Z4888" s="21">
        <v>4601004287150</v>
      </c>
    </row>
    <row r="4889" spans="1:26" ht="12" customHeight="1" outlineLevel="4" x14ac:dyDescent="0.2">
      <c r="A4889" s="14" t="s">
        <v>9492</v>
      </c>
      <c r="B4889" s="26" t="s">
        <v>9493</v>
      </c>
      <c r="C4889" s="52"/>
      <c r="D4889" s="55">
        <f t="shared" si="76"/>
        <v>0</v>
      </c>
      <c r="E4889" s="63" t="str">
        <f>HYPERLINK("https://www.sds-group.ru/product/koronka-almaznaya-professionalnaya-po-keramogranitu-i-zhelezobetonu-m14-vakuumnoe-spekani-KR-92-1015/", "Инфо")</f>
        <v>Инфо</v>
      </c>
      <c r="F4889" s="16" t="s">
        <v>39</v>
      </c>
      <c r="G4889" s="15"/>
      <c r="H4889" s="15"/>
      <c r="I4889" s="15"/>
      <c r="J4889" s="17">
        <v>50</v>
      </c>
      <c r="K4889" s="15"/>
      <c r="L4889" s="17">
        <v>1</v>
      </c>
      <c r="M4889" s="17">
        <v>50</v>
      </c>
      <c r="N4889" s="17">
        <v>1</v>
      </c>
      <c r="O4889" s="18">
        <v>1802</v>
      </c>
      <c r="P4889" s="18">
        <v>1477.05</v>
      </c>
      <c r="Q4889" s="18">
        <v>1423.58</v>
      </c>
      <c r="R4889" s="18">
        <v>1166.8699999999999</v>
      </c>
      <c r="S4889" s="18">
        <v>1225.3599999999999</v>
      </c>
      <c r="T4889" s="18">
        <v>1004.39</v>
      </c>
      <c r="U4889" s="16"/>
      <c r="V4889" s="16"/>
      <c r="W4889" s="16" t="s">
        <v>40</v>
      </c>
      <c r="X4889" s="19">
        <v>0.19600000000000001</v>
      </c>
      <c r="Y4889" s="20">
        <v>5.2899999999999996E-4</v>
      </c>
      <c r="Z4889" s="21">
        <v>4601004287167</v>
      </c>
    </row>
    <row r="4890" spans="1:26" ht="12" customHeight="1" outlineLevel="4" x14ac:dyDescent="0.2">
      <c r="A4890" s="14" t="s">
        <v>9494</v>
      </c>
      <c r="B4890" s="26" t="s">
        <v>9495</v>
      </c>
      <c r="C4890" s="52"/>
      <c r="D4890" s="55">
        <f t="shared" si="76"/>
        <v>0</v>
      </c>
      <c r="E4890" s="63" t="str">
        <f>HYPERLINK("https://www.sds-group.ru/product/koronka-almaznaya-professionalnaya-po-keramogranitu-i-zhelezobetonu-m14-vakuumnoe-spekani-KR-92-1017/", "Инфо")</f>
        <v>Инфо</v>
      </c>
      <c r="F4890" s="16" t="s">
        <v>39</v>
      </c>
      <c r="G4890" s="15"/>
      <c r="H4890" s="15"/>
      <c r="I4890" s="15"/>
      <c r="J4890" s="17">
        <v>73</v>
      </c>
      <c r="K4890" s="15"/>
      <c r="L4890" s="17">
        <v>1</v>
      </c>
      <c r="M4890" s="17">
        <v>50</v>
      </c>
      <c r="N4890" s="17">
        <v>1</v>
      </c>
      <c r="O4890" s="18">
        <v>2014</v>
      </c>
      <c r="P4890" s="18">
        <v>1650.82</v>
      </c>
      <c r="Q4890" s="18">
        <v>1550.78</v>
      </c>
      <c r="R4890" s="18">
        <v>1271.1300000000001</v>
      </c>
      <c r="S4890" s="18">
        <v>1369.52</v>
      </c>
      <c r="T4890" s="18">
        <v>1122.56</v>
      </c>
      <c r="U4890" s="16"/>
      <c r="V4890" s="16"/>
      <c r="W4890" s="16" t="s">
        <v>40</v>
      </c>
      <c r="X4890" s="19">
        <v>0.224</v>
      </c>
      <c r="Y4890" s="20">
        <v>4.9799999999999996E-4</v>
      </c>
      <c r="Z4890" s="21">
        <v>4601004287174</v>
      </c>
    </row>
    <row r="4891" spans="1:26" ht="12" customHeight="1" outlineLevel="4" x14ac:dyDescent="0.2">
      <c r="A4891" s="14" t="s">
        <v>9496</v>
      </c>
      <c r="B4891" s="26" t="s">
        <v>9497</v>
      </c>
      <c r="C4891" s="52"/>
      <c r="D4891" s="55">
        <f t="shared" si="76"/>
        <v>0</v>
      </c>
      <c r="E4891" s="63" t="str">
        <f>HYPERLINK("https://www.sds-group.ru/product/koronka-almaznaya-professionalnaya-po-keramogranitu-i-zhelezobetonu-m14-vakuumnoe-spekani-KR-92-1018/", "Инфо")</f>
        <v>Инфо</v>
      </c>
      <c r="F4891" s="16" t="s">
        <v>39</v>
      </c>
      <c r="G4891" s="15"/>
      <c r="H4891" s="15"/>
      <c r="I4891" s="15"/>
      <c r="J4891" s="17">
        <v>45</v>
      </c>
      <c r="K4891" s="15"/>
      <c r="L4891" s="17">
        <v>1</v>
      </c>
      <c r="M4891" s="17">
        <v>50</v>
      </c>
      <c r="N4891" s="17">
        <v>1</v>
      </c>
      <c r="O4891" s="18">
        <v>2120</v>
      </c>
      <c r="P4891" s="18">
        <v>1737.7</v>
      </c>
      <c r="Q4891" s="18">
        <v>1632.4</v>
      </c>
      <c r="R4891" s="18">
        <v>1338.03</v>
      </c>
      <c r="S4891" s="18">
        <v>1441.6</v>
      </c>
      <c r="T4891" s="18">
        <v>1181.6400000000001</v>
      </c>
      <c r="U4891" s="16"/>
      <c r="V4891" s="16"/>
      <c r="W4891" s="16" t="s">
        <v>40</v>
      </c>
      <c r="X4891" s="19">
        <v>0.246</v>
      </c>
      <c r="Y4891" s="20">
        <v>6.2699999999999995E-4</v>
      </c>
      <c r="Z4891" s="21">
        <v>4601004287181</v>
      </c>
    </row>
    <row r="4892" spans="1:26" ht="12" customHeight="1" outlineLevel="4" x14ac:dyDescent="0.2">
      <c r="A4892" s="14" t="s">
        <v>9498</v>
      </c>
      <c r="B4892" s="26" t="s">
        <v>9499</v>
      </c>
      <c r="C4892" s="52"/>
      <c r="D4892" s="55">
        <f t="shared" si="76"/>
        <v>0</v>
      </c>
      <c r="E4892" s="63" t="str">
        <f>HYPERLINK("https://www.sds-group.ru/product/koronka-almaznaya-professionalnaya-po-keramogranitu-i-zhelezobetonu-m14-vakuumnoe-spekani-KR-92-1019/", "Инфо")</f>
        <v>Инфо</v>
      </c>
      <c r="F4892" s="16" t="s">
        <v>39</v>
      </c>
      <c r="G4892" s="15"/>
      <c r="H4892" s="15"/>
      <c r="I4892" s="15"/>
      <c r="J4892" s="16" t="s">
        <v>100</v>
      </c>
      <c r="K4892" s="15"/>
      <c r="L4892" s="17">
        <v>1</v>
      </c>
      <c r="M4892" s="17">
        <v>60</v>
      </c>
      <c r="N4892" s="17">
        <v>1</v>
      </c>
      <c r="O4892" s="18">
        <v>2226</v>
      </c>
      <c r="P4892" s="18">
        <v>1824.59</v>
      </c>
      <c r="Q4892" s="18">
        <v>1714.02</v>
      </c>
      <c r="R4892" s="18">
        <v>1404.93</v>
      </c>
      <c r="S4892" s="18">
        <v>1513.68</v>
      </c>
      <c r="T4892" s="18">
        <v>1240.72</v>
      </c>
      <c r="U4892" s="16"/>
      <c r="V4892" s="16"/>
      <c r="W4892" s="16" t="s">
        <v>40</v>
      </c>
      <c r="X4892" s="19">
        <v>0.252</v>
      </c>
      <c r="Y4892" s="20">
        <v>5.22E-4</v>
      </c>
      <c r="Z4892" s="21">
        <v>4601004287198</v>
      </c>
    </row>
    <row r="4893" spans="1:26" ht="12" customHeight="1" outlineLevel="4" x14ac:dyDescent="0.2">
      <c r="A4893" s="14" t="s">
        <v>9500</v>
      </c>
      <c r="B4893" s="26" t="s">
        <v>9501</v>
      </c>
      <c r="C4893" s="52"/>
      <c r="D4893" s="55">
        <f t="shared" si="76"/>
        <v>0</v>
      </c>
      <c r="E4893" s="63" t="str">
        <f>HYPERLINK("https://www.sds-group.ru/product/koronka-almaznaya-professionalnaya-po-keramogranitu-i-zhelezobetonu-m14-vakuumnoe-spekani-KR-92-1021/", "Инфо")</f>
        <v>Инфо</v>
      </c>
      <c r="F4893" s="16" t="s">
        <v>39</v>
      </c>
      <c r="G4893" s="15"/>
      <c r="H4893" s="15"/>
      <c r="I4893" s="15"/>
      <c r="J4893" s="17">
        <v>60</v>
      </c>
      <c r="K4893" s="15"/>
      <c r="L4893" s="17">
        <v>1</v>
      </c>
      <c r="M4893" s="17">
        <v>50</v>
      </c>
      <c r="N4893" s="17">
        <v>1</v>
      </c>
      <c r="O4893" s="18">
        <v>2862</v>
      </c>
      <c r="P4893" s="18">
        <v>2345.9</v>
      </c>
      <c r="Q4893" s="18">
        <v>2203.7399999999998</v>
      </c>
      <c r="R4893" s="18">
        <v>1806.34</v>
      </c>
      <c r="S4893" s="18">
        <v>1946.16</v>
      </c>
      <c r="T4893" s="18">
        <v>1595.21</v>
      </c>
      <c r="U4893" s="16"/>
      <c r="V4893" s="16"/>
      <c r="W4893" s="16" t="s">
        <v>40</v>
      </c>
      <c r="X4893" s="19">
        <v>0.29899999999999999</v>
      </c>
      <c r="Y4893" s="20">
        <v>7.1699999999999997E-4</v>
      </c>
      <c r="Z4893" s="21">
        <v>4601004287211</v>
      </c>
    </row>
    <row r="4894" spans="1:26" ht="12" customHeight="1" outlineLevel="4" x14ac:dyDescent="0.2">
      <c r="A4894" s="14" t="s">
        <v>9502</v>
      </c>
      <c r="B4894" s="26" t="s">
        <v>9503</v>
      </c>
      <c r="C4894" s="52"/>
      <c r="D4894" s="55">
        <f t="shared" si="76"/>
        <v>0</v>
      </c>
      <c r="E4894" s="63" t="str">
        <f>HYPERLINK("https://www.sds-group.ru/product/koronka-almaznaya-professionalnaya-po-keramogranitu-i-zhelezobetonu-m14-vakuumnoe-spekani-KR-92-1025/", "Инфо")</f>
        <v>Инфо</v>
      </c>
      <c r="F4894" s="16" t="s">
        <v>39</v>
      </c>
      <c r="G4894" s="15"/>
      <c r="H4894" s="15"/>
      <c r="I4894" s="15"/>
      <c r="J4894" s="17">
        <v>313</v>
      </c>
      <c r="K4894" s="15"/>
      <c r="L4894" s="17">
        <v>1</v>
      </c>
      <c r="M4894" s="17">
        <v>50</v>
      </c>
      <c r="N4894" s="17">
        <v>1</v>
      </c>
      <c r="O4894" s="18">
        <v>3710</v>
      </c>
      <c r="P4894" s="18">
        <v>3040.98</v>
      </c>
      <c r="Q4894" s="18">
        <v>2708.3</v>
      </c>
      <c r="R4894" s="18">
        <v>2219.92</v>
      </c>
      <c r="S4894" s="18">
        <v>2522.8000000000002</v>
      </c>
      <c r="T4894" s="18">
        <v>2067.87</v>
      </c>
      <c r="U4894" s="16"/>
      <c r="V4894" s="16"/>
      <c r="W4894" s="16" t="s">
        <v>40</v>
      </c>
      <c r="X4894" s="19">
        <v>0.40400000000000003</v>
      </c>
      <c r="Y4894" s="20">
        <v>1.142E-3</v>
      </c>
      <c r="Z4894" s="21">
        <v>4601004287228</v>
      </c>
    </row>
    <row r="4895" spans="1:26" ht="12" customHeight="1" outlineLevel="4" x14ac:dyDescent="0.2">
      <c r="A4895" s="14" t="s">
        <v>9504</v>
      </c>
      <c r="B4895" s="26" t="s">
        <v>9505</v>
      </c>
      <c r="C4895" s="52"/>
      <c r="D4895" s="55">
        <f t="shared" si="76"/>
        <v>0</v>
      </c>
      <c r="E4895" s="63" t="str">
        <f>HYPERLINK("https://www.sds-group.ru/product/koronka-almaznaya-professionalnaya-po-keramogranitu-i-zhelezobetonu-m14-vakuumnoe-spekani-KR-92-1001/", "Инфо")</f>
        <v>Инфо</v>
      </c>
      <c r="F4895" s="16" t="s">
        <v>39</v>
      </c>
      <c r="G4895" s="15"/>
      <c r="H4895" s="15"/>
      <c r="I4895" s="15"/>
      <c r="J4895" s="17">
        <v>314</v>
      </c>
      <c r="K4895" s="15" t="s">
        <v>1650</v>
      </c>
      <c r="L4895" s="17">
        <v>1</v>
      </c>
      <c r="M4895" s="17">
        <v>200</v>
      </c>
      <c r="N4895" s="17">
        <v>1</v>
      </c>
      <c r="O4895" s="18">
        <v>845.83</v>
      </c>
      <c r="P4895" s="18">
        <v>693.3</v>
      </c>
      <c r="Q4895" s="18">
        <v>676.66</v>
      </c>
      <c r="R4895" s="18">
        <v>554.64</v>
      </c>
      <c r="S4895" s="18">
        <v>575.16</v>
      </c>
      <c r="T4895" s="18">
        <v>471.44</v>
      </c>
      <c r="U4895" s="16"/>
      <c r="V4895" s="16"/>
      <c r="W4895" s="16" t="s">
        <v>40</v>
      </c>
      <c r="X4895" s="19">
        <v>9.5000000000000001E-2</v>
      </c>
      <c r="Y4895" s="20">
        <v>1.8100000000000001E-4</v>
      </c>
      <c r="Z4895" s="21">
        <v>4601004287099</v>
      </c>
    </row>
    <row r="4896" spans="1:26" ht="12" customHeight="1" outlineLevel="4" x14ac:dyDescent="0.2">
      <c r="A4896" s="14" t="s">
        <v>9506</v>
      </c>
      <c r="B4896" s="26" t="s">
        <v>9507</v>
      </c>
      <c r="C4896" s="52"/>
      <c r="D4896" s="55">
        <f t="shared" si="76"/>
        <v>0</v>
      </c>
      <c r="E4896" s="63" t="str">
        <f>HYPERLINK("https://www.sds-group.ru/product/koronka-almaznaya-professionalnaya-po-keramogranitu-i-zhelezobetonu-m14-vakuumnoe-spekani-KR-92-1026/", "Инфо")</f>
        <v>Инфо</v>
      </c>
      <c r="F4896" s="16" t="s">
        <v>39</v>
      </c>
      <c r="G4896" s="15"/>
      <c r="H4896" s="15"/>
      <c r="I4896" s="15"/>
      <c r="J4896" s="16" t="s">
        <v>100</v>
      </c>
      <c r="K4896" s="15" t="s">
        <v>1650</v>
      </c>
      <c r="L4896" s="17">
        <v>1</v>
      </c>
      <c r="M4896" s="17">
        <v>50</v>
      </c>
      <c r="N4896" s="17">
        <v>1</v>
      </c>
      <c r="O4896" s="18">
        <v>3922</v>
      </c>
      <c r="P4896" s="18">
        <v>3214.75</v>
      </c>
      <c r="Q4896" s="18">
        <v>2863.06</v>
      </c>
      <c r="R4896" s="18">
        <v>2346.77</v>
      </c>
      <c r="S4896" s="18">
        <v>2666.96</v>
      </c>
      <c r="T4896" s="18">
        <v>2186.0300000000002</v>
      </c>
      <c r="U4896" s="16"/>
      <c r="V4896" s="16"/>
      <c r="W4896" s="16" t="s">
        <v>40</v>
      </c>
      <c r="X4896" s="19">
        <v>0.432</v>
      </c>
      <c r="Y4896" s="20">
        <v>1.1869999999999999E-3</v>
      </c>
      <c r="Z4896" s="21">
        <v>4601004287235</v>
      </c>
    </row>
    <row r="4897" spans="1:26" ht="12" customHeight="1" outlineLevel="4" x14ac:dyDescent="0.2">
      <c r="A4897" s="14" t="s">
        <v>9508</v>
      </c>
      <c r="B4897" s="26" t="s">
        <v>9509</v>
      </c>
      <c r="C4897" s="52"/>
      <c r="D4897" s="55">
        <f t="shared" si="76"/>
        <v>0</v>
      </c>
      <c r="E4897" s="63" t="str">
        <f>HYPERLINK("https://www.sds-group.ru/product/koronka-almaznaya-professionalnaya-po-keramogranitu-i-zhelezobetonu-m14-vakuumnoe-spekani-KR-92-1002/", "Инфо")</f>
        <v>Инфо</v>
      </c>
      <c r="F4897" s="16" t="s">
        <v>39</v>
      </c>
      <c r="G4897" s="15"/>
      <c r="H4897" s="15"/>
      <c r="I4897" s="15"/>
      <c r="J4897" s="16" t="s">
        <v>100</v>
      </c>
      <c r="K4897" s="15"/>
      <c r="L4897" s="17">
        <v>1</v>
      </c>
      <c r="M4897" s="17">
        <v>200</v>
      </c>
      <c r="N4897" s="17">
        <v>1</v>
      </c>
      <c r="O4897" s="18">
        <v>912.17</v>
      </c>
      <c r="P4897" s="18">
        <v>747.68</v>
      </c>
      <c r="Q4897" s="18">
        <v>729.74</v>
      </c>
      <c r="R4897" s="18">
        <v>598.15</v>
      </c>
      <c r="S4897" s="18">
        <v>620.28</v>
      </c>
      <c r="T4897" s="18">
        <v>508.43</v>
      </c>
      <c r="U4897" s="16"/>
      <c r="V4897" s="16"/>
      <c r="W4897" s="16" t="s">
        <v>40</v>
      </c>
      <c r="X4897" s="19">
        <v>9.0999999999999998E-2</v>
      </c>
      <c r="Y4897" s="20">
        <v>1.7799999999999999E-4</v>
      </c>
      <c r="Z4897" s="21">
        <v>4601004287105</v>
      </c>
    </row>
    <row r="4898" spans="1:26" ht="12" customHeight="1" outlineLevel="4" x14ac:dyDescent="0.2">
      <c r="A4898" s="40" t="s">
        <v>9510</v>
      </c>
      <c r="B4898" s="75" t="s">
        <v>9511</v>
      </c>
      <c r="C4898" s="51"/>
      <c r="D4898" s="54">
        <f t="shared" si="76"/>
        <v>0</v>
      </c>
      <c r="E4898" s="61" t="str">
        <f>HYPERLINK("https://www.sds-group.ru/product/sistema-pyleudaleniya-dlya-almaznyh-koronok-po-betonu-s-rezboy-m16-dlya-dreley-i-perfor-KR-90-0170-1/", "Инфо")</f>
        <v>Инфо</v>
      </c>
      <c r="F4898" s="42" t="s">
        <v>39</v>
      </c>
      <c r="G4898" s="41" t="s">
        <v>40</v>
      </c>
      <c r="H4898" s="41"/>
      <c r="I4898" s="41"/>
      <c r="J4898" s="43">
        <v>632</v>
      </c>
      <c r="K4898" s="41" t="s">
        <v>1058</v>
      </c>
      <c r="L4898" s="43">
        <v>1</v>
      </c>
      <c r="M4898" s="43">
        <v>25</v>
      </c>
      <c r="N4898" s="43">
        <v>1</v>
      </c>
      <c r="O4898" s="44">
        <v>3880.87</v>
      </c>
      <c r="P4898" s="44">
        <v>3181.04</v>
      </c>
      <c r="Q4898" s="44">
        <v>3298.74</v>
      </c>
      <c r="R4898" s="44">
        <v>2703.89</v>
      </c>
      <c r="S4898" s="44">
        <v>2638.99</v>
      </c>
      <c r="T4898" s="44">
        <v>2163.11</v>
      </c>
      <c r="U4898" s="42"/>
      <c r="V4898" s="42"/>
      <c r="W4898" s="42" t="s">
        <v>40</v>
      </c>
      <c r="X4898" s="45">
        <v>0.47</v>
      </c>
      <c r="Y4898" s="46">
        <v>1.106E-3</v>
      </c>
      <c r="Z4898" s="21">
        <v>4601004331778</v>
      </c>
    </row>
    <row r="4899" spans="1:26" ht="12" customHeight="1" outlineLevel="4" x14ac:dyDescent="0.2">
      <c r="A4899" s="32" t="s">
        <v>9512</v>
      </c>
      <c r="B4899" s="74" t="s">
        <v>9513</v>
      </c>
      <c r="C4899" s="50"/>
      <c r="D4899" s="53">
        <f t="shared" si="76"/>
        <v>0</v>
      </c>
      <c r="E4899" s="60" t="str">
        <f>HYPERLINK("https://www.sds-group.ru/product/hvostovik-sds-plus-dlya-koronki-m16h120mm-kranz-KR-90-0170/", "Инфо")</f>
        <v>Инфо</v>
      </c>
      <c r="F4899" s="34" t="s">
        <v>39</v>
      </c>
      <c r="G4899" s="33"/>
      <c r="H4899" s="33" t="s">
        <v>40</v>
      </c>
      <c r="I4899" s="33"/>
      <c r="J4899" s="35">
        <v>88</v>
      </c>
      <c r="K4899" s="33"/>
      <c r="L4899" s="35">
        <v>1</v>
      </c>
      <c r="M4899" s="35">
        <v>50</v>
      </c>
      <c r="N4899" s="35">
        <v>1</v>
      </c>
      <c r="O4899" s="36">
        <v>575.51</v>
      </c>
      <c r="P4899" s="36">
        <v>471.73</v>
      </c>
      <c r="Q4899" s="36">
        <v>402.86</v>
      </c>
      <c r="R4899" s="36">
        <v>330.21</v>
      </c>
      <c r="S4899" s="36">
        <v>391.35</v>
      </c>
      <c r="T4899" s="36">
        <v>320.77999999999997</v>
      </c>
      <c r="U4899" s="34"/>
      <c r="V4899" s="34"/>
      <c r="W4899" s="34"/>
      <c r="X4899" s="37">
        <v>0.20100000000000001</v>
      </c>
      <c r="Y4899" s="38">
        <v>7.7999999999999999E-5</v>
      </c>
      <c r="Z4899" s="21">
        <v>4601004255104</v>
      </c>
    </row>
    <row r="4900" spans="1:26" ht="12.95" customHeight="1" outlineLevel="3" x14ac:dyDescent="0.2">
      <c r="A4900" s="76" t="s">
        <v>9514</v>
      </c>
      <c r="B4900" s="76"/>
      <c r="C4900" s="77"/>
      <c r="D4900" s="58"/>
      <c r="E4900" s="68"/>
      <c r="F4900" s="13"/>
      <c r="G4900" s="13"/>
      <c r="H4900" s="13"/>
      <c r="I4900" s="13"/>
      <c r="J4900" s="13"/>
      <c r="K4900" s="13"/>
      <c r="L4900" s="13"/>
      <c r="M4900" s="13"/>
      <c r="N4900" s="13"/>
      <c r="O4900" s="13"/>
      <c r="P4900" s="13"/>
      <c r="Q4900" s="13"/>
      <c r="R4900" s="13"/>
      <c r="S4900" s="13"/>
      <c r="T4900" s="13"/>
      <c r="U4900" s="13"/>
      <c r="V4900" s="13"/>
      <c r="W4900" s="13"/>
      <c r="X4900" s="13"/>
      <c r="Y4900" s="13"/>
      <c r="Z4900" s="13"/>
    </row>
    <row r="4901" spans="1:26" ht="12" customHeight="1" outlineLevel="4" x14ac:dyDescent="0.2">
      <c r="A4901" s="14" t="s">
        <v>9515</v>
      </c>
      <c r="B4901" s="26" t="s">
        <v>9516</v>
      </c>
      <c r="C4901" s="52"/>
      <c r="D4901" s="55">
        <f t="shared" si="76"/>
        <v>0</v>
      </c>
      <c r="E4901" s="63" t="str">
        <f>HYPERLINK("https://www.sds-group.ru/product/disk-almaznyy-universalnyy-multirez-vakuumnoe-spekanie-professionalnyy-125h22-2mm-kranz-KR-90-0100-2/", "Инфо")</f>
        <v>Инфо</v>
      </c>
      <c r="F4901" s="16" t="s">
        <v>39</v>
      </c>
      <c r="G4901" s="15"/>
      <c r="H4901" s="15"/>
      <c r="I4901" s="15"/>
      <c r="J4901" s="17">
        <v>108</v>
      </c>
      <c r="K4901" s="15" t="s">
        <v>1058</v>
      </c>
      <c r="L4901" s="17">
        <v>1</v>
      </c>
      <c r="M4901" s="17">
        <v>100</v>
      </c>
      <c r="N4901" s="17">
        <v>1</v>
      </c>
      <c r="O4901" s="18">
        <v>1284.3</v>
      </c>
      <c r="P4901" s="18">
        <v>1052.7</v>
      </c>
      <c r="Q4901" s="18">
        <v>1143.03</v>
      </c>
      <c r="R4901" s="18">
        <v>936.91</v>
      </c>
      <c r="S4901" s="18">
        <v>873.32</v>
      </c>
      <c r="T4901" s="18">
        <v>715.84</v>
      </c>
      <c r="U4901" s="16"/>
      <c r="V4901" s="16"/>
      <c r="W4901" s="16" t="s">
        <v>40</v>
      </c>
      <c r="X4901" s="19">
        <v>0.13600000000000001</v>
      </c>
      <c r="Y4901" s="20">
        <v>2.1000000000000001E-4</v>
      </c>
      <c r="Z4901" s="21">
        <v>4601004295865</v>
      </c>
    </row>
    <row r="4902" spans="1:26" ht="12" customHeight="1" outlineLevel="4" x14ac:dyDescent="0.2">
      <c r="A4902" s="14" t="s">
        <v>9517</v>
      </c>
      <c r="B4902" s="26" t="s">
        <v>9518</v>
      </c>
      <c r="C4902" s="52"/>
      <c r="D4902" s="55">
        <f t="shared" si="76"/>
        <v>0</v>
      </c>
      <c r="E4902" s="63" t="str">
        <f>HYPERLINK("https://www.sds-group.ru/product/disk-almaznyy-universalnyy-multirez-vakuumnoe-spekanie-professionalnyy-230h22-2mm-kranz-KR-90-0105-2/", "Инфо")</f>
        <v>Инфо</v>
      </c>
      <c r="F4902" s="16" t="s">
        <v>39</v>
      </c>
      <c r="G4902" s="15"/>
      <c r="H4902" s="15"/>
      <c r="I4902" s="15"/>
      <c r="J4902" s="17">
        <v>385</v>
      </c>
      <c r="K4902" s="15"/>
      <c r="L4902" s="17">
        <v>1</v>
      </c>
      <c r="M4902" s="17">
        <v>40</v>
      </c>
      <c r="N4902" s="17">
        <v>1</v>
      </c>
      <c r="O4902" s="18">
        <v>2262.6999999999998</v>
      </c>
      <c r="P4902" s="18">
        <v>1854.67</v>
      </c>
      <c r="Q4902" s="18">
        <v>1968.55</v>
      </c>
      <c r="R4902" s="18">
        <v>1613.57</v>
      </c>
      <c r="S4902" s="18">
        <v>1538.64</v>
      </c>
      <c r="T4902" s="18">
        <v>1261.18</v>
      </c>
      <c r="U4902" s="16"/>
      <c r="V4902" s="16"/>
      <c r="W4902" s="16" t="s">
        <v>40</v>
      </c>
      <c r="X4902" s="19">
        <v>0.64400000000000002</v>
      </c>
      <c r="Y4902" s="20">
        <v>4.1300000000000001E-4</v>
      </c>
      <c r="Z4902" s="21">
        <v>4601004295872</v>
      </c>
    </row>
    <row r="4903" spans="1:26" ht="12.95" customHeight="1" outlineLevel="2" x14ac:dyDescent="0.2">
      <c r="A4903" s="76" t="s">
        <v>9519</v>
      </c>
      <c r="B4903" s="76"/>
      <c r="C4903" s="77"/>
      <c r="D4903" s="58"/>
      <c r="E4903" s="68"/>
      <c r="F4903" s="13"/>
      <c r="G4903" s="13"/>
      <c r="H4903" s="13"/>
      <c r="I4903" s="13"/>
      <c r="J4903" s="13"/>
      <c r="K4903" s="13"/>
      <c r="L4903" s="13"/>
      <c r="M4903" s="13"/>
      <c r="N4903" s="13"/>
      <c r="O4903" s="13"/>
      <c r="P4903" s="13"/>
      <c r="Q4903" s="13"/>
      <c r="R4903" s="13"/>
      <c r="S4903" s="13"/>
      <c r="T4903" s="13"/>
      <c r="U4903" s="13"/>
      <c r="V4903" s="13"/>
      <c r="W4903" s="13"/>
      <c r="X4903" s="13"/>
      <c r="Y4903" s="13"/>
      <c r="Z4903" s="13"/>
    </row>
    <row r="4904" spans="1:26" ht="12" customHeight="1" outlineLevel="3" x14ac:dyDescent="0.2">
      <c r="A4904" s="14" t="s">
        <v>9520</v>
      </c>
      <c r="B4904" s="26" t="s">
        <v>9521</v>
      </c>
      <c r="C4904" s="52"/>
      <c r="D4904" s="55">
        <f t="shared" si="76"/>
        <v>0</v>
      </c>
      <c r="E4904" s="63" t="str">
        <f>HYPERLINK("https://www.sds-group.ru/product/adapter-s-hvostovikom-sds-plus-na-patron-sverlilnyy-1-2-20-unf-kranz-KR-92-0502/", "Инфо")</f>
        <v>Инфо</v>
      </c>
      <c r="F4904" s="16" t="s">
        <v>39</v>
      </c>
      <c r="G4904" s="15"/>
      <c r="H4904" s="15"/>
      <c r="I4904" s="15"/>
      <c r="J4904" s="17">
        <v>150</v>
      </c>
      <c r="K4904" s="15" t="s">
        <v>979</v>
      </c>
      <c r="L4904" s="17">
        <v>5</v>
      </c>
      <c r="M4904" s="17">
        <v>200</v>
      </c>
      <c r="N4904" s="17">
        <v>5</v>
      </c>
      <c r="O4904" s="18">
        <v>137.80000000000001</v>
      </c>
      <c r="P4904" s="18">
        <v>112.95</v>
      </c>
      <c r="Q4904" s="18">
        <v>117.13</v>
      </c>
      <c r="R4904" s="18">
        <v>96.01</v>
      </c>
      <c r="S4904" s="18">
        <v>93.7</v>
      </c>
      <c r="T4904" s="18">
        <v>76.8</v>
      </c>
      <c r="U4904" s="16"/>
      <c r="V4904" s="16"/>
      <c r="W4904" s="16" t="s">
        <v>40</v>
      </c>
      <c r="X4904" s="19">
        <v>5.8000000000000003E-2</v>
      </c>
      <c r="Y4904" s="20">
        <v>2.1599999999999999E-4</v>
      </c>
      <c r="Z4904" s="21">
        <v>4601004177505</v>
      </c>
    </row>
    <row r="4905" spans="1:26" ht="12" customHeight="1" outlineLevel="3" x14ac:dyDescent="0.2">
      <c r="A4905" s="14" t="s">
        <v>9522</v>
      </c>
      <c r="B4905" s="26" t="s">
        <v>9523</v>
      </c>
      <c r="C4905" s="52"/>
      <c r="D4905" s="55">
        <f t="shared" si="76"/>
        <v>0</v>
      </c>
      <c r="E4905" s="63" t="str">
        <f>HYPERLINK("https://www.sds-group.ru/product/klyuch-dlya-patrona-13mm-kranz-KR-92-0503/", "Инфо")</f>
        <v>Инфо</v>
      </c>
      <c r="F4905" s="16" t="s">
        <v>39</v>
      </c>
      <c r="G4905" s="15"/>
      <c r="H4905" s="15"/>
      <c r="I4905" s="15"/>
      <c r="J4905" s="22">
        <v>1039</v>
      </c>
      <c r="K4905" s="15"/>
      <c r="L4905" s="17">
        <v>5</v>
      </c>
      <c r="M4905" s="17">
        <v>360</v>
      </c>
      <c r="N4905" s="17">
        <v>5</v>
      </c>
      <c r="O4905" s="18">
        <v>110.82</v>
      </c>
      <c r="P4905" s="18">
        <v>90.84</v>
      </c>
      <c r="Q4905" s="18">
        <v>105.28</v>
      </c>
      <c r="R4905" s="18">
        <v>86.3</v>
      </c>
      <c r="S4905" s="18">
        <v>75.36</v>
      </c>
      <c r="T4905" s="18">
        <v>61.77</v>
      </c>
      <c r="U4905" s="16"/>
      <c r="V4905" s="16"/>
      <c r="W4905" s="16" t="s">
        <v>40</v>
      </c>
      <c r="X4905" s="19">
        <v>4.5999999999999999E-2</v>
      </c>
      <c r="Y4905" s="20">
        <v>1.21E-4</v>
      </c>
      <c r="Z4905" s="21">
        <v>4601004177512</v>
      </c>
    </row>
    <row r="4906" spans="1:26" ht="12" customHeight="1" outlineLevel="3" x14ac:dyDescent="0.2">
      <c r="A4906" s="14" t="s">
        <v>9524</v>
      </c>
      <c r="B4906" s="26" t="s">
        <v>9525</v>
      </c>
      <c r="C4906" s="52"/>
      <c r="D4906" s="55">
        <f t="shared" si="76"/>
        <v>0</v>
      </c>
      <c r="E4906" s="63" t="str">
        <f>HYPERLINK("https://www.sds-group.ru/product/nasadka-dlya-uglovogo-sverleniya-dlya-dreli-90-gradusov-shestigrannyy-hvostovik-kranz-KR-92-0506/", "Инфо")</f>
        <v>Инфо</v>
      </c>
      <c r="F4906" s="16" t="s">
        <v>39</v>
      </c>
      <c r="G4906" s="15"/>
      <c r="H4906" s="15"/>
      <c r="I4906" s="15"/>
      <c r="J4906" s="17">
        <v>397</v>
      </c>
      <c r="K4906" s="15"/>
      <c r="L4906" s="17">
        <v>1</v>
      </c>
      <c r="M4906" s="17">
        <v>40</v>
      </c>
      <c r="N4906" s="17">
        <v>1</v>
      </c>
      <c r="O4906" s="18">
        <v>1691.92</v>
      </c>
      <c r="P4906" s="18">
        <v>1386.82</v>
      </c>
      <c r="Q4906" s="18">
        <v>1522.73</v>
      </c>
      <c r="R4906" s="18">
        <v>1248.1400000000001</v>
      </c>
      <c r="S4906" s="18">
        <v>1150.51</v>
      </c>
      <c r="T4906" s="18">
        <v>943.04</v>
      </c>
      <c r="U4906" s="16"/>
      <c r="V4906" s="16"/>
      <c r="W4906" s="16" t="s">
        <v>40</v>
      </c>
      <c r="X4906" s="19">
        <v>0.44800000000000001</v>
      </c>
      <c r="Y4906" s="20">
        <v>1.637E-3</v>
      </c>
      <c r="Z4906" s="21">
        <v>4601004304659</v>
      </c>
    </row>
    <row r="4907" spans="1:26" ht="12" customHeight="1" outlineLevel="3" x14ac:dyDescent="0.2">
      <c r="A4907" s="14" t="s">
        <v>9526</v>
      </c>
      <c r="B4907" s="26" t="s">
        <v>9527</v>
      </c>
      <c r="C4907" s="52"/>
      <c r="D4907" s="55">
        <f t="shared" si="76"/>
        <v>0</v>
      </c>
      <c r="E4907" s="63" t="str">
        <f>HYPERLINK("https://www.sds-group.ru/product/patron-sverlilnyy-bystrozazhimnyy-dvuhmuftovyy-2-0-13-0mm-1-2-20unf-kranz-KR-92-0501/", "Инфо")</f>
        <v>Инфо</v>
      </c>
      <c r="F4907" s="16" t="s">
        <v>39</v>
      </c>
      <c r="G4907" s="15"/>
      <c r="H4907" s="15"/>
      <c r="I4907" s="15"/>
      <c r="J4907" s="17">
        <v>906</v>
      </c>
      <c r="K4907" s="15"/>
      <c r="L4907" s="17">
        <v>1</v>
      </c>
      <c r="M4907" s="17">
        <v>50</v>
      </c>
      <c r="N4907" s="17">
        <v>1</v>
      </c>
      <c r="O4907" s="18">
        <v>643.20000000000005</v>
      </c>
      <c r="P4907" s="18">
        <v>527.21</v>
      </c>
      <c r="Q4907" s="18">
        <v>598.17999999999995</v>
      </c>
      <c r="R4907" s="18">
        <v>490.31</v>
      </c>
      <c r="S4907" s="18">
        <v>437.38</v>
      </c>
      <c r="T4907" s="18">
        <v>358.51</v>
      </c>
      <c r="U4907" s="16"/>
      <c r="V4907" s="16"/>
      <c r="W4907" s="16" t="s">
        <v>40</v>
      </c>
      <c r="X4907" s="19">
        <v>0.32900000000000001</v>
      </c>
      <c r="Y4907" s="20">
        <v>8.2799999999999996E-4</v>
      </c>
      <c r="Z4907" s="21">
        <v>4601004177529</v>
      </c>
    </row>
    <row r="4908" spans="1:26" ht="12" customHeight="1" outlineLevel="3" x14ac:dyDescent="0.2">
      <c r="A4908" s="14" t="s">
        <v>9528</v>
      </c>
      <c r="B4908" s="26" t="s">
        <v>9529</v>
      </c>
      <c r="C4908" s="52"/>
      <c r="D4908" s="55">
        <f t="shared" si="76"/>
        <v>0</v>
      </c>
      <c r="E4908" s="63" t="str">
        <f>HYPERLINK("https://www.sds-group.ru/product/patron-sverlilnyy-s-klyuchom-dlya-sverl-1-5-13-0mm-1-2-20unf-kranz-KR-92-0500/", "Инфо")</f>
        <v>Инфо</v>
      </c>
      <c r="F4908" s="16" t="s">
        <v>39</v>
      </c>
      <c r="G4908" s="15"/>
      <c r="H4908" s="15"/>
      <c r="I4908" s="15"/>
      <c r="J4908" s="22">
        <v>2276</v>
      </c>
      <c r="K4908" s="15"/>
      <c r="L4908" s="17">
        <v>1</v>
      </c>
      <c r="M4908" s="17">
        <v>50</v>
      </c>
      <c r="N4908" s="17">
        <v>1</v>
      </c>
      <c r="O4908" s="18">
        <v>448.46</v>
      </c>
      <c r="P4908" s="18">
        <v>367.59</v>
      </c>
      <c r="Q4908" s="18">
        <v>417.07</v>
      </c>
      <c r="R4908" s="18">
        <v>341.86</v>
      </c>
      <c r="S4908" s="18">
        <v>304.95</v>
      </c>
      <c r="T4908" s="18">
        <v>249.96</v>
      </c>
      <c r="U4908" s="16"/>
      <c r="V4908" s="16"/>
      <c r="W4908" s="16" t="s">
        <v>40</v>
      </c>
      <c r="X4908" s="19">
        <v>0.315</v>
      </c>
      <c r="Y4908" s="20">
        <v>6.6200000000000015E-4</v>
      </c>
      <c r="Z4908" s="21">
        <v>4601004175600</v>
      </c>
    </row>
    <row r="4909" spans="1:26" ht="12" customHeight="1" outlineLevel="3" x14ac:dyDescent="0.2">
      <c r="A4909" s="14" t="s">
        <v>9530</v>
      </c>
      <c r="B4909" s="26" t="s">
        <v>9531</v>
      </c>
      <c r="C4909" s="52"/>
      <c r="D4909" s="55">
        <f t="shared" si="76"/>
        <v>0</v>
      </c>
      <c r="E4909" s="63" t="str">
        <f>HYPERLINK("https://www.sds-group.ru/product/reduktor-dlya-bit-uglovoy-90-gradusov-shestigrannyy-hvostovik-kranz-KR-92-0505/", "Инфо")</f>
        <v>Инфо</v>
      </c>
      <c r="F4909" s="16" t="s">
        <v>39</v>
      </c>
      <c r="G4909" s="15"/>
      <c r="H4909" s="15"/>
      <c r="I4909" s="15"/>
      <c r="J4909" s="22">
        <v>2018</v>
      </c>
      <c r="K4909" s="15"/>
      <c r="L4909" s="17">
        <v>5</v>
      </c>
      <c r="M4909" s="17">
        <v>200</v>
      </c>
      <c r="N4909" s="17">
        <v>5</v>
      </c>
      <c r="O4909" s="18">
        <v>570.49</v>
      </c>
      <c r="P4909" s="18">
        <v>467.61</v>
      </c>
      <c r="Q4909" s="18">
        <v>513.44000000000005</v>
      </c>
      <c r="R4909" s="18">
        <v>420.85</v>
      </c>
      <c r="S4909" s="18">
        <v>387.93</v>
      </c>
      <c r="T4909" s="18">
        <v>317.98</v>
      </c>
      <c r="U4909" s="16"/>
      <c r="V4909" s="16"/>
      <c r="W4909" s="16" t="s">
        <v>40</v>
      </c>
      <c r="X4909" s="19">
        <v>9.2999999999999999E-2</v>
      </c>
      <c r="Y4909" s="20">
        <v>2.5300000000000002E-4</v>
      </c>
      <c r="Z4909" s="21">
        <v>4601004304642</v>
      </c>
    </row>
    <row r="4910" spans="1:26" ht="12.95" customHeight="1" outlineLevel="2" x14ac:dyDescent="0.2">
      <c r="A4910" s="76" t="s">
        <v>9532</v>
      </c>
      <c r="B4910" s="76"/>
      <c r="C4910" s="77"/>
      <c r="D4910" s="58"/>
      <c r="E4910" s="68"/>
      <c r="F4910" s="13"/>
      <c r="G4910" s="13"/>
      <c r="H4910" s="13"/>
      <c r="I4910" s="13"/>
      <c r="J4910" s="13"/>
      <c r="K4910" s="13"/>
      <c r="L4910" s="13"/>
      <c r="M4910" s="13"/>
      <c r="N4910" s="13"/>
      <c r="O4910" s="13"/>
      <c r="P4910" s="13"/>
      <c r="Q4910" s="13"/>
      <c r="R4910" s="13"/>
      <c r="S4910" s="13"/>
      <c r="T4910" s="13"/>
      <c r="U4910" s="13"/>
      <c r="V4910" s="13"/>
      <c r="W4910" s="13"/>
      <c r="X4910" s="13"/>
      <c r="Y4910" s="13"/>
      <c r="Z4910" s="13"/>
    </row>
    <row r="4911" spans="1:26" ht="12.95" customHeight="1" outlineLevel="3" x14ac:dyDescent="0.2">
      <c r="A4911" s="76" t="s">
        <v>9533</v>
      </c>
      <c r="B4911" s="76"/>
      <c r="C4911" s="77"/>
      <c r="D4911" s="58"/>
      <c r="E4911" s="68"/>
      <c r="F4911" s="13"/>
      <c r="G4911" s="13"/>
      <c r="H4911" s="13"/>
      <c r="I4911" s="13"/>
      <c r="J4911" s="13"/>
      <c r="K4911" s="13"/>
      <c r="L4911" s="13"/>
      <c r="M4911" s="13"/>
      <c r="N4911" s="13"/>
      <c r="O4911" s="13"/>
      <c r="P4911" s="13"/>
      <c r="Q4911" s="13"/>
      <c r="R4911" s="13"/>
      <c r="S4911" s="13"/>
      <c r="T4911" s="13"/>
      <c r="U4911" s="13"/>
      <c r="V4911" s="13"/>
      <c r="W4911" s="13"/>
      <c r="X4911" s="13"/>
      <c r="Y4911" s="13"/>
      <c r="Z4911" s="13"/>
    </row>
    <row r="4912" spans="1:26" ht="12" customHeight="1" outlineLevel="4" x14ac:dyDescent="0.2">
      <c r="A4912" s="40" t="s">
        <v>9534</v>
      </c>
      <c r="B4912" s="75" t="s">
        <v>9535</v>
      </c>
      <c r="C4912" s="51"/>
      <c r="D4912" s="54">
        <f t="shared" si="76"/>
        <v>0</v>
      </c>
      <c r="E4912" s="61" t="str">
        <f>HYPERLINK("https://www.sds-group.ru/product/krug-zachistnoy-korallovyy-125x22-2mm-kranz-KR-90-0030/", "Инфо")</f>
        <v>Инфо</v>
      </c>
      <c r="F4912" s="42" t="s">
        <v>39</v>
      </c>
      <c r="G4912" s="41" t="s">
        <v>40</v>
      </c>
      <c r="H4912" s="41"/>
      <c r="I4912" s="41"/>
      <c r="J4912" s="43">
        <v>748</v>
      </c>
      <c r="K4912" s="41" t="s">
        <v>1519</v>
      </c>
      <c r="L4912" s="43">
        <v>1</v>
      </c>
      <c r="M4912" s="43">
        <v>100</v>
      </c>
      <c r="N4912" s="43">
        <v>1</v>
      </c>
      <c r="O4912" s="44">
        <v>711.49</v>
      </c>
      <c r="P4912" s="44">
        <v>583.19000000000005</v>
      </c>
      <c r="Q4912" s="44">
        <v>569.19000000000005</v>
      </c>
      <c r="R4912" s="44">
        <v>466.55</v>
      </c>
      <c r="S4912" s="44">
        <v>483.81</v>
      </c>
      <c r="T4912" s="44">
        <v>396.57</v>
      </c>
      <c r="U4912" s="42"/>
      <c r="V4912" s="42"/>
      <c r="W4912" s="42" t="s">
        <v>40</v>
      </c>
      <c r="X4912" s="45">
        <v>0.12</v>
      </c>
      <c r="Y4912" s="46">
        <v>4.57E-4</v>
      </c>
      <c r="Z4912" s="21">
        <v>4601004316904</v>
      </c>
    </row>
    <row r="4913" spans="1:26" ht="12" customHeight="1" outlineLevel="4" x14ac:dyDescent="0.2">
      <c r="A4913" s="40" t="s">
        <v>9536</v>
      </c>
      <c r="B4913" s="75" t="s">
        <v>9537</v>
      </c>
      <c r="C4913" s="51"/>
      <c r="D4913" s="54">
        <f t="shared" si="76"/>
        <v>0</v>
      </c>
      <c r="E4913" s="61" t="str">
        <f>HYPERLINK("https://www.sds-group.ru/product/krug-zachistnoy-korallovyy-keramik-zerno-iz-keramiki-125xm14-bystraya-ustanovka-adapter-KR-90-0030-1/", "Инфо")</f>
        <v>Инфо</v>
      </c>
      <c r="F4913" s="42" t="s">
        <v>39</v>
      </c>
      <c r="G4913" s="41" t="s">
        <v>40</v>
      </c>
      <c r="H4913" s="41"/>
      <c r="I4913" s="41"/>
      <c r="J4913" s="47">
        <v>1512</v>
      </c>
      <c r="K4913" s="41"/>
      <c r="L4913" s="43">
        <v>1</v>
      </c>
      <c r="M4913" s="43">
        <v>100</v>
      </c>
      <c r="N4913" s="43">
        <v>1</v>
      </c>
      <c r="O4913" s="44">
        <v>1223.08</v>
      </c>
      <c r="P4913" s="44">
        <v>1002.52</v>
      </c>
      <c r="Q4913" s="44">
        <v>978.46</v>
      </c>
      <c r="R4913" s="44">
        <v>802.02</v>
      </c>
      <c r="S4913" s="44">
        <v>831.69</v>
      </c>
      <c r="T4913" s="44">
        <v>681.71</v>
      </c>
      <c r="U4913" s="42"/>
      <c r="V4913" s="42"/>
      <c r="W4913" s="42" t="s">
        <v>40</v>
      </c>
      <c r="X4913" s="45">
        <v>0.21299999999999999</v>
      </c>
      <c r="Y4913" s="46">
        <v>7.3099999999999999E-4</v>
      </c>
      <c r="Z4913" s="21">
        <v>4601004316935</v>
      </c>
    </row>
    <row r="4914" spans="1:26" ht="12" customHeight="1" outlineLevel="4" x14ac:dyDescent="0.2">
      <c r="A4914" s="14" t="s">
        <v>9538</v>
      </c>
      <c r="B4914" s="26" t="s">
        <v>9539</v>
      </c>
      <c r="C4914" s="52"/>
      <c r="D4914" s="55">
        <f t="shared" si="76"/>
        <v>0</v>
      </c>
      <c r="E4914" s="63" t="str">
        <f>HYPERLINK("https://www.sds-group.ru/product/krug-lepestkovyy-tortsevoy-p100-125h22-2mm-kranz-KR-90-0016/", "Инфо")</f>
        <v>Инфо</v>
      </c>
      <c r="F4914" s="16" t="s">
        <v>39</v>
      </c>
      <c r="G4914" s="15"/>
      <c r="H4914" s="15"/>
      <c r="I4914" s="15"/>
      <c r="J4914" s="22">
        <v>2453</v>
      </c>
      <c r="K4914" s="15"/>
      <c r="L4914" s="17">
        <v>5</v>
      </c>
      <c r="M4914" s="17">
        <v>200</v>
      </c>
      <c r="N4914" s="17">
        <v>5</v>
      </c>
      <c r="O4914" s="18">
        <v>142.69999999999999</v>
      </c>
      <c r="P4914" s="18">
        <v>116.97</v>
      </c>
      <c r="Q4914" s="18">
        <v>135.57</v>
      </c>
      <c r="R4914" s="18">
        <v>111.12</v>
      </c>
      <c r="S4914" s="18">
        <v>97.04</v>
      </c>
      <c r="T4914" s="18">
        <v>79.540000000000006</v>
      </c>
      <c r="U4914" s="16"/>
      <c r="V4914" s="16"/>
      <c r="W4914" s="16" t="s">
        <v>40</v>
      </c>
      <c r="X4914" s="19">
        <v>7.6999999999999999E-2</v>
      </c>
      <c r="Y4914" s="20">
        <v>1.8900000000000001E-4</v>
      </c>
      <c r="Z4914" s="21">
        <v>4601004175594</v>
      </c>
    </row>
    <row r="4915" spans="1:26" ht="12" customHeight="1" outlineLevel="4" x14ac:dyDescent="0.2">
      <c r="A4915" s="14" t="s">
        <v>9540</v>
      </c>
      <c r="B4915" s="26" t="s">
        <v>9541</v>
      </c>
      <c r="C4915" s="52"/>
      <c r="D4915" s="55">
        <f t="shared" si="76"/>
        <v>0</v>
      </c>
      <c r="E4915" s="63" t="str">
        <f>HYPERLINK("https://www.sds-group.ru/product/krug-lepestkovyy-tortsevoy-p40-125h22-2mm-kranz-KR-90-0012/", "Инфо")</f>
        <v>Инфо</v>
      </c>
      <c r="F4915" s="16" t="s">
        <v>39</v>
      </c>
      <c r="G4915" s="15"/>
      <c r="H4915" s="15"/>
      <c r="I4915" s="15"/>
      <c r="J4915" s="22">
        <v>5805</v>
      </c>
      <c r="K4915" s="15" t="s">
        <v>1519</v>
      </c>
      <c r="L4915" s="17">
        <v>5</v>
      </c>
      <c r="M4915" s="17">
        <v>200</v>
      </c>
      <c r="N4915" s="17">
        <v>5</v>
      </c>
      <c r="O4915" s="18">
        <v>142.69999999999999</v>
      </c>
      <c r="P4915" s="18">
        <v>116.97</v>
      </c>
      <c r="Q4915" s="18">
        <v>135.57</v>
      </c>
      <c r="R4915" s="18">
        <v>111.12</v>
      </c>
      <c r="S4915" s="18">
        <v>97.04</v>
      </c>
      <c r="T4915" s="18">
        <v>79.540000000000006</v>
      </c>
      <c r="U4915" s="16"/>
      <c r="V4915" s="16"/>
      <c r="W4915" s="16" t="s">
        <v>40</v>
      </c>
      <c r="X4915" s="19">
        <v>9.2999999999999999E-2</v>
      </c>
      <c r="Y4915" s="20">
        <v>2.05E-4</v>
      </c>
      <c r="Z4915" s="21">
        <v>4601004175587</v>
      </c>
    </row>
    <row r="4916" spans="1:26" ht="12" customHeight="1" outlineLevel="4" x14ac:dyDescent="0.2">
      <c r="A4916" s="14" t="s">
        <v>9542</v>
      </c>
      <c r="B4916" s="26" t="s">
        <v>9543</v>
      </c>
      <c r="C4916" s="52"/>
      <c r="D4916" s="55">
        <f t="shared" si="76"/>
        <v>0</v>
      </c>
      <c r="E4916" s="63" t="str">
        <f>HYPERLINK("https://www.sds-group.ru/product/krug-lepestkovyy-tortsevoy-p60-125h22-2mm-kranz-KR-90-0013/", "Инфо")</f>
        <v>Инфо</v>
      </c>
      <c r="F4916" s="16" t="s">
        <v>39</v>
      </c>
      <c r="G4916" s="15"/>
      <c r="H4916" s="15"/>
      <c r="I4916" s="15"/>
      <c r="J4916" s="22">
        <v>6744</v>
      </c>
      <c r="K4916" s="15"/>
      <c r="L4916" s="17">
        <v>5</v>
      </c>
      <c r="M4916" s="17">
        <v>200</v>
      </c>
      <c r="N4916" s="17">
        <v>5</v>
      </c>
      <c r="O4916" s="18">
        <v>142.69999999999999</v>
      </c>
      <c r="P4916" s="18">
        <v>116.97</v>
      </c>
      <c r="Q4916" s="18">
        <v>135.57</v>
      </c>
      <c r="R4916" s="18">
        <v>111.12</v>
      </c>
      <c r="S4916" s="18">
        <v>97.04</v>
      </c>
      <c r="T4916" s="18">
        <v>79.540000000000006</v>
      </c>
      <c r="U4916" s="16"/>
      <c r="V4916" s="16"/>
      <c r="W4916" s="16" t="s">
        <v>40</v>
      </c>
      <c r="X4916" s="19">
        <v>9.1999999999999998E-2</v>
      </c>
      <c r="Y4916" s="20">
        <v>2.03E-4</v>
      </c>
      <c r="Z4916" s="21">
        <v>4601004175570</v>
      </c>
    </row>
    <row r="4917" spans="1:26" ht="12" customHeight="1" outlineLevel="4" x14ac:dyDescent="0.2">
      <c r="A4917" s="14" t="s">
        <v>9544</v>
      </c>
      <c r="B4917" s="26" t="s">
        <v>9545</v>
      </c>
      <c r="C4917" s="52"/>
      <c r="D4917" s="55">
        <f t="shared" si="76"/>
        <v>0</v>
      </c>
      <c r="E4917" s="63" t="str">
        <f>HYPERLINK("https://www.sds-group.ru/product/krug-lepestkovyy-tortsevoy-p80-125h22-2-mm-kranz-KR-90-0014/", "Инфо")</f>
        <v>Инфо</v>
      </c>
      <c r="F4917" s="16" t="s">
        <v>39</v>
      </c>
      <c r="G4917" s="15"/>
      <c r="H4917" s="15"/>
      <c r="I4917" s="15"/>
      <c r="J4917" s="22">
        <v>3863</v>
      </c>
      <c r="K4917" s="15" t="s">
        <v>1519</v>
      </c>
      <c r="L4917" s="17">
        <v>5</v>
      </c>
      <c r="M4917" s="17">
        <v>200</v>
      </c>
      <c r="N4917" s="17">
        <v>5</v>
      </c>
      <c r="O4917" s="18">
        <v>142.69999999999999</v>
      </c>
      <c r="P4917" s="18">
        <v>116.97</v>
      </c>
      <c r="Q4917" s="18">
        <v>135.57</v>
      </c>
      <c r="R4917" s="18">
        <v>111.12</v>
      </c>
      <c r="S4917" s="18">
        <v>97.04</v>
      </c>
      <c r="T4917" s="18">
        <v>79.540000000000006</v>
      </c>
      <c r="U4917" s="16"/>
      <c r="V4917" s="16"/>
      <c r="W4917" s="16" t="s">
        <v>40</v>
      </c>
      <c r="X4917" s="19">
        <v>8.7999999999999995E-2</v>
      </c>
      <c r="Y4917" s="20">
        <v>1.8100000000000001E-4</v>
      </c>
      <c r="Z4917" s="21">
        <v>4601004175563</v>
      </c>
    </row>
    <row r="4918" spans="1:26" ht="12" customHeight="1" outlineLevel="4" x14ac:dyDescent="0.2">
      <c r="A4918" s="14" t="s">
        <v>9546</v>
      </c>
      <c r="B4918" s="26" t="s">
        <v>9547</v>
      </c>
      <c r="C4918" s="52"/>
      <c r="D4918" s="55">
        <f t="shared" si="76"/>
        <v>0</v>
      </c>
      <c r="E4918" s="63" t="str">
        <f>HYPERLINK("https://www.sds-group.ru/product/krug-lepestkovyy-tortsevoy-p120-115h22-2mm-kranz-KR-90-0009/", "Инфо")</f>
        <v>Инфо</v>
      </c>
      <c r="F4918" s="16" t="s">
        <v>39</v>
      </c>
      <c r="G4918" s="15"/>
      <c r="H4918" s="15"/>
      <c r="I4918" s="15"/>
      <c r="J4918" s="17">
        <v>75</v>
      </c>
      <c r="K4918" s="15" t="s">
        <v>1519</v>
      </c>
      <c r="L4918" s="17">
        <v>5</v>
      </c>
      <c r="M4918" s="17">
        <v>200</v>
      </c>
      <c r="N4918" s="17">
        <v>5</v>
      </c>
      <c r="O4918" s="18">
        <v>143.38</v>
      </c>
      <c r="P4918" s="18">
        <v>117.52</v>
      </c>
      <c r="Q4918" s="18">
        <v>136.21</v>
      </c>
      <c r="R4918" s="18">
        <v>111.65</v>
      </c>
      <c r="S4918" s="18">
        <v>97.5</v>
      </c>
      <c r="T4918" s="18">
        <v>79.92</v>
      </c>
      <c r="U4918" s="16"/>
      <c r="V4918" s="16"/>
      <c r="W4918" s="16" t="s">
        <v>40</v>
      </c>
      <c r="X4918" s="19">
        <v>5.8999999999999997E-2</v>
      </c>
      <c r="Y4918" s="20">
        <v>1.1900000000000001E-4</v>
      </c>
      <c r="Z4918" s="21">
        <v>4601004281424</v>
      </c>
    </row>
    <row r="4919" spans="1:26" ht="12" customHeight="1" outlineLevel="4" x14ac:dyDescent="0.2">
      <c r="A4919" s="14" t="s">
        <v>9548</v>
      </c>
      <c r="B4919" s="26" t="s">
        <v>9549</v>
      </c>
      <c r="C4919" s="52"/>
      <c r="D4919" s="55">
        <f t="shared" si="76"/>
        <v>0</v>
      </c>
      <c r="E4919" s="63" t="str">
        <f>HYPERLINK("https://www.sds-group.ru/product/krug-lepestkovyy-tortsevoy-p120-125h22-2mm-kranz-KR-90-0017/", "Инфо")</f>
        <v>Инфо</v>
      </c>
      <c r="F4919" s="16" t="s">
        <v>39</v>
      </c>
      <c r="G4919" s="15"/>
      <c r="H4919" s="15"/>
      <c r="I4919" s="15"/>
      <c r="J4919" s="22">
        <v>2810</v>
      </c>
      <c r="K4919" s="15"/>
      <c r="L4919" s="17">
        <v>5</v>
      </c>
      <c r="M4919" s="17">
        <v>200</v>
      </c>
      <c r="N4919" s="17">
        <v>5</v>
      </c>
      <c r="O4919" s="18">
        <v>152.52000000000001</v>
      </c>
      <c r="P4919" s="18">
        <v>125.02</v>
      </c>
      <c r="Q4919" s="18">
        <v>144.88999999999999</v>
      </c>
      <c r="R4919" s="18">
        <v>118.76</v>
      </c>
      <c r="S4919" s="18">
        <v>103.71</v>
      </c>
      <c r="T4919" s="18">
        <v>85.01</v>
      </c>
      <c r="U4919" s="16"/>
      <c r="V4919" s="16"/>
      <c r="W4919" s="16" t="s">
        <v>40</v>
      </c>
      <c r="X4919" s="19">
        <v>7.3999999999999996E-2</v>
      </c>
      <c r="Y4919" s="20">
        <v>1.7200000000000001E-4</v>
      </c>
      <c r="Z4919" s="21">
        <v>4601004281547</v>
      </c>
    </row>
    <row r="4920" spans="1:26" ht="12" customHeight="1" outlineLevel="4" x14ac:dyDescent="0.2">
      <c r="A4920" s="14" t="s">
        <v>9550</v>
      </c>
      <c r="B4920" s="26" t="s">
        <v>9551</v>
      </c>
      <c r="C4920" s="52"/>
      <c r="D4920" s="55">
        <f t="shared" si="76"/>
        <v>0</v>
      </c>
      <c r="E4920" s="63" t="str">
        <f>HYPERLINK("https://www.sds-group.ru/product/krug-lepestkovyy-tortsevoy-p24-125h22-2mm-kranz-KR-90-0010/", "Инфо")</f>
        <v>Инфо</v>
      </c>
      <c r="F4920" s="16" t="s">
        <v>39</v>
      </c>
      <c r="G4920" s="15"/>
      <c r="H4920" s="15"/>
      <c r="I4920" s="15"/>
      <c r="J4920" s="22">
        <v>3127</v>
      </c>
      <c r="K4920" s="15" t="s">
        <v>1519</v>
      </c>
      <c r="L4920" s="17">
        <v>5</v>
      </c>
      <c r="M4920" s="17">
        <v>200</v>
      </c>
      <c r="N4920" s="17">
        <v>5</v>
      </c>
      <c r="O4920" s="18">
        <v>129.80000000000001</v>
      </c>
      <c r="P4920" s="18">
        <v>106.39</v>
      </c>
      <c r="Q4920" s="18">
        <v>123.31</v>
      </c>
      <c r="R4920" s="18">
        <v>101.07</v>
      </c>
      <c r="S4920" s="18">
        <v>88.26</v>
      </c>
      <c r="T4920" s="18">
        <v>72.34</v>
      </c>
      <c r="U4920" s="16"/>
      <c r="V4920" s="16"/>
      <c r="W4920" s="16" t="s">
        <v>40</v>
      </c>
      <c r="X4920" s="19">
        <v>9.5000000000000001E-2</v>
      </c>
      <c r="Y4920" s="20">
        <v>2.02E-4</v>
      </c>
      <c r="Z4920" s="21">
        <v>4601004281462</v>
      </c>
    </row>
    <row r="4921" spans="1:26" ht="12" customHeight="1" outlineLevel="4" x14ac:dyDescent="0.2">
      <c r="A4921" s="14" t="s">
        <v>9552</v>
      </c>
      <c r="B4921" s="26" t="s">
        <v>9553</v>
      </c>
      <c r="C4921" s="52"/>
      <c r="D4921" s="55">
        <f t="shared" si="76"/>
        <v>0</v>
      </c>
      <c r="E4921" s="63" t="str">
        <f>HYPERLINK("https://www.sds-group.ru/product/krug-lepestkovyy-tortsevoy-p40-115h22-2mm-kranz-KR-90-0005/", "Инфо")</f>
        <v>Инфо</v>
      </c>
      <c r="F4921" s="16" t="s">
        <v>39</v>
      </c>
      <c r="G4921" s="15"/>
      <c r="H4921" s="15"/>
      <c r="I4921" s="15"/>
      <c r="J4921" s="17">
        <v>950</v>
      </c>
      <c r="K4921" s="15"/>
      <c r="L4921" s="17">
        <v>5</v>
      </c>
      <c r="M4921" s="17">
        <v>200</v>
      </c>
      <c r="N4921" s="17">
        <v>5</v>
      </c>
      <c r="O4921" s="18">
        <v>143.38</v>
      </c>
      <c r="P4921" s="18">
        <v>117.52</v>
      </c>
      <c r="Q4921" s="18">
        <v>136.21</v>
      </c>
      <c r="R4921" s="18">
        <v>111.65</v>
      </c>
      <c r="S4921" s="18">
        <v>97.5</v>
      </c>
      <c r="T4921" s="18">
        <v>79.92</v>
      </c>
      <c r="U4921" s="16"/>
      <c r="V4921" s="16"/>
      <c r="W4921" s="16" t="s">
        <v>40</v>
      </c>
      <c r="X4921" s="19">
        <v>7.5999999999999998E-2</v>
      </c>
      <c r="Y4921" s="20">
        <v>1.8000000000000001E-4</v>
      </c>
      <c r="Z4921" s="21">
        <v>4601004281493</v>
      </c>
    </row>
    <row r="4922" spans="1:26" ht="12" customHeight="1" outlineLevel="4" x14ac:dyDescent="0.2">
      <c r="A4922" s="14" t="s">
        <v>9554</v>
      </c>
      <c r="B4922" s="26" t="s">
        <v>9555</v>
      </c>
      <c r="C4922" s="52"/>
      <c r="D4922" s="55">
        <f t="shared" si="76"/>
        <v>0</v>
      </c>
      <c r="E4922" s="63" t="str">
        <f>HYPERLINK("https://www.sds-group.ru/product/krug-lepestkovyy-tortsevoy-p40-180h22-2mm-kranz-KR-90-0021/", "Инфо")</f>
        <v>Инфо</v>
      </c>
      <c r="F4922" s="16" t="s">
        <v>39</v>
      </c>
      <c r="G4922" s="15"/>
      <c r="H4922" s="15"/>
      <c r="I4922" s="15"/>
      <c r="J4922" s="17">
        <v>672</v>
      </c>
      <c r="K4922" s="15"/>
      <c r="L4922" s="17">
        <v>5</v>
      </c>
      <c r="M4922" s="17">
        <v>1</v>
      </c>
      <c r="N4922" s="17">
        <v>5</v>
      </c>
      <c r="O4922" s="18">
        <v>380.42</v>
      </c>
      <c r="P4922" s="18">
        <v>311.82</v>
      </c>
      <c r="Q4922" s="18">
        <v>361.4</v>
      </c>
      <c r="R4922" s="18">
        <v>296.23</v>
      </c>
      <c r="S4922" s="18">
        <v>258.69</v>
      </c>
      <c r="T4922" s="18">
        <v>212.04</v>
      </c>
      <c r="U4922" s="16"/>
      <c r="V4922" s="16"/>
      <c r="W4922" s="16" t="s">
        <v>40</v>
      </c>
      <c r="X4922" s="19">
        <v>0.2</v>
      </c>
      <c r="Y4922" s="20">
        <v>6.3900000000000003E-4</v>
      </c>
      <c r="Z4922" s="21">
        <v>4601004281455</v>
      </c>
    </row>
    <row r="4923" spans="1:26" ht="12" customHeight="1" outlineLevel="4" x14ac:dyDescent="0.2">
      <c r="A4923" s="14" t="s">
        <v>9556</v>
      </c>
      <c r="B4923" s="26" t="s">
        <v>9557</v>
      </c>
      <c r="C4923" s="52"/>
      <c r="D4923" s="55">
        <f t="shared" si="76"/>
        <v>0</v>
      </c>
      <c r="E4923" s="63" t="str">
        <f>HYPERLINK("https://www.sds-group.ru/product/krug-lepestkovyy-tortsevoy-p60-115h22-2mm-kranz-KR-90-0006/", "Инфо")</f>
        <v>Инфо</v>
      </c>
      <c r="F4923" s="16" t="s">
        <v>39</v>
      </c>
      <c r="G4923" s="15"/>
      <c r="H4923" s="15"/>
      <c r="I4923" s="15"/>
      <c r="J4923" s="17">
        <v>759</v>
      </c>
      <c r="K4923" s="15" t="s">
        <v>1519</v>
      </c>
      <c r="L4923" s="17">
        <v>5</v>
      </c>
      <c r="M4923" s="17">
        <v>200</v>
      </c>
      <c r="N4923" s="17">
        <v>5</v>
      </c>
      <c r="O4923" s="18">
        <v>143.38</v>
      </c>
      <c r="P4923" s="18">
        <v>117.52</v>
      </c>
      <c r="Q4923" s="18">
        <v>136.21</v>
      </c>
      <c r="R4923" s="18">
        <v>111.65</v>
      </c>
      <c r="S4923" s="18">
        <v>97.5</v>
      </c>
      <c r="T4923" s="18">
        <v>79.92</v>
      </c>
      <c r="U4923" s="16"/>
      <c r="V4923" s="16"/>
      <c r="W4923" s="16" t="s">
        <v>40</v>
      </c>
      <c r="X4923" s="19">
        <v>7.2999999999999995E-2</v>
      </c>
      <c r="Y4923" s="20">
        <v>1.73E-4</v>
      </c>
      <c r="Z4923" s="21">
        <v>4601004281530</v>
      </c>
    </row>
    <row r="4924" spans="1:26" ht="12" customHeight="1" outlineLevel="4" x14ac:dyDescent="0.2">
      <c r="A4924" s="14" t="s">
        <v>9558</v>
      </c>
      <c r="B4924" s="26" t="s">
        <v>9559</v>
      </c>
      <c r="C4924" s="52"/>
      <c r="D4924" s="55">
        <f t="shared" si="76"/>
        <v>0</v>
      </c>
      <c r="E4924" s="63" t="str">
        <f>HYPERLINK("https://www.sds-group.ru/product/krug-lepestkovyy-tortsevoy-p80-115h22-2mm-kranz-KR-90-0007/", "Инфо")</f>
        <v>Инфо</v>
      </c>
      <c r="F4924" s="16" t="s">
        <v>39</v>
      </c>
      <c r="G4924" s="15"/>
      <c r="H4924" s="15"/>
      <c r="I4924" s="15"/>
      <c r="J4924" s="17">
        <v>659</v>
      </c>
      <c r="K4924" s="15"/>
      <c r="L4924" s="17">
        <v>5</v>
      </c>
      <c r="M4924" s="17">
        <v>200</v>
      </c>
      <c r="N4924" s="17">
        <v>5</v>
      </c>
      <c r="O4924" s="18">
        <v>143.38</v>
      </c>
      <c r="P4924" s="18">
        <v>117.52</v>
      </c>
      <c r="Q4924" s="18">
        <v>136.21</v>
      </c>
      <c r="R4924" s="18">
        <v>111.65</v>
      </c>
      <c r="S4924" s="18">
        <v>97.5</v>
      </c>
      <c r="T4924" s="18">
        <v>79.92</v>
      </c>
      <c r="U4924" s="16"/>
      <c r="V4924" s="16"/>
      <c r="W4924" s="16" t="s">
        <v>40</v>
      </c>
      <c r="X4924" s="19">
        <v>7.0000000000000007E-2</v>
      </c>
      <c r="Y4924" s="20">
        <v>1.6200000000000001E-4</v>
      </c>
      <c r="Z4924" s="21">
        <v>4601004281523</v>
      </c>
    </row>
    <row r="4925" spans="1:26" ht="12" customHeight="1" outlineLevel="4" x14ac:dyDescent="0.2">
      <c r="A4925" s="32" t="s">
        <v>9560</v>
      </c>
      <c r="B4925" s="74" t="s">
        <v>9561</v>
      </c>
      <c r="C4925" s="50"/>
      <c r="D4925" s="53">
        <f t="shared" si="76"/>
        <v>0</v>
      </c>
      <c r="E4925" s="60" t="str">
        <f>HYPERLINK("https://www.sds-group.ru/product/krug-lepestkovyy-tortsevoy-p80-150h22-2mm-kranz-KR-90-0020/", "Инфо")</f>
        <v>Инфо</v>
      </c>
      <c r="F4925" s="34" t="s">
        <v>39</v>
      </c>
      <c r="G4925" s="33"/>
      <c r="H4925" s="33" t="s">
        <v>40</v>
      </c>
      <c r="I4925" s="33"/>
      <c r="J4925" s="34" t="s">
        <v>100</v>
      </c>
      <c r="K4925" s="33"/>
      <c r="L4925" s="35">
        <v>1</v>
      </c>
      <c r="M4925" s="35">
        <v>80</v>
      </c>
      <c r="N4925" s="35">
        <v>1</v>
      </c>
      <c r="O4925" s="36">
        <v>168.49</v>
      </c>
      <c r="P4925" s="36">
        <v>138.11000000000001</v>
      </c>
      <c r="Q4925" s="36">
        <v>117.94</v>
      </c>
      <c r="R4925" s="36">
        <v>96.67</v>
      </c>
      <c r="S4925" s="36">
        <v>114.57</v>
      </c>
      <c r="T4925" s="36">
        <v>93.91</v>
      </c>
      <c r="U4925" s="34"/>
      <c r="V4925" s="34"/>
      <c r="W4925" s="34"/>
      <c r="X4925" s="37">
        <v>0.13600000000000001</v>
      </c>
      <c r="Y4925" s="38">
        <v>2.9100000000000003E-4</v>
      </c>
      <c r="Z4925" s="21">
        <v>4601004281417</v>
      </c>
    </row>
    <row r="4926" spans="1:26" ht="12" customHeight="1" outlineLevel="4" x14ac:dyDescent="0.2">
      <c r="A4926" s="14" t="s">
        <v>9562</v>
      </c>
      <c r="B4926" s="26" t="s">
        <v>9563</v>
      </c>
      <c r="C4926" s="52"/>
      <c r="D4926" s="55">
        <f t="shared" si="76"/>
        <v>0</v>
      </c>
      <c r="E4926" s="63" t="str">
        <f>HYPERLINK("https://www.sds-group.ru/product/krug-lepestkovyy-tortsevoy-p80-180h22-2mm-kranz-KR-90-0023/", "Инфо")</f>
        <v>Инфо</v>
      </c>
      <c r="F4926" s="16" t="s">
        <v>39</v>
      </c>
      <c r="G4926" s="15"/>
      <c r="H4926" s="15"/>
      <c r="I4926" s="15"/>
      <c r="J4926" s="16" t="s">
        <v>100</v>
      </c>
      <c r="K4926" s="15"/>
      <c r="L4926" s="17">
        <v>5</v>
      </c>
      <c r="M4926" s="17">
        <v>1</v>
      </c>
      <c r="N4926" s="17">
        <v>5</v>
      </c>
      <c r="O4926" s="18">
        <v>379.1</v>
      </c>
      <c r="P4926" s="18">
        <v>310.74</v>
      </c>
      <c r="Q4926" s="18">
        <v>360.15</v>
      </c>
      <c r="R4926" s="18">
        <v>295.2</v>
      </c>
      <c r="S4926" s="18">
        <v>257.79000000000002</v>
      </c>
      <c r="T4926" s="18">
        <v>211.3</v>
      </c>
      <c r="U4926" s="16"/>
      <c r="V4926" s="16"/>
      <c r="W4926" s="16" t="s">
        <v>40</v>
      </c>
      <c r="X4926" s="19">
        <v>0.18099999999999999</v>
      </c>
      <c r="Y4926" s="20">
        <v>2.9100000000000003E-4</v>
      </c>
      <c r="Z4926" s="21">
        <v>4601004281479</v>
      </c>
    </row>
    <row r="4927" spans="1:26" ht="12" customHeight="1" outlineLevel="4" x14ac:dyDescent="0.2">
      <c r="A4927" s="40" t="s">
        <v>9564</v>
      </c>
      <c r="B4927" s="75" t="s">
        <v>9565</v>
      </c>
      <c r="C4927" s="51"/>
      <c r="D4927" s="54">
        <f t="shared" si="76"/>
        <v>0</v>
      </c>
      <c r="E4927" s="61" t="str">
        <f>HYPERLINK("https://www.sds-group.ru/product/krug-lepestkovyy-tortsevoy-tsirkonievyy-p100-125h22-2mm-kranz-KR-90-0016-1/", "Инфо")</f>
        <v>Инфо</v>
      </c>
      <c r="F4927" s="42" t="s">
        <v>39</v>
      </c>
      <c r="G4927" s="41" t="s">
        <v>40</v>
      </c>
      <c r="H4927" s="41"/>
      <c r="I4927" s="41"/>
      <c r="J4927" s="47">
        <v>2010</v>
      </c>
      <c r="K4927" s="41" t="s">
        <v>1519</v>
      </c>
      <c r="L4927" s="43">
        <v>5</v>
      </c>
      <c r="M4927" s="43">
        <v>100</v>
      </c>
      <c r="N4927" s="43">
        <v>5</v>
      </c>
      <c r="O4927" s="44">
        <v>204.82</v>
      </c>
      <c r="P4927" s="44">
        <v>167.89</v>
      </c>
      <c r="Q4927" s="44">
        <v>204.82</v>
      </c>
      <c r="R4927" s="44">
        <v>167.89</v>
      </c>
      <c r="S4927" s="44">
        <v>139.28</v>
      </c>
      <c r="T4927" s="44">
        <v>114.16</v>
      </c>
      <c r="U4927" s="42"/>
      <c r="V4927" s="42"/>
      <c r="W4927" s="42" t="s">
        <v>40</v>
      </c>
      <c r="X4927" s="45">
        <v>8.6999999999999994E-2</v>
      </c>
      <c r="Y4927" s="46">
        <v>2.2100000000000001E-4</v>
      </c>
      <c r="Z4927" s="21">
        <v>4601004316881</v>
      </c>
    </row>
    <row r="4928" spans="1:26" ht="12" customHeight="1" outlineLevel="4" x14ac:dyDescent="0.2">
      <c r="A4928" s="40" t="s">
        <v>9566</v>
      </c>
      <c r="B4928" s="75" t="s">
        <v>9567</v>
      </c>
      <c r="C4928" s="51"/>
      <c r="D4928" s="54">
        <f t="shared" si="76"/>
        <v>0</v>
      </c>
      <c r="E4928" s="61" t="str">
        <f>HYPERLINK("https://www.sds-group.ru/product/krug-lepestkovyy-tortsevoy-tsirkonievyy-p120-125h22-2mm-kranz-KR-90-0017-1/", "Инфо")</f>
        <v>Инфо</v>
      </c>
      <c r="F4928" s="42" t="s">
        <v>39</v>
      </c>
      <c r="G4928" s="41" t="s">
        <v>40</v>
      </c>
      <c r="H4928" s="41"/>
      <c r="I4928" s="41"/>
      <c r="J4928" s="47">
        <v>2011</v>
      </c>
      <c r="K4928" s="41" t="s">
        <v>1519</v>
      </c>
      <c r="L4928" s="43">
        <v>5</v>
      </c>
      <c r="M4928" s="43">
        <v>100</v>
      </c>
      <c r="N4928" s="43">
        <v>5</v>
      </c>
      <c r="O4928" s="44">
        <v>207.92</v>
      </c>
      <c r="P4928" s="44">
        <v>170.43</v>
      </c>
      <c r="Q4928" s="44">
        <v>207.92</v>
      </c>
      <c r="R4928" s="44">
        <v>170.43</v>
      </c>
      <c r="S4928" s="44">
        <v>141.38999999999999</v>
      </c>
      <c r="T4928" s="44">
        <v>115.89</v>
      </c>
      <c r="U4928" s="42"/>
      <c r="V4928" s="42"/>
      <c r="W4928" s="42" t="s">
        <v>40</v>
      </c>
      <c r="X4928" s="45">
        <v>8.4000000000000005E-2</v>
      </c>
      <c r="Y4928" s="46">
        <v>2.1699999999999999E-4</v>
      </c>
      <c r="Z4928" s="21">
        <v>4601004316874</v>
      </c>
    </row>
    <row r="4929" spans="1:26" ht="12" customHeight="1" outlineLevel="4" x14ac:dyDescent="0.2">
      <c r="A4929" s="40" t="s">
        <v>9568</v>
      </c>
      <c r="B4929" s="75" t="s">
        <v>9569</v>
      </c>
      <c r="C4929" s="51"/>
      <c r="D4929" s="54">
        <f t="shared" si="76"/>
        <v>0</v>
      </c>
      <c r="E4929" s="61" t="str">
        <f>HYPERLINK("https://www.sds-group.ru/product/krug-lepestkovyy-tortsevoy-tsirkonievyy-p40-125h22-2mm-kranz-KR-90-0012-1/", "Инфо")</f>
        <v>Инфо</v>
      </c>
      <c r="F4929" s="42" t="s">
        <v>39</v>
      </c>
      <c r="G4929" s="41" t="s">
        <v>40</v>
      </c>
      <c r="H4929" s="41"/>
      <c r="I4929" s="41"/>
      <c r="J4929" s="47">
        <v>1405</v>
      </c>
      <c r="K4929" s="41" t="s">
        <v>1519</v>
      </c>
      <c r="L4929" s="43">
        <v>5</v>
      </c>
      <c r="M4929" s="43">
        <v>100</v>
      </c>
      <c r="N4929" s="43">
        <v>5</v>
      </c>
      <c r="O4929" s="44">
        <v>231.78</v>
      </c>
      <c r="P4929" s="44">
        <v>189.98</v>
      </c>
      <c r="Q4929" s="44">
        <v>231.78</v>
      </c>
      <c r="R4929" s="44">
        <v>189.98</v>
      </c>
      <c r="S4929" s="44">
        <v>157.61000000000001</v>
      </c>
      <c r="T4929" s="44">
        <v>129.19</v>
      </c>
      <c r="U4929" s="42"/>
      <c r="V4929" s="42"/>
      <c r="W4929" s="42" t="s">
        <v>40</v>
      </c>
      <c r="X4929" s="45">
        <v>0.10100000000000001</v>
      </c>
      <c r="Y4929" s="46">
        <v>2.52E-4</v>
      </c>
      <c r="Z4929" s="21">
        <v>4601004316911</v>
      </c>
    </row>
    <row r="4930" spans="1:26" ht="12" customHeight="1" outlineLevel="4" x14ac:dyDescent="0.2">
      <c r="A4930" s="40" t="s">
        <v>9570</v>
      </c>
      <c r="B4930" s="75" t="s">
        <v>9571</v>
      </c>
      <c r="C4930" s="51"/>
      <c r="D4930" s="54">
        <f t="shared" si="76"/>
        <v>0</v>
      </c>
      <c r="E4930" s="61" t="str">
        <f>HYPERLINK("https://www.sds-group.ru/product/krug-lepestkovyy-tortsevoy-tsirkonievyy-p60-125h22-2mm-kranz-KR-90-0013-1/", "Инфо")</f>
        <v>Инфо</v>
      </c>
      <c r="F4930" s="42" t="s">
        <v>39</v>
      </c>
      <c r="G4930" s="41" t="s">
        <v>40</v>
      </c>
      <c r="H4930" s="41"/>
      <c r="I4930" s="41"/>
      <c r="J4930" s="47">
        <v>1892</v>
      </c>
      <c r="K4930" s="41"/>
      <c r="L4930" s="43">
        <v>5</v>
      </c>
      <c r="M4930" s="43">
        <v>100</v>
      </c>
      <c r="N4930" s="43">
        <v>5</v>
      </c>
      <c r="O4930" s="44">
        <v>215.6</v>
      </c>
      <c r="P4930" s="44">
        <v>176.72</v>
      </c>
      <c r="Q4930" s="44">
        <v>215.6</v>
      </c>
      <c r="R4930" s="44">
        <v>176.72</v>
      </c>
      <c r="S4930" s="44">
        <v>146.61000000000001</v>
      </c>
      <c r="T4930" s="44">
        <v>120.17</v>
      </c>
      <c r="U4930" s="42"/>
      <c r="V4930" s="42"/>
      <c r="W4930" s="42" t="s">
        <v>40</v>
      </c>
      <c r="X4930" s="45">
        <v>9.9000000000000005E-2</v>
      </c>
      <c r="Y4930" s="46">
        <v>2.3900000000000001E-4</v>
      </c>
      <c r="Z4930" s="21">
        <v>4601004316898</v>
      </c>
    </row>
    <row r="4931" spans="1:26" ht="12" customHeight="1" outlineLevel="4" x14ac:dyDescent="0.2">
      <c r="A4931" s="40" t="s">
        <v>9572</v>
      </c>
      <c r="B4931" s="75" t="s">
        <v>9573</v>
      </c>
      <c r="C4931" s="51"/>
      <c r="D4931" s="54">
        <f t="shared" si="76"/>
        <v>0</v>
      </c>
      <c r="E4931" s="61" t="str">
        <f>HYPERLINK("https://www.sds-group.ru/product/krug-lepestkovyy-tortsevoy-tsirkonievyy-p80-125h22-2mm-kranz-KR-90-0014-1/", "Инфо")</f>
        <v>Инфо</v>
      </c>
      <c r="F4931" s="42" t="s">
        <v>39</v>
      </c>
      <c r="G4931" s="41" t="s">
        <v>40</v>
      </c>
      <c r="H4931" s="41"/>
      <c r="I4931" s="41"/>
      <c r="J4931" s="47">
        <v>1761</v>
      </c>
      <c r="K4931" s="41" t="s">
        <v>1519</v>
      </c>
      <c r="L4931" s="43">
        <v>5</v>
      </c>
      <c r="M4931" s="43">
        <v>100</v>
      </c>
      <c r="N4931" s="43">
        <v>5</v>
      </c>
      <c r="O4931" s="44">
        <v>210.22</v>
      </c>
      <c r="P4931" s="44">
        <v>172.31</v>
      </c>
      <c r="Q4931" s="44">
        <v>210.22</v>
      </c>
      <c r="R4931" s="44">
        <v>172.31</v>
      </c>
      <c r="S4931" s="44">
        <v>142.94999999999999</v>
      </c>
      <c r="T4931" s="44">
        <v>117.17</v>
      </c>
      <c r="U4931" s="42"/>
      <c r="V4931" s="42"/>
      <c r="W4931" s="42" t="s">
        <v>40</v>
      </c>
      <c r="X4931" s="45">
        <v>9.1999999999999998E-2</v>
      </c>
      <c r="Y4931" s="46">
        <v>2.2100000000000001E-4</v>
      </c>
      <c r="Z4931" s="21">
        <v>4601004316867</v>
      </c>
    </row>
    <row r="4932" spans="1:26" ht="12.95" customHeight="1" outlineLevel="3" x14ac:dyDescent="0.2">
      <c r="A4932" s="76" t="s">
        <v>9574</v>
      </c>
      <c r="B4932" s="76"/>
      <c r="C4932" s="77"/>
      <c r="D4932" s="58"/>
      <c r="E4932" s="68"/>
      <c r="F4932" s="13"/>
      <c r="G4932" s="13"/>
      <c r="H4932" s="13"/>
      <c r="I4932" s="13"/>
      <c r="J4932" s="13"/>
      <c r="K4932" s="13"/>
      <c r="L4932" s="13"/>
      <c r="M4932" s="13"/>
      <c r="N4932" s="13"/>
      <c r="O4932" s="13"/>
      <c r="P4932" s="13"/>
      <c r="Q4932" s="13"/>
      <c r="R4932" s="13"/>
      <c r="S4932" s="13"/>
      <c r="T4932" s="13"/>
      <c r="U4932" s="13"/>
      <c r="V4932" s="13"/>
      <c r="W4932" s="13"/>
      <c r="X4932" s="13"/>
      <c r="Y4932" s="13"/>
      <c r="Z4932" s="13"/>
    </row>
    <row r="4933" spans="1:26" ht="12" customHeight="1" outlineLevel="4" x14ac:dyDescent="0.2">
      <c r="A4933" s="14" t="s">
        <v>9575</v>
      </c>
      <c r="B4933" s="26" t="s">
        <v>9576</v>
      </c>
      <c r="C4933" s="52"/>
      <c r="D4933" s="55">
        <f t="shared" si="76"/>
        <v>0</v>
      </c>
      <c r="E4933" s="63" t="str">
        <f>HYPERLINK("https://www.sds-group.ru/product/disk-abrazivnyy-na-vorsovoy-osnove-na-lipuchke-perforirovannyy-p100-125mm-10-sht-kranz-KR-91-1167/", "Инфо")</f>
        <v>Инфо</v>
      </c>
      <c r="F4933" s="16" t="s">
        <v>1001</v>
      </c>
      <c r="G4933" s="15"/>
      <c r="H4933" s="15"/>
      <c r="I4933" s="15"/>
      <c r="J4933" s="22">
        <v>1637</v>
      </c>
      <c r="K4933" s="15" t="s">
        <v>1055</v>
      </c>
      <c r="L4933" s="17">
        <v>5</v>
      </c>
      <c r="M4933" s="17">
        <v>200</v>
      </c>
      <c r="N4933" s="17">
        <v>5</v>
      </c>
      <c r="O4933" s="18">
        <v>139.9</v>
      </c>
      <c r="P4933" s="18">
        <v>114.67</v>
      </c>
      <c r="Q4933" s="18">
        <v>132.91</v>
      </c>
      <c r="R4933" s="18">
        <v>108.94</v>
      </c>
      <c r="S4933" s="18">
        <v>95.13</v>
      </c>
      <c r="T4933" s="18">
        <v>77.98</v>
      </c>
      <c r="U4933" s="16"/>
      <c r="V4933" s="16"/>
      <c r="W4933" s="16" t="s">
        <v>40</v>
      </c>
      <c r="X4933" s="19">
        <v>0.08</v>
      </c>
      <c r="Y4933" s="20">
        <v>2.4399999999999999E-4</v>
      </c>
      <c r="Z4933" s="21">
        <v>4601004282063</v>
      </c>
    </row>
    <row r="4934" spans="1:26" ht="12" customHeight="1" outlineLevel="4" x14ac:dyDescent="0.2">
      <c r="A4934" s="14" t="s">
        <v>9577</v>
      </c>
      <c r="B4934" s="26" t="s">
        <v>9578</v>
      </c>
      <c r="C4934" s="52"/>
      <c r="D4934" s="55">
        <f t="shared" si="76"/>
        <v>0</v>
      </c>
      <c r="E4934" s="63" t="str">
        <f>HYPERLINK("https://www.sds-group.ru/product/disk-abrazivnyy-na-vorsovoy-osnove-na-lipuchke-perforirovannyy-p120-125mm-10-sht-kranz-KR-91-1168/", "Инфо")</f>
        <v>Инфо</v>
      </c>
      <c r="F4934" s="16" t="s">
        <v>1001</v>
      </c>
      <c r="G4934" s="15"/>
      <c r="H4934" s="15"/>
      <c r="I4934" s="15"/>
      <c r="J4934" s="22">
        <v>2000</v>
      </c>
      <c r="K4934" s="15" t="s">
        <v>1055</v>
      </c>
      <c r="L4934" s="17">
        <v>5</v>
      </c>
      <c r="M4934" s="17">
        <v>200</v>
      </c>
      <c r="N4934" s="17">
        <v>5</v>
      </c>
      <c r="O4934" s="18">
        <v>162</v>
      </c>
      <c r="P4934" s="18">
        <v>132.79</v>
      </c>
      <c r="Q4934" s="18">
        <v>153.9</v>
      </c>
      <c r="R4934" s="18">
        <v>126.15</v>
      </c>
      <c r="S4934" s="18">
        <v>110.16</v>
      </c>
      <c r="T4934" s="18">
        <v>90.3</v>
      </c>
      <c r="U4934" s="16"/>
      <c r="V4934" s="16"/>
      <c r="W4934" s="16" t="s">
        <v>40</v>
      </c>
      <c r="X4934" s="19">
        <v>7.2999999999999995E-2</v>
      </c>
      <c r="Y4934" s="20">
        <v>2.52E-4</v>
      </c>
      <c r="Z4934" s="21">
        <v>4601004281592</v>
      </c>
    </row>
    <row r="4935" spans="1:26" ht="12" customHeight="1" outlineLevel="4" x14ac:dyDescent="0.2">
      <c r="A4935" s="14" t="s">
        <v>9579</v>
      </c>
      <c r="B4935" s="26" t="s">
        <v>9580</v>
      </c>
      <c r="C4935" s="52"/>
      <c r="D4935" s="55">
        <f t="shared" si="76"/>
        <v>0</v>
      </c>
      <c r="E4935" s="63" t="str">
        <f>HYPERLINK("https://www.sds-group.ru/product/disk-abrazivnyy-na-vorsovoy-osnove-na-lipuchke-perforirovannyy-p180-125mm-10-sht-kranz-KR-91-1169/", "Инфо")</f>
        <v>Инфо</v>
      </c>
      <c r="F4935" s="16" t="s">
        <v>1001</v>
      </c>
      <c r="G4935" s="15"/>
      <c r="H4935" s="15"/>
      <c r="I4935" s="15"/>
      <c r="J4935" s="22">
        <v>1111</v>
      </c>
      <c r="K4935" s="15" t="s">
        <v>1055</v>
      </c>
      <c r="L4935" s="17">
        <v>5</v>
      </c>
      <c r="M4935" s="17">
        <v>200</v>
      </c>
      <c r="N4935" s="17">
        <v>5</v>
      </c>
      <c r="O4935" s="18">
        <v>151.43</v>
      </c>
      <c r="P4935" s="18">
        <v>124.12</v>
      </c>
      <c r="Q4935" s="18">
        <v>143.86000000000001</v>
      </c>
      <c r="R4935" s="18">
        <v>117.92</v>
      </c>
      <c r="S4935" s="18">
        <v>102.97</v>
      </c>
      <c r="T4935" s="18">
        <v>84.4</v>
      </c>
      <c r="U4935" s="16"/>
      <c r="V4935" s="16"/>
      <c r="W4935" s="16" t="s">
        <v>40</v>
      </c>
      <c r="X4935" s="19">
        <v>6.7000000000000004E-2</v>
      </c>
      <c r="Y4935" s="20">
        <v>2.5300000000000002E-4</v>
      </c>
      <c r="Z4935" s="21">
        <v>4601004282056</v>
      </c>
    </row>
    <row r="4936" spans="1:26" ht="12" customHeight="1" outlineLevel="4" x14ac:dyDescent="0.2">
      <c r="A4936" s="14" t="s">
        <v>9581</v>
      </c>
      <c r="B4936" s="26" t="s">
        <v>9582</v>
      </c>
      <c r="C4936" s="52"/>
      <c r="D4936" s="55">
        <f t="shared" si="76"/>
        <v>0</v>
      </c>
      <c r="E4936" s="63" t="str">
        <f>HYPERLINK("https://www.sds-group.ru/product/disk-abrazivnyy-na-vorsovoy-osnove-na-lipuchke-perforirovannyy-p40-125mm-10-sht-kranz-KR-91-1164/", "Инфо")</f>
        <v>Инфо</v>
      </c>
      <c r="F4936" s="16" t="s">
        <v>1001</v>
      </c>
      <c r="G4936" s="15"/>
      <c r="H4936" s="15"/>
      <c r="I4936" s="15"/>
      <c r="J4936" s="22">
        <v>5551</v>
      </c>
      <c r="K4936" s="15" t="s">
        <v>6930</v>
      </c>
      <c r="L4936" s="17">
        <v>5</v>
      </c>
      <c r="M4936" s="17">
        <v>200</v>
      </c>
      <c r="N4936" s="17">
        <v>5</v>
      </c>
      <c r="O4936" s="18">
        <v>145.1</v>
      </c>
      <c r="P4936" s="18">
        <v>118.93</v>
      </c>
      <c r="Q4936" s="18">
        <v>133.49</v>
      </c>
      <c r="R4936" s="18">
        <v>109.42</v>
      </c>
      <c r="S4936" s="18">
        <v>98.67</v>
      </c>
      <c r="T4936" s="18">
        <v>80.88</v>
      </c>
      <c r="U4936" s="16"/>
      <c r="V4936" s="16"/>
      <c r="W4936" s="16" t="s">
        <v>40</v>
      </c>
      <c r="X4936" s="19">
        <v>0.106</v>
      </c>
      <c r="Y4936" s="20">
        <v>3.0899999999999998E-4</v>
      </c>
      <c r="Z4936" s="21">
        <v>4601004281608</v>
      </c>
    </row>
    <row r="4937" spans="1:26" ht="12" customHeight="1" outlineLevel="4" x14ac:dyDescent="0.2">
      <c r="A4937" s="14" t="s">
        <v>9583</v>
      </c>
      <c r="B4937" s="26" t="s">
        <v>9584</v>
      </c>
      <c r="C4937" s="52"/>
      <c r="D4937" s="55">
        <f t="shared" ref="D4937:D5000" si="77">C4937*(O4937-O4937*$G$3)</f>
        <v>0</v>
      </c>
      <c r="E4937" s="63" t="str">
        <f>HYPERLINK("https://www.sds-group.ru/product/disk-abrazivnyy-na-vorsovoy-osnove-na-lipuchke-perforirovannyy-p60-125mm-10-sht-kranz-KR-91-1165/", "Инфо")</f>
        <v>Инфо</v>
      </c>
      <c r="F4937" s="16" t="s">
        <v>1001</v>
      </c>
      <c r="G4937" s="15"/>
      <c r="H4937" s="15"/>
      <c r="I4937" s="15"/>
      <c r="J4937" s="22">
        <v>3570</v>
      </c>
      <c r="K4937" s="15" t="s">
        <v>1055</v>
      </c>
      <c r="L4937" s="17">
        <v>5</v>
      </c>
      <c r="M4937" s="17">
        <v>200</v>
      </c>
      <c r="N4937" s="17">
        <v>5</v>
      </c>
      <c r="O4937" s="18">
        <v>136.32</v>
      </c>
      <c r="P4937" s="18">
        <v>111.74</v>
      </c>
      <c r="Q4937" s="18">
        <v>129.5</v>
      </c>
      <c r="R4937" s="18">
        <v>106.15</v>
      </c>
      <c r="S4937" s="18">
        <v>92.7</v>
      </c>
      <c r="T4937" s="18">
        <v>75.98</v>
      </c>
      <c r="U4937" s="16"/>
      <c r="V4937" s="16"/>
      <c r="W4937" s="16" t="s">
        <v>40</v>
      </c>
      <c r="X4937" s="19">
        <v>9.5000000000000001E-2</v>
      </c>
      <c r="Y4937" s="20">
        <v>3.1100000000000002E-4</v>
      </c>
      <c r="Z4937" s="21">
        <v>4601004281578</v>
      </c>
    </row>
    <row r="4938" spans="1:26" ht="12" customHeight="1" outlineLevel="4" x14ac:dyDescent="0.2">
      <c r="A4938" s="14" t="s">
        <v>9585</v>
      </c>
      <c r="B4938" s="26" t="s">
        <v>9586</v>
      </c>
      <c r="C4938" s="52"/>
      <c r="D4938" s="55">
        <f t="shared" si="77"/>
        <v>0</v>
      </c>
      <c r="E4938" s="63" t="str">
        <f>HYPERLINK("https://www.sds-group.ru/product/disk-abrazivnyy-na-vorsovoy-osnove-na-lipuchke-perforirovannyy-p80-125mm-10-sht-kranz-KR-91-1166/", "Инфо")</f>
        <v>Инфо</v>
      </c>
      <c r="F4938" s="16" t="s">
        <v>1001</v>
      </c>
      <c r="G4938" s="15"/>
      <c r="H4938" s="15"/>
      <c r="I4938" s="15"/>
      <c r="J4938" s="16" t="s">
        <v>100</v>
      </c>
      <c r="K4938" s="15" t="s">
        <v>1055</v>
      </c>
      <c r="L4938" s="17">
        <v>5</v>
      </c>
      <c r="M4938" s="17">
        <v>200</v>
      </c>
      <c r="N4938" s="17">
        <v>5</v>
      </c>
      <c r="O4938" s="18">
        <v>135.86000000000001</v>
      </c>
      <c r="P4938" s="18">
        <v>111.36</v>
      </c>
      <c r="Q4938" s="18">
        <v>126.35</v>
      </c>
      <c r="R4938" s="18">
        <v>103.57</v>
      </c>
      <c r="S4938" s="18">
        <v>92.38</v>
      </c>
      <c r="T4938" s="18">
        <v>75.72</v>
      </c>
      <c r="U4938" s="16"/>
      <c r="V4938" s="16"/>
      <c r="W4938" s="16" t="s">
        <v>40</v>
      </c>
      <c r="X4938" s="19">
        <v>8.2000000000000003E-2</v>
      </c>
      <c r="Y4938" s="20">
        <v>7.1000000000000002E-4</v>
      </c>
      <c r="Z4938" s="21">
        <v>4601004281554</v>
      </c>
    </row>
    <row r="4939" spans="1:26" ht="12" customHeight="1" outlineLevel="4" x14ac:dyDescent="0.2">
      <c r="A4939" s="40" t="s">
        <v>9587</v>
      </c>
      <c r="B4939" s="75" t="s">
        <v>9588</v>
      </c>
      <c r="C4939" s="51"/>
      <c r="D4939" s="54">
        <f t="shared" si="77"/>
        <v>0</v>
      </c>
      <c r="E4939" s="61" t="str">
        <f>HYPERLINK("https://www.sds-group.ru/product/disk-shlifovalnyy-na-setchatoy-osnove-125-mm-r100-5-sht-kranz-KR-90-0042/", "Инфо")</f>
        <v>Инфо</v>
      </c>
      <c r="F4939" s="42" t="s">
        <v>1001</v>
      </c>
      <c r="G4939" s="41" t="s">
        <v>40</v>
      </c>
      <c r="H4939" s="41"/>
      <c r="I4939" s="41"/>
      <c r="J4939" s="47">
        <v>1877</v>
      </c>
      <c r="K4939" s="41" t="s">
        <v>1519</v>
      </c>
      <c r="L4939" s="43">
        <v>5</v>
      </c>
      <c r="M4939" s="43">
        <v>100</v>
      </c>
      <c r="N4939" s="43">
        <v>5</v>
      </c>
      <c r="O4939" s="44">
        <v>328.8</v>
      </c>
      <c r="P4939" s="44">
        <v>269.51</v>
      </c>
      <c r="Q4939" s="44">
        <v>322.22000000000003</v>
      </c>
      <c r="R4939" s="44">
        <v>264.11</v>
      </c>
      <c r="S4939" s="44">
        <v>223.58</v>
      </c>
      <c r="T4939" s="44">
        <v>183.26</v>
      </c>
      <c r="U4939" s="42"/>
      <c r="V4939" s="42"/>
      <c r="W4939" s="42" t="s">
        <v>40</v>
      </c>
      <c r="X4939" s="45">
        <v>4.7E-2</v>
      </c>
      <c r="Y4939" s="46">
        <v>2.5900000000000001E-4</v>
      </c>
      <c r="Z4939" s="21">
        <v>4601004321236</v>
      </c>
    </row>
    <row r="4940" spans="1:26" ht="12" customHeight="1" outlineLevel="4" x14ac:dyDescent="0.2">
      <c r="A4940" s="40" t="s">
        <v>9589</v>
      </c>
      <c r="B4940" s="75" t="s">
        <v>9590</v>
      </c>
      <c r="C4940" s="51"/>
      <c r="D4940" s="54">
        <f t="shared" si="77"/>
        <v>0</v>
      </c>
      <c r="E4940" s="61" t="str">
        <f>HYPERLINK("https://www.sds-group.ru/product/disk-shlifovalnyy-na-setchatoy-osnove-125-mm-r120-5-sht-kranz-KR-90-0043/", "Инфо")</f>
        <v>Инфо</v>
      </c>
      <c r="F4940" s="42" t="s">
        <v>1001</v>
      </c>
      <c r="G4940" s="41" t="s">
        <v>40</v>
      </c>
      <c r="H4940" s="41"/>
      <c r="I4940" s="41"/>
      <c r="J4940" s="47">
        <v>1329</v>
      </c>
      <c r="K4940" s="41" t="s">
        <v>1519</v>
      </c>
      <c r="L4940" s="43">
        <v>5</v>
      </c>
      <c r="M4940" s="43">
        <v>100</v>
      </c>
      <c r="N4940" s="43">
        <v>5</v>
      </c>
      <c r="O4940" s="44">
        <v>339.58</v>
      </c>
      <c r="P4940" s="44">
        <v>278.33999999999997</v>
      </c>
      <c r="Q4940" s="44">
        <v>288.64</v>
      </c>
      <c r="R4940" s="44">
        <v>236.59</v>
      </c>
      <c r="S4940" s="44">
        <v>230.91</v>
      </c>
      <c r="T4940" s="44">
        <v>189.27</v>
      </c>
      <c r="U4940" s="42"/>
      <c r="V4940" s="42"/>
      <c r="W4940" s="42" t="s">
        <v>40</v>
      </c>
      <c r="X4940" s="45">
        <v>4.1000000000000002E-2</v>
      </c>
      <c r="Y4940" s="46">
        <v>2.63E-4</v>
      </c>
      <c r="Z4940" s="21">
        <v>4601004321243</v>
      </c>
    </row>
    <row r="4941" spans="1:26" ht="12" customHeight="1" outlineLevel="4" x14ac:dyDescent="0.2">
      <c r="A4941" s="40" t="s">
        <v>9591</v>
      </c>
      <c r="B4941" s="75" t="s">
        <v>9592</v>
      </c>
      <c r="C4941" s="51"/>
      <c r="D4941" s="54">
        <f t="shared" si="77"/>
        <v>0</v>
      </c>
      <c r="E4941" s="61" t="str">
        <f>HYPERLINK("https://www.sds-group.ru/product/disk-shlifovalnyy-na-setchatoy-osnove-125-mm-r180-5-sht-kranz-KR-90-0044/", "Инфо")</f>
        <v>Инфо</v>
      </c>
      <c r="F4941" s="42" t="s">
        <v>1001</v>
      </c>
      <c r="G4941" s="41" t="s">
        <v>40</v>
      </c>
      <c r="H4941" s="41"/>
      <c r="I4941" s="41"/>
      <c r="J4941" s="47">
        <v>1518</v>
      </c>
      <c r="K4941" s="41" t="s">
        <v>1519</v>
      </c>
      <c r="L4941" s="43">
        <v>5</v>
      </c>
      <c r="M4941" s="43">
        <v>100</v>
      </c>
      <c r="N4941" s="43">
        <v>5</v>
      </c>
      <c r="O4941" s="44">
        <v>305.08</v>
      </c>
      <c r="P4941" s="44">
        <v>250.07</v>
      </c>
      <c r="Q4941" s="44">
        <v>283.72000000000003</v>
      </c>
      <c r="R4941" s="44">
        <v>232.56</v>
      </c>
      <c r="S4941" s="44">
        <v>207.45</v>
      </c>
      <c r="T4941" s="44">
        <v>170.04</v>
      </c>
      <c r="U4941" s="42"/>
      <c r="V4941" s="42"/>
      <c r="W4941" s="42" t="s">
        <v>40</v>
      </c>
      <c r="X4941" s="45">
        <v>3.5000000000000003E-2</v>
      </c>
      <c r="Y4941" s="46">
        <v>2.6600000000000001E-4</v>
      </c>
      <c r="Z4941" s="21">
        <v>4601004321281</v>
      </c>
    </row>
    <row r="4942" spans="1:26" ht="12" customHeight="1" outlineLevel="4" x14ac:dyDescent="0.2">
      <c r="A4942" s="40" t="s">
        <v>9593</v>
      </c>
      <c r="B4942" s="75" t="s">
        <v>9594</v>
      </c>
      <c r="C4942" s="51"/>
      <c r="D4942" s="54">
        <f t="shared" si="77"/>
        <v>0</v>
      </c>
      <c r="E4942" s="61" t="str">
        <f>HYPERLINK("https://www.sds-group.ru/product/disk-shlifovalnyy-na-setchatoy-osnove-125-mm-r240-5-sht-kranz-KR-90-0045/", "Инфо")</f>
        <v>Инфо</v>
      </c>
      <c r="F4942" s="42" t="s">
        <v>1001</v>
      </c>
      <c r="G4942" s="41" t="s">
        <v>40</v>
      </c>
      <c r="H4942" s="41"/>
      <c r="I4942" s="41"/>
      <c r="J4942" s="47">
        <v>1018</v>
      </c>
      <c r="K4942" s="41" t="s">
        <v>1519</v>
      </c>
      <c r="L4942" s="43">
        <v>5</v>
      </c>
      <c r="M4942" s="43">
        <v>100</v>
      </c>
      <c r="N4942" s="43">
        <v>5</v>
      </c>
      <c r="O4942" s="44">
        <v>296.45999999999998</v>
      </c>
      <c r="P4942" s="44">
        <v>243</v>
      </c>
      <c r="Q4942" s="44">
        <v>272.74</v>
      </c>
      <c r="R4942" s="44">
        <v>223.56</v>
      </c>
      <c r="S4942" s="44">
        <v>201.59</v>
      </c>
      <c r="T4942" s="44">
        <v>165.24</v>
      </c>
      <c r="U4942" s="42"/>
      <c r="V4942" s="42"/>
      <c r="W4942" s="42" t="s">
        <v>40</v>
      </c>
      <c r="X4942" s="45">
        <v>3.3000000000000002E-2</v>
      </c>
      <c r="Y4942" s="46">
        <v>2.6400000000000002E-4</v>
      </c>
      <c r="Z4942" s="21">
        <v>4601004321212</v>
      </c>
    </row>
    <row r="4943" spans="1:26" ht="12" customHeight="1" outlineLevel="4" x14ac:dyDescent="0.2">
      <c r="A4943" s="40" t="s">
        <v>9595</v>
      </c>
      <c r="B4943" s="75" t="s">
        <v>9596</v>
      </c>
      <c r="C4943" s="51"/>
      <c r="D4943" s="54">
        <f t="shared" si="77"/>
        <v>0</v>
      </c>
      <c r="E4943" s="61" t="str">
        <f>HYPERLINK("https://www.sds-group.ru/product/disk-shlifovalnyy-na-setchatoy-osnove-125-mm-r320-5-sht-kranz-KR-90-0046/", "Инфо")</f>
        <v>Инфо</v>
      </c>
      <c r="F4943" s="42" t="s">
        <v>1001</v>
      </c>
      <c r="G4943" s="41" t="s">
        <v>40</v>
      </c>
      <c r="H4943" s="41"/>
      <c r="I4943" s="41"/>
      <c r="J4943" s="47">
        <v>1519</v>
      </c>
      <c r="K4943" s="41" t="s">
        <v>1519</v>
      </c>
      <c r="L4943" s="43">
        <v>5</v>
      </c>
      <c r="M4943" s="43">
        <v>100</v>
      </c>
      <c r="N4943" s="43">
        <v>5</v>
      </c>
      <c r="O4943" s="44">
        <v>301.85000000000002</v>
      </c>
      <c r="P4943" s="44">
        <v>247.42</v>
      </c>
      <c r="Q4943" s="44">
        <v>280.72000000000003</v>
      </c>
      <c r="R4943" s="44">
        <v>230.1</v>
      </c>
      <c r="S4943" s="44">
        <v>205.26</v>
      </c>
      <c r="T4943" s="44">
        <v>168.25</v>
      </c>
      <c r="U4943" s="42"/>
      <c r="V4943" s="42"/>
      <c r="W4943" s="42" t="s">
        <v>40</v>
      </c>
      <c r="X4943" s="45">
        <v>3.1E-2</v>
      </c>
      <c r="Y4943" s="46">
        <v>2.6600000000000001E-4</v>
      </c>
      <c r="Z4943" s="21">
        <v>4601004321274</v>
      </c>
    </row>
    <row r="4944" spans="1:26" ht="12" customHeight="1" outlineLevel="4" x14ac:dyDescent="0.2">
      <c r="A4944" s="40" t="s">
        <v>9597</v>
      </c>
      <c r="B4944" s="75" t="s">
        <v>9598</v>
      </c>
      <c r="C4944" s="51"/>
      <c r="D4944" s="54">
        <f t="shared" si="77"/>
        <v>0</v>
      </c>
      <c r="E4944" s="61" t="str">
        <f>HYPERLINK("https://www.sds-group.ru/product/disk-shlifovalnyy-na-setchatoy-osnove-125-mm-r400-5-sht-kranz-KR-90-0047/", "Инфо")</f>
        <v>Инфо</v>
      </c>
      <c r="F4944" s="42" t="s">
        <v>1001</v>
      </c>
      <c r="G4944" s="41" t="s">
        <v>40</v>
      </c>
      <c r="H4944" s="41"/>
      <c r="I4944" s="41"/>
      <c r="J4944" s="47">
        <v>1389</v>
      </c>
      <c r="K4944" s="41" t="s">
        <v>1519</v>
      </c>
      <c r="L4944" s="43">
        <v>5</v>
      </c>
      <c r="M4944" s="43">
        <v>100</v>
      </c>
      <c r="N4944" s="43">
        <v>5</v>
      </c>
      <c r="O4944" s="44">
        <v>307.24</v>
      </c>
      <c r="P4944" s="44">
        <v>251.84</v>
      </c>
      <c r="Q4944" s="44">
        <v>291.88</v>
      </c>
      <c r="R4944" s="44">
        <v>239.25</v>
      </c>
      <c r="S4944" s="44">
        <v>208.92</v>
      </c>
      <c r="T4944" s="44">
        <v>171.25</v>
      </c>
      <c r="U4944" s="42"/>
      <c r="V4944" s="42"/>
      <c r="W4944" s="42" t="s">
        <v>40</v>
      </c>
      <c r="X4944" s="45">
        <v>3.2000000000000001E-2</v>
      </c>
      <c r="Y4944" s="46">
        <v>2.7099999999999997E-4</v>
      </c>
      <c r="Z4944" s="21">
        <v>4601004321267</v>
      </c>
    </row>
    <row r="4945" spans="1:26" ht="12" customHeight="1" outlineLevel="4" x14ac:dyDescent="0.2">
      <c r="A4945" s="40" t="s">
        <v>9599</v>
      </c>
      <c r="B4945" s="75" t="s">
        <v>9600</v>
      </c>
      <c r="C4945" s="51"/>
      <c r="D4945" s="54">
        <f t="shared" si="77"/>
        <v>0</v>
      </c>
      <c r="E4945" s="61" t="str">
        <f>HYPERLINK("https://www.sds-group.ru/product/disk-shlifovalnyy-na-setchatoy-osnove-125-mm-r60-5-sht-kranz-KR-90-0040/", "Инфо")</f>
        <v>Инфо</v>
      </c>
      <c r="F4945" s="42" t="s">
        <v>1001</v>
      </c>
      <c r="G4945" s="41" t="s">
        <v>40</v>
      </c>
      <c r="H4945" s="41"/>
      <c r="I4945" s="41"/>
      <c r="J4945" s="47">
        <v>1974</v>
      </c>
      <c r="K4945" s="41" t="s">
        <v>1519</v>
      </c>
      <c r="L4945" s="43">
        <v>5</v>
      </c>
      <c r="M4945" s="43">
        <v>100</v>
      </c>
      <c r="N4945" s="43">
        <v>5</v>
      </c>
      <c r="O4945" s="44">
        <v>323.41000000000003</v>
      </c>
      <c r="P4945" s="44">
        <v>265.08999999999997</v>
      </c>
      <c r="Q4945" s="44">
        <v>323.41000000000003</v>
      </c>
      <c r="R4945" s="44">
        <v>265.08999999999997</v>
      </c>
      <c r="S4945" s="44">
        <v>219.92</v>
      </c>
      <c r="T4945" s="44">
        <v>180.26</v>
      </c>
      <c r="U4945" s="42"/>
      <c r="V4945" s="42"/>
      <c r="W4945" s="42" t="s">
        <v>40</v>
      </c>
      <c r="X4945" s="45">
        <v>4.2000000000000003E-2</v>
      </c>
      <c r="Y4945" s="46">
        <v>2.7E-4</v>
      </c>
      <c r="Z4945" s="21">
        <v>4601004321250</v>
      </c>
    </row>
    <row r="4946" spans="1:26" ht="12" customHeight="1" outlineLevel="4" x14ac:dyDescent="0.2">
      <c r="A4946" s="40" t="s">
        <v>9601</v>
      </c>
      <c r="B4946" s="75" t="s">
        <v>9602</v>
      </c>
      <c r="C4946" s="51"/>
      <c r="D4946" s="54">
        <f t="shared" si="77"/>
        <v>0</v>
      </c>
      <c r="E4946" s="61" t="str">
        <f>HYPERLINK("https://www.sds-group.ru/product/disk-shlifovalnyy-na-setchatoy-osnove-125-mm-r80-5-sht-kranz-KR-90-0041/", "Инфо")</f>
        <v>Инфо</v>
      </c>
      <c r="F4946" s="42" t="s">
        <v>1001</v>
      </c>
      <c r="G4946" s="41" t="s">
        <v>40</v>
      </c>
      <c r="H4946" s="41"/>
      <c r="I4946" s="41"/>
      <c r="J4946" s="47">
        <v>1882</v>
      </c>
      <c r="K4946" s="41" t="s">
        <v>1519</v>
      </c>
      <c r="L4946" s="43">
        <v>5</v>
      </c>
      <c r="M4946" s="43">
        <v>100</v>
      </c>
      <c r="N4946" s="43">
        <v>5</v>
      </c>
      <c r="O4946" s="44">
        <v>323.41000000000003</v>
      </c>
      <c r="P4946" s="44">
        <v>265.08999999999997</v>
      </c>
      <c r="Q4946" s="44">
        <v>307.24</v>
      </c>
      <c r="R4946" s="44">
        <v>251.84</v>
      </c>
      <c r="S4946" s="44">
        <v>219.92</v>
      </c>
      <c r="T4946" s="44">
        <v>180.26</v>
      </c>
      <c r="U4946" s="42"/>
      <c r="V4946" s="42"/>
      <c r="W4946" s="42" t="s">
        <v>40</v>
      </c>
      <c r="X4946" s="45">
        <v>4.8000000000000001E-2</v>
      </c>
      <c r="Y4946" s="46">
        <v>2.6699999999999998E-4</v>
      </c>
      <c r="Z4946" s="21">
        <v>4601004321229</v>
      </c>
    </row>
    <row r="4947" spans="1:26" ht="12.95" customHeight="1" outlineLevel="3" x14ac:dyDescent="0.2">
      <c r="A4947" s="76" t="s">
        <v>9603</v>
      </c>
      <c r="B4947" s="76"/>
      <c r="C4947" s="77"/>
      <c r="D4947" s="58"/>
      <c r="E4947" s="68"/>
      <c r="F4947" s="13"/>
      <c r="G4947" s="13"/>
      <c r="H4947" s="13"/>
      <c r="I4947" s="13"/>
      <c r="J4947" s="13"/>
      <c r="K4947" s="13"/>
      <c r="L4947" s="13"/>
      <c r="M4947" s="13"/>
      <c r="N4947" s="13"/>
      <c r="O4947" s="13"/>
      <c r="P4947" s="13"/>
      <c r="Q4947" s="13"/>
      <c r="R4947" s="13"/>
      <c r="S4947" s="13"/>
      <c r="T4947" s="13"/>
      <c r="U4947" s="13"/>
      <c r="V4947" s="13"/>
      <c r="W4947" s="13"/>
      <c r="X4947" s="13"/>
      <c r="Y4947" s="13"/>
      <c r="Z4947" s="13"/>
    </row>
    <row r="4948" spans="1:26" ht="12" customHeight="1" outlineLevel="4" x14ac:dyDescent="0.2">
      <c r="A4948" s="14" t="s">
        <v>9604</v>
      </c>
      <c r="B4948" s="26" t="s">
        <v>9605</v>
      </c>
      <c r="C4948" s="52"/>
      <c r="D4948" s="55">
        <f t="shared" si="77"/>
        <v>0</v>
      </c>
      <c r="E4948" s="63" t="str">
        <f>HYPERLINK("https://www.sds-group.ru/product/disk-abrazivnyy-na-vorsovoy-osnove-na-lipuchke-bez-otverstiy-p100-125mm-10-sht-kranz-KR-91-1147/", "Инфо")</f>
        <v>Инфо</v>
      </c>
      <c r="F4948" s="16" t="s">
        <v>1001</v>
      </c>
      <c r="G4948" s="15"/>
      <c r="H4948" s="15"/>
      <c r="I4948" s="15"/>
      <c r="J4948" s="16" t="s">
        <v>100</v>
      </c>
      <c r="K4948" s="15" t="s">
        <v>1055</v>
      </c>
      <c r="L4948" s="17">
        <v>5</v>
      </c>
      <c r="M4948" s="17">
        <v>200</v>
      </c>
      <c r="N4948" s="17">
        <v>5</v>
      </c>
      <c r="O4948" s="18">
        <v>161.69999999999999</v>
      </c>
      <c r="P4948" s="18">
        <v>132.54</v>
      </c>
      <c r="Q4948" s="18">
        <v>153.62</v>
      </c>
      <c r="R4948" s="18">
        <v>125.92</v>
      </c>
      <c r="S4948" s="18">
        <v>109.96</v>
      </c>
      <c r="T4948" s="18">
        <v>90.13</v>
      </c>
      <c r="U4948" s="16"/>
      <c r="V4948" s="16"/>
      <c r="W4948" s="16" t="s">
        <v>40</v>
      </c>
      <c r="X4948" s="19">
        <v>9.1999999999999998E-2</v>
      </c>
      <c r="Y4948" s="20">
        <v>2.63E-4</v>
      </c>
      <c r="Z4948" s="21">
        <v>4601004175556</v>
      </c>
    </row>
    <row r="4949" spans="1:26" ht="12" customHeight="1" outlineLevel="4" x14ac:dyDescent="0.2">
      <c r="A4949" s="14" t="s">
        <v>9606</v>
      </c>
      <c r="B4949" s="26" t="s">
        <v>9607</v>
      </c>
      <c r="C4949" s="52"/>
      <c r="D4949" s="55">
        <f t="shared" si="77"/>
        <v>0</v>
      </c>
      <c r="E4949" s="63" t="str">
        <f>HYPERLINK("https://www.sds-group.ru/product/disk-abrazivnyy-na-vorsovoy-osnove-na-lipuchke-bez-otverstiy-p120-125mm-10-sht-kranz-KR-91-1148/", "Инфо")</f>
        <v>Инфо</v>
      </c>
      <c r="F4949" s="16" t="s">
        <v>1001</v>
      </c>
      <c r="G4949" s="15"/>
      <c r="H4949" s="15"/>
      <c r="I4949" s="15"/>
      <c r="J4949" s="22">
        <v>2037</v>
      </c>
      <c r="K4949" s="15" t="s">
        <v>6930</v>
      </c>
      <c r="L4949" s="17">
        <v>5</v>
      </c>
      <c r="M4949" s="17">
        <v>200</v>
      </c>
      <c r="N4949" s="17">
        <v>5</v>
      </c>
      <c r="O4949" s="18">
        <v>161.69999999999999</v>
      </c>
      <c r="P4949" s="18">
        <v>132.54</v>
      </c>
      <c r="Q4949" s="18">
        <v>153.62</v>
      </c>
      <c r="R4949" s="18">
        <v>125.92</v>
      </c>
      <c r="S4949" s="18">
        <v>109.96</v>
      </c>
      <c r="T4949" s="18">
        <v>90.13</v>
      </c>
      <c r="U4949" s="16"/>
      <c r="V4949" s="16"/>
      <c r="W4949" s="16" t="s">
        <v>40</v>
      </c>
      <c r="X4949" s="19">
        <v>7.9000000000000001E-2</v>
      </c>
      <c r="Y4949" s="20">
        <v>2.5700000000000001E-4</v>
      </c>
      <c r="Z4949" s="21">
        <v>4601004175549</v>
      </c>
    </row>
    <row r="4950" spans="1:26" ht="12" customHeight="1" outlineLevel="4" x14ac:dyDescent="0.2">
      <c r="A4950" s="14" t="s">
        <v>9608</v>
      </c>
      <c r="B4950" s="26" t="s">
        <v>9609</v>
      </c>
      <c r="C4950" s="52"/>
      <c r="D4950" s="55">
        <f t="shared" si="77"/>
        <v>0</v>
      </c>
      <c r="E4950" s="63" t="str">
        <f>HYPERLINK("https://www.sds-group.ru/product/disk-abrazivnyy-na-vorsovoy-osnove-na-lipuchke-bez-otverstiy-p150-125mm-10-sht-kranz-KR-91-1149/", "Инфо")</f>
        <v>Инфо</v>
      </c>
      <c r="F4950" s="16" t="s">
        <v>1001</v>
      </c>
      <c r="G4950" s="15"/>
      <c r="H4950" s="15"/>
      <c r="I4950" s="15"/>
      <c r="J4950" s="22">
        <v>1399</v>
      </c>
      <c r="K4950" s="15" t="s">
        <v>1055</v>
      </c>
      <c r="L4950" s="17">
        <v>5</v>
      </c>
      <c r="M4950" s="17">
        <v>200</v>
      </c>
      <c r="N4950" s="17">
        <v>5</v>
      </c>
      <c r="O4950" s="18">
        <v>161.69999999999999</v>
      </c>
      <c r="P4950" s="18">
        <v>132.54</v>
      </c>
      <c r="Q4950" s="18">
        <v>153.62</v>
      </c>
      <c r="R4950" s="18">
        <v>125.92</v>
      </c>
      <c r="S4950" s="18">
        <v>109.96</v>
      </c>
      <c r="T4950" s="18">
        <v>90.13</v>
      </c>
      <c r="U4950" s="16"/>
      <c r="V4950" s="16"/>
      <c r="W4950" s="16" t="s">
        <v>40</v>
      </c>
      <c r="X4950" s="19">
        <v>7.0999999999999994E-2</v>
      </c>
      <c r="Y4950" s="20">
        <v>2.9599999999999998E-4</v>
      </c>
      <c r="Z4950" s="21">
        <v>4601004281622</v>
      </c>
    </row>
    <row r="4951" spans="1:26" ht="12" customHeight="1" outlineLevel="4" x14ac:dyDescent="0.2">
      <c r="A4951" s="14" t="s">
        <v>9610</v>
      </c>
      <c r="B4951" s="26" t="s">
        <v>9611</v>
      </c>
      <c r="C4951" s="52"/>
      <c r="D4951" s="55">
        <f t="shared" si="77"/>
        <v>0</v>
      </c>
      <c r="E4951" s="63" t="str">
        <f>HYPERLINK("https://www.sds-group.ru/product/disk-abrazivnyy-na-vorsovoy-osnove-na-lipuchke-bez-otverstiy-p220-125mm-10-sht-kranz-KR-91-1154/", "Инфо")</f>
        <v>Инфо</v>
      </c>
      <c r="F4951" s="16" t="s">
        <v>1001</v>
      </c>
      <c r="G4951" s="15"/>
      <c r="H4951" s="15"/>
      <c r="I4951" s="15"/>
      <c r="J4951" s="17">
        <v>151</v>
      </c>
      <c r="K4951" s="15" t="s">
        <v>6930</v>
      </c>
      <c r="L4951" s="17">
        <v>5</v>
      </c>
      <c r="M4951" s="17">
        <v>200</v>
      </c>
      <c r="N4951" s="17">
        <v>5</v>
      </c>
      <c r="O4951" s="18">
        <v>161.69999999999999</v>
      </c>
      <c r="P4951" s="18">
        <v>132.54</v>
      </c>
      <c r="Q4951" s="18">
        <v>153.62</v>
      </c>
      <c r="R4951" s="18">
        <v>125.92</v>
      </c>
      <c r="S4951" s="18">
        <v>109.96</v>
      </c>
      <c r="T4951" s="18">
        <v>90.13</v>
      </c>
      <c r="U4951" s="16"/>
      <c r="V4951" s="16"/>
      <c r="W4951" s="16" t="s">
        <v>40</v>
      </c>
      <c r="X4951" s="19">
        <v>6.5000000000000002E-2</v>
      </c>
      <c r="Y4951" s="20">
        <v>4.6500000000000003E-4</v>
      </c>
      <c r="Z4951" s="21">
        <v>4601004281615</v>
      </c>
    </row>
    <row r="4952" spans="1:26" ht="12" customHeight="1" outlineLevel="4" x14ac:dyDescent="0.2">
      <c r="A4952" s="14" t="s">
        <v>9612</v>
      </c>
      <c r="B4952" s="26" t="s">
        <v>9613</v>
      </c>
      <c r="C4952" s="52"/>
      <c r="D4952" s="55">
        <f t="shared" si="77"/>
        <v>0</v>
      </c>
      <c r="E4952" s="63" t="str">
        <f>HYPERLINK("https://www.sds-group.ru/product/disk-abrazivnyy-na-vorsovoy-osnove-na-lipuchke-bez-otverstiy-p24-125mm-10-sht-kranz-KR-91-1142/", "Инфо")</f>
        <v>Инфо</v>
      </c>
      <c r="F4952" s="16" t="s">
        <v>1001</v>
      </c>
      <c r="G4952" s="15"/>
      <c r="H4952" s="15"/>
      <c r="I4952" s="15"/>
      <c r="J4952" s="17">
        <v>199</v>
      </c>
      <c r="K4952" s="15" t="s">
        <v>1055</v>
      </c>
      <c r="L4952" s="17">
        <v>5</v>
      </c>
      <c r="M4952" s="17">
        <v>200</v>
      </c>
      <c r="N4952" s="17">
        <v>5</v>
      </c>
      <c r="O4952" s="18">
        <v>161.69999999999999</v>
      </c>
      <c r="P4952" s="18">
        <v>132.54</v>
      </c>
      <c r="Q4952" s="18">
        <v>153.62</v>
      </c>
      <c r="R4952" s="18">
        <v>125.92</v>
      </c>
      <c r="S4952" s="18">
        <v>109.96</v>
      </c>
      <c r="T4952" s="18">
        <v>90.13</v>
      </c>
      <c r="U4952" s="16"/>
      <c r="V4952" s="16"/>
      <c r="W4952" s="16" t="s">
        <v>40</v>
      </c>
      <c r="X4952" s="19">
        <v>0.107</v>
      </c>
      <c r="Y4952" s="20">
        <v>4.84E-4</v>
      </c>
      <c r="Z4952" s="21">
        <v>4601004281561</v>
      </c>
    </row>
    <row r="4953" spans="1:26" ht="12" customHeight="1" outlineLevel="4" x14ac:dyDescent="0.2">
      <c r="A4953" s="14" t="s">
        <v>9614</v>
      </c>
      <c r="B4953" s="26" t="s">
        <v>9615</v>
      </c>
      <c r="C4953" s="52"/>
      <c r="D4953" s="55">
        <f t="shared" si="77"/>
        <v>0</v>
      </c>
      <c r="E4953" s="63" t="str">
        <f>HYPERLINK("https://www.sds-group.ru/product/disk-abrazivnyy-na-vorsovoy-osnove-na-lipuchke-bez-otverstiy-p36-125mm-10-sht-kranz-KR-91-1143/", "Инфо")</f>
        <v>Инфо</v>
      </c>
      <c r="F4953" s="16" t="s">
        <v>1001</v>
      </c>
      <c r="G4953" s="15"/>
      <c r="H4953" s="15"/>
      <c r="I4953" s="15"/>
      <c r="J4953" s="22">
        <v>2018</v>
      </c>
      <c r="K4953" s="15" t="s">
        <v>6930</v>
      </c>
      <c r="L4953" s="17">
        <v>5</v>
      </c>
      <c r="M4953" s="17">
        <v>200</v>
      </c>
      <c r="N4953" s="17">
        <v>5</v>
      </c>
      <c r="O4953" s="18">
        <v>161.69999999999999</v>
      </c>
      <c r="P4953" s="18">
        <v>132.54</v>
      </c>
      <c r="Q4953" s="18">
        <v>153.62</v>
      </c>
      <c r="R4953" s="18">
        <v>125.92</v>
      </c>
      <c r="S4953" s="18">
        <v>109.96</v>
      </c>
      <c r="T4953" s="18">
        <v>90.13</v>
      </c>
      <c r="U4953" s="16"/>
      <c r="V4953" s="16"/>
      <c r="W4953" s="16" t="s">
        <v>40</v>
      </c>
      <c r="X4953" s="19">
        <v>0.11600000000000001</v>
      </c>
      <c r="Y4953" s="20">
        <v>4.44E-4</v>
      </c>
      <c r="Z4953" s="21">
        <v>4601004281639</v>
      </c>
    </row>
    <row r="4954" spans="1:26" ht="12" customHeight="1" outlineLevel="4" x14ac:dyDescent="0.2">
      <c r="A4954" s="14" t="s">
        <v>9616</v>
      </c>
      <c r="B4954" s="26" t="s">
        <v>9617</v>
      </c>
      <c r="C4954" s="52"/>
      <c r="D4954" s="55">
        <f t="shared" si="77"/>
        <v>0</v>
      </c>
      <c r="E4954" s="63" t="str">
        <f>HYPERLINK("https://www.sds-group.ru/product/disk-abrazivnyy-na-vorsovoy-osnove-na-lipuchke-bez-otverstiy-p40-125mm-10-sht-kranz-KR-91-1144/", "Инфо")</f>
        <v>Инфо</v>
      </c>
      <c r="F4954" s="16" t="s">
        <v>1001</v>
      </c>
      <c r="G4954" s="15"/>
      <c r="H4954" s="15"/>
      <c r="I4954" s="15"/>
      <c r="J4954" s="22">
        <v>1549</v>
      </c>
      <c r="K4954" s="15" t="s">
        <v>1055</v>
      </c>
      <c r="L4954" s="17">
        <v>5</v>
      </c>
      <c r="M4954" s="17">
        <v>200</v>
      </c>
      <c r="N4954" s="17">
        <v>5</v>
      </c>
      <c r="O4954" s="18">
        <v>149.46</v>
      </c>
      <c r="P4954" s="18">
        <v>122.51</v>
      </c>
      <c r="Q4954" s="18">
        <v>141.99</v>
      </c>
      <c r="R4954" s="18">
        <v>116.39</v>
      </c>
      <c r="S4954" s="18">
        <v>101.63</v>
      </c>
      <c r="T4954" s="18">
        <v>83.3</v>
      </c>
      <c r="U4954" s="16"/>
      <c r="V4954" s="16"/>
      <c r="W4954" s="16" t="s">
        <v>40</v>
      </c>
      <c r="X4954" s="19">
        <v>0.106</v>
      </c>
      <c r="Y4954" s="20">
        <v>3.21E-4</v>
      </c>
      <c r="Z4954" s="21">
        <v>4601004177543</v>
      </c>
    </row>
    <row r="4955" spans="1:26" ht="12" customHeight="1" outlineLevel="4" x14ac:dyDescent="0.2">
      <c r="A4955" s="14" t="s">
        <v>9618</v>
      </c>
      <c r="B4955" s="26" t="s">
        <v>9619</v>
      </c>
      <c r="C4955" s="52"/>
      <c r="D4955" s="55">
        <f t="shared" si="77"/>
        <v>0</v>
      </c>
      <c r="E4955" s="63" t="str">
        <f>HYPERLINK("https://www.sds-group.ru/product/disk-abrazivnyy-na-vorsovoy-osnove-na-lipuchke-bez-otverstiy-p400-125mm-10-sht-kranz-KR-91-1153/", "Инфо")</f>
        <v>Инфо</v>
      </c>
      <c r="F4955" s="16" t="s">
        <v>1001</v>
      </c>
      <c r="G4955" s="15"/>
      <c r="H4955" s="15"/>
      <c r="I4955" s="15"/>
      <c r="J4955" s="16" t="s">
        <v>100</v>
      </c>
      <c r="K4955" s="15" t="s">
        <v>1126</v>
      </c>
      <c r="L4955" s="17">
        <v>5</v>
      </c>
      <c r="M4955" s="17">
        <v>200</v>
      </c>
      <c r="N4955" s="17">
        <v>5</v>
      </c>
      <c r="O4955" s="18">
        <v>172.48</v>
      </c>
      <c r="P4955" s="18">
        <v>141.38</v>
      </c>
      <c r="Q4955" s="18">
        <v>163.86</v>
      </c>
      <c r="R4955" s="18">
        <v>134.31</v>
      </c>
      <c r="S4955" s="18">
        <v>117.29</v>
      </c>
      <c r="T4955" s="18">
        <v>96.14</v>
      </c>
      <c r="U4955" s="16"/>
      <c r="V4955" s="16"/>
      <c r="W4955" s="16" t="s">
        <v>40</v>
      </c>
      <c r="X4955" s="19">
        <v>5.7000000000000002E-2</v>
      </c>
      <c r="Y4955" s="20">
        <v>2.0699999999999999E-4</v>
      </c>
      <c r="Z4955" s="21">
        <v>4601004177550</v>
      </c>
    </row>
    <row r="4956" spans="1:26" ht="12" customHeight="1" outlineLevel="4" x14ac:dyDescent="0.2">
      <c r="A4956" s="14" t="s">
        <v>9620</v>
      </c>
      <c r="B4956" s="26" t="s">
        <v>9621</v>
      </c>
      <c r="C4956" s="52"/>
      <c r="D4956" s="55">
        <f t="shared" si="77"/>
        <v>0</v>
      </c>
      <c r="E4956" s="63" t="str">
        <f>HYPERLINK("https://www.sds-group.ru/product/disk-abrazivnyy-na-vorsovoy-osnove-na-lipuchke-bez-otverstiy-p60-125mm-10-sht-kranz-KR-91-1145/", "Инфо")</f>
        <v>Инфо</v>
      </c>
      <c r="F4956" s="16" t="s">
        <v>1001</v>
      </c>
      <c r="G4956" s="15"/>
      <c r="H4956" s="15"/>
      <c r="I4956" s="15"/>
      <c r="J4956" s="22">
        <v>1829</v>
      </c>
      <c r="K4956" s="15" t="s">
        <v>6930</v>
      </c>
      <c r="L4956" s="17">
        <v>5</v>
      </c>
      <c r="M4956" s="17">
        <v>200</v>
      </c>
      <c r="N4956" s="17">
        <v>5</v>
      </c>
      <c r="O4956" s="18">
        <v>172.48</v>
      </c>
      <c r="P4956" s="18">
        <v>141.38</v>
      </c>
      <c r="Q4956" s="18">
        <v>163.86</v>
      </c>
      <c r="R4956" s="18">
        <v>134.31</v>
      </c>
      <c r="S4956" s="18">
        <v>117.29</v>
      </c>
      <c r="T4956" s="18">
        <v>96.14</v>
      </c>
      <c r="U4956" s="16"/>
      <c r="V4956" s="16"/>
      <c r="W4956" s="16" t="s">
        <v>40</v>
      </c>
      <c r="X4956" s="19">
        <v>0.108</v>
      </c>
      <c r="Y4956" s="20">
        <v>2.92E-4</v>
      </c>
      <c r="Z4956" s="21">
        <v>4601004177567</v>
      </c>
    </row>
    <row r="4957" spans="1:26" ht="12" customHeight="1" outlineLevel="4" x14ac:dyDescent="0.2">
      <c r="A4957" s="14" t="s">
        <v>9622</v>
      </c>
      <c r="B4957" s="26" t="s">
        <v>9623</v>
      </c>
      <c r="C4957" s="52"/>
      <c r="D4957" s="55">
        <f t="shared" si="77"/>
        <v>0</v>
      </c>
      <c r="E4957" s="63" t="str">
        <f>HYPERLINK("https://www.sds-group.ru/product/disk-abrazivnyy-na-vorsovoy-osnove-na-lipuchke-bez-otverstiy-p80-125mm-10-sht-kranz-KR-91-1146/", "Инфо")</f>
        <v>Инфо</v>
      </c>
      <c r="F4957" s="16" t="s">
        <v>1001</v>
      </c>
      <c r="G4957" s="15"/>
      <c r="H4957" s="15"/>
      <c r="I4957" s="15"/>
      <c r="J4957" s="22">
        <v>2173</v>
      </c>
      <c r="K4957" s="15" t="s">
        <v>1055</v>
      </c>
      <c r="L4957" s="17">
        <v>5</v>
      </c>
      <c r="M4957" s="17">
        <v>200</v>
      </c>
      <c r="N4957" s="17">
        <v>5</v>
      </c>
      <c r="O4957" s="18">
        <v>172.48</v>
      </c>
      <c r="P4957" s="18">
        <v>141.38</v>
      </c>
      <c r="Q4957" s="18">
        <v>163.86</v>
      </c>
      <c r="R4957" s="18">
        <v>134.31</v>
      </c>
      <c r="S4957" s="18">
        <v>117.29</v>
      </c>
      <c r="T4957" s="18">
        <v>96.14</v>
      </c>
      <c r="U4957" s="16"/>
      <c r="V4957" s="16"/>
      <c r="W4957" s="16" t="s">
        <v>40</v>
      </c>
      <c r="X4957" s="19">
        <v>9.1999999999999998E-2</v>
      </c>
      <c r="Y4957" s="20">
        <v>2.5500000000000002E-4</v>
      </c>
      <c r="Z4957" s="21">
        <v>4601004177574</v>
      </c>
    </row>
    <row r="4958" spans="1:26" ht="12.95" customHeight="1" outlineLevel="3" x14ac:dyDescent="0.2">
      <c r="A4958" s="76" t="s">
        <v>9624</v>
      </c>
      <c r="B4958" s="76"/>
      <c r="C4958" s="77"/>
      <c r="D4958" s="58"/>
      <c r="E4958" s="68"/>
      <c r="F4958" s="13"/>
      <c r="G4958" s="13"/>
      <c r="H4958" s="13"/>
      <c r="I4958" s="13"/>
      <c r="J4958" s="13"/>
      <c r="K4958" s="13"/>
      <c r="L4958" s="13"/>
      <c r="M4958" s="13"/>
      <c r="N4958" s="13"/>
      <c r="O4958" s="13"/>
      <c r="P4958" s="13"/>
      <c r="Q4958" s="13"/>
      <c r="R4958" s="13"/>
      <c r="S4958" s="13"/>
      <c r="T4958" s="13"/>
      <c r="U4958" s="13"/>
      <c r="V4958" s="13"/>
      <c r="W4958" s="13"/>
      <c r="X4958" s="13"/>
      <c r="Y4958" s="13"/>
      <c r="Z4958" s="13"/>
    </row>
    <row r="4959" spans="1:26" ht="12" customHeight="1" outlineLevel="4" x14ac:dyDescent="0.2">
      <c r="A4959" s="40" t="s">
        <v>9625</v>
      </c>
      <c r="B4959" s="75" t="s">
        <v>9626</v>
      </c>
      <c r="C4959" s="51"/>
      <c r="D4959" s="54">
        <f t="shared" si="77"/>
        <v>0</v>
      </c>
      <c r="E4959" s="61" t="str">
        <f>HYPERLINK("https://www.sds-group.ru/product/nasadka-dlya-dreli-i-ushm-s-lipuchkoy-i-adapterom-100mm-m14-kranz-KR-90-0328/", "Инфо")</f>
        <v>Инфо</v>
      </c>
      <c r="F4959" s="42" t="s">
        <v>39</v>
      </c>
      <c r="G4959" s="41" t="s">
        <v>40</v>
      </c>
      <c r="H4959" s="41"/>
      <c r="I4959" s="41"/>
      <c r="J4959" s="43">
        <v>488</v>
      </c>
      <c r="K4959" s="41" t="s">
        <v>1058</v>
      </c>
      <c r="L4959" s="43">
        <v>5</v>
      </c>
      <c r="M4959" s="43">
        <v>50</v>
      </c>
      <c r="N4959" s="43">
        <v>5</v>
      </c>
      <c r="O4959" s="44">
        <v>253.34</v>
      </c>
      <c r="P4959" s="44">
        <v>207.66</v>
      </c>
      <c r="Q4959" s="44">
        <v>190.01</v>
      </c>
      <c r="R4959" s="44">
        <v>155.75</v>
      </c>
      <c r="S4959" s="44">
        <v>172.27</v>
      </c>
      <c r="T4959" s="44">
        <v>141.19999999999999</v>
      </c>
      <c r="U4959" s="42"/>
      <c r="V4959" s="42"/>
      <c r="W4959" s="42" t="s">
        <v>40</v>
      </c>
      <c r="X4959" s="45">
        <v>8.5999999999999993E-2</v>
      </c>
      <c r="Y4959" s="46">
        <v>7.9699999999999997E-4</v>
      </c>
      <c r="Z4959" s="21">
        <v>4601004332263</v>
      </c>
    </row>
    <row r="4960" spans="1:26" ht="12" customHeight="1" outlineLevel="4" x14ac:dyDescent="0.2">
      <c r="A4960" s="14" t="s">
        <v>9627</v>
      </c>
      <c r="B4960" s="26" t="s">
        <v>9628</v>
      </c>
      <c r="C4960" s="52"/>
      <c r="D4960" s="55">
        <f t="shared" si="77"/>
        <v>0</v>
      </c>
      <c r="E4960" s="63" t="str">
        <f>HYPERLINK("https://www.sds-group.ru/product/nasadka-dlya-dreli-i-ushm-s-lipuchkoy-i-adapterom-125mm-5mm-myagkaya-kranz-KR-91-1181/", "Инфо")</f>
        <v>Инфо</v>
      </c>
      <c r="F4960" s="16" t="s">
        <v>39</v>
      </c>
      <c r="G4960" s="15"/>
      <c r="H4960" s="15"/>
      <c r="I4960" s="15"/>
      <c r="J4960" s="22">
        <v>2625</v>
      </c>
      <c r="K4960" s="15"/>
      <c r="L4960" s="17">
        <v>5</v>
      </c>
      <c r="M4960" s="17">
        <v>100</v>
      </c>
      <c r="N4960" s="17">
        <v>5</v>
      </c>
      <c r="O4960" s="18">
        <v>239.62</v>
      </c>
      <c r="P4960" s="18">
        <v>196.41</v>
      </c>
      <c r="Q4960" s="18">
        <v>227.64</v>
      </c>
      <c r="R4960" s="18">
        <v>186.59</v>
      </c>
      <c r="S4960" s="18">
        <v>162.94</v>
      </c>
      <c r="T4960" s="18">
        <v>133.56</v>
      </c>
      <c r="U4960" s="16"/>
      <c r="V4960" s="16"/>
      <c r="W4960" s="16" t="s">
        <v>40</v>
      </c>
      <c r="X4960" s="19">
        <v>0.13700000000000001</v>
      </c>
      <c r="Y4960" s="20">
        <v>4.3899999999999999E-4</v>
      </c>
      <c r="Z4960" s="21">
        <v>4601004224902</v>
      </c>
    </row>
    <row r="4961" spans="1:26" ht="12" customHeight="1" outlineLevel="4" x14ac:dyDescent="0.2">
      <c r="A4961" s="14" t="s">
        <v>9629</v>
      </c>
      <c r="B4961" s="26" t="s">
        <v>9630</v>
      </c>
      <c r="C4961" s="52"/>
      <c r="D4961" s="55">
        <f t="shared" si="77"/>
        <v>0</v>
      </c>
      <c r="E4961" s="63" t="str">
        <f>HYPERLINK("https://www.sds-group.ru/product/nasadka-dlya-dreli-i-ushm-s-lipuchkoy-i-adapterom-125mm-10mm-myagkaya-kranz-KR-91-1180/", "Инфо")</f>
        <v>Инфо</v>
      </c>
      <c r="F4961" s="16" t="s">
        <v>39</v>
      </c>
      <c r="G4961" s="15"/>
      <c r="H4961" s="15"/>
      <c r="I4961" s="15"/>
      <c r="J4961" s="22">
        <v>5000</v>
      </c>
      <c r="K4961" s="15" t="s">
        <v>940</v>
      </c>
      <c r="L4961" s="17">
        <v>5</v>
      </c>
      <c r="M4961" s="17">
        <v>100</v>
      </c>
      <c r="N4961" s="17">
        <v>5</v>
      </c>
      <c r="O4961" s="18">
        <v>279.58999999999997</v>
      </c>
      <c r="P4961" s="18">
        <v>229.17</v>
      </c>
      <c r="Q4961" s="18">
        <v>265.61</v>
      </c>
      <c r="R4961" s="18">
        <v>217.71</v>
      </c>
      <c r="S4961" s="18">
        <v>190.12</v>
      </c>
      <c r="T4961" s="18">
        <v>155.84</v>
      </c>
      <c r="U4961" s="16"/>
      <c r="V4961" s="16"/>
      <c r="W4961" s="16" t="s">
        <v>40</v>
      </c>
      <c r="X4961" s="19">
        <v>0.13600000000000001</v>
      </c>
      <c r="Y4961" s="20">
        <v>5.1900000000000004E-4</v>
      </c>
      <c r="Z4961" s="21">
        <v>4601004177581</v>
      </c>
    </row>
    <row r="4962" spans="1:26" ht="12" customHeight="1" outlineLevel="4" x14ac:dyDescent="0.2">
      <c r="A4962" s="40" t="s">
        <v>9631</v>
      </c>
      <c r="B4962" s="75" t="s">
        <v>9632</v>
      </c>
      <c r="C4962" s="51"/>
      <c r="D4962" s="54">
        <f t="shared" si="77"/>
        <v>0</v>
      </c>
      <c r="E4962" s="61" t="str">
        <f>HYPERLINK("https://www.sds-group.ru/product/tarelka-opornaya-dlya-ekstsentrikovoy-shlifovalnoy-mashiny-125mm-10mm-myagkaya-kranz-KR-91-1183/", "Инфо")</f>
        <v>Инфо</v>
      </c>
      <c r="F4962" s="42" t="s">
        <v>39</v>
      </c>
      <c r="G4962" s="41" t="s">
        <v>40</v>
      </c>
      <c r="H4962" s="41"/>
      <c r="I4962" s="41"/>
      <c r="J4962" s="43">
        <v>497</v>
      </c>
      <c r="K4962" s="41"/>
      <c r="L4962" s="43">
        <v>5</v>
      </c>
      <c r="M4962" s="43">
        <v>50</v>
      </c>
      <c r="N4962" s="43">
        <v>5</v>
      </c>
      <c r="O4962" s="44">
        <v>318</v>
      </c>
      <c r="P4962" s="44">
        <v>260.66000000000003</v>
      </c>
      <c r="Q4962" s="44">
        <v>302.10000000000002</v>
      </c>
      <c r="R4962" s="44">
        <v>247.62</v>
      </c>
      <c r="S4962" s="44">
        <v>216.24</v>
      </c>
      <c r="T4962" s="44">
        <v>177.25</v>
      </c>
      <c r="U4962" s="42"/>
      <c r="V4962" s="42"/>
      <c r="W4962" s="42" t="s">
        <v>40</v>
      </c>
      <c r="X4962" s="45">
        <v>0.10100000000000001</v>
      </c>
      <c r="Y4962" s="46">
        <v>4.46E-4</v>
      </c>
      <c r="Z4962" s="21">
        <v>4601004340565</v>
      </c>
    </row>
    <row r="4963" spans="1:26" ht="12.95" customHeight="1" outlineLevel="3" x14ac:dyDescent="0.2">
      <c r="A4963" s="76" t="s">
        <v>9633</v>
      </c>
      <c r="B4963" s="76"/>
      <c r="C4963" s="77"/>
      <c r="D4963" s="58"/>
      <c r="E4963" s="68"/>
      <c r="F4963" s="13"/>
      <c r="G4963" s="13"/>
      <c r="H4963" s="13"/>
      <c r="I4963" s="13"/>
      <c r="J4963" s="13"/>
      <c r="K4963" s="13"/>
      <c r="L4963" s="13"/>
      <c r="M4963" s="13"/>
      <c r="N4963" s="13"/>
      <c r="O4963" s="13"/>
      <c r="P4963" s="13"/>
      <c r="Q4963" s="13"/>
      <c r="R4963" s="13"/>
      <c r="S4963" s="13"/>
      <c r="T4963" s="13"/>
      <c r="U4963" s="13"/>
      <c r="V4963" s="13"/>
      <c r="W4963" s="13"/>
      <c r="X4963" s="13"/>
      <c r="Y4963" s="13"/>
      <c r="Z4963" s="13"/>
    </row>
    <row r="4964" spans="1:26" ht="12" customHeight="1" outlineLevel="4" x14ac:dyDescent="0.2">
      <c r="A4964" s="14" t="s">
        <v>9634</v>
      </c>
      <c r="B4964" s="26" t="s">
        <v>9635</v>
      </c>
      <c r="C4964" s="52"/>
      <c r="D4964" s="55">
        <f t="shared" si="77"/>
        <v>0</v>
      </c>
      <c r="E4964" s="63" t="str">
        <f>HYPERLINK("https://www.sds-group.ru/product/schetka-diskovaya-dlya-dreli-vitaya-latunirovannaya-provoloka-50mm-kranz-KR-91-1248/", "Инфо")</f>
        <v>Инфо</v>
      </c>
      <c r="F4964" s="16" t="s">
        <v>39</v>
      </c>
      <c r="G4964" s="15"/>
      <c r="H4964" s="15"/>
      <c r="I4964" s="15"/>
      <c r="J4964" s="22">
        <v>3112</v>
      </c>
      <c r="K4964" s="15" t="s">
        <v>1272</v>
      </c>
      <c r="L4964" s="17">
        <v>5</v>
      </c>
      <c r="M4964" s="17">
        <v>120</v>
      </c>
      <c r="N4964" s="17">
        <v>5</v>
      </c>
      <c r="O4964" s="18">
        <v>126.38</v>
      </c>
      <c r="P4964" s="18">
        <v>103.59</v>
      </c>
      <c r="Q4964" s="18">
        <v>120.06</v>
      </c>
      <c r="R4964" s="18">
        <v>98.41</v>
      </c>
      <c r="S4964" s="18">
        <v>85.94</v>
      </c>
      <c r="T4964" s="18">
        <v>70.44</v>
      </c>
      <c r="U4964" s="16"/>
      <c r="V4964" s="16"/>
      <c r="W4964" s="16" t="s">
        <v>40</v>
      </c>
      <c r="X4964" s="19">
        <v>5.3999999999999999E-2</v>
      </c>
      <c r="Y4964" s="20">
        <v>3.2499999999999999E-4</v>
      </c>
      <c r="Z4964" s="21">
        <v>4601004286528</v>
      </c>
    </row>
    <row r="4965" spans="1:26" ht="12" customHeight="1" outlineLevel="4" x14ac:dyDescent="0.2">
      <c r="A4965" s="14" t="s">
        <v>9636</v>
      </c>
      <c r="B4965" s="26" t="s">
        <v>9637</v>
      </c>
      <c r="C4965" s="52"/>
      <c r="D4965" s="55">
        <f t="shared" si="77"/>
        <v>0</v>
      </c>
      <c r="E4965" s="63" t="str">
        <f>HYPERLINK("https://www.sds-group.ru/product/schetka-diskovaya-dlya-dreli-vitaya-latunirovannaya-provoloka-75mm-kranz-KR-91-1249/", "Инфо")</f>
        <v>Инфо</v>
      </c>
      <c r="F4965" s="16" t="s">
        <v>39</v>
      </c>
      <c r="G4965" s="15"/>
      <c r="H4965" s="15"/>
      <c r="I4965" s="15"/>
      <c r="J4965" s="22">
        <v>1089</v>
      </c>
      <c r="K4965" s="15" t="s">
        <v>1058</v>
      </c>
      <c r="L4965" s="17">
        <v>5</v>
      </c>
      <c r="M4965" s="17">
        <v>100</v>
      </c>
      <c r="N4965" s="17">
        <v>5</v>
      </c>
      <c r="O4965" s="18">
        <v>163.08000000000001</v>
      </c>
      <c r="P4965" s="18">
        <v>133.66999999999999</v>
      </c>
      <c r="Q4965" s="18">
        <v>154.93</v>
      </c>
      <c r="R4965" s="18">
        <v>126.99</v>
      </c>
      <c r="S4965" s="18">
        <v>110.89</v>
      </c>
      <c r="T4965" s="18">
        <v>90.89</v>
      </c>
      <c r="U4965" s="16"/>
      <c r="V4965" s="16"/>
      <c r="W4965" s="16" t="s">
        <v>40</v>
      </c>
      <c r="X4965" s="19">
        <v>0.10299999999999999</v>
      </c>
      <c r="Y4965" s="20">
        <v>5.6099999999999998E-4</v>
      </c>
      <c r="Z4965" s="21">
        <v>4601004286511</v>
      </c>
    </row>
    <row r="4966" spans="1:26" ht="12" customHeight="1" outlineLevel="4" x14ac:dyDescent="0.2">
      <c r="A4966" s="14" t="s">
        <v>9638</v>
      </c>
      <c r="B4966" s="26" t="s">
        <v>9639</v>
      </c>
      <c r="C4966" s="52"/>
      <c r="D4966" s="55">
        <f t="shared" si="77"/>
        <v>0</v>
      </c>
      <c r="E4966" s="63" t="str">
        <f>HYPERLINK("https://www.sds-group.ru/product/schetka-diskovaya-dlya-dreli-vitaya-latunirovannaya-provoloka-100mm-kranz-KR-91-1231/", "Инфо")</f>
        <v>Инфо</v>
      </c>
      <c r="F4966" s="16" t="s">
        <v>39</v>
      </c>
      <c r="G4966" s="15"/>
      <c r="H4966" s="15"/>
      <c r="I4966" s="15"/>
      <c r="J4966" s="16" t="s">
        <v>100</v>
      </c>
      <c r="K4966" s="15" t="s">
        <v>1058</v>
      </c>
      <c r="L4966" s="17">
        <v>5</v>
      </c>
      <c r="M4966" s="17">
        <v>120</v>
      </c>
      <c r="N4966" s="17">
        <v>5</v>
      </c>
      <c r="O4966" s="18">
        <v>224.23</v>
      </c>
      <c r="P4966" s="18">
        <v>183.8</v>
      </c>
      <c r="Q4966" s="18">
        <v>217.5</v>
      </c>
      <c r="R4966" s="18">
        <v>178.28</v>
      </c>
      <c r="S4966" s="18">
        <v>152.47999999999999</v>
      </c>
      <c r="T4966" s="18">
        <v>124.98</v>
      </c>
      <c r="U4966" s="16"/>
      <c r="V4966" s="16"/>
      <c r="W4966" s="16" t="s">
        <v>40</v>
      </c>
      <c r="X4966" s="19">
        <v>0.14599999999999999</v>
      </c>
      <c r="Y4966" s="20">
        <v>7.7300000000000003E-4</v>
      </c>
      <c r="Z4966" s="21">
        <v>4601004206380</v>
      </c>
    </row>
    <row r="4967" spans="1:26" ht="12" customHeight="1" outlineLevel="4" x14ac:dyDescent="0.2">
      <c r="A4967" s="14" t="s">
        <v>9640</v>
      </c>
      <c r="B4967" s="26" t="s">
        <v>9641</v>
      </c>
      <c r="C4967" s="52"/>
      <c r="D4967" s="55">
        <f t="shared" si="77"/>
        <v>0</v>
      </c>
      <c r="E4967" s="63" t="str">
        <f>HYPERLINK("https://www.sds-group.ru/product/schetka-diskovaya-dlya-dreli-vitaya-stalnaya-provoloka-100mm-kranz-KR-91-1246/", "Инфо")</f>
        <v>Инфо</v>
      </c>
      <c r="F4967" s="16" t="s">
        <v>39</v>
      </c>
      <c r="G4967" s="15"/>
      <c r="H4967" s="15"/>
      <c r="I4967" s="15"/>
      <c r="J4967" s="22">
        <v>2924</v>
      </c>
      <c r="K4967" s="15" t="s">
        <v>1055</v>
      </c>
      <c r="L4967" s="17">
        <v>5</v>
      </c>
      <c r="M4967" s="17">
        <v>120</v>
      </c>
      <c r="N4967" s="17">
        <v>5</v>
      </c>
      <c r="O4967" s="18">
        <v>230.35</v>
      </c>
      <c r="P4967" s="18">
        <v>188.81</v>
      </c>
      <c r="Q4967" s="18">
        <v>223.44</v>
      </c>
      <c r="R4967" s="18">
        <v>183.15</v>
      </c>
      <c r="S4967" s="18">
        <v>156.63999999999999</v>
      </c>
      <c r="T4967" s="18">
        <v>128.38999999999999</v>
      </c>
      <c r="U4967" s="16"/>
      <c r="V4967" s="16"/>
      <c r="W4967" s="16" t="s">
        <v>40</v>
      </c>
      <c r="X4967" s="19">
        <v>0.14599999999999999</v>
      </c>
      <c r="Y4967" s="20">
        <v>7.4200000000000004E-4</v>
      </c>
      <c r="Z4967" s="21">
        <v>4601004206502</v>
      </c>
    </row>
    <row r="4968" spans="1:26" ht="12" customHeight="1" outlineLevel="4" x14ac:dyDescent="0.2">
      <c r="A4968" s="14" t="s">
        <v>9642</v>
      </c>
      <c r="B4968" s="26" t="s">
        <v>9643</v>
      </c>
      <c r="C4968" s="52"/>
      <c r="D4968" s="55">
        <f t="shared" si="77"/>
        <v>0</v>
      </c>
      <c r="E4968" s="63" t="str">
        <f>HYPERLINK("https://www.sds-group.ru/product/schetka-diskovaya-dlya-dreli-vitaya-stalnaya-provoloka-50mm-kranz-KR-91-1244/", "Инфо")</f>
        <v>Инфо</v>
      </c>
      <c r="F4968" s="16" t="s">
        <v>39</v>
      </c>
      <c r="G4968" s="15"/>
      <c r="H4968" s="15"/>
      <c r="I4968" s="15"/>
      <c r="J4968" s="22">
        <v>6307</v>
      </c>
      <c r="K4968" s="15" t="s">
        <v>1272</v>
      </c>
      <c r="L4968" s="17">
        <v>5</v>
      </c>
      <c r="M4968" s="17">
        <v>120</v>
      </c>
      <c r="N4968" s="17">
        <v>5</v>
      </c>
      <c r="O4968" s="18">
        <v>152.88</v>
      </c>
      <c r="P4968" s="18">
        <v>125.31</v>
      </c>
      <c r="Q4968" s="18">
        <v>148.29</v>
      </c>
      <c r="R4968" s="18">
        <v>121.55</v>
      </c>
      <c r="S4968" s="18">
        <v>103.96</v>
      </c>
      <c r="T4968" s="18">
        <v>85.21</v>
      </c>
      <c r="U4968" s="16"/>
      <c r="V4968" s="16"/>
      <c r="W4968" s="16" t="s">
        <v>40</v>
      </c>
      <c r="X4968" s="19">
        <v>5.0999999999999997E-2</v>
      </c>
      <c r="Y4968" s="20">
        <v>3.2600000000000001E-4</v>
      </c>
      <c r="Z4968" s="21">
        <v>4601004206489</v>
      </c>
    </row>
    <row r="4969" spans="1:26" ht="12" customHeight="1" outlineLevel="4" x14ac:dyDescent="0.2">
      <c r="A4969" s="14" t="s">
        <v>9644</v>
      </c>
      <c r="B4969" s="26" t="s">
        <v>9645</v>
      </c>
      <c r="C4969" s="52"/>
      <c r="D4969" s="55">
        <f t="shared" si="77"/>
        <v>0</v>
      </c>
      <c r="E4969" s="63" t="str">
        <f>HYPERLINK("https://www.sds-group.ru/product/schetka-diskovaya-dlya-dreli-vitaya-stalnaya-provoloka-75mm-kranz-KR-91-1245/", "Инфо")</f>
        <v>Инфо</v>
      </c>
      <c r="F4969" s="16" t="s">
        <v>39</v>
      </c>
      <c r="G4969" s="15"/>
      <c r="H4969" s="15"/>
      <c r="I4969" s="15"/>
      <c r="J4969" s="22">
        <v>2066</v>
      </c>
      <c r="K4969" s="15" t="s">
        <v>1058</v>
      </c>
      <c r="L4969" s="17">
        <v>5</v>
      </c>
      <c r="M4969" s="17">
        <v>100</v>
      </c>
      <c r="N4969" s="17">
        <v>5</v>
      </c>
      <c r="O4969" s="18">
        <v>193.98</v>
      </c>
      <c r="P4969" s="18">
        <v>159</v>
      </c>
      <c r="Q4969" s="18">
        <v>184.28</v>
      </c>
      <c r="R4969" s="18">
        <v>151.05000000000001</v>
      </c>
      <c r="S4969" s="18">
        <v>131.91</v>
      </c>
      <c r="T4969" s="18">
        <v>108.12</v>
      </c>
      <c r="U4969" s="16"/>
      <c r="V4969" s="16"/>
      <c r="W4969" s="16" t="s">
        <v>40</v>
      </c>
      <c r="X4969" s="19">
        <v>0.106</v>
      </c>
      <c r="Y4969" s="20">
        <v>5.6599999999999999E-4</v>
      </c>
      <c r="Z4969" s="21">
        <v>4601004206496</v>
      </c>
    </row>
    <row r="4970" spans="1:26" ht="12" customHeight="1" outlineLevel="4" x14ac:dyDescent="0.2">
      <c r="A4970" s="14" t="s">
        <v>9646</v>
      </c>
      <c r="B4970" s="26" t="s">
        <v>9647</v>
      </c>
      <c r="C4970" s="52"/>
      <c r="D4970" s="55">
        <f t="shared" si="77"/>
        <v>0</v>
      </c>
      <c r="E4970" s="63" t="str">
        <f>HYPERLINK("https://www.sds-group.ru/product/schetka-diskovaya-dlya-dreli-neylonovaya-provoloka-s-abrazivnym-pokrytiem-100mm-kranz-KR-91-1233/", "Инфо")</f>
        <v>Инфо</v>
      </c>
      <c r="F4970" s="16" t="s">
        <v>39</v>
      </c>
      <c r="G4970" s="15"/>
      <c r="H4970" s="15"/>
      <c r="I4970" s="15"/>
      <c r="J4970" s="17">
        <v>711</v>
      </c>
      <c r="K4970" s="15" t="s">
        <v>1058</v>
      </c>
      <c r="L4970" s="17">
        <v>1</v>
      </c>
      <c r="M4970" s="17">
        <v>100</v>
      </c>
      <c r="N4970" s="17">
        <v>1</v>
      </c>
      <c r="O4970" s="18">
        <v>590.14</v>
      </c>
      <c r="P4970" s="18">
        <v>483.72</v>
      </c>
      <c r="Q4970" s="18">
        <v>554.73</v>
      </c>
      <c r="R4970" s="18">
        <v>454.7</v>
      </c>
      <c r="S4970" s="18">
        <v>401.3</v>
      </c>
      <c r="T4970" s="18">
        <v>328.93</v>
      </c>
      <c r="U4970" s="16"/>
      <c r="V4970" s="16"/>
      <c r="W4970" s="16" t="s">
        <v>40</v>
      </c>
      <c r="X4970" s="19">
        <v>0.13800000000000001</v>
      </c>
      <c r="Y4970" s="20">
        <v>7.45E-4</v>
      </c>
      <c r="Z4970" s="21">
        <v>4601004206397</v>
      </c>
    </row>
    <row r="4971" spans="1:26" ht="12" customHeight="1" outlineLevel="4" x14ac:dyDescent="0.2">
      <c r="A4971" s="14" t="s">
        <v>9648</v>
      </c>
      <c r="B4971" s="26" t="s">
        <v>9649</v>
      </c>
      <c r="C4971" s="52"/>
      <c r="D4971" s="55">
        <f t="shared" si="77"/>
        <v>0</v>
      </c>
      <c r="E4971" s="63" t="str">
        <f>HYPERLINK("https://www.sds-group.ru/product/schetka-diskovaya-dlya-ushm-vitaya-latunirovannaya-provoloka-100mm-otv-22-23mm-kranz-KR-91-1241/", "Инфо")</f>
        <v>Инфо</v>
      </c>
      <c r="F4971" s="16" t="s">
        <v>39</v>
      </c>
      <c r="G4971" s="15"/>
      <c r="H4971" s="15"/>
      <c r="I4971" s="15"/>
      <c r="J4971" s="22">
        <v>1467</v>
      </c>
      <c r="K4971" s="15"/>
      <c r="L4971" s="17">
        <v>5</v>
      </c>
      <c r="M4971" s="17">
        <v>100</v>
      </c>
      <c r="N4971" s="17">
        <v>5</v>
      </c>
      <c r="O4971" s="18">
        <v>234.42</v>
      </c>
      <c r="P4971" s="18">
        <v>192.15</v>
      </c>
      <c r="Q4971" s="18">
        <v>227.39</v>
      </c>
      <c r="R4971" s="18">
        <v>186.39</v>
      </c>
      <c r="S4971" s="18">
        <v>159.41</v>
      </c>
      <c r="T4971" s="18">
        <v>130.66</v>
      </c>
      <c r="U4971" s="16"/>
      <c r="V4971" s="16"/>
      <c r="W4971" s="16" t="s">
        <v>40</v>
      </c>
      <c r="X4971" s="19">
        <v>0.13200000000000001</v>
      </c>
      <c r="Y4971" s="20">
        <v>4.2200000000000001E-4</v>
      </c>
      <c r="Z4971" s="21">
        <v>4601004206458</v>
      </c>
    </row>
    <row r="4972" spans="1:26" ht="12" customHeight="1" outlineLevel="4" x14ac:dyDescent="0.2">
      <c r="A4972" s="14" t="s">
        <v>9650</v>
      </c>
      <c r="B4972" s="26" t="s">
        <v>9651</v>
      </c>
      <c r="C4972" s="52"/>
      <c r="D4972" s="55">
        <f t="shared" si="77"/>
        <v>0</v>
      </c>
      <c r="E4972" s="63" t="str">
        <f>HYPERLINK("https://www.sds-group.ru/product/schetka-diskovaya-dlya-ushm-vitaya-latunirovannaya-provoloka-125mm-otv-22-23mm-kranz-KR-91-1242/", "Инфо")</f>
        <v>Инфо</v>
      </c>
      <c r="F4972" s="16" t="s">
        <v>39</v>
      </c>
      <c r="G4972" s="15"/>
      <c r="H4972" s="15"/>
      <c r="I4972" s="15"/>
      <c r="J4972" s="22">
        <v>1253</v>
      </c>
      <c r="K4972" s="15"/>
      <c r="L4972" s="17">
        <v>1</v>
      </c>
      <c r="M4972" s="17">
        <v>60</v>
      </c>
      <c r="N4972" s="17">
        <v>1</v>
      </c>
      <c r="O4972" s="18">
        <v>468.85</v>
      </c>
      <c r="P4972" s="18">
        <v>384.3</v>
      </c>
      <c r="Q4972" s="18">
        <v>421.97</v>
      </c>
      <c r="R4972" s="18">
        <v>345.88</v>
      </c>
      <c r="S4972" s="18">
        <v>318.82</v>
      </c>
      <c r="T4972" s="18">
        <v>261.33</v>
      </c>
      <c r="U4972" s="16"/>
      <c r="V4972" s="16"/>
      <c r="W4972" s="16" t="s">
        <v>40</v>
      </c>
      <c r="X4972" s="19">
        <v>0.2</v>
      </c>
      <c r="Y4972" s="20">
        <v>7.0600000000000003E-4</v>
      </c>
      <c r="Z4972" s="21">
        <v>4601004206465</v>
      </c>
    </row>
    <row r="4973" spans="1:26" ht="12" customHeight="1" outlineLevel="4" x14ac:dyDescent="0.2">
      <c r="A4973" s="14" t="s">
        <v>9652</v>
      </c>
      <c r="B4973" s="26" t="s">
        <v>9653</v>
      </c>
      <c r="C4973" s="52"/>
      <c r="D4973" s="55">
        <f t="shared" si="77"/>
        <v>0</v>
      </c>
      <c r="E4973" s="63" t="str">
        <f>HYPERLINK("https://www.sds-group.ru/product/schetka-diskovaya-dlya-ushm-vitaya-latunirovannaya-provoloka-150mm-otv-22-23mm-kranz-KR-91-1232/", "Инфо")</f>
        <v>Инфо</v>
      </c>
      <c r="F4973" s="16" t="s">
        <v>39</v>
      </c>
      <c r="G4973" s="15"/>
      <c r="H4973" s="15"/>
      <c r="I4973" s="15"/>
      <c r="J4973" s="17">
        <v>268</v>
      </c>
      <c r="K4973" s="15" t="s">
        <v>1055</v>
      </c>
      <c r="L4973" s="17">
        <v>5</v>
      </c>
      <c r="M4973" s="17">
        <v>40</v>
      </c>
      <c r="N4973" s="17">
        <v>5</v>
      </c>
      <c r="O4973" s="18">
        <v>468.85</v>
      </c>
      <c r="P4973" s="18">
        <v>384.3</v>
      </c>
      <c r="Q4973" s="18">
        <v>421.97</v>
      </c>
      <c r="R4973" s="18">
        <v>345.88</v>
      </c>
      <c r="S4973" s="18">
        <v>318.82</v>
      </c>
      <c r="T4973" s="18">
        <v>261.33</v>
      </c>
      <c r="U4973" s="16"/>
      <c r="V4973" s="16"/>
      <c r="W4973" s="16" t="s">
        <v>40</v>
      </c>
      <c r="X4973" s="19">
        <v>0.34100000000000003</v>
      </c>
      <c r="Y4973" s="20">
        <v>1.0970000000000001E-3</v>
      </c>
      <c r="Z4973" s="21">
        <v>4601004286443</v>
      </c>
    </row>
    <row r="4974" spans="1:26" ht="12" customHeight="1" outlineLevel="4" x14ac:dyDescent="0.2">
      <c r="A4974" s="14" t="s">
        <v>9654</v>
      </c>
      <c r="B4974" s="26" t="s">
        <v>9655</v>
      </c>
      <c r="C4974" s="52"/>
      <c r="D4974" s="55">
        <f t="shared" si="77"/>
        <v>0</v>
      </c>
      <c r="E4974" s="63" t="str">
        <f>HYPERLINK("https://www.sds-group.ru/product/schetka-diskovaya-dlya-ushm-kruchenaya-stalnaya-provoloka-125mm-otv-22-23mm-kranz-KR-91-1238/", "Инфо")</f>
        <v>Инфо</v>
      </c>
      <c r="F4974" s="16" t="s">
        <v>39</v>
      </c>
      <c r="G4974" s="15"/>
      <c r="H4974" s="15"/>
      <c r="I4974" s="15"/>
      <c r="J4974" s="22">
        <v>1261</v>
      </c>
      <c r="K4974" s="15" t="s">
        <v>1055</v>
      </c>
      <c r="L4974" s="17">
        <v>1</v>
      </c>
      <c r="M4974" s="17">
        <v>60</v>
      </c>
      <c r="N4974" s="17">
        <v>1</v>
      </c>
      <c r="O4974" s="18">
        <v>509.62</v>
      </c>
      <c r="P4974" s="18">
        <v>417.72</v>
      </c>
      <c r="Q4974" s="18">
        <v>458.66</v>
      </c>
      <c r="R4974" s="18">
        <v>375.95</v>
      </c>
      <c r="S4974" s="18">
        <v>346.54</v>
      </c>
      <c r="T4974" s="18">
        <v>284.05</v>
      </c>
      <c r="U4974" s="16"/>
      <c r="V4974" s="16"/>
      <c r="W4974" s="16" t="s">
        <v>40</v>
      </c>
      <c r="X4974" s="19">
        <v>0.33400000000000002</v>
      </c>
      <c r="Y4974" s="20">
        <v>7.1000000000000002E-4</v>
      </c>
      <c r="Z4974" s="21">
        <v>4601004206441</v>
      </c>
    </row>
    <row r="4975" spans="1:26" ht="12" customHeight="1" outlineLevel="4" x14ac:dyDescent="0.2">
      <c r="A4975" s="32" t="s">
        <v>9656</v>
      </c>
      <c r="B4975" s="74" t="s">
        <v>9657</v>
      </c>
      <c r="C4975" s="50"/>
      <c r="D4975" s="53">
        <f t="shared" si="77"/>
        <v>0</v>
      </c>
      <c r="E4975" s="60" t="str">
        <f>HYPERLINK("https://www.sds-group.ru/product/schetka-diskovaya-dlya-ushm-kruchenaya-stalnaya-provoloka-175mm-otv-22-23mm-kranz-KR-91-1240/", "Инфо")</f>
        <v>Инфо</v>
      </c>
      <c r="F4975" s="34" t="s">
        <v>39</v>
      </c>
      <c r="G4975" s="33"/>
      <c r="H4975" s="33" t="s">
        <v>40</v>
      </c>
      <c r="I4975" s="33"/>
      <c r="J4975" s="35">
        <v>76</v>
      </c>
      <c r="K4975" s="33"/>
      <c r="L4975" s="35">
        <v>1</v>
      </c>
      <c r="M4975" s="35">
        <v>20</v>
      </c>
      <c r="N4975" s="35">
        <v>1</v>
      </c>
      <c r="O4975" s="36">
        <v>770.19</v>
      </c>
      <c r="P4975" s="36">
        <v>631.29999999999995</v>
      </c>
      <c r="Q4975" s="36">
        <v>539.13</v>
      </c>
      <c r="R4975" s="36">
        <v>441.91</v>
      </c>
      <c r="S4975" s="36">
        <v>523.73</v>
      </c>
      <c r="T4975" s="36">
        <v>429.29</v>
      </c>
      <c r="U4975" s="34"/>
      <c r="V4975" s="34"/>
      <c r="W4975" s="34"/>
      <c r="X4975" s="37">
        <v>0.69899999999999995</v>
      </c>
      <c r="Y4975" s="38">
        <v>1.526E-3</v>
      </c>
      <c r="Z4975" s="21">
        <v>4601004286597</v>
      </c>
    </row>
    <row r="4976" spans="1:26" ht="12" customHeight="1" outlineLevel="4" x14ac:dyDescent="0.2">
      <c r="A4976" s="14" t="s">
        <v>9658</v>
      </c>
      <c r="B4976" s="26" t="s">
        <v>9659</v>
      </c>
      <c r="C4976" s="52"/>
      <c r="D4976" s="55">
        <f t="shared" si="77"/>
        <v>0</v>
      </c>
      <c r="E4976" s="63" t="str">
        <f>HYPERLINK("https://www.sds-group.ru/product/schetka-diskovaya-dlya-ushm-kruchenaya-stalnaya-provoloka-200mm-otv-22-23mm-kranz-KR-91-1247/", "Инфо")</f>
        <v>Инфо</v>
      </c>
      <c r="F4976" s="16" t="s">
        <v>39</v>
      </c>
      <c r="G4976" s="15"/>
      <c r="H4976" s="15"/>
      <c r="I4976" s="15"/>
      <c r="J4976" s="22">
        <v>1262</v>
      </c>
      <c r="K4976" s="15"/>
      <c r="L4976" s="17">
        <v>1</v>
      </c>
      <c r="M4976" s="17">
        <v>20</v>
      </c>
      <c r="N4976" s="17">
        <v>1</v>
      </c>
      <c r="O4976" s="18">
        <v>1070.2</v>
      </c>
      <c r="P4976" s="18">
        <v>877.21</v>
      </c>
      <c r="Q4976" s="18">
        <v>963.18</v>
      </c>
      <c r="R4976" s="18">
        <v>789.49</v>
      </c>
      <c r="S4976" s="18">
        <v>727.74</v>
      </c>
      <c r="T4976" s="18">
        <v>596.51</v>
      </c>
      <c r="U4976" s="16"/>
      <c r="V4976" s="16"/>
      <c r="W4976" s="16" t="s">
        <v>40</v>
      </c>
      <c r="X4976" s="19">
        <v>0.98699999999999999</v>
      </c>
      <c r="Y4976" s="20">
        <v>1.867E-3</v>
      </c>
      <c r="Z4976" s="21">
        <v>4601004286429</v>
      </c>
    </row>
    <row r="4977" spans="1:26" ht="12" customHeight="1" outlineLevel="4" x14ac:dyDescent="0.2">
      <c r="A4977" s="14" t="s">
        <v>9660</v>
      </c>
      <c r="B4977" s="26" t="s">
        <v>9661</v>
      </c>
      <c r="C4977" s="52"/>
      <c r="D4977" s="55">
        <f t="shared" si="77"/>
        <v>0</v>
      </c>
      <c r="E4977" s="63" t="str">
        <f>HYPERLINK("https://www.sds-group.ru/product/schetka-konicheskaya-dlya-ushm-vitaya-latunirovannaya-provoloka-100mm-m14-kranz-KR-91-1205/", "Инфо")</f>
        <v>Инфо</v>
      </c>
      <c r="F4977" s="16" t="s">
        <v>39</v>
      </c>
      <c r="G4977" s="15"/>
      <c r="H4977" s="15"/>
      <c r="I4977" s="15"/>
      <c r="J4977" s="17">
        <v>461</v>
      </c>
      <c r="K4977" s="15" t="s">
        <v>1272</v>
      </c>
      <c r="L4977" s="17">
        <v>5</v>
      </c>
      <c r="M4977" s="17">
        <v>50</v>
      </c>
      <c r="N4977" s="17">
        <v>5</v>
      </c>
      <c r="O4977" s="18">
        <v>336.35</v>
      </c>
      <c r="P4977" s="18">
        <v>275.7</v>
      </c>
      <c r="Q4977" s="18">
        <v>319.52999999999997</v>
      </c>
      <c r="R4977" s="18">
        <v>261.91000000000003</v>
      </c>
      <c r="S4977" s="18">
        <v>228.72</v>
      </c>
      <c r="T4977" s="18">
        <v>187.48</v>
      </c>
      <c r="U4977" s="16"/>
      <c r="V4977" s="16"/>
      <c r="W4977" s="16" t="s">
        <v>40</v>
      </c>
      <c r="X4977" s="19">
        <v>0.183</v>
      </c>
      <c r="Y4977" s="20">
        <v>6.87E-4</v>
      </c>
      <c r="Z4977" s="21">
        <v>4601004286450</v>
      </c>
    </row>
    <row r="4978" spans="1:26" ht="12" customHeight="1" outlineLevel="4" x14ac:dyDescent="0.2">
      <c r="A4978" s="14" t="s">
        <v>9662</v>
      </c>
      <c r="B4978" s="26" t="s">
        <v>9663</v>
      </c>
      <c r="C4978" s="52"/>
      <c r="D4978" s="55">
        <f t="shared" si="77"/>
        <v>0</v>
      </c>
      <c r="E4978" s="63" t="str">
        <f>HYPERLINK("https://www.sds-group.ru/product/schetka-konicheskaya-dlya-ushm-vitaya-latunirovannaya-provoloka-125mm-m14-kranz-KR-91-1207/", "Инфо")</f>
        <v>Инфо</v>
      </c>
      <c r="F4978" s="16" t="s">
        <v>39</v>
      </c>
      <c r="G4978" s="15"/>
      <c r="H4978" s="15"/>
      <c r="I4978" s="15"/>
      <c r="J4978" s="22">
        <v>1856</v>
      </c>
      <c r="K4978" s="15" t="s">
        <v>1058</v>
      </c>
      <c r="L4978" s="17">
        <v>1</v>
      </c>
      <c r="M4978" s="17">
        <v>60</v>
      </c>
      <c r="N4978" s="17">
        <v>1</v>
      </c>
      <c r="O4978" s="18">
        <v>428.08</v>
      </c>
      <c r="P4978" s="18">
        <v>350.89</v>
      </c>
      <c r="Q4978" s="18">
        <v>385.27</v>
      </c>
      <c r="R4978" s="18">
        <v>315.8</v>
      </c>
      <c r="S4978" s="18">
        <v>291.08999999999997</v>
      </c>
      <c r="T4978" s="18">
        <v>238.6</v>
      </c>
      <c r="U4978" s="16"/>
      <c r="V4978" s="16"/>
      <c r="W4978" s="16" t="s">
        <v>40</v>
      </c>
      <c r="X4978" s="19">
        <v>0.25900000000000001</v>
      </c>
      <c r="Y4978" s="20">
        <v>9.9500000000000001E-4</v>
      </c>
      <c r="Z4978" s="21">
        <v>4601004286467</v>
      </c>
    </row>
    <row r="4979" spans="1:26" ht="12" customHeight="1" outlineLevel="4" x14ac:dyDescent="0.2">
      <c r="A4979" s="14" t="s">
        <v>9664</v>
      </c>
      <c r="B4979" s="26" t="s">
        <v>9665</v>
      </c>
      <c r="C4979" s="52"/>
      <c r="D4979" s="55">
        <f t="shared" si="77"/>
        <v>0</v>
      </c>
      <c r="E4979" s="63" t="str">
        <f>HYPERLINK("https://www.sds-group.ru/product/schetka-konicheskaya-dlya-ushm-kruchenaya-stalnaya-provoloka-100mm-m14-kranz-KR-91-1201/", "Инфо")</f>
        <v>Инфо</v>
      </c>
      <c r="F4979" s="16" t="s">
        <v>39</v>
      </c>
      <c r="G4979" s="15"/>
      <c r="H4979" s="15"/>
      <c r="I4979" s="15"/>
      <c r="J4979" s="17">
        <v>689</v>
      </c>
      <c r="K4979" s="15" t="s">
        <v>1055</v>
      </c>
      <c r="L4979" s="17">
        <v>5</v>
      </c>
      <c r="M4979" s="17">
        <v>50</v>
      </c>
      <c r="N4979" s="17">
        <v>5</v>
      </c>
      <c r="O4979" s="18">
        <v>311.88</v>
      </c>
      <c r="P4979" s="18">
        <v>255.64</v>
      </c>
      <c r="Q4979" s="18">
        <v>296.29000000000002</v>
      </c>
      <c r="R4979" s="18">
        <v>242.86</v>
      </c>
      <c r="S4979" s="18">
        <v>212.08</v>
      </c>
      <c r="T4979" s="18">
        <v>173.84</v>
      </c>
      <c r="U4979" s="16"/>
      <c r="V4979" s="16"/>
      <c r="W4979" s="16" t="s">
        <v>40</v>
      </c>
      <c r="X4979" s="19">
        <v>0.246</v>
      </c>
      <c r="Y4979" s="20">
        <v>7.1100000000000004E-4</v>
      </c>
      <c r="Z4979" s="21">
        <v>4601004206335</v>
      </c>
    </row>
    <row r="4980" spans="1:26" ht="12" customHeight="1" outlineLevel="4" x14ac:dyDescent="0.2">
      <c r="A4980" s="14" t="s">
        <v>9666</v>
      </c>
      <c r="B4980" s="26" t="s">
        <v>9667</v>
      </c>
      <c r="C4980" s="52"/>
      <c r="D4980" s="55">
        <f t="shared" si="77"/>
        <v>0</v>
      </c>
      <c r="E4980" s="63" t="str">
        <f>HYPERLINK("https://www.sds-group.ru/product/schetka-konicheskaya-dlya-ushm-kruchenaya-stalnaya-provoloka-115mm-m14-kranz-KR-91-1202/", "Инфо")</f>
        <v>Инфо</v>
      </c>
      <c r="F4980" s="16" t="s">
        <v>39</v>
      </c>
      <c r="G4980" s="15"/>
      <c r="H4980" s="15"/>
      <c r="I4980" s="15"/>
      <c r="J4980" s="16" t="s">
        <v>100</v>
      </c>
      <c r="K4980" s="15" t="s">
        <v>1055</v>
      </c>
      <c r="L4980" s="17">
        <v>5</v>
      </c>
      <c r="M4980" s="17">
        <v>50</v>
      </c>
      <c r="N4980" s="17">
        <v>5</v>
      </c>
      <c r="O4980" s="18">
        <v>350.62</v>
      </c>
      <c r="P4980" s="18">
        <v>287.39</v>
      </c>
      <c r="Q4980" s="18">
        <v>333.09</v>
      </c>
      <c r="R4980" s="18">
        <v>273.02</v>
      </c>
      <c r="S4980" s="18">
        <v>238.42</v>
      </c>
      <c r="T4980" s="18">
        <v>195.43</v>
      </c>
      <c r="U4980" s="16"/>
      <c r="V4980" s="16"/>
      <c r="W4980" s="16" t="s">
        <v>40</v>
      </c>
      <c r="X4980" s="19">
        <v>0.311</v>
      </c>
      <c r="Y4980" s="20">
        <v>9.6900000000000003E-4</v>
      </c>
      <c r="Z4980" s="21">
        <v>4601004206342</v>
      </c>
    </row>
    <row r="4981" spans="1:26" ht="12" customHeight="1" outlineLevel="4" x14ac:dyDescent="0.2">
      <c r="A4981" s="14" t="s">
        <v>9668</v>
      </c>
      <c r="B4981" s="26" t="s">
        <v>9669</v>
      </c>
      <c r="C4981" s="52"/>
      <c r="D4981" s="55">
        <f t="shared" si="77"/>
        <v>0</v>
      </c>
      <c r="E4981" s="63" t="str">
        <f>HYPERLINK("https://www.sds-group.ru/product/schetka-konicheskaya-dlya-ushm-kruchenaya-stalnaya-provoloka-125mm-m14-kranz-KR-91-1203/", "Инфо")</f>
        <v>Инфо</v>
      </c>
      <c r="F4981" s="16" t="s">
        <v>39</v>
      </c>
      <c r="G4981" s="15"/>
      <c r="H4981" s="15"/>
      <c r="I4981" s="15"/>
      <c r="J4981" s="17">
        <v>221</v>
      </c>
      <c r="K4981" s="15"/>
      <c r="L4981" s="17">
        <v>1</v>
      </c>
      <c r="M4981" s="17">
        <v>60</v>
      </c>
      <c r="N4981" s="17">
        <v>1</v>
      </c>
      <c r="O4981" s="18">
        <v>448.46</v>
      </c>
      <c r="P4981" s="18">
        <v>367.59</v>
      </c>
      <c r="Q4981" s="18">
        <v>421.55</v>
      </c>
      <c r="R4981" s="18">
        <v>345.53</v>
      </c>
      <c r="S4981" s="18">
        <v>304.95</v>
      </c>
      <c r="T4981" s="18">
        <v>249.96</v>
      </c>
      <c r="U4981" s="16"/>
      <c r="V4981" s="16"/>
      <c r="W4981" s="16" t="s">
        <v>40</v>
      </c>
      <c r="X4981" s="19">
        <v>0.378</v>
      </c>
      <c r="Y4981" s="20">
        <v>8.1700000000000002E-4</v>
      </c>
      <c r="Z4981" s="21">
        <v>4601004284609</v>
      </c>
    </row>
    <row r="4982" spans="1:26" ht="12" customHeight="1" outlineLevel="4" x14ac:dyDescent="0.2">
      <c r="A4982" s="14" t="s">
        <v>9670</v>
      </c>
      <c r="B4982" s="26" t="s">
        <v>9671</v>
      </c>
      <c r="C4982" s="52"/>
      <c r="D4982" s="55">
        <f t="shared" si="77"/>
        <v>0</v>
      </c>
      <c r="E4982" s="63" t="str">
        <f>HYPERLINK("https://www.sds-group.ru/product/schetka-metallicheskaya-s-plastikovoy-ruchkoy-vitaya-latunirovannaya-provoloka-kranz-KR-91-1354/", "Инфо")</f>
        <v>Инфо</v>
      </c>
      <c r="F4982" s="16" t="s">
        <v>39</v>
      </c>
      <c r="G4982" s="15"/>
      <c r="H4982" s="15"/>
      <c r="I4982" s="15"/>
      <c r="J4982" s="22">
        <v>4817</v>
      </c>
      <c r="K4982" s="15" t="s">
        <v>1272</v>
      </c>
      <c r="L4982" s="17">
        <v>5</v>
      </c>
      <c r="M4982" s="17">
        <v>120</v>
      </c>
      <c r="N4982" s="17">
        <v>5</v>
      </c>
      <c r="O4982" s="18">
        <v>118.23</v>
      </c>
      <c r="P4982" s="18">
        <v>96.91</v>
      </c>
      <c r="Q4982" s="18">
        <v>112.32</v>
      </c>
      <c r="R4982" s="18">
        <v>92.07</v>
      </c>
      <c r="S4982" s="18">
        <v>80.400000000000006</v>
      </c>
      <c r="T4982" s="18">
        <v>65.900000000000006</v>
      </c>
      <c r="U4982" s="16"/>
      <c r="V4982" s="16"/>
      <c r="W4982" s="16" t="s">
        <v>40</v>
      </c>
      <c r="X4982" s="19">
        <v>0.121</v>
      </c>
      <c r="Y4982" s="20">
        <v>3.48E-4</v>
      </c>
      <c r="Z4982" s="21">
        <v>4601004286603</v>
      </c>
    </row>
    <row r="4983" spans="1:26" ht="12" customHeight="1" outlineLevel="4" x14ac:dyDescent="0.2">
      <c r="A4983" s="14" t="s">
        <v>9672</v>
      </c>
      <c r="B4983" s="26" t="s">
        <v>9673</v>
      </c>
      <c r="C4983" s="52"/>
      <c r="D4983" s="55">
        <f t="shared" si="77"/>
        <v>0</v>
      </c>
      <c r="E4983" s="63" t="str">
        <f>HYPERLINK("https://www.sds-group.ru/product/schetka-po-metallu-s-derevyannoy-ruchkoy-6-ryad-280-mm-kranz-KR-91-1243/", "Инфо")</f>
        <v>Инфо</v>
      </c>
      <c r="F4983" s="16" t="s">
        <v>39</v>
      </c>
      <c r="G4983" s="15"/>
      <c r="H4983" s="15"/>
      <c r="I4983" s="15"/>
      <c r="J4983" s="22">
        <v>2560</v>
      </c>
      <c r="K4983" s="15" t="s">
        <v>1272</v>
      </c>
      <c r="L4983" s="17">
        <v>5</v>
      </c>
      <c r="M4983" s="17">
        <v>120</v>
      </c>
      <c r="N4983" s="17">
        <v>5</v>
      </c>
      <c r="O4983" s="18">
        <v>153.69999999999999</v>
      </c>
      <c r="P4983" s="18">
        <v>125.98</v>
      </c>
      <c r="Q4983" s="18">
        <v>146.02000000000001</v>
      </c>
      <c r="R4983" s="18">
        <v>119.69</v>
      </c>
      <c r="S4983" s="18">
        <v>104.52</v>
      </c>
      <c r="T4983" s="18">
        <v>85.67</v>
      </c>
      <c r="U4983" s="16"/>
      <c r="V4983" s="16"/>
      <c r="W4983" s="16" t="s">
        <v>40</v>
      </c>
      <c r="X4983" s="19">
        <v>0.14199999999999999</v>
      </c>
      <c r="Y4983" s="20">
        <v>4.8000000000000001E-4</v>
      </c>
      <c r="Z4983" s="21">
        <v>4601004206472</v>
      </c>
    </row>
    <row r="4984" spans="1:26" ht="12" customHeight="1" outlineLevel="4" x14ac:dyDescent="0.2">
      <c r="A4984" s="14" t="s">
        <v>9674</v>
      </c>
      <c r="B4984" s="26" t="s">
        <v>9675</v>
      </c>
      <c r="C4984" s="52"/>
      <c r="D4984" s="55">
        <f t="shared" si="77"/>
        <v>0</v>
      </c>
      <c r="E4984" s="63" t="str">
        <f>HYPERLINK("https://www.sds-group.ru/product/schetka-po-metallu-s-derevyannoy-ruchkoy-4-ryada-280mm-kranz-KR-91-1257/", "Инфо")</f>
        <v>Инфо</v>
      </c>
      <c r="F4984" s="16" t="s">
        <v>39</v>
      </c>
      <c r="G4984" s="15"/>
      <c r="H4984" s="15"/>
      <c r="I4984" s="15"/>
      <c r="J4984" s="17">
        <v>548</v>
      </c>
      <c r="K4984" s="15" t="s">
        <v>1058</v>
      </c>
      <c r="L4984" s="17">
        <v>5</v>
      </c>
      <c r="M4984" s="17">
        <v>120</v>
      </c>
      <c r="N4984" s="17">
        <v>5</v>
      </c>
      <c r="O4984" s="18">
        <v>124.38</v>
      </c>
      <c r="P4984" s="18">
        <v>101.95</v>
      </c>
      <c r="Q4984" s="18">
        <v>118.16</v>
      </c>
      <c r="R4984" s="18">
        <v>96.85</v>
      </c>
      <c r="S4984" s="18">
        <v>84.58</v>
      </c>
      <c r="T4984" s="18">
        <v>69.33</v>
      </c>
      <c r="U4984" s="16"/>
      <c r="V4984" s="16"/>
      <c r="W4984" s="16" t="s">
        <v>40</v>
      </c>
      <c r="X4984" s="19">
        <v>0.126</v>
      </c>
      <c r="Y4984" s="20">
        <v>4.1899999999999999E-4</v>
      </c>
      <c r="Z4984" s="21">
        <v>4601004286634</v>
      </c>
    </row>
    <row r="4985" spans="1:26" ht="12" customHeight="1" outlineLevel="4" x14ac:dyDescent="0.2">
      <c r="A4985" s="14" t="s">
        <v>9676</v>
      </c>
      <c r="B4985" s="26" t="s">
        <v>9677</v>
      </c>
      <c r="C4985" s="52"/>
      <c r="D4985" s="55">
        <f t="shared" si="77"/>
        <v>0</v>
      </c>
      <c r="E4985" s="63" t="str">
        <f>HYPERLINK("https://www.sds-group.ru/product/schetka-po-metallu-s-derevyannoy-ruchkoy-5-ryadov-280mm-kranz-KR-91-1258/", "Инфо")</f>
        <v>Инфо</v>
      </c>
      <c r="F4985" s="16" t="s">
        <v>39</v>
      </c>
      <c r="G4985" s="15"/>
      <c r="H4985" s="15"/>
      <c r="I4985" s="15"/>
      <c r="J4985" s="22">
        <v>2222</v>
      </c>
      <c r="K4985" s="15" t="s">
        <v>1055</v>
      </c>
      <c r="L4985" s="17">
        <v>5</v>
      </c>
      <c r="M4985" s="17">
        <v>120</v>
      </c>
      <c r="N4985" s="17">
        <v>5</v>
      </c>
      <c r="O4985" s="18">
        <v>134.76</v>
      </c>
      <c r="P4985" s="18">
        <v>110.46</v>
      </c>
      <c r="Q4985" s="18">
        <v>128.02000000000001</v>
      </c>
      <c r="R4985" s="18">
        <v>104.93</v>
      </c>
      <c r="S4985" s="18">
        <v>91.64</v>
      </c>
      <c r="T4985" s="18">
        <v>75.11</v>
      </c>
      <c r="U4985" s="16"/>
      <c r="V4985" s="16"/>
      <c r="W4985" s="16" t="s">
        <v>40</v>
      </c>
      <c r="X4985" s="19">
        <v>0.14099999999999999</v>
      </c>
      <c r="Y4985" s="20">
        <v>4.7199999999999998E-4</v>
      </c>
      <c r="Z4985" s="21">
        <v>4601004286627</v>
      </c>
    </row>
    <row r="4986" spans="1:26" ht="12" customHeight="1" outlineLevel="4" x14ac:dyDescent="0.2">
      <c r="A4986" s="14" t="s">
        <v>9678</v>
      </c>
      <c r="B4986" s="26" t="s">
        <v>9679</v>
      </c>
      <c r="C4986" s="52"/>
      <c r="D4986" s="55">
        <f t="shared" si="77"/>
        <v>0</v>
      </c>
      <c r="E4986" s="63" t="str">
        <f>HYPERLINK("https://www.sds-group.ru/product/schetka-po-metallu-s-plastikovoy-ruchkoy-4-ryad-260-mm-kranz-KR-91-1236/", "Инфо")</f>
        <v>Инфо</v>
      </c>
      <c r="F4986" s="16" t="s">
        <v>39</v>
      </c>
      <c r="G4986" s="15"/>
      <c r="H4986" s="15"/>
      <c r="I4986" s="15"/>
      <c r="J4986" s="22">
        <v>2315</v>
      </c>
      <c r="K4986" s="15" t="s">
        <v>1272</v>
      </c>
      <c r="L4986" s="17">
        <v>5</v>
      </c>
      <c r="M4986" s="17">
        <v>120</v>
      </c>
      <c r="N4986" s="17">
        <v>5</v>
      </c>
      <c r="O4986" s="18">
        <v>196.95</v>
      </c>
      <c r="P4986" s="18">
        <v>161.43</v>
      </c>
      <c r="Q4986" s="18">
        <v>187.1</v>
      </c>
      <c r="R4986" s="18">
        <v>153.36000000000001</v>
      </c>
      <c r="S4986" s="18">
        <v>133.93</v>
      </c>
      <c r="T4986" s="18">
        <v>109.78</v>
      </c>
      <c r="U4986" s="16"/>
      <c r="V4986" s="16"/>
      <c r="W4986" s="16" t="s">
        <v>40</v>
      </c>
      <c r="X4986" s="19">
        <v>0.114</v>
      </c>
      <c r="Y4986" s="20">
        <v>4.0700000000000003E-4</v>
      </c>
      <c r="Z4986" s="21">
        <v>4601004206427</v>
      </c>
    </row>
    <row r="4987" spans="1:26" ht="12" customHeight="1" outlineLevel="4" x14ac:dyDescent="0.2">
      <c r="A4987" s="14" t="s">
        <v>9680</v>
      </c>
      <c r="B4987" s="26" t="s">
        <v>9681</v>
      </c>
      <c r="C4987" s="52"/>
      <c r="D4987" s="55">
        <f t="shared" si="77"/>
        <v>0</v>
      </c>
      <c r="E4987" s="63" t="str">
        <f>HYPERLINK("https://www.sds-group.ru/product/schetka-po-metallu-s-plastikovoy-ruchkoy-6-ryad-260-mm-kranz-KR-91-1237/", "Инфо")</f>
        <v>Инфо</v>
      </c>
      <c r="F4987" s="16" t="s">
        <v>39</v>
      </c>
      <c r="G4987" s="15"/>
      <c r="H4987" s="15"/>
      <c r="I4987" s="15"/>
      <c r="J4987" s="17">
        <v>153</v>
      </c>
      <c r="K4987" s="15" t="s">
        <v>1055</v>
      </c>
      <c r="L4987" s="17">
        <v>5</v>
      </c>
      <c r="M4987" s="17">
        <v>120</v>
      </c>
      <c r="N4987" s="17">
        <v>5</v>
      </c>
      <c r="O4987" s="18">
        <v>290.24</v>
      </c>
      <c r="P4987" s="18">
        <v>237.9</v>
      </c>
      <c r="Q4987" s="18">
        <v>275.73</v>
      </c>
      <c r="R4987" s="18">
        <v>226.01</v>
      </c>
      <c r="S4987" s="18">
        <v>197.36</v>
      </c>
      <c r="T4987" s="18">
        <v>161.77000000000001</v>
      </c>
      <c r="U4987" s="16"/>
      <c r="V4987" s="16"/>
      <c r="W4987" s="16" t="s">
        <v>40</v>
      </c>
      <c r="X4987" s="19">
        <v>0.14399999999999999</v>
      </c>
      <c r="Y4987" s="20">
        <v>4.7800000000000002E-4</v>
      </c>
      <c r="Z4987" s="21">
        <v>4601004206434</v>
      </c>
    </row>
    <row r="4988" spans="1:26" ht="12" customHeight="1" outlineLevel="4" x14ac:dyDescent="0.2">
      <c r="A4988" s="14" t="s">
        <v>9682</v>
      </c>
      <c r="B4988" s="26" t="s">
        <v>9683</v>
      </c>
      <c r="C4988" s="52"/>
      <c r="D4988" s="55">
        <f t="shared" si="77"/>
        <v>0</v>
      </c>
      <c r="E4988" s="63" t="str">
        <f>HYPERLINK("https://www.sds-group.ru/product/schetka-po-metallu-s-plastikovoy-ruchkoy-5-ryadov-260mm-kranz-KR-91-1256/", "Инфо")</f>
        <v>Инфо</v>
      </c>
      <c r="F4988" s="16" t="s">
        <v>39</v>
      </c>
      <c r="G4988" s="15"/>
      <c r="H4988" s="15"/>
      <c r="I4988" s="15"/>
      <c r="J4988" s="17">
        <v>896</v>
      </c>
      <c r="K4988" s="15" t="s">
        <v>1272</v>
      </c>
      <c r="L4988" s="17">
        <v>5</v>
      </c>
      <c r="M4988" s="17">
        <v>120</v>
      </c>
      <c r="N4988" s="17">
        <v>5</v>
      </c>
      <c r="O4988" s="18">
        <v>195.7</v>
      </c>
      <c r="P4988" s="18">
        <v>160.41</v>
      </c>
      <c r="Q4988" s="18">
        <v>185.92</v>
      </c>
      <c r="R4988" s="18">
        <v>152.38999999999999</v>
      </c>
      <c r="S4988" s="18">
        <v>133.08000000000001</v>
      </c>
      <c r="T4988" s="18">
        <v>109.08</v>
      </c>
      <c r="U4988" s="16"/>
      <c r="V4988" s="16"/>
      <c r="W4988" s="16" t="s">
        <v>40</v>
      </c>
      <c r="X4988" s="19">
        <v>0.129</v>
      </c>
      <c r="Y4988" s="20">
        <v>5.22E-4</v>
      </c>
      <c r="Z4988" s="21">
        <v>4601004286641</v>
      </c>
    </row>
    <row r="4989" spans="1:26" ht="12" customHeight="1" outlineLevel="4" x14ac:dyDescent="0.2">
      <c r="A4989" s="14" t="s">
        <v>9684</v>
      </c>
      <c r="B4989" s="26" t="s">
        <v>9685</v>
      </c>
      <c r="C4989" s="52"/>
      <c r="D4989" s="55">
        <f t="shared" si="77"/>
        <v>0</v>
      </c>
      <c r="E4989" s="63" t="str">
        <f>HYPERLINK("https://www.sds-group.ru/product/schetka-chashechnaya-dlya-dreli-vitaya-latunirovannaya-provoloka-50mm-kranz-KR-91-1253/", "Инфо")</f>
        <v>Инфо</v>
      </c>
      <c r="F4989" s="16" t="s">
        <v>39</v>
      </c>
      <c r="G4989" s="15"/>
      <c r="H4989" s="15"/>
      <c r="I4989" s="15"/>
      <c r="J4989" s="22">
        <v>2879</v>
      </c>
      <c r="K4989" s="15" t="s">
        <v>1272</v>
      </c>
      <c r="L4989" s="17">
        <v>5</v>
      </c>
      <c r="M4989" s="17">
        <v>100</v>
      </c>
      <c r="N4989" s="17">
        <v>5</v>
      </c>
      <c r="O4989" s="18">
        <v>142.69999999999999</v>
      </c>
      <c r="P4989" s="18">
        <v>116.97</v>
      </c>
      <c r="Q4989" s="18">
        <v>135.57</v>
      </c>
      <c r="R4989" s="18">
        <v>111.12</v>
      </c>
      <c r="S4989" s="18">
        <v>97.04</v>
      </c>
      <c r="T4989" s="18">
        <v>79.540000000000006</v>
      </c>
      <c r="U4989" s="16"/>
      <c r="V4989" s="16"/>
      <c r="W4989" s="16" t="s">
        <v>40</v>
      </c>
      <c r="X4989" s="19">
        <v>8.6999999999999994E-2</v>
      </c>
      <c r="Y4989" s="20">
        <v>4.86E-4</v>
      </c>
      <c r="Z4989" s="21">
        <v>4601004286535</v>
      </c>
    </row>
    <row r="4990" spans="1:26" ht="12" customHeight="1" outlineLevel="4" x14ac:dyDescent="0.2">
      <c r="A4990" s="14" t="s">
        <v>9686</v>
      </c>
      <c r="B4990" s="26" t="s">
        <v>9687</v>
      </c>
      <c r="C4990" s="52"/>
      <c r="D4990" s="55">
        <f t="shared" si="77"/>
        <v>0</v>
      </c>
      <c r="E4990" s="63" t="str">
        <f>HYPERLINK("https://www.sds-group.ru/product/schetka-chashechnaya-dlya-dreli-vitaya-latunirovannaya-provoloka-65mm-kranz-KR-91-1254/", "Инфо")</f>
        <v>Инфо</v>
      </c>
      <c r="F4990" s="16" t="s">
        <v>39</v>
      </c>
      <c r="G4990" s="15"/>
      <c r="H4990" s="15"/>
      <c r="I4990" s="15"/>
      <c r="J4990" s="17">
        <v>865</v>
      </c>
      <c r="K4990" s="15" t="s">
        <v>1055</v>
      </c>
      <c r="L4990" s="17">
        <v>5</v>
      </c>
      <c r="M4990" s="17">
        <v>100</v>
      </c>
      <c r="N4990" s="17">
        <v>5</v>
      </c>
      <c r="O4990" s="18">
        <v>183.46</v>
      </c>
      <c r="P4990" s="18">
        <v>150.38</v>
      </c>
      <c r="Q4990" s="18">
        <v>174.29</v>
      </c>
      <c r="R4990" s="18">
        <v>142.86000000000001</v>
      </c>
      <c r="S4990" s="18">
        <v>124.75</v>
      </c>
      <c r="T4990" s="18">
        <v>102.25</v>
      </c>
      <c r="U4990" s="16"/>
      <c r="V4990" s="16"/>
      <c r="W4990" s="16" t="s">
        <v>40</v>
      </c>
      <c r="X4990" s="19">
        <v>0.113</v>
      </c>
      <c r="Y4990" s="20">
        <v>6.69E-4</v>
      </c>
      <c r="Z4990" s="21">
        <v>4601004286566</v>
      </c>
    </row>
    <row r="4991" spans="1:26" ht="12" customHeight="1" outlineLevel="4" x14ac:dyDescent="0.2">
      <c r="A4991" s="14" t="s">
        <v>9688</v>
      </c>
      <c r="B4991" s="26" t="s">
        <v>9689</v>
      </c>
      <c r="C4991" s="52"/>
      <c r="D4991" s="55">
        <f t="shared" si="77"/>
        <v>0</v>
      </c>
      <c r="E4991" s="63" t="str">
        <f>HYPERLINK("https://www.sds-group.ru/product/schetka-chashechnaya-dlya-ushm-vitaya-latunirovannaya-provoloka-100mm-m14-kranz-KR-91-1209/", "Инфо")</f>
        <v>Инфо</v>
      </c>
      <c r="F4991" s="16" t="s">
        <v>39</v>
      </c>
      <c r="G4991" s="15"/>
      <c r="H4991" s="15"/>
      <c r="I4991" s="15"/>
      <c r="J4991" s="17">
        <v>716</v>
      </c>
      <c r="K4991" s="15"/>
      <c r="L4991" s="17">
        <v>5</v>
      </c>
      <c r="M4991" s="17">
        <v>60</v>
      </c>
      <c r="N4991" s="17">
        <v>5</v>
      </c>
      <c r="O4991" s="18">
        <v>413.8</v>
      </c>
      <c r="P4991" s="18">
        <v>339.18</v>
      </c>
      <c r="Q4991" s="18">
        <v>372.42</v>
      </c>
      <c r="R4991" s="18">
        <v>305.26</v>
      </c>
      <c r="S4991" s="18">
        <v>281.38</v>
      </c>
      <c r="T4991" s="18">
        <v>230.64</v>
      </c>
      <c r="U4991" s="16"/>
      <c r="V4991" s="16"/>
      <c r="W4991" s="16" t="s">
        <v>40</v>
      </c>
      <c r="X4991" s="19">
        <v>0.38700000000000001</v>
      </c>
      <c r="Y4991" s="20">
        <v>1.031E-3</v>
      </c>
      <c r="Z4991" s="21">
        <v>4601004206366</v>
      </c>
    </row>
    <row r="4992" spans="1:26" ht="12" customHeight="1" outlineLevel="4" x14ac:dyDescent="0.2">
      <c r="A4992" s="14" t="s">
        <v>9690</v>
      </c>
      <c r="B4992" s="26" t="s">
        <v>9691</v>
      </c>
      <c r="C4992" s="52"/>
      <c r="D4992" s="55">
        <f t="shared" si="77"/>
        <v>0</v>
      </c>
      <c r="E4992" s="63" t="str">
        <f>HYPERLINK("https://www.sds-group.ru/product/schetka-chashechnaya-dlya-ushm-vitaya-latunirovannaya-provoloka-125mm-m14-kranz-KR-91-1210/", "Инфо")</f>
        <v>Инфо</v>
      </c>
      <c r="F4992" s="16" t="s">
        <v>39</v>
      </c>
      <c r="G4992" s="15"/>
      <c r="H4992" s="15"/>
      <c r="I4992" s="15"/>
      <c r="J4992" s="22">
        <v>1181</v>
      </c>
      <c r="K4992" s="15"/>
      <c r="L4992" s="17">
        <v>1</v>
      </c>
      <c r="M4992" s="17">
        <v>36</v>
      </c>
      <c r="N4992" s="17">
        <v>1</v>
      </c>
      <c r="O4992" s="18">
        <v>636.72</v>
      </c>
      <c r="P4992" s="18">
        <v>521.9</v>
      </c>
      <c r="Q4992" s="18">
        <v>598.52</v>
      </c>
      <c r="R4992" s="18">
        <v>490.59</v>
      </c>
      <c r="S4992" s="18">
        <v>432.97</v>
      </c>
      <c r="T4992" s="18">
        <v>354.89</v>
      </c>
      <c r="U4992" s="16"/>
      <c r="V4992" s="16"/>
      <c r="W4992" s="16" t="s">
        <v>40</v>
      </c>
      <c r="X4992" s="19">
        <v>0.627</v>
      </c>
      <c r="Y4992" s="20">
        <v>1.6609999999999999E-3</v>
      </c>
      <c r="Z4992" s="21">
        <v>4601004206373</v>
      </c>
    </row>
    <row r="4993" spans="1:26" ht="12" customHeight="1" outlineLevel="4" x14ac:dyDescent="0.2">
      <c r="A4993" s="14" t="s">
        <v>9692</v>
      </c>
      <c r="B4993" s="26" t="s">
        <v>9693</v>
      </c>
      <c r="C4993" s="52"/>
      <c r="D4993" s="55">
        <f t="shared" si="77"/>
        <v>0</v>
      </c>
      <c r="E4993" s="63" t="str">
        <f>HYPERLINK("https://www.sds-group.ru/product/schetka-chashechnaya-dlya-ushm-vitaya-latunirovannaya-provoloka-65mm-m14-kranz-KR-91-1211/", "Инфо")</f>
        <v>Инфо</v>
      </c>
      <c r="F4993" s="16" t="s">
        <v>39</v>
      </c>
      <c r="G4993" s="15"/>
      <c r="H4993" s="15"/>
      <c r="I4993" s="15"/>
      <c r="J4993" s="17">
        <v>61</v>
      </c>
      <c r="K4993" s="15" t="s">
        <v>1055</v>
      </c>
      <c r="L4993" s="17">
        <v>5</v>
      </c>
      <c r="M4993" s="17">
        <v>100</v>
      </c>
      <c r="N4993" s="17">
        <v>5</v>
      </c>
      <c r="O4993" s="18">
        <v>244.62</v>
      </c>
      <c r="P4993" s="18">
        <v>200.51</v>
      </c>
      <c r="Q4993" s="18">
        <v>232.39</v>
      </c>
      <c r="R4993" s="18">
        <v>190.48</v>
      </c>
      <c r="S4993" s="18">
        <v>166.34</v>
      </c>
      <c r="T4993" s="18">
        <v>136.34</v>
      </c>
      <c r="U4993" s="16"/>
      <c r="V4993" s="16"/>
      <c r="W4993" s="16" t="s">
        <v>40</v>
      </c>
      <c r="X4993" s="19">
        <v>0.156</v>
      </c>
      <c r="Y4993" s="20">
        <v>4.2499999999999998E-4</v>
      </c>
      <c r="Z4993" s="21">
        <v>4601004286573</v>
      </c>
    </row>
    <row r="4994" spans="1:26" ht="12" customHeight="1" outlineLevel="4" x14ac:dyDescent="0.2">
      <c r="A4994" s="14" t="s">
        <v>9694</v>
      </c>
      <c r="B4994" s="26" t="s">
        <v>9695</v>
      </c>
      <c r="C4994" s="52"/>
      <c r="D4994" s="55">
        <f t="shared" si="77"/>
        <v>0</v>
      </c>
      <c r="E4994" s="63" t="str">
        <f>HYPERLINK("https://www.sds-group.ru/product/schetka-chashechnaya-dlya-ushm-vitaya-latunirovannaya-provoloka-75mm-m14-kranz-KR-91-1212/", "Инфо")</f>
        <v>Инфо</v>
      </c>
      <c r="F4994" s="16" t="s">
        <v>39</v>
      </c>
      <c r="G4994" s="15"/>
      <c r="H4994" s="15"/>
      <c r="I4994" s="15"/>
      <c r="J4994" s="22">
        <v>2553</v>
      </c>
      <c r="K4994" s="15"/>
      <c r="L4994" s="17">
        <v>5</v>
      </c>
      <c r="M4994" s="17">
        <v>80</v>
      </c>
      <c r="N4994" s="17">
        <v>5</v>
      </c>
      <c r="O4994" s="18">
        <v>295.58</v>
      </c>
      <c r="P4994" s="18">
        <v>242.28</v>
      </c>
      <c r="Q4994" s="18">
        <v>280.8</v>
      </c>
      <c r="R4994" s="18">
        <v>230.16</v>
      </c>
      <c r="S4994" s="18">
        <v>200.99</v>
      </c>
      <c r="T4994" s="18">
        <v>164.75</v>
      </c>
      <c r="U4994" s="16"/>
      <c r="V4994" s="16"/>
      <c r="W4994" s="16" t="s">
        <v>40</v>
      </c>
      <c r="X4994" s="19">
        <v>0.21299999999999999</v>
      </c>
      <c r="Y4994" s="20">
        <v>5.62E-4</v>
      </c>
      <c r="Z4994" s="21">
        <v>4601004286498</v>
      </c>
    </row>
    <row r="4995" spans="1:26" ht="12" customHeight="1" outlineLevel="4" x14ac:dyDescent="0.2">
      <c r="A4995" s="32" t="s">
        <v>9696</v>
      </c>
      <c r="B4995" s="74" t="s">
        <v>9697</v>
      </c>
      <c r="C4995" s="50"/>
      <c r="D4995" s="53">
        <f t="shared" si="77"/>
        <v>0</v>
      </c>
      <c r="E4995" s="60" t="str">
        <f>HYPERLINK("https://www.sds-group.ru/product/schetka-chashechnaya-dlya-ushm-kruchenaya-stalnaya-provoloka-100mm-m14-kranz-KR-91-1234/", "Инфо")</f>
        <v>Инфо</v>
      </c>
      <c r="F4995" s="34" t="s">
        <v>39</v>
      </c>
      <c r="G4995" s="33"/>
      <c r="H4995" s="33" t="s">
        <v>40</v>
      </c>
      <c r="I4995" s="33"/>
      <c r="J4995" s="35">
        <v>639</v>
      </c>
      <c r="K4995" s="33"/>
      <c r="L4995" s="35">
        <v>1</v>
      </c>
      <c r="M4995" s="35">
        <v>36</v>
      </c>
      <c r="N4995" s="35">
        <v>1</v>
      </c>
      <c r="O4995" s="36">
        <v>411.89</v>
      </c>
      <c r="P4995" s="36">
        <v>337.61</v>
      </c>
      <c r="Q4995" s="36">
        <v>288.32</v>
      </c>
      <c r="R4995" s="36">
        <v>236.33</v>
      </c>
      <c r="S4995" s="36">
        <v>280.08999999999997</v>
      </c>
      <c r="T4995" s="36">
        <v>229.58</v>
      </c>
      <c r="U4995" s="34"/>
      <c r="V4995" s="34"/>
      <c r="W4995" s="34"/>
      <c r="X4995" s="37">
        <v>0.47399999999999998</v>
      </c>
      <c r="Y4995" s="38">
        <v>1.088E-3</v>
      </c>
      <c r="Z4995" s="21">
        <v>4601004206403</v>
      </c>
    </row>
    <row r="4996" spans="1:26" ht="12" customHeight="1" outlineLevel="4" x14ac:dyDescent="0.2">
      <c r="A4996" s="14" t="s">
        <v>9698</v>
      </c>
      <c r="B4996" s="26" t="s">
        <v>9699</v>
      </c>
      <c r="C4996" s="52"/>
      <c r="D4996" s="55">
        <f t="shared" si="77"/>
        <v>0</v>
      </c>
      <c r="E4996" s="63" t="str">
        <f>HYPERLINK("https://www.sds-group.ru/product/schetka-chashechnaya-dlya-ushm-kruchenaya-stalnaya-provoloka-125mm-m14-kranz-KR-91-1235/", "Инфо")</f>
        <v>Инфо</v>
      </c>
      <c r="F4996" s="16" t="s">
        <v>39</v>
      </c>
      <c r="G4996" s="15"/>
      <c r="H4996" s="15"/>
      <c r="I4996" s="15"/>
      <c r="J4996" s="17">
        <v>329</v>
      </c>
      <c r="K4996" s="15"/>
      <c r="L4996" s="17">
        <v>1</v>
      </c>
      <c r="M4996" s="17">
        <v>72</v>
      </c>
      <c r="N4996" s="17">
        <v>1</v>
      </c>
      <c r="O4996" s="18">
        <v>778.7</v>
      </c>
      <c r="P4996" s="18">
        <v>638.28</v>
      </c>
      <c r="Q4996" s="18">
        <v>700.83</v>
      </c>
      <c r="R4996" s="18">
        <v>574.45000000000005</v>
      </c>
      <c r="S4996" s="18">
        <v>529.52</v>
      </c>
      <c r="T4996" s="18">
        <v>434.03</v>
      </c>
      <c r="U4996" s="16"/>
      <c r="V4996" s="16"/>
      <c r="W4996" s="16" t="s">
        <v>40</v>
      </c>
      <c r="X4996" s="19">
        <v>0.74299999999999999</v>
      </c>
      <c r="Y4996" s="20">
        <v>1.5889999999999999E-3</v>
      </c>
      <c r="Z4996" s="21">
        <v>4601004206410</v>
      </c>
    </row>
    <row r="4997" spans="1:26" ht="12.95" customHeight="1" outlineLevel="3" x14ac:dyDescent="0.2">
      <c r="A4997" s="76" t="s">
        <v>9700</v>
      </c>
      <c r="B4997" s="76"/>
      <c r="C4997" s="77"/>
      <c r="D4997" s="58"/>
      <c r="E4997" s="68"/>
      <c r="F4997" s="13"/>
      <c r="G4997" s="13"/>
      <c r="H4997" s="13"/>
      <c r="I4997" s="13"/>
      <c r="J4997" s="13"/>
      <c r="K4997" s="13"/>
      <c r="L4997" s="13"/>
      <c r="M4997" s="13"/>
      <c r="N4997" s="13"/>
      <c r="O4997" s="13"/>
      <c r="P4997" s="13"/>
      <c r="Q4997" s="13"/>
      <c r="R4997" s="13"/>
      <c r="S4997" s="13"/>
      <c r="T4997" s="13"/>
      <c r="U4997" s="13"/>
      <c r="V4997" s="13"/>
      <c r="W4997" s="13"/>
      <c r="X4997" s="13"/>
      <c r="Y4997" s="13"/>
      <c r="Z4997" s="13"/>
    </row>
    <row r="4998" spans="1:26" ht="12" customHeight="1" outlineLevel="4" x14ac:dyDescent="0.2">
      <c r="A4998" s="32" t="s">
        <v>9701</v>
      </c>
      <c r="B4998" s="74" t="s">
        <v>9702</v>
      </c>
      <c r="C4998" s="50"/>
      <c r="D4998" s="53">
        <f t="shared" si="77"/>
        <v>0</v>
      </c>
      <c r="E4998" s="60" t="str">
        <f>HYPERLINK("https://www.sds-group.ru/product/lenta-shlifovalnaya-beskonechnaya-75h457mm-p100-5-sht-up-kranz-KR-91-1333/", "Инфо")</f>
        <v>Инфо</v>
      </c>
      <c r="F4998" s="34" t="s">
        <v>1001</v>
      </c>
      <c r="G4998" s="33"/>
      <c r="H4998" s="33" t="s">
        <v>40</v>
      </c>
      <c r="I4998" s="33"/>
      <c r="J4998" s="35">
        <v>67</v>
      </c>
      <c r="K4998" s="33"/>
      <c r="L4998" s="35">
        <v>1</v>
      </c>
      <c r="M4998" s="35">
        <v>48</v>
      </c>
      <c r="N4998" s="35">
        <v>1</v>
      </c>
      <c r="O4998" s="36">
        <v>416.02</v>
      </c>
      <c r="P4998" s="36">
        <v>341</v>
      </c>
      <c r="Q4998" s="36">
        <v>291.20999999999998</v>
      </c>
      <c r="R4998" s="36">
        <v>238.7</v>
      </c>
      <c r="S4998" s="36">
        <v>282.89</v>
      </c>
      <c r="T4998" s="36">
        <v>231.88</v>
      </c>
      <c r="U4998" s="34"/>
      <c r="V4998" s="34"/>
      <c r="W4998" s="34"/>
      <c r="X4998" s="37">
        <v>0.214</v>
      </c>
      <c r="Y4998" s="38">
        <v>1.194E-3</v>
      </c>
      <c r="Z4998" s="21">
        <v>4601004294837</v>
      </c>
    </row>
    <row r="4999" spans="1:26" ht="12" customHeight="1" outlineLevel="4" x14ac:dyDescent="0.2">
      <c r="A4999" s="14" t="s">
        <v>9703</v>
      </c>
      <c r="B4999" s="26" t="s">
        <v>9704</v>
      </c>
      <c r="C4999" s="52"/>
      <c r="D4999" s="55">
        <f t="shared" si="77"/>
        <v>0</v>
      </c>
      <c r="E4999" s="63" t="str">
        <f>HYPERLINK("https://www.sds-group.ru/product/lenta-shlifovalnaya-beskonechnaya-75h457mm-p40-5-sht-up-kranz-KR-91-1330/", "Инфо")</f>
        <v>Инфо</v>
      </c>
      <c r="F4999" s="16" t="s">
        <v>1001</v>
      </c>
      <c r="G4999" s="15"/>
      <c r="H4999" s="15"/>
      <c r="I4999" s="15"/>
      <c r="J4999" s="17">
        <v>198</v>
      </c>
      <c r="K4999" s="15" t="s">
        <v>1055</v>
      </c>
      <c r="L4999" s="17">
        <v>5</v>
      </c>
      <c r="M4999" s="17">
        <v>18</v>
      </c>
      <c r="N4999" s="17">
        <v>5</v>
      </c>
      <c r="O4999" s="18">
        <v>437.08</v>
      </c>
      <c r="P4999" s="18">
        <v>358.26</v>
      </c>
      <c r="Q4999" s="18">
        <v>393.37</v>
      </c>
      <c r="R4999" s="18">
        <v>322.43</v>
      </c>
      <c r="S4999" s="18">
        <v>297.20999999999998</v>
      </c>
      <c r="T4999" s="18">
        <v>243.61</v>
      </c>
      <c r="U4999" s="16"/>
      <c r="V4999" s="16"/>
      <c r="W4999" s="16" t="s">
        <v>40</v>
      </c>
      <c r="X4999" s="19">
        <v>0.25600000000000001</v>
      </c>
      <c r="Y4999" s="20">
        <v>7.4700000000000005E-4</v>
      </c>
      <c r="Z4999" s="21">
        <v>4601004294899</v>
      </c>
    </row>
    <row r="5000" spans="1:26" ht="12" customHeight="1" outlineLevel="4" x14ac:dyDescent="0.2">
      <c r="A5000" s="14" t="s">
        <v>9705</v>
      </c>
      <c r="B5000" s="26" t="s">
        <v>9706</v>
      </c>
      <c r="C5000" s="52"/>
      <c r="D5000" s="55">
        <f t="shared" si="77"/>
        <v>0</v>
      </c>
      <c r="E5000" s="63" t="str">
        <f>HYPERLINK("https://www.sds-group.ru/product/lenta-shlifovalnaya-beskonechnaya-75h457mm-p60-5-sht-up-kranz-KR-91-1331/", "Инфо")</f>
        <v>Инфо</v>
      </c>
      <c r="F5000" s="16" t="s">
        <v>1001</v>
      </c>
      <c r="G5000" s="15"/>
      <c r="H5000" s="15"/>
      <c r="I5000" s="15"/>
      <c r="J5000" s="17">
        <v>286</v>
      </c>
      <c r="K5000" s="15" t="s">
        <v>1055</v>
      </c>
      <c r="L5000" s="17">
        <v>5</v>
      </c>
      <c r="M5000" s="17">
        <v>48</v>
      </c>
      <c r="N5000" s="17">
        <v>5</v>
      </c>
      <c r="O5000" s="18">
        <v>437.08</v>
      </c>
      <c r="P5000" s="18">
        <v>358.26</v>
      </c>
      <c r="Q5000" s="18">
        <v>393.37</v>
      </c>
      <c r="R5000" s="18">
        <v>322.43</v>
      </c>
      <c r="S5000" s="18">
        <v>297.20999999999998</v>
      </c>
      <c r="T5000" s="18">
        <v>243.61</v>
      </c>
      <c r="U5000" s="16"/>
      <c r="V5000" s="16"/>
      <c r="W5000" s="16" t="s">
        <v>40</v>
      </c>
      <c r="X5000" s="19">
        <v>0.245</v>
      </c>
      <c r="Y5000" s="20">
        <v>1.2149999999999999E-3</v>
      </c>
      <c r="Z5000" s="21">
        <v>4601004294875</v>
      </c>
    </row>
    <row r="5001" spans="1:26" ht="12" customHeight="1" outlineLevel="4" x14ac:dyDescent="0.2">
      <c r="A5001" s="14" t="s">
        <v>9707</v>
      </c>
      <c r="B5001" s="26" t="s">
        <v>9708</v>
      </c>
      <c r="C5001" s="52"/>
      <c r="D5001" s="55">
        <f t="shared" ref="D5001:D5064" si="78">C5001*(O5001-O5001*$G$3)</f>
        <v>0</v>
      </c>
      <c r="E5001" s="63" t="str">
        <f>HYPERLINK("https://www.sds-group.ru/product/lenta-shlifovalnaya-beskonechnaya-75h457mm-p80-5-sht-up-kranz-KR-91-1332/", "Инфо")</f>
        <v>Инфо</v>
      </c>
      <c r="F5001" s="16" t="s">
        <v>1001</v>
      </c>
      <c r="G5001" s="15"/>
      <c r="H5001" s="15"/>
      <c r="I5001" s="15"/>
      <c r="J5001" s="17">
        <v>198</v>
      </c>
      <c r="K5001" s="15" t="s">
        <v>1055</v>
      </c>
      <c r="L5001" s="17">
        <v>5</v>
      </c>
      <c r="M5001" s="17">
        <v>18</v>
      </c>
      <c r="N5001" s="17">
        <v>5</v>
      </c>
      <c r="O5001" s="18">
        <v>416.02</v>
      </c>
      <c r="P5001" s="18">
        <v>341</v>
      </c>
      <c r="Q5001" s="18">
        <v>374.42</v>
      </c>
      <c r="R5001" s="18">
        <v>306.89999999999998</v>
      </c>
      <c r="S5001" s="18">
        <v>282.89</v>
      </c>
      <c r="T5001" s="18">
        <v>231.88</v>
      </c>
      <c r="U5001" s="16"/>
      <c r="V5001" s="16"/>
      <c r="W5001" s="16" t="s">
        <v>40</v>
      </c>
      <c r="X5001" s="19">
        <v>0.22900000000000001</v>
      </c>
      <c r="Y5001" s="20">
        <v>1.2340000000000001E-3</v>
      </c>
      <c r="Z5001" s="21">
        <v>4601004294851</v>
      </c>
    </row>
    <row r="5002" spans="1:26" ht="12" customHeight="1" outlineLevel="4" x14ac:dyDescent="0.2">
      <c r="A5002" s="14" t="s">
        <v>9709</v>
      </c>
      <c r="B5002" s="26" t="s">
        <v>9710</v>
      </c>
      <c r="C5002" s="52"/>
      <c r="D5002" s="55">
        <f t="shared" si="78"/>
        <v>0</v>
      </c>
      <c r="E5002" s="63" t="str">
        <f>HYPERLINK("https://www.sds-group.ru/product/lenta-shlifovalnaya-beskonechnaya-75h533mm-p100-5-sht-up-kranz-KR-91-1337/", "Инфо")</f>
        <v>Инфо</v>
      </c>
      <c r="F5002" s="16" t="s">
        <v>1001</v>
      </c>
      <c r="G5002" s="15"/>
      <c r="H5002" s="15"/>
      <c r="I5002" s="15"/>
      <c r="J5002" s="17">
        <v>283</v>
      </c>
      <c r="K5002" s="15"/>
      <c r="L5002" s="17">
        <v>5</v>
      </c>
      <c r="M5002" s="17">
        <v>18</v>
      </c>
      <c r="N5002" s="17">
        <v>5</v>
      </c>
      <c r="O5002" s="18">
        <v>458.13</v>
      </c>
      <c r="P5002" s="18">
        <v>375.52</v>
      </c>
      <c r="Q5002" s="18">
        <v>412.32</v>
      </c>
      <c r="R5002" s="18">
        <v>337.97</v>
      </c>
      <c r="S5002" s="18">
        <v>311.52999999999997</v>
      </c>
      <c r="T5002" s="18">
        <v>255.35</v>
      </c>
      <c r="U5002" s="16"/>
      <c r="V5002" s="16"/>
      <c r="W5002" s="16" t="s">
        <v>40</v>
      </c>
      <c r="X5002" s="19">
        <v>0.23300000000000001</v>
      </c>
      <c r="Y5002" s="20">
        <v>1.5319999999999999E-3</v>
      </c>
      <c r="Z5002" s="21">
        <v>4601004294882</v>
      </c>
    </row>
    <row r="5003" spans="1:26" ht="12" customHeight="1" outlineLevel="4" x14ac:dyDescent="0.2">
      <c r="A5003" s="14" t="s">
        <v>9711</v>
      </c>
      <c r="B5003" s="26" t="s">
        <v>9712</v>
      </c>
      <c r="C5003" s="52"/>
      <c r="D5003" s="55">
        <f t="shared" si="78"/>
        <v>0</v>
      </c>
      <c r="E5003" s="63" t="str">
        <f>HYPERLINK("https://www.sds-group.ru/product/lenta-shlifovalnaya-beskonechnaya-75h533mm-p40-5-sht-up-kranz-KR-91-1334/", "Инфо")</f>
        <v>Инфо</v>
      </c>
      <c r="F5003" s="16" t="s">
        <v>1001</v>
      </c>
      <c r="G5003" s="15"/>
      <c r="H5003" s="15"/>
      <c r="I5003" s="15"/>
      <c r="J5003" s="17">
        <v>350</v>
      </c>
      <c r="K5003" s="15" t="s">
        <v>1055</v>
      </c>
      <c r="L5003" s="17">
        <v>5</v>
      </c>
      <c r="M5003" s="17">
        <v>18</v>
      </c>
      <c r="N5003" s="17">
        <v>5</v>
      </c>
      <c r="O5003" s="18">
        <v>479.2</v>
      </c>
      <c r="P5003" s="18">
        <v>392.79</v>
      </c>
      <c r="Q5003" s="18">
        <v>431.28</v>
      </c>
      <c r="R5003" s="18">
        <v>353.51</v>
      </c>
      <c r="S5003" s="18">
        <v>325.86</v>
      </c>
      <c r="T5003" s="18">
        <v>267.10000000000002</v>
      </c>
      <c r="U5003" s="16"/>
      <c r="V5003" s="16"/>
      <c r="W5003" s="16" t="s">
        <v>40</v>
      </c>
      <c r="X5003" s="19">
        <v>0.312</v>
      </c>
      <c r="Y5003" s="20">
        <v>1.4170000000000001E-3</v>
      </c>
      <c r="Z5003" s="21">
        <v>4601004294844</v>
      </c>
    </row>
    <row r="5004" spans="1:26" ht="12" customHeight="1" outlineLevel="4" x14ac:dyDescent="0.2">
      <c r="A5004" s="14" t="s">
        <v>9713</v>
      </c>
      <c r="B5004" s="26" t="s">
        <v>9714</v>
      </c>
      <c r="C5004" s="52"/>
      <c r="D5004" s="55">
        <f t="shared" si="78"/>
        <v>0</v>
      </c>
      <c r="E5004" s="63" t="str">
        <f>HYPERLINK("https://www.sds-group.ru/product/lenta-shlifovalnaya-beskonechnaya-75h533mm-p60-5-sht-up-kranz-KR-91-1335/", "Инфо")</f>
        <v>Инфо</v>
      </c>
      <c r="F5004" s="16" t="s">
        <v>1001</v>
      </c>
      <c r="G5004" s="15"/>
      <c r="H5004" s="15"/>
      <c r="I5004" s="15"/>
      <c r="J5004" s="17">
        <v>364</v>
      </c>
      <c r="K5004" s="15"/>
      <c r="L5004" s="17">
        <v>5</v>
      </c>
      <c r="M5004" s="17">
        <v>18</v>
      </c>
      <c r="N5004" s="17">
        <v>5</v>
      </c>
      <c r="O5004" s="18">
        <v>479.2</v>
      </c>
      <c r="P5004" s="18">
        <v>392.79</v>
      </c>
      <c r="Q5004" s="18">
        <v>431.28</v>
      </c>
      <c r="R5004" s="18">
        <v>353.51</v>
      </c>
      <c r="S5004" s="18">
        <v>325.86</v>
      </c>
      <c r="T5004" s="18">
        <v>267.10000000000002</v>
      </c>
      <c r="U5004" s="16"/>
      <c r="V5004" s="16"/>
      <c r="W5004" s="16" t="s">
        <v>40</v>
      </c>
      <c r="X5004" s="19">
        <v>0.28599999999999998</v>
      </c>
      <c r="Y5004" s="20">
        <v>1.603E-3</v>
      </c>
      <c r="Z5004" s="21">
        <v>4601004294868</v>
      </c>
    </row>
    <row r="5005" spans="1:26" ht="12" customHeight="1" outlineLevel="4" x14ac:dyDescent="0.2">
      <c r="A5005" s="32" t="s">
        <v>9715</v>
      </c>
      <c r="B5005" s="74" t="s">
        <v>9716</v>
      </c>
      <c r="C5005" s="50"/>
      <c r="D5005" s="53">
        <f t="shared" si="78"/>
        <v>0</v>
      </c>
      <c r="E5005" s="60" t="str">
        <f>HYPERLINK("https://www.sds-group.ru/product/lenta-shlifovalnaya-beskonechnaya-75h533mm-p80-5-sht-up-kranz-KR-91-1336/", "Инфо")</f>
        <v>Инфо</v>
      </c>
      <c r="F5005" s="34" t="s">
        <v>1001</v>
      </c>
      <c r="G5005" s="33"/>
      <c r="H5005" s="33" t="s">
        <v>40</v>
      </c>
      <c r="I5005" s="33"/>
      <c r="J5005" s="35">
        <v>67</v>
      </c>
      <c r="K5005" s="33"/>
      <c r="L5005" s="35">
        <v>1</v>
      </c>
      <c r="M5005" s="35">
        <v>48</v>
      </c>
      <c r="N5005" s="35">
        <v>1</v>
      </c>
      <c r="O5005" s="36">
        <v>458.13</v>
      </c>
      <c r="P5005" s="36">
        <v>375.52</v>
      </c>
      <c r="Q5005" s="36">
        <v>320.69</v>
      </c>
      <c r="R5005" s="36">
        <v>262.86</v>
      </c>
      <c r="S5005" s="36">
        <v>311.52999999999997</v>
      </c>
      <c r="T5005" s="36">
        <v>255.35</v>
      </c>
      <c r="U5005" s="34"/>
      <c r="V5005" s="34"/>
      <c r="W5005" s="34"/>
      <c r="X5005" s="37">
        <v>0.26600000000000001</v>
      </c>
      <c r="Y5005" s="38">
        <v>1.5499999999999999E-3</v>
      </c>
      <c r="Z5005" s="21">
        <v>4601004294905</v>
      </c>
    </row>
    <row r="5006" spans="1:26" ht="12" customHeight="1" outlineLevel="4" x14ac:dyDescent="0.2">
      <c r="A5006" s="32" t="s">
        <v>9717</v>
      </c>
      <c r="B5006" s="74" t="s">
        <v>9718</v>
      </c>
      <c r="C5006" s="50"/>
      <c r="D5006" s="53">
        <f t="shared" si="78"/>
        <v>0</v>
      </c>
      <c r="E5006" s="60" t="str">
        <f>HYPERLINK("https://www.sds-group.ru/product/shkurki-shlifovalnye-v-listah-na-tkanevoy-osnove-vodostoykie-230h280mm-r100-10-sht-up-kra-KR-91-1304/", "Инфо")</f>
        <v>Инфо</v>
      </c>
      <c r="F5006" s="34" t="s">
        <v>1001</v>
      </c>
      <c r="G5006" s="33"/>
      <c r="H5006" s="33" t="s">
        <v>40</v>
      </c>
      <c r="I5006" s="33"/>
      <c r="J5006" s="35">
        <v>953</v>
      </c>
      <c r="K5006" s="33"/>
      <c r="L5006" s="35">
        <v>1</v>
      </c>
      <c r="M5006" s="35">
        <v>1</v>
      </c>
      <c r="N5006" s="35">
        <v>1</v>
      </c>
      <c r="O5006" s="36">
        <v>384.62</v>
      </c>
      <c r="P5006" s="36">
        <v>315.26</v>
      </c>
      <c r="Q5006" s="36">
        <v>269.23</v>
      </c>
      <c r="R5006" s="36">
        <v>220.68</v>
      </c>
      <c r="S5006" s="36">
        <v>261.54000000000002</v>
      </c>
      <c r="T5006" s="36">
        <v>214.38</v>
      </c>
      <c r="U5006" s="34"/>
      <c r="V5006" s="34"/>
      <c r="W5006" s="34"/>
      <c r="X5006" s="37">
        <v>0.47299999999999998</v>
      </c>
      <c r="Y5006" s="38">
        <v>6.0400000000000004E-4</v>
      </c>
      <c r="Z5006" s="21">
        <v>4601004206267</v>
      </c>
    </row>
    <row r="5007" spans="1:26" ht="12" customHeight="1" outlineLevel="4" x14ac:dyDescent="0.2">
      <c r="A5007" s="32" t="s">
        <v>9719</v>
      </c>
      <c r="B5007" s="74" t="s">
        <v>9720</v>
      </c>
      <c r="C5007" s="50"/>
      <c r="D5007" s="53">
        <f t="shared" si="78"/>
        <v>0</v>
      </c>
      <c r="E5007" s="60" t="str">
        <f>HYPERLINK("https://www.sds-group.ru/product/shkurki-shlifovalnye-v-listah-na-tkanevoy-osnove-vodostoykie-230h280mm-r120-10-sht-up-kra-KR-91-1305/", "Инфо")</f>
        <v>Инфо</v>
      </c>
      <c r="F5007" s="34" t="s">
        <v>1001</v>
      </c>
      <c r="G5007" s="33"/>
      <c r="H5007" s="33" t="s">
        <v>40</v>
      </c>
      <c r="I5007" s="33"/>
      <c r="J5007" s="35">
        <v>940</v>
      </c>
      <c r="K5007" s="33"/>
      <c r="L5007" s="35">
        <v>1</v>
      </c>
      <c r="M5007" s="35">
        <v>1</v>
      </c>
      <c r="N5007" s="35">
        <v>1</v>
      </c>
      <c r="O5007" s="36">
        <v>384.62</v>
      </c>
      <c r="P5007" s="36">
        <v>315.26</v>
      </c>
      <c r="Q5007" s="36">
        <v>269.23</v>
      </c>
      <c r="R5007" s="36">
        <v>220.68</v>
      </c>
      <c r="S5007" s="36">
        <v>261.54000000000002</v>
      </c>
      <c r="T5007" s="36">
        <v>214.38</v>
      </c>
      <c r="U5007" s="34"/>
      <c r="V5007" s="34"/>
      <c r="W5007" s="34"/>
      <c r="X5007" s="37">
        <v>0.41899999999999998</v>
      </c>
      <c r="Y5007" s="38">
        <v>8.8599999999999996E-4</v>
      </c>
      <c r="Z5007" s="21">
        <v>4601004206274</v>
      </c>
    </row>
    <row r="5008" spans="1:26" ht="12" customHeight="1" outlineLevel="4" x14ac:dyDescent="0.2">
      <c r="A5008" s="32" t="s">
        <v>9721</v>
      </c>
      <c r="B5008" s="74" t="s">
        <v>9722</v>
      </c>
      <c r="C5008" s="50"/>
      <c r="D5008" s="53">
        <f t="shared" si="78"/>
        <v>0</v>
      </c>
      <c r="E5008" s="60" t="str">
        <f>HYPERLINK("https://www.sds-group.ru/product/shkurki-shlifovalnye-v-listah-na-tkanevoy-osnove-vodostoykie-230h280mm-r150-10-sht-up-kra-KR-91-1306/", "Инфо")</f>
        <v>Инфо</v>
      </c>
      <c r="F5008" s="34" t="s">
        <v>1001</v>
      </c>
      <c r="G5008" s="33"/>
      <c r="H5008" s="33" t="s">
        <v>40</v>
      </c>
      <c r="I5008" s="33"/>
      <c r="J5008" s="35">
        <v>907</v>
      </c>
      <c r="K5008" s="33"/>
      <c r="L5008" s="35">
        <v>1</v>
      </c>
      <c r="M5008" s="35">
        <v>60</v>
      </c>
      <c r="N5008" s="35">
        <v>1</v>
      </c>
      <c r="O5008" s="36">
        <v>384.62</v>
      </c>
      <c r="P5008" s="36">
        <v>315.26</v>
      </c>
      <c r="Q5008" s="36">
        <v>269.23</v>
      </c>
      <c r="R5008" s="36">
        <v>220.68</v>
      </c>
      <c r="S5008" s="36">
        <v>261.54000000000002</v>
      </c>
      <c r="T5008" s="36">
        <v>214.38</v>
      </c>
      <c r="U5008" s="34"/>
      <c r="V5008" s="34"/>
      <c r="W5008" s="34"/>
      <c r="X5008" s="37">
        <v>0.378</v>
      </c>
      <c r="Y5008" s="38">
        <v>5.2099999999999998E-4</v>
      </c>
      <c r="Z5008" s="21">
        <v>4601004206281</v>
      </c>
    </row>
    <row r="5009" spans="1:26" ht="12" customHeight="1" outlineLevel="4" x14ac:dyDescent="0.2">
      <c r="A5009" s="32" t="s">
        <v>9723</v>
      </c>
      <c r="B5009" s="74" t="s">
        <v>9724</v>
      </c>
      <c r="C5009" s="50"/>
      <c r="D5009" s="53">
        <f t="shared" si="78"/>
        <v>0</v>
      </c>
      <c r="E5009" s="60" t="str">
        <f>HYPERLINK("https://www.sds-group.ru/product/shkurki-shlifovalnye-v-listah-na-tkanevoy-osnove-vodostoykie-230h280mm-r180-10-sht-up-kra-KR-91-1307/", "Инфо")</f>
        <v>Инфо</v>
      </c>
      <c r="F5009" s="34" t="s">
        <v>1001</v>
      </c>
      <c r="G5009" s="33"/>
      <c r="H5009" s="33" t="s">
        <v>40</v>
      </c>
      <c r="I5009" s="33"/>
      <c r="J5009" s="39">
        <v>1293</v>
      </c>
      <c r="K5009" s="33"/>
      <c r="L5009" s="35">
        <v>1</v>
      </c>
      <c r="M5009" s="35">
        <v>1</v>
      </c>
      <c r="N5009" s="35">
        <v>1</v>
      </c>
      <c r="O5009" s="36">
        <v>384.62</v>
      </c>
      <c r="P5009" s="36">
        <v>315.26</v>
      </c>
      <c r="Q5009" s="36">
        <v>269.23</v>
      </c>
      <c r="R5009" s="36">
        <v>220.68</v>
      </c>
      <c r="S5009" s="36">
        <v>261.54000000000002</v>
      </c>
      <c r="T5009" s="36">
        <v>214.38</v>
      </c>
      <c r="U5009" s="34"/>
      <c r="V5009" s="34"/>
      <c r="W5009" s="34"/>
      <c r="X5009" s="37">
        <v>0.40300000000000002</v>
      </c>
      <c r="Y5009" s="38">
        <v>6.02E-4</v>
      </c>
      <c r="Z5009" s="21">
        <v>4601004206298</v>
      </c>
    </row>
    <row r="5010" spans="1:26" ht="12" customHeight="1" outlineLevel="4" x14ac:dyDescent="0.2">
      <c r="A5010" s="32" t="s">
        <v>9725</v>
      </c>
      <c r="B5010" s="74" t="s">
        <v>9726</v>
      </c>
      <c r="C5010" s="50"/>
      <c r="D5010" s="53">
        <f t="shared" si="78"/>
        <v>0</v>
      </c>
      <c r="E5010" s="60" t="str">
        <f>HYPERLINK("https://www.sds-group.ru/product/shkurki-shlifovalnye-v-listah-na-tkanevoy-osnove-vodostoykie-230h280mm-r240-10-sht-up-kra-KR-91-1308/", "Инфо")</f>
        <v>Инфо</v>
      </c>
      <c r="F5010" s="34" t="s">
        <v>1001</v>
      </c>
      <c r="G5010" s="33"/>
      <c r="H5010" s="33" t="s">
        <v>40</v>
      </c>
      <c r="I5010" s="33"/>
      <c r="J5010" s="39">
        <v>1313</v>
      </c>
      <c r="K5010" s="33"/>
      <c r="L5010" s="35">
        <v>1</v>
      </c>
      <c r="M5010" s="35">
        <v>1</v>
      </c>
      <c r="N5010" s="35">
        <v>1</v>
      </c>
      <c r="O5010" s="36">
        <v>384.62</v>
      </c>
      <c r="P5010" s="36">
        <v>315.26</v>
      </c>
      <c r="Q5010" s="36">
        <v>269.23</v>
      </c>
      <c r="R5010" s="36">
        <v>220.68</v>
      </c>
      <c r="S5010" s="36">
        <v>261.54000000000002</v>
      </c>
      <c r="T5010" s="36">
        <v>214.38</v>
      </c>
      <c r="U5010" s="34"/>
      <c r="V5010" s="34"/>
      <c r="W5010" s="34"/>
      <c r="X5010" s="37">
        <v>0.33700000000000002</v>
      </c>
      <c r="Y5010" s="38">
        <v>4.64E-4</v>
      </c>
      <c r="Z5010" s="21">
        <v>4601004206304</v>
      </c>
    </row>
    <row r="5011" spans="1:26" ht="12" customHeight="1" outlineLevel="4" x14ac:dyDescent="0.2">
      <c r="A5011" s="32" t="s">
        <v>9727</v>
      </c>
      <c r="B5011" s="74" t="s">
        <v>9728</v>
      </c>
      <c r="C5011" s="50"/>
      <c r="D5011" s="53">
        <f t="shared" si="78"/>
        <v>0</v>
      </c>
      <c r="E5011" s="60" t="str">
        <f>HYPERLINK("https://www.sds-group.ru/product/shkurki-shlifovalnye-v-listah-na-tkanevoy-osnove-vodostoykie-230h280mm-r320-10-sht-up-kra-KR-91-1309/", "Инфо")</f>
        <v>Инфо</v>
      </c>
      <c r="F5011" s="34" t="s">
        <v>1001</v>
      </c>
      <c r="G5011" s="33"/>
      <c r="H5011" s="33" t="s">
        <v>40</v>
      </c>
      <c r="I5011" s="33"/>
      <c r="J5011" s="39">
        <v>1288</v>
      </c>
      <c r="K5011" s="33"/>
      <c r="L5011" s="35">
        <v>1</v>
      </c>
      <c r="M5011" s="35">
        <v>1</v>
      </c>
      <c r="N5011" s="35">
        <v>1</v>
      </c>
      <c r="O5011" s="36">
        <v>384.62</v>
      </c>
      <c r="P5011" s="36">
        <v>315.26</v>
      </c>
      <c r="Q5011" s="36">
        <v>269.23</v>
      </c>
      <c r="R5011" s="36">
        <v>220.68</v>
      </c>
      <c r="S5011" s="36">
        <v>261.54000000000002</v>
      </c>
      <c r="T5011" s="36">
        <v>214.38</v>
      </c>
      <c r="U5011" s="34"/>
      <c r="V5011" s="34"/>
      <c r="W5011" s="34"/>
      <c r="X5011" s="37">
        <v>0.25900000000000001</v>
      </c>
      <c r="Y5011" s="38">
        <v>4.5300000000000001E-4</v>
      </c>
      <c r="Z5011" s="21">
        <v>4601004294806</v>
      </c>
    </row>
    <row r="5012" spans="1:26" ht="12" customHeight="1" outlineLevel="4" x14ac:dyDescent="0.2">
      <c r="A5012" s="14" t="s">
        <v>9729</v>
      </c>
      <c r="B5012" s="26" t="s">
        <v>9730</v>
      </c>
      <c r="C5012" s="52"/>
      <c r="D5012" s="55">
        <f t="shared" si="78"/>
        <v>0</v>
      </c>
      <c r="E5012" s="63" t="str">
        <f>HYPERLINK("https://www.sds-group.ru/product/shkurki-shlifovalnye-v-listah-na-tkanevoy-osnove-vodostoykie-230h280mm-r60-10-sht-up-kran-KR-91-1302/", "Инфо")</f>
        <v>Инфо</v>
      </c>
      <c r="F5012" s="16" t="s">
        <v>1001</v>
      </c>
      <c r="G5012" s="15"/>
      <c r="H5012" s="15"/>
      <c r="I5012" s="15"/>
      <c r="J5012" s="17">
        <v>871</v>
      </c>
      <c r="K5012" s="15"/>
      <c r="L5012" s="17">
        <v>1</v>
      </c>
      <c r="M5012" s="17">
        <v>1</v>
      </c>
      <c r="N5012" s="17">
        <v>1</v>
      </c>
      <c r="O5012" s="18">
        <v>407.7</v>
      </c>
      <c r="P5012" s="18">
        <v>334.18</v>
      </c>
      <c r="Q5012" s="18">
        <v>326.16000000000003</v>
      </c>
      <c r="R5012" s="18">
        <v>267.33999999999997</v>
      </c>
      <c r="S5012" s="18">
        <v>277.24</v>
      </c>
      <c r="T5012" s="18">
        <v>227.25</v>
      </c>
      <c r="U5012" s="16"/>
      <c r="V5012" s="16"/>
      <c r="W5012" s="16" t="s">
        <v>40</v>
      </c>
      <c r="X5012" s="19">
        <v>0.623</v>
      </c>
      <c r="Y5012" s="20">
        <v>8.1899999999999996E-4</v>
      </c>
      <c r="Z5012" s="21">
        <v>4601004206243</v>
      </c>
    </row>
    <row r="5013" spans="1:26" ht="12" customHeight="1" outlineLevel="4" x14ac:dyDescent="0.2">
      <c r="A5013" s="32" t="s">
        <v>9731</v>
      </c>
      <c r="B5013" s="74" t="s">
        <v>9732</v>
      </c>
      <c r="C5013" s="50"/>
      <c r="D5013" s="53">
        <f t="shared" si="78"/>
        <v>0</v>
      </c>
      <c r="E5013" s="60" t="str">
        <f>HYPERLINK("https://www.sds-group.ru/product/shkurki-shlifovalnye-v-listah-na-tkanevoy-osnove-vodostoykie-230h280mm-r80-10-sht-up-kran-KR-91-1303/", "Инфо")</f>
        <v>Инфо</v>
      </c>
      <c r="F5013" s="34" t="s">
        <v>1001</v>
      </c>
      <c r="G5013" s="33"/>
      <c r="H5013" s="33" t="s">
        <v>40</v>
      </c>
      <c r="I5013" s="33"/>
      <c r="J5013" s="35">
        <v>874</v>
      </c>
      <c r="K5013" s="33"/>
      <c r="L5013" s="35">
        <v>1</v>
      </c>
      <c r="M5013" s="35">
        <v>1</v>
      </c>
      <c r="N5013" s="35">
        <v>1</v>
      </c>
      <c r="O5013" s="36">
        <v>384.62</v>
      </c>
      <c r="P5013" s="36">
        <v>315.26</v>
      </c>
      <c r="Q5013" s="36">
        <v>269.23</v>
      </c>
      <c r="R5013" s="36">
        <v>220.68</v>
      </c>
      <c r="S5013" s="36">
        <v>261.54000000000002</v>
      </c>
      <c r="T5013" s="36">
        <v>214.38</v>
      </c>
      <c r="U5013" s="34"/>
      <c r="V5013" s="34"/>
      <c r="W5013" s="34"/>
      <c r="X5013" s="37">
        <v>0.56599999999999995</v>
      </c>
      <c r="Y5013" s="38">
        <v>7.4700000000000005E-4</v>
      </c>
      <c r="Z5013" s="21">
        <v>4601004206250</v>
      </c>
    </row>
    <row r="5014" spans="1:26" ht="12" customHeight="1" outlineLevel="4" x14ac:dyDescent="0.2">
      <c r="A5014" s="32" t="s">
        <v>9733</v>
      </c>
      <c r="B5014" s="74" t="s">
        <v>9734</v>
      </c>
      <c r="C5014" s="50"/>
      <c r="D5014" s="53">
        <f t="shared" si="78"/>
        <v>0</v>
      </c>
      <c r="E5014" s="60" t="str">
        <f>HYPERLINK("https://www.sds-group.ru/product/shkurki-shlifovalnye-v-listah-na-tkanevoy-osnove-vodostoykie-230h280mm-r400-10-sht-up-kra-KR-91-1310/", "Инфо")</f>
        <v>Инфо</v>
      </c>
      <c r="F5014" s="34" t="s">
        <v>1001</v>
      </c>
      <c r="G5014" s="33"/>
      <c r="H5014" s="33" t="s">
        <v>40</v>
      </c>
      <c r="I5014" s="33"/>
      <c r="J5014" s="39">
        <v>1186</v>
      </c>
      <c r="K5014" s="33"/>
      <c r="L5014" s="35">
        <v>1</v>
      </c>
      <c r="M5014" s="35">
        <v>60</v>
      </c>
      <c r="N5014" s="35">
        <v>1</v>
      </c>
      <c r="O5014" s="36">
        <v>384.62</v>
      </c>
      <c r="P5014" s="36">
        <v>315.26</v>
      </c>
      <c r="Q5014" s="36">
        <v>269.23</v>
      </c>
      <c r="R5014" s="36">
        <v>220.68</v>
      </c>
      <c r="S5014" s="36">
        <v>261.54000000000002</v>
      </c>
      <c r="T5014" s="36">
        <v>214.38</v>
      </c>
      <c r="U5014" s="34"/>
      <c r="V5014" s="34"/>
      <c r="W5014" s="34"/>
      <c r="X5014" s="37">
        <v>0.25700000000000001</v>
      </c>
      <c r="Y5014" s="38">
        <v>4.35E-4</v>
      </c>
      <c r="Z5014" s="21">
        <v>4601004294820</v>
      </c>
    </row>
    <row r="5015" spans="1:26" ht="12.95" customHeight="1" outlineLevel="1" x14ac:dyDescent="0.2">
      <c r="A5015" s="78" t="s">
        <v>9735</v>
      </c>
      <c r="B5015" s="78"/>
      <c r="C5015" s="79"/>
      <c r="D5015" s="57"/>
      <c r="E5015" s="67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</row>
    <row r="5016" spans="1:26" ht="12.95" customHeight="1" outlineLevel="2" x14ac:dyDescent="0.2">
      <c r="A5016" s="76" t="s">
        <v>9736</v>
      </c>
      <c r="B5016" s="76"/>
      <c r="C5016" s="77"/>
      <c r="D5016" s="58"/>
      <c r="E5016" s="68"/>
      <c r="F5016" s="13"/>
      <c r="G5016" s="13"/>
      <c r="H5016" s="13"/>
      <c r="I5016" s="13"/>
      <c r="J5016" s="13"/>
      <c r="K5016" s="13"/>
      <c r="L5016" s="13"/>
      <c r="M5016" s="13"/>
      <c r="N5016" s="13"/>
      <c r="O5016" s="13"/>
      <c r="P5016" s="13"/>
      <c r="Q5016" s="13"/>
      <c r="R5016" s="13"/>
      <c r="S5016" s="13"/>
      <c r="T5016" s="13"/>
      <c r="U5016" s="13"/>
      <c r="V5016" s="13"/>
      <c r="W5016" s="13"/>
      <c r="X5016" s="13"/>
      <c r="Y5016" s="13"/>
      <c r="Z5016" s="13"/>
    </row>
    <row r="5017" spans="1:26" ht="12.95" customHeight="1" outlineLevel="3" x14ac:dyDescent="0.2">
      <c r="A5017" s="76" t="s">
        <v>9737</v>
      </c>
      <c r="B5017" s="76"/>
      <c r="C5017" s="77"/>
      <c r="D5017" s="58"/>
      <c r="E5017" s="68"/>
      <c r="F5017" s="13"/>
      <c r="G5017" s="13"/>
      <c r="H5017" s="13"/>
      <c r="I5017" s="13"/>
      <c r="J5017" s="13"/>
      <c r="K5017" s="13"/>
      <c r="L5017" s="13"/>
      <c r="M5017" s="13"/>
      <c r="N5017" s="13"/>
      <c r="O5017" s="13"/>
      <c r="P5017" s="13"/>
      <c r="Q5017" s="13"/>
      <c r="R5017" s="13"/>
      <c r="S5017" s="13"/>
      <c r="T5017" s="13"/>
      <c r="U5017" s="13"/>
      <c r="V5017" s="13"/>
      <c r="W5017" s="13"/>
      <c r="X5017" s="13"/>
      <c r="Y5017" s="13"/>
      <c r="Z5017" s="13"/>
    </row>
    <row r="5018" spans="1:26" ht="12.95" customHeight="1" outlineLevel="4" x14ac:dyDescent="0.2">
      <c r="A5018" s="82" t="s">
        <v>9738</v>
      </c>
      <c r="B5018" s="82"/>
      <c r="C5018" s="83"/>
      <c r="D5018" s="59"/>
      <c r="E5018" s="69"/>
      <c r="F5018" s="23"/>
      <c r="G5018" s="23"/>
      <c r="H5018" s="23"/>
      <c r="I5018" s="23"/>
      <c r="J5018" s="23"/>
      <c r="K5018" s="23"/>
      <c r="L5018" s="23"/>
      <c r="M5018" s="23"/>
      <c r="N5018" s="23"/>
      <c r="O5018" s="23"/>
      <c r="P5018" s="23"/>
      <c r="Q5018" s="23"/>
      <c r="R5018" s="23"/>
      <c r="S5018" s="23"/>
      <c r="T5018" s="23"/>
      <c r="U5018" s="23"/>
      <c r="V5018" s="23"/>
      <c r="W5018" s="23"/>
      <c r="X5018" s="23"/>
      <c r="Y5018" s="23"/>
      <c r="Z5018" s="23"/>
    </row>
    <row r="5019" spans="1:26" ht="12" customHeight="1" outlineLevel="5" x14ac:dyDescent="0.2">
      <c r="A5019" s="14" t="s">
        <v>9739</v>
      </c>
      <c r="B5019" s="26" t="s">
        <v>9740</v>
      </c>
      <c r="C5019" s="52"/>
      <c r="D5019" s="55">
        <f t="shared" si="78"/>
        <v>0</v>
      </c>
      <c r="E5019" s="63" t="str">
        <f>HYPERLINK("https://www.sds-group.ru/product/svarochnyy-apparat-dlya-trub-1000-vt-rexant-rx-1000-11-1001/", "Инфо")</f>
        <v>Инфо</v>
      </c>
      <c r="F5019" s="16" t="s">
        <v>39</v>
      </c>
      <c r="G5019" s="15"/>
      <c r="H5019" s="15"/>
      <c r="I5019" s="15"/>
      <c r="J5019" s="17">
        <v>775</v>
      </c>
      <c r="K5019" s="15"/>
      <c r="L5019" s="17">
        <v>1</v>
      </c>
      <c r="M5019" s="17">
        <v>10</v>
      </c>
      <c r="N5019" s="17">
        <v>1</v>
      </c>
      <c r="O5019" s="18">
        <v>4688.46</v>
      </c>
      <c r="P5019" s="18">
        <v>3843</v>
      </c>
      <c r="Q5019" s="18">
        <v>3422.58</v>
      </c>
      <c r="R5019" s="18">
        <v>2805.39</v>
      </c>
      <c r="S5019" s="18">
        <v>3188.15</v>
      </c>
      <c r="T5019" s="18">
        <v>2613.2399999999998</v>
      </c>
      <c r="U5019" s="16"/>
      <c r="V5019" s="16"/>
      <c r="W5019" s="16" t="s">
        <v>40</v>
      </c>
      <c r="X5019" s="19">
        <v>3.0790000000000002</v>
      </c>
      <c r="Y5019" s="20">
        <v>8.7340000000000004E-3</v>
      </c>
      <c r="Z5019" s="21">
        <v>4601004138803</v>
      </c>
    </row>
    <row r="5020" spans="1:26" ht="12" customHeight="1" outlineLevel="5" x14ac:dyDescent="0.2">
      <c r="A5020" s="14" t="s">
        <v>9741</v>
      </c>
      <c r="B5020" s="26" t="s">
        <v>9742</v>
      </c>
      <c r="C5020" s="52"/>
      <c r="D5020" s="55">
        <f t="shared" si="78"/>
        <v>0</v>
      </c>
      <c r="E5020" s="63" t="str">
        <f>HYPERLINK("https://www.sds-group.ru/product/svarochnyy-apparat-dlya-trub-700-vt-rexant-rx-700-11-1003/", "Инфо")</f>
        <v>Инфо</v>
      </c>
      <c r="F5020" s="16" t="s">
        <v>39</v>
      </c>
      <c r="G5020" s="15"/>
      <c r="H5020" s="15"/>
      <c r="I5020" s="15"/>
      <c r="J5020" s="17">
        <v>52</v>
      </c>
      <c r="K5020" s="15"/>
      <c r="L5020" s="17">
        <v>1</v>
      </c>
      <c r="M5020" s="17">
        <v>20</v>
      </c>
      <c r="N5020" s="17">
        <v>1</v>
      </c>
      <c r="O5020" s="18">
        <v>2140.38</v>
      </c>
      <c r="P5020" s="18">
        <v>1754.41</v>
      </c>
      <c r="Q5020" s="18">
        <v>1541.07</v>
      </c>
      <c r="R5020" s="18">
        <v>1263.17</v>
      </c>
      <c r="S5020" s="18">
        <v>1455.46</v>
      </c>
      <c r="T5020" s="18">
        <v>1193</v>
      </c>
      <c r="U5020" s="16"/>
      <c r="V5020" s="16"/>
      <c r="W5020" s="16" t="s">
        <v>40</v>
      </c>
      <c r="X5020" s="19">
        <v>1.365</v>
      </c>
      <c r="Y5020" s="20">
        <v>5.0530000000000002E-3</v>
      </c>
      <c r="Z5020" s="21">
        <v>4601004138841</v>
      </c>
    </row>
    <row r="5021" spans="1:26" ht="12" customHeight="1" outlineLevel="5" x14ac:dyDescent="0.2">
      <c r="A5021" s="14" t="s">
        <v>9743</v>
      </c>
      <c r="B5021" s="26" t="s">
        <v>9744</v>
      </c>
      <c r="C5021" s="52"/>
      <c r="D5021" s="55">
        <f t="shared" si="78"/>
        <v>0</v>
      </c>
      <c r="E5021" s="63" t="str">
        <f>HYPERLINK("https://www.sds-group.ru/product/svarochnyy-apparat-dlya-trub-800-vt-rexant-rx-800-11-1002/", "Инфо")</f>
        <v>Инфо</v>
      </c>
      <c r="F5021" s="16" t="s">
        <v>39</v>
      </c>
      <c r="G5021" s="15"/>
      <c r="H5021" s="15"/>
      <c r="I5021" s="15"/>
      <c r="J5021" s="17">
        <v>68</v>
      </c>
      <c r="K5021" s="15"/>
      <c r="L5021" s="17">
        <v>1</v>
      </c>
      <c r="M5021" s="17">
        <v>20</v>
      </c>
      <c r="N5021" s="17">
        <v>1</v>
      </c>
      <c r="O5021" s="18">
        <v>3424.62</v>
      </c>
      <c r="P5021" s="18">
        <v>2807.07</v>
      </c>
      <c r="Q5021" s="18">
        <v>2602.71</v>
      </c>
      <c r="R5021" s="18">
        <v>2133.37</v>
      </c>
      <c r="S5021" s="18">
        <v>2328.7399999999998</v>
      </c>
      <c r="T5021" s="18">
        <v>1908.8</v>
      </c>
      <c r="U5021" s="16"/>
      <c r="V5021" s="16"/>
      <c r="W5021" s="16" t="s">
        <v>40</v>
      </c>
      <c r="X5021" s="19">
        <v>2.105</v>
      </c>
      <c r="Y5021" s="20">
        <v>6.7289999999999997E-3</v>
      </c>
      <c r="Z5021" s="21">
        <v>4601004138834</v>
      </c>
    </row>
    <row r="5022" spans="1:26" ht="12" customHeight="1" outlineLevel="5" x14ac:dyDescent="0.2">
      <c r="A5022" s="14" t="s">
        <v>9745</v>
      </c>
      <c r="B5022" s="26" t="s">
        <v>9746</v>
      </c>
      <c r="C5022" s="52"/>
      <c r="D5022" s="55">
        <f t="shared" si="78"/>
        <v>0</v>
      </c>
      <c r="E5022" s="63" t="str">
        <f>HYPERLINK("https://www.sds-group.ru/product/svarochnyy-apparat-dlya-trub-900-vt-rx-900-yaponskiy-teflon-rexant-11-1000/", "Инфо")</f>
        <v>Инфо</v>
      </c>
      <c r="F5022" s="16" t="s">
        <v>39</v>
      </c>
      <c r="G5022" s="15"/>
      <c r="H5022" s="15"/>
      <c r="I5022" s="15"/>
      <c r="J5022" s="17">
        <v>351</v>
      </c>
      <c r="K5022" s="15"/>
      <c r="L5022" s="17">
        <v>1</v>
      </c>
      <c r="M5022" s="17">
        <v>12</v>
      </c>
      <c r="N5022" s="17">
        <v>1</v>
      </c>
      <c r="O5022" s="18">
        <v>5870.77</v>
      </c>
      <c r="P5022" s="18">
        <v>4812.1099999999997</v>
      </c>
      <c r="Q5022" s="18">
        <v>4285.66</v>
      </c>
      <c r="R5022" s="18">
        <v>3512.84</v>
      </c>
      <c r="S5022" s="18">
        <v>3992.12</v>
      </c>
      <c r="T5022" s="18">
        <v>3272.23</v>
      </c>
      <c r="U5022" s="16"/>
      <c r="V5022" s="16"/>
      <c r="W5022" s="16" t="s">
        <v>40</v>
      </c>
      <c r="X5022" s="19">
        <v>2.7490000000000001</v>
      </c>
      <c r="Y5022" s="20">
        <v>6.5719999999999997E-3</v>
      </c>
      <c r="Z5022" s="21">
        <v>4601004138858</v>
      </c>
    </row>
    <row r="5023" spans="1:26" ht="12.95" customHeight="1" outlineLevel="4" x14ac:dyDescent="0.2">
      <c r="A5023" s="82" t="s">
        <v>9747</v>
      </c>
      <c r="B5023" s="82"/>
      <c r="C5023" s="83"/>
      <c r="D5023" s="59"/>
      <c r="E5023" s="69"/>
      <c r="F5023" s="23"/>
      <c r="G5023" s="23"/>
      <c r="H5023" s="23"/>
      <c r="I5023" s="23"/>
      <c r="J5023" s="23"/>
      <c r="K5023" s="23"/>
      <c r="L5023" s="23"/>
      <c r="M5023" s="23"/>
      <c r="N5023" s="23"/>
      <c r="O5023" s="23"/>
      <c r="P5023" s="23"/>
      <c r="Q5023" s="23"/>
      <c r="R5023" s="23"/>
      <c r="S5023" s="23"/>
      <c r="T5023" s="23"/>
      <c r="U5023" s="23"/>
      <c r="V5023" s="23"/>
      <c r="W5023" s="23"/>
      <c r="X5023" s="23"/>
      <c r="Y5023" s="23"/>
      <c r="Z5023" s="23"/>
    </row>
    <row r="5024" spans="1:26" ht="12" customHeight="1" outlineLevel="5" x14ac:dyDescent="0.2">
      <c r="A5024" s="32" t="s">
        <v>9748</v>
      </c>
      <c r="B5024" s="74" t="s">
        <v>9749</v>
      </c>
      <c r="C5024" s="50"/>
      <c r="D5024" s="53">
        <f t="shared" si="78"/>
        <v>0</v>
      </c>
      <c r="E5024" s="60" t="str">
        <f>HYPERLINK("https://www.sds-group.ru/product/svarochnyy-apparat-invertornyy-rexant-as-160a-11-0910/", "Инфо")</f>
        <v>Инфо</v>
      </c>
      <c r="F5024" s="34" t="s">
        <v>39</v>
      </c>
      <c r="G5024" s="33"/>
      <c r="H5024" s="33" t="s">
        <v>40</v>
      </c>
      <c r="I5024" s="33"/>
      <c r="J5024" s="35">
        <v>9</v>
      </c>
      <c r="K5024" s="33"/>
      <c r="L5024" s="35">
        <v>1</v>
      </c>
      <c r="M5024" s="35">
        <v>2</v>
      </c>
      <c r="N5024" s="35">
        <v>1</v>
      </c>
      <c r="O5024" s="36">
        <v>6319.23</v>
      </c>
      <c r="P5024" s="36">
        <v>5179.7</v>
      </c>
      <c r="Q5024" s="36">
        <v>4423.46</v>
      </c>
      <c r="R5024" s="36">
        <v>3625.79</v>
      </c>
      <c r="S5024" s="36">
        <v>4297.08</v>
      </c>
      <c r="T5024" s="36">
        <v>3522.2</v>
      </c>
      <c r="U5024" s="34"/>
      <c r="V5024" s="34"/>
      <c r="W5024" s="34"/>
      <c r="X5024" s="37">
        <v>5.5720000000000001</v>
      </c>
      <c r="Y5024" s="38">
        <v>3.3501000000000003E-2</v>
      </c>
      <c r="Z5024" s="21">
        <v>4601004103252</v>
      </c>
    </row>
    <row r="5025" spans="1:26" ht="12" customHeight="1" outlineLevel="5" x14ac:dyDescent="0.2">
      <c r="A5025" s="32" t="s">
        <v>9750</v>
      </c>
      <c r="B5025" s="74" t="s">
        <v>9751</v>
      </c>
      <c r="C5025" s="50"/>
      <c r="D5025" s="53">
        <f t="shared" si="78"/>
        <v>0</v>
      </c>
      <c r="E5025" s="60" t="str">
        <f>HYPERLINK("https://www.sds-group.ru/product/svarochnyy-apparat-invertornyy-rexant-as-180a-11-0911/", "Инфо")</f>
        <v>Инфо</v>
      </c>
      <c r="F5025" s="34" t="s">
        <v>39</v>
      </c>
      <c r="G5025" s="33"/>
      <c r="H5025" s="33" t="s">
        <v>40</v>
      </c>
      <c r="I5025" s="33"/>
      <c r="J5025" s="35">
        <v>36</v>
      </c>
      <c r="K5025" s="33"/>
      <c r="L5025" s="35">
        <v>1</v>
      </c>
      <c r="M5025" s="35">
        <v>2</v>
      </c>
      <c r="N5025" s="35">
        <v>1</v>
      </c>
      <c r="O5025" s="36">
        <v>7161.11</v>
      </c>
      <c r="P5025" s="36">
        <v>5869.76</v>
      </c>
      <c r="Q5025" s="36">
        <v>5012.78</v>
      </c>
      <c r="R5025" s="36">
        <v>4108.84</v>
      </c>
      <c r="S5025" s="36">
        <v>4869.55</v>
      </c>
      <c r="T5025" s="36">
        <v>3991.43</v>
      </c>
      <c r="U5025" s="34"/>
      <c r="V5025" s="34"/>
      <c r="W5025" s="34"/>
      <c r="X5025" s="37">
        <v>5.62</v>
      </c>
      <c r="Y5025" s="38">
        <v>3.4130000000000001E-2</v>
      </c>
      <c r="Z5025" s="21">
        <v>4601004103191</v>
      </c>
    </row>
    <row r="5026" spans="1:26" ht="12" customHeight="1" outlineLevel="5" x14ac:dyDescent="0.2">
      <c r="A5026" s="32" t="s">
        <v>9752</v>
      </c>
      <c r="B5026" s="74" t="s">
        <v>9753</v>
      </c>
      <c r="C5026" s="50"/>
      <c r="D5026" s="53">
        <f t="shared" si="78"/>
        <v>0</v>
      </c>
      <c r="E5026" s="60" t="str">
        <f>HYPERLINK("https://www.sds-group.ru/product/svarochnyy-apparat-invertornyy-rexant-as-200a-11-0912/", "Инфо")</f>
        <v>Инфо</v>
      </c>
      <c r="F5026" s="34" t="s">
        <v>39</v>
      </c>
      <c r="G5026" s="33"/>
      <c r="H5026" s="33" t="s">
        <v>40</v>
      </c>
      <c r="I5026" s="33"/>
      <c r="J5026" s="34" t="s">
        <v>100</v>
      </c>
      <c r="K5026" s="33"/>
      <c r="L5026" s="35">
        <v>1</v>
      </c>
      <c r="M5026" s="35">
        <v>2</v>
      </c>
      <c r="N5026" s="35">
        <v>1</v>
      </c>
      <c r="O5026" s="36">
        <v>8045.8</v>
      </c>
      <c r="P5026" s="36">
        <v>6594.92</v>
      </c>
      <c r="Q5026" s="36">
        <v>5632.06</v>
      </c>
      <c r="R5026" s="36">
        <v>4616.4399999999996</v>
      </c>
      <c r="S5026" s="36">
        <v>5471.14</v>
      </c>
      <c r="T5026" s="36">
        <v>4484.54</v>
      </c>
      <c r="U5026" s="34"/>
      <c r="V5026" s="34"/>
      <c r="W5026" s="34"/>
      <c r="X5026" s="37">
        <v>5.8239999999999998</v>
      </c>
      <c r="Y5026" s="38">
        <v>3.3363999999999998E-2</v>
      </c>
      <c r="Z5026" s="21">
        <v>4601004103207</v>
      </c>
    </row>
    <row r="5027" spans="1:26" ht="12" customHeight="1" outlineLevel="5" x14ac:dyDescent="0.2">
      <c r="A5027" s="32" t="s">
        <v>9754</v>
      </c>
      <c r="B5027" s="74" t="s">
        <v>9755</v>
      </c>
      <c r="C5027" s="50"/>
      <c r="D5027" s="53">
        <f t="shared" si="78"/>
        <v>0</v>
      </c>
      <c r="E5027" s="60" t="str">
        <f>HYPERLINK("https://www.sds-group.ru/product/svarochnyy-apparat-invertornyy-rexant-as-220a-11-0913/", "Инфо")</f>
        <v>Инфо</v>
      </c>
      <c r="F5027" s="34" t="s">
        <v>39</v>
      </c>
      <c r="G5027" s="33"/>
      <c r="H5027" s="33" t="s">
        <v>40</v>
      </c>
      <c r="I5027" s="33"/>
      <c r="J5027" s="35">
        <v>44</v>
      </c>
      <c r="K5027" s="33"/>
      <c r="L5027" s="35">
        <v>1</v>
      </c>
      <c r="M5027" s="35">
        <v>2</v>
      </c>
      <c r="N5027" s="35">
        <v>1</v>
      </c>
      <c r="O5027" s="36">
        <v>9425.17</v>
      </c>
      <c r="P5027" s="36">
        <v>7725.55</v>
      </c>
      <c r="Q5027" s="36">
        <v>6597.62</v>
      </c>
      <c r="R5027" s="36">
        <v>5407.89</v>
      </c>
      <c r="S5027" s="36">
        <v>6409.12</v>
      </c>
      <c r="T5027" s="36">
        <v>5253.38</v>
      </c>
      <c r="U5027" s="34"/>
      <c r="V5027" s="34"/>
      <c r="W5027" s="34"/>
      <c r="X5027" s="37">
        <v>7.0880000000000001</v>
      </c>
      <c r="Y5027" s="38">
        <v>3.3439000000000003E-2</v>
      </c>
      <c r="Z5027" s="21">
        <v>4601004103214</v>
      </c>
    </row>
    <row r="5028" spans="1:26" ht="12.95" customHeight="1" outlineLevel="4" x14ac:dyDescent="0.2">
      <c r="A5028" s="76" t="s">
        <v>9756</v>
      </c>
      <c r="B5028" s="76"/>
      <c r="C5028" s="77"/>
      <c r="D5028" s="58"/>
      <c r="E5028" s="68"/>
      <c r="F5028" s="13"/>
      <c r="G5028" s="13"/>
      <c r="H5028" s="13"/>
      <c r="I5028" s="13"/>
      <c r="J5028" s="13"/>
      <c r="K5028" s="13"/>
      <c r="L5028" s="13"/>
      <c r="M5028" s="13"/>
      <c r="N5028" s="13"/>
      <c r="O5028" s="13"/>
      <c r="P5028" s="13"/>
      <c r="Q5028" s="13"/>
      <c r="R5028" s="13"/>
      <c r="S5028" s="13"/>
      <c r="T5028" s="13"/>
      <c r="U5028" s="13"/>
      <c r="V5028" s="13"/>
      <c r="W5028" s="13"/>
      <c r="X5028" s="13"/>
      <c r="Y5028" s="13"/>
      <c r="Z5028" s="13"/>
    </row>
    <row r="5029" spans="1:26" ht="12" customHeight="1" outlineLevel="5" x14ac:dyDescent="0.2">
      <c r="A5029" s="32" t="s">
        <v>9757</v>
      </c>
      <c r="B5029" s="74" t="s">
        <v>9758</v>
      </c>
      <c r="C5029" s="50"/>
      <c r="D5029" s="53">
        <f t="shared" si="78"/>
        <v>0</v>
      </c>
      <c r="E5029" s="60" t="str">
        <f>HYPERLINK("https://www.sds-group.ru/product/svarochnyy-apparat-invertornyy-poluavtomaticheskiy-mig-160-kranz-11-0926/", "Инфо")</f>
        <v>Инфо</v>
      </c>
      <c r="F5029" s="34" t="s">
        <v>39</v>
      </c>
      <c r="G5029" s="33"/>
      <c r="H5029" s="33" t="s">
        <v>40</v>
      </c>
      <c r="I5029" s="33"/>
      <c r="J5029" s="34" t="s">
        <v>100</v>
      </c>
      <c r="K5029" s="33"/>
      <c r="L5029" s="35">
        <v>1</v>
      </c>
      <c r="M5029" s="35">
        <v>1</v>
      </c>
      <c r="N5029" s="35">
        <v>1</v>
      </c>
      <c r="O5029" s="36">
        <v>17326.93</v>
      </c>
      <c r="P5029" s="36">
        <v>14202.4</v>
      </c>
      <c r="Q5029" s="36">
        <v>12128.85</v>
      </c>
      <c r="R5029" s="36">
        <v>9941.68</v>
      </c>
      <c r="S5029" s="36">
        <v>11782.31</v>
      </c>
      <c r="T5029" s="36">
        <v>9657.6299999999992</v>
      </c>
      <c r="U5029" s="34"/>
      <c r="V5029" s="34"/>
      <c r="W5029" s="34"/>
      <c r="X5029" s="37">
        <v>8.5190000000000001</v>
      </c>
      <c r="Y5029" s="38">
        <v>4.6450999999999999E-2</v>
      </c>
      <c r="Z5029" s="21">
        <v>4601004272989</v>
      </c>
    </row>
    <row r="5030" spans="1:26" ht="12.95" customHeight="1" outlineLevel="4" x14ac:dyDescent="0.2">
      <c r="A5030" s="76" t="s">
        <v>9759</v>
      </c>
      <c r="B5030" s="76"/>
      <c r="C5030" s="77"/>
      <c r="D5030" s="58"/>
      <c r="E5030" s="68"/>
      <c r="F5030" s="13"/>
      <c r="G5030" s="13"/>
      <c r="H5030" s="13"/>
      <c r="I5030" s="13"/>
      <c r="J5030" s="13"/>
      <c r="K5030" s="13"/>
      <c r="L5030" s="13"/>
      <c r="M5030" s="13"/>
      <c r="N5030" s="13"/>
      <c r="O5030" s="13"/>
      <c r="P5030" s="13"/>
      <c r="Q5030" s="13"/>
      <c r="R5030" s="13"/>
      <c r="S5030" s="13"/>
      <c r="T5030" s="13"/>
      <c r="U5030" s="13"/>
      <c r="V5030" s="13"/>
      <c r="W5030" s="13"/>
      <c r="X5030" s="13"/>
      <c r="Y5030" s="13"/>
      <c r="Z5030" s="13"/>
    </row>
    <row r="5031" spans="1:26" ht="12" customHeight="1" outlineLevel="5" x14ac:dyDescent="0.2">
      <c r="A5031" s="32" t="s">
        <v>9760</v>
      </c>
      <c r="B5031" s="74" t="s">
        <v>9761</v>
      </c>
      <c r="C5031" s="50"/>
      <c r="D5031" s="53">
        <f t="shared" si="78"/>
        <v>0</v>
      </c>
      <c r="E5031" s="60" t="str">
        <f>HYPERLINK("https://www.sds-group.ru/product/svarochnyy-apparat-invertornyy-mini-190-rexant-11-0916/", "Инфо")</f>
        <v>Инфо</v>
      </c>
      <c r="F5031" s="34" t="s">
        <v>39</v>
      </c>
      <c r="G5031" s="33"/>
      <c r="H5031" s="33" t="s">
        <v>40</v>
      </c>
      <c r="I5031" s="33"/>
      <c r="J5031" s="35">
        <v>57</v>
      </c>
      <c r="K5031" s="33"/>
      <c r="L5031" s="35">
        <v>1</v>
      </c>
      <c r="M5031" s="35">
        <v>4</v>
      </c>
      <c r="N5031" s="35">
        <v>1</v>
      </c>
      <c r="O5031" s="36">
        <v>6031.81</v>
      </c>
      <c r="P5031" s="36">
        <v>4944.1099999999997</v>
      </c>
      <c r="Q5031" s="36">
        <v>4222.2700000000004</v>
      </c>
      <c r="R5031" s="36">
        <v>3460.88</v>
      </c>
      <c r="S5031" s="36">
        <v>4101.63</v>
      </c>
      <c r="T5031" s="36">
        <v>3361.99</v>
      </c>
      <c r="U5031" s="34"/>
      <c r="V5031" s="34"/>
      <c r="W5031" s="34"/>
      <c r="X5031" s="37">
        <v>4.1440000000000001</v>
      </c>
      <c r="Y5031" s="38">
        <v>1.6920000000000001E-2</v>
      </c>
      <c r="Z5031" s="21">
        <v>4601004272996</v>
      </c>
    </row>
    <row r="5032" spans="1:26" ht="12.95" customHeight="1" outlineLevel="3" x14ac:dyDescent="0.2">
      <c r="A5032" s="76" t="s">
        <v>9762</v>
      </c>
      <c r="B5032" s="76"/>
      <c r="C5032" s="77"/>
      <c r="D5032" s="58"/>
      <c r="E5032" s="68"/>
      <c r="F5032" s="13"/>
      <c r="G5032" s="13"/>
      <c r="H5032" s="13"/>
      <c r="I5032" s="13"/>
      <c r="J5032" s="13"/>
      <c r="K5032" s="13"/>
      <c r="L5032" s="13"/>
      <c r="M5032" s="13"/>
      <c r="N5032" s="13"/>
      <c r="O5032" s="13"/>
      <c r="P5032" s="13"/>
      <c r="Q5032" s="13"/>
      <c r="R5032" s="13"/>
      <c r="S5032" s="13"/>
      <c r="T5032" s="13"/>
      <c r="U5032" s="13"/>
      <c r="V5032" s="13"/>
      <c r="W5032" s="13"/>
      <c r="X5032" s="13"/>
      <c r="Y5032" s="13"/>
      <c r="Z5032" s="13"/>
    </row>
    <row r="5033" spans="1:26" ht="12.95" customHeight="1" outlineLevel="4" x14ac:dyDescent="0.2">
      <c r="A5033" s="82" t="s">
        <v>9763</v>
      </c>
      <c r="B5033" s="82"/>
      <c r="C5033" s="83"/>
      <c r="D5033" s="59"/>
      <c r="E5033" s="69"/>
      <c r="F5033" s="23"/>
      <c r="G5033" s="23"/>
      <c r="H5033" s="23"/>
      <c r="I5033" s="23"/>
      <c r="J5033" s="23"/>
      <c r="K5033" s="23"/>
      <c r="L5033" s="23"/>
      <c r="M5033" s="23"/>
      <c r="N5033" s="23"/>
      <c r="O5033" s="23"/>
      <c r="P5033" s="23"/>
      <c r="Q5033" s="23"/>
      <c r="R5033" s="23"/>
      <c r="S5033" s="23"/>
      <c r="T5033" s="23"/>
      <c r="U5033" s="23"/>
      <c r="V5033" s="23"/>
      <c r="W5033" s="23"/>
      <c r="X5033" s="23"/>
      <c r="Y5033" s="23"/>
      <c r="Z5033" s="23"/>
    </row>
    <row r="5034" spans="1:26" ht="12" customHeight="1" outlineLevel="5" x14ac:dyDescent="0.2">
      <c r="A5034" s="14" t="s">
        <v>9764</v>
      </c>
      <c r="B5034" s="26" t="s">
        <v>9765</v>
      </c>
      <c r="C5034" s="52"/>
      <c r="D5034" s="55">
        <f t="shared" si="78"/>
        <v>0</v>
      </c>
      <c r="E5034" s="63" t="str">
        <f>HYPERLINK("https://www.sds-group.ru/product/kabel-gibkiy-svarochnyy-kgtp-hl-1h10-mm-dlina-10-metrov-rexant-01-8410-10/", "Инфо")</f>
        <v>Инфо</v>
      </c>
      <c r="F5034" s="16" t="s">
        <v>1887</v>
      </c>
      <c r="G5034" s="15"/>
      <c r="H5034" s="15"/>
      <c r="I5034" s="15"/>
      <c r="J5034" s="16" t="s">
        <v>100</v>
      </c>
      <c r="K5034" s="15"/>
      <c r="L5034" s="17">
        <v>1</v>
      </c>
      <c r="M5034" s="17">
        <v>8</v>
      </c>
      <c r="N5034" s="17">
        <v>1</v>
      </c>
      <c r="O5034" s="18">
        <v>4083.69</v>
      </c>
      <c r="P5034" s="18">
        <v>3347.29</v>
      </c>
      <c r="Q5034" s="18">
        <v>2981.09</v>
      </c>
      <c r="R5034" s="18">
        <v>2443.52</v>
      </c>
      <c r="S5034" s="18">
        <v>2776.91</v>
      </c>
      <c r="T5034" s="18">
        <v>2276.16</v>
      </c>
      <c r="U5034" s="16"/>
      <c r="V5034" s="16"/>
      <c r="W5034" s="16" t="s">
        <v>40</v>
      </c>
      <c r="X5034" s="19">
        <v>1.569</v>
      </c>
      <c r="Y5034" s="20">
        <v>2.7529999999999998E-3</v>
      </c>
      <c r="Z5034" s="21">
        <v>4601004343641</v>
      </c>
    </row>
    <row r="5035" spans="1:26" ht="12" customHeight="1" outlineLevel="5" x14ac:dyDescent="0.2">
      <c r="A5035" s="14" t="s">
        <v>9766</v>
      </c>
      <c r="B5035" s="26" t="s">
        <v>9767</v>
      </c>
      <c r="C5035" s="52"/>
      <c r="D5035" s="55">
        <f t="shared" si="78"/>
        <v>0</v>
      </c>
      <c r="E5035" s="63" t="str">
        <f>HYPERLINK("https://www.sds-group.ru/product/kabel-gibkiy-svarochnyy-kgtp-hl-1h16-mm-dlina-10-metrov-rexant-01-8411-10/", "Инфо")</f>
        <v>Инфо</v>
      </c>
      <c r="F5035" s="16" t="s">
        <v>1887</v>
      </c>
      <c r="G5035" s="15"/>
      <c r="H5035" s="15"/>
      <c r="I5035" s="15"/>
      <c r="J5035" s="17">
        <v>80</v>
      </c>
      <c r="K5035" s="15"/>
      <c r="L5035" s="17">
        <v>1</v>
      </c>
      <c r="M5035" s="17">
        <v>9</v>
      </c>
      <c r="N5035" s="17">
        <v>1</v>
      </c>
      <c r="O5035" s="18">
        <v>6065.24</v>
      </c>
      <c r="P5035" s="18">
        <v>4971.51</v>
      </c>
      <c r="Q5035" s="18">
        <v>4488.28</v>
      </c>
      <c r="R5035" s="18">
        <v>3678.92</v>
      </c>
      <c r="S5035" s="18">
        <v>4124.3599999999997</v>
      </c>
      <c r="T5035" s="18">
        <v>3380.62</v>
      </c>
      <c r="U5035" s="16"/>
      <c r="V5035" s="16"/>
      <c r="W5035" s="16" t="s">
        <v>40</v>
      </c>
      <c r="X5035" s="19">
        <v>2.2599999999999998</v>
      </c>
      <c r="Y5035" s="20">
        <v>3.6350000000000002E-3</v>
      </c>
      <c r="Z5035" s="21">
        <v>4601004152588</v>
      </c>
    </row>
    <row r="5036" spans="1:26" ht="12" customHeight="1" outlineLevel="5" x14ac:dyDescent="0.2">
      <c r="A5036" s="14" t="s">
        <v>9768</v>
      </c>
      <c r="B5036" s="26" t="s">
        <v>9769</v>
      </c>
      <c r="C5036" s="52"/>
      <c r="D5036" s="55">
        <f t="shared" si="78"/>
        <v>0</v>
      </c>
      <c r="E5036" s="63" t="str">
        <f>HYPERLINK("https://www.sds-group.ru/product/kabel-gibkiy-svarochnyy-kgtp-hl-1h16-mm-dlina-5-metrov-rexant-01-8411-5/", "Инфо")</f>
        <v>Инфо</v>
      </c>
      <c r="F5036" s="16" t="s">
        <v>1887</v>
      </c>
      <c r="G5036" s="15"/>
      <c r="H5036" s="15"/>
      <c r="I5036" s="15"/>
      <c r="J5036" s="16" t="s">
        <v>100</v>
      </c>
      <c r="K5036" s="15"/>
      <c r="L5036" s="17">
        <v>1</v>
      </c>
      <c r="M5036" s="17">
        <v>12</v>
      </c>
      <c r="N5036" s="17">
        <v>1</v>
      </c>
      <c r="O5036" s="18">
        <v>3051.35</v>
      </c>
      <c r="P5036" s="18">
        <v>2501.11</v>
      </c>
      <c r="Q5036" s="18">
        <v>2349.54</v>
      </c>
      <c r="R5036" s="18">
        <v>1925.85</v>
      </c>
      <c r="S5036" s="18">
        <v>2074.92</v>
      </c>
      <c r="T5036" s="18">
        <v>1700.75</v>
      </c>
      <c r="U5036" s="16"/>
      <c r="V5036" s="16"/>
      <c r="W5036" s="16" t="s">
        <v>40</v>
      </c>
      <c r="X5036" s="19">
        <v>1.153</v>
      </c>
      <c r="Y5036" s="20">
        <v>2.6289999999999998E-3</v>
      </c>
      <c r="Z5036" s="21">
        <v>4601004343658</v>
      </c>
    </row>
    <row r="5037" spans="1:26" ht="12" customHeight="1" outlineLevel="5" x14ac:dyDescent="0.2">
      <c r="A5037" s="14" t="s">
        <v>9770</v>
      </c>
      <c r="B5037" s="26" t="s">
        <v>9771</v>
      </c>
      <c r="C5037" s="52"/>
      <c r="D5037" s="55">
        <f t="shared" si="78"/>
        <v>0</v>
      </c>
      <c r="E5037" s="63" t="str">
        <f>HYPERLINK("https://www.sds-group.ru/product/kabel-gibkiy-svarochnyy-kgtp-hl-1h25-mm-dlina-10-metrov-rexant-01-8412-10/", "Инфо")</f>
        <v>Инфо</v>
      </c>
      <c r="F5037" s="16" t="s">
        <v>1887</v>
      </c>
      <c r="G5037" s="15"/>
      <c r="H5037" s="15"/>
      <c r="I5037" s="15"/>
      <c r="J5037" s="17">
        <v>4</v>
      </c>
      <c r="K5037" s="15"/>
      <c r="L5037" s="17">
        <v>1</v>
      </c>
      <c r="M5037" s="17">
        <v>4</v>
      </c>
      <c r="N5037" s="17">
        <v>1</v>
      </c>
      <c r="O5037" s="18">
        <v>8953.0499999999993</v>
      </c>
      <c r="P5037" s="18">
        <v>7338.57</v>
      </c>
      <c r="Q5037" s="18">
        <v>6535.73</v>
      </c>
      <c r="R5037" s="18">
        <v>5357.16</v>
      </c>
      <c r="S5037" s="18">
        <v>6088.07</v>
      </c>
      <c r="T5037" s="18">
        <v>4990.22</v>
      </c>
      <c r="U5037" s="16"/>
      <c r="V5037" s="16"/>
      <c r="W5037" s="16" t="s">
        <v>40</v>
      </c>
      <c r="X5037" s="19">
        <v>3.3210000000000002</v>
      </c>
      <c r="Y5037" s="20">
        <v>7.8100000000000001E-3</v>
      </c>
      <c r="Z5037" s="21">
        <v>4601004152557</v>
      </c>
    </row>
    <row r="5038" spans="1:26" ht="12" customHeight="1" outlineLevel="5" x14ac:dyDescent="0.2">
      <c r="A5038" s="14" t="s">
        <v>9772</v>
      </c>
      <c r="B5038" s="26" t="s">
        <v>9773</v>
      </c>
      <c r="C5038" s="52"/>
      <c r="D5038" s="55">
        <f t="shared" si="78"/>
        <v>0</v>
      </c>
      <c r="E5038" s="63" t="str">
        <f>HYPERLINK("https://www.sds-group.ru/product/kabel-gibkiy-svarochnyy-kgtp-hl-1h25-mm-dlina-3-metra-rexant-01-8412-3/", "Инфо")</f>
        <v>Инфо</v>
      </c>
      <c r="F5038" s="16" t="s">
        <v>1887</v>
      </c>
      <c r="G5038" s="15"/>
      <c r="H5038" s="15"/>
      <c r="I5038" s="15"/>
      <c r="J5038" s="17">
        <v>64</v>
      </c>
      <c r="K5038" s="15"/>
      <c r="L5038" s="17">
        <v>1</v>
      </c>
      <c r="M5038" s="17">
        <v>1</v>
      </c>
      <c r="N5038" s="17">
        <v>1</v>
      </c>
      <c r="O5038" s="18">
        <v>2859.49</v>
      </c>
      <c r="P5038" s="18">
        <v>2343.84</v>
      </c>
      <c r="Q5038" s="18">
        <v>2230.4</v>
      </c>
      <c r="R5038" s="18">
        <v>1828.2</v>
      </c>
      <c r="S5038" s="18">
        <v>1944.45</v>
      </c>
      <c r="T5038" s="18">
        <v>1593.81</v>
      </c>
      <c r="U5038" s="16"/>
      <c r="V5038" s="16"/>
      <c r="W5038" s="16" t="s">
        <v>40</v>
      </c>
      <c r="X5038" s="19">
        <v>1.008</v>
      </c>
      <c r="Y5038" s="20">
        <v>2.637E-3</v>
      </c>
      <c r="Z5038" s="21">
        <v>4601004152571</v>
      </c>
    </row>
    <row r="5039" spans="1:26" ht="12" customHeight="1" outlineLevel="5" x14ac:dyDescent="0.2">
      <c r="A5039" s="14" t="s">
        <v>9774</v>
      </c>
      <c r="B5039" s="26" t="s">
        <v>9775</v>
      </c>
      <c r="C5039" s="52"/>
      <c r="D5039" s="55">
        <f t="shared" si="78"/>
        <v>0</v>
      </c>
      <c r="E5039" s="63" t="str">
        <f>HYPERLINK("https://www.sds-group.ru/product/kabel-gibkiy-svarochnyy-kgtp-hl-1h25-mm-dlina-5-metrov-rexant-01-8412-5/", "Инфо")</f>
        <v>Инфо</v>
      </c>
      <c r="F5039" s="16" t="s">
        <v>1887</v>
      </c>
      <c r="G5039" s="15"/>
      <c r="H5039" s="15"/>
      <c r="I5039" s="15"/>
      <c r="J5039" s="17">
        <v>123</v>
      </c>
      <c r="K5039" s="15"/>
      <c r="L5039" s="17">
        <v>1</v>
      </c>
      <c r="M5039" s="17">
        <v>12</v>
      </c>
      <c r="N5039" s="17">
        <v>1</v>
      </c>
      <c r="O5039" s="18">
        <v>5121.51</v>
      </c>
      <c r="P5039" s="18">
        <v>4197.96</v>
      </c>
      <c r="Q5039" s="18">
        <v>3738.7</v>
      </c>
      <c r="R5039" s="18">
        <v>3064.51</v>
      </c>
      <c r="S5039" s="18">
        <v>3482.63</v>
      </c>
      <c r="T5039" s="18">
        <v>2854.61</v>
      </c>
      <c r="U5039" s="16"/>
      <c r="V5039" s="16"/>
      <c r="W5039" s="16" t="s">
        <v>40</v>
      </c>
      <c r="X5039" s="19">
        <v>1.6519999999999999</v>
      </c>
      <c r="Y5039" s="20">
        <v>2.6480000000000002E-3</v>
      </c>
      <c r="Z5039" s="21">
        <v>4601004144552</v>
      </c>
    </row>
    <row r="5040" spans="1:26" ht="12" customHeight="1" outlineLevel="5" x14ac:dyDescent="0.2">
      <c r="A5040" s="14" t="s">
        <v>9776</v>
      </c>
      <c r="B5040" s="26" t="s">
        <v>9777</v>
      </c>
      <c r="C5040" s="52"/>
      <c r="D5040" s="55">
        <f t="shared" si="78"/>
        <v>0</v>
      </c>
      <c r="E5040" s="63" t="str">
        <f>HYPERLINK("https://www.sds-group.ru/product/kabel-gibkiy-svarochnyy-kgtp-hl-1h35-mm-dlina-10-metrov-rexant-01-8413-10/", "Инфо")</f>
        <v>Инфо</v>
      </c>
      <c r="F5040" s="16" t="s">
        <v>1887</v>
      </c>
      <c r="G5040" s="15"/>
      <c r="H5040" s="15"/>
      <c r="I5040" s="15"/>
      <c r="J5040" s="17">
        <v>43</v>
      </c>
      <c r="K5040" s="15"/>
      <c r="L5040" s="17">
        <v>1</v>
      </c>
      <c r="M5040" s="17">
        <v>4</v>
      </c>
      <c r="N5040" s="17">
        <v>1</v>
      </c>
      <c r="O5040" s="18">
        <v>13880.88</v>
      </c>
      <c r="P5040" s="18">
        <v>11377.77</v>
      </c>
      <c r="Q5040" s="18">
        <v>10133.040000000001</v>
      </c>
      <c r="R5040" s="18">
        <v>8305.77</v>
      </c>
      <c r="S5040" s="18">
        <v>9439</v>
      </c>
      <c r="T5040" s="18">
        <v>7736.89</v>
      </c>
      <c r="U5040" s="16"/>
      <c r="V5040" s="16"/>
      <c r="W5040" s="16" t="s">
        <v>40</v>
      </c>
      <c r="X5040" s="19">
        <v>4.3220000000000001</v>
      </c>
      <c r="Y5040" s="20">
        <v>7.8189999999999996E-3</v>
      </c>
      <c r="Z5040" s="21">
        <v>2000321659176</v>
      </c>
    </row>
    <row r="5041" spans="1:26" ht="12" customHeight="1" outlineLevel="5" x14ac:dyDescent="0.2">
      <c r="A5041" s="14" t="s">
        <v>9778</v>
      </c>
      <c r="B5041" s="26" t="s">
        <v>9779</v>
      </c>
      <c r="C5041" s="52"/>
      <c r="D5041" s="55">
        <f t="shared" si="78"/>
        <v>0</v>
      </c>
      <c r="E5041" s="63" t="str">
        <f>HYPERLINK("https://www.sds-group.ru/product/kabel-gibkiy-svarochnyy-kgtp-hl-1h35-mm-dlina-3-metra-rexant-01-8413-3/", "Инфо")</f>
        <v>Инфо</v>
      </c>
      <c r="F5041" s="16" t="s">
        <v>1887</v>
      </c>
      <c r="G5041" s="15"/>
      <c r="H5041" s="15"/>
      <c r="I5041" s="15"/>
      <c r="J5041" s="17">
        <v>35</v>
      </c>
      <c r="K5041" s="15"/>
      <c r="L5041" s="17">
        <v>1</v>
      </c>
      <c r="M5041" s="17">
        <v>4</v>
      </c>
      <c r="N5041" s="17">
        <v>1</v>
      </c>
      <c r="O5041" s="18">
        <v>3639.69</v>
      </c>
      <c r="P5041" s="18">
        <v>2983.35</v>
      </c>
      <c r="Q5041" s="18">
        <v>2693.37</v>
      </c>
      <c r="R5041" s="18">
        <v>2207.6799999999998</v>
      </c>
      <c r="S5041" s="18">
        <v>2474.9899999999998</v>
      </c>
      <c r="T5041" s="18">
        <v>2028.68</v>
      </c>
      <c r="U5041" s="16"/>
      <c r="V5041" s="16"/>
      <c r="W5041" s="16" t="s">
        <v>40</v>
      </c>
      <c r="X5041" s="19">
        <v>1.369</v>
      </c>
      <c r="Y5041" s="20">
        <v>1.6180000000000001E-3</v>
      </c>
      <c r="Z5041" s="21">
        <v>2000321659183</v>
      </c>
    </row>
    <row r="5042" spans="1:26" ht="12" customHeight="1" outlineLevel="5" x14ac:dyDescent="0.2">
      <c r="A5042" s="14" t="s">
        <v>9780</v>
      </c>
      <c r="B5042" s="26" t="s">
        <v>9781</v>
      </c>
      <c r="C5042" s="52"/>
      <c r="D5042" s="55">
        <f t="shared" si="78"/>
        <v>0</v>
      </c>
      <c r="E5042" s="63" t="str">
        <f>HYPERLINK("https://www.sds-group.ru/product/kabel-gibkiy-svarochniy-kgtp-hl-1h35-mm-sup2-dlina-5-metrov-rexant-20985/", "Инфо")</f>
        <v>Инфо</v>
      </c>
      <c r="F5042" s="16" t="s">
        <v>1887</v>
      </c>
      <c r="G5042" s="15"/>
      <c r="H5042" s="15"/>
      <c r="I5042" s="15"/>
      <c r="J5042" s="17">
        <v>49</v>
      </c>
      <c r="K5042" s="15"/>
      <c r="L5042" s="17">
        <v>1</v>
      </c>
      <c r="M5042" s="17">
        <v>8</v>
      </c>
      <c r="N5042" s="17">
        <v>1</v>
      </c>
      <c r="O5042" s="18">
        <v>6243.39</v>
      </c>
      <c r="P5042" s="18">
        <v>5117.53</v>
      </c>
      <c r="Q5042" s="18">
        <v>4557.67</v>
      </c>
      <c r="R5042" s="18">
        <v>3735.8</v>
      </c>
      <c r="S5042" s="18">
        <v>4245.51</v>
      </c>
      <c r="T5042" s="18">
        <v>3479.93</v>
      </c>
      <c r="U5042" s="16"/>
      <c r="V5042" s="16"/>
      <c r="W5042" s="16" t="s">
        <v>40</v>
      </c>
      <c r="X5042" s="19">
        <v>1.85</v>
      </c>
      <c r="Y5042" s="20">
        <v>2.0999999999999999E-3</v>
      </c>
      <c r="Z5042" s="21">
        <v>2000321659190</v>
      </c>
    </row>
    <row r="5043" spans="1:26" ht="12" customHeight="1" outlineLevel="5" x14ac:dyDescent="0.2">
      <c r="A5043" s="14" t="s">
        <v>9782</v>
      </c>
      <c r="B5043" s="26" t="s">
        <v>9783</v>
      </c>
      <c r="C5043" s="52"/>
      <c r="D5043" s="55">
        <f t="shared" si="78"/>
        <v>0</v>
      </c>
      <c r="E5043" s="63" t="str">
        <f>HYPERLINK("https://www.sds-group.ru/product/kabel-gibkiy-svarochniy-kgtp-hl-1h50-mm-sup2-dlina-10-metrov-rexant-20989/", "Инфо")</f>
        <v>Инфо</v>
      </c>
      <c r="F5043" s="16" t="s">
        <v>1887</v>
      </c>
      <c r="G5043" s="15"/>
      <c r="H5043" s="15"/>
      <c r="I5043" s="15"/>
      <c r="J5043" s="16" t="s">
        <v>100</v>
      </c>
      <c r="K5043" s="15"/>
      <c r="L5043" s="17">
        <v>1</v>
      </c>
      <c r="M5043" s="17">
        <v>1</v>
      </c>
      <c r="N5043" s="17">
        <v>1</v>
      </c>
      <c r="O5043" s="18">
        <v>17790.16</v>
      </c>
      <c r="P5043" s="18">
        <v>14582.1</v>
      </c>
      <c r="Q5043" s="18">
        <v>13164.72</v>
      </c>
      <c r="R5043" s="18">
        <v>10790.75</v>
      </c>
      <c r="S5043" s="18">
        <v>12097.31</v>
      </c>
      <c r="T5043" s="18">
        <v>9915.83</v>
      </c>
      <c r="U5043" s="16"/>
      <c r="V5043" s="16"/>
      <c r="W5043" s="16" t="s">
        <v>40</v>
      </c>
      <c r="X5043" s="19">
        <v>5.944</v>
      </c>
      <c r="Y5043" s="20">
        <v>5.0980000000000001E-3</v>
      </c>
      <c r="Z5043" s="21">
        <v>2000321659206</v>
      </c>
    </row>
    <row r="5044" spans="1:26" ht="12" customHeight="1" outlineLevel="5" x14ac:dyDescent="0.2">
      <c r="A5044" s="14" t="s">
        <v>9784</v>
      </c>
      <c r="B5044" s="26" t="s">
        <v>9785</v>
      </c>
      <c r="C5044" s="52"/>
      <c r="D5044" s="55">
        <f t="shared" si="78"/>
        <v>0</v>
      </c>
      <c r="E5044" s="63" t="str">
        <f>HYPERLINK("https://www.sds-group.ru/product/kabel-gibkiy-svarochnyy-kgtp-hl-1h50-mm-dlina-5-metrov-rexant-01-8414-5/", "Инфо")</f>
        <v>Инфо</v>
      </c>
      <c r="F5044" s="16" t="s">
        <v>1887</v>
      </c>
      <c r="G5044" s="15"/>
      <c r="H5044" s="15"/>
      <c r="I5044" s="15"/>
      <c r="J5044" s="17">
        <v>13</v>
      </c>
      <c r="K5044" s="15"/>
      <c r="L5044" s="17">
        <v>1</v>
      </c>
      <c r="M5044" s="17">
        <v>1</v>
      </c>
      <c r="N5044" s="17">
        <v>1</v>
      </c>
      <c r="O5044" s="18">
        <v>8770.33</v>
      </c>
      <c r="P5044" s="18">
        <v>7188.8</v>
      </c>
      <c r="Q5044" s="18">
        <v>6402.34</v>
      </c>
      <c r="R5044" s="18">
        <v>5247.82</v>
      </c>
      <c r="S5044" s="18">
        <v>5963.82</v>
      </c>
      <c r="T5044" s="18">
        <v>4888.38</v>
      </c>
      <c r="U5044" s="16"/>
      <c r="V5044" s="16"/>
      <c r="W5044" s="16" t="s">
        <v>40</v>
      </c>
      <c r="X5044" s="19">
        <v>6.22</v>
      </c>
      <c r="Y5044" s="20">
        <v>2.0999999999999999E-3</v>
      </c>
      <c r="Z5044" s="21">
        <v>2000321659220</v>
      </c>
    </row>
    <row r="5045" spans="1:26" ht="12.95" customHeight="1" outlineLevel="4" x14ac:dyDescent="0.2">
      <c r="A5045" s="76" t="s">
        <v>9786</v>
      </c>
      <c r="B5045" s="76"/>
      <c r="C5045" s="77"/>
      <c r="D5045" s="58"/>
      <c r="E5045" s="68"/>
      <c r="F5045" s="13"/>
      <c r="G5045" s="13"/>
      <c r="H5045" s="13"/>
      <c r="I5045" s="13"/>
      <c r="J5045" s="13"/>
      <c r="K5045" s="13"/>
      <c r="L5045" s="13"/>
      <c r="M5045" s="13"/>
      <c r="N5045" s="13"/>
      <c r="O5045" s="13"/>
      <c r="P5045" s="13"/>
      <c r="Q5045" s="13"/>
      <c r="R5045" s="13"/>
      <c r="S5045" s="13"/>
      <c r="T5045" s="13"/>
      <c r="U5045" s="13"/>
      <c r="V5045" s="13"/>
      <c r="W5045" s="13"/>
      <c r="X5045" s="13"/>
      <c r="Y5045" s="13"/>
      <c r="Z5045" s="13"/>
    </row>
    <row r="5046" spans="1:26" ht="12" customHeight="1" outlineLevel="5" x14ac:dyDescent="0.2">
      <c r="A5046" s="14" t="s">
        <v>9787</v>
      </c>
      <c r="B5046" s="26" t="s">
        <v>9788</v>
      </c>
      <c r="C5046" s="52"/>
      <c r="D5046" s="55">
        <f t="shared" si="78"/>
        <v>0</v>
      </c>
      <c r="E5046" s="63" t="str">
        <f>HYPERLINK("https://www.sds-group.ru/product/zazhim-krokodil-200a-140-mm-dlya-svarki-latun-saturn-profi-rossiya-16-0052-9/", "Инфо")</f>
        <v>Инфо</v>
      </c>
      <c r="F5046" s="16" t="s">
        <v>39</v>
      </c>
      <c r="G5046" s="15"/>
      <c r="H5046" s="15"/>
      <c r="I5046" s="15"/>
      <c r="J5046" s="17">
        <v>4</v>
      </c>
      <c r="K5046" s="15"/>
      <c r="L5046" s="17">
        <v>1</v>
      </c>
      <c r="M5046" s="17">
        <v>50</v>
      </c>
      <c r="N5046" s="17">
        <v>1</v>
      </c>
      <c r="O5046" s="18">
        <v>1344.27</v>
      </c>
      <c r="P5046" s="18">
        <v>1101.8599999999999</v>
      </c>
      <c r="Q5046" s="18">
        <v>1075.42</v>
      </c>
      <c r="R5046" s="18">
        <v>881.49</v>
      </c>
      <c r="S5046" s="18">
        <v>914.1</v>
      </c>
      <c r="T5046" s="18">
        <v>749.26</v>
      </c>
      <c r="U5046" s="16"/>
      <c r="V5046" s="16"/>
      <c r="W5046" s="16" t="s">
        <v>40</v>
      </c>
      <c r="X5046" s="19">
        <v>0.224</v>
      </c>
      <c r="Y5046" s="20">
        <v>2.32E-4</v>
      </c>
      <c r="Z5046" s="21">
        <v>4627163100130</v>
      </c>
    </row>
    <row r="5047" spans="1:26" ht="12" customHeight="1" outlineLevel="5" x14ac:dyDescent="0.2">
      <c r="A5047" s="14" t="s">
        <v>9789</v>
      </c>
      <c r="B5047" s="26" t="s">
        <v>9790</v>
      </c>
      <c r="C5047" s="52"/>
      <c r="D5047" s="55">
        <f t="shared" si="78"/>
        <v>0</v>
      </c>
      <c r="E5047" s="63" t="str">
        <f>HYPERLINK("https://www.sds-group.ru/product/zazhim-krokodil-315a-170-mm-dlya-svarki-latun-saturn-profi-rossiya-16-0053-9/", "Инфо")</f>
        <v>Инфо</v>
      </c>
      <c r="F5047" s="16" t="s">
        <v>39</v>
      </c>
      <c r="G5047" s="15"/>
      <c r="H5047" s="15"/>
      <c r="I5047" s="15"/>
      <c r="J5047" s="17">
        <v>57</v>
      </c>
      <c r="K5047" s="15"/>
      <c r="L5047" s="17">
        <v>1</v>
      </c>
      <c r="M5047" s="17">
        <v>40</v>
      </c>
      <c r="N5047" s="17">
        <v>1</v>
      </c>
      <c r="O5047" s="18">
        <v>1709.98</v>
      </c>
      <c r="P5047" s="18">
        <v>1401.62</v>
      </c>
      <c r="Q5047" s="18">
        <v>1350.88</v>
      </c>
      <c r="R5047" s="18">
        <v>1107.28</v>
      </c>
      <c r="S5047" s="18">
        <v>1162.79</v>
      </c>
      <c r="T5047" s="18">
        <v>953.11</v>
      </c>
      <c r="U5047" s="16"/>
      <c r="V5047" s="16"/>
      <c r="W5047" s="16" t="s">
        <v>40</v>
      </c>
      <c r="X5047" s="19">
        <v>0.27100000000000002</v>
      </c>
      <c r="Y5047" s="20">
        <v>5.3399999999999997E-4</v>
      </c>
      <c r="Z5047" s="21">
        <v>4627163100154</v>
      </c>
    </row>
    <row r="5048" spans="1:26" ht="12" customHeight="1" outlineLevel="5" x14ac:dyDescent="0.2">
      <c r="A5048" s="14" t="s">
        <v>9791</v>
      </c>
      <c r="B5048" s="26" t="s">
        <v>9792</v>
      </c>
      <c r="C5048" s="52"/>
      <c r="D5048" s="55">
        <f t="shared" si="78"/>
        <v>0</v>
      </c>
      <c r="E5048" s="63" t="str">
        <f>HYPERLINK("https://www.sds-group.ru/product/zazhim-krokodil-400a-170-mm-dlya-svarki-latun-saturn-profi-rossiya-16-0054-9/", "Инфо")</f>
        <v>Инфо</v>
      </c>
      <c r="F5048" s="16" t="s">
        <v>39</v>
      </c>
      <c r="G5048" s="15"/>
      <c r="H5048" s="15"/>
      <c r="I5048" s="15"/>
      <c r="J5048" s="16" t="s">
        <v>100</v>
      </c>
      <c r="K5048" s="15"/>
      <c r="L5048" s="17">
        <v>1</v>
      </c>
      <c r="M5048" s="17">
        <v>40</v>
      </c>
      <c r="N5048" s="17">
        <v>1</v>
      </c>
      <c r="O5048" s="18">
        <v>2136.19</v>
      </c>
      <c r="P5048" s="18">
        <v>1750.98</v>
      </c>
      <c r="Q5048" s="18">
        <v>1687.59</v>
      </c>
      <c r="R5048" s="18">
        <v>1383.27</v>
      </c>
      <c r="S5048" s="18">
        <v>1452.61</v>
      </c>
      <c r="T5048" s="18">
        <v>1190.6600000000001</v>
      </c>
      <c r="U5048" s="16"/>
      <c r="V5048" s="16"/>
      <c r="W5048" s="16" t="s">
        <v>40</v>
      </c>
      <c r="X5048" s="19">
        <v>0.314</v>
      </c>
      <c r="Y5048" s="20">
        <v>5.4299999999999997E-4</v>
      </c>
      <c r="Z5048" s="21">
        <v>4627163100161</v>
      </c>
    </row>
    <row r="5049" spans="1:26" ht="12" customHeight="1" outlineLevel="5" x14ac:dyDescent="0.2">
      <c r="A5049" s="14" t="s">
        <v>9793</v>
      </c>
      <c r="B5049" s="26" t="s">
        <v>9794</v>
      </c>
      <c r="C5049" s="52"/>
      <c r="D5049" s="55">
        <f t="shared" si="78"/>
        <v>0</v>
      </c>
      <c r="E5049" s="63" t="str">
        <f>HYPERLINK("https://www.sds-group.ru/product/klemma-zazemleniya-magnitnaya-200a-rexant-12-4861/", "Инфо")</f>
        <v>Инфо</v>
      </c>
      <c r="F5049" s="16" t="s">
        <v>39</v>
      </c>
      <c r="G5049" s="15"/>
      <c r="H5049" s="15"/>
      <c r="I5049" s="15"/>
      <c r="J5049" s="17">
        <v>714</v>
      </c>
      <c r="K5049" s="15" t="s">
        <v>925</v>
      </c>
      <c r="L5049" s="17">
        <v>5</v>
      </c>
      <c r="M5049" s="17">
        <v>96</v>
      </c>
      <c r="N5049" s="17">
        <v>5</v>
      </c>
      <c r="O5049" s="18">
        <v>565.97</v>
      </c>
      <c r="P5049" s="18">
        <v>463.91</v>
      </c>
      <c r="Q5049" s="18">
        <v>452.78</v>
      </c>
      <c r="R5049" s="18">
        <v>371.13</v>
      </c>
      <c r="S5049" s="18">
        <v>384.86</v>
      </c>
      <c r="T5049" s="18">
        <v>315.45999999999998</v>
      </c>
      <c r="U5049" s="16"/>
      <c r="V5049" s="16"/>
      <c r="W5049" s="16" t="s">
        <v>40</v>
      </c>
      <c r="X5049" s="19">
        <v>0.14699999999999999</v>
      </c>
      <c r="Y5049" s="20">
        <v>2.8899999999999998E-4</v>
      </c>
      <c r="Z5049" s="21">
        <v>4601004135598</v>
      </c>
    </row>
    <row r="5050" spans="1:26" ht="12" customHeight="1" outlineLevel="5" x14ac:dyDescent="0.2">
      <c r="A5050" s="14" t="s">
        <v>9795</v>
      </c>
      <c r="B5050" s="26" t="s">
        <v>9796</v>
      </c>
      <c r="C5050" s="52"/>
      <c r="D5050" s="55">
        <f t="shared" si="78"/>
        <v>0</v>
      </c>
      <c r="E5050" s="63" t="str">
        <f>HYPERLINK("https://www.sds-group.ru/product/klemma-zazemleniya-magnitnaya-500a-rexant-12-4863/", "Инфо")</f>
        <v>Инфо</v>
      </c>
      <c r="F5050" s="16" t="s">
        <v>39</v>
      </c>
      <c r="G5050" s="15"/>
      <c r="H5050" s="15"/>
      <c r="I5050" s="15"/>
      <c r="J5050" s="17">
        <v>514</v>
      </c>
      <c r="K5050" s="15" t="s">
        <v>925</v>
      </c>
      <c r="L5050" s="17">
        <v>1</v>
      </c>
      <c r="M5050" s="17">
        <v>24</v>
      </c>
      <c r="N5050" s="17">
        <v>1</v>
      </c>
      <c r="O5050" s="18">
        <v>1784.96</v>
      </c>
      <c r="P5050" s="18">
        <v>1463.08</v>
      </c>
      <c r="Q5050" s="18">
        <v>1427.97</v>
      </c>
      <c r="R5050" s="18">
        <v>1170.47</v>
      </c>
      <c r="S5050" s="18">
        <v>1213.77</v>
      </c>
      <c r="T5050" s="18">
        <v>994.89</v>
      </c>
      <c r="U5050" s="16"/>
      <c r="V5050" s="16"/>
      <c r="W5050" s="16" t="s">
        <v>40</v>
      </c>
      <c r="X5050" s="19">
        <v>0.62</v>
      </c>
      <c r="Y5050" s="20">
        <v>1.4679999999999999E-3</v>
      </c>
      <c r="Z5050" s="21">
        <v>4601004135604</v>
      </c>
    </row>
    <row r="5051" spans="1:26" ht="12" customHeight="1" outlineLevel="5" x14ac:dyDescent="0.2">
      <c r="A5051" s="14" t="s">
        <v>9797</v>
      </c>
      <c r="B5051" s="26" t="s">
        <v>9798</v>
      </c>
      <c r="C5051" s="52"/>
      <c r="D5051" s="55">
        <f t="shared" si="78"/>
        <v>0</v>
      </c>
      <c r="E5051" s="63" t="str">
        <f>HYPERLINK("https://www.sds-group.ru/product/klemma-zazemleniya-tipa-krokodil-300a-170mm-dlya-svarki-rexant-16-0053/", "Инфо")</f>
        <v>Инфо</v>
      </c>
      <c r="F5051" s="16" t="s">
        <v>39</v>
      </c>
      <c r="G5051" s="15"/>
      <c r="H5051" s="15"/>
      <c r="I5051" s="15"/>
      <c r="J5051" s="22">
        <v>1630</v>
      </c>
      <c r="K5051" s="15" t="s">
        <v>1277</v>
      </c>
      <c r="L5051" s="17">
        <v>1</v>
      </c>
      <c r="M5051" s="17">
        <v>40</v>
      </c>
      <c r="N5051" s="17">
        <v>1</v>
      </c>
      <c r="O5051" s="18">
        <v>518.28</v>
      </c>
      <c r="P5051" s="18">
        <v>424.82</v>
      </c>
      <c r="Q5051" s="18">
        <v>414.62</v>
      </c>
      <c r="R5051" s="18">
        <v>339.85</v>
      </c>
      <c r="S5051" s="18">
        <v>352.43</v>
      </c>
      <c r="T5051" s="18">
        <v>288.88</v>
      </c>
      <c r="U5051" s="16"/>
      <c r="V5051" s="16"/>
      <c r="W5051" s="16" t="s">
        <v>40</v>
      </c>
      <c r="X5051" s="19">
        <v>0.17899999999999999</v>
      </c>
      <c r="Y5051" s="20">
        <v>1.573E-3</v>
      </c>
      <c r="Z5051" s="21">
        <v>4601004090057</v>
      </c>
    </row>
    <row r="5052" spans="1:26" ht="12" customHeight="1" outlineLevel="5" x14ac:dyDescent="0.2">
      <c r="A5052" s="14" t="s">
        <v>9799</v>
      </c>
      <c r="B5052" s="26" t="s">
        <v>9800</v>
      </c>
      <c r="C5052" s="52"/>
      <c r="D5052" s="55">
        <f t="shared" si="78"/>
        <v>0</v>
      </c>
      <c r="E5052" s="63" t="str">
        <f>HYPERLINK("https://www.sds-group.ru/product/klemma-zazemleniya-tipa-krokodil-500a-200mm-dlya-svarki-rexant-16-0055/", "Инфо")</f>
        <v>Инфо</v>
      </c>
      <c r="F5052" s="16" t="s">
        <v>39</v>
      </c>
      <c r="G5052" s="15"/>
      <c r="H5052" s="15"/>
      <c r="I5052" s="15"/>
      <c r="J5052" s="22">
        <v>4791</v>
      </c>
      <c r="K5052" s="15" t="s">
        <v>1277</v>
      </c>
      <c r="L5052" s="17">
        <v>1</v>
      </c>
      <c r="M5052" s="17">
        <v>40</v>
      </c>
      <c r="N5052" s="17">
        <v>1</v>
      </c>
      <c r="O5052" s="18">
        <v>630.23</v>
      </c>
      <c r="P5052" s="18">
        <v>516.58000000000004</v>
      </c>
      <c r="Q5052" s="18">
        <v>510.49</v>
      </c>
      <c r="R5052" s="18">
        <v>418.43</v>
      </c>
      <c r="S5052" s="18">
        <v>428.56</v>
      </c>
      <c r="T5052" s="18">
        <v>351.28</v>
      </c>
      <c r="U5052" s="16"/>
      <c r="V5052" s="16"/>
      <c r="W5052" s="16" t="s">
        <v>40</v>
      </c>
      <c r="X5052" s="19">
        <v>0.26200000000000001</v>
      </c>
      <c r="Y5052" s="20">
        <v>1.5839999999999999E-3</v>
      </c>
      <c r="Z5052" s="21">
        <v>4601004090026</v>
      </c>
    </row>
    <row r="5053" spans="1:26" ht="12.95" customHeight="1" outlineLevel="4" x14ac:dyDescent="0.2">
      <c r="A5053" s="76" t="s">
        <v>9801</v>
      </c>
      <c r="B5053" s="76"/>
      <c r="C5053" s="77"/>
      <c r="D5053" s="58"/>
      <c r="E5053" s="68"/>
      <c r="F5053" s="13"/>
      <c r="G5053" s="13"/>
      <c r="H5053" s="13"/>
      <c r="I5053" s="13"/>
      <c r="J5053" s="13"/>
      <c r="K5053" s="13"/>
      <c r="L5053" s="13"/>
      <c r="M5053" s="13"/>
      <c r="N5053" s="13"/>
      <c r="O5053" s="13"/>
      <c r="P5053" s="13"/>
      <c r="Q5053" s="13"/>
      <c r="R5053" s="13"/>
      <c r="S5053" s="13"/>
      <c r="T5053" s="13"/>
      <c r="U5053" s="13"/>
      <c r="V5053" s="13"/>
      <c r="W5053" s="13"/>
      <c r="X5053" s="13"/>
      <c r="Y5053" s="13"/>
      <c r="Z5053" s="13"/>
    </row>
    <row r="5054" spans="1:26" ht="12" customHeight="1" outlineLevel="5" x14ac:dyDescent="0.2">
      <c r="A5054" s="14" t="s">
        <v>9802</v>
      </c>
      <c r="B5054" s="26" t="s">
        <v>9803</v>
      </c>
      <c r="C5054" s="52"/>
      <c r="D5054" s="55">
        <f t="shared" si="78"/>
        <v>0</v>
      </c>
      <c r="E5054" s="63" t="str">
        <f>HYPERLINK("https://www.sds-group.ru/product/derzhatel-elektroda-300a-tip-s-rexant-16-0850/", "Инфо")</f>
        <v>Инфо</v>
      </c>
      <c r="F5054" s="16" t="s">
        <v>39</v>
      </c>
      <c r="G5054" s="15"/>
      <c r="H5054" s="15"/>
      <c r="I5054" s="15"/>
      <c r="J5054" s="17">
        <v>879</v>
      </c>
      <c r="K5054" s="15" t="s">
        <v>1126</v>
      </c>
      <c r="L5054" s="17">
        <v>1</v>
      </c>
      <c r="M5054" s="17">
        <v>50</v>
      </c>
      <c r="N5054" s="17">
        <v>1</v>
      </c>
      <c r="O5054" s="18">
        <v>518.28</v>
      </c>
      <c r="P5054" s="18">
        <v>424.82</v>
      </c>
      <c r="Q5054" s="18">
        <v>414.62</v>
      </c>
      <c r="R5054" s="18">
        <v>339.85</v>
      </c>
      <c r="S5054" s="18">
        <v>352.43</v>
      </c>
      <c r="T5054" s="18">
        <v>288.88</v>
      </c>
      <c r="U5054" s="16"/>
      <c r="V5054" s="16"/>
      <c r="W5054" s="16" t="s">
        <v>40</v>
      </c>
      <c r="X5054" s="19">
        <v>0.28599999999999998</v>
      </c>
      <c r="Y5054" s="20">
        <v>6.5499999999999998E-4</v>
      </c>
      <c r="Z5054" s="21">
        <v>4601004171497</v>
      </c>
    </row>
    <row r="5055" spans="1:26" ht="12" customHeight="1" outlineLevel="5" x14ac:dyDescent="0.2">
      <c r="A5055" s="14" t="s">
        <v>9804</v>
      </c>
      <c r="B5055" s="26" t="s">
        <v>9805</v>
      </c>
      <c r="C5055" s="52"/>
      <c r="D5055" s="55">
        <f t="shared" si="78"/>
        <v>0</v>
      </c>
      <c r="E5055" s="63" t="str">
        <f>HYPERLINK("https://www.sds-group.ru/product/derzhatel-elektroda-500a-tip-s-rexant-16-0851/", "Инфо")</f>
        <v>Инфо</v>
      </c>
      <c r="F5055" s="16" t="s">
        <v>39</v>
      </c>
      <c r="G5055" s="15"/>
      <c r="H5055" s="15"/>
      <c r="I5055" s="15"/>
      <c r="J5055" s="22">
        <v>2648</v>
      </c>
      <c r="K5055" s="15" t="s">
        <v>1126</v>
      </c>
      <c r="L5055" s="17">
        <v>1</v>
      </c>
      <c r="M5055" s="17">
        <v>50</v>
      </c>
      <c r="N5055" s="17">
        <v>1</v>
      </c>
      <c r="O5055" s="18">
        <v>549.38</v>
      </c>
      <c r="P5055" s="18">
        <v>450.31</v>
      </c>
      <c r="Q5055" s="18">
        <v>439.5</v>
      </c>
      <c r="R5055" s="18">
        <v>360.25</v>
      </c>
      <c r="S5055" s="18">
        <v>373.58</v>
      </c>
      <c r="T5055" s="18">
        <v>306.20999999999998</v>
      </c>
      <c r="U5055" s="16"/>
      <c r="V5055" s="16"/>
      <c r="W5055" s="16" t="s">
        <v>40</v>
      </c>
      <c r="X5055" s="19">
        <v>0.316</v>
      </c>
      <c r="Y5055" s="20">
        <v>6.5399999999999996E-4</v>
      </c>
      <c r="Z5055" s="21">
        <v>4601004171398</v>
      </c>
    </row>
    <row r="5056" spans="1:26" ht="12" customHeight="1" outlineLevel="5" x14ac:dyDescent="0.2">
      <c r="A5056" s="14" t="s">
        <v>9806</v>
      </c>
      <c r="B5056" s="26" t="s">
        <v>9807</v>
      </c>
      <c r="C5056" s="52"/>
      <c r="D5056" s="55">
        <f t="shared" si="78"/>
        <v>0</v>
      </c>
      <c r="E5056" s="63" t="str">
        <f>HYPERLINK("https://www.sds-group.ru/product/derzhatel-elektroda-300a-amerikanskiy-tip-rexant-16-0853/", "Инфо")</f>
        <v>Инфо</v>
      </c>
      <c r="F5056" s="16" t="s">
        <v>39</v>
      </c>
      <c r="G5056" s="15"/>
      <c r="H5056" s="15"/>
      <c r="I5056" s="15"/>
      <c r="J5056" s="17">
        <v>241</v>
      </c>
      <c r="K5056" s="15" t="s">
        <v>1126</v>
      </c>
      <c r="L5056" s="17">
        <v>1</v>
      </c>
      <c r="M5056" s="17">
        <v>25</v>
      </c>
      <c r="N5056" s="17">
        <v>1</v>
      </c>
      <c r="O5056" s="18">
        <v>727.66</v>
      </c>
      <c r="P5056" s="18">
        <v>596.44000000000005</v>
      </c>
      <c r="Q5056" s="18">
        <v>582.13</v>
      </c>
      <c r="R5056" s="18">
        <v>477.16</v>
      </c>
      <c r="S5056" s="18">
        <v>494.81</v>
      </c>
      <c r="T5056" s="18">
        <v>405.58</v>
      </c>
      <c r="U5056" s="16"/>
      <c r="V5056" s="16"/>
      <c r="W5056" s="16" t="s">
        <v>40</v>
      </c>
      <c r="X5056" s="19">
        <v>0.48299999999999998</v>
      </c>
      <c r="Y5056" s="20">
        <v>2.5479999999999999E-3</v>
      </c>
      <c r="Z5056" s="21">
        <v>4601004171411</v>
      </c>
    </row>
    <row r="5057" spans="1:26" ht="12" customHeight="1" outlineLevel="5" x14ac:dyDescent="0.2">
      <c r="A5057" s="14" t="s">
        <v>9808</v>
      </c>
      <c r="B5057" s="26" t="s">
        <v>9809</v>
      </c>
      <c r="C5057" s="52"/>
      <c r="D5057" s="55">
        <f t="shared" si="78"/>
        <v>0</v>
      </c>
      <c r="E5057" s="63" t="str">
        <f>HYPERLINK("https://www.sds-group.ru/product/derzhatel-elektroda-300a-italyanskiy-tip-rexant-16-0855/", "Инфо")</f>
        <v>Инфо</v>
      </c>
      <c r="F5057" s="16" t="s">
        <v>39</v>
      </c>
      <c r="G5057" s="15"/>
      <c r="H5057" s="15"/>
      <c r="I5057" s="15"/>
      <c r="J5057" s="17">
        <v>339</v>
      </c>
      <c r="K5057" s="15" t="s">
        <v>1126</v>
      </c>
      <c r="L5057" s="17">
        <v>1</v>
      </c>
      <c r="M5057" s="17">
        <v>25</v>
      </c>
      <c r="N5057" s="17">
        <v>1</v>
      </c>
      <c r="O5057" s="18">
        <v>603.69000000000005</v>
      </c>
      <c r="P5057" s="18">
        <v>494.83</v>
      </c>
      <c r="Q5057" s="18">
        <v>482.95</v>
      </c>
      <c r="R5057" s="18">
        <v>395.86</v>
      </c>
      <c r="S5057" s="18">
        <v>410.51</v>
      </c>
      <c r="T5057" s="18">
        <v>336.48</v>
      </c>
      <c r="U5057" s="16"/>
      <c r="V5057" s="16"/>
      <c r="W5057" s="16" t="s">
        <v>40</v>
      </c>
      <c r="X5057" s="19">
        <v>0.499</v>
      </c>
      <c r="Y5057" s="20">
        <v>2.6719999999999999E-3</v>
      </c>
      <c r="Z5057" s="21">
        <v>4601004171459</v>
      </c>
    </row>
    <row r="5058" spans="1:26" ht="12" customHeight="1" outlineLevel="5" x14ac:dyDescent="0.2">
      <c r="A5058" s="14" t="s">
        <v>9810</v>
      </c>
      <c r="B5058" s="26" t="s">
        <v>9811</v>
      </c>
      <c r="C5058" s="52"/>
      <c r="D5058" s="55">
        <f t="shared" si="78"/>
        <v>0</v>
      </c>
      <c r="E5058" s="63" t="str">
        <f>HYPERLINK("https://www.sds-group.ru/product/derzhatel-elektroda-300a-tip-e-rexant-16-0857-6/", "Инфо")</f>
        <v>Инфо</v>
      </c>
      <c r="F5058" s="16" t="s">
        <v>39</v>
      </c>
      <c r="G5058" s="15"/>
      <c r="H5058" s="15"/>
      <c r="I5058" s="15"/>
      <c r="J5058" s="17">
        <v>623</v>
      </c>
      <c r="K5058" s="15"/>
      <c r="L5058" s="17">
        <v>1</v>
      </c>
      <c r="M5058" s="17">
        <v>50</v>
      </c>
      <c r="N5058" s="17">
        <v>1</v>
      </c>
      <c r="O5058" s="18">
        <v>571.35</v>
      </c>
      <c r="P5058" s="18">
        <v>468.32</v>
      </c>
      <c r="Q5058" s="18">
        <v>457.08</v>
      </c>
      <c r="R5058" s="18">
        <v>374.66</v>
      </c>
      <c r="S5058" s="18">
        <v>388.52</v>
      </c>
      <c r="T5058" s="18">
        <v>318.45999999999998</v>
      </c>
      <c r="U5058" s="16"/>
      <c r="V5058" s="16"/>
      <c r="W5058" s="16" t="s">
        <v>40</v>
      </c>
      <c r="X5058" s="19">
        <v>0.41899999999999998</v>
      </c>
      <c r="Y5058" s="20">
        <v>7.3499999999999998E-4</v>
      </c>
      <c r="Z5058" s="21">
        <v>4601004183360</v>
      </c>
    </row>
    <row r="5059" spans="1:26" ht="12" customHeight="1" outlineLevel="5" x14ac:dyDescent="0.2">
      <c r="A5059" s="14" t="s">
        <v>9812</v>
      </c>
      <c r="B5059" s="26" t="s">
        <v>9813</v>
      </c>
      <c r="C5059" s="52"/>
      <c r="D5059" s="55">
        <f t="shared" si="78"/>
        <v>0</v>
      </c>
      <c r="E5059" s="63" t="str">
        <f>HYPERLINK("https://www.sds-group.ru/product/derzhatel-elektroda-500a-amerikanskiy-tip-rexant-16-0854/", "Инфо")</f>
        <v>Инфо</v>
      </c>
      <c r="F5059" s="16" t="s">
        <v>39</v>
      </c>
      <c r="G5059" s="15"/>
      <c r="H5059" s="15"/>
      <c r="I5059" s="15"/>
      <c r="J5059" s="22">
        <v>1150</v>
      </c>
      <c r="K5059" s="15" t="s">
        <v>1665</v>
      </c>
      <c r="L5059" s="17">
        <v>1</v>
      </c>
      <c r="M5059" s="17">
        <v>25</v>
      </c>
      <c r="N5059" s="17">
        <v>1</v>
      </c>
      <c r="O5059" s="18">
        <v>727.66</v>
      </c>
      <c r="P5059" s="18">
        <v>596.44000000000005</v>
      </c>
      <c r="Q5059" s="18">
        <v>582.13</v>
      </c>
      <c r="R5059" s="18">
        <v>477.16</v>
      </c>
      <c r="S5059" s="18">
        <v>494.81</v>
      </c>
      <c r="T5059" s="18">
        <v>405.58</v>
      </c>
      <c r="U5059" s="16"/>
      <c r="V5059" s="16"/>
      <c r="W5059" s="16" t="s">
        <v>40</v>
      </c>
      <c r="X5059" s="19">
        <v>0.621</v>
      </c>
      <c r="Y5059" s="20">
        <v>2.5079999999999998E-3</v>
      </c>
      <c r="Z5059" s="21">
        <v>4601004171435</v>
      </c>
    </row>
    <row r="5060" spans="1:26" ht="12" customHeight="1" outlineLevel="5" x14ac:dyDescent="0.2">
      <c r="A5060" s="14" t="s">
        <v>9814</v>
      </c>
      <c r="B5060" s="26" t="s">
        <v>9815</v>
      </c>
      <c r="C5060" s="52"/>
      <c r="D5060" s="55">
        <f t="shared" si="78"/>
        <v>0</v>
      </c>
      <c r="E5060" s="63" t="str">
        <f>HYPERLINK("https://www.sds-group.ru/product/derzhatel-elektroda-500a-italyanskiy-tip-rexant-16-0856/", "Инфо")</f>
        <v>Инфо</v>
      </c>
      <c r="F5060" s="16" t="s">
        <v>39</v>
      </c>
      <c r="G5060" s="15"/>
      <c r="H5060" s="15"/>
      <c r="I5060" s="15"/>
      <c r="J5060" s="22">
        <v>3559</v>
      </c>
      <c r="K5060" s="15"/>
      <c r="L5060" s="17">
        <v>1</v>
      </c>
      <c r="M5060" s="17">
        <v>25</v>
      </c>
      <c r="N5060" s="17">
        <v>1</v>
      </c>
      <c r="O5060" s="18">
        <v>694.49</v>
      </c>
      <c r="P5060" s="18">
        <v>569.25</v>
      </c>
      <c r="Q5060" s="18">
        <v>555.59</v>
      </c>
      <c r="R5060" s="18">
        <v>455.4</v>
      </c>
      <c r="S5060" s="18">
        <v>472.25</v>
      </c>
      <c r="T5060" s="18">
        <v>387.09</v>
      </c>
      <c r="U5060" s="16"/>
      <c r="V5060" s="16"/>
      <c r="W5060" s="16" t="s">
        <v>40</v>
      </c>
      <c r="X5060" s="19">
        <v>0.49299999999999999</v>
      </c>
      <c r="Y5060" s="20">
        <v>2.5600000000000002E-3</v>
      </c>
      <c r="Z5060" s="21">
        <v>4601004171473</v>
      </c>
    </row>
    <row r="5061" spans="1:26" ht="12.95" customHeight="1" outlineLevel="4" x14ac:dyDescent="0.2">
      <c r="A5061" s="76" t="s">
        <v>9816</v>
      </c>
      <c r="B5061" s="76"/>
      <c r="C5061" s="77"/>
      <c r="D5061" s="58"/>
      <c r="E5061" s="68"/>
      <c r="F5061" s="13"/>
      <c r="G5061" s="13"/>
      <c r="H5061" s="13"/>
      <c r="I5061" s="13"/>
      <c r="J5061" s="13"/>
      <c r="K5061" s="13"/>
      <c r="L5061" s="13"/>
      <c r="M5061" s="13"/>
      <c r="N5061" s="13"/>
      <c r="O5061" s="13"/>
      <c r="P5061" s="13"/>
      <c r="Q5061" s="13"/>
      <c r="R5061" s="13"/>
      <c r="S5061" s="13"/>
      <c r="T5061" s="13"/>
      <c r="U5061" s="13"/>
      <c r="V5061" s="13"/>
      <c r="W5061" s="13"/>
      <c r="X5061" s="13"/>
      <c r="Y5061" s="13"/>
      <c r="Z5061" s="13"/>
    </row>
    <row r="5062" spans="1:26" ht="12" customHeight="1" outlineLevel="5" x14ac:dyDescent="0.2">
      <c r="A5062" s="14" t="s">
        <v>9817</v>
      </c>
      <c r="B5062" s="26" t="s">
        <v>9818</v>
      </c>
      <c r="C5062" s="52"/>
      <c r="D5062" s="55">
        <f t="shared" si="78"/>
        <v>0</v>
      </c>
      <c r="E5062" s="63" t="str">
        <f>HYPERLINK("https://www.sds-group.ru/product/rozetka-panelnaya-gnezdo-skrp-10-25-rexant-16-0880/", "Инфо")</f>
        <v>Инфо</v>
      </c>
      <c r="F5062" s="16" t="s">
        <v>39</v>
      </c>
      <c r="G5062" s="15"/>
      <c r="H5062" s="15"/>
      <c r="I5062" s="15"/>
      <c r="J5062" s="22">
        <v>4965</v>
      </c>
      <c r="K5062" s="15" t="s">
        <v>1277</v>
      </c>
      <c r="L5062" s="17">
        <v>5</v>
      </c>
      <c r="M5062" s="17">
        <v>500</v>
      </c>
      <c r="N5062" s="17">
        <v>5</v>
      </c>
      <c r="O5062" s="18">
        <v>274</v>
      </c>
      <c r="P5062" s="18">
        <v>224.59</v>
      </c>
      <c r="Q5062" s="18">
        <v>232.9</v>
      </c>
      <c r="R5062" s="18">
        <v>190.9</v>
      </c>
      <c r="S5062" s="18">
        <v>186.32</v>
      </c>
      <c r="T5062" s="18">
        <v>152.72</v>
      </c>
      <c r="U5062" s="16"/>
      <c r="V5062" s="16"/>
      <c r="W5062" s="16" t="s">
        <v>40</v>
      </c>
      <c r="X5062" s="19">
        <v>4.2999999999999997E-2</v>
      </c>
      <c r="Y5062" s="20">
        <v>6.9999999999999994E-5</v>
      </c>
      <c r="Z5062" s="21">
        <v>4601004171343</v>
      </c>
    </row>
    <row r="5063" spans="1:26" ht="12" customHeight="1" outlineLevel="5" x14ac:dyDescent="0.2">
      <c r="A5063" s="14" t="s">
        <v>9819</v>
      </c>
      <c r="B5063" s="26" t="s">
        <v>9820</v>
      </c>
      <c r="C5063" s="52"/>
      <c r="D5063" s="55">
        <f t="shared" si="78"/>
        <v>0</v>
      </c>
      <c r="E5063" s="63" t="str">
        <f>HYPERLINK("https://www.sds-group.ru/product/vilka-kabelnaya-vstavka-skr-10-25-rexant-16-0882/", "Инфо")</f>
        <v>Инфо</v>
      </c>
      <c r="F5063" s="16" t="s">
        <v>39</v>
      </c>
      <c r="G5063" s="15"/>
      <c r="H5063" s="15"/>
      <c r="I5063" s="15"/>
      <c r="J5063" s="22">
        <v>4195</v>
      </c>
      <c r="K5063" s="15" t="s">
        <v>1126</v>
      </c>
      <c r="L5063" s="17">
        <v>5</v>
      </c>
      <c r="M5063" s="17">
        <v>250</v>
      </c>
      <c r="N5063" s="17">
        <v>5</v>
      </c>
      <c r="O5063" s="18">
        <v>304.42</v>
      </c>
      <c r="P5063" s="18">
        <v>249.52</v>
      </c>
      <c r="Q5063" s="18">
        <v>258.76</v>
      </c>
      <c r="R5063" s="18">
        <v>212.1</v>
      </c>
      <c r="S5063" s="18">
        <v>207.01</v>
      </c>
      <c r="T5063" s="18">
        <v>169.68</v>
      </c>
      <c r="U5063" s="16"/>
      <c r="V5063" s="16"/>
      <c r="W5063" s="16" t="s">
        <v>40</v>
      </c>
      <c r="X5063" s="19">
        <v>4.7E-2</v>
      </c>
      <c r="Y5063" s="20">
        <v>1.37E-4</v>
      </c>
      <c r="Z5063" s="21">
        <v>4601004171381</v>
      </c>
    </row>
    <row r="5064" spans="1:26" ht="12" customHeight="1" outlineLevel="5" x14ac:dyDescent="0.2">
      <c r="A5064" s="14" t="s">
        <v>9821</v>
      </c>
      <c r="B5064" s="26" t="s">
        <v>9822</v>
      </c>
      <c r="C5064" s="52"/>
      <c r="D5064" s="55">
        <f t="shared" si="78"/>
        <v>0</v>
      </c>
      <c r="E5064" s="63" t="str">
        <f>HYPERLINK("https://www.sds-group.ru/product/rozetka-panelnaya-gnezdo-skrp-35-50-rexant-16-0881/", "Инфо")</f>
        <v>Инфо</v>
      </c>
      <c r="F5064" s="16" t="s">
        <v>39</v>
      </c>
      <c r="G5064" s="15"/>
      <c r="H5064" s="15"/>
      <c r="I5064" s="15"/>
      <c r="J5064" s="22">
        <v>2241</v>
      </c>
      <c r="K5064" s="15" t="s">
        <v>1277</v>
      </c>
      <c r="L5064" s="17">
        <v>5</v>
      </c>
      <c r="M5064" s="17">
        <v>250</v>
      </c>
      <c r="N5064" s="17">
        <v>5</v>
      </c>
      <c r="O5064" s="18">
        <v>566.08000000000004</v>
      </c>
      <c r="P5064" s="18">
        <v>464</v>
      </c>
      <c r="Q5064" s="18">
        <v>452.86</v>
      </c>
      <c r="R5064" s="18">
        <v>371.2</v>
      </c>
      <c r="S5064" s="18">
        <v>384.93</v>
      </c>
      <c r="T5064" s="18">
        <v>315.52</v>
      </c>
      <c r="U5064" s="16"/>
      <c r="V5064" s="16"/>
      <c r="W5064" s="16" t="s">
        <v>40</v>
      </c>
      <c r="X5064" s="19">
        <v>8.5999999999999993E-2</v>
      </c>
      <c r="Y5064" s="20">
        <v>1.06E-4</v>
      </c>
      <c r="Z5064" s="21">
        <v>4601004171350</v>
      </c>
    </row>
    <row r="5065" spans="1:26" ht="12" customHeight="1" outlineLevel="5" x14ac:dyDescent="0.2">
      <c r="A5065" s="14" t="s">
        <v>9823</v>
      </c>
      <c r="B5065" s="26" t="s">
        <v>9824</v>
      </c>
      <c r="C5065" s="52"/>
      <c r="D5065" s="55">
        <f t="shared" ref="D5065:D5128" si="79">C5065*(O5065-O5065*$G$3)</f>
        <v>0</v>
      </c>
      <c r="E5065" s="63" t="str">
        <f>HYPERLINK("https://www.sds-group.ru/product/vilka-kabelnaya-vstavka-skr-35-50-rexant-16-0885/", "Инфо")</f>
        <v>Инфо</v>
      </c>
      <c r="F5065" s="16" t="s">
        <v>39</v>
      </c>
      <c r="G5065" s="15"/>
      <c r="H5065" s="15"/>
      <c r="I5065" s="15"/>
      <c r="J5065" s="22">
        <v>3928</v>
      </c>
      <c r="K5065" s="15" t="s">
        <v>1277</v>
      </c>
      <c r="L5065" s="17">
        <v>1</v>
      </c>
      <c r="M5065" s="17">
        <v>200</v>
      </c>
      <c r="N5065" s="17">
        <v>1</v>
      </c>
      <c r="O5065" s="18">
        <v>628.97</v>
      </c>
      <c r="P5065" s="18">
        <v>515.54999999999995</v>
      </c>
      <c r="Q5065" s="18">
        <v>503.18</v>
      </c>
      <c r="R5065" s="18">
        <v>412.44</v>
      </c>
      <c r="S5065" s="18">
        <v>427.7</v>
      </c>
      <c r="T5065" s="18">
        <v>350.57</v>
      </c>
      <c r="U5065" s="16"/>
      <c r="V5065" s="16"/>
      <c r="W5065" s="16" t="s">
        <v>40</v>
      </c>
      <c r="X5065" s="19">
        <v>7.1999999999999995E-2</v>
      </c>
      <c r="Y5065" s="20">
        <v>1.3200000000000001E-4</v>
      </c>
      <c r="Z5065" s="21">
        <v>4601004171374</v>
      </c>
    </row>
    <row r="5066" spans="1:26" ht="12" customHeight="1" outlineLevel="5" x14ac:dyDescent="0.2">
      <c r="A5066" s="14" t="s">
        <v>9825</v>
      </c>
      <c r="B5066" s="26" t="s">
        <v>9826</v>
      </c>
      <c r="C5066" s="52"/>
      <c r="D5066" s="55">
        <f t="shared" si="79"/>
        <v>0</v>
      </c>
      <c r="E5066" s="63" t="str">
        <f>HYPERLINK("https://www.sds-group.ru/product/rozetka-kabelnaya-gnezdo-skr-10-25-rexant-16-0883/", "Инфо")</f>
        <v>Инфо</v>
      </c>
      <c r="F5066" s="16" t="s">
        <v>39</v>
      </c>
      <c r="G5066" s="15"/>
      <c r="H5066" s="15"/>
      <c r="I5066" s="15"/>
      <c r="J5066" s="22">
        <v>1290</v>
      </c>
      <c r="K5066" s="15"/>
      <c r="L5066" s="17">
        <v>5</v>
      </c>
      <c r="M5066" s="17">
        <v>200</v>
      </c>
      <c r="N5066" s="17">
        <v>5</v>
      </c>
      <c r="O5066" s="18">
        <v>279.08999999999997</v>
      </c>
      <c r="P5066" s="18">
        <v>228.76</v>
      </c>
      <c r="Q5066" s="18">
        <v>237.23</v>
      </c>
      <c r="R5066" s="18">
        <v>194.45</v>
      </c>
      <c r="S5066" s="18">
        <v>189.78</v>
      </c>
      <c r="T5066" s="18">
        <v>155.56</v>
      </c>
      <c r="U5066" s="16"/>
      <c r="V5066" s="16"/>
      <c r="W5066" s="16" t="s">
        <v>40</v>
      </c>
      <c r="X5066" s="19">
        <v>0.05</v>
      </c>
      <c r="Y5066" s="20">
        <v>1.7100000000000001E-4</v>
      </c>
      <c r="Z5066" s="21">
        <v>4601004171367</v>
      </c>
    </row>
    <row r="5067" spans="1:26" ht="12" customHeight="1" outlineLevel="5" x14ac:dyDescent="0.2">
      <c r="A5067" s="14" t="s">
        <v>9827</v>
      </c>
      <c r="B5067" s="26" t="s">
        <v>9828</v>
      </c>
      <c r="C5067" s="52"/>
      <c r="D5067" s="55">
        <f t="shared" si="79"/>
        <v>0</v>
      </c>
      <c r="E5067" s="63" t="str">
        <f>HYPERLINK("https://www.sds-group.ru/product/rozetka-kabelnaya-gnezdo-skr-35-50-rexant-16-0884/", "Инфо")</f>
        <v>Инфо</v>
      </c>
      <c r="F5067" s="16" t="s">
        <v>39</v>
      </c>
      <c r="G5067" s="15"/>
      <c r="H5067" s="15"/>
      <c r="I5067" s="15"/>
      <c r="J5067" s="16" t="s">
        <v>100</v>
      </c>
      <c r="K5067" s="15" t="s">
        <v>1277</v>
      </c>
      <c r="L5067" s="17">
        <v>1</v>
      </c>
      <c r="M5067" s="17">
        <v>200</v>
      </c>
      <c r="N5067" s="17">
        <v>1</v>
      </c>
      <c r="O5067" s="18">
        <v>646.94000000000005</v>
      </c>
      <c r="P5067" s="18">
        <v>530.28</v>
      </c>
      <c r="Q5067" s="18">
        <v>517.54999999999995</v>
      </c>
      <c r="R5067" s="18">
        <v>424.22</v>
      </c>
      <c r="S5067" s="18">
        <v>439.92</v>
      </c>
      <c r="T5067" s="18">
        <v>360.59</v>
      </c>
      <c r="U5067" s="16"/>
      <c r="V5067" s="16"/>
      <c r="W5067" s="16" t="s">
        <v>40</v>
      </c>
      <c r="X5067" s="19">
        <v>0.10199999999999999</v>
      </c>
      <c r="Y5067" s="20">
        <v>1.7000000000000001E-4</v>
      </c>
      <c r="Z5067" s="21">
        <v>4601004171336</v>
      </c>
    </row>
    <row r="5068" spans="1:26" ht="12.95" customHeight="1" outlineLevel="4" x14ac:dyDescent="0.2">
      <c r="A5068" s="82" t="s">
        <v>9829</v>
      </c>
      <c r="B5068" s="82"/>
      <c r="C5068" s="83"/>
      <c r="D5068" s="59"/>
      <c r="E5068" s="69"/>
      <c r="F5068" s="23"/>
      <c r="G5068" s="23"/>
      <c r="H5068" s="23"/>
      <c r="I5068" s="23"/>
      <c r="J5068" s="23"/>
      <c r="K5068" s="23"/>
      <c r="L5068" s="23"/>
      <c r="M5068" s="23"/>
      <c r="N5068" s="23"/>
      <c r="O5068" s="23"/>
      <c r="P5068" s="23"/>
      <c r="Q5068" s="23"/>
      <c r="R5068" s="23"/>
      <c r="S5068" s="23"/>
      <c r="T5068" s="23"/>
      <c r="U5068" s="23"/>
      <c r="V5068" s="23"/>
      <c r="W5068" s="23"/>
      <c r="X5068" s="23"/>
      <c r="Y5068" s="23"/>
      <c r="Z5068" s="23"/>
    </row>
    <row r="5069" spans="1:26" ht="12" customHeight="1" outlineLevel="5" x14ac:dyDescent="0.2">
      <c r="A5069" s="14" t="s">
        <v>9830</v>
      </c>
      <c r="B5069" s="26" t="s">
        <v>9831</v>
      </c>
      <c r="C5069" s="52"/>
      <c r="D5069" s="55">
        <f t="shared" si="79"/>
        <v>0</v>
      </c>
      <c r="E5069" s="63" t="str">
        <f>HYPERLINK("https://www.sds-group.ru/product/komplekt-svarochnyh-provodov-skr-10-25-16mm-3m-rexant-16-0772/", "Инфо")</f>
        <v>Инфо</v>
      </c>
      <c r="F5069" s="16" t="s">
        <v>39</v>
      </c>
      <c r="G5069" s="15"/>
      <c r="H5069" s="15"/>
      <c r="I5069" s="15"/>
      <c r="J5069" s="17">
        <v>11</v>
      </c>
      <c r="K5069" s="15"/>
      <c r="L5069" s="17">
        <v>1</v>
      </c>
      <c r="M5069" s="17">
        <v>7</v>
      </c>
      <c r="N5069" s="17">
        <v>1</v>
      </c>
      <c r="O5069" s="18">
        <v>4851.09</v>
      </c>
      <c r="P5069" s="18">
        <v>3976.3</v>
      </c>
      <c r="Q5069" s="18">
        <v>3541.3</v>
      </c>
      <c r="R5069" s="18">
        <v>2902.7</v>
      </c>
      <c r="S5069" s="18">
        <v>3298.74</v>
      </c>
      <c r="T5069" s="18">
        <v>2703.89</v>
      </c>
      <c r="U5069" s="16"/>
      <c r="V5069" s="16"/>
      <c r="W5069" s="16" t="s">
        <v>40</v>
      </c>
      <c r="X5069" s="19">
        <v>1.994</v>
      </c>
      <c r="Y5069" s="20">
        <v>4.4390000000000002E-3</v>
      </c>
      <c r="Z5069" s="21">
        <v>4601004246942</v>
      </c>
    </row>
    <row r="5070" spans="1:26" ht="12" customHeight="1" outlineLevel="5" x14ac:dyDescent="0.2">
      <c r="A5070" s="14" t="s">
        <v>9832</v>
      </c>
      <c r="B5070" s="26" t="s">
        <v>9833</v>
      </c>
      <c r="C5070" s="52"/>
      <c r="D5070" s="55">
        <f t="shared" si="79"/>
        <v>0</v>
      </c>
      <c r="E5070" s="63" t="str">
        <f>HYPERLINK("https://www.sds-group.ru/product/komplekt-svarochnyh-provodov-skr-10-25-16mm-5m-rexant-16-0773/", "Инфо")</f>
        <v>Инфо</v>
      </c>
      <c r="F5070" s="16" t="s">
        <v>39</v>
      </c>
      <c r="G5070" s="15"/>
      <c r="H5070" s="15"/>
      <c r="I5070" s="15"/>
      <c r="J5070" s="17">
        <v>42</v>
      </c>
      <c r="K5070" s="15"/>
      <c r="L5070" s="17">
        <v>1</v>
      </c>
      <c r="M5070" s="17">
        <v>5</v>
      </c>
      <c r="N5070" s="17">
        <v>1</v>
      </c>
      <c r="O5070" s="18">
        <v>8289.69</v>
      </c>
      <c r="P5070" s="18">
        <v>6794.83</v>
      </c>
      <c r="Q5070" s="18">
        <v>6051.47</v>
      </c>
      <c r="R5070" s="18">
        <v>4960.22</v>
      </c>
      <c r="S5070" s="18">
        <v>5636.99</v>
      </c>
      <c r="T5070" s="18">
        <v>4620.4799999999996</v>
      </c>
      <c r="U5070" s="16"/>
      <c r="V5070" s="16"/>
      <c r="W5070" s="16" t="s">
        <v>40</v>
      </c>
      <c r="X5070" s="19">
        <v>2.8570000000000002</v>
      </c>
      <c r="Y5070" s="20">
        <v>6.3200000000000001E-3</v>
      </c>
      <c r="Z5070" s="21">
        <v>4601004246959</v>
      </c>
    </row>
    <row r="5071" spans="1:26" ht="12" customHeight="1" outlineLevel="5" x14ac:dyDescent="0.2">
      <c r="A5071" s="14" t="s">
        <v>9834</v>
      </c>
      <c r="B5071" s="26" t="s">
        <v>9835</v>
      </c>
      <c r="C5071" s="52"/>
      <c r="D5071" s="55">
        <f t="shared" si="79"/>
        <v>0</v>
      </c>
      <c r="E5071" s="63" t="str">
        <f>HYPERLINK("https://www.sds-group.ru/product/komplekt-svarochnyh-provodov-skr-10-25-25mm-3m-rexant-16-0775/", "Инфо")</f>
        <v>Инфо</v>
      </c>
      <c r="F5071" s="16" t="s">
        <v>39</v>
      </c>
      <c r="G5071" s="15"/>
      <c r="H5071" s="15"/>
      <c r="I5071" s="15"/>
      <c r="J5071" s="17">
        <v>66</v>
      </c>
      <c r="K5071" s="15"/>
      <c r="L5071" s="17">
        <v>1</v>
      </c>
      <c r="M5071" s="17">
        <v>15</v>
      </c>
      <c r="N5071" s="17">
        <v>1</v>
      </c>
      <c r="O5071" s="18">
        <v>7544.56</v>
      </c>
      <c r="P5071" s="18">
        <v>6184.07</v>
      </c>
      <c r="Q5071" s="18">
        <v>5507.53</v>
      </c>
      <c r="R5071" s="18">
        <v>4514.37</v>
      </c>
      <c r="S5071" s="18">
        <v>5130.3</v>
      </c>
      <c r="T5071" s="18">
        <v>4205.16</v>
      </c>
      <c r="U5071" s="16"/>
      <c r="V5071" s="16"/>
      <c r="W5071" s="16" t="s">
        <v>40</v>
      </c>
      <c r="X5071" s="19">
        <v>2.5710000000000002</v>
      </c>
      <c r="Y5071" s="20">
        <v>6.1120000000000002E-3</v>
      </c>
      <c r="Z5071" s="21">
        <v>4601004246973</v>
      </c>
    </row>
    <row r="5072" spans="1:26" ht="12" customHeight="1" outlineLevel="5" x14ac:dyDescent="0.2">
      <c r="A5072" s="14" t="s">
        <v>9836</v>
      </c>
      <c r="B5072" s="26" t="s">
        <v>9837</v>
      </c>
      <c r="C5072" s="52"/>
      <c r="D5072" s="55">
        <f t="shared" si="79"/>
        <v>0</v>
      </c>
      <c r="E5072" s="63" t="str">
        <f>HYPERLINK("https://www.sds-group.ru/product/komplekt-svarochnyh-provodov-skr-10-25-25mm-5m-rexant-16-0776/", "Инфо")</f>
        <v>Инфо</v>
      </c>
      <c r="F5072" s="16" t="s">
        <v>39</v>
      </c>
      <c r="G5072" s="15"/>
      <c r="H5072" s="15"/>
      <c r="I5072" s="15"/>
      <c r="J5072" s="17">
        <v>10</v>
      </c>
      <c r="K5072" s="15"/>
      <c r="L5072" s="17">
        <v>1</v>
      </c>
      <c r="M5072" s="17">
        <v>5</v>
      </c>
      <c r="N5072" s="17">
        <v>1</v>
      </c>
      <c r="O5072" s="18">
        <v>11217.95</v>
      </c>
      <c r="P5072" s="18">
        <v>9195.0400000000009</v>
      </c>
      <c r="Q5072" s="18">
        <v>8189.1</v>
      </c>
      <c r="R5072" s="18">
        <v>6712.38</v>
      </c>
      <c r="S5072" s="18">
        <v>7628.21</v>
      </c>
      <c r="T5072" s="18">
        <v>6252.63</v>
      </c>
      <c r="U5072" s="16"/>
      <c r="V5072" s="16"/>
      <c r="W5072" s="16" t="s">
        <v>40</v>
      </c>
      <c r="X5072" s="19">
        <v>3.76</v>
      </c>
      <c r="Y5072" s="20">
        <v>6.4149999999999997E-3</v>
      </c>
      <c r="Z5072" s="21">
        <v>4601004246980</v>
      </c>
    </row>
    <row r="5073" spans="1:26" ht="12" customHeight="1" outlineLevel="5" x14ac:dyDescent="0.2">
      <c r="A5073" s="14" t="s">
        <v>9838</v>
      </c>
      <c r="B5073" s="26" t="s">
        <v>9839</v>
      </c>
      <c r="C5073" s="52"/>
      <c r="D5073" s="55">
        <f t="shared" si="79"/>
        <v>0</v>
      </c>
      <c r="E5073" s="63" t="str">
        <f>HYPERLINK("https://www.sds-group.ru/product/komplekt-svarochnyh-provodov-skr-35-50-25mm-3m-rexant-16-0777/", "Инфо")</f>
        <v>Инфо</v>
      </c>
      <c r="F5073" s="16" t="s">
        <v>39</v>
      </c>
      <c r="G5073" s="15"/>
      <c r="H5073" s="15"/>
      <c r="I5073" s="15"/>
      <c r="J5073" s="17">
        <v>32</v>
      </c>
      <c r="K5073" s="15"/>
      <c r="L5073" s="17">
        <v>1</v>
      </c>
      <c r="M5073" s="17">
        <v>10</v>
      </c>
      <c r="N5073" s="17">
        <v>1</v>
      </c>
      <c r="O5073" s="18">
        <v>7589.26</v>
      </c>
      <c r="P5073" s="18">
        <v>6220.7</v>
      </c>
      <c r="Q5073" s="18">
        <v>5540.16</v>
      </c>
      <c r="R5073" s="18">
        <v>4541.1099999999997</v>
      </c>
      <c r="S5073" s="18">
        <v>5160.7</v>
      </c>
      <c r="T5073" s="18">
        <v>4230.08</v>
      </c>
      <c r="U5073" s="16"/>
      <c r="V5073" s="16"/>
      <c r="W5073" s="16" t="s">
        <v>40</v>
      </c>
      <c r="X5073" s="19">
        <v>2.6429999999999998</v>
      </c>
      <c r="Y5073" s="20">
        <v>6.5550000000000001E-3</v>
      </c>
      <c r="Z5073" s="21">
        <v>4601004246997</v>
      </c>
    </row>
    <row r="5074" spans="1:26" ht="12" customHeight="1" outlineLevel="5" x14ac:dyDescent="0.2">
      <c r="A5074" s="40" t="s">
        <v>9840</v>
      </c>
      <c r="B5074" s="75" t="s">
        <v>9841</v>
      </c>
      <c r="C5074" s="51"/>
      <c r="D5074" s="54">
        <f t="shared" si="79"/>
        <v>0</v>
      </c>
      <c r="E5074" s="61" t="str">
        <f>HYPERLINK("https://www.sds-group.ru/product/komplekt-svarochnyh-provodov-skr-35-50-25mm-5m-rexant-16-0778/", "Инфо")</f>
        <v>Инфо</v>
      </c>
      <c r="F5074" s="42" t="s">
        <v>39</v>
      </c>
      <c r="G5074" s="41" t="s">
        <v>40</v>
      </c>
      <c r="H5074" s="41"/>
      <c r="I5074" s="41"/>
      <c r="J5074" s="42" t="s">
        <v>100</v>
      </c>
      <c r="K5074" s="41"/>
      <c r="L5074" s="43">
        <v>1</v>
      </c>
      <c r="M5074" s="43">
        <v>5</v>
      </c>
      <c r="N5074" s="43">
        <v>1</v>
      </c>
      <c r="O5074" s="44">
        <v>10175.69</v>
      </c>
      <c r="P5074" s="44">
        <v>8340.73</v>
      </c>
      <c r="Q5074" s="44">
        <v>7428.25</v>
      </c>
      <c r="R5074" s="44">
        <v>6088.73</v>
      </c>
      <c r="S5074" s="44">
        <v>6919.47</v>
      </c>
      <c r="T5074" s="44">
        <v>5671.7</v>
      </c>
      <c r="U5074" s="42"/>
      <c r="V5074" s="42"/>
      <c r="W5074" s="42" t="s">
        <v>40</v>
      </c>
      <c r="X5074" s="45">
        <v>3.9550000000000001</v>
      </c>
      <c r="Y5074" s="46">
        <v>6.2830000000000004E-3</v>
      </c>
      <c r="Z5074" s="21">
        <v>4601004247000</v>
      </c>
    </row>
    <row r="5075" spans="1:26" ht="12" customHeight="1" outlineLevel="5" x14ac:dyDescent="0.2">
      <c r="A5075" s="14" t="s">
        <v>9842</v>
      </c>
      <c r="B5075" s="26" t="s">
        <v>9843</v>
      </c>
      <c r="C5075" s="52"/>
      <c r="D5075" s="55">
        <f t="shared" si="79"/>
        <v>0</v>
      </c>
      <c r="E5075" s="63" t="str">
        <f>HYPERLINK("https://www.sds-group.ru/product/svarochnyy-kabel-s-klemmoy-zazemleniya-16mm-200a-skr-10-25-3m-rexant-16-0763/", "Инфо")</f>
        <v>Инфо</v>
      </c>
      <c r="F5075" s="16" t="s">
        <v>39</v>
      </c>
      <c r="G5075" s="15"/>
      <c r="H5075" s="15"/>
      <c r="I5075" s="15"/>
      <c r="J5075" s="17">
        <v>41</v>
      </c>
      <c r="K5075" s="15"/>
      <c r="L5075" s="17">
        <v>1</v>
      </c>
      <c r="M5075" s="17">
        <v>12</v>
      </c>
      <c r="N5075" s="17">
        <v>1</v>
      </c>
      <c r="O5075" s="18">
        <v>2914.02</v>
      </c>
      <c r="P5075" s="18">
        <v>2388.54</v>
      </c>
      <c r="Q5075" s="18">
        <v>2243.8000000000002</v>
      </c>
      <c r="R5075" s="18">
        <v>1839.18</v>
      </c>
      <c r="S5075" s="18">
        <v>1981.53</v>
      </c>
      <c r="T5075" s="18">
        <v>1624.2</v>
      </c>
      <c r="U5075" s="16"/>
      <c r="V5075" s="16"/>
      <c r="W5075" s="16" t="s">
        <v>40</v>
      </c>
      <c r="X5075" s="19">
        <v>0.878</v>
      </c>
      <c r="Y5075" s="20">
        <v>2.5430000000000001E-3</v>
      </c>
      <c r="Z5075" s="21">
        <v>4601004246874</v>
      </c>
    </row>
    <row r="5076" spans="1:26" ht="12" customHeight="1" outlineLevel="5" x14ac:dyDescent="0.2">
      <c r="A5076" s="14" t="s">
        <v>9844</v>
      </c>
      <c r="B5076" s="26" t="s">
        <v>9845</v>
      </c>
      <c r="C5076" s="52"/>
      <c r="D5076" s="55">
        <f t="shared" si="79"/>
        <v>0</v>
      </c>
      <c r="E5076" s="63" t="str">
        <f>HYPERLINK("https://www.sds-group.ru/product/svarochnyy-kabel-s-elektrododerzhatelem-16mm-200a-skr-10-25-3m-rexant-16-0753/", "Инфо")</f>
        <v>Инфо</v>
      </c>
      <c r="F5076" s="16" t="s">
        <v>39</v>
      </c>
      <c r="G5076" s="15"/>
      <c r="H5076" s="15"/>
      <c r="I5076" s="15"/>
      <c r="J5076" s="17">
        <v>43</v>
      </c>
      <c r="K5076" s="15"/>
      <c r="L5076" s="17">
        <v>1</v>
      </c>
      <c r="M5076" s="17">
        <v>20</v>
      </c>
      <c r="N5076" s="17">
        <v>1</v>
      </c>
      <c r="O5076" s="18">
        <v>2914.02</v>
      </c>
      <c r="P5076" s="18">
        <v>2388.54</v>
      </c>
      <c r="Q5076" s="18">
        <v>2243.8000000000002</v>
      </c>
      <c r="R5076" s="18">
        <v>1839.18</v>
      </c>
      <c r="S5076" s="18">
        <v>1981.53</v>
      </c>
      <c r="T5076" s="18">
        <v>1624.2</v>
      </c>
      <c r="U5076" s="16"/>
      <c r="V5076" s="16"/>
      <c r="W5076" s="16" t="s">
        <v>40</v>
      </c>
      <c r="X5076" s="19">
        <v>1.113</v>
      </c>
      <c r="Y5076" s="20">
        <v>3.4529999999999999E-3</v>
      </c>
      <c r="Z5076" s="21">
        <v>4601004246799</v>
      </c>
    </row>
    <row r="5077" spans="1:26" ht="12" customHeight="1" outlineLevel="5" x14ac:dyDescent="0.2">
      <c r="A5077" s="14" t="s">
        <v>9846</v>
      </c>
      <c r="B5077" s="26" t="s">
        <v>9847</v>
      </c>
      <c r="C5077" s="52"/>
      <c r="D5077" s="55">
        <f t="shared" si="79"/>
        <v>0</v>
      </c>
      <c r="E5077" s="63" t="str">
        <f>HYPERLINK("https://www.sds-group.ru/product/svarochnyy-kabel-s-elektrododerzhatelem-25mm-300a-skr-10-25-3m-rexant-16-0754/", "Инфо")</f>
        <v>Инфо</v>
      </c>
      <c r="F5077" s="16" t="s">
        <v>39</v>
      </c>
      <c r="G5077" s="15"/>
      <c r="H5077" s="15"/>
      <c r="I5077" s="15"/>
      <c r="J5077" s="17">
        <v>52</v>
      </c>
      <c r="K5077" s="15"/>
      <c r="L5077" s="17">
        <v>1</v>
      </c>
      <c r="M5077" s="17">
        <v>20</v>
      </c>
      <c r="N5077" s="17">
        <v>1</v>
      </c>
      <c r="O5077" s="18">
        <v>3956.33</v>
      </c>
      <c r="P5077" s="18">
        <v>3242.89</v>
      </c>
      <c r="Q5077" s="18">
        <v>2888.12</v>
      </c>
      <c r="R5077" s="18">
        <v>2367.31</v>
      </c>
      <c r="S5077" s="18">
        <v>2690.3</v>
      </c>
      <c r="T5077" s="18">
        <v>2205.16</v>
      </c>
      <c r="U5077" s="16"/>
      <c r="V5077" s="16"/>
      <c r="W5077" s="16" t="s">
        <v>40</v>
      </c>
      <c r="X5077" s="19">
        <v>1.3939999999999999</v>
      </c>
      <c r="Y5077" s="20">
        <v>4.8199999999999996E-3</v>
      </c>
      <c r="Z5077" s="21">
        <v>4601004246805</v>
      </c>
    </row>
    <row r="5078" spans="1:26" ht="12" customHeight="1" outlineLevel="5" x14ac:dyDescent="0.2">
      <c r="A5078" s="14" t="s">
        <v>9848</v>
      </c>
      <c r="B5078" s="26" t="s">
        <v>9849</v>
      </c>
      <c r="C5078" s="52"/>
      <c r="D5078" s="55">
        <f t="shared" si="79"/>
        <v>0</v>
      </c>
      <c r="E5078" s="63" t="str">
        <f>HYPERLINK("https://www.sds-group.ru/product/udlinitel-svarochnogo-kabelya-sht-gn-skr-10-25-16mm-3m-rexant-16-0781/", "Инфо")</f>
        <v>Инфо</v>
      </c>
      <c r="F5078" s="16" t="s">
        <v>39</v>
      </c>
      <c r="G5078" s="15"/>
      <c r="H5078" s="15"/>
      <c r="I5078" s="15"/>
      <c r="J5078" s="17">
        <v>52</v>
      </c>
      <c r="K5078" s="15"/>
      <c r="L5078" s="17">
        <v>1</v>
      </c>
      <c r="M5078" s="17">
        <v>20</v>
      </c>
      <c r="N5078" s="17">
        <v>1</v>
      </c>
      <c r="O5078" s="18">
        <v>3002.33</v>
      </c>
      <c r="P5078" s="18">
        <v>2460.9299999999998</v>
      </c>
      <c r="Q5078" s="18">
        <v>2311.79</v>
      </c>
      <c r="R5078" s="18">
        <v>1894.91</v>
      </c>
      <c r="S5078" s="18">
        <v>2041.58</v>
      </c>
      <c r="T5078" s="18">
        <v>1673.43</v>
      </c>
      <c r="U5078" s="16"/>
      <c r="V5078" s="16"/>
      <c r="W5078" s="16" t="s">
        <v>40</v>
      </c>
      <c r="X5078" s="19">
        <v>0.79</v>
      </c>
      <c r="Y5078" s="20">
        <v>1.5460000000000001E-3</v>
      </c>
      <c r="Z5078" s="21">
        <v>4601004247017</v>
      </c>
    </row>
    <row r="5079" spans="1:26" ht="12" customHeight="1" outlineLevel="5" x14ac:dyDescent="0.2">
      <c r="A5079" s="14" t="s">
        <v>9850</v>
      </c>
      <c r="B5079" s="26" t="s">
        <v>9851</v>
      </c>
      <c r="C5079" s="52"/>
      <c r="D5079" s="55">
        <f t="shared" si="79"/>
        <v>0</v>
      </c>
      <c r="E5079" s="63" t="str">
        <f>HYPERLINK("https://www.sds-group.ru/product/udlinitel-svarochnogo-kabelya-sht-gn-skr-10-25-25mm-3m-rexant-16-0783/", "Инфо")</f>
        <v>Инфо</v>
      </c>
      <c r="F5079" s="16" t="s">
        <v>39</v>
      </c>
      <c r="G5079" s="15"/>
      <c r="H5079" s="15"/>
      <c r="I5079" s="15"/>
      <c r="J5079" s="17">
        <v>77</v>
      </c>
      <c r="K5079" s="15"/>
      <c r="L5079" s="17">
        <v>1</v>
      </c>
      <c r="M5079" s="17">
        <v>20</v>
      </c>
      <c r="N5079" s="17">
        <v>1</v>
      </c>
      <c r="O5079" s="18">
        <v>4183.8</v>
      </c>
      <c r="P5079" s="18">
        <v>3429.34</v>
      </c>
      <c r="Q5079" s="18">
        <v>3054.17</v>
      </c>
      <c r="R5079" s="18">
        <v>2503.42</v>
      </c>
      <c r="S5079" s="18">
        <v>2844.98</v>
      </c>
      <c r="T5079" s="18">
        <v>2331.9499999999998</v>
      </c>
      <c r="U5079" s="16"/>
      <c r="V5079" s="16"/>
      <c r="W5079" s="16" t="s">
        <v>40</v>
      </c>
      <c r="X5079" s="19">
        <v>1.1080000000000001</v>
      </c>
      <c r="Y5079" s="20">
        <v>3.3860000000000001E-3</v>
      </c>
      <c r="Z5079" s="21">
        <v>4601004247031</v>
      </c>
    </row>
    <row r="5080" spans="1:26" ht="12" customHeight="1" outlineLevel="5" x14ac:dyDescent="0.2">
      <c r="A5080" s="40" t="s">
        <v>9852</v>
      </c>
      <c r="B5080" s="75" t="s">
        <v>9853</v>
      </c>
      <c r="C5080" s="51"/>
      <c r="D5080" s="54">
        <f t="shared" si="79"/>
        <v>0</v>
      </c>
      <c r="E5080" s="61" t="str">
        <f>HYPERLINK("https://www.sds-group.ru/product/udlinitel-svarochnogo-kabelya-sht-gn-skr-35-50-25mm-3m-rexant-16-0799/", "Инфо")</f>
        <v>Инфо</v>
      </c>
      <c r="F5080" s="42" t="s">
        <v>39</v>
      </c>
      <c r="G5080" s="41" t="s">
        <v>40</v>
      </c>
      <c r="H5080" s="41"/>
      <c r="I5080" s="41"/>
      <c r="J5080" s="43">
        <v>58</v>
      </c>
      <c r="K5080" s="41"/>
      <c r="L5080" s="43">
        <v>1</v>
      </c>
      <c r="M5080" s="43">
        <v>1</v>
      </c>
      <c r="N5080" s="43">
        <v>1</v>
      </c>
      <c r="O5080" s="44">
        <v>3812.83</v>
      </c>
      <c r="P5080" s="44">
        <v>3125.27</v>
      </c>
      <c r="Q5080" s="44">
        <v>3202.78</v>
      </c>
      <c r="R5080" s="44">
        <v>2625.23</v>
      </c>
      <c r="S5080" s="44">
        <v>2592.7199999999998</v>
      </c>
      <c r="T5080" s="44">
        <v>2125.1799999999998</v>
      </c>
      <c r="U5080" s="42"/>
      <c r="V5080" s="42"/>
      <c r="W5080" s="42" t="s">
        <v>40</v>
      </c>
      <c r="X5080" s="45">
        <v>1.1599999999999999</v>
      </c>
      <c r="Y5080" s="46">
        <v>3.101E-3</v>
      </c>
      <c r="Z5080" s="21">
        <v>4601004343351</v>
      </c>
    </row>
    <row r="5081" spans="1:26" ht="12.95" customHeight="1" outlineLevel="3" x14ac:dyDescent="0.2">
      <c r="A5081" s="76" t="s">
        <v>9854</v>
      </c>
      <c r="B5081" s="76"/>
      <c r="C5081" s="77"/>
      <c r="D5081" s="58"/>
      <c r="E5081" s="68"/>
      <c r="F5081" s="13"/>
      <c r="G5081" s="13"/>
      <c r="H5081" s="13"/>
      <c r="I5081" s="13"/>
      <c r="J5081" s="13"/>
      <c r="K5081" s="13"/>
      <c r="L5081" s="13"/>
      <c r="M5081" s="13"/>
      <c r="N5081" s="13"/>
      <c r="O5081" s="13"/>
      <c r="P5081" s="13"/>
      <c r="Q5081" s="13"/>
      <c r="R5081" s="13"/>
      <c r="S5081" s="13"/>
      <c r="T5081" s="13"/>
      <c r="U5081" s="13"/>
      <c r="V5081" s="13"/>
      <c r="W5081" s="13"/>
      <c r="X5081" s="13"/>
      <c r="Y5081" s="13"/>
      <c r="Z5081" s="13"/>
    </row>
    <row r="5082" spans="1:26" ht="12.95" customHeight="1" outlineLevel="4" x14ac:dyDescent="0.2">
      <c r="A5082" s="82" t="s">
        <v>9855</v>
      </c>
      <c r="B5082" s="82"/>
      <c r="C5082" s="83"/>
      <c r="D5082" s="59"/>
      <c r="E5082" s="69"/>
      <c r="F5082" s="23"/>
      <c r="G5082" s="23"/>
      <c r="H5082" s="23"/>
      <c r="I5082" s="23"/>
      <c r="J5082" s="23"/>
      <c r="K5082" s="23"/>
      <c r="L5082" s="23"/>
      <c r="M5082" s="23"/>
      <c r="N5082" s="23"/>
      <c r="O5082" s="23"/>
      <c r="P5082" s="23"/>
      <c r="Q5082" s="23"/>
      <c r="R5082" s="23"/>
      <c r="S5082" s="23"/>
      <c r="T5082" s="23"/>
      <c r="U5082" s="23"/>
      <c r="V5082" s="23"/>
      <c r="W5082" s="23"/>
      <c r="X5082" s="23"/>
      <c r="Y5082" s="23"/>
      <c r="Z5082" s="23"/>
    </row>
    <row r="5083" spans="1:26" ht="12" customHeight="1" outlineLevel="5" x14ac:dyDescent="0.2">
      <c r="A5083" s="14" t="s">
        <v>9856</v>
      </c>
      <c r="B5083" s="26" t="s">
        <v>9857</v>
      </c>
      <c r="C5083" s="52"/>
      <c r="D5083" s="55">
        <f t="shared" si="79"/>
        <v>0</v>
      </c>
      <c r="E5083" s="63" t="str">
        <f>HYPERLINK("https://www.sds-group.ru/product/elektrod-rexant-ozs-12-350-mm-3-mm-pachka-1-kg-11-0960/", "Инфо")</f>
        <v>Инфо</v>
      </c>
      <c r="F5083" s="16" t="s">
        <v>1001</v>
      </c>
      <c r="G5083" s="15"/>
      <c r="H5083" s="15"/>
      <c r="I5083" s="15"/>
      <c r="J5083" s="17">
        <v>299</v>
      </c>
      <c r="K5083" s="15"/>
      <c r="L5083" s="17">
        <v>1</v>
      </c>
      <c r="M5083" s="17">
        <v>1</v>
      </c>
      <c r="N5083" s="17">
        <v>1</v>
      </c>
      <c r="O5083" s="18">
        <v>574.91999999999996</v>
      </c>
      <c r="P5083" s="18">
        <v>471.25</v>
      </c>
      <c r="Q5083" s="18">
        <v>459.94</v>
      </c>
      <c r="R5083" s="18">
        <v>377</v>
      </c>
      <c r="S5083" s="18">
        <v>390.95</v>
      </c>
      <c r="T5083" s="18">
        <v>320.45</v>
      </c>
      <c r="U5083" s="16"/>
      <c r="V5083" s="16"/>
      <c r="W5083" s="16" t="s">
        <v>40</v>
      </c>
      <c r="X5083" s="19">
        <v>1.006</v>
      </c>
      <c r="Y5083" s="20">
        <v>2.6899999999999998E-4</v>
      </c>
      <c r="Z5083" s="21">
        <v>4601004148826</v>
      </c>
    </row>
    <row r="5084" spans="1:26" ht="12" customHeight="1" outlineLevel="5" x14ac:dyDescent="0.2">
      <c r="A5084" s="14" t="s">
        <v>9858</v>
      </c>
      <c r="B5084" s="26" t="s">
        <v>9859</v>
      </c>
      <c r="C5084" s="52"/>
      <c r="D5084" s="55">
        <f t="shared" si="79"/>
        <v>0</v>
      </c>
      <c r="E5084" s="63" t="str">
        <f>HYPERLINK("https://www.sds-group.ru/product/elektrod-mp-3c-350mm-3mm-pachka-1kg-rexant-11-0950/", "Инфо")</f>
        <v>Инфо</v>
      </c>
      <c r="F5084" s="16" t="s">
        <v>1001</v>
      </c>
      <c r="G5084" s="15"/>
      <c r="H5084" s="15"/>
      <c r="I5084" s="15"/>
      <c r="J5084" s="22">
        <v>1030</v>
      </c>
      <c r="K5084" s="15" t="s">
        <v>6556</v>
      </c>
      <c r="L5084" s="17">
        <v>1</v>
      </c>
      <c r="M5084" s="17">
        <v>1</v>
      </c>
      <c r="N5084" s="17">
        <v>1</v>
      </c>
      <c r="O5084" s="18">
        <v>598.09</v>
      </c>
      <c r="P5084" s="18">
        <v>490.24</v>
      </c>
      <c r="Q5084" s="18">
        <v>478.47</v>
      </c>
      <c r="R5084" s="18">
        <v>392.19</v>
      </c>
      <c r="S5084" s="18">
        <v>406.7</v>
      </c>
      <c r="T5084" s="18">
        <v>333.36</v>
      </c>
      <c r="U5084" s="16"/>
      <c r="V5084" s="16"/>
      <c r="W5084" s="16" t="s">
        <v>40</v>
      </c>
      <c r="X5084" s="19">
        <v>1.032</v>
      </c>
      <c r="Y5084" s="20">
        <v>2.9E-4</v>
      </c>
      <c r="Z5084" s="21">
        <v>4601004138292</v>
      </c>
    </row>
    <row r="5085" spans="1:26" ht="12" customHeight="1" outlineLevel="5" x14ac:dyDescent="0.2">
      <c r="A5085" s="14" t="s">
        <v>9860</v>
      </c>
      <c r="B5085" s="26" t="s">
        <v>9861</v>
      </c>
      <c r="C5085" s="52"/>
      <c r="D5085" s="55">
        <f t="shared" si="79"/>
        <v>0</v>
      </c>
      <c r="E5085" s="63" t="str">
        <f>HYPERLINK("https://www.sds-group.ru/product/elektrod-mp-3c-350mm-3mm-pachka-5kg-rexant-11-0951/", "Инфо")</f>
        <v>Инфо</v>
      </c>
      <c r="F5085" s="16" t="s">
        <v>1001</v>
      </c>
      <c r="G5085" s="15"/>
      <c r="H5085" s="15"/>
      <c r="I5085" s="15"/>
      <c r="J5085" s="17">
        <v>73</v>
      </c>
      <c r="K5085" s="15" t="s">
        <v>6556</v>
      </c>
      <c r="L5085" s="17">
        <v>1</v>
      </c>
      <c r="M5085" s="17">
        <v>1</v>
      </c>
      <c r="N5085" s="17">
        <v>1</v>
      </c>
      <c r="O5085" s="18">
        <v>2718.62</v>
      </c>
      <c r="P5085" s="18">
        <v>2228.38</v>
      </c>
      <c r="Q5085" s="18">
        <v>2093.34</v>
      </c>
      <c r="R5085" s="18">
        <v>1715.85</v>
      </c>
      <c r="S5085" s="18">
        <v>1848.66</v>
      </c>
      <c r="T5085" s="18">
        <v>1515.3</v>
      </c>
      <c r="U5085" s="16"/>
      <c r="V5085" s="16"/>
      <c r="W5085" s="16" t="s">
        <v>40</v>
      </c>
      <c r="X5085" s="19">
        <v>5.0659999999999998</v>
      </c>
      <c r="Y5085" s="20">
        <v>1.6590000000000001E-3</v>
      </c>
      <c r="Z5085" s="21">
        <v>4601004138308</v>
      </c>
    </row>
    <row r="5086" spans="1:26" ht="12" customHeight="1" outlineLevel="5" x14ac:dyDescent="0.2">
      <c r="A5086" s="14" t="s">
        <v>9862</v>
      </c>
      <c r="B5086" s="26" t="s">
        <v>9863</v>
      </c>
      <c r="C5086" s="52"/>
      <c r="D5086" s="55">
        <f t="shared" si="79"/>
        <v>0</v>
      </c>
      <c r="E5086" s="63" t="str">
        <f>HYPERLINK("https://www.sds-group.ru/product/elektrod-350mm-ano-21-3mm-1kg-rexant-11-0957/", "Инфо")</f>
        <v>Инфо</v>
      </c>
      <c r="F5086" s="16" t="s">
        <v>1001</v>
      </c>
      <c r="G5086" s="15"/>
      <c r="H5086" s="15"/>
      <c r="I5086" s="15"/>
      <c r="J5086" s="17">
        <v>607</v>
      </c>
      <c r="K5086" s="15" t="s">
        <v>6556</v>
      </c>
      <c r="L5086" s="17">
        <v>1</v>
      </c>
      <c r="M5086" s="17">
        <v>1</v>
      </c>
      <c r="N5086" s="17">
        <v>1</v>
      </c>
      <c r="O5086" s="18">
        <v>628</v>
      </c>
      <c r="P5086" s="18">
        <v>514.75</v>
      </c>
      <c r="Q5086" s="18">
        <v>502.4</v>
      </c>
      <c r="R5086" s="18">
        <v>411.8</v>
      </c>
      <c r="S5086" s="18">
        <v>427.04</v>
      </c>
      <c r="T5086" s="18">
        <v>350.03</v>
      </c>
      <c r="U5086" s="16"/>
      <c r="V5086" s="16"/>
      <c r="W5086" s="16" t="s">
        <v>40</v>
      </c>
      <c r="X5086" s="19">
        <v>1.0129999999999999</v>
      </c>
      <c r="Y5086" s="20">
        <v>2.9E-4</v>
      </c>
      <c r="Z5086" s="21">
        <v>4601004144415</v>
      </c>
    </row>
    <row r="5087" spans="1:26" ht="12" customHeight="1" outlineLevel="5" x14ac:dyDescent="0.2">
      <c r="A5087" s="14" t="s">
        <v>9864</v>
      </c>
      <c r="B5087" s="26" t="s">
        <v>9865</v>
      </c>
      <c r="C5087" s="52"/>
      <c r="D5087" s="55">
        <f t="shared" si="79"/>
        <v>0</v>
      </c>
      <c r="E5087" s="63" t="str">
        <f>HYPERLINK("https://www.sds-group.ru/product/elektrod-ok-46-350mm-3mm-pachka-1kg-rexant-11-0961/", "Инфо")</f>
        <v>Инфо</v>
      </c>
      <c r="F5087" s="16" t="s">
        <v>1001</v>
      </c>
      <c r="G5087" s="15"/>
      <c r="H5087" s="15"/>
      <c r="I5087" s="15"/>
      <c r="J5087" s="17">
        <v>420</v>
      </c>
      <c r="K5087" s="15" t="s">
        <v>6556</v>
      </c>
      <c r="L5087" s="17">
        <v>1</v>
      </c>
      <c r="M5087" s="17">
        <v>1</v>
      </c>
      <c r="N5087" s="17">
        <v>1</v>
      </c>
      <c r="O5087" s="18">
        <v>687.81</v>
      </c>
      <c r="P5087" s="18">
        <v>563.78</v>
      </c>
      <c r="Q5087" s="18">
        <v>550.25</v>
      </c>
      <c r="R5087" s="18">
        <v>451.02</v>
      </c>
      <c r="S5087" s="18">
        <v>467.71</v>
      </c>
      <c r="T5087" s="18">
        <v>383.37</v>
      </c>
      <c r="U5087" s="16"/>
      <c r="V5087" s="16"/>
      <c r="W5087" s="16" t="s">
        <v>40</v>
      </c>
      <c r="X5087" s="19">
        <v>1.026</v>
      </c>
      <c r="Y5087" s="20">
        <v>3.6000000000000002E-4</v>
      </c>
      <c r="Z5087" s="21">
        <v>4601004148819</v>
      </c>
    </row>
    <row r="5088" spans="1:26" ht="12" customHeight="1" outlineLevel="5" x14ac:dyDescent="0.2">
      <c r="A5088" s="14" t="s">
        <v>9866</v>
      </c>
      <c r="B5088" s="26" t="s">
        <v>9867</v>
      </c>
      <c r="C5088" s="52"/>
      <c r="D5088" s="55">
        <f t="shared" si="79"/>
        <v>0</v>
      </c>
      <c r="E5088" s="63" t="str">
        <f>HYPERLINK("https://www.sds-group.ru/product/elektrod-350mm-ok-46-3mm-pachka-3kg-rexant-11-0969/", "Инфо")</f>
        <v>Инфо</v>
      </c>
      <c r="F5088" s="16" t="s">
        <v>1001</v>
      </c>
      <c r="G5088" s="15"/>
      <c r="H5088" s="15"/>
      <c r="I5088" s="15"/>
      <c r="J5088" s="17">
        <v>118</v>
      </c>
      <c r="K5088" s="15" t="s">
        <v>6556</v>
      </c>
      <c r="L5088" s="17">
        <v>1</v>
      </c>
      <c r="M5088" s="17">
        <v>1</v>
      </c>
      <c r="N5088" s="17">
        <v>1</v>
      </c>
      <c r="O5088" s="18">
        <v>1953.28</v>
      </c>
      <c r="P5088" s="18">
        <v>1601.05</v>
      </c>
      <c r="Q5088" s="18">
        <v>1543.09</v>
      </c>
      <c r="R5088" s="18">
        <v>1264.83</v>
      </c>
      <c r="S5088" s="18">
        <v>1328.23</v>
      </c>
      <c r="T5088" s="18">
        <v>1088.71</v>
      </c>
      <c r="U5088" s="16"/>
      <c r="V5088" s="16"/>
      <c r="W5088" s="16" t="s">
        <v>40</v>
      </c>
      <c r="X5088" s="19">
        <v>3.0539999999999998</v>
      </c>
      <c r="Y5088" s="20">
        <v>9.2100000000000005E-4</v>
      </c>
      <c r="Z5088" s="21">
        <v>4601004265882</v>
      </c>
    </row>
    <row r="5089" spans="1:26" ht="12" customHeight="1" outlineLevel="5" x14ac:dyDescent="0.2">
      <c r="A5089" s="14" t="s">
        <v>9868</v>
      </c>
      <c r="B5089" s="26" t="s">
        <v>9869</v>
      </c>
      <c r="C5089" s="52"/>
      <c r="D5089" s="55">
        <f t="shared" si="79"/>
        <v>0</v>
      </c>
      <c r="E5089" s="63" t="str">
        <f>HYPERLINK("https://www.sds-group.ru/product/elektrod-350mm-ok-46-3mm-pachka-5kg-rexant-11-0970/", "Инфо")</f>
        <v>Инфо</v>
      </c>
      <c r="F5089" s="16" t="s">
        <v>1001</v>
      </c>
      <c r="G5089" s="15"/>
      <c r="H5089" s="15"/>
      <c r="I5089" s="15"/>
      <c r="J5089" s="17">
        <v>314</v>
      </c>
      <c r="K5089" s="15" t="s">
        <v>6556</v>
      </c>
      <c r="L5089" s="17">
        <v>1</v>
      </c>
      <c r="M5089" s="17">
        <v>1</v>
      </c>
      <c r="N5089" s="17">
        <v>1</v>
      </c>
      <c r="O5089" s="18">
        <v>3153.6</v>
      </c>
      <c r="P5089" s="18">
        <v>2584.92</v>
      </c>
      <c r="Q5089" s="18">
        <v>2428.27</v>
      </c>
      <c r="R5089" s="18">
        <v>1990.39</v>
      </c>
      <c r="S5089" s="18">
        <v>2144.4499999999998</v>
      </c>
      <c r="T5089" s="18">
        <v>1757.75</v>
      </c>
      <c r="U5089" s="16"/>
      <c r="V5089" s="16"/>
      <c r="W5089" s="16" t="s">
        <v>40</v>
      </c>
      <c r="X5089" s="19">
        <v>5.0640000000000001</v>
      </c>
      <c r="Y5089" s="20">
        <v>1.6000000000000001E-3</v>
      </c>
      <c r="Z5089" s="21">
        <v>4601004265844</v>
      </c>
    </row>
    <row r="5090" spans="1:26" ht="12" customHeight="1" outlineLevel="5" x14ac:dyDescent="0.2">
      <c r="A5090" s="14" t="s">
        <v>9870</v>
      </c>
      <c r="B5090" s="26" t="s">
        <v>9871</v>
      </c>
      <c r="C5090" s="52"/>
      <c r="D5090" s="55">
        <f t="shared" si="79"/>
        <v>0</v>
      </c>
      <c r="E5090" s="63" t="str">
        <f>HYPERLINK("https://www.sds-group.ru/product/elektrod-uoni-13-55-350mm-3mm-pachka-1kg-rexant-11-0962/", "Инфо")</f>
        <v>Инфо</v>
      </c>
      <c r="F5090" s="16" t="s">
        <v>1001</v>
      </c>
      <c r="G5090" s="15"/>
      <c r="H5090" s="15"/>
      <c r="I5090" s="15"/>
      <c r="J5090" s="17">
        <v>311</v>
      </c>
      <c r="K5090" s="15" t="s">
        <v>6556</v>
      </c>
      <c r="L5090" s="17">
        <v>1</v>
      </c>
      <c r="M5090" s="17">
        <v>1</v>
      </c>
      <c r="N5090" s="17">
        <v>1</v>
      </c>
      <c r="O5090" s="18">
        <v>553.24</v>
      </c>
      <c r="P5090" s="18">
        <v>453.48</v>
      </c>
      <c r="Q5090" s="18">
        <v>442.59</v>
      </c>
      <c r="R5090" s="18">
        <v>362.78</v>
      </c>
      <c r="S5090" s="18">
        <v>376.2</v>
      </c>
      <c r="T5090" s="18">
        <v>308.36</v>
      </c>
      <c r="U5090" s="16"/>
      <c r="V5090" s="16"/>
      <c r="W5090" s="16" t="s">
        <v>40</v>
      </c>
      <c r="X5090" s="19">
        <v>0.99299999999999999</v>
      </c>
      <c r="Y5090" s="20">
        <v>3.4400000000000001E-4</v>
      </c>
      <c r="Z5090" s="21">
        <v>4601004148802</v>
      </c>
    </row>
    <row r="5091" spans="1:26" ht="12" customHeight="1" outlineLevel="5" x14ac:dyDescent="0.2">
      <c r="A5091" s="14" t="s">
        <v>9872</v>
      </c>
      <c r="B5091" s="26" t="s">
        <v>9873</v>
      </c>
      <c r="C5091" s="52"/>
      <c r="D5091" s="55">
        <f t="shared" si="79"/>
        <v>0</v>
      </c>
      <c r="E5091" s="63" t="str">
        <f>HYPERLINK("https://www.sds-group.ru/product/elektrod-450-mm-mp-3c-4-mm-pachka-1-kg-11-0956/", "Инфо")</f>
        <v>Инфо</v>
      </c>
      <c r="F5091" s="16" t="s">
        <v>1001</v>
      </c>
      <c r="G5091" s="15"/>
      <c r="H5091" s="15"/>
      <c r="I5091" s="15"/>
      <c r="J5091" s="17">
        <v>67</v>
      </c>
      <c r="K5091" s="15" t="s">
        <v>6556</v>
      </c>
      <c r="L5091" s="17">
        <v>1</v>
      </c>
      <c r="M5091" s="17">
        <v>1</v>
      </c>
      <c r="N5091" s="17">
        <v>1</v>
      </c>
      <c r="O5091" s="18">
        <v>583.16</v>
      </c>
      <c r="P5091" s="18">
        <v>478</v>
      </c>
      <c r="Q5091" s="18">
        <v>466.53</v>
      </c>
      <c r="R5091" s="18">
        <v>382.4</v>
      </c>
      <c r="S5091" s="18">
        <v>396.55</v>
      </c>
      <c r="T5091" s="18">
        <v>325.04000000000002</v>
      </c>
      <c r="U5091" s="16"/>
      <c r="V5091" s="16"/>
      <c r="W5091" s="16" t="s">
        <v>40</v>
      </c>
      <c r="X5091" s="19">
        <v>0.97</v>
      </c>
      <c r="Y5091" s="20">
        <v>3.1100000000000002E-4</v>
      </c>
      <c r="Z5091" s="21">
        <v>4601004144194</v>
      </c>
    </row>
    <row r="5092" spans="1:26" ht="12" customHeight="1" outlineLevel="5" x14ac:dyDescent="0.2">
      <c r="A5092" s="14" t="s">
        <v>9874</v>
      </c>
      <c r="B5092" s="26" t="s">
        <v>9875</v>
      </c>
      <c r="C5092" s="52"/>
      <c r="D5092" s="55">
        <f t="shared" si="79"/>
        <v>0</v>
      </c>
      <c r="E5092" s="63" t="str">
        <f>HYPERLINK("https://www.sds-group.ru/product/elektrod-450-mm-mp-3c-4-mm-pachka-3-kg-11-0952/", "Инфо")</f>
        <v>Инфо</v>
      </c>
      <c r="F5092" s="16" t="s">
        <v>1001</v>
      </c>
      <c r="G5092" s="15"/>
      <c r="H5092" s="15"/>
      <c r="I5092" s="15"/>
      <c r="J5092" s="17">
        <v>17</v>
      </c>
      <c r="K5092" s="15" t="s">
        <v>6556</v>
      </c>
      <c r="L5092" s="17">
        <v>1</v>
      </c>
      <c r="M5092" s="17">
        <v>1</v>
      </c>
      <c r="N5092" s="17">
        <v>1</v>
      </c>
      <c r="O5092" s="18">
        <v>1665.59</v>
      </c>
      <c r="P5092" s="18">
        <v>1365.24</v>
      </c>
      <c r="Q5092" s="18">
        <v>1315.82</v>
      </c>
      <c r="R5092" s="18">
        <v>1078.54</v>
      </c>
      <c r="S5092" s="18">
        <v>1132.5999999999999</v>
      </c>
      <c r="T5092" s="18">
        <v>928.36</v>
      </c>
      <c r="U5092" s="16"/>
      <c r="V5092" s="16"/>
      <c r="W5092" s="16" t="s">
        <v>40</v>
      </c>
      <c r="X5092" s="19">
        <v>3.07</v>
      </c>
      <c r="Y5092" s="20">
        <v>1.101E-3</v>
      </c>
      <c r="Z5092" s="21">
        <v>4601004138254</v>
      </c>
    </row>
    <row r="5093" spans="1:26" ht="12" customHeight="1" outlineLevel="5" x14ac:dyDescent="0.2">
      <c r="A5093" s="14" t="s">
        <v>9876</v>
      </c>
      <c r="B5093" s="26" t="s">
        <v>9877</v>
      </c>
      <c r="C5093" s="52"/>
      <c r="D5093" s="55">
        <f t="shared" si="79"/>
        <v>0</v>
      </c>
      <c r="E5093" s="63" t="str">
        <f>HYPERLINK("https://www.sds-group.ru/product/elektrod-450-mm-mp-3c-4-mm-pachka-5-kg-11-0953/", "Инфо")</f>
        <v>Инфо</v>
      </c>
      <c r="F5093" s="16" t="s">
        <v>1001</v>
      </c>
      <c r="G5093" s="15"/>
      <c r="H5093" s="15"/>
      <c r="I5093" s="15"/>
      <c r="J5093" s="16" t="s">
        <v>100</v>
      </c>
      <c r="K5093" s="15" t="s">
        <v>6556</v>
      </c>
      <c r="L5093" s="17">
        <v>1</v>
      </c>
      <c r="M5093" s="17">
        <v>1</v>
      </c>
      <c r="N5093" s="17">
        <v>1</v>
      </c>
      <c r="O5093" s="18">
        <v>2425.4299999999998</v>
      </c>
      <c r="P5093" s="18">
        <v>1988.06</v>
      </c>
      <c r="Q5093" s="18">
        <v>1867.58</v>
      </c>
      <c r="R5093" s="18">
        <v>1530.8</v>
      </c>
      <c r="S5093" s="18">
        <v>1649.29</v>
      </c>
      <c r="T5093" s="18">
        <v>1351.88</v>
      </c>
      <c r="U5093" s="16"/>
      <c r="V5093" s="16"/>
      <c r="W5093" s="16" t="s">
        <v>40</v>
      </c>
      <c r="X5093" s="19">
        <v>5.12</v>
      </c>
      <c r="Y5093" s="20">
        <v>1.74E-3</v>
      </c>
      <c r="Z5093" s="21">
        <v>4601004138261</v>
      </c>
    </row>
    <row r="5094" spans="1:26" ht="12" customHeight="1" outlineLevel="5" x14ac:dyDescent="0.2">
      <c r="A5094" s="14" t="s">
        <v>9878</v>
      </c>
      <c r="B5094" s="26" t="s">
        <v>9879</v>
      </c>
      <c r="C5094" s="52"/>
      <c r="D5094" s="55">
        <f t="shared" si="79"/>
        <v>0</v>
      </c>
      <c r="E5094" s="63" t="str">
        <f>HYPERLINK("https://www.sds-group.ru/product/elektrod-450-mm-ano-21-4-mm-1-kg-11-0958/", "Инфо")</f>
        <v>Инфо</v>
      </c>
      <c r="F5094" s="16" t="s">
        <v>1001</v>
      </c>
      <c r="G5094" s="15"/>
      <c r="H5094" s="15"/>
      <c r="I5094" s="15"/>
      <c r="J5094" s="17">
        <v>180</v>
      </c>
      <c r="K5094" s="15"/>
      <c r="L5094" s="17">
        <v>1</v>
      </c>
      <c r="M5094" s="17">
        <v>1</v>
      </c>
      <c r="N5094" s="17">
        <v>1</v>
      </c>
      <c r="O5094" s="18">
        <v>538.99</v>
      </c>
      <c r="P5094" s="18">
        <v>441.8</v>
      </c>
      <c r="Q5094" s="18">
        <v>431.19</v>
      </c>
      <c r="R5094" s="18">
        <v>353.43</v>
      </c>
      <c r="S5094" s="18">
        <v>366.51</v>
      </c>
      <c r="T5094" s="18">
        <v>300.42</v>
      </c>
      <c r="U5094" s="16"/>
      <c r="V5094" s="16"/>
      <c r="W5094" s="16" t="s">
        <v>40</v>
      </c>
      <c r="X5094" s="19">
        <v>1.028</v>
      </c>
      <c r="Y5094" s="20">
        <v>3.2899999999999997E-4</v>
      </c>
      <c r="Z5094" s="21">
        <v>4601004144408</v>
      </c>
    </row>
    <row r="5095" spans="1:26" ht="12.95" customHeight="1" outlineLevel="3" x14ac:dyDescent="0.2">
      <c r="A5095" s="76" t="s">
        <v>9880</v>
      </c>
      <c r="B5095" s="76"/>
      <c r="C5095" s="77"/>
      <c r="D5095" s="58"/>
      <c r="E5095" s="68"/>
      <c r="F5095" s="13"/>
      <c r="G5095" s="13"/>
      <c r="H5095" s="13"/>
      <c r="I5095" s="13"/>
      <c r="J5095" s="13"/>
      <c r="K5095" s="13"/>
      <c r="L5095" s="13"/>
      <c r="M5095" s="13"/>
      <c r="N5095" s="13"/>
      <c r="O5095" s="13"/>
      <c r="P5095" s="13"/>
      <c r="Q5095" s="13"/>
      <c r="R5095" s="13"/>
      <c r="S5095" s="13"/>
      <c r="T5095" s="13"/>
      <c r="U5095" s="13"/>
      <c r="V5095" s="13"/>
      <c r="W5095" s="13"/>
      <c r="X5095" s="13"/>
      <c r="Y5095" s="13"/>
      <c r="Z5095" s="13"/>
    </row>
    <row r="5096" spans="1:26" ht="12.95" customHeight="1" outlineLevel="4" x14ac:dyDescent="0.2">
      <c r="A5096" s="76" t="s">
        <v>9881</v>
      </c>
      <c r="B5096" s="76"/>
      <c r="C5096" s="77"/>
      <c r="D5096" s="58"/>
      <c r="E5096" s="68"/>
      <c r="F5096" s="13"/>
      <c r="G5096" s="13"/>
      <c r="H5096" s="13"/>
      <c r="I5096" s="13"/>
      <c r="J5096" s="13"/>
      <c r="K5096" s="13"/>
      <c r="L5096" s="13"/>
      <c r="M5096" s="13"/>
      <c r="N5096" s="13"/>
      <c r="O5096" s="13"/>
      <c r="P5096" s="13"/>
      <c r="Q5096" s="13"/>
      <c r="R5096" s="13"/>
      <c r="S5096" s="13"/>
      <c r="T5096" s="13"/>
      <c r="U5096" s="13"/>
      <c r="V5096" s="13"/>
      <c r="W5096" s="13"/>
      <c r="X5096" s="13"/>
      <c r="Y5096" s="13"/>
      <c r="Z5096" s="13"/>
    </row>
    <row r="5097" spans="1:26" ht="12" customHeight="1" outlineLevel="5" x14ac:dyDescent="0.2">
      <c r="A5097" s="14" t="s">
        <v>9882</v>
      </c>
      <c r="B5097" s="26" t="s">
        <v>9883</v>
      </c>
      <c r="C5097" s="52"/>
      <c r="D5097" s="55">
        <f t="shared" si="79"/>
        <v>0</v>
      </c>
      <c r="E5097" s="63" t="str">
        <f>HYPERLINK("https://www.sds-group.ru/product/magnitnyy-ugolnik-derzhatel-dlya-svarki-na-6-uglov-usilie-11-3-kg-rexant-12-4831/", "Инфо")</f>
        <v>Инфо</v>
      </c>
      <c r="F5097" s="16" t="s">
        <v>39</v>
      </c>
      <c r="G5097" s="15"/>
      <c r="H5097" s="15"/>
      <c r="I5097" s="15"/>
      <c r="J5097" s="17">
        <v>745</v>
      </c>
      <c r="K5097" s="15" t="s">
        <v>925</v>
      </c>
      <c r="L5097" s="17">
        <v>1</v>
      </c>
      <c r="M5097" s="17">
        <v>60</v>
      </c>
      <c r="N5097" s="17">
        <v>1</v>
      </c>
      <c r="O5097" s="18">
        <v>296.58999999999997</v>
      </c>
      <c r="P5097" s="18">
        <v>243.11</v>
      </c>
      <c r="Q5097" s="18">
        <v>237.27</v>
      </c>
      <c r="R5097" s="18">
        <v>194.48</v>
      </c>
      <c r="S5097" s="18">
        <v>201.68</v>
      </c>
      <c r="T5097" s="18">
        <v>165.31</v>
      </c>
      <c r="U5097" s="16"/>
      <c r="V5097" s="16"/>
      <c r="W5097" s="16" t="s">
        <v>40</v>
      </c>
      <c r="X5097" s="19">
        <v>0.309</v>
      </c>
      <c r="Y5097" s="20">
        <v>4.2999999999999999E-4</v>
      </c>
      <c r="Z5097" s="21">
        <v>4601004062481</v>
      </c>
    </row>
    <row r="5098" spans="1:26" ht="12" customHeight="1" outlineLevel="5" x14ac:dyDescent="0.2">
      <c r="A5098" s="14" t="s">
        <v>9884</v>
      </c>
      <c r="B5098" s="26" t="s">
        <v>9885</v>
      </c>
      <c r="C5098" s="52"/>
      <c r="D5098" s="55">
        <f t="shared" si="79"/>
        <v>0</v>
      </c>
      <c r="E5098" s="63" t="str">
        <f>HYPERLINK("https://www.sds-group.ru/product/magnitnyy-ugolnik-derzhatel-dlya-svarki-na-6-uglov-usilie-22-6-kg-rexant-12-4832/", "Инфо")</f>
        <v>Инфо</v>
      </c>
      <c r="F5098" s="16" t="s">
        <v>39</v>
      </c>
      <c r="G5098" s="15"/>
      <c r="H5098" s="15"/>
      <c r="I5098" s="15"/>
      <c r="J5098" s="17">
        <v>940</v>
      </c>
      <c r="K5098" s="15" t="s">
        <v>925</v>
      </c>
      <c r="L5098" s="17">
        <v>1</v>
      </c>
      <c r="M5098" s="17">
        <v>36</v>
      </c>
      <c r="N5098" s="17">
        <v>1</v>
      </c>
      <c r="O5098" s="18">
        <v>501.46</v>
      </c>
      <c r="P5098" s="18">
        <v>411.03</v>
      </c>
      <c r="Q5098" s="18">
        <v>401.17</v>
      </c>
      <c r="R5098" s="18">
        <v>328.83</v>
      </c>
      <c r="S5098" s="18">
        <v>340.99</v>
      </c>
      <c r="T5098" s="18">
        <v>279.5</v>
      </c>
      <c r="U5098" s="16"/>
      <c r="V5098" s="16"/>
      <c r="W5098" s="16" t="s">
        <v>40</v>
      </c>
      <c r="X5098" s="19">
        <v>0.51300000000000001</v>
      </c>
      <c r="Y5098" s="20">
        <v>7.9199999999999995E-4</v>
      </c>
      <c r="Z5098" s="21">
        <v>4601004062498</v>
      </c>
    </row>
    <row r="5099" spans="1:26" ht="12" customHeight="1" outlineLevel="5" x14ac:dyDescent="0.2">
      <c r="A5099" s="14" t="s">
        <v>9886</v>
      </c>
      <c r="B5099" s="26" t="s">
        <v>9887</v>
      </c>
      <c r="C5099" s="52"/>
      <c r="D5099" s="55">
        <f t="shared" si="79"/>
        <v>0</v>
      </c>
      <c r="E5099" s="63" t="str">
        <f>HYPERLINK("https://www.sds-group.ru/product/magnitnyy-ugolnik-derzhatel-dlya-svarki-na-6-uglov-usilie-34-kg-rexant-12-4833/", "Инфо")</f>
        <v>Инфо</v>
      </c>
      <c r="F5099" s="16" t="s">
        <v>39</v>
      </c>
      <c r="G5099" s="15"/>
      <c r="H5099" s="15"/>
      <c r="I5099" s="15"/>
      <c r="J5099" s="17">
        <v>677</v>
      </c>
      <c r="K5099" s="15" t="s">
        <v>925</v>
      </c>
      <c r="L5099" s="17">
        <v>1</v>
      </c>
      <c r="M5099" s="17">
        <v>24</v>
      </c>
      <c r="N5099" s="17">
        <v>1</v>
      </c>
      <c r="O5099" s="18">
        <v>845.96</v>
      </c>
      <c r="P5099" s="18">
        <v>693.41</v>
      </c>
      <c r="Q5099" s="18">
        <v>676.77</v>
      </c>
      <c r="R5099" s="18">
        <v>554.73</v>
      </c>
      <c r="S5099" s="18">
        <v>575.25</v>
      </c>
      <c r="T5099" s="18">
        <v>471.52</v>
      </c>
      <c r="U5099" s="16"/>
      <c r="V5099" s="16"/>
      <c r="W5099" s="16" t="s">
        <v>40</v>
      </c>
      <c r="X5099" s="19">
        <v>0.98499999999999999</v>
      </c>
      <c r="Y5099" s="20">
        <v>1.274E-3</v>
      </c>
      <c r="Z5099" s="21">
        <v>4601004062504</v>
      </c>
    </row>
    <row r="5100" spans="1:26" ht="12" customHeight="1" outlineLevel="5" x14ac:dyDescent="0.2">
      <c r="A5100" s="14" t="s">
        <v>9888</v>
      </c>
      <c r="B5100" s="26" t="s">
        <v>9889</v>
      </c>
      <c r="C5100" s="52"/>
      <c r="D5100" s="55">
        <f t="shared" si="79"/>
        <v>0</v>
      </c>
      <c r="E5100" s="63" t="str">
        <f>HYPERLINK("https://www.sds-group.ru/product/magnitnyy-ugolnik-derzhatel-dlya-svarki-nabor-4-sht-na-4-kg-rexant-12-4830/", "Инфо")</f>
        <v>Инфо</v>
      </c>
      <c r="F5100" s="16" t="s">
        <v>39</v>
      </c>
      <c r="G5100" s="15"/>
      <c r="H5100" s="15"/>
      <c r="I5100" s="15"/>
      <c r="J5100" s="17">
        <v>590</v>
      </c>
      <c r="K5100" s="15" t="s">
        <v>925</v>
      </c>
      <c r="L5100" s="17">
        <v>1</v>
      </c>
      <c r="M5100" s="17">
        <v>50</v>
      </c>
      <c r="N5100" s="17">
        <v>1</v>
      </c>
      <c r="O5100" s="18">
        <v>815.37</v>
      </c>
      <c r="P5100" s="18">
        <v>668.34</v>
      </c>
      <c r="Q5100" s="18">
        <v>652.29999999999995</v>
      </c>
      <c r="R5100" s="18">
        <v>534.66999999999996</v>
      </c>
      <c r="S5100" s="18">
        <v>554.45000000000005</v>
      </c>
      <c r="T5100" s="18">
        <v>454.47</v>
      </c>
      <c r="U5100" s="16"/>
      <c r="V5100" s="16"/>
      <c r="W5100" s="16" t="s">
        <v>40</v>
      </c>
      <c r="X5100" s="19">
        <v>0.44800000000000001</v>
      </c>
      <c r="Y5100" s="20">
        <v>7.5500000000000003E-4</v>
      </c>
      <c r="Z5100" s="21">
        <v>4601004082601</v>
      </c>
    </row>
    <row r="5101" spans="1:26" ht="12" customHeight="1" outlineLevel="5" x14ac:dyDescent="0.2">
      <c r="A5101" s="32" t="s">
        <v>9890</v>
      </c>
      <c r="B5101" s="74" t="s">
        <v>9891</v>
      </c>
      <c r="C5101" s="50"/>
      <c r="D5101" s="53">
        <f t="shared" si="79"/>
        <v>0</v>
      </c>
      <c r="E5101" s="60" t="str">
        <f>HYPERLINK("https://www.sds-group.ru/product/magnitnyy-ugolnik-derzhatel-dlya-svarki-3-ugla-usilie-do-11-3-kg-rexant-12-4824/", "Инфо")</f>
        <v>Инфо</v>
      </c>
      <c r="F5101" s="34" t="s">
        <v>39</v>
      </c>
      <c r="G5101" s="33"/>
      <c r="H5101" s="33" t="s">
        <v>40</v>
      </c>
      <c r="I5101" s="33"/>
      <c r="J5101" s="39">
        <v>2712</v>
      </c>
      <c r="K5101" s="33"/>
      <c r="L5101" s="35">
        <v>5</v>
      </c>
      <c r="M5101" s="35">
        <v>72</v>
      </c>
      <c r="N5101" s="35">
        <v>5</v>
      </c>
      <c r="O5101" s="36">
        <v>305.77999999999997</v>
      </c>
      <c r="P5101" s="36">
        <v>250.64</v>
      </c>
      <c r="Q5101" s="36">
        <v>244.62</v>
      </c>
      <c r="R5101" s="36">
        <v>200.51</v>
      </c>
      <c r="S5101" s="36">
        <v>207.93</v>
      </c>
      <c r="T5101" s="36">
        <v>170.43</v>
      </c>
      <c r="U5101" s="34"/>
      <c r="V5101" s="34"/>
      <c r="W5101" s="34" t="s">
        <v>40</v>
      </c>
      <c r="X5101" s="37">
        <v>0.32200000000000001</v>
      </c>
      <c r="Y5101" s="38">
        <v>3.9599999999999998E-4</v>
      </c>
      <c r="Z5101" s="21">
        <v>4601004234130</v>
      </c>
    </row>
    <row r="5102" spans="1:26" ht="12" customHeight="1" outlineLevel="5" x14ac:dyDescent="0.2">
      <c r="A5102" s="32" t="s">
        <v>9892</v>
      </c>
      <c r="B5102" s="74" t="s">
        <v>9893</v>
      </c>
      <c r="C5102" s="50"/>
      <c r="D5102" s="53">
        <f t="shared" si="79"/>
        <v>0</v>
      </c>
      <c r="E5102" s="60" t="str">
        <f>HYPERLINK("https://www.sds-group.ru/product/magnitnyy-ugolnik-derzhatel-dlya-svarki-3-ugla-usilie-do-22-6-kg-rexant-12-4825/", "Инфо")</f>
        <v>Инфо</v>
      </c>
      <c r="F5102" s="34" t="s">
        <v>39</v>
      </c>
      <c r="G5102" s="33"/>
      <c r="H5102" s="33" t="s">
        <v>40</v>
      </c>
      <c r="I5102" s="33"/>
      <c r="J5102" s="39">
        <v>2559</v>
      </c>
      <c r="K5102" s="33"/>
      <c r="L5102" s="35">
        <v>1</v>
      </c>
      <c r="M5102" s="35">
        <v>48</v>
      </c>
      <c r="N5102" s="35">
        <v>1</v>
      </c>
      <c r="O5102" s="36">
        <v>489.23</v>
      </c>
      <c r="P5102" s="36">
        <v>401.01</v>
      </c>
      <c r="Q5102" s="36">
        <v>391.38</v>
      </c>
      <c r="R5102" s="36">
        <v>320.8</v>
      </c>
      <c r="S5102" s="36">
        <v>332.68</v>
      </c>
      <c r="T5102" s="36">
        <v>272.69</v>
      </c>
      <c r="U5102" s="34"/>
      <c r="V5102" s="34"/>
      <c r="W5102" s="34" t="s">
        <v>40</v>
      </c>
      <c r="X5102" s="37">
        <v>0.52800000000000002</v>
      </c>
      <c r="Y5102" s="38">
        <v>4.9700000000000005E-4</v>
      </c>
      <c r="Z5102" s="21">
        <v>4601004234109</v>
      </c>
    </row>
    <row r="5103" spans="1:26" ht="12" customHeight="1" outlineLevel="5" x14ac:dyDescent="0.2">
      <c r="A5103" s="32" t="s">
        <v>9894</v>
      </c>
      <c r="B5103" s="74" t="s">
        <v>9895</v>
      </c>
      <c r="C5103" s="50"/>
      <c r="D5103" s="53">
        <f t="shared" si="79"/>
        <v>0</v>
      </c>
      <c r="E5103" s="60" t="str">
        <f>HYPERLINK("https://www.sds-group.ru/product/magnitnyy-ugolnik-derzhatel-dlya-svarki-3-ugla-usilie-do-34-kg-rexant-12-4826/", "Инфо")</f>
        <v>Инфо</v>
      </c>
      <c r="F5103" s="34" t="s">
        <v>39</v>
      </c>
      <c r="G5103" s="33"/>
      <c r="H5103" s="33" t="s">
        <v>40</v>
      </c>
      <c r="I5103" s="33"/>
      <c r="J5103" s="39">
        <v>1190</v>
      </c>
      <c r="K5103" s="33"/>
      <c r="L5103" s="35">
        <v>1</v>
      </c>
      <c r="M5103" s="35">
        <v>24</v>
      </c>
      <c r="N5103" s="35">
        <v>1</v>
      </c>
      <c r="O5103" s="36">
        <v>874.49</v>
      </c>
      <c r="P5103" s="36">
        <v>716.8</v>
      </c>
      <c r="Q5103" s="36">
        <v>699.59</v>
      </c>
      <c r="R5103" s="36">
        <v>573.42999999999995</v>
      </c>
      <c r="S5103" s="36">
        <v>594.65</v>
      </c>
      <c r="T5103" s="36">
        <v>487.42</v>
      </c>
      <c r="U5103" s="34"/>
      <c r="V5103" s="34"/>
      <c r="W5103" s="34" t="s">
        <v>40</v>
      </c>
      <c r="X5103" s="37">
        <v>1.0409999999999999</v>
      </c>
      <c r="Y5103" s="38">
        <v>1.1169999999999999E-3</v>
      </c>
      <c r="Z5103" s="21">
        <v>4601004234116</v>
      </c>
    </row>
    <row r="5104" spans="1:26" ht="12" customHeight="1" outlineLevel="5" x14ac:dyDescent="0.2">
      <c r="A5104" s="32" t="s">
        <v>9896</v>
      </c>
      <c r="B5104" s="74" t="s">
        <v>9897</v>
      </c>
      <c r="C5104" s="50"/>
      <c r="D5104" s="53">
        <f t="shared" si="79"/>
        <v>0</v>
      </c>
      <c r="E5104" s="60" t="str">
        <f>HYPERLINK("https://www.sds-group.ru/product/magnitnyy-ugolnik-derzhatel-dlya-svarki-3-ugla-usilie-do-45-kg-rexant-12-4827/", "Инфо")</f>
        <v>Инфо</v>
      </c>
      <c r="F5104" s="34" t="s">
        <v>39</v>
      </c>
      <c r="G5104" s="33"/>
      <c r="H5104" s="33" t="s">
        <v>40</v>
      </c>
      <c r="I5104" s="33"/>
      <c r="J5104" s="35">
        <v>150</v>
      </c>
      <c r="K5104" s="33"/>
      <c r="L5104" s="35">
        <v>1</v>
      </c>
      <c r="M5104" s="35">
        <v>18</v>
      </c>
      <c r="N5104" s="35">
        <v>1</v>
      </c>
      <c r="O5104" s="36">
        <v>1325</v>
      </c>
      <c r="P5104" s="36">
        <v>1086.07</v>
      </c>
      <c r="Q5104" s="36">
        <v>1060</v>
      </c>
      <c r="R5104" s="36">
        <v>868.85</v>
      </c>
      <c r="S5104" s="36">
        <v>901</v>
      </c>
      <c r="T5104" s="36">
        <v>738.52</v>
      </c>
      <c r="U5104" s="34"/>
      <c r="V5104" s="34"/>
      <c r="W5104" s="34" t="s">
        <v>40</v>
      </c>
      <c r="X5104" s="37">
        <v>1.825</v>
      </c>
      <c r="Y5104" s="38">
        <v>1.2869999999999999E-3</v>
      </c>
      <c r="Z5104" s="21">
        <v>4601004234093</v>
      </c>
    </row>
    <row r="5105" spans="1:26" ht="12" customHeight="1" outlineLevel="5" x14ac:dyDescent="0.2">
      <c r="A5105" s="14" t="s">
        <v>9898</v>
      </c>
      <c r="B5105" s="26" t="s">
        <v>9899</v>
      </c>
      <c r="C5105" s="52"/>
      <c r="D5105" s="55">
        <f t="shared" si="79"/>
        <v>0</v>
      </c>
      <c r="E5105" s="63" t="str">
        <f>HYPERLINK("https://www.sds-group.ru/product/magnitnyy-ugolnik-derzhatel-dlya-svarki-na-4-ugla-usilie-11-3-kg-rexant-12-4839/", "Инфо")</f>
        <v>Инфо</v>
      </c>
      <c r="F5105" s="16" t="s">
        <v>39</v>
      </c>
      <c r="G5105" s="15"/>
      <c r="H5105" s="15"/>
      <c r="I5105" s="15"/>
      <c r="J5105" s="17">
        <v>465</v>
      </c>
      <c r="K5105" s="15" t="s">
        <v>925</v>
      </c>
      <c r="L5105" s="17">
        <v>1</v>
      </c>
      <c r="M5105" s="17">
        <v>60</v>
      </c>
      <c r="N5105" s="17">
        <v>1</v>
      </c>
      <c r="O5105" s="18">
        <v>733.88</v>
      </c>
      <c r="P5105" s="18">
        <v>601.54</v>
      </c>
      <c r="Q5105" s="18">
        <v>587.1</v>
      </c>
      <c r="R5105" s="18">
        <v>481.23</v>
      </c>
      <c r="S5105" s="18">
        <v>499.04</v>
      </c>
      <c r="T5105" s="18">
        <v>409.05</v>
      </c>
      <c r="U5105" s="16"/>
      <c r="V5105" s="16"/>
      <c r="W5105" s="16" t="s">
        <v>40</v>
      </c>
      <c r="X5105" s="19">
        <v>0.28899999999999998</v>
      </c>
      <c r="Y5105" s="20">
        <v>5.8E-5</v>
      </c>
      <c r="Z5105" s="21">
        <v>4601004135581</v>
      </c>
    </row>
    <row r="5106" spans="1:26" ht="12" customHeight="1" outlineLevel="5" x14ac:dyDescent="0.2">
      <c r="A5106" s="14" t="s">
        <v>9900</v>
      </c>
      <c r="B5106" s="26" t="s">
        <v>9901</v>
      </c>
      <c r="C5106" s="52"/>
      <c r="D5106" s="55">
        <f t="shared" si="79"/>
        <v>0</v>
      </c>
      <c r="E5106" s="63" t="str">
        <f>HYPERLINK("https://www.sds-group.ru/product/magnitnyy-ugolnik-derzhatel-dlya-svarki-otklyuchaemyy-na-3-ugla-usilie-11-3-kg-rexant-12-4835/", "Инфо")</f>
        <v>Инфо</v>
      </c>
      <c r="F5106" s="16" t="s">
        <v>39</v>
      </c>
      <c r="G5106" s="15"/>
      <c r="H5106" s="15"/>
      <c r="I5106" s="15"/>
      <c r="J5106" s="17">
        <v>51</v>
      </c>
      <c r="K5106" s="15"/>
      <c r="L5106" s="17">
        <v>1</v>
      </c>
      <c r="M5106" s="17">
        <v>12</v>
      </c>
      <c r="N5106" s="17">
        <v>1</v>
      </c>
      <c r="O5106" s="18">
        <v>2352.38</v>
      </c>
      <c r="P5106" s="18">
        <v>1928.18</v>
      </c>
      <c r="Q5106" s="18">
        <v>1717.24</v>
      </c>
      <c r="R5106" s="18">
        <v>1407.57</v>
      </c>
      <c r="S5106" s="18">
        <v>1599.62</v>
      </c>
      <c r="T5106" s="18">
        <v>1311.16</v>
      </c>
      <c r="U5106" s="16"/>
      <c r="V5106" s="16"/>
      <c r="W5106" s="16" t="s">
        <v>40</v>
      </c>
      <c r="X5106" s="19">
        <v>0.66800000000000004</v>
      </c>
      <c r="Y5106" s="20">
        <v>1.755E-3</v>
      </c>
      <c r="Z5106" s="21">
        <v>4601004135611</v>
      </c>
    </row>
    <row r="5107" spans="1:26" ht="12" customHeight="1" outlineLevel="5" x14ac:dyDescent="0.2">
      <c r="A5107" s="14" t="s">
        <v>9902</v>
      </c>
      <c r="B5107" s="26" t="s">
        <v>9903</v>
      </c>
      <c r="C5107" s="52"/>
      <c r="D5107" s="55">
        <f t="shared" si="79"/>
        <v>0</v>
      </c>
      <c r="E5107" s="63" t="str">
        <f>HYPERLINK("https://www.sds-group.ru/product/magnitnyy-ugolnik-derzhatel-dlya-svarki-otklyuchaemyy-na-3-ugla-usilie-23-kg-rexant-12-4836/", "Инфо")</f>
        <v>Инфо</v>
      </c>
      <c r="F5107" s="16" t="s">
        <v>39</v>
      </c>
      <c r="G5107" s="15"/>
      <c r="H5107" s="15"/>
      <c r="I5107" s="15"/>
      <c r="J5107" s="17">
        <v>58</v>
      </c>
      <c r="K5107" s="15"/>
      <c r="L5107" s="17">
        <v>1</v>
      </c>
      <c r="M5107" s="17">
        <v>12</v>
      </c>
      <c r="N5107" s="17">
        <v>1</v>
      </c>
      <c r="O5107" s="18">
        <v>3261.54</v>
      </c>
      <c r="P5107" s="18">
        <v>2673.39</v>
      </c>
      <c r="Q5107" s="18">
        <v>2380.92</v>
      </c>
      <c r="R5107" s="18">
        <v>1951.57</v>
      </c>
      <c r="S5107" s="18">
        <v>2217.85</v>
      </c>
      <c r="T5107" s="18">
        <v>1817.91</v>
      </c>
      <c r="U5107" s="16"/>
      <c r="V5107" s="16"/>
      <c r="W5107" s="16" t="s">
        <v>40</v>
      </c>
      <c r="X5107" s="19">
        <v>1.2390000000000001</v>
      </c>
      <c r="Y5107" s="20">
        <v>2.1519999999999998E-3</v>
      </c>
      <c r="Z5107" s="21">
        <v>4601004135574</v>
      </c>
    </row>
    <row r="5108" spans="1:26" ht="12" customHeight="1" outlineLevel="5" x14ac:dyDescent="0.2">
      <c r="A5108" s="32" t="s">
        <v>9904</v>
      </c>
      <c r="B5108" s="74" t="s">
        <v>9905</v>
      </c>
      <c r="C5108" s="50"/>
      <c r="D5108" s="53">
        <f t="shared" si="79"/>
        <v>0</v>
      </c>
      <c r="E5108" s="60" t="str">
        <f>HYPERLINK("https://www.sds-group.ru/product/sharnirnyy-derzhatel-dlya-svarki-usilie-34-kg-rexant-12-4837/", "Инфо")</f>
        <v>Инфо</v>
      </c>
      <c r="F5108" s="34" t="s">
        <v>39</v>
      </c>
      <c r="G5108" s="33"/>
      <c r="H5108" s="33" t="s">
        <v>40</v>
      </c>
      <c r="I5108" s="33"/>
      <c r="J5108" s="35">
        <v>598</v>
      </c>
      <c r="K5108" s="33"/>
      <c r="L5108" s="35">
        <v>1</v>
      </c>
      <c r="M5108" s="35">
        <v>8</v>
      </c>
      <c r="N5108" s="35">
        <v>1</v>
      </c>
      <c r="O5108" s="36">
        <v>1284.23</v>
      </c>
      <c r="P5108" s="36">
        <v>1052.6500000000001</v>
      </c>
      <c r="Q5108" s="36">
        <v>1027.3800000000001</v>
      </c>
      <c r="R5108" s="36">
        <v>842.11</v>
      </c>
      <c r="S5108" s="36">
        <v>873.28</v>
      </c>
      <c r="T5108" s="36">
        <v>715.8</v>
      </c>
      <c r="U5108" s="34"/>
      <c r="V5108" s="34"/>
      <c r="W5108" s="34" t="s">
        <v>40</v>
      </c>
      <c r="X5108" s="37">
        <v>1.6859999999999999</v>
      </c>
      <c r="Y5108" s="38">
        <v>2.6570000000000001E-3</v>
      </c>
      <c r="Z5108" s="21">
        <v>4601004234123</v>
      </c>
    </row>
    <row r="5109" spans="1:26" ht="12.95" customHeight="1" outlineLevel="4" x14ac:dyDescent="0.2">
      <c r="A5109" s="76" t="s">
        <v>9906</v>
      </c>
      <c r="B5109" s="76"/>
      <c r="C5109" s="77"/>
      <c r="D5109" s="58"/>
      <c r="E5109" s="68"/>
      <c r="F5109" s="13"/>
      <c r="G5109" s="13"/>
      <c r="H5109" s="13"/>
      <c r="I5109" s="13"/>
      <c r="J5109" s="13"/>
      <c r="K5109" s="13"/>
      <c r="L5109" s="13"/>
      <c r="M5109" s="13"/>
      <c r="N5109" s="13"/>
      <c r="O5109" s="13"/>
      <c r="P5109" s="13"/>
      <c r="Q5109" s="13"/>
      <c r="R5109" s="13"/>
      <c r="S5109" s="13"/>
      <c r="T5109" s="13"/>
      <c r="U5109" s="13"/>
      <c r="V5109" s="13"/>
      <c r="W5109" s="13"/>
      <c r="X5109" s="13"/>
      <c r="Y5109" s="13"/>
      <c r="Z5109" s="13"/>
    </row>
    <row r="5110" spans="1:26" ht="12" customHeight="1" outlineLevel="5" x14ac:dyDescent="0.2">
      <c r="A5110" s="14" t="s">
        <v>9907</v>
      </c>
      <c r="B5110" s="26" t="s">
        <v>9908</v>
      </c>
      <c r="C5110" s="52"/>
      <c r="D5110" s="55">
        <f t="shared" si="79"/>
        <v>0</v>
      </c>
      <c r="E5110" s="63" t="str">
        <f>HYPERLINK("https://www.sds-group.ru/product/truborez-dlya-plastikovih-trub-42-mm-rexant-ra-65mn-29307/", "Инфо")</f>
        <v>Инфо</v>
      </c>
      <c r="F5110" s="16" t="s">
        <v>39</v>
      </c>
      <c r="G5110" s="15"/>
      <c r="H5110" s="15"/>
      <c r="I5110" s="15"/>
      <c r="J5110" s="16" t="s">
        <v>100</v>
      </c>
      <c r="K5110" s="15" t="s">
        <v>1590</v>
      </c>
      <c r="L5110" s="17">
        <v>1</v>
      </c>
      <c r="M5110" s="17">
        <v>50</v>
      </c>
      <c r="N5110" s="17">
        <v>1</v>
      </c>
      <c r="O5110" s="18">
        <v>668.37</v>
      </c>
      <c r="P5110" s="18">
        <v>547.84</v>
      </c>
      <c r="Q5110" s="18">
        <v>534.70000000000005</v>
      </c>
      <c r="R5110" s="18">
        <v>438.28</v>
      </c>
      <c r="S5110" s="18">
        <v>454.49</v>
      </c>
      <c r="T5110" s="18">
        <v>372.53</v>
      </c>
      <c r="U5110" s="16"/>
      <c r="V5110" s="16"/>
      <c r="W5110" s="16" t="s">
        <v>40</v>
      </c>
      <c r="X5110" s="19">
        <v>0.22900000000000001</v>
      </c>
      <c r="Y5110" s="20">
        <v>6.87E-4</v>
      </c>
      <c r="Z5110" s="21">
        <v>4601004255111</v>
      </c>
    </row>
    <row r="5111" spans="1:26" ht="12" customHeight="1" outlineLevel="5" x14ac:dyDescent="0.2">
      <c r="A5111" s="14" t="s">
        <v>9909</v>
      </c>
      <c r="B5111" s="26" t="s">
        <v>9910</v>
      </c>
      <c r="C5111" s="52"/>
      <c r="D5111" s="55">
        <f t="shared" si="79"/>
        <v>0</v>
      </c>
      <c r="E5111" s="63" t="str">
        <f>HYPERLINK("https://www.sds-group.ru/product/truborez-dlya-plastikovyh-trub-42-mm-rs-65mn-rexant-11-1019/", "Инфо")</f>
        <v>Инфо</v>
      </c>
      <c r="F5111" s="16" t="s">
        <v>39</v>
      </c>
      <c r="G5111" s="15"/>
      <c r="H5111" s="15"/>
      <c r="I5111" s="15"/>
      <c r="J5111" s="16" t="s">
        <v>100</v>
      </c>
      <c r="K5111" s="15" t="s">
        <v>1590</v>
      </c>
      <c r="L5111" s="17">
        <v>1</v>
      </c>
      <c r="M5111" s="17">
        <v>50</v>
      </c>
      <c r="N5111" s="17">
        <v>1</v>
      </c>
      <c r="O5111" s="18">
        <v>754.61</v>
      </c>
      <c r="P5111" s="18">
        <v>618.53</v>
      </c>
      <c r="Q5111" s="18">
        <v>603.69000000000005</v>
      </c>
      <c r="R5111" s="18">
        <v>494.83</v>
      </c>
      <c r="S5111" s="18">
        <v>513.13</v>
      </c>
      <c r="T5111" s="18">
        <v>420.6</v>
      </c>
      <c r="U5111" s="16"/>
      <c r="V5111" s="16"/>
      <c r="W5111" s="16" t="s">
        <v>40</v>
      </c>
      <c r="X5111" s="19">
        <v>0.46500000000000002</v>
      </c>
      <c r="Y5111" s="20">
        <v>8.0400000000000003E-4</v>
      </c>
      <c r="Z5111" s="21">
        <v>4601004255135</v>
      </c>
    </row>
    <row r="5112" spans="1:26" ht="12.95" customHeight="1" outlineLevel="3" x14ac:dyDescent="0.2">
      <c r="A5112" s="76" t="s">
        <v>9911</v>
      </c>
      <c r="B5112" s="76"/>
      <c r="C5112" s="77"/>
      <c r="D5112" s="58"/>
      <c r="E5112" s="68"/>
      <c r="F5112" s="13"/>
      <c r="G5112" s="13"/>
      <c r="H5112" s="13"/>
      <c r="I5112" s="13"/>
      <c r="J5112" s="13"/>
      <c r="K5112" s="13"/>
      <c r="L5112" s="13"/>
      <c r="M5112" s="13"/>
      <c r="N5112" s="13"/>
      <c r="O5112" s="13"/>
      <c r="P5112" s="13"/>
      <c r="Q5112" s="13"/>
      <c r="R5112" s="13"/>
      <c r="S5112" s="13"/>
      <c r="T5112" s="13"/>
      <c r="U5112" s="13"/>
      <c r="V5112" s="13"/>
      <c r="W5112" s="13"/>
      <c r="X5112" s="13"/>
      <c r="Y5112" s="13"/>
      <c r="Z5112" s="13"/>
    </row>
    <row r="5113" spans="1:26" ht="12.95" customHeight="1" outlineLevel="4" x14ac:dyDescent="0.2">
      <c r="A5113" s="76" t="s">
        <v>9912</v>
      </c>
      <c r="B5113" s="76"/>
      <c r="C5113" s="77"/>
      <c r="D5113" s="58"/>
      <c r="E5113" s="68"/>
      <c r="F5113" s="13"/>
      <c r="G5113" s="13"/>
      <c r="H5113" s="13"/>
      <c r="I5113" s="13"/>
      <c r="J5113" s="13"/>
      <c r="K5113" s="13"/>
      <c r="L5113" s="13"/>
      <c r="M5113" s="13"/>
      <c r="N5113" s="13"/>
      <c r="O5113" s="13"/>
      <c r="P5113" s="13"/>
      <c r="Q5113" s="13"/>
      <c r="R5113" s="13"/>
      <c r="S5113" s="13"/>
      <c r="T5113" s="13"/>
      <c r="U5113" s="13"/>
      <c r="V5113" s="13"/>
      <c r="W5113" s="13"/>
      <c r="X5113" s="13"/>
      <c r="Y5113" s="13"/>
      <c r="Z5113" s="13"/>
    </row>
    <row r="5114" spans="1:26" ht="12" customHeight="1" outlineLevel="5" x14ac:dyDescent="0.2">
      <c r="A5114" s="14" t="s">
        <v>9913</v>
      </c>
      <c r="B5114" s="26" t="s">
        <v>9914</v>
      </c>
      <c r="C5114" s="52"/>
      <c r="D5114" s="55">
        <f t="shared" si="79"/>
        <v>0</v>
      </c>
      <c r="E5114" s="63" t="str">
        <f>HYPERLINK("https://www.sds-group.ru/product/maska-svarschika-s-avtomaticheskim-svetofiltrom-hameleon-asf-100-kranz-KR-16-0795/", "Инфо")</f>
        <v>Инфо</v>
      </c>
      <c r="F5114" s="16" t="s">
        <v>39</v>
      </c>
      <c r="G5114" s="15"/>
      <c r="H5114" s="15"/>
      <c r="I5114" s="15"/>
      <c r="J5114" s="16" t="s">
        <v>100</v>
      </c>
      <c r="K5114" s="15"/>
      <c r="L5114" s="17">
        <v>1</v>
      </c>
      <c r="M5114" s="17">
        <v>1</v>
      </c>
      <c r="N5114" s="17">
        <v>1</v>
      </c>
      <c r="O5114" s="18">
        <v>1969.46</v>
      </c>
      <c r="P5114" s="18">
        <v>1614.31</v>
      </c>
      <c r="Q5114" s="18">
        <v>1496.79</v>
      </c>
      <c r="R5114" s="18">
        <v>1226.8800000000001</v>
      </c>
      <c r="S5114" s="18">
        <v>1339.23</v>
      </c>
      <c r="T5114" s="18">
        <v>1097.73</v>
      </c>
      <c r="U5114" s="16"/>
      <c r="V5114" s="16"/>
      <c r="W5114" s="16" t="s">
        <v>40</v>
      </c>
      <c r="X5114" s="19">
        <v>0.61399999999999999</v>
      </c>
      <c r="Y5114" s="20">
        <v>1.8814999999999998E-2</v>
      </c>
      <c r="Z5114" s="21">
        <v>4601004259836</v>
      </c>
    </row>
    <row r="5115" spans="1:26" ht="12" customHeight="1" outlineLevel="5" x14ac:dyDescent="0.2">
      <c r="A5115" s="14" t="s">
        <v>9915</v>
      </c>
      <c r="B5115" s="26" t="s">
        <v>9916</v>
      </c>
      <c r="C5115" s="52"/>
      <c r="D5115" s="55">
        <f t="shared" si="79"/>
        <v>0</v>
      </c>
      <c r="E5115" s="63" t="str">
        <f>HYPERLINK("https://www.sds-group.ru/product/maska-svarschika-s-avtomaticheskim-svetofiltrom-hameleon-asf-400-kranz-KR-16-0796/", "Инфо")</f>
        <v>Инфо</v>
      </c>
      <c r="F5115" s="16" t="s">
        <v>39</v>
      </c>
      <c r="G5115" s="15"/>
      <c r="H5115" s="15"/>
      <c r="I5115" s="15"/>
      <c r="J5115" s="17">
        <v>224</v>
      </c>
      <c r="K5115" s="15"/>
      <c r="L5115" s="17">
        <v>1</v>
      </c>
      <c r="M5115" s="17">
        <v>1</v>
      </c>
      <c r="N5115" s="17">
        <v>1</v>
      </c>
      <c r="O5115" s="18">
        <v>2487.7399999999998</v>
      </c>
      <c r="P5115" s="18">
        <v>2039.13</v>
      </c>
      <c r="Q5115" s="18">
        <v>1915.56</v>
      </c>
      <c r="R5115" s="18">
        <v>1570.13</v>
      </c>
      <c r="S5115" s="18">
        <v>1691.66</v>
      </c>
      <c r="T5115" s="18">
        <v>1386.61</v>
      </c>
      <c r="U5115" s="16"/>
      <c r="V5115" s="16"/>
      <c r="W5115" s="16" t="s">
        <v>40</v>
      </c>
      <c r="X5115" s="19">
        <v>0.627</v>
      </c>
      <c r="Y5115" s="20">
        <v>1.8289E-2</v>
      </c>
      <c r="Z5115" s="21">
        <v>4601004259843</v>
      </c>
    </row>
    <row r="5116" spans="1:26" ht="12" customHeight="1" outlineLevel="5" x14ac:dyDescent="0.2">
      <c r="A5116" s="14" t="s">
        <v>9917</v>
      </c>
      <c r="B5116" s="26" t="s">
        <v>9918</v>
      </c>
      <c r="C5116" s="52"/>
      <c r="D5116" s="55">
        <f t="shared" si="79"/>
        <v>0</v>
      </c>
      <c r="E5116" s="63" t="str">
        <f>HYPERLINK("https://www.sds-group.ru/product/maska-svarschika-s-avtomaticheskim-svetofiltrom-hameleon-asf-777-kranz-KR-16-0797/", "Инфо")</f>
        <v>Инфо</v>
      </c>
      <c r="F5116" s="16" t="s">
        <v>39</v>
      </c>
      <c r="G5116" s="15"/>
      <c r="H5116" s="15"/>
      <c r="I5116" s="15"/>
      <c r="J5116" s="17">
        <v>325</v>
      </c>
      <c r="K5116" s="15"/>
      <c r="L5116" s="17">
        <v>1</v>
      </c>
      <c r="M5116" s="17">
        <v>1</v>
      </c>
      <c r="N5116" s="17">
        <v>1</v>
      </c>
      <c r="O5116" s="18">
        <v>2766.04</v>
      </c>
      <c r="P5116" s="18">
        <v>2267.25</v>
      </c>
      <c r="Q5116" s="18">
        <v>2046.87</v>
      </c>
      <c r="R5116" s="18">
        <v>1677.76</v>
      </c>
      <c r="S5116" s="18">
        <v>1880.91</v>
      </c>
      <c r="T5116" s="18">
        <v>1541.73</v>
      </c>
      <c r="U5116" s="16"/>
      <c r="V5116" s="16"/>
      <c r="W5116" s="16" t="s">
        <v>40</v>
      </c>
      <c r="X5116" s="19">
        <v>0.69799999999999995</v>
      </c>
      <c r="Y5116" s="20">
        <v>1.8804999999999999E-2</v>
      </c>
      <c r="Z5116" s="21">
        <v>4601004259850</v>
      </c>
    </row>
    <row r="5117" spans="1:26" ht="12" customHeight="1" outlineLevel="5" x14ac:dyDescent="0.2">
      <c r="A5117" s="14" t="s">
        <v>9919</v>
      </c>
      <c r="B5117" s="26" t="s">
        <v>9920</v>
      </c>
      <c r="C5117" s="52"/>
      <c r="D5117" s="55">
        <f t="shared" si="79"/>
        <v>0</v>
      </c>
      <c r="E5117" s="63" t="str">
        <f>HYPERLINK("https://www.sds-group.ru/product/maska-svarschika-s-chernym-mineralnym-steklom-din-9-kranz-KR-16-0798/", "Инфо")</f>
        <v>Инфо</v>
      </c>
      <c r="F5117" s="16" t="s">
        <v>39</v>
      </c>
      <c r="G5117" s="15"/>
      <c r="H5117" s="15"/>
      <c r="I5117" s="15"/>
      <c r="J5117" s="17">
        <v>259</v>
      </c>
      <c r="K5117" s="15"/>
      <c r="L5117" s="17">
        <v>1</v>
      </c>
      <c r="M5117" s="17">
        <v>1</v>
      </c>
      <c r="N5117" s="17">
        <v>1</v>
      </c>
      <c r="O5117" s="18">
        <v>1233.97</v>
      </c>
      <c r="P5117" s="18">
        <v>1011.45</v>
      </c>
      <c r="Q5117" s="18">
        <v>987.18</v>
      </c>
      <c r="R5117" s="18">
        <v>809.16</v>
      </c>
      <c r="S5117" s="18">
        <v>839.1</v>
      </c>
      <c r="T5117" s="18">
        <v>687.79</v>
      </c>
      <c r="U5117" s="16"/>
      <c r="V5117" s="16"/>
      <c r="W5117" s="16" t="s">
        <v>40</v>
      </c>
      <c r="X5117" s="19">
        <v>0.627</v>
      </c>
      <c r="Y5117" s="20">
        <v>1.882E-2</v>
      </c>
      <c r="Z5117" s="21">
        <v>4601004259829</v>
      </c>
    </row>
    <row r="5118" spans="1:26" ht="12.95" customHeight="1" outlineLevel="2" x14ac:dyDescent="0.2">
      <c r="A5118" s="76" t="s">
        <v>9921</v>
      </c>
      <c r="B5118" s="76"/>
      <c r="C5118" s="77"/>
      <c r="D5118" s="58"/>
      <c r="E5118" s="68"/>
      <c r="F5118" s="13"/>
      <c r="G5118" s="13"/>
      <c r="H5118" s="13"/>
      <c r="I5118" s="13"/>
      <c r="J5118" s="13"/>
      <c r="K5118" s="13"/>
      <c r="L5118" s="13"/>
      <c r="M5118" s="13"/>
      <c r="N5118" s="13"/>
      <c r="O5118" s="13"/>
      <c r="P5118" s="13"/>
      <c r="Q5118" s="13"/>
      <c r="R5118" s="13"/>
      <c r="S5118" s="13"/>
      <c r="T5118" s="13"/>
      <c r="U5118" s="13"/>
      <c r="V5118" s="13"/>
      <c r="W5118" s="13"/>
      <c r="X5118" s="13"/>
      <c r="Y5118" s="13"/>
      <c r="Z5118" s="13"/>
    </row>
    <row r="5119" spans="1:26" ht="12.95" customHeight="1" outlineLevel="3" x14ac:dyDescent="0.2">
      <c r="A5119" s="76" t="s">
        <v>9922</v>
      </c>
      <c r="B5119" s="76"/>
      <c r="C5119" s="77"/>
      <c r="D5119" s="58"/>
      <c r="E5119" s="68"/>
      <c r="F5119" s="13"/>
      <c r="G5119" s="13"/>
      <c r="H5119" s="13"/>
      <c r="I5119" s="13"/>
      <c r="J5119" s="13"/>
      <c r="K5119" s="13"/>
      <c r="L5119" s="13"/>
      <c r="M5119" s="13"/>
      <c r="N5119" s="13"/>
      <c r="O5119" s="13"/>
      <c r="P5119" s="13"/>
      <c r="Q5119" s="13"/>
      <c r="R5119" s="13"/>
      <c r="S5119" s="13"/>
      <c r="T5119" s="13"/>
      <c r="U5119" s="13"/>
      <c r="V5119" s="13"/>
      <c r="W5119" s="13"/>
      <c r="X5119" s="13"/>
      <c r="Y5119" s="13"/>
      <c r="Z5119" s="13"/>
    </row>
    <row r="5120" spans="1:26" ht="12" customHeight="1" outlineLevel="4" x14ac:dyDescent="0.2">
      <c r="A5120" s="14" t="s">
        <v>9923</v>
      </c>
      <c r="B5120" s="26" t="s">
        <v>9924</v>
      </c>
      <c r="C5120" s="52"/>
      <c r="D5120" s="55">
        <f t="shared" si="79"/>
        <v>0</v>
      </c>
      <c r="E5120" s="63" t="str">
        <f>HYPERLINK("https://www.sds-group.ru/product/betonosmesitel-kr-160-700vt-160l-chugunnyy-venets-kranz-KR-16-1104/", "Инфо")</f>
        <v>Инфо</v>
      </c>
      <c r="F5120" s="16" t="s">
        <v>39</v>
      </c>
      <c r="G5120" s="15"/>
      <c r="H5120" s="15"/>
      <c r="I5120" s="15"/>
      <c r="J5120" s="17">
        <v>135</v>
      </c>
      <c r="K5120" s="15"/>
      <c r="L5120" s="17">
        <v>1</v>
      </c>
      <c r="M5120" s="17">
        <v>1</v>
      </c>
      <c r="N5120" s="17">
        <v>1</v>
      </c>
      <c r="O5120" s="18">
        <v>33752.629999999997</v>
      </c>
      <c r="P5120" s="18">
        <v>27666.09</v>
      </c>
      <c r="Q5120" s="18">
        <v>25652</v>
      </c>
      <c r="R5120" s="18">
        <v>21026.23</v>
      </c>
      <c r="S5120" s="18">
        <v>22951.79</v>
      </c>
      <c r="T5120" s="18">
        <v>18812.939999999999</v>
      </c>
      <c r="U5120" s="16"/>
      <c r="V5120" s="16"/>
      <c r="W5120" s="16" t="s">
        <v>40</v>
      </c>
      <c r="X5120" s="19">
        <v>43.8</v>
      </c>
      <c r="Y5120" s="20">
        <v>0.26535999999999998</v>
      </c>
      <c r="Z5120" s="21">
        <v>4601004298422</v>
      </c>
    </row>
    <row r="5121" spans="1:26" ht="12" customHeight="1" outlineLevel="4" x14ac:dyDescent="0.2">
      <c r="A5121" s="14" t="s">
        <v>9925</v>
      </c>
      <c r="B5121" s="26" t="s">
        <v>9926</v>
      </c>
      <c r="C5121" s="52"/>
      <c r="D5121" s="55">
        <f t="shared" si="79"/>
        <v>0</v>
      </c>
      <c r="E5121" s="63" t="str">
        <f>HYPERLINK("https://www.sds-group.ru/product/betonosmesitel-kr-180-700vt-180l-chugunnyy-venets-kranz-KR-16-1105/", "Инфо")</f>
        <v>Инфо</v>
      </c>
      <c r="F5121" s="16" t="s">
        <v>39</v>
      </c>
      <c r="G5121" s="15"/>
      <c r="H5121" s="15"/>
      <c r="I5121" s="15"/>
      <c r="J5121" s="17">
        <v>203</v>
      </c>
      <c r="K5121" s="15"/>
      <c r="L5121" s="17">
        <v>1</v>
      </c>
      <c r="M5121" s="17">
        <v>1</v>
      </c>
      <c r="N5121" s="17">
        <v>1</v>
      </c>
      <c r="O5121" s="18">
        <v>35565.78</v>
      </c>
      <c r="P5121" s="18">
        <v>29152.28</v>
      </c>
      <c r="Q5121" s="18">
        <v>27029.99</v>
      </c>
      <c r="R5121" s="18">
        <v>22155.73</v>
      </c>
      <c r="S5121" s="18">
        <v>24184.73</v>
      </c>
      <c r="T5121" s="18">
        <v>19823.55</v>
      </c>
      <c r="U5121" s="16"/>
      <c r="V5121" s="16"/>
      <c r="W5121" s="16" t="s">
        <v>40</v>
      </c>
      <c r="X5121" s="19">
        <v>49.8</v>
      </c>
      <c r="Y5121" s="20">
        <v>0.32317400000000002</v>
      </c>
      <c r="Z5121" s="21">
        <v>4601004298439</v>
      </c>
    </row>
    <row r="5122" spans="1:26" ht="12" customHeight="1" outlineLevel="4" x14ac:dyDescent="0.2">
      <c r="A5122" s="14" t="s">
        <v>9927</v>
      </c>
      <c r="B5122" s="26" t="s">
        <v>9928</v>
      </c>
      <c r="C5122" s="52"/>
      <c r="D5122" s="55">
        <f t="shared" si="79"/>
        <v>0</v>
      </c>
      <c r="E5122" s="63" t="str">
        <f>HYPERLINK("https://www.sds-group.ru/product/betonosmesitel-kr-200-1000vt-200l-chugunnyy-venets-kranz-KR-16-1106/", "Инфо")</f>
        <v>Инфо</v>
      </c>
      <c r="F5122" s="16" t="s">
        <v>39</v>
      </c>
      <c r="G5122" s="15"/>
      <c r="H5122" s="15"/>
      <c r="I5122" s="15"/>
      <c r="J5122" s="17">
        <v>453</v>
      </c>
      <c r="K5122" s="15"/>
      <c r="L5122" s="17">
        <v>1</v>
      </c>
      <c r="M5122" s="17">
        <v>1</v>
      </c>
      <c r="N5122" s="17">
        <v>1</v>
      </c>
      <c r="O5122" s="18">
        <v>36960.53</v>
      </c>
      <c r="P5122" s="18">
        <v>30295.52</v>
      </c>
      <c r="Q5122" s="18">
        <v>28090</v>
      </c>
      <c r="R5122" s="18">
        <v>23024.59</v>
      </c>
      <c r="S5122" s="18">
        <v>25133.16</v>
      </c>
      <c r="T5122" s="18">
        <v>20600.95</v>
      </c>
      <c r="U5122" s="16"/>
      <c r="V5122" s="16"/>
      <c r="W5122" s="16" t="s">
        <v>40</v>
      </c>
      <c r="X5122" s="19">
        <v>51.4</v>
      </c>
      <c r="Y5122" s="20">
        <v>0.32571</v>
      </c>
      <c r="Z5122" s="21">
        <v>4601004298446</v>
      </c>
    </row>
    <row r="5123" spans="1:26" ht="12.95" customHeight="1" outlineLevel="3" x14ac:dyDescent="0.2">
      <c r="A5123" s="76" t="s">
        <v>9929</v>
      </c>
      <c r="B5123" s="76"/>
      <c r="C5123" s="77"/>
      <c r="D5123" s="58"/>
      <c r="E5123" s="68"/>
      <c r="F5123" s="13"/>
      <c r="G5123" s="13"/>
      <c r="H5123" s="13"/>
      <c r="I5123" s="13"/>
      <c r="J5123" s="13"/>
      <c r="K5123" s="13"/>
      <c r="L5123" s="13"/>
      <c r="M5123" s="13"/>
      <c r="N5123" s="13"/>
      <c r="O5123" s="13"/>
      <c r="P5123" s="13"/>
      <c r="Q5123" s="13"/>
      <c r="R5123" s="13"/>
      <c r="S5123" s="13"/>
      <c r="T5123" s="13"/>
      <c r="U5123" s="13"/>
      <c r="V5123" s="13"/>
      <c r="W5123" s="13"/>
      <c r="X5123" s="13"/>
      <c r="Y5123" s="13"/>
      <c r="Z5123" s="13"/>
    </row>
    <row r="5124" spans="1:26" ht="12" customHeight="1" outlineLevel="4" x14ac:dyDescent="0.2">
      <c r="A5124" s="40" t="s">
        <v>9930</v>
      </c>
      <c r="B5124" s="75" t="s">
        <v>9931</v>
      </c>
      <c r="C5124" s="51"/>
      <c r="D5124" s="54">
        <f t="shared" si="79"/>
        <v>0</v>
      </c>
      <c r="E5124" s="61" t="str">
        <f>HYPERLINK("https://www.sds-group.ru/product/komplekt-odnorazovyh-meshkov-dlya-stroitelnogo-pylesosa-kr15-15l-kranz-KR-16-0002/", "Инфо")</f>
        <v>Инфо</v>
      </c>
      <c r="F5124" s="42" t="s">
        <v>974</v>
      </c>
      <c r="G5124" s="41" t="s">
        <v>40</v>
      </c>
      <c r="H5124" s="41"/>
      <c r="I5124" s="41"/>
      <c r="J5124" s="47">
        <v>1308</v>
      </c>
      <c r="K5124" s="41" t="s">
        <v>9932</v>
      </c>
      <c r="L5124" s="43">
        <v>1</v>
      </c>
      <c r="M5124" s="43">
        <v>20</v>
      </c>
      <c r="N5124" s="43">
        <v>1</v>
      </c>
      <c r="O5124" s="44">
        <v>1025.1300000000001</v>
      </c>
      <c r="P5124" s="44">
        <v>840.27</v>
      </c>
      <c r="Q5124" s="44">
        <v>891.86</v>
      </c>
      <c r="R5124" s="44">
        <v>731.03</v>
      </c>
      <c r="S5124" s="44">
        <v>697.09</v>
      </c>
      <c r="T5124" s="44">
        <v>571.39</v>
      </c>
      <c r="U5124" s="42"/>
      <c r="V5124" s="42"/>
      <c r="W5124" s="42" t="s">
        <v>40</v>
      </c>
      <c r="X5124" s="45">
        <v>0.24299999999999999</v>
      </c>
      <c r="Y5124" s="46">
        <v>1.9120000000000001E-3</v>
      </c>
      <c r="Z5124" s="21">
        <v>4601004331846</v>
      </c>
    </row>
    <row r="5125" spans="1:26" ht="12" customHeight="1" outlineLevel="4" x14ac:dyDescent="0.2">
      <c r="A5125" s="40" t="s">
        <v>9933</v>
      </c>
      <c r="B5125" s="75" t="s">
        <v>9934</v>
      </c>
      <c r="C5125" s="51"/>
      <c r="D5125" s="54">
        <f t="shared" si="79"/>
        <v>0</v>
      </c>
      <c r="E5125" s="61" t="str">
        <f>HYPERLINK("https://www.sds-group.ru/product/komplekt-odnorazovyh-meshkov-dlya-stroitelnogo-pylesosa-kr30-30l-kranz-KR-16-0003/", "Инфо")</f>
        <v>Инфо</v>
      </c>
      <c r="F5125" s="42" t="s">
        <v>974</v>
      </c>
      <c r="G5125" s="41" t="s">
        <v>40</v>
      </c>
      <c r="H5125" s="41"/>
      <c r="I5125" s="41"/>
      <c r="J5125" s="47">
        <v>1206</v>
      </c>
      <c r="K5125" s="41" t="s">
        <v>9932</v>
      </c>
      <c r="L5125" s="43">
        <v>1</v>
      </c>
      <c r="M5125" s="43">
        <v>20</v>
      </c>
      <c r="N5125" s="43">
        <v>1</v>
      </c>
      <c r="O5125" s="44">
        <v>1219.76</v>
      </c>
      <c r="P5125" s="44">
        <v>999.8</v>
      </c>
      <c r="Q5125" s="44">
        <v>1036.8</v>
      </c>
      <c r="R5125" s="44">
        <v>849.84</v>
      </c>
      <c r="S5125" s="44">
        <v>829.44</v>
      </c>
      <c r="T5125" s="44">
        <v>679.87</v>
      </c>
      <c r="U5125" s="42"/>
      <c r="V5125" s="42"/>
      <c r="W5125" s="42" t="s">
        <v>40</v>
      </c>
      <c r="X5125" s="45">
        <v>0.33500000000000002</v>
      </c>
      <c r="Y5125" s="46">
        <v>3.0699999999999998E-3</v>
      </c>
      <c r="Z5125" s="21">
        <v>4601004331860</v>
      </c>
    </row>
    <row r="5126" spans="1:26" ht="12" customHeight="1" outlineLevel="4" x14ac:dyDescent="0.2">
      <c r="A5126" s="40" t="s">
        <v>9935</v>
      </c>
      <c r="B5126" s="75" t="s">
        <v>9936</v>
      </c>
      <c r="C5126" s="51"/>
      <c r="D5126" s="54">
        <f t="shared" si="79"/>
        <v>0</v>
      </c>
      <c r="E5126" s="61" t="str">
        <f>HYPERLINK("https://www.sds-group.ru/product/meshok-tkanevyy-mnogorazovyy-dlya-stroitelnyh-pylesosov-kr1530-15-30l-kranz-KR-16-0004/", "Инфо")</f>
        <v>Инфо</v>
      </c>
      <c r="F5126" s="42" t="s">
        <v>39</v>
      </c>
      <c r="G5126" s="41" t="s">
        <v>40</v>
      </c>
      <c r="H5126" s="41"/>
      <c r="I5126" s="41"/>
      <c r="J5126" s="43">
        <v>868</v>
      </c>
      <c r="K5126" s="41" t="s">
        <v>9932</v>
      </c>
      <c r="L5126" s="43">
        <v>1</v>
      </c>
      <c r="M5126" s="43">
        <v>200</v>
      </c>
      <c r="N5126" s="43">
        <v>1</v>
      </c>
      <c r="O5126" s="44">
        <v>694.72</v>
      </c>
      <c r="P5126" s="44">
        <v>569.44000000000005</v>
      </c>
      <c r="Q5126" s="44">
        <v>625.25</v>
      </c>
      <c r="R5126" s="44">
        <v>512.5</v>
      </c>
      <c r="S5126" s="44">
        <v>472.41</v>
      </c>
      <c r="T5126" s="44">
        <v>387.22</v>
      </c>
      <c r="U5126" s="42"/>
      <c r="V5126" s="42"/>
      <c r="W5126" s="42" t="s">
        <v>40</v>
      </c>
      <c r="X5126" s="45">
        <v>0.104</v>
      </c>
      <c r="Y5126" s="46">
        <v>9.5200000000000005E-4</v>
      </c>
      <c r="Z5126" s="21">
        <v>4601004331853</v>
      </c>
    </row>
    <row r="5127" spans="1:26" ht="12" customHeight="1" outlineLevel="4" x14ac:dyDescent="0.2">
      <c r="A5127" s="40" t="s">
        <v>9937</v>
      </c>
      <c r="B5127" s="75" t="s">
        <v>9938</v>
      </c>
      <c r="C5127" s="51"/>
      <c r="D5127" s="54">
        <f t="shared" si="79"/>
        <v>0</v>
      </c>
      <c r="E5127" s="61" t="str">
        <f>HYPERLINK("https://www.sds-group.ru/product/nasadka-dlya-sbora-pyli-pri-sverlenii-dlya-pylesosa-diametr-15mm-kranz-KR-16-0001/", "Инфо")</f>
        <v>Инфо</v>
      </c>
      <c r="F5127" s="42" t="s">
        <v>39</v>
      </c>
      <c r="G5127" s="41" t="s">
        <v>40</v>
      </c>
      <c r="H5127" s="41"/>
      <c r="I5127" s="41"/>
      <c r="J5127" s="43">
        <v>595</v>
      </c>
      <c r="K5127" s="41" t="s">
        <v>9932</v>
      </c>
      <c r="L5127" s="43">
        <v>1</v>
      </c>
      <c r="M5127" s="43">
        <v>120</v>
      </c>
      <c r="N5127" s="43">
        <v>1</v>
      </c>
      <c r="O5127" s="44">
        <v>886.37</v>
      </c>
      <c r="P5127" s="44">
        <v>726.53</v>
      </c>
      <c r="Q5127" s="44">
        <v>797.73</v>
      </c>
      <c r="R5127" s="44">
        <v>653.88</v>
      </c>
      <c r="S5127" s="44">
        <v>602.73</v>
      </c>
      <c r="T5127" s="44">
        <v>494.04</v>
      </c>
      <c r="U5127" s="42"/>
      <c r="V5127" s="42"/>
      <c r="W5127" s="42" t="s">
        <v>40</v>
      </c>
      <c r="X5127" s="45">
        <v>4.9000000000000002E-2</v>
      </c>
      <c r="Y5127" s="46">
        <v>5.4100000000000003E-4</v>
      </c>
      <c r="Z5127" s="21">
        <v>4601004331815</v>
      </c>
    </row>
    <row r="5128" spans="1:26" ht="12" customHeight="1" outlineLevel="4" x14ac:dyDescent="0.2">
      <c r="A5128" s="40" t="s">
        <v>9939</v>
      </c>
      <c r="B5128" s="75" t="s">
        <v>9940</v>
      </c>
      <c r="C5128" s="51"/>
      <c r="D5128" s="54">
        <f t="shared" si="79"/>
        <v>0</v>
      </c>
      <c r="E5128" s="61" t="str">
        <f>HYPERLINK("https://www.sds-group.ru/product/pylesos-stroitelnyy-kr15-1200vt-15l-4m-kranz-KR-16-1115/", "Инфо")</f>
        <v>Инфо</v>
      </c>
      <c r="F5128" s="42" t="s">
        <v>39</v>
      </c>
      <c r="G5128" s="41" t="s">
        <v>40</v>
      </c>
      <c r="H5128" s="41"/>
      <c r="I5128" s="41"/>
      <c r="J5128" s="42" t="s">
        <v>100</v>
      </c>
      <c r="K5128" s="41" t="s">
        <v>9932</v>
      </c>
      <c r="L5128" s="43">
        <v>1</v>
      </c>
      <c r="M5128" s="43">
        <v>1</v>
      </c>
      <c r="N5128" s="43">
        <v>1</v>
      </c>
      <c r="O5128" s="44">
        <v>8789.85</v>
      </c>
      <c r="P5128" s="44">
        <v>7204.8</v>
      </c>
      <c r="Q5128" s="44">
        <v>6592.39</v>
      </c>
      <c r="R5128" s="44">
        <v>5403.6</v>
      </c>
      <c r="S5128" s="44">
        <v>5977.1</v>
      </c>
      <c r="T5128" s="44">
        <v>4899.26</v>
      </c>
      <c r="U5128" s="42"/>
      <c r="V5128" s="42"/>
      <c r="W5128" s="42" t="s">
        <v>40</v>
      </c>
      <c r="X5128" s="45">
        <v>4.9710000000000001</v>
      </c>
      <c r="Y5128" s="46">
        <v>3.8317999999999998E-2</v>
      </c>
      <c r="Z5128" s="21">
        <v>4601004331839</v>
      </c>
    </row>
    <row r="5129" spans="1:26" ht="12" customHeight="1" outlineLevel="4" x14ac:dyDescent="0.2">
      <c r="A5129" s="40" t="s">
        <v>9941</v>
      </c>
      <c r="B5129" s="75" t="s">
        <v>9942</v>
      </c>
      <c r="C5129" s="51"/>
      <c r="D5129" s="54">
        <f t="shared" ref="D5129:D5191" si="80">C5129*(O5129-O5129*$G$3)</f>
        <v>0</v>
      </c>
      <c r="E5129" s="61" t="str">
        <f>HYPERLINK("https://www.sds-group.ru/product/pylesos-stroitelnyy-kr30-1400vt-30l-4m-kranz-KR-16-1117/", "Инфо")</f>
        <v>Инфо</v>
      </c>
      <c r="F5129" s="42" t="s">
        <v>39</v>
      </c>
      <c r="G5129" s="41" t="s">
        <v>40</v>
      </c>
      <c r="H5129" s="41"/>
      <c r="I5129" s="41"/>
      <c r="J5129" s="43">
        <v>2</v>
      </c>
      <c r="K5129" s="41" t="s">
        <v>9932</v>
      </c>
      <c r="L5129" s="43">
        <v>1</v>
      </c>
      <c r="M5129" s="43">
        <v>1</v>
      </c>
      <c r="N5129" s="43">
        <v>1</v>
      </c>
      <c r="O5129" s="44">
        <v>13931.34</v>
      </c>
      <c r="P5129" s="44">
        <v>11419.13</v>
      </c>
      <c r="Q5129" s="44">
        <v>10448.51</v>
      </c>
      <c r="R5129" s="44">
        <v>8564.35</v>
      </c>
      <c r="S5129" s="44">
        <v>9473.31</v>
      </c>
      <c r="T5129" s="44">
        <v>7765.01</v>
      </c>
      <c r="U5129" s="42"/>
      <c r="V5129" s="42"/>
      <c r="W5129" s="42" t="s">
        <v>40</v>
      </c>
      <c r="X5129" s="45">
        <v>7.3079999999999998</v>
      </c>
      <c r="Y5129" s="46">
        <v>6.8068000000000004E-2</v>
      </c>
      <c r="Z5129" s="21">
        <v>4601004331822</v>
      </c>
    </row>
    <row r="5130" spans="1:26" ht="12.95" customHeight="1" outlineLevel="2" x14ac:dyDescent="0.2">
      <c r="A5130" s="76" t="s">
        <v>9943</v>
      </c>
      <c r="B5130" s="76"/>
      <c r="C5130" s="77"/>
      <c r="D5130" s="58"/>
      <c r="E5130" s="68"/>
      <c r="F5130" s="13"/>
      <c r="G5130" s="13"/>
      <c r="H5130" s="13"/>
      <c r="I5130" s="13"/>
      <c r="J5130" s="13"/>
      <c r="K5130" s="13"/>
      <c r="L5130" s="13"/>
      <c r="M5130" s="13"/>
      <c r="N5130" s="13"/>
      <c r="O5130" s="13"/>
      <c r="P5130" s="13"/>
      <c r="Q5130" s="13"/>
      <c r="R5130" s="13"/>
      <c r="S5130" s="13"/>
      <c r="T5130" s="13"/>
      <c r="U5130" s="13"/>
      <c r="V5130" s="13"/>
      <c r="W5130" s="13"/>
      <c r="X5130" s="13"/>
      <c r="Y5130" s="13"/>
      <c r="Z5130" s="13"/>
    </row>
    <row r="5131" spans="1:26" ht="12.95" customHeight="1" outlineLevel="3" x14ac:dyDescent="0.2">
      <c r="A5131" s="76" t="s">
        <v>9944</v>
      </c>
      <c r="B5131" s="76"/>
      <c r="C5131" s="77"/>
      <c r="D5131" s="58"/>
      <c r="E5131" s="68"/>
      <c r="F5131" s="13"/>
      <c r="G5131" s="13"/>
      <c r="H5131" s="13"/>
      <c r="I5131" s="13"/>
      <c r="J5131" s="13"/>
      <c r="K5131" s="13"/>
      <c r="L5131" s="13"/>
      <c r="M5131" s="13"/>
      <c r="N5131" s="13"/>
      <c r="O5131" s="13"/>
      <c r="P5131" s="13"/>
      <c r="Q5131" s="13"/>
      <c r="R5131" s="13"/>
      <c r="S5131" s="13"/>
      <c r="T5131" s="13"/>
      <c r="U5131" s="13"/>
      <c r="V5131" s="13"/>
      <c r="W5131" s="13"/>
      <c r="X5131" s="13"/>
      <c r="Y5131" s="13"/>
      <c r="Z5131" s="13"/>
    </row>
    <row r="5132" spans="1:26" ht="12" customHeight="1" outlineLevel="4" x14ac:dyDescent="0.2">
      <c r="A5132" s="14" t="s">
        <v>9945</v>
      </c>
      <c r="B5132" s="26" t="s">
        <v>9946</v>
      </c>
      <c r="C5132" s="52"/>
      <c r="D5132" s="55">
        <f t="shared" si="80"/>
        <v>0</v>
      </c>
      <c r="E5132" s="63" t="str">
        <f>HYPERLINK("https://www.sds-group.ru/product/generator-benzinovyy-kr3300-3-3kvt-230v-15l-ruchnoy-starter-kranz-KR-16-1133/", "Инфо")</f>
        <v>Инфо</v>
      </c>
      <c r="F5132" s="16" t="s">
        <v>39</v>
      </c>
      <c r="G5132" s="15"/>
      <c r="H5132" s="15"/>
      <c r="I5132" s="15"/>
      <c r="J5132" s="17">
        <v>1</v>
      </c>
      <c r="K5132" s="15" t="s">
        <v>9947</v>
      </c>
      <c r="L5132" s="17">
        <v>1</v>
      </c>
      <c r="M5132" s="17">
        <v>1</v>
      </c>
      <c r="N5132" s="17">
        <v>1</v>
      </c>
      <c r="O5132" s="18">
        <v>42400</v>
      </c>
      <c r="P5132" s="18">
        <v>34754.1</v>
      </c>
      <c r="Q5132" s="18">
        <v>30528</v>
      </c>
      <c r="R5132" s="18">
        <v>25022.95</v>
      </c>
      <c r="S5132" s="18">
        <v>28832</v>
      </c>
      <c r="T5132" s="18">
        <v>23632.79</v>
      </c>
      <c r="U5132" s="16"/>
      <c r="V5132" s="16"/>
      <c r="W5132" s="16" t="s">
        <v>40</v>
      </c>
      <c r="X5132" s="19">
        <v>45.5</v>
      </c>
      <c r="Y5132" s="20">
        <v>0.14346700000000001</v>
      </c>
      <c r="Z5132" s="21">
        <v>4601004294714</v>
      </c>
    </row>
    <row r="5133" spans="1:26" ht="12" customHeight="1" outlineLevel="4" x14ac:dyDescent="0.2">
      <c r="A5133" s="14" t="s">
        <v>9948</v>
      </c>
      <c r="B5133" s="26" t="s">
        <v>9949</v>
      </c>
      <c r="C5133" s="52"/>
      <c r="D5133" s="55">
        <f t="shared" si="80"/>
        <v>0</v>
      </c>
      <c r="E5133" s="63" t="str">
        <f>HYPERLINK("https://www.sds-group.ru/product/generator-benzinovyy-kr5500ea-5-5kvt-230v-25l-konnektor-avtomatiki-elektrostarter-kranz-KR-16-1135/", "Инфо")</f>
        <v>Инфо</v>
      </c>
      <c r="F5133" s="16" t="s">
        <v>39</v>
      </c>
      <c r="G5133" s="15"/>
      <c r="H5133" s="15"/>
      <c r="I5133" s="15"/>
      <c r="J5133" s="16" t="s">
        <v>100</v>
      </c>
      <c r="K5133" s="15" t="s">
        <v>9950</v>
      </c>
      <c r="L5133" s="17">
        <v>1</v>
      </c>
      <c r="M5133" s="17">
        <v>1</v>
      </c>
      <c r="N5133" s="17">
        <v>1</v>
      </c>
      <c r="O5133" s="18">
        <v>87653.85</v>
      </c>
      <c r="P5133" s="18">
        <v>71847.42</v>
      </c>
      <c r="Q5133" s="18">
        <v>63110.77</v>
      </c>
      <c r="R5133" s="18">
        <v>51730.14</v>
      </c>
      <c r="S5133" s="18">
        <v>59604.62</v>
      </c>
      <c r="T5133" s="18">
        <v>48856.25</v>
      </c>
      <c r="U5133" s="16"/>
      <c r="V5133" s="16"/>
      <c r="W5133" s="16" t="s">
        <v>40</v>
      </c>
      <c r="X5133" s="19">
        <v>82.5</v>
      </c>
      <c r="Y5133" s="20">
        <v>0.21859999999999999</v>
      </c>
      <c r="Z5133" s="21">
        <v>4601004294721</v>
      </c>
    </row>
    <row r="5134" spans="1:26" ht="12" customHeight="1" outlineLevel="4" x14ac:dyDescent="0.2">
      <c r="A5134" s="14" t="s">
        <v>9951</v>
      </c>
      <c r="B5134" s="26" t="s">
        <v>9952</v>
      </c>
      <c r="C5134" s="52"/>
      <c r="D5134" s="55">
        <f t="shared" si="80"/>
        <v>0</v>
      </c>
      <c r="E5134" s="63" t="str">
        <f>HYPERLINK("https://www.sds-group.ru/product/generator-benzinovyy-kr8000-8kvt-230v-25l-ruchnoy-start-kranz-KR-16-1137/", "Инфо")</f>
        <v>Инфо</v>
      </c>
      <c r="F5134" s="16" t="s">
        <v>39</v>
      </c>
      <c r="G5134" s="15"/>
      <c r="H5134" s="15"/>
      <c r="I5134" s="15"/>
      <c r="J5134" s="17">
        <v>10</v>
      </c>
      <c r="K5134" s="15"/>
      <c r="L5134" s="17">
        <v>1</v>
      </c>
      <c r="M5134" s="17">
        <v>1</v>
      </c>
      <c r="N5134" s="17">
        <v>1</v>
      </c>
      <c r="O5134" s="18">
        <v>92750</v>
      </c>
      <c r="P5134" s="18">
        <v>76024.59</v>
      </c>
      <c r="Q5134" s="18">
        <v>66780</v>
      </c>
      <c r="R5134" s="18">
        <v>54737.7</v>
      </c>
      <c r="S5134" s="18">
        <v>63070</v>
      </c>
      <c r="T5134" s="18">
        <v>51696.72</v>
      </c>
      <c r="U5134" s="16"/>
      <c r="V5134" s="16"/>
      <c r="W5134" s="16" t="s">
        <v>40</v>
      </c>
      <c r="X5134" s="19">
        <v>86.951999999999998</v>
      </c>
      <c r="Y5134" s="20">
        <v>0.22242400000000001</v>
      </c>
      <c r="Z5134" s="21">
        <v>4601004294707</v>
      </c>
    </row>
    <row r="5135" spans="1:26" ht="12" customHeight="1" outlineLevel="4" x14ac:dyDescent="0.2">
      <c r="A5135" s="40" t="s">
        <v>9953</v>
      </c>
      <c r="B5135" s="75" t="s">
        <v>9954</v>
      </c>
      <c r="C5135" s="51"/>
      <c r="D5135" s="54">
        <f t="shared" si="80"/>
        <v>0</v>
      </c>
      <c r="E5135" s="61" t="str">
        <f>HYPERLINK("https://www.sds-group.ru/product/generator-benzinovyy-kr8000ea-8kvt-25l-konnektor-avtomatiki-elektrostarter-kranz-KR-16-1139/", "Инфо")</f>
        <v>Инфо</v>
      </c>
      <c r="F5135" s="42" t="s">
        <v>39</v>
      </c>
      <c r="G5135" s="41" t="s">
        <v>40</v>
      </c>
      <c r="H5135" s="41"/>
      <c r="I5135" s="41"/>
      <c r="J5135" s="43">
        <v>1</v>
      </c>
      <c r="K5135" s="41" t="s">
        <v>9950</v>
      </c>
      <c r="L5135" s="43">
        <v>1</v>
      </c>
      <c r="M5135" s="43">
        <v>1</v>
      </c>
      <c r="N5135" s="43">
        <v>1</v>
      </c>
      <c r="O5135" s="44">
        <v>119616.93</v>
      </c>
      <c r="P5135" s="44">
        <v>98046.66</v>
      </c>
      <c r="Q5135" s="44">
        <v>86124.19</v>
      </c>
      <c r="R5135" s="44">
        <v>70593.600000000006</v>
      </c>
      <c r="S5135" s="44">
        <v>81339.509999999995</v>
      </c>
      <c r="T5135" s="44">
        <v>66671.73</v>
      </c>
      <c r="U5135" s="42"/>
      <c r="V5135" s="42"/>
      <c r="W5135" s="42" t="s">
        <v>40</v>
      </c>
      <c r="X5135" s="45">
        <v>82.1</v>
      </c>
      <c r="Y5135" s="46">
        <v>0.23141999999999999</v>
      </c>
      <c r="Z5135" s="21">
        <v>4601004332331</v>
      </c>
    </row>
    <row r="5136" spans="1:26" ht="12" customHeight="1" outlineLevel="4" x14ac:dyDescent="0.2">
      <c r="A5136" s="40" t="s">
        <v>9955</v>
      </c>
      <c r="B5136" s="75" t="s">
        <v>9956</v>
      </c>
      <c r="C5136" s="51"/>
      <c r="D5136" s="54">
        <f t="shared" si="80"/>
        <v>0</v>
      </c>
      <c r="E5136" s="61" t="str">
        <f>HYPERLINK("https://www.sds-group.ru/product/generator-benzinovyy-kr9000ea-3-9kvt-230v-380v-25l-konnektor-avtomatiki-elektrostarter-kr-KR-16-1140/", "Инфо")</f>
        <v>Инфо</v>
      </c>
      <c r="F5136" s="42" t="s">
        <v>39</v>
      </c>
      <c r="G5136" s="41" t="s">
        <v>40</v>
      </c>
      <c r="H5136" s="41"/>
      <c r="I5136" s="41"/>
      <c r="J5136" s="42" t="s">
        <v>100</v>
      </c>
      <c r="K5136" s="41" t="s">
        <v>9950</v>
      </c>
      <c r="L5136" s="43">
        <v>1</v>
      </c>
      <c r="M5136" s="43">
        <v>1</v>
      </c>
      <c r="N5136" s="43">
        <v>1</v>
      </c>
      <c r="O5136" s="44">
        <v>148391.51999999999</v>
      </c>
      <c r="P5136" s="44">
        <v>121632.39</v>
      </c>
      <c r="Q5136" s="44">
        <v>106841.89</v>
      </c>
      <c r="R5136" s="44">
        <v>87575.32</v>
      </c>
      <c r="S5136" s="44">
        <v>100906.23</v>
      </c>
      <c r="T5136" s="44">
        <v>82710.02</v>
      </c>
      <c r="U5136" s="42"/>
      <c r="V5136" s="42"/>
      <c r="W5136" s="42" t="s">
        <v>40</v>
      </c>
      <c r="X5136" s="45">
        <v>85.2</v>
      </c>
      <c r="Y5136" s="46">
        <v>0.23141999999999999</v>
      </c>
      <c r="Z5136" s="21">
        <v>4601004332348</v>
      </c>
    </row>
    <row r="5137" spans="1:26" ht="12" customHeight="1" outlineLevel="4" x14ac:dyDescent="0.2">
      <c r="A5137" s="14" t="s">
        <v>9957</v>
      </c>
      <c r="B5137" s="26" t="s">
        <v>9958</v>
      </c>
      <c r="C5137" s="52"/>
      <c r="D5137" s="55">
        <f t="shared" si="80"/>
        <v>0</v>
      </c>
      <c r="E5137" s="63" t="str">
        <f>HYPERLINK("https://www.sds-group.ru/product/generator-benzinovyy-kr9000ea-9-0kvt-230v-25l-konnektor-avtomatiki-elektrostarter-kranz-KR-16-1138/", "Инфо")</f>
        <v>Инфо</v>
      </c>
      <c r="F5137" s="16" t="s">
        <v>39</v>
      </c>
      <c r="G5137" s="15"/>
      <c r="H5137" s="15"/>
      <c r="I5137" s="15"/>
      <c r="J5137" s="16" t="s">
        <v>100</v>
      </c>
      <c r="K5137" s="15" t="s">
        <v>9950</v>
      </c>
      <c r="L5137" s="17">
        <v>1</v>
      </c>
      <c r="M5137" s="17">
        <v>1</v>
      </c>
      <c r="N5137" s="17">
        <v>1</v>
      </c>
      <c r="O5137" s="18">
        <v>126955.39</v>
      </c>
      <c r="P5137" s="18">
        <v>104061.8</v>
      </c>
      <c r="Q5137" s="18">
        <v>91407.88</v>
      </c>
      <c r="R5137" s="18">
        <v>74924.490000000005</v>
      </c>
      <c r="S5137" s="18">
        <v>86329.67</v>
      </c>
      <c r="T5137" s="18">
        <v>70762.02</v>
      </c>
      <c r="U5137" s="16"/>
      <c r="V5137" s="16"/>
      <c r="W5137" s="16" t="s">
        <v>40</v>
      </c>
      <c r="X5137" s="19">
        <v>87.55</v>
      </c>
      <c r="Y5137" s="20">
        <v>0.21862699999999999</v>
      </c>
      <c r="Z5137" s="21">
        <v>4601004289536</v>
      </c>
    </row>
    <row r="5138" spans="1:26" ht="12.95" customHeight="1" outlineLevel="3" x14ac:dyDescent="0.2">
      <c r="A5138" s="76" t="s">
        <v>9959</v>
      </c>
      <c r="B5138" s="76"/>
      <c r="C5138" s="77"/>
      <c r="D5138" s="58"/>
      <c r="E5138" s="68"/>
      <c r="F5138" s="13"/>
      <c r="G5138" s="13"/>
      <c r="H5138" s="13"/>
      <c r="I5138" s="13"/>
      <c r="J5138" s="13"/>
      <c r="K5138" s="13"/>
      <c r="L5138" s="13"/>
      <c r="M5138" s="13"/>
      <c r="N5138" s="13"/>
      <c r="O5138" s="13"/>
      <c r="P5138" s="13"/>
      <c r="Q5138" s="13"/>
      <c r="R5138" s="13"/>
      <c r="S5138" s="13"/>
      <c r="T5138" s="13"/>
      <c r="U5138" s="13"/>
      <c r="V5138" s="13"/>
      <c r="W5138" s="13"/>
      <c r="X5138" s="13"/>
      <c r="Y5138" s="13"/>
      <c r="Z5138" s="13"/>
    </row>
    <row r="5139" spans="1:26" ht="12" customHeight="1" outlineLevel="4" x14ac:dyDescent="0.2">
      <c r="A5139" s="40" t="s">
        <v>9960</v>
      </c>
      <c r="B5139" s="75" t="s">
        <v>9961</v>
      </c>
      <c r="C5139" s="51"/>
      <c r="D5139" s="54">
        <f t="shared" si="80"/>
        <v>0</v>
      </c>
      <c r="E5139" s="61" t="str">
        <f>HYPERLINK("https://www.sds-group.ru/product/generator-invertornyy-kr1200i-1-2kvt-230v-2l-zakrytyy-korpus-ruchnoy-start-kranz-KR-16-1145/", "Инфо")</f>
        <v>Инфо</v>
      </c>
      <c r="F5139" s="42" t="s">
        <v>39</v>
      </c>
      <c r="G5139" s="41" t="s">
        <v>40</v>
      </c>
      <c r="H5139" s="41"/>
      <c r="I5139" s="41"/>
      <c r="J5139" s="43">
        <v>5</v>
      </c>
      <c r="K5139" s="41" t="s">
        <v>9950</v>
      </c>
      <c r="L5139" s="43">
        <v>1</v>
      </c>
      <c r="M5139" s="43">
        <v>1</v>
      </c>
      <c r="N5139" s="43">
        <v>1</v>
      </c>
      <c r="O5139" s="44">
        <v>39342.300000000003</v>
      </c>
      <c r="P5139" s="44">
        <v>32247.79</v>
      </c>
      <c r="Q5139" s="44">
        <v>28326.46</v>
      </c>
      <c r="R5139" s="44">
        <v>23218.41</v>
      </c>
      <c r="S5139" s="44">
        <v>26752.76</v>
      </c>
      <c r="T5139" s="44">
        <v>21928.49</v>
      </c>
      <c r="U5139" s="42"/>
      <c r="V5139" s="42"/>
      <c r="W5139" s="42" t="s">
        <v>40</v>
      </c>
      <c r="X5139" s="45">
        <v>15.086</v>
      </c>
      <c r="Y5139" s="46">
        <v>6.4368999999999996E-2</v>
      </c>
      <c r="Z5139" s="21">
        <v>4601004332379</v>
      </c>
    </row>
    <row r="5140" spans="1:26" ht="12" customHeight="1" outlineLevel="4" x14ac:dyDescent="0.2">
      <c r="A5140" s="14" t="s">
        <v>9962</v>
      </c>
      <c r="B5140" s="26" t="s">
        <v>9963</v>
      </c>
      <c r="C5140" s="52"/>
      <c r="D5140" s="55">
        <f t="shared" si="80"/>
        <v>0</v>
      </c>
      <c r="E5140" s="63" t="str">
        <f>HYPERLINK("https://www.sds-group.ru/product/generator-invertornyy-kr2200i-2-2kvt-230v-4l-zakrytyy-korpus-ruchnoy-start-kranz-KR-16-1141/", "Инфо")</f>
        <v>Инфо</v>
      </c>
      <c r="F5140" s="16" t="s">
        <v>39</v>
      </c>
      <c r="G5140" s="15"/>
      <c r="H5140" s="15"/>
      <c r="I5140" s="15"/>
      <c r="J5140" s="16" t="s">
        <v>100</v>
      </c>
      <c r="K5140" s="15" t="s">
        <v>2750</v>
      </c>
      <c r="L5140" s="17">
        <v>1</v>
      </c>
      <c r="M5140" s="17">
        <v>1</v>
      </c>
      <c r="N5140" s="17">
        <v>1</v>
      </c>
      <c r="O5140" s="18">
        <v>54019.23</v>
      </c>
      <c r="P5140" s="18">
        <v>44278.06</v>
      </c>
      <c r="Q5140" s="18">
        <v>38893.85</v>
      </c>
      <c r="R5140" s="18">
        <v>31880.2</v>
      </c>
      <c r="S5140" s="18">
        <v>36733.08</v>
      </c>
      <c r="T5140" s="18">
        <v>30109.08</v>
      </c>
      <c r="U5140" s="16"/>
      <c r="V5140" s="16"/>
      <c r="W5140" s="16" t="s">
        <v>40</v>
      </c>
      <c r="X5140" s="19">
        <v>21.919</v>
      </c>
      <c r="Y5140" s="20">
        <v>0.102579</v>
      </c>
      <c r="Z5140" s="21">
        <v>4601004294691</v>
      </c>
    </row>
    <row r="5141" spans="1:26" ht="12" customHeight="1" outlineLevel="4" x14ac:dyDescent="0.2">
      <c r="A5141" s="14" t="s">
        <v>9964</v>
      </c>
      <c r="B5141" s="26" t="s">
        <v>9965</v>
      </c>
      <c r="C5141" s="52"/>
      <c r="D5141" s="55">
        <f t="shared" si="80"/>
        <v>0</v>
      </c>
      <c r="E5141" s="63" t="str">
        <f>HYPERLINK("https://www.sds-group.ru/product/generator-invertornyy-kr2500io-2-5kvt-230v-7l-otkrytyy-korpus-ruchnoy-start-kranz-KR-16-1142/", "Инфо")</f>
        <v>Инфо</v>
      </c>
      <c r="F5141" s="16" t="s">
        <v>39</v>
      </c>
      <c r="G5141" s="15"/>
      <c r="H5141" s="15"/>
      <c r="I5141" s="15"/>
      <c r="J5141" s="16" t="s">
        <v>100</v>
      </c>
      <c r="K5141" s="15" t="s">
        <v>9947</v>
      </c>
      <c r="L5141" s="17">
        <v>1</v>
      </c>
      <c r="M5141" s="17">
        <v>1</v>
      </c>
      <c r="N5141" s="17">
        <v>1</v>
      </c>
      <c r="O5141" s="18">
        <v>42807.69</v>
      </c>
      <c r="P5141" s="18">
        <v>35088.269999999997</v>
      </c>
      <c r="Q5141" s="18">
        <v>30821.54</v>
      </c>
      <c r="R5141" s="18">
        <v>25263.56</v>
      </c>
      <c r="S5141" s="18">
        <v>29109.23</v>
      </c>
      <c r="T5141" s="18">
        <v>23860.02</v>
      </c>
      <c r="U5141" s="16"/>
      <c r="V5141" s="16"/>
      <c r="W5141" s="16" t="s">
        <v>40</v>
      </c>
      <c r="X5141" s="19">
        <v>27.698</v>
      </c>
      <c r="Y5141" s="20">
        <v>9.3231999999999995E-2</v>
      </c>
      <c r="Z5141" s="21">
        <v>4601004292437</v>
      </c>
    </row>
    <row r="5142" spans="1:26" ht="12" customHeight="1" outlineLevel="4" x14ac:dyDescent="0.2">
      <c r="A5142" s="14" t="s">
        <v>9966</v>
      </c>
      <c r="B5142" s="26" t="s">
        <v>9967</v>
      </c>
      <c r="C5142" s="52"/>
      <c r="D5142" s="55">
        <f t="shared" si="80"/>
        <v>0</v>
      </c>
      <c r="E5142" s="63" t="str">
        <f>HYPERLINK("https://www.sds-group.ru/product/generator-invertornyy-kr3500io-3-5kvt-230v-7l-otkrytyy-korpus-ruchnoy-start-kranz-KR-16-1143/", "Инфо")</f>
        <v>Инфо</v>
      </c>
      <c r="F5142" s="16" t="s">
        <v>39</v>
      </c>
      <c r="G5142" s="15"/>
      <c r="H5142" s="15"/>
      <c r="I5142" s="15"/>
      <c r="J5142" s="16" t="s">
        <v>100</v>
      </c>
      <c r="K5142" s="15" t="s">
        <v>9950</v>
      </c>
      <c r="L5142" s="17">
        <v>1</v>
      </c>
      <c r="M5142" s="17">
        <v>1</v>
      </c>
      <c r="N5142" s="17">
        <v>1</v>
      </c>
      <c r="O5142" s="18">
        <v>50635.37</v>
      </c>
      <c r="P5142" s="18">
        <v>41504.400000000001</v>
      </c>
      <c r="Q5142" s="18">
        <v>36457.47</v>
      </c>
      <c r="R5142" s="18">
        <v>29883.17</v>
      </c>
      <c r="S5142" s="18">
        <v>34432.050000000003</v>
      </c>
      <c r="T5142" s="18">
        <v>28222.99</v>
      </c>
      <c r="U5142" s="16"/>
      <c r="V5142" s="16"/>
      <c r="W5142" s="16" t="s">
        <v>40</v>
      </c>
      <c r="X5142" s="19">
        <v>28.318999999999999</v>
      </c>
      <c r="Y5142" s="20">
        <v>8.9004E-2</v>
      </c>
      <c r="Z5142" s="21">
        <v>4601004292444</v>
      </c>
    </row>
    <row r="5143" spans="1:26" ht="12" customHeight="1" outlineLevel="4" x14ac:dyDescent="0.2">
      <c r="A5143" s="40" t="s">
        <v>9968</v>
      </c>
      <c r="B5143" s="75" t="s">
        <v>9969</v>
      </c>
      <c r="C5143" s="51"/>
      <c r="D5143" s="54">
        <f t="shared" si="80"/>
        <v>0</v>
      </c>
      <c r="E5143" s="61" t="str">
        <f>HYPERLINK("https://www.sds-group.ru/product/generator-invertornyy-kr5500ie-5-5kvt-230v-10l-zakrytyy-korpus-elektrostarter-kranz-KR-16-1146/", "Инфо")</f>
        <v>Инфо</v>
      </c>
      <c r="F5143" s="42" t="s">
        <v>39</v>
      </c>
      <c r="G5143" s="41" t="s">
        <v>40</v>
      </c>
      <c r="H5143" s="41"/>
      <c r="I5143" s="41"/>
      <c r="J5143" s="42" t="s">
        <v>100</v>
      </c>
      <c r="K5143" s="41" t="s">
        <v>9950</v>
      </c>
      <c r="L5143" s="43">
        <v>1</v>
      </c>
      <c r="M5143" s="43">
        <v>1</v>
      </c>
      <c r="N5143" s="43">
        <v>1</v>
      </c>
      <c r="O5143" s="44">
        <v>128423.08</v>
      </c>
      <c r="P5143" s="44">
        <v>105264.82</v>
      </c>
      <c r="Q5143" s="44">
        <v>92464.62</v>
      </c>
      <c r="R5143" s="44">
        <v>75790.67</v>
      </c>
      <c r="S5143" s="44">
        <v>87327.69</v>
      </c>
      <c r="T5143" s="44">
        <v>71580.070000000007</v>
      </c>
      <c r="U5143" s="42"/>
      <c r="V5143" s="42"/>
      <c r="W5143" s="42" t="s">
        <v>40</v>
      </c>
      <c r="X5143" s="45">
        <v>45.1</v>
      </c>
      <c r="Y5143" s="46">
        <v>0.17385</v>
      </c>
      <c r="Z5143" s="21">
        <v>4601004332355</v>
      </c>
    </row>
    <row r="5144" spans="1:26" ht="12.95" customHeight="1" outlineLevel="3" x14ac:dyDescent="0.2">
      <c r="A5144" s="76" t="s">
        <v>9970</v>
      </c>
      <c r="B5144" s="76"/>
      <c r="C5144" s="77"/>
      <c r="D5144" s="58"/>
      <c r="E5144" s="68"/>
      <c r="F5144" s="13"/>
      <c r="G5144" s="13"/>
      <c r="H5144" s="13"/>
      <c r="I5144" s="13"/>
      <c r="J5144" s="13"/>
      <c r="K5144" s="13"/>
      <c r="L5144" s="13"/>
      <c r="M5144" s="13"/>
      <c r="N5144" s="13"/>
      <c r="O5144" s="13"/>
      <c r="P5144" s="13"/>
      <c r="Q5144" s="13"/>
      <c r="R5144" s="13"/>
      <c r="S5144" s="13"/>
      <c r="T5144" s="13"/>
      <c r="U5144" s="13"/>
      <c r="V5144" s="13"/>
      <c r="W5144" s="13"/>
      <c r="X5144" s="13"/>
      <c r="Y5144" s="13"/>
      <c r="Z5144" s="13"/>
    </row>
    <row r="5145" spans="1:26" ht="12" customHeight="1" outlineLevel="4" x14ac:dyDescent="0.2">
      <c r="A5145" s="40" t="s">
        <v>9971</v>
      </c>
      <c r="B5145" s="75" t="s">
        <v>9972</v>
      </c>
      <c r="C5145" s="51"/>
      <c r="D5145" s="54">
        <f t="shared" si="80"/>
        <v>0</v>
      </c>
      <c r="E5145" s="61" t="str">
        <f>HYPERLINK("https://www.sds-group.ru/product/generator-dizelnyy-kr8500dea-8-5kvt-230v-16l-konnektor-avtomatiki-elektrostarter-kranz-KR-16-1315/", "Инфо")</f>
        <v>Инфо</v>
      </c>
      <c r="F5145" s="42" t="s">
        <v>39</v>
      </c>
      <c r="G5145" s="41" t="s">
        <v>40</v>
      </c>
      <c r="H5145" s="41"/>
      <c r="I5145" s="41"/>
      <c r="J5145" s="42" t="s">
        <v>100</v>
      </c>
      <c r="K5145" s="41" t="s">
        <v>1266</v>
      </c>
      <c r="L5145" s="43">
        <v>1</v>
      </c>
      <c r="M5145" s="43">
        <v>1</v>
      </c>
      <c r="N5145" s="43">
        <v>1</v>
      </c>
      <c r="O5145" s="44">
        <v>193735.38</v>
      </c>
      <c r="P5145" s="44">
        <v>158799.49</v>
      </c>
      <c r="Q5145" s="44">
        <v>139489.47</v>
      </c>
      <c r="R5145" s="44">
        <v>114335.63</v>
      </c>
      <c r="S5145" s="44">
        <v>131740.06</v>
      </c>
      <c r="T5145" s="44">
        <v>107983.66</v>
      </c>
      <c r="U5145" s="42"/>
      <c r="V5145" s="42"/>
      <c r="W5145" s="42" t="s">
        <v>40</v>
      </c>
      <c r="X5145" s="45">
        <v>135</v>
      </c>
      <c r="Y5145" s="46">
        <v>0.33650000000000002</v>
      </c>
      <c r="Z5145" s="21">
        <v>4601004343559</v>
      </c>
    </row>
    <row r="5146" spans="1:26" ht="12.95" customHeight="1" outlineLevel="2" x14ac:dyDescent="0.2">
      <c r="A5146" s="76" t="s">
        <v>9973</v>
      </c>
      <c r="B5146" s="76"/>
      <c r="C5146" s="77"/>
      <c r="D5146" s="58"/>
      <c r="E5146" s="68"/>
      <c r="F5146" s="13"/>
      <c r="G5146" s="13"/>
      <c r="H5146" s="13"/>
      <c r="I5146" s="13"/>
      <c r="J5146" s="13"/>
      <c r="K5146" s="13"/>
      <c r="L5146" s="13"/>
      <c r="M5146" s="13"/>
      <c r="N5146" s="13"/>
      <c r="O5146" s="13"/>
      <c r="P5146" s="13"/>
      <c r="Q5146" s="13"/>
      <c r="R5146" s="13"/>
      <c r="S5146" s="13"/>
      <c r="T5146" s="13"/>
      <c r="U5146" s="13"/>
      <c r="V5146" s="13"/>
      <c r="W5146" s="13"/>
      <c r="X5146" s="13"/>
      <c r="Y5146" s="13"/>
      <c r="Z5146" s="13"/>
    </row>
    <row r="5147" spans="1:26" ht="12.95" customHeight="1" outlineLevel="3" x14ac:dyDescent="0.2">
      <c r="A5147" s="76" t="s">
        <v>9974</v>
      </c>
      <c r="B5147" s="76"/>
      <c r="C5147" s="77"/>
      <c r="D5147" s="58"/>
      <c r="E5147" s="68"/>
      <c r="F5147" s="13"/>
      <c r="G5147" s="13"/>
      <c r="H5147" s="13"/>
      <c r="I5147" s="13"/>
      <c r="J5147" s="13"/>
      <c r="K5147" s="13"/>
      <c r="L5147" s="13"/>
      <c r="M5147" s="13"/>
      <c r="N5147" s="13"/>
      <c r="O5147" s="13"/>
      <c r="P5147" s="13"/>
      <c r="Q5147" s="13"/>
      <c r="R5147" s="13"/>
      <c r="S5147" s="13"/>
      <c r="T5147" s="13"/>
      <c r="U5147" s="13"/>
      <c r="V5147" s="13"/>
      <c r="W5147" s="13"/>
      <c r="X5147" s="13"/>
      <c r="Y5147" s="13"/>
      <c r="Z5147" s="13"/>
    </row>
    <row r="5148" spans="1:26" ht="12" customHeight="1" outlineLevel="4" x14ac:dyDescent="0.2">
      <c r="A5148" s="14" t="s">
        <v>9975</v>
      </c>
      <c r="B5148" s="26" t="s">
        <v>9976</v>
      </c>
      <c r="C5148" s="52"/>
      <c r="D5148" s="55">
        <f t="shared" si="80"/>
        <v>0</v>
      </c>
      <c r="E5148" s="63" t="str">
        <f>HYPERLINK("https://www.sds-group.ru/product/kompressor-vozdushnyy-kr-1500-24-1500vt-230-l-min-24l-kranz-KR-16-1151/", "Инфо")</f>
        <v>Инфо</v>
      </c>
      <c r="F5148" s="16" t="s">
        <v>39</v>
      </c>
      <c r="G5148" s="15"/>
      <c r="H5148" s="15"/>
      <c r="I5148" s="15"/>
      <c r="J5148" s="17">
        <v>81</v>
      </c>
      <c r="K5148" s="15" t="s">
        <v>925</v>
      </c>
      <c r="L5148" s="17">
        <v>1</v>
      </c>
      <c r="M5148" s="17">
        <v>1</v>
      </c>
      <c r="N5148" s="17">
        <v>1</v>
      </c>
      <c r="O5148" s="18">
        <v>17734.61</v>
      </c>
      <c r="P5148" s="18">
        <v>14536.57</v>
      </c>
      <c r="Q5148" s="18">
        <v>12768.92</v>
      </c>
      <c r="R5148" s="18">
        <v>10466.33</v>
      </c>
      <c r="S5148" s="18">
        <v>12059.53</v>
      </c>
      <c r="T5148" s="18">
        <v>9884.86</v>
      </c>
      <c r="U5148" s="16"/>
      <c r="V5148" s="16"/>
      <c r="W5148" s="16" t="s">
        <v>40</v>
      </c>
      <c r="X5148" s="19">
        <v>19.498000000000001</v>
      </c>
      <c r="Y5148" s="20">
        <v>7.4126999999999998E-2</v>
      </c>
      <c r="Z5148" s="21">
        <v>4601004293144</v>
      </c>
    </row>
    <row r="5149" spans="1:26" ht="12" customHeight="1" outlineLevel="4" x14ac:dyDescent="0.2">
      <c r="A5149" s="14" t="s">
        <v>9977</v>
      </c>
      <c r="B5149" s="26" t="s">
        <v>9978</v>
      </c>
      <c r="C5149" s="52"/>
      <c r="D5149" s="55">
        <f t="shared" si="80"/>
        <v>0</v>
      </c>
      <c r="E5149" s="63" t="str">
        <f>HYPERLINK("https://www.sds-group.ru/product/kompressor-vozdushnyy-kr-1500-50-1500vt-280-l-min-50l-kranz-KR-16-1152/", "Инфо")</f>
        <v>Инфо</v>
      </c>
      <c r="F5149" s="16" t="s">
        <v>39</v>
      </c>
      <c r="G5149" s="15"/>
      <c r="H5149" s="15"/>
      <c r="I5149" s="15"/>
      <c r="J5149" s="17">
        <v>48</v>
      </c>
      <c r="K5149" s="15" t="s">
        <v>925</v>
      </c>
      <c r="L5149" s="17">
        <v>1</v>
      </c>
      <c r="M5149" s="17">
        <v>1</v>
      </c>
      <c r="N5149" s="17">
        <v>1</v>
      </c>
      <c r="O5149" s="18">
        <v>23305.74</v>
      </c>
      <c r="P5149" s="18">
        <v>19103.07</v>
      </c>
      <c r="Q5149" s="18">
        <v>16780.13</v>
      </c>
      <c r="R5149" s="18">
        <v>13754.2</v>
      </c>
      <c r="S5149" s="18">
        <v>15847.9</v>
      </c>
      <c r="T5149" s="18">
        <v>12990.08</v>
      </c>
      <c r="U5149" s="16"/>
      <c r="V5149" s="16"/>
      <c r="W5149" s="16" t="s">
        <v>40</v>
      </c>
      <c r="X5149" s="19">
        <v>29.564</v>
      </c>
      <c r="Y5149" s="20">
        <v>0.139296</v>
      </c>
      <c r="Z5149" s="21">
        <v>4601004293175</v>
      </c>
    </row>
    <row r="5150" spans="1:26" ht="12" customHeight="1" outlineLevel="4" x14ac:dyDescent="0.2">
      <c r="A5150" s="14" t="s">
        <v>9979</v>
      </c>
      <c r="B5150" s="26" t="s">
        <v>9980</v>
      </c>
      <c r="C5150" s="52"/>
      <c r="D5150" s="55">
        <f t="shared" si="80"/>
        <v>0</v>
      </c>
      <c r="E5150" s="63" t="str">
        <f>HYPERLINK("https://www.sds-group.ru/product/kompressor-vozdushnyy-kr-2200-50-2200vt-400-l-min-50l-kranz-KR-16-1153/", "Инфо")</f>
        <v>Инфо</v>
      </c>
      <c r="F5150" s="16" t="s">
        <v>39</v>
      </c>
      <c r="G5150" s="15"/>
      <c r="H5150" s="15"/>
      <c r="I5150" s="15"/>
      <c r="J5150" s="17">
        <v>5</v>
      </c>
      <c r="K5150" s="15" t="s">
        <v>925</v>
      </c>
      <c r="L5150" s="17">
        <v>1</v>
      </c>
      <c r="M5150" s="17">
        <v>1</v>
      </c>
      <c r="N5150" s="17">
        <v>1</v>
      </c>
      <c r="O5150" s="18">
        <v>34348.080000000002</v>
      </c>
      <c r="P5150" s="18">
        <v>28154.16</v>
      </c>
      <c r="Q5150" s="18">
        <v>24730.62</v>
      </c>
      <c r="R5150" s="18">
        <v>20271</v>
      </c>
      <c r="S5150" s="18">
        <v>23356.69</v>
      </c>
      <c r="T5150" s="18">
        <v>19144.830000000002</v>
      </c>
      <c r="U5150" s="16"/>
      <c r="V5150" s="16"/>
      <c r="W5150" s="16" t="s">
        <v>40</v>
      </c>
      <c r="X5150" s="19">
        <v>37.021000000000001</v>
      </c>
      <c r="Y5150" s="20">
        <v>0.18318699999999999</v>
      </c>
      <c r="Z5150" s="21">
        <v>4601004293168</v>
      </c>
    </row>
    <row r="5151" spans="1:26" ht="12" customHeight="1" outlineLevel="4" x14ac:dyDescent="0.2">
      <c r="A5151" s="14" t="s">
        <v>9981</v>
      </c>
      <c r="B5151" s="26" t="s">
        <v>9982</v>
      </c>
      <c r="C5151" s="52"/>
      <c r="D5151" s="55">
        <f t="shared" si="80"/>
        <v>0</v>
      </c>
      <c r="E5151" s="63" t="str">
        <f>HYPERLINK("https://www.sds-group.ru/product/kompressor-vozdushnyy-bezmaslyanyy-kr-850-10-850vt-140-l-min-10l-kranz-KR-16-1161/", "Инфо")</f>
        <v>Инфо</v>
      </c>
      <c r="F5151" s="16" t="s">
        <v>39</v>
      </c>
      <c r="G5151" s="15"/>
      <c r="H5151" s="15"/>
      <c r="I5151" s="15"/>
      <c r="J5151" s="17">
        <v>48</v>
      </c>
      <c r="K5151" s="15" t="s">
        <v>925</v>
      </c>
      <c r="L5151" s="17">
        <v>1</v>
      </c>
      <c r="M5151" s="17">
        <v>1</v>
      </c>
      <c r="N5151" s="17">
        <v>1</v>
      </c>
      <c r="O5151" s="18">
        <v>16864.2</v>
      </c>
      <c r="P5151" s="18">
        <v>13823.11</v>
      </c>
      <c r="Q5151" s="18">
        <v>12142.22</v>
      </c>
      <c r="R5151" s="18">
        <v>9952.64</v>
      </c>
      <c r="S5151" s="18">
        <v>11467.66</v>
      </c>
      <c r="T5151" s="18">
        <v>9399.7199999999993</v>
      </c>
      <c r="U5151" s="16"/>
      <c r="V5151" s="16"/>
      <c r="W5151" s="16" t="s">
        <v>40</v>
      </c>
      <c r="X5151" s="19">
        <v>13.464</v>
      </c>
      <c r="Y5151" s="20">
        <v>3.7508E-2</v>
      </c>
      <c r="Z5151" s="21">
        <v>4601004310971</v>
      </c>
    </row>
    <row r="5152" spans="1:26" ht="12.95" customHeight="1" outlineLevel="3" x14ac:dyDescent="0.2">
      <c r="A5152" s="76" t="s">
        <v>9983</v>
      </c>
      <c r="B5152" s="76"/>
      <c r="C5152" s="77"/>
      <c r="D5152" s="58"/>
      <c r="E5152" s="68"/>
      <c r="F5152" s="13"/>
      <c r="G5152" s="13"/>
      <c r="H5152" s="13"/>
      <c r="I5152" s="13"/>
      <c r="J5152" s="13"/>
      <c r="K5152" s="13"/>
      <c r="L5152" s="13"/>
      <c r="M5152" s="13"/>
      <c r="N5152" s="13"/>
      <c r="O5152" s="13"/>
      <c r="P5152" s="13"/>
      <c r="Q5152" s="13"/>
      <c r="R5152" s="13"/>
      <c r="S5152" s="13"/>
      <c r="T5152" s="13"/>
      <c r="U5152" s="13"/>
      <c r="V5152" s="13"/>
      <c r="W5152" s="13"/>
      <c r="X5152" s="13"/>
      <c r="Y5152" s="13"/>
      <c r="Z5152" s="13"/>
    </row>
    <row r="5153" spans="1:26" ht="12" customHeight="1" outlineLevel="4" x14ac:dyDescent="0.2">
      <c r="A5153" s="14" t="s">
        <v>9984</v>
      </c>
      <c r="B5153" s="26" t="s">
        <v>9985</v>
      </c>
      <c r="C5153" s="52"/>
      <c r="D5153" s="55">
        <f t="shared" si="80"/>
        <v>0</v>
      </c>
      <c r="E5153" s="63" t="str">
        <f>HYPERLINK("https://www.sds-group.ru/product/nabor-pnevmoinstrumentov-kranz-KR-16-1400/", "Инфо")</f>
        <v>Инфо</v>
      </c>
      <c r="F5153" s="16" t="s">
        <v>39</v>
      </c>
      <c r="G5153" s="15"/>
      <c r="H5153" s="15"/>
      <c r="I5153" s="15"/>
      <c r="J5153" s="22">
        <v>1740</v>
      </c>
      <c r="K5153" s="15" t="s">
        <v>9986</v>
      </c>
      <c r="L5153" s="17">
        <v>1</v>
      </c>
      <c r="M5153" s="17">
        <v>5</v>
      </c>
      <c r="N5153" s="17">
        <v>1</v>
      </c>
      <c r="O5153" s="18">
        <v>4021.01</v>
      </c>
      <c r="P5153" s="18">
        <v>3295.91</v>
      </c>
      <c r="Q5153" s="18">
        <v>2814.71</v>
      </c>
      <c r="R5153" s="18">
        <v>2307.14</v>
      </c>
      <c r="S5153" s="18">
        <v>2734.29</v>
      </c>
      <c r="T5153" s="18">
        <v>2241.2199999999998</v>
      </c>
      <c r="U5153" s="16"/>
      <c r="V5153" s="16"/>
      <c r="W5153" s="16"/>
      <c r="X5153" s="19">
        <v>1.8560000000000001</v>
      </c>
      <c r="Y5153" s="20">
        <v>1.6562E-2</v>
      </c>
      <c r="Z5153" s="21">
        <v>4601004317239</v>
      </c>
    </row>
    <row r="5154" spans="1:26" ht="12" customHeight="1" outlineLevel="4" x14ac:dyDescent="0.2">
      <c r="A5154" s="14" t="s">
        <v>9987</v>
      </c>
      <c r="B5154" s="26" t="s">
        <v>9988</v>
      </c>
      <c r="C5154" s="52"/>
      <c r="D5154" s="55">
        <f t="shared" si="80"/>
        <v>0</v>
      </c>
      <c r="E5154" s="63" t="str">
        <f>HYPERLINK("https://www.sds-group.ru/product/pistolet-dlya-antigraviynyh-i-antikorroziynyh-sostavov-s-gibkim-i-pryamym-soplom-regulyat-KR-16-1403/", "Инфо")</f>
        <v>Инфо</v>
      </c>
      <c r="F5154" s="16" t="s">
        <v>39</v>
      </c>
      <c r="G5154" s="15"/>
      <c r="H5154" s="15"/>
      <c r="I5154" s="15"/>
      <c r="J5154" s="17">
        <v>262</v>
      </c>
      <c r="K5154" s="15" t="s">
        <v>9986</v>
      </c>
      <c r="L5154" s="17">
        <v>1</v>
      </c>
      <c r="M5154" s="17">
        <v>20</v>
      </c>
      <c r="N5154" s="17">
        <v>1</v>
      </c>
      <c r="O5154" s="18">
        <v>1455.33</v>
      </c>
      <c r="P5154" s="18">
        <v>1192.8900000000001</v>
      </c>
      <c r="Q5154" s="18">
        <v>1018.73</v>
      </c>
      <c r="R5154" s="18">
        <v>835.02</v>
      </c>
      <c r="S5154" s="18">
        <v>989.62</v>
      </c>
      <c r="T5154" s="18">
        <v>811.16</v>
      </c>
      <c r="U5154" s="16"/>
      <c r="V5154" s="16"/>
      <c r="W5154" s="16"/>
      <c r="X5154" s="19">
        <v>0.42199999999999999</v>
      </c>
      <c r="Y5154" s="20">
        <v>3.405E-3</v>
      </c>
      <c r="Z5154" s="21">
        <v>4601004317246</v>
      </c>
    </row>
    <row r="5155" spans="1:26" ht="12" customHeight="1" outlineLevel="4" x14ac:dyDescent="0.2">
      <c r="A5155" s="14" t="s">
        <v>9989</v>
      </c>
      <c r="B5155" s="26" t="s">
        <v>9990</v>
      </c>
      <c r="C5155" s="52"/>
      <c r="D5155" s="55">
        <f t="shared" si="80"/>
        <v>0</v>
      </c>
      <c r="E5155" s="63" t="str">
        <f>HYPERLINK("https://www.sds-group.ru/product/pistolet-dlya-nakachki-shin-pro-kranz-KR-16-1406/", "Инфо")</f>
        <v>Инфо</v>
      </c>
      <c r="F5155" s="16" t="s">
        <v>39</v>
      </c>
      <c r="G5155" s="15"/>
      <c r="H5155" s="15"/>
      <c r="I5155" s="15"/>
      <c r="J5155" s="22">
        <v>2002</v>
      </c>
      <c r="K5155" s="15" t="s">
        <v>9986</v>
      </c>
      <c r="L5155" s="17">
        <v>1</v>
      </c>
      <c r="M5155" s="17">
        <v>50</v>
      </c>
      <c r="N5155" s="17">
        <v>1</v>
      </c>
      <c r="O5155" s="18">
        <v>1121.1400000000001</v>
      </c>
      <c r="P5155" s="18">
        <v>918.97</v>
      </c>
      <c r="Q5155" s="18">
        <v>784.8</v>
      </c>
      <c r="R5155" s="18">
        <v>643.28</v>
      </c>
      <c r="S5155" s="18">
        <v>762.38</v>
      </c>
      <c r="T5155" s="18">
        <v>624.9</v>
      </c>
      <c r="U5155" s="16"/>
      <c r="V5155" s="16"/>
      <c r="W5155" s="16"/>
      <c r="X5155" s="19">
        <v>0.41099999999999998</v>
      </c>
      <c r="Y5155" s="20">
        <v>2.1199999999999999E-3</v>
      </c>
      <c r="Z5155" s="21">
        <v>4601004317253</v>
      </c>
    </row>
    <row r="5156" spans="1:26" ht="12" customHeight="1" outlineLevel="4" x14ac:dyDescent="0.2">
      <c r="A5156" s="14" t="s">
        <v>9991</v>
      </c>
      <c r="B5156" s="26" t="s">
        <v>9992</v>
      </c>
      <c r="C5156" s="52"/>
      <c r="D5156" s="55">
        <f t="shared" si="80"/>
        <v>0</v>
      </c>
      <c r="E5156" s="63" t="str">
        <f>HYPERLINK("https://www.sds-group.ru/product/pistolet-moechnyy-movilnyy-metallicheskiy-bachok-900ml-kranz-KR-16-1410/", "Инфо")</f>
        <v>Инфо</v>
      </c>
      <c r="F5156" s="16" t="s">
        <v>39</v>
      </c>
      <c r="G5156" s="15"/>
      <c r="H5156" s="15"/>
      <c r="I5156" s="15"/>
      <c r="J5156" s="16" t="s">
        <v>100</v>
      </c>
      <c r="K5156" s="15" t="s">
        <v>9986</v>
      </c>
      <c r="L5156" s="17">
        <v>1</v>
      </c>
      <c r="M5156" s="17">
        <v>10</v>
      </c>
      <c r="N5156" s="17">
        <v>1</v>
      </c>
      <c r="O5156" s="18">
        <v>1078.02</v>
      </c>
      <c r="P5156" s="18">
        <v>883.62</v>
      </c>
      <c r="Q5156" s="18">
        <v>862.42</v>
      </c>
      <c r="R5156" s="18">
        <v>706.9</v>
      </c>
      <c r="S5156" s="18">
        <v>733.05</v>
      </c>
      <c r="T5156" s="18">
        <v>600.86</v>
      </c>
      <c r="U5156" s="16"/>
      <c r="V5156" s="16"/>
      <c r="W5156" s="16" t="s">
        <v>40</v>
      </c>
      <c r="X5156" s="19">
        <v>0.67200000000000004</v>
      </c>
      <c r="Y5156" s="20">
        <v>1.0404999999999999E-2</v>
      </c>
      <c r="Z5156" s="21">
        <v>4601004317260</v>
      </c>
    </row>
    <row r="5157" spans="1:26" ht="12" customHeight="1" outlineLevel="4" x14ac:dyDescent="0.2">
      <c r="A5157" s="14" t="s">
        <v>9993</v>
      </c>
      <c r="B5157" s="26" t="s">
        <v>9994</v>
      </c>
      <c r="C5157" s="52"/>
      <c r="D5157" s="55">
        <f t="shared" si="80"/>
        <v>0</v>
      </c>
      <c r="E5157" s="63" t="str">
        <f>HYPERLINK("https://www.sds-group.ru/product/pistolet-produvochnyy-pnevmaticheskiy-metallicheskiy-s-udlinennym-soplom-135mm-kranz-KR-16-1415/", "Инфо")</f>
        <v>Инфо</v>
      </c>
      <c r="F5157" s="16" t="s">
        <v>39</v>
      </c>
      <c r="G5157" s="15"/>
      <c r="H5157" s="15"/>
      <c r="I5157" s="15"/>
      <c r="J5157" s="16" t="s">
        <v>100</v>
      </c>
      <c r="K5157" s="15" t="s">
        <v>9986</v>
      </c>
      <c r="L5157" s="17">
        <v>1</v>
      </c>
      <c r="M5157" s="17">
        <v>100</v>
      </c>
      <c r="N5157" s="17">
        <v>1</v>
      </c>
      <c r="O5157" s="18">
        <v>474.33</v>
      </c>
      <c r="P5157" s="18">
        <v>388.8</v>
      </c>
      <c r="Q5157" s="18">
        <v>332.03</v>
      </c>
      <c r="R5157" s="18">
        <v>272.16000000000003</v>
      </c>
      <c r="S5157" s="18">
        <v>322.54000000000002</v>
      </c>
      <c r="T5157" s="18">
        <v>264.38</v>
      </c>
      <c r="U5157" s="16"/>
      <c r="V5157" s="16"/>
      <c r="W5157" s="16"/>
      <c r="X5157" s="19">
        <v>0.224</v>
      </c>
      <c r="Y5157" s="20">
        <v>8.2299999999999995E-4</v>
      </c>
      <c r="Z5157" s="21">
        <v>4601004317277</v>
      </c>
    </row>
    <row r="5158" spans="1:26" ht="12" customHeight="1" outlineLevel="4" x14ac:dyDescent="0.2">
      <c r="A5158" s="14" t="s">
        <v>9995</v>
      </c>
      <c r="B5158" s="26" t="s">
        <v>9996</v>
      </c>
      <c r="C5158" s="52"/>
      <c r="D5158" s="55">
        <f t="shared" si="80"/>
        <v>0</v>
      </c>
      <c r="E5158" s="63" t="str">
        <f>HYPERLINK("https://www.sds-group.ru/product/shlang-spiralnyy-dlya-kompressora-s-bystrosemnym-soedineniem-10m-kranz-KR-16-1172/", "Инфо")</f>
        <v>Инфо</v>
      </c>
      <c r="F5158" s="16" t="s">
        <v>39</v>
      </c>
      <c r="G5158" s="15"/>
      <c r="H5158" s="15"/>
      <c r="I5158" s="15"/>
      <c r="J5158" s="16" t="s">
        <v>100</v>
      </c>
      <c r="K5158" s="15" t="s">
        <v>9986</v>
      </c>
      <c r="L5158" s="17">
        <v>1</v>
      </c>
      <c r="M5158" s="17">
        <v>40</v>
      </c>
      <c r="N5158" s="17">
        <v>1</v>
      </c>
      <c r="O5158" s="18">
        <v>665.57</v>
      </c>
      <c r="P5158" s="18">
        <v>545.54999999999995</v>
      </c>
      <c r="Q5158" s="18">
        <v>465.9</v>
      </c>
      <c r="R5158" s="18">
        <v>381.89</v>
      </c>
      <c r="S5158" s="18">
        <v>452.59</v>
      </c>
      <c r="T5158" s="18">
        <v>370.98</v>
      </c>
      <c r="U5158" s="16"/>
      <c r="V5158" s="16"/>
      <c r="W5158" s="16"/>
      <c r="X5158" s="19">
        <v>0.375</v>
      </c>
      <c r="Y5158" s="20">
        <v>2.849E-3</v>
      </c>
      <c r="Z5158" s="21">
        <v>4601004293199</v>
      </c>
    </row>
    <row r="5159" spans="1:26" ht="12" customHeight="1" outlineLevel="4" x14ac:dyDescent="0.2">
      <c r="A5159" s="14" t="s">
        <v>9997</v>
      </c>
      <c r="B5159" s="26" t="s">
        <v>9998</v>
      </c>
      <c r="C5159" s="52"/>
      <c r="D5159" s="55">
        <f t="shared" si="80"/>
        <v>0</v>
      </c>
      <c r="E5159" s="63" t="str">
        <f>HYPERLINK("https://www.sds-group.ru/product/shlang-spiralnyy-dlya-kompressora-s-bystrosemnym-soedineniem-15m-kranz-KR-16-1173/", "Инфо")</f>
        <v>Инфо</v>
      </c>
      <c r="F5159" s="16" t="s">
        <v>39</v>
      </c>
      <c r="G5159" s="15"/>
      <c r="H5159" s="15"/>
      <c r="I5159" s="15"/>
      <c r="J5159" s="16" t="s">
        <v>100</v>
      </c>
      <c r="K5159" s="15" t="s">
        <v>9986</v>
      </c>
      <c r="L5159" s="17">
        <v>1</v>
      </c>
      <c r="M5159" s="17">
        <v>20</v>
      </c>
      <c r="N5159" s="17">
        <v>1</v>
      </c>
      <c r="O5159" s="18">
        <v>950.81</v>
      </c>
      <c r="P5159" s="18">
        <v>779.35</v>
      </c>
      <c r="Q5159" s="18">
        <v>665.57</v>
      </c>
      <c r="R5159" s="18">
        <v>545.54999999999995</v>
      </c>
      <c r="S5159" s="18">
        <v>646.54999999999995</v>
      </c>
      <c r="T5159" s="18">
        <v>529.96</v>
      </c>
      <c r="U5159" s="16"/>
      <c r="V5159" s="16"/>
      <c r="W5159" s="16"/>
      <c r="X5159" s="19">
        <v>0.51900000000000002</v>
      </c>
      <c r="Y5159" s="20">
        <v>4.1130000000000003E-3</v>
      </c>
      <c r="Z5159" s="21">
        <v>4601004293205</v>
      </c>
    </row>
    <row r="5160" spans="1:26" ht="12" customHeight="1" outlineLevel="4" x14ac:dyDescent="0.2">
      <c r="A5160" s="14" t="s">
        <v>9999</v>
      </c>
      <c r="B5160" s="26" t="s">
        <v>10000</v>
      </c>
      <c r="C5160" s="52"/>
      <c r="D5160" s="55">
        <f t="shared" si="80"/>
        <v>0</v>
      </c>
      <c r="E5160" s="63" t="str">
        <f>HYPERLINK("https://www.sds-group.ru/product/shlang-spiralnyy-dlya-kompressora-s-bystrosemnym-soedineniem-5m-kranz-KR-16-1171/", "Инфо")</f>
        <v>Инфо</v>
      </c>
      <c r="F5160" s="16" t="s">
        <v>39</v>
      </c>
      <c r="G5160" s="15"/>
      <c r="H5160" s="15"/>
      <c r="I5160" s="15"/>
      <c r="J5160" s="16" t="s">
        <v>100</v>
      </c>
      <c r="K5160" s="15" t="s">
        <v>9986</v>
      </c>
      <c r="L5160" s="17">
        <v>1</v>
      </c>
      <c r="M5160" s="17">
        <v>50</v>
      </c>
      <c r="N5160" s="17">
        <v>1</v>
      </c>
      <c r="O5160" s="18">
        <v>545.14</v>
      </c>
      <c r="P5160" s="18">
        <v>446.84</v>
      </c>
      <c r="Q5160" s="18">
        <v>381.6</v>
      </c>
      <c r="R5160" s="18">
        <v>312.79000000000002</v>
      </c>
      <c r="S5160" s="18">
        <v>370.7</v>
      </c>
      <c r="T5160" s="18">
        <v>303.85000000000002</v>
      </c>
      <c r="U5160" s="16"/>
      <c r="V5160" s="16"/>
      <c r="W5160" s="16"/>
      <c r="X5160" s="19">
        <v>0.23799999999999999</v>
      </c>
      <c r="Y5160" s="20">
        <v>1.4E-3</v>
      </c>
      <c r="Z5160" s="21">
        <v>4601004293151</v>
      </c>
    </row>
    <row r="5161" spans="1:26" ht="12.95" customHeight="1" outlineLevel="3" x14ac:dyDescent="0.2">
      <c r="A5161" s="76" t="s">
        <v>10001</v>
      </c>
      <c r="B5161" s="76"/>
      <c r="C5161" s="77"/>
      <c r="D5161" s="58"/>
      <c r="E5161" s="68"/>
      <c r="F5161" s="13"/>
      <c r="G5161" s="13"/>
      <c r="H5161" s="13"/>
      <c r="I5161" s="13"/>
      <c r="J5161" s="13"/>
      <c r="K5161" s="13"/>
      <c r="L5161" s="13"/>
      <c r="M5161" s="13"/>
      <c r="N5161" s="13"/>
      <c r="O5161" s="13"/>
      <c r="P5161" s="13"/>
      <c r="Q5161" s="13"/>
      <c r="R5161" s="13"/>
      <c r="S5161" s="13"/>
      <c r="T5161" s="13"/>
      <c r="U5161" s="13"/>
      <c r="V5161" s="13"/>
      <c r="W5161" s="13"/>
      <c r="X5161" s="13"/>
      <c r="Y5161" s="13"/>
      <c r="Z5161" s="13"/>
    </row>
    <row r="5162" spans="1:26" ht="12" customHeight="1" outlineLevel="4" x14ac:dyDescent="0.2">
      <c r="A5162" s="14" t="s">
        <v>10002</v>
      </c>
      <c r="B5162" s="26" t="s">
        <v>10003</v>
      </c>
      <c r="C5162" s="52"/>
      <c r="D5162" s="55">
        <f t="shared" si="80"/>
        <v>0</v>
      </c>
      <c r="E5162" s="63" t="str">
        <f>HYPERLINK("https://www.sds-group.ru/product/gaykovert-pnevmaticheskiy-1-2-1490-nm-kranz-KR-80-0704/", "Инфо")</f>
        <v>Инфо</v>
      </c>
      <c r="F5162" s="16" t="s">
        <v>39</v>
      </c>
      <c r="G5162" s="15"/>
      <c r="H5162" s="15"/>
      <c r="I5162" s="15"/>
      <c r="J5162" s="17">
        <v>425</v>
      </c>
      <c r="K5162" s="15"/>
      <c r="L5162" s="17">
        <v>1</v>
      </c>
      <c r="M5162" s="17">
        <v>5</v>
      </c>
      <c r="N5162" s="17">
        <v>1</v>
      </c>
      <c r="O5162" s="18">
        <v>11554</v>
      </c>
      <c r="P5162" s="18">
        <v>9470.49</v>
      </c>
      <c r="Q5162" s="18">
        <v>8434.42</v>
      </c>
      <c r="R5162" s="18">
        <v>6913.46</v>
      </c>
      <c r="S5162" s="18">
        <v>7856.72</v>
      </c>
      <c r="T5162" s="18">
        <v>6439.93</v>
      </c>
      <c r="U5162" s="16"/>
      <c r="V5162" s="16"/>
      <c r="W5162" s="16" t="s">
        <v>40</v>
      </c>
      <c r="X5162" s="19">
        <v>3.2349999999999999</v>
      </c>
      <c r="Y5162" s="20">
        <v>5.5909999999999996E-3</v>
      </c>
      <c r="Z5162" s="21">
        <v>4601004291157</v>
      </c>
    </row>
    <row r="5163" spans="1:26" ht="12" customHeight="1" outlineLevel="4" x14ac:dyDescent="0.2">
      <c r="A5163" s="14" t="s">
        <v>10004</v>
      </c>
      <c r="B5163" s="26" t="s">
        <v>10005</v>
      </c>
      <c r="C5163" s="52"/>
      <c r="D5163" s="55">
        <f t="shared" si="80"/>
        <v>0</v>
      </c>
      <c r="E5163" s="63" t="str">
        <f>HYPERLINK("https://www.sds-group.ru/product/gaykovert-pnevmaticheskiy-1-2-330-nm-kranz-KR-80-0701/", "Инфо")</f>
        <v>Инфо</v>
      </c>
      <c r="F5163" s="16" t="s">
        <v>39</v>
      </c>
      <c r="G5163" s="15"/>
      <c r="H5163" s="15"/>
      <c r="I5163" s="15"/>
      <c r="J5163" s="17">
        <v>415</v>
      </c>
      <c r="K5163" s="15" t="s">
        <v>6434</v>
      </c>
      <c r="L5163" s="17">
        <v>1</v>
      </c>
      <c r="M5163" s="17">
        <v>10</v>
      </c>
      <c r="N5163" s="17">
        <v>1</v>
      </c>
      <c r="O5163" s="18">
        <v>4775.63</v>
      </c>
      <c r="P5163" s="18">
        <v>3914.45</v>
      </c>
      <c r="Q5163" s="18">
        <v>3486.21</v>
      </c>
      <c r="R5163" s="18">
        <v>2857.55</v>
      </c>
      <c r="S5163" s="18">
        <v>3247.43</v>
      </c>
      <c r="T5163" s="18">
        <v>2661.83</v>
      </c>
      <c r="U5163" s="16"/>
      <c r="V5163" s="16"/>
      <c r="W5163" s="16" t="s">
        <v>40</v>
      </c>
      <c r="X5163" s="19">
        <v>2.238</v>
      </c>
      <c r="Y5163" s="20">
        <v>3.4949999999999998E-3</v>
      </c>
      <c r="Z5163" s="21">
        <v>4601004291133</v>
      </c>
    </row>
    <row r="5164" spans="1:26" ht="12" customHeight="1" outlineLevel="4" x14ac:dyDescent="0.2">
      <c r="A5164" s="14" t="s">
        <v>10006</v>
      </c>
      <c r="B5164" s="26" t="s">
        <v>10007</v>
      </c>
      <c r="C5164" s="52"/>
      <c r="D5164" s="55">
        <f t="shared" si="80"/>
        <v>0</v>
      </c>
      <c r="E5164" s="63" t="str">
        <f>HYPERLINK("https://www.sds-group.ru/product/gaykovert-pnevmaticheskiy-1-2-680-nm-kranz-KR-80-0702/", "Инфо")</f>
        <v>Инфо</v>
      </c>
      <c r="F5164" s="16" t="s">
        <v>39</v>
      </c>
      <c r="G5164" s="15"/>
      <c r="H5164" s="15"/>
      <c r="I5164" s="15"/>
      <c r="J5164" s="17">
        <v>155</v>
      </c>
      <c r="K5164" s="15" t="s">
        <v>6434</v>
      </c>
      <c r="L5164" s="17">
        <v>1</v>
      </c>
      <c r="M5164" s="17">
        <v>10</v>
      </c>
      <c r="N5164" s="17">
        <v>1</v>
      </c>
      <c r="O5164" s="18">
        <v>7542.3</v>
      </c>
      <c r="P5164" s="18">
        <v>6182.21</v>
      </c>
      <c r="Q5164" s="18">
        <v>5505.88</v>
      </c>
      <c r="R5164" s="18">
        <v>4513.0200000000004</v>
      </c>
      <c r="S5164" s="18">
        <v>5128.76</v>
      </c>
      <c r="T5164" s="18">
        <v>4203.8999999999996</v>
      </c>
      <c r="U5164" s="16"/>
      <c r="V5164" s="16"/>
      <c r="W5164" s="16" t="s">
        <v>40</v>
      </c>
      <c r="X5164" s="19">
        <v>2.7189999999999999</v>
      </c>
      <c r="Y5164" s="20">
        <v>3.4250000000000001E-3</v>
      </c>
      <c r="Z5164" s="21">
        <v>4601004291164</v>
      </c>
    </row>
    <row r="5165" spans="1:26" ht="12" customHeight="1" outlineLevel="4" x14ac:dyDescent="0.2">
      <c r="A5165" s="14" t="s">
        <v>10008</v>
      </c>
      <c r="B5165" s="26" t="s">
        <v>10009</v>
      </c>
      <c r="C5165" s="52"/>
      <c r="D5165" s="55">
        <f t="shared" si="80"/>
        <v>0</v>
      </c>
      <c r="E5165" s="63" t="str">
        <f>HYPERLINK("https://www.sds-group.ru/product/gaykovert-pnevmaticheskiy-1-2-868-nm-kranz-KR-80-0703/", "Инфо")</f>
        <v>Инфо</v>
      </c>
      <c r="F5165" s="16" t="s">
        <v>39</v>
      </c>
      <c r="G5165" s="15"/>
      <c r="H5165" s="15"/>
      <c r="I5165" s="15"/>
      <c r="J5165" s="17">
        <v>186</v>
      </c>
      <c r="K5165" s="15"/>
      <c r="L5165" s="17">
        <v>1</v>
      </c>
      <c r="M5165" s="17">
        <v>10</v>
      </c>
      <c r="N5165" s="17">
        <v>1</v>
      </c>
      <c r="O5165" s="18">
        <v>9173.08</v>
      </c>
      <c r="P5165" s="18">
        <v>7518.92</v>
      </c>
      <c r="Q5165" s="18">
        <v>6696.35</v>
      </c>
      <c r="R5165" s="18">
        <v>5488.81</v>
      </c>
      <c r="S5165" s="18">
        <v>6237.69</v>
      </c>
      <c r="T5165" s="18">
        <v>5112.8599999999997</v>
      </c>
      <c r="U5165" s="16"/>
      <c r="V5165" s="16"/>
      <c r="W5165" s="16" t="s">
        <v>40</v>
      </c>
      <c r="X5165" s="19">
        <v>2.7010000000000001</v>
      </c>
      <c r="Y5165" s="20">
        <v>3.8670000000000002E-3</v>
      </c>
      <c r="Z5165" s="21">
        <v>4601004291140</v>
      </c>
    </row>
    <row r="5166" spans="1:26" ht="12" customHeight="1" outlineLevel="4" x14ac:dyDescent="0.2">
      <c r="A5166" s="14" t="s">
        <v>10010</v>
      </c>
      <c r="B5166" s="26" t="s">
        <v>10011</v>
      </c>
      <c r="C5166" s="52"/>
      <c r="D5166" s="55">
        <f t="shared" si="80"/>
        <v>0</v>
      </c>
      <c r="E5166" s="63" t="str">
        <f>HYPERLINK("https://www.sds-group.ru/product/treschotka-pnevmaticheskaya-1-2-70-nm-kranz-KR-80-0705/", "Инфо")</f>
        <v>Инфо</v>
      </c>
      <c r="F5166" s="16" t="s">
        <v>39</v>
      </c>
      <c r="G5166" s="15"/>
      <c r="H5166" s="15"/>
      <c r="I5166" s="15"/>
      <c r="J5166" s="17">
        <v>327</v>
      </c>
      <c r="K5166" s="15" t="s">
        <v>6434</v>
      </c>
      <c r="L5166" s="17">
        <v>1</v>
      </c>
      <c r="M5166" s="17">
        <v>20</v>
      </c>
      <c r="N5166" s="17">
        <v>1</v>
      </c>
      <c r="O5166" s="18">
        <v>4204.28</v>
      </c>
      <c r="P5166" s="18">
        <v>3446.13</v>
      </c>
      <c r="Q5166" s="18">
        <v>3069.12</v>
      </c>
      <c r="R5166" s="18">
        <v>2515.67</v>
      </c>
      <c r="S5166" s="18">
        <v>2858.91</v>
      </c>
      <c r="T5166" s="18">
        <v>2343.37</v>
      </c>
      <c r="U5166" s="16"/>
      <c r="V5166" s="16"/>
      <c r="W5166" s="16" t="s">
        <v>40</v>
      </c>
      <c r="X5166" s="19">
        <v>1.2689999999999999</v>
      </c>
      <c r="Y5166" s="20">
        <v>9.7099999999999997E-4</v>
      </c>
      <c r="Z5166" s="21">
        <v>4601004291171</v>
      </c>
    </row>
    <row r="5167" spans="1:26" ht="12" customHeight="1" outlineLevel="4" x14ac:dyDescent="0.2">
      <c r="A5167" s="14" t="s">
        <v>10012</v>
      </c>
      <c r="B5167" s="26" t="s">
        <v>10013</v>
      </c>
      <c r="C5167" s="52"/>
      <c r="D5167" s="55">
        <f t="shared" si="80"/>
        <v>0</v>
      </c>
      <c r="E5167" s="63" t="str">
        <f>HYPERLINK("https://www.sds-group.ru/product/treschotka-pnevmaticheskaya-1-4-70-nm-kranz-KR-80-0706/", "Инфо")</f>
        <v>Инфо</v>
      </c>
      <c r="F5167" s="16" t="s">
        <v>39</v>
      </c>
      <c r="G5167" s="15"/>
      <c r="H5167" s="15"/>
      <c r="I5167" s="15"/>
      <c r="J5167" s="17">
        <v>497</v>
      </c>
      <c r="K5167" s="15" t="s">
        <v>6434</v>
      </c>
      <c r="L5167" s="17">
        <v>1</v>
      </c>
      <c r="M5167" s="17">
        <v>20</v>
      </c>
      <c r="N5167" s="17">
        <v>1</v>
      </c>
      <c r="O5167" s="18">
        <v>3773.07</v>
      </c>
      <c r="P5167" s="18">
        <v>3092.68</v>
      </c>
      <c r="Q5167" s="18">
        <v>2754.34</v>
      </c>
      <c r="R5167" s="18">
        <v>2257.66</v>
      </c>
      <c r="S5167" s="18">
        <v>2565.69</v>
      </c>
      <c r="T5167" s="18">
        <v>2103.02</v>
      </c>
      <c r="U5167" s="16"/>
      <c r="V5167" s="16"/>
      <c r="W5167" s="16" t="s">
        <v>40</v>
      </c>
      <c r="X5167" s="19">
        <v>0.58099999999999996</v>
      </c>
      <c r="Y5167" s="20">
        <v>8.1499999999999997E-4</v>
      </c>
      <c r="Z5167" s="21">
        <v>4601004291188</v>
      </c>
    </row>
    <row r="5168" spans="1:26" ht="12.95" customHeight="1" outlineLevel="2" x14ac:dyDescent="0.2">
      <c r="A5168" s="76" t="s">
        <v>10014</v>
      </c>
      <c r="B5168" s="76"/>
      <c r="C5168" s="77"/>
      <c r="D5168" s="58"/>
      <c r="E5168" s="68"/>
      <c r="F5168" s="13"/>
      <c r="G5168" s="13"/>
      <c r="H5168" s="13"/>
      <c r="I5168" s="13"/>
      <c r="J5168" s="13"/>
      <c r="K5168" s="13"/>
      <c r="L5168" s="13"/>
      <c r="M5168" s="13"/>
      <c r="N5168" s="13"/>
      <c r="O5168" s="13"/>
      <c r="P5168" s="13"/>
      <c r="Q5168" s="13"/>
      <c r="R5168" s="13"/>
      <c r="S5168" s="13"/>
      <c r="T5168" s="13"/>
      <c r="U5168" s="13"/>
      <c r="V5168" s="13"/>
      <c r="W5168" s="13"/>
      <c r="X5168" s="13"/>
      <c r="Y5168" s="13"/>
      <c r="Z5168" s="13"/>
    </row>
    <row r="5169" spans="1:26" ht="12.95" customHeight="1" outlineLevel="3" x14ac:dyDescent="0.2">
      <c r="A5169" s="76" t="s">
        <v>10015</v>
      </c>
      <c r="B5169" s="76"/>
      <c r="C5169" s="77"/>
      <c r="D5169" s="58"/>
      <c r="E5169" s="68"/>
      <c r="F5169" s="13"/>
      <c r="G5169" s="13"/>
      <c r="H5169" s="13"/>
      <c r="I5169" s="13"/>
      <c r="J5169" s="13"/>
      <c r="K5169" s="13"/>
      <c r="L5169" s="13"/>
      <c r="M5169" s="13"/>
      <c r="N5169" s="13"/>
      <c r="O5169" s="13"/>
      <c r="P5169" s="13"/>
      <c r="Q5169" s="13"/>
      <c r="R5169" s="13"/>
      <c r="S5169" s="13"/>
      <c r="T5169" s="13"/>
      <c r="U5169" s="13"/>
      <c r="V5169" s="13"/>
      <c r="W5169" s="13"/>
      <c r="X5169" s="13"/>
      <c r="Y5169" s="13"/>
      <c r="Z5169" s="13"/>
    </row>
    <row r="5170" spans="1:26" ht="12" customHeight="1" outlineLevel="4" x14ac:dyDescent="0.2">
      <c r="A5170" s="14" t="s">
        <v>10016</v>
      </c>
      <c r="B5170" s="26" t="s">
        <v>10017</v>
      </c>
      <c r="C5170" s="52"/>
      <c r="D5170" s="55">
        <f t="shared" si="80"/>
        <v>0</v>
      </c>
      <c r="E5170" s="63" t="str">
        <f>HYPERLINK("https://www.sds-group.ru/product/katushka-dlya-trimmera-poluavtomaticheskaya-kr-115pa-gayka-m10x1-25-vint-m10-m10-kranz-KR-16-1222/", "Инфо")</f>
        <v>Инфо</v>
      </c>
      <c r="F5170" s="16" t="s">
        <v>39</v>
      </c>
      <c r="G5170" s="15"/>
      <c r="H5170" s="15"/>
      <c r="I5170" s="15"/>
      <c r="J5170" s="17">
        <v>377</v>
      </c>
      <c r="K5170" s="15"/>
      <c r="L5170" s="17">
        <v>1</v>
      </c>
      <c r="M5170" s="17">
        <v>32</v>
      </c>
      <c r="N5170" s="17">
        <v>1</v>
      </c>
      <c r="O5170" s="18">
        <v>905.95</v>
      </c>
      <c r="P5170" s="18">
        <v>742.58</v>
      </c>
      <c r="Q5170" s="18">
        <v>724.76</v>
      </c>
      <c r="R5170" s="18">
        <v>594.07000000000005</v>
      </c>
      <c r="S5170" s="18">
        <v>616.04999999999995</v>
      </c>
      <c r="T5170" s="18">
        <v>504.96</v>
      </c>
      <c r="U5170" s="16"/>
      <c r="V5170" s="16"/>
      <c r="W5170" s="16" t="s">
        <v>40</v>
      </c>
      <c r="X5170" s="19">
        <v>0.498</v>
      </c>
      <c r="Y5170" s="20">
        <v>1.5499999999999999E-3</v>
      </c>
      <c r="Z5170" s="21">
        <v>4601004295452</v>
      </c>
    </row>
    <row r="5171" spans="1:26" ht="12" customHeight="1" outlineLevel="4" x14ac:dyDescent="0.2">
      <c r="A5171" s="14" t="s">
        <v>10018</v>
      </c>
      <c r="B5171" s="26" t="s">
        <v>10019</v>
      </c>
      <c r="C5171" s="52"/>
      <c r="D5171" s="55">
        <f t="shared" si="80"/>
        <v>0</v>
      </c>
      <c r="E5171" s="63" t="str">
        <f>HYPERLINK("https://www.sds-group.ru/product/katushka-dlya-trimmera-poluavtomaticheskaya-kr-130pp-gayka-m10x1-25-vint-m10-m10-kranz-KR-16-1223/", "Инфо")</f>
        <v>Инфо</v>
      </c>
      <c r="F5171" s="16" t="s">
        <v>39</v>
      </c>
      <c r="G5171" s="15"/>
      <c r="H5171" s="15"/>
      <c r="I5171" s="15"/>
      <c r="J5171" s="17">
        <v>426</v>
      </c>
      <c r="K5171" s="15"/>
      <c r="L5171" s="17">
        <v>1</v>
      </c>
      <c r="M5171" s="17">
        <v>32</v>
      </c>
      <c r="N5171" s="17">
        <v>1</v>
      </c>
      <c r="O5171" s="18">
        <v>995.1</v>
      </c>
      <c r="P5171" s="18">
        <v>815.66</v>
      </c>
      <c r="Q5171" s="18">
        <v>845.84</v>
      </c>
      <c r="R5171" s="18">
        <v>693.31</v>
      </c>
      <c r="S5171" s="18">
        <v>676.67</v>
      </c>
      <c r="T5171" s="18">
        <v>554.65</v>
      </c>
      <c r="U5171" s="16"/>
      <c r="V5171" s="16"/>
      <c r="W5171" s="16" t="s">
        <v>40</v>
      </c>
      <c r="X5171" s="19">
        <v>0.55500000000000005</v>
      </c>
      <c r="Y5171" s="20">
        <v>1.9090000000000001E-3</v>
      </c>
      <c r="Z5171" s="21">
        <v>4601004295469</v>
      </c>
    </row>
    <row r="5172" spans="1:26" ht="12" customHeight="1" outlineLevel="4" x14ac:dyDescent="0.2">
      <c r="A5172" s="14" t="s">
        <v>10020</v>
      </c>
      <c r="B5172" s="26" t="s">
        <v>10021</v>
      </c>
      <c r="C5172" s="52"/>
      <c r="D5172" s="55">
        <f t="shared" si="80"/>
        <v>0</v>
      </c>
      <c r="E5172" s="63" t="str">
        <f>HYPERLINK("https://www.sds-group.ru/product/rantsevyy-remen-s-zaschitoy-bedra-dlya-benzinovyh-trimmerov-kranz-KR-16-1225/", "Инфо")</f>
        <v>Инфо</v>
      </c>
      <c r="F5172" s="16" t="s">
        <v>39</v>
      </c>
      <c r="G5172" s="15"/>
      <c r="H5172" s="15"/>
      <c r="I5172" s="15"/>
      <c r="J5172" s="16" t="s">
        <v>100</v>
      </c>
      <c r="K5172" s="15"/>
      <c r="L5172" s="17">
        <v>1</v>
      </c>
      <c r="M5172" s="17">
        <v>50</v>
      </c>
      <c r="N5172" s="17">
        <v>1</v>
      </c>
      <c r="O5172" s="18">
        <v>1451.18</v>
      </c>
      <c r="P5172" s="18">
        <v>1189.49</v>
      </c>
      <c r="Q5172" s="18">
        <v>1175.46</v>
      </c>
      <c r="R5172" s="18">
        <v>963.49</v>
      </c>
      <c r="S5172" s="18">
        <v>986.8</v>
      </c>
      <c r="T5172" s="18">
        <v>808.85</v>
      </c>
      <c r="U5172" s="16"/>
      <c r="V5172" s="16"/>
      <c r="W5172" s="16" t="s">
        <v>40</v>
      </c>
      <c r="X5172" s="19">
        <v>0.495</v>
      </c>
      <c r="Y5172" s="20">
        <v>2.7699999999999999E-3</v>
      </c>
      <c r="Z5172" s="21">
        <v>4601004295476</v>
      </c>
    </row>
    <row r="5173" spans="1:26" ht="12" customHeight="1" outlineLevel="4" x14ac:dyDescent="0.2">
      <c r="A5173" s="14" t="s">
        <v>10022</v>
      </c>
      <c r="B5173" s="26" t="s">
        <v>10023</v>
      </c>
      <c r="C5173" s="52"/>
      <c r="D5173" s="55">
        <f t="shared" si="80"/>
        <v>0</v>
      </c>
      <c r="E5173" s="63" t="str">
        <f>HYPERLINK("https://www.sds-group.ru/product/trimmer-benzinovyy-kr-52-52sm3-3-l-s-razbornaya-shtanga-kranz-KR-16-1202/", "Инфо")</f>
        <v>Инфо</v>
      </c>
      <c r="F5173" s="16" t="s">
        <v>39</v>
      </c>
      <c r="G5173" s="15"/>
      <c r="H5173" s="15"/>
      <c r="I5173" s="15"/>
      <c r="J5173" s="17">
        <v>36</v>
      </c>
      <c r="K5173" s="15"/>
      <c r="L5173" s="17">
        <v>1</v>
      </c>
      <c r="M5173" s="17">
        <v>2</v>
      </c>
      <c r="N5173" s="17">
        <v>1</v>
      </c>
      <c r="O5173" s="18">
        <v>17148.5</v>
      </c>
      <c r="P5173" s="18">
        <v>14056.15</v>
      </c>
      <c r="Q5173" s="18">
        <v>12861.38</v>
      </c>
      <c r="R5173" s="18">
        <v>10542.11</v>
      </c>
      <c r="S5173" s="18">
        <v>11660.98</v>
      </c>
      <c r="T5173" s="18">
        <v>9558.18</v>
      </c>
      <c r="U5173" s="16"/>
      <c r="V5173" s="16"/>
      <c r="W5173" s="16" t="s">
        <v>40</v>
      </c>
      <c r="X5173" s="19">
        <v>10.4</v>
      </c>
      <c r="Y5173" s="20">
        <v>7.1900000000000006E-2</v>
      </c>
      <c r="Z5173" s="21">
        <v>4601004295407</v>
      </c>
    </row>
    <row r="5174" spans="1:26" ht="12.95" customHeight="1" outlineLevel="3" x14ac:dyDescent="0.2">
      <c r="A5174" s="76" t="s">
        <v>10024</v>
      </c>
      <c r="B5174" s="76"/>
      <c r="C5174" s="77"/>
      <c r="D5174" s="58"/>
      <c r="E5174" s="68"/>
      <c r="F5174" s="13"/>
      <c r="G5174" s="13"/>
      <c r="H5174" s="13"/>
      <c r="I5174" s="13"/>
      <c r="J5174" s="13"/>
      <c r="K5174" s="13"/>
      <c r="L5174" s="13"/>
      <c r="M5174" s="13"/>
      <c r="N5174" s="13"/>
      <c r="O5174" s="13"/>
      <c r="P5174" s="13"/>
      <c r="Q5174" s="13"/>
      <c r="R5174" s="13"/>
      <c r="S5174" s="13"/>
      <c r="T5174" s="13"/>
      <c r="U5174" s="13"/>
      <c r="V5174" s="13"/>
      <c r="W5174" s="13"/>
      <c r="X5174" s="13"/>
      <c r="Y5174" s="13"/>
      <c r="Z5174" s="13"/>
    </row>
    <row r="5175" spans="1:26" ht="12.95" customHeight="1" outlineLevel="4" x14ac:dyDescent="0.2">
      <c r="A5175" s="76" t="s">
        <v>10025</v>
      </c>
      <c r="B5175" s="76"/>
      <c r="C5175" s="77"/>
      <c r="D5175" s="58"/>
      <c r="E5175" s="68"/>
      <c r="F5175" s="13"/>
      <c r="G5175" s="13"/>
      <c r="H5175" s="13"/>
      <c r="I5175" s="13"/>
      <c r="J5175" s="13"/>
      <c r="K5175" s="13"/>
      <c r="L5175" s="13"/>
      <c r="M5175" s="13"/>
      <c r="N5175" s="13"/>
      <c r="O5175" s="13"/>
      <c r="P5175" s="13"/>
      <c r="Q5175" s="13"/>
      <c r="R5175" s="13"/>
      <c r="S5175" s="13"/>
      <c r="T5175" s="13"/>
      <c r="U5175" s="13"/>
      <c r="V5175" s="13"/>
      <c r="W5175" s="13"/>
      <c r="X5175" s="13"/>
      <c r="Y5175" s="13"/>
      <c r="Z5175" s="13"/>
    </row>
    <row r="5176" spans="1:26" ht="12" customHeight="1" outlineLevel="5" x14ac:dyDescent="0.2">
      <c r="A5176" s="14" t="s">
        <v>10026</v>
      </c>
      <c r="B5176" s="26" t="s">
        <v>10027</v>
      </c>
      <c r="C5176" s="52"/>
      <c r="D5176" s="55">
        <f t="shared" si="80"/>
        <v>0</v>
      </c>
      <c r="E5176" s="63" t="str">
        <f>HYPERLINK("https://www.sds-group.ru/product/gazonokosilka-benzinovaya-kr-460sp-samohodnaya-150sm3-46sm-kranz-KR-16-1231/", "Инфо")</f>
        <v>Инфо</v>
      </c>
      <c r="F5176" s="16" t="s">
        <v>39</v>
      </c>
      <c r="G5176" s="15"/>
      <c r="H5176" s="15"/>
      <c r="I5176" s="15"/>
      <c r="J5176" s="17">
        <v>52</v>
      </c>
      <c r="K5176" s="15"/>
      <c r="L5176" s="17">
        <v>1</v>
      </c>
      <c r="M5176" s="17">
        <v>1</v>
      </c>
      <c r="N5176" s="17">
        <v>1</v>
      </c>
      <c r="O5176" s="18">
        <v>38439.800000000003</v>
      </c>
      <c r="P5176" s="18">
        <v>31508.03</v>
      </c>
      <c r="Q5176" s="18">
        <v>26907.86</v>
      </c>
      <c r="R5176" s="18">
        <v>22055.62</v>
      </c>
      <c r="S5176" s="18">
        <v>26139.06</v>
      </c>
      <c r="T5176" s="18">
        <v>21425.46</v>
      </c>
      <c r="U5176" s="16"/>
      <c r="V5176" s="16"/>
      <c r="W5176" s="16" t="s">
        <v>40</v>
      </c>
      <c r="X5176" s="19">
        <v>30.2</v>
      </c>
      <c r="Y5176" s="20">
        <v>0.20258200000000001</v>
      </c>
      <c r="Z5176" s="21">
        <v>4601004294585</v>
      </c>
    </row>
    <row r="5177" spans="1:26" ht="12.95" customHeight="1" outlineLevel="3" x14ac:dyDescent="0.2">
      <c r="A5177" s="76" t="s">
        <v>10028</v>
      </c>
      <c r="B5177" s="76"/>
      <c r="C5177" s="77"/>
      <c r="D5177" s="58"/>
      <c r="E5177" s="68"/>
      <c r="F5177" s="13"/>
      <c r="G5177" s="13"/>
      <c r="H5177" s="13"/>
      <c r="I5177" s="13"/>
      <c r="J5177" s="13"/>
      <c r="K5177" s="13"/>
      <c r="L5177" s="13"/>
      <c r="M5177" s="13"/>
      <c r="N5177" s="13"/>
      <c r="O5177" s="13"/>
      <c r="P5177" s="13"/>
      <c r="Q5177" s="13"/>
      <c r="R5177" s="13"/>
      <c r="S5177" s="13"/>
      <c r="T5177" s="13"/>
      <c r="U5177" s="13"/>
      <c r="V5177" s="13"/>
      <c r="W5177" s="13"/>
      <c r="X5177" s="13"/>
      <c r="Y5177" s="13"/>
      <c r="Z5177" s="13"/>
    </row>
    <row r="5178" spans="1:26" ht="12" customHeight="1" outlineLevel="4" x14ac:dyDescent="0.2">
      <c r="A5178" s="40" t="s">
        <v>10029</v>
      </c>
      <c r="B5178" s="75" t="s">
        <v>10030</v>
      </c>
      <c r="C5178" s="51"/>
      <c r="D5178" s="54">
        <f t="shared" si="80"/>
        <v>0</v>
      </c>
      <c r="E5178" s="61" t="str">
        <f>HYPERLINK("https://www.sds-group.ru/product/pila-tsepnaya-akkumulyatornaya-kr-4040-besschetochnaya-shina-40sm-2-akb-20vh2-40v-4ach-kr-KR-16-1011/", "Инфо")</f>
        <v>Инфо</v>
      </c>
      <c r="F5178" s="42" t="s">
        <v>39</v>
      </c>
      <c r="G5178" s="41" t="s">
        <v>40</v>
      </c>
      <c r="H5178" s="41"/>
      <c r="I5178" s="41"/>
      <c r="J5178" s="43">
        <v>152</v>
      </c>
      <c r="K5178" s="41"/>
      <c r="L5178" s="43">
        <v>1</v>
      </c>
      <c r="M5178" s="43">
        <v>2</v>
      </c>
      <c r="N5178" s="43">
        <v>1</v>
      </c>
      <c r="O5178" s="44">
        <v>29680</v>
      </c>
      <c r="P5178" s="44">
        <v>24327.87</v>
      </c>
      <c r="Q5178" s="44">
        <v>22853.599999999999</v>
      </c>
      <c r="R5178" s="44">
        <v>18732.46</v>
      </c>
      <c r="S5178" s="44">
        <v>20182.400000000001</v>
      </c>
      <c r="T5178" s="44">
        <v>16542.95</v>
      </c>
      <c r="U5178" s="42"/>
      <c r="V5178" s="42"/>
      <c r="W5178" s="42" t="s">
        <v>40</v>
      </c>
      <c r="X5178" s="45">
        <v>6.9249999999999998</v>
      </c>
      <c r="Y5178" s="46">
        <v>0.06</v>
      </c>
      <c r="Z5178" s="21">
        <v>4601004331723</v>
      </c>
    </row>
    <row r="5179" spans="1:26" ht="12" customHeight="1" outlineLevel="4" x14ac:dyDescent="0.2">
      <c r="A5179" s="14" t="s">
        <v>10031</v>
      </c>
      <c r="B5179" s="26" t="s">
        <v>10032</v>
      </c>
      <c r="C5179" s="52"/>
      <c r="D5179" s="55">
        <f t="shared" si="80"/>
        <v>0</v>
      </c>
      <c r="E5179" s="63" t="str">
        <f>HYPERLINK("https://www.sds-group.ru/product/pila-tsepnaya-benzinovaya-kr-5245-shina-45sm-3-5-l-s-shag-0-325-72-zvena-kranz-KR-16-1182/", "Инфо")</f>
        <v>Инфо</v>
      </c>
      <c r="F5179" s="16" t="s">
        <v>39</v>
      </c>
      <c r="G5179" s="15"/>
      <c r="H5179" s="15"/>
      <c r="I5179" s="15"/>
      <c r="J5179" s="17">
        <v>198</v>
      </c>
      <c r="K5179" s="15"/>
      <c r="L5179" s="17">
        <v>1</v>
      </c>
      <c r="M5179" s="17">
        <v>1</v>
      </c>
      <c r="N5179" s="17">
        <v>1</v>
      </c>
      <c r="O5179" s="18">
        <v>14607.61</v>
      </c>
      <c r="P5179" s="18">
        <v>11973.45</v>
      </c>
      <c r="Q5179" s="18">
        <v>11247.86</v>
      </c>
      <c r="R5179" s="18">
        <v>9219.56</v>
      </c>
      <c r="S5179" s="18">
        <v>9933.17</v>
      </c>
      <c r="T5179" s="18">
        <v>8141.94</v>
      </c>
      <c r="U5179" s="16"/>
      <c r="V5179" s="16"/>
      <c r="W5179" s="16" t="s">
        <v>40</v>
      </c>
      <c r="X5179" s="19">
        <v>7.5460000000000003</v>
      </c>
      <c r="Y5179" s="20">
        <v>3.0877000000000002E-2</v>
      </c>
      <c r="Z5179" s="21">
        <v>4601004295346</v>
      </c>
    </row>
    <row r="5180" spans="1:26" ht="12" customHeight="1" outlineLevel="4" x14ac:dyDescent="0.2">
      <c r="A5180" s="14" t="s">
        <v>10033</v>
      </c>
      <c r="B5180" s="26" t="s">
        <v>10034</v>
      </c>
      <c r="C5180" s="52"/>
      <c r="D5180" s="55">
        <f t="shared" si="80"/>
        <v>0</v>
      </c>
      <c r="E5180" s="63" t="str">
        <f>HYPERLINK("https://www.sds-group.ru/product/pila-tsepnaya-benzinovaya-kr-5850-shina-50sm-4-1-l-s-shag-0-325-76-zvenev-kranz-KR-16-1183/", "Инфо")</f>
        <v>Инфо</v>
      </c>
      <c r="F5180" s="16" t="s">
        <v>39</v>
      </c>
      <c r="G5180" s="15"/>
      <c r="H5180" s="15"/>
      <c r="I5180" s="15"/>
      <c r="J5180" s="17">
        <v>382</v>
      </c>
      <c r="K5180" s="15"/>
      <c r="L5180" s="17">
        <v>1</v>
      </c>
      <c r="M5180" s="17">
        <v>1</v>
      </c>
      <c r="N5180" s="17">
        <v>1</v>
      </c>
      <c r="O5180" s="18">
        <v>16134.59</v>
      </c>
      <c r="P5180" s="18">
        <v>13225.07</v>
      </c>
      <c r="Q5180" s="18">
        <v>12423.63</v>
      </c>
      <c r="R5180" s="18">
        <v>10183.299999999999</v>
      </c>
      <c r="S5180" s="18">
        <v>10971.52</v>
      </c>
      <c r="T5180" s="18">
        <v>8993.0499999999993</v>
      </c>
      <c r="U5180" s="16"/>
      <c r="V5180" s="16"/>
      <c r="W5180" s="16" t="s">
        <v>40</v>
      </c>
      <c r="X5180" s="19">
        <v>7.73</v>
      </c>
      <c r="Y5180" s="20">
        <v>3.1440999999999997E-2</v>
      </c>
      <c r="Z5180" s="21">
        <v>4601004295353</v>
      </c>
    </row>
    <row r="5181" spans="1:26" ht="12" customHeight="1" outlineLevel="4" x14ac:dyDescent="0.2">
      <c r="A5181" s="14" t="s">
        <v>10035</v>
      </c>
      <c r="B5181" s="26" t="s">
        <v>10036</v>
      </c>
      <c r="C5181" s="52"/>
      <c r="D5181" s="55">
        <f t="shared" si="80"/>
        <v>0</v>
      </c>
      <c r="E5181" s="63" t="str">
        <f>HYPERLINK("https://www.sds-group.ru/product/tsep-dlya-benzopily-kr-4572-shina-45sm-shag-0-325-72-zvena-kranz-KR-16-1192/", "Инфо")</f>
        <v>Инфо</v>
      </c>
      <c r="F5181" s="16" t="s">
        <v>39</v>
      </c>
      <c r="G5181" s="15"/>
      <c r="H5181" s="15"/>
      <c r="I5181" s="15"/>
      <c r="J5181" s="17">
        <v>264</v>
      </c>
      <c r="K5181" s="15"/>
      <c r="L5181" s="17">
        <v>1</v>
      </c>
      <c r="M5181" s="17">
        <v>1</v>
      </c>
      <c r="N5181" s="17">
        <v>1</v>
      </c>
      <c r="O5181" s="18">
        <v>848</v>
      </c>
      <c r="P5181" s="18">
        <v>695.08</v>
      </c>
      <c r="Q5181" s="18">
        <v>720.8</v>
      </c>
      <c r="R5181" s="18">
        <v>590.82000000000005</v>
      </c>
      <c r="S5181" s="18">
        <v>576.64</v>
      </c>
      <c r="T5181" s="18">
        <v>472.66</v>
      </c>
      <c r="U5181" s="16"/>
      <c r="V5181" s="16"/>
      <c r="W5181" s="16" t="s">
        <v>40</v>
      </c>
      <c r="X5181" s="19">
        <v>0.3</v>
      </c>
      <c r="Y5181" s="20">
        <v>4.4700000000000002E-4</v>
      </c>
      <c r="Z5181" s="21">
        <v>4601004295377</v>
      </c>
    </row>
    <row r="5182" spans="1:26" ht="12" customHeight="1" outlineLevel="4" x14ac:dyDescent="0.2">
      <c r="A5182" s="14" t="s">
        <v>10037</v>
      </c>
      <c r="B5182" s="26" t="s">
        <v>10038</v>
      </c>
      <c r="C5182" s="52"/>
      <c r="D5182" s="55">
        <f t="shared" si="80"/>
        <v>0</v>
      </c>
      <c r="E5182" s="63" t="str">
        <f>HYPERLINK("https://www.sds-group.ru/product/tsep-dlya-benzopily-kr-5076-shina-50sm-shag-0-325-76-zvenev-kranz-KR-16-1193/", "Инфо")</f>
        <v>Инфо</v>
      </c>
      <c r="F5182" s="16" t="s">
        <v>39</v>
      </c>
      <c r="G5182" s="15"/>
      <c r="H5182" s="15"/>
      <c r="I5182" s="15"/>
      <c r="J5182" s="17">
        <v>160</v>
      </c>
      <c r="K5182" s="15"/>
      <c r="L5182" s="17">
        <v>1</v>
      </c>
      <c r="M5182" s="17">
        <v>1</v>
      </c>
      <c r="N5182" s="17">
        <v>1</v>
      </c>
      <c r="O5182" s="18">
        <v>932.8</v>
      </c>
      <c r="P5182" s="18">
        <v>764.59</v>
      </c>
      <c r="Q5182" s="18">
        <v>792.88</v>
      </c>
      <c r="R5182" s="18">
        <v>649.9</v>
      </c>
      <c r="S5182" s="18">
        <v>634.29999999999995</v>
      </c>
      <c r="T5182" s="18">
        <v>519.91999999999996</v>
      </c>
      <c r="U5182" s="16"/>
      <c r="V5182" s="16"/>
      <c r="W5182" s="16" t="s">
        <v>40</v>
      </c>
      <c r="X5182" s="19">
        <v>0.34100000000000003</v>
      </c>
      <c r="Y5182" s="20">
        <v>5.8100000000000003E-4</v>
      </c>
      <c r="Z5182" s="21">
        <v>4601004295384</v>
      </c>
    </row>
    <row r="5183" spans="1:26" ht="12.95" customHeight="1" outlineLevel="2" x14ac:dyDescent="0.2">
      <c r="A5183" s="76" t="s">
        <v>10039</v>
      </c>
      <c r="B5183" s="76"/>
      <c r="C5183" s="77"/>
      <c r="D5183" s="58"/>
      <c r="E5183" s="68"/>
      <c r="F5183" s="13"/>
      <c r="G5183" s="13"/>
      <c r="H5183" s="13"/>
      <c r="I5183" s="13"/>
      <c r="J5183" s="13"/>
      <c r="K5183" s="13"/>
      <c r="L5183" s="13"/>
      <c r="M5183" s="13"/>
      <c r="N5183" s="13"/>
      <c r="O5183" s="13"/>
      <c r="P5183" s="13"/>
      <c r="Q5183" s="13"/>
      <c r="R5183" s="13"/>
      <c r="S5183" s="13"/>
      <c r="T5183" s="13"/>
      <c r="U5183" s="13"/>
      <c r="V5183" s="13"/>
      <c r="W5183" s="13"/>
      <c r="X5183" s="13"/>
      <c r="Y5183" s="13"/>
      <c r="Z5183" s="13"/>
    </row>
    <row r="5184" spans="1:26" ht="12.95" customHeight="1" outlineLevel="3" x14ac:dyDescent="0.2">
      <c r="A5184" s="76" t="s">
        <v>10040</v>
      </c>
      <c r="B5184" s="76"/>
      <c r="C5184" s="77"/>
      <c r="D5184" s="58"/>
      <c r="E5184" s="68"/>
      <c r="F5184" s="13"/>
      <c r="G5184" s="13"/>
      <c r="H5184" s="13"/>
      <c r="I5184" s="13"/>
      <c r="J5184" s="13"/>
      <c r="K5184" s="13"/>
      <c r="L5184" s="13"/>
      <c r="M5184" s="13"/>
      <c r="N5184" s="13"/>
      <c r="O5184" s="13"/>
      <c r="P5184" s="13"/>
      <c r="Q5184" s="13"/>
      <c r="R5184" s="13"/>
      <c r="S5184" s="13"/>
      <c r="T5184" s="13"/>
      <c r="U5184" s="13"/>
      <c r="V5184" s="13"/>
      <c r="W5184" s="13"/>
      <c r="X5184" s="13"/>
      <c r="Y5184" s="13"/>
      <c r="Z5184" s="13"/>
    </row>
    <row r="5185" spans="1:26" ht="12" customHeight="1" outlineLevel="4" x14ac:dyDescent="0.2">
      <c r="A5185" s="14" t="s">
        <v>10041</v>
      </c>
      <c r="B5185" s="26" t="s">
        <v>10042</v>
      </c>
      <c r="C5185" s="52"/>
      <c r="D5185" s="55">
        <f t="shared" si="80"/>
        <v>0</v>
      </c>
      <c r="E5185" s="63" t="str">
        <f>HYPERLINK("https://www.sds-group.ru/product/moyka-vysokogo-davleniya-kr-110-kranz-KR-16-1261/", "Инфо")</f>
        <v>Инфо</v>
      </c>
      <c r="F5185" s="16" t="s">
        <v>39</v>
      </c>
      <c r="G5185" s="15"/>
      <c r="H5185" s="15"/>
      <c r="I5185" s="15"/>
      <c r="J5185" s="16" t="s">
        <v>100</v>
      </c>
      <c r="K5185" s="15" t="s">
        <v>1058</v>
      </c>
      <c r="L5185" s="17">
        <v>1</v>
      </c>
      <c r="M5185" s="17">
        <v>1</v>
      </c>
      <c r="N5185" s="17">
        <v>1</v>
      </c>
      <c r="O5185" s="18">
        <v>10282.65</v>
      </c>
      <c r="P5185" s="18">
        <v>8428.4</v>
      </c>
      <c r="Q5185" s="18">
        <v>7197.86</v>
      </c>
      <c r="R5185" s="18">
        <v>5899.89</v>
      </c>
      <c r="S5185" s="18">
        <v>6992.2</v>
      </c>
      <c r="T5185" s="18">
        <v>5731.31</v>
      </c>
      <c r="U5185" s="16"/>
      <c r="V5185" s="16"/>
      <c r="W5185" s="16" t="s">
        <v>40</v>
      </c>
      <c r="X5185" s="19">
        <v>6.6429999999999998</v>
      </c>
      <c r="Y5185" s="20">
        <v>3.8585000000000001E-2</v>
      </c>
      <c r="Z5185" s="21">
        <v>4601004293984</v>
      </c>
    </row>
    <row r="5186" spans="1:26" ht="12" customHeight="1" outlineLevel="4" x14ac:dyDescent="0.2">
      <c r="A5186" s="14" t="s">
        <v>10043</v>
      </c>
      <c r="B5186" s="26" t="s">
        <v>10044</v>
      </c>
      <c r="C5186" s="52"/>
      <c r="D5186" s="55">
        <f t="shared" si="80"/>
        <v>0</v>
      </c>
      <c r="E5186" s="63" t="str">
        <f>HYPERLINK("https://www.sds-group.ru/product/moyka-vysokogo-davleniya-kr-170-kranz-KR-16-1262/", "Инфо")</f>
        <v>Инфо</v>
      </c>
      <c r="F5186" s="16" t="s">
        <v>39</v>
      </c>
      <c r="G5186" s="15"/>
      <c r="H5186" s="15"/>
      <c r="I5186" s="15"/>
      <c r="J5186" s="17">
        <v>20</v>
      </c>
      <c r="K5186" s="15" t="s">
        <v>1058</v>
      </c>
      <c r="L5186" s="17">
        <v>1</v>
      </c>
      <c r="M5186" s="17">
        <v>1</v>
      </c>
      <c r="N5186" s="17">
        <v>1</v>
      </c>
      <c r="O5186" s="18">
        <v>20482.38</v>
      </c>
      <c r="P5186" s="18">
        <v>16788.84</v>
      </c>
      <c r="Q5186" s="18">
        <v>14337.67</v>
      </c>
      <c r="R5186" s="18">
        <v>11752.19</v>
      </c>
      <c r="S5186" s="18">
        <v>13928.02</v>
      </c>
      <c r="T5186" s="18">
        <v>11416.41</v>
      </c>
      <c r="U5186" s="16"/>
      <c r="V5186" s="16"/>
      <c r="W5186" s="16" t="s">
        <v>40</v>
      </c>
      <c r="X5186" s="19">
        <v>13.667</v>
      </c>
      <c r="Y5186" s="20">
        <v>0.101022</v>
      </c>
      <c r="Z5186" s="21">
        <v>4601004293977</v>
      </c>
    </row>
    <row r="5187" spans="1:26" ht="12" customHeight="1" outlineLevel="4" x14ac:dyDescent="0.2">
      <c r="A5187" s="14" t="s">
        <v>10045</v>
      </c>
      <c r="B5187" s="26" t="s">
        <v>10046</v>
      </c>
      <c r="C5187" s="52"/>
      <c r="D5187" s="55">
        <f t="shared" si="80"/>
        <v>0</v>
      </c>
      <c r="E5187" s="63" t="str">
        <f>HYPERLINK("https://www.sds-group.ru/product/moyka-vysokogo-davleniya-kr-171-2200vt-450-l-ch-170-bar-kranz-KR-16-1269/", "Инфо")</f>
        <v>Инфо</v>
      </c>
      <c r="F5187" s="16" t="s">
        <v>39</v>
      </c>
      <c r="G5187" s="15"/>
      <c r="H5187" s="15"/>
      <c r="I5187" s="15"/>
      <c r="J5187" s="17">
        <v>8</v>
      </c>
      <c r="K5187" s="15" t="s">
        <v>1058</v>
      </c>
      <c r="L5187" s="17">
        <v>1</v>
      </c>
      <c r="M5187" s="17">
        <v>1</v>
      </c>
      <c r="N5187" s="17">
        <v>1</v>
      </c>
      <c r="O5187" s="18">
        <v>22638.42</v>
      </c>
      <c r="P5187" s="18">
        <v>18556.080000000002</v>
      </c>
      <c r="Q5187" s="18">
        <v>16073.28</v>
      </c>
      <c r="R5187" s="18">
        <v>13174.82</v>
      </c>
      <c r="S5187" s="18">
        <v>15394.13</v>
      </c>
      <c r="T5187" s="18">
        <v>12618.14</v>
      </c>
      <c r="U5187" s="16"/>
      <c r="V5187" s="16"/>
      <c r="W5187" s="16" t="s">
        <v>40</v>
      </c>
      <c r="X5187" s="19">
        <v>15.15</v>
      </c>
      <c r="Y5187" s="20">
        <v>0.13277800000000001</v>
      </c>
      <c r="Z5187" s="21">
        <v>4601004329867</v>
      </c>
    </row>
    <row r="5188" spans="1:26" ht="12" customHeight="1" outlineLevel="4" x14ac:dyDescent="0.2">
      <c r="A5188" s="14" t="s">
        <v>10047</v>
      </c>
      <c r="B5188" s="26" t="s">
        <v>10048</v>
      </c>
      <c r="C5188" s="52"/>
      <c r="D5188" s="55">
        <f t="shared" si="80"/>
        <v>0</v>
      </c>
      <c r="E5188" s="63" t="str">
        <f>HYPERLINK("https://www.sds-group.ru/product/moyka-vysokogo-davleniya-kr-210-kranz-KR-16-1263/", "Инфо")</f>
        <v>Инфо</v>
      </c>
      <c r="F5188" s="16" t="s">
        <v>39</v>
      </c>
      <c r="G5188" s="15"/>
      <c r="H5188" s="15"/>
      <c r="I5188" s="15"/>
      <c r="J5188" s="17">
        <v>26</v>
      </c>
      <c r="K5188" s="15" t="s">
        <v>1058</v>
      </c>
      <c r="L5188" s="17">
        <v>1</v>
      </c>
      <c r="M5188" s="17">
        <v>1</v>
      </c>
      <c r="N5188" s="17">
        <v>1</v>
      </c>
      <c r="O5188" s="18">
        <v>39926.67</v>
      </c>
      <c r="P5188" s="18">
        <v>32726.78</v>
      </c>
      <c r="Q5188" s="18">
        <v>27948.67</v>
      </c>
      <c r="R5188" s="18">
        <v>22908.75</v>
      </c>
      <c r="S5188" s="18">
        <v>27150.14</v>
      </c>
      <c r="T5188" s="18">
        <v>22254.21</v>
      </c>
      <c r="U5188" s="16"/>
      <c r="V5188" s="16"/>
      <c r="W5188" s="16" t="s">
        <v>40</v>
      </c>
      <c r="X5188" s="19">
        <v>24.7</v>
      </c>
      <c r="Y5188" s="20">
        <v>0.1356</v>
      </c>
      <c r="Z5188" s="21">
        <v>4601004293960</v>
      </c>
    </row>
    <row r="5189" spans="1:26" ht="12.95" customHeight="1" outlineLevel="2" x14ac:dyDescent="0.2">
      <c r="A5189" s="76" t="s">
        <v>10049</v>
      </c>
      <c r="B5189" s="76"/>
      <c r="C5189" s="77"/>
      <c r="D5189" s="58"/>
      <c r="E5189" s="68"/>
      <c r="F5189" s="13"/>
      <c r="G5189" s="13"/>
      <c r="H5189" s="13"/>
      <c r="I5189" s="13"/>
      <c r="J5189" s="13"/>
      <c r="K5189" s="13"/>
      <c r="L5189" s="13"/>
      <c r="M5189" s="13"/>
      <c r="N5189" s="13"/>
      <c r="O5189" s="13"/>
      <c r="P5189" s="13"/>
      <c r="Q5189" s="13"/>
      <c r="R5189" s="13"/>
      <c r="S5189" s="13"/>
      <c r="T5189" s="13"/>
      <c r="U5189" s="13"/>
      <c r="V5189" s="13"/>
      <c r="W5189" s="13"/>
      <c r="X5189" s="13"/>
      <c r="Y5189" s="13"/>
      <c r="Z5189" s="13"/>
    </row>
    <row r="5190" spans="1:26" ht="12" customHeight="1" outlineLevel="3" x14ac:dyDescent="0.2">
      <c r="A5190" s="14" t="s">
        <v>10050</v>
      </c>
      <c r="B5190" s="26" t="s">
        <v>10051</v>
      </c>
      <c r="C5190" s="52"/>
      <c r="D5190" s="55">
        <f t="shared" si="80"/>
        <v>0</v>
      </c>
      <c r="E5190" s="63" t="str">
        <f>HYPERLINK("https://www.sds-group.ru/product/motornoe-maslo-polusinteticheskoe-dlya-4-htaktnyh-dvigateley-sae-5w30-1l-kranz-KR-16-1299/", "Инфо")</f>
        <v>Инфо</v>
      </c>
      <c r="F5190" s="16" t="s">
        <v>39</v>
      </c>
      <c r="G5190" s="15"/>
      <c r="H5190" s="15"/>
      <c r="I5190" s="15"/>
      <c r="J5190" s="17">
        <v>590</v>
      </c>
      <c r="K5190" s="15"/>
      <c r="L5190" s="17">
        <v>1</v>
      </c>
      <c r="M5190" s="17">
        <v>12</v>
      </c>
      <c r="N5190" s="17">
        <v>1</v>
      </c>
      <c r="O5190" s="18">
        <v>916.31</v>
      </c>
      <c r="P5190" s="18">
        <v>751.07</v>
      </c>
      <c r="Q5190" s="18">
        <v>733.05</v>
      </c>
      <c r="R5190" s="18">
        <v>600.86</v>
      </c>
      <c r="S5190" s="18">
        <v>623.09</v>
      </c>
      <c r="T5190" s="18">
        <v>510.73</v>
      </c>
      <c r="U5190" s="16"/>
      <c r="V5190" s="16"/>
      <c r="W5190" s="16" t="s">
        <v>40</v>
      </c>
      <c r="X5190" s="19">
        <v>0.89200000000000002</v>
      </c>
      <c r="Y5190" s="20">
        <v>1.5449999999999999E-3</v>
      </c>
      <c r="Z5190" s="21">
        <v>4601004291607</v>
      </c>
    </row>
    <row r="5191" spans="1:26" ht="12" customHeight="1" outlineLevel="3" x14ac:dyDescent="0.2">
      <c r="A5191" s="14" t="s">
        <v>10052</v>
      </c>
      <c r="B5191" s="26" t="s">
        <v>10053</v>
      </c>
      <c r="C5191" s="52"/>
      <c r="D5191" s="55">
        <f t="shared" si="80"/>
        <v>0</v>
      </c>
      <c r="E5191" s="63" t="str">
        <f>HYPERLINK("https://www.sds-group.ru/product/chehol-dlya-snegouborschika-i-sadovo-uborochnoy-tehniki-chernyy-kranz-KR-16-1301/", "Инфо")</f>
        <v>Инфо</v>
      </c>
      <c r="F5191" s="16" t="s">
        <v>39</v>
      </c>
      <c r="G5191" s="15"/>
      <c r="H5191" s="15"/>
      <c r="I5191" s="15"/>
      <c r="J5191" s="17">
        <v>123</v>
      </c>
      <c r="K5191" s="15"/>
      <c r="L5191" s="17">
        <v>1</v>
      </c>
      <c r="M5191" s="17">
        <v>1</v>
      </c>
      <c r="N5191" s="17">
        <v>1</v>
      </c>
      <c r="O5191" s="18">
        <v>3147.87</v>
      </c>
      <c r="P5191" s="18">
        <v>2580.2199999999998</v>
      </c>
      <c r="Q5191" s="18">
        <v>2423.86</v>
      </c>
      <c r="R5191" s="18">
        <v>1986.77</v>
      </c>
      <c r="S5191" s="18">
        <v>2140.5500000000002</v>
      </c>
      <c r="T5191" s="18">
        <v>1754.55</v>
      </c>
      <c r="U5191" s="16"/>
      <c r="V5191" s="16"/>
      <c r="W5191" s="16" t="s">
        <v>40</v>
      </c>
      <c r="X5191" s="19">
        <v>0.47899999999999998</v>
      </c>
      <c r="Y5191" s="20">
        <v>3.3040000000000001E-3</v>
      </c>
      <c r="Z5191" s="21">
        <v>4601004293212</v>
      </c>
    </row>
    <row r="5192" spans="1:26" ht="12.95" customHeight="1" outlineLevel="2" x14ac:dyDescent="0.2">
      <c r="A5192" s="76" t="s">
        <v>10054</v>
      </c>
      <c r="B5192" s="76"/>
      <c r="C5192" s="77"/>
      <c r="D5192" s="58"/>
      <c r="E5192" s="68"/>
      <c r="F5192" s="13"/>
      <c r="G5192" s="13"/>
      <c r="H5192" s="13"/>
      <c r="I5192" s="13"/>
      <c r="J5192" s="13"/>
      <c r="K5192" s="13"/>
      <c r="L5192" s="13"/>
      <c r="M5192" s="13"/>
      <c r="N5192" s="13"/>
      <c r="O5192" s="13"/>
      <c r="P5192" s="13"/>
      <c r="Q5192" s="13"/>
      <c r="R5192" s="13"/>
      <c r="S5192" s="13"/>
      <c r="T5192" s="13"/>
      <c r="U5192" s="13"/>
      <c r="V5192" s="13"/>
      <c r="W5192" s="13"/>
      <c r="X5192" s="13"/>
      <c r="Y5192" s="13"/>
      <c r="Z5192" s="13"/>
    </row>
    <row r="5193" spans="1:26" ht="12" customHeight="1" outlineLevel="3" x14ac:dyDescent="0.2">
      <c r="A5193" s="14" t="s">
        <v>10055</v>
      </c>
      <c r="B5193" s="26" t="s">
        <v>10056</v>
      </c>
      <c r="C5193" s="52"/>
      <c r="D5193" s="55">
        <f t="shared" ref="D5193:D5256" si="81">C5193*(O5193-O5193*$G$3)</f>
        <v>0</v>
      </c>
      <c r="E5193" s="63" t="str">
        <f>HYPERLINK("https://www.sds-group.ru/product/pistolet-gvozdezabivnoy-gazovyy-montazhnyy-gn100-100dzh-dlina-gvozdey-15-40mm-diametr-2-7-KR-16-1655/", "Инфо")</f>
        <v>Инфо</v>
      </c>
      <c r="F5193" s="16" t="s">
        <v>39</v>
      </c>
      <c r="G5193" s="15"/>
      <c r="H5193" s="15"/>
      <c r="I5193" s="15"/>
      <c r="J5193" s="17">
        <v>1</v>
      </c>
      <c r="K5193" s="15" t="s">
        <v>1277</v>
      </c>
      <c r="L5193" s="17">
        <v>1</v>
      </c>
      <c r="M5193" s="17">
        <v>2</v>
      </c>
      <c r="N5193" s="17">
        <v>1</v>
      </c>
      <c r="O5193" s="18">
        <v>45915.66</v>
      </c>
      <c r="P5193" s="18">
        <v>37635.79</v>
      </c>
      <c r="Q5193" s="18">
        <v>35814.21</v>
      </c>
      <c r="R5193" s="18">
        <v>29355.91</v>
      </c>
      <c r="S5193" s="18">
        <v>31222.65</v>
      </c>
      <c r="T5193" s="18">
        <v>25592.34</v>
      </c>
      <c r="U5193" s="16"/>
      <c r="V5193" s="16"/>
      <c r="W5193" s="16" t="s">
        <v>40</v>
      </c>
      <c r="X5193" s="19">
        <v>7.9219999999999997</v>
      </c>
      <c r="Y5193" s="20">
        <v>3.6461E-2</v>
      </c>
      <c r="Z5193" s="21">
        <v>4601004317086</v>
      </c>
    </row>
    <row r="5194" spans="1:26" ht="12" customHeight="1" outlineLevel="3" x14ac:dyDescent="0.2">
      <c r="A5194" s="14" t="s">
        <v>10057</v>
      </c>
      <c r="B5194" s="26" t="s">
        <v>10058</v>
      </c>
      <c r="C5194" s="52"/>
      <c r="D5194" s="55">
        <f t="shared" si="81"/>
        <v>0</v>
      </c>
      <c r="E5194" s="63" t="str">
        <f>HYPERLINK("https://www.sds-group.ru/product/pistolet-gvozdezabivnoy-gazovyy-montazhnyy-gn95-95dzh-dlina-gvozdey-15-40mm-diametr-2-7-3-KR-16-1650/", "Инфо")</f>
        <v>Инфо</v>
      </c>
      <c r="F5194" s="16" t="s">
        <v>39</v>
      </c>
      <c r="G5194" s="15"/>
      <c r="H5194" s="15"/>
      <c r="I5194" s="15"/>
      <c r="J5194" s="16" t="s">
        <v>100</v>
      </c>
      <c r="K5194" s="15" t="s">
        <v>1277</v>
      </c>
      <c r="L5194" s="17">
        <v>1</v>
      </c>
      <c r="M5194" s="17">
        <v>2</v>
      </c>
      <c r="N5194" s="17">
        <v>1</v>
      </c>
      <c r="O5194" s="18">
        <v>40425.75</v>
      </c>
      <c r="P5194" s="18">
        <v>33135.86</v>
      </c>
      <c r="Q5194" s="18">
        <v>31532.09</v>
      </c>
      <c r="R5194" s="18">
        <v>25845.98</v>
      </c>
      <c r="S5194" s="18">
        <v>27489.51</v>
      </c>
      <c r="T5194" s="18">
        <v>22532.39</v>
      </c>
      <c r="U5194" s="16"/>
      <c r="V5194" s="16"/>
      <c r="W5194" s="16" t="s">
        <v>40</v>
      </c>
      <c r="X5194" s="19">
        <v>4.7969999999999997</v>
      </c>
      <c r="Y5194" s="20">
        <v>2.5752000000000001E-2</v>
      </c>
      <c r="Z5194" s="21">
        <v>4601004317079</v>
      </c>
    </row>
    <row r="5195" spans="1:26" ht="12" customHeight="1" outlineLevel="3" x14ac:dyDescent="0.2">
      <c r="A5195" s="14" t="s">
        <v>10059</v>
      </c>
      <c r="B5195" s="26" t="s">
        <v>10060</v>
      </c>
      <c r="C5195" s="52"/>
      <c r="D5195" s="55">
        <f t="shared" si="81"/>
        <v>0</v>
      </c>
      <c r="E5195" s="63" t="str">
        <f>HYPERLINK("https://www.sds-group.ru/product/pnevmopistolet-gvozdezabivnoy-neyler-2v1-n50-s40-kranz-KR-16-1610/", "Инфо")</f>
        <v>Инфо</v>
      </c>
      <c r="F5195" s="16" t="s">
        <v>39</v>
      </c>
      <c r="G5195" s="15"/>
      <c r="H5195" s="15"/>
      <c r="I5195" s="15"/>
      <c r="J5195" s="17">
        <v>851</v>
      </c>
      <c r="K5195" s="15" t="s">
        <v>1055</v>
      </c>
      <c r="L5195" s="17">
        <v>1</v>
      </c>
      <c r="M5195" s="17">
        <v>10</v>
      </c>
      <c r="N5195" s="17">
        <v>1</v>
      </c>
      <c r="O5195" s="18">
        <v>7269.15</v>
      </c>
      <c r="P5195" s="18">
        <v>5958.32</v>
      </c>
      <c r="Q5195" s="18">
        <v>5597.25</v>
      </c>
      <c r="R5195" s="18">
        <v>4587.91</v>
      </c>
      <c r="S5195" s="18">
        <v>4943.0200000000004</v>
      </c>
      <c r="T5195" s="18">
        <v>4051.66</v>
      </c>
      <c r="U5195" s="16"/>
      <c r="V5195" s="16"/>
      <c r="W5195" s="16" t="s">
        <v>40</v>
      </c>
      <c r="X5195" s="19">
        <v>2.6819999999999999</v>
      </c>
      <c r="Y5195" s="20">
        <v>8.5559999999999994E-3</v>
      </c>
      <c r="Z5195" s="21">
        <v>4601004316195</v>
      </c>
    </row>
    <row r="5196" spans="1:26" ht="12" customHeight="1" outlineLevel="3" x14ac:dyDescent="0.2">
      <c r="A5196" s="14" t="s">
        <v>10061</v>
      </c>
      <c r="B5196" s="26" t="s">
        <v>10062</v>
      </c>
      <c r="C5196" s="52"/>
      <c r="D5196" s="55">
        <f t="shared" si="81"/>
        <v>0</v>
      </c>
      <c r="E5196" s="63" t="str">
        <f>HYPERLINK("https://www.sds-group.ru/product/pnevmopistolet-gvozdezabivnoy-neyler-n90-d21-naklon-21-gradus-kranz-KR-16-1620/", "Инфо")</f>
        <v>Инфо</v>
      </c>
      <c r="F5196" s="16" t="s">
        <v>39</v>
      </c>
      <c r="G5196" s="15"/>
      <c r="H5196" s="15"/>
      <c r="I5196" s="15"/>
      <c r="J5196" s="17">
        <v>87</v>
      </c>
      <c r="K5196" s="15" t="s">
        <v>1055</v>
      </c>
      <c r="L5196" s="17">
        <v>1</v>
      </c>
      <c r="M5196" s="17">
        <v>4</v>
      </c>
      <c r="N5196" s="17">
        <v>1</v>
      </c>
      <c r="O5196" s="18">
        <v>24643.24</v>
      </c>
      <c r="P5196" s="18">
        <v>20199.38</v>
      </c>
      <c r="Q5196" s="18">
        <v>18975.29</v>
      </c>
      <c r="R5196" s="18">
        <v>15553.52</v>
      </c>
      <c r="S5196" s="18">
        <v>16757.400000000001</v>
      </c>
      <c r="T5196" s="18">
        <v>13735.57</v>
      </c>
      <c r="U5196" s="16"/>
      <c r="V5196" s="16"/>
      <c r="W5196" s="16" t="s">
        <v>40</v>
      </c>
      <c r="X5196" s="19">
        <v>8.15</v>
      </c>
      <c r="Y5196" s="20">
        <v>4.4201999999999998E-2</v>
      </c>
      <c r="Z5196" s="21">
        <v>4601004316201</v>
      </c>
    </row>
    <row r="5197" spans="1:26" ht="12.95" customHeight="1" outlineLevel="3" x14ac:dyDescent="0.2">
      <c r="A5197" s="76" t="s">
        <v>10063</v>
      </c>
      <c r="B5197" s="76"/>
      <c r="C5197" s="77"/>
      <c r="D5197" s="58"/>
      <c r="E5197" s="68"/>
      <c r="F5197" s="13"/>
      <c r="G5197" s="13"/>
      <c r="H5197" s="13"/>
      <c r="I5197" s="13"/>
      <c r="J5197" s="13"/>
      <c r="K5197" s="13"/>
      <c r="L5197" s="13"/>
      <c r="M5197" s="13"/>
      <c r="N5197" s="13"/>
      <c r="O5197" s="13"/>
      <c r="P5197" s="13"/>
      <c r="Q5197" s="13"/>
      <c r="R5197" s="13"/>
      <c r="S5197" s="13"/>
      <c r="T5197" s="13"/>
      <c r="U5197" s="13"/>
      <c r="V5197" s="13"/>
      <c r="W5197" s="13"/>
      <c r="X5197" s="13"/>
      <c r="Y5197" s="13"/>
      <c r="Z5197" s="13"/>
    </row>
    <row r="5198" spans="1:26" ht="12" customHeight="1" outlineLevel="4" x14ac:dyDescent="0.2">
      <c r="A5198" s="40" t="s">
        <v>10064</v>
      </c>
      <c r="B5198" s="75" t="s">
        <v>10065</v>
      </c>
      <c r="C5198" s="51"/>
      <c r="D5198" s="54">
        <f t="shared" si="81"/>
        <v>0</v>
      </c>
      <c r="E5198" s="62"/>
      <c r="F5198" s="42" t="s">
        <v>39</v>
      </c>
      <c r="G5198" s="41" t="s">
        <v>40</v>
      </c>
      <c r="H5198" s="41"/>
      <c r="I5198" s="41"/>
      <c r="J5198" s="47">
        <v>2521</v>
      </c>
      <c r="K5198" s="41" t="s">
        <v>995</v>
      </c>
      <c r="L5198" s="43">
        <v>1</v>
      </c>
      <c r="M5198" s="43">
        <v>120</v>
      </c>
      <c r="N5198" s="43">
        <v>1</v>
      </c>
      <c r="O5198" s="44">
        <v>634.37</v>
      </c>
      <c r="P5198" s="44">
        <v>519.98</v>
      </c>
      <c r="Q5198" s="44">
        <v>545.55999999999995</v>
      </c>
      <c r="R5198" s="44">
        <v>447.18</v>
      </c>
      <c r="S5198" s="44">
        <v>431.37</v>
      </c>
      <c r="T5198" s="44">
        <v>353.58</v>
      </c>
      <c r="U5198" s="42"/>
      <c r="V5198" s="42"/>
      <c r="W5198" s="42" t="s">
        <v>40</v>
      </c>
      <c r="X5198" s="45">
        <v>0.104</v>
      </c>
      <c r="Y5198" s="46">
        <v>2.6200000000000003E-4</v>
      </c>
      <c r="Z5198" s="21">
        <v>4601004343566</v>
      </c>
    </row>
    <row r="5199" spans="1:26" ht="12" customHeight="1" outlineLevel="4" x14ac:dyDescent="0.2">
      <c r="A5199" s="14" t="s">
        <v>10066</v>
      </c>
      <c r="B5199" s="26" t="s">
        <v>10067</v>
      </c>
      <c r="C5199" s="52"/>
      <c r="D5199" s="55">
        <f t="shared" si="81"/>
        <v>0</v>
      </c>
      <c r="E5199" s="63" t="str">
        <f>HYPERLINK("https://www.sds-group.ru/product/gvozdi-po-betonu-3h19mm-1000-sht-kranz-KR-16-1714/", "Инфо")</f>
        <v>Инфо</v>
      </c>
      <c r="F5199" s="16" t="s">
        <v>1001</v>
      </c>
      <c r="G5199" s="15"/>
      <c r="H5199" s="15"/>
      <c r="I5199" s="15"/>
      <c r="J5199" s="16" t="s">
        <v>100</v>
      </c>
      <c r="K5199" s="15" t="s">
        <v>1277</v>
      </c>
      <c r="L5199" s="17">
        <v>1</v>
      </c>
      <c r="M5199" s="17">
        <v>10</v>
      </c>
      <c r="N5199" s="17">
        <v>1</v>
      </c>
      <c r="O5199" s="18">
        <v>1747.11</v>
      </c>
      <c r="P5199" s="18">
        <v>1432.06</v>
      </c>
      <c r="Q5199" s="18">
        <v>1485.04</v>
      </c>
      <c r="R5199" s="18">
        <v>1217.25</v>
      </c>
      <c r="S5199" s="18">
        <v>1188.03</v>
      </c>
      <c r="T5199" s="18">
        <v>973.8</v>
      </c>
      <c r="U5199" s="16"/>
      <c r="V5199" s="16"/>
      <c r="W5199" s="16" t="s">
        <v>40</v>
      </c>
      <c r="X5199" s="19">
        <v>1.286</v>
      </c>
      <c r="Y5199" s="20">
        <v>1.905E-3</v>
      </c>
      <c r="Z5199" s="21">
        <v>4601004329188</v>
      </c>
    </row>
    <row r="5200" spans="1:26" ht="12" customHeight="1" outlineLevel="4" x14ac:dyDescent="0.2">
      <c r="A5200" s="14" t="s">
        <v>10068</v>
      </c>
      <c r="B5200" s="26" t="s">
        <v>10069</v>
      </c>
      <c r="C5200" s="52"/>
      <c r="D5200" s="55">
        <f t="shared" si="81"/>
        <v>0</v>
      </c>
      <c r="E5200" s="63" t="str">
        <f>HYPERLINK("https://www.sds-group.ru/product/gvozdi-po-betonu-3h22mm-1000-sht-kranz-KR-16-1716/", "Инфо")</f>
        <v>Инфо</v>
      </c>
      <c r="F5200" s="16" t="s">
        <v>1001</v>
      </c>
      <c r="G5200" s="15"/>
      <c r="H5200" s="15"/>
      <c r="I5200" s="15"/>
      <c r="J5200" s="17">
        <v>395</v>
      </c>
      <c r="K5200" s="15" t="s">
        <v>1277</v>
      </c>
      <c r="L5200" s="17">
        <v>1</v>
      </c>
      <c r="M5200" s="17">
        <v>10</v>
      </c>
      <c r="N5200" s="17">
        <v>1</v>
      </c>
      <c r="O5200" s="18">
        <v>1792.66</v>
      </c>
      <c r="P5200" s="18">
        <v>1469.39</v>
      </c>
      <c r="Q5200" s="18">
        <v>1523.76</v>
      </c>
      <c r="R5200" s="18">
        <v>1248.98</v>
      </c>
      <c r="S5200" s="18">
        <v>1219.01</v>
      </c>
      <c r="T5200" s="18">
        <v>999.19</v>
      </c>
      <c r="U5200" s="16"/>
      <c r="V5200" s="16"/>
      <c r="W5200" s="16" t="s">
        <v>40</v>
      </c>
      <c r="X5200" s="19">
        <v>1.41</v>
      </c>
      <c r="Y5200" s="20">
        <v>1.8779999999999999E-3</v>
      </c>
      <c r="Z5200" s="21">
        <v>4601004329164</v>
      </c>
    </row>
    <row r="5201" spans="1:26" ht="12" customHeight="1" outlineLevel="4" x14ac:dyDescent="0.2">
      <c r="A5201" s="14" t="s">
        <v>10070</v>
      </c>
      <c r="B5201" s="26" t="s">
        <v>10071</v>
      </c>
      <c r="C5201" s="52"/>
      <c r="D5201" s="55">
        <f t="shared" si="81"/>
        <v>0</v>
      </c>
      <c r="E5201" s="63" t="str">
        <f>HYPERLINK("https://www.sds-group.ru/product/gvozdi-po-betonu-3h25mm-1000-sht-kranz-KR-16-1718/", "Инфо")</f>
        <v>Инфо</v>
      </c>
      <c r="F5201" s="16" t="s">
        <v>1001</v>
      </c>
      <c r="G5201" s="15"/>
      <c r="H5201" s="15"/>
      <c r="I5201" s="15"/>
      <c r="J5201" s="17">
        <v>732</v>
      </c>
      <c r="K5201" s="15" t="s">
        <v>1277</v>
      </c>
      <c r="L5201" s="17">
        <v>1</v>
      </c>
      <c r="M5201" s="17">
        <v>10</v>
      </c>
      <c r="N5201" s="17">
        <v>1</v>
      </c>
      <c r="O5201" s="18">
        <v>1894.26</v>
      </c>
      <c r="P5201" s="18">
        <v>1552.67</v>
      </c>
      <c r="Q5201" s="18">
        <v>1610.12</v>
      </c>
      <c r="R5201" s="18">
        <v>1319.77</v>
      </c>
      <c r="S5201" s="18">
        <v>1288.0999999999999</v>
      </c>
      <c r="T5201" s="18">
        <v>1055.82</v>
      </c>
      <c r="U5201" s="16"/>
      <c r="V5201" s="16"/>
      <c r="W5201" s="16" t="s">
        <v>40</v>
      </c>
      <c r="X5201" s="19">
        <v>1.5720000000000001</v>
      </c>
      <c r="Y5201" s="20">
        <v>1.933E-3</v>
      </c>
      <c r="Z5201" s="21">
        <v>4601004329171</v>
      </c>
    </row>
    <row r="5202" spans="1:26" ht="12.95" customHeight="1" outlineLevel="1" x14ac:dyDescent="0.2">
      <c r="A5202" s="78" t="s">
        <v>10072</v>
      </c>
      <c r="B5202" s="78"/>
      <c r="C5202" s="79"/>
      <c r="D5202" s="57"/>
      <c r="E5202" s="67"/>
      <c r="F5202" s="12"/>
      <c r="G5202" s="12"/>
      <c r="H5202" s="12"/>
      <c r="I5202" s="12"/>
      <c r="J5202" s="12"/>
      <c r="K5202" s="12"/>
      <c r="L5202" s="12"/>
      <c r="M5202" s="12"/>
      <c r="N5202" s="12"/>
      <c r="O5202" s="12"/>
      <c r="P5202" s="12"/>
      <c r="Q5202" s="12"/>
      <c r="R5202" s="12"/>
      <c r="S5202" s="12"/>
      <c r="T5202" s="12"/>
      <c r="U5202" s="12"/>
      <c r="V5202" s="12"/>
      <c r="W5202" s="12"/>
      <c r="X5202" s="12"/>
      <c r="Y5202" s="12"/>
      <c r="Z5202" s="12"/>
    </row>
    <row r="5203" spans="1:26" ht="12.95" customHeight="1" outlineLevel="2" x14ac:dyDescent="0.2">
      <c r="A5203" s="76" t="s">
        <v>10073</v>
      </c>
      <c r="B5203" s="76"/>
      <c r="C5203" s="77"/>
      <c r="D5203" s="58"/>
      <c r="E5203" s="68"/>
      <c r="F5203" s="13"/>
      <c r="G5203" s="13"/>
      <c r="H5203" s="13"/>
      <c r="I5203" s="13"/>
      <c r="J5203" s="13"/>
      <c r="K5203" s="13"/>
      <c r="L5203" s="13"/>
      <c r="M5203" s="13"/>
      <c r="N5203" s="13"/>
      <c r="O5203" s="13"/>
      <c r="P5203" s="13"/>
      <c r="Q5203" s="13"/>
      <c r="R5203" s="13"/>
      <c r="S5203" s="13"/>
      <c r="T5203" s="13"/>
      <c r="U5203" s="13"/>
      <c r="V5203" s="13"/>
      <c r="W5203" s="13"/>
      <c r="X5203" s="13"/>
      <c r="Y5203" s="13"/>
      <c r="Z5203" s="13"/>
    </row>
    <row r="5204" spans="1:26" ht="12.95" customHeight="1" outlineLevel="3" x14ac:dyDescent="0.2">
      <c r="A5204" s="76" t="s">
        <v>10074</v>
      </c>
      <c r="B5204" s="76"/>
      <c r="C5204" s="77"/>
      <c r="D5204" s="58"/>
      <c r="E5204" s="68"/>
      <c r="F5204" s="13"/>
      <c r="G5204" s="13"/>
      <c r="H5204" s="13"/>
      <c r="I5204" s="13"/>
      <c r="J5204" s="13"/>
      <c r="K5204" s="13"/>
      <c r="L5204" s="13"/>
      <c r="M5204" s="13"/>
      <c r="N5204" s="13"/>
      <c r="O5204" s="13"/>
      <c r="P5204" s="13"/>
      <c r="Q5204" s="13"/>
      <c r="R5204" s="13"/>
      <c r="S5204" s="13"/>
      <c r="T5204" s="13"/>
      <c r="U5204" s="13"/>
      <c r="V5204" s="13"/>
      <c r="W5204" s="13"/>
      <c r="X5204" s="13"/>
      <c r="Y5204" s="13"/>
      <c r="Z5204" s="13"/>
    </row>
    <row r="5205" spans="1:26" ht="12" customHeight="1" outlineLevel="4" x14ac:dyDescent="0.2">
      <c r="A5205" s="14" t="s">
        <v>10075</v>
      </c>
      <c r="B5205" s="26" t="s">
        <v>10076</v>
      </c>
      <c r="C5205" s="52"/>
      <c r="D5205" s="55">
        <f t="shared" si="81"/>
        <v>0</v>
      </c>
      <c r="E5205" s="63" t="str">
        <f>HYPERLINK("https://www.sds-group.ru/product/gazovaya-gorelka-nasadka-gt-16-mehanicheskaya-s-regulyatorom-rexant-12-0016/", "Инфо")</f>
        <v>Инфо</v>
      </c>
      <c r="F5205" s="16" t="s">
        <v>39</v>
      </c>
      <c r="G5205" s="15"/>
      <c r="H5205" s="15"/>
      <c r="I5205" s="15"/>
      <c r="J5205" s="22">
        <v>1799</v>
      </c>
      <c r="K5205" s="15" t="s">
        <v>9986</v>
      </c>
      <c r="L5205" s="17">
        <v>6</v>
      </c>
      <c r="M5205" s="17">
        <v>120</v>
      </c>
      <c r="N5205" s="17">
        <v>6</v>
      </c>
      <c r="O5205" s="18">
        <v>388.09</v>
      </c>
      <c r="P5205" s="18">
        <v>318.11</v>
      </c>
      <c r="Q5205" s="18">
        <v>310.47000000000003</v>
      </c>
      <c r="R5205" s="18">
        <v>254.48</v>
      </c>
      <c r="S5205" s="18">
        <v>263.89999999999998</v>
      </c>
      <c r="T5205" s="18">
        <v>216.31</v>
      </c>
      <c r="U5205" s="16"/>
      <c r="V5205" s="16"/>
      <c r="W5205" s="16" t="s">
        <v>40</v>
      </c>
      <c r="X5205" s="19">
        <v>0.111</v>
      </c>
      <c r="Y5205" s="20">
        <v>5.5099999999999995E-4</v>
      </c>
      <c r="Z5205" s="21">
        <v>4601004061590</v>
      </c>
    </row>
    <row r="5206" spans="1:26" ht="12" customHeight="1" outlineLevel="4" x14ac:dyDescent="0.2">
      <c r="A5206" s="14" t="s">
        <v>10077</v>
      </c>
      <c r="B5206" s="26" t="s">
        <v>10078</v>
      </c>
      <c r="C5206" s="52"/>
      <c r="D5206" s="55">
        <f t="shared" si="81"/>
        <v>0</v>
      </c>
      <c r="E5206" s="63" t="str">
        <f>HYPERLINK("https://www.sds-group.ru/product/gazovaya-gorelka-nasadka-gt-17-mehanicheskaya-s-regulyatorom-rexant-12-0017/", "Инфо")</f>
        <v>Инфо</v>
      </c>
      <c r="F5206" s="16" t="s">
        <v>39</v>
      </c>
      <c r="G5206" s="15"/>
      <c r="H5206" s="15"/>
      <c r="I5206" s="15"/>
      <c r="J5206" s="22">
        <v>2153</v>
      </c>
      <c r="K5206" s="15" t="s">
        <v>210</v>
      </c>
      <c r="L5206" s="17">
        <v>5</v>
      </c>
      <c r="M5206" s="17">
        <v>120</v>
      </c>
      <c r="N5206" s="17">
        <v>5</v>
      </c>
      <c r="O5206" s="18">
        <v>436.59</v>
      </c>
      <c r="P5206" s="18">
        <v>357.86</v>
      </c>
      <c r="Q5206" s="18">
        <v>349.27</v>
      </c>
      <c r="R5206" s="18">
        <v>286.29000000000002</v>
      </c>
      <c r="S5206" s="18">
        <v>296.88</v>
      </c>
      <c r="T5206" s="18">
        <v>243.34</v>
      </c>
      <c r="U5206" s="16"/>
      <c r="V5206" s="16"/>
      <c r="W5206" s="16" t="s">
        <v>40</v>
      </c>
      <c r="X5206" s="19">
        <v>0.152</v>
      </c>
      <c r="Y5206" s="20">
        <v>8.9599999999999999E-4</v>
      </c>
      <c r="Z5206" s="21">
        <v>4601004045859</v>
      </c>
    </row>
    <row r="5207" spans="1:26" ht="12" customHeight="1" outlineLevel="4" x14ac:dyDescent="0.2">
      <c r="A5207" s="14" t="s">
        <v>10079</v>
      </c>
      <c r="B5207" s="26" t="s">
        <v>10080</v>
      </c>
      <c r="C5207" s="52"/>
      <c r="D5207" s="55">
        <f t="shared" si="81"/>
        <v>0</v>
      </c>
      <c r="E5207" s="63" t="str">
        <f>HYPERLINK("https://www.sds-group.ru/product/gazovaya-gorelka-nasadka-gt-18-mehanicheskaya-s-regulyatorom-payalnogo-tipa-rexant-12-0018/", "Инфо")</f>
        <v>Инфо</v>
      </c>
      <c r="F5207" s="16" t="s">
        <v>39</v>
      </c>
      <c r="G5207" s="15"/>
      <c r="H5207" s="15"/>
      <c r="I5207" s="15"/>
      <c r="J5207" s="17">
        <v>653</v>
      </c>
      <c r="K5207" s="15" t="s">
        <v>9986</v>
      </c>
      <c r="L5207" s="17">
        <v>5</v>
      </c>
      <c r="M5207" s="17">
        <v>120</v>
      </c>
      <c r="N5207" s="17">
        <v>5</v>
      </c>
      <c r="O5207" s="18">
        <v>603.69000000000005</v>
      </c>
      <c r="P5207" s="18">
        <v>494.83</v>
      </c>
      <c r="Q5207" s="18">
        <v>482.95</v>
      </c>
      <c r="R5207" s="18">
        <v>395.86</v>
      </c>
      <c r="S5207" s="18">
        <v>410.51</v>
      </c>
      <c r="T5207" s="18">
        <v>336.48</v>
      </c>
      <c r="U5207" s="16"/>
      <c r="V5207" s="16"/>
      <c r="W5207" s="16" t="s">
        <v>40</v>
      </c>
      <c r="X5207" s="19">
        <v>0.129</v>
      </c>
      <c r="Y5207" s="20">
        <v>8.5099999999999998E-4</v>
      </c>
      <c r="Z5207" s="21">
        <v>4601004045866</v>
      </c>
    </row>
    <row r="5208" spans="1:26" ht="12" customHeight="1" outlineLevel="4" x14ac:dyDescent="0.2">
      <c r="A5208" s="14" t="s">
        <v>10081</v>
      </c>
      <c r="B5208" s="26" t="s">
        <v>10082</v>
      </c>
      <c r="C5208" s="52"/>
      <c r="D5208" s="55">
        <f t="shared" si="81"/>
        <v>0</v>
      </c>
      <c r="E5208" s="63" t="str">
        <f>HYPERLINK("https://www.sds-group.ru/product/gazovaya-gorelka-nasadka-gt-21-mehanicheskaya-s-regulyatorom-udlinennogo-tipa-rexant-12-0021/", "Инфо")</f>
        <v>Инфо</v>
      </c>
      <c r="F5208" s="16" t="s">
        <v>39</v>
      </c>
      <c r="G5208" s="15"/>
      <c r="H5208" s="15"/>
      <c r="I5208" s="15"/>
      <c r="J5208" s="17">
        <v>328</v>
      </c>
      <c r="K5208" s="15"/>
      <c r="L5208" s="17">
        <v>1</v>
      </c>
      <c r="M5208" s="17">
        <v>40</v>
      </c>
      <c r="N5208" s="17">
        <v>1</v>
      </c>
      <c r="O5208" s="18">
        <v>2889.09</v>
      </c>
      <c r="P5208" s="18">
        <v>2368.11</v>
      </c>
      <c r="Q5208" s="18">
        <v>2224.6</v>
      </c>
      <c r="R5208" s="18">
        <v>1823.44</v>
      </c>
      <c r="S5208" s="18">
        <v>1964.58</v>
      </c>
      <c r="T5208" s="18">
        <v>1610.31</v>
      </c>
      <c r="U5208" s="16"/>
      <c r="V5208" s="16"/>
      <c r="W5208" s="16" t="s">
        <v>40</v>
      </c>
      <c r="X5208" s="19">
        <v>0.503</v>
      </c>
      <c r="Y5208" s="20">
        <v>2.787E-3</v>
      </c>
      <c r="Z5208" s="21">
        <v>4601004045880</v>
      </c>
    </row>
    <row r="5209" spans="1:26" ht="12.95" customHeight="1" outlineLevel="3" x14ac:dyDescent="0.2">
      <c r="A5209" s="76" t="s">
        <v>10083</v>
      </c>
      <c r="B5209" s="76"/>
      <c r="C5209" s="77"/>
      <c r="D5209" s="58"/>
      <c r="E5209" s="68"/>
      <c r="F5209" s="13"/>
      <c r="G5209" s="13"/>
      <c r="H5209" s="13"/>
      <c r="I5209" s="13"/>
      <c r="J5209" s="13"/>
      <c r="K5209" s="13"/>
      <c r="L5209" s="13"/>
      <c r="M5209" s="13"/>
      <c r="N5209" s="13"/>
      <c r="O5209" s="13"/>
      <c r="P5209" s="13"/>
      <c r="Q5209" s="13"/>
      <c r="R5209" s="13"/>
      <c r="S5209" s="13"/>
      <c r="T5209" s="13"/>
      <c r="U5209" s="13"/>
      <c r="V5209" s="13"/>
      <c r="W5209" s="13"/>
      <c r="X5209" s="13"/>
      <c r="Y5209" s="13"/>
      <c r="Z5209" s="13"/>
    </row>
    <row r="5210" spans="1:26" ht="12" customHeight="1" outlineLevel="4" x14ac:dyDescent="0.2">
      <c r="A5210" s="14" t="s">
        <v>10084</v>
      </c>
      <c r="B5210" s="26" t="s">
        <v>10085</v>
      </c>
      <c r="C5210" s="52"/>
      <c r="D5210" s="55">
        <f t="shared" si="81"/>
        <v>0</v>
      </c>
      <c r="E5210" s="63" t="str">
        <f>HYPERLINK("https://www.sds-group.ru/product/gazovaya-gorelka-nasadka-gt-19-s-pezopodzhigom-rexant-12-0019/", "Инфо")</f>
        <v>Инфо</v>
      </c>
      <c r="F5210" s="16" t="s">
        <v>39</v>
      </c>
      <c r="G5210" s="15"/>
      <c r="H5210" s="15"/>
      <c r="I5210" s="15"/>
      <c r="J5210" s="22">
        <v>4497</v>
      </c>
      <c r="K5210" s="15" t="s">
        <v>9986</v>
      </c>
      <c r="L5210" s="17">
        <v>5</v>
      </c>
      <c r="M5210" s="17">
        <v>100</v>
      </c>
      <c r="N5210" s="17">
        <v>5</v>
      </c>
      <c r="O5210" s="18">
        <v>592.91</v>
      </c>
      <c r="P5210" s="18">
        <v>485.99</v>
      </c>
      <c r="Q5210" s="18">
        <v>474.33</v>
      </c>
      <c r="R5210" s="18">
        <v>388.8</v>
      </c>
      <c r="S5210" s="18">
        <v>403.18</v>
      </c>
      <c r="T5210" s="18">
        <v>330.48</v>
      </c>
      <c r="U5210" s="16"/>
      <c r="V5210" s="16"/>
      <c r="W5210" s="16" t="s">
        <v>40</v>
      </c>
      <c r="X5210" s="19">
        <v>0.14099999999999999</v>
      </c>
      <c r="Y5210" s="20">
        <v>9.990000000000001E-4</v>
      </c>
      <c r="Z5210" s="21">
        <v>4601004045897</v>
      </c>
    </row>
    <row r="5211" spans="1:26" ht="12" customHeight="1" outlineLevel="4" x14ac:dyDescent="0.2">
      <c r="A5211" s="14" t="s">
        <v>10086</v>
      </c>
      <c r="B5211" s="26" t="s">
        <v>10087</v>
      </c>
      <c r="C5211" s="52"/>
      <c r="D5211" s="55">
        <f t="shared" si="81"/>
        <v>0</v>
      </c>
      <c r="E5211" s="63" t="str">
        <f>HYPERLINK("https://www.sds-group.ru/product/gazovaya-gorelka-nasadka-gt-20-s-pezopodzhigom-rexant-12-0020/", "Инфо")</f>
        <v>Инфо</v>
      </c>
      <c r="F5211" s="16" t="s">
        <v>39</v>
      </c>
      <c r="G5211" s="15"/>
      <c r="H5211" s="15"/>
      <c r="I5211" s="15"/>
      <c r="J5211" s="22">
        <v>1605</v>
      </c>
      <c r="K5211" s="15" t="s">
        <v>9986</v>
      </c>
      <c r="L5211" s="17">
        <v>1</v>
      </c>
      <c r="M5211" s="17">
        <v>100</v>
      </c>
      <c r="N5211" s="17">
        <v>1</v>
      </c>
      <c r="O5211" s="18">
        <v>754.61</v>
      </c>
      <c r="P5211" s="18">
        <v>618.53</v>
      </c>
      <c r="Q5211" s="18">
        <v>603.69000000000005</v>
      </c>
      <c r="R5211" s="18">
        <v>494.83</v>
      </c>
      <c r="S5211" s="18">
        <v>513.13</v>
      </c>
      <c r="T5211" s="18">
        <v>420.6</v>
      </c>
      <c r="U5211" s="16"/>
      <c r="V5211" s="16"/>
      <c r="W5211" s="16" t="s">
        <v>40</v>
      </c>
      <c r="X5211" s="19">
        <v>0.192</v>
      </c>
      <c r="Y5211" s="20">
        <v>1.255E-3</v>
      </c>
      <c r="Z5211" s="21">
        <v>4601004045842</v>
      </c>
    </row>
    <row r="5212" spans="1:26" ht="12" customHeight="1" outlineLevel="4" x14ac:dyDescent="0.2">
      <c r="A5212" s="14" t="s">
        <v>10088</v>
      </c>
      <c r="B5212" s="26" t="s">
        <v>10089</v>
      </c>
      <c r="C5212" s="52"/>
      <c r="D5212" s="55">
        <f t="shared" si="81"/>
        <v>0</v>
      </c>
      <c r="E5212" s="63" t="str">
        <f>HYPERLINK("https://www.sds-group.ru/product/gazovaya-gorelka-nasadka-gt-22-udlinennogo-tipa-s-pezopodzhigom-rexant-12-0022/", "Инфо")</f>
        <v>Инфо</v>
      </c>
      <c r="F5212" s="16" t="s">
        <v>39</v>
      </c>
      <c r="G5212" s="15"/>
      <c r="H5212" s="15"/>
      <c r="I5212" s="15"/>
      <c r="J5212" s="17">
        <v>50</v>
      </c>
      <c r="K5212" s="15" t="s">
        <v>210</v>
      </c>
      <c r="L5212" s="17">
        <v>1</v>
      </c>
      <c r="M5212" s="17">
        <v>40</v>
      </c>
      <c r="N5212" s="17">
        <v>1</v>
      </c>
      <c r="O5212" s="18">
        <v>2856.75</v>
      </c>
      <c r="P5212" s="18">
        <v>2341.6</v>
      </c>
      <c r="Q5212" s="18">
        <v>2085.4299999999998</v>
      </c>
      <c r="R5212" s="18">
        <v>1709.37</v>
      </c>
      <c r="S5212" s="18">
        <v>1942.59</v>
      </c>
      <c r="T5212" s="18">
        <v>1592.29</v>
      </c>
      <c r="U5212" s="16"/>
      <c r="V5212" s="16"/>
      <c r="W5212" s="16" t="s">
        <v>40</v>
      </c>
      <c r="X5212" s="19">
        <v>0.55800000000000005</v>
      </c>
      <c r="Y5212" s="20">
        <v>3.8609999999999998E-3</v>
      </c>
      <c r="Z5212" s="21">
        <v>4601004061644</v>
      </c>
    </row>
    <row r="5213" spans="1:26" ht="12" customHeight="1" outlineLevel="4" x14ac:dyDescent="0.2">
      <c r="A5213" s="14" t="s">
        <v>10090</v>
      </c>
      <c r="B5213" s="26" t="s">
        <v>10091</v>
      </c>
      <c r="C5213" s="52"/>
      <c r="D5213" s="55">
        <f t="shared" si="81"/>
        <v>0</v>
      </c>
      <c r="E5213" s="63" t="str">
        <f>HYPERLINK("https://www.sds-group.ru/product/gazovaya-gorelka-nasadka-gt-23-s-pezopodzhigom-rexant-12-0023/", "Инфо")</f>
        <v>Инфо</v>
      </c>
      <c r="F5213" s="16" t="s">
        <v>39</v>
      </c>
      <c r="G5213" s="15"/>
      <c r="H5213" s="15"/>
      <c r="I5213" s="15"/>
      <c r="J5213" s="17">
        <v>352</v>
      </c>
      <c r="K5213" s="15" t="s">
        <v>883</v>
      </c>
      <c r="L5213" s="17">
        <v>1</v>
      </c>
      <c r="M5213" s="17">
        <v>100</v>
      </c>
      <c r="N5213" s="17">
        <v>1</v>
      </c>
      <c r="O5213" s="18">
        <v>970.22</v>
      </c>
      <c r="P5213" s="18">
        <v>795.26</v>
      </c>
      <c r="Q5213" s="18">
        <v>776.18</v>
      </c>
      <c r="R5213" s="18">
        <v>636.21</v>
      </c>
      <c r="S5213" s="18">
        <v>659.75</v>
      </c>
      <c r="T5213" s="18">
        <v>540.78</v>
      </c>
      <c r="U5213" s="16"/>
      <c r="V5213" s="16"/>
      <c r="W5213" s="16" t="s">
        <v>40</v>
      </c>
      <c r="X5213" s="19">
        <v>0.155</v>
      </c>
      <c r="Y5213" s="20">
        <v>9.5500000000000001E-4</v>
      </c>
      <c r="Z5213" s="21">
        <v>4601004045873</v>
      </c>
    </row>
    <row r="5214" spans="1:26" ht="12" customHeight="1" outlineLevel="4" x14ac:dyDescent="0.2">
      <c r="A5214" s="14" t="s">
        <v>10092</v>
      </c>
      <c r="B5214" s="26" t="s">
        <v>10093</v>
      </c>
      <c r="C5214" s="52"/>
      <c r="D5214" s="55">
        <f t="shared" si="81"/>
        <v>0</v>
      </c>
      <c r="E5214" s="63" t="str">
        <f>HYPERLINK("https://www.sds-group.ru/product/gazovaya-gorelka-nasadka-gt-24-s-pezopodzhigom-rexant-12-0024/", "Инфо")</f>
        <v>Инфо</v>
      </c>
      <c r="F5214" s="16" t="s">
        <v>39</v>
      </c>
      <c r="G5214" s="15"/>
      <c r="H5214" s="15"/>
      <c r="I5214" s="15"/>
      <c r="J5214" s="22">
        <v>14016</v>
      </c>
      <c r="K5214" s="15" t="s">
        <v>9986</v>
      </c>
      <c r="L5214" s="17">
        <v>5</v>
      </c>
      <c r="M5214" s="17">
        <v>100</v>
      </c>
      <c r="N5214" s="17">
        <v>5</v>
      </c>
      <c r="O5214" s="18">
        <v>565.97</v>
      </c>
      <c r="P5214" s="18">
        <v>463.91</v>
      </c>
      <c r="Q5214" s="18">
        <v>452.78</v>
      </c>
      <c r="R5214" s="18">
        <v>371.13</v>
      </c>
      <c r="S5214" s="18">
        <v>384.86</v>
      </c>
      <c r="T5214" s="18">
        <v>315.45999999999998</v>
      </c>
      <c r="U5214" s="16"/>
      <c r="V5214" s="16"/>
      <c r="W5214" s="16" t="s">
        <v>40</v>
      </c>
      <c r="X5214" s="19">
        <v>0.17199999999999999</v>
      </c>
      <c r="Y5214" s="20">
        <v>1.279E-3</v>
      </c>
      <c r="Z5214" s="21">
        <v>4601004045835</v>
      </c>
    </row>
    <row r="5215" spans="1:26" ht="12" customHeight="1" outlineLevel="4" x14ac:dyDescent="0.2">
      <c r="A5215" s="14" t="s">
        <v>10094</v>
      </c>
      <c r="B5215" s="26" t="s">
        <v>10095</v>
      </c>
      <c r="C5215" s="52"/>
      <c r="D5215" s="55">
        <f t="shared" si="81"/>
        <v>0</v>
      </c>
      <c r="E5215" s="63" t="str">
        <f>HYPERLINK("https://www.sds-group.ru/product/gazovaya-gorelka-nasadka-gt-26-s-pezopodzhigom-rexant-12-0026/", "Инфо")</f>
        <v>Инфо</v>
      </c>
      <c r="F5215" s="16" t="s">
        <v>39</v>
      </c>
      <c r="G5215" s="15"/>
      <c r="H5215" s="15"/>
      <c r="I5215" s="15"/>
      <c r="J5215" s="22">
        <v>1552</v>
      </c>
      <c r="K5215" s="15"/>
      <c r="L5215" s="17">
        <v>1</v>
      </c>
      <c r="M5215" s="17">
        <v>100</v>
      </c>
      <c r="N5215" s="17">
        <v>1</v>
      </c>
      <c r="O5215" s="18">
        <v>1034.9000000000001</v>
      </c>
      <c r="P5215" s="18">
        <v>848.28</v>
      </c>
      <c r="Q5215" s="18">
        <v>827.92</v>
      </c>
      <c r="R5215" s="18">
        <v>678.62</v>
      </c>
      <c r="S5215" s="18">
        <v>703.73</v>
      </c>
      <c r="T5215" s="18">
        <v>576.83000000000004</v>
      </c>
      <c r="U5215" s="16"/>
      <c r="V5215" s="16"/>
      <c r="W5215" s="16" t="s">
        <v>40</v>
      </c>
      <c r="X5215" s="19">
        <v>0.19500000000000001</v>
      </c>
      <c r="Y5215" s="20">
        <v>1.225E-3</v>
      </c>
      <c r="Z5215" s="21">
        <v>4601004061637</v>
      </c>
    </row>
    <row r="5216" spans="1:26" ht="12" customHeight="1" outlineLevel="4" x14ac:dyDescent="0.2">
      <c r="A5216" s="14" t="s">
        <v>10096</v>
      </c>
      <c r="B5216" s="26" t="s">
        <v>10097</v>
      </c>
      <c r="C5216" s="52"/>
      <c r="D5216" s="55">
        <f t="shared" si="81"/>
        <v>0</v>
      </c>
      <c r="E5216" s="63" t="str">
        <f>HYPERLINK("https://www.sds-group.ru/product/gazovaya-gorelka-nasadka-gt-30-s-pezopodzhigom-payalnogo-tipa-rexant-12-0030/", "Инфо")</f>
        <v>Инфо</v>
      </c>
      <c r="F5216" s="16" t="s">
        <v>39</v>
      </c>
      <c r="G5216" s="15"/>
      <c r="H5216" s="15"/>
      <c r="I5216" s="15"/>
      <c r="J5216" s="22">
        <v>1023</v>
      </c>
      <c r="K5216" s="15" t="s">
        <v>4020</v>
      </c>
      <c r="L5216" s="17">
        <v>1</v>
      </c>
      <c r="M5216" s="17">
        <v>80</v>
      </c>
      <c r="N5216" s="17">
        <v>1</v>
      </c>
      <c r="O5216" s="18">
        <v>1142.7</v>
      </c>
      <c r="P5216" s="18">
        <v>936.64</v>
      </c>
      <c r="Q5216" s="18">
        <v>914.16</v>
      </c>
      <c r="R5216" s="18">
        <v>749.31</v>
      </c>
      <c r="S5216" s="18">
        <v>777.04</v>
      </c>
      <c r="T5216" s="18">
        <v>636.91999999999996</v>
      </c>
      <c r="U5216" s="16"/>
      <c r="V5216" s="16"/>
      <c r="W5216" s="16" t="s">
        <v>40</v>
      </c>
      <c r="X5216" s="19">
        <v>0.20699999999999999</v>
      </c>
      <c r="Y5216" s="20">
        <v>1.3979999999999999E-3</v>
      </c>
      <c r="Z5216" s="21">
        <v>4601004070929</v>
      </c>
    </row>
    <row r="5217" spans="1:26" ht="12" customHeight="1" outlineLevel="4" x14ac:dyDescent="0.2">
      <c r="A5217" s="14" t="s">
        <v>10098</v>
      </c>
      <c r="B5217" s="26" t="s">
        <v>10099</v>
      </c>
      <c r="C5217" s="52"/>
      <c r="D5217" s="55">
        <f t="shared" si="81"/>
        <v>0</v>
      </c>
      <c r="E5217" s="63" t="str">
        <f>HYPERLINK("https://www.sds-group.ru/product/gazovaya-gorelka-nasadka-gt-31-360-s-pezopodzhigom-rexant-12-0031/", "Инфо")</f>
        <v>Инфо</v>
      </c>
      <c r="F5217" s="16" t="s">
        <v>39</v>
      </c>
      <c r="G5217" s="15"/>
      <c r="H5217" s="15"/>
      <c r="I5217" s="15"/>
      <c r="J5217" s="22">
        <v>1858</v>
      </c>
      <c r="K5217" s="15" t="s">
        <v>883</v>
      </c>
      <c r="L5217" s="17">
        <v>1</v>
      </c>
      <c r="M5217" s="17">
        <v>100</v>
      </c>
      <c r="N5217" s="17">
        <v>1</v>
      </c>
      <c r="O5217" s="18">
        <v>1401.43</v>
      </c>
      <c r="P5217" s="18">
        <v>1148.71</v>
      </c>
      <c r="Q5217" s="18">
        <v>1107.1300000000001</v>
      </c>
      <c r="R5217" s="18">
        <v>907.48</v>
      </c>
      <c r="S5217" s="18">
        <v>952.97</v>
      </c>
      <c r="T5217" s="18">
        <v>781.12</v>
      </c>
      <c r="U5217" s="16"/>
      <c r="V5217" s="16"/>
      <c r="W5217" s="16" t="s">
        <v>40</v>
      </c>
      <c r="X5217" s="19">
        <v>0.17199999999999999</v>
      </c>
      <c r="Y5217" s="20">
        <v>1.2099999999999999E-3</v>
      </c>
      <c r="Z5217" s="21">
        <v>4601004070943</v>
      </c>
    </row>
    <row r="5218" spans="1:26" ht="12" customHeight="1" outlineLevel="4" x14ac:dyDescent="0.2">
      <c r="A5218" s="14" t="s">
        <v>10100</v>
      </c>
      <c r="B5218" s="26" t="s">
        <v>10101</v>
      </c>
      <c r="C5218" s="52"/>
      <c r="D5218" s="55">
        <f t="shared" si="81"/>
        <v>0</v>
      </c>
      <c r="E5218" s="63" t="str">
        <f>HYPERLINK("https://www.sds-group.ru/product/gazovaya-gorelka-nasadka-gt-32-360-s-pezopodzhigom-rexant-12-0032/", "Инфо")</f>
        <v>Инфо</v>
      </c>
      <c r="F5218" s="16" t="s">
        <v>39</v>
      </c>
      <c r="G5218" s="15"/>
      <c r="H5218" s="15"/>
      <c r="I5218" s="15"/>
      <c r="J5218" s="17">
        <v>523</v>
      </c>
      <c r="K5218" s="15"/>
      <c r="L5218" s="17">
        <v>1</v>
      </c>
      <c r="M5218" s="17">
        <v>60</v>
      </c>
      <c r="N5218" s="17">
        <v>1</v>
      </c>
      <c r="O5218" s="18">
        <v>2371.64</v>
      </c>
      <c r="P5218" s="18">
        <v>1943.97</v>
      </c>
      <c r="Q5218" s="18">
        <v>1826.16</v>
      </c>
      <c r="R5218" s="18">
        <v>1496.85</v>
      </c>
      <c r="S5218" s="18">
        <v>1612.72</v>
      </c>
      <c r="T5218" s="18">
        <v>1321.9</v>
      </c>
      <c r="U5218" s="16"/>
      <c r="V5218" s="16"/>
      <c r="W5218" s="16" t="s">
        <v>40</v>
      </c>
      <c r="X5218" s="19">
        <v>0.32400000000000001</v>
      </c>
      <c r="Y5218" s="20">
        <v>2.258E-3</v>
      </c>
      <c r="Z5218" s="21">
        <v>4601004070905</v>
      </c>
    </row>
    <row r="5219" spans="1:26" ht="12" customHeight="1" outlineLevel="4" x14ac:dyDescent="0.2">
      <c r="A5219" s="14" t="s">
        <v>10102</v>
      </c>
      <c r="B5219" s="26" t="s">
        <v>10103</v>
      </c>
      <c r="C5219" s="52"/>
      <c r="D5219" s="55">
        <f t="shared" si="81"/>
        <v>0</v>
      </c>
      <c r="E5219" s="63" t="str">
        <f>HYPERLINK("https://www.sds-group.ru/product/gazovaya-gorelka-nasadka-gt-33-360-s-pezopodzhigom-rexant-12-0033/", "Инфо")</f>
        <v>Инфо</v>
      </c>
      <c r="F5219" s="16" t="s">
        <v>39</v>
      </c>
      <c r="G5219" s="15"/>
      <c r="H5219" s="15"/>
      <c r="I5219" s="15"/>
      <c r="J5219" s="22">
        <v>4293</v>
      </c>
      <c r="K5219" s="15" t="s">
        <v>883</v>
      </c>
      <c r="L5219" s="17">
        <v>1</v>
      </c>
      <c r="M5219" s="17">
        <v>100</v>
      </c>
      <c r="N5219" s="17">
        <v>1</v>
      </c>
      <c r="O5219" s="18">
        <v>1131.92</v>
      </c>
      <c r="P5219" s="18">
        <v>927.8</v>
      </c>
      <c r="Q5219" s="18">
        <v>905.54</v>
      </c>
      <c r="R5219" s="18">
        <v>742.25</v>
      </c>
      <c r="S5219" s="18">
        <v>769.71</v>
      </c>
      <c r="T5219" s="18">
        <v>630.91</v>
      </c>
      <c r="U5219" s="16"/>
      <c r="V5219" s="16"/>
      <c r="W5219" s="16" t="s">
        <v>40</v>
      </c>
      <c r="X5219" s="19">
        <v>0.17699999999999999</v>
      </c>
      <c r="Y5219" s="20">
        <v>9.8999999999999999E-4</v>
      </c>
      <c r="Z5219" s="21">
        <v>4601004070912</v>
      </c>
    </row>
    <row r="5220" spans="1:26" ht="12" customHeight="1" outlineLevel="4" x14ac:dyDescent="0.2">
      <c r="A5220" s="14" t="s">
        <v>10104</v>
      </c>
      <c r="B5220" s="26" t="s">
        <v>10105</v>
      </c>
      <c r="C5220" s="52"/>
      <c r="D5220" s="55">
        <f t="shared" si="81"/>
        <v>0</v>
      </c>
      <c r="E5220" s="63" t="str">
        <f>HYPERLINK("https://www.sds-group.ru/product/gazovaya-gorelka-nasadka-gt-34-360-s-pezopodzhigom-rexant-12-0034/", "Инфо")</f>
        <v>Инфо</v>
      </c>
      <c r="F5220" s="16" t="s">
        <v>39</v>
      </c>
      <c r="G5220" s="15"/>
      <c r="H5220" s="15"/>
      <c r="I5220" s="15"/>
      <c r="J5220" s="17">
        <v>814</v>
      </c>
      <c r="K5220" s="15" t="s">
        <v>210</v>
      </c>
      <c r="L5220" s="17">
        <v>1</v>
      </c>
      <c r="M5220" s="17">
        <v>100</v>
      </c>
      <c r="N5220" s="17">
        <v>1</v>
      </c>
      <c r="O5220" s="18">
        <v>1067.24</v>
      </c>
      <c r="P5220" s="18">
        <v>874.79</v>
      </c>
      <c r="Q5220" s="18">
        <v>853.79</v>
      </c>
      <c r="R5220" s="18">
        <v>699.83</v>
      </c>
      <c r="S5220" s="18">
        <v>725.72</v>
      </c>
      <c r="T5220" s="18">
        <v>594.85</v>
      </c>
      <c r="U5220" s="16"/>
      <c r="V5220" s="16"/>
      <c r="W5220" s="16" t="s">
        <v>40</v>
      </c>
      <c r="X5220" s="19">
        <v>0.182</v>
      </c>
      <c r="Y5220" s="20">
        <v>1.0549999999999999E-3</v>
      </c>
      <c r="Z5220" s="21">
        <v>4601004181489</v>
      </c>
    </row>
    <row r="5221" spans="1:26" ht="12.95" customHeight="1" outlineLevel="3" x14ac:dyDescent="0.2">
      <c r="A5221" s="76" t="s">
        <v>10106</v>
      </c>
      <c r="B5221" s="76"/>
      <c r="C5221" s="77"/>
      <c r="D5221" s="58"/>
      <c r="E5221" s="68"/>
      <c r="F5221" s="13"/>
      <c r="G5221" s="13"/>
      <c r="H5221" s="13"/>
      <c r="I5221" s="13"/>
      <c r="J5221" s="13"/>
      <c r="K5221" s="13"/>
      <c r="L5221" s="13"/>
      <c r="M5221" s="13"/>
      <c r="N5221" s="13"/>
      <c r="O5221" s="13"/>
      <c r="P5221" s="13"/>
      <c r="Q5221" s="13"/>
      <c r="R5221" s="13"/>
      <c r="S5221" s="13"/>
      <c r="T5221" s="13"/>
      <c r="U5221" s="13"/>
      <c r="V5221" s="13"/>
      <c r="W5221" s="13"/>
      <c r="X5221" s="13"/>
      <c r="Y5221" s="13"/>
      <c r="Z5221" s="13"/>
    </row>
    <row r="5222" spans="1:26" ht="12" customHeight="1" outlineLevel="4" x14ac:dyDescent="0.2">
      <c r="A5222" s="14" t="s">
        <v>10107</v>
      </c>
      <c r="B5222" s="26" t="s">
        <v>10108</v>
      </c>
      <c r="C5222" s="52"/>
      <c r="D5222" s="55">
        <f t="shared" si="81"/>
        <v>0</v>
      </c>
      <c r="E5222" s="63" t="str">
        <f>HYPERLINK("https://www.sds-group.ru/product/gazovaya-gorelka-nastolnaya-gt-25-s-pezopodzhigom-i-keramicheskim-obodom-rexant-12-0025/", "Инфо")</f>
        <v>Инфо</v>
      </c>
      <c r="F5222" s="16" t="s">
        <v>39</v>
      </c>
      <c r="G5222" s="15"/>
      <c r="H5222" s="15"/>
      <c r="I5222" s="15"/>
      <c r="J5222" s="17">
        <v>531</v>
      </c>
      <c r="K5222" s="15" t="s">
        <v>210</v>
      </c>
      <c r="L5222" s="17">
        <v>1</v>
      </c>
      <c r="M5222" s="17">
        <v>40</v>
      </c>
      <c r="N5222" s="17">
        <v>1</v>
      </c>
      <c r="O5222" s="18">
        <v>2069.8000000000002</v>
      </c>
      <c r="P5222" s="18">
        <v>1696.56</v>
      </c>
      <c r="Q5222" s="18">
        <v>1593.75</v>
      </c>
      <c r="R5222" s="18">
        <v>1306.3499999999999</v>
      </c>
      <c r="S5222" s="18">
        <v>1407.46</v>
      </c>
      <c r="T5222" s="18">
        <v>1153.6600000000001</v>
      </c>
      <c r="U5222" s="16"/>
      <c r="V5222" s="16"/>
      <c r="W5222" s="16" t="s">
        <v>40</v>
      </c>
      <c r="X5222" s="19">
        <v>0.39700000000000002</v>
      </c>
      <c r="Y5222" s="20">
        <v>2.7980000000000001E-3</v>
      </c>
      <c r="Z5222" s="21">
        <v>4601004061606</v>
      </c>
    </row>
    <row r="5223" spans="1:26" ht="12" customHeight="1" outlineLevel="4" x14ac:dyDescent="0.2">
      <c r="A5223" s="14" t="s">
        <v>10109</v>
      </c>
      <c r="B5223" s="26" t="s">
        <v>10110</v>
      </c>
      <c r="C5223" s="52"/>
      <c r="D5223" s="55">
        <f t="shared" si="81"/>
        <v>0</v>
      </c>
      <c r="E5223" s="63" t="str">
        <f>HYPERLINK("https://www.sds-group.ru/product/gazovaya-gorelka-nastolnaya-gt-29-2-rezhima-rexant-12-0029/", "Инфо")</f>
        <v>Инфо</v>
      </c>
      <c r="F5223" s="16" t="s">
        <v>39</v>
      </c>
      <c r="G5223" s="15"/>
      <c r="H5223" s="15"/>
      <c r="I5223" s="15"/>
      <c r="J5223" s="17">
        <v>115</v>
      </c>
      <c r="K5223" s="15" t="s">
        <v>210</v>
      </c>
      <c r="L5223" s="17">
        <v>1</v>
      </c>
      <c r="M5223" s="17">
        <v>72</v>
      </c>
      <c r="N5223" s="17">
        <v>1</v>
      </c>
      <c r="O5223" s="18">
        <v>2209.94</v>
      </c>
      <c r="P5223" s="18">
        <v>1811.43</v>
      </c>
      <c r="Q5223" s="18">
        <v>1701.65</v>
      </c>
      <c r="R5223" s="18">
        <v>1394.8</v>
      </c>
      <c r="S5223" s="18">
        <v>1502.76</v>
      </c>
      <c r="T5223" s="18">
        <v>1231.77</v>
      </c>
      <c r="U5223" s="16"/>
      <c r="V5223" s="16"/>
      <c r="W5223" s="16" t="s">
        <v>40</v>
      </c>
      <c r="X5223" s="19">
        <v>0.23899999999999999</v>
      </c>
      <c r="Y5223" s="20">
        <v>1.7359999999999999E-3</v>
      </c>
      <c r="Z5223" s="21">
        <v>4601004070936</v>
      </c>
    </row>
    <row r="5224" spans="1:26" ht="12" customHeight="1" outlineLevel="4" x14ac:dyDescent="0.2">
      <c r="A5224" s="14" t="s">
        <v>10111</v>
      </c>
      <c r="B5224" s="26" t="s">
        <v>10112</v>
      </c>
      <c r="C5224" s="52"/>
      <c r="D5224" s="55">
        <f t="shared" si="81"/>
        <v>0</v>
      </c>
      <c r="E5224" s="63" t="str">
        <f>HYPERLINK("https://www.sds-group.ru/product/mini-gorelka-gt-36-zapravlyaemaya-rexant-12-0036/", "Инфо")</f>
        <v>Инфо</v>
      </c>
      <c r="F5224" s="16" t="s">
        <v>39</v>
      </c>
      <c r="G5224" s="15"/>
      <c r="H5224" s="15"/>
      <c r="I5224" s="15"/>
      <c r="J5224" s="22">
        <v>1729</v>
      </c>
      <c r="K5224" s="15"/>
      <c r="L5224" s="17">
        <v>1</v>
      </c>
      <c r="M5224" s="17">
        <v>100</v>
      </c>
      <c r="N5224" s="17">
        <v>1</v>
      </c>
      <c r="O5224" s="18">
        <v>1293.6199999999999</v>
      </c>
      <c r="P5224" s="18">
        <v>1060.3399999999999</v>
      </c>
      <c r="Q5224" s="18">
        <v>1021.96</v>
      </c>
      <c r="R5224" s="18">
        <v>837.67</v>
      </c>
      <c r="S5224" s="18">
        <v>879.66</v>
      </c>
      <c r="T5224" s="18">
        <v>721.03</v>
      </c>
      <c r="U5224" s="16"/>
      <c r="V5224" s="16"/>
      <c r="W5224" s="16" t="s">
        <v>40</v>
      </c>
      <c r="X5224" s="19">
        <v>0.125</v>
      </c>
      <c r="Y5224" s="20">
        <v>3.2899999999999997E-4</v>
      </c>
      <c r="Z5224" s="21">
        <v>4601004181441</v>
      </c>
    </row>
    <row r="5225" spans="1:26" ht="12" customHeight="1" outlineLevel="4" x14ac:dyDescent="0.2">
      <c r="A5225" s="14" t="s">
        <v>10113</v>
      </c>
      <c r="B5225" s="26" t="s">
        <v>10114</v>
      </c>
      <c r="C5225" s="52"/>
      <c r="D5225" s="55">
        <f t="shared" si="81"/>
        <v>0</v>
      </c>
      <c r="E5225" s="63" t="str">
        <f>HYPERLINK("https://www.sds-group.ru/product/mini-gorelka-gt-37-zapravlyaemaya-2-rezhima-raboty-rexant-12-0037/", "Инфо")</f>
        <v>Инфо</v>
      </c>
      <c r="F5225" s="16" t="s">
        <v>39</v>
      </c>
      <c r="G5225" s="15"/>
      <c r="H5225" s="15"/>
      <c r="I5225" s="15"/>
      <c r="J5225" s="22">
        <v>3084</v>
      </c>
      <c r="K5225" s="15"/>
      <c r="L5225" s="17">
        <v>1</v>
      </c>
      <c r="M5225" s="17">
        <v>60</v>
      </c>
      <c r="N5225" s="17">
        <v>1</v>
      </c>
      <c r="O5225" s="18">
        <v>1078.02</v>
      </c>
      <c r="P5225" s="18">
        <v>883.62</v>
      </c>
      <c r="Q5225" s="18">
        <v>851.64</v>
      </c>
      <c r="R5225" s="18">
        <v>698.07</v>
      </c>
      <c r="S5225" s="18">
        <v>733.05</v>
      </c>
      <c r="T5225" s="18">
        <v>600.86</v>
      </c>
      <c r="U5225" s="16"/>
      <c r="V5225" s="16"/>
      <c r="W5225" s="16" t="s">
        <v>40</v>
      </c>
      <c r="X5225" s="19">
        <v>0.16</v>
      </c>
      <c r="Y5225" s="20">
        <v>8.2399999999999997E-4</v>
      </c>
      <c r="Z5225" s="21">
        <v>4601004181458</v>
      </c>
    </row>
    <row r="5226" spans="1:26" ht="12" customHeight="1" outlineLevel="4" x14ac:dyDescent="0.2">
      <c r="A5226" s="14" t="s">
        <v>10115</v>
      </c>
      <c r="B5226" s="26" t="s">
        <v>10116</v>
      </c>
      <c r="C5226" s="52"/>
      <c r="D5226" s="55">
        <f t="shared" si="81"/>
        <v>0</v>
      </c>
      <c r="E5226" s="63" t="str">
        <f>HYPERLINK("https://www.sds-group.ru/product/mini-gorelka-gt-38-zapravlyaemaya-2-rezhima-raboty-rexant-12-0038/", "Инфо")</f>
        <v>Инфо</v>
      </c>
      <c r="F5226" s="16" t="s">
        <v>39</v>
      </c>
      <c r="G5226" s="15"/>
      <c r="H5226" s="15"/>
      <c r="I5226" s="15"/>
      <c r="J5226" s="22">
        <v>1590</v>
      </c>
      <c r="K5226" s="15"/>
      <c r="L5226" s="17">
        <v>1</v>
      </c>
      <c r="M5226" s="17">
        <v>100</v>
      </c>
      <c r="N5226" s="17">
        <v>1</v>
      </c>
      <c r="O5226" s="18">
        <v>1940.44</v>
      </c>
      <c r="P5226" s="18">
        <v>1590.52</v>
      </c>
      <c r="Q5226" s="18">
        <v>1494.14</v>
      </c>
      <c r="R5226" s="18">
        <v>1224.7</v>
      </c>
      <c r="S5226" s="18">
        <v>1319.5</v>
      </c>
      <c r="T5226" s="18">
        <v>1081.56</v>
      </c>
      <c r="U5226" s="16"/>
      <c r="V5226" s="16"/>
      <c r="W5226" s="16" t="s">
        <v>40</v>
      </c>
      <c r="X5226" s="19">
        <v>0.19800000000000001</v>
      </c>
      <c r="Y5226" s="20">
        <v>6.96E-4</v>
      </c>
      <c r="Z5226" s="21">
        <v>4601004181465</v>
      </c>
    </row>
    <row r="5227" spans="1:26" ht="12" customHeight="1" outlineLevel="4" x14ac:dyDescent="0.2">
      <c r="A5227" s="14" t="s">
        <v>10117</v>
      </c>
      <c r="B5227" s="26" t="s">
        <v>10118</v>
      </c>
      <c r="C5227" s="52"/>
      <c r="D5227" s="55">
        <f t="shared" si="81"/>
        <v>0</v>
      </c>
      <c r="E5227" s="63" t="str">
        <f>HYPERLINK("https://www.sds-group.ru/product/turbo-gorelka-gt-10-zapravlyaemaya-krasnaya-rexant-12-0010-1/", "Инфо")</f>
        <v>Инфо</v>
      </c>
      <c r="F5227" s="16" t="s">
        <v>39</v>
      </c>
      <c r="G5227" s="15"/>
      <c r="H5227" s="15"/>
      <c r="I5227" s="15"/>
      <c r="J5227" s="16" t="s">
        <v>100</v>
      </c>
      <c r="K5227" s="15" t="s">
        <v>1094</v>
      </c>
      <c r="L5227" s="17">
        <v>5</v>
      </c>
      <c r="M5227" s="17">
        <v>216</v>
      </c>
      <c r="N5227" s="17">
        <v>5</v>
      </c>
      <c r="O5227" s="18">
        <v>431.21</v>
      </c>
      <c r="P5227" s="18">
        <v>353.45</v>
      </c>
      <c r="Q5227" s="18">
        <v>344.97</v>
      </c>
      <c r="R5227" s="18">
        <v>282.76</v>
      </c>
      <c r="S5227" s="18">
        <v>293.22000000000003</v>
      </c>
      <c r="T5227" s="18">
        <v>240.34</v>
      </c>
      <c r="U5227" s="16"/>
      <c r="V5227" s="16"/>
      <c r="W5227" s="16" t="s">
        <v>40</v>
      </c>
      <c r="X5227" s="19">
        <v>5.8999999999999997E-2</v>
      </c>
      <c r="Y5227" s="20">
        <v>2.42E-4</v>
      </c>
      <c r="Z5227" s="21">
        <v>4601004285859</v>
      </c>
    </row>
    <row r="5228" spans="1:26" ht="12" customHeight="1" outlineLevel="4" x14ac:dyDescent="0.2">
      <c r="A5228" s="14" t="s">
        <v>10119</v>
      </c>
      <c r="B5228" s="26" t="s">
        <v>10120</v>
      </c>
      <c r="C5228" s="52"/>
      <c r="D5228" s="55">
        <f t="shared" si="81"/>
        <v>0</v>
      </c>
      <c r="E5228" s="63" t="str">
        <f>HYPERLINK("https://www.sds-group.ru/product/turbo-gorelka-gt-10-zapravlyaemaya-krasnaya-rexant-12-0010-2/", "Инфо")</f>
        <v>Инфо</v>
      </c>
      <c r="F5228" s="16" t="s">
        <v>39</v>
      </c>
      <c r="G5228" s="15"/>
      <c r="H5228" s="15"/>
      <c r="I5228" s="15"/>
      <c r="J5228" s="22">
        <v>7311</v>
      </c>
      <c r="K5228" s="15" t="s">
        <v>1519</v>
      </c>
      <c r="L5228" s="17">
        <v>20</v>
      </c>
      <c r="M5228" s="17">
        <v>360</v>
      </c>
      <c r="N5228" s="17">
        <v>20</v>
      </c>
      <c r="O5228" s="18">
        <v>301.85000000000002</v>
      </c>
      <c r="P5228" s="18">
        <v>247.42</v>
      </c>
      <c r="Q5228" s="18">
        <v>256.57</v>
      </c>
      <c r="R5228" s="18">
        <v>210.3</v>
      </c>
      <c r="S5228" s="18">
        <v>205.26</v>
      </c>
      <c r="T5228" s="18">
        <v>168.25</v>
      </c>
      <c r="U5228" s="16"/>
      <c r="V5228" s="16"/>
      <c r="W5228" s="16" t="s">
        <v>40</v>
      </c>
      <c r="X5228" s="19">
        <v>4.7E-2</v>
      </c>
      <c r="Y5228" s="20">
        <v>1.2799999999999999E-4</v>
      </c>
      <c r="Z5228" s="21">
        <v>4601004269828</v>
      </c>
    </row>
    <row r="5229" spans="1:26" ht="12" customHeight="1" outlineLevel="4" x14ac:dyDescent="0.2">
      <c r="A5229" s="14" t="s">
        <v>10121</v>
      </c>
      <c r="B5229" s="26" t="s">
        <v>10122</v>
      </c>
      <c r="C5229" s="52"/>
      <c r="D5229" s="55">
        <f t="shared" si="81"/>
        <v>0</v>
      </c>
      <c r="E5229" s="63" t="str">
        <f>HYPERLINK("https://www.sds-group.ru/product/turbo-gorelka-gt-10-zapravlyaemaya-sinyaya-rexant-12-0010/", "Инфо")</f>
        <v>Инфо</v>
      </c>
      <c r="F5229" s="16" t="s">
        <v>39</v>
      </c>
      <c r="G5229" s="15"/>
      <c r="H5229" s="15"/>
      <c r="I5229" s="15"/>
      <c r="J5229" s="17">
        <v>153</v>
      </c>
      <c r="K5229" s="15" t="s">
        <v>1519</v>
      </c>
      <c r="L5229" s="17">
        <v>20</v>
      </c>
      <c r="M5229" s="17">
        <v>360</v>
      </c>
      <c r="N5229" s="17">
        <v>20</v>
      </c>
      <c r="O5229" s="18">
        <v>271.12</v>
      </c>
      <c r="P5229" s="18">
        <v>222.23</v>
      </c>
      <c r="Q5229" s="18">
        <v>230.45</v>
      </c>
      <c r="R5229" s="18">
        <v>188.89</v>
      </c>
      <c r="S5229" s="18">
        <v>184.36</v>
      </c>
      <c r="T5229" s="18">
        <v>151.11000000000001</v>
      </c>
      <c r="U5229" s="16"/>
      <c r="V5229" s="16"/>
      <c r="W5229" s="16" t="s">
        <v>40</v>
      </c>
      <c r="X5229" s="19">
        <v>4.8000000000000001E-2</v>
      </c>
      <c r="Y5229" s="20">
        <v>1.27E-4</v>
      </c>
      <c r="Z5229" s="21">
        <v>4601004181472</v>
      </c>
    </row>
    <row r="5230" spans="1:26" ht="12" customHeight="1" outlineLevel="4" x14ac:dyDescent="0.2">
      <c r="A5230" s="14" t="s">
        <v>10123</v>
      </c>
      <c r="B5230" s="26" t="s">
        <v>10124</v>
      </c>
      <c r="C5230" s="52"/>
      <c r="D5230" s="55">
        <f t="shared" si="81"/>
        <v>0</v>
      </c>
      <c r="E5230" s="63" t="str">
        <f>HYPERLINK("https://www.sds-group.ru/product/turbo-gorelka-gt-11-zapravlyaemaya-krasnaya-rexant-12-0011-1/", "Инфо")</f>
        <v>Инфо</v>
      </c>
      <c r="F5230" s="16" t="s">
        <v>39</v>
      </c>
      <c r="G5230" s="15"/>
      <c r="H5230" s="15"/>
      <c r="I5230" s="15"/>
      <c r="J5230" s="17">
        <v>6</v>
      </c>
      <c r="K5230" s="15" t="s">
        <v>1094</v>
      </c>
      <c r="L5230" s="17">
        <v>1</v>
      </c>
      <c r="M5230" s="17">
        <v>160</v>
      </c>
      <c r="N5230" s="17">
        <v>1</v>
      </c>
      <c r="O5230" s="18">
        <v>754.61</v>
      </c>
      <c r="P5230" s="18">
        <v>618.53</v>
      </c>
      <c r="Q5230" s="18">
        <v>603.69000000000005</v>
      </c>
      <c r="R5230" s="18">
        <v>494.83</v>
      </c>
      <c r="S5230" s="18">
        <v>513.13</v>
      </c>
      <c r="T5230" s="18">
        <v>420.6</v>
      </c>
      <c r="U5230" s="16"/>
      <c r="V5230" s="16"/>
      <c r="W5230" s="16" t="s">
        <v>40</v>
      </c>
      <c r="X5230" s="19">
        <v>0.104</v>
      </c>
      <c r="Y5230" s="20">
        <v>5.0299999999999997E-4</v>
      </c>
      <c r="Z5230" s="21">
        <v>4601004285866</v>
      </c>
    </row>
    <row r="5231" spans="1:26" ht="12" customHeight="1" outlineLevel="4" x14ac:dyDescent="0.2">
      <c r="A5231" s="14" t="s">
        <v>10125</v>
      </c>
      <c r="B5231" s="26" t="s">
        <v>10126</v>
      </c>
      <c r="C5231" s="52"/>
      <c r="D5231" s="55">
        <f t="shared" si="81"/>
        <v>0</v>
      </c>
      <c r="E5231" s="63" t="str">
        <f>HYPERLINK("https://www.sds-group.ru/product/turbo-gorelka-gt-11-zapravlyaemaya-krasnaya-rexant-12-0011-2/", "Инфо")</f>
        <v>Инфо</v>
      </c>
      <c r="F5231" s="16" t="s">
        <v>39</v>
      </c>
      <c r="G5231" s="15"/>
      <c r="H5231" s="15"/>
      <c r="I5231" s="15"/>
      <c r="J5231" s="16" t="s">
        <v>100</v>
      </c>
      <c r="K5231" s="15" t="s">
        <v>1094</v>
      </c>
      <c r="L5231" s="17">
        <v>12</v>
      </c>
      <c r="M5231" s="17">
        <v>216</v>
      </c>
      <c r="N5231" s="17">
        <v>12</v>
      </c>
      <c r="O5231" s="18">
        <v>378.42</v>
      </c>
      <c r="P5231" s="18">
        <v>310.18</v>
      </c>
      <c r="Q5231" s="18">
        <v>291.38</v>
      </c>
      <c r="R5231" s="18">
        <v>238.84</v>
      </c>
      <c r="S5231" s="18">
        <v>257.33</v>
      </c>
      <c r="T5231" s="18">
        <v>210.93</v>
      </c>
      <c r="U5231" s="16"/>
      <c r="V5231" s="16"/>
      <c r="W5231" s="16" t="s">
        <v>40</v>
      </c>
      <c r="X5231" s="19">
        <v>9.2999999999999999E-2</v>
      </c>
      <c r="Y5231" s="20">
        <v>3.5599999999999998E-4</v>
      </c>
      <c r="Z5231" s="21">
        <v>4601004269835</v>
      </c>
    </row>
    <row r="5232" spans="1:26" ht="12" customHeight="1" outlineLevel="4" x14ac:dyDescent="0.2">
      <c r="A5232" s="14" t="s">
        <v>10127</v>
      </c>
      <c r="B5232" s="26" t="s">
        <v>10128</v>
      </c>
      <c r="C5232" s="52"/>
      <c r="D5232" s="55">
        <f t="shared" si="81"/>
        <v>0</v>
      </c>
      <c r="E5232" s="63" t="str">
        <f>HYPERLINK("https://www.sds-group.ru/product/turbo-gorelka-gt-11-zapravlyaemaya-sinyaya-rexant-12-0011/", "Инфо")</f>
        <v>Инфо</v>
      </c>
      <c r="F5232" s="16" t="s">
        <v>39</v>
      </c>
      <c r="G5232" s="15"/>
      <c r="H5232" s="15"/>
      <c r="I5232" s="15"/>
      <c r="J5232" s="16" t="s">
        <v>100</v>
      </c>
      <c r="K5232" s="15" t="s">
        <v>1094</v>
      </c>
      <c r="L5232" s="17">
        <v>12</v>
      </c>
      <c r="M5232" s="17">
        <v>216</v>
      </c>
      <c r="N5232" s="17">
        <v>12</v>
      </c>
      <c r="O5232" s="18">
        <v>362.52</v>
      </c>
      <c r="P5232" s="18">
        <v>297.14999999999998</v>
      </c>
      <c r="Q5232" s="18">
        <v>279.14</v>
      </c>
      <c r="R5232" s="18">
        <v>228.8</v>
      </c>
      <c r="S5232" s="18">
        <v>246.51</v>
      </c>
      <c r="T5232" s="18">
        <v>202.06</v>
      </c>
      <c r="U5232" s="16"/>
      <c r="V5232" s="16"/>
      <c r="W5232" s="16" t="s">
        <v>40</v>
      </c>
      <c r="X5232" s="19">
        <v>9.4E-2</v>
      </c>
      <c r="Y5232" s="20">
        <v>3.4400000000000001E-4</v>
      </c>
      <c r="Z5232" s="21">
        <v>4601004181434</v>
      </c>
    </row>
    <row r="5233" spans="1:26" ht="12.95" customHeight="1" outlineLevel="3" x14ac:dyDescent="0.2">
      <c r="A5233" s="76" t="s">
        <v>10129</v>
      </c>
      <c r="B5233" s="76"/>
      <c r="C5233" s="77"/>
      <c r="D5233" s="58"/>
      <c r="E5233" s="68"/>
      <c r="F5233" s="13"/>
      <c r="G5233" s="13"/>
      <c r="H5233" s="13"/>
      <c r="I5233" s="13"/>
      <c r="J5233" s="13"/>
      <c r="K5233" s="13"/>
      <c r="L5233" s="13"/>
      <c r="M5233" s="13"/>
      <c r="N5233" s="13"/>
      <c r="O5233" s="13"/>
      <c r="P5233" s="13"/>
      <c r="Q5233" s="13"/>
      <c r="R5233" s="13"/>
      <c r="S5233" s="13"/>
      <c r="T5233" s="13"/>
      <c r="U5233" s="13"/>
      <c r="V5233" s="13"/>
      <c r="W5233" s="13"/>
      <c r="X5233" s="13"/>
      <c r="Y5233" s="13"/>
      <c r="Z5233" s="13"/>
    </row>
    <row r="5234" spans="1:26" ht="12" customHeight="1" outlineLevel="4" x14ac:dyDescent="0.2">
      <c r="A5234" s="14" t="s">
        <v>10130</v>
      </c>
      <c r="B5234" s="26" t="s">
        <v>10131</v>
      </c>
      <c r="C5234" s="52"/>
      <c r="D5234" s="55">
        <f t="shared" si="81"/>
        <v>0</v>
      </c>
      <c r="E5234" s="63" t="str">
        <f>HYPERLINK("https://www.sds-group.ru/product/payalnaya-lampa-pl-1-rexant-12-0007/", "Инфо")</f>
        <v>Инфо</v>
      </c>
      <c r="F5234" s="16" t="s">
        <v>39</v>
      </c>
      <c r="G5234" s="15"/>
      <c r="H5234" s="15"/>
      <c r="I5234" s="15"/>
      <c r="J5234" s="17">
        <v>830</v>
      </c>
      <c r="K5234" s="15" t="s">
        <v>883</v>
      </c>
      <c r="L5234" s="17">
        <v>1</v>
      </c>
      <c r="M5234" s="17">
        <v>6</v>
      </c>
      <c r="N5234" s="17">
        <v>1</v>
      </c>
      <c r="O5234" s="18">
        <v>2371.64</v>
      </c>
      <c r="P5234" s="18">
        <v>1943.97</v>
      </c>
      <c r="Q5234" s="18">
        <v>1660.15</v>
      </c>
      <c r="R5234" s="18">
        <v>1360.78</v>
      </c>
      <c r="S5234" s="18">
        <v>1612.72</v>
      </c>
      <c r="T5234" s="18">
        <v>1321.9</v>
      </c>
      <c r="U5234" s="16"/>
      <c r="V5234" s="16"/>
      <c r="W5234" s="16"/>
      <c r="X5234" s="19">
        <v>1.4870000000000001</v>
      </c>
      <c r="Y5234" s="20">
        <v>1.1610000000000001E-2</v>
      </c>
      <c r="Z5234" s="21">
        <v>4601004183889</v>
      </c>
    </row>
    <row r="5235" spans="1:26" ht="12" customHeight="1" outlineLevel="4" x14ac:dyDescent="0.2">
      <c r="A5235" s="14" t="s">
        <v>10132</v>
      </c>
      <c r="B5235" s="26" t="s">
        <v>10133</v>
      </c>
      <c r="C5235" s="52"/>
      <c r="D5235" s="55">
        <f t="shared" si="81"/>
        <v>0</v>
      </c>
      <c r="E5235" s="63" t="str">
        <f>HYPERLINK("https://www.sds-group.ru/product/payalnaya-lampa-pl-1-5-rexant-12-0008/", "Инфо")</f>
        <v>Инфо</v>
      </c>
      <c r="F5235" s="16" t="s">
        <v>39</v>
      </c>
      <c r="G5235" s="15"/>
      <c r="H5235" s="15"/>
      <c r="I5235" s="15"/>
      <c r="J5235" s="17">
        <v>20</v>
      </c>
      <c r="K5235" s="15" t="s">
        <v>9986</v>
      </c>
      <c r="L5235" s="17">
        <v>1</v>
      </c>
      <c r="M5235" s="17">
        <v>6</v>
      </c>
      <c r="N5235" s="17">
        <v>1</v>
      </c>
      <c r="O5235" s="18">
        <v>2490.23</v>
      </c>
      <c r="P5235" s="18">
        <v>2041.17</v>
      </c>
      <c r="Q5235" s="18">
        <v>1743.16</v>
      </c>
      <c r="R5235" s="18">
        <v>1428.82</v>
      </c>
      <c r="S5235" s="18">
        <v>1693.36</v>
      </c>
      <c r="T5235" s="18">
        <v>1388</v>
      </c>
      <c r="U5235" s="16"/>
      <c r="V5235" s="16"/>
      <c r="W5235" s="16"/>
      <c r="X5235" s="19">
        <v>1.667</v>
      </c>
      <c r="Y5235" s="20">
        <v>9.8300000000000002E-3</v>
      </c>
      <c r="Z5235" s="21">
        <v>4601004183872</v>
      </c>
    </row>
    <row r="5236" spans="1:26" ht="12" customHeight="1" outlineLevel="4" x14ac:dyDescent="0.2">
      <c r="A5236" s="14" t="s">
        <v>10134</v>
      </c>
      <c r="B5236" s="26" t="s">
        <v>10135</v>
      </c>
      <c r="C5236" s="52"/>
      <c r="D5236" s="55">
        <f t="shared" si="81"/>
        <v>0</v>
      </c>
      <c r="E5236" s="63" t="str">
        <f>HYPERLINK("https://www.sds-group.ru/product/payalnaya-lampa-pl-2-0-rexant-12-0009/", "Инфо")</f>
        <v>Инфо</v>
      </c>
      <c r="F5236" s="16" t="s">
        <v>39</v>
      </c>
      <c r="G5236" s="15"/>
      <c r="H5236" s="15"/>
      <c r="I5236" s="15"/>
      <c r="J5236" s="17">
        <v>327</v>
      </c>
      <c r="K5236" s="15"/>
      <c r="L5236" s="17">
        <v>1</v>
      </c>
      <c r="M5236" s="17">
        <v>6</v>
      </c>
      <c r="N5236" s="17">
        <v>1</v>
      </c>
      <c r="O5236" s="18">
        <v>2587.25</v>
      </c>
      <c r="P5236" s="18">
        <v>2120.6999999999998</v>
      </c>
      <c r="Q5236" s="18">
        <v>1811.08</v>
      </c>
      <c r="R5236" s="18">
        <v>1484.49</v>
      </c>
      <c r="S5236" s="18">
        <v>1759.33</v>
      </c>
      <c r="T5236" s="18">
        <v>1442.07</v>
      </c>
      <c r="U5236" s="16"/>
      <c r="V5236" s="16"/>
      <c r="W5236" s="16"/>
      <c r="X5236" s="19">
        <v>1.7729999999999999</v>
      </c>
      <c r="Y5236" s="20">
        <v>1.4191E-2</v>
      </c>
      <c r="Z5236" s="21">
        <v>4601004183896</v>
      </c>
    </row>
    <row r="5237" spans="1:26" ht="12.95" customHeight="1" outlineLevel="3" x14ac:dyDescent="0.2">
      <c r="A5237" s="76" t="s">
        <v>10136</v>
      </c>
      <c r="B5237" s="76"/>
      <c r="C5237" s="77"/>
      <c r="D5237" s="58"/>
      <c r="E5237" s="68"/>
      <c r="F5237" s="13"/>
      <c r="G5237" s="13"/>
      <c r="H5237" s="13"/>
      <c r="I5237" s="13"/>
      <c r="J5237" s="13"/>
      <c r="K5237" s="13"/>
      <c r="L5237" s="13"/>
      <c r="M5237" s="13"/>
      <c r="N5237" s="13"/>
      <c r="O5237" s="13"/>
      <c r="P5237" s="13"/>
      <c r="Q5237" s="13"/>
      <c r="R5237" s="13"/>
      <c r="S5237" s="13"/>
      <c r="T5237" s="13"/>
      <c r="U5237" s="13"/>
      <c r="V5237" s="13"/>
      <c r="W5237" s="13"/>
      <c r="X5237" s="13"/>
      <c r="Y5237" s="13"/>
      <c r="Z5237" s="13"/>
    </row>
    <row r="5238" spans="1:26" ht="12" customHeight="1" outlineLevel="4" x14ac:dyDescent="0.2">
      <c r="A5238" s="14" t="s">
        <v>10137</v>
      </c>
      <c r="B5238" s="26" t="s">
        <v>10138</v>
      </c>
      <c r="C5238" s="52"/>
      <c r="D5238" s="55">
        <f t="shared" si="81"/>
        <v>0</v>
      </c>
      <c r="E5238" s="63" t="str">
        <f>HYPERLINK("https://www.sds-group.ru/product/gorelka-krovelnaya-v-nabore-gvp-450kr-rexant-11-0998/", "Инфо")</f>
        <v>Инфо</v>
      </c>
      <c r="F5238" s="16" t="s">
        <v>39</v>
      </c>
      <c r="G5238" s="15"/>
      <c r="H5238" s="15"/>
      <c r="I5238" s="15"/>
      <c r="J5238" s="16" t="s">
        <v>100</v>
      </c>
      <c r="K5238" s="15" t="s">
        <v>210</v>
      </c>
      <c r="L5238" s="17">
        <v>1</v>
      </c>
      <c r="M5238" s="17">
        <v>10</v>
      </c>
      <c r="N5238" s="17">
        <v>1</v>
      </c>
      <c r="O5238" s="18">
        <v>3449.66</v>
      </c>
      <c r="P5238" s="18">
        <v>2827.59</v>
      </c>
      <c r="Q5238" s="18">
        <v>2518.25</v>
      </c>
      <c r="R5238" s="18">
        <v>2064.14</v>
      </c>
      <c r="S5238" s="18">
        <v>2345.77</v>
      </c>
      <c r="T5238" s="18">
        <v>1922.76</v>
      </c>
      <c r="U5238" s="16"/>
      <c r="V5238" s="16"/>
      <c r="W5238" s="16" t="s">
        <v>40</v>
      </c>
      <c r="X5238" s="19">
        <v>1.28</v>
      </c>
      <c r="Y5238" s="20">
        <v>5.9300000000000004E-3</v>
      </c>
      <c r="Z5238" s="21">
        <v>4601004183964</v>
      </c>
    </row>
    <row r="5239" spans="1:26" ht="12" customHeight="1" outlineLevel="4" x14ac:dyDescent="0.2">
      <c r="A5239" s="14" t="s">
        <v>10139</v>
      </c>
      <c r="B5239" s="26" t="s">
        <v>10140</v>
      </c>
      <c r="C5239" s="52"/>
      <c r="D5239" s="55">
        <f t="shared" si="81"/>
        <v>0</v>
      </c>
      <c r="E5239" s="63" t="str">
        <f>HYPERLINK("https://www.sds-group.ru/product/gorelka-krovelnaya-gv-1000r-rexant-11-0991/", "Инфо")</f>
        <v>Инфо</v>
      </c>
      <c r="F5239" s="16" t="s">
        <v>39</v>
      </c>
      <c r="G5239" s="15"/>
      <c r="H5239" s="15"/>
      <c r="I5239" s="15"/>
      <c r="J5239" s="17">
        <v>322</v>
      </c>
      <c r="K5239" s="15" t="s">
        <v>9986</v>
      </c>
      <c r="L5239" s="17">
        <v>1</v>
      </c>
      <c r="M5239" s="17">
        <v>20</v>
      </c>
      <c r="N5239" s="17">
        <v>1</v>
      </c>
      <c r="O5239" s="18">
        <v>2150.7399999999998</v>
      </c>
      <c r="P5239" s="18">
        <v>1762.9</v>
      </c>
      <c r="Q5239" s="18">
        <v>1935.67</v>
      </c>
      <c r="R5239" s="18">
        <v>1586.61</v>
      </c>
      <c r="S5239" s="18">
        <v>1462.5</v>
      </c>
      <c r="T5239" s="18">
        <v>1198.77</v>
      </c>
      <c r="U5239" s="16"/>
      <c r="V5239" s="16"/>
      <c r="W5239" s="16" t="s">
        <v>40</v>
      </c>
      <c r="X5239" s="19">
        <v>0.65</v>
      </c>
      <c r="Y5239" s="20">
        <v>3.7599999999999999E-3</v>
      </c>
      <c r="Z5239" s="21">
        <v>4601004183926</v>
      </c>
    </row>
    <row r="5240" spans="1:26" ht="12" customHeight="1" outlineLevel="4" x14ac:dyDescent="0.2">
      <c r="A5240" s="14" t="s">
        <v>10141</v>
      </c>
      <c r="B5240" s="26" t="s">
        <v>10142</v>
      </c>
      <c r="C5240" s="52"/>
      <c r="D5240" s="55">
        <f t="shared" si="81"/>
        <v>0</v>
      </c>
      <c r="E5240" s="63" t="str">
        <f>HYPERLINK("https://www.sds-group.ru/product/gorelka-krovelnaya-gv-500r-rexant-11-0975/", "Инфо")</f>
        <v>Инфо</v>
      </c>
      <c r="F5240" s="16" t="s">
        <v>39</v>
      </c>
      <c r="G5240" s="15"/>
      <c r="H5240" s="15"/>
      <c r="I5240" s="15"/>
      <c r="J5240" s="17">
        <v>462</v>
      </c>
      <c r="K5240" s="15" t="s">
        <v>4020</v>
      </c>
      <c r="L5240" s="17">
        <v>1</v>
      </c>
      <c r="M5240" s="17">
        <v>20</v>
      </c>
      <c r="N5240" s="17">
        <v>1</v>
      </c>
      <c r="O5240" s="18">
        <v>2263.84</v>
      </c>
      <c r="P5240" s="18">
        <v>1855.61</v>
      </c>
      <c r="Q5240" s="18">
        <v>1743.16</v>
      </c>
      <c r="R5240" s="18">
        <v>1428.82</v>
      </c>
      <c r="S5240" s="18">
        <v>1539.41</v>
      </c>
      <c r="T5240" s="18">
        <v>1261.81</v>
      </c>
      <c r="U5240" s="16"/>
      <c r="V5240" s="16"/>
      <c r="W5240" s="16" t="s">
        <v>40</v>
      </c>
      <c r="X5240" s="19">
        <v>0.67</v>
      </c>
      <c r="Y5240" s="20">
        <v>4.28E-3</v>
      </c>
      <c r="Z5240" s="21">
        <v>4601004183902</v>
      </c>
    </row>
    <row r="5241" spans="1:26" ht="12" customHeight="1" outlineLevel="4" x14ac:dyDescent="0.2">
      <c r="A5241" s="14" t="s">
        <v>10143</v>
      </c>
      <c r="B5241" s="26" t="s">
        <v>10144</v>
      </c>
      <c r="C5241" s="52"/>
      <c r="D5241" s="55">
        <f t="shared" si="81"/>
        <v>0</v>
      </c>
      <c r="E5241" s="63" t="str">
        <f>HYPERLINK("https://www.sds-group.ru/product/gorelka-krovelnaya-gv-600v-rexant-11-0972/", "Инфо")</f>
        <v>Инфо</v>
      </c>
      <c r="F5241" s="16" t="s">
        <v>39</v>
      </c>
      <c r="G5241" s="15"/>
      <c r="H5241" s="15"/>
      <c r="I5241" s="15"/>
      <c r="J5241" s="17">
        <v>627</v>
      </c>
      <c r="K5241" s="15"/>
      <c r="L5241" s="17">
        <v>1</v>
      </c>
      <c r="M5241" s="17">
        <v>10</v>
      </c>
      <c r="N5241" s="17">
        <v>1</v>
      </c>
      <c r="O5241" s="18">
        <v>1940.44</v>
      </c>
      <c r="P5241" s="18">
        <v>1590.52</v>
      </c>
      <c r="Q5241" s="18">
        <v>1532.95</v>
      </c>
      <c r="R5241" s="18">
        <v>1256.52</v>
      </c>
      <c r="S5241" s="18">
        <v>1319.5</v>
      </c>
      <c r="T5241" s="18">
        <v>1081.56</v>
      </c>
      <c r="U5241" s="16"/>
      <c r="V5241" s="16"/>
      <c r="W5241" s="16" t="s">
        <v>40</v>
      </c>
      <c r="X5241" s="19">
        <v>0.66</v>
      </c>
      <c r="Y5241" s="20">
        <v>4.7699999999999999E-3</v>
      </c>
      <c r="Z5241" s="21">
        <v>4601004183971</v>
      </c>
    </row>
    <row r="5242" spans="1:26" ht="12" customHeight="1" outlineLevel="4" x14ac:dyDescent="0.2">
      <c r="A5242" s="14" t="s">
        <v>10145</v>
      </c>
      <c r="B5242" s="26" t="s">
        <v>10146</v>
      </c>
      <c r="C5242" s="52"/>
      <c r="D5242" s="55">
        <f t="shared" si="81"/>
        <v>0</v>
      </c>
      <c r="E5242" s="63" t="str">
        <f>HYPERLINK("https://www.sds-group.ru/product/gorelka-krovelnaya-gv-600p-s-pezopodzhigom-rexant-11-0995/", "Инфо")</f>
        <v>Инфо</v>
      </c>
      <c r="F5242" s="16" t="s">
        <v>39</v>
      </c>
      <c r="G5242" s="15"/>
      <c r="H5242" s="15"/>
      <c r="I5242" s="15"/>
      <c r="J5242" s="16" t="s">
        <v>100</v>
      </c>
      <c r="K5242" s="15" t="s">
        <v>9986</v>
      </c>
      <c r="L5242" s="17">
        <v>1</v>
      </c>
      <c r="M5242" s="17">
        <v>20</v>
      </c>
      <c r="N5242" s="17">
        <v>1</v>
      </c>
      <c r="O5242" s="18">
        <v>4096.4799999999996</v>
      </c>
      <c r="P5242" s="18">
        <v>3357.77</v>
      </c>
      <c r="Q5242" s="18">
        <v>2990.43</v>
      </c>
      <c r="R5242" s="18">
        <v>2451.17</v>
      </c>
      <c r="S5242" s="18">
        <v>2785.61</v>
      </c>
      <c r="T5242" s="18">
        <v>2283.29</v>
      </c>
      <c r="U5242" s="16"/>
      <c r="V5242" s="16"/>
      <c r="W5242" s="16" t="s">
        <v>40</v>
      </c>
      <c r="X5242" s="19">
        <v>0.87</v>
      </c>
      <c r="Y5242" s="20">
        <v>5.0000000000000001E-3</v>
      </c>
      <c r="Z5242" s="21">
        <v>4601004183940</v>
      </c>
    </row>
    <row r="5243" spans="1:26" ht="12" customHeight="1" outlineLevel="4" x14ac:dyDescent="0.2">
      <c r="A5243" s="14" t="s">
        <v>10147</v>
      </c>
      <c r="B5243" s="26" t="s">
        <v>10148</v>
      </c>
      <c r="C5243" s="52"/>
      <c r="D5243" s="55">
        <f t="shared" si="81"/>
        <v>0</v>
      </c>
      <c r="E5243" s="63" t="str">
        <f>HYPERLINK("https://www.sds-group.ru/product/gorelka-krovelnaya-gv-700r-rexant-11-0977/", "Инфо")</f>
        <v>Инфо</v>
      </c>
      <c r="F5243" s="16" t="s">
        <v>39</v>
      </c>
      <c r="G5243" s="15"/>
      <c r="H5243" s="15"/>
      <c r="I5243" s="15"/>
      <c r="J5243" s="16" t="s">
        <v>100</v>
      </c>
      <c r="K5243" s="15" t="s">
        <v>9986</v>
      </c>
      <c r="L5243" s="17">
        <v>1</v>
      </c>
      <c r="M5243" s="17">
        <v>10</v>
      </c>
      <c r="N5243" s="17">
        <v>1</v>
      </c>
      <c r="O5243" s="18">
        <v>1994.34</v>
      </c>
      <c r="P5243" s="18">
        <v>1634.7</v>
      </c>
      <c r="Q5243" s="18">
        <v>1794.91</v>
      </c>
      <c r="R5243" s="18">
        <v>1471.24</v>
      </c>
      <c r="S5243" s="18">
        <v>1356.15</v>
      </c>
      <c r="T5243" s="18">
        <v>1111.5999999999999</v>
      </c>
      <c r="U5243" s="16"/>
      <c r="V5243" s="16"/>
      <c r="W5243" s="16" t="s">
        <v>40</v>
      </c>
      <c r="X5243" s="19">
        <v>0.82599999999999996</v>
      </c>
      <c r="Y5243" s="20">
        <v>6.7920000000000003E-3</v>
      </c>
      <c r="Z5243" s="21">
        <v>4601004183919</v>
      </c>
    </row>
    <row r="5244" spans="1:26" ht="12" customHeight="1" outlineLevel="4" x14ac:dyDescent="0.2">
      <c r="A5244" s="14" t="s">
        <v>10149</v>
      </c>
      <c r="B5244" s="26" t="s">
        <v>10150</v>
      </c>
      <c r="C5244" s="52"/>
      <c r="D5244" s="55">
        <f t="shared" si="81"/>
        <v>0</v>
      </c>
      <c r="E5244" s="63" t="str">
        <f>HYPERLINK("https://www.sds-group.ru/product/gorelka-krovelnaya-gv2-1000r-2-sopla-rexant-11-0992/", "Инфо")</f>
        <v>Инфо</v>
      </c>
      <c r="F5244" s="16" t="s">
        <v>39</v>
      </c>
      <c r="G5244" s="15"/>
      <c r="H5244" s="15"/>
      <c r="I5244" s="15"/>
      <c r="J5244" s="17">
        <v>197</v>
      </c>
      <c r="K5244" s="15" t="s">
        <v>10151</v>
      </c>
      <c r="L5244" s="17">
        <v>1</v>
      </c>
      <c r="M5244" s="17">
        <v>20</v>
      </c>
      <c r="N5244" s="17">
        <v>1</v>
      </c>
      <c r="O5244" s="18">
        <v>2695.05</v>
      </c>
      <c r="P5244" s="18">
        <v>2209.06</v>
      </c>
      <c r="Q5244" s="18">
        <v>2075.19</v>
      </c>
      <c r="R5244" s="18">
        <v>1700.98</v>
      </c>
      <c r="S5244" s="18">
        <v>1832.63</v>
      </c>
      <c r="T5244" s="18">
        <v>1502.16</v>
      </c>
      <c r="U5244" s="16"/>
      <c r="V5244" s="16"/>
      <c r="W5244" s="16" t="s">
        <v>40</v>
      </c>
      <c r="X5244" s="19">
        <v>0.78</v>
      </c>
      <c r="Y5244" s="20">
        <v>3.833E-3</v>
      </c>
      <c r="Z5244" s="21">
        <v>4601004183933</v>
      </c>
    </row>
    <row r="5245" spans="1:26" ht="12" customHeight="1" outlineLevel="4" x14ac:dyDescent="0.2">
      <c r="A5245" s="14" t="s">
        <v>10152</v>
      </c>
      <c r="B5245" s="26" t="s">
        <v>10153</v>
      </c>
      <c r="C5245" s="52"/>
      <c r="D5245" s="55">
        <f t="shared" si="81"/>
        <v>0</v>
      </c>
      <c r="E5245" s="63" t="str">
        <f>HYPERLINK("https://www.sds-group.ru/product/gorelka-propanovaya-v-nabore-gvp-400k-rexant-11-0997/", "Инфо")</f>
        <v>Инфо</v>
      </c>
      <c r="F5245" s="16" t="s">
        <v>39</v>
      </c>
      <c r="G5245" s="15"/>
      <c r="H5245" s="15"/>
      <c r="I5245" s="15"/>
      <c r="J5245" s="17">
        <v>293</v>
      </c>
      <c r="K5245" s="15" t="s">
        <v>210</v>
      </c>
      <c r="L5245" s="17">
        <v>1</v>
      </c>
      <c r="M5245" s="17">
        <v>10</v>
      </c>
      <c r="N5245" s="17">
        <v>1</v>
      </c>
      <c r="O5245" s="18">
        <v>3126.26</v>
      </c>
      <c r="P5245" s="18">
        <v>2562.5100000000002</v>
      </c>
      <c r="Q5245" s="18">
        <v>2407.2199999999998</v>
      </c>
      <c r="R5245" s="18">
        <v>1973.13</v>
      </c>
      <c r="S5245" s="18">
        <v>2125.86</v>
      </c>
      <c r="T5245" s="18">
        <v>1742.51</v>
      </c>
      <c r="U5245" s="16"/>
      <c r="V5245" s="16"/>
      <c r="W5245" s="16" t="s">
        <v>40</v>
      </c>
      <c r="X5245" s="19">
        <v>1.0780000000000001</v>
      </c>
      <c r="Y5245" s="20">
        <v>4.2119999999999996E-3</v>
      </c>
      <c r="Z5245" s="21">
        <v>4601004183957</v>
      </c>
    </row>
    <row r="5246" spans="1:26" ht="12.95" customHeight="1" outlineLevel="3" x14ac:dyDescent="0.2">
      <c r="A5246" s="76" t="s">
        <v>10154</v>
      </c>
      <c r="B5246" s="76"/>
      <c r="C5246" s="77"/>
      <c r="D5246" s="58"/>
      <c r="E5246" s="68"/>
      <c r="F5246" s="13"/>
      <c r="G5246" s="13"/>
      <c r="H5246" s="13"/>
      <c r="I5246" s="13"/>
      <c r="J5246" s="13"/>
      <c r="K5246" s="13"/>
      <c r="L5246" s="13"/>
      <c r="M5246" s="13"/>
      <c r="N5246" s="13"/>
      <c r="O5246" s="13"/>
      <c r="P5246" s="13"/>
      <c r="Q5246" s="13"/>
      <c r="R5246" s="13"/>
      <c r="S5246" s="13"/>
      <c r="T5246" s="13"/>
      <c r="U5246" s="13"/>
      <c r="V5246" s="13"/>
      <c r="W5246" s="13"/>
      <c r="X5246" s="13"/>
      <c r="Y5246" s="13"/>
      <c r="Z5246" s="13"/>
    </row>
    <row r="5247" spans="1:26" ht="12" customHeight="1" outlineLevel="4" x14ac:dyDescent="0.2">
      <c r="A5247" s="40" t="s">
        <v>10155</v>
      </c>
      <c r="B5247" s="75" t="s">
        <v>10156</v>
      </c>
      <c r="C5247" s="51"/>
      <c r="D5247" s="54">
        <f t="shared" si="81"/>
        <v>0</v>
      </c>
      <c r="E5247" s="62"/>
      <c r="F5247" s="42" t="s">
        <v>39</v>
      </c>
      <c r="G5247" s="41" t="s">
        <v>40</v>
      </c>
      <c r="H5247" s="41"/>
      <c r="I5247" s="41"/>
      <c r="J5247" s="43">
        <v>957</v>
      </c>
      <c r="K5247" s="41" t="s">
        <v>1126</v>
      </c>
      <c r="L5247" s="43">
        <v>1</v>
      </c>
      <c r="M5247" s="43">
        <v>20</v>
      </c>
      <c r="N5247" s="43">
        <v>1</v>
      </c>
      <c r="O5247" s="44">
        <v>1367.4</v>
      </c>
      <c r="P5247" s="44">
        <v>1120.82</v>
      </c>
      <c r="Q5247" s="44">
        <v>957.18</v>
      </c>
      <c r="R5247" s="44">
        <v>784.57</v>
      </c>
      <c r="S5247" s="44">
        <v>929.83</v>
      </c>
      <c r="T5247" s="44">
        <v>762.16</v>
      </c>
      <c r="U5247" s="42"/>
      <c r="V5247" s="42"/>
      <c r="W5247" s="42" t="s">
        <v>40</v>
      </c>
      <c r="X5247" s="45">
        <v>0.22700000000000001</v>
      </c>
      <c r="Y5247" s="46">
        <v>1.077E-3</v>
      </c>
      <c r="Z5247" s="21">
        <v>4601004351554</v>
      </c>
    </row>
    <row r="5248" spans="1:26" ht="12" customHeight="1" outlineLevel="4" x14ac:dyDescent="0.2">
      <c r="A5248" s="40" t="s">
        <v>10157</v>
      </c>
      <c r="B5248" s="75" t="s">
        <v>10158</v>
      </c>
      <c r="C5248" s="51"/>
      <c r="D5248" s="54">
        <f t="shared" si="81"/>
        <v>0</v>
      </c>
      <c r="E5248" s="62"/>
      <c r="F5248" s="42" t="s">
        <v>39</v>
      </c>
      <c r="G5248" s="41" t="s">
        <v>40</v>
      </c>
      <c r="H5248" s="41"/>
      <c r="I5248" s="41"/>
      <c r="J5248" s="43">
        <v>250</v>
      </c>
      <c r="K5248" s="41" t="s">
        <v>1126</v>
      </c>
      <c r="L5248" s="43">
        <v>1</v>
      </c>
      <c r="M5248" s="43">
        <v>20</v>
      </c>
      <c r="N5248" s="43">
        <v>1</v>
      </c>
      <c r="O5248" s="44">
        <v>2830.2</v>
      </c>
      <c r="P5248" s="44">
        <v>2319.84</v>
      </c>
      <c r="Q5248" s="44">
        <v>2122.65</v>
      </c>
      <c r="R5248" s="44">
        <v>1739.88</v>
      </c>
      <c r="S5248" s="44">
        <v>1924.54</v>
      </c>
      <c r="T5248" s="44">
        <v>1577.49</v>
      </c>
      <c r="U5248" s="42"/>
      <c r="V5248" s="42"/>
      <c r="W5248" s="42" t="s">
        <v>40</v>
      </c>
      <c r="X5248" s="45">
        <v>0.37</v>
      </c>
      <c r="Y5248" s="46">
        <v>1.3079999999999999E-3</v>
      </c>
      <c r="Z5248" s="21">
        <v>4601004351523</v>
      </c>
    </row>
    <row r="5249" spans="1:26" ht="12" customHeight="1" outlineLevel="4" x14ac:dyDescent="0.2">
      <c r="A5249" s="40" t="s">
        <v>10159</v>
      </c>
      <c r="B5249" s="75" t="s">
        <v>10160</v>
      </c>
      <c r="C5249" s="51"/>
      <c r="D5249" s="54">
        <f t="shared" si="81"/>
        <v>0</v>
      </c>
      <c r="E5249" s="62"/>
      <c r="F5249" s="42" t="s">
        <v>39</v>
      </c>
      <c r="G5249" s="41" t="s">
        <v>40</v>
      </c>
      <c r="H5249" s="41"/>
      <c r="I5249" s="41"/>
      <c r="J5249" s="43">
        <v>454</v>
      </c>
      <c r="K5249" s="41" t="s">
        <v>1126</v>
      </c>
      <c r="L5249" s="43">
        <v>1</v>
      </c>
      <c r="M5249" s="43">
        <v>50</v>
      </c>
      <c r="N5249" s="43">
        <v>1</v>
      </c>
      <c r="O5249" s="44">
        <v>1722.5</v>
      </c>
      <c r="P5249" s="44">
        <v>1411.89</v>
      </c>
      <c r="Q5249" s="44">
        <v>1240.2</v>
      </c>
      <c r="R5249" s="44">
        <v>1016.56</v>
      </c>
      <c r="S5249" s="44">
        <v>1171.3</v>
      </c>
      <c r="T5249" s="44">
        <v>960.08</v>
      </c>
      <c r="U5249" s="42"/>
      <c r="V5249" s="42"/>
      <c r="W5249" s="42" t="s">
        <v>40</v>
      </c>
      <c r="X5249" s="45">
        <v>0.19400000000000001</v>
      </c>
      <c r="Y5249" s="46">
        <v>9.9599999999999992E-4</v>
      </c>
      <c r="Z5249" s="21">
        <v>4601004351547</v>
      </c>
    </row>
    <row r="5250" spans="1:26" ht="12" customHeight="1" outlineLevel="4" x14ac:dyDescent="0.2">
      <c r="A5250" s="40" t="s">
        <v>10161</v>
      </c>
      <c r="B5250" s="75" t="s">
        <v>10162</v>
      </c>
      <c r="C5250" s="51"/>
      <c r="D5250" s="54">
        <f t="shared" si="81"/>
        <v>0</v>
      </c>
      <c r="E5250" s="62"/>
      <c r="F5250" s="42" t="s">
        <v>39</v>
      </c>
      <c r="G5250" s="41" t="s">
        <v>40</v>
      </c>
      <c r="H5250" s="41"/>
      <c r="I5250" s="41"/>
      <c r="J5250" s="43">
        <v>241</v>
      </c>
      <c r="K5250" s="41" t="s">
        <v>1126</v>
      </c>
      <c r="L5250" s="43">
        <v>1</v>
      </c>
      <c r="M5250" s="43">
        <v>25</v>
      </c>
      <c r="N5250" s="43">
        <v>1</v>
      </c>
      <c r="O5250" s="44">
        <v>4907.8</v>
      </c>
      <c r="P5250" s="44">
        <v>4022.79</v>
      </c>
      <c r="Q5250" s="44">
        <v>3533.62</v>
      </c>
      <c r="R5250" s="44">
        <v>2896.41</v>
      </c>
      <c r="S5250" s="44">
        <v>3337.3</v>
      </c>
      <c r="T5250" s="44">
        <v>2735.49</v>
      </c>
      <c r="U5250" s="42"/>
      <c r="V5250" s="42"/>
      <c r="W5250" s="42" t="s">
        <v>40</v>
      </c>
      <c r="X5250" s="45">
        <v>0.62</v>
      </c>
      <c r="Y5250" s="46">
        <v>2.16E-3</v>
      </c>
      <c r="Z5250" s="21">
        <v>4601004351530</v>
      </c>
    </row>
    <row r="5251" spans="1:26" ht="12" customHeight="1" outlineLevel="4" x14ac:dyDescent="0.2">
      <c r="A5251" s="40" t="s">
        <v>10163</v>
      </c>
      <c r="B5251" s="75" t="s">
        <v>10164</v>
      </c>
      <c r="C5251" s="51"/>
      <c r="D5251" s="54">
        <f t="shared" si="81"/>
        <v>0</v>
      </c>
      <c r="E5251" s="62"/>
      <c r="F5251" s="42" t="s">
        <v>39</v>
      </c>
      <c r="G5251" s="41" t="s">
        <v>40</v>
      </c>
      <c r="H5251" s="41"/>
      <c r="I5251" s="41"/>
      <c r="J5251" s="43">
        <v>251</v>
      </c>
      <c r="K5251" s="41" t="s">
        <v>1126</v>
      </c>
      <c r="L5251" s="43">
        <v>1</v>
      </c>
      <c r="M5251" s="43">
        <v>20</v>
      </c>
      <c r="N5251" s="43">
        <v>1</v>
      </c>
      <c r="O5251" s="44">
        <v>5194</v>
      </c>
      <c r="P5251" s="44">
        <v>4257.38</v>
      </c>
      <c r="Q5251" s="44">
        <v>3635.8</v>
      </c>
      <c r="R5251" s="44">
        <v>2980.16</v>
      </c>
      <c r="S5251" s="44">
        <v>3531.92</v>
      </c>
      <c r="T5251" s="44">
        <v>2895.02</v>
      </c>
      <c r="U5251" s="42"/>
      <c r="V5251" s="42"/>
      <c r="W5251" s="42" t="s">
        <v>40</v>
      </c>
      <c r="X5251" s="45">
        <v>0.95</v>
      </c>
      <c r="Y5251" s="46">
        <v>3.4619999999999998E-3</v>
      </c>
      <c r="Z5251" s="21">
        <v>4601004351509</v>
      </c>
    </row>
    <row r="5252" spans="1:26" ht="12" customHeight="1" outlineLevel="4" x14ac:dyDescent="0.2">
      <c r="A5252" s="40" t="s">
        <v>10165</v>
      </c>
      <c r="B5252" s="75" t="s">
        <v>10166</v>
      </c>
      <c r="C5252" s="51"/>
      <c r="D5252" s="54">
        <f t="shared" si="81"/>
        <v>0</v>
      </c>
      <c r="E5252" s="62"/>
      <c r="F5252" s="42" t="s">
        <v>39</v>
      </c>
      <c r="G5252" s="41" t="s">
        <v>40</v>
      </c>
      <c r="H5252" s="41"/>
      <c r="I5252" s="41"/>
      <c r="J5252" s="43">
        <v>252</v>
      </c>
      <c r="K5252" s="41" t="s">
        <v>1126</v>
      </c>
      <c r="L5252" s="43">
        <v>1</v>
      </c>
      <c r="M5252" s="43">
        <v>20</v>
      </c>
      <c r="N5252" s="43">
        <v>1</v>
      </c>
      <c r="O5252" s="44">
        <v>5724</v>
      </c>
      <c r="P5252" s="44">
        <v>4691.8</v>
      </c>
      <c r="Q5252" s="44">
        <v>4121.28</v>
      </c>
      <c r="R5252" s="44">
        <v>3378.1</v>
      </c>
      <c r="S5252" s="44">
        <v>3892.32</v>
      </c>
      <c r="T5252" s="44">
        <v>3190.43</v>
      </c>
      <c r="U5252" s="42"/>
      <c r="V5252" s="42"/>
      <c r="W5252" s="42" t="s">
        <v>40</v>
      </c>
      <c r="X5252" s="45">
        <v>0.63600000000000001</v>
      </c>
      <c r="Y5252" s="46">
        <v>2.4269999999999999E-3</v>
      </c>
      <c r="Z5252" s="21">
        <v>4601004351516</v>
      </c>
    </row>
    <row r="5253" spans="1:26" ht="12.95" customHeight="1" outlineLevel="2" x14ac:dyDescent="0.2">
      <c r="A5253" s="82" t="s">
        <v>10167</v>
      </c>
      <c r="B5253" s="82"/>
      <c r="C5253" s="83"/>
      <c r="D5253" s="59"/>
      <c r="E5253" s="69"/>
      <c r="F5253" s="23"/>
      <c r="G5253" s="23"/>
      <c r="H5253" s="23"/>
      <c r="I5253" s="23"/>
      <c r="J5253" s="23"/>
      <c r="K5253" s="23"/>
      <c r="L5253" s="23"/>
      <c r="M5253" s="23"/>
      <c r="N5253" s="23"/>
      <c r="O5253" s="23"/>
      <c r="P5253" s="23"/>
      <c r="Q5253" s="23"/>
      <c r="R5253" s="23"/>
      <c r="S5253" s="23"/>
      <c r="T5253" s="23"/>
      <c r="U5253" s="23"/>
      <c r="V5253" s="23"/>
      <c r="W5253" s="23"/>
      <c r="X5253" s="23"/>
      <c r="Y5253" s="23"/>
      <c r="Z5253" s="23"/>
    </row>
    <row r="5254" spans="1:26" ht="12" customHeight="1" outlineLevel="3" x14ac:dyDescent="0.2">
      <c r="A5254" s="14" t="s">
        <v>10168</v>
      </c>
      <c r="B5254" s="26" t="s">
        <v>10169</v>
      </c>
      <c r="C5254" s="52"/>
      <c r="D5254" s="55">
        <f t="shared" si="81"/>
        <v>0</v>
      </c>
      <c r="E5254" s="63" t="str">
        <f>HYPERLINK("https://www.sds-group.ru/product/gaz-dlya-zazhigalok-metallicheskiy-ballon-140-ml-55-gr-5-perehodnikov-09-1404/", "Инфо")</f>
        <v>Инфо</v>
      </c>
      <c r="F5254" s="16" t="s">
        <v>39</v>
      </c>
      <c r="G5254" s="15"/>
      <c r="H5254" s="15"/>
      <c r="I5254" s="15"/>
      <c r="J5254" s="22">
        <v>3555</v>
      </c>
      <c r="K5254" s="15"/>
      <c r="L5254" s="17">
        <v>6</v>
      </c>
      <c r="M5254" s="17">
        <v>24</v>
      </c>
      <c r="N5254" s="17">
        <v>6</v>
      </c>
      <c r="O5254" s="18">
        <v>131.02000000000001</v>
      </c>
      <c r="P5254" s="18">
        <v>107.39</v>
      </c>
      <c r="Q5254" s="18">
        <v>111.37</v>
      </c>
      <c r="R5254" s="18">
        <v>91.29</v>
      </c>
      <c r="S5254" s="18">
        <v>89.09</v>
      </c>
      <c r="T5254" s="18">
        <v>73.02</v>
      </c>
      <c r="U5254" s="16"/>
      <c r="V5254" s="16"/>
      <c r="W5254" s="16" t="s">
        <v>40</v>
      </c>
      <c r="X5254" s="19">
        <v>0.10199999999999999</v>
      </c>
      <c r="Y5254" s="20">
        <v>3.3700000000000001E-4</v>
      </c>
      <c r="Z5254" s="21">
        <v>4612744320458</v>
      </c>
    </row>
    <row r="5255" spans="1:26" ht="12" customHeight="1" outlineLevel="3" x14ac:dyDescent="0.2">
      <c r="A5255" s="14" t="s">
        <v>10170</v>
      </c>
      <c r="B5255" s="26" t="s">
        <v>10171</v>
      </c>
      <c r="C5255" s="52"/>
      <c r="D5255" s="55">
        <f t="shared" si="81"/>
        <v>0</v>
      </c>
      <c r="E5255" s="63" t="str">
        <f>HYPERLINK("https://www.sds-group.ru/product/gaz-dlya-zajigalok-metallicheskiy-ballon-200-ml-s-universalnim-shtokom-dlya-bolshinstva-gazovih-ustroystv-11599/", "Инфо")</f>
        <v>Инфо</v>
      </c>
      <c r="F5255" s="16" t="s">
        <v>39</v>
      </c>
      <c r="G5255" s="15"/>
      <c r="H5255" s="15"/>
      <c r="I5255" s="15"/>
      <c r="J5255" s="17">
        <v>120</v>
      </c>
      <c r="K5255" s="15"/>
      <c r="L5255" s="17">
        <v>24</v>
      </c>
      <c r="M5255" s="17">
        <v>24</v>
      </c>
      <c r="N5255" s="17">
        <v>24</v>
      </c>
      <c r="O5255" s="18">
        <v>224.25</v>
      </c>
      <c r="P5255" s="18">
        <v>183.81</v>
      </c>
      <c r="Q5255" s="18">
        <v>190.61</v>
      </c>
      <c r="R5255" s="18">
        <v>156.24</v>
      </c>
      <c r="S5255" s="18">
        <v>152.49</v>
      </c>
      <c r="T5255" s="18">
        <v>124.99</v>
      </c>
      <c r="U5255" s="16"/>
      <c r="V5255" s="16"/>
      <c r="W5255" s="16" t="s">
        <v>40</v>
      </c>
      <c r="X5255" s="19">
        <v>0.157</v>
      </c>
      <c r="Y5255" s="20">
        <v>5.0699999999999996E-4</v>
      </c>
      <c r="Z5255" s="21">
        <v>4612744320281</v>
      </c>
    </row>
    <row r="5256" spans="1:26" ht="12" customHeight="1" outlineLevel="3" x14ac:dyDescent="0.2">
      <c r="A5256" s="14" t="s">
        <v>10172</v>
      </c>
      <c r="B5256" s="26" t="s">
        <v>10173</v>
      </c>
      <c r="C5256" s="52"/>
      <c r="D5256" s="55">
        <f t="shared" si="81"/>
        <v>0</v>
      </c>
      <c r="E5256" s="63" t="str">
        <f>HYPERLINK("https://www.sds-group.ru/product/gaz-dlya-zazhigalok-metal-ballon-210-sm3-140-ml-80-gr-s-universalnym-perehodnikom-09-1429/", "Инфо")</f>
        <v>Инфо</v>
      </c>
      <c r="F5256" s="16" t="s">
        <v>39</v>
      </c>
      <c r="G5256" s="15"/>
      <c r="H5256" s="15"/>
      <c r="I5256" s="15"/>
      <c r="J5256" s="22">
        <v>1170</v>
      </c>
      <c r="K5256" s="15"/>
      <c r="L5256" s="17">
        <v>6</v>
      </c>
      <c r="M5256" s="17">
        <v>24</v>
      </c>
      <c r="N5256" s="17">
        <v>6</v>
      </c>
      <c r="O5256" s="18">
        <v>142.46</v>
      </c>
      <c r="P5256" s="18">
        <v>116.77</v>
      </c>
      <c r="Q5256" s="18">
        <v>121.09</v>
      </c>
      <c r="R5256" s="18">
        <v>99.25</v>
      </c>
      <c r="S5256" s="18">
        <v>96.87</v>
      </c>
      <c r="T5256" s="18">
        <v>79.400000000000006</v>
      </c>
      <c r="U5256" s="16"/>
      <c r="V5256" s="16"/>
      <c r="W5256" s="16" t="s">
        <v>40</v>
      </c>
      <c r="X5256" s="19">
        <v>0.128</v>
      </c>
      <c r="Y5256" s="20">
        <v>3.8099999999999999E-4</v>
      </c>
      <c r="Z5256" s="21">
        <v>4600171381944</v>
      </c>
    </row>
    <row r="5257" spans="1:26" ht="12" customHeight="1" outlineLevel="3" x14ac:dyDescent="0.2">
      <c r="A5257" s="14" t="s">
        <v>10174</v>
      </c>
      <c r="B5257" s="26" t="s">
        <v>10175</v>
      </c>
      <c r="C5257" s="52"/>
      <c r="D5257" s="55">
        <f t="shared" ref="D5257:D5320" si="82">C5257*(O5257-O5257*$G$3)</f>
        <v>0</v>
      </c>
      <c r="E5257" s="63" t="str">
        <f>HYPERLINK("https://www.sds-group.ru/product/gaz-dlya-zazhigalok-metal-ballon-210ml-80-gr-5-perehodnikov-09-1405/", "Инфо")</f>
        <v>Инфо</v>
      </c>
      <c r="F5257" s="16" t="s">
        <v>39</v>
      </c>
      <c r="G5257" s="15"/>
      <c r="H5257" s="15"/>
      <c r="I5257" s="15"/>
      <c r="J5257" s="17">
        <v>600</v>
      </c>
      <c r="K5257" s="15"/>
      <c r="L5257" s="17">
        <v>6</v>
      </c>
      <c r="M5257" s="17">
        <v>24</v>
      </c>
      <c r="N5257" s="17">
        <v>6</v>
      </c>
      <c r="O5257" s="18">
        <v>162.25</v>
      </c>
      <c r="P5257" s="18">
        <v>132.99</v>
      </c>
      <c r="Q5257" s="18">
        <v>137.91</v>
      </c>
      <c r="R5257" s="18">
        <v>113.04</v>
      </c>
      <c r="S5257" s="18">
        <v>110.33</v>
      </c>
      <c r="T5257" s="18">
        <v>90.43</v>
      </c>
      <c r="U5257" s="16"/>
      <c r="V5257" s="16"/>
      <c r="W5257" s="16" t="s">
        <v>40</v>
      </c>
      <c r="X5257" s="19">
        <v>0.16500000000000001</v>
      </c>
      <c r="Y5257" s="20">
        <v>5.0000000000000001E-4</v>
      </c>
      <c r="Z5257" s="21">
        <v>4612744320465</v>
      </c>
    </row>
    <row r="5258" spans="1:26" ht="12" customHeight="1" outlineLevel="3" x14ac:dyDescent="0.2">
      <c r="A5258" s="14" t="s">
        <v>10176</v>
      </c>
      <c r="B5258" s="26" t="s">
        <v>10177</v>
      </c>
      <c r="C5258" s="52"/>
      <c r="D5258" s="55">
        <f t="shared" si="82"/>
        <v>0</v>
      </c>
      <c r="E5258" s="63" t="str">
        <f>HYPERLINK("https://www.sds-group.ru/product/gaz-dlya-zazhigalok-metal-ballon-260-sm3-180-ml-100-gr-s-universalnym-perehodnikom-09-1430/", "Инфо")</f>
        <v>Инфо</v>
      </c>
      <c r="F5258" s="16" t="s">
        <v>39</v>
      </c>
      <c r="G5258" s="15"/>
      <c r="H5258" s="15"/>
      <c r="I5258" s="15"/>
      <c r="J5258" s="17">
        <v>242</v>
      </c>
      <c r="K5258" s="15"/>
      <c r="L5258" s="17">
        <v>6</v>
      </c>
      <c r="M5258" s="17">
        <v>24</v>
      </c>
      <c r="N5258" s="17">
        <v>6</v>
      </c>
      <c r="O5258" s="18">
        <v>158.30000000000001</v>
      </c>
      <c r="P5258" s="18">
        <v>129.75</v>
      </c>
      <c r="Q5258" s="18">
        <v>134.56</v>
      </c>
      <c r="R5258" s="18">
        <v>110.3</v>
      </c>
      <c r="S5258" s="18">
        <v>107.64</v>
      </c>
      <c r="T5258" s="18">
        <v>88.23</v>
      </c>
      <c r="U5258" s="16"/>
      <c r="V5258" s="16"/>
      <c r="W5258" s="16" t="s">
        <v>40</v>
      </c>
      <c r="X5258" s="19">
        <v>0.159</v>
      </c>
      <c r="Y5258" s="20">
        <v>4.5199999999999998E-4</v>
      </c>
      <c r="Z5258" s="21">
        <v>4601004060876</v>
      </c>
    </row>
    <row r="5259" spans="1:26" ht="12" customHeight="1" outlineLevel="3" x14ac:dyDescent="0.2">
      <c r="A5259" s="14" t="s">
        <v>10178</v>
      </c>
      <c r="B5259" s="26" t="s">
        <v>10179</v>
      </c>
      <c r="C5259" s="52"/>
      <c r="D5259" s="55">
        <f t="shared" si="82"/>
        <v>0</v>
      </c>
      <c r="E5259" s="63" t="str">
        <f>HYPERLINK("https://www.sds-group.ru/product/gaz-dlya-zazhigalok-metallicheskiy-ballon-270-ml-110-gr-5-perehodnikov-09-1406/", "Инфо")</f>
        <v>Инфо</v>
      </c>
      <c r="F5259" s="16" t="s">
        <v>39</v>
      </c>
      <c r="G5259" s="15"/>
      <c r="H5259" s="15"/>
      <c r="I5259" s="15"/>
      <c r="J5259" s="16" t="s">
        <v>100</v>
      </c>
      <c r="K5259" s="15"/>
      <c r="L5259" s="17">
        <v>5</v>
      </c>
      <c r="M5259" s="17">
        <v>24</v>
      </c>
      <c r="N5259" s="17">
        <v>5</v>
      </c>
      <c r="O5259" s="18">
        <v>193.41</v>
      </c>
      <c r="P5259" s="18">
        <v>158.53</v>
      </c>
      <c r="Q5259" s="18">
        <v>164.4</v>
      </c>
      <c r="R5259" s="18">
        <v>134.75</v>
      </c>
      <c r="S5259" s="18">
        <v>131.52000000000001</v>
      </c>
      <c r="T5259" s="18">
        <v>107.8</v>
      </c>
      <c r="U5259" s="16"/>
      <c r="V5259" s="16"/>
      <c r="W5259" s="16" t="s">
        <v>40</v>
      </c>
      <c r="X5259" s="19">
        <v>0.16500000000000001</v>
      </c>
      <c r="Y5259" s="20">
        <v>5.04E-4</v>
      </c>
      <c r="Z5259" s="21">
        <v>4612744320472</v>
      </c>
    </row>
    <row r="5260" spans="1:26" ht="12" customHeight="1" outlineLevel="3" x14ac:dyDescent="0.2">
      <c r="A5260" s="14" t="s">
        <v>10180</v>
      </c>
      <c r="B5260" s="26" t="s">
        <v>10181</v>
      </c>
      <c r="C5260" s="52"/>
      <c r="D5260" s="55">
        <f t="shared" si="82"/>
        <v>0</v>
      </c>
      <c r="E5260" s="63" t="str">
        <f>HYPERLINK("https://www.sds-group.ru/product/gaz-dlya-zazhigalok-metallicheskiy-ballon-300-ml-s-universalnym-shtokom-dlya-bolshinstva-gaz-09-1428/", "Инфо")</f>
        <v>Инфо</v>
      </c>
      <c r="F5260" s="16" t="s">
        <v>39</v>
      </c>
      <c r="G5260" s="15"/>
      <c r="H5260" s="15"/>
      <c r="I5260" s="15"/>
      <c r="J5260" s="17">
        <v>588</v>
      </c>
      <c r="K5260" s="15"/>
      <c r="L5260" s="17">
        <v>24</v>
      </c>
      <c r="M5260" s="17">
        <v>24</v>
      </c>
      <c r="N5260" s="17">
        <v>24</v>
      </c>
      <c r="O5260" s="18">
        <v>268.63</v>
      </c>
      <c r="P5260" s="18">
        <v>220.19</v>
      </c>
      <c r="Q5260" s="18">
        <v>228.34</v>
      </c>
      <c r="R5260" s="18">
        <v>187.16</v>
      </c>
      <c r="S5260" s="18">
        <v>182.67</v>
      </c>
      <c r="T5260" s="18">
        <v>149.72999999999999</v>
      </c>
      <c r="U5260" s="16"/>
      <c r="V5260" s="16"/>
      <c r="W5260" s="16" t="s">
        <v>40</v>
      </c>
      <c r="X5260" s="19">
        <v>0.23899999999999999</v>
      </c>
      <c r="Y5260" s="20">
        <v>1.4040000000000001E-3</v>
      </c>
      <c r="Z5260" s="21">
        <v>4612744320076</v>
      </c>
    </row>
    <row r="5261" spans="1:26" ht="12" customHeight="1" outlineLevel="3" x14ac:dyDescent="0.2">
      <c r="A5261" s="14" t="s">
        <v>10182</v>
      </c>
      <c r="B5261" s="26" t="s">
        <v>10183</v>
      </c>
      <c r="C5261" s="52"/>
      <c r="D5261" s="55">
        <f t="shared" si="82"/>
        <v>0</v>
      </c>
      <c r="E5261" s="63" t="str">
        <f>HYPERLINK("https://www.sds-group.ru/product/gazovyy-ballon-vsesezonnyy-520-sm-rexant-09-1414/", "Инфо")</f>
        <v>Инфо</v>
      </c>
      <c r="F5261" s="16" t="s">
        <v>39</v>
      </c>
      <c r="G5261" s="15"/>
      <c r="H5261" s="15"/>
      <c r="I5261" s="15"/>
      <c r="J5261" s="22">
        <v>25300</v>
      </c>
      <c r="K5261" s="15"/>
      <c r="L5261" s="17">
        <v>12</v>
      </c>
      <c r="M5261" s="17">
        <v>12</v>
      </c>
      <c r="N5261" s="17">
        <v>12</v>
      </c>
      <c r="O5261" s="18">
        <v>150.91999999999999</v>
      </c>
      <c r="P5261" s="18">
        <v>123.7</v>
      </c>
      <c r="Q5261" s="18">
        <v>128.28</v>
      </c>
      <c r="R5261" s="18">
        <v>105.15</v>
      </c>
      <c r="S5261" s="18">
        <v>102.63</v>
      </c>
      <c r="T5261" s="18">
        <v>84.12</v>
      </c>
      <c r="U5261" s="16"/>
      <c r="V5261" s="16"/>
      <c r="W5261" s="16" t="s">
        <v>40</v>
      </c>
      <c r="X5261" s="19">
        <v>0.33400000000000002</v>
      </c>
      <c r="Y5261" s="20">
        <v>1.062E-3</v>
      </c>
      <c r="Z5261" s="21">
        <v>4601004043084</v>
      </c>
    </row>
    <row r="5262" spans="1:26" ht="12" customHeight="1" outlineLevel="3" x14ac:dyDescent="0.2">
      <c r="A5262" s="14" t="s">
        <v>10184</v>
      </c>
      <c r="B5262" s="26" t="s">
        <v>10185</v>
      </c>
      <c r="C5262" s="52"/>
      <c r="D5262" s="55">
        <f t="shared" si="82"/>
        <v>0</v>
      </c>
      <c r="E5262" s="63" t="str">
        <f>HYPERLINK("https://www.sds-group.ru/product/gazovyy-ballon-zimnyaya-smes-520-ml-rexant-09-1413/", "Инфо")</f>
        <v>Инфо</v>
      </c>
      <c r="F5262" s="16" t="s">
        <v>39</v>
      </c>
      <c r="G5262" s="15"/>
      <c r="H5262" s="15"/>
      <c r="I5262" s="15"/>
      <c r="J5262" s="16" t="s">
        <v>100</v>
      </c>
      <c r="K5262" s="15" t="s">
        <v>1381</v>
      </c>
      <c r="L5262" s="17">
        <v>12</v>
      </c>
      <c r="M5262" s="17">
        <v>12</v>
      </c>
      <c r="N5262" s="17">
        <v>12</v>
      </c>
      <c r="O5262" s="18">
        <v>146.61000000000001</v>
      </c>
      <c r="P5262" s="18">
        <v>120.17</v>
      </c>
      <c r="Q5262" s="18">
        <v>124.62</v>
      </c>
      <c r="R5262" s="18">
        <v>102.15</v>
      </c>
      <c r="S5262" s="18">
        <v>99.69</v>
      </c>
      <c r="T5262" s="18">
        <v>81.709999999999994</v>
      </c>
      <c r="U5262" s="16"/>
      <c r="V5262" s="16"/>
      <c r="W5262" s="16" t="s">
        <v>40</v>
      </c>
      <c r="X5262" s="19">
        <v>0.34</v>
      </c>
      <c r="Y5262" s="20">
        <v>1.0709999999999999E-3</v>
      </c>
      <c r="Z5262" s="21">
        <v>4600171390762</v>
      </c>
    </row>
    <row r="5263" spans="1:26" ht="12.95" customHeight="1" outlineLevel="2" x14ac:dyDescent="0.2">
      <c r="A5263" s="76" t="s">
        <v>10186</v>
      </c>
      <c r="B5263" s="76"/>
      <c r="C5263" s="77"/>
      <c r="D5263" s="58"/>
      <c r="E5263" s="68"/>
      <c r="F5263" s="13"/>
      <c r="G5263" s="13"/>
      <c r="H5263" s="13"/>
      <c r="I5263" s="13"/>
      <c r="J5263" s="13"/>
      <c r="K5263" s="13"/>
      <c r="L5263" s="13"/>
      <c r="M5263" s="13"/>
      <c r="N5263" s="13"/>
      <c r="O5263" s="13"/>
      <c r="P5263" s="13"/>
      <c r="Q5263" s="13"/>
      <c r="R5263" s="13"/>
      <c r="S5263" s="13"/>
      <c r="T5263" s="13"/>
      <c r="U5263" s="13"/>
      <c r="V5263" s="13"/>
      <c r="W5263" s="13"/>
      <c r="X5263" s="13"/>
      <c r="Y5263" s="13"/>
      <c r="Z5263" s="13"/>
    </row>
    <row r="5264" spans="1:26" ht="12" customHeight="1" outlineLevel="3" x14ac:dyDescent="0.2">
      <c r="A5264" s="14" t="s">
        <v>10187</v>
      </c>
      <c r="B5264" s="26" t="s">
        <v>10188</v>
      </c>
      <c r="C5264" s="52"/>
      <c r="D5264" s="55">
        <f t="shared" si="82"/>
        <v>0</v>
      </c>
      <c r="E5264" s="63" t="str">
        <f>HYPERLINK("https://www.sds-group.ru/product/gazovaya-plitka-turisticheskaya-kompaktnaya-kochevnik-rexant-12-4131/", "Инфо")</f>
        <v>Инфо</v>
      </c>
      <c r="F5264" s="16" t="s">
        <v>39</v>
      </c>
      <c r="G5264" s="15"/>
      <c r="H5264" s="15"/>
      <c r="I5264" s="15"/>
      <c r="J5264" s="17">
        <v>220</v>
      </c>
      <c r="K5264" s="15"/>
      <c r="L5264" s="17">
        <v>1</v>
      </c>
      <c r="M5264" s="17">
        <v>40</v>
      </c>
      <c r="N5264" s="17">
        <v>1</v>
      </c>
      <c r="O5264" s="18">
        <v>883.98</v>
      </c>
      <c r="P5264" s="18">
        <v>724.57</v>
      </c>
      <c r="Q5264" s="18">
        <v>618.79</v>
      </c>
      <c r="R5264" s="18">
        <v>507.2</v>
      </c>
      <c r="S5264" s="18">
        <v>601.11</v>
      </c>
      <c r="T5264" s="18">
        <v>492.71</v>
      </c>
      <c r="U5264" s="16"/>
      <c r="V5264" s="16"/>
      <c r="W5264" s="16"/>
      <c r="X5264" s="19">
        <v>0.29399999999999998</v>
      </c>
      <c r="Y5264" s="20">
        <v>1.6429999999999999E-3</v>
      </c>
      <c r="Z5264" s="21">
        <v>4601004248977</v>
      </c>
    </row>
    <row r="5265" spans="1:26" ht="12" customHeight="1" outlineLevel="3" x14ac:dyDescent="0.2">
      <c r="A5265" s="32" t="s">
        <v>10189</v>
      </c>
      <c r="B5265" s="74" t="s">
        <v>10190</v>
      </c>
      <c r="C5265" s="50"/>
      <c r="D5265" s="53">
        <f t="shared" si="82"/>
        <v>0</v>
      </c>
      <c r="E5265" s="60" t="str">
        <f>HYPERLINK("https://www.sds-group.ru/product/kompaktnaya-turisticheskaya-gazovaya-plitka-yason-rexant-12-4139/", "Инфо")</f>
        <v>Инфо</v>
      </c>
      <c r="F5265" s="34" t="s">
        <v>39</v>
      </c>
      <c r="G5265" s="33"/>
      <c r="H5265" s="33" t="s">
        <v>40</v>
      </c>
      <c r="I5265" s="33" t="s">
        <v>10191</v>
      </c>
      <c r="J5265" s="35">
        <v>873</v>
      </c>
      <c r="K5265" s="33"/>
      <c r="L5265" s="35">
        <v>1</v>
      </c>
      <c r="M5265" s="35">
        <v>50</v>
      </c>
      <c r="N5265" s="35">
        <v>1</v>
      </c>
      <c r="O5265" s="36">
        <v>1401.43</v>
      </c>
      <c r="P5265" s="36">
        <v>1148.71</v>
      </c>
      <c r="Q5265" s="36">
        <v>981</v>
      </c>
      <c r="R5265" s="36">
        <v>804.1</v>
      </c>
      <c r="S5265" s="36">
        <v>952.97</v>
      </c>
      <c r="T5265" s="36">
        <v>781.12</v>
      </c>
      <c r="U5265" s="34"/>
      <c r="V5265" s="34"/>
      <c r="W5265" s="34"/>
      <c r="X5265" s="37">
        <v>0.17699999999999999</v>
      </c>
      <c r="Y5265" s="38">
        <v>5.0299999999999997E-4</v>
      </c>
      <c r="Z5265" s="21">
        <v>4601004269842</v>
      </c>
    </row>
    <row r="5266" spans="1:26" ht="12" customHeight="1" outlineLevel="3" x14ac:dyDescent="0.2">
      <c r="A5266" s="32" t="s">
        <v>10192</v>
      </c>
      <c r="B5266" s="74" t="s">
        <v>10193</v>
      </c>
      <c r="C5266" s="50"/>
      <c r="D5266" s="53">
        <f t="shared" si="82"/>
        <v>0</v>
      </c>
      <c r="E5266" s="60" t="str">
        <f>HYPERLINK("https://www.sds-group.ru/product/plitka-gazovaya-turisticheskaya-medeya-rexant-12-4148/", "Инфо")</f>
        <v>Инфо</v>
      </c>
      <c r="F5266" s="34" t="s">
        <v>39</v>
      </c>
      <c r="G5266" s="33"/>
      <c r="H5266" s="33" t="s">
        <v>40</v>
      </c>
      <c r="I5266" s="33" t="s">
        <v>10194</v>
      </c>
      <c r="J5266" s="35">
        <v>543</v>
      </c>
      <c r="K5266" s="33"/>
      <c r="L5266" s="35">
        <v>1</v>
      </c>
      <c r="M5266" s="35">
        <v>40</v>
      </c>
      <c r="N5266" s="35">
        <v>1</v>
      </c>
      <c r="O5266" s="36">
        <v>2654.37</v>
      </c>
      <c r="P5266" s="36">
        <v>2175.71</v>
      </c>
      <c r="Q5266" s="36">
        <v>1858.06</v>
      </c>
      <c r="R5266" s="36">
        <v>1523</v>
      </c>
      <c r="S5266" s="36">
        <v>1804.97</v>
      </c>
      <c r="T5266" s="36">
        <v>1479.48</v>
      </c>
      <c r="U5266" s="34"/>
      <c r="V5266" s="34"/>
      <c r="W5266" s="34"/>
      <c r="X5266" s="37">
        <v>0.33</v>
      </c>
      <c r="Y5266" s="38">
        <v>1.181E-3</v>
      </c>
      <c r="Z5266" s="21">
        <v>4601004271494</v>
      </c>
    </row>
    <row r="5267" spans="1:26" ht="12" customHeight="1" outlineLevel="3" x14ac:dyDescent="0.2">
      <c r="A5267" s="32" t="s">
        <v>10195</v>
      </c>
      <c r="B5267" s="74" t="s">
        <v>10196</v>
      </c>
      <c r="C5267" s="50"/>
      <c r="D5267" s="53">
        <f t="shared" si="82"/>
        <v>0</v>
      </c>
      <c r="E5267" s="60" t="str">
        <f>HYPERLINK("https://www.sds-group.ru/product/ekran-dlya-zaschity-gazovyh-plit-ot-vetra-schit-rexant-12-4160/", "Инфо")</f>
        <v>Инфо</v>
      </c>
      <c r="F5267" s="34" t="s">
        <v>39</v>
      </c>
      <c r="G5267" s="33"/>
      <c r="H5267" s="33" t="s">
        <v>40</v>
      </c>
      <c r="I5267" s="33"/>
      <c r="J5267" s="39">
        <v>1033</v>
      </c>
      <c r="K5267" s="33"/>
      <c r="L5267" s="35">
        <v>1</v>
      </c>
      <c r="M5267" s="35">
        <v>50</v>
      </c>
      <c r="N5267" s="35">
        <v>1</v>
      </c>
      <c r="O5267" s="36">
        <v>1078.02</v>
      </c>
      <c r="P5267" s="36">
        <v>883.62</v>
      </c>
      <c r="Q5267" s="36">
        <v>754.61</v>
      </c>
      <c r="R5267" s="36">
        <v>618.53</v>
      </c>
      <c r="S5267" s="36">
        <v>733.05</v>
      </c>
      <c r="T5267" s="36">
        <v>600.86</v>
      </c>
      <c r="U5267" s="34"/>
      <c r="V5267" s="34"/>
      <c r="W5267" s="34"/>
      <c r="X5267" s="37">
        <v>0.23</v>
      </c>
      <c r="Y5267" s="38">
        <v>4.6700000000000002E-4</v>
      </c>
      <c r="Z5267" s="21">
        <v>4601004248984</v>
      </c>
    </row>
    <row r="5268" spans="1:26" ht="12.95" customHeight="1" outlineLevel="2" x14ac:dyDescent="0.2">
      <c r="A5268" s="76" t="s">
        <v>10197</v>
      </c>
      <c r="B5268" s="76"/>
      <c r="C5268" s="77"/>
      <c r="D5268" s="58"/>
      <c r="E5268" s="68"/>
      <c r="F5268" s="13"/>
      <c r="G5268" s="13"/>
      <c r="H5268" s="13"/>
      <c r="I5268" s="13"/>
      <c r="J5268" s="13"/>
      <c r="K5268" s="13"/>
      <c r="L5268" s="13"/>
      <c r="M5268" s="13"/>
      <c r="N5268" s="13"/>
      <c r="O5268" s="13"/>
      <c r="P5268" s="13"/>
      <c r="Q5268" s="13"/>
      <c r="R5268" s="13"/>
      <c r="S5268" s="13"/>
      <c r="T5268" s="13"/>
      <c r="U5268" s="13"/>
      <c r="V5268" s="13"/>
      <c r="W5268" s="13"/>
      <c r="X5268" s="13"/>
      <c r="Y5268" s="13"/>
      <c r="Z5268" s="13"/>
    </row>
    <row r="5269" spans="1:26" ht="12" customHeight="1" outlineLevel="3" x14ac:dyDescent="0.2">
      <c r="A5269" s="14" t="s">
        <v>10198</v>
      </c>
      <c r="B5269" s="26" t="s">
        <v>10199</v>
      </c>
      <c r="C5269" s="52"/>
      <c r="D5269" s="55">
        <f t="shared" si="82"/>
        <v>0</v>
      </c>
      <c r="E5269" s="63" t="str">
        <f>HYPERLINK("https://www.sds-group.ru/product/nabor-gorelka-gazovaya-gt-19-s-pezopodzhigom-gazovyy-ballon-rexant-12-0019-14/", "Инфо")</f>
        <v>Инфо</v>
      </c>
      <c r="F5269" s="16" t="s">
        <v>4698</v>
      </c>
      <c r="G5269" s="15"/>
      <c r="H5269" s="15"/>
      <c r="I5269" s="15"/>
      <c r="J5269" s="17">
        <v>50</v>
      </c>
      <c r="K5269" s="15"/>
      <c r="L5269" s="17">
        <v>1</v>
      </c>
      <c r="M5269" s="17">
        <v>16</v>
      </c>
      <c r="N5269" s="17">
        <v>1</v>
      </c>
      <c r="O5269" s="18">
        <v>1841.37</v>
      </c>
      <c r="P5269" s="18">
        <v>1509.32</v>
      </c>
      <c r="Q5269" s="18">
        <v>1454.68</v>
      </c>
      <c r="R5269" s="18">
        <v>1192.3599999999999</v>
      </c>
      <c r="S5269" s="18">
        <v>1252.1300000000001</v>
      </c>
      <c r="T5269" s="18">
        <v>1026.3399999999999</v>
      </c>
      <c r="U5269" s="16"/>
      <c r="V5269" s="16"/>
      <c r="W5269" s="16" t="s">
        <v>40</v>
      </c>
      <c r="X5269" s="19">
        <v>0.50900000000000001</v>
      </c>
      <c r="Y5269" s="20">
        <v>2.7009999999999998E-3</v>
      </c>
      <c r="Z5269" s="21">
        <v>4601004246713</v>
      </c>
    </row>
    <row r="5270" spans="1:26" ht="12.95" customHeight="1" outlineLevel="1" x14ac:dyDescent="0.2">
      <c r="A5270" s="78" t="s">
        <v>10200</v>
      </c>
      <c r="B5270" s="78"/>
      <c r="C5270" s="79"/>
      <c r="D5270" s="57"/>
      <c r="E5270" s="67"/>
      <c r="F5270" s="12"/>
      <c r="G5270" s="12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</row>
    <row r="5271" spans="1:26" ht="12.95" customHeight="1" outlineLevel="2" x14ac:dyDescent="0.2">
      <c r="A5271" s="76" t="s">
        <v>10201</v>
      </c>
      <c r="B5271" s="76"/>
      <c r="C5271" s="77"/>
      <c r="D5271" s="58"/>
      <c r="E5271" s="68"/>
      <c r="F5271" s="13"/>
      <c r="G5271" s="13"/>
      <c r="H5271" s="13"/>
      <c r="I5271" s="13"/>
      <c r="J5271" s="13"/>
      <c r="K5271" s="13"/>
      <c r="L5271" s="13"/>
      <c r="M5271" s="13"/>
      <c r="N5271" s="13"/>
      <c r="O5271" s="13"/>
      <c r="P5271" s="13"/>
      <c r="Q5271" s="13"/>
      <c r="R5271" s="13"/>
      <c r="S5271" s="13"/>
      <c r="T5271" s="13"/>
      <c r="U5271" s="13"/>
      <c r="V5271" s="13"/>
      <c r="W5271" s="13"/>
      <c r="X5271" s="13"/>
      <c r="Y5271" s="13"/>
      <c r="Z5271" s="13"/>
    </row>
    <row r="5272" spans="1:26" ht="12.95" customHeight="1" outlineLevel="3" x14ac:dyDescent="0.2">
      <c r="A5272" s="76" t="s">
        <v>10202</v>
      </c>
      <c r="B5272" s="76"/>
      <c r="C5272" s="77"/>
      <c r="D5272" s="58"/>
      <c r="E5272" s="68"/>
      <c r="F5272" s="13"/>
      <c r="G5272" s="13"/>
      <c r="H5272" s="13"/>
      <c r="I5272" s="13"/>
      <c r="J5272" s="13"/>
      <c r="K5272" s="13"/>
      <c r="L5272" s="13"/>
      <c r="M5272" s="13"/>
      <c r="N5272" s="13"/>
      <c r="O5272" s="13"/>
      <c r="P5272" s="13"/>
      <c r="Q5272" s="13"/>
      <c r="R5272" s="13"/>
      <c r="S5272" s="13"/>
      <c r="T5272" s="13"/>
      <c r="U5272" s="13"/>
      <c r="V5272" s="13"/>
      <c r="W5272" s="13"/>
      <c r="X5272" s="13"/>
      <c r="Y5272" s="13"/>
      <c r="Z5272" s="13"/>
    </row>
    <row r="5273" spans="1:26" ht="12" customHeight="1" outlineLevel="4" x14ac:dyDescent="0.2">
      <c r="A5273" s="14" t="s">
        <v>10203</v>
      </c>
      <c r="B5273" s="26" t="s">
        <v>10204</v>
      </c>
      <c r="C5273" s="52"/>
      <c r="D5273" s="55">
        <f t="shared" si="82"/>
        <v>0</v>
      </c>
      <c r="E5273" s="63" t="str">
        <f>HYPERLINK("https://www.sds-group.ru/product/payalnik-dolgovechnoe-zhalo-seriya-klassik-100vt-230v-blister-proconnect-12-0126-4/", "Инфо")</f>
        <v>Инфо</v>
      </c>
      <c r="F5273" s="16" t="s">
        <v>39</v>
      </c>
      <c r="G5273" s="15"/>
      <c r="H5273" s="15"/>
      <c r="I5273" s="15"/>
      <c r="J5273" s="22">
        <v>6677</v>
      </c>
      <c r="K5273" s="15"/>
      <c r="L5273" s="17">
        <v>1</v>
      </c>
      <c r="M5273" s="17">
        <v>50</v>
      </c>
      <c r="N5273" s="17">
        <v>1</v>
      </c>
      <c r="O5273" s="18">
        <v>730.79</v>
      </c>
      <c r="P5273" s="18">
        <v>599.01</v>
      </c>
      <c r="Q5273" s="18">
        <v>643.1</v>
      </c>
      <c r="R5273" s="18">
        <v>527.13</v>
      </c>
      <c r="S5273" s="18">
        <v>496.94</v>
      </c>
      <c r="T5273" s="18">
        <v>407.33</v>
      </c>
      <c r="U5273" s="16"/>
      <c r="V5273" s="16"/>
      <c r="W5273" s="16" t="s">
        <v>40</v>
      </c>
      <c r="X5273" s="19">
        <v>0.224</v>
      </c>
      <c r="Y5273" s="20">
        <v>1.2979999999999999E-3</v>
      </c>
      <c r="Z5273" s="21">
        <v>4660008017880</v>
      </c>
    </row>
    <row r="5274" spans="1:26" ht="12" customHeight="1" outlineLevel="4" x14ac:dyDescent="0.2">
      <c r="A5274" s="14" t="s">
        <v>10205</v>
      </c>
      <c r="B5274" s="26" t="s">
        <v>10206</v>
      </c>
      <c r="C5274" s="52"/>
      <c r="D5274" s="55">
        <f t="shared" si="82"/>
        <v>0</v>
      </c>
      <c r="E5274" s="63" t="str">
        <f>HYPERLINK("https://www.sds-group.ru/product/payalnik-dolgovechnoe-zhalo-seriya-klassik-25vt-230v-blister-proconnect-12-0121-4/", "Инфо")</f>
        <v>Инфо</v>
      </c>
      <c r="F5274" s="16" t="s">
        <v>39</v>
      </c>
      <c r="G5274" s="15"/>
      <c r="H5274" s="15"/>
      <c r="I5274" s="15"/>
      <c r="J5274" s="22">
        <v>2924</v>
      </c>
      <c r="K5274" s="15" t="s">
        <v>922</v>
      </c>
      <c r="L5274" s="17">
        <v>5</v>
      </c>
      <c r="M5274" s="17">
        <v>100</v>
      </c>
      <c r="N5274" s="17">
        <v>5</v>
      </c>
      <c r="O5274" s="18">
        <v>331.45</v>
      </c>
      <c r="P5274" s="18">
        <v>271.68</v>
      </c>
      <c r="Q5274" s="18">
        <v>281.73</v>
      </c>
      <c r="R5274" s="18">
        <v>230.93</v>
      </c>
      <c r="S5274" s="18">
        <v>225.39</v>
      </c>
      <c r="T5274" s="18">
        <v>184.75</v>
      </c>
      <c r="U5274" s="16"/>
      <c r="V5274" s="16"/>
      <c r="W5274" s="16" t="s">
        <v>40</v>
      </c>
      <c r="X5274" s="19">
        <v>0.13300000000000001</v>
      </c>
      <c r="Y5274" s="20">
        <v>7.2199999999999999E-4</v>
      </c>
      <c r="Z5274" s="21">
        <v>4660008017279</v>
      </c>
    </row>
    <row r="5275" spans="1:26" ht="12" customHeight="1" outlineLevel="4" x14ac:dyDescent="0.2">
      <c r="A5275" s="14" t="s">
        <v>10207</v>
      </c>
      <c r="B5275" s="26" t="s">
        <v>10208</v>
      </c>
      <c r="C5275" s="52"/>
      <c r="D5275" s="55">
        <f t="shared" si="82"/>
        <v>0</v>
      </c>
      <c r="E5275" s="63" t="str">
        <f>HYPERLINK("https://www.sds-group.ru/product/payalnik-dolgovechnoe-zhalo-seriya-klassik-30vt-230v-blister-proconnect-12-0122-4/", "Инфо")</f>
        <v>Инфо</v>
      </c>
      <c r="F5275" s="16" t="s">
        <v>39</v>
      </c>
      <c r="G5275" s="15"/>
      <c r="H5275" s="15"/>
      <c r="I5275" s="15"/>
      <c r="J5275" s="22">
        <v>2620</v>
      </c>
      <c r="K5275" s="15" t="s">
        <v>922</v>
      </c>
      <c r="L5275" s="17">
        <v>5</v>
      </c>
      <c r="M5275" s="17">
        <v>100</v>
      </c>
      <c r="N5275" s="17">
        <v>5</v>
      </c>
      <c r="O5275" s="18">
        <v>366.6</v>
      </c>
      <c r="P5275" s="18">
        <v>300.49</v>
      </c>
      <c r="Q5275" s="18">
        <v>311.61</v>
      </c>
      <c r="R5275" s="18">
        <v>255.42</v>
      </c>
      <c r="S5275" s="18">
        <v>249.29</v>
      </c>
      <c r="T5275" s="18">
        <v>204.34</v>
      </c>
      <c r="U5275" s="16"/>
      <c r="V5275" s="16"/>
      <c r="W5275" s="16" t="s">
        <v>40</v>
      </c>
      <c r="X5275" s="19">
        <v>0.13300000000000001</v>
      </c>
      <c r="Y5275" s="20">
        <v>6.3599999999999996E-4</v>
      </c>
      <c r="Z5275" s="21">
        <v>4660008017286</v>
      </c>
    </row>
    <row r="5276" spans="1:26" ht="12" customHeight="1" outlineLevel="4" x14ac:dyDescent="0.2">
      <c r="A5276" s="14" t="s">
        <v>10209</v>
      </c>
      <c r="B5276" s="26" t="s">
        <v>10210</v>
      </c>
      <c r="C5276" s="52"/>
      <c r="D5276" s="55">
        <f t="shared" si="82"/>
        <v>0</v>
      </c>
      <c r="E5276" s="63" t="str">
        <f>HYPERLINK("https://www.sds-group.ru/product/payalnik-dolgovechnoe-zhalo-seriya-klassik-40vt-230v-blister-proconnect-12-0123-4/", "Инфо")</f>
        <v>Инфо</v>
      </c>
      <c r="F5276" s="16" t="s">
        <v>39</v>
      </c>
      <c r="G5276" s="15"/>
      <c r="H5276" s="15"/>
      <c r="I5276" s="15"/>
      <c r="J5276" s="22">
        <v>2542</v>
      </c>
      <c r="K5276" s="15" t="s">
        <v>1590</v>
      </c>
      <c r="L5276" s="17">
        <v>5</v>
      </c>
      <c r="M5276" s="17">
        <v>100</v>
      </c>
      <c r="N5276" s="17">
        <v>5</v>
      </c>
      <c r="O5276" s="18">
        <v>330.42</v>
      </c>
      <c r="P5276" s="18">
        <v>270.83999999999997</v>
      </c>
      <c r="Q5276" s="18">
        <v>231.29</v>
      </c>
      <c r="R5276" s="18">
        <v>189.58</v>
      </c>
      <c r="S5276" s="18">
        <v>224.69</v>
      </c>
      <c r="T5276" s="18">
        <v>184.17</v>
      </c>
      <c r="U5276" s="16"/>
      <c r="V5276" s="16"/>
      <c r="W5276" s="16"/>
      <c r="X5276" s="19">
        <v>0.13800000000000001</v>
      </c>
      <c r="Y5276" s="20">
        <v>6.1899999999999998E-4</v>
      </c>
      <c r="Z5276" s="21">
        <v>4660008017293</v>
      </c>
    </row>
    <row r="5277" spans="1:26" ht="12" customHeight="1" outlineLevel="4" x14ac:dyDescent="0.2">
      <c r="A5277" s="14" t="s">
        <v>10211</v>
      </c>
      <c r="B5277" s="26" t="s">
        <v>10212</v>
      </c>
      <c r="C5277" s="52"/>
      <c r="D5277" s="55">
        <f t="shared" si="82"/>
        <v>0</v>
      </c>
      <c r="E5277" s="63" t="str">
        <f>HYPERLINK("https://www.sds-group.ru/product/payalnik-dolgovechnoe-zhalo-seriya-klassik-60vt-230v-blister-proconnect-12-0124-4/", "Инфо")</f>
        <v>Инфо</v>
      </c>
      <c r="F5277" s="16" t="s">
        <v>39</v>
      </c>
      <c r="G5277" s="15"/>
      <c r="H5277" s="15"/>
      <c r="I5277" s="15"/>
      <c r="J5277" s="22">
        <v>7472</v>
      </c>
      <c r="K5277" s="15" t="s">
        <v>1590</v>
      </c>
      <c r="L5277" s="17">
        <v>5</v>
      </c>
      <c r="M5277" s="17">
        <v>100</v>
      </c>
      <c r="N5277" s="17">
        <v>5</v>
      </c>
      <c r="O5277" s="18">
        <v>403.4</v>
      </c>
      <c r="P5277" s="18">
        <v>330.66</v>
      </c>
      <c r="Q5277" s="18">
        <v>391.3</v>
      </c>
      <c r="R5277" s="18">
        <v>320.74</v>
      </c>
      <c r="S5277" s="18">
        <v>274.31</v>
      </c>
      <c r="T5277" s="18">
        <v>224.84</v>
      </c>
      <c r="U5277" s="16"/>
      <c r="V5277" s="16"/>
      <c r="W5277" s="16" t="s">
        <v>40</v>
      </c>
      <c r="X5277" s="19">
        <v>0.14199999999999999</v>
      </c>
      <c r="Y5277" s="20">
        <v>6.9800000000000005E-4</v>
      </c>
      <c r="Z5277" s="21">
        <v>4660008017309</v>
      </c>
    </row>
    <row r="5278" spans="1:26" ht="12" customHeight="1" outlineLevel="4" x14ac:dyDescent="0.2">
      <c r="A5278" s="14" t="s">
        <v>10213</v>
      </c>
      <c r="B5278" s="26" t="s">
        <v>10214</v>
      </c>
      <c r="C5278" s="52"/>
      <c r="D5278" s="55">
        <f t="shared" si="82"/>
        <v>0</v>
      </c>
      <c r="E5278" s="63" t="str">
        <f>HYPERLINK("https://www.sds-group.ru/product/payalnik-dolgovechnoe-zhalo-seriya-klassik-80vt-230v-blister-proconnect-12-0125-4/", "Инфо")</f>
        <v>Инфо</v>
      </c>
      <c r="F5278" s="16" t="s">
        <v>39</v>
      </c>
      <c r="G5278" s="15"/>
      <c r="H5278" s="15"/>
      <c r="I5278" s="15"/>
      <c r="J5278" s="17">
        <v>922</v>
      </c>
      <c r="K5278" s="15" t="s">
        <v>1590</v>
      </c>
      <c r="L5278" s="17">
        <v>1</v>
      </c>
      <c r="M5278" s="17">
        <v>50</v>
      </c>
      <c r="N5278" s="17">
        <v>1</v>
      </c>
      <c r="O5278" s="18">
        <v>703.01</v>
      </c>
      <c r="P5278" s="18">
        <v>576.24</v>
      </c>
      <c r="Q5278" s="18">
        <v>562.41</v>
      </c>
      <c r="R5278" s="18">
        <v>460.99</v>
      </c>
      <c r="S5278" s="18">
        <v>478.05</v>
      </c>
      <c r="T5278" s="18">
        <v>391.84</v>
      </c>
      <c r="U5278" s="16"/>
      <c r="V5278" s="16"/>
      <c r="W5278" s="16" t="s">
        <v>40</v>
      </c>
      <c r="X5278" s="19">
        <v>0.193</v>
      </c>
      <c r="Y5278" s="20">
        <v>1.1999999999999999E-3</v>
      </c>
      <c r="Z5278" s="21">
        <v>4660008017873</v>
      </c>
    </row>
    <row r="5279" spans="1:26" ht="12" customHeight="1" outlineLevel="4" x14ac:dyDescent="0.2">
      <c r="A5279" s="14" t="s">
        <v>10215</v>
      </c>
      <c r="B5279" s="26" t="s">
        <v>10216</v>
      </c>
      <c r="C5279" s="52"/>
      <c r="D5279" s="55">
        <f t="shared" si="82"/>
        <v>0</v>
      </c>
      <c r="E5279" s="63" t="str">
        <f>HYPERLINK("https://www.sds-group.ru/product/payalnik-dolgovechnoe-zhalo-seriya-master-100vt-230v-blister-rexant-12-0126/", "Инфо")</f>
        <v>Инфо</v>
      </c>
      <c r="F5279" s="16" t="s">
        <v>39</v>
      </c>
      <c r="G5279" s="15"/>
      <c r="H5279" s="15"/>
      <c r="I5279" s="15"/>
      <c r="J5279" s="22">
        <v>1606</v>
      </c>
      <c r="K5279" s="15" t="s">
        <v>1266</v>
      </c>
      <c r="L5279" s="17">
        <v>1</v>
      </c>
      <c r="M5279" s="17">
        <v>50</v>
      </c>
      <c r="N5279" s="17">
        <v>1</v>
      </c>
      <c r="O5279" s="18">
        <v>1066.1600000000001</v>
      </c>
      <c r="P5279" s="18">
        <v>873.9</v>
      </c>
      <c r="Q5279" s="18">
        <v>852.93</v>
      </c>
      <c r="R5279" s="18">
        <v>699.12</v>
      </c>
      <c r="S5279" s="18">
        <v>724.99</v>
      </c>
      <c r="T5279" s="18">
        <v>594.25</v>
      </c>
      <c r="U5279" s="16"/>
      <c r="V5279" s="16"/>
      <c r="W5279" s="16" t="s">
        <v>40</v>
      </c>
      <c r="X5279" s="19">
        <v>0.193</v>
      </c>
      <c r="Y5279" s="20">
        <v>9.0499999999999999E-4</v>
      </c>
      <c r="Z5279" s="21">
        <v>4660008013516</v>
      </c>
    </row>
    <row r="5280" spans="1:26" ht="12" customHeight="1" outlineLevel="4" x14ac:dyDescent="0.2">
      <c r="A5280" s="14" t="s">
        <v>10217</v>
      </c>
      <c r="B5280" s="26" t="s">
        <v>10218</v>
      </c>
      <c r="C5280" s="52"/>
      <c r="D5280" s="55">
        <f t="shared" si="82"/>
        <v>0</v>
      </c>
      <c r="E5280" s="63" t="str">
        <f>HYPERLINK("https://www.sds-group.ru/product/payalnik-dolgovechnoe-zhalo-seriya-master-25vt-230v-blister-rexant-12-0121/", "Инфо")</f>
        <v>Инфо</v>
      </c>
      <c r="F5280" s="16" t="s">
        <v>39</v>
      </c>
      <c r="G5280" s="15"/>
      <c r="H5280" s="15"/>
      <c r="I5280" s="15"/>
      <c r="J5280" s="22">
        <v>1251</v>
      </c>
      <c r="K5280" s="15" t="s">
        <v>1266</v>
      </c>
      <c r="L5280" s="17">
        <v>1</v>
      </c>
      <c r="M5280" s="17">
        <v>100</v>
      </c>
      <c r="N5280" s="17">
        <v>1</v>
      </c>
      <c r="O5280" s="18">
        <v>565.97</v>
      </c>
      <c r="P5280" s="18">
        <v>463.91</v>
      </c>
      <c r="Q5280" s="18">
        <v>452.78</v>
      </c>
      <c r="R5280" s="18">
        <v>371.13</v>
      </c>
      <c r="S5280" s="18">
        <v>384.86</v>
      </c>
      <c r="T5280" s="18">
        <v>315.45999999999998</v>
      </c>
      <c r="U5280" s="16"/>
      <c r="V5280" s="16"/>
      <c r="W5280" s="16" t="s">
        <v>40</v>
      </c>
      <c r="X5280" s="19">
        <v>0.13900000000000001</v>
      </c>
      <c r="Y5280" s="20">
        <v>6.6299999999999996E-4</v>
      </c>
      <c r="Z5280" s="21">
        <v>4660008013462</v>
      </c>
    </row>
    <row r="5281" spans="1:26" ht="12" customHeight="1" outlineLevel="4" x14ac:dyDescent="0.2">
      <c r="A5281" s="14" t="s">
        <v>10219</v>
      </c>
      <c r="B5281" s="26" t="s">
        <v>10220</v>
      </c>
      <c r="C5281" s="52"/>
      <c r="D5281" s="55">
        <f t="shared" si="82"/>
        <v>0</v>
      </c>
      <c r="E5281" s="63" t="str">
        <f>HYPERLINK("https://www.sds-group.ru/product/payalnik-dolgovechnoe-zhalo-seriya-master-30vt-230v-blister-rexant-12-0122/", "Инфо")</f>
        <v>Инфо</v>
      </c>
      <c r="F5281" s="16" t="s">
        <v>39</v>
      </c>
      <c r="G5281" s="15"/>
      <c r="H5281" s="15"/>
      <c r="I5281" s="15"/>
      <c r="J5281" s="22">
        <v>1108</v>
      </c>
      <c r="K5281" s="15"/>
      <c r="L5281" s="17">
        <v>1</v>
      </c>
      <c r="M5281" s="17">
        <v>100</v>
      </c>
      <c r="N5281" s="17">
        <v>1</v>
      </c>
      <c r="O5281" s="18">
        <v>531.05999999999995</v>
      </c>
      <c r="P5281" s="18">
        <v>435.3</v>
      </c>
      <c r="Q5281" s="18">
        <v>424.85</v>
      </c>
      <c r="R5281" s="18">
        <v>348.24</v>
      </c>
      <c r="S5281" s="18">
        <v>361.12</v>
      </c>
      <c r="T5281" s="18">
        <v>296</v>
      </c>
      <c r="U5281" s="16"/>
      <c r="V5281" s="16"/>
      <c r="W5281" s="16" t="s">
        <v>40</v>
      </c>
      <c r="X5281" s="19">
        <v>0.14000000000000001</v>
      </c>
      <c r="Y5281" s="20">
        <v>6.6E-4</v>
      </c>
      <c r="Z5281" s="21">
        <v>4660008013479</v>
      </c>
    </row>
    <row r="5282" spans="1:26" ht="12" customHeight="1" outlineLevel="4" x14ac:dyDescent="0.2">
      <c r="A5282" s="14" t="s">
        <v>10221</v>
      </c>
      <c r="B5282" s="26" t="s">
        <v>10222</v>
      </c>
      <c r="C5282" s="52"/>
      <c r="D5282" s="55">
        <f t="shared" si="82"/>
        <v>0</v>
      </c>
      <c r="E5282" s="63" t="str">
        <f>HYPERLINK("https://www.sds-group.ru/product/payalnik-dolgovechnoe-zhalo-seriya-master-40vt-230v-blister-rexant-12-0123/", "Инфо")</f>
        <v>Инфо</v>
      </c>
      <c r="F5282" s="16" t="s">
        <v>39</v>
      </c>
      <c r="G5282" s="15"/>
      <c r="H5282" s="15"/>
      <c r="I5282" s="15"/>
      <c r="J5282" s="22">
        <v>3668</v>
      </c>
      <c r="K5282" s="15" t="s">
        <v>1266</v>
      </c>
      <c r="L5282" s="17">
        <v>1</v>
      </c>
      <c r="M5282" s="17">
        <v>100</v>
      </c>
      <c r="N5282" s="17">
        <v>1</v>
      </c>
      <c r="O5282" s="18">
        <v>614.47</v>
      </c>
      <c r="P5282" s="18">
        <v>503.66</v>
      </c>
      <c r="Q5282" s="18">
        <v>491.58</v>
      </c>
      <c r="R5282" s="18">
        <v>402.93</v>
      </c>
      <c r="S5282" s="18">
        <v>417.84</v>
      </c>
      <c r="T5282" s="18">
        <v>342.49</v>
      </c>
      <c r="U5282" s="16"/>
      <c r="V5282" s="16"/>
      <c r="W5282" s="16" t="s">
        <v>40</v>
      </c>
      <c r="X5282" s="19">
        <v>0.14099999999999999</v>
      </c>
      <c r="Y5282" s="20">
        <v>6.8599999999999998E-4</v>
      </c>
      <c r="Z5282" s="21">
        <v>4660008013486</v>
      </c>
    </row>
    <row r="5283" spans="1:26" ht="12" customHeight="1" outlineLevel="4" x14ac:dyDescent="0.2">
      <c r="A5283" s="14" t="s">
        <v>10223</v>
      </c>
      <c r="B5283" s="26" t="s">
        <v>10224</v>
      </c>
      <c r="C5283" s="52"/>
      <c r="D5283" s="55">
        <f t="shared" si="82"/>
        <v>0</v>
      </c>
      <c r="E5283" s="63" t="str">
        <f>HYPERLINK("https://www.sds-group.ru/product/payalnik-dolgovechnoe-zhalo-seriya-master-60vt-230v-blister-rexant-12-0124/", "Инфо")</f>
        <v>Инфо</v>
      </c>
      <c r="F5283" s="16" t="s">
        <v>39</v>
      </c>
      <c r="G5283" s="15"/>
      <c r="H5283" s="15"/>
      <c r="I5283" s="15"/>
      <c r="J5283" s="22">
        <v>7303</v>
      </c>
      <c r="K5283" s="15" t="s">
        <v>1590</v>
      </c>
      <c r="L5283" s="17">
        <v>1</v>
      </c>
      <c r="M5283" s="17">
        <v>100</v>
      </c>
      <c r="N5283" s="17">
        <v>1</v>
      </c>
      <c r="O5283" s="18">
        <v>753.53</v>
      </c>
      <c r="P5283" s="18">
        <v>617.65</v>
      </c>
      <c r="Q5283" s="18">
        <v>602.82000000000005</v>
      </c>
      <c r="R5283" s="18">
        <v>494.11</v>
      </c>
      <c r="S5283" s="18">
        <v>512.4</v>
      </c>
      <c r="T5283" s="18">
        <v>420</v>
      </c>
      <c r="U5283" s="16"/>
      <c r="V5283" s="16"/>
      <c r="W5283" s="16" t="s">
        <v>40</v>
      </c>
      <c r="X5283" s="19">
        <v>0.14299999999999999</v>
      </c>
      <c r="Y5283" s="20">
        <v>7.0200000000000004E-4</v>
      </c>
      <c r="Z5283" s="21">
        <v>4660008013493</v>
      </c>
    </row>
    <row r="5284" spans="1:26" ht="12" customHeight="1" outlineLevel="4" x14ac:dyDescent="0.2">
      <c r="A5284" s="14" t="s">
        <v>10225</v>
      </c>
      <c r="B5284" s="26" t="s">
        <v>10226</v>
      </c>
      <c r="C5284" s="52"/>
      <c r="D5284" s="55">
        <f t="shared" si="82"/>
        <v>0</v>
      </c>
      <c r="E5284" s="63" t="str">
        <f>HYPERLINK("https://www.sds-group.ru/product/payalnik-dolgovechnoe-zhalo-seriya-master-80vt-230v-blister-rexant-12-0125/", "Инфо")</f>
        <v>Инфо</v>
      </c>
      <c r="F5284" s="16" t="s">
        <v>39</v>
      </c>
      <c r="G5284" s="15"/>
      <c r="H5284" s="15"/>
      <c r="I5284" s="15"/>
      <c r="J5284" s="22">
        <v>1340</v>
      </c>
      <c r="K5284" s="15" t="s">
        <v>1266</v>
      </c>
      <c r="L5284" s="17">
        <v>1</v>
      </c>
      <c r="M5284" s="17">
        <v>50</v>
      </c>
      <c r="N5284" s="17">
        <v>1</v>
      </c>
      <c r="O5284" s="18">
        <v>883.98</v>
      </c>
      <c r="P5284" s="18">
        <v>724.57</v>
      </c>
      <c r="Q5284" s="18">
        <v>707.18</v>
      </c>
      <c r="R5284" s="18">
        <v>579.66</v>
      </c>
      <c r="S5284" s="18">
        <v>601.11</v>
      </c>
      <c r="T5284" s="18">
        <v>492.71</v>
      </c>
      <c r="U5284" s="16"/>
      <c r="V5284" s="16"/>
      <c r="W5284" s="16" t="s">
        <v>40</v>
      </c>
      <c r="X5284" s="19">
        <v>0.187</v>
      </c>
      <c r="Y5284" s="20">
        <v>9.1200000000000005E-4</v>
      </c>
      <c r="Z5284" s="21">
        <v>4660008013509</v>
      </c>
    </row>
    <row r="5285" spans="1:26" ht="12" customHeight="1" outlineLevel="4" x14ac:dyDescent="0.2">
      <c r="A5285" s="14" t="s">
        <v>10227</v>
      </c>
      <c r="B5285" s="26" t="s">
        <v>10228</v>
      </c>
      <c r="C5285" s="52"/>
      <c r="D5285" s="55">
        <f t="shared" si="82"/>
        <v>0</v>
      </c>
      <c r="E5285" s="63" t="str">
        <f>HYPERLINK("https://www.sds-group.ru/product/payalnik-s-keram-nagrevatelem-seriya-komfort-25vt-230v-blister-rexant-12-0121-1/", "Инфо")</f>
        <v>Инфо</v>
      </c>
      <c r="F5285" s="16" t="s">
        <v>39</v>
      </c>
      <c r="G5285" s="15"/>
      <c r="H5285" s="15"/>
      <c r="I5285" s="15"/>
      <c r="J5285" s="17">
        <v>371</v>
      </c>
      <c r="K5285" s="15"/>
      <c r="L5285" s="17">
        <v>1</v>
      </c>
      <c r="M5285" s="17">
        <v>50</v>
      </c>
      <c r="N5285" s="17">
        <v>1</v>
      </c>
      <c r="O5285" s="18">
        <v>861.33</v>
      </c>
      <c r="P5285" s="18">
        <v>706.01</v>
      </c>
      <c r="Q5285" s="18">
        <v>689.06</v>
      </c>
      <c r="R5285" s="18">
        <v>564.79999999999995</v>
      </c>
      <c r="S5285" s="18">
        <v>585.70000000000005</v>
      </c>
      <c r="T5285" s="18">
        <v>480.08</v>
      </c>
      <c r="U5285" s="16"/>
      <c r="V5285" s="16"/>
      <c r="W5285" s="16" t="s">
        <v>40</v>
      </c>
      <c r="X5285" s="19">
        <v>0.182</v>
      </c>
      <c r="Y5285" s="20">
        <v>1.036E-3</v>
      </c>
      <c r="Z5285" s="21">
        <v>4660008017057</v>
      </c>
    </row>
    <row r="5286" spans="1:26" ht="12" customHeight="1" outlineLevel="4" x14ac:dyDescent="0.2">
      <c r="A5286" s="14" t="s">
        <v>10229</v>
      </c>
      <c r="B5286" s="26" t="s">
        <v>10230</v>
      </c>
      <c r="C5286" s="52"/>
      <c r="D5286" s="55">
        <f t="shared" si="82"/>
        <v>0</v>
      </c>
      <c r="E5286" s="63" t="str">
        <f>HYPERLINK("https://www.sds-group.ru/product/payalnik-s-keram-nagrevatelem-seriya-komfort-30vt-230v-blister-rexant-12-0122-1/", "Инфо")</f>
        <v>Инфо</v>
      </c>
      <c r="F5286" s="16" t="s">
        <v>39</v>
      </c>
      <c r="G5286" s="15"/>
      <c r="H5286" s="15"/>
      <c r="I5286" s="15"/>
      <c r="J5286" s="17">
        <v>436</v>
      </c>
      <c r="K5286" s="15"/>
      <c r="L5286" s="17">
        <v>1</v>
      </c>
      <c r="M5286" s="17">
        <v>50</v>
      </c>
      <c r="N5286" s="17">
        <v>1</v>
      </c>
      <c r="O5286" s="18">
        <v>726.85</v>
      </c>
      <c r="P5286" s="18">
        <v>595.78</v>
      </c>
      <c r="Q5286" s="18">
        <v>508.8</v>
      </c>
      <c r="R5286" s="18">
        <v>417.05</v>
      </c>
      <c r="S5286" s="18">
        <v>494.26</v>
      </c>
      <c r="T5286" s="18">
        <v>405.13</v>
      </c>
      <c r="U5286" s="16"/>
      <c r="V5286" s="16"/>
      <c r="W5286" s="16"/>
      <c r="X5286" s="19">
        <v>0.18</v>
      </c>
      <c r="Y5286" s="20">
        <v>9.9200000000000004E-4</v>
      </c>
      <c r="Z5286" s="21">
        <v>4660008017064</v>
      </c>
    </row>
    <row r="5287" spans="1:26" ht="12" customHeight="1" outlineLevel="4" x14ac:dyDescent="0.2">
      <c r="A5287" s="14" t="s">
        <v>10231</v>
      </c>
      <c r="B5287" s="26" t="s">
        <v>10232</v>
      </c>
      <c r="C5287" s="52"/>
      <c r="D5287" s="55">
        <f t="shared" si="82"/>
        <v>0</v>
      </c>
      <c r="E5287" s="63" t="str">
        <f>HYPERLINK("https://www.sds-group.ru/product/payalnik-s-keram-nagrevatelem-seriya-komfort-40vt-230v-blister-rexant-12-0123-1/", "Инфо")</f>
        <v>Инфо</v>
      </c>
      <c r="F5287" s="16" t="s">
        <v>39</v>
      </c>
      <c r="G5287" s="15"/>
      <c r="H5287" s="15"/>
      <c r="I5287" s="15"/>
      <c r="J5287" s="17">
        <v>30</v>
      </c>
      <c r="K5287" s="15" t="s">
        <v>1277</v>
      </c>
      <c r="L5287" s="17">
        <v>1</v>
      </c>
      <c r="M5287" s="17">
        <v>50</v>
      </c>
      <c r="N5287" s="17">
        <v>1</v>
      </c>
      <c r="O5287" s="18">
        <v>1155.74</v>
      </c>
      <c r="P5287" s="18">
        <v>947.33</v>
      </c>
      <c r="Q5287" s="18">
        <v>993.94</v>
      </c>
      <c r="R5287" s="18">
        <v>814.7</v>
      </c>
      <c r="S5287" s="18">
        <v>785.9</v>
      </c>
      <c r="T5287" s="18">
        <v>644.17999999999995</v>
      </c>
      <c r="U5287" s="16"/>
      <c r="V5287" s="16"/>
      <c r="W5287" s="16" t="s">
        <v>40</v>
      </c>
      <c r="X5287" s="19">
        <v>0.18099999999999999</v>
      </c>
      <c r="Y5287" s="20">
        <v>1.0200000000000001E-3</v>
      </c>
      <c r="Z5287" s="21">
        <v>4660008016999</v>
      </c>
    </row>
    <row r="5288" spans="1:26" ht="12.95" customHeight="1" outlineLevel="3" x14ac:dyDescent="0.2">
      <c r="A5288" s="76" t="s">
        <v>10233</v>
      </c>
      <c r="B5288" s="76"/>
      <c r="C5288" s="77"/>
      <c r="D5288" s="58"/>
      <c r="E5288" s="68"/>
      <c r="F5288" s="13"/>
      <c r="G5288" s="13"/>
      <c r="H5288" s="13"/>
      <c r="I5288" s="13"/>
      <c r="J5288" s="13"/>
      <c r="K5288" s="13"/>
      <c r="L5288" s="13"/>
      <c r="M5288" s="13"/>
      <c r="N5288" s="13"/>
      <c r="O5288" s="13"/>
      <c r="P5288" s="13"/>
      <c r="Q5288" s="13"/>
      <c r="R5288" s="13"/>
      <c r="S5288" s="13"/>
      <c r="T5288" s="13"/>
      <c r="U5288" s="13"/>
      <c r="V5288" s="13"/>
      <c r="W5288" s="13"/>
      <c r="X5288" s="13"/>
      <c r="Y5288" s="13"/>
      <c r="Z5288" s="13"/>
    </row>
    <row r="5289" spans="1:26" ht="12" customHeight="1" outlineLevel="4" x14ac:dyDescent="0.2">
      <c r="A5289" s="14" t="s">
        <v>10234</v>
      </c>
      <c r="B5289" s="26" t="s">
        <v>10235</v>
      </c>
      <c r="C5289" s="52"/>
      <c r="D5289" s="55">
        <f t="shared" si="82"/>
        <v>0</v>
      </c>
      <c r="E5289" s="63" t="str">
        <f>HYPERLINK("https://www.sds-group.ru/product/payalnik-dolgovechnoe-zhalo-led-podsvetka-40vt-220v-blister-rexant-12-0138/", "Инфо")</f>
        <v>Инфо</v>
      </c>
      <c r="F5289" s="16" t="s">
        <v>39</v>
      </c>
      <c r="G5289" s="15"/>
      <c r="H5289" s="15"/>
      <c r="I5289" s="15"/>
      <c r="J5289" s="17">
        <v>282</v>
      </c>
      <c r="K5289" s="15" t="s">
        <v>1277</v>
      </c>
      <c r="L5289" s="17">
        <v>1</v>
      </c>
      <c r="M5289" s="17">
        <v>100</v>
      </c>
      <c r="N5289" s="17">
        <v>1</v>
      </c>
      <c r="O5289" s="18">
        <v>861.33</v>
      </c>
      <c r="P5289" s="18">
        <v>706.01</v>
      </c>
      <c r="Q5289" s="18">
        <v>680.45</v>
      </c>
      <c r="R5289" s="18">
        <v>557.75</v>
      </c>
      <c r="S5289" s="18">
        <v>585.70000000000005</v>
      </c>
      <c r="T5289" s="18">
        <v>480.08</v>
      </c>
      <c r="U5289" s="16"/>
      <c r="V5289" s="16"/>
      <c r="W5289" s="16" t="s">
        <v>40</v>
      </c>
      <c r="X5289" s="19">
        <v>0.156</v>
      </c>
      <c r="Y5289" s="20">
        <v>6.5600000000000001E-4</v>
      </c>
      <c r="Z5289" s="21">
        <v>4601004068773</v>
      </c>
    </row>
    <row r="5290" spans="1:26" ht="12" customHeight="1" outlineLevel="4" x14ac:dyDescent="0.2">
      <c r="A5290" s="14" t="s">
        <v>10236</v>
      </c>
      <c r="B5290" s="26" t="s">
        <v>10237</v>
      </c>
      <c r="C5290" s="52"/>
      <c r="D5290" s="55">
        <f t="shared" si="82"/>
        <v>0</v>
      </c>
      <c r="E5290" s="63" t="str">
        <f>HYPERLINK("https://www.sds-group.ru/product/payalnik-dolgovechnoe-zhalo-seriya-tochnaya-payka-30vt-230v-blister-rexant-12-0130/", "Инфо")</f>
        <v>Инфо</v>
      </c>
      <c r="F5290" s="16" t="s">
        <v>39</v>
      </c>
      <c r="G5290" s="15"/>
      <c r="H5290" s="15"/>
      <c r="I5290" s="15"/>
      <c r="J5290" s="17">
        <v>429</v>
      </c>
      <c r="K5290" s="15" t="s">
        <v>1277</v>
      </c>
      <c r="L5290" s="17">
        <v>1</v>
      </c>
      <c r="M5290" s="17">
        <v>100</v>
      </c>
      <c r="N5290" s="17">
        <v>1</v>
      </c>
      <c r="O5290" s="18">
        <v>933.02</v>
      </c>
      <c r="P5290" s="18">
        <v>764.77</v>
      </c>
      <c r="Q5290" s="18">
        <v>746.42</v>
      </c>
      <c r="R5290" s="18">
        <v>611.82000000000005</v>
      </c>
      <c r="S5290" s="18">
        <v>634.45000000000005</v>
      </c>
      <c r="T5290" s="18">
        <v>520.04</v>
      </c>
      <c r="U5290" s="16"/>
      <c r="V5290" s="16"/>
      <c r="W5290" s="16" t="s">
        <v>40</v>
      </c>
      <c r="X5290" s="19">
        <v>0.127</v>
      </c>
      <c r="Y5290" s="20">
        <v>6.5899999999999997E-4</v>
      </c>
      <c r="Z5290" s="21">
        <v>4601004043114</v>
      </c>
    </row>
    <row r="5291" spans="1:26" ht="12" customHeight="1" outlineLevel="4" x14ac:dyDescent="0.2">
      <c r="A5291" s="14" t="s">
        <v>10238</v>
      </c>
      <c r="B5291" s="26" t="s">
        <v>10239</v>
      </c>
      <c r="C5291" s="52"/>
      <c r="D5291" s="55">
        <f t="shared" si="82"/>
        <v>0</v>
      </c>
      <c r="E5291" s="63" t="str">
        <f>HYPERLINK("https://www.sds-group.ru/product/payalnik-s-zazhimami-krokodil-40vt-12v-blister-rexant-12-0189/", "Инфо")</f>
        <v>Инфо</v>
      </c>
      <c r="F5291" s="16" t="s">
        <v>39</v>
      </c>
      <c r="G5291" s="15"/>
      <c r="H5291" s="15"/>
      <c r="I5291" s="15"/>
      <c r="J5291" s="17">
        <v>349</v>
      </c>
      <c r="K5291" s="15" t="s">
        <v>922</v>
      </c>
      <c r="L5291" s="17">
        <v>1</v>
      </c>
      <c r="M5291" s="17">
        <v>100</v>
      </c>
      <c r="N5291" s="17">
        <v>1</v>
      </c>
      <c r="O5291" s="18">
        <v>808.52</v>
      </c>
      <c r="P5291" s="18">
        <v>662.72</v>
      </c>
      <c r="Q5291" s="18">
        <v>565.96</v>
      </c>
      <c r="R5291" s="18">
        <v>463.9</v>
      </c>
      <c r="S5291" s="18">
        <v>549.79</v>
      </c>
      <c r="T5291" s="18">
        <v>450.65</v>
      </c>
      <c r="U5291" s="16"/>
      <c r="V5291" s="16"/>
      <c r="W5291" s="16"/>
      <c r="X5291" s="19">
        <v>0.14599999999999999</v>
      </c>
      <c r="Y5291" s="20">
        <v>6.9999999999999999E-4</v>
      </c>
      <c r="Z5291" s="21">
        <v>4601004099968</v>
      </c>
    </row>
    <row r="5292" spans="1:26" ht="12" customHeight="1" outlineLevel="4" x14ac:dyDescent="0.2">
      <c r="A5292" s="14" t="s">
        <v>10240</v>
      </c>
      <c r="B5292" s="26" t="s">
        <v>10241</v>
      </c>
      <c r="C5292" s="52"/>
      <c r="D5292" s="55">
        <f t="shared" si="82"/>
        <v>0</v>
      </c>
      <c r="E5292" s="63" t="str">
        <f>HYPERLINK("https://www.sds-group.ru/product/payalnik-s-keram-nagrevatelem-60vt-230v-zapasnoe-zhalo-blister-rexant-12-0611/", "Инфо")</f>
        <v>Инфо</v>
      </c>
      <c r="F5292" s="16" t="s">
        <v>39</v>
      </c>
      <c r="G5292" s="15"/>
      <c r="H5292" s="15"/>
      <c r="I5292" s="15"/>
      <c r="J5292" s="17">
        <v>930</v>
      </c>
      <c r="K5292" s="15"/>
      <c r="L5292" s="17">
        <v>1</v>
      </c>
      <c r="M5292" s="17">
        <v>60</v>
      </c>
      <c r="N5292" s="17">
        <v>1</v>
      </c>
      <c r="O5292" s="18">
        <v>1487.95</v>
      </c>
      <c r="P5292" s="18">
        <v>1219.6300000000001</v>
      </c>
      <c r="Q5292" s="18">
        <v>1175.48</v>
      </c>
      <c r="R5292" s="18">
        <v>963.51</v>
      </c>
      <c r="S5292" s="18">
        <v>1011.81</v>
      </c>
      <c r="T5292" s="18">
        <v>829.35</v>
      </c>
      <c r="U5292" s="16"/>
      <c r="V5292" s="16"/>
      <c r="W5292" s="16" t="s">
        <v>40</v>
      </c>
      <c r="X5292" s="19">
        <v>0.23300000000000001</v>
      </c>
      <c r="Y5292" s="20">
        <v>1.286E-3</v>
      </c>
      <c r="Z5292" s="21">
        <v>4601004099951</v>
      </c>
    </row>
    <row r="5293" spans="1:26" ht="12" customHeight="1" outlineLevel="4" x14ac:dyDescent="0.2">
      <c r="A5293" s="14" t="s">
        <v>10242</v>
      </c>
      <c r="B5293" s="26" t="s">
        <v>10243</v>
      </c>
      <c r="C5293" s="52"/>
      <c r="D5293" s="55">
        <f t="shared" si="82"/>
        <v>0</v>
      </c>
      <c r="E5293" s="63" t="str">
        <f>HYPERLINK("https://www.sds-group.ru/product/payalnik-s-keram-nagrevatelem-60vt-230v-regul-temp-250-500-c-zapasnoe-zhalo-blister-rexant-12-0613/", "Инфо")</f>
        <v>Инфо</v>
      </c>
      <c r="F5293" s="16" t="s">
        <v>39</v>
      </c>
      <c r="G5293" s="15"/>
      <c r="H5293" s="15"/>
      <c r="I5293" s="15"/>
      <c r="J5293" s="16" t="s">
        <v>100</v>
      </c>
      <c r="K5293" s="15" t="s">
        <v>1590</v>
      </c>
      <c r="L5293" s="17">
        <v>1</v>
      </c>
      <c r="M5293" s="17">
        <v>60</v>
      </c>
      <c r="N5293" s="17">
        <v>1</v>
      </c>
      <c r="O5293" s="18">
        <v>2036.32</v>
      </c>
      <c r="P5293" s="18">
        <v>1669.11</v>
      </c>
      <c r="Q5293" s="18">
        <v>1975.23</v>
      </c>
      <c r="R5293" s="18">
        <v>1619.04</v>
      </c>
      <c r="S5293" s="18">
        <v>1384.7</v>
      </c>
      <c r="T5293" s="18">
        <v>1135</v>
      </c>
      <c r="U5293" s="16"/>
      <c r="V5293" s="16"/>
      <c r="W5293" s="16" t="s">
        <v>40</v>
      </c>
      <c r="X5293" s="19">
        <v>0.23799999999999999</v>
      </c>
      <c r="Y5293" s="20">
        <v>1.2960000000000001E-3</v>
      </c>
      <c r="Z5293" s="21">
        <v>4601004099944</v>
      </c>
    </row>
    <row r="5294" spans="1:26" ht="12" customHeight="1" outlineLevel="4" x14ac:dyDescent="0.2">
      <c r="A5294" s="14" t="s">
        <v>10244</v>
      </c>
      <c r="B5294" s="26" t="s">
        <v>10245</v>
      </c>
      <c r="C5294" s="52"/>
      <c r="D5294" s="55">
        <f t="shared" si="82"/>
        <v>0</v>
      </c>
      <c r="E5294" s="63" t="str">
        <f>HYPERLINK("https://www.sds-group.ru/product/payalnik-s-keram-nagrevatelem-seriya-mini-12v-8vt-bez-bp-blister-rexant-12-0120/", "Инфо")</f>
        <v>Инфо</v>
      </c>
      <c r="F5294" s="16" t="s">
        <v>39</v>
      </c>
      <c r="G5294" s="15"/>
      <c r="H5294" s="15"/>
      <c r="I5294" s="15"/>
      <c r="J5294" s="17">
        <v>381</v>
      </c>
      <c r="K5294" s="15" t="s">
        <v>1277</v>
      </c>
      <c r="L5294" s="17">
        <v>5</v>
      </c>
      <c r="M5294" s="17">
        <v>200</v>
      </c>
      <c r="N5294" s="17">
        <v>5</v>
      </c>
      <c r="O5294" s="18">
        <v>352.45</v>
      </c>
      <c r="P5294" s="18">
        <v>288.89</v>
      </c>
      <c r="Q5294" s="18">
        <v>246.72</v>
      </c>
      <c r="R5294" s="18">
        <v>202.23</v>
      </c>
      <c r="S5294" s="18">
        <v>239.67</v>
      </c>
      <c r="T5294" s="18">
        <v>196.45</v>
      </c>
      <c r="U5294" s="16"/>
      <c r="V5294" s="16"/>
      <c r="W5294" s="16"/>
      <c r="X5294" s="19">
        <v>5.1999999999999998E-2</v>
      </c>
      <c r="Y5294" s="20">
        <v>2.7099999999999997E-4</v>
      </c>
      <c r="Z5294" s="21">
        <v>4660008013097</v>
      </c>
    </row>
    <row r="5295" spans="1:26" ht="12" customHeight="1" outlineLevel="4" x14ac:dyDescent="0.2">
      <c r="A5295" s="14" t="s">
        <v>10246</v>
      </c>
      <c r="B5295" s="26" t="s">
        <v>10247</v>
      </c>
      <c r="C5295" s="52"/>
      <c r="D5295" s="55">
        <f t="shared" si="82"/>
        <v>0</v>
      </c>
      <c r="E5295" s="63" t="str">
        <f>HYPERLINK("https://www.sds-group.ru/product/payalnik-s-keram-nagrevatelem-seriya-mini-8vt-4-5v-pitanie-ot-3-bat-aa-blister-rexant-12-0181/", "Инфо")</f>
        <v>Инфо</v>
      </c>
      <c r="F5295" s="16" t="s">
        <v>39</v>
      </c>
      <c r="G5295" s="15"/>
      <c r="H5295" s="15"/>
      <c r="I5295" s="15"/>
      <c r="J5295" s="17">
        <v>301</v>
      </c>
      <c r="K5295" s="15" t="s">
        <v>1277</v>
      </c>
      <c r="L5295" s="17">
        <v>1</v>
      </c>
      <c r="M5295" s="17">
        <v>100</v>
      </c>
      <c r="N5295" s="17">
        <v>1</v>
      </c>
      <c r="O5295" s="18">
        <v>726.8</v>
      </c>
      <c r="P5295" s="18">
        <v>595.74</v>
      </c>
      <c r="Q5295" s="18">
        <v>574.16999999999996</v>
      </c>
      <c r="R5295" s="18">
        <v>470.63</v>
      </c>
      <c r="S5295" s="18">
        <v>494.22</v>
      </c>
      <c r="T5295" s="18">
        <v>405.1</v>
      </c>
      <c r="U5295" s="16"/>
      <c r="V5295" s="16"/>
      <c r="W5295" s="16" t="s">
        <v>40</v>
      </c>
      <c r="X5295" s="19">
        <v>9.8000000000000004E-2</v>
      </c>
      <c r="Y5295" s="20">
        <v>7.9299999999999998E-4</v>
      </c>
      <c r="Z5295" s="21">
        <v>4660008013431</v>
      </c>
    </row>
    <row r="5296" spans="1:26" ht="12" customHeight="1" outlineLevel="4" x14ac:dyDescent="0.2">
      <c r="A5296" s="32" t="s">
        <v>10248</v>
      </c>
      <c r="B5296" s="74" t="s">
        <v>10249</v>
      </c>
      <c r="C5296" s="50"/>
      <c r="D5296" s="53">
        <f t="shared" si="82"/>
        <v>0</v>
      </c>
      <c r="E5296" s="60" t="str">
        <f>HYPERLINK("https://www.sds-group.ru/product/payalnik-s-keram-nagrevatelem-seriya-mini-8vt-5v-pitanie-ot-usb-blister-rexant-12-0180/", "Инфо")</f>
        <v>Инфо</v>
      </c>
      <c r="F5296" s="34" t="s">
        <v>39</v>
      </c>
      <c r="G5296" s="33"/>
      <c r="H5296" s="33" t="s">
        <v>40</v>
      </c>
      <c r="I5296" s="33"/>
      <c r="J5296" s="34" t="s">
        <v>100</v>
      </c>
      <c r="K5296" s="33"/>
      <c r="L5296" s="35">
        <v>1</v>
      </c>
      <c r="M5296" s="35">
        <v>50</v>
      </c>
      <c r="N5296" s="35">
        <v>1</v>
      </c>
      <c r="O5296" s="36">
        <v>1058.57</v>
      </c>
      <c r="P5296" s="36">
        <v>867.68</v>
      </c>
      <c r="Q5296" s="36">
        <v>741</v>
      </c>
      <c r="R5296" s="36">
        <v>607.38</v>
      </c>
      <c r="S5296" s="36">
        <v>719.83</v>
      </c>
      <c r="T5296" s="36">
        <v>590.02</v>
      </c>
      <c r="U5296" s="34"/>
      <c r="V5296" s="34"/>
      <c r="W5296" s="34"/>
      <c r="X5296" s="37">
        <v>0.124</v>
      </c>
      <c r="Y5296" s="38">
        <v>4.9700000000000005E-4</v>
      </c>
      <c r="Z5296" s="21">
        <v>4660008017026</v>
      </c>
    </row>
    <row r="5297" spans="1:26" ht="12" customHeight="1" outlineLevel="4" x14ac:dyDescent="0.2">
      <c r="A5297" s="14" t="s">
        <v>10250</v>
      </c>
      <c r="B5297" s="26" t="s">
        <v>10251</v>
      </c>
      <c r="C5297" s="52"/>
      <c r="D5297" s="55">
        <f t="shared" si="82"/>
        <v>0</v>
      </c>
      <c r="E5297" s="63" t="str">
        <f>HYPERLINK("https://www.sds-group.ru/product/payalnik-s-regulirovkoy-temperatury-30-50vt-230v-blister-rexant-12-0170/", "Инфо")</f>
        <v>Инфо</v>
      </c>
      <c r="F5297" s="16" t="s">
        <v>39</v>
      </c>
      <c r="G5297" s="15"/>
      <c r="H5297" s="15"/>
      <c r="I5297" s="15"/>
      <c r="J5297" s="17">
        <v>458</v>
      </c>
      <c r="K5297" s="15" t="s">
        <v>1519</v>
      </c>
      <c r="L5297" s="17">
        <v>1</v>
      </c>
      <c r="M5297" s="17">
        <v>100</v>
      </c>
      <c r="N5297" s="17">
        <v>1</v>
      </c>
      <c r="O5297" s="18">
        <v>2049.7399999999998</v>
      </c>
      <c r="P5297" s="18">
        <v>1680.11</v>
      </c>
      <c r="Q5297" s="18">
        <v>1578.3</v>
      </c>
      <c r="R5297" s="18">
        <v>1293.69</v>
      </c>
      <c r="S5297" s="18">
        <v>1393.82</v>
      </c>
      <c r="T5297" s="18">
        <v>1142.48</v>
      </c>
      <c r="U5297" s="16"/>
      <c r="V5297" s="16"/>
      <c r="W5297" s="16" t="s">
        <v>40</v>
      </c>
      <c r="X5297" s="19">
        <v>0.16700000000000001</v>
      </c>
      <c r="Y5297" s="20">
        <v>7.2599999999999997E-4</v>
      </c>
      <c r="Z5297" s="21">
        <v>4660008017040</v>
      </c>
    </row>
    <row r="5298" spans="1:26" ht="12" customHeight="1" outlineLevel="4" x14ac:dyDescent="0.2">
      <c r="A5298" s="14" t="s">
        <v>10252</v>
      </c>
      <c r="B5298" s="26" t="s">
        <v>10253</v>
      </c>
      <c r="C5298" s="52"/>
      <c r="D5298" s="55">
        <f t="shared" si="82"/>
        <v>0</v>
      </c>
      <c r="E5298" s="63" t="str">
        <f>HYPERLINK("https://www.sds-group.ru/product/payalnik-s-ekstraktorom-pripoya-40vt-230v-blister-rexant-12-0171/", "Инфо")</f>
        <v>Инфо</v>
      </c>
      <c r="F5298" s="16" t="s">
        <v>39</v>
      </c>
      <c r="G5298" s="15"/>
      <c r="H5298" s="15"/>
      <c r="I5298" s="15"/>
      <c r="J5298" s="22">
        <v>1307</v>
      </c>
      <c r="K5298" s="15" t="s">
        <v>1590</v>
      </c>
      <c r="L5298" s="17">
        <v>1</v>
      </c>
      <c r="M5298" s="17">
        <v>100</v>
      </c>
      <c r="N5298" s="17">
        <v>1</v>
      </c>
      <c r="O5298" s="18">
        <v>664.82</v>
      </c>
      <c r="P5298" s="18">
        <v>544.92999999999995</v>
      </c>
      <c r="Q5298" s="18">
        <v>531.86</v>
      </c>
      <c r="R5298" s="18">
        <v>435.95</v>
      </c>
      <c r="S5298" s="18">
        <v>452.08</v>
      </c>
      <c r="T5298" s="18">
        <v>370.56</v>
      </c>
      <c r="U5298" s="16"/>
      <c r="V5298" s="16"/>
      <c r="W5298" s="16" t="s">
        <v>40</v>
      </c>
      <c r="X5298" s="19">
        <v>0.189</v>
      </c>
      <c r="Y5298" s="20">
        <v>1.0740000000000001E-3</v>
      </c>
      <c r="Z5298" s="21">
        <v>4610003603946</v>
      </c>
    </row>
    <row r="5299" spans="1:26" ht="12" customHeight="1" outlineLevel="4" x14ac:dyDescent="0.2">
      <c r="A5299" s="14" t="s">
        <v>10254</v>
      </c>
      <c r="B5299" s="26" t="s">
        <v>10255</v>
      </c>
      <c r="C5299" s="52"/>
      <c r="D5299" s="55">
        <f t="shared" si="82"/>
        <v>0</v>
      </c>
      <c r="E5299" s="63" t="str">
        <f>HYPERLINK("https://www.sds-group.ru/product/payalnik-so-shtekerom-prikurivatelya-12v-40vt-blister-rexant-12-0184/", "Инфо")</f>
        <v>Инфо</v>
      </c>
      <c r="F5299" s="16" t="s">
        <v>39</v>
      </c>
      <c r="G5299" s="15"/>
      <c r="H5299" s="15"/>
      <c r="I5299" s="15"/>
      <c r="J5299" s="16" t="s">
        <v>100</v>
      </c>
      <c r="K5299" s="15" t="s">
        <v>1590</v>
      </c>
      <c r="L5299" s="17">
        <v>1</v>
      </c>
      <c r="M5299" s="17">
        <v>100</v>
      </c>
      <c r="N5299" s="17">
        <v>1</v>
      </c>
      <c r="O5299" s="18">
        <v>747.3</v>
      </c>
      <c r="P5299" s="18">
        <v>612.54</v>
      </c>
      <c r="Q5299" s="18">
        <v>523.11</v>
      </c>
      <c r="R5299" s="18">
        <v>428.78</v>
      </c>
      <c r="S5299" s="18">
        <v>508.16</v>
      </c>
      <c r="T5299" s="18">
        <v>416.52</v>
      </c>
      <c r="U5299" s="16"/>
      <c r="V5299" s="16"/>
      <c r="W5299" s="16"/>
      <c r="X5299" s="19">
        <v>0.13600000000000001</v>
      </c>
      <c r="Y5299" s="20">
        <v>6.5200000000000002E-4</v>
      </c>
      <c r="Z5299" s="21">
        <v>4601004002944</v>
      </c>
    </row>
    <row r="5300" spans="1:26" ht="12" customHeight="1" outlineLevel="4" x14ac:dyDescent="0.2">
      <c r="A5300" s="14" t="s">
        <v>10256</v>
      </c>
      <c r="B5300" s="26" t="s">
        <v>10257</v>
      </c>
      <c r="C5300" s="52"/>
      <c r="D5300" s="55">
        <f t="shared" si="82"/>
        <v>0</v>
      </c>
      <c r="E5300" s="63" t="str">
        <f>HYPERLINK("https://www.sds-group.ru/product/payalnik-tsifrovoy-s-keram-nagrevatelem-65vt-220v-temp-200-500-c-rexant-12-0620/", "Инфо")</f>
        <v>Инфо</v>
      </c>
      <c r="F5300" s="16" t="s">
        <v>39</v>
      </c>
      <c r="G5300" s="15"/>
      <c r="H5300" s="15"/>
      <c r="I5300" s="15"/>
      <c r="J5300" s="17">
        <v>1</v>
      </c>
      <c r="K5300" s="15" t="s">
        <v>1277</v>
      </c>
      <c r="L5300" s="17">
        <v>1</v>
      </c>
      <c r="M5300" s="17">
        <v>50</v>
      </c>
      <c r="N5300" s="17">
        <v>1</v>
      </c>
      <c r="O5300" s="18">
        <v>2861.31</v>
      </c>
      <c r="P5300" s="18">
        <v>2345.34</v>
      </c>
      <c r="Q5300" s="18">
        <v>2775.47</v>
      </c>
      <c r="R5300" s="18">
        <v>2274.98</v>
      </c>
      <c r="S5300" s="18">
        <v>1945.69</v>
      </c>
      <c r="T5300" s="18">
        <v>1594.83</v>
      </c>
      <c r="U5300" s="16"/>
      <c r="V5300" s="16"/>
      <c r="W5300" s="16" t="s">
        <v>40</v>
      </c>
      <c r="X5300" s="19">
        <v>0.215</v>
      </c>
      <c r="Y5300" s="20">
        <v>1.3990000000000001E-3</v>
      </c>
      <c r="Z5300" s="21">
        <v>4601004243651</v>
      </c>
    </row>
    <row r="5301" spans="1:26" ht="12" customHeight="1" outlineLevel="4" x14ac:dyDescent="0.2">
      <c r="A5301" s="14" t="s">
        <v>10258</v>
      </c>
      <c r="B5301" s="26" t="s">
        <v>10259</v>
      </c>
      <c r="C5301" s="52"/>
      <c r="D5301" s="55">
        <f t="shared" si="82"/>
        <v>0</v>
      </c>
      <c r="E5301" s="63" t="str">
        <f>HYPERLINK("https://www.sds-group.ru/product/payalnik-gorelka-s-pezopodzhigom-gazovyy-17ml-2-nasadki-blister-rexant-12-0501/", "Инфо")</f>
        <v>Инфо</v>
      </c>
      <c r="F5301" s="16" t="s">
        <v>39</v>
      </c>
      <c r="G5301" s="15"/>
      <c r="H5301" s="15"/>
      <c r="I5301" s="15"/>
      <c r="J5301" s="17">
        <v>473</v>
      </c>
      <c r="K5301" s="15"/>
      <c r="L5301" s="17">
        <v>1</v>
      </c>
      <c r="M5301" s="17">
        <v>48</v>
      </c>
      <c r="N5301" s="17">
        <v>1</v>
      </c>
      <c r="O5301" s="18">
        <v>2270.52</v>
      </c>
      <c r="P5301" s="18">
        <v>1861.08</v>
      </c>
      <c r="Q5301" s="18">
        <v>1929.94</v>
      </c>
      <c r="R5301" s="18">
        <v>1581.92</v>
      </c>
      <c r="S5301" s="18">
        <v>1543.95</v>
      </c>
      <c r="T5301" s="18">
        <v>1265.53</v>
      </c>
      <c r="U5301" s="16"/>
      <c r="V5301" s="16"/>
      <c r="W5301" s="16" t="s">
        <v>40</v>
      </c>
      <c r="X5301" s="19">
        <v>0.16700000000000001</v>
      </c>
      <c r="Y5301" s="20">
        <v>9.7099999999999997E-4</v>
      </c>
      <c r="Z5301" s="21">
        <v>4601004144040</v>
      </c>
    </row>
    <row r="5302" spans="1:26" ht="12" customHeight="1" outlineLevel="4" x14ac:dyDescent="0.2">
      <c r="A5302" s="14" t="s">
        <v>10260</v>
      </c>
      <c r="B5302" s="26" t="s">
        <v>10261</v>
      </c>
      <c r="C5302" s="52"/>
      <c r="D5302" s="55">
        <f t="shared" si="82"/>
        <v>0</v>
      </c>
      <c r="E5302" s="63" t="str">
        <f>HYPERLINK("https://www.sds-group.ru/product/payalnik-gorelka-s-pezopodzhigom-gazovyy-17ml-6-nasadok-pripoy-gubka-korobka-rexant-12-0505/", "Инфо")</f>
        <v>Инфо</v>
      </c>
      <c r="F5302" s="16" t="s">
        <v>39</v>
      </c>
      <c r="G5302" s="15"/>
      <c r="H5302" s="15"/>
      <c r="I5302" s="15"/>
      <c r="J5302" s="17">
        <v>227</v>
      </c>
      <c r="K5302" s="15" t="s">
        <v>6434</v>
      </c>
      <c r="L5302" s="17">
        <v>1</v>
      </c>
      <c r="M5302" s="17">
        <v>40</v>
      </c>
      <c r="N5302" s="17">
        <v>1</v>
      </c>
      <c r="O5302" s="18">
        <v>3842.13</v>
      </c>
      <c r="P5302" s="18">
        <v>3149.29</v>
      </c>
      <c r="Q5302" s="18">
        <v>2804.75</v>
      </c>
      <c r="R5302" s="18">
        <v>2298.98</v>
      </c>
      <c r="S5302" s="18">
        <v>2612.65</v>
      </c>
      <c r="T5302" s="18">
        <v>2141.52</v>
      </c>
      <c r="U5302" s="16"/>
      <c r="V5302" s="16"/>
      <c r="W5302" s="16" t="s">
        <v>40</v>
      </c>
      <c r="X5302" s="19">
        <v>0.42199999999999999</v>
      </c>
      <c r="Y5302" s="20">
        <v>2.1429999999999999E-3</v>
      </c>
      <c r="Z5302" s="21">
        <v>4601004144057</v>
      </c>
    </row>
    <row r="5303" spans="1:26" ht="12" customHeight="1" outlineLevel="4" x14ac:dyDescent="0.2">
      <c r="A5303" s="14" t="s">
        <v>10262</v>
      </c>
      <c r="B5303" s="26" t="s">
        <v>10263</v>
      </c>
      <c r="C5303" s="52"/>
      <c r="D5303" s="55">
        <f t="shared" si="82"/>
        <v>0</v>
      </c>
      <c r="E5303" s="63" t="str">
        <f>HYPERLINK("https://www.sds-group.ru/product/payalnik-gorelka-gazovyy-15ml-s-regul-plameni-2-nasadki-blister-rexant-12-0185/", "Инфо")</f>
        <v>Инфо</v>
      </c>
      <c r="F5303" s="16" t="s">
        <v>39</v>
      </c>
      <c r="G5303" s="15"/>
      <c r="H5303" s="15"/>
      <c r="I5303" s="15"/>
      <c r="J5303" s="17">
        <v>773</v>
      </c>
      <c r="K5303" s="15" t="s">
        <v>883</v>
      </c>
      <c r="L5303" s="17">
        <v>1</v>
      </c>
      <c r="M5303" s="17">
        <v>72</v>
      </c>
      <c r="N5303" s="17">
        <v>1</v>
      </c>
      <c r="O5303" s="18">
        <v>1778.98</v>
      </c>
      <c r="P5303" s="18">
        <v>1458.18</v>
      </c>
      <c r="Q5303" s="18">
        <v>1405.39</v>
      </c>
      <c r="R5303" s="18">
        <v>1151.96</v>
      </c>
      <c r="S5303" s="18">
        <v>1209.71</v>
      </c>
      <c r="T5303" s="18">
        <v>991.57</v>
      </c>
      <c r="U5303" s="16"/>
      <c r="V5303" s="16"/>
      <c r="W5303" s="16" t="s">
        <v>40</v>
      </c>
      <c r="X5303" s="19">
        <v>0.107</v>
      </c>
      <c r="Y5303" s="20">
        <v>4.17E-4</v>
      </c>
      <c r="Z5303" s="21">
        <v>4601004027398</v>
      </c>
    </row>
    <row r="5304" spans="1:26" ht="12" customHeight="1" outlineLevel="4" x14ac:dyDescent="0.2">
      <c r="A5304" s="14" t="s">
        <v>10264</v>
      </c>
      <c r="B5304" s="26" t="s">
        <v>10265</v>
      </c>
      <c r="C5304" s="52"/>
      <c r="D5304" s="55">
        <f t="shared" si="82"/>
        <v>0</v>
      </c>
      <c r="E5304" s="63" t="str">
        <f>HYPERLINK("https://www.sds-group.ru/product/payalnik-pintset-s-keram-nagrevatelem-48vt-220v-korobka-rexant-12-0139/", "Инфо")</f>
        <v>Инфо</v>
      </c>
      <c r="F5304" s="16" t="s">
        <v>39</v>
      </c>
      <c r="G5304" s="15"/>
      <c r="H5304" s="15"/>
      <c r="I5304" s="15"/>
      <c r="J5304" s="22">
        <v>1499</v>
      </c>
      <c r="K5304" s="15" t="s">
        <v>1277</v>
      </c>
      <c r="L5304" s="17">
        <v>1</v>
      </c>
      <c r="M5304" s="17">
        <v>50</v>
      </c>
      <c r="N5304" s="17">
        <v>1</v>
      </c>
      <c r="O5304" s="18">
        <v>1525.4</v>
      </c>
      <c r="P5304" s="18">
        <v>1250.33</v>
      </c>
      <c r="Q5304" s="18">
        <v>1174.56</v>
      </c>
      <c r="R5304" s="18">
        <v>962.75</v>
      </c>
      <c r="S5304" s="18">
        <v>1037.27</v>
      </c>
      <c r="T5304" s="18">
        <v>850.22</v>
      </c>
      <c r="U5304" s="16"/>
      <c r="V5304" s="16"/>
      <c r="W5304" s="16" t="s">
        <v>40</v>
      </c>
      <c r="X5304" s="19">
        <v>0.27700000000000002</v>
      </c>
      <c r="Y5304" s="20">
        <v>8.9700000000000001E-4</v>
      </c>
      <c r="Z5304" s="21">
        <v>4601004068780</v>
      </c>
    </row>
    <row r="5305" spans="1:26" ht="12.95" customHeight="1" outlineLevel="3" x14ac:dyDescent="0.2">
      <c r="A5305" s="76" t="s">
        <v>10266</v>
      </c>
      <c r="B5305" s="76"/>
      <c r="C5305" s="77"/>
      <c r="D5305" s="58"/>
      <c r="E5305" s="68"/>
      <c r="F5305" s="13"/>
      <c r="G5305" s="13"/>
      <c r="H5305" s="13"/>
      <c r="I5305" s="13"/>
      <c r="J5305" s="13"/>
      <c r="K5305" s="13"/>
      <c r="L5305" s="13"/>
      <c r="M5305" s="13"/>
      <c r="N5305" s="13"/>
      <c r="O5305" s="13"/>
      <c r="P5305" s="13"/>
      <c r="Q5305" s="13"/>
      <c r="R5305" s="13"/>
      <c r="S5305" s="13"/>
      <c r="T5305" s="13"/>
      <c r="U5305" s="13"/>
      <c r="V5305" s="13"/>
      <c r="W5305" s="13"/>
      <c r="X5305" s="13"/>
      <c r="Y5305" s="13"/>
      <c r="Z5305" s="13"/>
    </row>
    <row r="5306" spans="1:26" ht="12" customHeight="1" outlineLevel="4" x14ac:dyDescent="0.2">
      <c r="A5306" s="14" t="s">
        <v>10267</v>
      </c>
      <c r="B5306" s="26" t="s">
        <v>10268</v>
      </c>
      <c r="C5306" s="52"/>
      <c r="D5306" s="55">
        <f t="shared" si="82"/>
        <v>0</v>
      </c>
      <c r="E5306" s="63" t="str">
        <f>HYPERLINK("https://www.sds-group.ru/product/payalnik-dvuhrezhimnyy-s-keram-nagrevatelem-30-70vt-230v-blister-rexant-12-0133/", "Инфо")</f>
        <v>Инфо</v>
      </c>
      <c r="F5306" s="16" t="s">
        <v>39</v>
      </c>
      <c r="G5306" s="15"/>
      <c r="H5306" s="15"/>
      <c r="I5306" s="15"/>
      <c r="J5306" s="17">
        <v>332</v>
      </c>
      <c r="K5306" s="15"/>
      <c r="L5306" s="17">
        <v>1</v>
      </c>
      <c r="M5306" s="17">
        <v>48</v>
      </c>
      <c r="N5306" s="17">
        <v>1</v>
      </c>
      <c r="O5306" s="18">
        <v>1516.88</v>
      </c>
      <c r="P5306" s="18">
        <v>1243.3399999999999</v>
      </c>
      <c r="Q5306" s="18">
        <v>1198.3399999999999</v>
      </c>
      <c r="R5306" s="18">
        <v>982.25</v>
      </c>
      <c r="S5306" s="18">
        <v>1031.48</v>
      </c>
      <c r="T5306" s="18">
        <v>845.48</v>
      </c>
      <c r="U5306" s="16"/>
      <c r="V5306" s="16"/>
      <c r="W5306" s="16" t="s">
        <v>40</v>
      </c>
      <c r="X5306" s="19">
        <v>0.19700000000000001</v>
      </c>
      <c r="Y5306" s="20">
        <v>1.2539999999999999E-3</v>
      </c>
      <c r="Z5306" s="21">
        <v>4601004063259</v>
      </c>
    </row>
    <row r="5307" spans="1:26" ht="12" customHeight="1" outlineLevel="4" x14ac:dyDescent="0.2">
      <c r="A5307" s="14" t="s">
        <v>10269</v>
      </c>
      <c r="B5307" s="26" t="s">
        <v>10270</v>
      </c>
      <c r="C5307" s="52"/>
      <c r="D5307" s="55">
        <f t="shared" si="82"/>
        <v>0</v>
      </c>
      <c r="E5307" s="63" t="str">
        <f>HYPERLINK("https://www.sds-group.ru/product/payalnik-pistolet-dvuhrezhimnyy-s-keram-nagrevatelem-seriya-klassik-30-130vt-230v-proconne-12-0162-4/", "Инфо")</f>
        <v>Инфо</v>
      </c>
      <c r="F5307" s="16" t="s">
        <v>39</v>
      </c>
      <c r="G5307" s="15"/>
      <c r="H5307" s="15"/>
      <c r="I5307" s="15"/>
      <c r="J5307" s="22">
        <v>2001</v>
      </c>
      <c r="K5307" s="15" t="s">
        <v>1590</v>
      </c>
      <c r="L5307" s="17">
        <v>1</v>
      </c>
      <c r="M5307" s="17">
        <v>50</v>
      </c>
      <c r="N5307" s="17">
        <v>1</v>
      </c>
      <c r="O5307" s="18">
        <v>570.27</v>
      </c>
      <c r="P5307" s="18">
        <v>467.43</v>
      </c>
      <c r="Q5307" s="18">
        <v>513.24</v>
      </c>
      <c r="R5307" s="18">
        <v>420.69</v>
      </c>
      <c r="S5307" s="18">
        <v>387.78</v>
      </c>
      <c r="T5307" s="18">
        <v>317.85000000000002</v>
      </c>
      <c r="U5307" s="16"/>
      <c r="V5307" s="16"/>
      <c r="W5307" s="16" t="s">
        <v>40</v>
      </c>
      <c r="X5307" s="19">
        <v>0.19400000000000001</v>
      </c>
      <c r="Y5307" s="20">
        <v>5.04E-4</v>
      </c>
      <c r="Z5307" s="21">
        <v>4660008017262</v>
      </c>
    </row>
    <row r="5308" spans="1:26" ht="12" customHeight="1" outlineLevel="4" x14ac:dyDescent="0.2">
      <c r="A5308" s="14" t="s">
        <v>10271</v>
      </c>
      <c r="B5308" s="26" t="s">
        <v>10272</v>
      </c>
      <c r="C5308" s="52"/>
      <c r="D5308" s="55">
        <f t="shared" si="82"/>
        <v>0</v>
      </c>
      <c r="E5308" s="63" t="str">
        <f>HYPERLINK("https://www.sds-group.ru/product/payalnik-pistolet-dvuhrezhimnyy-s-keram-nagrevatelem-seriya-master-30-130vt-230v-rexant-12-0162/", "Инфо")</f>
        <v>Инфо</v>
      </c>
      <c r="F5308" s="16" t="s">
        <v>39</v>
      </c>
      <c r="G5308" s="15"/>
      <c r="H5308" s="15"/>
      <c r="I5308" s="15"/>
      <c r="J5308" s="17">
        <v>484</v>
      </c>
      <c r="K5308" s="15" t="s">
        <v>4866</v>
      </c>
      <c r="L5308" s="17">
        <v>1</v>
      </c>
      <c r="M5308" s="17">
        <v>50</v>
      </c>
      <c r="N5308" s="17">
        <v>1</v>
      </c>
      <c r="O5308" s="18">
        <v>867.05</v>
      </c>
      <c r="P5308" s="18">
        <v>710.7</v>
      </c>
      <c r="Q5308" s="18">
        <v>693.64</v>
      </c>
      <c r="R5308" s="18">
        <v>568.55999999999995</v>
      </c>
      <c r="S5308" s="18">
        <v>589.59</v>
      </c>
      <c r="T5308" s="18">
        <v>483.27</v>
      </c>
      <c r="U5308" s="16"/>
      <c r="V5308" s="16"/>
      <c r="W5308" s="16" t="s">
        <v>40</v>
      </c>
      <c r="X5308" s="19">
        <v>0.19800000000000001</v>
      </c>
      <c r="Y5308" s="20">
        <v>1.0920000000000001E-3</v>
      </c>
      <c r="Z5308" s="21">
        <v>4610003604233</v>
      </c>
    </row>
    <row r="5309" spans="1:26" ht="12" customHeight="1" outlineLevel="4" x14ac:dyDescent="0.2">
      <c r="A5309" s="14" t="s">
        <v>10273</v>
      </c>
      <c r="B5309" s="26" t="s">
        <v>10274</v>
      </c>
      <c r="C5309" s="52"/>
      <c r="D5309" s="55">
        <f t="shared" si="82"/>
        <v>0</v>
      </c>
      <c r="E5309" s="63" t="str">
        <f>HYPERLINK("https://www.sds-group.ru/product/payalnik-pistolet-dvuhrezhimnyy-s-keram-nagrevatelem-seriya-profi-25-130vt-230v-rexant-12-0162-1/", "Инфо")</f>
        <v>Инфо</v>
      </c>
      <c r="F5309" s="16" t="s">
        <v>39</v>
      </c>
      <c r="G5309" s="15"/>
      <c r="H5309" s="15"/>
      <c r="I5309" s="15"/>
      <c r="J5309" s="16" t="s">
        <v>100</v>
      </c>
      <c r="K5309" s="15" t="s">
        <v>1277</v>
      </c>
      <c r="L5309" s="17">
        <v>1</v>
      </c>
      <c r="M5309" s="17">
        <v>50</v>
      </c>
      <c r="N5309" s="17">
        <v>1</v>
      </c>
      <c r="O5309" s="18">
        <v>1130.6600000000001</v>
      </c>
      <c r="P5309" s="18">
        <v>926.77</v>
      </c>
      <c r="Q5309" s="18">
        <v>1062.82</v>
      </c>
      <c r="R5309" s="18">
        <v>871.16</v>
      </c>
      <c r="S5309" s="18">
        <v>768.85</v>
      </c>
      <c r="T5309" s="18">
        <v>630.20000000000005</v>
      </c>
      <c r="U5309" s="16"/>
      <c r="V5309" s="16"/>
      <c r="W5309" s="16" t="s">
        <v>40</v>
      </c>
      <c r="X5309" s="19">
        <v>0.2</v>
      </c>
      <c r="Y5309" s="20">
        <v>1.077E-3</v>
      </c>
      <c r="Z5309" s="21">
        <v>4660008017002</v>
      </c>
    </row>
    <row r="5310" spans="1:26" ht="12" customHeight="1" outlineLevel="4" x14ac:dyDescent="0.2">
      <c r="A5310" s="14" t="s">
        <v>10275</v>
      </c>
      <c r="B5310" s="26" t="s">
        <v>10276</v>
      </c>
      <c r="C5310" s="52"/>
      <c r="D5310" s="55">
        <f t="shared" si="82"/>
        <v>0</v>
      </c>
      <c r="E5310" s="63" t="str">
        <f>HYPERLINK("https://www.sds-group.ru/product/payalnik-pistolet-dvuhrezhimnyy-seriya-klassik-30-70vt-230v-blister-proconnect-12-0161-4/", "Инфо")</f>
        <v>Инфо</v>
      </c>
      <c r="F5310" s="16" t="s">
        <v>39</v>
      </c>
      <c r="G5310" s="15"/>
      <c r="H5310" s="15"/>
      <c r="I5310" s="15"/>
      <c r="J5310" s="17">
        <v>166</v>
      </c>
      <c r="K5310" s="15" t="s">
        <v>1590</v>
      </c>
      <c r="L5310" s="17">
        <v>1</v>
      </c>
      <c r="M5310" s="17">
        <v>50</v>
      </c>
      <c r="N5310" s="17">
        <v>1</v>
      </c>
      <c r="O5310" s="18">
        <v>496.65</v>
      </c>
      <c r="P5310" s="18">
        <v>407.09</v>
      </c>
      <c r="Q5310" s="18">
        <v>397.32</v>
      </c>
      <c r="R5310" s="18">
        <v>325.67</v>
      </c>
      <c r="S5310" s="18">
        <v>337.72</v>
      </c>
      <c r="T5310" s="18">
        <v>276.82</v>
      </c>
      <c r="U5310" s="16"/>
      <c r="V5310" s="16"/>
      <c r="W5310" s="16" t="s">
        <v>40</v>
      </c>
      <c r="X5310" s="19">
        <v>0.193</v>
      </c>
      <c r="Y5310" s="20">
        <v>1.0120000000000001E-3</v>
      </c>
      <c r="Z5310" s="21">
        <v>4660008017255</v>
      </c>
    </row>
    <row r="5311" spans="1:26" ht="12" customHeight="1" outlineLevel="4" x14ac:dyDescent="0.2">
      <c r="A5311" s="14" t="s">
        <v>10277</v>
      </c>
      <c r="B5311" s="26" t="s">
        <v>10278</v>
      </c>
      <c r="C5311" s="52"/>
      <c r="D5311" s="55">
        <f t="shared" si="82"/>
        <v>0</v>
      </c>
      <c r="E5311" s="63" t="str">
        <f>HYPERLINK("https://www.sds-group.ru/product/payalnik-pistolet-dvuhrezhimnyy-seriya-master-30-70vt-230v-blister-rexant-12-0161/", "Инфо")</f>
        <v>Инфо</v>
      </c>
      <c r="F5311" s="16" t="s">
        <v>39</v>
      </c>
      <c r="G5311" s="15"/>
      <c r="H5311" s="15"/>
      <c r="I5311" s="15"/>
      <c r="J5311" s="17">
        <v>627</v>
      </c>
      <c r="K5311" s="15"/>
      <c r="L5311" s="17">
        <v>1</v>
      </c>
      <c r="M5311" s="17">
        <v>50</v>
      </c>
      <c r="N5311" s="17">
        <v>1</v>
      </c>
      <c r="O5311" s="18">
        <v>798.92</v>
      </c>
      <c r="P5311" s="18">
        <v>654.85</v>
      </c>
      <c r="Q5311" s="18">
        <v>639.14</v>
      </c>
      <c r="R5311" s="18">
        <v>523.89</v>
      </c>
      <c r="S5311" s="18">
        <v>543.27</v>
      </c>
      <c r="T5311" s="18">
        <v>445.3</v>
      </c>
      <c r="U5311" s="16"/>
      <c r="V5311" s="16"/>
      <c r="W5311" s="16" t="s">
        <v>40</v>
      </c>
      <c r="X5311" s="19">
        <v>0.188</v>
      </c>
      <c r="Y5311" s="20">
        <v>1.09E-3</v>
      </c>
      <c r="Z5311" s="21">
        <v>4610003609078</v>
      </c>
    </row>
    <row r="5312" spans="1:26" ht="12" customHeight="1" outlineLevel="4" x14ac:dyDescent="0.2">
      <c r="A5312" s="14" t="s">
        <v>10279</v>
      </c>
      <c r="B5312" s="26" t="s">
        <v>10280</v>
      </c>
      <c r="C5312" s="52"/>
      <c r="D5312" s="55">
        <f t="shared" si="82"/>
        <v>0</v>
      </c>
      <c r="E5312" s="63" t="str">
        <f>HYPERLINK("https://www.sds-group.ru/product/payalnik-pistolet-dvuhrezhimnyy-seriya-profi-30-70vt-230v-blister-rexant-12-0161-1/", "Инфо")</f>
        <v>Инфо</v>
      </c>
      <c r="F5312" s="16" t="s">
        <v>39</v>
      </c>
      <c r="G5312" s="15"/>
      <c r="H5312" s="15"/>
      <c r="I5312" s="15"/>
      <c r="J5312" s="17">
        <v>612</v>
      </c>
      <c r="K5312" s="15" t="s">
        <v>1277</v>
      </c>
      <c r="L5312" s="17">
        <v>1</v>
      </c>
      <c r="M5312" s="17">
        <v>50</v>
      </c>
      <c r="N5312" s="17">
        <v>1</v>
      </c>
      <c r="O5312" s="18">
        <v>839.77</v>
      </c>
      <c r="P5312" s="18">
        <v>688.34</v>
      </c>
      <c r="Q5312" s="18">
        <v>671.82</v>
      </c>
      <c r="R5312" s="18">
        <v>550.66999999999996</v>
      </c>
      <c r="S5312" s="18">
        <v>571.04</v>
      </c>
      <c r="T5312" s="18">
        <v>468.07</v>
      </c>
      <c r="U5312" s="16"/>
      <c r="V5312" s="16"/>
      <c r="W5312" s="16" t="s">
        <v>40</v>
      </c>
      <c r="X5312" s="19">
        <v>0.19800000000000001</v>
      </c>
      <c r="Y5312" s="20">
        <v>1.0629999999999999E-3</v>
      </c>
      <c r="Z5312" s="21">
        <v>4660008017019</v>
      </c>
    </row>
    <row r="5313" spans="1:26" ht="12.95" customHeight="1" outlineLevel="3" x14ac:dyDescent="0.2">
      <c r="A5313" s="76" t="s">
        <v>10281</v>
      </c>
      <c r="B5313" s="76"/>
      <c r="C5313" s="77"/>
      <c r="D5313" s="58"/>
      <c r="E5313" s="68"/>
      <c r="F5313" s="13"/>
      <c r="G5313" s="13"/>
      <c r="H5313" s="13"/>
      <c r="I5313" s="13"/>
      <c r="J5313" s="13"/>
      <c r="K5313" s="13"/>
      <c r="L5313" s="13"/>
      <c r="M5313" s="13"/>
      <c r="N5313" s="13"/>
      <c r="O5313" s="13"/>
      <c r="P5313" s="13"/>
      <c r="Q5313" s="13"/>
      <c r="R5313" s="13"/>
      <c r="S5313" s="13"/>
      <c r="T5313" s="13"/>
      <c r="U5313" s="13"/>
      <c r="V5313" s="13"/>
      <c r="W5313" s="13"/>
      <c r="X5313" s="13"/>
      <c r="Y5313" s="13"/>
      <c r="Z5313" s="13"/>
    </row>
    <row r="5314" spans="1:26" ht="12" customHeight="1" outlineLevel="4" x14ac:dyDescent="0.2">
      <c r="A5314" s="14" t="s">
        <v>10282</v>
      </c>
      <c r="B5314" s="26" t="s">
        <v>10283</v>
      </c>
      <c r="C5314" s="52"/>
      <c r="D5314" s="55">
        <f t="shared" si="82"/>
        <v>0</v>
      </c>
      <c r="E5314" s="63" t="str">
        <f>HYPERLINK("https://www.sds-group.ru/product/payalnik-vysokomoschnyy-300vt-230v-topor-s-knopkoy-podstavka-korobka-rexant-12-0188/", "Инфо")</f>
        <v>Инфо</v>
      </c>
      <c r="F5314" s="16" t="s">
        <v>39</v>
      </c>
      <c r="G5314" s="15"/>
      <c r="H5314" s="15"/>
      <c r="I5314" s="15"/>
      <c r="J5314" s="17">
        <v>176</v>
      </c>
      <c r="K5314" s="15"/>
      <c r="L5314" s="17">
        <v>1</v>
      </c>
      <c r="M5314" s="17">
        <v>20</v>
      </c>
      <c r="N5314" s="17">
        <v>1</v>
      </c>
      <c r="O5314" s="18">
        <v>7358.13</v>
      </c>
      <c r="P5314" s="18">
        <v>6031.25</v>
      </c>
      <c r="Q5314" s="18">
        <v>5371.43</v>
      </c>
      <c r="R5314" s="18">
        <v>4402.8100000000004</v>
      </c>
      <c r="S5314" s="18">
        <v>5003.53</v>
      </c>
      <c r="T5314" s="18">
        <v>4101.25</v>
      </c>
      <c r="U5314" s="16"/>
      <c r="V5314" s="16"/>
      <c r="W5314" s="16" t="s">
        <v>40</v>
      </c>
      <c r="X5314" s="19">
        <v>1.0649999999999999</v>
      </c>
      <c r="Y5314" s="20">
        <v>3.2499999999999999E-3</v>
      </c>
      <c r="Z5314" s="21">
        <v>4601004027381</v>
      </c>
    </row>
    <row r="5315" spans="1:26" ht="12" customHeight="1" outlineLevel="4" x14ac:dyDescent="0.2">
      <c r="A5315" s="14" t="s">
        <v>10284</v>
      </c>
      <c r="B5315" s="26" t="s">
        <v>10285</v>
      </c>
      <c r="C5315" s="52"/>
      <c r="D5315" s="55">
        <f t="shared" si="82"/>
        <v>0</v>
      </c>
      <c r="E5315" s="63" t="str">
        <f>HYPERLINK("https://www.sds-group.ru/product/payalnik-vysokomoschnyy-seriya-epsn-keram-ten-200vt-230v-s-derev-ruchkoy-korobka-rexant-12-0211/", "Инфо")</f>
        <v>Инфо</v>
      </c>
      <c r="F5315" s="16" t="s">
        <v>39</v>
      </c>
      <c r="G5315" s="15"/>
      <c r="H5315" s="15"/>
      <c r="I5315" s="15"/>
      <c r="J5315" s="17">
        <v>186</v>
      </c>
      <c r="K5315" s="15" t="s">
        <v>922</v>
      </c>
      <c r="L5315" s="17">
        <v>1</v>
      </c>
      <c r="M5315" s="17">
        <v>50</v>
      </c>
      <c r="N5315" s="17">
        <v>1</v>
      </c>
      <c r="O5315" s="18">
        <v>1723.75</v>
      </c>
      <c r="P5315" s="18">
        <v>1412.91</v>
      </c>
      <c r="Q5315" s="18">
        <v>1206.6300000000001</v>
      </c>
      <c r="R5315" s="18">
        <v>989.04</v>
      </c>
      <c r="S5315" s="18">
        <v>1172.1500000000001</v>
      </c>
      <c r="T5315" s="18">
        <v>960.78</v>
      </c>
      <c r="U5315" s="16"/>
      <c r="V5315" s="16"/>
      <c r="W5315" s="16"/>
      <c r="X5315" s="19">
        <v>0.57699999999999996</v>
      </c>
      <c r="Y5315" s="20">
        <v>1.3849999999999999E-3</v>
      </c>
      <c r="Z5315" s="21">
        <v>4601004058088</v>
      </c>
    </row>
    <row r="5316" spans="1:26" ht="12" customHeight="1" outlineLevel="4" x14ac:dyDescent="0.2">
      <c r="A5316" s="14" t="s">
        <v>10286</v>
      </c>
      <c r="B5316" s="26" t="s">
        <v>10287</v>
      </c>
      <c r="C5316" s="52"/>
      <c r="D5316" s="55">
        <f t="shared" si="82"/>
        <v>0</v>
      </c>
      <c r="E5316" s="63" t="str">
        <f>HYPERLINK("https://www.sds-group.ru/product/payalnik-vysokomoschnyy-seriya-epsn-keram-ten-300vt-230v-s-derev-ruchkoy-korobka-rexant-12-0213/", "Инфо")</f>
        <v>Инфо</v>
      </c>
      <c r="F5316" s="16" t="s">
        <v>39</v>
      </c>
      <c r="G5316" s="15"/>
      <c r="H5316" s="15"/>
      <c r="I5316" s="15"/>
      <c r="J5316" s="17">
        <v>321</v>
      </c>
      <c r="K5316" s="15" t="s">
        <v>1590</v>
      </c>
      <c r="L5316" s="17">
        <v>1</v>
      </c>
      <c r="M5316" s="17">
        <v>25</v>
      </c>
      <c r="N5316" s="17">
        <v>1</v>
      </c>
      <c r="O5316" s="18">
        <v>2521.4899999999998</v>
      </c>
      <c r="P5316" s="18">
        <v>2066.8000000000002</v>
      </c>
      <c r="Q5316" s="18">
        <v>1765.04</v>
      </c>
      <c r="R5316" s="18">
        <v>1446.75</v>
      </c>
      <c r="S5316" s="18">
        <v>1714.61</v>
      </c>
      <c r="T5316" s="18">
        <v>1405.42</v>
      </c>
      <c r="U5316" s="16"/>
      <c r="V5316" s="16"/>
      <c r="W5316" s="16"/>
      <c r="X5316" s="19">
        <v>0.65300000000000002</v>
      </c>
      <c r="Y5316" s="20">
        <v>1.939E-3</v>
      </c>
      <c r="Z5316" s="21">
        <v>4601004058071</v>
      </c>
    </row>
    <row r="5317" spans="1:26" ht="12" customHeight="1" outlineLevel="4" x14ac:dyDescent="0.2">
      <c r="A5317" s="14" t="s">
        <v>10288</v>
      </c>
      <c r="B5317" s="26" t="s">
        <v>10289</v>
      </c>
      <c r="C5317" s="52"/>
      <c r="D5317" s="55">
        <f t="shared" si="82"/>
        <v>0</v>
      </c>
      <c r="E5317" s="63" t="str">
        <f>HYPERLINK("https://www.sds-group.ru/product/payalnik-pistolet-vysokomoschnyy-keram-ten-500vt-230v-s-karbolitovoy-ruchkoy-korobka-rexant-12-0215/", "Инфо")</f>
        <v>Инфо</v>
      </c>
      <c r="F5317" s="16" t="s">
        <v>39</v>
      </c>
      <c r="G5317" s="15"/>
      <c r="H5317" s="15"/>
      <c r="I5317" s="15"/>
      <c r="J5317" s="17">
        <v>442</v>
      </c>
      <c r="K5317" s="15"/>
      <c r="L5317" s="17">
        <v>1</v>
      </c>
      <c r="M5317" s="17">
        <v>24</v>
      </c>
      <c r="N5317" s="17">
        <v>1</v>
      </c>
      <c r="O5317" s="18">
        <v>3200.74</v>
      </c>
      <c r="P5317" s="18">
        <v>2623.56</v>
      </c>
      <c r="Q5317" s="18">
        <v>2336.54</v>
      </c>
      <c r="R5317" s="18">
        <v>1915.2</v>
      </c>
      <c r="S5317" s="18">
        <v>2176.5</v>
      </c>
      <c r="T5317" s="18">
        <v>1784.02</v>
      </c>
      <c r="U5317" s="16"/>
      <c r="V5317" s="16"/>
      <c r="W5317" s="16" t="s">
        <v>40</v>
      </c>
      <c r="X5317" s="19">
        <v>1.139</v>
      </c>
      <c r="Y5317" s="20">
        <v>5.2570000000000004E-3</v>
      </c>
      <c r="Z5317" s="21">
        <v>4601004058095</v>
      </c>
    </row>
    <row r="5318" spans="1:26" ht="12" customHeight="1" outlineLevel="4" x14ac:dyDescent="0.2">
      <c r="A5318" s="14" t="s">
        <v>10290</v>
      </c>
      <c r="B5318" s="26" t="s">
        <v>10291</v>
      </c>
      <c r="C5318" s="52"/>
      <c r="D5318" s="55">
        <f t="shared" si="82"/>
        <v>0</v>
      </c>
      <c r="E5318" s="63" t="str">
        <f>HYPERLINK("https://www.sds-group.ru/product/payalnik-topor-vysokomoschnyy-seriya-epsn-200vt-230v-s-derevyannoy-ruchkoy-paket-rexant-12-0292/", "Инфо")</f>
        <v>Инфо</v>
      </c>
      <c r="F5318" s="16" t="s">
        <v>39</v>
      </c>
      <c r="G5318" s="15"/>
      <c r="H5318" s="15"/>
      <c r="I5318" s="15"/>
      <c r="J5318" s="17">
        <v>633</v>
      </c>
      <c r="K5318" s="15"/>
      <c r="L5318" s="17">
        <v>1</v>
      </c>
      <c r="M5318" s="17">
        <v>20</v>
      </c>
      <c r="N5318" s="17">
        <v>1</v>
      </c>
      <c r="O5318" s="18">
        <v>4742.21</v>
      </c>
      <c r="P5318" s="18">
        <v>3887.06</v>
      </c>
      <c r="Q5318" s="18">
        <v>3461.81</v>
      </c>
      <c r="R5318" s="18">
        <v>2837.55</v>
      </c>
      <c r="S5318" s="18">
        <v>3224.7</v>
      </c>
      <c r="T5318" s="18">
        <v>2643.2</v>
      </c>
      <c r="U5318" s="16"/>
      <c r="V5318" s="16"/>
      <c r="W5318" s="16" t="s">
        <v>40</v>
      </c>
      <c r="X5318" s="19">
        <v>0.87</v>
      </c>
      <c r="Y5318" s="20">
        <v>1.2780000000000001E-3</v>
      </c>
      <c r="Z5318" s="21">
        <v>4601004060920</v>
      </c>
    </row>
    <row r="5319" spans="1:26" ht="12.95" customHeight="1" outlineLevel="3" x14ac:dyDescent="0.2">
      <c r="A5319" s="76" t="s">
        <v>10292</v>
      </c>
      <c r="B5319" s="76"/>
      <c r="C5319" s="77"/>
      <c r="D5319" s="58"/>
      <c r="E5319" s="68"/>
      <c r="F5319" s="13"/>
      <c r="G5319" s="13"/>
      <c r="H5319" s="13"/>
      <c r="I5319" s="13"/>
      <c r="J5319" s="13"/>
      <c r="K5319" s="13"/>
      <c r="L5319" s="13"/>
      <c r="M5319" s="13"/>
      <c r="N5319" s="13"/>
      <c r="O5319" s="13"/>
      <c r="P5319" s="13"/>
      <c r="Q5319" s="13"/>
      <c r="R5319" s="13"/>
      <c r="S5319" s="13"/>
      <c r="T5319" s="13"/>
      <c r="U5319" s="13"/>
      <c r="V5319" s="13"/>
      <c r="W5319" s="13"/>
      <c r="X5319" s="13"/>
      <c r="Y5319" s="13"/>
      <c r="Z5319" s="13"/>
    </row>
    <row r="5320" spans="1:26" ht="12" customHeight="1" outlineLevel="4" x14ac:dyDescent="0.2">
      <c r="A5320" s="14" t="s">
        <v>10293</v>
      </c>
      <c r="B5320" s="26" t="s">
        <v>10294</v>
      </c>
      <c r="C5320" s="52"/>
      <c r="D5320" s="55">
        <f t="shared" si="82"/>
        <v>0</v>
      </c>
      <c r="E5320" s="63" t="str">
        <f>HYPERLINK("https://www.sds-group.ru/product/payalnik-s-derevyannoy-ruchkoy-100vt-230v-proconnect-12-0178-4/", "Инфо")</f>
        <v>Инфо</v>
      </c>
      <c r="F5320" s="16" t="s">
        <v>39</v>
      </c>
      <c r="G5320" s="15"/>
      <c r="H5320" s="15"/>
      <c r="I5320" s="15"/>
      <c r="J5320" s="17">
        <v>851</v>
      </c>
      <c r="K5320" s="15" t="s">
        <v>922</v>
      </c>
      <c r="L5320" s="17">
        <v>1</v>
      </c>
      <c r="M5320" s="17">
        <v>100</v>
      </c>
      <c r="N5320" s="17">
        <v>1</v>
      </c>
      <c r="O5320" s="18">
        <v>570.27</v>
      </c>
      <c r="P5320" s="18">
        <v>467.43</v>
      </c>
      <c r="Q5320" s="18">
        <v>456.22</v>
      </c>
      <c r="R5320" s="18">
        <v>373.95</v>
      </c>
      <c r="S5320" s="18">
        <v>387.78</v>
      </c>
      <c r="T5320" s="18">
        <v>317.85000000000002</v>
      </c>
      <c r="U5320" s="16"/>
      <c r="V5320" s="16"/>
      <c r="W5320" s="16" t="s">
        <v>40</v>
      </c>
      <c r="X5320" s="19">
        <v>0.19</v>
      </c>
      <c r="Y5320" s="20">
        <v>7.0299999999999996E-4</v>
      </c>
      <c r="Z5320" s="21">
        <v>4601004076549</v>
      </c>
    </row>
    <row r="5321" spans="1:26" ht="12" customHeight="1" outlineLevel="4" x14ac:dyDescent="0.2">
      <c r="A5321" s="14" t="s">
        <v>10295</v>
      </c>
      <c r="B5321" s="26" t="s">
        <v>10296</v>
      </c>
      <c r="C5321" s="52"/>
      <c r="D5321" s="55">
        <f t="shared" ref="D5321:D5384" si="83">C5321*(O5321-O5321*$G$3)</f>
        <v>0</v>
      </c>
      <c r="E5321" s="63" t="str">
        <f>HYPERLINK("https://www.sds-group.ru/product/payalnik-s-derevyannoy-ruchkoy-25vt-230v-proconnect-12-0174-4/", "Инфо")</f>
        <v>Инфо</v>
      </c>
      <c r="F5321" s="16" t="s">
        <v>39</v>
      </c>
      <c r="G5321" s="15"/>
      <c r="H5321" s="15"/>
      <c r="I5321" s="15"/>
      <c r="J5321" s="22">
        <v>4234</v>
      </c>
      <c r="K5321" s="15"/>
      <c r="L5321" s="17">
        <v>5</v>
      </c>
      <c r="M5321" s="17">
        <v>100</v>
      </c>
      <c r="N5321" s="17">
        <v>5</v>
      </c>
      <c r="O5321" s="18">
        <v>300.76</v>
      </c>
      <c r="P5321" s="18">
        <v>246.52</v>
      </c>
      <c r="Q5321" s="18">
        <v>240.61</v>
      </c>
      <c r="R5321" s="18">
        <v>197.22</v>
      </c>
      <c r="S5321" s="18">
        <v>204.52</v>
      </c>
      <c r="T5321" s="18">
        <v>167.64</v>
      </c>
      <c r="U5321" s="16"/>
      <c r="V5321" s="16"/>
      <c r="W5321" s="16" t="s">
        <v>40</v>
      </c>
      <c r="X5321" s="19">
        <v>0.125</v>
      </c>
      <c r="Y5321" s="20">
        <v>7.0799999999999997E-4</v>
      </c>
      <c r="Z5321" s="21">
        <v>4601004090729</v>
      </c>
    </row>
    <row r="5322" spans="1:26" ht="12" customHeight="1" outlineLevel="4" x14ac:dyDescent="0.2">
      <c r="A5322" s="14" t="s">
        <v>10297</v>
      </c>
      <c r="B5322" s="26" t="s">
        <v>10298</v>
      </c>
      <c r="C5322" s="52"/>
      <c r="D5322" s="55">
        <f t="shared" si="83"/>
        <v>0</v>
      </c>
      <c r="E5322" s="63" t="str">
        <f>HYPERLINK("https://www.sds-group.ru/product/payalnik-s-derevyannoy-ruchkoy-40vt-230v-proconnect-12-0175-4/", "Инфо")</f>
        <v>Инфо</v>
      </c>
      <c r="F5322" s="16" t="s">
        <v>39</v>
      </c>
      <c r="G5322" s="15"/>
      <c r="H5322" s="15"/>
      <c r="I5322" s="15"/>
      <c r="J5322" s="22">
        <v>1900</v>
      </c>
      <c r="K5322" s="15" t="s">
        <v>922</v>
      </c>
      <c r="L5322" s="17">
        <v>5</v>
      </c>
      <c r="M5322" s="17">
        <v>100</v>
      </c>
      <c r="N5322" s="17">
        <v>5</v>
      </c>
      <c r="O5322" s="18">
        <v>343.89</v>
      </c>
      <c r="P5322" s="18">
        <v>281.88</v>
      </c>
      <c r="Q5322" s="18">
        <v>240.72</v>
      </c>
      <c r="R5322" s="18">
        <v>197.31</v>
      </c>
      <c r="S5322" s="18">
        <v>233.85</v>
      </c>
      <c r="T5322" s="18">
        <v>191.68</v>
      </c>
      <c r="U5322" s="16"/>
      <c r="V5322" s="16"/>
      <c r="W5322" s="16"/>
      <c r="X5322" s="19">
        <v>0.13100000000000001</v>
      </c>
      <c r="Y5322" s="20">
        <v>6.6200000000000015E-4</v>
      </c>
      <c r="Z5322" s="21">
        <v>4601004076532</v>
      </c>
    </row>
    <row r="5323" spans="1:26" ht="12" customHeight="1" outlineLevel="4" x14ac:dyDescent="0.2">
      <c r="A5323" s="14" t="s">
        <v>10299</v>
      </c>
      <c r="B5323" s="26" t="s">
        <v>10300</v>
      </c>
      <c r="C5323" s="52"/>
      <c r="D5323" s="55">
        <f t="shared" si="83"/>
        <v>0</v>
      </c>
      <c r="E5323" s="63" t="str">
        <f>HYPERLINK("https://www.sds-group.ru/product/payalnik-s-derevyannoy-ruchkoy-65vt-230v-proconnect-12-0176-4/", "Инфо")</f>
        <v>Инфо</v>
      </c>
      <c r="F5323" s="16" t="s">
        <v>39</v>
      </c>
      <c r="G5323" s="15"/>
      <c r="H5323" s="15"/>
      <c r="I5323" s="15"/>
      <c r="J5323" s="22">
        <v>1250</v>
      </c>
      <c r="K5323" s="15" t="s">
        <v>922</v>
      </c>
      <c r="L5323" s="17">
        <v>1</v>
      </c>
      <c r="M5323" s="17">
        <v>100</v>
      </c>
      <c r="N5323" s="17">
        <v>1</v>
      </c>
      <c r="O5323" s="18">
        <v>430.13</v>
      </c>
      <c r="P5323" s="18">
        <v>352.57</v>
      </c>
      <c r="Q5323" s="18">
        <v>301.08999999999997</v>
      </c>
      <c r="R5323" s="18">
        <v>246.8</v>
      </c>
      <c r="S5323" s="18">
        <v>292.49</v>
      </c>
      <c r="T5323" s="18">
        <v>239.75</v>
      </c>
      <c r="U5323" s="16"/>
      <c r="V5323" s="16"/>
      <c r="W5323" s="16"/>
      <c r="X5323" s="19">
        <v>0.13500000000000001</v>
      </c>
      <c r="Y5323" s="20">
        <v>6.3699999999999998E-4</v>
      </c>
      <c r="Z5323" s="21">
        <v>4601004076525</v>
      </c>
    </row>
    <row r="5324" spans="1:26" ht="12" customHeight="1" outlineLevel="4" x14ac:dyDescent="0.2">
      <c r="A5324" s="14" t="s">
        <v>10301</v>
      </c>
      <c r="B5324" s="26" t="s">
        <v>10302</v>
      </c>
      <c r="C5324" s="52"/>
      <c r="D5324" s="55">
        <f t="shared" si="83"/>
        <v>0</v>
      </c>
      <c r="E5324" s="63" t="str">
        <f>HYPERLINK("https://www.sds-group.ru/product/payalnik-s-derevyannoy-ruchkoy-85vt-230v-proconnect-12-0177-4/", "Инфо")</f>
        <v>Инфо</v>
      </c>
      <c r="F5324" s="16" t="s">
        <v>39</v>
      </c>
      <c r="G5324" s="15"/>
      <c r="H5324" s="15"/>
      <c r="I5324" s="15"/>
      <c r="J5324" s="17">
        <v>618</v>
      </c>
      <c r="K5324" s="15" t="s">
        <v>1590</v>
      </c>
      <c r="L5324" s="17">
        <v>1</v>
      </c>
      <c r="M5324" s="17">
        <v>100</v>
      </c>
      <c r="N5324" s="17">
        <v>1</v>
      </c>
      <c r="O5324" s="18">
        <v>505.59</v>
      </c>
      <c r="P5324" s="18">
        <v>414.42</v>
      </c>
      <c r="Q5324" s="18">
        <v>404.47</v>
      </c>
      <c r="R5324" s="18">
        <v>331.53</v>
      </c>
      <c r="S5324" s="18">
        <v>343.8</v>
      </c>
      <c r="T5324" s="18">
        <v>281.8</v>
      </c>
      <c r="U5324" s="16"/>
      <c r="V5324" s="16"/>
      <c r="W5324" s="16" t="s">
        <v>40</v>
      </c>
      <c r="X5324" s="19">
        <v>0.16700000000000001</v>
      </c>
      <c r="Y5324" s="20">
        <v>7.3300000000000004E-4</v>
      </c>
      <c r="Z5324" s="21">
        <v>4601004090705</v>
      </c>
    </row>
    <row r="5325" spans="1:26" ht="12" customHeight="1" outlineLevel="4" x14ac:dyDescent="0.2">
      <c r="A5325" s="14" t="s">
        <v>10303</v>
      </c>
      <c r="B5325" s="26" t="s">
        <v>10304</v>
      </c>
      <c r="C5325" s="52"/>
      <c r="D5325" s="55">
        <f t="shared" si="83"/>
        <v>0</v>
      </c>
      <c r="E5325" s="63" t="str">
        <f>HYPERLINK("https://www.sds-group.ru/product/payalnik-s-derevyannoy-ruchkoy-seriya-epsn-100vt-230v-paket-rexant-12-0291/", "Инфо")</f>
        <v>Инфо</v>
      </c>
      <c r="F5325" s="16" t="s">
        <v>39</v>
      </c>
      <c r="G5325" s="15"/>
      <c r="H5325" s="15"/>
      <c r="I5325" s="15"/>
      <c r="J5325" s="22">
        <v>24862</v>
      </c>
      <c r="K5325" s="15" t="s">
        <v>1590</v>
      </c>
      <c r="L5325" s="17">
        <v>5</v>
      </c>
      <c r="M5325" s="17">
        <v>100</v>
      </c>
      <c r="N5325" s="17">
        <v>5</v>
      </c>
      <c r="O5325" s="18">
        <v>463.55</v>
      </c>
      <c r="P5325" s="18">
        <v>379.96</v>
      </c>
      <c r="Q5325" s="18">
        <v>370.84</v>
      </c>
      <c r="R5325" s="18">
        <v>303.97000000000003</v>
      </c>
      <c r="S5325" s="18">
        <v>315.20999999999998</v>
      </c>
      <c r="T5325" s="18">
        <v>258.37</v>
      </c>
      <c r="U5325" s="16"/>
      <c r="V5325" s="16"/>
      <c r="W5325" s="16" t="s">
        <v>40</v>
      </c>
      <c r="X5325" s="19">
        <v>0.17100000000000001</v>
      </c>
      <c r="Y5325" s="20">
        <v>4.2999999999999999E-4</v>
      </c>
      <c r="Z5325" s="21">
        <v>4601004006188</v>
      </c>
    </row>
    <row r="5326" spans="1:26" ht="12" customHeight="1" outlineLevel="4" x14ac:dyDescent="0.2">
      <c r="A5326" s="14" t="s">
        <v>10305</v>
      </c>
      <c r="B5326" s="26" t="s">
        <v>10306</v>
      </c>
      <c r="C5326" s="52"/>
      <c r="D5326" s="55">
        <f t="shared" si="83"/>
        <v>0</v>
      </c>
      <c r="E5326" s="63" t="str">
        <f>HYPERLINK("https://www.sds-group.ru/product/payalnik-s-derevyannoy-ruchkoy-seriya-epsn-25vt-230v-paket-rexant-12-0225/", "Инфо")</f>
        <v>Инфо</v>
      </c>
      <c r="F5326" s="16" t="s">
        <v>39</v>
      </c>
      <c r="G5326" s="15"/>
      <c r="H5326" s="15"/>
      <c r="I5326" s="15"/>
      <c r="J5326" s="22">
        <v>5110</v>
      </c>
      <c r="K5326" s="15" t="s">
        <v>922</v>
      </c>
      <c r="L5326" s="17">
        <v>5</v>
      </c>
      <c r="M5326" s="17">
        <v>100</v>
      </c>
      <c r="N5326" s="17">
        <v>5</v>
      </c>
      <c r="O5326" s="18">
        <v>268.42</v>
      </c>
      <c r="P5326" s="18">
        <v>220.02</v>
      </c>
      <c r="Q5326" s="18">
        <v>228.16</v>
      </c>
      <c r="R5326" s="18">
        <v>187.02</v>
      </c>
      <c r="S5326" s="18">
        <v>182.53</v>
      </c>
      <c r="T5326" s="18">
        <v>149.61000000000001</v>
      </c>
      <c r="U5326" s="16"/>
      <c r="V5326" s="16"/>
      <c r="W5326" s="16" t="s">
        <v>40</v>
      </c>
      <c r="X5326" s="19">
        <v>0.126</v>
      </c>
      <c r="Y5326" s="20">
        <v>4.1899999999999999E-4</v>
      </c>
      <c r="Z5326" s="21">
        <v>4601004006133</v>
      </c>
    </row>
    <row r="5327" spans="1:26" ht="12" customHeight="1" outlineLevel="4" x14ac:dyDescent="0.2">
      <c r="A5327" s="14" t="s">
        <v>10307</v>
      </c>
      <c r="B5327" s="26" t="s">
        <v>10308</v>
      </c>
      <c r="C5327" s="52"/>
      <c r="D5327" s="55">
        <f t="shared" si="83"/>
        <v>0</v>
      </c>
      <c r="E5327" s="63" t="str">
        <f>HYPERLINK("https://www.sds-group.ru/product/payalnik-s-derevyannoy-ruchkoy-seriya-epsn-40vt-230v-paket-rexant-12-0240/", "Инфо")</f>
        <v>Инфо</v>
      </c>
      <c r="F5327" s="16" t="s">
        <v>39</v>
      </c>
      <c r="G5327" s="15"/>
      <c r="H5327" s="15"/>
      <c r="I5327" s="15"/>
      <c r="J5327" s="22">
        <v>12299</v>
      </c>
      <c r="K5327" s="15" t="s">
        <v>1590</v>
      </c>
      <c r="L5327" s="17">
        <v>5</v>
      </c>
      <c r="M5327" s="17">
        <v>100</v>
      </c>
      <c r="N5327" s="17">
        <v>5</v>
      </c>
      <c r="O5327" s="18">
        <v>304</v>
      </c>
      <c r="P5327" s="18">
        <v>249.18</v>
      </c>
      <c r="Q5327" s="18">
        <v>258.39999999999998</v>
      </c>
      <c r="R5327" s="18">
        <v>211.8</v>
      </c>
      <c r="S5327" s="18">
        <v>206.72</v>
      </c>
      <c r="T5327" s="18">
        <v>169.44</v>
      </c>
      <c r="U5327" s="16"/>
      <c r="V5327" s="16"/>
      <c r="W5327" s="16" t="s">
        <v>40</v>
      </c>
      <c r="X5327" s="19">
        <v>0.13200000000000001</v>
      </c>
      <c r="Y5327" s="20">
        <v>4.2999999999999999E-4</v>
      </c>
      <c r="Z5327" s="21">
        <v>4601004006140</v>
      </c>
    </row>
    <row r="5328" spans="1:26" ht="12" customHeight="1" outlineLevel="4" x14ac:dyDescent="0.2">
      <c r="A5328" s="14" t="s">
        <v>10309</v>
      </c>
      <c r="B5328" s="26" t="s">
        <v>10310</v>
      </c>
      <c r="C5328" s="52"/>
      <c r="D5328" s="55">
        <f t="shared" si="83"/>
        <v>0</v>
      </c>
      <c r="E5328" s="63" t="str">
        <f>HYPERLINK("https://www.sds-group.ru/product/payalnik-s-derevyannoy-ruchkoy-seriya-epsn-65vt-230v-paket-rexant-12-0265/", "Инфо")</f>
        <v>Инфо</v>
      </c>
      <c r="F5328" s="16" t="s">
        <v>39</v>
      </c>
      <c r="G5328" s="15"/>
      <c r="H5328" s="15"/>
      <c r="I5328" s="15"/>
      <c r="J5328" s="22">
        <v>2818</v>
      </c>
      <c r="K5328" s="15" t="s">
        <v>1590</v>
      </c>
      <c r="L5328" s="17">
        <v>5</v>
      </c>
      <c r="M5328" s="17">
        <v>100</v>
      </c>
      <c r="N5328" s="17">
        <v>5</v>
      </c>
      <c r="O5328" s="18">
        <v>354.67</v>
      </c>
      <c r="P5328" s="18">
        <v>290.70999999999998</v>
      </c>
      <c r="Q5328" s="18">
        <v>283.74</v>
      </c>
      <c r="R5328" s="18">
        <v>232.57</v>
      </c>
      <c r="S5328" s="18">
        <v>241.18</v>
      </c>
      <c r="T5328" s="18">
        <v>197.69</v>
      </c>
      <c r="U5328" s="16"/>
      <c r="V5328" s="16"/>
      <c r="W5328" s="16" t="s">
        <v>40</v>
      </c>
      <c r="X5328" s="19">
        <v>0.13700000000000001</v>
      </c>
      <c r="Y5328" s="20">
        <v>4.1899999999999999E-4</v>
      </c>
      <c r="Z5328" s="21">
        <v>4601004006171</v>
      </c>
    </row>
    <row r="5329" spans="1:26" ht="12" customHeight="1" outlineLevel="4" x14ac:dyDescent="0.2">
      <c r="A5329" s="14" t="s">
        <v>10311</v>
      </c>
      <c r="B5329" s="26" t="s">
        <v>10312</v>
      </c>
      <c r="C5329" s="52"/>
      <c r="D5329" s="55">
        <f t="shared" si="83"/>
        <v>0</v>
      </c>
      <c r="E5329" s="63" t="str">
        <f>HYPERLINK("https://www.sds-group.ru/product/payalnik-s-derevyannoy-ruchkoy-seriya-epsn-80vt-230v-paket-rexant-12-0280/", "Инфо")</f>
        <v>Инфо</v>
      </c>
      <c r="F5329" s="16" t="s">
        <v>39</v>
      </c>
      <c r="G5329" s="15"/>
      <c r="H5329" s="15"/>
      <c r="I5329" s="15"/>
      <c r="J5329" s="22">
        <v>6048</v>
      </c>
      <c r="K5329" s="15" t="s">
        <v>1590</v>
      </c>
      <c r="L5329" s="17">
        <v>5</v>
      </c>
      <c r="M5329" s="17">
        <v>100</v>
      </c>
      <c r="N5329" s="17">
        <v>5</v>
      </c>
      <c r="O5329" s="18">
        <v>458.16</v>
      </c>
      <c r="P5329" s="18">
        <v>375.54</v>
      </c>
      <c r="Q5329" s="18">
        <v>366.53</v>
      </c>
      <c r="R5329" s="18">
        <v>300.43</v>
      </c>
      <c r="S5329" s="18">
        <v>311.55</v>
      </c>
      <c r="T5329" s="18">
        <v>255.37</v>
      </c>
      <c r="U5329" s="16"/>
      <c r="V5329" s="16"/>
      <c r="W5329" s="16" t="s">
        <v>40</v>
      </c>
      <c r="X5329" s="19">
        <v>0.152</v>
      </c>
      <c r="Y5329" s="20">
        <v>4.2200000000000001E-4</v>
      </c>
      <c r="Z5329" s="21">
        <v>4601004006157</v>
      </c>
    </row>
    <row r="5330" spans="1:26" ht="12.95" customHeight="1" outlineLevel="3" x14ac:dyDescent="0.2">
      <c r="A5330" s="76" t="s">
        <v>10313</v>
      </c>
      <c r="B5330" s="76"/>
      <c r="C5330" s="77"/>
      <c r="D5330" s="58"/>
      <c r="E5330" s="68"/>
      <c r="F5330" s="13"/>
      <c r="G5330" s="13"/>
      <c r="H5330" s="13"/>
      <c r="I5330" s="13"/>
      <c r="J5330" s="13"/>
      <c r="K5330" s="13"/>
      <c r="L5330" s="13"/>
      <c r="M5330" s="13"/>
      <c r="N5330" s="13"/>
      <c r="O5330" s="13"/>
      <c r="P5330" s="13"/>
      <c r="Q5330" s="13"/>
      <c r="R5330" s="13"/>
      <c r="S5330" s="13"/>
      <c r="T5330" s="13"/>
      <c r="U5330" s="13"/>
      <c r="V5330" s="13"/>
      <c r="W5330" s="13"/>
      <c r="X5330" s="13"/>
      <c r="Y5330" s="13"/>
      <c r="Z5330" s="13"/>
    </row>
    <row r="5331" spans="1:26" ht="12" customHeight="1" outlineLevel="4" x14ac:dyDescent="0.2">
      <c r="A5331" s="14" t="s">
        <v>10314</v>
      </c>
      <c r="B5331" s="26" t="s">
        <v>10315</v>
      </c>
      <c r="C5331" s="52"/>
      <c r="D5331" s="55">
        <f t="shared" si="83"/>
        <v>0</v>
      </c>
      <c r="E5331" s="63" t="str">
        <f>HYPERLINK("https://www.sds-group.ru/product/payalnik-s-plastikovoy-ruchkoy-seriya-epsn-100vt-230v-paket-rexant-12-0291-1/", "Инфо")</f>
        <v>Инфо</v>
      </c>
      <c r="F5331" s="16" t="s">
        <v>39</v>
      </c>
      <c r="G5331" s="15"/>
      <c r="H5331" s="15"/>
      <c r="I5331" s="15"/>
      <c r="J5331" s="22">
        <v>5923</v>
      </c>
      <c r="K5331" s="15" t="s">
        <v>1590</v>
      </c>
      <c r="L5331" s="17">
        <v>1</v>
      </c>
      <c r="M5331" s="17">
        <v>100</v>
      </c>
      <c r="N5331" s="17">
        <v>1</v>
      </c>
      <c r="O5331" s="18">
        <v>463.55</v>
      </c>
      <c r="P5331" s="18">
        <v>379.96</v>
      </c>
      <c r="Q5331" s="18">
        <v>324.49</v>
      </c>
      <c r="R5331" s="18">
        <v>265.98</v>
      </c>
      <c r="S5331" s="18">
        <v>315.20999999999998</v>
      </c>
      <c r="T5331" s="18">
        <v>258.37</v>
      </c>
      <c r="U5331" s="16"/>
      <c r="V5331" s="16"/>
      <c r="W5331" s="16"/>
      <c r="X5331" s="19">
        <v>0.153</v>
      </c>
      <c r="Y5331" s="20">
        <v>4.17E-4</v>
      </c>
      <c r="Z5331" s="21">
        <v>4601004052352</v>
      </c>
    </row>
    <row r="5332" spans="1:26" ht="12" customHeight="1" outlineLevel="4" x14ac:dyDescent="0.2">
      <c r="A5332" s="14" t="s">
        <v>10316</v>
      </c>
      <c r="B5332" s="26" t="s">
        <v>10317</v>
      </c>
      <c r="C5332" s="52"/>
      <c r="D5332" s="55">
        <f t="shared" si="83"/>
        <v>0</v>
      </c>
      <c r="E5332" s="63" t="str">
        <f>HYPERLINK("https://www.sds-group.ru/product/payalnik-s-plastikovoy-ruchkoy-seriya-epsn-25vt-230v-paket-rexant-12-0225-1/", "Инфо")</f>
        <v>Инфо</v>
      </c>
      <c r="F5332" s="16" t="s">
        <v>39</v>
      </c>
      <c r="G5332" s="15"/>
      <c r="H5332" s="15"/>
      <c r="I5332" s="15"/>
      <c r="J5332" s="22">
        <v>7881</v>
      </c>
      <c r="K5332" s="15" t="s">
        <v>1590</v>
      </c>
      <c r="L5332" s="17">
        <v>5</v>
      </c>
      <c r="M5332" s="17">
        <v>100</v>
      </c>
      <c r="N5332" s="17">
        <v>5</v>
      </c>
      <c r="O5332" s="18">
        <v>295.26</v>
      </c>
      <c r="P5332" s="18">
        <v>242.02</v>
      </c>
      <c r="Q5332" s="18">
        <v>206.68</v>
      </c>
      <c r="R5332" s="18">
        <v>169.41</v>
      </c>
      <c r="S5332" s="18">
        <v>200.78</v>
      </c>
      <c r="T5332" s="18">
        <v>164.57</v>
      </c>
      <c r="U5332" s="16"/>
      <c r="V5332" s="16"/>
      <c r="W5332" s="16"/>
      <c r="X5332" s="19">
        <v>0.113</v>
      </c>
      <c r="Y5332" s="20">
        <v>4.1199999999999999E-4</v>
      </c>
      <c r="Z5332" s="21">
        <v>4601004060913</v>
      </c>
    </row>
    <row r="5333" spans="1:26" ht="12" customHeight="1" outlineLevel="4" x14ac:dyDescent="0.2">
      <c r="A5333" s="14" t="s">
        <v>10318</v>
      </c>
      <c r="B5333" s="26" t="s">
        <v>10319</v>
      </c>
      <c r="C5333" s="52"/>
      <c r="D5333" s="55">
        <f t="shared" si="83"/>
        <v>0</v>
      </c>
      <c r="E5333" s="63" t="str">
        <f>HYPERLINK("https://www.sds-group.ru/product/payalnik-s-plastikovoy-ruchkoy-seriya-epsn-40vt-230v-paket-rexant-12-0240-1/", "Инфо")</f>
        <v>Инфо</v>
      </c>
      <c r="F5333" s="16" t="s">
        <v>39</v>
      </c>
      <c r="G5333" s="15"/>
      <c r="H5333" s="15"/>
      <c r="I5333" s="15"/>
      <c r="J5333" s="17">
        <v>786</v>
      </c>
      <c r="K5333" s="15" t="s">
        <v>1590</v>
      </c>
      <c r="L5333" s="17">
        <v>5</v>
      </c>
      <c r="M5333" s="17">
        <v>100</v>
      </c>
      <c r="N5333" s="17">
        <v>5</v>
      </c>
      <c r="O5333" s="18">
        <v>304</v>
      </c>
      <c r="P5333" s="18">
        <v>249.18</v>
      </c>
      <c r="Q5333" s="18">
        <v>212.8</v>
      </c>
      <c r="R5333" s="18">
        <v>174.43</v>
      </c>
      <c r="S5333" s="18">
        <v>206.72</v>
      </c>
      <c r="T5333" s="18">
        <v>169.44</v>
      </c>
      <c r="U5333" s="16"/>
      <c r="V5333" s="16"/>
      <c r="W5333" s="16"/>
      <c r="X5333" s="19">
        <v>0.12</v>
      </c>
      <c r="Y5333" s="20">
        <v>4.15E-4</v>
      </c>
      <c r="Z5333" s="21">
        <v>4601004052475</v>
      </c>
    </row>
    <row r="5334" spans="1:26" ht="12" customHeight="1" outlineLevel="4" x14ac:dyDescent="0.2">
      <c r="A5334" s="14" t="s">
        <v>10320</v>
      </c>
      <c r="B5334" s="26" t="s">
        <v>10321</v>
      </c>
      <c r="C5334" s="52"/>
      <c r="D5334" s="55">
        <f t="shared" si="83"/>
        <v>0</v>
      </c>
      <c r="E5334" s="63" t="str">
        <f>HYPERLINK("https://www.sds-group.ru/product/payalnik-s-plastikovoy-ruchkoy-seriya-epsn-65vt-230v-paket-rexant-12-0265-1/", "Инфо")</f>
        <v>Инфо</v>
      </c>
      <c r="F5334" s="16" t="s">
        <v>39</v>
      </c>
      <c r="G5334" s="15"/>
      <c r="H5334" s="15"/>
      <c r="I5334" s="15"/>
      <c r="J5334" s="22">
        <v>2400</v>
      </c>
      <c r="K5334" s="15" t="s">
        <v>922</v>
      </c>
      <c r="L5334" s="17">
        <v>5</v>
      </c>
      <c r="M5334" s="17">
        <v>100</v>
      </c>
      <c r="N5334" s="17">
        <v>5</v>
      </c>
      <c r="O5334" s="18">
        <v>354.67</v>
      </c>
      <c r="P5334" s="18">
        <v>290.70999999999998</v>
      </c>
      <c r="Q5334" s="18">
        <v>248.27</v>
      </c>
      <c r="R5334" s="18">
        <v>203.5</v>
      </c>
      <c r="S5334" s="18">
        <v>241.18</v>
      </c>
      <c r="T5334" s="18">
        <v>197.69</v>
      </c>
      <c r="U5334" s="16"/>
      <c r="V5334" s="16"/>
      <c r="W5334" s="16"/>
      <c r="X5334" s="19">
        <v>0.126</v>
      </c>
      <c r="Y5334" s="20">
        <v>4.2200000000000001E-4</v>
      </c>
      <c r="Z5334" s="21">
        <v>4601004060906</v>
      </c>
    </row>
    <row r="5335" spans="1:26" ht="12" customHeight="1" outlineLevel="4" x14ac:dyDescent="0.2">
      <c r="A5335" s="14" t="s">
        <v>10322</v>
      </c>
      <c r="B5335" s="26" t="s">
        <v>10323</v>
      </c>
      <c r="C5335" s="52"/>
      <c r="D5335" s="55">
        <f t="shared" si="83"/>
        <v>0</v>
      </c>
      <c r="E5335" s="63" t="str">
        <f>HYPERLINK("https://www.sds-group.ru/product/payalnik-s-plastikovoy-ruchkoy-seriya-epsn-80vt-230v-paket-rexant-12-0280-1/", "Инфо")</f>
        <v>Инфо</v>
      </c>
      <c r="F5335" s="16" t="s">
        <v>39</v>
      </c>
      <c r="G5335" s="15"/>
      <c r="H5335" s="15"/>
      <c r="I5335" s="15"/>
      <c r="J5335" s="22">
        <v>6481</v>
      </c>
      <c r="K5335" s="15" t="s">
        <v>1590</v>
      </c>
      <c r="L5335" s="17">
        <v>1</v>
      </c>
      <c r="M5335" s="17">
        <v>100</v>
      </c>
      <c r="N5335" s="17">
        <v>1</v>
      </c>
      <c r="O5335" s="18">
        <v>458.81</v>
      </c>
      <c r="P5335" s="18">
        <v>376.07</v>
      </c>
      <c r="Q5335" s="18">
        <v>321.17</v>
      </c>
      <c r="R5335" s="18">
        <v>263.25</v>
      </c>
      <c r="S5335" s="18">
        <v>311.99</v>
      </c>
      <c r="T5335" s="18">
        <v>255.73</v>
      </c>
      <c r="U5335" s="16"/>
      <c r="V5335" s="16"/>
      <c r="W5335" s="16"/>
      <c r="X5335" s="19">
        <v>0.154</v>
      </c>
      <c r="Y5335" s="20">
        <v>4.0099999999999999E-4</v>
      </c>
      <c r="Z5335" s="21">
        <v>4601004052499</v>
      </c>
    </row>
    <row r="5336" spans="1:26" ht="12.95" customHeight="1" outlineLevel="3" x14ac:dyDescent="0.2">
      <c r="A5336" s="76" t="s">
        <v>10324</v>
      </c>
      <c r="B5336" s="76"/>
      <c r="C5336" s="77"/>
      <c r="D5336" s="58"/>
      <c r="E5336" s="68"/>
      <c r="F5336" s="13"/>
      <c r="G5336" s="13"/>
      <c r="H5336" s="13"/>
      <c r="I5336" s="13"/>
      <c r="J5336" s="13"/>
      <c r="K5336" s="13"/>
      <c r="L5336" s="13"/>
      <c r="M5336" s="13"/>
      <c r="N5336" s="13"/>
      <c r="O5336" s="13"/>
      <c r="P5336" s="13"/>
      <c r="Q5336" s="13"/>
      <c r="R5336" s="13"/>
      <c r="S5336" s="13"/>
      <c r="T5336" s="13"/>
      <c r="U5336" s="13"/>
      <c r="V5336" s="13"/>
      <c r="W5336" s="13"/>
      <c r="X5336" s="13"/>
      <c r="Y5336" s="13"/>
      <c r="Z5336" s="13"/>
    </row>
    <row r="5337" spans="1:26" ht="12" customHeight="1" outlineLevel="4" x14ac:dyDescent="0.2">
      <c r="A5337" s="14" t="s">
        <v>10325</v>
      </c>
      <c r="B5337" s="26" t="s">
        <v>10326</v>
      </c>
      <c r="C5337" s="52"/>
      <c r="D5337" s="55">
        <f t="shared" si="83"/>
        <v>0</v>
      </c>
      <c r="E5337" s="63" t="str">
        <f>HYPERLINK("https://www.sds-group.ru/product/payalnik-s-keram-nagrevatelem-seriya-epsn-25vt-230v-blister-rexant-12-0425/", "Инфо")</f>
        <v>Инфо</v>
      </c>
      <c r="F5337" s="16" t="s">
        <v>39</v>
      </c>
      <c r="G5337" s="15"/>
      <c r="H5337" s="15"/>
      <c r="I5337" s="15"/>
      <c r="J5337" s="17">
        <v>809</v>
      </c>
      <c r="K5337" s="15"/>
      <c r="L5337" s="17">
        <v>1</v>
      </c>
      <c r="M5337" s="17">
        <v>100</v>
      </c>
      <c r="N5337" s="17">
        <v>1</v>
      </c>
      <c r="O5337" s="18">
        <v>1001.48</v>
      </c>
      <c r="P5337" s="18">
        <v>820.89</v>
      </c>
      <c r="Q5337" s="18">
        <v>701.04</v>
      </c>
      <c r="R5337" s="18">
        <v>574.62</v>
      </c>
      <c r="S5337" s="18">
        <v>681.01</v>
      </c>
      <c r="T5337" s="18">
        <v>558.20000000000005</v>
      </c>
      <c r="U5337" s="16"/>
      <c r="V5337" s="16"/>
      <c r="W5337" s="16"/>
      <c r="X5337" s="19">
        <v>0.11799999999999999</v>
      </c>
      <c r="Y5337" s="20">
        <v>6.5200000000000002E-4</v>
      </c>
      <c r="Z5337" s="21">
        <v>4601004061651</v>
      </c>
    </row>
    <row r="5338" spans="1:26" ht="12" customHeight="1" outlineLevel="4" x14ac:dyDescent="0.2">
      <c r="A5338" s="14" t="s">
        <v>10327</v>
      </c>
      <c r="B5338" s="26" t="s">
        <v>10328</v>
      </c>
      <c r="C5338" s="52"/>
      <c r="D5338" s="55">
        <f t="shared" si="83"/>
        <v>0</v>
      </c>
      <c r="E5338" s="63" t="str">
        <f>HYPERLINK("https://www.sds-group.ru/product/payalnik-s-keram-nagrevatelem-seriya-epsn-40vt-230v-blister-rexant-12-0440/", "Инфо")</f>
        <v>Инфо</v>
      </c>
      <c r="F5338" s="16" t="s">
        <v>39</v>
      </c>
      <c r="G5338" s="15"/>
      <c r="H5338" s="15"/>
      <c r="I5338" s="15"/>
      <c r="J5338" s="17">
        <v>274</v>
      </c>
      <c r="K5338" s="15"/>
      <c r="L5338" s="17">
        <v>1</v>
      </c>
      <c r="M5338" s="17">
        <v>100</v>
      </c>
      <c r="N5338" s="17">
        <v>1</v>
      </c>
      <c r="O5338" s="18">
        <v>1324.88</v>
      </c>
      <c r="P5338" s="18">
        <v>1085.97</v>
      </c>
      <c r="Q5338" s="18">
        <v>927.42</v>
      </c>
      <c r="R5338" s="18">
        <v>760.18</v>
      </c>
      <c r="S5338" s="18">
        <v>900.92</v>
      </c>
      <c r="T5338" s="18">
        <v>738.46</v>
      </c>
      <c r="U5338" s="16"/>
      <c r="V5338" s="16"/>
      <c r="W5338" s="16"/>
      <c r="X5338" s="19">
        <v>0.11600000000000001</v>
      </c>
      <c r="Y5338" s="20">
        <v>6.5799999999999995E-4</v>
      </c>
      <c r="Z5338" s="21">
        <v>4601004052482</v>
      </c>
    </row>
    <row r="5339" spans="1:26" ht="12" customHeight="1" outlineLevel="4" x14ac:dyDescent="0.2">
      <c r="A5339" s="14" t="s">
        <v>10329</v>
      </c>
      <c r="B5339" s="26" t="s">
        <v>10330</v>
      </c>
      <c r="C5339" s="52"/>
      <c r="D5339" s="55">
        <f t="shared" si="83"/>
        <v>0</v>
      </c>
      <c r="E5339" s="63" t="str">
        <f>HYPERLINK("https://www.sds-group.ru/product/payalnik-s-keram-nagrevatelem-seriya-epsn-65vt-230v-blister-rexant-12-0465/", "Инфо")</f>
        <v>Инфо</v>
      </c>
      <c r="F5339" s="16" t="s">
        <v>39</v>
      </c>
      <c r="G5339" s="15"/>
      <c r="H5339" s="15"/>
      <c r="I5339" s="15"/>
      <c r="J5339" s="17">
        <v>260</v>
      </c>
      <c r="K5339" s="15"/>
      <c r="L5339" s="17">
        <v>1</v>
      </c>
      <c r="M5339" s="17">
        <v>100</v>
      </c>
      <c r="N5339" s="17">
        <v>1</v>
      </c>
      <c r="O5339" s="18">
        <v>1626.73</v>
      </c>
      <c r="P5339" s="18">
        <v>1333.39</v>
      </c>
      <c r="Q5339" s="18">
        <v>1138.71</v>
      </c>
      <c r="R5339" s="18">
        <v>933.37</v>
      </c>
      <c r="S5339" s="18">
        <v>1106.18</v>
      </c>
      <c r="T5339" s="18">
        <v>906.7</v>
      </c>
      <c r="U5339" s="16"/>
      <c r="V5339" s="16"/>
      <c r="W5339" s="16"/>
      <c r="X5339" s="19">
        <v>0.182</v>
      </c>
      <c r="Y5339" s="20">
        <v>6.3000000000000003E-4</v>
      </c>
      <c r="Z5339" s="21">
        <v>4601004061675</v>
      </c>
    </row>
    <row r="5340" spans="1:26" ht="12.95" customHeight="1" outlineLevel="2" x14ac:dyDescent="0.2">
      <c r="A5340" s="76" t="s">
        <v>10331</v>
      </c>
      <c r="B5340" s="76"/>
      <c r="C5340" s="77"/>
      <c r="D5340" s="58"/>
      <c r="E5340" s="68"/>
      <c r="F5340" s="13"/>
      <c r="G5340" s="13"/>
      <c r="H5340" s="13"/>
      <c r="I5340" s="13"/>
      <c r="J5340" s="13"/>
      <c r="K5340" s="13"/>
      <c r="L5340" s="13"/>
      <c r="M5340" s="13"/>
      <c r="N5340" s="13"/>
      <c r="O5340" s="13"/>
      <c r="P5340" s="13"/>
      <c r="Q5340" s="13"/>
      <c r="R5340" s="13"/>
      <c r="S5340" s="13"/>
      <c r="T5340" s="13"/>
      <c r="U5340" s="13"/>
      <c r="V5340" s="13"/>
      <c r="W5340" s="13"/>
      <c r="X5340" s="13"/>
      <c r="Y5340" s="13"/>
      <c r="Z5340" s="13"/>
    </row>
    <row r="5341" spans="1:26" ht="12" customHeight="1" outlineLevel="3" x14ac:dyDescent="0.2">
      <c r="A5341" s="14" t="s">
        <v>10332</v>
      </c>
      <c r="B5341" s="26" t="s">
        <v>10333</v>
      </c>
      <c r="C5341" s="52"/>
      <c r="D5341" s="55">
        <f t="shared" si="83"/>
        <v>0</v>
      </c>
      <c r="E5341" s="63" t="str">
        <f>HYPERLINK("https://www.sds-group.ru/product/derzhatel-dlya-plat-zahvat-do-200h140mm-rexant-12-0256/", "Инфо")</f>
        <v>Инфо</v>
      </c>
      <c r="F5341" s="16" t="s">
        <v>39</v>
      </c>
      <c r="G5341" s="15"/>
      <c r="H5341" s="15"/>
      <c r="I5341" s="15"/>
      <c r="J5341" s="22">
        <v>2755</v>
      </c>
      <c r="K5341" s="15" t="s">
        <v>1590</v>
      </c>
      <c r="L5341" s="17">
        <v>1</v>
      </c>
      <c r="M5341" s="17">
        <v>20</v>
      </c>
      <c r="N5341" s="17">
        <v>1</v>
      </c>
      <c r="O5341" s="18">
        <v>1033.82</v>
      </c>
      <c r="P5341" s="18">
        <v>847.39</v>
      </c>
      <c r="Q5341" s="18">
        <v>723.67</v>
      </c>
      <c r="R5341" s="18">
        <v>593.16999999999996</v>
      </c>
      <c r="S5341" s="18">
        <v>703</v>
      </c>
      <c r="T5341" s="18">
        <v>576.23</v>
      </c>
      <c r="U5341" s="16"/>
      <c r="V5341" s="16"/>
      <c r="W5341" s="16"/>
      <c r="X5341" s="19">
        <v>0.66100000000000003</v>
      </c>
      <c r="Y5341" s="20">
        <v>2.1700000000000001E-3</v>
      </c>
      <c r="Z5341" s="21">
        <v>4601004021013</v>
      </c>
    </row>
    <row r="5342" spans="1:26" ht="12" customHeight="1" outlineLevel="3" x14ac:dyDescent="0.2">
      <c r="A5342" s="14" t="s">
        <v>10334</v>
      </c>
      <c r="B5342" s="26" t="s">
        <v>10335</v>
      </c>
      <c r="C5342" s="52"/>
      <c r="D5342" s="55">
        <f t="shared" si="83"/>
        <v>0</v>
      </c>
      <c r="E5342" s="63" t="str">
        <f>HYPERLINK("https://www.sds-group.ru/product/derzhatel-tretya-ruka-2-zazhima-lupa-60mm-2-5h-osnovanie-chugun-rexant-12-0251-4/", "Инфо")</f>
        <v>Инфо</v>
      </c>
      <c r="F5342" s="16" t="s">
        <v>39</v>
      </c>
      <c r="G5342" s="15"/>
      <c r="H5342" s="15"/>
      <c r="I5342" s="15"/>
      <c r="J5342" s="22">
        <v>2008</v>
      </c>
      <c r="K5342" s="15" t="s">
        <v>1277</v>
      </c>
      <c r="L5342" s="17">
        <v>1</v>
      </c>
      <c r="M5342" s="17">
        <v>20</v>
      </c>
      <c r="N5342" s="17">
        <v>1</v>
      </c>
      <c r="O5342" s="18">
        <v>721.19</v>
      </c>
      <c r="P5342" s="18">
        <v>591.14</v>
      </c>
      <c r="Q5342" s="18">
        <v>504.83</v>
      </c>
      <c r="R5342" s="18">
        <v>413.8</v>
      </c>
      <c r="S5342" s="18">
        <v>490.41</v>
      </c>
      <c r="T5342" s="18">
        <v>401.98</v>
      </c>
      <c r="U5342" s="16"/>
      <c r="V5342" s="16"/>
      <c r="W5342" s="16"/>
      <c r="X5342" s="19">
        <v>0.44500000000000001</v>
      </c>
      <c r="Y5342" s="20">
        <v>1.769E-3</v>
      </c>
      <c r="Z5342" s="21">
        <v>4660008013073</v>
      </c>
    </row>
    <row r="5343" spans="1:26" ht="12" customHeight="1" outlineLevel="3" x14ac:dyDescent="0.2">
      <c r="A5343" s="14" t="s">
        <v>10336</v>
      </c>
      <c r="B5343" s="26" t="s">
        <v>10337</v>
      </c>
      <c r="C5343" s="52"/>
      <c r="D5343" s="55">
        <f t="shared" si="83"/>
        <v>0</v>
      </c>
      <c r="E5343" s="63" t="str">
        <f>HYPERLINK("https://www.sds-group.ru/product/derzhatel-tretya-ruka-2-zazhima-lupa-60mm-2-5h-podstavka-payalnika-nisha-gubka-chugun-rexant-12-0252/", "Инфо")</f>
        <v>Инфо</v>
      </c>
      <c r="F5343" s="16" t="s">
        <v>39</v>
      </c>
      <c r="G5343" s="15"/>
      <c r="H5343" s="15"/>
      <c r="I5343" s="15"/>
      <c r="J5343" s="17">
        <v>86</v>
      </c>
      <c r="K5343" s="15" t="s">
        <v>1277</v>
      </c>
      <c r="L5343" s="17">
        <v>1</v>
      </c>
      <c r="M5343" s="17">
        <v>20</v>
      </c>
      <c r="N5343" s="17">
        <v>1</v>
      </c>
      <c r="O5343" s="18">
        <v>1646.81</v>
      </c>
      <c r="P5343" s="18">
        <v>1349.84</v>
      </c>
      <c r="Q5343" s="18">
        <v>1399.79</v>
      </c>
      <c r="R5343" s="18">
        <v>1147.3699999999999</v>
      </c>
      <c r="S5343" s="18">
        <v>1119.83</v>
      </c>
      <c r="T5343" s="18">
        <v>917.89</v>
      </c>
      <c r="U5343" s="16"/>
      <c r="V5343" s="16"/>
      <c r="W5343" s="16" t="s">
        <v>40</v>
      </c>
      <c r="X5343" s="19">
        <v>0.55300000000000005</v>
      </c>
      <c r="Y5343" s="20">
        <v>2.2390000000000001E-3</v>
      </c>
      <c r="Z5343" s="21">
        <v>4610003603922</v>
      </c>
    </row>
    <row r="5344" spans="1:26" ht="12" customHeight="1" outlineLevel="3" x14ac:dyDescent="0.2">
      <c r="A5344" s="14" t="s">
        <v>10338</v>
      </c>
      <c r="B5344" s="26" t="s">
        <v>10339</v>
      </c>
      <c r="C5344" s="52"/>
      <c r="D5344" s="55">
        <f t="shared" si="83"/>
        <v>0</v>
      </c>
      <c r="E5344" s="63" t="str">
        <f>HYPERLINK("https://www.sds-group.ru/product/derzhatel-tretya-ruka-2-zazhima-lupa-60mm-3h-osnovanie-chugun-rexant-12-0251/", "Инфо")</f>
        <v>Инфо</v>
      </c>
      <c r="F5344" s="16" t="s">
        <v>39</v>
      </c>
      <c r="G5344" s="15"/>
      <c r="H5344" s="15"/>
      <c r="I5344" s="15"/>
      <c r="J5344" s="22">
        <v>7013</v>
      </c>
      <c r="K5344" s="15" t="s">
        <v>1277</v>
      </c>
      <c r="L5344" s="17">
        <v>1</v>
      </c>
      <c r="M5344" s="17">
        <v>20</v>
      </c>
      <c r="N5344" s="17">
        <v>1</v>
      </c>
      <c r="O5344" s="18">
        <v>721.19</v>
      </c>
      <c r="P5344" s="18">
        <v>591.14</v>
      </c>
      <c r="Q5344" s="18">
        <v>504.83</v>
      </c>
      <c r="R5344" s="18">
        <v>413.8</v>
      </c>
      <c r="S5344" s="18">
        <v>490.41</v>
      </c>
      <c r="T5344" s="18">
        <v>401.98</v>
      </c>
      <c r="U5344" s="16"/>
      <c r="V5344" s="16"/>
      <c r="W5344" s="16"/>
      <c r="X5344" s="19">
        <v>0.45</v>
      </c>
      <c r="Y5344" s="20">
        <v>1.683E-3</v>
      </c>
      <c r="Z5344" s="21">
        <v>4610003603939</v>
      </c>
    </row>
    <row r="5345" spans="1:26" ht="12" customHeight="1" outlineLevel="3" x14ac:dyDescent="0.2">
      <c r="A5345" s="14" t="s">
        <v>10340</v>
      </c>
      <c r="B5345" s="26" t="s">
        <v>10341</v>
      </c>
      <c r="C5345" s="52"/>
      <c r="D5345" s="55">
        <f t="shared" si="83"/>
        <v>0</v>
      </c>
      <c r="E5345" s="63" t="str">
        <f>HYPERLINK("https://www.sds-group.ru/product/derzhatel-tretya-ruka-2-zazhima-lupa-85mm-2-5h-podstavka-payalnika-led-podsvetka-chugun-rexa-12-0253/", "Инфо")</f>
        <v>Инфо</v>
      </c>
      <c r="F5345" s="16" t="s">
        <v>39</v>
      </c>
      <c r="G5345" s="15"/>
      <c r="H5345" s="15"/>
      <c r="I5345" s="15"/>
      <c r="J5345" s="17">
        <v>211</v>
      </c>
      <c r="K5345" s="15"/>
      <c r="L5345" s="17">
        <v>1</v>
      </c>
      <c r="M5345" s="17">
        <v>20</v>
      </c>
      <c r="N5345" s="17">
        <v>1</v>
      </c>
      <c r="O5345" s="18">
        <v>1619.29</v>
      </c>
      <c r="P5345" s="18">
        <v>1327.29</v>
      </c>
      <c r="Q5345" s="18">
        <v>1133.5</v>
      </c>
      <c r="R5345" s="18">
        <v>929.1</v>
      </c>
      <c r="S5345" s="18">
        <v>1101.1199999999999</v>
      </c>
      <c r="T5345" s="18">
        <v>902.56</v>
      </c>
      <c r="U5345" s="16"/>
      <c r="V5345" s="16"/>
      <c r="W5345" s="16"/>
      <c r="X5345" s="19">
        <v>0.92300000000000004</v>
      </c>
      <c r="Y5345" s="20">
        <v>3.7910000000000001E-3</v>
      </c>
      <c r="Z5345" s="21">
        <v>4610003608880</v>
      </c>
    </row>
    <row r="5346" spans="1:26" ht="12" customHeight="1" outlineLevel="3" x14ac:dyDescent="0.2">
      <c r="A5346" s="14" t="s">
        <v>10342</v>
      </c>
      <c r="B5346" s="26" t="s">
        <v>10343</v>
      </c>
      <c r="C5346" s="52"/>
      <c r="D5346" s="55">
        <f t="shared" si="83"/>
        <v>0</v>
      </c>
      <c r="E5346" s="63" t="str">
        <f>HYPERLINK("https://www.sds-group.ru/product/derzhatel-tretya-ruka-2-zazhima-lupa-90mm-2-5h-2h34mm-podstavka-payalnika-led-podsvetka-rexa-12-0250/", "Инфо")</f>
        <v>Инфо</v>
      </c>
      <c r="F5346" s="16" t="s">
        <v>39</v>
      </c>
      <c r="G5346" s="15"/>
      <c r="H5346" s="15"/>
      <c r="I5346" s="15"/>
      <c r="J5346" s="22">
        <v>2892</v>
      </c>
      <c r="K5346" s="15" t="s">
        <v>1277</v>
      </c>
      <c r="L5346" s="17">
        <v>1</v>
      </c>
      <c r="M5346" s="17">
        <v>24</v>
      </c>
      <c r="N5346" s="17">
        <v>1</v>
      </c>
      <c r="O5346" s="18">
        <v>1648.29</v>
      </c>
      <c r="P5346" s="18">
        <v>1351.06</v>
      </c>
      <c r="Q5346" s="18">
        <v>1153.8</v>
      </c>
      <c r="R5346" s="18">
        <v>945.74</v>
      </c>
      <c r="S5346" s="18">
        <v>1120.8399999999999</v>
      </c>
      <c r="T5346" s="18">
        <v>918.72</v>
      </c>
      <c r="U5346" s="16"/>
      <c r="V5346" s="16"/>
      <c r="W5346" s="16"/>
      <c r="X5346" s="19">
        <v>0.68700000000000006</v>
      </c>
      <c r="Y5346" s="20">
        <v>2.4260000000000002E-3</v>
      </c>
      <c r="Z5346" s="21">
        <v>4601004020979</v>
      </c>
    </row>
    <row r="5347" spans="1:26" ht="12" customHeight="1" outlineLevel="3" x14ac:dyDescent="0.2">
      <c r="A5347" s="14" t="s">
        <v>10344</v>
      </c>
      <c r="B5347" s="26" t="s">
        <v>10345</v>
      </c>
      <c r="C5347" s="52"/>
      <c r="D5347" s="55">
        <f t="shared" si="83"/>
        <v>0</v>
      </c>
      <c r="E5347" s="63" t="str">
        <f>HYPERLINK("https://www.sds-group.ru/product/derzhatel-tretya-ruka-2-zazhima-lupa-90mm-3h-chugun-rexant-12-0254/", "Инфо")</f>
        <v>Инфо</v>
      </c>
      <c r="F5347" s="16" t="s">
        <v>39</v>
      </c>
      <c r="G5347" s="15"/>
      <c r="H5347" s="15"/>
      <c r="I5347" s="15"/>
      <c r="J5347" s="17">
        <v>531</v>
      </c>
      <c r="K5347" s="15" t="s">
        <v>1131</v>
      </c>
      <c r="L5347" s="17">
        <v>1</v>
      </c>
      <c r="M5347" s="17">
        <v>20</v>
      </c>
      <c r="N5347" s="17">
        <v>1</v>
      </c>
      <c r="O5347" s="18">
        <v>1400.34</v>
      </c>
      <c r="P5347" s="18">
        <v>1147.82</v>
      </c>
      <c r="Q5347" s="18">
        <v>1106.27</v>
      </c>
      <c r="R5347" s="18">
        <v>906.78</v>
      </c>
      <c r="S5347" s="18">
        <v>952.23</v>
      </c>
      <c r="T5347" s="18">
        <v>780.52</v>
      </c>
      <c r="U5347" s="16"/>
      <c r="V5347" s="16"/>
      <c r="W5347" s="16" t="s">
        <v>40</v>
      </c>
      <c r="X5347" s="19">
        <v>0.78400000000000003</v>
      </c>
      <c r="Y5347" s="20">
        <v>1.3829999999999999E-3</v>
      </c>
      <c r="Z5347" s="21">
        <v>4660008013523</v>
      </c>
    </row>
    <row r="5348" spans="1:26" ht="12" customHeight="1" outlineLevel="3" x14ac:dyDescent="0.2">
      <c r="A5348" s="14" t="s">
        <v>10346</v>
      </c>
      <c r="B5348" s="26" t="s">
        <v>10347</v>
      </c>
      <c r="C5348" s="52"/>
      <c r="D5348" s="55">
        <f t="shared" si="83"/>
        <v>0</v>
      </c>
      <c r="E5348" s="63" t="str">
        <f>HYPERLINK("https://www.sds-group.ru/product/derzhatel-tretya-ruka-master-3-zazhima-lupa-90mm-3h-podstavka-payalnika-stend-pripoya-led-po-12-0258/", "Инфо")</f>
        <v>Инфо</v>
      </c>
      <c r="F5348" s="16" t="s">
        <v>39</v>
      </c>
      <c r="G5348" s="15"/>
      <c r="H5348" s="15"/>
      <c r="I5348" s="15"/>
      <c r="J5348" s="17">
        <v>321</v>
      </c>
      <c r="K5348" s="15" t="s">
        <v>1277</v>
      </c>
      <c r="L5348" s="17">
        <v>1</v>
      </c>
      <c r="M5348" s="17">
        <v>4</v>
      </c>
      <c r="N5348" s="17">
        <v>1</v>
      </c>
      <c r="O5348" s="18">
        <v>3556.38</v>
      </c>
      <c r="P5348" s="18">
        <v>2915.07</v>
      </c>
      <c r="Q5348" s="18">
        <v>2596.16</v>
      </c>
      <c r="R5348" s="18">
        <v>2128</v>
      </c>
      <c r="S5348" s="18">
        <v>2418.34</v>
      </c>
      <c r="T5348" s="18">
        <v>1982.25</v>
      </c>
      <c r="U5348" s="16"/>
      <c r="V5348" s="16"/>
      <c r="W5348" s="16" t="s">
        <v>40</v>
      </c>
      <c r="X5348" s="19">
        <v>1.57</v>
      </c>
      <c r="Y5348" s="20">
        <v>1.1675E-2</v>
      </c>
      <c r="Z5348" s="21">
        <v>4601004027404</v>
      </c>
    </row>
    <row r="5349" spans="1:26" ht="12" customHeight="1" outlineLevel="3" x14ac:dyDescent="0.2">
      <c r="A5349" s="14" t="s">
        <v>10348</v>
      </c>
      <c r="B5349" s="26" t="s">
        <v>10349</v>
      </c>
      <c r="C5349" s="52"/>
      <c r="D5349" s="55">
        <f t="shared" si="83"/>
        <v>0</v>
      </c>
      <c r="E5349" s="63" t="str">
        <f>HYPERLINK("https://www.sds-group.ru/product/podstavka-dlya-payalnika-derzhatel-pripoya-nisha-gubka-metall-rexant-12-0316/", "Инфо")</f>
        <v>Инфо</v>
      </c>
      <c r="F5349" s="16" t="s">
        <v>39</v>
      </c>
      <c r="G5349" s="15"/>
      <c r="H5349" s="15"/>
      <c r="I5349" s="15"/>
      <c r="J5349" s="17">
        <v>54</v>
      </c>
      <c r="K5349" s="15" t="s">
        <v>1277</v>
      </c>
      <c r="L5349" s="17">
        <v>1</v>
      </c>
      <c r="M5349" s="17">
        <v>20</v>
      </c>
      <c r="N5349" s="17">
        <v>1</v>
      </c>
      <c r="O5349" s="18">
        <v>1324.88</v>
      </c>
      <c r="P5349" s="18">
        <v>1085.97</v>
      </c>
      <c r="Q5349" s="18">
        <v>1046.6600000000001</v>
      </c>
      <c r="R5349" s="18">
        <v>857.92</v>
      </c>
      <c r="S5349" s="18">
        <v>900.92</v>
      </c>
      <c r="T5349" s="18">
        <v>738.46</v>
      </c>
      <c r="U5349" s="16"/>
      <c r="V5349" s="16"/>
      <c r="W5349" s="16" t="s">
        <v>40</v>
      </c>
      <c r="X5349" s="19">
        <v>0.50700000000000001</v>
      </c>
      <c r="Y5349" s="20">
        <v>9.9200000000000004E-4</v>
      </c>
      <c r="Z5349" s="21">
        <v>4601004027411</v>
      </c>
    </row>
    <row r="5350" spans="1:26" ht="12" customHeight="1" outlineLevel="3" x14ac:dyDescent="0.2">
      <c r="A5350" s="14" t="s">
        <v>10350</v>
      </c>
      <c r="B5350" s="26" t="s">
        <v>10351</v>
      </c>
      <c r="C5350" s="52"/>
      <c r="D5350" s="55">
        <f t="shared" si="83"/>
        <v>0</v>
      </c>
      <c r="E5350" s="63" t="str">
        <f>HYPERLINK("https://www.sds-group.ru/product/podstavka-dlya-payalnika-kruglaya-42mm-seriya-mini-karbolit-rexant-12-0307/", "Инфо")</f>
        <v>Инфо</v>
      </c>
      <c r="F5350" s="16" t="s">
        <v>39</v>
      </c>
      <c r="G5350" s="15"/>
      <c r="H5350" s="15"/>
      <c r="I5350" s="15"/>
      <c r="J5350" s="17">
        <v>144</v>
      </c>
      <c r="K5350" s="15" t="s">
        <v>979</v>
      </c>
      <c r="L5350" s="17">
        <v>10</v>
      </c>
      <c r="M5350" s="17">
        <v>500</v>
      </c>
      <c r="N5350" s="17">
        <v>10</v>
      </c>
      <c r="O5350" s="18">
        <v>89.79</v>
      </c>
      <c r="P5350" s="18">
        <v>73.599999999999994</v>
      </c>
      <c r="Q5350" s="18">
        <v>76.319999999999993</v>
      </c>
      <c r="R5350" s="18">
        <v>62.56</v>
      </c>
      <c r="S5350" s="18">
        <v>61.06</v>
      </c>
      <c r="T5350" s="18">
        <v>50.05</v>
      </c>
      <c r="U5350" s="16"/>
      <c r="V5350" s="16"/>
      <c r="W5350" s="16" t="s">
        <v>40</v>
      </c>
      <c r="X5350" s="19">
        <v>7.0000000000000001E-3</v>
      </c>
      <c r="Y5350" s="20">
        <v>2.4000000000000001E-5</v>
      </c>
      <c r="Z5350" s="21">
        <v>4660008013080</v>
      </c>
    </row>
    <row r="5351" spans="1:26" ht="12" customHeight="1" outlineLevel="3" x14ac:dyDescent="0.2">
      <c r="A5351" s="14" t="s">
        <v>10352</v>
      </c>
      <c r="B5351" s="26" t="s">
        <v>10353</v>
      </c>
      <c r="C5351" s="52"/>
      <c r="D5351" s="55">
        <f t="shared" si="83"/>
        <v>0</v>
      </c>
      <c r="E5351" s="63" t="str">
        <f>HYPERLINK("https://www.sds-group.ru/product/podstavka-dlya-payalnika-listovaya-seriya-mini-metall-rexant-12-0304/", "Инфо")</f>
        <v>Инфо</v>
      </c>
      <c r="F5351" s="16" t="s">
        <v>39</v>
      </c>
      <c r="G5351" s="15"/>
      <c r="H5351" s="15"/>
      <c r="I5351" s="15"/>
      <c r="J5351" s="22">
        <v>1365</v>
      </c>
      <c r="K5351" s="15" t="s">
        <v>979</v>
      </c>
      <c r="L5351" s="17">
        <v>10</v>
      </c>
      <c r="M5351" s="17">
        <v>800</v>
      </c>
      <c r="N5351" s="17">
        <v>10</v>
      </c>
      <c r="O5351" s="18">
        <v>62.53</v>
      </c>
      <c r="P5351" s="18">
        <v>51.25</v>
      </c>
      <c r="Q5351" s="18">
        <v>43.77</v>
      </c>
      <c r="R5351" s="18">
        <v>35.880000000000003</v>
      </c>
      <c r="S5351" s="18">
        <v>42.52</v>
      </c>
      <c r="T5351" s="18">
        <v>34.85</v>
      </c>
      <c r="U5351" s="16"/>
      <c r="V5351" s="16"/>
      <c r="W5351" s="16"/>
      <c r="X5351" s="19">
        <v>1.4E-2</v>
      </c>
      <c r="Y5351" s="20">
        <v>1.2999999999999999E-5</v>
      </c>
      <c r="Z5351" s="21">
        <v>4601004199620</v>
      </c>
    </row>
    <row r="5352" spans="1:26" ht="12" customHeight="1" outlineLevel="3" x14ac:dyDescent="0.2">
      <c r="A5352" s="14" t="s">
        <v>10354</v>
      </c>
      <c r="B5352" s="26" t="s">
        <v>10355</v>
      </c>
      <c r="C5352" s="52"/>
      <c r="D5352" s="55">
        <f t="shared" si="83"/>
        <v>0</v>
      </c>
      <c r="E5352" s="63" t="str">
        <f>HYPERLINK("https://www.sds-group.ru/product/podstavka-dlya-payalnika-nisha-kvadratnaya-gubka-metall-rexant-12-0306/", "Инфо")</f>
        <v>Инфо</v>
      </c>
      <c r="F5352" s="16" t="s">
        <v>39</v>
      </c>
      <c r="G5352" s="15"/>
      <c r="H5352" s="15"/>
      <c r="I5352" s="15"/>
      <c r="J5352" s="22">
        <v>1421</v>
      </c>
      <c r="K5352" s="15" t="s">
        <v>1277</v>
      </c>
      <c r="L5352" s="17">
        <v>5</v>
      </c>
      <c r="M5352" s="17">
        <v>40</v>
      </c>
      <c r="N5352" s="17">
        <v>5</v>
      </c>
      <c r="O5352" s="18">
        <v>343.89</v>
      </c>
      <c r="P5352" s="18">
        <v>281.88</v>
      </c>
      <c r="Q5352" s="18">
        <v>240.72</v>
      </c>
      <c r="R5352" s="18">
        <v>197.31</v>
      </c>
      <c r="S5352" s="18">
        <v>233.85</v>
      </c>
      <c r="T5352" s="18">
        <v>191.68</v>
      </c>
      <c r="U5352" s="16"/>
      <c r="V5352" s="16"/>
      <c r="W5352" s="16"/>
      <c r="X5352" s="19">
        <v>0.247</v>
      </c>
      <c r="Y5352" s="20">
        <v>1.5839999999999999E-3</v>
      </c>
      <c r="Z5352" s="21">
        <v>4610003608897</v>
      </c>
    </row>
    <row r="5353" spans="1:26" ht="12" customHeight="1" outlineLevel="3" x14ac:dyDescent="0.2">
      <c r="A5353" s="14" t="s">
        <v>10356</v>
      </c>
      <c r="B5353" s="26" t="s">
        <v>10357</v>
      </c>
      <c r="C5353" s="52"/>
      <c r="D5353" s="55">
        <f t="shared" si="83"/>
        <v>0</v>
      </c>
      <c r="E5353" s="63" t="str">
        <f>HYPERLINK("https://www.sds-group.ru/product/podstavka-dlya-payalnika-nisha-kvadratnaya-gubka-chugun-rexant-12-0308/", "Инфо")</f>
        <v>Инфо</v>
      </c>
      <c r="F5353" s="16" t="s">
        <v>39</v>
      </c>
      <c r="G5353" s="15"/>
      <c r="H5353" s="15"/>
      <c r="I5353" s="15"/>
      <c r="J5353" s="17">
        <v>178</v>
      </c>
      <c r="K5353" s="15" t="s">
        <v>1277</v>
      </c>
      <c r="L5353" s="17">
        <v>1</v>
      </c>
      <c r="M5353" s="17">
        <v>20</v>
      </c>
      <c r="N5353" s="17">
        <v>1</v>
      </c>
      <c r="O5353" s="18">
        <v>861.33</v>
      </c>
      <c r="P5353" s="18">
        <v>706.01</v>
      </c>
      <c r="Q5353" s="18">
        <v>689.06</v>
      </c>
      <c r="R5353" s="18">
        <v>564.79999999999995</v>
      </c>
      <c r="S5353" s="18">
        <v>585.70000000000005</v>
      </c>
      <c r="T5353" s="18">
        <v>480.08</v>
      </c>
      <c r="U5353" s="16"/>
      <c r="V5353" s="16"/>
      <c r="W5353" s="16" t="s">
        <v>40</v>
      </c>
      <c r="X5353" s="19">
        <v>0.42799999999999999</v>
      </c>
      <c r="Y5353" s="20">
        <v>8.0599999999999997E-4</v>
      </c>
      <c r="Z5353" s="21">
        <v>4610003604301</v>
      </c>
    </row>
    <row r="5354" spans="1:26" ht="12" customHeight="1" outlineLevel="3" x14ac:dyDescent="0.2">
      <c r="A5354" s="14" t="s">
        <v>10358</v>
      </c>
      <c r="B5354" s="26" t="s">
        <v>10359</v>
      </c>
      <c r="C5354" s="52"/>
      <c r="D5354" s="55">
        <f t="shared" si="83"/>
        <v>0</v>
      </c>
      <c r="E5354" s="63" t="str">
        <f>HYPERLINK("https://www.sds-group.ru/product/podstavka-dlya-payalnika-struzhka-dlya-ochistki-zhala-metall-rexant-12-0309/", "Инфо")</f>
        <v>Инфо</v>
      </c>
      <c r="F5354" s="16" t="s">
        <v>39</v>
      </c>
      <c r="G5354" s="15"/>
      <c r="H5354" s="15"/>
      <c r="I5354" s="15"/>
      <c r="J5354" s="17">
        <v>357</v>
      </c>
      <c r="K5354" s="15"/>
      <c r="L5354" s="17">
        <v>1</v>
      </c>
      <c r="M5354" s="17">
        <v>20</v>
      </c>
      <c r="N5354" s="17">
        <v>1</v>
      </c>
      <c r="O5354" s="18">
        <v>1562.05</v>
      </c>
      <c r="P5354" s="18">
        <v>1280.3699999999999</v>
      </c>
      <c r="Q5354" s="18">
        <v>1234.02</v>
      </c>
      <c r="R5354" s="18">
        <v>1011.49</v>
      </c>
      <c r="S5354" s="18">
        <v>1062.19</v>
      </c>
      <c r="T5354" s="18">
        <v>870.65</v>
      </c>
      <c r="U5354" s="16"/>
      <c r="V5354" s="16"/>
      <c r="W5354" s="16" t="s">
        <v>40</v>
      </c>
      <c r="X5354" s="19">
        <v>0.374</v>
      </c>
      <c r="Y5354" s="20">
        <v>1.5E-3</v>
      </c>
      <c r="Z5354" s="21">
        <v>4601004020993</v>
      </c>
    </row>
    <row r="5355" spans="1:26" ht="12" customHeight="1" outlineLevel="3" x14ac:dyDescent="0.2">
      <c r="A5355" s="14" t="s">
        <v>10360</v>
      </c>
      <c r="B5355" s="26" t="s">
        <v>10361</v>
      </c>
      <c r="C5355" s="52"/>
      <c r="D5355" s="55">
        <f t="shared" si="83"/>
        <v>0</v>
      </c>
      <c r="E5355" s="63" t="str">
        <f>HYPERLINK("https://www.sds-group.ru/product/podstavka-pod-payalnik-nisha-kruglaya-gubka-chugun-rexant-12-0302/", "Инфо")</f>
        <v>Инфо</v>
      </c>
      <c r="F5355" s="16" t="s">
        <v>39</v>
      </c>
      <c r="G5355" s="15"/>
      <c r="H5355" s="15"/>
      <c r="I5355" s="15"/>
      <c r="J5355" s="17">
        <v>493</v>
      </c>
      <c r="K5355" s="15"/>
      <c r="L5355" s="17">
        <v>1</v>
      </c>
      <c r="M5355" s="17">
        <v>20</v>
      </c>
      <c r="N5355" s="17">
        <v>1</v>
      </c>
      <c r="O5355" s="18">
        <v>850.55</v>
      </c>
      <c r="P5355" s="18">
        <v>697.17</v>
      </c>
      <c r="Q5355" s="18">
        <v>748.48</v>
      </c>
      <c r="R5355" s="18">
        <v>613.51</v>
      </c>
      <c r="S5355" s="18">
        <v>578.37</v>
      </c>
      <c r="T5355" s="18">
        <v>474.07</v>
      </c>
      <c r="U5355" s="16"/>
      <c r="V5355" s="16"/>
      <c r="W5355" s="16" t="s">
        <v>40</v>
      </c>
      <c r="X5355" s="19">
        <v>0.40400000000000003</v>
      </c>
      <c r="Y5355" s="20">
        <v>7.8899999999999999E-4</v>
      </c>
      <c r="Z5355" s="21">
        <v>4610003604318</v>
      </c>
    </row>
    <row r="5356" spans="1:26" ht="12.95" customHeight="1" outlineLevel="2" x14ac:dyDescent="0.2">
      <c r="A5356" s="76" t="s">
        <v>10362</v>
      </c>
      <c r="B5356" s="76"/>
      <c r="C5356" s="77"/>
      <c r="D5356" s="58"/>
      <c r="E5356" s="68"/>
      <c r="F5356" s="13"/>
      <c r="G5356" s="13"/>
      <c r="H5356" s="13"/>
      <c r="I5356" s="13"/>
      <c r="J5356" s="13"/>
      <c r="K5356" s="13"/>
      <c r="L5356" s="13"/>
      <c r="M5356" s="13"/>
      <c r="N5356" s="13"/>
      <c r="O5356" s="13"/>
      <c r="P5356" s="13"/>
      <c r="Q5356" s="13"/>
      <c r="R5356" s="13"/>
      <c r="S5356" s="13"/>
      <c r="T5356" s="13"/>
      <c r="U5356" s="13"/>
      <c r="V5356" s="13"/>
      <c r="W5356" s="13"/>
      <c r="X5356" s="13"/>
      <c r="Y5356" s="13"/>
      <c r="Z5356" s="13"/>
    </row>
    <row r="5357" spans="1:26" ht="12" customHeight="1" outlineLevel="3" x14ac:dyDescent="0.2">
      <c r="A5357" s="32" t="s">
        <v>10363</v>
      </c>
      <c r="B5357" s="74" t="s">
        <v>10364</v>
      </c>
      <c r="C5357" s="50"/>
      <c r="D5357" s="53">
        <f t="shared" si="83"/>
        <v>0</v>
      </c>
      <c r="E5357" s="60" t="str">
        <f>HYPERLINK("https://www.sds-group.ru/product/mnogofunktsionalnaya-tsifrovaya-payalnaya-stantsiya-s-multimetrom-i-zhk-displeem-220v-48vt-z-12-0143/", "Инфо")</f>
        <v>Инфо</v>
      </c>
      <c r="F5357" s="34" t="s">
        <v>39</v>
      </c>
      <c r="G5357" s="33"/>
      <c r="H5357" s="33" t="s">
        <v>40</v>
      </c>
      <c r="I5357" s="33"/>
      <c r="J5357" s="35">
        <v>1</v>
      </c>
      <c r="K5357" s="33"/>
      <c r="L5357" s="35">
        <v>1</v>
      </c>
      <c r="M5357" s="35">
        <v>2</v>
      </c>
      <c r="N5357" s="35">
        <v>1</v>
      </c>
      <c r="O5357" s="36">
        <v>18075.16</v>
      </c>
      <c r="P5357" s="36">
        <v>14815.7</v>
      </c>
      <c r="Q5357" s="36">
        <v>12652.61</v>
      </c>
      <c r="R5357" s="36">
        <v>10370.99</v>
      </c>
      <c r="S5357" s="36">
        <v>12291.11</v>
      </c>
      <c r="T5357" s="36">
        <v>10074.68</v>
      </c>
      <c r="U5357" s="34"/>
      <c r="V5357" s="34"/>
      <c r="W5357" s="34"/>
      <c r="X5357" s="37">
        <v>3.5</v>
      </c>
      <c r="Y5357" s="38">
        <v>1.9E-2</v>
      </c>
      <c r="Z5357" s="21">
        <v>4601004001282</v>
      </c>
    </row>
    <row r="5358" spans="1:26" ht="12" customHeight="1" outlineLevel="3" x14ac:dyDescent="0.2">
      <c r="A5358" s="14" t="s">
        <v>10365</v>
      </c>
      <c r="B5358" s="26" t="s">
        <v>10366</v>
      </c>
      <c r="C5358" s="52"/>
      <c r="D5358" s="55">
        <f t="shared" si="83"/>
        <v>0</v>
      </c>
      <c r="E5358" s="63" t="str">
        <f>HYPERLINK("https://www.sds-group.ru/product/payalnaya-stantsiya-payalnik-fen-demont-payalnik-model-r048k-tsifrovaya-200-480-c-led-disple-12-0736/", "Инфо")</f>
        <v>Инфо</v>
      </c>
      <c r="F5358" s="16" t="s">
        <v>39</v>
      </c>
      <c r="G5358" s="15"/>
      <c r="H5358" s="15"/>
      <c r="I5358" s="15"/>
      <c r="J5358" s="17">
        <v>37</v>
      </c>
      <c r="K5358" s="15" t="s">
        <v>6174</v>
      </c>
      <c r="L5358" s="17">
        <v>1</v>
      </c>
      <c r="M5358" s="17">
        <v>4</v>
      </c>
      <c r="N5358" s="17">
        <v>1</v>
      </c>
      <c r="O5358" s="18">
        <v>33714</v>
      </c>
      <c r="P5358" s="18">
        <v>27634.43</v>
      </c>
      <c r="Q5358" s="18">
        <v>24611.22</v>
      </c>
      <c r="R5358" s="18">
        <v>20173.13</v>
      </c>
      <c r="S5358" s="18">
        <v>22925.52</v>
      </c>
      <c r="T5358" s="18">
        <v>18791.41</v>
      </c>
      <c r="U5358" s="16"/>
      <c r="V5358" s="16"/>
      <c r="W5358" s="16" t="s">
        <v>40</v>
      </c>
      <c r="X5358" s="19">
        <v>5.5030000000000001</v>
      </c>
      <c r="Y5358" s="20">
        <v>2.4126999999999999E-2</v>
      </c>
      <c r="Z5358" s="21">
        <v>4601004243644</v>
      </c>
    </row>
    <row r="5359" spans="1:26" ht="12" customHeight="1" outlineLevel="3" x14ac:dyDescent="0.2">
      <c r="A5359" s="14" t="s">
        <v>10367</v>
      </c>
      <c r="B5359" s="26" t="s">
        <v>10368</v>
      </c>
      <c r="C5359" s="52"/>
      <c r="D5359" s="55">
        <f t="shared" si="83"/>
        <v>0</v>
      </c>
      <c r="E5359" s="63" t="str">
        <f>HYPERLINK("https://www.sds-group.ru/product/payalnaya-stantsiya-payalnik-fen-istochn-pitaniya-model-r5000-tsifrovaya-100-480-c-led-displ-12-0729/", "Инфо")</f>
        <v>Инфо</v>
      </c>
      <c r="F5359" s="16" t="s">
        <v>39</v>
      </c>
      <c r="G5359" s="15"/>
      <c r="H5359" s="15"/>
      <c r="I5359" s="15"/>
      <c r="J5359" s="17">
        <v>52</v>
      </c>
      <c r="K5359" s="15" t="s">
        <v>6174</v>
      </c>
      <c r="L5359" s="17">
        <v>1</v>
      </c>
      <c r="M5359" s="17">
        <v>6</v>
      </c>
      <c r="N5359" s="17">
        <v>1</v>
      </c>
      <c r="O5359" s="18">
        <v>16589.650000000001</v>
      </c>
      <c r="P5359" s="18">
        <v>13598.07</v>
      </c>
      <c r="Q5359" s="18">
        <v>12110.44</v>
      </c>
      <c r="R5359" s="18">
        <v>9926.59</v>
      </c>
      <c r="S5359" s="18">
        <v>11280.96</v>
      </c>
      <c r="T5359" s="18">
        <v>9246.69</v>
      </c>
      <c r="U5359" s="16"/>
      <c r="V5359" s="16"/>
      <c r="W5359" s="16" t="s">
        <v>40</v>
      </c>
      <c r="X5359" s="19">
        <v>4.141</v>
      </c>
      <c r="Y5359" s="20">
        <v>1.8626E-2</v>
      </c>
      <c r="Z5359" s="21">
        <v>4601004099746</v>
      </c>
    </row>
    <row r="5360" spans="1:26" ht="12" customHeight="1" outlineLevel="3" x14ac:dyDescent="0.2">
      <c r="A5360" s="14" t="s">
        <v>10369</v>
      </c>
      <c r="B5360" s="26" t="s">
        <v>10370</v>
      </c>
      <c r="C5360" s="52"/>
      <c r="D5360" s="55">
        <f t="shared" si="83"/>
        <v>0</v>
      </c>
      <c r="E5360" s="63" t="str">
        <f>HYPERLINK("https://www.sds-group.ru/product/payalnaya-stantsiya-payalnik-fen-model-r852-kompressornaya-100-480-c-rexant-12-0723/", "Инфо")</f>
        <v>Инфо</v>
      </c>
      <c r="F5360" s="16" t="s">
        <v>39</v>
      </c>
      <c r="G5360" s="15"/>
      <c r="H5360" s="15"/>
      <c r="I5360" s="15"/>
      <c r="J5360" s="17">
        <v>117</v>
      </c>
      <c r="K5360" s="15"/>
      <c r="L5360" s="17">
        <v>1</v>
      </c>
      <c r="M5360" s="17">
        <v>6</v>
      </c>
      <c r="N5360" s="17">
        <v>1</v>
      </c>
      <c r="O5360" s="18">
        <v>8512.58</v>
      </c>
      <c r="P5360" s="18">
        <v>6977.52</v>
      </c>
      <c r="Q5360" s="18">
        <v>6214.18</v>
      </c>
      <c r="R5360" s="18">
        <v>5093.59</v>
      </c>
      <c r="S5360" s="18">
        <v>5788.55</v>
      </c>
      <c r="T5360" s="18">
        <v>4744.71</v>
      </c>
      <c r="U5360" s="16"/>
      <c r="V5360" s="16"/>
      <c r="W5360" s="16" t="s">
        <v>40</v>
      </c>
      <c r="X5360" s="19">
        <v>4.048</v>
      </c>
      <c r="Y5360" s="20">
        <v>1.8485000000000001E-2</v>
      </c>
      <c r="Z5360" s="21">
        <v>4601004099708</v>
      </c>
    </row>
    <row r="5361" spans="1:26" ht="12" customHeight="1" outlineLevel="3" x14ac:dyDescent="0.2">
      <c r="A5361" s="14" t="s">
        <v>10371</v>
      </c>
      <c r="B5361" s="26" t="s">
        <v>10372</v>
      </c>
      <c r="C5361" s="52"/>
      <c r="D5361" s="55">
        <f t="shared" si="83"/>
        <v>0</v>
      </c>
      <c r="E5361" s="63" t="str">
        <f>HYPERLINK("https://www.sds-group.ru/product/payalnaya-stantsiya-payalnik-fen-model-r852ad-100-500-c-led-displey-rexant-12-0724/", "Инфо")</f>
        <v>Инфо</v>
      </c>
      <c r="F5361" s="16" t="s">
        <v>39</v>
      </c>
      <c r="G5361" s="15"/>
      <c r="H5361" s="15"/>
      <c r="I5361" s="15"/>
      <c r="J5361" s="17">
        <v>73</v>
      </c>
      <c r="K5361" s="15" t="s">
        <v>1519</v>
      </c>
      <c r="L5361" s="17">
        <v>1</v>
      </c>
      <c r="M5361" s="17">
        <v>6</v>
      </c>
      <c r="N5361" s="17">
        <v>1</v>
      </c>
      <c r="O5361" s="18">
        <v>10771.57</v>
      </c>
      <c r="P5361" s="18">
        <v>8829.16</v>
      </c>
      <c r="Q5361" s="18">
        <v>7863.25</v>
      </c>
      <c r="R5361" s="18">
        <v>6445.29</v>
      </c>
      <c r="S5361" s="18">
        <v>7324.67</v>
      </c>
      <c r="T5361" s="18">
        <v>6003.83</v>
      </c>
      <c r="U5361" s="16"/>
      <c r="V5361" s="16"/>
      <c r="W5361" s="16" t="s">
        <v>40</v>
      </c>
      <c r="X5361" s="19">
        <v>3.2629999999999999</v>
      </c>
      <c r="Y5361" s="20">
        <v>1.8890000000000001E-2</v>
      </c>
      <c r="Z5361" s="21">
        <v>4601004099715</v>
      </c>
    </row>
    <row r="5362" spans="1:26" ht="12" customHeight="1" outlineLevel="3" x14ac:dyDescent="0.2">
      <c r="A5362" s="14" t="s">
        <v>10373</v>
      </c>
      <c r="B5362" s="26" t="s">
        <v>10374</v>
      </c>
      <c r="C5362" s="52"/>
      <c r="D5362" s="55">
        <f t="shared" si="83"/>
        <v>0</v>
      </c>
      <c r="E5362" s="63" t="str">
        <f>HYPERLINK("https://www.sds-group.ru/product/payalnaya-stantsiya-payalnik-fen-model-r887d-tsifrovaya-100-480-c-led-displey-rexant-12-0727/", "Инфо")</f>
        <v>Инфо</v>
      </c>
      <c r="F5362" s="16" t="s">
        <v>39</v>
      </c>
      <c r="G5362" s="15"/>
      <c r="H5362" s="15"/>
      <c r="I5362" s="15"/>
      <c r="J5362" s="17">
        <v>70</v>
      </c>
      <c r="K5362" s="15"/>
      <c r="L5362" s="17">
        <v>1</v>
      </c>
      <c r="M5362" s="17">
        <v>6</v>
      </c>
      <c r="N5362" s="17">
        <v>1</v>
      </c>
      <c r="O5362" s="18">
        <v>17272.57</v>
      </c>
      <c r="P5362" s="18">
        <v>14157.84</v>
      </c>
      <c r="Q5362" s="18">
        <v>12608.98</v>
      </c>
      <c r="R5362" s="18">
        <v>10335.23</v>
      </c>
      <c r="S5362" s="18">
        <v>11745.35</v>
      </c>
      <c r="T5362" s="18">
        <v>9627.34</v>
      </c>
      <c r="U5362" s="16"/>
      <c r="V5362" s="16"/>
      <c r="W5362" s="16" t="s">
        <v>40</v>
      </c>
      <c r="X5362" s="19">
        <v>3.399</v>
      </c>
      <c r="Y5362" s="20">
        <v>1.6931000000000002E-2</v>
      </c>
      <c r="Z5362" s="21">
        <v>4601004099739</v>
      </c>
    </row>
    <row r="5363" spans="1:26" ht="12" customHeight="1" outlineLevel="3" x14ac:dyDescent="0.2">
      <c r="A5363" s="14" t="s">
        <v>10375</v>
      </c>
      <c r="B5363" s="26" t="s">
        <v>10376</v>
      </c>
      <c r="C5363" s="52"/>
      <c r="D5363" s="55">
        <f t="shared" si="83"/>
        <v>0</v>
      </c>
      <c r="E5363" s="63" t="str">
        <f>HYPERLINK("https://www.sds-group.ru/product/payalnaya-stantsiya-payalnik-fen-model-r898d-tsifrovaya-100-480-c-led-displey-rexant-12-0721/", "Инфо")</f>
        <v>Инфо</v>
      </c>
      <c r="F5363" s="16" t="s">
        <v>39</v>
      </c>
      <c r="G5363" s="15"/>
      <c r="H5363" s="15"/>
      <c r="I5363" s="15"/>
      <c r="J5363" s="17">
        <v>62</v>
      </c>
      <c r="K5363" s="15" t="s">
        <v>6174</v>
      </c>
      <c r="L5363" s="17">
        <v>1</v>
      </c>
      <c r="M5363" s="17">
        <v>8</v>
      </c>
      <c r="N5363" s="17">
        <v>1</v>
      </c>
      <c r="O5363" s="18">
        <v>10480.51</v>
      </c>
      <c r="P5363" s="18">
        <v>8590.58</v>
      </c>
      <c r="Q5363" s="18">
        <v>7650.77</v>
      </c>
      <c r="R5363" s="18">
        <v>6271.12</v>
      </c>
      <c r="S5363" s="18">
        <v>7126.75</v>
      </c>
      <c r="T5363" s="18">
        <v>5841.6</v>
      </c>
      <c r="U5363" s="16"/>
      <c r="V5363" s="16"/>
      <c r="W5363" s="16" t="s">
        <v>40</v>
      </c>
      <c r="X5363" s="19">
        <v>2.4380000000000002</v>
      </c>
      <c r="Y5363" s="20">
        <v>1.2187999999999999E-2</v>
      </c>
      <c r="Z5363" s="21">
        <v>4601004099692</v>
      </c>
    </row>
    <row r="5364" spans="1:26" ht="12" customHeight="1" outlineLevel="3" x14ac:dyDescent="0.2">
      <c r="A5364" s="14" t="s">
        <v>10377</v>
      </c>
      <c r="B5364" s="26" t="s">
        <v>10378</v>
      </c>
      <c r="C5364" s="52"/>
      <c r="D5364" s="55">
        <f t="shared" si="83"/>
        <v>0</v>
      </c>
      <c r="E5364" s="63" t="str">
        <f>HYPERLINK("https://www.sds-group.ru/product/payalnaya-stantsiya-payalnik-model-r098-48vt-230v-160-480-c-rexant-12-0151/", "Инфо")</f>
        <v>Инфо</v>
      </c>
      <c r="F5364" s="16" t="s">
        <v>39</v>
      </c>
      <c r="G5364" s="15"/>
      <c r="H5364" s="15"/>
      <c r="I5364" s="15"/>
      <c r="J5364" s="17">
        <v>343</v>
      </c>
      <c r="K5364" s="15"/>
      <c r="L5364" s="17">
        <v>1</v>
      </c>
      <c r="M5364" s="17">
        <v>10</v>
      </c>
      <c r="N5364" s="17">
        <v>1</v>
      </c>
      <c r="O5364" s="18">
        <v>2521.59</v>
      </c>
      <c r="P5364" s="18">
        <v>2066.88</v>
      </c>
      <c r="Q5364" s="18">
        <v>1840.76</v>
      </c>
      <c r="R5364" s="18">
        <v>1508.82</v>
      </c>
      <c r="S5364" s="18">
        <v>1714.68</v>
      </c>
      <c r="T5364" s="18">
        <v>1405.48</v>
      </c>
      <c r="U5364" s="16"/>
      <c r="V5364" s="16"/>
      <c r="W5364" s="16" t="s">
        <v>40</v>
      </c>
      <c r="X5364" s="19">
        <v>0.77200000000000002</v>
      </c>
      <c r="Y5364" s="20">
        <v>3.9550000000000002E-3</v>
      </c>
      <c r="Z5364" s="21">
        <v>4610003604257</v>
      </c>
    </row>
    <row r="5365" spans="1:26" ht="12" customHeight="1" outlineLevel="3" x14ac:dyDescent="0.2">
      <c r="A5365" s="14" t="s">
        <v>10379</v>
      </c>
      <c r="B5365" s="26" t="s">
        <v>10380</v>
      </c>
      <c r="C5365" s="52"/>
      <c r="D5365" s="55">
        <f t="shared" si="83"/>
        <v>0</v>
      </c>
      <c r="E5365" s="63" t="str">
        <f>HYPERLINK("https://www.sds-group.ru/product/payalnaya-stantsiya-payalnik-model-r099-48vt-230v-160-480-c-rexant-12-0152/", "Инфо")</f>
        <v>Инфо</v>
      </c>
      <c r="F5365" s="16" t="s">
        <v>39</v>
      </c>
      <c r="G5365" s="15"/>
      <c r="H5365" s="15"/>
      <c r="I5365" s="15"/>
      <c r="J5365" s="22">
        <v>1735</v>
      </c>
      <c r="K5365" s="15" t="s">
        <v>1277</v>
      </c>
      <c r="L5365" s="17">
        <v>1</v>
      </c>
      <c r="M5365" s="17">
        <v>10</v>
      </c>
      <c r="N5365" s="17">
        <v>1</v>
      </c>
      <c r="O5365" s="18">
        <v>2587.25</v>
      </c>
      <c r="P5365" s="18">
        <v>2120.6999999999998</v>
      </c>
      <c r="Q5365" s="18">
        <v>1811.08</v>
      </c>
      <c r="R5365" s="18">
        <v>1484.49</v>
      </c>
      <c r="S5365" s="18">
        <v>1759.33</v>
      </c>
      <c r="T5365" s="18">
        <v>1442.07</v>
      </c>
      <c r="U5365" s="16"/>
      <c r="V5365" s="16"/>
      <c r="W5365" s="16"/>
      <c r="X5365" s="19">
        <v>0.83</v>
      </c>
      <c r="Y5365" s="20">
        <v>4.6870000000000002E-3</v>
      </c>
      <c r="Z5365" s="21">
        <v>4610003604264</v>
      </c>
    </row>
    <row r="5366" spans="1:26" ht="12" customHeight="1" outlineLevel="3" x14ac:dyDescent="0.2">
      <c r="A5366" s="14" t="s">
        <v>10381</v>
      </c>
      <c r="B5366" s="26" t="s">
        <v>10382</v>
      </c>
      <c r="C5366" s="52"/>
      <c r="D5366" s="55">
        <f t="shared" si="83"/>
        <v>0</v>
      </c>
      <c r="E5366" s="63" t="str">
        <f>HYPERLINK("https://www.sds-group.ru/product/payalnaya-stantsiya-payalnik-model-r8906-s-tsifrovym-upravleniem-48vt-230v-160-480-c-zhk-dis-12-0150/", "Инфо")</f>
        <v>Инфо</v>
      </c>
      <c r="F5366" s="16" t="s">
        <v>39</v>
      </c>
      <c r="G5366" s="15"/>
      <c r="H5366" s="15"/>
      <c r="I5366" s="15"/>
      <c r="J5366" s="17">
        <v>87</v>
      </c>
      <c r="K5366" s="15"/>
      <c r="L5366" s="17">
        <v>1</v>
      </c>
      <c r="M5366" s="17">
        <v>10</v>
      </c>
      <c r="N5366" s="17">
        <v>1</v>
      </c>
      <c r="O5366" s="18">
        <v>3771.99</v>
      </c>
      <c r="P5366" s="18">
        <v>3091.8</v>
      </c>
      <c r="Q5366" s="18">
        <v>2753.55</v>
      </c>
      <c r="R5366" s="18">
        <v>2257.0100000000002</v>
      </c>
      <c r="S5366" s="18">
        <v>2564.9499999999998</v>
      </c>
      <c r="T5366" s="18">
        <v>2102.42</v>
      </c>
      <c r="U5366" s="16"/>
      <c r="V5366" s="16"/>
      <c r="W5366" s="16" t="s">
        <v>40</v>
      </c>
      <c r="X5366" s="19">
        <v>0.77900000000000003</v>
      </c>
      <c r="Y5366" s="20">
        <v>3.8170000000000001E-3</v>
      </c>
      <c r="Z5366" s="21">
        <v>4601004021006</v>
      </c>
    </row>
    <row r="5367" spans="1:26" ht="12" customHeight="1" outlineLevel="3" x14ac:dyDescent="0.2">
      <c r="A5367" s="14" t="s">
        <v>10383</v>
      </c>
      <c r="B5367" s="26" t="s">
        <v>10384</v>
      </c>
      <c r="C5367" s="52"/>
      <c r="D5367" s="55">
        <f t="shared" si="83"/>
        <v>0</v>
      </c>
      <c r="E5367" s="63" t="str">
        <f>HYPERLINK("https://www.sds-group.ru/product/payalnaya-stantsiya-payalnik-model-r936a-200-480-c-rexant-12-0710/", "Инфо")</f>
        <v>Инфо</v>
      </c>
      <c r="F5367" s="16" t="s">
        <v>39</v>
      </c>
      <c r="G5367" s="15"/>
      <c r="H5367" s="15"/>
      <c r="I5367" s="15"/>
      <c r="J5367" s="17">
        <v>136</v>
      </c>
      <c r="K5367" s="15" t="s">
        <v>6174</v>
      </c>
      <c r="L5367" s="17">
        <v>1</v>
      </c>
      <c r="M5367" s="17">
        <v>12</v>
      </c>
      <c r="N5367" s="17">
        <v>1</v>
      </c>
      <c r="O5367" s="18">
        <v>3232.98</v>
      </c>
      <c r="P5367" s="18">
        <v>2649.98</v>
      </c>
      <c r="Q5367" s="18">
        <v>2360.08</v>
      </c>
      <c r="R5367" s="18">
        <v>1934.49</v>
      </c>
      <c r="S5367" s="18">
        <v>2198.4299999999998</v>
      </c>
      <c r="T5367" s="18">
        <v>1801.99</v>
      </c>
      <c r="U5367" s="16"/>
      <c r="V5367" s="16"/>
      <c r="W5367" s="16" t="s">
        <v>40</v>
      </c>
      <c r="X5367" s="19">
        <v>1.599</v>
      </c>
      <c r="Y5367" s="20">
        <v>7.3140000000000002E-3</v>
      </c>
      <c r="Z5367" s="21">
        <v>4601004099753</v>
      </c>
    </row>
    <row r="5368" spans="1:26" ht="12" customHeight="1" outlineLevel="3" x14ac:dyDescent="0.2">
      <c r="A5368" s="14" t="s">
        <v>10385</v>
      </c>
      <c r="B5368" s="26" t="s">
        <v>10386</v>
      </c>
      <c r="C5368" s="52"/>
      <c r="D5368" s="55">
        <f t="shared" si="83"/>
        <v>0</v>
      </c>
      <c r="E5368" s="63" t="str">
        <f>HYPERLINK("https://www.sds-group.ru/product/payalnaya-stantsiya-payalnik-model-r936d-200-480-c-led-displey-rexant-12-0711/", "Инфо")</f>
        <v>Инфо</v>
      </c>
      <c r="F5368" s="16" t="s">
        <v>39</v>
      </c>
      <c r="G5368" s="15"/>
      <c r="H5368" s="15"/>
      <c r="I5368" s="15"/>
      <c r="J5368" s="17">
        <v>39</v>
      </c>
      <c r="K5368" s="15" t="s">
        <v>1277</v>
      </c>
      <c r="L5368" s="17">
        <v>1</v>
      </c>
      <c r="M5368" s="17">
        <v>12</v>
      </c>
      <c r="N5368" s="17">
        <v>1</v>
      </c>
      <c r="O5368" s="18">
        <v>4138.5200000000004</v>
      </c>
      <c r="P5368" s="18">
        <v>3392.23</v>
      </c>
      <c r="Q5368" s="18">
        <v>3021.12</v>
      </c>
      <c r="R5368" s="18">
        <v>2476.33</v>
      </c>
      <c r="S5368" s="18">
        <v>2814.19</v>
      </c>
      <c r="T5368" s="18">
        <v>2306.71</v>
      </c>
      <c r="U5368" s="16"/>
      <c r="V5368" s="16"/>
      <c r="W5368" s="16" t="s">
        <v>40</v>
      </c>
      <c r="X5368" s="19">
        <v>1.661</v>
      </c>
      <c r="Y5368" s="20">
        <v>7.241E-3</v>
      </c>
      <c r="Z5368" s="21">
        <v>4601004099630</v>
      </c>
    </row>
    <row r="5369" spans="1:26" ht="12" customHeight="1" outlineLevel="3" x14ac:dyDescent="0.2">
      <c r="A5369" s="14" t="s">
        <v>10387</v>
      </c>
      <c r="B5369" s="26" t="s">
        <v>10388</v>
      </c>
      <c r="C5369" s="52"/>
      <c r="D5369" s="55">
        <f t="shared" si="83"/>
        <v>0</v>
      </c>
      <c r="E5369" s="63" t="str">
        <f>HYPERLINK("https://www.sds-group.ru/product/payalnaya-stantsiya-payalnik-seriya-mini-mi08-8vt-230v-100-450-c-zd-927-rexant-12-0159/", "Инфо")</f>
        <v>Инфо</v>
      </c>
      <c r="F5369" s="16" t="s">
        <v>39</v>
      </c>
      <c r="G5369" s="15"/>
      <c r="H5369" s="15"/>
      <c r="I5369" s="15"/>
      <c r="J5369" s="17">
        <v>116</v>
      </c>
      <c r="K5369" s="15" t="s">
        <v>1131</v>
      </c>
      <c r="L5369" s="17">
        <v>1</v>
      </c>
      <c r="M5369" s="17">
        <v>20</v>
      </c>
      <c r="N5369" s="17">
        <v>1</v>
      </c>
      <c r="O5369" s="18">
        <v>2424.5700000000002</v>
      </c>
      <c r="P5369" s="18">
        <v>1987.35</v>
      </c>
      <c r="Q5369" s="18">
        <v>1866.92</v>
      </c>
      <c r="R5369" s="18">
        <v>1530.26</v>
      </c>
      <c r="S5369" s="18">
        <v>1648.71</v>
      </c>
      <c r="T5369" s="18">
        <v>1351.4</v>
      </c>
      <c r="U5369" s="16"/>
      <c r="V5369" s="16"/>
      <c r="W5369" s="16" t="s">
        <v>40</v>
      </c>
      <c r="X5369" s="19">
        <v>0.69599999999999995</v>
      </c>
      <c r="Y5369" s="20">
        <v>1.361E-3</v>
      </c>
      <c r="Z5369" s="21">
        <v>4610003609092</v>
      </c>
    </row>
    <row r="5370" spans="1:26" ht="12" customHeight="1" outlineLevel="3" x14ac:dyDescent="0.2">
      <c r="A5370" s="14" t="s">
        <v>10389</v>
      </c>
      <c r="B5370" s="26" t="s">
        <v>10390</v>
      </c>
      <c r="C5370" s="52"/>
      <c r="D5370" s="55">
        <f t="shared" si="83"/>
        <v>0</v>
      </c>
      <c r="E5370" s="63" t="str">
        <f>HYPERLINK("https://www.sds-group.ru/product/payalnaya-stantsiya-payalnik-seriya-mini-mi10-10vt-230v-100-450-c-rexant-12-0135/", "Инфо")</f>
        <v>Инфо</v>
      </c>
      <c r="F5370" s="16" t="s">
        <v>39</v>
      </c>
      <c r="G5370" s="15"/>
      <c r="H5370" s="15"/>
      <c r="I5370" s="15"/>
      <c r="J5370" s="17">
        <v>144</v>
      </c>
      <c r="K5370" s="15" t="s">
        <v>1277</v>
      </c>
      <c r="L5370" s="17">
        <v>1</v>
      </c>
      <c r="M5370" s="17">
        <v>20</v>
      </c>
      <c r="N5370" s="17">
        <v>1</v>
      </c>
      <c r="O5370" s="18">
        <v>2262.7600000000002</v>
      </c>
      <c r="P5370" s="18">
        <v>1854.72</v>
      </c>
      <c r="Q5370" s="18">
        <v>1651.81</v>
      </c>
      <c r="R5370" s="18">
        <v>1353.94</v>
      </c>
      <c r="S5370" s="18">
        <v>1538.68</v>
      </c>
      <c r="T5370" s="18">
        <v>1261.21</v>
      </c>
      <c r="U5370" s="16"/>
      <c r="V5370" s="16"/>
      <c r="W5370" s="16" t="s">
        <v>40</v>
      </c>
      <c r="X5370" s="19">
        <v>0.65400000000000003</v>
      </c>
      <c r="Y5370" s="20">
        <v>1.446E-3</v>
      </c>
      <c r="Z5370" s="21">
        <v>4601004048379</v>
      </c>
    </row>
    <row r="5371" spans="1:26" ht="12" customHeight="1" outlineLevel="3" x14ac:dyDescent="0.2">
      <c r="A5371" s="32" t="s">
        <v>10391</v>
      </c>
      <c r="B5371" s="74" t="s">
        <v>10392</v>
      </c>
      <c r="C5371" s="50"/>
      <c r="D5371" s="53">
        <f t="shared" si="83"/>
        <v>0</v>
      </c>
      <c r="E5371" s="60" t="str">
        <f>HYPERLINK("https://www.sds-group.ru/product/payalnaya-stantsiya-termofen-model-r850a-termovozdushnaya-kompressornaya-100-450-c-rexant-12-0716/", "Инфо")</f>
        <v>Инфо</v>
      </c>
      <c r="F5371" s="34" t="s">
        <v>39</v>
      </c>
      <c r="G5371" s="33"/>
      <c r="H5371" s="33" t="s">
        <v>40</v>
      </c>
      <c r="I5371" s="33"/>
      <c r="J5371" s="35">
        <v>94</v>
      </c>
      <c r="K5371" s="33"/>
      <c r="L5371" s="35">
        <v>1</v>
      </c>
      <c r="M5371" s="35">
        <v>6</v>
      </c>
      <c r="N5371" s="35">
        <v>1</v>
      </c>
      <c r="O5371" s="36">
        <v>4996.2</v>
      </c>
      <c r="P5371" s="36">
        <v>4095.25</v>
      </c>
      <c r="Q5371" s="36">
        <v>3497.34</v>
      </c>
      <c r="R5371" s="36">
        <v>2866.67</v>
      </c>
      <c r="S5371" s="36">
        <v>3397.42</v>
      </c>
      <c r="T5371" s="36">
        <v>2784.77</v>
      </c>
      <c r="U5371" s="34"/>
      <c r="V5371" s="34"/>
      <c r="W5371" s="34"/>
      <c r="X5371" s="37">
        <v>3.0579999999999998</v>
      </c>
      <c r="Y5371" s="38">
        <v>2.0739E-2</v>
      </c>
      <c r="Z5371" s="21">
        <v>4601004099661</v>
      </c>
    </row>
    <row r="5372" spans="1:26" ht="12" customHeight="1" outlineLevel="3" x14ac:dyDescent="0.2">
      <c r="A5372" s="14" t="s">
        <v>10393</v>
      </c>
      <c r="B5372" s="26" t="s">
        <v>10394</v>
      </c>
      <c r="C5372" s="52"/>
      <c r="D5372" s="55">
        <f t="shared" si="83"/>
        <v>0</v>
      </c>
      <c r="E5372" s="63" t="str">
        <f>HYPERLINK("https://www.sds-group.ru/product/payalnaya-stantsiya-termofen-model-r858d-termovozdushnaya-tsifrovaya-100-500-c-led-displey-r-12-0714/", "Инфо")</f>
        <v>Инфо</v>
      </c>
      <c r="F5372" s="16" t="s">
        <v>39</v>
      </c>
      <c r="G5372" s="15"/>
      <c r="H5372" s="15"/>
      <c r="I5372" s="15"/>
      <c r="J5372" s="17">
        <v>194</v>
      </c>
      <c r="K5372" s="15"/>
      <c r="L5372" s="17">
        <v>1</v>
      </c>
      <c r="M5372" s="17">
        <v>12</v>
      </c>
      <c r="N5372" s="17">
        <v>1</v>
      </c>
      <c r="O5372" s="18">
        <v>5631.25</v>
      </c>
      <c r="P5372" s="18">
        <v>4615.78</v>
      </c>
      <c r="Q5372" s="18">
        <v>4110.8100000000004</v>
      </c>
      <c r="R5372" s="18">
        <v>3369.52</v>
      </c>
      <c r="S5372" s="18">
        <v>3829.25</v>
      </c>
      <c r="T5372" s="18">
        <v>3138.73</v>
      </c>
      <c r="U5372" s="16"/>
      <c r="V5372" s="16"/>
      <c r="W5372" s="16" t="s">
        <v>40</v>
      </c>
      <c r="X5372" s="19">
        <v>1.6850000000000001</v>
      </c>
      <c r="Y5372" s="20">
        <v>5.9049999999999997E-3</v>
      </c>
      <c r="Z5372" s="21">
        <v>4601004099654</v>
      </c>
    </row>
    <row r="5373" spans="1:26" ht="12" customHeight="1" outlineLevel="3" x14ac:dyDescent="0.2">
      <c r="A5373" s="32" t="s">
        <v>10395</v>
      </c>
      <c r="B5373" s="74" t="s">
        <v>10396</v>
      </c>
      <c r="C5373" s="50"/>
      <c r="D5373" s="53">
        <f t="shared" si="83"/>
        <v>0</v>
      </c>
      <c r="E5373" s="60" t="str">
        <f>HYPERLINK("https://www.sds-group.ru/product/tsifrovaya-termovozdushnaya-payalnaya-stantsiya-220v-160-480-s-zd-939l-rexant-12-0144/", "Инфо")</f>
        <v>Инфо</v>
      </c>
      <c r="F5373" s="34" t="s">
        <v>39</v>
      </c>
      <c r="G5373" s="33"/>
      <c r="H5373" s="33" t="s">
        <v>40</v>
      </c>
      <c r="I5373" s="33"/>
      <c r="J5373" s="35">
        <v>4</v>
      </c>
      <c r="K5373" s="33"/>
      <c r="L5373" s="35">
        <v>1</v>
      </c>
      <c r="M5373" s="35">
        <v>2</v>
      </c>
      <c r="N5373" s="35">
        <v>1</v>
      </c>
      <c r="O5373" s="36">
        <v>12612.83</v>
      </c>
      <c r="P5373" s="36">
        <v>10338.39</v>
      </c>
      <c r="Q5373" s="36">
        <v>8828.98</v>
      </c>
      <c r="R5373" s="36">
        <v>7236.87</v>
      </c>
      <c r="S5373" s="36">
        <v>8576.7199999999993</v>
      </c>
      <c r="T5373" s="36">
        <v>7030.1</v>
      </c>
      <c r="U5373" s="34"/>
      <c r="V5373" s="34"/>
      <c r="W5373" s="34"/>
      <c r="X5373" s="37">
        <v>4.0389999999999997</v>
      </c>
      <c r="Y5373" s="38">
        <v>1.7644E-2</v>
      </c>
      <c r="Z5373" s="21">
        <v>4601004001299</v>
      </c>
    </row>
    <row r="5374" spans="1:26" ht="12.95" customHeight="1" outlineLevel="2" x14ac:dyDescent="0.2">
      <c r="A5374" s="76" t="s">
        <v>10397</v>
      </c>
      <c r="B5374" s="76"/>
      <c r="C5374" s="77"/>
      <c r="D5374" s="58"/>
      <c r="E5374" s="68"/>
      <c r="F5374" s="13"/>
      <c r="G5374" s="13"/>
      <c r="H5374" s="13"/>
      <c r="I5374" s="13"/>
      <c r="J5374" s="13"/>
      <c r="K5374" s="13"/>
      <c r="L5374" s="13"/>
      <c r="M5374" s="13"/>
      <c r="N5374" s="13"/>
      <c r="O5374" s="13"/>
      <c r="P5374" s="13"/>
      <c r="Q5374" s="13"/>
      <c r="R5374" s="13"/>
      <c r="S5374" s="13"/>
      <c r="T5374" s="13"/>
      <c r="U5374" s="13"/>
      <c r="V5374" s="13"/>
      <c r="W5374" s="13"/>
      <c r="X5374" s="13"/>
      <c r="Y5374" s="13"/>
      <c r="Z5374" s="13"/>
    </row>
    <row r="5375" spans="1:26" ht="12" customHeight="1" outlineLevel="3" x14ac:dyDescent="0.2">
      <c r="A5375" s="14" t="s">
        <v>10398</v>
      </c>
      <c r="B5375" s="26" t="s">
        <v>10399</v>
      </c>
      <c r="C5375" s="52"/>
      <c r="D5375" s="55">
        <f t="shared" si="83"/>
        <v>0</v>
      </c>
      <c r="E5375" s="63" t="str">
        <f>HYPERLINK("https://www.sds-group.ru/product/nabor-dlya-payki-payalnik-s-keramicheskim-nagrevatelem-60vt-220-480-c-podstavka-s-gubkoy-nab-12-0614/", "Инфо")</f>
        <v>Инфо</v>
      </c>
      <c r="F5375" s="16" t="s">
        <v>39</v>
      </c>
      <c r="G5375" s="15"/>
      <c r="H5375" s="15"/>
      <c r="I5375" s="15"/>
      <c r="J5375" s="17">
        <v>517</v>
      </c>
      <c r="K5375" s="15" t="s">
        <v>1277</v>
      </c>
      <c r="L5375" s="17">
        <v>1</v>
      </c>
      <c r="M5375" s="17">
        <v>50</v>
      </c>
      <c r="N5375" s="17">
        <v>1</v>
      </c>
      <c r="O5375" s="18">
        <v>2600.13</v>
      </c>
      <c r="P5375" s="18">
        <v>2131.25</v>
      </c>
      <c r="Q5375" s="18">
        <v>2106.11</v>
      </c>
      <c r="R5375" s="18">
        <v>1726.32</v>
      </c>
      <c r="S5375" s="18">
        <v>1768.09</v>
      </c>
      <c r="T5375" s="18">
        <v>1449.25</v>
      </c>
      <c r="U5375" s="16"/>
      <c r="V5375" s="16"/>
      <c r="W5375" s="16" t="s">
        <v>40</v>
      </c>
      <c r="X5375" s="19">
        <v>0.23</v>
      </c>
      <c r="Y5375" s="20">
        <v>1.389E-3</v>
      </c>
      <c r="Z5375" s="21">
        <v>4601004243668</v>
      </c>
    </row>
    <row r="5376" spans="1:26" ht="12" customHeight="1" outlineLevel="3" x14ac:dyDescent="0.2">
      <c r="A5376" s="14" t="s">
        <v>10400</v>
      </c>
      <c r="B5376" s="26" t="s">
        <v>10401</v>
      </c>
      <c r="C5376" s="52"/>
      <c r="D5376" s="55">
        <f t="shared" si="83"/>
        <v>0</v>
      </c>
      <c r="E5376" s="63" t="str">
        <f>HYPERLINK("https://www.sds-group.ru/product/nabor-dlya-payki-payalnik-tsifrovoy-s-keramicheskim-nagrevatelem-65vt-200-500-c-podstavka-s--12-0621/", "Инфо")</f>
        <v>Инфо</v>
      </c>
      <c r="F5376" s="16" t="s">
        <v>39</v>
      </c>
      <c r="G5376" s="15"/>
      <c r="H5376" s="15"/>
      <c r="I5376" s="15"/>
      <c r="J5376" s="16" t="s">
        <v>100</v>
      </c>
      <c r="K5376" s="15" t="s">
        <v>1277</v>
      </c>
      <c r="L5376" s="17">
        <v>1</v>
      </c>
      <c r="M5376" s="17">
        <v>50</v>
      </c>
      <c r="N5376" s="17">
        <v>1</v>
      </c>
      <c r="O5376" s="18">
        <v>3548.07</v>
      </c>
      <c r="P5376" s="18">
        <v>2908.25</v>
      </c>
      <c r="Q5376" s="18">
        <v>2732.01</v>
      </c>
      <c r="R5376" s="18">
        <v>2239.35</v>
      </c>
      <c r="S5376" s="18">
        <v>2412.69</v>
      </c>
      <c r="T5376" s="18">
        <v>1977.61</v>
      </c>
      <c r="U5376" s="16"/>
      <c r="V5376" s="16"/>
      <c r="W5376" s="16" t="s">
        <v>40</v>
      </c>
      <c r="X5376" s="19">
        <v>0.23899999999999999</v>
      </c>
      <c r="Y5376" s="20">
        <v>1.421E-3</v>
      </c>
      <c r="Z5376" s="21">
        <v>4601004243620</v>
      </c>
    </row>
    <row r="5377" spans="1:26" ht="12" customHeight="1" outlineLevel="3" x14ac:dyDescent="0.2">
      <c r="A5377" s="14" t="s">
        <v>10402</v>
      </c>
      <c r="B5377" s="26" t="s">
        <v>10403</v>
      </c>
      <c r="C5377" s="52"/>
      <c r="D5377" s="55">
        <f t="shared" si="83"/>
        <v>0</v>
      </c>
      <c r="E5377" s="63" t="str">
        <f>HYPERLINK("https://www.sds-group.ru/product/nabor-dlya-payki-11-payalnik-30vt-podstavka-gubka-dlya-udaleniya-pripoya-kanifol-pripoy-rexa-12-0165/", "Инфо")</f>
        <v>Инфо</v>
      </c>
      <c r="F5377" s="16" t="s">
        <v>39</v>
      </c>
      <c r="G5377" s="15"/>
      <c r="H5377" s="15"/>
      <c r="I5377" s="15"/>
      <c r="J5377" s="17">
        <v>70</v>
      </c>
      <c r="K5377" s="15" t="s">
        <v>922</v>
      </c>
      <c r="L5377" s="17">
        <v>1</v>
      </c>
      <c r="M5377" s="17">
        <v>40</v>
      </c>
      <c r="N5377" s="17">
        <v>1</v>
      </c>
      <c r="O5377" s="18">
        <v>1109.28</v>
      </c>
      <c r="P5377" s="18">
        <v>909.25</v>
      </c>
      <c r="Q5377" s="18">
        <v>965.07</v>
      </c>
      <c r="R5377" s="18">
        <v>791.04</v>
      </c>
      <c r="S5377" s="18">
        <v>754.31</v>
      </c>
      <c r="T5377" s="18">
        <v>618.29</v>
      </c>
      <c r="U5377" s="16"/>
      <c r="V5377" s="16"/>
      <c r="W5377" s="16" t="s">
        <v>40</v>
      </c>
      <c r="X5377" s="19">
        <v>0.32400000000000001</v>
      </c>
      <c r="Y5377" s="20">
        <v>1.8109999999999999E-3</v>
      </c>
      <c r="Z5377" s="21">
        <v>4601004027909</v>
      </c>
    </row>
    <row r="5378" spans="1:26" ht="12" customHeight="1" outlineLevel="3" x14ac:dyDescent="0.2">
      <c r="A5378" s="14" t="s">
        <v>10404</v>
      </c>
      <c r="B5378" s="26" t="s">
        <v>10405</v>
      </c>
      <c r="C5378" s="52"/>
      <c r="D5378" s="55">
        <f t="shared" si="83"/>
        <v>0</v>
      </c>
      <c r="E5378" s="63" t="str">
        <f>HYPERLINK("https://www.sds-group.ru/product/nabor-dlya-payki-13-payalnik-30vt-podstavka-kanifol-pripoy-bokorezy-tonkogubtsy-rexant-12-0166/", "Инфо")</f>
        <v>Инфо</v>
      </c>
      <c r="F5378" s="16" t="s">
        <v>39</v>
      </c>
      <c r="G5378" s="15"/>
      <c r="H5378" s="15"/>
      <c r="I5378" s="15"/>
      <c r="J5378" s="17">
        <v>286</v>
      </c>
      <c r="K5378" s="15"/>
      <c r="L5378" s="17">
        <v>1</v>
      </c>
      <c r="M5378" s="17">
        <v>40</v>
      </c>
      <c r="N5378" s="17">
        <v>1</v>
      </c>
      <c r="O5378" s="18">
        <v>2143.88</v>
      </c>
      <c r="P5378" s="18">
        <v>1757.28</v>
      </c>
      <c r="Q5378" s="18">
        <v>1693.67</v>
      </c>
      <c r="R5378" s="18">
        <v>1388.25</v>
      </c>
      <c r="S5378" s="18">
        <v>1457.84</v>
      </c>
      <c r="T5378" s="18">
        <v>1194.95</v>
      </c>
      <c r="U5378" s="16"/>
      <c r="V5378" s="16"/>
      <c r="W5378" s="16" t="s">
        <v>40</v>
      </c>
      <c r="X5378" s="19">
        <v>0.48099999999999998</v>
      </c>
      <c r="Y5378" s="20">
        <v>3.8609999999999998E-3</v>
      </c>
      <c r="Z5378" s="21">
        <v>4601004027893</v>
      </c>
    </row>
    <row r="5379" spans="1:26" ht="12" customHeight="1" outlineLevel="3" x14ac:dyDescent="0.2">
      <c r="A5379" s="32" t="s">
        <v>10406</v>
      </c>
      <c r="B5379" s="74" t="s">
        <v>10407</v>
      </c>
      <c r="C5379" s="50"/>
      <c r="D5379" s="53">
        <f t="shared" si="83"/>
        <v>0</v>
      </c>
      <c r="E5379" s="60" t="str">
        <f>HYPERLINK("https://www.sds-group.ru/product/nabor-dlya-payki-15-payalnik-8vt-olovootsos-podstavka-pripoy-otvertka-instrument-dlya-montaz-12-0167/", "Инфо")</f>
        <v>Инфо</v>
      </c>
      <c r="F5379" s="34" t="s">
        <v>39</v>
      </c>
      <c r="G5379" s="33"/>
      <c r="H5379" s="33" t="s">
        <v>40</v>
      </c>
      <c r="I5379" s="33"/>
      <c r="J5379" s="35">
        <v>195</v>
      </c>
      <c r="K5379" s="33"/>
      <c r="L5379" s="35">
        <v>1</v>
      </c>
      <c r="M5379" s="35">
        <v>20</v>
      </c>
      <c r="N5379" s="35">
        <v>1</v>
      </c>
      <c r="O5379" s="36">
        <v>1987.52</v>
      </c>
      <c r="P5379" s="36">
        <v>1629.11</v>
      </c>
      <c r="Q5379" s="36">
        <v>1391.26</v>
      </c>
      <c r="R5379" s="36">
        <v>1140.3800000000001</v>
      </c>
      <c r="S5379" s="36">
        <v>1351.51</v>
      </c>
      <c r="T5379" s="36">
        <v>1107.8</v>
      </c>
      <c r="U5379" s="34"/>
      <c r="V5379" s="34"/>
      <c r="W5379" s="34"/>
      <c r="X5379" s="37">
        <v>0.4</v>
      </c>
      <c r="Y5379" s="38">
        <v>1.8140000000000001E-3</v>
      </c>
      <c r="Z5379" s="21">
        <v>4601004020955</v>
      </c>
    </row>
    <row r="5380" spans="1:26" ht="12" customHeight="1" outlineLevel="3" x14ac:dyDescent="0.2">
      <c r="A5380" s="14" t="s">
        <v>10408</v>
      </c>
      <c r="B5380" s="26" t="s">
        <v>10409</v>
      </c>
      <c r="C5380" s="52"/>
      <c r="D5380" s="55">
        <f t="shared" si="83"/>
        <v>0</v>
      </c>
      <c r="E5380" s="63" t="str">
        <f>HYPERLINK("https://www.sds-group.ru/product/nabor-dlya-payki-16-payalnik-s-usb-razemom-8vt-kusachki-tonkogubtsy-podstavka-pripoy-otvertk-12-0168/", "Инфо")</f>
        <v>Инфо</v>
      </c>
      <c r="F5380" s="16" t="s">
        <v>39</v>
      </c>
      <c r="G5380" s="15"/>
      <c r="H5380" s="15"/>
      <c r="I5380" s="15"/>
      <c r="J5380" s="17">
        <v>171</v>
      </c>
      <c r="K5380" s="15"/>
      <c r="L5380" s="17">
        <v>1</v>
      </c>
      <c r="M5380" s="17">
        <v>20</v>
      </c>
      <c r="N5380" s="17">
        <v>1</v>
      </c>
      <c r="O5380" s="18">
        <v>3137.98</v>
      </c>
      <c r="P5380" s="18">
        <v>2572.11</v>
      </c>
      <c r="Q5380" s="18">
        <v>2196.59</v>
      </c>
      <c r="R5380" s="18">
        <v>1800.48</v>
      </c>
      <c r="S5380" s="18">
        <v>2133.83</v>
      </c>
      <c r="T5380" s="18">
        <v>1749.04</v>
      </c>
      <c r="U5380" s="16"/>
      <c r="V5380" s="16"/>
      <c r="W5380" s="16"/>
      <c r="X5380" s="19">
        <v>0.47199999999999998</v>
      </c>
      <c r="Y5380" s="20">
        <v>1.81E-3</v>
      </c>
      <c r="Z5380" s="21">
        <v>4601004020962</v>
      </c>
    </row>
    <row r="5381" spans="1:26" ht="12" customHeight="1" outlineLevel="3" x14ac:dyDescent="0.2">
      <c r="A5381" s="14" t="s">
        <v>10410</v>
      </c>
      <c r="B5381" s="26" t="s">
        <v>10411</v>
      </c>
      <c r="C5381" s="52"/>
      <c r="D5381" s="55">
        <f t="shared" si="83"/>
        <v>0</v>
      </c>
      <c r="E5381" s="63" t="str">
        <f>HYPERLINK("https://www.sds-group.ru/product/nabor-dlya-payki-4-payalnik-30vt-olovootsos-podstavka-pripoy-gubka-rexant-12-0163/", "Инфо")</f>
        <v>Инфо</v>
      </c>
      <c r="F5381" s="16" t="s">
        <v>39</v>
      </c>
      <c r="G5381" s="15"/>
      <c r="H5381" s="15"/>
      <c r="I5381" s="15"/>
      <c r="J5381" s="16" t="s">
        <v>100</v>
      </c>
      <c r="K5381" s="15" t="s">
        <v>1590</v>
      </c>
      <c r="L5381" s="17">
        <v>1</v>
      </c>
      <c r="M5381" s="17">
        <v>20</v>
      </c>
      <c r="N5381" s="17">
        <v>1</v>
      </c>
      <c r="O5381" s="18">
        <v>1173.96</v>
      </c>
      <c r="P5381" s="18">
        <v>962.26</v>
      </c>
      <c r="Q5381" s="18">
        <v>927.43</v>
      </c>
      <c r="R5381" s="18">
        <v>760.19</v>
      </c>
      <c r="S5381" s="18">
        <v>798.29</v>
      </c>
      <c r="T5381" s="18">
        <v>654.34</v>
      </c>
      <c r="U5381" s="16"/>
      <c r="V5381" s="16"/>
      <c r="W5381" s="16" t="s">
        <v>40</v>
      </c>
      <c r="X5381" s="19">
        <v>0.46100000000000002</v>
      </c>
      <c r="Y5381" s="20">
        <v>3.4719999999999998E-3</v>
      </c>
      <c r="Z5381" s="21">
        <v>4660008013578</v>
      </c>
    </row>
    <row r="5382" spans="1:26" ht="12" customHeight="1" outlineLevel="3" x14ac:dyDescent="0.2">
      <c r="A5382" s="32" t="s">
        <v>10412</v>
      </c>
      <c r="B5382" s="74" t="s">
        <v>10413</v>
      </c>
      <c r="C5382" s="50"/>
      <c r="D5382" s="53">
        <f t="shared" si="83"/>
        <v>0</v>
      </c>
      <c r="E5382" s="60" t="str">
        <f>HYPERLINK("https://www.sds-group.ru/product/nabor-dlya-payki-5-payalnik-impulsnyy-30-70vt-olovootsos-podstavka-pripoy-rexant-12-0164/", "Инфо")</f>
        <v>Инфо</v>
      </c>
      <c r="F5382" s="34" t="s">
        <v>39</v>
      </c>
      <c r="G5382" s="33"/>
      <c r="H5382" s="33" t="s">
        <v>40</v>
      </c>
      <c r="I5382" s="33"/>
      <c r="J5382" s="35">
        <v>161</v>
      </c>
      <c r="K5382" s="33"/>
      <c r="L5382" s="35">
        <v>1</v>
      </c>
      <c r="M5382" s="35">
        <v>20</v>
      </c>
      <c r="N5382" s="35">
        <v>1</v>
      </c>
      <c r="O5382" s="36">
        <v>1207.51</v>
      </c>
      <c r="P5382" s="36">
        <v>989.76</v>
      </c>
      <c r="Q5382" s="36">
        <v>845.26</v>
      </c>
      <c r="R5382" s="36">
        <v>692.84</v>
      </c>
      <c r="S5382" s="36">
        <v>821.11</v>
      </c>
      <c r="T5382" s="36">
        <v>673.04</v>
      </c>
      <c r="U5382" s="34"/>
      <c r="V5382" s="34"/>
      <c r="W5382" s="34"/>
      <c r="X5382" s="37">
        <v>0.499</v>
      </c>
      <c r="Y5382" s="38">
        <v>2.8119999999999998E-3</v>
      </c>
      <c r="Z5382" s="21">
        <v>4660008013585</v>
      </c>
    </row>
    <row r="5383" spans="1:26" ht="12" customHeight="1" outlineLevel="3" x14ac:dyDescent="0.2">
      <c r="A5383" s="14" t="s">
        <v>10414</v>
      </c>
      <c r="B5383" s="26" t="s">
        <v>10415</v>
      </c>
      <c r="C5383" s="52"/>
      <c r="D5383" s="55">
        <f t="shared" si="83"/>
        <v>0</v>
      </c>
      <c r="E5383" s="63" t="str">
        <f>HYPERLINK("https://www.sds-group.ru/product/nabor-k22-dlya-payki-vspomogatelnyy-derzhatel-tretya-ruka-podstavka-ekstraktor-rexant-09-3762/", "Инфо")</f>
        <v>Инфо</v>
      </c>
      <c r="F5383" s="16" t="s">
        <v>4698</v>
      </c>
      <c r="G5383" s="15"/>
      <c r="H5383" s="15"/>
      <c r="I5383" s="15"/>
      <c r="J5383" s="17">
        <v>153</v>
      </c>
      <c r="K5383" s="15"/>
      <c r="L5383" s="17">
        <v>1</v>
      </c>
      <c r="M5383" s="17">
        <v>30</v>
      </c>
      <c r="N5383" s="17">
        <v>1</v>
      </c>
      <c r="O5383" s="18">
        <v>1446.75</v>
      </c>
      <c r="P5383" s="18">
        <v>1185.8599999999999</v>
      </c>
      <c r="Q5383" s="18">
        <v>1012.73</v>
      </c>
      <c r="R5383" s="18">
        <v>830.11</v>
      </c>
      <c r="S5383" s="18">
        <v>983.79</v>
      </c>
      <c r="T5383" s="18">
        <v>806.39</v>
      </c>
      <c r="U5383" s="16"/>
      <c r="V5383" s="16"/>
      <c r="W5383" s="16"/>
      <c r="X5383" s="19">
        <v>0.47199999999999998</v>
      </c>
      <c r="Y5383" s="20">
        <v>2.6689999999999999E-3</v>
      </c>
      <c r="Z5383" s="21">
        <v>4601004240889</v>
      </c>
    </row>
    <row r="5384" spans="1:26" ht="12" customHeight="1" outlineLevel="3" x14ac:dyDescent="0.2">
      <c r="A5384" s="14" t="s">
        <v>10416</v>
      </c>
      <c r="B5384" s="26" t="s">
        <v>10417</v>
      </c>
      <c r="C5384" s="52"/>
      <c r="D5384" s="55">
        <f t="shared" si="83"/>
        <v>0</v>
      </c>
      <c r="E5384" s="63" t="str">
        <f>HYPERLINK("https://www.sds-group.ru/product/nabor-k4-dlya-payki-universalniy-pripoy-kanifol-payalniy-jir-flyus-skf-rexant-28459/", "Инфо")</f>
        <v>Инфо</v>
      </c>
      <c r="F5384" s="16" t="s">
        <v>4698</v>
      </c>
      <c r="G5384" s="15"/>
      <c r="H5384" s="15"/>
      <c r="I5384" s="15"/>
      <c r="J5384" s="17">
        <v>100</v>
      </c>
      <c r="K5384" s="15"/>
      <c r="L5384" s="17">
        <v>1</v>
      </c>
      <c r="M5384" s="17">
        <v>30</v>
      </c>
      <c r="N5384" s="17">
        <v>1</v>
      </c>
      <c r="O5384" s="18">
        <v>502.4</v>
      </c>
      <c r="P5384" s="18">
        <v>411.8</v>
      </c>
      <c r="Q5384" s="18">
        <v>401.92</v>
      </c>
      <c r="R5384" s="18">
        <v>329.44</v>
      </c>
      <c r="S5384" s="18">
        <v>341.63</v>
      </c>
      <c r="T5384" s="18">
        <v>280.02</v>
      </c>
      <c r="U5384" s="16"/>
      <c r="V5384" s="16"/>
      <c r="W5384" s="16" t="s">
        <v>40</v>
      </c>
      <c r="X5384" s="19">
        <v>8.5999999999999993E-2</v>
      </c>
      <c r="Y5384" s="20">
        <v>1.8E-5</v>
      </c>
      <c r="Z5384" s="21">
        <v>4601004240858</v>
      </c>
    </row>
    <row r="5385" spans="1:26" ht="12" customHeight="1" outlineLevel="3" x14ac:dyDescent="0.2">
      <c r="A5385" s="14" t="s">
        <v>10418</v>
      </c>
      <c r="B5385" s="26" t="s">
        <v>10419</v>
      </c>
      <c r="C5385" s="52"/>
      <c r="D5385" s="55">
        <f t="shared" ref="D5385:D5448" si="84">C5385*(O5385-O5385*$G$3)</f>
        <v>0</v>
      </c>
      <c r="E5385" s="63" t="str">
        <f>HYPERLINK("https://www.sds-group.ru/product/nabor-k5-dlya-payki-universalnyy-pripoy-gubka-kanifol-flyus-skf-flyus-ok-rexant-09-3745/", "Инфо")</f>
        <v>Инфо</v>
      </c>
      <c r="F5385" s="16" t="s">
        <v>4698</v>
      </c>
      <c r="G5385" s="15"/>
      <c r="H5385" s="15"/>
      <c r="I5385" s="15"/>
      <c r="J5385" s="17">
        <v>100</v>
      </c>
      <c r="K5385" s="15"/>
      <c r="L5385" s="17">
        <v>1</v>
      </c>
      <c r="M5385" s="17">
        <v>30</v>
      </c>
      <c r="N5385" s="17">
        <v>1</v>
      </c>
      <c r="O5385" s="18">
        <v>691.27</v>
      </c>
      <c r="P5385" s="18">
        <v>566.61</v>
      </c>
      <c r="Q5385" s="18">
        <v>553.02</v>
      </c>
      <c r="R5385" s="18">
        <v>453.3</v>
      </c>
      <c r="S5385" s="18">
        <v>470.06</v>
      </c>
      <c r="T5385" s="18">
        <v>385.3</v>
      </c>
      <c r="U5385" s="16"/>
      <c r="V5385" s="16"/>
      <c r="W5385" s="16" t="s">
        <v>40</v>
      </c>
      <c r="X5385" s="19">
        <v>0.115</v>
      </c>
      <c r="Y5385" s="20">
        <v>3.0000000000000001E-6</v>
      </c>
      <c r="Z5385" s="21">
        <v>4601004240865</v>
      </c>
    </row>
    <row r="5386" spans="1:26" ht="12.95" customHeight="1" outlineLevel="2" x14ac:dyDescent="0.2">
      <c r="A5386" s="76" t="s">
        <v>10420</v>
      </c>
      <c r="B5386" s="76"/>
      <c r="C5386" s="77"/>
      <c r="D5386" s="58"/>
      <c r="E5386" s="68"/>
      <c r="F5386" s="13"/>
      <c r="G5386" s="13"/>
      <c r="H5386" s="13"/>
      <c r="I5386" s="13"/>
      <c r="J5386" s="13"/>
      <c r="K5386" s="13"/>
      <c r="L5386" s="13"/>
      <c r="M5386" s="13"/>
      <c r="N5386" s="13"/>
      <c r="O5386" s="13"/>
      <c r="P5386" s="13"/>
      <c r="Q5386" s="13"/>
      <c r="R5386" s="13"/>
      <c r="S5386" s="13"/>
      <c r="T5386" s="13"/>
      <c r="U5386" s="13"/>
      <c r="V5386" s="13"/>
      <c r="W5386" s="13"/>
      <c r="X5386" s="13"/>
      <c r="Y5386" s="13"/>
      <c r="Z5386" s="13"/>
    </row>
    <row r="5387" spans="1:26" ht="12" customHeight="1" outlineLevel="3" x14ac:dyDescent="0.2">
      <c r="A5387" s="14" t="s">
        <v>10421</v>
      </c>
      <c r="B5387" s="26" t="s">
        <v>10422</v>
      </c>
      <c r="C5387" s="52"/>
      <c r="D5387" s="55">
        <f t="shared" si="84"/>
        <v>0</v>
      </c>
      <c r="E5387" s="63" t="str">
        <f>HYPERLINK("https://www.sds-group.ru/product/vyzhigatel-nabor-payalnik-vyzhigatel-pirograf-30-50vt-230v-420-500-c-21-nasadka-podstavka-ko-12-0187/", "Инфо")</f>
        <v>Инфо</v>
      </c>
      <c r="F5387" s="16" t="s">
        <v>39</v>
      </c>
      <c r="G5387" s="15"/>
      <c r="H5387" s="15"/>
      <c r="I5387" s="15"/>
      <c r="J5387" s="17">
        <v>161</v>
      </c>
      <c r="K5387" s="15"/>
      <c r="L5387" s="17">
        <v>1</v>
      </c>
      <c r="M5387" s="17">
        <v>25</v>
      </c>
      <c r="N5387" s="17">
        <v>1</v>
      </c>
      <c r="O5387" s="18">
        <v>3161.34</v>
      </c>
      <c r="P5387" s="18">
        <v>2591.2600000000002</v>
      </c>
      <c r="Q5387" s="18">
        <v>2434.23</v>
      </c>
      <c r="R5387" s="18">
        <v>1995.27</v>
      </c>
      <c r="S5387" s="18">
        <v>2149.71</v>
      </c>
      <c r="T5387" s="18">
        <v>1762.06</v>
      </c>
      <c r="U5387" s="16"/>
      <c r="V5387" s="16"/>
      <c r="W5387" s="16" t="s">
        <v>40</v>
      </c>
      <c r="X5387" s="19">
        <v>0.26400000000000001</v>
      </c>
      <c r="Y5387" s="20">
        <v>1.0399999999999999E-3</v>
      </c>
      <c r="Z5387" s="21">
        <v>4601004043121</v>
      </c>
    </row>
    <row r="5388" spans="1:26" ht="12" customHeight="1" outlineLevel="3" x14ac:dyDescent="0.2">
      <c r="A5388" s="14" t="s">
        <v>10423</v>
      </c>
      <c r="B5388" s="26" t="s">
        <v>10424</v>
      </c>
      <c r="C5388" s="52"/>
      <c r="D5388" s="55">
        <f t="shared" si="84"/>
        <v>0</v>
      </c>
      <c r="E5388" s="63" t="str">
        <f>HYPERLINK("https://www.sds-group.ru/product/vyzhigatel-nabor-payalnik-vyzhigatel-pirograf-30vt-230v-420-450-c-21-nasadka-podstavka-kor-12-0183-1/", "Инфо")</f>
        <v>Инфо</v>
      </c>
      <c r="F5388" s="16" t="s">
        <v>39</v>
      </c>
      <c r="G5388" s="15"/>
      <c r="H5388" s="15"/>
      <c r="I5388" s="15"/>
      <c r="J5388" s="17">
        <v>608</v>
      </c>
      <c r="K5388" s="15"/>
      <c r="L5388" s="17">
        <v>1</v>
      </c>
      <c r="M5388" s="17">
        <v>40</v>
      </c>
      <c r="N5388" s="17">
        <v>1</v>
      </c>
      <c r="O5388" s="18">
        <v>1832.63</v>
      </c>
      <c r="P5388" s="18">
        <v>1502.16</v>
      </c>
      <c r="Q5388" s="18">
        <v>1411.13</v>
      </c>
      <c r="R5388" s="18">
        <v>1156.6600000000001</v>
      </c>
      <c r="S5388" s="18">
        <v>1246.19</v>
      </c>
      <c r="T5388" s="18">
        <v>1021.47</v>
      </c>
      <c r="U5388" s="16"/>
      <c r="V5388" s="16"/>
      <c r="W5388" s="16" t="s">
        <v>40</v>
      </c>
      <c r="X5388" s="19">
        <v>0.40500000000000003</v>
      </c>
      <c r="Y5388" s="20">
        <v>1.6919999999999999E-3</v>
      </c>
      <c r="Z5388" s="21">
        <v>4660008017033</v>
      </c>
    </row>
    <row r="5389" spans="1:26" ht="12" customHeight="1" outlineLevel="3" x14ac:dyDescent="0.2">
      <c r="A5389" s="14" t="s">
        <v>10425</v>
      </c>
      <c r="B5389" s="26" t="s">
        <v>10426</v>
      </c>
      <c r="C5389" s="52"/>
      <c r="D5389" s="55">
        <f t="shared" si="84"/>
        <v>0</v>
      </c>
      <c r="E5389" s="63" t="str">
        <f>HYPERLINK("https://www.sds-group.ru/product/vyzhigatel-nabor-payalnik-vyzhigatel-pirograf-30vt-230v-420-450-c-6-nasadok-blister-rexant-12-0183/", "Инфо")</f>
        <v>Инфо</v>
      </c>
      <c r="F5389" s="16" t="s">
        <v>39</v>
      </c>
      <c r="G5389" s="15"/>
      <c r="H5389" s="15"/>
      <c r="I5389" s="15"/>
      <c r="J5389" s="22">
        <v>3468</v>
      </c>
      <c r="K5389" s="15" t="s">
        <v>1277</v>
      </c>
      <c r="L5389" s="17">
        <v>1</v>
      </c>
      <c r="M5389" s="17">
        <v>50</v>
      </c>
      <c r="N5389" s="17">
        <v>1</v>
      </c>
      <c r="O5389" s="18">
        <v>1018.62</v>
      </c>
      <c r="P5389" s="18">
        <v>834.93</v>
      </c>
      <c r="Q5389" s="18">
        <v>713.03</v>
      </c>
      <c r="R5389" s="18">
        <v>584.45000000000005</v>
      </c>
      <c r="S5389" s="18">
        <v>692.66</v>
      </c>
      <c r="T5389" s="18">
        <v>567.75</v>
      </c>
      <c r="U5389" s="16"/>
      <c r="V5389" s="16"/>
      <c r="W5389" s="16"/>
      <c r="X5389" s="19">
        <v>0.22800000000000001</v>
      </c>
      <c r="Y5389" s="20">
        <v>1.983E-3</v>
      </c>
      <c r="Z5389" s="21">
        <v>4660008013455</v>
      </c>
    </row>
    <row r="5390" spans="1:26" ht="12" customHeight="1" outlineLevel="3" x14ac:dyDescent="0.2">
      <c r="A5390" s="14" t="s">
        <v>10427</v>
      </c>
      <c r="B5390" s="26" t="s">
        <v>10428</v>
      </c>
      <c r="C5390" s="52"/>
      <c r="D5390" s="55">
        <f t="shared" si="84"/>
        <v>0</v>
      </c>
      <c r="E5390" s="63" t="str">
        <f>HYPERLINK("https://www.sds-group.ru/product/vyzhigatel-nabor-payalnik-vyzhigatel-pirograf-30vt-230v-7-nasadok-podstavka-kistochka-kraski-12-0186/", "Инфо")</f>
        <v>Инфо</v>
      </c>
      <c r="F5390" s="16" t="s">
        <v>39</v>
      </c>
      <c r="G5390" s="15"/>
      <c r="H5390" s="15"/>
      <c r="I5390" s="15"/>
      <c r="J5390" s="22">
        <v>1996</v>
      </c>
      <c r="K5390" s="15"/>
      <c r="L5390" s="17">
        <v>1</v>
      </c>
      <c r="M5390" s="17">
        <v>48</v>
      </c>
      <c r="N5390" s="17">
        <v>1</v>
      </c>
      <c r="O5390" s="18">
        <v>1454.25</v>
      </c>
      <c r="P5390" s="18">
        <v>1192.01</v>
      </c>
      <c r="Q5390" s="18">
        <v>1017.98</v>
      </c>
      <c r="R5390" s="18">
        <v>834.41</v>
      </c>
      <c r="S5390" s="18">
        <v>988.89</v>
      </c>
      <c r="T5390" s="18">
        <v>810.57</v>
      </c>
      <c r="U5390" s="16"/>
      <c r="V5390" s="16"/>
      <c r="W5390" s="16"/>
      <c r="X5390" s="19">
        <v>0.26400000000000001</v>
      </c>
      <c r="Y5390" s="20">
        <v>2.3389999999999999E-3</v>
      </c>
      <c r="Z5390" s="21">
        <v>4601004043107</v>
      </c>
    </row>
    <row r="5391" spans="1:26" ht="12" customHeight="1" outlineLevel="3" x14ac:dyDescent="0.2">
      <c r="A5391" s="14" t="s">
        <v>10429</v>
      </c>
      <c r="B5391" s="26" t="s">
        <v>10430</v>
      </c>
      <c r="C5391" s="52"/>
      <c r="D5391" s="55">
        <f t="shared" si="84"/>
        <v>0</v>
      </c>
      <c r="E5391" s="63" t="str">
        <f>HYPERLINK("https://www.sds-group.ru/product/vyzhigatel-pribor-dlya-vyzhiganiya-pirograf-40vt-230v-250-750-c-korobka-rexant-12-0142/", "Инфо")</f>
        <v>Инфо</v>
      </c>
      <c r="F5391" s="16" t="s">
        <v>39</v>
      </c>
      <c r="G5391" s="15"/>
      <c r="H5391" s="15"/>
      <c r="I5391" s="15"/>
      <c r="J5391" s="17">
        <v>586</v>
      </c>
      <c r="K5391" s="15"/>
      <c r="L5391" s="17">
        <v>1</v>
      </c>
      <c r="M5391" s="17">
        <v>10</v>
      </c>
      <c r="N5391" s="17">
        <v>1</v>
      </c>
      <c r="O5391" s="18">
        <v>4311</v>
      </c>
      <c r="P5391" s="18">
        <v>3533.61</v>
      </c>
      <c r="Q5391" s="18">
        <v>3147.03</v>
      </c>
      <c r="R5391" s="18">
        <v>2579.5300000000002</v>
      </c>
      <c r="S5391" s="18">
        <v>2931.48</v>
      </c>
      <c r="T5391" s="18">
        <v>2402.85</v>
      </c>
      <c r="U5391" s="16"/>
      <c r="V5391" s="16"/>
      <c r="W5391" s="16" t="s">
        <v>40</v>
      </c>
      <c r="X5391" s="19">
        <v>1.2829999999999999</v>
      </c>
      <c r="Y5391" s="20">
        <v>3.3700000000000002E-3</v>
      </c>
      <c r="Z5391" s="21">
        <v>4601004001268</v>
      </c>
    </row>
    <row r="5392" spans="1:26" ht="12" customHeight="1" outlineLevel="3" x14ac:dyDescent="0.2">
      <c r="A5392" s="32" t="s">
        <v>10431</v>
      </c>
      <c r="B5392" s="74" t="s">
        <v>10432</v>
      </c>
      <c r="C5392" s="50"/>
      <c r="D5392" s="53">
        <f t="shared" si="84"/>
        <v>0</v>
      </c>
      <c r="E5392" s="60" t="str">
        <f>HYPERLINK("https://www.sds-group.ru/product/nabor-dlya-vyzhiganiya-dlya-malchikov-vyzhigatel-5-dosok-150h150mm-paket-rexant-12-0929-2/", "Инфо")</f>
        <v>Инфо</v>
      </c>
      <c r="F5392" s="34" t="s">
        <v>39</v>
      </c>
      <c r="G5392" s="33"/>
      <c r="H5392" s="33" t="s">
        <v>40</v>
      </c>
      <c r="I5392" s="33"/>
      <c r="J5392" s="35">
        <v>1</v>
      </c>
      <c r="K5392" s="33"/>
      <c r="L5392" s="35">
        <v>1</v>
      </c>
      <c r="M5392" s="35">
        <v>6</v>
      </c>
      <c r="N5392" s="35">
        <v>1</v>
      </c>
      <c r="O5392" s="36">
        <v>7402.36</v>
      </c>
      <c r="P5392" s="36">
        <v>6067.51</v>
      </c>
      <c r="Q5392" s="36">
        <v>5181.6499999999996</v>
      </c>
      <c r="R5392" s="36">
        <v>4247.25</v>
      </c>
      <c r="S5392" s="36">
        <v>5033.6000000000004</v>
      </c>
      <c r="T5392" s="36">
        <v>4125.8999999999996</v>
      </c>
      <c r="U5392" s="34"/>
      <c r="V5392" s="34"/>
      <c r="W5392" s="34"/>
      <c r="X5392" s="37">
        <v>1.47</v>
      </c>
      <c r="Y5392" s="38">
        <v>3.1359999999999999E-3</v>
      </c>
      <c r="Z5392" s="21">
        <v>4601004151710</v>
      </c>
    </row>
    <row r="5393" spans="1:26" ht="12" customHeight="1" outlineLevel="3" x14ac:dyDescent="0.2">
      <c r="A5393" s="14" t="s">
        <v>10433</v>
      </c>
      <c r="B5393" s="26" t="s">
        <v>10434</v>
      </c>
      <c r="C5393" s="52"/>
      <c r="D5393" s="55">
        <f t="shared" si="84"/>
        <v>0</v>
      </c>
      <c r="E5393" s="63" t="str">
        <f>HYPERLINK("https://www.sds-group.ru/product/nabor-dlya-vijiganiya-kormushka-dlya-ptits-vijigatel-3d-model-150h150mm-paket-rexant-20362/", "Инфо")</f>
        <v>Инфо</v>
      </c>
      <c r="F5393" s="16" t="s">
        <v>39</v>
      </c>
      <c r="G5393" s="15"/>
      <c r="H5393" s="15"/>
      <c r="I5393" s="15"/>
      <c r="J5393" s="16" t="s">
        <v>100</v>
      </c>
      <c r="K5393" s="15"/>
      <c r="L5393" s="17">
        <v>1</v>
      </c>
      <c r="M5393" s="17">
        <v>6</v>
      </c>
      <c r="N5393" s="17">
        <v>1</v>
      </c>
      <c r="O5393" s="18">
        <v>6483.35</v>
      </c>
      <c r="P5393" s="18">
        <v>5314.22</v>
      </c>
      <c r="Q5393" s="18">
        <v>4538.3500000000004</v>
      </c>
      <c r="R5393" s="18">
        <v>3719.96</v>
      </c>
      <c r="S5393" s="18">
        <v>4408.68</v>
      </c>
      <c r="T5393" s="18">
        <v>3613.67</v>
      </c>
      <c r="U5393" s="16"/>
      <c r="V5393" s="16"/>
      <c r="W5393" s="16"/>
      <c r="X5393" s="19">
        <v>1.56</v>
      </c>
      <c r="Y5393" s="20">
        <v>3.2130000000000001E-3</v>
      </c>
      <c r="Z5393" s="21">
        <v>4601004151727</v>
      </c>
    </row>
    <row r="5394" spans="1:26" ht="12.95" customHeight="1" outlineLevel="2" x14ac:dyDescent="0.2">
      <c r="A5394" s="76" t="s">
        <v>10435</v>
      </c>
      <c r="B5394" s="76"/>
      <c r="C5394" s="77"/>
      <c r="D5394" s="58"/>
      <c r="E5394" s="68"/>
      <c r="F5394" s="13"/>
      <c r="G5394" s="13"/>
      <c r="H5394" s="13"/>
      <c r="I5394" s="13"/>
      <c r="J5394" s="13"/>
      <c r="K5394" s="13"/>
      <c r="L5394" s="13"/>
      <c r="M5394" s="13"/>
      <c r="N5394" s="13"/>
      <c r="O5394" s="13"/>
      <c r="P5394" s="13"/>
      <c r="Q5394" s="13"/>
      <c r="R5394" s="13"/>
      <c r="S5394" s="13"/>
      <c r="T5394" s="13"/>
      <c r="U5394" s="13"/>
      <c r="V5394" s="13"/>
      <c r="W5394" s="13"/>
      <c r="X5394" s="13"/>
      <c r="Y5394" s="13"/>
      <c r="Z5394" s="13"/>
    </row>
    <row r="5395" spans="1:26" ht="12" customHeight="1" outlineLevel="3" x14ac:dyDescent="0.2">
      <c r="A5395" s="14" t="s">
        <v>10436</v>
      </c>
      <c r="B5395" s="26" t="s">
        <v>10437</v>
      </c>
      <c r="C5395" s="52"/>
      <c r="D5395" s="55">
        <f t="shared" si="84"/>
        <v>0</v>
      </c>
      <c r="E5395" s="63" t="str">
        <f>HYPERLINK("https://www.sds-group.ru/product/payalnaya-vanna-model-r100-300vt-100mm-200-480-c-rexant-09-9070/", "Инфо")</f>
        <v>Инфо</v>
      </c>
      <c r="F5395" s="16" t="s">
        <v>39</v>
      </c>
      <c r="G5395" s="15"/>
      <c r="H5395" s="15"/>
      <c r="I5395" s="15"/>
      <c r="J5395" s="17">
        <v>94</v>
      </c>
      <c r="K5395" s="15" t="s">
        <v>1587</v>
      </c>
      <c r="L5395" s="17">
        <v>1</v>
      </c>
      <c r="M5395" s="17">
        <v>20</v>
      </c>
      <c r="N5395" s="17">
        <v>1</v>
      </c>
      <c r="O5395" s="18">
        <v>3232.98</v>
      </c>
      <c r="P5395" s="18">
        <v>2649.98</v>
      </c>
      <c r="Q5395" s="18">
        <v>2360.08</v>
      </c>
      <c r="R5395" s="18">
        <v>1934.49</v>
      </c>
      <c r="S5395" s="18">
        <v>2198.4299999999998</v>
      </c>
      <c r="T5395" s="18">
        <v>1801.99</v>
      </c>
      <c r="U5395" s="16"/>
      <c r="V5395" s="16"/>
      <c r="W5395" s="16" t="s">
        <v>40</v>
      </c>
      <c r="X5395" s="19">
        <v>1.1319999999999999</v>
      </c>
      <c r="Y5395" s="20">
        <v>3.1050000000000001E-3</v>
      </c>
      <c r="Z5395" s="21">
        <v>4601004161375</v>
      </c>
    </row>
    <row r="5396" spans="1:26" ht="12" customHeight="1" outlineLevel="3" x14ac:dyDescent="0.2">
      <c r="A5396" s="14" t="s">
        <v>10438</v>
      </c>
      <c r="B5396" s="26" t="s">
        <v>10439</v>
      </c>
      <c r="C5396" s="52"/>
      <c r="D5396" s="55">
        <f t="shared" si="84"/>
        <v>0</v>
      </c>
      <c r="E5396" s="63" t="str">
        <f>HYPERLINK("https://www.sds-group.ru/product/payalnaya-vanna-model-r150-900vt-150h100h45mm-0-400-c-tsifrovaya-rexant-09-9071/", "Инфо")</f>
        <v>Инфо</v>
      </c>
      <c r="F5396" s="16" t="s">
        <v>39</v>
      </c>
      <c r="G5396" s="15"/>
      <c r="H5396" s="15"/>
      <c r="I5396" s="15"/>
      <c r="J5396" s="17">
        <v>2</v>
      </c>
      <c r="K5396" s="15" t="s">
        <v>1587</v>
      </c>
      <c r="L5396" s="17">
        <v>1</v>
      </c>
      <c r="M5396" s="17">
        <v>4</v>
      </c>
      <c r="N5396" s="17">
        <v>1</v>
      </c>
      <c r="O5396" s="18">
        <v>32210.16</v>
      </c>
      <c r="P5396" s="18">
        <v>26401.77</v>
      </c>
      <c r="Q5396" s="18">
        <v>23513.42</v>
      </c>
      <c r="R5396" s="18">
        <v>19273.3</v>
      </c>
      <c r="S5396" s="18">
        <v>21902.91</v>
      </c>
      <c r="T5396" s="18">
        <v>17953.2</v>
      </c>
      <c r="U5396" s="16"/>
      <c r="V5396" s="16"/>
      <c r="W5396" s="16" t="s">
        <v>40</v>
      </c>
      <c r="X5396" s="19">
        <v>4.7880000000000003</v>
      </c>
      <c r="Y5396" s="20">
        <v>1.8179000000000001E-2</v>
      </c>
      <c r="Z5396" s="21">
        <v>4601004161405</v>
      </c>
    </row>
    <row r="5397" spans="1:26" ht="12" customHeight="1" outlineLevel="3" x14ac:dyDescent="0.2">
      <c r="A5397" s="14" t="s">
        <v>10440</v>
      </c>
      <c r="B5397" s="26" t="s">
        <v>10441</v>
      </c>
      <c r="C5397" s="52"/>
      <c r="D5397" s="55">
        <f t="shared" si="84"/>
        <v>0</v>
      </c>
      <c r="E5397" s="63" t="str">
        <f>HYPERLINK("https://www.sds-group.ru/product/payalnaya-vanna-model-r38-100vt-38mm-200-480-c-rexant-09-9010/", "Инфо")</f>
        <v>Инфо</v>
      </c>
      <c r="F5397" s="16" t="s">
        <v>39</v>
      </c>
      <c r="G5397" s="15"/>
      <c r="H5397" s="15"/>
      <c r="I5397" s="15"/>
      <c r="J5397" s="17">
        <v>285</v>
      </c>
      <c r="K5397" s="15" t="s">
        <v>1587</v>
      </c>
      <c r="L5397" s="17">
        <v>1</v>
      </c>
      <c r="M5397" s="17">
        <v>20</v>
      </c>
      <c r="N5397" s="17">
        <v>1</v>
      </c>
      <c r="O5397" s="18">
        <v>1939.35</v>
      </c>
      <c r="P5397" s="18">
        <v>1589.63</v>
      </c>
      <c r="Q5397" s="18">
        <v>1493.3</v>
      </c>
      <c r="R5397" s="18">
        <v>1224.02</v>
      </c>
      <c r="S5397" s="18">
        <v>1318.76</v>
      </c>
      <c r="T5397" s="18">
        <v>1080.95</v>
      </c>
      <c r="U5397" s="16"/>
      <c r="V5397" s="16"/>
      <c r="W5397" s="16" t="s">
        <v>40</v>
      </c>
      <c r="X5397" s="19">
        <v>0.63200000000000001</v>
      </c>
      <c r="Y5397" s="20">
        <v>1.7060000000000001E-3</v>
      </c>
      <c r="Z5397" s="21">
        <v>4601004161344</v>
      </c>
    </row>
    <row r="5398" spans="1:26" ht="12" customHeight="1" outlineLevel="3" x14ac:dyDescent="0.2">
      <c r="A5398" s="32" t="s">
        <v>10442</v>
      </c>
      <c r="B5398" s="74" t="s">
        <v>10443</v>
      </c>
      <c r="C5398" s="50"/>
      <c r="D5398" s="53">
        <f t="shared" si="84"/>
        <v>0</v>
      </c>
      <c r="E5398" s="60" t="str">
        <f>HYPERLINK("https://www.sds-group.ru/product/payalnaya-vanna-model-r38f-100vt-38mm-200-480-c-bessvintsovaya-rexant-09-9210/", "Инфо")</f>
        <v>Инфо</v>
      </c>
      <c r="F5398" s="34" t="s">
        <v>39</v>
      </c>
      <c r="G5398" s="33"/>
      <c r="H5398" s="33" t="s">
        <v>40</v>
      </c>
      <c r="I5398" s="33"/>
      <c r="J5398" s="35">
        <v>32</v>
      </c>
      <c r="K5398" s="33"/>
      <c r="L5398" s="35">
        <v>1</v>
      </c>
      <c r="M5398" s="35">
        <v>20</v>
      </c>
      <c r="N5398" s="35">
        <v>1</v>
      </c>
      <c r="O5398" s="36">
        <v>3933.69</v>
      </c>
      <c r="P5398" s="36">
        <v>3224.34</v>
      </c>
      <c r="Q5398" s="36">
        <v>2753.58</v>
      </c>
      <c r="R5398" s="36">
        <v>2257.0300000000002</v>
      </c>
      <c r="S5398" s="36">
        <v>2674.91</v>
      </c>
      <c r="T5398" s="36">
        <v>2192.5500000000002</v>
      </c>
      <c r="U5398" s="34"/>
      <c r="V5398" s="34"/>
      <c r="W5398" s="34"/>
      <c r="X5398" s="37">
        <v>0.63900000000000001</v>
      </c>
      <c r="Y5398" s="38">
        <v>1.7210000000000001E-3</v>
      </c>
      <c r="Z5398" s="21">
        <v>4601004161412</v>
      </c>
    </row>
    <row r="5399" spans="1:26" ht="12" customHeight="1" outlineLevel="3" x14ac:dyDescent="0.2">
      <c r="A5399" s="14" t="s">
        <v>10444</v>
      </c>
      <c r="B5399" s="26" t="s">
        <v>10445</v>
      </c>
      <c r="C5399" s="52"/>
      <c r="D5399" s="55">
        <f t="shared" si="84"/>
        <v>0</v>
      </c>
      <c r="E5399" s="63" t="str">
        <f>HYPERLINK("https://www.sds-group.ru/product/payalnaya-vanna-model-r50-150vt-50mm-200-480-c-rexant-09-9030/", "Инфо")</f>
        <v>Инфо</v>
      </c>
      <c r="F5399" s="16" t="s">
        <v>39</v>
      </c>
      <c r="G5399" s="15"/>
      <c r="H5399" s="15"/>
      <c r="I5399" s="15"/>
      <c r="J5399" s="16" t="s">
        <v>100</v>
      </c>
      <c r="K5399" s="15" t="s">
        <v>1587</v>
      </c>
      <c r="L5399" s="17">
        <v>1</v>
      </c>
      <c r="M5399" s="17">
        <v>20</v>
      </c>
      <c r="N5399" s="17">
        <v>1</v>
      </c>
      <c r="O5399" s="18">
        <v>1991.8</v>
      </c>
      <c r="P5399" s="18">
        <v>1632.62</v>
      </c>
      <c r="Q5399" s="18">
        <v>1533.69</v>
      </c>
      <c r="R5399" s="18">
        <v>1257.1199999999999</v>
      </c>
      <c r="S5399" s="18">
        <v>1354.42</v>
      </c>
      <c r="T5399" s="18">
        <v>1110.18</v>
      </c>
      <c r="U5399" s="16"/>
      <c r="V5399" s="16"/>
      <c r="W5399" s="16" t="s">
        <v>40</v>
      </c>
      <c r="X5399" s="19">
        <v>0.67</v>
      </c>
      <c r="Y5399" s="20">
        <v>1.725E-3</v>
      </c>
      <c r="Z5399" s="21">
        <v>4601004161351</v>
      </c>
    </row>
    <row r="5400" spans="1:26" ht="12" customHeight="1" outlineLevel="3" x14ac:dyDescent="0.2">
      <c r="A5400" s="14" t="s">
        <v>10446</v>
      </c>
      <c r="B5400" s="26" t="s">
        <v>10447</v>
      </c>
      <c r="C5400" s="52"/>
      <c r="D5400" s="55">
        <f t="shared" si="84"/>
        <v>0</v>
      </c>
      <c r="E5400" s="63" t="str">
        <f>HYPERLINK("https://www.sds-group.ru/product/payalnaya-vanna-model-r80-250vt-80mm-200-480-c-rexant-09-9050/", "Инфо")</f>
        <v>Инфо</v>
      </c>
      <c r="F5400" s="16" t="s">
        <v>39</v>
      </c>
      <c r="G5400" s="15"/>
      <c r="H5400" s="15"/>
      <c r="I5400" s="15"/>
      <c r="J5400" s="17">
        <v>289</v>
      </c>
      <c r="K5400" s="15"/>
      <c r="L5400" s="17">
        <v>1</v>
      </c>
      <c r="M5400" s="17">
        <v>20</v>
      </c>
      <c r="N5400" s="17">
        <v>1</v>
      </c>
      <c r="O5400" s="18">
        <v>2801.77</v>
      </c>
      <c r="P5400" s="18">
        <v>2296.5300000000002</v>
      </c>
      <c r="Q5400" s="18">
        <v>2045.29</v>
      </c>
      <c r="R5400" s="18">
        <v>1676.47</v>
      </c>
      <c r="S5400" s="18">
        <v>1905.2</v>
      </c>
      <c r="T5400" s="18">
        <v>1561.64</v>
      </c>
      <c r="U5400" s="16"/>
      <c r="V5400" s="16"/>
      <c r="W5400" s="16" t="s">
        <v>40</v>
      </c>
      <c r="X5400" s="19">
        <v>1.081</v>
      </c>
      <c r="Y5400" s="20">
        <v>3.1389999999999999E-3</v>
      </c>
      <c r="Z5400" s="21">
        <v>4601004161368</v>
      </c>
    </row>
    <row r="5401" spans="1:26" ht="12.95" customHeight="1" outlineLevel="2" x14ac:dyDescent="0.2">
      <c r="A5401" s="76" t="s">
        <v>10448</v>
      </c>
      <c r="B5401" s="76"/>
      <c r="C5401" s="77"/>
      <c r="D5401" s="58"/>
      <c r="E5401" s="68"/>
      <c r="F5401" s="13"/>
      <c r="G5401" s="13"/>
      <c r="H5401" s="13"/>
      <c r="I5401" s="13"/>
      <c r="J5401" s="13"/>
      <c r="K5401" s="13"/>
      <c r="L5401" s="13"/>
      <c r="M5401" s="13"/>
      <c r="N5401" s="13"/>
      <c r="O5401" s="13"/>
      <c r="P5401" s="13"/>
      <c r="Q5401" s="13"/>
      <c r="R5401" s="13"/>
      <c r="S5401" s="13"/>
      <c r="T5401" s="13"/>
      <c r="U5401" s="13"/>
      <c r="V5401" s="13"/>
      <c r="W5401" s="13"/>
      <c r="X5401" s="13"/>
      <c r="Y5401" s="13"/>
      <c r="Z5401" s="13"/>
    </row>
    <row r="5402" spans="1:26" ht="12" customHeight="1" outlineLevel="3" x14ac:dyDescent="0.2">
      <c r="A5402" s="14" t="s">
        <v>10449</v>
      </c>
      <c r="B5402" s="26" t="s">
        <v>10450</v>
      </c>
      <c r="C5402" s="52"/>
      <c r="D5402" s="55">
        <f t="shared" si="84"/>
        <v>0</v>
      </c>
      <c r="E5402" s="63" t="str">
        <f>HYPERLINK("https://www.sds-group.ru/product/antistaticheskiy-braslet-rexant-12-0255/", "Инфо")</f>
        <v>Инфо</v>
      </c>
      <c r="F5402" s="16" t="s">
        <v>39</v>
      </c>
      <c r="G5402" s="15"/>
      <c r="H5402" s="15"/>
      <c r="I5402" s="15"/>
      <c r="J5402" s="16" t="s">
        <v>100</v>
      </c>
      <c r="K5402" s="15" t="s">
        <v>1587</v>
      </c>
      <c r="L5402" s="17">
        <v>1</v>
      </c>
      <c r="M5402" s="17">
        <v>300</v>
      </c>
      <c r="N5402" s="17">
        <v>1</v>
      </c>
      <c r="O5402" s="18">
        <v>434.74</v>
      </c>
      <c r="P5402" s="18">
        <v>356.34</v>
      </c>
      <c r="Q5402" s="18">
        <v>347.79</v>
      </c>
      <c r="R5402" s="18">
        <v>285.07</v>
      </c>
      <c r="S5402" s="18">
        <v>295.62</v>
      </c>
      <c r="T5402" s="18">
        <v>242.31</v>
      </c>
      <c r="U5402" s="16"/>
      <c r="V5402" s="16"/>
      <c r="W5402" s="16" t="s">
        <v>40</v>
      </c>
      <c r="X5402" s="19">
        <v>3.9E-2</v>
      </c>
      <c r="Y5402" s="20">
        <v>2.1900000000000001E-4</v>
      </c>
      <c r="Z5402" s="21">
        <v>4601004002951</v>
      </c>
    </row>
    <row r="5403" spans="1:26" ht="12" customHeight="1" outlineLevel="3" x14ac:dyDescent="0.2">
      <c r="A5403" s="14" t="s">
        <v>10451</v>
      </c>
      <c r="B5403" s="26" t="s">
        <v>10452</v>
      </c>
      <c r="C5403" s="52"/>
      <c r="D5403" s="55">
        <f t="shared" si="84"/>
        <v>0</v>
      </c>
      <c r="E5403" s="63" t="str">
        <f>HYPERLINK("https://www.sds-group.ru/product/vakuumnyy-ekstraktor-pripoya-olovootsos-metall-rexant-12-0205/", "Инфо")</f>
        <v>Инфо</v>
      </c>
      <c r="F5403" s="16" t="s">
        <v>39</v>
      </c>
      <c r="G5403" s="15"/>
      <c r="H5403" s="15"/>
      <c r="I5403" s="15"/>
      <c r="J5403" s="17">
        <v>43</v>
      </c>
      <c r="K5403" s="15" t="s">
        <v>1277</v>
      </c>
      <c r="L5403" s="17">
        <v>1</v>
      </c>
      <c r="M5403" s="17">
        <v>200</v>
      </c>
      <c r="N5403" s="17">
        <v>1</v>
      </c>
      <c r="O5403" s="18">
        <v>546.30999999999995</v>
      </c>
      <c r="P5403" s="18">
        <v>447.8</v>
      </c>
      <c r="Q5403" s="18">
        <v>382.42</v>
      </c>
      <c r="R5403" s="18">
        <v>313.45999999999998</v>
      </c>
      <c r="S5403" s="18">
        <v>371.49</v>
      </c>
      <c r="T5403" s="18">
        <v>304.5</v>
      </c>
      <c r="U5403" s="16"/>
      <c r="V5403" s="16"/>
      <c r="W5403" s="16"/>
      <c r="X5403" s="19">
        <v>8.1000000000000003E-2</v>
      </c>
      <c r="Y5403" s="20">
        <v>2.4600000000000002E-4</v>
      </c>
      <c r="Z5403" s="21">
        <v>4601004146846</v>
      </c>
    </row>
    <row r="5404" spans="1:26" ht="12" customHeight="1" outlineLevel="3" x14ac:dyDescent="0.2">
      <c r="A5404" s="14" t="s">
        <v>10453</v>
      </c>
      <c r="B5404" s="26" t="s">
        <v>10454</v>
      </c>
      <c r="C5404" s="52"/>
      <c r="D5404" s="55">
        <f t="shared" si="84"/>
        <v>0</v>
      </c>
      <c r="E5404" s="63" t="str">
        <f>HYPERLINK("https://www.sds-group.ru/product/vakuumnyy-ekstraktor-pripoya-olovootsos-metall-plastik-rexant-12-0202/", "Инфо")</f>
        <v>Инфо</v>
      </c>
      <c r="F5404" s="16" t="s">
        <v>39</v>
      </c>
      <c r="G5404" s="15"/>
      <c r="H5404" s="15"/>
      <c r="I5404" s="15"/>
      <c r="J5404" s="22">
        <v>8185</v>
      </c>
      <c r="K5404" s="15" t="s">
        <v>1590</v>
      </c>
      <c r="L5404" s="17">
        <v>5</v>
      </c>
      <c r="M5404" s="17">
        <v>200</v>
      </c>
      <c r="N5404" s="17">
        <v>5</v>
      </c>
      <c r="O5404" s="18">
        <v>242.56</v>
      </c>
      <c r="P5404" s="18">
        <v>198.82</v>
      </c>
      <c r="Q5404" s="18">
        <v>169.79</v>
      </c>
      <c r="R5404" s="18">
        <v>139.16999999999999</v>
      </c>
      <c r="S5404" s="18">
        <v>164.94</v>
      </c>
      <c r="T5404" s="18">
        <v>135.19999999999999</v>
      </c>
      <c r="U5404" s="16"/>
      <c r="V5404" s="16"/>
      <c r="W5404" s="16"/>
      <c r="X5404" s="19">
        <v>5.2999999999999999E-2</v>
      </c>
      <c r="Y5404" s="20">
        <v>2.3900000000000001E-4</v>
      </c>
      <c r="Z5404" s="21">
        <v>4610003604295</v>
      </c>
    </row>
    <row r="5405" spans="1:26" ht="12" customHeight="1" outlineLevel="3" x14ac:dyDescent="0.2">
      <c r="A5405" s="14" t="s">
        <v>10455</v>
      </c>
      <c r="B5405" s="26" t="s">
        <v>10456</v>
      </c>
      <c r="C5405" s="52"/>
      <c r="D5405" s="55">
        <f t="shared" si="84"/>
        <v>0</v>
      </c>
      <c r="E5405" s="63" t="str">
        <f>HYPERLINK("https://www.sds-group.ru/product/vakuumnyy-ekstraktor-pripoya-olovootsos-plastik-rexant-12-0201/", "Инфо")</f>
        <v>Инфо</v>
      </c>
      <c r="F5405" s="16" t="s">
        <v>39</v>
      </c>
      <c r="G5405" s="15"/>
      <c r="H5405" s="15"/>
      <c r="I5405" s="15"/>
      <c r="J5405" s="22">
        <v>1498</v>
      </c>
      <c r="K5405" s="15"/>
      <c r="L5405" s="17">
        <v>10</v>
      </c>
      <c r="M5405" s="17">
        <v>200</v>
      </c>
      <c r="N5405" s="17">
        <v>10</v>
      </c>
      <c r="O5405" s="18">
        <v>177.06</v>
      </c>
      <c r="P5405" s="18">
        <v>145.13</v>
      </c>
      <c r="Q5405" s="18">
        <v>123.94</v>
      </c>
      <c r="R5405" s="18">
        <v>101.59</v>
      </c>
      <c r="S5405" s="18">
        <v>120.4</v>
      </c>
      <c r="T5405" s="18">
        <v>98.69</v>
      </c>
      <c r="U5405" s="16"/>
      <c r="V5405" s="16"/>
      <c r="W5405" s="16"/>
      <c r="X5405" s="19">
        <v>5.1999999999999998E-2</v>
      </c>
      <c r="Y5405" s="20">
        <v>2.43E-4</v>
      </c>
      <c r="Z5405" s="21">
        <v>4610003604288</v>
      </c>
    </row>
    <row r="5406" spans="1:26" ht="12" customHeight="1" outlineLevel="3" x14ac:dyDescent="0.2">
      <c r="A5406" s="14" t="s">
        <v>10457</v>
      </c>
      <c r="B5406" s="26" t="s">
        <v>10458</v>
      </c>
      <c r="C5406" s="52"/>
      <c r="D5406" s="55">
        <f t="shared" si="84"/>
        <v>0</v>
      </c>
      <c r="E5406" s="63" t="str">
        <f>HYPERLINK("https://www.sds-group.ru/product/vakuumnyy-ekstraktor-pripoya-olovootsos-plastik-prozrachno-krasnyy-rexant-12-0204/", "Инфо")</f>
        <v>Инфо</v>
      </c>
      <c r="F5406" s="16" t="s">
        <v>39</v>
      </c>
      <c r="G5406" s="15"/>
      <c r="H5406" s="15"/>
      <c r="I5406" s="15"/>
      <c r="J5406" s="22">
        <v>1577</v>
      </c>
      <c r="K5406" s="15"/>
      <c r="L5406" s="17">
        <v>1</v>
      </c>
      <c r="M5406" s="17">
        <v>200</v>
      </c>
      <c r="N5406" s="17">
        <v>1</v>
      </c>
      <c r="O5406" s="18">
        <v>494.43</v>
      </c>
      <c r="P5406" s="18">
        <v>405.27</v>
      </c>
      <c r="Q5406" s="18">
        <v>405.43</v>
      </c>
      <c r="R5406" s="18">
        <v>332.32</v>
      </c>
      <c r="S5406" s="18">
        <v>336.21</v>
      </c>
      <c r="T5406" s="18">
        <v>275.58</v>
      </c>
      <c r="U5406" s="16"/>
      <c r="V5406" s="16"/>
      <c r="W5406" s="16" t="s">
        <v>40</v>
      </c>
      <c r="X5406" s="19">
        <v>9.2999999999999999E-2</v>
      </c>
      <c r="Y5406" s="20">
        <v>4.0400000000000001E-4</v>
      </c>
      <c r="Z5406" s="21">
        <v>4601004161269</v>
      </c>
    </row>
    <row r="5407" spans="1:26" ht="12" customHeight="1" outlineLevel="3" x14ac:dyDescent="0.2">
      <c r="A5407" s="14" t="s">
        <v>10459</v>
      </c>
      <c r="B5407" s="26" t="s">
        <v>10460</v>
      </c>
      <c r="C5407" s="52"/>
      <c r="D5407" s="55">
        <f t="shared" si="84"/>
        <v>0</v>
      </c>
      <c r="E5407" s="63" t="str">
        <f>HYPERLINK("https://www.sds-group.ru/product/kistochka-steklovolokonnaya-dlya-naneseniya-flyusov-3-mm-rexant-09-3601/", "Инфо")</f>
        <v>Инфо</v>
      </c>
      <c r="F5407" s="16" t="s">
        <v>39</v>
      </c>
      <c r="G5407" s="15"/>
      <c r="H5407" s="15"/>
      <c r="I5407" s="15"/>
      <c r="J5407" s="22">
        <v>1406</v>
      </c>
      <c r="K5407" s="15"/>
      <c r="L5407" s="17">
        <v>10</v>
      </c>
      <c r="M5407" s="17">
        <v>500</v>
      </c>
      <c r="N5407" s="17">
        <v>10</v>
      </c>
      <c r="O5407" s="18">
        <v>124.67</v>
      </c>
      <c r="P5407" s="18">
        <v>102.19</v>
      </c>
      <c r="Q5407" s="18">
        <v>105.97</v>
      </c>
      <c r="R5407" s="18">
        <v>86.86</v>
      </c>
      <c r="S5407" s="18">
        <v>84.78</v>
      </c>
      <c r="T5407" s="18">
        <v>69.489999999999995</v>
      </c>
      <c r="U5407" s="16"/>
      <c r="V5407" s="16"/>
      <c r="W5407" s="16" t="s">
        <v>40</v>
      </c>
      <c r="X5407" s="19">
        <v>6.0000000000000001E-3</v>
      </c>
      <c r="Y5407" s="20">
        <v>2.4000000000000001E-5</v>
      </c>
      <c r="Z5407" s="21">
        <v>4601004013469</v>
      </c>
    </row>
    <row r="5408" spans="1:26" ht="12" customHeight="1" outlineLevel="3" x14ac:dyDescent="0.2">
      <c r="A5408" s="14" t="s">
        <v>10461</v>
      </c>
      <c r="B5408" s="26" t="s">
        <v>10462</v>
      </c>
      <c r="C5408" s="52"/>
      <c r="D5408" s="55">
        <f t="shared" si="84"/>
        <v>0</v>
      </c>
      <c r="E5408" s="63" t="str">
        <f>HYPERLINK("https://www.sds-group.ru/product/nabor-montazhnogo-instrumenta-dlya-payki-rexant-6-predmetov-12-6031/", "Инфо")</f>
        <v>Инфо</v>
      </c>
      <c r="F5408" s="16" t="s">
        <v>39</v>
      </c>
      <c r="G5408" s="15"/>
      <c r="H5408" s="15"/>
      <c r="I5408" s="15"/>
      <c r="J5408" s="17">
        <v>294</v>
      </c>
      <c r="K5408" s="15" t="s">
        <v>1277</v>
      </c>
      <c r="L5408" s="17">
        <v>1</v>
      </c>
      <c r="M5408" s="17">
        <v>100</v>
      </c>
      <c r="N5408" s="17">
        <v>1</v>
      </c>
      <c r="O5408" s="18">
        <v>690.97</v>
      </c>
      <c r="P5408" s="18">
        <v>566.37</v>
      </c>
      <c r="Q5408" s="18">
        <v>608.04999999999995</v>
      </c>
      <c r="R5408" s="18">
        <v>498.4</v>
      </c>
      <c r="S5408" s="18">
        <v>469.86</v>
      </c>
      <c r="T5408" s="18">
        <v>385.13</v>
      </c>
      <c r="U5408" s="16"/>
      <c r="V5408" s="16"/>
      <c r="W5408" s="16" t="s">
        <v>40</v>
      </c>
      <c r="X5408" s="19">
        <v>9.1999999999999998E-2</v>
      </c>
      <c r="Y5408" s="20">
        <v>2.63E-4</v>
      </c>
      <c r="Z5408" s="21">
        <v>4660008013530</v>
      </c>
    </row>
    <row r="5409" spans="1:26" ht="12.95" customHeight="1" outlineLevel="2" x14ac:dyDescent="0.2">
      <c r="A5409" s="76" t="s">
        <v>10463</v>
      </c>
      <c r="B5409" s="76"/>
      <c r="C5409" s="77"/>
      <c r="D5409" s="58"/>
      <c r="E5409" s="68"/>
      <c r="F5409" s="13"/>
      <c r="G5409" s="13"/>
      <c r="H5409" s="13"/>
      <c r="I5409" s="13"/>
      <c r="J5409" s="13"/>
      <c r="K5409" s="13"/>
      <c r="L5409" s="13"/>
      <c r="M5409" s="13"/>
      <c r="N5409" s="13"/>
      <c r="O5409" s="13"/>
      <c r="P5409" s="13"/>
      <c r="Q5409" s="13"/>
      <c r="R5409" s="13"/>
      <c r="S5409" s="13"/>
      <c r="T5409" s="13"/>
      <c r="U5409" s="13"/>
      <c r="V5409" s="13"/>
      <c r="W5409" s="13"/>
      <c r="X5409" s="13"/>
      <c r="Y5409" s="13"/>
      <c r="Z5409" s="13"/>
    </row>
    <row r="5410" spans="1:26" ht="12" customHeight="1" outlineLevel="3" x14ac:dyDescent="0.2">
      <c r="A5410" s="14" t="s">
        <v>10464</v>
      </c>
      <c r="B5410" s="26" t="s">
        <v>10465</v>
      </c>
      <c r="C5410" s="52"/>
      <c r="D5410" s="55">
        <f t="shared" si="84"/>
        <v>0</v>
      </c>
      <c r="E5410" s="63" t="str">
        <f>HYPERLINK("https://www.sds-group.ru/product/zhalo-vyzhigatelnoe-igla-dlya-12-0142-rexant-12-9810/", "Инфо")</f>
        <v>Инфо</v>
      </c>
      <c r="F5410" s="16" t="s">
        <v>39</v>
      </c>
      <c r="G5410" s="15"/>
      <c r="H5410" s="15"/>
      <c r="I5410" s="15"/>
      <c r="J5410" s="16" t="s">
        <v>100</v>
      </c>
      <c r="K5410" s="15" t="s">
        <v>4866</v>
      </c>
      <c r="L5410" s="17">
        <v>5</v>
      </c>
      <c r="M5410" s="22">
        <v>1000</v>
      </c>
      <c r="N5410" s="17">
        <v>5</v>
      </c>
      <c r="O5410" s="18">
        <v>246.93</v>
      </c>
      <c r="P5410" s="18">
        <v>202.4</v>
      </c>
      <c r="Q5410" s="18">
        <v>172.85</v>
      </c>
      <c r="R5410" s="18">
        <v>141.68</v>
      </c>
      <c r="S5410" s="18">
        <v>167.91</v>
      </c>
      <c r="T5410" s="18">
        <v>137.63</v>
      </c>
      <c r="U5410" s="16"/>
      <c r="V5410" s="16"/>
      <c r="W5410" s="16"/>
      <c r="X5410" s="19">
        <v>5.0000000000000001E-3</v>
      </c>
      <c r="Y5410" s="20">
        <v>1.8E-5</v>
      </c>
      <c r="Z5410" s="21">
        <v>4601004251526</v>
      </c>
    </row>
    <row r="5411" spans="1:26" ht="12" customHeight="1" outlineLevel="3" x14ac:dyDescent="0.2">
      <c r="A5411" s="14" t="s">
        <v>10466</v>
      </c>
      <c r="B5411" s="26" t="s">
        <v>10467</v>
      </c>
      <c r="C5411" s="52"/>
      <c r="D5411" s="55">
        <f t="shared" si="84"/>
        <v>0</v>
      </c>
      <c r="E5411" s="63" t="str">
        <f>HYPERLINK("https://www.sds-group.ru/product/zhalo-dlya-impulsnogo-payalnika-dolgovechnoe-3-8mm-tip-konus-blister-rexant-12-9961/", "Инфо")</f>
        <v>Инфо</v>
      </c>
      <c r="F5411" s="16" t="s">
        <v>39</v>
      </c>
      <c r="G5411" s="15"/>
      <c r="H5411" s="15"/>
      <c r="I5411" s="15"/>
      <c r="J5411" s="17">
        <v>654</v>
      </c>
      <c r="K5411" s="15"/>
      <c r="L5411" s="17">
        <v>10</v>
      </c>
      <c r="M5411" s="22">
        <v>1000</v>
      </c>
      <c r="N5411" s="17">
        <v>10</v>
      </c>
      <c r="O5411" s="18">
        <v>111.52</v>
      </c>
      <c r="P5411" s="18">
        <v>91.41</v>
      </c>
      <c r="Q5411" s="18">
        <v>94.79</v>
      </c>
      <c r="R5411" s="18">
        <v>77.7</v>
      </c>
      <c r="S5411" s="18">
        <v>75.83</v>
      </c>
      <c r="T5411" s="18">
        <v>62.16</v>
      </c>
      <c r="U5411" s="16"/>
      <c r="V5411" s="16"/>
      <c r="W5411" s="16" t="s">
        <v>40</v>
      </c>
      <c r="X5411" s="19">
        <v>1.2999999999999999E-2</v>
      </c>
      <c r="Y5411" s="20">
        <v>4.0000000000000003E-5</v>
      </c>
      <c r="Z5411" s="21">
        <v>4601004068865</v>
      </c>
    </row>
    <row r="5412" spans="1:26" ht="12" customHeight="1" outlineLevel="3" x14ac:dyDescent="0.2">
      <c r="A5412" s="14" t="s">
        <v>10468</v>
      </c>
      <c r="B5412" s="26" t="s">
        <v>10469</v>
      </c>
      <c r="C5412" s="52"/>
      <c r="D5412" s="55">
        <f t="shared" si="84"/>
        <v>0</v>
      </c>
      <c r="E5412" s="63" t="str">
        <f>HYPERLINK("https://www.sds-group.ru/product/zhalo-dlya-impulsnogo-payalnika-dolgovechnoe-7-1mm-tip-konus-blister-rexant-12-9962/", "Инфо")</f>
        <v>Инфо</v>
      </c>
      <c r="F5412" s="16" t="s">
        <v>39</v>
      </c>
      <c r="G5412" s="15"/>
      <c r="H5412" s="15"/>
      <c r="I5412" s="15"/>
      <c r="J5412" s="17">
        <v>807</v>
      </c>
      <c r="K5412" s="15"/>
      <c r="L5412" s="17">
        <v>5</v>
      </c>
      <c r="M5412" s="22">
        <v>1000</v>
      </c>
      <c r="N5412" s="17">
        <v>5</v>
      </c>
      <c r="O5412" s="18">
        <v>258.58</v>
      </c>
      <c r="P5412" s="18">
        <v>211.95</v>
      </c>
      <c r="Q5412" s="18">
        <v>219.79</v>
      </c>
      <c r="R5412" s="18">
        <v>180.16</v>
      </c>
      <c r="S5412" s="18">
        <v>175.83</v>
      </c>
      <c r="T5412" s="18">
        <v>144.12</v>
      </c>
      <c r="U5412" s="16"/>
      <c r="V5412" s="16"/>
      <c r="W5412" s="16" t="s">
        <v>40</v>
      </c>
      <c r="X5412" s="19">
        <v>1.4E-2</v>
      </c>
      <c r="Y5412" s="20">
        <v>4.8999999999999998E-5</v>
      </c>
      <c r="Z5412" s="21">
        <v>4601004068872</v>
      </c>
    </row>
    <row r="5413" spans="1:26" ht="12" customHeight="1" outlineLevel="3" x14ac:dyDescent="0.2">
      <c r="A5413" s="14" t="s">
        <v>10470</v>
      </c>
      <c r="B5413" s="26" t="s">
        <v>10471</v>
      </c>
      <c r="C5413" s="52"/>
      <c r="D5413" s="55">
        <f t="shared" si="84"/>
        <v>0</v>
      </c>
      <c r="E5413" s="63" t="str">
        <f>HYPERLINK("https://www.sds-group.ru/product/zhalo-dlya-payalnika-dolgovechnoe-100vt-7-8mm-tip-konus-blister-rexant-12-9926/", "Инфо")</f>
        <v>Инфо</v>
      </c>
      <c r="F5413" s="16" t="s">
        <v>39</v>
      </c>
      <c r="G5413" s="15"/>
      <c r="H5413" s="15"/>
      <c r="I5413" s="15"/>
      <c r="J5413" s="22">
        <v>1158</v>
      </c>
      <c r="K5413" s="15" t="s">
        <v>4866</v>
      </c>
      <c r="L5413" s="17">
        <v>5</v>
      </c>
      <c r="M5413" s="17">
        <v>200</v>
      </c>
      <c r="N5413" s="17">
        <v>5</v>
      </c>
      <c r="O5413" s="18">
        <v>403.65</v>
      </c>
      <c r="P5413" s="18">
        <v>330.86</v>
      </c>
      <c r="Q5413" s="18">
        <v>343.1</v>
      </c>
      <c r="R5413" s="18">
        <v>281.23</v>
      </c>
      <c r="S5413" s="18">
        <v>274.48</v>
      </c>
      <c r="T5413" s="18">
        <v>224.98</v>
      </c>
      <c r="U5413" s="16"/>
      <c r="V5413" s="16"/>
      <c r="W5413" s="16" t="s">
        <v>40</v>
      </c>
      <c r="X5413" s="19">
        <v>4.2999999999999997E-2</v>
      </c>
      <c r="Y5413" s="20">
        <v>9.7999999999999997E-5</v>
      </c>
      <c r="Z5413" s="21">
        <v>4601004173460</v>
      </c>
    </row>
    <row r="5414" spans="1:26" ht="12" customHeight="1" outlineLevel="3" x14ac:dyDescent="0.2">
      <c r="A5414" s="14" t="s">
        <v>10472</v>
      </c>
      <c r="B5414" s="26" t="s">
        <v>10473</v>
      </c>
      <c r="C5414" s="52"/>
      <c r="D5414" s="55">
        <f t="shared" si="84"/>
        <v>0</v>
      </c>
      <c r="E5414" s="63" t="str">
        <f>HYPERLINK("https://www.sds-group.ru/product/zhalo-dlya-payalnika-dolgovechnoe-25-30-i-40vt-4-8mm-tip-konus-blister-rexant-12-9921/", "Инфо")</f>
        <v>Инфо</v>
      </c>
      <c r="F5414" s="16" t="s">
        <v>39</v>
      </c>
      <c r="G5414" s="15"/>
      <c r="H5414" s="15"/>
      <c r="I5414" s="15"/>
      <c r="J5414" s="22">
        <v>1037</v>
      </c>
      <c r="K5414" s="15" t="s">
        <v>1277</v>
      </c>
      <c r="L5414" s="17">
        <v>5</v>
      </c>
      <c r="M5414" s="22">
        <v>1000</v>
      </c>
      <c r="N5414" s="17">
        <v>5</v>
      </c>
      <c r="O5414" s="18">
        <v>265.41000000000003</v>
      </c>
      <c r="P5414" s="18">
        <v>217.55</v>
      </c>
      <c r="Q5414" s="18">
        <v>225.6</v>
      </c>
      <c r="R5414" s="18">
        <v>184.92</v>
      </c>
      <c r="S5414" s="18">
        <v>180.48</v>
      </c>
      <c r="T5414" s="18">
        <v>147.93</v>
      </c>
      <c r="U5414" s="16"/>
      <c r="V5414" s="16"/>
      <c r="W5414" s="16" t="s">
        <v>40</v>
      </c>
      <c r="X5414" s="19">
        <v>1.4999999999999999E-2</v>
      </c>
      <c r="Y5414" s="20">
        <v>4.8000000000000001E-5</v>
      </c>
      <c r="Z5414" s="21">
        <v>4601004068889</v>
      </c>
    </row>
    <row r="5415" spans="1:26" ht="12" customHeight="1" outlineLevel="3" x14ac:dyDescent="0.2">
      <c r="A5415" s="14" t="s">
        <v>10474</v>
      </c>
      <c r="B5415" s="26" t="s">
        <v>10475</v>
      </c>
      <c r="C5415" s="52"/>
      <c r="D5415" s="55">
        <f t="shared" si="84"/>
        <v>0</v>
      </c>
      <c r="E5415" s="63" t="str">
        <f>HYPERLINK("https://www.sds-group.ru/product/zhalo-dlya-payalnika-dolgovechnoe-60vt-5-8mm-tip-konus-blister-rexant-12-9924/", "Инфо")</f>
        <v>Инфо</v>
      </c>
      <c r="F5415" s="16" t="s">
        <v>39</v>
      </c>
      <c r="G5415" s="15"/>
      <c r="H5415" s="15"/>
      <c r="I5415" s="15"/>
      <c r="J5415" s="17">
        <v>522</v>
      </c>
      <c r="K5415" s="15" t="s">
        <v>1277</v>
      </c>
      <c r="L5415" s="17">
        <v>5</v>
      </c>
      <c r="M5415" s="22">
        <v>1000</v>
      </c>
      <c r="N5415" s="17">
        <v>5</v>
      </c>
      <c r="O5415" s="18">
        <v>354.63</v>
      </c>
      <c r="P5415" s="18">
        <v>290.68</v>
      </c>
      <c r="Q5415" s="18">
        <v>301.44</v>
      </c>
      <c r="R5415" s="18">
        <v>247.08</v>
      </c>
      <c r="S5415" s="18">
        <v>241.15</v>
      </c>
      <c r="T5415" s="18">
        <v>197.66</v>
      </c>
      <c r="U5415" s="16"/>
      <c r="V5415" s="16"/>
      <c r="W5415" s="16" t="s">
        <v>40</v>
      </c>
      <c r="X5415" s="19">
        <v>2.1999999999999999E-2</v>
      </c>
      <c r="Y5415" s="20">
        <v>4.8000000000000001E-5</v>
      </c>
      <c r="Z5415" s="21">
        <v>4601004068858</v>
      </c>
    </row>
    <row r="5416" spans="1:26" ht="12" customHeight="1" outlineLevel="3" x14ac:dyDescent="0.2">
      <c r="A5416" s="14" t="s">
        <v>10476</v>
      </c>
      <c r="B5416" s="26" t="s">
        <v>10477</v>
      </c>
      <c r="C5416" s="52"/>
      <c r="D5416" s="55">
        <f t="shared" si="84"/>
        <v>0</v>
      </c>
      <c r="E5416" s="63" t="str">
        <f>HYPERLINK("https://www.sds-group.ru/product/zhalo-dlya-payalnika-serii-900m-4-3mm-tip-konus-bolshoy-0-5mm-blister-rexant-12-9715/", "Инфо")</f>
        <v>Инфо</v>
      </c>
      <c r="F5416" s="16" t="s">
        <v>39</v>
      </c>
      <c r="G5416" s="15"/>
      <c r="H5416" s="15"/>
      <c r="I5416" s="15"/>
      <c r="J5416" s="16" t="s">
        <v>100</v>
      </c>
      <c r="K5416" s="15" t="s">
        <v>10478</v>
      </c>
      <c r="L5416" s="17">
        <v>5</v>
      </c>
      <c r="M5416" s="22">
        <v>1000</v>
      </c>
      <c r="N5416" s="17">
        <v>5</v>
      </c>
      <c r="O5416" s="18">
        <v>357.24</v>
      </c>
      <c r="P5416" s="18">
        <v>292.82</v>
      </c>
      <c r="Q5416" s="18">
        <v>303.64999999999998</v>
      </c>
      <c r="R5416" s="18">
        <v>248.89</v>
      </c>
      <c r="S5416" s="18">
        <v>242.92</v>
      </c>
      <c r="T5416" s="18">
        <v>199.11</v>
      </c>
      <c r="U5416" s="16"/>
      <c r="V5416" s="16"/>
      <c r="W5416" s="16" t="s">
        <v>40</v>
      </c>
      <c r="X5416" s="19">
        <v>0.01</v>
      </c>
      <c r="Y5416" s="20">
        <v>4.5000000000000003E-5</v>
      </c>
      <c r="Z5416" s="21">
        <v>4601004201644</v>
      </c>
    </row>
    <row r="5417" spans="1:26" ht="12" customHeight="1" outlineLevel="3" x14ac:dyDescent="0.2">
      <c r="A5417" s="14" t="s">
        <v>10479</v>
      </c>
      <c r="B5417" s="26" t="s">
        <v>10480</v>
      </c>
      <c r="C5417" s="52"/>
      <c r="D5417" s="55">
        <f t="shared" si="84"/>
        <v>0</v>
      </c>
      <c r="E5417" s="63" t="str">
        <f>HYPERLINK("https://www.sds-group.ru/product/zhalo-dlya-payalnika-serii-900m-4-3mm-tip-konus-malyy-0-2mm-blister-rexant-12-9710/", "Инфо")</f>
        <v>Инфо</v>
      </c>
      <c r="F5417" s="16" t="s">
        <v>39</v>
      </c>
      <c r="G5417" s="15"/>
      <c r="H5417" s="15"/>
      <c r="I5417" s="15"/>
      <c r="J5417" s="16" t="s">
        <v>100</v>
      </c>
      <c r="K5417" s="15" t="s">
        <v>1277</v>
      </c>
      <c r="L5417" s="17">
        <v>5</v>
      </c>
      <c r="M5417" s="22">
        <v>1000</v>
      </c>
      <c r="N5417" s="17">
        <v>5</v>
      </c>
      <c r="O5417" s="18">
        <v>375.12</v>
      </c>
      <c r="P5417" s="18">
        <v>307.48</v>
      </c>
      <c r="Q5417" s="18">
        <v>318.85000000000002</v>
      </c>
      <c r="R5417" s="18">
        <v>261.35000000000002</v>
      </c>
      <c r="S5417" s="18">
        <v>255.08</v>
      </c>
      <c r="T5417" s="18">
        <v>209.08</v>
      </c>
      <c r="U5417" s="16"/>
      <c r="V5417" s="16"/>
      <c r="W5417" s="16" t="s">
        <v>40</v>
      </c>
      <c r="X5417" s="19">
        <v>0.01</v>
      </c>
      <c r="Y5417" s="20">
        <v>4.6999999999999997E-5</v>
      </c>
      <c r="Z5417" s="21">
        <v>4601004201637</v>
      </c>
    </row>
    <row r="5418" spans="1:26" ht="12" customHeight="1" outlineLevel="3" x14ac:dyDescent="0.2">
      <c r="A5418" s="14" t="s">
        <v>10481</v>
      </c>
      <c r="B5418" s="26" t="s">
        <v>10482</v>
      </c>
      <c r="C5418" s="52"/>
      <c r="D5418" s="55">
        <f t="shared" si="84"/>
        <v>0</v>
      </c>
      <c r="E5418" s="63" t="str">
        <f>HYPERLINK("https://www.sds-group.ru/product/zhalo-dlya-payalnika-serii-900m-4-3mm-tip-ploskiy-bolshoy-4-0mm-blister-rexant-12-9745/", "Инфо")</f>
        <v>Инфо</v>
      </c>
      <c r="F5418" s="16" t="s">
        <v>39</v>
      </c>
      <c r="G5418" s="15"/>
      <c r="H5418" s="15"/>
      <c r="I5418" s="15"/>
      <c r="J5418" s="17">
        <v>431</v>
      </c>
      <c r="K5418" s="15"/>
      <c r="L5418" s="17">
        <v>5</v>
      </c>
      <c r="M5418" s="22">
        <v>1000</v>
      </c>
      <c r="N5418" s="17">
        <v>5</v>
      </c>
      <c r="O5418" s="18">
        <v>357.24</v>
      </c>
      <c r="P5418" s="18">
        <v>292.82</v>
      </c>
      <c r="Q5418" s="18">
        <v>303.64999999999998</v>
      </c>
      <c r="R5418" s="18">
        <v>248.89</v>
      </c>
      <c r="S5418" s="18">
        <v>242.92</v>
      </c>
      <c r="T5418" s="18">
        <v>199.11</v>
      </c>
      <c r="U5418" s="16"/>
      <c r="V5418" s="16"/>
      <c r="W5418" s="16" t="s">
        <v>40</v>
      </c>
      <c r="X5418" s="19">
        <v>1.0999999999999999E-2</v>
      </c>
      <c r="Y5418" s="20">
        <v>4.6999999999999997E-5</v>
      </c>
      <c r="Z5418" s="21">
        <v>4601004172326</v>
      </c>
    </row>
    <row r="5419" spans="1:26" ht="12" customHeight="1" outlineLevel="3" x14ac:dyDescent="0.2">
      <c r="A5419" s="14" t="s">
        <v>10483</v>
      </c>
      <c r="B5419" s="26" t="s">
        <v>10484</v>
      </c>
      <c r="C5419" s="52"/>
      <c r="D5419" s="55">
        <f t="shared" si="84"/>
        <v>0</v>
      </c>
      <c r="E5419" s="63" t="str">
        <f>HYPERLINK("https://www.sds-group.ru/product/zhalo-dlya-payalnika-serii-900m-4-3mm-tip-ploskiy-malyy-1-6mm-blister-rexant-12-9740/", "Инфо")</f>
        <v>Инфо</v>
      </c>
      <c r="F5419" s="16" t="s">
        <v>39</v>
      </c>
      <c r="G5419" s="15"/>
      <c r="H5419" s="15"/>
      <c r="I5419" s="15"/>
      <c r="J5419" s="17">
        <v>532</v>
      </c>
      <c r="K5419" s="15"/>
      <c r="L5419" s="17">
        <v>5</v>
      </c>
      <c r="M5419" s="22">
        <v>1000</v>
      </c>
      <c r="N5419" s="17">
        <v>5</v>
      </c>
      <c r="O5419" s="18">
        <v>357.24</v>
      </c>
      <c r="P5419" s="18">
        <v>292.82</v>
      </c>
      <c r="Q5419" s="18">
        <v>303.64999999999998</v>
      </c>
      <c r="R5419" s="18">
        <v>248.89</v>
      </c>
      <c r="S5419" s="18">
        <v>242.92</v>
      </c>
      <c r="T5419" s="18">
        <v>199.11</v>
      </c>
      <c r="U5419" s="16"/>
      <c r="V5419" s="16"/>
      <c r="W5419" s="16" t="s">
        <v>40</v>
      </c>
      <c r="X5419" s="19">
        <v>0.01</v>
      </c>
      <c r="Y5419" s="20">
        <v>4.8999999999999998E-5</v>
      </c>
      <c r="Z5419" s="21">
        <v>4601004172319</v>
      </c>
    </row>
    <row r="5420" spans="1:26" ht="12" customHeight="1" outlineLevel="3" x14ac:dyDescent="0.2">
      <c r="A5420" s="14" t="s">
        <v>10485</v>
      </c>
      <c r="B5420" s="26" t="s">
        <v>10486</v>
      </c>
      <c r="C5420" s="52"/>
      <c r="D5420" s="55">
        <f t="shared" si="84"/>
        <v>0</v>
      </c>
      <c r="E5420" s="63" t="str">
        <f>HYPERLINK("https://www.sds-group.ru/product/zhalo-dlya-payalnika-serii-900m-4-3mm-tip-skoshennyy-bolshoy-4-0mm-blister-rexant-12-9725/", "Инфо")</f>
        <v>Инфо</v>
      </c>
      <c r="F5420" s="16" t="s">
        <v>39</v>
      </c>
      <c r="G5420" s="15"/>
      <c r="H5420" s="15"/>
      <c r="I5420" s="15"/>
      <c r="J5420" s="22">
        <v>1069</v>
      </c>
      <c r="K5420" s="15" t="s">
        <v>1277</v>
      </c>
      <c r="L5420" s="17">
        <v>5</v>
      </c>
      <c r="M5420" s="22">
        <v>1000</v>
      </c>
      <c r="N5420" s="17">
        <v>5</v>
      </c>
      <c r="O5420" s="18">
        <v>375.12</v>
      </c>
      <c r="P5420" s="18">
        <v>307.48</v>
      </c>
      <c r="Q5420" s="18">
        <v>318.85000000000002</v>
      </c>
      <c r="R5420" s="18">
        <v>261.35000000000002</v>
      </c>
      <c r="S5420" s="18">
        <v>255.08</v>
      </c>
      <c r="T5420" s="18">
        <v>209.08</v>
      </c>
      <c r="U5420" s="16"/>
      <c r="V5420" s="16"/>
      <c r="W5420" s="16" t="s">
        <v>40</v>
      </c>
      <c r="X5420" s="19">
        <v>1.2E-2</v>
      </c>
      <c r="Y5420" s="20">
        <v>4.6999999999999997E-5</v>
      </c>
      <c r="Z5420" s="21">
        <v>4601004201668</v>
      </c>
    </row>
    <row r="5421" spans="1:26" ht="12" customHeight="1" outlineLevel="3" x14ac:dyDescent="0.2">
      <c r="A5421" s="14" t="s">
        <v>10487</v>
      </c>
      <c r="B5421" s="26" t="s">
        <v>10488</v>
      </c>
      <c r="C5421" s="52"/>
      <c r="D5421" s="55">
        <f t="shared" si="84"/>
        <v>0</v>
      </c>
      <c r="E5421" s="63" t="str">
        <f>HYPERLINK("https://www.sds-group.ru/product/zhalo-dlya-payalnika-serii-900m-4-3mm-tip-skoshennyy-malyy-2-0mm-blister-rexant-12-9720/", "Инфо")</f>
        <v>Инфо</v>
      </c>
      <c r="F5421" s="16" t="s">
        <v>39</v>
      </c>
      <c r="G5421" s="15"/>
      <c r="H5421" s="15"/>
      <c r="I5421" s="15"/>
      <c r="J5421" s="16" t="s">
        <v>100</v>
      </c>
      <c r="K5421" s="15" t="s">
        <v>4866</v>
      </c>
      <c r="L5421" s="17">
        <v>5</v>
      </c>
      <c r="M5421" s="22">
        <v>1000</v>
      </c>
      <c r="N5421" s="17">
        <v>5</v>
      </c>
      <c r="O5421" s="18">
        <v>357.24</v>
      </c>
      <c r="P5421" s="18">
        <v>292.82</v>
      </c>
      <c r="Q5421" s="18">
        <v>303.64999999999998</v>
      </c>
      <c r="R5421" s="18">
        <v>248.89</v>
      </c>
      <c r="S5421" s="18">
        <v>242.92</v>
      </c>
      <c r="T5421" s="18">
        <v>199.11</v>
      </c>
      <c r="U5421" s="16"/>
      <c r="V5421" s="16"/>
      <c r="W5421" s="16" t="s">
        <v>40</v>
      </c>
      <c r="X5421" s="19">
        <v>0.01</v>
      </c>
      <c r="Y5421" s="20">
        <v>4.8000000000000001E-5</v>
      </c>
      <c r="Z5421" s="21">
        <v>4601004201651</v>
      </c>
    </row>
    <row r="5422" spans="1:26" ht="12" customHeight="1" outlineLevel="3" x14ac:dyDescent="0.2">
      <c r="A5422" s="14" t="s">
        <v>10489</v>
      </c>
      <c r="B5422" s="26" t="s">
        <v>10490</v>
      </c>
      <c r="C5422" s="52"/>
      <c r="D5422" s="55">
        <f t="shared" si="84"/>
        <v>0</v>
      </c>
      <c r="E5422" s="63" t="str">
        <f>HYPERLINK("https://www.sds-group.ru/product/zhalo-dlya-payalnika-mednoe-epsn-3-8mm-tip-ploskiy-blister-rexant-12-9941/", "Инфо")</f>
        <v>Инфо</v>
      </c>
      <c r="F5422" s="16" t="s">
        <v>39</v>
      </c>
      <c r="G5422" s="15"/>
      <c r="H5422" s="15"/>
      <c r="I5422" s="15"/>
      <c r="J5422" s="17">
        <v>905</v>
      </c>
      <c r="K5422" s="15"/>
      <c r="L5422" s="17">
        <v>5</v>
      </c>
      <c r="M5422" s="22">
        <v>1000</v>
      </c>
      <c r="N5422" s="17">
        <v>5</v>
      </c>
      <c r="O5422" s="18">
        <v>150.38999999999999</v>
      </c>
      <c r="P5422" s="18">
        <v>123.27</v>
      </c>
      <c r="Q5422" s="18">
        <v>127.83</v>
      </c>
      <c r="R5422" s="18">
        <v>104.78</v>
      </c>
      <c r="S5422" s="18">
        <v>102.27</v>
      </c>
      <c r="T5422" s="18">
        <v>83.83</v>
      </c>
      <c r="U5422" s="16"/>
      <c r="V5422" s="16"/>
      <c r="W5422" s="16" t="s">
        <v>40</v>
      </c>
      <c r="X5422" s="19">
        <v>1.2999999999999999E-2</v>
      </c>
      <c r="Y5422" s="20">
        <v>4.6999999999999997E-5</v>
      </c>
      <c r="Z5422" s="21">
        <v>4601004068797</v>
      </c>
    </row>
    <row r="5423" spans="1:26" ht="12" customHeight="1" outlineLevel="3" x14ac:dyDescent="0.2">
      <c r="A5423" s="14" t="s">
        <v>10491</v>
      </c>
      <c r="B5423" s="26" t="s">
        <v>10492</v>
      </c>
      <c r="C5423" s="52"/>
      <c r="D5423" s="55">
        <f t="shared" si="84"/>
        <v>0</v>
      </c>
      <c r="E5423" s="63" t="str">
        <f>HYPERLINK("https://www.sds-group.ru/product/zhalo-dlya-payalnika-mednoe-epsn-4-8mm-tip-ploskiy-blister-rexant-12-9942/", "Инфо")</f>
        <v>Инфо</v>
      </c>
      <c r="F5423" s="16" t="s">
        <v>39</v>
      </c>
      <c r="G5423" s="15"/>
      <c r="H5423" s="15"/>
      <c r="I5423" s="15"/>
      <c r="J5423" s="22">
        <v>1703</v>
      </c>
      <c r="K5423" s="15" t="s">
        <v>4866</v>
      </c>
      <c r="L5423" s="17">
        <v>5</v>
      </c>
      <c r="M5423" s="22">
        <v>1000</v>
      </c>
      <c r="N5423" s="17">
        <v>5</v>
      </c>
      <c r="O5423" s="18">
        <v>190.13</v>
      </c>
      <c r="P5423" s="18">
        <v>155.84</v>
      </c>
      <c r="Q5423" s="18">
        <v>161.61000000000001</v>
      </c>
      <c r="R5423" s="18">
        <v>132.47</v>
      </c>
      <c r="S5423" s="18">
        <v>129.29</v>
      </c>
      <c r="T5423" s="18">
        <v>105.98</v>
      </c>
      <c r="U5423" s="16"/>
      <c r="V5423" s="16"/>
      <c r="W5423" s="16" t="s">
        <v>40</v>
      </c>
      <c r="X5423" s="19">
        <v>1.7000000000000001E-2</v>
      </c>
      <c r="Y5423" s="20">
        <v>4.6999999999999997E-5</v>
      </c>
      <c r="Z5423" s="21">
        <v>4601004068803</v>
      </c>
    </row>
    <row r="5424" spans="1:26" ht="12" customHeight="1" outlineLevel="3" x14ac:dyDescent="0.2">
      <c r="A5424" s="14" t="s">
        <v>10493</v>
      </c>
      <c r="B5424" s="26" t="s">
        <v>10494</v>
      </c>
      <c r="C5424" s="52"/>
      <c r="D5424" s="55">
        <f t="shared" si="84"/>
        <v>0</v>
      </c>
      <c r="E5424" s="63" t="str">
        <f>HYPERLINK("https://www.sds-group.ru/product/zhalo-dlya-payalnika-mednoe-epsn-5-8mm-tip-ploskiy-blister-rexant-12-9943/", "Инфо")</f>
        <v>Инфо</v>
      </c>
      <c r="F5424" s="16" t="s">
        <v>39</v>
      </c>
      <c r="G5424" s="15"/>
      <c r="H5424" s="15"/>
      <c r="I5424" s="15"/>
      <c r="J5424" s="16" t="s">
        <v>100</v>
      </c>
      <c r="K5424" s="15" t="s">
        <v>1277</v>
      </c>
      <c r="L5424" s="17">
        <v>5</v>
      </c>
      <c r="M5424" s="22">
        <v>1000</v>
      </c>
      <c r="N5424" s="17">
        <v>5</v>
      </c>
      <c r="O5424" s="18">
        <v>240.4</v>
      </c>
      <c r="P5424" s="18">
        <v>197.05</v>
      </c>
      <c r="Q5424" s="18">
        <v>204.34</v>
      </c>
      <c r="R5424" s="18">
        <v>167.49</v>
      </c>
      <c r="S5424" s="18">
        <v>163.47</v>
      </c>
      <c r="T5424" s="18">
        <v>133.99</v>
      </c>
      <c r="U5424" s="16"/>
      <c r="V5424" s="16"/>
      <c r="W5424" s="16" t="s">
        <v>40</v>
      </c>
      <c r="X5424" s="19">
        <v>2.1999999999999999E-2</v>
      </c>
      <c r="Y5424" s="20">
        <v>4.8000000000000001E-5</v>
      </c>
      <c r="Z5424" s="21">
        <v>4601004068810</v>
      </c>
    </row>
    <row r="5425" spans="1:26" ht="12" customHeight="1" outlineLevel="3" x14ac:dyDescent="0.2">
      <c r="A5425" s="14" t="s">
        <v>10495</v>
      </c>
      <c r="B5425" s="26" t="s">
        <v>10496</v>
      </c>
      <c r="C5425" s="52"/>
      <c r="D5425" s="55">
        <f t="shared" si="84"/>
        <v>0</v>
      </c>
      <c r="E5425" s="63" t="str">
        <f>HYPERLINK("https://www.sds-group.ru/product/zhalo-dlya-payalnika-mednoe-epsn-6-8mm-tip-ploskiy-blister-rexant-12-9944/", "Инфо")</f>
        <v>Инфо</v>
      </c>
      <c r="F5425" s="16" t="s">
        <v>39</v>
      </c>
      <c r="G5425" s="15"/>
      <c r="H5425" s="15"/>
      <c r="I5425" s="15"/>
      <c r="J5425" s="22">
        <v>1002</v>
      </c>
      <c r="K5425" s="15" t="s">
        <v>10478</v>
      </c>
      <c r="L5425" s="17">
        <v>5</v>
      </c>
      <c r="M5425" s="17">
        <v>600</v>
      </c>
      <c r="N5425" s="17">
        <v>5</v>
      </c>
      <c r="O5425" s="18">
        <v>354.63</v>
      </c>
      <c r="P5425" s="18">
        <v>290.68</v>
      </c>
      <c r="Q5425" s="18">
        <v>301.44</v>
      </c>
      <c r="R5425" s="18">
        <v>247.08</v>
      </c>
      <c r="S5425" s="18">
        <v>241.15</v>
      </c>
      <c r="T5425" s="18">
        <v>197.66</v>
      </c>
      <c r="U5425" s="16"/>
      <c r="V5425" s="16"/>
      <c r="W5425" s="16" t="s">
        <v>40</v>
      </c>
      <c r="X5425" s="19">
        <v>2.7E-2</v>
      </c>
      <c r="Y5425" s="20">
        <v>4.3000000000000002E-5</v>
      </c>
      <c r="Z5425" s="21">
        <v>4601004173477</v>
      </c>
    </row>
    <row r="5426" spans="1:26" ht="12" customHeight="1" outlineLevel="3" x14ac:dyDescent="0.2">
      <c r="A5426" s="14" t="s">
        <v>10497</v>
      </c>
      <c r="B5426" s="26" t="s">
        <v>10498</v>
      </c>
      <c r="C5426" s="52"/>
      <c r="D5426" s="55">
        <f t="shared" si="84"/>
        <v>0</v>
      </c>
      <c r="E5426" s="63" t="str">
        <f>HYPERLINK("https://www.sds-group.ru/product/zhalo-dlya-payalnika-mednoe-epsn-7-8mm-tip-ploskiy-blister-rexant-12-9945/", "Инфо")</f>
        <v>Инфо</v>
      </c>
      <c r="F5426" s="16" t="s">
        <v>39</v>
      </c>
      <c r="G5426" s="15"/>
      <c r="H5426" s="15"/>
      <c r="I5426" s="15"/>
      <c r="J5426" s="17">
        <v>907</v>
      </c>
      <c r="K5426" s="15" t="s">
        <v>4866</v>
      </c>
      <c r="L5426" s="17">
        <v>5</v>
      </c>
      <c r="M5426" s="17">
        <v>500</v>
      </c>
      <c r="N5426" s="17">
        <v>5</v>
      </c>
      <c r="O5426" s="18">
        <v>430.13</v>
      </c>
      <c r="P5426" s="18">
        <v>352.57</v>
      </c>
      <c r="Q5426" s="18">
        <v>365.61</v>
      </c>
      <c r="R5426" s="18">
        <v>299.68</v>
      </c>
      <c r="S5426" s="18">
        <v>292.49</v>
      </c>
      <c r="T5426" s="18">
        <v>239.75</v>
      </c>
      <c r="U5426" s="16"/>
      <c r="V5426" s="16"/>
      <c r="W5426" s="16" t="s">
        <v>40</v>
      </c>
      <c r="X5426" s="19">
        <v>3.9E-2</v>
      </c>
      <c r="Y5426" s="20">
        <v>9.7E-5</v>
      </c>
      <c r="Z5426" s="21">
        <v>4601004173484</v>
      </c>
    </row>
    <row r="5427" spans="1:26" ht="12.95" customHeight="1" outlineLevel="2" x14ac:dyDescent="0.2">
      <c r="A5427" s="76" t="s">
        <v>10499</v>
      </c>
      <c r="B5427" s="76"/>
      <c r="C5427" s="77"/>
      <c r="D5427" s="58"/>
      <c r="E5427" s="68"/>
      <c r="F5427" s="13"/>
      <c r="G5427" s="13"/>
      <c r="H5427" s="13"/>
      <c r="I5427" s="13"/>
      <c r="J5427" s="13"/>
      <c r="K5427" s="13"/>
      <c r="L5427" s="13"/>
      <c r="M5427" s="13"/>
      <c r="N5427" s="13"/>
      <c r="O5427" s="13"/>
      <c r="P5427" s="13"/>
      <c r="Q5427" s="13"/>
      <c r="R5427" s="13"/>
      <c r="S5427" s="13"/>
      <c r="T5427" s="13"/>
      <c r="U5427" s="13"/>
      <c r="V5427" s="13"/>
      <c r="W5427" s="13"/>
      <c r="X5427" s="13"/>
      <c r="Y5427" s="13"/>
      <c r="Z5427" s="13"/>
    </row>
    <row r="5428" spans="1:26" ht="12.95" customHeight="1" outlineLevel="3" x14ac:dyDescent="0.2">
      <c r="A5428" s="76" t="s">
        <v>10500</v>
      </c>
      <c r="B5428" s="76"/>
      <c r="C5428" s="77"/>
      <c r="D5428" s="58"/>
      <c r="E5428" s="68"/>
      <c r="F5428" s="13"/>
      <c r="G5428" s="13"/>
      <c r="H5428" s="13"/>
      <c r="I5428" s="13"/>
      <c r="J5428" s="13"/>
      <c r="K5428" s="13"/>
      <c r="L5428" s="13"/>
      <c r="M5428" s="13"/>
      <c r="N5428" s="13"/>
      <c r="O5428" s="13"/>
      <c r="P5428" s="13"/>
      <c r="Q5428" s="13"/>
      <c r="R5428" s="13"/>
      <c r="S5428" s="13"/>
      <c r="T5428" s="13"/>
      <c r="U5428" s="13"/>
      <c r="V5428" s="13"/>
      <c r="W5428" s="13"/>
      <c r="X5428" s="13"/>
      <c r="Y5428" s="13"/>
      <c r="Z5428" s="13"/>
    </row>
    <row r="5429" spans="1:26" ht="12" customHeight="1" outlineLevel="4" x14ac:dyDescent="0.2">
      <c r="A5429" s="14" t="s">
        <v>10501</v>
      </c>
      <c r="B5429" s="26" t="s">
        <v>10502</v>
      </c>
      <c r="C5429" s="52"/>
      <c r="D5429" s="55">
        <f t="shared" si="84"/>
        <v>0</v>
      </c>
      <c r="E5429" s="63" t="str">
        <f>HYPERLINK("https://www.sds-group.ru/product/pripoy-s-kanifolyu-pos-30-10g-1mm-olovo-30-svinets-70-kolba-rexant-09-3099/", "Инфо")</f>
        <v>Инфо</v>
      </c>
      <c r="F5429" s="16" t="s">
        <v>39</v>
      </c>
      <c r="G5429" s="15"/>
      <c r="H5429" s="15"/>
      <c r="I5429" s="15"/>
      <c r="J5429" s="22">
        <v>3888</v>
      </c>
      <c r="K5429" s="15" t="s">
        <v>6174</v>
      </c>
      <c r="L5429" s="17">
        <v>20</v>
      </c>
      <c r="M5429" s="17">
        <v>600</v>
      </c>
      <c r="N5429" s="17">
        <v>20</v>
      </c>
      <c r="O5429" s="18">
        <v>159.55000000000001</v>
      </c>
      <c r="P5429" s="18">
        <v>130.78</v>
      </c>
      <c r="Q5429" s="18">
        <v>135.62</v>
      </c>
      <c r="R5429" s="18">
        <v>111.16</v>
      </c>
      <c r="S5429" s="18">
        <v>108.49</v>
      </c>
      <c r="T5429" s="18">
        <v>88.93</v>
      </c>
      <c r="U5429" s="16"/>
      <c r="V5429" s="16"/>
      <c r="W5429" s="16" t="s">
        <v>40</v>
      </c>
      <c r="X5429" s="19">
        <v>1.7000000000000001E-2</v>
      </c>
      <c r="Y5429" s="20">
        <v>3.6999999999999998E-5</v>
      </c>
      <c r="Z5429" s="21">
        <v>4601004153202</v>
      </c>
    </row>
    <row r="5430" spans="1:26" ht="12" customHeight="1" outlineLevel="4" x14ac:dyDescent="0.2">
      <c r="A5430" s="14" t="s">
        <v>10503</v>
      </c>
      <c r="B5430" s="26" t="s">
        <v>10504</v>
      </c>
      <c r="C5430" s="52"/>
      <c r="D5430" s="55">
        <f t="shared" si="84"/>
        <v>0</v>
      </c>
      <c r="E5430" s="63" t="str">
        <f>HYPERLINK("https://www.sds-group.ru/product/pripoy-s-kanifolyu-pos-40-10g-1mm-olovo-40-svinets-60-kolba-rexant-09-3100/", "Инфо")</f>
        <v>Инфо</v>
      </c>
      <c r="F5430" s="16" t="s">
        <v>39</v>
      </c>
      <c r="G5430" s="15"/>
      <c r="H5430" s="15"/>
      <c r="I5430" s="15"/>
      <c r="J5430" s="22">
        <v>2657</v>
      </c>
      <c r="K5430" s="15" t="s">
        <v>6174</v>
      </c>
      <c r="L5430" s="17">
        <v>20</v>
      </c>
      <c r="M5430" s="17">
        <v>600</v>
      </c>
      <c r="N5430" s="17">
        <v>20</v>
      </c>
      <c r="O5430" s="18">
        <v>175.72</v>
      </c>
      <c r="P5430" s="18">
        <v>144.03</v>
      </c>
      <c r="Q5430" s="18">
        <v>149.36000000000001</v>
      </c>
      <c r="R5430" s="18">
        <v>122.43</v>
      </c>
      <c r="S5430" s="18">
        <v>119.49</v>
      </c>
      <c r="T5430" s="18">
        <v>97.94</v>
      </c>
      <c r="U5430" s="16"/>
      <c r="V5430" s="16"/>
      <c r="W5430" s="16" t="s">
        <v>40</v>
      </c>
      <c r="X5430" s="19">
        <v>1.7999999999999999E-2</v>
      </c>
      <c r="Y5430" s="20">
        <v>3.6999999999999998E-5</v>
      </c>
      <c r="Z5430" s="21">
        <v>4601004153110</v>
      </c>
    </row>
    <row r="5431" spans="1:26" ht="12" customHeight="1" outlineLevel="4" x14ac:dyDescent="0.2">
      <c r="A5431" s="14" t="s">
        <v>10505</v>
      </c>
      <c r="B5431" s="26" t="s">
        <v>10506</v>
      </c>
      <c r="C5431" s="52"/>
      <c r="D5431" s="55">
        <f t="shared" si="84"/>
        <v>0</v>
      </c>
      <c r="E5431" s="63" t="str">
        <f>HYPERLINK("https://www.sds-group.ru/product/pripoy-s-kanifolyu-pos-61-100g-0-8mm-olovo-61-svinets-39-katushka-rexant-09-3170/", "Инфо")</f>
        <v>Инфо</v>
      </c>
      <c r="F5431" s="16" t="s">
        <v>39</v>
      </c>
      <c r="G5431" s="15"/>
      <c r="H5431" s="15"/>
      <c r="I5431" s="15"/>
      <c r="J5431" s="17">
        <v>105</v>
      </c>
      <c r="K5431" s="15"/>
      <c r="L5431" s="17">
        <v>1</v>
      </c>
      <c r="M5431" s="17">
        <v>80</v>
      </c>
      <c r="N5431" s="17">
        <v>1</v>
      </c>
      <c r="O5431" s="18">
        <v>1283.07</v>
      </c>
      <c r="P5431" s="18">
        <v>1051.7</v>
      </c>
      <c r="Q5431" s="18">
        <v>1026.46</v>
      </c>
      <c r="R5431" s="18">
        <v>841.36</v>
      </c>
      <c r="S5431" s="18">
        <v>872.49</v>
      </c>
      <c r="T5431" s="18">
        <v>715.16</v>
      </c>
      <c r="U5431" s="16"/>
      <c r="V5431" s="16"/>
      <c r="W5431" s="16" t="s">
        <v>40</v>
      </c>
      <c r="X5431" s="19">
        <v>0.126</v>
      </c>
      <c r="Y5431" s="20">
        <v>2.0100000000000001E-4</v>
      </c>
      <c r="Z5431" s="21">
        <v>4601004277199</v>
      </c>
    </row>
    <row r="5432" spans="1:26" ht="12" customHeight="1" outlineLevel="4" x14ac:dyDescent="0.2">
      <c r="A5432" s="14" t="s">
        <v>10507</v>
      </c>
      <c r="B5432" s="26" t="s">
        <v>10508</v>
      </c>
      <c r="C5432" s="52"/>
      <c r="D5432" s="55">
        <f t="shared" si="84"/>
        <v>0</v>
      </c>
      <c r="E5432" s="63" t="str">
        <f>HYPERLINK("https://www.sds-group.ru/product/pripoy-s-kanifolyu-pos-61-100g-1-5mm-olovo-61-svinets-39-katushka-rexant-09-3172/", "Инфо")</f>
        <v>Инфо</v>
      </c>
      <c r="F5432" s="16" t="s">
        <v>39</v>
      </c>
      <c r="G5432" s="15"/>
      <c r="H5432" s="15"/>
      <c r="I5432" s="15"/>
      <c r="J5432" s="16" t="s">
        <v>100</v>
      </c>
      <c r="K5432" s="15" t="s">
        <v>1381</v>
      </c>
      <c r="L5432" s="17">
        <v>1</v>
      </c>
      <c r="M5432" s="17">
        <v>80</v>
      </c>
      <c r="N5432" s="17">
        <v>1</v>
      </c>
      <c r="O5432" s="18">
        <v>1257.8900000000001</v>
      </c>
      <c r="P5432" s="18">
        <v>1031.06</v>
      </c>
      <c r="Q5432" s="18">
        <v>1006.31</v>
      </c>
      <c r="R5432" s="18">
        <v>824.84</v>
      </c>
      <c r="S5432" s="18">
        <v>855.37</v>
      </c>
      <c r="T5432" s="18">
        <v>701.12</v>
      </c>
      <c r="U5432" s="16"/>
      <c r="V5432" s="16"/>
      <c r="W5432" s="16" t="s">
        <v>40</v>
      </c>
      <c r="X5432" s="19">
        <v>0.126</v>
      </c>
      <c r="Y5432" s="20">
        <v>2.04E-4</v>
      </c>
      <c r="Z5432" s="21">
        <v>4601004277151</v>
      </c>
    </row>
    <row r="5433" spans="1:26" ht="12" customHeight="1" outlineLevel="4" x14ac:dyDescent="0.2">
      <c r="A5433" s="14" t="s">
        <v>10509</v>
      </c>
      <c r="B5433" s="26" t="s">
        <v>10510</v>
      </c>
      <c r="C5433" s="52"/>
      <c r="D5433" s="55">
        <f t="shared" si="84"/>
        <v>0</v>
      </c>
      <c r="E5433" s="63" t="str">
        <f>HYPERLINK("https://www.sds-group.ru/product/pripoy-s-kanifolyu-pos-61-100g-1mm-olovo-61-svinets-39-katushka-rexant-09-3171/", "Инфо")</f>
        <v>Инфо</v>
      </c>
      <c r="F5433" s="16" t="s">
        <v>39</v>
      </c>
      <c r="G5433" s="15"/>
      <c r="H5433" s="15"/>
      <c r="I5433" s="15"/>
      <c r="J5433" s="16" t="s">
        <v>100</v>
      </c>
      <c r="K5433" s="15" t="s">
        <v>1381</v>
      </c>
      <c r="L5433" s="17">
        <v>1</v>
      </c>
      <c r="M5433" s="17">
        <v>80</v>
      </c>
      <c r="N5433" s="17">
        <v>1</v>
      </c>
      <c r="O5433" s="18">
        <v>1270.48</v>
      </c>
      <c r="P5433" s="18">
        <v>1041.3800000000001</v>
      </c>
      <c r="Q5433" s="18">
        <v>1016.38</v>
      </c>
      <c r="R5433" s="18">
        <v>833.1</v>
      </c>
      <c r="S5433" s="18">
        <v>863.93</v>
      </c>
      <c r="T5433" s="18">
        <v>708.14</v>
      </c>
      <c r="U5433" s="16"/>
      <c r="V5433" s="16"/>
      <c r="W5433" s="16" t="s">
        <v>40</v>
      </c>
      <c r="X5433" s="19">
        <v>0.126</v>
      </c>
      <c r="Y5433" s="20">
        <v>1.9599999999999999E-4</v>
      </c>
      <c r="Z5433" s="21">
        <v>4601004277168</v>
      </c>
    </row>
    <row r="5434" spans="1:26" ht="12" customHeight="1" outlineLevel="4" x14ac:dyDescent="0.2">
      <c r="A5434" s="14" t="s">
        <v>10511</v>
      </c>
      <c r="B5434" s="26" t="s">
        <v>10512</v>
      </c>
      <c r="C5434" s="52"/>
      <c r="D5434" s="55">
        <f t="shared" si="84"/>
        <v>0</v>
      </c>
      <c r="E5434" s="63" t="str">
        <f>HYPERLINK("https://www.sds-group.ru/product/pripoy-s-kanifolyu-pos-61-100g-2mm-olovo-61-svinets-39-katushka-rexant-09-3173/", "Инфо")</f>
        <v>Инфо</v>
      </c>
      <c r="F5434" s="16" t="s">
        <v>39</v>
      </c>
      <c r="G5434" s="15"/>
      <c r="H5434" s="15"/>
      <c r="I5434" s="15"/>
      <c r="J5434" s="17">
        <v>189</v>
      </c>
      <c r="K5434" s="15" t="s">
        <v>1381</v>
      </c>
      <c r="L5434" s="17">
        <v>1</v>
      </c>
      <c r="M5434" s="17">
        <v>80</v>
      </c>
      <c r="N5434" s="17">
        <v>1</v>
      </c>
      <c r="O5434" s="18">
        <v>1184.74</v>
      </c>
      <c r="P5434" s="18">
        <v>971.1</v>
      </c>
      <c r="Q5434" s="18">
        <v>947.79</v>
      </c>
      <c r="R5434" s="18">
        <v>776.88</v>
      </c>
      <c r="S5434" s="18">
        <v>805.62</v>
      </c>
      <c r="T5434" s="18">
        <v>660.34</v>
      </c>
      <c r="U5434" s="16"/>
      <c r="V5434" s="16"/>
      <c r="W5434" s="16" t="s">
        <v>40</v>
      </c>
      <c r="X5434" s="19">
        <v>0.126</v>
      </c>
      <c r="Y5434" s="20">
        <v>1.9599999999999999E-4</v>
      </c>
      <c r="Z5434" s="21">
        <v>4601004277175</v>
      </c>
    </row>
    <row r="5435" spans="1:26" ht="12" customHeight="1" outlineLevel="4" x14ac:dyDescent="0.2">
      <c r="A5435" s="14" t="s">
        <v>10513</v>
      </c>
      <c r="B5435" s="26" t="s">
        <v>10514</v>
      </c>
      <c r="C5435" s="52"/>
      <c r="D5435" s="55">
        <f t="shared" si="84"/>
        <v>0</v>
      </c>
      <c r="E5435" s="63" t="str">
        <f>HYPERLINK("https://www.sds-group.ru/product/pripoy-s-kanifolyu-pos-61-100g-3mm-olovo-61-svinets-39-katushka-rexant-09-3174/", "Инфо")</f>
        <v>Инфо</v>
      </c>
      <c r="F5435" s="16" t="s">
        <v>39</v>
      </c>
      <c r="G5435" s="15"/>
      <c r="H5435" s="15"/>
      <c r="I5435" s="15"/>
      <c r="J5435" s="17">
        <v>245</v>
      </c>
      <c r="K5435" s="15" t="s">
        <v>1381</v>
      </c>
      <c r="L5435" s="17">
        <v>1</v>
      </c>
      <c r="M5435" s="17">
        <v>80</v>
      </c>
      <c r="N5435" s="17">
        <v>1</v>
      </c>
      <c r="O5435" s="18">
        <v>1163.18</v>
      </c>
      <c r="P5435" s="18">
        <v>953.43</v>
      </c>
      <c r="Q5435" s="18">
        <v>930.54</v>
      </c>
      <c r="R5435" s="18">
        <v>762.74</v>
      </c>
      <c r="S5435" s="18">
        <v>790.96</v>
      </c>
      <c r="T5435" s="18">
        <v>648.33000000000004</v>
      </c>
      <c r="U5435" s="16"/>
      <c r="V5435" s="16"/>
      <c r="W5435" s="16" t="s">
        <v>40</v>
      </c>
      <c r="X5435" s="19">
        <v>0.126</v>
      </c>
      <c r="Y5435" s="20">
        <v>1.9599999999999999E-4</v>
      </c>
      <c r="Z5435" s="21">
        <v>4601004277182</v>
      </c>
    </row>
    <row r="5436" spans="1:26" ht="12" customHeight="1" outlineLevel="4" x14ac:dyDescent="0.2">
      <c r="A5436" s="14" t="s">
        <v>10515</v>
      </c>
      <c r="B5436" s="26" t="s">
        <v>10516</v>
      </c>
      <c r="C5436" s="52"/>
      <c r="D5436" s="55">
        <f t="shared" si="84"/>
        <v>0</v>
      </c>
      <c r="E5436" s="63" t="str">
        <f>HYPERLINK("https://www.sds-group.ru/product/pripoy-s-kanifolyu-pos-61-10g-1mm-olovo-61-svinets-39-kolba-rexant-09-3101/", "Инфо")</f>
        <v>Инфо</v>
      </c>
      <c r="F5436" s="16" t="s">
        <v>39</v>
      </c>
      <c r="G5436" s="15"/>
      <c r="H5436" s="15"/>
      <c r="I5436" s="15"/>
      <c r="J5436" s="22">
        <v>56936</v>
      </c>
      <c r="K5436" s="15" t="s">
        <v>6174</v>
      </c>
      <c r="L5436" s="17">
        <v>20</v>
      </c>
      <c r="M5436" s="17">
        <v>480</v>
      </c>
      <c r="N5436" s="17">
        <v>20</v>
      </c>
      <c r="O5436" s="18">
        <v>194.04</v>
      </c>
      <c r="P5436" s="18">
        <v>159.05000000000001</v>
      </c>
      <c r="Q5436" s="18">
        <v>194.04</v>
      </c>
      <c r="R5436" s="18">
        <v>159.05000000000001</v>
      </c>
      <c r="S5436" s="18">
        <v>131.94999999999999</v>
      </c>
      <c r="T5436" s="18">
        <v>108.16</v>
      </c>
      <c r="U5436" s="16"/>
      <c r="V5436" s="16"/>
      <c r="W5436" s="16" t="s">
        <v>40</v>
      </c>
      <c r="X5436" s="19">
        <v>1.7000000000000001E-2</v>
      </c>
      <c r="Y5436" s="20">
        <v>3.6999999999999998E-5</v>
      </c>
      <c r="Z5436" s="21">
        <v>4660008017095</v>
      </c>
    </row>
    <row r="5437" spans="1:26" ht="12" customHeight="1" outlineLevel="4" x14ac:dyDescent="0.2">
      <c r="A5437" s="14" t="s">
        <v>10517</v>
      </c>
      <c r="B5437" s="26" t="s">
        <v>10518</v>
      </c>
      <c r="C5437" s="52"/>
      <c r="D5437" s="55">
        <f t="shared" si="84"/>
        <v>0</v>
      </c>
      <c r="E5437" s="63" t="str">
        <f>HYPERLINK("https://www.sds-group.ru/product/pripoy-s-kanifolyu-pos-61-1m-0-8mm-olovo-61-svinets-39-spiral-konvert-rexant-09-3108/", "Инфо")</f>
        <v>Инфо</v>
      </c>
      <c r="F5437" s="16" t="s">
        <v>39</v>
      </c>
      <c r="G5437" s="15"/>
      <c r="H5437" s="15"/>
      <c r="I5437" s="15"/>
      <c r="J5437" s="22">
        <v>3035</v>
      </c>
      <c r="K5437" s="15" t="s">
        <v>1888</v>
      </c>
      <c r="L5437" s="17">
        <v>10</v>
      </c>
      <c r="M5437" s="17">
        <v>600</v>
      </c>
      <c r="N5437" s="17">
        <v>10</v>
      </c>
      <c r="O5437" s="18">
        <v>135.75</v>
      </c>
      <c r="P5437" s="18">
        <v>111.27</v>
      </c>
      <c r="Q5437" s="18">
        <v>115.39</v>
      </c>
      <c r="R5437" s="18">
        <v>94.58</v>
      </c>
      <c r="S5437" s="18">
        <v>92.31</v>
      </c>
      <c r="T5437" s="18">
        <v>75.66</v>
      </c>
      <c r="U5437" s="16"/>
      <c r="V5437" s="16"/>
      <c r="W5437" s="16" t="s">
        <v>40</v>
      </c>
      <c r="X5437" s="19">
        <v>7.0000000000000001E-3</v>
      </c>
      <c r="Y5437" s="20">
        <v>1.5E-5</v>
      </c>
      <c r="Z5437" s="21">
        <v>4601004021464</v>
      </c>
    </row>
    <row r="5438" spans="1:26" ht="12" customHeight="1" outlineLevel="4" x14ac:dyDescent="0.2">
      <c r="A5438" s="14" t="s">
        <v>10519</v>
      </c>
      <c r="B5438" s="26" t="s">
        <v>10520</v>
      </c>
      <c r="C5438" s="52"/>
      <c r="D5438" s="55">
        <f t="shared" si="84"/>
        <v>0</v>
      </c>
      <c r="E5438" s="63" t="str">
        <f>HYPERLINK("https://www.sds-group.ru/product/pripoy-s-kanifolyu-pos-61-1m-1-5mm-olovo-61-svinets-39-spiral-konvert-rexant-09-3115/", "Инфо")</f>
        <v>Инфо</v>
      </c>
      <c r="F5438" s="16" t="s">
        <v>39</v>
      </c>
      <c r="G5438" s="15"/>
      <c r="H5438" s="15"/>
      <c r="I5438" s="15"/>
      <c r="J5438" s="22">
        <v>1458</v>
      </c>
      <c r="K5438" s="15" t="s">
        <v>1888</v>
      </c>
      <c r="L5438" s="17">
        <v>5</v>
      </c>
      <c r="M5438" s="17">
        <v>600</v>
      </c>
      <c r="N5438" s="17">
        <v>5</v>
      </c>
      <c r="O5438" s="18">
        <v>338.7</v>
      </c>
      <c r="P5438" s="18">
        <v>277.62</v>
      </c>
      <c r="Q5438" s="18">
        <v>287.89999999999998</v>
      </c>
      <c r="R5438" s="18">
        <v>235.98</v>
      </c>
      <c r="S5438" s="18">
        <v>230.32</v>
      </c>
      <c r="T5438" s="18">
        <v>188.79</v>
      </c>
      <c r="U5438" s="16"/>
      <c r="V5438" s="16"/>
      <c r="W5438" s="16" t="s">
        <v>40</v>
      </c>
      <c r="X5438" s="19">
        <v>1.4999999999999999E-2</v>
      </c>
      <c r="Y5438" s="20">
        <v>1.8E-5</v>
      </c>
      <c r="Z5438" s="21">
        <v>4601004021471</v>
      </c>
    </row>
    <row r="5439" spans="1:26" ht="12" customHeight="1" outlineLevel="4" x14ac:dyDescent="0.2">
      <c r="A5439" s="14" t="s">
        <v>10521</v>
      </c>
      <c r="B5439" s="26" t="s">
        <v>10522</v>
      </c>
      <c r="C5439" s="52"/>
      <c r="D5439" s="55">
        <f t="shared" si="84"/>
        <v>0</v>
      </c>
      <c r="E5439" s="63" t="str">
        <f>HYPERLINK("https://www.sds-group.ru/product/pripoy-s-kanifolyu-pos-61-1m-1mm-olovo-61-svinets-39-spiral-konvert-rexant-09-3110/", "Инфо")</f>
        <v>Инфо</v>
      </c>
      <c r="F5439" s="16" t="s">
        <v>39</v>
      </c>
      <c r="G5439" s="15"/>
      <c r="H5439" s="15"/>
      <c r="I5439" s="15"/>
      <c r="J5439" s="22">
        <v>3213</v>
      </c>
      <c r="K5439" s="15" t="s">
        <v>1888</v>
      </c>
      <c r="L5439" s="17">
        <v>10</v>
      </c>
      <c r="M5439" s="17">
        <v>600</v>
      </c>
      <c r="N5439" s="17">
        <v>10</v>
      </c>
      <c r="O5439" s="18">
        <v>200.21</v>
      </c>
      <c r="P5439" s="18">
        <v>164.11</v>
      </c>
      <c r="Q5439" s="18">
        <v>170.18</v>
      </c>
      <c r="R5439" s="18">
        <v>139.49</v>
      </c>
      <c r="S5439" s="18">
        <v>136.13999999999999</v>
      </c>
      <c r="T5439" s="18">
        <v>111.59</v>
      </c>
      <c r="U5439" s="16"/>
      <c r="V5439" s="16"/>
      <c r="W5439" s="16" t="s">
        <v>40</v>
      </c>
      <c r="X5439" s="19">
        <v>8.9999999999999993E-3</v>
      </c>
      <c r="Y5439" s="20">
        <v>1.5E-5</v>
      </c>
      <c r="Z5439" s="21">
        <v>4601004021457</v>
      </c>
    </row>
    <row r="5440" spans="1:26" ht="12" customHeight="1" outlineLevel="4" x14ac:dyDescent="0.2">
      <c r="A5440" s="14" t="s">
        <v>10523</v>
      </c>
      <c r="B5440" s="26" t="s">
        <v>10524</v>
      </c>
      <c r="C5440" s="52"/>
      <c r="D5440" s="55">
        <f t="shared" si="84"/>
        <v>0</v>
      </c>
      <c r="E5440" s="63" t="str">
        <f>HYPERLINK("https://www.sds-group.ru/product/pripoy-s-kanifolyu-pos-90-10g-1mm-olovo-90-svinets-10-kolba-rexant-09-3102/", "Инфо")</f>
        <v>Инфо</v>
      </c>
      <c r="F5440" s="16" t="s">
        <v>39</v>
      </c>
      <c r="G5440" s="15"/>
      <c r="H5440" s="15"/>
      <c r="I5440" s="15"/>
      <c r="J5440" s="17">
        <v>638</v>
      </c>
      <c r="K5440" s="15" t="s">
        <v>1058</v>
      </c>
      <c r="L5440" s="17">
        <v>20</v>
      </c>
      <c r="M5440" s="17">
        <v>600</v>
      </c>
      <c r="N5440" s="17">
        <v>20</v>
      </c>
      <c r="O5440" s="18">
        <v>275.76</v>
      </c>
      <c r="P5440" s="18">
        <v>226.03</v>
      </c>
      <c r="Q5440" s="18">
        <v>234.4</v>
      </c>
      <c r="R5440" s="18">
        <v>192.13</v>
      </c>
      <c r="S5440" s="18">
        <v>187.52</v>
      </c>
      <c r="T5440" s="18">
        <v>153.69999999999999</v>
      </c>
      <c r="U5440" s="16"/>
      <c r="V5440" s="16"/>
      <c r="W5440" s="16" t="s">
        <v>40</v>
      </c>
      <c r="X5440" s="19">
        <v>1.7999999999999999E-2</v>
      </c>
      <c r="Y5440" s="20">
        <v>3.6000000000000001E-5</v>
      </c>
      <c r="Z5440" s="21">
        <v>4601004153127</v>
      </c>
    </row>
    <row r="5441" spans="1:26" ht="12" customHeight="1" outlineLevel="4" x14ac:dyDescent="0.2">
      <c r="A5441" s="14" t="s">
        <v>10525</v>
      </c>
      <c r="B5441" s="26" t="s">
        <v>10526</v>
      </c>
      <c r="C5441" s="52"/>
      <c r="D5441" s="55">
        <f t="shared" si="84"/>
        <v>0</v>
      </c>
      <c r="E5441" s="63" t="str">
        <f>HYPERLINK("https://www.sds-group.ru/product/pripoy-s-kanifolyu-1000g-1mm-olovo-60-svinets-40-katushka-rexant-09-3413/", "Инфо")</f>
        <v>Инфо</v>
      </c>
      <c r="F5441" s="16" t="s">
        <v>39</v>
      </c>
      <c r="G5441" s="15"/>
      <c r="H5441" s="15"/>
      <c r="I5441" s="15"/>
      <c r="J5441" s="17">
        <v>116</v>
      </c>
      <c r="K5441" s="15" t="s">
        <v>6174</v>
      </c>
      <c r="L5441" s="17">
        <v>1</v>
      </c>
      <c r="M5441" s="17">
        <v>20</v>
      </c>
      <c r="N5441" s="17">
        <v>1</v>
      </c>
      <c r="O5441" s="18">
        <v>12488.1</v>
      </c>
      <c r="P5441" s="18">
        <v>10236.15</v>
      </c>
      <c r="Q5441" s="18">
        <v>9116.31</v>
      </c>
      <c r="R5441" s="18">
        <v>7472.39</v>
      </c>
      <c r="S5441" s="18">
        <v>8491.91</v>
      </c>
      <c r="T5441" s="18">
        <v>6960.58</v>
      </c>
      <c r="U5441" s="16"/>
      <c r="V5441" s="16"/>
      <c r="W5441" s="16" t="s">
        <v>40</v>
      </c>
      <c r="X5441" s="19">
        <v>1.032</v>
      </c>
      <c r="Y5441" s="20">
        <v>3.9100000000000002E-4</v>
      </c>
      <c r="Z5441" s="21">
        <v>4660008012762</v>
      </c>
    </row>
    <row r="5442" spans="1:26" ht="12" customHeight="1" outlineLevel="4" x14ac:dyDescent="0.2">
      <c r="A5442" s="14" t="s">
        <v>10527</v>
      </c>
      <c r="B5442" s="26" t="s">
        <v>10528</v>
      </c>
      <c r="C5442" s="52"/>
      <c r="D5442" s="55">
        <f t="shared" si="84"/>
        <v>0</v>
      </c>
      <c r="E5442" s="63" t="str">
        <f>HYPERLINK("https://www.sds-group.ru/product/pripoy-s-kanifolyu-100g-0-5mm-olovo-60-svinets-40-katushka-blister-rexant-09-3201/", "Инфо")</f>
        <v>Инфо</v>
      </c>
      <c r="F5442" s="16" t="s">
        <v>39</v>
      </c>
      <c r="G5442" s="15"/>
      <c r="H5442" s="15"/>
      <c r="I5442" s="15"/>
      <c r="J5442" s="17">
        <v>803</v>
      </c>
      <c r="K5442" s="15" t="s">
        <v>6741</v>
      </c>
      <c r="L5442" s="17">
        <v>1</v>
      </c>
      <c r="M5442" s="17">
        <v>96</v>
      </c>
      <c r="N5442" s="17">
        <v>1</v>
      </c>
      <c r="O5442" s="18">
        <v>1184.74</v>
      </c>
      <c r="P5442" s="18">
        <v>971.1</v>
      </c>
      <c r="Q5442" s="18">
        <v>935.94</v>
      </c>
      <c r="R5442" s="18">
        <v>767.16</v>
      </c>
      <c r="S5442" s="18">
        <v>805.62</v>
      </c>
      <c r="T5442" s="18">
        <v>660.34</v>
      </c>
      <c r="U5442" s="16"/>
      <c r="V5442" s="16"/>
      <c r="W5442" s="16" t="s">
        <v>40</v>
      </c>
      <c r="X5442" s="19">
        <v>0.14000000000000001</v>
      </c>
      <c r="Y5442" s="20">
        <v>3.1300000000000002E-4</v>
      </c>
      <c r="Z5442" s="21">
        <v>4601004149274</v>
      </c>
    </row>
    <row r="5443" spans="1:26" ht="12" customHeight="1" outlineLevel="4" x14ac:dyDescent="0.2">
      <c r="A5443" s="14" t="s">
        <v>10529</v>
      </c>
      <c r="B5443" s="26" t="s">
        <v>10530</v>
      </c>
      <c r="C5443" s="52"/>
      <c r="D5443" s="55">
        <f t="shared" si="84"/>
        <v>0</v>
      </c>
      <c r="E5443" s="63" t="str">
        <f>HYPERLINK("https://www.sds-group.ru/product/pripoy-s-kanifolyu-100g-1mm-olovo-60-svinets-40-katushka-blister-rexant-09-3203/", "Инфо")</f>
        <v>Инфо</v>
      </c>
      <c r="F5443" s="16" t="s">
        <v>39</v>
      </c>
      <c r="G5443" s="15"/>
      <c r="H5443" s="15"/>
      <c r="I5443" s="15"/>
      <c r="J5443" s="22">
        <v>2383</v>
      </c>
      <c r="K5443" s="15" t="s">
        <v>6174</v>
      </c>
      <c r="L5443" s="17">
        <v>1</v>
      </c>
      <c r="M5443" s="17">
        <v>96</v>
      </c>
      <c r="N5443" s="17">
        <v>1</v>
      </c>
      <c r="O5443" s="18">
        <v>1184.74</v>
      </c>
      <c r="P5443" s="18">
        <v>971.1</v>
      </c>
      <c r="Q5443" s="18">
        <v>971.49</v>
      </c>
      <c r="R5443" s="18">
        <v>796.3</v>
      </c>
      <c r="S5443" s="18">
        <v>805.62</v>
      </c>
      <c r="T5443" s="18">
        <v>660.34</v>
      </c>
      <c r="U5443" s="16"/>
      <c r="V5443" s="16"/>
      <c r="W5443" s="16" t="s">
        <v>40</v>
      </c>
      <c r="X5443" s="19">
        <v>0.123</v>
      </c>
      <c r="Y5443" s="20">
        <v>2.2699999999999999E-4</v>
      </c>
      <c r="Z5443" s="21">
        <v>4660008012779</v>
      </c>
    </row>
    <row r="5444" spans="1:26" ht="12" customHeight="1" outlineLevel="4" x14ac:dyDescent="0.2">
      <c r="A5444" s="14" t="s">
        <v>10531</v>
      </c>
      <c r="B5444" s="26" t="s">
        <v>10532</v>
      </c>
      <c r="C5444" s="52"/>
      <c r="D5444" s="55">
        <f t="shared" si="84"/>
        <v>0</v>
      </c>
      <c r="E5444" s="63" t="str">
        <f>HYPERLINK("https://www.sds-group.ru/product/pripoy-s-kanifolyu-100g-2mm-olovo-60-svinets-40-katushka-blister-rexant-09-3223/", "Инфо")</f>
        <v>Инфо</v>
      </c>
      <c r="F5444" s="16" t="s">
        <v>39</v>
      </c>
      <c r="G5444" s="15"/>
      <c r="H5444" s="15"/>
      <c r="I5444" s="15"/>
      <c r="J5444" s="17">
        <v>807</v>
      </c>
      <c r="K5444" s="15" t="s">
        <v>6174</v>
      </c>
      <c r="L5444" s="17">
        <v>1</v>
      </c>
      <c r="M5444" s="17">
        <v>96</v>
      </c>
      <c r="N5444" s="17">
        <v>1</v>
      </c>
      <c r="O5444" s="18">
        <v>1125.51</v>
      </c>
      <c r="P5444" s="18">
        <v>922.55</v>
      </c>
      <c r="Q5444" s="18">
        <v>979.19</v>
      </c>
      <c r="R5444" s="18">
        <v>802.61</v>
      </c>
      <c r="S5444" s="18">
        <v>765.35</v>
      </c>
      <c r="T5444" s="18">
        <v>627.34</v>
      </c>
      <c r="U5444" s="16"/>
      <c r="V5444" s="16"/>
      <c r="W5444" s="16" t="s">
        <v>40</v>
      </c>
      <c r="X5444" s="19">
        <v>0.124</v>
      </c>
      <c r="Y5444" s="20">
        <v>2.3000000000000001E-4</v>
      </c>
      <c r="Z5444" s="21">
        <v>4601004035669</v>
      </c>
    </row>
    <row r="5445" spans="1:26" ht="12" customHeight="1" outlineLevel="4" x14ac:dyDescent="0.2">
      <c r="A5445" s="14" t="s">
        <v>10533</v>
      </c>
      <c r="B5445" s="26" t="s">
        <v>10534</v>
      </c>
      <c r="C5445" s="52"/>
      <c r="D5445" s="55">
        <f t="shared" si="84"/>
        <v>0</v>
      </c>
      <c r="E5445" s="63" t="str">
        <f>HYPERLINK("https://www.sds-group.ru/product/pripoy-s-kanifolyu-1m-0-8mm-olovo-60-svinets-40-spiral-blister-rexant-09-3130/", "Инфо")</f>
        <v>Инфо</v>
      </c>
      <c r="F5445" s="16" t="s">
        <v>39</v>
      </c>
      <c r="G5445" s="15"/>
      <c r="H5445" s="15"/>
      <c r="I5445" s="15"/>
      <c r="J5445" s="22">
        <v>3114</v>
      </c>
      <c r="K5445" s="15" t="s">
        <v>1277</v>
      </c>
      <c r="L5445" s="17">
        <v>10</v>
      </c>
      <c r="M5445" s="17">
        <v>400</v>
      </c>
      <c r="N5445" s="17">
        <v>10</v>
      </c>
      <c r="O5445" s="18">
        <v>182.06</v>
      </c>
      <c r="P5445" s="18">
        <v>149.22999999999999</v>
      </c>
      <c r="Q5445" s="18">
        <v>154.75</v>
      </c>
      <c r="R5445" s="18">
        <v>126.84</v>
      </c>
      <c r="S5445" s="18">
        <v>123.8</v>
      </c>
      <c r="T5445" s="18">
        <v>101.48</v>
      </c>
      <c r="U5445" s="16"/>
      <c r="V5445" s="16"/>
      <c r="W5445" s="16" t="s">
        <v>40</v>
      </c>
      <c r="X5445" s="19">
        <v>1.2999999999999999E-2</v>
      </c>
      <c r="Y5445" s="20">
        <v>5.8E-5</v>
      </c>
      <c r="Z5445" s="21">
        <v>4601004095304</v>
      </c>
    </row>
    <row r="5446" spans="1:26" ht="12" customHeight="1" outlineLevel="4" x14ac:dyDescent="0.2">
      <c r="A5446" s="14" t="s">
        <v>10535</v>
      </c>
      <c r="B5446" s="26" t="s">
        <v>10536</v>
      </c>
      <c r="C5446" s="52"/>
      <c r="D5446" s="55">
        <f t="shared" si="84"/>
        <v>0</v>
      </c>
      <c r="E5446" s="63" t="str">
        <f>HYPERLINK("https://www.sds-group.ru/product/pripoy-s-kanifolyu-1m-1mm-olovo-60-svinets-40-spiral-blister-rexant-09-3140/", "Инфо")</f>
        <v>Инфо</v>
      </c>
      <c r="F5446" s="16" t="s">
        <v>39</v>
      </c>
      <c r="G5446" s="15"/>
      <c r="H5446" s="15"/>
      <c r="I5446" s="15"/>
      <c r="J5446" s="22">
        <v>1522</v>
      </c>
      <c r="K5446" s="15" t="s">
        <v>4866</v>
      </c>
      <c r="L5446" s="17">
        <v>5</v>
      </c>
      <c r="M5446" s="17">
        <v>400</v>
      </c>
      <c r="N5446" s="17">
        <v>5</v>
      </c>
      <c r="O5446" s="18">
        <v>237.25</v>
      </c>
      <c r="P5446" s="18">
        <v>194.47</v>
      </c>
      <c r="Q5446" s="18">
        <v>201.66</v>
      </c>
      <c r="R5446" s="18">
        <v>165.3</v>
      </c>
      <c r="S5446" s="18">
        <v>161.33000000000001</v>
      </c>
      <c r="T5446" s="18">
        <v>132.24</v>
      </c>
      <c r="U5446" s="16"/>
      <c r="V5446" s="16"/>
      <c r="W5446" s="16" t="s">
        <v>40</v>
      </c>
      <c r="X5446" s="19">
        <v>1.4999999999999999E-2</v>
      </c>
      <c r="Y5446" s="20">
        <v>5.7000000000000003E-5</v>
      </c>
      <c r="Z5446" s="21">
        <v>4601004095298</v>
      </c>
    </row>
    <row r="5447" spans="1:26" ht="12" customHeight="1" outlineLevel="4" x14ac:dyDescent="0.2">
      <c r="A5447" s="14" t="s">
        <v>10537</v>
      </c>
      <c r="B5447" s="26" t="s">
        <v>10538</v>
      </c>
      <c r="C5447" s="52"/>
      <c r="D5447" s="55">
        <f t="shared" si="84"/>
        <v>0</v>
      </c>
      <c r="E5447" s="63" t="str">
        <f>HYPERLINK("https://www.sds-group.ru/product/pripoy-s-kanifolyu-1m-2mm-olovo-60-svinets-40-spiral-blister-rexant-09-3150/", "Инфо")</f>
        <v>Инфо</v>
      </c>
      <c r="F5447" s="16" t="s">
        <v>39</v>
      </c>
      <c r="G5447" s="15"/>
      <c r="H5447" s="15"/>
      <c r="I5447" s="15"/>
      <c r="J5447" s="22">
        <v>2935</v>
      </c>
      <c r="K5447" s="15"/>
      <c r="L5447" s="17">
        <v>5</v>
      </c>
      <c r="M5447" s="17">
        <v>400</v>
      </c>
      <c r="N5447" s="17">
        <v>5</v>
      </c>
      <c r="O5447" s="18">
        <v>439.57</v>
      </c>
      <c r="P5447" s="18">
        <v>360.3</v>
      </c>
      <c r="Q5447" s="18">
        <v>373.63</v>
      </c>
      <c r="R5447" s="18">
        <v>306.25</v>
      </c>
      <c r="S5447" s="18">
        <v>298.91000000000003</v>
      </c>
      <c r="T5447" s="18">
        <v>245.01</v>
      </c>
      <c r="U5447" s="16"/>
      <c r="V5447" s="16"/>
      <c r="W5447" s="16" t="s">
        <v>40</v>
      </c>
      <c r="X5447" s="19">
        <v>3.2000000000000001E-2</v>
      </c>
      <c r="Y5447" s="20">
        <v>5.8999999999999998E-5</v>
      </c>
      <c r="Z5447" s="21">
        <v>4601004095311</v>
      </c>
    </row>
    <row r="5448" spans="1:26" ht="12" customHeight="1" outlineLevel="4" x14ac:dyDescent="0.2">
      <c r="A5448" s="14" t="s">
        <v>10539</v>
      </c>
      <c r="B5448" s="26" t="s">
        <v>10540</v>
      </c>
      <c r="C5448" s="52"/>
      <c r="D5448" s="55">
        <f t="shared" si="84"/>
        <v>0</v>
      </c>
      <c r="E5448" s="63" t="str">
        <f>HYPERLINK("https://www.sds-group.ru/product/pripoy-s-kanifolyu-20g-1mm-olovo-60-svinets-40-kolba-karandash-rexant-09-3103/", "Инфо")</f>
        <v>Инфо</v>
      </c>
      <c r="F5448" s="16" t="s">
        <v>39</v>
      </c>
      <c r="G5448" s="15"/>
      <c r="H5448" s="15"/>
      <c r="I5448" s="15"/>
      <c r="J5448" s="22">
        <v>5981</v>
      </c>
      <c r="K5448" s="15" t="s">
        <v>1058</v>
      </c>
      <c r="L5448" s="17">
        <v>10</v>
      </c>
      <c r="M5448" s="17">
        <v>500</v>
      </c>
      <c r="N5448" s="17">
        <v>10</v>
      </c>
      <c r="O5448" s="18">
        <v>246.86</v>
      </c>
      <c r="P5448" s="18">
        <v>202.34</v>
      </c>
      <c r="Q5448" s="18">
        <v>209.83</v>
      </c>
      <c r="R5448" s="18">
        <v>171.99</v>
      </c>
      <c r="S5448" s="18">
        <v>167.86</v>
      </c>
      <c r="T5448" s="18">
        <v>137.59</v>
      </c>
      <c r="U5448" s="16"/>
      <c r="V5448" s="16"/>
      <c r="W5448" s="16" t="s">
        <v>40</v>
      </c>
      <c r="X5448" s="19">
        <v>3.7999999999999999E-2</v>
      </c>
      <c r="Y5448" s="20">
        <v>1.3999999999999999E-4</v>
      </c>
      <c r="Z5448" s="21">
        <v>4660008017101</v>
      </c>
    </row>
    <row r="5449" spans="1:26" ht="12" customHeight="1" outlineLevel="4" x14ac:dyDescent="0.2">
      <c r="A5449" s="14" t="s">
        <v>10541</v>
      </c>
      <c r="B5449" s="26" t="s">
        <v>10542</v>
      </c>
      <c r="C5449" s="52"/>
      <c r="D5449" s="55">
        <f t="shared" ref="D5449:D5512" si="85">C5449*(O5449-O5449*$G$3)</f>
        <v>0</v>
      </c>
      <c r="E5449" s="63" t="str">
        <f>HYPERLINK("https://www.sds-group.ru/product/pripoy-s-kanifolyu-20g-2mm-olovo-60-svinets-40-kolba-karandash-rexant-09-3104/", "Инфо")</f>
        <v>Инфо</v>
      </c>
      <c r="F5449" s="16" t="s">
        <v>39</v>
      </c>
      <c r="G5449" s="15"/>
      <c r="H5449" s="15"/>
      <c r="I5449" s="15"/>
      <c r="J5449" s="22">
        <v>4477</v>
      </c>
      <c r="K5449" s="15" t="s">
        <v>1058</v>
      </c>
      <c r="L5449" s="17">
        <v>5</v>
      </c>
      <c r="M5449" s="17">
        <v>500</v>
      </c>
      <c r="N5449" s="17">
        <v>5</v>
      </c>
      <c r="O5449" s="18">
        <v>246.86</v>
      </c>
      <c r="P5449" s="18">
        <v>202.34</v>
      </c>
      <c r="Q5449" s="18">
        <v>209.83</v>
      </c>
      <c r="R5449" s="18">
        <v>171.99</v>
      </c>
      <c r="S5449" s="18">
        <v>167.86</v>
      </c>
      <c r="T5449" s="18">
        <v>137.59</v>
      </c>
      <c r="U5449" s="16"/>
      <c r="V5449" s="16"/>
      <c r="W5449" s="16" t="s">
        <v>40</v>
      </c>
      <c r="X5449" s="19">
        <v>3.7999999999999999E-2</v>
      </c>
      <c r="Y5449" s="20">
        <v>1.4200000000000001E-4</v>
      </c>
      <c r="Z5449" s="21">
        <v>4601004153172</v>
      </c>
    </row>
    <row r="5450" spans="1:26" ht="12" customHeight="1" outlineLevel="4" x14ac:dyDescent="0.2">
      <c r="A5450" s="14" t="s">
        <v>10543</v>
      </c>
      <c r="B5450" s="26" t="s">
        <v>10544</v>
      </c>
      <c r="C5450" s="52"/>
      <c r="D5450" s="55">
        <f t="shared" si="85"/>
        <v>0</v>
      </c>
      <c r="E5450" s="63" t="str">
        <f>HYPERLINK("https://www.sds-group.ru/product/pripoy-s-kanifolyu-250g-0-6mm-olovo-60-svinets-40-katushka-rexant-09-3311/", "Инфо")</f>
        <v>Инфо</v>
      </c>
      <c r="F5450" s="16" t="s">
        <v>39</v>
      </c>
      <c r="G5450" s="15"/>
      <c r="H5450" s="15"/>
      <c r="I5450" s="15"/>
      <c r="J5450" s="17">
        <v>53</v>
      </c>
      <c r="K5450" s="15" t="s">
        <v>6744</v>
      </c>
      <c r="L5450" s="17">
        <v>1</v>
      </c>
      <c r="M5450" s="17">
        <v>80</v>
      </c>
      <c r="N5450" s="17">
        <v>1</v>
      </c>
      <c r="O5450" s="18">
        <v>3179.08</v>
      </c>
      <c r="P5450" s="18">
        <v>2605.8000000000002</v>
      </c>
      <c r="Q5450" s="18">
        <v>2320.73</v>
      </c>
      <c r="R5450" s="18">
        <v>1902.24</v>
      </c>
      <c r="S5450" s="18">
        <v>2161.77</v>
      </c>
      <c r="T5450" s="18">
        <v>1771.94</v>
      </c>
      <c r="U5450" s="16"/>
      <c r="V5450" s="16"/>
      <c r="W5450" s="16" t="s">
        <v>40</v>
      </c>
      <c r="X5450" s="19">
        <v>0.26400000000000001</v>
      </c>
      <c r="Y5450" s="20">
        <v>1.75E-4</v>
      </c>
      <c r="Z5450" s="21">
        <v>4660008012786</v>
      </c>
    </row>
    <row r="5451" spans="1:26" ht="12" customHeight="1" outlineLevel="4" x14ac:dyDescent="0.2">
      <c r="A5451" s="14" t="s">
        <v>10545</v>
      </c>
      <c r="B5451" s="26" t="s">
        <v>10546</v>
      </c>
      <c r="C5451" s="52"/>
      <c r="D5451" s="55">
        <f t="shared" si="85"/>
        <v>0</v>
      </c>
      <c r="E5451" s="63" t="str">
        <f>HYPERLINK("https://www.sds-group.ru/product/pripoy-s-kanifolyu-250g-0-8mm-olovo-60-svinets-40-katushka-rexant-09-3312/", "Инфо")</f>
        <v>Инфо</v>
      </c>
      <c r="F5451" s="16" t="s">
        <v>39</v>
      </c>
      <c r="G5451" s="15"/>
      <c r="H5451" s="15"/>
      <c r="I5451" s="15"/>
      <c r="J5451" s="17">
        <v>469</v>
      </c>
      <c r="K5451" s="15" t="s">
        <v>6174</v>
      </c>
      <c r="L5451" s="17">
        <v>1</v>
      </c>
      <c r="M5451" s="17">
        <v>80</v>
      </c>
      <c r="N5451" s="17">
        <v>1</v>
      </c>
      <c r="O5451" s="18">
        <v>3179.08</v>
      </c>
      <c r="P5451" s="18">
        <v>2605.8000000000002</v>
      </c>
      <c r="Q5451" s="18">
        <v>2320.73</v>
      </c>
      <c r="R5451" s="18">
        <v>1902.24</v>
      </c>
      <c r="S5451" s="18">
        <v>2161.77</v>
      </c>
      <c r="T5451" s="18">
        <v>1771.94</v>
      </c>
      <c r="U5451" s="16"/>
      <c r="V5451" s="16"/>
      <c r="W5451" s="16" t="s">
        <v>40</v>
      </c>
      <c r="X5451" s="19">
        <v>0.26200000000000001</v>
      </c>
      <c r="Y5451" s="20">
        <v>1.4899999999999999E-4</v>
      </c>
      <c r="Z5451" s="21">
        <v>4660008012755</v>
      </c>
    </row>
    <row r="5452" spans="1:26" ht="12" customHeight="1" outlineLevel="4" x14ac:dyDescent="0.2">
      <c r="A5452" s="14" t="s">
        <v>10547</v>
      </c>
      <c r="B5452" s="26" t="s">
        <v>10548</v>
      </c>
      <c r="C5452" s="52"/>
      <c r="D5452" s="55">
        <f t="shared" si="85"/>
        <v>0</v>
      </c>
      <c r="E5452" s="63" t="str">
        <f>HYPERLINK("https://www.sds-group.ru/product/pripoy-s-kanifolyu-250g-1mm-olovo-60-svinets-40-katushka-rexant-09-3313/", "Инфо")</f>
        <v>Инфо</v>
      </c>
      <c r="F5452" s="16" t="s">
        <v>39</v>
      </c>
      <c r="G5452" s="15"/>
      <c r="H5452" s="15"/>
      <c r="I5452" s="15"/>
      <c r="J5452" s="17">
        <v>499</v>
      </c>
      <c r="K5452" s="15" t="s">
        <v>6744</v>
      </c>
      <c r="L5452" s="17">
        <v>1</v>
      </c>
      <c r="M5452" s="17">
        <v>80</v>
      </c>
      <c r="N5452" s="17">
        <v>1</v>
      </c>
      <c r="O5452" s="18">
        <v>3126.26</v>
      </c>
      <c r="P5452" s="18">
        <v>2562.5100000000002</v>
      </c>
      <c r="Q5452" s="18">
        <v>2282.17</v>
      </c>
      <c r="R5452" s="18">
        <v>1870.63</v>
      </c>
      <c r="S5452" s="18">
        <v>2125.86</v>
      </c>
      <c r="T5452" s="18">
        <v>1742.51</v>
      </c>
      <c r="U5452" s="16"/>
      <c r="V5452" s="16"/>
      <c r="W5452" s="16" t="s">
        <v>40</v>
      </c>
      <c r="X5452" s="19">
        <v>0.26300000000000001</v>
      </c>
      <c r="Y5452" s="20">
        <v>1.45E-4</v>
      </c>
      <c r="Z5452" s="21">
        <v>4660008011611</v>
      </c>
    </row>
    <row r="5453" spans="1:26" ht="12" customHeight="1" outlineLevel="4" x14ac:dyDescent="0.2">
      <c r="A5453" s="14" t="s">
        <v>10549</v>
      </c>
      <c r="B5453" s="26" t="s">
        <v>10550</v>
      </c>
      <c r="C5453" s="52"/>
      <c r="D5453" s="55">
        <f t="shared" si="85"/>
        <v>0</v>
      </c>
      <c r="E5453" s="63" t="str">
        <f>HYPERLINK("https://www.sds-group.ru/product/pripoy-s-kanifolyu-250g-2mm-olovo-60-svinets-40-katushka-rexant-09-3323/", "Инфо")</f>
        <v>Инфо</v>
      </c>
      <c r="F5453" s="16" t="s">
        <v>39</v>
      </c>
      <c r="G5453" s="15"/>
      <c r="H5453" s="15"/>
      <c r="I5453" s="15"/>
      <c r="J5453" s="17">
        <v>363</v>
      </c>
      <c r="K5453" s="15" t="s">
        <v>1058</v>
      </c>
      <c r="L5453" s="17">
        <v>1</v>
      </c>
      <c r="M5453" s="17">
        <v>60</v>
      </c>
      <c r="N5453" s="17">
        <v>1</v>
      </c>
      <c r="O5453" s="18">
        <v>3126.26</v>
      </c>
      <c r="P5453" s="18">
        <v>2562.5100000000002</v>
      </c>
      <c r="Q5453" s="18">
        <v>2282.17</v>
      </c>
      <c r="R5453" s="18">
        <v>1870.63</v>
      </c>
      <c r="S5453" s="18">
        <v>2125.86</v>
      </c>
      <c r="T5453" s="18">
        <v>1742.51</v>
      </c>
      <c r="U5453" s="16"/>
      <c r="V5453" s="16"/>
      <c r="W5453" s="16" t="s">
        <v>40</v>
      </c>
      <c r="X5453" s="19">
        <v>0.26300000000000001</v>
      </c>
      <c r="Y5453" s="20">
        <v>1.63E-4</v>
      </c>
      <c r="Z5453" s="21">
        <v>4601004050754</v>
      </c>
    </row>
    <row r="5454" spans="1:26" ht="12" customHeight="1" outlineLevel="4" x14ac:dyDescent="0.2">
      <c r="A5454" s="14" t="s">
        <v>10551</v>
      </c>
      <c r="B5454" s="26" t="s">
        <v>10552</v>
      </c>
      <c r="C5454" s="52"/>
      <c r="D5454" s="55">
        <f t="shared" si="85"/>
        <v>0</v>
      </c>
      <c r="E5454" s="63" t="str">
        <f>HYPERLINK("https://www.sds-group.ru/product/pripoy-s-kanifolyu-500g-0-8mm-olovo-60-svinets-40-katushka-rexant-09-3361/", "Инфо")</f>
        <v>Инфо</v>
      </c>
      <c r="F5454" s="16" t="s">
        <v>39</v>
      </c>
      <c r="G5454" s="15"/>
      <c r="H5454" s="15"/>
      <c r="I5454" s="15"/>
      <c r="J5454" s="17">
        <v>383</v>
      </c>
      <c r="K5454" s="15" t="s">
        <v>6744</v>
      </c>
      <c r="L5454" s="17">
        <v>1</v>
      </c>
      <c r="M5454" s="17">
        <v>60</v>
      </c>
      <c r="N5454" s="17">
        <v>1</v>
      </c>
      <c r="O5454" s="18">
        <v>6693.17</v>
      </c>
      <c r="P5454" s="18">
        <v>5486.2</v>
      </c>
      <c r="Q5454" s="18">
        <v>4886.01</v>
      </c>
      <c r="R5454" s="18">
        <v>4004.93</v>
      </c>
      <c r="S5454" s="18">
        <v>4551.3599999999997</v>
      </c>
      <c r="T5454" s="18">
        <v>3730.62</v>
      </c>
      <c r="U5454" s="16"/>
      <c r="V5454" s="16"/>
      <c r="W5454" s="16" t="s">
        <v>40</v>
      </c>
      <c r="X5454" s="19">
        <v>0.53700000000000003</v>
      </c>
      <c r="Y5454" s="20">
        <v>3.1799999999999998E-4</v>
      </c>
      <c r="Z5454" s="21">
        <v>4601004076556</v>
      </c>
    </row>
    <row r="5455" spans="1:26" ht="12" customHeight="1" outlineLevel="4" x14ac:dyDescent="0.2">
      <c r="A5455" s="14" t="s">
        <v>10553</v>
      </c>
      <c r="B5455" s="26" t="s">
        <v>10554</v>
      </c>
      <c r="C5455" s="52"/>
      <c r="D5455" s="55">
        <f t="shared" si="85"/>
        <v>0</v>
      </c>
      <c r="E5455" s="63" t="str">
        <f>HYPERLINK("https://www.sds-group.ru/product/pripoy-s-kanifolyu-500g-1mm-olovo-60-svinets-40-katushka-rexant-09-3363/", "Инфо")</f>
        <v>Инфо</v>
      </c>
      <c r="F5455" s="16" t="s">
        <v>39</v>
      </c>
      <c r="G5455" s="15"/>
      <c r="H5455" s="15"/>
      <c r="I5455" s="15"/>
      <c r="J5455" s="17">
        <v>909</v>
      </c>
      <c r="K5455" s="15"/>
      <c r="L5455" s="17">
        <v>1</v>
      </c>
      <c r="M5455" s="17">
        <v>40</v>
      </c>
      <c r="N5455" s="17">
        <v>1</v>
      </c>
      <c r="O5455" s="18">
        <v>6800.01</v>
      </c>
      <c r="P5455" s="18">
        <v>5573.78</v>
      </c>
      <c r="Q5455" s="18">
        <v>4964.01</v>
      </c>
      <c r="R5455" s="18">
        <v>4068.86</v>
      </c>
      <c r="S5455" s="18">
        <v>4624.01</v>
      </c>
      <c r="T5455" s="18">
        <v>3790.17</v>
      </c>
      <c r="U5455" s="16"/>
      <c r="V5455" s="16"/>
      <c r="W5455" s="16" t="s">
        <v>40</v>
      </c>
      <c r="X5455" s="19">
        <v>0.53800000000000003</v>
      </c>
      <c r="Y5455" s="20">
        <v>2.7099999999999997E-4</v>
      </c>
      <c r="Z5455" s="21">
        <v>4660008011628</v>
      </c>
    </row>
    <row r="5456" spans="1:26" ht="12" customHeight="1" outlineLevel="4" x14ac:dyDescent="0.2">
      <c r="A5456" s="14" t="s">
        <v>10555</v>
      </c>
      <c r="B5456" s="26" t="s">
        <v>10556</v>
      </c>
      <c r="C5456" s="52"/>
      <c r="D5456" s="55">
        <f t="shared" si="85"/>
        <v>0</v>
      </c>
      <c r="E5456" s="63" t="str">
        <f>HYPERLINK("https://www.sds-group.ru/product/pripoy-s-kanifolyu-500g-2mm-olovo-60-svinets-40-katushka-rexant-09-3383/", "Инфо")</f>
        <v>Инфо</v>
      </c>
      <c r="F5456" s="16" t="s">
        <v>39</v>
      </c>
      <c r="G5456" s="15"/>
      <c r="H5456" s="15"/>
      <c r="I5456" s="15"/>
      <c r="J5456" s="16" t="s">
        <v>100</v>
      </c>
      <c r="K5456" s="15" t="s">
        <v>6174</v>
      </c>
      <c r="L5456" s="17">
        <v>1</v>
      </c>
      <c r="M5456" s="17">
        <v>40</v>
      </c>
      <c r="N5456" s="17">
        <v>1</v>
      </c>
      <c r="O5456" s="18">
        <v>7804.24</v>
      </c>
      <c r="P5456" s="18">
        <v>6396.92</v>
      </c>
      <c r="Q5456" s="18">
        <v>5697.1</v>
      </c>
      <c r="R5456" s="18">
        <v>4669.75</v>
      </c>
      <c r="S5456" s="18">
        <v>5306.88</v>
      </c>
      <c r="T5456" s="18">
        <v>4349.8999999999996</v>
      </c>
      <c r="U5456" s="16"/>
      <c r="V5456" s="16"/>
      <c r="W5456" s="16" t="s">
        <v>40</v>
      </c>
      <c r="X5456" s="19">
        <v>0.52500000000000002</v>
      </c>
      <c r="Y5456" s="20">
        <v>2.5799999999999998E-4</v>
      </c>
      <c r="Z5456" s="21">
        <v>4601004050761</v>
      </c>
    </row>
    <row r="5457" spans="1:26" ht="12" customHeight="1" outlineLevel="4" x14ac:dyDescent="0.2">
      <c r="A5457" s="14" t="s">
        <v>10557</v>
      </c>
      <c r="B5457" s="26" t="s">
        <v>10558</v>
      </c>
      <c r="C5457" s="52"/>
      <c r="D5457" s="55">
        <f t="shared" si="85"/>
        <v>0</v>
      </c>
      <c r="E5457" s="63" t="str">
        <f>HYPERLINK("https://www.sds-group.ru/product/pripoy-s-kanifolyu-500g-3mm-olovo-60-svinets-40-katushka-rexant-09-3393/", "Инфо")</f>
        <v>Инфо</v>
      </c>
      <c r="F5457" s="16" t="s">
        <v>39</v>
      </c>
      <c r="G5457" s="15"/>
      <c r="H5457" s="15"/>
      <c r="I5457" s="15"/>
      <c r="J5457" s="17">
        <v>544</v>
      </c>
      <c r="K5457" s="15" t="s">
        <v>6744</v>
      </c>
      <c r="L5457" s="17">
        <v>1</v>
      </c>
      <c r="M5457" s="17">
        <v>40</v>
      </c>
      <c r="N5457" s="17">
        <v>1</v>
      </c>
      <c r="O5457" s="18">
        <v>7409.73</v>
      </c>
      <c r="P5457" s="18">
        <v>6073.55</v>
      </c>
      <c r="Q5457" s="18">
        <v>5409.1</v>
      </c>
      <c r="R5457" s="18">
        <v>4433.6899999999996</v>
      </c>
      <c r="S5457" s="18">
        <v>5038.62</v>
      </c>
      <c r="T5457" s="18">
        <v>4130.0200000000004</v>
      </c>
      <c r="U5457" s="16"/>
      <c r="V5457" s="16"/>
      <c r="W5457" s="16" t="s">
        <v>40</v>
      </c>
      <c r="X5457" s="19">
        <v>0.52600000000000002</v>
      </c>
      <c r="Y5457" s="20">
        <v>2.5599999999999999E-4</v>
      </c>
      <c r="Z5457" s="21">
        <v>4601004076563</v>
      </c>
    </row>
    <row r="5458" spans="1:26" ht="12.95" customHeight="1" outlineLevel="3" x14ac:dyDescent="0.2">
      <c r="A5458" s="76" t="s">
        <v>10559</v>
      </c>
      <c r="B5458" s="76"/>
      <c r="C5458" s="77"/>
      <c r="D5458" s="58"/>
      <c r="E5458" s="68"/>
      <c r="F5458" s="13"/>
      <c r="G5458" s="13"/>
      <c r="H5458" s="13"/>
      <c r="I5458" s="13"/>
      <c r="J5458" s="13"/>
      <c r="K5458" s="13"/>
      <c r="L5458" s="13"/>
      <c r="M5458" s="13"/>
      <c r="N5458" s="13"/>
      <c r="O5458" s="13"/>
      <c r="P5458" s="13"/>
      <c r="Q5458" s="13"/>
      <c r="R5458" s="13"/>
      <c r="S5458" s="13"/>
      <c r="T5458" s="13"/>
      <c r="U5458" s="13"/>
      <c r="V5458" s="13"/>
      <c r="W5458" s="13"/>
      <c r="X5458" s="13"/>
      <c r="Y5458" s="13"/>
      <c r="Z5458" s="13"/>
    </row>
    <row r="5459" spans="1:26" ht="12" customHeight="1" outlineLevel="4" x14ac:dyDescent="0.2">
      <c r="A5459" s="14" t="s">
        <v>10560</v>
      </c>
      <c r="B5459" s="26" t="s">
        <v>10561</v>
      </c>
      <c r="C5459" s="52"/>
      <c r="D5459" s="55">
        <f t="shared" si="85"/>
        <v>0</v>
      </c>
      <c r="E5459" s="63" t="str">
        <f>HYPERLINK("https://www.sds-group.ru/product/pripoy-splav-vuda-50g-olovo-12-5-svinets-25-vismut-50-kadmiy-12-5-banochka-rexant-09-3493/", "Инфо")</f>
        <v>Инфо</v>
      </c>
      <c r="F5459" s="16" t="s">
        <v>39</v>
      </c>
      <c r="G5459" s="15"/>
      <c r="H5459" s="15"/>
      <c r="I5459" s="15"/>
      <c r="J5459" s="17">
        <v>177</v>
      </c>
      <c r="K5459" s="15"/>
      <c r="L5459" s="17">
        <v>5</v>
      </c>
      <c r="M5459" s="17">
        <v>420</v>
      </c>
      <c r="N5459" s="17">
        <v>5</v>
      </c>
      <c r="O5459" s="18">
        <v>537.92999999999995</v>
      </c>
      <c r="P5459" s="18">
        <v>440.93</v>
      </c>
      <c r="Q5459" s="18">
        <v>430.34</v>
      </c>
      <c r="R5459" s="18">
        <v>352.74</v>
      </c>
      <c r="S5459" s="18">
        <v>365.79</v>
      </c>
      <c r="T5459" s="18">
        <v>299.83</v>
      </c>
      <c r="U5459" s="16"/>
      <c r="V5459" s="16"/>
      <c r="W5459" s="16" t="s">
        <v>40</v>
      </c>
      <c r="X5459" s="19">
        <v>5.2999999999999999E-2</v>
      </c>
      <c r="Y5459" s="20">
        <v>5.5999999999999999E-5</v>
      </c>
      <c r="Z5459" s="21">
        <v>4601004101906</v>
      </c>
    </row>
    <row r="5460" spans="1:26" ht="12" customHeight="1" outlineLevel="4" x14ac:dyDescent="0.2">
      <c r="A5460" s="14" t="s">
        <v>10562</v>
      </c>
      <c r="B5460" s="26" t="s">
        <v>10563</v>
      </c>
      <c r="C5460" s="52"/>
      <c r="D5460" s="55">
        <f t="shared" si="85"/>
        <v>0</v>
      </c>
      <c r="E5460" s="63" t="str">
        <f>HYPERLINK("https://www.sds-group.ru/product/pripoy-bez-kanifoli-pos-30-10g-1mm-olovo-30-svinets-70-kolba-rexant-09-3091/", "Инфо")</f>
        <v>Инфо</v>
      </c>
      <c r="F5460" s="16" t="s">
        <v>39</v>
      </c>
      <c r="G5460" s="15"/>
      <c r="H5460" s="15"/>
      <c r="I5460" s="15"/>
      <c r="J5460" s="22">
        <v>1931</v>
      </c>
      <c r="K5460" s="15" t="s">
        <v>6744</v>
      </c>
      <c r="L5460" s="17">
        <v>20</v>
      </c>
      <c r="M5460" s="17">
        <v>600</v>
      </c>
      <c r="N5460" s="17">
        <v>20</v>
      </c>
      <c r="O5460" s="18">
        <v>159.55000000000001</v>
      </c>
      <c r="P5460" s="18">
        <v>130.78</v>
      </c>
      <c r="Q5460" s="18">
        <v>135.62</v>
      </c>
      <c r="R5460" s="18">
        <v>111.16</v>
      </c>
      <c r="S5460" s="18">
        <v>108.49</v>
      </c>
      <c r="T5460" s="18">
        <v>88.93</v>
      </c>
      <c r="U5460" s="16"/>
      <c r="V5460" s="16"/>
      <c r="W5460" s="16" t="s">
        <v>40</v>
      </c>
      <c r="X5460" s="19">
        <v>1.7999999999999999E-2</v>
      </c>
      <c r="Y5460" s="20">
        <v>3.8000000000000002E-5</v>
      </c>
      <c r="Z5460" s="21">
        <v>4601004153134</v>
      </c>
    </row>
    <row r="5461" spans="1:26" ht="12" customHeight="1" outlineLevel="4" x14ac:dyDescent="0.2">
      <c r="A5461" s="14" t="s">
        <v>10564</v>
      </c>
      <c r="B5461" s="26" t="s">
        <v>10565</v>
      </c>
      <c r="C5461" s="52"/>
      <c r="D5461" s="55">
        <f t="shared" si="85"/>
        <v>0</v>
      </c>
      <c r="E5461" s="63" t="str">
        <f>HYPERLINK("https://www.sds-group.ru/product/pripoy-bez-kanifoli-pos-40-10g-1mm-olovo-40-svinets-60-kolba-rexant-09-3092/", "Инфо")</f>
        <v>Инфо</v>
      </c>
      <c r="F5461" s="16" t="s">
        <v>39</v>
      </c>
      <c r="G5461" s="15"/>
      <c r="H5461" s="15"/>
      <c r="I5461" s="15"/>
      <c r="J5461" s="17">
        <v>3</v>
      </c>
      <c r="K5461" s="15" t="s">
        <v>6174</v>
      </c>
      <c r="L5461" s="17">
        <v>20</v>
      </c>
      <c r="M5461" s="17">
        <v>600</v>
      </c>
      <c r="N5461" s="17">
        <v>20</v>
      </c>
      <c r="O5461" s="18">
        <v>175.72</v>
      </c>
      <c r="P5461" s="18">
        <v>144.03</v>
      </c>
      <c r="Q5461" s="18">
        <v>149.36000000000001</v>
      </c>
      <c r="R5461" s="18">
        <v>122.43</v>
      </c>
      <c r="S5461" s="18">
        <v>119.49</v>
      </c>
      <c r="T5461" s="18">
        <v>97.94</v>
      </c>
      <c r="U5461" s="16"/>
      <c r="V5461" s="16"/>
      <c r="W5461" s="16" t="s">
        <v>40</v>
      </c>
      <c r="X5461" s="19">
        <v>1.7999999999999999E-2</v>
      </c>
      <c r="Y5461" s="20">
        <v>3.8000000000000002E-5</v>
      </c>
      <c r="Z5461" s="21">
        <v>4601004153141</v>
      </c>
    </row>
    <row r="5462" spans="1:26" ht="12" customHeight="1" outlineLevel="4" x14ac:dyDescent="0.2">
      <c r="A5462" s="14" t="s">
        <v>10566</v>
      </c>
      <c r="B5462" s="26" t="s">
        <v>10567</v>
      </c>
      <c r="C5462" s="52"/>
      <c r="D5462" s="55">
        <f t="shared" si="85"/>
        <v>0</v>
      </c>
      <c r="E5462" s="63" t="str">
        <f>HYPERLINK("https://www.sds-group.ru/product/pripoy-bez-kanifoli-pos-61-100g-0-8mm-olovo-61-svinets-39-katushka-rexant-09-3120/", "Инфо")</f>
        <v>Инфо</v>
      </c>
      <c r="F5462" s="16" t="s">
        <v>39</v>
      </c>
      <c r="G5462" s="15"/>
      <c r="H5462" s="15"/>
      <c r="I5462" s="15"/>
      <c r="J5462" s="16" t="s">
        <v>100</v>
      </c>
      <c r="K5462" s="15" t="s">
        <v>1381</v>
      </c>
      <c r="L5462" s="17">
        <v>1</v>
      </c>
      <c r="M5462" s="17">
        <v>200</v>
      </c>
      <c r="N5462" s="17">
        <v>1</v>
      </c>
      <c r="O5462" s="18">
        <v>1257.8900000000001</v>
      </c>
      <c r="P5462" s="18">
        <v>1031.06</v>
      </c>
      <c r="Q5462" s="18">
        <v>1006.31</v>
      </c>
      <c r="R5462" s="18">
        <v>824.84</v>
      </c>
      <c r="S5462" s="18">
        <v>855.37</v>
      </c>
      <c r="T5462" s="18">
        <v>701.12</v>
      </c>
      <c r="U5462" s="16"/>
      <c r="V5462" s="16"/>
      <c r="W5462" s="16" t="s">
        <v>40</v>
      </c>
      <c r="X5462" s="19">
        <v>0.127</v>
      </c>
      <c r="Y5462" s="20">
        <v>2.04E-4</v>
      </c>
      <c r="Z5462" s="21">
        <v>4601004101937</v>
      </c>
    </row>
    <row r="5463" spans="1:26" ht="12" customHeight="1" outlineLevel="4" x14ac:dyDescent="0.2">
      <c r="A5463" s="14" t="s">
        <v>10568</v>
      </c>
      <c r="B5463" s="26" t="s">
        <v>10569</v>
      </c>
      <c r="C5463" s="52"/>
      <c r="D5463" s="55">
        <f t="shared" si="85"/>
        <v>0</v>
      </c>
      <c r="E5463" s="63" t="str">
        <f>HYPERLINK("https://www.sds-group.ru/product/pripoy-bez-kanifoli-pos-61-100g-1mm-olovo-61-svinets-39-katushka-rexant-09-3121/", "Инфо")</f>
        <v>Инфо</v>
      </c>
      <c r="F5463" s="16" t="s">
        <v>39</v>
      </c>
      <c r="G5463" s="15"/>
      <c r="H5463" s="15"/>
      <c r="I5463" s="15"/>
      <c r="J5463" s="16" t="s">
        <v>100</v>
      </c>
      <c r="K5463" s="15" t="s">
        <v>1381</v>
      </c>
      <c r="L5463" s="17">
        <v>1</v>
      </c>
      <c r="M5463" s="17">
        <v>80</v>
      </c>
      <c r="N5463" s="17">
        <v>1</v>
      </c>
      <c r="O5463" s="18">
        <v>1257.8900000000001</v>
      </c>
      <c r="P5463" s="18">
        <v>1031.06</v>
      </c>
      <c r="Q5463" s="18">
        <v>1006.31</v>
      </c>
      <c r="R5463" s="18">
        <v>824.84</v>
      </c>
      <c r="S5463" s="18">
        <v>855.37</v>
      </c>
      <c r="T5463" s="18">
        <v>701.12</v>
      </c>
      <c r="U5463" s="16"/>
      <c r="V5463" s="16"/>
      <c r="W5463" s="16" t="s">
        <v>40</v>
      </c>
      <c r="X5463" s="19">
        <v>0.127</v>
      </c>
      <c r="Y5463" s="20">
        <v>1.9799999999999999E-4</v>
      </c>
      <c r="Z5463" s="21">
        <v>4601004101852</v>
      </c>
    </row>
    <row r="5464" spans="1:26" ht="12" customHeight="1" outlineLevel="4" x14ac:dyDescent="0.2">
      <c r="A5464" s="14" t="s">
        <v>10570</v>
      </c>
      <c r="B5464" s="26" t="s">
        <v>10571</v>
      </c>
      <c r="C5464" s="52"/>
      <c r="D5464" s="55">
        <f t="shared" si="85"/>
        <v>0</v>
      </c>
      <c r="E5464" s="63" t="str">
        <f>HYPERLINK("https://www.sds-group.ru/product/pripoy-bez-kanifoli-pos-61-100g-2mm-olovo-61-svinets-39-katushka-rexant-09-3123/", "Инфо")</f>
        <v>Инфо</v>
      </c>
      <c r="F5464" s="16" t="s">
        <v>39</v>
      </c>
      <c r="G5464" s="15"/>
      <c r="H5464" s="15"/>
      <c r="I5464" s="15"/>
      <c r="J5464" s="16" t="s">
        <v>100</v>
      </c>
      <c r="K5464" s="15" t="s">
        <v>1381</v>
      </c>
      <c r="L5464" s="17">
        <v>1</v>
      </c>
      <c r="M5464" s="17">
        <v>80</v>
      </c>
      <c r="N5464" s="17">
        <v>1</v>
      </c>
      <c r="O5464" s="18">
        <v>1174</v>
      </c>
      <c r="P5464" s="18">
        <v>962.3</v>
      </c>
      <c r="Q5464" s="18">
        <v>974.42</v>
      </c>
      <c r="R5464" s="18">
        <v>798.7</v>
      </c>
      <c r="S5464" s="18">
        <v>798.32</v>
      </c>
      <c r="T5464" s="18">
        <v>654.36</v>
      </c>
      <c r="U5464" s="16"/>
      <c r="V5464" s="16"/>
      <c r="W5464" s="16" t="s">
        <v>40</v>
      </c>
      <c r="X5464" s="19">
        <v>0.126</v>
      </c>
      <c r="Y5464" s="20">
        <v>1.9699999999999999E-4</v>
      </c>
      <c r="Z5464" s="21">
        <v>4601004101883</v>
      </c>
    </row>
    <row r="5465" spans="1:26" ht="12" customHeight="1" outlineLevel="4" x14ac:dyDescent="0.2">
      <c r="A5465" s="14" t="s">
        <v>10572</v>
      </c>
      <c r="B5465" s="26" t="s">
        <v>10573</v>
      </c>
      <c r="C5465" s="52"/>
      <c r="D5465" s="55">
        <f t="shared" si="85"/>
        <v>0</v>
      </c>
      <c r="E5465" s="63" t="str">
        <f>HYPERLINK("https://www.sds-group.ru/product/pripoy-bez-kanifoli-pos-61-100g-3mm-olovo-61-svinets-39-katushka-rexant-09-3124/", "Инфо")</f>
        <v>Инфо</v>
      </c>
      <c r="F5465" s="16" t="s">
        <v>39</v>
      </c>
      <c r="G5465" s="15"/>
      <c r="H5465" s="15"/>
      <c r="I5465" s="15"/>
      <c r="J5465" s="16" t="s">
        <v>100</v>
      </c>
      <c r="K5465" s="15" t="s">
        <v>1381</v>
      </c>
      <c r="L5465" s="17">
        <v>1</v>
      </c>
      <c r="M5465" s="17">
        <v>80</v>
      </c>
      <c r="N5465" s="17">
        <v>1</v>
      </c>
      <c r="O5465" s="18">
        <v>1174</v>
      </c>
      <c r="P5465" s="18">
        <v>962.3</v>
      </c>
      <c r="Q5465" s="18">
        <v>974.42</v>
      </c>
      <c r="R5465" s="18">
        <v>798.7</v>
      </c>
      <c r="S5465" s="18">
        <v>798.32</v>
      </c>
      <c r="T5465" s="18">
        <v>654.36</v>
      </c>
      <c r="U5465" s="16"/>
      <c r="V5465" s="16"/>
      <c r="W5465" s="16" t="s">
        <v>40</v>
      </c>
      <c r="X5465" s="19">
        <v>0.126</v>
      </c>
      <c r="Y5465" s="20">
        <v>2.0100000000000001E-4</v>
      </c>
      <c r="Z5465" s="21">
        <v>4601004101890</v>
      </c>
    </row>
    <row r="5466" spans="1:26" ht="12" customHeight="1" outlineLevel="4" x14ac:dyDescent="0.2">
      <c r="A5466" s="14" t="s">
        <v>10574</v>
      </c>
      <c r="B5466" s="26" t="s">
        <v>10575</v>
      </c>
      <c r="C5466" s="52"/>
      <c r="D5466" s="55">
        <f t="shared" si="85"/>
        <v>0</v>
      </c>
      <c r="E5466" s="63" t="str">
        <f>HYPERLINK("https://www.sds-group.ru/product/pripoy-bez-kanifoli-pos-61-10g-1mm-olovo-61-svinets-39-kolba-rexant-09-3093/", "Инфо")</f>
        <v>Инфо</v>
      </c>
      <c r="F5466" s="16" t="s">
        <v>39</v>
      </c>
      <c r="G5466" s="15"/>
      <c r="H5466" s="15"/>
      <c r="I5466" s="15"/>
      <c r="J5466" s="22">
        <v>4919</v>
      </c>
      <c r="K5466" s="15" t="s">
        <v>6174</v>
      </c>
      <c r="L5466" s="17">
        <v>20</v>
      </c>
      <c r="M5466" s="17">
        <v>600</v>
      </c>
      <c r="N5466" s="17">
        <v>20</v>
      </c>
      <c r="O5466" s="18">
        <v>194.04</v>
      </c>
      <c r="P5466" s="18">
        <v>159.05000000000001</v>
      </c>
      <c r="Q5466" s="18">
        <v>164.93</v>
      </c>
      <c r="R5466" s="18">
        <v>135.19</v>
      </c>
      <c r="S5466" s="18">
        <v>131.94999999999999</v>
      </c>
      <c r="T5466" s="18">
        <v>108.16</v>
      </c>
      <c r="U5466" s="16"/>
      <c r="V5466" s="16"/>
      <c r="W5466" s="16" t="s">
        <v>40</v>
      </c>
      <c r="X5466" s="19">
        <v>1.7000000000000001E-2</v>
      </c>
      <c r="Y5466" s="20">
        <v>3.8999999999999999E-5</v>
      </c>
      <c r="Z5466" s="21">
        <v>4601004153165</v>
      </c>
    </row>
    <row r="5467" spans="1:26" ht="12" customHeight="1" outlineLevel="4" x14ac:dyDescent="0.2">
      <c r="A5467" s="14" t="s">
        <v>10576</v>
      </c>
      <c r="B5467" s="26" t="s">
        <v>10577</v>
      </c>
      <c r="C5467" s="52"/>
      <c r="D5467" s="55">
        <f t="shared" si="85"/>
        <v>0</v>
      </c>
      <c r="E5467" s="63" t="str">
        <f>HYPERLINK("https://www.sds-group.ru/product/pripoy-bez-kanifoli-pos-90-10g-1mm-olovo-90-svinets-10-kolba-rexant-09-3094/", "Инфо")</f>
        <v>Инфо</v>
      </c>
      <c r="F5467" s="16" t="s">
        <v>39</v>
      </c>
      <c r="G5467" s="15"/>
      <c r="H5467" s="15"/>
      <c r="I5467" s="15"/>
      <c r="J5467" s="17">
        <v>588</v>
      </c>
      <c r="K5467" s="15" t="s">
        <v>6744</v>
      </c>
      <c r="L5467" s="17">
        <v>20</v>
      </c>
      <c r="M5467" s="17">
        <v>600</v>
      </c>
      <c r="N5467" s="17">
        <v>20</v>
      </c>
      <c r="O5467" s="18">
        <v>275.76</v>
      </c>
      <c r="P5467" s="18">
        <v>226.03</v>
      </c>
      <c r="Q5467" s="18">
        <v>234.4</v>
      </c>
      <c r="R5467" s="18">
        <v>192.13</v>
      </c>
      <c r="S5467" s="18">
        <v>187.52</v>
      </c>
      <c r="T5467" s="18">
        <v>153.69999999999999</v>
      </c>
      <c r="U5467" s="16"/>
      <c r="V5467" s="16"/>
      <c r="W5467" s="16" t="s">
        <v>40</v>
      </c>
      <c r="X5467" s="19">
        <v>1.6E-2</v>
      </c>
      <c r="Y5467" s="20">
        <v>2.3E-5</v>
      </c>
      <c r="Z5467" s="21">
        <v>4601004153196</v>
      </c>
    </row>
    <row r="5468" spans="1:26" ht="12" customHeight="1" outlineLevel="4" x14ac:dyDescent="0.2">
      <c r="A5468" s="14" t="s">
        <v>10578</v>
      </c>
      <c r="B5468" s="26" t="s">
        <v>10579</v>
      </c>
      <c r="C5468" s="52"/>
      <c r="D5468" s="55">
        <f t="shared" si="85"/>
        <v>0</v>
      </c>
      <c r="E5468" s="63" t="str">
        <f>HYPERLINK("https://www.sds-group.ru/product/pripoy-pom-3-100g-2mm-olovo-97-med-3-bessvintsovyy-gost-21931-76-katushka-rexant-09-3503/", "Инфо")</f>
        <v>Инфо</v>
      </c>
      <c r="F5468" s="16" t="s">
        <v>39</v>
      </c>
      <c r="G5468" s="15"/>
      <c r="H5468" s="15"/>
      <c r="I5468" s="15"/>
      <c r="J5468" s="17">
        <v>127</v>
      </c>
      <c r="K5468" s="15"/>
      <c r="L5468" s="17">
        <v>1</v>
      </c>
      <c r="M5468" s="17">
        <v>80</v>
      </c>
      <c r="N5468" s="17">
        <v>1</v>
      </c>
      <c r="O5468" s="18">
        <v>1887.46</v>
      </c>
      <c r="P5468" s="18">
        <v>1547.1</v>
      </c>
      <c r="Q5468" s="18">
        <v>1453.34</v>
      </c>
      <c r="R5468" s="18">
        <v>1191.26</v>
      </c>
      <c r="S5468" s="18">
        <v>1283.47</v>
      </c>
      <c r="T5468" s="18">
        <v>1052.02</v>
      </c>
      <c r="U5468" s="16"/>
      <c r="V5468" s="16"/>
      <c r="W5468" s="16" t="s">
        <v>40</v>
      </c>
      <c r="X5468" s="19">
        <v>0.126</v>
      </c>
      <c r="Y5468" s="20">
        <v>3.1700000000000001E-4</v>
      </c>
      <c r="Z5468" s="21">
        <v>4601004277281</v>
      </c>
    </row>
    <row r="5469" spans="1:26" ht="12" customHeight="1" outlineLevel="4" x14ac:dyDescent="0.2">
      <c r="A5469" s="32" t="s">
        <v>10580</v>
      </c>
      <c r="B5469" s="74" t="s">
        <v>10581</v>
      </c>
      <c r="C5469" s="50"/>
      <c r="D5469" s="53">
        <f t="shared" si="85"/>
        <v>0</v>
      </c>
      <c r="E5469" s="60" t="str">
        <f>HYPERLINK("https://www.sds-group.ru/product/pripoy-pom-3-500g-2mm-olovo-97-med-3-bessvintsovyy-gost-21931-76-katushka-rexant-09-3507/", "Инфо")</f>
        <v>Инфо</v>
      </c>
      <c r="F5469" s="34" t="s">
        <v>39</v>
      </c>
      <c r="G5469" s="33"/>
      <c r="H5469" s="33" t="s">
        <v>40</v>
      </c>
      <c r="I5469" s="33"/>
      <c r="J5469" s="35">
        <v>26</v>
      </c>
      <c r="K5469" s="33"/>
      <c r="L5469" s="35">
        <v>1</v>
      </c>
      <c r="M5469" s="35">
        <v>15</v>
      </c>
      <c r="N5469" s="35">
        <v>1</v>
      </c>
      <c r="O5469" s="36">
        <v>6898.25</v>
      </c>
      <c r="P5469" s="36">
        <v>5654.3</v>
      </c>
      <c r="Q5469" s="36">
        <v>5035.72</v>
      </c>
      <c r="R5469" s="36">
        <v>4127.6400000000003</v>
      </c>
      <c r="S5469" s="36">
        <v>4690.8100000000004</v>
      </c>
      <c r="T5469" s="36">
        <v>3844.93</v>
      </c>
      <c r="U5469" s="34"/>
      <c r="V5469" s="34"/>
      <c r="W5469" s="34" t="s">
        <v>40</v>
      </c>
      <c r="X5469" s="37">
        <v>0.57799999999999996</v>
      </c>
      <c r="Y5469" s="38">
        <v>8.1999999999999998E-4</v>
      </c>
      <c r="Z5469" s="21">
        <v>4601004277250</v>
      </c>
    </row>
    <row r="5470" spans="1:26" ht="12" customHeight="1" outlineLevel="4" x14ac:dyDescent="0.2">
      <c r="A5470" s="14" t="s">
        <v>10582</v>
      </c>
      <c r="B5470" s="26" t="s">
        <v>10583</v>
      </c>
      <c r="C5470" s="52"/>
      <c r="D5470" s="55">
        <f t="shared" si="85"/>
        <v>0</v>
      </c>
      <c r="E5470" s="63" t="str">
        <f>HYPERLINK("https://www.sds-group.ru/product/pripoy-posu-95-5-100g-1mm-olovo-95-surma-5-bessvintsovyy-gost-21931-76-katushka-rexant-09-3511/", "Инфо")</f>
        <v>Инфо</v>
      </c>
      <c r="F5470" s="16" t="s">
        <v>39</v>
      </c>
      <c r="G5470" s="15"/>
      <c r="H5470" s="15"/>
      <c r="I5470" s="15"/>
      <c r="J5470" s="17">
        <v>30</v>
      </c>
      <c r="K5470" s="15"/>
      <c r="L5470" s="17">
        <v>1</v>
      </c>
      <c r="M5470" s="17">
        <v>80</v>
      </c>
      <c r="N5470" s="17">
        <v>1</v>
      </c>
      <c r="O5470" s="18">
        <v>1928.57</v>
      </c>
      <c r="P5470" s="18">
        <v>1580.8</v>
      </c>
      <c r="Q5470" s="18">
        <v>1928.57</v>
      </c>
      <c r="R5470" s="18">
        <v>1580.8</v>
      </c>
      <c r="S5470" s="18">
        <v>1311.43</v>
      </c>
      <c r="T5470" s="18">
        <v>1074.94</v>
      </c>
      <c r="U5470" s="16"/>
      <c r="V5470" s="16"/>
      <c r="W5470" s="16" t="s">
        <v>40</v>
      </c>
      <c r="X5470" s="19">
        <v>0.126</v>
      </c>
      <c r="Y5470" s="20">
        <v>2.0599999999999999E-4</v>
      </c>
      <c r="Z5470" s="21">
        <v>4601004277298</v>
      </c>
    </row>
    <row r="5471" spans="1:26" ht="12" customHeight="1" outlineLevel="4" x14ac:dyDescent="0.2">
      <c r="A5471" s="14" t="s">
        <v>10584</v>
      </c>
      <c r="B5471" s="26" t="s">
        <v>10585</v>
      </c>
      <c r="C5471" s="52"/>
      <c r="D5471" s="55">
        <f t="shared" si="85"/>
        <v>0</v>
      </c>
      <c r="E5471" s="63" t="str">
        <f>HYPERLINK("https://www.sds-group.ru/product/pripoy-posu-95-5-100g-2mm-olovo-95-surma-5-bessvintsovyy-gost-21931-76-katushka-rexant-09-3513/", "Инфо")</f>
        <v>Инфо</v>
      </c>
      <c r="F5471" s="16" t="s">
        <v>39</v>
      </c>
      <c r="G5471" s="15"/>
      <c r="H5471" s="15"/>
      <c r="I5471" s="15"/>
      <c r="J5471" s="17">
        <v>83</v>
      </c>
      <c r="K5471" s="15"/>
      <c r="L5471" s="17">
        <v>1</v>
      </c>
      <c r="M5471" s="17">
        <v>80</v>
      </c>
      <c r="N5471" s="17">
        <v>1</v>
      </c>
      <c r="O5471" s="18">
        <v>1778.73</v>
      </c>
      <c r="P5471" s="18">
        <v>1457.98</v>
      </c>
      <c r="Q5471" s="18">
        <v>1369.62</v>
      </c>
      <c r="R5471" s="18">
        <v>1122.6400000000001</v>
      </c>
      <c r="S5471" s="18">
        <v>1209.54</v>
      </c>
      <c r="T5471" s="18">
        <v>991.43</v>
      </c>
      <c r="U5471" s="16"/>
      <c r="V5471" s="16"/>
      <c r="W5471" s="16" t="s">
        <v>40</v>
      </c>
      <c r="X5471" s="19">
        <v>0.126</v>
      </c>
      <c r="Y5471" s="20">
        <v>3.19E-4</v>
      </c>
      <c r="Z5471" s="21">
        <v>4601004277243</v>
      </c>
    </row>
    <row r="5472" spans="1:26" ht="12" customHeight="1" outlineLevel="4" x14ac:dyDescent="0.2">
      <c r="A5472" s="14" t="s">
        <v>10586</v>
      </c>
      <c r="B5472" s="26" t="s">
        <v>10587</v>
      </c>
      <c r="C5472" s="52"/>
      <c r="D5472" s="55">
        <f t="shared" si="85"/>
        <v>0</v>
      </c>
      <c r="E5472" s="63" t="str">
        <f>HYPERLINK("https://www.sds-group.ru/product/pripoy-prutok-pos-30-8mm-dlina-400mm-gost-21931-76-olovo-30-svinets-70-upak-1-sht-rexant-09-3531/", "Инфо")</f>
        <v>Инфо</v>
      </c>
      <c r="F5472" s="16" t="s">
        <v>39</v>
      </c>
      <c r="G5472" s="15"/>
      <c r="H5472" s="15"/>
      <c r="I5472" s="15"/>
      <c r="J5472" s="17">
        <v>263</v>
      </c>
      <c r="K5472" s="15"/>
      <c r="L5472" s="17">
        <v>1</v>
      </c>
      <c r="M5472" s="17">
        <v>125</v>
      </c>
      <c r="N5472" s="17">
        <v>1</v>
      </c>
      <c r="O5472" s="18">
        <v>1610.41</v>
      </c>
      <c r="P5472" s="18">
        <v>1320.01</v>
      </c>
      <c r="Q5472" s="18">
        <v>1272.22</v>
      </c>
      <c r="R5472" s="18">
        <v>1042.8</v>
      </c>
      <c r="S5472" s="18">
        <v>1095.08</v>
      </c>
      <c r="T5472" s="18">
        <v>897.61</v>
      </c>
      <c r="U5472" s="16"/>
      <c r="V5472" s="16"/>
      <c r="W5472" s="16" t="s">
        <v>40</v>
      </c>
      <c r="X5472" s="19">
        <v>0.19900000000000001</v>
      </c>
      <c r="Y5472" s="20">
        <v>4.7899999999999999E-4</v>
      </c>
      <c r="Z5472" s="21">
        <v>4601004083363</v>
      </c>
    </row>
    <row r="5473" spans="1:26" ht="12" customHeight="1" outlineLevel="4" x14ac:dyDescent="0.2">
      <c r="A5473" s="14" t="s">
        <v>10588</v>
      </c>
      <c r="B5473" s="26" t="s">
        <v>10589</v>
      </c>
      <c r="C5473" s="52"/>
      <c r="D5473" s="55">
        <f t="shared" si="85"/>
        <v>0</v>
      </c>
      <c r="E5473" s="63" t="str">
        <f>HYPERLINK("https://www.sds-group.ru/product/pripoy-prutok-pos-30-8mm-dlina-400mm-gost-21931-76-olovo-30-svinets-70-upak-5-kg-rexant-09-3533/", "Инфо")</f>
        <v>Инфо</v>
      </c>
      <c r="F5473" s="16" t="s">
        <v>1001</v>
      </c>
      <c r="G5473" s="15"/>
      <c r="H5473" s="15"/>
      <c r="I5473" s="15"/>
      <c r="J5473" s="17">
        <v>8</v>
      </c>
      <c r="K5473" s="15"/>
      <c r="L5473" s="17">
        <v>1</v>
      </c>
      <c r="M5473" s="17">
        <v>2</v>
      </c>
      <c r="N5473" s="17">
        <v>1</v>
      </c>
      <c r="O5473" s="18">
        <v>26141.13</v>
      </c>
      <c r="P5473" s="18">
        <v>21427.16</v>
      </c>
      <c r="Q5473" s="18">
        <v>19083.02</v>
      </c>
      <c r="R5473" s="18">
        <v>15641.82</v>
      </c>
      <c r="S5473" s="18">
        <v>17775.97</v>
      </c>
      <c r="T5473" s="18">
        <v>14570.47</v>
      </c>
      <c r="U5473" s="16"/>
      <c r="V5473" s="16"/>
      <c r="W5473" s="16" t="s">
        <v>40</v>
      </c>
      <c r="X5473" s="19">
        <v>5.0949999999999998</v>
      </c>
      <c r="Y5473" s="20">
        <v>2.9450000000000001E-3</v>
      </c>
      <c r="Z5473" s="21">
        <v>4601004277236</v>
      </c>
    </row>
    <row r="5474" spans="1:26" ht="12" customHeight="1" outlineLevel="4" x14ac:dyDescent="0.2">
      <c r="A5474" s="14" t="s">
        <v>10590</v>
      </c>
      <c r="B5474" s="26" t="s">
        <v>10591</v>
      </c>
      <c r="C5474" s="52"/>
      <c r="D5474" s="55">
        <f t="shared" si="85"/>
        <v>0</v>
      </c>
      <c r="E5474" s="63" t="str">
        <f>HYPERLINK("https://www.sds-group.ru/product/pripoy-prutok-pos-40-8mm-dlina-400mm-gost-21931-76-olovo-40-svinets-60-upak-1-sht-rexant-09-3541/", "Инфо")</f>
        <v>Инфо</v>
      </c>
      <c r="F5474" s="16" t="s">
        <v>39</v>
      </c>
      <c r="G5474" s="15"/>
      <c r="H5474" s="15"/>
      <c r="I5474" s="15"/>
      <c r="J5474" s="17">
        <v>473</v>
      </c>
      <c r="K5474" s="15"/>
      <c r="L5474" s="17">
        <v>1</v>
      </c>
      <c r="M5474" s="17">
        <v>125</v>
      </c>
      <c r="N5474" s="17">
        <v>1</v>
      </c>
      <c r="O5474" s="18">
        <v>1831.55</v>
      </c>
      <c r="P5474" s="18">
        <v>1501.27</v>
      </c>
      <c r="Q5474" s="18">
        <v>1446.92</v>
      </c>
      <c r="R5474" s="18">
        <v>1186</v>
      </c>
      <c r="S5474" s="18">
        <v>1245.45</v>
      </c>
      <c r="T5474" s="18">
        <v>1020.86</v>
      </c>
      <c r="U5474" s="16"/>
      <c r="V5474" s="16"/>
      <c r="W5474" s="16" t="s">
        <v>40</v>
      </c>
      <c r="X5474" s="19">
        <v>0.193</v>
      </c>
      <c r="Y5474" s="20">
        <v>9.3999999999999994E-5</v>
      </c>
      <c r="Z5474" s="21">
        <v>4601004083318</v>
      </c>
    </row>
    <row r="5475" spans="1:26" ht="12" customHeight="1" outlineLevel="4" x14ac:dyDescent="0.2">
      <c r="A5475" s="14" t="s">
        <v>10592</v>
      </c>
      <c r="B5475" s="26" t="s">
        <v>10593</v>
      </c>
      <c r="C5475" s="52"/>
      <c r="D5475" s="55">
        <f t="shared" si="85"/>
        <v>0</v>
      </c>
      <c r="E5475" s="63" t="str">
        <f>HYPERLINK("https://www.sds-group.ru/product/pripoy-prutok-pos-40-8mm-dlina-400mm-gost-21931-76-olovo-40-svinets-60-upak-5-kg-rexant-09-3543/", "Инфо")</f>
        <v>Инфо</v>
      </c>
      <c r="F5475" s="16" t="s">
        <v>1001</v>
      </c>
      <c r="G5475" s="15"/>
      <c r="H5475" s="15"/>
      <c r="I5475" s="15"/>
      <c r="J5475" s="17">
        <v>5</v>
      </c>
      <c r="K5475" s="15"/>
      <c r="L5475" s="17">
        <v>1</v>
      </c>
      <c r="M5475" s="17">
        <v>2</v>
      </c>
      <c r="N5475" s="17">
        <v>1</v>
      </c>
      <c r="O5475" s="18">
        <v>32879.61</v>
      </c>
      <c r="P5475" s="18">
        <v>26950.5</v>
      </c>
      <c r="Q5475" s="18">
        <v>24002.12</v>
      </c>
      <c r="R5475" s="18">
        <v>19673.87</v>
      </c>
      <c r="S5475" s="18">
        <v>22358.13</v>
      </c>
      <c r="T5475" s="18">
        <v>18326.34</v>
      </c>
      <c r="U5475" s="16"/>
      <c r="V5475" s="16"/>
      <c r="W5475" s="16" t="s">
        <v>40</v>
      </c>
      <c r="X5475" s="19">
        <v>5.0970000000000004</v>
      </c>
      <c r="Y5475" s="20">
        <v>2.738E-3</v>
      </c>
      <c r="Z5475" s="21">
        <v>4601004277212</v>
      </c>
    </row>
    <row r="5476" spans="1:26" ht="12" customHeight="1" outlineLevel="4" x14ac:dyDescent="0.2">
      <c r="A5476" s="14" t="s">
        <v>10594</v>
      </c>
      <c r="B5476" s="26" t="s">
        <v>10595</v>
      </c>
      <c r="C5476" s="52"/>
      <c r="D5476" s="55">
        <f t="shared" si="85"/>
        <v>0</v>
      </c>
      <c r="E5476" s="63" t="str">
        <f>HYPERLINK("https://www.sds-group.ru/product/pripoy-prutok-pos-61-8mm-dlina-400mm-gost-21931-76-olovo-61-svinets-39-upak-1-sht-rexant-09-3561/", "Инфо")</f>
        <v>Инфо</v>
      </c>
      <c r="F5476" s="16" t="s">
        <v>39</v>
      </c>
      <c r="G5476" s="15"/>
      <c r="H5476" s="15"/>
      <c r="I5476" s="15"/>
      <c r="J5476" s="22">
        <v>1020</v>
      </c>
      <c r="K5476" s="15"/>
      <c r="L5476" s="17">
        <v>1</v>
      </c>
      <c r="M5476" s="17">
        <v>125</v>
      </c>
      <c r="N5476" s="17">
        <v>1</v>
      </c>
      <c r="O5476" s="18">
        <v>2113.96</v>
      </c>
      <c r="P5476" s="18">
        <v>1732.75</v>
      </c>
      <c r="Q5476" s="18">
        <v>1670.03</v>
      </c>
      <c r="R5476" s="18">
        <v>1368.88</v>
      </c>
      <c r="S5476" s="18">
        <v>1437.49</v>
      </c>
      <c r="T5476" s="18">
        <v>1178.27</v>
      </c>
      <c r="U5476" s="16"/>
      <c r="V5476" s="16"/>
      <c r="W5476" s="16" t="s">
        <v>40</v>
      </c>
      <c r="X5476" s="19">
        <v>4.2999999999999997E-2</v>
      </c>
      <c r="Y5476" s="20">
        <v>9.1000000000000003E-5</v>
      </c>
      <c r="Z5476" s="21">
        <v>4601004083325</v>
      </c>
    </row>
    <row r="5477" spans="1:26" ht="12" customHeight="1" outlineLevel="4" x14ac:dyDescent="0.2">
      <c r="A5477" s="14" t="s">
        <v>10596</v>
      </c>
      <c r="B5477" s="26" t="s">
        <v>10597</v>
      </c>
      <c r="C5477" s="52"/>
      <c r="D5477" s="55">
        <f t="shared" si="85"/>
        <v>0</v>
      </c>
      <c r="E5477" s="63" t="str">
        <f>HYPERLINK("https://www.sds-group.ru/product/pripoy-prutok-pos-61-8mm-dlina-400mm-gost-21931-76-olovo-61-svinets-39-upak-5-kg-rexant-09-3563/", "Инфо")</f>
        <v>Инфо</v>
      </c>
      <c r="F5477" s="16" t="s">
        <v>1001</v>
      </c>
      <c r="G5477" s="15"/>
      <c r="H5477" s="15"/>
      <c r="I5477" s="15"/>
      <c r="J5477" s="17">
        <v>43</v>
      </c>
      <c r="K5477" s="15" t="s">
        <v>1381</v>
      </c>
      <c r="L5477" s="17">
        <v>1</v>
      </c>
      <c r="M5477" s="17">
        <v>2</v>
      </c>
      <c r="N5477" s="17">
        <v>1</v>
      </c>
      <c r="O5477" s="18">
        <v>45276.84</v>
      </c>
      <c r="P5477" s="18">
        <v>37112.160000000003</v>
      </c>
      <c r="Q5477" s="18">
        <v>33052.089999999997</v>
      </c>
      <c r="R5477" s="18">
        <v>27091.88</v>
      </c>
      <c r="S5477" s="18">
        <v>30788.25</v>
      </c>
      <c r="T5477" s="18">
        <v>25236.27</v>
      </c>
      <c r="U5477" s="16"/>
      <c r="V5477" s="16"/>
      <c r="W5477" s="16" t="s">
        <v>40</v>
      </c>
      <c r="X5477" s="19">
        <v>5.0880000000000001</v>
      </c>
      <c r="Y5477" s="20">
        <v>2.9150000000000001E-3</v>
      </c>
      <c r="Z5477" s="21">
        <v>4601004277229</v>
      </c>
    </row>
    <row r="5478" spans="1:26" ht="12" customHeight="1" outlineLevel="4" x14ac:dyDescent="0.2">
      <c r="A5478" s="14" t="s">
        <v>10598</v>
      </c>
      <c r="B5478" s="26" t="s">
        <v>10599</v>
      </c>
      <c r="C5478" s="52"/>
      <c r="D5478" s="55">
        <f t="shared" si="85"/>
        <v>0</v>
      </c>
      <c r="E5478" s="63" t="str">
        <f>HYPERLINK("https://www.sds-group.ru/product/pripoy-prutok-pos-90-8mm-dlina-400mm-gost-21931-76-olovo-90-svinets-10-upak-1-sht-rexant-09-3591/", "Инфо")</f>
        <v>Инфо</v>
      </c>
      <c r="F5478" s="16" t="s">
        <v>39</v>
      </c>
      <c r="G5478" s="15"/>
      <c r="H5478" s="15"/>
      <c r="I5478" s="15" t="s">
        <v>10600</v>
      </c>
      <c r="J5478" s="17">
        <v>105</v>
      </c>
      <c r="K5478" s="15"/>
      <c r="L5478" s="17">
        <v>1</v>
      </c>
      <c r="M5478" s="17">
        <v>125</v>
      </c>
      <c r="N5478" s="17">
        <v>1</v>
      </c>
      <c r="O5478" s="18">
        <v>3222.08</v>
      </c>
      <c r="P5478" s="18">
        <v>2641.05</v>
      </c>
      <c r="Q5478" s="18">
        <v>2481</v>
      </c>
      <c r="R5478" s="18">
        <v>2033.61</v>
      </c>
      <c r="S5478" s="18">
        <v>2191.0100000000002</v>
      </c>
      <c r="T5478" s="18">
        <v>1795.91</v>
      </c>
      <c r="U5478" s="16"/>
      <c r="V5478" s="16"/>
      <c r="W5478" s="16" t="s">
        <v>40</v>
      </c>
      <c r="X5478" s="19">
        <v>0.157</v>
      </c>
      <c r="Y5478" s="20">
        <v>3.1999999999999999E-5</v>
      </c>
      <c r="Z5478" s="21">
        <v>4601004083332</v>
      </c>
    </row>
    <row r="5479" spans="1:26" ht="12" customHeight="1" outlineLevel="4" x14ac:dyDescent="0.2">
      <c r="A5479" s="14" t="s">
        <v>10601</v>
      </c>
      <c r="B5479" s="26" t="s">
        <v>10602</v>
      </c>
      <c r="C5479" s="52"/>
      <c r="D5479" s="55">
        <f t="shared" si="85"/>
        <v>0</v>
      </c>
      <c r="E5479" s="63" t="str">
        <f>HYPERLINK("https://www.sds-group.ru/product/pripoy-prutok-pos-90-8mm-dlina-400mm-gost-21931-76-olovo-90-svinets-10-upak-5-kg-rexant-09-3593/", "Инфо")</f>
        <v>Инфо</v>
      </c>
      <c r="F5479" s="16" t="s">
        <v>1001</v>
      </c>
      <c r="G5479" s="15"/>
      <c r="H5479" s="15"/>
      <c r="I5479" s="15" t="s">
        <v>10603</v>
      </c>
      <c r="J5479" s="16" t="s">
        <v>100</v>
      </c>
      <c r="K5479" s="15"/>
      <c r="L5479" s="17">
        <v>1</v>
      </c>
      <c r="M5479" s="17">
        <v>2</v>
      </c>
      <c r="N5479" s="17">
        <v>1</v>
      </c>
      <c r="O5479" s="18">
        <v>60908.13</v>
      </c>
      <c r="P5479" s="18">
        <v>49924.7</v>
      </c>
      <c r="Q5479" s="18">
        <v>44462.93</v>
      </c>
      <c r="R5479" s="18">
        <v>36445.019999999997</v>
      </c>
      <c r="S5479" s="18">
        <v>41417.53</v>
      </c>
      <c r="T5479" s="18">
        <v>33948.800000000003</v>
      </c>
      <c r="U5479" s="16"/>
      <c r="V5479" s="16"/>
      <c r="W5479" s="16" t="s">
        <v>40</v>
      </c>
      <c r="X5479" s="19">
        <v>5.101</v>
      </c>
      <c r="Y5479" s="20">
        <v>2.8900000000000002E-3</v>
      </c>
      <c r="Z5479" s="21">
        <v>4601004277205</v>
      </c>
    </row>
    <row r="5480" spans="1:26" ht="12" customHeight="1" outlineLevel="4" x14ac:dyDescent="0.2">
      <c r="A5480" s="14" t="s">
        <v>10604</v>
      </c>
      <c r="B5480" s="26" t="s">
        <v>10605</v>
      </c>
      <c r="C5480" s="52"/>
      <c r="D5480" s="55">
        <f t="shared" si="85"/>
        <v>0</v>
      </c>
      <c r="E5480" s="63" t="str">
        <f>HYPERLINK("https://www.sds-group.ru/product/pripoy-pasta-payalnaya-pasta-35gr-olovo-63-svinets-37-banochka-09-3815/", "Инфо")</f>
        <v>Инфо</v>
      </c>
      <c r="F5480" s="16" t="s">
        <v>39</v>
      </c>
      <c r="G5480" s="15"/>
      <c r="H5480" s="15"/>
      <c r="I5480" s="15"/>
      <c r="J5480" s="17">
        <v>340</v>
      </c>
      <c r="K5480" s="15"/>
      <c r="L5480" s="17">
        <v>1</v>
      </c>
      <c r="M5480" s="17">
        <v>100</v>
      </c>
      <c r="N5480" s="17">
        <v>1</v>
      </c>
      <c r="O5480" s="18">
        <v>948.66</v>
      </c>
      <c r="P5480" s="18">
        <v>777.59</v>
      </c>
      <c r="Q5480" s="18">
        <v>758.93</v>
      </c>
      <c r="R5480" s="18">
        <v>622.07000000000005</v>
      </c>
      <c r="S5480" s="18">
        <v>645.09</v>
      </c>
      <c r="T5480" s="18">
        <v>528.76</v>
      </c>
      <c r="U5480" s="16"/>
      <c r="V5480" s="16"/>
      <c r="W5480" s="16" t="s">
        <v>40</v>
      </c>
      <c r="X5480" s="19">
        <v>3.9E-2</v>
      </c>
      <c r="Y5480" s="20">
        <v>1.8699999999999999E-4</v>
      </c>
      <c r="Z5480" s="21">
        <v>4601004098695</v>
      </c>
    </row>
    <row r="5481" spans="1:26" ht="12.95" customHeight="1" outlineLevel="2" x14ac:dyDescent="0.2">
      <c r="A5481" s="76" t="s">
        <v>10606</v>
      </c>
      <c r="B5481" s="76"/>
      <c r="C5481" s="77"/>
      <c r="D5481" s="58"/>
      <c r="E5481" s="68"/>
      <c r="F5481" s="13"/>
      <c r="G5481" s="13"/>
      <c r="H5481" s="13"/>
      <c r="I5481" s="13"/>
      <c r="J5481" s="13"/>
      <c r="K5481" s="13"/>
      <c r="L5481" s="13"/>
      <c r="M5481" s="13"/>
      <c r="N5481" s="13"/>
      <c r="O5481" s="13"/>
      <c r="P5481" s="13"/>
      <c r="Q5481" s="13"/>
      <c r="R5481" s="13"/>
      <c r="S5481" s="13"/>
      <c r="T5481" s="13"/>
      <c r="U5481" s="13"/>
      <c r="V5481" s="13"/>
      <c r="W5481" s="13"/>
      <c r="X5481" s="13"/>
      <c r="Y5481" s="13"/>
      <c r="Z5481" s="13"/>
    </row>
    <row r="5482" spans="1:26" ht="12.95" customHeight="1" outlineLevel="3" x14ac:dyDescent="0.2">
      <c r="A5482" s="76" t="s">
        <v>10607</v>
      </c>
      <c r="B5482" s="76"/>
      <c r="C5482" s="77"/>
      <c r="D5482" s="58"/>
      <c r="E5482" s="68"/>
      <c r="F5482" s="13"/>
      <c r="G5482" s="13"/>
      <c r="H5482" s="13"/>
      <c r="I5482" s="13"/>
      <c r="J5482" s="13"/>
      <c r="K5482" s="13"/>
      <c r="L5482" s="13"/>
      <c r="M5482" s="13"/>
      <c r="N5482" s="13"/>
      <c r="O5482" s="13"/>
      <c r="P5482" s="13"/>
      <c r="Q5482" s="13"/>
      <c r="R5482" s="13"/>
      <c r="S5482" s="13"/>
      <c r="T5482" s="13"/>
      <c r="U5482" s="13"/>
      <c r="V5482" s="13"/>
      <c r="W5482" s="13"/>
      <c r="X5482" s="13"/>
      <c r="Y5482" s="13"/>
      <c r="Z5482" s="13"/>
    </row>
    <row r="5483" spans="1:26" ht="12" customHeight="1" outlineLevel="4" x14ac:dyDescent="0.2">
      <c r="A5483" s="14" t="s">
        <v>10608</v>
      </c>
      <c r="B5483" s="26" t="s">
        <v>10609</v>
      </c>
      <c r="C5483" s="52"/>
      <c r="D5483" s="55">
        <f t="shared" si="85"/>
        <v>0</v>
      </c>
      <c r="E5483" s="63" t="str">
        <f>HYPERLINK("https://www.sds-group.ru/product/kanifol-sosnovaya-flyus-neytralnyy-marka-a-100g-banka-rexant-09-3711/", "Инфо")</f>
        <v>Инфо</v>
      </c>
      <c r="F5483" s="16" t="s">
        <v>39</v>
      </c>
      <c r="G5483" s="15"/>
      <c r="H5483" s="15"/>
      <c r="I5483" s="15"/>
      <c r="J5483" s="17">
        <v>355</v>
      </c>
      <c r="K5483" s="15" t="s">
        <v>1094</v>
      </c>
      <c r="L5483" s="17">
        <v>10</v>
      </c>
      <c r="M5483" s="17">
        <v>72</v>
      </c>
      <c r="N5483" s="17">
        <v>10</v>
      </c>
      <c r="O5483" s="18">
        <v>211.29</v>
      </c>
      <c r="P5483" s="18">
        <v>173.19</v>
      </c>
      <c r="Q5483" s="18">
        <v>179.6</v>
      </c>
      <c r="R5483" s="18">
        <v>147.21</v>
      </c>
      <c r="S5483" s="18">
        <v>143.68</v>
      </c>
      <c r="T5483" s="18">
        <v>117.77</v>
      </c>
      <c r="U5483" s="16"/>
      <c r="V5483" s="16"/>
      <c r="W5483" s="16" t="s">
        <v>40</v>
      </c>
      <c r="X5483" s="19">
        <v>0.10199999999999999</v>
      </c>
      <c r="Y5483" s="20">
        <v>2.9E-4</v>
      </c>
      <c r="Z5483" s="21">
        <v>4601004013506</v>
      </c>
    </row>
    <row r="5484" spans="1:26" ht="12" customHeight="1" outlineLevel="4" x14ac:dyDescent="0.2">
      <c r="A5484" s="14" t="s">
        <v>10610</v>
      </c>
      <c r="B5484" s="26" t="s">
        <v>10611</v>
      </c>
      <c r="C5484" s="52"/>
      <c r="D5484" s="55">
        <f t="shared" si="85"/>
        <v>0</v>
      </c>
      <c r="E5484" s="63" t="str">
        <f>HYPERLINK("https://www.sds-group.ru/product/kanifol-sosnovaya-flyus-neytralnyy-marka-a-10g-banka-rexant-09-3709/", "Инфо")</f>
        <v>Инфо</v>
      </c>
      <c r="F5484" s="16" t="s">
        <v>39</v>
      </c>
      <c r="G5484" s="15"/>
      <c r="H5484" s="15"/>
      <c r="I5484" s="15"/>
      <c r="J5484" s="22">
        <v>2474</v>
      </c>
      <c r="K5484" s="15"/>
      <c r="L5484" s="17">
        <v>10</v>
      </c>
      <c r="M5484" s="17">
        <v>480</v>
      </c>
      <c r="N5484" s="17">
        <v>10</v>
      </c>
      <c r="O5484" s="18">
        <v>62.53</v>
      </c>
      <c r="P5484" s="18">
        <v>51.25</v>
      </c>
      <c r="Q5484" s="18">
        <v>53.15</v>
      </c>
      <c r="R5484" s="18">
        <v>43.57</v>
      </c>
      <c r="S5484" s="18">
        <v>42.52</v>
      </c>
      <c r="T5484" s="18">
        <v>34.85</v>
      </c>
      <c r="U5484" s="16"/>
      <c r="V5484" s="16"/>
      <c r="W5484" s="16" t="s">
        <v>40</v>
      </c>
      <c r="X5484" s="19">
        <v>1.9E-2</v>
      </c>
      <c r="Y5484" s="20">
        <v>4.3000000000000002E-5</v>
      </c>
      <c r="Z5484" s="21">
        <v>4601004086890</v>
      </c>
    </row>
    <row r="5485" spans="1:26" ht="12" customHeight="1" outlineLevel="4" x14ac:dyDescent="0.2">
      <c r="A5485" s="14" t="s">
        <v>10612</v>
      </c>
      <c r="B5485" s="26" t="s">
        <v>10613</v>
      </c>
      <c r="C5485" s="52"/>
      <c r="D5485" s="55">
        <f t="shared" si="85"/>
        <v>0</v>
      </c>
      <c r="E5485" s="63" t="str">
        <f>HYPERLINK("https://www.sds-group.ru/product/kanifol-sosnovaya-flyus-neytralnyy-marka-a-20g-banka-rexant-09-3710/", "Инфо")</f>
        <v>Инфо</v>
      </c>
      <c r="F5485" s="16" t="s">
        <v>39</v>
      </c>
      <c r="G5485" s="15"/>
      <c r="H5485" s="15"/>
      <c r="I5485" s="15"/>
      <c r="J5485" s="22">
        <v>10254</v>
      </c>
      <c r="K5485" s="15"/>
      <c r="L5485" s="17">
        <v>10</v>
      </c>
      <c r="M5485" s="17">
        <v>420</v>
      </c>
      <c r="N5485" s="17">
        <v>10</v>
      </c>
      <c r="O5485" s="18">
        <v>72.23</v>
      </c>
      <c r="P5485" s="18">
        <v>59.2</v>
      </c>
      <c r="Q5485" s="18">
        <v>61.4</v>
      </c>
      <c r="R5485" s="18">
        <v>50.33</v>
      </c>
      <c r="S5485" s="18">
        <v>49.12</v>
      </c>
      <c r="T5485" s="18">
        <v>40.26</v>
      </c>
      <c r="U5485" s="16"/>
      <c r="V5485" s="16"/>
      <c r="W5485" s="16" t="s">
        <v>40</v>
      </c>
      <c r="X5485" s="19">
        <v>2.7E-2</v>
      </c>
      <c r="Y5485" s="20">
        <v>5.3000000000000001E-5</v>
      </c>
      <c r="Z5485" s="21">
        <v>4601004013490</v>
      </c>
    </row>
    <row r="5486" spans="1:26" ht="12" customHeight="1" outlineLevel="4" x14ac:dyDescent="0.2">
      <c r="A5486" s="14" t="s">
        <v>10614</v>
      </c>
      <c r="B5486" s="26" t="s">
        <v>10615</v>
      </c>
      <c r="C5486" s="52"/>
      <c r="D5486" s="55">
        <f t="shared" si="85"/>
        <v>0</v>
      </c>
      <c r="E5486" s="63" t="str">
        <f>HYPERLINK("https://www.sds-group.ru/product/kanifol-sosnovaya-flyus-neytralnyy-marka-a-500g-banka-rexant-09-3712/", "Инфо")</f>
        <v>Инфо</v>
      </c>
      <c r="F5486" s="16" t="s">
        <v>39</v>
      </c>
      <c r="G5486" s="15"/>
      <c r="H5486" s="15"/>
      <c r="I5486" s="15"/>
      <c r="J5486" s="16" t="s">
        <v>100</v>
      </c>
      <c r="K5486" s="15" t="s">
        <v>1094</v>
      </c>
      <c r="L5486" s="17">
        <v>1</v>
      </c>
      <c r="M5486" s="17">
        <v>18</v>
      </c>
      <c r="N5486" s="17">
        <v>1</v>
      </c>
      <c r="O5486" s="18">
        <v>850.55</v>
      </c>
      <c r="P5486" s="18">
        <v>697.17</v>
      </c>
      <c r="Q5486" s="18">
        <v>680.44</v>
      </c>
      <c r="R5486" s="18">
        <v>557.74</v>
      </c>
      <c r="S5486" s="18">
        <v>578.37</v>
      </c>
      <c r="T5486" s="18">
        <v>474.07</v>
      </c>
      <c r="U5486" s="16"/>
      <c r="V5486" s="16"/>
      <c r="W5486" s="16" t="s">
        <v>40</v>
      </c>
      <c r="X5486" s="19">
        <v>0.53800000000000003</v>
      </c>
      <c r="Y5486" s="20">
        <v>1.2589999999999999E-3</v>
      </c>
      <c r="Z5486" s="21">
        <v>4601004014602</v>
      </c>
    </row>
    <row r="5487" spans="1:26" ht="12" customHeight="1" outlineLevel="4" x14ac:dyDescent="0.2">
      <c r="A5487" s="14" t="s">
        <v>10616</v>
      </c>
      <c r="B5487" s="26" t="s">
        <v>10617</v>
      </c>
      <c r="C5487" s="52"/>
      <c r="D5487" s="55">
        <f t="shared" si="85"/>
        <v>0</v>
      </c>
      <c r="E5487" s="63" t="str">
        <f>HYPERLINK("https://www.sds-group.ru/product/nabor-k1-dlya-payki-universalnyy-pripoy-flyus-pk-flyus-skf-kanifol-mednaya-opletka-rexant-09-3740/", "Инфо")</f>
        <v>Инфо</v>
      </c>
      <c r="F5487" s="16" t="s">
        <v>4698</v>
      </c>
      <c r="G5487" s="15"/>
      <c r="H5487" s="15"/>
      <c r="I5487" s="15"/>
      <c r="J5487" s="17">
        <v>302</v>
      </c>
      <c r="K5487" s="15"/>
      <c r="L5487" s="17">
        <v>1</v>
      </c>
      <c r="M5487" s="17">
        <v>50</v>
      </c>
      <c r="N5487" s="17">
        <v>1</v>
      </c>
      <c r="O5487" s="18">
        <v>628.32000000000005</v>
      </c>
      <c r="P5487" s="18">
        <v>515.02</v>
      </c>
      <c r="Q5487" s="18">
        <v>439.82</v>
      </c>
      <c r="R5487" s="18">
        <v>360.51</v>
      </c>
      <c r="S5487" s="18">
        <v>427.26</v>
      </c>
      <c r="T5487" s="18">
        <v>350.21</v>
      </c>
      <c r="U5487" s="16"/>
      <c r="V5487" s="16"/>
      <c r="W5487" s="16"/>
      <c r="X5487" s="19">
        <v>0.13400000000000001</v>
      </c>
      <c r="Y5487" s="20">
        <v>4.5600000000000003E-4</v>
      </c>
      <c r="Z5487" s="21">
        <v>4601004171763</v>
      </c>
    </row>
    <row r="5488" spans="1:26" ht="12" customHeight="1" outlineLevel="4" x14ac:dyDescent="0.2">
      <c r="A5488" s="14" t="s">
        <v>10618</v>
      </c>
      <c r="B5488" s="26" t="s">
        <v>10619</v>
      </c>
      <c r="C5488" s="52"/>
      <c r="D5488" s="55">
        <f t="shared" si="85"/>
        <v>0</v>
      </c>
      <c r="E5488" s="63" t="str">
        <f>HYPERLINK("https://www.sds-group.ru/product/nabor-k2-dlya-payki-zhidkiy-flyus-flyus-pk-flyus-skf-flyus-lti-120-rexant-09-3741/", "Инфо")</f>
        <v>Инфо</v>
      </c>
      <c r="F5488" s="16" t="s">
        <v>4698</v>
      </c>
      <c r="G5488" s="15"/>
      <c r="H5488" s="15"/>
      <c r="I5488" s="15"/>
      <c r="J5488" s="17">
        <v>28</v>
      </c>
      <c r="K5488" s="15"/>
      <c r="L5488" s="17">
        <v>5</v>
      </c>
      <c r="M5488" s="17">
        <v>30</v>
      </c>
      <c r="N5488" s="17">
        <v>5</v>
      </c>
      <c r="O5488" s="18">
        <v>363.89</v>
      </c>
      <c r="P5488" s="18">
        <v>298.27</v>
      </c>
      <c r="Q5488" s="18">
        <v>309.31</v>
      </c>
      <c r="R5488" s="18">
        <v>253.53</v>
      </c>
      <c r="S5488" s="18">
        <v>247.45</v>
      </c>
      <c r="T5488" s="18">
        <v>202.83</v>
      </c>
      <c r="U5488" s="16"/>
      <c r="V5488" s="16"/>
      <c r="W5488" s="16" t="s">
        <v>40</v>
      </c>
      <c r="X5488" s="19">
        <v>0.124</v>
      </c>
      <c r="Y5488" s="20">
        <v>2.3800000000000001E-4</v>
      </c>
      <c r="Z5488" s="21">
        <v>4601004171749</v>
      </c>
    </row>
    <row r="5489" spans="1:26" ht="12" customHeight="1" outlineLevel="4" x14ac:dyDescent="0.2">
      <c r="A5489" s="14" t="s">
        <v>10620</v>
      </c>
      <c r="B5489" s="26" t="s">
        <v>10621</v>
      </c>
      <c r="C5489" s="52"/>
      <c r="D5489" s="55">
        <f t="shared" si="85"/>
        <v>0</v>
      </c>
      <c r="E5489" s="63" t="str">
        <f>HYPERLINK("https://www.sds-group.ru/product/nabor-k3-dlya-payki-tverdyy-flyus-kanifol-flyus-bura-payalnyy-zhir-rexant-09-3742/", "Инфо")</f>
        <v>Инфо</v>
      </c>
      <c r="F5489" s="16" t="s">
        <v>4698</v>
      </c>
      <c r="G5489" s="15"/>
      <c r="H5489" s="15"/>
      <c r="I5489" s="15"/>
      <c r="J5489" s="17">
        <v>121</v>
      </c>
      <c r="K5489" s="15"/>
      <c r="L5489" s="17">
        <v>5</v>
      </c>
      <c r="M5489" s="17">
        <v>30</v>
      </c>
      <c r="N5489" s="17">
        <v>5</v>
      </c>
      <c r="O5489" s="18">
        <v>281.8</v>
      </c>
      <c r="P5489" s="18">
        <v>230.98</v>
      </c>
      <c r="Q5489" s="18">
        <v>239.53</v>
      </c>
      <c r="R5489" s="18">
        <v>196.34</v>
      </c>
      <c r="S5489" s="18">
        <v>191.62</v>
      </c>
      <c r="T5489" s="18">
        <v>157.07</v>
      </c>
      <c r="U5489" s="16"/>
      <c r="V5489" s="16"/>
      <c r="W5489" s="16" t="s">
        <v>40</v>
      </c>
      <c r="X5489" s="19">
        <v>0.104</v>
      </c>
      <c r="Y5489" s="20">
        <v>1.9699999999999999E-4</v>
      </c>
      <c r="Z5489" s="21">
        <v>4601004171756</v>
      </c>
    </row>
    <row r="5490" spans="1:26" ht="12" customHeight="1" outlineLevel="4" x14ac:dyDescent="0.2">
      <c r="A5490" s="14" t="s">
        <v>10622</v>
      </c>
      <c r="B5490" s="26" t="s">
        <v>10623</v>
      </c>
      <c r="C5490" s="52"/>
      <c r="D5490" s="55">
        <f t="shared" si="85"/>
        <v>0</v>
      </c>
      <c r="E5490" s="63" t="str">
        <f>HYPERLINK("https://www.sds-group.ru/product/flyus-dlya-vysokotemperaturnoy-payki-pv-209-20g-banka-rexant-09-3730/", "Инфо")</f>
        <v>Инфо</v>
      </c>
      <c r="F5490" s="16" t="s">
        <v>39</v>
      </c>
      <c r="G5490" s="15"/>
      <c r="H5490" s="15"/>
      <c r="I5490" s="15"/>
      <c r="J5490" s="17">
        <v>566</v>
      </c>
      <c r="K5490" s="15"/>
      <c r="L5490" s="17">
        <v>10</v>
      </c>
      <c r="M5490" s="17">
        <v>420</v>
      </c>
      <c r="N5490" s="17">
        <v>10</v>
      </c>
      <c r="O5490" s="18">
        <v>202.16</v>
      </c>
      <c r="P5490" s="18">
        <v>165.7</v>
      </c>
      <c r="Q5490" s="18">
        <v>171.84</v>
      </c>
      <c r="R5490" s="18">
        <v>140.85</v>
      </c>
      <c r="S5490" s="18">
        <v>137.47</v>
      </c>
      <c r="T5490" s="18">
        <v>112.68</v>
      </c>
      <c r="U5490" s="16"/>
      <c r="V5490" s="16"/>
      <c r="W5490" s="16" t="s">
        <v>40</v>
      </c>
      <c r="X5490" s="19">
        <v>2.8000000000000001E-2</v>
      </c>
      <c r="Y5490" s="20">
        <v>7.2000000000000002E-5</v>
      </c>
      <c r="Z5490" s="21">
        <v>4601004149052</v>
      </c>
    </row>
    <row r="5491" spans="1:26" ht="12" customHeight="1" outlineLevel="4" x14ac:dyDescent="0.2">
      <c r="A5491" s="14" t="s">
        <v>10624</v>
      </c>
      <c r="B5491" s="26" t="s">
        <v>10625</v>
      </c>
      <c r="C5491" s="52"/>
      <c r="D5491" s="55">
        <f t="shared" si="85"/>
        <v>0</v>
      </c>
      <c r="E5491" s="63" t="str">
        <f>HYPERLINK("https://www.sds-group.ru/product/flyus-dlya-payki-bura-100g-banka-rexant-09-3657/", "Инфо")</f>
        <v>Инфо</v>
      </c>
      <c r="F5491" s="16" t="s">
        <v>39</v>
      </c>
      <c r="G5491" s="15"/>
      <c r="H5491" s="15"/>
      <c r="I5491" s="15"/>
      <c r="J5491" s="17">
        <v>778</v>
      </c>
      <c r="K5491" s="15"/>
      <c r="L5491" s="17">
        <v>10</v>
      </c>
      <c r="M5491" s="17">
        <v>120</v>
      </c>
      <c r="N5491" s="17">
        <v>10</v>
      </c>
      <c r="O5491" s="18">
        <v>225.39</v>
      </c>
      <c r="P5491" s="18">
        <v>184.75</v>
      </c>
      <c r="Q5491" s="18">
        <v>191.58</v>
      </c>
      <c r="R5491" s="18">
        <v>157.03</v>
      </c>
      <c r="S5491" s="18">
        <v>153.27000000000001</v>
      </c>
      <c r="T5491" s="18">
        <v>125.63</v>
      </c>
      <c r="U5491" s="16"/>
      <c r="V5491" s="16"/>
      <c r="W5491" s="16" t="s">
        <v>40</v>
      </c>
      <c r="X5491" s="19">
        <v>0.125</v>
      </c>
      <c r="Y5491" s="20">
        <v>1.63E-4</v>
      </c>
      <c r="Z5491" s="21">
        <v>4601004149045</v>
      </c>
    </row>
    <row r="5492" spans="1:26" ht="12" customHeight="1" outlineLevel="4" x14ac:dyDescent="0.2">
      <c r="A5492" s="14" t="s">
        <v>10626</v>
      </c>
      <c r="B5492" s="26" t="s">
        <v>10627</v>
      </c>
      <c r="C5492" s="52"/>
      <c r="D5492" s="55">
        <f t="shared" si="85"/>
        <v>0</v>
      </c>
      <c r="E5492" s="63" t="str">
        <f>HYPERLINK("https://www.sds-group.ru/product/flyus-dlya-payki-bura-20g-banka-rexant-09-3655/", "Инфо")</f>
        <v>Инфо</v>
      </c>
      <c r="F5492" s="16" t="s">
        <v>39</v>
      </c>
      <c r="G5492" s="15"/>
      <c r="H5492" s="15"/>
      <c r="I5492" s="15"/>
      <c r="J5492" s="17">
        <v>839</v>
      </c>
      <c r="K5492" s="15"/>
      <c r="L5492" s="17">
        <v>10</v>
      </c>
      <c r="M5492" s="17">
        <v>420</v>
      </c>
      <c r="N5492" s="17">
        <v>10</v>
      </c>
      <c r="O5492" s="18">
        <v>71.150000000000006</v>
      </c>
      <c r="P5492" s="18">
        <v>58.32</v>
      </c>
      <c r="Q5492" s="18">
        <v>60.48</v>
      </c>
      <c r="R5492" s="18">
        <v>49.57</v>
      </c>
      <c r="S5492" s="18">
        <v>48.38</v>
      </c>
      <c r="T5492" s="18">
        <v>39.659999999999997</v>
      </c>
      <c r="U5492" s="16"/>
      <c r="V5492" s="16"/>
      <c r="W5492" s="16" t="s">
        <v>40</v>
      </c>
      <c r="X5492" s="19">
        <v>2.8000000000000001E-2</v>
      </c>
      <c r="Y5492" s="20">
        <v>6.8999999999999997E-5</v>
      </c>
      <c r="Z5492" s="21">
        <v>4601004013568</v>
      </c>
    </row>
    <row r="5493" spans="1:26" ht="12" customHeight="1" outlineLevel="4" x14ac:dyDescent="0.2">
      <c r="A5493" s="14" t="s">
        <v>10628</v>
      </c>
      <c r="B5493" s="26" t="s">
        <v>10629</v>
      </c>
      <c r="C5493" s="52"/>
      <c r="D5493" s="55">
        <f t="shared" si="85"/>
        <v>0</v>
      </c>
      <c r="E5493" s="63" t="str">
        <f>HYPERLINK("https://www.sds-group.ru/product/flyus-dlya-payki-zil-2-30ml-flakon-rexant-09-3630/", "Инфо")</f>
        <v>Инфо</v>
      </c>
      <c r="F5493" s="16" t="s">
        <v>39</v>
      </c>
      <c r="G5493" s="15"/>
      <c r="H5493" s="15"/>
      <c r="I5493" s="15"/>
      <c r="J5493" s="22">
        <v>4099</v>
      </c>
      <c r="K5493" s="15" t="s">
        <v>1888</v>
      </c>
      <c r="L5493" s="17">
        <v>10</v>
      </c>
      <c r="M5493" s="17">
        <v>300</v>
      </c>
      <c r="N5493" s="17">
        <v>10</v>
      </c>
      <c r="O5493" s="18">
        <v>122.14</v>
      </c>
      <c r="P5493" s="18">
        <v>100.11</v>
      </c>
      <c r="Q5493" s="18">
        <v>103.82</v>
      </c>
      <c r="R5493" s="18">
        <v>85.1</v>
      </c>
      <c r="S5493" s="18">
        <v>83.06</v>
      </c>
      <c r="T5493" s="18">
        <v>68.08</v>
      </c>
      <c r="U5493" s="16"/>
      <c r="V5493" s="16"/>
      <c r="W5493" s="16" t="s">
        <v>40</v>
      </c>
      <c r="X5493" s="19">
        <v>4.5999999999999999E-2</v>
      </c>
      <c r="Y5493" s="20">
        <v>7.1000000000000005E-5</v>
      </c>
      <c r="Z5493" s="21">
        <v>4601004013346</v>
      </c>
    </row>
    <row r="5494" spans="1:26" ht="12" customHeight="1" outlineLevel="4" x14ac:dyDescent="0.2">
      <c r="A5494" s="14" t="s">
        <v>10630</v>
      </c>
      <c r="B5494" s="26" t="s">
        <v>10631</v>
      </c>
      <c r="C5494" s="52"/>
      <c r="D5494" s="55">
        <f t="shared" si="85"/>
        <v>0</v>
      </c>
      <c r="E5494" s="63" t="str">
        <f>HYPERLINK("https://www.sds-group.ru/product/flyus-dlya-payki-kislota-ortofosfornaya-75-100ml-flakon-rexant-09-3637/", "Инфо")</f>
        <v>Инфо</v>
      </c>
      <c r="F5494" s="16" t="s">
        <v>39</v>
      </c>
      <c r="G5494" s="15"/>
      <c r="H5494" s="15"/>
      <c r="I5494" s="15"/>
      <c r="J5494" s="17">
        <v>76</v>
      </c>
      <c r="K5494" s="15"/>
      <c r="L5494" s="17">
        <v>10</v>
      </c>
      <c r="M5494" s="17">
        <v>80</v>
      </c>
      <c r="N5494" s="17">
        <v>10</v>
      </c>
      <c r="O5494" s="18">
        <v>344.97</v>
      </c>
      <c r="P5494" s="18">
        <v>282.76</v>
      </c>
      <c r="Q5494" s="18">
        <v>293.22000000000003</v>
      </c>
      <c r="R5494" s="18">
        <v>240.34</v>
      </c>
      <c r="S5494" s="18">
        <v>234.58</v>
      </c>
      <c r="T5494" s="18">
        <v>192.28</v>
      </c>
      <c r="U5494" s="16"/>
      <c r="V5494" s="16"/>
      <c r="W5494" s="16" t="s">
        <v>40</v>
      </c>
      <c r="X5494" s="19">
        <v>0.19400000000000001</v>
      </c>
      <c r="Y5494" s="20">
        <v>2.7999999999999998E-4</v>
      </c>
      <c r="Z5494" s="21">
        <v>4601004148956</v>
      </c>
    </row>
    <row r="5495" spans="1:26" ht="12" customHeight="1" outlineLevel="4" x14ac:dyDescent="0.2">
      <c r="A5495" s="14" t="s">
        <v>10632</v>
      </c>
      <c r="B5495" s="26" t="s">
        <v>10633</v>
      </c>
      <c r="C5495" s="52"/>
      <c r="D5495" s="55">
        <f t="shared" si="85"/>
        <v>0</v>
      </c>
      <c r="E5495" s="63" t="str">
        <f>HYPERLINK("https://www.sds-group.ru/product/flyus-dlya-payki-kislota-ortofosfornaya-75-30ml-flakon-rexant-09-3635/", "Инфо")</f>
        <v>Инфо</v>
      </c>
      <c r="F5495" s="16" t="s">
        <v>39</v>
      </c>
      <c r="G5495" s="15"/>
      <c r="H5495" s="15"/>
      <c r="I5495" s="15"/>
      <c r="J5495" s="22">
        <v>3318</v>
      </c>
      <c r="K5495" s="15" t="s">
        <v>1094</v>
      </c>
      <c r="L5495" s="17">
        <v>10</v>
      </c>
      <c r="M5495" s="17">
        <v>300</v>
      </c>
      <c r="N5495" s="17">
        <v>10</v>
      </c>
      <c r="O5495" s="18">
        <v>103.49</v>
      </c>
      <c r="P5495" s="18">
        <v>84.83</v>
      </c>
      <c r="Q5495" s="18">
        <v>87.97</v>
      </c>
      <c r="R5495" s="18">
        <v>72.11</v>
      </c>
      <c r="S5495" s="18">
        <v>70.37</v>
      </c>
      <c r="T5495" s="18">
        <v>57.68</v>
      </c>
      <c r="U5495" s="16"/>
      <c r="V5495" s="16"/>
      <c r="W5495" s="16" t="s">
        <v>40</v>
      </c>
      <c r="X5495" s="19">
        <v>5.3999999999999999E-2</v>
      </c>
      <c r="Y5495" s="20">
        <v>6.4999999999999994E-5</v>
      </c>
      <c r="Z5495" s="21">
        <v>4601004013353</v>
      </c>
    </row>
    <row r="5496" spans="1:26" ht="12" customHeight="1" outlineLevel="4" x14ac:dyDescent="0.2">
      <c r="A5496" s="14" t="s">
        <v>10634</v>
      </c>
      <c r="B5496" s="26" t="s">
        <v>10635</v>
      </c>
      <c r="C5496" s="52"/>
      <c r="D5496" s="55">
        <f t="shared" si="85"/>
        <v>0</v>
      </c>
      <c r="E5496" s="63" t="str">
        <f>HYPERLINK("https://www.sds-group.ru/product/flyus-dlya-payki-kislota-ortofosfornaya-75-500ml-flakon-rexant-09-3638/", "Инфо")</f>
        <v>Инфо</v>
      </c>
      <c r="F5496" s="16" t="s">
        <v>39</v>
      </c>
      <c r="G5496" s="15"/>
      <c r="H5496" s="15"/>
      <c r="I5496" s="15"/>
      <c r="J5496" s="17">
        <v>14</v>
      </c>
      <c r="K5496" s="15" t="s">
        <v>1094</v>
      </c>
      <c r="L5496" s="17">
        <v>1</v>
      </c>
      <c r="M5496" s="17">
        <v>20</v>
      </c>
      <c r="N5496" s="17">
        <v>1</v>
      </c>
      <c r="O5496" s="18">
        <v>1372.48</v>
      </c>
      <c r="P5496" s="18">
        <v>1124.98</v>
      </c>
      <c r="Q5496" s="18">
        <v>1084.26</v>
      </c>
      <c r="R5496" s="18">
        <v>888.74</v>
      </c>
      <c r="S5496" s="18">
        <v>933.29</v>
      </c>
      <c r="T5496" s="18">
        <v>764.99</v>
      </c>
      <c r="U5496" s="16"/>
      <c r="V5496" s="16"/>
      <c r="W5496" s="16" t="s">
        <v>40</v>
      </c>
      <c r="X5496" s="19">
        <v>0.80100000000000005</v>
      </c>
      <c r="Y5496" s="20">
        <v>1.0189999999999999E-3</v>
      </c>
      <c r="Z5496" s="21">
        <v>4601004148970</v>
      </c>
    </row>
    <row r="5497" spans="1:26" ht="12" customHeight="1" outlineLevel="4" x14ac:dyDescent="0.2">
      <c r="A5497" s="14" t="s">
        <v>10636</v>
      </c>
      <c r="B5497" s="26" t="s">
        <v>10637</v>
      </c>
      <c r="C5497" s="52"/>
      <c r="D5497" s="55">
        <f t="shared" si="85"/>
        <v>0</v>
      </c>
      <c r="E5497" s="63" t="str">
        <f>HYPERLINK("https://www.sds-group.ru/product/flyus-dlya-payki-lti-120-100ml-flakon-rexant-09-3627/", "Инфо")</f>
        <v>Инфо</v>
      </c>
      <c r="F5497" s="16" t="s">
        <v>39</v>
      </c>
      <c r="G5497" s="15"/>
      <c r="H5497" s="15"/>
      <c r="I5497" s="15"/>
      <c r="J5497" s="17">
        <v>252</v>
      </c>
      <c r="K5497" s="15"/>
      <c r="L5497" s="17">
        <v>10</v>
      </c>
      <c r="M5497" s="17">
        <v>80</v>
      </c>
      <c r="N5497" s="17">
        <v>10</v>
      </c>
      <c r="O5497" s="18">
        <v>236.08</v>
      </c>
      <c r="P5497" s="18">
        <v>193.51</v>
      </c>
      <c r="Q5497" s="18">
        <v>200.67</v>
      </c>
      <c r="R5497" s="18">
        <v>164.48</v>
      </c>
      <c r="S5497" s="18">
        <v>160.53</v>
      </c>
      <c r="T5497" s="18">
        <v>131.58000000000001</v>
      </c>
      <c r="U5497" s="16"/>
      <c r="V5497" s="16"/>
      <c r="W5497" s="16" t="s">
        <v>40</v>
      </c>
      <c r="X5497" s="19">
        <v>0.113</v>
      </c>
      <c r="Y5497" s="20">
        <v>2.8200000000000002E-4</v>
      </c>
      <c r="Z5497" s="21">
        <v>4601004014534</v>
      </c>
    </row>
    <row r="5498" spans="1:26" ht="12" customHeight="1" outlineLevel="4" x14ac:dyDescent="0.2">
      <c r="A5498" s="14" t="s">
        <v>10638</v>
      </c>
      <c r="B5498" s="26" t="s">
        <v>10639</v>
      </c>
      <c r="C5498" s="52"/>
      <c r="D5498" s="55">
        <f t="shared" si="85"/>
        <v>0</v>
      </c>
      <c r="E5498" s="63" t="str">
        <f>HYPERLINK("https://www.sds-group.ru/product/flyus-dlya-payki-lti-120-30ml-s-kistochkoy-flakon-rexant-09-3626/", "Инфо")</f>
        <v>Инфо</v>
      </c>
      <c r="F5498" s="16" t="s">
        <v>39</v>
      </c>
      <c r="G5498" s="15"/>
      <c r="H5498" s="15"/>
      <c r="I5498" s="15"/>
      <c r="J5498" s="22">
        <v>4292</v>
      </c>
      <c r="K5498" s="15"/>
      <c r="L5498" s="17">
        <v>10</v>
      </c>
      <c r="M5498" s="17">
        <v>300</v>
      </c>
      <c r="N5498" s="17">
        <v>10</v>
      </c>
      <c r="O5498" s="18">
        <v>122.9</v>
      </c>
      <c r="P5498" s="18">
        <v>100.74</v>
      </c>
      <c r="Q5498" s="18">
        <v>86.03</v>
      </c>
      <c r="R5498" s="18">
        <v>70.52</v>
      </c>
      <c r="S5498" s="18">
        <v>83.57</v>
      </c>
      <c r="T5498" s="18">
        <v>68.5</v>
      </c>
      <c r="U5498" s="16"/>
      <c r="V5498" s="16"/>
      <c r="W5498" s="16"/>
      <c r="X5498" s="19">
        <v>3.3000000000000002E-2</v>
      </c>
      <c r="Y5498" s="20">
        <v>6.8999999999999997E-5</v>
      </c>
      <c r="Z5498" s="21">
        <v>4601004014565</v>
      </c>
    </row>
    <row r="5499" spans="1:26" ht="12" customHeight="1" outlineLevel="4" x14ac:dyDescent="0.2">
      <c r="A5499" s="14" t="s">
        <v>10640</v>
      </c>
      <c r="B5499" s="26" t="s">
        <v>10641</v>
      </c>
      <c r="C5499" s="52"/>
      <c r="D5499" s="55">
        <f t="shared" si="85"/>
        <v>0</v>
      </c>
      <c r="E5499" s="63" t="str">
        <f>HYPERLINK("https://www.sds-group.ru/product/flyus-dlya-payki-lti-120-30ml-flakon-rexant-09-3625/", "Инфо")</f>
        <v>Инфо</v>
      </c>
      <c r="F5499" s="16" t="s">
        <v>39</v>
      </c>
      <c r="G5499" s="15"/>
      <c r="H5499" s="15"/>
      <c r="I5499" s="15"/>
      <c r="J5499" s="22">
        <v>6014</v>
      </c>
      <c r="K5499" s="15" t="s">
        <v>1094</v>
      </c>
      <c r="L5499" s="17">
        <v>10</v>
      </c>
      <c r="M5499" s="17">
        <v>300</v>
      </c>
      <c r="N5499" s="17">
        <v>10</v>
      </c>
      <c r="O5499" s="18">
        <v>92.71</v>
      </c>
      <c r="P5499" s="18">
        <v>75.989999999999995</v>
      </c>
      <c r="Q5499" s="18">
        <v>78.8</v>
      </c>
      <c r="R5499" s="18">
        <v>64.59</v>
      </c>
      <c r="S5499" s="18">
        <v>63.04</v>
      </c>
      <c r="T5499" s="18">
        <v>51.67</v>
      </c>
      <c r="U5499" s="16"/>
      <c r="V5499" s="16"/>
      <c r="W5499" s="16" t="s">
        <v>40</v>
      </c>
      <c r="X5499" s="19">
        <v>3.3000000000000002E-2</v>
      </c>
      <c r="Y5499" s="20">
        <v>6.8999999999999997E-5</v>
      </c>
      <c r="Z5499" s="21">
        <v>4601004013339</v>
      </c>
    </row>
    <row r="5500" spans="1:26" ht="12" customHeight="1" outlineLevel="4" x14ac:dyDescent="0.2">
      <c r="A5500" s="14" t="s">
        <v>10642</v>
      </c>
      <c r="B5500" s="26" t="s">
        <v>10643</v>
      </c>
      <c r="C5500" s="52"/>
      <c r="D5500" s="55">
        <f t="shared" si="85"/>
        <v>0</v>
      </c>
      <c r="E5500" s="63" t="str">
        <f>HYPERLINK("https://www.sds-group.ru/product/flyus-dlya-payki-lti-120-500ml-flakon-rexant-09-3628/", "Инфо")</f>
        <v>Инфо</v>
      </c>
      <c r="F5500" s="16" t="s">
        <v>39</v>
      </c>
      <c r="G5500" s="15"/>
      <c r="H5500" s="15"/>
      <c r="I5500" s="15"/>
      <c r="J5500" s="17">
        <v>22</v>
      </c>
      <c r="K5500" s="15"/>
      <c r="L5500" s="17">
        <v>1</v>
      </c>
      <c r="M5500" s="17">
        <v>20</v>
      </c>
      <c r="N5500" s="17">
        <v>1</v>
      </c>
      <c r="O5500" s="18">
        <v>978.85</v>
      </c>
      <c r="P5500" s="18">
        <v>802.34</v>
      </c>
      <c r="Q5500" s="18">
        <v>783.08</v>
      </c>
      <c r="R5500" s="18">
        <v>641.87</v>
      </c>
      <c r="S5500" s="18">
        <v>665.62</v>
      </c>
      <c r="T5500" s="18">
        <v>545.59</v>
      </c>
      <c r="U5500" s="16"/>
      <c r="V5500" s="16"/>
      <c r="W5500" s="16" t="s">
        <v>40</v>
      </c>
      <c r="X5500" s="19">
        <v>0.433</v>
      </c>
      <c r="Y5500" s="20">
        <v>1.0280000000000001E-3</v>
      </c>
      <c r="Z5500" s="21">
        <v>4601004026339</v>
      </c>
    </row>
    <row r="5501" spans="1:26" ht="12" customHeight="1" outlineLevel="4" x14ac:dyDescent="0.2">
      <c r="A5501" s="14" t="s">
        <v>10644</v>
      </c>
      <c r="B5501" s="26" t="s">
        <v>10645</v>
      </c>
      <c r="C5501" s="52"/>
      <c r="D5501" s="55">
        <f t="shared" si="85"/>
        <v>0</v>
      </c>
      <c r="E5501" s="63" t="str">
        <f>HYPERLINK("https://www.sds-group.ru/product/flyus-dlya-payki-pasta-tr-rm-keller-20ml-banka-rexant-09-3690/", "Инфо")</f>
        <v>Инфо</v>
      </c>
      <c r="F5501" s="16" t="s">
        <v>39</v>
      </c>
      <c r="G5501" s="15"/>
      <c r="H5501" s="15"/>
      <c r="I5501" s="15"/>
      <c r="J5501" s="17">
        <v>387</v>
      </c>
      <c r="K5501" s="15"/>
      <c r="L5501" s="17">
        <v>10</v>
      </c>
      <c r="M5501" s="17">
        <v>420</v>
      </c>
      <c r="N5501" s="17">
        <v>10</v>
      </c>
      <c r="O5501" s="18">
        <v>245.53</v>
      </c>
      <c r="P5501" s="18">
        <v>201.25</v>
      </c>
      <c r="Q5501" s="18">
        <v>208.7</v>
      </c>
      <c r="R5501" s="18">
        <v>171.07</v>
      </c>
      <c r="S5501" s="18">
        <v>166.96</v>
      </c>
      <c r="T5501" s="18">
        <v>136.85</v>
      </c>
      <c r="U5501" s="16"/>
      <c r="V5501" s="16"/>
      <c r="W5501" s="16" t="s">
        <v>40</v>
      </c>
      <c r="X5501" s="19">
        <v>2.5000000000000001E-2</v>
      </c>
      <c r="Y5501" s="20">
        <v>6.9999999999999994E-5</v>
      </c>
      <c r="Z5501" s="21">
        <v>4601004131699</v>
      </c>
    </row>
    <row r="5502" spans="1:26" ht="12" customHeight="1" outlineLevel="4" x14ac:dyDescent="0.2">
      <c r="A5502" s="14" t="s">
        <v>10646</v>
      </c>
      <c r="B5502" s="26" t="s">
        <v>10647</v>
      </c>
      <c r="C5502" s="52"/>
      <c r="D5502" s="55">
        <f t="shared" si="85"/>
        <v>0</v>
      </c>
      <c r="E5502" s="63" t="str">
        <f>HYPERLINK("https://www.sds-group.ru/product/flyus-dlya-payki-payalnaya-kislota-100ml-flakon-rexant-09-3611/", "Инфо")</f>
        <v>Инфо</v>
      </c>
      <c r="F5502" s="16" t="s">
        <v>39</v>
      </c>
      <c r="G5502" s="15"/>
      <c r="H5502" s="15"/>
      <c r="I5502" s="15"/>
      <c r="J5502" s="22">
        <v>3399</v>
      </c>
      <c r="K5502" s="15" t="s">
        <v>1094</v>
      </c>
      <c r="L5502" s="17">
        <v>10</v>
      </c>
      <c r="M5502" s="17">
        <v>80</v>
      </c>
      <c r="N5502" s="17">
        <v>10</v>
      </c>
      <c r="O5502" s="18">
        <v>183.26</v>
      </c>
      <c r="P5502" s="18">
        <v>150.21</v>
      </c>
      <c r="Q5502" s="18">
        <v>155.77000000000001</v>
      </c>
      <c r="R5502" s="18">
        <v>127.68</v>
      </c>
      <c r="S5502" s="18">
        <v>124.62</v>
      </c>
      <c r="T5502" s="18">
        <v>102.15</v>
      </c>
      <c r="U5502" s="16"/>
      <c r="V5502" s="16"/>
      <c r="W5502" s="16" t="s">
        <v>40</v>
      </c>
      <c r="X5502" s="19">
        <v>0.16</v>
      </c>
      <c r="Y5502" s="20">
        <v>2.9E-4</v>
      </c>
      <c r="Z5502" s="21">
        <v>4601004013308</v>
      </c>
    </row>
    <row r="5503" spans="1:26" ht="12" customHeight="1" outlineLevel="4" x14ac:dyDescent="0.2">
      <c r="A5503" s="14" t="s">
        <v>10648</v>
      </c>
      <c r="B5503" s="26" t="s">
        <v>10649</v>
      </c>
      <c r="C5503" s="52"/>
      <c r="D5503" s="55">
        <f t="shared" si="85"/>
        <v>0</v>
      </c>
      <c r="E5503" s="63" t="str">
        <f>HYPERLINK("https://www.sds-group.ru/product/flyus-dlya-payki-payalnaya-kislota-30ml-s-kistochkoy-flakon-rexant-09-3613/", "Инфо")</f>
        <v>Инфо</v>
      </c>
      <c r="F5503" s="16" t="s">
        <v>39</v>
      </c>
      <c r="G5503" s="15"/>
      <c r="H5503" s="15"/>
      <c r="I5503" s="15"/>
      <c r="J5503" s="22">
        <v>10150</v>
      </c>
      <c r="K5503" s="15" t="s">
        <v>1094</v>
      </c>
      <c r="L5503" s="17">
        <v>10</v>
      </c>
      <c r="M5503" s="17">
        <v>300</v>
      </c>
      <c r="N5503" s="17">
        <v>10</v>
      </c>
      <c r="O5503" s="18">
        <v>101.93</v>
      </c>
      <c r="P5503" s="18">
        <v>83.55</v>
      </c>
      <c r="Q5503" s="18">
        <v>86.64</v>
      </c>
      <c r="R5503" s="18">
        <v>71.02</v>
      </c>
      <c r="S5503" s="18">
        <v>69.31</v>
      </c>
      <c r="T5503" s="18">
        <v>56.81</v>
      </c>
      <c r="U5503" s="16"/>
      <c r="V5503" s="16"/>
      <c r="W5503" s="16" t="s">
        <v>40</v>
      </c>
      <c r="X5503" s="19">
        <v>4.7E-2</v>
      </c>
      <c r="Y5503" s="20">
        <v>6.9999999999999994E-5</v>
      </c>
      <c r="Z5503" s="21">
        <v>4601004026346</v>
      </c>
    </row>
    <row r="5504" spans="1:26" ht="12" customHeight="1" outlineLevel="4" x14ac:dyDescent="0.2">
      <c r="A5504" s="14" t="s">
        <v>10650</v>
      </c>
      <c r="B5504" s="26" t="s">
        <v>10651</v>
      </c>
      <c r="C5504" s="52"/>
      <c r="D5504" s="55">
        <f t="shared" si="85"/>
        <v>0</v>
      </c>
      <c r="E5504" s="63" t="str">
        <f>HYPERLINK("https://www.sds-group.ru/product/flyus-dlya-payki-payalnaya-kislota-30ml-flakon-rexant-09-3610/", "Инфо")</f>
        <v>Инфо</v>
      </c>
      <c r="F5504" s="16" t="s">
        <v>39</v>
      </c>
      <c r="G5504" s="15"/>
      <c r="H5504" s="15"/>
      <c r="I5504" s="15"/>
      <c r="J5504" s="22">
        <v>11177</v>
      </c>
      <c r="K5504" s="15" t="s">
        <v>1094</v>
      </c>
      <c r="L5504" s="17">
        <v>10</v>
      </c>
      <c r="M5504" s="17">
        <v>300</v>
      </c>
      <c r="N5504" s="17">
        <v>10</v>
      </c>
      <c r="O5504" s="18">
        <v>75.55</v>
      </c>
      <c r="P5504" s="18">
        <v>61.93</v>
      </c>
      <c r="Q5504" s="18">
        <v>64.22</v>
      </c>
      <c r="R5504" s="18">
        <v>52.64</v>
      </c>
      <c r="S5504" s="18">
        <v>51.37</v>
      </c>
      <c r="T5504" s="18">
        <v>42.11</v>
      </c>
      <c r="U5504" s="16"/>
      <c r="V5504" s="16"/>
      <c r="W5504" s="16" t="s">
        <v>40</v>
      </c>
      <c r="X5504" s="19">
        <v>4.8000000000000001E-2</v>
      </c>
      <c r="Y5504" s="20">
        <v>7.1000000000000005E-5</v>
      </c>
      <c r="Z5504" s="21">
        <v>4601004013414</v>
      </c>
    </row>
    <row r="5505" spans="1:26" ht="12" customHeight="1" outlineLevel="4" x14ac:dyDescent="0.2">
      <c r="A5505" s="14" t="s">
        <v>10652</v>
      </c>
      <c r="B5505" s="26" t="s">
        <v>10653</v>
      </c>
      <c r="C5505" s="52"/>
      <c r="D5505" s="55">
        <f t="shared" si="85"/>
        <v>0</v>
      </c>
      <c r="E5505" s="63" t="str">
        <f>HYPERLINK("https://www.sds-group.ru/product/flyus-dlya-payki-payalnaya-kislota-500ml-flakon-rexant-09-3612/", "Инфо")</f>
        <v>Инфо</v>
      </c>
      <c r="F5505" s="16" t="s">
        <v>39</v>
      </c>
      <c r="G5505" s="15"/>
      <c r="H5505" s="15"/>
      <c r="I5505" s="15"/>
      <c r="J5505" s="17">
        <v>826</v>
      </c>
      <c r="K5505" s="15" t="s">
        <v>1094</v>
      </c>
      <c r="L5505" s="17">
        <v>5</v>
      </c>
      <c r="M5505" s="17">
        <v>20</v>
      </c>
      <c r="N5505" s="17">
        <v>5</v>
      </c>
      <c r="O5505" s="18">
        <v>599.91999999999996</v>
      </c>
      <c r="P5505" s="18">
        <v>491.74</v>
      </c>
      <c r="Q5505" s="18">
        <v>419.94</v>
      </c>
      <c r="R5505" s="18">
        <v>344.21</v>
      </c>
      <c r="S5505" s="18">
        <v>407.95</v>
      </c>
      <c r="T5505" s="18">
        <v>334.39</v>
      </c>
      <c r="U5505" s="16"/>
      <c r="V5505" s="16"/>
      <c r="W5505" s="16"/>
      <c r="X5505" s="19">
        <v>0.66</v>
      </c>
      <c r="Y5505" s="20">
        <v>1.013E-3</v>
      </c>
      <c r="Z5505" s="21">
        <v>4601004014527</v>
      </c>
    </row>
    <row r="5506" spans="1:26" ht="12" customHeight="1" outlineLevel="4" x14ac:dyDescent="0.2">
      <c r="A5506" s="14" t="s">
        <v>10654</v>
      </c>
      <c r="B5506" s="26" t="s">
        <v>10655</v>
      </c>
      <c r="C5506" s="52"/>
      <c r="D5506" s="55">
        <f t="shared" si="85"/>
        <v>0</v>
      </c>
      <c r="E5506" s="63" t="str">
        <f>HYPERLINK("https://www.sds-group.ru/product/flyus-dlya-payki-payalnyy-zhir-aktivnyy-100ml-banka-rexant-09-3672/", "Инфо")</f>
        <v>Инфо</v>
      </c>
      <c r="F5506" s="16" t="s">
        <v>39</v>
      </c>
      <c r="G5506" s="15"/>
      <c r="H5506" s="15"/>
      <c r="I5506" s="15"/>
      <c r="J5506" s="17">
        <v>101</v>
      </c>
      <c r="K5506" s="15"/>
      <c r="L5506" s="17">
        <v>10</v>
      </c>
      <c r="M5506" s="17">
        <v>120</v>
      </c>
      <c r="N5506" s="17">
        <v>10</v>
      </c>
      <c r="O5506" s="18">
        <v>310.47000000000003</v>
      </c>
      <c r="P5506" s="18">
        <v>254.48</v>
      </c>
      <c r="Q5506" s="18">
        <v>263.89999999999998</v>
      </c>
      <c r="R5506" s="18">
        <v>216.31</v>
      </c>
      <c r="S5506" s="18">
        <v>211.12</v>
      </c>
      <c r="T5506" s="18">
        <v>173.05</v>
      </c>
      <c r="U5506" s="16"/>
      <c r="V5506" s="16"/>
      <c r="W5506" s="16" t="s">
        <v>40</v>
      </c>
      <c r="X5506" s="19">
        <v>0.10199999999999999</v>
      </c>
      <c r="Y5506" s="20">
        <v>1.74E-4</v>
      </c>
      <c r="Z5506" s="21">
        <v>4601004149007</v>
      </c>
    </row>
    <row r="5507" spans="1:26" ht="12" customHeight="1" outlineLevel="4" x14ac:dyDescent="0.2">
      <c r="A5507" s="14" t="s">
        <v>10656</v>
      </c>
      <c r="B5507" s="26" t="s">
        <v>10657</v>
      </c>
      <c r="C5507" s="52"/>
      <c r="D5507" s="55">
        <f t="shared" si="85"/>
        <v>0</v>
      </c>
      <c r="E5507" s="63" t="str">
        <f>HYPERLINK("https://www.sds-group.ru/product/flyus-dlya-payki-payalnyy-zhir-aktivnyy-20ml-banka-rexant-09-3670/", "Инфо")</f>
        <v>Инфо</v>
      </c>
      <c r="F5507" s="16" t="s">
        <v>39</v>
      </c>
      <c r="G5507" s="15"/>
      <c r="H5507" s="15"/>
      <c r="I5507" s="15"/>
      <c r="J5507" s="17">
        <v>188</v>
      </c>
      <c r="K5507" s="15"/>
      <c r="L5507" s="17">
        <v>10</v>
      </c>
      <c r="M5507" s="17">
        <v>420</v>
      </c>
      <c r="N5507" s="17">
        <v>10</v>
      </c>
      <c r="O5507" s="18">
        <v>92.71</v>
      </c>
      <c r="P5507" s="18">
        <v>75.989999999999995</v>
      </c>
      <c r="Q5507" s="18">
        <v>78.8</v>
      </c>
      <c r="R5507" s="18">
        <v>64.59</v>
      </c>
      <c r="S5507" s="18">
        <v>63.04</v>
      </c>
      <c r="T5507" s="18">
        <v>51.67</v>
      </c>
      <c r="U5507" s="16"/>
      <c r="V5507" s="16"/>
      <c r="W5507" s="16" t="s">
        <v>40</v>
      </c>
      <c r="X5507" s="19">
        <v>2.4E-2</v>
      </c>
      <c r="Y5507" s="20">
        <v>6.3E-5</v>
      </c>
      <c r="Z5507" s="21">
        <v>4601004013483</v>
      </c>
    </row>
    <row r="5508" spans="1:26" ht="12" customHeight="1" outlineLevel="4" x14ac:dyDescent="0.2">
      <c r="A5508" s="14" t="s">
        <v>10658</v>
      </c>
      <c r="B5508" s="26" t="s">
        <v>10659</v>
      </c>
      <c r="C5508" s="52"/>
      <c r="D5508" s="55">
        <f t="shared" si="85"/>
        <v>0</v>
      </c>
      <c r="E5508" s="63" t="str">
        <f>HYPERLINK("https://www.sds-group.ru/product/flyus-dlya-payki-payalnyy-zhir-neytralnyy-100ml-banka-rexant-09-3667/", "Инфо")</f>
        <v>Инфо</v>
      </c>
      <c r="F5508" s="16" t="s">
        <v>39</v>
      </c>
      <c r="G5508" s="15"/>
      <c r="H5508" s="15"/>
      <c r="I5508" s="15"/>
      <c r="J5508" s="17">
        <v>166</v>
      </c>
      <c r="K5508" s="15"/>
      <c r="L5508" s="17">
        <v>10</v>
      </c>
      <c r="M5508" s="17">
        <v>120</v>
      </c>
      <c r="N5508" s="17">
        <v>10</v>
      </c>
      <c r="O5508" s="18">
        <v>312.63</v>
      </c>
      <c r="P5508" s="18">
        <v>256.25</v>
      </c>
      <c r="Q5508" s="18">
        <v>265.74</v>
      </c>
      <c r="R5508" s="18">
        <v>217.82</v>
      </c>
      <c r="S5508" s="18">
        <v>212.59</v>
      </c>
      <c r="T5508" s="18">
        <v>174.25</v>
      </c>
      <c r="U5508" s="16"/>
      <c r="V5508" s="16"/>
      <c r="W5508" s="16" t="s">
        <v>40</v>
      </c>
      <c r="X5508" s="19">
        <v>9.9000000000000005E-2</v>
      </c>
      <c r="Y5508" s="20">
        <v>2.5300000000000002E-4</v>
      </c>
      <c r="Z5508" s="21">
        <v>4601004149014</v>
      </c>
    </row>
    <row r="5509" spans="1:26" ht="12" customHeight="1" outlineLevel="4" x14ac:dyDescent="0.2">
      <c r="A5509" s="14" t="s">
        <v>10660</v>
      </c>
      <c r="B5509" s="26" t="s">
        <v>10661</v>
      </c>
      <c r="C5509" s="52"/>
      <c r="D5509" s="55">
        <f t="shared" si="85"/>
        <v>0</v>
      </c>
      <c r="E5509" s="63" t="str">
        <f>HYPERLINK("https://www.sds-group.ru/product/flyus-dlya-payki-payalnyy-zhir-neytralnyy-20ml-banka-rexant-09-3665/", "Инфо")</f>
        <v>Инфо</v>
      </c>
      <c r="F5509" s="16" t="s">
        <v>39</v>
      </c>
      <c r="G5509" s="15"/>
      <c r="H5509" s="15"/>
      <c r="I5509" s="15"/>
      <c r="J5509" s="22">
        <v>1098</v>
      </c>
      <c r="K5509" s="15"/>
      <c r="L5509" s="17">
        <v>10</v>
      </c>
      <c r="M5509" s="17">
        <v>420</v>
      </c>
      <c r="N5509" s="17">
        <v>10</v>
      </c>
      <c r="O5509" s="18">
        <v>83.1</v>
      </c>
      <c r="P5509" s="18">
        <v>68.11</v>
      </c>
      <c r="Q5509" s="18">
        <v>70.64</v>
      </c>
      <c r="R5509" s="18">
        <v>57.9</v>
      </c>
      <c r="S5509" s="18">
        <v>56.51</v>
      </c>
      <c r="T5509" s="18">
        <v>46.32</v>
      </c>
      <c r="U5509" s="16"/>
      <c r="V5509" s="16"/>
      <c r="W5509" s="16" t="s">
        <v>40</v>
      </c>
      <c r="X5509" s="19">
        <v>2.5999999999999999E-2</v>
      </c>
      <c r="Y5509" s="20">
        <v>5.8999999999999998E-5</v>
      </c>
      <c r="Z5509" s="21">
        <v>4601004013476</v>
      </c>
    </row>
    <row r="5510" spans="1:26" ht="12" customHeight="1" outlineLevel="4" x14ac:dyDescent="0.2">
      <c r="A5510" s="14" t="s">
        <v>10662</v>
      </c>
      <c r="B5510" s="26" t="s">
        <v>10663</v>
      </c>
      <c r="C5510" s="52"/>
      <c r="D5510" s="55">
        <f t="shared" si="85"/>
        <v>0</v>
      </c>
      <c r="E5510" s="63" t="str">
        <f>HYPERLINK("https://www.sds-group.ru/product/flyus-dlya-payki-skf-spirto-kanifolnyy-100ml-flakon-rexant-09-3643/", "Инфо")</f>
        <v>Инфо</v>
      </c>
      <c r="F5510" s="16" t="s">
        <v>39</v>
      </c>
      <c r="G5510" s="15"/>
      <c r="H5510" s="15"/>
      <c r="I5510" s="15"/>
      <c r="J5510" s="17">
        <v>304</v>
      </c>
      <c r="K5510" s="15"/>
      <c r="L5510" s="17">
        <v>10</v>
      </c>
      <c r="M5510" s="17">
        <v>80</v>
      </c>
      <c r="N5510" s="17">
        <v>10</v>
      </c>
      <c r="O5510" s="18">
        <v>215.6</v>
      </c>
      <c r="P5510" s="18">
        <v>176.72</v>
      </c>
      <c r="Q5510" s="18">
        <v>183.26</v>
      </c>
      <c r="R5510" s="18">
        <v>150.21</v>
      </c>
      <c r="S5510" s="18">
        <v>146.61000000000001</v>
      </c>
      <c r="T5510" s="18">
        <v>120.17</v>
      </c>
      <c r="U5510" s="16"/>
      <c r="V5510" s="16"/>
      <c r="W5510" s="16" t="s">
        <v>40</v>
      </c>
      <c r="X5510" s="19">
        <v>0.106</v>
      </c>
      <c r="Y5510" s="20">
        <v>2.6200000000000003E-4</v>
      </c>
      <c r="Z5510" s="21">
        <v>4601004026322</v>
      </c>
    </row>
    <row r="5511" spans="1:26" ht="12" customHeight="1" outlineLevel="4" x14ac:dyDescent="0.2">
      <c r="A5511" s="14" t="s">
        <v>10664</v>
      </c>
      <c r="B5511" s="26" t="s">
        <v>10665</v>
      </c>
      <c r="C5511" s="52"/>
      <c r="D5511" s="55">
        <f t="shared" si="85"/>
        <v>0</v>
      </c>
      <c r="E5511" s="63" t="str">
        <f>HYPERLINK("https://www.sds-group.ru/product/flyus-dlya-payki-skf-spirto-kanifolnyy-30ml-s-kistochkoy-flakon-rexant-09-3641/", "Инфо")</f>
        <v>Инфо</v>
      </c>
      <c r="F5511" s="16" t="s">
        <v>39</v>
      </c>
      <c r="G5511" s="15"/>
      <c r="H5511" s="15"/>
      <c r="I5511" s="15"/>
      <c r="J5511" s="17">
        <v>698</v>
      </c>
      <c r="K5511" s="15"/>
      <c r="L5511" s="17">
        <v>10</v>
      </c>
      <c r="M5511" s="17">
        <v>300</v>
      </c>
      <c r="N5511" s="17">
        <v>10</v>
      </c>
      <c r="O5511" s="18">
        <v>118.58</v>
      </c>
      <c r="P5511" s="18">
        <v>97.2</v>
      </c>
      <c r="Q5511" s="18">
        <v>100.79</v>
      </c>
      <c r="R5511" s="18">
        <v>82.61</v>
      </c>
      <c r="S5511" s="18">
        <v>80.63</v>
      </c>
      <c r="T5511" s="18">
        <v>66.09</v>
      </c>
      <c r="U5511" s="16"/>
      <c r="V5511" s="16"/>
      <c r="W5511" s="16" t="s">
        <v>40</v>
      </c>
      <c r="X5511" s="19">
        <v>2.4E-2</v>
      </c>
      <c r="Y5511" s="20">
        <v>5.1999999999999997E-5</v>
      </c>
      <c r="Z5511" s="21">
        <v>4601004014589</v>
      </c>
    </row>
    <row r="5512" spans="1:26" ht="12" customHeight="1" outlineLevel="4" x14ac:dyDescent="0.2">
      <c r="A5512" s="14" t="s">
        <v>10666</v>
      </c>
      <c r="B5512" s="26" t="s">
        <v>10667</v>
      </c>
      <c r="C5512" s="52"/>
      <c r="D5512" s="55">
        <f t="shared" si="85"/>
        <v>0</v>
      </c>
      <c r="E5512" s="63" t="str">
        <f>HYPERLINK("https://www.sds-group.ru/product/flyus-dlya-payki-skf-spirto-kanifolnyy-30ml-flakon-rexant-09-3640/", "Инфо")</f>
        <v>Инфо</v>
      </c>
      <c r="F5512" s="16" t="s">
        <v>39</v>
      </c>
      <c r="G5512" s="15"/>
      <c r="H5512" s="15"/>
      <c r="I5512" s="15"/>
      <c r="J5512" s="22">
        <v>1885</v>
      </c>
      <c r="K5512" s="15"/>
      <c r="L5512" s="17">
        <v>10</v>
      </c>
      <c r="M5512" s="17">
        <v>300</v>
      </c>
      <c r="N5512" s="17">
        <v>10</v>
      </c>
      <c r="O5512" s="18">
        <v>89.47</v>
      </c>
      <c r="P5512" s="18">
        <v>73.34</v>
      </c>
      <c r="Q5512" s="18">
        <v>76.05</v>
      </c>
      <c r="R5512" s="18">
        <v>62.34</v>
      </c>
      <c r="S5512" s="18">
        <v>60.84</v>
      </c>
      <c r="T5512" s="18">
        <v>49.87</v>
      </c>
      <c r="U5512" s="16"/>
      <c r="V5512" s="16"/>
      <c r="W5512" s="16" t="s">
        <v>40</v>
      </c>
      <c r="X5512" s="19">
        <v>3.4000000000000002E-2</v>
      </c>
      <c r="Y5512" s="20">
        <v>6.7999999999999999E-5</v>
      </c>
      <c r="Z5512" s="21">
        <v>4601004013360</v>
      </c>
    </row>
    <row r="5513" spans="1:26" ht="12" customHeight="1" outlineLevel="4" x14ac:dyDescent="0.2">
      <c r="A5513" s="14" t="s">
        <v>10668</v>
      </c>
      <c r="B5513" s="26" t="s">
        <v>10669</v>
      </c>
      <c r="C5513" s="52"/>
      <c r="D5513" s="55">
        <f t="shared" ref="D5513:D5576" si="86">C5513*(O5513-O5513*$G$3)</f>
        <v>0</v>
      </c>
      <c r="E5513" s="63" t="str">
        <f>HYPERLINK("https://www.sds-group.ru/product/flyus-dlya-payki-skf-spirto-kanifolnyy-500ml-flakon-rexant-09-3645/", "Инфо")</f>
        <v>Инфо</v>
      </c>
      <c r="F5513" s="16" t="s">
        <v>39</v>
      </c>
      <c r="G5513" s="15"/>
      <c r="H5513" s="15"/>
      <c r="I5513" s="15"/>
      <c r="J5513" s="17">
        <v>32</v>
      </c>
      <c r="K5513" s="15" t="s">
        <v>1094</v>
      </c>
      <c r="L5513" s="17">
        <v>1</v>
      </c>
      <c r="M5513" s="17">
        <v>20</v>
      </c>
      <c r="N5513" s="17">
        <v>1</v>
      </c>
      <c r="O5513" s="18">
        <v>915.24</v>
      </c>
      <c r="P5513" s="18">
        <v>750.2</v>
      </c>
      <c r="Q5513" s="18">
        <v>732.19</v>
      </c>
      <c r="R5513" s="18">
        <v>600.16</v>
      </c>
      <c r="S5513" s="18">
        <v>622.36</v>
      </c>
      <c r="T5513" s="18">
        <v>510.13</v>
      </c>
      <c r="U5513" s="16"/>
      <c r="V5513" s="16"/>
      <c r="W5513" s="16" t="s">
        <v>40</v>
      </c>
      <c r="X5513" s="19">
        <v>0.44</v>
      </c>
      <c r="Y5513" s="20">
        <v>1.0120000000000001E-3</v>
      </c>
      <c r="Z5513" s="21">
        <v>4601004013377</v>
      </c>
    </row>
    <row r="5514" spans="1:26" ht="12" customHeight="1" outlineLevel="4" x14ac:dyDescent="0.2">
      <c r="A5514" s="14" t="s">
        <v>10670</v>
      </c>
      <c r="B5514" s="26" t="s">
        <v>10671</v>
      </c>
      <c r="C5514" s="52"/>
      <c r="D5514" s="55">
        <f t="shared" si="86"/>
        <v>0</v>
      </c>
      <c r="E5514" s="63" t="str">
        <f>HYPERLINK("https://www.sds-group.ru/product/flyus-dlya-payki-tags-30ml-flakon-rexant-09-3660/", "Инфо")</f>
        <v>Инфо</v>
      </c>
      <c r="F5514" s="16" t="s">
        <v>39</v>
      </c>
      <c r="G5514" s="15"/>
      <c r="H5514" s="15"/>
      <c r="I5514" s="15"/>
      <c r="J5514" s="17">
        <v>455</v>
      </c>
      <c r="K5514" s="15" t="s">
        <v>1888</v>
      </c>
      <c r="L5514" s="17">
        <v>10</v>
      </c>
      <c r="M5514" s="17">
        <v>300</v>
      </c>
      <c r="N5514" s="17">
        <v>10</v>
      </c>
      <c r="O5514" s="18">
        <v>116.43</v>
      </c>
      <c r="P5514" s="18">
        <v>95.43</v>
      </c>
      <c r="Q5514" s="18">
        <v>98.97</v>
      </c>
      <c r="R5514" s="18">
        <v>81.12</v>
      </c>
      <c r="S5514" s="18">
        <v>79.17</v>
      </c>
      <c r="T5514" s="18">
        <v>64.89</v>
      </c>
      <c r="U5514" s="16"/>
      <c r="V5514" s="16"/>
      <c r="W5514" s="16" t="s">
        <v>40</v>
      </c>
      <c r="X5514" s="19">
        <v>0.04</v>
      </c>
      <c r="Y5514" s="20">
        <v>6.9999999999999994E-5</v>
      </c>
      <c r="Z5514" s="21">
        <v>4601004013391</v>
      </c>
    </row>
    <row r="5515" spans="1:26" ht="12" customHeight="1" outlineLevel="4" x14ac:dyDescent="0.2">
      <c r="A5515" s="14" t="s">
        <v>10672</v>
      </c>
      <c r="B5515" s="26" t="s">
        <v>10673</v>
      </c>
      <c r="C5515" s="52"/>
      <c r="D5515" s="55">
        <f t="shared" si="86"/>
        <v>0</v>
      </c>
      <c r="E5515" s="63" t="str">
        <f>HYPERLINK("https://www.sds-group.ru/product/flyus-dlya-payki-f-38n-30ml-flakon-rexant-09-3650/", "Инфо")</f>
        <v>Инфо</v>
      </c>
      <c r="F5515" s="16" t="s">
        <v>39</v>
      </c>
      <c r="G5515" s="15"/>
      <c r="H5515" s="15"/>
      <c r="I5515" s="15"/>
      <c r="J5515" s="17">
        <v>86</v>
      </c>
      <c r="K5515" s="15" t="s">
        <v>1094</v>
      </c>
      <c r="L5515" s="17">
        <v>10</v>
      </c>
      <c r="M5515" s="17">
        <v>300</v>
      </c>
      <c r="N5515" s="17">
        <v>10</v>
      </c>
      <c r="O5515" s="18">
        <v>123.98</v>
      </c>
      <c r="P5515" s="18">
        <v>101.62</v>
      </c>
      <c r="Q5515" s="18">
        <v>105.38</v>
      </c>
      <c r="R5515" s="18">
        <v>86.38</v>
      </c>
      <c r="S5515" s="18">
        <v>84.31</v>
      </c>
      <c r="T5515" s="18">
        <v>69.11</v>
      </c>
      <c r="U5515" s="16"/>
      <c r="V5515" s="16"/>
      <c r="W5515" s="16" t="s">
        <v>40</v>
      </c>
      <c r="X5515" s="19">
        <v>4.4999999999999998E-2</v>
      </c>
      <c r="Y5515" s="20">
        <v>6.0000000000000002E-5</v>
      </c>
      <c r="Z5515" s="21">
        <v>4601004013384</v>
      </c>
    </row>
    <row r="5516" spans="1:26" ht="12" customHeight="1" outlineLevel="4" x14ac:dyDescent="0.2">
      <c r="A5516" s="14" t="s">
        <v>10674</v>
      </c>
      <c r="B5516" s="26" t="s">
        <v>10675</v>
      </c>
      <c r="C5516" s="52"/>
      <c r="D5516" s="55">
        <f t="shared" si="86"/>
        <v>0</v>
      </c>
      <c r="E5516" s="63" t="str">
        <f>HYPERLINK("https://www.sds-group.ru/product/flyus-dlya-payki-f-61a-payka-alyuminiya-30ml-flakon-rexant-09-3615/", "Инфо")</f>
        <v>Инфо</v>
      </c>
      <c r="F5516" s="16" t="s">
        <v>39</v>
      </c>
      <c r="G5516" s="15"/>
      <c r="H5516" s="15"/>
      <c r="I5516" s="15"/>
      <c r="J5516" s="22">
        <v>1047</v>
      </c>
      <c r="K5516" s="15"/>
      <c r="L5516" s="17">
        <v>10</v>
      </c>
      <c r="M5516" s="17">
        <v>300</v>
      </c>
      <c r="N5516" s="17">
        <v>10</v>
      </c>
      <c r="O5516" s="18">
        <v>141.02000000000001</v>
      </c>
      <c r="P5516" s="18">
        <v>115.59</v>
      </c>
      <c r="Q5516" s="18">
        <v>119.87</v>
      </c>
      <c r="R5516" s="18">
        <v>98.25</v>
      </c>
      <c r="S5516" s="18">
        <v>95.89</v>
      </c>
      <c r="T5516" s="18">
        <v>78.599999999999994</v>
      </c>
      <c r="U5516" s="16"/>
      <c r="V5516" s="16"/>
      <c r="W5516" s="16" t="s">
        <v>40</v>
      </c>
      <c r="X5516" s="19">
        <v>4.1000000000000002E-2</v>
      </c>
      <c r="Y5516" s="20">
        <v>6.9999999999999994E-5</v>
      </c>
      <c r="Z5516" s="21">
        <v>4601004013315</v>
      </c>
    </row>
    <row r="5517" spans="1:26" ht="12" customHeight="1" outlineLevel="4" x14ac:dyDescent="0.2">
      <c r="A5517" s="14" t="s">
        <v>10676</v>
      </c>
      <c r="B5517" s="26" t="s">
        <v>10677</v>
      </c>
      <c r="C5517" s="52"/>
      <c r="D5517" s="55">
        <f t="shared" si="86"/>
        <v>0</v>
      </c>
      <c r="E5517" s="63" t="str">
        <f>HYPERLINK("https://www.sds-group.ru/product/flyus-dlya-payki-fim-30ml-flakon-rexant-09-3620/", "Инфо")</f>
        <v>Инфо</v>
      </c>
      <c r="F5517" s="16" t="s">
        <v>39</v>
      </c>
      <c r="G5517" s="15"/>
      <c r="H5517" s="15"/>
      <c r="I5517" s="15"/>
      <c r="J5517" s="17">
        <v>373</v>
      </c>
      <c r="K5517" s="15"/>
      <c r="L5517" s="17">
        <v>10</v>
      </c>
      <c r="M5517" s="17">
        <v>300</v>
      </c>
      <c r="N5517" s="17">
        <v>10</v>
      </c>
      <c r="O5517" s="18">
        <v>132.19999999999999</v>
      </c>
      <c r="P5517" s="18">
        <v>108.36</v>
      </c>
      <c r="Q5517" s="18">
        <v>112.37</v>
      </c>
      <c r="R5517" s="18">
        <v>92.11</v>
      </c>
      <c r="S5517" s="18">
        <v>89.9</v>
      </c>
      <c r="T5517" s="18">
        <v>73.69</v>
      </c>
      <c r="U5517" s="16"/>
      <c r="V5517" s="16"/>
      <c r="W5517" s="16" t="s">
        <v>40</v>
      </c>
      <c r="X5517" s="19">
        <v>3.5999999999999997E-2</v>
      </c>
      <c r="Y5517" s="20">
        <v>4.5000000000000003E-5</v>
      </c>
      <c r="Z5517" s="21">
        <v>4601004013322</v>
      </c>
    </row>
    <row r="5518" spans="1:26" ht="12" customHeight="1" outlineLevel="4" x14ac:dyDescent="0.2">
      <c r="A5518" s="14" t="s">
        <v>10678</v>
      </c>
      <c r="B5518" s="26" t="s">
        <v>10679</v>
      </c>
      <c r="C5518" s="52"/>
      <c r="D5518" s="55">
        <f t="shared" si="86"/>
        <v>0</v>
      </c>
      <c r="E5518" s="63" t="str">
        <f>HYPERLINK("https://www.sds-group.ru/product/flyus-gel-dlya-payki-indikatornyy-20ml-banka-rexant-09-3692/", "Инфо")</f>
        <v>Инфо</v>
      </c>
      <c r="F5518" s="16" t="s">
        <v>39</v>
      </c>
      <c r="G5518" s="15"/>
      <c r="H5518" s="15"/>
      <c r="I5518" s="15"/>
      <c r="J5518" s="22">
        <v>11595</v>
      </c>
      <c r="K5518" s="15"/>
      <c r="L5518" s="17">
        <v>10</v>
      </c>
      <c r="M5518" s="17">
        <v>420</v>
      </c>
      <c r="N5518" s="17">
        <v>10</v>
      </c>
      <c r="O5518" s="18">
        <v>250.57</v>
      </c>
      <c r="P5518" s="18">
        <v>205.39</v>
      </c>
      <c r="Q5518" s="18">
        <v>212.98</v>
      </c>
      <c r="R5518" s="18">
        <v>174.57</v>
      </c>
      <c r="S5518" s="18">
        <v>170.39</v>
      </c>
      <c r="T5518" s="18">
        <v>139.66</v>
      </c>
      <c r="U5518" s="16"/>
      <c r="V5518" s="16"/>
      <c r="W5518" s="16" t="s">
        <v>40</v>
      </c>
      <c r="X5518" s="19">
        <v>2.3E-2</v>
      </c>
      <c r="Y5518" s="20">
        <v>7.1000000000000005E-5</v>
      </c>
      <c r="Z5518" s="21">
        <v>4601004131705</v>
      </c>
    </row>
    <row r="5519" spans="1:26" ht="12.95" customHeight="1" outlineLevel="3" x14ac:dyDescent="0.2">
      <c r="A5519" s="76" t="s">
        <v>10680</v>
      </c>
      <c r="B5519" s="76"/>
      <c r="C5519" s="77"/>
      <c r="D5519" s="58"/>
      <c r="E5519" s="68"/>
      <c r="F5519" s="13"/>
      <c r="G5519" s="13"/>
      <c r="H5519" s="13"/>
      <c r="I5519" s="13"/>
      <c r="J5519" s="13"/>
      <c r="K5519" s="13"/>
      <c r="L5519" s="13"/>
      <c r="M5519" s="13"/>
      <c r="N5519" s="13"/>
      <c r="O5519" s="13"/>
      <c r="P5519" s="13"/>
      <c r="Q5519" s="13"/>
      <c r="R5519" s="13"/>
      <c r="S5519" s="13"/>
      <c r="T5519" s="13"/>
      <c r="U5519" s="13"/>
      <c r="V5519" s="13"/>
      <c r="W5519" s="13"/>
      <c r="X5519" s="13"/>
      <c r="Y5519" s="13"/>
      <c r="Z5519" s="13"/>
    </row>
    <row r="5520" spans="1:26" ht="12" customHeight="1" outlineLevel="4" x14ac:dyDescent="0.2">
      <c r="A5520" s="14" t="s">
        <v>10681</v>
      </c>
      <c r="B5520" s="26" t="s">
        <v>10682</v>
      </c>
      <c r="C5520" s="52"/>
      <c r="D5520" s="55">
        <f t="shared" si="86"/>
        <v>0</v>
      </c>
      <c r="E5520" s="63" t="str">
        <f>HYPERLINK("https://www.sds-group.ru/product/kanifol-sosnovaya-flyus-neytralnyy-marka-a-20g-blister-rexant-09-3710-1/", "Инфо")</f>
        <v>Инфо</v>
      </c>
      <c r="F5520" s="16" t="s">
        <v>39</v>
      </c>
      <c r="G5520" s="15"/>
      <c r="H5520" s="15"/>
      <c r="I5520" s="15"/>
      <c r="J5520" s="17">
        <v>317</v>
      </c>
      <c r="K5520" s="15"/>
      <c r="L5520" s="17">
        <v>10</v>
      </c>
      <c r="M5520" s="17">
        <v>10</v>
      </c>
      <c r="N5520" s="17">
        <v>10</v>
      </c>
      <c r="O5520" s="18">
        <v>132.6</v>
      </c>
      <c r="P5520" s="18">
        <v>108.69</v>
      </c>
      <c r="Q5520" s="18">
        <v>92.82</v>
      </c>
      <c r="R5520" s="18">
        <v>76.08</v>
      </c>
      <c r="S5520" s="18">
        <v>90.17</v>
      </c>
      <c r="T5520" s="18">
        <v>73.91</v>
      </c>
      <c r="U5520" s="16"/>
      <c r="V5520" s="16"/>
      <c r="W5520" s="16"/>
      <c r="X5520" s="19">
        <v>3.5000000000000003E-2</v>
      </c>
      <c r="Y5520" s="20">
        <v>2.3000000000000001E-4</v>
      </c>
      <c r="Z5520" s="21">
        <v>4601004128323</v>
      </c>
    </row>
    <row r="5521" spans="1:26" ht="12" customHeight="1" outlineLevel="4" x14ac:dyDescent="0.2">
      <c r="A5521" s="14" t="s">
        <v>10683</v>
      </c>
      <c r="B5521" s="26" t="s">
        <v>10684</v>
      </c>
      <c r="C5521" s="52"/>
      <c r="D5521" s="55">
        <f t="shared" si="86"/>
        <v>0</v>
      </c>
      <c r="E5521" s="63" t="str">
        <f>HYPERLINK("https://www.sds-group.ru/product/flyus-dlya-payki-bura-20g-banka-blister-rexant-09-3655-1/", "Инфо")</f>
        <v>Инфо</v>
      </c>
      <c r="F5521" s="16" t="s">
        <v>39</v>
      </c>
      <c r="G5521" s="15"/>
      <c r="H5521" s="15"/>
      <c r="I5521" s="15"/>
      <c r="J5521" s="16" t="s">
        <v>100</v>
      </c>
      <c r="K5521" s="15"/>
      <c r="L5521" s="17">
        <v>10</v>
      </c>
      <c r="M5521" s="17">
        <v>10</v>
      </c>
      <c r="N5521" s="17">
        <v>10</v>
      </c>
      <c r="O5521" s="18">
        <v>139.06</v>
      </c>
      <c r="P5521" s="18">
        <v>113.98</v>
      </c>
      <c r="Q5521" s="18">
        <v>134.88999999999999</v>
      </c>
      <c r="R5521" s="18">
        <v>110.57</v>
      </c>
      <c r="S5521" s="18">
        <v>94.56</v>
      </c>
      <c r="T5521" s="18">
        <v>77.510000000000005</v>
      </c>
      <c r="U5521" s="16"/>
      <c r="V5521" s="16"/>
      <c r="W5521" s="16" t="s">
        <v>40</v>
      </c>
      <c r="X5521" s="19">
        <v>0.04</v>
      </c>
      <c r="Y5521" s="20">
        <v>2.3800000000000001E-4</v>
      </c>
      <c r="Z5521" s="21">
        <v>4601004170131</v>
      </c>
    </row>
    <row r="5522" spans="1:26" ht="12" customHeight="1" outlineLevel="4" x14ac:dyDescent="0.2">
      <c r="A5522" s="14" t="s">
        <v>10685</v>
      </c>
      <c r="B5522" s="26" t="s">
        <v>10686</v>
      </c>
      <c r="C5522" s="52"/>
      <c r="D5522" s="55">
        <f t="shared" si="86"/>
        <v>0</v>
      </c>
      <c r="E5522" s="63" t="str">
        <f>HYPERLINK("https://www.sds-group.ru/product/flyus-dlya-payki-kislota-ortofosfornaya-30ml-paket-rexant-09-3635-1/", "Инфо")</f>
        <v>Инфо</v>
      </c>
      <c r="F5522" s="16" t="s">
        <v>39</v>
      </c>
      <c r="G5522" s="15"/>
      <c r="H5522" s="15"/>
      <c r="I5522" s="15"/>
      <c r="J5522" s="17">
        <v>14</v>
      </c>
      <c r="K5522" s="15" t="s">
        <v>1094</v>
      </c>
      <c r="L5522" s="17">
        <v>10</v>
      </c>
      <c r="M5522" s="17">
        <v>10</v>
      </c>
      <c r="N5522" s="17">
        <v>10</v>
      </c>
      <c r="O5522" s="18">
        <v>173.56</v>
      </c>
      <c r="P5522" s="18">
        <v>142.26</v>
      </c>
      <c r="Q5522" s="18">
        <v>159.68</v>
      </c>
      <c r="R5522" s="18">
        <v>130.88999999999999</v>
      </c>
      <c r="S5522" s="18">
        <v>118.02</v>
      </c>
      <c r="T5522" s="18">
        <v>96.74</v>
      </c>
      <c r="U5522" s="16"/>
      <c r="V5522" s="16"/>
      <c r="W5522" s="16" t="s">
        <v>40</v>
      </c>
      <c r="X5522" s="19">
        <v>6.7000000000000004E-2</v>
      </c>
      <c r="Y5522" s="20">
        <v>3.4400000000000001E-4</v>
      </c>
      <c r="Z5522" s="21">
        <v>4601004130845</v>
      </c>
    </row>
    <row r="5523" spans="1:26" ht="12" customHeight="1" outlineLevel="4" x14ac:dyDescent="0.2">
      <c r="A5523" s="14" t="s">
        <v>10687</v>
      </c>
      <c r="B5523" s="26" t="s">
        <v>10688</v>
      </c>
      <c r="C5523" s="52"/>
      <c r="D5523" s="55">
        <f t="shared" si="86"/>
        <v>0</v>
      </c>
      <c r="E5523" s="63" t="str">
        <f>HYPERLINK("https://www.sds-group.ru/product/flyus-dlya-payki-lti-120-30ml-blister-rexant-09-3625-1/", "Инфо")</f>
        <v>Инфо</v>
      </c>
      <c r="F5523" s="16" t="s">
        <v>39</v>
      </c>
      <c r="G5523" s="15"/>
      <c r="H5523" s="15"/>
      <c r="I5523" s="15"/>
      <c r="J5523" s="16" t="s">
        <v>100</v>
      </c>
      <c r="K5523" s="15"/>
      <c r="L5523" s="17">
        <v>10</v>
      </c>
      <c r="M5523" s="17">
        <v>10</v>
      </c>
      <c r="N5523" s="17">
        <v>10</v>
      </c>
      <c r="O5523" s="18">
        <v>161.69999999999999</v>
      </c>
      <c r="P5523" s="18">
        <v>132.54</v>
      </c>
      <c r="Q5523" s="18">
        <v>158.47</v>
      </c>
      <c r="R5523" s="18">
        <v>129.88999999999999</v>
      </c>
      <c r="S5523" s="18">
        <v>109.96</v>
      </c>
      <c r="T5523" s="18">
        <v>90.13</v>
      </c>
      <c r="U5523" s="16"/>
      <c r="V5523" s="16"/>
      <c r="W5523" s="16" t="s">
        <v>40</v>
      </c>
      <c r="X5523" s="19">
        <v>4.7E-2</v>
      </c>
      <c r="Y5523" s="20">
        <v>3.4699999999999998E-4</v>
      </c>
      <c r="Z5523" s="21">
        <v>4601004130838</v>
      </c>
    </row>
    <row r="5524" spans="1:26" ht="12" customHeight="1" outlineLevel="4" x14ac:dyDescent="0.2">
      <c r="A5524" s="14" t="s">
        <v>10689</v>
      </c>
      <c r="B5524" s="26" t="s">
        <v>10690</v>
      </c>
      <c r="C5524" s="52"/>
      <c r="D5524" s="55">
        <f t="shared" si="86"/>
        <v>0</v>
      </c>
      <c r="E5524" s="63" t="str">
        <f>HYPERLINK("https://www.sds-group.ru/product/flyus-dlya-payki-lti-120-30ml-s-kistochkoy-flakon-blister-rexant-09-3626-1/", "Инфо")</f>
        <v>Инфо</v>
      </c>
      <c r="F5524" s="16" t="s">
        <v>39</v>
      </c>
      <c r="G5524" s="15"/>
      <c r="H5524" s="15"/>
      <c r="I5524" s="15"/>
      <c r="J5524" s="22">
        <v>3403</v>
      </c>
      <c r="K5524" s="15"/>
      <c r="L5524" s="17">
        <v>10</v>
      </c>
      <c r="M5524" s="17">
        <v>120</v>
      </c>
      <c r="N5524" s="17">
        <v>10</v>
      </c>
      <c r="O5524" s="18">
        <v>195.17</v>
      </c>
      <c r="P5524" s="18">
        <v>159.97999999999999</v>
      </c>
      <c r="Q5524" s="18">
        <v>136.62</v>
      </c>
      <c r="R5524" s="18">
        <v>111.98</v>
      </c>
      <c r="S5524" s="18">
        <v>132.72</v>
      </c>
      <c r="T5524" s="18">
        <v>108.79</v>
      </c>
      <c r="U5524" s="16"/>
      <c r="V5524" s="16"/>
      <c r="W5524" s="16"/>
      <c r="X5524" s="19">
        <v>3.5000000000000003E-2</v>
      </c>
      <c r="Y5524" s="20">
        <v>1.16E-4</v>
      </c>
      <c r="Z5524" s="21">
        <v>4601004148949</v>
      </c>
    </row>
    <row r="5525" spans="1:26" ht="12" customHeight="1" outlineLevel="4" x14ac:dyDescent="0.2">
      <c r="A5525" s="14" t="s">
        <v>10691</v>
      </c>
      <c r="B5525" s="26" t="s">
        <v>10692</v>
      </c>
      <c r="C5525" s="52"/>
      <c r="D5525" s="55">
        <f t="shared" si="86"/>
        <v>0</v>
      </c>
      <c r="E5525" s="63" t="str">
        <f>HYPERLINK("https://www.sds-group.ru/product/flyus-dlya-payki-pasta-s-aktivatorami-20ml-banka-blister-rexant-09-3691-1/", "Инфо")</f>
        <v>Инфо</v>
      </c>
      <c r="F5525" s="16" t="s">
        <v>39</v>
      </c>
      <c r="G5525" s="15"/>
      <c r="H5525" s="15"/>
      <c r="I5525" s="15"/>
      <c r="J5525" s="16" t="s">
        <v>100</v>
      </c>
      <c r="K5525" s="15"/>
      <c r="L5525" s="17">
        <v>5</v>
      </c>
      <c r="M5525" s="17">
        <v>10</v>
      </c>
      <c r="N5525" s="17">
        <v>5</v>
      </c>
      <c r="O5525" s="18">
        <v>322.32</v>
      </c>
      <c r="P5525" s="18">
        <v>264.2</v>
      </c>
      <c r="Q5525" s="18">
        <v>299.76</v>
      </c>
      <c r="R5525" s="18">
        <v>245.7</v>
      </c>
      <c r="S5525" s="18">
        <v>219.18</v>
      </c>
      <c r="T5525" s="18">
        <v>179.66</v>
      </c>
      <c r="U5525" s="16"/>
      <c r="V5525" s="16"/>
      <c r="W5525" s="16" t="s">
        <v>40</v>
      </c>
      <c r="X5525" s="19">
        <v>3.3000000000000002E-2</v>
      </c>
      <c r="Y5525" s="20">
        <v>2.42E-4</v>
      </c>
      <c r="Z5525" s="21">
        <v>4601004170186</v>
      </c>
    </row>
    <row r="5526" spans="1:26" ht="12" customHeight="1" outlineLevel="4" x14ac:dyDescent="0.2">
      <c r="A5526" s="14" t="s">
        <v>10693</v>
      </c>
      <c r="B5526" s="26" t="s">
        <v>10694</v>
      </c>
      <c r="C5526" s="52"/>
      <c r="D5526" s="55">
        <f t="shared" si="86"/>
        <v>0</v>
      </c>
      <c r="E5526" s="63" t="str">
        <f>HYPERLINK("https://www.sds-group.ru/product/flyus-dlya-payki-payalnaya-kislota-30ml-blister-rexant-09-3610-1/", "Инфо")</f>
        <v>Инфо</v>
      </c>
      <c r="F5526" s="16" t="s">
        <v>39</v>
      </c>
      <c r="G5526" s="15"/>
      <c r="H5526" s="15"/>
      <c r="I5526" s="15"/>
      <c r="J5526" s="17">
        <v>253</v>
      </c>
      <c r="K5526" s="15"/>
      <c r="L5526" s="17">
        <v>10</v>
      </c>
      <c r="M5526" s="17">
        <v>10</v>
      </c>
      <c r="N5526" s="17">
        <v>10</v>
      </c>
      <c r="O5526" s="18">
        <v>139.06</v>
      </c>
      <c r="P5526" s="18">
        <v>113.98</v>
      </c>
      <c r="Q5526" s="18">
        <v>137.66999999999999</v>
      </c>
      <c r="R5526" s="18">
        <v>112.84</v>
      </c>
      <c r="S5526" s="18">
        <v>94.56</v>
      </c>
      <c r="T5526" s="18">
        <v>77.510000000000005</v>
      </c>
      <c r="U5526" s="16"/>
      <c r="V5526" s="16"/>
      <c r="W5526" s="16" t="s">
        <v>40</v>
      </c>
      <c r="X5526" s="19">
        <v>6.0999999999999999E-2</v>
      </c>
      <c r="Y5526" s="20">
        <v>3.5399999999999999E-4</v>
      </c>
      <c r="Z5526" s="21">
        <v>4601004130869</v>
      </c>
    </row>
    <row r="5527" spans="1:26" ht="12" customHeight="1" outlineLevel="4" x14ac:dyDescent="0.2">
      <c r="A5527" s="14" t="s">
        <v>10695</v>
      </c>
      <c r="B5527" s="26" t="s">
        <v>10696</v>
      </c>
      <c r="C5527" s="52"/>
      <c r="D5527" s="55">
        <f t="shared" si="86"/>
        <v>0</v>
      </c>
      <c r="E5527" s="63" t="str">
        <f>HYPERLINK("https://www.sds-group.ru/product/flyus-dlya-payki-payalnaya-kislota-30ml-s-kistochkoy-flakon-blister-rexant-09-3613-1/", "Инфо")</f>
        <v>Инфо</v>
      </c>
      <c r="F5527" s="16" t="s">
        <v>39</v>
      </c>
      <c r="G5527" s="15"/>
      <c r="H5527" s="15"/>
      <c r="I5527" s="15"/>
      <c r="J5527" s="22">
        <v>4937</v>
      </c>
      <c r="K5527" s="15"/>
      <c r="L5527" s="17">
        <v>10</v>
      </c>
      <c r="M5527" s="17">
        <v>10</v>
      </c>
      <c r="N5527" s="17">
        <v>10</v>
      </c>
      <c r="O5527" s="18">
        <v>167.1</v>
      </c>
      <c r="P5527" s="18">
        <v>136.97</v>
      </c>
      <c r="Q5527" s="18">
        <v>116.97</v>
      </c>
      <c r="R5527" s="18">
        <v>95.88</v>
      </c>
      <c r="S5527" s="18">
        <v>113.63</v>
      </c>
      <c r="T5527" s="18">
        <v>93.14</v>
      </c>
      <c r="U5527" s="16"/>
      <c r="V5527" s="16"/>
      <c r="W5527" s="16"/>
      <c r="X5527" s="19">
        <v>0.06</v>
      </c>
      <c r="Y5527" s="20">
        <v>3.5300000000000002E-4</v>
      </c>
      <c r="Z5527" s="21">
        <v>4601004148994</v>
      </c>
    </row>
    <row r="5528" spans="1:26" ht="12" customHeight="1" outlineLevel="4" x14ac:dyDescent="0.2">
      <c r="A5528" s="14" t="s">
        <v>10697</v>
      </c>
      <c r="B5528" s="26" t="s">
        <v>10698</v>
      </c>
      <c r="C5528" s="52"/>
      <c r="D5528" s="55">
        <f t="shared" si="86"/>
        <v>0</v>
      </c>
      <c r="E5528" s="63" t="str">
        <f>HYPERLINK("https://www.sds-group.ru/product/flyus-dlya-payki-payalnyy-zhir-neytralnyy-20ml-banka-blister-rexant-09-3665-1/", "Инфо")</f>
        <v>Инфо</v>
      </c>
      <c r="F5528" s="16" t="s">
        <v>39</v>
      </c>
      <c r="G5528" s="15"/>
      <c r="H5528" s="15"/>
      <c r="I5528" s="15"/>
      <c r="J5528" s="16" t="s">
        <v>100</v>
      </c>
      <c r="K5528" s="15"/>
      <c r="L5528" s="17">
        <v>10</v>
      </c>
      <c r="M5528" s="17">
        <v>10</v>
      </c>
      <c r="N5528" s="17">
        <v>10</v>
      </c>
      <c r="O5528" s="18">
        <v>149.84</v>
      </c>
      <c r="P5528" s="18">
        <v>122.82</v>
      </c>
      <c r="Q5528" s="18">
        <v>139.35</v>
      </c>
      <c r="R5528" s="18">
        <v>114.22</v>
      </c>
      <c r="S5528" s="18">
        <v>101.89</v>
      </c>
      <c r="T5528" s="18">
        <v>83.52</v>
      </c>
      <c r="U5528" s="16"/>
      <c r="V5528" s="16"/>
      <c r="W5528" s="16" t="s">
        <v>40</v>
      </c>
      <c r="X5528" s="19">
        <v>3.5000000000000003E-2</v>
      </c>
      <c r="Y5528" s="20">
        <v>2.33E-4</v>
      </c>
      <c r="Z5528" s="21">
        <v>4601004170155</v>
      </c>
    </row>
    <row r="5529" spans="1:26" ht="12" customHeight="1" outlineLevel="4" x14ac:dyDescent="0.2">
      <c r="A5529" s="14" t="s">
        <v>10699</v>
      </c>
      <c r="B5529" s="26" t="s">
        <v>10700</v>
      </c>
      <c r="C5529" s="52"/>
      <c r="D5529" s="55">
        <f t="shared" si="86"/>
        <v>0</v>
      </c>
      <c r="E5529" s="63" t="str">
        <f>HYPERLINK("https://www.sds-group.ru/product/flyus-dlya-payki-skf-spirto-kanifolnyy-30ml-blister-rexant-09-3640-1/", "Инфо")</f>
        <v>Инфо</v>
      </c>
      <c r="F5529" s="16" t="s">
        <v>39</v>
      </c>
      <c r="G5529" s="15"/>
      <c r="H5529" s="15"/>
      <c r="I5529" s="15"/>
      <c r="J5529" s="16" t="s">
        <v>100</v>
      </c>
      <c r="K5529" s="15"/>
      <c r="L5529" s="17">
        <v>10</v>
      </c>
      <c r="M5529" s="17">
        <v>10</v>
      </c>
      <c r="N5529" s="17">
        <v>10</v>
      </c>
      <c r="O5529" s="18">
        <v>158.47</v>
      </c>
      <c r="P5529" s="18">
        <v>129.88999999999999</v>
      </c>
      <c r="Q5529" s="18">
        <v>150.55000000000001</v>
      </c>
      <c r="R5529" s="18">
        <v>123.4</v>
      </c>
      <c r="S5529" s="18">
        <v>107.76</v>
      </c>
      <c r="T5529" s="18">
        <v>88.33</v>
      </c>
      <c r="U5529" s="16"/>
      <c r="V5529" s="16"/>
      <c r="W5529" s="16" t="s">
        <v>40</v>
      </c>
      <c r="X5529" s="19">
        <v>4.5999999999999999E-2</v>
      </c>
      <c r="Y5529" s="20">
        <v>3.5100000000000002E-4</v>
      </c>
      <c r="Z5529" s="21">
        <v>4601004130852</v>
      </c>
    </row>
    <row r="5530" spans="1:26" ht="12" customHeight="1" outlineLevel="4" x14ac:dyDescent="0.2">
      <c r="A5530" s="14" t="s">
        <v>10701</v>
      </c>
      <c r="B5530" s="26" t="s">
        <v>10702</v>
      </c>
      <c r="C5530" s="52"/>
      <c r="D5530" s="55">
        <f t="shared" si="86"/>
        <v>0</v>
      </c>
      <c r="E5530" s="63" t="str">
        <f>HYPERLINK("https://www.sds-group.ru/product/flyus-dlya-payki-skf-spirto-kanifolnyy-30ml-s-kistochkoy-flakon-blister-rexant-09-3641-1/", "Инфо")</f>
        <v>Инфо</v>
      </c>
      <c r="F5530" s="16" t="s">
        <v>39</v>
      </c>
      <c r="G5530" s="15"/>
      <c r="H5530" s="15"/>
      <c r="I5530" s="15"/>
      <c r="J5530" s="17">
        <v>882</v>
      </c>
      <c r="K5530" s="15"/>
      <c r="L5530" s="17">
        <v>10</v>
      </c>
      <c r="M5530" s="17">
        <v>10</v>
      </c>
      <c r="N5530" s="17">
        <v>10</v>
      </c>
      <c r="O5530" s="18">
        <v>188.66</v>
      </c>
      <c r="P5530" s="18">
        <v>154.63999999999999</v>
      </c>
      <c r="Q5530" s="18">
        <v>132.06</v>
      </c>
      <c r="R5530" s="18">
        <v>108.25</v>
      </c>
      <c r="S5530" s="18">
        <v>128.29</v>
      </c>
      <c r="T5530" s="18">
        <v>105.16</v>
      </c>
      <c r="U5530" s="16"/>
      <c r="V5530" s="16"/>
      <c r="W5530" s="16"/>
      <c r="X5530" s="19">
        <v>4.4999999999999998E-2</v>
      </c>
      <c r="Y5530" s="20">
        <v>3.4200000000000002E-4</v>
      </c>
      <c r="Z5530" s="21">
        <v>4601004148987</v>
      </c>
    </row>
    <row r="5531" spans="1:26" ht="12" customHeight="1" outlineLevel="4" x14ac:dyDescent="0.2">
      <c r="A5531" s="14" t="s">
        <v>10703</v>
      </c>
      <c r="B5531" s="26" t="s">
        <v>10704</v>
      </c>
      <c r="C5531" s="52"/>
      <c r="D5531" s="55">
        <f t="shared" si="86"/>
        <v>0</v>
      </c>
      <c r="E5531" s="63" t="str">
        <f>HYPERLINK("https://www.sds-group.ru/product/flyus-dlya-payki-f-61a-payka-alyuminiya-30ml-flakon-blister-rexant-09-3615-1/", "Инфо")</f>
        <v>Инфо</v>
      </c>
      <c r="F5531" s="16" t="s">
        <v>39</v>
      </c>
      <c r="G5531" s="15"/>
      <c r="H5531" s="15"/>
      <c r="I5531" s="15"/>
      <c r="J5531" s="16" t="s">
        <v>100</v>
      </c>
      <c r="K5531" s="15" t="s">
        <v>1094</v>
      </c>
      <c r="L5531" s="17">
        <v>10</v>
      </c>
      <c r="M5531" s="17">
        <v>10</v>
      </c>
      <c r="N5531" s="17">
        <v>10</v>
      </c>
      <c r="O5531" s="18">
        <v>208.06</v>
      </c>
      <c r="P5531" s="18">
        <v>170.54</v>
      </c>
      <c r="Q5531" s="18">
        <v>189.33</v>
      </c>
      <c r="R5531" s="18">
        <v>155.19</v>
      </c>
      <c r="S5531" s="18">
        <v>141.47999999999999</v>
      </c>
      <c r="T5531" s="18">
        <v>115.97</v>
      </c>
      <c r="U5531" s="16"/>
      <c r="V5531" s="16"/>
      <c r="W5531" s="16" t="s">
        <v>40</v>
      </c>
      <c r="X5531" s="19">
        <v>5.6000000000000001E-2</v>
      </c>
      <c r="Y5531" s="20">
        <v>3.5300000000000002E-4</v>
      </c>
      <c r="Z5531" s="21">
        <v>4601004170209</v>
      </c>
    </row>
    <row r="5532" spans="1:26" ht="12" customHeight="1" outlineLevel="4" x14ac:dyDescent="0.2">
      <c r="A5532" s="14" t="s">
        <v>10705</v>
      </c>
      <c r="B5532" s="26" t="s">
        <v>10706</v>
      </c>
      <c r="C5532" s="52"/>
      <c r="D5532" s="55">
        <f t="shared" si="86"/>
        <v>0</v>
      </c>
      <c r="E5532" s="63" t="str">
        <f>HYPERLINK("https://www.sds-group.ru/product/flyus-gel-dlya-payki-bga-komponentov-i-smd-chipov-12ml-tehno-shprits-blister-rexant-09-3684/", "Инфо")</f>
        <v>Инфо</v>
      </c>
      <c r="F5532" s="16" t="s">
        <v>39</v>
      </c>
      <c r="G5532" s="15"/>
      <c r="H5532" s="15"/>
      <c r="I5532" s="15"/>
      <c r="J5532" s="17">
        <v>1</v>
      </c>
      <c r="K5532" s="15" t="s">
        <v>1888</v>
      </c>
      <c r="L5532" s="17">
        <v>1</v>
      </c>
      <c r="M5532" s="17">
        <v>100</v>
      </c>
      <c r="N5532" s="17">
        <v>1</v>
      </c>
      <c r="O5532" s="18">
        <v>861.33</v>
      </c>
      <c r="P5532" s="18">
        <v>706.01</v>
      </c>
      <c r="Q5532" s="18">
        <v>689.06</v>
      </c>
      <c r="R5532" s="18">
        <v>564.79999999999995</v>
      </c>
      <c r="S5532" s="18">
        <v>585.70000000000005</v>
      </c>
      <c r="T5532" s="18">
        <v>480.08</v>
      </c>
      <c r="U5532" s="16"/>
      <c r="V5532" s="16"/>
      <c r="W5532" s="16" t="s">
        <v>40</v>
      </c>
      <c r="X5532" s="19">
        <v>4.3999999999999997E-2</v>
      </c>
      <c r="Y5532" s="20">
        <v>4.3899999999999999E-4</v>
      </c>
      <c r="Z5532" s="21">
        <v>4601004101821</v>
      </c>
    </row>
    <row r="5533" spans="1:26" ht="12" customHeight="1" outlineLevel="4" x14ac:dyDescent="0.2">
      <c r="A5533" s="14" t="s">
        <v>10707</v>
      </c>
      <c r="B5533" s="26" t="s">
        <v>10708</v>
      </c>
      <c r="C5533" s="52"/>
      <c r="D5533" s="55">
        <f t="shared" si="86"/>
        <v>0</v>
      </c>
      <c r="E5533" s="63" t="str">
        <f>HYPERLINK("https://www.sds-group.ru/product/flyus-gel-dlya-payki-aktivnyy-12ml-tehno-shprits-blister-rexant-09-3680/", "Инфо")</f>
        <v>Инфо</v>
      </c>
      <c r="F5533" s="16" t="s">
        <v>39</v>
      </c>
      <c r="G5533" s="15"/>
      <c r="H5533" s="15"/>
      <c r="I5533" s="15"/>
      <c r="J5533" s="16" t="s">
        <v>100</v>
      </c>
      <c r="K5533" s="15" t="s">
        <v>1888</v>
      </c>
      <c r="L5533" s="17">
        <v>1</v>
      </c>
      <c r="M5533" s="17">
        <v>100</v>
      </c>
      <c r="N5533" s="17">
        <v>1</v>
      </c>
      <c r="O5533" s="18">
        <v>955.39</v>
      </c>
      <c r="P5533" s="18">
        <v>783.11</v>
      </c>
      <c r="Q5533" s="18">
        <v>764.31</v>
      </c>
      <c r="R5533" s="18">
        <v>626.48</v>
      </c>
      <c r="S5533" s="18">
        <v>649.66999999999996</v>
      </c>
      <c r="T5533" s="18">
        <v>532.52</v>
      </c>
      <c r="U5533" s="16"/>
      <c r="V5533" s="16"/>
      <c r="W5533" s="16" t="s">
        <v>40</v>
      </c>
      <c r="X5533" s="19">
        <v>3.3000000000000002E-2</v>
      </c>
      <c r="Y5533" s="20">
        <v>4.2700000000000002E-4</v>
      </c>
      <c r="Z5533" s="21">
        <v>4601004101869</v>
      </c>
    </row>
    <row r="5534" spans="1:26" ht="12" customHeight="1" outlineLevel="4" x14ac:dyDescent="0.2">
      <c r="A5534" s="14" t="s">
        <v>10709</v>
      </c>
      <c r="B5534" s="26" t="s">
        <v>10710</v>
      </c>
      <c r="C5534" s="52"/>
      <c r="D5534" s="55">
        <f t="shared" si="86"/>
        <v>0</v>
      </c>
      <c r="E5534" s="63" t="str">
        <f>HYPERLINK("https://www.sds-group.ru/product/flyus-gel-dlya-payki-indikatornyy-20ml-banka-blister-rexant-09-3692-1/", "Инфо")</f>
        <v>Инфо</v>
      </c>
      <c r="F5534" s="16" t="s">
        <v>39</v>
      </c>
      <c r="G5534" s="15"/>
      <c r="H5534" s="15"/>
      <c r="I5534" s="15"/>
      <c r="J5534" s="17">
        <v>432</v>
      </c>
      <c r="K5534" s="15"/>
      <c r="L5534" s="17">
        <v>5</v>
      </c>
      <c r="M5534" s="17">
        <v>10</v>
      </c>
      <c r="N5534" s="17">
        <v>5</v>
      </c>
      <c r="O5534" s="18">
        <v>314.77999999999997</v>
      </c>
      <c r="P5534" s="18">
        <v>258.02</v>
      </c>
      <c r="Q5534" s="18">
        <v>292.75</v>
      </c>
      <c r="R5534" s="18">
        <v>239.96</v>
      </c>
      <c r="S5534" s="18">
        <v>214.05</v>
      </c>
      <c r="T5534" s="18">
        <v>175.45</v>
      </c>
      <c r="U5534" s="16"/>
      <c r="V5534" s="16"/>
      <c r="W5534" s="16" t="s">
        <v>40</v>
      </c>
      <c r="X5534" s="19">
        <v>3.3000000000000002E-2</v>
      </c>
      <c r="Y5534" s="20">
        <v>2.4899999999999998E-4</v>
      </c>
      <c r="Z5534" s="21">
        <v>4601004170193</v>
      </c>
    </row>
    <row r="5535" spans="1:26" ht="12" customHeight="1" outlineLevel="4" x14ac:dyDescent="0.2">
      <c r="A5535" s="14" t="s">
        <v>10711</v>
      </c>
      <c r="B5535" s="26" t="s">
        <v>10712</v>
      </c>
      <c r="C5535" s="52"/>
      <c r="D5535" s="55">
        <f t="shared" si="86"/>
        <v>0</v>
      </c>
      <c r="E5535" s="63" t="str">
        <f>HYPERLINK("https://www.sds-group.ru/product/flyus-gel-dlya-payki-kanifol-gel-aktiv-12ml-tehno-shprits-blister-rexant-09-3686/", "Инфо")</f>
        <v>Инфо</v>
      </c>
      <c r="F5535" s="16" t="s">
        <v>39</v>
      </c>
      <c r="G5535" s="15"/>
      <c r="H5535" s="15"/>
      <c r="I5535" s="15"/>
      <c r="J5535" s="16" t="s">
        <v>100</v>
      </c>
      <c r="K5535" s="15" t="s">
        <v>1888</v>
      </c>
      <c r="L5535" s="17">
        <v>1</v>
      </c>
      <c r="M5535" s="17">
        <v>100</v>
      </c>
      <c r="N5535" s="17">
        <v>1</v>
      </c>
      <c r="O5535" s="18">
        <v>656.51</v>
      </c>
      <c r="P5535" s="18">
        <v>538.12</v>
      </c>
      <c r="Q5535" s="18">
        <v>525.21</v>
      </c>
      <c r="R5535" s="18">
        <v>430.5</v>
      </c>
      <c r="S5535" s="18">
        <v>446.43</v>
      </c>
      <c r="T5535" s="18">
        <v>365.93</v>
      </c>
      <c r="U5535" s="16"/>
      <c r="V5535" s="16"/>
      <c r="W5535" s="16" t="s">
        <v>40</v>
      </c>
      <c r="X5535" s="19">
        <v>3.4000000000000002E-2</v>
      </c>
      <c r="Y5535" s="20">
        <v>5.0299999999999997E-4</v>
      </c>
      <c r="Z5535" s="21">
        <v>4601004101838</v>
      </c>
    </row>
    <row r="5536" spans="1:26" ht="12" customHeight="1" outlineLevel="4" x14ac:dyDescent="0.2">
      <c r="A5536" s="14" t="s">
        <v>10713</v>
      </c>
      <c r="B5536" s="26" t="s">
        <v>10714</v>
      </c>
      <c r="C5536" s="52"/>
      <c r="D5536" s="55">
        <f t="shared" si="86"/>
        <v>0</v>
      </c>
      <c r="E5536" s="63" t="str">
        <f>HYPERLINK("https://www.sds-group.ru/product/flyus-gel-dlya-payki-payka-alyuminiya-12ml-tehno-shprits-blister-rexant-09-3682/", "Инфо")</f>
        <v>Инфо</v>
      </c>
      <c r="F5536" s="16" t="s">
        <v>39</v>
      </c>
      <c r="G5536" s="15"/>
      <c r="H5536" s="15"/>
      <c r="I5536" s="15"/>
      <c r="J5536" s="16" t="s">
        <v>100</v>
      </c>
      <c r="K5536" s="15" t="s">
        <v>1888</v>
      </c>
      <c r="L5536" s="17">
        <v>1</v>
      </c>
      <c r="M5536" s="17">
        <v>100</v>
      </c>
      <c r="N5536" s="17">
        <v>1</v>
      </c>
      <c r="O5536" s="18">
        <v>1912.13</v>
      </c>
      <c r="P5536" s="18">
        <v>1567.32</v>
      </c>
      <c r="Q5536" s="18">
        <v>1529.7</v>
      </c>
      <c r="R5536" s="18">
        <v>1253.8499999999999</v>
      </c>
      <c r="S5536" s="18">
        <v>1300.25</v>
      </c>
      <c r="T5536" s="18">
        <v>1065.78</v>
      </c>
      <c r="U5536" s="16"/>
      <c r="V5536" s="16"/>
      <c r="W5536" s="16" t="s">
        <v>40</v>
      </c>
      <c r="X5536" s="19">
        <v>3.5999999999999997E-2</v>
      </c>
      <c r="Y5536" s="20">
        <v>4.5300000000000001E-4</v>
      </c>
      <c r="Z5536" s="21">
        <v>4601004101814</v>
      </c>
    </row>
    <row r="5537" spans="1:26" ht="12" customHeight="1" outlineLevel="4" x14ac:dyDescent="0.2">
      <c r="A5537" s="14" t="s">
        <v>10715</v>
      </c>
      <c r="B5537" s="26" t="s">
        <v>10716</v>
      </c>
      <c r="C5537" s="52"/>
      <c r="D5537" s="55">
        <f t="shared" si="86"/>
        <v>0</v>
      </c>
      <c r="E5537" s="63" t="str">
        <f>HYPERLINK("https://www.sds-group.ru/product/flyus-gel-dlya-payki-payalnaya-kislota-12ml-tehno-shprits-blister-rexant-09-3688/", "Инфо")</f>
        <v>Инфо</v>
      </c>
      <c r="F5537" s="16" t="s">
        <v>39</v>
      </c>
      <c r="G5537" s="15"/>
      <c r="H5537" s="15"/>
      <c r="I5537" s="15"/>
      <c r="J5537" s="16" t="s">
        <v>100</v>
      </c>
      <c r="K5537" s="15" t="s">
        <v>1888</v>
      </c>
      <c r="L5537" s="17">
        <v>1</v>
      </c>
      <c r="M5537" s="17">
        <v>100</v>
      </c>
      <c r="N5537" s="17">
        <v>1</v>
      </c>
      <c r="O5537" s="18">
        <v>990.7</v>
      </c>
      <c r="P5537" s="18">
        <v>812.05</v>
      </c>
      <c r="Q5537" s="18">
        <v>792.56</v>
      </c>
      <c r="R5537" s="18">
        <v>649.64</v>
      </c>
      <c r="S5537" s="18">
        <v>673.68</v>
      </c>
      <c r="T5537" s="18">
        <v>552.20000000000005</v>
      </c>
      <c r="U5537" s="16"/>
      <c r="V5537" s="16"/>
      <c r="W5537" s="16" t="s">
        <v>40</v>
      </c>
      <c r="X5537" s="19">
        <v>2.9000000000000001E-2</v>
      </c>
      <c r="Y5537" s="20">
        <v>3.97E-4</v>
      </c>
      <c r="Z5537" s="21">
        <v>4601004101845</v>
      </c>
    </row>
    <row r="5538" spans="1:26" ht="12.95" customHeight="1" outlineLevel="2" x14ac:dyDescent="0.2">
      <c r="A5538" s="76" t="s">
        <v>10717</v>
      </c>
      <c r="B5538" s="76"/>
      <c r="C5538" s="77"/>
      <c r="D5538" s="58"/>
      <c r="E5538" s="68"/>
      <c r="F5538" s="13"/>
      <c r="G5538" s="13"/>
      <c r="H5538" s="13"/>
      <c r="I5538" s="13"/>
      <c r="J5538" s="13"/>
      <c r="K5538" s="13"/>
      <c r="L5538" s="13"/>
      <c r="M5538" s="13"/>
      <c r="N5538" s="13"/>
      <c r="O5538" s="13"/>
      <c r="P5538" s="13"/>
      <c r="Q5538" s="13"/>
      <c r="R5538" s="13"/>
      <c r="S5538" s="13"/>
      <c r="T5538" s="13"/>
      <c r="U5538" s="13"/>
      <c r="V5538" s="13"/>
      <c r="W5538" s="13"/>
      <c r="X5538" s="13"/>
      <c r="Y5538" s="13"/>
      <c r="Z5538" s="13"/>
    </row>
    <row r="5539" spans="1:26" ht="12.95" customHeight="1" outlineLevel="3" x14ac:dyDescent="0.2">
      <c r="A5539" s="76" t="s">
        <v>10718</v>
      </c>
      <c r="B5539" s="76"/>
      <c r="C5539" s="77"/>
      <c r="D5539" s="58"/>
      <c r="E5539" s="68"/>
      <c r="F5539" s="13"/>
      <c r="G5539" s="13"/>
      <c r="H5539" s="13"/>
      <c r="I5539" s="13"/>
      <c r="J5539" s="13"/>
      <c r="K5539" s="13"/>
      <c r="L5539" s="13"/>
      <c r="M5539" s="13"/>
      <c r="N5539" s="13"/>
      <c r="O5539" s="13"/>
      <c r="P5539" s="13"/>
      <c r="Q5539" s="13"/>
      <c r="R5539" s="13"/>
      <c r="S5539" s="13"/>
      <c r="T5539" s="13"/>
      <c r="U5539" s="13"/>
      <c r="V5539" s="13"/>
      <c r="W5539" s="13"/>
      <c r="X5539" s="13"/>
      <c r="Y5539" s="13"/>
      <c r="Z5539" s="13"/>
    </row>
    <row r="5540" spans="1:26" ht="12" customHeight="1" outlineLevel="4" x14ac:dyDescent="0.2">
      <c r="A5540" s="14" t="s">
        <v>10719</v>
      </c>
      <c r="B5540" s="26" t="s">
        <v>10720</v>
      </c>
      <c r="C5540" s="52"/>
      <c r="D5540" s="55">
        <f t="shared" si="86"/>
        <v>0</v>
      </c>
      <c r="E5540" s="63" t="str">
        <f>HYPERLINK("https://www.sds-group.ru/product/opletka-dlya-udaleniya-pripoya-mednaya-1-0mm-x-1-5m-rexant-09-3001/", "Инфо")</f>
        <v>Инфо</v>
      </c>
      <c r="F5540" s="16" t="s">
        <v>39</v>
      </c>
      <c r="G5540" s="15"/>
      <c r="H5540" s="15"/>
      <c r="I5540" s="15"/>
      <c r="J5540" s="22">
        <v>4278</v>
      </c>
      <c r="K5540" s="15" t="s">
        <v>1131</v>
      </c>
      <c r="L5540" s="17">
        <v>5</v>
      </c>
      <c r="M5540" s="22">
        <v>1000</v>
      </c>
      <c r="N5540" s="17">
        <v>5</v>
      </c>
      <c r="O5540" s="18">
        <v>156.32</v>
      </c>
      <c r="P5540" s="18">
        <v>128.13</v>
      </c>
      <c r="Q5540" s="18">
        <v>132.87</v>
      </c>
      <c r="R5540" s="18">
        <v>108.91</v>
      </c>
      <c r="S5540" s="18">
        <v>106.3</v>
      </c>
      <c r="T5540" s="18">
        <v>87.13</v>
      </c>
      <c r="U5540" s="16"/>
      <c r="V5540" s="16"/>
      <c r="W5540" s="16" t="s">
        <v>40</v>
      </c>
      <c r="X5540" s="19">
        <v>7.0000000000000001E-3</v>
      </c>
      <c r="Y5540" s="20">
        <v>5.8E-5</v>
      </c>
      <c r="Z5540" s="21">
        <v>4610003609085</v>
      </c>
    </row>
    <row r="5541" spans="1:26" ht="12" customHeight="1" outlineLevel="4" x14ac:dyDescent="0.2">
      <c r="A5541" s="14" t="s">
        <v>10721</v>
      </c>
      <c r="B5541" s="26" t="s">
        <v>10722</v>
      </c>
      <c r="C5541" s="52"/>
      <c r="D5541" s="55">
        <f t="shared" si="86"/>
        <v>0</v>
      </c>
      <c r="E5541" s="63" t="str">
        <f>HYPERLINK("https://www.sds-group.ru/product/opletka-dlya-udaleniya-pripoya-mednaya-1-0mm-x-1-5m-dispenser-rexant-09-3031/", "Инфо")</f>
        <v>Инфо</v>
      </c>
      <c r="F5541" s="16" t="s">
        <v>39</v>
      </c>
      <c r="G5541" s="15"/>
      <c r="H5541" s="15"/>
      <c r="I5541" s="15"/>
      <c r="J5541" s="22">
        <v>1072</v>
      </c>
      <c r="K5541" s="15" t="s">
        <v>1277</v>
      </c>
      <c r="L5541" s="17">
        <v>5</v>
      </c>
      <c r="M5541" s="17">
        <v>200</v>
      </c>
      <c r="N5541" s="17">
        <v>5</v>
      </c>
      <c r="O5541" s="18">
        <v>226.09</v>
      </c>
      <c r="P5541" s="18">
        <v>185.32</v>
      </c>
      <c r="Q5541" s="18">
        <v>158.26</v>
      </c>
      <c r="R5541" s="18">
        <v>129.72</v>
      </c>
      <c r="S5541" s="18">
        <v>153.74</v>
      </c>
      <c r="T5541" s="18">
        <v>126.02</v>
      </c>
      <c r="U5541" s="16"/>
      <c r="V5541" s="16"/>
      <c r="W5541" s="16"/>
      <c r="X5541" s="19">
        <v>3.3000000000000002E-2</v>
      </c>
      <c r="Y5541" s="20">
        <v>2.34E-4</v>
      </c>
      <c r="Z5541" s="21">
        <v>4601004068841</v>
      </c>
    </row>
    <row r="5542" spans="1:26" ht="12" customHeight="1" outlineLevel="4" x14ac:dyDescent="0.2">
      <c r="A5542" s="14" t="s">
        <v>10723</v>
      </c>
      <c r="B5542" s="26" t="s">
        <v>10724</v>
      </c>
      <c r="C5542" s="52"/>
      <c r="D5542" s="55">
        <f t="shared" si="86"/>
        <v>0</v>
      </c>
      <c r="E5542" s="63" t="str">
        <f>HYPERLINK("https://www.sds-group.ru/product/opletka-dlya-udaleniya-pripoya-mednaya-1-5mm-x-1-5m-rexant-09-3002/", "Инфо")</f>
        <v>Инфо</v>
      </c>
      <c r="F5542" s="16" t="s">
        <v>39</v>
      </c>
      <c r="G5542" s="15"/>
      <c r="H5542" s="15"/>
      <c r="I5542" s="15"/>
      <c r="J5542" s="22">
        <v>8362</v>
      </c>
      <c r="K5542" s="15" t="s">
        <v>1277</v>
      </c>
      <c r="L5542" s="17">
        <v>5</v>
      </c>
      <c r="M5542" s="22">
        <v>1000</v>
      </c>
      <c r="N5542" s="17">
        <v>5</v>
      </c>
      <c r="O5542" s="18">
        <v>204.82</v>
      </c>
      <c r="P5542" s="18">
        <v>167.89</v>
      </c>
      <c r="Q5542" s="18">
        <v>143.37</v>
      </c>
      <c r="R5542" s="18">
        <v>117.52</v>
      </c>
      <c r="S5542" s="18">
        <v>139.28</v>
      </c>
      <c r="T5542" s="18">
        <v>114.16</v>
      </c>
      <c r="U5542" s="16"/>
      <c r="V5542" s="16"/>
      <c r="W5542" s="16"/>
      <c r="X5542" s="19">
        <v>7.0000000000000001E-3</v>
      </c>
      <c r="Y5542" s="20">
        <v>5.3999999999999998E-5</v>
      </c>
      <c r="Z5542" s="21">
        <v>4601004082526</v>
      </c>
    </row>
    <row r="5543" spans="1:26" ht="12" customHeight="1" outlineLevel="4" x14ac:dyDescent="0.2">
      <c r="A5543" s="14" t="s">
        <v>10725</v>
      </c>
      <c r="B5543" s="26" t="s">
        <v>10726</v>
      </c>
      <c r="C5543" s="52"/>
      <c r="D5543" s="55">
        <f t="shared" si="86"/>
        <v>0</v>
      </c>
      <c r="E5543" s="63" t="str">
        <f>HYPERLINK("https://www.sds-group.ru/product/opletka-dlya-udaleniya-pripoya-mednaya-1-5mm-x-1-5m-dispenser-rexant-09-3032/", "Инфо")</f>
        <v>Инфо</v>
      </c>
      <c r="F5543" s="16" t="s">
        <v>39</v>
      </c>
      <c r="G5543" s="15"/>
      <c r="H5543" s="15"/>
      <c r="I5543" s="15"/>
      <c r="J5543" s="22">
        <v>1285</v>
      </c>
      <c r="K5543" s="15" t="s">
        <v>1277</v>
      </c>
      <c r="L5543" s="17">
        <v>5</v>
      </c>
      <c r="M5543" s="17">
        <v>200</v>
      </c>
      <c r="N5543" s="17">
        <v>5</v>
      </c>
      <c r="O5543" s="18">
        <v>256.76</v>
      </c>
      <c r="P5543" s="18">
        <v>210.46</v>
      </c>
      <c r="Q5543" s="18">
        <v>218.25</v>
      </c>
      <c r="R5543" s="18">
        <v>178.89</v>
      </c>
      <c r="S5543" s="18">
        <v>174.6</v>
      </c>
      <c r="T5543" s="18">
        <v>143.11000000000001</v>
      </c>
      <c r="U5543" s="16"/>
      <c r="V5543" s="16"/>
      <c r="W5543" s="16" t="s">
        <v>40</v>
      </c>
      <c r="X5543" s="19">
        <v>3.3000000000000002E-2</v>
      </c>
      <c r="Y5543" s="20">
        <v>2.4000000000000001E-4</v>
      </c>
      <c r="Z5543" s="21">
        <v>4601004068728</v>
      </c>
    </row>
    <row r="5544" spans="1:26" ht="12" customHeight="1" outlineLevel="4" x14ac:dyDescent="0.2">
      <c r="A5544" s="14" t="s">
        <v>10727</v>
      </c>
      <c r="B5544" s="26" t="s">
        <v>10728</v>
      </c>
      <c r="C5544" s="52"/>
      <c r="D5544" s="55">
        <f t="shared" si="86"/>
        <v>0</v>
      </c>
      <c r="E5544" s="63" t="str">
        <f>HYPERLINK("https://www.sds-group.ru/product/opletka-dlya-udaleniya-pripoya-mednaya-2-5mm-x-1-5m-rexant-09-3003/", "Инфо")</f>
        <v>Инфо</v>
      </c>
      <c r="F5544" s="16" t="s">
        <v>39</v>
      </c>
      <c r="G5544" s="15"/>
      <c r="H5544" s="15"/>
      <c r="I5544" s="15"/>
      <c r="J5544" s="22">
        <v>5327</v>
      </c>
      <c r="K5544" s="15"/>
      <c r="L5544" s="17">
        <v>5</v>
      </c>
      <c r="M5544" s="22">
        <v>1000</v>
      </c>
      <c r="N5544" s="17">
        <v>5</v>
      </c>
      <c r="O5544" s="18">
        <v>252.28</v>
      </c>
      <c r="P5544" s="18">
        <v>206.79</v>
      </c>
      <c r="Q5544" s="18">
        <v>214.44</v>
      </c>
      <c r="R5544" s="18">
        <v>175.77</v>
      </c>
      <c r="S5544" s="18">
        <v>171.55</v>
      </c>
      <c r="T5544" s="18">
        <v>140.61000000000001</v>
      </c>
      <c r="U5544" s="16"/>
      <c r="V5544" s="16"/>
      <c r="W5544" s="16" t="s">
        <v>40</v>
      </c>
      <c r="X5544" s="19">
        <v>1.0999999999999999E-2</v>
      </c>
      <c r="Y5544" s="20">
        <v>5.3000000000000001E-5</v>
      </c>
      <c r="Z5544" s="21">
        <v>4601004082533</v>
      </c>
    </row>
    <row r="5545" spans="1:26" ht="12" customHeight="1" outlineLevel="4" x14ac:dyDescent="0.2">
      <c r="A5545" s="14" t="s">
        <v>10729</v>
      </c>
      <c r="B5545" s="26" t="s">
        <v>10730</v>
      </c>
      <c r="C5545" s="52"/>
      <c r="D5545" s="55">
        <f t="shared" si="86"/>
        <v>0</v>
      </c>
      <c r="E5545" s="63" t="str">
        <f>HYPERLINK("https://www.sds-group.ru/product/opletka-dlya-udaleniya-pripoya-mednaya-2-5mm-x-1-5m-dispenser-rexant-09-3033/", "Инфо")</f>
        <v>Инфо</v>
      </c>
      <c r="F5545" s="16" t="s">
        <v>39</v>
      </c>
      <c r="G5545" s="15"/>
      <c r="H5545" s="15"/>
      <c r="I5545" s="15"/>
      <c r="J5545" s="22">
        <v>1304</v>
      </c>
      <c r="K5545" s="15" t="s">
        <v>4866</v>
      </c>
      <c r="L5545" s="17">
        <v>5</v>
      </c>
      <c r="M5545" s="17">
        <v>200</v>
      </c>
      <c r="N5545" s="17">
        <v>5</v>
      </c>
      <c r="O5545" s="18">
        <v>297.17</v>
      </c>
      <c r="P5545" s="18">
        <v>243.58</v>
      </c>
      <c r="Q5545" s="18">
        <v>252.59</v>
      </c>
      <c r="R5545" s="18">
        <v>207.04</v>
      </c>
      <c r="S5545" s="18">
        <v>202.08</v>
      </c>
      <c r="T5545" s="18">
        <v>165.64</v>
      </c>
      <c r="U5545" s="16"/>
      <c r="V5545" s="16"/>
      <c r="W5545" s="16" t="s">
        <v>40</v>
      </c>
      <c r="X5545" s="19">
        <v>3.6999999999999998E-2</v>
      </c>
      <c r="Y5545" s="20">
        <v>2.41E-4</v>
      </c>
      <c r="Z5545" s="21">
        <v>4601004068735</v>
      </c>
    </row>
    <row r="5546" spans="1:26" ht="12" customHeight="1" outlineLevel="4" x14ac:dyDescent="0.2">
      <c r="A5546" s="14" t="s">
        <v>10731</v>
      </c>
      <c r="B5546" s="26" t="s">
        <v>10732</v>
      </c>
      <c r="C5546" s="52"/>
      <c r="D5546" s="55">
        <f t="shared" si="86"/>
        <v>0</v>
      </c>
      <c r="E5546" s="63" t="str">
        <f>HYPERLINK("https://www.sds-group.ru/product/opletka-dlya-udaleniya-pripoya-mednaya-3-0mm-x-1-5m-rexant-09-3004/", "Инфо")</f>
        <v>Инфо</v>
      </c>
      <c r="F5546" s="16" t="s">
        <v>39</v>
      </c>
      <c r="G5546" s="15"/>
      <c r="H5546" s="15"/>
      <c r="I5546" s="15"/>
      <c r="J5546" s="22">
        <v>4910</v>
      </c>
      <c r="K5546" s="15" t="s">
        <v>4866</v>
      </c>
      <c r="L5546" s="17">
        <v>5</v>
      </c>
      <c r="M5546" s="22">
        <v>1000</v>
      </c>
      <c r="N5546" s="17">
        <v>5</v>
      </c>
      <c r="O5546" s="18">
        <v>270.16000000000003</v>
      </c>
      <c r="P5546" s="18">
        <v>221.44</v>
      </c>
      <c r="Q5546" s="18">
        <v>229.64</v>
      </c>
      <c r="R5546" s="18">
        <v>188.23</v>
      </c>
      <c r="S5546" s="18">
        <v>183.71</v>
      </c>
      <c r="T5546" s="18">
        <v>150.58000000000001</v>
      </c>
      <c r="U5546" s="16"/>
      <c r="V5546" s="16"/>
      <c r="W5546" s="16" t="s">
        <v>40</v>
      </c>
      <c r="X5546" s="19">
        <v>1.2999999999999999E-2</v>
      </c>
      <c r="Y5546" s="20">
        <v>5.5000000000000002E-5</v>
      </c>
      <c r="Z5546" s="21">
        <v>4601004082519</v>
      </c>
    </row>
    <row r="5547" spans="1:26" ht="12" customHeight="1" outlineLevel="4" x14ac:dyDescent="0.2">
      <c r="A5547" s="14" t="s">
        <v>10733</v>
      </c>
      <c r="B5547" s="26" t="s">
        <v>10734</v>
      </c>
      <c r="C5547" s="52"/>
      <c r="D5547" s="55">
        <f t="shared" si="86"/>
        <v>0</v>
      </c>
      <c r="E5547" s="63" t="str">
        <f>HYPERLINK("https://www.sds-group.ru/product/opletka-dlya-udaleniya-pripoya-mednaya-3-0mm-x-1-5m-dispenser-rexant-09-3034/", "Инфо")</f>
        <v>Инфо</v>
      </c>
      <c r="F5547" s="16" t="s">
        <v>39</v>
      </c>
      <c r="G5547" s="15"/>
      <c r="H5547" s="15"/>
      <c r="I5547" s="15"/>
      <c r="J5547" s="17">
        <v>275</v>
      </c>
      <c r="K5547" s="15" t="s">
        <v>1277</v>
      </c>
      <c r="L5547" s="17">
        <v>5</v>
      </c>
      <c r="M5547" s="17">
        <v>200</v>
      </c>
      <c r="N5547" s="17">
        <v>5</v>
      </c>
      <c r="O5547" s="18">
        <v>325.60000000000002</v>
      </c>
      <c r="P5547" s="18">
        <v>266.89</v>
      </c>
      <c r="Q5547" s="18">
        <v>260.48</v>
      </c>
      <c r="R5547" s="18">
        <v>213.51</v>
      </c>
      <c r="S5547" s="18">
        <v>221.41</v>
      </c>
      <c r="T5547" s="18">
        <v>181.48</v>
      </c>
      <c r="U5547" s="16"/>
      <c r="V5547" s="16"/>
      <c r="W5547" s="16" t="s">
        <v>40</v>
      </c>
      <c r="X5547" s="19">
        <v>0.04</v>
      </c>
      <c r="Y5547" s="20">
        <v>2.3499999999999999E-4</v>
      </c>
      <c r="Z5547" s="21">
        <v>4601004068742</v>
      </c>
    </row>
    <row r="5548" spans="1:26" ht="12.95" customHeight="1" outlineLevel="3" x14ac:dyDescent="0.2">
      <c r="A5548" s="76" t="s">
        <v>10735</v>
      </c>
      <c r="B5548" s="76"/>
      <c r="C5548" s="77"/>
      <c r="D5548" s="58"/>
      <c r="E5548" s="68"/>
      <c r="F5548" s="13"/>
      <c r="G5548" s="13"/>
      <c r="H5548" s="13"/>
      <c r="I5548" s="13"/>
      <c r="J5548" s="13"/>
      <c r="K5548" s="13"/>
      <c r="L5548" s="13"/>
      <c r="M5548" s="13"/>
      <c r="N5548" s="13"/>
      <c r="O5548" s="13"/>
      <c r="P5548" s="13"/>
      <c r="Q5548" s="13"/>
      <c r="R5548" s="13"/>
      <c r="S5548" s="13"/>
      <c r="T5548" s="13"/>
      <c r="U5548" s="13"/>
      <c r="V5548" s="13"/>
      <c r="W5548" s="13"/>
      <c r="X5548" s="13"/>
      <c r="Y5548" s="13"/>
      <c r="Z5548" s="13"/>
    </row>
    <row r="5549" spans="1:26" ht="12" customHeight="1" outlineLevel="4" x14ac:dyDescent="0.2">
      <c r="A5549" s="14" t="s">
        <v>10736</v>
      </c>
      <c r="B5549" s="26" t="s">
        <v>10737</v>
      </c>
      <c r="C5549" s="52"/>
      <c r="D5549" s="55">
        <f t="shared" si="86"/>
        <v>0</v>
      </c>
      <c r="E5549" s="63" t="str">
        <f>HYPERLINK("https://www.sds-group.ru/product/gubka-dlya-ochistki-payalnogo-zhala-70x40-mm-rexant-12-0192/", "Инфо")</f>
        <v>Инфо</v>
      </c>
      <c r="F5549" s="16" t="s">
        <v>39</v>
      </c>
      <c r="G5549" s="15"/>
      <c r="H5549" s="15"/>
      <c r="I5549" s="15"/>
      <c r="J5549" s="22">
        <v>1632</v>
      </c>
      <c r="K5549" s="15"/>
      <c r="L5549" s="17">
        <v>10</v>
      </c>
      <c r="M5549" s="22">
        <v>4000</v>
      </c>
      <c r="N5549" s="17">
        <v>10</v>
      </c>
      <c r="O5549" s="18">
        <v>106.72</v>
      </c>
      <c r="P5549" s="18">
        <v>87.48</v>
      </c>
      <c r="Q5549" s="18">
        <v>90.71</v>
      </c>
      <c r="R5549" s="18">
        <v>74.349999999999994</v>
      </c>
      <c r="S5549" s="18">
        <v>72.569999999999993</v>
      </c>
      <c r="T5549" s="18">
        <v>59.48</v>
      </c>
      <c r="U5549" s="16"/>
      <c r="V5549" s="16"/>
      <c r="W5549" s="16" t="s">
        <v>40</v>
      </c>
      <c r="X5549" s="19">
        <v>2E-3</v>
      </c>
      <c r="Y5549" s="20">
        <v>1.7E-5</v>
      </c>
      <c r="Z5549" s="21">
        <v>4601004075337</v>
      </c>
    </row>
    <row r="5550" spans="1:26" ht="12" customHeight="1" outlineLevel="4" x14ac:dyDescent="0.2">
      <c r="A5550" s="14" t="s">
        <v>10738</v>
      </c>
      <c r="B5550" s="26" t="s">
        <v>10739</v>
      </c>
      <c r="C5550" s="52"/>
      <c r="D5550" s="55">
        <f t="shared" si="86"/>
        <v>0</v>
      </c>
      <c r="E5550" s="63" t="str">
        <f>HYPERLINK("https://www.sds-group.ru/product/gubka-dlya-ochistki-payalnogo-zhala-56x36-mm-rexant-12-0193/", "Инфо")</f>
        <v>Инфо</v>
      </c>
      <c r="F5550" s="16" t="s">
        <v>39</v>
      </c>
      <c r="G5550" s="15"/>
      <c r="H5550" s="15"/>
      <c r="I5550" s="15"/>
      <c r="J5550" s="22">
        <v>7786</v>
      </c>
      <c r="K5550" s="15"/>
      <c r="L5550" s="17">
        <v>10</v>
      </c>
      <c r="M5550" s="22">
        <v>4000</v>
      </c>
      <c r="N5550" s="17">
        <v>10</v>
      </c>
      <c r="O5550" s="18">
        <v>160.62</v>
      </c>
      <c r="P5550" s="18">
        <v>131.66</v>
      </c>
      <c r="Q5550" s="18">
        <v>136.53</v>
      </c>
      <c r="R5550" s="18">
        <v>111.91</v>
      </c>
      <c r="S5550" s="18">
        <v>109.22</v>
      </c>
      <c r="T5550" s="18">
        <v>89.52</v>
      </c>
      <c r="U5550" s="16"/>
      <c r="V5550" s="16"/>
      <c r="W5550" s="16" t="s">
        <v>40</v>
      </c>
      <c r="X5550" s="19">
        <v>2E-3</v>
      </c>
      <c r="Y5550" s="20">
        <v>1.4E-5</v>
      </c>
      <c r="Z5550" s="21">
        <v>4601004075344</v>
      </c>
    </row>
    <row r="5551" spans="1:26" ht="12" customHeight="1" outlineLevel="4" x14ac:dyDescent="0.2">
      <c r="A5551" s="14" t="s">
        <v>10740</v>
      </c>
      <c r="B5551" s="26" t="s">
        <v>10741</v>
      </c>
      <c r="C5551" s="52"/>
      <c r="D5551" s="55">
        <f t="shared" si="86"/>
        <v>0</v>
      </c>
      <c r="E5551" s="63" t="str">
        <f>HYPERLINK("https://www.sds-group.ru/product/gubka-dlya-ochistki-payalnogo-zhala-93x50-mm-rexant-12-0191/", "Инфо")</f>
        <v>Инфо</v>
      </c>
      <c r="F5551" s="16" t="s">
        <v>39</v>
      </c>
      <c r="G5551" s="15"/>
      <c r="H5551" s="15"/>
      <c r="I5551" s="15"/>
      <c r="J5551" s="22">
        <v>4919</v>
      </c>
      <c r="K5551" s="15"/>
      <c r="L5551" s="17">
        <v>10</v>
      </c>
      <c r="M5551" s="22">
        <v>3000</v>
      </c>
      <c r="N5551" s="17">
        <v>10</v>
      </c>
      <c r="O5551" s="18">
        <v>168.97</v>
      </c>
      <c r="P5551" s="18">
        <v>138.5</v>
      </c>
      <c r="Q5551" s="18">
        <v>143.62</v>
      </c>
      <c r="R5551" s="18">
        <v>117.72</v>
      </c>
      <c r="S5551" s="18">
        <v>114.9</v>
      </c>
      <c r="T5551" s="18">
        <v>94.18</v>
      </c>
      <c r="U5551" s="16"/>
      <c r="V5551" s="16"/>
      <c r="W5551" s="16" t="s">
        <v>40</v>
      </c>
      <c r="X5551" s="19">
        <v>3.0000000000000001E-3</v>
      </c>
      <c r="Y5551" s="20">
        <v>2.1999999999999999E-5</v>
      </c>
      <c r="Z5551" s="21">
        <v>4601004075351</v>
      </c>
    </row>
    <row r="5552" spans="1:26" ht="12.95" customHeight="1" outlineLevel="3" x14ac:dyDescent="0.2">
      <c r="A5552" s="76" t="s">
        <v>10742</v>
      </c>
      <c r="B5552" s="76"/>
      <c r="C5552" s="77"/>
      <c r="D5552" s="58"/>
      <c r="E5552" s="68"/>
      <c r="F5552" s="13"/>
      <c r="G5552" s="13"/>
      <c r="H5552" s="13"/>
      <c r="I5552" s="13"/>
      <c r="J5552" s="13"/>
      <c r="K5552" s="13"/>
      <c r="L5552" s="13"/>
      <c r="M5552" s="13"/>
      <c r="N5552" s="13"/>
      <c r="O5552" s="13"/>
      <c r="P5552" s="13"/>
      <c r="Q5552" s="13"/>
      <c r="R5552" s="13"/>
      <c r="S5552" s="13"/>
      <c r="T5552" s="13"/>
      <c r="U5552" s="13"/>
      <c r="V5552" s="13"/>
      <c r="W5552" s="13"/>
      <c r="X5552" s="13"/>
      <c r="Y5552" s="13"/>
      <c r="Z5552" s="13"/>
    </row>
    <row r="5553" spans="1:26" ht="12" customHeight="1" outlineLevel="4" x14ac:dyDescent="0.2">
      <c r="A5553" s="14" t="s">
        <v>10743</v>
      </c>
      <c r="B5553" s="26" t="s">
        <v>10744</v>
      </c>
      <c r="C5553" s="52"/>
      <c r="D5553" s="55">
        <f t="shared" si="86"/>
        <v>0</v>
      </c>
      <c r="E5553" s="63" t="str">
        <f>HYPERLINK("https://www.sds-group.ru/product/vazelin-tehnicheskiy-vtv-1-100ml-banka-rexant-09-3972/", "Инфо")</f>
        <v>Инфо</v>
      </c>
      <c r="F5553" s="16" t="s">
        <v>39</v>
      </c>
      <c r="G5553" s="15"/>
      <c r="H5553" s="15"/>
      <c r="I5553" s="15"/>
      <c r="J5553" s="22">
        <v>2403</v>
      </c>
      <c r="K5553" s="15" t="s">
        <v>1094</v>
      </c>
      <c r="L5553" s="17">
        <v>10</v>
      </c>
      <c r="M5553" s="17">
        <v>120</v>
      </c>
      <c r="N5553" s="17">
        <v>10</v>
      </c>
      <c r="O5553" s="18">
        <v>313.52</v>
      </c>
      <c r="P5553" s="18">
        <v>256.98</v>
      </c>
      <c r="Q5553" s="18">
        <v>266.49</v>
      </c>
      <c r="R5553" s="18">
        <v>218.43</v>
      </c>
      <c r="S5553" s="18">
        <v>213.19</v>
      </c>
      <c r="T5553" s="18">
        <v>174.75</v>
      </c>
      <c r="U5553" s="16"/>
      <c r="V5553" s="16"/>
      <c r="W5553" s="16" t="s">
        <v>40</v>
      </c>
      <c r="X5553" s="19">
        <v>0.10299999999999999</v>
      </c>
      <c r="Y5553" s="20">
        <v>2.5799999999999998E-4</v>
      </c>
      <c r="Z5553" s="21">
        <v>4601004131736</v>
      </c>
    </row>
    <row r="5554" spans="1:26" ht="12" customHeight="1" outlineLevel="4" x14ac:dyDescent="0.2">
      <c r="A5554" s="14" t="s">
        <v>10745</v>
      </c>
      <c r="B5554" s="26" t="s">
        <v>10746</v>
      </c>
      <c r="C5554" s="52"/>
      <c r="D5554" s="55">
        <f t="shared" si="86"/>
        <v>0</v>
      </c>
      <c r="E5554" s="63" t="str">
        <f>HYPERLINK("https://www.sds-group.ru/product/vazelin-tehnicheskiy-vtv-1-20ml-banka-rexant-09-3970/", "Инфо")</f>
        <v>Инфо</v>
      </c>
      <c r="F5554" s="16" t="s">
        <v>39</v>
      </c>
      <c r="G5554" s="15"/>
      <c r="H5554" s="15"/>
      <c r="I5554" s="15"/>
      <c r="J5554" s="22">
        <v>1773</v>
      </c>
      <c r="K5554" s="15"/>
      <c r="L5554" s="17">
        <v>10</v>
      </c>
      <c r="M5554" s="17">
        <v>420</v>
      </c>
      <c r="N5554" s="17">
        <v>10</v>
      </c>
      <c r="O5554" s="18">
        <v>98.1</v>
      </c>
      <c r="P5554" s="18">
        <v>80.41</v>
      </c>
      <c r="Q5554" s="18">
        <v>68.67</v>
      </c>
      <c r="R5554" s="18">
        <v>56.29</v>
      </c>
      <c r="S5554" s="18">
        <v>66.709999999999994</v>
      </c>
      <c r="T5554" s="18">
        <v>54.68</v>
      </c>
      <c r="U5554" s="16"/>
      <c r="V5554" s="16"/>
      <c r="W5554" s="16"/>
      <c r="X5554" s="19">
        <v>2.4E-2</v>
      </c>
      <c r="Y5554" s="20">
        <v>7.1000000000000005E-5</v>
      </c>
      <c r="Z5554" s="21">
        <v>4601004131729</v>
      </c>
    </row>
    <row r="5555" spans="1:26" ht="12" customHeight="1" outlineLevel="4" x14ac:dyDescent="0.2">
      <c r="A5555" s="14" t="s">
        <v>10747</v>
      </c>
      <c r="B5555" s="26" t="s">
        <v>10748</v>
      </c>
      <c r="C5555" s="52"/>
      <c r="D5555" s="55">
        <f t="shared" si="86"/>
        <v>0</v>
      </c>
      <c r="E5555" s="63" t="str">
        <f>HYPERLINK("https://www.sds-group.ru/product/glitserin-100ml-flakon-rexant-09-3721/", "Инфо")</f>
        <v>Инфо</v>
      </c>
      <c r="F5555" s="16" t="s">
        <v>39</v>
      </c>
      <c r="G5555" s="15"/>
      <c r="H5555" s="15"/>
      <c r="I5555" s="15"/>
      <c r="J5555" s="17">
        <v>70</v>
      </c>
      <c r="K5555" s="15"/>
      <c r="L5555" s="17">
        <v>10</v>
      </c>
      <c r="M5555" s="17">
        <v>80</v>
      </c>
      <c r="N5555" s="17">
        <v>10</v>
      </c>
      <c r="O5555" s="18">
        <v>341.74</v>
      </c>
      <c r="P5555" s="18">
        <v>280.11</v>
      </c>
      <c r="Q5555" s="18">
        <v>290.48</v>
      </c>
      <c r="R5555" s="18">
        <v>238.1</v>
      </c>
      <c r="S5555" s="18">
        <v>232.38</v>
      </c>
      <c r="T5555" s="18">
        <v>190.48</v>
      </c>
      <c r="U5555" s="16"/>
      <c r="V5555" s="16"/>
      <c r="W5555" s="16" t="s">
        <v>40</v>
      </c>
      <c r="X5555" s="19">
        <v>0.157</v>
      </c>
      <c r="Y5555" s="20">
        <v>2.8400000000000002E-4</v>
      </c>
      <c r="Z5555" s="21">
        <v>4601004131743</v>
      </c>
    </row>
    <row r="5556" spans="1:26" ht="12" customHeight="1" outlineLevel="4" x14ac:dyDescent="0.2">
      <c r="A5556" s="14" t="s">
        <v>10749</v>
      </c>
      <c r="B5556" s="26" t="s">
        <v>10750</v>
      </c>
      <c r="C5556" s="52"/>
      <c r="D5556" s="55">
        <f t="shared" si="86"/>
        <v>0</v>
      </c>
      <c r="E5556" s="63" t="str">
        <f>HYPERLINK("https://www.sds-group.ru/product/glitserin-500ml-flakon-rexant-09-3722/", "Инфо")</f>
        <v>Инфо</v>
      </c>
      <c r="F5556" s="16" t="s">
        <v>39</v>
      </c>
      <c r="G5556" s="15"/>
      <c r="H5556" s="15"/>
      <c r="I5556" s="15"/>
      <c r="J5556" s="17">
        <v>801</v>
      </c>
      <c r="K5556" s="15"/>
      <c r="L5556" s="17">
        <v>1</v>
      </c>
      <c r="M5556" s="17">
        <v>24</v>
      </c>
      <c r="N5556" s="17">
        <v>1</v>
      </c>
      <c r="O5556" s="18">
        <v>1131.97</v>
      </c>
      <c r="P5556" s="18">
        <v>927.84</v>
      </c>
      <c r="Q5556" s="18">
        <v>905.58</v>
      </c>
      <c r="R5556" s="18">
        <v>742.28</v>
      </c>
      <c r="S5556" s="18">
        <v>769.74</v>
      </c>
      <c r="T5556" s="18">
        <v>630.92999999999995</v>
      </c>
      <c r="U5556" s="16"/>
      <c r="V5556" s="16"/>
      <c r="W5556" s="16" t="s">
        <v>40</v>
      </c>
      <c r="X5556" s="19">
        <v>0.61599999999999999</v>
      </c>
      <c r="Y5556" s="20">
        <v>1.4E-3</v>
      </c>
      <c r="Z5556" s="21">
        <v>4601004131712</v>
      </c>
    </row>
    <row r="5557" spans="1:26" ht="12" customHeight="1" outlineLevel="4" x14ac:dyDescent="0.2">
      <c r="A5557" s="14" t="s">
        <v>10751</v>
      </c>
      <c r="B5557" s="26" t="s">
        <v>10752</v>
      </c>
      <c r="C5557" s="52"/>
      <c r="D5557" s="55">
        <f t="shared" si="86"/>
        <v>0</v>
      </c>
      <c r="E5557" s="63" t="str">
        <f>HYPERLINK("https://www.sds-group.ru/product/zhidkoe-olovo-himicheskoe-luzhenie-plat-100ml-flakon-rexant-09-3495/", "Инфо")</f>
        <v>Инфо</v>
      </c>
      <c r="F5557" s="16" t="s">
        <v>39</v>
      </c>
      <c r="G5557" s="15"/>
      <c r="H5557" s="15"/>
      <c r="I5557" s="15"/>
      <c r="J5557" s="17">
        <v>240</v>
      </c>
      <c r="K5557" s="15" t="s">
        <v>1888</v>
      </c>
      <c r="L5557" s="17">
        <v>10</v>
      </c>
      <c r="M5557" s="17">
        <v>80</v>
      </c>
      <c r="N5557" s="17">
        <v>10</v>
      </c>
      <c r="O5557" s="18">
        <v>292.33999999999997</v>
      </c>
      <c r="P5557" s="18">
        <v>239.62</v>
      </c>
      <c r="Q5557" s="18">
        <v>248.49</v>
      </c>
      <c r="R5557" s="18">
        <v>203.68</v>
      </c>
      <c r="S5557" s="18">
        <v>198.79</v>
      </c>
      <c r="T5557" s="18">
        <v>162.94</v>
      </c>
      <c r="U5557" s="16"/>
      <c r="V5557" s="16"/>
      <c r="W5557" s="16" t="s">
        <v>40</v>
      </c>
      <c r="X5557" s="19">
        <v>0.13900000000000001</v>
      </c>
      <c r="Y5557" s="20">
        <v>2.9700000000000001E-4</v>
      </c>
      <c r="Z5557" s="21">
        <v>4601004017696</v>
      </c>
    </row>
    <row r="5558" spans="1:26" ht="12" customHeight="1" outlineLevel="4" x14ac:dyDescent="0.2">
      <c r="A5558" s="14" t="s">
        <v>10753</v>
      </c>
      <c r="B5558" s="26" t="s">
        <v>10754</v>
      </c>
      <c r="C5558" s="52"/>
      <c r="D5558" s="55">
        <f t="shared" si="86"/>
        <v>0</v>
      </c>
      <c r="E5558" s="63" t="str">
        <f>HYPERLINK("https://www.sds-group.ru/product/kompaund-silikonovyy-pk-68-100g-dvuhkomponentnyy-prozrachnyy-rexant-09-3985/", "Инфо")</f>
        <v>Инфо</v>
      </c>
      <c r="F5558" s="16" t="s">
        <v>39</v>
      </c>
      <c r="G5558" s="15"/>
      <c r="H5558" s="15"/>
      <c r="I5558" s="15"/>
      <c r="J5558" s="16" t="s">
        <v>100</v>
      </c>
      <c r="K5558" s="15" t="s">
        <v>1888</v>
      </c>
      <c r="L5558" s="17">
        <v>1</v>
      </c>
      <c r="M5558" s="17">
        <v>50</v>
      </c>
      <c r="N5558" s="17">
        <v>1</v>
      </c>
      <c r="O5558" s="18">
        <v>930.51</v>
      </c>
      <c r="P5558" s="18">
        <v>762.71</v>
      </c>
      <c r="Q5558" s="18">
        <v>744.41</v>
      </c>
      <c r="R5558" s="18">
        <v>610.16999999999996</v>
      </c>
      <c r="S5558" s="18">
        <v>632.75</v>
      </c>
      <c r="T5558" s="18">
        <v>518.65</v>
      </c>
      <c r="U5558" s="16"/>
      <c r="V5558" s="16"/>
      <c r="W5558" s="16" t="s">
        <v>40</v>
      </c>
      <c r="X5558" s="19">
        <v>0.13900000000000001</v>
      </c>
      <c r="Y5558" s="20">
        <v>4.1899999999999999E-4</v>
      </c>
      <c r="Z5558" s="21">
        <v>4601004017726</v>
      </c>
    </row>
    <row r="5559" spans="1:26" ht="12" customHeight="1" outlineLevel="4" x14ac:dyDescent="0.2">
      <c r="A5559" s="14" t="s">
        <v>10755</v>
      </c>
      <c r="B5559" s="26" t="s">
        <v>10756</v>
      </c>
      <c r="C5559" s="52"/>
      <c r="D5559" s="55">
        <f t="shared" si="86"/>
        <v>0</v>
      </c>
      <c r="E5559" s="63" t="str">
        <f>HYPERLINK("https://www.sds-group.ru/product/lak-elektroizolyatsionnyy-ko-921-100ml-flakon-rexant-09-3789/", "Инфо")</f>
        <v>Инфо</v>
      </c>
      <c r="F5559" s="16" t="s">
        <v>39</v>
      </c>
      <c r="G5559" s="15"/>
      <c r="H5559" s="15"/>
      <c r="I5559" s="15"/>
      <c r="J5559" s="16" t="s">
        <v>100</v>
      </c>
      <c r="K5559" s="15" t="s">
        <v>1094</v>
      </c>
      <c r="L5559" s="17">
        <v>1</v>
      </c>
      <c r="M5559" s="17">
        <v>80</v>
      </c>
      <c r="N5559" s="17">
        <v>1</v>
      </c>
      <c r="O5559" s="18">
        <v>993.46</v>
      </c>
      <c r="P5559" s="18">
        <v>814.31</v>
      </c>
      <c r="Q5559" s="18">
        <v>794.77</v>
      </c>
      <c r="R5559" s="18">
        <v>651.45000000000005</v>
      </c>
      <c r="S5559" s="18">
        <v>675.55</v>
      </c>
      <c r="T5559" s="18">
        <v>553.73</v>
      </c>
      <c r="U5559" s="16"/>
      <c r="V5559" s="16"/>
      <c r="W5559" s="16" t="s">
        <v>40</v>
      </c>
      <c r="X5559" s="19">
        <v>0.128</v>
      </c>
      <c r="Y5559" s="20">
        <v>2.7700000000000001E-4</v>
      </c>
      <c r="Z5559" s="21">
        <v>4601004083356</v>
      </c>
    </row>
    <row r="5560" spans="1:26" ht="12" customHeight="1" outlineLevel="4" x14ac:dyDescent="0.2">
      <c r="A5560" s="14" t="s">
        <v>10757</v>
      </c>
      <c r="B5560" s="26" t="s">
        <v>10758</v>
      </c>
      <c r="C5560" s="52"/>
      <c r="D5560" s="55">
        <f t="shared" si="86"/>
        <v>0</v>
      </c>
      <c r="E5560" s="63" t="str">
        <f>HYPERLINK("https://www.sds-group.ru/product/lak-elektroizolyatsionnyy-ko-921-30ml-flakon-rexant-09-3788/", "Инфо")</f>
        <v>Инфо</v>
      </c>
      <c r="F5560" s="16" t="s">
        <v>39</v>
      </c>
      <c r="G5560" s="15"/>
      <c r="H5560" s="15"/>
      <c r="I5560" s="15"/>
      <c r="J5560" s="17">
        <v>348</v>
      </c>
      <c r="K5560" s="15"/>
      <c r="L5560" s="17">
        <v>10</v>
      </c>
      <c r="M5560" s="17">
        <v>260</v>
      </c>
      <c r="N5560" s="17">
        <v>10</v>
      </c>
      <c r="O5560" s="18">
        <v>339.58</v>
      </c>
      <c r="P5560" s="18">
        <v>278.33999999999997</v>
      </c>
      <c r="Q5560" s="18">
        <v>288.64</v>
      </c>
      <c r="R5560" s="18">
        <v>236.59</v>
      </c>
      <c r="S5560" s="18">
        <v>230.91</v>
      </c>
      <c r="T5560" s="18">
        <v>189.27</v>
      </c>
      <c r="U5560" s="16"/>
      <c r="V5560" s="16"/>
      <c r="W5560" s="16" t="s">
        <v>40</v>
      </c>
      <c r="X5560" s="19">
        <v>0.04</v>
      </c>
      <c r="Y5560" s="20">
        <v>7.7000000000000001E-5</v>
      </c>
      <c r="Z5560" s="21">
        <v>4601004083349</v>
      </c>
    </row>
    <row r="5561" spans="1:26" ht="12" customHeight="1" outlineLevel="4" x14ac:dyDescent="0.2">
      <c r="A5561" s="14" t="s">
        <v>10759</v>
      </c>
      <c r="B5561" s="26" t="s">
        <v>10760</v>
      </c>
      <c r="C5561" s="52"/>
      <c r="D5561" s="55">
        <f t="shared" si="86"/>
        <v>0</v>
      </c>
      <c r="E5561" s="63" t="str">
        <f>HYPERLINK("https://www.sds-group.ru/product/maslo-bytovoe-smazochnoe-100ml-maslenka-rexant-09-3941/", "Инфо")</f>
        <v>Инфо</v>
      </c>
      <c r="F5561" s="16" t="s">
        <v>39</v>
      </c>
      <c r="G5561" s="15"/>
      <c r="H5561" s="15"/>
      <c r="I5561" s="15"/>
      <c r="J5561" s="17">
        <v>147</v>
      </c>
      <c r="K5561" s="15" t="s">
        <v>1888</v>
      </c>
      <c r="L5561" s="17">
        <v>10</v>
      </c>
      <c r="M5561" s="17">
        <v>70</v>
      </c>
      <c r="N5561" s="17">
        <v>10</v>
      </c>
      <c r="O5561" s="18">
        <v>164.95</v>
      </c>
      <c r="P5561" s="18">
        <v>135.19999999999999</v>
      </c>
      <c r="Q5561" s="18">
        <v>140.21</v>
      </c>
      <c r="R5561" s="18">
        <v>114.93</v>
      </c>
      <c r="S5561" s="18">
        <v>112.17</v>
      </c>
      <c r="T5561" s="18">
        <v>91.94</v>
      </c>
      <c r="U5561" s="16"/>
      <c r="V5561" s="16"/>
      <c r="W5561" s="16" t="s">
        <v>40</v>
      </c>
      <c r="X5561" s="19">
        <v>0.10100000000000001</v>
      </c>
      <c r="Y5561" s="20">
        <v>2.9999999999999997E-4</v>
      </c>
      <c r="Z5561" s="21">
        <v>4601004075252</v>
      </c>
    </row>
    <row r="5562" spans="1:26" ht="12" customHeight="1" outlineLevel="4" x14ac:dyDescent="0.2">
      <c r="A5562" s="14" t="s">
        <v>10761</v>
      </c>
      <c r="B5562" s="26" t="s">
        <v>10762</v>
      </c>
      <c r="C5562" s="52"/>
      <c r="D5562" s="55">
        <f t="shared" si="86"/>
        <v>0</v>
      </c>
      <c r="E5562" s="63" t="str">
        <f>HYPERLINK("https://www.sds-group.ru/product/nabor-p1-polirovalniy-pasta-goi-1-2-3-4-rexant-28461/", "Инфо")</f>
        <v>Инфо</v>
      </c>
      <c r="F5562" s="16" t="s">
        <v>4698</v>
      </c>
      <c r="G5562" s="15"/>
      <c r="H5562" s="15"/>
      <c r="I5562" s="15"/>
      <c r="J5562" s="16" t="s">
        <v>100</v>
      </c>
      <c r="K5562" s="15"/>
      <c r="L5562" s="17">
        <v>1</v>
      </c>
      <c r="M5562" s="17">
        <v>30</v>
      </c>
      <c r="N5562" s="17">
        <v>1</v>
      </c>
      <c r="O5562" s="18">
        <v>725.84</v>
      </c>
      <c r="P5562" s="18">
        <v>594.95000000000005</v>
      </c>
      <c r="Q5562" s="18">
        <v>580.66999999999996</v>
      </c>
      <c r="R5562" s="18">
        <v>475.96</v>
      </c>
      <c r="S5562" s="18">
        <v>493.57</v>
      </c>
      <c r="T5562" s="18">
        <v>404.57</v>
      </c>
      <c r="U5562" s="16"/>
      <c r="V5562" s="16"/>
      <c r="W5562" s="16" t="s">
        <v>40</v>
      </c>
      <c r="X5562" s="19">
        <v>0.152</v>
      </c>
      <c r="Y5562" s="20">
        <v>3.1700000000000001E-4</v>
      </c>
      <c r="Z5562" s="21">
        <v>4601004240964</v>
      </c>
    </row>
    <row r="5563" spans="1:26" ht="12" customHeight="1" outlineLevel="4" x14ac:dyDescent="0.2">
      <c r="A5563" s="14" t="s">
        <v>10763</v>
      </c>
      <c r="B5563" s="26" t="s">
        <v>10764</v>
      </c>
      <c r="C5563" s="52"/>
      <c r="D5563" s="55">
        <f t="shared" si="86"/>
        <v>0</v>
      </c>
      <c r="E5563" s="63" t="str">
        <f>HYPERLINK("https://www.sds-group.ru/product/ochistitel-universalnyy-100ml-flakon-absolyutirovannyy-99-7-rexant-09-4101/", "Инфо")</f>
        <v>Инфо</v>
      </c>
      <c r="F5563" s="16" t="s">
        <v>39</v>
      </c>
      <c r="G5563" s="15"/>
      <c r="H5563" s="15"/>
      <c r="I5563" s="15"/>
      <c r="J5563" s="17">
        <v>682</v>
      </c>
      <c r="K5563" s="15" t="s">
        <v>1094</v>
      </c>
      <c r="L5563" s="17">
        <v>10</v>
      </c>
      <c r="M5563" s="17">
        <v>80</v>
      </c>
      <c r="N5563" s="17">
        <v>10</v>
      </c>
      <c r="O5563" s="18">
        <v>177.88</v>
      </c>
      <c r="P5563" s="18">
        <v>145.80000000000001</v>
      </c>
      <c r="Q5563" s="18">
        <v>124.52</v>
      </c>
      <c r="R5563" s="18">
        <v>102.07</v>
      </c>
      <c r="S5563" s="18">
        <v>120.96</v>
      </c>
      <c r="T5563" s="18">
        <v>99.15</v>
      </c>
      <c r="U5563" s="16"/>
      <c r="V5563" s="16"/>
      <c r="W5563" s="16"/>
      <c r="X5563" s="19">
        <v>0.111</v>
      </c>
      <c r="Y5563" s="20">
        <v>2.7999999999999998E-4</v>
      </c>
      <c r="Z5563" s="21">
        <v>4601004017641</v>
      </c>
    </row>
    <row r="5564" spans="1:26" ht="12" customHeight="1" outlineLevel="4" x14ac:dyDescent="0.2">
      <c r="A5564" s="14" t="s">
        <v>10765</v>
      </c>
      <c r="B5564" s="26" t="s">
        <v>10766</v>
      </c>
      <c r="C5564" s="52"/>
      <c r="D5564" s="55">
        <f t="shared" si="86"/>
        <v>0</v>
      </c>
      <c r="E5564" s="63" t="str">
        <f>HYPERLINK("https://www.sds-group.ru/product/ochistitel-universalnyy-1l-flakon-absolyutirovannyy-99-7-rexant-09-4110/", "Инфо")</f>
        <v>Инфо</v>
      </c>
      <c r="F5564" s="16" t="s">
        <v>39</v>
      </c>
      <c r="G5564" s="15"/>
      <c r="H5564" s="15"/>
      <c r="I5564" s="15"/>
      <c r="J5564" s="17">
        <v>622</v>
      </c>
      <c r="K5564" s="15"/>
      <c r="L5564" s="17">
        <v>1</v>
      </c>
      <c r="M5564" s="17">
        <v>15</v>
      </c>
      <c r="N5564" s="17">
        <v>1</v>
      </c>
      <c r="O5564" s="18">
        <v>834.8</v>
      </c>
      <c r="P5564" s="18">
        <v>684.26</v>
      </c>
      <c r="Q5564" s="18">
        <v>667.84</v>
      </c>
      <c r="R5564" s="18">
        <v>547.41</v>
      </c>
      <c r="S5564" s="18">
        <v>567.66</v>
      </c>
      <c r="T5564" s="18">
        <v>465.3</v>
      </c>
      <c r="U5564" s="16"/>
      <c r="V5564" s="16"/>
      <c r="W5564" s="16" t="s">
        <v>40</v>
      </c>
      <c r="X5564" s="19">
        <v>0.80400000000000005</v>
      </c>
      <c r="Y5564" s="20">
        <v>1.8929999999999999E-3</v>
      </c>
      <c r="Z5564" s="21">
        <v>4601004017757</v>
      </c>
    </row>
    <row r="5565" spans="1:26" ht="12" customHeight="1" outlineLevel="4" x14ac:dyDescent="0.2">
      <c r="A5565" s="14" t="s">
        <v>10767</v>
      </c>
      <c r="B5565" s="26" t="s">
        <v>10768</v>
      </c>
      <c r="C5565" s="52"/>
      <c r="D5565" s="55">
        <f t="shared" si="86"/>
        <v>0</v>
      </c>
      <c r="E5565" s="63" t="str">
        <f>HYPERLINK("https://www.sds-group.ru/product/ochistitel-universalnyy-200ml-flakon-s-raspylitelem-absolyutirovannyy-99-7-rexant-09-4105/", "Инфо")</f>
        <v>Инфо</v>
      </c>
      <c r="F5565" s="16" t="s">
        <v>39</v>
      </c>
      <c r="G5565" s="15"/>
      <c r="H5565" s="15"/>
      <c r="I5565" s="15"/>
      <c r="J5565" s="22">
        <v>3496</v>
      </c>
      <c r="K5565" s="15"/>
      <c r="L5565" s="17">
        <v>5</v>
      </c>
      <c r="M5565" s="17">
        <v>45</v>
      </c>
      <c r="N5565" s="17">
        <v>5</v>
      </c>
      <c r="O5565" s="18">
        <v>300.76</v>
      </c>
      <c r="P5565" s="18">
        <v>246.52</v>
      </c>
      <c r="Q5565" s="18">
        <v>255.65</v>
      </c>
      <c r="R5565" s="18">
        <v>209.55</v>
      </c>
      <c r="S5565" s="18">
        <v>204.52</v>
      </c>
      <c r="T5565" s="18">
        <v>167.64</v>
      </c>
      <c r="U5565" s="16"/>
      <c r="V5565" s="16"/>
      <c r="W5565" s="16" t="s">
        <v>40</v>
      </c>
      <c r="X5565" s="19">
        <v>0.188</v>
      </c>
      <c r="Y5565" s="20">
        <v>4.9100000000000001E-4</v>
      </c>
      <c r="Z5565" s="21">
        <v>4601004017658</v>
      </c>
    </row>
    <row r="5566" spans="1:26" ht="12" customHeight="1" outlineLevel="4" x14ac:dyDescent="0.2">
      <c r="A5566" s="14" t="s">
        <v>10769</v>
      </c>
      <c r="B5566" s="26" t="s">
        <v>10770</v>
      </c>
      <c r="C5566" s="52"/>
      <c r="D5566" s="55">
        <f t="shared" si="86"/>
        <v>0</v>
      </c>
      <c r="E5566" s="63" t="str">
        <f>HYPERLINK("https://www.sds-group.ru/product/ochistitel-universalnyy-5l-kanistra-absolyutirovannyy-99-7-rexant-09-4112/", "Инфо")</f>
        <v>Инфо</v>
      </c>
      <c r="F5566" s="16" t="s">
        <v>39</v>
      </c>
      <c r="G5566" s="15"/>
      <c r="H5566" s="15"/>
      <c r="I5566" s="15"/>
      <c r="J5566" s="17">
        <v>111</v>
      </c>
      <c r="K5566" s="15" t="s">
        <v>1094</v>
      </c>
      <c r="L5566" s="17">
        <v>1</v>
      </c>
      <c r="M5566" s="17">
        <v>4</v>
      </c>
      <c r="N5566" s="17">
        <v>1</v>
      </c>
      <c r="O5566" s="18">
        <v>3912.13</v>
      </c>
      <c r="P5566" s="18">
        <v>3206.66</v>
      </c>
      <c r="Q5566" s="18">
        <v>2855.85</v>
      </c>
      <c r="R5566" s="18">
        <v>2340.86</v>
      </c>
      <c r="S5566" s="18">
        <v>2660.25</v>
      </c>
      <c r="T5566" s="18">
        <v>2180.5300000000002</v>
      </c>
      <c r="U5566" s="16"/>
      <c r="V5566" s="16"/>
      <c r="W5566" s="16" t="s">
        <v>40</v>
      </c>
      <c r="X5566" s="19">
        <v>4.1779999999999999</v>
      </c>
      <c r="Y5566" s="20">
        <v>7.515E-3</v>
      </c>
      <c r="Z5566" s="21">
        <v>4601004148932</v>
      </c>
    </row>
    <row r="5567" spans="1:26" ht="12" customHeight="1" outlineLevel="4" x14ac:dyDescent="0.2">
      <c r="A5567" s="14" t="s">
        <v>10771</v>
      </c>
      <c r="B5567" s="26" t="s">
        <v>10772</v>
      </c>
      <c r="C5567" s="52"/>
      <c r="D5567" s="55">
        <f t="shared" si="86"/>
        <v>0</v>
      </c>
      <c r="E5567" s="63" t="str">
        <f>HYPERLINK("https://www.sds-group.ru/product/pasta-goi-polirovalnaya-1-100g-banochka-rexant-09-3796/", "Инфо")</f>
        <v>Инфо</v>
      </c>
      <c r="F5567" s="16" t="s">
        <v>39</v>
      </c>
      <c r="G5567" s="15"/>
      <c r="H5567" s="15"/>
      <c r="I5567" s="15"/>
      <c r="J5567" s="17">
        <v>633</v>
      </c>
      <c r="K5567" s="15"/>
      <c r="L5567" s="17">
        <v>10</v>
      </c>
      <c r="M5567" s="17">
        <v>150</v>
      </c>
      <c r="N5567" s="17">
        <v>10</v>
      </c>
      <c r="O5567" s="18">
        <v>279.2</v>
      </c>
      <c r="P5567" s="18">
        <v>228.85</v>
      </c>
      <c r="Q5567" s="18">
        <v>237.32</v>
      </c>
      <c r="R5567" s="18">
        <v>194.52</v>
      </c>
      <c r="S5567" s="18">
        <v>189.86</v>
      </c>
      <c r="T5567" s="18">
        <v>155.62</v>
      </c>
      <c r="U5567" s="16"/>
      <c r="V5567" s="16"/>
      <c r="W5567" s="16" t="s">
        <v>40</v>
      </c>
      <c r="X5567" s="19">
        <v>0.11799999999999999</v>
      </c>
      <c r="Y5567" s="20">
        <v>1.36E-4</v>
      </c>
      <c r="Z5567" s="21">
        <v>4601004201231</v>
      </c>
    </row>
    <row r="5568" spans="1:26" ht="12" customHeight="1" outlineLevel="4" x14ac:dyDescent="0.2">
      <c r="A5568" s="14" t="s">
        <v>10773</v>
      </c>
      <c r="B5568" s="26" t="s">
        <v>10774</v>
      </c>
      <c r="C5568" s="52"/>
      <c r="D5568" s="55">
        <f t="shared" si="86"/>
        <v>0</v>
      </c>
      <c r="E5568" s="63" t="str">
        <f>HYPERLINK("https://www.sds-group.ru/product/pasta-goi-polirovalnaya-1-30g-banochka-rexant-09-3795/", "Инфо")</f>
        <v>Инфо</v>
      </c>
      <c r="F5568" s="16" t="s">
        <v>39</v>
      </c>
      <c r="G5568" s="15"/>
      <c r="H5568" s="15"/>
      <c r="I5568" s="15"/>
      <c r="J5568" s="22">
        <v>2533</v>
      </c>
      <c r="K5568" s="15"/>
      <c r="L5568" s="17">
        <v>10</v>
      </c>
      <c r="M5568" s="17">
        <v>360</v>
      </c>
      <c r="N5568" s="17">
        <v>10</v>
      </c>
      <c r="O5568" s="18">
        <v>149.84</v>
      </c>
      <c r="P5568" s="18">
        <v>122.82</v>
      </c>
      <c r="Q5568" s="18">
        <v>127.36</v>
      </c>
      <c r="R5568" s="18">
        <v>104.39</v>
      </c>
      <c r="S5568" s="18">
        <v>101.89</v>
      </c>
      <c r="T5568" s="18">
        <v>83.52</v>
      </c>
      <c r="U5568" s="16"/>
      <c r="V5568" s="16"/>
      <c r="W5568" s="16" t="s">
        <v>40</v>
      </c>
      <c r="X5568" s="19">
        <v>4.2999999999999997E-2</v>
      </c>
      <c r="Y5568" s="20">
        <v>5.7000000000000003E-5</v>
      </c>
      <c r="Z5568" s="21">
        <v>4601004201224</v>
      </c>
    </row>
    <row r="5569" spans="1:26" ht="12" customHeight="1" outlineLevel="4" x14ac:dyDescent="0.2">
      <c r="A5569" s="14" t="s">
        <v>10775</v>
      </c>
      <c r="B5569" s="26" t="s">
        <v>10776</v>
      </c>
      <c r="C5569" s="52"/>
      <c r="D5569" s="55">
        <f t="shared" si="86"/>
        <v>0</v>
      </c>
      <c r="E5569" s="63" t="str">
        <f>HYPERLINK("https://www.sds-group.ru/product/pasta-goi-polirovalnaya-2-100g-banochka-rexant-09-3791/", "Инфо")</f>
        <v>Инфо</v>
      </c>
      <c r="F5569" s="16" t="s">
        <v>39</v>
      </c>
      <c r="G5569" s="15"/>
      <c r="H5569" s="15"/>
      <c r="I5569" s="15"/>
      <c r="J5569" s="17">
        <v>233</v>
      </c>
      <c r="K5569" s="15"/>
      <c r="L5569" s="17">
        <v>10</v>
      </c>
      <c r="M5569" s="17">
        <v>150</v>
      </c>
      <c r="N5569" s="17">
        <v>10</v>
      </c>
      <c r="O5569" s="18">
        <v>279.2</v>
      </c>
      <c r="P5569" s="18">
        <v>228.85</v>
      </c>
      <c r="Q5569" s="18">
        <v>237.32</v>
      </c>
      <c r="R5569" s="18">
        <v>194.52</v>
      </c>
      <c r="S5569" s="18">
        <v>189.86</v>
      </c>
      <c r="T5569" s="18">
        <v>155.62</v>
      </c>
      <c r="U5569" s="16"/>
      <c r="V5569" s="16"/>
      <c r="W5569" s="16" t="s">
        <v>40</v>
      </c>
      <c r="X5569" s="19">
        <v>0.11700000000000001</v>
      </c>
      <c r="Y5569" s="20">
        <v>1.4100000000000001E-4</v>
      </c>
      <c r="Z5569" s="21">
        <v>4601004201293</v>
      </c>
    </row>
    <row r="5570" spans="1:26" ht="12" customHeight="1" outlineLevel="4" x14ac:dyDescent="0.2">
      <c r="A5570" s="14" t="s">
        <v>10777</v>
      </c>
      <c r="B5570" s="26" t="s">
        <v>10778</v>
      </c>
      <c r="C5570" s="52"/>
      <c r="D5570" s="55">
        <f t="shared" si="86"/>
        <v>0</v>
      </c>
      <c r="E5570" s="63" t="str">
        <f>HYPERLINK("https://www.sds-group.ru/product/pasta-goi-polirovalnaya-2-30g-banochka-rexant-09-3790/", "Инфо")</f>
        <v>Инфо</v>
      </c>
      <c r="F5570" s="16" t="s">
        <v>39</v>
      </c>
      <c r="G5570" s="15"/>
      <c r="H5570" s="15"/>
      <c r="I5570" s="15"/>
      <c r="J5570" s="22">
        <v>4364</v>
      </c>
      <c r="K5570" s="15"/>
      <c r="L5570" s="17">
        <v>10</v>
      </c>
      <c r="M5570" s="17">
        <v>360</v>
      </c>
      <c r="N5570" s="17">
        <v>10</v>
      </c>
      <c r="O5570" s="18">
        <v>149.84</v>
      </c>
      <c r="P5570" s="18">
        <v>122.82</v>
      </c>
      <c r="Q5570" s="18">
        <v>127.36</v>
      </c>
      <c r="R5570" s="18">
        <v>104.39</v>
      </c>
      <c r="S5570" s="18">
        <v>101.89</v>
      </c>
      <c r="T5570" s="18">
        <v>83.52</v>
      </c>
      <c r="U5570" s="16"/>
      <c r="V5570" s="16"/>
      <c r="W5570" s="16" t="s">
        <v>40</v>
      </c>
      <c r="X5570" s="19">
        <v>2.5999999999999999E-2</v>
      </c>
      <c r="Y5570" s="20">
        <v>5.5999999999999999E-5</v>
      </c>
      <c r="Z5570" s="21">
        <v>4601004013520</v>
      </c>
    </row>
    <row r="5571" spans="1:26" ht="12" customHeight="1" outlineLevel="4" x14ac:dyDescent="0.2">
      <c r="A5571" s="14" t="s">
        <v>10779</v>
      </c>
      <c r="B5571" s="26" t="s">
        <v>10780</v>
      </c>
      <c r="C5571" s="52"/>
      <c r="D5571" s="55">
        <f t="shared" si="86"/>
        <v>0</v>
      </c>
      <c r="E5571" s="63" t="str">
        <f>HYPERLINK("https://www.sds-group.ru/product/pasta-goi-polirovalnaya-3-100g-banochka-rexant-09-3802/", "Инфо")</f>
        <v>Инфо</v>
      </c>
      <c r="F5571" s="16" t="s">
        <v>39</v>
      </c>
      <c r="G5571" s="15"/>
      <c r="H5571" s="15"/>
      <c r="I5571" s="15"/>
      <c r="J5571" s="17">
        <v>325</v>
      </c>
      <c r="K5571" s="15"/>
      <c r="L5571" s="17">
        <v>10</v>
      </c>
      <c r="M5571" s="17">
        <v>150</v>
      </c>
      <c r="N5571" s="17">
        <v>10</v>
      </c>
      <c r="O5571" s="18">
        <v>279.2</v>
      </c>
      <c r="P5571" s="18">
        <v>228.85</v>
      </c>
      <c r="Q5571" s="18">
        <v>237.32</v>
      </c>
      <c r="R5571" s="18">
        <v>194.52</v>
      </c>
      <c r="S5571" s="18">
        <v>189.86</v>
      </c>
      <c r="T5571" s="18">
        <v>155.62</v>
      </c>
      <c r="U5571" s="16"/>
      <c r="V5571" s="16"/>
      <c r="W5571" s="16" t="s">
        <v>40</v>
      </c>
      <c r="X5571" s="19">
        <v>0.112</v>
      </c>
      <c r="Y5571" s="20">
        <v>1.3999999999999999E-4</v>
      </c>
      <c r="Z5571" s="21">
        <v>4601004201255</v>
      </c>
    </row>
    <row r="5572" spans="1:26" ht="12" customHeight="1" outlineLevel="4" x14ac:dyDescent="0.2">
      <c r="A5572" s="14" t="s">
        <v>10781</v>
      </c>
      <c r="B5572" s="26" t="s">
        <v>10782</v>
      </c>
      <c r="C5572" s="52"/>
      <c r="D5572" s="55">
        <f t="shared" si="86"/>
        <v>0</v>
      </c>
      <c r="E5572" s="63" t="str">
        <f>HYPERLINK("https://www.sds-group.ru/product/pasta-goi-polirovalnaya-3-30g-banochka-rexant-09-3801/", "Инфо")</f>
        <v>Инфо</v>
      </c>
      <c r="F5572" s="16" t="s">
        <v>39</v>
      </c>
      <c r="G5572" s="15"/>
      <c r="H5572" s="15"/>
      <c r="I5572" s="15"/>
      <c r="J5572" s="17">
        <v>701</v>
      </c>
      <c r="K5572" s="15"/>
      <c r="L5572" s="17">
        <v>10</v>
      </c>
      <c r="M5572" s="17">
        <v>360</v>
      </c>
      <c r="N5572" s="17">
        <v>10</v>
      </c>
      <c r="O5572" s="18">
        <v>157.38999999999999</v>
      </c>
      <c r="P5572" s="18">
        <v>129.01</v>
      </c>
      <c r="Q5572" s="18">
        <v>133.78</v>
      </c>
      <c r="R5572" s="18">
        <v>109.66</v>
      </c>
      <c r="S5572" s="18">
        <v>107.03</v>
      </c>
      <c r="T5572" s="18">
        <v>87.73</v>
      </c>
      <c r="U5572" s="16"/>
      <c r="V5572" s="16"/>
      <c r="W5572" s="16" t="s">
        <v>40</v>
      </c>
      <c r="X5572" s="19">
        <v>4.3999999999999997E-2</v>
      </c>
      <c r="Y5572" s="20">
        <v>5.7000000000000003E-5</v>
      </c>
      <c r="Z5572" s="21">
        <v>4601004201248</v>
      </c>
    </row>
    <row r="5573" spans="1:26" ht="12" customHeight="1" outlineLevel="4" x14ac:dyDescent="0.2">
      <c r="A5573" s="14" t="s">
        <v>10783</v>
      </c>
      <c r="B5573" s="26" t="s">
        <v>10784</v>
      </c>
      <c r="C5573" s="52"/>
      <c r="D5573" s="55">
        <f t="shared" si="86"/>
        <v>0</v>
      </c>
      <c r="E5573" s="63" t="str">
        <f>HYPERLINK("https://www.sds-group.ru/product/pasta-teploprovodnaya-kpt-8-2ml-shprits-rexant-09-3751/", "Инфо")</f>
        <v>Инфо</v>
      </c>
      <c r="F5573" s="16" t="s">
        <v>39</v>
      </c>
      <c r="G5573" s="15"/>
      <c r="H5573" s="15"/>
      <c r="I5573" s="15"/>
      <c r="J5573" s="17">
        <v>868</v>
      </c>
      <c r="K5573" s="15" t="s">
        <v>1094</v>
      </c>
      <c r="L5573" s="17">
        <v>10</v>
      </c>
      <c r="M5573" s="17">
        <v>350</v>
      </c>
      <c r="N5573" s="17">
        <v>10</v>
      </c>
      <c r="O5573" s="18">
        <v>134.38999999999999</v>
      </c>
      <c r="P5573" s="18">
        <v>110.16</v>
      </c>
      <c r="Q5573" s="18">
        <v>114.23</v>
      </c>
      <c r="R5573" s="18">
        <v>93.63</v>
      </c>
      <c r="S5573" s="18">
        <v>91.39</v>
      </c>
      <c r="T5573" s="18">
        <v>74.91</v>
      </c>
      <c r="U5573" s="16"/>
      <c r="V5573" s="16"/>
      <c r="W5573" s="16" t="s">
        <v>40</v>
      </c>
      <c r="X5573" s="19">
        <v>8.9999999999999993E-3</v>
      </c>
      <c r="Y5573" s="20">
        <v>6.0000000000000002E-5</v>
      </c>
      <c r="Z5573" s="21">
        <v>4601004013407</v>
      </c>
    </row>
    <row r="5574" spans="1:26" ht="12" customHeight="1" outlineLevel="4" x14ac:dyDescent="0.2">
      <c r="A5574" s="14" t="s">
        <v>10785</v>
      </c>
      <c r="B5574" s="26" t="s">
        <v>10786</v>
      </c>
      <c r="C5574" s="52"/>
      <c r="D5574" s="55">
        <f t="shared" si="86"/>
        <v>0</v>
      </c>
      <c r="E5574" s="63" t="str">
        <f>HYPERLINK("https://www.sds-group.ru/product/pasta-teploprovodnaya-kpt-8-5ml-shprits-rexant-09-3750/", "Инфо")</f>
        <v>Инфо</v>
      </c>
      <c r="F5574" s="16" t="s">
        <v>39</v>
      </c>
      <c r="G5574" s="15"/>
      <c r="H5574" s="15"/>
      <c r="I5574" s="15"/>
      <c r="J5574" s="22">
        <v>1135</v>
      </c>
      <c r="K5574" s="15"/>
      <c r="L5574" s="17">
        <v>10</v>
      </c>
      <c r="M5574" s="17">
        <v>200</v>
      </c>
      <c r="N5574" s="17">
        <v>10</v>
      </c>
      <c r="O5574" s="18">
        <v>169.98</v>
      </c>
      <c r="P5574" s="18">
        <v>139.33000000000001</v>
      </c>
      <c r="Q5574" s="18">
        <v>144.47999999999999</v>
      </c>
      <c r="R5574" s="18">
        <v>118.43</v>
      </c>
      <c r="S5574" s="18">
        <v>115.59</v>
      </c>
      <c r="T5574" s="18">
        <v>94.75</v>
      </c>
      <c r="U5574" s="16"/>
      <c r="V5574" s="16"/>
      <c r="W5574" s="16" t="s">
        <v>40</v>
      </c>
      <c r="X5574" s="19">
        <v>2.1000000000000001E-2</v>
      </c>
      <c r="Y5574" s="20">
        <v>1.11E-4</v>
      </c>
      <c r="Z5574" s="21">
        <v>4601004013452</v>
      </c>
    </row>
    <row r="5575" spans="1:26" ht="12" customHeight="1" outlineLevel="4" x14ac:dyDescent="0.2">
      <c r="A5575" s="14" t="s">
        <v>10787</v>
      </c>
      <c r="B5575" s="26" t="s">
        <v>10788</v>
      </c>
      <c r="C5575" s="52"/>
      <c r="D5575" s="55">
        <f t="shared" si="86"/>
        <v>0</v>
      </c>
      <c r="E5575" s="63" t="str">
        <f>HYPERLINK("https://www.sds-group.ru/product/silikonovoe-maslo-pms-100-polimetilsiloksan-100ml-flakon-rexant-09-3921/", "Инфо")</f>
        <v>Инфо</v>
      </c>
      <c r="F5575" s="16" t="s">
        <v>39</v>
      </c>
      <c r="G5575" s="15"/>
      <c r="H5575" s="15"/>
      <c r="I5575" s="15"/>
      <c r="J5575" s="17">
        <v>163</v>
      </c>
      <c r="K5575" s="15"/>
      <c r="L5575" s="17">
        <v>1</v>
      </c>
      <c r="M5575" s="17">
        <v>140</v>
      </c>
      <c r="N5575" s="17">
        <v>1</v>
      </c>
      <c r="O5575" s="18">
        <v>891.08</v>
      </c>
      <c r="P5575" s="18">
        <v>730.39</v>
      </c>
      <c r="Q5575" s="18">
        <v>712.86</v>
      </c>
      <c r="R5575" s="18">
        <v>584.30999999999995</v>
      </c>
      <c r="S5575" s="18">
        <v>605.92999999999995</v>
      </c>
      <c r="T5575" s="18">
        <v>496.66</v>
      </c>
      <c r="U5575" s="16"/>
      <c r="V5575" s="16"/>
      <c r="W5575" s="16" t="s">
        <v>40</v>
      </c>
      <c r="X5575" s="19">
        <v>0.11</v>
      </c>
      <c r="Y5575" s="20">
        <v>1.95E-4</v>
      </c>
      <c r="Z5575" s="21">
        <v>4601004013537</v>
      </c>
    </row>
    <row r="5576" spans="1:26" ht="12" customHeight="1" outlineLevel="4" x14ac:dyDescent="0.2">
      <c r="A5576" s="14" t="s">
        <v>10789</v>
      </c>
      <c r="B5576" s="26" t="s">
        <v>10790</v>
      </c>
      <c r="C5576" s="52"/>
      <c r="D5576" s="55">
        <f t="shared" si="86"/>
        <v>0</v>
      </c>
      <c r="E5576" s="63" t="str">
        <f>HYPERLINK("https://www.sds-group.ru/product/silikonovoe-maslo-pms-100-polimetilsiloksan-15ml-nosik-kapelnitsa-rexant-09-3901/", "Инфо")</f>
        <v>Инфо</v>
      </c>
      <c r="F5576" s="16" t="s">
        <v>39</v>
      </c>
      <c r="G5576" s="15"/>
      <c r="H5576" s="15"/>
      <c r="I5576" s="15"/>
      <c r="J5576" s="17">
        <v>132</v>
      </c>
      <c r="K5576" s="15"/>
      <c r="L5576" s="17">
        <v>10</v>
      </c>
      <c r="M5576" s="17">
        <v>120</v>
      </c>
      <c r="N5576" s="17">
        <v>10</v>
      </c>
      <c r="O5576" s="18">
        <v>236.2</v>
      </c>
      <c r="P5576" s="18">
        <v>193.61</v>
      </c>
      <c r="Q5576" s="18">
        <v>200.77</v>
      </c>
      <c r="R5576" s="18">
        <v>164.57</v>
      </c>
      <c r="S5576" s="18">
        <v>160.62</v>
      </c>
      <c r="T5576" s="18">
        <v>131.66</v>
      </c>
      <c r="U5576" s="16"/>
      <c r="V5576" s="16"/>
      <c r="W5576" s="16" t="s">
        <v>40</v>
      </c>
      <c r="X5576" s="19">
        <v>2.1999999999999999E-2</v>
      </c>
      <c r="Y5576" s="20">
        <v>1.6200000000000001E-4</v>
      </c>
      <c r="Z5576" s="21">
        <v>4601004042759</v>
      </c>
    </row>
    <row r="5577" spans="1:26" ht="12" customHeight="1" outlineLevel="4" x14ac:dyDescent="0.2">
      <c r="A5577" s="14" t="s">
        <v>10791</v>
      </c>
      <c r="B5577" s="26" t="s">
        <v>10792</v>
      </c>
      <c r="C5577" s="52"/>
      <c r="D5577" s="55">
        <f t="shared" ref="D5577:D5639" si="87">C5577*(O5577-O5577*$G$3)</f>
        <v>0</v>
      </c>
      <c r="E5577" s="63" t="str">
        <f>HYPERLINK("https://www.sds-group.ru/product/silikonovoe-maslo-pms-100-polimetilsiloksan-500ml-flakon-rexant-09-3922/", "Инфо")</f>
        <v>Инфо</v>
      </c>
      <c r="F5577" s="16" t="s">
        <v>39</v>
      </c>
      <c r="G5577" s="15"/>
      <c r="H5577" s="15"/>
      <c r="I5577" s="15"/>
      <c r="J5577" s="17">
        <v>76</v>
      </c>
      <c r="K5577" s="15"/>
      <c r="L5577" s="17">
        <v>1</v>
      </c>
      <c r="M5577" s="17">
        <v>24</v>
      </c>
      <c r="N5577" s="17">
        <v>1</v>
      </c>
      <c r="O5577" s="18">
        <v>3398.44</v>
      </c>
      <c r="P5577" s="18">
        <v>2785.61</v>
      </c>
      <c r="Q5577" s="18">
        <v>2378.91</v>
      </c>
      <c r="R5577" s="18">
        <v>1949.93</v>
      </c>
      <c r="S5577" s="18">
        <v>2310.94</v>
      </c>
      <c r="T5577" s="18">
        <v>1894.21</v>
      </c>
      <c r="U5577" s="16"/>
      <c r="V5577" s="16"/>
      <c r="W5577" s="16"/>
      <c r="X5577" s="19">
        <v>0.52500000000000002</v>
      </c>
      <c r="Y5577" s="20">
        <v>9.2299999999999999E-4</v>
      </c>
      <c r="Z5577" s="21">
        <v>4601004128309</v>
      </c>
    </row>
    <row r="5578" spans="1:26" ht="12" customHeight="1" outlineLevel="4" x14ac:dyDescent="0.2">
      <c r="A5578" s="14" t="s">
        <v>10793</v>
      </c>
      <c r="B5578" s="26" t="s">
        <v>10794</v>
      </c>
      <c r="C5578" s="52"/>
      <c r="D5578" s="55">
        <f t="shared" si="87"/>
        <v>0</v>
      </c>
      <c r="E5578" s="63" t="str">
        <f>HYPERLINK("https://www.sds-group.ru/product/silikonovoe-maslo-pms-1000-polimetilsiloksan-100ml-flakon-rexant-09-3907/", "Инфо")</f>
        <v>Инфо</v>
      </c>
      <c r="F5578" s="16" t="s">
        <v>39</v>
      </c>
      <c r="G5578" s="15"/>
      <c r="H5578" s="15"/>
      <c r="I5578" s="15"/>
      <c r="J5578" s="17">
        <v>74</v>
      </c>
      <c r="K5578" s="15"/>
      <c r="L5578" s="17">
        <v>1</v>
      </c>
      <c r="M5578" s="17">
        <v>140</v>
      </c>
      <c r="N5578" s="17">
        <v>1</v>
      </c>
      <c r="O5578" s="18">
        <v>756.31</v>
      </c>
      <c r="P5578" s="18">
        <v>619.92999999999995</v>
      </c>
      <c r="Q5578" s="18">
        <v>605.04999999999995</v>
      </c>
      <c r="R5578" s="18">
        <v>495.94</v>
      </c>
      <c r="S5578" s="18">
        <v>514.29</v>
      </c>
      <c r="T5578" s="18">
        <v>421.55</v>
      </c>
      <c r="U5578" s="16"/>
      <c r="V5578" s="16"/>
      <c r="W5578" s="16" t="s">
        <v>40</v>
      </c>
      <c r="X5578" s="19">
        <v>0.11700000000000001</v>
      </c>
      <c r="Y5578" s="20">
        <v>2.1699999999999999E-4</v>
      </c>
      <c r="Z5578" s="21">
        <v>4601004198913</v>
      </c>
    </row>
    <row r="5579" spans="1:26" ht="12" customHeight="1" outlineLevel="4" x14ac:dyDescent="0.2">
      <c r="A5579" s="14" t="s">
        <v>10795</v>
      </c>
      <c r="B5579" s="26" t="s">
        <v>10796</v>
      </c>
      <c r="C5579" s="52"/>
      <c r="D5579" s="55">
        <f t="shared" si="87"/>
        <v>0</v>
      </c>
      <c r="E5579" s="63" t="str">
        <f>HYPERLINK("https://www.sds-group.ru/product/silikonovoe-maslo-pms-1000-polimetilsiloksan-15ml-nosik-kapelnitsa-rexant-09-3909/", "Инфо")</f>
        <v>Инфо</v>
      </c>
      <c r="F5579" s="16" t="s">
        <v>39</v>
      </c>
      <c r="G5579" s="15"/>
      <c r="H5579" s="15"/>
      <c r="I5579" s="15"/>
      <c r="J5579" s="17">
        <v>643</v>
      </c>
      <c r="K5579" s="15"/>
      <c r="L5579" s="17">
        <v>10</v>
      </c>
      <c r="M5579" s="17">
        <v>120</v>
      </c>
      <c r="N5579" s="17">
        <v>10</v>
      </c>
      <c r="O5579" s="18">
        <v>236.2</v>
      </c>
      <c r="P5579" s="18">
        <v>193.61</v>
      </c>
      <c r="Q5579" s="18">
        <v>200.77</v>
      </c>
      <c r="R5579" s="18">
        <v>164.57</v>
      </c>
      <c r="S5579" s="18">
        <v>160.62</v>
      </c>
      <c r="T5579" s="18">
        <v>131.66</v>
      </c>
      <c r="U5579" s="16"/>
      <c r="V5579" s="16"/>
      <c r="W5579" s="16" t="s">
        <v>40</v>
      </c>
      <c r="X5579" s="19">
        <v>2.4E-2</v>
      </c>
      <c r="Y5579" s="20">
        <v>1.74E-4</v>
      </c>
      <c r="Z5579" s="21">
        <v>4601004042735</v>
      </c>
    </row>
    <row r="5580" spans="1:26" ht="12" customHeight="1" outlineLevel="4" x14ac:dyDescent="0.2">
      <c r="A5580" s="14" t="s">
        <v>10797</v>
      </c>
      <c r="B5580" s="26" t="s">
        <v>10798</v>
      </c>
      <c r="C5580" s="52"/>
      <c r="D5580" s="55">
        <f t="shared" si="87"/>
        <v>0</v>
      </c>
      <c r="E5580" s="63" t="str">
        <f>HYPERLINK("https://www.sds-group.ru/product/silikonovoe-maslo-pms-1000-polimetilsiloksan-500ml-flakon-rexant-09-3908/", "Инфо")</f>
        <v>Инфо</v>
      </c>
      <c r="F5580" s="16" t="s">
        <v>39</v>
      </c>
      <c r="G5580" s="15"/>
      <c r="H5580" s="15"/>
      <c r="I5580" s="15"/>
      <c r="J5580" s="17">
        <v>45</v>
      </c>
      <c r="K5580" s="15"/>
      <c r="L5580" s="17">
        <v>1</v>
      </c>
      <c r="M5580" s="17">
        <v>24</v>
      </c>
      <c r="N5580" s="17">
        <v>1</v>
      </c>
      <c r="O5580" s="18">
        <v>3398.44</v>
      </c>
      <c r="P5580" s="18">
        <v>2785.61</v>
      </c>
      <c r="Q5580" s="18">
        <v>2378.91</v>
      </c>
      <c r="R5580" s="18">
        <v>1949.93</v>
      </c>
      <c r="S5580" s="18">
        <v>2310.94</v>
      </c>
      <c r="T5580" s="18">
        <v>1894.21</v>
      </c>
      <c r="U5580" s="16"/>
      <c r="V5580" s="16"/>
      <c r="W5580" s="16"/>
      <c r="X5580" s="19">
        <v>0.53400000000000003</v>
      </c>
      <c r="Y5580" s="20">
        <v>9.41E-4</v>
      </c>
      <c r="Z5580" s="21">
        <v>4601004198876</v>
      </c>
    </row>
    <row r="5581" spans="1:26" ht="12" customHeight="1" outlineLevel="4" x14ac:dyDescent="0.2">
      <c r="A5581" s="14" t="s">
        <v>10799</v>
      </c>
      <c r="B5581" s="26" t="s">
        <v>10800</v>
      </c>
      <c r="C5581" s="52"/>
      <c r="D5581" s="55">
        <f t="shared" si="87"/>
        <v>0</v>
      </c>
      <c r="E5581" s="63" t="str">
        <f>HYPERLINK("https://www.sds-group.ru/product/silikonovoe-maslo-pms-10000-polimetilsiloksan-100ml-flakon-rexant-09-3935/", "Инфо")</f>
        <v>Инфо</v>
      </c>
      <c r="F5581" s="16" t="s">
        <v>39</v>
      </c>
      <c r="G5581" s="15"/>
      <c r="H5581" s="15"/>
      <c r="I5581" s="15"/>
      <c r="J5581" s="17">
        <v>78</v>
      </c>
      <c r="K5581" s="15" t="s">
        <v>1094</v>
      </c>
      <c r="L5581" s="17">
        <v>1</v>
      </c>
      <c r="M5581" s="17">
        <v>140</v>
      </c>
      <c r="N5581" s="17">
        <v>1</v>
      </c>
      <c r="O5581" s="18">
        <v>1027.99</v>
      </c>
      <c r="P5581" s="18">
        <v>842.61</v>
      </c>
      <c r="Q5581" s="18">
        <v>822.39</v>
      </c>
      <c r="R5581" s="18">
        <v>674.09</v>
      </c>
      <c r="S5581" s="18">
        <v>699.03</v>
      </c>
      <c r="T5581" s="18">
        <v>572.98</v>
      </c>
      <c r="U5581" s="16"/>
      <c r="V5581" s="16"/>
      <c r="W5581" s="16" t="s">
        <v>40</v>
      </c>
      <c r="X5581" s="19">
        <v>0.122</v>
      </c>
      <c r="Y5581" s="20">
        <v>2.1699999999999999E-4</v>
      </c>
      <c r="Z5581" s="21">
        <v>4601004198883</v>
      </c>
    </row>
    <row r="5582" spans="1:26" ht="12" customHeight="1" outlineLevel="4" x14ac:dyDescent="0.2">
      <c r="A5582" s="14" t="s">
        <v>10801</v>
      </c>
      <c r="B5582" s="26" t="s">
        <v>10802</v>
      </c>
      <c r="C5582" s="52"/>
      <c r="D5582" s="55">
        <f t="shared" si="87"/>
        <v>0</v>
      </c>
      <c r="E5582" s="63" t="str">
        <f>HYPERLINK("https://www.sds-group.ru/product/silikonovoe-maslo-pms-10000-polimetilsiloksan-500ml-flakon-rexant-09-3936/", "Инфо")</f>
        <v>Инфо</v>
      </c>
      <c r="F5582" s="16" t="s">
        <v>39</v>
      </c>
      <c r="G5582" s="15"/>
      <c r="H5582" s="15"/>
      <c r="I5582" s="15"/>
      <c r="J5582" s="16" t="s">
        <v>100</v>
      </c>
      <c r="K5582" s="15" t="s">
        <v>1094</v>
      </c>
      <c r="L5582" s="17">
        <v>1</v>
      </c>
      <c r="M5582" s="17">
        <v>24</v>
      </c>
      <c r="N5582" s="17">
        <v>1</v>
      </c>
      <c r="O5582" s="18">
        <v>3524.36</v>
      </c>
      <c r="P5582" s="18">
        <v>2888.82</v>
      </c>
      <c r="Q5582" s="18">
        <v>2713.76</v>
      </c>
      <c r="R5582" s="18">
        <v>2224.39</v>
      </c>
      <c r="S5582" s="18">
        <v>2396.56</v>
      </c>
      <c r="T5582" s="18">
        <v>1964.39</v>
      </c>
      <c r="U5582" s="16"/>
      <c r="V5582" s="16"/>
      <c r="W5582" s="16" t="s">
        <v>40</v>
      </c>
      <c r="X5582" s="19">
        <v>0.51400000000000001</v>
      </c>
      <c r="Y5582" s="20">
        <v>9.1200000000000005E-4</v>
      </c>
      <c r="Z5582" s="21">
        <v>4601004198890</v>
      </c>
    </row>
    <row r="5583" spans="1:26" ht="12" customHeight="1" outlineLevel="4" x14ac:dyDescent="0.2">
      <c r="A5583" s="14" t="s">
        <v>10803</v>
      </c>
      <c r="B5583" s="26" t="s">
        <v>10804</v>
      </c>
      <c r="C5583" s="52"/>
      <c r="D5583" s="55">
        <f t="shared" si="87"/>
        <v>0</v>
      </c>
      <c r="E5583" s="63" t="str">
        <f>HYPERLINK("https://www.sds-group.ru/product/silikonovoe-maslo-pms-200-polimetilsiloksan-100ml-flakon-rexant-09-3931/", "Инфо")</f>
        <v>Инфо</v>
      </c>
      <c r="F5583" s="16" t="s">
        <v>39</v>
      </c>
      <c r="G5583" s="15"/>
      <c r="H5583" s="15"/>
      <c r="I5583" s="15"/>
      <c r="J5583" s="17">
        <v>286</v>
      </c>
      <c r="K5583" s="15"/>
      <c r="L5583" s="17">
        <v>1</v>
      </c>
      <c r="M5583" s="17">
        <v>140</v>
      </c>
      <c r="N5583" s="17">
        <v>1</v>
      </c>
      <c r="O5583" s="18">
        <v>891.08</v>
      </c>
      <c r="P5583" s="18">
        <v>730.39</v>
      </c>
      <c r="Q5583" s="18">
        <v>712.86</v>
      </c>
      <c r="R5583" s="18">
        <v>584.30999999999995</v>
      </c>
      <c r="S5583" s="18">
        <v>605.92999999999995</v>
      </c>
      <c r="T5583" s="18">
        <v>496.66</v>
      </c>
      <c r="U5583" s="16"/>
      <c r="V5583" s="16"/>
      <c r="W5583" s="16" t="s">
        <v>40</v>
      </c>
      <c r="X5583" s="19">
        <v>0.1</v>
      </c>
      <c r="Y5583" s="20">
        <v>1.8100000000000001E-4</v>
      </c>
      <c r="Z5583" s="21">
        <v>4601004014626</v>
      </c>
    </row>
    <row r="5584" spans="1:26" ht="12" customHeight="1" outlineLevel="4" x14ac:dyDescent="0.2">
      <c r="A5584" s="14" t="s">
        <v>10805</v>
      </c>
      <c r="B5584" s="26" t="s">
        <v>10806</v>
      </c>
      <c r="C5584" s="52"/>
      <c r="D5584" s="55">
        <f t="shared" si="87"/>
        <v>0</v>
      </c>
      <c r="E5584" s="63" t="str">
        <f>HYPERLINK("https://www.sds-group.ru/product/silikonovoe-maslo-pms-200-polimetilsiloksan-15ml-nosik-kapelnitsa-rexant-09-3930/", "Инфо")</f>
        <v>Инфо</v>
      </c>
      <c r="F5584" s="16" t="s">
        <v>39</v>
      </c>
      <c r="G5584" s="15"/>
      <c r="H5584" s="15"/>
      <c r="I5584" s="15"/>
      <c r="J5584" s="17">
        <v>914</v>
      </c>
      <c r="K5584" s="15"/>
      <c r="L5584" s="17">
        <v>10</v>
      </c>
      <c r="M5584" s="17">
        <v>120</v>
      </c>
      <c r="N5584" s="17">
        <v>10</v>
      </c>
      <c r="O5584" s="18">
        <v>232.11</v>
      </c>
      <c r="P5584" s="18">
        <v>190.25</v>
      </c>
      <c r="Q5584" s="18">
        <v>162.47999999999999</v>
      </c>
      <c r="R5584" s="18">
        <v>133.18</v>
      </c>
      <c r="S5584" s="18">
        <v>157.83000000000001</v>
      </c>
      <c r="T5584" s="18">
        <v>129.37</v>
      </c>
      <c r="U5584" s="16"/>
      <c r="V5584" s="16"/>
      <c r="W5584" s="16"/>
      <c r="X5584" s="19">
        <v>2.5000000000000001E-2</v>
      </c>
      <c r="Y5584" s="20">
        <v>1.85E-4</v>
      </c>
      <c r="Z5584" s="21">
        <v>4601004013438</v>
      </c>
    </row>
    <row r="5585" spans="1:26" ht="12" customHeight="1" outlineLevel="4" x14ac:dyDescent="0.2">
      <c r="A5585" s="14" t="s">
        <v>10807</v>
      </c>
      <c r="B5585" s="26" t="s">
        <v>10808</v>
      </c>
      <c r="C5585" s="52"/>
      <c r="D5585" s="55">
        <f t="shared" si="87"/>
        <v>0</v>
      </c>
      <c r="E5585" s="63" t="str">
        <f>HYPERLINK("https://www.sds-group.ru/product/silikonovoe-maslo-pms-200-polimetilsiloksan-500ml-flakon-rexant-09-3932/", "Инфо")</f>
        <v>Инфо</v>
      </c>
      <c r="F5585" s="16" t="s">
        <v>39</v>
      </c>
      <c r="G5585" s="15"/>
      <c r="H5585" s="15"/>
      <c r="I5585" s="15"/>
      <c r="J5585" s="17">
        <v>104</v>
      </c>
      <c r="K5585" s="15"/>
      <c r="L5585" s="17">
        <v>1</v>
      </c>
      <c r="M5585" s="17">
        <v>24</v>
      </c>
      <c r="N5585" s="17">
        <v>1</v>
      </c>
      <c r="O5585" s="18">
        <v>3398.44</v>
      </c>
      <c r="P5585" s="18">
        <v>2785.61</v>
      </c>
      <c r="Q5585" s="18">
        <v>2616.8000000000002</v>
      </c>
      <c r="R5585" s="18">
        <v>2144.92</v>
      </c>
      <c r="S5585" s="18">
        <v>2310.94</v>
      </c>
      <c r="T5585" s="18">
        <v>1894.21</v>
      </c>
      <c r="U5585" s="16"/>
      <c r="V5585" s="16"/>
      <c r="W5585" s="16" t="s">
        <v>40</v>
      </c>
      <c r="X5585" s="19">
        <v>0.52</v>
      </c>
      <c r="Y5585" s="20">
        <v>9.0700000000000004E-4</v>
      </c>
      <c r="Z5585" s="21">
        <v>4601004128316</v>
      </c>
    </row>
    <row r="5586" spans="1:26" ht="12" customHeight="1" outlineLevel="4" x14ac:dyDescent="0.2">
      <c r="A5586" s="14" t="s">
        <v>10809</v>
      </c>
      <c r="B5586" s="26" t="s">
        <v>10810</v>
      </c>
      <c r="C5586" s="52"/>
      <c r="D5586" s="55">
        <f t="shared" si="87"/>
        <v>0</v>
      </c>
      <c r="E5586" s="63" t="str">
        <f>HYPERLINK("https://www.sds-group.ru/product/silikonovoe-maslo-pms-400-polimetilsiloksan-15ml-nosik-kapelnitsa-rexant-09-3905/", "Инфо")</f>
        <v>Инфо</v>
      </c>
      <c r="F5586" s="16" t="s">
        <v>39</v>
      </c>
      <c r="G5586" s="15"/>
      <c r="H5586" s="15"/>
      <c r="I5586" s="15"/>
      <c r="J5586" s="17">
        <v>501</v>
      </c>
      <c r="K5586" s="15"/>
      <c r="L5586" s="17">
        <v>10</v>
      </c>
      <c r="M5586" s="17">
        <v>120</v>
      </c>
      <c r="N5586" s="17">
        <v>10</v>
      </c>
      <c r="O5586" s="18">
        <v>236.2</v>
      </c>
      <c r="P5586" s="18">
        <v>193.61</v>
      </c>
      <c r="Q5586" s="18">
        <v>200.77</v>
      </c>
      <c r="R5586" s="18">
        <v>164.57</v>
      </c>
      <c r="S5586" s="18">
        <v>160.62</v>
      </c>
      <c r="T5586" s="18">
        <v>131.66</v>
      </c>
      <c r="U5586" s="16"/>
      <c r="V5586" s="16"/>
      <c r="W5586" s="16" t="s">
        <v>40</v>
      </c>
      <c r="X5586" s="19">
        <v>1.7999999999999999E-2</v>
      </c>
      <c r="Y5586" s="20">
        <v>1.8699999999999999E-4</v>
      </c>
      <c r="Z5586" s="21">
        <v>4601004042728</v>
      </c>
    </row>
    <row r="5587" spans="1:26" ht="12" customHeight="1" outlineLevel="4" x14ac:dyDescent="0.2">
      <c r="A5587" s="14" t="s">
        <v>10811</v>
      </c>
      <c r="B5587" s="26" t="s">
        <v>10812</v>
      </c>
      <c r="C5587" s="52"/>
      <c r="D5587" s="55">
        <f t="shared" si="87"/>
        <v>0</v>
      </c>
      <c r="E5587" s="63" t="str">
        <f>HYPERLINK("https://www.sds-group.ru/product/silikonovoe-maslo-pms-5-polimetilsiloksan-100ml-flakon-rexant-09-3911/", "Инфо")</f>
        <v>Инфо</v>
      </c>
      <c r="F5587" s="16" t="s">
        <v>39</v>
      </c>
      <c r="G5587" s="15"/>
      <c r="H5587" s="15"/>
      <c r="I5587" s="15"/>
      <c r="J5587" s="17">
        <v>33</v>
      </c>
      <c r="K5587" s="15"/>
      <c r="L5587" s="17">
        <v>1</v>
      </c>
      <c r="M5587" s="17">
        <v>140</v>
      </c>
      <c r="N5587" s="17">
        <v>1</v>
      </c>
      <c r="O5587" s="18">
        <v>753.53</v>
      </c>
      <c r="P5587" s="18">
        <v>617.65</v>
      </c>
      <c r="Q5587" s="18">
        <v>527.47</v>
      </c>
      <c r="R5587" s="18">
        <v>432.35</v>
      </c>
      <c r="S5587" s="18">
        <v>512.4</v>
      </c>
      <c r="T5587" s="18">
        <v>420</v>
      </c>
      <c r="U5587" s="16"/>
      <c r="V5587" s="16"/>
      <c r="W5587" s="16"/>
      <c r="X5587" s="19">
        <v>0.108</v>
      </c>
      <c r="Y5587" s="20">
        <v>8.7000000000000001E-5</v>
      </c>
      <c r="Z5587" s="21">
        <v>4601004128347</v>
      </c>
    </row>
    <row r="5588" spans="1:26" ht="12" customHeight="1" outlineLevel="4" x14ac:dyDescent="0.2">
      <c r="A5588" s="14" t="s">
        <v>10813</v>
      </c>
      <c r="B5588" s="26" t="s">
        <v>10814</v>
      </c>
      <c r="C5588" s="52"/>
      <c r="D5588" s="55">
        <f t="shared" si="87"/>
        <v>0</v>
      </c>
      <c r="E5588" s="63" t="str">
        <f>HYPERLINK("https://www.sds-group.ru/product/silikonovoe-maslo-pms-5-polimetilsiloksan-15ml-nosik-kapelnitsa-rexant-09-3910/", "Инфо")</f>
        <v>Инфо</v>
      </c>
      <c r="F5588" s="16" t="s">
        <v>39</v>
      </c>
      <c r="G5588" s="15"/>
      <c r="H5588" s="15"/>
      <c r="I5588" s="15"/>
      <c r="J5588" s="17">
        <v>110</v>
      </c>
      <c r="K5588" s="15"/>
      <c r="L5588" s="17">
        <v>10</v>
      </c>
      <c r="M5588" s="17">
        <v>120</v>
      </c>
      <c r="N5588" s="17">
        <v>10</v>
      </c>
      <c r="O5588" s="18">
        <v>203.74</v>
      </c>
      <c r="P5588" s="18">
        <v>167</v>
      </c>
      <c r="Q5588" s="18">
        <v>173.18</v>
      </c>
      <c r="R5588" s="18">
        <v>141.94999999999999</v>
      </c>
      <c r="S5588" s="18">
        <v>138.54</v>
      </c>
      <c r="T5588" s="18">
        <v>113.56</v>
      </c>
      <c r="U5588" s="16"/>
      <c r="V5588" s="16"/>
      <c r="W5588" s="16" t="s">
        <v>40</v>
      </c>
      <c r="X5588" s="19">
        <v>2.3E-2</v>
      </c>
      <c r="Y5588" s="20">
        <v>1.8699999999999999E-4</v>
      </c>
      <c r="Z5588" s="21">
        <v>4601004128330</v>
      </c>
    </row>
    <row r="5589" spans="1:26" ht="12" customHeight="1" outlineLevel="4" x14ac:dyDescent="0.2">
      <c r="A5589" s="14" t="s">
        <v>10815</v>
      </c>
      <c r="B5589" s="26" t="s">
        <v>10816</v>
      </c>
      <c r="C5589" s="52"/>
      <c r="D5589" s="55">
        <f t="shared" si="87"/>
        <v>0</v>
      </c>
      <c r="E5589" s="63" t="str">
        <f>HYPERLINK("https://www.sds-group.ru/product/silikonovoe-maslo-pms-60000-polimetilsiloksan-100ml-flakon-rexant-09-3945/", "Инфо")</f>
        <v>Инфо</v>
      </c>
      <c r="F5589" s="16" t="s">
        <v>39</v>
      </c>
      <c r="G5589" s="15"/>
      <c r="H5589" s="15"/>
      <c r="I5589" s="15"/>
      <c r="J5589" s="17">
        <v>80</v>
      </c>
      <c r="K5589" s="15"/>
      <c r="L5589" s="17">
        <v>1</v>
      </c>
      <c r="M5589" s="17">
        <v>140</v>
      </c>
      <c r="N5589" s="17">
        <v>1</v>
      </c>
      <c r="O5589" s="18">
        <v>880.15</v>
      </c>
      <c r="P5589" s="18">
        <v>721.43</v>
      </c>
      <c r="Q5589" s="18">
        <v>616.11</v>
      </c>
      <c r="R5589" s="18">
        <v>505.01</v>
      </c>
      <c r="S5589" s="18">
        <v>598.5</v>
      </c>
      <c r="T5589" s="18">
        <v>490.57</v>
      </c>
      <c r="U5589" s="16"/>
      <c r="V5589" s="16"/>
      <c r="W5589" s="16"/>
      <c r="X5589" s="19">
        <v>0.11</v>
      </c>
      <c r="Y5589" s="20">
        <v>1.7899999999999999E-4</v>
      </c>
      <c r="Z5589" s="21">
        <v>4601004017702</v>
      </c>
    </row>
    <row r="5590" spans="1:26" ht="12" customHeight="1" outlineLevel="4" x14ac:dyDescent="0.2">
      <c r="A5590" s="14" t="s">
        <v>10817</v>
      </c>
      <c r="B5590" s="26" t="s">
        <v>10818</v>
      </c>
      <c r="C5590" s="52"/>
      <c r="D5590" s="55">
        <f t="shared" si="87"/>
        <v>0</v>
      </c>
      <c r="E5590" s="63" t="str">
        <f>HYPERLINK("https://www.sds-group.ru/product/silikonovoe-maslo-pms-60000-polimetilsiloksan-2ml-shprits-dempfernoe-rexant-09-3944/", "Инфо")</f>
        <v>Инфо</v>
      </c>
      <c r="F5590" s="16" t="s">
        <v>39</v>
      </c>
      <c r="G5590" s="15"/>
      <c r="H5590" s="15"/>
      <c r="I5590" s="15"/>
      <c r="J5590" s="22">
        <v>1261</v>
      </c>
      <c r="K5590" s="15"/>
      <c r="L5590" s="17">
        <v>10</v>
      </c>
      <c r="M5590" s="17">
        <v>350</v>
      </c>
      <c r="N5590" s="17">
        <v>10</v>
      </c>
      <c r="O5590" s="18">
        <v>119.29</v>
      </c>
      <c r="P5590" s="18">
        <v>97.78</v>
      </c>
      <c r="Q5590" s="18">
        <v>83.5</v>
      </c>
      <c r="R5590" s="18">
        <v>68.44</v>
      </c>
      <c r="S5590" s="18">
        <v>81.12</v>
      </c>
      <c r="T5590" s="18">
        <v>66.489999999999995</v>
      </c>
      <c r="U5590" s="16"/>
      <c r="V5590" s="16"/>
      <c r="W5590" s="16"/>
      <c r="X5590" s="19">
        <v>7.0000000000000001E-3</v>
      </c>
      <c r="Y5590" s="20">
        <v>6.3999999999999997E-5</v>
      </c>
      <c r="Z5590" s="21">
        <v>4601004061521</v>
      </c>
    </row>
    <row r="5591" spans="1:26" ht="12" customHeight="1" outlineLevel="4" x14ac:dyDescent="0.2">
      <c r="A5591" s="14" t="s">
        <v>10819</v>
      </c>
      <c r="B5591" s="26" t="s">
        <v>10820</v>
      </c>
      <c r="C5591" s="52"/>
      <c r="D5591" s="55">
        <f t="shared" si="87"/>
        <v>0</v>
      </c>
      <c r="E5591" s="63" t="str">
        <f>HYPERLINK("https://www.sds-group.ru/product/silikonovoe-maslo-pms-60000-polimetilsiloksan-500ml-flakon-rexant-09-3946/", "Инфо")</f>
        <v>Инфо</v>
      </c>
      <c r="F5591" s="16" t="s">
        <v>39</v>
      </c>
      <c r="G5591" s="15"/>
      <c r="H5591" s="15"/>
      <c r="I5591" s="15"/>
      <c r="J5591" s="17">
        <v>43</v>
      </c>
      <c r="K5591" s="15"/>
      <c r="L5591" s="17">
        <v>1</v>
      </c>
      <c r="M5591" s="17">
        <v>24</v>
      </c>
      <c r="N5591" s="17">
        <v>1</v>
      </c>
      <c r="O5591" s="18">
        <v>3638.93</v>
      </c>
      <c r="P5591" s="18">
        <v>2982.73</v>
      </c>
      <c r="Q5591" s="18">
        <v>2656.42</v>
      </c>
      <c r="R5591" s="18">
        <v>2177.39</v>
      </c>
      <c r="S5591" s="18">
        <v>2474.4699999999998</v>
      </c>
      <c r="T5591" s="18">
        <v>2028.25</v>
      </c>
      <c r="U5591" s="16"/>
      <c r="V5591" s="16"/>
      <c r="W5591" s="16" t="s">
        <v>40</v>
      </c>
      <c r="X5591" s="19">
        <v>0.52200000000000002</v>
      </c>
      <c r="Y5591" s="20">
        <v>9.1500000000000001E-4</v>
      </c>
      <c r="Z5591" s="21">
        <v>4601004198906</v>
      </c>
    </row>
    <row r="5592" spans="1:26" ht="12" customHeight="1" outlineLevel="4" x14ac:dyDescent="0.2">
      <c r="A5592" s="14" t="s">
        <v>10821</v>
      </c>
      <c r="B5592" s="26" t="s">
        <v>10822</v>
      </c>
      <c r="C5592" s="52"/>
      <c r="D5592" s="55">
        <f t="shared" si="87"/>
        <v>0</v>
      </c>
      <c r="E5592" s="63" t="str">
        <f>HYPERLINK("https://www.sds-group.ru/product/smazka-antifriktsionnaya-tsiatim-201-20ml-banka-rexant-09-3957/", "Инфо")</f>
        <v>Инфо</v>
      </c>
      <c r="F5592" s="16" t="s">
        <v>39</v>
      </c>
      <c r="G5592" s="15"/>
      <c r="H5592" s="15"/>
      <c r="I5592" s="15"/>
      <c r="J5592" s="17">
        <v>820</v>
      </c>
      <c r="K5592" s="15" t="s">
        <v>1888</v>
      </c>
      <c r="L5592" s="17">
        <v>10</v>
      </c>
      <c r="M5592" s="17">
        <v>400</v>
      </c>
      <c r="N5592" s="17">
        <v>10</v>
      </c>
      <c r="O5592" s="18">
        <v>104.51</v>
      </c>
      <c r="P5592" s="18">
        <v>85.66</v>
      </c>
      <c r="Q5592" s="18">
        <v>88.83</v>
      </c>
      <c r="R5592" s="18">
        <v>72.81</v>
      </c>
      <c r="S5592" s="18">
        <v>71.069999999999993</v>
      </c>
      <c r="T5592" s="18">
        <v>58.25</v>
      </c>
      <c r="U5592" s="16"/>
      <c r="V5592" s="16"/>
      <c r="W5592" s="16" t="s">
        <v>40</v>
      </c>
      <c r="X5592" s="19">
        <v>1.2E-2</v>
      </c>
      <c r="Y5592" s="20">
        <v>4.3000000000000002E-5</v>
      </c>
      <c r="Z5592" s="21">
        <v>4601004021501</v>
      </c>
    </row>
    <row r="5593" spans="1:26" ht="12" customHeight="1" outlineLevel="4" x14ac:dyDescent="0.2">
      <c r="A5593" s="14" t="s">
        <v>10823</v>
      </c>
      <c r="B5593" s="26" t="s">
        <v>10824</v>
      </c>
      <c r="C5593" s="52"/>
      <c r="D5593" s="55">
        <f t="shared" si="87"/>
        <v>0</v>
      </c>
      <c r="E5593" s="63" t="str">
        <f>HYPERLINK("https://www.sds-group.ru/product/smazka-grafitovaya-20ml-banka-rexant-09-3950/", "Инфо")</f>
        <v>Инфо</v>
      </c>
      <c r="F5593" s="16" t="s">
        <v>39</v>
      </c>
      <c r="G5593" s="15"/>
      <c r="H5593" s="15"/>
      <c r="I5593" s="15"/>
      <c r="J5593" s="17">
        <v>809</v>
      </c>
      <c r="K5593" s="15"/>
      <c r="L5593" s="17">
        <v>10</v>
      </c>
      <c r="M5593" s="17">
        <v>420</v>
      </c>
      <c r="N5593" s="17">
        <v>10</v>
      </c>
      <c r="O5593" s="18">
        <v>85.62</v>
      </c>
      <c r="P5593" s="18">
        <v>70.180000000000007</v>
      </c>
      <c r="Q5593" s="18">
        <v>72.78</v>
      </c>
      <c r="R5593" s="18">
        <v>59.66</v>
      </c>
      <c r="S5593" s="18">
        <v>58.22</v>
      </c>
      <c r="T5593" s="18">
        <v>47.72</v>
      </c>
      <c r="U5593" s="16"/>
      <c r="V5593" s="16"/>
      <c r="W5593" s="16" t="s">
        <v>40</v>
      </c>
      <c r="X5593" s="19">
        <v>2.3E-2</v>
      </c>
      <c r="Y5593" s="20">
        <v>7.1000000000000005E-5</v>
      </c>
      <c r="Z5593" s="21">
        <v>4630476020118</v>
      </c>
    </row>
    <row r="5594" spans="1:26" ht="12" customHeight="1" outlineLevel="4" x14ac:dyDescent="0.2">
      <c r="A5594" s="14" t="s">
        <v>10825</v>
      </c>
      <c r="B5594" s="26" t="s">
        <v>10826</v>
      </c>
      <c r="C5594" s="52"/>
      <c r="D5594" s="55">
        <f t="shared" si="87"/>
        <v>0</v>
      </c>
      <c r="E5594" s="63" t="str">
        <f>HYPERLINK("https://www.sds-group.ru/product/smazka-dlya-kulerov-ventilyatorov-sx-1-2ml-shprits-salfetki-nakleyki-blister-rexant-09-3981/", "Инфо")</f>
        <v>Инфо</v>
      </c>
      <c r="F5594" s="16" t="s">
        <v>39</v>
      </c>
      <c r="G5594" s="15"/>
      <c r="H5594" s="15"/>
      <c r="I5594" s="15"/>
      <c r="J5594" s="17">
        <v>299</v>
      </c>
      <c r="K5594" s="15"/>
      <c r="L5594" s="17">
        <v>5</v>
      </c>
      <c r="M5594" s="17">
        <v>10</v>
      </c>
      <c r="N5594" s="17">
        <v>5</v>
      </c>
      <c r="O5594" s="18">
        <v>257.64</v>
      </c>
      <c r="P5594" s="18">
        <v>211.18</v>
      </c>
      <c r="Q5594" s="18">
        <v>180.35</v>
      </c>
      <c r="R5594" s="18">
        <v>147.83000000000001</v>
      </c>
      <c r="S5594" s="18">
        <v>175.2</v>
      </c>
      <c r="T5594" s="18">
        <v>143.61000000000001</v>
      </c>
      <c r="U5594" s="16"/>
      <c r="V5594" s="16"/>
      <c r="W5594" s="16"/>
      <c r="X5594" s="19">
        <v>1.4999999999999999E-2</v>
      </c>
      <c r="Y5594" s="20">
        <v>2.72E-4</v>
      </c>
      <c r="Z5594" s="21">
        <v>4601004201316</v>
      </c>
    </row>
    <row r="5595" spans="1:26" ht="12" customHeight="1" outlineLevel="4" x14ac:dyDescent="0.2">
      <c r="A5595" s="14" t="s">
        <v>10827</v>
      </c>
      <c r="B5595" s="26" t="s">
        <v>10828</v>
      </c>
      <c r="C5595" s="52"/>
      <c r="D5595" s="55">
        <f t="shared" si="87"/>
        <v>0</v>
      </c>
      <c r="E5595" s="63" t="str">
        <f>HYPERLINK("https://www.sds-group.ru/product/smazka-dlya-kulerov-ventilyatorov-sx-2-2ml-shprits-salfetki-nakleyki-blister-rexant-09-3982/", "Инфо")</f>
        <v>Инфо</v>
      </c>
      <c r="F5595" s="16" t="s">
        <v>39</v>
      </c>
      <c r="G5595" s="15"/>
      <c r="H5595" s="15"/>
      <c r="I5595" s="15"/>
      <c r="J5595" s="17">
        <v>88</v>
      </c>
      <c r="K5595" s="15"/>
      <c r="L5595" s="17">
        <v>5</v>
      </c>
      <c r="M5595" s="17">
        <v>10</v>
      </c>
      <c r="N5595" s="17">
        <v>5</v>
      </c>
      <c r="O5595" s="18">
        <v>279.2</v>
      </c>
      <c r="P5595" s="18">
        <v>228.85</v>
      </c>
      <c r="Q5595" s="18">
        <v>195.44</v>
      </c>
      <c r="R5595" s="18">
        <v>160.19999999999999</v>
      </c>
      <c r="S5595" s="18">
        <v>189.86</v>
      </c>
      <c r="T5595" s="18">
        <v>155.62</v>
      </c>
      <c r="U5595" s="16"/>
      <c r="V5595" s="16"/>
      <c r="W5595" s="16"/>
      <c r="X5595" s="19">
        <v>1.6E-2</v>
      </c>
      <c r="Y5595" s="20">
        <v>2.1900000000000001E-4</v>
      </c>
      <c r="Z5595" s="21">
        <v>4601004201309</v>
      </c>
    </row>
    <row r="5596" spans="1:26" ht="12" customHeight="1" outlineLevel="4" x14ac:dyDescent="0.2">
      <c r="A5596" s="14" t="s">
        <v>10829</v>
      </c>
      <c r="B5596" s="26" t="s">
        <v>10830</v>
      </c>
      <c r="C5596" s="52"/>
      <c r="D5596" s="55">
        <f t="shared" si="87"/>
        <v>0</v>
      </c>
      <c r="E5596" s="63" t="str">
        <f>HYPERLINK("https://www.sds-group.ru/product/smazka-dlya-kulerov-ventilyatorov-sx-3-2ml-shprits-salfetki-nakleyki-blister-rexant-09-3983/", "Инфо")</f>
        <v>Инфо</v>
      </c>
      <c r="F5596" s="16" t="s">
        <v>39</v>
      </c>
      <c r="G5596" s="15"/>
      <c r="H5596" s="15"/>
      <c r="I5596" s="15"/>
      <c r="J5596" s="17">
        <v>297</v>
      </c>
      <c r="K5596" s="15"/>
      <c r="L5596" s="17">
        <v>5</v>
      </c>
      <c r="M5596" s="17">
        <v>10</v>
      </c>
      <c r="N5596" s="17">
        <v>5</v>
      </c>
      <c r="O5596" s="18">
        <v>300.76</v>
      </c>
      <c r="P5596" s="18">
        <v>246.52</v>
      </c>
      <c r="Q5596" s="18">
        <v>210.53</v>
      </c>
      <c r="R5596" s="18">
        <v>172.57</v>
      </c>
      <c r="S5596" s="18">
        <v>204.52</v>
      </c>
      <c r="T5596" s="18">
        <v>167.64</v>
      </c>
      <c r="U5596" s="16"/>
      <c r="V5596" s="16"/>
      <c r="W5596" s="16"/>
      <c r="X5596" s="19">
        <v>1.7000000000000001E-2</v>
      </c>
      <c r="Y5596" s="20">
        <v>2.4600000000000002E-4</v>
      </c>
      <c r="Z5596" s="21">
        <v>4601004201286</v>
      </c>
    </row>
    <row r="5597" spans="1:26" ht="12" customHeight="1" outlineLevel="4" x14ac:dyDescent="0.2">
      <c r="A5597" s="14" t="s">
        <v>10831</v>
      </c>
      <c r="B5597" s="26" t="s">
        <v>10832</v>
      </c>
      <c r="C5597" s="52"/>
      <c r="D5597" s="55">
        <f t="shared" si="87"/>
        <v>0</v>
      </c>
      <c r="E5597" s="63" t="str">
        <f>HYPERLINK("https://www.sds-group.ru/product/smazka-silikonovaya-mnogotselevaya-400ml-aerozol-09-3948/", "Инфо")</f>
        <v>Инфо</v>
      </c>
      <c r="F5597" s="16" t="s">
        <v>39</v>
      </c>
      <c r="G5597" s="15"/>
      <c r="H5597" s="15"/>
      <c r="I5597" s="15"/>
      <c r="J5597" s="22">
        <v>4670</v>
      </c>
      <c r="K5597" s="15"/>
      <c r="L5597" s="17">
        <v>1</v>
      </c>
      <c r="M5597" s="17">
        <v>24</v>
      </c>
      <c r="N5597" s="17">
        <v>1</v>
      </c>
      <c r="O5597" s="18">
        <v>541.44000000000005</v>
      </c>
      <c r="P5597" s="18">
        <v>443.8</v>
      </c>
      <c r="Q5597" s="18">
        <v>433.15</v>
      </c>
      <c r="R5597" s="18">
        <v>355.04</v>
      </c>
      <c r="S5597" s="18">
        <v>368.18</v>
      </c>
      <c r="T5597" s="18">
        <v>301.79000000000002</v>
      </c>
      <c r="U5597" s="16"/>
      <c r="V5597" s="16"/>
      <c r="W5597" s="16" t="s">
        <v>40</v>
      </c>
      <c r="X5597" s="19">
        <v>0.254</v>
      </c>
      <c r="Y5597" s="20">
        <v>7.36E-4</v>
      </c>
      <c r="Z5597" s="21">
        <v>4601004050198</v>
      </c>
    </row>
    <row r="5598" spans="1:26" ht="12" customHeight="1" outlineLevel="4" x14ac:dyDescent="0.2">
      <c r="A5598" s="14" t="s">
        <v>10833</v>
      </c>
      <c r="B5598" s="26" t="s">
        <v>10834</v>
      </c>
      <c r="C5598" s="52"/>
      <c r="D5598" s="55">
        <f t="shared" si="87"/>
        <v>0</v>
      </c>
      <c r="E5598" s="63" t="str">
        <f>HYPERLINK("https://www.sds-group.ru/product/smazka-silikonovaya-termostoykaya-model-221-do-350-c-2ml-shprits-rexant-09-3955/", "Инфо")</f>
        <v>Инфо</v>
      </c>
      <c r="F5598" s="16" t="s">
        <v>39</v>
      </c>
      <c r="G5598" s="15"/>
      <c r="H5598" s="15"/>
      <c r="I5598" s="15"/>
      <c r="J5598" s="22">
        <v>1595</v>
      </c>
      <c r="K5598" s="15" t="s">
        <v>1888</v>
      </c>
      <c r="L5598" s="17">
        <v>10</v>
      </c>
      <c r="M5598" s="17">
        <v>900</v>
      </c>
      <c r="N5598" s="17">
        <v>10</v>
      </c>
      <c r="O5598" s="18">
        <v>167.63</v>
      </c>
      <c r="P5598" s="18">
        <v>137.4</v>
      </c>
      <c r="Q5598" s="18">
        <v>142.49</v>
      </c>
      <c r="R5598" s="18">
        <v>116.8</v>
      </c>
      <c r="S5598" s="18">
        <v>113.99</v>
      </c>
      <c r="T5598" s="18">
        <v>93.43</v>
      </c>
      <c r="U5598" s="16"/>
      <c r="V5598" s="16"/>
      <c r="W5598" s="16" t="s">
        <v>40</v>
      </c>
      <c r="X5598" s="19">
        <v>5.0000000000000001E-3</v>
      </c>
      <c r="Y5598" s="20">
        <v>4.8999999999999998E-5</v>
      </c>
      <c r="Z5598" s="21">
        <v>4601004013445</v>
      </c>
    </row>
    <row r="5599" spans="1:26" ht="12" customHeight="1" outlineLevel="4" x14ac:dyDescent="0.2">
      <c r="A5599" s="14" t="s">
        <v>10835</v>
      </c>
      <c r="B5599" s="26" t="s">
        <v>10836</v>
      </c>
      <c r="C5599" s="52"/>
      <c r="D5599" s="55">
        <f t="shared" si="87"/>
        <v>0</v>
      </c>
      <c r="E5599" s="63" t="str">
        <f>HYPERLINK("https://www.sds-group.ru/product/sredstvo-dlya-remonta-plastika-holodnaya-svarka-30ml-flakon-rexant-09-3967/", "Инфо")</f>
        <v>Инфо</v>
      </c>
      <c r="F5599" s="16" t="s">
        <v>39</v>
      </c>
      <c r="G5599" s="15"/>
      <c r="H5599" s="15"/>
      <c r="I5599" s="15"/>
      <c r="J5599" s="17">
        <v>7</v>
      </c>
      <c r="K5599" s="15" t="s">
        <v>1381</v>
      </c>
      <c r="L5599" s="17">
        <v>10</v>
      </c>
      <c r="M5599" s="17">
        <v>210</v>
      </c>
      <c r="N5599" s="17">
        <v>10</v>
      </c>
      <c r="O5599" s="18">
        <v>212.8</v>
      </c>
      <c r="P5599" s="18">
        <v>174.43</v>
      </c>
      <c r="Q5599" s="18">
        <v>180.88</v>
      </c>
      <c r="R5599" s="18">
        <v>148.26</v>
      </c>
      <c r="S5599" s="18">
        <v>144.69999999999999</v>
      </c>
      <c r="T5599" s="18">
        <v>118.61</v>
      </c>
      <c r="U5599" s="16"/>
      <c r="V5599" s="16"/>
      <c r="W5599" s="16" t="s">
        <v>40</v>
      </c>
      <c r="X5599" s="19">
        <v>9.0999999999999998E-2</v>
      </c>
      <c r="Y5599" s="20">
        <v>4.8500000000000003E-4</v>
      </c>
      <c r="Z5599" s="21">
        <v>4601004288058</v>
      </c>
    </row>
    <row r="5600" spans="1:26" ht="12" customHeight="1" outlineLevel="4" x14ac:dyDescent="0.2">
      <c r="A5600" s="14" t="s">
        <v>10837</v>
      </c>
      <c r="B5600" s="26" t="s">
        <v>10838</v>
      </c>
      <c r="C5600" s="52"/>
      <c r="D5600" s="55">
        <f t="shared" si="87"/>
        <v>0</v>
      </c>
      <c r="E5600" s="63" t="str">
        <f>HYPERLINK("https://www.sds-group.ru/product/universalnyy-rastvoritel-ochistitel-kalosha-100ml-nefras-s2-80-120-flakon-rexant-09-4121/", "Инфо")</f>
        <v>Инфо</v>
      </c>
      <c r="F5600" s="16" t="s">
        <v>39</v>
      </c>
      <c r="G5600" s="15"/>
      <c r="H5600" s="15"/>
      <c r="I5600" s="15"/>
      <c r="J5600" s="17">
        <v>933</v>
      </c>
      <c r="K5600" s="15"/>
      <c r="L5600" s="17">
        <v>10</v>
      </c>
      <c r="M5600" s="17">
        <v>80</v>
      </c>
      <c r="N5600" s="17">
        <v>10</v>
      </c>
      <c r="O5600" s="18">
        <v>164.95</v>
      </c>
      <c r="P5600" s="18">
        <v>135.19999999999999</v>
      </c>
      <c r="Q5600" s="18">
        <v>140.21</v>
      </c>
      <c r="R5600" s="18">
        <v>114.93</v>
      </c>
      <c r="S5600" s="18">
        <v>112.17</v>
      </c>
      <c r="T5600" s="18">
        <v>91.94</v>
      </c>
      <c r="U5600" s="16"/>
      <c r="V5600" s="16"/>
      <c r="W5600" s="16" t="s">
        <v>40</v>
      </c>
      <c r="X5600" s="19">
        <v>9.8000000000000004E-2</v>
      </c>
      <c r="Y5600" s="20">
        <v>2.7700000000000001E-4</v>
      </c>
      <c r="Z5600" s="21">
        <v>4601004026292</v>
      </c>
    </row>
    <row r="5601" spans="1:26" ht="12" customHeight="1" outlineLevel="4" x14ac:dyDescent="0.2">
      <c r="A5601" s="14" t="s">
        <v>10839</v>
      </c>
      <c r="B5601" s="26" t="s">
        <v>10840</v>
      </c>
      <c r="C5601" s="52"/>
      <c r="D5601" s="55">
        <f t="shared" si="87"/>
        <v>0</v>
      </c>
      <c r="E5601" s="63" t="str">
        <f>HYPERLINK("https://www.sds-group.ru/product/universalnyy-rastvoritel-ochistitel-kalosha-1l-nefras-s2-80-120-flakon-rexant-09-4130/", "Инфо")</f>
        <v>Инфо</v>
      </c>
      <c r="F5601" s="16" t="s">
        <v>39</v>
      </c>
      <c r="G5601" s="15"/>
      <c r="H5601" s="15"/>
      <c r="I5601" s="15"/>
      <c r="J5601" s="17">
        <v>754</v>
      </c>
      <c r="K5601" s="15"/>
      <c r="L5601" s="17">
        <v>1</v>
      </c>
      <c r="M5601" s="17">
        <v>15</v>
      </c>
      <c r="N5601" s="17">
        <v>1</v>
      </c>
      <c r="O5601" s="18">
        <v>955.7</v>
      </c>
      <c r="P5601" s="18">
        <v>783.36</v>
      </c>
      <c r="Q5601" s="18">
        <v>764.56</v>
      </c>
      <c r="R5601" s="18">
        <v>626.69000000000005</v>
      </c>
      <c r="S5601" s="18">
        <v>649.88</v>
      </c>
      <c r="T5601" s="18">
        <v>532.69000000000005</v>
      </c>
      <c r="U5601" s="16"/>
      <c r="V5601" s="16"/>
      <c r="W5601" s="16" t="s">
        <v>40</v>
      </c>
      <c r="X5601" s="19">
        <v>0.75600000000000001</v>
      </c>
      <c r="Y5601" s="20">
        <v>1.9589999999999998E-3</v>
      </c>
      <c r="Z5601" s="21">
        <v>4601004026315</v>
      </c>
    </row>
    <row r="5602" spans="1:26" ht="12" customHeight="1" outlineLevel="4" x14ac:dyDescent="0.2">
      <c r="A5602" s="14" t="s">
        <v>10841</v>
      </c>
      <c r="B5602" s="26" t="s">
        <v>10842</v>
      </c>
      <c r="C5602" s="52"/>
      <c r="D5602" s="55">
        <f t="shared" si="87"/>
        <v>0</v>
      </c>
      <c r="E5602" s="63" t="str">
        <f>HYPERLINK("https://www.sds-group.ru/product/universalnyy-rastvoritel-ochistitel-kalosha-500ml-nefras-s2-80-120-flakon-rexant-09-4125/", "Инфо")</f>
        <v>Инфо</v>
      </c>
      <c r="F5602" s="16" t="s">
        <v>39</v>
      </c>
      <c r="G5602" s="15"/>
      <c r="H5602" s="15"/>
      <c r="I5602" s="15"/>
      <c r="J5602" s="17">
        <v>287</v>
      </c>
      <c r="K5602" s="15"/>
      <c r="L5602" s="17">
        <v>1</v>
      </c>
      <c r="M5602" s="17">
        <v>24</v>
      </c>
      <c r="N5602" s="17">
        <v>1</v>
      </c>
      <c r="O5602" s="18">
        <v>565.36</v>
      </c>
      <c r="P5602" s="18">
        <v>463.41</v>
      </c>
      <c r="Q5602" s="18">
        <v>452.29</v>
      </c>
      <c r="R5602" s="18">
        <v>370.73</v>
      </c>
      <c r="S5602" s="18">
        <v>384.44</v>
      </c>
      <c r="T5602" s="18">
        <v>315.11</v>
      </c>
      <c r="U5602" s="16"/>
      <c r="V5602" s="16"/>
      <c r="W5602" s="16" t="s">
        <v>40</v>
      </c>
      <c r="X5602" s="19">
        <v>0.38700000000000001</v>
      </c>
      <c r="Y5602" s="20">
        <v>9.1E-4</v>
      </c>
      <c r="Z5602" s="21">
        <v>4601004026308</v>
      </c>
    </row>
    <row r="5603" spans="1:26" ht="12" customHeight="1" outlineLevel="4" x14ac:dyDescent="0.2">
      <c r="A5603" s="14" t="s">
        <v>10843</v>
      </c>
      <c r="B5603" s="26" t="s">
        <v>10844</v>
      </c>
      <c r="C5603" s="52"/>
      <c r="D5603" s="55">
        <f t="shared" si="87"/>
        <v>0</v>
      </c>
      <c r="E5603" s="63" t="str">
        <f>HYPERLINK("https://www.sds-group.ru/product/hlornoe-zhelezo-6-ti-vodnoe-1000g-banka-rexant-09-3882/", "Инфо")</f>
        <v>Инфо</v>
      </c>
      <c r="F5603" s="16" t="s">
        <v>39</v>
      </c>
      <c r="G5603" s="15"/>
      <c r="H5603" s="15"/>
      <c r="I5603" s="15"/>
      <c r="J5603" s="17">
        <v>33</v>
      </c>
      <c r="K5603" s="15"/>
      <c r="L5603" s="17">
        <v>1</v>
      </c>
      <c r="M5603" s="17">
        <v>11</v>
      </c>
      <c r="N5603" s="17">
        <v>1</v>
      </c>
      <c r="O5603" s="18">
        <v>1324.88</v>
      </c>
      <c r="P5603" s="18">
        <v>1085.97</v>
      </c>
      <c r="Q5603" s="18">
        <v>1046.6600000000001</v>
      </c>
      <c r="R5603" s="18">
        <v>857.92</v>
      </c>
      <c r="S5603" s="18">
        <v>900.92</v>
      </c>
      <c r="T5603" s="18">
        <v>738.46</v>
      </c>
      <c r="U5603" s="16"/>
      <c r="V5603" s="16"/>
      <c r="W5603" s="16" t="s">
        <v>40</v>
      </c>
      <c r="X5603" s="19">
        <v>1.016</v>
      </c>
      <c r="Y5603" s="20">
        <v>1.6919999999999999E-3</v>
      </c>
      <c r="Z5603" s="21">
        <v>4601004273030</v>
      </c>
    </row>
    <row r="5604" spans="1:26" ht="12" customHeight="1" outlineLevel="4" x14ac:dyDescent="0.2">
      <c r="A5604" s="14" t="s">
        <v>10845</v>
      </c>
      <c r="B5604" s="26" t="s">
        <v>10846</v>
      </c>
      <c r="C5604" s="52"/>
      <c r="D5604" s="55">
        <f t="shared" si="87"/>
        <v>0</v>
      </c>
      <c r="E5604" s="63" t="str">
        <f>HYPERLINK("https://www.sds-group.ru/product/hlornoe-zhelezo-6-ti-vodnoe-250g-banka-rexant-09-3881/", "Инфо")</f>
        <v>Инфо</v>
      </c>
      <c r="F5604" s="16" t="s">
        <v>39</v>
      </c>
      <c r="G5604" s="15"/>
      <c r="H5604" s="15"/>
      <c r="I5604" s="15"/>
      <c r="J5604" s="17">
        <v>72</v>
      </c>
      <c r="K5604" s="15"/>
      <c r="L5604" s="17">
        <v>1</v>
      </c>
      <c r="M5604" s="17">
        <v>42</v>
      </c>
      <c r="N5604" s="17">
        <v>1</v>
      </c>
      <c r="O5604" s="18">
        <v>451.69</v>
      </c>
      <c r="P5604" s="18">
        <v>370.24</v>
      </c>
      <c r="Q5604" s="18">
        <v>361.35</v>
      </c>
      <c r="R5604" s="18">
        <v>296.19</v>
      </c>
      <c r="S5604" s="18">
        <v>307.14999999999998</v>
      </c>
      <c r="T5604" s="18">
        <v>251.76</v>
      </c>
      <c r="U5604" s="16"/>
      <c r="V5604" s="16"/>
      <c r="W5604" s="16" t="s">
        <v>40</v>
      </c>
      <c r="X5604" s="19">
        <v>0.254</v>
      </c>
      <c r="Y5604" s="20">
        <v>4.2299999999999998E-4</v>
      </c>
      <c r="Z5604" s="21">
        <v>4601004273023</v>
      </c>
    </row>
    <row r="5605" spans="1:26" ht="12" customHeight="1" outlineLevel="4" x14ac:dyDescent="0.2">
      <c r="A5605" s="14" t="s">
        <v>10847</v>
      </c>
      <c r="B5605" s="26" t="s">
        <v>10848</v>
      </c>
      <c r="C5605" s="52"/>
      <c r="D5605" s="55">
        <f t="shared" si="87"/>
        <v>0</v>
      </c>
      <c r="E5605" s="63" t="str">
        <f>HYPERLINK("https://www.sds-group.ru/product/hlornoe-zhelezo-bezvodnoe-1000g-banka-rexant-09-3782/", "Инфо")</f>
        <v>Инфо</v>
      </c>
      <c r="F5605" s="16" t="s">
        <v>39</v>
      </c>
      <c r="G5605" s="15"/>
      <c r="H5605" s="15"/>
      <c r="I5605" s="15"/>
      <c r="J5605" s="17">
        <v>41</v>
      </c>
      <c r="K5605" s="15"/>
      <c r="L5605" s="17">
        <v>1</v>
      </c>
      <c r="M5605" s="17">
        <v>11</v>
      </c>
      <c r="N5605" s="17">
        <v>1</v>
      </c>
      <c r="O5605" s="18">
        <v>1270.98</v>
      </c>
      <c r="P5605" s="18">
        <v>1041.79</v>
      </c>
      <c r="Q5605" s="18">
        <v>1004.07</v>
      </c>
      <c r="R5605" s="18">
        <v>823.01</v>
      </c>
      <c r="S5605" s="18">
        <v>864.27</v>
      </c>
      <c r="T5605" s="18">
        <v>708.42</v>
      </c>
      <c r="U5605" s="16"/>
      <c r="V5605" s="16"/>
      <c r="W5605" s="16" t="s">
        <v>40</v>
      </c>
      <c r="X5605" s="19">
        <v>1.093</v>
      </c>
      <c r="Y5605" s="20">
        <v>2.091E-3</v>
      </c>
      <c r="Z5605" s="21">
        <v>4601004273016</v>
      </c>
    </row>
    <row r="5606" spans="1:26" ht="12" customHeight="1" outlineLevel="4" x14ac:dyDescent="0.2">
      <c r="A5606" s="14" t="s">
        <v>10849</v>
      </c>
      <c r="B5606" s="26" t="s">
        <v>10850</v>
      </c>
      <c r="C5606" s="52"/>
      <c r="D5606" s="55">
        <f t="shared" si="87"/>
        <v>0</v>
      </c>
      <c r="E5606" s="63" t="str">
        <f>HYPERLINK("https://www.sds-group.ru/product/hlornoe-zhelezo-bezvodnoe-100g-banka-rexant-09-3780/", "Инфо")</f>
        <v>Инфо</v>
      </c>
      <c r="F5606" s="16" t="s">
        <v>39</v>
      </c>
      <c r="G5606" s="15"/>
      <c r="H5606" s="15"/>
      <c r="I5606" s="15"/>
      <c r="J5606" s="17">
        <v>48</v>
      </c>
      <c r="K5606" s="15"/>
      <c r="L5606" s="17">
        <v>1</v>
      </c>
      <c r="M5606" s="17">
        <v>42</v>
      </c>
      <c r="N5606" s="17">
        <v>1</v>
      </c>
      <c r="O5606" s="18">
        <v>289.98</v>
      </c>
      <c r="P5606" s="18">
        <v>237.69</v>
      </c>
      <c r="Q5606" s="18">
        <v>246.48</v>
      </c>
      <c r="R5606" s="18">
        <v>202.03</v>
      </c>
      <c r="S5606" s="18">
        <v>197.19</v>
      </c>
      <c r="T5606" s="18">
        <v>161.63</v>
      </c>
      <c r="U5606" s="16"/>
      <c r="V5606" s="16"/>
      <c r="W5606" s="16" t="s">
        <v>40</v>
      </c>
      <c r="X5606" s="19">
        <v>0.16300000000000001</v>
      </c>
      <c r="Y5606" s="20">
        <v>5.0199999999999995E-4</v>
      </c>
      <c r="Z5606" s="21">
        <v>4601004013513</v>
      </c>
    </row>
    <row r="5607" spans="1:26" ht="12" customHeight="1" outlineLevel="4" x14ac:dyDescent="0.2">
      <c r="A5607" s="14" t="s">
        <v>10851</v>
      </c>
      <c r="B5607" s="26" t="s">
        <v>10852</v>
      </c>
      <c r="C5607" s="52"/>
      <c r="D5607" s="55">
        <f t="shared" si="87"/>
        <v>0</v>
      </c>
      <c r="E5607" s="63" t="str">
        <f>HYPERLINK("https://www.sds-group.ru/product/hlornoe-zhelezo-bezvodnoe-250g-banka-rexant-09-3781/", "Инфо")</f>
        <v>Инфо</v>
      </c>
      <c r="F5607" s="16" t="s">
        <v>39</v>
      </c>
      <c r="G5607" s="15"/>
      <c r="H5607" s="15"/>
      <c r="I5607" s="15"/>
      <c r="J5607" s="17">
        <v>490</v>
      </c>
      <c r="K5607" s="15"/>
      <c r="L5607" s="17">
        <v>1</v>
      </c>
      <c r="M5607" s="17">
        <v>42</v>
      </c>
      <c r="N5607" s="17">
        <v>1</v>
      </c>
      <c r="O5607" s="18">
        <v>440.91</v>
      </c>
      <c r="P5607" s="18">
        <v>361.4</v>
      </c>
      <c r="Q5607" s="18">
        <v>352.73</v>
      </c>
      <c r="R5607" s="18">
        <v>289.12</v>
      </c>
      <c r="S5607" s="18">
        <v>299.82</v>
      </c>
      <c r="T5607" s="18">
        <v>245.75</v>
      </c>
      <c r="U5607" s="16"/>
      <c r="V5607" s="16"/>
      <c r="W5607" s="16" t="s">
        <v>40</v>
      </c>
      <c r="X5607" s="19">
        <v>0.308</v>
      </c>
      <c r="Y5607" s="20">
        <v>5.0799999999999999E-4</v>
      </c>
      <c r="Z5607" s="21">
        <v>4601004014619</v>
      </c>
    </row>
    <row r="5608" spans="1:26" ht="12.95" customHeight="1" outlineLevel="3" x14ac:dyDescent="0.2">
      <c r="A5608" s="76" t="s">
        <v>10853</v>
      </c>
      <c r="B5608" s="76"/>
      <c r="C5608" s="77"/>
      <c r="D5608" s="58"/>
      <c r="E5608" s="68"/>
      <c r="F5608" s="13"/>
      <c r="G5608" s="13"/>
      <c r="H5608" s="13"/>
      <c r="I5608" s="13"/>
      <c r="J5608" s="13"/>
      <c r="K5608" s="13"/>
      <c r="L5608" s="13"/>
      <c r="M5608" s="13"/>
      <c r="N5608" s="13"/>
      <c r="O5608" s="13"/>
      <c r="P5608" s="13"/>
      <c r="Q5608" s="13"/>
      <c r="R5608" s="13"/>
      <c r="S5608" s="13"/>
      <c r="T5608" s="13"/>
      <c r="U5608" s="13"/>
      <c r="V5608" s="13"/>
      <c r="W5608" s="13"/>
      <c r="X5608" s="13"/>
      <c r="Y5608" s="13"/>
      <c r="Z5608" s="13"/>
    </row>
    <row r="5609" spans="1:26" ht="12" customHeight="1" outlineLevel="4" x14ac:dyDescent="0.2">
      <c r="A5609" s="14" t="s">
        <v>10854</v>
      </c>
      <c r="B5609" s="26" t="s">
        <v>10855</v>
      </c>
      <c r="C5609" s="52"/>
      <c r="D5609" s="55">
        <f t="shared" si="87"/>
        <v>0</v>
      </c>
      <c r="E5609" s="63" t="str">
        <f>HYPERLINK("https://www.sds-group.ru/product/aerozol-ohladitel-freezer-kranz-400-ml-27880/", "Инфо")</f>
        <v>Инфо</v>
      </c>
      <c r="F5609" s="16" t="s">
        <v>39</v>
      </c>
      <c r="G5609" s="15"/>
      <c r="H5609" s="15"/>
      <c r="I5609" s="15"/>
      <c r="J5609" s="22">
        <v>1017</v>
      </c>
      <c r="K5609" s="15"/>
      <c r="L5609" s="17">
        <v>1</v>
      </c>
      <c r="M5609" s="17">
        <v>12</v>
      </c>
      <c r="N5609" s="17">
        <v>1</v>
      </c>
      <c r="O5609" s="18">
        <v>464.63</v>
      </c>
      <c r="P5609" s="18">
        <v>380.84</v>
      </c>
      <c r="Q5609" s="18">
        <v>371.7</v>
      </c>
      <c r="R5609" s="18">
        <v>304.67</v>
      </c>
      <c r="S5609" s="18">
        <v>315.95</v>
      </c>
      <c r="T5609" s="18">
        <v>258.98</v>
      </c>
      <c r="U5609" s="16"/>
      <c r="V5609" s="16"/>
      <c r="W5609" s="16" t="s">
        <v>40</v>
      </c>
      <c r="X5609" s="19">
        <v>0.32900000000000001</v>
      </c>
      <c r="Y5609" s="20">
        <v>1.036E-3</v>
      </c>
      <c r="Z5609" s="21">
        <v>4601004235885</v>
      </c>
    </row>
    <row r="5610" spans="1:26" ht="12" customHeight="1" outlineLevel="4" x14ac:dyDescent="0.2">
      <c r="A5610" s="14" t="s">
        <v>10856</v>
      </c>
      <c r="B5610" s="26" t="s">
        <v>10857</v>
      </c>
      <c r="C5610" s="52"/>
      <c r="D5610" s="55">
        <f t="shared" si="87"/>
        <v>0</v>
      </c>
      <c r="E5610" s="63" t="str">
        <f>HYPERLINK("https://www.sds-group.ru/product/aerozol-ohladitel-520ml-400ml-rexant-85-0005/", "Инфо")</f>
        <v>Инфо</v>
      </c>
      <c r="F5610" s="16" t="s">
        <v>39</v>
      </c>
      <c r="G5610" s="15"/>
      <c r="H5610" s="15"/>
      <c r="I5610" s="15"/>
      <c r="J5610" s="22">
        <v>2191</v>
      </c>
      <c r="K5610" s="15" t="s">
        <v>1408</v>
      </c>
      <c r="L5610" s="17">
        <v>1</v>
      </c>
      <c r="M5610" s="17">
        <v>12</v>
      </c>
      <c r="N5610" s="17">
        <v>1</v>
      </c>
      <c r="O5610" s="18">
        <v>454.5</v>
      </c>
      <c r="P5610" s="18">
        <v>372.54</v>
      </c>
      <c r="Q5610" s="18">
        <v>363.6</v>
      </c>
      <c r="R5610" s="18">
        <v>298.02999999999997</v>
      </c>
      <c r="S5610" s="18">
        <v>309.06</v>
      </c>
      <c r="T5610" s="18">
        <v>253.33</v>
      </c>
      <c r="U5610" s="16"/>
      <c r="V5610" s="16"/>
      <c r="W5610" s="16" t="s">
        <v>40</v>
      </c>
      <c r="X5610" s="19">
        <v>0.32800000000000001</v>
      </c>
      <c r="Y5610" s="20">
        <v>1.021E-3</v>
      </c>
      <c r="Z5610" s="21">
        <v>4601004071049</v>
      </c>
    </row>
    <row r="5611" spans="1:26" ht="12" customHeight="1" outlineLevel="4" x14ac:dyDescent="0.2">
      <c r="A5611" s="14" t="s">
        <v>10858</v>
      </c>
      <c r="B5611" s="26" t="s">
        <v>10859</v>
      </c>
      <c r="C5611" s="52"/>
      <c r="D5611" s="55">
        <f t="shared" si="87"/>
        <v>0</v>
      </c>
      <c r="E5611" s="63" t="str">
        <f>HYPERLINK("https://www.sds-group.ru/product/ochistitel-obezzhirivatel-520ml-400ml-aerozol-rexant-85-0006/", "Инфо")</f>
        <v>Инфо</v>
      </c>
      <c r="F5611" s="16" t="s">
        <v>39</v>
      </c>
      <c r="G5611" s="15"/>
      <c r="H5611" s="15"/>
      <c r="I5611" s="15"/>
      <c r="J5611" s="17">
        <v>363</v>
      </c>
      <c r="K5611" s="15" t="s">
        <v>1094</v>
      </c>
      <c r="L5611" s="17">
        <v>1</v>
      </c>
      <c r="M5611" s="17">
        <v>12</v>
      </c>
      <c r="N5611" s="17">
        <v>1</v>
      </c>
      <c r="O5611" s="18">
        <v>617.91999999999996</v>
      </c>
      <c r="P5611" s="18">
        <v>506.49</v>
      </c>
      <c r="Q5611" s="18">
        <v>494.34</v>
      </c>
      <c r="R5611" s="18">
        <v>405.2</v>
      </c>
      <c r="S5611" s="18">
        <v>420.19</v>
      </c>
      <c r="T5611" s="18">
        <v>344.42</v>
      </c>
      <c r="U5611" s="16"/>
      <c r="V5611" s="16"/>
      <c r="W5611" s="16" t="s">
        <v>40</v>
      </c>
      <c r="X5611" s="19">
        <v>0.39700000000000002</v>
      </c>
      <c r="Y5611" s="20">
        <v>9.9700000000000006E-4</v>
      </c>
      <c r="Z5611" s="21">
        <v>4601004071056</v>
      </c>
    </row>
    <row r="5612" spans="1:26" ht="12" customHeight="1" outlineLevel="4" x14ac:dyDescent="0.2">
      <c r="A5612" s="14" t="s">
        <v>10860</v>
      </c>
      <c r="B5612" s="26" t="s">
        <v>10861</v>
      </c>
      <c r="C5612" s="52"/>
      <c r="D5612" s="55">
        <f t="shared" si="87"/>
        <v>0</v>
      </c>
      <c r="E5612" s="63" t="str">
        <f>HYPERLINK("https://www.sds-group.ru/product/ochistitel-pechatnyh-plat-ot-flyusa-520-ml-400ml-aerozol-rexant-85-0003/", "Инфо")</f>
        <v>Инфо</v>
      </c>
      <c r="F5612" s="16" t="s">
        <v>39</v>
      </c>
      <c r="G5612" s="15"/>
      <c r="H5612" s="15"/>
      <c r="I5612" s="15"/>
      <c r="J5612" s="16" t="s">
        <v>100</v>
      </c>
      <c r="K5612" s="15" t="s">
        <v>1408</v>
      </c>
      <c r="L5612" s="17">
        <v>1</v>
      </c>
      <c r="M5612" s="17">
        <v>12</v>
      </c>
      <c r="N5612" s="17">
        <v>1</v>
      </c>
      <c r="O5612" s="18">
        <v>656.51</v>
      </c>
      <c r="P5612" s="18">
        <v>538.12</v>
      </c>
      <c r="Q5612" s="18">
        <v>525.21</v>
      </c>
      <c r="R5612" s="18">
        <v>430.5</v>
      </c>
      <c r="S5612" s="18">
        <v>446.43</v>
      </c>
      <c r="T5612" s="18">
        <v>365.93</v>
      </c>
      <c r="U5612" s="16"/>
      <c r="V5612" s="16"/>
      <c r="W5612" s="16" t="s">
        <v>40</v>
      </c>
      <c r="X5612" s="19">
        <v>0.41199999999999998</v>
      </c>
      <c r="Y5612" s="20">
        <v>9.8900000000000008E-4</v>
      </c>
      <c r="Z5612" s="21">
        <v>4601004062238</v>
      </c>
    </row>
    <row r="5613" spans="1:26" ht="12" customHeight="1" outlineLevel="4" x14ac:dyDescent="0.2">
      <c r="A5613" s="14" t="s">
        <v>10862</v>
      </c>
      <c r="B5613" s="26" t="s">
        <v>10863</v>
      </c>
      <c r="C5613" s="52"/>
      <c r="D5613" s="55">
        <f t="shared" si="87"/>
        <v>0</v>
      </c>
      <c r="E5613" s="63" t="str">
        <f>HYPERLINK("https://www.sds-group.ru/product/ochistitel-universalniy-cleaner-kranz-400-ml-aerozol-27877/", "Инфо")</f>
        <v>Инфо</v>
      </c>
      <c r="F5613" s="16" t="s">
        <v>39</v>
      </c>
      <c r="G5613" s="15"/>
      <c r="H5613" s="15"/>
      <c r="I5613" s="15"/>
      <c r="J5613" s="16" t="s">
        <v>100</v>
      </c>
      <c r="K5613" s="15"/>
      <c r="L5613" s="17">
        <v>1</v>
      </c>
      <c r="M5613" s="17">
        <v>12</v>
      </c>
      <c r="N5613" s="17">
        <v>1</v>
      </c>
      <c r="O5613" s="18">
        <v>484.77</v>
      </c>
      <c r="P5613" s="18">
        <v>397.35</v>
      </c>
      <c r="Q5613" s="18">
        <v>387.82</v>
      </c>
      <c r="R5613" s="18">
        <v>317.89</v>
      </c>
      <c r="S5613" s="18">
        <v>329.64</v>
      </c>
      <c r="T5613" s="18">
        <v>270.2</v>
      </c>
      <c r="U5613" s="16"/>
      <c r="V5613" s="16"/>
      <c r="W5613" s="16" t="s">
        <v>40</v>
      </c>
      <c r="X5613" s="19">
        <v>0.36199999999999999</v>
      </c>
      <c r="Y5613" s="20">
        <v>9.7300000000000002E-4</v>
      </c>
      <c r="Z5613" s="21">
        <v>4601004235854</v>
      </c>
    </row>
    <row r="5614" spans="1:26" ht="12" customHeight="1" outlineLevel="4" x14ac:dyDescent="0.2">
      <c r="A5614" s="14" t="s">
        <v>10864</v>
      </c>
      <c r="B5614" s="26" t="s">
        <v>10865</v>
      </c>
      <c r="C5614" s="52"/>
      <c r="D5614" s="55">
        <f t="shared" si="87"/>
        <v>0</v>
      </c>
      <c r="E5614" s="63" t="str">
        <f>HYPERLINK("https://www.sds-group.ru/product/ochistitel-universalnyy-520ml-400ml-aerozol-rexant-85-0002/", "Инфо")</f>
        <v>Инфо</v>
      </c>
      <c r="F5614" s="16" t="s">
        <v>39</v>
      </c>
      <c r="G5614" s="15"/>
      <c r="H5614" s="15"/>
      <c r="I5614" s="15"/>
      <c r="J5614" s="22">
        <v>1426</v>
      </c>
      <c r="K5614" s="15"/>
      <c r="L5614" s="17">
        <v>1</v>
      </c>
      <c r="M5614" s="17">
        <v>12</v>
      </c>
      <c r="N5614" s="17">
        <v>1</v>
      </c>
      <c r="O5614" s="18">
        <v>477.22</v>
      </c>
      <c r="P5614" s="18">
        <v>391.16</v>
      </c>
      <c r="Q5614" s="18">
        <v>381.78</v>
      </c>
      <c r="R5614" s="18">
        <v>312.93</v>
      </c>
      <c r="S5614" s="18">
        <v>324.51</v>
      </c>
      <c r="T5614" s="18">
        <v>265.99</v>
      </c>
      <c r="U5614" s="16"/>
      <c r="V5614" s="16"/>
      <c r="W5614" s="16" t="s">
        <v>40</v>
      </c>
      <c r="X5614" s="19">
        <v>0.36599999999999999</v>
      </c>
      <c r="Y5614" s="20">
        <v>9.8999999999999999E-4</v>
      </c>
      <c r="Z5614" s="21">
        <v>4601004062221</v>
      </c>
    </row>
    <row r="5615" spans="1:26" ht="12" customHeight="1" outlineLevel="4" x14ac:dyDescent="0.2">
      <c r="A5615" s="14" t="s">
        <v>10866</v>
      </c>
      <c r="B5615" s="26" t="s">
        <v>10867</v>
      </c>
      <c r="C5615" s="52"/>
      <c r="D5615" s="55">
        <f t="shared" si="87"/>
        <v>0</v>
      </c>
      <c r="E5615" s="63" t="str">
        <f>HYPERLINK("https://www.sds-group.ru/product/pnevmaticheskiy-ochistitel-szhatyy-vozduh-1000ml-720ml-aerozol-rexant-85-0001-2/", "Инфо")</f>
        <v>Инфо</v>
      </c>
      <c r="F5615" s="16" t="s">
        <v>39</v>
      </c>
      <c r="G5615" s="15"/>
      <c r="H5615" s="15"/>
      <c r="I5615" s="15"/>
      <c r="J5615" s="16" t="s">
        <v>100</v>
      </c>
      <c r="K5615" s="15" t="s">
        <v>1094</v>
      </c>
      <c r="L5615" s="17">
        <v>5</v>
      </c>
      <c r="M5615" s="17">
        <v>6</v>
      </c>
      <c r="N5615" s="17">
        <v>5</v>
      </c>
      <c r="O5615" s="18">
        <v>397.79</v>
      </c>
      <c r="P5615" s="18">
        <v>326.06</v>
      </c>
      <c r="Q5615" s="18">
        <v>318.23</v>
      </c>
      <c r="R5615" s="18">
        <v>260.83999999999997</v>
      </c>
      <c r="S5615" s="18">
        <v>270.5</v>
      </c>
      <c r="T5615" s="18">
        <v>221.72</v>
      </c>
      <c r="U5615" s="16"/>
      <c r="V5615" s="16"/>
      <c r="W5615" s="16" t="s">
        <v>40</v>
      </c>
      <c r="X5615" s="19">
        <v>0.55700000000000005</v>
      </c>
      <c r="Y5615" s="20">
        <v>2.0839999999999999E-3</v>
      </c>
      <c r="Z5615" s="21">
        <v>4601004170070</v>
      </c>
    </row>
    <row r="5616" spans="1:26" ht="12" customHeight="1" outlineLevel="4" x14ac:dyDescent="0.2">
      <c r="A5616" s="14" t="s">
        <v>10868</v>
      </c>
      <c r="B5616" s="26" t="s">
        <v>10869</v>
      </c>
      <c r="C5616" s="52"/>
      <c r="D5616" s="55">
        <f t="shared" si="87"/>
        <v>0</v>
      </c>
      <c r="E5616" s="63" t="str">
        <f>HYPERLINK("https://www.sds-group.ru/product/pnevmaticheskiy-ochistitel-szhatyy-vozduh-520ml-230ml-aerozol-invertornyy-rexant-85-0001-1/", "Инфо")</f>
        <v>Инфо</v>
      </c>
      <c r="F5616" s="16" t="s">
        <v>39</v>
      </c>
      <c r="G5616" s="15"/>
      <c r="H5616" s="15"/>
      <c r="I5616" s="15"/>
      <c r="J5616" s="17">
        <v>438</v>
      </c>
      <c r="K5616" s="15"/>
      <c r="L5616" s="17">
        <v>5</v>
      </c>
      <c r="M5616" s="17">
        <v>12</v>
      </c>
      <c r="N5616" s="17">
        <v>5</v>
      </c>
      <c r="O5616" s="18">
        <v>318.02</v>
      </c>
      <c r="P5616" s="18">
        <v>260.67</v>
      </c>
      <c r="Q5616" s="18">
        <v>270.32</v>
      </c>
      <c r="R5616" s="18">
        <v>221.57</v>
      </c>
      <c r="S5616" s="18">
        <v>216.25</v>
      </c>
      <c r="T5616" s="18">
        <v>177.25</v>
      </c>
      <c r="U5616" s="16"/>
      <c r="V5616" s="16"/>
      <c r="W5616" s="16" t="s">
        <v>40</v>
      </c>
      <c r="X5616" s="19">
        <v>0.23599999999999999</v>
      </c>
      <c r="Y5616" s="20">
        <v>1.0640000000000001E-3</v>
      </c>
      <c r="Z5616" s="21">
        <v>4601004170094</v>
      </c>
    </row>
    <row r="5617" spans="1:26" ht="12" customHeight="1" outlineLevel="4" x14ac:dyDescent="0.2">
      <c r="A5617" s="14" t="s">
        <v>10870</v>
      </c>
      <c r="B5617" s="26" t="s">
        <v>10871</v>
      </c>
      <c r="C5617" s="52"/>
      <c r="D5617" s="55">
        <f t="shared" si="87"/>
        <v>0</v>
      </c>
      <c r="E5617" s="63" t="str">
        <f>HYPERLINK("https://www.sds-group.ru/product/pnevmaticheskiy-ochistitel-szhatyy-vozduh-520ml-400ml-aerozol-rexant-85-0001/", "Инфо")</f>
        <v>Инфо</v>
      </c>
      <c r="F5617" s="16" t="s">
        <v>39</v>
      </c>
      <c r="G5617" s="15"/>
      <c r="H5617" s="15"/>
      <c r="I5617" s="15"/>
      <c r="J5617" s="22">
        <v>4578</v>
      </c>
      <c r="K5617" s="15" t="s">
        <v>1094</v>
      </c>
      <c r="L5617" s="17">
        <v>5</v>
      </c>
      <c r="M5617" s="17">
        <v>12</v>
      </c>
      <c r="N5617" s="17">
        <v>5</v>
      </c>
      <c r="O5617" s="18">
        <v>285.68</v>
      </c>
      <c r="P5617" s="18">
        <v>234.16</v>
      </c>
      <c r="Q5617" s="18">
        <v>242.83</v>
      </c>
      <c r="R5617" s="18">
        <v>199.04</v>
      </c>
      <c r="S5617" s="18">
        <v>194.26</v>
      </c>
      <c r="T5617" s="18">
        <v>159.22999999999999</v>
      </c>
      <c r="U5617" s="16"/>
      <c r="V5617" s="16"/>
      <c r="W5617" s="16" t="s">
        <v>40</v>
      </c>
      <c r="X5617" s="19">
        <v>0.32200000000000001</v>
      </c>
      <c r="Y5617" s="20">
        <v>1.0449999999999999E-3</v>
      </c>
      <c r="Z5617" s="21">
        <v>4601004062252</v>
      </c>
    </row>
    <row r="5618" spans="1:26" ht="12" customHeight="1" outlineLevel="4" x14ac:dyDescent="0.2">
      <c r="A5618" s="14" t="s">
        <v>10872</v>
      </c>
      <c r="B5618" s="26" t="s">
        <v>10873</v>
      </c>
      <c r="C5618" s="52"/>
      <c r="D5618" s="55">
        <f t="shared" si="87"/>
        <v>0</v>
      </c>
      <c r="E5618" s="63" t="str">
        <f>HYPERLINK("https://www.sds-group.ru/product/smazka-kontaktov-kontakt-61-520ml-400ml-aerozol-rexant-85-0007/", "Инфо")</f>
        <v>Инфо</v>
      </c>
      <c r="F5618" s="16" t="s">
        <v>39</v>
      </c>
      <c r="G5618" s="15"/>
      <c r="H5618" s="15"/>
      <c r="I5618" s="15"/>
      <c r="J5618" s="22">
        <v>4557</v>
      </c>
      <c r="K5618" s="15"/>
      <c r="L5618" s="17">
        <v>1</v>
      </c>
      <c r="M5618" s="17">
        <v>12</v>
      </c>
      <c r="N5618" s="17">
        <v>1</v>
      </c>
      <c r="O5618" s="18">
        <v>468.94</v>
      </c>
      <c r="P5618" s="18">
        <v>384.38</v>
      </c>
      <c r="Q5618" s="18">
        <v>375.15</v>
      </c>
      <c r="R5618" s="18">
        <v>307.5</v>
      </c>
      <c r="S5618" s="18">
        <v>318.88</v>
      </c>
      <c r="T5618" s="18">
        <v>261.38</v>
      </c>
      <c r="U5618" s="16"/>
      <c r="V5618" s="16"/>
      <c r="W5618" s="16" t="s">
        <v>40</v>
      </c>
      <c r="X5618" s="19">
        <v>0.38500000000000001</v>
      </c>
      <c r="Y5618" s="20">
        <v>9.9200000000000004E-4</v>
      </c>
      <c r="Z5618" s="21">
        <v>4601004071063</v>
      </c>
    </row>
    <row r="5619" spans="1:26" ht="12" customHeight="1" outlineLevel="4" x14ac:dyDescent="0.2">
      <c r="A5619" s="14" t="s">
        <v>10874</v>
      </c>
      <c r="B5619" s="26" t="s">
        <v>10875</v>
      </c>
      <c r="C5619" s="52"/>
      <c r="D5619" s="55">
        <f t="shared" si="87"/>
        <v>0</v>
      </c>
      <c r="E5619" s="63" t="str">
        <f>HYPERLINK("https://www.sds-group.ru/product/sredstvo-dlya-udaleniya-nakleek-210ml-150ml-aerozol-rexant-85-0004/", "Инфо")</f>
        <v>Инфо</v>
      </c>
      <c r="F5619" s="16" t="s">
        <v>39</v>
      </c>
      <c r="G5619" s="15"/>
      <c r="H5619" s="15"/>
      <c r="I5619" s="15"/>
      <c r="J5619" s="22">
        <v>8412</v>
      </c>
      <c r="K5619" s="15"/>
      <c r="L5619" s="17">
        <v>5</v>
      </c>
      <c r="M5619" s="17">
        <v>12</v>
      </c>
      <c r="N5619" s="17">
        <v>5</v>
      </c>
      <c r="O5619" s="18">
        <v>351.31</v>
      </c>
      <c r="P5619" s="18">
        <v>287.95999999999998</v>
      </c>
      <c r="Q5619" s="18">
        <v>298.61</v>
      </c>
      <c r="R5619" s="18">
        <v>244.76</v>
      </c>
      <c r="S5619" s="18">
        <v>238.89</v>
      </c>
      <c r="T5619" s="18">
        <v>195.81</v>
      </c>
      <c r="U5619" s="16"/>
      <c r="V5619" s="16"/>
      <c r="W5619" s="16" t="s">
        <v>40</v>
      </c>
      <c r="X5619" s="19">
        <v>0.159</v>
      </c>
      <c r="Y5619" s="20">
        <v>4.75E-4</v>
      </c>
      <c r="Z5619" s="21">
        <v>4601004062245</v>
      </c>
    </row>
    <row r="5620" spans="1:26" ht="12.95" customHeight="1" outlineLevel="3" x14ac:dyDescent="0.2">
      <c r="A5620" s="76" t="s">
        <v>10876</v>
      </c>
      <c r="B5620" s="76"/>
      <c r="C5620" s="77"/>
      <c r="D5620" s="58"/>
      <c r="E5620" s="68"/>
      <c r="F5620" s="13"/>
      <c r="G5620" s="13"/>
      <c r="H5620" s="13"/>
      <c r="I5620" s="13"/>
      <c r="J5620" s="13"/>
      <c r="K5620" s="13"/>
      <c r="L5620" s="13"/>
      <c r="M5620" s="13"/>
      <c r="N5620" s="13"/>
      <c r="O5620" s="13"/>
      <c r="P5620" s="13"/>
      <c r="Q5620" s="13"/>
      <c r="R5620" s="13"/>
      <c r="S5620" s="13"/>
      <c r="T5620" s="13"/>
      <c r="U5620" s="13"/>
      <c r="V5620" s="13"/>
      <c r="W5620" s="13"/>
      <c r="X5620" s="13"/>
      <c r="Y5620" s="13"/>
      <c r="Z5620" s="13"/>
    </row>
    <row r="5621" spans="1:26" ht="12" customHeight="1" outlineLevel="4" x14ac:dyDescent="0.2">
      <c r="A5621" s="14" t="s">
        <v>10877</v>
      </c>
      <c r="B5621" s="26" t="s">
        <v>10878</v>
      </c>
      <c r="C5621" s="52"/>
      <c r="D5621" s="55">
        <f t="shared" si="87"/>
        <v>0</v>
      </c>
      <c r="E5621" s="63" t="str">
        <f>HYPERLINK("https://www.sds-group.ru/product/steklotekstolit-1-storonniy-100x100x1-5-mm-35-00-35-mkm-rexant-09-4035/", "Инфо")</f>
        <v>Инфо</v>
      </c>
      <c r="F5621" s="16" t="s">
        <v>39</v>
      </c>
      <c r="G5621" s="15"/>
      <c r="H5621" s="15"/>
      <c r="I5621" s="15"/>
      <c r="J5621" s="17">
        <v>173</v>
      </c>
      <c r="K5621" s="15"/>
      <c r="L5621" s="17">
        <v>10</v>
      </c>
      <c r="M5621" s="17">
        <v>360</v>
      </c>
      <c r="N5621" s="17">
        <v>10</v>
      </c>
      <c r="O5621" s="18">
        <v>212.8</v>
      </c>
      <c r="P5621" s="18">
        <v>174.43</v>
      </c>
      <c r="Q5621" s="18">
        <v>180.88</v>
      </c>
      <c r="R5621" s="18">
        <v>148.26</v>
      </c>
      <c r="S5621" s="18">
        <v>144.69999999999999</v>
      </c>
      <c r="T5621" s="18">
        <v>118.61</v>
      </c>
      <c r="U5621" s="16"/>
      <c r="V5621" s="16"/>
      <c r="W5621" s="16" t="s">
        <v>40</v>
      </c>
      <c r="X5621" s="19">
        <v>3.2000000000000001E-2</v>
      </c>
      <c r="Y5621" s="20">
        <v>3.1999999999999999E-5</v>
      </c>
      <c r="Z5621" s="21">
        <v>4601004128484</v>
      </c>
    </row>
    <row r="5622" spans="1:26" ht="12" customHeight="1" outlineLevel="4" x14ac:dyDescent="0.2">
      <c r="A5622" s="14" t="s">
        <v>10879</v>
      </c>
      <c r="B5622" s="26" t="s">
        <v>10880</v>
      </c>
      <c r="C5622" s="52"/>
      <c r="D5622" s="55">
        <f t="shared" si="87"/>
        <v>0</v>
      </c>
      <c r="E5622" s="63" t="str">
        <f>HYPERLINK("https://www.sds-group.ru/product/steklotekstolit-1-storonniy-100x200x1-5-mm-35-00-35-mkm-rexant-09-4045/", "Инфо")</f>
        <v>Инфо</v>
      </c>
      <c r="F5622" s="16" t="s">
        <v>39</v>
      </c>
      <c r="G5622" s="15"/>
      <c r="H5622" s="15"/>
      <c r="I5622" s="15"/>
      <c r="J5622" s="17">
        <v>649</v>
      </c>
      <c r="K5622" s="15"/>
      <c r="L5622" s="17">
        <v>10</v>
      </c>
      <c r="M5622" s="17">
        <v>180</v>
      </c>
      <c r="N5622" s="17">
        <v>10</v>
      </c>
      <c r="O5622" s="18">
        <v>439.44</v>
      </c>
      <c r="P5622" s="18">
        <v>360.2</v>
      </c>
      <c r="Q5622" s="18">
        <v>307.61</v>
      </c>
      <c r="R5622" s="18">
        <v>252.14</v>
      </c>
      <c r="S5622" s="18">
        <v>298.82</v>
      </c>
      <c r="T5622" s="18">
        <v>244.93</v>
      </c>
      <c r="U5622" s="16"/>
      <c r="V5622" s="16"/>
      <c r="W5622" s="16"/>
      <c r="X5622" s="19">
        <v>6.4000000000000001E-2</v>
      </c>
      <c r="Y5622" s="20">
        <v>6.2000000000000003E-5</v>
      </c>
      <c r="Z5622" s="21">
        <v>4601004128521</v>
      </c>
    </row>
    <row r="5623" spans="1:26" ht="12" customHeight="1" outlineLevel="4" x14ac:dyDescent="0.2">
      <c r="A5623" s="14" t="s">
        <v>10881</v>
      </c>
      <c r="B5623" s="26" t="s">
        <v>10882</v>
      </c>
      <c r="C5623" s="52"/>
      <c r="D5623" s="55">
        <f t="shared" si="87"/>
        <v>0</v>
      </c>
      <c r="E5623" s="63" t="str">
        <f>HYPERLINK("https://www.sds-group.ru/product/steklotekstolit-1-storonniy-200x200x1-5-mm-35-00-35-mkm-rexant-09-4055/", "Инфо")</f>
        <v>Инфо</v>
      </c>
      <c r="F5623" s="16" t="s">
        <v>39</v>
      </c>
      <c r="G5623" s="15"/>
      <c r="H5623" s="15"/>
      <c r="I5623" s="15"/>
      <c r="J5623" s="17">
        <v>170</v>
      </c>
      <c r="K5623" s="15"/>
      <c r="L5623" s="17">
        <v>10</v>
      </c>
      <c r="M5623" s="17">
        <v>110</v>
      </c>
      <c r="N5623" s="17">
        <v>10</v>
      </c>
      <c r="O5623" s="18">
        <v>846.24</v>
      </c>
      <c r="P5623" s="18">
        <v>693.64</v>
      </c>
      <c r="Q5623" s="18">
        <v>676.99</v>
      </c>
      <c r="R5623" s="18">
        <v>554.91</v>
      </c>
      <c r="S5623" s="18">
        <v>575.44000000000005</v>
      </c>
      <c r="T5623" s="18">
        <v>471.67</v>
      </c>
      <c r="U5623" s="16"/>
      <c r="V5623" s="16"/>
      <c r="W5623" s="16" t="s">
        <v>40</v>
      </c>
      <c r="X5623" s="19">
        <v>0.122</v>
      </c>
      <c r="Y5623" s="20">
        <v>8.2999999999999998E-5</v>
      </c>
      <c r="Z5623" s="21">
        <v>4601004128569</v>
      </c>
    </row>
    <row r="5624" spans="1:26" ht="12" customHeight="1" outlineLevel="4" x14ac:dyDescent="0.2">
      <c r="A5624" s="14" t="s">
        <v>10883</v>
      </c>
      <c r="B5624" s="26" t="s">
        <v>10884</v>
      </c>
      <c r="C5624" s="52"/>
      <c r="D5624" s="55">
        <f t="shared" si="87"/>
        <v>0</v>
      </c>
      <c r="E5624" s="63" t="str">
        <f>HYPERLINK("https://www.sds-group.ru/product/steklotekstolit-1-storonniy-200x300x1-5-mm-35-00-35-mkm-rexant-09-4065/", "Инфо")</f>
        <v>Инфо</v>
      </c>
      <c r="F5624" s="16" t="s">
        <v>39</v>
      </c>
      <c r="G5624" s="15"/>
      <c r="H5624" s="15"/>
      <c r="I5624" s="15"/>
      <c r="J5624" s="17">
        <v>39</v>
      </c>
      <c r="K5624" s="15"/>
      <c r="L5624" s="17">
        <v>5</v>
      </c>
      <c r="M5624" s="17">
        <v>45</v>
      </c>
      <c r="N5624" s="17">
        <v>5</v>
      </c>
      <c r="O5624" s="18">
        <v>1270.98</v>
      </c>
      <c r="P5624" s="18">
        <v>1041.79</v>
      </c>
      <c r="Q5624" s="18">
        <v>1016.78</v>
      </c>
      <c r="R5624" s="18">
        <v>833.43</v>
      </c>
      <c r="S5624" s="18">
        <v>864.27</v>
      </c>
      <c r="T5624" s="18">
        <v>708.42</v>
      </c>
      <c r="U5624" s="16"/>
      <c r="V5624" s="16"/>
      <c r="W5624" s="16" t="s">
        <v>40</v>
      </c>
      <c r="X5624" s="19">
        <v>0.192</v>
      </c>
      <c r="Y5624" s="20">
        <v>2.4800000000000001E-4</v>
      </c>
      <c r="Z5624" s="21">
        <v>4601004128606</v>
      </c>
    </row>
    <row r="5625" spans="1:26" ht="12.95" customHeight="1" outlineLevel="1" x14ac:dyDescent="0.2">
      <c r="A5625" s="78" t="s">
        <v>10885</v>
      </c>
      <c r="B5625" s="78"/>
      <c r="C5625" s="79"/>
      <c r="D5625" s="57"/>
      <c r="E5625" s="67"/>
      <c r="F5625" s="12"/>
      <c r="G5625" s="12"/>
      <c r="H5625" s="12"/>
      <c r="I5625" s="12"/>
      <c r="J5625" s="12"/>
      <c r="K5625" s="12"/>
      <c r="L5625" s="12"/>
      <c r="M5625" s="12"/>
      <c r="N5625" s="12"/>
      <c r="O5625" s="12"/>
      <c r="P5625" s="12"/>
      <c r="Q5625" s="12"/>
      <c r="R5625" s="12"/>
      <c r="S5625" s="12"/>
      <c r="T5625" s="12"/>
      <c r="U5625" s="12"/>
      <c r="V5625" s="12"/>
      <c r="W5625" s="12"/>
      <c r="X5625" s="12"/>
      <c r="Y5625" s="12"/>
      <c r="Z5625" s="12"/>
    </row>
    <row r="5626" spans="1:26" ht="12.95" customHeight="1" outlineLevel="2" x14ac:dyDescent="0.2">
      <c r="A5626" s="76" t="s">
        <v>10886</v>
      </c>
      <c r="B5626" s="76"/>
      <c r="C5626" s="77"/>
      <c r="D5626" s="58"/>
      <c r="E5626" s="68"/>
      <c r="F5626" s="13"/>
      <c r="G5626" s="13"/>
      <c r="H5626" s="13"/>
      <c r="I5626" s="13"/>
      <c r="J5626" s="13"/>
      <c r="K5626" s="13"/>
      <c r="L5626" s="13"/>
      <c r="M5626" s="13"/>
      <c r="N5626" s="13"/>
      <c r="O5626" s="13"/>
      <c r="P5626" s="13"/>
      <c r="Q5626" s="13"/>
      <c r="R5626" s="13"/>
      <c r="S5626" s="13"/>
      <c r="T5626" s="13"/>
      <c r="U5626" s="13"/>
      <c r="V5626" s="13"/>
      <c r="W5626" s="13"/>
      <c r="X5626" s="13"/>
      <c r="Y5626" s="13"/>
      <c r="Z5626" s="13"/>
    </row>
    <row r="5627" spans="1:26" ht="12" customHeight="1" outlineLevel="3" x14ac:dyDescent="0.2">
      <c r="A5627" s="14" t="s">
        <v>10887</v>
      </c>
      <c r="B5627" s="26" t="s">
        <v>10888</v>
      </c>
      <c r="C5627" s="52"/>
      <c r="D5627" s="55">
        <f t="shared" si="87"/>
        <v>0</v>
      </c>
      <c r="E5627" s="63" t="str">
        <f>HYPERLINK("https://www.sds-group.ru/product/lupa-na-strubtsine-kvadratnaya-3d-s-podsvetkoy-150h180mm-belaya-rexant-31-0101/", "Инфо")</f>
        <v>Инфо</v>
      </c>
      <c r="F5627" s="16" t="s">
        <v>39</v>
      </c>
      <c r="G5627" s="15"/>
      <c r="H5627" s="15"/>
      <c r="I5627" s="15"/>
      <c r="J5627" s="17">
        <v>38</v>
      </c>
      <c r="K5627" s="15"/>
      <c r="L5627" s="17">
        <v>1</v>
      </c>
      <c r="M5627" s="17">
        <v>2</v>
      </c>
      <c r="N5627" s="17">
        <v>1</v>
      </c>
      <c r="O5627" s="18">
        <v>13263.36</v>
      </c>
      <c r="P5627" s="18">
        <v>10871.61</v>
      </c>
      <c r="Q5627" s="18">
        <v>9682.25</v>
      </c>
      <c r="R5627" s="18">
        <v>7936.27</v>
      </c>
      <c r="S5627" s="18">
        <v>9019.08</v>
      </c>
      <c r="T5627" s="18">
        <v>7392.69</v>
      </c>
      <c r="U5627" s="16"/>
      <c r="V5627" s="16"/>
      <c r="W5627" s="16" t="s">
        <v>40</v>
      </c>
      <c r="X5627" s="19">
        <v>5.0789999999999997</v>
      </c>
      <c r="Y5627" s="20">
        <v>5.4146E-2</v>
      </c>
      <c r="Z5627" s="21">
        <v>4660008012656</v>
      </c>
    </row>
    <row r="5628" spans="1:26" ht="12" customHeight="1" outlineLevel="3" x14ac:dyDescent="0.2">
      <c r="A5628" s="14" t="s">
        <v>10889</v>
      </c>
      <c r="B5628" s="26" t="s">
        <v>10890</v>
      </c>
      <c r="C5628" s="52"/>
      <c r="D5628" s="55">
        <f t="shared" si="87"/>
        <v>0</v>
      </c>
      <c r="E5628" s="63" t="str">
        <f>HYPERLINK("https://www.sds-group.ru/product/lupa-na-strubtsine-kvadratnaya-3d-20d-s-podsvetkoy-6led-seriya-ekspert-belaya-rexant-31-0565/", "Инфо")</f>
        <v>Инфо</v>
      </c>
      <c r="F5628" s="16" t="s">
        <v>39</v>
      </c>
      <c r="G5628" s="15"/>
      <c r="H5628" s="15"/>
      <c r="I5628" s="15"/>
      <c r="J5628" s="17">
        <v>35</v>
      </c>
      <c r="K5628" s="15" t="s">
        <v>1266</v>
      </c>
      <c r="L5628" s="17">
        <v>1</v>
      </c>
      <c r="M5628" s="17">
        <v>4</v>
      </c>
      <c r="N5628" s="17">
        <v>1</v>
      </c>
      <c r="O5628" s="18">
        <v>12725.99</v>
      </c>
      <c r="P5628" s="18">
        <v>10431.14</v>
      </c>
      <c r="Q5628" s="18">
        <v>8908.19</v>
      </c>
      <c r="R5628" s="18">
        <v>7301.8</v>
      </c>
      <c r="S5628" s="18">
        <v>8653.67</v>
      </c>
      <c r="T5628" s="18">
        <v>7093.17</v>
      </c>
      <c r="U5628" s="16"/>
      <c r="V5628" s="16"/>
      <c r="W5628" s="16"/>
      <c r="X5628" s="19">
        <v>3.4510000000000001</v>
      </c>
      <c r="Y5628" s="20">
        <v>3.2399999999999998E-2</v>
      </c>
      <c r="Z5628" s="21">
        <v>4601004097919</v>
      </c>
    </row>
    <row r="5629" spans="1:26" ht="12" customHeight="1" outlineLevel="3" x14ac:dyDescent="0.2">
      <c r="A5629" s="14" t="s">
        <v>10891</v>
      </c>
      <c r="B5629" s="26" t="s">
        <v>10892</v>
      </c>
      <c r="C5629" s="52"/>
      <c r="D5629" s="55">
        <f t="shared" si="87"/>
        <v>0</v>
      </c>
      <c r="E5629" s="63" t="str">
        <f>HYPERLINK("https://www.sds-group.ru/product/lupa-na-strubtsine-kvadratnaya-5d-s-podsvetkoy-60-smd-led-sensornyy-regulyator-yarkosti-190h-31-0513/", "Инфо")</f>
        <v>Инфо</v>
      </c>
      <c r="F5629" s="16" t="s">
        <v>39</v>
      </c>
      <c r="G5629" s="15"/>
      <c r="H5629" s="15"/>
      <c r="I5629" s="15"/>
      <c r="J5629" s="17">
        <v>137</v>
      </c>
      <c r="K5629" s="15" t="s">
        <v>4926</v>
      </c>
      <c r="L5629" s="17">
        <v>1</v>
      </c>
      <c r="M5629" s="17">
        <v>4</v>
      </c>
      <c r="N5629" s="17">
        <v>1</v>
      </c>
      <c r="O5629" s="18">
        <v>14747.92</v>
      </c>
      <c r="P5629" s="18">
        <v>12088.46</v>
      </c>
      <c r="Q5629" s="18">
        <v>10765.98</v>
      </c>
      <c r="R5629" s="18">
        <v>8824.57</v>
      </c>
      <c r="S5629" s="18">
        <v>10028.59</v>
      </c>
      <c r="T5629" s="18">
        <v>8220.16</v>
      </c>
      <c r="U5629" s="16"/>
      <c r="V5629" s="16"/>
      <c r="W5629" s="16" t="s">
        <v>40</v>
      </c>
      <c r="X5629" s="19">
        <v>5.0810000000000004</v>
      </c>
      <c r="Y5629" s="20">
        <v>2.9392000000000001E-2</v>
      </c>
      <c r="Z5629" s="21">
        <v>4660008013677</v>
      </c>
    </row>
    <row r="5630" spans="1:26" ht="12" customHeight="1" outlineLevel="3" x14ac:dyDescent="0.2">
      <c r="A5630" s="14" t="s">
        <v>10893</v>
      </c>
      <c r="B5630" s="26" t="s">
        <v>10894</v>
      </c>
      <c r="C5630" s="52"/>
      <c r="D5630" s="55">
        <f t="shared" si="87"/>
        <v>0</v>
      </c>
      <c r="E5630" s="63" t="str">
        <f>HYPERLINK("https://www.sds-group.ru/product/lupa-na-strubtsine-kvadratnaya-5d-s-podsvetkoy-150h180mm-belaya-rexant-31-0111/", "Инфо")</f>
        <v>Инфо</v>
      </c>
      <c r="F5630" s="16" t="s">
        <v>39</v>
      </c>
      <c r="G5630" s="15"/>
      <c r="H5630" s="15"/>
      <c r="I5630" s="15"/>
      <c r="J5630" s="17">
        <v>6</v>
      </c>
      <c r="K5630" s="15" t="s">
        <v>1055</v>
      </c>
      <c r="L5630" s="17">
        <v>1</v>
      </c>
      <c r="M5630" s="17">
        <v>2</v>
      </c>
      <c r="N5630" s="17">
        <v>1</v>
      </c>
      <c r="O5630" s="18">
        <v>10994.72</v>
      </c>
      <c r="P5630" s="18">
        <v>9012.07</v>
      </c>
      <c r="Q5630" s="18">
        <v>8026.15</v>
      </c>
      <c r="R5630" s="18">
        <v>6578.81</v>
      </c>
      <c r="S5630" s="18">
        <v>7476.41</v>
      </c>
      <c r="T5630" s="18">
        <v>6128.2</v>
      </c>
      <c r="U5630" s="16"/>
      <c r="V5630" s="16"/>
      <c r="W5630" s="16" t="s">
        <v>40</v>
      </c>
      <c r="X5630" s="19">
        <v>5.5519999999999996</v>
      </c>
      <c r="Y5630" s="20">
        <v>5.3452E-2</v>
      </c>
      <c r="Z5630" s="21">
        <v>4660008012670</v>
      </c>
    </row>
    <row r="5631" spans="1:26" ht="12" customHeight="1" outlineLevel="3" x14ac:dyDescent="0.2">
      <c r="A5631" s="14" t="s">
        <v>10895</v>
      </c>
      <c r="B5631" s="26" t="s">
        <v>10896</v>
      </c>
      <c r="C5631" s="52"/>
      <c r="D5631" s="55">
        <f t="shared" si="87"/>
        <v>0</v>
      </c>
      <c r="E5631" s="63" t="str">
        <f>HYPERLINK("https://www.sds-group.ru/product/lupa-na-strubtsine-kruglaya-3d-s-podsvetkoy-60-smd-led-sensornyy-regulyator-yarkosti-127mm-b-31-0531/", "Инфо")</f>
        <v>Инфо</v>
      </c>
      <c r="F5631" s="16" t="s">
        <v>39</v>
      </c>
      <c r="G5631" s="15"/>
      <c r="H5631" s="15"/>
      <c r="I5631" s="15"/>
      <c r="J5631" s="17">
        <v>79</v>
      </c>
      <c r="K5631" s="15"/>
      <c r="L5631" s="17">
        <v>1</v>
      </c>
      <c r="M5631" s="17">
        <v>4</v>
      </c>
      <c r="N5631" s="17">
        <v>1</v>
      </c>
      <c r="O5631" s="18">
        <v>10241.19</v>
      </c>
      <c r="P5631" s="18">
        <v>8394.42</v>
      </c>
      <c r="Q5631" s="18">
        <v>7476.07</v>
      </c>
      <c r="R5631" s="18">
        <v>6127.93</v>
      </c>
      <c r="S5631" s="18">
        <v>6964.01</v>
      </c>
      <c r="T5631" s="18">
        <v>5708.2</v>
      </c>
      <c r="U5631" s="16"/>
      <c r="V5631" s="16"/>
      <c r="W5631" s="16" t="s">
        <v>40</v>
      </c>
      <c r="X5631" s="19">
        <v>3.609</v>
      </c>
      <c r="Y5631" s="20">
        <v>1.7649000000000001E-2</v>
      </c>
      <c r="Z5631" s="21">
        <v>4601004060258</v>
      </c>
    </row>
    <row r="5632" spans="1:26" ht="12" customHeight="1" outlineLevel="3" x14ac:dyDescent="0.2">
      <c r="A5632" s="14" t="s">
        <v>10897</v>
      </c>
      <c r="B5632" s="26" t="s">
        <v>10898</v>
      </c>
      <c r="C5632" s="52"/>
      <c r="D5632" s="55">
        <f t="shared" si="87"/>
        <v>0</v>
      </c>
      <c r="E5632" s="63" t="str">
        <f>HYPERLINK("https://www.sds-group.ru/product/lupa-na-strubtsine-kruglaya-3d-s-podsvetkoy-127mm-belaya-rexant-31-0001/", "Инфо")</f>
        <v>Инфо</v>
      </c>
      <c r="F5632" s="16" t="s">
        <v>39</v>
      </c>
      <c r="G5632" s="15"/>
      <c r="H5632" s="15"/>
      <c r="I5632" s="15"/>
      <c r="J5632" s="17">
        <v>161</v>
      </c>
      <c r="K5632" s="15"/>
      <c r="L5632" s="17">
        <v>1</v>
      </c>
      <c r="M5632" s="17">
        <v>4</v>
      </c>
      <c r="N5632" s="17">
        <v>1</v>
      </c>
      <c r="O5632" s="18">
        <v>7836.12</v>
      </c>
      <c r="P5632" s="18">
        <v>6423.05</v>
      </c>
      <c r="Q5632" s="18">
        <v>5720.37</v>
      </c>
      <c r="R5632" s="18">
        <v>4688.83</v>
      </c>
      <c r="S5632" s="18">
        <v>5328.56</v>
      </c>
      <c r="T5632" s="18">
        <v>4367.67</v>
      </c>
      <c r="U5632" s="16"/>
      <c r="V5632" s="16"/>
      <c r="W5632" s="16" t="s">
        <v>40</v>
      </c>
      <c r="X5632" s="19">
        <v>2.8159999999999998</v>
      </c>
      <c r="Y5632" s="20">
        <v>2.5947999999999999E-2</v>
      </c>
      <c r="Z5632" s="21">
        <v>4660008012595</v>
      </c>
    </row>
    <row r="5633" spans="1:26" ht="12" customHeight="1" outlineLevel="3" x14ac:dyDescent="0.2">
      <c r="A5633" s="14" t="s">
        <v>10899</v>
      </c>
      <c r="B5633" s="26" t="s">
        <v>10900</v>
      </c>
      <c r="C5633" s="52"/>
      <c r="D5633" s="55">
        <f t="shared" si="87"/>
        <v>0</v>
      </c>
      <c r="E5633" s="63" t="str">
        <f>HYPERLINK("https://www.sds-group.ru/product/lupa-na-strubtsine-kruglaya-5d-s-podsvetkoy-56-smd-led-127mm-belaya-rexant-31-0403/", "Инфо")</f>
        <v>Инфо</v>
      </c>
      <c r="F5633" s="16" t="s">
        <v>39</v>
      </c>
      <c r="G5633" s="15"/>
      <c r="H5633" s="15"/>
      <c r="I5633" s="15"/>
      <c r="J5633" s="17">
        <v>27</v>
      </c>
      <c r="K5633" s="15" t="s">
        <v>1055</v>
      </c>
      <c r="L5633" s="17">
        <v>1</v>
      </c>
      <c r="M5633" s="17">
        <v>4</v>
      </c>
      <c r="N5633" s="17">
        <v>1</v>
      </c>
      <c r="O5633" s="18">
        <v>9943.91</v>
      </c>
      <c r="P5633" s="18">
        <v>8150.75</v>
      </c>
      <c r="Q5633" s="18">
        <v>7259.05</v>
      </c>
      <c r="R5633" s="18">
        <v>5950.04</v>
      </c>
      <c r="S5633" s="18">
        <v>6761.86</v>
      </c>
      <c r="T5633" s="18">
        <v>5542.51</v>
      </c>
      <c r="U5633" s="16"/>
      <c r="V5633" s="16"/>
      <c r="W5633" s="16" t="s">
        <v>40</v>
      </c>
      <c r="X5633" s="19">
        <v>3.2069999999999999</v>
      </c>
      <c r="Y5633" s="20">
        <v>1.9094E-2</v>
      </c>
      <c r="Z5633" s="21">
        <v>4660008013615</v>
      </c>
    </row>
    <row r="5634" spans="1:26" ht="12" customHeight="1" outlineLevel="3" x14ac:dyDescent="0.2">
      <c r="A5634" s="14" t="s">
        <v>10901</v>
      </c>
      <c r="B5634" s="26" t="s">
        <v>10902</v>
      </c>
      <c r="C5634" s="52"/>
      <c r="D5634" s="55">
        <f t="shared" si="87"/>
        <v>0</v>
      </c>
      <c r="E5634" s="63" t="str">
        <f>HYPERLINK("https://www.sds-group.ru/product/lupa-na-strubtsine-kruglaya-5d-s-podsvetkoy-56-smd-led-127mm-chernaya-rexant-31-0406/", "Инфо")</f>
        <v>Инфо</v>
      </c>
      <c r="F5634" s="16" t="s">
        <v>39</v>
      </c>
      <c r="G5634" s="15"/>
      <c r="H5634" s="15"/>
      <c r="I5634" s="15"/>
      <c r="J5634" s="17">
        <v>91</v>
      </c>
      <c r="K5634" s="15" t="s">
        <v>1055</v>
      </c>
      <c r="L5634" s="17">
        <v>1</v>
      </c>
      <c r="M5634" s="17">
        <v>4</v>
      </c>
      <c r="N5634" s="17">
        <v>1</v>
      </c>
      <c r="O5634" s="18">
        <v>9722.43</v>
      </c>
      <c r="P5634" s="18">
        <v>7969.2</v>
      </c>
      <c r="Q5634" s="18">
        <v>7097.37</v>
      </c>
      <c r="R5634" s="18">
        <v>5817.52</v>
      </c>
      <c r="S5634" s="18">
        <v>6611.25</v>
      </c>
      <c r="T5634" s="18">
        <v>5419.06</v>
      </c>
      <c r="U5634" s="16"/>
      <c r="V5634" s="16"/>
      <c r="W5634" s="16" t="s">
        <v>40</v>
      </c>
      <c r="X5634" s="19">
        <v>3.1829999999999998</v>
      </c>
      <c r="Y5634" s="20">
        <v>1.8695E-2</v>
      </c>
      <c r="Z5634" s="21">
        <v>4601004068445</v>
      </c>
    </row>
    <row r="5635" spans="1:26" ht="12" customHeight="1" outlineLevel="3" x14ac:dyDescent="0.2">
      <c r="A5635" s="14" t="s">
        <v>10903</v>
      </c>
      <c r="B5635" s="26" t="s">
        <v>10904</v>
      </c>
      <c r="C5635" s="52"/>
      <c r="D5635" s="55">
        <f t="shared" si="87"/>
        <v>0</v>
      </c>
      <c r="E5635" s="63" t="str">
        <f>HYPERLINK("https://www.sds-group.ru/product/lupa-na-strubtsine-kruglaya-5d-s-podsvetkoy-72-smd-sensornyy-regulyator-yarkosti-152mm-belay-31-0532/", "Инфо")</f>
        <v>Инфо</v>
      </c>
      <c r="F5635" s="16" t="s">
        <v>39</v>
      </c>
      <c r="G5635" s="15"/>
      <c r="H5635" s="15"/>
      <c r="I5635" s="15"/>
      <c r="J5635" s="17">
        <v>94</v>
      </c>
      <c r="K5635" s="15" t="s">
        <v>1055</v>
      </c>
      <c r="L5635" s="17">
        <v>1</v>
      </c>
      <c r="M5635" s="17">
        <v>2</v>
      </c>
      <c r="N5635" s="17">
        <v>1</v>
      </c>
      <c r="O5635" s="18">
        <v>11516.04</v>
      </c>
      <c r="P5635" s="18">
        <v>9439.3799999999992</v>
      </c>
      <c r="Q5635" s="18">
        <v>8061.23</v>
      </c>
      <c r="R5635" s="18">
        <v>6607.57</v>
      </c>
      <c r="S5635" s="18">
        <v>7830.91</v>
      </c>
      <c r="T5635" s="18">
        <v>6418.78</v>
      </c>
      <c r="U5635" s="16"/>
      <c r="V5635" s="16"/>
      <c r="W5635" s="16"/>
      <c r="X5635" s="19">
        <v>3.9220000000000002</v>
      </c>
      <c r="Y5635" s="20">
        <v>2.5697000000000001E-2</v>
      </c>
      <c r="Z5635" s="21">
        <v>4601004068438</v>
      </c>
    </row>
    <row r="5636" spans="1:26" ht="12" customHeight="1" outlineLevel="3" x14ac:dyDescent="0.2">
      <c r="A5636" s="14" t="s">
        <v>10905</v>
      </c>
      <c r="B5636" s="26" t="s">
        <v>10906</v>
      </c>
      <c r="C5636" s="52"/>
      <c r="D5636" s="55">
        <f t="shared" si="87"/>
        <v>0</v>
      </c>
      <c r="E5636" s="63" t="str">
        <f>HYPERLINK("https://www.sds-group.ru/product/lupa-na-strubtsine-kruglaya-5d-s-podsvetkoy-84-smd-led-178mm-belaya-rexant-31-0503/", "Инфо")</f>
        <v>Инфо</v>
      </c>
      <c r="F5636" s="16" t="s">
        <v>39</v>
      </c>
      <c r="G5636" s="15"/>
      <c r="H5636" s="15"/>
      <c r="I5636" s="15"/>
      <c r="J5636" s="17">
        <v>62</v>
      </c>
      <c r="K5636" s="15" t="s">
        <v>1055</v>
      </c>
      <c r="L5636" s="17">
        <v>1</v>
      </c>
      <c r="M5636" s="17">
        <v>4</v>
      </c>
      <c r="N5636" s="17">
        <v>1</v>
      </c>
      <c r="O5636" s="18">
        <v>16915.669999999998</v>
      </c>
      <c r="P5636" s="18">
        <v>13865.3</v>
      </c>
      <c r="Q5636" s="18">
        <v>12348.44</v>
      </c>
      <c r="R5636" s="18">
        <v>10121.67</v>
      </c>
      <c r="S5636" s="18">
        <v>11502.66</v>
      </c>
      <c r="T5636" s="18">
        <v>9428.41</v>
      </c>
      <c r="U5636" s="16"/>
      <c r="V5636" s="16"/>
      <c r="W5636" s="16" t="s">
        <v>40</v>
      </c>
      <c r="X5636" s="19">
        <v>4.5990000000000002</v>
      </c>
      <c r="Y5636" s="20">
        <v>2.9427999999999999E-2</v>
      </c>
      <c r="Z5636" s="21">
        <v>4660008013653</v>
      </c>
    </row>
    <row r="5637" spans="1:26" ht="12" customHeight="1" outlineLevel="3" x14ac:dyDescent="0.2">
      <c r="A5637" s="14" t="s">
        <v>10907</v>
      </c>
      <c r="B5637" s="26" t="s">
        <v>10908</v>
      </c>
      <c r="C5637" s="52"/>
      <c r="D5637" s="55">
        <f t="shared" si="87"/>
        <v>0</v>
      </c>
      <c r="E5637" s="63" t="str">
        <f>HYPERLINK("https://www.sds-group.ru/product/lupa-na-strubtsine-kruglaya-5d-s-podsvetkoy-96-smd-led-teplyy-i-holodnyy-svet-127mm-belaya-r-31-0535/", "Инфо")</f>
        <v>Инфо</v>
      </c>
      <c r="F5637" s="16" t="s">
        <v>39</v>
      </c>
      <c r="G5637" s="15"/>
      <c r="H5637" s="15"/>
      <c r="I5637" s="15"/>
      <c r="J5637" s="17">
        <v>50</v>
      </c>
      <c r="K5637" s="15"/>
      <c r="L5637" s="17">
        <v>1</v>
      </c>
      <c r="M5637" s="17">
        <v>4</v>
      </c>
      <c r="N5637" s="17">
        <v>1</v>
      </c>
      <c r="O5637" s="18">
        <v>13929.22</v>
      </c>
      <c r="P5637" s="18">
        <v>11417.39</v>
      </c>
      <c r="Q5637" s="18">
        <v>10168.33</v>
      </c>
      <c r="R5637" s="18">
        <v>8334.7000000000007</v>
      </c>
      <c r="S5637" s="18">
        <v>9471.8700000000008</v>
      </c>
      <c r="T5637" s="18">
        <v>7763.83</v>
      </c>
      <c r="U5637" s="16"/>
      <c r="V5637" s="16"/>
      <c r="W5637" s="16" t="s">
        <v>40</v>
      </c>
      <c r="X5637" s="19">
        <v>3.44</v>
      </c>
      <c r="Y5637" s="20">
        <v>2.3632E-2</v>
      </c>
      <c r="Z5637" s="21">
        <v>4601004068452</v>
      </c>
    </row>
    <row r="5638" spans="1:26" ht="12" customHeight="1" outlineLevel="3" x14ac:dyDescent="0.2">
      <c r="A5638" s="14" t="s">
        <v>10909</v>
      </c>
      <c r="B5638" s="26" t="s">
        <v>10910</v>
      </c>
      <c r="C5638" s="52"/>
      <c r="D5638" s="55">
        <f t="shared" si="87"/>
        <v>0</v>
      </c>
      <c r="E5638" s="63" t="str">
        <f>HYPERLINK("https://www.sds-group.ru/product/lupa-na-strubtsine-kruglaya-5d-s-podsvetkoy-127mm-belaya-rexant-31-0011/", "Инфо")</f>
        <v>Инфо</v>
      </c>
      <c r="F5638" s="16" t="s">
        <v>39</v>
      </c>
      <c r="G5638" s="15"/>
      <c r="H5638" s="15"/>
      <c r="I5638" s="15"/>
      <c r="J5638" s="17">
        <v>107</v>
      </c>
      <c r="K5638" s="15"/>
      <c r="L5638" s="17">
        <v>1</v>
      </c>
      <c r="M5638" s="17">
        <v>4</v>
      </c>
      <c r="N5638" s="17">
        <v>1</v>
      </c>
      <c r="O5638" s="18">
        <v>8090.53</v>
      </c>
      <c r="P5638" s="18">
        <v>6631.58</v>
      </c>
      <c r="Q5638" s="18">
        <v>5906.09</v>
      </c>
      <c r="R5638" s="18">
        <v>4841.0600000000004</v>
      </c>
      <c r="S5638" s="18">
        <v>5501.56</v>
      </c>
      <c r="T5638" s="18">
        <v>4509.4799999999996</v>
      </c>
      <c r="U5638" s="16"/>
      <c r="V5638" s="16"/>
      <c r="W5638" s="16" t="s">
        <v>40</v>
      </c>
      <c r="X5638" s="19">
        <v>2.855</v>
      </c>
      <c r="Y5638" s="20">
        <v>2.6360000000000001E-2</v>
      </c>
      <c r="Z5638" s="21">
        <v>4660008012618</v>
      </c>
    </row>
    <row r="5639" spans="1:26" ht="12" customHeight="1" outlineLevel="3" x14ac:dyDescent="0.2">
      <c r="A5639" s="14" t="s">
        <v>10911</v>
      </c>
      <c r="B5639" s="26" t="s">
        <v>10912</v>
      </c>
      <c r="C5639" s="52"/>
      <c r="D5639" s="55">
        <f t="shared" si="87"/>
        <v>0</v>
      </c>
      <c r="E5639" s="63" t="str">
        <f>HYPERLINK("https://www.sds-group.ru/product/lupa-na-strubtsine-kruglaya-8d-s-podsvetkoy-127mm-belaya-rexant-31-0021/", "Инфо")</f>
        <v>Инфо</v>
      </c>
      <c r="F5639" s="16" t="s">
        <v>39</v>
      </c>
      <c r="G5639" s="15"/>
      <c r="H5639" s="15"/>
      <c r="I5639" s="15"/>
      <c r="J5639" s="17">
        <v>13</v>
      </c>
      <c r="K5639" s="15" t="s">
        <v>1055</v>
      </c>
      <c r="L5639" s="17">
        <v>1</v>
      </c>
      <c r="M5639" s="17">
        <v>4</v>
      </c>
      <c r="N5639" s="17">
        <v>1</v>
      </c>
      <c r="O5639" s="18">
        <v>8623.08</v>
      </c>
      <c r="P5639" s="18">
        <v>7068.1</v>
      </c>
      <c r="Q5639" s="18">
        <v>6294.85</v>
      </c>
      <c r="R5639" s="18">
        <v>5159.71</v>
      </c>
      <c r="S5639" s="18">
        <v>5863.69</v>
      </c>
      <c r="T5639" s="18">
        <v>4806.3</v>
      </c>
      <c r="U5639" s="16"/>
      <c r="V5639" s="16"/>
      <c r="W5639" s="16" t="s">
        <v>40</v>
      </c>
      <c r="X5639" s="19">
        <v>3.0369999999999999</v>
      </c>
      <c r="Y5639" s="20">
        <v>2.5867000000000001E-2</v>
      </c>
      <c r="Z5639" s="21">
        <v>4660008012632</v>
      </c>
    </row>
    <row r="5640" spans="1:26" ht="12.95" customHeight="1" outlineLevel="2" x14ac:dyDescent="0.2">
      <c r="A5640" s="76" t="s">
        <v>10913</v>
      </c>
      <c r="B5640" s="76"/>
      <c r="C5640" s="77"/>
      <c r="D5640" s="58"/>
      <c r="E5640" s="68"/>
      <c r="F5640" s="13"/>
      <c r="G5640" s="13"/>
      <c r="H5640" s="13"/>
      <c r="I5640" s="13"/>
      <c r="J5640" s="13"/>
      <c r="K5640" s="13"/>
      <c r="L5640" s="13"/>
      <c r="M5640" s="13"/>
      <c r="N5640" s="13"/>
      <c r="O5640" s="13"/>
      <c r="P5640" s="13"/>
      <c r="Q5640" s="13"/>
      <c r="R5640" s="13"/>
      <c r="S5640" s="13"/>
      <c r="T5640" s="13"/>
      <c r="U5640" s="13"/>
      <c r="V5640" s="13"/>
      <c r="W5640" s="13"/>
      <c r="X5640" s="13"/>
      <c r="Y5640" s="13"/>
      <c r="Z5640" s="13"/>
    </row>
    <row r="5641" spans="1:26" ht="12" customHeight="1" outlineLevel="3" x14ac:dyDescent="0.2">
      <c r="A5641" s="32" t="s">
        <v>10914</v>
      </c>
      <c r="B5641" s="74" t="s">
        <v>10915</v>
      </c>
      <c r="C5641" s="50"/>
      <c r="D5641" s="53">
        <f t="shared" ref="D5641:D5704" si="88">C5641*(O5641-O5641*$G$3)</f>
        <v>0</v>
      </c>
      <c r="E5641" s="60" t="str">
        <f>HYPERLINK("https://www.sds-group.ru/product/lupa-nastolnaya-3d-s-podsvetkoy-3-led-sensornaya-regulirovka-yarkosti-ekspert-125mm-belaya-r-31-0560/", "Инфо")</f>
        <v>Инфо</v>
      </c>
      <c r="F5641" s="34" t="s">
        <v>39</v>
      </c>
      <c r="G5641" s="33"/>
      <c r="H5641" s="33" t="s">
        <v>40</v>
      </c>
      <c r="I5641" s="33"/>
      <c r="J5641" s="35">
        <v>79</v>
      </c>
      <c r="K5641" s="33"/>
      <c r="L5641" s="35">
        <v>1</v>
      </c>
      <c r="M5641" s="35">
        <v>6</v>
      </c>
      <c r="N5641" s="35">
        <v>1</v>
      </c>
      <c r="O5641" s="36">
        <v>7007.13</v>
      </c>
      <c r="P5641" s="36">
        <v>5743.55</v>
      </c>
      <c r="Q5641" s="36">
        <v>5115.2</v>
      </c>
      <c r="R5641" s="36">
        <v>4192.79</v>
      </c>
      <c r="S5641" s="36">
        <v>4764.8500000000004</v>
      </c>
      <c r="T5641" s="36">
        <v>3905.61</v>
      </c>
      <c r="U5641" s="34"/>
      <c r="V5641" s="34"/>
      <c r="W5641" s="34" t="s">
        <v>40</v>
      </c>
      <c r="X5641" s="37">
        <v>1.2629999999999999</v>
      </c>
      <c r="Y5641" s="38">
        <v>1.0345999999999999E-2</v>
      </c>
      <c r="Z5641" s="21">
        <v>4601004097902</v>
      </c>
    </row>
    <row r="5642" spans="1:26" ht="12" customHeight="1" outlineLevel="3" x14ac:dyDescent="0.2">
      <c r="A5642" s="14" t="s">
        <v>10916</v>
      </c>
      <c r="B5642" s="26" t="s">
        <v>10917</v>
      </c>
      <c r="C5642" s="52"/>
      <c r="D5642" s="55">
        <f t="shared" si="88"/>
        <v>0</v>
      </c>
      <c r="E5642" s="63" t="str">
        <f>HYPERLINK("https://www.sds-group.ru/product/lupa-nastolnaya-3d-s-podsvetkoy-30-smd-led-100mm-belaya-rexant-31-0245/", "Инфо")</f>
        <v>Инфо</v>
      </c>
      <c r="F5642" s="16" t="s">
        <v>39</v>
      </c>
      <c r="G5642" s="15"/>
      <c r="H5642" s="15"/>
      <c r="I5642" s="15"/>
      <c r="J5642" s="17">
        <v>9</v>
      </c>
      <c r="K5642" s="15" t="s">
        <v>883</v>
      </c>
      <c r="L5642" s="17">
        <v>1</v>
      </c>
      <c r="M5642" s="17">
        <v>8</v>
      </c>
      <c r="N5642" s="17">
        <v>1</v>
      </c>
      <c r="O5642" s="18">
        <v>6468.12</v>
      </c>
      <c r="P5642" s="18">
        <v>5301.74</v>
      </c>
      <c r="Q5642" s="18">
        <v>4721.7299999999996</v>
      </c>
      <c r="R5642" s="18">
        <v>3870.27</v>
      </c>
      <c r="S5642" s="18">
        <v>4398.32</v>
      </c>
      <c r="T5642" s="18">
        <v>3605.18</v>
      </c>
      <c r="U5642" s="16"/>
      <c r="V5642" s="16"/>
      <c r="W5642" s="16" t="s">
        <v>40</v>
      </c>
      <c r="X5642" s="19">
        <v>3</v>
      </c>
      <c r="Y5642" s="20">
        <v>3.3838E-2</v>
      </c>
      <c r="Z5642" s="21">
        <v>4601004002586</v>
      </c>
    </row>
    <row r="5643" spans="1:26" ht="12" customHeight="1" outlineLevel="3" x14ac:dyDescent="0.2">
      <c r="A5643" s="14" t="s">
        <v>10918</v>
      </c>
      <c r="B5643" s="26" t="s">
        <v>10919</v>
      </c>
      <c r="C5643" s="52"/>
      <c r="D5643" s="55">
        <f t="shared" si="88"/>
        <v>0</v>
      </c>
      <c r="E5643" s="63" t="str">
        <f>HYPERLINK("https://www.sds-group.ru/product/lupa-nastolnaya-3d-s-podsvetkoy-30-smd-led-podstavka-prischepka-95mm-belaya-rexant-31-0247/", "Инфо")</f>
        <v>Инфо</v>
      </c>
      <c r="F5643" s="16" t="s">
        <v>39</v>
      </c>
      <c r="G5643" s="15"/>
      <c r="H5643" s="15"/>
      <c r="I5643" s="15"/>
      <c r="J5643" s="17">
        <v>414</v>
      </c>
      <c r="K5643" s="15" t="s">
        <v>883</v>
      </c>
      <c r="L5643" s="17">
        <v>1</v>
      </c>
      <c r="M5643" s="17">
        <v>10</v>
      </c>
      <c r="N5643" s="17">
        <v>1</v>
      </c>
      <c r="O5643" s="18">
        <v>5065.6099999999997</v>
      </c>
      <c r="P5643" s="18">
        <v>4152.1400000000003</v>
      </c>
      <c r="Q5643" s="18">
        <v>3545.93</v>
      </c>
      <c r="R5643" s="18">
        <v>2906.5</v>
      </c>
      <c r="S5643" s="18">
        <v>3444.61</v>
      </c>
      <c r="T5643" s="18">
        <v>2823.45</v>
      </c>
      <c r="U5643" s="16"/>
      <c r="V5643" s="16"/>
      <c r="W5643" s="16"/>
      <c r="X5643" s="19">
        <v>1.8240000000000001</v>
      </c>
      <c r="Y5643" s="20">
        <v>9.4809999999999998E-3</v>
      </c>
      <c r="Z5643" s="21">
        <v>4601004060241</v>
      </c>
    </row>
    <row r="5644" spans="1:26" ht="12" customHeight="1" outlineLevel="3" x14ac:dyDescent="0.2">
      <c r="A5644" s="14" t="s">
        <v>10920</v>
      </c>
      <c r="B5644" s="26" t="s">
        <v>10921</v>
      </c>
      <c r="C5644" s="52"/>
      <c r="D5644" s="55">
        <f t="shared" si="88"/>
        <v>0</v>
      </c>
      <c r="E5644" s="63" t="str">
        <f>HYPERLINK("https://www.sds-group.ru/product/lupa-nastolnaya-3d-12d-s-podsvetkoy-40-led-prischepka-100mm-belaya-rexant-31-0244/", "Инфо")</f>
        <v>Инфо</v>
      </c>
      <c r="F5644" s="16" t="s">
        <v>39</v>
      </c>
      <c r="G5644" s="15"/>
      <c r="H5644" s="15"/>
      <c r="I5644" s="15"/>
      <c r="J5644" s="17">
        <v>163</v>
      </c>
      <c r="K5644" s="15"/>
      <c r="L5644" s="17">
        <v>1</v>
      </c>
      <c r="M5644" s="17">
        <v>6</v>
      </c>
      <c r="N5644" s="17">
        <v>1</v>
      </c>
      <c r="O5644" s="18">
        <v>7546.14</v>
      </c>
      <c r="P5644" s="18">
        <v>6185.36</v>
      </c>
      <c r="Q5644" s="18">
        <v>5508.68</v>
      </c>
      <c r="R5644" s="18">
        <v>4515.3100000000004</v>
      </c>
      <c r="S5644" s="18">
        <v>5131.38</v>
      </c>
      <c r="T5644" s="18">
        <v>4206.05</v>
      </c>
      <c r="U5644" s="16"/>
      <c r="V5644" s="16"/>
      <c r="W5644" s="16" t="s">
        <v>40</v>
      </c>
      <c r="X5644" s="19">
        <v>1.675</v>
      </c>
      <c r="Y5644" s="20">
        <v>1.9244000000000001E-2</v>
      </c>
      <c r="Z5644" s="21">
        <v>4660008013707</v>
      </c>
    </row>
    <row r="5645" spans="1:26" ht="12" customHeight="1" outlineLevel="3" x14ac:dyDescent="0.2">
      <c r="A5645" s="14" t="s">
        <v>10922</v>
      </c>
      <c r="B5645" s="26" t="s">
        <v>10923</v>
      </c>
      <c r="C5645" s="52"/>
      <c r="D5645" s="55">
        <f t="shared" si="88"/>
        <v>0</v>
      </c>
      <c r="E5645" s="63" t="str">
        <f>HYPERLINK("https://www.sds-group.ru/product/lupa-nastolnaya-3d-12d-s-podsvetkoy-40-smd-led-100mm-belaya-rexant-31-0243/", "Инфо")</f>
        <v>Инфо</v>
      </c>
      <c r="F5645" s="16" t="s">
        <v>39</v>
      </c>
      <c r="G5645" s="15"/>
      <c r="H5645" s="15"/>
      <c r="I5645" s="15"/>
      <c r="J5645" s="16" t="s">
        <v>100</v>
      </c>
      <c r="K5645" s="15" t="s">
        <v>1055</v>
      </c>
      <c r="L5645" s="17">
        <v>1</v>
      </c>
      <c r="M5645" s="17">
        <v>8</v>
      </c>
      <c r="N5645" s="17">
        <v>1</v>
      </c>
      <c r="O5645" s="18">
        <v>6252.52</v>
      </c>
      <c r="P5645" s="18">
        <v>5125.0200000000004</v>
      </c>
      <c r="Q5645" s="18">
        <v>4564.34</v>
      </c>
      <c r="R5645" s="18">
        <v>3741.26</v>
      </c>
      <c r="S5645" s="18">
        <v>4251.71</v>
      </c>
      <c r="T5645" s="18">
        <v>3485.01</v>
      </c>
      <c r="U5645" s="16"/>
      <c r="V5645" s="16"/>
      <c r="W5645" s="16" t="s">
        <v>40</v>
      </c>
      <c r="X5645" s="19">
        <v>1.871</v>
      </c>
      <c r="Y5645" s="20">
        <v>1.4546E-2</v>
      </c>
      <c r="Z5645" s="21">
        <v>4660008013691</v>
      </c>
    </row>
    <row r="5646" spans="1:26" ht="12" customHeight="1" outlineLevel="3" x14ac:dyDescent="0.2">
      <c r="A5646" s="14" t="s">
        <v>10924</v>
      </c>
      <c r="B5646" s="26" t="s">
        <v>10925</v>
      </c>
      <c r="C5646" s="52"/>
      <c r="D5646" s="55">
        <f t="shared" si="88"/>
        <v>0</v>
      </c>
      <c r="E5646" s="63" t="str">
        <f>HYPERLINK("https://www.sds-group.ru/product/lupa-nastolnaya-3d-12d-s-podsvetkoy-90mm-belaya-rexant-31-0242/", "Инфо")</f>
        <v>Инфо</v>
      </c>
      <c r="F5646" s="16" t="s">
        <v>39</v>
      </c>
      <c r="G5646" s="15"/>
      <c r="H5646" s="15"/>
      <c r="I5646" s="15"/>
      <c r="J5646" s="17">
        <v>327</v>
      </c>
      <c r="K5646" s="15" t="s">
        <v>4926</v>
      </c>
      <c r="L5646" s="17">
        <v>1</v>
      </c>
      <c r="M5646" s="17">
        <v>10</v>
      </c>
      <c r="N5646" s="17">
        <v>1</v>
      </c>
      <c r="O5646" s="18">
        <v>3773.07</v>
      </c>
      <c r="P5646" s="18">
        <v>3092.68</v>
      </c>
      <c r="Q5646" s="18">
        <v>2754.34</v>
      </c>
      <c r="R5646" s="18">
        <v>2257.66</v>
      </c>
      <c r="S5646" s="18">
        <v>2565.69</v>
      </c>
      <c r="T5646" s="18">
        <v>2103.02</v>
      </c>
      <c r="U5646" s="16"/>
      <c r="V5646" s="16"/>
      <c r="W5646" s="16" t="s">
        <v>40</v>
      </c>
      <c r="X5646" s="19">
        <v>1.3560000000000001</v>
      </c>
      <c r="Y5646" s="20">
        <v>1.2735E-2</v>
      </c>
      <c r="Z5646" s="21">
        <v>4660008012717</v>
      </c>
    </row>
    <row r="5647" spans="1:26" ht="12.95" customHeight="1" outlineLevel="2" x14ac:dyDescent="0.2">
      <c r="A5647" s="76" t="s">
        <v>10926</v>
      </c>
      <c r="B5647" s="76"/>
      <c r="C5647" s="77"/>
      <c r="D5647" s="58"/>
      <c r="E5647" s="68"/>
      <c r="F5647" s="13"/>
      <c r="G5647" s="13"/>
      <c r="H5647" s="13"/>
      <c r="I5647" s="13"/>
      <c r="J5647" s="13"/>
      <c r="K5647" s="13"/>
      <c r="L5647" s="13"/>
      <c r="M5647" s="13"/>
      <c r="N5647" s="13"/>
      <c r="O5647" s="13"/>
      <c r="P5647" s="13"/>
      <c r="Q5647" s="13"/>
      <c r="R5647" s="13"/>
      <c r="S5647" s="13"/>
      <c r="T5647" s="13"/>
      <c r="U5647" s="13"/>
      <c r="V5647" s="13"/>
      <c r="W5647" s="13"/>
      <c r="X5647" s="13"/>
      <c r="Y5647" s="13"/>
      <c r="Z5647" s="13"/>
    </row>
    <row r="5648" spans="1:26" ht="12" customHeight="1" outlineLevel="3" x14ac:dyDescent="0.2">
      <c r="A5648" s="14" t="s">
        <v>10927</v>
      </c>
      <c r="B5648" s="26" t="s">
        <v>10928</v>
      </c>
      <c r="C5648" s="52"/>
      <c r="D5648" s="55">
        <f t="shared" si="88"/>
        <v>0</v>
      </c>
      <c r="E5648" s="63" t="str">
        <f>HYPERLINK("https://www.sds-group.ru/product/lupa-napolnaya-3d-s-podsvetkoy-42-smd-led-174h108mm-belaya-rexant-31-0512/", "Инфо")</f>
        <v>Инфо</v>
      </c>
      <c r="F5648" s="16" t="s">
        <v>39</v>
      </c>
      <c r="G5648" s="15"/>
      <c r="H5648" s="15"/>
      <c r="I5648" s="15"/>
      <c r="J5648" s="17">
        <v>8</v>
      </c>
      <c r="K5648" s="15" t="s">
        <v>1055</v>
      </c>
      <c r="L5648" s="17">
        <v>1</v>
      </c>
      <c r="M5648" s="17">
        <v>2</v>
      </c>
      <c r="N5648" s="17">
        <v>1</v>
      </c>
      <c r="O5648" s="18">
        <v>13164.46</v>
      </c>
      <c r="P5648" s="18">
        <v>10790.54</v>
      </c>
      <c r="Q5648" s="18">
        <v>9215.1200000000008</v>
      </c>
      <c r="R5648" s="18">
        <v>7553.38</v>
      </c>
      <c r="S5648" s="18">
        <v>8951.83</v>
      </c>
      <c r="T5648" s="18">
        <v>7337.57</v>
      </c>
      <c r="U5648" s="16"/>
      <c r="V5648" s="16"/>
      <c r="W5648" s="16"/>
      <c r="X5648" s="19">
        <v>9.5609999999999999</v>
      </c>
      <c r="Y5648" s="20">
        <v>2.9152999999999998E-2</v>
      </c>
      <c r="Z5648" s="21">
        <v>4601004009479</v>
      </c>
    </row>
    <row r="5649" spans="1:26" ht="12.95" customHeight="1" outlineLevel="2" x14ac:dyDescent="0.2">
      <c r="A5649" s="76" t="s">
        <v>10929</v>
      </c>
      <c r="B5649" s="76"/>
      <c r="C5649" s="77"/>
      <c r="D5649" s="58"/>
      <c r="E5649" s="68"/>
      <c r="F5649" s="13"/>
      <c r="G5649" s="13"/>
      <c r="H5649" s="13"/>
      <c r="I5649" s="13"/>
      <c r="J5649" s="13"/>
      <c r="K5649" s="13"/>
      <c r="L5649" s="13"/>
      <c r="M5649" s="13"/>
      <c r="N5649" s="13"/>
      <c r="O5649" s="13"/>
      <c r="P5649" s="13"/>
      <c r="Q5649" s="13"/>
      <c r="R5649" s="13"/>
      <c r="S5649" s="13"/>
      <c r="T5649" s="13"/>
      <c r="U5649" s="13"/>
      <c r="V5649" s="13"/>
      <c r="W5649" s="13"/>
      <c r="X5649" s="13"/>
      <c r="Y5649" s="13"/>
      <c r="Z5649" s="13"/>
    </row>
    <row r="5650" spans="1:26" ht="12" customHeight="1" outlineLevel="3" x14ac:dyDescent="0.2">
      <c r="A5650" s="14" t="s">
        <v>10930</v>
      </c>
      <c r="B5650" s="26" t="s">
        <v>10931</v>
      </c>
      <c r="C5650" s="52"/>
      <c r="D5650" s="55">
        <f t="shared" si="88"/>
        <v>0</v>
      </c>
      <c r="E5650" s="63" t="str">
        <f>HYPERLINK("https://www.sds-group.ru/product/lampa-nastolnaya-bestenevaya-strubtsina-117-smd-led-dimmer-4-urovnya-belaya-rexant-31-0409/", "Инфо")</f>
        <v>Инфо</v>
      </c>
      <c r="F5650" s="16" t="s">
        <v>39</v>
      </c>
      <c r="G5650" s="15"/>
      <c r="H5650" s="15"/>
      <c r="I5650" s="15"/>
      <c r="J5650" s="17">
        <v>61</v>
      </c>
      <c r="K5650" s="15"/>
      <c r="L5650" s="17">
        <v>1</v>
      </c>
      <c r="M5650" s="17">
        <v>6</v>
      </c>
      <c r="N5650" s="17">
        <v>1</v>
      </c>
      <c r="O5650" s="18">
        <v>12181.63</v>
      </c>
      <c r="P5650" s="18">
        <v>9984.94</v>
      </c>
      <c r="Q5650" s="18">
        <v>8892.59</v>
      </c>
      <c r="R5650" s="18">
        <v>7289.01</v>
      </c>
      <c r="S5650" s="18">
        <v>8283.51</v>
      </c>
      <c r="T5650" s="18">
        <v>6789.76</v>
      </c>
      <c r="U5650" s="16"/>
      <c r="V5650" s="16"/>
      <c r="W5650" s="16" t="s">
        <v>40</v>
      </c>
      <c r="X5650" s="19">
        <v>3.0750000000000002</v>
      </c>
      <c r="Y5650" s="20">
        <v>2.2370000000000001E-2</v>
      </c>
      <c r="Z5650" s="21">
        <v>4601004100084</v>
      </c>
    </row>
    <row r="5651" spans="1:26" ht="12" customHeight="1" outlineLevel="3" x14ac:dyDescent="0.2">
      <c r="A5651" s="14" t="s">
        <v>10932</v>
      </c>
      <c r="B5651" s="26" t="s">
        <v>10933</v>
      </c>
      <c r="C5651" s="52"/>
      <c r="D5651" s="55">
        <f t="shared" si="88"/>
        <v>0</v>
      </c>
      <c r="E5651" s="63" t="str">
        <f>HYPERLINK("https://www.sds-group.ru/product/lampa-nastolnaya-bestenevaya-strubtsina-60-smd-led-belaya-rexant-31-0407/", "Инфо")</f>
        <v>Инфо</v>
      </c>
      <c r="F5651" s="16" t="s">
        <v>39</v>
      </c>
      <c r="G5651" s="15"/>
      <c r="H5651" s="15"/>
      <c r="I5651" s="15"/>
      <c r="J5651" s="17">
        <v>378</v>
      </c>
      <c r="K5651" s="15" t="s">
        <v>979</v>
      </c>
      <c r="L5651" s="17">
        <v>1</v>
      </c>
      <c r="M5651" s="17">
        <v>6</v>
      </c>
      <c r="N5651" s="17">
        <v>1</v>
      </c>
      <c r="O5651" s="18">
        <v>8731.9599999999991</v>
      </c>
      <c r="P5651" s="18">
        <v>7157.34</v>
      </c>
      <c r="Q5651" s="18">
        <v>6374.33</v>
      </c>
      <c r="R5651" s="18">
        <v>5224.8599999999997</v>
      </c>
      <c r="S5651" s="18">
        <v>5937.73</v>
      </c>
      <c r="T5651" s="18">
        <v>4866.99</v>
      </c>
      <c r="U5651" s="16"/>
      <c r="V5651" s="16"/>
      <c r="W5651" s="16" t="s">
        <v>40</v>
      </c>
      <c r="X5651" s="19">
        <v>2.5750000000000002</v>
      </c>
      <c r="Y5651" s="20">
        <v>1.4821000000000001E-2</v>
      </c>
      <c r="Z5651" s="21">
        <v>4601004100077</v>
      </c>
    </row>
    <row r="5652" spans="1:26" ht="12" customHeight="1" outlineLevel="3" x14ac:dyDescent="0.2">
      <c r="A5652" s="14" t="s">
        <v>10934</v>
      </c>
      <c r="B5652" s="26" t="s">
        <v>10935</v>
      </c>
      <c r="C5652" s="52"/>
      <c r="D5652" s="55">
        <f t="shared" si="88"/>
        <v>0</v>
      </c>
      <c r="E5652" s="63" t="str">
        <f>HYPERLINK("https://www.sds-group.ru/product/lampa-nastolnaya-bestenevaya-strubtsina-eko-svet-324-smd-led-dimmer-teplyy-holodnyy-svet-bel-31-0410/", "Инфо")</f>
        <v>Инфо</v>
      </c>
      <c r="F5652" s="16" t="s">
        <v>39</v>
      </c>
      <c r="G5652" s="15"/>
      <c r="H5652" s="15"/>
      <c r="I5652" s="15"/>
      <c r="J5652" s="17">
        <v>188</v>
      </c>
      <c r="K5652" s="15" t="s">
        <v>979</v>
      </c>
      <c r="L5652" s="17">
        <v>1</v>
      </c>
      <c r="M5652" s="17">
        <v>6</v>
      </c>
      <c r="N5652" s="17">
        <v>1</v>
      </c>
      <c r="O5652" s="18">
        <v>12666.74</v>
      </c>
      <c r="P5652" s="18">
        <v>10382.57</v>
      </c>
      <c r="Q5652" s="18">
        <v>9246.7199999999993</v>
      </c>
      <c r="R5652" s="18">
        <v>7579.28</v>
      </c>
      <c r="S5652" s="18">
        <v>8613.3799999999992</v>
      </c>
      <c r="T5652" s="18">
        <v>7060.15</v>
      </c>
      <c r="U5652" s="16"/>
      <c r="V5652" s="16"/>
      <c r="W5652" s="16" t="s">
        <v>40</v>
      </c>
      <c r="X5652" s="19">
        <v>3.0139999999999998</v>
      </c>
      <c r="Y5652" s="20">
        <v>2.2089000000000001E-2</v>
      </c>
      <c r="Z5652" s="21">
        <v>4601004193956</v>
      </c>
    </row>
    <row r="5653" spans="1:26" ht="12" customHeight="1" outlineLevel="3" x14ac:dyDescent="0.2">
      <c r="A5653" s="14" t="s">
        <v>10936</v>
      </c>
      <c r="B5653" s="26" t="s">
        <v>10937</v>
      </c>
      <c r="C5653" s="52"/>
      <c r="D5653" s="55">
        <f t="shared" si="88"/>
        <v>0</v>
      </c>
      <c r="E5653" s="63" t="str">
        <f>HYPERLINK("https://www.sds-group.ru/product/lampa-nastolnaya-bestenevaya-strubtsina-eko-svet-84-smd-led-sensornyy-dimmer-belaya-rexant-31-0401/", "Инфо")</f>
        <v>Инфо</v>
      </c>
      <c r="F5653" s="16" t="s">
        <v>39</v>
      </c>
      <c r="G5653" s="15"/>
      <c r="H5653" s="15"/>
      <c r="I5653" s="15"/>
      <c r="J5653" s="17">
        <v>3</v>
      </c>
      <c r="K5653" s="15" t="s">
        <v>4926</v>
      </c>
      <c r="L5653" s="17">
        <v>1</v>
      </c>
      <c r="M5653" s="17">
        <v>4</v>
      </c>
      <c r="N5653" s="17">
        <v>1</v>
      </c>
      <c r="O5653" s="18">
        <v>9495.7000000000007</v>
      </c>
      <c r="P5653" s="18">
        <v>7783.36</v>
      </c>
      <c r="Q5653" s="18">
        <v>6931.86</v>
      </c>
      <c r="R5653" s="18">
        <v>5681.85</v>
      </c>
      <c r="S5653" s="18">
        <v>6457.08</v>
      </c>
      <c r="T5653" s="18">
        <v>5292.69</v>
      </c>
      <c r="U5653" s="16"/>
      <c r="V5653" s="16"/>
      <c r="W5653" s="16" t="s">
        <v>40</v>
      </c>
      <c r="X5653" s="19">
        <v>3.2069999999999999</v>
      </c>
      <c r="Y5653" s="20">
        <v>2.7466000000000001E-2</v>
      </c>
      <c r="Z5653" s="21">
        <v>4601004009493</v>
      </c>
    </row>
    <row r="5654" spans="1:26" ht="12" customHeight="1" outlineLevel="3" x14ac:dyDescent="0.2">
      <c r="A5654" s="14" t="s">
        <v>10938</v>
      </c>
      <c r="B5654" s="26" t="s">
        <v>10939</v>
      </c>
      <c r="C5654" s="52"/>
      <c r="D5654" s="55">
        <f t="shared" si="88"/>
        <v>0</v>
      </c>
      <c r="E5654" s="63" t="str">
        <f>HYPERLINK("https://www.sds-group.ru/product/lampa-nastolnaya-bestenevaya-strubtsina-eko-svet-84-smd-led-sensornyy-dimmer-chernaya-rexant-31-0411/", "Инфо")</f>
        <v>Инфо</v>
      </c>
      <c r="F5654" s="16" t="s">
        <v>39</v>
      </c>
      <c r="G5654" s="15"/>
      <c r="H5654" s="15"/>
      <c r="I5654" s="15"/>
      <c r="J5654" s="17">
        <v>54</v>
      </c>
      <c r="K5654" s="15" t="s">
        <v>1055</v>
      </c>
      <c r="L5654" s="17">
        <v>1</v>
      </c>
      <c r="M5654" s="17">
        <v>4</v>
      </c>
      <c r="N5654" s="17">
        <v>1</v>
      </c>
      <c r="O5654" s="18">
        <v>9847.51</v>
      </c>
      <c r="P5654" s="18">
        <v>8071.73</v>
      </c>
      <c r="Q5654" s="18">
        <v>7188.68</v>
      </c>
      <c r="R5654" s="18">
        <v>5892.36</v>
      </c>
      <c r="S5654" s="18">
        <v>6696.31</v>
      </c>
      <c r="T5654" s="18">
        <v>5488.78</v>
      </c>
      <c r="U5654" s="16"/>
      <c r="V5654" s="16"/>
      <c r="W5654" s="16" t="s">
        <v>40</v>
      </c>
      <c r="X5654" s="19">
        <v>3.23</v>
      </c>
      <c r="Y5654" s="20">
        <v>2.7095000000000001E-2</v>
      </c>
      <c r="Z5654" s="21">
        <v>4601004097155</v>
      </c>
    </row>
    <row r="5655" spans="1:26" ht="12" customHeight="1" outlineLevel="3" x14ac:dyDescent="0.2">
      <c r="A5655" s="14" t="s">
        <v>10940</v>
      </c>
      <c r="B5655" s="26" t="s">
        <v>10941</v>
      </c>
      <c r="C5655" s="52"/>
      <c r="D5655" s="55">
        <f t="shared" si="88"/>
        <v>0</v>
      </c>
      <c r="E5655" s="63" t="str">
        <f>HYPERLINK("https://www.sds-group.ru/product/lampa-nastolnaya-bestenevaya-strubtsina-eko-svet-90-smd-led-sensornyy-dimmer-belaya-rexant-31-0408/", "Инфо")</f>
        <v>Инфо</v>
      </c>
      <c r="F5655" s="16" t="s">
        <v>39</v>
      </c>
      <c r="G5655" s="15"/>
      <c r="H5655" s="15"/>
      <c r="I5655" s="15"/>
      <c r="J5655" s="17">
        <v>47</v>
      </c>
      <c r="K5655" s="15" t="s">
        <v>4926</v>
      </c>
      <c r="L5655" s="17">
        <v>1</v>
      </c>
      <c r="M5655" s="17">
        <v>4</v>
      </c>
      <c r="N5655" s="17">
        <v>1</v>
      </c>
      <c r="O5655" s="18">
        <v>9691.4</v>
      </c>
      <c r="P5655" s="18">
        <v>7943.77</v>
      </c>
      <c r="Q5655" s="18">
        <v>7074.72</v>
      </c>
      <c r="R5655" s="18">
        <v>5798.95</v>
      </c>
      <c r="S5655" s="18">
        <v>6590.15</v>
      </c>
      <c r="T5655" s="18">
        <v>5401.76</v>
      </c>
      <c r="U5655" s="16"/>
      <c r="V5655" s="16"/>
      <c r="W5655" s="16" t="s">
        <v>40</v>
      </c>
      <c r="X5655" s="19">
        <v>3.2829999999999999</v>
      </c>
      <c r="Y5655" s="20">
        <v>2.1402999999999998E-2</v>
      </c>
      <c r="Z5655" s="21">
        <v>4601004125483</v>
      </c>
    </row>
    <row r="5656" spans="1:26" ht="12.95" customHeight="1" outlineLevel="2" x14ac:dyDescent="0.2">
      <c r="A5656" s="76" t="s">
        <v>10942</v>
      </c>
      <c r="B5656" s="76"/>
      <c r="C5656" s="77"/>
      <c r="D5656" s="58"/>
      <c r="E5656" s="68"/>
      <c r="F5656" s="13"/>
      <c r="G5656" s="13"/>
      <c r="H5656" s="13"/>
      <c r="I5656" s="13"/>
      <c r="J5656" s="13"/>
      <c r="K5656" s="13"/>
      <c r="L5656" s="13"/>
      <c r="M5656" s="13"/>
      <c r="N5656" s="13"/>
      <c r="O5656" s="13"/>
      <c r="P5656" s="13"/>
      <c r="Q5656" s="13"/>
      <c r="R5656" s="13"/>
      <c r="S5656" s="13"/>
      <c r="T5656" s="13"/>
      <c r="U5656" s="13"/>
      <c r="V5656" s="13"/>
      <c r="W5656" s="13"/>
      <c r="X5656" s="13"/>
      <c r="Y5656" s="13"/>
      <c r="Z5656" s="13"/>
    </row>
    <row r="5657" spans="1:26" ht="12" customHeight="1" outlineLevel="3" x14ac:dyDescent="0.2">
      <c r="A5657" s="14" t="s">
        <v>10943</v>
      </c>
      <c r="B5657" s="26" t="s">
        <v>10944</v>
      </c>
      <c r="C5657" s="52"/>
      <c r="D5657" s="55">
        <f t="shared" si="88"/>
        <v>0</v>
      </c>
      <c r="E5657" s="63" t="str">
        <f>HYPERLINK("https://www.sds-group.ru/product/lupa-ruchnaya-bezramochnaya-uvelichenie-2h-6h-90mm-s-podsvetkoy-led-transformer-podstavka-re-12-0408/", "Инфо")</f>
        <v>Инфо</v>
      </c>
      <c r="F5657" s="16" t="s">
        <v>39</v>
      </c>
      <c r="G5657" s="15"/>
      <c r="H5657" s="15"/>
      <c r="I5657" s="15"/>
      <c r="J5657" s="17">
        <v>476</v>
      </c>
      <c r="K5657" s="15" t="s">
        <v>1266</v>
      </c>
      <c r="L5657" s="17">
        <v>1</v>
      </c>
      <c r="M5657" s="17">
        <v>40</v>
      </c>
      <c r="N5657" s="17">
        <v>1</v>
      </c>
      <c r="O5657" s="18">
        <v>1078.02</v>
      </c>
      <c r="P5657" s="18">
        <v>883.62</v>
      </c>
      <c r="Q5657" s="18">
        <v>851.64</v>
      </c>
      <c r="R5657" s="18">
        <v>698.07</v>
      </c>
      <c r="S5657" s="18">
        <v>733.05</v>
      </c>
      <c r="T5657" s="18">
        <v>600.86</v>
      </c>
      <c r="U5657" s="16"/>
      <c r="V5657" s="16"/>
      <c r="W5657" s="16" t="s">
        <v>40</v>
      </c>
      <c r="X5657" s="19">
        <v>0.16300000000000001</v>
      </c>
      <c r="Y5657" s="20">
        <v>9.1200000000000005E-4</v>
      </c>
      <c r="Z5657" s="21">
        <v>4601004039094</v>
      </c>
    </row>
    <row r="5658" spans="1:26" ht="12" customHeight="1" outlineLevel="3" x14ac:dyDescent="0.2">
      <c r="A5658" s="32" t="s">
        <v>10945</v>
      </c>
      <c r="B5658" s="74" t="s">
        <v>10946</v>
      </c>
      <c r="C5658" s="50"/>
      <c r="D5658" s="53">
        <f t="shared" si="88"/>
        <v>0</v>
      </c>
      <c r="E5658" s="60" t="str">
        <f>HYPERLINK("https://www.sds-group.ru/product/lupa-ruchnaya-uvelichenie-2h-6h-90mm-s-podsvetkoy-chernaya-rexant-12-0407/", "Инфо")</f>
        <v>Инфо</v>
      </c>
      <c r="F5658" s="34" t="s">
        <v>39</v>
      </c>
      <c r="G5658" s="33"/>
      <c r="H5658" s="33" t="s">
        <v>40</v>
      </c>
      <c r="I5658" s="33"/>
      <c r="J5658" s="39">
        <v>1334</v>
      </c>
      <c r="K5658" s="33"/>
      <c r="L5658" s="35">
        <v>1</v>
      </c>
      <c r="M5658" s="35">
        <v>80</v>
      </c>
      <c r="N5658" s="35">
        <v>1</v>
      </c>
      <c r="O5658" s="36">
        <v>333.62</v>
      </c>
      <c r="P5658" s="36">
        <v>273.45999999999998</v>
      </c>
      <c r="Q5658" s="36">
        <v>233.53</v>
      </c>
      <c r="R5658" s="36">
        <v>191.42</v>
      </c>
      <c r="S5658" s="36">
        <v>226.86</v>
      </c>
      <c r="T5658" s="36">
        <v>185.95</v>
      </c>
      <c r="U5658" s="34"/>
      <c r="V5658" s="34"/>
      <c r="W5658" s="34"/>
      <c r="X5658" s="37">
        <v>0.16200000000000001</v>
      </c>
      <c r="Y5658" s="38">
        <v>8.9800000000000004E-4</v>
      </c>
      <c r="Z5658" s="21">
        <v>4601004039087</v>
      </c>
    </row>
    <row r="5659" spans="1:26" ht="12" customHeight="1" outlineLevel="3" x14ac:dyDescent="0.2">
      <c r="A5659" s="14" t="s">
        <v>10947</v>
      </c>
      <c r="B5659" s="26" t="s">
        <v>10948</v>
      </c>
      <c r="C5659" s="52"/>
      <c r="D5659" s="55">
        <f t="shared" si="88"/>
        <v>0</v>
      </c>
      <c r="E5659" s="63" t="str">
        <f>HYPERLINK("https://www.sds-group.ru/product/lupa-ruchnaya-uvelichenie-4h-kvadratnaya-50h40mm-s-podsvetkoy-6led-chernaya-rexant-12-0406/", "Инфо")</f>
        <v>Инфо</v>
      </c>
      <c r="F5659" s="16" t="s">
        <v>39</v>
      </c>
      <c r="G5659" s="15"/>
      <c r="H5659" s="15"/>
      <c r="I5659" s="15"/>
      <c r="J5659" s="17">
        <v>944</v>
      </c>
      <c r="K5659" s="15"/>
      <c r="L5659" s="17">
        <v>1</v>
      </c>
      <c r="M5659" s="17">
        <v>80</v>
      </c>
      <c r="N5659" s="17">
        <v>1</v>
      </c>
      <c r="O5659" s="18">
        <v>1024.1199999999999</v>
      </c>
      <c r="P5659" s="18">
        <v>839.44</v>
      </c>
      <c r="Q5659" s="18">
        <v>819.3</v>
      </c>
      <c r="R5659" s="18">
        <v>671.56</v>
      </c>
      <c r="S5659" s="18">
        <v>696.4</v>
      </c>
      <c r="T5659" s="18">
        <v>570.82000000000005</v>
      </c>
      <c r="U5659" s="16"/>
      <c r="V5659" s="16"/>
      <c r="W5659" s="16" t="s">
        <v>40</v>
      </c>
      <c r="X5659" s="19">
        <v>0.104</v>
      </c>
      <c r="Y5659" s="20">
        <v>5.9000000000000003E-4</v>
      </c>
      <c r="Z5659" s="21">
        <v>4601004039070</v>
      </c>
    </row>
    <row r="5660" spans="1:26" ht="12" customHeight="1" outlineLevel="3" x14ac:dyDescent="0.2">
      <c r="A5660" s="32" t="s">
        <v>10949</v>
      </c>
      <c r="B5660" s="74" t="s">
        <v>10950</v>
      </c>
      <c r="C5660" s="50"/>
      <c r="D5660" s="53">
        <f t="shared" si="88"/>
        <v>0</v>
      </c>
      <c r="E5660" s="60" t="str">
        <f>HYPERLINK("https://www.sds-group.ru/product/lupa-ruchnaya-uvelichenie-8h-24mm-s-pintsetom-rexant-12-0411/", "Инфо")</f>
        <v>Инфо</v>
      </c>
      <c r="F5660" s="34" t="s">
        <v>39</v>
      </c>
      <c r="G5660" s="33"/>
      <c r="H5660" s="33" t="s">
        <v>40</v>
      </c>
      <c r="I5660" s="33"/>
      <c r="J5660" s="39">
        <v>1276</v>
      </c>
      <c r="K5660" s="33"/>
      <c r="L5660" s="35">
        <v>1</v>
      </c>
      <c r="M5660" s="35">
        <v>200</v>
      </c>
      <c r="N5660" s="35">
        <v>1</v>
      </c>
      <c r="O5660" s="36">
        <v>330.79</v>
      </c>
      <c r="P5660" s="36">
        <v>271.14</v>
      </c>
      <c r="Q5660" s="36">
        <v>231.55</v>
      </c>
      <c r="R5660" s="36">
        <v>189.8</v>
      </c>
      <c r="S5660" s="36">
        <v>224.94</v>
      </c>
      <c r="T5660" s="36">
        <v>184.38</v>
      </c>
      <c r="U5660" s="34"/>
      <c r="V5660" s="34"/>
      <c r="W5660" s="34"/>
      <c r="X5660" s="37">
        <v>2.5000000000000001E-2</v>
      </c>
      <c r="Y5660" s="38">
        <v>1.08E-4</v>
      </c>
      <c r="Z5660" s="21">
        <v>4601004069367</v>
      </c>
    </row>
    <row r="5661" spans="1:26" ht="12.95" customHeight="1" outlineLevel="2" x14ac:dyDescent="0.2">
      <c r="A5661" s="76" t="s">
        <v>10951</v>
      </c>
      <c r="B5661" s="76"/>
      <c r="C5661" s="77"/>
      <c r="D5661" s="58"/>
      <c r="E5661" s="68"/>
      <c r="F5661" s="13"/>
      <c r="G5661" s="13"/>
      <c r="H5661" s="13"/>
      <c r="I5661" s="13"/>
      <c r="J5661" s="13"/>
      <c r="K5661" s="13"/>
      <c r="L5661" s="13"/>
      <c r="M5661" s="13"/>
      <c r="N5661" s="13"/>
      <c r="O5661" s="13"/>
      <c r="P5661" s="13"/>
      <c r="Q5661" s="13"/>
      <c r="R5661" s="13"/>
      <c r="S5661" s="13"/>
      <c r="T5661" s="13"/>
      <c r="U5661" s="13"/>
      <c r="V5661" s="13"/>
      <c r="W5661" s="13"/>
      <c r="X5661" s="13"/>
      <c r="Y5661" s="13"/>
      <c r="Z5661" s="13"/>
    </row>
    <row r="5662" spans="1:26" ht="12" customHeight="1" outlineLevel="3" x14ac:dyDescent="0.2">
      <c r="A5662" s="14" t="s">
        <v>10952</v>
      </c>
      <c r="B5662" s="26" t="s">
        <v>10953</v>
      </c>
      <c r="C5662" s="52"/>
      <c r="D5662" s="55">
        <f t="shared" si="88"/>
        <v>0</v>
      </c>
      <c r="E5662" s="63" t="str">
        <f>HYPERLINK("https://www.sds-group.ru/product/binokulyar-montazhnyy-uvelichenie-1-2h-1-8h-2-5h-3-5h-s-podsvetkoy-2led-rexant-12-0402/", "Инфо")</f>
        <v>Инфо</v>
      </c>
      <c r="F5662" s="16" t="s">
        <v>39</v>
      </c>
      <c r="G5662" s="15"/>
      <c r="H5662" s="15"/>
      <c r="I5662" s="15"/>
      <c r="J5662" s="17">
        <v>68</v>
      </c>
      <c r="K5662" s="15"/>
      <c r="L5662" s="17">
        <v>1</v>
      </c>
      <c r="M5662" s="17">
        <v>24</v>
      </c>
      <c r="N5662" s="17">
        <v>1</v>
      </c>
      <c r="O5662" s="18">
        <v>2532.27</v>
      </c>
      <c r="P5662" s="18">
        <v>2075.63</v>
      </c>
      <c r="Q5662" s="18">
        <v>1949.85</v>
      </c>
      <c r="R5662" s="18">
        <v>1598.24</v>
      </c>
      <c r="S5662" s="18">
        <v>1721.94</v>
      </c>
      <c r="T5662" s="18">
        <v>1411.43</v>
      </c>
      <c r="U5662" s="16"/>
      <c r="V5662" s="16"/>
      <c r="W5662" s="16" t="s">
        <v>40</v>
      </c>
      <c r="X5662" s="19">
        <v>0.58299999999999996</v>
      </c>
      <c r="Y5662" s="20">
        <v>5.9719999999999999E-3</v>
      </c>
      <c r="Z5662" s="21">
        <v>4601004039032</v>
      </c>
    </row>
    <row r="5663" spans="1:26" ht="12" customHeight="1" outlineLevel="3" x14ac:dyDescent="0.2">
      <c r="A5663" s="32" t="s">
        <v>10954</v>
      </c>
      <c r="B5663" s="74" t="s">
        <v>10955</v>
      </c>
      <c r="C5663" s="50"/>
      <c r="D5663" s="53">
        <f t="shared" si="88"/>
        <v>0</v>
      </c>
      <c r="E5663" s="60" t="str">
        <f>HYPERLINK("https://www.sds-group.ru/product/binokulyar-montazhnyy-uvelichenie-1-8x-2-3x-diagonal-91mm-rexant-12-0410/", "Инфо")</f>
        <v>Инфо</v>
      </c>
      <c r="F5663" s="34" t="s">
        <v>39</v>
      </c>
      <c r="G5663" s="33"/>
      <c r="H5663" s="33" t="s">
        <v>40</v>
      </c>
      <c r="I5663" s="33"/>
      <c r="J5663" s="35">
        <v>51</v>
      </c>
      <c r="K5663" s="33"/>
      <c r="L5663" s="35">
        <v>1</v>
      </c>
      <c r="M5663" s="35">
        <v>54</v>
      </c>
      <c r="N5663" s="35">
        <v>1</v>
      </c>
      <c r="O5663" s="36">
        <v>575.72</v>
      </c>
      <c r="P5663" s="36">
        <v>471.9</v>
      </c>
      <c r="Q5663" s="36">
        <v>403</v>
      </c>
      <c r="R5663" s="36">
        <v>330.33</v>
      </c>
      <c r="S5663" s="36">
        <v>391.49</v>
      </c>
      <c r="T5663" s="36">
        <v>320.89</v>
      </c>
      <c r="U5663" s="34"/>
      <c r="V5663" s="34"/>
      <c r="W5663" s="34"/>
      <c r="X5663" s="37">
        <v>0.19</v>
      </c>
      <c r="Y5663" s="38">
        <v>2.366E-3</v>
      </c>
      <c r="Z5663" s="21">
        <v>4601004069374</v>
      </c>
    </row>
    <row r="5664" spans="1:26" ht="12" customHeight="1" outlineLevel="3" x14ac:dyDescent="0.2">
      <c r="A5664" s="14" t="s">
        <v>10956</v>
      </c>
      <c r="B5664" s="26" t="s">
        <v>10957</v>
      </c>
      <c r="C5664" s="52"/>
      <c r="D5664" s="55">
        <f t="shared" si="88"/>
        <v>0</v>
      </c>
      <c r="E5664" s="63" t="str">
        <f>HYPERLINK("https://www.sds-group.ru/product/binokulyar-montazhnyy-uvelichenie-1-8x-2-3x-3-7x-4-8x-s-podsvetkoy-2led-rexant-12-0401/", "Инфо")</f>
        <v>Инфо</v>
      </c>
      <c r="F5664" s="16" t="s">
        <v>39</v>
      </c>
      <c r="G5664" s="15"/>
      <c r="H5664" s="15"/>
      <c r="I5664" s="15"/>
      <c r="J5664" s="17">
        <v>75</v>
      </c>
      <c r="K5664" s="15"/>
      <c r="L5664" s="17">
        <v>1</v>
      </c>
      <c r="M5664" s="17">
        <v>36</v>
      </c>
      <c r="N5664" s="17">
        <v>1</v>
      </c>
      <c r="O5664" s="18">
        <v>904.46</v>
      </c>
      <c r="P5664" s="18">
        <v>741.36</v>
      </c>
      <c r="Q5664" s="18">
        <v>723.57</v>
      </c>
      <c r="R5664" s="18">
        <v>593.09</v>
      </c>
      <c r="S5664" s="18">
        <v>615.03</v>
      </c>
      <c r="T5664" s="18">
        <v>504.12</v>
      </c>
      <c r="U5664" s="16"/>
      <c r="V5664" s="16"/>
      <c r="W5664" s="16" t="s">
        <v>40</v>
      </c>
      <c r="X5664" s="19">
        <v>0.25800000000000001</v>
      </c>
      <c r="Y5664" s="20">
        <v>3.1289999999999998E-3</v>
      </c>
      <c r="Z5664" s="21">
        <v>4601004039117</v>
      </c>
    </row>
    <row r="5665" spans="1:26" ht="12.95" customHeight="1" outlineLevel="2" x14ac:dyDescent="0.2">
      <c r="A5665" s="76" t="s">
        <v>10958</v>
      </c>
      <c r="B5665" s="76"/>
      <c r="C5665" s="77"/>
      <c r="D5665" s="58"/>
      <c r="E5665" s="68"/>
      <c r="F5665" s="13"/>
      <c r="G5665" s="13"/>
      <c r="H5665" s="13"/>
      <c r="I5665" s="13"/>
      <c r="J5665" s="13"/>
      <c r="K5665" s="13"/>
      <c r="L5665" s="13"/>
      <c r="M5665" s="13"/>
      <c r="N5665" s="13"/>
      <c r="O5665" s="13"/>
      <c r="P5665" s="13"/>
      <c r="Q5665" s="13"/>
      <c r="R5665" s="13"/>
      <c r="S5665" s="13"/>
      <c r="T5665" s="13"/>
      <c r="U5665" s="13"/>
      <c r="V5665" s="13"/>
      <c r="W5665" s="13"/>
      <c r="X5665" s="13"/>
      <c r="Y5665" s="13"/>
      <c r="Z5665" s="13"/>
    </row>
    <row r="5666" spans="1:26" ht="12" customHeight="1" outlineLevel="3" x14ac:dyDescent="0.2">
      <c r="A5666" s="14" t="s">
        <v>10959</v>
      </c>
      <c r="B5666" s="26" t="s">
        <v>10960</v>
      </c>
      <c r="C5666" s="52"/>
      <c r="D5666" s="55">
        <f t="shared" si="88"/>
        <v>0</v>
      </c>
      <c r="E5666" s="63" t="str">
        <f>HYPERLINK("https://www.sds-group.ru/product/lampa-koltsevaya-lyuminestsentnaya-12vt-dlya-31-0242-rexant-31-0808/", "Инфо")</f>
        <v>Инфо</v>
      </c>
      <c r="F5666" s="16" t="s">
        <v>39</v>
      </c>
      <c r="G5666" s="15"/>
      <c r="H5666" s="15"/>
      <c r="I5666" s="15"/>
      <c r="J5666" s="17">
        <v>302</v>
      </c>
      <c r="K5666" s="15"/>
      <c r="L5666" s="17">
        <v>1</v>
      </c>
      <c r="M5666" s="17">
        <v>100</v>
      </c>
      <c r="N5666" s="17">
        <v>1</v>
      </c>
      <c r="O5666" s="18">
        <v>1605.88</v>
      </c>
      <c r="P5666" s="18">
        <v>1316.3</v>
      </c>
      <c r="Q5666" s="18">
        <v>1268.6500000000001</v>
      </c>
      <c r="R5666" s="18">
        <v>1039.8800000000001</v>
      </c>
      <c r="S5666" s="18">
        <v>1092</v>
      </c>
      <c r="T5666" s="18">
        <v>895.08</v>
      </c>
      <c r="U5666" s="16"/>
      <c r="V5666" s="16"/>
      <c r="W5666" s="16" t="s">
        <v>40</v>
      </c>
      <c r="X5666" s="19">
        <v>5.8999999999999997E-2</v>
      </c>
      <c r="Y5666" s="20">
        <v>5.9599999999999996E-4</v>
      </c>
      <c r="Z5666" s="21">
        <v>4601004053229</v>
      </c>
    </row>
    <row r="5667" spans="1:26" ht="12" customHeight="1" outlineLevel="3" x14ac:dyDescent="0.2">
      <c r="A5667" s="14" t="s">
        <v>10961</v>
      </c>
      <c r="B5667" s="26" t="s">
        <v>10962</v>
      </c>
      <c r="C5667" s="52"/>
      <c r="D5667" s="55">
        <f t="shared" si="88"/>
        <v>0</v>
      </c>
      <c r="E5667" s="63" t="str">
        <f>HYPERLINK("https://www.sds-group.ru/product/lampa-koltsevaya-lyuminestsentnaya-22vt-dlya-31-0001-31-0011-31-0021-rexant-31-0801/", "Инфо")</f>
        <v>Инфо</v>
      </c>
      <c r="F5667" s="16" t="s">
        <v>39</v>
      </c>
      <c r="G5667" s="15"/>
      <c r="H5667" s="15"/>
      <c r="I5667" s="15"/>
      <c r="J5667" s="17">
        <v>383</v>
      </c>
      <c r="K5667" s="15" t="s">
        <v>1055</v>
      </c>
      <c r="L5667" s="17">
        <v>1</v>
      </c>
      <c r="M5667" s="17">
        <v>20</v>
      </c>
      <c r="N5667" s="17">
        <v>1</v>
      </c>
      <c r="O5667" s="18">
        <v>1401.43</v>
      </c>
      <c r="P5667" s="18">
        <v>1148.71</v>
      </c>
      <c r="Q5667" s="18">
        <v>1107.1300000000001</v>
      </c>
      <c r="R5667" s="18">
        <v>907.48</v>
      </c>
      <c r="S5667" s="18">
        <v>952.97</v>
      </c>
      <c r="T5667" s="18">
        <v>781.12</v>
      </c>
      <c r="U5667" s="16"/>
      <c r="V5667" s="16"/>
      <c r="W5667" s="16" t="s">
        <v>40</v>
      </c>
      <c r="X5667" s="19">
        <v>0.221</v>
      </c>
      <c r="Y5667" s="20">
        <v>2.4099999999999998E-3</v>
      </c>
      <c r="Z5667" s="21">
        <v>4601004002883</v>
      </c>
    </row>
    <row r="5668" spans="1:26" ht="12" customHeight="1" outlineLevel="3" x14ac:dyDescent="0.2">
      <c r="A5668" s="32" t="s">
        <v>10963</v>
      </c>
      <c r="B5668" s="74" t="s">
        <v>10964</v>
      </c>
      <c r="C5668" s="50"/>
      <c r="D5668" s="53">
        <f t="shared" si="88"/>
        <v>0</v>
      </c>
      <c r="E5668" s="60" t="str">
        <f>HYPERLINK("https://www.sds-group.ru/product/nastennoe-kreplenie-dlya-lup-s-pantograficheskim-derzhatelem-rexant-31-0806/", "Инфо")</f>
        <v>Инфо</v>
      </c>
      <c r="F5668" s="34" t="s">
        <v>39</v>
      </c>
      <c r="G5668" s="33"/>
      <c r="H5668" s="33" t="s">
        <v>40</v>
      </c>
      <c r="I5668" s="33"/>
      <c r="J5668" s="35">
        <v>77</v>
      </c>
      <c r="K5668" s="33"/>
      <c r="L5668" s="35">
        <v>1</v>
      </c>
      <c r="M5668" s="35">
        <v>50</v>
      </c>
      <c r="N5668" s="35">
        <v>1</v>
      </c>
      <c r="O5668" s="36">
        <v>1375.07</v>
      </c>
      <c r="P5668" s="36">
        <v>1127.1099999999999</v>
      </c>
      <c r="Q5668" s="36">
        <v>962.55</v>
      </c>
      <c r="R5668" s="36">
        <v>788.98</v>
      </c>
      <c r="S5668" s="36">
        <v>935.05</v>
      </c>
      <c r="T5668" s="36">
        <v>766.43</v>
      </c>
      <c r="U5668" s="34"/>
      <c r="V5668" s="34"/>
      <c r="W5668" s="34"/>
      <c r="X5668" s="37">
        <v>0.27300000000000002</v>
      </c>
      <c r="Y5668" s="38">
        <v>4.17E-4</v>
      </c>
      <c r="Z5668" s="21">
        <v>4601004148345</v>
      </c>
    </row>
    <row r="5669" spans="1:26" ht="12" customHeight="1" outlineLevel="3" x14ac:dyDescent="0.2">
      <c r="A5669" s="32" t="s">
        <v>10965</v>
      </c>
      <c r="B5669" s="74" t="s">
        <v>10966</v>
      </c>
      <c r="C5669" s="50"/>
      <c r="D5669" s="53">
        <f t="shared" si="88"/>
        <v>0</v>
      </c>
      <c r="E5669" s="60" t="str">
        <f>HYPERLINK("https://www.sds-group.ru/product/stoyka-shtativ-napolnaya-mobilnaya-dlya-lup-s-podsvetkoy-chetyrehluchevaya-belaya-rexant-31-0830/", "Инфо")</f>
        <v>Инфо</v>
      </c>
      <c r="F5669" s="34" t="s">
        <v>39</v>
      </c>
      <c r="G5669" s="33"/>
      <c r="H5669" s="33" t="s">
        <v>40</v>
      </c>
      <c r="I5669" s="33"/>
      <c r="J5669" s="34" t="s">
        <v>100</v>
      </c>
      <c r="K5669" s="33"/>
      <c r="L5669" s="35">
        <v>1</v>
      </c>
      <c r="M5669" s="35">
        <v>4</v>
      </c>
      <c r="N5669" s="35">
        <v>1</v>
      </c>
      <c r="O5669" s="36">
        <v>6601.53</v>
      </c>
      <c r="P5669" s="36">
        <v>5411.09</v>
      </c>
      <c r="Q5669" s="36">
        <v>4621.07</v>
      </c>
      <c r="R5669" s="36">
        <v>3787.76</v>
      </c>
      <c r="S5669" s="36">
        <v>4489.04</v>
      </c>
      <c r="T5669" s="36">
        <v>3679.54</v>
      </c>
      <c r="U5669" s="34"/>
      <c r="V5669" s="34"/>
      <c r="W5669" s="34"/>
      <c r="X5669" s="37">
        <v>6.282</v>
      </c>
      <c r="Y5669" s="38">
        <v>1.6497999999999999E-2</v>
      </c>
      <c r="Z5669" s="21">
        <v>4601004061552</v>
      </c>
    </row>
    <row r="5670" spans="1:26" ht="12" customHeight="1" outlineLevel="3" x14ac:dyDescent="0.2">
      <c r="A5670" s="14" t="s">
        <v>10967</v>
      </c>
      <c r="B5670" s="26" t="s">
        <v>10968</v>
      </c>
      <c r="C5670" s="52"/>
      <c r="D5670" s="55">
        <f t="shared" si="88"/>
        <v>0</v>
      </c>
      <c r="E5670" s="63" t="str">
        <f>HYPERLINK("https://www.sds-group.ru/product/strubtsinnoe-kreplenie-dlya-lup-s-pantograficheskim-derzhatelem-rexant-31-0805/", "Инфо")</f>
        <v>Инфо</v>
      </c>
      <c r="F5670" s="16" t="s">
        <v>39</v>
      </c>
      <c r="G5670" s="15"/>
      <c r="H5670" s="15"/>
      <c r="I5670" s="15"/>
      <c r="J5670" s="17">
        <v>245</v>
      </c>
      <c r="K5670" s="15"/>
      <c r="L5670" s="17">
        <v>1</v>
      </c>
      <c r="M5670" s="17">
        <v>50</v>
      </c>
      <c r="N5670" s="17">
        <v>1</v>
      </c>
      <c r="O5670" s="18">
        <v>1392.89</v>
      </c>
      <c r="P5670" s="18">
        <v>1141.71</v>
      </c>
      <c r="Q5670" s="18">
        <v>975.02</v>
      </c>
      <c r="R5670" s="18">
        <v>799.2</v>
      </c>
      <c r="S5670" s="18">
        <v>947.17</v>
      </c>
      <c r="T5670" s="18">
        <v>776.37</v>
      </c>
      <c r="U5670" s="16"/>
      <c r="V5670" s="16"/>
      <c r="W5670" s="16"/>
      <c r="X5670" s="19">
        <v>0.32900000000000001</v>
      </c>
      <c r="Y5670" s="20">
        <v>5.1699999999999999E-4</v>
      </c>
      <c r="Z5670" s="21">
        <v>4601004015357</v>
      </c>
    </row>
    <row r="5671" spans="1:26" ht="12.95" customHeight="1" outlineLevel="1" x14ac:dyDescent="0.2">
      <c r="A5671" s="78" t="s">
        <v>10969</v>
      </c>
      <c r="B5671" s="78"/>
      <c r="C5671" s="79"/>
      <c r="D5671" s="57"/>
      <c r="E5671" s="67"/>
      <c r="F5671" s="12"/>
      <c r="G5671" s="12"/>
      <c r="H5671" s="12"/>
      <c r="I5671" s="12"/>
      <c r="J5671" s="12"/>
      <c r="K5671" s="12"/>
      <c r="L5671" s="12"/>
      <c r="M5671" s="12"/>
      <c r="N5671" s="12"/>
      <c r="O5671" s="12"/>
      <c r="P5671" s="12"/>
      <c r="Q5671" s="12"/>
      <c r="R5671" s="12"/>
      <c r="S5671" s="12"/>
      <c r="T5671" s="12"/>
      <c r="U5671" s="12"/>
      <c r="V5671" s="12"/>
      <c r="W5671" s="12"/>
      <c r="X5671" s="12"/>
      <c r="Y5671" s="12"/>
      <c r="Z5671" s="12"/>
    </row>
    <row r="5672" spans="1:26" ht="12.95" customHeight="1" outlineLevel="2" x14ac:dyDescent="0.2">
      <c r="A5672" s="76" t="s">
        <v>10970</v>
      </c>
      <c r="B5672" s="76"/>
      <c r="C5672" s="77"/>
      <c r="D5672" s="58"/>
      <c r="E5672" s="68"/>
      <c r="F5672" s="13"/>
      <c r="G5672" s="13"/>
      <c r="H5672" s="13"/>
      <c r="I5672" s="13"/>
      <c r="J5672" s="13"/>
      <c r="K5672" s="13"/>
      <c r="L5672" s="13"/>
      <c r="M5672" s="13"/>
      <c r="N5672" s="13"/>
      <c r="O5672" s="13"/>
      <c r="P5672" s="13"/>
      <c r="Q5672" s="13"/>
      <c r="R5672" s="13"/>
      <c r="S5672" s="13"/>
      <c r="T5672" s="13"/>
      <c r="U5672" s="13"/>
      <c r="V5672" s="13"/>
      <c r="W5672" s="13"/>
      <c r="X5672" s="13"/>
      <c r="Y5672" s="13"/>
      <c r="Z5672" s="13"/>
    </row>
    <row r="5673" spans="1:26" ht="12" customHeight="1" outlineLevel="3" x14ac:dyDescent="0.2">
      <c r="A5673" s="14" t="s">
        <v>10971</v>
      </c>
      <c r="B5673" s="26" t="s">
        <v>10972</v>
      </c>
      <c r="C5673" s="52"/>
      <c r="D5673" s="55">
        <f t="shared" si="88"/>
        <v>0</v>
      </c>
      <c r="E5673" s="63" t="str">
        <f>HYPERLINK("https://www.sds-group.ru/product/magnitnyy-braslet-58h20mm-rexant-12-4856/", "Инфо")</f>
        <v>Инфо</v>
      </c>
      <c r="F5673" s="16" t="s">
        <v>39</v>
      </c>
      <c r="G5673" s="15"/>
      <c r="H5673" s="15"/>
      <c r="I5673" s="15"/>
      <c r="J5673" s="22">
        <v>2554</v>
      </c>
      <c r="K5673" s="15"/>
      <c r="L5673" s="17">
        <v>1</v>
      </c>
      <c r="M5673" s="17">
        <v>100</v>
      </c>
      <c r="N5673" s="17">
        <v>1</v>
      </c>
      <c r="O5673" s="18">
        <v>379.46</v>
      </c>
      <c r="P5673" s="18">
        <v>311.02999999999997</v>
      </c>
      <c r="Q5673" s="18">
        <v>322.54000000000002</v>
      </c>
      <c r="R5673" s="18">
        <v>264.38</v>
      </c>
      <c r="S5673" s="18">
        <v>258.02999999999997</v>
      </c>
      <c r="T5673" s="18">
        <v>211.5</v>
      </c>
      <c r="U5673" s="16"/>
      <c r="V5673" s="16"/>
      <c r="W5673" s="16" t="s">
        <v>40</v>
      </c>
      <c r="X5673" s="19">
        <v>0.13500000000000001</v>
      </c>
      <c r="Y5673" s="20">
        <v>7.0200000000000004E-4</v>
      </c>
      <c r="Z5673" s="21">
        <v>4601004073746</v>
      </c>
    </row>
    <row r="5674" spans="1:26" ht="12" customHeight="1" outlineLevel="3" x14ac:dyDescent="0.2">
      <c r="A5674" s="14" t="s">
        <v>10973</v>
      </c>
      <c r="B5674" s="26" t="s">
        <v>10974</v>
      </c>
      <c r="C5674" s="52"/>
      <c r="D5674" s="55">
        <f t="shared" si="88"/>
        <v>0</v>
      </c>
      <c r="E5674" s="63" t="str">
        <f>HYPERLINK("https://www.sds-group.ru/product/magnitnyy-derzhatel-dlya-instrumenta-nastennyy-305x23x12-5mm-rexant-12-4841/", "Инфо")</f>
        <v>Инфо</v>
      </c>
      <c r="F5674" s="16" t="s">
        <v>39</v>
      </c>
      <c r="G5674" s="15"/>
      <c r="H5674" s="15"/>
      <c r="I5674" s="15"/>
      <c r="J5674" s="16" t="s">
        <v>100</v>
      </c>
      <c r="K5674" s="15" t="s">
        <v>925</v>
      </c>
      <c r="L5674" s="17">
        <v>1</v>
      </c>
      <c r="M5674" s="17">
        <v>24</v>
      </c>
      <c r="N5674" s="17">
        <v>1</v>
      </c>
      <c r="O5674" s="18">
        <v>773.8</v>
      </c>
      <c r="P5674" s="18">
        <v>634.26</v>
      </c>
      <c r="Q5674" s="18">
        <v>541.66</v>
      </c>
      <c r="R5674" s="18">
        <v>443.98</v>
      </c>
      <c r="S5674" s="18">
        <v>526.17999999999995</v>
      </c>
      <c r="T5674" s="18">
        <v>431.3</v>
      </c>
      <c r="U5674" s="16"/>
      <c r="V5674" s="16"/>
      <c r="W5674" s="16"/>
      <c r="X5674" s="19">
        <v>0.47699999999999998</v>
      </c>
      <c r="Y5674" s="20">
        <v>8.9599999999999999E-4</v>
      </c>
      <c r="Z5674" s="21">
        <v>4601004062450</v>
      </c>
    </row>
    <row r="5675" spans="1:26" ht="12" customHeight="1" outlineLevel="3" x14ac:dyDescent="0.2">
      <c r="A5675" s="14" t="s">
        <v>10975</v>
      </c>
      <c r="B5675" s="26" t="s">
        <v>10976</v>
      </c>
      <c r="C5675" s="52"/>
      <c r="D5675" s="55">
        <f t="shared" si="88"/>
        <v>0</v>
      </c>
      <c r="E5675" s="63" t="str">
        <f>HYPERLINK("https://www.sds-group.ru/product/magnitnyy-derzhatel-dlya-instrumenta-nastennyy-455x23x12-5mm-rexant-12-4842/", "Инфо")</f>
        <v>Инфо</v>
      </c>
      <c r="F5675" s="16" t="s">
        <v>39</v>
      </c>
      <c r="G5675" s="15"/>
      <c r="H5675" s="15"/>
      <c r="I5675" s="15"/>
      <c r="J5675" s="16" t="s">
        <v>100</v>
      </c>
      <c r="K5675" s="15" t="s">
        <v>925</v>
      </c>
      <c r="L5675" s="17">
        <v>1</v>
      </c>
      <c r="M5675" s="17">
        <v>24</v>
      </c>
      <c r="N5675" s="17">
        <v>1</v>
      </c>
      <c r="O5675" s="18">
        <v>1219</v>
      </c>
      <c r="P5675" s="18">
        <v>999.18</v>
      </c>
      <c r="Q5675" s="18">
        <v>853.3</v>
      </c>
      <c r="R5675" s="18">
        <v>699.43</v>
      </c>
      <c r="S5675" s="18">
        <v>828.92</v>
      </c>
      <c r="T5675" s="18">
        <v>679.44</v>
      </c>
      <c r="U5675" s="16"/>
      <c r="V5675" s="16"/>
      <c r="W5675" s="16"/>
      <c r="X5675" s="19">
        <v>0.81100000000000005</v>
      </c>
      <c r="Y5675" s="20">
        <v>1.3910000000000001E-3</v>
      </c>
      <c r="Z5675" s="21">
        <v>4601004062467</v>
      </c>
    </row>
    <row r="5676" spans="1:26" ht="12" customHeight="1" outlineLevel="3" x14ac:dyDescent="0.2">
      <c r="A5676" s="14" t="s">
        <v>10977</v>
      </c>
      <c r="B5676" s="26" t="s">
        <v>10978</v>
      </c>
      <c r="C5676" s="52"/>
      <c r="D5676" s="55">
        <f t="shared" si="88"/>
        <v>0</v>
      </c>
      <c r="E5676" s="63" t="str">
        <f>HYPERLINK("https://www.sds-group.ru/product/magnitnyy-derzhatel-dlya-instrumenta-nastennyy-605x23x12-5mm-rexant-12-4843/", "Инфо")</f>
        <v>Инфо</v>
      </c>
      <c r="F5676" s="16" t="s">
        <v>39</v>
      </c>
      <c r="G5676" s="15"/>
      <c r="H5676" s="15"/>
      <c r="I5676" s="15"/>
      <c r="J5676" s="22">
        <v>1524</v>
      </c>
      <c r="K5676" s="15" t="s">
        <v>925</v>
      </c>
      <c r="L5676" s="17">
        <v>1</v>
      </c>
      <c r="M5676" s="17">
        <v>24</v>
      </c>
      <c r="N5676" s="17">
        <v>1</v>
      </c>
      <c r="O5676" s="18">
        <v>1470.42</v>
      </c>
      <c r="P5676" s="18">
        <v>1205.26</v>
      </c>
      <c r="Q5676" s="18">
        <v>1029.29</v>
      </c>
      <c r="R5676" s="18">
        <v>843.68</v>
      </c>
      <c r="S5676" s="18">
        <v>999.89</v>
      </c>
      <c r="T5676" s="18">
        <v>819.58</v>
      </c>
      <c r="U5676" s="16"/>
      <c r="V5676" s="16"/>
      <c r="W5676" s="16"/>
      <c r="X5676" s="19">
        <v>0.94299999999999995</v>
      </c>
      <c r="Y5676" s="20">
        <v>1.0549999999999999E-3</v>
      </c>
      <c r="Z5676" s="21">
        <v>4601004062474</v>
      </c>
    </row>
    <row r="5677" spans="1:26" ht="12" customHeight="1" outlineLevel="3" x14ac:dyDescent="0.2">
      <c r="A5677" s="14" t="s">
        <v>10979</v>
      </c>
      <c r="B5677" s="26" t="s">
        <v>10980</v>
      </c>
      <c r="C5677" s="52"/>
      <c r="D5677" s="55">
        <f t="shared" si="88"/>
        <v>0</v>
      </c>
      <c r="E5677" s="63" t="str">
        <f>HYPERLINK("https://www.sds-group.ru/product/magnitnyy-poddon-150h25mm-rexant-12-4852/", "Инфо")</f>
        <v>Инфо</v>
      </c>
      <c r="F5677" s="16" t="s">
        <v>39</v>
      </c>
      <c r="G5677" s="15"/>
      <c r="H5677" s="15"/>
      <c r="I5677" s="15"/>
      <c r="J5677" s="16" t="s">
        <v>100</v>
      </c>
      <c r="K5677" s="15" t="s">
        <v>925</v>
      </c>
      <c r="L5677" s="17">
        <v>1</v>
      </c>
      <c r="M5677" s="17">
        <v>36</v>
      </c>
      <c r="N5677" s="17">
        <v>1</v>
      </c>
      <c r="O5677" s="18">
        <v>666.22</v>
      </c>
      <c r="P5677" s="18">
        <v>546.08000000000004</v>
      </c>
      <c r="Q5677" s="18">
        <v>466.35</v>
      </c>
      <c r="R5677" s="18">
        <v>382.25</v>
      </c>
      <c r="S5677" s="18">
        <v>453.03</v>
      </c>
      <c r="T5677" s="18">
        <v>371.34</v>
      </c>
      <c r="U5677" s="16"/>
      <c r="V5677" s="16"/>
      <c r="W5677" s="16"/>
      <c r="X5677" s="19">
        <v>0.36199999999999999</v>
      </c>
      <c r="Y5677" s="20">
        <v>1.464E-3</v>
      </c>
      <c r="Z5677" s="21">
        <v>4601004062511</v>
      </c>
    </row>
    <row r="5678" spans="1:26" ht="12" customHeight="1" outlineLevel="3" x14ac:dyDescent="0.2">
      <c r="A5678" s="14" t="s">
        <v>10981</v>
      </c>
      <c r="B5678" s="26" t="s">
        <v>10982</v>
      </c>
      <c r="C5678" s="52"/>
      <c r="D5678" s="55">
        <f t="shared" si="88"/>
        <v>0</v>
      </c>
      <c r="E5678" s="63" t="str">
        <f>HYPERLINK("https://www.sds-group.ru/product/magnitnyy-poddon-90h60h25mm-rexant-12-4853/", "Инфо")</f>
        <v>Инфо</v>
      </c>
      <c r="F5678" s="16" t="s">
        <v>39</v>
      </c>
      <c r="G5678" s="15"/>
      <c r="H5678" s="15"/>
      <c r="I5678" s="15"/>
      <c r="J5678" s="16" t="s">
        <v>100</v>
      </c>
      <c r="K5678" s="15" t="s">
        <v>925</v>
      </c>
      <c r="L5678" s="17">
        <v>2</v>
      </c>
      <c r="M5678" s="17">
        <v>144</v>
      </c>
      <c r="N5678" s="17">
        <v>2</v>
      </c>
      <c r="O5678" s="18">
        <v>310.47000000000003</v>
      </c>
      <c r="P5678" s="18">
        <v>254.48</v>
      </c>
      <c r="Q5678" s="18">
        <v>217.33</v>
      </c>
      <c r="R5678" s="18">
        <v>178.14</v>
      </c>
      <c r="S5678" s="18">
        <v>211.12</v>
      </c>
      <c r="T5678" s="18">
        <v>173.05</v>
      </c>
      <c r="U5678" s="16"/>
      <c r="V5678" s="16"/>
      <c r="W5678" s="16"/>
      <c r="X5678" s="19">
        <v>0.115</v>
      </c>
      <c r="Y5678" s="20">
        <v>4.2299999999999998E-4</v>
      </c>
      <c r="Z5678" s="21">
        <v>4601004082588</v>
      </c>
    </row>
    <row r="5679" spans="1:26" ht="12.95" customHeight="1" outlineLevel="2" x14ac:dyDescent="0.2">
      <c r="A5679" s="76" t="s">
        <v>10983</v>
      </c>
      <c r="B5679" s="76"/>
      <c r="C5679" s="77"/>
      <c r="D5679" s="58"/>
      <c r="E5679" s="68"/>
      <c r="F5679" s="13"/>
      <c r="G5679" s="13"/>
      <c r="H5679" s="13"/>
      <c r="I5679" s="13"/>
      <c r="J5679" s="13"/>
      <c r="K5679" s="13"/>
      <c r="L5679" s="13"/>
      <c r="M5679" s="13"/>
      <c r="N5679" s="13"/>
      <c r="O5679" s="13"/>
      <c r="P5679" s="13"/>
      <c r="Q5679" s="13"/>
      <c r="R5679" s="13"/>
      <c r="S5679" s="13"/>
      <c r="T5679" s="13"/>
      <c r="U5679" s="13"/>
      <c r="V5679" s="13"/>
      <c r="W5679" s="13"/>
      <c r="X5679" s="13"/>
      <c r="Y5679" s="13"/>
      <c r="Z5679" s="13"/>
    </row>
    <row r="5680" spans="1:26" ht="12" customHeight="1" outlineLevel="3" x14ac:dyDescent="0.2">
      <c r="A5680" s="14" t="s">
        <v>10984</v>
      </c>
      <c r="B5680" s="26" t="s">
        <v>10985</v>
      </c>
      <c r="C5680" s="52"/>
      <c r="D5680" s="55">
        <f t="shared" si="88"/>
        <v>0</v>
      </c>
      <c r="E5680" s="63" t="str">
        <f>HYPERLINK("https://www.sds-group.ru/product/neodimovyy-magnit-disk-10h10mm-stseplenie-3-7kg-2-sht-up-rexant-72-3115/", "Инфо")</f>
        <v>Инфо</v>
      </c>
      <c r="F5680" s="16" t="s">
        <v>1001</v>
      </c>
      <c r="G5680" s="15"/>
      <c r="H5680" s="15"/>
      <c r="I5680" s="15"/>
      <c r="J5680" s="17">
        <v>242</v>
      </c>
      <c r="K5680" s="15" t="s">
        <v>1131</v>
      </c>
      <c r="L5680" s="17">
        <v>1</v>
      </c>
      <c r="M5680" s="17">
        <v>144</v>
      </c>
      <c r="N5680" s="17">
        <v>1</v>
      </c>
      <c r="O5680" s="18">
        <v>817.09</v>
      </c>
      <c r="P5680" s="18">
        <v>669.75</v>
      </c>
      <c r="Q5680" s="18">
        <v>653.66999999999996</v>
      </c>
      <c r="R5680" s="18">
        <v>535.79999999999995</v>
      </c>
      <c r="S5680" s="18">
        <v>555.62</v>
      </c>
      <c r="T5680" s="18">
        <v>455.43</v>
      </c>
      <c r="U5680" s="16"/>
      <c r="V5680" s="16"/>
      <c r="W5680" s="16" t="s">
        <v>40</v>
      </c>
      <c r="X5680" s="19">
        <v>3.2000000000000001E-2</v>
      </c>
      <c r="Y5680" s="20">
        <v>2.6400000000000002E-4</v>
      </c>
      <c r="Z5680" s="21">
        <v>4601004083790</v>
      </c>
    </row>
    <row r="5681" spans="1:26" ht="12" customHeight="1" outlineLevel="3" x14ac:dyDescent="0.2">
      <c r="A5681" s="14" t="s">
        <v>10986</v>
      </c>
      <c r="B5681" s="26" t="s">
        <v>10987</v>
      </c>
      <c r="C5681" s="52"/>
      <c r="D5681" s="55">
        <f t="shared" si="88"/>
        <v>0</v>
      </c>
      <c r="E5681" s="63" t="str">
        <f>HYPERLINK("https://www.sds-group.ru/product/neodimovyy-magnit-disk-10h1mm-s-kleem-stseplenie-0-5kg-20-sht-up-rexant-72-3111-1/", "Инфо")</f>
        <v>Инфо</v>
      </c>
      <c r="F5681" s="16" t="s">
        <v>1001</v>
      </c>
      <c r="G5681" s="15"/>
      <c r="H5681" s="15"/>
      <c r="I5681" s="15"/>
      <c r="J5681" s="17">
        <v>77</v>
      </c>
      <c r="K5681" s="15" t="s">
        <v>6181</v>
      </c>
      <c r="L5681" s="17">
        <v>1</v>
      </c>
      <c r="M5681" s="17">
        <v>144</v>
      </c>
      <c r="N5681" s="17">
        <v>1</v>
      </c>
      <c r="O5681" s="18">
        <v>1001.49</v>
      </c>
      <c r="P5681" s="18">
        <v>820.89</v>
      </c>
      <c r="Q5681" s="18">
        <v>801.19</v>
      </c>
      <c r="R5681" s="18">
        <v>656.71</v>
      </c>
      <c r="S5681" s="18">
        <v>681.01</v>
      </c>
      <c r="T5681" s="18">
        <v>558.20000000000005</v>
      </c>
      <c r="U5681" s="16"/>
      <c r="V5681" s="16"/>
      <c r="W5681" s="16" t="s">
        <v>40</v>
      </c>
      <c r="X5681" s="19">
        <v>3.1E-2</v>
      </c>
      <c r="Y5681" s="20">
        <v>2.2599999999999999E-4</v>
      </c>
      <c r="Z5681" s="21">
        <v>4601004083745</v>
      </c>
    </row>
    <row r="5682" spans="1:26" ht="12" customHeight="1" outlineLevel="3" x14ac:dyDescent="0.2">
      <c r="A5682" s="14" t="s">
        <v>10988</v>
      </c>
      <c r="B5682" s="26" t="s">
        <v>10989</v>
      </c>
      <c r="C5682" s="52"/>
      <c r="D5682" s="55">
        <f t="shared" si="88"/>
        <v>0</v>
      </c>
      <c r="E5682" s="63" t="str">
        <f>HYPERLINK("https://www.sds-group.ru/product/neodimovyy-magnit-disk-10h2mm-stseplenie-1kg-14-sht-up-rexant-72-3112/", "Инфо")</f>
        <v>Инфо</v>
      </c>
      <c r="F5682" s="16" t="s">
        <v>1001</v>
      </c>
      <c r="G5682" s="15"/>
      <c r="H5682" s="15"/>
      <c r="I5682" s="15"/>
      <c r="J5682" s="17">
        <v>192</v>
      </c>
      <c r="K5682" s="15" t="s">
        <v>6633</v>
      </c>
      <c r="L5682" s="17">
        <v>1</v>
      </c>
      <c r="M5682" s="17">
        <v>144</v>
      </c>
      <c r="N5682" s="17">
        <v>1</v>
      </c>
      <c r="O5682" s="18">
        <v>824.18</v>
      </c>
      <c r="P5682" s="18">
        <v>675.56</v>
      </c>
      <c r="Q5682" s="18">
        <v>659.34</v>
      </c>
      <c r="R5682" s="18">
        <v>540.44000000000005</v>
      </c>
      <c r="S5682" s="18">
        <v>560.44000000000005</v>
      </c>
      <c r="T5682" s="18">
        <v>459.38</v>
      </c>
      <c r="U5682" s="16"/>
      <c r="V5682" s="16"/>
      <c r="W5682" s="16" t="s">
        <v>40</v>
      </c>
      <c r="X5682" s="19">
        <v>3.4000000000000002E-2</v>
      </c>
      <c r="Y5682" s="20">
        <v>2.2699999999999999E-4</v>
      </c>
      <c r="Z5682" s="21">
        <v>4601004095472</v>
      </c>
    </row>
    <row r="5683" spans="1:26" ht="12" customHeight="1" outlineLevel="3" x14ac:dyDescent="0.2">
      <c r="A5683" s="14" t="s">
        <v>10990</v>
      </c>
      <c r="B5683" s="26" t="s">
        <v>10991</v>
      </c>
      <c r="C5683" s="52"/>
      <c r="D5683" s="55">
        <f t="shared" si="88"/>
        <v>0</v>
      </c>
      <c r="E5683" s="63" t="str">
        <f>HYPERLINK("https://www.sds-group.ru/product/neodimovyy-magnit-disk-10h5mm-stseplenie-2-5kg-5-sht-up-rexant-72-3114/", "Инфо")</f>
        <v>Инфо</v>
      </c>
      <c r="F5683" s="16" t="s">
        <v>1001</v>
      </c>
      <c r="G5683" s="15"/>
      <c r="H5683" s="15"/>
      <c r="I5683" s="15"/>
      <c r="J5683" s="17">
        <v>80</v>
      </c>
      <c r="K5683" s="15" t="s">
        <v>6181</v>
      </c>
      <c r="L5683" s="17">
        <v>1</v>
      </c>
      <c r="M5683" s="17">
        <v>144</v>
      </c>
      <c r="N5683" s="17">
        <v>1</v>
      </c>
      <c r="O5683" s="18">
        <v>757.97</v>
      </c>
      <c r="P5683" s="18">
        <v>621.29</v>
      </c>
      <c r="Q5683" s="18">
        <v>606.38</v>
      </c>
      <c r="R5683" s="18">
        <v>497.03</v>
      </c>
      <c r="S5683" s="18">
        <v>515.41999999999996</v>
      </c>
      <c r="T5683" s="18">
        <v>422.48</v>
      </c>
      <c r="U5683" s="16"/>
      <c r="V5683" s="16"/>
      <c r="W5683" s="16" t="s">
        <v>40</v>
      </c>
      <c r="X5683" s="19">
        <v>3.4000000000000002E-2</v>
      </c>
      <c r="Y5683" s="20">
        <v>2.31E-4</v>
      </c>
      <c r="Z5683" s="21">
        <v>4601004082540</v>
      </c>
    </row>
    <row r="5684" spans="1:26" ht="12" customHeight="1" outlineLevel="3" x14ac:dyDescent="0.2">
      <c r="A5684" s="14" t="s">
        <v>10992</v>
      </c>
      <c r="B5684" s="26" t="s">
        <v>10993</v>
      </c>
      <c r="C5684" s="52"/>
      <c r="D5684" s="55">
        <f t="shared" si="88"/>
        <v>0</v>
      </c>
      <c r="E5684" s="63" t="str">
        <f>HYPERLINK("https://www.sds-group.ru/product/neodimovyy-magnit-disk-15h10mm-stseplenie-8kg-1-sht-up-rexant-72-3135/", "Инфо")</f>
        <v>Инфо</v>
      </c>
      <c r="F5684" s="16" t="s">
        <v>1001</v>
      </c>
      <c r="G5684" s="15"/>
      <c r="H5684" s="15"/>
      <c r="I5684" s="15"/>
      <c r="J5684" s="17">
        <v>570</v>
      </c>
      <c r="K5684" s="15" t="s">
        <v>1131</v>
      </c>
      <c r="L5684" s="17">
        <v>1</v>
      </c>
      <c r="M5684" s="17">
        <v>144</v>
      </c>
      <c r="N5684" s="17">
        <v>1</v>
      </c>
      <c r="O5684" s="18">
        <v>773.62</v>
      </c>
      <c r="P5684" s="18">
        <v>634.11</v>
      </c>
      <c r="Q5684" s="18">
        <v>618.9</v>
      </c>
      <c r="R5684" s="18">
        <v>507.3</v>
      </c>
      <c r="S5684" s="18">
        <v>526.05999999999995</v>
      </c>
      <c r="T5684" s="18">
        <v>431.2</v>
      </c>
      <c r="U5684" s="16"/>
      <c r="V5684" s="16"/>
      <c r="W5684" s="16" t="s">
        <v>40</v>
      </c>
      <c r="X5684" s="19">
        <v>3.3000000000000002E-2</v>
      </c>
      <c r="Y5684" s="20">
        <v>2.3000000000000001E-4</v>
      </c>
      <c r="Z5684" s="21">
        <v>4601004082571</v>
      </c>
    </row>
    <row r="5685" spans="1:26" ht="12" customHeight="1" outlineLevel="3" x14ac:dyDescent="0.2">
      <c r="A5685" s="14" t="s">
        <v>10994</v>
      </c>
      <c r="B5685" s="26" t="s">
        <v>10995</v>
      </c>
      <c r="C5685" s="52"/>
      <c r="D5685" s="55">
        <f t="shared" si="88"/>
        <v>0</v>
      </c>
      <c r="E5685" s="63" t="str">
        <f>HYPERLINK("https://www.sds-group.ru/product/neodimovyy-magnit-disk-15h2mm-stseplenie-2-3kg-5-sht-up-rexant-72-3132/", "Инфо")</f>
        <v>Инфо</v>
      </c>
      <c r="F5685" s="16" t="s">
        <v>1001</v>
      </c>
      <c r="G5685" s="15"/>
      <c r="H5685" s="15"/>
      <c r="I5685" s="15"/>
      <c r="J5685" s="17">
        <v>124</v>
      </c>
      <c r="K5685" s="15" t="s">
        <v>6633</v>
      </c>
      <c r="L5685" s="17">
        <v>1</v>
      </c>
      <c r="M5685" s="17">
        <v>144</v>
      </c>
      <c r="N5685" s="17">
        <v>1</v>
      </c>
      <c r="O5685" s="18">
        <v>733.82</v>
      </c>
      <c r="P5685" s="18">
        <v>601.49</v>
      </c>
      <c r="Q5685" s="18">
        <v>587.05999999999995</v>
      </c>
      <c r="R5685" s="18">
        <v>481.2</v>
      </c>
      <c r="S5685" s="18">
        <v>499</v>
      </c>
      <c r="T5685" s="18">
        <v>409.02</v>
      </c>
      <c r="U5685" s="16"/>
      <c r="V5685" s="16"/>
      <c r="W5685" s="16" t="s">
        <v>40</v>
      </c>
      <c r="X5685" s="19">
        <v>3.3000000000000002E-2</v>
      </c>
      <c r="Y5685" s="20">
        <v>2.2900000000000001E-4</v>
      </c>
      <c r="Z5685" s="21">
        <v>4601004083752</v>
      </c>
    </row>
    <row r="5686" spans="1:26" ht="12" customHeight="1" outlineLevel="3" x14ac:dyDescent="0.2">
      <c r="A5686" s="14" t="s">
        <v>10996</v>
      </c>
      <c r="B5686" s="26" t="s">
        <v>10997</v>
      </c>
      <c r="C5686" s="52"/>
      <c r="D5686" s="55">
        <f t="shared" si="88"/>
        <v>0</v>
      </c>
      <c r="E5686" s="63" t="str">
        <f>HYPERLINK("https://www.sds-group.ru/product/neodimovyy-magnit-disk-20h10mm-stseplenie-11-2kg-1-sht-up-rexant-72-3145/", "Инфо")</f>
        <v>Инфо</v>
      </c>
      <c r="F5686" s="16" t="s">
        <v>39</v>
      </c>
      <c r="G5686" s="15"/>
      <c r="H5686" s="15"/>
      <c r="I5686" s="15"/>
      <c r="J5686" s="16" t="s">
        <v>100</v>
      </c>
      <c r="K5686" s="15" t="s">
        <v>6633</v>
      </c>
      <c r="L5686" s="17">
        <v>1</v>
      </c>
      <c r="M5686" s="17">
        <v>144</v>
      </c>
      <c r="N5686" s="17">
        <v>1</v>
      </c>
      <c r="O5686" s="18">
        <v>1157.56</v>
      </c>
      <c r="P5686" s="18">
        <v>948.82</v>
      </c>
      <c r="Q5686" s="18">
        <v>926.05</v>
      </c>
      <c r="R5686" s="18">
        <v>759.06</v>
      </c>
      <c r="S5686" s="18">
        <v>787.14</v>
      </c>
      <c r="T5686" s="18">
        <v>645.20000000000005</v>
      </c>
      <c r="U5686" s="16"/>
      <c r="V5686" s="16"/>
      <c r="W5686" s="16" t="s">
        <v>40</v>
      </c>
      <c r="X5686" s="19">
        <v>4.2000000000000003E-2</v>
      </c>
      <c r="Y5686" s="20">
        <v>2.3000000000000001E-4</v>
      </c>
      <c r="Z5686" s="21">
        <v>4601004082564</v>
      </c>
    </row>
    <row r="5687" spans="1:26" ht="12" customHeight="1" outlineLevel="3" x14ac:dyDescent="0.2">
      <c r="A5687" s="14" t="s">
        <v>10998</v>
      </c>
      <c r="B5687" s="26" t="s">
        <v>10999</v>
      </c>
      <c r="C5687" s="52"/>
      <c r="D5687" s="55">
        <f t="shared" si="88"/>
        <v>0</v>
      </c>
      <c r="E5687" s="63" t="str">
        <f>HYPERLINK("https://www.sds-group.ru/product/neodimovyy-magnit-disk-30h10mm-stseplenie-21kg-rexant-72-3003/", "Инфо")</f>
        <v>Инфо</v>
      </c>
      <c r="F5687" s="16" t="s">
        <v>39</v>
      </c>
      <c r="G5687" s="15"/>
      <c r="H5687" s="15"/>
      <c r="I5687" s="15"/>
      <c r="J5687" s="17">
        <v>678</v>
      </c>
      <c r="K5687" s="15"/>
      <c r="L5687" s="17">
        <v>1</v>
      </c>
      <c r="M5687" s="17">
        <v>462</v>
      </c>
      <c r="N5687" s="17">
        <v>1</v>
      </c>
      <c r="O5687" s="18">
        <v>2451.2199999999998</v>
      </c>
      <c r="P5687" s="18">
        <v>2009.2</v>
      </c>
      <c r="Q5687" s="18">
        <v>1887.44</v>
      </c>
      <c r="R5687" s="18">
        <v>1547.08</v>
      </c>
      <c r="S5687" s="18">
        <v>1666.83</v>
      </c>
      <c r="T5687" s="18">
        <v>1366.25</v>
      </c>
      <c r="U5687" s="16"/>
      <c r="V5687" s="16"/>
      <c r="W5687" s="16" t="s">
        <v>40</v>
      </c>
      <c r="X5687" s="19">
        <v>0.13200000000000001</v>
      </c>
      <c r="Y5687" s="20">
        <v>2.9599999999999998E-4</v>
      </c>
      <c r="Z5687" s="21">
        <v>4601004124325</v>
      </c>
    </row>
    <row r="5688" spans="1:26" ht="12" customHeight="1" outlineLevel="3" x14ac:dyDescent="0.2">
      <c r="A5688" s="14" t="s">
        <v>11000</v>
      </c>
      <c r="B5688" s="26" t="s">
        <v>11001</v>
      </c>
      <c r="C5688" s="52"/>
      <c r="D5688" s="55">
        <f t="shared" si="88"/>
        <v>0</v>
      </c>
      <c r="E5688" s="63" t="str">
        <f>HYPERLINK("https://www.sds-group.ru/product/neodimovyy-magnit-disk-40h10mm-stseplenie-41kg-rexant-72-3006/", "Инфо")</f>
        <v>Инфо</v>
      </c>
      <c r="F5688" s="16" t="s">
        <v>39</v>
      </c>
      <c r="G5688" s="15"/>
      <c r="H5688" s="15"/>
      <c r="I5688" s="15"/>
      <c r="J5688" s="17">
        <v>121</v>
      </c>
      <c r="K5688" s="15"/>
      <c r="L5688" s="17">
        <v>1</v>
      </c>
      <c r="M5688" s="17">
        <v>48</v>
      </c>
      <c r="N5688" s="17">
        <v>1</v>
      </c>
      <c r="O5688" s="18">
        <v>3379.42</v>
      </c>
      <c r="P5688" s="18">
        <v>2770.02</v>
      </c>
      <c r="Q5688" s="18">
        <v>2602.15</v>
      </c>
      <c r="R5688" s="18">
        <v>2132.91</v>
      </c>
      <c r="S5688" s="18">
        <v>2298.0100000000002</v>
      </c>
      <c r="T5688" s="18">
        <v>1883.61</v>
      </c>
      <c r="U5688" s="16"/>
      <c r="V5688" s="16"/>
      <c r="W5688" s="16" t="s">
        <v>40</v>
      </c>
      <c r="X5688" s="19">
        <v>0.17599999999999999</v>
      </c>
      <c r="Y5688" s="20">
        <v>3.01E-4</v>
      </c>
      <c r="Z5688" s="21">
        <v>4601004124318</v>
      </c>
    </row>
    <row r="5689" spans="1:26" ht="12" customHeight="1" outlineLevel="3" x14ac:dyDescent="0.2">
      <c r="A5689" s="32" t="s">
        <v>11002</v>
      </c>
      <c r="B5689" s="74" t="s">
        <v>11003</v>
      </c>
      <c r="C5689" s="50"/>
      <c r="D5689" s="53">
        <f t="shared" si="88"/>
        <v>0</v>
      </c>
      <c r="E5689" s="60" t="str">
        <f>HYPERLINK("https://www.sds-group.ru/product/neodimovyy-magnit-disk-40h15mm-stseplenie-58kg-rexant-72-3007/", "Инфо")</f>
        <v>Инфо</v>
      </c>
      <c r="F5689" s="34" t="s">
        <v>39</v>
      </c>
      <c r="G5689" s="33"/>
      <c r="H5689" s="33" t="s">
        <v>40</v>
      </c>
      <c r="I5689" s="33"/>
      <c r="J5689" s="34" t="s">
        <v>100</v>
      </c>
      <c r="K5689" s="33"/>
      <c r="L5689" s="35">
        <v>1</v>
      </c>
      <c r="M5689" s="35">
        <v>48</v>
      </c>
      <c r="N5689" s="35">
        <v>1</v>
      </c>
      <c r="O5689" s="36">
        <v>3404.76</v>
      </c>
      <c r="P5689" s="36">
        <v>2790.79</v>
      </c>
      <c r="Q5689" s="36">
        <v>2621.67</v>
      </c>
      <c r="R5689" s="36">
        <v>2148.91</v>
      </c>
      <c r="S5689" s="36">
        <v>2315.2399999999998</v>
      </c>
      <c r="T5689" s="36">
        <v>1897.74</v>
      </c>
      <c r="U5689" s="34"/>
      <c r="V5689" s="34"/>
      <c r="W5689" s="34" t="s">
        <v>40</v>
      </c>
      <c r="X5689" s="37">
        <v>0.21099999999999999</v>
      </c>
      <c r="Y5689" s="38">
        <v>3.0800000000000001E-4</v>
      </c>
      <c r="Z5689" s="21">
        <v>4601004124332</v>
      </c>
    </row>
    <row r="5690" spans="1:26" ht="12" customHeight="1" outlineLevel="3" x14ac:dyDescent="0.2">
      <c r="A5690" s="32" t="s">
        <v>11004</v>
      </c>
      <c r="B5690" s="74" t="s">
        <v>11005</v>
      </c>
      <c r="C5690" s="50"/>
      <c r="D5690" s="53">
        <f t="shared" si="88"/>
        <v>0</v>
      </c>
      <c r="E5690" s="60" t="str">
        <f>HYPERLINK("https://www.sds-group.ru/product/neodimovyy-magnit-disk-45h15mm-stseplenie-65kg-rexant-72-3010/", "Инфо")</f>
        <v>Инфо</v>
      </c>
      <c r="F5690" s="34" t="s">
        <v>39</v>
      </c>
      <c r="G5690" s="33"/>
      <c r="H5690" s="33" t="s">
        <v>40</v>
      </c>
      <c r="I5690" s="33"/>
      <c r="J5690" s="34" t="s">
        <v>100</v>
      </c>
      <c r="K5690" s="33"/>
      <c r="L5690" s="35">
        <v>1</v>
      </c>
      <c r="M5690" s="35">
        <v>48</v>
      </c>
      <c r="N5690" s="35">
        <v>1</v>
      </c>
      <c r="O5690" s="36">
        <v>1631.34</v>
      </c>
      <c r="P5690" s="36">
        <v>1337.16</v>
      </c>
      <c r="Q5690" s="36">
        <v>1141.94</v>
      </c>
      <c r="R5690" s="36">
        <v>936.02</v>
      </c>
      <c r="S5690" s="36">
        <v>1109.31</v>
      </c>
      <c r="T5690" s="36">
        <v>909.27</v>
      </c>
      <c r="U5690" s="34"/>
      <c r="V5690" s="34"/>
      <c r="W5690" s="34"/>
      <c r="X5690" s="37">
        <v>0.248</v>
      </c>
      <c r="Y5690" s="38">
        <v>3.1199999999999999E-4</v>
      </c>
      <c r="Z5690" s="21">
        <v>4601004065581</v>
      </c>
    </row>
    <row r="5691" spans="1:26" ht="12" customHeight="1" outlineLevel="3" x14ac:dyDescent="0.2">
      <c r="A5691" s="32" t="s">
        <v>11006</v>
      </c>
      <c r="B5691" s="74" t="s">
        <v>11007</v>
      </c>
      <c r="C5691" s="50"/>
      <c r="D5691" s="53">
        <f t="shared" si="88"/>
        <v>0</v>
      </c>
      <c r="E5691" s="60" t="str">
        <f>HYPERLINK("https://www.sds-group.ru/product/neodimovyy-magnit-disk-45h30mm-stseplenie-100kg-rexant-72-3013/", "Инфо")</f>
        <v>Инфо</v>
      </c>
      <c r="F5691" s="34" t="s">
        <v>39</v>
      </c>
      <c r="G5691" s="33"/>
      <c r="H5691" s="33" t="s">
        <v>40</v>
      </c>
      <c r="I5691" s="33"/>
      <c r="J5691" s="35">
        <v>181</v>
      </c>
      <c r="K5691" s="33"/>
      <c r="L5691" s="35">
        <v>1</v>
      </c>
      <c r="M5691" s="35">
        <v>48</v>
      </c>
      <c r="N5691" s="35">
        <v>1</v>
      </c>
      <c r="O5691" s="36">
        <v>2137.5</v>
      </c>
      <c r="P5691" s="36">
        <v>1752.05</v>
      </c>
      <c r="Q5691" s="36">
        <v>1496.25</v>
      </c>
      <c r="R5691" s="36">
        <v>1226.43</v>
      </c>
      <c r="S5691" s="36">
        <v>1453.5</v>
      </c>
      <c r="T5691" s="36">
        <v>1191.3900000000001</v>
      </c>
      <c r="U5691" s="34"/>
      <c r="V5691" s="34"/>
      <c r="W5691" s="34"/>
      <c r="X5691" s="37">
        <v>0.41699999999999998</v>
      </c>
      <c r="Y5691" s="38">
        <v>5.5000000000000003E-4</v>
      </c>
      <c r="Z5691" s="21">
        <v>4601004077355</v>
      </c>
    </row>
    <row r="5692" spans="1:26" ht="12" customHeight="1" outlineLevel="3" x14ac:dyDescent="0.2">
      <c r="A5692" s="32" t="s">
        <v>11008</v>
      </c>
      <c r="B5692" s="74" t="s">
        <v>11009</v>
      </c>
      <c r="C5692" s="50"/>
      <c r="D5692" s="53">
        <f t="shared" si="88"/>
        <v>0</v>
      </c>
      <c r="E5692" s="60" t="str">
        <f>HYPERLINK("https://www.sds-group.ru/product/neodimovyy-magnit-disk-50h20mm-stseplenie-89kg-rexant-72-3021/", "Инфо")</f>
        <v>Инфо</v>
      </c>
      <c r="F5692" s="34" t="s">
        <v>39</v>
      </c>
      <c r="G5692" s="33"/>
      <c r="H5692" s="33" t="s">
        <v>40</v>
      </c>
      <c r="I5692" s="33"/>
      <c r="J5692" s="35">
        <v>172</v>
      </c>
      <c r="K5692" s="33"/>
      <c r="L5692" s="35">
        <v>1</v>
      </c>
      <c r="M5692" s="35">
        <v>48</v>
      </c>
      <c r="N5692" s="35">
        <v>1</v>
      </c>
      <c r="O5692" s="36">
        <v>1913.3</v>
      </c>
      <c r="P5692" s="36">
        <v>1568.28</v>
      </c>
      <c r="Q5692" s="36">
        <v>1339.31</v>
      </c>
      <c r="R5692" s="36">
        <v>1097.8</v>
      </c>
      <c r="S5692" s="36">
        <v>1301.04</v>
      </c>
      <c r="T5692" s="36">
        <v>1066.43</v>
      </c>
      <c r="U5692" s="34"/>
      <c r="V5692" s="34"/>
      <c r="W5692" s="34"/>
      <c r="X5692" s="37">
        <v>0.36199999999999999</v>
      </c>
      <c r="Y5692" s="38">
        <v>2.8899999999999998E-4</v>
      </c>
      <c r="Z5692" s="21">
        <v>4601004077324</v>
      </c>
    </row>
    <row r="5693" spans="1:26" ht="12" customHeight="1" outlineLevel="3" x14ac:dyDescent="0.2">
      <c r="A5693" s="14" t="s">
        <v>11010</v>
      </c>
      <c r="B5693" s="26" t="s">
        <v>11011</v>
      </c>
      <c r="C5693" s="52"/>
      <c r="D5693" s="55">
        <f t="shared" si="88"/>
        <v>0</v>
      </c>
      <c r="E5693" s="63" t="str">
        <f>HYPERLINK("https://www.sds-group.ru/product/neodimovyy-magnit-disk-5h2mm-stseplenie-0-32kg-44-sht-up-rexant-72-3192/", "Инфо")</f>
        <v>Инфо</v>
      </c>
      <c r="F5693" s="16" t="s">
        <v>1001</v>
      </c>
      <c r="G5693" s="15"/>
      <c r="H5693" s="15"/>
      <c r="I5693" s="15"/>
      <c r="J5693" s="17">
        <v>528</v>
      </c>
      <c r="K5693" s="15"/>
      <c r="L5693" s="17">
        <v>1</v>
      </c>
      <c r="M5693" s="17">
        <v>144</v>
      </c>
      <c r="N5693" s="17">
        <v>1</v>
      </c>
      <c r="O5693" s="18">
        <v>824.18</v>
      </c>
      <c r="P5693" s="18">
        <v>675.56</v>
      </c>
      <c r="Q5693" s="18">
        <v>659.34</v>
      </c>
      <c r="R5693" s="18">
        <v>540.44000000000005</v>
      </c>
      <c r="S5693" s="18">
        <v>560.44000000000005</v>
      </c>
      <c r="T5693" s="18">
        <v>459.38</v>
      </c>
      <c r="U5693" s="16"/>
      <c r="V5693" s="16"/>
      <c r="W5693" s="16" t="s">
        <v>40</v>
      </c>
      <c r="X5693" s="19">
        <v>3.3000000000000002E-2</v>
      </c>
      <c r="Y5693" s="20">
        <v>2.72E-4</v>
      </c>
      <c r="Z5693" s="21">
        <v>4601004083776</v>
      </c>
    </row>
    <row r="5694" spans="1:26" ht="12" customHeight="1" outlineLevel="3" x14ac:dyDescent="0.2">
      <c r="A5694" s="32" t="s">
        <v>11012</v>
      </c>
      <c r="B5694" s="74" t="s">
        <v>11013</v>
      </c>
      <c r="C5694" s="50"/>
      <c r="D5694" s="53">
        <f t="shared" si="88"/>
        <v>0</v>
      </c>
      <c r="E5694" s="60" t="str">
        <f>HYPERLINK("https://www.sds-group.ru/product/neodimovyy-magnit-disk-60h30mm-stseplenie-160kg-rexant-72-3043/", "Инфо")</f>
        <v>Инфо</v>
      </c>
      <c r="F5694" s="34" t="s">
        <v>39</v>
      </c>
      <c r="G5694" s="33"/>
      <c r="H5694" s="33" t="s">
        <v>40</v>
      </c>
      <c r="I5694" s="33"/>
      <c r="J5694" s="35">
        <v>160</v>
      </c>
      <c r="K5694" s="33"/>
      <c r="L5694" s="35">
        <v>1</v>
      </c>
      <c r="M5694" s="35">
        <v>56</v>
      </c>
      <c r="N5694" s="35">
        <v>1</v>
      </c>
      <c r="O5694" s="36">
        <v>4007.86</v>
      </c>
      <c r="P5694" s="36">
        <v>3285.13</v>
      </c>
      <c r="Q5694" s="36">
        <v>2805.5</v>
      </c>
      <c r="R5694" s="36">
        <v>2299.59</v>
      </c>
      <c r="S5694" s="36">
        <v>2725.34</v>
      </c>
      <c r="T5694" s="36">
        <v>2233.89</v>
      </c>
      <c r="U5694" s="34"/>
      <c r="V5694" s="34"/>
      <c r="W5694" s="34"/>
      <c r="X5694" s="37">
        <v>0.69599999999999995</v>
      </c>
      <c r="Y5694" s="38">
        <v>2.9E-4</v>
      </c>
      <c r="Z5694" s="21">
        <v>4601004077348</v>
      </c>
    </row>
    <row r="5695" spans="1:26" ht="12" customHeight="1" outlineLevel="3" x14ac:dyDescent="0.2">
      <c r="A5695" s="14" t="s">
        <v>11014</v>
      </c>
      <c r="B5695" s="26" t="s">
        <v>11015</v>
      </c>
      <c r="C5695" s="52"/>
      <c r="D5695" s="55">
        <f t="shared" si="88"/>
        <v>0</v>
      </c>
      <c r="E5695" s="63" t="str">
        <f>HYPERLINK("https://www.sds-group.ru/product/neodimovyy-magnit-kub-10h10h10mm-stseplenie-4-5kg-2-sht-up-rexant-72-3210/", "Инфо")</f>
        <v>Инфо</v>
      </c>
      <c r="F5695" s="16" t="s">
        <v>1001</v>
      </c>
      <c r="G5695" s="15"/>
      <c r="H5695" s="15"/>
      <c r="I5695" s="15"/>
      <c r="J5695" s="17">
        <v>19</v>
      </c>
      <c r="K5695" s="15" t="s">
        <v>6181</v>
      </c>
      <c r="L5695" s="17">
        <v>1</v>
      </c>
      <c r="M5695" s="17">
        <v>144</v>
      </c>
      <c r="N5695" s="17">
        <v>1</v>
      </c>
      <c r="O5695" s="18">
        <v>774.3</v>
      </c>
      <c r="P5695" s="18">
        <v>634.66999999999996</v>
      </c>
      <c r="Q5695" s="18">
        <v>619.44000000000005</v>
      </c>
      <c r="R5695" s="18">
        <v>507.74</v>
      </c>
      <c r="S5695" s="18">
        <v>526.52</v>
      </c>
      <c r="T5695" s="18">
        <v>431.57</v>
      </c>
      <c r="U5695" s="16"/>
      <c r="V5695" s="16"/>
      <c r="W5695" s="16" t="s">
        <v>40</v>
      </c>
      <c r="X5695" s="19">
        <v>3.3000000000000002E-2</v>
      </c>
      <c r="Y5695" s="20">
        <v>2.2499999999999999E-4</v>
      </c>
      <c r="Z5695" s="21">
        <v>4601004082557</v>
      </c>
    </row>
    <row r="5696" spans="1:26" ht="12" customHeight="1" outlineLevel="3" x14ac:dyDescent="0.2">
      <c r="A5696" s="14" t="s">
        <v>11016</v>
      </c>
      <c r="B5696" s="26" t="s">
        <v>11017</v>
      </c>
      <c r="C5696" s="52"/>
      <c r="D5696" s="55">
        <f t="shared" si="88"/>
        <v>0</v>
      </c>
      <c r="E5696" s="63" t="str">
        <f>HYPERLINK("https://www.sds-group.ru/product/neodimovyy-magnit-kub-5h5h5mm-stseplenie-0-95kg-16-sht-up-rexant-72-3205/", "Инфо")</f>
        <v>Инфо</v>
      </c>
      <c r="F5696" s="16" t="s">
        <v>1001</v>
      </c>
      <c r="G5696" s="15"/>
      <c r="H5696" s="15"/>
      <c r="I5696" s="15"/>
      <c r="J5696" s="17">
        <v>340</v>
      </c>
      <c r="K5696" s="15"/>
      <c r="L5696" s="17">
        <v>1</v>
      </c>
      <c r="M5696" s="17">
        <v>144</v>
      </c>
      <c r="N5696" s="17">
        <v>1</v>
      </c>
      <c r="O5696" s="18">
        <v>824.18</v>
      </c>
      <c r="P5696" s="18">
        <v>675.56</v>
      </c>
      <c r="Q5696" s="18">
        <v>659.34</v>
      </c>
      <c r="R5696" s="18">
        <v>540.44000000000005</v>
      </c>
      <c r="S5696" s="18">
        <v>560.44000000000005</v>
      </c>
      <c r="T5696" s="18">
        <v>459.38</v>
      </c>
      <c r="U5696" s="16"/>
      <c r="V5696" s="16"/>
      <c r="W5696" s="16" t="s">
        <v>40</v>
      </c>
      <c r="X5696" s="19">
        <v>3.4000000000000002E-2</v>
      </c>
      <c r="Y5696" s="20">
        <v>2.41E-4</v>
      </c>
      <c r="Z5696" s="21">
        <v>4601004083783</v>
      </c>
    </row>
    <row r="5697" spans="1:26" ht="12" customHeight="1" outlineLevel="3" x14ac:dyDescent="0.2">
      <c r="A5697" s="32" t="s">
        <v>11018</v>
      </c>
      <c r="B5697" s="74" t="s">
        <v>11019</v>
      </c>
      <c r="C5697" s="50"/>
      <c r="D5697" s="53">
        <f t="shared" si="88"/>
        <v>0</v>
      </c>
      <c r="E5697" s="60" t="str">
        <f>HYPERLINK("https://www.sds-group.ru/product/neodimovyy-magnit-kub-8h8h8mm-stseplenie-3-7kg-4-sht-up-rexant-72-3208/", "Инфо")</f>
        <v>Инфо</v>
      </c>
      <c r="F5697" s="34" t="s">
        <v>1001</v>
      </c>
      <c r="G5697" s="33"/>
      <c r="H5697" s="33" t="s">
        <v>40</v>
      </c>
      <c r="I5697" s="33"/>
      <c r="J5697" s="35">
        <v>143</v>
      </c>
      <c r="K5697" s="33"/>
      <c r="L5697" s="35">
        <v>1</v>
      </c>
      <c r="M5697" s="35">
        <v>144</v>
      </c>
      <c r="N5697" s="35">
        <v>1</v>
      </c>
      <c r="O5697" s="36">
        <v>990.92</v>
      </c>
      <c r="P5697" s="36">
        <v>812.23</v>
      </c>
      <c r="Q5697" s="36">
        <v>792.74</v>
      </c>
      <c r="R5697" s="36">
        <v>649.79</v>
      </c>
      <c r="S5697" s="36">
        <v>673.83</v>
      </c>
      <c r="T5697" s="36">
        <v>552.32000000000005</v>
      </c>
      <c r="U5697" s="34"/>
      <c r="V5697" s="34"/>
      <c r="W5697" s="34" t="s">
        <v>40</v>
      </c>
      <c r="X5697" s="37">
        <v>3.5000000000000003E-2</v>
      </c>
      <c r="Y5697" s="38">
        <v>2.61E-4</v>
      </c>
      <c r="Z5697" s="21">
        <v>4601004091207</v>
      </c>
    </row>
    <row r="5698" spans="1:26" ht="12" customHeight="1" outlineLevel="3" x14ac:dyDescent="0.2">
      <c r="A5698" s="14" t="s">
        <v>11020</v>
      </c>
      <c r="B5698" s="26" t="s">
        <v>11021</v>
      </c>
      <c r="C5698" s="52"/>
      <c r="D5698" s="55">
        <f t="shared" si="88"/>
        <v>0</v>
      </c>
      <c r="E5698" s="63" t="str">
        <f>HYPERLINK("https://www.sds-group.ru/product/neodimovyy-magnit-pryamougolnik-10h10h1mm-stseplenie-0-6kg-10-sht-up-rexant-72-3402/", "Инфо")</f>
        <v>Инфо</v>
      </c>
      <c r="F5698" s="16" t="s">
        <v>1001</v>
      </c>
      <c r="G5698" s="15"/>
      <c r="H5698" s="15"/>
      <c r="I5698" s="15"/>
      <c r="J5698" s="17">
        <v>945</v>
      </c>
      <c r="K5698" s="15"/>
      <c r="L5698" s="17">
        <v>1</v>
      </c>
      <c r="M5698" s="17">
        <v>144</v>
      </c>
      <c r="N5698" s="17">
        <v>1</v>
      </c>
      <c r="O5698" s="18">
        <v>660.13</v>
      </c>
      <c r="P5698" s="18">
        <v>541.09</v>
      </c>
      <c r="Q5698" s="18">
        <v>528.1</v>
      </c>
      <c r="R5698" s="18">
        <v>432.87</v>
      </c>
      <c r="S5698" s="18">
        <v>448.89</v>
      </c>
      <c r="T5698" s="18">
        <v>367.94</v>
      </c>
      <c r="U5698" s="16"/>
      <c r="V5698" s="16"/>
      <c r="W5698" s="16" t="s">
        <v>40</v>
      </c>
      <c r="X5698" s="19">
        <v>2.7E-2</v>
      </c>
      <c r="Y5698" s="20">
        <v>2.31E-4</v>
      </c>
      <c r="Z5698" s="21">
        <v>4601004093249</v>
      </c>
    </row>
    <row r="5699" spans="1:26" ht="12" customHeight="1" outlineLevel="3" x14ac:dyDescent="0.2">
      <c r="A5699" s="14" t="s">
        <v>11022</v>
      </c>
      <c r="B5699" s="26" t="s">
        <v>11023</v>
      </c>
      <c r="C5699" s="52"/>
      <c r="D5699" s="55">
        <f t="shared" si="88"/>
        <v>0</v>
      </c>
      <c r="E5699" s="63" t="str">
        <f>HYPERLINK("https://www.sds-group.ru/product/neodimovyy-magnit-pryamougolnik-15h8h2mm-stseplenie-1-1kg-8-sht-up-rexant-72-3403/", "Инфо")</f>
        <v>Инфо</v>
      </c>
      <c r="F5699" s="16" t="s">
        <v>1001</v>
      </c>
      <c r="G5699" s="15"/>
      <c r="H5699" s="15"/>
      <c r="I5699" s="15"/>
      <c r="J5699" s="17">
        <v>458</v>
      </c>
      <c r="K5699" s="15" t="s">
        <v>1131</v>
      </c>
      <c r="L5699" s="17">
        <v>1</v>
      </c>
      <c r="M5699" s="17">
        <v>144</v>
      </c>
      <c r="N5699" s="17">
        <v>1</v>
      </c>
      <c r="O5699" s="18">
        <v>770.84</v>
      </c>
      <c r="P5699" s="18">
        <v>631.84</v>
      </c>
      <c r="Q5699" s="18">
        <v>616.66999999999996</v>
      </c>
      <c r="R5699" s="18">
        <v>505.47</v>
      </c>
      <c r="S5699" s="18">
        <v>524.16999999999996</v>
      </c>
      <c r="T5699" s="18">
        <v>429.65</v>
      </c>
      <c r="U5699" s="16"/>
      <c r="V5699" s="16"/>
      <c r="W5699" s="16" t="s">
        <v>40</v>
      </c>
      <c r="X5699" s="19">
        <v>3.3000000000000002E-2</v>
      </c>
      <c r="Y5699" s="20">
        <v>2.3000000000000001E-4</v>
      </c>
      <c r="Z5699" s="21">
        <v>4601004095489</v>
      </c>
    </row>
    <row r="5700" spans="1:26" ht="12" customHeight="1" outlineLevel="3" x14ac:dyDescent="0.2">
      <c r="A5700" s="14" t="s">
        <v>11024</v>
      </c>
      <c r="B5700" s="26" t="s">
        <v>11025</v>
      </c>
      <c r="C5700" s="52"/>
      <c r="D5700" s="55">
        <f t="shared" si="88"/>
        <v>0</v>
      </c>
      <c r="E5700" s="63" t="str">
        <f>HYPERLINK("https://www.sds-group.ru/product/neodimovyy-magnit-pryamougolnik-20h10h2mm-stseplenie-2-4kg-5-sht-up-rexant-72-3404/", "Инфо")</f>
        <v>Инфо</v>
      </c>
      <c r="F5700" s="16" t="s">
        <v>1001</v>
      </c>
      <c r="G5700" s="15"/>
      <c r="H5700" s="15"/>
      <c r="I5700" s="15"/>
      <c r="J5700" s="16" t="s">
        <v>100</v>
      </c>
      <c r="K5700" s="15" t="s">
        <v>6181</v>
      </c>
      <c r="L5700" s="17">
        <v>1</v>
      </c>
      <c r="M5700" s="17">
        <v>144</v>
      </c>
      <c r="N5700" s="17">
        <v>1</v>
      </c>
      <c r="O5700" s="18">
        <v>756.11</v>
      </c>
      <c r="P5700" s="18">
        <v>619.76</v>
      </c>
      <c r="Q5700" s="18">
        <v>604.89</v>
      </c>
      <c r="R5700" s="18">
        <v>495.81</v>
      </c>
      <c r="S5700" s="18">
        <v>514.15</v>
      </c>
      <c r="T5700" s="18">
        <v>421.43</v>
      </c>
      <c r="U5700" s="16"/>
      <c r="V5700" s="16"/>
      <c r="W5700" s="16" t="s">
        <v>40</v>
      </c>
      <c r="X5700" s="19">
        <v>3.4000000000000002E-2</v>
      </c>
      <c r="Y5700" s="20">
        <v>2.3699999999999999E-4</v>
      </c>
      <c r="Z5700" s="21">
        <v>4601004095496</v>
      </c>
    </row>
    <row r="5701" spans="1:26" ht="12" customHeight="1" outlineLevel="3" x14ac:dyDescent="0.2">
      <c r="A5701" s="14" t="s">
        <v>11026</v>
      </c>
      <c r="B5701" s="26" t="s">
        <v>11027</v>
      </c>
      <c r="C5701" s="52"/>
      <c r="D5701" s="55">
        <f t="shared" si="88"/>
        <v>0</v>
      </c>
      <c r="E5701" s="63" t="str">
        <f>HYPERLINK("https://www.sds-group.ru/product/neodimovyy-magnit-pryamougolnik-40h40h4mm-stseplenie-15-5kg-rexant-72-3401/", "Инфо")</f>
        <v>Инфо</v>
      </c>
      <c r="F5701" s="16" t="s">
        <v>39</v>
      </c>
      <c r="G5701" s="15"/>
      <c r="H5701" s="15"/>
      <c r="I5701" s="15"/>
      <c r="J5701" s="17">
        <v>310</v>
      </c>
      <c r="K5701" s="15"/>
      <c r="L5701" s="17">
        <v>1</v>
      </c>
      <c r="M5701" s="17">
        <v>144</v>
      </c>
      <c r="N5701" s="17">
        <v>1</v>
      </c>
      <c r="O5701" s="18">
        <v>2451.2199999999998</v>
      </c>
      <c r="P5701" s="18">
        <v>2009.2</v>
      </c>
      <c r="Q5701" s="18">
        <v>1887.44</v>
      </c>
      <c r="R5701" s="18">
        <v>1547.08</v>
      </c>
      <c r="S5701" s="18">
        <v>1666.83</v>
      </c>
      <c r="T5701" s="18">
        <v>1366.25</v>
      </c>
      <c r="U5701" s="16"/>
      <c r="V5701" s="16"/>
      <c r="W5701" s="16" t="s">
        <v>40</v>
      </c>
      <c r="X5701" s="19">
        <v>6.7000000000000004E-2</v>
      </c>
      <c r="Y5701" s="20">
        <v>2.24E-4</v>
      </c>
      <c r="Z5701" s="21">
        <v>4601004091214</v>
      </c>
    </row>
    <row r="5702" spans="1:26" ht="12" customHeight="1" outlineLevel="3" x14ac:dyDescent="0.2">
      <c r="A5702" s="14" t="s">
        <v>11028</v>
      </c>
      <c r="B5702" s="26" t="s">
        <v>11029</v>
      </c>
      <c r="C5702" s="52"/>
      <c r="D5702" s="55">
        <f t="shared" si="88"/>
        <v>0</v>
      </c>
      <c r="E5702" s="63" t="str">
        <f>HYPERLINK("https://www.sds-group.ru/product/neodimovyy-magnitnyy-disk-10h3mm-s-zenkovkoy-7h3-5mm-6-sht-up-rexant-72-3601/", "Инфо")</f>
        <v>Инфо</v>
      </c>
      <c r="F5702" s="16" t="s">
        <v>1001</v>
      </c>
      <c r="G5702" s="15"/>
      <c r="H5702" s="15"/>
      <c r="I5702" s="15"/>
      <c r="J5702" s="16" t="s">
        <v>100</v>
      </c>
      <c r="K5702" s="15" t="s">
        <v>6633</v>
      </c>
      <c r="L5702" s="17">
        <v>1</v>
      </c>
      <c r="M5702" s="17">
        <v>144</v>
      </c>
      <c r="N5702" s="17">
        <v>1</v>
      </c>
      <c r="O5702" s="18">
        <v>709.67</v>
      </c>
      <c r="P5702" s="18">
        <v>581.70000000000005</v>
      </c>
      <c r="Q5702" s="18">
        <v>567.74</v>
      </c>
      <c r="R5702" s="18">
        <v>465.36</v>
      </c>
      <c r="S5702" s="18">
        <v>482.58</v>
      </c>
      <c r="T5702" s="18">
        <v>395.56</v>
      </c>
      <c r="U5702" s="16"/>
      <c r="V5702" s="16"/>
      <c r="W5702" s="16" t="s">
        <v>40</v>
      </c>
      <c r="X5702" s="19">
        <v>2.7E-2</v>
      </c>
      <c r="Y5702" s="20">
        <v>2.2599999999999999E-4</v>
      </c>
      <c r="Z5702" s="21">
        <v>4601004135031</v>
      </c>
    </row>
    <row r="5703" spans="1:26" ht="12" customHeight="1" outlineLevel="3" x14ac:dyDescent="0.2">
      <c r="A5703" s="14" t="s">
        <v>11030</v>
      </c>
      <c r="B5703" s="26" t="s">
        <v>11031</v>
      </c>
      <c r="C5703" s="52"/>
      <c r="D5703" s="55">
        <f t="shared" si="88"/>
        <v>0</v>
      </c>
      <c r="E5703" s="63" t="str">
        <f>HYPERLINK("https://www.sds-group.ru/product/neodimovyy-magnitnyy-disk-15h5mm-s-zenkovkoy-10h4-5mm-2-sht-up-rexant-72-3602/", "Инфо")</f>
        <v>Инфо</v>
      </c>
      <c r="F5703" s="16" t="s">
        <v>1001</v>
      </c>
      <c r="G5703" s="15"/>
      <c r="H5703" s="15"/>
      <c r="I5703" s="15"/>
      <c r="J5703" s="16" t="s">
        <v>100</v>
      </c>
      <c r="K5703" s="15" t="s">
        <v>6633</v>
      </c>
      <c r="L5703" s="17">
        <v>1</v>
      </c>
      <c r="M5703" s="17">
        <v>144</v>
      </c>
      <c r="N5703" s="17">
        <v>1</v>
      </c>
      <c r="O5703" s="18">
        <v>646.21</v>
      </c>
      <c r="P5703" s="18">
        <v>529.67999999999995</v>
      </c>
      <c r="Q5703" s="18">
        <v>516.97</v>
      </c>
      <c r="R5703" s="18">
        <v>423.75</v>
      </c>
      <c r="S5703" s="18">
        <v>439.42</v>
      </c>
      <c r="T5703" s="18">
        <v>360.18</v>
      </c>
      <c r="U5703" s="16"/>
      <c r="V5703" s="16"/>
      <c r="W5703" s="16" t="s">
        <v>40</v>
      </c>
      <c r="X5703" s="19">
        <v>0.03</v>
      </c>
      <c r="Y5703" s="20">
        <v>2.34E-4</v>
      </c>
      <c r="Z5703" s="21">
        <v>4601004134966</v>
      </c>
    </row>
    <row r="5704" spans="1:26" ht="12" customHeight="1" outlineLevel="3" x14ac:dyDescent="0.2">
      <c r="A5704" s="14" t="s">
        <v>11032</v>
      </c>
      <c r="B5704" s="26" t="s">
        <v>11033</v>
      </c>
      <c r="C5704" s="52"/>
      <c r="D5704" s="55">
        <f t="shared" si="88"/>
        <v>0</v>
      </c>
      <c r="E5704" s="63" t="str">
        <f>HYPERLINK("https://www.sds-group.ru/product/neodimovyy-magnitnyy-disk-20h5mm-s-zenkovkoy-10h4-5mm-2-sht-up-rexant-72-3603/", "Инфо")</f>
        <v>Инфо</v>
      </c>
      <c r="F5704" s="16" t="s">
        <v>1001</v>
      </c>
      <c r="G5704" s="15"/>
      <c r="H5704" s="15"/>
      <c r="I5704" s="15"/>
      <c r="J5704" s="16" t="s">
        <v>100</v>
      </c>
      <c r="K5704" s="15" t="s">
        <v>6633</v>
      </c>
      <c r="L5704" s="17">
        <v>1</v>
      </c>
      <c r="M5704" s="17">
        <v>144</v>
      </c>
      <c r="N5704" s="17">
        <v>1</v>
      </c>
      <c r="O5704" s="18">
        <v>1065.22</v>
      </c>
      <c r="P5704" s="18">
        <v>873.13</v>
      </c>
      <c r="Q5704" s="18">
        <v>852.18</v>
      </c>
      <c r="R5704" s="18">
        <v>698.51</v>
      </c>
      <c r="S5704" s="18">
        <v>724.35</v>
      </c>
      <c r="T5704" s="18">
        <v>593.73</v>
      </c>
      <c r="U5704" s="16"/>
      <c r="V5704" s="16"/>
      <c r="W5704" s="16" t="s">
        <v>40</v>
      </c>
      <c r="X5704" s="19">
        <v>0.04</v>
      </c>
      <c r="Y5704" s="20">
        <v>2.3000000000000001E-4</v>
      </c>
      <c r="Z5704" s="21">
        <v>4601004134973</v>
      </c>
    </row>
    <row r="5705" spans="1:26" ht="12" customHeight="1" outlineLevel="3" x14ac:dyDescent="0.2">
      <c r="A5705" s="14" t="s">
        <v>11034</v>
      </c>
      <c r="B5705" s="26" t="s">
        <v>11035</v>
      </c>
      <c r="C5705" s="52"/>
      <c r="D5705" s="55">
        <f t="shared" ref="D5705:D5767" si="89">C5705*(O5705-O5705*$G$3)</f>
        <v>0</v>
      </c>
      <c r="E5705" s="63" t="str">
        <f>HYPERLINK("https://www.sds-group.ru/product/neodimovyy-magnitnyy-disk-30h5mm-s-zenkovkoy-10h5-5mm-1-sht-up-rexant-72-3604/", "Инфо")</f>
        <v>Инфо</v>
      </c>
      <c r="F5705" s="16" t="s">
        <v>1001</v>
      </c>
      <c r="G5705" s="15"/>
      <c r="H5705" s="15"/>
      <c r="I5705" s="15"/>
      <c r="J5705" s="16" t="s">
        <v>100</v>
      </c>
      <c r="K5705" s="15" t="s">
        <v>6633</v>
      </c>
      <c r="L5705" s="17">
        <v>1</v>
      </c>
      <c r="M5705" s="17">
        <v>144</v>
      </c>
      <c r="N5705" s="17">
        <v>1</v>
      </c>
      <c r="O5705" s="18">
        <v>934.54</v>
      </c>
      <c r="P5705" s="18">
        <v>766.02</v>
      </c>
      <c r="Q5705" s="18">
        <v>747.63</v>
      </c>
      <c r="R5705" s="18">
        <v>612.80999999999995</v>
      </c>
      <c r="S5705" s="18">
        <v>635.49</v>
      </c>
      <c r="T5705" s="18">
        <v>520.89</v>
      </c>
      <c r="U5705" s="16"/>
      <c r="V5705" s="16"/>
      <c r="W5705" s="16" t="s">
        <v>40</v>
      </c>
      <c r="X5705" s="19">
        <v>4.2999999999999997E-2</v>
      </c>
      <c r="Y5705" s="20">
        <v>2.2800000000000001E-4</v>
      </c>
      <c r="Z5705" s="21">
        <v>4601004134980</v>
      </c>
    </row>
    <row r="5706" spans="1:26" ht="12" customHeight="1" outlineLevel="3" x14ac:dyDescent="0.2">
      <c r="A5706" s="14" t="s">
        <v>11036</v>
      </c>
      <c r="B5706" s="26" t="s">
        <v>11037</v>
      </c>
      <c r="C5706" s="52"/>
      <c r="D5706" s="55">
        <f t="shared" si="89"/>
        <v>0</v>
      </c>
      <c r="E5706" s="63" t="str">
        <f>HYPERLINK("https://www.sds-group.ru/product/neodimovyy-magnitnyy-pryamougolnik-10h10h3mm-s-zenkovkoy-6h3-5mm-3-sht-up-rexant-72-3700/", "Инфо")</f>
        <v>Инфо</v>
      </c>
      <c r="F5706" s="16" t="s">
        <v>39</v>
      </c>
      <c r="G5706" s="15"/>
      <c r="H5706" s="15"/>
      <c r="I5706" s="15"/>
      <c r="J5706" s="17">
        <v>224</v>
      </c>
      <c r="K5706" s="15" t="s">
        <v>6181</v>
      </c>
      <c r="L5706" s="17">
        <v>1</v>
      </c>
      <c r="M5706" s="17">
        <v>144</v>
      </c>
      <c r="N5706" s="17">
        <v>1</v>
      </c>
      <c r="O5706" s="18">
        <v>555.39</v>
      </c>
      <c r="P5706" s="18">
        <v>455.24</v>
      </c>
      <c r="Q5706" s="18">
        <v>444.31</v>
      </c>
      <c r="R5706" s="18">
        <v>364.19</v>
      </c>
      <c r="S5706" s="18">
        <v>377.67</v>
      </c>
      <c r="T5706" s="18">
        <v>309.57</v>
      </c>
      <c r="U5706" s="16"/>
      <c r="V5706" s="16"/>
      <c r="W5706" s="16" t="s">
        <v>40</v>
      </c>
      <c r="X5706" s="19">
        <v>2.5999999999999999E-2</v>
      </c>
      <c r="Y5706" s="20">
        <v>2.4000000000000001E-4</v>
      </c>
      <c r="Z5706" s="21">
        <v>4601004138315</v>
      </c>
    </row>
    <row r="5707" spans="1:26" ht="12" customHeight="1" outlineLevel="3" x14ac:dyDescent="0.2">
      <c r="A5707" s="14" t="s">
        <v>11038</v>
      </c>
      <c r="B5707" s="26" t="s">
        <v>11039</v>
      </c>
      <c r="C5707" s="52"/>
      <c r="D5707" s="55">
        <f t="shared" si="89"/>
        <v>0</v>
      </c>
      <c r="E5707" s="63" t="str">
        <f>HYPERLINK("https://www.sds-group.ru/product/neodimovyy-magnitnyy-pryamougolnik-20h10h3mm-s-zenkovkoy-6-5h3mm-2-sht-up-rexant-72-3702/", "Инфо")</f>
        <v>Инфо</v>
      </c>
      <c r="F5707" s="16" t="s">
        <v>1001</v>
      </c>
      <c r="G5707" s="15"/>
      <c r="H5707" s="15"/>
      <c r="I5707" s="15"/>
      <c r="J5707" s="16" t="s">
        <v>100</v>
      </c>
      <c r="K5707" s="15" t="s">
        <v>6633</v>
      </c>
      <c r="L5707" s="17">
        <v>1</v>
      </c>
      <c r="M5707" s="17">
        <v>144</v>
      </c>
      <c r="N5707" s="17">
        <v>1</v>
      </c>
      <c r="O5707" s="18">
        <v>599.98</v>
      </c>
      <c r="P5707" s="18">
        <v>491.79</v>
      </c>
      <c r="Q5707" s="18">
        <v>479.98</v>
      </c>
      <c r="R5707" s="18">
        <v>393.43</v>
      </c>
      <c r="S5707" s="18">
        <v>407.99</v>
      </c>
      <c r="T5707" s="18">
        <v>334.42</v>
      </c>
      <c r="U5707" s="16"/>
      <c r="V5707" s="16"/>
      <c r="W5707" s="16" t="s">
        <v>40</v>
      </c>
      <c r="X5707" s="19">
        <v>2.8000000000000001E-2</v>
      </c>
      <c r="Y5707" s="20">
        <v>2.2699999999999999E-4</v>
      </c>
      <c r="Z5707" s="21">
        <v>4601004135000</v>
      </c>
    </row>
    <row r="5708" spans="1:26" ht="12" customHeight="1" outlineLevel="3" x14ac:dyDescent="0.2">
      <c r="A5708" s="14" t="s">
        <v>11040</v>
      </c>
      <c r="B5708" s="26" t="s">
        <v>11041</v>
      </c>
      <c r="C5708" s="52"/>
      <c r="D5708" s="55">
        <f t="shared" si="89"/>
        <v>0</v>
      </c>
      <c r="E5708" s="63" t="str">
        <f>HYPERLINK("https://www.sds-group.ru/product/neodimovyy-magnitnyy-pryamougolnik-35h15h3mm-s-2-zenkovkami-8h4mm-1-sht-up-rexant-72-3703/", "Инфо")</f>
        <v>Инфо</v>
      </c>
      <c r="F5708" s="16" t="s">
        <v>1001</v>
      </c>
      <c r="G5708" s="15"/>
      <c r="H5708" s="15"/>
      <c r="I5708" s="15"/>
      <c r="J5708" s="16" t="s">
        <v>100</v>
      </c>
      <c r="K5708" s="15" t="s">
        <v>6181</v>
      </c>
      <c r="L5708" s="17">
        <v>1</v>
      </c>
      <c r="M5708" s="17">
        <v>144</v>
      </c>
      <c r="N5708" s="17">
        <v>1</v>
      </c>
      <c r="O5708" s="18">
        <v>757.97</v>
      </c>
      <c r="P5708" s="18">
        <v>621.29</v>
      </c>
      <c r="Q5708" s="18">
        <v>606.38</v>
      </c>
      <c r="R5708" s="18">
        <v>497.03</v>
      </c>
      <c r="S5708" s="18">
        <v>515.41999999999996</v>
      </c>
      <c r="T5708" s="18">
        <v>422.48</v>
      </c>
      <c r="U5708" s="16"/>
      <c r="V5708" s="16"/>
      <c r="W5708" s="16" t="s">
        <v>40</v>
      </c>
      <c r="X5708" s="19">
        <v>0.03</v>
      </c>
      <c r="Y5708" s="20">
        <v>2.2900000000000001E-4</v>
      </c>
      <c r="Z5708" s="21">
        <v>4601004135017</v>
      </c>
    </row>
    <row r="5709" spans="1:26" ht="12.95" customHeight="1" outlineLevel="1" x14ac:dyDescent="0.2">
      <c r="A5709" s="78" t="s">
        <v>11042</v>
      </c>
      <c r="B5709" s="78"/>
      <c r="C5709" s="79"/>
      <c r="D5709" s="57"/>
      <c r="E5709" s="67"/>
      <c r="F5709" s="12"/>
      <c r="G5709" s="12"/>
      <c r="H5709" s="12"/>
      <c r="I5709" s="12"/>
      <c r="J5709" s="12"/>
      <c r="K5709" s="12"/>
      <c r="L5709" s="12"/>
      <c r="M5709" s="12"/>
      <c r="N5709" s="12"/>
      <c r="O5709" s="12"/>
      <c r="P5709" s="12"/>
      <c r="Q5709" s="12"/>
      <c r="R5709" s="12"/>
      <c r="S5709" s="12"/>
      <c r="T5709" s="12"/>
      <c r="U5709" s="12"/>
      <c r="V5709" s="12"/>
      <c r="W5709" s="12"/>
      <c r="X5709" s="12"/>
      <c r="Y5709" s="12"/>
      <c r="Z5709" s="12"/>
    </row>
    <row r="5710" spans="1:26" ht="12.95" customHeight="1" outlineLevel="2" x14ac:dyDescent="0.2">
      <c r="A5710" s="76" t="s">
        <v>11043</v>
      </c>
      <c r="B5710" s="76"/>
      <c r="C5710" s="77"/>
      <c r="D5710" s="58"/>
      <c r="E5710" s="68"/>
      <c r="F5710" s="13"/>
      <c r="G5710" s="13"/>
      <c r="H5710" s="13"/>
      <c r="I5710" s="13"/>
      <c r="J5710" s="13"/>
      <c r="K5710" s="13"/>
      <c r="L5710" s="13"/>
      <c r="M5710" s="13"/>
      <c r="N5710" s="13"/>
      <c r="O5710" s="13"/>
      <c r="P5710" s="13"/>
      <c r="Q5710" s="13"/>
      <c r="R5710" s="13"/>
      <c r="S5710" s="13"/>
      <c r="T5710" s="13"/>
      <c r="U5710" s="13"/>
      <c r="V5710" s="13"/>
      <c r="W5710" s="13"/>
      <c r="X5710" s="13"/>
      <c r="Y5710" s="13"/>
      <c r="Z5710" s="13"/>
    </row>
    <row r="5711" spans="1:26" ht="12.95" customHeight="1" outlineLevel="3" x14ac:dyDescent="0.2">
      <c r="A5711" s="76" t="s">
        <v>11044</v>
      </c>
      <c r="B5711" s="76"/>
      <c r="C5711" s="77"/>
      <c r="D5711" s="58"/>
      <c r="E5711" s="68"/>
      <c r="F5711" s="13"/>
      <c r="G5711" s="13"/>
      <c r="H5711" s="13"/>
      <c r="I5711" s="13"/>
      <c r="J5711" s="13"/>
      <c r="K5711" s="13"/>
      <c r="L5711" s="13"/>
      <c r="M5711" s="13"/>
      <c r="N5711" s="13"/>
      <c r="O5711" s="13"/>
      <c r="P5711" s="13"/>
      <c r="Q5711" s="13"/>
      <c r="R5711" s="13"/>
      <c r="S5711" s="13"/>
      <c r="T5711" s="13"/>
      <c r="U5711" s="13"/>
      <c r="V5711" s="13"/>
      <c r="W5711" s="13"/>
      <c r="X5711" s="13"/>
      <c r="Y5711" s="13"/>
      <c r="Z5711" s="13"/>
    </row>
    <row r="5712" spans="1:26" ht="12" customHeight="1" outlineLevel="4" x14ac:dyDescent="0.2">
      <c r="A5712" s="14" t="s">
        <v>11045</v>
      </c>
      <c r="B5712" s="26" t="s">
        <v>11046</v>
      </c>
      <c r="C5712" s="52"/>
      <c r="D5712" s="55">
        <f t="shared" si="89"/>
        <v>0</v>
      </c>
      <c r="E5712" s="63" t="str">
        <f>HYPERLINK("https://www.sds-group.ru/product/malyarnaya-lenta-krepp-25-mm-rulon-20-m-09-4422/", "Инфо")</f>
        <v>Инфо</v>
      </c>
      <c r="F5712" s="16" t="s">
        <v>39</v>
      </c>
      <c r="G5712" s="15"/>
      <c r="H5712" s="15"/>
      <c r="I5712" s="15"/>
      <c r="J5712" s="22">
        <v>1199</v>
      </c>
      <c r="K5712" s="15"/>
      <c r="L5712" s="17">
        <v>6</v>
      </c>
      <c r="M5712" s="17">
        <v>72</v>
      </c>
      <c r="N5712" s="17">
        <v>6</v>
      </c>
      <c r="O5712" s="18">
        <v>108.02</v>
      </c>
      <c r="P5712" s="18">
        <v>88.54</v>
      </c>
      <c r="Q5712" s="18">
        <v>102.62</v>
      </c>
      <c r="R5712" s="18">
        <v>84.11</v>
      </c>
      <c r="S5712" s="18">
        <v>73.45</v>
      </c>
      <c r="T5712" s="18">
        <v>60.2</v>
      </c>
      <c r="U5712" s="16"/>
      <c r="V5712" s="16"/>
      <c r="W5712" s="16" t="s">
        <v>40</v>
      </c>
      <c r="X5712" s="19">
        <v>5.5E-2</v>
      </c>
      <c r="Y5712" s="20">
        <v>3.1500000000000001E-4</v>
      </c>
      <c r="Z5712" s="21">
        <v>4601004241497</v>
      </c>
    </row>
    <row r="5713" spans="1:26" ht="12" customHeight="1" outlineLevel="4" x14ac:dyDescent="0.2">
      <c r="A5713" s="14" t="s">
        <v>11047</v>
      </c>
      <c r="B5713" s="26" t="s">
        <v>11048</v>
      </c>
      <c r="C5713" s="52"/>
      <c r="D5713" s="55">
        <f t="shared" si="89"/>
        <v>0</v>
      </c>
      <c r="E5713" s="63" t="str">
        <f>HYPERLINK("https://www.sds-group.ru/product/malyarnaya-lenta-krepp-38-mm-rulon-20-m-09-4432/", "Инфо")</f>
        <v>Инфо</v>
      </c>
      <c r="F5713" s="16" t="s">
        <v>39</v>
      </c>
      <c r="G5713" s="15"/>
      <c r="H5713" s="15"/>
      <c r="I5713" s="15"/>
      <c r="J5713" s="22">
        <v>1008</v>
      </c>
      <c r="K5713" s="15" t="s">
        <v>1381</v>
      </c>
      <c r="L5713" s="17">
        <v>6</v>
      </c>
      <c r="M5713" s="17">
        <v>48</v>
      </c>
      <c r="N5713" s="17">
        <v>6</v>
      </c>
      <c r="O5713" s="18">
        <v>152.35</v>
      </c>
      <c r="P5713" s="18">
        <v>124.88</v>
      </c>
      <c r="Q5713" s="18">
        <v>144.72999999999999</v>
      </c>
      <c r="R5713" s="18">
        <v>118.63</v>
      </c>
      <c r="S5713" s="18">
        <v>103.6</v>
      </c>
      <c r="T5713" s="18">
        <v>84.92</v>
      </c>
      <c r="U5713" s="16"/>
      <c r="V5713" s="16"/>
      <c r="W5713" s="16" t="s">
        <v>40</v>
      </c>
      <c r="X5713" s="19">
        <v>8.4000000000000005E-2</v>
      </c>
      <c r="Y5713" s="20">
        <v>4.6200000000000001E-4</v>
      </c>
      <c r="Z5713" s="21">
        <v>4601004241459</v>
      </c>
    </row>
    <row r="5714" spans="1:26" ht="12" customHeight="1" outlineLevel="4" x14ac:dyDescent="0.2">
      <c r="A5714" s="14" t="s">
        <v>11049</v>
      </c>
      <c r="B5714" s="26" t="s">
        <v>11050</v>
      </c>
      <c r="C5714" s="52"/>
      <c r="D5714" s="55">
        <f t="shared" si="89"/>
        <v>0</v>
      </c>
      <c r="E5714" s="63" t="str">
        <f>HYPERLINK("https://www.sds-group.ru/product/malyarnaya-lenta-krepp-48-mm-rulon-20-m-09-4442/", "Инфо")</f>
        <v>Инфо</v>
      </c>
      <c r="F5714" s="16" t="s">
        <v>39</v>
      </c>
      <c r="G5714" s="15"/>
      <c r="H5714" s="15"/>
      <c r="I5714" s="15"/>
      <c r="J5714" s="17">
        <v>29</v>
      </c>
      <c r="K5714" s="15" t="s">
        <v>1381</v>
      </c>
      <c r="L5714" s="17">
        <v>6</v>
      </c>
      <c r="M5714" s="17">
        <v>36</v>
      </c>
      <c r="N5714" s="17">
        <v>6</v>
      </c>
      <c r="O5714" s="18">
        <v>193.92</v>
      </c>
      <c r="P5714" s="18">
        <v>158.94999999999999</v>
      </c>
      <c r="Q5714" s="18">
        <v>184.22</v>
      </c>
      <c r="R5714" s="18">
        <v>151</v>
      </c>
      <c r="S5714" s="18">
        <v>131.87</v>
      </c>
      <c r="T5714" s="18">
        <v>108.09</v>
      </c>
      <c r="U5714" s="16"/>
      <c r="V5714" s="16"/>
      <c r="W5714" s="16" t="s">
        <v>40</v>
      </c>
      <c r="X5714" s="19">
        <v>0.10299999999999999</v>
      </c>
      <c r="Y5714" s="20">
        <v>5.9100000000000005E-4</v>
      </c>
      <c r="Z5714" s="21">
        <v>4601004241466</v>
      </c>
    </row>
    <row r="5715" spans="1:26" ht="12" customHeight="1" outlineLevel="4" x14ac:dyDescent="0.2">
      <c r="A5715" s="14" t="s">
        <v>11051</v>
      </c>
      <c r="B5715" s="26" t="s">
        <v>11052</v>
      </c>
      <c r="C5715" s="52"/>
      <c r="D5715" s="55">
        <f t="shared" si="89"/>
        <v>0</v>
      </c>
      <c r="E5715" s="63" t="str">
        <f>HYPERLINK("https://www.sds-group.ru/product/malyarnaya-lenta-krepp-48-mm-rulon-30-m-09-4443/", "Инфо")</f>
        <v>Инфо</v>
      </c>
      <c r="F5715" s="16" t="s">
        <v>39</v>
      </c>
      <c r="G5715" s="15"/>
      <c r="H5715" s="15"/>
      <c r="I5715" s="15"/>
      <c r="J5715" s="17">
        <v>86</v>
      </c>
      <c r="K5715" s="15" t="s">
        <v>1381</v>
      </c>
      <c r="L5715" s="17">
        <v>6</v>
      </c>
      <c r="M5715" s="17">
        <v>36</v>
      </c>
      <c r="N5715" s="17">
        <v>6</v>
      </c>
      <c r="O5715" s="18">
        <v>293.64</v>
      </c>
      <c r="P5715" s="18">
        <v>240.69</v>
      </c>
      <c r="Q5715" s="18">
        <v>278.95999999999998</v>
      </c>
      <c r="R5715" s="18">
        <v>228.66</v>
      </c>
      <c r="S5715" s="18">
        <v>199.68</v>
      </c>
      <c r="T5715" s="18">
        <v>163.66999999999999</v>
      </c>
      <c r="U5715" s="16"/>
      <c r="V5715" s="16"/>
      <c r="W5715" s="16" t="s">
        <v>40</v>
      </c>
      <c r="X5715" s="19">
        <v>0.14199999999999999</v>
      </c>
      <c r="Y5715" s="20">
        <v>6.3500000000000004E-4</v>
      </c>
      <c r="Z5715" s="21">
        <v>4601004241473</v>
      </c>
    </row>
    <row r="5716" spans="1:26" ht="12" customHeight="1" outlineLevel="4" x14ac:dyDescent="0.2">
      <c r="A5716" s="14" t="s">
        <v>11053</v>
      </c>
      <c r="B5716" s="26" t="s">
        <v>11054</v>
      </c>
      <c r="C5716" s="52"/>
      <c r="D5716" s="55">
        <f t="shared" si="89"/>
        <v>0</v>
      </c>
      <c r="E5716" s="63" t="str">
        <f>HYPERLINK("https://www.sds-group.ru/product/malyarnaya-lenta-krepp-48-mm-rulon-50-m-09-4445/", "Инфо")</f>
        <v>Инфо</v>
      </c>
      <c r="F5716" s="16" t="s">
        <v>39</v>
      </c>
      <c r="G5716" s="15"/>
      <c r="H5716" s="15"/>
      <c r="I5716" s="15"/>
      <c r="J5716" s="17">
        <v>62</v>
      </c>
      <c r="K5716" s="15" t="s">
        <v>1381</v>
      </c>
      <c r="L5716" s="17">
        <v>6</v>
      </c>
      <c r="M5716" s="17">
        <v>36</v>
      </c>
      <c r="N5716" s="17">
        <v>6</v>
      </c>
      <c r="O5716" s="18">
        <v>473.69</v>
      </c>
      <c r="P5716" s="18">
        <v>388.27</v>
      </c>
      <c r="Q5716" s="18">
        <v>450.01</v>
      </c>
      <c r="R5716" s="18">
        <v>368.86</v>
      </c>
      <c r="S5716" s="18">
        <v>322.11</v>
      </c>
      <c r="T5716" s="18">
        <v>264.02</v>
      </c>
      <c r="U5716" s="16"/>
      <c r="V5716" s="16"/>
      <c r="W5716" s="16" t="s">
        <v>40</v>
      </c>
      <c r="X5716" s="19">
        <v>0.219</v>
      </c>
      <c r="Y5716" s="20">
        <v>8.4400000000000002E-4</v>
      </c>
      <c r="Z5716" s="21">
        <v>4601004241480</v>
      </c>
    </row>
    <row r="5717" spans="1:26" ht="12.95" customHeight="1" outlineLevel="2" x14ac:dyDescent="0.2">
      <c r="A5717" s="76" t="s">
        <v>11055</v>
      </c>
      <c r="B5717" s="76"/>
      <c r="C5717" s="77"/>
      <c r="D5717" s="58"/>
      <c r="E5717" s="68"/>
      <c r="F5717" s="13"/>
      <c r="G5717" s="13"/>
      <c r="H5717" s="13"/>
      <c r="I5717" s="13"/>
      <c r="J5717" s="13"/>
      <c r="K5717" s="13"/>
      <c r="L5717" s="13"/>
      <c r="M5717" s="13"/>
      <c r="N5717" s="13"/>
      <c r="O5717" s="13"/>
      <c r="P5717" s="13"/>
      <c r="Q5717" s="13"/>
      <c r="R5717" s="13"/>
      <c r="S5717" s="13"/>
      <c r="T5717" s="13"/>
      <c r="U5717" s="13"/>
      <c r="V5717" s="13"/>
      <c r="W5717" s="13"/>
      <c r="X5717" s="13"/>
      <c r="Y5717" s="13"/>
      <c r="Z5717" s="13"/>
    </row>
    <row r="5718" spans="1:26" ht="12.95" customHeight="1" outlineLevel="3" x14ac:dyDescent="0.2">
      <c r="A5718" s="82" t="s">
        <v>11056</v>
      </c>
      <c r="B5718" s="82"/>
      <c r="C5718" s="83"/>
      <c r="D5718" s="59"/>
      <c r="E5718" s="69"/>
      <c r="F5718" s="23"/>
      <c r="G5718" s="23"/>
      <c r="H5718" s="23"/>
      <c r="I5718" s="23"/>
      <c r="J5718" s="23"/>
      <c r="K5718" s="23"/>
      <c r="L5718" s="23"/>
      <c r="M5718" s="23"/>
      <c r="N5718" s="23"/>
      <c r="O5718" s="23"/>
      <c r="P5718" s="23"/>
      <c r="Q5718" s="23"/>
      <c r="R5718" s="23"/>
      <c r="S5718" s="23"/>
      <c r="T5718" s="23"/>
      <c r="U5718" s="23"/>
      <c r="V5718" s="23"/>
      <c r="W5718" s="23"/>
      <c r="X5718" s="23"/>
      <c r="Y5718" s="23"/>
      <c r="Z5718" s="23"/>
    </row>
    <row r="5719" spans="1:26" ht="12" customHeight="1" outlineLevel="4" x14ac:dyDescent="0.2">
      <c r="A5719" s="14" t="s">
        <v>11057</v>
      </c>
      <c r="B5719" s="26" t="s">
        <v>11058</v>
      </c>
      <c r="C5719" s="52"/>
      <c r="D5719" s="55">
        <f t="shared" si="89"/>
        <v>0</v>
      </c>
      <c r="E5719" s="63" t="str">
        <f>HYPERLINK("https://www.sds-group.ru/product/valik-poliakril-zelenyy-vors-18-mm-shirina-rolika-180-mm-42-mm-byugel-6mm-d-42-mm-rexant-89-0023/", "Инфо")</f>
        <v>Инфо</v>
      </c>
      <c r="F5719" s="16" t="s">
        <v>39</v>
      </c>
      <c r="G5719" s="15"/>
      <c r="H5719" s="15"/>
      <c r="I5719" s="15"/>
      <c r="J5719" s="16" t="s">
        <v>100</v>
      </c>
      <c r="K5719" s="15" t="s">
        <v>1094</v>
      </c>
      <c r="L5719" s="17">
        <v>5</v>
      </c>
      <c r="M5719" s="17">
        <v>55</v>
      </c>
      <c r="N5719" s="17">
        <v>5</v>
      </c>
      <c r="O5719" s="18">
        <v>341.47</v>
      </c>
      <c r="P5719" s="18">
        <v>279.89</v>
      </c>
      <c r="Q5719" s="18">
        <v>290.25</v>
      </c>
      <c r="R5719" s="18">
        <v>237.91</v>
      </c>
      <c r="S5719" s="18">
        <v>232.2</v>
      </c>
      <c r="T5719" s="18">
        <v>190.33</v>
      </c>
      <c r="U5719" s="16"/>
      <c r="V5719" s="16"/>
      <c r="W5719" s="16" t="s">
        <v>40</v>
      </c>
      <c r="X5719" s="19">
        <v>0.16800000000000001</v>
      </c>
      <c r="Y5719" s="20">
        <v>2.5899999999999999E-3</v>
      </c>
      <c r="Z5719" s="21">
        <v>4601004169418</v>
      </c>
    </row>
    <row r="5720" spans="1:26" ht="12" customHeight="1" outlineLevel="4" x14ac:dyDescent="0.2">
      <c r="A5720" s="14" t="s">
        <v>11059</v>
      </c>
      <c r="B5720" s="26" t="s">
        <v>11060</v>
      </c>
      <c r="C5720" s="52"/>
      <c r="D5720" s="55">
        <f t="shared" si="89"/>
        <v>0</v>
      </c>
      <c r="E5720" s="63" t="str">
        <f>HYPERLINK("https://www.sds-group.ru/product/valik-naturalnyy-meh-besshovnyy-vors-12-mm-shirina-rolika-180-mm-42-mm-byugel-6-mm-rexant-89-0035/", "Инфо")</f>
        <v>Инфо</v>
      </c>
      <c r="F5720" s="16" t="s">
        <v>39</v>
      </c>
      <c r="G5720" s="15"/>
      <c r="H5720" s="15"/>
      <c r="I5720" s="15"/>
      <c r="J5720" s="16" t="s">
        <v>100</v>
      </c>
      <c r="K5720" s="15" t="s">
        <v>1094</v>
      </c>
      <c r="L5720" s="17">
        <v>5</v>
      </c>
      <c r="M5720" s="17">
        <v>40</v>
      </c>
      <c r="N5720" s="17">
        <v>5</v>
      </c>
      <c r="O5720" s="18">
        <v>220.62</v>
      </c>
      <c r="P5720" s="18">
        <v>180.84</v>
      </c>
      <c r="Q5720" s="18">
        <v>187.53</v>
      </c>
      <c r="R5720" s="18">
        <v>153.71</v>
      </c>
      <c r="S5720" s="18">
        <v>150.02000000000001</v>
      </c>
      <c r="T5720" s="18">
        <v>122.97</v>
      </c>
      <c r="U5720" s="16"/>
      <c r="V5720" s="16"/>
      <c r="W5720" s="16" t="s">
        <v>40</v>
      </c>
      <c r="X5720" s="19">
        <v>0.16300000000000001</v>
      </c>
      <c r="Y5720" s="20">
        <v>1.034E-3</v>
      </c>
      <c r="Z5720" s="21">
        <v>4601004316157</v>
      </c>
    </row>
    <row r="5721" spans="1:26" ht="12" customHeight="1" outlineLevel="4" x14ac:dyDescent="0.2">
      <c r="A5721" s="14" t="s">
        <v>11061</v>
      </c>
      <c r="B5721" s="26" t="s">
        <v>11062</v>
      </c>
      <c r="C5721" s="52"/>
      <c r="D5721" s="55">
        <f t="shared" si="89"/>
        <v>0</v>
      </c>
      <c r="E5721" s="63" t="str">
        <f>HYPERLINK("https://www.sds-group.ru/product/valik-velyur-vors-5-mm-shirina-rolika-180-mm-42-mm-byugel-6-mm-rexant-89-0029/", "Инфо")</f>
        <v>Инфо</v>
      </c>
      <c r="F5721" s="16" t="s">
        <v>39</v>
      </c>
      <c r="G5721" s="15"/>
      <c r="H5721" s="15"/>
      <c r="I5721" s="15"/>
      <c r="J5721" s="17">
        <v>566</v>
      </c>
      <c r="K5721" s="15" t="s">
        <v>1094</v>
      </c>
      <c r="L5721" s="17">
        <v>5</v>
      </c>
      <c r="M5721" s="17">
        <v>55</v>
      </c>
      <c r="N5721" s="17">
        <v>5</v>
      </c>
      <c r="O5721" s="18">
        <v>370.07</v>
      </c>
      <c r="P5721" s="18">
        <v>303.33999999999997</v>
      </c>
      <c r="Q5721" s="18">
        <v>259.05</v>
      </c>
      <c r="R5721" s="18">
        <v>212.34</v>
      </c>
      <c r="S5721" s="18">
        <v>251.65</v>
      </c>
      <c r="T5721" s="18">
        <v>206.27</v>
      </c>
      <c r="U5721" s="16"/>
      <c r="V5721" s="16"/>
      <c r="W5721" s="16"/>
      <c r="X5721" s="19">
        <v>0.182</v>
      </c>
      <c r="Y5721" s="20">
        <v>1.2999999999999999E-3</v>
      </c>
      <c r="Z5721" s="21">
        <v>4601004169517</v>
      </c>
    </row>
    <row r="5722" spans="1:26" ht="12" customHeight="1" outlineLevel="4" x14ac:dyDescent="0.2">
      <c r="A5722" s="14" t="s">
        <v>11063</v>
      </c>
      <c r="B5722" s="26" t="s">
        <v>11064</v>
      </c>
      <c r="C5722" s="52"/>
      <c r="D5722" s="55">
        <f t="shared" si="89"/>
        <v>0</v>
      </c>
      <c r="E5722" s="63" t="str">
        <f>HYPERLINK("https://www.sds-group.ru/product/valik-vspenennyy-penopoliuretan-shirina-rolika-240-mm-42-mm-byugel-6-mm-rexant-89-0033/", "Инфо")</f>
        <v>Инфо</v>
      </c>
      <c r="F5722" s="16" t="s">
        <v>39</v>
      </c>
      <c r="G5722" s="15"/>
      <c r="H5722" s="15"/>
      <c r="I5722" s="15"/>
      <c r="J5722" s="17">
        <v>966</v>
      </c>
      <c r="K5722" s="15" t="s">
        <v>1094</v>
      </c>
      <c r="L5722" s="17">
        <v>5</v>
      </c>
      <c r="M5722" s="17">
        <v>35</v>
      </c>
      <c r="N5722" s="17">
        <v>5</v>
      </c>
      <c r="O5722" s="18">
        <v>364.76</v>
      </c>
      <c r="P5722" s="18">
        <v>298.98</v>
      </c>
      <c r="Q5722" s="18">
        <v>255.33</v>
      </c>
      <c r="R5722" s="18">
        <v>209.29</v>
      </c>
      <c r="S5722" s="18">
        <v>248.04</v>
      </c>
      <c r="T5722" s="18">
        <v>203.31</v>
      </c>
      <c r="U5722" s="16"/>
      <c r="V5722" s="16"/>
      <c r="W5722" s="16"/>
      <c r="X5722" s="19">
        <v>0.17399999999999999</v>
      </c>
      <c r="Y5722" s="20">
        <v>5.8570000000000002E-3</v>
      </c>
      <c r="Z5722" s="21">
        <v>4601004169463</v>
      </c>
    </row>
    <row r="5723" spans="1:26" ht="12" customHeight="1" outlineLevel="4" x14ac:dyDescent="0.2">
      <c r="A5723" s="14" t="s">
        <v>11065</v>
      </c>
      <c r="B5723" s="26" t="s">
        <v>11066</v>
      </c>
      <c r="C5723" s="52"/>
      <c r="D5723" s="55">
        <f t="shared" si="89"/>
        <v>0</v>
      </c>
      <c r="E5723" s="63" t="str">
        <f>HYPERLINK("https://www.sds-group.ru/product/valik-mikrofibra-vors-9-mm-shirina-rolika-180-mm-byugel-6-mm-42-mm-rexant-89-0027/", "Инфо")</f>
        <v>Инфо</v>
      </c>
      <c r="F5723" s="16" t="s">
        <v>39</v>
      </c>
      <c r="G5723" s="15"/>
      <c r="H5723" s="15"/>
      <c r="I5723" s="15"/>
      <c r="J5723" s="16" t="s">
        <v>100</v>
      </c>
      <c r="K5723" s="15" t="s">
        <v>1094</v>
      </c>
      <c r="L5723" s="17">
        <v>5</v>
      </c>
      <c r="M5723" s="17">
        <v>55</v>
      </c>
      <c r="N5723" s="17">
        <v>5</v>
      </c>
      <c r="O5723" s="18">
        <v>337.03</v>
      </c>
      <c r="P5723" s="18">
        <v>276.25</v>
      </c>
      <c r="Q5723" s="18">
        <v>235.92</v>
      </c>
      <c r="R5723" s="18">
        <v>193.38</v>
      </c>
      <c r="S5723" s="18">
        <v>229.18</v>
      </c>
      <c r="T5723" s="18">
        <v>187.85</v>
      </c>
      <c r="U5723" s="16"/>
      <c r="V5723" s="16"/>
      <c r="W5723" s="16"/>
      <c r="X5723" s="19">
        <v>0.17899999999999999</v>
      </c>
      <c r="Y5723" s="20">
        <v>3.0620000000000001E-3</v>
      </c>
      <c r="Z5723" s="21">
        <v>4601004169586</v>
      </c>
    </row>
    <row r="5724" spans="1:26" ht="12" customHeight="1" outlineLevel="4" x14ac:dyDescent="0.2">
      <c r="A5724" s="32" t="s">
        <v>11067</v>
      </c>
      <c r="B5724" s="74" t="s">
        <v>11068</v>
      </c>
      <c r="C5724" s="50"/>
      <c r="D5724" s="53">
        <f t="shared" si="89"/>
        <v>0</v>
      </c>
      <c r="E5724" s="60" t="str">
        <f>HYPERLINK("https://www.sds-group.ru/product/valik-poliakril-zelenyy-vors-18-mm-shirina-rolika-180-mm-42-mm-byugel-8-mm-seriya-master-rex-89-0001/", "Инфо")</f>
        <v>Инфо</v>
      </c>
      <c r="F5724" s="34" t="s">
        <v>39</v>
      </c>
      <c r="G5724" s="33"/>
      <c r="H5724" s="33" t="s">
        <v>40</v>
      </c>
      <c r="I5724" s="33"/>
      <c r="J5724" s="35">
        <v>163</v>
      </c>
      <c r="K5724" s="33"/>
      <c r="L5724" s="35">
        <v>1</v>
      </c>
      <c r="M5724" s="35">
        <v>28</v>
      </c>
      <c r="N5724" s="35">
        <v>1</v>
      </c>
      <c r="O5724" s="36">
        <v>424.73</v>
      </c>
      <c r="P5724" s="36">
        <v>348.14</v>
      </c>
      <c r="Q5724" s="36">
        <v>339.78</v>
      </c>
      <c r="R5724" s="36">
        <v>278.51</v>
      </c>
      <c r="S5724" s="36">
        <v>288.82</v>
      </c>
      <c r="T5724" s="36">
        <v>236.74</v>
      </c>
      <c r="U5724" s="34"/>
      <c r="V5724" s="34"/>
      <c r="W5724" s="34" t="s">
        <v>40</v>
      </c>
      <c r="X5724" s="37">
        <v>0.28000000000000003</v>
      </c>
      <c r="Y5724" s="38">
        <v>1.4909999999999999E-3</v>
      </c>
      <c r="Z5724" s="21">
        <v>4601004169401</v>
      </c>
    </row>
    <row r="5725" spans="1:26" ht="12" customHeight="1" outlineLevel="4" x14ac:dyDescent="0.2">
      <c r="A5725" s="14" t="s">
        <v>11069</v>
      </c>
      <c r="B5725" s="26" t="s">
        <v>11070</v>
      </c>
      <c r="C5725" s="52"/>
      <c r="D5725" s="55">
        <f t="shared" si="89"/>
        <v>0</v>
      </c>
      <c r="E5725" s="63" t="str">
        <f>HYPERLINK("https://www.sds-group.ru/product/valik-poliakril-zeleniy-vors-18-mm-shirina-rolika-240-mm-oslash-42-mm-byugel-6-mm-rexant-20753/", "Инфо")</f>
        <v>Инфо</v>
      </c>
      <c r="F5725" s="16" t="s">
        <v>39</v>
      </c>
      <c r="G5725" s="15"/>
      <c r="H5725" s="15"/>
      <c r="I5725" s="15"/>
      <c r="J5725" s="16" t="s">
        <v>100</v>
      </c>
      <c r="K5725" s="15" t="s">
        <v>1094</v>
      </c>
      <c r="L5725" s="17">
        <v>5</v>
      </c>
      <c r="M5725" s="17">
        <v>30</v>
      </c>
      <c r="N5725" s="17">
        <v>5</v>
      </c>
      <c r="O5725" s="18">
        <v>377.58</v>
      </c>
      <c r="P5725" s="18">
        <v>309.49</v>
      </c>
      <c r="Q5725" s="18">
        <v>320.94</v>
      </c>
      <c r="R5725" s="18">
        <v>263.07</v>
      </c>
      <c r="S5725" s="18">
        <v>256.75</v>
      </c>
      <c r="T5725" s="18">
        <v>210.45</v>
      </c>
      <c r="U5725" s="16"/>
      <c r="V5725" s="16"/>
      <c r="W5725" s="16" t="s">
        <v>40</v>
      </c>
      <c r="X5725" s="19">
        <v>0.27100000000000002</v>
      </c>
      <c r="Y5725" s="20">
        <v>2.313E-3</v>
      </c>
      <c r="Z5725" s="21">
        <v>4601004169432</v>
      </c>
    </row>
    <row r="5726" spans="1:26" ht="12" customHeight="1" outlineLevel="4" x14ac:dyDescent="0.2">
      <c r="A5726" s="14" t="s">
        <v>11071</v>
      </c>
      <c r="B5726" s="26" t="s">
        <v>11072</v>
      </c>
      <c r="C5726" s="52"/>
      <c r="D5726" s="55">
        <f t="shared" si="89"/>
        <v>0</v>
      </c>
      <c r="E5726" s="63" t="str">
        <f>HYPERLINK("https://www.sds-group.ru/product/valik-poliakril-zelenyy-vors-18-mm-shirina-rolika-240-mm-42-mm-byugel-8-mm-seriya-master-rex-89-0002/", "Инфо")</f>
        <v>Инфо</v>
      </c>
      <c r="F5726" s="16" t="s">
        <v>39</v>
      </c>
      <c r="G5726" s="15"/>
      <c r="H5726" s="15"/>
      <c r="I5726" s="15"/>
      <c r="J5726" s="17">
        <v>4</v>
      </c>
      <c r="K5726" s="15" t="s">
        <v>1094</v>
      </c>
      <c r="L5726" s="17">
        <v>1</v>
      </c>
      <c r="M5726" s="17">
        <v>40</v>
      </c>
      <c r="N5726" s="17">
        <v>1</v>
      </c>
      <c r="O5726" s="18">
        <v>577.53</v>
      </c>
      <c r="P5726" s="18">
        <v>473.39</v>
      </c>
      <c r="Q5726" s="18">
        <v>462.02</v>
      </c>
      <c r="R5726" s="18">
        <v>378.7</v>
      </c>
      <c r="S5726" s="18">
        <v>392.72</v>
      </c>
      <c r="T5726" s="18">
        <v>321.89999999999998</v>
      </c>
      <c r="U5726" s="16"/>
      <c r="V5726" s="16"/>
      <c r="W5726" s="16" t="s">
        <v>40</v>
      </c>
      <c r="X5726" s="19">
        <v>0.317</v>
      </c>
      <c r="Y5726" s="20">
        <v>1.689E-3</v>
      </c>
      <c r="Z5726" s="21">
        <v>4601004169425</v>
      </c>
    </row>
    <row r="5727" spans="1:26" ht="12" customHeight="1" outlineLevel="4" x14ac:dyDescent="0.2">
      <c r="A5727" s="14" t="s">
        <v>11073</v>
      </c>
      <c r="B5727" s="26" t="s">
        <v>11074</v>
      </c>
      <c r="C5727" s="52"/>
      <c r="D5727" s="55">
        <f t="shared" si="89"/>
        <v>0</v>
      </c>
      <c r="E5727" s="63" t="str">
        <f>HYPERLINK("https://www.sds-group.ru/product/valik-poliamid-belyy-s-zheltoy-polosoy-vors-11-mm-shirina-rolika-240-mm-42-mm-byugel-8-mm-se-89-0010/", "Инфо")</f>
        <v>Инфо</v>
      </c>
      <c r="F5727" s="16" t="s">
        <v>39</v>
      </c>
      <c r="G5727" s="15"/>
      <c r="H5727" s="15"/>
      <c r="I5727" s="15"/>
      <c r="J5727" s="16" t="s">
        <v>100</v>
      </c>
      <c r="K5727" s="15" t="s">
        <v>1094</v>
      </c>
      <c r="L5727" s="17">
        <v>1</v>
      </c>
      <c r="M5727" s="17">
        <v>40</v>
      </c>
      <c r="N5727" s="17">
        <v>1</v>
      </c>
      <c r="O5727" s="18">
        <v>613.34</v>
      </c>
      <c r="P5727" s="18">
        <v>502.74</v>
      </c>
      <c r="Q5727" s="18">
        <v>490.67</v>
      </c>
      <c r="R5727" s="18">
        <v>402.19</v>
      </c>
      <c r="S5727" s="18">
        <v>417.07</v>
      </c>
      <c r="T5727" s="18">
        <v>341.86</v>
      </c>
      <c r="U5727" s="16"/>
      <c r="V5727" s="16"/>
      <c r="W5727" s="16" t="s">
        <v>40</v>
      </c>
      <c r="X5727" s="19">
        <v>0.316</v>
      </c>
      <c r="Y5727" s="20">
        <v>1.761E-3</v>
      </c>
      <c r="Z5727" s="21">
        <v>4601004169487</v>
      </c>
    </row>
    <row r="5728" spans="1:26" ht="12.95" customHeight="1" outlineLevel="3" x14ac:dyDescent="0.2">
      <c r="A5728" s="82" t="s">
        <v>11075</v>
      </c>
      <c r="B5728" s="82"/>
      <c r="C5728" s="83"/>
      <c r="D5728" s="59"/>
      <c r="E5728" s="69"/>
      <c r="F5728" s="23"/>
      <c r="G5728" s="23"/>
      <c r="H5728" s="23"/>
      <c r="I5728" s="23"/>
      <c r="J5728" s="23"/>
      <c r="K5728" s="23"/>
      <c r="L5728" s="23"/>
      <c r="M5728" s="23"/>
      <c r="N5728" s="23"/>
      <c r="O5728" s="23"/>
      <c r="P5728" s="23"/>
      <c r="Q5728" s="23"/>
      <c r="R5728" s="23"/>
      <c r="S5728" s="23"/>
      <c r="T5728" s="23"/>
      <c r="U5728" s="23"/>
      <c r="V5728" s="23"/>
      <c r="W5728" s="23"/>
      <c r="X5728" s="23"/>
      <c r="Y5728" s="23"/>
      <c r="Z5728" s="23"/>
    </row>
    <row r="5729" spans="1:26" ht="12" customHeight="1" outlineLevel="4" x14ac:dyDescent="0.2">
      <c r="A5729" s="14" t="s">
        <v>11076</v>
      </c>
      <c r="B5729" s="26" t="s">
        <v>11077</v>
      </c>
      <c r="C5729" s="52"/>
      <c r="D5729" s="55">
        <f t="shared" si="89"/>
        <v>0</v>
      </c>
      <c r="E5729" s="63" t="str">
        <f>HYPERLINK("https://www.sds-group.ru/product/valik-mini-poliamid-vors-10-5-mm-shirina-rolika-100-mm-15-rexant-89-0055/", "Инфо")</f>
        <v>Инфо</v>
      </c>
      <c r="F5729" s="16" t="s">
        <v>39</v>
      </c>
      <c r="G5729" s="15"/>
      <c r="H5729" s="15"/>
      <c r="I5729" s="15"/>
      <c r="J5729" s="16" t="s">
        <v>100</v>
      </c>
      <c r="K5729" s="15"/>
      <c r="L5729" s="17">
        <v>5</v>
      </c>
      <c r="M5729" s="17">
        <v>70</v>
      </c>
      <c r="N5729" s="17">
        <v>5</v>
      </c>
      <c r="O5729" s="18">
        <v>172.82</v>
      </c>
      <c r="P5729" s="18">
        <v>141.66</v>
      </c>
      <c r="Q5729" s="18">
        <v>146.9</v>
      </c>
      <c r="R5729" s="18">
        <v>120.41</v>
      </c>
      <c r="S5729" s="18">
        <v>117.52</v>
      </c>
      <c r="T5729" s="18">
        <v>96.33</v>
      </c>
      <c r="U5729" s="16"/>
      <c r="V5729" s="16"/>
      <c r="W5729" s="16" t="s">
        <v>40</v>
      </c>
      <c r="X5729" s="19">
        <v>8.6999999999999994E-2</v>
      </c>
      <c r="Y5729" s="20">
        <v>3.6400000000000001E-4</v>
      </c>
      <c r="Z5729" s="21">
        <v>4601004169326</v>
      </c>
    </row>
    <row r="5730" spans="1:26" ht="12" customHeight="1" outlineLevel="4" x14ac:dyDescent="0.2">
      <c r="A5730" s="14" t="s">
        <v>11078</v>
      </c>
      <c r="B5730" s="26" t="s">
        <v>11079</v>
      </c>
      <c r="C5730" s="52"/>
      <c r="D5730" s="55">
        <f t="shared" si="89"/>
        <v>0</v>
      </c>
      <c r="E5730" s="63" t="str">
        <f>HYPERLINK("https://www.sds-group.ru/product/valik-mini-poliamid-vors-10-5-mm-shirina-rolika-150-mm-oslash-15-mm-rexant-20744/", "Инфо")</f>
        <v>Инфо</v>
      </c>
      <c r="F5730" s="16" t="s">
        <v>39</v>
      </c>
      <c r="G5730" s="15"/>
      <c r="H5730" s="15"/>
      <c r="I5730" s="15"/>
      <c r="J5730" s="16" t="s">
        <v>100</v>
      </c>
      <c r="K5730" s="15" t="s">
        <v>1094</v>
      </c>
      <c r="L5730" s="17">
        <v>5</v>
      </c>
      <c r="M5730" s="17">
        <v>30</v>
      </c>
      <c r="N5730" s="17">
        <v>5</v>
      </c>
      <c r="O5730" s="18">
        <v>206.48</v>
      </c>
      <c r="P5730" s="18">
        <v>169.25</v>
      </c>
      <c r="Q5730" s="18">
        <v>175.51</v>
      </c>
      <c r="R5730" s="18">
        <v>143.86000000000001</v>
      </c>
      <c r="S5730" s="18">
        <v>140.41</v>
      </c>
      <c r="T5730" s="18">
        <v>115.09</v>
      </c>
      <c r="U5730" s="16"/>
      <c r="V5730" s="16"/>
      <c r="W5730" s="16" t="s">
        <v>40</v>
      </c>
      <c r="X5730" s="19">
        <v>0.128</v>
      </c>
      <c r="Y5730" s="20">
        <v>9.0200000000000002E-4</v>
      </c>
      <c r="Z5730" s="21">
        <v>4601004169333</v>
      </c>
    </row>
    <row r="5731" spans="1:26" ht="12" customHeight="1" outlineLevel="4" x14ac:dyDescent="0.2">
      <c r="A5731" s="14" t="s">
        <v>11080</v>
      </c>
      <c r="B5731" s="26" t="s">
        <v>11081</v>
      </c>
      <c r="C5731" s="52"/>
      <c r="D5731" s="55">
        <f t="shared" si="89"/>
        <v>0</v>
      </c>
      <c r="E5731" s="63" t="str">
        <f>HYPERLINK("https://www.sds-group.ru/product/valik-mini-poliamid-vors-10-5-mm-shirina-rolika-60-mm-15-rexant-89-0054/", "Инфо")</f>
        <v>Инфо</v>
      </c>
      <c r="F5731" s="16" t="s">
        <v>39</v>
      </c>
      <c r="G5731" s="15"/>
      <c r="H5731" s="15"/>
      <c r="I5731" s="15"/>
      <c r="J5731" s="17">
        <v>31</v>
      </c>
      <c r="K5731" s="15" t="s">
        <v>1094</v>
      </c>
      <c r="L5731" s="17">
        <v>5</v>
      </c>
      <c r="M5731" s="17">
        <v>80</v>
      </c>
      <c r="N5731" s="17">
        <v>5</v>
      </c>
      <c r="O5731" s="18">
        <v>156.81</v>
      </c>
      <c r="P5731" s="18">
        <v>128.53</v>
      </c>
      <c r="Q5731" s="18">
        <v>133.29</v>
      </c>
      <c r="R5731" s="18">
        <v>109.25</v>
      </c>
      <c r="S5731" s="18">
        <v>106.63</v>
      </c>
      <c r="T5731" s="18">
        <v>87.4</v>
      </c>
      <c r="U5731" s="16"/>
      <c r="V5731" s="16"/>
      <c r="W5731" s="16" t="s">
        <v>40</v>
      </c>
      <c r="X5731" s="19">
        <v>6.7000000000000004E-2</v>
      </c>
      <c r="Y5731" s="20">
        <v>3.2699999999999998E-4</v>
      </c>
      <c r="Z5731" s="21">
        <v>4601004169319</v>
      </c>
    </row>
    <row r="5732" spans="1:26" ht="12.95" customHeight="1" outlineLevel="3" x14ac:dyDescent="0.2">
      <c r="A5732" s="82" t="s">
        <v>11082</v>
      </c>
      <c r="B5732" s="82"/>
      <c r="C5732" s="83"/>
      <c r="D5732" s="59"/>
      <c r="E5732" s="69"/>
      <c r="F5732" s="23"/>
      <c r="G5732" s="23"/>
      <c r="H5732" s="23"/>
      <c r="I5732" s="23"/>
      <c r="J5732" s="23"/>
      <c r="K5732" s="23"/>
      <c r="L5732" s="23"/>
      <c r="M5732" s="23"/>
      <c r="N5732" s="23"/>
      <c r="O5732" s="23"/>
      <c r="P5732" s="23"/>
      <c r="Q5732" s="23"/>
      <c r="R5732" s="23"/>
      <c r="S5732" s="23"/>
      <c r="T5732" s="23"/>
      <c r="U5732" s="23"/>
      <c r="V5732" s="23"/>
      <c r="W5732" s="23"/>
      <c r="X5732" s="23"/>
      <c r="Y5732" s="23"/>
      <c r="Z5732" s="23"/>
    </row>
    <row r="5733" spans="1:26" ht="12" customHeight="1" outlineLevel="4" x14ac:dyDescent="0.2">
      <c r="A5733" s="14" t="s">
        <v>11083</v>
      </c>
      <c r="B5733" s="26" t="s">
        <v>11084</v>
      </c>
      <c r="C5733" s="52"/>
      <c r="D5733" s="55">
        <f t="shared" si="89"/>
        <v>0</v>
      </c>
      <c r="E5733" s="63" t="str">
        <f>HYPERLINK("https://www.sds-group.ru/product/valik-dlya-prikatki-oboev-rezinovyy-shirina-rolika-150-mm-ruchka-6-mm-rexant-89-0094/", "Инфо")</f>
        <v>Инфо</v>
      </c>
      <c r="F5733" s="16" t="s">
        <v>39</v>
      </c>
      <c r="G5733" s="15"/>
      <c r="H5733" s="15"/>
      <c r="I5733" s="15"/>
      <c r="J5733" s="16" t="s">
        <v>100</v>
      </c>
      <c r="K5733" s="15" t="s">
        <v>1094</v>
      </c>
      <c r="L5733" s="17">
        <v>5</v>
      </c>
      <c r="M5733" s="17">
        <v>70</v>
      </c>
      <c r="N5733" s="17">
        <v>5</v>
      </c>
      <c r="O5733" s="18">
        <v>375.17</v>
      </c>
      <c r="P5733" s="18">
        <v>307.52</v>
      </c>
      <c r="Q5733" s="18">
        <v>318.89</v>
      </c>
      <c r="R5733" s="18">
        <v>261.39</v>
      </c>
      <c r="S5733" s="18">
        <v>255.12</v>
      </c>
      <c r="T5733" s="18">
        <v>209.11</v>
      </c>
      <c r="U5733" s="16"/>
      <c r="V5733" s="16"/>
      <c r="W5733" s="16" t="s">
        <v>40</v>
      </c>
      <c r="X5733" s="19">
        <v>0.14399999999999999</v>
      </c>
      <c r="Y5733" s="20">
        <v>1.129E-3</v>
      </c>
      <c r="Z5733" s="21">
        <v>4601004169791</v>
      </c>
    </row>
    <row r="5734" spans="1:26" ht="12.95" customHeight="1" outlineLevel="3" x14ac:dyDescent="0.2">
      <c r="A5734" s="82" t="s">
        <v>11085</v>
      </c>
      <c r="B5734" s="82"/>
      <c r="C5734" s="83"/>
      <c r="D5734" s="59"/>
      <c r="E5734" s="69"/>
      <c r="F5734" s="23"/>
      <c r="G5734" s="23"/>
      <c r="H5734" s="23"/>
      <c r="I5734" s="23"/>
      <c r="J5734" s="23"/>
      <c r="K5734" s="23"/>
      <c r="L5734" s="23"/>
      <c r="M5734" s="23"/>
      <c r="N5734" s="23"/>
      <c r="O5734" s="23"/>
      <c r="P5734" s="23"/>
      <c r="Q5734" s="23"/>
      <c r="R5734" s="23"/>
      <c r="S5734" s="23"/>
      <c r="T5734" s="23"/>
      <c r="U5734" s="23"/>
      <c r="V5734" s="23"/>
      <c r="W5734" s="23"/>
      <c r="X5734" s="23"/>
      <c r="Y5734" s="23"/>
      <c r="Z5734" s="23"/>
    </row>
    <row r="5735" spans="1:26" ht="12" customHeight="1" outlineLevel="4" x14ac:dyDescent="0.2">
      <c r="A5735" s="14" t="s">
        <v>11086</v>
      </c>
      <c r="B5735" s="26" t="s">
        <v>11087</v>
      </c>
      <c r="C5735" s="52"/>
      <c r="D5735" s="55">
        <f t="shared" si="89"/>
        <v>0</v>
      </c>
      <c r="E5735" s="63" t="str">
        <f>HYPERLINK("https://www.sds-group.ru/product/kyuvetka-vannochka-malyarnaya-33h26-sm-krasnaya-rexant-89-0143/", "Инфо")</f>
        <v>Инфо</v>
      </c>
      <c r="F5735" s="16" t="s">
        <v>39</v>
      </c>
      <c r="G5735" s="15"/>
      <c r="H5735" s="15"/>
      <c r="I5735" s="15"/>
      <c r="J5735" s="16" t="s">
        <v>100</v>
      </c>
      <c r="K5735" s="15" t="s">
        <v>1094</v>
      </c>
      <c r="L5735" s="17">
        <v>5</v>
      </c>
      <c r="M5735" s="17">
        <v>75</v>
      </c>
      <c r="N5735" s="17">
        <v>5</v>
      </c>
      <c r="O5735" s="18">
        <v>187.12</v>
      </c>
      <c r="P5735" s="18">
        <v>153.38</v>
      </c>
      <c r="Q5735" s="18">
        <v>130.97999999999999</v>
      </c>
      <c r="R5735" s="18">
        <v>107.36</v>
      </c>
      <c r="S5735" s="18">
        <v>127.24</v>
      </c>
      <c r="T5735" s="18">
        <v>104.3</v>
      </c>
      <c r="U5735" s="16"/>
      <c r="V5735" s="16"/>
      <c r="W5735" s="16"/>
      <c r="X5735" s="19">
        <v>0.127</v>
      </c>
      <c r="Y5735" s="20">
        <v>9.5100000000000002E-4</v>
      </c>
      <c r="Z5735" s="21">
        <v>4601004316089</v>
      </c>
    </row>
    <row r="5736" spans="1:26" ht="12" customHeight="1" outlineLevel="4" x14ac:dyDescent="0.2">
      <c r="A5736" s="14" t="s">
        <v>11088</v>
      </c>
      <c r="B5736" s="26" t="s">
        <v>11089</v>
      </c>
      <c r="C5736" s="52"/>
      <c r="D5736" s="55">
        <f t="shared" si="89"/>
        <v>0</v>
      </c>
      <c r="E5736" s="63" t="str">
        <f>HYPERLINK("https://www.sds-group.ru/product/kyuvetka-vannochka-malyarnaya-33h35sm-krasnaya-rexant-89-0145/", "Инфо")</f>
        <v>Инфо</v>
      </c>
      <c r="F5736" s="16" t="s">
        <v>39</v>
      </c>
      <c r="G5736" s="15"/>
      <c r="H5736" s="15"/>
      <c r="I5736" s="15"/>
      <c r="J5736" s="22">
        <v>1838</v>
      </c>
      <c r="K5736" s="15" t="s">
        <v>1888</v>
      </c>
      <c r="L5736" s="17">
        <v>5</v>
      </c>
      <c r="M5736" s="17">
        <v>50</v>
      </c>
      <c r="N5736" s="17">
        <v>5</v>
      </c>
      <c r="O5736" s="18">
        <v>144.57</v>
      </c>
      <c r="P5736" s="18">
        <v>118.5</v>
      </c>
      <c r="Q5736" s="18">
        <v>122.88</v>
      </c>
      <c r="R5736" s="18">
        <v>100.72</v>
      </c>
      <c r="S5736" s="18">
        <v>98.31</v>
      </c>
      <c r="T5736" s="18">
        <v>80.58</v>
      </c>
      <c r="U5736" s="16"/>
      <c r="V5736" s="16"/>
      <c r="W5736" s="16" t="s">
        <v>40</v>
      </c>
      <c r="X5736" s="19">
        <v>0.18</v>
      </c>
      <c r="Y5736" s="20">
        <v>1.3029999999999999E-3</v>
      </c>
      <c r="Z5736" s="21">
        <v>4601004279216</v>
      </c>
    </row>
    <row r="5737" spans="1:26" ht="12.95" customHeight="1" outlineLevel="3" x14ac:dyDescent="0.2">
      <c r="A5737" s="82" t="s">
        <v>11090</v>
      </c>
      <c r="B5737" s="82"/>
      <c r="C5737" s="83"/>
      <c r="D5737" s="59"/>
      <c r="E5737" s="69"/>
      <c r="F5737" s="23"/>
      <c r="G5737" s="23"/>
      <c r="H5737" s="23"/>
      <c r="I5737" s="23"/>
      <c r="J5737" s="23"/>
      <c r="K5737" s="23"/>
      <c r="L5737" s="23"/>
      <c r="M5737" s="23"/>
      <c r="N5737" s="23"/>
      <c r="O5737" s="23"/>
      <c r="P5737" s="23"/>
      <c r="Q5737" s="23"/>
      <c r="R5737" s="23"/>
      <c r="S5737" s="23"/>
      <c r="T5737" s="23"/>
      <c r="U5737" s="23"/>
      <c r="V5737" s="23"/>
      <c r="W5737" s="23"/>
      <c r="X5737" s="23"/>
      <c r="Y5737" s="23"/>
      <c r="Z5737" s="23"/>
    </row>
    <row r="5738" spans="1:26" ht="12" customHeight="1" outlineLevel="4" x14ac:dyDescent="0.2">
      <c r="A5738" s="32" t="s">
        <v>11091</v>
      </c>
      <c r="B5738" s="74" t="s">
        <v>11092</v>
      </c>
      <c r="C5738" s="50"/>
      <c r="D5738" s="53">
        <f t="shared" si="89"/>
        <v>0</v>
      </c>
      <c r="E5738" s="60" t="str">
        <f>HYPERLINK("https://www.sds-group.ru/product/ruchka-dlya-valika-shirina-pod-rolik-180-mm-byugel-8-mm-seriya-master-rexant-89-0131/", "Инфо")</f>
        <v>Инфо</v>
      </c>
      <c r="F5738" s="34" t="s">
        <v>39</v>
      </c>
      <c r="G5738" s="33"/>
      <c r="H5738" s="33" t="s">
        <v>40</v>
      </c>
      <c r="I5738" s="33"/>
      <c r="J5738" s="35">
        <v>14</v>
      </c>
      <c r="K5738" s="33"/>
      <c r="L5738" s="35">
        <v>1</v>
      </c>
      <c r="M5738" s="35">
        <v>40</v>
      </c>
      <c r="N5738" s="35">
        <v>1</v>
      </c>
      <c r="O5738" s="36">
        <v>124.65</v>
      </c>
      <c r="P5738" s="36">
        <v>102.17</v>
      </c>
      <c r="Q5738" s="36">
        <v>87.26</v>
      </c>
      <c r="R5738" s="36">
        <v>71.52</v>
      </c>
      <c r="S5738" s="36">
        <v>84.76</v>
      </c>
      <c r="T5738" s="36">
        <v>69.48</v>
      </c>
      <c r="U5738" s="34"/>
      <c r="V5738" s="34"/>
      <c r="W5738" s="34"/>
      <c r="X5738" s="37">
        <v>0.17899999999999999</v>
      </c>
      <c r="Y5738" s="38">
        <v>2.4719999999999998E-3</v>
      </c>
      <c r="Z5738" s="21">
        <v>4601004169845</v>
      </c>
    </row>
    <row r="5739" spans="1:26" ht="12" customHeight="1" outlineLevel="4" x14ac:dyDescent="0.2">
      <c r="A5739" s="32" t="s">
        <v>11093</v>
      </c>
      <c r="B5739" s="74" t="s">
        <v>11094</v>
      </c>
      <c r="C5739" s="50"/>
      <c r="D5739" s="53">
        <f t="shared" si="89"/>
        <v>0</v>
      </c>
      <c r="E5739" s="60" t="str">
        <f>HYPERLINK("https://www.sds-group.ru/product/ruchka-dlya-valika-shirina-pod-rolik-240-mm-byugel-6-mm-rexant-89-0134/", "Инфо")</f>
        <v>Инфо</v>
      </c>
      <c r="F5739" s="34" t="s">
        <v>39</v>
      </c>
      <c r="G5739" s="33"/>
      <c r="H5739" s="33" t="s">
        <v>40</v>
      </c>
      <c r="I5739" s="33"/>
      <c r="J5739" s="35">
        <v>120</v>
      </c>
      <c r="K5739" s="33"/>
      <c r="L5739" s="35">
        <v>1</v>
      </c>
      <c r="M5739" s="35">
        <v>40</v>
      </c>
      <c r="N5739" s="35">
        <v>1</v>
      </c>
      <c r="O5739" s="36">
        <v>100.37</v>
      </c>
      <c r="P5739" s="36">
        <v>82.27</v>
      </c>
      <c r="Q5739" s="36">
        <v>70.260000000000005</v>
      </c>
      <c r="R5739" s="36">
        <v>57.59</v>
      </c>
      <c r="S5739" s="36">
        <v>68.25</v>
      </c>
      <c r="T5739" s="36">
        <v>55.94</v>
      </c>
      <c r="U5739" s="34"/>
      <c r="V5739" s="34"/>
      <c r="W5739" s="34"/>
      <c r="X5739" s="37">
        <v>0.13500000000000001</v>
      </c>
      <c r="Y5739" s="38">
        <v>6.1700000000000004E-4</v>
      </c>
      <c r="Z5739" s="21">
        <v>4601004169876</v>
      </c>
    </row>
    <row r="5740" spans="1:26" ht="12.95" customHeight="1" outlineLevel="2" x14ac:dyDescent="0.2">
      <c r="A5740" s="82" t="s">
        <v>11095</v>
      </c>
      <c r="B5740" s="82"/>
      <c r="C5740" s="83"/>
      <c r="D5740" s="59"/>
      <c r="E5740" s="69"/>
      <c r="F5740" s="23"/>
      <c r="G5740" s="23"/>
      <c r="H5740" s="23"/>
      <c r="I5740" s="23"/>
      <c r="J5740" s="23"/>
      <c r="K5740" s="23"/>
      <c r="L5740" s="23"/>
      <c r="M5740" s="23"/>
      <c r="N5740" s="23"/>
      <c r="O5740" s="23"/>
      <c r="P5740" s="23"/>
      <c r="Q5740" s="23"/>
      <c r="R5740" s="23"/>
      <c r="S5740" s="23"/>
      <c r="T5740" s="23"/>
      <c r="U5740" s="23"/>
      <c r="V5740" s="23"/>
      <c r="W5740" s="23"/>
      <c r="X5740" s="23"/>
      <c r="Y5740" s="23"/>
      <c r="Z5740" s="23"/>
    </row>
    <row r="5741" spans="1:26" ht="12" customHeight="1" outlineLevel="3" x14ac:dyDescent="0.2">
      <c r="A5741" s="14" t="s">
        <v>11096</v>
      </c>
      <c r="B5741" s="26" t="s">
        <v>11097</v>
      </c>
      <c r="C5741" s="52"/>
      <c r="D5741" s="55">
        <f t="shared" si="89"/>
        <v>0</v>
      </c>
      <c r="E5741" s="63" t="str">
        <f>HYPERLINK("https://www.sds-group.ru/product/kelma-betonschika-nerzhaveyuschaya-stal-200mm-plastikovaya-ruchka-rexant-89-2201/", "Инфо")</f>
        <v>Инфо</v>
      </c>
      <c r="F5741" s="16" t="s">
        <v>39</v>
      </c>
      <c r="G5741" s="15"/>
      <c r="H5741" s="15"/>
      <c r="I5741" s="15"/>
      <c r="J5741" s="17">
        <v>419</v>
      </c>
      <c r="K5741" s="15" t="s">
        <v>11098</v>
      </c>
      <c r="L5741" s="17">
        <v>5</v>
      </c>
      <c r="M5741" s="17">
        <v>25</v>
      </c>
      <c r="N5741" s="17">
        <v>5</v>
      </c>
      <c r="O5741" s="18">
        <v>262.33</v>
      </c>
      <c r="P5741" s="18">
        <v>215.02</v>
      </c>
      <c r="Q5741" s="18">
        <v>222.98</v>
      </c>
      <c r="R5741" s="18">
        <v>182.77</v>
      </c>
      <c r="S5741" s="18">
        <v>178.38</v>
      </c>
      <c r="T5741" s="18">
        <v>146.21</v>
      </c>
      <c r="U5741" s="16"/>
      <c r="V5741" s="16"/>
      <c r="W5741" s="16" t="s">
        <v>40</v>
      </c>
      <c r="X5741" s="19">
        <v>0.219</v>
      </c>
      <c r="Y5741" s="20">
        <v>7.7099999999999998E-4</v>
      </c>
      <c r="Z5741" s="21">
        <v>4601004287846</v>
      </c>
    </row>
    <row r="5742" spans="1:26" ht="12" customHeight="1" outlineLevel="3" x14ac:dyDescent="0.2">
      <c r="A5742" s="14" t="s">
        <v>11099</v>
      </c>
      <c r="B5742" s="26" t="s">
        <v>11100</v>
      </c>
      <c r="C5742" s="52"/>
      <c r="D5742" s="55">
        <f t="shared" si="89"/>
        <v>0</v>
      </c>
      <c r="E5742" s="63" t="str">
        <f>HYPERLINK("https://www.sds-group.ru/product/kelma-otdelochnika-nerzhaveyuschaya-stal-180mm-plastikovaya-ruchka-rexant-89-2202/", "Инфо")</f>
        <v>Инфо</v>
      </c>
      <c r="F5742" s="16" t="s">
        <v>39</v>
      </c>
      <c r="G5742" s="15"/>
      <c r="H5742" s="15"/>
      <c r="I5742" s="15"/>
      <c r="J5742" s="17">
        <v>341</v>
      </c>
      <c r="K5742" s="15" t="s">
        <v>11098</v>
      </c>
      <c r="L5742" s="17">
        <v>5</v>
      </c>
      <c r="M5742" s="17">
        <v>25</v>
      </c>
      <c r="N5742" s="17">
        <v>5</v>
      </c>
      <c r="O5742" s="18">
        <v>264.64999999999998</v>
      </c>
      <c r="P5742" s="18">
        <v>216.93</v>
      </c>
      <c r="Q5742" s="18">
        <v>224.95</v>
      </c>
      <c r="R5742" s="18">
        <v>184.39</v>
      </c>
      <c r="S5742" s="18">
        <v>179.96</v>
      </c>
      <c r="T5742" s="18">
        <v>147.51</v>
      </c>
      <c r="U5742" s="16"/>
      <c r="V5742" s="16"/>
      <c r="W5742" s="16" t="s">
        <v>40</v>
      </c>
      <c r="X5742" s="19">
        <v>0.219</v>
      </c>
      <c r="Y5742" s="20">
        <v>7.7099999999999998E-4</v>
      </c>
      <c r="Z5742" s="21">
        <v>4601004287921</v>
      </c>
    </row>
    <row r="5743" spans="1:26" ht="12" customHeight="1" outlineLevel="3" x14ac:dyDescent="0.2">
      <c r="A5743" s="14" t="s">
        <v>11101</v>
      </c>
      <c r="B5743" s="26" t="s">
        <v>11102</v>
      </c>
      <c r="C5743" s="52"/>
      <c r="D5743" s="55">
        <f t="shared" si="89"/>
        <v>0</v>
      </c>
      <c r="E5743" s="63" t="str">
        <f>HYPERLINK("https://www.sds-group.ru/product/kelma-pechnika-nerzhaveyuschaya-stal-175mm-plastikovaya-ruchka-rexant-89-2203/", "Инфо")</f>
        <v>Инфо</v>
      </c>
      <c r="F5743" s="16" t="s">
        <v>39</v>
      </c>
      <c r="G5743" s="15"/>
      <c r="H5743" s="15"/>
      <c r="I5743" s="15"/>
      <c r="J5743" s="17">
        <v>419</v>
      </c>
      <c r="K5743" s="15" t="s">
        <v>11098</v>
      </c>
      <c r="L5743" s="17">
        <v>5</v>
      </c>
      <c r="M5743" s="17">
        <v>25</v>
      </c>
      <c r="N5743" s="17">
        <v>5</v>
      </c>
      <c r="O5743" s="18">
        <v>258.70999999999998</v>
      </c>
      <c r="P5743" s="18">
        <v>212.06</v>
      </c>
      <c r="Q5743" s="18">
        <v>219.9</v>
      </c>
      <c r="R5743" s="18">
        <v>180.25</v>
      </c>
      <c r="S5743" s="18">
        <v>175.92</v>
      </c>
      <c r="T5743" s="18">
        <v>144.19999999999999</v>
      </c>
      <c r="U5743" s="16"/>
      <c r="V5743" s="16"/>
      <c r="W5743" s="16" t="s">
        <v>40</v>
      </c>
      <c r="X5743" s="19">
        <v>0.19700000000000001</v>
      </c>
      <c r="Y5743" s="20">
        <v>7.5799999999999999E-4</v>
      </c>
      <c r="Z5743" s="21">
        <v>4601004287815</v>
      </c>
    </row>
    <row r="5744" spans="1:26" ht="12" customHeight="1" outlineLevel="3" x14ac:dyDescent="0.2">
      <c r="A5744" s="14" t="s">
        <v>11103</v>
      </c>
      <c r="B5744" s="26" t="s">
        <v>11104</v>
      </c>
      <c r="C5744" s="52"/>
      <c r="D5744" s="55">
        <f t="shared" si="89"/>
        <v>0</v>
      </c>
      <c r="E5744" s="63" t="str">
        <f>HYPERLINK("https://www.sds-group.ru/product/kelma-shtukatura-nerzhaveyuschaya-stal-175mm-plastikovaya-ruchka-rexant-89-2204/", "Инфо")</f>
        <v>Инфо</v>
      </c>
      <c r="F5744" s="16" t="s">
        <v>39</v>
      </c>
      <c r="G5744" s="15"/>
      <c r="H5744" s="15"/>
      <c r="I5744" s="15"/>
      <c r="J5744" s="17">
        <v>363</v>
      </c>
      <c r="K5744" s="15" t="s">
        <v>11098</v>
      </c>
      <c r="L5744" s="17">
        <v>5</v>
      </c>
      <c r="M5744" s="17">
        <v>25</v>
      </c>
      <c r="N5744" s="17">
        <v>5</v>
      </c>
      <c r="O5744" s="18">
        <v>283.31</v>
      </c>
      <c r="P5744" s="18">
        <v>232.22</v>
      </c>
      <c r="Q5744" s="18">
        <v>240.81</v>
      </c>
      <c r="R5744" s="18">
        <v>197.39</v>
      </c>
      <c r="S5744" s="18">
        <v>192.65</v>
      </c>
      <c r="T5744" s="18">
        <v>157.91</v>
      </c>
      <c r="U5744" s="16"/>
      <c r="V5744" s="16"/>
      <c r="W5744" s="16" t="s">
        <v>40</v>
      </c>
      <c r="X5744" s="19">
        <v>0.22600000000000001</v>
      </c>
      <c r="Y5744" s="20">
        <v>7.6499999999999995E-4</v>
      </c>
      <c r="Z5744" s="21">
        <v>4601004287877</v>
      </c>
    </row>
    <row r="5745" spans="1:26" ht="12" customHeight="1" outlineLevel="3" x14ac:dyDescent="0.2">
      <c r="A5745" s="14" t="s">
        <v>11105</v>
      </c>
      <c r="B5745" s="26" t="s">
        <v>11106</v>
      </c>
      <c r="C5745" s="52"/>
      <c r="D5745" s="55">
        <f t="shared" si="89"/>
        <v>0</v>
      </c>
      <c r="E5745" s="63" t="str">
        <f>HYPERLINK("https://www.sds-group.ru/product/shpatel-100-mm-nerzhaveyuschaya-stal-plastmassovaya-ruchka-rexant-89-0204/", "Инфо")</f>
        <v>Инфо</v>
      </c>
      <c r="F5745" s="16" t="s">
        <v>39</v>
      </c>
      <c r="G5745" s="15"/>
      <c r="H5745" s="15"/>
      <c r="I5745" s="15"/>
      <c r="J5745" s="22">
        <v>4551</v>
      </c>
      <c r="K5745" s="15" t="s">
        <v>11098</v>
      </c>
      <c r="L5745" s="17">
        <v>5</v>
      </c>
      <c r="M5745" s="17">
        <v>50</v>
      </c>
      <c r="N5745" s="17">
        <v>5</v>
      </c>
      <c r="O5745" s="18">
        <v>79.56</v>
      </c>
      <c r="P5745" s="18">
        <v>65.209999999999994</v>
      </c>
      <c r="Q5745" s="18">
        <v>67.63</v>
      </c>
      <c r="R5745" s="18">
        <v>55.43</v>
      </c>
      <c r="S5745" s="18">
        <v>54.1</v>
      </c>
      <c r="T5745" s="18">
        <v>44.34</v>
      </c>
      <c r="U5745" s="16"/>
      <c r="V5745" s="16"/>
      <c r="W5745" s="16" t="s">
        <v>40</v>
      </c>
      <c r="X5745" s="19">
        <v>7.3999999999999996E-2</v>
      </c>
      <c r="Y5745" s="20">
        <v>1.8200000000000001E-4</v>
      </c>
      <c r="Z5745" s="21">
        <v>4601004166776</v>
      </c>
    </row>
    <row r="5746" spans="1:26" ht="12" customHeight="1" outlineLevel="3" x14ac:dyDescent="0.2">
      <c r="A5746" s="14" t="s">
        <v>11107</v>
      </c>
      <c r="B5746" s="26" t="s">
        <v>11108</v>
      </c>
      <c r="C5746" s="52"/>
      <c r="D5746" s="55">
        <f t="shared" si="89"/>
        <v>0</v>
      </c>
      <c r="E5746" s="63" t="str">
        <f>HYPERLINK("https://www.sds-group.ru/product/shpatel-40-mm-nerzhaveyuschaya-stal-plastmassovaya-ruchka-rexant-89-0201/", "Инфо")</f>
        <v>Инфо</v>
      </c>
      <c r="F5746" s="16" t="s">
        <v>39</v>
      </c>
      <c r="G5746" s="15"/>
      <c r="H5746" s="15"/>
      <c r="I5746" s="15"/>
      <c r="J5746" s="17">
        <v>699</v>
      </c>
      <c r="K5746" s="15" t="s">
        <v>11098</v>
      </c>
      <c r="L5746" s="17">
        <v>10</v>
      </c>
      <c r="M5746" s="17">
        <v>100</v>
      </c>
      <c r="N5746" s="17">
        <v>10</v>
      </c>
      <c r="O5746" s="18">
        <v>45.94</v>
      </c>
      <c r="P5746" s="18">
        <v>37.659999999999997</v>
      </c>
      <c r="Q5746" s="18">
        <v>32.159999999999997</v>
      </c>
      <c r="R5746" s="18">
        <v>26.36</v>
      </c>
      <c r="S5746" s="18">
        <v>31.24</v>
      </c>
      <c r="T5746" s="18">
        <v>25.61</v>
      </c>
      <c r="U5746" s="16"/>
      <c r="V5746" s="16"/>
      <c r="W5746" s="16"/>
      <c r="X5746" s="19">
        <v>4.4999999999999998E-2</v>
      </c>
      <c r="Y5746" s="20">
        <v>9.2999999999999997E-5</v>
      </c>
      <c r="Z5746" s="21">
        <v>4601004167087</v>
      </c>
    </row>
    <row r="5747" spans="1:26" ht="12" customHeight="1" outlineLevel="3" x14ac:dyDescent="0.2">
      <c r="A5747" s="14" t="s">
        <v>11109</v>
      </c>
      <c r="B5747" s="26" t="s">
        <v>11110</v>
      </c>
      <c r="C5747" s="52"/>
      <c r="D5747" s="55">
        <f t="shared" si="89"/>
        <v>0</v>
      </c>
      <c r="E5747" s="63" t="str">
        <f>HYPERLINK("https://www.sds-group.ru/product/shpatel-60-mm-nerzhaveyuschaya-stal-plastmassovaya-ruchka-rexant-89-0202/", "Инфо")</f>
        <v>Инфо</v>
      </c>
      <c r="F5747" s="16" t="s">
        <v>39</v>
      </c>
      <c r="G5747" s="15"/>
      <c r="H5747" s="15"/>
      <c r="I5747" s="15"/>
      <c r="J5747" s="17">
        <v>398</v>
      </c>
      <c r="K5747" s="15" t="s">
        <v>11098</v>
      </c>
      <c r="L5747" s="17">
        <v>10</v>
      </c>
      <c r="M5747" s="17">
        <v>80</v>
      </c>
      <c r="N5747" s="17">
        <v>10</v>
      </c>
      <c r="O5747" s="18">
        <v>57.54</v>
      </c>
      <c r="P5747" s="18">
        <v>47.16</v>
      </c>
      <c r="Q5747" s="18">
        <v>40.28</v>
      </c>
      <c r="R5747" s="18">
        <v>33.020000000000003</v>
      </c>
      <c r="S5747" s="18">
        <v>39.130000000000003</v>
      </c>
      <c r="T5747" s="18">
        <v>32.07</v>
      </c>
      <c r="U5747" s="16"/>
      <c r="V5747" s="16"/>
      <c r="W5747" s="16"/>
      <c r="X5747" s="19">
        <v>5.3999999999999999E-2</v>
      </c>
      <c r="Y5747" s="20">
        <v>1.1900000000000001E-4</v>
      </c>
      <c r="Z5747" s="21">
        <v>4601004166769</v>
      </c>
    </row>
    <row r="5748" spans="1:26" ht="12" customHeight="1" outlineLevel="3" x14ac:dyDescent="0.2">
      <c r="A5748" s="14" t="s">
        <v>11111</v>
      </c>
      <c r="B5748" s="26" t="s">
        <v>11112</v>
      </c>
      <c r="C5748" s="52"/>
      <c r="D5748" s="55">
        <f t="shared" si="89"/>
        <v>0</v>
      </c>
      <c r="E5748" s="63" t="str">
        <f>HYPERLINK("https://www.sds-group.ru/product/shpatel-80-mm-nerzhaveyuschaya-stal-plastmassovaya-ruchka-rexant-89-0203/", "Инфо")</f>
        <v>Инфо</v>
      </c>
      <c r="F5748" s="16" t="s">
        <v>39</v>
      </c>
      <c r="G5748" s="15"/>
      <c r="H5748" s="15"/>
      <c r="I5748" s="15"/>
      <c r="J5748" s="17">
        <v>487</v>
      </c>
      <c r="K5748" s="15" t="s">
        <v>11098</v>
      </c>
      <c r="L5748" s="17">
        <v>10</v>
      </c>
      <c r="M5748" s="17">
        <v>60</v>
      </c>
      <c r="N5748" s="17">
        <v>10</v>
      </c>
      <c r="O5748" s="18">
        <v>67.33</v>
      </c>
      <c r="P5748" s="18">
        <v>55.19</v>
      </c>
      <c r="Q5748" s="18">
        <v>57.23</v>
      </c>
      <c r="R5748" s="18">
        <v>46.91</v>
      </c>
      <c r="S5748" s="18">
        <v>45.78</v>
      </c>
      <c r="T5748" s="18">
        <v>37.520000000000003</v>
      </c>
      <c r="U5748" s="16"/>
      <c r="V5748" s="16"/>
      <c r="W5748" s="16" t="s">
        <v>40</v>
      </c>
      <c r="X5748" s="19">
        <v>6.5000000000000002E-2</v>
      </c>
      <c r="Y5748" s="20">
        <v>1.4999999999999999E-4</v>
      </c>
      <c r="Z5748" s="21">
        <v>4601004166752</v>
      </c>
    </row>
    <row r="5749" spans="1:26" ht="12" customHeight="1" outlineLevel="3" x14ac:dyDescent="0.2">
      <c r="A5749" s="14" t="s">
        <v>11113</v>
      </c>
      <c r="B5749" s="26" t="s">
        <v>11114</v>
      </c>
      <c r="C5749" s="52"/>
      <c r="D5749" s="55">
        <f t="shared" si="89"/>
        <v>0</v>
      </c>
      <c r="E5749" s="63" t="str">
        <f>HYPERLINK("https://www.sds-group.ru/product/shpatel-oboynyy-plastmassovyy-280-mm-standart-rexant-89-0240/", "Инфо")</f>
        <v>Инфо</v>
      </c>
      <c r="F5749" s="16" t="s">
        <v>39</v>
      </c>
      <c r="G5749" s="15"/>
      <c r="H5749" s="15"/>
      <c r="I5749" s="15"/>
      <c r="J5749" s="17">
        <v>20</v>
      </c>
      <c r="K5749" s="15" t="s">
        <v>11098</v>
      </c>
      <c r="L5749" s="17">
        <v>5</v>
      </c>
      <c r="M5749" s="17">
        <v>30</v>
      </c>
      <c r="N5749" s="17">
        <v>5</v>
      </c>
      <c r="O5749" s="18">
        <v>131.72</v>
      </c>
      <c r="P5749" s="18">
        <v>107.97</v>
      </c>
      <c r="Q5749" s="18">
        <v>92.2</v>
      </c>
      <c r="R5749" s="18">
        <v>75.569999999999993</v>
      </c>
      <c r="S5749" s="18">
        <v>89.57</v>
      </c>
      <c r="T5749" s="18">
        <v>73.42</v>
      </c>
      <c r="U5749" s="16"/>
      <c r="V5749" s="16"/>
      <c r="W5749" s="16"/>
      <c r="X5749" s="19">
        <v>0.109</v>
      </c>
      <c r="Y5749" s="20">
        <v>5.9999999999999995E-4</v>
      </c>
      <c r="Z5749" s="21">
        <v>4601004166851</v>
      </c>
    </row>
    <row r="5750" spans="1:26" ht="12" customHeight="1" outlineLevel="3" x14ac:dyDescent="0.2">
      <c r="A5750" s="32" t="s">
        <v>11115</v>
      </c>
      <c r="B5750" s="74" t="s">
        <v>11116</v>
      </c>
      <c r="C5750" s="50"/>
      <c r="D5750" s="53">
        <f t="shared" si="89"/>
        <v>0</v>
      </c>
      <c r="E5750" s="60" t="str">
        <f>HYPERLINK("https://www.sds-group.ru/product/shpatel-fasadniy-rexant-150-mm-zub-6h6-nerjaveyuschaya-stal-plastmassovaya-ruchka-20917/", "Инфо")</f>
        <v>Инфо</v>
      </c>
      <c r="F5750" s="34" t="s">
        <v>39</v>
      </c>
      <c r="G5750" s="33"/>
      <c r="H5750" s="33" t="s">
        <v>40</v>
      </c>
      <c r="I5750" s="33"/>
      <c r="J5750" s="35">
        <v>4</v>
      </c>
      <c r="K5750" s="33"/>
      <c r="L5750" s="35">
        <v>1</v>
      </c>
      <c r="M5750" s="35">
        <v>50</v>
      </c>
      <c r="N5750" s="35">
        <v>1</v>
      </c>
      <c r="O5750" s="36">
        <v>106.1</v>
      </c>
      <c r="P5750" s="36">
        <v>86.97</v>
      </c>
      <c r="Q5750" s="36">
        <v>74.27</v>
      </c>
      <c r="R5750" s="36">
        <v>60.88</v>
      </c>
      <c r="S5750" s="36">
        <v>72.150000000000006</v>
      </c>
      <c r="T5750" s="36">
        <v>59.14</v>
      </c>
      <c r="U5750" s="34"/>
      <c r="V5750" s="34"/>
      <c r="W5750" s="34"/>
      <c r="X5750" s="37">
        <v>0.108</v>
      </c>
      <c r="Y5750" s="38">
        <v>3.6200000000000002E-4</v>
      </c>
      <c r="Z5750" s="21">
        <v>4601004172845</v>
      </c>
    </row>
    <row r="5751" spans="1:26" ht="12" customHeight="1" outlineLevel="3" x14ac:dyDescent="0.2">
      <c r="A5751" s="14" t="s">
        <v>11117</v>
      </c>
      <c r="B5751" s="26" t="s">
        <v>11118</v>
      </c>
      <c r="C5751" s="52"/>
      <c r="D5751" s="55">
        <f t="shared" si="89"/>
        <v>0</v>
      </c>
      <c r="E5751" s="63" t="str">
        <f>HYPERLINK("https://www.sds-group.ru/product/shpatel-fasadnyy-150-mm-nerzhaveyuschaya-stal-plastmassovaya-ruchka-rexant-89-0205/", "Инфо")</f>
        <v>Инфо</v>
      </c>
      <c r="F5751" s="16" t="s">
        <v>39</v>
      </c>
      <c r="G5751" s="15"/>
      <c r="H5751" s="15"/>
      <c r="I5751" s="15"/>
      <c r="J5751" s="22">
        <v>1084</v>
      </c>
      <c r="K5751" s="15" t="s">
        <v>11098</v>
      </c>
      <c r="L5751" s="17">
        <v>5</v>
      </c>
      <c r="M5751" s="17">
        <v>50</v>
      </c>
      <c r="N5751" s="17">
        <v>5</v>
      </c>
      <c r="O5751" s="18">
        <v>111.91</v>
      </c>
      <c r="P5751" s="18">
        <v>91.73</v>
      </c>
      <c r="Q5751" s="18">
        <v>78.34</v>
      </c>
      <c r="R5751" s="18">
        <v>64.209999999999994</v>
      </c>
      <c r="S5751" s="18">
        <v>76.099999999999994</v>
      </c>
      <c r="T5751" s="18">
        <v>62.38</v>
      </c>
      <c r="U5751" s="16"/>
      <c r="V5751" s="16"/>
      <c r="W5751" s="16"/>
      <c r="X5751" s="19">
        <v>0.107</v>
      </c>
      <c r="Y5751" s="20">
        <v>3.4299999999999999E-4</v>
      </c>
      <c r="Z5751" s="21">
        <v>4601004166783</v>
      </c>
    </row>
    <row r="5752" spans="1:26" ht="12" customHeight="1" outlineLevel="3" x14ac:dyDescent="0.2">
      <c r="A5752" s="14" t="s">
        <v>11119</v>
      </c>
      <c r="B5752" s="26" t="s">
        <v>11120</v>
      </c>
      <c r="C5752" s="52"/>
      <c r="D5752" s="55">
        <f t="shared" si="89"/>
        <v>0</v>
      </c>
      <c r="E5752" s="63" t="str">
        <f>HYPERLINK("https://www.sds-group.ru/product/shpatel-fasadnyy-200-mm-nerzhaveyuschaya-stal-plastmassovaya-ruchka-rexant-89-0206/", "Инфо")</f>
        <v>Инфо</v>
      </c>
      <c r="F5752" s="16" t="s">
        <v>39</v>
      </c>
      <c r="G5752" s="15"/>
      <c r="H5752" s="15"/>
      <c r="I5752" s="15"/>
      <c r="J5752" s="17">
        <v>2</v>
      </c>
      <c r="K5752" s="15" t="s">
        <v>11098</v>
      </c>
      <c r="L5752" s="17">
        <v>5</v>
      </c>
      <c r="M5752" s="17">
        <v>30</v>
      </c>
      <c r="N5752" s="17">
        <v>5</v>
      </c>
      <c r="O5752" s="18">
        <v>131.75</v>
      </c>
      <c r="P5752" s="18">
        <v>107.99</v>
      </c>
      <c r="Q5752" s="18">
        <v>111.99</v>
      </c>
      <c r="R5752" s="18">
        <v>91.8</v>
      </c>
      <c r="S5752" s="18">
        <v>89.59</v>
      </c>
      <c r="T5752" s="18">
        <v>73.430000000000007</v>
      </c>
      <c r="U5752" s="16"/>
      <c r="V5752" s="16"/>
      <c r="W5752" s="16" t="s">
        <v>40</v>
      </c>
      <c r="X5752" s="19">
        <v>0.13200000000000001</v>
      </c>
      <c r="Y5752" s="20">
        <v>6.1300000000000005E-4</v>
      </c>
      <c r="Z5752" s="21">
        <v>4601004166790</v>
      </c>
    </row>
    <row r="5753" spans="1:26" ht="12" customHeight="1" outlineLevel="3" x14ac:dyDescent="0.2">
      <c r="A5753" s="14" t="s">
        <v>11121</v>
      </c>
      <c r="B5753" s="26" t="s">
        <v>11122</v>
      </c>
      <c r="C5753" s="52"/>
      <c r="D5753" s="55">
        <f t="shared" si="89"/>
        <v>0</v>
      </c>
      <c r="E5753" s="63" t="str">
        <f>HYPERLINK("https://www.sds-group.ru/product/shpatel-fasadnyy-250-mm-nerzhaveyuschaya-stal-plastmassovaya-ruchka-rexant-89-0207/", "Инфо")</f>
        <v>Инфо</v>
      </c>
      <c r="F5753" s="16" t="s">
        <v>39</v>
      </c>
      <c r="G5753" s="15"/>
      <c r="H5753" s="15"/>
      <c r="I5753" s="15"/>
      <c r="J5753" s="17">
        <v>61</v>
      </c>
      <c r="K5753" s="15" t="s">
        <v>11098</v>
      </c>
      <c r="L5753" s="17">
        <v>5</v>
      </c>
      <c r="M5753" s="17">
        <v>25</v>
      </c>
      <c r="N5753" s="17">
        <v>5</v>
      </c>
      <c r="O5753" s="18">
        <v>137.22999999999999</v>
      </c>
      <c r="P5753" s="18">
        <v>112.48</v>
      </c>
      <c r="Q5753" s="18">
        <v>96.06</v>
      </c>
      <c r="R5753" s="18">
        <v>78.739999999999995</v>
      </c>
      <c r="S5753" s="18">
        <v>93.32</v>
      </c>
      <c r="T5753" s="18">
        <v>76.489999999999995</v>
      </c>
      <c r="U5753" s="16"/>
      <c r="V5753" s="16"/>
      <c r="W5753" s="16"/>
      <c r="X5753" s="19">
        <v>0.16</v>
      </c>
      <c r="Y5753" s="20">
        <v>7.1100000000000004E-4</v>
      </c>
      <c r="Z5753" s="21">
        <v>4601004166806</v>
      </c>
    </row>
    <row r="5754" spans="1:26" ht="12" customHeight="1" outlineLevel="3" x14ac:dyDescent="0.2">
      <c r="A5754" s="14" t="s">
        <v>11123</v>
      </c>
      <c r="B5754" s="26" t="s">
        <v>11124</v>
      </c>
      <c r="C5754" s="52"/>
      <c r="D5754" s="55">
        <f t="shared" si="89"/>
        <v>0</v>
      </c>
      <c r="E5754" s="63" t="str">
        <f>HYPERLINK("https://www.sds-group.ru/product/shpatel-fasadnyy-300-mm-nerzhaveyuschaya-stal-plastmassovaya-ruchka-rexant-89-0208/", "Инфо")</f>
        <v>Инфо</v>
      </c>
      <c r="F5754" s="16" t="s">
        <v>39</v>
      </c>
      <c r="G5754" s="15"/>
      <c r="H5754" s="15"/>
      <c r="I5754" s="15"/>
      <c r="J5754" s="17">
        <v>392</v>
      </c>
      <c r="K5754" s="15" t="s">
        <v>11098</v>
      </c>
      <c r="L5754" s="17">
        <v>5</v>
      </c>
      <c r="M5754" s="17">
        <v>10</v>
      </c>
      <c r="N5754" s="17">
        <v>5</v>
      </c>
      <c r="O5754" s="18">
        <v>168.01</v>
      </c>
      <c r="P5754" s="18">
        <v>137.71</v>
      </c>
      <c r="Q5754" s="18">
        <v>117.61</v>
      </c>
      <c r="R5754" s="18">
        <v>96.4</v>
      </c>
      <c r="S5754" s="18">
        <v>114.25</v>
      </c>
      <c r="T5754" s="18">
        <v>93.65</v>
      </c>
      <c r="U5754" s="16"/>
      <c r="V5754" s="16"/>
      <c r="W5754" s="16"/>
      <c r="X5754" s="19">
        <v>0.191</v>
      </c>
      <c r="Y5754" s="20">
        <v>8.1099999999999998E-4</v>
      </c>
      <c r="Z5754" s="21">
        <v>4601004166813</v>
      </c>
    </row>
    <row r="5755" spans="1:26" ht="12" customHeight="1" outlineLevel="3" x14ac:dyDescent="0.2">
      <c r="A5755" s="14" t="s">
        <v>11125</v>
      </c>
      <c r="B5755" s="26" t="s">
        <v>11126</v>
      </c>
      <c r="C5755" s="52"/>
      <c r="D5755" s="55">
        <f t="shared" si="89"/>
        <v>0</v>
      </c>
      <c r="E5755" s="63" t="str">
        <f>HYPERLINK("https://www.sds-group.ru/product/shpatel-fasadnyy-350-mm-nerzhaveyuschaya-stal-plastmassovaya-ruchka-rexant-89-0209/", "Инфо")</f>
        <v>Инфо</v>
      </c>
      <c r="F5755" s="16" t="s">
        <v>39</v>
      </c>
      <c r="G5755" s="15"/>
      <c r="H5755" s="15"/>
      <c r="I5755" s="15"/>
      <c r="J5755" s="17">
        <v>12</v>
      </c>
      <c r="K5755" s="15" t="s">
        <v>11098</v>
      </c>
      <c r="L5755" s="17">
        <v>5</v>
      </c>
      <c r="M5755" s="17">
        <v>10</v>
      </c>
      <c r="N5755" s="17">
        <v>5</v>
      </c>
      <c r="O5755" s="18">
        <v>177.19</v>
      </c>
      <c r="P5755" s="18">
        <v>145.24</v>
      </c>
      <c r="Q5755" s="18">
        <v>150.61000000000001</v>
      </c>
      <c r="R5755" s="18">
        <v>123.45</v>
      </c>
      <c r="S5755" s="18">
        <v>120.49</v>
      </c>
      <c r="T5755" s="18">
        <v>98.76</v>
      </c>
      <c r="U5755" s="16"/>
      <c r="V5755" s="16"/>
      <c r="W5755" s="16" t="s">
        <v>40</v>
      </c>
      <c r="X5755" s="19">
        <v>0.21</v>
      </c>
      <c r="Y5755" s="20">
        <v>9.59E-4</v>
      </c>
      <c r="Z5755" s="21">
        <v>4601004166820</v>
      </c>
    </row>
    <row r="5756" spans="1:26" ht="12" customHeight="1" outlineLevel="3" x14ac:dyDescent="0.2">
      <c r="A5756" s="14" t="s">
        <v>11127</v>
      </c>
      <c r="B5756" s="26" t="s">
        <v>11128</v>
      </c>
      <c r="C5756" s="52"/>
      <c r="D5756" s="55">
        <f t="shared" si="89"/>
        <v>0</v>
      </c>
      <c r="E5756" s="63" t="str">
        <f>HYPERLINK("https://www.sds-group.ru/product/shpatel-fasadnyy-450-mm-nerzhaveyuschaya-stal-plastmassovaya-ruchka-rexant-89-0210/", "Инфо")</f>
        <v>Инфо</v>
      </c>
      <c r="F5756" s="16" t="s">
        <v>39</v>
      </c>
      <c r="G5756" s="15"/>
      <c r="H5756" s="15"/>
      <c r="I5756" s="15"/>
      <c r="J5756" s="22">
        <v>1749</v>
      </c>
      <c r="K5756" s="15" t="s">
        <v>11098</v>
      </c>
      <c r="L5756" s="17">
        <v>5</v>
      </c>
      <c r="M5756" s="17">
        <v>10</v>
      </c>
      <c r="N5756" s="17">
        <v>5</v>
      </c>
      <c r="O5756" s="18">
        <v>231.37</v>
      </c>
      <c r="P5756" s="18">
        <v>189.65</v>
      </c>
      <c r="Q5756" s="18">
        <v>161.96</v>
      </c>
      <c r="R5756" s="18">
        <v>132.75</v>
      </c>
      <c r="S5756" s="18">
        <v>157.33000000000001</v>
      </c>
      <c r="T5756" s="18">
        <v>128.96</v>
      </c>
      <c r="U5756" s="16"/>
      <c r="V5756" s="16"/>
      <c r="W5756" s="16"/>
      <c r="X5756" s="19">
        <v>0.29799999999999999</v>
      </c>
      <c r="Y5756" s="20">
        <v>1.2440000000000001E-3</v>
      </c>
      <c r="Z5756" s="21">
        <v>4601004166837</v>
      </c>
    </row>
    <row r="5757" spans="1:26" ht="12" customHeight="1" outlineLevel="3" x14ac:dyDescent="0.2">
      <c r="A5757" s="14" t="s">
        <v>11129</v>
      </c>
      <c r="B5757" s="26" t="s">
        <v>11130</v>
      </c>
      <c r="C5757" s="52"/>
      <c r="D5757" s="55">
        <f t="shared" si="89"/>
        <v>0</v>
      </c>
      <c r="E5757" s="63" t="str">
        <f>HYPERLINK("https://www.sds-group.ru/product/shpatel-fasadnyy-600-mm-nerzhaveyuschaya-stal-plastmassovaya-ruchka-rexant-89-0211/", "Инфо")</f>
        <v>Инфо</v>
      </c>
      <c r="F5757" s="16" t="s">
        <v>39</v>
      </c>
      <c r="G5757" s="15"/>
      <c r="H5757" s="15"/>
      <c r="I5757" s="15"/>
      <c r="J5757" s="17">
        <v>125</v>
      </c>
      <c r="K5757" s="15" t="s">
        <v>11098</v>
      </c>
      <c r="L5757" s="17">
        <v>5</v>
      </c>
      <c r="M5757" s="17">
        <v>10</v>
      </c>
      <c r="N5757" s="17">
        <v>5</v>
      </c>
      <c r="O5757" s="18">
        <v>328.07</v>
      </c>
      <c r="P5757" s="18">
        <v>268.91000000000003</v>
      </c>
      <c r="Q5757" s="18">
        <v>278.86</v>
      </c>
      <c r="R5757" s="18">
        <v>228.57</v>
      </c>
      <c r="S5757" s="18">
        <v>223.09</v>
      </c>
      <c r="T5757" s="18">
        <v>182.86</v>
      </c>
      <c r="U5757" s="16"/>
      <c r="V5757" s="16"/>
      <c r="W5757" s="16" t="s">
        <v>40</v>
      </c>
      <c r="X5757" s="19">
        <v>0.373</v>
      </c>
      <c r="Y5757" s="20">
        <v>1.678E-3</v>
      </c>
      <c r="Z5757" s="21">
        <v>4601004166844</v>
      </c>
    </row>
    <row r="5758" spans="1:26" ht="12" customHeight="1" outlineLevel="3" x14ac:dyDescent="0.2">
      <c r="A5758" s="14" t="s">
        <v>11131</v>
      </c>
      <c r="B5758" s="26" t="s">
        <v>11132</v>
      </c>
      <c r="C5758" s="52"/>
      <c r="D5758" s="55">
        <f t="shared" si="89"/>
        <v>0</v>
      </c>
      <c r="E5758" s="63" t="str">
        <f>HYPERLINK("https://www.sds-group.ru/product/shpatel-fasadnyy-nerzhaveyuschaya-stal-250-mm-2-komponentnaya-ruchka-rexant-89-0214/", "Инфо")</f>
        <v>Инфо</v>
      </c>
      <c r="F5758" s="16" t="s">
        <v>39</v>
      </c>
      <c r="G5758" s="15"/>
      <c r="H5758" s="15"/>
      <c r="I5758" s="15"/>
      <c r="J5758" s="17">
        <v>74</v>
      </c>
      <c r="K5758" s="15" t="s">
        <v>11098</v>
      </c>
      <c r="L5758" s="17">
        <v>1</v>
      </c>
      <c r="M5758" s="17">
        <v>10</v>
      </c>
      <c r="N5758" s="17">
        <v>1</v>
      </c>
      <c r="O5758" s="18">
        <v>588.49</v>
      </c>
      <c r="P5758" s="18">
        <v>482.37</v>
      </c>
      <c r="Q5758" s="18">
        <v>470.79</v>
      </c>
      <c r="R5758" s="18">
        <v>385.89</v>
      </c>
      <c r="S5758" s="18">
        <v>400.17</v>
      </c>
      <c r="T5758" s="18">
        <v>328.01</v>
      </c>
      <c r="U5758" s="16"/>
      <c r="V5758" s="16"/>
      <c r="W5758" s="16" t="s">
        <v>40</v>
      </c>
      <c r="X5758" s="19">
        <v>0.247</v>
      </c>
      <c r="Y5758" s="20">
        <v>6.9999999999999999E-4</v>
      </c>
      <c r="Z5758" s="21">
        <v>4601004287884</v>
      </c>
    </row>
    <row r="5759" spans="1:26" ht="12" customHeight="1" outlineLevel="3" x14ac:dyDescent="0.2">
      <c r="A5759" s="14" t="s">
        <v>11133</v>
      </c>
      <c r="B5759" s="26" t="s">
        <v>11134</v>
      </c>
      <c r="C5759" s="52"/>
      <c r="D5759" s="55">
        <f t="shared" si="89"/>
        <v>0</v>
      </c>
      <c r="E5759" s="63" t="str">
        <f>HYPERLINK("https://www.sds-group.ru/product/shpatel-fasadnyy-nerzhaveyuschaya-stal-300mm-2-komponentnaya-ruchka-rexant-89-0215/", "Инфо")</f>
        <v>Инфо</v>
      </c>
      <c r="F5759" s="16" t="s">
        <v>39</v>
      </c>
      <c r="G5759" s="15"/>
      <c r="H5759" s="15"/>
      <c r="I5759" s="15"/>
      <c r="J5759" s="16" t="s">
        <v>100</v>
      </c>
      <c r="K5759" s="15" t="s">
        <v>11098</v>
      </c>
      <c r="L5759" s="17">
        <v>1</v>
      </c>
      <c r="M5759" s="17">
        <v>10</v>
      </c>
      <c r="N5759" s="17">
        <v>1</v>
      </c>
      <c r="O5759" s="18">
        <v>644.01</v>
      </c>
      <c r="P5759" s="18">
        <v>527.88</v>
      </c>
      <c r="Q5759" s="18">
        <v>515.21</v>
      </c>
      <c r="R5759" s="18">
        <v>422.3</v>
      </c>
      <c r="S5759" s="18">
        <v>437.93</v>
      </c>
      <c r="T5759" s="18">
        <v>358.96</v>
      </c>
      <c r="U5759" s="16"/>
      <c r="V5759" s="16"/>
      <c r="W5759" s="16" t="s">
        <v>40</v>
      </c>
      <c r="X5759" s="19">
        <v>0.27300000000000002</v>
      </c>
      <c r="Y5759" s="20">
        <v>8.6799999999999996E-4</v>
      </c>
      <c r="Z5759" s="21">
        <v>4601004287822</v>
      </c>
    </row>
    <row r="5760" spans="1:26" ht="12" customHeight="1" outlineLevel="3" x14ac:dyDescent="0.2">
      <c r="A5760" s="14" t="s">
        <v>11135</v>
      </c>
      <c r="B5760" s="26" t="s">
        <v>11136</v>
      </c>
      <c r="C5760" s="52"/>
      <c r="D5760" s="55">
        <f t="shared" si="89"/>
        <v>0</v>
      </c>
      <c r="E5760" s="63" t="str">
        <f>HYPERLINK("https://www.sds-group.ru/product/shpatel-fasadnyy-nerzhaveyuschaya-stal-350mm-2-komponentnaya-ruchka-rexant-89-0216/", "Инфо")</f>
        <v>Инфо</v>
      </c>
      <c r="F5760" s="16" t="s">
        <v>39</v>
      </c>
      <c r="G5760" s="15"/>
      <c r="H5760" s="15"/>
      <c r="I5760" s="15"/>
      <c r="J5760" s="17">
        <v>104</v>
      </c>
      <c r="K5760" s="15" t="s">
        <v>11098</v>
      </c>
      <c r="L5760" s="17">
        <v>1</v>
      </c>
      <c r="M5760" s="17">
        <v>10</v>
      </c>
      <c r="N5760" s="17">
        <v>1</v>
      </c>
      <c r="O5760" s="18">
        <v>689.93</v>
      </c>
      <c r="P5760" s="18">
        <v>565.52</v>
      </c>
      <c r="Q5760" s="18">
        <v>551.94000000000005</v>
      </c>
      <c r="R5760" s="18">
        <v>452.41</v>
      </c>
      <c r="S5760" s="18">
        <v>469.15</v>
      </c>
      <c r="T5760" s="18">
        <v>384.55</v>
      </c>
      <c r="U5760" s="16"/>
      <c r="V5760" s="16"/>
      <c r="W5760" s="16" t="s">
        <v>40</v>
      </c>
      <c r="X5760" s="19">
        <v>0.30099999999999999</v>
      </c>
      <c r="Y5760" s="20">
        <v>9.859999999999999E-4</v>
      </c>
      <c r="Z5760" s="21">
        <v>4601004287853</v>
      </c>
    </row>
    <row r="5761" spans="1:26" ht="12" customHeight="1" outlineLevel="3" x14ac:dyDescent="0.2">
      <c r="A5761" s="14" t="s">
        <v>11137</v>
      </c>
      <c r="B5761" s="26" t="s">
        <v>11138</v>
      </c>
      <c r="C5761" s="52"/>
      <c r="D5761" s="55">
        <f t="shared" si="89"/>
        <v>0</v>
      </c>
      <c r="E5761" s="63" t="str">
        <f>HYPERLINK("https://www.sds-group.ru/product/shpatel-fasadnyy-nerzhaveyuschaya-stal-450mm-2-komponentnaya-ruchka-rexant-89-0217/", "Инфо")</f>
        <v>Инфо</v>
      </c>
      <c r="F5761" s="16" t="s">
        <v>39</v>
      </c>
      <c r="G5761" s="15"/>
      <c r="H5761" s="15"/>
      <c r="I5761" s="15"/>
      <c r="J5761" s="17">
        <v>149</v>
      </c>
      <c r="K5761" s="15" t="s">
        <v>11098</v>
      </c>
      <c r="L5761" s="17">
        <v>1</v>
      </c>
      <c r="M5761" s="17">
        <v>10</v>
      </c>
      <c r="N5761" s="17">
        <v>1</v>
      </c>
      <c r="O5761" s="18">
        <v>854.97</v>
      </c>
      <c r="P5761" s="18">
        <v>700.8</v>
      </c>
      <c r="Q5761" s="18">
        <v>683.98</v>
      </c>
      <c r="R5761" s="18">
        <v>560.64</v>
      </c>
      <c r="S5761" s="18">
        <v>581.38</v>
      </c>
      <c r="T5761" s="18">
        <v>476.54</v>
      </c>
      <c r="U5761" s="16"/>
      <c r="V5761" s="16"/>
      <c r="W5761" s="16" t="s">
        <v>40</v>
      </c>
      <c r="X5761" s="19">
        <v>0.36099999999999999</v>
      </c>
      <c r="Y5761" s="20">
        <v>1.2179999999999999E-3</v>
      </c>
      <c r="Z5761" s="21">
        <v>4601004287860</v>
      </c>
    </row>
    <row r="5762" spans="1:26" ht="12" customHeight="1" outlineLevel="3" x14ac:dyDescent="0.2">
      <c r="A5762" s="14" t="s">
        <v>11139</v>
      </c>
      <c r="B5762" s="26" t="s">
        <v>11140</v>
      </c>
      <c r="C5762" s="52"/>
      <c r="D5762" s="55">
        <f t="shared" si="89"/>
        <v>0</v>
      </c>
      <c r="E5762" s="63" t="str">
        <f>HYPERLINK("https://www.sds-group.ru/product/shpatel-fasadnyy-nerzhaveyuschaya-stal-600mm-2-komponentnaya-ruchka-rexant-89-0218/", "Инфо")</f>
        <v>Инфо</v>
      </c>
      <c r="F5762" s="16" t="s">
        <v>39</v>
      </c>
      <c r="G5762" s="15"/>
      <c r="H5762" s="15"/>
      <c r="I5762" s="15"/>
      <c r="J5762" s="16" t="s">
        <v>100</v>
      </c>
      <c r="K5762" s="15" t="s">
        <v>11098</v>
      </c>
      <c r="L5762" s="17">
        <v>1</v>
      </c>
      <c r="M5762" s="17">
        <v>10</v>
      </c>
      <c r="N5762" s="17">
        <v>1</v>
      </c>
      <c r="O5762" s="18">
        <v>1054.8399999999999</v>
      </c>
      <c r="P5762" s="18">
        <v>864.62</v>
      </c>
      <c r="Q5762" s="18">
        <v>843.87</v>
      </c>
      <c r="R5762" s="18">
        <v>691.7</v>
      </c>
      <c r="S5762" s="18">
        <v>717.29</v>
      </c>
      <c r="T5762" s="18">
        <v>587.94000000000005</v>
      </c>
      <c r="U5762" s="16"/>
      <c r="V5762" s="16"/>
      <c r="W5762" s="16" t="s">
        <v>40</v>
      </c>
      <c r="X5762" s="19">
        <v>0.45400000000000001</v>
      </c>
      <c r="Y5762" s="20">
        <v>1.6299999999999999E-3</v>
      </c>
      <c r="Z5762" s="21">
        <v>4601004287907</v>
      </c>
    </row>
    <row r="5763" spans="1:26" ht="12.95" customHeight="1" outlineLevel="2" x14ac:dyDescent="0.2">
      <c r="A5763" s="82" t="s">
        <v>11141</v>
      </c>
      <c r="B5763" s="82"/>
      <c r="C5763" s="83"/>
      <c r="D5763" s="59"/>
      <c r="E5763" s="69"/>
      <c r="F5763" s="23"/>
      <c r="G5763" s="23"/>
      <c r="H5763" s="23"/>
      <c r="I5763" s="23"/>
      <c r="J5763" s="23"/>
      <c r="K5763" s="23"/>
      <c r="L5763" s="23"/>
      <c r="M5763" s="23"/>
      <c r="N5763" s="23"/>
      <c r="O5763" s="23"/>
      <c r="P5763" s="23"/>
      <c r="Q5763" s="23"/>
      <c r="R5763" s="23"/>
      <c r="S5763" s="23"/>
      <c r="T5763" s="23"/>
      <c r="U5763" s="23"/>
      <c r="V5763" s="23"/>
      <c r="W5763" s="23"/>
      <c r="X5763" s="23"/>
      <c r="Y5763" s="23"/>
      <c r="Z5763" s="23"/>
    </row>
    <row r="5764" spans="1:26" ht="12" customHeight="1" outlineLevel="3" x14ac:dyDescent="0.2">
      <c r="A5764" s="14" t="s">
        <v>11142</v>
      </c>
      <c r="B5764" s="26" t="s">
        <v>11143</v>
      </c>
      <c r="C5764" s="52"/>
      <c r="D5764" s="55">
        <f t="shared" si="89"/>
        <v>0</v>
      </c>
      <c r="E5764" s="63" t="str">
        <f>HYPERLINK("https://www.sds-group.ru/product/gladilka-nerzhaveyuschaya-130h270-mm-zub-10h10-mm-plastikovaya-ruchka-rexant-89-0255/", "Инфо")</f>
        <v>Инфо</v>
      </c>
      <c r="F5764" s="16" t="s">
        <v>39</v>
      </c>
      <c r="G5764" s="15"/>
      <c r="H5764" s="15"/>
      <c r="I5764" s="15"/>
      <c r="J5764" s="17">
        <v>14</v>
      </c>
      <c r="K5764" s="15" t="s">
        <v>11098</v>
      </c>
      <c r="L5764" s="17">
        <v>5</v>
      </c>
      <c r="M5764" s="17">
        <v>24</v>
      </c>
      <c r="N5764" s="17">
        <v>5</v>
      </c>
      <c r="O5764" s="18">
        <v>355.11</v>
      </c>
      <c r="P5764" s="18">
        <v>291.07</v>
      </c>
      <c r="Q5764" s="18">
        <v>248.58</v>
      </c>
      <c r="R5764" s="18">
        <v>203.75</v>
      </c>
      <c r="S5764" s="18">
        <v>241.47</v>
      </c>
      <c r="T5764" s="18">
        <v>197.93</v>
      </c>
      <c r="U5764" s="16"/>
      <c r="V5764" s="16"/>
      <c r="W5764" s="16"/>
      <c r="X5764" s="19">
        <v>0.316</v>
      </c>
      <c r="Y5764" s="20">
        <v>1.464E-3</v>
      </c>
      <c r="Z5764" s="21">
        <v>4601004166905</v>
      </c>
    </row>
    <row r="5765" spans="1:26" ht="12" customHeight="1" outlineLevel="3" x14ac:dyDescent="0.2">
      <c r="A5765" s="14" t="s">
        <v>11144</v>
      </c>
      <c r="B5765" s="26" t="s">
        <v>11145</v>
      </c>
      <c r="C5765" s="52"/>
      <c r="D5765" s="55">
        <f t="shared" si="89"/>
        <v>0</v>
      </c>
      <c r="E5765" s="63" t="str">
        <f>HYPERLINK("https://www.sds-group.ru/product/gladilka-nerzhaveyuschaya-130h270-mm-zub-8h8-mm-plastikovaya-ruchka-rexant-89-0254/", "Инфо")</f>
        <v>Инфо</v>
      </c>
      <c r="F5765" s="16" t="s">
        <v>39</v>
      </c>
      <c r="G5765" s="15"/>
      <c r="H5765" s="15"/>
      <c r="I5765" s="15"/>
      <c r="J5765" s="16" t="s">
        <v>100</v>
      </c>
      <c r="K5765" s="15" t="s">
        <v>11098</v>
      </c>
      <c r="L5765" s="17">
        <v>5</v>
      </c>
      <c r="M5765" s="17">
        <v>24</v>
      </c>
      <c r="N5765" s="17">
        <v>5</v>
      </c>
      <c r="O5765" s="18">
        <v>355.12</v>
      </c>
      <c r="P5765" s="18">
        <v>291.08</v>
      </c>
      <c r="Q5765" s="18">
        <v>248.58</v>
      </c>
      <c r="R5765" s="18">
        <v>203.75</v>
      </c>
      <c r="S5765" s="18">
        <v>241.48</v>
      </c>
      <c r="T5765" s="18">
        <v>197.93</v>
      </c>
      <c r="U5765" s="16"/>
      <c r="V5765" s="16"/>
      <c r="W5765" s="16"/>
      <c r="X5765" s="19">
        <v>0.315</v>
      </c>
      <c r="Y5765" s="20">
        <v>1.488E-3</v>
      </c>
      <c r="Z5765" s="21">
        <v>4601004166899</v>
      </c>
    </row>
    <row r="5766" spans="1:26" ht="12" customHeight="1" outlineLevel="3" x14ac:dyDescent="0.2">
      <c r="A5766" s="14" t="s">
        <v>11146</v>
      </c>
      <c r="B5766" s="26" t="s">
        <v>11147</v>
      </c>
      <c r="C5766" s="52"/>
      <c r="D5766" s="55">
        <f t="shared" si="89"/>
        <v>0</v>
      </c>
      <c r="E5766" s="63" t="str">
        <f>HYPERLINK("https://www.sds-group.ru/product/gladilka-nerzhaveyuschaya-130h270-mm-plastikovaya-ruchka-rexant-89-0251/", "Инфо")</f>
        <v>Инфо</v>
      </c>
      <c r="F5766" s="16" t="s">
        <v>39</v>
      </c>
      <c r="G5766" s="15"/>
      <c r="H5766" s="15"/>
      <c r="I5766" s="15"/>
      <c r="J5766" s="22">
        <v>1735</v>
      </c>
      <c r="K5766" s="15" t="s">
        <v>11098</v>
      </c>
      <c r="L5766" s="17">
        <v>5</v>
      </c>
      <c r="M5766" s="17">
        <v>24</v>
      </c>
      <c r="N5766" s="17">
        <v>5</v>
      </c>
      <c r="O5766" s="18">
        <v>361.22</v>
      </c>
      <c r="P5766" s="18">
        <v>296.08</v>
      </c>
      <c r="Q5766" s="18">
        <v>252.85</v>
      </c>
      <c r="R5766" s="18">
        <v>207.25</v>
      </c>
      <c r="S5766" s="18">
        <v>245.63</v>
      </c>
      <c r="T5766" s="18">
        <v>201.34</v>
      </c>
      <c r="U5766" s="16"/>
      <c r="V5766" s="16"/>
      <c r="W5766" s="16"/>
      <c r="X5766" s="19">
        <v>0.317</v>
      </c>
      <c r="Y5766" s="20">
        <v>1.4430000000000001E-3</v>
      </c>
      <c r="Z5766" s="21">
        <v>4601004166868</v>
      </c>
    </row>
    <row r="5767" spans="1:26" ht="12" customHeight="1" outlineLevel="3" x14ac:dyDescent="0.2">
      <c r="A5767" s="14" t="s">
        <v>11148</v>
      </c>
      <c r="B5767" s="26" t="s">
        <v>11149</v>
      </c>
      <c r="C5767" s="52"/>
      <c r="D5767" s="55">
        <f t="shared" si="89"/>
        <v>0</v>
      </c>
      <c r="E5767" s="63" t="str">
        <f>HYPERLINK("https://www.sds-group.ru/product/gladilka-plastikovaya-dlya-dekorativnyh-rabot-140h280-mm-plastikovaya-ruchka-rexant-89-0256/", "Инфо")</f>
        <v>Инфо</v>
      </c>
      <c r="F5767" s="16" t="s">
        <v>39</v>
      </c>
      <c r="G5767" s="15"/>
      <c r="H5767" s="15"/>
      <c r="I5767" s="15"/>
      <c r="J5767" s="22">
        <v>1112</v>
      </c>
      <c r="K5767" s="15" t="s">
        <v>11098</v>
      </c>
      <c r="L5767" s="17">
        <v>5</v>
      </c>
      <c r="M5767" s="17">
        <v>24</v>
      </c>
      <c r="N5767" s="17">
        <v>5</v>
      </c>
      <c r="O5767" s="18">
        <v>252.38</v>
      </c>
      <c r="P5767" s="18">
        <v>206.87</v>
      </c>
      <c r="Q5767" s="18">
        <v>214.52</v>
      </c>
      <c r="R5767" s="18">
        <v>175.84</v>
      </c>
      <c r="S5767" s="18">
        <v>171.62</v>
      </c>
      <c r="T5767" s="18">
        <v>140.66999999999999</v>
      </c>
      <c r="U5767" s="16"/>
      <c r="V5767" s="16"/>
      <c r="W5767" s="16" t="s">
        <v>40</v>
      </c>
      <c r="X5767" s="19">
        <v>0.254</v>
      </c>
      <c r="Y5767" s="20">
        <v>1.4469999999999999E-3</v>
      </c>
      <c r="Z5767" s="21">
        <v>4601004166912</v>
      </c>
    </row>
    <row r="5768" spans="1:26" ht="12.95" customHeight="1" outlineLevel="2" x14ac:dyDescent="0.2">
      <c r="A5768" s="76" t="s">
        <v>11150</v>
      </c>
      <c r="B5768" s="76"/>
      <c r="C5768" s="77"/>
      <c r="D5768" s="58"/>
      <c r="E5768" s="68"/>
      <c r="F5768" s="13"/>
      <c r="G5768" s="13"/>
      <c r="H5768" s="13"/>
      <c r="I5768" s="13"/>
      <c r="J5768" s="13"/>
      <c r="K5768" s="13"/>
      <c r="L5768" s="13"/>
      <c r="M5768" s="13"/>
      <c r="N5768" s="13"/>
      <c r="O5768" s="13"/>
      <c r="P5768" s="13"/>
      <c r="Q5768" s="13"/>
      <c r="R5768" s="13"/>
      <c r="S5768" s="13"/>
      <c r="T5768" s="13"/>
      <c r="U5768" s="13"/>
      <c r="V5768" s="13"/>
      <c r="W5768" s="13"/>
      <c r="X5768" s="13"/>
      <c r="Y5768" s="13"/>
      <c r="Z5768" s="13"/>
    </row>
    <row r="5769" spans="1:26" ht="12" customHeight="1" outlineLevel="3" x14ac:dyDescent="0.2">
      <c r="A5769" s="14" t="s">
        <v>11151</v>
      </c>
      <c r="B5769" s="26" t="s">
        <v>11152</v>
      </c>
      <c r="C5769" s="52"/>
      <c r="D5769" s="55">
        <f t="shared" ref="D5769:D5831" si="90">C5769*(O5769-O5769*$G$3)</f>
        <v>0</v>
      </c>
      <c r="E5769" s="63" t="str">
        <f>HYPERLINK("https://www.sds-group.ru/product/brus-dlya-shlifovaniya-210h105-mm-rexant-89-0258/", "Инфо")</f>
        <v>Инфо</v>
      </c>
      <c r="F5769" s="16" t="s">
        <v>39</v>
      </c>
      <c r="G5769" s="15"/>
      <c r="H5769" s="15"/>
      <c r="I5769" s="15"/>
      <c r="J5769" s="17">
        <v>157</v>
      </c>
      <c r="K5769" s="15" t="s">
        <v>11098</v>
      </c>
      <c r="L5769" s="17">
        <v>5</v>
      </c>
      <c r="M5769" s="17">
        <v>30</v>
      </c>
      <c r="N5769" s="17">
        <v>5</v>
      </c>
      <c r="O5769" s="18">
        <v>325.44</v>
      </c>
      <c r="P5769" s="18">
        <v>266.75</v>
      </c>
      <c r="Q5769" s="18">
        <v>227.81</v>
      </c>
      <c r="R5769" s="18">
        <v>186.73</v>
      </c>
      <c r="S5769" s="18">
        <v>221.3</v>
      </c>
      <c r="T5769" s="18">
        <v>181.39</v>
      </c>
      <c r="U5769" s="16"/>
      <c r="V5769" s="16"/>
      <c r="W5769" s="16"/>
      <c r="X5769" s="19">
        <v>0.188</v>
      </c>
      <c r="Y5769" s="20">
        <v>1.036E-3</v>
      </c>
      <c r="Z5769" s="21">
        <v>4601004166936</v>
      </c>
    </row>
    <row r="5770" spans="1:26" ht="12" customHeight="1" outlineLevel="3" x14ac:dyDescent="0.2">
      <c r="A5770" s="14" t="s">
        <v>11153</v>
      </c>
      <c r="B5770" s="26" t="s">
        <v>11154</v>
      </c>
      <c r="C5770" s="52"/>
      <c r="D5770" s="55">
        <f t="shared" si="90"/>
        <v>0</v>
      </c>
      <c r="E5770" s="63" t="str">
        <f>HYPERLINK("https://www.sds-group.ru/product/setkoderzhatel-na-vintah-230h105-mm-rexant-89-0257/", "Инфо")</f>
        <v>Инфо</v>
      </c>
      <c r="F5770" s="16" t="s">
        <v>39</v>
      </c>
      <c r="G5770" s="15"/>
      <c r="H5770" s="15"/>
      <c r="I5770" s="15"/>
      <c r="J5770" s="17">
        <v>184</v>
      </c>
      <c r="K5770" s="15" t="s">
        <v>11098</v>
      </c>
      <c r="L5770" s="17">
        <v>5</v>
      </c>
      <c r="M5770" s="17">
        <v>30</v>
      </c>
      <c r="N5770" s="17">
        <v>5</v>
      </c>
      <c r="O5770" s="18">
        <v>432.35</v>
      </c>
      <c r="P5770" s="18">
        <v>354.39</v>
      </c>
      <c r="Q5770" s="18">
        <v>302.64999999999998</v>
      </c>
      <c r="R5770" s="18">
        <v>248.07</v>
      </c>
      <c r="S5770" s="18">
        <v>294</v>
      </c>
      <c r="T5770" s="18">
        <v>240.98</v>
      </c>
      <c r="U5770" s="16"/>
      <c r="V5770" s="16"/>
      <c r="W5770" s="16"/>
      <c r="X5770" s="19">
        <v>0.24199999999999999</v>
      </c>
      <c r="Y5770" s="20">
        <v>1.165E-3</v>
      </c>
      <c r="Z5770" s="21">
        <v>4601004166929</v>
      </c>
    </row>
    <row r="5771" spans="1:26" ht="12.95" customHeight="1" outlineLevel="2" x14ac:dyDescent="0.2">
      <c r="A5771" s="82" t="s">
        <v>11155</v>
      </c>
      <c r="B5771" s="82"/>
      <c r="C5771" s="83"/>
      <c r="D5771" s="59"/>
      <c r="E5771" s="69"/>
      <c r="F5771" s="23"/>
      <c r="G5771" s="23"/>
      <c r="H5771" s="23"/>
      <c r="I5771" s="23"/>
      <c r="J5771" s="23"/>
      <c r="K5771" s="23"/>
      <c r="L5771" s="23"/>
      <c r="M5771" s="23"/>
      <c r="N5771" s="23"/>
      <c r="O5771" s="23"/>
      <c r="P5771" s="23"/>
      <c r="Q5771" s="23"/>
      <c r="R5771" s="23"/>
      <c r="S5771" s="23"/>
      <c r="T5771" s="23"/>
      <c r="U5771" s="23"/>
      <c r="V5771" s="23"/>
      <c r="W5771" s="23"/>
      <c r="X5771" s="23"/>
      <c r="Y5771" s="23"/>
      <c r="Z5771" s="23"/>
    </row>
    <row r="5772" spans="1:26" ht="12" customHeight="1" outlineLevel="3" x14ac:dyDescent="0.2">
      <c r="A5772" s="14" t="s">
        <v>11156</v>
      </c>
      <c r="B5772" s="26" t="s">
        <v>11157</v>
      </c>
      <c r="C5772" s="52"/>
      <c r="D5772" s="55">
        <f t="shared" si="90"/>
        <v>0</v>
      </c>
      <c r="E5772" s="63" t="str">
        <f>HYPERLINK("https://www.sds-group.ru/product/kist-maklovitsa-rexant-140x50-mm-iskusstvennaya-schetina-derevyannyy-korpus-89-0401/", "Инфо")</f>
        <v>Инфо</v>
      </c>
      <c r="F5772" s="16" t="s">
        <v>39</v>
      </c>
      <c r="G5772" s="15"/>
      <c r="H5772" s="15"/>
      <c r="I5772" s="15"/>
      <c r="J5772" s="17">
        <v>843</v>
      </c>
      <c r="K5772" s="15"/>
      <c r="L5772" s="17">
        <v>5</v>
      </c>
      <c r="M5772" s="17">
        <v>50</v>
      </c>
      <c r="N5772" s="17">
        <v>5</v>
      </c>
      <c r="O5772" s="18">
        <v>142.07</v>
      </c>
      <c r="P5772" s="18">
        <v>116.45</v>
      </c>
      <c r="Q5772" s="18">
        <v>99.45</v>
      </c>
      <c r="R5772" s="18">
        <v>81.52</v>
      </c>
      <c r="S5772" s="18">
        <v>96.61</v>
      </c>
      <c r="T5772" s="18">
        <v>79.19</v>
      </c>
      <c r="U5772" s="16"/>
      <c r="V5772" s="16"/>
      <c r="W5772" s="16"/>
      <c r="X5772" s="19">
        <v>0.11600000000000001</v>
      </c>
      <c r="Y5772" s="20">
        <v>7.1400000000000001E-4</v>
      </c>
      <c r="Z5772" s="21">
        <v>4601004172821</v>
      </c>
    </row>
    <row r="5773" spans="1:26" ht="12" customHeight="1" outlineLevel="3" x14ac:dyDescent="0.2">
      <c r="A5773" s="14" t="s">
        <v>11158</v>
      </c>
      <c r="B5773" s="26" t="s">
        <v>11159</v>
      </c>
      <c r="C5773" s="52"/>
      <c r="D5773" s="55">
        <f t="shared" si="90"/>
        <v>0</v>
      </c>
      <c r="E5773" s="63" t="str">
        <f>HYPERLINK("https://www.sds-group.ru/product/kist-maklovitsa-rexant-180x80-mm-iskusstvennaya-schetina-derevyannyy-korpus-89-0402/", "Инфо")</f>
        <v>Инфо</v>
      </c>
      <c r="F5773" s="16" t="s">
        <v>39</v>
      </c>
      <c r="G5773" s="15"/>
      <c r="H5773" s="15"/>
      <c r="I5773" s="15"/>
      <c r="J5773" s="17">
        <v>637</v>
      </c>
      <c r="K5773" s="15"/>
      <c r="L5773" s="17">
        <v>5</v>
      </c>
      <c r="M5773" s="17">
        <v>30</v>
      </c>
      <c r="N5773" s="17">
        <v>5</v>
      </c>
      <c r="O5773" s="18">
        <v>209.1</v>
      </c>
      <c r="P5773" s="18">
        <v>171.39</v>
      </c>
      <c r="Q5773" s="18">
        <v>146.37</v>
      </c>
      <c r="R5773" s="18">
        <v>119.98</v>
      </c>
      <c r="S5773" s="18">
        <v>142.19</v>
      </c>
      <c r="T5773" s="18">
        <v>116.55</v>
      </c>
      <c r="U5773" s="16"/>
      <c r="V5773" s="16"/>
      <c r="W5773" s="16"/>
      <c r="X5773" s="19">
        <v>0.22800000000000001</v>
      </c>
      <c r="Y5773" s="20">
        <v>1.1479999999999999E-3</v>
      </c>
      <c r="Z5773" s="21">
        <v>4601004172838</v>
      </c>
    </row>
    <row r="5774" spans="1:26" ht="12" customHeight="1" outlineLevel="3" x14ac:dyDescent="0.2">
      <c r="A5774" s="32" t="s">
        <v>11160</v>
      </c>
      <c r="B5774" s="74" t="s">
        <v>11161</v>
      </c>
      <c r="C5774" s="50"/>
      <c r="D5774" s="53">
        <f t="shared" si="90"/>
        <v>0</v>
      </c>
      <c r="E5774" s="60" t="str">
        <f>HYPERLINK("https://www.sds-group.ru/product/kist-ploskaya-vodnye-kraski-100h12-mm-rexant-89-0325/", "Инфо")</f>
        <v>Инфо</v>
      </c>
      <c r="F5774" s="34" t="s">
        <v>39</v>
      </c>
      <c r="G5774" s="33"/>
      <c r="H5774" s="33" t="s">
        <v>40</v>
      </c>
      <c r="I5774" s="33"/>
      <c r="J5774" s="35">
        <v>32</v>
      </c>
      <c r="K5774" s="33"/>
      <c r="L5774" s="35">
        <v>1</v>
      </c>
      <c r="M5774" s="35">
        <v>180</v>
      </c>
      <c r="N5774" s="35">
        <v>1</v>
      </c>
      <c r="O5774" s="36">
        <v>295.74</v>
      </c>
      <c r="P5774" s="36">
        <v>242.41</v>
      </c>
      <c r="Q5774" s="36">
        <v>251.38</v>
      </c>
      <c r="R5774" s="36">
        <v>206.05</v>
      </c>
      <c r="S5774" s="36">
        <v>201.1</v>
      </c>
      <c r="T5774" s="36">
        <v>164.84</v>
      </c>
      <c r="U5774" s="34"/>
      <c r="V5774" s="34"/>
      <c r="W5774" s="34" t="s">
        <v>40</v>
      </c>
      <c r="X5774" s="37">
        <v>7.6999999999999999E-2</v>
      </c>
      <c r="Y5774" s="38">
        <v>3.7300000000000001E-4</v>
      </c>
      <c r="Z5774" s="21">
        <v>4601004170858</v>
      </c>
    </row>
    <row r="5775" spans="1:26" ht="12" customHeight="1" outlineLevel="3" x14ac:dyDescent="0.2">
      <c r="A5775" s="32" t="s">
        <v>11162</v>
      </c>
      <c r="B5775" s="74" t="s">
        <v>11163</v>
      </c>
      <c r="C5775" s="50"/>
      <c r="D5775" s="53">
        <f t="shared" si="90"/>
        <v>0</v>
      </c>
      <c r="E5775" s="60" t="str">
        <f>HYPERLINK("https://www.sds-group.ru/product/kist-ploskaya-vodnye-kraski-25h10-mm-rexant-89-0321/", "Инфо")</f>
        <v>Инфо</v>
      </c>
      <c r="F5775" s="34" t="s">
        <v>39</v>
      </c>
      <c r="G5775" s="33"/>
      <c r="H5775" s="33" t="s">
        <v>40</v>
      </c>
      <c r="I5775" s="33"/>
      <c r="J5775" s="35">
        <v>157</v>
      </c>
      <c r="K5775" s="33"/>
      <c r="L5775" s="35">
        <v>1</v>
      </c>
      <c r="M5775" s="35">
        <v>130</v>
      </c>
      <c r="N5775" s="35">
        <v>1</v>
      </c>
      <c r="O5775" s="36">
        <v>86.27</v>
      </c>
      <c r="P5775" s="36">
        <v>70.709999999999994</v>
      </c>
      <c r="Q5775" s="36">
        <v>73.33</v>
      </c>
      <c r="R5775" s="36">
        <v>60.11</v>
      </c>
      <c r="S5775" s="36">
        <v>58.66</v>
      </c>
      <c r="T5775" s="36">
        <v>48.08</v>
      </c>
      <c r="U5775" s="34"/>
      <c r="V5775" s="34"/>
      <c r="W5775" s="34" t="s">
        <v>40</v>
      </c>
      <c r="X5775" s="37">
        <v>2.5000000000000001E-2</v>
      </c>
      <c r="Y5775" s="38">
        <v>6.7000000000000002E-5</v>
      </c>
      <c r="Z5775" s="21">
        <v>4601004170810</v>
      </c>
    </row>
    <row r="5776" spans="1:26" ht="12" customHeight="1" outlineLevel="3" x14ac:dyDescent="0.2">
      <c r="A5776" s="32" t="s">
        <v>11164</v>
      </c>
      <c r="B5776" s="74" t="s">
        <v>11165</v>
      </c>
      <c r="C5776" s="50"/>
      <c r="D5776" s="53">
        <f t="shared" si="90"/>
        <v>0</v>
      </c>
      <c r="E5776" s="60" t="str">
        <f>HYPERLINK("https://www.sds-group.ru/product/kist-ploskaya-vodnye-kraski-35h10-mm-rexant-89-0322/", "Инфо")</f>
        <v>Инфо</v>
      </c>
      <c r="F5776" s="34" t="s">
        <v>39</v>
      </c>
      <c r="G5776" s="33"/>
      <c r="H5776" s="33" t="s">
        <v>40</v>
      </c>
      <c r="I5776" s="33"/>
      <c r="J5776" s="35">
        <v>190</v>
      </c>
      <c r="K5776" s="33"/>
      <c r="L5776" s="35">
        <v>1</v>
      </c>
      <c r="M5776" s="35">
        <v>100</v>
      </c>
      <c r="N5776" s="35">
        <v>1</v>
      </c>
      <c r="O5776" s="36">
        <v>117.08</v>
      </c>
      <c r="P5776" s="36">
        <v>95.97</v>
      </c>
      <c r="Q5776" s="36">
        <v>99.52</v>
      </c>
      <c r="R5776" s="36">
        <v>81.569999999999993</v>
      </c>
      <c r="S5776" s="36">
        <v>79.61</v>
      </c>
      <c r="T5776" s="36">
        <v>65.25</v>
      </c>
      <c r="U5776" s="34"/>
      <c r="V5776" s="34"/>
      <c r="W5776" s="34" t="s">
        <v>40</v>
      </c>
      <c r="X5776" s="37">
        <v>2.9000000000000001E-2</v>
      </c>
      <c r="Y5776" s="38">
        <v>9.2E-5</v>
      </c>
      <c r="Z5776" s="21">
        <v>4601004170827</v>
      </c>
    </row>
    <row r="5777" spans="1:26" ht="12" customHeight="1" outlineLevel="3" x14ac:dyDescent="0.2">
      <c r="A5777" s="32" t="s">
        <v>11166</v>
      </c>
      <c r="B5777" s="74" t="s">
        <v>11167</v>
      </c>
      <c r="C5777" s="50"/>
      <c r="D5777" s="53">
        <f t="shared" si="90"/>
        <v>0</v>
      </c>
      <c r="E5777" s="60" t="str">
        <f>HYPERLINK("https://www.sds-group.ru/product/kist-ploskaya-vodnye-kraski-70h12-mm-rexant-89-0324/", "Инфо")</f>
        <v>Инфо</v>
      </c>
      <c r="F5777" s="34" t="s">
        <v>39</v>
      </c>
      <c r="G5777" s="33"/>
      <c r="H5777" s="33" t="s">
        <v>40</v>
      </c>
      <c r="I5777" s="33"/>
      <c r="J5777" s="35">
        <v>281</v>
      </c>
      <c r="K5777" s="33"/>
      <c r="L5777" s="35">
        <v>1</v>
      </c>
      <c r="M5777" s="35">
        <v>100</v>
      </c>
      <c r="N5777" s="35">
        <v>1</v>
      </c>
      <c r="O5777" s="36">
        <v>200.53</v>
      </c>
      <c r="P5777" s="36">
        <v>164.37</v>
      </c>
      <c r="Q5777" s="36">
        <v>170.45</v>
      </c>
      <c r="R5777" s="36">
        <v>139.71</v>
      </c>
      <c r="S5777" s="36">
        <v>136.36000000000001</v>
      </c>
      <c r="T5777" s="36">
        <v>111.77</v>
      </c>
      <c r="U5777" s="34"/>
      <c r="V5777" s="34"/>
      <c r="W5777" s="34" t="s">
        <v>40</v>
      </c>
      <c r="X5777" s="37">
        <v>6.0999999999999999E-2</v>
      </c>
      <c r="Y5777" s="38">
        <v>2.0100000000000001E-4</v>
      </c>
      <c r="Z5777" s="21">
        <v>4601004170841</v>
      </c>
    </row>
    <row r="5778" spans="1:26" ht="12" customHeight="1" outlineLevel="3" x14ac:dyDescent="0.2">
      <c r="A5778" s="32" t="s">
        <v>11168</v>
      </c>
      <c r="B5778" s="74" t="s">
        <v>11169</v>
      </c>
      <c r="C5778" s="50"/>
      <c r="D5778" s="53">
        <f t="shared" si="90"/>
        <v>0</v>
      </c>
      <c r="E5778" s="60" t="str">
        <f>HYPERLINK("https://www.sds-group.ru/product/kist-ploskaya-laki-100h12-mm-rexant-89-0305/", "Инфо")</f>
        <v>Инфо</v>
      </c>
      <c r="F5778" s="34" t="s">
        <v>39</v>
      </c>
      <c r="G5778" s="33"/>
      <c r="H5778" s="33" t="s">
        <v>40</v>
      </c>
      <c r="I5778" s="33"/>
      <c r="J5778" s="35">
        <v>10</v>
      </c>
      <c r="K5778" s="33"/>
      <c r="L5778" s="35">
        <v>1</v>
      </c>
      <c r="M5778" s="35">
        <v>180</v>
      </c>
      <c r="N5778" s="35">
        <v>1</v>
      </c>
      <c r="O5778" s="36">
        <v>282.14</v>
      </c>
      <c r="P5778" s="36">
        <v>231.26</v>
      </c>
      <c r="Q5778" s="36">
        <v>239.82</v>
      </c>
      <c r="R5778" s="36">
        <v>196.57</v>
      </c>
      <c r="S5778" s="36">
        <v>191.86</v>
      </c>
      <c r="T5778" s="36">
        <v>157.26</v>
      </c>
      <c r="U5778" s="34"/>
      <c r="V5778" s="34"/>
      <c r="W5778" s="34" t="s">
        <v>40</v>
      </c>
      <c r="X5778" s="37">
        <v>8.6999999999999994E-2</v>
      </c>
      <c r="Y5778" s="38">
        <v>4.86E-4</v>
      </c>
      <c r="Z5778" s="21">
        <v>4601004170759</v>
      </c>
    </row>
    <row r="5779" spans="1:26" ht="12" customHeight="1" outlineLevel="3" x14ac:dyDescent="0.2">
      <c r="A5779" s="32" t="s">
        <v>11170</v>
      </c>
      <c r="B5779" s="74" t="s">
        <v>11171</v>
      </c>
      <c r="C5779" s="50"/>
      <c r="D5779" s="53">
        <f t="shared" si="90"/>
        <v>0</v>
      </c>
      <c r="E5779" s="60" t="str">
        <f>HYPERLINK("https://www.sds-group.ru/product/kist-ploskaya-laki-50h12-mm-rexant-89-0303/", "Инфо")</f>
        <v>Инфо</v>
      </c>
      <c r="F5779" s="34" t="s">
        <v>39</v>
      </c>
      <c r="G5779" s="33"/>
      <c r="H5779" s="33" t="s">
        <v>40</v>
      </c>
      <c r="I5779" s="33"/>
      <c r="J5779" s="34" t="s">
        <v>100</v>
      </c>
      <c r="K5779" s="33"/>
      <c r="L5779" s="35">
        <v>1</v>
      </c>
      <c r="M5779" s="35">
        <v>140</v>
      </c>
      <c r="N5779" s="35">
        <v>1</v>
      </c>
      <c r="O5779" s="36">
        <v>134.07</v>
      </c>
      <c r="P5779" s="36">
        <v>109.89</v>
      </c>
      <c r="Q5779" s="36">
        <v>93.85</v>
      </c>
      <c r="R5779" s="36">
        <v>76.930000000000007</v>
      </c>
      <c r="S5779" s="36">
        <v>91.17</v>
      </c>
      <c r="T5779" s="36">
        <v>74.73</v>
      </c>
      <c r="U5779" s="34"/>
      <c r="V5779" s="34"/>
      <c r="W5779" s="34"/>
      <c r="X5779" s="37">
        <v>4.7E-2</v>
      </c>
      <c r="Y5779" s="38">
        <v>1.3300000000000001E-4</v>
      </c>
      <c r="Z5779" s="21">
        <v>4601004170735</v>
      </c>
    </row>
    <row r="5780" spans="1:26" ht="12" customHeight="1" outlineLevel="3" x14ac:dyDescent="0.2">
      <c r="A5780" s="32" t="s">
        <v>11172</v>
      </c>
      <c r="B5780" s="74" t="s">
        <v>11173</v>
      </c>
      <c r="C5780" s="50"/>
      <c r="D5780" s="53">
        <f t="shared" si="90"/>
        <v>0</v>
      </c>
      <c r="E5780" s="60" t="str">
        <f>HYPERLINK("https://www.sds-group.ru/product/kist-ploskaya-raboty-po-derevu-120h25-mm-rexant-89-0336/", "Инфо")</f>
        <v>Инфо</v>
      </c>
      <c r="F5780" s="34" t="s">
        <v>39</v>
      </c>
      <c r="G5780" s="33"/>
      <c r="H5780" s="33" t="s">
        <v>40</v>
      </c>
      <c r="I5780" s="33"/>
      <c r="J5780" s="35">
        <v>9</v>
      </c>
      <c r="K5780" s="33"/>
      <c r="L5780" s="35">
        <v>1</v>
      </c>
      <c r="M5780" s="35">
        <v>70</v>
      </c>
      <c r="N5780" s="35">
        <v>1</v>
      </c>
      <c r="O5780" s="36">
        <v>513.15</v>
      </c>
      <c r="P5780" s="36">
        <v>420.61</v>
      </c>
      <c r="Q5780" s="36">
        <v>410.52</v>
      </c>
      <c r="R5780" s="36">
        <v>336.49</v>
      </c>
      <c r="S5780" s="36">
        <v>348.94</v>
      </c>
      <c r="T5780" s="36">
        <v>286.02</v>
      </c>
      <c r="U5780" s="34"/>
      <c r="V5780" s="34"/>
      <c r="W5780" s="34" t="s">
        <v>40</v>
      </c>
      <c r="X5780" s="37">
        <v>0.125</v>
      </c>
      <c r="Y5780" s="38">
        <v>8.5800000000000004E-4</v>
      </c>
      <c r="Z5780" s="21">
        <v>4601004170919</v>
      </c>
    </row>
    <row r="5781" spans="1:26" ht="12" customHeight="1" outlineLevel="3" x14ac:dyDescent="0.2">
      <c r="A5781" s="32" t="s">
        <v>11174</v>
      </c>
      <c r="B5781" s="74" t="s">
        <v>11175</v>
      </c>
      <c r="C5781" s="50"/>
      <c r="D5781" s="53">
        <f t="shared" si="90"/>
        <v>0</v>
      </c>
      <c r="E5781" s="60" t="str">
        <f>HYPERLINK("https://www.sds-group.ru/product/kist-ploskaya-raboty-po-derevu-120h35-mm-rexant-89-0337/", "Инфо")</f>
        <v>Инфо</v>
      </c>
      <c r="F5781" s="34" t="s">
        <v>39</v>
      </c>
      <c r="G5781" s="33"/>
      <c r="H5781" s="33" t="s">
        <v>40</v>
      </c>
      <c r="I5781" s="33"/>
      <c r="J5781" s="35">
        <v>500</v>
      </c>
      <c r="K5781" s="33"/>
      <c r="L5781" s="35">
        <v>1</v>
      </c>
      <c r="M5781" s="35">
        <v>45</v>
      </c>
      <c r="N5781" s="35">
        <v>1</v>
      </c>
      <c r="O5781" s="36">
        <v>586.41999999999996</v>
      </c>
      <c r="P5781" s="36">
        <v>480.67</v>
      </c>
      <c r="Q5781" s="36">
        <v>469.14</v>
      </c>
      <c r="R5781" s="36">
        <v>384.54</v>
      </c>
      <c r="S5781" s="36">
        <v>398.77</v>
      </c>
      <c r="T5781" s="36">
        <v>326.86</v>
      </c>
      <c r="U5781" s="34"/>
      <c r="V5781" s="34"/>
      <c r="W5781" s="34" t="s">
        <v>40</v>
      </c>
      <c r="X5781" s="37">
        <v>0.159</v>
      </c>
      <c r="Y5781" s="38">
        <v>1.2999999999999999E-3</v>
      </c>
      <c r="Z5781" s="21">
        <v>4601004170926</v>
      </c>
    </row>
    <row r="5782" spans="1:26" ht="12" customHeight="1" outlineLevel="3" x14ac:dyDescent="0.2">
      <c r="A5782" s="32" t="s">
        <v>11176</v>
      </c>
      <c r="B5782" s="74" t="s">
        <v>11177</v>
      </c>
      <c r="C5782" s="50"/>
      <c r="D5782" s="53">
        <f t="shared" si="90"/>
        <v>0</v>
      </c>
      <c r="E5782" s="60" t="str">
        <f>HYPERLINK("https://www.sds-group.ru/product/kist-ploskaya-raboty-po-derevu-35h10-mm-rexant-89-0332/", "Инфо")</f>
        <v>Инфо</v>
      </c>
      <c r="F5782" s="34" t="s">
        <v>39</v>
      </c>
      <c r="G5782" s="33"/>
      <c r="H5782" s="33" t="s">
        <v>40</v>
      </c>
      <c r="I5782" s="33"/>
      <c r="J5782" s="35">
        <v>465</v>
      </c>
      <c r="K5782" s="33"/>
      <c r="L5782" s="35">
        <v>1</v>
      </c>
      <c r="M5782" s="35">
        <v>100</v>
      </c>
      <c r="N5782" s="35">
        <v>1</v>
      </c>
      <c r="O5782" s="36">
        <v>104.93</v>
      </c>
      <c r="P5782" s="36">
        <v>86.01</v>
      </c>
      <c r="Q5782" s="36">
        <v>73.45</v>
      </c>
      <c r="R5782" s="36">
        <v>60.2</v>
      </c>
      <c r="S5782" s="36">
        <v>71.349999999999994</v>
      </c>
      <c r="T5782" s="36">
        <v>58.48</v>
      </c>
      <c r="U5782" s="34"/>
      <c r="V5782" s="34"/>
      <c r="W5782" s="34"/>
      <c r="X5782" s="37">
        <v>2.8000000000000001E-2</v>
      </c>
      <c r="Y5782" s="38">
        <v>9.2E-5</v>
      </c>
      <c r="Z5782" s="21">
        <v>4601004170872</v>
      </c>
    </row>
    <row r="5783" spans="1:26" ht="12" customHeight="1" outlineLevel="3" x14ac:dyDescent="0.2">
      <c r="A5783" s="32" t="s">
        <v>11178</v>
      </c>
      <c r="B5783" s="74" t="s">
        <v>11179</v>
      </c>
      <c r="C5783" s="50"/>
      <c r="D5783" s="53">
        <f t="shared" si="90"/>
        <v>0</v>
      </c>
      <c r="E5783" s="60" t="str">
        <f>HYPERLINK("https://www.sds-group.ru/product/kist-ploskaya-raboty-po-derevu-70h12-mm-rexant-89-0334/", "Инфо")</f>
        <v>Инфо</v>
      </c>
      <c r="F5783" s="34" t="s">
        <v>39</v>
      </c>
      <c r="G5783" s="33"/>
      <c r="H5783" s="33" t="s">
        <v>40</v>
      </c>
      <c r="I5783" s="33"/>
      <c r="J5783" s="35">
        <v>252</v>
      </c>
      <c r="K5783" s="33"/>
      <c r="L5783" s="35">
        <v>1</v>
      </c>
      <c r="M5783" s="35">
        <v>100</v>
      </c>
      <c r="N5783" s="35">
        <v>1</v>
      </c>
      <c r="O5783" s="36">
        <v>181.39</v>
      </c>
      <c r="P5783" s="36">
        <v>148.68</v>
      </c>
      <c r="Q5783" s="36">
        <v>154.18</v>
      </c>
      <c r="R5783" s="36">
        <v>126.38</v>
      </c>
      <c r="S5783" s="36">
        <v>123.35</v>
      </c>
      <c r="T5783" s="36">
        <v>101.11</v>
      </c>
      <c r="U5783" s="34"/>
      <c r="V5783" s="34"/>
      <c r="W5783" s="34" t="s">
        <v>40</v>
      </c>
      <c r="X5783" s="37">
        <v>5.5E-2</v>
      </c>
      <c r="Y5783" s="38">
        <v>2.5399999999999999E-4</v>
      </c>
      <c r="Z5783" s="21">
        <v>4601004170896</v>
      </c>
    </row>
    <row r="5784" spans="1:26" ht="12" customHeight="1" outlineLevel="3" x14ac:dyDescent="0.2">
      <c r="A5784" s="32" t="s">
        <v>11180</v>
      </c>
      <c r="B5784" s="74" t="s">
        <v>11181</v>
      </c>
      <c r="C5784" s="50"/>
      <c r="D5784" s="53">
        <f t="shared" si="90"/>
        <v>0</v>
      </c>
      <c r="E5784" s="60" t="str">
        <f>HYPERLINK("https://www.sds-group.ru/product/kist-ploskaya-universalnaya-35h8-mm-rexant-89-0362/", "Инфо")</f>
        <v>Инфо</v>
      </c>
      <c r="F5784" s="34" t="s">
        <v>39</v>
      </c>
      <c r="G5784" s="33"/>
      <c r="H5784" s="33" t="s">
        <v>40</v>
      </c>
      <c r="I5784" s="33"/>
      <c r="J5784" s="35">
        <v>3</v>
      </c>
      <c r="K5784" s="33"/>
      <c r="L5784" s="35">
        <v>1</v>
      </c>
      <c r="M5784" s="35">
        <v>140</v>
      </c>
      <c r="N5784" s="35">
        <v>1</v>
      </c>
      <c r="O5784" s="36">
        <v>81.17</v>
      </c>
      <c r="P5784" s="36">
        <v>66.53</v>
      </c>
      <c r="Q5784" s="36">
        <v>56.82</v>
      </c>
      <c r="R5784" s="36">
        <v>46.57</v>
      </c>
      <c r="S5784" s="36">
        <v>55.2</v>
      </c>
      <c r="T5784" s="36">
        <v>45.25</v>
      </c>
      <c r="U5784" s="34"/>
      <c r="V5784" s="34"/>
      <c r="W5784" s="34"/>
      <c r="X5784" s="37">
        <v>2.5000000000000001E-2</v>
      </c>
      <c r="Y5784" s="38">
        <v>6.8999999999999997E-5</v>
      </c>
      <c r="Z5784" s="21">
        <v>4601004170940</v>
      </c>
    </row>
    <row r="5785" spans="1:26" ht="12" customHeight="1" outlineLevel="3" x14ac:dyDescent="0.2">
      <c r="A5785" s="32" t="s">
        <v>11182</v>
      </c>
      <c r="B5785" s="74" t="s">
        <v>11183</v>
      </c>
      <c r="C5785" s="50"/>
      <c r="D5785" s="53">
        <f t="shared" si="90"/>
        <v>0</v>
      </c>
      <c r="E5785" s="60" t="str">
        <f>HYPERLINK("https://www.sds-group.ru/product/kist-ploskaya-emali-100h12-mm-rexant-89-0315/", "Инфо")</f>
        <v>Инфо</v>
      </c>
      <c r="F5785" s="34" t="s">
        <v>39</v>
      </c>
      <c r="G5785" s="33"/>
      <c r="H5785" s="33" t="s">
        <v>40</v>
      </c>
      <c r="I5785" s="33"/>
      <c r="J5785" s="35">
        <v>10</v>
      </c>
      <c r="K5785" s="33"/>
      <c r="L5785" s="35">
        <v>1</v>
      </c>
      <c r="M5785" s="35">
        <v>180</v>
      </c>
      <c r="N5785" s="35">
        <v>1</v>
      </c>
      <c r="O5785" s="36">
        <v>308.95999999999998</v>
      </c>
      <c r="P5785" s="36">
        <v>253.25</v>
      </c>
      <c r="Q5785" s="36">
        <v>262.62</v>
      </c>
      <c r="R5785" s="36">
        <v>215.26</v>
      </c>
      <c r="S5785" s="36">
        <v>210.09</v>
      </c>
      <c r="T5785" s="36">
        <v>172.2</v>
      </c>
      <c r="U5785" s="34"/>
      <c r="V5785" s="34"/>
      <c r="W5785" s="34" t="s">
        <v>40</v>
      </c>
      <c r="X5785" s="37">
        <v>7.4999999999999997E-2</v>
      </c>
      <c r="Y5785" s="38">
        <v>4.06E-4</v>
      </c>
      <c r="Z5785" s="21">
        <v>4601004170803</v>
      </c>
    </row>
    <row r="5786" spans="1:26" ht="12.95" customHeight="1" outlineLevel="2" x14ac:dyDescent="0.2">
      <c r="A5786" s="76" t="s">
        <v>11184</v>
      </c>
      <c r="B5786" s="76"/>
      <c r="C5786" s="77"/>
      <c r="D5786" s="58"/>
      <c r="E5786" s="68"/>
      <c r="F5786" s="13"/>
      <c r="G5786" s="13"/>
      <c r="H5786" s="13"/>
      <c r="I5786" s="13"/>
      <c r="J5786" s="13"/>
      <c r="K5786" s="13"/>
      <c r="L5786" s="13"/>
      <c r="M5786" s="13"/>
      <c r="N5786" s="13"/>
      <c r="O5786" s="13"/>
      <c r="P5786" s="13"/>
      <c r="Q5786" s="13"/>
      <c r="R5786" s="13"/>
      <c r="S5786" s="13"/>
      <c r="T5786" s="13"/>
      <c r="U5786" s="13"/>
      <c r="V5786" s="13"/>
      <c r="W5786" s="13"/>
      <c r="X5786" s="13"/>
      <c r="Y5786" s="13"/>
      <c r="Z5786" s="13"/>
    </row>
    <row r="5787" spans="1:26" ht="12" customHeight="1" outlineLevel="3" x14ac:dyDescent="0.2">
      <c r="A5787" s="14" t="s">
        <v>11185</v>
      </c>
      <c r="B5787" s="26" t="s">
        <v>11186</v>
      </c>
      <c r="C5787" s="52"/>
      <c r="D5787" s="55">
        <f t="shared" si="90"/>
        <v>0</v>
      </c>
      <c r="E5787" s="63" t="str">
        <f>HYPERLINK("https://www.sds-group.ru/product/sistema-vyravnivaniya-plitki-svp-klin-80-sht-rexant-89-0951/", "Инфо")</f>
        <v>Инфо</v>
      </c>
      <c r="F5787" s="16" t="s">
        <v>1001</v>
      </c>
      <c r="G5787" s="15"/>
      <c r="H5787" s="15"/>
      <c r="I5787" s="15"/>
      <c r="J5787" s="16" t="s">
        <v>100</v>
      </c>
      <c r="K5787" s="15" t="s">
        <v>1408</v>
      </c>
      <c r="L5787" s="17">
        <v>5</v>
      </c>
      <c r="M5787" s="17">
        <v>35</v>
      </c>
      <c r="N5787" s="17">
        <v>5</v>
      </c>
      <c r="O5787" s="18">
        <v>316.36</v>
      </c>
      <c r="P5787" s="18">
        <v>259.31</v>
      </c>
      <c r="Q5787" s="18">
        <v>268.91000000000003</v>
      </c>
      <c r="R5787" s="18">
        <v>220.42</v>
      </c>
      <c r="S5787" s="18">
        <v>215.12</v>
      </c>
      <c r="T5787" s="18">
        <v>176.33</v>
      </c>
      <c r="U5787" s="16"/>
      <c r="V5787" s="16"/>
      <c r="W5787" s="16" t="s">
        <v>40</v>
      </c>
      <c r="X5787" s="19">
        <v>0.28199999999999997</v>
      </c>
      <c r="Y5787" s="20">
        <v>1.433E-3</v>
      </c>
      <c r="Z5787" s="21">
        <v>4601004171770</v>
      </c>
    </row>
    <row r="5788" spans="1:26" ht="12" customHeight="1" outlineLevel="3" x14ac:dyDescent="0.2">
      <c r="A5788" s="14" t="s">
        <v>11187</v>
      </c>
      <c r="B5788" s="26" t="s">
        <v>11188</v>
      </c>
      <c r="C5788" s="52"/>
      <c r="D5788" s="55">
        <f t="shared" si="90"/>
        <v>0</v>
      </c>
      <c r="E5788" s="63" t="str">
        <f>HYPERLINK("https://www.sds-group.ru/product/klipsa-vorota-dlya-sistemy-vyravnivaniya-plitki-shov-1-mm-svp-80-sht-rexant-89-0950/", "Инфо")</f>
        <v>Инфо</v>
      </c>
      <c r="F5788" s="16" t="s">
        <v>1001</v>
      </c>
      <c r="G5788" s="15"/>
      <c r="H5788" s="15"/>
      <c r="I5788" s="15"/>
      <c r="J5788" s="16" t="s">
        <v>100</v>
      </c>
      <c r="K5788" s="15" t="s">
        <v>1408</v>
      </c>
      <c r="L5788" s="17">
        <v>5</v>
      </c>
      <c r="M5788" s="17">
        <v>60</v>
      </c>
      <c r="N5788" s="17">
        <v>5</v>
      </c>
      <c r="O5788" s="18">
        <v>261.77</v>
      </c>
      <c r="P5788" s="18">
        <v>214.57</v>
      </c>
      <c r="Q5788" s="18">
        <v>222.5</v>
      </c>
      <c r="R5788" s="18">
        <v>182.38</v>
      </c>
      <c r="S5788" s="18">
        <v>178</v>
      </c>
      <c r="T5788" s="18">
        <v>145.9</v>
      </c>
      <c r="U5788" s="16"/>
      <c r="V5788" s="16"/>
      <c r="W5788" s="16" t="s">
        <v>40</v>
      </c>
      <c r="X5788" s="19">
        <v>0.128</v>
      </c>
      <c r="Y5788" s="20">
        <v>7.9299999999999998E-4</v>
      </c>
      <c r="Z5788" s="21">
        <v>4601004171794</v>
      </c>
    </row>
    <row r="5789" spans="1:26" ht="12" customHeight="1" outlineLevel="3" x14ac:dyDescent="0.2">
      <c r="A5789" s="14" t="s">
        <v>11189</v>
      </c>
      <c r="B5789" s="26" t="s">
        <v>11190</v>
      </c>
      <c r="C5789" s="52"/>
      <c r="D5789" s="55">
        <f t="shared" si="90"/>
        <v>0</v>
      </c>
      <c r="E5789" s="63" t="str">
        <f>HYPERLINK("https://www.sds-group.ru/product/klipsa-vorota-dlya-sistemy-vyravnivaniya-plitki-shov-1-5-mm-svp-80-sht-rexant-89-0953/", "Инфо")</f>
        <v>Инфо</v>
      </c>
      <c r="F5789" s="16" t="s">
        <v>1001</v>
      </c>
      <c r="G5789" s="15"/>
      <c r="H5789" s="15"/>
      <c r="I5789" s="15"/>
      <c r="J5789" s="16" t="s">
        <v>100</v>
      </c>
      <c r="K5789" s="15" t="s">
        <v>1408</v>
      </c>
      <c r="L5789" s="17">
        <v>5</v>
      </c>
      <c r="M5789" s="17">
        <v>36</v>
      </c>
      <c r="N5789" s="17">
        <v>5</v>
      </c>
      <c r="O5789" s="18">
        <v>289.7</v>
      </c>
      <c r="P5789" s="18">
        <v>237.46</v>
      </c>
      <c r="Q5789" s="18">
        <v>246.25</v>
      </c>
      <c r="R5789" s="18">
        <v>201.84</v>
      </c>
      <c r="S5789" s="18">
        <v>197</v>
      </c>
      <c r="T5789" s="18">
        <v>161.47999999999999</v>
      </c>
      <c r="U5789" s="16"/>
      <c r="V5789" s="16"/>
      <c r="W5789" s="16" t="s">
        <v>40</v>
      </c>
      <c r="X5789" s="19">
        <v>0.219</v>
      </c>
      <c r="Y5789" s="20">
        <v>1.201E-3</v>
      </c>
      <c r="Z5789" s="21">
        <v>4601004197633</v>
      </c>
    </row>
    <row r="5790" spans="1:26" ht="12" customHeight="1" outlineLevel="3" x14ac:dyDescent="0.2">
      <c r="A5790" s="14" t="s">
        <v>11191</v>
      </c>
      <c r="B5790" s="26" t="s">
        <v>11192</v>
      </c>
      <c r="C5790" s="52"/>
      <c r="D5790" s="55">
        <f t="shared" si="90"/>
        <v>0</v>
      </c>
      <c r="E5790" s="63" t="str">
        <f>HYPERLINK("https://www.sds-group.ru/product/nabor-klips-i-klinev-sistema-vyravnivaniya-plitki-shov-1-mm-svp-40-komplektov-rexant-89-0952/", "Инфо")</f>
        <v>Инфо</v>
      </c>
      <c r="F5790" s="16" t="s">
        <v>1001</v>
      </c>
      <c r="G5790" s="15"/>
      <c r="H5790" s="15"/>
      <c r="I5790" s="15"/>
      <c r="J5790" s="17">
        <v>86</v>
      </c>
      <c r="K5790" s="15" t="s">
        <v>1408</v>
      </c>
      <c r="L5790" s="17">
        <v>5</v>
      </c>
      <c r="M5790" s="17">
        <v>40</v>
      </c>
      <c r="N5790" s="17">
        <v>5</v>
      </c>
      <c r="O5790" s="18">
        <v>324.54000000000002</v>
      </c>
      <c r="P5790" s="18">
        <v>266.02</v>
      </c>
      <c r="Q5790" s="18">
        <v>275.86</v>
      </c>
      <c r="R5790" s="18">
        <v>226.11</v>
      </c>
      <c r="S5790" s="18">
        <v>220.69</v>
      </c>
      <c r="T5790" s="18">
        <v>180.89</v>
      </c>
      <c r="U5790" s="16"/>
      <c r="V5790" s="16"/>
      <c r="W5790" s="16" t="s">
        <v>40</v>
      </c>
      <c r="X5790" s="19">
        <v>0.19500000000000001</v>
      </c>
      <c r="Y5790" s="20">
        <v>1.1839999999999999E-3</v>
      </c>
      <c r="Z5790" s="21">
        <v>4601004171787</v>
      </c>
    </row>
    <row r="5791" spans="1:26" ht="12" customHeight="1" outlineLevel="3" x14ac:dyDescent="0.2">
      <c r="A5791" s="14" t="s">
        <v>11193</v>
      </c>
      <c r="B5791" s="26" t="s">
        <v>11194</v>
      </c>
      <c r="C5791" s="52"/>
      <c r="D5791" s="55">
        <f t="shared" si="90"/>
        <v>0</v>
      </c>
      <c r="E5791" s="63" t="str">
        <f>HYPERLINK("https://www.sds-group.ru/product/nabor-klips-i-klinev-sistema-vyravnivaniya-plitki-shov-1-5-mm-svp-40-komplektov-rexant-89-0954/", "Инфо")</f>
        <v>Инфо</v>
      </c>
      <c r="F5791" s="16" t="s">
        <v>1001</v>
      </c>
      <c r="G5791" s="15"/>
      <c r="H5791" s="15"/>
      <c r="I5791" s="15"/>
      <c r="J5791" s="17">
        <v>1</v>
      </c>
      <c r="K5791" s="15" t="s">
        <v>1408</v>
      </c>
      <c r="L5791" s="17">
        <v>5</v>
      </c>
      <c r="M5791" s="17">
        <v>36</v>
      </c>
      <c r="N5791" s="17">
        <v>5</v>
      </c>
      <c r="O5791" s="18">
        <v>291.02</v>
      </c>
      <c r="P5791" s="18">
        <v>238.54</v>
      </c>
      <c r="Q5791" s="18">
        <v>247.37</v>
      </c>
      <c r="R5791" s="18">
        <v>202.76</v>
      </c>
      <c r="S5791" s="18">
        <v>197.89</v>
      </c>
      <c r="T5791" s="18">
        <v>162.19999999999999</v>
      </c>
      <c r="U5791" s="16"/>
      <c r="V5791" s="16"/>
      <c r="W5791" s="16" t="s">
        <v>40</v>
      </c>
      <c r="X5791" s="19">
        <v>0.24399999999999999</v>
      </c>
      <c r="Y5791" s="20">
        <v>1.343E-3</v>
      </c>
      <c r="Z5791" s="21">
        <v>4601004197640</v>
      </c>
    </row>
    <row r="5792" spans="1:26" ht="12.95" customHeight="1" outlineLevel="2" x14ac:dyDescent="0.2">
      <c r="A5792" s="82" t="s">
        <v>11195</v>
      </c>
      <c r="B5792" s="82"/>
      <c r="C5792" s="83"/>
      <c r="D5792" s="59"/>
      <c r="E5792" s="69"/>
      <c r="F5792" s="23"/>
      <c r="G5792" s="23"/>
      <c r="H5792" s="23"/>
      <c r="I5792" s="23"/>
      <c r="J5792" s="23"/>
      <c r="K5792" s="23"/>
      <c r="L5792" s="23"/>
      <c r="M5792" s="23"/>
      <c r="N5792" s="23"/>
      <c r="O5792" s="23"/>
      <c r="P5792" s="23"/>
      <c r="Q5792" s="23"/>
      <c r="R5792" s="23"/>
      <c r="S5792" s="23"/>
      <c r="T5792" s="23"/>
      <c r="U5792" s="23"/>
      <c r="V5792" s="23"/>
      <c r="W5792" s="23"/>
      <c r="X5792" s="23"/>
      <c r="Y5792" s="23"/>
      <c r="Z5792" s="23"/>
    </row>
    <row r="5793" spans="1:26" ht="12" customHeight="1" outlineLevel="3" x14ac:dyDescent="0.2">
      <c r="A5793" s="14" t="s">
        <v>11196</v>
      </c>
      <c r="B5793" s="26" t="s">
        <v>11197</v>
      </c>
      <c r="C5793" s="52"/>
      <c r="D5793" s="55">
        <f t="shared" si="90"/>
        <v>0</v>
      </c>
      <c r="E5793" s="63" t="str">
        <f>HYPERLINK("https://www.sds-group.ru/product/ochistitel-montazhnoy-peny-500-ml-rexant-89-0909/", "Инфо")</f>
        <v>Инфо</v>
      </c>
      <c r="F5793" s="16" t="s">
        <v>39</v>
      </c>
      <c r="G5793" s="15"/>
      <c r="H5793" s="15"/>
      <c r="I5793" s="15"/>
      <c r="J5793" s="22">
        <v>3353</v>
      </c>
      <c r="K5793" s="15" t="s">
        <v>1888</v>
      </c>
      <c r="L5793" s="17">
        <v>6</v>
      </c>
      <c r="M5793" s="17">
        <v>12</v>
      </c>
      <c r="N5793" s="17">
        <v>6</v>
      </c>
      <c r="O5793" s="18">
        <v>266.81</v>
      </c>
      <c r="P5793" s="18">
        <v>218.7</v>
      </c>
      <c r="Q5793" s="18">
        <v>226.79</v>
      </c>
      <c r="R5793" s="18">
        <v>185.89</v>
      </c>
      <c r="S5793" s="18">
        <v>181.43</v>
      </c>
      <c r="T5793" s="18">
        <v>148.71</v>
      </c>
      <c r="U5793" s="16"/>
      <c r="V5793" s="16"/>
      <c r="W5793" s="16" t="s">
        <v>40</v>
      </c>
      <c r="X5793" s="19">
        <v>0.33500000000000002</v>
      </c>
      <c r="Y5793" s="20">
        <v>1.1019999999999999E-3</v>
      </c>
      <c r="Z5793" s="21">
        <v>4601004172142</v>
      </c>
    </row>
    <row r="5794" spans="1:26" ht="12" customHeight="1" outlineLevel="3" x14ac:dyDescent="0.2">
      <c r="A5794" s="14" t="s">
        <v>11198</v>
      </c>
      <c r="B5794" s="26" t="s">
        <v>11199</v>
      </c>
      <c r="C5794" s="52"/>
      <c r="D5794" s="55">
        <f t="shared" si="90"/>
        <v>0</v>
      </c>
      <c r="E5794" s="63" t="str">
        <f>HYPERLINK("https://www.sds-group.ru/product/pena-montazhnaya-vsesezonnaya-s-trubochkoy-50-l-rexant-89-0905/", "Инфо")</f>
        <v>Инфо</v>
      </c>
      <c r="F5794" s="16" t="s">
        <v>39</v>
      </c>
      <c r="G5794" s="15"/>
      <c r="H5794" s="15"/>
      <c r="I5794" s="15"/>
      <c r="J5794" s="17">
        <v>134</v>
      </c>
      <c r="K5794" s="15"/>
      <c r="L5794" s="17">
        <v>1</v>
      </c>
      <c r="M5794" s="17">
        <v>16</v>
      </c>
      <c r="N5794" s="17">
        <v>1</v>
      </c>
      <c r="O5794" s="18">
        <v>568.94000000000005</v>
      </c>
      <c r="P5794" s="18">
        <v>466.34</v>
      </c>
      <c r="Q5794" s="18">
        <v>455.15</v>
      </c>
      <c r="R5794" s="18">
        <v>373.07</v>
      </c>
      <c r="S5794" s="18">
        <v>386.88</v>
      </c>
      <c r="T5794" s="18">
        <v>317.11</v>
      </c>
      <c r="U5794" s="16"/>
      <c r="V5794" s="16"/>
      <c r="W5794" s="16" t="s">
        <v>40</v>
      </c>
      <c r="X5794" s="19">
        <v>0.60899999999999999</v>
      </c>
      <c r="Y5794" s="20">
        <v>1.7669999999999999E-3</v>
      </c>
      <c r="Z5794" s="21">
        <v>4601004172104</v>
      </c>
    </row>
    <row r="5795" spans="1:26" ht="12" customHeight="1" outlineLevel="3" x14ac:dyDescent="0.2">
      <c r="A5795" s="14" t="s">
        <v>11200</v>
      </c>
      <c r="B5795" s="26" t="s">
        <v>11201</v>
      </c>
      <c r="C5795" s="52"/>
      <c r="D5795" s="55">
        <f t="shared" si="90"/>
        <v>0</v>
      </c>
      <c r="E5795" s="63" t="str">
        <f>HYPERLINK("https://www.sds-group.ru/product/pena-montazhnaya-vsesezonnaya-dlya-pistoleta-40-l-eco-rexant-89-0903/", "Инфо")</f>
        <v>Инфо</v>
      </c>
      <c r="F5795" s="16" t="s">
        <v>39</v>
      </c>
      <c r="G5795" s="15"/>
      <c r="H5795" s="15"/>
      <c r="I5795" s="15"/>
      <c r="J5795" s="22">
        <v>2295</v>
      </c>
      <c r="K5795" s="15" t="s">
        <v>1408</v>
      </c>
      <c r="L5795" s="17">
        <v>6</v>
      </c>
      <c r="M5795" s="17">
        <v>12</v>
      </c>
      <c r="N5795" s="17">
        <v>6</v>
      </c>
      <c r="O5795" s="18">
        <v>447.7</v>
      </c>
      <c r="P5795" s="18">
        <v>366.97</v>
      </c>
      <c r="Q5795" s="18">
        <v>358.16</v>
      </c>
      <c r="R5795" s="18">
        <v>293.57</v>
      </c>
      <c r="S5795" s="18">
        <v>304.44</v>
      </c>
      <c r="T5795" s="18">
        <v>249.54</v>
      </c>
      <c r="U5795" s="16"/>
      <c r="V5795" s="16"/>
      <c r="W5795" s="16" t="s">
        <v>40</v>
      </c>
      <c r="X5795" s="19">
        <v>0.50800000000000001</v>
      </c>
      <c r="Y5795" s="20">
        <v>1.0989999999999999E-3</v>
      </c>
      <c r="Z5795" s="21">
        <v>4601004172166</v>
      </c>
    </row>
    <row r="5796" spans="1:26" ht="12" customHeight="1" outlineLevel="3" x14ac:dyDescent="0.2">
      <c r="A5796" s="14" t="s">
        <v>11202</v>
      </c>
      <c r="B5796" s="26" t="s">
        <v>11203</v>
      </c>
      <c r="C5796" s="52"/>
      <c r="D5796" s="55">
        <f t="shared" si="90"/>
        <v>0</v>
      </c>
      <c r="E5796" s="63" t="str">
        <f>HYPERLINK("https://www.sds-group.ru/product/pena-montazhnaya-vsesezonnaya-dlya-pistoleta-50-l-rexant-89-0902/", "Инфо")</f>
        <v>Инфо</v>
      </c>
      <c r="F5796" s="16" t="s">
        <v>39</v>
      </c>
      <c r="G5796" s="15"/>
      <c r="H5796" s="15"/>
      <c r="I5796" s="15"/>
      <c r="J5796" s="17">
        <v>403</v>
      </c>
      <c r="K5796" s="15"/>
      <c r="L5796" s="17">
        <v>1</v>
      </c>
      <c r="M5796" s="17">
        <v>12</v>
      </c>
      <c r="N5796" s="17">
        <v>1</v>
      </c>
      <c r="O5796" s="18">
        <v>578.27</v>
      </c>
      <c r="P5796" s="18">
        <v>473.99</v>
      </c>
      <c r="Q5796" s="18">
        <v>462.62</v>
      </c>
      <c r="R5796" s="18">
        <v>379.2</v>
      </c>
      <c r="S5796" s="18">
        <v>393.22</v>
      </c>
      <c r="T5796" s="18">
        <v>322.31</v>
      </c>
      <c r="U5796" s="16"/>
      <c r="V5796" s="16"/>
      <c r="W5796" s="16" t="s">
        <v>40</v>
      </c>
      <c r="X5796" s="19">
        <v>0.59799999999999998</v>
      </c>
      <c r="Y5796" s="20">
        <v>1.5740000000000001E-3</v>
      </c>
      <c r="Z5796" s="21">
        <v>4601004172081</v>
      </c>
    </row>
    <row r="5797" spans="1:26" ht="12" customHeight="1" outlineLevel="3" x14ac:dyDescent="0.2">
      <c r="A5797" s="14" t="s">
        <v>11204</v>
      </c>
      <c r="B5797" s="26" t="s">
        <v>11205</v>
      </c>
      <c r="C5797" s="52"/>
      <c r="D5797" s="55">
        <f t="shared" si="90"/>
        <v>0</v>
      </c>
      <c r="E5797" s="63" t="str">
        <f>HYPERLINK("https://www.sds-group.ru/product/pena-montazhnaya-vsesezonnaya-dlya-pistoleta-65-l-max-rexant-89-0901/", "Инфо")</f>
        <v>Инфо</v>
      </c>
      <c r="F5797" s="16" t="s">
        <v>39</v>
      </c>
      <c r="G5797" s="15"/>
      <c r="H5797" s="15"/>
      <c r="I5797" s="15"/>
      <c r="J5797" s="22">
        <v>1127</v>
      </c>
      <c r="K5797" s="15"/>
      <c r="L5797" s="17">
        <v>1</v>
      </c>
      <c r="M5797" s="17">
        <v>12</v>
      </c>
      <c r="N5797" s="17">
        <v>1</v>
      </c>
      <c r="O5797" s="18">
        <v>733.05</v>
      </c>
      <c r="P5797" s="18">
        <v>600.86</v>
      </c>
      <c r="Q5797" s="18">
        <v>586.44000000000005</v>
      </c>
      <c r="R5797" s="18">
        <v>480.69</v>
      </c>
      <c r="S5797" s="18">
        <v>498.47</v>
      </c>
      <c r="T5797" s="18">
        <v>408.58</v>
      </c>
      <c r="U5797" s="16"/>
      <c r="V5797" s="16"/>
      <c r="W5797" s="16" t="s">
        <v>40</v>
      </c>
      <c r="X5797" s="19">
        <v>0.79500000000000004</v>
      </c>
      <c r="Y5797" s="20">
        <v>1.5770000000000001E-3</v>
      </c>
      <c r="Z5797" s="21">
        <v>4601004172159</v>
      </c>
    </row>
    <row r="5798" spans="1:26" ht="12" customHeight="1" outlineLevel="3" x14ac:dyDescent="0.2">
      <c r="A5798" s="14" t="s">
        <v>11206</v>
      </c>
      <c r="B5798" s="26" t="s">
        <v>11207</v>
      </c>
      <c r="C5798" s="52"/>
      <c r="D5798" s="55">
        <f t="shared" si="90"/>
        <v>0</v>
      </c>
      <c r="E5798" s="63" t="str">
        <f>HYPERLINK("https://www.sds-group.ru/product/pena-montazhnaya-vsesezonnaya-dlya-pistoleta-70-pro-980-g-rexant-89-0911/", "Инфо")</f>
        <v>Инфо</v>
      </c>
      <c r="F5798" s="16" t="s">
        <v>39</v>
      </c>
      <c r="G5798" s="15"/>
      <c r="H5798" s="15"/>
      <c r="I5798" s="15"/>
      <c r="J5798" s="17">
        <v>741</v>
      </c>
      <c r="K5798" s="15"/>
      <c r="L5798" s="17">
        <v>1</v>
      </c>
      <c r="M5798" s="17">
        <v>12</v>
      </c>
      <c r="N5798" s="17">
        <v>1</v>
      </c>
      <c r="O5798" s="18">
        <v>862.42</v>
      </c>
      <c r="P5798" s="18">
        <v>706.9</v>
      </c>
      <c r="Q5798" s="18">
        <v>689.94</v>
      </c>
      <c r="R5798" s="18">
        <v>565.52</v>
      </c>
      <c r="S5798" s="18">
        <v>586.45000000000005</v>
      </c>
      <c r="T5798" s="18">
        <v>480.7</v>
      </c>
      <c r="U5798" s="16"/>
      <c r="V5798" s="16"/>
      <c r="W5798" s="16" t="s">
        <v>40</v>
      </c>
      <c r="X5798" s="19">
        <v>0.99199999999999999</v>
      </c>
      <c r="Y5798" s="20">
        <v>1.531E-3</v>
      </c>
      <c r="Z5798" s="21">
        <v>4601004248038</v>
      </c>
    </row>
    <row r="5799" spans="1:26" ht="12" customHeight="1" outlineLevel="3" x14ac:dyDescent="0.2">
      <c r="A5799" s="14" t="s">
        <v>11208</v>
      </c>
      <c r="B5799" s="26" t="s">
        <v>11209</v>
      </c>
      <c r="C5799" s="52"/>
      <c r="D5799" s="55">
        <f t="shared" si="90"/>
        <v>0</v>
      </c>
      <c r="E5799" s="63" t="str">
        <f>HYPERLINK("https://www.sds-group.ru/product/pena-montazhnaya-vsesezonnaya-s-trubochkoy-40-l-eco-rexant-89-0906/", "Инфо")</f>
        <v>Инфо</v>
      </c>
      <c r="F5799" s="16" t="s">
        <v>39</v>
      </c>
      <c r="G5799" s="15"/>
      <c r="H5799" s="15"/>
      <c r="I5799" s="15"/>
      <c r="J5799" s="16" t="s">
        <v>100</v>
      </c>
      <c r="K5799" s="15"/>
      <c r="L5799" s="17">
        <v>6</v>
      </c>
      <c r="M5799" s="17">
        <v>12</v>
      </c>
      <c r="N5799" s="17">
        <v>6</v>
      </c>
      <c r="O5799" s="18">
        <v>441.99</v>
      </c>
      <c r="P5799" s="18">
        <v>362.29</v>
      </c>
      <c r="Q5799" s="18">
        <v>353.59</v>
      </c>
      <c r="R5799" s="18">
        <v>289.83</v>
      </c>
      <c r="S5799" s="18">
        <v>300.55</v>
      </c>
      <c r="T5799" s="18">
        <v>246.35</v>
      </c>
      <c r="U5799" s="16"/>
      <c r="V5799" s="16"/>
      <c r="W5799" s="16" t="s">
        <v>40</v>
      </c>
      <c r="X5799" s="19">
        <v>0.44</v>
      </c>
      <c r="Y5799" s="20">
        <v>1.8450000000000001E-3</v>
      </c>
      <c r="Z5799" s="21">
        <v>4601004172111</v>
      </c>
    </row>
    <row r="5800" spans="1:26" ht="12" customHeight="1" outlineLevel="3" x14ac:dyDescent="0.2">
      <c r="A5800" s="14" t="s">
        <v>11210</v>
      </c>
      <c r="B5800" s="26" t="s">
        <v>11211</v>
      </c>
      <c r="C5800" s="52"/>
      <c r="D5800" s="55">
        <f t="shared" si="90"/>
        <v>0</v>
      </c>
      <c r="E5800" s="63" t="str">
        <f>HYPERLINK("https://www.sds-group.ru/product/pena-montazhnaya-vsesezonnaya-s-trubochkoy-65-l-max-rexant-89-0904/", "Инфо")</f>
        <v>Инфо</v>
      </c>
      <c r="F5800" s="16" t="s">
        <v>39</v>
      </c>
      <c r="G5800" s="15"/>
      <c r="H5800" s="15"/>
      <c r="I5800" s="15"/>
      <c r="J5800" s="17">
        <v>574</v>
      </c>
      <c r="K5800" s="15"/>
      <c r="L5800" s="17">
        <v>1</v>
      </c>
      <c r="M5800" s="17">
        <v>16</v>
      </c>
      <c r="N5800" s="17">
        <v>1</v>
      </c>
      <c r="O5800" s="18">
        <v>679.15</v>
      </c>
      <c r="P5800" s="18">
        <v>556.67999999999995</v>
      </c>
      <c r="Q5800" s="18">
        <v>543.32000000000005</v>
      </c>
      <c r="R5800" s="18">
        <v>445.34</v>
      </c>
      <c r="S5800" s="18">
        <v>461.82</v>
      </c>
      <c r="T5800" s="18">
        <v>378.54</v>
      </c>
      <c r="U5800" s="16"/>
      <c r="V5800" s="16"/>
      <c r="W5800" s="16" t="s">
        <v>40</v>
      </c>
      <c r="X5800" s="19">
        <v>0.79800000000000004</v>
      </c>
      <c r="Y5800" s="20">
        <v>1.8289999999999999E-3</v>
      </c>
      <c r="Z5800" s="21">
        <v>4601004172098</v>
      </c>
    </row>
    <row r="5801" spans="1:26" ht="12" customHeight="1" outlineLevel="3" x14ac:dyDescent="0.2">
      <c r="A5801" s="14" t="s">
        <v>11212</v>
      </c>
      <c r="B5801" s="26" t="s">
        <v>11213</v>
      </c>
      <c r="C5801" s="52"/>
      <c r="D5801" s="55">
        <f t="shared" si="90"/>
        <v>0</v>
      </c>
      <c r="E5801" s="63" t="str">
        <f>HYPERLINK("https://www.sds-group.ru/product/pena-montazhnaya-ognestoykaya-dlya-pistoleta-65-l-780g-rexant-89-0912/", "Инфо")</f>
        <v>Инфо</v>
      </c>
      <c r="F5801" s="16" t="s">
        <v>39</v>
      </c>
      <c r="G5801" s="15"/>
      <c r="H5801" s="15"/>
      <c r="I5801" s="15"/>
      <c r="J5801" s="17">
        <v>236</v>
      </c>
      <c r="K5801" s="15" t="s">
        <v>1408</v>
      </c>
      <c r="L5801" s="17">
        <v>1</v>
      </c>
      <c r="M5801" s="17">
        <v>12</v>
      </c>
      <c r="N5801" s="17">
        <v>1</v>
      </c>
      <c r="O5801" s="18">
        <v>970.22</v>
      </c>
      <c r="P5801" s="18">
        <v>795.26</v>
      </c>
      <c r="Q5801" s="18">
        <v>776.18</v>
      </c>
      <c r="R5801" s="18">
        <v>636.21</v>
      </c>
      <c r="S5801" s="18">
        <v>659.75</v>
      </c>
      <c r="T5801" s="18">
        <v>540.78</v>
      </c>
      <c r="U5801" s="16"/>
      <c r="V5801" s="16"/>
      <c r="W5801" s="16" t="s">
        <v>40</v>
      </c>
      <c r="X5801" s="19">
        <v>0.79400000000000004</v>
      </c>
      <c r="Y5801" s="20">
        <v>1.5920000000000001E-3</v>
      </c>
      <c r="Z5801" s="21">
        <v>4601004248021</v>
      </c>
    </row>
    <row r="5802" spans="1:26" ht="12.95" customHeight="1" outlineLevel="2" x14ac:dyDescent="0.2">
      <c r="A5802" s="82" t="s">
        <v>11214</v>
      </c>
      <c r="B5802" s="82"/>
      <c r="C5802" s="83"/>
      <c r="D5802" s="59"/>
      <c r="E5802" s="69"/>
      <c r="F5802" s="23"/>
      <c r="G5802" s="23"/>
      <c r="H5802" s="23"/>
      <c r="I5802" s="23"/>
      <c r="J5802" s="23"/>
      <c r="K5802" s="23"/>
      <c r="L5802" s="23"/>
      <c r="M5802" s="23"/>
      <c r="N5802" s="23"/>
      <c r="O5802" s="23"/>
      <c r="P5802" s="23"/>
      <c r="Q5802" s="23"/>
      <c r="R5802" s="23"/>
      <c r="S5802" s="23"/>
      <c r="T5802" s="23"/>
      <c r="U5802" s="23"/>
      <c r="V5802" s="23"/>
      <c r="W5802" s="23"/>
      <c r="X5802" s="23"/>
      <c r="Y5802" s="23"/>
      <c r="Z5802" s="23"/>
    </row>
    <row r="5803" spans="1:26" ht="12" customHeight="1" outlineLevel="3" x14ac:dyDescent="0.2">
      <c r="A5803" s="14" t="s">
        <v>11215</v>
      </c>
      <c r="B5803" s="26" t="s">
        <v>11216</v>
      </c>
      <c r="C5803" s="52"/>
      <c r="D5803" s="55">
        <f t="shared" si="90"/>
        <v>0</v>
      </c>
      <c r="E5803" s="63" t="str">
        <f>HYPERLINK("https://www.sds-group.ru/product/germetik-silikonovyy-sanitarnyy-rexant-280-ml-belyy-89-0921/", "Инфо")</f>
        <v>Инфо</v>
      </c>
      <c r="F5803" s="16" t="s">
        <v>39</v>
      </c>
      <c r="G5803" s="15"/>
      <c r="H5803" s="15"/>
      <c r="I5803" s="15"/>
      <c r="J5803" s="17">
        <v>226</v>
      </c>
      <c r="K5803" s="15"/>
      <c r="L5803" s="17">
        <v>6</v>
      </c>
      <c r="M5803" s="17">
        <v>12</v>
      </c>
      <c r="N5803" s="17">
        <v>6</v>
      </c>
      <c r="O5803" s="18">
        <v>404.25</v>
      </c>
      <c r="P5803" s="18">
        <v>331.35</v>
      </c>
      <c r="Q5803" s="18">
        <v>323.39999999999998</v>
      </c>
      <c r="R5803" s="18">
        <v>265.08</v>
      </c>
      <c r="S5803" s="18">
        <v>274.89</v>
      </c>
      <c r="T5803" s="18">
        <v>225.32</v>
      </c>
      <c r="U5803" s="16"/>
      <c r="V5803" s="16"/>
      <c r="W5803" s="16" t="s">
        <v>40</v>
      </c>
      <c r="X5803" s="19">
        <v>0.31900000000000001</v>
      </c>
      <c r="Y5803" s="20">
        <v>6.87E-4</v>
      </c>
      <c r="Z5803" s="21">
        <v>4601004207943</v>
      </c>
    </row>
    <row r="5804" spans="1:26" ht="12" customHeight="1" outlineLevel="3" x14ac:dyDescent="0.2">
      <c r="A5804" s="14" t="s">
        <v>11217</v>
      </c>
      <c r="B5804" s="26" t="s">
        <v>11218</v>
      </c>
      <c r="C5804" s="52"/>
      <c r="D5804" s="55">
        <f t="shared" si="90"/>
        <v>0</v>
      </c>
      <c r="E5804" s="63" t="str">
        <f>HYPERLINK("https://www.sds-group.ru/product/germetik-silikonovyy-sanitarnyy-rexant-280-ml-prozrachnyy-89-0920/", "Инфо")</f>
        <v>Инфо</v>
      </c>
      <c r="F5804" s="16" t="s">
        <v>39</v>
      </c>
      <c r="G5804" s="15"/>
      <c r="H5804" s="15"/>
      <c r="I5804" s="15"/>
      <c r="J5804" s="17">
        <v>590</v>
      </c>
      <c r="K5804" s="15"/>
      <c r="L5804" s="17">
        <v>6</v>
      </c>
      <c r="M5804" s="17">
        <v>12</v>
      </c>
      <c r="N5804" s="17">
        <v>6</v>
      </c>
      <c r="O5804" s="18">
        <v>404.25</v>
      </c>
      <c r="P5804" s="18">
        <v>331.35</v>
      </c>
      <c r="Q5804" s="18">
        <v>323.39999999999998</v>
      </c>
      <c r="R5804" s="18">
        <v>265.08</v>
      </c>
      <c r="S5804" s="18">
        <v>274.89</v>
      </c>
      <c r="T5804" s="18">
        <v>225.32</v>
      </c>
      <c r="U5804" s="16"/>
      <c r="V5804" s="16"/>
      <c r="W5804" s="16" t="s">
        <v>40</v>
      </c>
      <c r="X5804" s="19">
        <v>0.31900000000000001</v>
      </c>
      <c r="Y5804" s="20">
        <v>6.9300000000000004E-4</v>
      </c>
      <c r="Z5804" s="21">
        <v>4601004208032</v>
      </c>
    </row>
    <row r="5805" spans="1:26" ht="12" customHeight="1" outlineLevel="3" x14ac:dyDescent="0.2">
      <c r="A5805" s="14" t="s">
        <v>11219</v>
      </c>
      <c r="B5805" s="26" t="s">
        <v>11220</v>
      </c>
      <c r="C5805" s="52"/>
      <c r="D5805" s="55">
        <f t="shared" si="90"/>
        <v>0</v>
      </c>
      <c r="E5805" s="63" t="str">
        <f>HYPERLINK("https://www.sds-group.ru/product/germetik-silikonovyy-universalnyy-rexant-280-ml-belyy-89-0923/", "Инфо")</f>
        <v>Инфо</v>
      </c>
      <c r="F5805" s="16" t="s">
        <v>39</v>
      </c>
      <c r="G5805" s="15"/>
      <c r="H5805" s="15"/>
      <c r="I5805" s="15"/>
      <c r="J5805" s="17">
        <v>360</v>
      </c>
      <c r="K5805" s="15"/>
      <c r="L5805" s="17">
        <v>6</v>
      </c>
      <c r="M5805" s="17">
        <v>12</v>
      </c>
      <c r="N5805" s="17">
        <v>6</v>
      </c>
      <c r="O5805" s="18">
        <v>404.25</v>
      </c>
      <c r="P5805" s="18">
        <v>331.35</v>
      </c>
      <c r="Q5805" s="18">
        <v>323.39999999999998</v>
      </c>
      <c r="R5805" s="18">
        <v>265.08</v>
      </c>
      <c r="S5805" s="18">
        <v>274.89</v>
      </c>
      <c r="T5805" s="18">
        <v>225.32</v>
      </c>
      <c r="U5805" s="16"/>
      <c r="V5805" s="16"/>
      <c r="W5805" s="16" t="s">
        <v>40</v>
      </c>
      <c r="X5805" s="19">
        <v>0.318</v>
      </c>
      <c r="Y5805" s="20">
        <v>6.8499999999999995E-4</v>
      </c>
      <c r="Z5805" s="21">
        <v>4601004207967</v>
      </c>
    </row>
    <row r="5806" spans="1:26" ht="12" customHeight="1" outlineLevel="3" x14ac:dyDescent="0.2">
      <c r="A5806" s="14" t="s">
        <v>11221</v>
      </c>
      <c r="B5806" s="26" t="s">
        <v>11222</v>
      </c>
      <c r="C5806" s="52"/>
      <c r="D5806" s="55">
        <f t="shared" si="90"/>
        <v>0</v>
      </c>
      <c r="E5806" s="63" t="str">
        <f>HYPERLINK("https://www.sds-group.ru/product/germetik-silikonovyy-universalnyy-rexant-280-ml-prozrachnyy-89-0922/", "Инфо")</f>
        <v>Инфо</v>
      </c>
      <c r="F5806" s="16" t="s">
        <v>39</v>
      </c>
      <c r="G5806" s="15"/>
      <c r="H5806" s="15"/>
      <c r="I5806" s="15"/>
      <c r="J5806" s="17">
        <v>399</v>
      </c>
      <c r="K5806" s="15"/>
      <c r="L5806" s="17">
        <v>6</v>
      </c>
      <c r="M5806" s="17">
        <v>12</v>
      </c>
      <c r="N5806" s="17">
        <v>6</v>
      </c>
      <c r="O5806" s="18">
        <v>404.25</v>
      </c>
      <c r="P5806" s="18">
        <v>331.35</v>
      </c>
      <c r="Q5806" s="18">
        <v>323.39999999999998</v>
      </c>
      <c r="R5806" s="18">
        <v>265.08</v>
      </c>
      <c r="S5806" s="18">
        <v>274.89</v>
      </c>
      <c r="T5806" s="18">
        <v>225.32</v>
      </c>
      <c r="U5806" s="16"/>
      <c r="V5806" s="16"/>
      <c r="W5806" s="16" t="s">
        <v>40</v>
      </c>
      <c r="X5806" s="19">
        <v>0.31900000000000001</v>
      </c>
      <c r="Y5806" s="20">
        <v>6.8999999999999997E-4</v>
      </c>
      <c r="Z5806" s="21">
        <v>4601004207950</v>
      </c>
    </row>
    <row r="5807" spans="1:26" ht="12" customHeight="1" outlineLevel="3" x14ac:dyDescent="0.2">
      <c r="A5807" s="14" t="s">
        <v>11223</v>
      </c>
      <c r="B5807" s="26" t="s">
        <v>11224</v>
      </c>
      <c r="C5807" s="52"/>
      <c r="D5807" s="55">
        <f t="shared" si="90"/>
        <v>0</v>
      </c>
      <c r="E5807" s="63" t="str">
        <f>HYPERLINK("https://www.sds-group.ru/product/kley-germetik-zhidkie-gvozdi-rexant-akrilovyy-universalnyy-280-ml-belyy-89-0924/", "Инфо")</f>
        <v>Инфо</v>
      </c>
      <c r="F5807" s="16" t="s">
        <v>39</v>
      </c>
      <c r="G5807" s="15"/>
      <c r="H5807" s="15"/>
      <c r="I5807" s="15"/>
      <c r="J5807" s="17">
        <v>979</v>
      </c>
      <c r="K5807" s="15"/>
      <c r="L5807" s="17">
        <v>6</v>
      </c>
      <c r="M5807" s="17">
        <v>12</v>
      </c>
      <c r="N5807" s="17">
        <v>6</v>
      </c>
      <c r="O5807" s="18">
        <v>332</v>
      </c>
      <c r="P5807" s="18">
        <v>272.13</v>
      </c>
      <c r="Q5807" s="18">
        <v>282.2</v>
      </c>
      <c r="R5807" s="18">
        <v>231.31</v>
      </c>
      <c r="S5807" s="18">
        <v>225.76</v>
      </c>
      <c r="T5807" s="18">
        <v>185.05</v>
      </c>
      <c r="U5807" s="16"/>
      <c r="V5807" s="16"/>
      <c r="W5807" s="16" t="s">
        <v>40</v>
      </c>
      <c r="X5807" s="19">
        <v>0.44500000000000001</v>
      </c>
      <c r="Y5807" s="20">
        <v>6.8999999999999997E-4</v>
      </c>
      <c r="Z5807" s="21">
        <v>4601004208018</v>
      </c>
    </row>
    <row r="5808" spans="1:26" ht="12.95" customHeight="1" outlineLevel="2" x14ac:dyDescent="0.2">
      <c r="A5808" s="76" t="s">
        <v>11225</v>
      </c>
      <c r="B5808" s="76"/>
      <c r="C5808" s="77"/>
      <c r="D5808" s="58"/>
      <c r="E5808" s="68"/>
      <c r="F5808" s="13"/>
      <c r="G5808" s="13"/>
      <c r="H5808" s="13"/>
      <c r="I5808" s="13"/>
      <c r="J5808" s="13"/>
      <c r="K5808" s="13"/>
      <c r="L5808" s="13"/>
      <c r="M5808" s="13"/>
      <c r="N5808" s="13"/>
      <c r="O5808" s="13"/>
      <c r="P5808" s="13"/>
      <c r="Q5808" s="13"/>
      <c r="R5808" s="13"/>
      <c r="S5808" s="13"/>
      <c r="T5808" s="13"/>
      <c r="U5808" s="13"/>
      <c r="V5808" s="13"/>
      <c r="W5808" s="13"/>
      <c r="X5808" s="13"/>
      <c r="Y5808" s="13"/>
      <c r="Z5808" s="13"/>
    </row>
    <row r="5809" spans="1:26" ht="12" customHeight="1" outlineLevel="3" x14ac:dyDescent="0.2">
      <c r="A5809" s="14" t="s">
        <v>11226</v>
      </c>
      <c r="B5809" s="26" t="s">
        <v>11227</v>
      </c>
      <c r="C5809" s="52"/>
      <c r="D5809" s="55">
        <f t="shared" si="90"/>
        <v>0</v>
      </c>
      <c r="E5809" s="63" t="str">
        <f>HYPERLINK("https://www.sds-group.ru/product/nabor-dlya-shtukatura-24862/", "Инфо")</f>
        <v>Инфо</v>
      </c>
      <c r="F5809" s="16" t="s">
        <v>4698</v>
      </c>
      <c r="G5809" s="15"/>
      <c r="H5809" s="15"/>
      <c r="I5809" s="15"/>
      <c r="J5809" s="17">
        <v>14</v>
      </c>
      <c r="K5809" s="15"/>
      <c r="L5809" s="17">
        <v>1</v>
      </c>
      <c r="M5809" s="17">
        <v>10</v>
      </c>
      <c r="N5809" s="17">
        <v>1</v>
      </c>
      <c r="O5809" s="18">
        <v>1660.48</v>
      </c>
      <c r="P5809" s="18">
        <v>1361.05</v>
      </c>
      <c r="Q5809" s="18">
        <v>1162.3399999999999</v>
      </c>
      <c r="R5809" s="18">
        <v>952.74</v>
      </c>
      <c r="S5809" s="18">
        <v>1129.1300000000001</v>
      </c>
      <c r="T5809" s="18">
        <v>925.52</v>
      </c>
      <c r="U5809" s="16"/>
      <c r="V5809" s="16"/>
      <c r="W5809" s="16"/>
      <c r="X5809" s="19">
        <v>0.82899999999999996</v>
      </c>
      <c r="Y5809" s="20">
        <v>8.7950000000000007E-3</v>
      </c>
      <c r="Z5809" s="21">
        <v>4601004184381</v>
      </c>
    </row>
    <row r="5810" spans="1:26" ht="12.95" customHeight="1" outlineLevel="2" x14ac:dyDescent="0.2">
      <c r="A5810" s="76" t="s">
        <v>11228</v>
      </c>
      <c r="B5810" s="76"/>
      <c r="C5810" s="77"/>
      <c r="D5810" s="58"/>
      <c r="E5810" s="68"/>
      <c r="F5810" s="13"/>
      <c r="G5810" s="13"/>
      <c r="H5810" s="13"/>
      <c r="I5810" s="13"/>
      <c r="J5810" s="13"/>
      <c r="K5810" s="13"/>
      <c r="L5810" s="13"/>
      <c r="M5810" s="13"/>
      <c r="N5810" s="13"/>
      <c r="O5810" s="13"/>
      <c r="P5810" s="13"/>
      <c r="Q5810" s="13"/>
      <c r="R5810" s="13"/>
      <c r="S5810" s="13"/>
      <c r="T5810" s="13"/>
      <c r="U5810" s="13"/>
      <c r="V5810" s="13"/>
      <c r="W5810" s="13"/>
      <c r="X5810" s="13"/>
      <c r="Y5810" s="13"/>
      <c r="Z5810" s="13"/>
    </row>
    <row r="5811" spans="1:26" ht="12" customHeight="1" outlineLevel="3" x14ac:dyDescent="0.2">
      <c r="A5811" s="14" t="s">
        <v>11229</v>
      </c>
      <c r="B5811" s="26" t="s">
        <v>11230</v>
      </c>
      <c r="C5811" s="52"/>
      <c r="D5811" s="55">
        <f t="shared" si="90"/>
        <v>0</v>
      </c>
      <c r="E5811" s="63" t="str">
        <f>HYPERLINK("https://www.sds-group.ru/product/vedro-stroitelnoe-mernoe-plastmassovoe-12-l-rexant-89-0281/", "Инфо")</f>
        <v>Инфо</v>
      </c>
      <c r="F5811" s="16" t="s">
        <v>39</v>
      </c>
      <c r="G5811" s="15"/>
      <c r="H5811" s="15"/>
      <c r="I5811" s="15"/>
      <c r="J5811" s="17">
        <v>42</v>
      </c>
      <c r="K5811" s="15" t="s">
        <v>1408</v>
      </c>
      <c r="L5811" s="17">
        <v>5</v>
      </c>
      <c r="M5811" s="17">
        <v>1</v>
      </c>
      <c r="N5811" s="17">
        <v>5</v>
      </c>
      <c r="O5811" s="18">
        <v>162.72</v>
      </c>
      <c r="P5811" s="18">
        <v>133.38</v>
      </c>
      <c r="Q5811" s="18">
        <v>154.58000000000001</v>
      </c>
      <c r="R5811" s="18">
        <v>126.7</v>
      </c>
      <c r="S5811" s="18">
        <v>110.65</v>
      </c>
      <c r="T5811" s="18">
        <v>90.7</v>
      </c>
      <c r="U5811" s="16"/>
      <c r="V5811" s="16"/>
      <c r="W5811" s="16" t="s">
        <v>40</v>
      </c>
      <c r="X5811" s="19">
        <v>0.43099999999999999</v>
      </c>
      <c r="Y5811" s="20">
        <v>2.5520000000000001E-2</v>
      </c>
      <c r="Z5811" s="21">
        <v>4601004232112</v>
      </c>
    </row>
    <row r="5812" spans="1:26" ht="12" customHeight="1" outlineLevel="3" x14ac:dyDescent="0.2">
      <c r="A5812" s="14" t="s">
        <v>11231</v>
      </c>
      <c r="B5812" s="26" t="s">
        <v>11232</v>
      </c>
      <c r="C5812" s="52"/>
      <c r="D5812" s="55">
        <f t="shared" si="90"/>
        <v>0</v>
      </c>
      <c r="E5812" s="63" t="str">
        <f>HYPERLINK("https://www.sds-group.ru/product/vedro-stroitelnoe-mernoe-plastmassovoe-16-l-rexant-89-0282/", "Инфо")</f>
        <v>Инфо</v>
      </c>
      <c r="F5812" s="16" t="s">
        <v>39</v>
      </c>
      <c r="G5812" s="15"/>
      <c r="H5812" s="15"/>
      <c r="I5812" s="15"/>
      <c r="J5812" s="17">
        <v>222</v>
      </c>
      <c r="K5812" s="15" t="s">
        <v>1408</v>
      </c>
      <c r="L5812" s="17">
        <v>5</v>
      </c>
      <c r="M5812" s="17">
        <v>1</v>
      </c>
      <c r="N5812" s="17">
        <v>5</v>
      </c>
      <c r="O5812" s="18">
        <v>240.27</v>
      </c>
      <c r="P5812" s="18">
        <v>196.94</v>
      </c>
      <c r="Q5812" s="18">
        <v>228.26</v>
      </c>
      <c r="R5812" s="18">
        <v>187.1</v>
      </c>
      <c r="S5812" s="18">
        <v>163.38</v>
      </c>
      <c r="T5812" s="18">
        <v>133.91999999999999</v>
      </c>
      <c r="U5812" s="16"/>
      <c r="V5812" s="16"/>
      <c r="W5812" s="16" t="s">
        <v>40</v>
      </c>
      <c r="X5812" s="19">
        <v>0.59</v>
      </c>
      <c r="Y5812" s="20">
        <v>3.4612999999999998E-2</v>
      </c>
      <c r="Z5812" s="21">
        <v>4601004232037</v>
      </c>
    </row>
    <row r="5813" spans="1:26" ht="12" customHeight="1" outlineLevel="3" x14ac:dyDescent="0.2">
      <c r="A5813" s="14" t="s">
        <v>11233</v>
      </c>
      <c r="B5813" s="26" t="s">
        <v>11234</v>
      </c>
      <c r="C5813" s="52"/>
      <c r="D5813" s="55">
        <f t="shared" si="90"/>
        <v>0</v>
      </c>
      <c r="E5813" s="63" t="str">
        <f>HYPERLINK("https://www.sds-group.ru/product/vedro-stroitelnoe-mernoe-plastmassovoe-20-l-rexant-89-0283/", "Инфо")</f>
        <v>Инфо</v>
      </c>
      <c r="F5813" s="16" t="s">
        <v>39</v>
      </c>
      <c r="G5813" s="15"/>
      <c r="H5813" s="15"/>
      <c r="I5813" s="15"/>
      <c r="J5813" s="17">
        <v>170</v>
      </c>
      <c r="K5813" s="15" t="s">
        <v>1408</v>
      </c>
      <c r="L5813" s="17">
        <v>5</v>
      </c>
      <c r="M5813" s="17">
        <v>1</v>
      </c>
      <c r="N5813" s="17">
        <v>5</v>
      </c>
      <c r="O5813" s="18">
        <v>277.14</v>
      </c>
      <c r="P5813" s="18">
        <v>227.16</v>
      </c>
      <c r="Q5813" s="18">
        <v>263.27999999999997</v>
      </c>
      <c r="R5813" s="18">
        <v>215.8</v>
      </c>
      <c r="S5813" s="18">
        <v>188.46</v>
      </c>
      <c r="T5813" s="18">
        <v>154.47999999999999</v>
      </c>
      <c r="U5813" s="16"/>
      <c r="V5813" s="16"/>
      <c r="W5813" s="16" t="s">
        <v>40</v>
      </c>
      <c r="X5813" s="19">
        <v>0.85</v>
      </c>
      <c r="Y5813" s="20">
        <v>3.6291999999999998E-2</v>
      </c>
      <c r="Z5813" s="21">
        <v>4601004232044</v>
      </c>
    </row>
    <row r="5814" spans="1:26" ht="12" customHeight="1" outlineLevel="3" x14ac:dyDescent="0.2">
      <c r="A5814" s="14" t="s">
        <v>11235</v>
      </c>
      <c r="B5814" s="26" t="s">
        <v>11236</v>
      </c>
      <c r="C5814" s="52"/>
      <c r="D5814" s="55">
        <f t="shared" si="90"/>
        <v>0</v>
      </c>
      <c r="E5814" s="63" t="str">
        <f>HYPERLINK("https://www.sds-group.ru/product/taz-stroitelnyy-kruglyy-45-l-rexant-89-0284/", "Инфо")</f>
        <v>Инфо</v>
      </c>
      <c r="F5814" s="16" t="s">
        <v>39</v>
      </c>
      <c r="G5814" s="15"/>
      <c r="H5814" s="15"/>
      <c r="I5814" s="15"/>
      <c r="J5814" s="17">
        <v>97</v>
      </c>
      <c r="K5814" s="15" t="s">
        <v>1408</v>
      </c>
      <c r="L5814" s="17">
        <v>1</v>
      </c>
      <c r="M5814" s="17">
        <v>1</v>
      </c>
      <c r="N5814" s="17">
        <v>1</v>
      </c>
      <c r="O5814" s="18">
        <v>576.64</v>
      </c>
      <c r="P5814" s="18">
        <v>472.66</v>
      </c>
      <c r="Q5814" s="18">
        <v>518.98</v>
      </c>
      <c r="R5814" s="18">
        <v>425.39</v>
      </c>
      <c r="S5814" s="18">
        <v>392.12</v>
      </c>
      <c r="T5814" s="18">
        <v>321.41000000000003</v>
      </c>
      <c r="U5814" s="16"/>
      <c r="V5814" s="16"/>
      <c r="W5814" s="16" t="s">
        <v>40</v>
      </c>
      <c r="X5814" s="19">
        <v>1.4550000000000001</v>
      </c>
      <c r="Y5814" s="20">
        <v>9.2799000000000006E-2</v>
      </c>
      <c r="Z5814" s="21">
        <v>4601004232051</v>
      </c>
    </row>
    <row r="5815" spans="1:26" ht="12" customHeight="1" outlineLevel="3" x14ac:dyDescent="0.2">
      <c r="A5815" s="14" t="s">
        <v>11237</v>
      </c>
      <c r="B5815" s="26" t="s">
        <v>11238</v>
      </c>
      <c r="C5815" s="52"/>
      <c r="D5815" s="55">
        <f t="shared" si="90"/>
        <v>0</v>
      </c>
      <c r="E5815" s="63" t="str">
        <f>HYPERLINK("https://www.sds-group.ru/product/taz-stroitelnyy-kruglyy-65-l-rexant-89-0285/", "Инфо")</f>
        <v>Инфо</v>
      </c>
      <c r="F5815" s="16" t="s">
        <v>39</v>
      </c>
      <c r="G5815" s="15"/>
      <c r="H5815" s="15"/>
      <c r="I5815" s="15"/>
      <c r="J5815" s="17">
        <v>253</v>
      </c>
      <c r="K5815" s="15" t="s">
        <v>1408</v>
      </c>
      <c r="L5815" s="17">
        <v>1</v>
      </c>
      <c r="M5815" s="17">
        <v>1</v>
      </c>
      <c r="N5815" s="17">
        <v>1</v>
      </c>
      <c r="O5815" s="18">
        <v>719.46</v>
      </c>
      <c r="P5815" s="18">
        <v>589.72</v>
      </c>
      <c r="Q5815" s="18">
        <v>647.51</v>
      </c>
      <c r="R5815" s="18">
        <v>530.75</v>
      </c>
      <c r="S5815" s="18">
        <v>489.23</v>
      </c>
      <c r="T5815" s="18">
        <v>401.01</v>
      </c>
      <c r="U5815" s="16"/>
      <c r="V5815" s="16"/>
      <c r="W5815" s="16" t="s">
        <v>40</v>
      </c>
      <c r="X5815" s="19">
        <v>1.8109999999999999</v>
      </c>
      <c r="Y5815" s="20">
        <v>0.12457699999999999</v>
      </c>
      <c r="Z5815" s="21">
        <v>4601004232068</v>
      </c>
    </row>
    <row r="5816" spans="1:26" ht="12" customHeight="1" outlineLevel="3" x14ac:dyDescent="0.2">
      <c r="A5816" s="14" t="s">
        <v>11239</v>
      </c>
      <c r="B5816" s="26" t="s">
        <v>11240</v>
      </c>
      <c r="C5816" s="52"/>
      <c r="D5816" s="55">
        <f t="shared" si="90"/>
        <v>0</v>
      </c>
      <c r="E5816" s="63" t="str">
        <f>HYPERLINK("https://www.sds-group.ru/product/taz-stroitelnyy-kruglyy-90-l-rexant-89-0286/", "Инфо")</f>
        <v>Инфо</v>
      </c>
      <c r="F5816" s="16" t="s">
        <v>39</v>
      </c>
      <c r="G5816" s="15"/>
      <c r="H5816" s="15"/>
      <c r="I5816" s="15"/>
      <c r="J5816" s="16" t="s">
        <v>100</v>
      </c>
      <c r="K5816" s="15" t="s">
        <v>1408</v>
      </c>
      <c r="L5816" s="17">
        <v>1</v>
      </c>
      <c r="M5816" s="17">
        <v>1</v>
      </c>
      <c r="N5816" s="17">
        <v>1</v>
      </c>
      <c r="O5816" s="18">
        <v>945.72</v>
      </c>
      <c r="P5816" s="18">
        <v>775.18</v>
      </c>
      <c r="Q5816" s="18">
        <v>851.15</v>
      </c>
      <c r="R5816" s="18">
        <v>697.66</v>
      </c>
      <c r="S5816" s="18">
        <v>643.09</v>
      </c>
      <c r="T5816" s="18">
        <v>527.12</v>
      </c>
      <c r="U5816" s="16"/>
      <c r="V5816" s="16"/>
      <c r="W5816" s="16" t="s">
        <v>40</v>
      </c>
      <c r="X5816" s="19">
        <v>2.347</v>
      </c>
      <c r="Y5816" s="20">
        <v>0.15164</v>
      </c>
      <c r="Z5816" s="21">
        <v>4601004232075</v>
      </c>
    </row>
    <row r="5817" spans="1:26" ht="12" customHeight="1" outlineLevel="3" x14ac:dyDescent="0.2">
      <c r="A5817" s="14" t="s">
        <v>11241</v>
      </c>
      <c r="B5817" s="26" t="s">
        <v>11242</v>
      </c>
      <c r="C5817" s="52"/>
      <c r="D5817" s="55">
        <f t="shared" si="90"/>
        <v>0</v>
      </c>
      <c r="E5817" s="63" t="str">
        <f>HYPERLINK("https://www.sds-group.ru/product/taz-stroitelnyy-pryamougolnyy-plastmassovyy-45-l-rexant-89-0287/", "Инфо")</f>
        <v>Инфо</v>
      </c>
      <c r="F5817" s="16" t="s">
        <v>39</v>
      </c>
      <c r="G5817" s="15"/>
      <c r="H5817" s="15"/>
      <c r="I5817" s="15"/>
      <c r="J5817" s="17">
        <v>99</v>
      </c>
      <c r="K5817" s="15"/>
      <c r="L5817" s="17">
        <v>1</v>
      </c>
      <c r="M5817" s="17">
        <v>1</v>
      </c>
      <c r="N5817" s="17">
        <v>1</v>
      </c>
      <c r="O5817" s="18">
        <v>573.73</v>
      </c>
      <c r="P5817" s="18">
        <v>470.27</v>
      </c>
      <c r="Q5817" s="18">
        <v>516.36</v>
      </c>
      <c r="R5817" s="18">
        <v>423.25</v>
      </c>
      <c r="S5817" s="18">
        <v>390.14</v>
      </c>
      <c r="T5817" s="18">
        <v>319.79000000000002</v>
      </c>
      <c r="U5817" s="16"/>
      <c r="V5817" s="16"/>
      <c r="W5817" s="16" t="s">
        <v>40</v>
      </c>
      <c r="X5817" s="19">
        <v>1.5409999999999999</v>
      </c>
      <c r="Y5817" s="20">
        <v>6.1496000000000002E-2</v>
      </c>
      <c r="Z5817" s="21">
        <v>4601004232082</v>
      </c>
    </row>
    <row r="5818" spans="1:26" ht="12" customHeight="1" outlineLevel="3" x14ac:dyDescent="0.2">
      <c r="A5818" s="14" t="s">
        <v>11243</v>
      </c>
      <c r="B5818" s="26" t="s">
        <v>11244</v>
      </c>
      <c r="C5818" s="52"/>
      <c r="D5818" s="55">
        <f t="shared" si="90"/>
        <v>0</v>
      </c>
      <c r="E5818" s="63" t="str">
        <f>HYPERLINK("https://www.sds-group.ru/product/taz-stroitelnyy-pryamougolnyy-plastmassovyy-90-l-rexant-89-0289/", "Инфо")</f>
        <v>Инфо</v>
      </c>
      <c r="F5818" s="16" t="s">
        <v>39</v>
      </c>
      <c r="G5818" s="15"/>
      <c r="H5818" s="15"/>
      <c r="I5818" s="15"/>
      <c r="J5818" s="17">
        <v>60</v>
      </c>
      <c r="K5818" s="15" t="s">
        <v>1408</v>
      </c>
      <c r="L5818" s="17">
        <v>1</v>
      </c>
      <c r="M5818" s="17">
        <v>1</v>
      </c>
      <c r="N5818" s="17">
        <v>1</v>
      </c>
      <c r="O5818" s="18">
        <v>1033.48</v>
      </c>
      <c r="P5818" s="18">
        <v>847.11</v>
      </c>
      <c r="Q5818" s="18">
        <v>826.78</v>
      </c>
      <c r="R5818" s="18">
        <v>677.69</v>
      </c>
      <c r="S5818" s="18">
        <v>702.77</v>
      </c>
      <c r="T5818" s="18">
        <v>576.04</v>
      </c>
      <c r="U5818" s="16"/>
      <c r="V5818" s="16"/>
      <c r="W5818" s="16" t="s">
        <v>40</v>
      </c>
      <c r="X5818" s="19">
        <v>2.3690000000000002</v>
      </c>
      <c r="Y5818" s="20">
        <v>0.107802</v>
      </c>
      <c r="Z5818" s="21">
        <v>4601004232105</v>
      </c>
    </row>
    <row r="5819" spans="1:26" ht="12.95" customHeight="1" outlineLevel="1" x14ac:dyDescent="0.2">
      <c r="A5819" s="78" t="s">
        <v>11245</v>
      </c>
      <c r="B5819" s="78"/>
      <c r="C5819" s="79"/>
      <c r="D5819" s="57"/>
      <c r="E5819" s="67"/>
      <c r="F5819" s="12"/>
      <c r="G5819" s="12"/>
      <c r="H5819" s="12"/>
      <c r="I5819" s="12"/>
      <c r="J5819" s="12"/>
      <c r="K5819" s="12"/>
      <c r="L5819" s="12"/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</row>
    <row r="5820" spans="1:26" ht="12.95" customHeight="1" outlineLevel="2" x14ac:dyDescent="0.2">
      <c r="A5820" s="76" t="s">
        <v>11246</v>
      </c>
      <c r="B5820" s="76"/>
      <c r="C5820" s="77"/>
      <c r="D5820" s="58"/>
      <c r="E5820" s="68"/>
      <c r="F5820" s="13"/>
      <c r="G5820" s="13"/>
      <c r="H5820" s="13"/>
      <c r="I5820" s="13"/>
      <c r="J5820" s="13"/>
      <c r="K5820" s="13"/>
      <c r="L5820" s="13"/>
      <c r="M5820" s="13"/>
      <c r="N5820" s="13"/>
      <c r="O5820" s="13"/>
      <c r="P5820" s="13"/>
      <c r="Q5820" s="13"/>
      <c r="R5820" s="13"/>
      <c r="S5820" s="13"/>
      <c r="T5820" s="13"/>
      <c r="U5820" s="13"/>
      <c r="V5820" s="13"/>
      <c r="W5820" s="13"/>
      <c r="X5820" s="13"/>
      <c r="Y5820" s="13"/>
      <c r="Z5820" s="13"/>
    </row>
    <row r="5821" spans="1:26" ht="12" customHeight="1" outlineLevel="3" x14ac:dyDescent="0.2">
      <c r="A5821" s="14" t="s">
        <v>11247</v>
      </c>
      <c r="B5821" s="26" t="s">
        <v>11248</v>
      </c>
      <c r="C5821" s="52"/>
      <c r="D5821" s="55">
        <f t="shared" si="90"/>
        <v>0</v>
      </c>
      <c r="E5821" s="63" t="str">
        <f>HYPERLINK("https://www.sds-group.ru/product/bahily-polietilenovye-2-3-g-100-sht-50-par-09-0302/", "Инфо")</f>
        <v>Инфо</v>
      </c>
      <c r="F5821" s="16" t="s">
        <v>1001</v>
      </c>
      <c r="G5821" s="15"/>
      <c r="H5821" s="15"/>
      <c r="I5821" s="15"/>
      <c r="J5821" s="17">
        <v>814</v>
      </c>
      <c r="K5821" s="15"/>
      <c r="L5821" s="17">
        <v>10</v>
      </c>
      <c r="M5821" s="17">
        <v>40</v>
      </c>
      <c r="N5821" s="17">
        <v>10</v>
      </c>
      <c r="O5821" s="18">
        <v>138.88999999999999</v>
      </c>
      <c r="P5821" s="18">
        <v>113.84</v>
      </c>
      <c r="Q5821" s="18">
        <v>118.06</v>
      </c>
      <c r="R5821" s="18">
        <v>96.77</v>
      </c>
      <c r="S5821" s="18">
        <v>94.45</v>
      </c>
      <c r="T5821" s="18">
        <v>77.42</v>
      </c>
      <c r="U5821" s="16"/>
      <c r="V5821" s="16"/>
      <c r="W5821" s="16" t="s">
        <v>40</v>
      </c>
      <c r="X5821" s="19">
        <v>0.13400000000000001</v>
      </c>
      <c r="Y5821" s="20">
        <v>1.7080000000000001E-3</v>
      </c>
      <c r="Z5821" s="21">
        <v>2000321517520</v>
      </c>
    </row>
    <row r="5822" spans="1:26" ht="12" customHeight="1" outlineLevel="3" x14ac:dyDescent="0.2">
      <c r="A5822" s="14" t="s">
        <v>11249</v>
      </c>
      <c r="B5822" s="26" t="s">
        <v>11250</v>
      </c>
      <c r="C5822" s="52"/>
      <c r="D5822" s="55">
        <f t="shared" si="90"/>
        <v>0</v>
      </c>
      <c r="E5822" s="63" t="str">
        <f>HYPERLINK("https://www.sds-group.ru/product/perchatki-polusherstyanye-s-pokrytiem-pvh-zima-7-nitey-75-77-g-chernye-09-0211/", "Инфо")</f>
        <v>Инфо</v>
      </c>
      <c r="F5822" s="16" t="s">
        <v>11251</v>
      </c>
      <c r="G5822" s="15"/>
      <c r="H5822" s="15"/>
      <c r="I5822" s="15"/>
      <c r="J5822" s="17">
        <v>706</v>
      </c>
      <c r="K5822" s="15"/>
      <c r="L5822" s="17">
        <v>10</v>
      </c>
      <c r="M5822" s="17">
        <v>200</v>
      </c>
      <c r="N5822" s="17">
        <v>10</v>
      </c>
      <c r="O5822" s="18">
        <v>104.93</v>
      </c>
      <c r="P5822" s="18">
        <v>86.01</v>
      </c>
      <c r="Q5822" s="18">
        <v>89.19</v>
      </c>
      <c r="R5822" s="18">
        <v>73.11</v>
      </c>
      <c r="S5822" s="18">
        <v>71.349999999999994</v>
      </c>
      <c r="T5822" s="18">
        <v>58.48</v>
      </c>
      <c r="U5822" s="16"/>
      <c r="V5822" s="16"/>
      <c r="W5822" s="16" t="s">
        <v>40</v>
      </c>
      <c r="X5822" s="19">
        <v>6.9000000000000006E-2</v>
      </c>
      <c r="Y5822" s="20">
        <v>3.1399999999999999E-4</v>
      </c>
      <c r="Z5822" s="21">
        <v>4601004044784</v>
      </c>
    </row>
    <row r="5823" spans="1:26" ht="12" customHeight="1" outlineLevel="3" x14ac:dyDescent="0.2">
      <c r="A5823" s="14" t="s">
        <v>11252</v>
      </c>
      <c r="B5823" s="26" t="s">
        <v>11253</v>
      </c>
      <c r="C5823" s="52"/>
      <c r="D5823" s="55">
        <f t="shared" si="90"/>
        <v>0</v>
      </c>
      <c r="E5823" s="63" t="str">
        <f>HYPERLINK("https://www.sds-group.ru/product/perchatki-h-b-s-pokrytiem-pvh-volna-10-klass-vyazki-5-nitey-55-56-g-09-0214/", "Инфо")</f>
        <v>Инфо</v>
      </c>
      <c r="F5823" s="16" t="s">
        <v>11251</v>
      </c>
      <c r="G5823" s="15"/>
      <c r="H5823" s="15"/>
      <c r="I5823" s="15"/>
      <c r="J5823" s="22">
        <v>1147</v>
      </c>
      <c r="K5823" s="15" t="s">
        <v>1408</v>
      </c>
      <c r="L5823" s="17">
        <v>10</v>
      </c>
      <c r="M5823" s="17">
        <v>250</v>
      </c>
      <c r="N5823" s="17">
        <v>10</v>
      </c>
      <c r="O5823" s="18">
        <v>79.81</v>
      </c>
      <c r="P5823" s="18">
        <v>65.42</v>
      </c>
      <c r="Q5823" s="18">
        <v>67.84</v>
      </c>
      <c r="R5823" s="18">
        <v>55.61</v>
      </c>
      <c r="S5823" s="18">
        <v>54.27</v>
      </c>
      <c r="T5823" s="18">
        <v>44.48</v>
      </c>
      <c r="U5823" s="16"/>
      <c r="V5823" s="16"/>
      <c r="W5823" s="16" t="s">
        <v>40</v>
      </c>
      <c r="X5823" s="19">
        <v>0.05</v>
      </c>
      <c r="Y5823" s="20">
        <v>4.2200000000000001E-4</v>
      </c>
      <c r="Z5823" s="21">
        <v>4680013033330</v>
      </c>
    </row>
    <row r="5824" spans="1:26" ht="12" customHeight="1" outlineLevel="3" x14ac:dyDescent="0.2">
      <c r="A5824" s="14" t="s">
        <v>11254</v>
      </c>
      <c r="B5824" s="26" t="s">
        <v>11255</v>
      </c>
      <c r="C5824" s="52"/>
      <c r="D5824" s="55">
        <f t="shared" si="90"/>
        <v>0</v>
      </c>
      <c r="E5824" s="63" t="str">
        <f>HYPERLINK("https://www.sds-group.ru/product/perchatki-h-b-s-pokritiem-pvh-5-nitey-54-56-g-7-5-klass-vyazki-volna-3542/", "Инфо")</f>
        <v>Инфо</v>
      </c>
      <c r="F5824" s="16" t="s">
        <v>11251</v>
      </c>
      <c r="G5824" s="15"/>
      <c r="H5824" s="15"/>
      <c r="I5824" s="15"/>
      <c r="J5824" s="22">
        <v>1612</v>
      </c>
      <c r="K5824" s="15" t="s">
        <v>1408</v>
      </c>
      <c r="L5824" s="17">
        <v>10</v>
      </c>
      <c r="M5824" s="17">
        <v>250</v>
      </c>
      <c r="N5824" s="17">
        <v>10</v>
      </c>
      <c r="O5824" s="18">
        <v>54.11</v>
      </c>
      <c r="P5824" s="18">
        <v>44.35</v>
      </c>
      <c r="Q5824" s="18">
        <v>45.99</v>
      </c>
      <c r="R5824" s="18">
        <v>37.700000000000003</v>
      </c>
      <c r="S5824" s="18">
        <v>36.79</v>
      </c>
      <c r="T5824" s="18">
        <v>30.16</v>
      </c>
      <c r="U5824" s="16"/>
      <c r="V5824" s="16"/>
      <c r="W5824" s="16" t="s">
        <v>40</v>
      </c>
      <c r="X5824" s="19">
        <v>4.8000000000000001E-2</v>
      </c>
      <c r="Y5824" s="20">
        <v>2.32E-4</v>
      </c>
      <c r="Z5824" s="21">
        <v>4680013033415</v>
      </c>
    </row>
    <row r="5825" spans="1:26" ht="12" customHeight="1" outlineLevel="3" x14ac:dyDescent="0.2">
      <c r="A5825" s="14" t="s">
        <v>11256</v>
      </c>
      <c r="B5825" s="26" t="s">
        <v>11257</v>
      </c>
      <c r="C5825" s="52"/>
      <c r="D5825" s="55">
        <f t="shared" si="90"/>
        <v>0</v>
      </c>
      <c r="E5825" s="63" t="str">
        <f>HYPERLINK("https://www.sds-group.ru/product/perchatki-h-b-s-pokrytiem-pvh-tochka-5-nitey-48-50-g-belye-rexant-09-0202-1/", "Инфо")</f>
        <v>Инфо</v>
      </c>
      <c r="F5825" s="16" t="s">
        <v>11251</v>
      </c>
      <c r="G5825" s="15"/>
      <c r="H5825" s="15"/>
      <c r="I5825" s="15"/>
      <c r="J5825" s="22">
        <v>2237</v>
      </c>
      <c r="K5825" s="15" t="s">
        <v>1408</v>
      </c>
      <c r="L5825" s="17">
        <v>10</v>
      </c>
      <c r="M5825" s="17">
        <v>200</v>
      </c>
      <c r="N5825" s="17">
        <v>10</v>
      </c>
      <c r="O5825" s="18">
        <v>75.3</v>
      </c>
      <c r="P5825" s="18">
        <v>61.72</v>
      </c>
      <c r="Q5825" s="18">
        <v>64.010000000000005</v>
      </c>
      <c r="R5825" s="18">
        <v>52.47</v>
      </c>
      <c r="S5825" s="18">
        <v>51.2</v>
      </c>
      <c r="T5825" s="18">
        <v>41.97</v>
      </c>
      <c r="U5825" s="16"/>
      <c r="V5825" s="16"/>
      <c r="W5825" s="16" t="s">
        <v>40</v>
      </c>
      <c r="X5825" s="19">
        <v>5.8000000000000003E-2</v>
      </c>
      <c r="Y5825" s="20">
        <v>3.4400000000000001E-4</v>
      </c>
      <c r="Z5825" s="21">
        <v>4680013034832</v>
      </c>
    </row>
    <row r="5826" spans="1:26" ht="12" customHeight="1" outlineLevel="3" x14ac:dyDescent="0.2">
      <c r="A5826" s="14" t="s">
        <v>11258</v>
      </c>
      <c r="B5826" s="26" t="s">
        <v>11259</v>
      </c>
      <c r="C5826" s="52"/>
      <c r="D5826" s="55">
        <f t="shared" si="90"/>
        <v>0</v>
      </c>
      <c r="E5826" s="63" t="str">
        <f>HYPERLINK("https://www.sds-group.ru/product/perchatki-h-b-standart-s-pokrytiem-pvh-razmer-m-10-klass-vyazki-5-nitey-chernye-09-0209/", "Инфо")</f>
        <v>Инфо</v>
      </c>
      <c r="F5826" s="16" t="s">
        <v>11251</v>
      </c>
      <c r="G5826" s="15"/>
      <c r="H5826" s="15"/>
      <c r="I5826" s="15"/>
      <c r="J5826" s="22">
        <v>2945</v>
      </c>
      <c r="K5826" s="15"/>
      <c r="L5826" s="17">
        <v>10</v>
      </c>
      <c r="M5826" s="17">
        <v>250</v>
      </c>
      <c r="N5826" s="17">
        <v>10</v>
      </c>
      <c r="O5826" s="18">
        <v>52.82</v>
      </c>
      <c r="P5826" s="18">
        <v>43.3</v>
      </c>
      <c r="Q5826" s="18">
        <v>44.9</v>
      </c>
      <c r="R5826" s="18">
        <v>36.799999999999997</v>
      </c>
      <c r="S5826" s="18">
        <v>35.92</v>
      </c>
      <c r="T5826" s="18">
        <v>29.44</v>
      </c>
      <c r="U5826" s="16"/>
      <c r="V5826" s="16"/>
      <c r="W5826" s="16" t="s">
        <v>40</v>
      </c>
      <c r="X5826" s="19">
        <v>0.05</v>
      </c>
      <c r="Y5826" s="20">
        <v>3.0699999999999998E-4</v>
      </c>
      <c r="Z5826" s="21">
        <v>4680013033439</v>
      </c>
    </row>
    <row r="5827" spans="1:26" ht="12.95" customHeight="1" outlineLevel="2" x14ac:dyDescent="0.2">
      <c r="A5827" s="76" t="s">
        <v>11260</v>
      </c>
      <c r="B5827" s="76"/>
      <c r="C5827" s="77"/>
      <c r="D5827" s="58"/>
      <c r="E5827" s="68"/>
      <c r="F5827" s="13"/>
      <c r="G5827" s="13"/>
      <c r="H5827" s="13"/>
      <c r="I5827" s="13"/>
      <c r="J5827" s="13"/>
      <c r="K5827" s="13"/>
      <c r="L5827" s="13"/>
      <c r="M5827" s="13"/>
      <c r="N5827" s="13"/>
      <c r="O5827" s="13"/>
      <c r="P5827" s="13"/>
      <c r="Q5827" s="13"/>
      <c r="R5827" s="13"/>
      <c r="S5827" s="13"/>
      <c r="T5827" s="13"/>
      <c r="U5827" s="13"/>
      <c r="V5827" s="13"/>
      <c r="W5827" s="13"/>
      <c r="X5827" s="13"/>
      <c r="Y5827" s="13"/>
      <c r="Z5827" s="13"/>
    </row>
    <row r="5828" spans="1:26" ht="12" customHeight="1" outlineLevel="3" x14ac:dyDescent="0.2">
      <c r="A5828" s="14" t="s">
        <v>11261</v>
      </c>
      <c r="B5828" s="26" t="s">
        <v>11262</v>
      </c>
      <c r="C5828" s="52"/>
      <c r="D5828" s="55">
        <f t="shared" si="90"/>
        <v>0</v>
      </c>
      <c r="E5828" s="63" t="str">
        <f>HYPERLINK("https://www.sds-group.ru/product/ochki-zaschitnye-zakrytogo-tipa-istok-s-nepryamoy-ventilyatsiey-panorama-40012-09-0909/", "Инфо")</f>
        <v>Инфо</v>
      </c>
      <c r="F5828" s="16" t="s">
        <v>39</v>
      </c>
      <c r="G5828" s="15"/>
      <c r="H5828" s="15"/>
      <c r="I5828" s="15"/>
      <c r="J5828" s="17">
        <v>58</v>
      </c>
      <c r="K5828" s="15"/>
      <c r="L5828" s="17">
        <v>5</v>
      </c>
      <c r="M5828" s="17">
        <v>35</v>
      </c>
      <c r="N5828" s="17">
        <v>5</v>
      </c>
      <c r="O5828" s="18">
        <v>403.85</v>
      </c>
      <c r="P5828" s="18">
        <v>331.02</v>
      </c>
      <c r="Q5828" s="18">
        <v>323.08</v>
      </c>
      <c r="R5828" s="18">
        <v>264.82</v>
      </c>
      <c r="S5828" s="18">
        <v>274.62</v>
      </c>
      <c r="T5828" s="18">
        <v>225.1</v>
      </c>
      <c r="U5828" s="16"/>
      <c r="V5828" s="16"/>
      <c r="W5828" s="16" t="s">
        <v>40</v>
      </c>
      <c r="X5828" s="19">
        <v>9.9000000000000005E-2</v>
      </c>
      <c r="Y5828" s="20">
        <v>7.5799999999999999E-4</v>
      </c>
      <c r="Z5828" s="21">
        <v>4601004315860</v>
      </c>
    </row>
    <row r="5829" spans="1:26" ht="12" customHeight="1" outlineLevel="3" x14ac:dyDescent="0.2">
      <c r="A5829" s="14" t="s">
        <v>11263</v>
      </c>
      <c r="B5829" s="26" t="s">
        <v>11264</v>
      </c>
      <c r="C5829" s="52"/>
      <c r="D5829" s="55">
        <f t="shared" si="90"/>
        <v>0</v>
      </c>
      <c r="E5829" s="63" t="str">
        <f>HYPERLINK("https://www.sds-group.ru/product/ochki-zaschitnye-otkrytogo-tipa-istok-pro-klassik-ultralayt-prozrachnye-40030-09-0901/", "Инфо")</f>
        <v>Инфо</v>
      </c>
      <c r="F5829" s="16" t="s">
        <v>39</v>
      </c>
      <c r="G5829" s="15"/>
      <c r="H5829" s="15"/>
      <c r="I5829" s="15"/>
      <c r="J5829" s="16" t="s">
        <v>100</v>
      </c>
      <c r="K5829" s="15"/>
      <c r="L5829" s="17">
        <v>10</v>
      </c>
      <c r="M5829" s="17">
        <v>30</v>
      </c>
      <c r="N5829" s="17">
        <v>10</v>
      </c>
      <c r="O5829" s="18">
        <v>160.69999999999999</v>
      </c>
      <c r="P5829" s="18">
        <v>131.72</v>
      </c>
      <c r="Q5829" s="18">
        <v>144.63</v>
      </c>
      <c r="R5829" s="18">
        <v>118.55</v>
      </c>
      <c r="S5829" s="18">
        <v>109.28</v>
      </c>
      <c r="T5829" s="18">
        <v>89.57</v>
      </c>
      <c r="U5829" s="16"/>
      <c r="V5829" s="16"/>
      <c r="W5829" s="16" t="s">
        <v>40</v>
      </c>
      <c r="X5829" s="19">
        <v>3.1E-2</v>
      </c>
      <c r="Y5829" s="20">
        <v>3.3500000000000001E-4</v>
      </c>
      <c r="Z5829" s="21">
        <v>4601004315907</v>
      </c>
    </row>
    <row r="5830" spans="1:26" ht="12" customHeight="1" outlineLevel="3" x14ac:dyDescent="0.2">
      <c r="A5830" s="14" t="s">
        <v>11265</v>
      </c>
      <c r="B5830" s="26" t="s">
        <v>11266</v>
      </c>
      <c r="C5830" s="52"/>
      <c r="D5830" s="55">
        <f t="shared" si="90"/>
        <v>0</v>
      </c>
      <c r="E5830" s="63" t="str">
        <f>HYPERLINK("https://www.sds-group.ru/product/ochki-zaschitnye-otkrytogo-tipa-istok-prozrachnye-40001-09-0902/", "Инфо")</f>
        <v>Инфо</v>
      </c>
      <c r="F5830" s="16" t="s">
        <v>39</v>
      </c>
      <c r="G5830" s="15"/>
      <c r="H5830" s="15"/>
      <c r="I5830" s="15"/>
      <c r="J5830" s="17">
        <v>641</v>
      </c>
      <c r="K5830" s="15"/>
      <c r="L5830" s="17">
        <v>5</v>
      </c>
      <c r="M5830" s="17">
        <v>50</v>
      </c>
      <c r="N5830" s="17">
        <v>5</v>
      </c>
      <c r="O5830" s="18">
        <v>210.03</v>
      </c>
      <c r="P5830" s="18">
        <v>172.16</v>
      </c>
      <c r="Q5830" s="18">
        <v>178.53</v>
      </c>
      <c r="R5830" s="18">
        <v>146.34</v>
      </c>
      <c r="S5830" s="18">
        <v>142.82</v>
      </c>
      <c r="T5830" s="18">
        <v>117.07</v>
      </c>
      <c r="U5830" s="16"/>
      <c r="V5830" s="16"/>
      <c r="W5830" s="16" t="s">
        <v>40</v>
      </c>
      <c r="X5830" s="19">
        <v>5.1999999999999998E-2</v>
      </c>
      <c r="Y5830" s="20">
        <v>6.3299999999999999E-4</v>
      </c>
      <c r="Z5830" s="21">
        <v>4601004315914</v>
      </c>
    </row>
    <row r="5831" spans="1:26" ht="12" customHeight="1" outlineLevel="3" x14ac:dyDescent="0.2">
      <c r="A5831" s="14" t="s">
        <v>11267</v>
      </c>
      <c r="B5831" s="26" t="s">
        <v>11268</v>
      </c>
      <c r="C5831" s="52"/>
      <c r="D5831" s="55">
        <f t="shared" si="90"/>
        <v>0</v>
      </c>
      <c r="E5831" s="63" t="str">
        <f>HYPERLINK("https://www.sds-group.ru/product/schitok-zaschitniy-litsevoy-nbt1-vizion-start-413140-15692/", "Инфо")</f>
        <v>Инфо</v>
      </c>
      <c r="F5831" s="16" t="s">
        <v>39</v>
      </c>
      <c r="G5831" s="15"/>
      <c r="H5831" s="15"/>
      <c r="I5831" s="15"/>
      <c r="J5831" s="17">
        <v>90</v>
      </c>
      <c r="K5831" s="15"/>
      <c r="L5831" s="17">
        <v>1</v>
      </c>
      <c r="M5831" s="17">
        <v>20</v>
      </c>
      <c r="N5831" s="17">
        <v>1</v>
      </c>
      <c r="O5831" s="18">
        <v>588.29999999999995</v>
      </c>
      <c r="P5831" s="18">
        <v>482.21</v>
      </c>
      <c r="Q5831" s="18">
        <v>529.47</v>
      </c>
      <c r="R5831" s="18">
        <v>433.99</v>
      </c>
      <c r="S5831" s="18">
        <v>400.04</v>
      </c>
      <c r="T5831" s="18">
        <v>327.9</v>
      </c>
      <c r="U5831" s="16"/>
      <c r="V5831" s="16"/>
      <c r="W5831" s="16" t="s">
        <v>40</v>
      </c>
      <c r="X5831" s="19">
        <v>0.24199999999999999</v>
      </c>
      <c r="Y5831" s="20">
        <v>7.3899999999999999E-3</v>
      </c>
      <c r="Z5831" s="21">
        <v>4601004315938</v>
      </c>
    </row>
    <row r="5832" spans="1:26" ht="12.95" customHeight="1" outlineLevel="1" x14ac:dyDescent="0.2">
      <c r="A5832" s="78" t="s">
        <v>11269</v>
      </c>
      <c r="B5832" s="78"/>
      <c r="C5832" s="79"/>
      <c r="D5832" s="57"/>
      <c r="E5832" s="67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</row>
    <row r="5833" spans="1:26" ht="12" customHeight="1" outlineLevel="2" x14ac:dyDescent="0.2">
      <c r="A5833" s="14" t="s">
        <v>11270</v>
      </c>
      <c r="B5833" s="26" t="s">
        <v>11271</v>
      </c>
      <c r="C5833" s="52"/>
      <c r="D5833" s="55">
        <f t="shared" ref="D5833:D5896" si="91">C5833*(O5833-O5833*$G$3)</f>
        <v>0</v>
      </c>
      <c r="E5833" s="63" t="str">
        <f>HYPERLINK("https://www.sds-group.ru/product/lestnitsa-transformer-4x3-rexant-12-5073/", "Инфо")</f>
        <v>Инфо</v>
      </c>
      <c r="F5833" s="16" t="s">
        <v>39</v>
      </c>
      <c r="G5833" s="15"/>
      <c r="H5833" s="15"/>
      <c r="I5833" s="15"/>
      <c r="J5833" s="16" t="s">
        <v>100</v>
      </c>
      <c r="K5833" s="15"/>
      <c r="L5833" s="17">
        <v>1</v>
      </c>
      <c r="M5833" s="17">
        <v>1</v>
      </c>
      <c r="N5833" s="17">
        <v>1</v>
      </c>
      <c r="O5833" s="18">
        <v>22638.42</v>
      </c>
      <c r="P5833" s="18">
        <v>18556.080000000002</v>
      </c>
      <c r="Q5833" s="18">
        <v>16526.05</v>
      </c>
      <c r="R5833" s="18">
        <v>13545.94</v>
      </c>
      <c r="S5833" s="18">
        <v>15394.13</v>
      </c>
      <c r="T5833" s="18">
        <v>12618.14</v>
      </c>
      <c r="U5833" s="16"/>
      <c r="V5833" s="16"/>
      <c r="W5833" s="16" t="s">
        <v>40</v>
      </c>
      <c r="X5833" s="19">
        <v>12.34</v>
      </c>
      <c r="Y5833" s="20">
        <v>8.5838999999999999E-2</v>
      </c>
      <c r="Z5833" s="21">
        <v>4601004196940</v>
      </c>
    </row>
    <row r="5834" spans="1:26" ht="12" customHeight="1" outlineLevel="2" x14ac:dyDescent="0.2">
      <c r="A5834" s="14" t="s">
        <v>11272</v>
      </c>
      <c r="B5834" s="26" t="s">
        <v>11273</v>
      </c>
      <c r="C5834" s="52"/>
      <c r="D5834" s="55">
        <f t="shared" si="91"/>
        <v>0</v>
      </c>
      <c r="E5834" s="63" t="str">
        <f>HYPERLINK("https://www.sds-group.ru/product/lestnitsa-transformer-4x4-rexant-12-5074/", "Инфо")</f>
        <v>Инфо</v>
      </c>
      <c r="F5834" s="16" t="s">
        <v>39</v>
      </c>
      <c r="G5834" s="15"/>
      <c r="H5834" s="15"/>
      <c r="I5834" s="15"/>
      <c r="J5834" s="16" t="s">
        <v>100</v>
      </c>
      <c r="K5834" s="15" t="s">
        <v>1408</v>
      </c>
      <c r="L5834" s="17">
        <v>1</v>
      </c>
      <c r="M5834" s="17">
        <v>1</v>
      </c>
      <c r="N5834" s="17">
        <v>1</v>
      </c>
      <c r="O5834" s="18">
        <v>24794.46</v>
      </c>
      <c r="P5834" s="18">
        <v>20323.330000000002</v>
      </c>
      <c r="Q5834" s="18">
        <v>18099.96</v>
      </c>
      <c r="R5834" s="18">
        <v>14836.03</v>
      </c>
      <c r="S5834" s="18">
        <v>16860.23</v>
      </c>
      <c r="T5834" s="18">
        <v>13819.86</v>
      </c>
      <c r="U5834" s="16"/>
      <c r="V5834" s="16"/>
      <c r="W5834" s="16" t="s">
        <v>40</v>
      </c>
      <c r="X5834" s="19">
        <v>13.84</v>
      </c>
      <c r="Y5834" s="20">
        <v>0.11289</v>
      </c>
      <c r="Z5834" s="21">
        <v>4601004196957</v>
      </c>
    </row>
    <row r="5835" spans="1:26" ht="12" customHeight="1" outlineLevel="2" x14ac:dyDescent="0.2">
      <c r="A5835" s="14" t="s">
        <v>11274</v>
      </c>
      <c r="B5835" s="26" t="s">
        <v>11275</v>
      </c>
      <c r="C5835" s="52"/>
      <c r="D5835" s="55">
        <f t="shared" si="91"/>
        <v>0</v>
      </c>
      <c r="E5835" s="63" t="str">
        <f>HYPERLINK("https://www.sds-group.ru/product/stremyanka-metallicheskaya-3-stupenki-usilennyy-profil-rexant-12-5053/", "Инфо")</f>
        <v>Инфо</v>
      </c>
      <c r="F5835" s="16" t="s">
        <v>39</v>
      </c>
      <c r="G5835" s="15"/>
      <c r="H5835" s="15"/>
      <c r="I5835" s="15"/>
      <c r="J5835" s="17">
        <v>94</v>
      </c>
      <c r="K5835" s="15"/>
      <c r="L5835" s="17">
        <v>1</v>
      </c>
      <c r="M5835" s="17">
        <v>1</v>
      </c>
      <c r="N5835" s="17">
        <v>1</v>
      </c>
      <c r="O5835" s="18">
        <v>2877.9</v>
      </c>
      <c r="P5835" s="18">
        <v>2358.9299999999998</v>
      </c>
      <c r="Q5835" s="18">
        <v>2215.98</v>
      </c>
      <c r="R5835" s="18">
        <v>1816.38</v>
      </c>
      <c r="S5835" s="18">
        <v>1956.97</v>
      </c>
      <c r="T5835" s="18">
        <v>1604.07</v>
      </c>
      <c r="U5835" s="16"/>
      <c r="V5835" s="16"/>
      <c r="W5835" s="16" t="s">
        <v>40</v>
      </c>
      <c r="X5835" s="19">
        <v>4.0599999999999996</v>
      </c>
      <c r="Y5835" s="20">
        <v>4.8399999999999999E-2</v>
      </c>
      <c r="Z5835" s="21">
        <v>4601004196988</v>
      </c>
    </row>
    <row r="5836" spans="1:26" ht="12" customHeight="1" outlineLevel="2" x14ac:dyDescent="0.2">
      <c r="A5836" s="14" t="s">
        <v>11276</v>
      </c>
      <c r="B5836" s="26" t="s">
        <v>11277</v>
      </c>
      <c r="C5836" s="52"/>
      <c r="D5836" s="55">
        <f t="shared" si="91"/>
        <v>0</v>
      </c>
      <c r="E5836" s="63" t="str">
        <f>HYPERLINK("https://www.sds-group.ru/product/stremyanka-metallicheskaya-4-stupenki-usilennyy-profil-rexant-12-5054/", "Инфо")</f>
        <v>Инфо</v>
      </c>
      <c r="F5836" s="16" t="s">
        <v>39</v>
      </c>
      <c r="G5836" s="15"/>
      <c r="H5836" s="15"/>
      <c r="I5836" s="15"/>
      <c r="J5836" s="17">
        <v>93</v>
      </c>
      <c r="K5836" s="15" t="s">
        <v>1408</v>
      </c>
      <c r="L5836" s="17">
        <v>1</v>
      </c>
      <c r="M5836" s="17">
        <v>1</v>
      </c>
      <c r="N5836" s="17">
        <v>1</v>
      </c>
      <c r="O5836" s="18">
        <v>3582.8</v>
      </c>
      <c r="P5836" s="18">
        <v>2936.72</v>
      </c>
      <c r="Q5836" s="18">
        <v>2758.76</v>
      </c>
      <c r="R5836" s="18">
        <v>2261.2800000000002</v>
      </c>
      <c r="S5836" s="18">
        <v>2436.3000000000002</v>
      </c>
      <c r="T5836" s="18">
        <v>1996.97</v>
      </c>
      <c r="U5836" s="16"/>
      <c r="V5836" s="16"/>
      <c r="W5836" s="16" t="s">
        <v>40</v>
      </c>
      <c r="X5836" s="19">
        <v>4.8449999999999998</v>
      </c>
      <c r="Y5836" s="20">
        <v>5.7270000000000001E-2</v>
      </c>
      <c r="Z5836" s="21">
        <v>4601004196872</v>
      </c>
    </row>
    <row r="5837" spans="1:26" ht="12" customHeight="1" outlineLevel="2" x14ac:dyDescent="0.2">
      <c r="A5837" s="14" t="s">
        <v>11278</v>
      </c>
      <c r="B5837" s="26" t="s">
        <v>11279</v>
      </c>
      <c r="C5837" s="52"/>
      <c r="D5837" s="55">
        <f t="shared" si="91"/>
        <v>0</v>
      </c>
      <c r="E5837" s="63" t="str">
        <f>HYPERLINK("https://www.sds-group.ru/product/stremyanka-metallicheskaya-5-stupenek-usilennyy-profil-rexant-12-5055/", "Инфо")</f>
        <v>Инфо</v>
      </c>
      <c r="F5837" s="16" t="s">
        <v>39</v>
      </c>
      <c r="G5837" s="15"/>
      <c r="H5837" s="15"/>
      <c r="I5837" s="15"/>
      <c r="J5837" s="17">
        <v>661</v>
      </c>
      <c r="K5837" s="15"/>
      <c r="L5837" s="17">
        <v>1</v>
      </c>
      <c r="M5837" s="17">
        <v>1</v>
      </c>
      <c r="N5837" s="17">
        <v>1</v>
      </c>
      <c r="O5837" s="18">
        <v>4096.4799999999996</v>
      </c>
      <c r="P5837" s="18">
        <v>3357.77</v>
      </c>
      <c r="Q5837" s="18">
        <v>2990.43</v>
      </c>
      <c r="R5837" s="18">
        <v>2451.17</v>
      </c>
      <c r="S5837" s="18">
        <v>2785.61</v>
      </c>
      <c r="T5837" s="18">
        <v>2283.29</v>
      </c>
      <c r="U5837" s="16"/>
      <c r="V5837" s="16"/>
      <c r="W5837" s="16" t="s">
        <v>40</v>
      </c>
      <c r="X5837" s="19">
        <v>5.77</v>
      </c>
      <c r="Y5837" s="20">
        <v>7.3599999999999999E-2</v>
      </c>
      <c r="Z5837" s="21">
        <v>4601004196865</v>
      </c>
    </row>
    <row r="5838" spans="1:26" ht="12" customHeight="1" outlineLevel="2" x14ac:dyDescent="0.2">
      <c r="A5838" s="14" t="s">
        <v>11280</v>
      </c>
      <c r="B5838" s="26" t="s">
        <v>11281</v>
      </c>
      <c r="C5838" s="52"/>
      <c r="D5838" s="55">
        <f t="shared" si="91"/>
        <v>0</v>
      </c>
      <c r="E5838" s="63" t="str">
        <f>HYPERLINK("https://www.sds-group.ru/product/stremyanka-metallicheskaya-6-stupenek-usilennyy-profil-rexant-12-5056/", "Инфо")</f>
        <v>Инфо</v>
      </c>
      <c r="F5838" s="16" t="s">
        <v>39</v>
      </c>
      <c r="G5838" s="15"/>
      <c r="H5838" s="15"/>
      <c r="I5838" s="15"/>
      <c r="J5838" s="17">
        <v>74</v>
      </c>
      <c r="K5838" s="15" t="s">
        <v>1408</v>
      </c>
      <c r="L5838" s="17">
        <v>1</v>
      </c>
      <c r="M5838" s="17">
        <v>1</v>
      </c>
      <c r="N5838" s="17">
        <v>1</v>
      </c>
      <c r="O5838" s="18">
        <v>4929</v>
      </c>
      <c r="P5838" s="18">
        <v>4040.16</v>
      </c>
      <c r="Q5838" s="18">
        <v>3598.17</v>
      </c>
      <c r="R5838" s="18">
        <v>2949.32</v>
      </c>
      <c r="S5838" s="18">
        <v>3351.72</v>
      </c>
      <c r="T5838" s="18">
        <v>2747.31</v>
      </c>
      <c r="U5838" s="16"/>
      <c r="V5838" s="16"/>
      <c r="W5838" s="16" t="s">
        <v>40</v>
      </c>
      <c r="X5838" s="19">
        <v>6.63</v>
      </c>
      <c r="Y5838" s="20">
        <v>8.8319999999999996E-2</v>
      </c>
      <c r="Z5838" s="21">
        <v>4601004196889</v>
      </c>
    </row>
    <row r="5839" spans="1:26" ht="12" customHeight="1" outlineLevel="2" x14ac:dyDescent="0.2">
      <c r="A5839" s="14" t="s">
        <v>11282</v>
      </c>
      <c r="B5839" s="26" t="s">
        <v>11283</v>
      </c>
      <c r="C5839" s="52"/>
      <c r="D5839" s="55">
        <f t="shared" si="91"/>
        <v>0</v>
      </c>
      <c r="E5839" s="63" t="str">
        <f>HYPERLINK("https://www.sds-group.ru/product/stremyanka-metallicheskaya-7-stupenek-usilennyy-profil-rexant-12-5057/", "Инфо")</f>
        <v>Инфо</v>
      </c>
      <c r="F5839" s="16" t="s">
        <v>39</v>
      </c>
      <c r="G5839" s="15"/>
      <c r="H5839" s="15"/>
      <c r="I5839" s="15"/>
      <c r="J5839" s="17">
        <v>104</v>
      </c>
      <c r="K5839" s="15" t="s">
        <v>1408</v>
      </c>
      <c r="L5839" s="17">
        <v>1</v>
      </c>
      <c r="M5839" s="17">
        <v>1</v>
      </c>
      <c r="N5839" s="17">
        <v>1</v>
      </c>
      <c r="O5839" s="18">
        <v>5724</v>
      </c>
      <c r="P5839" s="18">
        <v>4691.8</v>
      </c>
      <c r="Q5839" s="18">
        <v>4178.5200000000004</v>
      </c>
      <c r="R5839" s="18">
        <v>3425.02</v>
      </c>
      <c r="S5839" s="18">
        <v>3892.32</v>
      </c>
      <c r="T5839" s="18">
        <v>3190.43</v>
      </c>
      <c r="U5839" s="16"/>
      <c r="V5839" s="16"/>
      <c r="W5839" s="16" t="s">
        <v>40</v>
      </c>
      <c r="X5839" s="19">
        <v>7.52</v>
      </c>
      <c r="Y5839" s="20">
        <v>0.122693</v>
      </c>
      <c r="Z5839" s="21">
        <v>4601004196896</v>
      </c>
    </row>
    <row r="5840" spans="1:26" ht="12" customHeight="1" outlineLevel="2" x14ac:dyDescent="0.2">
      <c r="A5840" s="14" t="s">
        <v>11284</v>
      </c>
      <c r="B5840" s="26" t="s">
        <v>11285</v>
      </c>
      <c r="C5840" s="52"/>
      <c r="D5840" s="55">
        <f t="shared" si="91"/>
        <v>0</v>
      </c>
      <c r="E5840" s="63" t="str">
        <f>HYPERLINK("https://www.sds-group.ru/product/stremyanka-metallicheskaya-8-stupenek-usilennyy-profil-rexant-12-5058/", "Инфо")</f>
        <v>Инфо</v>
      </c>
      <c r="F5840" s="16" t="s">
        <v>39</v>
      </c>
      <c r="G5840" s="15"/>
      <c r="H5840" s="15"/>
      <c r="I5840" s="15"/>
      <c r="J5840" s="17">
        <v>51</v>
      </c>
      <c r="K5840" s="15" t="s">
        <v>1408</v>
      </c>
      <c r="L5840" s="17">
        <v>1</v>
      </c>
      <c r="M5840" s="17">
        <v>1</v>
      </c>
      <c r="N5840" s="17">
        <v>1</v>
      </c>
      <c r="O5840" s="18">
        <v>7017.2</v>
      </c>
      <c r="P5840" s="18">
        <v>5751.8</v>
      </c>
      <c r="Q5840" s="18">
        <v>5122.5600000000004</v>
      </c>
      <c r="R5840" s="18">
        <v>4198.82</v>
      </c>
      <c r="S5840" s="18">
        <v>4771.7</v>
      </c>
      <c r="T5840" s="18">
        <v>3911.23</v>
      </c>
      <c r="U5840" s="16"/>
      <c r="V5840" s="16"/>
      <c r="W5840" s="16" t="s">
        <v>40</v>
      </c>
      <c r="X5840" s="19">
        <v>8.8810000000000002</v>
      </c>
      <c r="Y5840" s="20">
        <v>0.117406</v>
      </c>
      <c r="Z5840" s="21">
        <v>4601004196902</v>
      </c>
    </row>
    <row r="5841" spans="1:26" ht="12" customHeight="1" outlineLevel="2" x14ac:dyDescent="0.2">
      <c r="A5841" s="14" t="s">
        <v>11286</v>
      </c>
      <c r="B5841" s="26" t="s">
        <v>11287</v>
      </c>
      <c r="C5841" s="52"/>
      <c r="D5841" s="55">
        <f t="shared" si="91"/>
        <v>0</v>
      </c>
      <c r="E5841" s="63" t="str">
        <f>HYPERLINK("https://www.sds-group.ru/product/trehsektsionnaya-promyshlennaya-lestnitsa-3x10-rexant-12-5068/", "Инфо")</f>
        <v>Инфо</v>
      </c>
      <c r="F5841" s="16" t="s">
        <v>39</v>
      </c>
      <c r="G5841" s="15"/>
      <c r="H5841" s="15"/>
      <c r="I5841" s="15"/>
      <c r="J5841" s="17">
        <v>10</v>
      </c>
      <c r="K5841" s="15" t="s">
        <v>1408</v>
      </c>
      <c r="L5841" s="17">
        <v>1</v>
      </c>
      <c r="M5841" s="17">
        <v>1</v>
      </c>
      <c r="N5841" s="17">
        <v>1</v>
      </c>
      <c r="O5841" s="18">
        <v>25872.48</v>
      </c>
      <c r="P5841" s="18">
        <v>21206.95</v>
      </c>
      <c r="Q5841" s="18">
        <v>18886.91</v>
      </c>
      <c r="R5841" s="18">
        <v>15481.07</v>
      </c>
      <c r="S5841" s="18">
        <v>17593.29</v>
      </c>
      <c r="T5841" s="18">
        <v>14420.73</v>
      </c>
      <c r="U5841" s="16"/>
      <c r="V5841" s="16"/>
      <c r="W5841" s="16" t="s">
        <v>40</v>
      </c>
      <c r="X5841" s="19">
        <v>14.04</v>
      </c>
      <c r="Y5841" s="20">
        <v>0.20905599999999999</v>
      </c>
      <c r="Z5841" s="21">
        <v>4601004196933</v>
      </c>
    </row>
    <row r="5842" spans="1:26" ht="12" customHeight="1" outlineLevel="2" x14ac:dyDescent="0.2">
      <c r="A5842" s="14" t="s">
        <v>11288</v>
      </c>
      <c r="B5842" s="26" t="s">
        <v>11289</v>
      </c>
      <c r="C5842" s="52"/>
      <c r="D5842" s="55">
        <f t="shared" si="91"/>
        <v>0</v>
      </c>
      <c r="E5842" s="63" t="str">
        <f>HYPERLINK("https://www.sds-group.ru/product/trehsektsionnaya-promyshlennaya-lestnitsa-3x8-rexant-12-5066/", "Инфо")</f>
        <v>Инфо</v>
      </c>
      <c r="F5842" s="16" t="s">
        <v>39</v>
      </c>
      <c r="G5842" s="15"/>
      <c r="H5842" s="15"/>
      <c r="I5842" s="15"/>
      <c r="J5842" s="17">
        <v>1</v>
      </c>
      <c r="K5842" s="15" t="s">
        <v>1408</v>
      </c>
      <c r="L5842" s="17">
        <v>1</v>
      </c>
      <c r="M5842" s="17">
        <v>1</v>
      </c>
      <c r="N5842" s="17">
        <v>1</v>
      </c>
      <c r="O5842" s="18">
        <v>23177.43</v>
      </c>
      <c r="P5842" s="18">
        <v>18997.89</v>
      </c>
      <c r="Q5842" s="18">
        <v>16919.52</v>
      </c>
      <c r="R5842" s="18">
        <v>13868.46</v>
      </c>
      <c r="S5842" s="18">
        <v>15760.65</v>
      </c>
      <c r="T5842" s="18">
        <v>12918.57</v>
      </c>
      <c r="U5842" s="16"/>
      <c r="V5842" s="16"/>
      <c r="W5842" s="16" t="s">
        <v>40</v>
      </c>
      <c r="X5842" s="19">
        <v>11.4</v>
      </c>
      <c r="Y5842" s="20">
        <v>0.16844799999999999</v>
      </c>
      <c r="Z5842" s="21">
        <v>4601004196919</v>
      </c>
    </row>
    <row r="5843" spans="1:26" ht="12" customHeight="1" outlineLevel="2" x14ac:dyDescent="0.2">
      <c r="A5843" s="14" t="s">
        <v>11290</v>
      </c>
      <c r="B5843" s="26" t="s">
        <v>11291</v>
      </c>
      <c r="C5843" s="52"/>
      <c r="D5843" s="55">
        <f t="shared" si="91"/>
        <v>0</v>
      </c>
      <c r="E5843" s="63" t="str">
        <f>HYPERLINK("https://www.sds-group.ru/product/trehsektsionnaya-promyshlennaya-lestnitsa-3x9-rexant-12-5067/", "Инфо")</f>
        <v>Инфо</v>
      </c>
      <c r="F5843" s="16" t="s">
        <v>39</v>
      </c>
      <c r="G5843" s="15"/>
      <c r="H5843" s="15"/>
      <c r="I5843" s="15"/>
      <c r="J5843" s="17">
        <v>3</v>
      </c>
      <c r="K5843" s="15" t="s">
        <v>1408</v>
      </c>
      <c r="L5843" s="17">
        <v>1</v>
      </c>
      <c r="M5843" s="17">
        <v>1</v>
      </c>
      <c r="N5843" s="17">
        <v>1</v>
      </c>
      <c r="O5843" s="18">
        <v>24794.46</v>
      </c>
      <c r="P5843" s="18">
        <v>20323.330000000002</v>
      </c>
      <c r="Q5843" s="18">
        <v>18099.96</v>
      </c>
      <c r="R5843" s="18">
        <v>14836.03</v>
      </c>
      <c r="S5843" s="18">
        <v>16860.23</v>
      </c>
      <c r="T5843" s="18">
        <v>13819.86</v>
      </c>
      <c r="U5843" s="16"/>
      <c r="V5843" s="16"/>
      <c r="W5843" s="16" t="s">
        <v>40</v>
      </c>
      <c r="X5843" s="19">
        <v>12.5</v>
      </c>
      <c r="Y5843" s="20">
        <v>0.188</v>
      </c>
      <c r="Z5843" s="21">
        <v>4601004196926</v>
      </c>
    </row>
    <row r="5844" spans="1:26" ht="12.95" customHeight="1" outlineLevel="1" x14ac:dyDescent="0.2">
      <c r="A5844" s="78" t="s">
        <v>11292</v>
      </c>
      <c r="B5844" s="78"/>
      <c r="C5844" s="79"/>
      <c r="D5844" s="57"/>
      <c r="E5844" s="67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</row>
    <row r="5845" spans="1:26" ht="12.95" customHeight="1" outlineLevel="2" x14ac:dyDescent="0.2">
      <c r="A5845" s="76" t="s">
        <v>11293</v>
      </c>
      <c r="B5845" s="76"/>
      <c r="C5845" s="77"/>
      <c r="D5845" s="58"/>
      <c r="E5845" s="68"/>
      <c r="F5845" s="13"/>
      <c r="G5845" s="13"/>
      <c r="H5845" s="13"/>
      <c r="I5845" s="13"/>
      <c r="J5845" s="13"/>
      <c r="K5845" s="13"/>
      <c r="L5845" s="13"/>
      <c r="M5845" s="13"/>
      <c r="N5845" s="13"/>
      <c r="O5845" s="13"/>
      <c r="P5845" s="13"/>
      <c r="Q5845" s="13"/>
      <c r="R5845" s="13"/>
      <c r="S5845" s="13"/>
      <c r="T5845" s="13"/>
      <c r="U5845" s="13"/>
      <c r="V5845" s="13"/>
      <c r="W5845" s="13"/>
      <c r="X5845" s="13"/>
      <c r="Y5845" s="13"/>
      <c r="Z5845" s="13"/>
    </row>
    <row r="5846" spans="1:26" ht="12" customHeight="1" outlineLevel="3" x14ac:dyDescent="0.2">
      <c r="A5846" s="32" t="s">
        <v>11294</v>
      </c>
      <c r="B5846" s="74" t="s">
        <v>11295</v>
      </c>
      <c r="C5846" s="50"/>
      <c r="D5846" s="53">
        <f t="shared" si="91"/>
        <v>0</v>
      </c>
      <c r="E5846" s="60" t="str">
        <f>HYPERLINK("https://www.sds-group.ru/product/yaschik-plastikoviy-dlya-instrumenta-proconnect-245h258h45-mm-12424/", "Инфо")</f>
        <v>Инфо</v>
      </c>
      <c r="F5846" s="34" t="s">
        <v>39</v>
      </c>
      <c r="G5846" s="33"/>
      <c r="H5846" s="33" t="s">
        <v>40</v>
      </c>
      <c r="I5846" s="33"/>
      <c r="J5846" s="35">
        <v>2</v>
      </c>
      <c r="K5846" s="33"/>
      <c r="L5846" s="35">
        <v>1</v>
      </c>
      <c r="M5846" s="35">
        <v>16</v>
      </c>
      <c r="N5846" s="35">
        <v>1</v>
      </c>
      <c r="O5846" s="36">
        <v>560.57000000000005</v>
      </c>
      <c r="P5846" s="36">
        <v>459.48</v>
      </c>
      <c r="Q5846" s="36">
        <v>392.4</v>
      </c>
      <c r="R5846" s="36">
        <v>321.64</v>
      </c>
      <c r="S5846" s="36">
        <v>381.19</v>
      </c>
      <c r="T5846" s="36">
        <v>312.45</v>
      </c>
      <c r="U5846" s="34"/>
      <c r="V5846" s="34"/>
      <c r="W5846" s="34"/>
      <c r="X5846" s="37">
        <v>0.316</v>
      </c>
      <c r="Y5846" s="38">
        <v>2.8189999999999999E-3</v>
      </c>
      <c r="Z5846" s="21">
        <v>4601004064225</v>
      </c>
    </row>
    <row r="5847" spans="1:26" ht="12" customHeight="1" outlineLevel="3" x14ac:dyDescent="0.2">
      <c r="A5847" s="32" t="s">
        <v>11296</v>
      </c>
      <c r="B5847" s="74" t="s">
        <v>11297</v>
      </c>
      <c r="C5847" s="50"/>
      <c r="D5847" s="53">
        <f t="shared" si="91"/>
        <v>0</v>
      </c>
      <c r="E5847" s="60" t="str">
        <f>HYPERLINK("https://www.sds-group.ru/product/yaschik-universalnyy-plastikovyy-dlya-instrumenta-proconnect-325h280h60-mm-12-5014-4/", "Инфо")</f>
        <v>Инфо</v>
      </c>
      <c r="F5847" s="34" t="s">
        <v>39</v>
      </c>
      <c r="G5847" s="33"/>
      <c r="H5847" s="33" t="s">
        <v>40</v>
      </c>
      <c r="I5847" s="33"/>
      <c r="J5847" s="35">
        <v>10</v>
      </c>
      <c r="K5847" s="33"/>
      <c r="L5847" s="35">
        <v>1</v>
      </c>
      <c r="M5847" s="35">
        <v>7</v>
      </c>
      <c r="N5847" s="35">
        <v>1</v>
      </c>
      <c r="O5847" s="36">
        <v>1239.72</v>
      </c>
      <c r="P5847" s="36">
        <v>1016.16</v>
      </c>
      <c r="Q5847" s="36">
        <v>991.78</v>
      </c>
      <c r="R5847" s="36">
        <v>812.93</v>
      </c>
      <c r="S5847" s="36">
        <v>843.01</v>
      </c>
      <c r="T5847" s="36">
        <v>690.99</v>
      </c>
      <c r="U5847" s="34"/>
      <c r="V5847" s="34"/>
      <c r="W5847" s="34" t="s">
        <v>40</v>
      </c>
      <c r="X5847" s="37">
        <v>0.57799999999999996</v>
      </c>
      <c r="Y5847" s="38">
        <v>5.8019999999999999E-3</v>
      </c>
      <c r="Z5847" s="21">
        <v>4601004072879</v>
      </c>
    </row>
    <row r="5848" spans="1:26" ht="12.95" customHeight="1" outlineLevel="2" x14ac:dyDescent="0.2">
      <c r="A5848" s="76" t="s">
        <v>11298</v>
      </c>
      <c r="B5848" s="76"/>
      <c r="C5848" s="77"/>
      <c r="D5848" s="58"/>
      <c r="E5848" s="68"/>
      <c r="F5848" s="13"/>
      <c r="G5848" s="13"/>
      <c r="H5848" s="13"/>
      <c r="I5848" s="13"/>
      <c r="J5848" s="13"/>
      <c r="K5848" s="13"/>
      <c r="L5848" s="13"/>
      <c r="M5848" s="13"/>
      <c r="N5848" s="13"/>
      <c r="O5848" s="13"/>
      <c r="P5848" s="13"/>
      <c r="Q5848" s="13"/>
      <c r="R5848" s="13"/>
      <c r="S5848" s="13"/>
      <c r="T5848" s="13"/>
      <c r="U5848" s="13"/>
      <c r="V5848" s="13"/>
      <c r="W5848" s="13"/>
      <c r="X5848" s="13"/>
      <c r="Y5848" s="13"/>
      <c r="Z5848" s="13"/>
    </row>
    <row r="5849" spans="1:26" ht="12" customHeight="1" outlineLevel="3" x14ac:dyDescent="0.2">
      <c r="A5849" s="32" t="s">
        <v>11299</v>
      </c>
      <c r="B5849" s="74" t="s">
        <v>11300</v>
      </c>
      <c r="C5849" s="50"/>
      <c r="D5849" s="53">
        <f t="shared" si="91"/>
        <v>0</v>
      </c>
      <c r="E5849" s="60" t="str">
        <f>HYPERLINK("https://www.sds-group.ru/product/kobura-dlya-instrumenta-2-otdeleniya-re-2u-rexant-12-5604/", "Инфо")</f>
        <v>Инфо</v>
      </c>
      <c r="F5849" s="34" t="s">
        <v>39</v>
      </c>
      <c r="G5849" s="33"/>
      <c r="H5849" s="33" t="s">
        <v>40</v>
      </c>
      <c r="I5849" s="33"/>
      <c r="J5849" s="35">
        <v>238</v>
      </c>
      <c r="K5849" s="33"/>
      <c r="L5849" s="35">
        <v>1</v>
      </c>
      <c r="M5849" s="35">
        <v>60</v>
      </c>
      <c r="N5849" s="35">
        <v>1</v>
      </c>
      <c r="O5849" s="36">
        <v>481.13</v>
      </c>
      <c r="P5849" s="36">
        <v>394.37</v>
      </c>
      <c r="Q5849" s="36">
        <v>336.79</v>
      </c>
      <c r="R5849" s="36">
        <v>276.06</v>
      </c>
      <c r="S5849" s="36">
        <v>327.17</v>
      </c>
      <c r="T5849" s="36">
        <v>268.17</v>
      </c>
      <c r="U5849" s="34"/>
      <c r="V5849" s="34"/>
      <c r="W5849" s="34"/>
      <c r="X5849" s="37">
        <v>0.11799999999999999</v>
      </c>
      <c r="Y5849" s="38">
        <v>7.9100000000000004E-4</v>
      </c>
      <c r="Z5849" s="21">
        <v>4601004090088</v>
      </c>
    </row>
    <row r="5850" spans="1:26" ht="12" customHeight="1" outlineLevel="3" x14ac:dyDescent="0.2">
      <c r="A5850" s="14" t="s">
        <v>11301</v>
      </c>
      <c r="B5850" s="26" t="s">
        <v>11302</v>
      </c>
      <c r="C5850" s="52"/>
      <c r="D5850" s="55">
        <f t="shared" si="91"/>
        <v>0</v>
      </c>
      <c r="E5850" s="63" t="str">
        <f>HYPERLINK("https://www.sds-group.ru/product/neylonovyy-poyas-re-pb-rexant-12-5610/", "Инфо")</f>
        <v>Инфо</v>
      </c>
      <c r="F5850" s="16" t="s">
        <v>39</v>
      </c>
      <c r="G5850" s="15"/>
      <c r="H5850" s="15"/>
      <c r="I5850" s="15"/>
      <c r="J5850" s="16" t="s">
        <v>100</v>
      </c>
      <c r="K5850" s="15"/>
      <c r="L5850" s="17">
        <v>1</v>
      </c>
      <c r="M5850" s="17">
        <v>100</v>
      </c>
      <c r="N5850" s="17">
        <v>1</v>
      </c>
      <c r="O5850" s="18">
        <v>431.21</v>
      </c>
      <c r="P5850" s="18">
        <v>353.45</v>
      </c>
      <c r="Q5850" s="18">
        <v>344.97</v>
      </c>
      <c r="R5850" s="18">
        <v>282.76</v>
      </c>
      <c r="S5850" s="18">
        <v>293.22000000000003</v>
      </c>
      <c r="T5850" s="18">
        <v>240.34</v>
      </c>
      <c r="U5850" s="16"/>
      <c r="V5850" s="16"/>
      <c r="W5850" s="16" t="s">
        <v>40</v>
      </c>
      <c r="X5850" s="19">
        <v>0.113</v>
      </c>
      <c r="Y5850" s="20">
        <v>4.0000000000000002E-4</v>
      </c>
      <c r="Z5850" s="21">
        <v>4601004090149</v>
      </c>
    </row>
    <row r="5851" spans="1:26" ht="12" customHeight="1" outlineLevel="3" x14ac:dyDescent="0.2">
      <c r="A5851" s="14" t="s">
        <v>11303</v>
      </c>
      <c r="B5851" s="26" t="s">
        <v>11304</v>
      </c>
      <c r="C5851" s="52"/>
      <c r="D5851" s="55">
        <f t="shared" si="91"/>
        <v>0</v>
      </c>
      <c r="E5851" s="63" t="str">
        <f>HYPERLINK("https://www.sds-group.ru/product/ryukzak-montazhnika-s-rezinovym-dnom-re-12-rexant-12-5614/", "Инфо")</f>
        <v>Инфо</v>
      </c>
      <c r="F5851" s="16" t="s">
        <v>39</v>
      </c>
      <c r="G5851" s="15"/>
      <c r="H5851" s="15"/>
      <c r="I5851" s="15"/>
      <c r="J5851" s="17">
        <v>45</v>
      </c>
      <c r="K5851" s="15" t="s">
        <v>6939</v>
      </c>
      <c r="L5851" s="17">
        <v>1</v>
      </c>
      <c r="M5851" s="17">
        <v>10</v>
      </c>
      <c r="N5851" s="17">
        <v>1</v>
      </c>
      <c r="O5851" s="18">
        <v>4851.09</v>
      </c>
      <c r="P5851" s="18">
        <v>3976.3</v>
      </c>
      <c r="Q5851" s="18">
        <v>3541.3</v>
      </c>
      <c r="R5851" s="18">
        <v>2902.7</v>
      </c>
      <c r="S5851" s="18">
        <v>3298.74</v>
      </c>
      <c r="T5851" s="18">
        <v>2703.89</v>
      </c>
      <c r="U5851" s="16"/>
      <c r="V5851" s="16"/>
      <c r="W5851" s="16" t="s">
        <v>40</v>
      </c>
      <c r="X5851" s="19">
        <v>1.631</v>
      </c>
      <c r="Y5851" s="20">
        <v>3.3000000000000003E-5</v>
      </c>
      <c r="Z5851" s="21">
        <v>4601004135079</v>
      </c>
    </row>
    <row r="5852" spans="1:26" ht="12" customHeight="1" outlineLevel="3" x14ac:dyDescent="0.2">
      <c r="A5852" s="14" t="s">
        <v>11305</v>
      </c>
      <c r="B5852" s="26" t="s">
        <v>11306</v>
      </c>
      <c r="C5852" s="52"/>
      <c r="D5852" s="55">
        <f t="shared" si="91"/>
        <v>0</v>
      </c>
      <c r="E5852" s="63" t="str">
        <f>HYPERLINK("https://www.sds-group.ru/product/sumka-montazhnika-re-25-rexant-12-5617/", "Инфо")</f>
        <v>Инфо</v>
      </c>
      <c r="F5852" s="16" t="s">
        <v>39</v>
      </c>
      <c r="G5852" s="15"/>
      <c r="H5852" s="15"/>
      <c r="I5852" s="15"/>
      <c r="J5852" s="17">
        <v>13</v>
      </c>
      <c r="K5852" s="15" t="s">
        <v>1094</v>
      </c>
      <c r="L5852" s="17">
        <v>1</v>
      </c>
      <c r="M5852" s="17">
        <v>10</v>
      </c>
      <c r="N5852" s="17">
        <v>1</v>
      </c>
      <c r="O5852" s="18">
        <v>3665.27</v>
      </c>
      <c r="P5852" s="18">
        <v>3004.32</v>
      </c>
      <c r="Q5852" s="18">
        <v>2675.65</v>
      </c>
      <c r="R5852" s="18">
        <v>2193.16</v>
      </c>
      <c r="S5852" s="18">
        <v>2492.38</v>
      </c>
      <c r="T5852" s="18">
        <v>2042.93</v>
      </c>
      <c r="U5852" s="16"/>
      <c r="V5852" s="16"/>
      <c r="W5852" s="16" t="s">
        <v>40</v>
      </c>
      <c r="X5852" s="19">
        <v>1.1299999999999999</v>
      </c>
      <c r="Y5852" s="20">
        <v>9.4490000000000008E-3</v>
      </c>
      <c r="Z5852" s="21">
        <v>4601004135086</v>
      </c>
    </row>
    <row r="5853" spans="1:26" ht="12" customHeight="1" outlineLevel="3" x14ac:dyDescent="0.2">
      <c r="A5853" s="14" t="s">
        <v>11307</v>
      </c>
      <c r="B5853" s="26" t="s">
        <v>11308</v>
      </c>
      <c r="C5853" s="52"/>
      <c r="D5853" s="55">
        <f t="shared" si="91"/>
        <v>0</v>
      </c>
      <c r="E5853" s="63" t="str">
        <f>HYPERLINK("https://www.sds-group.ru/product/sumka-montazhnika-poyasnaya-s-3-otdeleniyami-re-3-rexant-12-5603/", "Инфо")</f>
        <v>Инфо</v>
      </c>
      <c r="F5853" s="16" t="s">
        <v>39</v>
      </c>
      <c r="G5853" s="15"/>
      <c r="H5853" s="15"/>
      <c r="I5853" s="15"/>
      <c r="J5853" s="17">
        <v>376</v>
      </c>
      <c r="K5853" s="15"/>
      <c r="L5853" s="17">
        <v>1</v>
      </c>
      <c r="M5853" s="17">
        <v>30</v>
      </c>
      <c r="N5853" s="17">
        <v>1</v>
      </c>
      <c r="O5853" s="18">
        <v>1832.63</v>
      </c>
      <c r="P5853" s="18">
        <v>1502.16</v>
      </c>
      <c r="Q5853" s="18">
        <v>1411.13</v>
      </c>
      <c r="R5853" s="18">
        <v>1156.6600000000001</v>
      </c>
      <c r="S5853" s="18">
        <v>1246.19</v>
      </c>
      <c r="T5853" s="18">
        <v>1021.47</v>
      </c>
      <c r="U5853" s="16"/>
      <c r="V5853" s="16"/>
      <c r="W5853" s="16" t="s">
        <v>40</v>
      </c>
      <c r="X5853" s="19">
        <v>0.49</v>
      </c>
      <c r="Y5853" s="20">
        <v>2.542E-3</v>
      </c>
      <c r="Z5853" s="21">
        <v>4601004090071</v>
      </c>
    </row>
    <row r="5854" spans="1:26" ht="12" customHeight="1" outlineLevel="3" x14ac:dyDescent="0.2">
      <c r="A5854" s="14" t="s">
        <v>11309</v>
      </c>
      <c r="B5854" s="26" t="s">
        <v>11310</v>
      </c>
      <c r="C5854" s="52"/>
      <c r="D5854" s="55">
        <f t="shared" si="91"/>
        <v>0</v>
      </c>
      <c r="E5854" s="63" t="str">
        <f>HYPERLINK("https://www.sds-group.ru/product/sumka-montazhnika-poyasnaya-s-5-otdeleniyami-re-5-rexant-12-5601/", "Инфо")</f>
        <v>Инфо</v>
      </c>
      <c r="F5854" s="16" t="s">
        <v>39</v>
      </c>
      <c r="G5854" s="15"/>
      <c r="H5854" s="15"/>
      <c r="I5854" s="15"/>
      <c r="J5854" s="17">
        <v>284</v>
      </c>
      <c r="K5854" s="15"/>
      <c r="L5854" s="17">
        <v>1</v>
      </c>
      <c r="M5854" s="17">
        <v>25</v>
      </c>
      <c r="N5854" s="17">
        <v>1</v>
      </c>
      <c r="O5854" s="18">
        <v>1509.23</v>
      </c>
      <c r="P5854" s="18">
        <v>1237.07</v>
      </c>
      <c r="Q5854" s="18">
        <v>1192.29</v>
      </c>
      <c r="R5854" s="18">
        <v>977.29</v>
      </c>
      <c r="S5854" s="18">
        <v>1026.28</v>
      </c>
      <c r="T5854" s="18">
        <v>841.21</v>
      </c>
      <c r="U5854" s="16"/>
      <c r="V5854" s="16"/>
      <c r="W5854" s="16" t="s">
        <v>40</v>
      </c>
      <c r="X5854" s="19">
        <v>0.48799999999999999</v>
      </c>
      <c r="Y5854" s="20">
        <v>2.483E-3</v>
      </c>
      <c r="Z5854" s="21">
        <v>4601004090156</v>
      </c>
    </row>
    <row r="5855" spans="1:26" ht="12" customHeight="1" outlineLevel="3" x14ac:dyDescent="0.2">
      <c r="A5855" s="14" t="s">
        <v>11311</v>
      </c>
      <c r="B5855" s="26" t="s">
        <v>11312</v>
      </c>
      <c r="C5855" s="52"/>
      <c r="D5855" s="55">
        <f t="shared" si="91"/>
        <v>0</v>
      </c>
      <c r="E5855" s="63" t="str">
        <f>HYPERLINK("https://www.sds-group.ru/product/sumka-montazhnika-poyasnaya-s-7-otdeleniyami-re-7-rexant-12-5602/", "Инфо")</f>
        <v>Инфо</v>
      </c>
      <c r="F5855" s="16" t="s">
        <v>39</v>
      </c>
      <c r="G5855" s="15"/>
      <c r="H5855" s="15"/>
      <c r="I5855" s="15"/>
      <c r="J5855" s="17">
        <v>101</v>
      </c>
      <c r="K5855" s="15" t="s">
        <v>1094</v>
      </c>
      <c r="L5855" s="17">
        <v>1</v>
      </c>
      <c r="M5855" s="17">
        <v>20</v>
      </c>
      <c r="N5855" s="17">
        <v>1</v>
      </c>
      <c r="O5855" s="18">
        <v>1401.43</v>
      </c>
      <c r="P5855" s="18">
        <v>1148.71</v>
      </c>
      <c r="Q5855" s="18">
        <v>1107.1300000000001</v>
      </c>
      <c r="R5855" s="18">
        <v>907.48</v>
      </c>
      <c r="S5855" s="18">
        <v>952.97</v>
      </c>
      <c r="T5855" s="18">
        <v>781.12</v>
      </c>
      <c r="U5855" s="16"/>
      <c r="V5855" s="16"/>
      <c r="W5855" s="16" t="s">
        <v>40</v>
      </c>
      <c r="X5855" s="19">
        <v>0.39100000000000001</v>
      </c>
      <c r="Y5855" s="20">
        <v>2.6649999999999998E-3</v>
      </c>
      <c r="Z5855" s="21">
        <v>4601004090064</v>
      </c>
    </row>
    <row r="5856" spans="1:26" ht="12" customHeight="1" outlineLevel="3" x14ac:dyDescent="0.2">
      <c r="A5856" s="14" t="s">
        <v>11313</v>
      </c>
      <c r="B5856" s="26" t="s">
        <v>11314</v>
      </c>
      <c r="C5856" s="52"/>
      <c r="D5856" s="55">
        <f t="shared" si="91"/>
        <v>0</v>
      </c>
      <c r="E5856" s="63" t="str">
        <f>HYPERLINK("https://www.sds-group.ru/product/sumka-montazhnika-semnaya-poyasnaya-re-ch-rexant-12-5609/", "Инфо")</f>
        <v>Инфо</v>
      </c>
      <c r="F5856" s="16" t="s">
        <v>39</v>
      </c>
      <c r="G5856" s="15"/>
      <c r="H5856" s="15"/>
      <c r="I5856" s="15"/>
      <c r="J5856" s="17">
        <v>418</v>
      </c>
      <c r="K5856" s="15" t="s">
        <v>1094</v>
      </c>
      <c r="L5856" s="17">
        <v>1</v>
      </c>
      <c r="M5856" s="17">
        <v>100</v>
      </c>
      <c r="N5856" s="17">
        <v>1</v>
      </c>
      <c r="O5856" s="18">
        <v>560.57000000000005</v>
      </c>
      <c r="P5856" s="18">
        <v>459.48</v>
      </c>
      <c r="Q5856" s="18">
        <v>448.46</v>
      </c>
      <c r="R5856" s="18">
        <v>367.59</v>
      </c>
      <c r="S5856" s="18">
        <v>381.19</v>
      </c>
      <c r="T5856" s="18">
        <v>312.45</v>
      </c>
      <c r="U5856" s="16"/>
      <c r="V5856" s="16"/>
      <c r="W5856" s="16" t="s">
        <v>40</v>
      </c>
      <c r="X5856" s="19">
        <v>0.1</v>
      </c>
      <c r="Y5856" s="20">
        <v>5.1000000000000004E-4</v>
      </c>
      <c r="Z5856" s="21">
        <v>4601004090132</v>
      </c>
    </row>
    <row r="5857" spans="1:26" ht="12" customHeight="1" outlineLevel="3" x14ac:dyDescent="0.2">
      <c r="A5857" s="14" t="s">
        <v>11315</v>
      </c>
      <c r="B5857" s="26" t="s">
        <v>11316</v>
      </c>
      <c r="C5857" s="52"/>
      <c r="D5857" s="55">
        <f t="shared" si="91"/>
        <v>0</v>
      </c>
      <c r="E5857" s="63" t="str">
        <f>HYPERLINK("https://www.sds-group.ru/product/sumka-poyas-montazhnika-dvoynaya-re-15-rexant-12-5611/", "Инфо")</f>
        <v>Инфо</v>
      </c>
      <c r="F5857" s="16" t="s">
        <v>39</v>
      </c>
      <c r="G5857" s="15"/>
      <c r="H5857" s="15"/>
      <c r="I5857" s="15"/>
      <c r="J5857" s="17">
        <v>211</v>
      </c>
      <c r="K5857" s="15" t="s">
        <v>1094</v>
      </c>
      <c r="L5857" s="17">
        <v>1</v>
      </c>
      <c r="M5857" s="17">
        <v>25</v>
      </c>
      <c r="N5857" s="17">
        <v>1</v>
      </c>
      <c r="O5857" s="18">
        <v>3018.46</v>
      </c>
      <c r="P5857" s="18">
        <v>2474.15</v>
      </c>
      <c r="Q5857" s="18">
        <v>2324.21</v>
      </c>
      <c r="R5857" s="18">
        <v>1905.09</v>
      </c>
      <c r="S5857" s="18">
        <v>2052.5500000000002</v>
      </c>
      <c r="T5857" s="18">
        <v>1682.42</v>
      </c>
      <c r="U5857" s="16"/>
      <c r="V5857" s="16"/>
      <c r="W5857" s="16" t="s">
        <v>40</v>
      </c>
      <c r="X5857" s="19">
        <v>0.8</v>
      </c>
      <c r="Y5857" s="20">
        <v>3.8999999999999998E-3</v>
      </c>
      <c r="Z5857" s="21">
        <v>4601004135062</v>
      </c>
    </row>
    <row r="5858" spans="1:26" ht="12.95" customHeight="1" x14ac:dyDescent="0.2">
      <c r="A5858" s="80" t="s">
        <v>11317</v>
      </c>
      <c r="B5858" s="80"/>
      <c r="C5858" s="81"/>
      <c r="D5858" s="56"/>
      <c r="E5858" s="66"/>
      <c r="F5858" s="11"/>
      <c r="G5858" s="11"/>
      <c r="H5858" s="11"/>
      <c r="I5858" s="11"/>
      <c r="J5858" s="11"/>
      <c r="K5858" s="11"/>
      <c r="L5858" s="11"/>
      <c r="M5858" s="11"/>
      <c r="N5858" s="11"/>
      <c r="O5858" s="11"/>
      <c r="P5858" s="11"/>
      <c r="Q5858" s="11"/>
      <c r="R5858" s="11"/>
      <c r="S5858" s="11"/>
      <c r="T5858" s="11"/>
      <c r="U5858" s="11"/>
      <c r="V5858" s="11"/>
      <c r="W5858" s="11"/>
      <c r="X5858" s="11"/>
      <c r="Y5858" s="11"/>
      <c r="Z5858" s="11"/>
    </row>
    <row r="5859" spans="1:26" ht="12.95" customHeight="1" outlineLevel="1" x14ac:dyDescent="0.2">
      <c r="A5859" s="78" t="s">
        <v>11318</v>
      </c>
      <c r="B5859" s="78"/>
      <c r="C5859" s="79"/>
      <c r="D5859" s="57"/>
      <c r="E5859" s="67"/>
      <c r="F5859" s="12"/>
      <c r="G5859" s="12"/>
      <c r="H5859" s="12"/>
      <c r="I5859" s="12"/>
      <c r="J5859" s="12"/>
      <c r="K5859" s="12"/>
      <c r="L5859" s="12"/>
      <c r="M5859" s="12"/>
      <c r="N5859" s="12"/>
      <c r="O5859" s="12"/>
      <c r="P5859" s="12"/>
      <c r="Q5859" s="12"/>
      <c r="R5859" s="12"/>
      <c r="S5859" s="12"/>
      <c r="T5859" s="12"/>
      <c r="U5859" s="12"/>
      <c r="V5859" s="12"/>
      <c r="W5859" s="12"/>
      <c r="X5859" s="12"/>
      <c r="Y5859" s="12"/>
      <c r="Z5859" s="12"/>
    </row>
    <row r="5860" spans="1:26" ht="12.95" customHeight="1" outlineLevel="2" x14ac:dyDescent="0.2">
      <c r="A5860" s="76" t="s">
        <v>11319</v>
      </c>
      <c r="B5860" s="76"/>
      <c r="C5860" s="77"/>
      <c r="D5860" s="58"/>
      <c r="E5860" s="68"/>
      <c r="F5860" s="13"/>
      <c r="G5860" s="13"/>
      <c r="H5860" s="13"/>
      <c r="I5860" s="13"/>
      <c r="J5860" s="13"/>
      <c r="K5860" s="13"/>
      <c r="L5860" s="13"/>
      <c r="M5860" s="13"/>
      <c r="N5860" s="13"/>
      <c r="O5860" s="13"/>
      <c r="P5860" s="13"/>
      <c r="Q5860" s="13"/>
      <c r="R5860" s="13"/>
      <c r="S5860" s="13"/>
      <c r="T5860" s="13"/>
      <c r="U5860" s="13"/>
      <c r="V5860" s="13"/>
      <c r="W5860" s="13"/>
      <c r="X5860" s="13"/>
      <c r="Y5860" s="13"/>
      <c r="Z5860" s="13"/>
    </row>
    <row r="5861" spans="1:26" ht="12.95" customHeight="1" outlineLevel="3" x14ac:dyDescent="0.2">
      <c r="A5861" s="76" t="s">
        <v>11320</v>
      </c>
      <c r="B5861" s="76"/>
      <c r="C5861" s="77"/>
      <c r="D5861" s="58"/>
      <c r="E5861" s="68"/>
      <c r="F5861" s="13"/>
      <c r="G5861" s="13"/>
      <c r="H5861" s="13"/>
      <c r="I5861" s="13"/>
      <c r="J5861" s="13"/>
      <c r="K5861" s="13"/>
      <c r="L5861" s="13"/>
      <c r="M5861" s="13"/>
      <c r="N5861" s="13"/>
      <c r="O5861" s="13"/>
      <c r="P5861" s="13"/>
      <c r="Q5861" s="13"/>
      <c r="R5861" s="13"/>
      <c r="S5861" s="13"/>
      <c r="T5861" s="13"/>
      <c r="U5861" s="13"/>
      <c r="V5861" s="13"/>
      <c r="W5861" s="13"/>
      <c r="X5861" s="13"/>
      <c r="Y5861" s="13"/>
      <c r="Z5861" s="13"/>
    </row>
    <row r="5862" spans="1:26" ht="12" customHeight="1" outlineLevel="4" x14ac:dyDescent="0.2">
      <c r="A5862" s="14" t="s">
        <v>11321</v>
      </c>
      <c r="B5862" s="26" t="s">
        <v>11322</v>
      </c>
      <c r="C5862" s="52"/>
      <c r="D5862" s="55">
        <f t="shared" si="91"/>
        <v>0</v>
      </c>
      <c r="E5862" s="63" t="str">
        <f>HYPERLINK("https://www.sds-group.ru/product/styazhka-kabelnaya-neylonovaya-100x2-5mm-belaya-100-sht-up-proconnect-57-0100/", "Инфо")</f>
        <v>Инфо</v>
      </c>
      <c r="F5862" s="16" t="s">
        <v>1001</v>
      </c>
      <c r="G5862" s="15"/>
      <c r="H5862" s="15"/>
      <c r="I5862" s="15"/>
      <c r="J5862" s="22">
        <v>3190</v>
      </c>
      <c r="K5862" s="15" t="s">
        <v>3762</v>
      </c>
      <c r="L5862" s="17">
        <v>10</v>
      </c>
      <c r="M5862" s="17">
        <v>300</v>
      </c>
      <c r="N5862" s="17">
        <v>10</v>
      </c>
      <c r="O5862" s="18">
        <v>38.26</v>
      </c>
      <c r="P5862" s="18">
        <v>31.36</v>
      </c>
      <c r="Q5862" s="18">
        <v>26.78</v>
      </c>
      <c r="R5862" s="18">
        <v>21.95</v>
      </c>
      <c r="S5862" s="18">
        <v>26.02</v>
      </c>
      <c r="T5862" s="18">
        <v>21.33</v>
      </c>
      <c r="U5862" s="16"/>
      <c r="V5862" s="16"/>
      <c r="W5862" s="16"/>
      <c r="X5862" s="19">
        <v>2.8000000000000001E-2</v>
      </c>
      <c r="Y5862" s="20">
        <v>1.44E-4</v>
      </c>
      <c r="Z5862" s="21">
        <v>4601004031487</v>
      </c>
    </row>
    <row r="5863" spans="1:26" ht="12" customHeight="1" outlineLevel="4" x14ac:dyDescent="0.2">
      <c r="A5863" s="14" t="s">
        <v>11323</v>
      </c>
      <c r="B5863" s="26" t="s">
        <v>11324</v>
      </c>
      <c r="C5863" s="52"/>
      <c r="D5863" s="55">
        <f t="shared" si="91"/>
        <v>0</v>
      </c>
      <c r="E5863" s="63" t="str">
        <f>HYPERLINK("https://www.sds-group.ru/product/styazhka-kabelnaya-neylonovaya-100x2-5mm-chernaya-100-sht-up-proconnect-57-0101/", "Инфо")</f>
        <v>Инфо</v>
      </c>
      <c r="F5863" s="16" t="s">
        <v>1001</v>
      </c>
      <c r="G5863" s="15"/>
      <c r="H5863" s="15"/>
      <c r="I5863" s="15"/>
      <c r="J5863" s="22">
        <v>7063</v>
      </c>
      <c r="K5863" s="15" t="s">
        <v>6930</v>
      </c>
      <c r="L5863" s="17">
        <v>10</v>
      </c>
      <c r="M5863" s="17">
        <v>300</v>
      </c>
      <c r="N5863" s="17">
        <v>10</v>
      </c>
      <c r="O5863" s="18">
        <v>38.26</v>
      </c>
      <c r="P5863" s="18">
        <v>31.36</v>
      </c>
      <c r="Q5863" s="18">
        <v>26.78</v>
      </c>
      <c r="R5863" s="18">
        <v>21.95</v>
      </c>
      <c r="S5863" s="18">
        <v>26.02</v>
      </c>
      <c r="T5863" s="18">
        <v>21.33</v>
      </c>
      <c r="U5863" s="16"/>
      <c r="V5863" s="16"/>
      <c r="W5863" s="16"/>
      <c r="X5863" s="19">
        <v>2.8000000000000001E-2</v>
      </c>
      <c r="Y5863" s="20">
        <v>1.4200000000000001E-4</v>
      </c>
      <c r="Z5863" s="21">
        <v>4601004031371</v>
      </c>
    </row>
    <row r="5864" spans="1:26" ht="12" customHeight="1" outlineLevel="4" x14ac:dyDescent="0.2">
      <c r="A5864" s="14" t="s">
        <v>11325</v>
      </c>
      <c r="B5864" s="26" t="s">
        <v>11326</v>
      </c>
      <c r="C5864" s="52"/>
      <c r="D5864" s="55">
        <f t="shared" si="91"/>
        <v>0</v>
      </c>
      <c r="E5864" s="63" t="str">
        <f>HYPERLINK("https://www.sds-group.ru/product/styazhka-kabelnaya-neylonovaya-150x2-5mm-belaya-100-sht-up-proconnect-57-0150/", "Инфо")</f>
        <v>Инфо</v>
      </c>
      <c r="F5864" s="16" t="s">
        <v>1001</v>
      </c>
      <c r="G5864" s="15"/>
      <c r="H5864" s="15"/>
      <c r="I5864" s="15"/>
      <c r="J5864" s="22">
        <v>2422</v>
      </c>
      <c r="K5864" s="15" t="s">
        <v>3762</v>
      </c>
      <c r="L5864" s="17">
        <v>10</v>
      </c>
      <c r="M5864" s="17">
        <v>200</v>
      </c>
      <c r="N5864" s="17">
        <v>10</v>
      </c>
      <c r="O5864" s="18">
        <v>56.02</v>
      </c>
      <c r="P5864" s="18">
        <v>45.92</v>
      </c>
      <c r="Q5864" s="18">
        <v>39.21</v>
      </c>
      <c r="R5864" s="18">
        <v>32.14</v>
      </c>
      <c r="S5864" s="18">
        <v>38.090000000000003</v>
      </c>
      <c r="T5864" s="18">
        <v>31.22</v>
      </c>
      <c r="U5864" s="16"/>
      <c r="V5864" s="16"/>
      <c r="W5864" s="16"/>
      <c r="X5864" s="19">
        <v>3.9E-2</v>
      </c>
      <c r="Y5864" s="20">
        <v>1.5699999999999999E-4</v>
      </c>
      <c r="Z5864" s="21">
        <v>4601004031388</v>
      </c>
    </row>
    <row r="5865" spans="1:26" ht="12" customHeight="1" outlineLevel="4" x14ac:dyDescent="0.2">
      <c r="A5865" s="14" t="s">
        <v>11327</v>
      </c>
      <c r="B5865" s="26" t="s">
        <v>11328</v>
      </c>
      <c r="C5865" s="52"/>
      <c r="D5865" s="55">
        <f t="shared" si="91"/>
        <v>0</v>
      </c>
      <c r="E5865" s="63" t="str">
        <f>HYPERLINK("https://www.sds-group.ru/product/styazhka-kabelnaya-neylonovaya-150x2-5mm-chernaya-100-sht-up-proconnect-57-0151/", "Инфо")</f>
        <v>Инфо</v>
      </c>
      <c r="F5865" s="16" t="s">
        <v>1001</v>
      </c>
      <c r="G5865" s="15"/>
      <c r="H5865" s="15"/>
      <c r="I5865" s="15"/>
      <c r="J5865" s="22">
        <v>4729</v>
      </c>
      <c r="K5865" s="15" t="s">
        <v>3762</v>
      </c>
      <c r="L5865" s="17">
        <v>10</v>
      </c>
      <c r="M5865" s="17">
        <v>200</v>
      </c>
      <c r="N5865" s="17">
        <v>10</v>
      </c>
      <c r="O5865" s="18">
        <v>56.02</v>
      </c>
      <c r="P5865" s="18">
        <v>45.92</v>
      </c>
      <c r="Q5865" s="18">
        <v>39.21</v>
      </c>
      <c r="R5865" s="18">
        <v>32.14</v>
      </c>
      <c r="S5865" s="18">
        <v>38.090000000000003</v>
      </c>
      <c r="T5865" s="18">
        <v>31.22</v>
      </c>
      <c r="U5865" s="16"/>
      <c r="V5865" s="16"/>
      <c r="W5865" s="16"/>
      <c r="X5865" s="19">
        <v>0.04</v>
      </c>
      <c r="Y5865" s="20">
        <v>1.4899999999999999E-4</v>
      </c>
      <c r="Z5865" s="21">
        <v>4601004031395</v>
      </c>
    </row>
    <row r="5866" spans="1:26" ht="12" customHeight="1" outlineLevel="4" x14ac:dyDescent="0.2">
      <c r="A5866" s="14" t="s">
        <v>11329</v>
      </c>
      <c r="B5866" s="26" t="s">
        <v>11330</v>
      </c>
      <c r="C5866" s="52"/>
      <c r="D5866" s="55">
        <f t="shared" si="91"/>
        <v>0</v>
      </c>
      <c r="E5866" s="63" t="str">
        <f>HYPERLINK("https://www.sds-group.ru/product/styazhka-kabelnaya-neylonovaya-150x3-6mm-belaya-100-sht-up-proconnect-57-0150-4/", "Инфо")</f>
        <v>Инфо</v>
      </c>
      <c r="F5866" s="16" t="s">
        <v>1001</v>
      </c>
      <c r="G5866" s="15"/>
      <c r="H5866" s="15"/>
      <c r="I5866" s="15"/>
      <c r="J5866" s="22">
        <v>2578</v>
      </c>
      <c r="K5866" s="15"/>
      <c r="L5866" s="17">
        <v>10</v>
      </c>
      <c r="M5866" s="17">
        <v>100</v>
      </c>
      <c r="N5866" s="17">
        <v>10</v>
      </c>
      <c r="O5866" s="18">
        <v>92.24</v>
      </c>
      <c r="P5866" s="18">
        <v>75.61</v>
      </c>
      <c r="Q5866" s="18">
        <v>64.569999999999993</v>
      </c>
      <c r="R5866" s="18">
        <v>52.93</v>
      </c>
      <c r="S5866" s="18">
        <v>62.72</v>
      </c>
      <c r="T5866" s="18">
        <v>51.41</v>
      </c>
      <c r="U5866" s="16"/>
      <c r="V5866" s="16"/>
      <c r="W5866" s="16"/>
      <c r="X5866" s="19">
        <v>7.0999999999999994E-2</v>
      </c>
      <c r="Y5866" s="20">
        <v>2.8200000000000002E-4</v>
      </c>
      <c r="Z5866" s="21">
        <v>4601004284807</v>
      </c>
    </row>
    <row r="5867" spans="1:26" ht="12" customHeight="1" outlineLevel="4" x14ac:dyDescent="0.2">
      <c r="A5867" s="14" t="s">
        <v>11331</v>
      </c>
      <c r="B5867" s="26" t="s">
        <v>11332</v>
      </c>
      <c r="C5867" s="52"/>
      <c r="D5867" s="55">
        <f t="shared" si="91"/>
        <v>0</v>
      </c>
      <c r="E5867" s="63" t="str">
        <f>HYPERLINK("https://www.sds-group.ru/product/styazhka-kabelnaya-neylonovaya-150x3-6mm-chernaya-100-sht-up-proconnect-57-0151-4/", "Инфо")</f>
        <v>Инфо</v>
      </c>
      <c r="F5867" s="16" t="s">
        <v>1001</v>
      </c>
      <c r="G5867" s="15"/>
      <c r="H5867" s="15"/>
      <c r="I5867" s="15"/>
      <c r="J5867" s="22">
        <v>2268</v>
      </c>
      <c r="K5867" s="15" t="s">
        <v>979</v>
      </c>
      <c r="L5867" s="17">
        <v>10</v>
      </c>
      <c r="M5867" s="17">
        <v>100</v>
      </c>
      <c r="N5867" s="17">
        <v>10</v>
      </c>
      <c r="O5867" s="18">
        <v>92.24</v>
      </c>
      <c r="P5867" s="18">
        <v>75.61</v>
      </c>
      <c r="Q5867" s="18">
        <v>64.569999999999993</v>
      </c>
      <c r="R5867" s="18">
        <v>52.93</v>
      </c>
      <c r="S5867" s="18">
        <v>62.72</v>
      </c>
      <c r="T5867" s="18">
        <v>51.41</v>
      </c>
      <c r="U5867" s="16"/>
      <c r="V5867" s="16"/>
      <c r="W5867" s="16"/>
      <c r="X5867" s="19">
        <v>7.0999999999999994E-2</v>
      </c>
      <c r="Y5867" s="20">
        <v>2.8499999999999999E-4</v>
      </c>
      <c r="Z5867" s="21">
        <v>4601004284814</v>
      </c>
    </row>
    <row r="5868" spans="1:26" ht="12" customHeight="1" outlineLevel="4" x14ac:dyDescent="0.2">
      <c r="A5868" s="14" t="s">
        <v>11333</v>
      </c>
      <c r="B5868" s="26" t="s">
        <v>11334</v>
      </c>
      <c r="C5868" s="52"/>
      <c r="D5868" s="55">
        <f t="shared" si="91"/>
        <v>0</v>
      </c>
      <c r="E5868" s="63" t="str">
        <f>HYPERLINK("https://www.sds-group.ru/product/styazhka-kabelnaya-neylonovaya-200x2-5mm-belaya-100-sht-up-proconnect-57-0200-4/", "Инфо")</f>
        <v>Инфо</v>
      </c>
      <c r="F5868" s="16" t="s">
        <v>1001</v>
      </c>
      <c r="G5868" s="15"/>
      <c r="H5868" s="15"/>
      <c r="I5868" s="15"/>
      <c r="J5868" s="22">
        <v>3586</v>
      </c>
      <c r="K5868" s="15" t="s">
        <v>886</v>
      </c>
      <c r="L5868" s="17">
        <v>10</v>
      </c>
      <c r="M5868" s="17">
        <v>250</v>
      </c>
      <c r="N5868" s="17">
        <v>10</v>
      </c>
      <c r="O5868" s="18">
        <v>74.14</v>
      </c>
      <c r="P5868" s="18">
        <v>60.77</v>
      </c>
      <c r="Q5868" s="18">
        <v>51.9</v>
      </c>
      <c r="R5868" s="18">
        <v>42.54</v>
      </c>
      <c r="S5868" s="18">
        <v>50.42</v>
      </c>
      <c r="T5868" s="18">
        <v>41.33</v>
      </c>
      <c r="U5868" s="16"/>
      <c r="V5868" s="16"/>
      <c r="W5868" s="16"/>
      <c r="X5868" s="19">
        <v>0.05</v>
      </c>
      <c r="Y5868" s="20">
        <v>2.12E-4</v>
      </c>
      <c r="Z5868" s="21">
        <v>4601004031425</v>
      </c>
    </row>
    <row r="5869" spans="1:26" ht="12" customHeight="1" outlineLevel="4" x14ac:dyDescent="0.2">
      <c r="A5869" s="14" t="s">
        <v>11335</v>
      </c>
      <c r="B5869" s="26" t="s">
        <v>11336</v>
      </c>
      <c r="C5869" s="52"/>
      <c r="D5869" s="55">
        <f t="shared" si="91"/>
        <v>0</v>
      </c>
      <c r="E5869" s="63" t="str">
        <f>HYPERLINK("https://www.sds-group.ru/product/styazhka-kabelnaya-neylonovaya-200x2-5mm-chernaya-100-sht-up-proconnect-57-0201-4/", "Инфо")</f>
        <v>Инфо</v>
      </c>
      <c r="F5869" s="16" t="s">
        <v>1001</v>
      </c>
      <c r="G5869" s="15"/>
      <c r="H5869" s="15"/>
      <c r="I5869" s="15"/>
      <c r="J5869" s="22">
        <v>1883</v>
      </c>
      <c r="K5869" s="15" t="s">
        <v>3762</v>
      </c>
      <c r="L5869" s="17">
        <v>10</v>
      </c>
      <c r="M5869" s="17">
        <v>250</v>
      </c>
      <c r="N5869" s="17">
        <v>10</v>
      </c>
      <c r="O5869" s="18">
        <v>74.14</v>
      </c>
      <c r="P5869" s="18">
        <v>60.77</v>
      </c>
      <c r="Q5869" s="18">
        <v>51.9</v>
      </c>
      <c r="R5869" s="18">
        <v>42.54</v>
      </c>
      <c r="S5869" s="18">
        <v>50.42</v>
      </c>
      <c r="T5869" s="18">
        <v>41.33</v>
      </c>
      <c r="U5869" s="16"/>
      <c r="V5869" s="16"/>
      <c r="W5869" s="16"/>
      <c r="X5869" s="19">
        <v>0.05</v>
      </c>
      <c r="Y5869" s="20">
        <v>8.6000000000000003E-5</v>
      </c>
      <c r="Z5869" s="21">
        <v>4601004031432</v>
      </c>
    </row>
    <row r="5870" spans="1:26" ht="12" customHeight="1" outlineLevel="4" x14ac:dyDescent="0.2">
      <c r="A5870" s="14" t="s">
        <v>11337</v>
      </c>
      <c r="B5870" s="26" t="s">
        <v>11338</v>
      </c>
      <c r="C5870" s="52"/>
      <c r="D5870" s="55">
        <f t="shared" si="91"/>
        <v>0</v>
      </c>
      <c r="E5870" s="63" t="str">
        <f>HYPERLINK("https://www.sds-group.ru/product/styazhka-kabelnaya-neylonovaya-200x3-6mm-belaya-100-sht-up-proconnect-57-0200/", "Инфо")</f>
        <v>Инфо</v>
      </c>
      <c r="F5870" s="16" t="s">
        <v>1001</v>
      </c>
      <c r="G5870" s="15"/>
      <c r="H5870" s="15"/>
      <c r="I5870" s="15"/>
      <c r="J5870" s="16" t="s">
        <v>100</v>
      </c>
      <c r="K5870" s="15" t="s">
        <v>7336</v>
      </c>
      <c r="L5870" s="17">
        <v>10</v>
      </c>
      <c r="M5870" s="17">
        <v>200</v>
      </c>
      <c r="N5870" s="17">
        <v>10</v>
      </c>
      <c r="O5870" s="18">
        <v>118.85</v>
      </c>
      <c r="P5870" s="18">
        <v>97.42</v>
      </c>
      <c r="Q5870" s="18">
        <v>83.2</v>
      </c>
      <c r="R5870" s="18">
        <v>68.2</v>
      </c>
      <c r="S5870" s="18">
        <v>80.819999999999993</v>
      </c>
      <c r="T5870" s="18">
        <v>66.25</v>
      </c>
      <c r="U5870" s="16"/>
      <c r="V5870" s="16"/>
      <c r="W5870" s="16"/>
      <c r="X5870" s="19">
        <v>9.2999999999999999E-2</v>
      </c>
      <c r="Y5870" s="20">
        <v>3.1500000000000001E-4</v>
      </c>
      <c r="Z5870" s="21">
        <v>4601004031401</v>
      </c>
    </row>
    <row r="5871" spans="1:26" ht="12" customHeight="1" outlineLevel="4" x14ac:dyDescent="0.2">
      <c r="A5871" s="14" t="s">
        <v>11339</v>
      </c>
      <c r="B5871" s="26" t="s">
        <v>11340</v>
      </c>
      <c r="C5871" s="52"/>
      <c r="D5871" s="55">
        <f t="shared" si="91"/>
        <v>0</v>
      </c>
      <c r="E5871" s="63" t="str">
        <f>HYPERLINK("https://www.sds-group.ru/product/styazhka-kabelnaya-neylonovaya-200x3-6mm-chernaya-100-sht-up-proconnect-57-0201/", "Инфо")</f>
        <v>Инфо</v>
      </c>
      <c r="F5871" s="16" t="s">
        <v>1001</v>
      </c>
      <c r="G5871" s="15"/>
      <c r="H5871" s="15"/>
      <c r="I5871" s="15"/>
      <c r="J5871" s="22">
        <v>3479</v>
      </c>
      <c r="K5871" s="15" t="s">
        <v>3762</v>
      </c>
      <c r="L5871" s="17">
        <v>10</v>
      </c>
      <c r="M5871" s="17">
        <v>200</v>
      </c>
      <c r="N5871" s="17">
        <v>10</v>
      </c>
      <c r="O5871" s="18">
        <v>118.85</v>
      </c>
      <c r="P5871" s="18">
        <v>97.42</v>
      </c>
      <c r="Q5871" s="18">
        <v>83.2</v>
      </c>
      <c r="R5871" s="18">
        <v>68.2</v>
      </c>
      <c r="S5871" s="18">
        <v>80.819999999999993</v>
      </c>
      <c r="T5871" s="18">
        <v>66.25</v>
      </c>
      <c r="U5871" s="16"/>
      <c r="V5871" s="16"/>
      <c r="W5871" s="16"/>
      <c r="X5871" s="19">
        <v>9.8000000000000004E-2</v>
      </c>
      <c r="Y5871" s="20">
        <v>3.2000000000000003E-4</v>
      </c>
      <c r="Z5871" s="21">
        <v>4601004031418</v>
      </c>
    </row>
    <row r="5872" spans="1:26" ht="12" customHeight="1" outlineLevel="4" x14ac:dyDescent="0.2">
      <c r="A5872" s="14" t="s">
        <v>11341</v>
      </c>
      <c r="B5872" s="26" t="s">
        <v>11342</v>
      </c>
      <c r="C5872" s="52"/>
      <c r="D5872" s="55">
        <f t="shared" si="91"/>
        <v>0</v>
      </c>
      <c r="E5872" s="63" t="str">
        <f>HYPERLINK("https://www.sds-group.ru/product/styazhka-kabelnaya-neylonovaya-200x4-8mm-belaya-100-sht-up-proconnect-57-0200-5/", "Инфо")</f>
        <v>Инфо</v>
      </c>
      <c r="F5872" s="16" t="s">
        <v>1001</v>
      </c>
      <c r="G5872" s="15"/>
      <c r="H5872" s="15"/>
      <c r="I5872" s="15"/>
      <c r="J5872" s="16" t="s">
        <v>100</v>
      </c>
      <c r="K5872" s="15" t="s">
        <v>979</v>
      </c>
      <c r="L5872" s="17">
        <v>10</v>
      </c>
      <c r="M5872" s="17">
        <v>100</v>
      </c>
      <c r="N5872" s="17">
        <v>10</v>
      </c>
      <c r="O5872" s="18">
        <v>172.61</v>
      </c>
      <c r="P5872" s="18">
        <v>141.47999999999999</v>
      </c>
      <c r="Q5872" s="18">
        <v>120.83</v>
      </c>
      <c r="R5872" s="18">
        <v>99.04</v>
      </c>
      <c r="S5872" s="18">
        <v>117.37</v>
      </c>
      <c r="T5872" s="18">
        <v>96.2</v>
      </c>
      <c r="U5872" s="16"/>
      <c r="V5872" s="16"/>
      <c r="W5872" s="16"/>
      <c r="X5872" s="19">
        <v>0.128</v>
      </c>
      <c r="Y5872" s="20">
        <v>4.28E-4</v>
      </c>
      <c r="Z5872" s="21">
        <v>4601004284821</v>
      </c>
    </row>
    <row r="5873" spans="1:26" ht="12" customHeight="1" outlineLevel="4" x14ac:dyDescent="0.2">
      <c r="A5873" s="14" t="s">
        <v>11343</v>
      </c>
      <c r="B5873" s="26" t="s">
        <v>11344</v>
      </c>
      <c r="C5873" s="52"/>
      <c r="D5873" s="55">
        <f t="shared" si="91"/>
        <v>0</v>
      </c>
      <c r="E5873" s="63" t="str">
        <f>HYPERLINK("https://www.sds-group.ru/product/styazhka-kabelnaya-neylonovaya-200x4-8mm-chernaya-100-sht-up-proconnect-57-0201-5/", "Инфо")</f>
        <v>Инфо</v>
      </c>
      <c r="F5873" s="16" t="s">
        <v>1001</v>
      </c>
      <c r="G5873" s="15"/>
      <c r="H5873" s="15"/>
      <c r="I5873" s="15"/>
      <c r="J5873" s="16" t="s">
        <v>100</v>
      </c>
      <c r="K5873" s="15" t="s">
        <v>979</v>
      </c>
      <c r="L5873" s="17">
        <v>10</v>
      </c>
      <c r="M5873" s="17">
        <v>100</v>
      </c>
      <c r="N5873" s="17">
        <v>10</v>
      </c>
      <c r="O5873" s="18">
        <v>172.61</v>
      </c>
      <c r="P5873" s="18">
        <v>141.47999999999999</v>
      </c>
      <c r="Q5873" s="18">
        <v>120.83</v>
      </c>
      <c r="R5873" s="18">
        <v>99.04</v>
      </c>
      <c r="S5873" s="18">
        <v>117.37</v>
      </c>
      <c r="T5873" s="18">
        <v>96.2</v>
      </c>
      <c r="U5873" s="16"/>
      <c r="V5873" s="16"/>
      <c r="W5873" s="16"/>
      <c r="X5873" s="19">
        <v>0.129</v>
      </c>
      <c r="Y5873" s="20">
        <v>4.2200000000000001E-4</v>
      </c>
      <c r="Z5873" s="21">
        <v>4601004284838</v>
      </c>
    </row>
    <row r="5874" spans="1:26" ht="12" customHeight="1" outlineLevel="4" x14ac:dyDescent="0.2">
      <c r="A5874" s="14" t="s">
        <v>11345</v>
      </c>
      <c r="B5874" s="26" t="s">
        <v>11346</v>
      </c>
      <c r="C5874" s="52"/>
      <c r="D5874" s="55">
        <f t="shared" si="91"/>
        <v>0</v>
      </c>
      <c r="E5874" s="63" t="str">
        <f>HYPERLINK("https://www.sds-group.ru/product/styazhka-kabelnaya-neylonovaya-250x3-6mm-belaya-100-sht-up-proconnect-57-0250/", "Инфо")</f>
        <v>Инфо</v>
      </c>
      <c r="F5874" s="16" t="s">
        <v>1001</v>
      </c>
      <c r="G5874" s="15"/>
      <c r="H5874" s="15"/>
      <c r="I5874" s="15"/>
      <c r="J5874" s="22">
        <v>4453</v>
      </c>
      <c r="K5874" s="15" t="s">
        <v>3762</v>
      </c>
      <c r="L5874" s="17">
        <v>10</v>
      </c>
      <c r="M5874" s="17">
        <v>100</v>
      </c>
      <c r="N5874" s="17">
        <v>10</v>
      </c>
      <c r="O5874" s="18">
        <v>149.97999999999999</v>
      </c>
      <c r="P5874" s="18">
        <v>122.93</v>
      </c>
      <c r="Q5874" s="18">
        <v>104.99</v>
      </c>
      <c r="R5874" s="18">
        <v>86.06</v>
      </c>
      <c r="S5874" s="18">
        <v>101.99</v>
      </c>
      <c r="T5874" s="18">
        <v>83.6</v>
      </c>
      <c r="U5874" s="16"/>
      <c r="V5874" s="16"/>
      <c r="W5874" s="16"/>
      <c r="X5874" s="19">
        <v>0.126</v>
      </c>
      <c r="Y5874" s="20">
        <v>3.77E-4</v>
      </c>
      <c r="Z5874" s="21">
        <v>4601004031449</v>
      </c>
    </row>
    <row r="5875" spans="1:26" ht="12" customHeight="1" outlineLevel="4" x14ac:dyDescent="0.2">
      <c r="A5875" s="14" t="s">
        <v>11347</v>
      </c>
      <c r="B5875" s="26" t="s">
        <v>11348</v>
      </c>
      <c r="C5875" s="52"/>
      <c r="D5875" s="55">
        <f t="shared" si="91"/>
        <v>0</v>
      </c>
      <c r="E5875" s="63" t="str">
        <f>HYPERLINK("https://www.sds-group.ru/product/styazhka-kabelnaya-neylonovaya-250x3-6mm-chernaya-100-sht-up-proconnect-57-0251/", "Инфо")</f>
        <v>Инфо</v>
      </c>
      <c r="F5875" s="16" t="s">
        <v>1001</v>
      </c>
      <c r="G5875" s="15"/>
      <c r="H5875" s="15"/>
      <c r="I5875" s="15"/>
      <c r="J5875" s="22">
        <v>2915</v>
      </c>
      <c r="K5875" s="15" t="s">
        <v>3762</v>
      </c>
      <c r="L5875" s="17">
        <v>10</v>
      </c>
      <c r="M5875" s="17">
        <v>100</v>
      </c>
      <c r="N5875" s="17">
        <v>10</v>
      </c>
      <c r="O5875" s="18">
        <v>149.97999999999999</v>
      </c>
      <c r="P5875" s="18">
        <v>122.93</v>
      </c>
      <c r="Q5875" s="18">
        <v>104.99</v>
      </c>
      <c r="R5875" s="18">
        <v>86.06</v>
      </c>
      <c r="S5875" s="18">
        <v>101.99</v>
      </c>
      <c r="T5875" s="18">
        <v>83.6</v>
      </c>
      <c r="U5875" s="16"/>
      <c r="V5875" s="16"/>
      <c r="W5875" s="16"/>
      <c r="X5875" s="19">
        <v>0.126</v>
      </c>
      <c r="Y5875" s="20">
        <v>3.7800000000000003E-4</v>
      </c>
      <c r="Z5875" s="21">
        <v>4601004031456</v>
      </c>
    </row>
    <row r="5876" spans="1:26" ht="12" customHeight="1" outlineLevel="4" x14ac:dyDescent="0.2">
      <c r="A5876" s="14" t="s">
        <v>11349</v>
      </c>
      <c r="B5876" s="26" t="s">
        <v>11350</v>
      </c>
      <c r="C5876" s="52"/>
      <c r="D5876" s="55">
        <f t="shared" si="91"/>
        <v>0</v>
      </c>
      <c r="E5876" s="63" t="str">
        <f>HYPERLINK("https://www.sds-group.ru/product/styazhka-kabelnaya-neylonovaya-250x4-8mm-belaya-100-sht-up-proconnect-57-0250-5/", "Инфо")</f>
        <v>Инфо</v>
      </c>
      <c r="F5876" s="16" t="s">
        <v>1001</v>
      </c>
      <c r="G5876" s="15"/>
      <c r="H5876" s="15"/>
      <c r="I5876" s="15"/>
      <c r="J5876" s="22">
        <v>1125</v>
      </c>
      <c r="K5876" s="15" t="s">
        <v>7336</v>
      </c>
      <c r="L5876" s="17">
        <v>10</v>
      </c>
      <c r="M5876" s="17">
        <v>100</v>
      </c>
      <c r="N5876" s="17">
        <v>10</v>
      </c>
      <c r="O5876" s="18">
        <v>207.71</v>
      </c>
      <c r="P5876" s="18">
        <v>170.25</v>
      </c>
      <c r="Q5876" s="18">
        <v>145.4</v>
      </c>
      <c r="R5876" s="18">
        <v>119.18</v>
      </c>
      <c r="S5876" s="18">
        <v>141.24</v>
      </c>
      <c r="T5876" s="18">
        <v>115.77</v>
      </c>
      <c r="U5876" s="16"/>
      <c r="V5876" s="16"/>
      <c r="W5876" s="16"/>
      <c r="X5876" s="19">
        <v>0.156</v>
      </c>
      <c r="Y5876" s="20">
        <v>5.13E-4</v>
      </c>
      <c r="Z5876" s="21">
        <v>4601004284852</v>
      </c>
    </row>
    <row r="5877" spans="1:26" ht="12" customHeight="1" outlineLevel="4" x14ac:dyDescent="0.2">
      <c r="A5877" s="14" t="s">
        <v>11351</v>
      </c>
      <c r="B5877" s="26" t="s">
        <v>11352</v>
      </c>
      <c r="C5877" s="52"/>
      <c r="D5877" s="55">
        <f t="shared" si="91"/>
        <v>0</v>
      </c>
      <c r="E5877" s="63" t="str">
        <f>HYPERLINK("https://www.sds-group.ru/product/styazhka-kabelnaya-neylonovaya-250x4-8mm-chernaya-100-sht-up-proconnect-57-0251-5/", "Инфо")</f>
        <v>Инфо</v>
      </c>
      <c r="F5877" s="16" t="s">
        <v>1001</v>
      </c>
      <c r="G5877" s="15"/>
      <c r="H5877" s="15"/>
      <c r="I5877" s="15"/>
      <c r="J5877" s="22">
        <v>1070</v>
      </c>
      <c r="K5877" s="15" t="s">
        <v>886</v>
      </c>
      <c r="L5877" s="17">
        <v>10</v>
      </c>
      <c r="M5877" s="17">
        <v>100</v>
      </c>
      <c r="N5877" s="17">
        <v>10</v>
      </c>
      <c r="O5877" s="18">
        <v>207.71</v>
      </c>
      <c r="P5877" s="18">
        <v>170.25</v>
      </c>
      <c r="Q5877" s="18">
        <v>145.4</v>
      </c>
      <c r="R5877" s="18">
        <v>119.18</v>
      </c>
      <c r="S5877" s="18">
        <v>141.24</v>
      </c>
      <c r="T5877" s="18">
        <v>115.77</v>
      </c>
      <c r="U5877" s="16"/>
      <c r="V5877" s="16"/>
      <c r="W5877" s="16"/>
      <c r="X5877" s="19">
        <v>0.161</v>
      </c>
      <c r="Y5877" s="20">
        <v>5.13E-4</v>
      </c>
      <c r="Z5877" s="21">
        <v>4601004284869</v>
      </c>
    </row>
    <row r="5878" spans="1:26" ht="12" customHeight="1" outlineLevel="4" x14ac:dyDescent="0.2">
      <c r="A5878" s="14" t="s">
        <v>11353</v>
      </c>
      <c r="B5878" s="26" t="s">
        <v>11354</v>
      </c>
      <c r="C5878" s="52"/>
      <c r="D5878" s="55">
        <f t="shared" si="91"/>
        <v>0</v>
      </c>
      <c r="E5878" s="63" t="str">
        <f>HYPERLINK("https://www.sds-group.ru/product/styazhka-kabelnaya-neylonovaya-300x3-6mm-belaya-100-sht-up-proconnect-57-0300/", "Инфо")</f>
        <v>Инфо</v>
      </c>
      <c r="F5878" s="16" t="s">
        <v>1001</v>
      </c>
      <c r="G5878" s="15"/>
      <c r="H5878" s="15"/>
      <c r="I5878" s="15"/>
      <c r="J5878" s="22">
        <v>5986</v>
      </c>
      <c r="K5878" s="15" t="s">
        <v>3762</v>
      </c>
      <c r="L5878" s="17">
        <v>10</v>
      </c>
      <c r="M5878" s="17">
        <v>100</v>
      </c>
      <c r="N5878" s="17">
        <v>10</v>
      </c>
      <c r="O5878" s="18">
        <v>181.33</v>
      </c>
      <c r="P5878" s="18">
        <v>148.63</v>
      </c>
      <c r="Q5878" s="18">
        <v>126.93</v>
      </c>
      <c r="R5878" s="18">
        <v>104.04</v>
      </c>
      <c r="S5878" s="18">
        <v>123.3</v>
      </c>
      <c r="T5878" s="18">
        <v>101.07</v>
      </c>
      <c r="U5878" s="16"/>
      <c r="V5878" s="16"/>
      <c r="W5878" s="16"/>
      <c r="X5878" s="19">
        <v>0.14199999999999999</v>
      </c>
      <c r="Y5878" s="20">
        <v>4.8200000000000001E-4</v>
      </c>
      <c r="Z5878" s="21">
        <v>4601004031517</v>
      </c>
    </row>
    <row r="5879" spans="1:26" ht="12" customHeight="1" outlineLevel="4" x14ac:dyDescent="0.2">
      <c r="A5879" s="14" t="s">
        <v>11355</v>
      </c>
      <c r="B5879" s="26" t="s">
        <v>11356</v>
      </c>
      <c r="C5879" s="52"/>
      <c r="D5879" s="55">
        <f t="shared" si="91"/>
        <v>0</v>
      </c>
      <c r="E5879" s="63" t="str">
        <f>HYPERLINK("https://www.sds-group.ru/product/styazhka-kabelnaya-neylonovaya-300x3-6mm-chernaya-100-sht-up-proconnect-57-0301/", "Инфо")</f>
        <v>Инфо</v>
      </c>
      <c r="F5879" s="16" t="s">
        <v>1001</v>
      </c>
      <c r="G5879" s="15"/>
      <c r="H5879" s="15"/>
      <c r="I5879" s="15"/>
      <c r="J5879" s="22">
        <v>2519</v>
      </c>
      <c r="K5879" s="15" t="s">
        <v>886</v>
      </c>
      <c r="L5879" s="17">
        <v>10</v>
      </c>
      <c r="M5879" s="17">
        <v>100</v>
      </c>
      <c r="N5879" s="17">
        <v>10</v>
      </c>
      <c r="O5879" s="18">
        <v>181.33</v>
      </c>
      <c r="P5879" s="18">
        <v>148.63</v>
      </c>
      <c r="Q5879" s="18">
        <v>126.93</v>
      </c>
      <c r="R5879" s="18">
        <v>104.04</v>
      </c>
      <c r="S5879" s="18">
        <v>123.3</v>
      </c>
      <c r="T5879" s="18">
        <v>101.07</v>
      </c>
      <c r="U5879" s="16"/>
      <c r="V5879" s="16"/>
      <c r="W5879" s="16"/>
      <c r="X5879" s="19">
        <v>0.14000000000000001</v>
      </c>
      <c r="Y5879" s="20">
        <v>4.9700000000000005E-4</v>
      </c>
      <c r="Z5879" s="21">
        <v>4601004031531</v>
      </c>
    </row>
    <row r="5880" spans="1:26" ht="12" customHeight="1" outlineLevel="4" x14ac:dyDescent="0.2">
      <c r="A5880" s="14" t="s">
        <v>11357</v>
      </c>
      <c r="B5880" s="26" t="s">
        <v>11358</v>
      </c>
      <c r="C5880" s="52"/>
      <c r="D5880" s="55">
        <f t="shared" si="91"/>
        <v>0</v>
      </c>
      <c r="E5880" s="63" t="str">
        <f>HYPERLINK("https://www.sds-group.ru/product/styazhka-kabelnaya-neylonovaya-300x4-8mm-belaya-100-sht-up-proconnect-57-1302/", "Инфо")</f>
        <v>Инфо</v>
      </c>
      <c r="F5880" s="16" t="s">
        <v>1001</v>
      </c>
      <c r="G5880" s="15"/>
      <c r="H5880" s="15"/>
      <c r="I5880" s="15"/>
      <c r="J5880" s="16" t="s">
        <v>100</v>
      </c>
      <c r="K5880" s="15" t="s">
        <v>3762</v>
      </c>
      <c r="L5880" s="17">
        <v>10</v>
      </c>
      <c r="M5880" s="17">
        <v>100</v>
      </c>
      <c r="N5880" s="17">
        <v>10</v>
      </c>
      <c r="O5880" s="18">
        <v>232.14</v>
      </c>
      <c r="P5880" s="18">
        <v>190.28</v>
      </c>
      <c r="Q5880" s="18">
        <v>162.5</v>
      </c>
      <c r="R5880" s="18">
        <v>133.19999999999999</v>
      </c>
      <c r="S5880" s="18">
        <v>157.86000000000001</v>
      </c>
      <c r="T5880" s="18">
        <v>129.38999999999999</v>
      </c>
      <c r="U5880" s="16"/>
      <c r="V5880" s="16"/>
      <c r="W5880" s="16"/>
      <c r="X5880" s="19">
        <v>0.19500000000000001</v>
      </c>
      <c r="Y5880" s="20">
        <v>6.0800000000000003E-4</v>
      </c>
      <c r="Z5880" s="21">
        <v>4601004031524</v>
      </c>
    </row>
    <row r="5881" spans="1:26" ht="12" customHeight="1" outlineLevel="4" x14ac:dyDescent="0.2">
      <c r="A5881" s="14" t="s">
        <v>11359</v>
      </c>
      <c r="B5881" s="26" t="s">
        <v>11360</v>
      </c>
      <c r="C5881" s="52"/>
      <c r="D5881" s="55">
        <f t="shared" si="91"/>
        <v>0</v>
      </c>
      <c r="E5881" s="63" t="str">
        <f>HYPERLINK("https://www.sds-group.ru/product/styazhka-kabelnaya-neylonovaya-300x4-8mm-chernaya-100-sht-up-proconnect-57-1303/", "Инфо")</f>
        <v>Инфо</v>
      </c>
      <c r="F5881" s="16" t="s">
        <v>1001</v>
      </c>
      <c r="G5881" s="15"/>
      <c r="H5881" s="15"/>
      <c r="I5881" s="15"/>
      <c r="J5881" s="17">
        <v>708</v>
      </c>
      <c r="K5881" s="15" t="s">
        <v>3762</v>
      </c>
      <c r="L5881" s="17">
        <v>10</v>
      </c>
      <c r="M5881" s="17">
        <v>100</v>
      </c>
      <c r="N5881" s="17">
        <v>10</v>
      </c>
      <c r="O5881" s="18">
        <v>232.14</v>
      </c>
      <c r="P5881" s="18">
        <v>190.28</v>
      </c>
      <c r="Q5881" s="18">
        <v>162.5</v>
      </c>
      <c r="R5881" s="18">
        <v>133.19999999999999</v>
      </c>
      <c r="S5881" s="18">
        <v>157.86000000000001</v>
      </c>
      <c r="T5881" s="18">
        <v>129.38999999999999</v>
      </c>
      <c r="U5881" s="16"/>
      <c r="V5881" s="16"/>
      <c r="W5881" s="16"/>
      <c r="X5881" s="19">
        <v>0.19700000000000001</v>
      </c>
      <c r="Y5881" s="20">
        <v>6.1200000000000002E-4</v>
      </c>
      <c r="Z5881" s="21">
        <v>4601004031494</v>
      </c>
    </row>
    <row r="5882" spans="1:26" ht="12" customHeight="1" outlineLevel="4" x14ac:dyDescent="0.2">
      <c r="A5882" s="14" t="s">
        <v>11361</v>
      </c>
      <c r="B5882" s="26" t="s">
        <v>11362</v>
      </c>
      <c r="C5882" s="52"/>
      <c r="D5882" s="55">
        <f t="shared" si="91"/>
        <v>0</v>
      </c>
      <c r="E5882" s="63" t="str">
        <f>HYPERLINK("https://www.sds-group.ru/product/styazhka-kabelnaya-neylonovaya-300x7-6mm-belaya-100-sht-up-proconnect-57-0302/", "Инфо")</f>
        <v>Инфо</v>
      </c>
      <c r="F5882" s="16" t="s">
        <v>1001</v>
      </c>
      <c r="G5882" s="15"/>
      <c r="H5882" s="15"/>
      <c r="I5882" s="15"/>
      <c r="J5882" s="17">
        <v>300</v>
      </c>
      <c r="K5882" s="15" t="s">
        <v>886</v>
      </c>
      <c r="L5882" s="17">
        <v>5</v>
      </c>
      <c r="M5882" s="17">
        <v>50</v>
      </c>
      <c r="N5882" s="17">
        <v>5</v>
      </c>
      <c r="O5882" s="18">
        <v>546.72</v>
      </c>
      <c r="P5882" s="18">
        <v>448.13</v>
      </c>
      <c r="Q5882" s="18">
        <v>382.7</v>
      </c>
      <c r="R5882" s="18">
        <v>313.69</v>
      </c>
      <c r="S5882" s="18">
        <v>371.77</v>
      </c>
      <c r="T5882" s="18">
        <v>304.73</v>
      </c>
      <c r="U5882" s="16"/>
      <c r="V5882" s="16"/>
      <c r="W5882" s="16"/>
      <c r="X5882" s="19">
        <v>0.39600000000000002</v>
      </c>
      <c r="Y5882" s="20">
        <v>1.1919999999999999E-3</v>
      </c>
      <c r="Z5882" s="21">
        <v>4601004284890</v>
      </c>
    </row>
    <row r="5883" spans="1:26" ht="12" customHeight="1" outlineLevel="4" x14ac:dyDescent="0.2">
      <c r="A5883" s="14" t="s">
        <v>11363</v>
      </c>
      <c r="B5883" s="26" t="s">
        <v>11364</v>
      </c>
      <c r="C5883" s="52"/>
      <c r="D5883" s="55">
        <f t="shared" si="91"/>
        <v>0</v>
      </c>
      <c r="E5883" s="63" t="str">
        <f>HYPERLINK("https://www.sds-group.ru/product/styazhka-kabelnaya-neylonovaya-300x7-6mm-chernaya-100-sht-up-proconnect-57-0303/", "Инфо")</f>
        <v>Инфо</v>
      </c>
      <c r="F5883" s="16" t="s">
        <v>1001</v>
      </c>
      <c r="G5883" s="15"/>
      <c r="H5883" s="15"/>
      <c r="I5883" s="15"/>
      <c r="J5883" s="17">
        <v>996</v>
      </c>
      <c r="K5883" s="15" t="s">
        <v>886</v>
      </c>
      <c r="L5883" s="17">
        <v>5</v>
      </c>
      <c r="M5883" s="17">
        <v>50</v>
      </c>
      <c r="N5883" s="17">
        <v>5</v>
      </c>
      <c r="O5883" s="18">
        <v>546.72</v>
      </c>
      <c r="P5883" s="18">
        <v>448.13</v>
      </c>
      <c r="Q5883" s="18">
        <v>382.7</v>
      </c>
      <c r="R5883" s="18">
        <v>313.69</v>
      </c>
      <c r="S5883" s="18">
        <v>371.77</v>
      </c>
      <c r="T5883" s="18">
        <v>304.73</v>
      </c>
      <c r="U5883" s="16"/>
      <c r="V5883" s="16"/>
      <c r="W5883" s="16"/>
      <c r="X5883" s="19">
        <v>0.39200000000000002</v>
      </c>
      <c r="Y5883" s="20">
        <v>1.1360000000000001E-3</v>
      </c>
      <c r="Z5883" s="21">
        <v>4601004284883</v>
      </c>
    </row>
    <row r="5884" spans="1:26" ht="12" customHeight="1" outlineLevel="4" x14ac:dyDescent="0.2">
      <c r="A5884" s="14" t="s">
        <v>11365</v>
      </c>
      <c r="B5884" s="26" t="s">
        <v>11366</v>
      </c>
      <c r="C5884" s="52"/>
      <c r="D5884" s="55">
        <f t="shared" si="91"/>
        <v>0</v>
      </c>
      <c r="E5884" s="63" t="str">
        <f>HYPERLINK("https://www.sds-group.ru/product/styazhka-kabelnaya-neylonovaya-350x4-8mm-belaya-100-sht-up-proconnect-57-0350/", "Инфо")</f>
        <v>Инфо</v>
      </c>
      <c r="F5884" s="16" t="s">
        <v>1001</v>
      </c>
      <c r="G5884" s="15"/>
      <c r="H5884" s="15"/>
      <c r="I5884" s="15"/>
      <c r="J5884" s="17">
        <v>219</v>
      </c>
      <c r="K5884" s="15" t="s">
        <v>7336</v>
      </c>
      <c r="L5884" s="17">
        <v>10</v>
      </c>
      <c r="M5884" s="17">
        <v>50</v>
      </c>
      <c r="N5884" s="17">
        <v>10</v>
      </c>
      <c r="O5884" s="18">
        <v>292.56</v>
      </c>
      <c r="P5884" s="18">
        <v>239.8</v>
      </c>
      <c r="Q5884" s="18">
        <v>204.79</v>
      </c>
      <c r="R5884" s="18">
        <v>167.86</v>
      </c>
      <c r="S5884" s="18">
        <v>198.94</v>
      </c>
      <c r="T5884" s="18">
        <v>163.07</v>
      </c>
      <c r="U5884" s="16"/>
      <c r="V5884" s="16"/>
      <c r="W5884" s="16"/>
      <c r="X5884" s="19">
        <v>0.23300000000000001</v>
      </c>
      <c r="Y5884" s="20">
        <v>7.1699999999999997E-4</v>
      </c>
      <c r="Z5884" s="21">
        <v>4601004031555</v>
      </c>
    </row>
    <row r="5885" spans="1:26" ht="12" customHeight="1" outlineLevel="4" x14ac:dyDescent="0.2">
      <c r="A5885" s="14" t="s">
        <v>11367</v>
      </c>
      <c r="B5885" s="26" t="s">
        <v>11368</v>
      </c>
      <c r="C5885" s="52"/>
      <c r="D5885" s="55">
        <f t="shared" si="91"/>
        <v>0</v>
      </c>
      <c r="E5885" s="63" t="str">
        <f>HYPERLINK("https://www.sds-group.ru/product/styazhka-kabelnaya-neylonovaya-350x4-8mm-chernaya-100-sht-up-proconnect-57-0351/", "Инфо")</f>
        <v>Инфо</v>
      </c>
      <c r="F5885" s="16" t="s">
        <v>1001</v>
      </c>
      <c r="G5885" s="15"/>
      <c r="H5885" s="15"/>
      <c r="I5885" s="15"/>
      <c r="J5885" s="17">
        <v>978</v>
      </c>
      <c r="K5885" s="15" t="s">
        <v>3762</v>
      </c>
      <c r="L5885" s="17">
        <v>10</v>
      </c>
      <c r="M5885" s="17">
        <v>50</v>
      </c>
      <c r="N5885" s="17">
        <v>10</v>
      </c>
      <c r="O5885" s="18">
        <v>292.56</v>
      </c>
      <c r="P5885" s="18">
        <v>239.8</v>
      </c>
      <c r="Q5885" s="18">
        <v>204.79</v>
      </c>
      <c r="R5885" s="18">
        <v>167.86</v>
      </c>
      <c r="S5885" s="18">
        <v>198.94</v>
      </c>
      <c r="T5885" s="18">
        <v>163.07</v>
      </c>
      <c r="U5885" s="16"/>
      <c r="V5885" s="16"/>
      <c r="W5885" s="16"/>
      <c r="X5885" s="19">
        <v>0.23699999999999999</v>
      </c>
      <c r="Y5885" s="20">
        <v>8.8000000000000003E-4</v>
      </c>
      <c r="Z5885" s="21">
        <v>4601004031548</v>
      </c>
    </row>
    <row r="5886" spans="1:26" ht="12" customHeight="1" outlineLevel="4" x14ac:dyDescent="0.2">
      <c r="A5886" s="14" t="s">
        <v>11369</v>
      </c>
      <c r="B5886" s="26" t="s">
        <v>11370</v>
      </c>
      <c r="C5886" s="52"/>
      <c r="D5886" s="55">
        <f t="shared" si="91"/>
        <v>0</v>
      </c>
      <c r="E5886" s="63" t="str">
        <f>HYPERLINK("https://www.sds-group.ru/product/styazhka-kabelnaya-neylonovaya-400x4-8mm-belaya-100-sht-up-proconnect-57-0400/", "Инфо")</f>
        <v>Инфо</v>
      </c>
      <c r="F5886" s="16" t="s">
        <v>1001</v>
      </c>
      <c r="G5886" s="15"/>
      <c r="H5886" s="15"/>
      <c r="I5886" s="15"/>
      <c r="J5886" s="17">
        <v>586</v>
      </c>
      <c r="K5886" s="15" t="s">
        <v>3762</v>
      </c>
      <c r="L5886" s="17">
        <v>10</v>
      </c>
      <c r="M5886" s="17">
        <v>50</v>
      </c>
      <c r="N5886" s="17">
        <v>10</v>
      </c>
      <c r="O5886" s="18">
        <v>367.3</v>
      </c>
      <c r="P5886" s="18">
        <v>301.07</v>
      </c>
      <c r="Q5886" s="18">
        <v>257.11</v>
      </c>
      <c r="R5886" s="18">
        <v>210.75</v>
      </c>
      <c r="S5886" s="18">
        <v>249.76</v>
      </c>
      <c r="T5886" s="18">
        <v>204.72</v>
      </c>
      <c r="U5886" s="16"/>
      <c r="V5886" s="16"/>
      <c r="W5886" s="16"/>
      <c r="X5886" s="19">
        <v>0.26600000000000001</v>
      </c>
      <c r="Y5886" s="20">
        <v>7.8799999999999996E-4</v>
      </c>
      <c r="Z5886" s="21">
        <v>4601004060524</v>
      </c>
    </row>
    <row r="5887" spans="1:26" ht="12" customHeight="1" outlineLevel="4" x14ac:dyDescent="0.2">
      <c r="A5887" s="14" t="s">
        <v>11371</v>
      </c>
      <c r="B5887" s="26" t="s">
        <v>11372</v>
      </c>
      <c r="C5887" s="52"/>
      <c r="D5887" s="55">
        <f t="shared" si="91"/>
        <v>0</v>
      </c>
      <c r="E5887" s="63" t="str">
        <f>HYPERLINK("https://www.sds-group.ru/product/styazhka-kabelnaya-neylonovaya-400x4-8mm-chernaya-100-sht-up-proconnect-57-0401/", "Инфо")</f>
        <v>Инфо</v>
      </c>
      <c r="F5887" s="16" t="s">
        <v>1001</v>
      </c>
      <c r="G5887" s="15"/>
      <c r="H5887" s="15"/>
      <c r="I5887" s="15"/>
      <c r="J5887" s="22">
        <v>3319</v>
      </c>
      <c r="K5887" s="15" t="s">
        <v>3762</v>
      </c>
      <c r="L5887" s="17">
        <v>10</v>
      </c>
      <c r="M5887" s="17">
        <v>50</v>
      </c>
      <c r="N5887" s="17">
        <v>10</v>
      </c>
      <c r="O5887" s="18">
        <v>367.3</v>
      </c>
      <c r="P5887" s="18">
        <v>301.07</v>
      </c>
      <c r="Q5887" s="18">
        <v>257.11</v>
      </c>
      <c r="R5887" s="18">
        <v>210.75</v>
      </c>
      <c r="S5887" s="18">
        <v>249.76</v>
      </c>
      <c r="T5887" s="18">
        <v>204.72</v>
      </c>
      <c r="U5887" s="16"/>
      <c r="V5887" s="16"/>
      <c r="W5887" s="16"/>
      <c r="X5887" s="19">
        <v>0.26600000000000001</v>
      </c>
      <c r="Y5887" s="20">
        <v>7.9600000000000005E-4</v>
      </c>
      <c r="Z5887" s="21">
        <v>4601004060531</v>
      </c>
    </row>
    <row r="5888" spans="1:26" ht="12" customHeight="1" outlineLevel="4" x14ac:dyDescent="0.2">
      <c r="A5888" s="14" t="s">
        <v>11373</v>
      </c>
      <c r="B5888" s="26" t="s">
        <v>11374</v>
      </c>
      <c r="C5888" s="52"/>
      <c r="D5888" s="55">
        <f t="shared" si="91"/>
        <v>0</v>
      </c>
      <c r="E5888" s="63" t="str">
        <f>HYPERLINK("https://www.sds-group.ru/product/styazhka-kabelnaya-neylonovaya-400x7-6mm-belaya-100-sht-up-proconnect-57-0400-8/", "Инфо")</f>
        <v>Инфо</v>
      </c>
      <c r="F5888" s="16" t="s">
        <v>1001</v>
      </c>
      <c r="G5888" s="15"/>
      <c r="H5888" s="15"/>
      <c r="I5888" s="15"/>
      <c r="J5888" s="17">
        <v>80</v>
      </c>
      <c r="K5888" s="15" t="s">
        <v>886</v>
      </c>
      <c r="L5888" s="17">
        <v>1</v>
      </c>
      <c r="M5888" s="17">
        <v>30</v>
      </c>
      <c r="N5888" s="17">
        <v>1</v>
      </c>
      <c r="O5888" s="18">
        <v>773.1</v>
      </c>
      <c r="P5888" s="18">
        <v>633.69000000000005</v>
      </c>
      <c r="Q5888" s="18">
        <v>541.16999999999996</v>
      </c>
      <c r="R5888" s="18">
        <v>443.58</v>
      </c>
      <c r="S5888" s="18">
        <v>525.71</v>
      </c>
      <c r="T5888" s="18">
        <v>430.91</v>
      </c>
      <c r="U5888" s="16"/>
      <c r="V5888" s="16"/>
      <c r="W5888" s="16"/>
      <c r="X5888" s="19">
        <v>0.54200000000000004</v>
      </c>
      <c r="Y5888" s="20">
        <v>1.6659999999999999E-3</v>
      </c>
      <c r="Z5888" s="21">
        <v>4601004284937</v>
      </c>
    </row>
    <row r="5889" spans="1:26" ht="12" customHeight="1" outlineLevel="4" x14ac:dyDescent="0.2">
      <c r="A5889" s="14" t="s">
        <v>11375</v>
      </c>
      <c r="B5889" s="26" t="s">
        <v>11376</v>
      </c>
      <c r="C5889" s="52"/>
      <c r="D5889" s="55">
        <f t="shared" si="91"/>
        <v>0</v>
      </c>
      <c r="E5889" s="63" t="str">
        <f>HYPERLINK("https://www.sds-group.ru/product/styazhka-kabelnaya-neylonovaya-400x7-6mm-chernaya-100-sht-up-proconnect-57-0401-8/", "Инфо")</f>
        <v>Инфо</v>
      </c>
      <c r="F5889" s="16" t="s">
        <v>1001</v>
      </c>
      <c r="G5889" s="15"/>
      <c r="H5889" s="15"/>
      <c r="I5889" s="15"/>
      <c r="J5889" s="16" t="s">
        <v>100</v>
      </c>
      <c r="K5889" s="15" t="s">
        <v>886</v>
      </c>
      <c r="L5889" s="17">
        <v>1</v>
      </c>
      <c r="M5889" s="17">
        <v>30</v>
      </c>
      <c r="N5889" s="17">
        <v>1</v>
      </c>
      <c r="O5889" s="18">
        <v>773.1</v>
      </c>
      <c r="P5889" s="18">
        <v>633.69000000000005</v>
      </c>
      <c r="Q5889" s="18">
        <v>541.16999999999996</v>
      </c>
      <c r="R5889" s="18">
        <v>443.58</v>
      </c>
      <c r="S5889" s="18">
        <v>525.71</v>
      </c>
      <c r="T5889" s="18">
        <v>430.91</v>
      </c>
      <c r="U5889" s="16"/>
      <c r="V5889" s="16"/>
      <c r="W5889" s="16"/>
      <c r="X5889" s="19">
        <v>0.53900000000000003</v>
      </c>
      <c r="Y5889" s="20">
        <v>1.627E-3</v>
      </c>
      <c r="Z5889" s="21">
        <v>4601004284920</v>
      </c>
    </row>
    <row r="5890" spans="1:26" ht="12" customHeight="1" outlineLevel="4" x14ac:dyDescent="0.2">
      <c r="A5890" s="14" t="s">
        <v>11377</v>
      </c>
      <c r="B5890" s="26" t="s">
        <v>11378</v>
      </c>
      <c r="C5890" s="52"/>
      <c r="D5890" s="55">
        <f t="shared" si="91"/>
        <v>0</v>
      </c>
      <c r="E5890" s="63" t="str">
        <f>HYPERLINK("https://www.sds-group.ru/product/styazhka-kabelnaya-neylonovaya-500x4-8mm-belaya-100-sht-up-proconnect-57-0500/", "Инфо")</f>
        <v>Инфо</v>
      </c>
      <c r="F5890" s="16" t="s">
        <v>1001</v>
      </c>
      <c r="G5890" s="15"/>
      <c r="H5890" s="15"/>
      <c r="I5890" s="15"/>
      <c r="J5890" s="17">
        <v>776</v>
      </c>
      <c r="K5890" s="15" t="s">
        <v>886</v>
      </c>
      <c r="L5890" s="17">
        <v>10</v>
      </c>
      <c r="M5890" s="17">
        <v>50</v>
      </c>
      <c r="N5890" s="17">
        <v>10</v>
      </c>
      <c r="O5890" s="18">
        <v>398.43</v>
      </c>
      <c r="P5890" s="18">
        <v>326.58</v>
      </c>
      <c r="Q5890" s="18">
        <v>278.89999999999998</v>
      </c>
      <c r="R5890" s="18">
        <v>228.61</v>
      </c>
      <c r="S5890" s="18">
        <v>270.93</v>
      </c>
      <c r="T5890" s="18">
        <v>222.07</v>
      </c>
      <c r="U5890" s="16"/>
      <c r="V5890" s="16"/>
      <c r="W5890" s="16"/>
      <c r="X5890" s="19">
        <v>0.34100000000000003</v>
      </c>
      <c r="Y5890" s="20">
        <v>1.168E-3</v>
      </c>
      <c r="Z5890" s="21">
        <v>4601004284906</v>
      </c>
    </row>
    <row r="5891" spans="1:26" ht="12" customHeight="1" outlineLevel="4" x14ac:dyDescent="0.2">
      <c r="A5891" s="14" t="s">
        <v>11379</v>
      </c>
      <c r="B5891" s="26" t="s">
        <v>11380</v>
      </c>
      <c r="C5891" s="52"/>
      <c r="D5891" s="55">
        <f t="shared" si="91"/>
        <v>0</v>
      </c>
      <c r="E5891" s="63" t="str">
        <f>HYPERLINK("https://www.sds-group.ru/product/styazhka-kabelnaya-neylonovaya-500x4-8mm-chernaya-100-sht-up-proconnect-57-0501/", "Инфо")</f>
        <v>Инфо</v>
      </c>
      <c r="F5891" s="16" t="s">
        <v>1001</v>
      </c>
      <c r="G5891" s="15"/>
      <c r="H5891" s="15"/>
      <c r="I5891" s="15"/>
      <c r="J5891" s="17">
        <v>235</v>
      </c>
      <c r="K5891" s="15" t="s">
        <v>886</v>
      </c>
      <c r="L5891" s="17">
        <v>10</v>
      </c>
      <c r="M5891" s="17">
        <v>50</v>
      </c>
      <c r="N5891" s="17">
        <v>10</v>
      </c>
      <c r="O5891" s="18">
        <v>398.43</v>
      </c>
      <c r="P5891" s="18">
        <v>326.58</v>
      </c>
      <c r="Q5891" s="18">
        <v>278.89999999999998</v>
      </c>
      <c r="R5891" s="18">
        <v>228.61</v>
      </c>
      <c r="S5891" s="18">
        <v>270.93</v>
      </c>
      <c r="T5891" s="18">
        <v>222.07</v>
      </c>
      <c r="U5891" s="16"/>
      <c r="V5891" s="16"/>
      <c r="W5891" s="16"/>
      <c r="X5891" s="19">
        <v>0.34300000000000003</v>
      </c>
      <c r="Y5891" s="20">
        <v>1.0070000000000001E-3</v>
      </c>
      <c r="Z5891" s="21">
        <v>4601004284913</v>
      </c>
    </row>
    <row r="5892" spans="1:26" ht="12" customHeight="1" outlineLevel="4" x14ac:dyDescent="0.2">
      <c r="A5892" s="14" t="s">
        <v>11381</v>
      </c>
      <c r="B5892" s="26" t="s">
        <v>11382</v>
      </c>
      <c r="C5892" s="52"/>
      <c r="D5892" s="55">
        <f t="shared" si="91"/>
        <v>0</v>
      </c>
      <c r="E5892" s="63" t="str">
        <f>HYPERLINK("https://www.sds-group.ru/product/styazhka-kabelnaya-neylonovaya-500x7-6mm-belaya-100-sht-up-proconnect-57-0502/", "Инфо")</f>
        <v>Инфо</v>
      </c>
      <c r="F5892" s="16" t="s">
        <v>1001</v>
      </c>
      <c r="G5892" s="15"/>
      <c r="H5892" s="15"/>
      <c r="I5892" s="15"/>
      <c r="J5892" s="17">
        <v>47</v>
      </c>
      <c r="K5892" s="15" t="s">
        <v>886</v>
      </c>
      <c r="L5892" s="17">
        <v>1</v>
      </c>
      <c r="M5892" s="17">
        <v>30</v>
      </c>
      <c r="N5892" s="17">
        <v>1</v>
      </c>
      <c r="O5892" s="18">
        <v>936.1</v>
      </c>
      <c r="P5892" s="18">
        <v>767.3</v>
      </c>
      <c r="Q5892" s="18">
        <v>655.27</v>
      </c>
      <c r="R5892" s="18">
        <v>537.11</v>
      </c>
      <c r="S5892" s="18">
        <v>636.54999999999995</v>
      </c>
      <c r="T5892" s="18">
        <v>521.76</v>
      </c>
      <c r="U5892" s="16"/>
      <c r="V5892" s="16"/>
      <c r="W5892" s="16"/>
      <c r="X5892" s="19">
        <v>0.40899999999999997</v>
      </c>
      <c r="Y5892" s="20">
        <v>1.101E-3</v>
      </c>
      <c r="Z5892" s="21">
        <v>4601004284876</v>
      </c>
    </row>
    <row r="5893" spans="1:26" ht="12" customHeight="1" outlineLevel="4" x14ac:dyDescent="0.2">
      <c r="A5893" s="14" t="s">
        <v>11383</v>
      </c>
      <c r="B5893" s="26" t="s">
        <v>11384</v>
      </c>
      <c r="C5893" s="52"/>
      <c r="D5893" s="55">
        <f t="shared" si="91"/>
        <v>0</v>
      </c>
      <c r="E5893" s="63" t="str">
        <f>HYPERLINK("https://www.sds-group.ru/product/styazhka-kabelnaya-neylonovaya-500x7-6mm-chernaya-100-sht-up-proconnect-57-0503/", "Инфо")</f>
        <v>Инфо</v>
      </c>
      <c r="F5893" s="16" t="s">
        <v>1001</v>
      </c>
      <c r="G5893" s="15"/>
      <c r="H5893" s="15"/>
      <c r="I5893" s="15"/>
      <c r="J5893" s="17">
        <v>354</v>
      </c>
      <c r="K5893" s="15" t="s">
        <v>7336</v>
      </c>
      <c r="L5893" s="17">
        <v>1</v>
      </c>
      <c r="M5893" s="17">
        <v>30</v>
      </c>
      <c r="N5893" s="17">
        <v>1</v>
      </c>
      <c r="O5893" s="18">
        <v>936.1</v>
      </c>
      <c r="P5893" s="18">
        <v>767.3</v>
      </c>
      <c r="Q5893" s="18">
        <v>655.27</v>
      </c>
      <c r="R5893" s="18">
        <v>537.11</v>
      </c>
      <c r="S5893" s="18">
        <v>636.54999999999995</v>
      </c>
      <c r="T5893" s="18">
        <v>521.76</v>
      </c>
      <c r="U5893" s="16"/>
      <c r="V5893" s="16"/>
      <c r="W5893" s="16"/>
      <c r="X5893" s="19">
        <v>0.68</v>
      </c>
      <c r="Y5893" s="20">
        <v>1.874E-3</v>
      </c>
      <c r="Z5893" s="21">
        <v>4601004284845</v>
      </c>
    </row>
    <row r="5894" spans="1:26" ht="12.95" customHeight="1" outlineLevel="3" x14ac:dyDescent="0.2">
      <c r="A5894" s="76" t="s">
        <v>11385</v>
      </c>
      <c r="B5894" s="76"/>
      <c r="C5894" s="77"/>
      <c r="D5894" s="58"/>
      <c r="E5894" s="68"/>
      <c r="F5894" s="13"/>
      <c r="G5894" s="13"/>
      <c r="H5894" s="13"/>
      <c r="I5894" s="13"/>
      <c r="J5894" s="13"/>
      <c r="K5894" s="13"/>
      <c r="L5894" s="13"/>
      <c r="M5894" s="13"/>
      <c r="N5894" s="13"/>
      <c r="O5894" s="13"/>
      <c r="P5894" s="13"/>
      <c r="Q5894" s="13"/>
      <c r="R5894" s="13"/>
      <c r="S5894" s="13"/>
      <c r="T5894" s="13"/>
      <c r="U5894" s="13"/>
      <c r="V5894" s="13"/>
      <c r="W5894" s="13"/>
      <c r="X5894" s="13"/>
      <c r="Y5894" s="13"/>
      <c r="Z5894" s="13"/>
    </row>
    <row r="5895" spans="1:26" ht="12" customHeight="1" outlineLevel="4" x14ac:dyDescent="0.2">
      <c r="A5895" s="14" t="s">
        <v>11386</v>
      </c>
      <c r="B5895" s="26" t="s">
        <v>11387</v>
      </c>
      <c r="C5895" s="52"/>
      <c r="D5895" s="55">
        <f t="shared" si="91"/>
        <v>0</v>
      </c>
      <c r="E5895" s="63" t="str">
        <f>HYPERLINK("https://www.sds-group.ru/product/styazhka-kabelnaya-neylonovaya-100x2-5mm-belaya-100-sht-up-rexant-07-0100/", "Инфо")</f>
        <v>Инфо</v>
      </c>
      <c r="F5895" s="16" t="s">
        <v>1001</v>
      </c>
      <c r="G5895" s="15"/>
      <c r="H5895" s="15"/>
      <c r="I5895" s="15"/>
      <c r="J5895" s="22">
        <v>45940</v>
      </c>
      <c r="K5895" s="15" t="s">
        <v>6930</v>
      </c>
      <c r="L5895" s="17">
        <v>10</v>
      </c>
      <c r="M5895" s="17">
        <v>300</v>
      </c>
      <c r="N5895" s="17">
        <v>10</v>
      </c>
      <c r="O5895" s="18">
        <v>55.66</v>
      </c>
      <c r="P5895" s="18">
        <v>45.62</v>
      </c>
      <c r="Q5895" s="18">
        <v>51.76</v>
      </c>
      <c r="R5895" s="18">
        <v>42.43</v>
      </c>
      <c r="S5895" s="18">
        <v>37.85</v>
      </c>
      <c r="T5895" s="18">
        <v>31.02</v>
      </c>
      <c r="U5895" s="16"/>
      <c r="V5895" s="16"/>
      <c r="W5895" s="16" t="s">
        <v>40</v>
      </c>
      <c r="X5895" s="19">
        <v>3.3000000000000002E-2</v>
      </c>
      <c r="Y5895" s="20">
        <v>1.17E-4</v>
      </c>
      <c r="Z5895" s="21">
        <v>4610003602888</v>
      </c>
    </row>
    <row r="5896" spans="1:26" ht="12" customHeight="1" outlineLevel="4" x14ac:dyDescent="0.2">
      <c r="A5896" s="14" t="s">
        <v>11388</v>
      </c>
      <c r="B5896" s="26" t="s">
        <v>11389</v>
      </c>
      <c r="C5896" s="52"/>
      <c r="D5896" s="55">
        <f t="shared" si="91"/>
        <v>0</v>
      </c>
      <c r="E5896" s="63" t="str">
        <f>HYPERLINK("https://www.sds-group.ru/product/styazhka-kabelnaya-neylonovaya-100x2-5mm-chernaya-100-sht-up-rexant-07-0101/", "Инфо")</f>
        <v>Инфо</v>
      </c>
      <c r="F5896" s="16" t="s">
        <v>1001</v>
      </c>
      <c r="G5896" s="15"/>
      <c r="H5896" s="15"/>
      <c r="I5896" s="15"/>
      <c r="J5896" s="16" t="s">
        <v>100</v>
      </c>
      <c r="K5896" s="15" t="s">
        <v>3762</v>
      </c>
      <c r="L5896" s="17">
        <v>10</v>
      </c>
      <c r="M5896" s="17">
        <v>300</v>
      </c>
      <c r="N5896" s="17">
        <v>10</v>
      </c>
      <c r="O5896" s="18">
        <v>55.66</v>
      </c>
      <c r="P5896" s="18">
        <v>45.62</v>
      </c>
      <c r="Q5896" s="18">
        <v>51.76</v>
      </c>
      <c r="R5896" s="18">
        <v>42.43</v>
      </c>
      <c r="S5896" s="18">
        <v>37.85</v>
      </c>
      <c r="T5896" s="18">
        <v>31.02</v>
      </c>
      <c r="U5896" s="16"/>
      <c r="V5896" s="16"/>
      <c r="W5896" s="16" t="s">
        <v>40</v>
      </c>
      <c r="X5896" s="19">
        <v>3.4000000000000002E-2</v>
      </c>
      <c r="Y5896" s="20">
        <v>1.27E-4</v>
      </c>
      <c r="Z5896" s="21">
        <v>4610003602895</v>
      </c>
    </row>
    <row r="5897" spans="1:26" ht="12" customHeight="1" outlineLevel="4" x14ac:dyDescent="0.2">
      <c r="A5897" s="14" t="s">
        <v>11390</v>
      </c>
      <c r="B5897" s="26" t="s">
        <v>11391</v>
      </c>
      <c r="C5897" s="52"/>
      <c r="D5897" s="55">
        <f t="shared" ref="D5897:D5960" si="92">C5897*(O5897-O5897*$G$3)</f>
        <v>0</v>
      </c>
      <c r="E5897" s="63" t="str">
        <f>HYPERLINK("https://www.sds-group.ru/product/styazhka-kabelnaya-neylonovaya-100x3-6mm-belaya-100-sht-up-rexant-07-0100-4/", "Инфо")</f>
        <v>Инфо</v>
      </c>
      <c r="F5897" s="16" t="s">
        <v>1001</v>
      </c>
      <c r="G5897" s="15"/>
      <c r="H5897" s="15"/>
      <c r="I5897" s="15"/>
      <c r="J5897" s="22">
        <v>3288</v>
      </c>
      <c r="K5897" s="15" t="s">
        <v>7336</v>
      </c>
      <c r="L5897" s="17">
        <v>10</v>
      </c>
      <c r="M5897" s="17">
        <v>280</v>
      </c>
      <c r="N5897" s="17">
        <v>10</v>
      </c>
      <c r="O5897" s="18">
        <v>93.84</v>
      </c>
      <c r="P5897" s="18">
        <v>76.92</v>
      </c>
      <c r="Q5897" s="18">
        <v>87.27</v>
      </c>
      <c r="R5897" s="18">
        <v>71.53</v>
      </c>
      <c r="S5897" s="18">
        <v>63.81</v>
      </c>
      <c r="T5897" s="18">
        <v>52.3</v>
      </c>
      <c r="U5897" s="16"/>
      <c r="V5897" s="16"/>
      <c r="W5897" s="16" t="s">
        <v>40</v>
      </c>
      <c r="X5897" s="19">
        <v>5.5E-2</v>
      </c>
      <c r="Y5897" s="20">
        <v>2.1699999999999999E-4</v>
      </c>
      <c r="Z5897" s="21">
        <v>4601004119055</v>
      </c>
    </row>
    <row r="5898" spans="1:26" ht="12" customHeight="1" outlineLevel="4" x14ac:dyDescent="0.2">
      <c r="A5898" s="14" t="s">
        <v>11392</v>
      </c>
      <c r="B5898" s="26" t="s">
        <v>11393</v>
      </c>
      <c r="C5898" s="52"/>
      <c r="D5898" s="55">
        <f t="shared" si="92"/>
        <v>0</v>
      </c>
      <c r="E5898" s="63" t="str">
        <f>HYPERLINK("https://www.sds-group.ru/product/styazhka-kabelnaya-neylonovaya-100x3-6mm-chernaya-100-sht-up-rexant-07-0101-4/", "Инфо")</f>
        <v>Инфо</v>
      </c>
      <c r="F5898" s="16" t="s">
        <v>1001</v>
      </c>
      <c r="G5898" s="15"/>
      <c r="H5898" s="15"/>
      <c r="I5898" s="15"/>
      <c r="J5898" s="16" t="s">
        <v>100</v>
      </c>
      <c r="K5898" s="15" t="s">
        <v>3762</v>
      </c>
      <c r="L5898" s="17">
        <v>10</v>
      </c>
      <c r="M5898" s="17">
        <v>280</v>
      </c>
      <c r="N5898" s="17">
        <v>10</v>
      </c>
      <c r="O5898" s="18">
        <v>93.84</v>
      </c>
      <c r="P5898" s="18">
        <v>76.92</v>
      </c>
      <c r="Q5898" s="18">
        <v>87.27</v>
      </c>
      <c r="R5898" s="18">
        <v>71.53</v>
      </c>
      <c r="S5898" s="18">
        <v>63.81</v>
      </c>
      <c r="T5898" s="18">
        <v>52.3</v>
      </c>
      <c r="U5898" s="16"/>
      <c r="V5898" s="16"/>
      <c r="W5898" s="16" t="s">
        <v>40</v>
      </c>
      <c r="X5898" s="19">
        <v>5.3999999999999999E-2</v>
      </c>
      <c r="Y5898" s="20">
        <v>2.1900000000000001E-4</v>
      </c>
      <c r="Z5898" s="21">
        <v>4601004119062</v>
      </c>
    </row>
    <row r="5899" spans="1:26" ht="12" customHeight="1" outlineLevel="4" x14ac:dyDescent="0.2">
      <c r="A5899" s="14" t="s">
        <v>11394</v>
      </c>
      <c r="B5899" s="26" t="s">
        <v>11395</v>
      </c>
      <c r="C5899" s="52"/>
      <c r="D5899" s="55">
        <f t="shared" si="92"/>
        <v>0</v>
      </c>
      <c r="E5899" s="63" t="str">
        <f>HYPERLINK("https://www.sds-group.ru/product/styazhka-kabelnaya-neylonovaya-1020x9-0mm-belaya-100-sht-up-rexant-07-1020/", "Инфо")</f>
        <v>Инфо</v>
      </c>
      <c r="F5899" s="16" t="s">
        <v>1001</v>
      </c>
      <c r="G5899" s="15"/>
      <c r="H5899" s="15"/>
      <c r="I5899" s="15"/>
      <c r="J5899" s="16" t="s">
        <v>100</v>
      </c>
      <c r="K5899" s="15" t="s">
        <v>3762</v>
      </c>
      <c r="L5899" s="17">
        <v>1</v>
      </c>
      <c r="M5899" s="17">
        <v>10</v>
      </c>
      <c r="N5899" s="17">
        <v>1</v>
      </c>
      <c r="O5899" s="18">
        <v>3553.8</v>
      </c>
      <c r="P5899" s="18">
        <v>2912.95</v>
      </c>
      <c r="Q5899" s="18">
        <v>2843.04</v>
      </c>
      <c r="R5899" s="18">
        <v>2330.36</v>
      </c>
      <c r="S5899" s="18">
        <v>2416.58</v>
      </c>
      <c r="T5899" s="18">
        <v>1980.8</v>
      </c>
      <c r="U5899" s="16"/>
      <c r="V5899" s="16"/>
      <c r="W5899" s="16" t="s">
        <v>40</v>
      </c>
      <c r="X5899" s="19">
        <v>1.85</v>
      </c>
      <c r="Y5899" s="20">
        <v>5.2500000000000003E-3</v>
      </c>
      <c r="Z5899" s="21">
        <v>4610003603106</v>
      </c>
    </row>
    <row r="5900" spans="1:26" ht="12" customHeight="1" outlineLevel="4" x14ac:dyDescent="0.2">
      <c r="A5900" s="14" t="s">
        <v>11396</v>
      </c>
      <c r="B5900" s="26" t="s">
        <v>11397</v>
      </c>
      <c r="C5900" s="52"/>
      <c r="D5900" s="55">
        <f t="shared" si="92"/>
        <v>0</v>
      </c>
      <c r="E5900" s="63" t="str">
        <f>HYPERLINK("https://www.sds-group.ru/product/styazhka-kabelnaya-neylonovaya-1020x9-0mm-chernaya-100-sht-up-rexant-07-1021/", "Инфо")</f>
        <v>Инфо</v>
      </c>
      <c r="F5900" s="16" t="s">
        <v>1001</v>
      </c>
      <c r="G5900" s="15"/>
      <c r="H5900" s="15"/>
      <c r="I5900" s="15"/>
      <c r="J5900" s="17">
        <v>254</v>
      </c>
      <c r="K5900" s="15" t="s">
        <v>886</v>
      </c>
      <c r="L5900" s="17">
        <v>1</v>
      </c>
      <c r="M5900" s="17">
        <v>10</v>
      </c>
      <c r="N5900" s="17">
        <v>1</v>
      </c>
      <c r="O5900" s="18">
        <v>3553.8</v>
      </c>
      <c r="P5900" s="18">
        <v>2912.95</v>
      </c>
      <c r="Q5900" s="18">
        <v>2843.04</v>
      </c>
      <c r="R5900" s="18">
        <v>2330.36</v>
      </c>
      <c r="S5900" s="18">
        <v>2416.58</v>
      </c>
      <c r="T5900" s="18">
        <v>1980.8</v>
      </c>
      <c r="U5900" s="16"/>
      <c r="V5900" s="16"/>
      <c r="W5900" s="16" t="s">
        <v>40</v>
      </c>
      <c r="X5900" s="19">
        <v>2.0030000000000001</v>
      </c>
      <c r="Y5900" s="20">
        <v>5.7080000000000004E-3</v>
      </c>
      <c r="Z5900" s="21">
        <v>4610003603113</v>
      </c>
    </row>
    <row r="5901" spans="1:26" ht="12" customHeight="1" outlineLevel="4" x14ac:dyDescent="0.2">
      <c r="A5901" s="14" t="s">
        <v>11398</v>
      </c>
      <c r="B5901" s="26" t="s">
        <v>11399</v>
      </c>
      <c r="C5901" s="52"/>
      <c r="D5901" s="55">
        <f t="shared" si="92"/>
        <v>0</v>
      </c>
      <c r="E5901" s="63" t="str">
        <f>HYPERLINK("https://www.sds-group.ru/product/styazhka-kabelnaya-neylonovaya-120x2-5mm-belaya-100-sht-up-rexant-07-0120/", "Инфо")</f>
        <v>Инфо</v>
      </c>
      <c r="F5901" s="16" t="s">
        <v>1001</v>
      </c>
      <c r="G5901" s="15"/>
      <c r="H5901" s="15"/>
      <c r="I5901" s="15"/>
      <c r="J5901" s="22">
        <v>1792</v>
      </c>
      <c r="K5901" s="15" t="s">
        <v>3762</v>
      </c>
      <c r="L5901" s="17">
        <v>10</v>
      </c>
      <c r="M5901" s="17">
        <v>300</v>
      </c>
      <c r="N5901" s="17">
        <v>10</v>
      </c>
      <c r="O5901" s="18">
        <v>64</v>
      </c>
      <c r="P5901" s="18">
        <v>52.46</v>
      </c>
      <c r="Q5901" s="18">
        <v>59.52</v>
      </c>
      <c r="R5901" s="18">
        <v>48.79</v>
      </c>
      <c r="S5901" s="18">
        <v>43.52</v>
      </c>
      <c r="T5901" s="18">
        <v>35.67</v>
      </c>
      <c r="U5901" s="16"/>
      <c r="V5901" s="16"/>
      <c r="W5901" s="16" t="s">
        <v>40</v>
      </c>
      <c r="X5901" s="19">
        <v>3.7999999999999999E-2</v>
      </c>
      <c r="Y5901" s="20">
        <v>1.3799999999999999E-4</v>
      </c>
      <c r="Z5901" s="21">
        <v>4610003602901</v>
      </c>
    </row>
    <row r="5902" spans="1:26" ht="12" customHeight="1" outlineLevel="4" x14ac:dyDescent="0.2">
      <c r="A5902" s="14" t="s">
        <v>11400</v>
      </c>
      <c r="B5902" s="26" t="s">
        <v>11401</v>
      </c>
      <c r="C5902" s="52"/>
      <c r="D5902" s="55">
        <f t="shared" si="92"/>
        <v>0</v>
      </c>
      <c r="E5902" s="63" t="str">
        <f>HYPERLINK("https://www.sds-group.ru/product/styazhka-kabelnaya-neylonovaya-120x2-5mm-chernaya-100-sht-up-rexant-07-0121/", "Инфо")</f>
        <v>Инфо</v>
      </c>
      <c r="F5902" s="16" t="s">
        <v>1001</v>
      </c>
      <c r="G5902" s="15"/>
      <c r="H5902" s="15"/>
      <c r="I5902" s="15"/>
      <c r="J5902" s="22">
        <v>3633</v>
      </c>
      <c r="K5902" s="15" t="s">
        <v>886</v>
      </c>
      <c r="L5902" s="17">
        <v>10</v>
      </c>
      <c r="M5902" s="17">
        <v>300</v>
      </c>
      <c r="N5902" s="17">
        <v>10</v>
      </c>
      <c r="O5902" s="18">
        <v>64</v>
      </c>
      <c r="P5902" s="18">
        <v>52.46</v>
      </c>
      <c r="Q5902" s="18">
        <v>59.52</v>
      </c>
      <c r="R5902" s="18">
        <v>48.79</v>
      </c>
      <c r="S5902" s="18">
        <v>43.52</v>
      </c>
      <c r="T5902" s="18">
        <v>35.67</v>
      </c>
      <c r="U5902" s="16"/>
      <c r="V5902" s="16"/>
      <c r="W5902" s="16" t="s">
        <v>40</v>
      </c>
      <c r="X5902" s="19">
        <v>3.6999999999999998E-2</v>
      </c>
      <c r="Y5902" s="20">
        <v>1.3799999999999999E-4</v>
      </c>
      <c r="Z5902" s="21">
        <v>4610003602918</v>
      </c>
    </row>
    <row r="5903" spans="1:26" ht="12" customHeight="1" outlineLevel="4" x14ac:dyDescent="0.2">
      <c r="A5903" s="14" t="s">
        <v>11402</v>
      </c>
      <c r="B5903" s="26" t="s">
        <v>11403</v>
      </c>
      <c r="C5903" s="52"/>
      <c r="D5903" s="55">
        <f t="shared" si="92"/>
        <v>0</v>
      </c>
      <c r="E5903" s="63" t="str">
        <f>HYPERLINK("https://www.sds-group.ru/product/styazhka-kabelnaya-neylonovaya-150x2-5mm-belaya-100-sht-up-rexant-07-0150/", "Инфо")</f>
        <v>Инфо</v>
      </c>
      <c r="F5903" s="16" t="s">
        <v>1001</v>
      </c>
      <c r="G5903" s="15"/>
      <c r="H5903" s="15"/>
      <c r="I5903" s="15"/>
      <c r="J5903" s="22">
        <v>12749</v>
      </c>
      <c r="K5903" s="15" t="s">
        <v>3762</v>
      </c>
      <c r="L5903" s="17">
        <v>10</v>
      </c>
      <c r="M5903" s="17">
        <v>200</v>
      </c>
      <c r="N5903" s="17">
        <v>10</v>
      </c>
      <c r="O5903" s="18">
        <v>78.66</v>
      </c>
      <c r="P5903" s="18">
        <v>64.48</v>
      </c>
      <c r="Q5903" s="18">
        <v>73.150000000000006</v>
      </c>
      <c r="R5903" s="18">
        <v>59.96</v>
      </c>
      <c r="S5903" s="18">
        <v>53.49</v>
      </c>
      <c r="T5903" s="18">
        <v>43.84</v>
      </c>
      <c r="U5903" s="16"/>
      <c r="V5903" s="16"/>
      <c r="W5903" s="16" t="s">
        <v>40</v>
      </c>
      <c r="X5903" s="19">
        <v>4.7E-2</v>
      </c>
      <c r="Y5903" s="20">
        <v>1.8100000000000001E-4</v>
      </c>
      <c r="Z5903" s="21">
        <v>4610003602925</v>
      </c>
    </row>
    <row r="5904" spans="1:26" ht="12" customHeight="1" outlineLevel="4" x14ac:dyDescent="0.2">
      <c r="A5904" s="14" t="s">
        <v>11404</v>
      </c>
      <c r="B5904" s="26" t="s">
        <v>11405</v>
      </c>
      <c r="C5904" s="52"/>
      <c r="D5904" s="55">
        <f t="shared" si="92"/>
        <v>0</v>
      </c>
      <c r="E5904" s="63" t="str">
        <f>HYPERLINK("https://www.sds-group.ru/product/styazhka-kabelnaya-neylonovaya-150x2-5mm-chernaya-100-sht-up-rexant-07-0151/", "Инфо")</f>
        <v>Инфо</v>
      </c>
      <c r="F5904" s="16" t="s">
        <v>1001</v>
      </c>
      <c r="G5904" s="15"/>
      <c r="H5904" s="15"/>
      <c r="I5904" s="15"/>
      <c r="J5904" s="22">
        <v>58061</v>
      </c>
      <c r="K5904" s="15" t="s">
        <v>3762</v>
      </c>
      <c r="L5904" s="17">
        <v>10</v>
      </c>
      <c r="M5904" s="17">
        <v>200</v>
      </c>
      <c r="N5904" s="17">
        <v>10</v>
      </c>
      <c r="O5904" s="18">
        <v>78.66</v>
      </c>
      <c r="P5904" s="18">
        <v>64.48</v>
      </c>
      <c r="Q5904" s="18">
        <v>73.150000000000006</v>
      </c>
      <c r="R5904" s="18">
        <v>59.96</v>
      </c>
      <c r="S5904" s="18">
        <v>53.49</v>
      </c>
      <c r="T5904" s="18">
        <v>43.84</v>
      </c>
      <c r="U5904" s="16"/>
      <c r="V5904" s="16"/>
      <c r="W5904" s="16" t="s">
        <v>40</v>
      </c>
      <c r="X5904" s="19">
        <v>4.7E-2</v>
      </c>
      <c r="Y5904" s="20">
        <v>1.8100000000000001E-4</v>
      </c>
      <c r="Z5904" s="21">
        <v>4610003602932</v>
      </c>
    </row>
    <row r="5905" spans="1:26" ht="12" customHeight="1" outlineLevel="4" x14ac:dyDescent="0.2">
      <c r="A5905" s="14" t="s">
        <v>11406</v>
      </c>
      <c r="B5905" s="26" t="s">
        <v>11407</v>
      </c>
      <c r="C5905" s="52"/>
      <c r="D5905" s="55">
        <f t="shared" si="92"/>
        <v>0</v>
      </c>
      <c r="E5905" s="63" t="str">
        <f>HYPERLINK("https://www.sds-group.ru/product/styazhka-kabelnaya-neylonovaya-150x3-6mm-belaya-100-sht-up-rexant-07-0150-4/", "Инфо")</f>
        <v>Инфо</v>
      </c>
      <c r="F5905" s="16" t="s">
        <v>1001</v>
      </c>
      <c r="G5905" s="15"/>
      <c r="H5905" s="15"/>
      <c r="I5905" s="15"/>
      <c r="J5905" s="22">
        <v>73549</v>
      </c>
      <c r="K5905" s="15" t="s">
        <v>6930</v>
      </c>
      <c r="L5905" s="17">
        <v>10</v>
      </c>
      <c r="M5905" s="17">
        <v>200</v>
      </c>
      <c r="N5905" s="17">
        <v>10</v>
      </c>
      <c r="O5905" s="18">
        <v>124.1</v>
      </c>
      <c r="P5905" s="18">
        <v>101.72</v>
      </c>
      <c r="Q5905" s="18">
        <v>115.41</v>
      </c>
      <c r="R5905" s="18">
        <v>94.6</v>
      </c>
      <c r="S5905" s="18">
        <v>84.39</v>
      </c>
      <c r="T5905" s="18">
        <v>69.17</v>
      </c>
      <c r="U5905" s="16"/>
      <c r="V5905" s="16"/>
      <c r="W5905" s="16" t="s">
        <v>40</v>
      </c>
      <c r="X5905" s="19">
        <v>7.4999999999999997E-2</v>
      </c>
      <c r="Y5905" s="20">
        <v>2.6400000000000002E-4</v>
      </c>
      <c r="Z5905" s="21">
        <v>4660008010645</v>
      </c>
    </row>
    <row r="5906" spans="1:26" ht="12" customHeight="1" outlineLevel="4" x14ac:dyDescent="0.2">
      <c r="A5906" s="14" t="s">
        <v>11408</v>
      </c>
      <c r="B5906" s="26" t="s">
        <v>11409</v>
      </c>
      <c r="C5906" s="52"/>
      <c r="D5906" s="55">
        <f t="shared" si="92"/>
        <v>0</v>
      </c>
      <c r="E5906" s="63" t="str">
        <f>HYPERLINK("https://www.sds-group.ru/product/styazhka-kabelnaya-neylonovaya-150x3-6mm-chernaya-100-sht-up-rexant-07-0151-4/", "Инфо")</f>
        <v>Инфо</v>
      </c>
      <c r="F5906" s="16" t="s">
        <v>1001</v>
      </c>
      <c r="G5906" s="15"/>
      <c r="H5906" s="15"/>
      <c r="I5906" s="15"/>
      <c r="J5906" s="22">
        <v>20646</v>
      </c>
      <c r="K5906" s="15" t="s">
        <v>7336</v>
      </c>
      <c r="L5906" s="17">
        <v>10</v>
      </c>
      <c r="M5906" s="17">
        <v>200</v>
      </c>
      <c r="N5906" s="17">
        <v>10</v>
      </c>
      <c r="O5906" s="18">
        <v>124.1</v>
      </c>
      <c r="P5906" s="18">
        <v>101.72</v>
      </c>
      <c r="Q5906" s="18">
        <v>115.41</v>
      </c>
      <c r="R5906" s="18">
        <v>94.6</v>
      </c>
      <c r="S5906" s="18">
        <v>84.39</v>
      </c>
      <c r="T5906" s="18">
        <v>69.17</v>
      </c>
      <c r="U5906" s="16"/>
      <c r="V5906" s="16"/>
      <c r="W5906" s="16" t="s">
        <v>40</v>
      </c>
      <c r="X5906" s="19">
        <v>7.5999999999999998E-2</v>
      </c>
      <c r="Y5906" s="20">
        <v>2.63E-4</v>
      </c>
      <c r="Z5906" s="21">
        <v>4660008010652</v>
      </c>
    </row>
    <row r="5907" spans="1:26" ht="12" customHeight="1" outlineLevel="4" x14ac:dyDescent="0.2">
      <c r="A5907" s="14" t="s">
        <v>11410</v>
      </c>
      <c r="B5907" s="26" t="s">
        <v>11411</v>
      </c>
      <c r="C5907" s="52"/>
      <c r="D5907" s="55">
        <f t="shared" si="92"/>
        <v>0</v>
      </c>
      <c r="E5907" s="63" t="str">
        <f>HYPERLINK("https://www.sds-group.ru/product/styazhka-kabelnaya-neylonovaya-200x2-5mm-belaya-100-sht-up-rexant-07-0200-4/", "Инфо")</f>
        <v>Инфо</v>
      </c>
      <c r="F5907" s="16" t="s">
        <v>1001</v>
      </c>
      <c r="G5907" s="15"/>
      <c r="H5907" s="15"/>
      <c r="I5907" s="15"/>
      <c r="J5907" s="22">
        <v>44800</v>
      </c>
      <c r="K5907" s="15" t="s">
        <v>886</v>
      </c>
      <c r="L5907" s="17">
        <v>10</v>
      </c>
      <c r="M5907" s="17">
        <v>200</v>
      </c>
      <c r="N5907" s="17">
        <v>10</v>
      </c>
      <c r="O5907" s="18">
        <v>109.17</v>
      </c>
      <c r="P5907" s="18">
        <v>89.48</v>
      </c>
      <c r="Q5907" s="18">
        <v>101.53</v>
      </c>
      <c r="R5907" s="18">
        <v>83.22</v>
      </c>
      <c r="S5907" s="18">
        <v>74.239999999999995</v>
      </c>
      <c r="T5907" s="18">
        <v>60.85</v>
      </c>
      <c r="U5907" s="16"/>
      <c r="V5907" s="16"/>
      <c r="W5907" s="16" t="s">
        <v>40</v>
      </c>
      <c r="X5907" s="19">
        <v>6.4000000000000001E-2</v>
      </c>
      <c r="Y5907" s="20">
        <v>2.1599999999999999E-4</v>
      </c>
      <c r="Z5907" s="21">
        <v>4610003604219</v>
      </c>
    </row>
    <row r="5908" spans="1:26" ht="12" customHeight="1" outlineLevel="4" x14ac:dyDescent="0.2">
      <c r="A5908" s="14" t="s">
        <v>11412</v>
      </c>
      <c r="B5908" s="26" t="s">
        <v>11413</v>
      </c>
      <c r="C5908" s="52"/>
      <c r="D5908" s="55">
        <f t="shared" si="92"/>
        <v>0</v>
      </c>
      <c r="E5908" s="63" t="str">
        <f>HYPERLINK("https://www.sds-group.ru/product/styazhka-kabelnaya-neylonovaya-200x2-5mm-chernaya-100-sht-up-rexant-07-0201-4/", "Инфо")</f>
        <v>Инфо</v>
      </c>
      <c r="F5908" s="16" t="s">
        <v>1001</v>
      </c>
      <c r="G5908" s="15"/>
      <c r="H5908" s="15"/>
      <c r="I5908" s="15"/>
      <c r="J5908" s="22">
        <v>18396</v>
      </c>
      <c r="K5908" s="15" t="s">
        <v>886</v>
      </c>
      <c r="L5908" s="17">
        <v>10</v>
      </c>
      <c r="M5908" s="17">
        <v>200</v>
      </c>
      <c r="N5908" s="17">
        <v>10</v>
      </c>
      <c r="O5908" s="18">
        <v>109.17</v>
      </c>
      <c r="P5908" s="18">
        <v>89.48</v>
      </c>
      <c r="Q5908" s="18">
        <v>101.53</v>
      </c>
      <c r="R5908" s="18">
        <v>83.22</v>
      </c>
      <c r="S5908" s="18">
        <v>74.239999999999995</v>
      </c>
      <c r="T5908" s="18">
        <v>60.85</v>
      </c>
      <c r="U5908" s="16"/>
      <c r="V5908" s="16"/>
      <c r="W5908" s="16" t="s">
        <v>40</v>
      </c>
      <c r="X5908" s="19">
        <v>6.2E-2</v>
      </c>
      <c r="Y5908" s="20">
        <v>2.24E-4</v>
      </c>
      <c r="Z5908" s="21">
        <v>4610003604226</v>
      </c>
    </row>
    <row r="5909" spans="1:26" ht="12" customHeight="1" outlineLevel="4" x14ac:dyDescent="0.2">
      <c r="A5909" s="14" t="s">
        <v>11414</v>
      </c>
      <c r="B5909" s="26" t="s">
        <v>11415</v>
      </c>
      <c r="C5909" s="52"/>
      <c r="D5909" s="55">
        <f t="shared" si="92"/>
        <v>0</v>
      </c>
      <c r="E5909" s="63" t="str">
        <f>HYPERLINK("https://www.sds-group.ru/product/styazhka-kabelnaya-neylonovaya-200x3-6mm-belaya-100-sht-up-rexant-07-0200/", "Инфо")</f>
        <v>Инфо</v>
      </c>
      <c r="F5909" s="16" t="s">
        <v>1001</v>
      </c>
      <c r="G5909" s="15"/>
      <c r="H5909" s="15"/>
      <c r="I5909" s="15"/>
      <c r="J5909" s="22">
        <v>80796</v>
      </c>
      <c r="K5909" s="15" t="s">
        <v>6930</v>
      </c>
      <c r="L5909" s="17">
        <v>10</v>
      </c>
      <c r="M5909" s="17">
        <v>200</v>
      </c>
      <c r="N5909" s="17">
        <v>10</v>
      </c>
      <c r="O5909" s="18">
        <v>171.02</v>
      </c>
      <c r="P5909" s="18">
        <v>140.18</v>
      </c>
      <c r="Q5909" s="18">
        <v>159.05000000000001</v>
      </c>
      <c r="R5909" s="18">
        <v>130.37</v>
      </c>
      <c r="S5909" s="18">
        <v>116.29</v>
      </c>
      <c r="T5909" s="18">
        <v>95.32</v>
      </c>
      <c r="U5909" s="16"/>
      <c r="V5909" s="16"/>
      <c r="W5909" s="16" t="s">
        <v>40</v>
      </c>
      <c r="X5909" s="19">
        <v>9.5000000000000001E-2</v>
      </c>
      <c r="Y5909" s="20">
        <v>2.99E-4</v>
      </c>
      <c r="Z5909" s="21">
        <v>4610003602949</v>
      </c>
    </row>
    <row r="5910" spans="1:26" ht="12" customHeight="1" outlineLevel="4" x14ac:dyDescent="0.2">
      <c r="A5910" s="14" t="s">
        <v>11416</v>
      </c>
      <c r="B5910" s="26" t="s">
        <v>11417</v>
      </c>
      <c r="C5910" s="52"/>
      <c r="D5910" s="55">
        <f t="shared" si="92"/>
        <v>0</v>
      </c>
      <c r="E5910" s="63" t="str">
        <f>HYPERLINK("https://www.sds-group.ru/product/styazhka-kabelnaya-neylonovaya-200x3-6mm-chernaya-100-sht-up-rexant-07-0201/", "Инфо")</f>
        <v>Инфо</v>
      </c>
      <c r="F5910" s="16" t="s">
        <v>1001</v>
      </c>
      <c r="G5910" s="15"/>
      <c r="H5910" s="15"/>
      <c r="I5910" s="15"/>
      <c r="J5910" s="22">
        <v>98721</v>
      </c>
      <c r="K5910" s="15" t="s">
        <v>6930</v>
      </c>
      <c r="L5910" s="17">
        <v>10</v>
      </c>
      <c r="M5910" s="17">
        <v>200</v>
      </c>
      <c r="N5910" s="17">
        <v>10</v>
      </c>
      <c r="O5910" s="18">
        <v>171.02</v>
      </c>
      <c r="P5910" s="18">
        <v>140.18</v>
      </c>
      <c r="Q5910" s="18">
        <v>159.05000000000001</v>
      </c>
      <c r="R5910" s="18">
        <v>130.37</v>
      </c>
      <c r="S5910" s="18">
        <v>116.29</v>
      </c>
      <c r="T5910" s="18">
        <v>95.32</v>
      </c>
      <c r="U5910" s="16"/>
      <c r="V5910" s="16"/>
      <c r="W5910" s="16" t="s">
        <v>40</v>
      </c>
      <c r="X5910" s="19">
        <v>9.6000000000000002E-2</v>
      </c>
      <c r="Y5910" s="20">
        <v>3.0600000000000001E-4</v>
      </c>
      <c r="Z5910" s="21">
        <v>4610003602956</v>
      </c>
    </row>
    <row r="5911" spans="1:26" ht="12" customHeight="1" outlineLevel="4" x14ac:dyDescent="0.2">
      <c r="A5911" s="14" t="s">
        <v>11418</v>
      </c>
      <c r="B5911" s="26" t="s">
        <v>11419</v>
      </c>
      <c r="C5911" s="52"/>
      <c r="D5911" s="55">
        <f t="shared" si="92"/>
        <v>0</v>
      </c>
      <c r="E5911" s="63" t="str">
        <f>HYPERLINK("https://www.sds-group.ru/product/styazhka-kabelnaya-neylonovaya-200x4-8mm-belaya-100-sht-up-rexant-07-0200-5/", "Инфо")</f>
        <v>Инфо</v>
      </c>
      <c r="F5911" s="16" t="s">
        <v>1001</v>
      </c>
      <c r="G5911" s="15"/>
      <c r="H5911" s="15"/>
      <c r="I5911" s="15"/>
      <c r="J5911" s="22">
        <v>17953</v>
      </c>
      <c r="K5911" s="15" t="s">
        <v>6930</v>
      </c>
      <c r="L5911" s="17">
        <v>10</v>
      </c>
      <c r="M5911" s="17">
        <v>100</v>
      </c>
      <c r="N5911" s="17">
        <v>10</v>
      </c>
      <c r="O5911" s="18">
        <v>227.62</v>
      </c>
      <c r="P5911" s="18">
        <v>186.57</v>
      </c>
      <c r="Q5911" s="18">
        <v>211.69</v>
      </c>
      <c r="R5911" s="18">
        <v>173.52</v>
      </c>
      <c r="S5911" s="18">
        <v>154.78</v>
      </c>
      <c r="T5911" s="18">
        <v>126.87</v>
      </c>
      <c r="U5911" s="16"/>
      <c r="V5911" s="16"/>
      <c r="W5911" s="16" t="s">
        <v>40</v>
      </c>
      <c r="X5911" s="19">
        <v>0.14599999999999999</v>
      </c>
      <c r="Y5911" s="20">
        <v>4.28E-4</v>
      </c>
      <c r="Z5911" s="21">
        <v>4660008010676</v>
      </c>
    </row>
    <row r="5912" spans="1:26" ht="12" customHeight="1" outlineLevel="4" x14ac:dyDescent="0.2">
      <c r="A5912" s="14" t="s">
        <v>11420</v>
      </c>
      <c r="B5912" s="26" t="s">
        <v>11421</v>
      </c>
      <c r="C5912" s="52"/>
      <c r="D5912" s="55">
        <f t="shared" si="92"/>
        <v>0</v>
      </c>
      <c r="E5912" s="63" t="str">
        <f>HYPERLINK("https://www.sds-group.ru/product/styazhka-kabelnaya-neylonovaya-200x4-8mm-chernaya-100-sht-up-rexant-07-0201-5/", "Инфо")</f>
        <v>Инфо</v>
      </c>
      <c r="F5912" s="16" t="s">
        <v>1001</v>
      </c>
      <c r="G5912" s="15"/>
      <c r="H5912" s="15"/>
      <c r="I5912" s="15"/>
      <c r="J5912" s="22">
        <v>36162</v>
      </c>
      <c r="K5912" s="15" t="s">
        <v>6930</v>
      </c>
      <c r="L5912" s="17">
        <v>10</v>
      </c>
      <c r="M5912" s="17">
        <v>100</v>
      </c>
      <c r="N5912" s="17">
        <v>10</v>
      </c>
      <c r="O5912" s="18">
        <v>227.62</v>
      </c>
      <c r="P5912" s="18">
        <v>186.57</v>
      </c>
      <c r="Q5912" s="18">
        <v>211.69</v>
      </c>
      <c r="R5912" s="18">
        <v>173.52</v>
      </c>
      <c r="S5912" s="18">
        <v>154.78</v>
      </c>
      <c r="T5912" s="18">
        <v>126.87</v>
      </c>
      <c r="U5912" s="16"/>
      <c r="V5912" s="16"/>
      <c r="W5912" s="16" t="s">
        <v>40</v>
      </c>
      <c r="X5912" s="19">
        <v>0.13500000000000001</v>
      </c>
      <c r="Y5912" s="20">
        <v>4.08E-4</v>
      </c>
      <c r="Z5912" s="21">
        <v>4660008010683</v>
      </c>
    </row>
    <row r="5913" spans="1:26" ht="12" customHeight="1" outlineLevel="4" x14ac:dyDescent="0.2">
      <c r="A5913" s="14" t="s">
        <v>11422</v>
      </c>
      <c r="B5913" s="26" t="s">
        <v>11423</v>
      </c>
      <c r="C5913" s="52"/>
      <c r="D5913" s="55">
        <f t="shared" si="92"/>
        <v>0</v>
      </c>
      <c r="E5913" s="63" t="str">
        <f>HYPERLINK("https://www.sds-group.ru/product/styazhka-kabelnaya-neylonovaya-200x7-6mm-belaya-100-sht-up-rexant-07-0202/", "Инфо")</f>
        <v>Инфо</v>
      </c>
      <c r="F5913" s="16" t="s">
        <v>1001</v>
      </c>
      <c r="G5913" s="15"/>
      <c r="H5913" s="15"/>
      <c r="I5913" s="15"/>
      <c r="J5913" s="22">
        <v>2207</v>
      </c>
      <c r="K5913" s="15" t="s">
        <v>6930</v>
      </c>
      <c r="L5913" s="17">
        <v>10</v>
      </c>
      <c r="M5913" s="17">
        <v>50</v>
      </c>
      <c r="N5913" s="17">
        <v>10</v>
      </c>
      <c r="O5913" s="18">
        <v>488.96</v>
      </c>
      <c r="P5913" s="18">
        <v>400.79</v>
      </c>
      <c r="Q5913" s="18">
        <v>425.4</v>
      </c>
      <c r="R5913" s="18">
        <v>348.69</v>
      </c>
      <c r="S5913" s="18">
        <v>332.49</v>
      </c>
      <c r="T5913" s="18">
        <v>272.52999999999997</v>
      </c>
      <c r="U5913" s="16"/>
      <c r="V5913" s="16"/>
      <c r="W5913" s="16" t="s">
        <v>40</v>
      </c>
      <c r="X5913" s="19">
        <v>0.28599999999999998</v>
      </c>
      <c r="Y5913" s="20">
        <v>8.6499999999999999E-4</v>
      </c>
      <c r="Z5913" s="21">
        <v>4610003603120</v>
      </c>
    </row>
    <row r="5914" spans="1:26" ht="12" customHeight="1" outlineLevel="4" x14ac:dyDescent="0.2">
      <c r="A5914" s="14" t="s">
        <v>11424</v>
      </c>
      <c r="B5914" s="26" t="s">
        <v>11425</v>
      </c>
      <c r="C5914" s="52"/>
      <c r="D5914" s="55">
        <f t="shared" si="92"/>
        <v>0</v>
      </c>
      <c r="E5914" s="63" t="str">
        <f>HYPERLINK("https://www.sds-group.ru/product/styazhka-kabelnaya-neylonovaya-200x7-6mm-chernaya-100-sht-up-rexant-07-0203/", "Инфо")</f>
        <v>Инфо</v>
      </c>
      <c r="F5914" s="16" t="s">
        <v>1001</v>
      </c>
      <c r="G5914" s="15"/>
      <c r="H5914" s="15"/>
      <c r="I5914" s="15"/>
      <c r="J5914" s="22">
        <v>2762</v>
      </c>
      <c r="K5914" s="15" t="s">
        <v>6930</v>
      </c>
      <c r="L5914" s="17">
        <v>10</v>
      </c>
      <c r="M5914" s="17">
        <v>50</v>
      </c>
      <c r="N5914" s="17">
        <v>10</v>
      </c>
      <c r="O5914" s="18">
        <v>488.96</v>
      </c>
      <c r="P5914" s="18">
        <v>400.79</v>
      </c>
      <c r="Q5914" s="18">
        <v>425.4</v>
      </c>
      <c r="R5914" s="18">
        <v>348.69</v>
      </c>
      <c r="S5914" s="18">
        <v>332.49</v>
      </c>
      <c r="T5914" s="18">
        <v>272.52999999999997</v>
      </c>
      <c r="U5914" s="16"/>
      <c r="V5914" s="16"/>
      <c r="W5914" s="16" t="s">
        <v>40</v>
      </c>
      <c r="X5914" s="19">
        <v>0.28499999999999998</v>
      </c>
      <c r="Y5914" s="20">
        <v>8.4099999999999995E-4</v>
      </c>
      <c r="Z5914" s="21">
        <v>4610003603137</v>
      </c>
    </row>
    <row r="5915" spans="1:26" ht="12" customHeight="1" outlineLevel="4" x14ac:dyDescent="0.2">
      <c r="A5915" s="14" t="s">
        <v>11426</v>
      </c>
      <c r="B5915" s="26" t="s">
        <v>11427</v>
      </c>
      <c r="C5915" s="52"/>
      <c r="D5915" s="55">
        <f t="shared" si="92"/>
        <v>0</v>
      </c>
      <c r="E5915" s="63" t="str">
        <f>HYPERLINK("https://www.sds-group.ru/product/styazhka-kabelnaya-neylonovaya-250x3-6mm-belaya-100-sht-up-rexant-07-0250/", "Инфо")</f>
        <v>Инфо</v>
      </c>
      <c r="F5915" s="16" t="s">
        <v>1001</v>
      </c>
      <c r="G5915" s="15"/>
      <c r="H5915" s="15"/>
      <c r="I5915" s="15"/>
      <c r="J5915" s="22">
        <v>10862</v>
      </c>
      <c r="K5915" s="15" t="s">
        <v>3762</v>
      </c>
      <c r="L5915" s="17">
        <v>10</v>
      </c>
      <c r="M5915" s="17">
        <v>100</v>
      </c>
      <c r="N5915" s="17">
        <v>10</v>
      </c>
      <c r="O5915" s="18">
        <v>220.86</v>
      </c>
      <c r="P5915" s="18">
        <v>181.03</v>
      </c>
      <c r="Q5915" s="18">
        <v>205.4</v>
      </c>
      <c r="R5915" s="18">
        <v>168.36</v>
      </c>
      <c r="S5915" s="18">
        <v>150.18</v>
      </c>
      <c r="T5915" s="18">
        <v>123.1</v>
      </c>
      <c r="U5915" s="16"/>
      <c r="V5915" s="16"/>
      <c r="W5915" s="16" t="s">
        <v>40</v>
      </c>
      <c r="X5915" s="19">
        <v>0.124</v>
      </c>
      <c r="Y5915" s="20">
        <v>4.08E-4</v>
      </c>
      <c r="Z5915" s="21">
        <v>4610003602963</v>
      </c>
    </row>
    <row r="5916" spans="1:26" ht="12" customHeight="1" outlineLevel="4" x14ac:dyDescent="0.2">
      <c r="A5916" s="14" t="s">
        <v>11428</v>
      </c>
      <c r="B5916" s="26" t="s">
        <v>11429</v>
      </c>
      <c r="C5916" s="52"/>
      <c r="D5916" s="55">
        <f t="shared" si="92"/>
        <v>0</v>
      </c>
      <c r="E5916" s="63" t="str">
        <f>HYPERLINK("https://www.sds-group.ru/product/styazhka-kabelnaya-neylonovaya-250x3-6mm-chernaya-100-sht-up-rexant-07-0251/", "Инфо")</f>
        <v>Инфо</v>
      </c>
      <c r="F5916" s="16" t="s">
        <v>1001</v>
      </c>
      <c r="G5916" s="15"/>
      <c r="H5916" s="15"/>
      <c r="I5916" s="15"/>
      <c r="J5916" s="22">
        <v>40971</v>
      </c>
      <c r="K5916" s="15" t="s">
        <v>3762</v>
      </c>
      <c r="L5916" s="17">
        <v>10</v>
      </c>
      <c r="M5916" s="17">
        <v>100</v>
      </c>
      <c r="N5916" s="17">
        <v>10</v>
      </c>
      <c r="O5916" s="18">
        <v>220.86</v>
      </c>
      <c r="P5916" s="18">
        <v>181.03</v>
      </c>
      <c r="Q5916" s="18">
        <v>205.4</v>
      </c>
      <c r="R5916" s="18">
        <v>168.36</v>
      </c>
      <c r="S5916" s="18">
        <v>150.18</v>
      </c>
      <c r="T5916" s="18">
        <v>123.1</v>
      </c>
      <c r="U5916" s="16"/>
      <c r="V5916" s="16"/>
      <c r="W5916" s="16" t="s">
        <v>40</v>
      </c>
      <c r="X5916" s="19">
        <v>0.129</v>
      </c>
      <c r="Y5916" s="20">
        <v>4.0900000000000002E-4</v>
      </c>
      <c r="Z5916" s="21">
        <v>4610003602970</v>
      </c>
    </row>
    <row r="5917" spans="1:26" ht="12" customHeight="1" outlineLevel="4" x14ac:dyDescent="0.2">
      <c r="A5917" s="14" t="s">
        <v>11430</v>
      </c>
      <c r="B5917" s="26" t="s">
        <v>11431</v>
      </c>
      <c r="C5917" s="52"/>
      <c r="D5917" s="55">
        <f t="shared" si="92"/>
        <v>0</v>
      </c>
      <c r="E5917" s="63" t="str">
        <f>HYPERLINK("https://www.sds-group.ru/product/styazhka-kabelnaya-neylonovaya-250x4-8mm-belaya-100-sht-up-rexant-07-0250-5/", "Инфо")</f>
        <v>Инфо</v>
      </c>
      <c r="F5917" s="16" t="s">
        <v>1001</v>
      </c>
      <c r="G5917" s="15"/>
      <c r="H5917" s="15"/>
      <c r="I5917" s="15"/>
      <c r="J5917" s="16" t="s">
        <v>100</v>
      </c>
      <c r="K5917" s="15" t="s">
        <v>3762</v>
      </c>
      <c r="L5917" s="17">
        <v>10</v>
      </c>
      <c r="M5917" s="17">
        <v>100</v>
      </c>
      <c r="N5917" s="17">
        <v>10</v>
      </c>
      <c r="O5917" s="18">
        <v>286.38</v>
      </c>
      <c r="P5917" s="18">
        <v>234.74</v>
      </c>
      <c r="Q5917" s="18">
        <v>266.33</v>
      </c>
      <c r="R5917" s="18">
        <v>218.3</v>
      </c>
      <c r="S5917" s="18">
        <v>194.74</v>
      </c>
      <c r="T5917" s="18">
        <v>159.62</v>
      </c>
      <c r="U5917" s="16"/>
      <c r="V5917" s="16"/>
      <c r="W5917" s="16" t="s">
        <v>40</v>
      </c>
      <c r="X5917" s="19">
        <v>0.185</v>
      </c>
      <c r="Y5917" s="20">
        <v>5.3799999999999996E-4</v>
      </c>
      <c r="Z5917" s="21">
        <v>4660008010690</v>
      </c>
    </row>
    <row r="5918" spans="1:26" ht="12" customHeight="1" outlineLevel="4" x14ac:dyDescent="0.2">
      <c r="A5918" s="14" t="s">
        <v>11432</v>
      </c>
      <c r="B5918" s="26" t="s">
        <v>11433</v>
      </c>
      <c r="C5918" s="52"/>
      <c r="D5918" s="55">
        <f t="shared" si="92"/>
        <v>0</v>
      </c>
      <c r="E5918" s="63" t="str">
        <f>HYPERLINK("https://www.sds-group.ru/product/styazhka-kabelnaya-neylonovaya-250x4-8mm-chernaya-100-sht-up-rexant-07-0251-5/", "Инфо")</f>
        <v>Инфо</v>
      </c>
      <c r="F5918" s="16" t="s">
        <v>1001</v>
      </c>
      <c r="G5918" s="15"/>
      <c r="H5918" s="15"/>
      <c r="I5918" s="15"/>
      <c r="J5918" s="22">
        <v>7519</v>
      </c>
      <c r="K5918" s="15" t="s">
        <v>3762</v>
      </c>
      <c r="L5918" s="17">
        <v>10</v>
      </c>
      <c r="M5918" s="17">
        <v>100</v>
      </c>
      <c r="N5918" s="17">
        <v>10</v>
      </c>
      <c r="O5918" s="18">
        <v>286.38</v>
      </c>
      <c r="P5918" s="18">
        <v>234.74</v>
      </c>
      <c r="Q5918" s="18">
        <v>266.33</v>
      </c>
      <c r="R5918" s="18">
        <v>218.3</v>
      </c>
      <c r="S5918" s="18">
        <v>194.74</v>
      </c>
      <c r="T5918" s="18">
        <v>159.62</v>
      </c>
      <c r="U5918" s="16"/>
      <c r="V5918" s="16"/>
      <c r="W5918" s="16" t="s">
        <v>40</v>
      </c>
      <c r="X5918" s="19">
        <v>0.185</v>
      </c>
      <c r="Y5918" s="20">
        <v>5.4799999999999998E-4</v>
      </c>
      <c r="Z5918" s="21">
        <v>4660008010706</v>
      </c>
    </row>
    <row r="5919" spans="1:26" ht="12" customHeight="1" outlineLevel="4" x14ac:dyDescent="0.2">
      <c r="A5919" s="14" t="s">
        <v>11434</v>
      </c>
      <c r="B5919" s="26" t="s">
        <v>11435</v>
      </c>
      <c r="C5919" s="52"/>
      <c r="D5919" s="55">
        <f t="shared" si="92"/>
        <v>0</v>
      </c>
      <c r="E5919" s="63" t="str">
        <f>HYPERLINK("https://www.sds-group.ru/product/styazhka-kabelnaya-neylonovaya-250x7-6mm-belaya-100-sht-up-rexant-07-0252/", "Инфо")</f>
        <v>Инфо</v>
      </c>
      <c r="F5919" s="16" t="s">
        <v>1001</v>
      </c>
      <c r="G5919" s="15"/>
      <c r="H5919" s="15"/>
      <c r="I5919" s="15"/>
      <c r="J5919" s="17">
        <v>363</v>
      </c>
      <c r="K5919" s="15" t="s">
        <v>3762</v>
      </c>
      <c r="L5919" s="17">
        <v>5</v>
      </c>
      <c r="M5919" s="17">
        <v>60</v>
      </c>
      <c r="N5919" s="17">
        <v>5</v>
      </c>
      <c r="O5919" s="18">
        <v>609.69000000000005</v>
      </c>
      <c r="P5919" s="18">
        <v>499.75</v>
      </c>
      <c r="Q5919" s="18">
        <v>530.42999999999995</v>
      </c>
      <c r="R5919" s="18">
        <v>434.78</v>
      </c>
      <c r="S5919" s="18">
        <v>414.59</v>
      </c>
      <c r="T5919" s="18">
        <v>339.83</v>
      </c>
      <c r="U5919" s="16"/>
      <c r="V5919" s="16"/>
      <c r="W5919" s="16" t="s">
        <v>40</v>
      </c>
      <c r="X5919" s="19">
        <v>0.34399999999999997</v>
      </c>
      <c r="Y5919" s="20">
        <v>9.0399999999999996E-4</v>
      </c>
      <c r="Z5919" s="21">
        <v>4601004119123</v>
      </c>
    </row>
    <row r="5920" spans="1:26" ht="12" customHeight="1" outlineLevel="4" x14ac:dyDescent="0.2">
      <c r="A5920" s="14" t="s">
        <v>11436</v>
      </c>
      <c r="B5920" s="26" t="s">
        <v>11437</v>
      </c>
      <c r="C5920" s="52"/>
      <c r="D5920" s="55">
        <f t="shared" si="92"/>
        <v>0</v>
      </c>
      <c r="E5920" s="63" t="str">
        <f>HYPERLINK("https://www.sds-group.ru/product/styazhka-kabelnaya-neylonovaya-250x7-6mm-chernaya-100-sht-up-rexant-07-0253/", "Инфо")</f>
        <v>Инфо</v>
      </c>
      <c r="F5920" s="16" t="s">
        <v>1001</v>
      </c>
      <c r="G5920" s="15"/>
      <c r="H5920" s="15"/>
      <c r="I5920" s="15"/>
      <c r="J5920" s="16" t="s">
        <v>100</v>
      </c>
      <c r="K5920" s="15" t="s">
        <v>3762</v>
      </c>
      <c r="L5920" s="17">
        <v>5</v>
      </c>
      <c r="M5920" s="17">
        <v>60</v>
      </c>
      <c r="N5920" s="17">
        <v>5</v>
      </c>
      <c r="O5920" s="18">
        <v>609.69000000000005</v>
      </c>
      <c r="P5920" s="18">
        <v>499.75</v>
      </c>
      <c r="Q5920" s="18">
        <v>530.42999999999995</v>
      </c>
      <c r="R5920" s="18">
        <v>434.78</v>
      </c>
      <c r="S5920" s="18">
        <v>414.59</v>
      </c>
      <c r="T5920" s="18">
        <v>339.83</v>
      </c>
      <c r="U5920" s="16"/>
      <c r="V5920" s="16"/>
      <c r="W5920" s="16" t="s">
        <v>40</v>
      </c>
      <c r="X5920" s="19">
        <v>0.34200000000000003</v>
      </c>
      <c r="Y5920" s="20">
        <v>9.4799999999999995E-4</v>
      </c>
      <c r="Z5920" s="21">
        <v>4601004119130</v>
      </c>
    </row>
    <row r="5921" spans="1:26" ht="12" customHeight="1" outlineLevel="4" x14ac:dyDescent="0.2">
      <c r="A5921" s="14" t="s">
        <v>11438</v>
      </c>
      <c r="B5921" s="26" t="s">
        <v>11439</v>
      </c>
      <c r="C5921" s="52"/>
      <c r="D5921" s="55">
        <f t="shared" si="92"/>
        <v>0</v>
      </c>
      <c r="E5921" s="63" t="str">
        <f>HYPERLINK("https://www.sds-group.ru/product/styazhka-kabelnaya-neylonovaya-300x3-6mm-belaya-100-sht-up-rexant-07-0300/", "Инфо")</f>
        <v>Инфо</v>
      </c>
      <c r="F5921" s="16" t="s">
        <v>1001</v>
      </c>
      <c r="G5921" s="15"/>
      <c r="H5921" s="15"/>
      <c r="I5921" s="15"/>
      <c r="J5921" s="22">
        <v>48704</v>
      </c>
      <c r="K5921" s="15" t="s">
        <v>886</v>
      </c>
      <c r="L5921" s="17">
        <v>10</v>
      </c>
      <c r="M5921" s="17">
        <v>100</v>
      </c>
      <c r="N5921" s="17">
        <v>10</v>
      </c>
      <c r="O5921" s="18">
        <v>257.68</v>
      </c>
      <c r="P5921" s="18">
        <v>211.21</v>
      </c>
      <c r="Q5921" s="18">
        <v>239.64</v>
      </c>
      <c r="R5921" s="18">
        <v>196.43</v>
      </c>
      <c r="S5921" s="18">
        <v>175.22</v>
      </c>
      <c r="T5921" s="18">
        <v>143.62</v>
      </c>
      <c r="U5921" s="16"/>
      <c r="V5921" s="16"/>
      <c r="W5921" s="16" t="s">
        <v>40</v>
      </c>
      <c r="X5921" s="19">
        <v>0.14799999999999999</v>
      </c>
      <c r="Y5921" s="20">
        <v>4.66E-4</v>
      </c>
      <c r="Z5921" s="21">
        <v>4610003602987</v>
      </c>
    </row>
    <row r="5922" spans="1:26" ht="12" customHeight="1" outlineLevel="4" x14ac:dyDescent="0.2">
      <c r="A5922" s="14" t="s">
        <v>11440</v>
      </c>
      <c r="B5922" s="26" t="s">
        <v>11441</v>
      </c>
      <c r="C5922" s="52"/>
      <c r="D5922" s="55">
        <f t="shared" si="92"/>
        <v>0</v>
      </c>
      <c r="E5922" s="63" t="str">
        <f>HYPERLINK("https://www.sds-group.ru/product/styazhka-kabelnaya-neylonovaya-300x3-6mm-chernaya-100-sht-up-rexant-07-0301/", "Инфо")</f>
        <v>Инфо</v>
      </c>
      <c r="F5922" s="16" t="s">
        <v>1001</v>
      </c>
      <c r="G5922" s="15"/>
      <c r="H5922" s="15"/>
      <c r="I5922" s="15"/>
      <c r="J5922" s="22">
        <v>43821</v>
      </c>
      <c r="K5922" s="15" t="s">
        <v>3762</v>
      </c>
      <c r="L5922" s="17">
        <v>10</v>
      </c>
      <c r="M5922" s="17">
        <v>100</v>
      </c>
      <c r="N5922" s="17">
        <v>10</v>
      </c>
      <c r="O5922" s="18">
        <v>257.68</v>
      </c>
      <c r="P5922" s="18">
        <v>211.21</v>
      </c>
      <c r="Q5922" s="18">
        <v>239.64</v>
      </c>
      <c r="R5922" s="18">
        <v>196.43</v>
      </c>
      <c r="S5922" s="18">
        <v>175.22</v>
      </c>
      <c r="T5922" s="18">
        <v>143.62</v>
      </c>
      <c r="U5922" s="16"/>
      <c r="V5922" s="16"/>
      <c r="W5922" s="16" t="s">
        <v>40</v>
      </c>
      <c r="X5922" s="19">
        <v>0.14699999999999999</v>
      </c>
      <c r="Y5922" s="20">
        <v>4.95E-4</v>
      </c>
      <c r="Z5922" s="21">
        <v>4610003602994</v>
      </c>
    </row>
    <row r="5923" spans="1:26" ht="12" customHeight="1" outlineLevel="4" x14ac:dyDescent="0.2">
      <c r="A5923" s="14" t="s">
        <v>11442</v>
      </c>
      <c r="B5923" s="26" t="s">
        <v>11443</v>
      </c>
      <c r="C5923" s="52"/>
      <c r="D5923" s="55">
        <f t="shared" si="92"/>
        <v>0</v>
      </c>
      <c r="E5923" s="63" t="str">
        <f>HYPERLINK("https://www.sds-group.ru/product/styazhka-kabelnaya-neylonovaya-300x4-8mm-belaya-100-sht-up-rexant-07-1302/", "Инфо")</f>
        <v>Инфо</v>
      </c>
      <c r="F5923" s="16" t="s">
        <v>1001</v>
      </c>
      <c r="G5923" s="15"/>
      <c r="H5923" s="15"/>
      <c r="I5923" s="15"/>
      <c r="J5923" s="22">
        <v>10819</v>
      </c>
      <c r="K5923" s="15" t="s">
        <v>3762</v>
      </c>
      <c r="L5923" s="17">
        <v>10</v>
      </c>
      <c r="M5923" s="17">
        <v>100</v>
      </c>
      <c r="N5923" s="17">
        <v>10</v>
      </c>
      <c r="O5923" s="18">
        <v>351.88</v>
      </c>
      <c r="P5923" s="18">
        <v>288.43</v>
      </c>
      <c r="Q5923" s="18">
        <v>327.25</v>
      </c>
      <c r="R5923" s="18">
        <v>268.24</v>
      </c>
      <c r="S5923" s="18">
        <v>239.28</v>
      </c>
      <c r="T5923" s="18">
        <v>196.13</v>
      </c>
      <c r="U5923" s="16"/>
      <c r="V5923" s="16"/>
      <c r="W5923" s="16" t="s">
        <v>40</v>
      </c>
      <c r="X5923" s="19">
        <v>0.215</v>
      </c>
      <c r="Y5923" s="20">
        <v>6.0300000000000002E-4</v>
      </c>
      <c r="Z5923" s="21">
        <v>4610003603007</v>
      </c>
    </row>
    <row r="5924" spans="1:26" ht="12" customHeight="1" outlineLevel="4" x14ac:dyDescent="0.2">
      <c r="A5924" s="14" t="s">
        <v>11444</v>
      </c>
      <c r="B5924" s="26" t="s">
        <v>11445</v>
      </c>
      <c r="C5924" s="52"/>
      <c r="D5924" s="55">
        <f t="shared" si="92"/>
        <v>0</v>
      </c>
      <c r="E5924" s="63" t="str">
        <f>HYPERLINK("https://www.sds-group.ru/product/styazhka-kabelnaya-neylonovaya-300x4-8mm-chernaya-100-sht-up-rexant-07-1303/", "Инфо")</f>
        <v>Инфо</v>
      </c>
      <c r="F5924" s="16" t="s">
        <v>1001</v>
      </c>
      <c r="G5924" s="15"/>
      <c r="H5924" s="15"/>
      <c r="I5924" s="15"/>
      <c r="J5924" s="22">
        <v>29968</v>
      </c>
      <c r="K5924" s="15" t="s">
        <v>3762</v>
      </c>
      <c r="L5924" s="17">
        <v>10</v>
      </c>
      <c r="M5924" s="17">
        <v>100</v>
      </c>
      <c r="N5924" s="17">
        <v>10</v>
      </c>
      <c r="O5924" s="18">
        <v>351.88</v>
      </c>
      <c r="P5924" s="18">
        <v>288.43</v>
      </c>
      <c r="Q5924" s="18">
        <v>327.25</v>
      </c>
      <c r="R5924" s="18">
        <v>268.24</v>
      </c>
      <c r="S5924" s="18">
        <v>239.28</v>
      </c>
      <c r="T5924" s="18">
        <v>196.13</v>
      </c>
      <c r="U5924" s="16"/>
      <c r="V5924" s="16"/>
      <c r="W5924" s="16" t="s">
        <v>40</v>
      </c>
      <c r="X5924" s="19">
        <v>0.21099999999999999</v>
      </c>
      <c r="Y5924" s="20">
        <v>6.0899999999999995E-4</v>
      </c>
      <c r="Z5924" s="21">
        <v>4610003603014</v>
      </c>
    </row>
    <row r="5925" spans="1:26" ht="12" customHeight="1" outlineLevel="4" x14ac:dyDescent="0.2">
      <c r="A5925" s="14" t="s">
        <v>11446</v>
      </c>
      <c r="B5925" s="26" t="s">
        <v>11447</v>
      </c>
      <c r="C5925" s="52"/>
      <c r="D5925" s="55">
        <f t="shared" si="92"/>
        <v>0</v>
      </c>
      <c r="E5925" s="63" t="str">
        <f>HYPERLINK("https://www.sds-group.ru/product/styazhka-kabelnaya-neylonovaya-300x7-6mm-belaya-100-sht-up-rexant-07-0302/", "Инфо")</f>
        <v>Инфо</v>
      </c>
      <c r="F5925" s="16" t="s">
        <v>1001</v>
      </c>
      <c r="G5925" s="15"/>
      <c r="H5925" s="15"/>
      <c r="I5925" s="15"/>
      <c r="J5925" s="22">
        <v>2516</v>
      </c>
      <c r="K5925" s="15" t="s">
        <v>7336</v>
      </c>
      <c r="L5925" s="17">
        <v>1</v>
      </c>
      <c r="M5925" s="17">
        <v>50</v>
      </c>
      <c r="N5925" s="17">
        <v>1</v>
      </c>
      <c r="O5925" s="18">
        <v>665.57</v>
      </c>
      <c r="P5925" s="18">
        <v>545.54999999999995</v>
      </c>
      <c r="Q5925" s="18">
        <v>579.04999999999995</v>
      </c>
      <c r="R5925" s="18">
        <v>474.63</v>
      </c>
      <c r="S5925" s="18">
        <v>452.59</v>
      </c>
      <c r="T5925" s="18">
        <v>370.98</v>
      </c>
      <c r="U5925" s="16"/>
      <c r="V5925" s="16"/>
      <c r="W5925" s="16" t="s">
        <v>40</v>
      </c>
      <c r="X5925" s="19">
        <v>0.41099999999999998</v>
      </c>
      <c r="Y5925" s="20">
        <v>1.152E-3</v>
      </c>
      <c r="Z5925" s="21">
        <v>4610003603144</v>
      </c>
    </row>
    <row r="5926" spans="1:26" ht="12" customHeight="1" outlineLevel="4" x14ac:dyDescent="0.2">
      <c r="A5926" s="14" t="s">
        <v>11448</v>
      </c>
      <c r="B5926" s="26" t="s">
        <v>11449</v>
      </c>
      <c r="C5926" s="52"/>
      <c r="D5926" s="55">
        <f t="shared" si="92"/>
        <v>0</v>
      </c>
      <c r="E5926" s="63" t="str">
        <f>HYPERLINK("https://www.sds-group.ru/product/styazhka-kabelnaya-neylonovaya-300x7-6mm-chernaya-100-sht-up-rexant-07-0303/", "Инфо")</f>
        <v>Инфо</v>
      </c>
      <c r="F5926" s="16" t="s">
        <v>1001</v>
      </c>
      <c r="G5926" s="15"/>
      <c r="H5926" s="15"/>
      <c r="I5926" s="15"/>
      <c r="J5926" s="22">
        <v>1611</v>
      </c>
      <c r="K5926" s="15" t="s">
        <v>886</v>
      </c>
      <c r="L5926" s="17">
        <v>1</v>
      </c>
      <c r="M5926" s="17">
        <v>50</v>
      </c>
      <c r="N5926" s="17">
        <v>1</v>
      </c>
      <c r="O5926" s="18">
        <v>665.57</v>
      </c>
      <c r="P5926" s="18">
        <v>545.54999999999995</v>
      </c>
      <c r="Q5926" s="18">
        <v>579.04999999999995</v>
      </c>
      <c r="R5926" s="18">
        <v>474.63</v>
      </c>
      <c r="S5926" s="18">
        <v>452.59</v>
      </c>
      <c r="T5926" s="18">
        <v>370.98</v>
      </c>
      <c r="U5926" s="16"/>
      <c r="V5926" s="16"/>
      <c r="W5926" s="16" t="s">
        <v>40</v>
      </c>
      <c r="X5926" s="19">
        <v>0.42599999999999999</v>
      </c>
      <c r="Y5926" s="20">
        <v>1.16E-3</v>
      </c>
      <c r="Z5926" s="21">
        <v>4610003603151</v>
      </c>
    </row>
    <row r="5927" spans="1:26" ht="12" customHeight="1" outlineLevel="4" x14ac:dyDescent="0.2">
      <c r="A5927" s="14" t="s">
        <v>11450</v>
      </c>
      <c r="B5927" s="26" t="s">
        <v>11451</v>
      </c>
      <c r="C5927" s="52"/>
      <c r="D5927" s="55">
        <f t="shared" si="92"/>
        <v>0</v>
      </c>
      <c r="E5927" s="63" t="str">
        <f>HYPERLINK("https://www.sds-group.ru/product/styazhka-kabelnaya-neylonovaya-350x4-8mm-belaya-100-sht-up-rexant-07-0350/", "Инфо")</f>
        <v>Инфо</v>
      </c>
      <c r="F5927" s="16" t="s">
        <v>1001</v>
      </c>
      <c r="G5927" s="15"/>
      <c r="H5927" s="15"/>
      <c r="I5927" s="15"/>
      <c r="J5927" s="22">
        <v>13787</v>
      </c>
      <c r="K5927" s="15" t="s">
        <v>6930</v>
      </c>
      <c r="L5927" s="17">
        <v>5</v>
      </c>
      <c r="M5927" s="17">
        <v>50</v>
      </c>
      <c r="N5927" s="17">
        <v>5</v>
      </c>
      <c r="O5927" s="18">
        <v>422.79</v>
      </c>
      <c r="P5927" s="18">
        <v>346.55</v>
      </c>
      <c r="Q5927" s="18">
        <v>367.83</v>
      </c>
      <c r="R5927" s="18">
        <v>301.5</v>
      </c>
      <c r="S5927" s="18">
        <v>287.5</v>
      </c>
      <c r="T5927" s="18">
        <v>235.66</v>
      </c>
      <c r="U5927" s="16"/>
      <c r="V5927" s="16"/>
      <c r="W5927" s="16" t="s">
        <v>40</v>
      </c>
      <c r="X5927" s="19">
        <v>0.25</v>
      </c>
      <c r="Y5927" s="20">
        <v>7.0899999999999999E-4</v>
      </c>
      <c r="Z5927" s="21">
        <v>4610003603021</v>
      </c>
    </row>
    <row r="5928" spans="1:26" ht="12" customHeight="1" outlineLevel="4" x14ac:dyDescent="0.2">
      <c r="A5928" s="14" t="s">
        <v>11452</v>
      </c>
      <c r="B5928" s="26" t="s">
        <v>11453</v>
      </c>
      <c r="C5928" s="52"/>
      <c r="D5928" s="55">
        <f t="shared" si="92"/>
        <v>0</v>
      </c>
      <c r="E5928" s="63" t="str">
        <f>HYPERLINK("https://www.sds-group.ru/product/styazhka-kabelnaya-neylonovaya-350x4-8mm-chernaya-100-sht-up-rexant-07-0351/", "Инфо")</f>
        <v>Инфо</v>
      </c>
      <c r="F5928" s="16" t="s">
        <v>1001</v>
      </c>
      <c r="G5928" s="15"/>
      <c r="H5928" s="15"/>
      <c r="I5928" s="15"/>
      <c r="J5928" s="16" t="s">
        <v>100</v>
      </c>
      <c r="K5928" s="15" t="s">
        <v>3762</v>
      </c>
      <c r="L5928" s="17">
        <v>5</v>
      </c>
      <c r="M5928" s="17">
        <v>50</v>
      </c>
      <c r="N5928" s="17">
        <v>5</v>
      </c>
      <c r="O5928" s="18">
        <v>422.79</v>
      </c>
      <c r="P5928" s="18">
        <v>346.55</v>
      </c>
      <c r="Q5928" s="18">
        <v>367.83</v>
      </c>
      <c r="R5928" s="18">
        <v>301.5</v>
      </c>
      <c r="S5928" s="18">
        <v>287.5</v>
      </c>
      <c r="T5928" s="18">
        <v>235.66</v>
      </c>
      <c r="U5928" s="16"/>
      <c r="V5928" s="16"/>
      <c r="W5928" s="16" t="s">
        <v>40</v>
      </c>
      <c r="X5928" s="19">
        <v>0.24399999999999999</v>
      </c>
      <c r="Y5928" s="20">
        <v>7.4899999999999999E-4</v>
      </c>
      <c r="Z5928" s="21">
        <v>4610003603038</v>
      </c>
    </row>
    <row r="5929" spans="1:26" ht="12" customHeight="1" outlineLevel="4" x14ac:dyDescent="0.2">
      <c r="A5929" s="14" t="s">
        <v>11454</v>
      </c>
      <c r="B5929" s="26" t="s">
        <v>11455</v>
      </c>
      <c r="C5929" s="52"/>
      <c r="D5929" s="55">
        <f t="shared" si="92"/>
        <v>0</v>
      </c>
      <c r="E5929" s="63" t="str">
        <f>HYPERLINK("https://www.sds-group.ru/product/styazhka-kabelnaya-neylonovaya-350x7-6mm-belaya-100-sht-up-rexant-07-0352/", "Инфо")</f>
        <v>Инфо</v>
      </c>
      <c r="F5929" s="16" t="s">
        <v>1001</v>
      </c>
      <c r="G5929" s="15"/>
      <c r="H5929" s="15"/>
      <c r="I5929" s="15"/>
      <c r="J5929" s="17">
        <v>656</v>
      </c>
      <c r="K5929" s="15" t="s">
        <v>6020</v>
      </c>
      <c r="L5929" s="17">
        <v>1</v>
      </c>
      <c r="M5929" s="17">
        <v>45</v>
      </c>
      <c r="N5929" s="17">
        <v>1</v>
      </c>
      <c r="O5929" s="18">
        <v>834.79</v>
      </c>
      <c r="P5929" s="18">
        <v>684.25</v>
      </c>
      <c r="Q5929" s="18">
        <v>726.27</v>
      </c>
      <c r="R5929" s="18">
        <v>595.29999999999995</v>
      </c>
      <c r="S5929" s="18">
        <v>567.66</v>
      </c>
      <c r="T5929" s="18">
        <v>465.3</v>
      </c>
      <c r="U5929" s="16"/>
      <c r="V5929" s="16"/>
      <c r="W5929" s="16" t="s">
        <v>40</v>
      </c>
      <c r="X5929" s="19">
        <v>0.47499999999999998</v>
      </c>
      <c r="Y5929" s="20">
        <v>1.315E-3</v>
      </c>
      <c r="Z5929" s="21">
        <v>4601004119147</v>
      </c>
    </row>
    <row r="5930" spans="1:26" ht="12" customHeight="1" outlineLevel="4" x14ac:dyDescent="0.2">
      <c r="A5930" s="14" t="s">
        <v>11456</v>
      </c>
      <c r="B5930" s="26" t="s">
        <v>11457</v>
      </c>
      <c r="C5930" s="52"/>
      <c r="D5930" s="55">
        <f t="shared" si="92"/>
        <v>0</v>
      </c>
      <c r="E5930" s="63" t="str">
        <f>HYPERLINK("https://www.sds-group.ru/product/styazhka-kabelnaya-neylonovaya-350x7-6mm-chernaya-100-sht-up-rexant-07-0353/", "Инфо")</f>
        <v>Инфо</v>
      </c>
      <c r="F5930" s="16" t="s">
        <v>1001</v>
      </c>
      <c r="G5930" s="15"/>
      <c r="H5930" s="15"/>
      <c r="I5930" s="15"/>
      <c r="J5930" s="16" t="s">
        <v>100</v>
      </c>
      <c r="K5930" s="15" t="s">
        <v>3762</v>
      </c>
      <c r="L5930" s="17">
        <v>1</v>
      </c>
      <c r="M5930" s="17">
        <v>45</v>
      </c>
      <c r="N5930" s="17">
        <v>1</v>
      </c>
      <c r="O5930" s="18">
        <v>834.79</v>
      </c>
      <c r="P5930" s="18">
        <v>684.25</v>
      </c>
      <c r="Q5930" s="18">
        <v>726.27</v>
      </c>
      <c r="R5930" s="18">
        <v>595.29999999999995</v>
      </c>
      <c r="S5930" s="18">
        <v>567.66</v>
      </c>
      <c r="T5930" s="18">
        <v>465.3</v>
      </c>
      <c r="U5930" s="16"/>
      <c r="V5930" s="16"/>
      <c r="W5930" s="16" t="s">
        <v>40</v>
      </c>
      <c r="X5930" s="19">
        <v>0.48799999999999999</v>
      </c>
      <c r="Y5930" s="20">
        <v>1.356E-3</v>
      </c>
      <c r="Z5930" s="21">
        <v>4601004119154</v>
      </c>
    </row>
    <row r="5931" spans="1:26" ht="12" customHeight="1" outlineLevel="4" x14ac:dyDescent="0.2">
      <c r="A5931" s="14" t="s">
        <v>11458</v>
      </c>
      <c r="B5931" s="26" t="s">
        <v>11459</v>
      </c>
      <c r="C5931" s="52"/>
      <c r="D5931" s="55">
        <f t="shared" si="92"/>
        <v>0</v>
      </c>
      <c r="E5931" s="63" t="str">
        <f>HYPERLINK("https://www.sds-group.ru/product/styazhka-kabelnaya-neylonovaya-400x4-8mm-belaya-100-sht-up-rexant-07-0400/", "Инфо")</f>
        <v>Инфо</v>
      </c>
      <c r="F5931" s="16" t="s">
        <v>1001</v>
      </c>
      <c r="G5931" s="15"/>
      <c r="H5931" s="15"/>
      <c r="I5931" s="15"/>
      <c r="J5931" s="22">
        <v>13559</v>
      </c>
      <c r="K5931" s="15" t="s">
        <v>7336</v>
      </c>
      <c r="L5931" s="17">
        <v>5</v>
      </c>
      <c r="M5931" s="17">
        <v>50</v>
      </c>
      <c r="N5931" s="17">
        <v>5</v>
      </c>
      <c r="O5931" s="18">
        <v>497.99</v>
      </c>
      <c r="P5931" s="18">
        <v>408.19</v>
      </c>
      <c r="Q5931" s="18">
        <v>433.25</v>
      </c>
      <c r="R5931" s="18">
        <v>355.12</v>
      </c>
      <c r="S5931" s="18">
        <v>338.63</v>
      </c>
      <c r="T5931" s="18">
        <v>277.57</v>
      </c>
      <c r="U5931" s="16"/>
      <c r="V5931" s="16"/>
      <c r="W5931" s="16" t="s">
        <v>40</v>
      </c>
      <c r="X5931" s="19">
        <v>0.28000000000000003</v>
      </c>
      <c r="Y5931" s="20">
        <v>7.7800000000000015E-4</v>
      </c>
      <c r="Z5931" s="21">
        <v>4610003603045</v>
      </c>
    </row>
    <row r="5932" spans="1:26" ht="12" customHeight="1" outlineLevel="4" x14ac:dyDescent="0.2">
      <c r="A5932" s="14" t="s">
        <v>11460</v>
      </c>
      <c r="B5932" s="26" t="s">
        <v>11461</v>
      </c>
      <c r="C5932" s="52"/>
      <c r="D5932" s="55">
        <f t="shared" si="92"/>
        <v>0</v>
      </c>
      <c r="E5932" s="63" t="str">
        <f>HYPERLINK("https://www.sds-group.ru/product/styazhka-kabelnaya-neylonovaya-400x4-8mm-chernaya-100-sht-up-rexant-07-0401/", "Инфо")</f>
        <v>Инфо</v>
      </c>
      <c r="F5932" s="16" t="s">
        <v>1001</v>
      </c>
      <c r="G5932" s="15"/>
      <c r="H5932" s="15"/>
      <c r="I5932" s="15"/>
      <c r="J5932" s="22">
        <v>14248</v>
      </c>
      <c r="K5932" s="15" t="s">
        <v>886</v>
      </c>
      <c r="L5932" s="17">
        <v>5</v>
      </c>
      <c r="M5932" s="17">
        <v>50</v>
      </c>
      <c r="N5932" s="17">
        <v>5</v>
      </c>
      <c r="O5932" s="18">
        <v>497.99</v>
      </c>
      <c r="P5932" s="18">
        <v>408.19</v>
      </c>
      <c r="Q5932" s="18">
        <v>433.25</v>
      </c>
      <c r="R5932" s="18">
        <v>355.12</v>
      </c>
      <c r="S5932" s="18">
        <v>338.63</v>
      </c>
      <c r="T5932" s="18">
        <v>277.57</v>
      </c>
      <c r="U5932" s="16"/>
      <c r="V5932" s="16"/>
      <c r="W5932" s="16" t="s">
        <v>40</v>
      </c>
      <c r="X5932" s="19">
        <v>0.27900000000000003</v>
      </c>
      <c r="Y5932" s="20">
        <v>7.9100000000000004E-4</v>
      </c>
      <c r="Z5932" s="21">
        <v>4610003603052</v>
      </c>
    </row>
    <row r="5933" spans="1:26" ht="12" customHeight="1" outlineLevel="4" x14ac:dyDescent="0.2">
      <c r="A5933" s="14" t="s">
        <v>11462</v>
      </c>
      <c r="B5933" s="26" t="s">
        <v>11463</v>
      </c>
      <c r="C5933" s="52"/>
      <c r="D5933" s="55">
        <f t="shared" si="92"/>
        <v>0</v>
      </c>
      <c r="E5933" s="63" t="str">
        <f>HYPERLINK("https://www.sds-group.ru/product/styazhka-kabelnaya-neylonovaya-400x7-6mm-belaya-100-sht-up-rexant-07-0400-8/", "Инфо")</f>
        <v>Инфо</v>
      </c>
      <c r="F5933" s="16" t="s">
        <v>1001</v>
      </c>
      <c r="G5933" s="15"/>
      <c r="H5933" s="15"/>
      <c r="I5933" s="15"/>
      <c r="J5933" s="22">
        <v>1495</v>
      </c>
      <c r="K5933" s="15" t="s">
        <v>886</v>
      </c>
      <c r="L5933" s="17">
        <v>1</v>
      </c>
      <c r="M5933" s="17">
        <v>25</v>
      </c>
      <c r="N5933" s="17">
        <v>1</v>
      </c>
      <c r="O5933" s="18">
        <v>916.92</v>
      </c>
      <c r="P5933" s="18">
        <v>751.57</v>
      </c>
      <c r="Q5933" s="18">
        <v>797.72</v>
      </c>
      <c r="R5933" s="18">
        <v>653.87</v>
      </c>
      <c r="S5933" s="18">
        <v>623.51</v>
      </c>
      <c r="T5933" s="18">
        <v>511.07</v>
      </c>
      <c r="U5933" s="16"/>
      <c r="V5933" s="16"/>
      <c r="W5933" s="16" t="s">
        <v>40</v>
      </c>
      <c r="X5933" s="19">
        <v>0.54900000000000004</v>
      </c>
      <c r="Y5933" s="20">
        <v>1.6590000000000001E-3</v>
      </c>
      <c r="Z5933" s="21">
        <v>4660008010713</v>
      </c>
    </row>
    <row r="5934" spans="1:26" ht="12" customHeight="1" outlineLevel="4" x14ac:dyDescent="0.2">
      <c r="A5934" s="14" t="s">
        <v>11464</v>
      </c>
      <c r="B5934" s="26" t="s">
        <v>11465</v>
      </c>
      <c r="C5934" s="52"/>
      <c r="D5934" s="55">
        <f t="shared" si="92"/>
        <v>0</v>
      </c>
      <c r="E5934" s="63" t="str">
        <f>HYPERLINK("https://www.sds-group.ru/product/styazhka-kabelnaya-neylonovaya-400x7-6mm-chernaya-100-sht-up-rexant-07-0401-8/", "Инфо")</f>
        <v>Инфо</v>
      </c>
      <c r="F5934" s="16" t="s">
        <v>1001</v>
      </c>
      <c r="G5934" s="15"/>
      <c r="H5934" s="15"/>
      <c r="I5934" s="15"/>
      <c r="J5934" s="22">
        <v>8868</v>
      </c>
      <c r="K5934" s="15" t="s">
        <v>6930</v>
      </c>
      <c r="L5934" s="17">
        <v>1</v>
      </c>
      <c r="M5934" s="17">
        <v>25</v>
      </c>
      <c r="N5934" s="17">
        <v>1</v>
      </c>
      <c r="O5934" s="18">
        <v>916.92</v>
      </c>
      <c r="P5934" s="18">
        <v>751.57</v>
      </c>
      <c r="Q5934" s="18">
        <v>797.72</v>
      </c>
      <c r="R5934" s="18">
        <v>653.87</v>
      </c>
      <c r="S5934" s="18">
        <v>623.51</v>
      </c>
      <c r="T5934" s="18">
        <v>511.07</v>
      </c>
      <c r="U5934" s="16"/>
      <c r="V5934" s="16"/>
      <c r="W5934" s="16" t="s">
        <v>40</v>
      </c>
      <c r="X5934" s="19">
        <v>0.54300000000000004</v>
      </c>
      <c r="Y5934" s="20">
        <v>1.663E-3</v>
      </c>
      <c r="Z5934" s="21">
        <v>4660008010720</v>
      </c>
    </row>
    <row r="5935" spans="1:26" ht="12" customHeight="1" outlineLevel="4" x14ac:dyDescent="0.2">
      <c r="A5935" s="14" t="s">
        <v>11466</v>
      </c>
      <c r="B5935" s="26" t="s">
        <v>11467</v>
      </c>
      <c r="C5935" s="52"/>
      <c r="D5935" s="55">
        <f t="shared" si="92"/>
        <v>0</v>
      </c>
      <c r="E5935" s="63" t="str">
        <f>HYPERLINK("https://www.sds-group.ru/product/styazhka-kabelnaya-neylonovaya-450x4-8mm-belaya-100-sht-up-rexant-07-0450-5/", "Инфо")</f>
        <v>Инфо</v>
      </c>
      <c r="F5935" s="16" t="s">
        <v>1001</v>
      </c>
      <c r="G5935" s="15"/>
      <c r="H5935" s="15"/>
      <c r="I5935" s="15"/>
      <c r="J5935" s="17">
        <v>819</v>
      </c>
      <c r="K5935" s="15" t="s">
        <v>6930</v>
      </c>
      <c r="L5935" s="17">
        <v>5</v>
      </c>
      <c r="M5935" s="17">
        <v>50</v>
      </c>
      <c r="N5935" s="17">
        <v>5</v>
      </c>
      <c r="O5935" s="18">
        <v>584.38</v>
      </c>
      <c r="P5935" s="18">
        <v>479</v>
      </c>
      <c r="Q5935" s="18">
        <v>508.41</v>
      </c>
      <c r="R5935" s="18">
        <v>416.73</v>
      </c>
      <c r="S5935" s="18">
        <v>397.38</v>
      </c>
      <c r="T5935" s="18">
        <v>325.72000000000003</v>
      </c>
      <c r="U5935" s="16"/>
      <c r="V5935" s="16"/>
      <c r="W5935" s="16" t="s">
        <v>40</v>
      </c>
      <c r="X5935" s="19">
        <v>0.32500000000000001</v>
      </c>
      <c r="Y5935" s="20">
        <v>9.810000000000001E-4</v>
      </c>
      <c r="Z5935" s="21">
        <v>4660008010737</v>
      </c>
    </row>
    <row r="5936" spans="1:26" ht="12" customHeight="1" outlineLevel="4" x14ac:dyDescent="0.2">
      <c r="A5936" s="14" t="s">
        <v>11468</v>
      </c>
      <c r="B5936" s="26" t="s">
        <v>11469</v>
      </c>
      <c r="C5936" s="52"/>
      <c r="D5936" s="55">
        <f t="shared" si="92"/>
        <v>0</v>
      </c>
      <c r="E5936" s="63" t="str">
        <f>HYPERLINK("https://www.sds-group.ru/product/styazhka-kabelnaya-neylonovaya-450x4-8mm-chernaya-100-sht-up-rexant-07-0451-5/", "Инфо")</f>
        <v>Инфо</v>
      </c>
      <c r="F5936" s="16" t="s">
        <v>1001</v>
      </c>
      <c r="G5936" s="15"/>
      <c r="H5936" s="15"/>
      <c r="I5936" s="15"/>
      <c r="J5936" s="17">
        <v>274</v>
      </c>
      <c r="K5936" s="15" t="s">
        <v>886</v>
      </c>
      <c r="L5936" s="17">
        <v>5</v>
      </c>
      <c r="M5936" s="17">
        <v>50</v>
      </c>
      <c r="N5936" s="17">
        <v>5</v>
      </c>
      <c r="O5936" s="18">
        <v>584.38</v>
      </c>
      <c r="P5936" s="18">
        <v>479</v>
      </c>
      <c r="Q5936" s="18">
        <v>508.41</v>
      </c>
      <c r="R5936" s="18">
        <v>416.73</v>
      </c>
      <c r="S5936" s="18">
        <v>397.38</v>
      </c>
      <c r="T5936" s="18">
        <v>325.72000000000003</v>
      </c>
      <c r="U5936" s="16"/>
      <c r="V5936" s="16"/>
      <c r="W5936" s="16" t="s">
        <v>40</v>
      </c>
      <c r="X5936" s="19">
        <v>0.32</v>
      </c>
      <c r="Y5936" s="20">
        <v>9.4899999999999997E-4</v>
      </c>
      <c r="Z5936" s="21">
        <v>4660008010751</v>
      </c>
    </row>
    <row r="5937" spans="1:26" ht="12" customHeight="1" outlineLevel="4" x14ac:dyDescent="0.2">
      <c r="A5937" s="14" t="s">
        <v>11470</v>
      </c>
      <c r="B5937" s="26" t="s">
        <v>11471</v>
      </c>
      <c r="C5937" s="52"/>
      <c r="D5937" s="55">
        <f t="shared" si="92"/>
        <v>0</v>
      </c>
      <c r="E5937" s="63" t="str">
        <f>HYPERLINK("https://www.sds-group.ru/product/styazhka-kabelnaya-neylonovaya-450x7-6mm-belaya-100-sht-up-rexant-07-0450-8/", "Инфо")</f>
        <v>Инфо</v>
      </c>
      <c r="F5937" s="16" t="s">
        <v>1001</v>
      </c>
      <c r="G5937" s="15"/>
      <c r="H5937" s="15"/>
      <c r="I5937" s="15"/>
      <c r="J5937" s="22">
        <v>1284</v>
      </c>
      <c r="K5937" s="15"/>
      <c r="L5937" s="17">
        <v>1</v>
      </c>
      <c r="M5937" s="17">
        <v>25</v>
      </c>
      <c r="N5937" s="17">
        <v>1</v>
      </c>
      <c r="O5937" s="18">
        <v>1005.01</v>
      </c>
      <c r="P5937" s="18">
        <v>823.78</v>
      </c>
      <c r="Q5937" s="18">
        <v>874.36</v>
      </c>
      <c r="R5937" s="18">
        <v>716.69</v>
      </c>
      <c r="S5937" s="18">
        <v>683.41</v>
      </c>
      <c r="T5937" s="18">
        <v>560.16999999999996</v>
      </c>
      <c r="U5937" s="16"/>
      <c r="V5937" s="16"/>
      <c r="W5937" s="16" t="s">
        <v>40</v>
      </c>
      <c r="X5937" s="19">
        <v>0.59</v>
      </c>
      <c r="Y5937" s="20">
        <v>1.6850000000000001E-3</v>
      </c>
      <c r="Z5937" s="21">
        <v>4660008010744</v>
      </c>
    </row>
    <row r="5938" spans="1:26" ht="12" customHeight="1" outlineLevel="4" x14ac:dyDescent="0.2">
      <c r="A5938" s="14" t="s">
        <v>11472</v>
      </c>
      <c r="B5938" s="26" t="s">
        <v>11473</v>
      </c>
      <c r="C5938" s="52"/>
      <c r="D5938" s="55">
        <f t="shared" si="92"/>
        <v>0</v>
      </c>
      <c r="E5938" s="63" t="str">
        <f>HYPERLINK("https://www.sds-group.ru/product/styazhka-kabelnaya-neylonovaya-450x7-6mm-chernaya-100-sht-up-rexant-07-0451-8/", "Инфо")</f>
        <v>Инфо</v>
      </c>
      <c r="F5938" s="16" t="s">
        <v>1001</v>
      </c>
      <c r="G5938" s="15"/>
      <c r="H5938" s="15"/>
      <c r="I5938" s="15"/>
      <c r="J5938" s="22">
        <v>1907</v>
      </c>
      <c r="K5938" s="15" t="s">
        <v>7336</v>
      </c>
      <c r="L5938" s="17">
        <v>1</v>
      </c>
      <c r="M5938" s="17">
        <v>25</v>
      </c>
      <c r="N5938" s="17">
        <v>1</v>
      </c>
      <c r="O5938" s="18">
        <v>1005.01</v>
      </c>
      <c r="P5938" s="18">
        <v>823.78</v>
      </c>
      <c r="Q5938" s="18">
        <v>874.36</v>
      </c>
      <c r="R5938" s="18">
        <v>716.69</v>
      </c>
      <c r="S5938" s="18">
        <v>683.41</v>
      </c>
      <c r="T5938" s="18">
        <v>560.16999999999996</v>
      </c>
      <c r="U5938" s="16"/>
      <c r="V5938" s="16"/>
      <c r="W5938" s="16" t="s">
        <v>40</v>
      </c>
      <c r="X5938" s="19">
        <v>0.59499999999999997</v>
      </c>
      <c r="Y5938" s="20">
        <v>1.7650000000000001E-3</v>
      </c>
      <c r="Z5938" s="21">
        <v>4660008010768</v>
      </c>
    </row>
    <row r="5939" spans="1:26" ht="12" customHeight="1" outlineLevel="4" x14ac:dyDescent="0.2">
      <c r="A5939" s="14" t="s">
        <v>11474</v>
      </c>
      <c r="B5939" s="26" t="s">
        <v>11475</v>
      </c>
      <c r="C5939" s="52"/>
      <c r="D5939" s="55">
        <f t="shared" si="92"/>
        <v>0</v>
      </c>
      <c r="E5939" s="63" t="str">
        <f>HYPERLINK("https://www.sds-group.ru/product/styazhka-kabelnaya-neylonovaya-500x4-8mm-belaya-100-sht-up-rexant-07-0500/", "Инфо")</f>
        <v>Инфо</v>
      </c>
      <c r="F5939" s="16" t="s">
        <v>1001</v>
      </c>
      <c r="G5939" s="15"/>
      <c r="H5939" s="15"/>
      <c r="I5939" s="15"/>
      <c r="J5939" s="22">
        <v>1504</v>
      </c>
      <c r="K5939" s="15" t="s">
        <v>886</v>
      </c>
      <c r="L5939" s="17">
        <v>1</v>
      </c>
      <c r="M5939" s="17">
        <v>50</v>
      </c>
      <c r="N5939" s="17">
        <v>1</v>
      </c>
      <c r="O5939" s="18">
        <v>656.94</v>
      </c>
      <c r="P5939" s="18">
        <v>538.48</v>
      </c>
      <c r="Q5939" s="18">
        <v>571.54</v>
      </c>
      <c r="R5939" s="18">
        <v>468.48</v>
      </c>
      <c r="S5939" s="18">
        <v>446.72</v>
      </c>
      <c r="T5939" s="18">
        <v>366.16</v>
      </c>
      <c r="U5939" s="16"/>
      <c r="V5939" s="16"/>
      <c r="W5939" s="16" t="s">
        <v>40</v>
      </c>
      <c r="X5939" s="19">
        <v>0.36599999999999999</v>
      </c>
      <c r="Y5939" s="20">
        <v>1.044E-3</v>
      </c>
      <c r="Z5939" s="21">
        <v>4610003603069</v>
      </c>
    </row>
    <row r="5940" spans="1:26" ht="12" customHeight="1" outlineLevel="4" x14ac:dyDescent="0.2">
      <c r="A5940" s="14" t="s">
        <v>11476</v>
      </c>
      <c r="B5940" s="26" t="s">
        <v>11477</v>
      </c>
      <c r="C5940" s="52"/>
      <c r="D5940" s="55">
        <f t="shared" si="92"/>
        <v>0</v>
      </c>
      <c r="E5940" s="63" t="str">
        <f>HYPERLINK("https://www.sds-group.ru/product/styazhka-kabelnaya-neylonovaya-500x4-8mm-chernaya-100-sht-up-rexant-07-0501/", "Инфо")</f>
        <v>Инфо</v>
      </c>
      <c r="F5940" s="16" t="s">
        <v>1001</v>
      </c>
      <c r="G5940" s="15"/>
      <c r="H5940" s="15"/>
      <c r="I5940" s="15"/>
      <c r="J5940" s="17">
        <v>885</v>
      </c>
      <c r="K5940" s="15" t="s">
        <v>3762</v>
      </c>
      <c r="L5940" s="17">
        <v>1</v>
      </c>
      <c r="M5940" s="17">
        <v>50</v>
      </c>
      <c r="N5940" s="17">
        <v>1</v>
      </c>
      <c r="O5940" s="18">
        <v>656.94</v>
      </c>
      <c r="P5940" s="18">
        <v>538.48</v>
      </c>
      <c r="Q5940" s="18">
        <v>571.54</v>
      </c>
      <c r="R5940" s="18">
        <v>468.48</v>
      </c>
      <c r="S5940" s="18">
        <v>446.72</v>
      </c>
      <c r="T5940" s="18">
        <v>366.16</v>
      </c>
      <c r="U5940" s="16"/>
      <c r="V5940" s="16"/>
      <c r="W5940" s="16" t="s">
        <v>40</v>
      </c>
      <c r="X5940" s="19">
        <v>0.372</v>
      </c>
      <c r="Y5940" s="20">
        <v>1.059E-3</v>
      </c>
      <c r="Z5940" s="21">
        <v>4610003603076</v>
      </c>
    </row>
    <row r="5941" spans="1:26" ht="12" customHeight="1" outlineLevel="4" x14ac:dyDescent="0.2">
      <c r="A5941" s="14" t="s">
        <v>11478</v>
      </c>
      <c r="B5941" s="26" t="s">
        <v>11479</v>
      </c>
      <c r="C5941" s="52"/>
      <c r="D5941" s="55">
        <f t="shared" si="92"/>
        <v>0</v>
      </c>
      <c r="E5941" s="63" t="str">
        <f>HYPERLINK("https://www.sds-group.ru/product/styazhka-kabelnaya-neylonovaya-500x7-6mm-belaya-100-sht-up-rexant-07-0502/", "Инфо")</f>
        <v>Инфо</v>
      </c>
      <c r="F5941" s="16" t="s">
        <v>1001</v>
      </c>
      <c r="G5941" s="15"/>
      <c r="H5941" s="15"/>
      <c r="I5941" s="15"/>
      <c r="J5941" s="22">
        <v>2077</v>
      </c>
      <c r="K5941" s="15" t="s">
        <v>3762</v>
      </c>
      <c r="L5941" s="17">
        <v>1</v>
      </c>
      <c r="M5941" s="17">
        <v>25</v>
      </c>
      <c r="N5941" s="17">
        <v>1</v>
      </c>
      <c r="O5941" s="18">
        <v>1104.69</v>
      </c>
      <c r="P5941" s="18">
        <v>905.48</v>
      </c>
      <c r="Q5941" s="18">
        <v>961.08</v>
      </c>
      <c r="R5941" s="18">
        <v>787.77</v>
      </c>
      <c r="S5941" s="18">
        <v>751.19</v>
      </c>
      <c r="T5941" s="18">
        <v>615.73</v>
      </c>
      <c r="U5941" s="16"/>
      <c r="V5941" s="16"/>
      <c r="W5941" s="16" t="s">
        <v>40</v>
      </c>
      <c r="X5941" s="19">
        <v>0.66900000000000004</v>
      </c>
      <c r="Y5941" s="20">
        <v>2.0449999999999999E-3</v>
      </c>
      <c r="Z5941" s="21">
        <v>4610003603168</v>
      </c>
    </row>
    <row r="5942" spans="1:26" ht="12" customHeight="1" outlineLevel="4" x14ac:dyDescent="0.2">
      <c r="A5942" s="14" t="s">
        <v>11480</v>
      </c>
      <c r="B5942" s="26" t="s">
        <v>11481</v>
      </c>
      <c r="C5942" s="52"/>
      <c r="D5942" s="55">
        <f t="shared" si="92"/>
        <v>0</v>
      </c>
      <c r="E5942" s="63" t="str">
        <f>HYPERLINK("https://www.sds-group.ru/product/styazhka-kabelnaya-neylonovaya-500x7-6mm-chernaya-100-sht-up-rexant-07-0503/", "Инфо")</f>
        <v>Инфо</v>
      </c>
      <c r="F5942" s="16" t="s">
        <v>1001</v>
      </c>
      <c r="G5942" s="15"/>
      <c r="H5942" s="15"/>
      <c r="I5942" s="15"/>
      <c r="J5942" s="22">
        <v>7386</v>
      </c>
      <c r="K5942" s="15" t="s">
        <v>6930</v>
      </c>
      <c r="L5942" s="17">
        <v>1</v>
      </c>
      <c r="M5942" s="17">
        <v>25</v>
      </c>
      <c r="N5942" s="17">
        <v>1</v>
      </c>
      <c r="O5942" s="18">
        <v>1104.69</v>
      </c>
      <c r="P5942" s="18">
        <v>905.48</v>
      </c>
      <c r="Q5942" s="18">
        <v>961.08</v>
      </c>
      <c r="R5942" s="18">
        <v>787.77</v>
      </c>
      <c r="S5942" s="18">
        <v>751.19</v>
      </c>
      <c r="T5942" s="18">
        <v>615.73</v>
      </c>
      <c r="U5942" s="16"/>
      <c r="V5942" s="16"/>
      <c r="W5942" s="16" t="s">
        <v>40</v>
      </c>
      <c r="X5942" s="19">
        <v>0.66500000000000004</v>
      </c>
      <c r="Y5942" s="20">
        <v>2.1870000000000001E-3</v>
      </c>
      <c r="Z5942" s="21">
        <v>4610003603175</v>
      </c>
    </row>
    <row r="5943" spans="1:26" ht="12" customHeight="1" outlineLevel="4" x14ac:dyDescent="0.2">
      <c r="A5943" s="14" t="s">
        <v>11482</v>
      </c>
      <c r="B5943" s="26" t="s">
        <v>11483</v>
      </c>
      <c r="C5943" s="52"/>
      <c r="D5943" s="55">
        <f t="shared" si="92"/>
        <v>0</v>
      </c>
      <c r="E5943" s="63" t="str">
        <f>HYPERLINK("https://www.sds-group.ru/product/styazhka-kabelnaya-neylonovaya-600x7-6mm-belaya-100-sht-up-rexant-07-0600-9/", "Инфо")</f>
        <v>Инфо</v>
      </c>
      <c r="F5943" s="16" t="s">
        <v>1001</v>
      </c>
      <c r="G5943" s="15"/>
      <c r="H5943" s="15"/>
      <c r="I5943" s="15"/>
      <c r="J5943" s="17">
        <v>888</v>
      </c>
      <c r="K5943" s="15" t="s">
        <v>6930</v>
      </c>
      <c r="L5943" s="17">
        <v>1</v>
      </c>
      <c r="M5943" s="17">
        <v>20</v>
      </c>
      <c r="N5943" s="17">
        <v>1</v>
      </c>
      <c r="O5943" s="18">
        <v>1638.11</v>
      </c>
      <c r="P5943" s="18">
        <v>1342.71</v>
      </c>
      <c r="Q5943" s="18">
        <v>1408.77</v>
      </c>
      <c r="R5943" s="18">
        <v>1154.73</v>
      </c>
      <c r="S5943" s="18">
        <v>1113.9100000000001</v>
      </c>
      <c r="T5943" s="18">
        <v>913.04</v>
      </c>
      <c r="U5943" s="16"/>
      <c r="V5943" s="16"/>
      <c r="W5943" s="16" t="s">
        <v>40</v>
      </c>
      <c r="X5943" s="19">
        <v>0.84</v>
      </c>
      <c r="Y5943" s="20">
        <v>2.2330000000000002E-3</v>
      </c>
      <c r="Z5943" s="21">
        <v>4601004119161</v>
      </c>
    </row>
    <row r="5944" spans="1:26" ht="12" customHeight="1" outlineLevel="4" x14ac:dyDescent="0.2">
      <c r="A5944" s="14" t="s">
        <v>11484</v>
      </c>
      <c r="B5944" s="26" t="s">
        <v>11485</v>
      </c>
      <c r="C5944" s="52"/>
      <c r="D5944" s="55">
        <f t="shared" si="92"/>
        <v>0</v>
      </c>
      <c r="E5944" s="63" t="str">
        <f>HYPERLINK("https://www.sds-group.ru/product/styazhka-kabelnaya-neylonovaya-600x7-6mm-chernaya-100-sht-up-rexant-07-0601-9/", "Инфо")</f>
        <v>Инфо</v>
      </c>
      <c r="F5944" s="16" t="s">
        <v>1001</v>
      </c>
      <c r="G5944" s="15"/>
      <c r="H5944" s="15"/>
      <c r="I5944" s="15"/>
      <c r="J5944" s="22">
        <v>1876</v>
      </c>
      <c r="K5944" s="15" t="s">
        <v>6521</v>
      </c>
      <c r="L5944" s="17">
        <v>1</v>
      </c>
      <c r="M5944" s="17">
        <v>20</v>
      </c>
      <c r="N5944" s="17">
        <v>1</v>
      </c>
      <c r="O5944" s="18">
        <v>1638.11</v>
      </c>
      <c r="P5944" s="18">
        <v>1342.71</v>
      </c>
      <c r="Q5944" s="18">
        <v>1408.77</v>
      </c>
      <c r="R5944" s="18">
        <v>1154.73</v>
      </c>
      <c r="S5944" s="18">
        <v>1113.9100000000001</v>
      </c>
      <c r="T5944" s="18">
        <v>913.04</v>
      </c>
      <c r="U5944" s="16"/>
      <c r="V5944" s="16"/>
      <c r="W5944" s="16" t="s">
        <v>40</v>
      </c>
      <c r="X5944" s="19">
        <v>0.84199999999999997</v>
      </c>
      <c r="Y5944" s="20">
        <v>2.3449999999999999E-3</v>
      </c>
      <c r="Z5944" s="21">
        <v>4601004119178</v>
      </c>
    </row>
    <row r="5945" spans="1:26" ht="12" customHeight="1" outlineLevel="4" x14ac:dyDescent="0.2">
      <c r="A5945" s="14" t="s">
        <v>11486</v>
      </c>
      <c r="B5945" s="26" t="s">
        <v>11487</v>
      </c>
      <c r="C5945" s="52"/>
      <c r="D5945" s="55">
        <f t="shared" si="92"/>
        <v>0</v>
      </c>
      <c r="E5945" s="63" t="str">
        <f>HYPERLINK("https://www.sds-group.ru/product/styazhka-kabelnaya-neylonovaya-60x2-5mm-belaya-100-sht-up-rexant-07-0060/", "Инфо")</f>
        <v>Инфо</v>
      </c>
      <c r="F5945" s="16" t="s">
        <v>1001</v>
      </c>
      <c r="G5945" s="15"/>
      <c r="H5945" s="15"/>
      <c r="I5945" s="15"/>
      <c r="J5945" s="16" t="s">
        <v>100</v>
      </c>
      <c r="K5945" s="15" t="s">
        <v>3762</v>
      </c>
      <c r="L5945" s="17">
        <v>10</v>
      </c>
      <c r="M5945" s="17">
        <v>500</v>
      </c>
      <c r="N5945" s="17">
        <v>10</v>
      </c>
      <c r="O5945" s="18">
        <v>38.130000000000003</v>
      </c>
      <c r="P5945" s="18">
        <v>31.25</v>
      </c>
      <c r="Q5945" s="18">
        <v>35.46</v>
      </c>
      <c r="R5945" s="18">
        <v>29.07</v>
      </c>
      <c r="S5945" s="18">
        <v>25.93</v>
      </c>
      <c r="T5945" s="18">
        <v>21.25</v>
      </c>
      <c r="U5945" s="16"/>
      <c r="V5945" s="16"/>
      <c r="W5945" s="16" t="s">
        <v>40</v>
      </c>
      <c r="X5945" s="19">
        <v>2.3E-2</v>
      </c>
      <c r="Y5945" s="20">
        <v>1.1400000000000001E-4</v>
      </c>
      <c r="Z5945" s="21">
        <v>4610003602840</v>
      </c>
    </row>
    <row r="5946" spans="1:26" ht="12" customHeight="1" outlineLevel="4" x14ac:dyDescent="0.2">
      <c r="A5946" s="14" t="s">
        <v>11488</v>
      </c>
      <c r="B5946" s="26" t="s">
        <v>11489</v>
      </c>
      <c r="C5946" s="52"/>
      <c r="D5946" s="55">
        <f t="shared" si="92"/>
        <v>0</v>
      </c>
      <c r="E5946" s="63" t="str">
        <f>HYPERLINK("https://www.sds-group.ru/product/styazhka-kabelnaya-neylonovaya-60x2-5mm-chernaya-100-sht-up-rexant-07-0061/", "Инфо")</f>
        <v>Инфо</v>
      </c>
      <c r="F5946" s="16" t="s">
        <v>1001</v>
      </c>
      <c r="G5946" s="15"/>
      <c r="H5946" s="15"/>
      <c r="I5946" s="15"/>
      <c r="J5946" s="16" t="s">
        <v>100</v>
      </c>
      <c r="K5946" s="15" t="s">
        <v>3762</v>
      </c>
      <c r="L5946" s="17">
        <v>50</v>
      </c>
      <c r="M5946" s="17">
        <v>500</v>
      </c>
      <c r="N5946" s="17">
        <v>50</v>
      </c>
      <c r="O5946" s="18">
        <v>38.130000000000003</v>
      </c>
      <c r="P5946" s="18">
        <v>31.25</v>
      </c>
      <c r="Q5946" s="18">
        <v>35.46</v>
      </c>
      <c r="R5946" s="18">
        <v>29.07</v>
      </c>
      <c r="S5946" s="18">
        <v>25.93</v>
      </c>
      <c r="T5946" s="18">
        <v>21.25</v>
      </c>
      <c r="U5946" s="16"/>
      <c r="V5946" s="16"/>
      <c r="W5946" s="16" t="s">
        <v>40</v>
      </c>
      <c r="X5946" s="19">
        <v>2.3E-2</v>
      </c>
      <c r="Y5946" s="20">
        <v>1.1E-4</v>
      </c>
      <c r="Z5946" s="21">
        <v>4610003602857</v>
      </c>
    </row>
    <row r="5947" spans="1:26" ht="12" customHeight="1" outlineLevel="4" x14ac:dyDescent="0.2">
      <c r="A5947" s="14" t="s">
        <v>11490</v>
      </c>
      <c r="B5947" s="26" t="s">
        <v>11491</v>
      </c>
      <c r="C5947" s="52"/>
      <c r="D5947" s="55">
        <f t="shared" si="92"/>
        <v>0</v>
      </c>
      <c r="E5947" s="63" t="str">
        <f>HYPERLINK("https://www.sds-group.ru/product/styazhka-kabelnaya-neylonovaya-700x9-0mm-belaya-100-sht-up-rexant-07-0700-9/", "Инфо")</f>
        <v>Инфо</v>
      </c>
      <c r="F5947" s="16" t="s">
        <v>1001</v>
      </c>
      <c r="G5947" s="15"/>
      <c r="H5947" s="15"/>
      <c r="I5947" s="15"/>
      <c r="J5947" s="16" t="s">
        <v>100</v>
      </c>
      <c r="K5947" s="15" t="s">
        <v>3762</v>
      </c>
      <c r="L5947" s="17">
        <v>1</v>
      </c>
      <c r="M5947" s="17">
        <v>10</v>
      </c>
      <c r="N5947" s="17">
        <v>1</v>
      </c>
      <c r="O5947" s="18">
        <v>2350.08</v>
      </c>
      <c r="P5947" s="18">
        <v>1926.3</v>
      </c>
      <c r="Q5947" s="18">
        <v>1974.07</v>
      </c>
      <c r="R5947" s="18">
        <v>1618.09</v>
      </c>
      <c r="S5947" s="18">
        <v>1598.05</v>
      </c>
      <c r="T5947" s="18">
        <v>1309.8800000000001</v>
      </c>
      <c r="U5947" s="16"/>
      <c r="V5947" s="16"/>
      <c r="W5947" s="16" t="s">
        <v>40</v>
      </c>
      <c r="X5947" s="19">
        <v>1.335</v>
      </c>
      <c r="Y5947" s="20">
        <v>4.1910000000000003E-3</v>
      </c>
      <c r="Z5947" s="21">
        <v>4660008010775</v>
      </c>
    </row>
    <row r="5948" spans="1:26" ht="12" customHeight="1" outlineLevel="4" x14ac:dyDescent="0.2">
      <c r="A5948" s="14" t="s">
        <v>11492</v>
      </c>
      <c r="B5948" s="26" t="s">
        <v>11493</v>
      </c>
      <c r="C5948" s="52"/>
      <c r="D5948" s="55">
        <f t="shared" si="92"/>
        <v>0</v>
      </c>
      <c r="E5948" s="63" t="str">
        <f>HYPERLINK("https://www.sds-group.ru/product/styazhka-kabelnaya-neylonovaya-700x9-0mm-chernaya-100-sht-up-rexant-07-0701-9/", "Инфо")</f>
        <v>Инфо</v>
      </c>
      <c r="F5948" s="16" t="s">
        <v>1001</v>
      </c>
      <c r="G5948" s="15"/>
      <c r="H5948" s="15"/>
      <c r="I5948" s="15"/>
      <c r="J5948" s="17">
        <v>283</v>
      </c>
      <c r="K5948" s="15" t="s">
        <v>6930</v>
      </c>
      <c r="L5948" s="17">
        <v>1</v>
      </c>
      <c r="M5948" s="17">
        <v>10</v>
      </c>
      <c r="N5948" s="17">
        <v>1</v>
      </c>
      <c r="O5948" s="18">
        <v>2405.6</v>
      </c>
      <c r="P5948" s="18">
        <v>1971.8</v>
      </c>
      <c r="Q5948" s="18">
        <v>2020.7</v>
      </c>
      <c r="R5948" s="18">
        <v>1656.31</v>
      </c>
      <c r="S5948" s="18">
        <v>1635.81</v>
      </c>
      <c r="T5948" s="18">
        <v>1340.83</v>
      </c>
      <c r="U5948" s="16"/>
      <c r="V5948" s="16"/>
      <c r="W5948" s="16" t="s">
        <v>40</v>
      </c>
      <c r="X5948" s="19">
        <v>1.3380000000000001</v>
      </c>
      <c r="Y5948" s="20">
        <v>3.6350000000000002E-3</v>
      </c>
      <c r="Z5948" s="21">
        <v>4660008010805</v>
      </c>
    </row>
    <row r="5949" spans="1:26" ht="12" customHeight="1" outlineLevel="4" x14ac:dyDescent="0.2">
      <c r="A5949" s="14" t="s">
        <v>11494</v>
      </c>
      <c r="B5949" s="26" t="s">
        <v>11495</v>
      </c>
      <c r="C5949" s="52"/>
      <c r="D5949" s="55">
        <f t="shared" si="92"/>
        <v>0</v>
      </c>
      <c r="E5949" s="63" t="str">
        <f>HYPERLINK("https://www.sds-group.ru/product/styazhka-kabelnaya-neylonovaya-80x2-5mm-belaya-100-sht-up-rexant-07-0080/", "Инфо")</f>
        <v>Инфо</v>
      </c>
      <c r="F5949" s="16" t="s">
        <v>1001</v>
      </c>
      <c r="G5949" s="15"/>
      <c r="H5949" s="15"/>
      <c r="I5949" s="15"/>
      <c r="J5949" s="16" t="s">
        <v>100</v>
      </c>
      <c r="K5949" s="15" t="s">
        <v>3762</v>
      </c>
      <c r="L5949" s="17">
        <v>10</v>
      </c>
      <c r="M5949" s="17">
        <v>500</v>
      </c>
      <c r="N5949" s="17">
        <v>10</v>
      </c>
      <c r="O5949" s="18">
        <v>49.51</v>
      </c>
      <c r="P5949" s="18">
        <v>40.58</v>
      </c>
      <c r="Q5949" s="18">
        <v>46.04</v>
      </c>
      <c r="R5949" s="18">
        <v>37.74</v>
      </c>
      <c r="S5949" s="18">
        <v>33.67</v>
      </c>
      <c r="T5949" s="18">
        <v>27.6</v>
      </c>
      <c r="U5949" s="16"/>
      <c r="V5949" s="16"/>
      <c r="W5949" s="16" t="s">
        <v>40</v>
      </c>
      <c r="X5949" s="19">
        <v>2.8000000000000001E-2</v>
      </c>
      <c r="Y5949" s="20">
        <v>1.06E-4</v>
      </c>
      <c r="Z5949" s="21">
        <v>4610003602864</v>
      </c>
    </row>
    <row r="5950" spans="1:26" ht="12" customHeight="1" outlineLevel="4" x14ac:dyDescent="0.2">
      <c r="A5950" s="14" t="s">
        <v>11496</v>
      </c>
      <c r="B5950" s="26" t="s">
        <v>11497</v>
      </c>
      <c r="C5950" s="52"/>
      <c r="D5950" s="55">
        <f t="shared" si="92"/>
        <v>0</v>
      </c>
      <c r="E5950" s="63" t="str">
        <f>HYPERLINK("https://www.sds-group.ru/product/styazhka-kabelnaya-neylonovaya-80x2-5mm-chernaya-100-sht-up-rexant-07-0081/", "Инфо")</f>
        <v>Инфо</v>
      </c>
      <c r="F5950" s="16" t="s">
        <v>1001</v>
      </c>
      <c r="G5950" s="15"/>
      <c r="H5950" s="15"/>
      <c r="I5950" s="15"/>
      <c r="J5950" s="16" t="s">
        <v>100</v>
      </c>
      <c r="K5950" s="15" t="s">
        <v>3762</v>
      </c>
      <c r="L5950" s="17">
        <v>10</v>
      </c>
      <c r="M5950" s="17">
        <v>500</v>
      </c>
      <c r="N5950" s="17">
        <v>10</v>
      </c>
      <c r="O5950" s="18">
        <v>49.51</v>
      </c>
      <c r="P5950" s="18">
        <v>40.58</v>
      </c>
      <c r="Q5950" s="18">
        <v>46.04</v>
      </c>
      <c r="R5950" s="18">
        <v>37.74</v>
      </c>
      <c r="S5950" s="18">
        <v>33.67</v>
      </c>
      <c r="T5950" s="18">
        <v>27.6</v>
      </c>
      <c r="U5950" s="16"/>
      <c r="V5950" s="16"/>
      <c r="W5950" s="16" t="s">
        <v>40</v>
      </c>
      <c r="X5950" s="19">
        <v>2.8000000000000001E-2</v>
      </c>
      <c r="Y5950" s="20">
        <v>1.11E-4</v>
      </c>
      <c r="Z5950" s="21">
        <v>4610003602871</v>
      </c>
    </row>
    <row r="5951" spans="1:26" ht="12" customHeight="1" outlineLevel="4" x14ac:dyDescent="0.2">
      <c r="A5951" s="14" t="s">
        <v>11498</v>
      </c>
      <c r="B5951" s="26" t="s">
        <v>11499</v>
      </c>
      <c r="C5951" s="52"/>
      <c r="D5951" s="55">
        <f t="shared" si="92"/>
        <v>0</v>
      </c>
      <c r="E5951" s="63" t="str">
        <f>HYPERLINK("https://www.sds-group.ru/product/styazhka-kabelnaya-neylonovaya-920x9-0mm-belaya-100-sht-up-rexant-07-0900/", "Инфо")</f>
        <v>Инфо</v>
      </c>
      <c r="F5951" s="16" t="s">
        <v>1001</v>
      </c>
      <c r="G5951" s="15"/>
      <c r="H5951" s="15"/>
      <c r="I5951" s="15"/>
      <c r="J5951" s="17">
        <v>125</v>
      </c>
      <c r="K5951" s="15" t="s">
        <v>7336</v>
      </c>
      <c r="L5951" s="17">
        <v>1</v>
      </c>
      <c r="M5951" s="17">
        <v>10</v>
      </c>
      <c r="N5951" s="17">
        <v>1</v>
      </c>
      <c r="O5951" s="18">
        <v>3179.57</v>
      </c>
      <c r="P5951" s="18">
        <v>2606.1999999999998</v>
      </c>
      <c r="Q5951" s="18">
        <v>2543.66</v>
      </c>
      <c r="R5951" s="18">
        <v>2084.9699999999998</v>
      </c>
      <c r="S5951" s="18">
        <v>2162.11</v>
      </c>
      <c r="T5951" s="18">
        <v>1772.22</v>
      </c>
      <c r="U5951" s="16"/>
      <c r="V5951" s="16"/>
      <c r="W5951" s="16" t="s">
        <v>40</v>
      </c>
      <c r="X5951" s="19">
        <v>1.62</v>
      </c>
      <c r="Y5951" s="20">
        <v>5.0499999999999998E-3</v>
      </c>
      <c r="Z5951" s="21">
        <v>4610003603083</v>
      </c>
    </row>
    <row r="5952" spans="1:26" ht="12" customHeight="1" outlineLevel="4" x14ac:dyDescent="0.2">
      <c r="A5952" s="14" t="s">
        <v>11500</v>
      </c>
      <c r="B5952" s="26" t="s">
        <v>11501</v>
      </c>
      <c r="C5952" s="52"/>
      <c r="D5952" s="55">
        <f t="shared" si="92"/>
        <v>0</v>
      </c>
      <c r="E5952" s="63" t="str">
        <f>HYPERLINK("https://www.sds-group.ru/product/styazhka-kabelnaya-neylonovaya-920x9-0mm-chernaya-100-sht-up-rexant-07-0901/", "Инфо")</f>
        <v>Инфо</v>
      </c>
      <c r="F5952" s="16" t="s">
        <v>1001</v>
      </c>
      <c r="G5952" s="15"/>
      <c r="H5952" s="15"/>
      <c r="I5952" s="15"/>
      <c r="J5952" s="16" t="s">
        <v>100</v>
      </c>
      <c r="K5952" s="15" t="s">
        <v>3762</v>
      </c>
      <c r="L5952" s="17">
        <v>1</v>
      </c>
      <c r="M5952" s="17">
        <v>10</v>
      </c>
      <c r="N5952" s="17">
        <v>1</v>
      </c>
      <c r="O5952" s="18">
        <v>3179.57</v>
      </c>
      <c r="P5952" s="18">
        <v>2606.1999999999998</v>
      </c>
      <c r="Q5952" s="18">
        <v>2543.66</v>
      </c>
      <c r="R5952" s="18">
        <v>2084.9699999999998</v>
      </c>
      <c r="S5952" s="18">
        <v>2162.11</v>
      </c>
      <c r="T5952" s="18">
        <v>1772.22</v>
      </c>
      <c r="U5952" s="16"/>
      <c r="V5952" s="16"/>
      <c r="W5952" s="16" t="s">
        <v>40</v>
      </c>
      <c r="X5952" s="19">
        <v>1.62</v>
      </c>
      <c r="Y5952" s="20">
        <v>4.7999999999999996E-3</v>
      </c>
      <c r="Z5952" s="21">
        <v>4610003603090</v>
      </c>
    </row>
    <row r="5953" spans="1:26" ht="12.95" customHeight="1" outlineLevel="3" x14ac:dyDescent="0.2">
      <c r="A5953" s="76" t="s">
        <v>11502</v>
      </c>
      <c r="B5953" s="76"/>
      <c r="C5953" s="77"/>
      <c r="D5953" s="58"/>
      <c r="E5953" s="68"/>
      <c r="F5953" s="13"/>
      <c r="G5953" s="13"/>
      <c r="H5953" s="13"/>
      <c r="I5953" s="13"/>
      <c r="J5953" s="13"/>
      <c r="K5953" s="13"/>
      <c r="L5953" s="13"/>
      <c r="M5953" s="13"/>
      <c r="N5953" s="13"/>
      <c r="O5953" s="13"/>
      <c r="P5953" s="13"/>
      <c r="Q5953" s="13"/>
      <c r="R5953" s="13"/>
      <c r="S5953" s="13"/>
      <c r="T5953" s="13"/>
      <c r="U5953" s="13"/>
      <c r="V5953" s="13"/>
      <c r="W5953" s="13"/>
      <c r="X5953" s="13"/>
      <c r="Y5953" s="13"/>
      <c r="Z5953" s="13"/>
    </row>
    <row r="5954" spans="1:26" ht="12" customHeight="1" outlineLevel="4" x14ac:dyDescent="0.2">
      <c r="A5954" s="14" t="s">
        <v>11503</v>
      </c>
      <c r="B5954" s="26" t="s">
        <v>11504</v>
      </c>
      <c r="C5954" s="52"/>
      <c r="D5954" s="55">
        <f t="shared" si="92"/>
        <v>0</v>
      </c>
      <c r="E5954" s="63" t="str">
        <f>HYPERLINK("https://www.sds-group.ru/product/nabor-styazhek-neylonovyh-100-150-200-mm-tsvetnye-nh-1-tubus-200-sht-rexant-07-7201/", "Инфо")</f>
        <v>Инфо</v>
      </c>
      <c r="F5954" s="16" t="s">
        <v>1001</v>
      </c>
      <c r="G5954" s="15"/>
      <c r="H5954" s="15"/>
      <c r="I5954" s="15"/>
      <c r="J5954" s="17">
        <v>612</v>
      </c>
      <c r="K5954" s="15"/>
      <c r="L5954" s="17">
        <v>5</v>
      </c>
      <c r="M5954" s="17">
        <v>50</v>
      </c>
      <c r="N5954" s="17">
        <v>5</v>
      </c>
      <c r="O5954" s="18">
        <v>360.01</v>
      </c>
      <c r="P5954" s="18">
        <v>295.08999999999997</v>
      </c>
      <c r="Q5954" s="18">
        <v>334.81</v>
      </c>
      <c r="R5954" s="18">
        <v>274.43</v>
      </c>
      <c r="S5954" s="18">
        <v>244.81</v>
      </c>
      <c r="T5954" s="18">
        <v>200.66</v>
      </c>
      <c r="U5954" s="16"/>
      <c r="V5954" s="16"/>
      <c r="W5954" s="16" t="s">
        <v>40</v>
      </c>
      <c r="X5954" s="19">
        <v>0.13700000000000001</v>
      </c>
      <c r="Y5954" s="20">
        <v>8.52E-4</v>
      </c>
      <c r="Z5954" s="21">
        <v>4660008017125</v>
      </c>
    </row>
    <row r="5955" spans="1:26" ht="12" customHeight="1" outlineLevel="4" x14ac:dyDescent="0.2">
      <c r="A5955" s="14" t="s">
        <v>11505</v>
      </c>
      <c r="B5955" s="26" t="s">
        <v>11506</v>
      </c>
      <c r="C5955" s="52"/>
      <c r="D5955" s="55">
        <f t="shared" si="92"/>
        <v>0</v>
      </c>
      <c r="E5955" s="63" t="str">
        <f>HYPERLINK("https://www.sds-group.ru/product/nabor-styazhek-neylonovyh-100-200-mm-tsvetnye-nh-2-tubus-300-sht-rexant-07-7202/", "Инфо")</f>
        <v>Инфо</v>
      </c>
      <c r="F5955" s="16" t="s">
        <v>1001</v>
      </c>
      <c r="G5955" s="15"/>
      <c r="H5955" s="15"/>
      <c r="I5955" s="15"/>
      <c r="J5955" s="22">
        <v>1143</v>
      </c>
      <c r="K5955" s="15"/>
      <c r="L5955" s="17">
        <v>1</v>
      </c>
      <c r="M5955" s="17">
        <v>25</v>
      </c>
      <c r="N5955" s="17">
        <v>1</v>
      </c>
      <c r="O5955" s="18">
        <v>672.04</v>
      </c>
      <c r="P5955" s="18">
        <v>550.85</v>
      </c>
      <c r="Q5955" s="18">
        <v>584.66999999999996</v>
      </c>
      <c r="R5955" s="18">
        <v>479.24</v>
      </c>
      <c r="S5955" s="18">
        <v>456.99</v>
      </c>
      <c r="T5955" s="18">
        <v>374.58</v>
      </c>
      <c r="U5955" s="16"/>
      <c r="V5955" s="16"/>
      <c r="W5955" s="16" t="s">
        <v>40</v>
      </c>
      <c r="X5955" s="19">
        <v>0.246</v>
      </c>
      <c r="Y5955" s="20">
        <v>1.536E-3</v>
      </c>
      <c r="Z5955" s="21">
        <v>4660008017118</v>
      </c>
    </row>
    <row r="5956" spans="1:26" ht="12" customHeight="1" outlineLevel="4" x14ac:dyDescent="0.2">
      <c r="A5956" s="14" t="s">
        <v>11507</v>
      </c>
      <c r="B5956" s="26" t="s">
        <v>11508</v>
      </c>
      <c r="C5956" s="52"/>
      <c r="D5956" s="55">
        <f t="shared" si="92"/>
        <v>0</v>
      </c>
      <c r="E5956" s="63" t="str">
        <f>HYPERLINK("https://www.sds-group.ru/product/styazhka-kabelnaya-neylonovaya-100x2-5mm-belaya-25-sht-up-rexant-07-0100-25/", "Инфо")</f>
        <v>Инфо</v>
      </c>
      <c r="F5956" s="16" t="s">
        <v>1001</v>
      </c>
      <c r="G5956" s="15"/>
      <c r="H5956" s="15"/>
      <c r="I5956" s="15"/>
      <c r="J5956" s="22">
        <v>3271</v>
      </c>
      <c r="K5956" s="15"/>
      <c r="L5956" s="17">
        <v>50</v>
      </c>
      <c r="M5956" s="22">
        <v>1400</v>
      </c>
      <c r="N5956" s="17">
        <v>50</v>
      </c>
      <c r="O5956" s="18">
        <v>24.9</v>
      </c>
      <c r="P5956" s="18">
        <v>20.41</v>
      </c>
      <c r="Q5956" s="18">
        <v>23.16</v>
      </c>
      <c r="R5956" s="18">
        <v>18.98</v>
      </c>
      <c r="S5956" s="18">
        <v>16.93</v>
      </c>
      <c r="T5956" s="18">
        <v>13.88</v>
      </c>
      <c r="U5956" s="16"/>
      <c r="V5956" s="16"/>
      <c r="W5956" s="16" t="s">
        <v>40</v>
      </c>
      <c r="X5956" s="19">
        <v>1.0999999999999999E-2</v>
      </c>
      <c r="Y5956" s="20">
        <v>5.3999999999999998E-5</v>
      </c>
      <c r="Z5956" s="21">
        <v>4601004017115</v>
      </c>
    </row>
    <row r="5957" spans="1:26" ht="12" customHeight="1" outlineLevel="4" x14ac:dyDescent="0.2">
      <c r="A5957" s="32" t="s">
        <v>11509</v>
      </c>
      <c r="B5957" s="74" t="s">
        <v>11510</v>
      </c>
      <c r="C5957" s="50"/>
      <c r="D5957" s="53">
        <f t="shared" si="92"/>
        <v>0</v>
      </c>
      <c r="E5957" s="60" t="str">
        <f>HYPERLINK("https://www.sds-group.ru/product/styazhka-kabelnaya-neylonovaya-100x2-5mm-zelenaya-25-sht-up-rexant-07-0103-25/", "Инфо")</f>
        <v>Инфо</v>
      </c>
      <c r="F5957" s="34" t="s">
        <v>1001</v>
      </c>
      <c r="G5957" s="33"/>
      <c r="H5957" s="33" t="s">
        <v>40</v>
      </c>
      <c r="I5957" s="33"/>
      <c r="J5957" s="34" t="s">
        <v>100</v>
      </c>
      <c r="K5957" s="33" t="s">
        <v>4926</v>
      </c>
      <c r="L5957" s="35">
        <v>1</v>
      </c>
      <c r="M5957" s="39">
        <v>1400</v>
      </c>
      <c r="N5957" s="35">
        <v>1</v>
      </c>
      <c r="O5957" s="36">
        <v>24.9</v>
      </c>
      <c r="P5957" s="36">
        <v>20.41</v>
      </c>
      <c r="Q5957" s="36">
        <v>23.16</v>
      </c>
      <c r="R5957" s="36">
        <v>18.98</v>
      </c>
      <c r="S5957" s="36">
        <v>16.93</v>
      </c>
      <c r="T5957" s="36">
        <v>13.88</v>
      </c>
      <c r="U5957" s="34"/>
      <c r="V5957" s="34"/>
      <c r="W5957" s="34" t="s">
        <v>40</v>
      </c>
      <c r="X5957" s="37">
        <v>0.01</v>
      </c>
      <c r="Y5957" s="38">
        <v>5.0000000000000002E-5</v>
      </c>
      <c r="Z5957" s="21">
        <v>4601004017313</v>
      </c>
    </row>
    <row r="5958" spans="1:26" ht="12" customHeight="1" outlineLevel="4" x14ac:dyDescent="0.2">
      <c r="A5958" s="14" t="s">
        <v>11511</v>
      </c>
      <c r="B5958" s="26" t="s">
        <v>11512</v>
      </c>
      <c r="C5958" s="52"/>
      <c r="D5958" s="55">
        <f t="shared" si="92"/>
        <v>0</v>
      </c>
      <c r="E5958" s="63" t="str">
        <f>HYPERLINK("https://www.sds-group.ru/product/styazhka-kabelnaya-neylonovaya-100x2-5mm-nabor-5-tsvetov-25-sht-up-rexant-07-0108-25/", "Инфо")</f>
        <v>Инфо</v>
      </c>
      <c r="F5958" s="16" t="s">
        <v>1001</v>
      </c>
      <c r="G5958" s="15"/>
      <c r="H5958" s="15"/>
      <c r="I5958" s="15"/>
      <c r="J5958" s="22">
        <v>1345</v>
      </c>
      <c r="K5958" s="15" t="s">
        <v>10151</v>
      </c>
      <c r="L5958" s="17">
        <v>10</v>
      </c>
      <c r="M5958" s="22">
        <v>1400</v>
      </c>
      <c r="N5958" s="17">
        <v>10</v>
      </c>
      <c r="O5958" s="18">
        <v>25.12</v>
      </c>
      <c r="P5958" s="18">
        <v>20.59</v>
      </c>
      <c r="Q5958" s="18">
        <v>23.36</v>
      </c>
      <c r="R5958" s="18">
        <v>19.149999999999999</v>
      </c>
      <c r="S5958" s="18">
        <v>17.079999999999998</v>
      </c>
      <c r="T5958" s="18">
        <v>14</v>
      </c>
      <c r="U5958" s="16"/>
      <c r="V5958" s="16"/>
      <c r="W5958" s="16" t="s">
        <v>40</v>
      </c>
      <c r="X5958" s="19">
        <v>1.4E-2</v>
      </c>
      <c r="Y5958" s="20">
        <v>5.5999999999999999E-5</v>
      </c>
      <c r="Z5958" s="21">
        <v>4601004017368</v>
      </c>
    </row>
    <row r="5959" spans="1:26" ht="12" customHeight="1" outlineLevel="4" x14ac:dyDescent="0.2">
      <c r="A5959" s="14" t="s">
        <v>11513</v>
      </c>
      <c r="B5959" s="26" t="s">
        <v>11514</v>
      </c>
      <c r="C5959" s="52"/>
      <c r="D5959" s="55">
        <f t="shared" si="92"/>
        <v>0</v>
      </c>
      <c r="E5959" s="63" t="str">
        <f>HYPERLINK("https://www.sds-group.ru/product/styazhka-kabelnaya-neylonovaya-100x2-5mm-chernaya-25-sht-up-rexant-07-0101-25/", "Инфо")</f>
        <v>Инфо</v>
      </c>
      <c r="F5959" s="16" t="s">
        <v>1001</v>
      </c>
      <c r="G5959" s="15"/>
      <c r="H5959" s="15"/>
      <c r="I5959" s="15"/>
      <c r="J5959" s="17">
        <v>80</v>
      </c>
      <c r="K5959" s="15" t="s">
        <v>4926</v>
      </c>
      <c r="L5959" s="17">
        <v>10</v>
      </c>
      <c r="M5959" s="22">
        <v>1400</v>
      </c>
      <c r="N5959" s="17">
        <v>10</v>
      </c>
      <c r="O5959" s="18">
        <v>24.9</v>
      </c>
      <c r="P5959" s="18">
        <v>20.41</v>
      </c>
      <c r="Q5959" s="18">
        <v>23.16</v>
      </c>
      <c r="R5959" s="18">
        <v>18.98</v>
      </c>
      <c r="S5959" s="18">
        <v>16.93</v>
      </c>
      <c r="T5959" s="18">
        <v>13.88</v>
      </c>
      <c r="U5959" s="16"/>
      <c r="V5959" s="16"/>
      <c r="W5959" s="16" t="s">
        <v>40</v>
      </c>
      <c r="X5959" s="19">
        <v>1.0999999999999999E-2</v>
      </c>
      <c r="Y5959" s="20">
        <v>5.3000000000000001E-5</v>
      </c>
      <c r="Z5959" s="21">
        <v>4601004017160</v>
      </c>
    </row>
    <row r="5960" spans="1:26" ht="12" customHeight="1" outlineLevel="4" x14ac:dyDescent="0.2">
      <c r="A5960" s="32" t="s">
        <v>11515</v>
      </c>
      <c r="B5960" s="74" t="s">
        <v>11516</v>
      </c>
      <c r="C5960" s="50"/>
      <c r="D5960" s="53">
        <f t="shared" si="92"/>
        <v>0</v>
      </c>
      <c r="E5960" s="60" t="str">
        <f>HYPERLINK("https://www.sds-group.ru/product/styazhka-kabelnaya-neylonovaya-1020x9-0mm-belaya-25-sht-up-rexant-07-1020-25/", "Инфо")</f>
        <v>Инфо</v>
      </c>
      <c r="F5960" s="34" t="s">
        <v>1001</v>
      </c>
      <c r="G5960" s="33"/>
      <c r="H5960" s="33" t="s">
        <v>40</v>
      </c>
      <c r="I5960" s="33"/>
      <c r="J5960" s="35">
        <v>24</v>
      </c>
      <c r="K5960" s="33"/>
      <c r="L5960" s="35">
        <v>1</v>
      </c>
      <c r="M5960" s="35">
        <v>10</v>
      </c>
      <c r="N5960" s="35">
        <v>1</v>
      </c>
      <c r="O5960" s="36">
        <v>1447.78</v>
      </c>
      <c r="P5960" s="36">
        <v>1186.7</v>
      </c>
      <c r="Q5960" s="36">
        <v>1216.1400000000001</v>
      </c>
      <c r="R5960" s="36">
        <v>996.84</v>
      </c>
      <c r="S5960" s="36">
        <v>984.49</v>
      </c>
      <c r="T5960" s="36">
        <v>806.96</v>
      </c>
      <c r="U5960" s="34"/>
      <c r="V5960" s="34"/>
      <c r="W5960" s="34" t="s">
        <v>40</v>
      </c>
      <c r="X5960" s="37">
        <v>1.86</v>
      </c>
      <c r="Y5960" s="38">
        <v>3.264E-3</v>
      </c>
      <c r="Z5960" s="21">
        <v>4601004284999</v>
      </c>
    </row>
    <row r="5961" spans="1:26" ht="12" customHeight="1" outlineLevel="4" x14ac:dyDescent="0.2">
      <c r="A5961" s="14" t="s">
        <v>11517</v>
      </c>
      <c r="B5961" s="26" t="s">
        <v>11518</v>
      </c>
      <c r="C5961" s="52"/>
      <c r="D5961" s="55">
        <f t="shared" ref="D5961:D6024" si="93">C5961*(O5961-O5961*$G$3)</f>
        <v>0</v>
      </c>
      <c r="E5961" s="63" t="str">
        <f>HYPERLINK("https://www.sds-group.ru/product/styazhka-kabelnaya-neylonovaya-1020x9-0mm-chernaya-25-sht-up-rexant-07-1021-25/", "Инфо")</f>
        <v>Инфо</v>
      </c>
      <c r="F5961" s="16" t="s">
        <v>1001</v>
      </c>
      <c r="G5961" s="15"/>
      <c r="H5961" s="15"/>
      <c r="I5961" s="15"/>
      <c r="J5961" s="17">
        <v>71</v>
      </c>
      <c r="K5961" s="15"/>
      <c r="L5961" s="17">
        <v>1</v>
      </c>
      <c r="M5961" s="17">
        <v>10</v>
      </c>
      <c r="N5961" s="17">
        <v>1</v>
      </c>
      <c r="O5961" s="18">
        <v>1447.78</v>
      </c>
      <c r="P5961" s="18">
        <v>1186.7</v>
      </c>
      <c r="Q5961" s="18">
        <v>1216.1400000000001</v>
      </c>
      <c r="R5961" s="18">
        <v>996.84</v>
      </c>
      <c r="S5961" s="18">
        <v>984.49</v>
      </c>
      <c r="T5961" s="18">
        <v>806.96</v>
      </c>
      <c r="U5961" s="16"/>
      <c r="V5961" s="16"/>
      <c r="W5961" s="16" t="s">
        <v>40</v>
      </c>
      <c r="X5961" s="19">
        <v>1.87</v>
      </c>
      <c r="Y5961" s="20">
        <v>3.264E-3</v>
      </c>
      <c r="Z5961" s="21">
        <v>4601004285002</v>
      </c>
    </row>
    <row r="5962" spans="1:26" ht="12" customHeight="1" outlineLevel="4" x14ac:dyDescent="0.2">
      <c r="A5962" s="14" t="s">
        <v>11519</v>
      </c>
      <c r="B5962" s="26" t="s">
        <v>11520</v>
      </c>
      <c r="C5962" s="52"/>
      <c r="D5962" s="55">
        <f t="shared" si="93"/>
        <v>0</v>
      </c>
      <c r="E5962" s="63" t="str">
        <f>HYPERLINK("https://www.sds-group.ru/product/styazhka-kabelnaya-neylonovaya-150x2-5mm-belaya-25-sht-up-rexant-07-0150-25/", "Инфо")</f>
        <v>Инфо</v>
      </c>
      <c r="F5962" s="16" t="s">
        <v>1001</v>
      </c>
      <c r="G5962" s="15"/>
      <c r="H5962" s="15"/>
      <c r="I5962" s="15"/>
      <c r="J5962" s="22">
        <v>2336</v>
      </c>
      <c r="K5962" s="15" t="s">
        <v>3762</v>
      </c>
      <c r="L5962" s="17">
        <v>10</v>
      </c>
      <c r="M5962" s="22">
        <v>1000</v>
      </c>
      <c r="N5962" s="17">
        <v>10</v>
      </c>
      <c r="O5962" s="18">
        <v>37.03</v>
      </c>
      <c r="P5962" s="18">
        <v>30.35</v>
      </c>
      <c r="Q5962" s="18">
        <v>34.44</v>
      </c>
      <c r="R5962" s="18">
        <v>28.23</v>
      </c>
      <c r="S5962" s="18">
        <v>25.18</v>
      </c>
      <c r="T5962" s="18">
        <v>20.64</v>
      </c>
      <c r="U5962" s="16"/>
      <c r="V5962" s="16"/>
      <c r="W5962" s="16" t="s">
        <v>40</v>
      </c>
      <c r="X5962" s="19">
        <v>1.4E-2</v>
      </c>
      <c r="Y5962" s="20">
        <v>7.2999999999999999E-5</v>
      </c>
      <c r="Z5962" s="21">
        <v>4601004017405</v>
      </c>
    </row>
    <row r="5963" spans="1:26" ht="12" customHeight="1" outlineLevel="4" x14ac:dyDescent="0.2">
      <c r="A5963" s="14" t="s">
        <v>11521</v>
      </c>
      <c r="B5963" s="26" t="s">
        <v>11522</v>
      </c>
      <c r="C5963" s="52"/>
      <c r="D5963" s="55">
        <f t="shared" si="93"/>
        <v>0</v>
      </c>
      <c r="E5963" s="63" t="str">
        <f>HYPERLINK("https://www.sds-group.ru/product/styazhka-kabelnaya-neylonovaya-150x2-5mm-zelenaya-25-sht-up-rexant-07-0153-25/", "Инфо")</f>
        <v>Инфо</v>
      </c>
      <c r="F5963" s="16" t="s">
        <v>1001</v>
      </c>
      <c r="G5963" s="15"/>
      <c r="H5963" s="15"/>
      <c r="I5963" s="15"/>
      <c r="J5963" s="22">
        <v>2344</v>
      </c>
      <c r="K5963" s="15" t="s">
        <v>10151</v>
      </c>
      <c r="L5963" s="17">
        <v>50</v>
      </c>
      <c r="M5963" s="22">
        <v>1000</v>
      </c>
      <c r="N5963" s="17">
        <v>50</v>
      </c>
      <c r="O5963" s="18">
        <v>37.03</v>
      </c>
      <c r="P5963" s="18">
        <v>30.35</v>
      </c>
      <c r="Q5963" s="18">
        <v>34.44</v>
      </c>
      <c r="R5963" s="18">
        <v>28.23</v>
      </c>
      <c r="S5963" s="18">
        <v>25.18</v>
      </c>
      <c r="T5963" s="18">
        <v>20.64</v>
      </c>
      <c r="U5963" s="16"/>
      <c r="V5963" s="16"/>
      <c r="W5963" s="16" t="s">
        <v>40</v>
      </c>
      <c r="X5963" s="19">
        <v>1.4999999999999999E-2</v>
      </c>
      <c r="Y5963" s="20">
        <v>6.7000000000000002E-5</v>
      </c>
      <c r="Z5963" s="21">
        <v>4601004017306</v>
      </c>
    </row>
    <row r="5964" spans="1:26" ht="12" customHeight="1" outlineLevel="4" x14ac:dyDescent="0.2">
      <c r="A5964" s="14" t="s">
        <v>11523</v>
      </c>
      <c r="B5964" s="26" t="s">
        <v>11524</v>
      </c>
      <c r="C5964" s="52"/>
      <c r="D5964" s="55">
        <f t="shared" si="93"/>
        <v>0</v>
      </c>
      <c r="E5964" s="63" t="str">
        <f>HYPERLINK("https://www.sds-group.ru/product/styazhka-kabelnaya-neylonovaya-150x2-5mm-nabor-5-tsvetov-25-sht-up-rexant-07-0158-25/", "Инфо")</f>
        <v>Инфо</v>
      </c>
      <c r="F5964" s="16" t="s">
        <v>1001</v>
      </c>
      <c r="G5964" s="15"/>
      <c r="H5964" s="15"/>
      <c r="I5964" s="15"/>
      <c r="J5964" s="22">
        <v>1319</v>
      </c>
      <c r="K5964" s="15" t="s">
        <v>10151</v>
      </c>
      <c r="L5964" s="17">
        <v>50</v>
      </c>
      <c r="M5964" s="22">
        <v>1000</v>
      </c>
      <c r="N5964" s="17">
        <v>50</v>
      </c>
      <c r="O5964" s="18">
        <v>33.53</v>
      </c>
      <c r="P5964" s="18">
        <v>27.48</v>
      </c>
      <c r="Q5964" s="18">
        <v>31.18</v>
      </c>
      <c r="R5964" s="18">
        <v>25.56</v>
      </c>
      <c r="S5964" s="18">
        <v>22.8</v>
      </c>
      <c r="T5964" s="18">
        <v>18.690000000000001</v>
      </c>
      <c r="U5964" s="16"/>
      <c r="V5964" s="16"/>
      <c r="W5964" s="16" t="s">
        <v>40</v>
      </c>
      <c r="X5964" s="19">
        <v>1.4999999999999999E-2</v>
      </c>
      <c r="Y5964" s="20">
        <v>7.2000000000000002E-5</v>
      </c>
      <c r="Z5964" s="21">
        <v>4601004017351</v>
      </c>
    </row>
    <row r="5965" spans="1:26" ht="12" customHeight="1" outlineLevel="4" x14ac:dyDescent="0.2">
      <c r="A5965" s="14" t="s">
        <v>11525</v>
      </c>
      <c r="B5965" s="26" t="s">
        <v>11526</v>
      </c>
      <c r="C5965" s="52"/>
      <c r="D5965" s="55">
        <f t="shared" si="93"/>
        <v>0</v>
      </c>
      <c r="E5965" s="63" t="str">
        <f>HYPERLINK("https://www.sds-group.ru/product/styazhka-kabelnaya-neylonovaya-150x2-5mm-chernaya-25-sht-up-rexant-07-0151-25/", "Инфо")</f>
        <v>Инфо</v>
      </c>
      <c r="F5965" s="16" t="s">
        <v>1001</v>
      </c>
      <c r="G5965" s="15"/>
      <c r="H5965" s="15"/>
      <c r="I5965" s="15"/>
      <c r="J5965" s="22">
        <v>3563</v>
      </c>
      <c r="K5965" s="15" t="s">
        <v>6930</v>
      </c>
      <c r="L5965" s="17">
        <v>10</v>
      </c>
      <c r="M5965" s="22">
        <v>1000</v>
      </c>
      <c r="N5965" s="17">
        <v>10</v>
      </c>
      <c r="O5965" s="18">
        <v>37.03</v>
      </c>
      <c r="P5965" s="18">
        <v>30.35</v>
      </c>
      <c r="Q5965" s="18">
        <v>34.44</v>
      </c>
      <c r="R5965" s="18">
        <v>28.23</v>
      </c>
      <c r="S5965" s="18">
        <v>25.18</v>
      </c>
      <c r="T5965" s="18">
        <v>20.64</v>
      </c>
      <c r="U5965" s="16"/>
      <c r="V5965" s="16"/>
      <c r="W5965" s="16" t="s">
        <v>40</v>
      </c>
      <c r="X5965" s="19">
        <v>1.4999999999999999E-2</v>
      </c>
      <c r="Y5965" s="20">
        <v>6.7999999999999999E-5</v>
      </c>
      <c r="Z5965" s="21">
        <v>4601004017153</v>
      </c>
    </row>
    <row r="5966" spans="1:26" ht="12" customHeight="1" outlineLevel="4" x14ac:dyDescent="0.2">
      <c r="A5966" s="32" t="s">
        <v>11527</v>
      </c>
      <c r="B5966" s="74" t="s">
        <v>11528</v>
      </c>
      <c r="C5966" s="50"/>
      <c r="D5966" s="53">
        <f t="shared" si="93"/>
        <v>0</v>
      </c>
      <c r="E5966" s="60" t="str">
        <f>HYPERLINK("https://www.sds-group.ru/product/styazhka-kabelnaya-neylonovaya-150x3-6mm-korichnevo-zolotaya-ral8001-100-sht-up-rexant-07-0150-6/", "Инфо")</f>
        <v>Инфо</v>
      </c>
      <c r="F5966" s="34" t="s">
        <v>1001</v>
      </c>
      <c r="G5966" s="33"/>
      <c r="H5966" s="33" t="s">
        <v>40</v>
      </c>
      <c r="I5966" s="33"/>
      <c r="J5966" s="39">
        <v>1452</v>
      </c>
      <c r="K5966" s="33"/>
      <c r="L5966" s="35">
        <v>1</v>
      </c>
      <c r="M5966" s="35">
        <v>200</v>
      </c>
      <c r="N5966" s="35">
        <v>1</v>
      </c>
      <c r="O5966" s="36">
        <v>64.260000000000005</v>
      </c>
      <c r="P5966" s="36">
        <v>52.67</v>
      </c>
      <c r="Q5966" s="36">
        <v>44.98</v>
      </c>
      <c r="R5966" s="36">
        <v>36.869999999999997</v>
      </c>
      <c r="S5966" s="36">
        <v>43.7</v>
      </c>
      <c r="T5966" s="36">
        <v>35.82</v>
      </c>
      <c r="U5966" s="34"/>
      <c r="V5966" s="34"/>
      <c r="W5966" s="34"/>
      <c r="X5966" s="37">
        <v>8.3000000000000004E-2</v>
      </c>
      <c r="Y5966" s="38">
        <v>2.61E-4</v>
      </c>
      <c r="Z5966" s="21">
        <v>4601004271463</v>
      </c>
    </row>
    <row r="5967" spans="1:26" ht="12" customHeight="1" outlineLevel="4" x14ac:dyDescent="0.2">
      <c r="A5967" s="14" t="s">
        <v>11529</v>
      </c>
      <c r="B5967" s="26" t="s">
        <v>11530</v>
      </c>
      <c r="C5967" s="52"/>
      <c r="D5967" s="55">
        <f t="shared" si="93"/>
        <v>0</v>
      </c>
      <c r="E5967" s="63" t="str">
        <f>HYPERLINK("https://www.sds-group.ru/product/styazhka-kabelnaya-neylonovaya-200x3-6mm-belaya-25-sht-up-rexant-07-0200-25/", "Инфо")</f>
        <v>Инфо</v>
      </c>
      <c r="F5967" s="16" t="s">
        <v>1001</v>
      </c>
      <c r="G5967" s="15"/>
      <c r="H5967" s="15"/>
      <c r="I5967" s="15"/>
      <c r="J5967" s="22">
        <v>4412</v>
      </c>
      <c r="K5967" s="15"/>
      <c r="L5967" s="17">
        <v>10</v>
      </c>
      <c r="M5967" s="17">
        <v>500</v>
      </c>
      <c r="N5967" s="17">
        <v>10</v>
      </c>
      <c r="O5967" s="18">
        <v>80.150000000000006</v>
      </c>
      <c r="P5967" s="18">
        <v>65.7</v>
      </c>
      <c r="Q5967" s="18">
        <v>74.540000000000006</v>
      </c>
      <c r="R5967" s="18">
        <v>61.1</v>
      </c>
      <c r="S5967" s="18">
        <v>54.5</v>
      </c>
      <c r="T5967" s="18">
        <v>44.67</v>
      </c>
      <c r="U5967" s="16"/>
      <c r="V5967" s="16"/>
      <c r="W5967" s="16" t="s">
        <v>40</v>
      </c>
      <c r="X5967" s="19">
        <v>2.8000000000000001E-2</v>
      </c>
      <c r="Y5967" s="20">
        <v>1.13E-4</v>
      </c>
      <c r="Z5967" s="21">
        <v>4601004017122</v>
      </c>
    </row>
    <row r="5968" spans="1:26" ht="12" customHeight="1" outlineLevel="4" x14ac:dyDescent="0.2">
      <c r="A5968" s="14" t="s">
        <v>11531</v>
      </c>
      <c r="B5968" s="26" t="s">
        <v>11532</v>
      </c>
      <c r="C5968" s="52"/>
      <c r="D5968" s="55">
        <f t="shared" si="93"/>
        <v>0</v>
      </c>
      <c r="E5968" s="63" t="str">
        <f>HYPERLINK("https://www.sds-group.ru/product/styazhka-kabelnaya-neylonovaya-200x3-6mm-zelenaya-25-sht-up-rexant-07-0203-25/", "Инфо")</f>
        <v>Инфо</v>
      </c>
      <c r="F5968" s="16" t="s">
        <v>1001</v>
      </c>
      <c r="G5968" s="15"/>
      <c r="H5968" s="15"/>
      <c r="I5968" s="15"/>
      <c r="J5968" s="22">
        <v>1083</v>
      </c>
      <c r="K5968" s="15" t="s">
        <v>4926</v>
      </c>
      <c r="L5968" s="17">
        <v>10</v>
      </c>
      <c r="M5968" s="17">
        <v>500</v>
      </c>
      <c r="N5968" s="17">
        <v>10</v>
      </c>
      <c r="O5968" s="18">
        <v>80.150000000000006</v>
      </c>
      <c r="P5968" s="18">
        <v>65.7</v>
      </c>
      <c r="Q5968" s="18">
        <v>74.540000000000006</v>
      </c>
      <c r="R5968" s="18">
        <v>61.1</v>
      </c>
      <c r="S5968" s="18">
        <v>54.5</v>
      </c>
      <c r="T5968" s="18">
        <v>44.67</v>
      </c>
      <c r="U5968" s="16"/>
      <c r="V5968" s="16"/>
      <c r="W5968" s="16" t="s">
        <v>40</v>
      </c>
      <c r="X5968" s="19">
        <v>2.8000000000000001E-2</v>
      </c>
      <c r="Y5968" s="20">
        <v>1.1E-4</v>
      </c>
      <c r="Z5968" s="21">
        <v>4601004017320</v>
      </c>
    </row>
    <row r="5969" spans="1:26" ht="12" customHeight="1" outlineLevel="4" x14ac:dyDescent="0.2">
      <c r="A5969" s="14" t="s">
        <v>11533</v>
      </c>
      <c r="B5969" s="26" t="s">
        <v>11534</v>
      </c>
      <c r="C5969" s="52"/>
      <c r="D5969" s="55">
        <f t="shared" si="93"/>
        <v>0</v>
      </c>
      <c r="E5969" s="63" t="str">
        <f>HYPERLINK("https://www.sds-group.ru/product/styazhka-kabelnaya-neylonovaya-200x3-6mm-nabor-5-tsvetov-25-sht-up-rexant-07-0208-25/", "Инфо")</f>
        <v>Инфо</v>
      </c>
      <c r="F5969" s="16" t="s">
        <v>1001</v>
      </c>
      <c r="G5969" s="15"/>
      <c r="H5969" s="15"/>
      <c r="I5969" s="15"/>
      <c r="J5969" s="22">
        <v>1944</v>
      </c>
      <c r="K5969" s="15" t="s">
        <v>4926</v>
      </c>
      <c r="L5969" s="17">
        <v>10</v>
      </c>
      <c r="M5969" s="17">
        <v>500</v>
      </c>
      <c r="N5969" s="17">
        <v>10</v>
      </c>
      <c r="O5969" s="18">
        <v>72.23</v>
      </c>
      <c r="P5969" s="18">
        <v>59.2</v>
      </c>
      <c r="Q5969" s="18">
        <v>67.17</v>
      </c>
      <c r="R5969" s="18">
        <v>55.06</v>
      </c>
      <c r="S5969" s="18">
        <v>49.12</v>
      </c>
      <c r="T5969" s="18">
        <v>40.26</v>
      </c>
      <c r="U5969" s="16"/>
      <c r="V5969" s="16"/>
      <c r="W5969" s="16" t="s">
        <v>40</v>
      </c>
      <c r="X5969" s="19">
        <v>0.03</v>
      </c>
      <c r="Y5969" s="20">
        <v>1.12E-4</v>
      </c>
      <c r="Z5969" s="21">
        <v>4601004017375</v>
      </c>
    </row>
    <row r="5970" spans="1:26" ht="12" customHeight="1" outlineLevel="4" x14ac:dyDescent="0.2">
      <c r="A5970" s="14" t="s">
        <v>11535</v>
      </c>
      <c r="B5970" s="26" t="s">
        <v>11536</v>
      </c>
      <c r="C5970" s="52"/>
      <c r="D5970" s="55">
        <f t="shared" si="93"/>
        <v>0</v>
      </c>
      <c r="E5970" s="63" t="str">
        <f>HYPERLINK("https://www.sds-group.ru/product/styazhka-kabelnaya-neylonovaya-200x3-6mm-chernaya-25-sht-up-rexant-07-0201-25/", "Инфо")</f>
        <v>Инфо</v>
      </c>
      <c r="F5970" s="16" t="s">
        <v>1001</v>
      </c>
      <c r="G5970" s="15"/>
      <c r="H5970" s="15"/>
      <c r="I5970" s="15"/>
      <c r="J5970" s="17">
        <v>656</v>
      </c>
      <c r="K5970" s="15" t="s">
        <v>1650</v>
      </c>
      <c r="L5970" s="17">
        <v>10</v>
      </c>
      <c r="M5970" s="17">
        <v>500</v>
      </c>
      <c r="N5970" s="17">
        <v>10</v>
      </c>
      <c r="O5970" s="18">
        <v>80.150000000000006</v>
      </c>
      <c r="P5970" s="18">
        <v>65.7</v>
      </c>
      <c r="Q5970" s="18">
        <v>74.540000000000006</v>
      </c>
      <c r="R5970" s="18">
        <v>61.1</v>
      </c>
      <c r="S5970" s="18">
        <v>54.5</v>
      </c>
      <c r="T5970" s="18">
        <v>44.67</v>
      </c>
      <c r="U5970" s="16"/>
      <c r="V5970" s="16"/>
      <c r="W5970" s="16" t="s">
        <v>40</v>
      </c>
      <c r="X5970" s="19">
        <v>2.8000000000000001E-2</v>
      </c>
      <c r="Y5970" s="20">
        <v>1.11E-4</v>
      </c>
      <c r="Z5970" s="21">
        <v>4601004017177</v>
      </c>
    </row>
    <row r="5971" spans="1:26" ht="12" customHeight="1" outlineLevel="4" x14ac:dyDescent="0.2">
      <c r="A5971" s="32" t="s">
        <v>11537</v>
      </c>
      <c r="B5971" s="74" t="s">
        <v>11538</v>
      </c>
      <c r="C5971" s="50"/>
      <c r="D5971" s="53">
        <f t="shared" si="93"/>
        <v>0</v>
      </c>
      <c r="E5971" s="60" t="str">
        <f>HYPERLINK("https://www.sds-group.ru/product/styazhka-kabelnaya-neylonovaya-200x4-8mm-korichnevo-zolotaya-ral8001-100-sht-up-rexant-07-0201-6/", "Инфо")</f>
        <v>Инфо</v>
      </c>
      <c r="F5971" s="34" t="s">
        <v>1001</v>
      </c>
      <c r="G5971" s="33"/>
      <c r="H5971" s="33" t="s">
        <v>40</v>
      </c>
      <c r="I5971" s="33"/>
      <c r="J5971" s="39">
        <v>2352</v>
      </c>
      <c r="K5971" s="33"/>
      <c r="L5971" s="35">
        <v>1</v>
      </c>
      <c r="M5971" s="35">
        <v>100</v>
      </c>
      <c r="N5971" s="35">
        <v>1</v>
      </c>
      <c r="O5971" s="36">
        <v>134.38999999999999</v>
      </c>
      <c r="P5971" s="36">
        <v>110.16</v>
      </c>
      <c r="Q5971" s="36">
        <v>94.07</v>
      </c>
      <c r="R5971" s="36">
        <v>77.11</v>
      </c>
      <c r="S5971" s="36">
        <v>91.39</v>
      </c>
      <c r="T5971" s="36">
        <v>74.91</v>
      </c>
      <c r="U5971" s="34"/>
      <c r="V5971" s="34"/>
      <c r="W5971" s="34"/>
      <c r="X5971" s="37">
        <v>0.13800000000000001</v>
      </c>
      <c r="Y5971" s="38">
        <v>4.3300000000000001E-4</v>
      </c>
      <c r="Z5971" s="21">
        <v>4601004271456</v>
      </c>
    </row>
    <row r="5972" spans="1:26" ht="12" customHeight="1" outlineLevel="4" x14ac:dyDescent="0.2">
      <c r="A5972" s="14" t="s">
        <v>11539</v>
      </c>
      <c r="B5972" s="26" t="s">
        <v>11540</v>
      </c>
      <c r="C5972" s="52"/>
      <c r="D5972" s="55">
        <f t="shared" si="93"/>
        <v>0</v>
      </c>
      <c r="E5972" s="63" t="str">
        <f>HYPERLINK("https://www.sds-group.ru/product/styazhka-kabelnaya-neylonovaya-250x3-6mm-belaya-25-sht-up-rexant-07-0250-25/", "Инфо")</f>
        <v>Инфо</v>
      </c>
      <c r="F5972" s="16" t="s">
        <v>1001</v>
      </c>
      <c r="G5972" s="15"/>
      <c r="H5972" s="15"/>
      <c r="I5972" s="15"/>
      <c r="J5972" s="22">
        <v>2500</v>
      </c>
      <c r="K5972" s="15" t="s">
        <v>3762</v>
      </c>
      <c r="L5972" s="17">
        <v>10</v>
      </c>
      <c r="M5972" s="17">
        <v>500</v>
      </c>
      <c r="N5972" s="17">
        <v>10</v>
      </c>
      <c r="O5972" s="18">
        <v>100.47</v>
      </c>
      <c r="P5972" s="18">
        <v>82.35</v>
      </c>
      <c r="Q5972" s="18">
        <v>93.44</v>
      </c>
      <c r="R5972" s="18">
        <v>76.59</v>
      </c>
      <c r="S5972" s="18">
        <v>68.319999999999993</v>
      </c>
      <c r="T5972" s="18">
        <v>56</v>
      </c>
      <c r="U5972" s="16"/>
      <c r="V5972" s="16"/>
      <c r="W5972" s="16" t="s">
        <v>40</v>
      </c>
      <c r="X5972" s="19">
        <v>3.5000000000000003E-2</v>
      </c>
      <c r="Y5972" s="20">
        <v>1.18E-4</v>
      </c>
      <c r="Z5972" s="21">
        <v>4601004125377</v>
      </c>
    </row>
    <row r="5973" spans="1:26" ht="12" customHeight="1" outlineLevel="4" x14ac:dyDescent="0.2">
      <c r="A5973" s="14" t="s">
        <v>11541</v>
      </c>
      <c r="B5973" s="26" t="s">
        <v>11542</v>
      </c>
      <c r="C5973" s="52"/>
      <c r="D5973" s="55">
        <f t="shared" si="93"/>
        <v>0</v>
      </c>
      <c r="E5973" s="63" t="str">
        <f>HYPERLINK("https://www.sds-group.ru/product/styazhka-kabelnaya-neylonovaya-250x3-6mm-nabor-5-tsvetov-25-sht-up-rexant-07-0258-25/", "Инфо")</f>
        <v>Инфо</v>
      </c>
      <c r="F5973" s="16" t="s">
        <v>1001</v>
      </c>
      <c r="G5973" s="15"/>
      <c r="H5973" s="15"/>
      <c r="I5973" s="15"/>
      <c r="J5973" s="17">
        <v>830</v>
      </c>
      <c r="K5973" s="15" t="s">
        <v>4926</v>
      </c>
      <c r="L5973" s="17">
        <v>10</v>
      </c>
      <c r="M5973" s="17">
        <v>500</v>
      </c>
      <c r="N5973" s="17">
        <v>10</v>
      </c>
      <c r="O5973" s="18">
        <v>87.86</v>
      </c>
      <c r="P5973" s="18">
        <v>72.02</v>
      </c>
      <c r="Q5973" s="18">
        <v>81.709999999999994</v>
      </c>
      <c r="R5973" s="18">
        <v>66.98</v>
      </c>
      <c r="S5973" s="18">
        <v>59.74</v>
      </c>
      <c r="T5973" s="18">
        <v>48.97</v>
      </c>
      <c r="U5973" s="16"/>
      <c r="V5973" s="16"/>
      <c r="W5973" s="16" t="s">
        <v>40</v>
      </c>
      <c r="X5973" s="19">
        <v>3.5000000000000003E-2</v>
      </c>
      <c r="Y5973" s="20">
        <v>1.2300000000000001E-4</v>
      </c>
      <c r="Z5973" s="21">
        <v>4601004125414</v>
      </c>
    </row>
    <row r="5974" spans="1:26" ht="12" customHeight="1" outlineLevel="4" x14ac:dyDescent="0.2">
      <c r="A5974" s="14" t="s">
        <v>11543</v>
      </c>
      <c r="B5974" s="26" t="s">
        <v>11544</v>
      </c>
      <c r="C5974" s="52"/>
      <c r="D5974" s="55">
        <f t="shared" si="93"/>
        <v>0</v>
      </c>
      <c r="E5974" s="63" t="str">
        <f>HYPERLINK("https://www.sds-group.ru/product/styazhka-kabelnaya-neylonovaya-250x3-6mm-chernaya-25-sht-up-rexant-07-0251-25/", "Инфо")</f>
        <v>Инфо</v>
      </c>
      <c r="F5974" s="16" t="s">
        <v>1001</v>
      </c>
      <c r="G5974" s="15"/>
      <c r="H5974" s="15"/>
      <c r="I5974" s="15"/>
      <c r="J5974" s="22">
        <v>2058</v>
      </c>
      <c r="K5974" s="15" t="s">
        <v>979</v>
      </c>
      <c r="L5974" s="17">
        <v>10</v>
      </c>
      <c r="M5974" s="17">
        <v>500</v>
      </c>
      <c r="N5974" s="17">
        <v>10</v>
      </c>
      <c r="O5974" s="18">
        <v>100.47</v>
      </c>
      <c r="P5974" s="18">
        <v>82.35</v>
      </c>
      <c r="Q5974" s="18">
        <v>93.44</v>
      </c>
      <c r="R5974" s="18">
        <v>76.59</v>
      </c>
      <c r="S5974" s="18">
        <v>68.319999999999993</v>
      </c>
      <c r="T5974" s="18">
        <v>56</v>
      </c>
      <c r="U5974" s="16"/>
      <c r="V5974" s="16"/>
      <c r="W5974" s="16" t="s">
        <v>40</v>
      </c>
      <c r="X5974" s="19">
        <v>3.5000000000000003E-2</v>
      </c>
      <c r="Y5974" s="20">
        <v>1.2E-4</v>
      </c>
      <c r="Z5974" s="21">
        <v>4601004125391</v>
      </c>
    </row>
    <row r="5975" spans="1:26" ht="12" customHeight="1" outlineLevel="4" x14ac:dyDescent="0.2">
      <c r="A5975" s="32" t="s">
        <v>11545</v>
      </c>
      <c r="B5975" s="74" t="s">
        <v>11546</v>
      </c>
      <c r="C5975" s="50"/>
      <c r="D5975" s="53">
        <f t="shared" si="93"/>
        <v>0</v>
      </c>
      <c r="E5975" s="60" t="str">
        <f>HYPERLINK("https://www.sds-group.ru/product/styazhka-kabelnaya-neylonovaya-250x4-8mm-korichnevo-zolotaya-ral8001-100-sht-up-rexant-07-0250-6/", "Инфо")</f>
        <v>Инфо</v>
      </c>
      <c r="F5975" s="34" t="s">
        <v>1001</v>
      </c>
      <c r="G5975" s="33"/>
      <c r="H5975" s="33" t="s">
        <v>40</v>
      </c>
      <c r="I5975" s="33"/>
      <c r="J5975" s="39">
        <v>1009</v>
      </c>
      <c r="K5975" s="33"/>
      <c r="L5975" s="35">
        <v>1</v>
      </c>
      <c r="M5975" s="35">
        <v>100</v>
      </c>
      <c r="N5975" s="35">
        <v>1</v>
      </c>
      <c r="O5975" s="36">
        <v>152.19999999999999</v>
      </c>
      <c r="P5975" s="36">
        <v>124.75</v>
      </c>
      <c r="Q5975" s="36">
        <v>106.54</v>
      </c>
      <c r="R5975" s="36">
        <v>87.33</v>
      </c>
      <c r="S5975" s="36">
        <v>103.5</v>
      </c>
      <c r="T5975" s="36">
        <v>84.84</v>
      </c>
      <c r="U5975" s="34"/>
      <c r="V5975" s="34"/>
      <c r="W5975" s="34"/>
      <c r="X5975" s="37">
        <v>0.16300000000000001</v>
      </c>
      <c r="Y5975" s="38">
        <v>5.2099999999999998E-4</v>
      </c>
      <c r="Z5975" s="21">
        <v>4601004271470</v>
      </c>
    </row>
    <row r="5976" spans="1:26" ht="12" customHeight="1" outlineLevel="4" x14ac:dyDescent="0.2">
      <c r="A5976" s="14" t="s">
        <v>11547</v>
      </c>
      <c r="B5976" s="26" t="s">
        <v>11548</v>
      </c>
      <c r="C5976" s="52"/>
      <c r="D5976" s="55">
        <f t="shared" si="93"/>
        <v>0</v>
      </c>
      <c r="E5976" s="63" t="str">
        <f>HYPERLINK("https://www.sds-group.ru/product/styazhka-kabelnaya-neylonovaya-300x4-8mm-belaya-25-sht-up-rexant-07-0300-25/", "Инфо")</f>
        <v>Инфо</v>
      </c>
      <c r="F5976" s="16" t="s">
        <v>1001</v>
      </c>
      <c r="G5976" s="15"/>
      <c r="H5976" s="15"/>
      <c r="I5976" s="15"/>
      <c r="J5976" s="17">
        <v>516</v>
      </c>
      <c r="K5976" s="15" t="s">
        <v>4926</v>
      </c>
      <c r="L5976" s="17">
        <v>10</v>
      </c>
      <c r="M5976" s="17">
        <v>300</v>
      </c>
      <c r="N5976" s="17">
        <v>10</v>
      </c>
      <c r="O5976" s="18">
        <v>164.13</v>
      </c>
      <c r="P5976" s="18">
        <v>134.53</v>
      </c>
      <c r="Q5976" s="18">
        <v>152.63999999999999</v>
      </c>
      <c r="R5976" s="18">
        <v>125.11</v>
      </c>
      <c r="S5976" s="18">
        <v>111.61</v>
      </c>
      <c r="T5976" s="18">
        <v>91.48</v>
      </c>
      <c r="U5976" s="16"/>
      <c r="V5976" s="16"/>
      <c r="W5976" s="16" t="s">
        <v>40</v>
      </c>
      <c r="X5976" s="19">
        <v>5.2999999999999999E-2</v>
      </c>
      <c r="Y5976" s="20">
        <v>1.8799999999999999E-4</v>
      </c>
      <c r="Z5976" s="21">
        <v>4601004017139</v>
      </c>
    </row>
    <row r="5977" spans="1:26" ht="12" customHeight="1" outlineLevel="4" x14ac:dyDescent="0.2">
      <c r="A5977" s="14" t="s">
        <v>11549</v>
      </c>
      <c r="B5977" s="26" t="s">
        <v>11550</v>
      </c>
      <c r="C5977" s="52"/>
      <c r="D5977" s="55">
        <f t="shared" si="93"/>
        <v>0</v>
      </c>
      <c r="E5977" s="63" t="str">
        <f>HYPERLINK("https://www.sds-group.ru/product/styazhka-kabelnaya-neylonovaya-300x4-8mm-zelenaya-25-sht-up-rexant-07-0303-25/", "Инфо")</f>
        <v>Инфо</v>
      </c>
      <c r="F5977" s="16" t="s">
        <v>1001</v>
      </c>
      <c r="G5977" s="15"/>
      <c r="H5977" s="15"/>
      <c r="I5977" s="15"/>
      <c r="J5977" s="17">
        <v>443</v>
      </c>
      <c r="K5977" s="15" t="s">
        <v>4926</v>
      </c>
      <c r="L5977" s="17">
        <v>10</v>
      </c>
      <c r="M5977" s="17">
        <v>300</v>
      </c>
      <c r="N5977" s="17">
        <v>10</v>
      </c>
      <c r="O5977" s="18">
        <v>164.13</v>
      </c>
      <c r="P5977" s="18">
        <v>134.53</v>
      </c>
      <c r="Q5977" s="18">
        <v>152.63999999999999</v>
      </c>
      <c r="R5977" s="18">
        <v>125.11</v>
      </c>
      <c r="S5977" s="18">
        <v>111.61</v>
      </c>
      <c r="T5977" s="18">
        <v>91.48</v>
      </c>
      <c r="U5977" s="16"/>
      <c r="V5977" s="16"/>
      <c r="W5977" s="16" t="s">
        <v>40</v>
      </c>
      <c r="X5977" s="19">
        <v>5.2999999999999999E-2</v>
      </c>
      <c r="Y5977" s="20">
        <v>1.8799999999999999E-4</v>
      </c>
      <c r="Z5977" s="21">
        <v>4601004017337</v>
      </c>
    </row>
    <row r="5978" spans="1:26" ht="12" customHeight="1" outlineLevel="4" x14ac:dyDescent="0.2">
      <c r="A5978" s="32" t="s">
        <v>11551</v>
      </c>
      <c r="B5978" s="74" t="s">
        <v>11552</v>
      </c>
      <c r="C5978" s="50"/>
      <c r="D5978" s="53">
        <f t="shared" si="93"/>
        <v>0</v>
      </c>
      <c r="E5978" s="60" t="str">
        <f>HYPERLINK("https://www.sds-group.ru/product/styazhka-kabelnaya-neylonovaya-300x4-8mm-korichnevo-zolotaya-ral8001-100-sht-up-rexant-07-0300-6/", "Инфо")</f>
        <v>Инфо</v>
      </c>
      <c r="F5978" s="34" t="s">
        <v>1001</v>
      </c>
      <c r="G5978" s="33"/>
      <c r="H5978" s="33" t="s">
        <v>40</v>
      </c>
      <c r="I5978" s="33"/>
      <c r="J5978" s="39">
        <v>3683</v>
      </c>
      <c r="K5978" s="33"/>
      <c r="L5978" s="35">
        <v>1</v>
      </c>
      <c r="M5978" s="35">
        <v>100</v>
      </c>
      <c r="N5978" s="35">
        <v>1</v>
      </c>
      <c r="O5978" s="36">
        <v>193.83</v>
      </c>
      <c r="P5978" s="36">
        <v>158.88</v>
      </c>
      <c r="Q5978" s="36">
        <v>135.68</v>
      </c>
      <c r="R5978" s="36">
        <v>111.21</v>
      </c>
      <c r="S5978" s="36">
        <v>131.80000000000001</v>
      </c>
      <c r="T5978" s="36">
        <v>108.03</v>
      </c>
      <c r="U5978" s="34"/>
      <c r="V5978" s="34"/>
      <c r="W5978" s="34"/>
      <c r="X5978" s="37">
        <v>0.19700000000000001</v>
      </c>
      <c r="Y5978" s="38">
        <v>5.62E-4</v>
      </c>
      <c r="Z5978" s="21">
        <v>4601004271487</v>
      </c>
    </row>
    <row r="5979" spans="1:26" ht="12" customHeight="1" outlineLevel="4" x14ac:dyDescent="0.2">
      <c r="A5979" s="14" t="s">
        <v>11553</v>
      </c>
      <c r="B5979" s="26" t="s">
        <v>11554</v>
      </c>
      <c r="C5979" s="52"/>
      <c r="D5979" s="55">
        <f t="shared" si="93"/>
        <v>0</v>
      </c>
      <c r="E5979" s="63" t="str">
        <f>HYPERLINK("https://www.sds-group.ru/product/styazhka-kabelnaya-neylonovaya-300x4-8mm-nabor-5-tsvetov-25-sht-up-rexant-07-0308-25/", "Инфо")</f>
        <v>Инфо</v>
      </c>
      <c r="F5979" s="16" t="s">
        <v>1001</v>
      </c>
      <c r="G5979" s="15"/>
      <c r="H5979" s="15"/>
      <c r="I5979" s="15"/>
      <c r="J5979" s="17">
        <v>220</v>
      </c>
      <c r="K5979" s="15" t="s">
        <v>10151</v>
      </c>
      <c r="L5979" s="17">
        <v>10</v>
      </c>
      <c r="M5979" s="17">
        <v>300</v>
      </c>
      <c r="N5979" s="17">
        <v>10</v>
      </c>
      <c r="O5979" s="18">
        <v>141.22</v>
      </c>
      <c r="P5979" s="18">
        <v>115.75</v>
      </c>
      <c r="Q5979" s="18">
        <v>131.33000000000001</v>
      </c>
      <c r="R5979" s="18">
        <v>107.65</v>
      </c>
      <c r="S5979" s="18">
        <v>96.03</v>
      </c>
      <c r="T5979" s="18">
        <v>78.709999999999994</v>
      </c>
      <c r="U5979" s="16"/>
      <c r="V5979" s="16"/>
      <c r="W5979" s="16" t="s">
        <v>40</v>
      </c>
      <c r="X5979" s="19">
        <v>5.2999999999999999E-2</v>
      </c>
      <c r="Y5979" s="20">
        <v>1.85E-4</v>
      </c>
      <c r="Z5979" s="21">
        <v>4601004017382</v>
      </c>
    </row>
    <row r="5980" spans="1:26" ht="12" customHeight="1" outlineLevel="4" x14ac:dyDescent="0.2">
      <c r="A5980" s="14" t="s">
        <v>11555</v>
      </c>
      <c r="B5980" s="26" t="s">
        <v>11556</v>
      </c>
      <c r="C5980" s="52"/>
      <c r="D5980" s="55">
        <f t="shared" si="93"/>
        <v>0</v>
      </c>
      <c r="E5980" s="63" t="str">
        <f>HYPERLINK("https://www.sds-group.ru/product/styazhka-kabelnaya-neylonovaya-300x4-8mm-chernaya-25-sht-up-rexant-07-0301-25/", "Инфо")</f>
        <v>Инфо</v>
      </c>
      <c r="F5980" s="16" t="s">
        <v>1001</v>
      </c>
      <c r="G5980" s="15"/>
      <c r="H5980" s="15"/>
      <c r="I5980" s="15"/>
      <c r="J5980" s="22">
        <v>1927</v>
      </c>
      <c r="K5980" s="15" t="s">
        <v>4926</v>
      </c>
      <c r="L5980" s="17">
        <v>10</v>
      </c>
      <c r="M5980" s="17">
        <v>300</v>
      </c>
      <c r="N5980" s="17">
        <v>10</v>
      </c>
      <c r="O5980" s="18">
        <v>164.24</v>
      </c>
      <c r="P5980" s="18">
        <v>134.62</v>
      </c>
      <c r="Q5980" s="18">
        <v>152.74</v>
      </c>
      <c r="R5980" s="18">
        <v>125.2</v>
      </c>
      <c r="S5980" s="18">
        <v>111.68</v>
      </c>
      <c r="T5980" s="18">
        <v>91.54</v>
      </c>
      <c r="U5980" s="16"/>
      <c r="V5980" s="16"/>
      <c r="W5980" s="16" t="s">
        <v>40</v>
      </c>
      <c r="X5980" s="19">
        <v>5.6000000000000001E-2</v>
      </c>
      <c r="Y5980" s="20">
        <v>1.9699999999999999E-4</v>
      </c>
      <c r="Z5980" s="21">
        <v>4601004017184</v>
      </c>
    </row>
    <row r="5981" spans="1:26" ht="12" customHeight="1" outlineLevel="4" x14ac:dyDescent="0.2">
      <c r="A5981" s="14" t="s">
        <v>11557</v>
      </c>
      <c r="B5981" s="26" t="s">
        <v>11558</v>
      </c>
      <c r="C5981" s="52"/>
      <c r="D5981" s="55">
        <f t="shared" si="93"/>
        <v>0</v>
      </c>
      <c r="E5981" s="63" t="str">
        <f>HYPERLINK("https://www.sds-group.ru/product/styazhka-kabelnaya-neylonovaya-400x4-8mm-belaya-25-sht-up-rexant-07-0400-25/", "Инфо")</f>
        <v>Инфо</v>
      </c>
      <c r="F5981" s="16" t="s">
        <v>1001</v>
      </c>
      <c r="G5981" s="15"/>
      <c r="H5981" s="15"/>
      <c r="I5981" s="15"/>
      <c r="J5981" s="17">
        <v>299</v>
      </c>
      <c r="K5981" s="15" t="s">
        <v>1650</v>
      </c>
      <c r="L5981" s="17">
        <v>10</v>
      </c>
      <c r="M5981" s="17">
        <v>250</v>
      </c>
      <c r="N5981" s="17">
        <v>10</v>
      </c>
      <c r="O5981" s="18">
        <v>190.65</v>
      </c>
      <c r="P5981" s="18">
        <v>156.27000000000001</v>
      </c>
      <c r="Q5981" s="18">
        <v>177.3</v>
      </c>
      <c r="R5981" s="18">
        <v>145.33000000000001</v>
      </c>
      <c r="S5981" s="18">
        <v>129.63999999999999</v>
      </c>
      <c r="T5981" s="18">
        <v>106.26</v>
      </c>
      <c r="U5981" s="16"/>
      <c r="V5981" s="16"/>
      <c r="W5981" s="16" t="s">
        <v>40</v>
      </c>
      <c r="X5981" s="19">
        <v>7.8E-2</v>
      </c>
      <c r="Y5981" s="20">
        <v>2.2699999999999999E-4</v>
      </c>
      <c r="Z5981" s="21">
        <v>4601004017146</v>
      </c>
    </row>
    <row r="5982" spans="1:26" ht="12" customHeight="1" outlineLevel="4" x14ac:dyDescent="0.2">
      <c r="A5982" s="14" t="s">
        <v>11559</v>
      </c>
      <c r="B5982" s="26" t="s">
        <v>11560</v>
      </c>
      <c r="C5982" s="52"/>
      <c r="D5982" s="55">
        <f t="shared" si="93"/>
        <v>0</v>
      </c>
      <c r="E5982" s="63" t="str">
        <f>HYPERLINK("https://www.sds-group.ru/product/styazhka-kabelnaya-neylonovaya-400x4-8mm-zelenaya-25-sht-up-rexant-07-0403-25/", "Инфо")</f>
        <v>Инфо</v>
      </c>
      <c r="F5982" s="16" t="s">
        <v>1001</v>
      </c>
      <c r="G5982" s="15"/>
      <c r="H5982" s="15"/>
      <c r="I5982" s="15"/>
      <c r="J5982" s="16" t="s">
        <v>100</v>
      </c>
      <c r="K5982" s="15" t="s">
        <v>4926</v>
      </c>
      <c r="L5982" s="17">
        <v>10</v>
      </c>
      <c r="M5982" s="17">
        <v>250</v>
      </c>
      <c r="N5982" s="17">
        <v>10</v>
      </c>
      <c r="O5982" s="18">
        <v>190.65</v>
      </c>
      <c r="P5982" s="18">
        <v>156.27000000000001</v>
      </c>
      <c r="Q5982" s="18">
        <v>177.3</v>
      </c>
      <c r="R5982" s="18">
        <v>145.33000000000001</v>
      </c>
      <c r="S5982" s="18">
        <v>129.63999999999999</v>
      </c>
      <c r="T5982" s="18">
        <v>106.26</v>
      </c>
      <c r="U5982" s="16"/>
      <c r="V5982" s="16"/>
      <c r="W5982" s="16" t="s">
        <v>40</v>
      </c>
      <c r="X5982" s="19">
        <v>7.4999999999999997E-2</v>
      </c>
      <c r="Y5982" s="20">
        <v>2.2800000000000001E-4</v>
      </c>
      <c r="Z5982" s="21">
        <v>4601004017344</v>
      </c>
    </row>
    <row r="5983" spans="1:26" ht="12" customHeight="1" outlineLevel="4" x14ac:dyDescent="0.2">
      <c r="A5983" s="14" t="s">
        <v>11561</v>
      </c>
      <c r="B5983" s="26" t="s">
        <v>11562</v>
      </c>
      <c r="C5983" s="52"/>
      <c r="D5983" s="55">
        <f t="shared" si="93"/>
        <v>0</v>
      </c>
      <c r="E5983" s="63" t="str">
        <f>HYPERLINK("https://www.sds-group.ru/product/styazhka-kabelnaya-neylonovaya-400x4-8mm-nabor-5-tsvetov-25-sht-up-rexant-07-0408-25/", "Инфо")</f>
        <v>Инфо</v>
      </c>
      <c r="F5983" s="16" t="s">
        <v>1001</v>
      </c>
      <c r="G5983" s="15"/>
      <c r="H5983" s="15"/>
      <c r="I5983" s="15"/>
      <c r="J5983" s="16" t="s">
        <v>100</v>
      </c>
      <c r="K5983" s="15" t="s">
        <v>6020</v>
      </c>
      <c r="L5983" s="17">
        <v>10</v>
      </c>
      <c r="M5983" s="17">
        <v>250</v>
      </c>
      <c r="N5983" s="17">
        <v>10</v>
      </c>
      <c r="O5983" s="18">
        <v>211.08</v>
      </c>
      <c r="P5983" s="18">
        <v>173.02</v>
      </c>
      <c r="Q5983" s="18">
        <v>196.3</v>
      </c>
      <c r="R5983" s="18">
        <v>160.9</v>
      </c>
      <c r="S5983" s="18">
        <v>143.53</v>
      </c>
      <c r="T5983" s="18">
        <v>117.65</v>
      </c>
      <c r="U5983" s="16"/>
      <c r="V5983" s="16"/>
      <c r="W5983" s="16" t="s">
        <v>40</v>
      </c>
      <c r="X5983" s="19">
        <v>6.8000000000000005E-2</v>
      </c>
      <c r="Y5983" s="20">
        <v>2.2499999999999999E-4</v>
      </c>
      <c r="Z5983" s="21">
        <v>4601004017399</v>
      </c>
    </row>
    <row r="5984" spans="1:26" ht="12" customHeight="1" outlineLevel="4" x14ac:dyDescent="0.2">
      <c r="A5984" s="14" t="s">
        <v>11563</v>
      </c>
      <c r="B5984" s="26" t="s">
        <v>11564</v>
      </c>
      <c r="C5984" s="52"/>
      <c r="D5984" s="55">
        <f t="shared" si="93"/>
        <v>0</v>
      </c>
      <c r="E5984" s="63" t="str">
        <f>HYPERLINK("https://www.sds-group.ru/product/styazhka-kabelnaya-neylonovaya-400x4-8mm-chernaya-25-sht-up-rexant-07-0401-25/", "Инфо")</f>
        <v>Инфо</v>
      </c>
      <c r="F5984" s="16" t="s">
        <v>1001</v>
      </c>
      <c r="G5984" s="15"/>
      <c r="H5984" s="15"/>
      <c r="I5984" s="15"/>
      <c r="J5984" s="17">
        <v>262</v>
      </c>
      <c r="K5984" s="15" t="s">
        <v>4926</v>
      </c>
      <c r="L5984" s="17">
        <v>10</v>
      </c>
      <c r="M5984" s="17">
        <v>250</v>
      </c>
      <c r="N5984" s="17">
        <v>10</v>
      </c>
      <c r="O5984" s="18">
        <v>190.65</v>
      </c>
      <c r="P5984" s="18">
        <v>156.27000000000001</v>
      </c>
      <c r="Q5984" s="18">
        <v>177.3</v>
      </c>
      <c r="R5984" s="18">
        <v>145.33000000000001</v>
      </c>
      <c r="S5984" s="18">
        <v>129.63999999999999</v>
      </c>
      <c r="T5984" s="18">
        <v>106.26</v>
      </c>
      <c r="U5984" s="16"/>
      <c r="V5984" s="16"/>
      <c r="W5984" s="16" t="s">
        <v>40</v>
      </c>
      <c r="X5984" s="19">
        <v>7.5999999999999998E-2</v>
      </c>
      <c r="Y5984" s="20">
        <v>2.2900000000000001E-4</v>
      </c>
      <c r="Z5984" s="21">
        <v>4601004017191</v>
      </c>
    </row>
    <row r="5985" spans="1:26" ht="12" customHeight="1" outlineLevel="4" x14ac:dyDescent="0.2">
      <c r="A5985" s="14" t="s">
        <v>11565</v>
      </c>
      <c r="B5985" s="26" t="s">
        <v>11566</v>
      </c>
      <c r="C5985" s="52"/>
      <c r="D5985" s="55">
        <f t="shared" si="93"/>
        <v>0</v>
      </c>
      <c r="E5985" s="63" t="str">
        <f>HYPERLINK("https://www.sds-group.ru/product/styazhka-kabelnaya-neylonovaya-700x9-0mm-belaya-25-sht-up-rexant-07-0700-9-25/", "Инфо")</f>
        <v>Инфо</v>
      </c>
      <c r="F5985" s="16" t="s">
        <v>1001</v>
      </c>
      <c r="G5985" s="15"/>
      <c r="H5985" s="15"/>
      <c r="I5985" s="15"/>
      <c r="J5985" s="17">
        <v>73</v>
      </c>
      <c r="K5985" s="15"/>
      <c r="L5985" s="17">
        <v>1</v>
      </c>
      <c r="M5985" s="17">
        <v>10</v>
      </c>
      <c r="N5985" s="17">
        <v>1</v>
      </c>
      <c r="O5985" s="18">
        <v>943.26</v>
      </c>
      <c r="P5985" s="18">
        <v>773.16</v>
      </c>
      <c r="Q5985" s="18">
        <v>811.2</v>
      </c>
      <c r="R5985" s="18">
        <v>664.92</v>
      </c>
      <c r="S5985" s="18">
        <v>641.41999999999996</v>
      </c>
      <c r="T5985" s="18">
        <v>525.75</v>
      </c>
      <c r="U5985" s="16"/>
      <c r="V5985" s="16"/>
      <c r="W5985" s="16" t="s">
        <v>40</v>
      </c>
      <c r="X5985" s="19">
        <v>0.13500000000000001</v>
      </c>
      <c r="Y5985" s="20">
        <v>1.9599999999999999E-3</v>
      </c>
      <c r="Z5985" s="21">
        <v>4601004284975</v>
      </c>
    </row>
    <row r="5986" spans="1:26" ht="12" customHeight="1" outlineLevel="4" x14ac:dyDescent="0.2">
      <c r="A5986" s="14" t="s">
        <v>11567</v>
      </c>
      <c r="B5986" s="26" t="s">
        <v>11568</v>
      </c>
      <c r="C5986" s="52"/>
      <c r="D5986" s="55">
        <f t="shared" si="93"/>
        <v>0</v>
      </c>
      <c r="E5986" s="63" t="str">
        <f>HYPERLINK("https://www.sds-group.ru/product/styazhka-kabelnaya-neylonovaya-700x9-0mm-chernaya-25-sht-up-rexant-07-0701-9-25/", "Инфо")</f>
        <v>Инфо</v>
      </c>
      <c r="F5986" s="16" t="s">
        <v>1001</v>
      </c>
      <c r="G5986" s="15"/>
      <c r="H5986" s="15"/>
      <c r="I5986" s="15"/>
      <c r="J5986" s="17">
        <v>42</v>
      </c>
      <c r="K5986" s="15"/>
      <c r="L5986" s="17">
        <v>1</v>
      </c>
      <c r="M5986" s="17">
        <v>10</v>
      </c>
      <c r="N5986" s="17">
        <v>1</v>
      </c>
      <c r="O5986" s="18">
        <v>943.26</v>
      </c>
      <c r="P5986" s="18">
        <v>773.16</v>
      </c>
      <c r="Q5986" s="18">
        <v>811.2</v>
      </c>
      <c r="R5986" s="18">
        <v>664.92</v>
      </c>
      <c r="S5986" s="18">
        <v>641.41999999999996</v>
      </c>
      <c r="T5986" s="18">
        <v>525.75</v>
      </c>
      <c r="U5986" s="16"/>
      <c r="V5986" s="16"/>
      <c r="W5986" s="16" t="s">
        <v>40</v>
      </c>
      <c r="X5986" s="19">
        <v>0.33</v>
      </c>
      <c r="Y5986" s="20">
        <v>2.111E-3</v>
      </c>
      <c r="Z5986" s="21">
        <v>4601004284968</v>
      </c>
    </row>
    <row r="5987" spans="1:26" ht="12" customHeight="1" outlineLevel="4" x14ac:dyDescent="0.2">
      <c r="A5987" s="32" t="s">
        <v>11569</v>
      </c>
      <c r="B5987" s="74" t="s">
        <v>11570</v>
      </c>
      <c r="C5987" s="50"/>
      <c r="D5987" s="53">
        <f t="shared" si="93"/>
        <v>0</v>
      </c>
      <c r="E5987" s="60" t="str">
        <f>HYPERLINK("https://www.sds-group.ru/product/styazhka-kabelnaya-neylonovaya-920x9-0mm-belaya-25-sht-up-rexant-07-0900-25/", "Инфо")</f>
        <v>Инфо</v>
      </c>
      <c r="F5987" s="34" t="s">
        <v>1001</v>
      </c>
      <c r="G5987" s="33"/>
      <c r="H5987" s="33" t="s">
        <v>40</v>
      </c>
      <c r="I5987" s="33"/>
      <c r="J5987" s="35">
        <v>34</v>
      </c>
      <c r="K5987" s="33"/>
      <c r="L5987" s="35">
        <v>1</v>
      </c>
      <c r="M5987" s="35">
        <v>10</v>
      </c>
      <c r="N5987" s="35">
        <v>1</v>
      </c>
      <c r="O5987" s="36">
        <v>1304.4000000000001</v>
      </c>
      <c r="P5987" s="36">
        <v>1069.18</v>
      </c>
      <c r="Q5987" s="36">
        <v>1121.78</v>
      </c>
      <c r="R5987" s="36">
        <v>919.49</v>
      </c>
      <c r="S5987" s="36">
        <v>886.99</v>
      </c>
      <c r="T5987" s="36">
        <v>727.04</v>
      </c>
      <c r="U5987" s="34"/>
      <c r="V5987" s="34"/>
      <c r="W5987" s="34" t="s">
        <v>40</v>
      </c>
      <c r="X5987" s="37">
        <v>1.79</v>
      </c>
      <c r="Y5987" s="38">
        <v>2.7599999999999999E-3</v>
      </c>
      <c r="Z5987" s="21">
        <v>4601004284944</v>
      </c>
    </row>
    <row r="5988" spans="1:26" ht="12" customHeight="1" outlineLevel="4" x14ac:dyDescent="0.2">
      <c r="A5988" s="14" t="s">
        <v>11571</v>
      </c>
      <c r="B5988" s="26" t="s">
        <v>11572</v>
      </c>
      <c r="C5988" s="52"/>
      <c r="D5988" s="55">
        <f t="shared" si="93"/>
        <v>0</v>
      </c>
      <c r="E5988" s="63" t="str">
        <f>HYPERLINK("https://www.sds-group.ru/product/styajka-kabelnaya-neylonovaya-920x9-0mm-chernaya-25-sht-up-rexant-30832/", "Инфо")</f>
        <v>Инфо</v>
      </c>
      <c r="F5988" s="16" t="s">
        <v>1001</v>
      </c>
      <c r="G5988" s="15"/>
      <c r="H5988" s="15"/>
      <c r="I5988" s="15"/>
      <c r="J5988" s="17">
        <v>19</v>
      </c>
      <c r="K5988" s="15"/>
      <c r="L5988" s="17">
        <v>1</v>
      </c>
      <c r="M5988" s="17">
        <v>10</v>
      </c>
      <c r="N5988" s="17">
        <v>1</v>
      </c>
      <c r="O5988" s="18">
        <v>1304.4000000000001</v>
      </c>
      <c r="P5988" s="18">
        <v>1069.18</v>
      </c>
      <c r="Q5988" s="18">
        <v>1121.78</v>
      </c>
      <c r="R5988" s="18">
        <v>919.49</v>
      </c>
      <c r="S5988" s="18">
        <v>886.99</v>
      </c>
      <c r="T5988" s="18">
        <v>727.04</v>
      </c>
      <c r="U5988" s="16"/>
      <c r="V5988" s="16"/>
      <c r="W5988" s="16" t="s">
        <v>40</v>
      </c>
      <c r="X5988" s="19">
        <v>1.79</v>
      </c>
      <c r="Y5988" s="20">
        <v>2.7599999999999999E-3</v>
      </c>
      <c r="Z5988" s="21">
        <v>4601004284951</v>
      </c>
    </row>
    <row r="5989" spans="1:26" ht="12.95" customHeight="1" outlineLevel="3" x14ac:dyDescent="0.2">
      <c r="A5989" s="76" t="s">
        <v>11573</v>
      </c>
      <c r="B5989" s="76"/>
      <c r="C5989" s="77"/>
      <c r="D5989" s="58"/>
      <c r="E5989" s="68"/>
      <c r="F5989" s="13"/>
      <c r="G5989" s="13"/>
      <c r="H5989" s="13"/>
      <c r="I5989" s="13"/>
      <c r="J5989" s="13"/>
      <c r="K5989" s="13"/>
      <c r="L5989" s="13"/>
      <c r="M5989" s="13"/>
      <c r="N5989" s="13"/>
      <c r="O5989" s="13"/>
      <c r="P5989" s="13"/>
      <c r="Q5989" s="13"/>
      <c r="R5989" s="13"/>
      <c r="S5989" s="13"/>
      <c r="T5989" s="13"/>
      <c r="U5989" s="13"/>
      <c r="V5989" s="13"/>
      <c r="W5989" s="13"/>
      <c r="X5989" s="13"/>
      <c r="Y5989" s="13"/>
      <c r="Z5989" s="13"/>
    </row>
    <row r="5990" spans="1:26" ht="12" customHeight="1" outlineLevel="4" x14ac:dyDescent="0.2">
      <c r="A5990" s="14" t="s">
        <v>11574</v>
      </c>
      <c r="B5990" s="26" t="s">
        <v>11575</v>
      </c>
      <c r="C5990" s="52"/>
      <c r="D5990" s="55">
        <f t="shared" si="93"/>
        <v>0</v>
      </c>
      <c r="E5990" s="63" t="str">
        <f>HYPERLINK("https://www.sds-group.ru/product/styazhka-neylonovaya-professionalnaya-150x3-6mm-belaya-100-sht-up-rexant-67-0150-4/", "Инфо")</f>
        <v>Инфо</v>
      </c>
      <c r="F5990" s="16" t="s">
        <v>1001</v>
      </c>
      <c r="G5990" s="15"/>
      <c r="H5990" s="15"/>
      <c r="I5990" s="15"/>
      <c r="J5990" s="22">
        <v>2988</v>
      </c>
      <c r="K5990" s="15" t="s">
        <v>6020</v>
      </c>
      <c r="L5990" s="17">
        <v>10</v>
      </c>
      <c r="M5990" s="17">
        <v>200</v>
      </c>
      <c r="N5990" s="17">
        <v>10</v>
      </c>
      <c r="O5990" s="18">
        <v>156.32</v>
      </c>
      <c r="P5990" s="18">
        <v>128.13</v>
      </c>
      <c r="Q5990" s="18">
        <v>145.38</v>
      </c>
      <c r="R5990" s="18">
        <v>119.16</v>
      </c>
      <c r="S5990" s="18">
        <v>106.3</v>
      </c>
      <c r="T5990" s="18">
        <v>87.13</v>
      </c>
      <c r="U5990" s="16"/>
      <c r="V5990" s="16"/>
      <c r="W5990" s="16" t="s">
        <v>40</v>
      </c>
      <c r="X5990" s="19">
        <v>8.2000000000000003E-2</v>
      </c>
      <c r="Y5990" s="20">
        <v>2.6699999999999998E-4</v>
      </c>
      <c r="Z5990" s="21">
        <v>4601004074033</v>
      </c>
    </row>
    <row r="5991" spans="1:26" ht="12" customHeight="1" outlineLevel="4" x14ac:dyDescent="0.2">
      <c r="A5991" s="14" t="s">
        <v>11576</v>
      </c>
      <c r="B5991" s="26" t="s">
        <v>11577</v>
      </c>
      <c r="C5991" s="52"/>
      <c r="D5991" s="55">
        <f t="shared" si="93"/>
        <v>0</v>
      </c>
      <c r="E5991" s="63" t="str">
        <f>HYPERLINK("https://www.sds-group.ru/product/styazhka-neylonovaya-professionalnaya-150x3-6mm-chernaya-100-sht-up-rexant-67-0151-4/", "Инфо")</f>
        <v>Инфо</v>
      </c>
      <c r="F5991" s="16" t="s">
        <v>1001</v>
      </c>
      <c r="G5991" s="15"/>
      <c r="H5991" s="15"/>
      <c r="I5991" s="15"/>
      <c r="J5991" s="22">
        <v>2402</v>
      </c>
      <c r="K5991" s="15" t="s">
        <v>6930</v>
      </c>
      <c r="L5991" s="17">
        <v>10</v>
      </c>
      <c r="M5991" s="17">
        <v>200</v>
      </c>
      <c r="N5991" s="17">
        <v>10</v>
      </c>
      <c r="O5991" s="18">
        <v>156.32</v>
      </c>
      <c r="P5991" s="18">
        <v>128.13</v>
      </c>
      <c r="Q5991" s="18">
        <v>145.38</v>
      </c>
      <c r="R5991" s="18">
        <v>119.16</v>
      </c>
      <c r="S5991" s="18">
        <v>106.3</v>
      </c>
      <c r="T5991" s="18">
        <v>87.13</v>
      </c>
      <c r="U5991" s="16"/>
      <c r="V5991" s="16"/>
      <c r="W5991" s="16" t="s">
        <v>40</v>
      </c>
      <c r="X5991" s="19">
        <v>0.08</v>
      </c>
      <c r="Y5991" s="20">
        <v>2.2800000000000001E-4</v>
      </c>
      <c r="Z5991" s="21">
        <v>4601004073906</v>
      </c>
    </row>
    <row r="5992" spans="1:26" ht="12" customHeight="1" outlineLevel="4" x14ac:dyDescent="0.2">
      <c r="A5992" s="14" t="s">
        <v>11578</v>
      </c>
      <c r="B5992" s="26" t="s">
        <v>11579</v>
      </c>
      <c r="C5992" s="52"/>
      <c r="D5992" s="55">
        <f t="shared" si="93"/>
        <v>0</v>
      </c>
      <c r="E5992" s="63" t="str">
        <f>HYPERLINK("https://www.sds-group.ru/product/styazhka-neylonovaya-professionalnaya-200x3-6mm-belaya-100-sht-up-rexant-67-0200/", "Инфо")</f>
        <v>Инфо</v>
      </c>
      <c r="F5992" s="16" t="s">
        <v>1001</v>
      </c>
      <c r="G5992" s="15"/>
      <c r="H5992" s="15"/>
      <c r="I5992" s="15"/>
      <c r="J5992" s="17">
        <v>722</v>
      </c>
      <c r="K5992" s="15" t="s">
        <v>3762</v>
      </c>
      <c r="L5992" s="17">
        <v>10</v>
      </c>
      <c r="M5992" s="17">
        <v>200</v>
      </c>
      <c r="N5992" s="17">
        <v>10</v>
      </c>
      <c r="O5992" s="18">
        <v>200.51</v>
      </c>
      <c r="P5992" s="18">
        <v>164.35</v>
      </c>
      <c r="Q5992" s="18">
        <v>186.47</v>
      </c>
      <c r="R5992" s="18">
        <v>152.84</v>
      </c>
      <c r="S5992" s="18">
        <v>136.35</v>
      </c>
      <c r="T5992" s="18">
        <v>111.76</v>
      </c>
      <c r="U5992" s="16"/>
      <c r="V5992" s="16"/>
      <c r="W5992" s="16" t="s">
        <v>40</v>
      </c>
      <c r="X5992" s="19">
        <v>0.10299999999999999</v>
      </c>
      <c r="Y5992" s="20">
        <v>3.0299999999999999E-4</v>
      </c>
      <c r="Z5992" s="21">
        <v>4601004073913</v>
      </c>
    </row>
    <row r="5993" spans="1:26" ht="12" customHeight="1" outlineLevel="4" x14ac:dyDescent="0.2">
      <c r="A5993" s="14" t="s">
        <v>11580</v>
      </c>
      <c r="B5993" s="26" t="s">
        <v>11581</v>
      </c>
      <c r="C5993" s="52"/>
      <c r="D5993" s="55">
        <f t="shared" si="93"/>
        <v>0</v>
      </c>
      <c r="E5993" s="63" t="str">
        <f>HYPERLINK("https://www.sds-group.ru/product/styazhka-neylonovaya-professionalnaya-200x3-6mm-chernaya-100-sht-up-rexant-67-0201/", "Инфо")</f>
        <v>Инфо</v>
      </c>
      <c r="F5993" s="16" t="s">
        <v>1001</v>
      </c>
      <c r="G5993" s="15"/>
      <c r="H5993" s="15"/>
      <c r="I5993" s="15"/>
      <c r="J5993" s="22">
        <v>1890</v>
      </c>
      <c r="K5993" s="15" t="s">
        <v>7336</v>
      </c>
      <c r="L5993" s="17">
        <v>10</v>
      </c>
      <c r="M5993" s="17">
        <v>200</v>
      </c>
      <c r="N5993" s="17">
        <v>10</v>
      </c>
      <c r="O5993" s="18">
        <v>200.51</v>
      </c>
      <c r="P5993" s="18">
        <v>164.35</v>
      </c>
      <c r="Q5993" s="18">
        <v>186.47</v>
      </c>
      <c r="R5993" s="18">
        <v>152.84</v>
      </c>
      <c r="S5993" s="18">
        <v>136.35</v>
      </c>
      <c r="T5993" s="18">
        <v>111.76</v>
      </c>
      <c r="U5993" s="16"/>
      <c r="V5993" s="16"/>
      <c r="W5993" s="16" t="s">
        <v>40</v>
      </c>
      <c r="X5993" s="19">
        <v>0.104</v>
      </c>
      <c r="Y5993" s="20">
        <v>3.0299999999999999E-4</v>
      </c>
      <c r="Z5993" s="21">
        <v>4601004073920</v>
      </c>
    </row>
    <row r="5994" spans="1:26" ht="12" customHeight="1" outlineLevel="4" x14ac:dyDescent="0.2">
      <c r="A5994" s="14" t="s">
        <v>11582</v>
      </c>
      <c r="B5994" s="26" t="s">
        <v>11583</v>
      </c>
      <c r="C5994" s="52"/>
      <c r="D5994" s="55">
        <f t="shared" si="93"/>
        <v>0</v>
      </c>
      <c r="E5994" s="63" t="str">
        <f>HYPERLINK("https://www.sds-group.ru/product/styazhka-neylonovaya-professionalnaya-200x4-8mm-belaya-100-sht-up-rexant-67-0200-5/", "Инфо")</f>
        <v>Инфо</v>
      </c>
      <c r="F5994" s="16" t="s">
        <v>1001</v>
      </c>
      <c r="G5994" s="15"/>
      <c r="H5994" s="15"/>
      <c r="I5994" s="15"/>
      <c r="J5994" s="17">
        <v>755</v>
      </c>
      <c r="K5994" s="15" t="s">
        <v>6930</v>
      </c>
      <c r="L5994" s="17">
        <v>10</v>
      </c>
      <c r="M5994" s="17">
        <v>100</v>
      </c>
      <c r="N5994" s="17">
        <v>10</v>
      </c>
      <c r="O5994" s="18">
        <v>302.93</v>
      </c>
      <c r="P5994" s="18">
        <v>248.3</v>
      </c>
      <c r="Q5994" s="18">
        <v>281.72000000000003</v>
      </c>
      <c r="R5994" s="18">
        <v>230.92</v>
      </c>
      <c r="S5994" s="18">
        <v>205.99</v>
      </c>
      <c r="T5994" s="18">
        <v>168.84</v>
      </c>
      <c r="U5994" s="16"/>
      <c r="V5994" s="16"/>
      <c r="W5994" s="16" t="s">
        <v>40</v>
      </c>
      <c r="X5994" s="19">
        <v>0.16300000000000001</v>
      </c>
      <c r="Y5994" s="20">
        <v>4.3600000000000003E-4</v>
      </c>
      <c r="Z5994" s="21">
        <v>4601004073937</v>
      </c>
    </row>
    <row r="5995" spans="1:26" ht="12" customHeight="1" outlineLevel="4" x14ac:dyDescent="0.2">
      <c r="A5995" s="14" t="s">
        <v>11584</v>
      </c>
      <c r="B5995" s="26" t="s">
        <v>11585</v>
      </c>
      <c r="C5995" s="52"/>
      <c r="D5995" s="55">
        <f t="shared" si="93"/>
        <v>0</v>
      </c>
      <c r="E5995" s="63" t="str">
        <f>HYPERLINK("https://www.sds-group.ru/product/styazhka-neylonovaya-professionalnaya-200x4-8mm-chernaya-100-sht-up-rexant-67-0201-5/", "Инфо")</f>
        <v>Инфо</v>
      </c>
      <c r="F5995" s="16" t="s">
        <v>1001</v>
      </c>
      <c r="G5995" s="15"/>
      <c r="H5995" s="15"/>
      <c r="I5995" s="15"/>
      <c r="J5995" s="22">
        <v>2857</v>
      </c>
      <c r="K5995" s="15" t="s">
        <v>7336</v>
      </c>
      <c r="L5995" s="17">
        <v>10</v>
      </c>
      <c r="M5995" s="17">
        <v>100</v>
      </c>
      <c r="N5995" s="17">
        <v>10</v>
      </c>
      <c r="O5995" s="18">
        <v>302.93</v>
      </c>
      <c r="P5995" s="18">
        <v>248.3</v>
      </c>
      <c r="Q5995" s="18">
        <v>281.72000000000003</v>
      </c>
      <c r="R5995" s="18">
        <v>230.92</v>
      </c>
      <c r="S5995" s="18">
        <v>205.99</v>
      </c>
      <c r="T5995" s="18">
        <v>168.84</v>
      </c>
      <c r="U5995" s="16"/>
      <c r="V5995" s="16"/>
      <c r="W5995" s="16" t="s">
        <v>40</v>
      </c>
      <c r="X5995" s="19">
        <v>0.16300000000000001</v>
      </c>
      <c r="Y5995" s="20">
        <v>4.1599999999999997E-4</v>
      </c>
      <c r="Z5995" s="21">
        <v>4601004074026</v>
      </c>
    </row>
    <row r="5996" spans="1:26" ht="12" customHeight="1" outlineLevel="4" x14ac:dyDescent="0.2">
      <c r="A5996" s="32" t="s">
        <v>11586</v>
      </c>
      <c r="B5996" s="74" t="s">
        <v>11587</v>
      </c>
      <c r="C5996" s="50"/>
      <c r="D5996" s="53">
        <f t="shared" si="93"/>
        <v>0</v>
      </c>
      <c r="E5996" s="60" t="str">
        <f>HYPERLINK("https://www.sds-group.ru/product/styazhka-neylonovaya-professionalnaya-200x7-5mm-belaya-100-sht-up-rexant-67-0202/", "Инфо")</f>
        <v>Инфо</v>
      </c>
      <c r="F5996" s="34" t="s">
        <v>1001</v>
      </c>
      <c r="G5996" s="33"/>
      <c r="H5996" s="33" t="s">
        <v>40</v>
      </c>
      <c r="I5996" s="33"/>
      <c r="J5996" s="35">
        <v>455</v>
      </c>
      <c r="K5996" s="33"/>
      <c r="L5996" s="35">
        <v>1</v>
      </c>
      <c r="M5996" s="35">
        <v>50</v>
      </c>
      <c r="N5996" s="35">
        <v>1</v>
      </c>
      <c r="O5996" s="36">
        <v>587.53</v>
      </c>
      <c r="P5996" s="36">
        <v>481.58</v>
      </c>
      <c r="Q5996" s="36">
        <v>511.15</v>
      </c>
      <c r="R5996" s="36">
        <v>418.98</v>
      </c>
      <c r="S5996" s="36">
        <v>399.52</v>
      </c>
      <c r="T5996" s="36">
        <v>327.48</v>
      </c>
      <c r="U5996" s="34"/>
      <c r="V5996" s="34"/>
      <c r="W5996" s="34" t="s">
        <v>40</v>
      </c>
      <c r="X5996" s="37">
        <v>0.28199999999999997</v>
      </c>
      <c r="Y5996" s="38">
        <v>8.4900000000000004E-4</v>
      </c>
      <c r="Z5996" s="21">
        <v>4601004125674</v>
      </c>
    </row>
    <row r="5997" spans="1:26" ht="12" customHeight="1" outlineLevel="4" x14ac:dyDescent="0.2">
      <c r="A5997" s="14" t="s">
        <v>11588</v>
      </c>
      <c r="B5997" s="26" t="s">
        <v>11589</v>
      </c>
      <c r="C5997" s="52"/>
      <c r="D5997" s="55">
        <f t="shared" si="93"/>
        <v>0</v>
      </c>
      <c r="E5997" s="63" t="str">
        <f>HYPERLINK("https://www.sds-group.ru/product/styazhka-neylonovaya-professionalnaya-200x7-5mm-chernaya-100-sht-up-rexant-67-0203/", "Инфо")</f>
        <v>Инфо</v>
      </c>
      <c r="F5997" s="16" t="s">
        <v>1001</v>
      </c>
      <c r="G5997" s="15"/>
      <c r="H5997" s="15"/>
      <c r="I5997" s="15"/>
      <c r="J5997" s="17">
        <v>66</v>
      </c>
      <c r="K5997" s="15" t="s">
        <v>10151</v>
      </c>
      <c r="L5997" s="17">
        <v>10</v>
      </c>
      <c r="M5997" s="17">
        <v>50</v>
      </c>
      <c r="N5997" s="17">
        <v>10</v>
      </c>
      <c r="O5997" s="18">
        <v>587.53</v>
      </c>
      <c r="P5997" s="18">
        <v>481.58</v>
      </c>
      <c r="Q5997" s="18">
        <v>511.15</v>
      </c>
      <c r="R5997" s="18">
        <v>418.98</v>
      </c>
      <c r="S5997" s="18">
        <v>399.52</v>
      </c>
      <c r="T5997" s="18">
        <v>327.48</v>
      </c>
      <c r="U5997" s="16"/>
      <c r="V5997" s="16"/>
      <c r="W5997" s="16" t="s">
        <v>40</v>
      </c>
      <c r="X5997" s="19">
        <v>0.31</v>
      </c>
      <c r="Y5997" s="20">
        <v>8.6600000000000002E-4</v>
      </c>
      <c r="Z5997" s="21">
        <v>4601004125681</v>
      </c>
    </row>
    <row r="5998" spans="1:26" ht="12" customHeight="1" outlineLevel="4" x14ac:dyDescent="0.2">
      <c r="A5998" s="14" t="s">
        <v>11590</v>
      </c>
      <c r="B5998" s="26" t="s">
        <v>11591</v>
      </c>
      <c r="C5998" s="52"/>
      <c r="D5998" s="55">
        <f t="shared" si="93"/>
        <v>0</v>
      </c>
      <c r="E5998" s="63" t="str">
        <f>HYPERLINK("https://www.sds-group.ru/product/styazhka-neylonovaya-professionalnaya-250x3-6mm-belaya-100-sht-up-rexant-67-0250/", "Инфо")</f>
        <v>Инфо</v>
      </c>
      <c r="F5998" s="16" t="s">
        <v>1001</v>
      </c>
      <c r="G5998" s="15"/>
      <c r="H5998" s="15"/>
      <c r="I5998" s="15"/>
      <c r="J5998" s="16" t="s">
        <v>100</v>
      </c>
      <c r="K5998" s="15" t="s">
        <v>6930</v>
      </c>
      <c r="L5998" s="17">
        <v>10</v>
      </c>
      <c r="M5998" s="17">
        <v>100</v>
      </c>
      <c r="N5998" s="17">
        <v>10</v>
      </c>
      <c r="O5998" s="18">
        <v>244.71</v>
      </c>
      <c r="P5998" s="18">
        <v>200.58</v>
      </c>
      <c r="Q5998" s="18">
        <v>227.58</v>
      </c>
      <c r="R5998" s="18">
        <v>186.54</v>
      </c>
      <c r="S5998" s="18">
        <v>166.4</v>
      </c>
      <c r="T5998" s="18">
        <v>136.38999999999999</v>
      </c>
      <c r="U5998" s="16"/>
      <c r="V5998" s="16"/>
      <c r="W5998" s="16" t="s">
        <v>40</v>
      </c>
      <c r="X5998" s="19">
        <v>0.14599999999999999</v>
      </c>
      <c r="Y5998" s="20">
        <v>4.0499999999999998E-4</v>
      </c>
      <c r="Z5998" s="21">
        <v>4601004073944</v>
      </c>
    </row>
    <row r="5999" spans="1:26" ht="12" customHeight="1" outlineLevel="4" x14ac:dyDescent="0.2">
      <c r="A5999" s="14" t="s">
        <v>11592</v>
      </c>
      <c r="B5999" s="26" t="s">
        <v>11593</v>
      </c>
      <c r="C5999" s="52"/>
      <c r="D5999" s="55">
        <f t="shared" si="93"/>
        <v>0</v>
      </c>
      <c r="E5999" s="63" t="str">
        <f>HYPERLINK("https://www.sds-group.ru/product/styazhka-neylonovaya-professionalnaya-250x3-6mm-chernaya-100-sht-up-rexant-67-0251/", "Инфо")</f>
        <v>Инфо</v>
      </c>
      <c r="F5999" s="16" t="s">
        <v>1001</v>
      </c>
      <c r="G5999" s="15"/>
      <c r="H5999" s="15"/>
      <c r="I5999" s="15"/>
      <c r="J5999" s="22">
        <v>3381</v>
      </c>
      <c r="K5999" s="15" t="s">
        <v>7336</v>
      </c>
      <c r="L5999" s="17">
        <v>10</v>
      </c>
      <c r="M5999" s="17">
        <v>100</v>
      </c>
      <c r="N5999" s="17">
        <v>10</v>
      </c>
      <c r="O5999" s="18">
        <v>244.71</v>
      </c>
      <c r="P5999" s="18">
        <v>200.58</v>
      </c>
      <c r="Q5999" s="18">
        <v>227.58</v>
      </c>
      <c r="R5999" s="18">
        <v>186.54</v>
      </c>
      <c r="S5999" s="18">
        <v>166.4</v>
      </c>
      <c r="T5999" s="18">
        <v>136.38999999999999</v>
      </c>
      <c r="U5999" s="16"/>
      <c r="V5999" s="16"/>
      <c r="W5999" s="16" t="s">
        <v>40</v>
      </c>
      <c r="X5999" s="19">
        <v>0.14599999999999999</v>
      </c>
      <c r="Y5999" s="20">
        <v>4.1300000000000001E-4</v>
      </c>
      <c r="Z5999" s="21">
        <v>4601004073968</v>
      </c>
    </row>
    <row r="6000" spans="1:26" ht="12" customHeight="1" outlineLevel="4" x14ac:dyDescent="0.2">
      <c r="A6000" s="14" t="s">
        <v>11594</v>
      </c>
      <c r="B6000" s="26" t="s">
        <v>11595</v>
      </c>
      <c r="C6000" s="52"/>
      <c r="D6000" s="55">
        <f t="shared" si="93"/>
        <v>0</v>
      </c>
      <c r="E6000" s="63" t="str">
        <f>HYPERLINK("https://www.sds-group.ru/product/styazhka-neylonovaya-professionalnaya-250x4-8mm-belaya-100-sht-up-rexant-67-0250-5/", "Инфо")</f>
        <v>Инфо</v>
      </c>
      <c r="F6000" s="16" t="s">
        <v>1001</v>
      </c>
      <c r="G6000" s="15"/>
      <c r="H6000" s="15"/>
      <c r="I6000" s="15"/>
      <c r="J6000" s="22">
        <v>1656</v>
      </c>
      <c r="K6000" s="15"/>
      <c r="L6000" s="17">
        <v>10</v>
      </c>
      <c r="M6000" s="17">
        <v>100</v>
      </c>
      <c r="N6000" s="17">
        <v>10</v>
      </c>
      <c r="O6000" s="18">
        <v>342.27</v>
      </c>
      <c r="P6000" s="18">
        <v>280.55</v>
      </c>
      <c r="Q6000" s="18">
        <v>297.77</v>
      </c>
      <c r="R6000" s="18">
        <v>244.07</v>
      </c>
      <c r="S6000" s="18">
        <v>232.74</v>
      </c>
      <c r="T6000" s="18">
        <v>190.77</v>
      </c>
      <c r="U6000" s="16"/>
      <c r="V6000" s="16"/>
      <c r="W6000" s="16" t="s">
        <v>40</v>
      </c>
      <c r="X6000" s="19">
        <v>0.19900000000000001</v>
      </c>
      <c r="Y6000" s="20">
        <v>5.1900000000000004E-4</v>
      </c>
      <c r="Z6000" s="21">
        <v>4601004073951</v>
      </c>
    </row>
    <row r="6001" spans="1:26" ht="12" customHeight="1" outlineLevel="4" x14ac:dyDescent="0.2">
      <c r="A6001" s="14" t="s">
        <v>11596</v>
      </c>
      <c r="B6001" s="26" t="s">
        <v>11597</v>
      </c>
      <c r="C6001" s="52"/>
      <c r="D6001" s="55">
        <f t="shared" si="93"/>
        <v>0</v>
      </c>
      <c r="E6001" s="63" t="str">
        <f>HYPERLINK("https://www.sds-group.ru/product/styazhka-neylonovaya-professionalnaya-250x4-8mm-chernaya-100-sht-up-rexant-67-0251-5/", "Инфо")</f>
        <v>Инфо</v>
      </c>
      <c r="F6001" s="16" t="s">
        <v>1001</v>
      </c>
      <c r="G6001" s="15"/>
      <c r="H6001" s="15"/>
      <c r="I6001" s="15"/>
      <c r="J6001" s="17">
        <v>356</v>
      </c>
      <c r="K6001" s="15" t="s">
        <v>3762</v>
      </c>
      <c r="L6001" s="17">
        <v>10</v>
      </c>
      <c r="M6001" s="17">
        <v>100</v>
      </c>
      <c r="N6001" s="17">
        <v>10</v>
      </c>
      <c r="O6001" s="18">
        <v>342.27</v>
      </c>
      <c r="P6001" s="18">
        <v>280.55</v>
      </c>
      <c r="Q6001" s="18">
        <v>297.77</v>
      </c>
      <c r="R6001" s="18">
        <v>244.07</v>
      </c>
      <c r="S6001" s="18">
        <v>232.74</v>
      </c>
      <c r="T6001" s="18">
        <v>190.77</v>
      </c>
      <c r="U6001" s="16"/>
      <c r="V6001" s="16"/>
      <c r="W6001" s="16" t="s">
        <v>40</v>
      </c>
      <c r="X6001" s="19">
        <v>0.20100000000000001</v>
      </c>
      <c r="Y6001" s="20">
        <v>5.3899999999999998E-4</v>
      </c>
      <c r="Z6001" s="21">
        <v>4601004073975</v>
      </c>
    </row>
    <row r="6002" spans="1:26" ht="12" customHeight="1" outlineLevel="4" x14ac:dyDescent="0.2">
      <c r="A6002" s="14" t="s">
        <v>11598</v>
      </c>
      <c r="B6002" s="26" t="s">
        <v>11599</v>
      </c>
      <c r="C6002" s="52"/>
      <c r="D6002" s="55">
        <f t="shared" si="93"/>
        <v>0</v>
      </c>
      <c r="E6002" s="63" t="str">
        <f>HYPERLINK("https://www.sds-group.ru/product/styazhka-neylonovaya-professionalnaya-300x3-6mm-belaya-100-sht-up-rexant-67-0300/", "Инфо")</f>
        <v>Инфо</v>
      </c>
      <c r="F6002" s="16" t="s">
        <v>1001</v>
      </c>
      <c r="G6002" s="15"/>
      <c r="H6002" s="15"/>
      <c r="I6002" s="15"/>
      <c r="J6002" s="22">
        <v>4828</v>
      </c>
      <c r="K6002" s="15"/>
      <c r="L6002" s="17">
        <v>10</v>
      </c>
      <c r="M6002" s="17">
        <v>100</v>
      </c>
      <c r="N6002" s="17">
        <v>10</v>
      </c>
      <c r="O6002" s="18">
        <v>288.91000000000003</v>
      </c>
      <c r="P6002" s="18">
        <v>236.81</v>
      </c>
      <c r="Q6002" s="18">
        <v>251.35</v>
      </c>
      <c r="R6002" s="18">
        <v>206.02</v>
      </c>
      <c r="S6002" s="18">
        <v>196.46</v>
      </c>
      <c r="T6002" s="18">
        <v>161.03</v>
      </c>
      <c r="U6002" s="16"/>
      <c r="V6002" s="16"/>
      <c r="W6002" s="16" t="s">
        <v>40</v>
      </c>
      <c r="X6002" s="19">
        <v>0.13800000000000001</v>
      </c>
      <c r="Y6002" s="20">
        <v>4.4099999999999999E-4</v>
      </c>
      <c r="Z6002" s="21">
        <v>4601004073982</v>
      </c>
    </row>
    <row r="6003" spans="1:26" ht="12" customHeight="1" outlineLevel="4" x14ac:dyDescent="0.2">
      <c r="A6003" s="14" t="s">
        <v>11600</v>
      </c>
      <c r="B6003" s="26" t="s">
        <v>11601</v>
      </c>
      <c r="C6003" s="52"/>
      <c r="D6003" s="55">
        <f t="shared" si="93"/>
        <v>0</v>
      </c>
      <c r="E6003" s="63" t="str">
        <f>HYPERLINK("https://www.sds-group.ru/product/styazhka-neylonovaya-professionalnaya-300x3-6mm-chernaya-100-sht-up-rexant-67-0301/", "Инфо")</f>
        <v>Инфо</v>
      </c>
      <c r="F6003" s="16" t="s">
        <v>1001</v>
      </c>
      <c r="G6003" s="15"/>
      <c r="H6003" s="15"/>
      <c r="I6003" s="15"/>
      <c r="J6003" s="22">
        <v>1887</v>
      </c>
      <c r="K6003" s="15" t="s">
        <v>11602</v>
      </c>
      <c r="L6003" s="17">
        <v>10</v>
      </c>
      <c r="M6003" s="17">
        <v>100</v>
      </c>
      <c r="N6003" s="17">
        <v>10</v>
      </c>
      <c r="O6003" s="18">
        <v>288.91000000000003</v>
      </c>
      <c r="P6003" s="18">
        <v>236.81</v>
      </c>
      <c r="Q6003" s="18">
        <v>251.35</v>
      </c>
      <c r="R6003" s="18">
        <v>206.02</v>
      </c>
      <c r="S6003" s="18">
        <v>196.46</v>
      </c>
      <c r="T6003" s="18">
        <v>161.03</v>
      </c>
      <c r="U6003" s="16"/>
      <c r="V6003" s="16"/>
      <c r="W6003" s="16" t="s">
        <v>40</v>
      </c>
      <c r="X6003" s="19">
        <v>0.16700000000000001</v>
      </c>
      <c r="Y6003" s="20">
        <v>4.2900000000000002E-4</v>
      </c>
      <c r="Z6003" s="21">
        <v>4601004073999</v>
      </c>
    </row>
    <row r="6004" spans="1:26" ht="12" customHeight="1" outlineLevel="4" x14ac:dyDescent="0.2">
      <c r="A6004" s="14" t="s">
        <v>11603</v>
      </c>
      <c r="B6004" s="26" t="s">
        <v>11604</v>
      </c>
      <c r="C6004" s="52"/>
      <c r="D6004" s="55">
        <f t="shared" si="93"/>
        <v>0</v>
      </c>
      <c r="E6004" s="63" t="str">
        <f>HYPERLINK("https://www.sds-group.ru/product/styazhka-neylonovaya-professionalnaya-300x4-8mm-belaya-100-sht-up-rexant-67-1301/", "Инфо")</f>
        <v>Инфо</v>
      </c>
      <c r="F6004" s="16" t="s">
        <v>1001</v>
      </c>
      <c r="G6004" s="15"/>
      <c r="H6004" s="15"/>
      <c r="I6004" s="15"/>
      <c r="J6004" s="17">
        <v>378</v>
      </c>
      <c r="K6004" s="15" t="s">
        <v>3762</v>
      </c>
      <c r="L6004" s="17">
        <v>10</v>
      </c>
      <c r="M6004" s="17">
        <v>100</v>
      </c>
      <c r="N6004" s="17">
        <v>10</v>
      </c>
      <c r="O6004" s="18">
        <v>426.89</v>
      </c>
      <c r="P6004" s="18">
        <v>349.91</v>
      </c>
      <c r="Q6004" s="18">
        <v>371.39</v>
      </c>
      <c r="R6004" s="18">
        <v>304.42</v>
      </c>
      <c r="S6004" s="18">
        <v>290.29000000000002</v>
      </c>
      <c r="T6004" s="18">
        <v>237.94</v>
      </c>
      <c r="U6004" s="16"/>
      <c r="V6004" s="16"/>
      <c r="W6004" s="16" t="s">
        <v>40</v>
      </c>
      <c r="X6004" s="19">
        <v>0.24299999999999999</v>
      </c>
      <c r="Y6004" s="20">
        <v>5.9000000000000003E-4</v>
      </c>
      <c r="Z6004" s="21">
        <v>4601004125698</v>
      </c>
    </row>
    <row r="6005" spans="1:26" ht="12" customHeight="1" outlineLevel="4" x14ac:dyDescent="0.2">
      <c r="A6005" s="14" t="s">
        <v>11605</v>
      </c>
      <c r="B6005" s="26" t="s">
        <v>11606</v>
      </c>
      <c r="C6005" s="52"/>
      <c r="D6005" s="55">
        <f t="shared" si="93"/>
        <v>0</v>
      </c>
      <c r="E6005" s="63" t="str">
        <f>HYPERLINK("https://www.sds-group.ru/product/styazhka-neylonovaya-professionalnaya-300x4-8mm-chernaya-100-sht-up-rexant-67-1302/", "Инфо")</f>
        <v>Инфо</v>
      </c>
      <c r="F6005" s="16" t="s">
        <v>1001</v>
      </c>
      <c r="G6005" s="15"/>
      <c r="H6005" s="15"/>
      <c r="I6005" s="15"/>
      <c r="J6005" s="22">
        <v>2258</v>
      </c>
      <c r="K6005" s="15" t="s">
        <v>10151</v>
      </c>
      <c r="L6005" s="17">
        <v>10</v>
      </c>
      <c r="M6005" s="17">
        <v>100</v>
      </c>
      <c r="N6005" s="17">
        <v>10</v>
      </c>
      <c r="O6005" s="18">
        <v>426.89</v>
      </c>
      <c r="P6005" s="18">
        <v>349.91</v>
      </c>
      <c r="Q6005" s="18">
        <v>371.39</v>
      </c>
      <c r="R6005" s="18">
        <v>304.42</v>
      </c>
      <c r="S6005" s="18">
        <v>290.29000000000002</v>
      </c>
      <c r="T6005" s="18">
        <v>237.94</v>
      </c>
      <c r="U6005" s="16"/>
      <c r="V6005" s="16"/>
      <c r="W6005" s="16" t="s">
        <v>40</v>
      </c>
      <c r="X6005" s="19">
        <v>0.24099999999999999</v>
      </c>
      <c r="Y6005" s="20">
        <v>5.8399999999999999E-4</v>
      </c>
      <c r="Z6005" s="21">
        <v>4601004125667</v>
      </c>
    </row>
    <row r="6006" spans="1:26" ht="12" customHeight="1" outlineLevel="4" x14ac:dyDescent="0.2">
      <c r="A6006" s="14" t="s">
        <v>11607</v>
      </c>
      <c r="B6006" s="26" t="s">
        <v>11608</v>
      </c>
      <c r="C6006" s="52"/>
      <c r="D6006" s="55">
        <f t="shared" si="93"/>
        <v>0</v>
      </c>
      <c r="E6006" s="63" t="str">
        <f>HYPERLINK("https://www.sds-group.ru/product/styazhka-neylonovaya-professionalnaya-300x7-6mm-belaya-100-sht-up-rexant-67-0302/", "Инфо")</f>
        <v>Инфо</v>
      </c>
      <c r="F6006" s="16" t="s">
        <v>1001</v>
      </c>
      <c r="G6006" s="15"/>
      <c r="H6006" s="15"/>
      <c r="I6006" s="15"/>
      <c r="J6006" s="22">
        <v>1268</v>
      </c>
      <c r="K6006" s="15"/>
      <c r="L6006" s="17">
        <v>1</v>
      </c>
      <c r="M6006" s="17">
        <v>100</v>
      </c>
      <c r="N6006" s="17">
        <v>1</v>
      </c>
      <c r="O6006" s="18">
        <v>844.63</v>
      </c>
      <c r="P6006" s="18">
        <v>692.32</v>
      </c>
      <c r="Q6006" s="18">
        <v>734.83</v>
      </c>
      <c r="R6006" s="18">
        <v>602.32000000000005</v>
      </c>
      <c r="S6006" s="18">
        <v>574.35</v>
      </c>
      <c r="T6006" s="18">
        <v>470.78</v>
      </c>
      <c r="U6006" s="16"/>
      <c r="V6006" s="16"/>
      <c r="W6006" s="16" t="s">
        <v>40</v>
      </c>
      <c r="X6006" s="19">
        <v>0.36899999999999999</v>
      </c>
      <c r="Y6006" s="20">
        <v>1.1410000000000001E-3</v>
      </c>
      <c r="Z6006" s="21">
        <v>4601004119215</v>
      </c>
    </row>
    <row r="6007" spans="1:26" ht="12" customHeight="1" outlineLevel="4" x14ac:dyDescent="0.2">
      <c r="A6007" s="14" t="s">
        <v>11609</v>
      </c>
      <c r="B6007" s="26" t="s">
        <v>11610</v>
      </c>
      <c r="C6007" s="52"/>
      <c r="D6007" s="55">
        <f t="shared" si="93"/>
        <v>0</v>
      </c>
      <c r="E6007" s="63" t="str">
        <f>HYPERLINK("https://www.sds-group.ru/product/styazhka-neylonovaya-professionalnaya-300x7-6mm-chernaya-100-sht-up-rexant-67-0303/", "Инфо")</f>
        <v>Инфо</v>
      </c>
      <c r="F6007" s="16" t="s">
        <v>1001</v>
      </c>
      <c r="G6007" s="15"/>
      <c r="H6007" s="15"/>
      <c r="I6007" s="15"/>
      <c r="J6007" s="17">
        <v>555</v>
      </c>
      <c r="K6007" s="15" t="s">
        <v>886</v>
      </c>
      <c r="L6007" s="17">
        <v>1</v>
      </c>
      <c r="M6007" s="17">
        <v>50</v>
      </c>
      <c r="N6007" s="17">
        <v>1</v>
      </c>
      <c r="O6007" s="18">
        <v>844.63</v>
      </c>
      <c r="P6007" s="18">
        <v>692.32</v>
      </c>
      <c r="Q6007" s="18">
        <v>734.83</v>
      </c>
      <c r="R6007" s="18">
        <v>602.32000000000005</v>
      </c>
      <c r="S6007" s="18">
        <v>574.35</v>
      </c>
      <c r="T6007" s="18">
        <v>470.78</v>
      </c>
      <c r="U6007" s="16"/>
      <c r="V6007" s="16"/>
      <c r="W6007" s="16" t="s">
        <v>40</v>
      </c>
      <c r="X6007" s="19">
        <v>0.432</v>
      </c>
      <c r="Y6007" s="20">
        <v>1.1280000000000001E-3</v>
      </c>
      <c r="Z6007" s="21">
        <v>4601004119222</v>
      </c>
    </row>
    <row r="6008" spans="1:26" ht="12" customHeight="1" outlineLevel="4" x14ac:dyDescent="0.2">
      <c r="A6008" s="14" t="s">
        <v>11611</v>
      </c>
      <c r="B6008" s="26" t="s">
        <v>11612</v>
      </c>
      <c r="C6008" s="52"/>
      <c r="D6008" s="55">
        <f t="shared" si="93"/>
        <v>0</v>
      </c>
      <c r="E6008" s="63" t="str">
        <f>HYPERLINK("https://www.sds-group.ru/product/styazhka-neylonovaya-professionalnaya-350x4-8mm-belaya-100-sht-up-rexant-67-0350/", "Инфо")</f>
        <v>Инфо</v>
      </c>
      <c r="F6008" s="16" t="s">
        <v>1001</v>
      </c>
      <c r="G6008" s="15"/>
      <c r="H6008" s="15"/>
      <c r="I6008" s="15"/>
      <c r="J6008" s="22">
        <v>3271</v>
      </c>
      <c r="K6008" s="15"/>
      <c r="L6008" s="17">
        <v>5</v>
      </c>
      <c r="M6008" s="17">
        <v>50</v>
      </c>
      <c r="N6008" s="17">
        <v>5</v>
      </c>
      <c r="O6008" s="18">
        <v>493.74</v>
      </c>
      <c r="P6008" s="18">
        <v>404.7</v>
      </c>
      <c r="Q6008" s="18">
        <v>429.55</v>
      </c>
      <c r="R6008" s="18">
        <v>352.09</v>
      </c>
      <c r="S6008" s="18">
        <v>335.74</v>
      </c>
      <c r="T6008" s="18">
        <v>275.2</v>
      </c>
      <c r="U6008" s="16"/>
      <c r="V6008" s="16"/>
      <c r="W6008" s="16" t="s">
        <v>40</v>
      </c>
      <c r="X6008" s="19">
        <v>0.22900000000000001</v>
      </c>
      <c r="Y6008" s="20">
        <v>7.0200000000000004E-4</v>
      </c>
      <c r="Z6008" s="21">
        <v>4601004074002</v>
      </c>
    </row>
    <row r="6009" spans="1:26" ht="12" customHeight="1" outlineLevel="4" x14ac:dyDescent="0.2">
      <c r="A6009" s="14" t="s">
        <v>11613</v>
      </c>
      <c r="B6009" s="26" t="s">
        <v>11614</v>
      </c>
      <c r="C6009" s="52"/>
      <c r="D6009" s="55">
        <f t="shared" si="93"/>
        <v>0</v>
      </c>
      <c r="E6009" s="63" t="str">
        <f>HYPERLINK("https://www.sds-group.ru/product/styazhka-neylonovaya-professionalnaya-350x4-8mm-chernaya-100-sht-up-rexant-67-0351/", "Инфо")</f>
        <v>Инфо</v>
      </c>
      <c r="F6009" s="16" t="s">
        <v>1001</v>
      </c>
      <c r="G6009" s="15"/>
      <c r="H6009" s="15"/>
      <c r="I6009" s="15"/>
      <c r="J6009" s="17">
        <v>64</v>
      </c>
      <c r="K6009" s="15" t="s">
        <v>886</v>
      </c>
      <c r="L6009" s="17">
        <v>5</v>
      </c>
      <c r="M6009" s="17">
        <v>50</v>
      </c>
      <c r="N6009" s="17">
        <v>5</v>
      </c>
      <c r="O6009" s="18">
        <v>493.74</v>
      </c>
      <c r="P6009" s="18">
        <v>404.7</v>
      </c>
      <c r="Q6009" s="18">
        <v>429.55</v>
      </c>
      <c r="R6009" s="18">
        <v>352.09</v>
      </c>
      <c r="S6009" s="18">
        <v>335.74</v>
      </c>
      <c r="T6009" s="18">
        <v>275.2</v>
      </c>
      <c r="U6009" s="16"/>
      <c r="V6009" s="16"/>
      <c r="W6009" s="16" t="s">
        <v>40</v>
      </c>
      <c r="X6009" s="19">
        <v>0.27800000000000002</v>
      </c>
      <c r="Y6009" s="20">
        <v>6.2799999999999998E-4</v>
      </c>
      <c r="Z6009" s="21">
        <v>4601004074019</v>
      </c>
    </row>
    <row r="6010" spans="1:26" ht="12" customHeight="1" outlineLevel="4" x14ac:dyDescent="0.2">
      <c r="A6010" s="14" t="s">
        <v>11615</v>
      </c>
      <c r="B6010" s="26" t="s">
        <v>11616</v>
      </c>
      <c r="C6010" s="52"/>
      <c r="D6010" s="55">
        <f t="shared" si="93"/>
        <v>0</v>
      </c>
      <c r="E6010" s="63" t="str">
        <f>HYPERLINK("https://www.sds-group.ru/product/styazhka-neylonovaya-professionalnaya-400x4-8mm-belaya-100-sht-up-rexant-67-0400/", "Инфо")</f>
        <v>Инфо</v>
      </c>
      <c r="F6010" s="16" t="s">
        <v>1001</v>
      </c>
      <c r="G6010" s="15"/>
      <c r="H6010" s="15"/>
      <c r="I6010" s="15"/>
      <c r="J6010" s="16" t="s">
        <v>100</v>
      </c>
      <c r="K6010" s="15" t="s">
        <v>3762</v>
      </c>
      <c r="L6010" s="17">
        <v>5</v>
      </c>
      <c r="M6010" s="17">
        <v>50</v>
      </c>
      <c r="N6010" s="17">
        <v>5</v>
      </c>
      <c r="O6010" s="18">
        <v>577.82000000000005</v>
      </c>
      <c r="P6010" s="18">
        <v>473.62</v>
      </c>
      <c r="Q6010" s="18">
        <v>502.7</v>
      </c>
      <c r="R6010" s="18">
        <v>412.05</v>
      </c>
      <c r="S6010" s="18">
        <v>392.92</v>
      </c>
      <c r="T6010" s="18">
        <v>322.07</v>
      </c>
      <c r="U6010" s="16"/>
      <c r="V6010" s="16"/>
      <c r="W6010" s="16" t="s">
        <v>40</v>
      </c>
      <c r="X6010" s="19">
        <v>0.317</v>
      </c>
      <c r="Y6010" s="20">
        <v>8.12E-4</v>
      </c>
      <c r="Z6010" s="21">
        <v>4601004119239</v>
      </c>
    </row>
    <row r="6011" spans="1:26" ht="12" customHeight="1" outlineLevel="4" x14ac:dyDescent="0.2">
      <c r="A6011" s="14" t="s">
        <v>11617</v>
      </c>
      <c r="B6011" s="26" t="s">
        <v>11618</v>
      </c>
      <c r="C6011" s="52"/>
      <c r="D6011" s="55">
        <f t="shared" si="93"/>
        <v>0</v>
      </c>
      <c r="E6011" s="63" t="str">
        <f>HYPERLINK("https://www.sds-group.ru/product/styazhka-neylonovaya-professionalnaya-400x4-8mm-chernaya-100-sht-up-rexant-67-0401/", "Инфо")</f>
        <v>Инфо</v>
      </c>
      <c r="F6011" s="16" t="s">
        <v>1001</v>
      </c>
      <c r="G6011" s="15"/>
      <c r="H6011" s="15"/>
      <c r="I6011" s="15"/>
      <c r="J6011" s="17">
        <v>435</v>
      </c>
      <c r="K6011" s="15" t="s">
        <v>3762</v>
      </c>
      <c r="L6011" s="17">
        <v>5</v>
      </c>
      <c r="M6011" s="17">
        <v>50</v>
      </c>
      <c r="N6011" s="17">
        <v>5</v>
      </c>
      <c r="O6011" s="18">
        <v>577.82000000000005</v>
      </c>
      <c r="P6011" s="18">
        <v>473.62</v>
      </c>
      <c r="Q6011" s="18">
        <v>502.7</v>
      </c>
      <c r="R6011" s="18">
        <v>412.05</v>
      </c>
      <c r="S6011" s="18">
        <v>392.92</v>
      </c>
      <c r="T6011" s="18">
        <v>322.07</v>
      </c>
      <c r="U6011" s="16"/>
      <c r="V6011" s="16"/>
      <c r="W6011" s="16" t="s">
        <v>40</v>
      </c>
      <c r="X6011" s="19">
        <v>0.317</v>
      </c>
      <c r="Y6011" s="20">
        <v>7.9500000000000003E-4</v>
      </c>
      <c r="Z6011" s="21">
        <v>4601004119307</v>
      </c>
    </row>
    <row r="6012" spans="1:26" ht="12" customHeight="1" outlineLevel="4" x14ac:dyDescent="0.2">
      <c r="A6012" s="14" t="s">
        <v>11619</v>
      </c>
      <c r="B6012" s="26" t="s">
        <v>11620</v>
      </c>
      <c r="C6012" s="52"/>
      <c r="D6012" s="55">
        <f t="shared" si="93"/>
        <v>0</v>
      </c>
      <c r="E6012" s="63" t="str">
        <f>HYPERLINK("https://www.sds-group.ru/product/styazhka-neylonovaya-professionalnaya-400x7-6mm-belaya-100-sht-up-rexant-67-0400-8/", "Инфо")</f>
        <v>Инфо</v>
      </c>
      <c r="F6012" s="16" t="s">
        <v>1001</v>
      </c>
      <c r="G6012" s="15"/>
      <c r="H6012" s="15"/>
      <c r="I6012" s="15"/>
      <c r="J6012" s="17">
        <v>75</v>
      </c>
      <c r="K6012" s="15" t="s">
        <v>1800</v>
      </c>
      <c r="L6012" s="17">
        <v>1</v>
      </c>
      <c r="M6012" s="17">
        <v>25</v>
      </c>
      <c r="N6012" s="17">
        <v>1</v>
      </c>
      <c r="O6012" s="18">
        <v>1060.77</v>
      </c>
      <c r="P6012" s="18">
        <v>869.48</v>
      </c>
      <c r="Q6012" s="18">
        <v>912.26</v>
      </c>
      <c r="R6012" s="18">
        <v>747.75</v>
      </c>
      <c r="S6012" s="18">
        <v>721.32</v>
      </c>
      <c r="T6012" s="18">
        <v>591.25</v>
      </c>
      <c r="U6012" s="16"/>
      <c r="V6012" s="16"/>
      <c r="W6012" s="16" t="s">
        <v>40</v>
      </c>
      <c r="X6012" s="19">
        <v>0.53100000000000003</v>
      </c>
      <c r="Y6012" s="20">
        <v>1.609E-3</v>
      </c>
      <c r="Z6012" s="21">
        <v>4601004119246</v>
      </c>
    </row>
    <row r="6013" spans="1:26" ht="12" customHeight="1" outlineLevel="4" x14ac:dyDescent="0.2">
      <c r="A6013" s="14" t="s">
        <v>11621</v>
      </c>
      <c r="B6013" s="26" t="s">
        <v>11622</v>
      </c>
      <c r="C6013" s="52"/>
      <c r="D6013" s="55">
        <f t="shared" si="93"/>
        <v>0</v>
      </c>
      <c r="E6013" s="63" t="str">
        <f>HYPERLINK("https://www.sds-group.ru/product/styazhka-neylonovaya-professionalnaya-400x7-6mm-chernaya-100-sht-up-rexant-67-0401-8/", "Инфо")</f>
        <v>Инфо</v>
      </c>
      <c r="F6013" s="16" t="s">
        <v>1001</v>
      </c>
      <c r="G6013" s="15"/>
      <c r="H6013" s="15"/>
      <c r="I6013" s="15"/>
      <c r="J6013" s="17">
        <v>355</v>
      </c>
      <c r="K6013" s="15" t="s">
        <v>6930</v>
      </c>
      <c r="L6013" s="17">
        <v>1</v>
      </c>
      <c r="M6013" s="17">
        <v>25</v>
      </c>
      <c r="N6013" s="17">
        <v>1</v>
      </c>
      <c r="O6013" s="18">
        <v>1060.77</v>
      </c>
      <c r="P6013" s="18">
        <v>869.48</v>
      </c>
      <c r="Q6013" s="18">
        <v>912.26</v>
      </c>
      <c r="R6013" s="18">
        <v>747.75</v>
      </c>
      <c r="S6013" s="18">
        <v>721.32</v>
      </c>
      <c r="T6013" s="18">
        <v>591.25</v>
      </c>
      <c r="U6013" s="16"/>
      <c r="V6013" s="16"/>
      <c r="W6013" s="16" t="s">
        <v>40</v>
      </c>
      <c r="X6013" s="19">
        <v>0.59299999999999997</v>
      </c>
      <c r="Y6013" s="20">
        <v>1.5770000000000001E-3</v>
      </c>
      <c r="Z6013" s="21">
        <v>4601004119253</v>
      </c>
    </row>
    <row r="6014" spans="1:26" ht="12" customHeight="1" outlineLevel="4" x14ac:dyDescent="0.2">
      <c r="A6014" s="14" t="s">
        <v>11623</v>
      </c>
      <c r="B6014" s="26" t="s">
        <v>11624</v>
      </c>
      <c r="C6014" s="52"/>
      <c r="D6014" s="55">
        <f t="shared" si="93"/>
        <v>0</v>
      </c>
      <c r="E6014" s="63" t="str">
        <f>HYPERLINK("https://www.sds-group.ru/product/styazhka-neylonovaya-professionalnaya-500x4-8mm-belaya-100-sht-up-rexant-67-0500/", "Инфо")</f>
        <v>Инфо</v>
      </c>
      <c r="F6014" s="16" t="s">
        <v>1001</v>
      </c>
      <c r="G6014" s="15"/>
      <c r="H6014" s="15"/>
      <c r="I6014" s="15"/>
      <c r="J6014" s="16" t="s">
        <v>100</v>
      </c>
      <c r="K6014" s="15" t="s">
        <v>1035</v>
      </c>
      <c r="L6014" s="17">
        <v>1</v>
      </c>
      <c r="M6014" s="17">
        <v>50</v>
      </c>
      <c r="N6014" s="17">
        <v>1</v>
      </c>
      <c r="O6014" s="18">
        <v>727.66</v>
      </c>
      <c r="P6014" s="18">
        <v>596.44000000000005</v>
      </c>
      <c r="Q6014" s="18">
        <v>633.05999999999995</v>
      </c>
      <c r="R6014" s="18">
        <v>518.9</v>
      </c>
      <c r="S6014" s="18">
        <v>494.81</v>
      </c>
      <c r="T6014" s="18">
        <v>405.58</v>
      </c>
      <c r="U6014" s="16"/>
      <c r="V6014" s="16"/>
      <c r="W6014" s="16" t="s">
        <v>40</v>
      </c>
      <c r="X6014" s="19">
        <v>0.41199999999999998</v>
      </c>
      <c r="Y6014" s="20">
        <v>1.029E-3</v>
      </c>
      <c r="Z6014" s="21">
        <v>4601004119260</v>
      </c>
    </row>
    <row r="6015" spans="1:26" ht="12" customHeight="1" outlineLevel="4" x14ac:dyDescent="0.2">
      <c r="A6015" s="14" t="s">
        <v>11625</v>
      </c>
      <c r="B6015" s="26" t="s">
        <v>11626</v>
      </c>
      <c r="C6015" s="52"/>
      <c r="D6015" s="55">
        <f t="shared" si="93"/>
        <v>0</v>
      </c>
      <c r="E6015" s="63" t="str">
        <f>HYPERLINK("https://www.sds-group.ru/product/styazhka-neylonovaya-professionalnaya-500x4-8mm-chernaya-100-sht-up-rexant-67-0501/", "Инфо")</f>
        <v>Инфо</v>
      </c>
      <c r="F6015" s="16" t="s">
        <v>1001</v>
      </c>
      <c r="G6015" s="15"/>
      <c r="H6015" s="15"/>
      <c r="I6015" s="15"/>
      <c r="J6015" s="17">
        <v>59</v>
      </c>
      <c r="K6015" s="15" t="s">
        <v>7336</v>
      </c>
      <c r="L6015" s="17">
        <v>1</v>
      </c>
      <c r="M6015" s="17">
        <v>50</v>
      </c>
      <c r="N6015" s="17">
        <v>1</v>
      </c>
      <c r="O6015" s="18">
        <v>727.66</v>
      </c>
      <c r="P6015" s="18">
        <v>596.44000000000005</v>
      </c>
      <c r="Q6015" s="18">
        <v>633.05999999999995</v>
      </c>
      <c r="R6015" s="18">
        <v>518.9</v>
      </c>
      <c r="S6015" s="18">
        <v>494.81</v>
      </c>
      <c r="T6015" s="18">
        <v>405.58</v>
      </c>
      <c r="U6015" s="16"/>
      <c r="V6015" s="16"/>
      <c r="W6015" s="16" t="s">
        <v>40</v>
      </c>
      <c r="X6015" s="19">
        <v>0.40300000000000002</v>
      </c>
      <c r="Y6015" s="20">
        <v>1.005E-3</v>
      </c>
      <c r="Z6015" s="21">
        <v>4601004119277</v>
      </c>
    </row>
    <row r="6016" spans="1:26" ht="12" customHeight="1" outlineLevel="4" x14ac:dyDescent="0.2">
      <c r="A6016" s="14" t="s">
        <v>11627</v>
      </c>
      <c r="B6016" s="26" t="s">
        <v>11628</v>
      </c>
      <c r="C6016" s="52"/>
      <c r="D6016" s="55">
        <f t="shared" si="93"/>
        <v>0</v>
      </c>
      <c r="E6016" s="63" t="str">
        <f>HYPERLINK("https://www.sds-group.ru/product/styazhka-neylonovaya-professionalnaya-500x7-6mm-belaya-100-sht-up-rexant-67-0502/", "Инфо")</f>
        <v>Инфо</v>
      </c>
      <c r="F6016" s="16" t="s">
        <v>1001</v>
      </c>
      <c r="G6016" s="15"/>
      <c r="H6016" s="15"/>
      <c r="I6016" s="15"/>
      <c r="J6016" s="16" t="s">
        <v>100</v>
      </c>
      <c r="K6016" s="15" t="s">
        <v>10151</v>
      </c>
      <c r="L6016" s="17">
        <v>1</v>
      </c>
      <c r="M6016" s="17">
        <v>25</v>
      </c>
      <c r="N6016" s="17">
        <v>1</v>
      </c>
      <c r="O6016" s="18">
        <v>1374.48</v>
      </c>
      <c r="P6016" s="18">
        <v>1126.6199999999999</v>
      </c>
      <c r="Q6016" s="18">
        <v>1182.05</v>
      </c>
      <c r="R6016" s="18">
        <v>968.89</v>
      </c>
      <c r="S6016" s="18">
        <v>934.65</v>
      </c>
      <c r="T6016" s="18">
        <v>766.11</v>
      </c>
      <c r="U6016" s="16"/>
      <c r="V6016" s="16"/>
      <c r="W6016" s="16" t="s">
        <v>40</v>
      </c>
      <c r="X6016" s="19">
        <v>0.70899999999999996</v>
      </c>
      <c r="Y6016" s="20">
        <v>2.0460000000000001E-3</v>
      </c>
      <c r="Z6016" s="21">
        <v>4601004119284</v>
      </c>
    </row>
    <row r="6017" spans="1:26" ht="12" customHeight="1" outlineLevel="4" x14ac:dyDescent="0.2">
      <c r="A6017" s="14" t="s">
        <v>11629</v>
      </c>
      <c r="B6017" s="26" t="s">
        <v>11630</v>
      </c>
      <c r="C6017" s="52"/>
      <c r="D6017" s="55">
        <f t="shared" si="93"/>
        <v>0</v>
      </c>
      <c r="E6017" s="63" t="str">
        <f>HYPERLINK("https://www.sds-group.ru/product/styazhka-neylonovaya-professionalnaya-500x7-6mm-chernaya-100-sht-up-rexant-67-0503/", "Инфо")</f>
        <v>Инфо</v>
      </c>
      <c r="F6017" s="16" t="s">
        <v>1001</v>
      </c>
      <c r="G6017" s="15"/>
      <c r="H6017" s="15"/>
      <c r="I6017" s="15"/>
      <c r="J6017" s="16" t="s">
        <v>100</v>
      </c>
      <c r="K6017" s="15" t="s">
        <v>3762</v>
      </c>
      <c r="L6017" s="17">
        <v>1</v>
      </c>
      <c r="M6017" s="17">
        <v>25</v>
      </c>
      <c r="N6017" s="17">
        <v>1</v>
      </c>
      <c r="O6017" s="18">
        <v>1374.48</v>
      </c>
      <c r="P6017" s="18">
        <v>1126.6199999999999</v>
      </c>
      <c r="Q6017" s="18">
        <v>1182.05</v>
      </c>
      <c r="R6017" s="18">
        <v>968.89</v>
      </c>
      <c r="S6017" s="18">
        <v>934.65</v>
      </c>
      <c r="T6017" s="18">
        <v>766.11</v>
      </c>
      <c r="U6017" s="16"/>
      <c r="V6017" s="16"/>
      <c r="W6017" s="16" t="s">
        <v>40</v>
      </c>
      <c r="X6017" s="19">
        <v>0.71399999999999997</v>
      </c>
      <c r="Y6017" s="20">
        <v>2.0950000000000001E-3</v>
      </c>
      <c r="Z6017" s="21">
        <v>4601004119291</v>
      </c>
    </row>
    <row r="6018" spans="1:26" ht="12.95" customHeight="1" outlineLevel="3" x14ac:dyDescent="0.2">
      <c r="A6018" s="76" t="s">
        <v>11631</v>
      </c>
      <c r="B6018" s="76"/>
      <c r="C6018" s="77"/>
      <c r="D6018" s="58"/>
      <c r="E6018" s="68"/>
      <c r="F6018" s="13"/>
      <c r="G6018" s="13"/>
      <c r="H6018" s="13"/>
      <c r="I6018" s="13"/>
      <c r="J6018" s="13"/>
      <c r="K6018" s="13"/>
      <c r="L6018" s="13"/>
      <c r="M6018" s="13"/>
      <c r="N6018" s="13"/>
      <c r="O6018" s="13"/>
      <c r="P6018" s="13"/>
      <c r="Q6018" s="13"/>
      <c r="R6018" s="13"/>
      <c r="S6018" s="13"/>
      <c r="T6018" s="13"/>
      <c r="U6018" s="13"/>
      <c r="V6018" s="13"/>
      <c r="W6018" s="13"/>
      <c r="X6018" s="13"/>
      <c r="Y6018" s="13"/>
      <c r="Z6018" s="13"/>
    </row>
    <row r="6019" spans="1:26" ht="12" customHeight="1" outlineLevel="4" x14ac:dyDescent="0.2">
      <c r="A6019" s="14" t="s">
        <v>11632</v>
      </c>
      <c r="B6019" s="26" t="s">
        <v>11633</v>
      </c>
      <c r="C6019" s="52"/>
      <c r="D6019" s="55">
        <f t="shared" si="93"/>
        <v>0</v>
      </c>
      <c r="E6019" s="63" t="str">
        <f>HYPERLINK("https://www.sds-group.ru/product/styazhka-neylonovaya-morozostoykaya-150x2-5mm-belaya-100-sht-up-rexant-87-0150/", "Инфо")</f>
        <v>Инфо</v>
      </c>
      <c r="F6019" s="16" t="s">
        <v>1001</v>
      </c>
      <c r="G6019" s="15"/>
      <c r="H6019" s="15"/>
      <c r="I6019" s="15"/>
      <c r="J6019" s="22">
        <v>4007</v>
      </c>
      <c r="K6019" s="15" t="s">
        <v>6020</v>
      </c>
      <c r="L6019" s="17">
        <v>10</v>
      </c>
      <c r="M6019" s="17">
        <v>200</v>
      </c>
      <c r="N6019" s="17">
        <v>10</v>
      </c>
      <c r="O6019" s="18">
        <v>94.39</v>
      </c>
      <c r="P6019" s="18">
        <v>77.37</v>
      </c>
      <c r="Q6019" s="18">
        <v>87.78</v>
      </c>
      <c r="R6019" s="18">
        <v>71.95</v>
      </c>
      <c r="S6019" s="18">
        <v>64.19</v>
      </c>
      <c r="T6019" s="18">
        <v>52.61</v>
      </c>
      <c r="U6019" s="16"/>
      <c r="V6019" s="16"/>
      <c r="W6019" s="16" t="s">
        <v>40</v>
      </c>
      <c r="X6019" s="19">
        <v>4.4999999999999998E-2</v>
      </c>
      <c r="Y6019" s="20">
        <v>1.7699999999999999E-4</v>
      </c>
      <c r="Z6019" s="21">
        <v>4601004304383</v>
      </c>
    </row>
    <row r="6020" spans="1:26" ht="12" customHeight="1" outlineLevel="4" x14ac:dyDescent="0.2">
      <c r="A6020" s="14" t="s">
        <v>11634</v>
      </c>
      <c r="B6020" s="26" t="s">
        <v>11635</v>
      </c>
      <c r="C6020" s="52"/>
      <c r="D6020" s="55">
        <f t="shared" si="93"/>
        <v>0</v>
      </c>
      <c r="E6020" s="63" t="str">
        <f>HYPERLINK("https://www.sds-group.ru/product/styazhka-neylonovaya-morozostoykaya-150x2-5mm-chernaya-100-sht-up-rexant-87-0151/", "Инфо")</f>
        <v>Инфо</v>
      </c>
      <c r="F6020" s="16" t="s">
        <v>1001</v>
      </c>
      <c r="G6020" s="15"/>
      <c r="H6020" s="15"/>
      <c r="I6020" s="15"/>
      <c r="J6020" s="22">
        <v>6858</v>
      </c>
      <c r="K6020" s="15"/>
      <c r="L6020" s="17">
        <v>10</v>
      </c>
      <c r="M6020" s="17">
        <v>200</v>
      </c>
      <c r="N6020" s="17">
        <v>10</v>
      </c>
      <c r="O6020" s="18">
        <v>94.39</v>
      </c>
      <c r="P6020" s="18">
        <v>77.37</v>
      </c>
      <c r="Q6020" s="18">
        <v>87.78</v>
      </c>
      <c r="R6020" s="18">
        <v>71.95</v>
      </c>
      <c r="S6020" s="18">
        <v>64.19</v>
      </c>
      <c r="T6020" s="18">
        <v>52.61</v>
      </c>
      <c r="U6020" s="16"/>
      <c r="V6020" s="16"/>
      <c r="W6020" s="16" t="s">
        <v>40</v>
      </c>
      <c r="X6020" s="19">
        <v>4.4999999999999998E-2</v>
      </c>
      <c r="Y6020" s="20">
        <v>1.7899999999999999E-4</v>
      </c>
      <c r="Z6020" s="21">
        <v>4601004304390</v>
      </c>
    </row>
    <row r="6021" spans="1:26" ht="12" customHeight="1" outlineLevel="4" x14ac:dyDescent="0.2">
      <c r="A6021" s="14" t="s">
        <v>11636</v>
      </c>
      <c r="B6021" s="26" t="s">
        <v>11637</v>
      </c>
      <c r="C6021" s="52"/>
      <c r="D6021" s="55">
        <f t="shared" si="93"/>
        <v>0</v>
      </c>
      <c r="E6021" s="63" t="str">
        <f>HYPERLINK("https://www.sds-group.ru/product/styazhka-neylonovaya-morozostoykaya-200x3-6mm-belaya-100-sht-up-rexant-87-0200/", "Инфо")</f>
        <v>Инфо</v>
      </c>
      <c r="F6021" s="16" t="s">
        <v>1001</v>
      </c>
      <c r="G6021" s="15"/>
      <c r="H6021" s="15"/>
      <c r="I6021" s="15"/>
      <c r="J6021" s="16" t="s">
        <v>100</v>
      </c>
      <c r="K6021" s="15" t="s">
        <v>3762</v>
      </c>
      <c r="L6021" s="17">
        <v>10</v>
      </c>
      <c r="M6021" s="17">
        <v>200</v>
      </c>
      <c r="N6021" s="17">
        <v>10</v>
      </c>
      <c r="O6021" s="18">
        <v>193.04</v>
      </c>
      <c r="P6021" s="18">
        <v>158.22999999999999</v>
      </c>
      <c r="Q6021" s="18">
        <v>179.53</v>
      </c>
      <c r="R6021" s="18">
        <v>147.16</v>
      </c>
      <c r="S6021" s="18">
        <v>131.27000000000001</v>
      </c>
      <c r="T6021" s="18">
        <v>107.6</v>
      </c>
      <c r="U6021" s="16"/>
      <c r="V6021" s="16"/>
      <c r="W6021" s="16" t="s">
        <v>40</v>
      </c>
      <c r="X6021" s="19">
        <v>9.7000000000000003E-2</v>
      </c>
      <c r="Y6021" s="20">
        <v>2.9599999999999998E-4</v>
      </c>
      <c r="Z6021" s="21">
        <v>4601004304420</v>
      </c>
    </row>
    <row r="6022" spans="1:26" ht="12" customHeight="1" outlineLevel="4" x14ac:dyDescent="0.2">
      <c r="A6022" s="14" t="s">
        <v>11638</v>
      </c>
      <c r="B6022" s="26" t="s">
        <v>11639</v>
      </c>
      <c r="C6022" s="52"/>
      <c r="D6022" s="55">
        <f t="shared" si="93"/>
        <v>0</v>
      </c>
      <c r="E6022" s="63" t="str">
        <f>HYPERLINK("https://www.sds-group.ru/product/styazhka-neylonovaya-morozostoykaya-200x3-6mm-chernaya-100-sht-up-rexant-87-0201/", "Инфо")</f>
        <v>Инфо</v>
      </c>
      <c r="F6022" s="16" t="s">
        <v>1001</v>
      </c>
      <c r="G6022" s="15"/>
      <c r="H6022" s="15"/>
      <c r="I6022" s="15"/>
      <c r="J6022" s="22">
        <v>2204</v>
      </c>
      <c r="K6022" s="15" t="s">
        <v>1126</v>
      </c>
      <c r="L6022" s="17">
        <v>10</v>
      </c>
      <c r="M6022" s="17">
        <v>200</v>
      </c>
      <c r="N6022" s="17">
        <v>10</v>
      </c>
      <c r="O6022" s="18">
        <v>193.04</v>
      </c>
      <c r="P6022" s="18">
        <v>158.22999999999999</v>
      </c>
      <c r="Q6022" s="18">
        <v>179.53</v>
      </c>
      <c r="R6022" s="18">
        <v>147.16</v>
      </c>
      <c r="S6022" s="18">
        <v>131.27000000000001</v>
      </c>
      <c r="T6022" s="18">
        <v>107.6</v>
      </c>
      <c r="U6022" s="16"/>
      <c r="V6022" s="16"/>
      <c r="W6022" s="16" t="s">
        <v>40</v>
      </c>
      <c r="X6022" s="19">
        <v>9.7000000000000003E-2</v>
      </c>
      <c r="Y6022" s="20">
        <v>2.9799999999999998E-4</v>
      </c>
      <c r="Z6022" s="21">
        <v>4601004304444</v>
      </c>
    </row>
    <row r="6023" spans="1:26" ht="12" customHeight="1" outlineLevel="4" x14ac:dyDescent="0.2">
      <c r="A6023" s="14" t="s">
        <v>11640</v>
      </c>
      <c r="B6023" s="26" t="s">
        <v>11641</v>
      </c>
      <c r="C6023" s="52"/>
      <c r="D6023" s="55">
        <f t="shared" si="93"/>
        <v>0</v>
      </c>
      <c r="E6023" s="63" t="str">
        <f>HYPERLINK("https://www.sds-group.ru/product/styazhka-neylonovaya-morozostoykaya-250x3-6mm-belaya-100-sht-up-rexant-87-0250/", "Инфо")</f>
        <v>Инфо</v>
      </c>
      <c r="F6023" s="16" t="s">
        <v>1001</v>
      </c>
      <c r="G6023" s="15"/>
      <c r="H6023" s="15"/>
      <c r="I6023" s="15"/>
      <c r="J6023" s="22">
        <v>3295</v>
      </c>
      <c r="K6023" s="15"/>
      <c r="L6023" s="17">
        <v>5</v>
      </c>
      <c r="M6023" s="17">
        <v>100</v>
      </c>
      <c r="N6023" s="17">
        <v>5</v>
      </c>
      <c r="O6023" s="18">
        <v>247.98</v>
      </c>
      <c r="P6023" s="18">
        <v>203.26</v>
      </c>
      <c r="Q6023" s="18">
        <v>230.62</v>
      </c>
      <c r="R6023" s="18">
        <v>189.03</v>
      </c>
      <c r="S6023" s="18">
        <v>168.63</v>
      </c>
      <c r="T6023" s="18">
        <v>138.22</v>
      </c>
      <c r="U6023" s="16"/>
      <c r="V6023" s="16"/>
      <c r="W6023" s="16" t="s">
        <v>40</v>
      </c>
      <c r="X6023" s="19">
        <v>0.124</v>
      </c>
      <c r="Y6023" s="20">
        <v>5.7499999999999999E-4</v>
      </c>
      <c r="Z6023" s="21">
        <v>4601004304451</v>
      </c>
    </row>
    <row r="6024" spans="1:26" ht="12" customHeight="1" outlineLevel="4" x14ac:dyDescent="0.2">
      <c r="A6024" s="14" t="s">
        <v>11642</v>
      </c>
      <c r="B6024" s="26" t="s">
        <v>11643</v>
      </c>
      <c r="C6024" s="52"/>
      <c r="D6024" s="55">
        <f t="shared" si="93"/>
        <v>0</v>
      </c>
      <c r="E6024" s="63" t="str">
        <f>HYPERLINK("https://www.sds-group.ru/product/styazhka-neylonovaya-morozostoykaya-250x3-6mm-chernaya-100-sht-up-rexant-87-0251/", "Инфо")</f>
        <v>Инфо</v>
      </c>
      <c r="F6024" s="16" t="s">
        <v>1001</v>
      </c>
      <c r="G6024" s="15"/>
      <c r="H6024" s="15"/>
      <c r="I6024" s="15"/>
      <c r="J6024" s="22">
        <v>3423</v>
      </c>
      <c r="K6024" s="15"/>
      <c r="L6024" s="17">
        <v>5</v>
      </c>
      <c r="M6024" s="17">
        <v>100</v>
      </c>
      <c r="N6024" s="17">
        <v>5</v>
      </c>
      <c r="O6024" s="18">
        <v>247.98</v>
      </c>
      <c r="P6024" s="18">
        <v>203.26</v>
      </c>
      <c r="Q6024" s="18">
        <v>230.62</v>
      </c>
      <c r="R6024" s="18">
        <v>189.03</v>
      </c>
      <c r="S6024" s="18">
        <v>168.63</v>
      </c>
      <c r="T6024" s="18">
        <v>138.22</v>
      </c>
      <c r="U6024" s="16"/>
      <c r="V6024" s="16"/>
      <c r="W6024" s="16" t="s">
        <v>40</v>
      </c>
      <c r="X6024" s="19">
        <v>0.123</v>
      </c>
      <c r="Y6024" s="20">
        <v>3.9899999999999999E-4</v>
      </c>
      <c r="Z6024" s="21">
        <v>4601004304413</v>
      </c>
    </row>
    <row r="6025" spans="1:26" ht="12" customHeight="1" outlineLevel="4" x14ac:dyDescent="0.2">
      <c r="A6025" s="14" t="s">
        <v>11644</v>
      </c>
      <c r="B6025" s="26" t="s">
        <v>11645</v>
      </c>
      <c r="C6025" s="52"/>
      <c r="D6025" s="55">
        <f t="shared" ref="D6025:D6088" si="94">C6025*(O6025-O6025*$G$3)</f>
        <v>0</v>
      </c>
      <c r="E6025" s="63" t="str">
        <f>HYPERLINK("https://www.sds-group.ru/product/styazhka-neylonovaya-morozostoykaya-300x3-6mm-belaya-100-sht-up-rexant-87-0300/", "Инфо")</f>
        <v>Инфо</v>
      </c>
      <c r="F6025" s="16" t="s">
        <v>1001</v>
      </c>
      <c r="G6025" s="15"/>
      <c r="H6025" s="15"/>
      <c r="I6025" s="15"/>
      <c r="J6025" s="22">
        <v>3108</v>
      </c>
      <c r="K6025" s="15" t="s">
        <v>1126</v>
      </c>
      <c r="L6025" s="17">
        <v>5</v>
      </c>
      <c r="M6025" s="17">
        <v>100</v>
      </c>
      <c r="N6025" s="17">
        <v>5</v>
      </c>
      <c r="O6025" s="18">
        <v>289.31</v>
      </c>
      <c r="P6025" s="18">
        <v>237.14</v>
      </c>
      <c r="Q6025" s="18">
        <v>269.06</v>
      </c>
      <c r="R6025" s="18">
        <v>220.54</v>
      </c>
      <c r="S6025" s="18">
        <v>196.73</v>
      </c>
      <c r="T6025" s="18">
        <v>161.25</v>
      </c>
      <c r="U6025" s="16"/>
      <c r="V6025" s="16"/>
      <c r="W6025" s="16" t="s">
        <v>40</v>
      </c>
      <c r="X6025" s="19">
        <v>0.14499999999999999</v>
      </c>
      <c r="Y6025" s="20">
        <v>4.75E-4</v>
      </c>
      <c r="Z6025" s="21">
        <v>4601004304475</v>
      </c>
    </row>
    <row r="6026" spans="1:26" ht="12" customHeight="1" outlineLevel="4" x14ac:dyDescent="0.2">
      <c r="A6026" s="14" t="s">
        <v>11646</v>
      </c>
      <c r="B6026" s="26" t="s">
        <v>11647</v>
      </c>
      <c r="C6026" s="52"/>
      <c r="D6026" s="55">
        <f t="shared" si="94"/>
        <v>0</v>
      </c>
      <c r="E6026" s="63" t="str">
        <f>HYPERLINK("https://www.sds-group.ru/product/styazhka-neylonovaya-morozostoykaya-300x3-6mm-chernaya-100-sht-up-rexant-87-0301/", "Инфо")</f>
        <v>Инфо</v>
      </c>
      <c r="F6026" s="16" t="s">
        <v>1001</v>
      </c>
      <c r="G6026" s="15"/>
      <c r="H6026" s="15"/>
      <c r="I6026" s="15"/>
      <c r="J6026" s="22">
        <v>3033</v>
      </c>
      <c r="K6026" s="15" t="s">
        <v>1126</v>
      </c>
      <c r="L6026" s="17">
        <v>5</v>
      </c>
      <c r="M6026" s="17">
        <v>100</v>
      </c>
      <c r="N6026" s="17">
        <v>5</v>
      </c>
      <c r="O6026" s="18">
        <v>289.31</v>
      </c>
      <c r="P6026" s="18">
        <v>237.14</v>
      </c>
      <c r="Q6026" s="18">
        <v>269.06</v>
      </c>
      <c r="R6026" s="18">
        <v>220.54</v>
      </c>
      <c r="S6026" s="18">
        <v>196.73</v>
      </c>
      <c r="T6026" s="18">
        <v>161.25</v>
      </c>
      <c r="U6026" s="16"/>
      <c r="V6026" s="16"/>
      <c r="W6026" s="16" t="s">
        <v>40</v>
      </c>
      <c r="X6026" s="19">
        <v>0.14699999999999999</v>
      </c>
      <c r="Y6026" s="20">
        <v>4.6200000000000001E-4</v>
      </c>
      <c r="Z6026" s="21">
        <v>4601004304482</v>
      </c>
    </row>
    <row r="6027" spans="1:26" ht="12" customHeight="1" outlineLevel="4" x14ac:dyDescent="0.2">
      <c r="A6027" s="14" t="s">
        <v>11648</v>
      </c>
      <c r="B6027" s="26" t="s">
        <v>11649</v>
      </c>
      <c r="C6027" s="52"/>
      <c r="D6027" s="55">
        <f t="shared" si="94"/>
        <v>0</v>
      </c>
      <c r="E6027" s="63" t="str">
        <f>HYPERLINK("https://www.sds-group.ru/product/styazhka-neylonovaya-morozostoykaya-300x4-8mm-belaya-100-sht-up-rexant-87-1301/", "Инфо")</f>
        <v>Инфо</v>
      </c>
      <c r="F6027" s="16" t="s">
        <v>1001</v>
      </c>
      <c r="G6027" s="15"/>
      <c r="H6027" s="15"/>
      <c r="I6027" s="15"/>
      <c r="J6027" s="16" t="s">
        <v>100</v>
      </c>
      <c r="K6027" s="15" t="s">
        <v>886</v>
      </c>
      <c r="L6027" s="17">
        <v>5</v>
      </c>
      <c r="M6027" s="17">
        <v>100</v>
      </c>
      <c r="N6027" s="17">
        <v>5</v>
      </c>
      <c r="O6027" s="18">
        <v>395.2</v>
      </c>
      <c r="P6027" s="18">
        <v>323.93</v>
      </c>
      <c r="Q6027" s="18">
        <v>367.54</v>
      </c>
      <c r="R6027" s="18">
        <v>301.26</v>
      </c>
      <c r="S6027" s="18">
        <v>268.74</v>
      </c>
      <c r="T6027" s="18">
        <v>220.28</v>
      </c>
      <c r="U6027" s="16"/>
      <c r="V6027" s="16"/>
      <c r="W6027" s="16" t="s">
        <v>40</v>
      </c>
      <c r="X6027" s="19">
        <v>0.21299999999999999</v>
      </c>
      <c r="Y6027" s="20">
        <v>6.2699999999999995E-4</v>
      </c>
      <c r="Z6027" s="21">
        <v>4601004304468</v>
      </c>
    </row>
    <row r="6028" spans="1:26" ht="12" customHeight="1" outlineLevel="4" x14ac:dyDescent="0.2">
      <c r="A6028" s="14" t="s">
        <v>11650</v>
      </c>
      <c r="B6028" s="26" t="s">
        <v>11651</v>
      </c>
      <c r="C6028" s="52"/>
      <c r="D6028" s="55">
        <f t="shared" si="94"/>
        <v>0</v>
      </c>
      <c r="E6028" s="63" t="str">
        <f>HYPERLINK("https://www.sds-group.ru/product/styazhka-neylonovaya-morozostoykaya-300x4-8mm-chernaya-100-sht-up-rexant-87-1302/", "Инфо")</f>
        <v>Инфо</v>
      </c>
      <c r="F6028" s="16" t="s">
        <v>1001</v>
      </c>
      <c r="G6028" s="15"/>
      <c r="H6028" s="15"/>
      <c r="I6028" s="15"/>
      <c r="J6028" s="16" t="s">
        <v>100</v>
      </c>
      <c r="K6028" s="15" t="s">
        <v>10151</v>
      </c>
      <c r="L6028" s="17">
        <v>5</v>
      </c>
      <c r="M6028" s="17">
        <v>100</v>
      </c>
      <c r="N6028" s="17">
        <v>5</v>
      </c>
      <c r="O6028" s="18">
        <v>395.2</v>
      </c>
      <c r="P6028" s="18">
        <v>323.93</v>
      </c>
      <c r="Q6028" s="18">
        <v>367.54</v>
      </c>
      <c r="R6028" s="18">
        <v>301.26</v>
      </c>
      <c r="S6028" s="18">
        <v>268.74</v>
      </c>
      <c r="T6028" s="18">
        <v>220.28</v>
      </c>
      <c r="U6028" s="16"/>
      <c r="V6028" s="16"/>
      <c r="W6028" s="16" t="s">
        <v>40</v>
      </c>
      <c r="X6028" s="19">
        <v>0.21</v>
      </c>
      <c r="Y6028" s="20">
        <v>6.2600000000000004E-4</v>
      </c>
      <c r="Z6028" s="21">
        <v>4601004304499</v>
      </c>
    </row>
    <row r="6029" spans="1:26" ht="12" customHeight="1" outlineLevel="4" x14ac:dyDescent="0.2">
      <c r="A6029" s="14" t="s">
        <v>11652</v>
      </c>
      <c r="B6029" s="26" t="s">
        <v>11653</v>
      </c>
      <c r="C6029" s="52"/>
      <c r="D6029" s="55">
        <f t="shared" si="94"/>
        <v>0</v>
      </c>
      <c r="E6029" s="63" t="str">
        <f>HYPERLINK("https://www.sds-group.ru/product/styazhka-neylonovaya-morozostoykaya-400x4-8mm-belaya-100-sht-up-rexant-87-0400/", "Инфо")</f>
        <v>Инфо</v>
      </c>
      <c r="F6029" s="16" t="s">
        <v>1001</v>
      </c>
      <c r="G6029" s="15"/>
      <c r="H6029" s="15"/>
      <c r="I6029" s="15"/>
      <c r="J6029" s="16" t="s">
        <v>100</v>
      </c>
      <c r="K6029" s="15" t="s">
        <v>1126</v>
      </c>
      <c r="L6029" s="17">
        <v>5</v>
      </c>
      <c r="M6029" s="17">
        <v>50</v>
      </c>
      <c r="N6029" s="17">
        <v>5</v>
      </c>
      <c r="O6029" s="18">
        <v>561.73</v>
      </c>
      <c r="P6029" s="18">
        <v>460.43</v>
      </c>
      <c r="Q6029" s="18">
        <v>522.41</v>
      </c>
      <c r="R6029" s="18">
        <v>428.2</v>
      </c>
      <c r="S6029" s="18">
        <v>381.98</v>
      </c>
      <c r="T6029" s="18">
        <v>313.10000000000002</v>
      </c>
      <c r="U6029" s="16"/>
      <c r="V6029" s="16"/>
      <c r="W6029" s="16" t="s">
        <v>40</v>
      </c>
      <c r="X6029" s="19">
        <v>0.27400000000000002</v>
      </c>
      <c r="Y6029" s="20">
        <v>7.8700000000000005E-4</v>
      </c>
      <c r="Z6029" s="21">
        <v>4601004304536</v>
      </c>
    </row>
    <row r="6030" spans="1:26" ht="12" customHeight="1" outlineLevel="4" x14ac:dyDescent="0.2">
      <c r="A6030" s="14" t="s">
        <v>11654</v>
      </c>
      <c r="B6030" s="26" t="s">
        <v>11655</v>
      </c>
      <c r="C6030" s="52"/>
      <c r="D6030" s="55">
        <f t="shared" si="94"/>
        <v>0</v>
      </c>
      <c r="E6030" s="63" t="str">
        <f>HYPERLINK("https://www.sds-group.ru/product/styazhka-neylonovaya-morozostoykaya-400x4-8mm-chernaya-100-sht-up-rexant-87-0401/", "Инфо")</f>
        <v>Инфо</v>
      </c>
      <c r="F6030" s="16" t="s">
        <v>1001</v>
      </c>
      <c r="G6030" s="15"/>
      <c r="H6030" s="15"/>
      <c r="I6030" s="15"/>
      <c r="J6030" s="22">
        <v>1751</v>
      </c>
      <c r="K6030" s="15" t="s">
        <v>3762</v>
      </c>
      <c r="L6030" s="17">
        <v>5</v>
      </c>
      <c r="M6030" s="17">
        <v>50</v>
      </c>
      <c r="N6030" s="17">
        <v>5</v>
      </c>
      <c r="O6030" s="18">
        <v>561.73</v>
      </c>
      <c r="P6030" s="18">
        <v>460.43</v>
      </c>
      <c r="Q6030" s="18">
        <v>522.41</v>
      </c>
      <c r="R6030" s="18">
        <v>428.2</v>
      </c>
      <c r="S6030" s="18">
        <v>381.98</v>
      </c>
      <c r="T6030" s="18">
        <v>313.10000000000002</v>
      </c>
      <c r="U6030" s="16"/>
      <c r="V6030" s="16"/>
      <c r="W6030" s="16" t="s">
        <v>40</v>
      </c>
      <c r="X6030" s="19">
        <v>0.27700000000000002</v>
      </c>
      <c r="Y6030" s="20">
        <v>7.9699999999999997E-4</v>
      </c>
      <c r="Z6030" s="21">
        <v>4601004304543</v>
      </c>
    </row>
    <row r="6031" spans="1:26" ht="12" customHeight="1" outlineLevel="4" x14ac:dyDescent="0.2">
      <c r="A6031" s="14" t="s">
        <v>11656</v>
      </c>
      <c r="B6031" s="26" t="s">
        <v>11657</v>
      </c>
      <c r="C6031" s="52"/>
      <c r="D6031" s="55">
        <f t="shared" si="94"/>
        <v>0</v>
      </c>
      <c r="E6031" s="63" t="str">
        <f>HYPERLINK("https://www.sds-group.ru/product/styazhka-neylonovaya-morozostoykaya-500x7-6mm-belaya-100-sht-up-rexant-87-0502/", "Инфо")</f>
        <v>Инфо</v>
      </c>
      <c r="F6031" s="16" t="s">
        <v>1001</v>
      </c>
      <c r="G6031" s="15"/>
      <c r="H6031" s="15"/>
      <c r="I6031" s="15"/>
      <c r="J6031" s="16" t="s">
        <v>100</v>
      </c>
      <c r="K6031" s="15" t="s">
        <v>7336</v>
      </c>
      <c r="L6031" s="17">
        <v>1</v>
      </c>
      <c r="M6031" s="17">
        <v>25</v>
      </c>
      <c r="N6031" s="17">
        <v>1</v>
      </c>
      <c r="O6031" s="18">
        <v>1325.61</v>
      </c>
      <c r="P6031" s="18">
        <v>1086.57</v>
      </c>
      <c r="Q6031" s="18">
        <v>1232.82</v>
      </c>
      <c r="R6031" s="18">
        <v>1010.51</v>
      </c>
      <c r="S6031" s="18">
        <v>901.41</v>
      </c>
      <c r="T6031" s="18">
        <v>738.86</v>
      </c>
      <c r="U6031" s="16"/>
      <c r="V6031" s="16"/>
      <c r="W6031" s="16" t="s">
        <v>40</v>
      </c>
      <c r="X6031" s="19">
        <v>0.65600000000000003</v>
      </c>
      <c r="Y6031" s="20">
        <v>2.088E-3</v>
      </c>
      <c r="Z6031" s="21">
        <v>4601004304550</v>
      </c>
    </row>
    <row r="6032" spans="1:26" ht="12" customHeight="1" outlineLevel="4" x14ac:dyDescent="0.2">
      <c r="A6032" s="14" t="s">
        <v>11658</v>
      </c>
      <c r="B6032" s="26" t="s">
        <v>11659</v>
      </c>
      <c r="C6032" s="52"/>
      <c r="D6032" s="55">
        <f t="shared" si="94"/>
        <v>0</v>
      </c>
      <c r="E6032" s="63" t="str">
        <f>HYPERLINK("https://www.sds-group.ru/product/styazhka-neylonovaya-morozostoykaya-500x7-6mm-chernaya-100-sht-up-rexant-87-0503/", "Инфо")</f>
        <v>Инфо</v>
      </c>
      <c r="F6032" s="16" t="s">
        <v>1001</v>
      </c>
      <c r="G6032" s="15"/>
      <c r="H6032" s="15"/>
      <c r="I6032" s="15"/>
      <c r="J6032" s="16" t="s">
        <v>100</v>
      </c>
      <c r="K6032" s="15" t="s">
        <v>1126</v>
      </c>
      <c r="L6032" s="17">
        <v>1</v>
      </c>
      <c r="M6032" s="17">
        <v>25</v>
      </c>
      <c r="N6032" s="17">
        <v>1</v>
      </c>
      <c r="O6032" s="18">
        <v>1325.61</v>
      </c>
      <c r="P6032" s="18">
        <v>1086.57</v>
      </c>
      <c r="Q6032" s="18">
        <v>1232.82</v>
      </c>
      <c r="R6032" s="18">
        <v>1010.51</v>
      </c>
      <c r="S6032" s="18">
        <v>901.41</v>
      </c>
      <c r="T6032" s="18">
        <v>738.86</v>
      </c>
      <c r="U6032" s="16"/>
      <c r="V6032" s="16"/>
      <c r="W6032" s="16" t="s">
        <v>40</v>
      </c>
      <c r="X6032" s="19">
        <v>0.65800000000000003</v>
      </c>
      <c r="Y6032" s="20">
        <v>2.0460000000000001E-3</v>
      </c>
      <c r="Z6032" s="21">
        <v>4601004304369</v>
      </c>
    </row>
    <row r="6033" spans="1:26" ht="12.95" customHeight="1" outlineLevel="3" x14ac:dyDescent="0.2">
      <c r="A6033" s="76" t="s">
        <v>11660</v>
      </c>
      <c r="B6033" s="76"/>
      <c r="C6033" s="77"/>
      <c r="D6033" s="58"/>
      <c r="E6033" s="68"/>
      <c r="F6033" s="13"/>
      <c r="G6033" s="13"/>
      <c r="H6033" s="13"/>
      <c r="I6033" s="13"/>
      <c r="J6033" s="13"/>
      <c r="K6033" s="13"/>
      <c r="L6033" s="13"/>
      <c r="M6033" s="13"/>
      <c r="N6033" s="13"/>
      <c r="O6033" s="13"/>
      <c r="P6033" s="13"/>
      <c r="Q6033" s="13"/>
      <c r="R6033" s="13"/>
      <c r="S6033" s="13"/>
      <c r="T6033" s="13"/>
      <c r="U6033" s="13"/>
      <c r="V6033" s="13"/>
      <c r="W6033" s="13"/>
      <c r="X6033" s="13"/>
      <c r="Y6033" s="13"/>
      <c r="Z6033" s="13"/>
    </row>
    <row r="6034" spans="1:26" ht="12" customHeight="1" outlineLevel="4" x14ac:dyDescent="0.2">
      <c r="A6034" s="14" t="s">
        <v>11661</v>
      </c>
      <c r="B6034" s="26" t="s">
        <v>11662</v>
      </c>
      <c r="C6034" s="52"/>
      <c r="D6034" s="55">
        <f t="shared" si="94"/>
        <v>0</v>
      </c>
      <c r="E6034" s="63" t="str">
        <f>HYPERLINK("https://www.sds-group.ru/product/styazhka-neylonovaya-dlya-sip-s-gorizontalnym-zamkom-180x6-0mm-chernaya-100-sht-up-rexant-07-0186/", "Инфо")</f>
        <v>Инфо</v>
      </c>
      <c r="F6034" s="16" t="s">
        <v>1001</v>
      </c>
      <c r="G6034" s="15"/>
      <c r="H6034" s="15"/>
      <c r="I6034" s="15"/>
      <c r="J6034" s="17">
        <v>396</v>
      </c>
      <c r="K6034" s="15" t="s">
        <v>4926</v>
      </c>
      <c r="L6034" s="17">
        <v>5</v>
      </c>
      <c r="M6034" s="17">
        <v>80</v>
      </c>
      <c r="N6034" s="17">
        <v>5</v>
      </c>
      <c r="O6034" s="18">
        <v>495.89</v>
      </c>
      <c r="P6034" s="18">
        <v>406.47</v>
      </c>
      <c r="Q6034" s="18">
        <v>431.42</v>
      </c>
      <c r="R6034" s="18">
        <v>353.62</v>
      </c>
      <c r="S6034" s="18">
        <v>337.21</v>
      </c>
      <c r="T6034" s="18">
        <v>276.39999999999998</v>
      </c>
      <c r="U6034" s="16"/>
      <c r="V6034" s="16"/>
      <c r="W6034" s="16" t="s">
        <v>40</v>
      </c>
      <c r="X6034" s="19">
        <v>0.223</v>
      </c>
      <c r="Y6034" s="20">
        <v>7.54E-4</v>
      </c>
      <c r="Z6034" s="21">
        <v>4601004061422</v>
      </c>
    </row>
    <row r="6035" spans="1:26" ht="12" customHeight="1" outlineLevel="4" x14ac:dyDescent="0.2">
      <c r="A6035" s="14" t="s">
        <v>11663</v>
      </c>
      <c r="B6035" s="26" t="s">
        <v>11664</v>
      </c>
      <c r="C6035" s="52"/>
      <c r="D6035" s="55">
        <f t="shared" si="94"/>
        <v>0</v>
      </c>
      <c r="E6035" s="63" t="str">
        <f>HYPERLINK("https://www.sds-group.ru/product/styazhka-neylonovaya-dlya-sip-s-gorizontalnym-zamkom-260x9-0mm-chernaya-100-sht-up-rexant-07-0269/", "Инфо")</f>
        <v>Инфо</v>
      </c>
      <c r="F6035" s="16" t="s">
        <v>1001</v>
      </c>
      <c r="G6035" s="15"/>
      <c r="H6035" s="15"/>
      <c r="I6035" s="15"/>
      <c r="J6035" s="17">
        <v>226</v>
      </c>
      <c r="K6035" s="15" t="s">
        <v>4926</v>
      </c>
      <c r="L6035" s="17">
        <v>1</v>
      </c>
      <c r="M6035" s="17">
        <v>35</v>
      </c>
      <c r="N6035" s="17">
        <v>1</v>
      </c>
      <c r="O6035" s="18">
        <v>1185.82</v>
      </c>
      <c r="P6035" s="18">
        <v>971.98</v>
      </c>
      <c r="Q6035" s="18">
        <v>1019.81</v>
      </c>
      <c r="R6035" s="18">
        <v>835.91</v>
      </c>
      <c r="S6035" s="18">
        <v>806.36</v>
      </c>
      <c r="T6035" s="18">
        <v>660.95</v>
      </c>
      <c r="U6035" s="16"/>
      <c r="V6035" s="16"/>
      <c r="W6035" s="16" t="s">
        <v>40</v>
      </c>
      <c r="X6035" s="19">
        <v>0.52600000000000002</v>
      </c>
      <c r="Y6035" s="20">
        <v>1.7240000000000001E-3</v>
      </c>
      <c r="Z6035" s="21">
        <v>4601004061446</v>
      </c>
    </row>
    <row r="6036" spans="1:26" ht="12" customHeight="1" outlineLevel="4" x14ac:dyDescent="0.2">
      <c r="A6036" s="14" t="s">
        <v>11665</v>
      </c>
      <c r="B6036" s="26" t="s">
        <v>11666</v>
      </c>
      <c r="C6036" s="52"/>
      <c r="D6036" s="55">
        <f t="shared" si="94"/>
        <v>0</v>
      </c>
      <c r="E6036" s="63" t="str">
        <f>HYPERLINK("https://www.sds-group.ru/product/styazhka-neylonovaya-dlya-sip-s-gorizontalnym-zamkom-350x9-0mm-chernaya-100-sht-up-rexant-07-0359/", "Инфо")</f>
        <v>Инфо</v>
      </c>
      <c r="F6036" s="16" t="s">
        <v>1001</v>
      </c>
      <c r="G6036" s="15"/>
      <c r="H6036" s="15"/>
      <c r="I6036" s="15"/>
      <c r="J6036" s="17">
        <v>277</v>
      </c>
      <c r="K6036" s="15" t="s">
        <v>4926</v>
      </c>
      <c r="L6036" s="17">
        <v>1</v>
      </c>
      <c r="M6036" s="17">
        <v>30</v>
      </c>
      <c r="N6036" s="17">
        <v>1</v>
      </c>
      <c r="O6036" s="18">
        <v>1635.36</v>
      </c>
      <c r="P6036" s="18">
        <v>1340.46</v>
      </c>
      <c r="Q6036" s="18">
        <v>1406.41</v>
      </c>
      <c r="R6036" s="18">
        <v>1152.8</v>
      </c>
      <c r="S6036" s="18">
        <v>1112.04</v>
      </c>
      <c r="T6036" s="18">
        <v>911.51</v>
      </c>
      <c r="U6036" s="16"/>
      <c r="V6036" s="16"/>
      <c r="W6036" s="16" t="s">
        <v>40</v>
      </c>
      <c r="X6036" s="19">
        <v>0.68200000000000005</v>
      </c>
      <c r="Y6036" s="20">
        <v>2.042E-3</v>
      </c>
      <c r="Z6036" s="21">
        <v>4601004061439</v>
      </c>
    </row>
    <row r="6037" spans="1:26" ht="12.95" customHeight="1" outlineLevel="3" x14ac:dyDescent="0.2">
      <c r="A6037" s="76" t="s">
        <v>11667</v>
      </c>
      <c r="B6037" s="76"/>
      <c r="C6037" s="77"/>
      <c r="D6037" s="58"/>
      <c r="E6037" s="68"/>
      <c r="F6037" s="13"/>
      <c r="G6037" s="13"/>
      <c r="H6037" s="13"/>
      <c r="I6037" s="13"/>
      <c r="J6037" s="13"/>
      <c r="K6037" s="13"/>
      <c r="L6037" s="13"/>
      <c r="M6037" s="13"/>
      <c r="N6037" s="13"/>
      <c r="O6037" s="13"/>
      <c r="P6037" s="13"/>
      <c r="Q6037" s="13"/>
      <c r="R6037" s="13"/>
      <c r="S6037" s="13"/>
      <c r="T6037" s="13"/>
      <c r="U6037" s="13"/>
      <c r="V6037" s="13"/>
      <c r="W6037" s="13"/>
      <c r="X6037" s="13"/>
      <c r="Y6037" s="13"/>
      <c r="Z6037" s="13"/>
    </row>
    <row r="6038" spans="1:26" ht="12" customHeight="1" outlineLevel="4" x14ac:dyDescent="0.2">
      <c r="A6038" s="14" t="s">
        <v>11668</v>
      </c>
      <c r="B6038" s="26" t="s">
        <v>11669</v>
      </c>
      <c r="C6038" s="52"/>
      <c r="D6038" s="55">
        <f t="shared" si="94"/>
        <v>0</v>
      </c>
      <c r="E6038" s="63" t="str">
        <f>HYPERLINK("https://www.sds-group.ru/product/styazhka-neylonovaya-pod-vint-100x3-6mm-belaya-100-sht-up-rexant-07-0104/", "Инфо")</f>
        <v>Инфо</v>
      </c>
      <c r="F6038" s="16" t="s">
        <v>1001</v>
      </c>
      <c r="G6038" s="15"/>
      <c r="H6038" s="15"/>
      <c r="I6038" s="15"/>
      <c r="J6038" s="22">
        <v>7361</v>
      </c>
      <c r="K6038" s="15" t="s">
        <v>3762</v>
      </c>
      <c r="L6038" s="17">
        <v>10</v>
      </c>
      <c r="M6038" s="17">
        <v>200</v>
      </c>
      <c r="N6038" s="17">
        <v>10</v>
      </c>
      <c r="O6038" s="18">
        <v>144.46</v>
      </c>
      <c r="P6038" s="18">
        <v>118.41</v>
      </c>
      <c r="Q6038" s="18">
        <v>134.35</v>
      </c>
      <c r="R6038" s="18">
        <v>110.12</v>
      </c>
      <c r="S6038" s="18">
        <v>98.23</v>
      </c>
      <c r="T6038" s="18">
        <v>80.52</v>
      </c>
      <c r="U6038" s="16"/>
      <c r="V6038" s="16"/>
      <c r="W6038" s="16" t="s">
        <v>40</v>
      </c>
      <c r="X6038" s="19">
        <v>7.3999999999999996E-2</v>
      </c>
      <c r="Y6038" s="20">
        <v>3.0499999999999999E-4</v>
      </c>
      <c r="Z6038" s="21">
        <v>4610003603182</v>
      </c>
    </row>
    <row r="6039" spans="1:26" ht="12" customHeight="1" outlineLevel="4" x14ac:dyDescent="0.2">
      <c r="A6039" s="14" t="s">
        <v>11670</v>
      </c>
      <c r="B6039" s="26" t="s">
        <v>11671</v>
      </c>
      <c r="C6039" s="52"/>
      <c r="D6039" s="55">
        <f t="shared" si="94"/>
        <v>0</v>
      </c>
      <c r="E6039" s="63" t="str">
        <f>HYPERLINK("https://www.sds-group.ru/product/styazhka-neylonovaya-pod-vint-100x3-6mm-chernaya-100-sht-up-rexant-07-0105/", "Инфо")</f>
        <v>Инфо</v>
      </c>
      <c r="F6039" s="16" t="s">
        <v>1001</v>
      </c>
      <c r="G6039" s="15"/>
      <c r="H6039" s="15"/>
      <c r="I6039" s="15"/>
      <c r="J6039" s="22">
        <v>2515</v>
      </c>
      <c r="K6039" s="15" t="s">
        <v>886</v>
      </c>
      <c r="L6039" s="17">
        <v>10</v>
      </c>
      <c r="M6039" s="17">
        <v>200</v>
      </c>
      <c r="N6039" s="17">
        <v>10</v>
      </c>
      <c r="O6039" s="18">
        <v>144.46</v>
      </c>
      <c r="P6039" s="18">
        <v>118.41</v>
      </c>
      <c r="Q6039" s="18">
        <v>134.35</v>
      </c>
      <c r="R6039" s="18">
        <v>110.12</v>
      </c>
      <c r="S6039" s="18">
        <v>98.23</v>
      </c>
      <c r="T6039" s="18">
        <v>80.52</v>
      </c>
      <c r="U6039" s="16"/>
      <c r="V6039" s="16"/>
      <c r="W6039" s="16" t="s">
        <v>40</v>
      </c>
      <c r="X6039" s="19">
        <v>7.1999999999999995E-2</v>
      </c>
      <c r="Y6039" s="20">
        <v>2.7099999999999997E-4</v>
      </c>
      <c r="Z6039" s="21">
        <v>4610003603199</v>
      </c>
    </row>
    <row r="6040" spans="1:26" ht="12" customHeight="1" outlineLevel="4" x14ac:dyDescent="0.2">
      <c r="A6040" s="14" t="s">
        <v>11672</v>
      </c>
      <c r="B6040" s="26" t="s">
        <v>11673</v>
      </c>
      <c r="C6040" s="52"/>
      <c r="D6040" s="55">
        <f t="shared" si="94"/>
        <v>0</v>
      </c>
      <c r="E6040" s="63" t="str">
        <f>HYPERLINK("https://www.sds-group.ru/product/styazhka-neylonovaya-pod-vint-150x3-6mm-belaya-100-sht-up-rexant-07-0154/", "Инфо")</f>
        <v>Инфо</v>
      </c>
      <c r="F6040" s="16" t="s">
        <v>1001</v>
      </c>
      <c r="G6040" s="15"/>
      <c r="H6040" s="15"/>
      <c r="I6040" s="15"/>
      <c r="J6040" s="22">
        <v>12723</v>
      </c>
      <c r="K6040" s="15" t="s">
        <v>4926</v>
      </c>
      <c r="L6040" s="17">
        <v>10</v>
      </c>
      <c r="M6040" s="17">
        <v>100</v>
      </c>
      <c r="N6040" s="17">
        <v>10</v>
      </c>
      <c r="O6040" s="18">
        <v>176.8</v>
      </c>
      <c r="P6040" s="18">
        <v>144.91999999999999</v>
      </c>
      <c r="Q6040" s="18">
        <v>164.42</v>
      </c>
      <c r="R6040" s="18">
        <v>134.77000000000001</v>
      </c>
      <c r="S6040" s="18">
        <v>120.22</v>
      </c>
      <c r="T6040" s="18">
        <v>98.54</v>
      </c>
      <c r="U6040" s="16"/>
      <c r="V6040" s="16"/>
      <c r="W6040" s="16" t="s">
        <v>40</v>
      </c>
      <c r="X6040" s="19">
        <v>9.1999999999999998E-2</v>
      </c>
      <c r="Y6040" s="20">
        <v>4.28E-4</v>
      </c>
      <c r="Z6040" s="21">
        <v>4610003603205</v>
      </c>
    </row>
    <row r="6041" spans="1:26" ht="12" customHeight="1" outlineLevel="4" x14ac:dyDescent="0.2">
      <c r="A6041" s="14" t="s">
        <v>11674</v>
      </c>
      <c r="B6041" s="26" t="s">
        <v>11675</v>
      </c>
      <c r="C6041" s="52"/>
      <c r="D6041" s="55">
        <f t="shared" si="94"/>
        <v>0</v>
      </c>
      <c r="E6041" s="63" t="str">
        <f>HYPERLINK("https://www.sds-group.ru/product/styazhka-neylonovaya-pod-vint-150x3-6mm-chernaya-100-sht-up-rexant-07-0155/", "Инфо")</f>
        <v>Инфо</v>
      </c>
      <c r="F6041" s="16" t="s">
        <v>1001</v>
      </c>
      <c r="G6041" s="15"/>
      <c r="H6041" s="15"/>
      <c r="I6041" s="15"/>
      <c r="J6041" s="22">
        <v>34838</v>
      </c>
      <c r="K6041" s="15" t="s">
        <v>979</v>
      </c>
      <c r="L6041" s="17">
        <v>10</v>
      </c>
      <c r="M6041" s="17">
        <v>100</v>
      </c>
      <c r="N6041" s="17">
        <v>10</v>
      </c>
      <c r="O6041" s="18">
        <v>176.8</v>
      </c>
      <c r="P6041" s="18">
        <v>144.91999999999999</v>
      </c>
      <c r="Q6041" s="18">
        <v>164.42</v>
      </c>
      <c r="R6041" s="18">
        <v>134.77000000000001</v>
      </c>
      <c r="S6041" s="18">
        <v>120.22</v>
      </c>
      <c r="T6041" s="18">
        <v>98.54</v>
      </c>
      <c r="U6041" s="16"/>
      <c r="V6041" s="16"/>
      <c r="W6041" s="16" t="s">
        <v>40</v>
      </c>
      <c r="X6041" s="19">
        <v>0.09</v>
      </c>
      <c r="Y6041" s="20">
        <v>4.3600000000000003E-4</v>
      </c>
      <c r="Z6041" s="21">
        <v>4610003603212</v>
      </c>
    </row>
    <row r="6042" spans="1:26" ht="12" customHeight="1" outlineLevel="4" x14ac:dyDescent="0.2">
      <c r="A6042" s="14" t="s">
        <v>11676</v>
      </c>
      <c r="B6042" s="26" t="s">
        <v>11677</v>
      </c>
      <c r="C6042" s="52"/>
      <c r="D6042" s="55">
        <f t="shared" si="94"/>
        <v>0</v>
      </c>
      <c r="E6042" s="63" t="str">
        <f>HYPERLINK("https://www.sds-group.ru/product/styazhka-neylonovaya-pod-vint-200x4-3mm-belaya-100-sht-up-rexant-07-0204/", "Инфо")</f>
        <v>Инфо</v>
      </c>
      <c r="F6042" s="16" t="s">
        <v>1001</v>
      </c>
      <c r="G6042" s="15"/>
      <c r="H6042" s="15"/>
      <c r="I6042" s="15"/>
      <c r="J6042" s="22">
        <v>6799</v>
      </c>
      <c r="K6042" s="15" t="s">
        <v>6930</v>
      </c>
      <c r="L6042" s="17">
        <v>10</v>
      </c>
      <c r="M6042" s="17">
        <v>100</v>
      </c>
      <c r="N6042" s="17">
        <v>10</v>
      </c>
      <c r="O6042" s="18">
        <v>352.51</v>
      </c>
      <c r="P6042" s="18">
        <v>288.94</v>
      </c>
      <c r="Q6042" s="18">
        <v>327.83</v>
      </c>
      <c r="R6042" s="18">
        <v>268.70999999999998</v>
      </c>
      <c r="S6042" s="18">
        <v>239.71</v>
      </c>
      <c r="T6042" s="18">
        <v>196.48</v>
      </c>
      <c r="U6042" s="16"/>
      <c r="V6042" s="16"/>
      <c r="W6042" s="16" t="s">
        <v>40</v>
      </c>
      <c r="X6042" s="19">
        <v>0.17100000000000001</v>
      </c>
      <c r="Y6042" s="20">
        <v>5.6899999999999995E-4</v>
      </c>
      <c r="Z6042" s="21">
        <v>4610003603229</v>
      </c>
    </row>
    <row r="6043" spans="1:26" ht="12" customHeight="1" outlineLevel="4" x14ac:dyDescent="0.2">
      <c r="A6043" s="14" t="s">
        <v>11678</v>
      </c>
      <c r="B6043" s="26" t="s">
        <v>11679</v>
      </c>
      <c r="C6043" s="52"/>
      <c r="D6043" s="55">
        <f t="shared" si="94"/>
        <v>0</v>
      </c>
      <c r="E6043" s="63" t="str">
        <f>HYPERLINK("https://www.sds-group.ru/product/styazhka-neylonovaya-pod-vint-200x4-3mm-chernaya-100-sht-up-rexant-07-0205/", "Инфо")</f>
        <v>Инфо</v>
      </c>
      <c r="F6043" s="16" t="s">
        <v>1001</v>
      </c>
      <c r="G6043" s="15"/>
      <c r="H6043" s="15"/>
      <c r="I6043" s="15"/>
      <c r="J6043" s="22">
        <v>2882</v>
      </c>
      <c r="K6043" s="15" t="s">
        <v>3762</v>
      </c>
      <c r="L6043" s="17">
        <v>10</v>
      </c>
      <c r="M6043" s="17">
        <v>100</v>
      </c>
      <c r="N6043" s="17">
        <v>10</v>
      </c>
      <c r="O6043" s="18">
        <v>352.51</v>
      </c>
      <c r="P6043" s="18">
        <v>288.94</v>
      </c>
      <c r="Q6043" s="18">
        <v>327.83</v>
      </c>
      <c r="R6043" s="18">
        <v>268.70999999999998</v>
      </c>
      <c r="S6043" s="18">
        <v>239.71</v>
      </c>
      <c r="T6043" s="18">
        <v>196.48</v>
      </c>
      <c r="U6043" s="16"/>
      <c r="V6043" s="16"/>
      <c r="W6043" s="16" t="s">
        <v>40</v>
      </c>
      <c r="X6043" s="19">
        <v>0.17199999999999999</v>
      </c>
      <c r="Y6043" s="20">
        <v>5.7600000000000001E-4</v>
      </c>
      <c r="Z6043" s="21">
        <v>4610003603236</v>
      </c>
    </row>
    <row r="6044" spans="1:26" ht="12" customHeight="1" outlineLevel="4" x14ac:dyDescent="0.2">
      <c r="A6044" s="14" t="s">
        <v>11680</v>
      </c>
      <c r="B6044" s="26" t="s">
        <v>11681</v>
      </c>
      <c r="C6044" s="52"/>
      <c r="D6044" s="55">
        <f t="shared" si="94"/>
        <v>0</v>
      </c>
      <c r="E6044" s="63" t="str">
        <f>HYPERLINK("https://www.sds-group.ru/product/styazhka-neylonovaya-s-krepezhnym-pistonom-100x2-5mm-2-4mm-belaya-100-sht-up-rexant-07-0107/", "Инфо")</f>
        <v>Инфо</v>
      </c>
      <c r="F6044" s="16" t="s">
        <v>1001</v>
      </c>
      <c r="G6044" s="15"/>
      <c r="H6044" s="15"/>
      <c r="I6044" s="15"/>
      <c r="J6044" s="17">
        <v>580</v>
      </c>
      <c r="K6044" s="15" t="s">
        <v>7336</v>
      </c>
      <c r="L6044" s="17">
        <v>10</v>
      </c>
      <c r="M6044" s="17">
        <v>100</v>
      </c>
      <c r="N6044" s="17">
        <v>10</v>
      </c>
      <c r="O6044" s="18">
        <v>131.51</v>
      </c>
      <c r="P6044" s="18">
        <v>107.8</v>
      </c>
      <c r="Q6044" s="18">
        <v>122.3</v>
      </c>
      <c r="R6044" s="18">
        <v>100.25</v>
      </c>
      <c r="S6044" s="18">
        <v>89.43</v>
      </c>
      <c r="T6044" s="18">
        <v>73.3</v>
      </c>
      <c r="U6044" s="16"/>
      <c r="V6044" s="16"/>
      <c r="W6044" s="16" t="s">
        <v>40</v>
      </c>
      <c r="X6044" s="19">
        <v>6.4000000000000001E-2</v>
      </c>
      <c r="Y6044" s="20">
        <v>3.79E-4</v>
      </c>
      <c r="Z6044" s="21">
        <v>4610003603267</v>
      </c>
    </row>
    <row r="6045" spans="1:26" ht="12" customHeight="1" outlineLevel="4" x14ac:dyDescent="0.2">
      <c r="A6045" s="14" t="s">
        <v>11682</v>
      </c>
      <c r="B6045" s="26" t="s">
        <v>11683</v>
      </c>
      <c r="C6045" s="52"/>
      <c r="D6045" s="55">
        <f t="shared" si="94"/>
        <v>0</v>
      </c>
      <c r="E6045" s="63" t="str">
        <f>HYPERLINK("https://www.sds-group.ru/product/styazhka-neylonovaya-s-krepezhnym-pistonom-190x4-8mm-3-2mm-belaya-100-sht-up-rexant-07-0197/", "Инфо")</f>
        <v>Инфо</v>
      </c>
      <c r="F6045" s="16" t="s">
        <v>1001</v>
      </c>
      <c r="G6045" s="15"/>
      <c r="H6045" s="15"/>
      <c r="I6045" s="15"/>
      <c r="J6045" s="22">
        <v>2114</v>
      </c>
      <c r="K6045" s="15" t="s">
        <v>6930</v>
      </c>
      <c r="L6045" s="17">
        <v>10</v>
      </c>
      <c r="M6045" s="17">
        <v>50</v>
      </c>
      <c r="N6045" s="17">
        <v>10</v>
      </c>
      <c r="O6045" s="18">
        <v>419.35</v>
      </c>
      <c r="P6045" s="18">
        <v>343.73</v>
      </c>
      <c r="Q6045" s="18">
        <v>364.83</v>
      </c>
      <c r="R6045" s="18">
        <v>299.04000000000002</v>
      </c>
      <c r="S6045" s="18">
        <v>285.16000000000003</v>
      </c>
      <c r="T6045" s="18">
        <v>233.74</v>
      </c>
      <c r="U6045" s="16"/>
      <c r="V6045" s="16"/>
      <c r="W6045" s="16" t="s">
        <v>40</v>
      </c>
      <c r="X6045" s="19">
        <v>0.19800000000000001</v>
      </c>
      <c r="Y6045" s="20">
        <v>1.049E-3</v>
      </c>
      <c r="Z6045" s="21">
        <v>4610003603274</v>
      </c>
    </row>
    <row r="6046" spans="1:26" ht="12" customHeight="1" outlineLevel="4" x14ac:dyDescent="0.2">
      <c r="A6046" s="40" t="s">
        <v>11684</v>
      </c>
      <c r="B6046" s="75" t="s">
        <v>11685</v>
      </c>
      <c r="C6046" s="51"/>
      <c r="D6046" s="54">
        <f t="shared" si="94"/>
        <v>0</v>
      </c>
      <c r="E6046" s="62"/>
      <c r="F6046" s="42" t="s">
        <v>1001</v>
      </c>
      <c r="G6046" s="41" t="s">
        <v>40</v>
      </c>
      <c r="H6046" s="41"/>
      <c r="I6046" s="41"/>
      <c r="J6046" s="47">
        <v>2726</v>
      </c>
      <c r="K6046" s="41"/>
      <c r="L6046" s="43">
        <v>1</v>
      </c>
      <c r="M6046" s="47">
        <v>1000</v>
      </c>
      <c r="N6046" s="43">
        <v>1</v>
      </c>
      <c r="O6046" s="44">
        <v>51.94</v>
      </c>
      <c r="P6046" s="44">
        <v>42.57</v>
      </c>
      <c r="Q6046" s="44">
        <v>49.34</v>
      </c>
      <c r="R6046" s="44">
        <v>40.44</v>
      </c>
      <c r="S6046" s="44">
        <v>35.32</v>
      </c>
      <c r="T6046" s="44">
        <v>28.95</v>
      </c>
      <c r="U6046" s="42"/>
      <c r="V6046" s="42"/>
      <c r="W6046" s="42" t="s">
        <v>40</v>
      </c>
      <c r="X6046" s="45">
        <v>2.1000000000000001E-2</v>
      </c>
      <c r="Y6046" s="46">
        <v>8.2000000000000001E-5</v>
      </c>
      <c r="Z6046" s="21">
        <v>4601004352261</v>
      </c>
    </row>
    <row r="6047" spans="1:26" ht="12" customHeight="1" outlineLevel="4" x14ac:dyDescent="0.2">
      <c r="A6047" s="40" t="s">
        <v>11686</v>
      </c>
      <c r="B6047" s="75" t="s">
        <v>11687</v>
      </c>
      <c r="C6047" s="51"/>
      <c r="D6047" s="54">
        <f t="shared" si="94"/>
        <v>0</v>
      </c>
      <c r="E6047" s="62"/>
      <c r="F6047" s="42" t="s">
        <v>1001</v>
      </c>
      <c r="G6047" s="41" t="s">
        <v>40</v>
      </c>
      <c r="H6047" s="41"/>
      <c r="I6047" s="41"/>
      <c r="J6047" s="47">
        <v>2793</v>
      </c>
      <c r="K6047" s="41"/>
      <c r="L6047" s="43">
        <v>1</v>
      </c>
      <c r="M6047" s="43">
        <v>100</v>
      </c>
      <c r="N6047" s="43">
        <v>1</v>
      </c>
      <c r="O6047" s="44">
        <v>296.8</v>
      </c>
      <c r="P6047" s="44">
        <v>243.28</v>
      </c>
      <c r="Q6047" s="44">
        <v>252.28</v>
      </c>
      <c r="R6047" s="44">
        <v>206.79</v>
      </c>
      <c r="S6047" s="44">
        <v>201.82</v>
      </c>
      <c r="T6047" s="44">
        <v>165.43</v>
      </c>
      <c r="U6047" s="42"/>
      <c r="V6047" s="42"/>
      <c r="W6047" s="42" t="s">
        <v>40</v>
      </c>
      <c r="X6047" s="45">
        <v>0.13400000000000001</v>
      </c>
      <c r="Y6047" s="46">
        <v>6.6699999999999995E-4</v>
      </c>
      <c r="Z6047" s="21">
        <v>4601004352285</v>
      </c>
    </row>
    <row r="6048" spans="1:26" ht="12" customHeight="1" outlineLevel="4" x14ac:dyDescent="0.2">
      <c r="A6048" s="40" t="s">
        <v>11688</v>
      </c>
      <c r="B6048" s="75" t="s">
        <v>11689</v>
      </c>
      <c r="C6048" s="51"/>
      <c r="D6048" s="54">
        <f t="shared" si="94"/>
        <v>0</v>
      </c>
      <c r="E6048" s="62"/>
      <c r="F6048" s="42" t="s">
        <v>1001</v>
      </c>
      <c r="G6048" s="41" t="s">
        <v>40</v>
      </c>
      <c r="H6048" s="41"/>
      <c r="I6048" s="41"/>
      <c r="J6048" s="47">
        <v>2665</v>
      </c>
      <c r="K6048" s="41"/>
      <c r="L6048" s="43">
        <v>1</v>
      </c>
      <c r="M6048" s="43">
        <v>200</v>
      </c>
      <c r="N6048" s="43">
        <v>1</v>
      </c>
      <c r="O6048" s="44">
        <v>148.4</v>
      </c>
      <c r="P6048" s="44">
        <v>121.64</v>
      </c>
      <c r="Q6048" s="44">
        <v>127.62</v>
      </c>
      <c r="R6048" s="44">
        <v>104.61</v>
      </c>
      <c r="S6048" s="44">
        <v>100.91</v>
      </c>
      <c r="T6048" s="44">
        <v>82.71</v>
      </c>
      <c r="U6048" s="42"/>
      <c r="V6048" s="42"/>
      <c r="W6048" s="42" t="s">
        <v>40</v>
      </c>
      <c r="X6048" s="45">
        <v>7.1999999999999995E-2</v>
      </c>
      <c r="Y6048" s="46">
        <v>3.1799999999999998E-4</v>
      </c>
      <c r="Z6048" s="21">
        <v>4601004352278</v>
      </c>
    </row>
    <row r="6049" spans="1:26" ht="12.95" customHeight="1" outlineLevel="2" x14ac:dyDescent="0.2">
      <c r="A6049" s="76" t="s">
        <v>11690</v>
      </c>
      <c r="B6049" s="76"/>
      <c r="C6049" s="77"/>
      <c r="D6049" s="58"/>
      <c r="E6049" s="68"/>
      <c r="F6049" s="13"/>
      <c r="G6049" s="13"/>
      <c r="H6049" s="13"/>
      <c r="I6049" s="13"/>
      <c r="J6049" s="13"/>
      <c r="K6049" s="13"/>
      <c r="L6049" s="13"/>
      <c r="M6049" s="13"/>
      <c r="N6049" s="13"/>
      <c r="O6049" s="13"/>
      <c r="P6049" s="13"/>
      <c r="Q6049" s="13"/>
      <c r="R6049" s="13"/>
      <c r="S6049" s="13"/>
      <c r="T6049" s="13"/>
      <c r="U6049" s="13"/>
      <c r="V6049" s="13"/>
      <c r="W6049" s="13"/>
      <c r="X6049" s="13"/>
      <c r="Y6049" s="13"/>
      <c r="Z6049" s="13"/>
    </row>
    <row r="6050" spans="1:26" ht="12.95" customHeight="1" outlineLevel="3" x14ac:dyDescent="0.2">
      <c r="A6050" s="76" t="s">
        <v>11691</v>
      </c>
      <c r="B6050" s="76"/>
      <c r="C6050" s="77"/>
      <c r="D6050" s="58"/>
      <c r="E6050" s="68"/>
      <c r="F6050" s="13"/>
      <c r="G6050" s="13"/>
      <c r="H6050" s="13"/>
      <c r="I6050" s="13"/>
      <c r="J6050" s="13"/>
      <c r="K6050" s="13"/>
      <c r="L6050" s="13"/>
      <c r="M6050" s="13"/>
      <c r="N6050" s="13"/>
      <c r="O6050" s="13"/>
      <c r="P6050" s="13"/>
      <c r="Q6050" s="13"/>
      <c r="R6050" s="13"/>
      <c r="S6050" s="13"/>
      <c r="T6050" s="13"/>
      <c r="U6050" s="13"/>
      <c r="V6050" s="13"/>
      <c r="W6050" s="13"/>
      <c r="X6050" s="13"/>
      <c r="Y6050" s="13"/>
      <c r="Z6050" s="13"/>
    </row>
    <row r="6051" spans="1:26" ht="12" customHeight="1" outlineLevel="4" x14ac:dyDescent="0.2">
      <c r="A6051" s="32" t="s">
        <v>11692</v>
      </c>
      <c r="B6051" s="74" t="s">
        <v>11693</v>
      </c>
      <c r="C6051" s="50"/>
      <c r="D6051" s="53">
        <f t="shared" si="94"/>
        <v>0</v>
      </c>
      <c r="E6051" s="60" t="str">
        <f>HYPERLINK("https://www.sds-group.ru/product/styazhka-polimernaya-mnogorazovaya-300h10mm-prozrachnaya-20-sht-up-rexant-07-7309/", "Инфо")</f>
        <v>Инфо</v>
      </c>
      <c r="F6051" s="34" t="s">
        <v>1001</v>
      </c>
      <c r="G6051" s="33"/>
      <c r="H6051" s="33" t="s">
        <v>40</v>
      </c>
      <c r="I6051" s="33"/>
      <c r="J6051" s="35">
        <v>152</v>
      </c>
      <c r="K6051" s="33"/>
      <c r="L6051" s="35">
        <v>1</v>
      </c>
      <c r="M6051" s="35">
        <v>300</v>
      </c>
      <c r="N6051" s="35">
        <v>1</v>
      </c>
      <c r="O6051" s="36">
        <v>280.75</v>
      </c>
      <c r="P6051" s="36">
        <v>230.12</v>
      </c>
      <c r="Q6051" s="36">
        <v>196.53</v>
      </c>
      <c r="R6051" s="36">
        <v>161.09</v>
      </c>
      <c r="S6051" s="36">
        <v>190.91</v>
      </c>
      <c r="T6051" s="36">
        <v>156.47999999999999</v>
      </c>
      <c r="U6051" s="34"/>
      <c r="V6051" s="34"/>
      <c r="W6051" s="34"/>
      <c r="X6051" s="37">
        <v>7.1999999999999995E-2</v>
      </c>
      <c r="Y6051" s="38">
        <v>1.7899999999999999E-4</v>
      </c>
      <c r="Z6051" s="21">
        <v>4601004125452</v>
      </c>
    </row>
    <row r="6052" spans="1:26" ht="12.95" customHeight="1" outlineLevel="3" x14ac:dyDescent="0.2">
      <c r="A6052" s="76" t="s">
        <v>11694</v>
      </c>
      <c r="B6052" s="76"/>
      <c r="C6052" s="77"/>
      <c r="D6052" s="58"/>
      <c r="E6052" s="68"/>
      <c r="F6052" s="13"/>
      <c r="G6052" s="13"/>
      <c r="H6052" s="13"/>
      <c r="I6052" s="13"/>
      <c r="J6052" s="13"/>
      <c r="K6052" s="13"/>
      <c r="L6052" s="13"/>
      <c r="M6052" s="13"/>
      <c r="N6052" s="13"/>
      <c r="O6052" s="13"/>
      <c r="P6052" s="13"/>
      <c r="Q6052" s="13"/>
      <c r="R6052" s="13"/>
      <c r="S6052" s="13"/>
      <c r="T6052" s="13"/>
      <c r="U6052" s="13"/>
      <c r="V6052" s="13"/>
      <c r="W6052" s="13"/>
      <c r="X6052" s="13"/>
      <c r="Y6052" s="13"/>
      <c r="Z6052" s="13"/>
    </row>
    <row r="6053" spans="1:26" ht="12" customHeight="1" outlineLevel="4" x14ac:dyDescent="0.2">
      <c r="A6053" s="14" t="s">
        <v>11695</v>
      </c>
      <c r="B6053" s="26" t="s">
        <v>11696</v>
      </c>
      <c r="C6053" s="52"/>
      <c r="D6053" s="55">
        <f t="shared" si="94"/>
        <v>0</v>
      </c>
      <c r="E6053" s="63" t="str">
        <f>HYPERLINK("https://www.sds-group.ru/product/lenta-lipuchka-mnogorazovaya-5-m-h-20mm-belaya-1-sht-up-rexant-07-7521/", "Инфо")</f>
        <v>Инфо</v>
      </c>
      <c r="F6053" s="16" t="s">
        <v>39</v>
      </c>
      <c r="G6053" s="15"/>
      <c r="H6053" s="15"/>
      <c r="I6053" s="15"/>
      <c r="J6053" s="17">
        <v>89</v>
      </c>
      <c r="K6053" s="15" t="s">
        <v>4926</v>
      </c>
      <c r="L6053" s="17">
        <v>5</v>
      </c>
      <c r="M6053" s="17">
        <v>30</v>
      </c>
      <c r="N6053" s="17">
        <v>5</v>
      </c>
      <c r="O6053" s="18">
        <v>391.14</v>
      </c>
      <c r="P6053" s="18">
        <v>320.61</v>
      </c>
      <c r="Q6053" s="18">
        <v>340.29</v>
      </c>
      <c r="R6053" s="18">
        <v>278.93</v>
      </c>
      <c r="S6053" s="18">
        <v>265.98</v>
      </c>
      <c r="T6053" s="18">
        <v>218.02</v>
      </c>
      <c r="U6053" s="16"/>
      <c r="V6053" s="16"/>
      <c r="W6053" s="16" t="s">
        <v>40</v>
      </c>
      <c r="X6053" s="19">
        <v>4.8000000000000001E-2</v>
      </c>
      <c r="Y6053" s="20">
        <v>3.8499999999999998E-4</v>
      </c>
      <c r="Z6053" s="21">
        <v>4601004141490</v>
      </c>
    </row>
    <row r="6054" spans="1:26" ht="12" customHeight="1" outlineLevel="4" x14ac:dyDescent="0.2">
      <c r="A6054" s="14" t="s">
        <v>11697</v>
      </c>
      <c r="B6054" s="26" t="s">
        <v>11698</v>
      </c>
      <c r="C6054" s="52"/>
      <c r="D6054" s="55">
        <f t="shared" si="94"/>
        <v>0</v>
      </c>
      <c r="E6054" s="63" t="str">
        <f>HYPERLINK("https://www.sds-group.ru/product/lenta-lipuchka-mnogorazovaya-5-m-h-20mm-zheltaya-1-sht-up-rexant-07-7522/", "Инфо")</f>
        <v>Инфо</v>
      </c>
      <c r="F6054" s="16" t="s">
        <v>39</v>
      </c>
      <c r="G6054" s="15"/>
      <c r="H6054" s="15"/>
      <c r="I6054" s="15"/>
      <c r="J6054" s="17">
        <v>54</v>
      </c>
      <c r="K6054" s="15" t="s">
        <v>4926</v>
      </c>
      <c r="L6054" s="17">
        <v>5</v>
      </c>
      <c r="M6054" s="17">
        <v>60</v>
      </c>
      <c r="N6054" s="17">
        <v>5</v>
      </c>
      <c r="O6054" s="18">
        <v>391.14</v>
      </c>
      <c r="P6054" s="18">
        <v>320.61</v>
      </c>
      <c r="Q6054" s="18">
        <v>340.29</v>
      </c>
      <c r="R6054" s="18">
        <v>278.93</v>
      </c>
      <c r="S6054" s="18">
        <v>265.98</v>
      </c>
      <c r="T6054" s="18">
        <v>218.02</v>
      </c>
      <c r="U6054" s="16"/>
      <c r="V6054" s="16"/>
      <c r="W6054" s="16" t="s">
        <v>40</v>
      </c>
      <c r="X6054" s="19">
        <v>4.3999999999999997E-2</v>
      </c>
      <c r="Y6054" s="20">
        <v>7.54E-4</v>
      </c>
      <c r="Z6054" s="21">
        <v>4601004141476</v>
      </c>
    </row>
    <row r="6055" spans="1:26" ht="12" customHeight="1" outlineLevel="4" x14ac:dyDescent="0.2">
      <c r="A6055" s="14" t="s">
        <v>11699</v>
      </c>
      <c r="B6055" s="26" t="s">
        <v>11700</v>
      </c>
      <c r="C6055" s="52"/>
      <c r="D6055" s="55">
        <f t="shared" si="94"/>
        <v>0</v>
      </c>
      <c r="E6055" s="63" t="str">
        <f>HYPERLINK("https://www.sds-group.ru/product/lenta-lipuchka-mnogorazovaya-5-m-h-20mm-zelenaya-1-sht-up-rexant-07-7523/", "Инфо")</f>
        <v>Инфо</v>
      </c>
      <c r="F6055" s="16" t="s">
        <v>39</v>
      </c>
      <c r="G6055" s="15"/>
      <c r="H6055" s="15"/>
      <c r="I6055" s="15"/>
      <c r="J6055" s="16" t="s">
        <v>100</v>
      </c>
      <c r="K6055" s="15" t="s">
        <v>979</v>
      </c>
      <c r="L6055" s="17">
        <v>5</v>
      </c>
      <c r="M6055" s="17">
        <v>50</v>
      </c>
      <c r="N6055" s="17">
        <v>5</v>
      </c>
      <c r="O6055" s="18">
        <v>391.14</v>
      </c>
      <c r="P6055" s="18">
        <v>320.61</v>
      </c>
      <c r="Q6055" s="18">
        <v>340.29</v>
      </c>
      <c r="R6055" s="18">
        <v>278.93</v>
      </c>
      <c r="S6055" s="18">
        <v>265.98</v>
      </c>
      <c r="T6055" s="18">
        <v>218.02</v>
      </c>
      <c r="U6055" s="16"/>
      <c r="V6055" s="16"/>
      <c r="W6055" s="16" t="s">
        <v>40</v>
      </c>
      <c r="X6055" s="19">
        <v>4.2000000000000003E-2</v>
      </c>
      <c r="Y6055" s="20">
        <v>4.9200000000000003E-4</v>
      </c>
      <c r="Z6055" s="21">
        <v>4601004141483</v>
      </c>
    </row>
    <row r="6056" spans="1:26" ht="12" customHeight="1" outlineLevel="4" x14ac:dyDescent="0.2">
      <c r="A6056" s="14" t="s">
        <v>11701</v>
      </c>
      <c r="B6056" s="26" t="s">
        <v>11702</v>
      </c>
      <c r="C6056" s="52"/>
      <c r="D6056" s="55">
        <f t="shared" si="94"/>
        <v>0</v>
      </c>
      <c r="E6056" s="63" t="str">
        <f>HYPERLINK("https://www.sds-group.ru/product/lenta-lipuchka-mnogorazovaya-5-m-h-20mm-krasnaya-1-sht-up-rexant-07-7524/", "Инфо")</f>
        <v>Инфо</v>
      </c>
      <c r="F6056" s="16" t="s">
        <v>39</v>
      </c>
      <c r="G6056" s="15"/>
      <c r="H6056" s="15"/>
      <c r="I6056" s="15"/>
      <c r="J6056" s="17">
        <v>70</v>
      </c>
      <c r="K6056" s="15" t="s">
        <v>4926</v>
      </c>
      <c r="L6056" s="17">
        <v>5</v>
      </c>
      <c r="M6056" s="17">
        <v>50</v>
      </c>
      <c r="N6056" s="17">
        <v>5</v>
      </c>
      <c r="O6056" s="18">
        <v>391.14</v>
      </c>
      <c r="P6056" s="18">
        <v>320.61</v>
      </c>
      <c r="Q6056" s="18">
        <v>340.29</v>
      </c>
      <c r="R6056" s="18">
        <v>278.93</v>
      </c>
      <c r="S6056" s="18">
        <v>265.98</v>
      </c>
      <c r="T6056" s="18">
        <v>218.02</v>
      </c>
      <c r="U6056" s="16"/>
      <c r="V6056" s="16"/>
      <c r="W6056" s="16" t="s">
        <v>40</v>
      </c>
      <c r="X6056" s="19">
        <v>4.9000000000000002E-2</v>
      </c>
      <c r="Y6056" s="20">
        <v>3.77E-4</v>
      </c>
      <c r="Z6056" s="21">
        <v>4601004141469</v>
      </c>
    </row>
    <row r="6057" spans="1:26" ht="12" customHeight="1" outlineLevel="4" x14ac:dyDescent="0.2">
      <c r="A6057" s="14" t="s">
        <v>11703</v>
      </c>
      <c r="B6057" s="26" t="s">
        <v>11704</v>
      </c>
      <c r="C6057" s="52"/>
      <c r="D6057" s="55">
        <f t="shared" si="94"/>
        <v>0</v>
      </c>
      <c r="E6057" s="63" t="str">
        <f>HYPERLINK("https://www.sds-group.ru/product/lenta-lipuchka-mnogorazovaya-5-m-h-20mm-sinyaya-1-sht-up-rexant-07-7525/", "Инфо")</f>
        <v>Инфо</v>
      </c>
      <c r="F6057" s="16" t="s">
        <v>39</v>
      </c>
      <c r="G6057" s="15"/>
      <c r="H6057" s="15"/>
      <c r="I6057" s="15"/>
      <c r="J6057" s="17">
        <v>75</v>
      </c>
      <c r="K6057" s="15" t="s">
        <v>4926</v>
      </c>
      <c r="L6057" s="17">
        <v>5</v>
      </c>
      <c r="M6057" s="17">
        <v>50</v>
      </c>
      <c r="N6057" s="17">
        <v>5</v>
      </c>
      <c r="O6057" s="18">
        <v>391.14</v>
      </c>
      <c r="P6057" s="18">
        <v>320.61</v>
      </c>
      <c r="Q6057" s="18">
        <v>340.29</v>
      </c>
      <c r="R6057" s="18">
        <v>278.93</v>
      </c>
      <c r="S6057" s="18">
        <v>265.98</v>
      </c>
      <c r="T6057" s="18">
        <v>218.02</v>
      </c>
      <c r="U6057" s="16"/>
      <c r="V6057" s="16"/>
      <c r="W6057" s="16" t="s">
        <v>40</v>
      </c>
      <c r="X6057" s="19">
        <v>4.5999999999999999E-2</v>
      </c>
      <c r="Y6057" s="20">
        <v>3.9899999999999999E-4</v>
      </c>
      <c r="Z6057" s="21">
        <v>4601004141452</v>
      </c>
    </row>
    <row r="6058" spans="1:26" ht="12" customHeight="1" outlineLevel="4" x14ac:dyDescent="0.2">
      <c r="A6058" s="14" t="s">
        <v>11705</v>
      </c>
      <c r="B6058" s="26" t="s">
        <v>11706</v>
      </c>
      <c r="C6058" s="52"/>
      <c r="D6058" s="55">
        <f t="shared" si="94"/>
        <v>0</v>
      </c>
      <c r="E6058" s="63" t="str">
        <f>HYPERLINK("https://www.sds-group.ru/product/lenta-lipuchka-mnogorazovaya-5-m-h-20mm-chernaya-1-sht-up-rexant-07-7526/", "Инфо")</f>
        <v>Инфо</v>
      </c>
      <c r="F6058" s="16" t="s">
        <v>39</v>
      </c>
      <c r="G6058" s="15"/>
      <c r="H6058" s="15"/>
      <c r="I6058" s="15"/>
      <c r="J6058" s="17">
        <v>596</v>
      </c>
      <c r="K6058" s="15" t="s">
        <v>4926</v>
      </c>
      <c r="L6058" s="17">
        <v>5</v>
      </c>
      <c r="M6058" s="17">
        <v>240</v>
      </c>
      <c r="N6058" s="17">
        <v>5</v>
      </c>
      <c r="O6058" s="18">
        <v>312.7</v>
      </c>
      <c r="P6058" s="18">
        <v>256.31</v>
      </c>
      <c r="Q6058" s="18">
        <v>272.05</v>
      </c>
      <c r="R6058" s="18">
        <v>222.99</v>
      </c>
      <c r="S6058" s="18">
        <v>212.64</v>
      </c>
      <c r="T6058" s="18">
        <v>174.3</v>
      </c>
      <c r="U6058" s="16"/>
      <c r="V6058" s="16"/>
      <c r="W6058" s="16" t="s">
        <v>40</v>
      </c>
      <c r="X6058" s="19">
        <v>4.8000000000000001E-2</v>
      </c>
      <c r="Y6058" s="20">
        <v>2.5099999999999998E-4</v>
      </c>
      <c r="Z6058" s="21">
        <v>4601004141506</v>
      </c>
    </row>
    <row r="6059" spans="1:26" ht="12" customHeight="1" outlineLevel="4" x14ac:dyDescent="0.2">
      <c r="A6059" s="14" t="s">
        <v>11707</v>
      </c>
      <c r="B6059" s="26" t="s">
        <v>11708</v>
      </c>
      <c r="C6059" s="52"/>
      <c r="D6059" s="55">
        <f t="shared" si="94"/>
        <v>0</v>
      </c>
      <c r="E6059" s="63" t="str">
        <f>HYPERLINK("https://www.sds-group.ru/product/nabor-homutov-mnogorazovyh-na-lipuchke-150h12mm-tsvetnye-12-sht-up-rexant-07-7150/", "Инфо")</f>
        <v>Инфо</v>
      </c>
      <c r="F6059" s="16" t="s">
        <v>1001</v>
      </c>
      <c r="G6059" s="15"/>
      <c r="H6059" s="15"/>
      <c r="I6059" s="15"/>
      <c r="J6059" s="17">
        <v>524</v>
      </c>
      <c r="K6059" s="15" t="s">
        <v>4926</v>
      </c>
      <c r="L6059" s="17">
        <v>10</v>
      </c>
      <c r="M6059" s="17">
        <v>250</v>
      </c>
      <c r="N6059" s="17">
        <v>10</v>
      </c>
      <c r="O6059" s="18">
        <v>223.02</v>
      </c>
      <c r="P6059" s="18">
        <v>182.8</v>
      </c>
      <c r="Q6059" s="18">
        <v>194.03</v>
      </c>
      <c r="R6059" s="18">
        <v>159.04</v>
      </c>
      <c r="S6059" s="18">
        <v>151.65</v>
      </c>
      <c r="T6059" s="18">
        <v>124.3</v>
      </c>
      <c r="U6059" s="16"/>
      <c r="V6059" s="16"/>
      <c r="W6059" s="16" t="s">
        <v>40</v>
      </c>
      <c r="X6059" s="19">
        <v>2.5000000000000001E-2</v>
      </c>
      <c r="Y6059" s="20">
        <v>1.63E-4</v>
      </c>
      <c r="Z6059" s="21">
        <v>4601004009141</v>
      </c>
    </row>
    <row r="6060" spans="1:26" ht="12" customHeight="1" outlineLevel="4" x14ac:dyDescent="0.2">
      <c r="A6060" s="14" t="s">
        <v>11709</v>
      </c>
      <c r="B6060" s="26" t="s">
        <v>11710</v>
      </c>
      <c r="C6060" s="52"/>
      <c r="D6060" s="55">
        <f t="shared" si="94"/>
        <v>0</v>
      </c>
      <c r="E6060" s="63" t="str">
        <f>HYPERLINK("https://www.sds-group.ru/product/nabor-homutov-mnogorazovyh-na-lipuchke-210h16mm-tsvetnye-12-sht-up-rexant-07-7210/", "Инфо")</f>
        <v>Инфо</v>
      </c>
      <c r="F6060" s="16" t="s">
        <v>1001</v>
      </c>
      <c r="G6060" s="15"/>
      <c r="H6060" s="15"/>
      <c r="I6060" s="15"/>
      <c r="J6060" s="17">
        <v>212</v>
      </c>
      <c r="K6060" s="15" t="s">
        <v>3762</v>
      </c>
      <c r="L6060" s="17">
        <v>10</v>
      </c>
      <c r="M6060" s="17">
        <v>200</v>
      </c>
      <c r="N6060" s="17">
        <v>10</v>
      </c>
      <c r="O6060" s="18">
        <v>320.54000000000002</v>
      </c>
      <c r="P6060" s="18">
        <v>262.74</v>
      </c>
      <c r="Q6060" s="18">
        <v>278.87</v>
      </c>
      <c r="R6060" s="18">
        <v>228.58</v>
      </c>
      <c r="S6060" s="18">
        <v>217.97</v>
      </c>
      <c r="T6060" s="18">
        <v>178.66</v>
      </c>
      <c r="U6060" s="16"/>
      <c r="V6060" s="16"/>
      <c r="W6060" s="16" t="s">
        <v>40</v>
      </c>
      <c r="X6060" s="19">
        <v>4.1000000000000002E-2</v>
      </c>
      <c r="Y6060" s="20">
        <v>2.7300000000000002E-4</v>
      </c>
      <c r="Z6060" s="21">
        <v>4601004009158</v>
      </c>
    </row>
    <row r="6061" spans="1:26" ht="12" customHeight="1" outlineLevel="4" x14ac:dyDescent="0.2">
      <c r="A6061" s="14" t="s">
        <v>11711</v>
      </c>
      <c r="B6061" s="26" t="s">
        <v>11712</v>
      </c>
      <c r="C6061" s="52"/>
      <c r="D6061" s="55">
        <f t="shared" si="94"/>
        <v>0</v>
      </c>
      <c r="E6061" s="63" t="str">
        <f>HYPERLINK("https://www.sds-group.ru/product/nabor-homutov-mnogorazovyh-na-lipuchke-310h16mm-tsvetnye-12-sht-up-rexant-07-7310/", "Инфо")</f>
        <v>Инфо</v>
      </c>
      <c r="F6061" s="16" t="s">
        <v>1001</v>
      </c>
      <c r="G6061" s="15"/>
      <c r="H6061" s="15"/>
      <c r="I6061" s="15"/>
      <c r="J6061" s="17">
        <v>274</v>
      </c>
      <c r="K6061" s="15" t="s">
        <v>4926</v>
      </c>
      <c r="L6061" s="17">
        <v>10</v>
      </c>
      <c r="M6061" s="17">
        <v>150</v>
      </c>
      <c r="N6061" s="17">
        <v>10</v>
      </c>
      <c r="O6061" s="18">
        <v>481.24</v>
      </c>
      <c r="P6061" s="18">
        <v>394.46</v>
      </c>
      <c r="Q6061" s="18">
        <v>418.68</v>
      </c>
      <c r="R6061" s="18">
        <v>343.18</v>
      </c>
      <c r="S6061" s="18">
        <v>327.24</v>
      </c>
      <c r="T6061" s="18">
        <v>268.23</v>
      </c>
      <c r="U6061" s="16"/>
      <c r="V6061" s="16"/>
      <c r="W6061" s="16" t="s">
        <v>40</v>
      </c>
      <c r="X6061" s="19">
        <v>5.8000000000000003E-2</v>
      </c>
      <c r="Y6061" s="20">
        <v>3.8499999999999998E-4</v>
      </c>
      <c r="Z6061" s="21">
        <v>4601004045101</v>
      </c>
    </row>
    <row r="6062" spans="1:26" ht="12" customHeight="1" outlineLevel="4" x14ac:dyDescent="0.2">
      <c r="A6062" s="14" t="s">
        <v>11713</v>
      </c>
      <c r="B6062" s="26" t="s">
        <v>11714</v>
      </c>
      <c r="C6062" s="52"/>
      <c r="D6062" s="55">
        <f t="shared" si="94"/>
        <v>0</v>
      </c>
      <c r="E6062" s="63" t="str">
        <f>HYPERLINK("https://www.sds-group.ru/product/homut-lipuchka-mnogorazovyy-150h12mm-chernyy-12-sht-up-rexant-07-7156/", "Инфо")</f>
        <v>Инфо</v>
      </c>
      <c r="F6062" s="16" t="s">
        <v>1001</v>
      </c>
      <c r="G6062" s="15"/>
      <c r="H6062" s="15"/>
      <c r="I6062" s="15"/>
      <c r="J6062" s="17">
        <v>56</v>
      </c>
      <c r="K6062" s="15"/>
      <c r="L6062" s="17">
        <v>5</v>
      </c>
      <c r="M6062" s="17">
        <v>120</v>
      </c>
      <c r="N6062" s="17">
        <v>5</v>
      </c>
      <c r="O6062" s="18">
        <v>202.46</v>
      </c>
      <c r="P6062" s="18">
        <v>165.95</v>
      </c>
      <c r="Q6062" s="18">
        <v>176.14</v>
      </c>
      <c r="R6062" s="18">
        <v>144.38</v>
      </c>
      <c r="S6062" s="18">
        <v>137.66999999999999</v>
      </c>
      <c r="T6062" s="18">
        <v>112.84</v>
      </c>
      <c r="U6062" s="16"/>
      <c r="V6062" s="16"/>
      <c r="W6062" s="16" t="s">
        <v>40</v>
      </c>
      <c r="X6062" s="19">
        <v>1.9E-2</v>
      </c>
      <c r="Y6062" s="20">
        <v>1.93E-4</v>
      </c>
      <c r="Z6062" s="21">
        <v>4601004141445</v>
      </c>
    </row>
    <row r="6063" spans="1:26" ht="12" customHeight="1" outlineLevel="4" x14ac:dyDescent="0.2">
      <c r="A6063" s="14" t="s">
        <v>11715</v>
      </c>
      <c r="B6063" s="26" t="s">
        <v>11716</v>
      </c>
      <c r="C6063" s="52"/>
      <c r="D6063" s="55">
        <f t="shared" si="94"/>
        <v>0</v>
      </c>
      <c r="E6063" s="63" t="str">
        <f>HYPERLINK("https://www.sds-group.ru/product/homut-lipuchka-mnogorazovyy-230h13mm-chernyy-12-sht-up-rexant-07-7216/", "Инфо")</f>
        <v>Инфо</v>
      </c>
      <c r="F6063" s="16" t="s">
        <v>1001</v>
      </c>
      <c r="G6063" s="15"/>
      <c r="H6063" s="15"/>
      <c r="I6063" s="15"/>
      <c r="J6063" s="17">
        <v>175</v>
      </c>
      <c r="K6063" s="15" t="s">
        <v>4926</v>
      </c>
      <c r="L6063" s="17">
        <v>5</v>
      </c>
      <c r="M6063" s="17">
        <v>80</v>
      </c>
      <c r="N6063" s="17">
        <v>5</v>
      </c>
      <c r="O6063" s="18">
        <v>233.2</v>
      </c>
      <c r="P6063" s="18">
        <v>191.15</v>
      </c>
      <c r="Q6063" s="18">
        <v>202.88</v>
      </c>
      <c r="R6063" s="18">
        <v>166.3</v>
      </c>
      <c r="S6063" s="18">
        <v>158.58000000000001</v>
      </c>
      <c r="T6063" s="18">
        <v>129.97999999999999</v>
      </c>
      <c r="U6063" s="16"/>
      <c r="V6063" s="16"/>
      <c r="W6063" s="16" t="s">
        <v>40</v>
      </c>
      <c r="X6063" s="19">
        <v>4.7E-2</v>
      </c>
      <c r="Y6063" s="20">
        <v>4.2999999999999999E-4</v>
      </c>
      <c r="Z6063" s="21">
        <v>4601004141322</v>
      </c>
    </row>
    <row r="6064" spans="1:26" ht="12" customHeight="1" outlineLevel="4" x14ac:dyDescent="0.2">
      <c r="A6064" s="14" t="s">
        <v>11717</v>
      </c>
      <c r="B6064" s="26" t="s">
        <v>11718</v>
      </c>
      <c r="C6064" s="52"/>
      <c r="D6064" s="55">
        <f t="shared" si="94"/>
        <v>0</v>
      </c>
      <c r="E6064" s="63" t="str">
        <f>HYPERLINK("https://www.sds-group.ru/product/homut-lipuchka-mnogorazovyy-320h14mm-chernyy-12-sht-up-rexant-07-7316/", "Инфо")</f>
        <v>Инфо</v>
      </c>
      <c r="F6064" s="16" t="s">
        <v>1001</v>
      </c>
      <c r="G6064" s="15"/>
      <c r="H6064" s="15"/>
      <c r="I6064" s="15"/>
      <c r="J6064" s="17">
        <v>87</v>
      </c>
      <c r="K6064" s="15" t="s">
        <v>4926</v>
      </c>
      <c r="L6064" s="17">
        <v>5</v>
      </c>
      <c r="M6064" s="17">
        <v>40</v>
      </c>
      <c r="N6064" s="17">
        <v>5</v>
      </c>
      <c r="O6064" s="18">
        <v>323.3</v>
      </c>
      <c r="P6064" s="18">
        <v>265</v>
      </c>
      <c r="Q6064" s="18">
        <v>281.27</v>
      </c>
      <c r="R6064" s="18">
        <v>230.55</v>
      </c>
      <c r="S6064" s="18">
        <v>219.84</v>
      </c>
      <c r="T6064" s="18">
        <v>180.2</v>
      </c>
      <c r="U6064" s="16"/>
      <c r="V6064" s="16"/>
      <c r="W6064" s="16" t="s">
        <v>40</v>
      </c>
      <c r="X6064" s="19">
        <v>3.3000000000000002E-2</v>
      </c>
      <c r="Y6064" s="20">
        <v>3.5100000000000002E-4</v>
      </c>
      <c r="Z6064" s="21">
        <v>4601004141384</v>
      </c>
    </row>
    <row r="6065" spans="1:26" ht="12.95" customHeight="1" outlineLevel="3" x14ac:dyDescent="0.2">
      <c r="A6065" s="76" t="s">
        <v>11719</v>
      </c>
      <c r="B6065" s="76"/>
      <c r="C6065" s="77"/>
      <c r="D6065" s="58"/>
      <c r="E6065" s="68"/>
      <c r="F6065" s="13"/>
      <c r="G6065" s="13"/>
      <c r="H6065" s="13"/>
      <c r="I6065" s="13"/>
      <c r="J6065" s="13"/>
      <c r="K6065" s="13"/>
      <c r="L6065" s="13"/>
      <c r="M6065" s="13"/>
      <c r="N6065" s="13"/>
      <c r="O6065" s="13"/>
      <c r="P6065" s="13"/>
      <c r="Q6065" s="13"/>
      <c r="R6065" s="13"/>
      <c r="S6065" s="13"/>
      <c r="T6065" s="13"/>
      <c r="U6065" s="13"/>
      <c r="V6065" s="13"/>
      <c r="W6065" s="13"/>
      <c r="X6065" s="13"/>
      <c r="Y6065" s="13"/>
      <c r="Z6065" s="13"/>
    </row>
    <row r="6066" spans="1:26" ht="12" customHeight="1" outlineLevel="4" x14ac:dyDescent="0.2">
      <c r="A6066" s="14" t="s">
        <v>11720</v>
      </c>
      <c r="B6066" s="26" t="s">
        <v>11721</v>
      </c>
      <c r="C6066" s="52"/>
      <c r="D6066" s="55">
        <f t="shared" si="94"/>
        <v>0</v>
      </c>
      <c r="E6066" s="63" t="str">
        <f>HYPERLINK("https://www.sds-group.ru/product/styazhka-neylonovaya-mnogorazovaya-100x2-5mm-belaya-100-sht-up-rexant-07-0109/", "Инфо")</f>
        <v>Инфо</v>
      </c>
      <c r="F6066" s="16" t="s">
        <v>1001</v>
      </c>
      <c r="G6066" s="15"/>
      <c r="H6066" s="15"/>
      <c r="I6066" s="15"/>
      <c r="J6066" s="22">
        <v>1903</v>
      </c>
      <c r="K6066" s="15" t="s">
        <v>10151</v>
      </c>
      <c r="L6066" s="17">
        <v>10</v>
      </c>
      <c r="M6066" s="17">
        <v>500</v>
      </c>
      <c r="N6066" s="17">
        <v>10</v>
      </c>
      <c r="O6066" s="18">
        <v>78.33</v>
      </c>
      <c r="P6066" s="18">
        <v>64.2</v>
      </c>
      <c r="Q6066" s="18">
        <v>72.849999999999994</v>
      </c>
      <c r="R6066" s="18">
        <v>59.71</v>
      </c>
      <c r="S6066" s="18">
        <v>53.26</v>
      </c>
      <c r="T6066" s="18">
        <v>43.66</v>
      </c>
      <c r="U6066" s="16"/>
      <c r="V6066" s="16"/>
      <c r="W6066" s="16" t="s">
        <v>40</v>
      </c>
      <c r="X6066" s="19">
        <v>3.2000000000000001E-2</v>
      </c>
      <c r="Y6066" s="20">
        <v>1.18E-4</v>
      </c>
      <c r="Z6066" s="21">
        <v>4660008010638</v>
      </c>
    </row>
    <row r="6067" spans="1:26" ht="12" customHeight="1" outlineLevel="4" x14ac:dyDescent="0.2">
      <c r="A6067" s="14" t="s">
        <v>11722</v>
      </c>
      <c r="B6067" s="26" t="s">
        <v>11723</v>
      </c>
      <c r="C6067" s="52"/>
      <c r="D6067" s="55">
        <f t="shared" si="94"/>
        <v>0</v>
      </c>
      <c r="E6067" s="63" t="str">
        <f>HYPERLINK("https://www.sds-group.ru/product/styazhka-neylonovaya-mnogorazovaya-150x3-5mm-belaya-100-sht-up-rexant-07-0159/", "Инфо")</f>
        <v>Инфо</v>
      </c>
      <c r="F6067" s="16" t="s">
        <v>1001</v>
      </c>
      <c r="G6067" s="15"/>
      <c r="H6067" s="15"/>
      <c r="I6067" s="15"/>
      <c r="J6067" s="22">
        <v>1483</v>
      </c>
      <c r="K6067" s="15" t="s">
        <v>11724</v>
      </c>
      <c r="L6067" s="17">
        <v>10</v>
      </c>
      <c r="M6067" s="17">
        <v>200</v>
      </c>
      <c r="N6067" s="17">
        <v>10</v>
      </c>
      <c r="O6067" s="18">
        <v>180.58</v>
      </c>
      <c r="P6067" s="18">
        <v>148.02000000000001</v>
      </c>
      <c r="Q6067" s="18">
        <v>167.94</v>
      </c>
      <c r="R6067" s="18">
        <v>137.66</v>
      </c>
      <c r="S6067" s="18">
        <v>122.79</v>
      </c>
      <c r="T6067" s="18">
        <v>100.65</v>
      </c>
      <c r="U6067" s="16"/>
      <c r="V6067" s="16"/>
      <c r="W6067" s="16" t="s">
        <v>40</v>
      </c>
      <c r="X6067" s="19">
        <v>7.3999999999999996E-2</v>
      </c>
      <c r="Y6067" s="20">
        <v>2.6400000000000002E-4</v>
      </c>
      <c r="Z6067" s="21">
        <v>4660008010669</v>
      </c>
    </row>
    <row r="6068" spans="1:26" ht="12" customHeight="1" outlineLevel="4" x14ac:dyDescent="0.2">
      <c r="A6068" s="14" t="s">
        <v>11725</v>
      </c>
      <c r="B6068" s="26" t="s">
        <v>11726</v>
      </c>
      <c r="C6068" s="52"/>
      <c r="D6068" s="55">
        <f t="shared" si="94"/>
        <v>0</v>
      </c>
      <c r="E6068" s="63" t="str">
        <f>HYPERLINK("https://www.sds-group.ru/product/styazhka-neylonovaya-mnogorazovaya-200x7-5mm-belaya-100-sht-up-rexant-07-0209/", "Инфо")</f>
        <v>Инфо</v>
      </c>
      <c r="F6068" s="16" t="s">
        <v>1001</v>
      </c>
      <c r="G6068" s="15"/>
      <c r="H6068" s="15"/>
      <c r="I6068" s="15"/>
      <c r="J6068" s="17">
        <v>311</v>
      </c>
      <c r="K6068" s="15" t="s">
        <v>4926</v>
      </c>
      <c r="L6068" s="17">
        <v>10</v>
      </c>
      <c r="M6068" s="17">
        <v>60</v>
      </c>
      <c r="N6068" s="17">
        <v>10</v>
      </c>
      <c r="O6068" s="18">
        <v>551.91</v>
      </c>
      <c r="P6068" s="18">
        <v>452.39</v>
      </c>
      <c r="Q6068" s="18">
        <v>480.16</v>
      </c>
      <c r="R6068" s="18">
        <v>393.57</v>
      </c>
      <c r="S6068" s="18">
        <v>375.3</v>
      </c>
      <c r="T6068" s="18">
        <v>307.62</v>
      </c>
      <c r="U6068" s="16"/>
      <c r="V6068" s="16"/>
      <c r="W6068" s="16" t="s">
        <v>40</v>
      </c>
      <c r="X6068" s="19">
        <v>0.255</v>
      </c>
      <c r="Y6068" s="20">
        <v>8.8400000000000002E-4</v>
      </c>
      <c r="Z6068" s="21">
        <v>4610003608729</v>
      </c>
    </row>
    <row r="6069" spans="1:26" ht="12" customHeight="1" outlineLevel="4" x14ac:dyDescent="0.2">
      <c r="A6069" s="14" t="s">
        <v>11727</v>
      </c>
      <c r="B6069" s="26" t="s">
        <v>11728</v>
      </c>
      <c r="C6069" s="52"/>
      <c r="D6069" s="55">
        <f t="shared" si="94"/>
        <v>0</v>
      </c>
      <c r="E6069" s="63" t="str">
        <f>HYPERLINK("https://www.sds-group.ru/product/styazhka-neylonovaya-mnogorazovaya-300x7-5mm-belaya-100-sht-up-rexant-07-0309/", "Инфо")</f>
        <v>Инфо</v>
      </c>
      <c r="F6069" s="16" t="s">
        <v>1001</v>
      </c>
      <c r="G6069" s="15"/>
      <c r="H6069" s="15"/>
      <c r="I6069" s="15"/>
      <c r="J6069" s="17">
        <v>37</v>
      </c>
      <c r="K6069" s="15" t="s">
        <v>3762</v>
      </c>
      <c r="L6069" s="17">
        <v>1</v>
      </c>
      <c r="M6069" s="17">
        <v>50</v>
      </c>
      <c r="N6069" s="17">
        <v>1</v>
      </c>
      <c r="O6069" s="18">
        <v>793.09</v>
      </c>
      <c r="P6069" s="18">
        <v>650.07000000000005</v>
      </c>
      <c r="Q6069" s="18">
        <v>689.99</v>
      </c>
      <c r="R6069" s="18">
        <v>565.57000000000005</v>
      </c>
      <c r="S6069" s="18">
        <v>539.29999999999995</v>
      </c>
      <c r="T6069" s="18">
        <v>442.05</v>
      </c>
      <c r="U6069" s="16"/>
      <c r="V6069" s="16"/>
      <c r="W6069" s="16" t="s">
        <v>40</v>
      </c>
      <c r="X6069" s="19">
        <v>0.35199999999999998</v>
      </c>
      <c r="Y6069" s="20">
        <v>1.201E-3</v>
      </c>
      <c r="Z6069" s="21">
        <v>4610003608736</v>
      </c>
    </row>
    <row r="6070" spans="1:26" ht="12.95" customHeight="1" outlineLevel="2" x14ac:dyDescent="0.2">
      <c r="A6070" s="76" t="s">
        <v>11729</v>
      </c>
      <c r="B6070" s="76"/>
      <c r="C6070" s="77"/>
      <c r="D6070" s="58"/>
      <c r="E6070" s="68"/>
      <c r="F6070" s="13"/>
      <c r="G6070" s="13"/>
      <c r="H6070" s="13"/>
      <c r="I6070" s="13"/>
      <c r="J6070" s="13"/>
      <c r="K6070" s="13"/>
      <c r="L6070" s="13"/>
      <c r="M6070" s="13"/>
      <c r="N6070" s="13"/>
      <c r="O6070" s="13"/>
      <c r="P6070" s="13"/>
      <c r="Q6070" s="13"/>
      <c r="R6070" s="13"/>
      <c r="S6070" s="13"/>
      <c r="T6070" s="13"/>
      <c r="U6070" s="13"/>
      <c r="V6070" s="13"/>
      <c r="W6070" s="13"/>
      <c r="X6070" s="13"/>
      <c r="Y6070" s="13"/>
      <c r="Z6070" s="13"/>
    </row>
    <row r="6071" spans="1:26" ht="12.95" customHeight="1" outlineLevel="3" x14ac:dyDescent="0.2">
      <c r="A6071" s="76" t="s">
        <v>11730</v>
      </c>
      <c r="B6071" s="76"/>
      <c r="C6071" s="77"/>
      <c r="D6071" s="58"/>
      <c r="E6071" s="68"/>
      <c r="F6071" s="13"/>
      <c r="G6071" s="13"/>
      <c r="H6071" s="13"/>
      <c r="I6071" s="13"/>
      <c r="J6071" s="13"/>
      <c r="K6071" s="13"/>
      <c r="L6071" s="13"/>
      <c r="M6071" s="13"/>
      <c r="N6071" s="13"/>
      <c r="O6071" s="13"/>
      <c r="P6071" s="13"/>
      <c r="Q6071" s="13"/>
      <c r="R6071" s="13"/>
      <c r="S6071" s="13"/>
      <c r="T6071" s="13"/>
      <c r="U6071" s="13"/>
      <c r="V6071" s="13"/>
      <c r="W6071" s="13"/>
      <c r="X6071" s="13"/>
      <c r="Y6071" s="13"/>
      <c r="Z6071" s="13"/>
    </row>
    <row r="6072" spans="1:26" ht="12" customHeight="1" outlineLevel="4" x14ac:dyDescent="0.2">
      <c r="A6072" s="14" t="s">
        <v>11731</v>
      </c>
      <c r="B6072" s="26" t="s">
        <v>11732</v>
      </c>
      <c r="C6072" s="52"/>
      <c r="D6072" s="55">
        <f t="shared" si="94"/>
        <v>0</v>
      </c>
      <c r="E6072" s="63" t="str">
        <f>HYPERLINK("https://www.sds-group.ru/product/styazhka-kabelnaya-stalnaya-304-100x4-6mm-100-sht-up-rexant-07-0118-100/", "Инфо")</f>
        <v>Инфо</v>
      </c>
      <c r="F6072" s="16" t="s">
        <v>1001</v>
      </c>
      <c r="G6072" s="15"/>
      <c r="H6072" s="15"/>
      <c r="I6072" s="15"/>
      <c r="J6072" s="22">
        <v>3933</v>
      </c>
      <c r="K6072" s="15" t="s">
        <v>4926</v>
      </c>
      <c r="L6072" s="17">
        <v>1</v>
      </c>
      <c r="M6072" s="17">
        <v>100</v>
      </c>
      <c r="N6072" s="17">
        <v>1</v>
      </c>
      <c r="O6072" s="18">
        <v>763.24</v>
      </c>
      <c r="P6072" s="18">
        <v>625.61</v>
      </c>
      <c r="Q6072" s="18">
        <v>664.02</v>
      </c>
      <c r="R6072" s="18">
        <v>544.28</v>
      </c>
      <c r="S6072" s="18">
        <v>519</v>
      </c>
      <c r="T6072" s="18">
        <v>425.41</v>
      </c>
      <c r="U6072" s="16"/>
      <c r="V6072" s="16"/>
      <c r="W6072" s="16" t="s">
        <v>40</v>
      </c>
      <c r="X6072" s="19">
        <v>0.16200000000000001</v>
      </c>
      <c r="Y6072" s="20">
        <v>1.4999999999999999E-4</v>
      </c>
      <c r="Z6072" s="21">
        <v>4601004162150</v>
      </c>
    </row>
    <row r="6073" spans="1:26" ht="12" customHeight="1" outlineLevel="4" x14ac:dyDescent="0.2">
      <c r="A6073" s="14" t="s">
        <v>11733</v>
      </c>
      <c r="B6073" s="26" t="s">
        <v>11734</v>
      </c>
      <c r="C6073" s="52"/>
      <c r="D6073" s="55">
        <f t="shared" si="94"/>
        <v>0</v>
      </c>
      <c r="E6073" s="63" t="str">
        <f>HYPERLINK("https://www.sds-group.ru/product/styazhka-kabelnaya-stalnaya-304-152x4-6mm-100-sht-up-rexant-07-0158-100/", "Инфо")</f>
        <v>Инфо</v>
      </c>
      <c r="F6073" s="16" t="s">
        <v>1001</v>
      </c>
      <c r="G6073" s="15"/>
      <c r="H6073" s="15"/>
      <c r="I6073" s="15"/>
      <c r="J6073" s="22">
        <v>8455</v>
      </c>
      <c r="K6073" s="15"/>
      <c r="L6073" s="17">
        <v>1</v>
      </c>
      <c r="M6073" s="17">
        <v>100</v>
      </c>
      <c r="N6073" s="17">
        <v>1</v>
      </c>
      <c r="O6073" s="18">
        <v>847.32</v>
      </c>
      <c r="P6073" s="18">
        <v>694.52</v>
      </c>
      <c r="Q6073" s="18">
        <v>737.17</v>
      </c>
      <c r="R6073" s="18">
        <v>604.24</v>
      </c>
      <c r="S6073" s="18">
        <v>576.17999999999995</v>
      </c>
      <c r="T6073" s="18">
        <v>472.28</v>
      </c>
      <c r="U6073" s="16"/>
      <c r="V6073" s="16"/>
      <c r="W6073" s="16" t="s">
        <v>40</v>
      </c>
      <c r="X6073" s="19">
        <v>0.20399999999999999</v>
      </c>
      <c r="Y6073" s="20">
        <v>2.2699999999999999E-4</v>
      </c>
      <c r="Z6073" s="21">
        <v>4601004162075</v>
      </c>
    </row>
    <row r="6074" spans="1:26" ht="12" customHeight="1" outlineLevel="4" x14ac:dyDescent="0.2">
      <c r="A6074" s="14" t="s">
        <v>11735</v>
      </c>
      <c r="B6074" s="26" t="s">
        <v>11736</v>
      </c>
      <c r="C6074" s="52"/>
      <c r="D6074" s="55">
        <f t="shared" si="94"/>
        <v>0</v>
      </c>
      <c r="E6074" s="63" t="str">
        <f>HYPERLINK("https://www.sds-group.ru/product/styazhka-kabelnaya-stalnaya-304-200x4-6mm-100-sht-up-rexant-07-0208-100/", "Инфо")</f>
        <v>Инфо</v>
      </c>
      <c r="F6074" s="16" t="s">
        <v>1001</v>
      </c>
      <c r="G6074" s="15"/>
      <c r="H6074" s="15"/>
      <c r="I6074" s="15"/>
      <c r="J6074" s="22">
        <v>5985</v>
      </c>
      <c r="K6074" s="15"/>
      <c r="L6074" s="17">
        <v>1</v>
      </c>
      <c r="M6074" s="17">
        <v>100</v>
      </c>
      <c r="N6074" s="17">
        <v>1</v>
      </c>
      <c r="O6074" s="18">
        <v>937.88</v>
      </c>
      <c r="P6074" s="18">
        <v>768.75</v>
      </c>
      <c r="Q6074" s="18">
        <v>815.96</v>
      </c>
      <c r="R6074" s="18">
        <v>668.82</v>
      </c>
      <c r="S6074" s="18">
        <v>637.76</v>
      </c>
      <c r="T6074" s="18">
        <v>522.75</v>
      </c>
      <c r="U6074" s="16"/>
      <c r="V6074" s="16"/>
      <c r="W6074" s="16" t="s">
        <v>40</v>
      </c>
      <c r="X6074" s="19">
        <v>0.248</v>
      </c>
      <c r="Y6074" s="20">
        <v>2.04E-4</v>
      </c>
      <c r="Z6074" s="21">
        <v>4601004162167</v>
      </c>
    </row>
    <row r="6075" spans="1:26" ht="12" customHeight="1" outlineLevel="4" x14ac:dyDescent="0.2">
      <c r="A6075" s="14" t="s">
        <v>11737</v>
      </c>
      <c r="B6075" s="26" t="s">
        <v>11738</v>
      </c>
      <c r="C6075" s="52"/>
      <c r="D6075" s="55">
        <f t="shared" si="94"/>
        <v>0</v>
      </c>
      <c r="E6075" s="63" t="str">
        <f>HYPERLINK("https://www.sds-group.ru/product/styazhka-kabelnaya-stalnaya-304-200x7-9mm-100-sht-up-rexant-07-0210-100/", "Инфо")</f>
        <v>Инфо</v>
      </c>
      <c r="F6075" s="16" t="s">
        <v>1001</v>
      </c>
      <c r="G6075" s="15"/>
      <c r="H6075" s="15"/>
      <c r="I6075" s="15"/>
      <c r="J6075" s="22">
        <v>1530</v>
      </c>
      <c r="K6075" s="15"/>
      <c r="L6075" s="17">
        <v>1</v>
      </c>
      <c r="M6075" s="17">
        <v>50</v>
      </c>
      <c r="N6075" s="17">
        <v>1</v>
      </c>
      <c r="O6075" s="18">
        <v>1347.53</v>
      </c>
      <c r="P6075" s="18">
        <v>1104.53</v>
      </c>
      <c r="Q6075" s="18">
        <v>1172.3499999999999</v>
      </c>
      <c r="R6075" s="18">
        <v>960.94</v>
      </c>
      <c r="S6075" s="18">
        <v>916.32</v>
      </c>
      <c r="T6075" s="18">
        <v>751.08</v>
      </c>
      <c r="U6075" s="16"/>
      <c r="V6075" s="16"/>
      <c r="W6075" s="16" t="s">
        <v>40</v>
      </c>
      <c r="X6075" s="19">
        <v>0.46899999999999997</v>
      </c>
      <c r="Y6075" s="20">
        <v>4.0900000000000002E-4</v>
      </c>
      <c r="Z6075" s="21">
        <v>4601004162112</v>
      </c>
    </row>
    <row r="6076" spans="1:26" ht="12" customHeight="1" outlineLevel="4" x14ac:dyDescent="0.2">
      <c r="A6076" s="14" t="s">
        <v>11739</v>
      </c>
      <c r="B6076" s="26" t="s">
        <v>11740</v>
      </c>
      <c r="C6076" s="52"/>
      <c r="D6076" s="55">
        <f t="shared" si="94"/>
        <v>0</v>
      </c>
      <c r="E6076" s="63" t="str">
        <f>HYPERLINK("https://www.sds-group.ru/product/styazhka-kabelnaya-stalnaya-304-250x4-6mm-100-sht-up-rexant-07-0258-100/", "Инфо")</f>
        <v>Инфо</v>
      </c>
      <c r="F6076" s="16" t="s">
        <v>1001</v>
      </c>
      <c r="G6076" s="15"/>
      <c r="H6076" s="15"/>
      <c r="I6076" s="15"/>
      <c r="J6076" s="22">
        <v>3446</v>
      </c>
      <c r="K6076" s="15"/>
      <c r="L6076" s="17">
        <v>1</v>
      </c>
      <c r="M6076" s="17">
        <v>100</v>
      </c>
      <c r="N6076" s="17">
        <v>1</v>
      </c>
      <c r="O6076" s="18">
        <v>1041.3699999999999</v>
      </c>
      <c r="P6076" s="18">
        <v>853.58</v>
      </c>
      <c r="Q6076" s="18">
        <v>905.99</v>
      </c>
      <c r="R6076" s="18">
        <v>742.61</v>
      </c>
      <c r="S6076" s="18">
        <v>708.13</v>
      </c>
      <c r="T6076" s="18">
        <v>580.42999999999995</v>
      </c>
      <c r="U6076" s="16"/>
      <c r="V6076" s="16"/>
      <c r="W6076" s="16" t="s">
        <v>40</v>
      </c>
      <c r="X6076" s="19">
        <v>0.20100000000000001</v>
      </c>
      <c r="Y6076" s="20">
        <v>2.4899999999999998E-4</v>
      </c>
      <c r="Z6076" s="21">
        <v>4601004162082</v>
      </c>
    </row>
    <row r="6077" spans="1:26" ht="12" customHeight="1" outlineLevel="4" x14ac:dyDescent="0.2">
      <c r="A6077" s="14" t="s">
        <v>11741</v>
      </c>
      <c r="B6077" s="26" t="s">
        <v>11742</v>
      </c>
      <c r="C6077" s="52"/>
      <c r="D6077" s="55">
        <f t="shared" si="94"/>
        <v>0</v>
      </c>
      <c r="E6077" s="63" t="str">
        <f>HYPERLINK("https://www.sds-group.ru/product/styazhka-kabelnaya-stalnaya-304-300x4-6mm-100-sht-up-rexant-07-0308-100/", "Инфо")</f>
        <v>Инфо</v>
      </c>
      <c r="F6077" s="16" t="s">
        <v>1001</v>
      </c>
      <c r="G6077" s="15"/>
      <c r="H6077" s="15"/>
      <c r="I6077" s="15"/>
      <c r="J6077" s="22">
        <v>6276</v>
      </c>
      <c r="K6077" s="15"/>
      <c r="L6077" s="17">
        <v>1</v>
      </c>
      <c r="M6077" s="17">
        <v>50</v>
      </c>
      <c r="N6077" s="17">
        <v>1</v>
      </c>
      <c r="O6077" s="18">
        <v>1142.7</v>
      </c>
      <c r="P6077" s="18">
        <v>936.64</v>
      </c>
      <c r="Q6077" s="18">
        <v>994.15</v>
      </c>
      <c r="R6077" s="18">
        <v>814.88</v>
      </c>
      <c r="S6077" s="18">
        <v>777.04</v>
      </c>
      <c r="T6077" s="18">
        <v>636.91999999999996</v>
      </c>
      <c r="U6077" s="16"/>
      <c r="V6077" s="16"/>
      <c r="W6077" s="16" t="s">
        <v>40</v>
      </c>
      <c r="X6077" s="19">
        <v>0.34399999999999997</v>
      </c>
      <c r="Y6077" s="20">
        <v>3.1799999999999998E-4</v>
      </c>
      <c r="Z6077" s="21">
        <v>4601004162099</v>
      </c>
    </row>
    <row r="6078" spans="1:26" ht="12" customHeight="1" outlineLevel="4" x14ac:dyDescent="0.2">
      <c r="A6078" s="14" t="s">
        <v>11743</v>
      </c>
      <c r="B6078" s="26" t="s">
        <v>11744</v>
      </c>
      <c r="C6078" s="52"/>
      <c r="D6078" s="55">
        <f t="shared" si="94"/>
        <v>0</v>
      </c>
      <c r="E6078" s="63" t="str">
        <f>HYPERLINK("https://www.sds-group.ru/product/styazhka-kabelnaya-stalnaya-304-300x7-9mm-100-sht-up-rexant-07-0310-100/", "Инфо")</f>
        <v>Инфо</v>
      </c>
      <c r="F6078" s="16" t="s">
        <v>1001</v>
      </c>
      <c r="G6078" s="15"/>
      <c r="H6078" s="15"/>
      <c r="I6078" s="15"/>
      <c r="J6078" s="17">
        <v>247</v>
      </c>
      <c r="K6078" s="15" t="s">
        <v>4926</v>
      </c>
      <c r="L6078" s="17">
        <v>1</v>
      </c>
      <c r="M6078" s="17">
        <v>50</v>
      </c>
      <c r="N6078" s="17">
        <v>1</v>
      </c>
      <c r="O6078" s="18">
        <v>1648.29</v>
      </c>
      <c r="P6078" s="18">
        <v>1351.06</v>
      </c>
      <c r="Q6078" s="18">
        <v>1434.01</v>
      </c>
      <c r="R6078" s="18">
        <v>1175.42</v>
      </c>
      <c r="S6078" s="18">
        <v>1120.8399999999999</v>
      </c>
      <c r="T6078" s="18">
        <v>918.72</v>
      </c>
      <c r="U6078" s="16"/>
      <c r="V6078" s="16"/>
      <c r="W6078" s="16" t="s">
        <v>40</v>
      </c>
      <c r="X6078" s="19">
        <v>0.625</v>
      </c>
      <c r="Y6078" s="20">
        <v>4.4999999999999999E-4</v>
      </c>
      <c r="Z6078" s="21">
        <v>4601004162136</v>
      </c>
    </row>
    <row r="6079" spans="1:26" ht="12" customHeight="1" outlineLevel="4" x14ac:dyDescent="0.2">
      <c r="A6079" s="14" t="s">
        <v>11745</v>
      </c>
      <c r="B6079" s="26" t="s">
        <v>11746</v>
      </c>
      <c r="C6079" s="52"/>
      <c r="D6079" s="55">
        <f t="shared" si="94"/>
        <v>0</v>
      </c>
      <c r="E6079" s="63" t="str">
        <f>HYPERLINK("https://www.sds-group.ru/product/styazhka-kabelnaya-stalnaya-304-360x4-6mm-100-sht-up-rexant-07-0368-100/", "Инфо")</f>
        <v>Инфо</v>
      </c>
      <c r="F6079" s="16" t="s">
        <v>1001</v>
      </c>
      <c r="G6079" s="15"/>
      <c r="H6079" s="15"/>
      <c r="I6079" s="15"/>
      <c r="J6079" s="17">
        <v>991</v>
      </c>
      <c r="K6079" s="15"/>
      <c r="L6079" s="17">
        <v>1</v>
      </c>
      <c r="M6079" s="17">
        <v>50</v>
      </c>
      <c r="N6079" s="17">
        <v>1</v>
      </c>
      <c r="O6079" s="18">
        <v>1241.8699999999999</v>
      </c>
      <c r="P6079" s="18">
        <v>1017.93</v>
      </c>
      <c r="Q6079" s="18">
        <v>1080.43</v>
      </c>
      <c r="R6079" s="18">
        <v>885.6</v>
      </c>
      <c r="S6079" s="18">
        <v>844.47</v>
      </c>
      <c r="T6079" s="18">
        <v>692.19</v>
      </c>
      <c r="U6079" s="16"/>
      <c r="V6079" s="16"/>
      <c r="W6079" s="16" t="s">
        <v>40</v>
      </c>
      <c r="X6079" s="19">
        <v>0.39600000000000002</v>
      </c>
      <c r="Y6079" s="20">
        <v>4.37E-4</v>
      </c>
      <c r="Z6079" s="21">
        <v>4601004162105</v>
      </c>
    </row>
    <row r="6080" spans="1:26" ht="12" customHeight="1" outlineLevel="4" x14ac:dyDescent="0.2">
      <c r="A6080" s="14" t="s">
        <v>11747</v>
      </c>
      <c r="B6080" s="26" t="s">
        <v>11748</v>
      </c>
      <c r="C6080" s="52"/>
      <c r="D6080" s="55">
        <f t="shared" si="94"/>
        <v>0</v>
      </c>
      <c r="E6080" s="63" t="str">
        <f>HYPERLINK("https://www.sds-group.ru/product/styazhka-kabelnaya-stalnaya-304-400x7-9mm-100-sht-up-rexant-07-0410-100/", "Инфо")</f>
        <v>Инфо</v>
      </c>
      <c r="F6080" s="16" t="s">
        <v>1001</v>
      </c>
      <c r="G6080" s="15"/>
      <c r="H6080" s="15"/>
      <c r="I6080" s="15"/>
      <c r="J6080" s="17">
        <v>757</v>
      </c>
      <c r="K6080" s="15"/>
      <c r="L6080" s="17">
        <v>1</v>
      </c>
      <c r="M6080" s="17">
        <v>50</v>
      </c>
      <c r="N6080" s="17">
        <v>1</v>
      </c>
      <c r="O6080" s="18">
        <v>1951.22</v>
      </c>
      <c r="P6080" s="18">
        <v>1599.36</v>
      </c>
      <c r="Q6080" s="18">
        <v>1697.56</v>
      </c>
      <c r="R6080" s="18">
        <v>1391.44</v>
      </c>
      <c r="S6080" s="18">
        <v>1326.83</v>
      </c>
      <c r="T6080" s="18">
        <v>1087.57</v>
      </c>
      <c r="U6080" s="16"/>
      <c r="V6080" s="16"/>
      <c r="W6080" s="16" t="s">
        <v>40</v>
      </c>
      <c r="X6080" s="19">
        <v>0.77700000000000002</v>
      </c>
      <c r="Y6080" s="20">
        <v>6.2799999999999998E-4</v>
      </c>
      <c r="Z6080" s="21">
        <v>4601004162143</v>
      </c>
    </row>
    <row r="6081" spans="1:26" ht="12.95" customHeight="1" outlineLevel="3" x14ac:dyDescent="0.2">
      <c r="A6081" s="76" t="s">
        <v>11749</v>
      </c>
      <c r="B6081" s="76"/>
      <c r="C6081" s="77"/>
      <c r="D6081" s="58"/>
      <c r="E6081" s="68"/>
      <c r="F6081" s="13"/>
      <c r="G6081" s="13"/>
      <c r="H6081" s="13"/>
      <c r="I6081" s="13"/>
      <c r="J6081" s="13"/>
      <c r="K6081" s="13"/>
      <c r="L6081" s="13"/>
      <c r="M6081" s="13"/>
      <c r="N6081" s="13"/>
      <c r="O6081" s="13"/>
      <c r="P6081" s="13"/>
      <c r="Q6081" s="13"/>
      <c r="R6081" s="13"/>
      <c r="S6081" s="13"/>
      <c r="T6081" s="13"/>
      <c r="U6081" s="13"/>
      <c r="V6081" s="13"/>
      <c r="W6081" s="13"/>
      <c r="X6081" s="13"/>
      <c r="Y6081" s="13"/>
      <c r="Z6081" s="13"/>
    </row>
    <row r="6082" spans="1:26" ht="12" customHeight="1" outlineLevel="4" x14ac:dyDescent="0.2">
      <c r="A6082" s="14" t="s">
        <v>11750</v>
      </c>
      <c r="B6082" s="26" t="s">
        <v>11751</v>
      </c>
      <c r="C6082" s="52"/>
      <c r="D6082" s="55">
        <f t="shared" si="94"/>
        <v>0</v>
      </c>
      <c r="E6082" s="63" t="str">
        <f>HYPERLINK("https://www.sds-group.ru/product/styazhka-kabelnaya-stalnaya-304-100x4-6mm-10-sht-up-rexant-07-0118-10/", "Инфо")</f>
        <v>Инфо</v>
      </c>
      <c r="F6082" s="16" t="s">
        <v>1001</v>
      </c>
      <c r="G6082" s="15"/>
      <c r="H6082" s="15"/>
      <c r="I6082" s="15"/>
      <c r="J6082" s="22">
        <v>4506</v>
      </c>
      <c r="K6082" s="15"/>
      <c r="L6082" s="17">
        <v>10</v>
      </c>
      <c r="M6082" s="17">
        <v>500</v>
      </c>
      <c r="N6082" s="17">
        <v>10</v>
      </c>
      <c r="O6082" s="18">
        <v>83.95</v>
      </c>
      <c r="P6082" s="18">
        <v>68.81</v>
      </c>
      <c r="Q6082" s="18">
        <v>73.040000000000006</v>
      </c>
      <c r="R6082" s="18">
        <v>59.87</v>
      </c>
      <c r="S6082" s="18">
        <v>57.09</v>
      </c>
      <c r="T6082" s="18">
        <v>46.8</v>
      </c>
      <c r="U6082" s="16"/>
      <c r="V6082" s="16"/>
      <c r="W6082" s="16" t="s">
        <v>40</v>
      </c>
      <c r="X6082" s="19">
        <v>2.1000000000000001E-2</v>
      </c>
      <c r="Y6082" s="20">
        <v>4.5000000000000003E-5</v>
      </c>
      <c r="Z6082" s="21">
        <v>4601004124097</v>
      </c>
    </row>
    <row r="6083" spans="1:26" ht="12" customHeight="1" outlineLevel="4" x14ac:dyDescent="0.2">
      <c r="A6083" s="14" t="s">
        <v>11752</v>
      </c>
      <c r="B6083" s="26" t="s">
        <v>11753</v>
      </c>
      <c r="C6083" s="52"/>
      <c r="D6083" s="55">
        <f t="shared" si="94"/>
        <v>0</v>
      </c>
      <c r="E6083" s="63" t="str">
        <f>HYPERLINK("https://www.sds-group.ru/product/styazhka-kabelnaya-stalnaya-304-100x4-6mm-50-sht-up-rexant-07-0118/", "Инфо")</f>
        <v>Инфо</v>
      </c>
      <c r="F6083" s="16" t="s">
        <v>1001</v>
      </c>
      <c r="G6083" s="15"/>
      <c r="H6083" s="15"/>
      <c r="I6083" s="15"/>
      <c r="J6083" s="22">
        <v>6517</v>
      </c>
      <c r="K6083" s="15" t="s">
        <v>979</v>
      </c>
      <c r="L6083" s="17">
        <v>10</v>
      </c>
      <c r="M6083" s="17">
        <v>100</v>
      </c>
      <c r="N6083" s="17">
        <v>10</v>
      </c>
      <c r="O6083" s="18">
        <v>381.62</v>
      </c>
      <c r="P6083" s="18">
        <v>312.8</v>
      </c>
      <c r="Q6083" s="18">
        <v>332.01</v>
      </c>
      <c r="R6083" s="18">
        <v>272.14</v>
      </c>
      <c r="S6083" s="18">
        <v>259.5</v>
      </c>
      <c r="T6083" s="18">
        <v>212.7</v>
      </c>
      <c r="U6083" s="16"/>
      <c r="V6083" s="16"/>
      <c r="W6083" s="16" t="s">
        <v>40</v>
      </c>
      <c r="X6083" s="19">
        <v>8.4000000000000005E-2</v>
      </c>
      <c r="Y6083" s="20">
        <v>1.13E-4</v>
      </c>
      <c r="Z6083" s="21">
        <v>4601004124059</v>
      </c>
    </row>
    <row r="6084" spans="1:26" ht="12" customHeight="1" outlineLevel="4" x14ac:dyDescent="0.2">
      <c r="A6084" s="14" t="s">
        <v>11754</v>
      </c>
      <c r="B6084" s="26" t="s">
        <v>11755</v>
      </c>
      <c r="C6084" s="52"/>
      <c r="D6084" s="55">
        <f t="shared" si="94"/>
        <v>0</v>
      </c>
      <c r="E6084" s="63" t="str">
        <f>HYPERLINK("https://www.sds-group.ru/product/styazhka-kabelnaya-stalnaya-304-152x4-6mm-10-sht-up-rexant-07-0158-10/", "Инфо")</f>
        <v>Инфо</v>
      </c>
      <c r="F6084" s="16" t="s">
        <v>1001</v>
      </c>
      <c r="G6084" s="15"/>
      <c r="H6084" s="15"/>
      <c r="I6084" s="15"/>
      <c r="J6084" s="22">
        <v>1398</v>
      </c>
      <c r="K6084" s="15" t="s">
        <v>4926</v>
      </c>
      <c r="L6084" s="17">
        <v>10</v>
      </c>
      <c r="M6084" s="17">
        <v>400</v>
      </c>
      <c r="N6084" s="17">
        <v>10</v>
      </c>
      <c r="O6084" s="18">
        <v>93.21</v>
      </c>
      <c r="P6084" s="18">
        <v>76.400000000000006</v>
      </c>
      <c r="Q6084" s="18">
        <v>81.09</v>
      </c>
      <c r="R6084" s="18">
        <v>66.47</v>
      </c>
      <c r="S6084" s="18">
        <v>63.38</v>
      </c>
      <c r="T6084" s="18">
        <v>51.95</v>
      </c>
      <c r="U6084" s="16"/>
      <c r="V6084" s="16"/>
      <c r="W6084" s="16" t="s">
        <v>40</v>
      </c>
      <c r="X6084" s="19">
        <v>2.5999999999999999E-2</v>
      </c>
      <c r="Y6084" s="20">
        <v>5.5000000000000002E-5</v>
      </c>
      <c r="Z6084" s="21">
        <v>4601004124103</v>
      </c>
    </row>
    <row r="6085" spans="1:26" ht="12" customHeight="1" outlineLevel="4" x14ac:dyDescent="0.2">
      <c r="A6085" s="14" t="s">
        <v>11756</v>
      </c>
      <c r="B6085" s="26" t="s">
        <v>11757</v>
      </c>
      <c r="C6085" s="52"/>
      <c r="D6085" s="55">
        <f t="shared" si="94"/>
        <v>0</v>
      </c>
      <c r="E6085" s="63" t="str">
        <f>HYPERLINK("https://www.sds-group.ru/product/styazhka-kabelnaya-stalnaya-304-152x4-6mm-50-sht-up-rexant-07-0158/", "Инфо")</f>
        <v>Инфо</v>
      </c>
      <c r="F6085" s="16" t="s">
        <v>1001</v>
      </c>
      <c r="G6085" s="15"/>
      <c r="H6085" s="15"/>
      <c r="I6085" s="15"/>
      <c r="J6085" s="22">
        <v>12927</v>
      </c>
      <c r="K6085" s="15" t="s">
        <v>4926</v>
      </c>
      <c r="L6085" s="17">
        <v>5</v>
      </c>
      <c r="M6085" s="17">
        <v>150</v>
      </c>
      <c r="N6085" s="17">
        <v>5</v>
      </c>
      <c r="O6085" s="18">
        <v>423.66</v>
      </c>
      <c r="P6085" s="18">
        <v>347.26</v>
      </c>
      <c r="Q6085" s="18">
        <v>368.58</v>
      </c>
      <c r="R6085" s="18">
        <v>302.11</v>
      </c>
      <c r="S6085" s="18">
        <v>288.08999999999997</v>
      </c>
      <c r="T6085" s="18">
        <v>236.14</v>
      </c>
      <c r="U6085" s="16"/>
      <c r="V6085" s="16"/>
      <c r="W6085" s="16" t="s">
        <v>40</v>
      </c>
      <c r="X6085" s="19">
        <v>0.108</v>
      </c>
      <c r="Y6085" s="20">
        <v>3.8000000000000002E-5</v>
      </c>
      <c r="Z6085" s="21">
        <v>4610003603304</v>
      </c>
    </row>
    <row r="6086" spans="1:26" ht="12" customHeight="1" outlineLevel="4" x14ac:dyDescent="0.2">
      <c r="A6086" s="14" t="s">
        <v>11758</v>
      </c>
      <c r="B6086" s="26" t="s">
        <v>11759</v>
      </c>
      <c r="C6086" s="52"/>
      <c r="D6086" s="55">
        <f t="shared" si="94"/>
        <v>0</v>
      </c>
      <c r="E6086" s="63" t="str">
        <f>HYPERLINK("https://www.sds-group.ru/product/styazhka-kabelnaya-stalnaya-304-152x7-9mm-50-sht-up-rexant-07-0160/", "Инфо")</f>
        <v>Инфо</v>
      </c>
      <c r="F6086" s="16" t="s">
        <v>1001</v>
      </c>
      <c r="G6086" s="15"/>
      <c r="H6086" s="15"/>
      <c r="I6086" s="15"/>
      <c r="J6086" s="22">
        <v>1497</v>
      </c>
      <c r="K6086" s="15" t="s">
        <v>4926</v>
      </c>
      <c r="L6086" s="17">
        <v>1</v>
      </c>
      <c r="M6086" s="17">
        <v>100</v>
      </c>
      <c r="N6086" s="17">
        <v>1</v>
      </c>
      <c r="O6086" s="18">
        <v>622.99</v>
      </c>
      <c r="P6086" s="18">
        <v>510.65</v>
      </c>
      <c r="Q6086" s="18">
        <v>542</v>
      </c>
      <c r="R6086" s="18">
        <v>444.26</v>
      </c>
      <c r="S6086" s="18">
        <v>423.63</v>
      </c>
      <c r="T6086" s="18">
        <v>347.24</v>
      </c>
      <c r="U6086" s="16"/>
      <c r="V6086" s="16"/>
      <c r="W6086" s="16" t="s">
        <v>40</v>
      </c>
      <c r="X6086" s="19">
        <v>0.20200000000000001</v>
      </c>
      <c r="Y6086" s="20">
        <v>2.24E-4</v>
      </c>
      <c r="Z6086" s="21">
        <v>4601004124073</v>
      </c>
    </row>
    <row r="6087" spans="1:26" ht="12" customHeight="1" outlineLevel="4" x14ac:dyDescent="0.2">
      <c r="A6087" s="14" t="s">
        <v>11760</v>
      </c>
      <c r="B6087" s="26" t="s">
        <v>11761</v>
      </c>
      <c r="C6087" s="52"/>
      <c r="D6087" s="55">
        <f t="shared" si="94"/>
        <v>0</v>
      </c>
      <c r="E6087" s="63" t="str">
        <f>HYPERLINK("https://www.sds-group.ru/product/styazhka-kabelnaya-stalnaya-304-200x4-6mm-10-sht-up-rexant-07-0208-10/", "Инфо")</f>
        <v>Инфо</v>
      </c>
      <c r="F6087" s="16" t="s">
        <v>1001</v>
      </c>
      <c r="G6087" s="15"/>
      <c r="H6087" s="15"/>
      <c r="I6087" s="15"/>
      <c r="J6087" s="22">
        <v>2128</v>
      </c>
      <c r="K6087" s="15" t="s">
        <v>4926</v>
      </c>
      <c r="L6087" s="17">
        <v>10</v>
      </c>
      <c r="M6087" s="17">
        <v>350</v>
      </c>
      <c r="N6087" s="17">
        <v>10</v>
      </c>
      <c r="O6087" s="18">
        <v>103.17</v>
      </c>
      <c r="P6087" s="18">
        <v>84.57</v>
      </c>
      <c r="Q6087" s="18">
        <v>89.76</v>
      </c>
      <c r="R6087" s="18">
        <v>73.569999999999993</v>
      </c>
      <c r="S6087" s="18">
        <v>70.16</v>
      </c>
      <c r="T6087" s="18">
        <v>57.51</v>
      </c>
      <c r="U6087" s="16"/>
      <c r="V6087" s="16"/>
      <c r="W6087" s="16" t="s">
        <v>40</v>
      </c>
      <c r="X6087" s="19">
        <v>3.3000000000000002E-2</v>
      </c>
      <c r="Y6087" s="20">
        <v>6.3E-5</v>
      </c>
      <c r="Z6087" s="21">
        <v>4601004124110</v>
      </c>
    </row>
    <row r="6088" spans="1:26" ht="12" customHeight="1" outlineLevel="4" x14ac:dyDescent="0.2">
      <c r="A6088" s="14" t="s">
        <v>11762</v>
      </c>
      <c r="B6088" s="26" t="s">
        <v>11763</v>
      </c>
      <c r="C6088" s="52"/>
      <c r="D6088" s="55">
        <f t="shared" si="94"/>
        <v>0</v>
      </c>
      <c r="E6088" s="63" t="str">
        <f>HYPERLINK("https://www.sds-group.ru/product/styazhka-kabelnaya-stalnaya-304-200x4-6mm-50-sht-up-rexant-07-0208/", "Инфо")</f>
        <v>Инфо</v>
      </c>
      <c r="F6088" s="16" t="s">
        <v>1001</v>
      </c>
      <c r="G6088" s="15"/>
      <c r="H6088" s="15"/>
      <c r="I6088" s="15"/>
      <c r="J6088" s="22">
        <v>18130</v>
      </c>
      <c r="K6088" s="15" t="s">
        <v>4926</v>
      </c>
      <c r="L6088" s="17">
        <v>5</v>
      </c>
      <c r="M6088" s="17">
        <v>100</v>
      </c>
      <c r="N6088" s="17">
        <v>5</v>
      </c>
      <c r="O6088" s="18">
        <v>468.94</v>
      </c>
      <c r="P6088" s="18">
        <v>384.38</v>
      </c>
      <c r="Q6088" s="18">
        <v>407.98</v>
      </c>
      <c r="R6088" s="18">
        <v>334.41</v>
      </c>
      <c r="S6088" s="18">
        <v>318.88</v>
      </c>
      <c r="T6088" s="18">
        <v>261.38</v>
      </c>
      <c r="U6088" s="16"/>
      <c r="V6088" s="16"/>
      <c r="W6088" s="16" t="s">
        <v>40</v>
      </c>
      <c r="X6088" s="19">
        <v>0.129</v>
      </c>
      <c r="Y6088" s="20">
        <v>1.4899999999999999E-4</v>
      </c>
      <c r="Z6088" s="21">
        <v>4610003603311</v>
      </c>
    </row>
    <row r="6089" spans="1:26" ht="12" customHeight="1" outlineLevel="4" x14ac:dyDescent="0.2">
      <c r="A6089" s="14" t="s">
        <v>11764</v>
      </c>
      <c r="B6089" s="26" t="s">
        <v>11765</v>
      </c>
      <c r="C6089" s="52"/>
      <c r="D6089" s="55">
        <f t="shared" ref="D6089:D6152" si="95">C6089*(O6089-O6089*$G$3)</f>
        <v>0</v>
      </c>
      <c r="E6089" s="63" t="str">
        <f>HYPERLINK("https://www.sds-group.ru/product/styazhka-kabelnaya-stalnaya-304-200x7-9mm-50-sht-up-rexant-07-0210/", "Инфо")</f>
        <v>Инфо</v>
      </c>
      <c r="F6089" s="16" t="s">
        <v>1001</v>
      </c>
      <c r="G6089" s="15"/>
      <c r="H6089" s="15"/>
      <c r="I6089" s="15"/>
      <c r="J6089" s="22">
        <v>3582</v>
      </c>
      <c r="K6089" s="15" t="s">
        <v>979</v>
      </c>
      <c r="L6089" s="17">
        <v>1</v>
      </c>
      <c r="M6089" s="17">
        <v>100</v>
      </c>
      <c r="N6089" s="17">
        <v>1</v>
      </c>
      <c r="O6089" s="18">
        <v>673.76</v>
      </c>
      <c r="P6089" s="18">
        <v>552.26</v>
      </c>
      <c r="Q6089" s="18">
        <v>586.16999999999996</v>
      </c>
      <c r="R6089" s="18">
        <v>480.47</v>
      </c>
      <c r="S6089" s="18">
        <v>458.16</v>
      </c>
      <c r="T6089" s="18">
        <v>375.54</v>
      </c>
      <c r="U6089" s="16"/>
      <c r="V6089" s="16"/>
      <c r="W6089" s="16" t="s">
        <v>40</v>
      </c>
      <c r="X6089" s="19">
        <v>0.23799999999999999</v>
      </c>
      <c r="Y6089" s="20">
        <v>2.2900000000000001E-4</v>
      </c>
      <c r="Z6089" s="21">
        <v>4601004061392</v>
      </c>
    </row>
    <row r="6090" spans="1:26" ht="12" customHeight="1" outlineLevel="4" x14ac:dyDescent="0.2">
      <c r="A6090" s="14" t="s">
        <v>11766</v>
      </c>
      <c r="B6090" s="26" t="s">
        <v>11767</v>
      </c>
      <c r="C6090" s="52"/>
      <c r="D6090" s="55">
        <f t="shared" si="95"/>
        <v>0</v>
      </c>
      <c r="E6090" s="63" t="str">
        <f>HYPERLINK("https://www.sds-group.ru/product/styazhka-kabelnaya-stalnaya-304-250x4-6mm-10-sht-up-rexant-07-0258-10/", "Инфо")</f>
        <v>Инфо</v>
      </c>
      <c r="F6090" s="16" t="s">
        <v>1001</v>
      </c>
      <c r="G6090" s="15"/>
      <c r="H6090" s="15"/>
      <c r="I6090" s="15"/>
      <c r="J6090" s="22">
        <v>3620</v>
      </c>
      <c r="K6090" s="15" t="s">
        <v>979</v>
      </c>
      <c r="L6090" s="17">
        <v>10</v>
      </c>
      <c r="M6090" s="17">
        <v>600</v>
      </c>
      <c r="N6090" s="17">
        <v>10</v>
      </c>
      <c r="O6090" s="18">
        <v>114.55</v>
      </c>
      <c r="P6090" s="18">
        <v>93.89</v>
      </c>
      <c r="Q6090" s="18">
        <v>99.66</v>
      </c>
      <c r="R6090" s="18">
        <v>81.69</v>
      </c>
      <c r="S6090" s="18">
        <v>77.89</v>
      </c>
      <c r="T6090" s="18">
        <v>63.84</v>
      </c>
      <c r="U6090" s="16"/>
      <c r="V6090" s="16"/>
      <c r="W6090" s="16" t="s">
        <v>40</v>
      </c>
      <c r="X6090" s="19">
        <v>3.7999999999999999E-2</v>
      </c>
      <c r="Y6090" s="20">
        <v>1.8E-5</v>
      </c>
      <c r="Z6090" s="21">
        <v>4601004124127</v>
      </c>
    </row>
    <row r="6091" spans="1:26" ht="12" customHeight="1" outlineLevel="4" x14ac:dyDescent="0.2">
      <c r="A6091" s="14" t="s">
        <v>11768</v>
      </c>
      <c r="B6091" s="26" t="s">
        <v>11769</v>
      </c>
      <c r="C6091" s="52"/>
      <c r="D6091" s="55">
        <f t="shared" si="95"/>
        <v>0</v>
      </c>
      <c r="E6091" s="63" t="str">
        <f>HYPERLINK("https://www.sds-group.ru/product/styazhka-kabelnaya-stalnaya-304-250x4-6mm-50-sht-up-rexant-07-0258/", "Инфо")</f>
        <v>Инфо</v>
      </c>
      <c r="F6091" s="16" t="s">
        <v>1001</v>
      </c>
      <c r="G6091" s="15"/>
      <c r="H6091" s="15"/>
      <c r="I6091" s="15"/>
      <c r="J6091" s="22">
        <v>5420</v>
      </c>
      <c r="K6091" s="15" t="s">
        <v>4926</v>
      </c>
      <c r="L6091" s="17">
        <v>10</v>
      </c>
      <c r="M6091" s="17">
        <v>100</v>
      </c>
      <c r="N6091" s="17">
        <v>10</v>
      </c>
      <c r="O6091" s="18">
        <v>520.67999999999995</v>
      </c>
      <c r="P6091" s="18">
        <v>426.79</v>
      </c>
      <c r="Q6091" s="18">
        <v>452.99</v>
      </c>
      <c r="R6091" s="18">
        <v>371.3</v>
      </c>
      <c r="S6091" s="18">
        <v>354.06</v>
      </c>
      <c r="T6091" s="18">
        <v>290.20999999999998</v>
      </c>
      <c r="U6091" s="16"/>
      <c r="V6091" s="16"/>
      <c r="W6091" s="16" t="s">
        <v>40</v>
      </c>
      <c r="X6091" s="19">
        <v>0.153</v>
      </c>
      <c r="Y6091" s="20">
        <v>1.54E-4</v>
      </c>
      <c r="Z6091" s="21">
        <v>4601004124066</v>
      </c>
    </row>
    <row r="6092" spans="1:26" ht="12" customHeight="1" outlineLevel="4" x14ac:dyDescent="0.2">
      <c r="A6092" s="14" t="s">
        <v>11770</v>
      </c>
      <c r="B6092" s="26" t="s">
        <v>11771</v>
      </c>
      <c r="C6092" s="52"/>
      <c r="D6092" s="55">
        <f t="shared" si="95"/>
        <v>0</v>
      </c>
      <c r="E6092" s="63" t="str">
        <f>HYPERLINK("https://www.sds-group.ru/product/styazhka-kabelnaya-stalnaya-304-250x7-9mm-10-sht-up-rexant-07-0260-10/", "Инфо")</f>
        <v>Инфо</v>
      </c>
      <c r="F6092" s="16" t="s">
        <v>1001</v>
      </c>
      <c r="G6092" s="15"/>
      <c r="H6092" s="15"/>
      <c r="I6092" s="15"/>
      <c r="J6092" s="17">
        <v>704</v>
      </c>
      <c r="K6092" s="15"/>
      <c r="L6092" s="17">
        <v>10</v>
      </c>
      <c r="M6092" s="17">
        <v>220</v>
      </c>
      <c r="N6092" s="17">
        <v>10</v>
      </c>
      <c r="O6092" s="18">
        <v>171.01</v>
      </c>
      <c r="P6092" s="18">
        <v>140.16999999999999</v>
      </c>
      <c r="Q6092" s="18">
        <v>148.78</v>
      </c>
      <c r="R6092" s="18">
        <v>121.95</v>
      </c>
      <c r="S6092" s="18">
        <v>116.29</v>
      </c>
      <c r="T6092" s="18">
        <v>95.32</v>
      </c>
      <c r="U6092" s="16"/>
      <c r="V6092" s="16"/>
      <c r="W6092" s="16" t="s">
        <v>40</v>
      </c>
      <c r="X6092" s="19">
        <v>6.5000000000000002E-2</v>
      </c>
      <c r="Y6092" s="20">
        <v>9.6000000000000002E-5</v>
      </c>
      <c r="Z6092" s="21">
        <v>4601004124165</v>
      </c>
    </row>
    <row r="6093" spans="1:26" ht="12" customHeight="1" outlineLevel="4" x14ac:dyDescent="0.2">
      <c r="A6093" s="14" t="s">
        <v>11772</v>
      </c>
      <c r="B6093" s="26" t="s">
        <v>11773</v>
      </c>
      <c r="C6093" s="52"/>
      <c r="D6093" s="55">
        <f t="shared" si="95"/>
        <v>0</v>
      </c>
      <c r="E6093" s="63" t="str">
        <f>HYPERLINK("https://www.sds-group.ru/product/styazhka-kabelnaya-stalnaya-304-250x7-9mm-50-sht-up-rexant-07-0260/", "Инфо")</f>
        <v>Инфо</v>
      </c>
      <c r="F6093" s="16" t="s">
        <v>1001</v>
      </c>
      <c r="G6093" s="15"/>
      <c r="H6093" s="15"/>
      <c r="I6093" s="15"/>
      <c r="J6093" s="22">
        <v>1988</v>
      </c>
      <c r="K6093" s="15" t="s">
        <v>4926</v>
      </c>
      <c r="L6093" s="17">
        <v>1</v>
      </c>
      <c r="M6093" s="17">
        <v>80</v>
      </c>
      <c r="N6093" s="17">
        <v>1</v>
      </c>
      <c r="O6093" s="18">
        <v>776.81</v>
      </c>
      <c r="P6093" s="18">
        <v>636.73</v>
      </c>
      <c r="Q6093" s="18">
        <v>675.82</v>
      </c>
      <c r="R6093" s="18">
        <v>553.95000000000005</v>
      </c>
      <c r="S6093" s="18">
        <v>528.23</v>
      </c>
      <c r="T6093" s="18">
        <v>432.98</v>
      </c>
      <c r="U6093" s="16"/>
      <c r="V6093" s="16"/>
      <c r="W6093" s="16" t="s">
        <v>40</v>
      </c>
      <c r="X6093" s="19">
        <v>0.27800000000000002</v>
      </c>
      <c r="Y6093" s="20">
        <v>6.6000000000000005E-5</v>
      </c>
      <c r="Z6093" s="21">
        <v>4601004124080</v>
      </c>
    </row>
    <row r="6094" spans="1:26" ht="12" customHeight="1" outlineLevel="4" x14ac:dyDescent="0.2">
      <c r="A6094" s="14" t="s">
        <v>11774</v>
      </c>
      <c r="B6094" s="26" t="s">
        <v>11775</v>
      </c>
      <c r="C6094" s="52"/>
      <c r="D6094" s="55">
        <f t="shared" si="95"/>
        <v>0</v>
      </c>
      <c r="E6094" s="63" t="str">
        <f>HYPERLINK("https://www.sds-group.ru/product/styazhka-kabelnaya-stalnaya-304-300x4-6mm-10-sht-up-rexant-07-0308-10/", "Инфо")</f>
        <v>Инфо</v>
      </c>
      <c r="F6094" s="16" t="s">
        <v>1001</v>
      </c>
      <c r="G6094" s="15"/>
      <c r="H6094" s="15"/>
      <c r="I6094" s="15"/>
      <c r="J6094" s="22">
        <v>5305</v>
      </c>
      <c r="K6094" s="15" t="s">
        <v>4926</v>
      </c>
      <c r="L6094" s="17">
        <v>10</v>
      </c>
      <c r="M6094" s="17">
        <v>250</v>
      </c>
      <c r="N6094" s="17">
        <v>10</v>
      </c>
      <c r="O6094" s="18">
        <v>125.69</v>
      </c>
      <c r="P6094" s="18">
        <v>103.02</v>
      </c>
      <c r="Q6094" s="18">
        <v>109.35</v>
      </c>
      <c r="R6094" s="18">
        <v>89.63</v>
      </c>
      <c r="S6094" s="18">
        <v>85.47</v>
      </c>
      <c r="T6094" s="18">
        <v>70.06</v>
      </c>
      <c r="U6094" s="16"/>
      <c r="V6094" s="16"/>
      <c r="W6094" s="16" t="s">
        <v>40</v>
      </c>
      <c r="X6094" s="19">
        <v>4.1000000000000002E-2</v>
      </c>
      <c r="Y6094" s="20">
        <v>5.8E-5</v>
      </c>
      <c r="Z6094" s="21">
        <v>4601004124134</v>
      </c>
    </row>
    <row r="6095" spans="1:26" ht="12" customHeight="1" outlineLevel="4" x14ac:dyDescent="0.2">
      <c r="A6095" s="14" t="s">
        <v>11776</v>
      </c>
      <c r="B6095" s="26" t="s">
        <v>11777</v>
      </c>
      <c r="C6095" s="52"/>
      <c r="D6095" s="55">
        <f t="shared" si="95"/>
        <v>0</v>
      </c>
      <c r="E6095" s="63" t="str">
        <f>HYPERLINK("https://www.sds-group.ru/product/styazhka-kabelnaya-stalnaya-304-300x4-6mm-50-sht-up-rexant-07-0308/", "Инфо")</f>
        <v>Инфо</v>
      </c>
      <c r="F6095" s="16" t="s">
        <v>1001</v>
      </c>
      <c r="G6095" s="15"/>
      <c r="H6095" s="15"/>
      <c r="I6095" s="15"/>
      <c r="J6095" s="22">
        <v>14131</v>
      </c>
      <c r="K6095" s="15" t="s">
        <v>4926</v>
      </c>
      <c r="L6095" s="17">
        <v>10</v>
      </c>
      <c r="M6095" s="17">
        <v>100</v>
      </c>
      <c r="N6095" s="17">
        <v>10</v>
      </c>
      <c r="O6095" s="18">
        <v>571.35</v>
      </c>
      <c r="P6095" s="18">
        <v>468.32</v>
      </c>
      <c r="Q6095" s="18">
        <v>497.07</v>
      </c>
      <c r="R6095" s="18">
        <v>407.43</v>
      </c>
      <c r="S6095" s="18">
        <v>388.52</v>
      </c>
      <c r="T6095" s="18">
        <v>318.45999999999998</v>
      </c>
      <c r="U6095" s="16"/>
      <c r="V6095" s="16"/>
      <c r="W6095" s="16" t="s">
        <v>40</v>
      </c>
      <c r="X6095" s="19">
        <v>0.17399999999999999</v>
      </c>
      <c r="Y6095" s="20">
        <v>1.5100000000000001E-4</v>
      </c>
      <c r="Z6095" s="21">
        <v>4610003603328</v>
      </c>
    </row>
    <row r="6096" spans="1:26" ht="12" customHeight="1" outlineLevel="4" x14ac:dyDescent="0.2">
      <c r="A6096" s="14" t="s">
        <v>11778</v>
      </c>
      <c r="B6096" s="26" t="s">
        <v>11779</v>
      </c>
      <c r="C6096" s="52"/>
      <c r="D6096" s="55">
        <f t="shared" si="95"/>
        <v>0</v>
      </c>
      <c r="E6096" s="63" t="str">
        <f>HYPERLINK("https://www.sds-group.ru/product/styazhka-kabelnaya-stalnaya-304-300x7-9mm-10-sht-up-rexant-07-0310-10/", "Инфо")</f>
        <v>Инфо</v>
      </c>
      <c r="F6096" s="16" t="s">
        <v>1001</v>
      </c>
      <c r="G6096" s="15"/>
      <c r="H6096" s="15"/>
      <c r="I6096" s="15"/>
      <c r="J6096" s="22">
        <v>1517</v>
      </c>
      <c r="K6096" s="15"/>
      <c r="L6096" s="17">
        <v>10</v>
      </c>
      <c r="M6096" s="17">
        <v>200</v>
      </c>
      <c r="N6096" s="17">
        <v>10</v>
      </c>
      <c r="O6096" s="18">
        <v>181.31</v>
      </c>
      <c r="P6096" s="18">
        <v>148.61000000000001</v>
      </c>
      <c r="Q6096" s="18">
        <v>157.74</v>
      </c>
      <c r="R6096" s="18">
        <v>129.30000000000001</v>
      </c>
      <c r="S6096" s="18">
        <v>123.29</v>
      </c>
      <c r="T6096" s="18">
        <v>101.06</v>
      </c>
      <c r="U6096" s="16"/>
      <c r="V6096" s="16"/>
      <c r="W6096" s="16" t="s">
        <v>40</v>
      </c>
      <c r="X6096" s="19">
        <v>7.1999999999999995E-2</v>
      </c>
      <c r="Y6096" s="20">
        <v>1.02E-4</v>
      </c>
      <c r="Z6096" s="21">
        <v>4601004124172</v>
      </c>
    </row>
    <row r="6097" spans="1:26" ht="12" customHeight="1" outlineLevel="4" x14ac:dyDescent="0.2">
      <c r="A6097" s="14" t="s">
        <v>11780</v>
      </c>
      <c r="B6097" s="26" t="s">
        <v>11781</v>
      </c>
      <c r="C6097" s="52"/>
      <c r="D6097" s="55">
        <f t="shared" si="95"/>
        <v>0</v>
      </c>
      <c r="E6097" s="63" t="str">
        <f>HYPERLINK("https://www.sds-group.ru/product/styazhka-kabelnaya-stalnaya-304-300x7-9mm-50-sht-up-rexant-07-0310/", "Инфо")</f>
        <v>Инфо</v>
      </c>
      <c r="F6097" s="16" t="s">
        <v>1001</v>
      </c>
      <c r="G6097" s="15"/>
      <c r="H6097" s="15"/>
      <c r="I6097" s="15"/>
      <c r="J6097" s="17">
        <v>497</v>
      </c>
      <c r="K6097" s="15" t="s">
        <v>4926</v>
      </c>
      <c r="L6097" s="17">
        <v>1</v>
      </c>
      <c r="M6097" s="17">
        <v>60</v>
      </c>
      <c r="N6097" s="17">
        <v>1</v>
      </c>
      <c r="O6097" s="18">
        <v>824.15</v>
      </c>
      <c r="P6097" s="18">
        <v>675.53</v>
      </c>
      <c r="Q6097" s="18">
        <v>717.01</v>
      </c>
      <c r="R6097" s="18">
        <v>587.71</v>
      </c>
      <c r="S6097" s="18">
        <v>560.41999999999996</v>
      </c>
      <c r="T6097" s="18">
        <v>459.36</v>
      </c>
      <c r="U6097" s="16"/>
      <c r="V6097" s="16"/>
      <c r="W6097" s="16" t="s">
        <v>40</v>
      </c>
      <c r="X6097" s="19">
        <v>0.32100000000000001</v>
      </c>
      <c r="Y6097" s="20">
        <v>3.5199999999999999E-4</v>
      </c>
      <c r="Z6097" s="21">
        <v>4601004061385</v>
      </c>
    </row>
    <row r="6098" spans="1:26" ht="12" customHeight="1" outlineLevel="4" x14ac:dyDescent="0.2">
      <c r="A6098" s="14" t="s">
        <v>11782</v>
      </c>
      <c r="B6098" s="26" t="s">
        <v>11783</v>
      </c>
      <c r="C6098" s="52"/>
      <c r="D6098" s="55">
        <f t="shared" si="95"/>
        <v>0</v>
      </c>
      <c r="E6098" s="63" t="str">
        <f>HYPERLINK("https://www.sds-group.ru/product/styazhka-kabelnaya-stalnaya-304-360x4-6mm-50-sht-up-rexant-07-0368/", "Инфо")</f>
        <v>Инфо</v>
      </c>
      <c r="F6098" s="16" t="s">
        <v>1001</v>
      </c>
      <c r="G6098" s="15"/>
      <c r="H6098" s="15"/>
      <c r="I6098" s="15"/>
      <c r="J6098" s="22">
        <v>1688</v>
      </c>
      <c r="K6098" s="15"/>
      <c r="L6098" s="17">
        <v>1</v>
      </c>
      <c r="M6098" s="17">
        <v>100</v>
      </c>
      <c r="N6098" s="17">
        <v>1</v>
      </c>
      <c r="O6098" s="18">
        <v>620.94000000000005</v>
      </c>
      <c r="P6098" s="18">
        <v>508.97</v>
      </c>
      <c r="Q6098" s="18">
        <v>540.22</v>
      </c>
      <c r="R6098" s="18">
        <v>442.8</v>
      </c>
      <c r="S6098" s="18">
        <v>422.24</v>
      </c>
      <c r="T6098" s="18">
        <v>346.1</v>
      </c>
      <c r="U6098" s="16"/>
      <c r="V6098" s="16"/>
      <c r="W6098" s="16" t="s">
        <v>40</v>
      </c>
      <c r="X6098" s="19">
        <v>0.20499999999999999</v>
      </c>
      <c r="Y6098" s="20">
        <v>6.8999999999999997E-5</v>
      </c>
      <c r="Z6098" s="21">
        <v>4610003603335</v>
      </c>
    </row>
    <row r="6099" spans="1:26" ht="12" customHeight="1" outlineLevel="4" x14ac:dyDescent="0.2">
      <c r="A6099" s="14" t="s">
        <v>11784</v>
      </c>
      <c r="B6099" s="26" t="s">
        <v>11785</v>
      </c>
      <c r="C6099" s="52"/>
      <c r="D6099" s="55">
        <f t="shared" si="95"/>
        <v>0</v>
      </c>
      <c r="E6099" s="63" t="str">
        <f>HYPERLINK("https://www.sds-group.ru/product/styazhka-kabelnaya-stalnaya-304-400x4-6mm-50-sht-up-rexant-07-0408/", "Инфо")</f>
        <v>Инфо</v>
      </c>
      <c r="F6099" s="16" t="s">
        <v>1001</v>
      </c>
      <c r="G6099" s="15"/>
      <c r="H6099" s="15"/>
      <c r="I6099" s="15"/>
      <c r="J6099" s="22">
        <v>3014</v>
      </c>
      <c r="K6099" s="15" t="s">
        <v>4926</v>
      </c>
      <c r="L6099" s="17">
        <v>5</v>
      </c>
      <c r="M6099" s="17">
        <v>100</v>
      </c>
      <c r="N6099" s="17">
        <v>5</v>
      </c>
      <c r="O6099" s="18">
        <v>710.2</v>
      </c>
      <c r="P6099" s="18">
        <v>582.13</v>
      </c>
      <c r="Q6099" s="18">
        <v>617.87</v>
      </c>
      <c r="R6099" s="18">
        <v>506.45</v>
      </c>
      <c r="S6099" s="18">
        <v>482.94</v>
      </c>
      <c r="T6099" s="18">
        <v>395.85</v>
      </c>
      <c r="U6099" s="16"/>
      <c r="V6099" s="16"/>
      <c r="W6099" s="16" t="s">
        <v>40</v>
      </c>
      <c r="X6099" s="19">
        <v>0.22600000000000001</v>
      </c>
      <c r="Y6099" s="20">
        <v>2.0799999999999999E-4</v>
      </c>
      <c r="Z6099" s="21">
        <v>4601004061408</v>
      </c>
    </row>
    <row r="6100" spans="1:26" ht="12" customHeight="1" outlineLevel="4" x14ac:dyDescent="0.2">
      <c r="A6100" s="14" t="s">
        <v>11786</v>
      </c>
      <c r="B6100" s="26" t="s">
        <v>11787</v>
      </c>
      <c r="C6100" s="52"/>
      <c r="D6100" s="55">
        <f t="shared" si="95"/>
        <v>0</v>
      </c>
      <c r="E6100" s="63" t="str">
        <f>HYPERLINK("https://www.sds-group.ru/product/styazhka-kabelnaya-stalnaya-304-400x7-9mm-50-sht-up-rexant-07-0410/", "Инфо")</f>
        <v>Инфо</v>
      </c>
      <c r="F6100" s="16" t="s">
        <v>1001</v>
      </c>
      <c r="G6100" s="15"/>
      <c r="H6100" s="15"/>
      <c r="I6100" s="15"/>
      <c r="J6100" s="17">
        <v>214</v>
      </c>
      <c r="K6100" s="15" t="s">
        <v>979</v>
      </c>
      <c r="L6100" s="17">
        <v>1</v>
      </c>
      <c r="M6100" s="17">
        <v>50</v>
      </c>
      <c r="N6100" s="17">
        <v>1</v>
      </c>
      <c r="O6100" s="18">
        <v>975.6</v>
      </c>
      <c r="P6100" s="18">
        <v>799.67</v>
      </c>
      <c r="Q6100" s="18">
        <v>848.77</v>
      </c>
      <c r="R6100" s="18">
        <v>695.71</v>
      </c>
      <c r="S6100" s="18">
        <v>663.41</v>
      </c>
      <c r="T6100" s="18">
        <v>543.78</v>
      </c>
      <c r="U6100" s="16"/>
      <c r="V6100" s="16"/>
      <c r="W6100" s="16" t="s">
        <v>40</v>
      </c>
      <c r="X6100" s="19">
        <v>0.40300000000000002</v>
      </c>
      <c r="Y6100" s="20">
        <v>4.4799999999999999E-4</v>
      </c>
      <c r="Z6100" s="21">
        <v>4601004061378</v>
      </c>
    </row>
    <row r="6101" spans="1:26" ht="12" customHeight="1" outlineLevel="4" x14ac:dyDescent="0.2">
      <c r="A6101" s="14" t="s">
        <v>11788</v>
      </c>
      <c r="B6101" s="26" t="s">
        <v>11789</v>
      </c>
      <c r="C6101" s="52"/>
      <c r="D6101" s="55">
        <f t="shared" si="95"/>
        <v>0</v>
      </c>
      <c r="E6101" s="63" t="str">
        <f>HYPERLINK("https://www.sds-group.ru/product/styazhka-kabelnaya-stalnaya-304-500x7-9mm-50-sht-up-rexant-07-0510/", "Инфо")</f>
        <v>Инфо</v>
      </c>
      <c r="F6101" s="16" t="s">
        <v>1001</v>
      </c>
      <c r="G6101" s="15"/>
      <c r="H6101" s="15"/>
      <c r="I6101" s="15"/>
      <c r="J6101" s="17">
        <v>738</v>
      </c>
      <c r="K6101" s="15" t="s">
        <v>4926</v>
      </c>
      <c r="L6101" s="17">
        <v>1</v>
      </c>
      <c r="M6101" s="17">
        <v>40</v>
      </c>
      <c r="N6101" s="17">
        <v>1</v>
      </c>
      <c r="O6101" s="18">
        <v>922.78</v>
      </c>
      <c r="P6101" s="18">
        <v>756.38</v>
      </c>
      <c r="Q6101" s="18">
        <v>802.82</v>
      </c>
      <c r="R6101" s="18">
        <v>658.05</v>
      </c>
      <c r="S6101" s="18">
        <v>627.49</v>
      </c>
      <c r="T6101" s="18">
        <v>514.34</v>
      </c>
      <c r="U6101" s="16"/>
      <c r="V6101" s="16"/>
      <c r="W6101" s="16" t="s">
        <v>40</v>
      </c>
      <c r="X6101" s="19">
        <v>0.48199999999999998</v>
      </c>
      <c r="Y6101" s="20">
        <v>6.1799999999999995E-4</v>
      </c>
      <c r="Z6101" s="21">
        <v>4601004061361</v>
      </c>
    </row>
    <row r="6102" spans="1:26" ht="12" customHeight="1" outlineLevel="4" x14ac:dyDescent="0.2">
      <c r="A6102" s="14" t="s">
        <v>11790</v>
      </c>
      <c r="B6102" s="26" t="s">
        <v>11791</v>
      </c>
      <c r="C6102" s="52"/>
      <c r="D6102" s="55">
        <f t="shared" si="95"/>
        <v>0</v>
      </c>
      <c r="E6102" s="63" t="str">
        <f>HYPERLINK("https://www.sds-group.ru/product/styazhka-kabelnaya-stalnaya-304-520x4-6mm-50-sht-up-rexant-07-0528/", "Инфо")</f>
        <v>Инфо</v>
      </c>
      <c r="F6102" s="16" t="s">
        <v>1001</v>
      </c>
      <c r="G6102" s="15"/>
      <c r="H6102" s="15"/>
      <c r="I6102" s="15"/>
      <c r="J6102" s="22">
        <v>1173</v>
      </c>
      <c r="K6102" s="15" t="s">
        <v>4926</v>
      </c>
      <c r="L6102" s="17">
        <v>1</v>
      </c>
      <c r="M6102" s="17">
        <v>60</v>
      </c>
      <c r="N6102" s="17">
        <v>1</v>
      </c>
      <c r="O6102" s="18">
        <v>787.45</v>
      </c>
      <c r="P6102" s="18">
        <v>645.45000000000005</v>
      </c>
      <c r="Q6102" s="18">
        <v>685.08</v>
      </c>
      <c r="R6102" s="18">
        <v>561.54</v>
      </c>
      <c r="S6102" s="18">
        <v>535.47</v>
      </c>
      <c r="T6102" s="18">
        <v>438.91</v>
      </c>
      <c r="U6102" s="16"/>
      <c r="V6102" s="16"/>
      <c r="W6102" s="16" t="s">
        <v>40</v>
      </c>
      <c r="X6102" s="19">
        <v>0.26200000000000001</v>
      </c>
      <c r="Y6102" s="20">
        <v>3.9300000000000001E-4</v>
      </c>
      <c r="Z6102" s="21">
        <v>4610003603342</v>
      </c>
    </row>
    <row r="6103" spans="1:26" ht="12" customHeight="1" outlineLevel="4" x14ac:dyDescent="0.2">
      <c r="A6103" s="14" t="s">
        <v>11792</v>
      </c>
      <c r="B6103" s="26" t="s">
        <v>11793</v>
      </c>
      <c r="C6103" s="52"/>
      <c r="D6103" s="55">
        <f t="shared" si="95"/>
        <v>0</v>
      </c>
      <c r="E6103" s="63" t="str">
        <f>HYPERLINK("https://www.sds-group.ru/product/styazhka-kabelnaya-stalnaya-304-600x7-9mm-50-sht-up-rexant-07-0609/", "Инфо")</f>
        <v>Инфо</v>
      </c>
      <c r="F6103" s="16" t="s">
        <v>1001</v>
      </c>
      <c r="G6103" s="15"/>
      <c r="H6103" s="15"/>
      <c r="I6103" s="15"/>
      <c r="J6103" s="22">
        <v>1112</v>
      </c>
      <c r="K6103" s="15" t="s">
        <v>979</v>
      </c>
      <c r="L6103" s="17">
        <v>1</v>
      </c>
      <c r="M6103" s="17">
        <v>60</v>
      </c>
      <c r="N6103" s="17">
        <v>1</v>
      </c>
      <c r="O6103" s="18">
        <v>1514.74</v>
      </c>
      <c r="P6103" s="18">
        <v>1241.5899999999999</v>
      </c>
      <c r="Q6103" s="18">
        <v>1317.82</v>
      </c>
      <c r="R6103" s="18">
        <v>1080.18</v>
      </c>
      <c r="S6103" s="18">
        <v>1030.02</v>
      </c>
      <c r="T6103" s="18">
        <v>844.28</v>
      </c>
      <c r="U6103" s="16"/>
      <c r="V6103" s="16"/>
      <c r="W6103" s="16" t="s">
        <v>40</v>
      </c>
      <c r="X6103" s="19">
        <v>0.57799999999999996</v>
      </c>
      <c r="Y6103" s="20">
        <v>5.1999999999999995E-4</v>
      </c>
      <c r="Z6103" s="21">
        <v>4601004061354</v>
      </c>
    </row>
    <row r="6104" spans="1:26" ht="12.95" customHeight="1" outlineLevel="3" x14ac:dyDescent="0.2">
      <c r="A6104" s="76" t="s">
        <v>11794</v>
      </c>
      <c r="B6104" s="76"/>
      <c r="C6104" s="77"/>
      <c r="D6104" s="58"/>
      <c r="E6104" s="68"/>
      <c r="F6104" s="13"/>
      <c r="G6104" s="13"/>
      <c r="H6104" s="13"/>
      <c r="I6104" s="13"/>
      <c r="J6104" s="13"/>
      <c r="K6104" s="13"/>
      <c r="L6104" s="13"/>
      <c r="M6104" s="13"/>
      <c r="N6104" s="13"/>
      <c r="O6104" s="13"/>
      <c r="P6104" s="13"/>
      <c r="Q6104" s="13"/>
      <c r="R6104" s="13"/>
      <c r="S6104" s="13"/>
      <c r="T6104" s="13"/>
      <c r="U6104" s="13"/>
      <c r="V6104" s="13"/>
      <c r="W6104" s="13"/>
      <c r="X6104" s="13"/>
      <c r="Y6104" s="13"/>
      <c r="Z6104" s="13"/>
    </row>
    <row r="6105" spans="1:26" ht="12" customHeight="1" outlineLevel="4" x14ac:dyDescent="0.2">
      <c r="A6105" s="14" t="s">
        <v>11795</v>
      </c>
      <c r="B6105" s="26" t="s">
        <v>11796</v>
      </c>
      <c r="C6105" s="52"/>
      <c r="D6105" s="55">
        <f t="shared" si="95"/>
        <v>0</v>
      </c>
      <c r="E6105" s="63" t="str">
        <f>HYPERLINK("https://www.sds-group.ru/product/styazhka-kabelnaya-stalnaya-304-s-polimernym-pokrytiem-152x4-6mm-50-sht-up-rexant-07-0158-5/", "Инфо")</f>
        <v>Инфо</v>
      </c>
      <c r="F6105" s="16" t="s">
        <v>1001</v>
      </c>
      <c r="G6105" s="15"/>
      <c r="H6105" s="15"/>
      <c r="I6105" s="15"/>
      <c r="J6105" s="22">
        <v>2055</v>
      </c>
      <c r="K6105" s="15" t="s">
        <v>4926</v>
      </c>
      <c r="L6105" s="17">
        <v>5</v>
      </c>
      <c r="M6105" s="17">
        <v>150</v>
      </c>
      <c r="N6105" s="17">
        <v>5</v>
      </c>
      <c r="O6105" s="18">
        <v>519.4</v>
      </c>
      <c r="P6105" s="18">
        <v>425.74</v>
      </c>
      <c r="Q6105" s="18">
        <v>451.88</v>
      </c>
      <c r="R6105" s="18">
        <v>370.39</v>
      </c>
      <c r="S6105" s="18">
        <v>353.19</v>
      </c>
      <c r="T6105" s="18">
        <v>289.5</v>
      </c>
      <c r="U6105" s="16"/>
      <c r="V6105" s="16"/>
      <c r="W6105" s="16" t="s">
        <v>40</v>
      </c>
      <c r="X6105" s="19">
        <v>0.114</v>
      </c>
      <c r="Y6105" s="20">
        <v>1.45E-4</v>
      </c>
      <c r="Z6105" s="21">
        <v>4601004061453</v>
      </c>
    </row>
    <row r="6106" spans="1:26" ht="12" customHeight="1" outlineLevel="4" x14ac:dyDescent="0.2">
      <c r="A6106" s="14" t="s">
        <v>11797</v>
      </c>
      <c r="B6106" s="26" t="s">
        <v>11798</v>
      </c>
      <c r="C6106" s="52"/>
      <c r="D6106" s="55">
        <f t="shared" si="95"/>
        <v>0</v>
      </c>
      <c r="E6106" s="63" t="str">
        <f>HYPERLINK("https://www.sds-group.ru/product/styazhka-kabelnaya-stalnaya-304-s-polimernym-pokrytiem-200x4-6mm-50-sht-up-rexant-07-0208-5/", "Инфо")</f>
        <v>Инфо</v>
      </c>
      <c r="F6106" s="16" t="s">
        <v>1001</v>
      </c>
      <c r="G6106" s="15"/>
      <c r="H6106" s="15"/>
      <c r="I6106" s="15"/>
      <c r="J6106" s="22">
        <v>1330</v>
      </c>
      <c r="K6106" s="15" t="s">
        <v>4926</v>
      </c>
      <c r="L6106" s="17">
        <v>5</v>
      </c>
      <c r="M6106" s="17">
        <v>100</v>
      </c>
      <c r="N6106" s="17">
        <v>5</v>
      </c>
      <c r="O6106" s="18">
        <v>595.72</v>
      </c>
      <c r="P6106" s="18">
        <v>488.3</v>
      </c>
      <c r="Q6106" s="18">
        <v>518.28</v>
      </c>
      <c r="R6106" s="18">
        <v>424.82</v>
      </c>
      <c r="S6106" s="18">
        <v>405.09</v>
      </c>
      <c r="T6106" s="18">
        <v>332.04</v>
      </c>
      <c r="U6106" s="16"/>
      <c r="V6106" s="16"/>
      <c r="W6106" s="16" t="s">
        <v>40</v>
      </c>
      <c r="X6106" s="19">
        <v>0.13200000000000001</v>
      </c>
      <c r="Y6106" s="20">
        <v>1.4300000000000001E-4</v>
      </c>
      <c r="Z6106" s="21">
        <v>4601004061460</v>
      </c>
    </row>
    <row r="6107" spans="1:26" ht="12" customHeight="1" outlineLevel="4" x14ac:dyDescent="0.2">
      <c r="A6107" s="14" t="s">
        <v>11799</v>
      </c>
      <c r="B6107" s="26" t="s">
        <v>11800</v>
      </c>
      <c r="C6107" s="52"/>
      <c r="D6107" s="55">
        <f t="shared" si="95"/>
        <v>0</v>
      </c>
      <c r="E6107" s="63" t="str">
        <f>HYPERLINK("https://www.sds-group.ru/product/styazhka-kabelnaya-stalnaya-304-s-polimernym-pokrytiem-300x4-6mm-50-sht-up-rexant-07-0308-5/", "Инфо")</f>
        <v>Инфо</v>
      </c>
      <c r="F6107" s="16" t="s">
        <v>1001</v>
      </c>
      <c r="G6107" s="15"/>
      <c r="H6107" s="15"/>
      <c r="I6107" s="15"/>
      <c r="J6107" s="17">
        <v>904</v>
      </c>
      <c r="K6107" s="15" t="s">
        <v>4926</v>
      </c>
      <c r="L6107" s="17">
        <v>1</v>
      </c>
      <c r="M6107" s="17">
        <v>100</v>
      </c>
      <c r="N6107" s="17">
        <v>1</v>
      </c>
      <c r="O6107" s="18">
        <v>756.84</v>
      </c>
      <c r="P6107" s="18">
        <v>620.36</v>
      </c>
      <c r="Q6107" s="18">
        <v>658.45</v>
      </c>
      <c r="R6107" s="18">
        <v>539.71</v>
      </c>
      <c r="S6107" s="18">
        <v>514.65</v>
      </c>
      <c r="T6107" s="18">
        <v>421.84</v>
      </c>
      <c r="U6107" s="16"/>
      <c r="V6107" s="16"/>
      <c r="W6107" s="16" t="s">
        <v>40</v>
      </c>
      <c r="X6107" s="19">
        <v>0.182</v>
      </c>
      <c r="Y6107" s="20">
        <v>2.1000000000000001E-4</v>
      </c>
      <c r="Z6107" s="21">
        <v>4601004061477</v>
      </c>
    </row>
    <row r="6108" spans="1:26" ht="12" customHeight="1" outlineLevel="4" x14ac:dyDescent="0.2">
      <c r="A6108" s="14" t="s">
        <v>11801</v>
      </c>
      <c r="B6108" s="26" t="s">
        <v>11802</v>
      </c>
      <c r="C6108" s="52"/>
      <c r="D6108" s="55">
        <f t="shared" si="95"/>
        <v>0</v>
      </c>
      <c r="E6108" s="63" t="str">
        <f>HYPERLINK("https://www.sds-group.ru/product/styazhka-kabelnaya-stalnaya-304-s-polimernym-pokrytiem-400x4-6mm-50-sht-up-rexant-07-0428-5/", "Инфо")</f>
        <v>Инфо</v>
      </c>
      <c r="F6108" s="16" t="s">
        <v>1001</v>
      </c>
      <c r="G6108" s="15"/>
      <c r="H6108" s="15"/>
      <c r="I6108" s="15"/>
      <c r="J6108" s="22">
        <v>2492</v>
      </c>
      <c r="K6108" s="15"/>
      <c r="L6108" s="17">
        <v>1</v>
      </c>
      <c r="M6108" s="17">
        <v>100</v>
      </c>
      <c r="N6108" s="17">
        <v>1</v>
      </c>
      <c r="O6108" s="18">
        <v>901</v>
      </c>
      <c r="P6108" s="18">
        <v>738.52</v>
      </c>
      <c r="Q6108" s="18">
        <v>783.87</v>
      </c>
      <c r="R6108" s="18">
        <v>642.52</v>
      </c>
      <c r="S6108" s="18">
        <v>612.67999999999995</v>
      </c>
      <c r="T6108" s="18">
        <v>502.2</v>
      </c>
      <c r="U6108" s="16"/>
      <c r="V6108" s="16"/>
      <c r="W6108" s="16" t="s">
        <v>40</v>
      </c>
      <c r="X6108" s="19">
        <v>0.23100000000000001</v>
      </c>
      <c r="Y6108" s="20">
        <v>2.12E-4</v>
      </c>
      <c r="Z6108" s="21">
        <v>4601004061484</v>
      </c>
    </row>
    <row r="6109" spans="1:26" ht="12.95" customHeight="1" outlineLevel="3" x14ac:dyDescent="0.2">
      <c r="A6109" s="76" t="s">
        <v>11803</v>
      </c>
      <c r="B6109" s="76"/>
      <c r="C6109" s="77"/>
      <c r="D6109" s="58"/>
      <c r="E6109" s="68"/>
      <c r="F6109" s="13"/>
      <c r="G6109" s="13"/>
      <c r="H6109" s="13"/>
      <c r="I6109" s="13"/>
      <c r="J6109" s="13"/>
      <c r="K6109" s="13"/>
      <c r="L6109" s="13"/>
      <c r="M6109" s="13"/>
      <c r="N6109" s="13"/>
      <c r="O6109" s="13"/>
      <c r="P6109" s="13"/>
      <c r="Q6109" s="13"/>
      <c r="R6109" s="13"/>
      <c r="S6109" s="13"/>
      <c r="T6109" s="13"/>
      <c r="U6109" s="13"/>
      <c r="V6109" s="13"/>
      <c r="W6109" s="13"/>
      <c r="X6109" s="13"/>
      <c r="Y6109" s="13"/>
      <c r="Z6109" s="13"/>
    </row>
    <row r="6110" spans="1:26" ht="12" customHeight="1" outlineLevel="4" x14ac:dyDescent="0.2">
      <c r="A6110" s="40" t="s">
        <v>11804</v>
      </c>
      <c r="B6110" s="75" t="s">
        <v>11805</v>
      </c>
      <c r="C6110" s="51"/>
      <c r="D6110" s="54">
        <f t="shared" si="95"/>
        <v>0</v>
      </c>
      <c r="E6110" s="61" t="str">
        <f>HYPERLINK("https://www.sds-group.ru/product/lenta-stalnaya-rulonnaya-aisi-201-v-kassete-25m-rexant-07-1401/", "Инфо")</f>
        <v>Инфо</v>
      </c>
      <c r="F6110" s="42" t="s">
        <v>39</v>
      </c>
      <c r="G6110" s="41" t="s">
        <v>40</v>
      </c>
      <c r="H6110" s="41"/>
      <c r="I6110" s="41"/>
      <c r="J6110" s="43">
        <v>573</v>
      </c>
      <c r="K6110" s="41"/>
      <c r="L6110" s="43">
        <v>1</v>
      </c>
      <c r="M6110" s="43">
        <v>5</v>
      </c>
      <c r="N6110" s="43">
        <v>1</v>
      </c>
      <c r="O6110" s="44">
        <v>2370.56</v>
      </c>
      <c r="P6110" s="44">
        <v>1943.08</v>
      </c>
      <c r="Q6110" s="44">
        <v>2204.62</v>
      </c>
      <c r="R6110" s="44">
        <v>1807.07</v>
      </c>
      <c r="S6110" s="44">
        <v>1611.98</v>
      </c>
      <c r="T6110" s="44">
        <v>1321.3</v>
      </c>
      <c r="U6110" s="42"/>
      <c r="V6110" s="42"/>
      <c r="W6110" s="42" t="s">
        <v>40</v>
      </c>
      <c r="X6110" s="45">
        <v>2.843</v>
      </c>
      <c r="Y6110" s="46">
        <v>3.225E-3</v>
      </c>
      <c r="Z6110" s="21">
        <v>4601004339064</v>
      </c>
    </row>
    <row r="6111" spans="1:26" ht="12" customHeight="1" outlineLevel="4" x14ac:dyDescent="0.2">
      <c r="A6111" s="40" t="s">
        <v>11806</v>
      </c>
      <c r="B6111" s="75" t="s">
        <v>11807</v>
      </c>
      <c r="C6111" s="51"/>
      <c r="D6111" s="54">
        <f t="shared" si="95"/>
        <v>0</v>
      </c>
      <c r="E6111" s="61" t="str">
        <f>HYPERLINK("https://www.sds-group.ru/product/lenta-stalnaya-rulonnaya-aisi-201-v-kassete-50m-rexant-07-1400/", "Инфо")</f>
        <v>Инфо</v>
      </c>
      <c r="F6111" s="42" t="s">
        <v>39</v>
      </c>
      <c r="G6111" s="41" t="s">
        <v>40</v>
      </c>
      <c r="H6111" s="41"/>
      <c r="I6111" s="41"/>
      <c r="J6111" s="43">
        <v>436</v>
      </c>
      <c r="K6111" s="41"/>
      <c r="L6111" s="43">
        <v>1</v>
      </c>
      <c r="M6111" s="43">
        <v>5</v>
      </c>
      <c r="N6111" s="43">
        <v>1</v>
      </c>
      <c r="O6111" s="44">
        <v>3950.95</v>
      </c>
      <c r="P6111" s="44">
        <v>3238.48</v>
      </c>
      <c r="Q6111" s="44">
        <v>3674.38</v>
      </c>
      <c r="R6111" s="44">
        <v>3011.79</v>
      </c>
      <c r="S6111" s="44">
        <v>2686.65</v>
      </c>
      <c r="T6111" s="44">
        <v>2202.17</v>
      </c>
      <c r="U6111" s="42"/>
      <c r="V6111" s="42"/>
      <c r="W6111" s="42" t="s">
        <v>40</v>
      </c>
      <c r="X6111" s="45">
        <v>5.3550000000000004</v>
      </c>
      <c r="Y6111" s="46">
        <v>3.2200000000000002E-3</v>
      </c>
      <c r="Z6111" s="21">
        <v>4601004339057</v>
      </c>
    </row>
    <row r="6112" spans="1:26" ht="12" customHeight="1" outlineLevel="4" x14ac:dyDescent="0.2">
      <c r="A6112" s="40" t="s">
        <v>11808</v>
      </c>
      <c r="B6112" s="75" t="s">
        <v>11809</v>
      </c>
      <c r="C6112" s="51"/>
      <c r="D6112" s="54">
        <f t="shared" si="95"/>
        <v>0</v>
      </c>
      <c r="E6112" s="61" t="str">
        <f>HYPERLINK("https://www.sds-group.ru/product/lenta-stalnaya-rulonnaya-aisi-304-v-kassete-25m-rexant-07-1403/", "Инфо")</f>
        <v>Инфо</v>
      </c>
      <c r="F6112" s="42" t="s">
        <v>39</v>
      </c>
      <c r="G6112" s="41" t="s">
        <v>40</v>
      </c>
      <c r="H6112" s="41"/>
      <c r="I6112" s="41"/>
      <c r="J6112" s="47">
        <v>1305</v>
      </c>
      <c r="K6112" s="41"/>
      <c r="L6112" s="43">
        <v>1</v>
      </c>
      <c r="M6112" s="43">
        <v>5</v>
      </c>
      <c r="N6112" s="43">
        <v>1</v>
      </c>
      <c r="O6112" s="44">
        <v>2904.19</v>
      </c>
      <c r="P6112" s="44">
        <v>2380.48</v>
      </c>
      <c r="Q6112" s="44">
        <v>2700.9</v>
      </c>
      <c r="R6112" s="44">
        <v>2213.85</v>
      </c>
      <c r="S6112" s="44">
        <v>1974.85</v>
      </c>
      <c r="T6112" s="44">
        <v>1618.73</v>
      </c>
      <c r="U6112" s="42"/>
      <c r="V6112" s="42"/>
      <c r="W6112" s="42" t="s">
        <v>40</v>
      </c>
      <c r="X6112" s="45">
        <v>2.851</v>
      </c>
      <c r="Y6112" s="46">
        <v>3.1449999999999998E-3</v>
      </c>
      <c r="Z6112" s="21">
        <v>4601004339071</v>
      </c>
    </row>
    <row r="6113" spans="1:26" ht="12.95" customHeight="1" outlineLevel="3" x14ac:dyDescent="0.2">
      <c r="A6113" s="76" t="s">
        <v>11810</v>
      </c>
      <c r="B6113" s="76"/>
      <c r="C6113" s="77"/>
      <c r="D6113" s="58"/>
      <c r="E6113" s="68"/>
      <c r="F6113" s="13"/>
      <c r="G6113" s="13"/>
      <c r="H6113" s="13"/>
      <c r="I6113" s="13"/>
      <c r="J6113" s="13"/>
      <c r="K6113" s="13"/>
      <c r="L6113" s="13"/>
      <c r="M6113" s="13"/>
      <c r="N6113" s="13"/>
      <c r="O6113" s="13"/>
      <c r="P6113" s="13"/>
      <c r="Q6113" s="13"/>
      <c r="R6113" s="13"/>
      <c r="S6113" s="13"/>
      <c r="T6113" s="13"/>
      <c r="U6113" s="13"/>
      <c r="V6113" s="13"/>
      <c r="W6113" s="13"/>
      <c r="X6113" s="13"/>
      <c r="Y6113" s="13"/>
      <c r="Z6113" s="13"/>
    </row>
    <row r="6114" spans="1:26" ht="12" customHeight="1" outlineLevel="4" x14ac:dyDescent="0.2">
      <c r="A6114" s="40" t="s">
        <v>11811</v>
      </c>
      <c r="B6114" s="75" t="s">
        <v>11812</v>
      </c>
      <c r="C6114" s="51"/>
      <c r="D6114" s="54">
        <f t="shared" si="95"/>
        <v>0</v>
      </c>
      <c r="E6114" s="61" t="str">
        <f>HYPERLINK("https://www.sds-group.ru/product/bugel-aisi-201-20-100-sht-up-rexant-07-1501/", "Инфо")</f>
        <v>Инфо</v>
      </c>
      <c r="F6114" s="42" t="s">
        <v>1001</v>
      </c>
      <c r="G6114" s="41" t="s">
        <v>40</v>
      </c>
      <c r="H6114" s="41"/>
      <c r="I6114" s="41"/>
      <c r="J6114" s="47">
        <v>1008</v>
      </c>
      <c r="K6114" s="41"/>
      <c r="L6114" s="43">
        <v>1</v>
      </c>
      <c r="M6114" s="43">
        <v>20</v>
      </c>
      <c r="N6114" s="43">
        <v>1</v>
      </c>
      <c r="O6114" s="44">
        <v>1497.37</v>
      </c>
      <c r="P6114" s="44">
        <v>1227.3499999999999</v>
      </c>
      <c r="Q6114" s="44">
        <v>1392.55</v>
      </c>
      <c r="R6114" s="44">
        <v>1141.43</v>
      </c>
      <c r="S6114" s="44">
        <v>1018.21</v>
      </c>
      <c r="T6114" s="44">
        <v>834.6</v>
      </c>
      <c r="U6114" s="42"/>
      <c r="V6114" s="42"/>
      <c r="W6114" s="42" t="s">
        <v>40</v>
      </c>
      <c r="X6114" s="45">
        <v>1.204</v>
      </c>
      <c r="Y6114" s="46">
        <v>1.377E-3</v>
      </c>
      <c r="Z6114" s="21">
        <v>4601004342095</v>
      </c>
    </row>
    <row r="6115" spans="1:26" ht="12" customHeight="1" outlineLevel="4" x14ac:dyDescent="0.2">
      <c r="A6115" s="40" t="s">
        <v>11813</v>
      </c>
      <c r="B6115" s="75" t="s">
        <v>11814</v>
      </c>
      <c r="C6115" s="51"/>
      <c r="D6115" s="54">
        <f t="shared" si="95"/>
        <v>0</v>
      </c>
      <c r="E6115" s="61" t="str">
        <f>HYPERLINK("https://www.sds-group.ru/product/bugel-aisi-304-20-100-sht-up-rexant-07-1503/", "Инфо")</f>
        <v>Инфо</v>
      </c>
      <c r="F6115" s="42" t="s">
        <v>1001</v>
      </c>
      <c r="G6115" s="41" t="s">
        <v>40</v>
      </c>
      <c r="H6115" s="41"/>
      <c r="I6115" s="41"/>
      <c r="J6115" s="43">
        <v>531</v>
      </c>
      <c r="K6115" s="41"/>
      <c r="L6115" s="43">
        <v>1</v>
      </c>
      <c r="M6115" s="43">
        <v>20</v>
      </c>
      <c r="N6115" s="43">
        <v>1</v>
      </c>
      <c r="O6115" s="44">
        <v>2030.99</v>
      </c>
      <c r="P6115" s="44">
        <v>1664.75</v>
      </c>
      <c r="Q6115" s="44">
        <v>1888.82</v>
      </c>
      <c r="R6115" s="44">
        <v>1548.21</v>
      </c>
      <c r="S6115" s="44">
        <v>1381.07</v>
      </c>
      <c r="T6115" s="44">
        <v>1132.02</v>
      </c>
      <c r="U6115" s="42"/>
      <c r="V6115" s="42"/>
      <c r="W6115" s="42" t="s">
        <v>40</v>
      </c>
      <c r="X6115" s="45">
        <v>1.208</v>
      </c>
      <c r="Y6115" s="46">
        <v>1.3749999999999999E-3</v>
      </c>
      <c r="Z6115" s="21">
        <v>4601004342118</v>
      </c>
    </row>
    <row r="6116" spans="1:26" ht="12" customHeight="1" outlineLevel="4" x14ac:dyDescent="0.2">
      <c r="A6116" s="40" t="s">
        <v>11815</v>
      </c>
      <c r="B6116" s="75" t="s">
        <v>11816</v>
      </c>
      <c r="C6116" s="51"/>
      <c r="D6116" s="54">
        <f t="shared" si="95"/>
        <v>0</v>
      </c>
      <c r="E6116" s="61" t="str">
        <f>HYPERLINK("https://www.sds-group.ru/product/skrepa-bandazhnaya-aisi-304-20-100-sht-up-rexant-07-1502/", "Инфо")</f>
        <v>Инфо</v>
      </c>
      <c r="F6116" s="42" t="s">
        <v>1001</v>
      </c>
      <c r="G6116" s="41" t="s">
        <v>40</v>
      </c>
      <c r="H6116" s="41"/>
      <c r="I6116" s="41"/>
      <c r="J6116" s="43">
        <v>586</v>
      </c>
      <c r="K6116" s="41"/>
      <c r="L6116" s="43">
        <v>1</v>
      </c>
      <c r="M6116" s="43">
        <v>15</v>
      </c>
      <c r="N6116" s="43">
        <v>1</v>
      </c>
      <c r="O6116" s="44">
        <v>1962</v>
      </c>
      <c r="P6116" s="44">
        <v>1608.2</v>
      </c>
      <c r="Q6116" s="44">
        <v>1824.66</v>
      </c>
      <c r="R6116" s="44">
        <v>1495.62</v>
      </c>
      <c r="S6116" s="44">
        <v>1334.16</v>
      </c>
      <c r="T6116" s="44">
        <v>1093.57</v>
      </c>
      <c r="U6116" s="42"/>
      <c r="V6116" s="42"/>
      <c r="W6116" s="42" t="s">
        <v>40</v>
      </c>
      <c r="X6116" s="45">
        <v>0.61299999999999999</v>
      </c>
      <c r="Y6116" s="46">
        <v>1.145E-3</v>
      </c>
      <c r="Z6116" s="21">
        <v>4601004342101</v>
      </c>
    </row>
    <row r="6117" spans="1:26" ht="12.95" customHeight="1" outlineLevel="2" x14ac:dyDescent="0.2">
      <c r="A6117" s="76" t="s">
        <v>11817</v>
      </c>
      <c r="B6117" s="76"/>
      <c r="C6117" s="77"/>
      <c r="D6117" s="58"/>
      <c r="E6117" s="68"/>
      <c r="F6117" s="13"/>
      <c r="G6117" s="13"/>
      <c r="H6117" s="13"/>
      <c r="I6117" s="13"/>
      <c r="J6117" s="13"/>
      <c r="K6117" s="13"/>
      <c r="L6117" s="13"/>
      <c r="M6117" s="13"/>
      <c r="N6117" s="13"/>
      <c r="O6117" s="13"/>
      <c r="P6117" s="13"/>
      <c r="Q6117" s="13"/>
      <c r="R6117" s="13"/>
      <c r="S6117" s="13"/>
      <c r="T6117" s="13"/>
      <c r="U6117" s="13"/>
      <c r="V6117" s="13"/>
      <c r="W6117" s="13"/>
      <c r="X6117" s="13"/>
      <c r="Y6117" s="13"/>
      <c r="Z6117" s="13"/>
    </row>
    <row r="6118" spans="1:26" ht="12.95" customHeight="1" outlineLevel="3" x14ac:dyDescent="0.2">
      <c r="A6118" s="76" t="s">
        <v>11818</v>
      </c>
      <c r="B6118" s="76"/>
      <c r="C6118" s="77"/>
      <c r="D6118" s="58"/>
      <c r="E6118" s="68"/>
      <c r="F6118" s="13"/>
      <c r="G6118" s="13"/>
      <c r="H6118" s="13"/>
      <c r="I6118" s="13"/>
      <c r="J6118" s="13"/>
      <c r="K6118" s="13"/>
      <c r="L6118" s="13"/>
      <c r="M6118" s="13"/>
      <c r="N6118" s="13"/>
      <c r="O6118" s="13"/>
      <c r="P6118" s="13"/>
      <c r="Q6118" s="13"/>
      <c r="R6118" s="13"/>
      <c r="S6118" s="13"/>
      <c r="T6118" s="13"/>
      <c r="U6118" s="13"/>
      <c r="V6118" s="13"/>
      <c r="W6118" s="13"/>
      <c r="X6118" s="13"/>
      <c r="Y6118" s="13"/>
      <c r="Z6118" s="13"/>
    </row>
    <row r="6119" spans="1:26" ht="12" customHeight="1" outlineLevel="4" x14ac:dyDescent="0.2">
      <c r="A6119" s="14" t="s">
        <v>11819</v>
      </c>
      <c r="B6119" s="26" t="s">
        <v>11820</v>
      </c>
      <c r="C6119" s="52"/>
      <c r="D6119" s="55">
        <f t="shared" si="95"/>
        <v>0</v>
      </c>
      <c r="E6119" s="63" t="str">
        <f>HYPERLINK("https://www.sds-group.ru/product/homut-chervyachnyy-8-12-0-7-mm-upak-50-sht-rexant-07-0608/", "Инфо")</f>
        <v>Инфо</v>
      </c>
      <c r="F6119" s="16" t="s">
        <v>39</v>
      </c>
      <c r="G6119" s="15"/>
      <c r="H6119" s="15"/>
      <c r="I6119" s="15"/>
      <c r="J6119" s="22">
        <v>9800</v>
      </c>
      <c r="K6119" s="15" t="s">
        <v>979</v>
      </c>
      <c r="L6119" s="17">
        <v>50</v>
      </c>
      <c r="M6119" s="17">
        <v>500</v>
      </c>
      <c r="N6119" s="17">
        <v>50</v>
      </c>
      <c r="O6119" s="18">
        <v>20.73</v>
      </c>
      <c r="P6119" s="18">
        <v>16.989999999999998</v>
      </c>
      <c r="Q6119" s="18">
        <v>19.28</v>
      </c>
      <c r="R6119" s="18">
        <v>15.8</v>
      </c>
      <c r="S6119" s="18">
        <v>14.1</v>
      </c>
      <c r="T6119" s="18">
        <v>11.56</v>
      </c>
      <c r="U6119" s="16"/>
      <c r="V6119" s="16"/>
      <c r="W6119" s="16" t="s">
        <v>40</v>
      </c>
      <c r="X6119" s="19">
        <v>1.2E-2</v>
      </c>
      <c r="Y6119" s="20">
        <v>9.0000000000000002E-6</v>
      </c>
      <c r="Z6119" s="21">
        <v>4601004050891</v>
      </c>
    </row>
    <row r="6120" spans="1:26" ht="12" customHeight="1" outlineLevel="4" x14ac:dyDescent="0.2">
      <c r="A6120" s="32" t="s">
        <v>11821</v>
      </c>
      <c r="B6120" s="74" t="s">
        <v>11822</v>
      </c>
      <c r="C6120" s="50"/>
      <c r="D6120" s="53">
        <f t="shared" si="95"/>
        <v>0</v>
      </c>
      <c r="E6120" s="60" t="str">
        <f>HYPERLINK("https://www.sds-group.ru/product/homut-chervyachnyy-10-16-0-7-mm-upak-2-sht-proconnect-07-0610-8/", "Инфо")</f>
        <v>Инфо</v>
      </c>
      <c r="F6120" s="34" t="s">
        <v>1001</v>
      </c>
      <c r="G6120" s="33"/>
      <c r="H6120" s="33" t="s">
        <v>40</v>
      </c>
      <c r="I6120" s="33"/>
      <c r="J6120" s="35">
        <v>2</v>
      </c>
      <c r="K6120" s="33"/>
      <c r="L6120" s="35">
        <v>1</v>
      </c>
      <c r="M6120" s="35">
        <v>100</v>
      </c>
      <c r="N6120" s="35">
        <v>1</v>
      </c>
      <c r="O6120" s="36">
        <v>79.78</v>
      </c>
      <c r="P6120" s="36">
        <v>65.39</v>
      </c>
      <c r="Q6120" s="36">
        <v>74.2</v>
      </c>
      <c r="R6120" s="36">
        <v>60.82</v>
      </c>
      <c r="S6120" s="36">
        <v>54.25</v>
      </c>
      <c r="T6120" s="36">
        <v>44.47</v>
      </c>
      <c r="U6120" s="34"/>
      <c r="V6120" s="34"/>
      <c r="W6120" s="34" t="s">
        <v>40</v>
      </c>
      <c r="X6120" s="37">
        <v>2.4E-2</v>
      </c>
      <c r="Y6120" s="38">
        <v>1.74E-4</v>
      </c>
      <c r="Z6120" s="21">
        <v>4601004075405</v>
      </c>
    </row>
    <row r="6121" spans="1:26" ht="12" customHeight="1" outlineLevel="4" x14ac:dyDescent="0.2">
      <c r="A6121" s="14" t="s">
        <v>11823</v>
      </c>
      <c r="B6121" s="26" t="s">
        <v>11824</v>
      </c>
      <c r="C6121" s="52"/>
      <c r="D6121" s="55">
        <f t="shared" si="95"/>
        <v>0</v>
      </c>
      <c r="E6121" s="63" t="str">
        <f>HYPERLINK("https://www.sds-group.ru/product/homut-chervyachnyy-10-16-0-7-mm-upak-50-sht-rexant-07-0610/", "Инфо")</f>
        <v>Инфо</v>
      </c>
      <c r="F6121" s="16" t="s">
        <v>39</v>
      </c>
      <c r="G6121" s="15"/>
      <c r="H6121" s="15"/>
      <c r="I6121" s="15"/>
      <c r="J6121" s="22">
        <v>7400</v>
      </c>
      <c r="K6121" s="15" t="s">
        <v>4926</v>
      </c>
      <c r="L6121" s="17">
        <v>50</v>
      </c>
      <c r="M6121" s="22">
        <v>1000</v>
      </c>
      <c r="N6121" s="17">
        <v>50</v>
      </c>
      <c r="O6121" s="18">
        <v>20.85</v>
      </c>
      <c r="P6121" s="18">
        <v>17.09</v>
      </c>
      <c r="Q6121" s="18">
        <v>19.39</v>
      </c>
      <c r="R6121" s="18">
        <v>15.89</v>
      </c>
      <c r="S6121" s="18">
        <v>14.18</v>
      </c>
      <c r="T6121" s="18">
        <v>11.62</v>
      </c>
      <c r="U6121" s="16"/>
      <c r="V6121" s="16"/>
      <c r="W6121" s="16" t="s">
        <v>40</v>
      </c>
      <c r="X6121" s="19">
        <v>1.2E-2</v>
      </c>
      <c r="Y6121" s="20">
        <v>1.2999999999999999E-5</v>
      </c>
      <c r="Z6121" s="21">
        <v>4601004050808</v>
      </c>
    </row>
    <row r="6122" spans="1:26" ht="12" customHeight="1" outlineLevel="4" x14ac:dyDescent="0.2">
      <c r="A6122" s="32" t="s">
        <v>11825</v>
      </c>
      <c r="B6122" s="74" t="s">
        <v>11826</v>
      </c>
      <c r="C6122" s="50"/>
      <c r="D6122" s="53">
        <f t="shared" si="95"/>
        <v>0</v>
      </c>
      <c r="E6122" s="60" t="str">
        <f>HYPERLINK("https://www.sds-group.ru/product/homut-chervyachnyy-10-16-0-7-mm-s-klyuchom-w-upak-50-sht-rexant-07-0610-1/", "Инфо")</f>
        <v>Инфо</v>
      </c>
      <c r="F6122" s="34" t="s">
        <v>39</v>
      </c>
      <c r="G6122" s="33"/>
      <c r="H6122" s="33" t="s">
        <v>40</v>
      </c>
      <c r="I6122" s="33"/>
      <c r="J6122" s="35">
        <v>800</v>
      </c>
      <c r="K6122" s="33" t="s">
        <v>979</v>
      </c>
      <c r="L6122" s="35">
        <v>50</v>
      </c>
      <c r="M6122" s="35">
        <v>500</v>
      </c>
      <c r="N6122" s="35">
        <v>50</v>
      </c>
      <c r="O6122" s="36">
        <v>32.85</v>
      </c>
      <c r="P6122" s="36">
        <v>26.93</v>
      </c>
      <c r="Q6122" s="36">
        <v>30.55</v>
      </c>
      <c r="R6122" s="36">
        <v>25.04</v>
      </c>
      <c r="S6122" s="36">
        <v>22.34</v>
      </c>
      <c r="T6122" s="36">
        <v>18.309999999999999</v>
      </c>
      <c r="U6122" s="34"/>
      <c r="V6122" s="34"/>
      <c r="W6122" s="34" t="s">
        <v>40</v>
      </c>
      <c r="X6122" s="37">
        <v>1.2999999999999999E-2</v>
      </c>
      <c r="Y6122" s="38">
        <v>1.9000000000000001E-5</v>
      </c>
      <c r="Z6122" s="21">
        <v>4601004116801</v>
      </c>
    </row>
    <row r="6123" spans="1:26" ht="12" customHeight="1" outlineLevel="4" x14ac:dyDescent="0.2">
      <c r="A6123" s="14" t="s">
        <v>11827</v>
      </c>
      <c r="B6123" s="26" t="s">
        <v>11828</v>
      </c>
      <c r="C6123" s="52"/>
      <c r="D6123" s="55">
        <f t="shared" si="95"/>
        <v>0</v>
      </c>
      <c r="E6123" s="63" t="str">
        <f>HYPERLINK("https://www.sds-group.ru/product/homut-chervyachnyy-12-20-0-7-mm-upak-50-sht-rexant-07-0612/", "Инфо")</f>
        <v>Инфо</v>
      </c>
      <c r="F6123" s="16" t="s">
        <v>39</v>
      </c>
      <c r="G6123" s="15"/>
      <c r="H6123" s="15"/>
      <c r="I6123" s="15"/>
      <c r="J6123" s="22">
        <v>8000</v>
      </c>
      <c r="K6123" s="15" t="s">
        <v>4926</v>
      </c>
      <c r="L6123" s="17">
        <v>50</v>
      </c>
      <c r="M6123" s="22">
        <v>1000</v>
      </c>
      <c r="N6123" s="17">
        <v>50</v>
      </c>
      <c r="O6123" s="18">
        <v>20.92</v>
      </c>
      <c r="P6123" s="18">
        <v>17.149999999999999</v>
      </c>
      <c r="Q6123" s="18">
        <v>19.46</v>
      </c>
      <c r="R6123" s="18">
        <v>15.95</v>
      </c>
      <c r="S6123" s="18">
        <v>14.23</v>
      </c>
      <c r="T6123" s="18">
        <v>11.66</v>
      </c>
      <c r="U6123" s="16"/>
      <c r="V6123" s="16"/>
      <c r="W6123" s="16" t="s">
        <v>40</v>
      </c>
      <c r="X6123" s="19">
        <v>1.2999999999999999E-2</v>
      </c>
      <c r="Y6123" s="20">
        <v>1.2999999999999999E-5</v>
      </c>
      <c r="Z6123" s="21">
        <v>4601004050815</v>
      </c>
    </row>
    <row r="6124" spans="1:26" ht="12" customHeight="1" outlineLevel="4" x14ac:dyDescent="0.2">
      <c r="A6124" s="32" t="s">
        <v>11829</v>
      </c>
      <c r="B6124" s="74" t="s">
        <v>11830</v>
      </c>
      <c r="C6124" s="50"/>
      <c r="D6124" s="53">
        <f t="shared" si="95"/>
        <v>0</v>
      </c>
      <c r="E6124" s="60" t="str">
        <f>HYPERLINK("https://www.sds-group.ru/product/homut-chervyachnyy-16-27-0-7-mm-upak-2-sht-proconnect-07-0616-8/", "Инфо")</f>
        <v>Инфо</v>
      </c>
      <c r="F6124" s="34" t="s">
        <v>1001</v>
      </c>
      <c r="G6124" s="33"/>
      <c r="H6124" s="33" t="s">
        <v>40</v>
      </c>
      <c r="I6124" s="33"/>
      <c r="J6124" s="35">
        <v>12</v>
      </c>
      <c r="K6124" s="33"/>
      <c r="L6124" s="35">
        <v>1</v>
      </c>
      <c r="M6124" s="35">
        <v>100</v>
      </c>
      <c r="N6124" s="35">
        <v>1</v>
      </c>
      <c r="O6124" s="36">
        <v>104.02</v>
      </c>
      <c r="P6124" s="36">
        <v>85.26</v>
      </c>
      <c r="Q6124" s="36">
        <v>96.74</v>
      </c>
      <c r="R6124" s="36">
        <v>79.3</v>
      </c>
      <c r="S6124" s="36">
        <v>70.73</v>
      </c>
      <c r="T6124" s="36">
        <v>57.98</v>
      </c>
      <c r="U6124" s="34"/>
      <c r="V6124" s="34"/>
      <c r="W6124" s="34" t="s">
        <v>40</v>
      </c>
      <c r="X6124" s="37">
        <v>2.8000000000000001E-2</v>
      </c>
      <c r="Y6124" s="38">
        <v>6.6000000000000005E-5</v>
      </c>
      <c r="Z6124" s="21">
        <v>4601004075375</v>
      </c>
    </row>
    <row r="6125" spans="1:26" ht="12" customHeight="1" outlineLevel="4" x14ac:dyDescent="0.2">
      <c r="A6125" s="14" t="s">
        <v>11831</v>
      </c>
      <c r="B6125" s="26" t="s">
        <v>11832</v>
      </c>
      <c r="C6125" s="52"/>
      <c r="D6125" s="55">
        <f t="shared" si="95"/>
        <v>0</v>
      </c>
      <c r="E6125" s="63" t="str">
        <f>HYPERLINK("https://www.sds-group.ru/product/homut-chervyachnyy-16-27-0-7-mm-upak-50-sht-rexant-07-0616/", "Инфо")</f>
        <v>Инфо</v>
      </c>
      <c r="F6125" s="16" t="s">
        <v>39</v>
      </c>
      <c r="G6125" s="15"/>
      <c r="H6125" s="15"/>
      <c r="I6125" s="15"/>
      <c r="J6125" s="17">
        <v>700</v>
      </c>
      <c r="K6125" s="15" t="s">
        <v>4926</v>
      </c>
      <c r="L6125" s="17">
        <v>50</v>
      </c>
      <c r="M6125" s="22">
        <v>1000</v>
      </c>
      <c r="N6125" s="17">
        <v>50</v>
      </c>
      <c r="O6125" s="18">
        <v>22.15</v>
      </c>
      <c r="P6125" s="18">
        <v>18.16</v>
      </c>
      <c r="Q6125" s="18">
        <v>20.6</v>
      </c>
      <c r="R6125" s="18">
        <v>16.89</v>
      </c>
      <c r="S6125" s="18">
        <v>15.06</v>
      </c>
      <c r="T6125" s="18">
        <v>12.34</v>
      </c>
      <c r="U6125" s="16"/>
      <c r="V6125" s="16"/>
      <c r="W6125" s="16" t="s">
        <v>40</v>
      </c>
      <c r="X6125" s="19">
        <v>1.4E-2</v>
      </c>
      <c r="Y6125" s="20">
        <v>1.8E-5</v>
      </c>
      <c r="Z6125" s="21">
        <v>4601004050822</v>
      </c>
    </row>
    <row r="6126" spans="1:26" ht="12" customHeight="1" outlineLevel="4" x14ac:dyDescent="0.2">
      <c r="A6126" s="14" t="s">
        <v>11833</v>
      </c>
      <c r="B6126" s="26" t="s">
        <v>11834</v>
      </c>
      <c r="C6126" s="52"/>
      <c r="D6126" s="55">
        <f t="shared" si="95"/>
        <v>0</v>
      </c>
      <c r="E6126" s="63" t="str">
        <f>HYPERLINK("https://www.sds-group.ru/product/homut-chervyachnyy-16-27-0-7-mm-s-klyuchom-w-upak-50-sht-rexant-07-0616-1/", "Инфо")</f>
        <v>Инфо</v>
      </c>
      <c r="F6126" s="16" t="s">
        <v>39</v>
      </c>
      <c r="G6126" s="15"/>
      <c r="H6126" s="15"/>
      <c r="I6126" s="15"/>
      <c r="J6126" s="22">
        <v>2550</v>
      </c>
      <c r="K6126" s="15" t="s">
        <v>979</v>
      </c>
      <c r="L6126" s="17">
        <v>50</v>
      </c>
      <c r="M6126" s="17">
        <v>500</v>
      </c>
      <c r="N6126" s="17">
        <v>50</v>
      </c>
      <c r="O6126" s="18">
        <v>32.130000000000003</v>
      </c>
      <c r="P6126" s="18">
        <v>26.34</v>
      </c>
      <c r="Q6126" s="18">
        <v>29.88</v>
      </c>
      <c r="R6126" s="18">
        <v>24.49</v>
      </c>
      <c r="S6126" s="18">
        <v>21.85</v>
      </c>
      <c r="T6126" s="18">
        <v>17.91</v>
      </c>
      <c r="U6126" s="16"/>
      <c r="V6126" s="16"/>
      <c r="W6126" s="16" t="s">
        <v>40</v>
      </c>
      <c r="X6126" s="19">
        <v>1.4999999999999999E-2</v>
      </c>
      <c r="Y6126" s="20">
        <v>2.5000000000000001E-5</v>
      </c>
      <c r="Z6126" s="21">
        <v>4601004116764</v>
      </c>
    </row>
    <row r="6127" spans="1:26" ht="12" customHeight="1" outlineLevel="4" x14ac:dyDescent="0.2">
      <c r="A6127" s="14" t="s">
        <v>11835</v>
      </c>
      <c r="B6127" s="26" t="s">
        <v>11836</v>
      </c>
      <c r="C6127" s="52"/>
      <c r="D6127" s="55">
        <f t="shared" si="95"/>
        <v>0</v>
      </c>
      <c r="E6127" s="63" t="str">
        <f>HYPERLINK("https://www.sds-group.ru/product/homut-chervyachnyy-20-32-0-7-mm-upak-50-sht-rexant-07-0620/", "Инфо")</f>
        <v>Инфо</v>
      </c>
      <c r="F6127" s="16" t="s">
        <v>39</v>
      </c>
      <c r="G6127" s="15"/>
      <c r="H6127" s="15"/>
      <c r="I6127" s="15"/>
      <c r="J6127" s="22">
        <v>4250</v>
      </c>
      <c r="K6127" s="15" t="s">
        <v>4926</v>
      </c>
      <c r="L6127" s="17">
        <v>50</v>
      </c>
      <c r="M6127" s="22">
        <v>1000</v>
      </c>
      <c r="N6127" s="17">
        <v>50</v>
      </c>
      <c r="O6127" s="18">
        <v>26.1</v>
      </c>
      <c r="P6127" s="18">
        <v>21.39</v>
      </c>
      <c r="Q6127" s="18">
        <v>24.27</v>
      </c>
      <c r="R6127" s="18">
        <v>19.89</v>
      </c>
      <c r="S6127" s="18">
        <v>17.75</v>
      </c>
      <c r="T6127" s="18">
        <v>14.55</v>
      </c>
      <c r="U6127" s="16"/>
      <c r="V6127" s="16"/>
      <c r="W6127" s="16" t="s">
        <v>40</v>
      </c>
      <c r="X6127" s="19">
        <v>1.7000000000000001E-2</v>
      </c>
      <c r="Y6127" s="20">
        <v>2.5000000000000001E-5</v>
      </c>
      <c r="Z6127" s="21">
        <v>4601004050839</v>
      </c>
    </row>
    <row r="6128" spans="1:26" ht="12" customHeight="1" outlineLevel="4" x14ac:dyDescent="0.2">
      <c r="A6128" s="32" t="s">
        <v>11837</v>
      </c>
      <c r="B6128" s="74" t="s">
        <v>11838</v>
      </c>
      <c r="C6128" s="50"/>
      <c r="D6128" s="53">
        <f t="shared" si="95"/>
        <v>0</v>
      </c>
      <c r="E6128" s="60" t="str">
        <f>HYPERLINK("https://www.sds-group.ru/product/homut-chervyachnyy-20-32-0-7-mm-s-klyuchom-w-upak-50-sht-rexant-07-0620-1/", "Инфо")</f>
        <v>Инфо</v>
      </c>
      <c r="F6128" s="34" t="s">
        <v>39</v>
      </c>
      <c r="G6128" s="33"/>
      <c r="H6128" s="33" t="s">
        <v>40</v>
      </c>
      <c r="I6128" s="33"/>
      <c r="J6128" s="34" t="s">
        <v>100</v>
      </c>
      <c r="K6128" s="33" t="s">
        <v>4926</v>
      </c>
      <c r="L6128" s="35">
        <v>50</v>
      </c>
      <c r="M6128" s="35">
        <v>250</v>
      </c>
      <c r="N6128" s="35">
        <v>50</v>
      </c>
      <c r="O6128" s="36">
        <v>28.99</v>
      </c>
      <c r="P6128" s="36">
        <v>23.76</v>
      </c>
      <c r="Q6128" s="36">
        <v>26.96</v>
      </c>
      <c r="R6128" s="36">
        <v>22.1</v>
      </c>
      <c r="S6128" s="36">
        <v>19.71</v>
      </c>
      <c r="T6128" s="36">
        <v>16.16</v>
      </c>
      <c r="U6128" s="34"/>
      <c r="V6128" s="34"/>
      <c r="W6128" s="34" t="s">
        <v>40</v>
      </c>
      <c r="X6128" s="37">
        <v>1.6E-2</v>
      </c>
      <c r="Y6128" s="38">
        <v>3.3000000000000003E-5</v>
      </c>
      <c r="Z6128" s="21">
        <v>4601004116771</v>
      </c>
    </row>
    <row r="6129" spans="1:26" ht="12" customHeight="1" outlineLevel="4" x14ac:dyDescent="0.2">
      <c r="A6129" s="32" t="s">
        <v>11839</v>
      </c>
      <c r="B6129" s="74" t="s">
        <v>11840</v>
      </c>
      <c r="C6129" s="50"/>
      <c r="D6129" s="53">
        <f t="shared" si="95"/>
        <v>0</v>
      </c>
      <c r="E6129" s="60" t="str">
        <f>HYPERLINK("https://www.sds-group.ru/product/homut-chervyachniy-20-32-12-0-8mm-50-sht-up-rexant-29291/", "Инфо")</f>
        <v>Инфо</v>
      </c>
      <c r="F6129" s="34" t="s">
        <v>39</v>
      </c>
      <c r="G6129" s="33"/>
      <c r="H6129" s="33" t="s">
        <v>40</v>
      </c>
      <c r="I6129" s="33"/>
      <c r="J6129" s="35">
        <v>50</v>
      </c>
      <c r="K6129" s="33"/>
      <c r="L6129" s="35">
        <v>50</v>
      </c>
      <c r="M6129" s="35">
        <v>500</v>
      </c>
      <c r="N6129" s="35">
        <v>50</v>
      </c>
      <c r="O6129" s="36">
        <v>37.75</v>
      </c>
      <c r="P6129" s="36">
        <v>30.94</v>
      </c>
      <c r="Q6129" s="36">
        <v>35.11</v>
      </c>
      <c r="R6129" s="36">
        <v>28.78</v>
      </c>
      <c r="S6129" s="36">
        <v>25.67</v>
      </c>
      <c r="T6129" s="36">
        <v>21.04</v>
      </c>
      <c r="U6129" s="34"/>
      <c r="V6129" s="34"/>
      <c r="W6129" s="34" t="s">
        <v>40</v>
      </c>
      <c r="X6129" s="37">
        <v>1.7000000000000001E-2</v>
      </c>
      <c r="Y6129" s="38">
        <v>3.1000000000000001E-5</v>
      </c>
      <c r="Z6129" s="21">
        <v>4601004270039</v>
      </c>
    </row>
    <row r="6130" spans="1:26" ht="12" customHeight="1" outlineLevel="4" x14ac:dyDescent="0.2">
      <c r="A6130" s="32" t="s">
        <v>11841</v>
      </c>
      <c r="B6130" s="74" t="s">
        <v>11842</v>
      </c>
      <c r="C6130" s="50"/>
      <c r="D6130" s="53">
        <f t="shared" si="95"/>
        <v>0</v>
      </c>
      <c r="E6130" s="60" t="str">
        <f>HYPERLINK("https://www.sds-group.ru/product/homut-chervyachnyy-25-40-12-0-8mm-50-sht-up-rexant-07-0625-12/", "Инфо")</f>
        <v>Инфо</v>
      </c>
      <c r="F6130" s="34" t="s">
        <v>39</v>
      </c>
      <c r="G6130" s="33"/>
      <c r="H6130" s="33" t="s">
        <v>40</v>
      </c>
      <c r="I6130" s="33"/>
      <c r="J6130" s="35">
        <v>200</v>
      </c>
      <c r="K6130" s="33"/>
      <c r="L6130" s="35">
        <v>50</v>
      </c>
      <c r="M6130" s="35">
        <v>500</v>
      </c>
      <c r="N6130" s="35">
        <v>50</v>
      </c>
      <c r="O6130" s="36">
        <v>39.6</v>
      </c>
      <c r="P6130" s="36">
        <v>32.46</v>
      </c>
      <c r="Q6130" s="36">
        <v>36.83</v>
      </c>
      <c r="R6130" s="36">
        <v>30.19</v>
      </c>
      <c r="S6130" s="36">
        <v>26.93</v>
      </c>
      <c r="T6130" s="36">
        <v>22.07</v>
      </c>
      <c r="U6130" s="34"/>
      <c r="V6130" s="34"/>
      <c r="W6130" s="34" t="s">
        <v>40</v>
      </c>
      <c r="X6130" s="37">
        <v>1.7999999999999999E-2</v>
      </c>
      <c r="Y6130" s="38">
        <v>3.6999999999999998E-5</v>
      </c>
      <c r="Z6130" s="21">
        <v>4601004270053</v>
      </c>
    </row>
    <row r="6131" spans="1:26" ht="12" customHeight="1" outlineLevel="4" x14ac:dyDescent="0.2">
      <c r="A6131" s="14" t="s">
        <v>11843</v>
      </c>
      <c r="B6131" s="26" t="s">
        <v>11844</v>
      </c>
      <c r="C6131" s="52"/>
      <c r="D6131" s="55">
        <f t="shared" si="95"/>
        <v>0</v>
      </c>
      <c r="E6131" s="63" t="str">
        <f>HYPERLINK("https://www.sds-group.ru/product/homut-chervyachnyy-32-50-0-7-mm-upak-50-sht-rexant-07-0632/", "Инфо")</f>
        <v>Инфо</v>
      </c>
      <c r="F6131" s="16" t="s">
        <v>39</v>
      </c>
      <c r="G6131" s="15"/>
      <c r="H6131" s="15"/>
      <c r="I6131" s="15"/>
      <c r="J6131" s="22">
        <v>5450</v>
      </c>
      <c r="K6131" s="15" t="s">
        <v>4926</v>
      </c>
      <c r="L6131" s="17">
        <v>50</v>
      </c>
      <c r="M6131" s="17">
        <v>500</v>
      </c>
      <c r="N6131" s="17">
        <v>50</v>
      </c>
      <c r="O6131" s="18">
        <v>31.5</v>
      </c>
      <c r="P6131" s="18">
        <v>25.82</v>
      </c>
      <c r="Q6131" s="18">
        <v>29.3</v>
      </c>
      <c r="R6131" s="18">
        <v>24.02</v>
      </c>
      <c r="S6131" s="18">
        <v>21.42</v>
      </c>
      <c r="T6131" s="18">
        <v>17.559999999999999</v>
      </c>
      <c r="U6131" s="16"/>
      <c r="V6131" s="16"/>
      <c r="W6131" s="16" t="s">
        <v>40</v>
      </c>
      <c r="X6131" s="19">
        <v>1.9E-2</v>
      </c>
      <c r="Y6131" s="20">
        <v>4.1999999999999998E-5</v>
      </c>
      <c r="Z6131" s="21">
        <v>4601004050846</v>
      </c>
    </row>
    <row r="6132" spans="1:26" ht="12" customHeight="1" outlineLevel="4" x14ac:dyDescent="0.2">
      <c r="A6132" s="32" t="s">
        <v>11845</v>
      </c>
      <c r="B6132" s="74" t="s">
        <v>11846</v>
      </c>
      <c r="C6132" s="50"/>
      <c r="D6132" s="53">
        <f t="shared" si="95"/>
        <v>0</v>
      </c>
      <c r="E6132" s="60" t="str">
        <f>HYPERLINK("https://www.sds-group.ru/product/homut-chervyachnyy-32-50-12-0-8mm-25-sht-up-rexant-07-0632-12/", "Инфо")</f>
        <v>Инфо</v>
      </c>
      <c r="F6132" s="34" t="s">
        <v>39</v>
      </c>
      <c r="G6132" s="33"/>
      <c r="H6132" s="33" t="s">
        <v>40</v>
      </c>
      <c r="I6132" s="33"/>
      <c r="J6132" s="35">
        <v>250</v>
      </c>
      <c r="K6132" s="33"/>
      <c r="L6132" s="35">
        <v>25</v>
      </c>
      <c r="M6132" s="35">
        <v>500</v>
      </c>
      <c r="N6132" s="35">
        <v>25</v>
      </c>
      <c r="O6132" s="36">
        <v>44.12</v>
      </c>
      <c r="P6132" s="36">
        <v>36.159999999999997</v>
      </c>
      <c r="Q6132" s="36">
        <v>41.03</v>
      </c>
      <c r="R6132" s="36">
        <v>33.630000000000003</v>
      </c>
      <c r="S6132" s="36">
        <v>30</v>
      </c>
      <c r="T6132" s="36">
        <v>24.59</v>
      </c>
      <c r="U6132" s="34"/>
      <c r="V6132" s="34"/>
      <c r="W6132" s="34" t="s">
        <v>40</v>
      </c>
      <c r="X6132" s="37">
        <v>2.1000000000000001E-2</v>
      </c>
      <c r="Y6132" s="38">
        <v>4.6E-5</v>
      </c>
      <c r="Z6132" s="21">
        <v>4601004270237</v>
      </c>
    </row>
    <row r="6133" spans="1:26" ht="12" customHeight="1" outlineLevel="4" x14ac:dyDescent="0.2">
      <c r="A6133" s="32" t="s">
        <v>11847</v>
      </c>
      <c r="B6133" s="74" t="s">
        <v>11848</v>
      </c>
      <c r="C6133" s="50"/>
      <c r="D6133" s="53">
        <f t="shared" si="95"/>
        <v>0</v>
      </c>
      <c r="E6133" s="60" t="str">
        <f>HYPERLINK("https://www.sds-group.ru/product/homut-chervyachniy-32-50-0-7-mm-s-klyuchom-w-upak-50-sht-rexant-17100/", "Инфо")</f>
        <v>Инфо</v>
      </c>
      <c r="F6133" s="34" t="s">
        <v>39</v>
      </c>
      <c r="G6133" s="33"/>
      <c r="H6133" s="33" t="s">
        <v>40</v>
      </c>
      <c r="I6133" s="33"/>
      <c r="J6133" s="34" t="s">
        <v>100</v>
      </c>
      <c r="K6133" s="33" t="s">
        <v>4926</v>
      </c>
      <c r="L6133" s="35">
        <v>50</v>
      </c>
      <c r="M6133" s="35">
        <v>500</v>
      </c>
      <c r="N6133" s="35">
        <v>50</v>
      </c>
      <c r="O6133" s="36">
        <v>28.42</v>
      </c>
      <c r="P6133" s="36">
        <v>23.3</v>
      </c>
      <c r="Q6133" s="36">
        <v>26.43</v>
      </c>
      <c r="R6133" s="36">
        <v>21.66</v>
      </c>
      <c r="S6133" s="36">
        <v>19.329999999999998</v>
      </c>
      <c r="T6133" s="36">
        <v>15.84</v>
      </c>
      <c r="U6133" s="34"/>
      <c r="V6133" s="34"/>
      <c r="W6133" s="34" t="s">
        <v>40</v>
      </c>
      <c r="X6133" s="37">
        <v>2.1000000000000001E-2</v>
      </c>
      <c r="Y6133" s="38">
        <v>6.0999999999999999E-5</v>
      </c>
      <c r="Z6133" s="21">
        <v>4601004285088</v>
      </c>
    </row>
    <row r="6134" spans="1:26" ht="12" customHeight="1" outlineLevel="4" x14ac:dyDescent="0.2">
      <c r="A6134" s="14" t="s">
        <v>11849</v>
      </c>
      <c r="B6134" s="26" t="s">
        <v>11850</v>
      </c>
      <c r="C6134" s="52"/>
      <c r="D6134" s="55">
        <f t="shared" si="95"/>
        <v>0</v>
      </c>
      <c r="E6134" s="63" t="str">
        <f>HYPERLINK("https://www.sds-group.ru/product/homut-chervyachnyy-40-60-0-7-mm-up-50-sht-rexant-07-0640/", "Инфо")</f>
        <v>Инфо</v>
      </c>
      <c r="F6134" s="16" t="s">
        <v>39</v>
      </c>
      <c r="G6134" s="15"/>
      <c r="H6134" s="15"/>
      <c r="I6134" s="15"/>
      <c r="J6134" s="22">
        <v>2000</v>
      </c>
      <c r="K6134" s="15" t="s">
        <v>4926</v>
      </c>
      <c r="L6134" s="17">
        <v>50</v>
      </c>
      <c r="M6134" s="17">
        <v>500</v>
      </c>
      <c r="N6134" s="17">
        <v>50</v>
      </c>
      <c r="O6134" s="18">
        <v>33.72</v>
      </c>
      <c r="P6134" s="18">
        <v>27.64</v>
      </c>
      <c r="Q6134" s="18">
        <v>31.36</v>
      </c>
      <c r="R6134" s="18">
        <v>25.7</v>
      </c>
      <c r="S6134" s="18">
        <v>22.93</v>
      </c>
      <c r="T6134" s="18">
        <v>18.8</v>
      </c>
      <c r="U6134" s="16"/>
      <c r="V6134" s="16"/>
      <c r="W6134" s="16" t="s">
        <v>40</v>
      </c>
      <c r="X6134" s="19">
        <v>2.1000000000000001E-2</v>
      </c>
      <c r="Y6134" s="20">
        <v>5.1999999999999997E-5</v>
      </c>
      <c r="Z6134" s="21">
        <v>4601004050853</v>
      </c>
    </row>
    <row r="6135" spans="1:26" ht="12" customHeight="1" outlineLevel="4" x14ac:dyDescent="0.2">
      <c r="A6135" s="32" t="s">
        <v>11851</v>
      </c>
      <c r="B6135" s="74" t="s">
        <v>11852</v>
      </c>
      <c r="C6135" s="50"/>
      <c r="D6135" s="53">
        <f t="shared" si="95"/>
        <v>0</v>
      </c>
      <c r="E6135" s="60" t="str">
        <f>HYPERLINK("https://www.sds-group.ru/product/homut-chervyachniy-40-60-0-7-mm-upak-2-sht-proconnect-13257/", "Инфо")</f>
        <v>Инфо</v>
      </c>
      <c r="F6135" s="34" t="s">
        <v>1001</v>
      </c>
      <c r="G6135" s="33"/>
      <c r="H6135" s="33" t="s">
        <v>40</v>
      </c>
      <c r="I6135" s="33"/>
      <c r="J6135" s="35">
        <v>2</v>
      </c>
      <c r="K6135" s="33"/>
      <c r="L6135" s="35">
        <v>1</v>
      </c>
      <c r="M6135" s="35">
        <v>100</v>
      </c>
      <c r="N6135" s="35">
        <v>1</v>
      </c>
      <c r="O6135" s="36">
        <v>78.86</v>
      </c>
      <c r="P6135" s="36">
        <v>64.64</v>
      </c>
      <c r="Q6135" s="36">
        <v>73.34</v>
      </c>
      <c r="R6135" s="36">
        <v>60.11</v>
      </c>
      <c r="S6135" s="36">
        <v>53.62</v>
      </c>
      <c r="T6135" s="36">
        <v>43.95</v>
      </c>
      <c r="U6135" s="34"/>
      <c r="V6135" s="34"/>
      <c r="W6135" s="34" t="s">
        <v>40</v>
      </c>
      <c r="X6135" s="37">
        <v>4.8000000000000001E-2</v>
      </c>
      <c r="Y6135" s="38">
        <v>1.76E-4</v>
      </c>
      <c r="Z6135" s="21">
        <v>4601004075399</v>
      </c>
    </row>
    <row r="6136" spans="1:26" ht="12" customHeight="1" outlineLevel="4" x14ac:dyDescent="0.2">
      <c r="A6136" s="14" t="s">
        <v>11853</v>
      </c>
      <c r="B6136" s="26" t="s">
        <v>11854</v>
      </c>
      <c r="C6136" s="52"/>
      <c r="D6136" s="55">
        <f t="shared" si="95"/>
        <v>0</v>
      </c>
      <c r="E6136" s="63" t="str">
        <f>HYPERLINK("https://www.sds-group.ru/product/homut-chervyachnyy-50-70-0-7-mm-upak-25-sht-rexant-07-0650/", "Инфо")</f>
        <v>Инфо</v>
      </c>
      <c r="F6136" s="16" t="s">
        <v>39</v>
      </c>
      <c r="G6136" s="15"/>
      <c r="H6136" s="15"/>
      <c r="I6136" s="15"/>
      <c r="J6136" s="22">
        <v>2850</v>
      </c>
      <c r="K6136" s="15" t="s">
        <v>4926</v>
      </c>
      <c r="L6136" s="17">
        <v>25</v>
      </c>
      <c r="M6136" s="17">
        <v>500</v>
      </c>
      <c r="N6136" s="17">
        <v>25</v>
      </c>
      <c r="O6136" s="18">
        <v>34.86</v>
      </c>
      <c r="P6136" s="18">
        <v>28.57</v>
      </c>
      <c r="Q6136" s="18">
        <v>32.42</v>
      </c>
      <c r="R6136" s="18">
        <v>26.57</v>
      </c>
      <c r="S6136" s="18">
        <v>23.7</v>
      </c>
      <c r="T6136" s="18">
        <v>19.43</v>
      </c>
      <c r="U6136" s="16"/>
      <c r="V6136" s="16"/>
      <c r="W6136" s="16" t="s">
        <v>40</v>
      </c>
      <c r="X6136" s="19">
        <v>2.3E-2</v>
      </c>
      <c r="Y6136" s="20">
        <v>6.8999999999999997E-5</v>
      </c>
      <c r="Z6136" s="21">
        <v>4601004050860</v>
      </c>
    </row>
    <row r="6137" spans="1:26" ht="12" customHeight="1" outlineLevel="4" x14ac:dyDescent="0.2">
      <c r="A6137" s="14" t="s">
        <v>11855</v>
      </c>
      <c r="B6137" s="26" t="s">
        <v>11856</v>
      </c>
      <c r="C6137" s="52"/>
      <c r="D6137" s="55">
        <f t="shared" si="95"/>
        <v>0</v>
      </c>
      <c r="E6137" s="63" t="str">
        <f>HYPERLINK("https://www.sds-group.ru/product/homut-chervyachnyy-50-70-12-0-8mm-25-sht-up-rexant-07-0650-12/", "Инфо")</f>
        <v>Инфо</v>
      </c>
      <c r="F6137" s="16" t="s">
        <v>39</v>
      </c>
      <c r="G6137" s="15"/>
      <c r="H6137" s="15"/>
      <c r="I6137" s="15"/>
      <c r="J6137" s="17">
        <v>225</v>
      </c>
      <c r="K6137" s="15"/>
      <c r="L6137" s="17">
        <v>25</v>
      </c>
      <c r="M6137" s="17">
        <v>500</v>
      </c>
      <c r="N6137" s="17">
        <v>25</v>
      </c>
      <c r="O6137" s="18">
        <v>47.41</v>
      </c>
      <c r="P6137" s="18">
        <v>38.86</v>
      </c>
      <c r="Q6137" s="18">
        <v>44.09</v>
      </c>
      <c r="R6137" s="18">
        <v>36.14</v>
      </c>
      <c r="S6137" s="18">
        <v>32.24</v>
      </c>
      <c r="T6137" s="18">
        <v>26.43</v>
      </c>
      <c r="U6137" s="16"/>
      <c r="V6137" s="16"/>
      <c r="W6137" s="16" t="s">
        <v>40</v>
      </c>
      <c r="X6137" s="19">
        <v>2.5000000000000001E-2</v>
      </c>
      <c r="Y6137" s="20">
        <v>9.8999999999999994E-5</v>
      </c>
      <c r="Z6137" s="21">
        <v>4601004270190</v>
      </c>
    </row>
    <row r="6138" spans="1:26" ht="12" customHeight="1" outlineLevel="4" x14ac:dyDescent="0.2">
      <c r="A6138" s="32" t="s">
        <v>11857</v>
      </c>
      <c r="B6138" s="74" t="s">
        <v>11858</v>
      </c>
      <c r="C6138" s="50"/>
      <c r="D6138" s="53">
        <f t="shared" si="95"/>
        <v>0</v>
      </c>
      <c r="E6138" s="60" t="str">
        <f>HYPERLINK("https://www.sds-group.ru/product/homut-chervyachnyy-60-80-0-7-mm-upak-25-sht-rexant-07-0660/", "Инфо")</f>
        <v>Инфо</v>
      </c>
      <c r="F6138" s="34" t="s">
        <v>39</v>
      </c>
      <c r="G6138" s="33"/>
      <c r="H6138" s="33" t="s">
        <v>40</v>
      </c>
      <c r="I6138" s="33"/>
      <c r="J6138" s="34" t="s">
        <v>100</v>
      </c>
      <c r="K6138" s="33"/>
      <c r="L6138" s="35">
        <v>25</v>
      </c>
      <c r="M6138" s="35">
        <v>500</v>
      </c>
      <c r="N6138" s="35">
        <v>25</v>
      </c>
      <c r="O6138" s="36">
        <v>37.049999999999997</v>
      </c>
      <c r="P6138" s="36">
        <v>30.37</v>
      </c>
      <c r="Q6138" s="36">
        <v>34.46</v>
      </c>
      <c r="R6138" s="36">
        <v>28.25</v>
      </c>
      <c r="S6138" s="36">
        <v>25.19</v>
      </c>
      <c r="T6138" s="36">
        <v>20.65</v>
      </c>
      <c r="U6138" s="34"/>
      <c r="V6138" s="34"/>
      <c r="W6138" s="34" t="s">
        <v>40</v>
      </c>
      <c r="X6138" s="37">
        <v>2.5000000000000001E-2</v>
      </c>
      <c r="Y6138" s="38">
        <v>8.2000000000000001E-5</v>
      </c>
      <c r="Z6138" s="21">
        <v>4601004050877</v>
      </c>
    </row>
    <row r="6139" spans="1:26" ht="12" customHeight="1" outlineLevel="4" x14ac:dyDescent="0.2">
      <c r="A6139" s="32" t="s">
        <v>11859</v>
      </c>
      <c r="B6139" s="74" t="s">
        <v>11860</v>
      </c>
      <c r="C6139" s="50"/>
      <c r="D6139" s="53">
        <f t="shared" si="95"/>
        <v>0</v>
      </c>
      <c r="E6139" s="60" t="str">
        <f>HYPERLINK("https://www.sds-group.ru/product/homut-chervyachnyy-70-90-0-7-mm-upak-25-sht-rexant-07-0670/", "Инфо")</f>
        <v>Инфо</v>
      </c>
      <c r="F6139" s="34" t="s">
        <v>39</v>
      </c>
      <c r="G6139" s="33"/>
      <c r="H6139" s="33" t="s">
        <v>40</v>
      </c>
      <c r="I6139" s="33"/>
      <c r="J6139" s="35">
        <v>800</v>
      </c>
      <c r="K6139" s="33" t="s">
        <v>979</v>
      </c>
      <c r="L6139" s="35">
        <v>25</v>
      </c>
      <c r="M6139" s="35">
        <v>500</v>
      </c>
      <c r="N6139" s="35">
        <v>25</v>
      </c>
      <c r="O6139" s="36">
        <v>40.21</v>
      </c>
      <c r="P6139" s="36">
        <v>32.96</v>
      </c>
      <c r="Q6139" s="36">
        <v>37.4</v>
      </c>
      <c r="R6139" s="36">
        <v>30.66</v>
      </c>
      <c r="S6139" s="36">
        <v>27.34</v>
      </c>
      <c r="T6139" s="36">
        <v>22.41</v>
      </c>
      <c r="U6139" s="34"/>
      <c r="V6139" s="34"/>
      <c r="W6139" s="34" t="s">
        <v>40</v>
      </c>
      <c r="X6139" s="37">
        <v>2.8000000000000001E-2</v>
      </c>
      <c r="Y6139" s="38">
        <v>8.2000000000000001E-5</v>
      </c>
      <c r="Z6139" s="21">
        <v>4601004050884</v>
      </c>
    </row>
    <row r="6140" spans="1:26" ht="12.95" customHeight="1" outlineLevel="3" x14ac:dyDescent="0.2">
      <c r="A6140" s="76" t="s">
        <v>11861</v>
      </c>
      <c r="B6140" s="76"/>
      <c r="C6140" s="77"/>
      <c r="D6140" s="58"/>
      <c r="E6140" s="68"/>
      <c r="F6140" s="13"/>
      <c r="G6140" s="13"/>
      <c r="H6140" s="13"/>
      <c r="I6140" s="13"/>
      <c r="J6140" s="13"/>
      <c r="K6140" s="13"/>
      <c r="L6140" s="13"/>
      <c r="M6140" s="13"/>
      <c r="N6140" s="13"/>
      <c r="O6140" s="13"/>
      <c r="P6140" s="13"/>
      <c r="Q6140" s="13"/>
      <c r="R6140" s="13"/>
      <c r="S6140" s="13"/>
      <c r="T6140" s="13"/>
      <c r="U6140" s="13"/>
      <c r="V6140" s="13"/>
      <c r="W6140" s="13"/>
      <c r="X6140" s="13"/>
      <c r="Y6140" s="13"/>
      <c r="Z6140" s="13"/>
    </row>
    <row r="6141" spans="1:26" ht="12" customHeight="1" outlineLevel="4" x14ac:dyDescent="0.2">
      <c r="A6141" s="14" t="s">
        <v>11862</v>
      </c>
      <c r="B6141" s="26" t="s">
        <v>11863</v>
      </c>
      <c r="C6141" s="52"/>
      <c r="D6141" s="55">
        <f t="shared" si="95"/>
        <v>0</v>
      </c>
      <c r="E6141" s="63" t="str">
        <f>HYPERLINK("https://www.sds-group.ru/product/homut-chervyachniy-12-20-9-0-6mm-nerjaveyuschaya-stal-w2-50-sht-up-rexant-28927/", "Инфо")</f>
        <v>Инфо</v>
      </c>
      <c r="F6141" s="16" t="s">
        <v>39</v>
      </c>
      <c r="G6141" s="15"/>
      <c r="H6141" s="15"/>
      <c r="I6141" s="15"/>
      <c r="J6141" s="22">
        <v>2700</v>
      </c>
      <c r="K6141" s="15"/>
      <c r="L6141" s="17">
        <v>50</v>
      </c>
      <c r="M6141" s="22">
        <v>1000</v>
      </c>
      <c r="N6141" s="17">
        <v>50</v>
      </c>
      <c r="O6141" s="18">
        <v>23.42</v>
      </c>
      <c r="P6141" s="18">
        <v>19.2</v>
      </c>
      <c r="Q6141" s="18">
        <v>21.78</v>
      </c>
      <c r="R6141" s="18">
        <v>17.850000000000001</v>
      </c>
      <c r="S6141" s="18">
        <v>15.93</v>
      </c>
      <c r="T6141" s="18">
        <v>13.06</v>
      </c>
      <c r="U6141" s="16"/>
      <c r="V6141" s="16"/>
      <c r="W6141" s="16" t="s">
        <v>40</v>
      </c>
      <c r="X6141" s="19">
        <v>1.2999999999999999E-2</v>
      </c>
      <c r="Y6141" s="20">
        <v>1.2999999999999999E-5</v>
      </c>
      <c r="Z6141" s="21">
        <v>4601004270725</v>
      </c>
    </row>
    <row r="6142" spans="1:26" ht="12" customHeight="1" outlineLevel="4" x14ac:dyDescent="0.2">
      <c r="A6142" s="32" t="s">
        <v>11864</v>
      </c>
      <c r="B6142" s="74" t="s">
        <v>11865</v>
      </c>
      <c r="C6142" s="50"/>
      <c r="D6142" s="53">
        <f t="shared" si="95"/>
        <v>0</v>
      </c>
      <c r="E6142" s="60" t="str">
        <f>HYPERLINK("https://www.sds-group.ru/product/homut-chervyachnyy-12-20-9-0-7mm-s-klyuchom-nerzhaveyuschaya-stal-w2-50-sht-up-rexant-07-0712-1/", "Инфо")</f>
        <v>Инфо</v>
      </c>
      <c r="F6142" s="34" t="s">
        <v>39</v>
      </c>
      <c r="G6142" s="33"/>
      <c r="H6142" s="33" t="s">
        <v>40</v>
      </c>
      <c r="I6142" s="33"/>
      <c r="J6142" s="39">
        <v>3650</v>
      </c>
      <c r="K6142" s="33"/>
      <c r="L6142" s="35">
        <v>50</v>
      </c>
      <c r="M6142" s="39">
        <v>1000</v>
      </c>
      <c r="N6142" s="35">
        <v>50</v>
      </c>
      <c r="O6142" s="36">
        <v>28.2</v>
      </c>
      <c r="P6142" s="36">
        <v>23.11</v>
      </c>
      <c r="Q6142" s="36">
        <v>19.739999999999998</v>
      </c>
      <c r="R6142" s="36">
        <v>16.18</v>
      </c>
      <c r="S6142" s="36">
        <v>19.18</v>
      </c>
      <c r="T6142" s="36">
        <v>15.72</v>
      </c>
      <c r="U6142" s="34"/>
      <c r="V6142" s="34"/>
      <c r="W6142" s="34"/>
      <c r="X6142" s="37">
        <v>1.2999999999999999E-2</v>
      </c>
      <c r="Y6142" s="38">
        <v>2.0999999999999999E-5</v>
      </c>
      <c r="Z6142" s="21">
        <v>4601004270343</v>
      </c>
    </row>
    <row r="6143" spans="1:26" ht="12" customHeight="1" outlineLevel="4" x14ac:dyDescent="0.2">
      <c r="A6143" s="14" t="s">
        <v>11866</v>
      </c>
      <c r="B6143" s="26" t="s">
        <v>11867</v>
      </c>
      <c r="C6143" s="52"/>
      <c r="D6143" s="55">
        <f t="shared" si="95"/>
        <v>0</v>
      </c>
      <c r="E6143" s="63" t="str">
        <f>HYPERLINK("https://www.sds-group.ru/product/homut-chervyachnyy-16-25-9-0-6mm-nerzhaveyuschaya-stal-w2-50-sht-up-rexant-07-0716/", "Инфо")</f>
        <v>Инфо</v>
      </c>
      <c r="F6143" s="16" t="s">
        <v>39</v>
      </c>
      <c r="G6143" s="15"/>
      <c r="H6143" s="15"/>
      <c r="I6143" s="15"/>
      <c r="J6143" s="22">
        <v>5300</v>
      </c>
      <c r="K6143" s="15"/>
      <c r="L6143" s="17">
        <v>50</v>
      </c>
      <c r="M6143" s="22">
        <v>1000</v>
      </c>
      <c r="N6143" s="17">
        <v>50</v>
      </c>
      <c r="O6143" s="18">
        <v>25.02</v>
      </c>
      <c r="P6143" s="18">
        <v>20.51</v>
      </c>
      <c r="Q6143" s="18">
        <v>23.27</v>
      </c>
      <c r="R6143" s="18">
        <v>19.07</v>
      </c>
      <c r="S6143" s="18">
        <v>17.010000000000002</v>
      </c>
      <c r="T6143" s="18">
        <v>13.94</v>
      </c>
      <c r="U6143" s="16"/>
      <c r="V6143" s="16"/>
      <c r="W6143" s="16" t="s">
        <v>40</v>
      </c>
      <c r="X6143" s="19">
        <v>1.2999999999999999E-2</v>
      </c>
      <c r="Y6143" s="20">
        <v>1.5999999999999999E-5</v>
      </c>
      <c r="Z6143" s="21">
        <v>4601004270718</v>
      </c>
    </row>
    <row r="6144" spans="1:26" ht="12" customHeight="1" outlineLevel="4" x14ac:dyDescent="0.2">
      <c r="A6144" s="14" t="s">
        <v>11868</v>
      </c>
      <c r="B6144" s="26" t="s">
        <v>11869</v>
      </c>
      <c r="C6144" s="52"/>
      <c r="D6144" s="55">
        <f t="shared" si="95"/>
        <v>0</v>
      </c>
      <c r="E6144" s="63" t="str">
        <f>HYPERLINK("https://www.sds-group.ru/product/homut-chervyachnyy-16-25-9-0-7mm-s-klyuchom-nerzhaveyuschaya-stal-w2-50-sht-up-rexant-07-0716-1/", "Инфо")</f>
        <v>Инфо</v>
      </c>
      <c r="F6144" s="16" t="s">
        <v>39</v>
      </c>
      <c r="G6144" s="15"/>
      <c r="H6144" s="15"/>
      <c r="I6144" s="15"/>
      <c r="J6144" s="16" t="s">
        <v>100</v>
      </c>
      <c r="K6144" s="15" t="s">
        <v>4926</v>
      </c>
      <c r="L6144" s="17">
        <v>50</v>
      </c>
      <c r="M6144" s="22">
        <v>1000</v>
      </c>
      <c r="N6144" s="17">
        <v>50</v>
      </c>
      <c r="O6144" s="18">
        <v>30.54</v>
      </c>
      <c r="P6144" s="18">
        <v>25.03</v>
      </c>
      <c r="Q6144" s="18">
        <v>28.4</v>
      </c>
      <c r="R6144" s="18">
        <v>23.28</v>
      </c>
      <c r="S6144" s="18">
        <v>20.77</v>
      </c>
      <c r="T6144" s="18">
        <v>17.02</v>
      </c>
      <c r="U6144" s="16"/>
      <c r="V6144" s="16"/>
      <c r="W6144" s="16" t="s">
        <v>40</v>
      </c>
      <c r="X6144" s="19">
        <v>1.4E-2</v>
      </c>
      <c r="Y6144" s="20">
        <v>2.6999999999999999E-5</v>
      </c>
      <c r="Z6144" s="21">
        <v>4601004270510</v>
      </c>
    </row>
    <row r="6145" spans="1:26" ht="12" customHeight="1" outlineLevel="4" x14ac:dyDescent="0.2">
      <c r="A6145" s="14" t="s">
        <v>11870</v>
      </c>
      <c r="B6145" s="26" t="s">
        <v>11871</v>
      </c>
      <c r="C6145" s="52"/>
      <c r="D6145" s="55">
        <f t="shared" si="95"/>
        <v>0</v>
      </c>
      <c r="E6145" s="63" t="str">
        <f>HYPERLINK("https://www.sds-group.ru/product/homut-chervyachnyy-16-27-12-0-8mm-nerzhaveyuschaya-stal-w2-50-sht-up-rexant-07-0716-12/", "Инфо")</f>
        <v>Инфо</v>
      </c>
      <c r="F6145" s="16" t="s">
        <v>39</v>
      </c>
      <c r="G6145" s="15"/>
      <c r="H6145" s="15"/>
      <c r="I6145" s="15"/>
      <c r="J6145" s="22">
        <v>3550</v>
      </c>
      <c r="K6145" s="15"/>
      <c r="L6145" s="17">
        <v>50</v>
      </c>
      <c r="M6145" s="22">
        <v>1000</v>
      </c>
      <c r="N6145" s="17">
        <v>50</v>
      </c>
      <c r="O6145" s="18">
        <v>35.840000000000003</v>
      </c>
      <c r="P6145" s="18">
        <v>29.38</v>
      </c>
      <c r="Q6145" s="18">
        <v>33.33</v>
      </c>
      <c r="R6145" s="18">
        <v>27.32</v>
      </c>
      <c r="S6145" s="18">
        <v>24.37</v>
      </c>
      <c r="T6145" s="18">
        <v>19.98</v>
      </c>
      <c r="U6145" s="16"/>
      <c r="V6145" s="16"/>
      <c r="W6145" s="16" t="s">
        <v>40</v>
      </c>
      <c r="X6145" s="19">
        <v>1.7999999999999999E-2</v>
      </c>
      <c r="Y6145" s="20">
        <v>3.1999999999999999E-5</v>
      </c>
      <c r="Z6145" s="21">
        <v>4601004270060</v>
      </c>
    </row>
    <row r="6146" spans="1:26" ht="12" customHeight="1" outlineLevel="4" x14ac:dyDescent="0.2">
      <c r="A6146" s="32" t="s">
        <v>11872</v>
      </c>
      <c r="B6146" s="74" t="s">
        <v>11873</v>
      </c>
      <c r="C6146" s="50"/>
      <c r="D6146" s="53">
        <f t="shared" si="95"/>
        <v>0</v>
      </c>
      <c r="E6146" s="60" t="str">
        <f>HYPERLINK("https://www.sds-group.ru/product/homut-chervyachnyy-20-32-12-0-8mm-nerzhaveyuschaya-stal-w2-50-sht-up-rexant-07-0720-12/", "Инфо")</f>
        <v>Инфо</v>
      </c>
      <c r="F6146" s="34" t="s">
        <v>39</v>
      </c>
      <c r="G6146" s="33"/>
      <c r="H6146" s="33" t="s">
        <v>40</v>
      </c>
      <c r="I6146" s="33"/>
      <c r="J6146" s="35">
        <v>150</v>
      </c>
      <c r="K6146" s="33"/>
      <c r="L6146" s="35">
        <v>50</v>
      </c>
      <c r="M6146" s="35">
        <v>500</v>
      </c>
      <c r="N6146" s="35">
        <v>50</v>
      </c>
      <c r="O6146" s="36">
        <v>35.97</v>
      </c>
      <c r="P6146" s="36">
        <v>29.48</v>
      </c>
      <c r="Q6146" s="36">
        <v>33.450000000000003</v>
      </c>
      <c r="R6146" s="36">
        <v>27.42</v>
      </c>
      <c r="S6146" s="36">
        <v>24.46</v>
      </c>
      <c r="T6146" s="36">
        <v>20.05</v>
      </c>
      <c r="U6146" s="34"/>
      <c r="V6146" s="34"/>
      <c r="W6146" s="34" t="s">
        <v>40</v>
      </c>
      <c r="X6146" s="37">
        <v>1.7999999999999999E-2</v>
      </c>
      <c r="Y6146" s="38">
        <v>5.1999999999999997E-5</v>
      </c>
      <c r="Z6146" s="21">
        <v>4601004270671</v>
      </c>
    </row>
    <row r="6147" spans="1:26" ht="12" customHeight="1" outlineLevel="4" x14ac:dyDescent="0.2">
      <c r="A6147" s="14" t="s">
        <v>11874</v>
      </c>
      <c r="B6147" s="26" t="s">
        <v>11875</v>
      </c>
      <c r="C6147" s="52"/>
      <c r="D6147" s="55">
        <f t="shared" si="95"/>
        <v>0</v>
      </c>
      <c r="E6147" s="63" t="str">
        <f>HYPERLINK("https://www.sds-group.ru/product/homut-chervyachnyy-20-32-9-0-6mm-nerzhaveyuschaya-stal-w2-50-sht-up-rexant-07-0720/", "Инфо")</f>
        <v>Инфо</v>
      </c>
      <c r="F6147" s="16" t="s">
        <v>39</v>
      </c>
      <c r="G6147" s="15"/>
      <c r="H6147" s="15"/>
      <c r="I6147" s="15"/>
      <c r="J6147" s="22">
        <v>1500</v>
      </c>
      <c r="K6147" s="15"/>
      <c r="L6147" s="17">
        <v>50</v>
      </c>
      <c r="M6147" s="17">
        <v>500</v>
      </c>
      <c r="N6147" s="17">
        <v>50</v>
      </c>
      <c r="O6147" s="18">
        <v>26.04</v>
      </c>
      <c r="P6147" s="18">
        <v>21.34</v>
      </c>
      <c r="Q6147" s="18">
        <v>24.22</v>
      </c>
      <c r="R6147" s="18">
        <v>19.850000000000001</v>
      </c>
      <c r="S6147" s="18">
        <v>17.71</v>
      </c>
      <c r="T6147" s="18">
        <v>14.52</v>
      </c>
      <c r="U6147" s="16"/>
      <c r="V6147" s="16"/>
      <c r="W6147" s="16" t="s">
        <v>40</v>
      </c>
      <c r="X6147" s="19">
        <v>1.6E-2</v>
      </c>
      <c r="Y6147" s="20">
        <v>2.6999999999999999E-5</v>
      </c>
      <c r="Z6147" s="21">
        <v>4601004270701</v>
      </c>
    </row>
    <row r="6148" spans="1:26" ht="12" customHeight="1" outlineLevel="4" x14ac:dyDescent="0.2">
      <c r="A6148" s="14" t="s">
        <v>11876</v>
      </c>
      <c r="B6148" s="26" t="s">
        <v>11877</v>
      </c>
      <c r="C6148" s="52"/>
      <c r="D6148" s="55">
        <f t="shared" si="95"/>
        <v>0</v>
      </c>
      <c r="E6148" s="63" t="str">
        <f>HYPERLINK("https://www.sds-group.ru/product/homut-chervyachnyy-25-40-12-0-8mm-nerzhaveyuschaya-stal-w2-50-sht-up-rexant-07-0725-12/", "Инфо")</f>
        <v>Инфо</v>
      </c>
      <c r="F6148" s="16" t="s">
        <v>39</v>
      </c>
      <c r="G6148" s="15"/>
      <c r="H6148" s="15"/>
      <c r="I6148" s="15"/>
      <c r="J6148" s="22">
        <v>3500</v>
      </c>
      <c r="K6148" s="15"/>
      <c r="L6148" s="17">
        <v>50</v>
      </c>
      <c r="M6148" s="17">
        <v>500</v>
      </c>
      <c r="N6148" s="17">
        <v>50</v>
      </c>
      <c r="O6148" s="18">
        <v>37.86</v>
      </c>
      <c r="P6148" s="18">
        <v>31.03</v>
      </c>
      <c r="Q6148" s="18">
        <v>35.21</v>
      </c>
      <c r="R6148" s="18">
        <v>28.86</v>
      </c>
      <c r="S6148" s="18">
        <v>25.74</v>
      </c>
      <c r="T6148" s="18">
        <v>21.1</v>
      </c>
      <c r="U6148" s="16"/>
      <c r="V6148" s="16"/>
      <c r="W6148" s="16" t="s">
        <v>40</v>
      </c>
      <c r="X6148" s="19">
        <v>1.7999999999999999E-2</v>
      </c>
      <c r="Y6148" s="20">
        <v>3.8999999999999999E-5</v>
      </c>
      <c r="Z6148" s="21">
        <v>4601004270435</v>
      </c>
    </row>
    <row r="6149" spans="1:26" ht="12" customHeight="1" outlineLevel="4" x14ac:dyDescent="0.2">
      <c r="A6149" s="14" t="s">
        <v>11878</v>
      </c>
      <c r="B6149" s="26" t="s">
        <v>11879</v>
      </c>
      <c r="C6149" s="52"/>
      <c r="D6149" s="55">
        <f t="shared" si="95"/>
        <v>0</v>
      </c>
      <c r="E6149" s="63" t="str">
        <f>HYPERLINK("https://www.sds-group.ru/product/homut-chervyachnyy-25-40-9-0-6mm-nerzhaveyuschaya-stal-w2-50-sht-up-rexant-07-0725/", "Инфо")</f>
        <v>Инфо</v>
      </c>
      <c r="F6149" s="16" t="s">
        <v>39</v>
      </c>
      <c r="G6149" s="15"/>
      <c r="H6149" s="15"/>
      <c r="I6149" s="15"/>
      <c r="J6149" s="22">
        <v>1550</v>
      </c>
      <c r="K6149" s="15"/>
      <c r="L6149" s="17">
        <v>50</v>
      </c>
      <c r="M6149" s="17">
        <v>500</v>
      </c>
      <c r="N6149" s="17">
        <v>50</v>
      </c>
      <c r="O6149" s="18">
        <v>30.31</v>
      </c>
      <c r="P6149" s="18">
        <v>24.84</v>
      </c>
      <c r="Q6149" s="18">
        <v>28.19</v>
      </c>
      <c r="R6149" s="18">
        <v>23.11</v>
      </c>
      <c r="S6149" s="18">
        <v>20.61</v>
      </c>
      <c r="T6149" s="18">
        <v>16.89</v>
      </c>
      <c r="U6149" s="16"/>
      <c r="V6149" s="16"/>
      <c r="W6149" s="16" t="s">
        <v>40</v>
      </c>
      <c r="X6149" s="19">
        <v>1.6E-2</v>
      </c>
      <c r="Y6149" s="20">
        <v>3.4E-5</v>
      </c>
      <c r="Z6149" s="21">
        <v>4601004270695</v>
      </c>
    </row>
    <row r="6150" spans="1:26" ht="12" customHeight="1" outlineLevel="4" x14ac:dyDescent="0.2">
      <c r="A6150" s="32" t="s">
        <v>11880</v>
      </c>
      <c r="B6150" s="74" t="s">
        <v>11881</v>
      </c>
      <c r="C6150" s="50"/>
      <c r="D6150" s="53">
        <f t="shared" si="95"/>
        <v>0</v>
      </c>
      <c r="E6150" s="60" t="str">
        <f>HYPERLINK("https://www.sds-group.ru/product/homut-chervyachnyy-25-40-9-0-7mm-s-klyuchom-nerzhaveyuschaya-stal-w2-50-sht-up-rexant-07-0725-1/", "Инфо")</f>
        <v>Инфо</v>
      </c>
      <c r="F6150" s="34" t="s">
        <v>39</v>
      </c>
      <c r="G6150" s="33"/>
      <c r="H6150" s="33" t="s">
        <v>40</v>
      </c>
      <c r="I6150" s="33"/>
      <c r="J6150" s="35">
        <v>300</v>
      </c>
      <c r="K6150" s="33"/>
      <c r="L6150" s="35">
        <v>50</v>
      </c>
      <c r="M6150" s="35">
        <v>500</v>
      </c>
      <c r="N6150" s="35">
        <v>50</v>
      </c>
      <c r="O6150" s="36">
        <v>36.049999999999997</v>
      </c>
      <c r="P6150" s="36">
        <v>29.55</v>
      </c>
      <c r="Q6150" s="36">
        <v>33.53</v>
      </c>
      <c r="R6150" s="36">
        <v>27.48</v>
      </c>
      <c r="S6150" s="36">
        <v>24.51</v>
      </c>
      <c r="T6150" s="36">
        <v>20.09</v>
      </c>
      <c r="U6150" s="34"/>
      <c r="V6150" s="34"/>
      <c r="W6150" s="34" t="s">
        <v>40</v>
      </c>
      <c r="X6150" s="37">
        <v>1.9E-2</v>
      </c>
      <c r="Y6150" s="38">
        <v>1.4E-5</v>
      </c>
      <c r="Z6150" s="21">
        <v>4601004270367</v>
      </c>
    </row>
    <row r="6151" spans="1:26" ht="12" customHeight="1" outlineLevel="4" x14ac:dyDescent="0.2">
      <c r="A6151" s="32" t="s">
        <v>11882</v>
      </c>
      <c r="B6151" s="74" t="s">
        <v>11883</v>
      </c>
      <c r="C6151" s="50"/>
      <c r="D6151" s="53">
        <f t="shared" si="95"/>
        <v>0</v>
      </c>
      <c r="E6151" s="60" t="str">
        <f>HYPERLINK("https://www.sds-group.ru/product/homut-chervyachnyy-50-70-12-0-8mm-nerzhaveyuschaya-stal-w2-25-sht-up-rexant-07-0750-12/", "Инфо")</f>
        <v>Инфо</v>
      </c>
      <c r="F6151" s="34" t="s">
        <v>39</v>
      </c>
      <c r="G6151" s="33"/>
      <c r="H6151" s="33" t="s">
        <v>40</v>
      </c>
      <c r="I6151" s="33"/>
      <c r="J6151" s="35">
        <v>25</v>
      </c>
      <c r="K6151" s="33"/>
      <c r="L6151" s="35">
        <v>25</v>
      </c>
      <c r="M6151" s="35">
        <v>500</v>
      </c>
      <c r="N6151" s="35">
        <v>25</v>
      </c>
      <c r="O6151" s="36">
        <v>45.03</v>
      </c>
      <c r="P6151" s="36">
        <v>36.909999999999997</v>
      </c>
      <c r="Q6151" s="36">
        <v>41.88</v>
      </c>
      <c r="R6151" s="36">
        <v>34.33</v>
      </c>
      <c r="S6151" s="36">
        <v>30.62</v>
      </c>
      <c r="T6151" s="36">
        <v>25.1</v>
      </c>
      <c r="U6151" s="34"/>
      <c r="V6151" s="34"/>
      <c r="W6151" s="34" t="s">
        <v>40</v>
      </c>
      <c r="X6151" s="37">
        <v>2.4E-2</v>
      </c>
      <c r="Y6151" s="38">
        <v>1.16E-4</v>
      </c>
      <c r="Z6151" s="21">
        <v>4601004270602</v>
      </c>
    </row>
    <row r="6152" spans="1:26" ht="12" customHeight="1" outlineLevel="4" x14ac:dyDescent="0.2">
      <c r="A6152" s="32" t="s">
        <v>11884</v>
      </c>
      <c r="B6152" s="74" t="s">
        <v>11885</v>
      </c>
      <c r="C6152" s="50"/>
      <c r="D6152" s="53">
        <f t="shared" si="95"/>
        <v>0</v>
      </c>
      <c r="E6152" s="60" t="str">
        <f>HYPERLINK("https://www.sds-group.ru/product/homut-chervyachnyy-60-80-12-0-8mm-nerzhaveyuschaya-stal-w2-25-sht-up-rexant-07-0760-12/", "Инфо")</f>
        <v>Инфо</v>
      </c>
      <c r="F6152" s="34" t="s">
        <v>39</v>
      </c>
      <c r="G6152" s="33"/>
      <c r="H6152" s="33" t="s">
        <v>40</v>
      </c>
      <c r="I6152" s="33"/>
      <c r="J6152" s="35">
        <v>875</v>
      </c>
      <c r="K6152" s="33"/>
      <c r="L6152" s="35">
        <v>25</v>
      </c>
      <c r="M6152" s="35">
        <v>250</v>
      </c>
      <c r="N6152" s="35">
        <v>25</v>
      </c>
      <c r="O6152" s="36">
        <v>49.28</v>
      </c>
      <c r="P6152" s="36">
        <v>40.39</v>
      </c>
      <c r="Q6152" s="36">
        <v>45.83</v>
      </c>
      <c r="R6152" s="36">
        <v>37.57</v>
      </c>
      <c r="S6152" s="36">
        <v>33.51</v>
      </c>
      <c r="T6152" s="36">
        <v>27.47</v>
      </c>
      <c r="U6152" s="34"/>
      <c r="V6152" s="34"/>
      <c r="W6152" s="34" t="s">
        <v>40</v>
      </c>
      <c r="X6152" s="37">
        <v>2.5000000000000001E-2</v>
      </c>
      <c r="Y6152" s="38">
        <v>1.5899999999999999E-4</v>
      </c>
      <c r="Z6152" s="21">
        <v>4601004270626</v>
      </c>
    </row>
    <row r="6153" spans="1:26" ht="12" customHeight="1" outlineLevel="4" x14ac:dyDescent="0.2">
      <c r="A6153" s="32" t="s">
        <v>11886</v>
      </c>
      <c r="B6153" s="74" t="s">
        <v>11887</v>
      </c>
      <c r="C6153" s="50"/>
      <c r="D6153" s="53">
        <f t="shared" ref="D6153:D6216" si="96">C6153*(O6153-O6153*$G$3)</f>
        <v>0</v>
      </c>
      <c r="E6153" s="60" t="str">
        <f>HYPERLINK("https://www.sds-group.ru/product/homut-chervyachnyy-70-90-9-0-6mm-nerzhaveyuschaya-stal-w2-25-sht-up-rexant-07-0770/", "Инфо")</f>
        <v>Инфо</v>
      </c>
      <c r="F6153" s="34" t="s">
        <v>39</v>
      </c>
      <c r="G6153" s="33"/>
      <c r="H6153" s="33" t="s">
        <v>40</v>
      </c>
      <c r="I6153" s="33"/>
      <c r="J6153" s="35">
        <v>100</v>
      </c>
      <c r="K6153" s="33"/>
      <c r="L6153" s="35">
        <v>25</v>
      </c>
      <c r="M6153" s="35">
        <v>500</v>
      </c>
      <c r="N6153" s="35">
        <v>25</v>
      </c>
      <c r="O6153" s="36">
        <v>38.880000000000003</v>
      </c>
      <c r="P6153" s="36">
        <v>31.87</v>
      </c>
      <c r="Q6153" s="36">
        <v>36.159999999999997</v>
      </c>
      <c r="R6153" s="36">
        <v>29.64</v>
      </c>
      <c r="S6153" s="36">
        <v>26.44</v>
      </c>
      <c r="T6153" s="36">
        <v>21.67</v>
      </c>
      <c r="U6153" s="34"/>
      <c r="V6153" s="34"/>
      <c r="W6153" s="34" t="s">
        <v>40</v>
      </c>
      <c r="X6153" s="37">
        <v>2.1999999999999999E-2</v>
      </c>
      <c r="Y6153" s="38">
        <v>7.7000000000000001E-5</v>
      </c>
      <c r="Z6153" s="21">
        <v>4601004270138</v>
      </c>
    </row>
    <row r="6154" spans="1:26" ht="12" customHeight="1" outlineLevel="4" x14ac:dyDescent="0.2">
      <c r="A6154" s="32" t="s">
        <v>11888</v>
      </c>
      <c r="B6154" s="74" t="s">
        <v>11889</v>
      </c>
      <c r="C6154" s="50"/>
      <c r="D6154" s="53">
        <f t="shared" si="96"/>
        <v>0</v>
      </c>
      <c r="E6154" s="60" t="str">
        <f>HYPERLINK("https://www.sds-group.ru/product/homut-chervyachnyy-8-12-9-0-7mm-s-klyuchom-nerzhaveyuschaya-stal-w2-50-sht-up-rexant-07-0708-1/", "Инфо")</f>
        <v>Инфо</v>
      </c>
      <c r="F6154" s="34" t="s">
        <v>39</v>
      </c>
      <c r="G6154" s="33"/>
      <c r="H6154" s="33" t="s">
        <v>40</v>
      </c>
      <c r="I6154" s="33"/>
      <c r="J6154" s="35">
        <v>200</v>
      </c>
      <c r="K6154" s="33"/>
      <c r="L6154" s="35">
        <v>50</v>
      </c>
      <c r="M6154" s="39">
        <v>1000</v>
      </c>
      <c r="N6154" s="35">
        <v>50</v>
      </c>
      <c r="O6154" s="36">
        <v>27.95</v>
      </c>
      <c r="P6154" s="36">
        <v>22.91</v>
      </c>
      <c r="Q6154" s="36">
        <v>25.99</v>
      </c>
      <c r="R6154" s="36">
        <v>21.3</v>
      </c>
      <c r="S6154" s="36">
        <v>19.010000000000002</v>
      </c>
      <c r="T6154" s="36">
        <v>15.58</v>
      </c>
      <c r="U6154" s="34"/>
      <c r="V6154" s="34"/>
      <c r="W6154" s="34" t="s">
        <v>40</v>
      </c>
      <c r="X6154" s="37">
        <v>1.0999999999999999E-2</v>
      </c>
      <c r="Y6154" s="38">
        <v>2.1999999999999999E-5</v>
      </c>
      <c r="Z6154" s="21">
        <v>4601004270411</v>
      </c>
    </row>
    <row r="6155" spans="1:26" ht="12" customHeight="1" outlineLevel="4" x14ac:dyDescent="0.2">
      <c r="A6155" s="14" t="s">
        <v>11890</v>
      </c>
      <c r="B6155" s="26" t="s">
        <v>11891</v>
      </c>
      <c r="C6155" s="52"/>
      <c r="D6155" s="55">
        <f t="shared" si="96"/>
        <v>0</v>
      </c>
      <c r="E6155" s="63" t="str">
        <f>HYPERLINK("https://www.sds-group.ru/product/homut-chervyachnyy-90-110-12-0-8mm-nerzhaveyuschaya-stal-w2-10-sht-up-rexant-07-0790-12/", "Инфо")</f>
        <v>Инфо</v>
      </c>
      <c r="F6155" s="16" t="s">
        <v>39</v>
      </c>
      <c r="G6155" s="15"/>
      <c r="H6155" s="15"/>
      <c r="I6155" s="15"/>
      <c r="J6155" s="17">
        <v>60</v>
      </c>
      <c r="K6155" s="15"/>
      <c r="L6155" s="17">
        <v>10</v>
      </c>
      <c r="M6155" s="17">
        <v>200</v>
      </c>
      <c r="N6155" s="17">
        <v>10</v>
      </c>
      <c r="O6155" s="18">
        <v>54.48</v>
      </c>
      <c r="P6155" s="18">
        <v>44.66</v>
      </c>
      <c r="Q6155" s="18">
        <v>50.67</v>
      </c>
      <c r="R6155" s="18">
        <v>41.53</v>
      </c>
      <c r="S6155" s="18">
        <v>37.049999999999997</v>
      </c>
      <c r="T6155" s="18">
        <v>30.37</v>
      </c>
      <c r="U6155" s="16"/>
      <c r="V6155" s="16"/>
      <c r="W6155" s="16" t="s">
        <v>40</v>
      </c>
      <c r="X6155" s="19">
        <v>2.8000000000000001E-2</v>
      </c>
      <c r="Y6155" s="20">
        <v>1.7000000000000001E-4</v>
      </c>
      <c r="Z6155" s="21">
        <v>4601004270145</v>
      </c>
    </row>
    <row r="6156" spans="1:26" ht="12.95" customHeight="1" outlineLevel="2" x14ac:dyDescent="0.2">
      <c r="A6156" s="76" t="s">
        <v>11892</v>
      </c>
      <c r="B6156" s="76"/>
      <c r="C6156" s="77"/>
      <c r="D6156" s="58"/>
      <c r="E6156" s="68"/>
      <c r="F6156" s="13"/>
      <c r="G6156" s="13"/>
      <c r="H6156" s="13"/>
      <c r="I6156" s="13"/>
      <c r="J6156" s="13"/>
      <c r="K6156" s="13"/>
      <c r="L6156" s="13"/>
      <c r="M6156" s="13"/>
      <c r="N6156" s="13"/>
      <c r="O6156" s="13"/>
      <c r="P6156" s="13"/>
      <c r="Q6156" s="13"/>
      <c r="R6156" s="13"/>
      <c r="S6156" s="13"/>
      <c r="T6156" s="13"/>
      <c r="U6156" s="13"/>
      <c r="V6156" s="13"/>
      <c r="W6156" s="13"/>
      <c r="X6156" s="13"/>
      <c r="Y6156" s="13"/>
      <c r="Z6156" s="13"/>
    </row>
    <row r="6157" spans="1:26" ht="12.95" customHeight="1" outlineLevel="3" x14ac:dyDescent="0.2">
      <c r="A6157" s="76" t="s">
        <v>11893</v>
      </c>
      <c r="B6157" s="76"/>
      <c r="C6157" s="77"/>
      <c r="D6157" s="58"/>
      <c r="E6157" s="68"/>
      <c r="F6157" s="13"/>
      <c r="G6157" s="13"/>
      <c r="H6157" s="13"/>
      <c r="I6157" s="13"/>
      <c r="J6157" s="13"/>
      <c r="K6157" s="13"/>
      <c r="L6157" s="13"/>
      <c r="M6157" s="13"/>
      <c r="N6157" s="13"/>
      <c r="O6157" s="13"/>
      <c r="P6157" s="13"/>
      <c r="Q6157" s="13"/>
      <c r="R6157" s="13"/>
      <c r="S6157" s="13"/>
      <c r="T6157" s="13"/>
      <c r="U6157" s="13"/>
      <c r="V6157" s="13"/>
      <c r="W6157" s="13"/>
      <c r="X6157" s="13"/>
      <c r="Y6157" s="13"/>
      <c r="Z6157" s="13"/>
    </row>
    <row r="6158" spans="1:26" ht="12" customHeight="1" outlineLevel="4" x14ac:dyDescent="0.2">
      <c r="A6158" s="32" t="s">
        <v>11894</v>
      </c>
      <c r="B6158" s="74" t="s">
        <v>11895</v>
      </c>
      <c r="C6158" s="50"/>
      <c r="D6158" s="53">
        <f t="shared" si="96"/>
        <v>0</v>
      </c>
      <c r="E6158" s="60" t="str">
        <f>HYPERLINK("https://www.sds-group.ru/product/homut-styazhnoy-mini-10-12-0-5mm-20-sht-up-rexant-07-1110/", "Инфо")</f>
        <v>Инфо</v>
      </c>
      <c r="F6158" s="34" t="s">
        <v>39</v>
      </c>
      <c r="G6158" s="33"/>
      <c r="H6158" s="33" t="s">
        <v>40</v>
      </c>
      <c r="I6158" s="33"/>
      <c r="J6158" s="35">
        <v>60</v>
      </c>
      <c r="K6158" s="33"/>
      <c r="L6158" s="35">
        <v>20</v>
      </c>
      <c r="M6158" s="39">
        <v>2000</v>
      </c>
      <c r="N6158" s="35">
        <v>20</v>
      </c>
      <c r="O6158" s="36">
        <v>21.33</v>
      </c>
      <c r="P6158" s="36">
        <v>17.48</v>
      </c>
      <c r="Q6158" s="36">
        <v>14.93</v>
      </c>
      <c r="R6158" s="36">
        <v>12.24</v>
      </c>
      <c r="S6158" s="36">
        <v>14.5</v>
      </c>
      <c r="T6158" s="36">
        <v>11.89</v>
      </c>
      <c r="U6158" s="34"/>
      <c r="V6158" s="34"/>
      <c r="W6158" s="34"/>
      <c r="X6158" s="37">
        <v>6.0000000000000001E-3</v>
      </c>
      <c r="Y6158" s="38">
        <v>9.0000000000000002E-6</v>
      </c>
      <c r="Z6158" s="21">
        <v>4601004270107</v>
      </c>
    </row>
    <row r="6159" spans="1:26" ht="12.95" customHeight="1" outlineLevel="1" x14ac:dyDescent="0.2">
      <c r="A6159" s="78" t="s">
        <v>11896</v>
      </c>
      <c r="B6159" s="78"/>
      <c r="C6159" s="79"/>
      <c r="D6159" s="57"/>
      <c r="E6159" s="67"/>
      <c r="F6159" s="12"/>
      <c r="G6159" s="12"/>
      <c r="H6159" s="12"/>
      <c r="I6159" s="12"/>
      <c r="J6159" s="12"/>
      <c r="K6159" s="12"/>
      <c r="L6159" s="12"/>
      <c r="M6159" s="12"/>
      <c r="N6159" s="12"/>
      <c r="O6159" s="12"/>
      <c r="P6159" s="12"/>
      <c r="Q6159" s="12"/>
      <c r="R6159" s="12"/>
      <c r="S6159" s="12"/>
      <c r="T6159" s="12"/>
      <c r="U6159" s="12"/>
      <c r="V6159" s="12"/>
      <c r="W6159" s="12"/>
      <c r="X6159" s="12"/>
      <c r="Y6159" s="12"/>
      <c r="Z6159" s="12"/>
    </row>
    <row r="6160" spans="1:26" ht="12.95" customHeight="1" outlineLevel="2" x14ac:dyDescent="0.2">
      <c r="A6160" s="76" t="s">
        <v>11897</v>
      </c>
      <c r="B6160" s="76"/>
      <c r="C6160" s="77"/>
      <c r="D6160" s="58"/>
      <c r="E6160" s="68"/>
      <c r="F6160" s="13"/>
      <c r="G6160" s="13"/>
      <c r="H6160" s="13"/>
      <c r="I6160" s="13"/>
      <c r="J6160" s="13"/>
      <c r="K6160" s="13"/>
      <c r="L6160" s="13"/>
      <c r="M6160" s="13"/>
      <c r="N6160" s="13"/>
      <c r="O6160" s="13"/>
      <c r="P6160" s="13"/>
      <c r="Q6160" s="13"/>
      <c r="R6160" s="13"/>
      <c r="S6160" s="13"/>
      <c r="T6160" s="13"/>
      <c r="U6160" s="13"/>
      <c r="V6160" s="13"/>
      <c r="W6160" s="13"/>
      <c r="X6160" s="13"/>
      <c r="Y6160" s="13"/>
      <c r="Z6160" s="13"/>
    </row>
    <row r="6161" spans="1:26" ht="12.95" customHeight="1" outlineLevel="3" x14ac:dyDescent="0.2">
      <c r="A6161" s="76" t="s">
        <v>11898</v>
      </c>
      <c r="B6161" s="76"/>
      <c r="C6161" s="77"/>
      <c r="D6161" s="58"/>
      <c r="E6161" s="68"/>
      <c r="F6161" s="13"/>
      <c r="G6161" s="13"/>
      <c r="H6161" s="13"/>
      <c r="I6161" s="13"/>
      <c r="J6161" s="13"/>
      <c r="K6161" s="13"/>
      <c r="L6161" s="13"/>
      <c r="M6161" s="13"/>
      <c r="N6161" s="13"/>
      <c r="O6161" s="13"/>
      <c r="P6161" s="13"/>
      <c r="Q6161" s="13"/>
      <c r="R6161" s="13"/>
      <c r="S6161" s="13"/>
      <c r="T6161" s="13"/>
      <c r="U6161" s="13"/>
      <c r="V6161" s="13"/>
      <c r="W6161" s="13"/>
      <c r="X6161" s="13"/>
      <c r="Y6161" s="13"/>
      <c r="Z6161" s="13"/>
    </row>
    <row r="6162" spans="1:26" ht="12" customHeight="1" outlineLevel="4" x14ac:dyDescent="0.2">
      <c r="A6162" s="14" t="s">
        <v>11899</v>
      </c>
      <c r="B6162" s="26" t="s">
        <v>11900</v>
      </c>
      <c r="C6162" s="52"/>
      <c r="D6162" s="55">
        <f t="shared" si="96"/>
        <v>0</v>
      </c>
      <c r="E6162" s="63" t="str">
        <f>HYPERLINK("https://www.sds-group.ru/product/ploschadka-dlya-krepleniya-styazhki-22x16h4-mm-belaya-10-sht-up-rexant-07-2102-10/", "Инфо")</f>
        <v>Инфо</v>
      </c>
      <c r="F6162" s="16" t="s">
        <v>1001</v>
      </c>
      <c r="G6162" s="15"/>
      <c r="H6162" s="15"/>
      <c r="I6162" s="15"/>
      <c r="J6162" s="17">
        <v>334</v>
      </c>
      <c r="K6162" s="15"/>
      <c r="L6162" s="17">
        <v>10</v>
      </c>
      <c r="M6162" s="17">
        <v>600</v>
      </c>
      <c r="N6162" s="17">
        <v>10</v>
      </c>
      <c r="O6162" s="18">
        <v>109.37</v>
      </c>
      <c r="P6162" s="18">
        <v>89.65</v>
      </c>
      <c r="Q6162" s="18">
        <v>101.71</v>
      </c>
      <c r="R6162" s="18">
        <v>83.37</v>
      </c>
      <c r="S6162" s="18">
        <v>74.37</v>
      </c>
      <c r="T6162" s="18">
        <v>60.96</v>
      </c>
      <c r="U6162" s="16"/>
      <c r="V6162" s="16"/>
      <c r="W6162" s="16" t="s">
        <v>40</v>
      </c>
      <c r="X6162" s="19">
        <v>1.4999999999999999E-2</v>
      </c>
      <c r="Y6162" s="20">
        <v>1.55E-4</v>
      </c>
      <c r="Z6162" s="21">
        <v>4601004118904</v>
      </c>
    </row>
    <row r="6163" spans="1:26" ht="12" customHeight="1" outlineLevel="4" x14ac:dyDescent="0.2">
      <c r="A6163" s="14" t="s">
        <v>11901</v>
      </c>
      <c r="B6163" s="26" t="s">
        <v>11902</v>
      </c>
      <c r="C6163" s="52"/>
      <c r="D6163" s="55">
        <f t="shared" si="96"/>
        <v>0</v>
      </c>
      <c r="E6163" s="63" t="str">
        <f>HYPERLINK("https://www.sds-group.ru/product/ploschadka-dlya-krepleniya-styazhki-22x16h4-mm-belaya-100-sht-up-rexant-07-2102/", "Инфо")</f>
        <v>Инфо</v>
      </c>
      <c r="F6163" s="16" t="s">
        <v>1001</v>
      </c>
      <c r="G6163" s="15"/>
      <c r="H6163" s="15"/>
      <c r="I6163" s="15"/>
      <c r="J6163" s="22">
        <v>6738</v>
      </c>
      <c r="K6163" s="15" t="s">
        <v>4926</v>
      </c>
      <c r="L6163" s="17">
        <v>10</v>
      </c>
      <c r="M6163" s="17">
        <v>100</v>
      </c>
      <c r="N6163" s="17">
        <v>10</v>
      </c>
      <c r="O6163" s="18">
        <v>234.79</v>
      </c>
      <c r="P6163" s="18">
        <v>192.45</v>
      </c>
      <c r="Q6163" s="18">
        <v>164.35</v>
      </c>
      <c r="R6163" s="18">
        <v>134.71</v>
      </c>
      <c r="S6163" s="18">
        <v>159.66</v>
      </c>
      <c r="T6163" s="18">
        <v>130.87</v>
      </c>
      <c r="U6163" s="16"/>
      <c r="V6163" s="16"/>
      <c r="W6163" s="16" t="s">
        <v>40</v>
      </c>
      <c r="X6163" s="19">
        <v>0.17299999999999999</v>
      </c>
      <c r="Y6163" s="20">
        <v>6.9300000000000004E-4</v>
      </c>
      <c r="Z6163" s="21">
        <v>4610003603397</v>
      </c>
    </row>
    <row r="6164" spans="1:26" ht="12" customHeight="1" outlineLevel="4" x14ac:dyDescent="0.2">
      <c r="A6164" s="14" t="s">
        <v>11903</v>
      </c>
      <c r="B6164" s="26" t="s">
        <v>11904</v>
      </c>
      <c r="C6164" s="52"/>
      <c r="D6164" s="55">
        <f t="shared" si="96"/>
        <v>0</v>
      </c>
      <c r="E6164" s="63" t="str">
        <f>HYPERLINK("https://www.sds-group.ru/product/ploschadka-dlya-krepleniya-styazhki-22x16h4-mm-chernaya-10-sht-up-rexant-07-2103-10/", "Инфо")</f>
        <v>Инфо</v>
      </c>
      <c r="F6164" s="16" t="s">
        <v>1001</v>
      </c>
      <c r="G6164" s="15"/>
      <c r="H6164" s="15"/>
      <c r="I6164" s="15"/>
      <c r="J6164" s="22">
        <v>1357</v>
      </c>
      <c r="K6164" s="15"/>
      <c r="L6164" s="17">
        <v>10</v>
      </c>
      <c r="M6164" s="17">
        <v>600</v>
      </c>
      <c r="N6164" s="17">
        <v>10</v>
      </c>
      <c r="O6164" s="18">
        <v>109.37</v>
      </c>
      <c r="P6164" s="18">
        <v>89.65</v>
      </c>
      <c r="Q6164" s="18">
        <v>101.71</v>
      </c>
      <c r="R6164" s="18">
        <v>83.37</v>
      </c>
      <c r="S6164" s="18">
        <v>74.37</v>
      </c>
      <c r="T6164" s="18">
        <v>60.96</v>
      </c>
      <c r="U6164" s="16"/>
      <c r="V6164" s="16"/>
      <c r="W6164" s="16" t="s">
        <v>40</v>
      </c>
      <c r="X6164" s="19">
        <v>1.4E-2</v>
      </c>
      <c r="Y6164" s="20">
        <v>1.6799999999999999E-4</v>
      </c>
      <c r="Z6164" s="21">
        <v>4601004118911</v>
      </c>
    </row>
    <row r="6165" spans="1:26" ht="12" customHeight="1" outlineLevel="4" x14ac:dyDescent="0.2">
      <c r="A6165" s="14" t="s">
        <v>11905</v>
      </c>
      <c r="B6165" s="26" t="s">
        <v>11906</v>
      </c>
      <c r="C6165" s="52"/>
      <c r="D6165" s="55">
        <f t="shared" si="96"/>
        <v>0</v>
      </c>
      <c r="E6165" s="63" t="str">
        <f>HYPERLINK("https://www.sds-group.ru/product/ploschadka-dlya-krepleniya-styazhki-22x16h4-mm-chernaya-100-sht-up-rexant-07-2103/", "Инфо")</f>
        <v>Инфо</v>
      </c>
      <c r="F6165" s="16" t="s">
        <v>1001</v>
      </c>
      <c r="G6165" s="15"/>
      <c r="H6165" s="15"/>
      <c r="I6165" s="15"/>
      <c r="J6165" s="22">
        <v>10009</v>
      </c>
      <c r="K6165" s="15" t="s">
        <v>4926</v>
      </c>
      <c r="L6165" s="17">
        <v>10</v>
      </c>
      <c r="M6165" s="17">
        <v>100</v>
      </c>
      <c r="N6165" s="17">
        <v>10</v>
      </c>
      <c r="O6165" s="18">
        <v>234.79</v>
      </c>
      <c r="P6165" s="18">
        <v>192.45</v>
      </c>
      <c r="Q6165" s="18">
        <v>164.35</v>
      </c>
      <c r="R6165" s="18">
        <v>134.71</v>
      </c>
      <c r="S6165" s="18">
        <v>159.66</v>
      </c>
      <c r="T6165" s="18">
        <v>130.87</v>
      </c>
      <c r="U6165" s="16"/>
      <c r="V6165" s="16"/>
      <c r="W6165" s="16" t="s">
        <v>40</v>
      </c>
      <c r="X6165" s="19">
        <v>0.17399999999999999</v>
      </c>
      <c r="Y6165" s="20">
        <v>6.9300000000000004E-4</v>
      </c>
      <c r="Z6165" s="21">
        <v>4660008010799</v>
      </c>
    </row>
    <row r="6166" spans="1:26" ht="12" customHeight="1" outlineLevel="4" x14ac:dyDescent="0.2">
      <c r="A6166" s="14" t="s">
        <v>11907</v>
      </c>
      <c r="B6166" s="26" t="s">
        <v>11908</v>
      </c>
      <c r="C6166" s="52"/>
      <c r="D6166" s="55">
        <f t="shared" si="96"/>
        <v>0</v>
      </c>
      <c r="E6166" s="63" t="str">
        <f>HYPERLINK("https://www.sds-group.ru/product/ploschadka-dlya-krepleniya-styazhki-29x15h5-mm-belaya-100-sht-up-rexant-07-2104/", "Инфо")</f>
        <v>Инфо</v>
      </c>
      <c r="F6166" s="16" t="s">
        <v>1001</v>
      </c>
      <c r="G6166" s="15"/>
      <c r="H6166" s="15"/>
      <c r="I6166" s="15"/>
      <c r="J6166" s="17">
        <v>330</v>
      </c>
      <c r="K6166" s="15" t="s">
        <v>10151</v>
      </c>
      <c r="L6166" s="17">
        <v>5</v>
      </c>
      <c r="M6166" s="17">
        <v>50</v>
      </c>
      <c r="N6166" s="17">
        <v>5</v>
      </c>
      <c r="O6166" s="18">
        <v>320.70999999999998</v>
      </c>
      <c r="P6166" s="18">
        <v>262.88</v>
      </c>
      <c r="Q6166" s="18">
        <v>279.02</v>
      </c>
      <c r="R6166" s="18">
        <v>228.7</v>
      </c>
      <c r="S6166" s="18">
        <v>218.08</v>
      </c>
      <c r="T6166" s="18">
        <v>178.75</v>
      </c>
      <c r="U6166" s="16"/>
      <c r="V6166" s="16"/>
      <c r="W6166" s="16" t="s">
        <v>40</v>
      </c>
      <c r="X6166" s="19">
        <v>0.152</v>
      </c>
      <c r="Y6166" s="20">
        <v>7.9699999999999997E-4</v>
      </c>
      <c r="Z6166" s="21">
        <v>4601004124028</v>
      </c>
    </row>
    <row r="6167" spans="1:26" ht="12" customHeight="1" outlineLevel="4" x14ac:dyDescent="0.2">
      <c r="A6167" s="14" t="s">
        <v>11909</v>
      </c>
      <c r="B6167" s="26" t="s">
        <v>11910</v>
      </c>
      <c r="C6167" s="52"/>
      <c r="D6167" s="55">
        <f t="shared" si="96"/>
        <v>0</v>
      </c>
      <c r="E6167" s="63" t="str">
        <f>HYPERLINK("https://www.sds-group.ru/product/ploschadka-dlya-krepleniya-styazhki-29x15h5-mm-chernaya-100-sht-up-rexant-07-2105/", "Инфо")</f>
        <v>Инфо</v>
      </c>
      <c r="F6167" s="16" t="s">
        <v>1001</v>
      </c>
      <c r="G6167" s="15"/>
      <c r="H6167" s="15"/>
      <c r="I6167" s="15"/>
      <c r="J6167" s="17">
        <v>547</v>
      </c>
      <c r="K6167" s="15" t="s">
        <v>10151</v>
      </c>
      <c r="L6167" s="17">
        <v>5</v>
      </c>
      <c r="M6167" s="17">
        <v>50</v>
      </c>
      <c r="N6167" s="17">
        <v>5</v>
      </c>
      <c r="O6167" s="18">
        <v>320.70999999999998</v>
      </c>
      <c r="P6167" s="18">
        <v>262.88</v>
      </c>
      <c r="Q6167" s="18">
        <v>279.02</v>
      </c>
      <c r="R6167" s="18">
        <v>228.7</v>
      </c>
      <c r="S6167" s="18">
        <v>218.08</v>
      </c>
      <c r="T6167" s="18">
        <v>178.75</v>
      </c>
      <c r="U6167" s="16"/>
      <c r="V6167" s="16"/>
      <c r="W6167" s="16" t="s">
        <v>40</v>
      </c>
      <c r="X6167" s="19">
        <v>0.152</v>
      </c>
      <c r="Y6167" s="20">
        <v>8.1099999999999998E-4</v>
      </c>
      <c r="Z6167" s="21">
        <v>4601004124035</v>
      </c>
    </row>
    <row r="6168" spans="1:26" ht="12.95" customHeight="1" outlineLevel="3" x14ac:dyDescent="0.2">
      <c r="A6168" s="76" t="s">
        <v>11911</v>
      </c>
      <c r="B6168" s="76"/>
      <c r="C6168" s="77"/>
      <c r="D6168" s="58"/>
      <c r="E6168" s="68"/>
      <c r="F6168" s="13"/>
      <c r="G6168" s="13"/>
      <c r="H6168" s="13"/>
      <c r="I6168" s="13"/>
      <c r="J6168" s="13"/>
      <c r="K6168" s="13"/>
      <c r="L6168" s="13"/>
      <c r="M6168" s="13"/>
      <c r="N6168" s="13"/>
      <c r="O6168" s="13"/>
      <c r="P6168" s="13"/>
      <c r="Q6168" s="13"/>
      <c r="R6168" s="13"/>
      <c r="S6168" s="13"/>
      <c r="T6168" s="13"/>
      <c r="U6168" s="13"/>
      <c r="V6168" s="13"/>
      <c r="W6168" s="13"/>
      <c r="X6168" s="13"/>
      <c r="Y6168" s="13"/>
      <c r="Z6168" s="13"/>
    </row>
    <row r="6169" spans="1:26" ht="12" customHeight="1" outlineLevel="4" x14ac:dyDescent="0.2">
      <c r="A6169" s="40" t="s">
        <v>11912</v>
      </c>
      <c r="B6169" s="75" t="s">
        <v>11913</v>
      </c>
      <c r="C6169" s="51"/>
      <c r="D6169" s="54">
        <f t="shared" si="96"/>
        <v>0</v>
      </c>
      <c r="E6169" s="61" t="str">
        <f>HYPERLINK("https://www.sds-group.ru/product/ploschadka-pod-styazhku-dlya-pryamogo-montazha-22x16mm-belaya-100-sht-up-rexant-07-2110/", "Инфо")</f>
        <v>Инфо</v>
      </c>
      <c r="F6169" s="42" t="s">
        <v>1001</v>
      </c>
      <c r="G6169" s="41" t="s">
        <v>40</v>
      </c>
      <c r="H6169" s="41"/>
      <c r="I6169" s="41"/>
      <c r="J6169" s="43">
        <v>624</v>
      </c>
      <c r="K6169" s="41"/>
      <c r="L6169" s="43">
        <v>5</v>
      </c>
      <c r="M6169" s="43">
        <v>10</v>
      </c>
      <c r="N6169" s="43">
        <v>5</v>
      </c>
      <c r="O6169" s="44">
        <v>328.8</v>
      </c>
      <c r="P6169" s="44">
        <v>269.51</v>
      </c>
      <c r="Q6169" s="44">
        <v>276.19</v>
      </c>
      <c r="R6169" s="44">
        <v>226.39</v>
      </c>
      <c r="S6169" s="44">
        <v>223.58</v>
      </c>
      <c r="T6169" s="44">
        <v>183.26</v>
      </c>
      <c r="U6169" s="42"/>
      <c r="V6169" s="42"/>
      <c r="W6169" s="42" t="s">
        <v>40</v>
      </c>
      <c r="X6169" s="45">
        <v>0.20399999999999999</v>
      </c>
      <c r="Y6169" s="46">
        <v>1.0499999999999999E-3</v>
      </c>
      <c r="Z6169" s="21">
        <v>4601004342064</v>
      </c>
    </row>
    <row r="6170" spans="1:26" ht="12" customHeight="1" outlineLevel="4" x14ac:dyDescent="0.2">
      <c r="A6170" s="40" t="s">
        <v>11914</v>
      </c>
      <c r="B6170" s="75" t="s">
        <v>11915</v>
      </c>
      <c r="C6170" s="51"/>
      <c r="D6170" s="54">
        <f t="shared" si="96"/>
        <v>0</v>
      </c>
      <c r="E6170" s="61" t="str">
        <f>HYPERLINK("https://www.sds-group.ru/product/ploschadka-pod-styazhku-dlya-pryamogo-montazha-22x16mm-chernaya-100-sht-up-rexant-07-2111/", "Инфо")</f>
        <v>Инфо</v>
      </c>
      <c r="F6170" s="42" t="s">
        <v>1001</v>
      </c>
      <c r="G6170" s="41" t="s">
        <v>40</v>
      </c>
      <c r="H6170" s="41"/>
      <c r="I6170" s="41"/>
      <c r="J6170" s="47">
        <v>1024</v>
      </c>
      <c r="K6170" s="41"/>
      <c r="L6170" s="43">
        <v>5</v>
      </c>
      <c r="M6170" s="43">
        <v>10</v>
      </c>
      <c r="N6170" s="43">
        <v>5</v>
      </c>
      <c r="O6170" s="44">
        <v>328.8</v>
      </c>
      <c r="P6170" s="44">
        <v>269.51</v>
      </c>
      <c r="Q6170" s="44">
        <v>276.19</v>
      </c>
      <c r="R6170" s="44">
        <v>226.39</v>
      </c>
      <c r="S6170" s="44">
        <v>223.58</v>
      </c>
      <c r="T6170" s="44">
        <v>183.26</v>
      </c>
      <c r="U6170" s="42"/>
      <c r="V6170" s="42"/>
      <c r="W6170" s="42" t="s">
        <v>40</v>
      </c>
      <c r="X6170" s="45">
        <v>0.20100000000000001</v>
      </c>
      <c r="Y6170" s="46">
        <v>1.073E-3</v>
      </c>
      <c r="Z6170" s="21">
        <v>4601004342071</v>
      </c>
    </row>
    <row r="6171" spans="1:26" ht="12" customHeight="1" outlineLevel="4" x14ac:dyDescent="0.2">
      <c r="A6171" s="14" t="s">
        <v>11916</v>
      </c>
      <c r="B6171" s="26" t="s">
        <v>11917</v>
      </c>
      <c r="C6171" s="52"/>
      <c r="D6171" s="55">
        <f t="shared" si="96"/>
        <v>0</v>
      </c>
      <c r="E6171" s="63" t="str">
        <f>HYPERLINK("https://www.sds-group.ru/product/ploschadka-pod-styazhku-dlya-pryamogo-montazha-30h20mm-belaya-100-sht-up-rexant-07-2107/", "Инфо")</f>
        <v>Инфо</v>
      </c>
      <c r="F6171" s="16" t="s">
        <v>1001</v>
      </c>
      <c r="G6171" s="15"/>
      <c r="H6171" s="15"/>
      <c r="I6171" s="15"/>
      <c r="J6171" s="17">
        <v>245</v>
      </c>
      <c r="K6171" s="15"/>
      <c r="L6171" s="17">
        <v>5</v>
      </c>
      <c r="M6171" s="17">
        <v>50</v>
      </c>
      <c r="N6171" s="17">
        <v>5</v>
      </c>
      <c r="O6171" s="18">
        <v>311.54000000000002</v>
      </c>
      <c r="P6171" s="18">
        <v>255.36</v>
      </c>
      <c r="Q6171" s="18">
        <v>274.16000000000003</v>
      </c>
      <c r="R6171" s="18">
        <v>224.72</v>
      </c>
      <c r="S6171" s="18">
        <v>211.85</v>
      </c>
      <c r="T6171" s="18">
        <v>173.65</v>
      </c>
      <c r="U6171" s="16"/>
      <c r="V6171" s="16"/>
      <c r="W6171" s="16" t="s">
        <v>40</v>
      </c>
      <c r="X6171" s="19">
        <v>0.224</v>
      </c>
      <c r="Y6171" s="20">
        <v>9.6299999999999999E-4</v>
      </c>
      <c r="Z6171" s="21">
        <v>4601004269606</v>
      </c>
    </row>
    <row r="6172" spans="1:26" ht="12" customHeight="1" outlineLevel="4" x14ac:dyDescent="0.2">
      <c r="A6172" s="14" t="s">
        <v>11918</v>
      </c>
      <c r="B6172" s="26" t="s">
        <v>11919</v>
      </c>
      <c r="C6172" s="52"/>
      <c r="D6172" s="55">
        <f t="shared" si="96"/>
        <v>0</v>
      </c>
      <c r="E6172" s="63" t="str">
        <f>HYPERLINK("https://www.sds-group.ru/product/ploschadka-pod-styazhku-dlya-pryamogo-montazha-30h20mm-seraya-100-sht-up-rexant-07-2108/", "Инфо")</f>
        <v>Инфо</v>
      </c>
      <c r="F6172" s="16" t="s">
        <v>1001</v>
      </c>
      <c r="G6172" s="15"/>
      <c r="H6172" s="15"/>
      <c r="I6172" s="15"/>
      <c r="J6172" s="17">
        <v>971</v>
      </c>
      <c r="K6172" s="15"/>
      <c r="L6172" s="17">
        <v>5</v>
      </c>
      <c r="M6172" s="17">
        <v>15</v>
      </c>
      <c r="N6172" s="17">
        <v>5</v>
      </c>
      <c r="O6172" s="18">
        <v>311.54000000000002</v>
      </c>
      <c r="P6172" s="18">
        <v>255.36</v>
      </c>
      <c r="Q6172" s="18">
        <v>274.16000000000003</v>
      </c>
      <c r="R6172" s="18">
        <v>224.72</v>
      </c>
      <c r="S6172" s="18">
        <v>211.85</v>
      </c>
      <c r="T6172" s="18">
        <v>173.65</v>
      </c>
      <c r="U6172" s="16"/>
      <c r="V6172" s="16"/>
      <c r="W6172" s="16" t="s">
        <v>40</v>
      </c>
      <c r="X6172" s="19">
        <v>0.222</v>
      </c>
      <c r="Y6172" s="20">
        <v>9.5799999999999998E-4</v>
      </c>
      <c r="Z6172" s="21">
        <v>4601004269613</v>
      </c>
    </row>
    <row r="6173" spans="1:26" ht="12" customHeight="1" outlineLevel="4" x14ac:dyDescent="0.2">
      <c r="A6173" s="14" t="s">
        <v>11920</v>
      </c>
      <c r="B6173" s="26" t="s">
        <v>11921</v>
      </c>
      <c r="C6173" s="52"/>
      <c r="D6173" s="55">
        <f t="shared" si="96"/>
        <v>0</v>
      </c>
      <c r="E6173" s="63" t="str">
        <f>HYPERLINK("https://www.sds-group.ru/product/ploschadka-pod-styazhku-dlya-pryamogo-montazha-30h20mm-chernaya-100-sht-up-rexant-07-2106/", "Инфо")</f>
        <v>Инфо</v>
      </c>
      <c r="F6173" s="16" t="s">
        <v>1001</v>
      </c>
      <c r="G6173" s="15"/>
      <c r="H6173" s="15"/>
      <c r="I6173" s="15"/>
      <c r="J6173" s="22">
        <v>6814</v>
      </c>
      <c r="K6173" s="15"/>
      <c r="L6173" s="17">
        <v>5</v>
      </c>
      <c r="M6173" s="17">
        <v>50</v>
      </c>
      <c r="N6173" s="17">
        <v>5</v>
      </c>
      <c r="O6173" s="18">
        <v>311.54000000000002</v>
      </c>
      <c r="P6173" s="18">
        <v>255.36</v>
      </c>
      <c r="Q6173" s="18">
        <v>274.16000000000003</v>
      </c>
      <c r="R6173" s="18">
        <v>224.72</v>
      </c>
      <c r="S6173" s="18">
        <v>211.85</v>
      </c>
      <c r="T6173" s="18">
        <v>173.65</v>
      </c>
      <c r="U6173" s="16"/>
      <c r="V6173" s="16"/>
      <c r="W6173" s="16" t="s">
        <v>40</v>
      </c>
      <c r="X6173" s="19">
        <v>0.22500000000000001</v>
      </c>
      <c r="Y6173" s="20">
        <v>9.6400000000000001E-4</v>
      </c>
      <c r="Z6173" s="21">
        <v>4601004269590</v>
      </c>
    </row>
    <row r="6174" spans="1:26" ht="12" customHeight="1" outlineLevel="4" x14ac:dyDescent="0.2">
      <c r="A6174" s="40" t="s">
        <v>11922</v>
      </c>
      <c r="B6174" s="75" t="s">
        <v>11923</v>
      </c>
      <c r="C6174" s="51"/>
      <c r="D6174" s="54">
        <f t="shared" si="96"/>
        <v>0</v>
      </c>
      <c r="E6174" s="61" t="str">
        <f>HYPERLINK("https://www.sds-group.ru/product/ploschadka-pod-styazhku-usilennaya-dlya-pryamogo-montazha-35h35mm-chernaya-50-sht-up-rexant-07-2109/", "Инфо")</f>
        <v>Инфо</v>
      </c>
      <c r="F6174" s="42" t="s">
        <v>1001</v>
      </c>
      <c r="G6174" s="41" t="s">
        <v>40</v>
      </c>
      <c r="H6174" s="41" t="s">
        <v>40</v>
      </c>
      <c r="I6174" s="41"/>
      <c r="J6174" s="43">
        <v>409</v>
      </c>
      <c r="K6174" s="41"/>
      <c r="L6174" s="43">
        <v>5</v>
      </c>
      <c r="M6174" s="43">
        <v>20</v>
      </c>
      <c r="N6174" s="43">
        <v>5</v>
      </c>
      <c r="O6174" s="44">
        <v>229.39</v>
      </c>
      <c r="P6174" s="44">
        <v>188.02</v>
      </c>
      <c r="Q6174" s="44">
        <v>222.51</v>
      </c>
      <c r="R6174" s="44">
        <v>182.39</v>
      </c>
      <c r="S6174" s="44">
        <v>155.99</v>
      </c>
      <c r="T6174" s="44">
        <v>127.86</v>
      </c>
      <c r="U6174" s="42"/>
      <c r="V6174" s="42"/>
      <c r="W6174" s="42" t="s">
        <v>40</v>
      </c>
      <c r="X6174" s="45">
        <v>0.27600000000000002</v>
      </c>
      <c r="Y6174" s="46">
        <v>1.279E-3</v>
      </c>
      <c r="Z6174" s="21">
        <v>4601004342057</v>
      </c>
    </row>
    <row r="6175" spans="1:26" ht="12.95" customHeight="1" outlineLevel="3" x14ac:dyDescent="0.2">
      <c r="A6175" s="76" t="s">
        <v>11924</v>
      </c>
      <c r="B6175" s="76"/>
      <c r="C6175" s="77"/>
      <c r="D6175" s="58"/>
      <c r="E6175" s="68"/>
      <c r="F6175" s="13"/>
      <c r="G6175" s="13"/>
      <c r="H6175" s="13"/>
      <c r="I6175" s="13"/>
      <c r="J6175" s="13"/>
      <c r="K6175" s="13"/>
      <c r="L6175" s="13"/>
      <c r="M6175" s="13"/>
      <c r="N6175" s="13"/>
      <c r="O6175" s="13"/>
      <c r="P6175" s="13"/>
      <c r="Q6175" s="13"/>
      <c r="R6175" s="13"/>
      <c r="S6175" s="13"/>
      <c r="T6175" s="13"/>
      <c r="U6175" s="13"/>
      <c r="V6175" s="13"/>
      <c r="W6175" s="13"/>
      <c r="X6175" s="13"/>
      <c r="Y6175" s="13"/>
      <c r="Z6175" s="13"/>
    </row>
    <row r="6176" spans="1:26" ht="12" customHeight="1" outlineLevel="4" x14ac:dyDescent="0.2">
      <c r="A6176" s="14" t="s">
        <v>11925</v>
      </c>
      <c r="B6176" s="26" t="s">
        <v>11926</v>
      </c>
      <c r="C6176" s="52"/>
      <c r="D6176" s="55">
        <f t="shared" si="96"/>
        <v>0</v>
      </c>
      <c r="E6176" s="63" t="str">
        <f>HYPERLINK("https://www.sds-group.ru/product/ploschadka-pod-vint-samokleyaschayasya-rexant-28h28-mm-belaya-upakovka-100-sht-263/", "Инфо")</f>
        <v>Инфо</v>
      </c>
      <c r="F6176" s="16" t="s">
        <v>1001</v>
      </c>
      <c r="G6176" s="15"/>
      <c r="H6176" s="15"/>
      <c r="I6176" s="15"/>
      <c r="J6176" s="16" t="s">
        <v>100</v>
      </c>
      <c r="K6176" s="15" t="s">
        <v>4926</v>
      </c>
      <c r="L6176" s="17">
        <v>1</v>
      </c>
      <c r="M6176" s="17">
        <v>50</v>
      </c>
      <c r="N6176" s="17">
        <v>1</v>
      </c>
      <c r="O6176" s="18">
        <v>1181.6099999999999</v>
      </c>
      <c r="P6176" s="18">
        <v>968.53</v>
      </c>
      <c r="Q6176" s="18">
        <v>1028</v>
      </c>
      <c r="R6176" s="18">
        <v>842.62</v>
      </c>
      <c r="S6176" s="18">
        <v>803.49</v>
      </c>
      <c r="T6176" s="18">
        <v>658.6</v>
      </c>
      <c r="U6176" s="16"/>
      <c r="V6176" s="16"/>
      <c r="W6176" s="16" t="s">
        <v>40</v>
      </c>
      <c r="X6176" s="19">
        <v>0.20300000000000001</v>
      </c>
      <c r="Y6176" s="20">
        <v>9.4700000000000003E-4</v>
      </c>
      <c r="Z6176" s="21">
        <v>4610003603403</v>
      </c>
    </row>
    <row r="6177" spans="1:26" ht="12" customHeight="1" outlineLevel="4" x14ac:dyDescent="0.2">
      <c r="A6177" s="14" t="s">
        <v>11927</v>
      </c>
      <c r="B6177" s="26" t="s">
        <v>11928</v>
      </c>
      <c r="C6177" s="52"/>
      <c r="D6177" s="55">
        <f t="shared" si="96"/>
        <v>0</v>
      </c>
      <c r="E6177" s="63" t="str">
        <f>HYPERLINK("https://www.sds-group.ru/product/ploschadka-samokleyaschayasya-20h20-mm-belaya-10-sht-up-rexant-07-2020-1/", "Инфо")</f>
        <v>Инфо</v>
      </c>
      <c r="F6177" s="16" t="s">
        <v>1001</v>
      </c>
      <c r="G6177" s="15"/>
      <c r="H6177" s="15"/>
      <c r="I6177" s="15"/>
      <c r="J6177" s="22">
        <v>1083</v>
      </c>
      <c r="K6177" s="15" t="s">
        <v>979</v>
      </c>
      <c r="L6177" s="17">
        <v>10</v>
      </c>
      <c r="M6177" s="17">
        <v>500</v>
      </c>
      <c r="N6177" s="17">
        <v>10</v>
      </c>
      <c r="O6177" s="18">
        <v>53.9</v>
      </c>
      <c r="P6177" s="18">
        <v>44.18</v>
      </c>
      <c r="Q6177" s="18">
        <v>50.13</v>
      </c>
      <c r="R6177" s="18">
        <v>41.09</v>
      </c>
      <c r="S6177" s="18">
        <v>36.65</v>
      </c>
      <c r="T6177" s="18">
        <v>30.04</v>
      </c>
      <c r="U6177" s="16"/>
      <c r="V6177" s="16"/>
      <c r="W6177" s="16" t="s">
        <v>40</v>
      </c>
      <c r="X6177" s="19">
        <v>1.4E-2</v>
      </c>
      <c r="Y6177" s="20">
        <v>8.7000000000000001E-5</v>
      </c>
      <c r="Z6177" s="21">
        <v>4601004119369</v>
      </c>
    </row>
    <row r="6178" spans="1:26" ht="12" customHeight="1" outlineLevel="4" x14ac:dyDescent="0.2">
      <c r="A6178" s="14" t="s">
        <v>11929</v>
      </c>
      <c r="B6178" s="26" t="s">
        <v>11930</v>
      </c>
      <c r="C6178" s="52"/>
      <c r="D6178" s="55">
        <f t="shared" si="96"/>
        <v>0</v>
      </c>
      <c r="E6178" s="63" t="str">
        <f>HYPERLINK("https://www.sds-group.ru/product/ploschadka-samokleyaschayasya-20h20-mm-belaya-100-sht-up-rexant-07-2020/", "Инфо")</f>
        <v>Инфо</v>
      </c>
      <c r="F6178" s="16" t="s">
        <v>1001</v>
      </c>
      <c r="G6178" s="15"/>
      <c r="H6178" s="15"/>
      <c r="I6178" s="15"/>
      <c r="J6178" s="22">
        <v>5530</v>
      </c>
      <c r="K6178" s="15" t="s">
        <v>4926</v>
      </c>
      <c r="L6178" s="17">
        <v>10</v>
      </c>
      <c r="M6178" s="17">
        <v>100</v>
      </c>
      <c r="N6178" s="17">
        <v>10</v>
      </c>
      <c r="O6178" s="18">
        <v>233.2</v>
      </c>
      <c r="P6178" s="18">
        <v>191.15</v>
      </c>
      <c r="Q6178" s="18">
        <v>216.88</v>
      </c>
      <c r="R6178" s="18">
        <v>177.77</v>
      </c>
      <c r="S6178" s="18">
        <v>158.58000000000001</v>
      </c>
      <c r="T6178" s="18">
        <v>129.97999999999999</v>
      </c>
      <c r="U6178" s="16"/>
      <c r="V6178" s="16"/>
      <c r="W6178" s="16" t="s">
        <v>40</v>
      </c>
      <c r="X6178" s="19">
        <v>7.2999999999999995E-2</v>
      </c>
      <c r="Y6178" s="20">
        <v>4.2400000000000001E-4</v>
      </c>
      <c r="Z6178" s="21">
        <v>4610003603359</v>
      </c>
    </row>
    <row r="6179" spans="1:26" ht="12" customHeight="1" outlineLevel="4" x14ac:dyDescent="0.2">
      <c r="A6179" s="14" t="s">
        <v>11931</v>
      </c>
      <c r="B6179" s="26" t="s">
        <v>11932</v>
      </c>
      <c r="C6179" s="52"/>
      <c r="D6179" s="55">
        <f t="shared" si="96"/>
        <v>0</v>
      </c>
      <c r="E6179" s="63" t="str">
        <f>HYPERLINK("https://www.sds-group.ru/product/ploschadka-samokleyaschayasya-20h20-mm-chernaya-10-sht-up-rexant-07-2021-10/", "Инфо")</f>
        <v>Инфо</v>
      </c>
      <c r="F6179" s="16" t="s">
        <v>1001</v>
      </c>
      <c r="G6179" s="15"/>
      <c r="H6179" s="15"/>
      <c r="I6179" s="15"/>
      <c r="J6179" s="17">
        <v>436</v>
      </c>
      <c r="K6179" s="15" t="s">
        <v>979</v>
      </c>
      <c r="L6179" s="17">
        <v>10</v>
      </c>
      <c r="M6179" s="17">
        <v>500</v>
      </c>
      <c r="N6179" s="17">
        <v>10</v>
      </c>
      <c r="O6179" s="18">
        <v>64.680000000000007</v>
      </c>
      <c r="P6179" s="18">
        <v>53.02</v>
      </c>
      <c r="Q6179" s="18">
        <v>60.15</v>
      </c>
      <c r="R6179" s="18">
        <v>49.3</v>
      </c>
      <c r="S6179" s="18">
        <v>43.98</v>
      </c>
      <c r="T6179" s="18">
        <v>36.049999999999997</v>
      </c>
      <c r="U6179" s="16"/>
      <c r="V6179" s="16"/>
      <c r="W6179" s="16" t="s">
        <v>40</v>
      </c>
      <c r="X6179" s="19">
        <v>1.4E-2</v>
      </c>
      <c r="Y6179" s="20">
        <v>8.7999999999999998E-5</v>
      </c>
      <c r="Z6179" s="21">
        <v>4601004119031</v>
      </c>
    </row>
    <row r="6180" spans="1:26" ht="12" customHeight="1" outlineLevel="4" x14ac:dyDescent="0.2">
      <c r="A6180" s="14" t="s">
        <v>11933</v>
      </c>
      <c r="B6180" s="26" t="s">
        <v>11934</v>
      </c>
      <c r="C6180" s="52"/>
      <c r="D6180" s="55">
        <f t="shared" si="96"/>
        <v>0</v>
      </c>
      <c r="E6180" s="63" t="str">
        <f>HYPERLINK("https://www.sds-group.ru/product/ploschadka-samokleyaschayasya-20h20-mm-chernaya-100-sht-up-rexant-07-2021/", "Инфо")</f>
        <v>Инфо</v>
      </c>
      <c r="F6180" s="16" t="s">
        <v>1001</v>
      </c>
      <c r="G6180" s="15"/>
      <c r="H6180" s="15"/>
      <c r="I6180" s="15"/>
      <c r="J6180" s="22">
        <v>2885</v>
      </c>
      <c r="K6180" s="15" t="s">
        <v>979</v>
      </c>
      <c r="L6180" s="17">
        <v>10</v>
      </c>
      <c r="M6180" s="17">
        <v>100</v>
      </c>
      <c r="N6180" s="17">
        <v>10</v>
      </c>
      <c r="O6180" s="18">
        <v>233.2</v>
      </c>
      <c r="P6180" s="18">
        <v>191.15</v>
      </c>
      <c r="Q6180" s="18">
        <v>216.88</v>
      </c>
      <c r="R6180" s="18">
        <v>177.77</v>
      </c>
      <c r="S6180" s="18">
        <v>158.58000000000001</v>
      </c>
      <c r="T6180" s="18">
        <v>129.97999999999999</v>
      </c>
      <c r="U6180" s="16"/>
      <c r="V6180" s="16"/>
      <c r="W6180" s="16" t="s">
        <v>40</v>
      </c>
      <c r="X6180" s="19">
        <v>7.2999999999999995E-2</v>
      </c>
      <c r="Y6180" s="20">
        <v>4.2700000000000002E-4</v>
      </c>
      <c r="Z6180" s="21">
        <v>4601004061330</v>
      </c>
    </row>
    <row r="6181" spans="1:26" ht="12" customHeight="1" outlineLevel="4" x14ac:dyDescent="0.2">
      <c r="A6181" s="14" t="s">
        <v>11935</v>
      </c>
      <c r="B6181" s="26" t="s">
        <v>11936</v>
      </c>
      <c r="C6181" s="52"/>
      <c r="D6181" s="55">
        <f t="shared" si="96"/>
        <v>0</v>
      </c>
      <c r="E6181" s="63" t="str">
        <f>HYPERLINK("https://www.sds-group.ru/product/ploschadka-samokleyaschayasya-25h25-mm-belaya-10-sht-up-rexant-07-2025-1/", "Инфо")</f>
        <v>Инфо</v>
      </c>
      <c r="F6181" s="16" t="s">
        <v>1001</v>
      </c>
      <c r="G6181" s="15"/>
      <c r="H6181" s="15"/>
      <c r="I6181" s="15"/>
      <c r="J6181" s="17">
        <v>460</v>
      </c>
      <c r="K6181" s="15"/>
      <c r="L6181" s="17">
        <v>10</v>
      </c>
      <c r="M6181" s="17">
        <v>500</v>
      </c>
      <c r="N6181" s="17">
        <v>10</v>
      </c>
      <c r="O6181" s="18">
        <v>86.24</v>
      </c>
      <c r="P6181" s="18">
        <v>70.69</v>
      </c>
      <c r="Q6181" s="18">
        <v>80.2</v>
      </c>
      <c r="R6181" s="18">
        <v>65.739999999999995</v>
      </c>
      <c r="S6181" s="18">
        <v>58.64</v>
      </c>
      <c r="T6181" s="18">
        <v>48.07</v>
      </c>
      <c r="U6181" s="16"/>
      <c r="V6181" s="16"/>
      <c r="W6181" s="16" t="s">
        <v>40</v>
      </c>
      <c r="X6181" s="19">
        <v>1.2999999999999999E-2</v>
      </c>
      <c r="Y6181" s="20">
        <v>7.1000000000000005E-5</v>
      </c>
      <c r="Z6181" s="21">
        <v>4601004119345</v>
      </c>
    </row>
    <row r="6182" spans="1:26" ht="12" customHeight="1" outlineLevel="4" x14ac:dyDescent="0.2">
      <c r="A6182" s="14" t="s">
        <v>11937</v>
      </c>
      <c r="B6182" s="26" t="s">
        <v>11938</v>
      </c>
      <c r="C6182" s="52"/>
      <c r="D6182" s="55">
        <f t="shared" si="96"/>
        <v>0</v>
      </c>
      <c r="E6182" s="63" t="str">
        <f>HYPERLINK("https://www.sds-group.ru/product/ploschadka-samokleyaschayasya-25h25-mm-belaya-100-sht-up-rexant-07-2025/", "Инфо")</f>
        <v>Инфо</v>
      </c>
      <c r="F6182" s="16" t="s">
        <v>1001</v>
      </c>
      <c r="G6182" s="15"/>
      <c r="H6182" s="15"/>
      <c r="I6182" s="15"/>
      <c r="J6182" s="16" t="s">
        <v>100</v>
      </c>
      <c r="K6182" s="15" t="s">
        <v>4926</v>
      </c>
      <c r="L6182" s="17">
        <v>10</v>
      </c>
      <c r="M6182" s="17">
        <v>50</v>
      </c>
      <c r="N6182" s="17">
        <v>10</v>
      </c>
      <c r="O6182" s="18">
        <v>360.4</v>
      </c>
      <c r="P6182" s="18">
        <v>295.41000000000003</v>
      </c>
      <c r="Q6182" s="18">
        <v>313.55</v>
      </c>
      <c r="R6182" s="18">
        <v>257.01</v>
      </c>
      <c r="S6182" s="18">
        <v>245.07</v>
      </c>
      <c r="T6182" s="18">
        <v>200.88</v>
      </c>
      <c r="U6182" s="16"/>
      <c r="V6182" s="16"/>
      <c r="W6182" s="16" t="s">
        <v>40</v>
      </c>
      <c r="X6182" s="19">
        <v>0.11</v>
      </c>
      <c r="Y6182" s="20">
        <v>8.5300000000000003E-4</v>
      </c>
      <c r="Z6182" s="21">
        <v>4610003603366</v>
      </c>
    </row>
    <row r="6183" spans="1:26" ht="12" customHeight="1" outlineLevel="4" x14ac:dyDescent="0.2">
      <c r="A6183" s="14" t="s">
        <v>11939</v>
      </c>
      <c r="B6183" s="26" t="s">
        <v>11940</v>
      </c>
      <c r="C6183" s="52"/>
      <c r="D6183" s="55">
        <f t="shared" si="96"/>
        <v>0</v>
      </c>
      <c r="E6183" s="63" t="str">
        <f>HYPERLINK("https://www.sds-group.ru/product/ploschadka-samokleyaschayasya-25h25-mm-chernaya-10-sht-up-rexant-07-2026-10/", "Инфо")</f>
        <v>Инфо</v>
      </c>
      <c r="F6183" s="16" t="s">
        <v>1001</v>
      </c>
      <c r="G6183" s="15"/>
      <c r="H6183" s="15"/>
      <c r="I6183" s="15"/>
      <c r="J6183" s="22">
        <v>2476</v>
      </c>
      <c r="K6183" s="15"/>
      <c r="L6183" s="17">
        <v>10</v>
      </c>
      <c r="M6183" s="17">
        <v>500</v>
      </c>
      <c r="N6183" s="17">
        <v>10</v>
      </c>
      <c r="O6183" s="18">
        <v>86.24</v>
      </c>
      <c r="P6183" s="18">
        <v>70.69</v>
      </c>
      <c r="Q6183" s="18">
        <v>80.2</v>
      </c>
      <c r="R6183" s="18">
        <v>65.739999999999995</v>
      </c>
      <c r="S6183" s="18">
        <v>58.64</v>
      </c>
      <c r="T6183" s="18">
        <v>48.07</v>
      </c>
      <c r="U6183" s="16"/>
      <c r="V6183" s="16"/>
      <c r="W6183" s="16" t="s">
        <v>40</v>
      </c>
      <c r="X6183" s="19">
        <v>1.2999999999999999E-2</v>
      </c>
      <c r="Y6183" s="20">
        <v>8.5000000000000006E-5</v>
      </c>
      <c r="Z6183" s="21">
        <v>4601004118881</v>
      </c>
    </row>
    <row r="6184" spans="1:26" ht="12" customHeight="1" outlineLevel="4" x14ac:dyDescent="0.2">
      <c r="A6184" s="14" t="s">
        <v>11941</v>
      </c>
      <c r="B6184" s="26" t="s">
        <v>11942</v>
      </c>
      <c r="C6184" s="52"/>
      <c r="D6184" s="55">
        <f t="shared" si="96"/>
        <v>0</v>
      </c>
      <c r="E6184" s="63" t="str">
        <f>HYPERLINK("https://www.sds-group.ru/product/ploschadka-samokleyaschayasya-25h25-mm-chernaya-100-sht-up-rexant-07-2026/", "Инфо")</f>
        <v>Инфо</v>
      </c>
      <c r="F6184" s="16" t="s">
        <v>1001</v>
      </c>
      <c r="G6184" s="15"/>
      <c r="H6184" s="15"/>
      <c r="I6184" s="15"/>
      <c r="J6184" s="17">
        <v>543</v>
      </c>
      <c r="K6184" s="15" t="s">
        <v>4926</v>
      </c>
      <c r="L6184" s="17">
        <v>10</v>
      </c>
      <c r="M6184" s="17">
        <v>50</v>
      </c>
      <c r="N6184" s="17">
        <v>10</v>
      </c>
      <c r="O6184" s="18">
        <v>360.4</v>
      </c>
      <c r="P6184" s="18">
        <v>295.41000000000003</v>
      </c>
      <c r="Q6184" s="18">
        <v>313.55</v>
      </c>
      <c r="R6184" s="18">
        <v>257.01</v>
      </c>
      <c r="S6184" s="18">
        <v>245.07</v>
      </c>
      <c r="T6184" s="18">
        <v>200.88</v>
      </c>
      <c r="U6184" s="16"/>
      <c r="V6184" s="16"/>
      <c r="W6184" s="16" t="s">
        <v>40</v>
      </c>
      <c r="X6184" s="19">
        <v>0.12</v>
      </c>
      <c r="Y6184" s="20">
        <v>7.2199999999999999E-4</v>
      </c>
      <c r="Z6184" s="21">
        <v>4601004061323</v>
      </c>
    </row>
    <row r="6185" spans="1:26" ht="12" customHeight="1" outlineLevel="4" x14ac:dyDescent="0.2">
      <c r="A6185" s="14" t="s">
        <v>11943</v>
      </c>
      <c r="B6185" s="26" t="s">
        <v>11944</v>
      </c>
      <c r="C6185" s="52"/>
      <c r="D6185" s="55">
        <f t="shared" si="96"/>
        <v>0</v>
      </c>
      <c r="E6185" s="63" t="str">
        <f>HYPERLINK("https://www.sds-group.ru/product/ploschadka-samokleyaschayasya-30h30-mm-belaya-100-sht-up-rexant-07-2030/", "Инфо")</f>
        <v>Инфо</v>
      </c>
      <c r="F6185" s="16" t="s">
        <v>1001</v>
      </c>
      <c r="G6185" s="15"/>
      <c r="H6185" s="15"/>
      <c r="I6185" s="15"/>
      <c r="J6185" s="17">
        <v>965</v>
      </c>
      <c r="K6185" s="15" t="s">
        <v>4926</v>
      </c>
      <c r="L6185" s="17">
        <v>10</v>
      </c>
      <c r="M6185" s="17">
        <v>40</v>
      </c>
      <c r="N6185" s="17">
        <v>10</v>
      </c>
      <c r="O6185" s="18">
        <v>504.52</v>
      </c>
      <c r="P6185" s="18">
        <v>413.54</v>
      </c>
      <c r="Q6185" s="18">
        <v>438.93</v>
      </c>
      <c r="R6185" s="18">
        <v>359.78</v>
      </c>
      <c r="S6185" s="18">
        <v>343.07</v>
      </c>
      <c r="T6185" s="18">
        <v>281.2</v>
      </c>
      <c r="U6185" s="16"/>
      <c r="V6185" s="16"/>
      <c r="W6185" s="16" t="s">
        <v>40</v>
      </c>
      <c r="X6185" s="19">
        <v>0.153</v>
      </c>
      <c r="Y6185" s="20">
        <v>9.4499999999999998E-4</v>
      </c>
      <c r="Z6185" s="21">
        <v>4610003603373</v>
      </c>
    </row>
    <row r="6186" spans="1:26" ht="12" customHeight="1" outlineLevel="4" x14ac:dyDescent="0.2">
      <c r="A6186" s="14" t="s">
        <v>11945</v>
      </c>
      <c r="B6186" s="26" t="s">
        <v>11946</v>
      </c>
      <c r="C6186" s="52"/>
      <c r="D6186" s="55">
        <f t="shared" si="96"/>
        <v>0</v>
      </c>
      <c r="E6186" s="63" t="str">
        <f>HYPERLINK("https://www.sds-group.ru/product/ploschadka-samokleyaschayasya-30h30-mm-chernaya-100-sht-up-rexant-07-2031/", "Инфо")</f>
        <v>Инфо</v>
      </c>
      <c r="F6186" s="16" t="s">
        <v>1001</v>
      </c>
      <c r="G6186" s="15"/>
      <c r="H6186" s="15"/>
      <c r="I6186" s="15"/>
      <c r="J6186" s="17">
        <v>278</v>
      </c>
      <c r="K6186" s="15" t="s">
        <v>4926</v>
      </c>
      <c r="L6186" s="17">
        <v>10</v>
      </c>
      <c r="M6186" s="17">
        <v>40</v>
      </c>
      <c r="N6186" s="17">
        <v>10</v>
      </c>
      <c r="O6186" s="18">
        <v>504.52</v>
      </c>
      <c r="P6186" s="18">
        <v>413.54</v>
      </c>
      <c r="Q6186" s="18">
        <v>438.93</v>
      </c>
      <c r="R6186" s="18">
        <v>359.78</v>
      </c>
      <c r="S6186" s="18">
        <v>343.07</v>
      </c>
      <c r="T6186" s="18">
        <v>281.2</v>
      </c>
      <c r="U6186" s="16"/>
      <c r="V6186" s="16"/>
      <c r="W6186" s="16" t="s">
        <v>40</v>
      </c>
      <c r="X6186" s="19">
        <v>0.28499999999999998</v>
      </c>
      <c r="Y6186" s="20">
        <v>1.415E-3</v>
      </c>
      <c r="Z6186" s="21">
        <v>4601004061347</v>
      </c>
    </row>
    <row r="6187" spans="1:26" ht="12.95" customHeight="1" outlineLevel="2" x14ac:dyDescent="0.2">
      <c r="A6187" s="76" t="s">
        <v>11947</v>
      </c>
      <c r="B6187" s="76"/>
      <c r="C6187" s="77"/>
      <c r="D6187" s="58"/>
      <c r="E6187" s="68"/>
      <c r="F6187" s="13"/>
      <c r="G6187" s="13"/>
      <c r="H6187" s="13"/>
      <c r="I6187" s="13"/>
      <c r="J6187" s="13"/>
      <c r="K6187" s="13"/>
      <c r="L6187" s="13"/>
      <c r="M6187" s="13"/>
      <c r="N6187" s="13"/>
      <c r="O6187" s="13"/>
      <c r="P6187" s="13"/>
      <c r="Q6187" s="13"/>
      <c r="R6187" s="13"/>
      <c r="S6187" s="13"/>
      <c r="T6187" s="13"/>
      <c r="U6187" s="13"/>
      <c r="V6187" s="13"/>
      <c r="W6187" s="13"/>
      <c r="X6187" s="13"/>
      <c r="Y6187" s="13"/>
      <c r="Z6187" s="13"/>
    </row>
    <row r="6188" spans="1:26" ht="12.95" customHeight="1" outlineLevel="3" x14ac:dyDescent="0.2">
      <c r="A6188" s="76" t="s">
        <v>11948</v>
      </c>
      <c r="B6188" s="76"/>
      <c r="C6188" s="77"/>
      <c r="D6188" s="58"/>
      <c r="E6188" s="68"/>
      <c r="F6188" s="13"/>
      <c r="G6188" s="13"/>
      <c r="H6188" s="13"/>
      <c r="I6188" s="13"/>
      <c r="J6188" s="13"/>
      <c r="K6188" s="13"/>
      <c r="L6188" s="13"/>
      <c r="M6188" s="13"/>
      <c r="N6188" s="13"/>
      <c r="O6188" s="13"/>
      <c r="P6188" s="13"/>
      <c r="Q6188" s="13"/>
      <c r="R6188" s="13"/>
      <c r="S6188" s="13"/>
      <c r="T6188" s="13"/>
      <c r="U6188" s="13"/>
      <c r="V6188" s="13"/>
      <c r="W6188" s="13"/>
      <c r="X6188" s="13"/>
      <c r="Y6188" s="13"/>
      <c r="Z6188" s="13"/>
    </row>
    <row r="6189" spans="1:26" ht="12" customHeight="1" outlineLevel="4" x14ac:dyDescent="0.2">
      <c r="A6189" s="14" t="s">
        <v>11949</v>
      </c>
      <c r="B6189" s="26" t="s">
        <v>11950</v>
      </c>
      <c r="C6189" s="52"/>
      <c r="D6189" s="55">
        <f t="shared" si="96"/>
        <v>0</v>
      </c>
      <c r="E6189" s="63" t="str">
        <f>HYPERLINK("https://www.sds-group.ru/product/skoba-pod-vint-12mm-belaya-50-sht-up-rexant-07-4412/", "Инфо")</f>
        <v>Инфо</v>
      </c>
      <c r="F6189" s="16" t="s">
        <v>1001</v>
      </c>
      <c r="G6189" s="15"/>
      <c r="H6189" s="15"/>
      <c r="I6189" s="15"/>
      <c r="J6189" s="22">
        <v>3947</v>
      </c>
      <c r="K6189" s="15" t="s">
        <v>979</v>
      </c>
      <c r="L6189" s="17">
        <v>10</v>
      </c>
      <c r="M6189" s="17">
        <v>200</v>
      </c>
      <c r="N6189" s="17">
        <v>10</v>
      </c>
      <c r="O6189" s="18">
        <v>123.98</v>
      </c>
      <c r="P6189" s="18">
        <v>101.62</v>
      </c>
      <c r="Q6189" s="18">
        <v>115.3</v>
      </c>
      <c r="R6189" s="18">
        <v>94.51</v>
      </c>
      <c r="S6189" s="18">
        <v>84.31</v>
      </c>
      <c r="T6189" s="18">
        <v>69.11</v>
      </c>
      <c r="U6189" s="16"/>
      <c r="V6189" s="16"/>
      <c r="W6189" s="16" t="s">
        <v>40</v>
      </c>
      <c r="X6189" s="19">
        <v>3.1E-2</v>
      </c>
      <c r="Y6189" s="20">
        <v>2.5599999999999999E-4</v>
      </c>
      <c r="Z6189" s="21">
        <v>4601004123991</v>
      </c>
    </row>
    <row r="6190" spans="1:26" ht="12" customHeight="1" outlineLevel="4" x14ac:dyDescent="0.2">
      <c r="A6190" s="14" t="s">
        <v>11951</v>
      </c>
      <c r="B6190" s="26" t="s">
        <v>11952</v>
      </c>
      <c r="C6190" s="52"/>
      <c r="D6190" s="55">
        <f t="shared" si="96"/>
        <v>0</v>
      </c>
      <c r="E6190" s="63" t="str">
        <f>HYPERLINK("https://www.sds-group.ru/product/skoba-pod-vint-12mm-chernaya-50-sht-up-rexant-07-4412-1/", "Инфо")</f>
        <v>Инфо</v>
      </c>
      <c r="F6190" s="16" t="s">
        <v>1001</v>
      </c>
      <c r="G6190" s="15"/>
      <c r="H6190" s="15"/>
      <c r="I6190" s="15"/>
      <c r="J6190" s="22">
        <v>2792</v>
      </c>
      <c r="K6190" s="15" t="s">
        <v>4926</v>
      </c>
      <c r="L6190" s="17">
        <v>10</v>
      </c>
      <c r="M6190" s="17">
        <v>200</v>
      </c>
      <c r="N6190" s="17">
        <v>10</v>
      </c>
      <c r="O6190" s="18">
        <v>123.98</v>
      </c>
      <c r="P6190" s="18">
        <v>101.62</v>
      </c>
      <c r="Q6190" s="18">
        <v>115.3</v>
      </c>
      <c r="R6190" s="18">
        <v>94.51</v>
      </c>
      <c r="S6190" s="18">
        <v>84.31</v>
      </c>
      <c r="T6190" s="18">
        <v>69.11</v>
      </c>
      <c r="U6190" s="16"/>
      <c r="V6190" s="16"/>
      <c r="W6190" s="16" t="s">
        <v>40</v>
      </c>
      <c r="X6190" s="19">
        <v>6.5000000000000002E-2</v>
      </c>
      <c r="Y6190" s="20">
        <v>3.8099999999999999E-4</v>
      </c>
      <c r="Z6190" s="21">
        <v>4601004139015</v>
      </c>
    </row>
    <row r="6191" spans="1:26" ht="12" customHeight="1" outlineLevel="4" x14ac:dyDescent="0.2">
      <c r="A6191" s="14" t="s">
        <v>11953</v>
      </c>
      <c r="B6191" s="26" t="s">
        <v>11954</v>
      </c>
      <c r="C6191" s="52"/>
      <c r="D6191" s="55">
        <f t="shared" si="96"/>
        <v>0</v>
      </c>
      <c r="E6191" s="63" t="str">
        <f>HYPERLINK("https://www.sds-group.ru/product/skoba-pod-vint-16mm-belaya-50-sht-up-rexant-07-4416/", "Инфо")</f>
        <v>Инфо</v>
      </c>
      <c r="F6191" s="16" t="s">
        <v>1001</v>
      </c>
      <c r="G6191" s="15"/>
      <c r="H6191" s="15"/>
      <c r="I6191" s="15"/>
      <c r="J6191" s="17">
        <v>687</v>
      </c>
      <c r="K6191" s="15" t="s">
        <v>4926</v>
      </c>
      <c r="L6191" s="17">
        <v>10</v>
      </c>
      <c r="M6191" s="17">
        <v>200</v>
      </c>
      <c r="N6191" s="17">
        <v>10</v>
      </c>
      <c r="O6191" s="18">
        <v>158.47</v>
      </c>
      <c r="P6191" s="18">
        <v>129.88999999999999</v>
      </c>
      <c r="Q6191" s="18">
        <v>147.38</v>
      </c>
      <c r="R6191" s="18">
        <v>120.8</v>
      </c>
      <c r="S6191" s="18">
        <v>107.76</v>
      </c>
      <c r="T6191" s="18">
        <v>88.33</v>
      </c>
      <c r="U6191" s="16"/>
      <c r="V6191" s="16"/>
      <c r="W6191" s="16" t="s">
        <v>40</v>
      </c>
      <c r="X6191" s="19">
        <v>7.0000000000000007E-2</v>
      </c>
      <c r="Y6191" s="20">
        <v>3.86E-4</v>
      </c>
      <c r="Z6191" s="21">
        <v>4601004124004</v>
      </c>
    </row>
    <row r="6192" spans="1:26" ht="12" customHeight="1" outlineLevel="4" x14ac:dyDescent="0.2">
      <c r="A6192" s="14" t="s">
        <v>11955</v>
      </c>
      <c r="B6192" s="26" t="s">
        <v>11956</v>
      </c>
      <c r="C6192" s="52"/>
      <c r="D6192" s="55">
        <f t="shared" si="96"/>
        <v>0</v>
      </c>
      <c r="E6192" s="63" t="str">
        <f>HYPERLINK("https://www.sds-group.ru/product/skoba-pod-vint-16mm-chernaya-50-sht-up-rexant-07-4416-1/", "Инфо")</f>
        <v>Инфо</v>
      </c>
      <c r="F6192" s="16" t="s">
        <v>1001</v>
      </c>
      <c r="G6192" s="15"/>
      <c r="H6192" s="15"/>
      <c r="I6192" s="15"/>
      <c r="J6192" s="22">
        <v>1678</v>
      </c>
      <c r="K6192" s="15" t="s">
        <v>4926</v>
      </c>
      <c r="L6192" s="17">
        <v>10</v>
      </c>
      <c r="M6192" s="17">
        <v>200</v>
      </c>
      <c r="N6192" s="17">
        <v>10</v>
      </c>
      <c r="O6192" s="18">
        <v>158.47</v>
      </c>
      <c r="P6192" s="18">
        <v>129.88999999999999</v>
      </c>
      <c r="Q6192" s="18">
        <v>147.38</v>
      </c>
      <c r="R6192" s="18">
        <v>120.8</v>
      </c>
      <c r="S6192" s="18">
        <v>107.76</v>
      </c>
      <c r="T6192" s="18">
        <v>88.33</v>
      </c>
      <c r="U6192" s="16"/>
      <c r="V6192" s="16"/>
      <c r="W6192" s="16" t="s">
        <v>40</v>
      </c>
      <c r="X6192" s="19">
        <v>7.0999999999999994E-2</v>
      </c>
      <c r="Y6192" s="20">
        <v>3.6600000000000001E-4</v>
      </c>
      <c r="Z6192" s="21">
        <v>4601004139022</v>
      </c>
    </row>
    <row r="6193" spans="1:26" ht="12" customHeight="1" outlineLevel="4" x14ac:dyDescent="0.2">
      <c r="A6193" s="14" t="s">
        <v>11957</v>
      </c>
      <c r="B6193" s="26" t="s">
        <v>11958</v>
      </c>
      <c r="C6193" s="52"/>
      <c r="D6193" s="55">
        <f t="shared" si="96"/>
        <v>0</v>
      </c>
      <c r="E6193" s="63" t="str">
        <f>HYPERLINK("https://www.sds-group.ru/product/skoba-pod-vint-20mm-belaya-50-sht-up-rexant-07-4420/", "Инфо")</f>
        <v>Инфо</v>
      </c>
      <c r="F6193" s="16" t="s">
        <v>1001</v>
      </c>
      <c r="G6193" s="15"/>
      <c r="H6193" s="15"/>
      <c r="I6193" s="15"/>
      <c r="J6193" s="22">
        <v>2098</v>
      </c>
      <c r="K6193" s="15" t="s">
        <v>6020</v>
      </c>
      <c r="L6193" s="17">
        <v>5</v>
      </c>
      <c r="M6193" s="17">
        <v>100</v>
      </c>
      <c r="N6193" s="17">
        <v>5</v>
      </c>
      <c r="O6193" s="18">
        <v>204.16</v>
      </c>
      <c r="P6193" s="18">
        <v>167.34</v>
      </c>
      <c r="Q6193" s="18">
        <v>189.87</v>
      </c>
      <c r="R6193" s="18">
        <v>155.63</v>
      </c>
      <c r="S6193" s="18">
        <v>138.83000000000001</v>
      </c>
      <c r="T6193" s="18">
        <v>113.8</v>
      </c>
      <c r="U6193" s="16"/>
      <c r="V6193" s="16"/>
      <c r="W6193" s="16" t="s">
        <v>40</v>
      </c>
      <c r="X6193" s="19">
        <v>9.6000000000000002E-2</v>
      </c>
      <c r="Y6193" s="20">
        <v>6.8400000000000004E-4</v>
      </c>
      <c r="Z6193" s="21">
        <v>4601004124011</v>
      </c>
    </row>
    <row r="6194" spans="1:26" ht="12" customHeight="1" outlineLevel="4" x14ac:dyDescent="0.2">
      <c r="A6194" s="14" t="s">
        <v>11959</v>
      </c>
      <c r="B6194" s="26" t="s">
        <v>11960</v>
      </c>
      <c r="C6194" s="52"/>
      <c r="D6194" s="55">
        <f t="shared" si="96"/>
        <v>0</v>
      </c>
      <c r="E6194" s="63" t="str">
        <f>HYPERLINK("https://www.sds-group.ru/product/skoba-pod-vint-20mm-chernaya-50-sht-up-rexant-07-4420-1/", "Инфо")</f>
        <v>Инфо</v>
      </c>
      <c r="F6194" s="16" t="s">
        <v>1001</v>
      </c>
      <c r="G6194" s="15"/>
      <c r="H6194" s="15"/>
      <c r="I6194" s="15"/>
      <c r="J6194" s="22">
        <v>1382</v>
      </c>
      <c r="K6194" s="15" t="s">
        <v>11961</v>
      </c>
      <c r="L6194" s="17">
        <v>5</v>
      </c>
      <c r="M6194" s="17">
        <v>100</v>
      </c>
      <c r="N6194" s="17">
        <v>5</v>
      </c>
      <c r="O6194" s="18">
        <v>204.16</v>
      </c>
      <c r="P6194" s="18">
        <v>167.34</v>
      </c>
      <c r="Q6194" s="18">
        <v>189.87</v>
      </c>
      <c r="R6194" s="18">
        <v>155.63</v>
      </c>
      <c r="S6194" s="18">
        <v>138.83000000000001</v>
      </c>
      <c r="T6194" s="18">
        <v>113.8</v>
      </c>
      <c r="U6194" s="16"/>
      <c r="V6194" s="16"/>
      <c r="W6194" s="16" t="s">
        <v>40</v>
      </c>
      <c r="X6194" s="19">
        <v>7.0999999999999994E-2</v>
      </c>
      <c r="Y6194" s="20">
        <v>7.67E-4</v>
      </c>
      <c r="Z6194" s="21">
        <v>4601004139039</v>
      </c>
    </row>
    <row r="6195" spans="1:26" ht="12" customHeight="1" outlineLevel="4" x14ac:dyDescent="0.2">
      <c r="A6195" s="14" t="s">
        <v>11962</v>
      </c>
      <c r="B6195" s="26" t="s">
        <v>11963</v>
      </c>
      <c r="C6195" s="52"/>
      <c r="D6195" s="55">
        <f t="shared" si="96"/>
        <v>0</v>
      </c>
      <c r="E6195" s="63" t="str">
        <f>HYPERLINK("https://www.sds-group.ru/product/skoba-pod-vint-5mm-belaya-50-sht-up-rexant-07-4405/", "Инфо")</f>
        <v>Инфо</v>
      </c>
      <c r="F6195" s="16" t="s">
        <v>1001</v>
      </c>
      <c r="G6195" s="15"/>
      <c r="H6195" s="15"/>
      <c r="I6195" s="15"/>
      <c r="J6195" s="22">
        <v>21031</v>
      </c>
      <c r="K6195" s="15" t="s">
        <v>11602</v>
      </c>
      <c r="L6195" s="17">
        <v>10</v>
      </c>
      <c r="M6195" s="17">
        <v>600</v>
      </c>
      <c r="N6195" s="17">
        <v>10</v>
      </c>
      <c r="O6195" s="18">
        <v>92.17</v>
      </c>
      <c r="P6195" s="18">
        <v>75.55</v>
      </c>
      <c r="Q6195" s="18">
        <v>85.72</v>
      </c>
      <c r="R6195" s="18">
        <v>70.260000000000005</v>
      </c>
      <c r="S6195" s="18">
        <v>62.68</v>
      </c>
      <c r="T6195" s="18">
        <v>51.38</v>
      </c>
      <c r="U6195" s="16"/>
      <c r="V6195" s="16"/>
      <c r="W6195" s="16" t="s">
        <v>40</v>
      </c>
      <c r="X6195" s="19">
        <v>1.7000000000000001E-2</v>
      </c>
      <c r="Y6195" s="20">
        <v>9.8999999999999994E-5</v>
      </c>
      <c r="Z6195" s="21">
        <v>4601004124189</v>
      </c>
    </row>
    <row r="6196" spans="1:26" ht="12" customHeight="1" outlineLevel="4" x14ac:dyDescent="0.2">
      <c r="A6196" s="14" t="s">
        <v>11964</v>
      </c>
      <c r="B6196" s="26" t="s">
        <v>11965</v>
      </c>
      <c r="C6196" s="52"/>
      <c r="D6196" s="55">
        <f t="shared" si="96"/>
        <v>0</v>
      </c>
      <c r="E6196" s="63" t="str">
        <f>HYPERLINK("https://www.sds-group.ru/product/skoba-pod-vint-5mm-chernaya-50-sht-up-rexant-07-4405-1/", "Инфо")</f>
        <v>Инфо</v>
      </c>
      <c r="F6196" s="16" t="s">
        <v>1001</v>
      </c>
      <c r="G6196" s="15"/>
      <c r="H6196" s="15"/>
      <c r="I6196" s="15"/>
      <c r="J6196" s="22">
        <v>8336</v>
      </c>
      <c r="K6196" s="15" t="s">
        <v>1035</v>
      </c>
      <c r="L6196" s="17">
        <v>10</v>
      </c>
      <c r="M6196" s="17">
        <v>300</v>
      </c>
      <c r="N6196" s="17">
        <v>10</v>
      </c>
      <c r="O6196" s="18">
        <v>92.17</v>
      </c>
      <c r="P6196" s="18">
        <v>75.55</v>
      </c>
      <c r="Q6196" s="18">
        <v>85.72</v>
      </c>
      <c r="R6196" s="18">
        <v>70.260000000000005</v>
      </c>
      <c r="S6196" s="18">
        <v>62.68</v>
      </c>
      <c r="T6196" s="18">
        <v>51.38</v>
      </c>
      <c r="U6196" s="16"/>
      <c r="V6196" s="16"/>
      <c r="W6196" s="16" t="s">
        <v>40</v>
      </c>
      <c r="X6196" s="19">
        <v>1.7999999999999999E-2</v>
      </c>
      <c r="Y6196" s="20">
        <v>1.12E-4</v>
      </c>
      <c r="Z6196" s="21">
        <v>4601004138971</v>
      </c>
    </row>
    <row r="6197" spans="1:26" ht="12" customHeight="1" outlineLevel="4" x14ac:dyDescent="0.2">
      <c r="A6197" s="14" t="s">
        <v>11966</v>
      </c>
      <c r="B6197" s="26" t="s">
        <v>11967</v>
      </c>
      <c r="C6197" s="52"/>
      <c r="D6197" s="55">
        <f t="shared" si="96"/>
        <v>0</v>
      </c>
      <c r="E6197" s="63" t="str">
        <f>HYPERLINK("https://www.sds-group.ru/product/skoba-pod-vint-6mm-belaya-50-sht-up-rexant-07-4406/", "Инфо")</f>
        <v>Инфо</v>
      </c>
      <c r="F6197" s="16" t="s">
        <v>1001</v>
      </c>
      <c r="G6197" s="15"/>
      <c r="H6197" s="15"/>
      <c r="I6197" s="15"/>
      <c r="J6197" s="22">
        <v>7293</v>
      </c>
      <c r="K6197" s="15" t="s">
        <v>1035</v>
      </c>
      <c r="L6197" s="17">
        <v>10</v>
      </c>
      <c r="M6197" s="17">
        <v>500</v>
      </c>
      <c r="N6197" s="17">
        <v>10</v>
      </c>
      <c r="O6197" s="18">
        <v>111.3</v>
      </c>
      <c r="P6197" s="18">
        <v>91.23</v>
      </c>
      <c r="Q6197" s="18">
        <v>103.51</v>
      </c>
      <c r="R6197" s="18">
        <v>84.84</v>
      </c>
      <c r="S6197" s="18">
        <v>75.680000000000007</v>
      </c>
      <c r="T6197" s="18">
        <v>62.03</v>
      </c>
      <c r="U6197" s="16"/>
      <c r="V6197" s="16"/>
      <c r="W6197" s="16" t="s">
        <v>40</v>
      </c>
      <c r="X6197" s="19">
        <v>2.1000000000000001E-2</v>
      </c>
      <c r="Y6197" s="20">
        <v>1.1400000000000001E-4</v>
      </c>
      <c r="Z6197" s="21">
        <v>4601004123977</v>
      </c>
    </row>
    <row r="6198" spans="1:26" ht="12" customHeight="1" outlineLevel="4" x14ac:dyDescent="0.2">
      <c r="A6198" s="14" t="s">
        <v>11968</v>
      </c>
      <c r="B6198" s="26" t="s">
        <v>11969</v>
      </c>
      <c r="C6198" s="52"/>
      <c r="D6198" s="55">
        <f t="shared" si="96"/>
        <v>0</v>
      </c>
      <c r="E6198" s="63" t="str">
        <f>HYPERLINK("https://www.sds-group.ru/product/skoba-pod-vint-6mm-chernaya-50-sht-up-rexant-07-4406-1/", "Инфо")</f>
        <v>Инфо</v>
      </c>
      <c r="F6198" s="16" t="s">
        <v>1001</v>
      </c>
      <c r="G6198" s="15"/>
      <c r="H6198" s="15"/>
      <c r="I6198" s="15"/>
      <c r="J6198" s="22">
        <v>10566</v>
      </c>
      <c r="K6198" s="15" t="s">
        <v>11961</v>
      </c>
      <c r="L6198" s="17">
        <v>10</v>
      </c>
      <c r="M6198" s="17">
        <v>500</v>
      </c>
      <c r="N6198" s="17">
        <v>10</v>
      </c>
      <c r="O6198" s="18">
        <v>111.3</v>
      </c>
      <c r="P6198" s="18">
        <v>91.23</v>
      </c>
      <c r="Q6198" s="18">
        <v>103.51</v>
      </c>
      <c r="R6198" s="18">
        <v>84.84</v>
      </c>
      <c r="S6198" s="18">
        <v>75.680000000000007</v>
      </c>
      <c r="T6198" s="18">
        <v>62.03</v>
      </c>
      <c r="U6198" s="16"/>
      <c r="V6198" s="16"/>
      <c r="W6198" s="16" t="s">
        <v>40</v>
      </c>
      <c r="X6198" s="19">
        <v>2.1999999999999999E-2</v>
      </c>
      <c r="Y6198" s="20">
        <v>1.2E-4</v>
      </c>
      <c r="Z6198" s="21">
        <v>4601004138995</v>
      </c>
    </row>
    <row r="6199" spans="1:26" ht="12" customHeight="1" outlineLevel="4" x14ac:dyDescent="0.2">
      <c r="A6199" s="14" t="s">
        <v>11970</v>
      </c>
      <c r="B6199" s="26" t="s">
        <v>11971</v>
      </c>
      <c r="C6199" s="52"/>
      <c r="D6199" s="55">
        <f t="shared" si="96"/>
        <v>0</v>
      </c>
      <c r="E6199" s="63" t="str">
        <f>HYPERLINK("https://www.sds-group.ru/product/skoba-pod-vint-9mm-belaya-50-sht-up-rexant-07-4409/", "Инфо")</f>
        <v>Инфо</v>
      </c>
      <c r="F6199" s="16" t="s">
        <v>1001</v>
      </c>
      <c r="G6199" s="15"/>
      <c r="H6199" s="15"/>
      <c r="I6199" s="15"/>
      <c r="J6199" s="22">
        <v>5268</v>
      </c>
      <c r="K6199" s="15" t="s">
        <v>4926</v>
      </c>
      <c r="L6199" s="17">
        <v>10</v>
      </c>
      <c r="M6199" s="17">
        <v>300</v>
      </c>
      <c r="N6199" s="17">
        <v>10</v>
      </c>
      <c r="O6199" s="18">
        <v>151.46</v>
      </c>
      <c r="P6199" s="18">
        <v>124.15</v>
      </c>
      <c r="Q6199" s="18">
        <v>140.86000000000001</v>
      </c>
      <c r="R6199" s="18">
        <v>115.46</v>
      </c>
      <c r="S6199" s="18">
        <v>102.99</v>
      </c>
      <c r="T6199" s="18">
        <v>84.42</v>
      </c>
      <c r="U6199" s="16"/>
      <c r="V6199" s="16"/>
      <c r="W6199" s="16" t="s">
        <v>40</v>
      </c>
      <c r="X6199" s="19">
        <v>2.5999999999999999E-2</v>
      </c>
      <c r="Y6199" s="20">
        <v>1.7200000000000001E-4</v>
      </c>
      <c r="Z6199" s="21">
        <v>4601004123984</v>
      </c>
    </row>
    <row r="6200" spans="1:26" ht="12" customHeight="1" outlineLevel="4" x14ac:dyDescent="0.2">
      <c r="A6200" s="14" t="s">
        <v>11972</v>
      </c>
      <c r="B6200" s="26" t="s">
        <v>11973</v>
      </c>
      <c r="C6200" s="52"/>
      <c r="D6200" s="55">
        <f t="shared" si="96"/>
        <v>0</v>
      </c>
      <c r="E6200" s="63" t="str">
        <f>HYPERLINK("https://www.sds-group.ru/product/skoba-pod-vint-9mm-chernaya-50-sht-up-rexant-07-4409-1/", "Инфо")</f>
        <v>Инфо</v>
      </c>
      <c r="F6200" s="16" t="s">
        <v>1001</v>
      </c>
      <c r="G6200" s="15"/>
      <c r="H6200" s="15"/>
      <c r="I6200" s="15"/>
      <c r="J6200" s="22">
        <v>8554</v>
      </c>
      <c r="K6200" s="15" t="s">
        <v>4926</v>
      </c>
      <c r="L6200" s="17">
        <v>10</v>
      </c>
      <c r="M6200" s="17">
        <v>300</v>
      </c>
      <c r="N6200" s="17">
        <v>10</v>
      </c>
      <c r="O6200" s="18">
        <v>151.46</v>
      </c>
      <c r="P6200" s="18">
        <v>124.15</v>
      </c>
      <c r="Q6200" s="18">
        <v>140.86000000000001</v>
      </c>
      <c r="R6200" s="18">
        <v>115.46</v>
      </c>
      <c r="S6200" s="18">
        <v>102.99</v>
      </c>
      <c r="T6200" s="18">
        <v>84.42</v>
      </c>
      <c r="U6200" s="16"/>
      <c r="V6200" s="16"/>
      <c r="W6200" s="16" t="s">
        <v>40</v>
      </c>
      <c r="X6200" s="19">
        <v>4.2000000000000003E-2</v>
      </c>
      <c r="Y6200" s="20">
        <v>2.32E-4</v>
      </c>
      <c r="Z6200" s="21">
        <v>4601004139008</v>
      </c>
    </row>
    <row r="6201" spans="1:26" ht="12.95" customHeight="1" outlineLevel="3" x14ac:dyDescent="0.2">
      <c r="A6201" s="76" t="s">
        <v>11974</v>
      </c>
      <c r="B6201" s="76"/>
      <c r="C6201" s="77"/>
      <c r="D6201" s="58"/>
      <c r="E6201" s="68"/>
      <c r="F6201" s="13"/>
      <c r="G6201" s="13"/>
      <c r="H6201" s="13"/>
      <c r="I6201" s="13"/>
      <c r="J6201" s="13"/>
      <c r="K6201" s="13"/>
      <c r="L6201" s="13"/>
      <c r="M6201" s="13"/>
      <c r="N6201" s="13"/>
      <c r="O6201" s="13"/>
      <c r="P6201" s="13"/>
      <c r="Q6201" s="13"/>
      <c r="R6201" s="13"/>
      <c r="S6201" s="13"/>
      <c r="T6201" s="13"/>
      <c r="U6201" s="13"/>
      <c r="V6201" s="13"/>
      <c r="W6201" s="13"/>
      <c r="X6201" s="13"/>
      <c r="Y6201" s="13"/>
      <c r="Z6201" s="13"/>
    </row>
    <row r="6202" spans="1:26" ht="12" customHeight="1" outlineLevel="4" x14ac:dyDescent="0.2">
      <c r="A6202" s="14" t="s">
        <v>11975</v>
      </c>
      <c r="B6202" s="26" t="s">
        <v>11976</v>
      </c>
      <c r="C6202" s="52"/>
      <c r="D6202" s="55">
        <f t="shared" si="96"/>
        <v>0</v>
      </c>
      <c r="E6202" s="63" t="str">
        <f>HYPERLINK("https://www.sds-group.ru/product/krepezh-kabelya-kruglyy-10mm-belyy-50-sht-up-rexant-07-4010/", "Инфо")</f>
        <v>Инфо</v>
      </c>
      <c r="F6202" s="16" t="s">
        <v>1001</v>
      </c>
      <c r="G6202" s="15"/>
      <c r="H6202" s="15"/>
      <c r="I6202" s="15"/>
      <c r="J6202" s="22">
        <v>5463</v>
      </c>
      <c r="K6202" s="15" t="s">
        <v>4926</v>
      </c>
      <c r="L6202" s="17">
        <v>10</v>
      </c>
      <c r="M6202" s="17">
        <v>160</v>
      </c>
      <c r="N6202" s="17">
        <v>10</v>
      </c>
      <c r="O6202" s="18">
        <v>70.319999999999993</v>
      </c>
      <c r="P6202" s="18">
        <v>57.64</v>
      </c>
      <c r="Q6202" s="18">
        <v>65.400000000000006</v>
      </c>
      <c r="R6202" s="18">
        <v>53.61</v>
      </c>
      <c r="S6202" s="18">
        <v>47.82</v>
      </c>
      <c r="T6202" s="18">
        <v>39.200000000000003</v>
      </c>
      <c r="U6202" s="16"/>
      <c r="V6202" s="16"/>
      <c r="W6202" s="16" t="s">
        <v>40</v>
      </c>
      <c r="X6202" s="19">
        <v>7.1999999999999995E-2</v>
      </c>
      <c r="Y6202" s="20">
        <v>2.1100000000000001E-4</v>
      </c>
      <c r="Z6202" s="21">
        <v>4610003603533</v>
      </c>
    </row>
    <row r="6203" spans="1:26" ht="12" customHeight="1" outlineLevel="4" x14ac:dyDescent="0.2">
      <c r="A6203" s="14" t="s">
        <v>11977</v>
      </c>
      <c r="B6203" s="26" t="s">
        <v>11978</v>
      </c>
      <c r="C6203" s="52"/>
      <c r="D6203" s="55">
        <f t="shared" si="96"/>
        <v>0</v>
      </c>
      <c r="E6203" s="63" t="str">
        <f>HYPERLINK("https://www.sds-group.ru/product/krepezh-kabelya-kruglyy-12mm-belyy-50-sht-up-rexant-07-4012/", "Инфо")</f>
        <v>Инфо</v>
      </c>
      <c r="F6203" s="16" t="s">
        <v>1001</v>
      </c>
      <c r="G6203" s="15"/>
      <c r="H6203" s="15"/>
      <c r="I6203" s="15"/>
      <c r="J6203" s="22">
        <v>1900</v>
      </c>
      <c r="K6203" s="15" t="s">
        <v>4926</v>
      </c>
      <c r="L6203" s="17">
        <v>10</v>
      </c>
      <c r="M6203" s="17">
        <v>100</v>
      </c>
      <c r="N6203" s="17">
        <v>10</v>
      </c>
      <c r="O6203" s="18">
        <v>92.39</v>
      </c>
      <c r="P6203" s="18">
        <v>75.73</v>
      </c>
      <c r="Q6203" s="18">
        <v>85.92</v>
      </c>
      <c r="R6203" s="18">
        <v>70.430000000000007</v>
      </c>
      <c r="S6203" s="18">
        <v>62.83</v>
      </c>
      <c r="T6203" s="18">
        <v>51.5</v>
      </c>
      <c r="U6203" s="16"/>
      <c r="V6203" s="16"/>
      <c r="W6203" s="16" t="s">
        <v>40</v>
      </c>
      <c r="X6203" s="19">
        <v>9.6000000000000002E-2</v>
      </c>
      <c r="Y6203" s="20">
        <v>3.39E-4</v>
      </c>
      <c r="Z6203" s="21">
        <v>4610003603540</v>
      </c>
    </row>
    <row r="6204" spans="1:26" ht="12" customHeight="1" outlineLevel="4" x14ac:dyDescent="0.2">
      <c r="A6204" s="14" t="s">
        <v>11979</v>
      </c>
      <c r="B6204" s="26" t="s">
        <v>11980</v>
      </c>
      <c r="C6204" s="52"/>
      <c r="D6204" s="55">
        <f t="shared" si="96"/>
        <v>0</v>
      </c>
      <c r="E6204" s="63" t="str">
        <f>HYPERLINK("https://www.sds-group.ru/product/krepezh-kabelya-kruglyy-14mm-belyy-50-sht-up-rexant-07-4014/", "Инфо")</f>
        <v>Инфо</v>
      </c>
      <c r="F6204" s="16" t="s">
        <v>1001</v>
      </c>
      <c r="G6204" s="15"/>
      <c r="H6204" s="15"/>
      <c r="I6204" s="15"/>
      <c r="J6204" s="17">
        <v>24</v>
      </c>
      <c r="K6204" s="15" t="s">
        <v>4926</v>
      </c>
      <c r="L6204" s="17">
        <v>10</v>
      </c>
      <c r="M6204" s="17">
        <v>80</v>
      </c>
      <c r="N6204" s="17">
        <v>10</v>
      </c>
      <c r="O6204" s="18">
        <v>155.66</v>
      </c>
      <c r="P6204" s="18">
        <v>127.59</v>
      </c>
      <c r="Q6204" s="18">
        <v>144.76</v>
      </c>
      <c r="R6204" s="18">
        <v>118.66</v>
      </c>
      <c r="S6204" s="18">
        <v>105.85</v>
      </c>
      <c r="T6204" s="18">
        <v>86.76</v>
      </c>
      <c r="U6204" s="16"/>
      <c r="V6204" s="16"/>
      <c r="W6204" s="16" t="s">
        <v>40</v>
      </c>
      <c r="X6204" s="19">
        <v>0.13700000000000001</v>
      </c>
      <c r="Y6204" s="20">
        <v>4.2099999999999999E-4</v>
      </c>
      <c r="Z6204" s="21">
        <v>4610003603557</v>
      </c>
    </row>
    <row r="6205" spans="1:26" ht="12" customHeight="1" outlineLevel="4" x14ac:dyDescent="0.2">
      <c r="A6205" s="14" t="s">
        <v>11981</v>
      </c>
      <c r="B6205" s="26" t="s">
        <v>11982</v>
      </c>
      <c r="C6205" s="52"/>
      <c r="D6205" s="55">
        <f t="shared" si="96"/>
        <v>0</v>
      </c>
      <c r="E6205" s="63" t="str">
        <f>HYPERLINK("https://www.sds-group.ru/product/krepezh-kabelya-kruglyy-16mm-belyy-50-sht-up-rexant-07-4016/", "Инфо")</f>
        <v>Инфо</v>
      </c>
      <c r="F6205" s="16" t="s">
        <v>1001</v>
      </c>
      <c r="G6205" s="15"/>
      <c r="H6205" s="15"/>
      <c r="I6205" s="15"/>
      <c r="J6205" s="22">
        <v>1080</v>
      </c>
      <c r="K6205" s="15" t="s">
        <v>6020</v>
      </c>
      <c r="L6205" s="17">
        <v>10</v>
      </c>
      <c r="M6205" s="17">
        <v>60</v>
      </c>
      <c r="N6205" s="17">
        <v>10</v>
      </c>
      <c r="O6205" s="18">
        <v>161.69999999999999</v>
      </c>
      <c r="P6205" s="18">
        <v>132.54</v>
      </c>
      <c r="Q6205" s="18">
        <v>150.38</v>
      </c>
      <c r="R6205" s="18">
        <v>123.26</v>
      </c>
      <c r="S6205" s="18">
        <v>109.96</v>
      </c>
      <c r="T6205" s="18">
        <v>90.13</v>
      </c>
      <c r="U6205" s="16"/>
      <c r="V6205" s="16"/>
      <c r="W6205" s="16" t="s">
        <v>40</v>
      </c>
      <c r="X6205" s="19">
        <v>0.16300000000000001</v>
      </c>
      <c r="Y6205" s="20">
        <v>5.7300000000000005E-4</v>
      </c>
      <c r="Z6205" s="21">
        <v>4610003603564</v>
      </c>
    </row>
    <row r="6206" spans="1:26" ht="12" customHeight="1" outlineLevel="4" x14ac:dyDescent="0.2">
      <c r="A6206" s="14" t="s">
        <v>11983</v>
      </c>
      <c r="B6206" s="26" t="s">
        <v>11984</v>
      </c>
      <c r="C6206" s="52"/>
      <c r="D6206" s="55">
        <f t="shared" si="96"/>
        <v>0</v>
      </c>
      <c r="E6206" s="63" t="str">
        <f>HYPERLINK("https://www.sds-group.ru/product/krepezh-kabelya-kruglyy-20mm-belyy-50-sht-up-rexant-07-4020/", "Инфо")</f>
        <v>Инфо</v>
      </c>
      <c r="F6206" s="16" t="s">
        <v>1001</v>
      </c>
      <c r="G6206" s="15"/>
      <c r="H6206" s="15"/>
      <c r="I6206" s="15"/>
      <c r="J6206" s="22">
        <v>1317</v>
      </c>
      <c r="K6206" s="15" t="s">
        <v>4926</v>
      </c>
      <c r="L6206" s="17">
        <v>5</v>
      </c>
      <c r="M6206" s="17">
        <v>40</v>
      </c>
      <c r="N6206" s="17">
        <v>5</v>
      </c>
      <c r="O6206" s="18">
        <v>238.79</v>
      </c>
      <c r="P6206" s="18">
        <v>195.73</v>
      </c>
      <c r="Q6206" s="18">
        <v>222.07</v>
      </c>
      <c r="R6206" s="18">
        <v>182.02</v>
      </c>
      <c r="S6206" s="18">
        <v>162.38</v>
      </c>
      <c r="T6206" s="18">
        <v>133.1</v>
      </c>
      <c r="U6206" s="16"/>
      <c r="V6206" s="16"/>
      <c r="W6206" s="16" t="s">
        <v>40</v>
      </c>
      <c r="X6206" s="19">
        <v>0.26200000000000001</v>
      </c>
      <c r="Y6206" s="20">
        <v>8.4800000000000001E-4</v>
      </c>
      <c r="Z6206" s="21">
        <v>4610003603595</v>
      </c>
    </row>
    <row r="6207" spans="1:26" ht="12" customHeight="1" outlineLevel="4" x14ac:dyDescent="0.2">
      <c r="A6207" s="14" t="s">
        <v>11985</v>
      </c>
      <c r="B6207" s="26" t="s">
        <v>11986</v>
      </c>
      <c r="C6207" s="52"/>
      <c r="D6207" s="55">
        <f t="shared" si="96"/>
        <v>0</v>
      </c>
      <c r="E6207" s="63" t="str">
        <f>HYPERLINK("https://www.sds-group.ru/product/krepezh-kabelya-kruglyy-3mm-belyy-50-sht-up-rexant-07-4003/", "Инфо")</f>
        <v>Инфо</v>
      </c>
      <c r="F6207" s="16" t="s">
        <v>1001</v>
      </c>
      <c r="G6207" s="15"/>
      <c r="H6207" s="15"/>
      <c r="I6207" s="15"/>
      <c r="J6207" s="22">
        <v>5470</v>
      </c>
      <c r="K6207" s="15" t="s">
        <v>1035</v>
      </c>
      <c r="L6207" s="17">
        <v>10</v>
      </c>
      <c r="M6207" s="17">
        <v>400</v>
      </c>
      <c r="N6207" s="17">
        <v>10</v>
      </c>
      <c r="O6207" s="18">
        <v>31.25</v>
      </c>
      <c r="P6207" s="18">
        <v>25.61</v>
      </c>
      <c r="Q6207" s="18">
        <v>29.06</v>
      </c>
      <c r="R6207" s="18">
        <v>23.82</v>
      </c>
      <c r="S6207" s="18">
        <v>21.25</v>
      </c>
      <c r="T6207" s="18">
        <v>17.420000000000002</v>
      </c>
      <c r="U6207" s="16"/>
      <c r="V6207" s="16"/>
      <c r="W6207" s="16" t="s">
        <v>40</v>
      </c>
      <c r="X6207" s="19">
        <v>2.1999999999999999E-2</v>
      </c>
      <c r="Y6207" s="20">
        <v>8.6000000000000003E-5</v>
      </c>
      <c r="Z6207" s="21">
        <v>4601004148796</v>
      </c>
    </row>
    <row r="6208" spans="1:26" ht="12" customHeight="1" outlineLevel="4" x14ac:dyDescent="0.2">
      <c r="A6208" s="14" t="s">
        <v>11987</v>
      </c>
      <c r="B6208" s="26" t="s">
        <v>11988</v>
      </c>
      <c r="C6208" s="52"/>
      <c r="D6208" s="55">
        <f t="shared" si="96"/>
        <v>0</v>
      </c>
      <c r="E6208" s="63" t="str">
        <f>HYPERLINK("https://www.sds-group.ru/product/krepezh-kabelya-kruglyy-4mm-belyy-50-sht-up-rexant-07-4004/", "Инфо")</f>
        <v>Инфо</v>
      </c>
      <c r="F6208" s="16" t="s">
        <v>1001</v>
      </c>
      <c r="G6208" s="15"/>
      <c r="H6208" s="15"/>
      <c r="I6208" s="15"/>
      <c r="J6208" s="22">
        <v>28757</v>
      </c>
      <c r="K6208" s="15"/>
      <c r="L6208" s="17">
        <v>10</v>
      </c>
      <c r="M6208" s="17">
        <v>800</v>
      </c>
      <c r="N6208" s="17">
        <v>10</v>
      </c>
      <c r="O6208" s="18">
        <v>26.71</v>
      </c>
      <c r="P6208" s="18">
        <v>21.89</v>
      </c>
      <c r="Q6208" s="18">
        <v>24.84</v>
      </c>
      <c r="R6208" s="18">
        <v>20.36</v>
      </c>
      <c r="S6208" s="18">
        <v>18.16</v>
      </c>
      <c r="T6208" s="18">
        <v>14.89</v>
      </c>
      <c r="U6208" s="16"/>
      <c r="V6208" s="16"/>
      <c r="W6208" s="16" t="s">
        <v>40</v>
      </c>
      <c r="X6208" s="19">
        <v>2.5000000000000001E-2</v>
      </c>
      <c r="Y6208" s="20">
        <v>8.1000000000000004E-5</v>
      </c>
      <c r="Z6208" s="21">
        <v>4610003603472</v>
      </c>
    </row>
    <row r="6209" spans="1:26" ht="12" customHeight="1" outlineLevel="4" x14ac:dyDescent="0.2">
      <c r="A6209" s="14" t="s">
        <v>11989</v>
      </c>
      <c r="B6209" s="26" t="s">
        <v>11990</v>
      </c>
      <c r="C6209" s="52"/>
      <c r="D6209" s="55">
        <f t="shared" si="96"/>
        <v>0</v>
      </c>
      <c r="E6209" s="63" t="str">
        <f>HYPERLINK("https://www.sds-group.ru/product/krepezh-kabelya-kruglyy-5mm-belyy-50-sht-up-rexant-07-4005/", "Инфо")</f>
        <v>Инфо</v>
      </c>
      <c r="F6209" s="16" t="s">
        <v>1001</v>
      </c>
      <c r="G6209" s="15"/>
      <c r="H6209" s="15"/>
      <c r="I6209" s="15"/>
      <c r="J6209" s="22">
        <v>23828</v>
      </c>
      <c r="K6209" s="15" t="s">
        <v>6020</v>
      </c>
      <c r="L6209" s="17">
        <v>10</v>
      </c>
      <c r="M6209" s="17">
        <v>400</v>
      </c>
      <c r="N6209" s="17">
        <v>10</v>
      </c>
      <c r="O6209" s="18">
        <v>33.47</v>
      </c>
      <c r="P6209" s="18">
        <v>27.43</v>
      </c>
      <c r="Q6209" s="18">
        <v>31.13</v>
      </c>
      <c r="R6209" s="18">
        <v>25.52</v>
      </c>
      <c r="S6209" s="18">
        <v>22.76</v>
      </c>
      <c r="T6209" s="18">
        <v>18.66</v>
      </c>
      <c r="U6209" s="16"/>
      <c r="V6209" s="16"/>
      <c r="W6209" s="16" t="s">
        <v>40</v>
      </c>
      <c r="X6209" s="19">
        <v>2.8000000000000001E-2</v>
      </c>
      <c r="Y6209" s="20">
        <v>8.7000000000000001E-5</v>
      </c>
      <c r="Z6209" s="21">
        <v>4610003603489</v>
      </c>
    </row>
    <row r="6210" spans="1:26" ht="12" customHeight="1" outlineLevel="4" x14ac:dyDescent="0.2">
      <c r="A6210" s="14" t="s">
        <v>11991</v>
      </c>
      <c r="B6210" s="26" t="s">
        <v>11992</v>
      </c>
      <c r="C6210" s="52"/>
      <c r="D6210" s="55">
        <f t="shared" si="96"/>
        <v>0</v>
      </c>
      <c r="E6210" s="63" t="str">
        <f>HYPERLINK("https://www.sds-group.ru/product/krepezh-kabelya-kruglyy-6mm-belyy-50-sht-up-rexant-07-4006/", "Инфо")</f>
        <v>Инфо</v>
      </c>
      <c r="F6210" s="16" t="s">
        <v>1001</v>
      </c>
      <c r="G6210" s="15"/>
      <c r="H6210" s="15"/>
      <c r="I6210" s="15"/>
      <c r="J6210" s="22">
        <v>32602</v>
      </c>
      <c r="K6210" s="15" t="s">
        <v>11724</v>
      </c>
      <c r="L6210" s="17">
        <v>10</v>
      </c>
      <c r="M6210" s="17">
        <v>300</v>
      </c>
      <c r="N6210" s="17">
        <v>10</v>
      </c>
      <c r="O6210" s="18">
        <v>42.56</v>
      </c>
      <c r="P6210" s="18">
        <v>34.89</v>
      </c>
      <c r="Q6210" s="18">
        <v>39.58</v>
      </c>
      <c r="R6210" s="18">
        <v>32.44</v>
      </c>
      <c r="S6210" s="18">
        <v>28.94</v>
      </c>
      <c r="T6210" s="18">
        <v>23.72</v>
      </c>
      <c r="U6210" s="16"/>
      <c r="V6210" s="16"/>
      <c r="W6210" s="16" t="s">
        <v>40</v>
      </c>
      <c r="X6210" s="19">
        <v>3.6999999999999998E-2</v>
      </c>
      <c r="Y6210" s="20">
        <v>1.15E-4</v>
      </c>
      <c r="Z6210" s="21">
        <v>4610003603496</v>
      </c>
    </row>
    <row r="6211" spans="1:26" ht="12" customHeight="1" outlineLevel="4" x14ac:dyDescent="0.2">
      <c r="A6211" s="14" t="s">
        <v>11993</v>
      </c>
      <c r="B6211" s="26" t="s">
        <v>11994</v>
      </c>
      <c r="C6211" s="52"/>
      <c r="D6211" s="55">
        <f t="shared" si="96"/>
        <v>0</v>
      </c>
      <c r="E6211" s="63" t="str">
        <f>HYPERLINK("https://www.sds-group.ru/product/krepezh-kabelya-kruglyy-7mm-belyy-50-sht-up-rexant-07-4007/", "Инфо")</f>
        <v>Инфо</v>
      </c>
      <c r="F6211" s="16" t="s">
        <v>1001</v>
      </c>
      <c r="G6211" s="15"/>
      <c r="H6211" s="15"/>
      <c r="I6211" s="15"/>
      <c r="J6211" s="22">
        <v>6831</v>
      </c>
      <c r="K6211" s="15" t="s">
        <v>11995</v>
      </c>
      <c r="L6211" s="17">
        <v>10</v>
      </c>
      <c r="M6211" s="17">
        <v>300</v>
      </c>
      <c r="N6211" s="17">
        <v>10</v>
      </c>
      <c r="O6211" s="18">
        <v>45.62</v>
      </c>
      <c r="P6211" s="18">
        <v>37.39</v>
      </c>
      <c r="Q6211" s="18">
        <v>42.43</v>
      </c>
      <c r="R6211" s="18">
        <v>34.78</v>
      </c>
      <c r="S6211" s="18">
        <v>31.02</v>
      </c>
      <c r="T6211" s="18">
        <v>25.43</v>
      </c>
      <c r="U6211" s="16"/>
      <c r="V6211" s="16"/>
      <c r="W6211" s="16" t="s">
        <v>40</v>
      </c>
      <c r="X6211" s="19">
        <v>3.7999999999999999E-2</v>
      </c>
      <c r="Y6211" s="20">
        <v>1.16E-4</v>
      </c>
      <c r="Z6211" s="21">
        <v>4610003603502</v>
      </c>
    </row>
    <row r="6212" spans="1:26" ht="12" customHeight="1" outlineLevel="4" x14ac:dyDescent="0.2">
      <c r="A6212" s="14" t="s">
        <v>11996</v>
      </c>
      <c r="B6212" s="26" t="s">
        <v>11997</v>
      </c>
      <c r="C6212" s="52"/>
      <c r="D6212" s="55">
        <f t="shared" si="96"/>
        <v>0</v>
      </c>
      <c r="E6212" s="63" t="str">
        <f>HYPERLINK("https://www.sds-group.ru/product/krepezh-kabelya-kruglyy-8mm-belyy-50-sht-up-rexant-07-4008/", "Инфо")</f>
        <v>Инфо</v>
      </c>
      <c r="F6212" s="16" t="s">
        <v>1001</v>
      </c>
      <c r="G6212" s="15"/>
      <c r="H6212" s="15"/>
      <c r="I6212" s="15"/>
      <c r="J6212" s="22">
        <v>7781</v>
      </c>
      <c r="K6212" s="15" t="s">
        <v>4926</v>
      </c>
      <c r="L6212" s="17">
        <v>10</v>
      </c>
      <c r="M6212" s="17">
        <v>200</v>
      </c>
      <c r="N6212" s="17">
        <v>10</v>
      </c>
      <c r="O6212" s="18">
        <v>62.77</v>
      </c>
      <c r="P6212" s="18">
        <v>51.45</v>
      </c>
      <c r="Q6212" s="18">
        <v>58.38</v>
      </c>
      <c r="R6212" s="18">
        <v>47.85</v>
      </c>
      <c r="S6212" s="18">
        <v>42.68</v>
      </c>
      <c r="T6212" s="18">
        <v>34.979999999999997</v>
      </c>
      <c r="U6212" s="16"/>
      <c r="V6212" s="16"/>
      <c r="W6212" s="16" t="s">
        <v>40</v>
      </c>
      <c r="X6212" s="19">
        <v>5.5E-2</v>
      </c>
      <c r="Y6212" s="20">
        <v>1.73E-4</v>
      </c>
      <c r="Z6212" s="21">
        <v>4610003603519</v>
      </c>
    </row>
    <row r="6213" spans="1:26" ht="12" customHeight="1" outlineLevel="4" x14ac:dyDescent="0.2">
      <c r="A6213" s="14" t="s">
        <v>11998</v>
      </c>
      <c r="B6213" s="26" t="s">
        <v>11999</v>
      </c>
      <c r="C6213" s="52"/>
      <c r="D6213" s="55">
        <f t="shared" si="96"/>
        <v>0</v>
      </c>
      <c r="E6213" s="63" t="str">
        <f>HYPERLINK("https://www.sds-group.ru/product/krepezh-kabelya-kruglyy-9mm-belyy-50-sht-up-rexant-07-4009/", "Инфо")</f>
        <v>Инфо</v>
      </c>
      <c r="F6213" s="16" t="s">
        <v>1001</v>
      </c>
      <c r="G6213" s="15"/>
      <c r="H6213" s="15"/>
      <c r="I6213" s="15"/>
      <c r="J6213" s="22">
        <v>7685</v>
      </c>
      <c r="K6213" s="15" t="s">
        <v>6020</v>
      </c>
      <c r="L6213" s="17">
        <v>10</v>
      </c>
      <c r="M6213" s="17">
        <v>160</v>
      </c>
      <c r="N6213" s="17">
        <v>10</v>
      </c>
      <c r="O6213" s="18">
        <v>76.739999999999995</v>
      </c>
      <c r="P6213" s="18">
        <v>62.9</v>
      </c>
      <c r="Q6213" s="18">
        <v>71.37</v>
      </c>
      <c r="R6213" s="18">
        <v>58.5</v>
      </c>
      <c r="S6213" s="18">
        <v>52.18</v>
      </c>
      <c r="T6213" s="18">
        <v>42.77</v>
      </c>
      <c r="U6213" s="16"/>
      <c r="V6213" s="16"/>
      <c r="W6213" s="16" t="s">
        <v>40</v>
      </c>
      <c r="X6213" s="19">
        <v>6.7000000000000004E-2</v>
      </c>
      <c r="Y6213" s="20">
        <v>2.13E-4</v>
      </c>
      <c r="Z6213" s="21">
        <v>4610003603526</v>
      </c>
    </row>
    <row r="6214" spans="1:26" ht="12" customHeight="1" outlineLevel="4" x14ac:dyDescent="0.2">
      <c r="A6214" s="14" t="s">
        <v>12000</v>
      </c>
      <c r="B6214" s="26" t="s">
        <v>12001</v>
      </c>
      <c r="C6214" s="52"/>
      <c r="D6214" s="55">
        <f t="shared" si="96"/>
        <v>0</v>
      </c>
      <c r="E6214" s="63" t="str">
        <f>HYPERLINK("https://www.sds-group.ru/product/krepezh-kabelya-ploskiy-10h3-mm-belyy-50-sht-up-rexant-07-4209/", "Инфо")</f>
        <v>Инфо</v>
      </c>
      <c r="F6214" s="16" t="s">
        <v>1001</v>
      </c>
      <c r="G6214" s="15"/>
      <c r="H6214" s="15"/>
      <c r="I6214" s="15"/>
      <c r="J6214" s="22">
        <v>1790</v>
      </c>
      <c r="K6214" s="15" t="s">
        <v>6020</v>
      </c>
      <c r="L6214" s="17">
        <v>10</v>
      </c>
      <c r="M6214" s="17">
        <v>160</v>
      </c>
      <c r="N6214" s="17">
        <v>10</v>
      </c>
      <c r="O6214" s="18">
        <v>83.73</v>
      </c>
      <c r="P6214" s="18">
        <v>68.63</v>
      </c>
      <c r="Q6214" s="18">
        <v>77.87</v>
      </c>
      <c r="R6214" s="18">
        <v>63.83</v>
      </c>
      <c r="S6214" s="18">
        <v>56.94</v>
      </c>
      <c r="T6214" s="18">
        <v>46.67</v>
      </c>
      <c r="U6214" s="16"/>
      <c r="V6214" s="16"/>
      <c r="W6214" s="16" t="s">
        <v>40</v>
      </c>
      <c r="X6214" s="19">
        <v>6.0999999999999999E-2</v>
      </c>
      <c r="Y6214" s="20">
        <v>2.1699999999999999E-4</v>
      </c>
      <c r="Z6214" s="21">
        <v>4610003603717</v>
      </c>
    </row>
    <row r="6215" spans="1:26" ht="12" customHeight="1" outlineLevel="4" x14ac:dyDescent="0.2">
      <c r="A6215" s="14" t="s">
        <v>12002</v>
      </c>
      <c r="B6215" s="26" t="s">
        <v>12003</v>
      </c>
      <c r="C6215" s="52"/>
      <c r="D6215" s="55">
        <f t="shared" si="96"/>
        <v>0</v>
      </c>
      <c r="E6215" s="63" t="str">
        <f>HYPERLINK("https://www.sds-group.ru/product/krepezh-kabelya-ploskiy-10h4-mm-belyy-50-sht-up-rexant-07-4210/", "Инфо")</f>
        <v>Инфо</v>
      </c>
      <c r="F6215" s="16" t="s">
        <v>1001</v>
      </c>
      <c r="G6215" s="15"/>
      <c r="H6215" s="15"/>
      <c r="I6215" s="15"/>
      <c r="J6215" s="22">
        <v>3325</v>
      </c>
      <c r="K6215" s="15" t="s">
        <v>6020</v>
      </c>
      <c r="L6215" s="17">
        <v>10</v>
      </c>
      <c r="M6215" s="17">
        <v>160</v>
      </c>
      <c r="N6215" s="17">
        <v>10</v>
      </c>
      <c r="O6215" s="18">
        <v>93.77</v>
      </c>
      <c r="P6215" s="18">
        <v>76.86</v>
      </c>
      <c r="Q6215" s="18">
        <v>87.21</v>
      </c>
      <c r="R6215" s="18">
        <v>71.48</v>
      </c>
      <c r="S6215" s="18">
        <v>63.76</v>
      </c>
      <c r="T6215" s="18">
        <v>52.26</v>
      </c>
      <c r="U6215" s="16"/>
      <c r="V6215" s="16"/>
      <c r="W6215" s="16" t="s">
        <v>40</v>
      </c>
      <c r="X6215" s="19">
        <v>5.8999999999999997E-2</v>
      </c>
      <c r="Y6215" s="20">
        <v>2.13E-4</v>
      </c>
      <c r="Z6215" s="21">
        <v>4610003603724</v>
      </c>
    </row>
    <row r="6216" spans="1:26" ht="12" customHeight="1" outlineLevel="4" x14ac:dyDescent="0.2">
      <c r="A6216" s="14" t="s">
        <v>12004</v>
      </c>
      <c r="B6216" s="26" t="s">
        <v>12005</v>
      </c>
      <c r="C6216" s="52"/>
      <c r="D6216" s="55">
        <f t="shared" si="96"/>
        <v>0</v>
      </c>
      <c r="E6216" s="63" t="str">
        <f>HYPERLINK("https://www.sds-group.ru/product/krepezh-kabelya-ploskiy-12h6-mm-belyy-50-sht-up-rexant-07-4212/", "Инфо")</f>
        <v>Инфо</v>
      </c>
      <c r="F6216" s="16" t="s">
        <v>1001</v>
      </c>
      <c r="G6216" s="15"/>
      <c r="H6216" s="15"/>
      <c r="I6216" s="15"/>
      <c r="J6216" s="22">
        <v>7549</v>
      </c>
      <c r="K6216" s="15" t="s">
        <v>4926</v>
      </c>
      <c r="L6216" s="17">
        <v>10</v>
      </c>
      <c r="M6216" s="17">
        <v>120</v>
      </c>
      <c r="N6216" s="17">
        <v>10</v>
      </c>
      <c r="O6216" s="18">
        <v>108.14</v>
      </c>
      <c r="P6216" s="18">
        <v>88.64</v>
      </c>
      <c r="Q6216" s="18">
        <v>100.57</v>
      </c>
      <c r="R6216" s="18">
        <v>82.43</v>
      </c>
      <c r="S6216" s="18">
        <v>73.540000000000006</v>
      </c>
      <c r="T6216" s="18">
        <v>60.28</v>
      </c>
      <c r="U6216" s="16"/>
      <c r="V6216" s="16"/>
      <c r="W6216" s="16" t="s">
        <v>40</v>
      </c>
      <c r="X6216" s="19">
        <v>7.9000000000000001E-2</v>
      </c>
      <c r="Y6216" s="20">
        <v>2.9100000000000003E-4</v>
      </c>
      <c r="Z6216" s="21">
        <v>4610003603755</v>
      </c>
    </row>
    <row r="6217" spans="1:26" ht="12" customHeight="1" outlineLevel="4" x14ac:dyDescent="0.2">
      <c r="A6217" s="14" t="s">
        <v>12006</v>
      </c>
      <c r="B6217" s="26" t="s">
        <v>12007</v>
      </c>
      <c r="C6217" s="52"/>
      <c r="D6217" s="55">
        <f t="shared" ref="D6217:D6280" si="97">C6217*(O6217-O6217*$G$3)</f>
        <v>0</v>
      </c>
      <c r="E6217" s="63" t="str">
        <f>HYPERLINK("https://www.sds-group.ru/product/krepezh-kabelya-ploskiy-14h7-mm-belyy-50-sht-up-rexant-07-4214/", "Инфо")</f>
        <v>Инфо</v>
      </c>
      <c r="F6217" s="16" t="s">
        <v>1001</v>
      </c>
      <c r="G6217" s="15"/>
      <c r="H6217" s="15"/>
      <c r="I6217" s="15"/>
      <c r="J6217" s="22">
        <v>1093</v>
      </c>
      <c r="K6217" s="15" t="s">
        <v>3762</v>
      </c>
      <c r="L6217" s="17">
        <v>10</v>
      </c>
      <c r="M6217" s="17">
        <v>100</v>
      </c>
      <c r="N6217" s="17">
        <v>10</v>
      </c>
      <c r="O6217" s="18">
        <v>102.3</v>
      </c>
      <c r="P6217" s="18">
        <v>83.85</v>
      </c>
      <c r="Q6217" s="18">
        <v>95.14</v>
      </c>
      <c r="R6217" s="18">
        <v>77.98</v>
      </c>
      <c r="S6217" s="18">
        <v>69.56</v>
      </c>
      <c r="T6217" s="18">
        <v>57.02</v>
      </c>
      <c r="U6217" s="16"/>
      <c r="V6217" s="16"/>
      <c r="W6217" s="16" t="s">
        <v>40</v>
      </c>
      <c r="X6217" s="19">
        <v>8.5999999999999993E-2</v>
      </c>
      <c r="Y6217" s="20">
        <v>3.3799999999999998E-4</v>
      </c>
      <c r="Z6217" s="21">
        <v>4601004117129</v>
      </c>
    </row>
    <row r="6218" spans="1:26" ht="12" customHeight="1" outlineLevel="4" x14ac:dyDescent="0.2">
      <c r="A6218" s="14" t="s">
        <v>12008</v>
      </c>
      <c r="B6218" s="26" t="s">
        <v>12009</v>
      </c>
      <c r="C6218" s="52"/>
      <c r="D6218" s="55">
        <f t="shared" si="97"/>
        <v>0</v>
      </c>
      <c r="E6218" s="63" t="str">
        <f>HYPERLINK("https://www.sds-group.ru/product/krepezh-kabelya-ploskiy-4h2-mm-belyy-50-sht-up-rexant-07-4204/", "Инфо")</f>
        <v>Инфо</v>
      </c>
      <c r="F6218" s="16" t="s">
        <v>1001</v>
      </c>
      <c r="G6218" s="15"/>
      <c r="H6218" s="15"/>
      <c r="I6218" s="15"/>
      <c r="J6218" s="17">
        <v>939</v>
      </c>
      <c r="K6218" s="15" t="s">
        <v>1035</v>
      </c>
      <c r="L6218" s="17">
        <v>10</v>
      </c>
      <c r="M6218" s="17">
        <v>400</v>
      </c>
      <c r="N6218" s="17">
        <v>10</v>
      </c>
      <c r="O6218" s="18">
        <v>42.1</v>
      </c>
      <c r="P6218" s="18">
        <v>34.51</v>
      </c>
      <c r="Q6218" s="18">
        <v>39.15</v>
      </c>
      <c r="R6218" s="18">
        <v>32.090000000000003</v>
      </c>
      <c r="S6218" s="18">
        <v>28.63</v>
      </c>
      <c r="T6218" s="18">
        <v>23.47</v>
      </c>
      <c r="U6218" s="16"/>
      <c r="V6218" s="16"/>
      <c r="W6218" s="16" t="s">
        <v>40</v>
      </c>
      <c r="X6218" s="19">
        <v>3.5000000000000003E-2</v>
      </c>
      <c r="Y6218" s="20">
        <v>8.7999999999999998E-5</v>
      </c>
      <c r="Z6218" s="21">
        <v>4610003603663</v>
      </c>
    </row>
    <row r="6219" spans="1:26" ht="12" customHeight="1" outlineLevel="4" x14ac:dyDescent="0.2">
      <c r="A6219" s="14" t="s">
        <v>12010</v>
      </c>
      <c r="B6219" s="26" t="s">
        <v>12011</v>
      </c>
      <c r="C6219" s="52"/>
      <c r="D6219" s="55">
        <f t="shared" si="97"/>
        <v>0</v>
      </c>
      <c r="E6219" s="63" t="str">
        <f>HYPERLINK("https://www.sds-group.ru/product/krepezh-kabelya-ploskiy-5h2-mm-belyy-50-sht-up-rexant-07-4205/", "Инфо")</f>
        <v>Инфо</v>
      </c>
      <c r="F6219" s="16" t="s">
        <v>1001</v>
      </c>
      <c r="G6219" s="15"/>
      <c r="H6219" s="15"/>
      <c r="I6219" s="15"/>
      <c r="J6219" s="17">
        <v>995</v>
      </c>
      <c r="K6219" s="15" t="s">
        <v>3762</v>
      </c>
      <c r="L6219" s="17">
        <v>10</v>
      </c>
      <c r="M6219" s="17">
        <v>400</v>
      </c>
      <c r="N6219" s="17">
        <v>10</v>
      </c>
      <c r="O6219" s="18">
        <v>49.36</v>
      </c>
      <c r="P6219" s="18">
        <v>40.46</v>
      </c>
      <c r="Q6219" s="18">
        <v>45.9</v>
      </c>
      <c r="R6219" s="18">
        <v>37.619999999999997</v>
      </c>
      <c r="S6219" s="18">
        <v>33.56</v>
      </c>
      <c r="T6219" s="18">
        <v>27.51</v>
      </c>
      <c r="U6219" s="16"/>
      <c r="V6219" s="16"/>
      <c r="W6219" s="16" t="s">
        <v>40</v>
      </c>
      <c r="X6219" s="19">
        <v>3.5999999999999997E-2</v>
      </c>
      <c r="Y6219" s="20">
        <v>8.7000000000000001E-5</v>
      </c>
      <c r="Z6219" s="21">
        <v>4610003603670</v>
      </c>
    </row>
    <row r="6220" spans="1:26" ht="12" customHeight="1" outlineLevel="4" x14ac:dyDescent="0.2">
      <c r="A6220" s="14" t="s">
        <v>12012</v>
      </c>
      <c r="B6220" s="26" t="s">
        <v>12013</v>
      </c>
      <c r="C6220" s="52"/>
      <c r="D6220" s="55">
        <f t="shared" si="97"/>
        <v>0</v>
      </c>
      <c r="E6220" s="63" t="str">
        <f>HYPERLINK("https://www.sds-group.ru/product/krepezh-kabelya-ploskiy-6h4-mm-belyy-50-sht-up-rexant-07-4206/", "Инфо")</f>
        <v>Инфо</v>
      </c>
      <c r="F6220" s="16" t="s">
        <v>1001</v>
      </c>
      <c r="G6220" s="15"/>
      <c r="H6220" s="15"/>
      <c r="I6220" s="15"/>
      <c r="J6220" s="22">
        <v>3635</v>
      </c>
      <c r="K6220" s="15" t="s">
        <v>4926</v>
      </c>
      <c r="L6220" s="17">
        <v>10</v>
      </c>
      <c r="M6220" s="17">
        <v>300</v>
      </c>
      <c r="N6220" s="17">
        <v>10</v>
      </c>
      <c r="O6220" s="18">
        <v>53.66</v>
      </c>
      <c r="P6220" s="18">
        <v>43.98</v>
      </c>
      <c r="Q6220" s="18">
        <v>49.9</v>
      </c>
      <c r="R6220" s="18">
        <v>40.9</v>
      </c>
      <c r="S6220" s="18">
        <v>36.49</v>
      </c>
      <c r="T6220" s="18">
        <v>29.91</v>
      </c>
      <c r="U6220" s="16"/>
      <c r="V6220" s="16"/>
      <c r="W6220" s="16" t="s">
        <v>40</v>
      </c>
      <c r="X6220" s="19">
        <v>4.2000000000000003E-2</v>
      </c>
      <c r="Y6220" s="20">
        <v>1.2E-4</v>
      </c>
      <c r="Z6220" s="21">
        <v>4610003603687</v>
      </c>
    </row>
    <row r="6221" spans="1:26" ht="12" customHeight="1" outlineLevel="4" x14ac:dyDescent="0.2">
      <c r="A6221" s="14" t="s">
        <v>12014</v>
      </c>
      <c r="B6221" s="26" t="s">
        <v>12015</v>
      </c>
      <c r="C6221" s="52"/>
      <c r="D6221" s="55">
        <f t="shared" si="97"/>
        <v>0</v>
      </c>
      <c r="E6221" s="63" t="str">
        <f>HYPERLINK("https://www.sds-group.ru/product/krepezh-kabelya-ploskiy-8h3-mm-belyy-50-sht-up-rexant-07-4207/", "Инфо")</f>
        <v>Инфо</v>
      </c>
      <c r="F6221" s="16" t="s">
        <v>1001</v>
      </c>
      <c r="G6221" s="15"/>
      <c r="H6221" s="15"/>
      <c r="I6221" s="15"/>
      <c r="J6221" s="22">
        <v>4271</v>
      </c>
      <c r="K6221" s="15" t="s">
        <v>979</v>
      </c>
      <c r="L6221" s="17">
        <v>10</v>
      </c>
      <c r="M6221" s="17">
        <v>200</v>
      </c>
      <c r="N6221" s="17">
        <v>10</v>
      </c>
      <c r="O6221" s="18">
        <v>66.739999999999995</v>
      </c>
      <c r="P6221" s="18">
        <v>54.7</v>
      </c>
      <c r="Q6221" s="18">
        <v>62.07</v>
      </c>
      <c r="R6221" s="18">
        <v>50.88</v>
      </c>
      <c r="S6221" s="18">
        <v>45.38</v>
      </c>
      <c r="T6221" s="18">
        <v>37.200000000000003</v>
      </c>
      <c r="U6221" s="16"/>
      <c r="V6221" s="16"/>
      <c r="W6221" s="16" t="s">
        <v>40</v>
      </c>
      <c r="X6221" s="19">
        <v>5.1999999999999998E-2</v>
      </c>
      <c r="Y6221" s="20">
        <v>1.7100000000000001E-4</v>
      </c>
      <c r="Z6221" s="21">
        <v>4610003603694</v>
      </c>
    </row>
    <row r="6222" spans="1:26" ht="12.95" customHeight="1" outlineLevel="3" x14ac:dyDescent="0.2">
      <c r="A6222" s="76" t="s">
        <v>12016</v>
      </c>
      <c r="B6222" s="76"/>
      <c r="C6222" s="77"/>
      <c r="D6222" s="58"/>
      <c r="E6222" s="68"/>
      <c r="F6222" s="13"/>
      <c r="G6222" s="13"/>
      <c r="H6222" s="13"/>
      <c r="I6222" s="13"/>
      <c r="J6222" s="13"/>
      <c r="K6222" s="13"/>
      <c r="L6222" s="13"/>
      <c r="M6222" s="13"/>
      <c r="N6222" s="13"/>
      <c r="O6222" s="13"/>
      <c r="P6222" s="13"/>
      <c r="Q6222" s="13"/>
      <c r="R6222" s="13"/>
      <c r="S6222" s="13"/>
      <c r="T6222" s="13"/>
      <c r="U6222" s="13"/>
      <c r="V6222" s="13"/>
      <c r="W6222" s="13"/>
      <c r="X6222" s="13"/>
      <c r="Y6222" s="13"/>
      <c r="Z6222" s="13"/>
    </row>
    <row r="6223" spans="1:26" ht="12" customHeight="1" outlineLevel="4" x14ac:dyDescent="0.2">
      <c r="A6223" s="14" t="s">
        <v>12017</v>
      </c>
      <c r="B6223" s="26" t="s">
        <v>12018</v>
      </c>
      <c r="C6223" s="52"/>
      <c r="D6223" s="55">
        <f t="shared" si="97"/>
        <v>0</v>
      </c>
      <c r="E6223" s="63" t="str">
        <f>HYPERLINK("https://www.sds-group.ru/product/dyubel-homut-11-18mm-kruglyy-belyy-100-sht-up-proconnect-07-4502-2/", "Инфо")</f>
        <v>Инфо</v>
      </c>
      <c r="F6223" s="16" t="s">
        <v>1001</v>
      </c>
      <c r="G6223" s="15"/>
      <c r="H6223" s="15"/>
      <c r="I6223" s="15"/>
      <c r="J6223" s="22">
        <v>1740</v>
      </c>
      <c r="K6223" s="15" t="s">
        <v>883</v>
      </c>
      <c r="L6223" s="17">
        <v>10</v>
      </c>
      <c r="M6223" s="17">
        <v>60</v>
      </c>
      <c r="N6223" s="17">
        <v>10</v>
      </c>
      <c r="O6223" s="18">
        <v>118.37</v>
      </c>
      <c r="P6223" s="18">
        <v>97.02</v>
      </c>
      <c r="Q6223" s="18">
        <v>110.08</v>
      </c>
      <c r="R6223" s="18">
        <v>90.23</v>
      </c>
      <c r="S6223" s="18">
        <v>80.489999999999995</v>
      </c>
      <c r="T6223" s="18">
        <v>65.98</v>
      </c>
      <c r="U6223" s="16"/>
      <c r="V6223" s="16"/>
      <c r="W6223" s="16" t="s">
        <v>40</v>
      </c>
      <c r="X6223" s="19">
        <v>8.2000000000000003E-2</v>
      </c>
      <c r="Y6223" s="20">
        <v>5.9900000000000003E-4</v>
      </c>
      <c r="Z6223" s="21">
        <v>4620753801950</v>
      </c>
    </row>
    <row r="6224" spans="1:26" ht="12" customHeight="1" outlineLevel="4" x14ac:dyDescent="0.2">
      <c r="A6224" s="14" t="s">
        <v>12019</v>
      </c>
      <c r="B6224" s="26" t="s">
        <v>12020</v>
      </c>
      <c r="C6224" s="52"/>
      <c r="D6224" s="55">
        <f t="shared" si="97"/>
        <v>0</v>
      </c>
      <c r="E6224" s="63" t="str">
        <f>HYPERLINK("https://www.sds-group.ru/product/dyubel-homut-11-18mm-kruglyy-belyy-100-sht-up-rexant-07-4502/", "Инфо")</f>
        <v>Инфо</v>
      </c>
      <c r="F6224" s="16" t="s">
        <v>1001</v>
      </c>
      <c r="G6224" s="15"/>
      <c r="H6224" s="15"/>
      <c r="I6224" s="15"/>
      <c r="J6224" s="22">
        <v>2723</v>
      </c>
      <c r="K6224" s="15"/>
      <c r="L6224" s="17">
        <v>10</v>
      </c>
      <c r="M6224" s="17">
        <v>80</v>
      </c>
      <c r="N6224" s="17">
        <v>10</v>
      </c>
      <c r="O6224" s="18">
        <v>131.51</v>
      </c>
      <c r="P6224" s="18">
        <v>107.8</v>
      </c>
      <c r="Q6224" s="18">
        <v>122.3</v>
      </c>
      <c r="R6224" s="18">
        <v>100.25</v>
      </c>
      <c r="S6224" s="18">
        <v>89.43</v>
      </c>
      <c r="T6224" s="18">
        <v>73.3</v>
      </c>
      <c r="U6224" s="16"/>
      <c r="V6224" s="16"/>
      <c r="W6224" s="16" t="s">
        <v>40</v>
      </c>
      <c r="X6224" s="19">
        <v>8.3000000000000004E-2</v>
      </c>
      <c r="Y6224" s="20">
        <v>6.11E-4</v>
      </c>
      <c r="Z6224" s="21">
        <v>4660008012069</v>
      </c>
    </row>
    <row r="6225" spans="1:26" ht="12" customHeight="1" outlineLevel="4" x14ac:dyDescent="0.2">
      <c r="A6225" s="14" t="s">
        <v>12021</v>
      </c>
      <c r="B6225" s="26" t="s">
        <v>12022</v>
      </c>
      <c r="C6225" s="52"/>
      <c r="D6225" s="55">
        <f t="shared" si="97"/>
        <v>0</v>
      </c>
      <c r="E6225" s="63" t="str">
        <f>HYPERLINK("https://www.sds-group.ru/product/dyubel-homut-11-18mm-kruglyy-seryy-100-sht-up-proconnect-07-4502-3/", "Инфо")</f>
        <v>Инфо</v>
      </c>
      <c r="F6225" s="16" t="s">
        <v>1001</v>
      </c>
      <c r="G6225" s="15"/>
      <c r="H6225" s="15"/>
      <c r="I6225" s="15"/>
      <c r="J6225" s="17">
        <v>306</v>
      </c>
      <c r="K6225" s="15"/>
      <c r="L6225" s="17">
        <v>10</v>
      </c>
      <c r="M6225" s="17">
        <v>60</v>
      </c>
      <c r="N6225" s="17">
        <v>10</v>
      </c>
      <c r="O6225" s="18">
        <v>118.37</v>
      </c>
      <c r="P6225" s="18">
        <v>97.02</v>
      </c>
      <c r="Q6225" s="18">
        <v>110.08</v>
      </c>
      <c r="R6225" s="18">
        <v>90.23</v>
      </c>
      <c r="S6225" s="18">
        <v>80.489999999999995</v>
      </c>
      <c r="T6225" s="18">
        <v>65.98</v>
      </c>
      <c r="U6225" s="16"/>
      <c r="V6225" s="16"/>
      <c r="W6225" s="16" t="s">
        <v>40</v>
      </c>
      <c r="X6225" s="19">
        <v>7.4999999999999997E-2</v>
      </c>
      <c r="Y6225" s="20">
        <v>1.0430000000000001E-3</v>
      </c>
      <c r="Z6225" s="21">
        <v>4601004070523</v>
      </c>
    </row>
    <row r="6226" spans="1:26" ht="12" customHeight="1" outlineLevel="4" x14ac:dyDescent="0.2">
      <c r="A6226" s="14" t="s">
        <v>12023</v>
      </c>
      <c r="B6226" s="26" t="s">
        <v>12024</v>
      </c>
      <c r="C6226" s="52"/>
      <c r="D6226" s="55">
        <f t="shared" si="97"/>
        <v>0</v>
      </c>
      <c r="E6226" s="63" t="str">
        <f>HYPERLINK("https://www.sds-group.ru/product/dyubel-homut-11-18mm-kruglyy-chernyy-100-sht-up-proconnect-07-4522/", "Инфо")</f>
        <v>Инфо</v>
      </c>
      <c r="F6226" s="16" t="s">
        <v>1001</v>
      </c>
      <c r="G6226" s="15"/>
      <c r="H6226" s="15"/>
      <c r="I6226" s="15"/>
      <c r="J6226" s="22">
        <v>1177</v>
      </c>
      <c r="K6226" s="15" t="s">
        <v>883</v>
      </c>
      <c r="L6226" s="17">
        <v>10</v>
      </c>
      <c r="M6226" s="17">
        <v>80</v>
      </c>
      <c r="N6226" s="17">
        <v>10</v>
      </c>
      <c r="O6226" s="18">
        <v>118.37</v>
      </c>
      <c r="P6226" s="18">
        <v>97.02</v>
      </c>
      <c r="Q6226" s="18">
        <v>110.08</v>
      </c>
      <c r="R6226" s="18">
        <v>90.23</v>
      </c>
      <c r="S6226" s="18">
        <v>80.489999999999995</v>
      </c>
      <c r="T6226" s="18">
        <v>65.98</v>
      </c>
      <c r="U6226" s="16"/>
      <c r="V6226" s="16"/>
      <c r="W6226" s="16" t="s">
        <v>40</v>
      </c>
      <c r="X6226" s="19">
        <v>8.5000000000000006E-2</v>
      </c>
      <c r="Y6226" s="20">
        <v>5.9800000000000001E-4</v>
      </c>
      <c r="Z6226" s="21">
        <v>4620753801981</v>
      </c>
    </row>
    <row r="6227" spans="1:26" ht="12" customHeight="1" outlineLevel="4" x14ac:dyDescent="0.2">
      <c r="A6227" s="14" t="s">
        <v>12025</v>
      </c>
      <c r="B6227" s="26" t="s">
        <v>12026</v>
      </c>
      <c r="C6227" s="52"/>
      <c r="D6227" s="55">
        <f t="shared" si="97"/>
        <v>0</v>
      </c>
      <c r="E6227" s="63" t="str">
        <f>HYPERLINK("https://www.sds-group.ru/product/dyubel-homut-19-25mm-kruglyy-belyy-100-sht-up-proconnect-07-4503-2/", "Инфо")</f>
        <v>Инфо</v>
      </c>
      <c r="F6227" s="16" t="s">
        <v>1001</v>
      </c>
      <c r="G6227" s="15"/>
      <c r="H6227" s="15"/>
      <c r="I6227" s="15"/>
      <c r="J6227" s="22">
        <v>2237</v>
      </c>
      <c r="K6227" s="15" t="s">
        <v>883</v>
      </c>
      <c r="L6227" s="17">
        <v>10</v>
      </c>
      <c r="M6227" s="17">
        <v>40</v>
      </c>
      <c r="N6227" s="17">
        <v>10</v>
      </c>
      <c r="O6227" s="18">
        <v>133.88999999999999</v>
      </c>
      <c r="P6227" s="18">
        <v>109.75</v>
      </c>
      <c r="Q6227" s="18">
        <v>124.52</v>
      </c>
      <c r="R6227" s="18">
        <v>102.07</v>
      </c>
      <c r="S6227" s="18">
        <v>91.05</v>
      </c>
      <c r="T6227" s="18">
        <v>74.63</v>
      </c>
      <c r="U6227" s="16"/>
      <c r="V6227" s="16"/>
      <c r="W6227" s="16" t="s">
        <v>40</v>
      </c>
      <c r="X6227" s="19">
        <v>9.9000000000000005E-2</v>
      </c>
      <c r="Y6227" s="20">
        <v>8.5899999999999995E-4</v>
      </c>
      <c r="Z6227" s="21">
        <v>4620753801967</v>
      </c>
    </row>
    <row r="6228" spans="1:26" ht="12" customHeight="1" outlineLevel="4" x14ac:dyDescent="0.2">
      <c r="A6228" s="14" t="s">
        <v>12027</v>
      </c>
      <c r="B6228" s="26" t="s">
        <v>12028</v>
      </c>
      <c r="C6228" s="52"/>
      <c r="D6228" s="55">
        <f t="shared" si="97"/>
        <v>0</v>
      </c>
      <c r="E6228" s="63" t="str">
        <f>HYPERLINK("https://www.sds-group.ru/product/dyubel-homut-19-25mm-kruglyy-belyy-100-sht-up-rexant-07-4503/", "Инфо")</f>
        <v>Инфо</v>
      </c>
      <c r="F6228" s="16" t="s">
        <v>1001</v>
      </c>
      <c r="G6228" s="15"/>
      <c r="H6228" s="15"/>
      <c r="I6228" s="15"/>
      <c r="J6228" s="22">
        <v>2502</v>
      </c>
      <c r="K6228" s="15"/>
      <c r="L6228" s="17">
        <v>10</v>
      </c>
      <c r="M6228" s="17">
        <v>65</v>
      </c>
      <c r="N6228" s="17">
        <v>10</v>
      </c>
      <c r="O6228" s="18">
        <v>148.77000000000001</v>
      </c>
      <c r="P6228" s="18">
        <v>121.94</v>
      </c>
      <c r="Q6228" s="18">
        <v>138.36000000000001</v>
      </c>
      <c r="R6228" s="18">
        <v>113.41</v>
      </c>
      <c r="S6228" s="18">
        <v>101.16</v>
      </c>
      <c r="T6228" s="18">
        <v>82.92</v>
      </c>
      <c r="U6228" s="16"/>
      <c r="V6228" s="16"/>
      <c r="W6228" s="16" t="s">
        <v>40</v>
      </c>
      <c r="X6228" s="19">
        <v>9.6000000000000002E-2</v>
      </c>
      <c r="Y6228" s="20">
        <v>7.45E-4</v>
      </c>
      <c r="Z6228" s="21">
        <v>4660008012052</v>
      </c>
    </row>
    <row r="6229" spans="1:26" ht="12" customHeight="1" outlineLevel="4" x14ac:dyDescent="0.2">
      <c r="A6229" s="14" t="s">
        <v>12029</v>
      </c>
      <c r="B6229" s="26" t="s">
        <v>12030</v>
      </c>
      <c r="C6229" s="52"/>
      <c r="D6229" s="55">
        <f t="shared" si="97"/>
        <v>0</v>
      </c>
      <c r="E6229" s="63" t="str">
        <f>HYPERLINK("https://www.sds-group.ru/product/dyubel-homut-19-25mm-kruglyy-seryy-100-sht-up-proconnect-07-4503-3/", "Инфо")</f>
        <v>Инфо</v>
      </c>
      <c r="F6229" s="16" t="s">
        <v>1001</v>
      </c>
      <c r="G6229" s="15"/>
      <c r="H6229" s="15"/>
      <c r="I6229" s="15"/>
      <c r="J6229" s="22">
        <v>2231</v>
      </c>
      <c r="K6229" s="15"/>
      <c r="L6229" s="17">
        <v>10</v>
      </c>
      <c r="M6229" s="17">
        <v>40</v>
      </c>
      <c r="N6229" s="17">
        <v>10</v>
      </c>
      <c r="O6229" s="18">
        <v>133.88999999999999</v>
      </c>
      <c r="P6229" s="18">
        <v>109.75</v>
      </c>
      <c r="Q6229" s="18">
        <v>124.52</v>
      </c>
      <c r="R6229" s="18">
        <v>102.07</v>
      </c>
      <c r="S6229" s="18">
        <v>91.05</v>
      </c>
      <c r="T6229" s="18">
        <v>74.63</v>
      </c>
      <c r="U6229" s="16"/>
      <c r="V6229" s="16"/>
      <c r="W6229" s="16" t="s">
        <v>40</v>
      </c>
      <c r="X6229" s="19">
        <v>8.2000000000000003E-2</v>
      </c>
      <c r="Y6229" s="20">
        <v>8.8199999999999997E-4</v>
      </c>
      <c r="Z6229" s="21">
        <v>4601004070547</v>
      </c>
    </row>
    <row r="6230" spans="1:26" ht="12" customHeight="1" outlineLevel="4" x14ac:dyDescent="0.2">
      <c r="A6230" s="14" t="s">
        <v>12031</v>
      </c>
      <c r="B6230" s="26" t="s">
        <v>12032</v>
      </c>
      <c r="C6230" s="52"/>
      <c r="D6230" s="55">
        <f t="shared" si="97"/>
        <v>0</v>
      </c>
      <c r="E6230" s="63" t="str">
        <f>HYPERLINK("https://www.sds-group.ru/product/dyubel-homut-19-25mm-kruglyy-chernyy-100-sht-up-proconnect-07-4523/", "Инфо")</f>
        <v>Инфо</v>
      </c>
      <c r="F6230" s="16" t="s">
        <v>1001</v>
      </c>
      <c r="G6230" s="15"/>
      <c r="H6230" s="15"/>
      <c r="I6230" s="15"/>
      <c r="J6230" s="22">
        <v>1045</v>
      </c>
      <c r="K6230" s="15" t="s">
        <v>883</v>
      </c>
      <c r="L6230" s="17">
        <v>10</v>
      </c>
      <c r="M6230" s="17">
        <v>40</v>
      </c>
      <c r="N6230" s="17">
        <v>10</v>
      </c>
      <c r="O6230" s="18">
        <v>133.88999999999999</v>
      </c>
      <c r="P6230" s="18">
        <v>109.75</v>
      </c>
      <c r="Q6230" s="18">
        <v>124.52</v>
      </c>
      <c r="R6230" s="18">
        <v>102.07</v>
      </c>
      <c r="S6230" s="18">
        <v>91.05</v>
      </c>
      <c r="T6230" s="18">
        <v>74.63</v>
      </c>
      <c r="U6230" s="16"/>
      <c r="V6230" s="16"/>
      <c r="W6230" s="16" t="s">
        <v>40</v>
      </c>
      <c r="X6230" s="19">
        <v>9.5000000000000001E-2</v>
      </c>
      <c r="Y6230" s="20">
        <v>7.3300000000000004E-4</v>
      </c>
      <c r="Z6230" s="21">
        <v>4620753801998</v>
      </c>
    </row>
    <row r="6231" spans="1:26" ht="12" customHeight="1" outlineLevel="4" x14ac:dyDescent="0.2">
      <c r="A6231" s="14" t="s">
        <v>12033</v>
      </c>
      <c r="B6231" s="26" t="s">
        <v>12034</v>
      </c>
      <c r="C6231" s="52"/>
      <c r="D6231" s="55">
        <f t="shared" si="97"/>
        <v>0</v>
      </c>
      <c r="E6231" s="63" t="str">
        <f>HYPERLINK("https://www.sds-group.ru/product/dyubel-homut-5-10mm-kruglyy-belyy-100-sht-up-proconnect-07-4501-2/", "Инфо")</f>
        <v>Инфо</v>
      </c>
      <c r="F6231" s="16" t="s">
        <v>1001</v>
      </c>
      <c r="G6231" s="15"/>
      <c r="H6231" s="15"/>
      <c r="I6231" s="15"/>
      <c r="J6231" s="22">
        <v>4426</v>
      </c>
      <c r="K6231" s="15" t="s">
        <v>1408</v>
      </c>
      <c r="L6231" s="17">
        <v>10</v>
      </c>
      <c r="M6231" s="17">
        <v>110</v>
      </c>
      <c r="N6231" s="17">
        <v>10</v>
      </c>
      <c r="O6231" s="18">
        <v>92.17</v>
      </c>
      <c r="P6231" s="18">
        <v>75.55</v>
      </c>
      <c r="Q6231" s="18">
        <v>85.72</v>
      </c>
      <c r="R6231" s="18">
        <v>70.260000000000005</v>
      </c>
      <c r="S6231" s="18">
        <v>62.68</v>
      </c>
      <c r="T6231" s="18">
        <v>51.38</v>
      </c>
      <c r="U6231" s="16"/>
      <c r="V6231" s="16"/>
      <c r="W6231" s="16" t="s">
        <v>40</v>
      </c>
      <c r="X6231" s="19">
        <v>6.7000000000000004E-2</v>
      </c>
      <c r="Y6231" s="20">
        <v>4.26E-4</v>
      </c>
      <c r="Z6231" s="21">
        <v>4620753801943</v>
      </c>
    </row>
    <row r="6232" spans="1:26" ht="12" customHeight="1" outlineLevel="4" x14ac:dyDescent="0.2">
      <c r="A6232" s="14" t="s">
        <v>12035</v>
      </c>
      <c r="B6232" s="26" t="s">
        <v>12036</v>
      </c>
      <c r="C6232" s="52"/>
      <c r="D6232" s="55">
        <f t="shared" si="97"/>
        <v>0</v>
      </c>
      <c r="E6232" s="63" t="str">
        <f>HYPERLINK("https://www.sds-group.ru/product/dyubel-homut-5-10mm-kruglyy-belyy-100-sht-up-rexant-07-4501/", "Инфо")</f>
        <v>Инфо</v>
      </c>
      <c r="F6232" s="16" t="s">
        <v>1001</v>
      </c>
      <c r="G6232" s="15"/>
      <c r="H6232" s="15"/>
      <c r="I6232" s="15"/>
      <c r="J6232" s="22">
        <v>8039</v>
      </c>
      <c r="K6232" s="15" t="s">
        <v>6556</v>
      </c>
      <c r="L6232" s="17">
        <v>10</v>
      </c>
      <c r="M6232" s="17">
        <v>110</v>
      </c>
      <c r="N6232" s="17">
        <v>10</v>
      </c>
      <c r="O6232" s="18">
        <v>102.42</v>
      </c>
      <c r="P6232" s="18">
        <v>83.95</v>
      </c>
      <c r="Q6232" s="18">
        <v>95.25</v>
      </c>
      <c r="R6232" s="18">
        <v>78.069999999999993</v>
      </c>
      <c r="S6232" s="18">
        <v>69.650000000000006</v>
      </c>
      <c r="T6232" s="18">
        <v>57.09</v>
      </c>
      <c r="U6232" s="16"/>
      <c r="V6232" s="16"/>
      <c r="W6232" s="16" t="s">
        <v>40</v>
      </c>
      <c r="X6232" s="19">
        <v>6.7000000000000004E-2</v>
      </c>
      <c r="Y6232" s="20">
        <v>4.4099999999999999E-4</v>
      </c>
      <c r="Z6232" s="21">
        <v>4660008012076</v>
      </c>
    </row>
    <row r="6233" spans="1:26" ht="12" customHeight="1" outlineLevel="4" x14ac:dyDescent="0.2">
      <c r="A6233" s="14" t="s">
        <v>12037</v>
      </c>
      <c r="B6233" s="26" t="s">
        <v>12038</v>
      </c>
      <c r="C6233" s="52"/>
      <c r="D6233" s="55">
        <f t="shared" si="97"/>
        <v>0</v>
      </c>
      <c r="E6233" s="63" t="str">
        <f>HYPERLINK("https://www.sds-group.ru/product/dyubel-homut-5-10mm-kruglyy-seryy-100-sht-up-proconnect-07-4501-3/", "Инфо")</f>
        <v>Инфо</v>
      </c>
      <c r="F6233" s="16" t="s">
        <v>1001</v>
      </c>
      <c r="G6233" s="15"/>
      <c r="H6233" s="15"/>
      <c r="I6233" s="15"/>
      <c r="J6233" s="22">
        <v>1070</v>
      </c>
      <c r="K6233" s="15"/>
      <c r="L6233" s="17">
        <v>10</v>
      </c>
      <c r="M6233" s="17">
        <v>80</v>
      </c>
      <c r="N6233" s="17">
        <v>10</v>
      </c>
      <c r="O6233" s="18">
        <v>92.17</v>
      </c>
      <c r="P6233" s="18">
        <v>75.55</v>
      </c>
      <c r="Q6233" s="18">
        <v>85.72</v>
      </c>
      <c r="R6233" s="18">
        <v>70.260000000000005</v>
      </c>
      <c r="S6233" s="18">
        <v>62.68</v>
      </c>
      <c r="T6233" s="18">
        <v>51.38</v>
      </c>
      <c r="U6233" s="16"/>
      <c r="V6233" s="16"/>
      <c r="W6233" s="16" t="s">
        <v>40</v>
      </c>
      <c r="X6233" s="19">
        <v>6.6000000000000003E-2</v>
      </c>
      <c r="Y6233" s="20">
        <v>4.28E-4</v>
      </c>
      <c r="Z6233" s="21">
        <v>4601004070530</v>
      </c>
    </row>
    <row r="6234" spans="1:26" ht="12" customHeight="1" outlineLevel="4" x14ac:dyDescent="0.2">
      <c r="A6234" s="14" t="s">
        <v>12039</v>
      </c>
      <c r="B6234" s="26" t="s">
        <v>12040</v>
      </c>
      <c r="C6234" s="52"/>
      <c r="D6234" s="55">
        <f t="shared" si="97"/>
        <v>0</v>
      </c>
      <c r="E6234" s="63" t="str">
        <f>HYPERLINK("https://www.sds-group.ru/product/dyubel-homut-5-10mm-kruglyy-chernyy-100-sht-up-proconnect-07-4521/", "Инфо")</f>
        <v>Инфо</v>
      </c>
      <c r="F6234" s="16" t="s">
        <v>1001</v>
      </c>
      <c r="G6234" s="15"/>
      <c r="H6234" s="15"/>
      <c r="I6234" s="15"/>
      <c r="J6234" s="22">
        <v>4543</v>
      </c>
      <c r="K6234" s="15" t="s">
        <v>883</v>
      </c>
      <c r="L6234" s="17">
        <v>10</v>
      </c>
      <c r="M6234" s="17">
        <v>110</v>
      </c>
      <c r="N6234" s="17">
        <v>10</v>
      </c>
      <c r="O6234" s="18">
        <v>92.17</v>
      </c>
      <c r="P6234" s="18">
        <v>75.55</v>
      </c>
      <c r="Q6234" s="18">
        <v>85.72</v>
      </c>
      <c r="R6234" s="18">
        <v>70.260000000000005</v>
      </c>
      <c r="S6234" s="18">
        <v>62.68</v>
      </c>
      <c r="T6234" s="18">
        <v>51.38</v>
      </c>
      <c r="U6234" s="16"/>
      <c r="V6234" s="16"/>
      <c r="W6234" s="16" t="s">
        <v>40</v>
      </c>
      <c r="X6234" s="19">
        <v>7.0999999999999994E-2</v>
      </c>
      <c r="Y6234" s="20">
        <v>4.2900000000000002E-4</v>
      </c>
      <c r="Z6234" s="21">
        <v>4620753801974</v>
      </c>
    </row>
    <row r="6235" spans="1:26" ht="12" customHeight="1" outlineLevel="4" x14ac:dyDescent="0.2">
      <c r="A6235" s="14" t="s">
        <v>12041</v>
      </c>
      <c r="B6235" s="26" t="s">
        <v>12042</v>
      </c>
      <c r="C6235" s="52"/>
      <c r="D6235" s="55">
        <f t="shared" si="97"/>
        <v>0</v>
      </c>
      <c r="E6235" s="63" t="str">
        <f>HYPERLINK("https://www.sds-group.ru/product/dyubel-homut-5-10mm-pryamougolnyy-belyy-100-sht-up-proconnect-07-4611/", "Инфо")</f>
        <v>Инфо</v>
      </c>
      <c r="F6235" s="16" t="s">
        <v>1001</v>
      </c>
      <c r="G6235" s="15"/>
      <c r="H6235" s="15"/>
      <c r="I6235" s="15"/>
      <c r="J6235" s="16" t="s">
        <v>100</v>
      </c>
      <c r="K6235" s="15" t="s">
        <v>1408</v>
      </c>
      <c r="L6235" s="17">
        <v>10</v>
      </c>
      <c r="M6235" s="17">
        <v>110</v>
      </c>
      <c r="N6235" s="17">
        <v>10</v>
      </c>
      <c r="O6235" s="18">
        <v>94.11</v>
      </c>
      <c r="P6235" s="18">
        <v>77.14</v>
      </c>
      <c r="Q6235" s="18">
        <v>87.52</v>
      </c>
      <c r="R6235" s="18">
        <v>71.739999999999995</v>
      </c>
      <c r="S6235" s="18">
        <v>63.99</v>
      </c>
      <c r="T6235" s="18">
        <v>52.45</v>
      </c>
      <c r="U6235" s="16"/>
      <c r="V6235" s="16"/>
      <c r="W6235" s="16" t="s">
        <v>40</v>
      </c>
      <c r="X6235" s="19">
        <v>8.2000000000000003E-2</v>
      </c>
      <c r="Y6235" s="20">
        <v>4.35E-4</v>
      </c>
      <c r="Z6235" s="21">
        <v>4620753806153</v>
      </c>
    </row>
    <row r="6236" spans="1:26" ht="12" customHeight="1" outlineLevel="4" x14ac:dyDescent="0.2">
      <c r="A6236" s="14" t="s">
        <v>12043</v>
      </c>
      <c r="B6236" s="26" t="s">
        <v>12044</v>
      </c>
      <c r="C6236" s="52"/>
      <c r="D6236" s="55">
        <f t="shared" si="97"/>
        <v>0</v>
      </c>
      <c r="E6236" s="63" t="str">
        <f>HYPERLINK("https://www.sds-group.ru/product/dyubel-homut-5-10mm-pryamougolnyy-belyy-100-sht-up-rexant-07-4610/", "Инфо")</f>
        <v>Инфо</v>
      </c>
      <c r="F6236" s="16" t="s">
        <v>1001</v>
      </c>
      <c r="G6236" s="15"/>
      <c r="H6236" s="15"/>
      <c r="I6236" s="15"/>
      <c r="J6236" s="22">
        <v>42022</v>
      </c>
      <c r="K6236" s="15" t="s">
        <v>6556</v>
      </c>
      <c r="L6236" s="17">
        <v>10</v>
      </c>
      <c r="M6236" s="17">
        <v>110</v>
      </c>
      <c r="N6236" s="17">
        <v>10</v>
      </c>
      <c r="O6236" s="18">
        <v>104.57</v>
      </c>
      <c r="P6236" s="18">
        <v>85.71</v>
      </c>
      <c r="Q6236" s="18">
        <v>97.25</v>
      </c>
      <c r="R6236" s="18">
        <v>79.709999999999994</v>
      </c>
      <c r="S6236" s="18">
        <v>71.11</v>
      </c>
      <c r="T6236" s="18">
        <v>58.29</v>
      </c>
      <c r="U6236" s="16"/>
      <c r="V6236" s="16"/>
      <c r="W6236" s="16" t="s">
        <v>40</v>
      </c>
      <c r="X6236" s="19">
        <v>8.3000000000000004E-2</v>
      </c>
      <c r="Y6236" s="20">
        <v>4.3100000000000001E-4</v>
      </c>
      <c r="Z6236" s="21">
        <v>4601004032996</v>
      </c>
    </row>
    <row r="6237" spans="1:26" ht="12" customHeight="1" outlineLevel="4" x14ac:dyDescent="0.2">
      <c r="A6237" s="14" t="s">
        <v>12045</v>
      </c>
      <c r="B6237" s="26" t="s">
        <v>12046</v>
      </c>
      <c r="C6237" s="52"/>
      <c r="D6237" s="55">
        <f t="shared" si="97"/>
        <v>0</v>
      </c>
      <c r="E6237" s="63" t="str">
        <f>HYPERLINK("https://www.sds-group.ru/product/dyubel-homut-5-10mm-pryamougolnyy-chernyy-100-sht-up-proconnect-07-4621/", "Инфо")</f>
        <v>Инфо</v>
      </c>
      <c r="F6237" s="16" t="s">
        <v>1001</v>
      </c>
      <c r="G6237" s="15"/>
      <c r="H6237" s="15"/>
      <c r="I6237" s="15"/>
      <c r="J6237" s="22">
        <v>16603</v>
      </c>
      <c r="K6237" s="15" t="s">
        <v>6556</v>
      </c>
      <c r="L6237" s="17">
        <v>10</v>
      </c>
      <c r="M6237" s="17">
        <v>110</v>
      </c>
      <c r="N6237" s="17">
        <v>10</v>
      </c>
      <c r="O6237" s="18">
        <v>94.11</v>
      </c>
      <c r="P6237" s="18">
        <v>77.14</v>
      </c>
      <c r="Q6237" s="18">
        <v>87.52</v>
      </c>
      <c r="R6237" s="18">
        <v>71.739999999999995</v>
      </c>
      <c r="S6237" s="18">
        <v>63.99</v>
      </c>
      <c r="T6237" s="18">
        <v>52.45</v>
      </c>
      <c r="U6237" s="16"/>
      <c r="V6237" s="16"/>
      <c r="W6237" s="16" t="s">
        <v>40</v>
      </c>
      <c r="X6237" s="19">
        <v>9.9000000000000005E-2</v>
      </c>
      <c r="Y6237" s="20">
        <v>4.2700000000000002E-4</v>
      </c>
      <c r="Z6237" s="21">
        <v>4620753806160</v>
      </c>
    </row>
    <row r="6238" spans="1:26" ht="12" customHeight="1" outlineLevel="4" x14ac:dyDescent="0.2">
      <c r="A6238" s="14" t="s">
        <v>12047</v>
      </c>
      <c r="B6238" s="26" t="s">
        <v>12048</v>
      </c>
      <c r="C6238" s="52"/>
      <c r="D6238" s="55">
        <f t="shared" si="97"/>
        <v>0</v>
      </c>
      <c r="E6238" s="63" t="str">
        <f>HYPERLINK("https://www.sds-group.ru/product/dyubel-homut-5-8mm-pryamougolnyy-belyy-100-sht-up-rexant-07-4608/", "Инфо")</f>
        <v>Инфо</v>
      </c>
      <c r="F6238" s="16" t="s">
        <v>1001</v>
      </c>
      <c r="G6238" s="15"/>
      <c r="H6238" s="15"/>
      <c r="I6238" s="15"/>
      <c r="J6238" s="22">
        <v>2256</v>
      </c>
      <c r="K6238" s="15"/>
      <c r="L6238" s="17">
        <v>10</v>
      </c>
      <c r="M6238" s="17">
        <v>140</v>
      </c>
      <c r="N6238" s="17">
        <v>10</v>
      </c>
      <c r="O6238" s="18">
        <v>109.95</v>
      </c>
      <c r="P6238" s="18">
        <v>90.12</v>
      </c>
      <c r="Q6238" s="18">
        <v>102.25</v>
      </c>
      <c r="R6238" s="18">
        <v>83.81</v>
      </c>
      <c r="S6238" s="18">
        <v>74.77</v>
      </c>
      <c r="T6238" s="18">
        <v>61.29</v>
      </c>
      <c r="U6238" s="16"/>
      <c r="V6238" s="16"/>
      <c r="W6238" s="16" t="s">
        <v>40</v>
      </c>
      <c r="X6238" s="19">
        <v>6.2E-2</v>
      </c>
      <c r="Y6238" s="20">
        <v>3.4099999999999999E-4</v>
      </c>
      <c r="Z6238" s="21">
        <v>4601004134799</v>
      </c>
    </row>
    <row r="6239" spans="1:26" ht="12" customHeight="1" outlineLevel="4" x14ac:dyDescent="0.2">
      <c r="A6239" s="14" t="s">
        <v>12049</v>
      </c>
      <c r="B6239" s="26" t="s">
        <v>12050</v>
      </c>
      <c r="C6239" s="52"/>
      <c r="D6239" s="55">
        <f t="shared" si="97"/>
        <v>0</v>
      </c>
      <c r="E6239" s="63" t="str">
        <f>HYPERLINK("https://www.sds-group.ru/product/dyubel-homut-5-8mm-pryamougolnyy-chernyy-100-sht-up-rexant-07-4609/", "Инфо")</f>
        <v>Инфо</v>
      </c>
      <c r="F6239" s="16" t="s">
        <v>1001</v>
      </c>
      <c r="G6239" s="15"/>
      <c r="H6239" s="15"/>
      <c r="I6239" s="15"/>
      <c r="J6239" s="17">
        <v>856</v>
      </c>
      <c r="K6239" s="15" t="s">
        <v>6556</v>
      </c>
      <c r="L6239" s="17">
        <v>10</v>
      </c>
      <c r="M6239" s="17">
        <v>120</v>
      </c>
      <c r="N6239" s="17">
        <v>10</v>
      </c>
      <c r="O6239" s="18">
        <v>112.12</v>
      </c>
      <c r="P6239" s="18">
        <v>91.9</v>
      </c>
      <c r="Q6239" s="18">
        <v>104.27</v>
      </c>
      <c r="R6239" s="18">
        <v>85.47</v>
      </c>
      <c r="S6239" s="18">
        <v>76.239999999999995</v>
      </c>
      <c r="T6239" s="18">
        <v>62.49</v>
      </c>
      <c r="U6239" s="16"/>
      <c r="V6239" s="16"/>
      <c r="W6239" s="16" t="s">
        <v>40</v>
      </c>
      <c r="X6239" s="19">
        <v>6.7000000000000004E-2</v>
      </c>
      <c r="Y6239" s="20">
        <v>3.59E-4</v>
      </c>
      <c r="Z6239" s="21">
        <v>4601004134805</v>
      </c>
    </row>
    <row r="6240" spans="1:26" ht="12" customHeight="1" outlineLevel="4" x14ac:dyDescent="0.2">
      <c r="A6240" s="14" t="s">
        <v>12051</v>
      </c>
      <c r="B6240" s="26" t="s">
        <v>12052</v>
      </c>
      <c r="C6240" s="52"/>
      <c r="D6240" s="55">
        <f t="shared" si="97"/>
        <v>0</v>
      </c>
      <c r="E6240" s="63" t="str">
        <f>HYPERLINK("https://www.sds-group.ru/product/dyubel-homut-6-12mm-pryamougolnyy-belyy-100-sht-up-rexant-07-4612/", "Инфо")</f>
        <v>Инфо</v>
      </c>
      <c r="F6240" s="16" t="s">
        <v>1001</v>
      </c>
      <c r="G6240" s="15"/>
      <c r="H6240" s="15"/>
      <c r="I6240" s="15"/>
      <c r="J6240" s="22">
        <v>6270</v>
      </c>
      <c r="K6240" s="15" t="s">
        <v>1888</v>
      </c>
      <c r="L6240" s="17">
        <v>10</v>
      </c>
      <c r="M6240" s="17">
        <v>100</v>
      </c>
      <c r="N6240" s="17">
        <v>10</v>
      </c>
      <c r="O6240" s="18">
        <v>109.42</v>
      </c>
      <c r="P6240" s="18">
        <v>89.69</v>
      </c>
      <c r="Q6240" s="18">
        <v>101.76</v>
      </c>
      <c r="R6240" s="18">
        <v>83.41</v>
      </c>
      <c r="S6240" s="18">
        <v>74.41</v>
      </c>
      <c r="T6240" s="18">
        <v>60.99</v>
      </c>
      <c r="U6240" s="16"/>
      <c r="V6240" s="16"/>
      <c r="W6240" s="16" t="s">
        <v>40</v>
      </c>
      <c r="X6240" s="19">
        <v>8.3000000000000004E-2</v>
      </c>
      <c r="Y6240" s="20">
        <v>4.7100000000000001E-4</v>
      </c>
      <c r="Z6240" s="21">
        <v>4601004033009</v>
      </c>
    </row>
    <row r="6241" spans="1:26" ht="12" customHeight="1" outlineLevel="4" x14ac:dyDescent="0.2">
      <c r="A6241" s="14" t="s">
        <v>12053</v>
      </c>
      <c r="B6241" s="26" t="s">
        <v>12054</v>
      </c>
      <c r="C6241" s="52"/>
      <c r="D6241" s="55">
        <f t="shared" si="97"/>
        <v>0</v>
      </c>
      <c r="E6241" s="63" t="str">
        <f>HYPERLINK("https://www.sds-group.ru/product/dyubel-homut-6-12mm-pryamougolnyy-chernyy-100-sht-up-rexant-07-4614/", "Инфо")</f>
        <v>Инфо</v>
      </c>
      <c r="F6241" s="16" t="s">
        <v>1001</v>
      </c>
      <c r="G6241" s="15"/>
      <c r="H6241" s="15"/>
      <c r="I6241" s="15"/>
      <c r="J6241" s="16" t="s">
        <v>100</v>
      </c>
      <c r="K6241" s="15" t="s">
        <v>1888</v>
      </c>
      <c r="L6241" s="17">
        <v>10</v>
      </c>
      <c r="M6241" s="17">
        <v>80</v>
      </c>
      <c r="N6241" s="17">
        <v>10</v>
      </c>
      <c r="O6241" s="18">
        <v>110.49</v>
      </c>
      <c r="P6241" s="18">
        <v>90.57</v>
      </c>
      <c r="Q6241" s="18">
        <v>102.76</v>
      </c>
      <c r="R6241" s="18">
        <v>84.23</v>
      </c>
      <c r="S6241" s="18">
        <v>75.13</v>
      </c>
      <c r="T6241" s="18">
        <v>61.58</v>
      </c>
      <c r="U6241" s="16"/>
      <c r="V6241" s="16"/>
      <c r="W6241" s="16" t="s">
        <v>40</v>
      </c>
      <c r="X6241" s="19">
        <v>9.0999999999999998E-2</v>
      </c>
      <c r="Y6241" s="20">
        <v>4.86E-4</v>
      </c>
      <c r="Z6241" s="21">
        <v>4601004129870</v>
      </c>
    </row>
    <row r="6242" spans="1:26" ht="12" customHeight="1" outlineLevel="4" x14ac:dyDescent="0.2">
      <c r="A6242" s="14" t="s">
        <v>12055</v>
      </c>
      <c r="B6242" s="26" t="s">
        <v>12056</v>
      </c>
      <c r="C6242" s="52"/>
      <c r="D6242" s="55">
        <f t="shared" si="97"/>
        <v>0</v>
      </c>
      <c r="E6242" s="63" t="str">
        <f>HYPERLINK("https://www.sds-group.ru/product/dyubel-homut-t-obraznyy-dlya-dvuh-kabeley-2h12mm-belyy-100-sht-up-rexant-07-4615/", "Инфо")</f>
        <v>Инфо</v>
      </c>
      <c r="F6242" s="16" t="s">
        <v>1001</v>
      </c>
      <c r="G6242" s="15"/>
      <c r="H6242" s="15"/>
      <c r="I6242" s="15"/>
      <c r="J6242" s="22">
        <v>4861</v>
      </c>
      <c r="K6242" s="15" t="s">
        <v>6556</v>
      </c>
      <c r="L6242" s="17">
        <v>10</v>
      </c>
      <c r="M6242" s="17">
        <v>80</v>
      </c>
      <c r="N6242" s="17">
        <v>10</v>
      </c>
      <c r="O6242" s="18">
        <v>155.4</v>
      </c>
      <c r="P6242" s="18">
        <v>127.38</v>
      </c>
      <c r="Q6242" s="18">
        <v>144.52000000000001</v>
      </c>
      <c r="R6242" s="18">
        <v>118.46</v>
      </c>
      <c r="S6242" s="18">
        <v>105.67</v>
      </c>
      <c r="T6242" s="18">
        <v>86.61</v>
      </c>
      <c r="U6242" s="16"/>
      <c r="V6242" s="16"/>
      <c r="W6242" s="16" t="s">
        <v>40</v>
      </c>
      <c r="X6242" s="19">
        <v>0.105</v>
      </c>
      <c r="Y6242" s="20">
        <v>6.0400000000000004E-4</v>
      </c>
      <c r="Z6242" s="21">
        <v>4601004032989</v>
      </c>
    </row>
    <row r="6243" spans="1:26" ht="12.95" customHeight="1" outlineLevel="3" x14ac:dyDescent="0.2">
      <c r="A6243" s="76" t="s">
        <v>12057</v>
      </c>
      <c r="B6243" s="76"/>
      <c r="C6243" s="77"/>
      <c r="D6243" s="58"/>
      <c r="E6243" s="68"/>
      <c r="F6243" s="13"/>
      <c r="G6243" s="13"/>
      <c r="H6243" s="13"/>
      <c r="I6243" s="13"/>
      <c r="J6243" s="13"/>
      <c r="K6243" s="13"/>
      <c r="L6243" s="13"/>
      <c r="M6243" s="13"/>
      <c r="N6243" s="13"/>
      <c r="O6243" s="13"/>
      <c r="P6243" s="13"/>
      <c r="Q6243" s="13"/>
      <c r="R6243" s="13"/>
      <c r="S6243" s="13"/>
      <c r="T6243" s="13"/>
      <c r="U6243" s="13"/>
      <c r="V6243" s="13"/>
      <c r="W6243" s="13"/>
      <c r="X6243" s="13"/>
      <c r="Y6243" s="13"/>
      <c r="Z6243" s="13"/>
    </row>
    <row r="6244" spans="1:26" ht="12" customHeight="1" outlineLevel="4" x14ac:dyDescent="0.2">
      <c r="A6244" s="14" t="s">
        <v>12058</v>
      </c>
      <c r="B6244" s="26" t="s">
        <v>12059</v>
      </c>
      <c r="C6244" s="52"/>
      <c r="D6244" s="55">
        <f t="shared" si="97"/>
        <v>0</v>
      </c>
      <c r="E6244" s="63" t="str">
        <f>HYPERLINK("https://www.sds-group.ru/product/kabelnyy-spiralnyy-bandazh-diametr-12mm-dlina-2m-prozrachnyy-rexant-07-7012/", "Инфо")</f>
        <v>Инфо</v>
      </c>
      <c r="F6244" s="16" t="s">
        <v>1001</v>
      </c>
      <c r="G6244" s="15"/>
      <c r="H6244" s="15"/>
      <c r="I6244" s="15"/>
      <c r="J6244" s="17">
        <v>451</v>
      </c>
      <c r="K6244" s="15" t="s">
        <v>979</v>
      </c>
      <c r="L6244" s="17">
        <v>10</v>
      </c>
      <c r="M6244" s="17">
        <v>100</v>
      </c>
      <c r="N6244" s="17">
        <v>10</v>
      </c>
      <c r="O6244" s="18">
        <v>128.22</v>
      </c>
      <c r="P6244" s="18">
        <v>105.1</v>
      </c>
      <c r="Q6244" s="18">
        <v>119.24</v>
      </c>
      <c r="R6244" s="18">
        <v>97.74</v>
      </c>
      <c r="S6244" s="18">
        <v>87.19</v>
      </c>
      <c r="T6244" s="18">
        <v>71.47</v>
      </c>
      <c r="U6244" s="16"/>
      <c r="V6244" s="16"/>
      <c r="W6244" s="16" t="s">
        <v>40</v>
      </c>
      <c r="X6244" s="19">
        <v>6.4000000000000001E-2</v>
      </c>
      <c r="Y6244" s="20">
        <v>5.7200000000000003E-4</v>
      </c>
      <c r="Z6244" s="21">
        <v>4601004011212</v>
      </c>
    </row>
    <row r="6245" spans="1:26" ht="12" customHeight="1" outlineLevel="4" x14ac:dyDescent="0.2">
      <c r="A6245" s="14" t="s">
        <v>12060</v>
      </c>
      <c r="B6245" s="26" t="s">
        <v>12061</v>
      </c>
      <c r="C6245" s="52"/>
      <c r="D6245" s="55">
        <f t="shared" si="97"/>
        <v>0</v>
      </c>
      <c r="E6245" s="63" t="str">
        <f>HYPERLINK("https://www.sds-group.ru/product/kabelnyy-spiralnyy-bandazh-diametr-15mm-dlina-2m-prozrachnyy-rexant-07-7015/", "Инфо")</f>
        <v>Инфо</v>
      </c>
      <c r="F6245" s="16" t="s">
        <v>1001</v>
      </c>
      <c r="G6245" s="15"/>
      <c r="H6245" s="15"/>
      <c r="I6245" s="15"/>
      <c r="J6245" s="22">
        <v>1285</v>
      </c>
      <c r="K6245" s="15" t="s">
        <v>4926</v>
      </c>
      <c r="L6245" s="17">
        <v>10</v>
      </c>
      <c r="M6245" s="17">
        <v>100</v>
      </c>
      <c r="N6245" s="17">
        <v>10</v>
      </c>
      <c r="O6245" s="18">
        <v>188.54</v>
      </c>
      <c r="P6245" s="18">
        <v>154.54</v>
      </c>
      <c r="Q6245" s="18">
        <v>175.34</v>
      </c>
      <c r="R6245" s="18">
        <v>143.72</v>
      </c>
      <c r="S6245" s="18">
        <v>128.21</v>
      </c>
      <c r="T6245" s="18">
        <v>105.09</v>
      </c>
      <c r="U6245" s="16"/>
      <c r="V6245" s="16"/>
      <c r="W6245" s="16" t="s">
        <v>40</v>
      </c>
      <c r="X6245" s="19">
        <v>7.3999999999999996E-2</v>
      </c>
      <c r="Y6245" s="20">
        <v>7.5799999999999999E-4</v>
      </c>
      <c r="Z6245" s="21">
        <v>2000321597713</v>
      </c>
    </row>
    <row r="6246" spans="1:26" ht="12" customHeight="1" outlineLevel="4" x14ac:dyDescent="0.2">
      <c r="A6246" s="14" t="s">
        <v>12062</v>
      </c>
      <c r="B6246" s="26" t="s">
        <v>12063</v>
      </c>
      <c r="C6246" s="52"/>
      <c r="D6246" s="55">
        <f t="shared" si="97"/>
        <v>0</v>
      </c>
      <c r="E6246" s="63" t="str">
        <f>HYPERLINK("https://www.sds-group.ru/product/kabelnyy-spiralnyy-bandazh-diametr-6mm-dlina-2m-prozrachnyy-rexant-07-7006/", "Инфо")</f>
        <v>Инфо</v>
      </c>
      <c r="F6246" s="16" t="s">
        <v>1001</v>
      </c>
      <c r="G6246" s="15"/>
      <c r="H6246" s="15"/>
      <c r="I6246" s="15"/>
      <c r="J6246" s="22">
        <v>1974</v>
      </c>
      <c r="K6246" s="15" t="s">
        <v>4926</v>
      </c>
      <c r="L6246" s="17">
        <v>10</v>
      </c>
      <c r="M6246" s="17">
        <v>250</v>
      </c>
      <c r="N6246" s="17">
        <v>10</v>
      </c>
      <c r="O6246" s="18">
        <v>56.55</v>
      </c>
      <c r="P6246" s="18">
        <v>46.35</v>
      </c>
      <c r="Q6246" s="18">
        <v>52.59</v>
      </c>
      <c r="R6246" s="18">
        <v>43.11</v>
      </c>
      <c r="S6246" s="18">
        <v>38.450000000000003</v>
      </c>
      <c r="T6246" s="18">
        <v>31.52</v>
      </c>
      <c r="U6246" s="16"/>
      <c r="V6246" s="16"/>
      <c r="W6246" s="16" t="s">
        <v>40</v>
      </c>
      <c r="X6246" s="19">
        <v>2.8000000000000001E-2</v>
      </c>
      <c r="Y6246" s="20">
        <v>6.78E-4</v>
      </c>
      <c r="Z6246" s="21">
        <v>4601004010987</v>
      </c>
    </row>
    <row r="6247" spans="1:26" ht="12.95" customHeight="1" outlineLevel="3" x14ac:dyDescent="0.2">
      <c r="A6247" s="76" t="s">
        <v>12064</v>
      </c>
      <c r="B6247" s="76"/>
      <c r="C6247" s="77"/>
      <c r="D6247" s="58"/>
      <c r="E6247" s="68"/>
      <c r="F6247" s="13"/>
      <c r="G6247" s="13"/>
      <c r="H6247" s="13"/>
      <c r="I6247" s="13"/>
      <c r="J6247" s="13"/>
      <c r="K6247" s="13"/>
      <c r="L6247" s="13"/>
      <c r="M6247" s="13"/>
      <c r="N6247" s="13"/>
      <c r="O6247" s="13"/>
      <c r="P6247" s="13"/>
      <c r="Q6247" s="13"/>
      <c r="R6247" s="13"/>
      <c r="S6247" s="13"/>
      <c r="T6247" s="13"/>
      <c r="U6247" s="13"/>
      <c r="V6247" s="13"/>
      <c r="W6247" s="13"/>
      <c r="X6247" s="13"/>
      <c r="Y6247" s="13"/>
      <c r="Z6247" s="13"/>
    </row>
    <row r="6248" spans="1:26" ht="12" customHeight="1" outlineLevel="4" x14ac:dyDescent="0.2">
      <c r="A6248" s="14" t="s">
        <v>12065</v>
      </c>
      <c r="B6248" s="26" t="s">
        <v>12066</v>
      </c>
      <c r="C6248" s="52"/>
      <c r="D6248" s="55">
        <f t="shared" si="97"/>
        <v>0</v>
      </c>
      <c r="E6248" s="63" t="str">
        <f>HYPERLINK("https://www.sds-group.ru/product/lenta-polosa-montazhnaya-otsinkovannaya-pryamaya-perforirovannaya-tarnaya-20h0-55-mm-rulon-07-7123-4/", "Инфо")</f>
        <v>Инфо</v>
      </c>
      <c r="F6248" s="16" t="s">
        <v>4839</v>
      </c>
      <c r="G6248" s="15"/>
      <c r="H6248" s="15"/>
      <c r="I6248" s="15"/>
      <c r="J6248" s="17">
        <v>220</v>
      </c>
      <c r="K6248" s="15"/>
      <c r="L6248" s="17">
        <v>5</v>
      </c>
      <c r="M6248" s="17">
        <v>5</v>
      </c>
      <c r="N6248" s="17">
        <v>5</v>
      </c>
      <c r="O6248" s="18">
        <v>865.34</v>
      </c>
      <c r="P6248" s="18">
        <v>709.3</v>
      </c>
      <c r="Q6248" s="18">
        <v>752.85</v>
      </c>
      <c r="R6248" s="18">
        <v>617.09</v>
      </c>
      <c r="S6248" s="18">
        <v>588.42999999999995</v>
      </c>
      <c r="T6248" s="18">
        <v>482.32</v>
      </c>
      <c r="U6248" s="16"/>
      <c r="V6248" s="16"/>
      <c r="W6248" s="16" t="s">
        <v>40</v>
      </c>
      <c r="X6248" s="19">
        <v>1.413</v>
      </c>
      <c r="Y6248" s="20">
        <v>5.5599999999999996E-4</v>
      </c>
      <c r="Z6248" s="21">
        <v>4601004134089</v>
      </c>
    </row>
    <row r="6249" spans="1:26" ht="12" customHeight="1" outlineLevel="4" x14ac:dyDescent="0.2">
      <c r="A6249" s="14" t="s">
        <v>12067</v>
      </c>
      <c r="B6249" s="26" t="s">
        <v>12068</v>
      </c>
      <c r="C6249" s="52"/>
      <c r="D6249" s="55">
        <f t="shared" si="97"/>
        <v>0</v>
      </c>
      <c r="E6249" s="63" t="str">
        <f>HYPERLINK("https://www.sds-group.ru/product/lenta-polosa-montazhnaya-otsinkovannaya-pryamaya-upakovochnaya-20h0-55-mm-rulon-25m-rexant-07-7122-4/", "Инфо")</f>
        <v>Инфо</v>
      </c>
      <c r="F6249" s="16" t="s">
        <v>4839</v>
      </c>
      <c r="G6249" s="15"/>
      <c r="H6249" s="15"/>
      <c r="I6249" s="15"/>
      <c r="J6249" s="17">
        <v>425</v>
      </c>
      <c r="K6249" s="15"/>
      <c r="L6249" s="17">
        <v>5</v>
      </c>
      <c r="M6249" s="17">
        <v>5</v>
      </c>
      <c r="N6249" s="17">
        <v>5</v>
      </c>
      <c r="O6249" s="18">
        <v>947.68</v>
      </c>
      <c r="P6249" s="18">
        <v>776.79</v>
      </c>
      <c r="Q6249" s="18">
        <v>824.48</v>
      </c>
      <c r="R6249" s="18">
        <v>675.8</v>
      </c>
      <c r="S6249" s="18">
        <v>644.41999999999996</v>
      </c>
      <c r="T6249" s="18">
        <v>528.21</v>
      </c>
      <c r="U6249" s="16"/>
      <c r="V6249" s="16"/>
      <c r="W6249" s="16" t="s">
        <v>40</v>
      </c>
      <c r="X6249" s="19">
        <v>1.427</v>
      </c>
      <c r="Y6249" s="20">
        <v>5.4000000000000001E-4</v>
      </c>
      <c r="Z6249" s="21">
        <v>4601004134072</v>
      </c>
    </row>
    <row r="6250" spans="1:26" ht="12" customHeight="1" outlineLevel="4" x14ac:dyDescent="0.2">
      <c r="A6250" s="14" t="s">
        <v>12069</v>
      </c>
      <c r="B6250" s="26" t="s">
        <v>12070</v>
      </c>
      <c r="C6250" s="52"/>
      <c r="D6250" s="55">
        <f t="shared" si="97"/>
        <v>0</v>
      </c>
      <c r="E6250" s="63" t="str">
        <f>HYPERLINK("https://www.sds-group.ru/product/lenta-polosa-montazhnaya-otsinkovannaya-perforirovannaya-volna-12h0-55-mm-rulon-25m-rexant-07-7212-4/", "Инфо")</f>
        <v>Инфо</v>
      </c>
      <c r="F6250" s="16" t="s">
        <v>4839</v>
      </c>
      <c r="G6250" s="15"/>
      <c r="H6250" s="15"/>
      <c r="I6250" s="15"/>
      <c r="J6250" s="22">
        <v>1340</v>
      </c>
      <c r="K6250" s="15"/>
      <c r="L6250" s="17">
        <v>5</v>
      </c>
      <c r="M6250" s="17">
        <v>5</v>
      </c>
      <c r="N6250" s="17">
        <v>5</v>
      </c>
      <c r="O6250" s="18">
        <v>603.15</v>
      </c>
      <c r="P6250" s="18">
        <v>494.39</v>
      </c>
      <c r="Q6250" s="18">
        <v>524.74</v>
      </c>
      <c r="R6250" s="18">
        <v>430.11</v>
      </c>
      <c r="S6250" s="18">
        <v>410.14</v>
      </c>
      <c r="T6250" s="18">
        <v>336.18</v>
      </c>
      <c r="U6250" s="16"/>
      <c r="V6250" s="16"/>
      <c r="W6250" s="16" t="s">
        <v>40</v>
      </c>
      <c r="X6250" s="19">
        <v>0.59499999999999997</v>
      </c>
      <c r="Y6250" s="20">
        <v>3.4099999999999999E-4</v>
      </c>
      <c r="Z6250" s="21">
        <v>4601004045019</v>
      </c>
    </row>
    <row r="6251" spans="1:26" ht="12" customHeight="1" outlineLevel="4" x14ac:dyDescent="0.2">
      <c r="A6251" s="14" t="s">
        <v>12071</v>
      </c>
      <c r="B6251" s="26" t="s">
        <v>12072</v>
      </c>
      <c r="C6251" s="52"/>
      <c r="D6251" s="55">
        <f t="shared" si="97"/>
        <v>0</v>
      </c>
      <c r="E6251" s="63" t="str">
        <f>HYPERLINK("https://www.sds-group.ru/product/lenta-polosa-montazhnaya-otsinkovannaya-perforirovannaya-volna-17h0-55-mm-rulon-25m-rexant-07-7220-4/", "Инфо")</f>
        <v>Инфо</v>
      </c>
      <c r="F6251" s="16" t="s">
        <v>4839</v>
      </c>
      <c r="G6251" s="15"/>
      <c r="H6251" s="15"/>
      <c r="I6251" s="15"/>
      <c r="J6251" s="17">
        <v>160</v>
      </c>
      <c r="K6251" s="15"/>
      <c r="L6251" s="17">
        <v>5</v>
      </c>
      <c r="M6251" s="17">
        <v>5</v>
      </c>
      <c r="N6251" s="17">
        <v>5</v>
      </c>
      <c r="O6251" s="18">
        <v>749.22</v>
      </c>
      <c r="P6251" s="18">
        <v>614.11</v>
      </c>
      <c r="Q6251" s="18">
        <v>651.82000000000005</v>
      </c>
      <c r="R6251" s="18">
        <v>534.28</v>
      </c>
      <c r="S6251" s="18">
        <v>509.47</v>
      </c>
      <c r="T6251" s="18">
        <v>417.6</v>
      </c>
      <c r="U6251" s="16"/>
      <c r="V6251" s="16"/>
      <c r="W6251" s="16" t="s">
        <v>40</v>
      </c>
      <c r="X6251" s="19">
        <v>0.98099999999999998</v>
      </c>
      <c r="Y6251" s="20">
        <v>5.1400000000000003E-4</v>
      </c>
      <c r="Z6251" s="21">
        <v>4601004045026</v>
      </c>
    </row>
    <row r="6252" spans="1:26" ht="12" customHeight="1" outlineLevel="4" x14ac:dyDescent="0.2">
      <c r="A6252" s="14" t="s">
        <v>12073</v>
      </c>
      <c r="B6252" s="26" t="s">
        <v>12074</v>
      </c>
      <c r="C6252" s="52"/>
      <c r="D6252" s="55">
        <f t="shared" si="97"/>
        <v>0</v>
      </c>
      <c r="E6252" s="63" t="str">
        <f>HYPERLINK("https://www.sds-group.ru/product/lenta-polosa-montazhnaya-otsinkovannaya-perforirovannaya-pryamaya-12h0-55-mm-rulon-25m-rex-07-7112-4/", "Инфо")</f>
        <v>Инфо</v>
      </c>
      <c r="F6252" s="16" t="s">
        <v>4839</v>
      </c>
      <c r="G6252" s="15"/>
      <c r="H6252" s="15"/>
      <c r="I6252" s="15"/>
      <c r="J6252" s="22">
        <v>1824</v>
      </c>
      <c r="K6252" s="15"/>
      <c r="L6252" s="17">
        <v>5</v>
      </c>
      <c r="M6252" s="17">
        <v>5</v>
      </c>
      <c r="N6252" s="17">
        <v>5</v>
      </c>
      <c r="O6252" s="18">
        <v>577.41</v>
      </c>
      <c r="P6252" s="18">
        <v>473.29</v>
      </c>
      <c r="Q6252" s="18">
        <v>502.35</v>
      </c>
      <c r="R6252" s="18">
        <v>411.76</v>
      </c>
      <c r="S6252" s="18">
        <v>392.64</v>
      </c>
      <c r="T6252" s="18">
        <v>321.83999999999997</v>
      </c>
      <c r="U6252" s="16"/>
      <c r="V6252" s="16"/>
      <c r="W6252" s="16" t="s">
        <v>40</v>
      </c>
      <c r="X6252" s="19">
        <v>0.6</v>
      </c>
      <c r="Y6252" s="20">
        <v>3.8099999999999999E-4</v>
      </c>
      <c r="Z6252" s="21">
        <v>4601004083394</v>
      </c>
    </row>
    <row r="6253" spans="1:26" ht="12" customHeight="1" outlineLevel="4" x14ac:dyDescent="0.2">
      <c r="A6253" s="14" t="s">
        <v>12075</v>
      </c>
      <c r="B6253" s="26" t="s">
        <v>12076</v>
      </c>
      <c r="C6253" s="52"/>
      <c r="D6253" s="55">
        <f t="shared" si="97"/>
        <v>0</v>
      </c>
      <c r="E6253" s="63" t="str">
        <f>HYPERLINK("https://www.sds-group.ru/product/lenta-polosa-montazhnaya-otsinkovannaya-perforirovannaya-pryamaya-20h0-55-mm-rulon-25m-rex-07-7120-4/", "Инфо")</f>
        <v>Инфо</v>
      </c>
      <c r="F6253" s="16" t="s">
        <v>4839</v>
      </c>
      <c r="G6253" s="15"/>
      <c r="H6253" s="15"/>
      <c r="I6253" s="15"/>
      <c r="J6253" s="22">
        <v>1298</v>
      </c>
      <c r="K6253" s="15"/>
      <c r="L6253" s="17">
        <v>5</v>
      </c>
      <c r="M6253" s="17">
        <v>5</v>
      </c>
      <c r="N6253" s="17">
        <v>5</v>
      </c>
      <c r="O6253" s="18">
        <v>826.77</v>
      </c>
      <c r="P6253" s="18">
        <v>677.68</v>
      </c>
      <c r="Q6253" s="18">
        <v>719.29</v>
      </c>
      <c r="R6253" s="18">
        <v>589.58000000000004</v>
      </c>
      <c r="S6253" s="18">
        <v>562.20000000000005</v>
      </c>
      <c r="T6253" s="18">
        <v>460.82</v>
      </c>
      <c r="U6253" s="16"/>
      <c r="V6253" s="16"/>
      <c r="W6253" s="16" t="s">
        <v>40</v>
      </c>
      <c r="X6253" s="19">
        <v>1.159</v>
      </c>
      <c r="Y6253" s="20">
        <v>5.8500000000000002E-4</v>
      </c>
      <c r="Z6253" s="21">
        <v>4601004057852</v>
      </c>
    </row>
    <row r="6254" spans="1:26" ht="12" customHeight="1" outlineLevel="4" x14ac:dyDescent="0.2">
      <c r="A6254" s="14" t="s">
        <v>12077</v>
      </c>
      <c r="B6254" s="26" t="s">
        <v>12078</v>
      </c>
      <c r="C6254" s="52"/>
      <c r="D6254" s="55">
        <f t="shared" si="97"/>
        <v>0</v>
      </c>
      <c r="E6254" s="63" t="str">
        <f>HYPERLINK("https://www.sds-group.ru/product/lenta-polosa-montazhnaya-otsinkovannaya-perforirovannaya-pryamaya-20h0-70-mm-rulon-25m-rex-07-7107-4/", "Инфо")</f>
        <v>Инфо</v>
      </c>
      <c r="F6254" s="16" t="s">
        <v>4839</v>
      </c>
      <c r="G6254" s="15"/>
      <c r="H6254" s="15"/>
      <c r="I6254" s="15"/>
      <c r="J6254" s="17">
        <v>390</v>
      </c>
      <c r="K6254" s="15"/>
      <c r="L6254" s="17">
        <v>5</v>
      </c>
      <c r="M6254" s="17">
        <v>5</v>
      </c>
      <c r="N6254" s="17">
        <v>5</v>
      </c>
      <c r="O6254" s="18">
        <v>1259.33</v>
      </c>
      <c r="P6254" s="18">
        <v>1032.24</v>
      </c>
      <c r="Q6254" s="18">
        <v>1095.6199999999999</v>
      </c>
      <c r="R6254" s="18">
        <v>898.05</v>
      </c>
      <c r="S6254" s="18">
        <v>856.34</v>
      </c>
      <c r="T6254" s="18">
        <v>701.92</v>
      </c>
      <c r="U6254" s="16"/>
      <c r="V6254" s="16"/>
      <c r="W6254" s="16" t="s">
        <v>40</v>
      </c>
      <c r="X6254" s="19">
        <v>1.18</v>
      </c>
      <c r="Y6254" s="20">
        <v>6.1250000000000002E-3</v>
      </c>
      <c r="Z6254" s="21">
        <v>4601004098459</v>
      </c>
    </row>
    <row r="6255" spans="1:26" ht="12.95" customHeight="1" outlineLevel="3" x14ac:dyDescent="0.2">
      <c r="A6255" s="76" t="s">
        <v>12079</v>
      </c>
      <c r="B6255" s="76"/>
      <c r="C6255" s="77"/>
      <c r="D6255" s="58"/>
      <c r="E6255" s="68"/>
      <c r="F6255" s="13"/>
      <c r="G6255" s="13"/>
      <c r="H6255" s="13"/>
      <c r="I6255" s="13"/>
      <c r="J6255" s="13"/>
      <c r="K6255" s="13"/>
      <c r="L6255" s="13"/>
      <c r="M6255" s="13"/>
      <c r="N6255" s="13"/>
      <c r="O6255" s="13"/>
      <c r="P6255" s="13"/>
      <c r="Q6255" s="13"/>
      <c r="R6255" s="13"/>
      <c r="S6255" s="13"/>
      <c r="T6255" s="13"/>
      <c r="U6255" s="13"/>
      <c r="V6255" s="13"/>
      <c r="W6255" s="13"/>
      <c r="X6255" s="13"/>
      <c r="Y6255" s="13"/>
      <c r="Z6255" s="13"/>
    </row>
    <row r="6256" spans="1:26" ht="12" customHeight="1" outlineLevel="4" x14ac:dyDescent="0.2">
      <c r="A6256" s="32" t="s">
        <v>12080</v>
      </c>
      <c r="B6256" s="74" t="s">
        <v>12081</v>
      </c>
      <c r="C6256" s="50"/>
      <c r="D6256" s="53">
        <f t="shared" si="97"/>
        <v>0</v>
      </c>
      <c r="E6256" s="60" t="str">
        <f>HYPERLINK("https://www.sds-group.ru/product/ploschadka-samokleyaschayasya-c-klipsoy-pod-shleyf-17h12-mm-10-sht-up-rexant-07-2317-10/", "Инфо")</f>
        <v>Инфо</v>
      </c>
      <c r="F6256" s="34" t="s">
        <v>1001</v>
      </c>
      <c r="G6256" s="33"/>
      <c r="H6256" s="33" t="s">
        <v>40</v>
      </c>
      <c r="I6256" s="33"/>
      <c r="J6256" s="39">
        <v>2428</v>
      </c>
      <c r="K6256" s="33"/>
      <c r="L6256" s="35">
        <v>1</v>
      </c>
      <c r="M6256" s="39">
        <v>1000</v>
      </c>
      <c r="N6256" s="35">
        <v>1</v>
      </c>
      <c r="O6256" s="36">
        <v>67.91</v>
      </c>
      <c r="P6256" s="36">
        <v>55.66</v>
      </c>
      <c r="Q6256" s="36">
        <v>47.54</v>
      </c>
      <c r="R6256" s="36">
        <v>38.97</v>
      </c>
      <c r="S6256" s="36">
        <v>46.18</v>
      </c>
      <c r="T6256" s="36">
        <v>37.85</v>
      </c>
      <c r="U6256" s="34"/>
      <c r="V6256" s="34"/>
      <c r="W6256" s="34"/>
      <c r="X6256" s="37">
        <v>8.9999999999999993E-3</v>
      </c>
      <c r="Y6256" s="38">
        <v>4.8000000000000001E-5</v>
      </c>
      <c r="Z6256" s="21">
        <v>4601004124806</v>
      </c>
    </row>
    <row r="6257" spans="1:26" ht="12" customHeight="1" outlineLevel="4" x14ac:dyDescent="0.2">
      <c r="A6257" s="32" t="s">
        <v>12082</v>
      </c>
      <c r="B6257" s="74" t="s">
        <v>12083</v>
      </c>
      <c r="C6257" s="50"/>
      <c r="D6257" s="53">
        <f t="shared" si="97"/>
        <v>0</v>
      </c>
      <c r="E6257" s="60" t="str">
        <f>HYPERLINK("https://www.sds-group.ru/product/ploschadka-samokleyaschayasya-c-klipsoy-pod-shleyf-17h12-mm-100-sht-up-rexant-07-2317/", "Инфо")</f>
        <v>Инфо</v>
      </c>
      <c r="F6257" s="34" t="s">
        <v>1001</v>
      </c>
      <c r="G6257" s="33"/>
      <c r="H6257" s="33" t="s">
        <v>40</v>
      </c>
      <c r="I6257" s="33"/>
      <c r="J6257" s="35">
        <v>165</v>
      </c>
      <c r="K6257" s="33"/>
      <c r="L6257" s="35">
        <v>1</v>
      </c>
      <c r="M6257" s="35">
        <v>100</v>
      </c>
      <c r="N6257" s="35">
        <v>1</v>
      </c>
      <c r="O6257" s="36">
        <v>1279.44</v>
      </c>
      <c r="P6257" s="36">
        <v>1048.72</v>
      </c>
      <c r="Q6257" s="36">
        <v>1113.1099999999999</v>
      </c>
      <c r="R6257" s="36">
        <v>912.39</v>
      </c>
      <c r="S6257" s="36">
        <v>870.02</v>
      </c>
      <c r="T6257" s="36">
        <v>713.13</v>
      </c>
      <c r="U6257" s="34"/>
      <c r="V6257" s="34"/>
      <c r="W6257" s="34" t="s">
        <v>40</v>
      </c>
      <c r="X6257" s="37">
        <v>5.2999999999999999E-2</v>
      </c>
      <c r="Y6257" s="38">
        <v>3.3E-4</v>
      </c>
      <c r="Z6257" s="21">
        <v>4610003603427</v>
      </c>
    </row>
    <row r="6258" spans="1:26" ht="12" customHeight="1" outlineLevel="4" x14ac:dyDescent="0.2">
      <c r="A6258" s="32" t="s">
        <v>12084</v>
      </c>
      <c r="B6258" s="74" t="s">
        <v>12085</v>
      </c>
      <c r="C6258" s="50"/>
      <c r="D6258" s="53">
        <f t="shared" si="97"/>
        <v>0</v>
      </c>
      <c r="E6258" s="60" t="str">
        <f>HYPERLINK("https://www.sds-group.ru/product/ploschadka-samokleyaschayasya-c-klipsoy-17h12-mm-dlya-krepleniya-novogodney-girlyandy-10-071-2317-10/", "Инфо")</f>
        <v>Инфо</v>
      </c>
      <c r="F6258" s="34" t="s">
        <v>1001</v>
      </c>
      <c r="G6258" s="33"/>
      <c r="H6258" s="33" t="s">
        <v>40</v>
      </c>
      <c r="I6258" s="33"/>
      <c r="J6258" s="35">
        <v>700</v>
      </c>
      <c r="K6258" s="33"/>
      <c r="L6258" s="35">
        <v>1</v>
      </c>
      <c r="M6258" s="35">
        <v>10</v>
      </c>
      <c r="N6258" s="35">
        <v>1</v>
      </c>
      <c r="O6258" s="36">
        <v>25.46</v>
      </c>
      <c r="P6258" s="36">
        <v>20.87</v>
      </c>
      <c r="Q6258" s="36">
        <v>17.82</v>
      </c>
      <c r="R6258" s="36">
        <v>14.61</v>
      </c>
      <c r="S6258" s="36">
        <v>17.309999999999999</v>
      </c>
      <c r="T6258" s="36">
        <v>14.19</v>
      </c>
      <c r="U6258" s="34"/>
      <c r="V6258" s="34"/>
      <c r="W6258" s="34"/>
      <c r="X6258" s="37">
        <v>8.9999999999999993E-3</v>
      </c>
      <c r="Y6258" s="38">
        <v>8.0000000000000007E-5</v>
      </c>
      <c r="Z6258" s="21">
        <v>4601004236868</v>
      </c>
    </row>
    <row r="6259" spans="1:26" ht="12" customHeight="1" outlineLevel="4" x14ac:dyDescent="0.2">
      <c r="A6259" s="14" t="s">
        <v>12086</v>
      </c>
      <c r="B6259" s="26" t="s">
        <v>12087</v>
      </c>
      <c r="C6259" s="52"/>
      <c r="D6259" s="55">
        <f t="shared" si="97"/>
        <v>0</v>
      </c>
      <c r="E6259" s="63" t="str">
        <f>HYPERLINK("https://www.sds-group.ru/product/ploschadka-samokleyaschayasya-c-klipsoy-pod-shleyf-20h14-mm-100-sht-up-rexant-07-2320/", "Инфо")</f>
        <v>Инфо</v>
      </c>
      <c r="F6259" s="16" t="s">
        <v>1001</v>
      </c>
      <c r="G6259" s="15"/>
      <c r="H6259" s="15"/>
      <c r="I6259" s="15"/>
      <c r="J6259" s="22">
        <v>1380</v>
      </c>
      <c r="K6259" s="15"/>
      <c r="L6259" s="17">
        <v>1</v>
      </c>
      <c r="M6259" s="17">
        <v>100</v>
      </c>
      <c r="N6259" s="17">
        <v>1</v>
      </c>
      <c r="O6259" s="18">
        <v>1437.93</v>
      </c>
      <c r="P6259" s="18">
        <v>1178.6300000000001</v>
      </c>
      <c r="Q6259" s="18">
        <v>1251</v>
      </c>
      <c r="R6259" s="18">
        <v>1025.4100000000001</v>
      </c>
      <c r="S6259" s="18">
        <v>977.79</v>
      </c>
      <c r="T6259" s="18">
        <v>801.47</v>
      </c>
      <c r="U6259" s="16"/>
      <c r="V6259" s="16"/>
      <c r="W6259" s="16" t="s">
        <v>40</v>
      </c>
      <c r="X6259" s="19">
        <v>6.6000000000000003E-2</v>
      </c>
      <c r="Y6259" s="20">
        <v>3.9500000000000001E-4</v>
      </c>
      <c r="Z6259" s="21">
        <v>4610003603410</v>
      </c>
    </row>
    <row r="6260" spans="1:26" ht="12" customHeight="1" outlineLevel="4" x14ac:dyDescent="0.2">
      <c r="A6260" s="32" t="s">
        <v>12088</v>
      </c>
      <c r="B6260" s="74" t="s">
        <v>12089</v>
      </c>
      <c r="C6260" s="50"/>
      <c r="D6260" s="53">
        <f t="shared" si="97"/>
        <v>0</v>
      </c>
      <c r="E6260" s="60" t="str">
        <f>HYPERLINK("https://www.sds-group.ru/product/ploschadka-samokleyaschayasya-c-klipsoy-20h14-mm-dlya-krepleniya-novogodney-girlyandy-10-071-2320-10/", "Инфо")</f>
        <v>Инфо</v>
      </c>
      <c r="F6260" s="34" t="s">
        <v>1001</v>
      </c>
      <c r="G6260" s="33"/>
      <c r="H6260" s="33" t="s">
        <v>40</v>
      </c>
      <c r="I6260" s="33"/>
      <c r="J6260" s="39">
        <v>3009</v>
      </c>
      <c r="K6260" s="33"/>
      <c r="L6260" s="35">
        <v>1</v>
      </c>
      <c r="M6260" s="35">
        <v>10</v>
      </c>
      <c r="N6260" s="35">
        <v>1</v>
      </c>
      <c r="O6260" s="36">
        <v>39.25</v>
      </c>
      <c r="P6260" s="36">
        <v>32.17</v>
      </c>
      <c r="Q6260" s="36">
        <v>27.48</v>
      </c>
      <c r="R6260" s="36">
        <v>22.52</v>
      </c>
      <c r="S6260" s="36">
        <v>26.69</v>
      </c>
      <c r="T6260" s="36">
        <v>21.88</v>
      </c>
      <c r="U6260" s="34"/>
      <c r="V6260" s="34"/>
      <c r="W6260" s="34"/>
      <c r="X6260" s="37">
        <v>1.2E-2</v>
      </c>
      <c r="Y6260" s="38">
        <v>1E-4</v>
      </c>
      <c r="Z6260" s="21">
        <v>4601004236851</v>
      </c>
    </row>
    <row r="6261" spans="1:26" ht="12" customHeight="1" outlineLevel="4" x14ac:dyDescent="0.2">
      <c r="A6261" s="14" t="s">
        <v>12090</v>
      </c>
      <c r="B6261" s="26" t="s">
        <v>12091</v>
      </c>
      <c r="C6261" s="52"/>
      <c r="D6261" s="55">
        <f t="shared" si="97"/>
        <v>0</v>
      </c>
      <c r="E6261" s="63" t="str">
        <f>HYPERLINK("https://www.sds-group.ru/product/ploschadka-samokleyaschayasya-metallicheskaya-s-klipsoy-pod-shleyf-20x10-mm-100-sht-up-rexan-07-2420/", "Инфо")</f>
        <v>Инфо</v>
      </c>
      <c r="F6261" s="16" t="s">
        <v>1001</v>
      </c>
      <c r="G6261" s="15"/>
      <c r="H6261" s="15"/>
      <c r="I6261" s="15"/>
      <c r="J6261" s="16" t="s">
        <v>100</v>
      </c>
      <c r="K6261" s="15" t="s">
        <v>979</v>
      </c>
      <c r="L6261" s="17">
        <v>1</v>
      </c>
      <c r="M6261" s="17">
        <v>100</v>
      </c>
      <c r="N6261" s="17">
        <v>1</v>
      </c>
      <c r="O6261" s="18">
        <v>1123.6500000000001</v>
      </c>
      <c r="P6261" s="18">
        <v>921.02</v>
      </c>
      <c r="Q6261" s="18">
        <v>977.58</v>
      </c>
      <c r="R6261" s="18">
        <v>801.3</v>
      </c>
      <c r="S6261" s="18">
        <v>764.08</v>
      </c>
      <c r="T6261" s="18">
        <v>626.29999999999995</v>
      </c>
      <c r="U6261" s="16"/>
      <c r="V6261" s="16"/>
      <c r="W6261" s="16" t="s">
        <v>40</v>
      </c>
      <c r="X6261" s="19">
        <v>0.126</v>
      </c>
      <c r="Y6261" s="20">
        <v>3.1100000000000002E-4</v>
      </c>
      <c r="Z6261" s="21">
        <v>4610003603434</v>
      </c>
    </row>
    <row r="6262" spans="1:26" ht="12" customHeight="1" outlineLevel="4" x14ac:dyDescent="0.2">
      <c r="A6262" s="32" t="s">
        <v>12092</v>
      </c>
      <c r="B6262" s="74" t="s">
        <v>12093</v>
      </c>
      <c r="C6262" s="50"/>
      <c r="D6262" s="53">
        <f t="shared" si="97"/>
        <v>0</v>
      </c>
      <c r="E6262" s="60" t="str">
        <f>HYPERLINK("https://www.sds-group.ru/product/ploschadka-samokleyaschayasya-metallicheskaya-s-klipsoy-pod-shleyf-30x20-mm-100-sht-up-rexan-07-2430/", "Инфо")</f>
        <v>Инфо</v>
      </c>
      <c r="F6262" s="34" t="s">
        <v>1001</v>
      </c>
      <c r="G6262" s="33"/>
      <c r="H6262" s="33" t="s">
        <v>40</v>
      </c>
      <c r="I6262" s="33"/>
      <c r="J6262" s="35">
        <v>75</v>
      </c>
      <c r="K6262" s="33"/>
      <c r="L6262" s="35">
        <v>1</v>
      </c>
      <c r="M6262" s="35">
        <v>50</v>
      </c>
      <c r="N6262" s="35">
        <v>1</v>
      </c>
      <c r="O6262" s="36">
        <v>2139.44</v>
      </c>
      <c r="P6262" s="36">
        <v>1753.64</v>
      </c>
      <c r="Q6262" s="36">
        <v>1797.13</v>
      </c>
      <c r="R6262" s="36">
        <v>1473.06</v>
      </c>
      <c r="S6262" s="36">
        <v>1454.82</v>
      </c>
      <c r="T6262" s="36">
        <v>1192.48</v>
      </c>
      <c r="U6262" s="34"/>
      <c r="V6262" s="34"/>
      <c r="W6262" s="34" t="s">
        <v>40</v>
      </c>
      <c r="X6262" s="37">
        <v>0.35499999999999998</v>
      </c>
      <c r="Y6262" s="38">
        <v>7.85E-4</v>
      </c>
      <c r="Z6262" s="21">
        <v>4610003603458</v>
      </c>
    </row>
    <row r="6263" spans="1:26" ht="12.95" customHeight="1" outlineLevel="3" x14ac:dyDescent="0.2">
      <c r="A6263" s="76" t="s">
        <v>12094</v>
      </c>
      <c r="B6263" s="76"/>
      <c r="C6263" s="77"/>
      <c r="D6263" s="58"/>
      <c r="E6263" s="68"/>
      <c r="F6263" s="13"/>
      <c r="G6263" s="13"/>
      <c r="H6263" s="13"/>
      <c r="I6263" s="13"/>
      <c r="J6263" s="13"/>
      <c r="K6263" s="13"/>
      <c r="L6263" s="13"/>
      <c r="M6263" s="13"/>
      <c r="N6263" s="13"/>
      <c r="O6263" s="13"/>
      <c r="P6263" s="13"/>
      <c r="Q6263" s="13"/>
      <c r="R6263" s="13"/>
      <c r="S6263" s="13"/>
      <c r="T6263" s="13"/>
      <c r="U6263" s="13"/>
      <c r="V6263" s="13"/>
      <c r="W6263" s="13"/>
      <c r="X6263" s="13"/>
      <c r="Y6263" s="13"/>
      <c r="Z6263" s="13"/>
    </row>
    <row r="6264" spans="1:26" ht="12" customHeight="1" outlineLevel="4" x14ac:dyDescent="0.2">
      <c r="A6264" s="14" t="s">
        <v>12095</v>
      </c>
      <c r="B6264" s="26" t="s">
        <v>12096</v>
      </c>
      <c r="C6264" s="52"/>
      <c r="D6264" s="55">
        <f t="shared" si="97"/>
        <v>0</v>
      </c>
      <c r="E6264" s="63" t="str">
        <f>HYPERLINK("https://www.sds-group.ru/product/podves-dlya-krepleniya-kabelya-k-trosu-160h12-mm-chernyy-100-sht-up-rexant-07-2160/", "Инфо")</f>
        <v>Инфо</v>
      </c>
      <c r="F6264" s="16" t="s">
        <v>1001</v>
      </c>
      <c r="G6264" s="15"/>
      <c r="H6264" s="15"/>
      <c r="I6264" s="15"/>
      <c r="J6264" s="17">
        <v>173</v>
      </c>
      <c r="K6264" s="15"/>
      <c r="L6264" s="17">
        <v>1</v>
      </c>
      <c r="M6264" s="17">
        <v>10</v>
      </c>
      <c r="N6264" s="17">
        <v>1</v>
      </c>
      <c r="O6264" s="18">
        <v>2412.3000000000002</v>
      </c>
      <c r="P6264" s="18">
        <v>1977.3</v>
      </c>
      <c r="Q6264" s="18">
        <v>2026.33</v>
      </c>
      <c r="R6264" s="18">
        <v>1660.93</v>
      </c>
      <c r="S6264" s="18">
        <v>1640.36</v>
      </c>
      <c r="T6264" s="18">
        <v>1344.56</v>
      </c>
      <c r="U6264" s="16"/>
      <c r="V6264" s="16"/>
      <c r="W6264" s="16" t="s">
        <v>40</v>
      </c>
      <c r="X6264" s="19">
        <v>0.54800000000000004</v>
      </c>
      <c r="Y6264" s="20">
        <v>5.032E-3</v>
      </c>
      <c r="Z6264" s="21">
        <v>4620753801936</v>
      </c>
    </row>
    <row r="6265" spans="1:26" ht="12.95" customHeight="1" outlineLevel="2" x14ac:dyDescent="0.2">
      <c r="A6265" s="76" t="s">
        <v>12097</v>
      </c>
      <c r="B6265" s="76"/>
      <c r="C6265" s="77"/>
      <c r="D6265" s="58"/>
      <c r="E6265" s="68"/>
      <c r="F6265" s="13"/>
      <c r="G6265" s="13"/>
      <c r="H6265" s="13"/>
      <c r="I6265" s="13"/>
      <c r="J6265" s="13"/>
      <c r="K6265" s="13"/>
      <c r="L6265" s="13"/>
      <c r="M6265" s="13"/>
      <c r="N6265" s="13"/>
      <c r="O6265" s="13"/>
      <c r="P6265" s="13"/>
      <c r="Q6265" s="13"/>
      <c r="R6265" s="13"/>
      <c r="S6265" s="13"/>
      <c r="T6265" s="13"/>
      <c r="U6265" s="13"/>
      <c r="V6265" s="13"/>
      <c r="W6265" s="13"/>
      <c r="X6265" s="13"/>
      <c r="Y6265" s="13"/>
      <c r="Z6265" s="13"/>
    </row>
    <row r="6266" spans="1:26" ht="12.95" customHeight="1" outlineLevel="3" x14ac:dyDescent="0.2">
      <c r="A6266" s="76" t="s">
        <v>12098</v>
      </c>
      <c r="B6266" s="76"/>
      <c r="C6266" s="77"/>
      <c r="D6266" s="58"/>
      <c r="E6266" s="68"/>
      <c r="F6266" s="13"/>
      <c r="G6266" s="13"/>
      <c r="H6266" s="13"/>
      <c r="I6266" s="13"/>
      <c r="J6266" s="13"/>
      <c r="K6266" s="13"/>
      <c r="L6266" s="13"/>
      <c r="M6266" s="13"/>
      <c r="N6266" s="13"/>
      <c r="O6266" s="13"/>
      <c r="P6266" s="13"/>
      <c r="Q6266" s="13"/>
      <c r="R6266" s="13"/>
      <c r="S6266" s="13"/>
      <c r="T6266" s="13"/>
      <c r="U6266" s="13"/>
      <c r="V6266" s="13"/>
      <c r="W6266" s="13"/>
      <c r="X6266" s="13"/>
      <c r="Y6266" s="13"/>
      <c r="Z6266" s="13"/>
    </row>
    <row r="6267" spans="1:26" ht="12" customHeight="1" outlineLevel="4" x14ac:dyDescent="0.2">
      <c r="A6267" s="14" t="s">
        <v>12099</v>
      </c>
      <c r="B6267" s="26" t="s">
        <v>12100</v>
      </c>
      <c r="C6267" s="52"/>
      <c r="D6267" s="55">
        <f t="shared" si="97"/>
        <v>0</v>
      </c>
      <c r="E6267" s="63" t="str">
        <f>HYPERLINK("https://www.sds-group.ru/product/tros-stalnoy-din-3055-6x7-m2-bobina-200m-rexant-09-5520/", "Инфо")</f>
        <v>Инфо</v>
      </c>
      <c r="F6267" s="16" t="s">
        <v>1767</v>
      </c>
      <c r="G6267" s="15"/>
      <c r="H6267" s="15"/>
      <c r="I6267" s="15"/>
      <c r="J6267" s="22">
        <v>2400</v>
      </c>
      <c r="K6267" s="15"/>
      <c r="L6267" s="17">
        <v>200</v>
      </c>
      <c r="M6267" s="17">
        <v>200</v>
      </c>
      <c r="N6267" s="17">
        <v>200</v>
      </c>
      <c r="O6267" s="18">
        <v>19.12</v>
      </c>
      <c r="P6267" s="18">
        <v>15.67</v>
      </c>
      <c r="Q6267" s="18">
        <v>17.78</v>
      </c>
      <c r="R6267" s="18">
        <v>14.57</v>
      </c>
      <c r="S6267" s="18">
        <v>13</v>
      </c>
      <c r="T6267" s="18">
        <v>10.66</v>
      </c>
      <c r="U6267" s="16"/>
      <c r="V6267" s="16"/>
      <c r="W6267" s="16" t="s">
        <v>40</v>
      </c>
      <c r="X6267" s="19">
        <v>1.4E-2</v>
      </c>
      <c r="Y6267" s="20">
        <v>1.0000000000000001E-5</v>
      </c>
      <c r="Z6267" s="21">
        <v>4601004076310</v>
      </c>
    </row>
    <row r="6268" spans="1:26" ht="12" customHeight="1" outlineLevel="4" x14ac:dyDescent="0.2">
      <c r="A6268" s="14" t="s">
        <v>12101</v>
      </c>
      <c r="B6268" s="26" t="s">
        <v>12102</v>
      </c>
      <c r="C6268" s="52"/>
      <c r="D6268" s="55">
        <f t="shared" si="97"/>
        <v>0</v>
      </c>
      <c r="E6268" s="63" t="str">
        <f>HYPERLINK("https://www.sds-group.ru/product/tros-stalnoy-din-3055-6x7-m3-bobina-200m-rexant-09-5530/", "Инфо")</f>
        <v>Инфо</v>
      </c>
      <c r="F6268" s="16" t="s">
        <v>1767</v>
      </c>
      <c r="G6268" s="15"/>
      <c r="H6268" s="15"/>
      <c r="I6268" s="15"/>
      <c r="J6268" s="22">
        <v>2200</v>
      </c>
      <c r="K6268" s="15"/>
      <c r="L6268" s="17">
        <v>200</v>
      </c>
      <c r="M6268" s="17">
        <v>200</v>
      </c>
      <c r="N6268" s="17">
        <v>200</v>
      </c>
      <c r="O6268" s="18">
        <v>28.9</v>
      </c>
      <c r="P6268" s="18">
        <v>23.69</v>
      </c>
      <c r="Q6268" s="18">
        <v>26.88</v>
      </c>
      <c r="R6268" s="18">
        <v>22.03</v>
      </c>
      <c r="S6268" s="18">
        <v>19.649999999999999</v>
      </c>
      <c r="T6268" s="18">
        <v>16.11</v>
      </c>
      <c r="U6268" s="16"/>
      <c r="V6268" s="16"/>
      <c r="W6268" s="16" t="s">
        <v>40</v>
      </c>
      <c r="X6268" s="19">
        <v>2.9000000000000001E-2</v>
      </c>
      <c r="Y6268" s="20">
        <v>1.9000000000000001E-5</v>
      </c>
      <c r="Z6268" s="21">
        <v>4601004088443</v>
      </c>
    </row>
    <row r="6269" spans="1:26" ht="12.95" customHeight="1" outlineLevel="3" x14ac:dyDescent="0.2">
      <c r="A6269" s="76" t="s">
        <v>12103</v>
      </c>
      <c r="B6269" s="76"/>
      <c r="C6269" s="77"/>
      <c r="D6269" s="58"/>
      <c r="E6269" s="68"/>
      <c r="F6269" s="13"/>
      <c r="G6269" s="13"/>
      <c r="H6269" s="13"/>
      <c r="I6269" s="13"/>
      <c r="J6269" s="13"/>
      <c r="K6269" s="13"/>
      <c r="L6269" s="13"/>
      <c r="M6269" s="13"/>
      <c r="N6269" s="13"/>
      <c r="O6269" s="13"/>
      <c r="P6269" s="13"/>
      <c r="Q6269" s="13"/>
      <c r="R6269" s="13"/>
      <c r="S6269" s="13"/>
      <c r="T6269" s="13"/>
      <c r="U6269" s="13"/>
      <c r="V6269" s="13"/>
      <c r="W6269" s="13"/>
      <c r="X6269" s="13"/>
      <c r="Y6269" s="13"/>
      <c r="Z6269" s="13"/>
    </row>
    <row r="6270" spans="1:26" ht="12" customHeight="1" outlineLevel="4" x14ac:dyDescent="0.2">
      <c r="A6270" s="14" t="s">
        <v>12104</v>
      </c>
      <c r="B6270" s="26" t="s">
        <v>12105</v>
      </c>
      <c r="C6270" s="52"/>
      <c r="D6270" s="55">
        <f t="shared" si="97"/>
        <v>0</v>
      </c>
      <c r="E6270" s="63" t="str">
        <f>HYPERLINK("https://www.sds-group.ru/product/tros-stalnoy-v-pvh-opletke-d-10-0mm-prozrachnyy-katushka-50m-rexant-09-5300/", "Инфо")</f>
        <v>Инфо</v>
      </c>
      <c r="F6270" s="16" t="s">
        <v>39</v>
      </c>
      <c r="G6270" s="15"/>
      <c r="H6270" s="15"/>
      <c r="I6270" s="15"/>
      <c r="J6270" s="16" t="s">
        <v>100</v>
      </c>
      <c r="K6270" s="15"/>
      <c r="L6270" s="17">
        <v>1</v>
      </c>
      <c r="M6270" s="17">
        <v>1</v>
      </c>
      <c r="N6270" s="17">
        <v>1</v>
      </c>
      <c r="O6270" s="18">
        <v>10711.2</v>
      </c>
      <c r="P6270" s="18">
        <v>8779.67</v>
      </c>
      <c r="Q6270" s="18">
        <v>8568.9599999999991</v>
      </c>
      <c r="R6270" s="18">
        <v>7023.74</v>
      </c>
      <c r="S6270" s="18">
        <v>7283.62</v>
      </c>
      <c r="T6270" s="18">
        <v>5970.18</v>
      </c>
      <c r="U6270" s="16"/>
      <c r="V6270" s="16"/>
      <c r="W6270" s="16" t="s">
        <v>40</v>
      </c>
      <c r="X6270" s="19">
        <v>7.766</v>
      </c>
      <c r="Y6270" s="20">
        <v>8.6300000000000005E-3</v>
      </c>
      <c r="Z6270" s="21">
        <v>4660008013929</v>
      </c>
    </row>
    <row r="6271" spans="1:26" ht="12" customHeight="1" outlineLevel="4" x14ac:dyDescent="0.2">
      <c r="A6271" s="14" t="s">
        <v>12106</v>
      </c>
      <c r="B6271" s="26" t="s">
        <v>12107</v>
      </c>
      <c r="C6271" s="52"/>
      <c r="D6271" s="55">
        <f t="shared" si="97"/>
        <v>0</v>
      </c>
      <c r="E6271" s="63" t="str">
        <f>HYPERLINK("https://www.sds-group.ru/product/tros-stalnoy-v-pvh-opletke-d-2-0mm-krasnyy-motok-20m-rexant-09-5120-1/", "Инфо")</f>
        <v>Инфо</v>
      </c>
      <c r="F6271" s="16" t="s">
        <v>39</v>
      </c>
      <c r="G6271" s="15"/>
      <c r="H6271" s="15"/>
      <c r="I6271" s="15"/>
      <c r="J6271" s="17">
        <v>438</v>
      </c>
      <c r="K6271" s="15"/>
      <c r="L6271" s="17">
        <v>5</v>
      </c>
      <c r="M6271" s="17">
        <v>50</v>
      </c>
      <c r="N6271" s="17">
        <v>5</v>
      </c>
      <c r="O6271" s="18">
        <v>266.58999999999997</v>
      </c>
      <c r="P6271" s="18">
        <v>218.52</v>
      </c>
      <c r="Q6271" s="18">
        <v>247.93</v>
      </c>
      <c r="R6271" s="18">
        <v>203.22</v>
      </c>
      <c r="S6271" s="18">
        <v>181.28</v>
      </c>
      <c r="T6271" s="18">
        <v>148.59</v>
      </c>
      <c r="U6271" s="16"/>
      <c r="V6271" s="16"/>
      <c r="W6271" s="16" t="s">
        <v>40</v>
      </c>
      <c r="X6271" s="19">
        <v>0.15</v>
      </c>
      <c r="Y6271" s="20">
        <v>4.2499999999999998E-4</v>
      </c>
      <c r="Z6271" s="21">
        <v>4601004005372</v>
      </c>
    </row>
    <row r="6272" spans="1:26" ht="12" customHeight="1" outlineLevel="4" x14ac:dyDescent="0.2">
      <c r="A6272" s="14" t="s">
        <v>12108</v>
      </c>
      <c r="B6272" s="26" t="s">
        <v>12109</v>
      </c>
      <c r="C6272" s="52"/>
      <c r="D6272" s="55">
        <f t="shared" si="97"/>
        <v>0</v>
      </c>
      <c r="E6272" s="63" t="str">
        <f>HYPERLINK("https://www.sds-group.ru/product/tros-stalnoy-v-pvh-opletke-d-2-0mm-prozrachnyy-buhta-200m-rexant-09-5320/", "Инфо")</f>
        <v>Инфо</v>
      </c>
      <c r="F6272" s="16" t="s">
        <v>39</v>
      </c>
      <c r="G6272" s="15"/>
      <c r="H6272" s="15"/>
      <c r="I6272" s="15"/>
      <c r="J6272" s="17">
        <v>223</v>
      </c>
      <c r="K6272" s="15"/>
      <c r="L6272" s="17">
        <v>1</v>
      </c>
      <c r="M6272" s="17">
        <v>4</v>
      </c>
      <c r="N6272" s="17">
        <v>1</v>
      </c>
      <c r="O6272" s="18">
        <v>2444.9499999999998</v>
      </c>
      <c r="P6272" s="18">
        <v>2004.06</v>
      </c>
      <c r="Q6272" s="18">
        <v>2053.7600000000002</v>
      </c>
      <c r="R6272" s="18">
        <v>1683.41</v>
      </c>
      <c r="S6272" s="18">
        <v>1662.57</v>
      </c>
      <c r="T6272" s="18">
        <v>1362.76</v>
      </c>
      <c r="U6272" s="16"/>
      <c r="V6272" s="16"/>
      <c r="W6272" s="16" t="s">
        <v>40</v>
      </c>
      <c r="X6272" s="19">
        <v>1.6439999999999999</v>
      </c>
      <c r="Y6272" s="20">
        <v>3.7100000000000002E-3</v>
      </c>
      <c r="Z6272" s="21">
        <v>4660008013936</v>
      </c>
    </row>
    <row r="6273" spans="1:26" ht="12" customHeight="1" outlineLevel="4" x14ac:dyDescent="0.2">
      <c r="A6273" s="14" t="s">
        <v>12110</v>
      </c>
      <c r="B6273" s="26" t="s">
        <v>12111</v>
      </c>
      <c r="C6273" s="52"/>
      <c r="D6273" s="55">
        <f t="shared" si="97"/>
        <v>0</v>
      </c>
      <c r="E6273" s="63" t="str">
        <f>HYPERLINK("https://www.sds-group.ru/product/tros-stalnoy-v-pvh-opletke-d-2-0mm-prozrachnyy-motok-20m-rexant-09-5120/", "Инфо")</f>
        <v>Инфо</v>
      </c>
      <c r="F6273" s="16" t="s">
        <v>39</v>
      </c>
      <c r="G6273" s="15"/>
      <c r="H6273" s="15"/>
      <c r="I6273" s="15"/>
      <c r="J6273" s="22">
        <v>2284</v>
      </c>
      <c r="K6273" s="15"/>
      <c r="L6273" s="17">
        <v>5</v>
      </c>
      <c r="M6273" s="17">
        <v>50</v>
      </c>
      <c r="N6273" s="17">
        <v>5</v>
      </c>
      <c r="O6273" s="18">
        <v>266.58999999999997</v>
      </c>
      <c r="P6273" s="18">
        <v>218.52</v>
      </c>
      <c r="Q6273" s="18">
        <v>247.93</v>
      </c>
      <c r="R6273" s="18">
        <v>203.22</v>
      </c>
      <c r="S6273" s="18">
        <v>181.28</v>
      </c>
      <c r="T6273" s="18">
        <v>148.59</v>
      </c>
      <c r="U6273" s="16"/>
      <c r="V6273" s="16"/>
      <c r="W6273" s="16" t="s">
        <v>40</v>
      </c>
      <c r="X6273" s="19">
        <v>0.13</v>
      </c>
      <c r="Y6273" s="20">
        <v>4.1599999999999997E-4</v>
      </c>
      <c r="Z6273" s="21">
        <v>4660008013745</v>
      </c>
    </row>
    <row r="6274" spans="1:26" ht="12" customHeight="1" outlineLevel="4" x14ac:dyDescent="0.2">
      <c r="A6274" s="14" t="s">
        <v>12112</v>
      </c>
      <c r="B6274" s="26" t="s">
        <v>12113</v>
      </c>
      <c r="C6274" s="52"/>
      <c r="D6274" s="55">
        <f t="shared" si="97"/>
        <v>0</v>
      </c>
      <c r="E6274" s="63" t="str">
        <f>HYPERLINK("https://www.sds-group.ru/product/tros-stalnoy-v-pvh-opletke-d-2-5mm-krasnyy-motok-20m-rexant-09-5125-1/", "Инфо")</f>
        <v>Инфо</v>
      </c>
      <c r="F6274" s="16" t="s">
        <v>39</v>
      </c>
      <c r="G6274" s="15"/>
      <c r="H6274" s="15"/>
      <c r="I6274" s="15"/>
      <c r="J6274" s="17">
        <v>184</v>
      </c>
      <c r="K6274" s="15"/>
      <c r="L6274" s="17">
        <v>5</v>
      </c>
      <c r="M6274" s="17">
        <v>50</v>
      </c>
      <c r="N6274" s="17">
        <v>5</v>
      </c>
      <c r="O6274" s="18">
        <v>330.09</v>
      </c>
      <c r="P6274" s="18">
        <v>270.57</v>
      </c>
      <c r="Q6274" s="18">
        <v>306.98</v>
      </c>
      <c r="R6274" s="18">
        <v>251.62</v>
      </c>
      <c r="S6274" s="18">
        <v>224.46</v>
      </c>
      <c r="T6274" s="18">
        <v>183.98</v>
      </c>
      <c r="U6274" s="16"/>
      <c r="V6274" s="16"/>
      <c r="W6274" s="16" t="s">
        <v>40</v>
      </c>
      <c r="X6274" s="19">
        <v>0.23300000000000001</v>
      </c>
      <c r="Y6274" s="20">
        <v>5.5999999999999995E-4</v>
      </c>
      <c r="Z6274" s="21">
        <v>4601004005310</v>
      </c>
    </row>
    <row r="6275" spans="1:26" ht="12" customHeight="1" outlineLevel="4" x14ac:dyDescent="0.2">
      <c r="A6275" s="14" t="s">
        <v>12114</v>
      </c>
      <c r="B6275" s="26" t="s">
        <v>12115</v>
      </c>
      <c r="C6275" s="52"/>
      <c r="D6275" s="55">
        <f t="shared" si="97"/>
        <v>0</v>
      </c>
      <c r="E6275" s="63" t="str">
        <f>HYPERLINK("https://www.sds-group.ru/product/tros-stalnoy-v-pvh-opletke-d-2-5mm-prozrachnyy-buhta-200m-rexant-09-5325/", "Инфо")</f>
        <v>Инфо</v>
      </c>
      <c r="F6275" s="16" t="s">
        <v>39</v>
      </c>
      <c r="G6275" s="15"/>
      <c r="H6275" s="15"/>
      <c r="I6275" s="15"/>
      <c r="J6275" s="17">
        <v>100</v>
      </c>
      <c r="K6275" s="15"/>
      <c r="L6275" s="17">
        <v>1</v>
      </c>
      <c r="M6275" s="17">
        <v>4</v>
      </c>
      <c r="N6275" s="17">
        <v>1</v>
      </c>
      <c r="O6275" s="18">
        <v>3143.5</v>
      </c>
      <c r="P6275" s="18">
        <v>2576.64</v>
      </c>
      <c r="Q6275" s="18">
        <v>2640.54</v>
      </c>
      <c r="R6275" s="18">
        <v>2164.38</v>
      </c>
      <c r="S6275" s="18">
        <v>2137.58</v>
      </c>
      <c r="T6275" s="18">
        <v>1752.11</v>
      </c>
      <c r="U6275" s="16"/>
      <c r="V6275" s="16"/>
      <c r="W6275" s="16" t="s">
        <v>40</v>
      </c>
      <c r="X6275" s="19">
        <v>2.3809999999999998</v>
      </c>
      <c r="Y6275" s="20">
        <v>3.8310000000000002E-3</v>
      </c>
      <c r="Z6275" s="21">
        <v>4660008013943</v>
      </c>
    </row>
    <row r="6276" spans="1:26" ht="12" customHeight="1" outlineLevel="4" x14ac:dyDescent="0.2">
      <c r="A6276" s="14" t="s">
        <v>12116</v>
      </c>
      <c r="B6276" s="26" t="s">
        <v>12117</v>
      </c>
      <c r="C6276" s="52"/>
      <c r="D6276" s="55">
        <f t="shared" si="97"/>
        <v>0</v>
      </c>
      <c r="E6276" s="63" t="str">
        <f>HYPERLINK("https://www.sds-group.ru/product/tros-stalnoy-v-pvh-opletke-d-2-5mm-prozrachnyy-motok-20m-rexant-09-5125/", "Инфо")</f>
        <v>Инфо</v>
      </c>
      <c r="F6276" s="16" t="s">
        <v>39</v>
      </c>
      <c r="G6276" s="15"/>
      <c r="H6276" s="15"/>
      <c r="I6276" s="15"/>
      <c r="J6276" s="22">
        <v>1536</v>
      </c>
      <c r="K6276" s="15"/>
      <c r="L6276" s="17">
        <v>5</v>
      </c>
      <c r="M6276" s="17">
        <v>50</v>
      </c>
      <c r="N6276" s="17">
        <v>5</v>
      </c>
      <c r="O6276" s="18">
        <v>330.09</v>
      </c>
      <c r="P6276" s="18">
        <v>270.57</v>
      </c>
      <c r="Q6276" s="18">
        <v>306.98</v>
      </c>
      <c r="R6276" s="18">
        <v>251.62</v>
      </c>
      <c r="S6276" s="18">
        <v>224.46</v>
      </c>
      <c r="T6276" s="18">
        <v>183.98</v>
      </c>
      <c r="U6276" s="16"/>
      <c r="V6276" s="16"/>
      <c r="W6276" s="16" t="s">
        <v>40</v>
      </c>
      <c r="X6276" s="19">
        <v>0.20699999999999999</v>
      </c>
      <c r="Y6276" s="20">
        <v>5.4000000000000001E-4</v>
      </c>
      <c r="Z6276" s="21">
        <v>4660008013752</v>
      </c>
    </row>
    <row r="6277" spans="1:26" ht="12" customHeight="1" outlineLevel="4" x14ac:dyDescent="0.2">
      <c r="A6277" s="14" t="s">
        <v>12118</v>
      </c>
      <c r="B6277" s="26" t="s">
        <v>12119</v>
      </c>
      <c r="C6277" s="52"/>
      <c r="D6277" s="55">
        <f t="shared" si="97"/>
        <v>0</v>
      </c>
      <c r="E6277" s="63" t="str">
        <f>HYPERLINK("https://www.sds-group.ru/product/tros-stalnoy-v-pvh-opletke-d-2-5mm-chernyy-motok-20m-rexant-09-5125-3/", "Инфо")</f>
        <v>Инфо</v>
      </c>
      <c r="F6277" s="16" t="s">
        <v>39</v>
      </c>
      <c r="G6277" s="15"/>
      <c r="H6277" s="15"/>
      <c r="I6277" s="15"/>
      <c r="J6277" s="17">
        <v>684</v>
      </c>
      <c r="K6277" s="15"/>
      <c r="L6277" s="17">
        <v>5</v>
      </c>
      <c r="M6277" s="17">
        <v>50</v>
      </c>
      <c r="N6277" s="17">
        <v>5</v>
      </c>
      <c r="O6277" s="18">
        <v>330.09</v>
      </c>
      <c r="P6277" s="18">
        <v>270.57</v>
      </c>
      <c r="Q6277" s="18">
        <v>306.98</v>
      </c>
      <c r="R6277" s="18">
        <v>251.62</v>
      </c>
      <c r="S6277" s="18">
        <v>224.46</v>
      </c>
      <c r="T6277" s="18">
        <v>183.98</v>
      </c>
      <c r="U6277" s="16"/>
      <c r="V6277" s="16"/>
      <c r="W6277" s="16" t="s">
        <v>40</v>
      </c>
      <c r="X6277" s="19">
        <v>0.21299999999999999</v>
      </c>
      <c r="Y6277" s="20">
        <v>5.6599999999999999E-4</v>
      </c>
      <c r="Z6277" s="21">
        <v>4601004005334</v>
      </c>
    </row>
    <row r="6278" spans="1:26" ht="12" customHeight="1" outlineLevel="4" x14ac:dyDescent="0.2">
      <c r="A6278" s="14" t="s">
        <v>12120</v>
      </c>
      <c r="B6278" s="26" t="s">
        <v>12121</v>
      </c>
      <c r="C6278" s="52"/>
      <c r="D6278" s="55">
        <f t="shared" si="97"/>
        <v>0</v>
      </c>
      <c r="E6278" s="63" t="str">
        <f>HYPERLINK("https://www.sds-group.ru/product/tros-stalnoy-v-pvh-opletke-d-3-0mm-prozrachnyy-buhta-200m-rexant-09-5330/", "Инфо")</f>
        <v>Инфо</v>
      </c>
      <c r="F6278" s="16" t="s">
        <v>39</v>
      </c>
      <c r="G6278" s="15"/>
      <c r="H6278" s="15"/>
      <c r="I6278" s="15"/>
      <c r="J6278" s="17">
        <v>215</v>
      </c>
      <c r="K6278" s="15"/>
      <c r="L6278" s="17">
        <v>1</v>
      </c>
      <c r="M6278" s="17">
        <v>4</v>
      </c>
      <c r="N6278" s="17">
        <v>1</v>
      </c>
      <c r="O6278" s="18">
        <v>5052.74</v>
      </c>
      <c r="P6278" s="18">
        <v>4141.59</v>
      </c>
      <c r="Q6278" s="18">
        <v>4042.19</v>
      </c>
      <c r="R6278" s="18">
        <v>3313.27</v>
      </c>
      <c r="S6278" s="18">
        <v>3435.86</v>
      </c>
      <c r="T6278" s="18">
        <v>2816.28</v>
      </c>
      <c r="U6278" s="16"/>
      <c r="V6278" s="16"/>
      <c r="W6278" s="16" t="s">
        <v>40</v>
      </c>
      <c r="X6278" s="19">
        <v>3.2629999999999999</v>
      </c>
      <c r="Y6278" s="20">
        <v>3.872E-3</v>
      </c>
      <c r="Z6278" s="21">
        <v>4660008013950</v>
      </c>
    </row>
    <row r="6279" spans="1:26" ht="12" customHeight="1" outlineLevel="4" x14ac:dyDescent="0.2">
      <c r="A6279" s="14" t="s">
        <v>12122</v>
      </c>
      <c r="B6279" s="26" t="s">
        <v>12123</v>
      </c>
      <c r="C6279" s="52"/>
      <c r="D6279" s="55">
        <f t="shared" si="97"/>
        <v>0</v>
      </c>
      <c r="E6279" s="63" t="str">
        <f>HYPERLINK("https://www.sds-group.ru/product/tros-stalnoy-v-pvh-opletke-d-3-0mm-prozrachnyy-motok-20m-rexant-09-5130/", "Инфо")</f>
        <v>Инфо</v>
      </c>
      <c r="F6279" s="16" t="s">
        <v>39</v>
      </c>
      <c r="G6279" s="15"/>
      <c r="H6279" s="15"/>
      <c r="I6279" s="15"/>
      <c r="J6279" s="22">
        <v>1401</v>
      </c>
      <c r="K6279" s="15"/>
      <c r="L6279" s="17">
        <v>5</v>
      </c>
      <c r="M6279" s="17">
        <v>25</v>
      </c>
      <c r="N6279" s="17">
        <v>5</v>
      </c>
      <c r="O6279" s="18">
        <v>502.76</v>
      </c>
      <c r="P6279" s="18">
        <v>412.1</v>
      </c>
      <c r="Q6279" s="18">
        <v>437.4</v>
      </c>
      <c r="R6279" s="18">
        <v>358.52</v>
      </c>
      <c r="S6279" s="18">
        <v>341.88</v>
      </c>
      <c r="T6279" s="18">
        <v>280.23</v>
      </c>
      <c r="U6279" s="16"/>
      <c r="V6279" s="16"/>
      <c r="W6279" s="16" t="s">
        <v>40</v>
      </c>
      <c r="X6279" s="19">
        <v>0.318</v>
      </c>
      <c r="Y6279" s="20">
        <v>8.5099999999999998E-4</v>
      </c>
      <c r="Z6279" s="21">
        <v>4660008013769</v>
      </c>
    </row>
    <row r="6280" spans="1:26" ht="12" customHeight="1" outlineLevel="4" x14ac:dyDescent="0.2">
      <c r="A6280" s="14" t="s">
        <v>12124</v>
      </c>
      <c r="B6280" s="26" t="s">
        <v>12125</v>
      </c>
      <c r="C6280" s="52"/>
      <c r="D6280" s="55">
        <f t="shared" si="97"/>
        <v>0</v>
      </c>
      <c r="E6280" s="63" t="str">
        <f>HYPERLINK("https://www.sds-group.ru/product/tros-stalnoy-v-pvh-opletke-d-3-5mm-prozrachnyy-buhta-200m-rexant-09-5335/", "Инфо")</f>
        <v>Инфо</v>
      </c>
      <c r="F6280" s="16" t="s">
        <v>39</v>
      </c>
      <c r="G6280" s="15"/>
      <c r="H6280" s="15"/>
      <c r="I6280" s="15"/>
      <c r="J6280" s="17">
        <v>44</v>
      </c>
      <c r="K6280" s="15"/>
      <c r="L6280" s="17">
        <v>1</v>
      </c>
      <c r="M6280" s="17">
        <v>2</v>
      </c>
      <c r="N6280" s="17">
        <v>1</v>
      </c>
      <c r="O6280" s="18">
        <v>6869.14</v>
      </c>
      <c r="P6280" s="18">
        <v>5630.44</v>
      </c>
      <c r="Q6280" s="18">
        <v>5495.31</v>
      </c>
      <c r="R6280" s="18">
        <v>4504.3500000000004</v>
      </c>
      <c r="S6280" s="18">
        <v>4671.0200000000004</v>
      </c>
      <c r="T6280" s="18">
        <v>3828.7</v>
      </c>
      <c r="U6280" s="16"/>
      <c r="V6280" s="16"/>
      <c r="W6280" s="16" t="s">
        <v>40</v>
      </c>
      <c r="X6280" s="19">
        <v>4.9359999999999999</v>
      </c>
      <c r="Y6280" s="20">
        <v>5.4159999999999998E-3</v>
      </c>
      <c r="Z6280" s="21">
        <v>4660008013967</v>
      </c>
    </row>
    <row r="6281" spans="1:26" ht="12" customHeight="1" outlineLevel="4" x14ac:dyDescent="0.2">
      <c r="A6281" s="14" t="s">
        <v>12126</v>
      </c>
      <c r="B6281" s="26" t="s">
        <v>12127</v>
      </c>
      <c r="C6281" s="52"/>
      <c r="D6281" s="55">
        <f t="shared" ref="D6281:D6342" si="98">C6281*(O6281-O6281*$G$3)</f>
        <v>0</v>
      </c>
      <c r="E6281" s="63" t="str">
        <f>HYPERLINK("https://www.sds-group.ru/product/tros-stalnoy-v-pvh-opletke-d-4-0mm-prozrachnyy-buhta-100m-rexant-09-5240/", "Инфо")</f>
        <v>Инфо</v>
      </c>
      <c r="F6281" s="16" t="s">
        <v>39</v>
      </c>
      <c r="G6281" s="15"/>
      <c r="H6281" s="15"/>
      <c r="I6281" s="15"/>
      <c r="J6281" s="17">
        <v>439</v>
      </c>
      <c r="K6281" s="15"/>
      <c r="L6281" s="17">
        <v>1</v>
      </c>
      <c r="M6281" s="17">
        <v>4</v>
      </c>
      <c r="N6281" s="17">
        <v>1</v>
      </c>
      <c r="O6281" s="18">
        <v>4249.55</v>
      </c>
      <c r="P6281" s="18">
        <v>3483.24</v>
      </c>
      <c r="Q6281" s="18">
        <v>3399.64</v>
      </c>
      <c r="R6281" s="18">
        <v>2786.59</v>
      </c>
      <c r="S6281" s="18">
        <v>2889.69</v>
      </c>
      <c r="T6281" s="18">
        <v>2368.6</v>
      </c>
      <c r="U6281" s="16"/>
      <c r="V6281" s="16"/>
      <c r="W6281" s="16" t="s">
        <v>40</v>
      </c>
      <c r="X6281" s="19">
        <v>3.222</v>
      </c>
      <c r="Y6281" s="20">
        <v>3.8379999999999998E-3</v>
      </c>
      <c r="Z6281" s="21">
        <v>4660008013974</v>
      </c>
    </row>
    <row r="6282" spans="1:26" ht="12" customHeight="1" outlineLevel="4" x14ac:dyDescent="0.2">
      <c r="A6282" s="14" t="s">
        <v>12128</v>
      </c>
      <c r="B6282" s="26" t="s">
        <v>12129</v>
      </c>
      <c r="C6282" s="52"/>
      <c r="D6282" s="55">
        <f t="shared" si="98"/>
        <v>0</v>
      </c>
      <c r="E6282" s="63" t="str">
        <f>HYPERLINK("https://www.sds-group.ru/product/tros-stalnoy-v-pvh-opletke-d-4-0mm-prozrachnyy-motok-20m-rexant-09-5140/", "Инфо")</f>
        <v>Инфо</v>
      </c>
      <c r="F6282" s="16" t="s">
        <v>39</v>
      </c>
      <c r="G6282" s="15"/>
      <c r="H6282" s="15"/>
      <c r="I6282" s="15"/>
      <c r="J6282" s="17">
        <v>758</v>
      </c>
      <c r="K6282" s="15"/>
      <c r="L6282" s="17">
        <v>1</v>
      </c>
      <c r="M6282" s="17">
        <v>20</v>
      </c>
      <c r="N6282" s="17">
        <v>1</v>
      </c>
      <c r="O6282" s="18">
        <v>849.91</v>
      </c>
      <c r="P6282" s="18">
        <v>696.65</v>
      </c>
      <c r="Q6282" s="18">
        <v>739.42</v>
      </c>
      <c r="R6282" s="18">
        <v>606.08000000000004</v>
      </c>
      <c r="S6282" s="18">
        <v>577.94000000000005</v>
      </c>
      <c r="T6282" s="18">
        <v>473.72</v>
      </c>
      <c r="U6282" s="16"/>
      <c r="V6282" s="16"/>
      <c r="W6282" s="16" t="s">
        <v>40</v>
      </c>
      <c r="X6282" s="19">
        <v>0.623</v>
      </c>
      <c r="Y6282" s="20">
        <v>1.3619999999999999E-3</v>
      </c>
      <c r="Z6282" s="21">
        <v>4660008013783</v>
      </c>
    </row>
    <row r="6283" spans="1:26" ht="12" customHeight="1" outlineLevel="4" x14ac:dyDescent="0.2">
      <c r="A6283" s="14" t="s">
        <v>12130</v>
      </c>
      <c r="B6283" s="26" t="s">
        <v>12131</v>
      </c>
      <c r="C6283" s="52"/>
      <c r="D6283" s="55">
        <f t="shared" si="98"/>
        <v>0</v>
      </c>
      <c r="E6283" s="63" t="str">
        <f>HYPERLINK("https://www.sds-group.ru/product/tros-stalnoy-v-pvh-opletke-d-5-0mm-prozrachnyy-buhta-100m-rexant-09-5250/", "Инфо")</f>
        <v>Инфо</v>
      </c>
      <c r="F6283" s="16" t="s">
        <v>39</v>
      </c>
      <c r="G6283" s="15"/>
      <c r="H6283" s="15"/>
      <c r="I6283" s="15"/>
      <c r="J6283" s="17">
        <v>86</v>
      </c>
      <c r="K6283" s="15"/>
      <c r="L6283" s="17">
        <v>1</v>
      </c>
      <c r="M6283" s="17">
        <v>2</v>
      </c>
      <c r="N6283" s="17">
        <v>1</v>
      </c>
      <c r="O6283" s="18">
        <v>6461.65</v>
      </c>
      <c r="P6283" s="18">
        <v>5296.43</v>
      </c>
      <c r="Q6283" s="18">
        <v>5169.32</v>
      </c>
      <c r="R6283" s="18">
        <v>4237.1499999999996</v>
      </c>
      <c r="S6283" s="18">
        <v>4393.92</v>
      </c>
      <c r="T6283" s="18">
        <v>3601.57</v>
      </c>
      <c r="U6283" s="16"/>
      <c r="V6283" s="16"/>
      <c r="W6283" s="16" t="s">
        <v>40</v>
      </c>
      <c r="X6283" s="19">
        <v>5.6970000000000001</v>
      </c>
      <c r="Y6283" s="20">
        <v>5.3569999999999998E-3</v>
      </c>
      <c r="Z6283" s="21">
        <v>4660008013875</v>
      </c>
    </row>
    <row r="6284" spans="1:26" ht="12" customHeight="1" outlineLevel="4" x14ac:dyDescent="0.2">
      <c r="A6284" s="14" t="s">
        <v>12132</v>
      </c>
      <c r="B6284" s="26" t="s">
        <v>12133</v>
      </c>
      <c r="C6284" s="52"/>
      <c r="D6284" s="55">
        <f t="shared" si="98"/>
        <v>0</v>
      </c>
      <c r="E6284" s="63" t="str">
        <f>HYPERLINK("https://www.sds-group.ru/product/tros-stalnoy-v-pvh-opletke-d-6-0mm-prozrachnyy-buhta-150m-rexant-09-5260/", "Инфо")</f>
        <v>Инфо</v>
      </c>
      <c r="F6284" s="16" t="s">
        <v>39</v>
      </c>
      <c r="G6284" s="15"/>
      <c r="H6284" s="15"/>
      <c r="I6284" s="15"/>
      <c r="J6284" s="17">
        <v>149</v>
      </c>
      <c r="K6284" s="15"/>
      <c r="L6284" s="17">
        <v>1</v>
      </c>
      <c r="M6284" s="17">
        <v>1</v>
      </c>
      <c r="N6284" s="17">
        <v>1</v>
      </c>
      <c r="O6284" s="18">
        <v>13203.16</v>
      </c>
      <c r="P6284" s="18">
        <v>10822.26</v>
      </c>
      <c r="Q6284" s="18">
        <v>10562.53</v>
      </c>
      <c r="R6284" s="18">
        <v>8657.81</v>
      </c>
      <c r="S6284" s="18">
        <v>8978.15</v>
      </c>
      <c r="T6284" s="18">
        <v>7359.14</v>
      </c>
      <c r="U6284" s="16"/>
      <c r="V6284" s="16"/>
      <c r="W6284" s="16" t="s">
        <v>40</v>
      </c>
      <c r="X6284" s="19">
        <v>10.522</v>
      </c>
      <c r="Y6284" s="20">
        <v>1.1266999999999999E-2</v>
      </c>
      <c r="Z6284" s="21">
        <v>4660008013882</v>
      </c>
    </row>
    <row r="6285" spans="1:26" ht="12.95" customHeight="1" outlineLevel="3" x14ac:dyDescent="0.2">
      <c r="A6285" s="76" t="s">
        <v>12134</v>
      </c>
      <c r="B6285" s="76"/>
      <c r="C6285" s="77"/>
      <c r="D6285" s="58"/>
      <c r="E6285" s="68"/>
      <c r="F6285" s="13"/>
      <c r="G6285" s="13"/>
      <c r="H6285" s="13"/>
      <c r="I6285" s="13"/>
      <c r="J6285" s="13"/>
      <c r="K6285" s="13"/>
      <c r="L6285" s="13"/>
      <c r="M6285" s="13"/>
      <c r="N6285" s="13"/>
      <c r="O6285" s="13"/>
      <c r="P6285" s="13"/>
      <c r="Q6285" s="13"/>
      <c r="R6285" s="13"/>
      <c r="S6285" s="13"/>
      <c r="T6285" s="13"/>
      <c r="U6285" s="13"/>
      <c r="V6285" s="13"/>
      <c r="W6285" s="13"/>
      <c r="X6285" s="13"/>
      <c r="Y6285" s="13"/>
      <c r="Z6285" s="13"/>
    </row>
    <row r="6286" spans="1:26" ht="12" customHeight="1" outlineLevel="4" x14ac:dyDescent="0.2">
      <c r="A6286" s="14" t="s">
        <v>12135</v>
      </c>
      <c r="B6286" s="26" t="s">
        <v>12136</v>
      </c>
      <c r="C6286" s="52"/>
      <c r="D6286" s="55">
        <f t="shared" si="98"/>
        <v>0</v>
      </c>
      <c r="E6286" s="63" t="str">
        <f>HYPERLINK("https://www.sds-group.ru/product/tros-nerzhaveyuschiy-d-2mm-motok-20m-rexant-09-5502/", "Инфо")</f>
        <v>Инфо</v>
      </c>
      <c r="F6286" s="16" t="s">
        <v>39</v>
      </c>
      <c r="G6286" s="15"/>
      <c r="H6286" s="15"/>
      <c r="I6286" s="15"/>
      <c r="J6286" s="17">
        <v>46</v>
      </c>
      <c r="K6286" s="15"/>
      <c r="L6286" s="17">
        <v>1</v>
      </c>
      <c r="M6286" s="17">
        <v>50</v>
      </c>
      <c r="N6286" s="17">
        <v>1</v>
      </c>
      <c r="O6286" s="18">
        <v>1525.88</v>
      </c>
      <c r="P6286" s="18">
        <v>1250.72</v>
      </c>
      <c r="Q6286" s="18">
        <v>1327.52</v>
      </c>
      <c r="R6286" s="18">
        <v>1088.1300000000001</v>
      </c>
      <c r="S6286" s="18">
        <v>1037.5999999999999</v>
      </c>
      <c r="T6286" s="18">
        <v>850.49</v>
      </c>
      <c r="U6286" s="16"/>
      <c r="V6286" s="16"/>
      <c r="W6286" s="16" t="s">
        <v>40</v>
      </c>
      <c r="X6286" s="19">
        <v>0.29599999999999999</v>
      </c>
      <c r="Y6286" s="20">
        <v>3.4699999999999998E-4</v>
      </c>
      <c r="Z6286" s="21">
        <v>4601004019355</v>
      </c>
    </row>
    <row r="6287" spans="1:26" ht="12" customHeight="1" outlineLevel="4" x14ac:dyDescent="0.2">
      <c r="A6287" s="14" t="s">
        <v>12137</v>
      </c>
      <c r="B6287" s="26" t="s">
        <v>12138</v>
      </c>
      <c r="C6287" s="52"/>
      <c r="D6287" s="55">
        <f t="shared" si="98"/>
        <v>0</v>
      </c>
      <c r="E6287" s="63" t="str">
        <f>HYPERLINK("https://www.sds-group.ru/product/tros-nerzhaveyuschiy-d-3mm-motok-20m-rexant-09-5503/", "Инфо")</f>
        <v>Инфо</v>
      </c>
      <c r="F6287" s="16" t="s">
        <v>39</v>
      </c>
      <c r="G6287" s="15"/>
      <c r="H6287" s="15"/>
      <c r="I6287" s="15"/>
      <c r="J6287" s="17">
        <v>91</v>
      </c>
      <c r="K6287" s="15"/>
      <c r="L6287" s="17">
        <v>1</v>
      </c>
      <c r="M6287" s="17">
        <v>30</v>
      </c>
      <c r="N6287" s="17">
        <v>1</v>
      </c>
      <c r="O6287" s="18">
        <v>2484.9299999999998</v>
      </c>
      <c r="P6287" s="18">
        <v>2036.83</v>
      </c>
      <c r="Q6287" s="18">
        <v>2087.34</v>
      </c>
      <c r="R6287" s="18">
        <v>1710.93</v>
      </c>
      <c r="S6287" s="18">
        <v>1689.75</v>
      </c>
      <c r="T6287" s="18">
        <v>1385.04</v>
      </c>
      <c r="U6287" s="16"/>
      <c r="V6287" s="16"/>
      <c r="W6287" s="16" t="s">
        <v>40</v>
      </c>
      <c r="X6287" s="19">
        <v>0.69799999999999995</v>
      </c>
      <c r="Y6287" s="20">
        <v>6.8099999999999996E-4</v>
      </c>
      <c r="Z6287" s="21">
        <v>4601004019362</v>
      </c>
    </row>
    <row r="6288" spans="1:26" ht="12" customHeight="1" outlineLevel="4" x14ac:dyDescent="0.2">
      <c r="A6288" s="14" t="s">
        <v>12139</v>
      </c>
      <c r="B6288" s="26" t="s">
        <v>12140</v>
      </c>
      <c r="C6288" s="52"/>
      <c r="D6288" s="55">
        <f t="shared" si="98"/>
        <v>0</v>
      </c>
      <c r="E6288" s="63" t="str">
        <f>HYPERLINK("https://www.sds-group.ru/product/tros-nerzhaveyuschiy-d-4mm-motok-20m-rexant-09-5504/", "Инфо")</f>
        <v>Инфо</v>
      </c>
      <c r="F6288" s="16" t="s">
        <v>39</v>
      </c>
      <c r="G6288" s="15"/>
      <c r="H6288" s="15"/>
      <c r="I6288" s="15"/>
      <c r="J6288" s="17">
        <v>38</v>
      </c>
      <c r="K6288" s="15"/>
      <c r="L6288" s="17">
        <v>1</v>
      </c>
      <c r="M6288" s="17">
        <v>20</v>
      </c>
      <c r="N6288" s="17">
        <v>1</v>
      </c>
      <c r="O6288" s="18">
        <v>3880.87</v>
      </c>
      <c r="P6288" s="18">
        <v>3181.04</v>
      </c>
      <c r="Q6288" s="18">
        <v>3259.93</v>
      </c>
      <c r="R6288" s="18">
        <v>2672.07</v>
      </c>
      <c r="S6288" s="18">
        <v>2638.99</v>
      </c>
      <c r="T6288" s="18">
        <v>2163.11</v>
      </c>
      <c r="U6288" s="16"/>
      <c r="V6288" s="16"/>
      <c r="W6288" s="16" t="s">
        <v>40</v>
      </c>
      <c r="X6288" s="19">
        <v>1.194</v>
      </c>
      <c r="Y6288" s="20">
        <v>1.3060000000000001E-3</v>
      </c>
      <c r="Z6288" s="21">
        <v>4601004019379</v>
      </c>
    </row>
    <row r="6289" spans="1:26" ht="12" customHeight="1" outlineLevel="4" x14ac:dyDescent="0.2">
      <c r="A6289" s="14" t="s">
        <v>12141</v>
      </c>
      <c r="B6289" s="26" t="s">
        <v>12142</v>
      </c>
      <c r="C6289" s="52"/>
      <c r="D6289" s="55">
        <f t="shared" si="98"/>
        <v>0</v>
      </c>
      <c r="E6289" s="63" t="str">
        <f>HYPERLINK("https://www.sds-group.ru/product/tros-nerzhaveyuschiy-d-5mm-motok-20m-rexant-09-5505/", "Инфо")</f>
        <v>Инфо</v>
      </c>
      <c r="F6289" s="16" t="s">
        <v>39</v>
      </c>
      <c r="G6289" s="15"/>
      <c r="H6289" s="15"/>
      <c r="I6289" s="15"/>
      <c r="J6289" s="17">
        <v>24</v>
      </c>
      <c r="K6289" s="15"/>
      <c r="L6289" s="17">
        <v>1</v>
      </c>
      <c r="M6289" s="17">
        <v>20</v>
      </c>
      <c r="N6289" s="17">
        <v>1</v>
      </c>
      <c r="O6289" s="18">
        <v>5767.41</v>
      </c>
      <c r="P6289" s="18">
        <v>4727.3900000000003</v>
      </c>
      <c r="Q6289" s="18">
        <v>4613.93</v>
      </c>
      <c r="R6289" s="18">
        <v>3781.91</v>
      </c>
      <c r="S6289" s="18">
        <v>3921.84</v>
      </c>
      <c r="T6289" s="18">
        <v>3214.62</v>
      </c>
      <c r="U6289" s="16"/>
      <c r="V6289" s="16"/>
      <c r="W6289" s="16" t="s">
        <v>40</v>
      </c>
      <c r="X6289" s="19">
        <v>1.833</v>
      </c>
      <c r="Y6289" s="20">
        <v>1.207E-3</v>
      </c>
      <c r="Z6289" s="21">
        <v>4601004019386</v>
      </c>
    </row>
    <row r="6290" spans="1:26" ht="12.95" customHeight="1" outlineLevel="2" x14ac:dyDescent="0.2">
      <c r="A6290" s="76" t="s">
        <v>12143</v>
      </c>
      <c r="B6290" s="76"/>
      <c r="C6290" s="77"/>
      <c r="D6290" s="58"/>
      <c r="E6290" s="68"/>
      <c r="F6290" s="13"/>
      <c r="G6290" s="13"/>
      <c r="H6290" s="13"/>
      <c r="I6290" s="13"/>
      <c r="J6290" s="13"/>
      <c r="K6290" s="13"/>
      <c r="L6290" s="13"/>
      <c r="M6290" s="13"/>
      <c r="N6290" s="13"/>
      <c r="O6290" s="13"/>
      <c r="P6290" s="13"/>
      <c r="Q6290" s="13"/>
      <c r="R6290" s="13"/>
      <c r="S6290" s="13"/>
      <c r="T6290" s="13"/>
      <c r="U6290" s="13"/>
      <c r="V6290" s="13"/>
      <c r="W6290" s="13"/>
      <c r="X6290" s="13"/>
      <c r="Y6290" s="13"/>
      <c r="Z6290" s="13"/>
    </row>
    <row r="6291" spans="1:26" ht="12.95" customHeight="1" outlineLevel="3" x14ac:dyDescent="0.2">
      <c r="A6291" s="76" t="s">
        <v>12144</v>
      </c>
      <c r="B6291" s="76"/>
      <c r="C6291" s="77"/>
      <c r="D6291" s="58"/>
      <c r="E6291" s="68"/>
      <c r="F6291" s="13"/>
      <c r="G6291" s="13"/>
      <c r="H6291" s="13"/>
      <c r="I6291" s="13"/>
      <c r="J6291" s="13"/>
      <c r="K6291" s="13"/>
      <c r="L6291" s="13"/>
      <c r="M6291" s="13"/>
      <c r="N6291" s="13"/>
      <c r="O6291" s="13"/>
      <c r="P6291" s="13"/>
      <c r="Q6291" s="13"/>
      <c r="R6291" s="13"/>
      <c r="S6291" s="13"/>
      <c r="T6291" s="13"/>
      <c r="U6291" s="13"/>
      <c r="V6291" s="13"/>
      <c r="W6291" s="13"/>
      <c r="X6291" s="13"/>
      <c r="Y6291" s="13"/>
      <c r="Z6291" s="13"/>
    </row>
    <row r="6292" spans="1:26" ht="12" customHeight="1" outlineLevel="4" x14ac:dyDescent="0.2">
      <c r="A6292" s="14" t="s">
        <v>12145</v>
      </c>
      <c r="B6292" s="26" t="s">
        <v>12146</v>
      </c>
      <c r="C6292" s="52"/>
      <c r="D6292" s="55">
        <f t="shared" si="98"/>
        <v>0</v>
      </c>
      <c r="E6292" s="63" t="str">
        <f>HYPERLINK("https://www.sds-group.ru/product/zajim-dlya-trosa-d-10-10578/", "Инфо")</f>
        <v>Инфо</v>
      </c>
      <c r="F6292" s="16" t="s">
        <v>39</v>
      </c>
      <c r="G6292" s="15"/>
      <c r="H6292" s="15"/>
      <c r="I6292" s="15"/>
      <c r="J6292" s="22">
        <v>1850</v>
      </c>
      <c r="K6292" s="15"/>
      <c r="L6292" s="17">
        <v>50</v>
      </c>
      <c r="M6292" s="17">
        <v>50</v>
      </c>
      <c r="N6292" s="17">
        <v>50</v>
      </c>
      <c r="O6292" s="18">
        <v>36.57</v>
      </c>
      <c r="P6292" s="18">
        <v>29.98</v>
      </c>
      <c r="Q6292" s="18">
        <v>34.01</v>
      </c>
      <c r="R6292" s="18">
        <v>27.88</v>
      </c>
      <c r="S6292" s="18">
        <v>24.87</v>
      </c>
      <c r="T6292" s="18">
        <v>20.39</v>
      </c>
      <c r="U6292" s="16"/>
      <c r="V6292" s="16"/>
      <c r="W6292" s="16" t="s">
        <v>40</v>
      </c>
      <c r="X6292" s="19">
        <v>0.06</v>
      </c>
      <c r="Y6292" s="20">
        <v>3.3000000000000003E-5</v>
      </c>
      <c r="Z6292" s="21">
        <v>4601004041042</v>
      </c>
    </row>
    <row r="6293" spans="1:26" ht="12" customHeight="1" outlineLevel="4" x14ac:dyDescent="0.2">
      <c r="A6293" s="14" t="s">
        <v>12147</v>
      </c>
      <c r="B6293" s="26" t="s">
        <v>12148</v>
      </c>
      <c r="C6293" s="52"/>
      <c r="D6293" s="55">
        <f t="shared" si="98"/>
        <v>0</v>
      </c>
      <c r="E6293" s="63" t="str">
        <f>HYPERLINK("https://www.sds-group.ru/product/zazhim-dlya-trosa-din-741-d-3-4mm-rexant-09-5603/", "Инфо")</f>
        <v>Инфо</v>
      </c>
      <c r="F6293" s="16" t="s">
        <v>39</v>
      </c>
      <c r="G6293" s="15"/>
      <c r="H6293" s="15"/>
      <c r="I6293" s="15"/>
      <c r="J6293" s="22">
        <v>11892</v>
      </c>
      <c r="K6293" s="15"/>
      <c r="L6293" s="17">
        <v>100</v>
      </c>
      <c r="M6293" s="22">
        <v>1000</v>
      </c>
      <c r="N6293" s="17">
        <v>100</v>
      </c>
      <c r="O6293" s="18">
        <v>10.28</v>
      </c>
      <c r="P6293" s="18">
        <v>8.43</v>
      </c>
      <c r="Q6293" s="18">
        <v>9.56</v>
      </c>
      <c r="R6293" s="18">
        <v>7.84</v>
      </c>
      <c r="S6293" s="18">
        <v>6.99</v>
      </c>
      <c r="T6293" s="18">
        <v>5.73</v>
      </c>
      <c r="U6293" s="16"/>
      <c r="V6293" s="16"/>
      <c r="W6293" s="16" t="s">
        <v>40</v>
      </c>
      <c r="X6293" s="19">
        <v>8.0000000000000002E-3</v>
      </c>
      <c r="Y6293" s="20">
        <v>5.0000000000000004E-6</v>
      </c>
      <c r="Z6293" s="21">
        <v>4601004043466</v>
      </c>
    </row>
    <row r="6294" spans="1:26" ht="12" customHeight="1" outlineLevel="4" x14ac:dyDescent="0.2">
      <c r="A6294" s="14" t="s">
        <v>12149</v>
      </c>
      <c r="B6294" s="26" t="s">
        <v>12150</v>
      </c>
      <c r="C6294" s="52"/>
      <c r="D6294" s="55">
        <f t="shared" si="98"/>
        <v>0</v>
      </c>
      <c r="E6294" s="63" t="str">
        <f>HYPERLINK("https://www.sds-group.ru/product/zazhim-dlya-trosa-din-741-d-6mm-rexant-09-5606/", "Инфо")</f>
        <v>Инфо</v>
      </c>
      <c r="F6294" s="16" t="s">
        <v>39</v>
      </c>
      <c r="G6294" s="15"/>
      <c r="H6294" s="15"/>
      <c r="I6294" s="15"/>
      <c r="J6294" s="22">
        <v>6800</v>
      </c>
      <c r="K6294" s="15"/>
      <c r="L6294" s="17">
        <v>100</v>
      </c>
      <c r="M6294" s="17">
        <v>100</v>
      </c>
      <c r="N6294" s="17">
        <v>100</v>
      </c>
      <c r="O6294" s="18">
        <v>17.600000000000001</v>
      </c>
      <c r="P6294" s="18">
        <v>14.43</v>
      </c>
      <c r="Q6294" s="18">
        <v>16.37</v>
      </c>
      <c r="R6294" s="18">
        <v>13.42</v>
      </c>
      <c r="S6294" s="18">
        <v>11.97</v>
      </c>
      <c r="T6294" s="18">
        <v>9.81</v>
      </c>
      <c r="U6294" s="16"/>
      <c r="V6294" s="16"/>
      <c r="W6294" s="16" t="s">
        <v>40</v>
      </c>
      <c r="X6294" s="19">
        <v>1.4E-2</v>
      </c>
      <c r="Y6294" s="20">
        <v>6.0000000000000002E-6</v>
      </c>
      <c r="Z6294" s="21">
        <v>4601004043411</v>
      </c>
    </row>
    <row r="6295" spans="1:26" ht="12" customHeight="1" outlineLevel="4" x14ac:dyDescent="0.2">
      <c r="A6295" s="14" t="s">
        <v>12151</v>
      </c>
      <c r="B6295" s="26" t="s">
        <v>12152</v>
      </c>
      <c r="C6295" s="52"/>
      <c r="D6295" s="55">
        <f t="shared" si="98"/>
        <v>0</v>
      </c>
      <c r="E6295" s="63" t="str">
        <f>HYPERLINK("https://www.sds-group.ru/product/zazhim-dlya-trosa-duplex-2mm-09-5691/", "Инфо")</f>
        <v>Инфо</v>
      </c>
      <c r="F6295" s="16" t="s">
        <v>39</v>
      </c>
      <c r="G6295" s="15"/>
      <c r="H6295" s="15"/>
      <c r="I6295" s="15"/>
      <c r="J6295" s="17">
        <v>400</v>
      </c>
      <c r="K6295" s="15"/>
      <c r="L6295" s="17">
        <v>100</v>
      </c>
      <c r="M6295" s="17">
        <v>100</v>
      </c>
      <c r="N6295" s="17">
        <v>100</v>
      </c>
      <c r="O6295" s="18">
        <v>22.05</v>
      </c>
      <c r="P6295" s="18">
        <v>18.07</v>
      </c>
      <c r="Q6295" s="18">
        <v>20.51</v>
      </c>
      <c r="R6295" s="18">
        <v>16.809999999999999</v>
      </c>
      <c r="S6295" s="18">
        <v>14.99</v>
      </c>
      <c r="T6295" s="18">
        <v>12.29</v>
      </c>
      <c r="U6295" s="16"/>
      <c r="V6295" s="16"/>
      <c r="W6295" s="16" t="s">
        <v>40</v>
      </c>
      <c r="X6295" s="19">
        <v>0.01</v>
      </c>
      <c r="Y6295" s="20">
        <v>1.1E-5</v>
      </c>
      <c r="Z6295" s="21">
        <v>4601004288867</v>
      </c>
    </row>
    <row r="6296" spans="1:26" ht="12" customHeight="1" outlineLevel="4" x14ac:dyDescent="0.2">
      <c r="A6296" s="14" t="s">
        <v>12153</v>
      </c>
      <c r="B6296" s="26" t="s">
        <v>12154</v>
      </c>
      <c r="C6296" s="52"/>
      <c r="D6296" s="55">
        <f t="shared" si="98"/>
        <v>0</v>
      </c>
      <c r="E6296" s="63" t="str">
        <f>HYPERLINK("https://www.sds-group.ru/product/zazhim-dlya-trosa-duplex-3mm-09-5692/", "Инфо")</f>
        <v>Инфо</v>
      </c>
      <c r="F6296" s="16" t="s">
        <v>39</v>
      </c>
      <c r="G6296" s="15"/>
      <c r="H6296" s="15"/>
      <c r="I6296" s="15"/>
      <c r="J6296" s="17">
        <v>700</v>
      </c>
      <c r="K6296" s="15"/>
      <c r="L6296" s="17">
        <v>100</v>
      </c>
      <c r="M6296" s="17">
        <v>100</v>
      </c>
      <c r="N6296" s="17">
        <v>100</v>
      </c>
      <c r="O6296" s="18">
        <v>23.85</v>
      </c>
      <c r="P6296" s="18">
        <v>19.55</v>
      </c>
      <c r="Q6296" s="18">
        <v>22.18</v>
      </c>
      <c r="R6296" s="18">
        <v>18.18</v>
      </c>
      <c r="S6296" s="18">
        <v>16.22</v>
      </c>
      <c r="T6296" s="18">
        <v>13.3</v>
      </c>
      <c r="U6296" s="16"/>
      <c r="V6296" s="16"/>
      <c r="W6296" s="16" t="s">
        <v>40</v>
      </c>
      <c r="X6296" s="19">
        <v>1.2E-2</v>
      </c>
      <c r="Y6296" s="20">
        <v>6.0000000000000002E-6</v>
      </c>
      <c r="Z6296" s="21">
        <v>4601004288874</v>
      </c>
    </row>
    <row r="6297" spans="1:26" ht="12" customHeight="1" outlineLevel="4" x14ac:dyDescent="0.2">
      <c r="A6297" s="14" t="s">
        <v>12155</v>
      </c>
      <c r="B6297" s="26" t="s">
        <v>12156</v>
      </c>
      <c r="C6297" s="52"/>
      <c r="D6297" s="55">
        <f t="shared" si="98"/>
        <v>0</v>
      </c>
      <c r="E6297" s="63" t="str">
        <f>HYPERLINK("https://www.sds-group.ru/product/zazhim-dlya-trosa-duplex-4mm-09-5693/", "Инфо")</f>
        <v>Инфо</v>
      </c>
      <c r="F6297" s="16" t="s">
        <v>39</v>
      </c>
      <c r="G6297" s="15"/>
      <c r="H6297" s="15"/>
      <c r="I6297" s="15"/>
      <c r="J6297" s="17">
        <v>200</v>
      </c>
      <c r="K6297" s="15"/>
      <c r="L6297" s="17">
        <v>100</v>
      </c>
      <c r="M6297" s="17">
        <v>100</v>
      </c>
      <c r="N6297" s="17">
        <v>100</v>
      </c>
      <c r="O6297" s="18">
        <v>33.28</v>
      </c>
      <c r="P6297" s="18">
        <v>27.28</v>
      </c>
      <c r="Q6297" s="18">
        <v>30.95</v>
      </c>
      <c r="R6297" s="18">
        <v>25.37</v>
      </c>
      <c r="S6297" s="18">
        <v>22.63</v>
      </c>
      <c r="T6297" s="18">
        <v>18.55</v>
      </c>
      <c r="U6297" s="16"/>
      <c r="V6297" s="16"/>
      <c r="W6297" s="16" t="s">
        <v>40</v>
      </c>
      <c r="X6297" s="19">
        <v>2.1000000000000001E-2</v>
      </c>
      <c r="Y6297" s="20">
        <v>1.1E-5</v>
      </c>
      <c r="Z6297" s="21">
        <v>4601004288843</v>
      </c>
    </row>
    <row r="6298" spans="1:26" ht="12" customHeight="1" outlineLevel="4" x14ac:dyDescent="0.2">
      <c r="A6298" s="14" t="s">
        <v>12157</v>
      </c>
      <c r="B6298" s="26" t="s">
        <v>12158</v>
      </c>
      <c r="C6298" s="52"/>
      <c r="D6298" s="55">
        <f t="shared" si="98"/>
        <v>0</v>
      </c>
      <c r="E6298" s="63" t="str">
        <f>HYPERLINK("https://www.sds-group.ru/product/zazhim-dlya-trosa-duplex-5mm-09-5694/", "Инфо")</f>
        <v>Инфо</v>
      </c>
      <c r="F6298" s="16" t="s">
        <v>39</v>
      </c>
      <c r="G6298" s="15"/>
      <c r="H6298" s="15"/>
      <c r="I6298" s="15"/>
      <c r="J6298" s="17">
        <v>300</v>
      </c>
      <c r="K6298" s="15"/>
      <c r="L6298" s="17">
        <v>100</v>
      </c>
      <c r="M6298" s="17">
        <v>100</v>
      </c>
      <c r="N6298" s="17">
        <v>100</v>
      </c>
      <c r="O6298" s="18">
        <v>39.47</v>
      </c>
      <c r="P6298" s="18">
        <v>32.35</v>
      </c>
      <c r="Q6298" s="18">
        <v>36.71</v>
      </c>
      <c r="R6298" s="18">
        <v>30.09</v>
      </c>
      <c r="S6298" s="18">
        <v>26.84</v>
      </c>
      <c r="T6298" s="18">
        <v>22</v>
      </c>
      <c r="U6298" s="16"/>
      <c r="V6298" s="16"/>
      <c r="W6298" s="16" t="s">
        <v>40</v>
      </c>
      <c r="X6298" s="19">
        <v>2.7E-2</v>
      </c>
      <c r="Y6298" s="20">
        <v>2.0999999999999999E-5</v>
      </c>
      <c r="Z6298" s="21">
        <v>4601004288850</v>
      </c>
    </row>
    <row r="6299" spans="1:26" ht="12" customHeight="1" outlineLevel="4" x14ac:dyDescent="0.2">
      <c r="A6299" s="14" t="s">
        <v>12159</v>
      </c>
      <c r="B6299" s="26" t="s">
        <v>12160</v>
      </c>
      <c r="C6299" s="52"/>
      <c r="D6299" s="55">
        <f t="shared" si="98"/>
        <v>0</v>
      </c>
      <c r="E6299" s="63" t="str">
        <f>HYPERLINK("https://www.sds-group.ru/product/zazhim-dlya-trosa-duplex-6mm-09-5695/", "Инфо")</f>
        <v>Инфо</v>
      </c>
      <c r="F6299" s="16" t="s">
        <v>39</v>
      </c>
      <c r="G6299" s="15"/>
      <c r="H6299" s="15"/>
      <c r="I6299" s="15"/>
      <c r="J6299" s="17">
        <v>600</v>
      </c>
      <c r="K6299" s="15"/>
      <c r="L6299" s="17">
        <v>100</v>
      </c>
      <c r="M6299" s="17">
        <v>100</v>
      </c>
      <c r="N6299" s="17">
        <v>100</v>
      </c>
      <c r="O6299" s="18">
        <v>53</v>
      </c>
      <c r="P6299" s="18">
        <v>43.44</v>
      </c>
      <c r="Q6299" s="18">
        <v>49.29</v>
      </c>
      <c r="R6299" s="18">
        <v>40.4</v>
      </c>
      <c r="S6299" s="18">
        <v>36.04</v>
      </c>
      <c r="T6299" s="18">
        <v>29.54</v>
      </c>
      <c r="U6299" s="16"/>
      <c r="V6299" s="16"/>
      <c r="W6299" s="16" t="s">
        <v>40</v>
      </c>
      <c r="X6299" s="19">
        <v>4.1000000000000002E-2</v>
      </c>
      <c r="Y6299" s="20">
        <v>2.8E-5</v>
      </c>
      <c r="Z6299" s="21">
        <v>4601004288829</v>
      </c>
    </row>
    <row r="6300" spans="1:26" ht="12" customHeight="1" outlineLevel="4" x14ac:dyDescent="0.2">
      <c r="A6300" s="14" t="s">
        <v>12161</v>
      </c>
      <c r="B6300" s="26" t="s">
        <v>12162</v>
      </c>
      <c r="C6300" s="52"/>
      <c r="D6300" s="55">
        <f t="shared" si="98"/>
        <v>0</v>
      </c>
      <c r="E6300" s="63" t="str">
        <f>HYPERLINK("https://www.sds-group.ru/product/zazhim-dlya-trosa-simplex-2mm-09-5681/", "Инфо")</f>
        <v>Инфо</v>
      </c>
      <c r="F6300" s="16" t="s">
        <v>39</v>
      </c>
      <c r="G6300" s="15"/>
      <c r="H6300" s="15"/>
      <c r="I6300" s="15"/>
      <c r="J6300" s="17">
        <v>400</v>
      </c>
      <c r="K6300" s="15"/>
      <c r="L6300" s="17">
        <v>100</v>
      </c>
      <c r="M6300" s="17">
        <v>100</v>
      </c>
      <c r="N6300" s="17">
        <v>100</v>
      </c>
      <c r="O6300" s="18">
        <v>15.05</v>
      </c>
      <c r="P6300" s="18">
        <v>12.34</v>
      </c>
      <c r="Q6300" s="18">
        <v>14</v>
      </c>
      <c r="R6300" s="18">
        <v>11.48</v>
      </c>
      <c r="S6300" s="18">
        <v>10.23</v>
      </c>
      <c r="T6300" s="18">
        <v>8.39</v>
      </c>
      <c r="U6300" s="16"/>
      <c r="V6300" s="16"/>
      <c r="W6300" s="16" t="s">
        <v>40</v>
      </c>
      <c r="X6300" s="19">
        <v>5.0000000000000001E-3</v>
      </c>
      <c r="Y6300" s="20">
        <v>3.0000000000000001E-6</v>
      </c>
      <c r="Z6300" s="21">
        <v>4601004288799</v>
      </c>
    </row>
    <row r="6301" spans="1:26" ht="12" customHeight="1" outlineLevel="4" x14ac:dyDescent="0.2">
      <c r="A6301" s="14" t="s">
        <v>12163</v>
      </c>
      <c r="B6301" s="26" t="s">
        <v>12164</v>
      </c>
      <c r="C6301" s="52"/>
      <c r="D6301" s="55">
        <f t="shared" si="98"/>
        <v>0</v>
      </c>
      <c r="E6301" s="63" t="str">
        <f>HYPERLINK("https://www.sds-group.ru/product/zazhim-dlya-trosa-simplex-3mm-09-5682/", "Инфо")</f>
        <v>Инфо</v>
      </c>
      <c r="F6301" s="16" t="s">
        <v>39</v>
      </c>
      <c r="G6301" s="15"/>
      <c r="H6301" s="15"/>
      <c r="I6301" s="15"/>
      <c r="J6301" s="17">
        <v>200</v>
      </c>
      <c r="K6301" s="15"/>
      <c r="L6301" s="17">
        <v>100</v>
      </c>
      <c r="M6301" s="17">
        <v>100</v>
      </c>
      <c r="N6301" s="17">
        <v>100</v>
      </c>
      <c r="O6301" s="18">
        <v>16.96</v>
      </c>
      <c r="P6301" s="18">
        <v>13.9</v>
      </c>
      <c r="Q6301" s="18">
        <v>15.77</v>
      </c>
      <c r="R6301" s="18">
        <v>12.93</v>
      </c>
      <c r="S6301" s="18">
        <v>11.53</v>
      </c>
      <c r="T6301" s="18">
        <v>9.4499999999999993</v>
      </c>
      <c r="U6301" s="16"/>
      <c r="V6301" s="16"/>
      <c r="W6301" s="16" t="s">
        <v>40</v>
      </c>
      <c r="X6301" s="19">
        <v>6.0000000000000001E-3</v>
      </c>
      <c r="Y6301" s="20">
        <v>3.9999999999999998E-6</v>
      </c>
      <c r="Z6301" s="21">
        <v>4601004288812</v>
      </c>
    </row>
    <row r="6302" spans="1:26" ht="12" customHeight="1" outlineLevel="4" x14ac:dyDescent="0.2">
      <c r="A6302" s="14" t="s">
        <v>12165</v>
      </c>
      <c r="B6302" s="26" t="s">
        <v>12166</v>
      </c>
      <c r="C6302" s="52"/>
      <c r="D6302" s="55">
        <f t="shared" si="98"/>
        <v>0</v>
      </c>
      <c r="E6302" s="63" t="str">
        <f>HYPERLINK("https://www.sds-group.ru/product/zazhim-dlya-trosa-simplex-4mm-09-5683/", "Инфо")</f>
        <v>Инфо</v>
      </c>
      <c r="F6302" s="16" t="s">
        <v>39</v>
      </c>
      <c r="G6302" s="15"/>
      <c r="H6302" s="15"/>
      <c r="I6302" s="15"/>
      <c r="J6302" s="17">
        <v>200</v>
      </c>
      <c r="K6302" s="15"/>
      <c r="L6302" s="17">
        <v>100</v>
      </c>
      <c r="M6302" s="17">
        <v>100</v>
      </c>
      <c r="N6302" s="17">
        <v>100</v>
      </c>
      <c r="O6302" s="18">
        <v>21.2</v>
      </c>
      <c r="P6302" s="18">
        <v>17.38</v>
      </c>
      <c r="Q6302" s="18">
        <v>19.72</v>
      </c>
      <c r="R6302" s="18">
        <v>16.16</v>
      </c>
      <c r="S6302" s="18">
        <v>14.42</v>
      </c>
      <c r="T6302" s="18">
        <v>11.82</v>
      </c>
      <c r="U6302" s="16"/>
      <c r="V6302" s="16"/>
      <c r="W6302" s="16" t="s">
        <v>40</v>
      </c>
      <c r="X6302" s="19">
        <v>1.0999999999999999E-2</v>
      </c>
      <c r="Y6302" s="20">
        <v>6.0000000000000002E-6</v>
      </c>
      <c r="Z6302" s="21">
        <v>4601004288805</v>
      </c>
    </row>
    <row r="6303" spans="1:26" ht="12" customHeight="1" outlineLevel="4" x14ac:dyDescent="0.2">
      <c r="A6303" s="14" t="s">
        <v>12167</v>
      </c>
      <c r="B6303" s="26" t="s">
        <v>12168</v>
      </c>
      <c r="C6303" s="52"/>
      <c r="D6303" s="55">
        <f t="shared" si="98"/>
        <v>0</v>
      </c>
      <c r="E6303" s="63" t="str">
        <f>HYPERLINK("https://www.sds-group.ru/product/zazhim-dlya-trosa-simplex-6mm-09-5685/", "Инфо")</f>
        <v>Инфо</v>
      </c>
      <c r="F6303" s="16" t="s">
        <v>39</v>
      </c>
      <c r="G6303" s="15"/>
      <c r="H6303" s="15"/>
      <c r="I6303" s="15"/>
      <c r="J6303" s="17">
        <v>700</v>
      </c>
      <c r="K6303" s="15"/>
      <c r="L6303" s="17">
        <v>100</v>
      </c>
      <c r="M6303" s="17">
        <v>100</v>
      </c>
      <c r="N6303" s="17">
        <v>100</v>
      </c>
      <c r="O6303" s="18">
        <v>30.53</v>
      </c>
      <c r="P6303" s="18">
        <v>25.02</v>
      </c>
      <c r="Q6303" s="18">
        <v>28.39</v>
      </c>
      <c r="R6303" s="18">
        <v>23.27</v>
      </c>
      <c r="S6303" s="18">
        <v>20.76</v>
      </c>
      <c r="T6303" s="18">
        <v>17.02</v>
      </c>
      <c r="U6303" s="16"/>
      <c r="V6303" s="16"/>
      <c r="W6303" s="16" t="s">
        <v>40</v>
      </c>
      <c r="X6303" s="19">
        <v>2.1000000000000001E-2</v>
      </c>
      <c r="Y6303" s="20">
        <v>1.5E-5</v>
      </c>
      <c r="Z6303" s="21">
        <v>4601004288881</v>
      </c>
    </row>
    <row r="6304" spans="1:26" ht="12.95" customHeight="1" outlineLevel="3" x14ac:dyDescent="0.2">
      <c r="A6304" s="76" t="s">
        <v>12169</v>
      </c>
      <c r="B6304" s="76"/>
      <c r="C6304" s="77"/>
      <c r="D6304" s="58"/>
      <c r="E6304" s="68"/>
      <c r="F6304" s="13"/>
      <c r="G6304" s="13"/>
      <c r="H6304" s="13"/>
      <c r="I6304" s="13"/>
      <c r="J6304" s="13"/>
      <c r="K6304" s="13"/>
      <c r="L6304" s="13"/>
      <c r="M6304" s="13"/>
      <c r="N6304" s="13"/>
      <c r="O6304" s="13"/>
      <c r="P6304" s="13"/>
      <c r="Q6304" s="13"/>
      <c r="R6304" s="13"/>
      <c r="S6304" s="13"/>
      <c r="T6304" s="13"/>
      <c r="U6304" s="13"/>
      <c r="V6304" s="13"/>
      <c r="W6304" s="13"/>
      <c r="X6304" s="13"/>
      <c r="Y6304" s="13"/>
      <c r="Z6304" s="13"/>
    </row>
    <row r="6305" spans="1:26" ht="12" customHeight="1" outlineLevel="4" x14ac:dyDescent="0.2">
      <c r="A6305" s="14" t="s">
        <v>12170</v>
      </c>
      <c r="B6305" s="26" t="s">
        <v>12171</v>
      </c>
      <c r="C6305" s="52"/>
      <c r="D6305" s="55">
        <f t="shared" si="98"/>
        <v>0</v>
      </c>
      <c r="E6305" s="63" t="str">
        <f>HYPERLINK("https://www.sds-group.ru/product/karabin-pozharnyy-din-5299s-10-0mm-rexant-09-5610/", "Инфо")</f>
        <v>Инфо</v>
      </c>
      <c r="F6305" s="16" t="s">
        <v>39</v>
      </c>
      <c r="G6305" s="15"/>
      <c r="H6305" s="15"/>
      <c r="I6305" s="15"/>
      <c r="J6305" s="17">
        <v>60</v>
      </c>
      <c r="K6305" s="15"/>
      <c r="L6305" s="17">
        <v>30</v>
      </c>
      <c r="M6305" s="17">
        <v>30</v>
      </c>
      <c r="N6305" s="17">
        <v>30</v>
      </c>
      <c r="O6305" s="18">
        <v>122.4</v>
      </c>
      <c r="P6305" s="18">
        <v>100.33</v>
      </c>
      <c r="Q6305" s="18">
        <v>113.83</v>
      </c>
      <c r="R6305" s="18">
        <v>93.3</v>
      </c>
      <c r="S6305" s="18">
        <v>83.23</v>
      </c>
      <c r="T6305" s="18">
        <v>68.22</v>
      </c>
      <c r="U6305" s="16"/>
      <c r="V6305" s="16"/>
      <c r="W6305" s="16" t="s">
        <v>40</v>
      </c>
      <c r="X6305" s="19">
        <v>9.8000000000000004E-2</v>
      </c>
      <c r="Y6305" s="20">
        <v>5.3000000000000001E-5</v>
      </c>
      <c r="Z6305" s="21">
        <v>4601004043442</v>
      </c>
    </row>
    <row r="6306" spans="1:26" ht="12" customHeight="1" outlineLevel="4" x14ac:dyDescent="0.2">
      <c r="A6306" s="14" t="s">
        <v>12172</v>
      </c>
      <c r="B6306" s="26" t="s">
        <v>12173</v>
      </c>
      <c r="C6306" s="52"/>
      <c r="D6306" s="55">
        <f t="shared" si="98"/>
        <v>0</v>
      </c>
      <c r="E6306" s="63" t="str">
        <f>HYPERLINK("https://www.sds-group.ru/product/karabin-pozharnyy-din-5299s-5-0mm-rexant-09-5615/", "Инфо")</f>
        <v>Инфо</v>
      </c>
      <c r="F6306" s="16" t="s">
        <v>39</v>
      </c>
      <c r="G6306" s="15"/>
      <c r="H6306" s="15"/>
      <c r="I6306" s="15"/>
      <c r="J6306" s="22">
        <v>2000</v>
      </c>
      <c r="K6306" s="15"/>
      <c r="L6306" s="17">
        <v>100</v>
      </c>
      <c r="M6306" s="17">
        <v>100</v>
      </c>
      <c r="N6306" s="17">
        <v>100</v>
      </c>
      <c r="O6306" s="18">
        <v>36.35</v>
      </c>
      <c r="P6306" s="18">
        <v>29.8</v>
      </c>
      <c r="Q6306" s="18">
        <v>33.81</v>
      </c>
      <c r="R6306" s="18">
        <v>27.71</v>
      </c>
      <c r="S6306" s="18">
        <v>24.72</v>
      </c>
      <c r="T6306" s="18">
        <v>20.260000000000002</v>
      </c>
      <c r="U6306" s="16"/>
      <c r="V6306" s="16"/>
      <c r="W6306" s="16" t="s">
        <v>40</v>
      </c>
      <c r="X6306" s="19">
        <v>1.4999999999999999E-2</v>
      </c>
      <c r="Y6306" s="20">
        <v>1.5E-5</v>
      </c>
      <c r="Z6306" s="21">
        <v>4601004043428</v>
      </c>
    </row>
    <row r="6307" spans="1:26" ht="12" customHeight="1" outlineLevel="4" x14ac:dyDescent="0.2">
      <c r="A6307" s="14" t="s">
        <v>12174</v>
      </c>
      <c r="B6307" s="26" t="s">
        <v>12175</v>
      </c>
      <c r="C6307" s="52"/>
      <c r="D6307" s="55">
        <f t="shared" si="98"/>
        <v>0</v>
      </c>
      <c r="E6307" s="63" t="str">
        <f>HYPERLINK("https://www.sds-group.ru/product/karabin-pozharnyy-din-5299s-6-0mm-rexant-09-5616/", "Инфо")</f>
        <v>Инфо</v>
      </c>
      <c r="F6307" s="16" t="s">
        <v>39</v>
      </c>
      <c r="G6307" s="15"/>
      <c r="H6307" s="15"/>
      <c r="I6307" s="15"/>
      <c r="J6307" s="17">
        <v>500</v>
      </c>
      <c r="K6307" s="15"/>
      <c r="L6307" s="17">
        <v>100</v>
      </c>
      <c r="M6307" s="17">
        <v>100</v>
      </c>
      <c r="N6307" s="17">
        <v>100</v>
      </c>
      <c r="O6307" s="18">
        <v>41.88</v>
      </c>
      <c r="P6307" s="18">
        <v>34.33</v>
      </c>
      <c r="Q6307" s="18">
        <v>38.950000000000003</v>
      </c>
      <c r="R6307" s="18">
        <v>31.93</v>
      </c>
      <c r="S6307" s="18">
        <v>28.48</v>
      </c>
      <c r="T6307" s="18">
        <v>23.34</v>
      </c>
      <c r="U6307" s="16"/>
      <c r="V6307" s="16"/>
      <c r="W6307" s="16" t="s">
        <v>40</v>
      </c>
      <c r="X6307" s="19">
        <v>2.5000000000000001E-2</v>
      </c>
      <c r="Y6307" s="20">
        <v>1.4E-5</v>
      </c>
      <c r="Z6307" s="21">
        <v>4601004043435</v>
      </c>
    </row>
    <row r="6308" spans="1:26" ht="12" customHeight="1" outlineLevel="4" x14ac:dyDescent="0.2">
      <c r="A6308" s="14" t="s">
        <v>12176</v>
      </c>
      <c r="B6308" s="26" t="s">
        <v>12177</v>
      </c>
      <c r="C6308" s="52"/>
      <c r="D6308" s="55">
        <f t="shared" si="98"/>
        <v>0</v>
      </c>
      <c r="E6308" s="63" t="str">
        <f>HYPERLINK("https://www.sds-group.ru/product/karabin-pozharnyy-din-5299s-9-0mm-rexant-09-5619/", "Инфо")</f>
        <v>Инфо</v>
      </c>
      <c r="F6308" s="16" t="s">
        <v>39</v>
      </c>
      <c r="G6308" s="15"/>
      <c r="H6308" s="15"/>
      <c r="I6308" s="15"/>
      <c r="J6308" s="17">
        <v>300</v>
      </c>
      <c r="K6308" s="15"/>
      <c r="L6308" s="17">
        <v>50</v>
      </c>
      <c r="M6308" s="17">
        <v>50</v>
      </c>
      <c r="N6308" s="17">
        <v>50</v>
      </c>
      <c r="O6308" s="18">
        <v>92.22</v>
      </c>
      <c r="P6308" s="18">
        <v>75.59</v>
      </c>
      <c r="Q6308" s="18">
        <v>85.76</v>
      </c>
      <c r="R6308" s="18">
        <v>70.3</v>
      </c>
      <c r="S6308" s="18">
        <v>62.71</v>
      </c>
      <c r="T6308" s="18">
        <v>51.4</v>
      </c>
      <c r="U6308" s="16"/>
      <c r="V6308" s="16"/>
      <c r="W6308" s="16" t="s">
        <v>40</v>
      </c>
      <c r="X6308" s="19">
        <v>8.4000000000000005E-2</v>
      </c>
      <c r="Y6308" s="20">
        <v>5.1999999999999997E-5</v>
      </c>
      <c r="Z6308" s="21">
        <v>2000321538457</v>
      </c>
    </row>
    <row r="6309" spans="1:26" ht="12" customHeight="1" outlineLevel="4" x14ac:dyDescent="0.2">
      <c r="A6309" s="14" t="s">
        <v>12178</v>
      </c>
      <c r="B6309" s="26" t="s">
        <v>12179</v>
      </c>
      <c r="C6309" s="52"/>
      <c r="D6309" s="55">
        <f t="shared" si="98"/>
        <v>0</v>
      </c>
      <c r="E6309" s="63" t="str">
        <f>HYPERLINK("https://www.sds-group.ru/product/karabin-s-gaykoy-din-5299d-10-0mm-09-5675/", "Инфо")</f>
        <v>Инфо</v>
      </c>
      <c r="F6309" s="16" t="s">
        <v>39</v>
      </c>
      <c r="G6309" s="15"/>
      <c r="H6309" s="15"/>
      <c r="I6309" s="15"/>
      <c r="J6309" s="17">
        <v>300</v>
      </c>
      <c r="K6309" s="15"/>
      <c r="L6309" s="17">
        <v>25</v>
      </c>
      <c r="M6309" s="17">
        <v>25</v>
      </c>
      <c r="N6309" s="17">
        <v>25</v>
      </c>
      <c r="O6309" s="18">
        <v>152.63999999999999</v>
      </c>
      <c r="P6309" s="18">
        <v>125.11</v>
      </c>
      <c r="Q6309" s="18">
        <v>141.96</v>
      </c>
      <c r="R6309" s="18">
        <v>116.36</v>
      </c>
      <c r="S6309" s="18">
        <v>103.8</v>
      </c>
      <c r="T6309" s="18">
        <v>85.08</v>
      </c>
      <c r="U6309" s="16"/>
      <c r="V6309" s="16"/>
      <c r="W6309" s="16" t="s">
        <v>40</v>
      </c>
      <c r="X6309" s="19">
        <v>0.10100000000000001</v>
      </c>
      <c r="Y6309" s="20">
        <v>6.9999999999999994E-5</v>
      </c>
      <c r="Z6309" s="21">
        <v>4601004288782</v>
      </c>
    </row>
    <row r="6310" spans="1:26" ht="12" customHeight="1" outlineLevel="4" x14ac:dyDescent="0.2">
      <c r="A6310" s="14" t="s">
        <v>12180</v>
      </c>
      <c r="B6310" s="26" t="s">
        <v>12181</v>
      </c>
      <c r="C6310" s="52"/>
      <c r="D6310" s="55">
        <f t="shared" si="98"/>
        <v>0</v>
      </c>
      <c r="E6310" s="63" t="str">
        <f>HYPERLINK("https://www.sds-group.ru/product/karabin-s-gaykoy-din-5299d-5-0mm-09-5671/", "Инфо")</f>
        <v>Инфо</v>
      </c>
      <c r="F6310" s="16" t="s">
        <v>39</v>
      </c>
      <c r="G6310" s="15"/>
      <c r="H6310" s="15"/>
      <c r="I6310" s="15"/>
      <c r="J6310" s="22">
        <v>1300</v>
      </c>
      <c r="K6310" s="15"/>
      <c r="L6310" s="17">
        <v>100</v>
      </c>
      <c r="M6310" s="17">
        <v>100</v>
      </c>
      <c r="N6310" s="17">
        <v>100</v>
      </c>
      <c r="O6310" s="18">
        <v>44.52</v>
      </c>
      <c r="P6310" s="18">
        <v>36.49</v>
      </c>
      <c r="Q6310" s="18">
        <v>41.4</v>
      </c>
      <c r="R6310" s="18">
        <v>33.93</v>
      </c>
      <c r="S6310" s="18">
        <v>30.27</v>
      </c>
      <c r="T6310" s="18">
        <v>24.81</v>
      </c>
      <c r="U6310" s="16"/>
      <c r="V6310" s="16"/>
      <c r="W6310" s="16" t="s">
        <v>40</v>
      </c>
      <c r="X6310" s="19">
        <v>1.7000000000000001E-2</v>
      </c>
      <c r="Y6310" s="20">
        <v>1.0000000000000001E-5</v>
      </c>
      <c r="Z6310" s="21">
        <v>4601004288836</v>
      </c>
    </row>
    <row r="6311" spans="1:26" ht="12" customHeight="1" outlineLevel="4" x14ac:dyDescent="0.2">
      <c r="A6311" s="14" t="s">
        <v>12182</v>
      </c>
      <c r="B6311" s="26" t="s">
        <v>12183</v>
      </c>
      <c r="C6311" s="52"/>
      <c r="D6311" s="55">
        <f t="shared" si="98"/>
        <v>0</v>
      </c>
      <c r="E6311" s="63" t="str">
        <f>HYPERLINK("https://www.sds-group.ru/product/karabin-s-gaykoy-din-5299d-6-0mm-09-5672/", "Инфо")</f>
        <v>Инфо</v>
      </c>
      <c r="F6311" s="16" t="s">
        <v>39</v>
      </c>
      <c r="G6311" s="15"/>
      <c r="H6311" s="15"/>
      <c r="I6311" s="15"/>
      <c r="J6311" s="17">
        <v>200</v>
      </c>
      <c r="K6311" s="15"/>
      <c r="L6311" s="17">
        <v>50</v>
      </c>
      <c r="M6311" s="17">
        <v>50</v>
      </c>
      <c r="N6311" s="17">
        <v>50</v>
      </c>
      <c r="O6311" s="18">
        <v>49.82</v>
      </c>
      <c r="P6311" s="18">
        <v>40.840000000000003</v>
      </c>
      <c r="Q6311" s="18">
        <v>46.33</v>
      </c>
      <c r="R6311" s="18">
        <v>37.979999999999997</v>
      </c>
      <c r="S6311" s="18">
        <v>33.880000000000003</v>
      </c>
      <c r="T6311" s="18">
        <v>27.77</v>
      </c>
      <c r="U6311" s="16"/>
      <c r="V6311" s="16"/>
      <c r="W6311" s="16" t="s">
        <v>40</v>
      </c>
      <c r="X6311" s="19">
        <v>2.5000000000000001E-2</v>
      </c>
      <c r="Y6311" s="20">
        <v>1.9000000000000001E-5</v>
      </c>
      <c r="Z6311" s="21">
        <v>4601004288744</v>
      </c>
    </row>
    <row r="6312" spans="1:26" ht="12" customHeight="1" outlineLevel="4" x14ac:dyDescent="0.2">
      <c r="A6312" s="14" t="s">
        <v>12184</v>
      </c>
      <c r="B6312" s="26" t="s">
        <v>12185</v>
      </c>
      <c r="C6312" s="52"/>
      <c r="D6312" s="55">
        <f t="shared" si="98"/>
        <v>0</v>
      </c>
      <c r="E6312" s="63" t="str">
        <f>HYPERLINK("https://www.sds-group.ru/product/karabin-s-gaykoy-din-5299d-8-0mm-09-5674/", "Инфо")</f>
        <v>Инфо</v>
      </c>
      <c r="F6312" s="16" t="s">
        <v>39</v>
      </c>
      <c r="G6312" s="15"/>
      <c r="H6312" s="15"/>
      <c r="I6312" s="15"/>
      <c r="J6312" s="17">
        <v>125</v>
      </c>
      <c r="K6312" s="15"/>
      <c r="L6312" s="17">
        <v>25</v>
      </c>
      <c r="M6312" s="17">
        <v>25</v>
      </c>
      <c r="N6312" s="17">
        <v>25</v>
      </c>
      <c r="O6312" s="18">
        <v>78.23</v>
      </c>
      <c r="P6312" s="18">
        <v>64.12</v>
      </c>
      <c r="Q6312" s="18">
        <v>72.75</v>
      </c>
      <c r="R6312" s="18">
        <v>59.63</v>
      </c>
      <c r="S6312" s="18">
        <v>53.2</v>
      </c>
      <c r="T6312" s="18">
        <v>43.61</v>
      </c>
      <c r="U6312" s="16"/>
      <c r="V6312" s="16"/>
      <c r="W6312" s="16" t="s">
        <v>40</v>
      </c>
      <c r="X6312" s="19">
        <v>6.6000000000000003E-2</v>
      </c>
      <c r="Y6312" s="20">
        <v>4.1E-5</v>
      </c>
      <c r="Z6312" s="21">
        <v>4601004288775</v>
      </c>
    </row>
    <row r="6313" spans="1:26" ht="12.95" customHeight="1" outlineLevel="3" x14ac:dyDescent="0.2">
      <c r="A6313" s="76" t="s">
        <v>12186</v>
      </c>
      <c r="B6313" s="76"/>
      <c r="C6313" s="77"/>
      <c r="D6313" s="58"/>
      <c r="E6313" s="68"/>
      <c r="F6313" s="13"/>
      <c r="G6313" s="13"/>
      <c r="H6313" s="13"/>
      <c r="I6313" s="13"/>
      <c r="J6313" s="13"/>
      <c r="K6313" s="13"/>
      <c r="L6313" s="13"/>
      <c r="M6313" s="13"/>
      <c r="N6313" s="13"/>
      <c r="O6313" s="13"/>
      <c r="P6313" s="13"/>
      <c r="Q6313" s="13"/>
      <c r="R6313" s="13"/>
      <c r="S6313" s="13"/>
      <c r="T6313" s="13"/>
      <c r="U6313" s="13"/>
      <c r="V6313" s="13"/>
      <c r="W6313" s="13"/>
      <c r="X6313" s="13"/>
      <c r="Y6313" s="13"/>
      <c r="Z6313" s="13"/>
    </row>
    <row r="6314" spans="1:26" ht="12" customHeight="1" outlineLevel="4" x14ac:dyDescent="0.2">
      <c r="A6314" s="14" t="s">
        <v>12187</v>
      </c>
      <c r="B6314" s="26" t="s">
        <v>12188</v>
      </c>
      <c r="C6314" s="52"/>
      <c r="D6314" s="55">
        <f t="shared" si="98"/>
        <v>0</v>
      </c>
      <c r="E6314" s="63" t="str">
        <f>HYPERLINK("https://www.sds-group.ru/product/koush-din-6899-d-3-rexant-09-5653/", "Инфо")</f>
        <v>Инфо</v>
      </c>
      <c r="F6314" s="16" t="s">
        <v>39</v>
      </c>
      <c r="G6314" s="15"/>
      <c r="H6314" s="15"/>
      <c r="I6314" s="15"/>
      <c r="J6314" s="22">
        <v>1592</v>
      </c>
      <c r="K6314" s="15"/>
      <c r="L6314" s="17">
        <v>100</v>
      </c>
      <c r="M6314" s="17">
        <v>100</v>
      </c>
      <c r="N6314" s="17">
        <v>100</v>
      </c>
      <c r="O6314" s="18">
        <v>12.08</v>
      </c>
      <c r="P6314" s="18">
        <v>9.9</v>
      </c>
      <c r="Q6314" s="18">
        <v>11.23</v>
      </c>
      <c r="R6314" s="18">
        <v>9.1999999999999993</v>
      </c>
      <c r="S6314" s="18">
        <v>8.2100000000000009</v>
      </c>
      <c r="T6314" s="18">
        <v>6.73</v>
      </c>
      <c r="U6314" s="16"/>
      <c r="V6314" s="16"/>
      <c r="W6314" s="16" t="s">
        <v>40</v>
      </c>
      <c r="X6314" s="19">
        <v>4.0000000000000001E-3</v>
      </c>
      <c r="Y6314" s="20">
        <v>5.0000000000000004E-6</v>
      </c>
      <c r="Z6314" s="21">
        <v>4601004041127</v>
      </c>
    </row>
    <row r="6315" spans="1:26" ht="12" customHeight="1" outlineLevel="4" x14ac:dyDescent="0.2">
      <c r="A6315" s="14" t="s">
        <v>12189</v>
      </c>
      <c r="B6315" s="26" t="s">
        <v>12190</v>
      </c>
      <c r="C6315" s="52"/>
      <c r="D6315" s="55">
        <f t="shared" si="98"/>
        <v>0</v>
      </c>
      <c r="E6315" s="63" t="str">
        <f>HYPERLINK("https://www.sds-group.ru/product/koush-din-6899-d-5-rexant-09-5655/", "Инфо")</f>
        <v>Инфо</v>
      </c>
      <c r="F6315" s="16" t="s">
        <v>39</v>
      </c>
      <c r="G6315" s="15"/>
      <c r="H6315" s="15"/>
      <c r="I6315" s="15"/>
      <c r="J6315" s="17">
        <v>200</v>
      </c>
      <c r="K6315" s="15"/>
      <c r="L6315" s="17">
        <v>100</v>
      </c>
      <c r="M6315" s="17">
        <v>100</v>
      </c>
      <c r="N6315" s="17">
        <v>100</v>
      </c>
      <c r="O6315" s="18">
        <v>17.38</v>
      </c>
      <c r="P6315" s="18">
        <v>14.25</v>
      </c>
      <c r="Q6315" s="18">
        <v>16.16</v>
      </c>
      <c r="R6315" s="18">
        <v>13.25</v>
      </c>
      <c r="S6315" s="18">
        <v>11.82</v>
      </c>
      <c r="T6315" s="18">
        <v>9.69</v>
      </c>
      <c r="U6315" s="16"/>
      <c r="V6315" s="16"/>
      <c r="W6315" s="16" t="s">
        <v>40</v>
      </c>
      <c r="X6315" s="19">
        <v>7.0000000000000001E-3</v>
      </c>
      <c r="Y6315" s="20">
        <v>7.9999999999999996E-6</v>
      </c>
      <c r="Z6315" s="21">
        <v>4601004041141</v>
      </c>
    </row>
    <row r="6316" spans="1:26" ht="12" customHeight="1" outlineLevel="4" x14ac:dyDescent="0.2">
      <c r="A6316" s="14" t="s">
        <v>12191</v>
      </c>
      <c r="B6316" s="26" t="s">
        <v>12192</v>
      </c>
      <c r="C6316" s="52"/>
      <c r="D6316" s="55">
        <f t="shared" si="98"/>
        <v>0</v>
      </c>
      <c r="E6316" s="63" t="str">
        <f>HYPERLINK("https://www.sds-group.ru/product/koush-din-6899-d-6-rexant-09-5656/", "Инфо")</f>
        <v>Инфо</v>
      </c>
      <c r="F6316" s="16" t="s">
        <v>39</v>
      </c>
      <c r="G6316" s="15"/>
      <c r="H6316" s="15"/>
      <c r="I6316" s="15"/>
      <c r="J6316" s="17">
        <v>500</v>
      </c>
      <c r="K6316" s="15"/>
      <c r="L6316" s="17">
        <v>100</v>
      </c>
      <c r="M6316" s="17">
        <v>100</v>
      </c>
      <c r="N6316" s="17">
        <v>100</v>
      </c>
      <c r="O6316" s="18">
        <v>18.87</v>
      </c>
      <c r="P6316" s="18">
        <v>15.47</v>
      </c>
      <c r="Q6316" s="18">
        <v>17.55</v>
      </c>
      <c r="R6316" s="18">
        <v>14.39</v>
      </c>
      <c r="S6316" s="18">
        <v>12.83</v>
      </c>
      <c r="T6316" s="18">
        <v>10.52</v>
      </c>
      <c r="U6316" s="16"/>
      <c r="V6316" s="16"/>
      <c r="W6316" s="16" t="s">
        <v>40</v>
      </c>
      <c r="X6316" s="19">
        <v>0.01</v>
      </c>
      <c r="Y6316" s="20">
        <v>1.5999999999999999E-5</v>
      </c>
      <c r="Z6316" s="21">
        <v>4601004041158</v>
      </c>
    </row>
    <row r="6317" spans="1:26" ht="12" customHeight="1" outlineLevel="4" x14ac:dyDescent="0.2">
      <c r="A6317" s="14" t="s">
        <v>12193</v>
      </c>
      <c r="B6317" s="26" t="s">
        <v>12194</v>
      </c>
      <c r="C6317" s="52"/>
      <c r="D6317" s="55">
        <f t="shared" si="98"/>
        <v>0</v>
      </c>
      <c r="E6317" s="63" t="str">
        <f>HYPERLINK("https://www.sds-group.ru/product/koush-din-6899-d-8-rexant-09-5658/", "Инфо")</f>
        <v>Инфо</v>
      </c>
      <c r="F6317" s="16" t="s">
        <v>39</v>
      </c>
      <c r="G6317" s="15"/>
      <c r="H6317" s="15"/>
      <c r="I6317" s="15"/>
      <c r="J6317" s="17">
        <v>200</v>
      </c>
      <c r="K6317" s="15"/>
      <c r="L6317" s="17">
        <v>50</v>
      </c>
      <c r="M6317" s="17">
        <v>50</v>
      </c>
      <c r="N6317" s="17">
        <v>50</v>
      </c>
      <c r="O6317" s="18">
        <v>26.5</v>
      </c>
      <c r="P6317" s="18">
        <v>21.72</v>
      </c>
      <c r="Q6317" s="18">
        <v>24.65</v>
      </c>
      <c r="R6317" s="18">
        <v>20.2</v>
      </c>
      <c r="S6317" s="18">
        <v>18.02</v>
      </c>
      <c r="T6317" s="18">
        <v>14.77</v>
      </c>
      <c r="U6317" s="16"/>
      <c r="V6317" s="16"/>
      <c r="W6317" s="16" t="s">
        <v>40</v>
      </c>
      <c r="X6317" s="19">
        <v>1.4999999999999999E-2</v>
      </c>
      <c r="Y6317" s="20">
        <v>2.0000000000000002E-5</v>
      </c>
      <c r="Z6317" s="21">
        <v>4601004041165</v>
      </c>
    </row>
    <row r="6318" spans="1:26" ht="12.95" customHeight="1" outlineLevel="3" x14ac:dyDescent="0.2">
      <c r="A6318" s="76" t="s">
        <v>12195</v>
      </c>
      <c r="B6318" s="76"/>
      <c r="C6318" s="77"/>
      <c r="D6318" s="58"/>
      <c r="E6318" s="68"/>
      <c r="F6318" s="13"/>
      <c r="G6318" s="13"/>
      <c r="H6318" s="13"/>
      <c r="I6318" s="13"/>
      <c r="J6318" s="13"/>
      <c r="K6318" s="13"/>
      <c r="L6318" s="13"/>
      <c r="M6318" s="13"/>
      <c r="N6318" s="13"/>
      <c r="O6318" s="13"/>
      <c r="P6318" s="13"/>
      <c r="Q6318" s="13"/>
      <c r="R6318" s="13"/>
      <c r="S6318" s="13"/>
      <c r="T6318" s="13"/>
      <c r="U6318" s="13"/>
      <c r="V6318" s="13"/>
      <c r="W6318" s="13"/>
      <c r="X6318" s="13"/>
      <c r="Y6318" s="13"/>
      <c r="Z6318" s="13"/>
    </row>
    <row r="6319" spans="1:26" ht="12" customHeight="1" outlineLevel="4" x14ac:dyDescent="0.2">
      <c r="A6319" s="14" t="s">
        <v>12196</v>
      </c>
      <c r="B6319" s="26" t="s">
        <v>12197</v>
      </c>
      <c r="C6319" s="52"/>
      <c r="D6319" s="55">
        <f t="shared" si="98"/>
        <v>0</v>
      </c>
      <c r="E6319" s="63" t="str">
        <f>HYPERLINK("https://www.sds-group.ru/product/kryuk-tipa-s-d-3-rexant-09-5663/", "Инфо")</f>
        <v>Инфо</v>
      </c>
      <c r="F6319" s="16" t="s">
        <v>39</v>
      </c>
      <c r="G6319" s="15"/>
      <c r="H6319" s="15"/>
      <c r="I6319" s="15"/>
      <c r="J6319" s="17">
        <v>300</v>
      </c>
      <c r="K6319" s="15"/>
      <c r="L6319" s="17">
        <v>100</v>
      </c>
      <c r="M6319" s="17">
        <v>100</v>
      </c>
      <c r="N6319" s="17">
        <v>100</v>
      </c>
      <c r="O6319" s="18">
        <v>13.36</v>
      </c>
      <c r="P6319" s="18">
        <v>10.95</v>
      </c>
      <c r="Q6319" s="18">
        <v>12.42</v>
      </c>
      <c r="R6319" s="18">
        <v>10.18</v>
      </c>
      <c r="S6319" s="18">
        <v>9.08</v>
      </c>
      <c r="T6319" s="18">
        <v>7.44</v>
      </c>
      <c r="U6319" s="16"/>
      <c r="V6319" s="16"/>
      <c r="W6319" s="16" t="s">
        <v>40</v>
      </c>
      <c r="X6319" s="19">
        <v>4.0000000000000001E-3</v>
      </c>
      <c r="Y6319" s="20">
        <v>1.9999999999999999E-6</v>
      </c>
      <c r="Z6319" s="21">
        <v>2000321550787</v>
      </c>
    </row>
    <row r="6320" spans="1:26" ht="12" customHeight="1" outlineLevel="4" x14ac:dyDescent="0.2">
      <c r="A6320" s="14" t="s">
        <v>12198</v>
      </c>
      <c r="B6320" s="26" t="s">
        <v>12199</v>
      </c>
      <c r="C6320" s="52"/>
      <c r="D6320" s="55">
        <f t="shared" si="98"/>
        <v>0</v>
      </c>
      <c r="E6320" s="63" t="str">
        <f>HYPERLINK("https://www.sds-group.ru/product/kryuk-tipa-s-d-6-rexant-09-5666/", "Инфо")</f>
        <v>Инфо</v>
      </c>
      <c r="F6320" s="16" t="s">
        <v>39</v>
      </c>
      <c r="G6320" s="15"/>
      <c r="H6320" s="15"/>
      <c r="I6320" s="15"/>
      <c r="J6320" s="17">
        <v>300</v>
      </c>
      <c r="K6320" s="15"/>
      <c r="L6320" s="17">
        <v>100</v>
      </c>
      <c r="M6320" s="17">
        <v>100</v>
      </c>
      <c r="N6320" s="17">
        <v>100</v>
      </c>
      <c r="O6320" s="18">
        <v>25.65</v>
      </c>
      <c r="P6320" s="18">
        <v>21.02</v>
      </c>
      <c r="Q6320" s="18">
        <v>23.85</v>
      </c>
      <c r="R6320" s="18">
        <v>19.55</v>
      </c>
      <c r="S6320" s="18">
        <v>17.440000000000001</v>
      </c>
      <c r="T6320" s="18">
        <v>14.3</v>
      </c>
      <c r="U6320" s="16"/>
      <c r="V6320" s="16"/>
      <c r="W6320" s="16" t="s">
        <v>40</v>
      </c>
      <c r="X6320" s="19">
        <v>2.4E-2</v>
      </c>
      <c r="Y6320" s="20">
        <v>2.0999999999999999E-5</v>
      </c>
      <c r="Z6320" s="21">
        <v>2000321534480</v>
      </c>
    </row>
    <row r="6321" spans="1:26" ht="12.95" customHeight="1" outlineLevel="3" x14ac:dyDescent="0.2">
      <c r="A6321" s="76" t="s">
        <v>12200</v>
      </c>
      <c r="B6321" s="76"/>
      <c r="C6321" s="77"/>
      <c r="D6321" s="58"/>
      <c r="E6321" s="68"/>
      <c r="F6321" s="13"/>
      <c r="G6321" s="13"/>
      <c r="H6321" s="13"/>
      <c r="I6321" s="13"/>
      <c r="J6321" s="13"/>
      <c r="K6321" s="13"/>
      <c r="L6321" s="13"/>
      <c r="M6321" s="13"/>
      <c r="N6321" s="13"/>
      <c r="O6321" s="13"/>
      <c r="P6321" s="13"/>
      <c r="Q6321" s="13"/>
      <c r="R6321" s="13"/>
      <c r="S6321" s="13"/>
      <c r="T6321" s="13"/>
      <c r="U6321" s="13"/>
      <c r="V6321" s="13"/>
      <c r="W6321" s="13"/>
      <c r="X6321" s="13"/>
      <c r="Y6321" s="13"/>
      <c r="Z6321" s="13"/>
    </row>
    <row r="6322" spans="1:26" ht="12" customHeight="1" outlineLevel="4" x14ac:dyDescent="0.2">
      <c r="A6322" s="14" t="s">
        <v>12201</v>
      </c>
      <c r="B6322" s="26" t="s">
        <v>12202</v>
      </c>
      <c r="C6322" s="52"/>
      <c r="D6322" s="55">
        <f t="shared" si="98"/>
        <v>0</v>
      </c>
      <c r="E6322" s="63" t="str">
        <f>HYPERLINK("https://www.sds-group.ru/product/rym-bolt-din-580-m6-rexant-09-5626/", "Инфо")</f>
        <v>Инфо</v>
      </c>
      <c r="F6322" s="16" t="s">
        <v>39</v>
      </c>
      <c r="G6322" s="15"/>
      <c r="H6322" s="15"/>
      <c r="I6322" s="15"/>
      <c r="J6322" s="17">
        <v>200</v>
      </c>
      <c r="K6322" s="15"/>
      <c r="L6322" s="17">
        <v>50</v>
      </c>
      <c r="M6322" s="17">
        <v>50</v>
      </c>
      <c r="N6322" s="17">
        <v>50</v>
      </c>
      <c r="O6322" s="18">
        <v>74.2</v>
      </c>
      <c r="P6322" s="18">
        <v>60.82</v>
      </c>
      <c r="Q6322" s="18">
        <v>69.010000000000005</v>
      </c>
      <c r="R6322" s="18">
        <v>56.57</v>
      </c>
      <c r="S6322" s="18">
        <v>50.46</v>
      </c>
      <c r="T6322" s="18">
        <v>41.36</v>
      </c>
      <c r="U6322" s="16"/>
      <c r="V6322" s="16"/>
      <c r="W6322" s="16" t="s">
        <v>40</v>
      </c>
      <c r="X6322" s="19">
        <v>5.7000000000000002E-2</v>
      </c>
      <c r="Y6322" s="20">
        <v>2.8E-5</v>
      </c>
      <c r="Z6322" s="21">
        <v>4601004041004</v>
      </c>
    </row>
    <row r="6323" spans="1:26" ht="12" customHeight="1" outlineLevel="4" x14ac:dyDescent="0.2">
      <c r="A6323" s="14" t="s">
        <v>12203</v>
      </c>
      <c r="B6323" s="26" t="s">
        <v>12204</v>
      </c>
      <c r="C6323" s="52"/>
      <c r="D6323" s="55">
        <f t="shared" si="98"/>
        <v>0</v>
      </c>
      <c r="E6323" s="63" t="str">
        <f>HYPERLINK("https://www.sds-group.ru/product/rym-bolt-din-580-m8-rexant-09-5628/", "Инфо")</f>
        <v>Инфо</v>
      </c>
      <c r="F6323" s="16" t="s">
        <v>39</v>
      </c>
      <c r="G6323" s="15"/>
      <c r="H6323" s="15"/>
      <c r="I6323" s="15"/>
      <c r="J6323" s="17">
        <v>500</v>
      </c>
      <c r="K6323" s="15"/>
      <c r="L6323" s="17">
        <v>50</v>
      </c>
      <c r="M6323" s="17">
        <v>50</v>
      </c>
      <c r="N6323" s="17">
        <v>50</v>
      </c>
      <c r="O6323" s="18">
        <v>82.68</v>
      </c>
      <c r="P6323" s="18">
        <v>67.77</v>
      </c>
      <c r="Q6323" s="18">
        <v>76.89</v>
      </c>
      <c r="R6323" s="18">
        <v>63.02</v>
      </c>
      <c r="S6323" s="18">
        <v>56.22</v>
      </c>
      <c r="T6323" s="18">
        <v>46.08</v>
      </c>
      <c r="U6323" s="16"/>
      <c r="V6323" s="16"/>
      <c r="W6323" s="16" t="s">
        <v>40</v>
      </c>
      <c r="X6323" s="19">
        <v>5.8999999999999997E-2</v>
      </c>
      <c r="Y6323" s="20">
        <v>2.3E-5</v>
      </c>
      <c r="Z6323" s="21">
        <v>4601004041059</v>
      </c>
    </row>
    <row r="6324" spans="1:26" ht="12" customHeight="1" outlineLevel="4" x14ac:dyDescent="0.2">
      <c r="A6324" s="14" t="s">
        <v>12205</v>
      </c>
      <c r="B6324" s="26" t="s">
        <v>12206</v>
      </c>
      <c r="C6324" s="52"/>
      <c r="D6324" s="55">
        <f t="shared" si="98"/>
        <v>0</v>
      </c>
      <c r="E6324" s="63" t="str">
        <f>HYPERLINK("https://www.sds-group.ru/product/rym-gayka-din-582-m10-rexant-09-5630/", "Инфо")</f>
        <v>Инфо</v>
      </c>
      <c r="F6324" s="16" t="s">
        <v>39</v>
      </c>
      <c r="G6324" s="15"/>
      <c r="H6324" s="15"/>
      <c r="I6324" s="15"/>
      <c r="J6324" s="17">
        <v>400</v>
      </c>
      <c r="K6324" s="15"/>
      <c r="L6324" s="17">
        <v>25</v>
      </c>
      <c r="M6324" s="17">
        <v>25</v>
      </c>
      <c r="N6324" s="17">
        <v>25</v>
      </c>
      <c r="O6324" s="18">
        <v>111.3</v>
      </c>
      <c r="P6324" s="18">
        <v>91.23</v>
      </c>
      <c r="Q6324" s="18">
        <v>103.51</v>
      </c>
      <c r="R6324" s="18">
        <v>84.84</v>
      </c>
      <c r="S6324" s="18">
        <v>75.680000000000007</v>
      </c>
      <c r="T6324" s="18">
        <v>62.03</v>
      </c>
      <c r="U6324" s="16"/>
      <c r="V6324" s="16"/>
      <c r="W6324" s="16" t="s">
        <v>40</v>
      </c>
      <c r="X6324" s="19">
        <v>9.9000000000000005E-2</v>
      </c>
      <c r="Y6324" s="20">
        <v>1.03E-4</v>
      </c>
      <c r="Z6324" s="21">
        <v>4601004041073</v>
      </c>
    </row>
    <row r="6325" spans="1:26" ht="12" customHeight="1" outlineLevel="4" x14ac:dyDescent="0.2">
      <c r="A6325" s="14" t="s">
        <v>12207</v>
      </c>
      <c r="B6325" s="26" t="s">
        <v>12208</v>
      </c>
      <c r="C6325" s="52"/>
      <c r="D6325" s="55">
        <f t="shared" si="98"/>
        <v>0</v>
      </c>
      <c r="E6325" s="63" t="str">
        <f>HYPERLINK("https://www.sds-group.ru/product/rym-gayka-din-582-m6-rexant-09-5636/", "Инфо")</f>
        <v>Инфо</v>
      </c>
      <c r="F6325" s="16" t="s">
        <v>39</v>
      </c>
      <c r="G6325" s="15"/>
      <c r="H6325" s="15"/>
      <c r="I6325" s="15"/>
      <c r="J6325" s="17">
        <v>200</v>
      </c>
      <c r="K6325" s="15"/>
      <c r="L6325" s="17">
        <v>50</v>
      </c>
      <c r="M6325" s="17">
        <v>50</v>
      </c>
      <c r="N6325" s="17">
        <v>50</v>
      </c>
      <c r="O6325" s="18">
        <v>65.72</v>
      </c>
      <c r="P6325" s="18">
        <v>53.87</v>
      </c>
      <c r="Q6325" s="18">
        <v>61.12</v>
      </c>
      <c r="R6325" s="18">
        <v>50.1</v>
      </c>
      <c r="S6325" s="18">
        <v>44.69</v>
      </c>
      <c r="T6325" s="18">
        <v>36.630000000000003</v>
      </c>
      <c r="U6325" s="16"/>
      <c r="V6325" s="16"/>
      <c r="W6325" s="16" t="s">
        <v>40</v>
      </c>
      <c r="X6325" s="19">
        <v>5.0999999999999997E-2</v>
      </c>
      <c r="Y6325" s="20">
        <v>2.5000000000000001E-5</v>
      </c>
      <c r="Z6325" s="21">
        <v>4601004043459</v>
      </c>
    </row>
    <row r="6326" spans="1:26" ht="12" customHeight="1" outlineLevel="4" x14ac:dyDescent="0.2">
      <c r="A6326" s="14" t="s">
        <v>12209</v>
      </c>
      <c r="B6326" s="26" t="s">
        <v>12210</v>
      </c>
      <c r="C6326" s="52"/>
      <c r="D6326" s="55">
        <f t="shared" si="98"/>
        <v>0</v>
      </c>
      <c r="E6326" s="63" t="str">
        <f>HYPERLINK("https://www.sds-group.ru/product/rym-gayka-din-582-m8-rexant-09-5638/", "Инфо")</f>
        <v>Инфо</v>
      </c>
      <c r="F6326" s="16" t="s">
        <v>39</v>
      </c>
      <c r="G6326" s="15"/>
      <c r="H6326" s="15"/>
      <c r="I6326" s="15"/>
      <c r="J6326" s="17">
        <v>250</v>
      </c>
      <c r="K6326" s="15"/>
      <c r="L6326" s="17">
        <v>50</v>
      </c>
      <c r="M6326" s="17">
        <v>50</v>
      </c>
      <c r="N6326" s="17">
        <v>50</v>
      </c>
      <c r="O6326" s="18">
        <v>76.319999999999993</v>
      </c>
      <c r="P6326" s="18">
        <v>62.56</v>
      </c>
      <c r="Q6326" s="18">
        <v>70.98</v>
      </c>
      <c r="R6326" s="18">
        <v>58.18</v>
      </c>
      <c r="S6326" s="18">
        <v>51.9</v>
      </c>
      <c r="T6326" s="18">
        <v>42.54</v>
      </c>
      <c r="U6326" s="16"/>
      <c r="V6326" s="16"/>
      <c r="W6326" s="16" t="s">
        <v>40</v>
      </c>
      <c r="X6326" s="19">
        <v>5.0999999999999997E-2</v>
      </c>
      <c r="Y6326" s="20">
        <v>2.9E-5</v>
      </c>
      <c r="Z6326" s="21">
        <v>4601004041066</v>
      </c>
    </row>
    <row r="6327" spans="1:26" ht="12.95" customHeight="1" outlineLevel="3" x14ac:dyDescent="0.2">
      <c r="A6327" s="76" t="s">
        <v>12211</v>
      </c>
      <c r="B6327" s="76"/>
      <c r="C6327" s="77"/>
      <c r="D6327" s="58"/>
      <c r="E6327" s="68"/>
      <c r="F6327" s="13"/>
      <c r="G6327" s="13"/>
      <c r="H6327" s="13"/>
      <c r="I6327" s="13"/>
      <c r="J6327" s="13"/>
      <c r="K6327" s="13"/>
      <c r="L6327" s="13"/>
      <c r="M6327" s="13"/>
      <c r="N6327" s="13"/>
      <c r="O6327" s="13"/>
      <c r="P6327" s="13"/>
      <c r="Q6327" s="13"/>
      <c r="R6327" s="13"/>
      <c r="S6327" s="13"/>
      <c r="T6327" s="13"/>
      <c r="U6327" s="13"/>
      <c r="V6327" s="13"/>
      <c r="W6327" s="13"/>
      <c r="X6327" s="13"/>
      <c r="Y6327" s="13"/>
      <c r="Z6327" s="13"/>
    </row>
    <row r="6328" spans="1:26" ht="12" customHeight="1" outlineLevel="4" x14ac:dyDescent="0.2">
      <c r="A6328" s="14" t="s">
        <v>12212</v>
      </c>
      <c r="B6328" s="26" t="s">
        <v>12213</v>
      </c>
      <c r="C6328" s="52"/>
      <c r="D6328" s="55">
        <f t="shared" si="98"/>
        <v>0</v>
      </c>
      <c r="E6328" s="63" t="str">
        <f>HYPERLINK("https://www.sds-group.ru/product/talrep-kryuk-koltso-din-1480-m10-09-5640/", "Инфо")</f>
        <v>Инфо</v>
      </c>
      <c r="F6328" s="16" t="s">
        <v>39</v>
      </c>
      <c r="G6328" s="15"/>
      <c r="H6328" s="15"/>
      <c r="I6328" s="15"/>
      <c r="J6328" s="17">
        <v>450</v>
      </c>
      <c r="K6328" s="15"/>
      <c r="L6328" s="17">
        <v>10</v>
      </c>
      <c r="M6328" s="17">
        <v>80</v>
      </c>
      <c r="N6328" s="17">
        <v>10</v>
      </c>
      <c r="O6328" s="18">
        <v>243.8</v>
      </c>
      <c r="P6328" s="18">
        <v>199.84</v>
      </c>
      <c r="Q6328" s="18">
        <v>226.73</v>
      </c>
      <c r="R6328" s="18">
        <v>185.84</v>
      </c>
      <c r="S6328" s="18">
        <v>165.78</v>
      </c>
      <c r="T6328" s="18">
        <v>135.88999999999999</v>
      </c>
      <c r="U6328" s="16"/>
      <c r="V6328" s="16"/>
      <c r="W6328" s="16" t="s">
        <v>40</v>
      </c>
      <c r="X6328" s="19">
        <v>0.16</v>
      </c>
      <c r="Y6328" s="20">
        <v>8.7999999999999998E-5</v>
      </c>
      <c r="Z6328" s="21">
        <v>2000321538433</v>
      </c>
    </row>
    <row r="6329" spans="1:26" ht="12" customHeight="1" outlineLevel="4" x14ac:dyDescent="0.2">
      <c r="A6329" s="14" t="s">
        <v>12214</v>
      </c>
      <c r="B6329" s="26" t="s">
        <v>12215</v>
      </c>
      <c r="C6329" s="52"/>
      <c r="D6329" s="55">
        <f t="shared" si="98"/>
        <v>0</v>
      </c>
      <c r="E6329" s="63" t="str">
        <f>HYPERLINK("https://www.sds-group.ru/product/talrep-kryuk-koltso-din-1480-m8-09-5648/", "Инфо")</f>
        <v>Инфо</v>
      </c>
      <c r="F6329" s="16" t="s">
        <v>39</v>
      </c>
      <c r="G6329" s="15"/>
      <c r="H6329" s="15"/>
      <c r="I6329" s="15"/>
      <c r="J6329" s="22">
        <v>1950</v>
      </c>
      <c r="K6329" s="15"/>
      <c r="L6329" s="17">
        <v>25</v>
      </c>
      <c r="M6329" s="17">
        <v>150</v>
      </c>
      <c r="N6329" s="17">
        <v>25</v>
      </c>
      <c r="O6329" s="18">
        <v>127.2</v>
      </c>
      <c r="P6329" s="18">
        <v>104.26</v>
      </c>
      <c r="Q6329" s="18">
        <v>118.3</v>
      </c>
      <c r="R6329" s="18">
        <v>96.97</v>
      </c>
      <c r="S6329" s="18">
        <v>86.5</v>
      </c>
      <c r="T6329" s="18">
        <v>70.900000000000006</v>
      </c>
      <c r="U6329" s="16"/>
      <c r="V6329" s="16"/>
      <c r="W6329" s="16" t="s">
        <v>40</v>
      </c>
      <c r="X6329" s="19">
        <v>0.10299999999999999</v>
      </c>
      <c r="Y6329" s="20">
        <v>5.5999999999999999E-5</v>
      </c>
      <c r="Z6329" s="21">
        <v>2000321535791</v>
      </c>
    </row>
    <row r="6330" spans="1:26" ht="12.95" customHeight="1" outlineLevel="1" x14ac:dyDescent="0.2">
      <c r="A6330" s="78" t="s">
        <v>12216</v>
      </c>
      <c r="B6330" s="78"/>
      <c r="C6330" s="79"/>
      <c r="D6330" s="57"/>
      <c r="E6330" s="67"/>
      <c r="F6330" s="12"/>
      <c r="G6330" s="12"/>
      <c r="H6330" s="12"/>
      <c r="I6330" s="12"/>
      <c r="J6330" s="12"/>
      <c r="K6330" s="12"/>
      <c r="L6330" s="12"/>
      <c r="M6330" s="12"/>
      <c r="N6330" s="12"/>
      <c r="O6330" s="12"/>
      <c r="P6330" s="12"/>
      <c r="Q6330" s="12"/>
      <c r="R6330" s="12"/>
      <c r="S6330" s="12"/>
      <c r="T6330" s="12"/>
      <c r="U6330" s="12"/>
      <c r="V6330" s="12"/>
      <c r="W6330" s="12"/>
      <c r="X6330" s="12"/>
      <c r="Y6330" s="12"/>
      <c r="Z6330" s="12"/>
    </row>
    <row r="6331" spans="1:26" ht="12.95" customHeight="1" outlineLevel="2" x14ac:dyDescent="0.2">
      <c r="A6331" s="76" t="s">
        <v>12217</v>
      </c>
      <c r="B6331" s="76"/>
      <c r="C6331" s="77"/>
      <c r="D6331" s="58"/>
      <c r="E6331" s="68"/>
      <c r="F6331" s="13"/>
      <c r="G6331" s="13"/>
      <c r="H6331" s="13"/>
      <c r="I6331" s="13"/>
      <c r="J6331" s="13"/>
      <c r="K6331" s="13"/>
      <c r="L6331" s="13"/>
      <c r="M6331" s="13"/>
      <c r="N6331" s="13"/>
      <c r="O6331" s="13"/>
      <c r="P6331" s="13"/>
      <c r="Q6331" s="13"/>
      <c r="R6331" s="13"/>
      <c r="S6331" s="13"/>
      <c r="T6331" s="13"/>
      <c r="U6331" s="13"/>
      <c r="V6331" s="13"/>
      <c r="W6331" s="13"/>
      <c r="X6331" s="13"/>
      <c r="Y6331" s="13"/>
      <c r="Z6331" s="13"/>
    </row>
    <row r="6332" spans="1:26" ht="12" customHeight="1" outlineLevel="3" x14ac:dyDescent="0.2">
      <c r="A6332" s="32" t="s">
        <v>12218</v>
      </c>
      <c r="B6332" s="74" t="s">
        <v>12219</v>
      </c>
      <c r="C6332" s="50"/>
      <c r="D6332" s="53">
        <f t="shared" si="98"/>
        <v>0</v>
      </c>
      <c r="E6332" s="60" t="str">
        <f>HYPERLINK("https://www.sds-group.ru/product/petlya-kartochnaya-40h50-tsink-chetyre-sezona-79-1046/", "Инфо")</f>
        <v>Инфо</v>
      </c>
      <c r="F6332" s="34" t="s">
        <v>39</v>
      </c>
      <c r="G6332" s="33"/>
      <c r="H6332" s="33" t="s">
        <v>40</v>
      </c>
      <c r="I6332" s="33"/>
      <c r="J6332" s="35">
        <v>104</v>
      </c>
      <c r="K6332" s="33"/>
      <c r="L6332" s="35">
        <v>1</v>
      </c>
      <c r="M6332" s="35">
        <v>50</v>
      </c>
      <c r="N6332" s="35">
        <v>1</v>
      </c>
      <c r="O6332" s="36">
        <v>51.27</v>
      </c>
      <c r="P6332" s="36">
        <v>42.02</v>
      </c>
      <c r="Q6332" s="36">
        <v>47.68</v>
      </c>
      <c r="R6332" s="36">
        <v>39.08</v>
      </c>
      <c r="S6332" s="36">
        <v>34.86</v>
      </c>
      <c r="T6332" s="36">
        <v>28.57</v>
      </c>
      <c r="U6332" s="34"/>
      <c r="V6332" s="34"/>
      <c r="W6332" s="34" t="s">
        <v>40</v>
      </c>
      <c r="X6332" s="37">
        <v>3.3000000000000002E-2</v>
      </c>
      <c r="Y6332" s="38">
        <v>1E-4</v>
      </c>
      <c r="Z6332" s="21">
        <v>4601004142701</v>
      </c>
    </row>
    <row r="6333" spans="1:26" ht="12.95" customHeight="1" outlineLevel="2" x14ac:dyDescent="0.2">
      <c r="A6333" s="76" t="s">
        <v>12220</v>
      </c>
      <c r="B6333" s="76"/>
      <c r="C6333" s="77"/>
      <c r="D6333" s="58"/>
      <c r="E6333" s="68"/>
      <c r="F6333" s="13"/>
      <c r="G6333" s="13"/>
      <c r="H6333" s="13"/>
      <c r="I6333" s="13"/>
      <c r="J6333" s="13"/>
      <c r="K6333" s="13"/>
      <c r="L6333" s="13"/>
      <c r="M6333" s="13"/>
      <c r="N6333" s="13"/>
      <c r="O6333" s="13"/>
      <c r="P6333" s="13"/>
      <c r="Q6333" s="13"/>
      <c r="R6333" s="13"/>
      <c r="S6333" s="13"/>
      <c r="T6333" s="13"/>
      <c r="U6333" s="13"/>
      <c r="V6333" s="13"/>
      <c r="W6333" s="13"/>
      <c r="X6333" s="13"/>
      <c r="Y6333" s="13"/>
      <c r="Z6333" s="13"/>
    </row>
    <row r="6334" spans="1:26" ht="12" customHeight="1" outlineLevel="3" x14ac:dyDescent="0.2">
      <c r="A6334" s="32" t="s">
        <v>12221</v>
      </c>
      <c r="B6334" s="74" t="s">
        <v>12222</v>
      </c>
      <c r="C6334" s="50"/>
      <c r="D6334" s="53">
        <f t="shared" si="98"/>
        <v>0</v>
      </c>
      <c r="E6334" s="60" t="str">
        <f>HYPERLINK("https://www.sds-group.ru/product/zadvizhka-nakladnaya-zt-60-tsink-chetyre-sezona-79-1086/", "Инфо")</f>
        <v>Инфо</v>
      </c>
      <c r="F6334" s="34" t="s">
        <v>39</v>
      </c>
      <c r="G6334" s="33"/>
      <c r="H6334" s="33" t="s">
        <v>40</v>
      </c>
      <c r="I6334" s="33"/>
      <c r="J6334" s="35">
        <v>47</v>
      </c>
      <c r="K6334" s="33"/>
      <c r="L6334" s="35">
        <v>1</v>
      </c>
      <c r="M6334" s="35">
        <v>100</v>
      </c>
      <c r="N6334" s="35">
        <v>1</v>
      </c>
      <c r="O6334" s="36">
        <v>78.400000000000006</v>
      </c>
      <c r="P6334" s="36">
        <v>64.260000000000005</v>
      </c>
      <c r="Q6334" s="36">
        <v>72.91</v>
      </c>
      <c r="R6334" s="36">
        <v>59.76</v>
      </c>
      <c r="S6334" s="36">
        <v>53.31</v>
      </c>
      <c r="T6334" s="36">
        <v>43.7</v>
      </c>
      <c r="U6334" s="34"/>
      <c r="V6334" s="34"/>
      <c r="W6334" s="34" t="s">
        <v>40</v>
      </c>
      <c r="X6334" s="37">
        <v>3.6999999999999998E-2</v>
      </c>
      <c r="Y6334" s="38">
        <v>9.7E-5</v>
      </c>
      <c r="Z6334" s="21">
        <v>4601004147775</v>
      </c>
    </row>
    <row r="6335" spans="1:26" ht="12" customHeight="1" outlineLevel="3" x14ac:dyDescent="0.2">
      <c r="A6335" s="32" t="s">
        <v>12223</v>
      </c>
      <c r="B6335" s="74" t="s">
        <v>12224</v>
      </c>
      <c r="C6335" s="50"/>
      <c r="D6335" s="53">
        <f t="shared" si="98"/>
        <v>0</v>
      </c>
      <c r="E6335" s="60" t="str">
        <f>HYPERLINK("https://www.sds-group.ru/product/zadvizhka-nakladnaya-80-tsink-chetyre-sezona-79-1082/", "Инфо")</f>
        <v>Инфо</v>
      </c>
      <c r="F6335" s="34" t="s">
        <v>39</v>
      </c>
      <c r="G6335" s="33"/>
      <c r="H6335" s="33" t="s">
        <v>40</v>
      </c>
      <c r="I6335" s="33"/>
      <c r="J6335" s="35">
        <v>96</v>
      </c>
      <c r="K6335" s="33"/>
      <c r="L6335" s="35">
        <v>1</v>
      </c>
      <c r="M6335" s="35">
        <v>100</v>
      </c>
      <c r="N6335" s="35">
        <v>1</v>
      </c>
      <c r="O6335" s="36">
        <v>80.77</v>
      </c>
      <c r="P6335" s="36">
        <v>66.2</v>
      </c>
      <c r="Q6335" s="36">
        <v>75.12</v>
      </c>
      <c r="R6335" s="36">
        <v>61.57</v>
      </c>
      <c r="S6335" s="36">
        <v>54.92</v>
      </c>
      <c r="T6335" s="36">
        <v>45.02</v>
      </c>
      <c r="U6335" s="34"/>
      <c r="V6335" s="34"/>
      <c r="W6335" s="34" t="s">
        <v>40</v>
      </c>
      <c r="X6335" s="37">
        <v>6.4000000000000001E-2</v>
      </c>
      <c r="Y6335" s="38">
        <v>2.1499999999999999E-4</v>
      </c>
      <c r="Z6335" s="21">
        <v>4601004125117</v>
      </c>
    </row>
    <row r="6336" spans="1:26" ht="12" customHeight="1" outlineLevel="3" x14ac:dyDescent="0.2">
      <c r="A6336" s="32" t="s">
        <v>12225</v>
      </c>
      <c r="B6336" s="74" t="s">
        <v>12226</v>
      </c>
      <c r="C6336" s="50"/>
      <c r="D6336" s="53">
        <f t="shared" si="98"/>
        <v>0</v>
      </c>
      <c r="E6336" s="60" t="str">
        <f>HYPERLINK("https://www.sds-group.ru/product/zadvizhka-nakladnaya-shp-40-polimer-chetyre-sezona-79-1089/", "Инфо")</f>
        <v>Инфо</v>
      </c>
      <c r="F6336" s="34" t="s">
        <v>39</v>
      </c>
      <c r="G6336" s="33"/>
      <c r="H6336" s="33" t="s">
        <v>40</v>
      </c>
      <c r="I6336" s="33"/>
      <c r="J6336" s="35">
        <v>219</v>
      </c>
      <c r="K6336" s="33"/>
      <c r="L6336" s="35">
        <v>1</v>
      </c>
      <c r="M6336" s="35">
        <v>100</v>
      </c>
      <c r="N6336" s="35">
        <v>1</v>
      </c>
      <c r="O6336" s="36">
        <v>80.67</v>
      </c>
      <c r="P6336" s="36">
        <v>66.12</v>
      </c>
      <c r="Q6336" s="36">
        <v>75.02</v>
      </c>
      <c r="R6336" s="36">
        <v>61.49</v>
      </c>
      <c r="S6336" s="36">
        <v>54.86</v>
      </c>
      <c r="T6336" s="36">
        <v>44.97</v>
      </c>
      <c r="U6336" s="34"/>
      <c r="V6336" s="34"/>
      <c r="W6336" s="34" t="s">
        <v>40</v>
      </c>
      <c r="X6336" s="37">
        <v>3.4000000000000002E-2</v>
      </c>
      <c r="Y6336" s="38">
        <v>8.8999999999999995E-5</v>
      </c>
      <c r="Z6336" s="21">
        <v>4601004147737</v>
      </c>
    </row>
    <row r="6337" spans="1:26" ht="12" customHeight="1" outlineLevel="3" x14ac:dyDescent="0.2">
      <c r="A6337" s="32" t="s">
        <v>12227</v>
      </c>
      <c r="B6337" s="74" t="s">
        <v>12228</v>
      </c>
      <c r="C6337" s="50"/>
      <c r="D6337" s="53">
        <f t="shared" si="98"/>
        <v>0</v>
      </c>
      <c r="E6337" s="60" t="str">
        <f>HYPERLINK("https://www.sds-group.ru/product/zadvizhka-nakladnaya-shp-60-polimer-chetyre-sezona-79-1091/", "Инфо")</f>
        <v>Инфо</v>
      </c>
      <c r="F6337" s="34" t="s">
        <v>39</v>
      </c>
      <c r="G6337" s="33"/>
      <c r="H6337" s="33" t="s">
        <v>40</v>
      </c>
      <c r="I6337" s="33"/>
      <c r="J6337" s="35">
        <v>82</v>
      </c>
      <c r="K6337" s="33"/>
      <c r="L6337" s="35">
        <v>1</v>
      </c>
      <c r="M6337" s="35">
        <v>200</v>
      </c>
      <c r="N6337" s="35">
        <v>1</v>
      </c>
      <c r="O6337" s="36">
        <v>106.35</v>
      </c>
      <c r="P6337" s="36">
        <v>87.17</v>
      </c>
      <c r="Q6337" s="36">
        <v>98.91</v>
      </c>
      <c r="R6337" s="36">
        <v>81.069999999999993</v>
      </c>
      <c r="S6337" s="36">
        <v>72.319999999999993</v>
      </c>
      <c r="T6337" s="36">
        <v>59.28</v>
      </c>
      <c r="U6337" s="34"/>
      <c r="V6337" s="34"/>
      <c r="W6337" s="34" t="s">
        <v>40</v>
      </c>
      <c r="X6337" s="37">
        <v>6.6000000000000003E-2</v>
      </c>
      <c r="Y6337" s="38">
        <v>1E-4</v>
      </c>
      <c r="Z6337" s="21">
        <v>4601004147751</v>
      </c>
    </row>
    <row r="6338" spans="1:26" ht="12" customHeight="1" outlineLevel="3" x14ac:dyDescent="0.2">
      <c r="A6338" s="32" t="s">
        <v>12229</v>
      </c>
      <c r="B6338" s="74" t="s">
        <v>12230</v>
      </c>
      <c r="C6338" s="50"/>
      <c r="D6338" s="53">
        <f t="shared" si="98"/>
        <v>0</v>
      </c>
      <c r="E6338" s="60" t="str">
        <f>HYPERLINK("https://www.sds-group.ru/product/zadvizhka-nakladnaya-shp-60-tsink-chetyre-sezona-79-1090/", "Инфо")</f>
        <v>Инфо</v>
      </c>
      <c r="F6338" s="34" t="s">
        <v>39</v>
      </c>
      <c r="G6338" s="33"/>
      <c r="H6338" s="33" t="s">
        <v>40</v>
      </c>
      <c r="I6338" s="33"/>
      <c r="J6338" s="35">
        <v>258</v>
      </c>
      <c r="K6338" s="33"/>
      <c r="L6338" s="35">
        <v>1</v>
      </c>
      <c r="M6338" s="35">
        <v>100</v>
      </c>
      <c r="N6338" s="35">
        <v>1</v>
      </c>
      <c r="O6338" s="36">
        <v>114.96</v>
      </c>
      <c r="P6338" s="36">
        <v>94.23</v>
      </c>
      <c r="Q6338" s="36">
        <v>106.91</v>
      </c>
      <c r="R6338" s="36">
        <v>87.63</v>
      </c>
      <c r="S6338" s="36">
        <v>78.17</v>
      </c>
      <c r="T6338" s="36">
        <v>64.069999999999993</v>
      </c>
      <c r="U6338" s="34"/>
      <c r="V6338" s="34"/>
      <c r="W6338" s="34" t="s">
        <v>40</v>
      </c>
      <c r="X6338" s="37">
        <v>6.6000000000000003E-2</v>
      </c>
      <c r="Y6338" s="38">
        <v>1.8000000000000001E-4</v>
      </c>
      <c r="Z6338" s="21">
        <v>4601004147744</v>
      </c>
    </row>
    <row r="6339" spans="1:26" ht="12" customHeight="1" outlineLevel="3" x14ac:dyDescent="0.2">
      <c r="A6339" s="32" t="s">
        <v>12231</v>
      </c>
      <c r="B6339" s="74" t="s">
        <v>12232</v>
      </c>
      <c r="C6339" s="50"/>
      <c r="D6339" s="53">
        <f t="shared" si="98"/>
        <v>0</v>
      </c>
      <c r="E6339" s="60" t="str">
        <f>HYPERLINK("https://www.sds-group.ru/product/nakladka-dlya-zamka-18h50-tsink-chetyre-sezona-79-1003/", "Инфо")</f>
        <v>Инфо</v>
      </c>
      <c r="F6339" s="34" t="s">
        <v>39</v>
      </c>
      <c r="G6339" s="33"/>
      <c r="H6339" s="33" t="s">
        <v>40</v>
      </c>
      <c r="I6339" s="33"/>
      <c r="J6339" s="35">
        <v>483</v>
      </c>
      <c r="K6339" s="33"/>
      <c r="L6339" s="35">
        <v>1</v>
      </c>
      <c r="M6339" s="35">
        <v>500</v>
      </c>
      <c r="N6339" s="35">
        <v>1</v>
      </c>
      <c r="O6339" s="36">
        <v>34.200000000000003</v>
      </c>
      <c r="P6339" s="36">
        <v>28.03</v>
      </c>
      <c r="Q6339" s="36">
        <v>31.81</v>
      </c>
      <c r="R6339" s="36">
        <v>26.07</v>
      </c>
      <c r="S6339" s="36">
        <v>23.26</v>
      </c>
      <c r="T6339" s="36">
        <v>19.07</v>
      </c>
      <c r="U6339" s="34"/>
      <c r="V6339" s="34"/>
      <c r="W6339" s="34" t="s">
        <v>40</v>
      </c>
      <c r="X6339" s="37">
        <v>1.4E-2</v>
      </c>
      <c r="Y6339" s="38">
        <v>9.0000000000000006E-5</v>
      </c>
      <c r="Z6339" s="21">
        <v>4601004125179</v>
      </c>
    </row>
    <row r="6340" spans="1:26" ht="12" customHeight="1" outlineLevel="3" x14ac:dyDescent="0.2">
      <c r="A6340" s="32" t="s">
        <v>12233</v>
      </c>
      <c r="B6340" s="74" t="s">
        <v>12234</v>
      </c>
      <c r="C6340" s="50"/>
      <c r="D6340" s="53">
        <f t="shared" si="98"/>
        <v>0</v>
      </c>
      <c r="E6340" s="60" t="str">
        <f>HYPERLINK("https://www.sds-group.ru/product/nakladka-dlya-zamka-30h70-tsink-chetyre-sezona-79-1007/", "Инфо")</f>
        <v>Инфо</v>
      </c>
      <c r="F6340" s="34" t="s">
        <v>39</v>
      </c>
      <c r="G6340" s="33"/>
      <c r="H6340" s="33" t="s">
        <v>40</v>
      </c>
      <c r="I6340" s="33"/>
      <c r="J6340" s="35">
        <v>146</v>
      </c>
      <c r="K6340" s="33"/>
      <c r="L6340" s="35">
        <v>1</v>
      </c>
      <c r="M6340" s="35">
        <v>600</v>
      </c>
      <c r="N6340" s="35">
        <v>1</v>
      </c>
      <c r="O6340" s="36">
        <v>36.25</v>
      </c>
      <c r="P6340" s="36">
        <v>29.71</v>
      </c>
      <c r="Q6340" s="36">
        <v>33.71</v>
      </c>
      <c r="R6340" s="36">
        <v>27.63</v>
      </c>
      <c r="S6340" s="36">
        <v>24.65</v>
      </c>
      <c r="T6340" s="36">
        <v>20.2</v>
      </c>
      <c r="U6340" s="34"/>
      <c r="V6340" s="34"/>
      <c r="W6340" s="34" t="s">
        <v>40</v>
      </c>
      <c r="X6340" s="37">
        <v>2.9000000000000001E-2</v>
      </c>
      <c r="Y6340" s="38">
        <v>4.8999999999999998E-5</v>
      </c>
      <c r="Z6340" s="21">
        <v>4601004125216</v>
      </c>
    </row>
    <row r="6341" spans="1:26" ht="12" customHeight="1" outlineLevel="3" x14ac:dyDescent="0.2">
      <c r="A6341" s="32" t="s">
        <v>12235</v>
      </c>
      <c r="B6341" s="74" t="s">
        <v>12236</v>
      </c>
      <c r="C6341" s="50"/>
      <c r="D6341" s="53">
        <f t="shared" si="98"/>
        <v>0</v>
      </c>
      <c r="E6341" s="60" t="str">
        <f>HYPERLINK("https://www.sds-group.ru/product/nakladka-dlya-zamka-40h90-gnutaya-chetyre-sezona-79-1009/", "Инфо")</f>
        <v>Инфо</v>
      </c>
      <c r="F6341" s="34" t="s">
        <v>39</v>
      </c>
      <c r="G6341" s="33"/>
      <c r="H6341" s="33" t="s">
        <v>40</v>
      </c>
      <c r="I6341" s="33"/>
      <c r="J6341" s="35">
        <v>98</v>
      </c>
      <c r="K6341" s="33"/>
      <c r="L6341" s="35">
        <v>1</v>
      </c>
      <c r="M6341" s="35">
        <v>150</v>
      </c>
      <c r="N6341" s="35">
        <v>1</v>
      </c>
      <c r="O6341" s="36">
        <v>57.02</v>
      </c>
      <c r="P6341" s="36">
        <v>46.74</v>
      </c>
      <c r="Q6341" s="36">
        <v>53.03</v>
      </c>
      <c r="R6341" s="36">
        <v>43.47</v>
      </c>
      <c r="S6341" s="36">
        <v>38.770000000000003</v>
      </c>
      <c r="T6341" s="36">
        <v>31.78</v>
      </c>
      <c r="U6341" s="34"/>
      <c r="V6341" s="34"/>
      <c r="W6341" s="34" t="s">
        <v>40</v>
      </c>
      <c r="X6341" s="37">
        <v>7.2999999999999995E-2</v>
      </c>
      <c r="Y6341" s="38">
        <v>1.8000000000000001E-4</v>
      </c>
      <c r="Z6341" s="21">
        <v>4601004125230</v>
      </c>
    </row>
    <row r="6342" spans="1:26" ht="12" customHeight="1" outlineLevel="3" x14ac:dyDescent="0.2">
      <c r="A6342" s="32" t="s">
        <v>12237</v>
      </c>
      <c r="B6342" s="74" t="s">
        <v>12238</v>
      </c>
      <c r="C6342" s="50"/>
      <c r="D6342" s="53">
        <f t="shared" si="98"/>
        <v>0</v>
      </c>
      <c r="E6342" s="60" t="str">
        <f>HYPERLINK("https://www.sds-group.ru/product/nakladka-dlya-zamka-40h90-tsink-gnutaya-chetyre-sezona-79-1010/", "Инфо")</f>
        <v>Инфо</v>
      </c>
      <c r="F6342" s="34" t="s">
        <v>39</v>
      </c>
      <c r="G6342" s="33"/>
      <c r="H6342" s="33" t="s">
        <v>40</v>
      </c>
      <c r="I6342" s="33"/>
      <c r="J6342" s="35">
        <v>3</v>
      </c>
      <c r="K6342" s="33"/>
      <c r="L6342" s="35">
        <v>1</v>
      </c>
      <c r="M6342" s="35">
        <v>150</v>
      </c>
      <c r="N6342" s="35">
        <v>1</v>
      </c>
      <c r="O6342" s="36">
        <v>74.36</v>
      </c>
      <c r="P6342" s="36">
        <v>60.95</v>
      </c>
      <c r="Q6342" s="36">
        <v>69.150000000000006</v>
      </c>
      <c r="R6342" s="36">
        <v>56.68</v>
      </c>
      <c r="S6342" s="36">
        <v>50.56</v>
      </c>
      <c r="T6342" s="36">
        <v>41.44</v>
      </c>
      <c r="U6342" s="34"/>
      <c r="V6342" s="34"/>
      <c r="W6342" s="34" t="s">
        <v>40</v>
      </c>
      <c r="X6342" s="37">
        <v>6.7000000000000004E-2</v>
      </c>
      <c r="Y6342" s="38">
        <v>4.0400000000000001E-4</v>
      </c>
      <c r="Z6342" s="21">
        <v>4601004125247</v>
      </c>
    </row>
    <row r="6343" spans="1:26" ht="12.95" customHeight="1" outlineLevel="1" x14ac:dyDescent="0.2">
      <c r="A6343" s="78" t="s">
        <v>12239</v>
      </c>
      <c r="B6343" s="78"/>
      <c r="C6343" s="79"/>
      <c r="D6343" s="57"/>
      <c r="E6343" s="67"/>
      <c r="F6343" s="12"/>
      <c r="G6343" s="12"/>
      <c r="H6343" s="12"/>
      <c r="I6343" s="12"/>
      <c r="J6343" s="12"/>
      <c r="K6343" s="12"/>
      <c r="L6343" s="12"/>
      <c r="M6343" s="12"/>
      <c r="N6343" s="12"/>
      <c r="O6343" s="12"/>
      <c r="P6343" s="12"/>
      <c r="Q6343" s="12"/>
      <c r="R6343" s="12"/>
      <c r="S6343" s="12"/>
      <c r="T6343" s="12"/>
      <c r="U6343" s="12"/>
      <c r="V6343" s="12"/>
      <c r="W6343" s="12"/>
      <c r="X6343" s="12"/>
      <c r="Y6343" s="12"/>
      <c r="Z6343" s="12"/>
    </row>
    <row r="6344" spans="1:26" ht="12.95" customHeight="1" outlineLevel="2" x14ac:dyDescent="0.2">
      <c r="A6344" s="76" t="s">
        <v>12240</v>
      </c>
      <c r="B6344" s="76"/>
      <c r="C6344" s="77"/>
      <c r="D6344" s="58"/>
      <c r="E6344" s="68"/>
      <c r="F6344" s="13"/>
      <c r="G6344" s="13"/>
      <c r="H6344" s="13"/>
      <c r="I6344" s="13"/>
      <c r="J6344" s="13"/>
      <c r="K6344" s="13"/>
      <c r="L6344" s="13"/>
      <c r="M6344" s="13"/>
      <c r="N6344" s="13"/>
      <c r="O6344" s="13"/>
      <c r="P6344" s="13"/>
      <c r="Q6344" s="13"/>
      <c r="R6344" s="13"/>
      <c r="S6344" s="13"/>
      <c r="T6344" s="13"/>
      <c r="U6344" s="13"/>
      <c r="V6344" s="13"/>
      <c r="W6344" s="13"/>
      <c r="X6344" s="13"/>
      <c r="Y6344" s="13"/>
      <c r="Z6344" s="13"/>
    </row>
    <row r="6345" spans="1:26" ht="12" customHeight="1" outlineLevel="3" x14ac:dyDescent="0.2">
      <c r="A6345" s="14" t="s">
        <v>12241</v>
      </c>
      <c r="B6345" s="26" t="s">
        <v>12242</v>
      </c>
      <c r="C6345" s="52"/>
      <c r="D6345" s="55">
        <f t="shared" ref="D6345:D6408" si="99">C6345*(O6345-O6345*$G$3)</f>
        <v>0</v>
      </c>
      <c r="E6345" s="63" t="str">
        <f>HYPERLINK("https://www.sds-group.ru/product/nabor-boltov-gaek-i-shayb-450-sht-up-kranz-KR-01-3101-18/", "Инфо")</f>
        <v>Инфо</v>
      </c>
      <c r="F6345" s="16" t="s">
        <v>4698</v>
      </c>
      <c r="G6345" s="15"/>
      <c r="H6345" s="15"/>
      <c r="I6345" s="15"/>
      <c r="J6345" s="17">
        <v>211</v>
      </c>
      <c r="K6345" s="15" t="s">
        <v>4013</v>
      </c>
      <c r="L6345" s="17">
        <v>1</v>
      </c>
      <c r="M6345" s="17">
        <v>12</v>
      </c>
      <c r="N6345" s="17">
        <v>1</v>
      </c>
      <c r="O6345" s="18">
        <v>1708.52</v>
      </c>
      <c r="P6345" s="18">
        <v>1400.43</v>
      </c>
      <c r="Q6345" s="18">
        <v>1195.96</v>
      </c>
      <c r="R6345" s="18">
        <v>980.3</v>
      </c>
      <c r="S6345" s="18">
        <v>1161.79</v>
      </c>
      <c r="T6345" s="18">
        <v>952.29</v>
      </c>
      <c r="U6345" s="16"/>
      <c r="V6345" s="16"/>
      <c r="W6345" s="16"/>
      <c r="X6345" s="19">
        <v>1.8280000000000001</v>
      </c>
      <c r="Y6345" s="20">
        <v>2.3149999999999998E-3</v>
      </c>
      <c r="Z6345" s="21">
        <v>4601004283732</v>
      </c>
    </row>
    <row r="6346" spans="1:26" ht="12" customHeight="1" outlineLevel="3" x14ac:dyDescent="0.2">
      <c r="A6346" s="14" t="s">
        <v>12243</v>
      </c>
      <c r="B6346" s="26" t="s">
        <v>12244</v>
      </c>
      <c r="C6346" s="52"/>
      <c r="D6346" s="55">
        <f t="shared" si="99"/>
        <v>0</v>
      </c>
      <c r="E6346" s="63" t="str">
        <f>HYPERLINK("https://www.sds-group.ru/product/nabor-bystrosemnyh-stopornyh-kolets-1-5-22mm-300-sht-up-kranz-KR-01-3101-13/", "Инфо")</f>
        <v>Инфо</v>
      </c>
      <c r="F6346" s="16" t="s">
        <v>4698</v>
      </c>
      <c r="G6346" s="15"/>
      <c r="H6346" s="15"/>
      <c r="I6346" s="15"/>
      <c r="J6346" s="16" t="s">
        <v>100</v>
      </c>
      <c r="K6346" s="15" t="s">
        <v>4013</v>
      </c>
      <c r="L6346" s="17">
        <v>1</v>
      </c>
      <c r="M6346" s="17">
        <v>24</v>
      </c>
      <c r="N6346" s="17">
        <v>1</v>
      </c>
      <c r="O6346" s="18">
        <v>656.01</v>
      </c>
      <c r="P6346" s="18">
        <v>537.71</v>
      </c>
      <c r="Q6346" s="18">
        <v>459.21</v>
      </c>
      <c r="R6346" s="18">
        <v>376.4</v>
      </c>
      <c r="S6346" s="18">
        <v>446.09</v>
      </c>
      <c r="T6346" s="18">
        <v>365.65</v>
      </c>
      <c r="U6346" s="16"/>
      <c r="V6346" s="16"/>
      <c r="W6346" s="16"/>
      <c r="X6346" s="19">
        <v>0.48199999999999998</v>
      </c>
      <c r="Y6346" s="20">
        <v>9.8799999999999995E-4</v>
      </c>
      <c r="Z6346" s="21">
        <v>4601004283763</v>
      </c>
    </row>
    <row r="6347" spans="1:26" ht="12" customHeight="1" outlineLevel="3" x14ac:dyDescent="0.2">
      <c r="A6347" s="14" t="s">
        <v>12245</v>
      </c>
      <c r="B6347" s="26" t="s">
        <v>12246</v>
      </c>
      <c r="C6347" s="52"/>
      <c r="D6347" s="55">
        <f t="shared" si="99"/>
        <v>0</v>
      </c>
      <c r="E6347" s="63" t="str">
        <f>HYPERLINK("https://www.sds-group.ru/product/nabor-vytyazhnyh-zaklepok-320-sht-up-kranz-KR-01-3101-19/", "Инфо")</f>
        <v>Инфо</v>
      </c>
      <c r="F6347" s="16" t="s">
        <v>4698</v>
      </c>
      <c r="G6347" s="15"/>
      <c r="H6347" s="15"/>
      <c r="I6347" s="15"/>
      <c r="J6347" s="22">
        <v>2473</v>
      </c>
      <c r="K6347" s="15" t="s">
        <v>1580</v>
      </c>
      <c r="L6347" s="17">
        <v>1</v>
      </c>
      <c r="M6347" s="17">
        <v>24</v>
      </c>
      <c r="N6347" s="17">
        <v>1</v>
      </c>
      <c r="O6347" s="18">
        <v>964.6</v>
      </c>
      <c r="P6347" s="18">
        <v>790.66</v>
      </c>
      <c r="Q6347" s="18">
        <v>675.22</v>
      </c>
      <c r="R6347" s="18">
        <v>553.46</v>
      </c>
      <c r="S6347" s="18">
        <v>655.93</v>
      </c>
      <c r="T6347" s="18">
        <v>537.65</v>
      </c>
      <c r="U6347" s="16"/>
      <c r="V6347" s="16"/>
      <c r="W6347" s="16"/>
      <c r="X6347" s="19">
        <v>0.38600000000000001</v>
      </c>
      <c r="Y6347" s="20">
        <v>1.0009999999999999E-3</v>
      </c>
      <c r="Z6347" s="21">
        <v>4601004283718</v>
      </c>
    </row>
    <row r="6348" spans="1:26" ht="12" customHeight="1" outlineLevel="3" x14ac:dyDescent="0.2">
      <c r="A6348" s="14" t="s">
        <v>12247</v>
      </c>
      <c r="B6348" s="26" t="s">
        <v>12248</v>
      </c>
      <c r="C6348" s="52"/>
      <c r="D6348" s="55">
        <f t="shared" si="99"/>
        <v>0</v>
      </c>
      <c r="E6348" s="63" t="str">
        <f>HYPERLINK("https://www.sds-group.ru/product/nabor-gvozdey-1260-sht-up-kranz-KR-01-3101-12/", "Инфо")</f>
        <v>Инфо</v>
      </c>
      <c r="F6348" s="16" t="s">
        <v>1001</v>
      </c>
      <c r="G6348" s="15"/>
      <c r="H6348" s="15"/>
      <c r="I6348" s="15"/>
      <c r="J6348" s="22">
        <v>1574</v>
      </c>
      <c r="K6348" s="15" t="s">
        <v>4013</v>
      </c>
      <c r="L6348" s="17">
        <v>1</v>
      </c>
      <c r="M6348" s="17">
        <v>24</v>
      </c>
      <c r="N6348" s="17">
        <v>1</v>
      </c>
      <c r="O6348" s="18">
        <v>822.56</v>
      </c>
      <c r="P6348" s="18">
        <v>674.23</v>
      </c>
      <c r="Q6348" s="18">
        <v>575.79</v>
      </c>
      <c r="R6348" s="18">
        <v>471.96</v>
      </c>
      <c r="S6348" s="18">
        <v>559.34</v>
      </c>
      <c r="T6348" s="18">
        <v>458.48</v>
      </c>
      <c r="U6348" s="16"/>
      <c r="V6348" s="16"/>
      <c r="W6348" s="16"/>
      <c r="X6348" s="19">
        <v>0.63800000000000001</v>
      </c>
      <c r="Y6348" s="20">
        <v>1.219E-3</v>
      </c>
      <c r="Z6348" s="21">
        <v>4601004171916</v>
      </c>
    </row>
    <row r="6349" spans="1:26" ht="12" customHeight="1" outlineLevel="3" x14ac:dyDescent="0.2">
      <c r="A6349" s="14" t="s">
        <v>12249</v>
      </c>
      <c r="B6349" s="26" t="s">
        <v>12250</v>
      </c>
      <c r="C6349" s="52"/>
      <c r="D6349" s="55">
        <f t="shared" si="99"/>
        <v>0</v>
      </c>
      <c r="E6349" s="63" t="str">
        <f>HYPERLINK("https://www.sds-group.ru/product/nabor-igolchatyh-pruzhinnyh-shplintov-150-sht-up-kranz-KR-01-3101-15/", "Инфо")</f>
        <v>Инфо</v>
      </c>
      <c r="F6349" s="16" t="s">
        <v>4698</v>
      </c>
      <c r="G6349" s="15"/>
      <c r="H6349" s="15"/>
      <c r="I6349" s="15"/>
      <c r="J6349" s="17">
        <v>494</v>
      </c>
      <c r="K6349" s="15" t="s">
        <v>4013</v>
      </c>
      <c r="L6349" s="17">
        <v>1</v>
      </c>
      <c r="M6349" s="17">
        <v>24</v>
      </c>
      <c r="N6349" s="17">
        <v>1</v>
      </c>
      <c r="O6349" s="18">
        <v>680.59</v>
      </c>
      <c r="P6349" s="18">
        <v>557.86</v>
      </c>
      <c r="Q6349" s="18">
        <v>476.41</v>
      </c>
      <c r="R6349" s="18">
        <v>390.5</v>
      </c>
      <c r="S6349" s="18">
        <v>462.8</v>
      </c>
      <c r="T6349" s="18">
        <v>379.34</v>
      </c>
      <c r="U6349" s="16"/>
      <c r="V6349" s="16"/>
      <c r="W6349" s="16"/>
      <c r="X6349" s="19">
        <v>0.59</v>
      </c>
      <c r="Y6349" s="20">
        <v>9.7999999999999997E-4</v>
      </c>
      <c r="Z6349" s="21">
        <v>4601004283756</v>
      </c>
    </row>
    <row r="6350" spans="1:26" ht="12" customHeight="1" outlineLevel="3" x14ac:dyDescent="0.2">
      <c r="A6350" s="32" t="s">
        <v>12251</v>
      </c>
      <c r="B6350" s="74" t="s">
        <v>12252</v>
      </c>
      <c r="C6350" s="50"/>
      <c r="D6350" s="53">
        <f t="shared" si="99"/>
        <v>0</v>
      </c>
      <c r="E6350" s="60" t="str">
        <f>HYPERLINK("https://www.sds-group.ru/product/nabor-kartinnogo-krepezha-116-sht-up-kranz-KR-01-3101-04/", "Инфо")</f>
        <v>Инфо</v>
      </c>
      <c r="F6350" s="34" t="s">
        <v>1001</v>
      </c>
      <c r="G6350" s="33"/>
      <c r="H6350" s="33" t="s">
        <v>40</v>
      </c>
      <c r="I6350" s="33"/>
      <c r="J6350" s="35">
        <v>38</v>
      </c>
      <c r="K6350" s="33"/>
      <c r="L6350" s="35">
        <v>1</v>
      </c>
      <c r="M6350" s="35">
        <v>32</v>
      </c>
      <c r="N6350" s="35">
        <v>1</v>
      </c>
      <c r="O6350" s="36">
        <v>587.97</v>
      </c>
      <c r="P6350" s="36">
        <v>481.94</v>
      </c>
      <c r="Q6350" s="36">
        <v>411.58</v>
      </c>
      <c r="R6350" s="36">
        <v>337.36</v>
      </c>
      <c r="S6350" s="36">
        <v>399.82</v>
      </c>
      <c r="T6350" s="36">
        <v>327.72</v>
      </c>
      <c r="U6350" s="34"/>
      <c r="V6350" s="34"/>
      <c r="W6350" s="34"/>
      <c r="X6350" s="37">
        <v>0.26</v>
      </c>
      <c r="Y6350" s="38">
        <v>9.9599999999999992E-4</v>
      </c>
      <c r="Z6350" s="21">
        <v>4601004171893</v>
      </c>
    </row>
    <row r="6351" spans="1:26" ht="12" customHeight="1" outlineLevel="3" x14ac:dyDescent="0.2">
      <c r="A6351" s="14" t="s">
        <v>12253</v>
      </c>
      <c r="B6351" s="26" t="s">
        <v>12254</v>
      </c>
      <c r="C6351" s="52"/>
      <c r="D6351" s="55">
        <f t="shared" si="99"/>
        <v>0</v>
      </c>
      <c r="E6351" s="63" t="str">
        <f>HYPERLINK("https://www.sds-group.ru/product/nabor-naruzhnyh-stopornyh-kolets-3-32mm-300-sht-up-kranz-KR-01-3101-14/", "Инфо")</f>
        <v>Инфо</v>
      </c>
      <c r="F6351" s="16" t="s">
        <v>4698</v>
      </c>
      <c r="G6351" s="15"/>
      <c r="H6351" s="15"/>
      <c r="I6351" s="15"/>
      <c r="J6351" s="22">
        <v>1691</v>
      </c>
      <c r="K6351" s="15" t="s">
        <v>1580</v>
      </c>
      <c r="L6351" s="17">
        <v>1</v>
      </c>
      <c r="M6351" s="17">
        <v>24</v>
      </c>
      <c r="N6351" s="17">
        <v>1</v>
      </c>
      <c r="O6351" s="18">
        <v>947.28</v>
      </c>
      <c r="P6351" s="18">
        <v>776.46</v>
      </c>
      <c r="Q6351" s="18">
        <v>663.1</v>
      </c>
      <c r="R6351" s="18">
        <v>543.52</v>
      </c>
      <c r="S6351" s="18">
        <v>644.15</v>
      </c>
      <c r="T6351" s="18">
        <v>527.99</v>
      </c>
      <c r="U6351" s="16"/>
      <c r="V6351" s="16"/>
      <c r="W6351" s="16"/>
      <c r="X6351" s="19">
        <v>0.35299999999999998</v>
      </c>
      <c r="Y6351" s="20">
        <v>9.8999999999999999E-4</v>
      </c>
      <c r="Z6351" s="21">
        <v>4601004283701</v>
      </c>
    </row>
    <row r="6352" spans="1:26" ht="12" customHeight="1" outlineLevel="3" x14ac:dyDescent="0.2">
      <c r="A6352" s="32" t="s">
        <v>12255</v>
      </c>
      <c r="B6352" s="74" t="s">
        <v>12256</v>
      </c>
      <c r="C6352" s="50"/>
      <c r="D6352" s="53">
        <f t="shared" si="99"/>
        <v>0</v>
      </c>
      <c r="E6352" s="60" t="str">
        <f>HYPERLINK("https://www.sds-group.ru/product/nabor-ploskih-i-grovernyh-shayb-200-sht-up-kranz-KR-01-3101-21/", "Инфо")</f>
        <v>Инфо</v>
      </c>
      <c r="F6352" s="34" t="s">
        <v>4698</v>
      </c>
      <c r="G6352" s="33"/>
      <c r="H6352" s="33" t="s">
        <v>40</v>
      </c>
      <c r="I6352" s="33"/>
      <c r="J6352" s="35">
        <v>351</v>
      </c>
      <c r="K6352" s="33"/>
      <c r="L6352" s="35">
        <v>1</v>
      </c>
      <c r="M6352" s="35">
        <v>60</v>
      </c>
      <c r="N6352" s="35">
        <v>1</v>
      </c>
      <c r="O6352" s="36">
        <v>446.13</v>
      </c>
      <c r="P6352" s="36">
        <v>365.68</v>
      </c>
      <c r="Q6352" s="36">
        <v>312.29000000000002</v>
      </c>
      <c r="R6352" s="36">
        <v>255.98</v>
      </c>
      <c r="S6352" s="36">
        <v>303.37</v>
      </c>
      <c r="T6352" s="36">
        <v>248.66</v>
      </c>
      <c r="U6352" s="34"/>
      <c r="V6352" s="34"/>
      <c r="W6352" s="34"/>
      <c r="X6352" s="37">
        <v>0.21</v>
      </c>
      <c r="Y6352" s="38">
        <v>4.5600000000000003E-4</v>
      </c>
      <c r="Z6352" s="21">
        <v>4601004294622</v>
      </c>
    </row>
    <row r="6353" spans="1:26" ht="12" customHeight="1" outlineLevel="3" x14ac:dyDescent="0.2">
      <c r="A6353" s="14" t="s">
        <v>12257</v>
      </c>
      <c r="B6353" s="26" t="s">
        <v>12258</v>
      </c>
      <c r="C6353" s="52"/>
      <c r="D6353" s="55">
        <f t="shared" si="99"/>
        <v>0</v>
      </c>
      <c r="E6353" s="63" t="str">
        <f>HYPERLINK("https://www.sds-group.ru/product/nabor-pruzhin-200-sht-up-kranz-KR-01-3101-20/", "Инфо")</f>
        <v>Инфо</v>
      </c>
      <c r="F6353" s="16" t="s">
        <v>4698</v>
      </c>
      <c r="G6353" s="15"/>
      <c r="H6353" s="15"/>
      <c r="I6353" s="15"/>
      <c r="J6353" s="16" t="s">
        <v>100</v>
      </c>
      <c r="K6353" s="15" t="s">
        <v>1580</v>
      </c>
      <c r="L6353" s="17">
        <v>1</v>
      </c>
      <c r="M6353" s="17">
        <v>24</v>
      </c>
      <c r="N6353" s="17">
        <v>1</v>
      </c>
      <c r="O6353" s="18">
        <v>683.32</v>
      </c>
      <c r="P6353" s="18">
        <v>560.1</v>
      </c>
      <c r="Q6353" s="18">
        <v>478.32</v>
      </c>
      <c r="R6353" s="18">
        <v>392.07</v>
      </c>
      <c r="S6353" s="18">
        <v>464.66</v>
      </c>
      <c r="T6353" s="18">
        <v>380.87</v>
      </c>
      <c r="U6353" s="16"/>
      <c r="V6353" s="16"/>
      <c r="W6353" s="16"/>
      <c r="X6353" s="19">
        <v>0.33100000000000002</v>
      </c>
      <c r="Y6353" s="20">
        <v>9.7900000000000005E-4</v>
      </c>
      <c r="Z6353" s="21">
        <v>4601004294615</v>
      </c>
    </row>
    <row r="6354" spans="1:26" ht="12" customHeight="1" outlineLevel="3" x14ac:dyDescent="0.2">
      <c r="A6354" s="14" t="s">
        <v>12259</v>
      </c>
      <c r="B6354" s="26" t="s">
        <v>12260</v>
      </c>
      <c r="C6354" s="52"/>
      <c r="D6354" s="55">
        <f t="shared" si="99"/>
        <v>0</v>
      </c>
      <c r="E6354" s="63" t="str">
        <f>HYPERLINK("https://www.sds-group.ru/product/nabor-pryamyh-shplintov-555-sht-up-kranz-KR-01-3101-16/", "Инфо")</f>
        <v>Инфо</v>
      </c>
      <c r="F6354" s="16" t="s">
        <v>4698</v>
      </c>
      <c r="G6354" s="15"/>
      <c r="H6354" s="15"/>
      <c r="I6354" s="15"/>
      <c r="J6354" s="22">
        <v>1420</v>
      </c>
      <c r="K6354" s="15" t="s">
        <v>1580</v>
      </c>
      <c r="L6354" s="17">
        <v>1</v>
      </c>
      <c r="M6354" s="17">
        <v>24</v>
      </c>
      <c r="N6354" s="17">
        <v>1</v>
      </c>
      <c r="O6354" s="18">
        <v>706.03</v>
      </c>
      <c r="P6354" s="18">
        <v>578.71</v>
      </c>
      <c r="Q6354" s="18">
        <v>494.22</v>
      </c>
      <c r="R6354" s="18">
        <v>405.1</v>
      </c>
      <c r="S6354" s="18">
        <v>480.1</v>
      </c>
      <c r="T6354" s="18">
        <v>393.52</v>
      </c>
      <c r="U6354" s="16"/>
      <c r="V6354" s="16"/>
      <c r="W6354" s="16"/>
      <c r="X6354" s="19">
        <v>0.59299999999999997</v>
      </c>
      <c r="Y6354" s="20">
        <v>1.011E-3</v>
      </c>
      <c r="Z6354" s="21">
        <v>4601004283749</v>
      </c>
    </row>
    <row r="6355" spans="1:26" ht="12" customHeight="1" outlineLevel="3" x14ac:dyDescent="0.2">
      <c r="A6355" s="32" t="s">
        <v>12261</v>
      </c>
      <c r="B6355" s="74" t="s">
        <v>12262</v>
      </c>
      <c r="C6355" s="50"/>
      <c r="D6355" s="53">
        <f t="shared" si="99"/>
        <v>0</v>
      </c>
      <c r="E6355" s="60" t="str">
        <f>HYPERLINK("https://www.sds-group.ru/product/nabor-rezinovyh-uplotnitelnyh-kolets-3-22mm-225-sht-up-kranz-KR-01-3101-17/", "Инфо")</f>
        <v>Инфо</v>
      </c>
      <c r="F6355" s="34" t="s">
        <v>4698</v>
      </c>
      <c r="G6355" s="33"/>
      <c r="H6355" s="33" t="s">
        <v>40</v>
      </c>
      <c r="I6355" s="33"/>
      <c r="J6355" s="34" t="s">
        <v>100</v>
      </c>
      <c r="K6355" s="33"/>
      <c r="L6355" s="35">
        <v>1</v>
      </c>
      <c r="M6355" s="35">
        <v>24</v>
      </c>
      <c r="N6355" s="35">
        <v>1</v>
      </c>
      <c r="O6355" s="36">
        <v>599.99</v>
      </c>
      <c r="P6355" s="36">
        <v>491.8</v>
      </c>
      <c r="Q6355" s="36">
        <v>419.99</v>
      </c>
      <c r="R6355" s="36">
        <v>344.25</v>
      </c>
      <c r="S6355" s="36">
        <v>407.99</v>
      </c>
      <c r="T6355" s="36">
        <v>334.42</v>
      </c>
      <c r="U6355" s="34"/>
      <c r="V6355" s="34"/>
      <c r="W6355" s="34"/>
      <c r="X6355" s="37">
        <v>0.13900000000000001</v>
      </c>
      <c r="Y6355" s="38">
        <v>9.9299999999999996E-4</v>
      </c>
      <c r="Z6355" s="21">
        <v>4601004283725</v>
      </c>
    </row>
    <row r="6356" spans="1:26" ht="12" customHeight="1" outlineLevel="3" x14ac:dyDescent="0.2">
      <c r="A6356" s="14" t="s">
        <v>12263</v>
      </c>
      <c r="B6356" s="26" t="s">
        <v>12264</v>
      </c>
      <c r="C6356" s="52"/>
      <c r="D6356" s="55">
        <f t="shared" si="99"/>
        <v>0</v>
      </c>
      <c r="E6356" s="63" t="str">
        <f>HYPERLINK("https://www.sds-group.ru/product/nabor-samorezov-dlya-dsp-255-sht-up-kranz-KR-01-3101-05/", "Инфо")</f>
        <v>Инфо</v>
      </c>
      <c r="F6356" s="16" t="s">
        <v>1001</v>
      </c>
      <c r="G6356" s="15"/>
      <c r="H6356" s="15"/>
      <c r="I6356" s="15"/>
      <c r="J6356" s="17">
        <v>324</v>
      </c>
      <c r="K6356" s="15" t="s">
        <v>4013</v>
      </c>
      <c r="L6356" s="17">
        <v>1</v>
      </c>
      <c r="M6356" s="17">
        <v>36</v>
      </c>
      <c r="N6356" s="17">
        <v>1</v>
      </c>
      <c r="O6356" s="18">
        <v>548.29999999999995</v>
      </c>
      <c r="P6356" s="18">
        <v>449.43</v>
      </c>
      <c r="Q6356" s="18">
        <v>383.81</v>
      </c>
      <c r="R6356" s="18">
        <v>314.60000000000002</v>
      </c>
      <c r="S6356" s="18">
        <v>372.84</v>
      </c>
      <c r="T6356" s="18">
        <v>305.61</v>
      </c>
      <c r="U6356" s="16"/>
      <c r="V6356" s="16"/>
      <c r="W6356" s="16"/>
      <c r="X6356" s="19">
        <v>0.40400000000000003</v>
      </c>
      <c r="Y6356" s="20">
        <v>1.057E-3</v>
      </c>
      <c r="Z6356" s="21">
        <v>4601004171831</v>
      </c>
    </row>
    <row r="6357" spans="1:26" ht="12" customHeight="1" outlineLevel="3" x14ac:dyDescent="0.2">
      <c r="A6357" s="14" t="s">
        <v>12265</v>
      </c>
      <c r="B6357" s="26" t="s">
        <v>12266</v>
      </c>
      <c r="C6357" s="52"/>
      <c r="D6357" s="55">
        <f t="shared" si="99"/>
        <v>0</v>
      </c>
      <c r="E6357" s="63" t="str">
        <f>HYPERLINK("https://www.sds-group.ru/product/nabor-samorezov-dlya-dsp-510-sht-up-kranz-KR-01-3101-02/", "Инфо")</f>
        <v>Инфо</v>
      </c>
      <c r="F6357" s="16" t="s">
        <v>1001</v>
      </c>
      <c r="G6357" s="15"/>
      <c r="H6357" s="15"/>
      <c r="I6357" s="15"/>
      <c r="J6357" s="22">
        <v>1056</v>
      </c>
      <c r="K6357" s="15"/>
      <c r="L6357" s="17">
        <v>1</v>
      </c>
      <c r="M6357" s="17">
        <v>20</v>
      </c>
      <c r="N6357" s="17">
        <v>1</v>
      </c>
      <c r="O6357" s="18">
        <v>1584.62</v>
      </c>
      <c r="P6357" s="18">
        <v>1298.8699999999999</v>
      </c>
      <c r="Q6357" s="18">
        <v>1109.23</v>
      </c>
      <c r="R6357" s="18">
        <v>909.2</v>
      </c>
      <c r="S6357" s="18">
        <v>1077.54</v>
      </c>
      <c r="T6357" s="18">
        <v>883.23</v>
      </c>
      <c r="U6357" s="16"/>
      <c r="V6357" s="16"/>
      <c r="W6357" s="16"/>
      <c r="X6357" s="19">
        <v>1.111</v>
      </c>
      <c r="Y6357" s="20">
        <v>2.6519999999999998E-3</v>
      </c>
      <c r="Z6357" s="21">
        <v>4601004171824</v>
      </c>
    </row>
    <row r="6358" spans="1:26" ht="12" customHeight="1" outlineLevel="3" x14ac:dyDescent="0.2">
      <c r="A6358" s="14" t="s">
        <v>12267</v>
      </c>
      <c r="B6358" s="26" t="s">
        <v>12268</v>
      </c>
      <c r="C6358" s="52"/>
      <c r="D6358" s="55">
        <f t="shared" si="99"/>
        <v>0</v>
      </c>
      <c r="E6358" s="63" t="str">
        <f>HYPERLINK("https://www.sds-group.ru/product/nabor-samorezov-dlya-dsp-76-sht-up-kranz-KR-01-3101-11/", "Инфо")</f>
        <v>Инфо</v>
      </c>
      <c r="F6358" s="16" t="s">
        <v>1001</v>
      </c>
      <c r="G6358" s="15"/>
      <c r="H6358" s="15"/>
      <c r="I6358" s="15"/>
      <c r="J6358" s="16" t="s">
        <v>100</v>
      </c>
      <c r="K6358" s="15" t="s">
        <v>4013</v>
      </c>
      <c r="L6358" s="17">
        <v>5</v>
      </c>
      <c r="M6358" s="17">
        <v>60</v>
      </c>
      <c r="N6358" s="17">
        <v>5</v>
      </c>
      <c r="O6358" s="18">
        <v>246.23</v>
      </c>
      <c r="P6358" s="18">
        <v>201.83</v>
      </c>
      <c r="Q6358" s="18">
        <v>172.36</v>
      </c>
      <c r="R6358" s="18">
        <v>141.28</v>
      </c>
      <c r="S6358" s="18">
        <v>167.44</v>
      </c>
      <c r="T6358" s="18">
        <v>137.25</v>
      </c>
      <c r="U6358" s="16"/>
      <c r="V6358" s="16"/>
      <c r="W6358" s="16"/>
      <c r="X6358" s="19">
        <v>0.158</v>
      </c>
      <c r="Y6358" s="20">
        <v>3.8699999999999997E-4</v>
      </c>
      <c r="Z6358" s="21">
        <v>4601004171909</v>
      </c>
    </row>
    <row r="6359" spans="1:26" ht="12" customHeight="1" outlineLevel="3" x14ac:dyDescent="0.2">
      <c r="A6359" s="14" t="s">
        <v>12269</v>
      </c>
      <c r="B6359" s="26" t="s">
        <v>12270</v>
      </c>
      <c r="C6359" s="52"/>
      <c r="D6359" s="55">
        <f t="shared" si="99"/>
        <v>0</v>
      </c>
      <c r="E6359" s="63" t="str">
        <f>HYPERLINK("https://www.sds-group.ru/product/nabor-samorezov-i-dyubeley-260-sht-up-kranz-KR-01-3101-01/", "Инфо")</f>
        <v>Инфо</v>
      </c>
      <c r="F6359" s="16" t="s">
        <v>1001</v>
      </c>
      <c r="G6359" s="15"/>
      <c r="H6359" s="15"/>
      <c r="I6359" s="15"/>
      <c r="J6359" s="16" t="s">
        <v>100</v>
      </c>
      <c r="K6359" s="15" t="s">
        <v>1131</v>
      </c>
      <c r="L6359" s="17">
        <v>1</v>
      </c>
      <c r="M6359" s="17">
        <v>20</v>
      </c>
      <c r="N6359" s="17">
        <v>1</v>
      </c>
      <c r="O6359" s="18">
        <v>1137.75</v>
      </c>
      <c r="P6359" s="18">
        <v>932.58</v>
      </c>
      <c r="Q6359" s="18">
        <v>796.43</v>
      </c>
      <c r="R6359" s="18">
        <v>652.80999999999995</v>
      </c>
      <c r="S6359" s="18">
        <v>773.67</v>
      </c>
      <c r="T6359" s="18">
        <v>634.16</v>
      </c>
      <c r="U6359" s="16"/>
      <c r="V6359" s="16"/>
      <c r="W6359" s="16"/>
      <c r="X6359" s="19">
        <v>0.89200000000000002</v>
      </c>
      <c r="Y6359" s="20">
        <v>2.6210000000000001E-3</v>
      </c>
      <c r="Z6359" s="21">
        <v>4601004171923</v>
      </c>
    </row>
    <row r="6360" spans="1:26" ht="12" customHeight="1" outlineLevel="3" x14ac:dyDescent="0.2">
      <c r="A6360" s="14" t="s">
        <v>12271</v>
      </c>
      <c r="B6360" s="26" t="s">
        <v>12272</v>
      </c>
      <c r="C6360" s="52"/>
      <c r="D6360" s="55">
        <f t="shared" si="99"/>
        <v>0</v>
      </c>
      <c r="E6360" s="63" t="str">
        <f>HYPERLINK("https://www.sds-group.ru/product/nabor-samorezov-i-dyubeley-590-sht-up-kranz-KR-01-3101-03/", "Инфо")</f>
        <v>Инфо</v>
      </c>
      <c r="F6360" s="16" t="s">
        <v>1001</v>
      </c>
      <c r="G6360" s="15"/>
      <c r="H6360" s="15"/>
      <c r="I6360" s="15"/>
      <c r="J6360" s="22">
        <v>1436</v>
      </c>
      <c r="K6360" s="15" t="s">
        <v>4013</v>
      </c>
      <c r="L6360" s="17">
        <v>1</v>
      </c>
      <c r="M6360" s="17">
        <v>20</v>
      </c>
      <c r="N6360" s="17">
        <v>1</v>
      </c>
      <c r="O6360" s="18">
        <v>1803.9</v>
      </c>
      <c r="P6360" s="18">
        <v>1478.61</v>
      </c>
      <c r="Q6360" s="18">
        <v>1262.73</v>
      </c>
      <c r="R6360" s="18">
        <v>1035.02</v>
      </c>
      <c r="S6360" s="18">
        <v>1226.6500000000001</v>
      </c>
      <c r="T6360" s="18">
        <v>1005.45</v>
      </c>
      <c r="U6360" s="16"/>
      <c r="V6360" s="16"/>
      <c r="W6360" s="16"/>
      <c r="X6360" s="19">
        <v>1.0880000000000001</v>
      </c>
      <c r="Y6360" s="20">
        <v>2.6879999999999999E-3</v>
      </c>
      <c r="Z6360" s="21">
        <v>4601004171817</v>
      </c>
    </row>
    <row r="6361" spans="1:26" ht="12" customHeight="1" outlineLevel="3" x14ac:dyDescent="0.2">
      <c r="A6361" s="14" t="s">
        <v>12273</v>
      </c>
      <c r="B6361" s="26" t="s">
        <v>12274</v>
      </c>
      <c r="C6361" s="52"/>
      <c r="D6361" s="55">
        <f t="shared" si="99"/>
        <v>0</v>
      </c>
      <c r="E6361" s="63" t="str">
        <f>HYPERLINK("https://www.sds-group.ru/product/nabor-samorezov-i-dyubeley-dlya-dsp-170-sht-up-kranz-KR-01-3101-06/", "Инфо")</f>
        <v>Инфо</v>
      </c>
      <c r="F6361" s="16" t="s">
        <v>1001</v>
      </c>
      <c r="G6361" s="15"/>
      <c r="H6361" s="15"/>
      <c r="I6361" s="15"/>
      <c r="J6361" s="22">
        <v>3163</v>
      </c>
      <c r="K6361" s="15" t="s">
        <v>1580</v>
      </c>
      <c r="L6361" s="17">
        <v>1</v>
      </c>
      <c r="M6361" s="17">
        <v>36</v>
      </c>
      <c r="N6361" s="17">
        <v>1</v>
      </c>
      <c r="O6361" s="18">
        <v>559.30999999999995</v>
      </c>
      <c r="P6361" s="18">
        <v>458.45</v>
      </c>
      <c r="Q6361" s="18">
        <v>391.52</v>
      </c>
      <c r="R6361" s="18">
        <v>320.92</v>
      </c>
      <c r="S6361" s="18">
        <v>380.33</v>
      </c>
      <c r="T6361" s="18">
        <v>311.75</v>
      </c>
      <c r="U6361" s="16"/>
      <c r="V6361" s="16"/>
      <c r="W6361" s="16"/>
      <c r="X6361" s="19">
        <v>0.376</v>
      </c>
      <c r="Y6361" s="20">
        <v>1.034E-3</v>
      </c>
      <c r="Z6361" s="21">
        <v>4601004171848</v>
      </c>
    </row>
    <row r="6362" spans="1:26" ht="12" customHeight="1" outlineLevel="3" x14ac:dyDescent="0.2">
      <c r="A6362" s="14" t="s">
        <v>12275</v>
      </c>
      <c r="B6362" s="26" t="s">
        <v>12276</v>
      </c>
      <c r="C6362" s="52"/>
      <c r="D6362" s="55">
        <f t="shared" si="99"/>
        <v>0</v>
      </c>
      <c r="E6362" s="63" t="str">
        <f>HYPERLINK("https://www.sds-group.ru/product/nabor-samorezov-po-derevu-60-sht-up-kranz-KR-01-3101-10/", "Инфо")</f>
        <v>Инфо</v>
      </c>
      <c r="F6362" s="16" t="s">
        <v>1001</v>
      </c>
      <c r="G6362" s="15"/>
      <c r="H6362" s="15"/>
      <c r="I6362" s="15"/>
      <c r="J6362" s="16" t="s">
        <v>100</v>
      </c>
      <c r="K6362" s="15" t="s">
        <v>4013</v>
      </c>
      <c r="L6362" s="17">
        <v>5</v>
      </c>
      <c r="M6362" s="17">
        <v>60</v>
      </c>
      <c r="N6362" s="17">
        <v>5</v>
      </c>
      <c r="O6362" s="18">
        <v>286.18</v>
      </c>
      <c r="P6362" s="18">
        <v>234.57</v>
      </c>
      <c r="Q6362" s="18">
        <v>200.33</v>
      </c>
      <c r="R6362" s="18">
        <v>164.2</v>
      </c>
      <c r="S6362" s="18">
        <v>194.6</v>
      </c>
      <c r="T6362" s="18">
        <v>159.51</v>
      </c>
      <c r="U6362" s="16"/>
      <c r="V6362" s="16"/>
      <c r="W6362" s="16"/>
      <c r="X6362" s="19">
        <v>0.155</v>
      </c>
      <c r="Y6362" s="20">
        <v>3.7399999999999998E-4</v>
      </c>
      <c r="Z6362" s="21">
        <v>4601004171886</v>
      </c>
    </row>
    <row r="6363" spans="1:26" ht="12" customHeight="1" outlineLevel="3" x14ac:dyDescent="0.2">
      <c r="A6363" s="14" t="s">
        <v>12277</v>
      </c>
      <c r="B6363" s="26" t="s">
        <v>12278</v>
      </c>
      <c r="C6363" s="52"/>
      <c r="D6363" s="55">
        <f t="shared" si="99"/>
        <v>0</v>
      </c>
      <c r="E6363" s="63" t="str">
        <f>HYPERLINK("https://www.sds-group.ru/product/nabor-shestigrannyh-gaek-120-sht-up-kranz-KR-01-3101-22/", "Инфо")</f>
        <v>Инфо</v>
      </c>
      <c r="F6363" s="16" t="s">
        <v>4698</v>
      </c>
      <c r="G6363" s="15"/>
      <c r="H6363" s="15"/>
      <c r="I6363" s="15"/>
      <c r="J6363" s="17">
        <v>909</v>
      </c>
      <c r="K6363" s="15" t="s">
        <v>4013</v>
      </c>
      <c r="L6363" s="17">
        <v>5</v>
      </c>
      <c r="M6363" s="17">
        <v>60</v>
      </c>
      <c r="N6363" s="17">
        <v>5</v>
      </c>
      <c r="O6363" s="18">
        <v>373.99</v>
      </c>
      <c r="P6363" s="18">
        <v>306.55</v>
      </c>
      <c r="Q6363" s="18">
        <v>261.79000000000002</v>
      </c>
      <c r="R6363" s="18">
        <v>214.58</v>
      </c>
      <c r="S6363" s="18">
        <v>254.31</v>
      </c>
      <c r="T6363" s="18">
        <v>208.45</v>
      </c>
      <c r="U6363" s="16"/>
      <c r="V6363" s="16"/>
      <c r="W6363" s="16"/>
      <c r="X6363" s="19">
        <v>0.254</v>
      </c>
      <c r="Y6363" s="20">
        <v>4.26E-4</v>
      </c>
      <c r="Z6363" s="21">
        <v>4601004294608</v>
      </c>
    </row>
    <row r="6364" spans="1:26" ht="12.95" customHeight="1" outlineLevel="1" x14ac:dyDescent="0.2">
      <c r="A6364" s="78" t="s">
        <v>12279</v>
      </c>
      <c r="B6364" s="78"/>
      <c r="C6364" s="79"/>
      <c r="D6364" s="57"/>
      <c r="E6364" s="67"/>
      <c r="F6364" s="12"/>
      <c r="G6364" s="12"/>
      <c r="H6364" s="12"/>
      <c r="I6364" s="12"/>
      <c r="J6364" s="12"/>
      <c r="K6364" s="12"/>
      <c r="L6364" s="12"/>
      <c r="M6364" s="12"/>
      <c r="N6364" s="12"/>
      <c r="O6364" s="12"/>
      <c r="P6364" s="12"/>
      <c r="Q6364" s="12"/>
      <c r="R6364" s="12"/>
      <c r="S6364" s="12"/>
      <c r="T6364" s="12"/>
      <c r="U6364" s="12"/>
      <c r="V6364" s="12"/>
      <c r="W6364" s="12"/>
      <c r="X6364" s="12"/>
      <c r="Y6364" s="12"/>
      <c r="Z6364" s="12"/>
    </row>
    <row r="6365" spans="1:26" ht="12.95" customHeight="1" outlineLevel="2" x14ac:dyDescent="0.2">
      <c r="A6365" s="76" t="s">
        <v>12280</v>
      </c>
      <c r="B6365" s="76"/>
      <c r="C6365" s="77"/>
      <c r="D6365" s="58"/>
      <c r="E6365" s="68"/>
      <c r="F6365" s="13"/>
      <c r="G6365" s="13"/>
      <c r="H6365" s="13"/>
      <c r="I6365" s="13"/>
      <c r="J6365" s="13"/>
      <c r="K6365" s="13"/>
      <c r="L6365" s="13"/>
      <c r="M6365" s="13"/>
      <c r="N6365" s="13"/>
      <c r="O6365" s="13"/>
      <c r="P6365" s="13"/>
      <c r="Q6365" s="13"/>
      <c r="R6365" s="13"/>
      <c r="S6365" s="13"/>
      <c r="T6365" s="13"/>
      <c r="U6365" s="13"/>
      <c r="V6365" s="13"/>
      <c r="W6365" s="13"/>
      <c r="X6365" s="13"/>
      <c r="Y6365" s="13"/>
      <c r="Z6365" s="13"/>
    </row>
    <row r="6366" spans="1:26" ht="12" customHeight="1" outlineLevel="3" x14ac:dyDescent="0.2">
      <c r="A6366" s="32" t="s">
        <v>12281</v>
      </c>
      <c r="B6366" s="74" t="s">
        <v>12282</v>
      </c>
      <c r="C6366" s="50"/>
      <c r="D6366" s="53">
        <f t="shared" si="99"/>
        <v>0</v>
      </c>
      <c r="E6366" s="60" t="str">
        <f>HYPERLINK("https://www.sds-group.ru/product/samorez-universalnyy-3-0h16-mm-zheltyy-tsink-korob-500-sht-up-kranz-KR-01-3311-010/", "Инфо")</f>
        <v>Инфо</v>
      </c>
      <c r="F6366" s="34" t="s">
        <v>1001</v>
      </c>
      <c r="G6366" s="33"/>
      <c r="H6366" s="33" t="s">
        <v>40</v>
      </c>
      <c r="I6366" s="33"/>
      <c r="J6366" s="35">
        <v>464</v>
      </c>
      <c r="K6366" s="33"/>
      <c r="L6366" s="35">
        <v>5</v>
      </c>
      <c r="M6366" s="35">
        <v>32</v>
      </c>
      <c r="N6366" s="35">
        <v>5</v>
      </c>
      <c r="O6366" s="36">
        <v>330.8</v>
      </c>
      <c r="P6366" s="36">
        <v>271.14999999999998</v>
      </c>
      <c r="Q6366" s="36">
        <v>307.64</v>
      </c>
      <c r="R6366" s="36">
        <v>252.16</v>
      </c>
      <c r="S6366" s="36">
        <v>224.94</v>
      </c>
      <c r="T6366" s="36">
        <v>184.38</v>
      </c>
      <c r="U6366" s="34"/>
      <c r="V6366" s="34"/>
      <c r="W6366" s="34" t="s">
        <v>40</v>
      </c>
      <c r="X6366" s="37">
        <v>0.26900000000000002</v>
      </c>
      <c r="Y6366" s="38">
        <v>2.9100000000000003E-4</v>
      </c>
      <c r="Z6366" s="21">
        <v>4601004230996</v>
      </c>
    </row>
    <row r="6367" spans="1:26" ht="12" customHeight="1" outlineLevel="3" x14ac:dyDescent="0.2">
      <c r="A6367" s="32" t="s">
        <v>12283</v>
      </c>
      <c r="B6367" s="74" t="s">
        <v>12284</v>
      </c>
      <c r="C6367" s="50"/>
      <c r="D6367" s="53">
        <f t="shared" si="99"/>
        <v>0</v>
      </c>
      <c r="E6367" s="60" t="str">
        <f>HYPERLINK("https://www.sds-group.ru/product/samorez-universalnyy-3-0h20-mm-zheltyy-tsink-korob-200-sht-up-kranz-KR-01-3311-011/", "Инфо")</f>
        <v>Инфо</v>
      </c>
      <c r="F6367" s="34" t="s">
        <v>1001</v>
      </c>
      <c r="G6367" s="33"/>
      <c r="H6367" s="33" t="s">
        <v>40</v>
      </c>
      <c r="I6367" s="33"/>
      <c r="J6367" s="39">
        <v>4606</v>
      </c>
      <c r="K6367" s="33"/>
      <c r="L6367" s="35">
        <v>10</v>
      </c>
      <c r="M6367" s="35">
        <v>32</v>
      </c>
      <c r="N6367" s="35">
        <v>10</v>
      </c>
      <c r="O6367" s="36">
        <v>203.65</v>
      </c>
      <c r="P6367" s="36">
        <v>166.93</v>
      </c>
      <c r="Q6367" s="36">
        <v>189.39</v>
      </c>
      <c r="R6367" s="36">
        <v>155.24</v>
      </c>
      <c r="S6367" s="36">
        <v>138.47999999999999</v>
      </c>
      <c r="T6367" s="36">
        <v>113.51</v>
      </c>
      <c r="U6367" s="34"/>
      <c r="V6367" s="34"/>
      <c r="W6367" s="34" t="s">
        <v>40</v>
      </c>
      <c r="X6367" s="37">
        <v>0.14399999999999999</v>
      </c>
      <c r="Y6367" s="38">
        <v>2.9700000000000001E-4</v>
      </c>
      <c r="Z6367" s="21">
        <v>4601004230705</v>
      </c>
    </row>
    <row r="6368" spans="1:26" ht="12" customHeight="1" outlineLevel="3" x14ac:dyDescent="0.2">
      <c r="A6368" s="32" t="s">
        <v>12285</v>
      </c>
      <c r="B6368" s="74" t="s">
        <v>12286</v>
      </c>
      <c r="C6368" s="50"/>
      <c r="D6368" s="53">
        <f t="shared" si="99"/>
        <v>0</v>
      </c>
      <c r="E6368" s="60" t="str">
        <f>HYPERLINK("https://www.sds-group.ru/product/samorez-universalnyy-3-0h25-mm-zheltyy-tsink-paket-1000-sht-up-kranz-1111-0325-2/", "Инфо")</f>
        <v>Инфо</v>
      </c>
      <c r="F6368" s="34" t="s">
        <v>1001</v>
      </c>
      <c r="G6368" s="33"/>
      <c r="H6368" s="33" t="s">
        <v>40</v>
      </c>
      <c r="I6368" s="33"/>
      <c r="J6368" s="35">
        <v>26</v>
      </c>
      <c r="K6368" s="33"/>
      <c r="L6368" s="35">
        <v>1</v>
      </c>
      <c r="M6368" s="35">
        <v>15</v>
      </c>
      <c r="N6368" s="35">
        <v>1</v>
      </c>
      <c r="O6368" s="36">
        <v>581.33000000000004</v>
      </c>
      <c r="P6368" s="36">
        <v>476.5</v>
      </c>
      <c r="Q6368" s="36">
        <v>406.93</v>
      </c>
      <c r="R6368" s="36">
        <v>333.55</v>
      </c>
      <c r="S6368" s="36">
        <v>395.3</v>
      </c>
      <c r="T6368" s="36">
        <v>324.02</v>
      </c>
      <c r="U6368" s="34"/>
      <c r="V6368" s="34"/>
      <c r="W6368" s="34"/>
      <c r="X6368" s="37">
        <v>0.69699999999999995</v>
      </c>
      <c r="Y6368" s="38">
        <v>4.6200000000000001E-4</v>
      </c>
      <c r="Z6368" s="21">
        <v>4601004271104</v>
      </c>
    </row>
    <row r="6369" spans="1:26" ht="12" customHeight="1" outlineLevel="3" x14ac:dyDescent="0.2">
      <c r="A6369" s="32" t="s">
        <v>12287</v>
      </c>
      <c r="B6369" s="74" t="s">
        <v>12288</v>
      </c>
      <c r="C6369" s="50"/>
      <c r="D6369" s="53">
        <f t="shared" si="99"/>
        <v>0</v>
      </c>
      <c r="E6369" s="60" t="str">
        <f>HYPERLINK("https://www.sds-group.ru/product/samorez-universalnyy-3-0h30-mm-zheltyy-tsink-korob-200-sht-up-kranz-KR-01-3311-013/", "Инфо")</f>
        <v>Инфо</v>
      </c>
      <c r="F6369" s="34" t="s">
        <v>1001</v>
      </c>
      <c r="G6369" s="33"/>
      <c r="H6369" s="33" t="s">
        <v>40</v>
      </c>
      <c r="I6369" s="33"/>
      <c r="J6369" s="35">
        <v>132</v>
      </c>
      <c r="K6369" s="33"/>
      <c r="L6369" s="35">
        <v>5</v>
      </c>
      <c r="M6369" s="35">
        <v>32</v>
      </c>
      <c r="N6369" s="35">
        <v>5</v>
      </c>
      <c r="O6369" s="36">
        <v>272.16000000000003</v>
      </c>
      <c r="P6369" s="36">
        <v>223.08</v>
      </c>
      <c r="Q6369" s="36">
        <v>253.11</v>
      </c>
      <c r="R6369" s="36">
        <v>207.47</v>
      </c>
      <c r="S6369" s="36">
        <v>185.07</v>
      </c>
      <c r="T6369" s="36">
        <v>151.69999999999999</v>
      </c>
      <c r="U6369" s="34"/>
      <c r="V6369" s="34"/>
      <c r="W6369" s="34" t="s">
        <v>40</v>
      </c>
      <c r="X6369" s="37">
        <v>0.193</v>
      </c>
      <c r="Y6369" s="38">
        <v>2.6800000000000001E-4</v>
      </c>
      <c r="Z6369" s="21">
        <v>4601004230729</v>
      </c>
    </row>
    <row r="6370" spans="1:26" ht="12" customHeight="1" outlineLevel="3" x14ac:dyDescent="0.2">
      <c r="A6370" s="32" t="s">
        <v>12289</v>
      </c>
      <c r="B6370" s="74" t="s">
        <v>12290</v>
      </c>
      <c r="C6370" s="50"/>
      <c r="D6370" s="53">
        <f t="shared" si="99"/>
        <v>0</v>
      </c>
      <c r="E6370" s="60" t="str">
        <f>HYPERLINK("https://www.sds-group.ru/product/samorez-universalnyy-3-0h30-mm-zheltyy-tsink-paket-1000-sht-up-kranz-1111-0330-2/", "Инфо")</f>
        <v>Инфо</v>
      </c>
      <c r="F6370" s="34" t="s">
        <v>1001</v>
      </c>
      <c r="G6370" s="33"/>
      <c r="H6370" s="33" t="s">
        <v>40</v>
      </c>
      <c r="I6370" s="33"/>
      <c r="J6370" s="35">
        <v>6</v>
      </c>
      <c r="K6370" s="33"/>
      <c r="L6370" s="35">
        <v>1</v>
      </c>
      <c r="M6370" s="35">
        <v>10</v>
      </c>
      <c r="N6370" s="35">
        <v>1</v>
      </c>
      <c r="O6370" s="36">
        <v>650.70000000000005</v>
      </c>
      <c r="P6370" s="36">
        <v>533.36</v>
      </c>
      <c r="Q6370" s="36">
        <v>455.49</v>
      </c>
      <c r="R6370" s="36">
        <v>373.35</v>
      </c>
      <c r="S6370" s="36">
        <v>442.48</v>
      </c>
      <c r="T6370" s="36">
        <v>362.69</v>
      </c>
      <c r="U6370" s="34"/>
      <c r="V6370" s="34"/>
      <c r="W6370" s="34"/>
      <c r="X6370" s="37">
        <v>0.83599999999999997</v>
      </c>
      <c r="Y6370" s="38">
        <v>1.2769999999999999E-3</v>
      </c>
      <c r="Z6370" s="21">
        <v>4601004270893</v>
      </c>
    </row>
    <row r="6371" spans="1:26" ht="12" customHeight="1" outlineLevel="3" x14ac:dyDescent="0.2">
      <c r="A6371" s="32" t="s">
        <v>12291</v>
      </c>
      <c r="B6371" s="74" t="s">
        <v>12292</v>
      </c>
      <c r="C6371" s="50"/>
      <c r="D6371" s="53">
        <f t="shared" si="99"/>
        <v>0</v>
      </c>
      <c r="E6371" s="60" t="str">
        <f>HYPERLINK("https://www.sds-group.ru/product/samorez-universalnyy-3-0h35-mm-zheltyy-tsink-korob-200-sht-up-kranz-KR-01-3311-014/", "Инфо")</f>
        <v>Инфо</v>
      </c>
      <c r="F6371" s="34" t="s">
        <v>1001</v>
      </c>
      <c r="G6371" s="33"/>
      <c r="H6371" s="33" t="s">
        <v>40</v>
      </c>
      <c r="I6371" s="33"/>
      <c r="J6371" s="35">
        <v>307</v>
      </c>
      <c r="K6371" s="33"/>
      <c r="L6371" s="35">
        <v>5</v>
      </c>
      <c r="M6371" s="35">
        <v>16</v>
      </c>
      <c r="N6371" s="35">
        <v>5</v>
      </c>
      <c r="O6371" s="36">
        <v>286.49</v>
      </c>
      <c r="P6371" s="36">
        <v>234.83</v>
      </c>
      <c r="Q6371" s="36">
        <v>266.44</v>
      </c>
      <c r="R6371" s="36">
        <v>218.39</v>
      </c>
      <c r="S6371" s="36">
        <v>194.81</v>
      </c>
      <c r="T6371" s="36">
        <v>159.68</v>
      </c>
      <c r="U6371" s="34"/>
      <c r="V6371" s="34"/>
      <c r="W6371" s="34" t="s">
        <v>40</v>
      </c>
      <c r="X6371" s="37">
        <v>0.23</v>
      </c>
      <c r="Y6371" s="38">
        <v>5.31E-4</v>
      </c>
      <c r="Z6371" s="21">
        <v>4601004235199</v>
      </c>
    </row>
    <row r="6372" spans="1:26" ht="12" customHeight="1" outlineLevel="3" x14ac:dyDescent="0.2">
      <c r="A6372" s="32" t="s">
        <v>12293</v>
      </c>
      <c r="B6372" s="74" t="s">
        <v>12294</v>
      </c>
      <c r="C6372" s="50"/>
      <c r="D6372" s="53">
        <f t="shared" si="99"/>
        <v>0</v>
      </c>
      <c r="E6372" s="60" t="str">
        <f>HYPERLINK("https://www.sds-group.ru/product/samorez-universalnyy-3-0h35-mm-zheltyy-tsink-paket-800-sht-up-kranz-1111-0335-2/", "Инфо")</f>
        <v>Инфо</v>
      </c>
      <c r="F6372" s="34" t="s">
        <v>1001</v>
      </c>
      <c r="G6372" s="33"/>
      <c r="H6372" s="33" t="s">
        <v>40</v>
      </c>
      <c r="I6372" s="33"/>
      <c r="J6372" s="35">
        <v>38</v>
      </c>
      <c r="K6372" s="33"/>
      <c r="L6372" s="35">
        <v>1</v>
      </c>
      <c r="M6372" s="35">
        <v>10</v>
      </c>
      <c r="N6372" s="35">
        <v>1</v>
      </c>
      <c r="O6372" s="36">
        <v>670.78</v>
      </c>
      <c r="P6372" s="36">
        <v>549.82000000000005</v>
      </c>
      <c r="Q6372" s="36">
        <v>469.55</v>
      </c>
      <c r="R6372" s="36">
        <v>384.88</v>
      </c>
      <c r="S6372" s="36">
        <v>456.13</v>
      </c>
      <c r="T6372" s="36">
        <v>373.88</v>
      </c>
      <c r="U6372" s="34"/>
      <c r="V6372" s="34"/>
      <c r="W6372" s="34"/>
      <c r="X6372" s="37">
        <v>0.80600000000000005</v>
      </c>
      <c r="Y6372" s="38">
        <v>5.6300000000000002E-4</v>
      </c>
      <c r="Z6372" s="21">
        <v>4601004270930</v>
      </c>
    </row>
    <row r="6373" spans="1:26" ht="12" customHeight="1" outlineLevel="3" x14ac:dyDescent="0.2">
      <c r="A6373" s="32" t="s">
        <v>12295</v>
      </c>
      <c r="B6373" s="74" t="s">
        <v>12296</v>
      </c>
      <c r="C6373" s="50"/>
      <c r="D6373" s="53">
        <f t="shared" si="99"/>
        <v>0</v>
      </c>
      <c r="E6373" s="60" t="str">
        <f>HYPERLINK("https://www.sds-group.ru/product/samorez-universalnyy-3-0h40-mm-zheltyy-tsink-korob-200-sht-up-kranz-KR-01-3311-015/", "Инфо")</f>
        <v>Инфо</v>
      </c>
      <c r="F6373" s="34" t="s">
        <v>1001</v>
      </c>
      <c r="G6373" s="33"/>
      <c r="H6373" s="33" t="s">
        <v>40</v>
      </c>
      <c r="I6373" s="33"/>
      <c r="J6373" s="39">
        <v>1254</v>
      </c>
      <c r="K6373" s="33"/>
      <c r="L6373" s="35">
        <v>5</v>
      </c>
      <c r="M6373" s="35">
        <v>16</v>
      </c>
      <c r="N6373" s="35">
        <v>5</v>
      </c>
      <c r="O6373" s="36">
        <v>301.77</v>
      </c>
      <c r="P6373" s="36">
        <v>247.35</v>
      </c>
      <c r="Q6373" s="36">
        <v>280.64999999999998</v>
      </c>
      <c r="R6373" s="36">
        <v>230.04</v>
      </c>
      <c r="S6373" s="36">
        <v>205.2</v>
      </c>
      <c r="T6373" s="36">
        <v>168.2</v>
      </c>
      <c r="U6373" s="34"/>
      <c r="V6373" s="34"/>
      <c r="W6373" s="34" t="s">
        <v>40</v>
      </c>
      <c r="X6373" s="37">
        <v>0.251</v>
      </c>
      <c r="Y6373" s="38">
        <v>5.7399999999999997E-4</v>
      </c>
      <c r="Z6373" s="21">
        <v>4601004230736</v>
      </c>
    </row>
    <row r="6374" spans="1:26" ht="12" customHeight="1" outlineLevel="3" x14ac:dyDescent="0.2">
      <c r="A6374" s="32" t="s">
        <v>12297</v>
      </c>
      <c r="B6374" s="74" t="s">
        <v>12298</v>
      </c>
      <c r="C6374" s="50"/>
      <c r="D6374" s="53">
        <f t="shared" si="99"/>
        <v>0</v>
      </c>
      <c r="E6374" s="60" t="str">
        <f>HYPERLINK("https://www.sds-group.ru/product/samorez-universalnyy-3-5h16-mm-zheltyy-tsink-korob-200-sht-up-kranz-KR-01-3311-001/", "Инфо")</f>
        <v>Инфо</v>
      </c>
      <c r="F6374" s="34" t="s">
        <v>1001</v>
      </c>
      <c r="G6374" s="33"/>
      <c r="H6374" s="33" t="s">
        <v>40</v>
      </c>
      <c r="I6374" s="33"/>
      <c r="J6374" s="39">
        <v>2303</v>
      </c>
      <c r="K6374" s="33"/>
      <c r="L6374" s="35">
        <v>5</v>
      </c>
      <c r="M6374" s="35">
        <v>32</v>
      </c>
      <c r="N6374" s="35">
        <v>5</v>
      </c>
      <c r="O6374" s="36">
        <v>235.94</v>
      </c>
      <c r="P6374" s="36">
        <v>193.39</v>
      </c>
      <c r="Q6374" s="36">
        <v>219.42</v>
      </c>
      <c r="R6374" s="36">
        <v>179.85</v>
      </c>
      <c r="S6374" s="36">
        <v>160.44</v>
      </c>
      <c r="T6374" s="36">
        <v>131.51</v>
      </c>
      <c r="U6374" s="34"/>
      <c r="V6374" s="34"/>
      <c r="W6374" s="34" t="s">
        <v>40</v>
      </c>
      <c r="X6374" s="37">
        <v>0.151</v>
      </c>
      <c r="Y6374" s="38">
        <v>2.8600000000000001E-4</v>
      </c>
      <c r="Z6374" s="21">
        <v>4601004231429</v>
      </c>
    </row>
    <row r="6375" spans="1:26" ht="12" customHeight="1" outlineLevel="3" x14ac:dyDescent="0.2">
      <c r="A6375" s="32" t="s">
        <v>12299</v>
      </c>
      <c r="B6375" s="74" t="s">
        <v>12300</v>
      </c>
      <c r="C6375" s="50"/>
      <c r="D6375" s="53">
        <f t="shared" si="99"/>
        <v>0</v>
      </c>
      <c r="E6375" s="60" t="str">
        <f>HYPERLINK("https://www.sds-group.ru/product/samorez-universalnyy-3-5h16-mm-zheltyy-tsink-paket-1000-sht-up-kranz-1111-3516-2/", "Инфо")</f>
        <v>Инфо</v>
      </c>
      <c r="F6375" s="34" t="s">
        <v>1001</v>
      </c>
      <c r="G6375" s="33"/>
      <c r="H6375" s="33" t="s">
        <v>40</v>
      </c>
      <c r="I6375" s="33"/>
      <c r="J6375" s="35">
        <v>24</v>
      </c>
      <c r="K6375" s="33"/>
      <c r="L6375" s="35">
        <v>1</v>
      </c>
      <c r="M6375" s="35">
        <v>16</v>
      </c>
      <c r="N6375" s="35">
        <v>1</v>
      </c>
      <c r="O6375" s="36">
        <v>568.59</v>
      </c>
      <c r="P6375" s="36">
        <v>466.06</v>
      </c>
      <c r="Q6375" s="36">
        <v>398.01</v>
      </c>
      <c r="R6375" s="36">
        <v>326.24</v>
      </c>
      <c r="S6375" s="36">
        <v>386.64</v>
      </c>
      <c r="T6375" s="36">
        <v>316.92</v>
      </c>
      <c r="U6375" s="34"/>
      <c r="V6375" s="34"/>
      <c r="W6375" s="34"/>
      <c r="X6375" s="37">
        <v>0.66600000000000004</v>
      </c>
      <c r="Y6375" s="38">
        <v>2.0839999999999999E-3</v>
      </c>
      <c r="Z6375" s="21">
        <v>4601004270824</v>
      </c>
    </row>
    <row r="6376" spans="1:26" ht="12" customHeight="1" outlineLevel="3" x14ac:dyDescent="0.2">
      <c r="A6376" s="32" t="s">
        <v>12301</v>
      </c>
      <c r="B6376" s="74" t="s">
        <v>12302</v>
      </c>
      <c r="C6376" s="50"/>
      <c r="D6376" s="53">
        <f t="shared" si="99"/>
        <v>0</v>
      </c>
      <c r="E6376" s="60" t="str">
        <f>HYPERLINK("https://www.sds-group.ru/product/samorez-universalnyy-3-5h30-mm-zheltyy-tsink-korob-200-sht-up-kranz-KR-01-3311-004/", "Инфо")</f>
        <v>Инфо</v>
      </c>
      <c r="F6376" s="34" t="s">
        <v>1001</v>
      </c>
      <c r="G6376" s="33"/>
      <c r="H6376" s="33" t="s">
        <v>40</v>
      </c>
      <c r="I6376" s="33"/>
      <c r="J6376" s="35">
        <v>321</v>
      </c>
      <c r="K6376" s="33"/>
      <c r="L6376" s="35">
        <v>5</v>
      </c>
      <c r="M6376" s="35">
        <v>25</v>
      </c>
      <c r="N6376" s="35">
        <v>5</v>
      </c>
      <c r="O6376" s="36">
        <v>282.23</v>
      </c>
      <c r="P6376" s="36">
        <v>231.34</v>
      </c>
      <c r="Q6376" s="36">
        <v>262.47000000000003</v>
      </c>
      <c r="R6376" s="36">
        <v>215.14</v>
      </c>
      <c r="S6376" s="36">
        <v>191.92</v>
      </c>
      <c r="T6376" s="36">
        <v>157.31</v>
      </c>
      <c r="U6376" s="34"/>
      <c r="V6376" s="34"/>
      <c r="W6376" s="34" t="s">
        <v>40</v>
      </c>
      <c r="X6376" s="37">
        <v>0.22900000000000001</v>
      </c>
      <c r="Y6376" s="38">
        <v>2.8400000000000002E-4</v>
      </c>
      <c r="Z6376" s="21">
        <v>4601004230675</v>
      </c>
    </row>
    <row r="6377" spans="1:26" ht="12" customHeight="1" outlineLevel="3" x14ac:dyDescent="0.2">
      <c r="A6377" s="32" t="s">
        <v>12303</v>
      </c>
      <c r="B6377" s="74" t="s">
        <v>12304</v>
      </c>
      <c r="C6377" s="50"/>
      <c r="D6377" s="53">
        <f t="shared" si="99"/>
        <v>0</v>
      </c>
      <c r="E6377" s="60" t="str">
        <f>HYPERLINK("https://www.sds-group.ru/product/samorez-universalniy-3-5h30-jeltiy-tsink-paket-1000-sht-up-kranz-29375/", "Инфо")</f>
        <v>Инфо</v>
      </c>
      <c r="F6377" s="34" t="s">
        <v>1001</v>
      </c>
      <c r="G6377" s="33"/>
      <c r="H6377" s="33" t="s">
        <v>40</v>
      </c>
      <c r="I6377" s="33"/>
      <c r="J6377" s="35">
        <v>9</v>
      </c>
      <c r="K6377" s="33"/>
      <c r="L6377" s="35">
        <v>1</v>
      </c>
      <c r="M6377" s="35">
        <v>8</v>
      </c>
      <c r="N6377" s="35">
        <v>1</v>
      </c>
      <c r="O6377" s="36">
        <v>545.79</v>
      </c>
      <c r="P6377" s="36">
        <v>447.37</v>
      </c>
      <c r="Q6377" s="36">
        <v>382.05</v>
      </c>
      <c r="R6377" s="36">
        <v>313.16000000000003</v>
      </c>
      <c r="S6377" s="36">
        <v>371.14</v>
      </c>
      <c r="T6377" s="36">
        <v>304.20999999999998</v>
      </c>
      <c r="U6377" s="34"/>
      <c r="V6377" s="34"/>
      <c r="W6377" s="34"/>
      <c r="X6377" s="37">
        <v>1.071</v>
      </c>
      <c r="Y6377" s="38">
        <v>1.25E-3</v>
      </c>
      <c r="Z6377" s="21">
        <v>4601004270848</v>
      </c>
    </row>
    <row r="6378" spans="1:26" ht="12" customHeight="1" outlineLevel="3" x14ac:dyDescent="0.2">
      <c r="A6378" s="32" t="s">
        <v>12305</v>
      </c>
      <c r="B6378" s="74" t="s">
        <v>12306</v>
      </c>
      <c r="C6378" s="50"/>
      <c r="D6378" s="53">
        <f t="shared" si="99"/>
        <v>0</v>
      </c>
      <c r="E6378" s="60" t="str">
        <f>HYPERLINK("https://www.sds-group.ru/product/samorez-universalnyy-3-5h35-mm-zheltyy-tsink-korob-200-sht-up-kranz-KR-01-3311-005/", "Инфо")</f>
        <v>Инфо</v>
      </c>
      <c r="F6378" s="34" t="s">
        <v>1001</v>
      </c>
      <c r="G6378" s="33"/>
      <c r="H6378" s="33" t="s">
        <v>40</v>
      </c>
      <c r="I6378" s="33"/>
      <c r="J6378" s="34" t="s">
        <v>100</v>
      </c>
      <c r="K6378" s="33" t="s">
        <v>6744</v>
      </c>
      <c r="L6378" s="35">
        <v>5</v>
      </c>
      <c r="M6378" s="35">
        <v>32</v>
      </c>
      <c r="N6378" s="35">
        <v>5</v>
      </c>
      <c r="O6378" s="36">
        <v>280.38</v>
      </c>
      <c r="P6378" s="36">
        <v>229.82</v>
      </c>
      <c r="Q6378" s="36">
        <v>260.75</v>
      </c>
      <c r="R6378" s="36">
        <v>213.73</v>
      </c>
      <c r="S6378" s="36">
        <v>190.66</v>
      </c>
      <c r="T6378" s="36">
        <v>156.28</v>
      </c>
      <c r="U6378" s="34"/>
      <c r="V6378" s="34"/>
      <c r="W6378" s="34" t="s">
        <v>40</v>
      </c>
      <c r="X6378" s="37">
        <v>0.21</v>
      </c>
      <c r="Y6378" s="38">
        <v>2.72E-4</v>
      </c>
      <c r="Z6378" s="21">
        <v>4601004230682</v>
      </c>
    </row>
    <row r="6379" spans="1:26" ht="12" customHeight="1" outlineLevel="3" x14ac:dyDescent="0.2">
      <c r="A6379" s="32" t="s">
        <v>12307</v>
      </c>
      <c r="B6379" s="74" t="s">
        <v>12308</v>
      </c>
      <c r="C6379" s="50"/>
      <c r="D6379" s="53">
        <f t="shared" si="99"/>
        <v>0</v>
      </c>
      <c r="E6379" s="60" t="str">
        <f>HYPERLINK("https://www.sds-group.ru/product/samorez-universalnyy-3-5h35-mm-zheltyy-tsink-paket-25-sht-up-kranz-1111-3535-5/", "Инфо")</f>
        <v>Инфо</v>
      </c>
      <c r="F6379" s="34" t="s">
        <v>1001</v>
      </c>
      <c r="G6379" s="33"/>
      <c r="H6379" s="33" t="s">
        <v>40</v>
      </c>
      <c r="I6379" s="33"/>
      <c r="J6379" s="35">
        <v>511</v>
      </c>
      <c r="K6379" s="33"/>
      <c r="L6379" s="35">
        <v>1</v>
      </c>
      <c r="M6379" s="35">
        <v>50</v>
      </c>
      <c r="N6379" s="35">
        <v>1</v>
      </c>
      <c r="O6379" s="36">
        <v>38.6</v>
      </c>
      <c r="P6379" s="36">
        <v>31.64</v>
      </c>
      <c r="Q6379" s="36">
        <v>27.02</v>
      </c>
      <c r="R6379" s="36">
        <v>22.15</v>
      </c>
      <c r="S6379" s="36">
        <v>26.25</v>
      </c>
      <c r="T6379" s="36">
        <v>21.52</v>
      </c>
      <c r="U6379" s="34"/>
      <c r="V6379" s="34"/>
      <c r="W6379" s="34"/>
      <c r="X6379" s="37">
        <v>3.9E-2</v>
      </c>
      <c r="Y6379" s="38">
        <v>3.1999999999999999E-5</v>
      </c>
      <c r="Z6379" s="21">
        <v>4601004249639</v>
      </c>
    </row>
    <row r="6380" spans="1:26" ht="12" customHeight="1" outlineLevel="3" x14ac:dyDescent="0.2">
      <c r="A6380" s="32" t="s">
        <v>12309</v>
      </c>
      <c r="B6380" s="74" t="s">
        <v>12310</v>
      </c>
      <c r="C6380" s="50"/>
      <c r="D6380" s="53">
        <f t="shared" si="99"/>
        <v>0</v>
      </c>
      <c r="E6380" s="60" t="str">
        <f>HYPERLINK("https://www.sds-group.ru/product/samorez-universalnyy-3-5h35-mm-zheltyy-tsink-paket-50-sht-up-kranz-1111-3535-4/", "Инфо")</f>
        <v>Инфо</v>
      </c>
      <c r="F6380" s="34" t="s">
        <v>1001</v>
      </c>
      <c r="G6380" s="33"/>
      <c r="H6380" s="33" t="s">
        <v>40</v>
      </c>
      <c r="I6380" s="33"/>
      <c r="J6380" s="35">
        <v>74</v>
      </c>
      <c r="K6380" s="33"/>
      <c r="L6380" s="35">
        <v>1</v>
      </c>
      <c r="M6380" s="35">
        <v>50</v>
      </c>
      <c r="N6380" s="35">
        <v>1</v>
      </c>
      <c r="O6380" s="36">
        <v>112.54</v>
      </c>
      <c r="P6380" s="36">
        <v>92.25</v>
      </c>
      <c r="Q6380" s="36">
        <v>78.78</v>
      </c>
      <c r="R6380" s="36">
        <v>64.569999999999993</v>
      </c>
      <c r="S6380" s="36">
        <v>76.53</v>
      </c>
      <c r="T6380" s="36">
        <v>62.73</v>
      </c>
      <c r="U6380" s="34"/>
      <c r="V6380" s="34"/>
      <c r="W6380" s="34"/>
      <c r="X6380" s="37">
        <v>6.8000000000000005E-2</v>
      </c>
      <c r="Y6380" s="38">
        <v>1.7100000000000001E-4</v>
      </c>
      <c r="Z6380" s="21">
        <v>4601004247741</v>
      </c>
    </row>
    <row r="6381" spans="1:26" ht="12" customHeight="1" outlineLevel="3" x14ac:dyDescent="0.2">
      <c r="A6381" s="32" t="s">
        <v>12311</v>
      </c>
      <c r="B6381" s="74" t="s">
        <v>12312</v>
      </c>
      <c r="C6381" s="50"/>
      <c r="D6381" s="53">
        <f t="shared" si="99"/>
        <v>0</v>
      </c>
      <c r="E6381" s="60" t="str">
        <f>HYPERLINK("https://www.sds-group.ru/product/samorez-universalnyy-3-5h40-mm-zheltyy-tsink-korob-200-sht-up-kranz-KR-01-3311-006/", "Инфо")</f>
        <v>Инфо</v>
      </c>
      <c r="F6381" s="34" t="s">
        <v>1001</v>
      </c>
      <c r="G6381" s="33"/>
      <c r="H6381" s="33" t="s">
        <v>40</v>
      </c>
      <c r="I6381" s="33"/>
      <c r="J6381" s="39">
        <v>2078</v>
      </c>
      <c r="K6381" s="33"/>
      <c r="L6381" s="35">
        <v>5</v>
      </c>
      <c r="M6381" s="35">
        <v>16</v>
      </c>
      <c r="N6381" s="35">
        <v>5</v>
      </c>
      <c r="O6381" s="36">
        <v>323.64999999999998</v>
      </c>
      <c r="P6381" s="36">
        <v>265.29000000000002</v>
      </c>
      <c r="Q6381" s="36">
        <v>300.99</v>
      </c>
      <c r="R6381" s="36">
        <v>246.71</v>
      </c>
      <c r="S6381" s="36">
        <v>220.08</v>
      </c>
      <c r="T6381" s="36">
        <v>180.39</v>
      </c>
      <c r="U6381" s="34"/>
      <c r="V6381" s="34"/>
      <c r="W6381" s="34" t="s">
        <v>40</v>
      </c>
      <c r="X6381" s="37">
        <v>0.316</v>
      </c>
      <c r="Y6381" s="38">
        <v>5.8399999999999999E-4</v>
      </c>
      <c r="Z6381" s="21">
        <v>4601004230699</v>
      </c>
    </row>
    <row r="6382" spans="1:26" ht="12" customHeight="1" outlineLevel="3" x14ac:dyDescent="0.2">
      <c r="A6382" s="32" t="s">
        <v>12313</v>
      </c>
      <c r="B6382" s="74" t="s">
        <v>12314</v>
      </c>
      <c r="C6382" s="50"/>
      <c r="D6382" s="53">
        <f t="shared" si="99"/>
        <v>0</v>
      </c>
      <c r="E6382" s="60" t="str">
        <f>HYPERLINK("https://www.sds-group.ru/product/samorez-universalnyy-4-0h16-mm-zheltyy-tsink-korob-200-sht-up-kranz-KR-01-3311-024/", "Инфо")</f>
        <v>Инфо</v>
      </c>
      <c r="F6382" s="34" t="s">
        <v>1001</v>
      </c>
      <c r="G6382" s="33"/>
      <c r="H6382" s="33" t="s">
        <v>40</v>
      </c>
      <c r="I6382" s="33"/>
      <c r="J6382" s="39">
        <v>1673</v>
      </c>
      <c r="K6382" s="33"/>
      <c r="L6382" s="35">
        <v>5</v>
      </c>
      <c r="M6382" s="35">
        <v>32</v>
      </c>
      <c r="N6382" s="35">
        <v>5</v>
      </c>
      <c r="O6382" s="36">
        <v>279.13</v>
      </c>
      <c r="P6382" s="36">
        <v>228.8</v>
      </c>
      <c r="Q6382" s="36">
        <v>259.58999999999997</v>
      </c>
      <c r="R6382" s="36">
        <v>212.78</v>
      </c>
      <c r="S6382" s="36">
        <v>189.81</v>
      </c>
      <c r="T6382" s="36">
        <v>155.58000000000001</v>
      </c>
      <c r="U6382" s="34"/>
      <c r="V6382" s="34"/>
      <c r="W6382" s="34" t="s">
        <v>40</v>
      </c>
      <c r="X6382" s="37">
        <v>0.193</v>
      </c>
      <c r="Y6382" s="38">
        <v>2.9399999999999999E-4</v>
      </c>
      <c r="Z6382" s="21">
        <v>4601004230750</v>
      </c>
    </row>
    <row r="6383" spans="1:26" ht="12" customHeight="1" outlineLevel="3" x14ac:dyDescent="0.2">
      <c r="A6383" s="32" t="s">
        <v>12315</v>
      </c>
      <c r="B6383" s="74" t="s">
        <v>12316</v>
      </c>
      <c r="C6383" s="50"/>
      <c r="D6383" s="53">
        <f t="shared" si="99"/>
        <v>0</v>
      </c>
      <c r="E6383" s="60" t="str">
        <f>HYPERLINK("https://www.sds-group.ru/product/samorez-universalnyy-4-0h16-mm-zheltyy-tsink-paket-1000-sht-up-kranz-1111-0416-2/", "Инфо")</f>
        <v>Инфо</v>
      </c>
      <c r="F6383" s="34" t="s">
        <v>1001</v>
      </c>
      <c r="G6383" s="33"/>
      <c r="H6383" s="33" t="s">
        <v>40</v>
      </c>
      <c r="I6383" s="33"/>
      <c r="J6383" s="35">
        <v>14</v>
      </c>
      <c r="K6383" s="33"/>
      <c r="L6383" s="35">
        <v>1</v>
      </c>
      <c r="M6383" s="35">
        <v>15</v>
      </c>
      <c r="N6383" s="35">
        <v>1</v>
      </c>
      <c r="O6383" s="36">
        <v>619.01</v>
      </c>
      <c r="P6383" s="36">
        <v>507.39</v>
      </c>
      <c r="Q6383" s="36">
        <v>433.31</v>
      </c>
      <c r="R6383" s="36">
        <v>355.17</v>
      </c>
      <c r="S6383" s="36">
        <v>420.93</v>
      </c>
      <c r="T6383" s="36">
        <v>345.02</v>
      </c>
      <c r="U6383" s="34"/>
      <c r="V6383" s="34"/>
      <c r="W6383" s="34"/>
      <c r="X6383" s="37">
        <v>0.81699999999999995</v>
      </c>
      <c r="Y6383" s="38">
        <v>4.8000000000000001E-4</v>
      </c>
      <c r="Z6383" s="21">
        <v>4601004270763</v>
      </c>
    </row>
    <row r="6384" spans="1:26" ht="12" customHeight="1" outlineLevel="3" x14ac:dyDescent="0.2">
      <c r="A6384" s="32" t="s">
        <v>12317</v>
      </c>
      <c r="B6384" s="74" t="s">
        <v>12318</v>
      </c>
      <c r="C6384" s="50"/>
      <c r="D6384" s="53">
        <f t="shared" si="99"/>
        <v>0</v>
      </c>
      <c r="E6384" s="60" t="str">
        <f>HYPERLINK("https://www.sds-group.ru/product/samorez-universalnyy-4-0h30-mm-zheltyy-tsink-korob-250-sht-up-kranz-KR-01-3311-027/", "Инфо")</f>
        <v>Инфо</v>
      </c>
      <c r="F6384" s="34" t="s">
        <v>1001</v>
      </c>
      <c r="G6384" s="33"/>
      <c r="H6384" s="33" t="s">
        <v>40</v>
      </c>
      <c r="I6384" s="33"/>
      <c r="J6384" s="35">
        <v>437</v>
      </c>
      <c r="K6384" s="33"/>
      <c r="L6384" s="35">
        <v>5</v>
      </c>
      <c r="M6384" s="35">
        <v>16</v>
      </c>
      <c r="N6384" s="35">
        <v>5</v>
      </c>
      <c r="O6384" s="36">
        <v>343.78</v>
      </c>
      <c r="P6384" s="36">
        <v>281.79000000000002</v>
      </c>
      <c r="Q6384" s="36">
        <v>319.72000000000003</v>
      </c>
      <c r="R6384" s="36">
        <v>262.07</v>
      </c>
      <c r="S6384" s="36">
        <v>233.77</v>
      </c>
      <c r="T6384" s="36">
        <v>191.61</v>
      </c>
      <c r="U6384" s="34"/>
      <c r="V6384" s="34"/>
      <c r="W6384" s="34" t="s">
        <v>40</v>
      </c>
      <c r="X6384" s="37">
        <v>0.38300000000000001</v>
      </c>
      <c r="Y6384" s="38">
        <v>5.3200000000000003E-4</v>
      </c>
      <c r="Z6384" s="21">
        <v>4601004233522</v>
      </c>
    </row>
    <row r="6385" spans="1:26" ht="12" customHeight="1" outlineLevel="3" x14ac:dyDescent="0.2">
      <c r="A6385" s="32" t="s">
        <v>12319</v>
      </c>
      <c r="B6385" s="74" t="s">
        <v>12320</v>
      </c>
      <c r="C6385" s="50"/>
      <c r="D6385" s="53">
        <f t="shared" si="99"/>
        <v>0</v>
      </c>
      <c r="E6385" s="60" t="str">
        <f>HYPERLINK("https://www.sds-group.ru/product/samorez-universalnyy-4-0h35-mm-zheltyy-tsink-korob-200-sht-up-kranz-KR-01-3311-028/", "Инфо")</f>
        <v>Инфо</v>
      </c>
      <c r="F6385" s="34" t="s">
        <v>1001</v>
      </c>
      <c r="G6385" s="33"/>
      <c r="H6385" s="33" t="s">
        <v>40</v>
      </c>
      <c r="I6385" s="33"/>
      <c r="J6385" s="35">
        <v>7</v>
      </c>
      <c r="K6385" s="33"/>
      <c r="L6385" s="35">
        <v>5</v>
      </c>
      <c r="M6385" s="35">
        <v>16</v>
      </c>
      <c r="N6385" s="35">
        <v>5</v>
      </c>
      <c r="O6385" s="36">
        <v>410.85</v>
      </c>
      <c r="P6385" s="36">
        <v>336.76</v>
      </c>
      <c r="Q6385" s="36">
        <v>382.09</v>
      </c>
      <c r="R6385" s="36">
        <v>313.19</v>
      </c>
      <c r="S6385" s="36">
        <v>279.38</v>
      </c>
      <c r="T6385" s="36">
        <v>229</v>
      </c>
      <c r="U6385" s="34"/>
      <c r="V6385" s="34"/>
      <c r="W6385" s="34" t="s">
        <v>40</v>
      </c>
      <c r="X6385" s="37">
        <v>0.36699999999999999</v>
      </c>
      <c r="Y6385" s="38">
        <v>5.8600000000000004E-4</v>
      </c>
      <c r="Z6385" s="21">
        <v>4601004233539</v>
      </c>
    </row>
    <row r="6386" spans="1:26" ht="12" customHeight="1" outlineLevel="3" x14ac:dyDescent="0.2">
      <c r="A6386" s="32" t="s">
        <v>12321</v>
      </c>
      <c r="B6386" s="74" t="s">
        <v>12322</v>
      </c>
      <c r="C6386" s="50"/>
      <c r="D6386" s="53">
        <f t="shared" si="99"/>
        <v>0</v>
      </c>
      <c r="E6386" s="60" t="str">
        <f>HYPERLINK("https://www.sds-group.ru/product/samorez-universalniy-4h35-jeltiy-tsink-paket-800-sht-up-kranz-29370/", "Инфо")</f>
        <v>Инфо</v>
      </c>
      <c r="F6386" s="34" t="s">
        <v>1001</v>
      </c>
      <c r="G6386" s="33"/>
      <c r="H6386" s="33" t="s">
        <v>40</v>
      </c>
      <c r="I6386" s="33"/>
      <c r="J6386" s="35">
        <v>18</v>
      </c>
      <c r="K6386" s="33"/>
      <c r="L6386" s="35">
        <v>1</v>
      </c>
      <c r="M6386" s="35">
        <v>6</v>
      </c>
      <c r="N6386" s="35">
        <v>1</v>
      </c>
      <c r="O6386" s="36">
        <v>731.45</v>
      </c>
      <c r="P6386" s="36">
        <v>599.54999999999995</v>
      </c>
      <c r="Q6386" s="36">
        <v>512.02</v>
      </c>
      <c r="R6386" s="36">
        <v>419.69</v>
      </c>
      <c r="S6386" s="36">
        <v>497.39</v>
      </c>
      <c r="T6386" s="36">
        <v>407.7</v>
      </c>
      <c r="U6386" s="34"/>
      <c r="V6386" s="34"/>
      <c r="W6386" s="34"/>
      <c r="X6386" s="37">
        <v>1.278</v>
      </c>
      <c r="Y6386" s="38">
        <v>6.6699999999999995E-4</v>
      </c>
      <c r="Z6386" s="21">
        <v>4601004270787</v>
      </c>
    </row>
    <row r="6387" spans="1:26" ht="12" customHeight="1" outlineLevel="3" x14ac:dyDescent="0.2">
      <c r="A6387" s="32" t="s">
        <v>12323</v>
      </c>
      <c r="B6387" s="74" t="s">
        <v>12324</v>
      </c>
      <c r="C6387" s="50"/>
      <c r="D6387" s="53">
        <f t="shared" si="99"/>
        <v>0</v>
      </c>
      <c r="E6387" s="60" t="str">
        <f>HYPERLINK("https://www.sds-group.ru/product/samorez-universalnyy-4-0h40-mm-zheltyy-tsink-korob-200-sht-up-kranz-KR-01-3311-029/", "Инфо")</f>
        <v>Инфо</v>
      </c>
      <c r="F6387" s="34" t="s">
        <v>1001</v>
      </c>
      <c r="G6387" s="33"/>
      <c r="H6387" s="33" t="s">
        <v>40</v>
      </c>
      <c r="I6387" s="33"/>
      <c r="J6387" s="35">
        <v>831</v>
      </c>
      <c r="K6387" s="33" t="s">
        <v>6744</v>
      </c>
      <c r="L6387" s="35">
        <v>5</v>
      </c>
      <c r="M6387" s="35">
        <v>16</v>
      </c>
      <c r="N6387" s="35">
        <v>5</v>
      </c>
      <c r="O6387" s="36">
        <v>446.55</v>
      </c>
      <c r="P6387" s="36">
        <v>366.02</v>
      </c>
      <c r="Q6387" s="36">
        <v>415.29</v>
      </c>
      <c r="R6387" s="36">
        <v>340.4</v>
      </c>
      <c r="S6387" s="36">
        <v>303.64999999999998</v>
      </c>
      <c r="T6387" s="36">
        <v>248.89</v>
      </c>
      <c r="U6387" s="34"/>
      <c r="V6387" s="34"/>
      <c r="W6387" s="34" t="s">
        <v>40</v>
      </c>
      <c r="X6387" s="37">
        <v>0.39200000000000002</v>
      </c>
      <c r="Y6387" s="38">
        <v>5.7399999999999997E-4</v>
      </c>
      <c r="Z6387" s="21">
        <v>4601004230774</v>
      </c>
    </row>
    <row r="6388" spans="1:26" ht="12" customHeight="1" outlineLevel="3" x14ac:dyDescent="0.2">
      <c r="A6388" s="32" t="s">
        <v>12325</v>
      </c>
      <c r="B6388" s="74" t="s">
        <v>12326</v>
      </c>
      <c r="C6388" s="50"/>
      <c r="D6388" s="53">
        <f t="shared" si="99"/>
        <v>0</v>
      </c>
      <c r="E6388" s="60" t="str">
        <f>HYPERLINK("https://www.sds-group.ru/product/samorez-universalnyy-4-0h50-mm-zheltyy-tsink-korob-200-sht-up-kranz-KR-01-3311-031/", "Инфо")</f>
        <v>Инфо</v>
      </c>
      <c r="F6388" s="34" t="s">
        <v>1001</v>
      </c>
      <c r="G6388" s="33"/>
      <c r="H6388" s="33" t="s">
        <v>40</v>
      </c>
      <c r="I6388" s="33"/>
      <c r="J6388" s="39">
        <v>1841</v>
      </c>
      <c r="K6388" s="33"/>
      <c r="L6388" s="35">
        <v>5</v>
      </c>
      <c r="M6388" s="35">
        <v>16</v>
      </c>
      <c r="N6388" s="35">
        <v>5</v>
      </c>
      <c r="O6388" s="36">
        <v>405.41</v>
      </c>
      <c r="P6388" s="36">
        <v>332.3</v>
      </c>
      <c r="Q6388" s="36">
        <v>377.03</v>
      </c>
      <c r="R6388" s="36">
        <v>309.04000000000002</v>
      </c>
      <c r="S6388" s="36">
        <v>275.68</v>
      </c>
      <c r="T6388" s="36">
        <v>225.97</v>
      </c>
      <c r="U6388" s="34"/>
      <c r="V6388" s="34"/>
      <c r="W6388" s="34" t="s">
        <v>40</v>
      </c>
      <c r="X6388" s="37">
        <v>0.47499999999999998</v>
      </c>
      <c r="Y6388" s="38">
        <v>5.5599999999999996E-4</v>
      </c>
      <c r="Z6388" s="21">
        <v>4601004230781</v>
      </c>
    </row>
    <row r="6389" spans="1:26" ht="12" customHeight="1" outlineLevel="3" x14ac:dyDescent="0.2">
      <c r="A6389" s="32" t="s">
        <v>12327</v>
      </c>
      <c r="B6389" s="74" t="s">
        <v>12328</v>
      </c>
      <c r="C6389" s="50"/>
      <c r="D6389" s="53">
        <f t="shared" si="99"/>
        <v>0</v>
      </c>
      <c r="E6389" s="60" t="str">
        <f>HYPERLINK("https://www.sds-group.ru/product/samorez-universalnyy-4-5h50-mm-zheltyy-tsink-korob-200-sht-up-kranz-KR-01-3311-020/", "Инфо")</f>
        <v>Инфо</v>
      </c>
      <c r="F6389" s="34" t="s">
        <v>1001</v>
      </c>
      <c r="G6389" s="33"/>
      <c r="H6389" s="33" t="s">
        <v>40</v>
      </c>
      <c r="I6389" s="33"/>
      <c r="J6389" s="35">
        <v>546</v>
      </c>
      <c r="K6389" s="33"/>
      <c r="L6389" s="35">
        <v>1</v>
      </c>
      <c r="M6389" s="35">
        <v>16</v>
      </c>
      <c r="N6389" s="35">
        <v>1</v>
      </c>
      <c r="O6389" s="36">
        <v>667.2</v>
      </c>
      <c r="P6389" s="36">
        <v>546.89</v>
      </c>
      <c r="Q6389" s="36">
        <v>580.46</v>
      </c>
      <c r="R6389" s="36">
        <v>475.79</v>
      </c>
      <c r="S6389" s="36">
        <v>453.7</v>
      </c>
      <c r="T6389" s="36">
        <v>371.89</v>
      </c>
      <c r="U6389" s="34"/>
      <c r="V6389" s="34"/>
      <c r="W6389" s="34" t="s">
        <v>40</v>
      </c>
      <c r="X6389" s="37">
        <v>0.59499999999999997</v>
      </c>
      <c r="Y6389" s="38">
        <v>5.7300000000000005E-4</v>
      </c>
      <c r="Z6389" s="21">
        <v>4601004230743</v>
      </c>
    </row>
    <row r="6390" spans="1:26" ht="12" customHeight="1" outlineLevel="3" x14ac:dyDescent="0.2">
      <c r="A6390" s="32" t="s">
        <v>12329</v>
      </c>
      <c r="B6390" s="74" t="s">
        <v>12330</v>
      </c>
      <c r="C6390" s="50"/>
      <c r="D6390" s="53">
        <f t="shared" si="99"/>
        <v>0</v>
      </c>
      <c r="E6390" s="60" t="str">
        <f>HYPERLINK("https://www.sds-group.ru/product/samorez-universalnyy-5-0h40-mm-zheltyy-tsink-korob-200-sht-up-kranz-KR-01-3311-039/", "Инфо")</f>
        <v>Инфо</v>
      </c>
      <c r="F6390" s="34" t="s">
        <v>1001</v>
      </c>
      <c r="G6390" s="33"/>
      <c r="H6390" s="33" t="s">
        <v>40</v>
      </c>
      <c r="I6390" s="33"/>
      <c r="J6390" s="35">
        <v>17</v>
      </c>
      <c r="K6390" s="33"/>
      <c r="L6390" s="35">
        <v>1</v>
      </c>
      <c r="M6390" s="35">
        <v>16</v>
      </c>
      <c r="N6390" s="35">
        <v>1</v>
      </c>
      <c r="O6390" s="36">
        <v>625.53</v>
      </c>
      <c r="P6390" s="36">
        <v>512.73</v>
      </c>
      <c r="Q6390" s="36">
        <v>544.21</v>
      </c>
      <c r="R6390" s="36">
        <v>446.07</v>
      </c>
      <c r="S6390" s="36">
        <v>425.36</v>
      </c>
      <c r="T6390" s="36">
        <v>348.66</v>
      </c>
      <c r="U6390" s="34"/>
      <c r="V6390" s="34"/>
      <c r="W6390" s="34" t="s">
        <v>40</v>
      </c>
      <c r="X6390" s="37">
        <v>0.621</v>
      </c>
      <c r="Y6390" s="38">
        <v>5.3600000000000002E-4</v>
      </c>
      <c r="Z6390" s="21">
        <v>4601004230798</v>
      </c>
    </row>
    <row r="6391" spans="1:26" ht="12" customHeight="1" outlineLevel="3" x14ac:dyDescent="0.2">
      <c r="A6391" s="32" t="s">
        <v>12331</v>
      </c>
      <c r="B6391" s="74" t="s">
        <v>12332</v>
      </c>
      <c r="C6391" s="50"/>
      <c r="D6391" s="53">
        <f t="shared" si="99"/>
        <v>0</v>
      </c>
      <c r="E6391" s="60" t="str">
        <f>HYPERLINK("https://www.sds-group.ru/product/samorez-universalnyy-5-0h40-mm-zheltyy-tsink-paket-20-sht-up-kranz-1111-0540-4/", "Инфо")</f>
        <v>Инфо</v>
      </c>
      <c r="F6391" s="34" t="s">
        <v>1001</v>
      </c>
      <c r="G6391" s="33"/>
      <c r="H6391" s="33" t="s">
        <v>40</v>
      </c>
      <c r="I6391" s="33"/>
      <c r="J6391" s="35">
        <v>288</v>
      </c>
      <c r="K6391" s="33"/>
      <c r="L6391" s="35">
        <v>1</v>
      </c>
      <c r="M6391" s="35">
        <v>50</v>
      </c>
      <c r="N6391" s="35">
        <v>1</v>
      </c>
      <c r="O6391" s="36">
        <v>75.77</v>
      </c>
      <c r="P6391" s="36">
        <v>62.11</v>
      </c>
      <c r="Q6391" s="36">
        <v>53.04</v>
      </c>
      <c r="R6391" s="36">
        <v>43.48</v>
      </c>
      <c r="S6391" s="36">
        <v>51.52</v>
      </c>
      <c r="T6391" s="36">
        <v>42.23</v>
      </c>
      <c r="U6391" s="34"/>
      <c r="V6391" s="34"/>
      <c r="W6391" s="34"/>
      <c r="X6391" s="37">
        <v>6.6000000000000003E-2</v>
      </c>
      <c r="Y6391" s="38">
        <v>1.8699999999999999E-4</v>
      </c>
      <c r="Z6391" s="21">
        <v>4601004249776</v>
      </c>
    </row>
    <row r="6392" spans="1:26" ht="12" customHeight="1" outlineLevel="3" x14ac:dyDescent="0.2">
      <c r="A6392" s="32" t="s">
        <v>12333</v>
      </c>
      <c r="B6392" s="74" t="s">
        <v>12334</v>
      </c>
      <c r="C6392" s="50"/>
      <c r="D6392" s="53">
        <f t="shared" si="99"/>
        <v>0</v>
      </c>
      <c r="E6392" s="60" t="str">
        <f>HYPERLINK("https://www.sds-group.ru/product/samorez-universalnyy-5-0h50-mm-zheltyy-tsink-korob-100-sht-up-kranz-KR-01-3311-041/", "Инфо")</f>
        <v>Инфо</v>
      </c>
      <c r="F6392" s="34" t="s">
        <v>1001</v>
      </c>
      <c r="G6392" s="33"/>
      <c r="H6392" s="33" t="s">
        <v>40</v>
      </c>
      <c r="I6392" s="33"/>
      <c r="J6392" s="35">
        <v>687</v>
      </c>
      <c r="K6392" s="33"/>
      <c r="L6392" s="35">
        <v>5</v>
      </c>
      <c r="M6392" s="35">
        <v>16</v>
      </c>
      <c r="N6392" s="35">
        <v>5</v>
      </c>
      <c r="O6392" s="36">
        <v>464.43</v>
      </c>
      <c r="P6392" s="36">
        <v>380.68</v>
      </c>
      <c r="Q6392" s="36">
        <v>431.92</v>
      </c>
      <c r="R6392" s="36">
        <v>354.03</v>
      </c>
      <c r="S6392" s="36">
        <v>315.81</v>
      </c>
      <c r="T6392" s="36">
        <v>258.86</v>
      </c>
      <c r="U6392" s="34"/>
      <c r="V6392" s="34"/>
      <c r="W6392" s="34" t="s">
        <v>40</v>
      </c>
      <c r="X6392" s="37">
        <v>0.39400000000000002</v>
      </c>
      <c r="Y6392" s="38">
        <v>6.0099999999999997E-4</v>
      </c>
      <c r="Z6392" s="21">
        <v>4601004231009</v>
      </c>
    </row>
    <row r="6393" spans="1:26" ht="12" customHeight="1" outlineLevel="3" x14ac:dyDescent="0.2">
      <c r="A6393" s="32" t="s">
        <v>12335</v>
      </c>
      <c r="B6393" s="74" t="s">
        <v>12336</v>
      </c>
      <c r="C6393" s="50"/>
      <c r="D6393" s="53">
        <f t="shared" si="99"/>
        <v>0</v>
      </c>
      <c r="E6393" s="60" t="str">
        <f>HYPERLINK("https://www.sds-group.ru/product/samorez-universalnyy-5-0h60-mm-zheltyy-tsink-korob-100-sht-up-kranz-KR-01-3311-042/", "Инфо")</f>
        <v>Инфо</v>
      </c>
      <c r="F6393" s="34" t="s">
        <v>1001</v>
      </c>
      <c r="G6393" s="33"/>
      <c r="H6393" s="33" t="s">
        <v>40</v>
      </c>
      <c r="I6393" s="33"/>
      <c r="J6393" s="39">
        <v>1057</v>
      </c>
      <c r="K6393" s="33"/>
      <c r="L6393" s="35">
        <v>5</v>
      </c>
      <c r="M6393" s="35">
        <v>16</v>
      </c>
      <c r="N6393" s="35">
        <v>5</v>
      </c>
      <c r="O6393" s="36">
        <v>482.31</v>
      </c>
      <c r="P6393" s="36">
        <v>395.34</v>
      </c>
      <c r="Q6393" s="36">
        <v>448.55</v>
      </c>
      <c r="R6393" s="36">
        <v>367.66</v>
      </c>
      <c r="S6393" s="36">
        <v>327.97</v>
      </c>
      <c r="T6393" s="36">
        <v>268.83</v>
      </c>
      <c r="U6393" s="34"/>
      <c r="V6393" s="34"/>
      <c r="W6393" s="34" t="s">
        <v>40</v>
      </c>
      <c r="X6393" s="37">
        <v>0.45100000000000001</v>
      </c>
      <c r="Y6393" s="38">
        <v>5.6400000000000005E-4</v>
      </c>
      <c r="Z6393" s="21">
        <v>4601004231016</v>
      </c>
    </row>
    <row r="6394" spans="1:26" ht="12" customHeight="1" outlineLevel="3" x14ac:dyDescent="0.2">
      <c r="A6394" s="32" t="s">
        <v>12337</v>
      </c>
      <c r="B6394" s="74" t="s">
        <v>12338</v>
      </c>
      <c r="C6394" s="50"/>
      <c r="D6394" s="53">
        <f t="shared" si="99"/>
        <v>0</v>
      </c>
      <c r="E6394" s="60" t="str">
        <f>HYPERLINK("https://www.sds-group.ru/product/samorez-universalnyy-5-0h70-mm-zheltyy-tsink-korob-100-sht-up-kranz-KR-01-3311-043/", "Инфо")</f>
        <v>Инфо</v>
      </c>
      <c r="F6394" s="34" t="s">
        <v>1001</v>
      </c>
      <c r="G6394" s="33"/>
      <c r="H6394" s="33" t="s">
        <v>40</v>
      </c>
      <c r="I6394" s="33"/>
      <c r="J6394" s="39">
        <v>1196</v>
      </c>
      <c r="K6394" s="33"/>
      <c r="L6394" s="35">
        <v>5</v>
      </c>
      <c r="M6394" s="35">
        <v>16</v>
      </c>
      <c r="N6394" s="35">
        <v>5</v>
      </c>
      <c r="O6394" s="36">
        <v>500.16</v>
      </c>
      <c r="P6394" s="36">
        <v>409.97</v>
      </c>
      <c r="Q6394" s="36">
        <v>435.14</v>
      </c>
      <c r="R6394" s="36">
        <v>356.67</v>
      </c>
      <c r="S6394" s="36">
        <v>340.11</v>
      </c>
      <c r="T6394" s="36">
        <v>278.77999999999997</v>
      </c>
      <c r="U6394" s="34"/>
      <c r="V6394" s="34"/>
      <c r="W6394" s="34" t="s">
        <v>40</v>
      </c>
      <c r="X6394" s="37">
        <v>0.52100000000000002</v>
      </c>
      <c r="Y6394" s="38">
        <v>6.0499999999999996E-4</v>
      </c>
      <c r="Z6394" s="21">
        <v>4601004231023</v>
      </c>
    </row>
    <row r="6395" spans="1:26" ht="12.95" customHeight="1" outlineLevel="2" x14ac:dyDescent="0.2">
      <c r="A6395" s="76" t="s">
        <v>12339</v>
      </c>
      <c r="B6395" s="76"/>
      <c r="C6395" s="77"/>
      <c r="D6395" s="58"/>
      <c r="E6395" s="68"/>
      <c r="F6395" s="13"/>
      <c r="G6395" s="13"/>
      <c r="H6395" s="13"/>
      <c r="I6395" s="13"/>
      <c r="J6395" s="13"/>
      <c r="K6395" s="13"/>
      <c r="L6395" s="13"/>
      <c r="M6395" s="13"/>
      <c r="N6395" s="13"/>
      <c r="O6395" s="13"/>
      <c r="P6395" s="13"/>
      <c r="Q6395" s="13"/>
      <c r="R6395" s="13"/>
      <c r="S6395" s="13"/>
      <c r="T6395" s="13"/>
      <c r="U6395" s="13"/>
      <c r="V6395" s="13"/>
      <c r="W6395" s="13"/>
      <c r="X6395" s="13"/>
      <c r="Y6395" s="13"/>
      <c r="Z6395" s="13"/>
    </row>
    <row r="6396" spans="1:26" ht="12" customHeight="1" outlineLevel="3" x14ac:dyDescent="0.2">
      <c r="A6396" s="32" t="s">
        <v>12340</v>
      </c>
      <c r="B6396" s="74" t="s">
        <v>12341</v>
      </c>
      <c r="C6396" s="50"/>
      <c r="D6396" s="53">
        <f t="shared" si="99"/>
        <v>0</v>
      </c>
      <c r="E6396" s="60" t="str">
        <f>HYPERLINK("https://www.sds-group.ru/product/samorez-dlya-gipsovoloknistyh-plit-3-9h25-mm-korob-200-sht-up-kranz-KR-01-3321-002/", "Инфо")</f>
        <v>Инфо</v>
      </c>
      <c r="F6396" s="34" t="s">
        <v>1001</v>
      </c>
      <c r="G6396" s="33"/>
      <c r="H6396" s="33" t="s">
        <v>40</v>
      </c>
      <c r="I6396" s="33"/>
      <c r="J6396" s="34" t="s">
        <v>100</v>
      </c>
      <c r="K6396" s="33"/>
      <c r="L6396" s="35">
        <v>1</v>
      </c>
      <c r="M6396" s="35">
        <v>32</v>
      </c>
      <c r="N6396" s="35">
        <v>1</v>
      </c>
      <c r="O6396" s="36">
        <v>337.91</v>
      </c>
      <c r="P6396" s="36">
        <v>276.98</v>
      </c>
      <c r="Q6396" s="36">
        <v>236.54</v>
      </c>
      <c r="R6396" s="36">
        <v>193.89</v>
      </c>
      <c r="S6396" s="36">
        <v>229.78</v>
      </c>
      <c r="T6396" s="36">
        <v>188.34</v>
      </c>
      <c r="U6396" s="34"/>
      <c r="V6396" s="34"/>
      <c r="W6396" s="34"/>
      <c r="X6396" s="37">
        <v>0.30399999999999999</v>
      </c>
      <c r="Y6396" s="38">
        <v>2.6499999999999999E-4</v>
      </c>
      <c r="Z6396" s="21">
        <v>4601004234901</v>
      </c>
    </row>
    <row r="6397" spans="1:26" ht="12" customHeight="1" outlineLevel="3" x14ac:dyDescent="0.2">
      <c r="A6397" s="32" t="s">
        <v>12342</v>
      </c>
      <c r="B6397" s="74" t="s">
        <v>12343</v>
      </c>
      <c r="C6397" s="50"/>
      <c r="D6397" s="53">
        <f t="shared" si="99"/>
        <v>0</v>
      </c>
      <c r="E6397" s="60" t="str">
        <f>HYPERLINK("https://www.sds-group.ru/product/samorez-dlya-gipsovoloknistyh-plit-3-9h30-mm-korob-200-sht-up-kranz-KR-01-3321-003/", "Инфо")</f>
        <v>Инфо</v>
      </c>
      <c r="F6397" s="34" t="s">
        <v>1001</v>
      </c>
      <c r="G6397" s="33"/>
      <c r="H6397" s="33" t="s">
        <v>40</v>
      </c>
      <c r="I6397" s="33"/>
      <c r="J6397" s="35">
        <v>205</v>
      </c>
      <c r="K6397" s="33"/>
      <c r="L6397" s="35">
        <v>1</v>
      </c>
      <c r="M6397" s="35">
        <v>32</v>
      </c>
      <c r="N6397" s="35">
        <v>1</v>
      </c>
      <c r="O6397" s="36">
        <v>364.82</v>
      </c>
      <c r="P6397" s="36">
        <v>299.02999999999997</v>
      </c>
      <c r="Q6397" s="36">
        <v>255.37</v>
      </c>
      <c r="R6397" s="36">
        <v>209.32</v>
      </c>
      <c r="S6397" s="36">
        <v>248.08</v>
      </c>
      <c r="T6397" s="36">
        <v>203.34</v>
      </c>
      <c r="U6397" s="34"/>
      <c r="V6397" s="34"/>
      <c r="W6397" s="34"/>
      <c r="X6397" s="37">
        <v>0.34899999999999998</v>
      </c>
      <c r="Y6397" s="38">
        <v>5.2899999999999996E-4</v>
      </c>
      <c r="Z6397" s="21">
        <v>4601004234918</v>
      </c>
    </row>
    <row r="6398" spans="1:26" ht="12" customHeight="1" outlineLevel="3" x14ac:dyDescent="0.2">
      <c r="A6398" s="32" t="s">
        <v>12344</v>
      </c>
      <c r="B6398" s="74" t="s">
        <v>12345</v>
      </c>
      <c r="C6398" s="50"/>
      <c r="D6398" s="53">
        <f t="shared" si="99"/>
        <v>0</v>
      </c>
      <c r="E6398" s="60" t="str">
        <f>HYPERLINK("https://www.sds-group.ru/product/samorez-dlya-gipsovoloknistyh-plit-3-9h35-mm-korob-200-sht-up-kranz-KR-01-3321-004/", "Инфо")</f>
        <v>Инфо</v>
      </c>
      <c r="F6398" s="34" t="s">
        <v>1001</v>
      </c>
      <c r="G6398" s="33"/>
      <c r="H6398" s="33" t="s">
        <v>40</v>
      </c>
      <c r="I6398" s="33"/>
      <c r="J6398" s="35">
        <v>683</v>
      </c>
      <c r="K6398" s="33"/>
      <c r="L6398" s="35">
        <v>1</v>
      </c>
      <c r="M6398" s="35">
        <v>16</v>
      </c>
      <c r="N6398" s="35">
        <v>1</v>
      </c>
      <c r="O6398" s="36">
        <v>461.21</v>
      </c>
      <c r="P6398" s="36">
        <v>378.04</v>
      </c>
      <c r="Q6398" s="36">
        <v>322.85000000000002</v>
      </c>
      <c r="R6398" s="36">
        <v>264.63</v>
      </c>
      <c r="S6398" s="36">
        <v>313.62</v>
      </c>
      <c r="T6398" s="36">
        <v>257.07</v>
      </c>
      <c r="U6398" s="34"/>
      <c r="V6398" s="34"/>
      <c r="W6398" s="34"/>
      <c r="X6398" s="37">
        <v>0.39900000000000002</v>
      </c>
      <c r="Y6398" s="38">
        <v>5.2700000000000002E-4</v>
      </c>
      <c r="Z6398" s="21">
        <v>4601004234710</v>
      </c>
    </row>
    <row r="6399" spans="1:26" ht="12" customHeight="1" outlineLevel="3" x14ac:dyDescent="0.2">
      <c r="A6399" s="32" t="s">
        <v>12346</v>
      </c>
      <c r="B6399" s="74" t="s">
        <v>12347</v>
      </c>
      <c r="C6399" s="50"/>
      <c r="D6399" s="53">
        <f t="shared" si="99"/>
        <v>0</v>
      </c>
      <c r="E6399" s="60" t="str">
        <f>HYPERLINK("https://www.sds-group.ru/product/samorez-dlya-gipsovoloknistyh-plit-3-9h35-mm-paket-800-sht-up-kranz-1123-3935-2/", "Инфо")</f>
        <v>Инфо</v>
      </c>
      <c r="F6399" s="34" t="s">
        <v>1001</v>
      </c>
      <c r="G6399" s="33"/>
      <c r="H6399" s="33" t="s">
        <v>40</v>
      </c>
      <c r="I6399" s="33"/>
      <c r="J6399" s="35">
        <v>4</v>
      </c>
      <c r="K6399" s="33"/>
      <c r="L6399" s="35">
        <v>1</v>
      </c>
      <c r="M6399" s="35">
        <v>10</v>
      </c>
      <c r="N6399" s="35">
        <v>1</v>
      </c>
      <c r="O6399" s="36">
        <v>899.72</v>
      </c>
      <c r="P6399" s="36">
        <v>737.48</v>
      </c>
      <c r="Q6399" s="36">
        <v>629.79999999999995</v>
      </c>
      <c r="R6399" s="36">
        <v>516.23</v>
      </c>
      <c r="S6399" s="36">
        <v>611.80999999999995</v>
      </c>
      <c r="T6399" s="36">
        <v>501.48</v>
      </c>
      <c r="U6399" s="34"/>
      <c r="V6399" s="34"/>
      <c r="W6399" s="34"/>
      <c r="X6399" s="37">
        <v>1.506</v>
      </c>
      <c r="Y6399" s="38">
        <v>1.9650000000000002E-3</v>
      </c>
      <c r="Z6399" s="21">
        <v>4601004270978</v>
      </c>
    </row>
    <row r="6400" spans="1:26" ht="12" customHeight="1" outlineLevel="3" x14ac:dyDescent="0.2">
      <c r="A6400" s="32" t="s">
        <v>12348</v>
      </c>
      <c r="B6400" s="74" t="s">
        <v>12349</v>
      </c>
      <c r="C6400" s="50"/>
      <c r="D6400" s="53">
        <f t="shared" si="99"/>
        <v>0</v>
      </c>
      <c r="E6400" s="60" t="str">
        <f>HYPERLINK("https://www.sds-group.ru/product/samorez-dlya-gipsovoloknistyh-plit-3-9h45-mm-korob-200-sht-up-kranz-KR-01-3321-005/", "Инфо")</f>
        <v>Инфо</v>
      </c>
      <c r="F6400" s="34" t="s">
        <v>1001</v>
      </c>
      <c r="G6400" s="33"/>
      <c r="H6400" s="33" t="s">
        <v>40</v>
      </c>
      <c r="I6400" s="33"/>
      <c r="J6400" s="35">
        <v>543</v>
      </c>
      <c r="K6400" s="33"/>
      <c r="L6400" s="35">
        <v>1</v>
      </c>
      <c r="M6400" s="35">
        <v>8</v>
      </c>
      <c r="N6400" s="35">
        <v>1</v>
      </c>
      <c r="O6400" s="36">
        <v>531.66999999999996</v>
      </c>
      <c r="P6400" s="36">
        <v>435.8</v>
      </c>
      <c r="Q6400" s="36">
        <v>372.17</v>
      </c>
      <c r="R6400" s="36">
        <v>305.06</v>
      </c>
      <c r="S6400" s="36">
        <v>361.54</v>
      </c>
      <c r="T6400" s="36">
        <v>296.33999999999997</v>
      </c>
      <c r="U6400" s="34"/>
      <c r="V6400" s="34"/>
      <c r="W6400" s="34"/>
      <c r="X6400" s="37">
        <v>0.498</v>
      </c>
      <c r="Y6400" s="38">
        <v>1.0690000000000001E-3</v>
      </c>
      <c r="Z6400" s="21">
        <v>4601004234925</v>
      </c>
    </row>
    <row r="6401" spans="1:26" ht="12.95" customHeight="1" outlineLevel="2" x14ac:dyDescent="0.2">
      <c r="A6401" s="76" t="s">
        <v>12350</v>
      </c>
      <c r="B6401" s="76"/>
      <c r="C6401" s="77"/>
      <c r="D6401" s="58"/>
      <c r="E6401" s="68"/>
      <c r="F6401" s="13"/>
      <c r="G6401" s="13"/>
      <c r="H6401" s="13"/>
      <c r="I6401" s="13"/>
      <c r="J6401" s="13"/>
      <c r="K6401" s="13"/>
      <c r="L6401" s="13"/>
      <c r="M6401" s="13"/>
      <c r="N6401" s="13"/>
      <c r="O6401" s="13"/>
      <c r="P6401" s="13"/>
      <c r="Q6401" s="13"/>
      <c r="R6401" s="13"/>
      <c r="S6401" s="13"/>
      <c r="T6401" s="13"/>
      <c r="U6401" s="13"/>
      <c r="V6401" s="13"/>
      <c r="W6401" s="13"/>
      <c r="X6401" s="13"/>
      <c r="Y6401" s="13"/>
      <c r="Z6401" s="13"/>
    </row>
    <row r="6402" spans="1:26" ht="12" customHeight="1" outlineLevel="3" x14ac:dyDescent="0.2">
      <c r="A6402" s="32" t="s">
        <v>12351</v>
      </c>
      <c r="B6402" s="74" t="s">
        <v>12352</v>
      </c>
      <c r="C6402" s="50"/>
      <c r="D6402" s="53">
        <f t="shared" si="99"/>
        <v>0</v>
      </c>
      <c r="E6402" s="60" t="str">
        <f>HYPERLINK("https://www.sds-group.ru/product/samorez-gipsokarton-derevo-3-5h19-mm-korob-200-sht-up-kranz-KR-01-3331-002/", "Инфо")</f>
        <v>Инфо</v>
      </c>
      <c r="F6402" s="34" t="s">
        <v>1001</v>
      </c>
      <c r="G6402" s="33"/>
      <c r="H6402" s="33" t="s">
        <v>40</v>
      </c>
      <c r="I6402" s="33"/>
      <c r="J6402" s="39">
        <v>3212</v>
      </c>
      <c r="K6402" s="33"/>
      <c r="L6402" s="35">
        <v>10</v>
      </c>
      <c r="M6402" s="35">
        <v>32</v>
      </c>
      <c r="N6402" s="35">
        <v>10</v>
      </c>
      <c r="O6402" s="36">
        <v>153.12</v>
      </c>
      <c r="P6402" s="36">
        <v>125.51</v>
      </c>
      <c r="Q6402" s="36">
        <v>142.4</v>
      </c>
      <c r="R6402" s="36">
        <v>116.72</v>
      </c>
      <c r="S6402" s="36">
        <v>104.12</v>
      </c>
      <c r="T6402" s="36">
        <v>85.34</v>
      </c>
      <c r="U6402" s="34"/>
      <c r="V6402" s="34"/>
      <c r="W6402" s="34" t="s">
        <v>40</v>
      </c>
      <c r="X6402" s="37">
        <v>0.20300000000000001</v>
      </c>
      <c r="Y6402" s="38">
        <v>2.7700000000000001E-4</v>
      </c>
      <c r="Z6402" s="21">
        <v>4601004234932</v>
      </c>
    </row>
    <row r="6403" spans="1:26" ht="12" customHeight="1" outlineLevel="3" x14ac:dyDescent="0.2">
      <c r="A6403" s="32" t="s">
        <v>12353</v>
      </c>
      <c r="B6403" s="74" t="s">
        <v>12354</v>
      </c>
      <c r="C6403" s="50"/>
      <c r="D6403" s="53">
        <f t="shared" si="99"/>
        <v>0</v>
      </c>
      <c r="E6403" s="60" t="str">
        <f>HYPERLINK("https://www.sds-group.ru/product/samorez-gipsokarton-derevo-3-5h19-mm-paket-20-sht-up-kranz-1133-3519-5/", "Инфо")</f>
        <v>Инфо</v>
      </c>
      <c r="F6403" s="34" t="s">
        <v>1001</v>
      </c>
      <c r="G6403" s="33"/>
      <c r="H6403" s="33" t="s">
        <v>40</v>
      </c>
      <c r="I6403" s="33"/>
      <c r="J6403" s="35">
        <v>501</v>
      </c>
      <c r="K6403" s="33"/>
      <c r="L6403" s="35">
        <v>1</v>
      </c>
      <c r="M6403" s="35">
        <v>50</v>
      </c>
      <c r="N6403" s="35">
        <v>1</v>
      </c>
      <c r="O6403" s="36">
        <v>34.729999999999997</v>
      </c>
      <c r="P6403" s="36">
        <v>28.47</v>
      </c>
      <c r="Q6403" s="36">
        <v>24.31</v>
      </c>
      <c r="R6403" s="36">
        <v>19.93</v>
      </c>
      <c r="S6403" s="36">
        <v>23.62</v>
      </c>
      <c r="T6403" s="36">
        <v>19.36</v>
      </c>
      <c r="U6403" s="34"/>
      <c r="V6403" s="34"/>
      <c r="W6403" s="34"/>
      <c r="X6403" s="37">
        <v>2.9000000000000001E-2</v>
      </c>
      <c r="Y6403" s="38">
        <v>1.92E-4</v>
      </c>
      <c r="Z6403" s="21">
        <v>4601004249851</v>
      </c>
    </row>
    <row r="6404" spans="1:26" ht="12" customHeight="1" outlineLevel="3" x14ac:dyDescent="0.2">
      <c r="A6404" s="32" t="s">
        <v>12355</v>
      </c>
      <c r="B6404" s="74" t="s">
        <v>12356</v>
      </c>
      <c r="C6404" s="50"/>
      <c r="D6404" s="53">
        <f t="shared" si="99"/>
        <v>0</v>
      </c>
      <c r="E6404" s="60" t="str">
        <f>HYPERLINK("https://www.sds-group.ru/product/samorez-gipsokarton-derevo-3-5h25-mm-korob-200-sht-up-kranz-KR-01-3331-003/", "Инфо")</f>
        <v>Инфо</v>
      </c>
      <c r="F6404" s="34" t="s">
        <v>1001</v>
      </c>
      <c r="G6404" s="33"/>
      <c r="H6404" s="33" t="s">
        <v>40</v>
      </c>
      <c r="I6404" s="33"/>
      <c r="J6404" s="39">
        <v>2712</v>
      </c>
      <c r="K6404" s="33"/>
      <c r="L6404" s="35">
        <v>5</v>
      </c>
      <c r="M6404" s="35">
        <v>32</v>
      </c>
      <c r="N6404" s="35">
        <v>5</v>
      </c>
      <c r="O6404" s="36">
        <v>269.11</v>
      </c>
      <c r="P6404" s="36">
        <v>220.58</v>
      </c>
      <c r="Q6404" s="36">
        <v>250.27</v>
      </c>
      <c r="R6404" s="36">
        <v>205.14</v>
      </c>
      <c r="S6404" s="36">
        <v>182.99</v>
      </c>
      <c r="T6404" s="36">
        <v>149.99</v>
      </c>
      <c r="U6404" s="34"/>
      <c r="V6404" s="34"/>
      <c r="W6404" s="34" t="s">
        <v>40</v>
      </c>
      <c r="X6404" s="37">
        <v>0.251</v>
      </c>
      <c r="Y6404" s="38">
        <v>2.7799999999999998E-4</v>
      </c>
      <c r="Z6404" s="21">
        <v>4601004234949</v>
      </c>
    </row>
    <row r="6405" spans="1:26" ht="12" customHeight="1" outlineLevel="3" x14ac:dyDescent="0.2">
      <c r="A6405" s="32" t="s">
        <v>12357</v>
      </c>
      <c r="B6405" s="74" t="s">
        <v>12358</v>
      </c>
      <c r="C6405" s="50"/>
      <c r="D6405" s="53">
        <f t="shared" si="99"/>
        <v>0</v>
      </c>
      <c r="E6405" s="60" t="str">
        <f>HYPERLINK("https://www.sds-group.ru/product/samorez-gipsokarton-derevo-3-5h25-mm-paket-20-sht-up-kranz-1133-3525-5/", "Инфо")</f>
        <v>Инфо</v>
      </c>
      <c r="F6405" s="34" t="s">
        <v>1001</v>
      </c>
      <c r="G6405" s="33"/>
      <c r="H6405" s="33" t="s">
        <v>40</v>
      </c>
      <c r="I6405" s="33"/>
      <c r="J6405" s="39">
        <v>1436</v>
      </c>
      <c r="K6405" s="33"/>
      <c r="L6405" s="35">
        <v>1</v>
      </c>
      <c r="M6405" s="35">
        <v>50</v>
      </c>
      <c r="N6405" s="35">
        <v>1</v>
      </c>
      <c r="O6405" s="36">
        <v>28.21</v>
      </c>
      <c r="P6405" s="36">
        <v>23.12</v>
      </c>
      <c r="Q6405" s="36">
        <v>19.75</v>
      </c>
      <c r="R6405" s="36">
        <v>16.190000000000001</v>
      </c>
      <c r="S6405" s="36">
        <v>19.18</v>
      </c>
      <c r="T6405" s="36">
        <v>15.72</v>
      </c>
      <c r="U6405" s="34"/>
      <c r="V6405" s="34"/>
      <c r="W6405" s="34"/>
      <c r="X6405" s="37">
        <v>2.9000000000000001E-2</v>
      </c>
      <c r="Y6405" s="38">
        <v>1.92E-4</v>
      </c>
      <c r="Z6405" s="21">
        <v>4601004249868</v>
      </c>
    </row>
    <row r="6406" spans="1:26" ht="12" customHeight="1" outlineLevel="3" x14ac:dyDescent="0.2">
      <c r="A6406" s="32" t="s">
        <v>12359</v>
      </c>
      <c r="B6406" s="74" t="s">
        <v>12360</v>
      </c>
      <c r="C6406" s="50"/>
      <c r="D6406" s="53">
        <f t="shared" si="99"/>
        <v>0</v>
      </c>
      <c r="E6406" s="60" t="str">
        <f>HYPERLINK("https://www.sds-group.ru/product/samorez-gipsokarton-derevo-3-5h25-mm-paket-50-sht-up-kranz-1133-3525-4/", "Инфо")</f>
        <v>Инфо</v>
      </c>
      <c r="F6406" s="34" t="s">
        <v>1001</v>
      </c>
      <c r="G6406" s="33"/>
      <c r="H6406" s="33" t="s">
        <v>40</v>
      </c>
      <c r="I6406" s="33"/>
      <c r="J6406" s="34" t="s">
        <v>100</v>
      </c>
      <c r="K6406" s="33"/>
      <c r="L6406" s="35">
        <v>1</v>
      </c>
      <c r="M6406" s="35">
        <v>50</v>
      </c>
      <c r="N6406" s="35">
        <v>1</v>
      </c>
      <c r="O6406" s="36">
        <v>94.37</v>
      </c>
      <c r="P6406" s="36">
        <v>77.349999999999994</v>
      </c>
      <c r="Q6406" s="36">
        <v>66.06</v>
      </c>
      <c r="R6406" s="36">
        <v>54.15</v>
      </c>
      <c r="S6406" s="36">
        <v>64.17</v>
      </c>
      <c r="T6406" s="36">
        <v>52.6</v>
      </c>
      <c r="U6406" s="34"/>
      <c r="V6406" s="34"/>
      <c r="W6406" s="34"/>
      <c r="X6406" s="37">
        <v>6.6000000000000003E-2</v>
      </c>
      <c r="Y6406" s="38">
        <v>1.6799999999999999E-4</v>
      </c>
      <c r="Z6406" s="21">
        <v>4601004247727</v>
      </c>
    </row>
    <row r="6407" spans="1:26" ht="12" customHeight="1" outlineLevel="3" x14ac:dyDescent="0.2">
      <c r="A6407" s="32" t="s">
        <v>12361</v>
      </c>
      <c r="B6407" s="74" t="s">
        <v>12362</v>
      </c>
      <c r="C6407" s="50"/>
      <c r="D6407" s="53">
        <f t="shared" si="99"/>
        <v>0</v>
      </c>
      <c r="E6407" s="60" t="str">
        <f>HYPERLINK("https://www.sds-group.ru/product/samorez-gipsokarton-derevo-3-5h32-mm-korob-200-sht-up-kranz-KR-01-3331-004/", "Инфо")</f>
        <v>Инфо</v>
      </c>
      <c r="F6407" s="34" t="s">
        <v>1001</v>
      </c>
      <c r="G6407" s="33"/>
      <c r="H6407" s="33" t="s">
        <v>40</v>
      </c>
      <c r="I6407" s="33"/>
      <c r="J6407" s="35">
        <v>370</v>
      </c>
      <c r="K6407" s="33"/>
      <c r="L6407" s="35">
        <v>5</v>
      </c>
      <c r="M6407" s="35">
        <v>32</v>
      </c>
      <c r="N6407" s="35">
        <v>5</v>
      </c>
      <c r="O6407" s="36">
        <v>339.43</v>
      </c>
      <c r="P6407" s="36">
        <v>278.22000000000003</v>
      </c>
      <c r="Q6407" s="36">
        <v>315.67</v>
      </c>
      <c r="R6407" s="36">
        <v>258.75</v>
      </c>
      <c r="S6407" s="36">
        <v>230.81</v>
      </c>
      <c r="T6407" s="36">
        <v>189.19</v>
      </c>
      <c r="U6407" s="34"/>
      <c r="V6407" s="34"/>
      <c r="W6407" s="34" t="s">
        <v>40</v>
      </c>
      <c r="X6407" s="37">
        <v>0.29899999999999999</v>
      </c>
      <c r="Y6407" s="38">
        <v>3.1E-4</v>
      </c>
      <c r="Z6407" s="21">
        <v>4601004230804</v>
      </c>
    </row>
    <row r="6408" spans="1:26" ht="12" customHeight="1" outlineLevel="3" x14ac:dyDescent="0.2">
      <c r="A6408" s="32" t="s">
        <v>12363</v>
      </c>
      <c r="B6408" s="74" t="s">
        <v>12364</v>
      </c>
      <c r="C6408" s="50"/>
      <c r="D6408" s="53">
        <f t="shared" si="99"/>
        <v>0</v>
      </c>
      <c r="E6408" s="60" t="str">
        <f>HYPERLINK("https://www.sds-group.ru/product/samorez-gipsokarton-derevo-3-5h32-mm-paket-25-sht-up-kranz-1133-3532-5/", "Инфо")</f>
        <v>Инфо</v>
      </c>
      <c r="F6408" s="34" t="s">
        <v>1001</v>
      </c>
      <c r="G6408" s="33"/>
      <c r="H6408" s="33" t="s">
        <v>40</v>
      </c>
      <c r="I6408" s="33"/>
      <c r="J6408" s="39">
        <v>5280</v>
      </c>
      <c r="K6408" s="33"/>
      <c r="L6408" s="35">
        <v>1</v>
      </c>
      <c r="M6408" s="35">
        <v>50</v>
      </c>
      <c r="N6408" s="35">
        <v>1</v>
      </c>
      <c r="O6408" s="36">
        <v>29.57</v>
      </c>
      <c r="P6408" s="36">
        <v>24.24</v>
      </c>
      <c r="Q6408" s="36">
        <v>20.7</v>
      </c>
      <c r="R6408" s="36">
        <v>16.97</v>
      </c>
      <c r="S6408" s="36">
        <v>20.11</v>
      </c>
      <c r="T6408" s="36">
        <v>16.48</v>
      </c>
      <c r="U6408" s="34"/>
      <c r="V6408" s="34"/>
      <c r="W6408" s="34"/>
      <c r="X6408" s="37">
        <v>4.8000000000000001E-2</v>
      </c>
      <c r="Y6408" s="38">
        <v>1.9100000000000001E-4</v>
      </c>
      <c r="Z6408" s="21">
        <v>4601004249875</v>
      </c>
    </row>
    <row r="6409" spans="1:26" ht="12" customHeight="1" outlineLevel="3" x14ac:dyDescent="0.2">
      <c r="A6409" s="32" t="s">
        <v>12365</v>
      </c>
      <c r="B6409" s="74" t="s">
        <v>12366</v>
      </c>
      <c r="C6409" s="50"/>
      <c r="D6409" s="53">
        <f t="shared" ref="D6409:D6472" si="100">C6409*(O6409-O6409*$G$3)</f>
        <v>0</v>
      </c>
      <c r="E6409" s="60" t="str">
        <f>HYPERLINK("https://www.sds-group.ru/product/samorez-gipsokarton-derevo-3-5h35-mm-korob-200-sht-up-kranz-KR-01-3331-005/", "Инфо")</f>
        <v>Инфо</v>
      </c>
      <c r="F6409" s="34" t="s">
        <v>1001</v>
      </c>
      <c r="G6409" s="33"/>
      <c r="H6409" s="33" t="s">
        <v>40</v>
      </c>
      <c r="I6409" s="33"/>
      <c r="J6409" s="35">
        <v>236</v>
      </c>
      <c r="K6409" s="33" t="s">
        <v>6744</v>
      </c>
      <c r="L6409" s="35">
        <v>5</v>
      </c>
      <c r="M6409" s="35">
        <v>32</v>
      </c>
      <c r="N6409" s="35">
        <v>5</v>
      </c>
      <c r="O6409" s="36">
        <v>415.4</v>
      </c>
      <c r="P6409" s="36">
        <v>340.49</v>
      </c>
      <c r="Q6409" s="36">
        <v>386.32</v>
      </c>
      <c r="R6409" s="36">
        <v>316.66000000000003</v>
      </c>
      <c r="S6409" s="36">
        <v>282.47000000000003</v>
      </c>
      <c r="T6409" s="36">
        <v>231.53</v>
      </c>
      <c r="U6409" s="34"/>
      <c r="V6409" s="34"/>
      <c r="W6409" s="34" t="s">
        <v>40</v>
      </c>
      <c r="X6409" s="37">
        <v>0.34200000000000003</v>
      </c>
      <c r="Y6409" s="38">
        <v>5.3399999999999997E-4</v>
      </c>
      <c r="Z6409" s="21">
        <v>4601004230811</v>
      </c>
    </row>
    <row r="6410" spans="1:26" ht="12" customHeight="1" outlineLevel="3" x14ac:dyDescent="0.2">
      <c r="A6410" s="32" t="s">
        <v>12367</v>
      </c>
      <c r="B6410" s="74" t="s">
        <v>12368</v>
      </c>
      <c r="C6410" s="50"/>
      <c r="D6410" s="53">
        <f t="shared" si="100"/>
        <v>0</v>
      </c>
      <c r="E6410" s="60" t="str">
        <f>HYPERLINK("https://www.sds-group.ru/product/samorez-gipsokarton-derevo-3-5h35-mm-paket-25-sht-up-kranz-1133-3535-5/", "Инфо")</f>
        <v>Инфо</v>
      </c>
      <c r="F6410" s="34" t="s">
        <v>1001</v>
      </c>
      <c r="G6410" s="33"/>
      <c r="H6410" s="33" t="s">
        <v>40</v>
      </c>
      <c r="I6410" s="33"/>
      <c r="J6410" s="35">
        <v>545</v>
      </c>
      <c r="K6410" s="33"/>
      <c r="L6410" s="35">
        <v>1</v>
      </c>
      <c r="M6410" s="35">
        <v>50</v>
      </c>
      <c r="N6410" s="35">
        <v>1</v>
      </c>
      <c r="O6410" s="36">
        <v>18.489999999999998</v>
      </c>
      <c r="P6410" s="36">
        <v>15.16</v>
      </c>
      <c r="Q6410" s="36">
        <v>12.94</v>
      </c>
      <c r="R6410" s="36">
        <v>10.61</v>
      </c>
      <c r="S6410" s="36">
        <v>12.57</v>
      </c>
      <c r="T6410" s="36">
        <v>10.3</v>
      </c>
      <c r="U6410" s="34"/>
      <c r="V6410" s="34"/>
      <c r="W6410" s="34"/>
      <c r="X6410" s="37">
        <v>4.2999999999999997E-2</v>
      </c>
      <c r="Y6410" s="38">
        <v>1.9900000000000001E-4</v>
      </c>
      <c r="Z6410" s="21">
        <v>4601004249882</v>
      </c>
    </row>
    <row r="6411" spans="1:26" ht="12" customHeight="1" outlineLevel="3" x14ac:dyDescent="0.2">
      <c r="A6411" s="32" t="s">
        <v>12369</v>
      </c>
      <c r="B6411" s="74" t="s">
        <v>12370</v>
      </c>
      <c r="C6411" s="50"/>
      <c r="D6411" s="53">
        <f t="shared" si="100"/>
        <v>0</v>
      </c>
      <c r="E6411" s="60" t="str">
        <f>HYPERLINK("https://www.sds-group.ru/product/samorez-gipsokarton-derevo-3-5h35-mm-paket-50-sht-up-kranz-1133-3535-4/", "Инфо")</f>
        <v>Инфо</v>
      </c>
      <c r="F6411" s="34" t="s">
        <v>1001</v>
      </c>
      <c r="G6411" s="33"/>
      <c r="H6411" s="33" t="s">
        <v>40</v>
      </c>
      <c r="I6411" s="33"/>
      <c r="J6411" s="34" t="s">
        <v>100</v>
      </c>
      <c r="K6411" s="33" t="s">
        <v>6744</v>
      </c>
      <c r="L6411" s="35">
        <v>10</v>
      </c>
      <c r="M6411" s="35">
        <v>40</v>
      </c>
      <c r="N6411" s="35">
        <v>10</v>
      </c>
      <c r="O6411" s="36">
        <v>94.06</v>
      </c>
      <c r="P6411" s="36">
        <v>77.099999999999994</v>
      </c>
      <c r="Q6411" s="36">
        <v>87.48</v>
      </c>
      <c r="R6411" s="36">
        <v>71.7</v>
      </c>
      <c r="S6411" s="36">
        <v>63.96</v>
      </c>
      <c r="T6411" s="36">
        <v>52.43</v>
      </c>
      <c r="U6411" s="34"/>
      <c r="V6411" s="34"/>
      <c r="W6411" s="34" t="s">
        <v>40</v>
      </c>
      <c r="X6411" s="37">
        <v>8.5999999999999993E-2</v>
      </c>
      <c r="Y6411" s="38">
        <v>2.14E-4</v>
      </c>
      <c r="Z6411" s="21">
        <v>4601004247703</v>
      </c>
    </row>
    <row r="6412" spans="1:26" ht="12" customHeight="1" outlineLevel="3" x14ac:dyDescent="0.2">
      <c r="A6412" s="32" t="s">
        <v>12371</v>
      </c>
      <c r="B6412" s="74" t="s">
        <v>12372</v>
      </c>
      <c r="C6412" s="50"/>
      <c r="D6412" s="53">
        <f t="shared" si="100"/>
        <v>0</v>
      </c>
      <c r="E6412" s="60" t="str">
        <f>HYPERLINK("https://www.sds-group.ru/product/samorez-gipsokarton-derevo-3-5h41-mm-korob-200-sht-up-kranz-KR-01-3331-006/", "Инфо")</f>
        <v>Инфо</v>
      </c>
      <c r="F6412" s="34" t="s">
        <v>1001</v>
      </c>
      <c r="G6412" s="33"/>
      <c r="H6412" s="33" t="s">
        <v>40</v>
      </c>
      <c r="I6412" s="33"/>
      <c r="J6412" s="35">
        <v>11</v>
      </c>
      <c r="K6412" s="33"/>
      <c r="L6412" s="35">
        <v>5</v>
      </c>
      <c r="M6412" s="35">
        <v>16</v>
      </c>
      <c r="N6412" s="35">
        <v>5</v>
      </c>
      <c r="O6412" s="36">
        <v>367.69</v>
      </c>
      <c r="P6412" s="36">
        <v>301.39</v>
      </c>
      <c r="Q6412" s="36">
        <v>341.95</v>
      </c>
      <c r="R6412" s="36">
        <v>280.29000000000002</v>
      </c>
      <c r="S6412" s="36">
        <v>250.03</v>
      </c>
      <c r="T6412" s="36">
        <v>204.94</v>
      </c>
      <c r="U6412" s="34"/>
      <c r="V6412" s="34"/>
      <c r="W6412" s="34" t="s">
        <v>40</v>
      </c>
      <c r="X6412" s="37">
        <v>0.38200000000000001</v>
      </c>
      <c r="Y6412" s="38">
        <v>5.53E-4</v>
      </c>
      <c r="Z6412" s="21">
        <v>4601004230828</v>
      </c>
    </row>
    <row r="6413" spans="1:26" ht="12" customHeight="1" outlineLevel="3" x14ac:dyDescent="0.2">
      <c r="A6413" s="32" t="s">
        <v>12373</v>
      </c>
      <c r="B6413" s="74" t="s">
        <v>12374</v>
      </c>
      <c r="C6413" s="50"/>
      <c r="D6413" s="53">
        <f t="shared" si="100"/>
        <v>0</v>
      </c>
      <c r="E6413" s="60" t="str">
        <f>HYPERLINK("https://www.sds-group.ru/product/samorez-gipsokarton-derevo-3-5h41-mm-paket-50-sht-up-kranz-1133-3541-4/", "Инфо")</f>
        <v>Инфо</v>
      </c>
      <c r="F6413" s="34" t="s">
        <v>1001</v>
      </c>
      <c r="G6413" s="33"/>
      <c r="H6413" s="33" t="s">
        <v>40</v>
      </c>
      <c r="I6413" s="33"/>
      <c r="J6413" s="34" t="s">
        <v>100</v>
      </c>
      <c r="K6413" s="33"/>
      <c r="L6413" s="35">
        <v>1</v>
      </c>
      <c r="M6413" s="35">
        <v>50</v>
      </c>
      <c r="N6413" s="35">
        <v>1</v>
      </c>
      <c r="O6413" s="36">
        <v>97.63</v>
      </c>
      <c r="P6413" s="36">
        <v>80.02</v>
      </c>
      <c r="Q6413" s="36">
        <v>90.8</v>
      </c>
      <c r="R6413" s="36">
        <v>74.430000000000007</v>
      </c>
      <c r="S6413" s="36">
        <v>66.39</v>
      </c>
      <c r="T6413" s="36">
        <v>54.42</v>
      </c>
      <c r="U6413" s="34"/>
      <c r="V6413" s="34"/>
      <c r="W6413" s="34" t="s">
        <v>40</v>
      </c>
      <c r="X6413" s="37">
        <v>9.5000000000000001E-2</v>
      </c>
      <c r="Y6413" s="38">
        <v>3.0699999999999998E-4</v>
      </c>
      <c r="Z6413" s="21">
        <v>4601004247697</v>
      </c>
    </row>
    <row r="6414" spans="1:26" ht="12" customHeight="1" outlineLevel="3" x14ac:dyDescent="0.2">
      <c r="A6414" s="32" t="s">
        <v>12375</v>
      </c>
      <c r="B6414" s="74" t="s">
        <v>12376</v>
      </c>
      <c r="C6414" s="50"/>
      <c r="D6414" s="53">
        <f t="shared" si="100"/>
        <v>0</v>
      </c>
      <c r="E6414" s="60" t="str">
        <f>HYPERLINK("https://www.sds-group.ru/product/samorez-gipsokarton-derevo-3-5h45-mm-korob-200-sht-up-kranz-KR-01-3331-007/", "Инфо")</f>
        <v>Инфо</v>
      </c>
      <c r="F6414" s="34" t="s">
        <v>1001</v>
      </c>
      <c r="G6414" s="33"/>
      <c r="H6414" s="33" t="s">
        <v>40</v>
      </c>
      <c r="I6414" s="33"/>
      <c r="J6414" s="35">
        <v>754</v>
      </c>
      <c r="K6414" s="33"/>
      <c r="L6414" s="35">
        <v>5</v>
      </c>
      <c r="M6414" s="35">
        <v>16</v>
      </c>
      <c r="N6414" s="35">
        <v>5</v>
      </c>
      <c r="O6414" s="36">
        <v>371.46</v>
      </c>
      <c r="P6414" s="36">
        <v>304.48</v>
      </c>
      <c r="Q6414" s="36">
        <v>345.46</v>
      </c>
      <c r="R6414" s="36">
        <v>283.16000000000003</v>
      </c>
      <c r="S6414" s="36">
        <v>252.59</v>
      </c>
      <c r="T6414" s="36">
        <v>207.04</v>
      </c>
      <c r="U6414" s="34"/>
      <c r="V6414" s="34"/>
      <c r="W6414" s="34" t="s">
        <v>40</v>
      </c>
      <c r="X6414" s="37">
        <v>0.41599999999999998</v>
      </c>
      <c r="Y6414" s="38">
        <v>5.4199999999999995E-4</v>
      </c>
      <c r="Z6414" s="21">
        <v>4601004230835</v>
      </c>
    </row>
    <row r="6415" spans="1:26" ht="12" customHeight="1" outlineLevel="3" x14ac:dyDescent="0.2">
      <c r="A6415" s="32" t="s">
        <v>12377</v>
      </c>
      <c r="B6415" s="74" t="s">
        <v>12378</v>
      </c>
      <c r="C6415" s="50"/>
      <c r="D6415" s="53">
        <f t="shared" si="100"/>
        <v>0</v>
      </c>
      <c r="E6415" s="60" t="str">
        <f>HYPERLINK("https://www.sds-group.ru/product/samorez-gipsokarton-derevo-3-5h45-mm-paket-25-sht-up-kranz-1133-3545-5/", "Инфо")</f>
        <v>Инфо</v>
      </c>
      <c r="F6415" s="34" t="s">
        <v>1001</v>
      </c>
      <c r="G6415" s="33"/>
      <c r="H6415" s="33" t="s">
        <v>40</v>
      </c>
      <c r="I6415" s="33"/>
      <c r="J6415" s="35">
        <v>32</v>
      </c>
      <c r="K6415" s="33"/>
      <c r="L6415" s="35">
        <v>1</v>
      </c>
      <c r="M6415" s="35">
        <v>50</v>
      </c>
      <c r="N6415" s="35">
        <v>1</v>
      </c>
      <c r="O6415" s="36">
        <v>36.06</v>
      </c>
      <c r="P6415" s="36">
        <v>29.56</v>
      </c>
      <c r="Q6415" s="36">
        <v>25.24</v>
      </c>
      <c r="R6415" s="36">
        <v>20.69</v>
      </c>
      <c r="S6415" s="36">
        <v>24.52</v>
      </c>
      <c r="T6415" s="36">
        <v>20.100000000000001</v>
      </c>
      <c r="U6415" s="34"/>
      <c r="V6415" s="34"/>
      <c r="W6415" s="34"/>
      <c r="X6415" s="37">
        <v>4.9000000000000002E-2</v>
      </c>
      <c r="Y6415" s="38">
        <v>3.5300000000000002E-4</v>
      </c>
      <c r="Z6415" s="21">
        <v>4601004249899</v>
      </c>
    </row>
    <row r="6416" spans="1:26" ht="12" customHeight="1" outlineLevel="3" x14ac:dyDescent="0.2">
      <c r="A6416" s="14" t="s">
        <v>12379</v>
      </c>
      <c r="B6416" s="26" t="s">
        <v>12380</v>
      </c>
      <c r="C6416" s="52"/>
      <c r="D6416" s="55">
        <f t="shared" si="100"/>
        <v>0</v>
      </c>
      <c r="E6416" s="63" t="str">
        <f>HYPERLINK("https://www.sds-group.ru/product/samorez-gipsokarton-derevo-3-5h51-mm-korob-200-sht-up-kranz-KR-01-3331-008/", "Инфо")</f>
        <v>Инфо</v>
      </c>
      <c r="F6416" s="16" t="s">
        <v>1001</v>
      </c>
      <c r="G6416" s="15"/>
      <c r="H6416" s="15"/>
      <c r="I6416" s="15"/>
      <c r="J6416" s="17">
        <v>880</v>
      </c>
      <c r="K6416" s="15"/>
      <c r="L6416" s="17">
        <v>5</v>
      </c>
      <c r="M6416" s="17">
        <v>8</v>
      </c>
      <c r="N6416" s="17">
        <v>5</v>
      </c>
      <c r="O6416" s="18">
        <v>357.3</v>
      </c>
      <c r="P6416" s="18">
        <v>292.87</v>
      </c>
      <c r="Q6416" s="18">
        <v>332.29</v>
      </c>
      <c r="R6416" s="18">
        <v>272.37</v>
      </c>
      <c r="S6416" s="18">
        <v>242.96</v>
      </c>
      <c r="T6416" s="18">
        <v>199.15</v>
      </c>
      <c r="U6416" s="16"/>
      <c r="V6416" s="16"/>
      <c r="W6416" s="16" t="s">
        <v>40</v>
      </c>
      <c r="X6416" s="19">
        <v>0.48099999999999998</v>
      </c>
      <c r="Y6416" s="20">
        <v>1.091E-3</v>
      </c>
      <c r="Z6416" s="21">
        <v>4601004230842</v>
      </c>
    </row>
    <row r="6417" spans="1:26" ht="12" customHeight="1" outlineLevel="3" x14ac:dyDescent="0.2">
      <c r="A6417" s="32" t="s">
        <v>12381</v>
      </c>
      <c r="B6417" s="74" t="s">
        <v>12382</v>
      </c>
      <c r="C6417" s="50"/>
      <c r="D6417" s="53">
        <f t="shared" si="100"/>
        <v>0</v>
      </c>
      <c r="E6417" s="60" t="str">
        <f>HYPERLINK("https://www.sds-group.ru/product/samorez-gipsokarton-derevo-3-5h51-mm-paket-20-sht-up-kranz-1133-3551-5/", "Инфо")</f>
        <v>Инфо</v>
      </c>
      <c r="F6417" s="34" t="s">
        <v>1001</v>
      </c>
      <c r="G6417" s="33"/>
      <c r="H6417" s="33" t="s">
        <v>40</v>
      </c>
      <c r="I6417" s="33"/>
      <c r="J6417" s="39">
        <v>8012</v>
      </c>
      <c r="K6417" s="33"/>
      <c r="L6417" s="35">
        <v>1</v>
      </c>
      <c r="M6417" s="35">
        <v>240</v>
      </c>
      <c r="N6417" s="35">
        <v>1</v>
      </c>
      <c r="O6417" s="36">
        <v>12.47</v>
      </c>
      <c r="P6417" s="36">
        <v>10.220000000000001</v>
      </c>
      <c r="Q6417" s="36">
        <v>8.73</v>
      </c>
      <c r="R6417" s="36">
        <v>7.16</v>
      </c>
      <c r="S6417" s="36">
        <v>8.48</v>
      </c>
      <c r="T6417" s="36">
        <v>6.95</v>
      </c>
      <c r="U6417" s="34"/>
      <c r="V6417" s="34"/>
      <c r="W6417" s="34"/>
      <c r="X6417" s="37">
        <v>4.8000000000000001E-2</v>
      </c>
      <c r="Y6417" s="38">
        <v>1.3300000000000001E-4</v>
      </c>
      <c r="Z6417" s="21">
        <v>4601004249905</v>
      </c>
    </row>
    <row r="6418" spans="1:26" ht="12" customHeight="1" outlineLevel="3" x14ac:dyDescent="0.2">
      <c r="A6418" s="32" t="s">
        <v>12383</v>
      </c>
      <c r="B6418" s="74" t="s">
        <v>12384</v>
      </c>
      <c r="C6418" s="50"/>
      <c r="D6418" s="53">
        <f t="shared" si="100"/>
        <v>0</v>
      </c>
      <c r="E6418" s="60" t="str">
        <f>HYPERLINK("https://www.sds-group.ru/product/samorez-gipsokarton-derevo-3-5h51-mm-paket-50-sht-up-kranz-1133-3551-4/", "Инфо")</f>
        <v>Инфо</v>
      </c>
      <c r="F6418" s="34" t="s">
        <v>1001</v>
      </c>
      <c r="G6418" s="33"/>
      <c r="H6418" s="33" t="s">
        <v>40</v>
      </c>
      <c r="I6418" s="33"/>
      <c r="J6418" s="35">
        <v>567</v>
      </c>
      <c r="K6418" s="33"/>
      <c r="L6418" s="35">
        <v>10</v>
      </c>
      <c r="M6418" s="35">
        <v>50</v>
      </c>
      <c r="N6418" s="35">
        <v>10</v>
      </c>
      <c r="O6418" s="36">
        <v>106.58</v>
      </c>
      <c r="P6418" s="36">
        <v>87.36</v>
      </c>
      <c r="Q6418" s="36">
        <v>99.12</v>
      </c>
      <c r="R6418" s="36">
        <v>81.25</v>
      </c>
      <c r="S6418" s="36">
        <v>72.47</v>
      </c>
      <c r="T6418" s="36">
        <v>59.4</v>
      </c>
      <c r="U6418" s="34"/>
      <c r="V6418" s="34"/>
      <c r="W6418" s="34" t="s">
        <v>40</v>
      </c>
      <c r="X6418" s="37">
        <v>0.13600000000000001</v>
      </c>
      <c r="Y6418" s="38">
        <v>3.8299999999999999E-4</v>
      </c>
      <c r="Z6418" s="21">
        <v>4601004247574</v>
      </c>
    </row>
    <row r="6419" spans="1:26" ht="12" customHeight="1" outlineLevel="3" x14ac:dyDescent="0.2">
      <c r="A6419" s="32" t="s">
        <v>12385</v>
      </c>
      <c r="B6419" s="74" t="s">
        <v>12386</v>
      </c>
      <c r="C6419" s="50"/>
      <c r="D6419" s="53">
        <f t="shared" si="100"/>
        <v>0</v>
      </c>
      <c r="E6419" s="60" t="str">
        <f>HYPERLINK("https://www.sds-group.ru/product/samorez-gipsokarton-derevo-3-5h55-mm-korob-200-sht-up-kranz-KR-01-3331-009/", "Инфо")</f>
        <v>Инфо</v>
      </c>
      <c r="F6419" s="34" t="s">
        <v>1001</v>
      </c>
      <c r="G6419" s="33"/>
      <c r="H6419" s="33" t="s">
        <v>40</v>
      </c>
      <c r="I6419" s="33"/>
      <c r="J6419" s="35">
        <v>626</v>
      </c>
      <c r="K6419" s="33"/>
      <c r="L6419" s="35">
        <v>5</v>
      </c>
      <c r="M6419" s="35">
        <v>8</v>
      </c>
      <c r="N6419" s="35">
        <v>5</v>
      </c>
      <c r="O6419" s="36">
        <v>400.93</v>
      </c>
      <c r="P6419" s="36">
        <v>328.63</v>
      </c>
      <c r="Q6419" s="36">
        <v>372.86</v>
      </c>
      <c r="R6419" s="36">
        <v>305.62</v>
      </c>
      <c r="S6419" s="36">
        <v>272.63</v>
      </c>
      <c r="T6419" s="36">
        <v>223.47</v>
      </c>
      <c r="U6419" s="34"/>
      <c r="V6419" s="34"/>
      <c r="W6419" s="34" t="s">
        <v>40</v>
      </c>
      <c r="X6419" s="37">
        <v>0.53300000000000003</v>
      </c>
      <c r="Y6419" s="38">
        <v>1.0790000000000001E-3</v>
      </c>
      <c r="Z6419" s="21">
        <v>4601004230859</v>
      </c>
    </row>
    <row r="6420" spans="1:26" ht="12" customHeight="1" outlineLevel="3" x14ac:dyDescent="0.2">
      <c r="A6420" s="32" t="s">
        <v>12387</v>
      </c>
      <c r="B6420" s="74" t="s">
        <v>12388</v>
      </c>
      <c r="C6420" s="50"/>
      <c r="D6420" s="53">
        <f t="shared" si="100"/>
        <v>0</v>
      </c>
      <c r="E6420" s="60" t="str">
        <f>HYPERLINK("https://www.sds-group.ru/product/samorez-gipsokarton-derevo-3-5h55-mm-paket-20-sht-up-kranz-1133-3555-5/", "Инфо")</f>
        <v>Инфо</v>
      </c>
      <c r="F6420" s="34" t="s">
        <v>1001</v>
      </c>
      <c r="G6420" s="33"/>
      <c r="H6420" s="33" t="s">
        <v>40</v>
      </c>
      <c r="I6420" s="33"/>
      <c r="J6420" s="39">
        <v>4372</v>
      </c>
      <c r="K6420" s="33"/>
      <c r="L6420" s="35">
        <v>1</v>
      </c>
      <c r="M6420" s="35">
        <v>240</v>
      </c>
      <c r="N6420" s="35">
        <v>1</v>
      </c>
      <c r="O6420" s="36">
        <v>14.35</v>
      </c>
      <c r="P6420" s="36">
        <v>11.76</v>
      </c>
      <c r="Q6420" s="36">
        <v>10.050000000000001</v>
      </c>
      <c r="R6420" s="36">
        <v>8.24</v>
      </c>
      <c r="S6420" s="36">
        <v>9.76</v>
      </c>
      <c r="T6420" s="36">
        <v>8</v>
      </c>
      <c r="U6420" s="34"/>
      <c r="V6420" s="34"/>
      <c r="W6420" s="34"/>
      <c r="X6420" s="37">
        <v>5.0999999999999997E-2</v>
      </c>
      <c r="Y6420" s="38">
        <v>1.3799999999999999E-4</v>
      </c>
      <c r="Z6420" s="21">
        <v>4601004249912</v>
      </c>
    </row>
    <row r="6421" spans="1:26" ht="12" customHeight="1" outlineLevel="3" x14ac:dyDescent="0.2">
      <c r="A6421" s="32" t="s">
        <v>12389</v>
      </c>
      <c r="B6421" s="74" t="s">
        <v>12390</v>
      </c>
      <c r="C6421" s="50"/>
      <c r="D6421" s="53">
        <f t="shared" si="100"/>
        <v>0</v>
      </c>
      <c r="E6421" s="60" t="str">
        <f>HYPERLINK("https://www.sds-group.ru/product/samorez-gipsokarton-derevo-3-5h55-mm-paket-50-sht-up-kranz-1133-3555-4/", "Инфо")</f>
        <v>Инфо</v>
      </c>
      <c r="F6421" s="34" t="s">
        <v>1001</v>
      </c>
      <c r="G6421" s="33"/>
      <c r="H6421" s="33" t="s">
        <v>40</v>
      </c>
      <c r="I6421" s="33"/>
      <c r="J6421" s="35">
        <v>98</v>
      </c>
      <c r="K6421" s="33"/>
      <c r="L6421" s="35">
        <v>1</v>
      </c>
      <c r="M6421" s="35">
        <v>50</v>
      </c>
      <c r="N6421" s="35">
        <v>1</v>
      </c>
      <c r="O6421" s="36">
        <v>147.33000000000001</v>
      </c>
      <c r="P6421" s="36">
        <v>120.76</v>
      </c>
      <c r="Q6421" s="36">
        <v>137.02000000000001</v>
      </c>
      <c r="R6421" s="36">
        <v>112.31</v>
      </c>
      <c r="S6421" s="36">
        <v>100.18</v>
      </c>
      <c r="T6421" s="36">
        <v>82.11</v>
      </c>
      <c r="U6421" s="34"/>
      <c r="V6421" s="34"/>
      <c r="W6421" s="34" t="s">
        <v>40</v>
      </c>
      <c r="X6421" s="37">
        <v>0.124</v>
      </c>
      <c r="Y6421" s="38">
        <v>3.8699999999999997E-4</v>
      </c>
      <c r="Z6421" s="21">
        <v>4601004247581</v>
      </c>
    </row>
    <row r="6422" spans="1:26" ht="12" customHeight="1" outlineLevel="3" x14ac:dyDescent="0.2">
      <c r="A6422" s="32" t="s">
        <v>12391</v>
      </c>
      <c r="B6422" s="74" t="s">
        <v>12392</v>
      </c>
      <c r="C6422" s="50"/>
      <c r="D6422" s="53">
        <f t="shared" si="100"/>
        <v>0</v>
      </c>
      <c r="E6422" s="60" t="str">
        <f>HYPERLINK("https://www.sds-group.ru/product/samorez-gipsokarton-derevo-3-5h55-mm-paket-500-sht-up-kranz-1133-3555-2/", "Инфо")</f>
        <v>Инфо</v>
      </c>
      <c r="F6422" s="34" t="s">
        <v>1001</v>
      </c>
      <c r="G6422" s="33"/>
      <c r="H6422" s="33" t="s">
        <v>40</v>
      </c>
      <c r="I6422" s="33"/>
      <c r="J6422" s="35">
        <v>6</v>
      </c>
      <c r="K6422" s="33"/>
      <c r="L6422" s="35">
        <v>1</v>
      </c>
      <c r="M6422" s="35">
        <v>10</v>
      </c>
      <c r="N6422" s="35">
        <v>1</v>
      </c>
      <c r="O6422" s="36">
        <v>743.65</v>
      </c>
      <c r="P6422" s="36">
        <v>609.54999999999995</v>
      </c>
      <c r="Q6422" s="36">
        <v>520.55999999999995</v>
      </c>
      <c r="R6422" s="36">
        <v>426.69</v>
      </c>
      <c r="S6422" s="36">
        <v>505.68</v>
      </c>
      <c r="T6422" s="36">
        <v>414.49</v>
      </c>
      <c r="U6422" s="34"/>
      <c r="V6422" s="34"/>
      <c r="W6422" s="34"/>
      <c r="X6422" s="37">
        <v>1.099</v>
      </c>
      <c r="Y6422" s="38">
        <v>1.8500000000000001E-3</v>
      </c>
      <c r="Z6422" s="21">
        <v>4601004271081</v>
      </c>
    </row>
    <row r="6423" spans="1:26" ht="12" customHeight="1" outlineLevel="3" x14ac:dyDescent="0.2">
      <c r="A6423" s="32" t="s">
        <v>12393</v>
      </c>
      <c r="B6423" s="74" t="s">
        <v>12394</v>
      </c>
      <c r="C6423" s="50"/>
      <c r="D6423" s="53">
        <f t="shared" si="100"/>
        <v>0</v>
      </c>
      <c r="E6423" s="60" t="str">
        <f>HYPERLINK("https://www.sds-group.ru/product/samorez-gipsokarton-derevo-3-8h65-mm-korob-200-sht-up-kranz-KR-01-3331-010/", "Инфо")</f>
        <v>Инфо</v>
      </c>
      <c r="F6423" s="34" t="s">
        <v>1001</v>
      </c>
      <c r="G6423" s="33"/>
      <c r="H6423" s="33" t="s">
        <v>40</v>
      </c>
      <c r="I6423" s="33"/>
      <c r="J6423" s="39">
        <v>2233</v>
      </c>
      <c r="K6423" s="33"/>
      <c r="L6423" s="35">
        <v>5</v>
      </c>
      <c r="M6423" s="35">
        <v>8</v>
      </c>
      <c r="N6423" s="35">
        <v>5</v>
      </c>
      <c r="O6423" s="36">
        <v>398.62</v>
      </c>
      <c r="P6423" s="36">
        <v>326.74</v>
      </c>
      <c r="Q6423" s="36">
        <v>370.72</v>
      </c>
      <c r="R6423" s="36">
        <v>303.87</v>
      </c>
      <c r="S6423" s="36">
        <v>271.06</v>
      </c>
      <c r="T6423" s="36">
        <v>222.18</v>
      </c>
      <c r="U6423" s="34"/>
      <c r="V6423" s="34"/>
      <c r="W6423" s="34" t="s">
        <v>40</v>
      </c>
      <c r="X6423" s="37">
        <v>0.621</v>
      </c>
      <c r="Y6423" s="38">
        <v>1.06E-3</v>
      </c>
      <c r="Z6423" s="21">
        <v>4601004230866</v>
      </c>
    </row>
    <row r="6424" spans="1:26" ht="12" customHeight="1" outlineLevel="3" x14ac:dyDescent="0.2">
      <c r="A6424" s="32" t="s">
        <v>12395</v>
      </c>
      <c r="B6424" s="74" t="s">
        <v>12396</v>
      </c>
      <c r="C6424" s="50"/>
      <c r="D6424" s="53">
        <f t="shared" si="100"/>
        <v>0</v>
      </c>
      <c r="E6424" s="60" t="str">
        <f>HYPERLINK("https://www.sds-group.ru/product/samorez-gipsokarton-derevo-3-8h65-mm-paket-10-sht-up-kranz-1133-3865-4/", "Инфо")</f>
        <v>Инфо</v>
      </c>
      <c r="F6424" s="34" t="s">
        <v>1001</v>
      </c>
      <c r="G6424" s="33"/>
      <c r="H6424" s="33" t="s">
        <v>40</v>
      </c>
      <c r="I6424" s="33"/>
      <c r="J6424" s="39">
        <v>3083</v>
      </c>
      <c r="K6424" s="33"/>
      <c r="L6424" s="35">
        <v>1</v>
      </c>
      <c r="M6424" s="35">
        <v>360</v>
      </c>
      <c r="N6424" s="35">
        <v>1</v>
      </c>
      <c r="O6424" s="36">
        <v>34.93</v>
      </c>
      <c r="P6424" s="36">
        <v>28.63</v>
      </c>
      <c r="Q6424" s="36">
        <v>24.45</v>
      </c>
      <c r="R6424" s="36">
        <v>20.04</v>
      </c>
      <c r="S6424" s="36">
        <v>23.75</v>
      </c>
      <c r="T6424" s="36">
        <v>19.47</v>
      </c>
      <c r="U6424" s="34"/>
      <c r="V6424" s="34"/>
      <c r="W6424" s="34"/>
      <c r="X6424" s="37">
        <v>3.2000000000000001E-2</v>
      </c>
      <c r="Y6424" s="38">
        <v>9.1000000000000003E-5</v>
      </c>
      <c r="Z6424" s="21">
        <v>4601004249929</v>
      </c>
    </row>
    <row r="6425" spans="1:26" ht="12" customHeight="1" outlineLevel="3" x14ac:dyDescent="0.2">
      <c r="A6425" s="32" t="s">
        <v>12397</v>
      </c>
      <c r="B6425" s="74" t="s">
        <v>12398</v>
      </c>
      <c r="C6425" s="50"/>
      <c r="D6425" s="53">
        <f t="shared" si="100"/>
        <v>0</v>
      </c>
      <c r="E6425" s="60" t="str">
        <f>HYPERLINK("https://www.sds-group.ru/product/samorez-gipsokarton-derevo-3-8h65-mm-paket-500-sht-up-kranz-1133-3865-2/", "Инфо")</f>
        <v>Инфо</v>
      </c>
      <c r="F6425" s="34" t="s">
        <v>1001</v>
      </c>
      <c r="G6425" s="33"/>
      <c r="H6425" s="33" t="s">
        <v>40</v>
      </c>
      <c r="I6425" s="33"/>
      <c r="J6425" s="35">
        <v>19</v>
      </c>
      <c r="K6425" s="33"/>
      <c r="L6425" s="35">
        <v>1</v>
      </c>
      <c r="M6425" s="35">
        <v>10</v>
      </c>
      <c r="N6425" s="35">
        <v>1</v>
      </c>
      <c r="O6425" s="36">
        <v>886.05</v>
      </c>
      <c r="P6425" s="36">
        <v>726.27</v>
      </c>
      <c r="Q6425" s="36">
        <v>620.24</v>
      </c>
      <c r="R6425" s="36">
        <v>508.39</v>
      </c>
      <c r="S6425" s="36">
        <v>602.51</v>
      </c>
      <c r="T6425" s="36">
        <v>493.86</v>
      </c>
      <c r="U6425" s="34"/>
      <c r="V6425" s="34"/>
      <c r="W6425" s="34"/>
      <c r="X6425" s="37">
        <v>1.3879999999999999</v>
      </c>
      <c r="Y6425" s="38">
        <v>2.2070000000000002E-3</v>
      </c>
      <c r="Z6425" s="21">
        <v>4601004271036</v>
      </c>
    </row>
    <row r="6426" spans="1:26" ht="12" customHeight="1" outlineLevel="3" x14ac:dyDescent="0.2">
      <c r="A6426" s="32" t="s">
        <v>12399</v>
      </c>
      <c r="B6426" s="74" t="s">
        <v>12400</v>
      </c>
      <c r="C6426" s="50"/>
      <c r="D6426" s="53">
        <f t="shared" si="100"/>
        <v>0</v>
      </c>
      <c r="E6426" s="60" t="str">
        <f>HYPERLINK("https://www.sds-group.ru/product/samorez-gipsokarton-derevo-4-2h70-mm-korob-100-sht-up-kranz-KR-01-3331-011/", "Инфо")</f>
        <v>Инфо</v>
      </c>
      <c r="F6426" s="34" t="s">
        <v>1001</v>
      </c>
      <c r="G6426" s="33"/>
      <c r="H6426" s="33" t="s">
        <v>40</v>
      </c>
      <c r="I6426" s="33"/>
      <c r="J6426" s="35">
        <v>499</v>
      </c>
      <c r="K6426" s="33"/>
      <c r="L6426" s="35">
        <v>5</v>
      </c>
      <c r="M6426" s="35">
        <v>16</v>
      </c>
      <c r="N6426" s="35">
        <v>5</v>
      </c>
      <c r="O6426" s="36">
        <v>410.85</v>
      </c>
      <c r="P6426" s="36">
        <v>336.76</v>
      </c>
      <c r="Q6426" s="36">
        <v>382.09</v>
      </c>
      <c r="R6426" s="36">
        <v>313.19</v>
      </c>
      <c r="S6426" s="36">
        <v>279.38</v>
      </c>
      <c r="T6426" s="36">
        <v>229</v>
      </c>
      <c r="U6426" s="34"/>
      <c r="V6426" s="34"/>
      <c r="W6426" s="34" t="s">
        <v>40</v>
      </c>
      <c r="X6426" s="37">
        <v>0.41</v>
      </c>
      <c r="Y6426" s="38">
        <v>1.0679999999999999E-3</v>
      </c>
      <c r="Z6426" s="21">
        <v>4601004231030</v>
      </c>
    </row>
    <row r="6427" spans="1:26" ht="12" customHeight="1" outlineLevel="3" x14ac:dyDescent="0.2">
      <c r="A6427" s="32" t="s">
        <v>12401</v>
      </c>
      <c r="B6427" s="74" t="s">
        <v>12402</v>
      </c>
      <c r="C6427" s="50"/>
      <c r="D6427" s="53">
        <f t="shared" si="100"/>
        <v>0</v>
      </c>
      <c r="E6427" s="60" t="str">
        <f>HYPERLINK("https://www.sds-group.ru/product/samorez-gipsokarton-derevo-4-2h70-mm-paket-10-sht-up-kranz-1133-4270-4/", "Инфо")</f>
        <v>Инфо</v>
      </c>
      <c r="F6427" s="34" t="s">
        <v>1001</v>
      </c>
      <c r="G6427" s="33"/>
      <c r="H6427" s="33" t="s">
        <v>40</v>
      </c>
      <c r="I6427" s="33"/>
      <c r="J6427" s="39">
        <v>3050</v>
      </c>
      <c r="K6427" s="33"/>
      <c r="L6427" s="35">
        <v>1</v>
      </c>
      <c r="M6427" s="35">
        <v>240</v>
      </c>
      <c r="N6427" s="35">
        <v>1</v>
      </c>
      <c r="O6427" s="36">
        <v>36.299999999999997</v>
      </c>
      <c r="P6427" s="36">
        <v>29.75</v>
      </c>
      <c r="Q6427" s="36">
        <v>25.41</v>
      </c>
      <c r="R6427" s="36">
        <v>20.83</v>
      </c>
      <c r="S6427" s="36">
        <v>24.68</v>
      </c>
      <c r="T6427" s="36">
        <v>20.23</v>
      </c>
      <c r="U6427" s="34"/>
      <c r="V6427" s="34"/>
      <c r="W6427" s="34"/>
      <c r="X6427" s="37">
        <v>3.5999999999999997E-2</v>
      </c>
      <c r="Y6427" s="38">
        <v>1.2E-4</v>
      </c>
      <c r="Z6427" s="21">
        <v>4601004249936</v>
      </c>
    </row>
    <row r="6428" spans="1:26" ht="12" customHeight="1" outlineLevel="3" x14ac:dyDescent="0.2">
      <c r="A6428" s="32" t="s">
        <v>12403</v>
      </c>
      <c r="B6428" s="74" t="s">
        <v>12404</v>
      </c>
      <c r="C6428" s="50"/>
      <c r="D6428" s="53">
        <f t="shared" si="100"/>
        <v>0</v>
      </c>
      <c r="E6428" s="60" t="str">
        <f>HYPERLINK("https://www.sds-group.ru/product/samorez-gipsokarton-derevo-4-2h75-mm-korob-100-sht-up-kranz-KR-01-3331-012/", "Инфо")</f>
        <v>Инфо</v>
      </c>
      <c r="F6428" s="34" t="s">
        <v>1001</v>
      </c>
      <c r="G6428" s="33"/>
      <c r="H6428" s="33" t="s">
        <v>40</v>
      </c>
      <c r="I6428" s="33"/>
      <c r="J6428" s="39">
        <v>1782</v>
      </c>
      <c r="K6428" s="33"/>
      <c r="L6428" s="35">
        <v>5</v>
      </c>
      <c r="M6428" s="35">
        <v>16</v>
      </c>
      <c r="N6428" s="35">
        <v>5</v>
      </c>
      <c r="O6428" s="36">
        <v>417.95</v>
      </c>
      <c r="P6428" s="36">
        <v>342.58</v>
      </c>
      <c r="Q6428" s="36">
        <v>388.69</v>
      </c>
      <c r="R6428" s="36">
        <v>318.60000000000002</v>
      </c>
      <c r="S6428" s="36">
        <v>284.20999999999998</v>
      </c>
      <c r="T6428" s="36">
        <v>232.96</v>
      </c>
      <c r="U6428" s="34"/>
      <c r="V6428" s="34"/>
      <c r="W6428" s="34" t="s">
        <v>40</v>
      </c>
      <c r="X6428" s="37">
        <v>0.437</v>
      </c>
      <c r="Y6428" s="38">
        <v>5.44E-4</v>
      </c>
      <c r="Z6428" s="21">
        <v>4601004231047</v>
      </c>
    </row>
    <row r="6429" spans="1:26" ht="12" customHeight="1" outlineLevel="3" x14ac:dyDescent="0.2">
      <c r="A6429" s="14" t="s">
        <v>12405</v>
      </c>
      <c r="B6429" s="26" t="s">
        <v>12406</v>
      </c>
      <c r="C6429" s="52"/>
      <c r="D6429" s="55">
        <f t="shared" si="100"/>
        <v>0</v>
      </c>
      <c r="E6429" s="63" t="str">
        <f>HYPERLINK("https://www.sds-group.ru/product/samorez-gipsokarton-derevo-4-2h75-mm-paket-10-sht-up-kranz-1133-4275-4/", "Инфо")</f>
        <v>Инфо</v>
      </c>
      <c r="F6429" s="16" t="s">
        <v>1001</v>
      </c>
      <c r="G6429" s="15"/>
      <c r="H6429" s="15"/>
      <c r="I6429" s="15"/>
      <c r="J6429" s="22">
        <v>10339</v>
      </c>
      <c r="K6429" s="15"/>
      <c r="L6429" s="17">
        <v>50</v>
      </c>
      <c r="M6429" s="17">
        <v>240</v>
      </c>
      <c r="N6429" s="17">
        <v>50</v>
      </c>
      <c r="O6429" s="18">
        <v>40.94</v>
      </c>
      <c r="P6429" s="18">
        <v>33.56</v>
      </c>
      <c r="Q6429" s="18">
        <v>28.66</v>
      </c>
      <c r="R6429" s="18">
        <v>23.49</v>
      </c>
      <c r="S6429" s="18">
        <v>27.84</v>
      </c>
      <c r="T6429" s="18">
        <v>22.82</v>
      </c>
      <c r="U6429" s="16"/>
      <c r="V6429" s="16"/>
      <c r="W6429" s="16"/>
      <c r="X6429" s="19">
        <v>4.2000000000000003E-2</v>
      </c>
      <c r="Y6429" s="20">
        <v>1.37E-4</v>
      </c>
      <c r="Z6429" s="21">
        <v>4601004249943</v>
      </c>
    </row>
    <row r="6430" spans="1:26" ht="12" customHeight="1" outlineLevel="3" x14ac:dyDescent="0.2">
      <c r="A6430" s="32" t="s">
        <v>12407</v>
      </c>
      <c r="B6430" s="74" t="s">
        <v>12408</v>
      </c>
      <c r="C6430" s="50"/>
      <c r="D6430" s="53">
        <f t="shared" si="100"/>
        <v>0</v>
      </c>
      <c r="E6430" s="60" t="str">
        <f>HYPERLINK("https://www.sds-group.ru/product/samorez-gipsokarton-derevo-4-2h90-mm-korob-100-sht-up-kranz-KR-01-3331-013/", "Инфо")</f>
        <v>Инфо</v>
      </c>
      <c r="F6430" s="34" t="s">
        <v>1001</v>
      </c>
      <c r="G6430" s="33"/>
      <c r="H6430" s="33" t="s">
        <v>40</v>
      </c>
      <c r="I6430" s="33"/>
      <c r="J6430" s="39">
        <v>1157</v>
      </c>
      <c r="K6430" s="33"/>
      <c r="L6430" s="35">
        <v>5</v>
      </c>
      <c r="M6430" s="35">
        <v>8</v>
      </c>
      <c r="N6430" s="35">
        <v>5</v>
      </c>
      <c r="O6430" s="36">
        <v>446.55</v>
      </c>
      <c r="P6430" s="36">
        <v>366.02</v>
      </c>
      <c r="Q6430" s="36">
        <v>415.29</v>
      </c>
      <c r="R6430" s="36">
        <v>340.4</v>
      </c>
      <c r="S6430" s="36">
        <v>303.64999999999998</v>
      </c>
      <c r="T6430" s="36">
        <v>248.89</v>
      </c>
      <c r="U6430" s="34"/>
      <c r="V6430" s="34"/>
      <c r="W6430" s="34" t="s">
        <v>40</v>
      </c>
      <c r="X6430" s="37">
        <v>0.48299999999999998</v>
      </c>
      <c r="Y6430" s="38">
        <v>1.0950000000000001E-3</v>
      </c>
      <c r="Z6430" s="21">
        <v>4601004234888</v>
      </c>
    </row>
    <row r="6431" spans="1:26" ht="12" customHeight="1" outlineLevel="3" x14ac:dyDescent="0.2">
      <c r="A6431" s="32" t="s">
        <v>12409</v>
      </c>
      <c r="B6431" s="74" t="s">
        <v>12410</v>
      </c>
      <c r="C6431" s="50"/>
      <c r="D6431" s="53">
        <f t="shared" si="100"/>
        <v>0</v>
      </c>
      <c r="E6431" s="60" t="str">
        <f>HYPERLINK("https://www.sds-group.ru/product/samorez-gipsokarton-derevo-4-2h90-mm-paket-4-sht-up-kranz-1133-4290-4/", "Инфо")</f>
        <v>Инфо</v>
      </c>
      <c r="F6431" s="34" t="s">
        <v>1001</v>
      </c>
      <c r="G6431" s="33"/>
      <c r="H6431" s="33" t="s">
        <v>40</v>
      </c>
      <c r="I6431" s="33"/>
      <c r="J6431" s="35">
        <v>396</v>
      </c>
      <c r="K6431" s="33"/>
      <c r="L6431" s="35">
        <v>1</v>
      </c>
      <c r="M6431" s="35">
        <v>240</v>
      </c>
      <c r="N6431" s="35">
        <v>1</v>
      </c>
      <c r="O6431" s="36">
        <v>44.89</v>
      </c>
      <c r="P6431" s="36">
        <v>36.799999999999997</v>
      </c>
      <c r="Q6431" s="36">
        <v>41.75</v>
      </c>
      <c r="R6431" s="36">
        <v>34.22</v>
      </c>
      <c r="S6431" s="36">
        <v>30.53</v>
      </c>
      <c r="T6431" s="36">
        <v>25.02</v>
      </c>
      <c r="U6431" s="34"/>
      <c r="V6431" s="34"/>
      <c r="W6431" s="34" t="s">
        <v>40</v>
      </c>
      <c r="X6431" s="37">
        <v>2.3E-2</v>
      </c>
      <c r="Y6431" s="38">
        <v>1.3899999999999999E-4</v>
      </c>
      <c r="Z6431" s="21">
        <v>4601004249950</v>
      </c>
    </row>
    <row r="6432" spans="1:26" ht="12.95" customHeight="1" outlineLevel="2" x14ac:dyDescent="0.2">
      <c r="A6432" s="76" t="s">
        <v>12411</v>
      </c>
      <c r="B6432" s="76"/>
      <c r="C6432" s="77"/>
      <c r="D6432" s="58"/>
      <c r="E6432" s="68"/>
      <c r="F6432" s="13"/>
      <c r="G6432" s="13"/>
      <c r="H6432" s="13"/>
      <c r="I6432" s="13"/>
      <c r="J6432" s="13"/>
      <c r="K6432" s="13"/>
      <c r="L6432" s="13"/>
      <c r="M6432" s="13"/>
      <c r="N6432" s="13"/>
      <c r="O6432" s="13"/>
      <c r="P6432" s="13"/>
      <c r="Q6432" s="13"/>
      <c r="R6432" s="13"/>
      <c r="S6432" s="13"/>
      <c r="T6432" s="13"/>
      <c r="U6432" s="13"/>
      <c r="V6432" s="13"/>
      <c r="W6432" s="13"/>
      <c r="X6432" s="13"/>
      <c r="Y6432" s="13"/>
      <c r="Z6432" s="13"/>
    </row>
    <row r="6433" spans="1:26" ht="12" customHeight="1" outlineLevel="3" x14ac:dyDescent="0.2">
      <c r="A6433" s="14" t="s">
        <v>12412</v>
      </c>
      <c r="B6433" s="26" t="s">
        <v>12413</v>
      </c>
      <c r="C6433" s="52"/>
      <c r="D6433" s="55">
        <f t="shared" si="100"/>
        <v>0</v>
      </c>
      <c r="E6433" s="63" t="str">
        <f>HYPERLINK("https://www.sds-group.ru/product/samorez-gipsokarton-metall-3-5h19-mm-korob-200-sht-up-kranz-KR-01-3341-002/", "Инфо")</f>
        <v>Инфо</v>
      </c>
      <c r="F6433" s="16" t="s">
        <v>1001</v>
      </c>
      <c r="G6433" s="15"/>
      <c r="H6433" s="15"/>
      <c r="I6433" s="15"/>
      <c r="J6433" s="22">
        <v>1297</v>
      </c>
      <c r="K6433" s="15"/>
      <c r="L6433" s="17">
        <v>10</v>
      </c>
      <c r="M6433" s="17">
        <v>32</v>
      </c>
      <c r="N6433" s="17">
        <v>10</v>
      </c>
      <c r="O6433" s="18">
        <v>188.48</v>
      </c>
      <c r="P6433" s="18">
        <v>154.49</v>
      </c>
      <c r="Q6433" s="18">
        <v>175.29</v>
      </c>
      <c r="R6433" s="18">
        <v>143.68</v>
      </c>
      <c r="S6433" s="18">
        <v>128.16999999999999</v>
      </c>
      <c r="T6433" s="18">
        <v>105.06</v>
      </c>
      <c r="U6433" s="16"/>
      <c r="V6433" s="16"/>
      <c r="W6433" s="16" t="s">
        <v>40</v>
      </c>
      <c r="X6433" s="19">
        <v>0.20799999999999999</v>
      </c>
      <c r="Y6433" s="20">
        <v>1.1839999999999999E-3</v>
      </c>
      <c r="Z6433" s="21">
        <v>4601004234956</v>
      </c>
    </row>
    <row r="6434" spans="1:26" ht="12" customHeight="1" outlineLevel="3" x14ac:dyDescent="0.2">
      <c r="A6434" s="32" t="s">
        <v>12414</v>
      </c>
      <c r="B6434" s="74" t="s">
        <v>12415</v>
      </c>
      <c r="C6434" s="50"/>
      <c r="D6434" s="53">
        <f t="shared" si="100"/>
        <v>0</v>
      </c>
      <c r="E6434" s="60" t="str">
        <f>HYPERLINK("https://www.sds-group.ru/product/samorez-gipsokarton-metall-3-5h19-mm-paket-1000-sht-up-kranz-1143-3519-2/", "Инфо")</f>
        <v>Инфо</v>
      </c>
      <c r="F6434" s="34" t="s">
        <v>1001</v>
      </c>
      <c r="G6434" s="33"/>
      <c r="H6434" s="33" t="s">
        <v>40</v>
      </c>
      <c r="I6434" s="33"/>
      <c r="J6434" s="35">
        <v>3</v>
      </c>
      <c r="K6434" s="33"/>
      <c r="L6434" s="35">
        <v>1</v>
      </c>
      <c r="M6434" s="35">
        <v>10</v>
      </c>
      <c r="N6434" s="35">
        <v>1</v>
      </c>
      <c r="O6434" s="36">
        <v>604.23</v>
      </c>
      <c r="P6434" s="36">
        <v>495.27</v>
      </c>
      <c r="Q6434" s="36">
        <v>422.96</v>
      </c>
      <c r="R6434" s="36">
        <v>346.69</v>
      </c>
      <c r="S6434" s="36">
        <v>410.88</v>
      </c>
      <c r="T6434" s="36">
        <v>336.79</v>
      </c>
      <c r="U6434" s="34"/>
      <c r="V6434" s="34"/>
      <c r="W6434" s="34"/>
      <c r="X6434" s="37">
        <v>1.1519999999999999</v>
      </c>
      <c r="Y6434" s="38">
        <v>1.0039999999999999E-3</v>
      </c>
      <c r="Z6434" s="21">
        <v>4601004271111</v>
      </c>
    </row>
    <row r="6435" spans="1:26" ht="12" customHeight="1" outlineLevel="3" x14ac:dyDescent="0.2">
      <c r="A6435" s="32" t="s">
        <v>12416</v>
      </c>
      <c r="B6435" s="74" t="s">
        <v>12417</v>
      </c>
      <c r="C6435" s="50"/>
      <c r="D6435" s="53">
        <f t="shared" si="100"/>
        <v>0</v>
      </c>
      <c r="E6435" s="60" t="str">
        <f>HYPERLINK("https://www.sds-group.ru/product/samorez-gipsokarton-metall-3-5h25-mm-korob-200-sht-up-kranz-KR-01-3341-003/", "Инфо")</f>
        <v>Инфо</v>
      </c>
      <c r="F6435" s="34" t="s">
        <v>1001</v>
      </c>
      <c r="G6435" s="33"/>
      <c r="H6435" s="33" t="s">
        <v>40</v>
      </c>
      <c r="I6435" s="33"/>
      <c r="J6435" s="39">
        <v>4193</v>
      </c>
      <c r="K6435" s="33"/>
      <c r="L6435" s="35">
        <v>5</v>
      </c>
      <c r="M6435" s="35">
        <v>32</v>
      </c>
      <c r="N6435" s="35">
        <v>5</v>
      </c>
      <c r="O6435" s="36">
        <v>292.89999999999998</v>
      </c>
      <c r="P6435" s="36">
        <v>240.08</v>
      </c>
      <c r="Q6435" s="36">
        <v>272.39999999999998</v>
      </c>
      <c r="R6435" s="36">
        <v>223.28</v>
      </c>
      <c r="S6435" s="36">
        <v>199.17</v>
      </c>
      <c r="T6435" s="36">
        <v>163.25</v>
      </c>
      <c r="U6435" s="34"/>
      <c r="V6435" s="34"/>
      <c r="W6435" s="34" t="s">
        <v>40</v>
      </c>
      <c r="X6435" s="37">
        <v>0.255</v>
      </c>
      <c r="Y6435" s="38">
        <v>2.7900000000000001E-4</v>
      </c>
      <c r="Z6435" s="21">
        <v>4601004230873</v>
      </c>
    </row>
    <row r="6436" spans="1:26" ht="12" customHeight="1" outlineLevel="3" x14ac:dyDescent="0.2">
      <c r="A6436" s="32" t="s">
        <v>12418</v>
      </c>
      <c r="B6436" s="74" t="s">
        <v>12419</v>
      </c>
      <c r="C6436" s="50"/>
      <c r="D6436" s="53">
        <f t="shared" si="100"/>
        <v>0</v>
      </c>
      <c r="E6436" s="60" t="str">
        <f>HYPERLINK("https://www.sds-group.ru/product/samorez-gipsokarton-metall-3-5h25-mm-paket-20-sht-up-kranz-1143-3525-5/", "Инфо")</f>
        <v>Инфо</v>
      </c>
      <c r="F6436" s="34" t="s">
        <v>1001</v>
      </c>
      <c r="G6436" s="33"/>
      <c r="H6436" s="33" t="s">
        <v>40</v>
      </c>
      <c r="I6436" s="33"/>
      <c r="J6436" s="39">
        <v>13568</v>
      </c>
      <c r="K6436" s="33"/>
      <c r="L6436" s="35">
        <v>1</v>
      </c>
      <c r="M6436" s="35">
        <v>300</v>
      </c>
      <c r="N6436" s="35">
        <v>1</v>
      </c>
      <c r="O6436" s="36">
        <v>10.29</v>
      </c>
      <c r="P6436" s="36">
        <v>8.43</v>
      </c>
      <c r="Q6436" s="36">
        <v>7.2</v>
      </c>
      <c r="R6436" s="36">
        <v>5.9</v>
      </c>
      <c r="S6436" s="36">
        <v>7</v>
      </c>
      <c r="T6436" s="36">
        <v>5.74</v>
      </c>
      <c r="U6436" s="34"/>
      <c r="V6436" s="34"/>
      <c r="W6436" s="34"/>
      <c r="X6436" s="37">
        <v>2.8000000000000001E-2</v>
      </c>
      <c r="Y6436" s="38">
        <v>1.07E-4</v>
      </c>
      <c r="Z6436" s="21">
        <v>4601004249974</v>
      </c>
    </row>
    <row r="6437" spans="1:26" ht="12" customHeight="1" outlineLevel="3" x14ac:dyDescent="0.2">
      <c r="A6437" s="32" t="s">
        <v>12420</v>
      </c>
      <c r="B6437" s="74" t="s">
        <v>12421</v>
      </c>
      <c r="C6437" s="50"/>
      <c r="D6437" s="53">
        <f t="shared" si="100"/>
        <v>0</v>
      </c>
      <c r="E6437" s="60" t="str">
        <f>HYPERLINK("https://www.sds-group.ru/product/samorez-gipsokarton-metall-3-5h25-mm-paket-50-sht-up-kranz-1143-3525-4/", "Инфо")</f>
        <v>Инфо</v>
      </c>
      <c r="F6437" s="34" t="s">
        <v>1001</v>
      </c>
      <c r="G6437" s="33"/>
      <c r="H6437" s="33" t="s">
        <v>40</v>
      </c>
      <c r="I6437" s="33"/>
      <c r="J6437" s="35">
        <v>157</v>
      </c>
      <c r="K6437" s="33"/>
      <c r="L6437" s="35">
        <v>1</v>
      </c>
      <c r="M6437" s="35">
        <v>50</v>
      </c>
      <c r="N6437" s="35">
        <v>1</v>
      </c>
      <c r="O6437" s="36">
        <v>139.25</v>
      </c>
      <c r="P6437" s="36">
        <v>114.14</v>
      </c>
      <c r="Q6437" s="36">
        <v>129.5</v>
      </c>
      <c r="R6437" s="36">
        <v>106.15</v>
      </c>
      <c r="S6437" s="36">
        <v>94.69</v>
      </c>
      <c r="T6437" s="36">
        <v>77.61</v>
      </c>
      <c r="U6437" s="34"/>
      <c r="V6437" s="34"/>
      <c r="W6437" s="34" t="s">
        <v>40</v>
      </c>
      <c r="X6437" s="37">
        <v>6.4000000000000001E-2</v>
      </c>
      <c r="Y6437" s="38">
        <v>1.15E-4</v>
      </c>
      <c r="Z6437" s="21">
        <v>4601004247604</v>
      </c>
    </row>
    <row r="6438" spans="1:26" ht="12" customHeight="1" outlineLevel="3" x14ac:dyDescent="0.2">
      <c r="A6438" s="32" t="s">
        <v>12422</v>
      </c>
      <c r="B6438" s="74" t="s">
        <v>12423</v>
      </c>
      <c r="C6438" s="50"/>
      <c r="D6438" s="53">
        <f t="shared" si="100"/>
        <v>0</v>
      </c>
      <c r="E6438" s="60" t="str">
        <f>HYPERLINK("https://www.sds-group.ru/product/samorez-gipsokarton-metall-3-5h32-mm-korob-200-sht-up-kranz-KR-01-3341-004/", "Инфо")</f>
        <v>Инфо</v>
      </c>
      <c r="F6438" s="34" t="s">
        <v>1001</v>
      </c>
      <c r="G6438" s="33"/>
      <c r="H6438" s="33" t="s">
        <v>40</v>
      </c>
      <c r="I6438" s="33"/>
      <c r="J6438" s="39">
        <v>1999</v>
      </c>
      <c r="K6438" s="33"/>
      <c r="L6438" s="35">
        <v>5</v>
      </c>
      <c r="M6438" s="35">
        <v>16</v>
      </c>
      <c r="N6438" s="35">
        <v>5</v>
      </c>
      <c r="O6438" s="36">
        <v>321.68</v>
      </c>
      <c r="P6438" s="36">
        <v>263.67</v>
      </c>
      <c r="Q6438" s="36">
        <v>299.16000000000003</v>
      </c>
      <c r="R6438" s="36">
        <v>245.21</v>
      </c>
      <c r="S6438" s="36">
        <v>218.74</v>
      </c>
      <c r="T6438" s="36">
        <v>179.3</v>
      </c>
      <c r="U6438" s="34"/>
      <c r="V6438" s="34"/>
      <c r="W6438" s="34" t="s">
        <v>40</v>
      </c>
      <c r="X6438" s="37">
        <v>0.32200000000000001</v>
      </c>
      <c r="Y6438" s="38">
        <v>7.8399999999999997E-4</v>
      </c>
      <c r="Z6438" s="21">
        <v>4601004234963</v>
      </c>
    </row>
    <row r="6439" spans="1:26" ht="12" customHeight="1" outlineLevel="3" x14ac:dyDescent="0.2">
      <c r="A6439" s="32" t="s">
        <v>12424</v>
      </c>
      <c r="B6439" s="74" t="s">
        <v>12425</v>
      </c>
      <c r="C6439" s="50"/>
      <c r="D6439" s="53">
        <f t="shared" si="100"/>
        <v>0</v>
      </c>
      <c r="E6439" s="60" t="str">
        <f>HYPERLINK("https://www.sds-group.ru/product/samorez-gipsokarton-metall-3-5h32-mm-paket-1000-sht-up-kranz-1143-3532-2/", "Инфо")</f>
        <v>Инфо</v>
      </c>
      <c r="F6439" s="34" t="s">
        <v>1001</v>
      </c>
      <c r="G6439" s="33"/>
      <c r="H6439" s="33" t="s">
        <v>40</v>
      </c>
      <c r="I6439" s="33"/>
      <c r="J6439" s="35">
        <v>11</v>
      </c>
      <c r="K6439" s="33"/>
      <c r="L6439" s="35">
        <v>1</v>
      </c>
      <c r="M6439" s="35">
        <v>1</v>
      </c>
      <c r="N6439" s="35">
        <v>1</v>
      </c>
      <c r="O6439" s="36">
        <v>966.24</v>
      </c>
      <c r="P6439" s="36">
        <v>792</v>
      </c>
      <c r="Q6439" s="36">
        <v>676.37</v>
      </c>
      <c r="R6439" s="36">
        <v>554.4</v>
      </c>
      <c r="S6439" s="36">
        <v>657.04</v>
      </c>
      <c r="T6439" s="36">
        <v>538.55999999999995</v>
      </c>
      <c r="U6439" s="34"/>
      <c r="V6439" s="34"/>
      <c r="W6439" s="34"/>
      <c r="X6439" s="37">
        <v>1.399</v>
      </c>
      <c r="Y6439" s="38">
        <v>1.2780000000000001E-3</v>
      </c>
      <c r="Z6439" s="21">
        <v>4601004271180</v>
      </c>
    </row>
    <row r="6440" spans="1:26" ht="12" customHeight="1" outlineLevel="3" x14ac:dyDescent="0.2">
      <c r="A6440" s="32" t="s">
        <v>12426</v>
      </c>
      <c r="B6440" s="74" t="s">
        <v>12427</v>
      </c>
      <c r="C6440" s="50"/>
      <c r="D6440" s="53">
        <f t="shared" si="100"/>
        <v>0</v>
      </c>
      <c r="E6440" s="60" t="str">
        <f>HYPERLINK("https://www.sds-group.ru/product/samorez-gipsokarton-metall-3-5h32-mm-paket-25-sht-up-kranz-1143-3532-5/", "Инфо")</f>
        <v>Инфо</v>
      </c>
      <c r="F6440" s="34" t="s">
        <v>1001</v>
      </c>
      <c r="G6440" s="33"/>
      <c r="H6440" s="33" t="s">
        <v>40</v>
      </c>
      <c r="I6440" s="33"/>
      <c r="J6440" s="35">
        <v>716</v>
      </c>
      <c r="K6440" s="33"/>
      <c r="L6440" s="35">
        <v>1</v>
      </c>
      <c r="M6440" s="35">
        <v>300</v>
      </c>
      <c r="N6440" s="35">
        <v>1</v>
      </c>
      <c r="O6440" s="36">
        <v>21.18</v>
      </c>
      <c r="P6440" s="36">
        <v>17.36</v>
      </c>
      <c r="Q6440" s="36">
        <v>14.83</v>
      </c>
      <c r="R6440" s="36">
        <v>12.16</v>
      </c>
      <c r="S6440" s="36">
        <v>14.4</v>
      </c>
      <c r="T6440" s="36">
        <v>11.8</v>
      </c>
      <c r="U6440" s="34"/>
      <c r="V6440" s="34"/>
      <c r="W6440" s="34"/>
      <c r="X6440" s="37">
        <v>0.04</v>
      </c>
      <c r="Y6440" s="38">
        <v>1.0900000000000001E-4</v>
      </c>
      <c r="Z6440" s="21">
        <v>4601004249981</v>
      </c>
    </row>
    <row r="6441" spans="1:26" ht="12" customHeight="1" outlineLevel="3" x14ac:dyDescent="0.2">
      <c r="A6441" s="32" t="s">
        <v>12428</v>
      </c>
      <c r="B6441" s="74" t="s">
        <v>12429</v>
      </c>
      <c r="C6441" s="50"/>
      <c r="D6441" s="53">
        <f t="shared" si="100"/>
        <v>0</v>
      </c>
      <c r="E6441" s="60" t="str">
        <f>HYPERLINK("https://www.sds-group.ru/product/samorez-gipsokarton-metall-3-5h32-mm-paket-50-sht-up-kranz-1143-3532-4/", "Инфо")</f>
        <v>Инфо</v>
      </c>
      <c r="F6441" s="34" t="s">
        <v>1001</v>
      </c>
      <c r="G6441" s="33"/>
      <c r="H6441" s="33" t="s">
        <v>40</v>
      </c>
      <c r="I6441" s="33"/>
      <c r="J6441" s="35">
        <v>560</v>
      </c>
      <c r="K6441" s="33"/>
      <c r="L6441" s="35">
        <v>1</v>
      </c>
      <c r="M6441" s="35">
        <v>35</v>
      </c>
      <c r="N6441" s="35">
        <v>1</v>
      </c>
      <c r="O6441" s="36">
        <v>131.13</v>
      </c>
      <c r="P6441" s="36">
        <v>107.48</v>
      </c>
      <c r="Q6441" s="36">
        <v>121.95</v>
      </c>
      <c r="R6441" s="36">
        <v>99.96</v>
      </c>
      <c r="S6441" s="36">
        <v>89.17</v>
      </c>
      <c r="T6441" s="36">
        <v>73.09</v>
      </c>
      <c r="U6441" s="34"/>
      <c r="V6441" s="34"/>
      <c r="W6441" s="34" t="s">
        <v>40</v>
      </c>
      <c r="X6441" s="37">
        <v>7.4999999999999997E-2</v>
      </c>
      <c r="Y6441" s="38">
        <v>1.5100000000000001E-4</v>
      </c>
      <c r="Z6441" s="21">
        <v>4601004247611</v>
      </c>
    </row>
    <row r="6442" spans="1:26" ht="12" customHeight="1" outlineLevel="3" x14ac:dyDescent="0.2">
      <c r="A6442" s="32" t="s">
        <v>12430</v>
      </c>
      <c r="B6442" s="74" t="s">
        <v>12431</v>
      </c>
      <c r="C6442" s="50"/>
      <c r="D6442" s="53">
        <f t="shared" si="100"/>
        <v>0</v>
      </c>
      <c r="E6442" s="60" t="str">
        <f>HYPERLINK("https://www.sds-group.ru/product/samorez-gipsokarton-metall-3-5h35-mm-korob-200-sht-up-kranz-KR-01-3341-005/", "Инфо")</f>
        <v>Инфо</v>
      </c>
      <c r="F6442" s="34" t="s">
        <v>1001</v>
      </c>
      <c r="G6442" s="33"/>
      <c r="H6442" s="33" t="s">
        <v>40</v>
      </c>
      <c r="I6442" s="33"/>
      <c r="J6442" s="35">
        <v>169</v>
      </c>
      <c r="K6442" s="33"/>
      <c r="L6442" s="35">
        <v>5</v>
      </c>
      <c r="M6442" s="35">
        <v>32</v>
      </c>
      <c r="N6442" s="35">
        <v>5</v>
      </c>
      <c r="O6442" s="36">
        <v>412.02</v>
      </c>
      <c r="P6442" s="36">
        <v>337.72</v>
      </c>
      <c r="Q6442" s="36">
        <v>383.18</v>
      </c>
      <c r="R6442" s="36">
        <v>314.08</v>
      </c>
      <c r="S6442" s="36">
        <v>280.17</v>
      </c>
      <c r="T6442" s="36">
        <v>229.65</v>
      </c>
      <c r="U6442" s="34"/>
      <c r="V6442" s="34"/>
      <c r="W6442" s="34" t="s">
        <v>40</v>
      </c>
      <c r="X6442" s="37">
        <v>0.34300000000000003</v>
      </c>
      <c r="Y6442" s="38">
        <v>5.3399999999999997E-4</v>
      </c>
      <c r="Z6442" s="21">
        <v>4601004230880</v>
      </c>
    </row>
    <row r="6443" spans="1:26" ht="12" customHeight="1" outlineLevel="3" x14ac:dyDescent="0.2">
      <c r="A6443" s="32" t="s">
        <v>12432</v>
      </c>
      <c r="B6443" s="74" t="s">
        <v>12433</v>
      </c>
      <c r="C6443" s="50"/>
      <c r="D6443" s="53">
        <f t="shared" si="100"/>
        <v>0</v>
      </c>
      <c r="E6443" s="60" t="str">
        <f>HYPERLINK("https://www.sds-group.ru/product/samorez-gipsokarton-metall-3-5h35-mm-paket-25-sht-up-kranz-1143-3535-5/", "Инфо")</f>
        <v>Инфо</v>
      </c>
      <c r="F6443" s="34" t="s">
        <v>1001</v>
      </c>
      <c r="G6443" s="33"/>
      <c r="H6443" s="33" t="s">
        <v>40</v>
      </c>
      <c r="I6443" s="33"/>
      <c r="J6443" s="39">
        <v>2214</v>
      </c>
      <c r="K6443" s="33"/>
      <c r="L6443" s="35">
        <v>1</v>
      </c>
      <c r="M6443" s="35">
        <v>300</v>
      </c>
      <c r="N6443" s="35">
        <v>1</v>
      </c>
      <c r="O6443" s="36">
        <v>13.92</v>
      </c>
      <c r="P6443" s="36">
        <v>11.41</v>
      </c>
      <c r="Q6443" s="36">
        <v>9.74</v>
      </c>
      <c r="R6443" s="36">
        <v>7.98</v>
      </c>
      <c r="S6443" s="36">
        <v>9.4700000000000006</v>
      </c>
      <c r="T6443" s="36">
        <v>7.76</v>
      </c>
      <c r="U6443" s="34"/>
      <c r="V6443" s="34"/>
      <c r="W6443" s="34"/>
      <c r="X6443" s="37">
        <v>4.2999999999999997E-2</v>
      </c>
      <c r="Y6443" s="38">
        <v>1.06E-4</v>
      </c>
      <c r="Z6443" s="21">
        <v>4601004249998</v>
      </c>
    </row>
    <row r="6444" spans="1:26" ht="12" customHeight="1" outlineLevel="3" x14ac:dyDescent="0.2">
      <c r="A6444" s="32" t="s">
        <v>12434</v>
      </c>
      <c r="B6444" s="74" t="s">
        <v>12435</v>
      </c>
      <c r="C6444" s="50"/>
      <c r="D6444" s="53">
        <f t="shared" si="100"/>
        <v>0</v>
      </c>
      <c r="E6444" s="60" t="str">
        <f>HYPERLINK("https://www.sds-group.ru/product/samorez-gipsokarton-metall-3-5h35-mm-paket-50-sht-up-kranz-1143-3535-4/", "Инфо")</f>
        <v>Инфо</v>
      </c>
      <c r="F6444" s="34" t="s">
        <v>1001</v>
      </c>
      <c r="G6444" s="33"/>
      <c r="H6444" s="33" t="s">
        <v>40</v>
      </c>
      <c r="I6444" s="33"/>
      <c r="J6444" s="35">
        <v>425</v>
      </c>
      <c r="K6444" s="33"/>
      <c r="L6444" s="35">
        <v>10</v>
      </c>
      <c r="M6444" s="35">
        <v>50</v>
      </c>
      <c r="N6444" s="35">
        <v>10</v>
      </c>
      <c r="O6444" s="36">
        <v>115.47</v>
      </c>
      <c r="P6444" s="36">
        <v>94.65</v>
      </c>
      <c r="Q6444" s="36">
        <v>107.39</v>
      </c>
      <c r="R6444" s="36">
        <v>88.02</v>
      </c>
      <c r="S6444" s="36">
        <v>78.52</v>
      </c>
      <c r="T6444" s="36">
        <v>64.36</v>
      </c>
      <c r="U6444" s="34"/>
      <c r="V6444" s="34"/>
      <c r="W6444" s="34" t="s">
        <v>40</v>
      </c>
      <c r="X6444" s="37">
        <v>9.9000000000000005E-2</v>
      </c>
      <c r="Y6444" s="38">
        <v>2.8800000000000001E-4</v>
      </c>
      <c r="Z6444" s="21">
        <v>4601004247628</v>
      </c>
    </row>
    <row r="6445" spans="1:26" ht="12" customHeight="1" outlineLevel="3" x14ac:dyDescent="0.2">
      <c r="A6445" s="32" t="s">
        <v>12436</v>
      </c>
      <c r="B6445" s="74" t="s">
        <v>12437</v>
      </c>
      <c r="C6445" s="50"/>
      <c r="D6445" s="53">
        <f t="shared" si="100"/>
        <v>0</v>
      </c>
      <c r="E6445" s="60" t="str">
        <f>HYPERLINK("https://www.sds-group.ru/product/samorez-gipsokarton-metall-3-5h41-mm-korob-200-sht-up-kranz-KR-01-3341-006/", "Инфо")</f>
        <v>Инфо</v>
      </c>
      <c r="F6445" s="34" t="s">
        <v>1001</v>
      </c>
      <c r="G6445" s="33"/>
      <c r="H6445" s="33" t="s">
        <v>40</v>
      </c>
      <c r="I6445" s="33"/>
      <c r="J6445" s="35">
        <v>144</v>
      </c>
      <c r="K6445" s="33"/>
      <c r="L6445" s="35">
        <v>5</v>
      </c>
      <c r="M6445" s="35">
        <v>16</v>
      </c>
      <c r="N6445" s="35">
        <v>5</v>
      </c>
      <c r="O6445" s="36">
        <v>431.46</v>
      </c>
      <c r="P6445" s="36">
        <v>353.66</v>
      </c>
      <c r="Q6445" s="36">
        <v>401.26</v>
      </c>
      <c r="R6445" s="36">
        <v>328.9</v>
      </c>
      <c r="S6445" s="36">
        <v>293.39</v>
      </c>
      <c r="T6445" s="36">
        <v>240.48</v>
      </c>
      <c r="U6445" s="34"/>
      <c r="V6445" s="34"/>
      <c r="W6445" s="34" t="s">
        <v>40</v>
      </c>
      <c r="X6445" s="37">
        <v>0.39300000000000002</v>
      </c>
      <c r="Y6445" s="38">
        <v>7.8700000000000005E-4</v>
      </c>
      <c r="Z6445" s="21">
        <v>4601004234970</v>
      </c>
    </row>
    <row r="6446" spans="1:26" ht="12" customHeight="1" outlineLevel="3" x14ac:dyDescent="0.2">
      <c r="A6446" s="32" t="s">
        <v>12438</v>
      </c>
      <c r="B6446" s="74" t="s">
        <v>12439</v>
      </c>
      <c r="C6446" s="50"/>
      <c r="D6446" s="53">
        <f t="shared" si="100"/>
        <v>0</v>
      </c>
      <c r="E6446" s="60" t="str">
        <f>HYPERLINK("https://www.sds-group.ru/product/samorez-gipsokarton-metall-3-5h41-mm-paket-50-sht-up-kranz-1143-3541-4/", "Инфо")</f>
        <v>Инфо</v>
      </c>
      <c r="F6446" s="34" t="s">
        <v>1001</v>
      </c>
      <c r="G6446" s="33"/>
      <c r="H6446" s="33" t="s">
        <v>40</v>
      </c>
      <c r="I6446" s="33"/>
      <c r="J6446" s="35">
        <v>247</v>
      </c>
      <c r="K6446" s="33"/>
      <c r="L6446" s="35">
        <v>10</v>
      </c>
      <c r="M6446" s="35">
        <v>40</v>
      </c>
      <c r="N6446" s="35">
        <v>10</v>
      </c>
      <c r="O6446" s="36">
        <v>137.04</v>
      </c>
      <c r="P6446" s="36">
        <v>112.33</v>
      </c>
      <c r="Q6446" s="36">
        <v>127.45</v>
      </c>
      <c r="R6446" s="36">
        <v>104.47</v>
      </c>
      <c r="S6446" s="36">
        <v>93.19</v>
      </c>
      <c r="T6446" s="36">
        <v>76.39</v>
      </c>
      <c r="U6446" s="34"/>
      <c r="V6446" s="34"/>
      <c r="W6446" s="34" t="s">
        <v>40</v>
      </c>
      <c r="X6446" s="37">
        <v>9.6000000000000002E-2</v>
      </c>
      <c r="Y6446" s="38">
        <v>2.6800000000000001E-4</v>
      </c>
      <c r="Z6446" s="21">
        <v>4601004247635</v>
      </c>
    </row>
    <row r="6447" spans="1:26" ht="12" customHeight="1" outlineLevel="3" x14ac:dyDescent="0.2">
      <c r="A6447" s="32" t="s">
        <v>12440</v>
      </c>
      <c r="B6447" s="74" t="s">
        <v>12441</v>
      </c>
      <c r="C6447" s="50"/>
      <c r="D6447" s="53">
        <f t="shared" si="100"/>
        <v>0</v>
      </c>
      <c r="E6447" s="60" t="str">
        <f>HYPERLINK("https://www.sds-group.ru/product/samorez-gipsokarton-metall-3-5h45-mm-korob-200-sht-up-kranz-KR-01-3341-007/", "Инфо")</f>
        <v>Инфо</v>
      </c>
      <c r="F6447" s="34" t="s">
        <v>1001</v>
      </c>
      <c r="G6447" s="33"/>
      <c r="H6447" s="33" t="s">
        <v>40</v>
      </c>
      <c r="I6447" s="33"/>
      <c r="J6447" s="35">
        <v>599</v>
      </c>
      <c r="K6447" s="33"/>
      <c r="L6447" s="35">
        <v>5</v>
      </c>
      <c r="M6447" s="35">
        <v>12</v>
      </c>
      <c r="N6447" s="35">
        <v>5</v>
      </c>
      <c r="O6447" s="36">
        <v>410.92</v>
      </c>
      <c r="P6447" s="36">
        <v>336.82</v>
      </c>
      <c r="Q6447" s="36">
        <v>382.16</v>
      </c>
      <c r="R6447" s="36">
        <v>313.25</v>
      </c>
      <c r="S6447" s="36">
        <v>279.43</v>
      </c>
      <c r="T6447" s="36">
        <v>229.04</v>
      </c>
      <c r="U6447" s="34"/>
      <c r="V6447" s="34"/>
      <c r="W6447" s="34" t="s">
        <v>40</v>
      </c>
      <c r="X6447" s="37">
        <v>0.434</v>
      </c>
      <c r="Y6447" s="38">
        <v>1.0610000000000001E-3</v>
      </c>
      <c r="Z6447" s="21">
        <v>4601004234987</v>
      </c>
    </row>
    <row r="6448" spans="1:26" ht="12" customHeight="1" outlineLevel="3" x14ac:dyDescent="0.2">
      <c r="A6448" s="32" t="s">
        <v>12442</v>
      </c>
      <c r="B6448" s="74" t="s">
        <v>12443</v>
      </c>
      <c r="C6448" s="50"/>
      <c r="D6448" s="53">
        <f t="shared" si="100"/>
        <v>0</v>
      </c>
      <c r="E6448" s="60" t="str">
        <f>HYPERLINK("https://www.sds-group.ru/product/samorez-gipsokarton-metall-3-5h45-mm-paket-50-sht-up-kranz-1143-3545-4/", "Инфо")</f>
        <v>Инфо</v>
      </c>
      <c r="F6448" s="34" t="s">
        <v>1001</v>
      </c>
      <c r="G6448" s="33"/>
      <c r="H6448" s="33" t="s">
        <v>40</v>
      </c>
      <c r="I6448" s="33"/>
      <c r="J6448" s="35">
        <v>355</v>
      </c>
      <c r="K6448" s="33"/>
      <c r="L6448" s="35">
        <v>1</v>
      </c>
      <c r="M6448" s="35">
        <v>50</v>
      </c>
      <c r="N6448" s="35">
        <v>1</v>
      </c>
      <c r="O6448" s="36">
        <v>103.66</v>
      </c>
      <c r="P6448" s="36">
        <v>84.97</v>
      </c>
      <c r="Q6448" s="36">
        <v>72.56</v>
      </c>
      <c r="R6448" s="36">
        <v>59.48</v>
      </c>
      <c r="S6448" s="36">
        <v>70.489999999999995</v>
      </c>
      <c r="T6448" s="36">
        <v>57.78</v>
      </c>
      <c r="U6448" s="34"/>
      <c r="V6448" s="34"/>
      <c r="W6448" s="34"/>
      <c r="X6448" s="37">
        <v>0.12</v>
      </c>
      <c r="Y6448" s="38">
        <v>2.8800000000000001E-4</v>
      </c>
      <c r="Z6448" s="21">
        <v>4601004247642</v>
      </c>
    </row>
    <row r="6449" spans="1:26" ht="12" customHeight="1" outlineLevel="3" x14ac:dyDescent="0.2">
      <c r="A6449" s="32" t="s">
        <v>12444</v>
      </c>
      <c r="B6449" s="74" t="s">
        <v>12445</v>
      </c>
      <c r="C6449" s="50"/>
      <c r="D6449" s="53">
        <f t="shared" si="100"/>
        <v>0</v>
      </c>
      <c r="E6449" s="60" t="str">
        <f>HYPERLINK("https://www.sds-group.ru/product/samorez-gipsokarton-metall-3-5h45-paket-500-sht-up-kranz-29090/", "Инфо")</f>
        <v>Инфо</v>
      </c>
      <c r="F6449" s="34" t="s">
        <v>1001</v>
      </c>
      <c r="G6449" s="33"/>
      <c r="H6449" s="33" t="s">
        <v>40</v>
      </c>
      <c r="I6449" s="33"/>
      <c r="J6449" s="35">
        <v>9</v>
      </c>
      <c r="K6449" s="33"/>
      <c r="L6449" s="35">
        <v>1</v>
      </c>
      <c r="M6449" s="35">
        <v>8</v>
      </c>
      <c r="N6449" s="35">
        <v>1</v>
      </c>
      <c r="O6449" s="36">
        <v>531.16999999999996</v>
      </c>
      <c r="P6449" s="36">
        <v>435.39</v>
      </c>
      <c r="Q6449" s="36">
        <v>371.82</v>
      </c>
      <c r="R6449" s="36">
        <v>304.77</v>
      </c>
      <c r="S6449" s="36">
        <v>361.2</v>
      </c>
      <c r="T6449" s="36">
        <v>296.07</v>
      </c>
      <c r="U6449" s="34"/>
      <c r="V6449" s="34"/>
      <c r="W6449" s="34"/>
      <c r="X6449" s="37">
        <v>1.121</v>
      </c>
      <c r="Y6449" s="38">
        <v>1.572E-3</v>
      </c>
      <c r="Z6449" s="21">
        <v>4601004271159</v>
      </c>
    </row>
    <row r="6450" spans="1:26" ht="12" customHeight="1" outlineLevel="3" x14ac:dyDescent="0.2">
      <c r="A6450" s="32" t="s">
        <v>12446</v>
      </c>
      <c r="B6450" s="74" t="s">
        <v>12447</v>
      </c>
      <c r="C6450" s="50"/>
      <c r="D6450" s="53">
        <f t="shared" si="100"/>
        <v>0</v>
      </c>
      <c r="E6450" s="60" t="str">
        <f>HYPERLINK("https://www.sds-group.ru/product/samorez-gipsokarton-metall-3-5h51-mm-korob-200-sht-up-kranz-KR-01-3341-008/", "Инфо")</f>
        <v>Инфо</v>
      </c>
      <c r="F6450" s="34" t="s">
        <v>1001</v>
      </c>
      <c r="G6450" s="33"/>
      <c r="H6450" s="33" t="s">
        <v>40</v>
      </c>
      <c r="I6450" s="33"/>
      <c r="J6450" s="35">
        <v>343</v>
      </c>
      <c r="K6450" s="33"/>
      <c r="L6450" s="35">
        <v>5</v>
      </c>
      <c r="M6450" s="35">
        <v>8</v>
      </c>
      <c r="N6450" s="35">
        <v>5</v>
      </c>
      <c r="O6450" s="36">
        <v>398.62</v>
      </c>
      <c r="P6450" s="36">
        <v>326.74</v>
      </c>
      <c r="Q6450" s="36">
        <v>370.72</v>
      </c>
      <c r="R6450" s="36">
        <v>303.87</v>
      </c>
      <c r="S6450" s="36">
        <v>271.06</v>
      </c>
      <c r="T6450" s="36">
        <v>222.18</v>
      </c>
      <c r="U6450" s="34"/>
      <c r="V6450" s="34"/>
      <c r="W6450" s="34" t="s">
        <v>40</v>
      </c>
      <c r="X6450" s="37">
        <v>0.48299999999999998</v>
      </c>
      <c r="Y6450" s="38">
        <v>1.1490000000000001E-3</v>
      </c>
      <c r="Z6450" s="21">
        <v>4601004234994</v>
      </c>
    </row>
    <row r="6451" spans="1:26" ht="12" customHeight="1" outlineLevel="3" x14ac:dyDescent="0.2">
      <c r="A6451" s="32" t="s">
        <v>12448</v>
      </c>
      <c r="B6451" s="74" t="s">
        <v>12449</v>
      </c>
      <c r="C6451" s="50"/>
      <c r="D6451" s="53">
        <f t="shared" si="100"/>
        <v>0</v>
      </c>
      <c r="E6451" s="60" t="str">
        <f>HYPERLINK("https://www.sds-group.ru/product/samorez-gipsokarton-metall-3-5h51-mm-paket-50-sht-up-kranz-1143-3551-4/", "Инфо")</f>
        <v>Инфо</v>
      </c>
      <c r="F6451" s="34" t="s">
        <v>1001</v>
      </c>
      <c r="G6451" s="33"/>
      <c r="H6451" s="33" t="s">
        <v>40</v>
      </c>
      <c r="I6451" s="33"/>
      <c r="J6451" s="35">
        <v>145</v>
      </c>
      <c r="K6451" s="33"/>
      <c r="L6451" s="35">
        <v>10</v>
      </c>
      <c r="M6451" s="35">
        <v>50</v>
      </c>
      <c r="N6451" s="35">
        <v>10</v>
      </c>
      <c r="O6451" s="36">
        <v>131.29</v>
      </c>
      <c r="P6451" s="36">
        <v>107.61</v>
      </c>
      <c r="Q6451" s="36">
        <v>122.1</v>
      </c>
      <c r="R6451" s="36">
        <v>100.08</v>
      </c>
      <c r="S6451" s="36">
        <v>89.28</v>
      </c>
      <c r="T6451" s="36">
        <v>73.180000000000007</v>
      </c>
      <c r="U6451" s="34"/>
      <c r="V6451" s="34"/>
      <c r="W6451" s="34" t="s">
        <v>40</v>
      </c>
      <c r="X6451" s="37">
        <v>0.12</v>
      </c>
      <c r="Y6451" s="38">
        <v>1.55E-4</v>
      </c>
      <c r="Z6451" s="21">
        <v>4601004247659</v>
      </c>
    </row>
    <row r="6452" spans="1:26" ht="12" customHeight="1" outlineLevel="3" x14ac:dyDescent="0.2">
      <c r="A6452" s="32" t="s">
        <v>12450</v>
      </c>
      <c r="B6452" s="74" t="s">
        <v>12451</v>
      </c>
      <c r="C6452" s="50"/>
      <c r="D6452" s="53">
        <f t="shared" si="100"/>
        <v>0</v>
      </c>
      <c r="E6452" s="60" t="str">
        <f>HYPERLINK("https://www.sds-group.ru/product/samorez-gipsokarton-metall-3-5h55-mm-korob-200-sht-up-kranz-KR-01-3341-009/", "Инфо")</f>
        <v>Инфо</v>
      </c>
      <c r="F6452" s="34" t="s">
        <v>1001</v>
      </c>
      <c r="G6452" s="33"/>
      <c r="H6452" s="33" t="s">
        <v>40</v>
      </c>
      <c r="I6452" s="33"/>
      <c r="J6452" s="35">
        <v>298</v>
      </c>
      <c r="K6452" s="33"/>
      <c r="L6452" s="35">
        <v>5</v>
      </c>
      <c r="M6452" s="35">
        <v>8</v>
      </c>
      <c r="N6452" s="35">
        <v>5</v>
      </c>
      <c r="O6452" s="36">
        <v>428.2</v>
      </c>
      <c r="P6452" s="36">
        <v>350.98</v>
      </c>
      <c r="Q6452" s="36">
        <v>398.23</v>
      </c>
      <c r="R6452" s="36">
        <v>326.42</v>
      </c>
      <c r="S6452" s="36">
        <v>291.18</v>
      </c>
      <c r="T6452" s="36">
        <v>238.67</v>
      </c>
      <c r="U6452" s="34"/>
      <c r="V6452" s="34"/>
      <c r="W6452" s="34" t="s">
        <v>40</v>
      </c>
      <c r="X6452" s="37">
        <v>0.56000000000000005</v>
      </c>
      <c r="Y6452" s="38">
        <v>1.1329999999999999E-3</v>
      </c>
      <c r="Z6452" s="21">
        <v>4601004235007</v>
      </c>
    </row>
    <row r="6453" spans="1:26" ht="12" customHeight="1" outlineLevel="3" x14ac:dyDescent="0.2">
      <c r="A6453" s="32" t="s">
        <v>12452</v>
      </c>
      <c r="B6453" s="74" t="s">
        <v>12453</v>
      </c>
      <c r="C6453" s="50"/>
      <c r="D6453" s="53">
        <f t="shared" si="100"/>
        <v>0</v>
      </c>
      <c r="E6453" s="60" t="str">
        <f>HYPERLINK("https://www.sds-group.ru/product/samorez-gipsokarton-metall-3-5h55-mm-paket-50-sht-up-kranz-1143-3555-4/", "Инфо")</f>
        <v>Инфо</v>
      </c>
      <c r="F6453" s="34" t="s">
        <v>1001</v>
      </c>
      <c r="G6453" s="33"/>
      <c r="H6453" s="33" t="s">
        <v>40</v>
      </c>
      <c r="I6453" s="33"/>
      <c r="J6453" s="35">
        <v>80</v>
      </c>
      <c r="K6453" s="33"/>
      <c r="L6453" s="35">
        <v>1</v>
      </c>
      <c r="M6453" s="35">
        <v>50</v>
      </c>
      <c r="N6453" s="35">
        <v>1</v>
      </c>
      <c r="O6453" s="36">
        <v>161.97</v>
      </c>
      <c r="P6453" s="36">
        <v>132.76</v>
      </c>
      <c r="Q6453" s="36">
        <v>150.63</v>
      </c>
      <c r="R6453" s="36">
        <v>123.47</v>
      </c>
      <c r="S6453" s="36">
        <v>110.14</v>
      </c>
      <c r="T6453" s="36">
        <v>90.28</v>
      </c>
      <c r="U6453" s="34"/>
      <c r="V6453" s="34"/>
      <c r="W6453" s="34" t="s">
        <v>40</v>
      </c>
      <c r="X6453" s="37">
        <v>0.14299999999999999</v>
      </c>
      <c r="Y6453" s="38">
        <v>3.9100000000000002E-4</v>
      </c>
      <c r="Z6453" s="21">
        <v>4601004247666</v>
      </c>
    </row>
    <row r="6454" spans="1:26" ht="12" customHeight="1" outlineLevel="3" x14ac:dyDescent="0.2">
      <c r="A6454" s="32" t="s">
        <v>12454</v>
      </c>
      <c r="B6454" s="74" t="s">
        <v>12455</v>
      </c>
      <c r="C6454" s="50"/>
      <c r="D6454" s="53">
        <f t="shared" si="100"/>
        <v>0</v>
      </c>
      <c r="E6454" s="60" t="str">
        <f>HYPERLINK("https://www.sds-group.ru/product/samorez-gipsokarton-metall-4-2h75-mm-korob-100-sht-up-kranz-KR-01-3341-012/", "Инфо")</f>
        <v>Инфо</v>
      </c>
      <c r="F6454" s="34" t="s">
        <v>1001</v>
      </c>
      <c r="G6454" s="33"/>
      <c r="H6454" s="33" t="s">
        <v>40</v>
      </c>
      <c r="I6454" s="33"/>
      <c r="J6454" s="35">
        <v>179</v>
      </c>
      <c r="K6454" s="33"/>
      <c r="L6454" s="35">
        <v>5</v>
      </c>
      <c r="M6454" s="35">
        <v>8</v>
      </c>
      <c r="N6454" s="35">
        <v>5</v>
      </c>
      <c r="O6454" s="36">
        <v>412.72</v>
      </c>
      <c r="P6454" s="36">
        <v>338.3</v>
      </c>
      <c r="Q6454" s="36">
        <v>383.83</v>
      </c>
      <c r="R6454" s="36">
        <v>314.61</v>
      </c>
      <c r="S6454" s="36">
        <v>280.64999999999998</v>
      </c>
      <c r="T6454" s="36">
        <v>230.04</v>
      </c>
      <c r="U6454" s="34"/>
      <c r="V6454" s="34"/>
      <c r="W6454" s="34" t="s">
        <v>40</v>
      </c>
      <c r="X6454" s="37">
        <v>0.44400000000000001</v>
      </c>
      <c r="Y6454" s="38">
        <v>1.1540000000000001E-3</v>
      </c>
      <c r="Z6454" s="21">
        <v>4601004234734</v>
      </c>
    </row>
    <row r="6455" spans="1:26" ht="12" customHeight="1" outlineLevel="3" x14ac:dyDescent="0.2">
      <c r="A6455" s="32" t="s">
        <v>12456</v>
      </c>
      <c r="B6455" s="74" t="s">
        <v>12457</v>
      </c>
      <c r="C6455" s="50"/>
      <c r="D6455" s="53">
        <f t="shared" si="100"/>
        <v>0</v>
      </c>
      <c r="E6455" s="60" t="str">
        <f>HYPERLINK("https://www.sds-group.ru/product/samorez-gipsokarton-metall-4-2h75-mm-paket-300-sht-up-kranz-1143-4275-2/", "Инфо")</f>
        <v>Инфо</v>
      </c>
      <c r="F6455" s="34" t="s">
        <v>1001</v>
      </c>
      <c r="G6455" s="33"/>
      <c r="H6455" s="33" t="s">
        <v>40</v>
      </c>
      <c r="I6455" s="33"/>
      <c r="J6455" s="35">
        <v>3</v>
      </c>
      <c r="K6455" s="33"/>
      <c r="L6455" s="35">
        <v>1</v>
      </c>
      <c r="M6455" s="35">
        <v>10</v>
      </c>
      <c r="N6455" s="35">
        <v>1</v>
      </c>
      <c r="O6455" s="36">
        <v>541.98</v>
      </c>
      <c r="P6455" s="36">
        <v>444.25</v>
      </c>
      <c r="Q6455" s="36">
        <v>379.39</v>
      </c>
      <c r="R6455" s="36">
        <v>310.98</v>
      </c>
      <c r="S6455" s="36">
        <v>368.55</v>
      </c>
      <c r="T6455" s="36">
        <v>302.08999999999997</v>
      </c>
      <c r="U6455" s="34"/>
      <c r="V6455" s="34"/>
      <c r="W6455" s="34"/>
      <c r="X6455" s="37">
        <v>1.2330000000000001</v>
      </c>
      <c r="Y6455" s="38">
        <v>2.5999999999999999E-3</v>
      </c>
      <c r="Z6455" s="21">
        <v>4601004271197</v>
      </c>
    </row>
    <row r="6456" spans="1:26" ht="12.95" customHeight="1" outlineLevel="2" x14ac:dyDescent="0.2">
      <c r="A6456" s="76" t="s">
        <v>12458</v>
      </c>
      <c r="B6456" s="76"/>
      <c r="C6456" s="77"/>
      <c r="D6456" s="58"/>
      <c r="E6456" s="68"/>
      <c r="F6456" s="13"/>
      <c r="G6456" s="13"/>
      <c r="H6456" s="13"/>
      <c r="I6456" s="13"/>
      <c r="J6456" s="13"/>
      <c r="K6456" s="13"/>
      <c r="L6456" s="13"/>
      <c r="M6456" s="13"/>
      <c r="N6456" s="13"/>
      <c r="O6456" s="13"/>
      <c r="P6456" s="13"/>
      <c r="Q6456" s="13"/>
      <c r="R6456" s="13"/>
      <c r="S6456" s="13"/>
      <c r="T6456" s="13"/>
      <c r="U6456" s="13"/>
      <c r="V6456" s="13"/>
      <c r="W6456" s="13"/>
      <c r="X6456" s="13"/>
      <c r="Y6456" s="13"/>
      <c r="Z6456" s="13"/>
    </row>
    <row r="6457" spans="1:26" ht="12" customHeight="1" outlineLevel="3" x14ac:dyDescent="0.2">
      <c r="A6457" s="32" t="s">
        <v>12459</v>
      </c>
      <c r="B6457" s="74" t="s">
        <v>12460</v>
      </c>
      <c r="C6457" s="50"/>
      <c r="D6457" s="53">
        <f t="shared" si="100"/>
        <v>0</v>
      </c>
      <c r="E6457" s="60" t="str">
        <f>HYPERLINK("https://www.sds-group.ru/product/samorez-dlya-metallicheskih-konstruktsiy-ostryy-3-5h11-mm-korob-500-sht-up-kranz-KR-01-3351-006/", "Инфо")</f>
        <v>Инфо</v>
      </c>
      <c r="F6457" s="34" t="s">
        <v>1001</v>
      </c>
      <c r="G6457" s="33"/>
      <c r="H6457" s="33" t="s">
        <v>40</v>
      </c>
      <c r="I6457" s="33"/>
      <c r="J6457" s="35">
        <v>499</v>
      </c>
      <c r="K6457" s="33"/>
      <c r="L6457" s="35">
        <v>1</v>
      </c>
      <c r="M6457" s="35">
        <v>16</v>
      </c>
      <c r="N6457" s="35">
        <v>1</v>
      </c>
      <c r="O6457" s="36">
        <v>461.62</v>
      </c>
      <c r="P6457" s="36">
        <v>378.38</v>
      </c>
      <c r="Q6457" s="36">
        <v>323.13</v>
      </c>
      <c r="R6457" s="36">
        <v>264.86</v>
      </c>
      <c r="S6457" s="36">
        <v>313.89999999999998</v>
      </c>
      <c r="T6457" s="36">
        <v>257.3</v>
      </c>
      <c r="U6457" s="34"/>
      <c r="V6457" s="34"/>
      <c r="W6457" s="34"/>
      <c r="X6457" s="37">
        <v>0.45700000000000002</v>
      </c>
      <c r="Y6457" s="38">
        <v>2.63E-4</v>
      </c>
      <c r="Z6457" s="21">
        <v>4601004235281</v>
      </c>
    </row>
    <row r="6458" spans="1:26" ht="12" customHeight="1" outlineLevel="3" x14ac:dyDescent="0.2">
      <c r="A6458" s="32" t="s">
        <v>12461</v>
      </c>
      <c r="B6458" s="74" t="s">
        <v>12462</v>
      </c>
      <c r="C6458" s="50"/>
      <c r="D6458" s="53">
        <f t="shared" si="100"/>
        <v>0</v>
      </c>
      <c r="E6458" s="60" t="str">
        <f>HYPERLINK("https://www.sds-group.ru/product/samorez-dlya-metallicheskih-konstruktsiy-ostryy-3-5h9-5-mm-korob-500-sht-up-kranz-KR-01-3351-005/", "Инфо")</f>
        <v>Инфо</v>
      </c>
      <c r="F6458" s="34" t="s">
        <v>1001</v>
      </c>
      <c r="G6458" s="33"/>
      <c r="H6458" s="33" t="s">
        <v>40</v>
      </c>
      <c r="I6458" s="33"/>
      <c r="J6458" s="35">
        <v>568</v>
      </c>
      <c r="K6458" s="33"/>
      <c r="L6458" s="35">
        <v>1</v>
      </c>
      <c r="M6458" s="35">
        <v>32</v>
      </c>
      <c r="N6458" s="35">
        <v>1</v>
      </c>
      <c r="O6458" s="36">
        <v>435.03</v>
      </c>
      <c r="P6458" s="36">
        <v>356.58</v>
      </c>
      <c r="Q6458" s="36">
        <v>304.52</v>
      </c>
      <c r="R6458" s="36">
        <v>249.61</v>
      </c>
      <c r="S6458" s="36">
        <v>295.82</v>
      </c>
      <c r="T6458" s="36">
        <v>242.48</v>
      </c>
      <c r="U6458" s="34"/>
      <c r="V6458" s="34"/>
      <c r="W6458" s="34"/>
      <c r="X6458" s="37">
        <v>0.40400000000000003</v>
      </c>
      <c r="Y6458" s="38">
        <v>2.6800000000000001E-4</v>
      </c>
      <c r="Z6458" s="21">
        <v>4601004235298</v>
      </c>
    </row>
    <row r="6459" spans="1:26" ht="12" customHeight="1" outlineLevel="3" x14ac:dyDescent="0.2">
      <c r="A6459" s="32" t="s">
        <v>12463</v>
      </c>
      <c r="B6459" s="74" t="s">
        <v>12464</v>
      </c>
      <c r="C6459" s="50"/>
      <c r="D6459" s="53">
        <f t="shared" si="100"/>
        <v>0</v>
      </c>
      <c r="E6459" s="60" t="str">
        <f>HYPERLINK("https://www.sds-group.ru/product/samorez-dlya-metallicheskih-konstruktsiy-sverlo-3-5h9-5-mm-korob-500-sht-up-kranz-KR-01-3351-001/", "Инфо")</f>
        <v>Инфо</v>
      </c>
      <c r="F6459" s="34" t="s">
        <v>1001</v>
      </c>
      <c r="G6459" s="33"/>
      <c r="H6459" s="33" t="s">
        <v>40</v>
      </c>
      <c r="I6459" s="33"/>
      <c r="J6459" s="34" t="s">
        <v>100</v>
      </c>
      <c r="K6459" s="33"/>
      <c r="L6459" s="35">
        <v>1</v>
      </c>
      <c r="M6459" s="35">
        <v>32</v>
      </c>
      <c r="N6459" s="35">
        <v>1</v>
      </c>
      <c r="O6459" s="36">
        <v>439.65</v>
      </c>
      <c r="P6459" s="36">
        <v>360.37</v>
      </c>
      <c r="Q6459" s="36">
        <v>307.76</v>
      </c>
      <c r="R6459" s="36">
        <v>252.26</v>
      </c>
      <c r="S6459" s="36">
        <v>298.95999999999998</v>
      </c>
      <c r="T6459" s="36">
        <v>245.05</v>
      </c>
      <c r="U6459" s="34"/>
      <c r="V6459" s="34"/>
      <c r="W6459" s="34"/>
      <c r="X6459" s="37">
        <v>0.43099999999999999</v>
      </c>
      <c r="Y6459" s="38">
        <v>2.6800000000000001E-4</v>
      </c>
      <c r="Z6459" s="21">
        <v>4601004235274</v>
      </c>
    </row>
    <row r="6460" spans="1:26" ht="12" customHeight="1" outlineLevel="3" x14ac:dyDescent="0.2">
      <c r="A6460" s="32" t="s">
        <v>12465</v>
      </c>
      <c r="B6460" s="74" t="s">
        <v>12466</v>
      </c>
      <c r="C6460" s="50"/>
      <c r="D6460" s="53">
        <f t="shared" si="100"/>
        <v>0</v>
      </c>
      <c r="E6460" s="60" t="str">
        <f>HYPERLINK("https://www.sds-group.ru/product/samorez-dlya-metallicheskih-konstruktsiy-sverlo-3-5h9-5-mm-paket-1000-sht-up-kranz-1163-3595-2/", "Инфо")</f>
        <v>Инфо</v>
      </c>
      <c r="F6460" s="34" t="s">
        <v>1001</v>
      </c>
      <c r="G6460" s="33"/>
      <c r="H6460" s="33" t="s">
        <v>40</v>
      </c>
      <c r="I6460" s="33"/>
      <c r="J6460" s="35">
        <v>13</v>
      </c>
      <c r="K6460" s="33"/>
      <c r="L6460" s="35">
        <v>1</v>
      </c>
      <c r="M6460" s="35">
        <v>10</v>
      </c>
      <c r="N6460" s="35">
        <v>1</v>
      </c>
      <c r="O6460" s="36">
        <v>558.19000000000005</v>
      </c>
      <c r="P6460" s="36">
        <v>457.53</v>
      </c>
      <c r="Q6460" s="36">
        <v>390.73</v>
      </c>
      <c r="R6460" s="36">
        <v>320.27</v>
      </c>
      <c r="S6460" s="36">
        <v>379.57</v>
      </c>
      <c r="T6460" s="36">
        <v>311.12</v>
      </c>
      <c r="U6460" s="34"/>
      <c r="V6460" s="34"/>
      <c r="W6460" s="34"/>
      <c r="X6460" s="37">
        <v>0.82199999999999995</v>
      </c>
      <c r="Y6460" s="38">
        <v>3.5399999999999999E-4</v>
      </c>
      <c r="Z6460" s="21">
        <v>4601004271210</v>
      </c>
    </row>
    <row r="6461" spans="1:26" ht="12.95" customHeight="1" outlineLevel="2" x14ac:dyDescent="0.2">
      <c r="A6461" s="76" t="s">
        <v>12467</v>
      </c>
      <c r="B6461" s="76"/>
      <c r="C6461" s="77"/>
      <c r="D6461" s="58"/>
      <c r="E6461" s="68"/>
      <c r="F6461" s="13"/>
      <c r="G6461" s="13"/>
      <c r="H6461" s="13"/>
      <c r="I6461" s="13"/>
      <c r="J6461" s="13"/>
      <c r="K6461" s="13"/>
      <c r="L6461" s="13"/>
      <c r="M6461" s="13"/>
      <c r="N6461" s="13"/>
      <c r="O6461" s="13"/>
      <c r="P6461" s="13"/>
      <c r="Q6461" s="13"/>
      <c r="R6461" s="13"/>
      <c r="S6461" s="13"/>
      <c r="T6461" s="13"/>
      <c r="U6461" s="13"/>
      <c r="V6461" s="13"/>
      <c r="W6461" s="13"/>
      <c r="X6461" s="13"/>
      <c r="Y6461" s="13"/>
      <c r="Z6461" s="13"/>
    </row>
    <row r="6462" spans="1:26" ht="12" customHeight="1" outlineLevel="3" x14ac:dyDescent="0.2">
      <c r="A6462" s="32" t="s">
        <v>12468</v>
      </c>
      <c r="B6462" s="74" t="s">
        <v>12469</v>
      </c>
      <c r="C6462" s="50"/>
      <c r="D6462" s="53">
        <f t="shared" si="100"/>
        <v>0</v>
      </c>
      <c r="E6462" s="60" t="str">
        <f>HYPERLINK("https://www.sds-group.ru/product/samorez-s-pressshayboy-pshs-ostryy-4-2h13mm-korob-200-sht-up-kranz-KR-01-3361-001/", "Инфо")</f>
        <v>Инфо</v>
      </c>
      <c r="F6462" s="34" t="s">
        <v>1001</v>
      </c>
      <c r="G6462" s="33"/>
      <c r="H6462" s="33" t="s">
        <v>40</v>
      </c>
      <c r="I6462" s="33"/>
      <c r="J6462" s="39">
        <v>1601</v>
      </c>
      <c r="K6462" s="33"/>
      <c r="L6462" s="35">
        <v>5</v>
      </c>
      <c r="M6462" s="35">
        <v>32</v>
      </c>
      <c r="N6462" s="35">
        <v>5</v>
      </c>
      <c r="O6462" s="36">
        <v>253.09</v>
      </c>
      <c r="P6462" s="36">
        <v>207.45</v>
      </c>
      <c r="Q6462" s="36">
        <v>235.37</v>
      </c>
      <c r="R6462" s="36">
        <v>192.93</v>
      </c>
      <c r="S6462" s="36">
        <v>172.1</v>
      </c>
      <c r="T6462" s="36">
        <v>141.07</v>
      </c>
      <c r="U6462" s="34"/>
      <c r="V6462" s="34"/>
      <c r="W6462" s="34" t="s">
        <v>40</v>
      </c>
      <c r="X6462" s="37">
        <v>0.251</v>
      </c>
      <c r="Y6462" s="38">
        <v>2.7599999999999999E-4</v>
      </c>
      <c r="Z6462" s="21">
        <v>4601004235014</v>
      </c>
    </row>
    <row r="6463" spans="1:26" ht="12" customHeight="1" outlineLevel="3" x14ac:dyDescent="0.2">
      <c r="A6463" s="32" t="s">
        <v>12470</v>
      </c>
      <c r="B6463" s="74" t="s">
        <v>12471</v>
      </c>
      <c r="C6463" s="50"/>
      <c r="D6463" s="53">
        <f t="shared" si="100"/>
        <v>0</v>
      </c>
      <c r="E6463" s="60" t="str">
        <f>HYPERLINK("https://www.sds-group.ru/product/samorez-s-pressshayboy-pshs-ostryy-4-2h16mm-korob-200-sht-up-kranz-KR-01-3361-003/", "Инфо")</f>
        <v>Инфо</v>
      </c>
      <c r="F6463" s="34" t="s">
        <v>1001</v>
      </c>
      <c r="G6463" s="33"/>
      <c r="H6463" s="33" t="s">
        <v>40</v>
      </c>
      <c r="I6463" s="33"/>
      <c r="J6463" s="39">
        <v>3028</v>
      </c>
      <c r="K6463" s="33"/>
      <c r="L6463" s="35">
        <v>5</v>
      </c>
      <c r="M6463" s="35">
        <v>32</v>
      </c>
      <c r="N6463" s="35">
        <v>5</v>
      </c>
      <c r="O6463" s="36">
        <v>280.89999999999998</v>
      </c>
      <c r="P6463" s="36">
        <v>230.25</v>
      </c>
      <c r="Q6463" s="36">
        <v>261.24</v>
      </c>
      <c r="R6463" s="36">
        <v>214.13</v>
      </c>
      <c r="S6463" s="36">
        <v>191.01</v>
      </c>
      <c r="T6463" s="36">
        <v>156.57</v>
      </c>
      <c r="U6463" s="34"/>
      <c r="V6463" s="34"/>
      <c r="W6463" s="34" t="s">
        <v>40</v>
      </c>
      <c r="X6463" s="37">
        <v>0.27400000000000002</v>
      </c>
      <c r="Y6463" s="38">
        <v>2.7599999999999999E-4</v>
      </c>
      <c r="Z6463" s="21">
        <v>4601004235021</v>
      </c>
    </row>
    <row r="6464" spans="1:26" ht="12" customHeight="1" outlineLevel="3" x14ac:dyDescent="0.2">
      <c r="A6464" s="32" t="s">
        <v>12472</v>
      </c>
      <c r="B6464" s="74" t="s">
        <v>12473</v>
      </c>
      <c r="C6464" s="50"/>
      <c r="D6464" s="53">
        <f t="shared" si="100"/>
        <v>0</v>
      </c>
      <c r="E6464" s="60" t="str">
        <f>HYPERLINK("https://www.sds-group.ru/product/samorez-s-pressshayboy-pshs-ostryy-4-2h19mm-korob-250-sht-up-kranz-KR-01-3361-004/", "Инфо")</f>
        <v>Инфо</v>
      </c>
      <c r="F6464" s="34" t="s">
        <v>1001</v>
      </c>
      <c r="G6464" s="33"/>
      <c r="H6464" s="33" t="s">
        <v>40</v>
      </c>
      <c r="I6464" s="33"/>
      <c r="J6464" s="35">
        <v>475</v>
      </c>
      <c r="K6464" s="33"/>
      <c r="L6464" s="35">
        <v>5</v>
      </c>
      <c r="M6464" s="35">
        <v>16</v>
      </c>
      <c r="N6464" s="35">
        <v>5</v>
      </c>
      <c r="O6464" s="36">
        <v>363.7</v>
      </c>
      <c r="P6464" s="36">
        <v>298.11</v>
      </c>
      <c r="Q6464" s="36">
        <v>338.24</v>
      </c>
      <c r="R6464" s="36">
        <v>277.25</v>
      </c>
      <c r="S6464" s="36">
        <v>247.32</v>
      </c>
      <c r="T6464" s="36">
        <v>202.72</v>
      </c>
      <c r="U6464" s="34"/>
      <c r="V6464" s="34"/>
      <c r="W6464" s="34" t="s">
        <v>40</v>
      </c>
      <c r="X6464" s="37">
        <v>0.39300000000000002</v>
      </c>
      <c r="Y6464" s="38">
        <v>5.5500000000000005E-4</v>
      </c>
      <c r="Z6464" s="21">
        <v>4601004235267</v>
      </c>
    </row>
    <row r="6465" spans="1:26" ht="12" customHeight="1" outlineLevel="3" x14ac:dyDescent="0.2">
      <c r="A6465" s="32" t="s">
        <v>12474</v>
      </c>
      <c r="B6465" s="74" t="s">
        <v>12475</v>
      </c>
      <c r="C6465" s="50"/>
      <c r="D6465" s="53">
        <f t="shared" si="100"/>
        <v>0</v>
      </c>
      <c r="E6465" s="60" t="str">
        <f>HYPERLINK("https://www.sds-group.ru/product/samorez-s-pressshayboy-pshs-ostryy-4-2h25mm-korob-200-sht-up-kranz-KR-01-3361-005/", "Инфо")</f>
        <v>Инфо</v>
      </c>
      <c r="F6465" s="34" t="s">
        <v>1001</v>
      </c>
      <c r="G6465" s="33"/>
      <c r="H6465" s="33" t="s">
        <v>40</v>
      </c>
      <c r="I6465" s="33"/>
      <c r="J6465" s="39">
        <v>2888</v>
      </c>
      <c r="K6465" s="33"/>
      <c r="L6465" s="35">
        <v>5</v>
      </c>
      <c r="M6465" s="35">
        <v>16</v>
      </c>
      <c r="N6465" s="35">
        <v>5</v>
      </c>
      <c r="O6465" s="36">
        <v>421.58</v>
      </c>
      <c r="P6465" s="36">
        <v>345.56</v>
      </c>
      <c r="Q6465" s="36">
        <v>392.07</v>
      </c>
      <c r="R6465" s="36">
        <v>321.37</v>
      </c>
      <c r="S6465" s="36">
        <v>286.67</v>
      </c>
      <c r="T6465" s="36">
        <v>234.98</v>
      </c>
      <c r="U6465" s="34"/>
      <c r="V6465" s="34"/>
      <c r="W6465" s="34" t="s">
        <v>40</v>
      </c>
      <c r="X6465" s="37">
        <v>0.36699999999999999</v>
      </c>
      <c r="Y6465" s="38">
        <v>5.5199999999999997E-4</v>
      </c>
      <c r="Z6465" s="21">
        <v>4601004235038</v>
      </c>
    </row>
    <row r="6466" spans="1:26" ht="12" customHeight="1" outlineLevel="3" x14ac:dyDescent="0.2">
      <c r="A6466" s="32" t="s">
        <v>12476</v>
      </c>
      <c r="B6466" s="74" t="s">
        <v>12477</v>
      </c>
      <c r="C6466" s="50"/>
      <c r="D6466" s="53">
        <f t="shared" si="100"/>
        <v>0</v>
      </c>
      <c r="E6466" s="60" t="str">
        <f>HYPERLINK("https://www.sds-group.ru/product/samorez-s-pressshayboy-pshs-ostryy-4-2h32mm-korob-200-sht-up-kranz-KR-01-3361-006/", "Инфо")</f>
        <v>Инфо</v>
      </c>
      <c r="F6466" s="34" t="s">
        <v>1001</v>
      </c>
      <c r="G6466" s="33"/>
      <c r="H6466" s="33" t="s">
        <v>40</v>
      </c>
      <c r="I6466" s="33"/>
      <c r="J6466" s="35">
        <v>444</v>
      </c>
      <c r="K6466" s="33" t="s">
        <v>6744</v>
      </c>
      <c r="L6466" s="35">
        <v>5</v>
      </c>
      <c r="M6466" s="35">
        <v>16</v>
      </c>
      <c r="N6466" s="35">
        <v>5</v>
      </c>
      <c r="O6466" s="36">
        <v>428.73</v>
      </c>
      <c r="P6466" s="36">
        <v>351.42</v>
      </c>
      <c r="Q6466" s="36">
        <v>398.72</v>
      </c>
      <c r="R6466" s="36">
        <v>326.82</v>
      </c>
      <c r="S6466" s="36">
        <v>291.54000000000002</v>
      </c>
      <c r="T6466" s="36">
        <v>238.97</v>
      </c>
      <c r="U6466" s="34"/>
      <c r="V6466" s="34"/>
      <c r="W6466" s="34" t="s">
        <v>40</v>
      </c>
      <c r="X6466" s="37">
        <v>0.44</v>
      </c>
      <c r="Y6466" s="38">
        <v>5.5599999999999996E-4</v>
      </c>
      <c r="Z6466" s="21">
        <v>4601004235045</v>
      </c>
    </row>
    <row r="6467" spans="1:26" ht="12" customHeight="1" outlineLevel="3" x14ac:dyDescent="0.2">
      <c r="A6467" s="32" t="s">
        <v>12478</v>
      </c>
      <c r="B6467" s="74" t="s">
        <v>12479</v>
      </c>
      <c r="C6467" s="50"/>
      <c r="D6467" s="53">
        <f t="shared" si="100"/>
        <v>0</v>
      </c>
      <c r="E6467" s="60" t="str">
        <f>HYPERLINK("https://www.sds-group.ru/product/samorez-s-pressshayboy-pshs-ostryy-4-2h50mm-korob-200-sht-up-kranz-KR-01-3361-009/", "Инфо")</f>
        <v>Инфо</v>
      </c>
      <c r="F6467" s="34" t="s">
        <v>1001</v>
      </c>
      <c r="G6467" s="33"/>
      <c r="H6467" s="33" t="s">
        <v>40</v>
      </c>
      <c r="I6467" s="33"/>
      <c r="J6467" s="35">
        <v>405</v>
      </c>
      <c r="K6467" s="33"/>
      <c r="L6467" s="35">
        <v>5</v>
      </c>
      <c r="M6467" s="35">
        <v>8</v>
      </c>
      <c r="N6467" s="35">
        <v>5</v>
      </c>
      <c r="O6467" s="36">
        <v>575.15</v>
      </c>
      <c r="P6467" s="36">
        <v>471.43</v>
      </c>
      <c r="Q6467" s="36">
        <v>500.38</v>
      </c>
      <c r="R6467" s="36">
        <v>410.15</v>
      </c>
      <c r="S6467" s="36">
        <v>391.1</v>
      </c>
      <c r="T6467" s="36">
        <v>320.57</v>
      </c>
      <c r="U6467" s="34"/>
      <c r="V6467" s="34"/>
      <c r="W6467" s="34" t="s">
        <v>40</v>
      </c>
      <c r="X6467" s="37">
        <v>0.63200000000000001</v>
      </c>
      <c r="Y6467" s="38">
        <v>1.077E-3</v>
      </c>
      <c r="Z6467" s="21">
        <v>4601004235052</v>
      </c>
    </row>
    <row r="6468" spans="1:26" ht="12.95" customHeight="1" outlineLevel="2" x14ac:dyDescent="0.2">
      <c r="A6468" s="76" t="s">
        <v>12480</v>
      </c>
      <c r="B6468" s="76"/>
      <c r="C6468" s="77"/>
      <c r="D6468" s="58"/>
      <c r="E6468" s="68"/>
      <c r="F6468" s="13"/>
      <c r="G6468" s="13"/>
      <c r="H6468" s="13"/>
      <c r="I6468" s="13"/>
      <c r="J6468" s="13"/>
      <c r="K6468" s="13"/>
      <c r="L6468" s="13"/>
      <c r="M6468" s="13"/>
      <c r="N6468" s="13"/>
      <c r="O6468" s="13"/>
      <c r="P6468" s="13"/>
      <c r="Q6468" s="13"/>
      <c r="R6468" s="13"/>
      <c r="S6468" s="13"/>
      <c r="T6468" s="13"/>
      <c r="U6468" s="13"/>
      <c r="V6468" s="13"/>
      <c r="W6468" s="13"/>
      <c r="X6468" s="13"/>
      <c r="Y6468" s="13"/>
      <c r="Z6468" s="13"/>
    </row>
    <row r="6469" spans="1:26" ht="12" customHeight="1" outlineLevel="3" x14ac:dyDescent="0.2">
      <c r="A6469" s="32" t="s">
        <v>12481</v>
      </c>
      <c r="B6469" s="74" t="s">
        <v>12482</v>
      </c>
      <c r="C6469" s="50"/>
      <c r="D6469" s="53">
        <f t="shared" si="100"/>
        <v>0</v>
      </c>
      <c r="E6469" s="60" t="str">
        <f>HYPERLINK("https://www.sds-group.ru/product/samorez-s-pressshayboy-pshs-sverlo-4-2h13mm-korob-200-sht-up-kranz-KR-01-3362-001/", "Инфо")</f>
        <v>Инфо</v>
      </c>
      <c r="F6469" s="34" t="s">
        <v>1001</v>
      </c>
      <c r="G6469" s="33"/>
      <c r="H6469" s="33" t="s">
        <v>40</v>
      </c>
      <c r="I6469" s="33"/>
      <c r="J6469" s="39">
        <v>1367</v>
      </c>
      <c r="K6469" s="33"/>
      <c r="L6469" s="35">
        <v>5</v>
      </c>
      <c r="M6469" s="35">
        <v>32</v>
      </c>
      <c r="N6469" s="35">
        <v>5</v>
      </c>
      <c r="O6469" s="36">
        <v>267.95</v>
      </c>
      <c r="P6469" s="36">
        <v>219.63</v>
      </c>
      <c r="Q6469" s="36">
        <v>249.19</v>
      </c>
      <c r="R6469" s="36">
        <v>204.25</v>
      </c>
      <c r="S6469" s="36">
        <v>182.21</v>
      </c>
      <c r="T6469" s="36">
        <v>149.35</v>
      </c>
      <c r="U6469" s="34"/>
      <c r="V6469" s="34"/>
      <c r="W6469" s="34" t="s">
        <v>40</v>
      </c>
      <c r="X6469" s="37">
        <v>0.25800000000000001</v>
      </c>
      <c r="Y6469" s="38">
        <v>2.7099999999999997E-4</v>
      </c>
      <c r="Z6469" s="21">
        <v>4601004235069</v>
      </c>
    </row>
    <row r="6470" spans="1:26" ht="12" customHeight="1" outlineLevel="3" x14ac:dyDescent="0.2">
      <c r="A6470" s="32" t="s">
        <v>12483</v>
      </c>
      <c r="B6470" s="74" t="s">
        <v>12484</v>
      </c>
      <c r="C6470" s="50"/>
      <c r="D6470" s="53">
        <f t="shared" si="100"/>
        <v>0</v>
      </c>
      <c r="E6470" s="60" t="str">
        <f>HYPERLINK("https://www.sds-group.ru/product/samorez-s-pressshayboy-pshs-sverlo-4-2h16mm-korob-200-sht-up-kranz-KR-01-3362-003/", "Инфо")</f>
        <v>Инфо</v>
      </c>
      <c r="F6470" s="34" t="s">
        <v>1001</v>
      </c>
      <c r="G6470" s="33"/>
      <c r="H6470" s="33" t="s">
        <v>40</v>
      </c>
      <c r="I6470" s="33"/>
      <c r="J6470" s="35">
        <v>934</v>
      </c>
      <c r="K6470" s="33"/>
      <c r="L6470" s="35">
        <v>5</v>
      </c>
      <c r="M6470" s="35">
        <v>32</v>
      </c>
      <c r="N6470" s="35">
        <v>5</v>
      </c>
      <c r="O6470" s="36">
        <v>295.41000000000003</v>
      </c>
      <c r="P6470" s="36">
        <v>242.14</v>
      </c>
      <c r="Q6470" s="36">
        <v>274.73</v>
      </c>
      <c r="R6470" s="36">
        <v>225.19</v>
      </c>
      <c r="S6470" s="36">
        <v>200.88</v>
      </c>
      <c r="T6470" s="36">
        <v>164.66</v>
      </c>
      <c r="U6470" s="34"/>
      <c r="V6470" s="34"/>
      <c r="W6470" s="34" t="s">
        <v>40</v>
      </c>
      <c r="X6470" s="37">
        <v>0.27200000000000002</v>
      </c>
      <c r="Y6470" s="38">
        <v>2.7799999999999998E-4</v>
      </c>
      <c r="Z6470" s="21">
        <v>4601004235076</v>
      </c>
    </row>
    <row r="6471" spans="1:26" ht="12" customHeight="1" outlineLevel="3" x14ac:dyDescent="0.2">
      <c r="A6471" s="32" t="s">
        <v>12485</v>
      </c>
      <c r="B6471" s="74" t="s">
        <v>12486</v>
      </c>
      <c r="C6471" s="50"/>
      <c r="D6471" s="53">
        <f t="shared" si="100"/>
        <v>0</v>
      </c>
      <c r="E6471" s="60" t="str">
        <f>HYPERLINK("https://www.sds-group.ru/product/samorez-s-pressshayboy-pshs-sverlo-4-2h19mm-korob-250-sht-up-kranz-KR-01-3362-004/", "Инфо")</f>
        <v>Инфо</v>
      </c>
      <c r="F6471" s="34" t="s">
        <v>1001</v>
      </c>
      <c r="G6471" s="33"/>
      <c r="H6471" s="33" t="s">
        <v>40</v>
      </c>
      <c r="I6471" s="33"/>
      <c r="J6471" s="35">
        <v>969</v>
      </c>
      <c r="K6471" s="33"/>
      <c r="L6471" s="35">
        <v>5</v>
      </c>
      <c r="M6471" s="35">
        <v>16</v>
      </c>
      <c r="N6471" s="35">
        <v>5</v>
      </c>
      <c r="O6471" s="36">
        <v>428.73</v>
      </c>
      <c r="P6471" s="36">
        <v>351.42</v>
      </c>
      <c r="Q6471" s="36">
        <v>398.72</v>
      </c>
      <c r="R6471" s="36">
        <v>326.82</v>
      </c>
      <c r="S6471" s="36">
        <v>291.54000000000002</v>
      </c>
      <c r="T6471" s="36">
        <v>238.97</v>
      </c>
      <c r="U6471" s="34"/>
      <c r="V6471" s="34"/>
      <c r="W6471" s="34" t="s">
        <v>40</v>
      </c>
      <c r="X6471" s="37">
        <v>0.38200000000000001</v>
      </c>
      <c r="Y6471" s="38">
        <v>5.1900000000000004E-4</v>
      </c>
      <c r="Z6471" s="21">
        <v>4601004235205</v>
      </c>
    </row>
    <row r="6472" spans="1:26" ht="12" customHeight="1" outlineLevel="3" x14ac:dyDescent="0.2">
      <c r="A6472" s="32" t="s">
        <v>12487</v>
      </c>
      <c r="B6472" s="74" t="s">
        <v>12488</v>
      </c>
      <c r="C6472" s="50"/>
      <c r="D6472" s="53">
        <f t="shared" si="100"/>
        <v>0</v>
      </c>
      <c r="E6472" s="60" t="str">
        <f>HYPERLINK("https://www.sds-group.ru/product/samorez-s-pressshayboy-pshs-sverlo-4-2h19mm-paket-1000-sht-up-kranz-1182-4219-2/", "Инфо")</f>
        <v>Инфо</v>
      </c>
      <c r="F6472" s="34" t="s">
        <v>1001</v>
      </c>
      <c r="G6472" s="33"/>
      <c r="H6472" s="33" t="s">
        <v>40</v>
      </c>
      <c r="I6472" s="33"/>
      <c r="J6472" s="35">
        <v>66</v>
      </c>
      <c r="K6472" s="33"/>
      <c r="L6472" s="35">
        <v>1</v>
      </c>
      <c r="M6472" s="35">
        <v>7</v>
      </c>
      <c r="N6472" s="35">
        <v>1</v>
      </c>
      <c r="O6472" s="36">
        <v>873.2</v>
      </c>
      <c r="P6472" s="36">
        <v>715.74</v>
      </c>
      <c r="Q6472" s="36">
        <v>611.24</v>
      </c>
      <c r="R6472" s="36">
        <v>501.02</v>
      </c>
      <c r="S6472" s="36">
        <v>593.78</v>
      </c>
      <c r="T6472" s="36">
        <v>486.7</v>
      </c>
      <c r="U6472" s="34"/>
      <c r="V6472" s="34"/>
      <c r="W6472" s="34"/>
      <c r="X6472" s="37">
        <v>1.6</v>
      </c>
      <c r="Y6472" s="38">
        <v>7.4999999999999997E-3</v>
      </c>
      <c r="Z6472" s="21">
        <v>4601004271319</v>
      </c>
    </row>
    <row r="6473" spans="1:26" ht="12" customHeight="1" outlineLevel="3" x14ac:dyDescent="0.2">
      <c r="A6473" s="32" t="s">
        <v>12489</v>
      </c>
      <c r="B6473" s="74" t="s">
        <v>12490</v>
      </c>
      <c r="C6473" s="50"/>
      <c r="D6473" s="53">
        <f t="shared" ref="D6473:D6536" si="101">C6473*(O6473-O6473*$G$3)</f>
        <v>0</v>
      </c>
      <c r="E6473" s="60" t="str">
        <f>HYPERLINK("https://www.sds-group.ru/product/samorez-s-pressshayboy-pshs-sverlo-4-2h25mm-korob-200-sht-up-kranz-KR-01-3362-005/", "Инфо")</f>
        <v>Инфо</v>
      </c>
      <c r="F6473" s="34" t="s">
        <v>1001</v>
      </c>
      <c r="G6473" s="33"/>
      <c r="H6473" s="33" t="s">
        <v>40</v>
      </c>
      <c r="I6473" s="33"/>
      <c r="J6473" s="39">
        <v>1007</v>
      </c>
      <c r="K6473" s="33"/>
      <c r="L6473" s="35">
        <v>5</v>
      </c>
      <c r="M6473" s="35">
        <v>16</v>
      </c>
      <c r="N6473" s="35">
        <v>5</v>
      </c>
      <c r="O6473" s="36">
        <v>457.28</v>
      </c>
      <c r="P6473" s="36">
        <v>374.82</v>
      </c>
      <c r="Q6473" s="36">
        <v>425.27</v>
      </c>
      <c r="R6473" s="36">
        <v>348.58</v>
      </c>
      <c r="S6473" s="36">
        <v>310.95</v>
      </c>
      <c r="T6473" s="36">
        <v>254.88</v>
      </c>
      <c r="U6473" s="34"/>
      <c r="V6473" s="34"/>
      <c r="W6473" s="34" t="s">
        <v>40</v>
      </c>
      <c r="X6473" s="37">
        <v>0.39</v>
      </c>
      <c r="Y6473" s="38">
        <v>5.1800000000000001E-4</v>
      </c>
      <c r="Z6473" s="21">
        <v>4601004235083</v>
      </c>
    </row>
    <row r="6474" spans="1:26" ht="12" customHeight="1" outlineLevel="3" x14ac:dyDescent="0.2">
      <c r="A6474" s="32" t="s">
        <v>12491</v>
      </c>
      <c r="B6474" s="74" t="s">
        <v>12492</v>
      </c>
      <c r="C6474" s="50"/>
      <c r="D6474" s="53">
        <f t="shared" si="101"/>
        <v>0</v>
      </c>
      <c r="E6474" s="60" t="str">
        <f>HYPERLINK("https://www.sds-group.ru/product/samorez-s-pressshayboy-pshs-sverlo-4-2h32mm-korob-200-sht-up-kranz-KR-01-3362-006/", "Инфо")</f>
        <v>Инфо</v>
      </c>
      <c r="F6474" s="34" t="s">
        <v>1001</v>
      </c>
      <c r="G6474" s="33"/>
      <c r="H6474" s="33" t="s">
        <v>40</v>
      </c>
      <c r="I6474" s="33"/>
      <c r="J6474" s="35">
        <v>880</v>
      </c>
      <c r="K6474" s="33"/>
      <c r="L6474" s="35">
        <v>5</v>
      </c>
      <c r="M6474" s="35">
        <v>16</v>
      </c>
      <c r="N6474" s="35">
        <v>5</v>
      </c>
      <c r="O6474" s="36">
        <v>464.43</v>
      </c>
      <c r="P6474" s="36">
        <v>380.68</v>
      </c>
      <c r="Q6474" s="36">
        <v>431.92</v>
      </c>
      <c r="R6474" s="36">
        <v>354.03</v>
      </c>
      <c r="S6474" s="36">
        <v>315.81</v>
      </c>
      <c r="T6474" s="36">
        <v>258.86</v>
      </c>
      <c r="U6474" s="34"/>
      <c r="V6474" s="34"/>
      <c r="W6474" s="34" t="s">
        <v>40</v>
      </c>
      <c r="X6474" s="37">
        <v>0.442</v>
      </c>
      <c r="Y6474" s="38">
        <v>5.6599999999999999E-4</v>
      </c>
      <c r="Z6474" s="21">
        <v>4601004235090</v>
      </c>
    </row>
    <row r="6475" spans="1:26" ht="12" customHeight="1" outlineLevel="3" x14ac:dyDescent="0.2">
      <c r="A6475" s="32" t="s">
        <v>12493</v>
      </c>
      <c r="B6475" s="74" t="s">
        <v>12494</v>
      </c>
      <c r="C6475" s="50"/>
      <c r="D6475" s="53">
        <f t="shared" si="101"/>
        <v>0</v>
      </c>
      <c r="E6475" s="60" t="str">
        <f>HYPERLINK("https://www.sds-group.ru/product/samorez-s-pressshayboy-pshs-sverlo-4-2h50mm-paket-400-sht-up-kranz-1182-4250-2/", "Инфо")</f>
        <v>Инфо</v>
      </c>
      <c r="F6475" s="34" t="s">
        <v>1001</v>
      </c>
      <c r="G6475" s="33"/>
      <c r="H6475" s="33" t="s">
        <v>40</v>
      </c>
      <c r="I6475" s="33"/>
      <c r="J6475" s="35">
        <v>4</v>
      </c>
      <c r="K6475" s="33"/>
      <c r="L6475" s="35">
        <v>1</v>
      </c>
      <c r="M6475" s="35">
        <v>6</v>
      </c>
      <c r="N6475" s="35">
        <v>1</v>
      </c>
      <c r="O6475" s="36">
        <v>823.21</v>
      </c>
      <c r="P6475" s="36">
        <v>674.76</v>
      </c>
      <c r="Q6475" s="36">
        <v>576.25</v>
      </c>
      <c r="R6475" s="36">
        <v>472.34</v>
      </c>
      <c r="S6475" s="36">
        <v>559.78</v>
      </c>
      <c r="T6475" s="36">
        <v>458.84</v>
      </c>
      <c r="U6475" s="34"/>
      <c r="V6475" s="34"/>
      <c r="W6475" s="34"/>
      <c r="X6475" s="37">
        <v>1.4219999999999999</v>
      </c>
      <c r="Y6475" s="38">
        <v>1.6559999999999999E-3</v>
      </c>
      <c r="Z6475" s="21">
        <v>4601004271340</v>
      </c>
    </row>
    <row r="6476" spans="1:26" ht="12.95" customHeight="1" outlineLevel="2" x14ac:dyDescent="0.2">
      <c r="A6476" s="76" t="s">
        <v>12495</v>
      </c>
      <c r="B6476" s="76"/>
      <c r="C6476" s="77"/>
      <c r="D6476" s="58"/>
      <c r="E6476" s="68"/>
      <c r="F6476" s="13"/>
      <c r="G6476" s="13"/>
      <c r="H6476" s="13"/>
      <c r="I6476" s="13"/>
      <c r="J6476" s="13"/>
      <c r="K6476" s="13"/>
      <c r="L6476" s="13"/>
      <c r="M6476" s="13"/>
      <c r="N6476" s="13"/>
      <c r="O6476" s="13"/>
      <c r="P6476" s="13"/>
      <c r="Q6476" s="13"/>
      <c r="R6476" s="13"/>
      <c r="S6476" s="13"/>
      <c r="T6476" s="13"/>
      <c r="U6476" s="13"/>
      <c r="V6476" s="13"/>
      <c r="W6476" s="13"/>
      <c r="X6476" s="13"/>
      <c r="Y6476" s="13"/>
      <c r="Z6476" s="13"/>
    </row>
    <row r="6477" spans="1:26" ht="12" customHeight="1" outlineLevel="3" x14ac:dyDescent="0.2">
      <c r="A6477" s="32" t="s">
        <v>12496</v>
      </c>
      <c r="B6477" s="74" t="s">
        <v>12497</v>
      </c>
      <c r="C6477" s="50"/>
      <c r="D6477" s="53">
        <f t="shared" si="101"/>
        <v>0</v>
      </c>
      <c r="E6477" s="60" t="str">
        <f>HYPERLINK("https://www.sds-group.ru/product/samorez-krovelnyy-4-8h29mm-okrashennyy-ral-3005-korob-250-sht-up-kranz-1203-4829-3/", "Инфо")</f>
        <v>Инфо</v>
      </c>
      <c r="F6477" s="34" t="s">
        <v>1001</v>
      </c>
      <c r="G6477" s="33"/>
      <c r="H6477" s="33" t="s">
        <v>40</v>
      </c>
      <c r="I6477" s="33"/>
      <c r="J6477" s="35">
        <v>38</v>
      </c>
      <c r="K6477" s="33"/>
      <c r="L6477" s="35">
        <v>1</v>
      </c>
      <c r="M6477" s="35">
        <v>8</v>
      </c>
      <c r="N6477" s="35">
        <v>1</v>
      </c>
      <c r="O6477" s="36">
        <v>1021.14</v>
      </c>
      <c r="P6477" s="36">
        <v>837</v>
      </c>
      <c r="Q6477" s="36">
        <v>714.8</v>
      </c>
      <c r="R6477" s="36">
        <v>585.9</v>
      </c>
      <c r="S6477" s="36">
        <v>694.38</v>
      </c>
      <c r="T6477" s="36">
        <v>569.16</v>
      </c>
      <c r="U6477" s="34"/>
      <c r="V6477" s="34"/>
      <c r="W6477" s="34"/>
      <c r="X6477" s="37">
        <v>1.3580000000000001</v>
      </c>
      <c r="Y6477" s="38">
        <v>8.7299999999999997E-4</v>
      </c>
      <c r="Z6477" s="21">
        <v>4601004280908</v>
      </c>
    </row>
    <row r="6478" spans="1:26" ht="12" customHeight="1" outlineLevel="3" x14ac:dyDescent="0.2">
      <c r="A6478" s="32" t="s">
        <v>12498</v>
      </c>
      <c r="B6478" s="74" t="s">
        <v>12499</v>
      </c>
      <c r="C6478" s="50"/>
      <c r="D6478" s="53">
        <f t="shared" si="101"/>
        <v>0</v>
      </c>
      <c r="E6478" s="60" t="str">
        <f>HYPERLINK("https://www.sds-group.ru/product/samorez-krovelnyy-4-8h35mm-okrashennyy-ral-6005-korob-250-sht-up-kranz-1204-4835-3/", "Инфо")</f>
        <v>Инфо</v>
      </c>
      <c r="F6478" s="34" t="s">
        <v>1001</v>
      </c>
      <c r="G6478" s="33"/>
      <c r="H6478" s="33" t="s">
        <v>40</v>
      </c>
      <c r="I6478" s="33"/>
      <c r="J6478" s="35">
        <v>13</v>
      </c>
      <c r="K6478" s="33"/>
      <c r="L6478" s="35">
        <v>1</v>
      </c>
      <c r="M6478" s="35">
        <v>8</v>
      </c>
      <c r="N6478" s="35">
        <v>1</v>
      </c>
      <c r="O6478" s="36">
        <v>1700.52</v>
      </c>
      <c r="P6478" s="36">
        <v>1393.87</v>
      </c>
      <c r="Q6478" s="36">
        <v>1190.3599999999999</v>
      </c>
      <c r="R6478" s="36">
        <v>975.7</v>
      </c>
      <c r="S6478" s="36">
        <v>1156.3499999999999</v>
      </c>
      <c r="T6478" s="36">
        <v>947.83</v>
      </c>
      <c r="U6478" s="34"/>
      <c r="V6478" s="34"/>
      <c r="W6478" s="34"/>
      <c r="X6478" s="37">
        <v>1.474</v>
      </c>
      <c r="Y6478" s="38">
        <v>1.7880000000000001E-3</v>
      </c>
      <c r="Z6478" s="21">
        <v>4601004281004</v>
      </c>
    </row>
    <row r="6479" spans="1:26" ht="12" customHeight="1" outlineLevel="3" x14ac:dyDescent="0.2">
      <c r="A6479" s="32" t="s">
        <v>12500</v>
      </c>
      <c r="B6479" s="74" t="s">
        <v>12501</v>
      </c>
      <c r="C6479" s="50"/>
      <c r="D6479" s="53">
        <f t="shared" si="101"/>
        <v>0</v>
      </c>
      <c r="E6479" s="60" t="str">
        <f>HYPERLINK("https://www.sds-group.ru/product/samorez-krovelnyy-4-8h50mm-okrashennyy-ral-6005-korob-150-sht-up-kranz-1204-4850-3/", "Инфо")</f>
        <v>Инфо</v>
      </c>
      <c r="F6479" s="34" t="s">
        <v>1001</v>
      </c>
      <c r="G6479" s="33"/>
      <c r="H6479" s="33" t="s">
        <v>40</v>
      </c>
      <c r="I6479" s="33"/>
      <c r="J6479" s="35">
        <v>12</v>
      </c>
      <c r="K6479" s="33"/>
      <c r="L6479" s="35">
        <v>1</v>
      </c>
      <c r="M6479" s="35">
        <v>8</v>
      </c>
      <c r="N6479" s="35">
        <v>1</v>
      </c>
      <c r="O6479" s="36">
        <v>1281.74</v>
      </c>
      <c r="P6479" s="36">
        <v>1050.6099999999999</v>
      </c>
      <c r="Q6479" s="36">
        <v>897.22</v>
      </c>
      <c r="R6479" s="36">
        <v>735.43</v>
      </c>
      <c r="S6479" s="36">
        <v>871.58</v>
      </c>
      <c r="T6479" s="36">
        <v>714.41</v>
      </c>
      <c r="U6479" s="34"/>
      <c r="V6479" s="34"/>
      <c r="W6479" s="34"/>
      <c r="X6479" s="37">
        <v>1.0900000000000001</v>
      </c>
      <c r="Y6479" s="38">
        <v>8.2299999999999995E-4</v>
      </c>
      <c r="Z6479" s="21">
        <v>4601004281011</v>
      </c>
    </row>
    <row r="6480" spans="1:26" ht="12.95" customHeight="1" outlineLevel="2" x14ac:dyDescent="0.2">
      <c r="A6480" s="76" t="s">
        <v>12502</v>
      </c>
      <c r="B6480" s="76"/>
      <c r="C6480" s="77"/>
      <c r="D6480" s="58"/>
      <c r="E6480" s="68"/>
      <c r="F6480" s="13"/>
      <c r="G6480" s="13"/>
      <c r="H6480" s="13"/>
      <c r="I6480" s="13"/>
      <c r="J6480" s="13"/>
      <c r="K6480" s="13"/>
      <c r="L6480" s="13"/>
      <c r="M6480" s="13"/>
      <c r="N6480" s="13"/>
      <c r="O6480" s="13"/>
      <c r="P6480" s="13"/>
      <c r="Q6480" s="13"/>
      <c r="R6480" s="13"/>
      <c r="S6480" s="13"/>
      <c r="T6480" s="13"/>
      <c r="U6480" s="13"/>
      <c r="V6480" s="13"/>
      <c r="W6480" s="13"/>
      <c r="X6480" s="13"/>
      <c r="Y6480" s="13"/>
      <c r="Z6480" s="13"/>
    </row>
    <row r="6481" spans="1:26" ht="12" customHeight="1" outlineLevel="3" x14ac:dyDescent="0.2">
      <c r="A6481" s="32" t="s">
        <v>12503</v>
      </c>
      <c r="B6481" s="74" t="s">
        <v>12504</v>
      </c>
      <c r="C6481" s="50"/>
      <c r="D6481" s="53">
        <f t="shared" si="101"/>
        <v>0</v>
      </c>
      <c r="E6481" s="60" t="str">
        <f>HYPERLINK("https://www.sds-group.ru/product/samorez-okonnyy-ostryy-4-1h25mm-belyy-tsink-korob-500-sht-up-kranz-KR-01-3721-002/", "Инфо")</f>
        <v>Инфо</v>
      </c>
      <c r="F6481" s="34" t="s">
        <v>1001</v>
      </c>
      <c r="G6481" s="33"/>
      <c r="H6481" s="33" t="s">
        <v>40</v>
      </c>
      <c r="I6481" s="33"/>
      <c r="J6481" s="35">
        <v>549</v>
      </c>
      <c r="K6481" s="33"/>
      <c r="L6481" s="35">
        <v>1</v>
      </c>
      <c r="M6481" s="35">
        <v>16</v>
      </c>
      <c r="N6481" s="35">
        <v>1</v>
      </c>
      <c r="O6481" s="36">
        <v>300.22000000000003</v>
      </c>
      <c r="P6481" s="36">
        <v>246.08</v>
      </c>
      <c r="Q6481" s="36">
        <v>210.15</v>
      </c>
      <c r="R6481" s="36">
        <v>172.25</v>
      </c>
      <c r="S6481" s="36">
        <v>204.15</v>
      </c>
      <c r="T6481" s="36">
        <v>167.34</v>
      </c>
      <c r="U6481" s="34"/>
      <c r="V6481" s="34"/>
      <c r="W6481" s="34"/>
      <c r="X6481" s="37">
        <v>0.70499999999999996</v>
      </c>
      <c r="Y6481" s="38">
        <v>5.2700000000000002E-4</v>
      </c>
      <c r="Z6481" s="21">
        <v>4601004235304</v>
      </c>
    </row>
    <row r="6482" spans="1:26" ht="12" customHeight="1" outlineLevel="3" x14ac:dyDescent="0.2">
      <c r="A6482" s="32" t="s">
        <v>12505</v>
      </c>
      <c r="B6482" s="74" t="s">
        <v>12506</v>
      </c>
      <c r="C6482" s="50"/>
      <c r="D6482" s="53">
        <f t="shared" si="101"/>
        <v>0</v>
      </c>
      <c r="E6482" s="60" t="str">
        <f>HYPERLINK("https://www.sds-group.ru/product/samorez-okonnyy-ostryy-4-1h35mm-belyy-tsink-korob-500-sht-up-kranz-KR-01-3721-004/", "Инфо")</f>
        <v>Инфо</v>
      </c>
      <c r="F6482" s="34" t="s">
        <v>1001</v>
      </c>
      <c r="G6482" s="33"/>
      <c r="H6482" s="33" t="s">
        <v>40</v>
      </c>
      <c r="I6482" s="33"/>
      <c r="J6482" s="35">
        <v>5</v>
      </c>
      <c r="K6482" s="33"/>
      <c r="L6482" s="35">
        <v>1</v>
      </c>
      <c r="M6482" s="35">
        <v>8</v>
      </c>
      <c r="N6482" s="35">
        <v>1</v>
      </c>
      <c r="O6482" s="36">
        <v>647.94000000000005</v>
      </c>
      <c r="P6482" s="36">
        <v>531.1</v>
      </c>
      <c r="Q6482" s="36">
        <v>453.56</v>
      </c>
      <c r="R6482" s="36">
        <v>371.77</v>
      </c>
      <c r="S6482" s="36">
        <v>440.6</v>
      </c>
      <c r="T6482" s="36">
        <v>361.15</v>
      </c>
      <c r="U6482" s="34"/>
      <c r="V6482" s="34"/>
      <c r="W6482" s="34"/>
      <c r="X6482" s="37">
        <v>1.0229999999999999</v>
      </c>
      <c r="Y6482" s="38">
        <v>8.83E-4</v>
      </c>
      <c r="Z6482" s="21">
        <v>4601004235328</v>
      </c>
    </row>
    <row r="6483" spans="1:26" ht="12" customHeight="1" outlineLevel="3" x14ac:dyDescent="0.2">
      <c r="A6483" s="32" t="s">
        <v>12507</v>
      </c>
      <c r="B6483" s="74" t="s">
        <v>12508</v>
      </c>
      <c r="C6483" s="50"/>
      <c r="D6483" s="53">
        <f t="shared" si="101"/>
        <v>0</v>
      </c>
      <c r="E6483" s="60" t="str">
        <f>HYPERLINK("https://www.sds-group.ru/product/samorez-okonnyy-ostryy-4-1h40mm-belyy-tsink-korob-500-sht-up-kranz-KR-01-3721-005/", "Инфо")</f>
        <v>Инфо</v>
      </c>
      <c r="F6483" s="34" t="s">
        <v>1001</v>
      </c>
      <c r="G6483" s="33"/>
      <c r="H6483" s="33" t="s">
        <v>40</v>
      </c>
      <c r="I6483" s="33"/>
      <c r="J6483" s="35">
        <v>103</v>
      </c>
      <c r="K6483" s="33"/>
      <c r="L6483" s="35">
        <v>1</v>
      </c>
      <c r="M6483" s="35">
        <v>8</v>
      </c>
      <c r="N6483" s="35">
        <v>1</v>
      </c>
      <c r="O6483" s="36">
        <v>882.69</v>
      </c>
      <c r="P6483" s="36">
        <v>723.52</v>
      </c>
      <c r="Q6483" s="36">
        <v>617.88</v>
      </c>
      <c r="R6483" s="36">
        <v>506.46</v>
      </c>
      <c r="S6483" s="36">
        <v>600.23</v>
      </c>
      <c r="T6483" s="36">
        <v>491.99</v>
      </c>
      <c r="U6483" s="34"/>
      <c r="V6483" s="34"/>
      <c r="W6483" s="34"/>
      <c r="X6483" s="37">
        <v>1.121</v>
      </c>
      <c r="Y6483" s="38">
        <v>1.14E-3</v>
      </c>
      <c r="Z6483" s="21">
        <v>4601004235335</v>
      </c>
    </row>
    <row r="6484" spans="1:26" ht="12.95" customHeight="1" outlineLevel="2" x14ac:dyDescent="0.2">
      <c r="A6484" s="76" t="s">
        <v>12509</v>
      </c>
      <c r="B6484" s="76"/>
      <c r="C6484" s="77"/>
      <c r="D6484" s="58"/>
      <c r="E6484" s="68"/>
      <c r="F6484" s="13"/>
      <c r="G6484" s="13"/>
      <c r="H6484" s="13"/>
      <c r="I6484" s="13"/>
      <c r="J6484" s="13"/>
      <c r="K6484" s="13"/>
      <c r="L6484" s="13"/>
      <c r="M6484" s="13"/>
      <c r="N6484" s="13"/>
      <c r="O6484" s="13"/>
      <c r="P6484" s="13"/>
      <c r="Q6484" s="13"/>
      <c r="R6484" s="13"/>
      <c r="S6484" s="13"/>
      <c r="T6484" s="13"/>
      <c r="U6484" s="13"/>
      <c r="V6484" s="13"/>
      <c r="W6484" s="13"/>
      <c r="X6484" s="13"/>
      <c r="Y6484" s="13"/>
      <c r="Z6484" s="13"/>
    </row>
    <row r="6485" spans="1:26" ht="12" customHeight="1" outlineLevel="3" x14ac:dyDescent="0.2">
      <c r="A6485" s="32" t="s">
        <v>12510</v>
      </c>
      <c r="B6485" s="74" t="s">
        <v>12511</v>
      </c>
      <c r="C6485" s="50"/>
      <c r="D6485" s="53">
        <f t="shared" si="101"/>
        <v>0</v>
      </c>
      <c r="E6485" s="60" t="str">
        <f>HYPERLINK("https://www.sds-group.ru/product/samorez-okonnyy-sverlo-3-9h35mm-belyy-tsink-paket-20-sht-up-kranz-1504-3935-4/", "Инфо")</f>
        <v>Инфо</v>
      </c>
      <c r="F6485" s="34" t="s">
        <v>1001</v>
      </c>
      <c r="G6485" s="33"/>
      <c r="H6485" s="33" t="s">
        <v>40</v>
      </c>
      <c r="I6485" s="33"/>
      <c r="J6485" s="35">
        <v>353</v>
      </c>
      <c r="K6485" s="33"/>
      <c r="L6485" s="35">
        <v>1</v>
      </c>
      <c r="M6485" s="35">
        <v>300</v>
      </c>
      <c r="N6485" s="35">
        <v>1</v>
      </c>
      <c r="O6485" s="36">
        <v>39.08</v>
      </c>
      <c r="P6485" s="36">
        <v>32.03</v>
      </c>
      <c r="Q6485" s="36">
        <v>27.36</v>
      </c>
      <c r="R6485" s="36">
        <v>22.43</v>
      </c>
      <c r="S6485" s="36">
        <v>26.57</v>
      </c>
      <c r="T6485" s="36">
        <v>21.78</v>
      </c>
      <c r="U6485" s="34"/>
      <c r="V6485" s="34"/>
      <c r="W6485" s="34"/>
      <c r="X6485" s="37">
        <v>4.2999999999999997E-2</v>
      </c>
      <c r="Y6485" s="38">
        <v>1.1E-4</v>
      </c>
      <c r="Z6485" s="21">
        <v>4601004251397</v>
      </c>
    </row>
    <row r="6486" spans="1:26" ht="12" customHeight="1" outlineLevel="3" x14ac:dyDescent="0.2">
      <c r="A6486" s="32" t="s">
        <v>12512</v>
      </c>
      <c r="B6486" s="74" t="s">
        <v>12513</v>
      </c>
      <c r="C6486" s="50"/>
      <c r="D6486" s="53">
        <f t="shared" si="101"/>
        <v>0</v>
      </c>
      <c r="E6486" s="60" t="str">
        <f>HYPERLINK("https://www.sds-group.ru/product/samorez-okonnyy-sverlo-3-9h38mm-belyy-tsink-korob-500-sht-up-kranz-KR-01-3722-0014/", "Инфо")</f>
        <v>Инфо</v>
      </c>
      <c r="F6486" s="34" t="s">
        <v>1001</v>
      </c>
      <c r="G6486" s="33"/>
      <c r="H6486" s="33" t="s">
        <v>40</v>
      </c>
      <c r="I6486" s="33"/>
      <c r="J6486" s="34" t="s">
        <v>100</v>
      </c>
      <c r="K6486" s="33"/>
      <c r="L6486" s="35">
        <v>1</v>
      </c>
      <c r="M6486" s="35">
        <v>8</v>
      </c>
      <c r="N6486" s="35">
        <v>1</v>
      </c>
      <c r="O6486" s="36">
        <v>880.93</v>
      </c>
      <c r="P6486" s="36">
        <v>722.07</v>
      </c>
      <c r="Q6486" s="36">
        <v>616.65</v>
      </c>
      <c r="R6486" s="36">
        <v>505.45</v>
      </c>
      <c r="S6486" s="36">
        <v>599.03</v>
      </c>
      <c r="T6486" s="36">
        <v>491.01</v>
      </c>
      <c r="U6486" s="34"/>
      <c r="V6486" s="34"/>
      <c r="W6486" s="34"/>
      <c r="X6486" s="37">
        <v>1.0449999999999999</v>
      </c>
      <c r="Y6486" s="38">
        <v>1.145E-3</v>
      </c>
      <c r="Z6486" s="21">
        <v>4601004235496</v>
      </c>
    </row>
    <row r="6487" spans="1:26" ht="12.95" customHeight="1" outlineLevel="2" x14ac:dyDescent="0.2">
      <c r="A6487" s="76" t="s">
        <v>12514</v>
      </c>
      <c r="B6487" s="76"/>
      <c r="C6487" s="77"/>
      <c r="D6487" s="58"/>
      <c r="E6487" s="68"/>
      <c r="F6487" s="13"/>
      <c r="G6487" s="13"/>
      <c r="H6487" s="13"/>
      <c r="I6487" s="13"/>
      <c r="J6487" s="13"/>
      <c r="K6487" s="13"/>
      <c r="L6487" s="13"/>
      <c r="M6487" s="13"/>
      <c r="N6487" s="13"/>
      <c r="O6487" s="13"/>
      <c r="P6487" s="13"/>
      <c r="Q6487" s="13"/>
      <c r="R6487" s="13"/>
      <c r="S6487" s="13"/>
      <c r="T6487" s="13"/>
      <c r="U6487" s="13"/>
      <c r="V6487" s="13"/>
      <c r="W6487" s="13"/>
      <c r="X6487" s="13"/>
      <c r="Y6487" s="13"/>
      <c r="Z6487" s="13"/>
    </row>
    <row r="6488" spans="1:26" ht="12" customHeight="1" outlineLevel="3" x14ac:dyDescent="0.2">
      <c r="A6488" s="32" t="s">
        <v>12515</v>
      </c>
      <c r="B6488" s="74" t="s">
        <v>12516</v>
      </c>
      <c r="C6488" s="50"/>
      <c r="D6488" s="53">
        <f t="shared" si="101"/>
        <v>0</v>
      </c>
      <c r="E6488" s="60" t="str">
        <f>HYPERLINK("https://www.sds-group.ru/product/shurup-po-betonu-7-5h112mm-korob-100-sht-up-kranz-KR-01-3731-005/", "Инфо")</f>
        <v>Инфо</v>
      </c>
      <c r="F6488" s="34" t="s">
        <v>1001</v>
      </c>
      <c r="G6488" s="33"/>
      <c r="H6488" s="33" t="s">
        <v>40</v>
      </c>
      <c r="I6488" s="33"/>
      <c r="J6488" s="35">
        <v>3</v>
      </c>
      <c r="K6488" s="33"/>
      <c r="L6488" s="35">
        <v>1</v>
      </c>
      <c r="M6488" s="35">
        <v>4</v>
      </c>
      <c r="N6488" s="35">
        <v>1</v>
      </c>
      <c r="O6488" s="36">
        <v>780.48</v>
      </c>
      <c r="P6488" s="36">
        <v>639.74</v>
      </c>
      <c r="Q6488" s="36">
        <v>546.34</v>
      </c>
      <c r="R6488" s="36">
        <v>447.82</v>
      </c>
      <c r="S6488" s="36">
        <v>530.73</v>
      </c>
      <c r="T6488" s="36">
        <v>435.02</v>
      </c>
      <c r="U6488" s="34"/>
      <c r="V6488" s="34"/>
      <c r="W6488" s="34"/>
      <c r="X6488" s="37">
        <v>1.7929999999999999</v>
      </c>
      <c r="Y6488" s="38">
        <v>1.743E-3</v>
      </c>
      <c r="Z6488" s="21">
        <v>4601004234802</v>
      </c>
    </row>
    <row r="6489" spans="1:26" ht="12" customHeight="1" outlineLevel="3" x14ac:dyDescent="0.2">
      <c r="A6489" s="32" t="s">
        <v>12517</v>
      </c>
      <c r="B6489" s="74" t="s">
        <v>12518</v>
      </c>
      <c r="C6489" s="50"/>
      <c r="D6489" s="53">
        <f t="shared" si="101"/>
        <v>0</v>
      </c>
      <c r="E6489" s="60" t="str">
        <f>HYPERLINK("https://www.sds-group.ru/product/shurup-po-betonu-7-5h182mm-korob-50-sht-up-kranz-KR-01-3731-008/", "Инфо")</f>
        <v>Инфо</v>
      </c>
      <c r="F6489" s="34" t="s">
        <v>1001</v>
      </c>
      <c r="G6489" s="33"/>
      <c r="H6489" s="33" t="s">
        <v>40</v>
      </c>
      <c r="I6489" s="33"/>
      <c r="J6489" s="35">
        <v>124</v>
      </c>
      <c r="K6489" s="33"/>
      <c r="L6489" s="35">
        <v>1</v>
      </c>
      <c r="M6489" s="35">
        <v>4</v>
      </c>
      <c r="N6489" s="35">
        <v>1</v>
      </c>
      <c r="O6489" s="36">
        <v>827.03</v>
      </c>
      <c r="P6489" s="36">
        <v>677.89</v>
      </c>
      <c r="Q6489" s="36">
        <v>578.91999999999996</v>
      </c>
      <c r="R6489" s="36">
        <v>474.52</v>
      </c>
      <c r="S6489" s="36">
        <v>562.38</v>
      </c>
      <c r="T6489" s="36">
        <v>460.97</v>
      </c>
      <c r="U6489" s="34"/>
      <c r="V6489" s="34"/>
      <c r="W6489" s="34"/>
      <c r="X6489" s="37">
        <v>1.5309999999999999</v>
      </c>
      <c r="Y6489" s="38">
        <v>2.1459999999999999E-3</v>
      </c>
      <c r="Z6489" s="21">
        <v>4601004234697</v>
      </c>
    </row>
    <row r="6490" spans="1:26" ht="12" customHeight="1" outlineLevel="3" x14ac:dyDescent="0.2">
      <c r="A6490" s="32" t="s">
        <v>12519</v>
      </c>
      <c r="B6490" s="74" t="s">
        <v>12520</v>
      </c>
      <c r="C6490" s="50"/>
      <c r="D6490" s="53">
        <f t="shared" si="101"/>
        <v>0</v>
      </c>
      <c r="E6490" s="60" t="str">
        <f>HYPERLINK("https://www.sds-group.ru/product/shurup-po-betonu-7-5h72mm-korob-100-sht-up-kranz-KR-01-3731-003/", "Инфо")</f>
        <v>Инфо</v>
      </c>
      <c r="F6490" s="34" t="s">
        <v>1001</v>
      </c>
      <c r="G6490" s="33"/>
      <c r="H6490" s="33" t="s">
        <v>40</v>
      </c>
      <c r="I6490" s="33"/>
      <c r="J6490" s="35">
        <v>105</v>
      </c>
      <c r="K6490" s="33"/>
      <c r="L6490" s="35">
        <v>1</v>
      </c>
      <c r="M6490" s="35">
        <v>8</v>
      </c>
      <c r="N6490" s="35">
        <v>1</v>
      </c>
      <c r="O6490" s="36">
        <v>661.73</v>
      </c>
      <c r="P6490" s="36">
        <v>542.4</v>
      </c>
      <c r="Q6490" s="36">
        <v>463.21</v>
      </c>
      <c r="R6490" s="36">
        <v>379.68</v>
      </c>
      <c r="S6490" s="36">
        <v>449.98</v>
      </c>
      <c r="T6490" s="36">
        <v>368.84</v>
      </c>
      <c r="U6490" s="34"/>
      <c r="V6490" s="34"/>
      <c r="W6490" s="34"/>
      <c r="X6490" s="37">
        <v>1.208</v>
      </c>
      <c r="Y6490" s="38">
        <v>1.1249999999999999E-3</v>
      </c>
      <c r="Z6490" s="21">
        <v>4601004234833</v>
      </c>
    </row>
    <row r="6491" spans="1:26" ht="12" customHeight="1" outlineLevel="3" x14ac:dyDescent="0.2">
      <c r="A6491" s="32" t="s">
        <v>12521</v>
      </c>
      <c r="B6491" s="74" t="s">
        <v>12522</v>
      </c>
      <c r="C6491" s="50"/>
      <c r="D6491" s="53">
        <f t="shared" si="101"/>
        <v>0</v>
      </c>
      <c r="E6491" s="60" t="str">
        <f>HYPERLINK("https://www.sds-group.ru/product/shurup-po-betonu-7-5h92mm-korob-100-sht-up-kranz-KR-01-3731-004/", "Инфо")</f>
        <v>Инфо</v>
      </c>
      <c r="F6491" s="34" t="s">
        <v>1001</v>
      </c>
      <c r="G6491" s="33"/>
      <c r="H6491" s="33" t="s">
        <v>40</v>
      </c>
      <c r="I6491" s="33"/>
      <c r="J6491" s="35">
        <v>153</v>
      </c>
      <c r="K6491" s="33"/>
      <c r="L6491" s="35">
        <v>1</v>
      </c>
      <c r="M6491" s="35">
        <v>12</v>
      </c>
      <c r="N6491" s="35">
        <v>1</v>
      </c>
      <c r="O6491" s="36">
        <v>812.64</v>
      </c>
      <c r="P6491" s="36">
        <v>666.1</v>
      </c>
      <c r="Q6491" s="36">
        <v>568.85</v>
      </c>
      <c r="R6491" s="36">
        <v>466.27</v>
      </c>
      <c r="S6491" s="36">
        <v>552.6</v>
      </c>
      <c r="T6491" s="36">
        <v>452.95</v>
      </c>
      <c r="U6491" s="34"/>
      <c r="V6491" s="34"/>
      <c r="W6491" s="34"/>
      <c r="X6491" s="37">
        <v>1.5489999999999999</v>
      </c>
      <c r="Y6491" s="38">
        <v>1.1329999999999999E-3</v>
      </c>
      <c r="Z6491" s="21">
        <v>4601004234840</v>
      </c>
    </row>
    <row r="6492" spans="1:26" ht="12.95" customHeight="1" outlineLevel="1" x14ac:dyDescent="0.2">
      <c r="A6492" s="78" t="s">
        <v>12523</v>
      </c>
      <c r="B6492" s="78"/>
      <c r="C6492" s="79"/>
      <c r="D6492" s="57"/>
      <c r="E6492" s="67"/>
      <c r="F6492" s="12"/>
      <c r="G6492" s="12"/>
      <c r="H6492" s="12"/>
      <c r="I6492" s="12"/>
      <c r="J6492" s="12"/>
      <c r="K6492" s="12"/>
      <c r="L6492" s="12"/>
      <c r="M6492" s="12"/>
      <c r="N6492" s="12"/>
      <c r="O6492" s="12"/>
      <c r="P6492" s="12"/>
      <c r="Q6492" s="12"/>
      <c r="R6492" s="12"/>
      <c r="S6492" s="12"/>
      <c r="T6492" s="12"/>
      <c r="U6492" s="12"/>
      <c r="V6492" s="12"/>
      <c r="W6492" s="12"/>
      <c r="X6492" s="12"/>
      <c r="Y6492" s="12"/>
      <c r="Z6492" s="12"/>
    </row>
    <row r="6493" spans="1:26" ht="12.95" customHeight="1" outlineLevel="2" x14ac:dyDescent="0.2">
      <c r="A6493" s="76" t="s">
        <v>12524</v>
      </c>
      <c r="B6493" s="76"/>
      <c r="C6493" s="77"/>
      <c r="D6493" s="58"/>
      <c r="E6493" s="68"/>
      <c r="F6493" s="13"/>
      <c r="G6493" s="13"/>
      <c r="H6493" s="13"/>
      <c r="I6493" s="13"/>
      <c r="J6493" s="13"/>
      <c r="K6493" s="13"/>
      <c r="L6493" s="13"/>
      <c r="M6493" s="13"/>
      <c r="N6493" s="13"/>
      <c r="O6493" s="13"/>
      <c r="P6493" s="13"/>
      <c r="Q6493" s="13"/>
      <c r="R6493" s="13"/>
      <c r="S6493" s="13"/>
      <c r="T6493" s="13"/>
      <c r="U6493" s="13"/>
      <c r="V6493" s="13"/>
      <c r="W6493" s="13"/>
      <c r="X6493" s="13"/>
      <c r="Y6493" s="13"/>
      <c r="Z6493" s="13"/>
    </row>
    <row r="6494" spans="1:26" ht="12" customHeight="1" outlineLevel="3" x14ac:dyDescent="0.2">
      <c r="A6494" s="32" t="s">
        <v>12525</v>
      </c>
      <c r="B6494" s="74" t="s">
        <v>12526</v>
      </c>
      <c r="C6494" s="50"/>
      <c r="D6494" s="53">
        <f t="shared" si="101"/>
        <v>0</v>
      </c>
      <c r="E6494" s="60" t="str">
        <f>HYPERLINK("https://www.sds-group.ru/product/bolt-mebelnyy-din-603-10h70mm-paket-2-sht-up-kranz-1301-1070-4/", "Инфо")</f>
        <v>Инфо</v>
      </c>
      <c r="F6494" s="34" t="s">
        <v>1001</v>
      </c>
      <c r="G6494" s="33"/>
      <c r="H6494" s="33" t="s">
        <v>40</v>
      </c>
      <c r="I6494" s="33"/>
      <c r="J6494" s="35">
        <v>200</v>
      </c>
      <c r="K6494" s="33"/>
      <c r="L6494" s="35">
        <v>1</v>
      </c>
      <c r="M6494" s="35">
        <v>40</v>
      </c>
      <c r="N6494" s="35">
        <v>1</v>
      </c>
      <c r="O6494" s="36">
        <v>42.82</v>
      </c>
      <c r="P6494" s="36">
        <v>35.1</v>
      </c>
      <c r="Q6494" s="36">
        <v>29.97</v>
      </c>
      <c r="R6494" s="36">
        <v>24.57</v>
      </c>
      <c r="S6494" s="36">
        <v>29.12</v>
      </c>
      <c r="T6494" s="36">
        <v>23.87</v>
      </c>
      <c r="U6494" s="34"/>
      <c r="V6494" s="34"/>
      <c r="W6494" s="34"/>
      <c r="X6494" s="37">
        <v>9.4E-2</v>
      </c>
      <c r="Y6494" s="38">
        <v>2.34E-4</v>
      </c>
      <c r="Z6494" s="21">
        <v>4601004250246</v>
      </c>
    </row>
    <row r="6495" spans="1:26" ht="12" customHeight="1" outlineLevel="3" x14ac:dyDescent="0.2">
      <c r="A6495" s="32" t="s">
        <v>12527</v>
      </c>
      <c r="B6495" s="74" t="s">
        <v>12528</v>
      </c>
      <c r="C6495" s="50"/>
      <c r="D6495" s="53">
        <f t="shared" si="101"/>
        <v>0</v>
      </c>
      <c r="E6495" s="60" t="str">
        <f>HYPERLINK("https://www.sds-group.ru/product/bolt-mebelnyy-din-603-6-0h25mm-korob-50-sht-up-kranz-KR-01-3511-008/", "Инфо")</f>
        <v>Инфо</v>
      </c>
      <c r="F6495" s="34" t="s">
        <v>1001</v>
      </c>
      <c r="G6495" s="33"/>
      <c r="H6495" s="33" t="s">
        <v>40</v>
      </c>
      <c r="I6495" s="33"/>
      <c r="J6495" s="35">
        <v>33</v>
      </c>
      <c r="K6495" s="33"/>
      <c r="L6495" s="35">
        <v>1</v>
      </c>
      <c r="M6495" s="35">
        <v>32</v>
      </c>
      <c r="N6495" s="35">
        <v>1</v>
      </c>
      <c r="O6495" s="36">
        <v>313.5</v>
      </c>
      <c r="P6495" s="36">
        <v>256.97000000000003</v>
      </c>
      <c r="Q6495" s="36">
        <v>219.45</v>
      </c>
      <c r="R6495" s="36">
        <v>179.88</v>
      </c>
      <c r="S6495" s="36">
        <v>213.18</v>
      </c>
      <c r="T6495" s="36">
        <v>174.74</v>
      </c>
      <c r="U6495" s="34"/>
      <c r="V6495" s="34"/>
      <c r="W6495" s="34"/>
      <c r="X6495" s="37">
        <v>0.34699999999999998</v>
      </c>
      <c r="Y6495" s="38">
        <v>2.7E-4</v>
      </c>
      <c r="Z6495" s="21">
        <v>4601004204904</v>
      </c>
    </row>
    <row r="6496" spans="1:26" ht="12" customHeight="1" outlineLevel="3" x14ac:dyDescent="0.2">
      <c r="A6496" s="32" t="s">
        <v>12529</v>
      </c>
      <c r="B6496" s="74" t="s">
        <v>12530</v>
      </c>
      <c r="C6496" s="50"/>
      <c r="D6496" s="53">
        <f t="shared" si="101"/>
        <v>0</v>
      </c>
      <c r="E6496" s="60" t="str">
        <f>HYPERLINK("https://www.sds-group.ru/product/bolt-mebelnyy-din-603-8-0h80mm-paket-2-sht-up-kranz-1301-0880-4/", "Инфо")</f>
        <v>Инфо</v>
      </c>
      <c r="F6496" s="34" t="s">
        <v>1001</v>
      </c>
      <c r="G6496" s="33"/>
      <c r="H6496" s="33" t="s">
        <v>40</v>
      </c>
      <c r="I6496" s="33"/>
      <c r="J6496" s="35">
        <v>278</v>
      </c>
      <c r="K6496" s="33"/>
      <c r="L6496" s="35">
        <v>1</v>
      </c>
      <c r="M6496" s="35">
        <v>40</v>
      </c>
      <c r="N6496" s="35">
        <v>1</v>
      </c>
      <c r="O6496" s="36">
        <v>23.19</v>
      </c>
      <c r="P6496" s="36">
        <v>19.010000000000002</v>
      </c>
      <c r="Q6496" s="36">
        <v>16.23</v>
      </c>
      <c r="R6496" s="36">
        <v>13.3</v>
      </c>
      <c r="S6496" s="36">
        <v>15.77</v>
      </c>
      <c r="T6496" s="36">
        <v>12.93</v>
      </c>
      <c r="U6496" s="34"/>
      <c r="V6496" s="34"/>
      <c r="W6496" s="34"/>
      <c r="X6496" s="37">
        <v>6.6000000000000003E-2</v>
      </c>
      <c r="Y6496" s="38">
        <v>2.3499999999999999E-4</v>
      </c>
      <c r="Z6496" s="21">
        <v>4601004250390</v>
      </c>
    </row>
    <row r="6497" spans="1:26" ht="12" customHeight="1" outlineLevel="3" x14ac:dyDescent="0.2">
      <c r="A6497" s="32" t="s">
        <v>12531</v>
      </c>
      <c r="B6497" s="74" t="s">
        <v>12532</v>
      </c>
      <c r="C6497" s="50"/>
      <c r="D6497" s="53">
        <f t="shared" si="101"/>
        <v>0</v>
      </c>
      <c r="E6497" s="60" t="str">
        <f>HYPERLINK("https://www.sds-group.ru/product/bolt-mebelnyy-din-603-8-0h90mm-paket-2-sht-up-kranz-1301-0890-4/", "Инфо")</f>
        <v>Инфо</v>
      </c>
      <c r="F6497" s="34" t="s">
        <v>1001</v>
      </c>
      <c r="G6497" s="33"/>
      <c r="H6497" s="33" t="s">
        <v>40</v>
      </c>
      <c r="I6497" s="33"/>
      <c r="J6497" s="35">
        <v>27</v>
      </c>
      <c r="K6497" s="33"/>
      <c r="L6497" s="35">
        <v>1</v>
      </c>
      <c r="M6497" s="35">
        <v>40</v>
      </c>
      <c r="N6497" s="35">
        <v>1</v>
      </c>
      <c r="O6497" s="36">
        <v>38.31</v>
      </c>
      <c r="P6497" s="36">
        <v>31.4</v>
      </c>
      <c r="Q6497" s="36">
        <v>26.82</v>
      </c>
      <c r="R6497" s="36">
        <v>21.98</v>
      </c>
      <c r="S6497" s="36">
        <v>26.05</v>
      </c>
      <c r="T6497" s="36">
        <v>21.35</v>
      </c>
      <c r="U6497" s="34"/>
      <c r="V6497" s="34"/>
      <c r="W6497" s="34"/>
      <c r="X6497" s="37">
        <v>7.0999999999999994E-2</v>
      </c>
      <c r="Y6497" s="38">
        <v>2.33E-4</v>
      </c>
      <c r="Z6497" s="21">
        <v>4601004250406</v>
      </c>
    </row>
    <row r="6498" spans="1:26" ht="12.95" customHeight="1" outlineLevel="2" x14ac:dyDescent="0.2">
      <c r="A6498" s="76" t="s">
        <v>12533</v>
      </c>
      <c r="B6498" s="76"/>
      <c r="C6498" s="77"/>
      <c r="D6498" s="58"/>
      <c r="E6498" s="68"/>
      <c r="F6498" s="13"/>
      <c r="G6498" s="13"/>
      <c r="H6498" s="13"/>
      <c r="I6498" s="13"/>
      <c r="J6498" s="13"/>
      <c r="K6498" s="13"/>
      <c r="L6498" s="13"/>
      <c r="M6498" s="13"/>
      <c r="N6498" s="13"/>
      <c r="O6498" s="13"/>
      <c r="P6498" s="13"/>
      <c r="Q6498" s="13"/>
      <c r="R6498" s="13"/>
      <c r="S6498" s="13"/>
      <c r="T6498" s="13"/>
      <c r="U6498" s="13"/>
      <c r="V6498" s="13"/>
      <c r="W6498" s="13"/>
      <c r="X6498" s="13"/>
      <c r="Y6498" s="13"/>
      <c r="Z6498" s="13"/>
    </row>
    <row r="6499" spans="1:26" ht="12" customHeight="1" outlineLevel="3" x14ac:dyDescent="0.2">
      <c r="A6499" s="32" t="s">
        <v>12534</v>
      </c>
      <c r="B6499" s="74" t="s">
        <v>12535</v>
      </c>
      <c r="C6499" s="50"/>
      <c r="D6499" s="53">
        <f t="shared" si="101"/>
        <v>0</v>
      </c>
      <c r="E6499" s="60" t="str">
        <f>HYPERLINK("https://www.sds-group.ru/product/bolt-shestigrannyy-din-933-10h80mm-korob-10-sht-up-kranz-KR-01-3512-055/", "Инфо")</f>
        <v>Инфо</v>
      </c>
      <c r="F6499" s="34" t="s">
        <v>1001</v>
      </c>
      <c r="G6499" s="33"/>
      <c r="H6499" s="33" t="s">
        <v>40</v>
      </c>
      <c r="I6499" s="33"/>
      <c r="J6499" s="39">
        <v>2549</v>
      </c>
      <c r="K6499" s="33"/>
      <c r="L6499" s="35">
        <v>1</v>
      </c>
      <c r="M6499" s="35">
        <v>16</v>
      </c>
      <c r="N6499" s="35">
        <v>1</v>
      </c>
      <c r="O6499" s="36">
        <v>131.63</v>
      </c>
      <c r="P6499" s="36">
        <v>107.89</v>
      </c>
      <c r="Q6499" s="36">
        <v>92.14</v>
      </c>
      <c r="R6499" s="36">
        <v>75.52</v>
      </c>
      <c r="S6499" s="36">
        <v>89.51</v>
      </c>
      <c r="T6499" s="36">
        <v>73.37</v>
      </c>
      <c r="U6499" s="34"/>
      <c r="V6499" s="34"/>
      <c r="W6499" s="34"/>
      <c r="X6499" s="37">
        <v>0.55800000000000005</v>
      </c>
      <c r="Y6499" s="38">
        <v>4.3600000000000003E-4</v>
      </c>
      <c r="Z6499" s="21">
        <v>4601004236943</v>
      </c>
    </row>
    <row r="6500" spans="1:26" ht="12" customHeight="1" outlineLevel="3" x14ac:dyDescent="0.2">
      <c r="A6500" s="32" t="s">
        <v>12536</v>
      </c>
      <c r="B6500" s="74" t="s">
        <v>12537</v>
      </c>
      <c r="C6500" s="50"/>
      <c r="D6500" s="53">
        <f t="shared" si="101"/>
        <v>0</v>
      </c>
      <c r="E6500" s="60" t="str">
        <f>HYPERLINK("https://www.sds-group.ru/product/bolt-shestigrannyy-din-933-10h90mm-korob-10-sht-up-kranz-KR-01-3512-056/", "Инфо")</f>
        <v>Инфо</v>
      </c>
      <c r="F6500" s="34" t="s">
        <v>1001</v>
      </c>
      <c r="G6500" s="33"/>
      <c r="H6500" s="33" t="s">
        <v>40</v>
      </c>
      <c r="I6500" s="33"/>
      <c r="J6500" s="39">
        <v>1485</v>
      </c>
      <c r="K6500" s="33"/>
      <c r="L6500" s="35">
        <v>1</v>
      </c>
      <c r="M6500" s="35">
        <v>16</v>
      </c>
      <c r="N6500" s="35">
        <v>1</v>
      </c>
      <c r="O6500" s="36">
        <v>152.96</v>
      </c>
      <c r="P6500" s="36">
        <v>125.38</v>
      </c>
      <c r="Q6500" s="36">
        <v>107.07</v>
      </c>
      <c r="R6500" s="36">
        <v>87.76</v>
      </c>
      <c r="S6500" s="36">
        <v>104.01</v>
      </c>
      <c r="T6500" s="36">
        <v>85.25</v>
      </c>
      <c r="U6500" s="34"/>
      <c r="V6500" s="34"/>
      <c r="W6500" s="34"/>
      <c r="X6500" s="37">
        <v>0.57299999999999995</v>
      </c>
      <c r="Y6500" s="38">
        <v>5.6700000000000001E-4</v>
      </c>
      <c r="Z6500" s="21">
        <v>4601004236950</v>
      </c>
    </row>
    <row r="6501" spans="1:26" ht="12" customHeight="1" outlineLevel="3" x14ac:dyDescent="0.2">
      <c r="A6501" s="32" t="s">
        <v>12538</v>
      </c>
      <c r="B6501" s="74" t="s">
        <v>12539</v>
      </c>
      <c r="C6501" s="50"/>
      <c r="D6501" s="53">
        <f t="shared" si="101"/>
        <v>0</v>
      </c>
      <c r="E6501" s="60" t="str">
        <f>HYPERLINK("https://www.sds-group.ru/product/bolt-shestigrannyy-din-933-16h90mm-korob-10-sht-up-kranz-KR-01-3512-099/", "Инфо")</f>
        <v>Инфо</v>
      </c>
      <c r="F6501" s="34" t="s">
        <v>1001</v>
      </c>
      <c r="G6501" s="33"/>
      <c r="H6501" s="33" t="s">
        <v>40</v>
      </c>
      <c r="I6501" s="33"/>
      <c r="J6501" s="35">
        <v>308</v>
      </c>
      <c r="K6501" s="33"/>
      <c r="L6501" s="35">
        <v>1</v>
      </c>
      <c r="M6501" s="35">
        <v>10</v>
      </c>
      <c r="N6501" s="35">
        <v>1</v>
      </c>
      <c r="O6501" s="36">
        <v>409.31</v>
      </c>
      <c r="P6501" s="36">
        <v>335.5</v>
      </c>
      <c r="Q6501" s="36">
        <v>286.52</v>
      </c>
      <c r="R6501" s="36">
        <v>234.85</v>
      </c>
      <c r="S6501" s="36">
        <v>278.33</v>
      </c>
      <c r="T6501" s="36">
        <v>228.14</v>
      </c>
      <c r="U6501" s="34"/>
      <c r="V6501" s="34"/>
      <c r="W6501" s="34"/>
      <c r="X6501" s="37">
        <v>1.5940000000000001</v>
      </c>
      <c r="Y6501" s="38">
        <v>1.091E-3</v>
      </c>
      <c r="Z6501" s="21">
        <v>4601004242036</v>
      </c>
    </row>
    <row r="6502" spans="1:26" ht="12" customHeight="1" outlineLevel="3" x14ac:dyDescent="0.2">
      <c r="A6502" s="32" t="s">
        <v>12540</v>
      </c>
      <c r="B6502" s="74" t="s">
        <v>12541</v>
      </c>
      <c r="C6502" s="50"/>
      <c r="D6502" s="53">
        <f t="shared" si="101"/>
        <v>0</v>
      </c>
      <c r="E6502" s="60" t="str">
        <f>HYPERLINK("https://www.sds-group.ru/product/bolt-shestigrannyy-din-933-6-0h40mm-paket-10-sht-up-kranz-1302-0640-4/", "Инфо")</f>
        <v>Инфо</v>
      </c>
      <c r="F6502" s="34" t="s">
        <v>1001</v>
      </c>
      <c r="G6502" s="33"/>
      <c r="H6502" s="33" t="s">
        <v>40</v>
      </c>
      <c r="I6502" s="33"/>
      <c r="J6502" s="35">
        <v>180</v>
      </c>
      <c r="K6502" s="33"/>
      <c r="L6502" s="35">
        <v>1</v>
      </c>
      <c r="M6502" s="35">
        <v>40</v>
      </c>
      <c r="N6502" s="35">
        <v>1</v>
      </c>
      <c r="O6502" s="36">
        <v>52.87</v>
      </c>
      <c r="P6502" s="36">
        <v>43.34</v>
      </c>
      <c r="Q6502" s="36">
        <v>37.01</v>
      </c>
      <c r="R6502" s="36">
        <v>30.34</v>
      </c>
      <c r="S6502" s="36">
        <v>35.950000000000003</v>
      </c>
      <c r="T6502" s="36">
        <v>29.47</v>
      </c>
      <c r="U6502" s="34"/>
      <c r="V6502" s="34"/>
      <c r="W6502" s="34"/>
      <c r="X6502" s="37">
        <v>0.10100000000000001</v>
      </c>
      <c r="Y6502" s="38">
        <v>2.3900000000000001E-4</v>
      </c>
      <c r="Z6502" s="21">
        <v>4601004250437</v>
      </c>
    </row>
    <row r="6503" spans="1:26" ht="12" customHeight="1" outlineLevel="3" x14ac:dyDescent="0.2">
      <c r="A6503" s="32" t="s">
        <v>12542</v>
      </c>
      <c r="B6503" s="74" t="s">
        <v>12543</v>
      </c>
      <c r="C6503" s="50"/>
      <c r="D6503" s="53">
        <f t="shared" si="101"/>
        <v>0</v>
      </c>
      <c r="E6503" s="60" t="str">
        <f>HYPERLINK("https://www.sds-group.ru/product/bolt-shestigrannyy-din-933-6-0h50mm-paket-4-sht-up-kranz-1302-0650-4/", "Инфо")</f>
        <v>Инфо</v>
      </c>
      <c r="F6503" s="34" t="s">
        <v>1001</v>
      </c>
      <c r="G6503" s="33"/>
      <c r="H6503" s="33" t="s">
        <v>40</v>
      </c>
      <c r="I6503" s="33"/>
      <c r="J6503" s="35">
        <v>387</v>
      </c>
      <c r="K6503" s="33"/>
      <c r="L6503" s="35">
        <v>1</v>
      </c>
      <c r="M6503" s="35">
        <v>40</v>
      </c>
      <c r="N6503" s="35">
        <v>1</v>
      </c>
      <c r="O6503" s="36">
        <v>25.12</v>
      </c>
      <c r="P6503" s="36">
        <v>20.59</v>
      </c>
      <c r="Q6503" s="36">
        <v>17.579999999999998</v>
      </c>
      <c r="R6503" s="36">
        <v>14.41</v>
      </c>
      <c r="S6503" s="36">
        <v>17.079999999999998</v>
      </c>
      <c r="T6503" s="36">
        <v>14</v>
      </c>
      <c r="U6503" s="34"/>
      <c r="V6503" s="34"/>
      <c r="W6503" s="34"/>
      <c r="X6503" s="37">
        <v>5.1999999999999998E-2</v>
      </c>
      <c r="Y6503" s="38">
        <v>2.33E-4</v>
      </c>
      <c r="Z6503" s="21">
        <v>4601004250499</v>
      </c>
    </row>
    <row r="6504" spans="1:26" ht="12" customHeight="1" outlineLevel="3" x14ac:dyDescent="0.2">
      <c r="A6504" s="32" t="s">
        <v>12544</v>
      </c>
      <c r="B6504" s="74" t="s">
        <v>12545</v>
      </c>
      <c r="C6504" s="50"/>
      <c r="D6504" s="53">
        <f t="shared" si="101"/>
        <v>0</v>
      </c>
      <c r="E6504" s="60" t="str">
        <f>HYPERLINK("https://www.sds-group.ru/product/bolt-shestigrannyy-din-933-8-0h120mm-korob-10-sht-up-kranz-KR-01-3512-039/", "Инфо")</f>
        <v>Инфо</v>
      </c>
      <c r="F6504" s="34" t="s">
        <v>1001</v>
      </c>
      <c r="G6504" s="33"/>
      <c r="H6504" s="33" t="s">
        <v>40</v>
      </c>
      <c r="I6504" s="33"/>
      <c r="J6504" s="35">
        <v>823</v>
      </c>
      <c r="K6504" s="33"/>
      <c r="L6504" s="35">
        <v>1</v>
      </c>
      <c r="M6504" s="35">
        <v>8</v>
      </c>
      <c r="N6504" s="35">
        <v>1</v>
      </c>
      <c r="O6504" s="36">
        <v>198.53</v>
      </c>
      <c r="P6504" s="36">
        <v>162.72999999999999</v>
      </c>
      <c r="Q6504" s="36">
        <v>138.97</v>
      </c>
      <c r="R6504" s="36">
        <v>113.91</v>
      </c>
      <c r="S6504" s="36">
        <v>135</v>
      </c>
      <c r="T6504" s="36">
        <v>110.66</v>
      </c>
      <c r="U6504" s="34"/>
      <c r="V6504" s="34"/>
      <c r="W6504" s="34"/>
      <c r="X6504" s="37">
        <v>0.46800000000000003</v>
      </c>
      <c r="Y6504" s="38">
        <v>1.467E-3</v>
      </c>
      <c r="Z6504" s="21">
        <v>4601004237001</v>
      </c>
    </row>
    <row r="6505" spans="1:26" ht="12" customHeight="1" outlineLevel="3" x14ac:dyDescent="0.2">
      <c r="A6505" s="32" t="s">
        <v>12546</v>
      </c>
      <c r="B6505" s="74" t="s">
        <v>12547</v>
      </c>
      <c r="C6505" s="50"/>
      <c r="D6505" s="53">
        <f t="shared" si="101"/>
        <v>0</v>
      </c>
      <c r="E6505" s="60" t="str">
        <f>HYPERLINK("https://www.sds-group.ru/product/bolt-shestigrannyy-din-933-8-0h40mm-paket-2-sht-up-kranz-1302-0840-4/", "Инфо")</f>
        <v>Инфо</v>
      </c>
      <c r="F6505" s="34" t="s">
        <v>1001</v>
      </c>
      <c r="G6505" s="33"/>
      <c r="H6505" s="33" t="s">
        <v>40</v>
      </c>
      <c r="I6505" s="33"/>
      <c r="J6505" s="35">
        <v>155</v>
      </c>
      <c r="K6505" s="33"/>
      <c r="L6505" s="35">
        <v>1</v>
      </c>
      <c r="M6505" s="35">
        <v>400</v>
      </c>
      <c r="N6505" s="35">
        <v>1</v>
      </c>
      <c r="O6505" s="36">
        <v>18.61</v>
      </c>
      <c r="P6505" s="36">
        <v>15.25</v>
      </c>
      <c r="Q6505" s="36">
        <v>13.03</v>
      </c>
      <c r="R6505" s="36">
        <v>10.68</v>
      </c>
      <c r="S6505" s="36">
        <v>12.65</v>
      </c>
      <c r="T6505" s="36">
        <v>10.37</v>
      </c>
      <c r="U6505" s="34"/>
      <c r="V6505" s="34"/>
      <c r="W6505" s="34"/>
      <c r="X6505" s="37">
        <v>0.04</v>
      </c>
      <c r="Y6505" s="38">
        <v>8.0000000000000007E-5</v>
      </c>
      <c r="Z6505" s="21">
        <v>4601004250550</v>
      </c>
    </row>
    <row r="6506" spans="1:26" ht="12" customHeight="1" outlineLevel="3" x14ac:dyDescent="0.2">
      <c r="A6506" s="32" t="s">
        <v>12548</v>
      </c>
      <c r="B6506" s="74" t="s">
        <v>12549</v>
      </c>
      <c r="C6506" s="50"/>
      <c r="D6506" s="53">
        <f t="shared" si="101"/>
        <v>0</v>
      </c>
      <c r="E6506" s="60" t="str">
        <f>HYPERLINK("https://www.sds-group.ru/product/bolt-shestigrannyy-din-933-8-0h55mm-korob-20-sht-up-kranz-KR-01-3512-031/", "Инфо")</f>
        <v>Инфо</v>
      </c>
      <c r="F6506" s="34" t="s">
        <v>1001</v>
      </c>
      <c r="G6506" s="33"/>
      <c r="H6506" s="33" t="s">
        <v>40</v>
      </c>
      <c r="I6506" s="33"/>
      <c r="J6506" s="35">
        <v>35</v>
      </c>
      <c r="K6506" s="33"/>
      <c r="L6506" s="35">
        <v>1</v>
      </c>
      <c r="M6506" s="35">
        <v>32</v>
      </c>
      <c r="N6506" s="35">
        <v>1</v>
      </c>
      <c r="O6506" s="36">
        <v>333.76</v>
      </c>
      <c r="P6506" s="36">
        <v>273.57</v>
      </c>
      <c r="Q6506" s="36">
        <v>233.63</v>
      </c>
      <c r="R6506" s="36">
        <v>191.5</v>
      </c>
      <c r="S6506" s="36">
        <v>226.96</v>
      </c>
      <c r="T6506" s="36">
        <v>186.03</v>
      </c>
      <c r="U6506" s="34"/>
      <c r="V6506" s="34"/>
      <c r="W6506" s="34"/>
      <c r="X6506" s="37">
        <v>0.46500000000000002</v>
      </c>
      <c r="Y6506" s="38">
        <v>1.0059999999999999E-3</v>
      </c>
      <c r="Z6506" s="21">
        <v>4601004237049</v>
      </c>
    </row>
    <row r="6507" spans="1:26" ht="12" customHeight="1" outlineLevel="3" x14ac:dyDescent="0.2">
      <c r="A6507" s="32" t="s">
        <v>12550</v>
      </c>
      <c r="B6507" s="74" t="s">
        <v>12551</v>
      </c>
      <c r="C6507" s="50"/>
      <c r="D6507" s="53">
        <f t="shared" si="101"/>
        <v>0</v>
      </c>
      <c r="E6507" s="60" t="str">
        <f>HYPERLINK("https://www.sds-group.ru/product/bolt-shestigrannyy-din-933-8-0h60mm-korob-20-sht-up-kranz-KR-01-3512-032/", "Инфо")</f>
        <v>Инфо</v>
      </c>
      <c r="F6507" s="34" t="s">
        <v>1001</v>
      </c>
      <c r="G6507" s="33"/>
      <c r="H6507" s="33" t="s">
        <v>40</v>
      </c>
      <c r="I6507" s="33"/>
      <c r="J6507" s="35">
        <v>179</v>
      </c>
      <c r="K6507" s="33"/>
      <c r="L6507" s="35">
        <v>1</v>
      </c>
      <c r="M6507" s="35">
        <v>16</v>
      </c>
      <c r="N6507" s="35">
        <v>1</v>
      </c>
      <c r="O6507" s="36">
        <v>346.92</v>
      </c>
      <c r="P6507" s="36">
        <v>284.36</v>
      </c>
      <c r="Q6507" s="36">
        <v>242.84</v>
      </c>
      <c r="R6507" s="36">
        <v>199.05</v>
      </c>
      <c r="S6507" s="36">
        <v>235.91</v>
      </c>
      <c r="T6507" s="36">
        <v>193.37</v>
      </c>
      <c r="U6507" s="34"/>
      <c r="V6507" s="34"/>
      <c r="W6507" s="34"/>
      <c r="X6507" s="37">
        <v>0.49299999999999999</v>
      </c>
      <c r="Y6507" s="38">
        <v>4.6099999999999998E-4</v>
      </c>
      <c r="Z6507" s="21">
        <v>4601004231306</v>
      </c>
    </row>
    <row r="6508" spans="1:26" ht="12" customHeight="1" outlineLevel="3" x14ac:dyDescent="0.2">
      <c r="A6508" s="32" t="s">
        <v>12552</v>
      </c>
      <c r="B6508" s="74" t="s">
        <v>12553</v>
      </c>
      <c r="C6508" s="50"/>
      <c r="D6508" s="53">
        <f t="shared" si="101"/>
        <v>0</v>
      </c>
      <c r="E6508" s="60" t="str">
        <f>HYPERLINK("https://www.sds-group.ru/product/bolt-shestigrannyy-din-933-8-0h90mm-korob-20-sht-up-kranz-KR-01-3512-036/", "Инфо")</f>
        <v>Инфо</v>
      </c>
      <c r="F6508" s="34" t="s">
        <v>1001</v>
      </c>
      <c r="G6508" s="33"/>
      <c r="H6508" s="33" t="s">
        <v>40</v>
      </c>
      <c r="I6508" s="33"/>
      <c r="J6508" s="35">
        <v>1</v>
      </c>
      <c r="K6508" s="33"/>
      <c r="L6508" s="35">
        <v>1</v>
      </c>
      <c r="M6508" s="35">
        <v>16</v>
      </c>
      <c r="N6508" s="35">
        <v>1</v>
      </c>
      <c r="O6508" s="36">
        <v>476.82</v>
      </c>
      <c r="P6508" s="36">
        <v>390.84</v>
      </c>
      <c r="Q6508" s="36">
        <v>333.77</v>
      </c>
      <c r="R6508" s="36">
        <v>273.58</v>
      </c>
      <c r="S6508" s="36">
        <v>324.24</v>
      </c>
      <c r="T6508" s="36">
        <v>265.77</v>
      </c>
      <c r="U6508" s="34"/>
      <c r="V6508" s="34"/>
      <c r="W6508" s="34"/>
      <c r="X6508" s="37">
        <v>0.67300000000000004</v>
      </c>
      <c r="Y6508" s="38">
        <v>4.4700000000000002E-4</v>
      </c>
      <c r="Z6508" s="21">
        <v>4601004231344</v>
      </c>
    </row>
    <row r="6509" spans="1:26" ht="12" customHeight="1" outlineLevel="3" x14ac:dyDescent="0.2">
      <c r="A6509" s="32" t="s">
        <v>12554</v>
      </c>
      <c r="B6509" s="74" t="s">
        <v>12555</v>
      </c>
      <c r="C6509" s="50"/>
      <c r="D6509" s="53">
        <f t="shared" si="101"/>
        <v>0</v>
      </c>
      <c r="E6509" s="60" t="str">
        <f>HYPERLINK("https://www.sds-group.ru/product/bolt-shestigrannyy-din-933-8-0h90mm-paket-2-sht-up-kranz-1302-0890-4/", "Инфо")</f>
        <v>Инфо</v>
      </c>
      <c r="F6509" s="34" t="s">
        <v>1001</v>
      </c>
      <c r="G6509" s="33"/>
      <c r="H6509" s="33" t="s">
        <v>40</v>
      </c>
      <c r="I6509" s="33"/>
      <c r="J6509" s="39">
        <v>1149</v>
      </c>
      <c r="K6509" s="33"/>
      <c r="L6509" s="35">
        <v>1</v>
      </c>
      <c r="M6509" s="35">
        <v>40</v>
      </c>
      <c r="N6509" s="35">
        <v>1</v>
      </c>
      <c r="O6509" s="36">
        <v>21.21</v>
      </c>
      <c r="P6509" s="36">
        <v>17.39</v>
      </c>
      <c r="Q6509" s="36">
        <v>14.85</v>
      </c>
      <c r="R6509" s="36">
        <v>12.17</v>
      </c>
      <c r="S6509" s="36">
        <v>14.42</v>
      </c>
      <c r="T6509" s="36">
        <v>11.82</v>
      </c>
      <c r="U6509" s="34"/>
      <c r="V6509" s="34"/>
      <c r="W6509" s="34"/>
      <c r="X6509" s="37">
        <v>7.6999999999999999E-2</v>
      </c>
      <c r="Y6509" s="38">
        <v>2.3900000000000001E-4</v>
      </c>
      <c r="Z6509" s="21">
        <v>4601004250529</v>
      </c>
    </row>
    <row r="6510" spans="1:26" ht="12.95" customHeight="1" outlineLevel="2" x14ac:dyDescent="0.2">
      <c r="A6510" s="76" t="s">
        <v>12556</v>
      </c>
      <c r="B6510" s="76"/>
      <c r="C6510" s="77"/>
      <c r="D6510" s="58"/>
      <c r="E6510" s="68"/>
      <c r="F6510" s="13"/>
      <c r="G6510" s="13"/>
      <c r="H6510" s="13"/>
      <c r="I6510" s="13"/>
      <c r="J6510" s="13"/>
      <c r="K6510" s="13"/>
      <c r="L6510" s="13"/>
      <c r="M6510" s="13"/>
      <c r="N6510" s="13"/>
      <c r="O6510" s="13"/>
      <c r="P6510" s="13"/>
      <c r="Q6510" s="13"/>
      <c r="R6510" s="13"/>
      <c r="S6510" s="13"/>
      <c r="T6510" s="13"/>
      <c r="U6510" s="13"/>
      <c r="V6510" s="13"/>
      <c r="W6510" s="13"/>
      <c r="X6510" s="13"/>
      <c r="Y6510" s="13"/>
      <c r="Z6510" s="13"/>
    </row>
    <row r="6511" spans="1:26" ht="12" customHeight="1" outlineLevel="3" x14ac:dyDescent="0.2">
      <c r="A6511" s="32" t="s">
        <v>12557</v>
      </c>
      <c r="B6511" s="74" t="s">
        <v>12558</v>
      </c>
      <c r="C6511" s="50"/>
      <c r="D6511" s="53">
        <f t="shared" si="101"/>
        <v>0</v>
      </c>
      <c r="E6511" s="60" t="str">
        <f>HYPERLINK("https://www.sds-group.ru/product/gayka-shestigrannaya-din-934-m16-korob-25-sht-up-kranz-KR-01-3522-009/", "Инфо")</f>
        <v>Инфо</v>
      </c>
      <c r="F6511" s="34" t="s">
        <v>1001</v>
      </c>
      <c r="G6511" s="33"/>
      <c r="H6511" s="33" t="s">
        <v>40</v>
      </c>
      <c r="I6511" s="33"/>
      <c r="J6511" s="35">
        <v>163</v>
      </c>
      <c r="K6511" s="33"/>
      <c r="L6511" s="35">
        <v>1</v>
      </c>
      <c r="M6511" s="35">
        <v>16</v>
      </c>
      <c r="N6511" s="35">
        <v>1</v>
      </c>
      <c r="O6511" s="36">
        <v>421.22</v>
      </c>
      <c r="P6511" s="36">
        <v>345.26</v>
      </c>
      <c r="Q6511" s="36">
        <v>294.85000000000002</v>
      </c>
      <c r="R6511" s="36">
        <v>241.68</v>
      </c>
      <c r="S6511" s="36">
        <v>286.43</v>
      </c>
      <c r="T6511" s="36">
        <v>234.78</v>
      </c>
      <c r="U6511" s="34"/>
      <c r="V6511" s="34"/>
      <c r="W6511" s="34"/>
      <c r="X6511" s="37">
        <v>0.747</v>
      </c>
      <c r="Y6511" s="38">
        <v>7.7800000000000015E-4</v>
      </c>
      <c r="Z6511" s="21">
        <v>4601004233386</v>
      </c>
    </row>
    <row r="6512" spans="1:26" ht="12.95" customHeight="1" outlineLevel="2" x14ac:dyDescent="0.2">
      <c r="A6512" s="76" t="s">
        <v>12559</v>
      </c>
      <c r="B6512" s="76"/>
      <c r="C6512" s="77"/>
      <c r="D6512" s="58"/>
      <c r="E6512" s="68"/>
      <c r="F6512" s="13"/>
      <c r="G6512" s="13"/>
      <c r="H6512" s="13"/>
      <c r="I6512" s="13"/>
      <c r="J6512" s="13"/>
      <c r="K6512" s="13"/>
      <c r="L6512" s="13"/>
      <c r="M6512" s="13"/>
      <c r="N6512" s="13"/>
      <c r="O6512" s="13"/>
      <c r="P6512" s="13"/>
      <c r="Q6512" s="13"/>
      <c r="R6512" s="13"/>
      <c r="S6512" s="13"/>
      <c r="T6512" s="13"/>
      <c r="U6512" s="13"/>
      <c r="V6512" s="13"/>
      <c r="W6512" s="13"/>
      <c r="X6512" s="13"/>
      <c r="Y6512" s="13"/>
      <c r="Z6512" s="13"/>
    </row>
    <row r="6513" spans="1:26" ht="12" customHeight="1" outlineLevel="3" x14ac:dyDescent="0.2">
      <c r="A6513" s="32" t="s">
        <v>12560</v>
      </c>
      <c r="B6513" s="74" t="s">
        <v>12561</v>
      </c>
      <c r="C6513" s="50"/>
      <c r="D6513" s="53">
        <f t="shared" si="101"/>
        <v>0</v>
      </c>
      <c r="E6513" s="60" t="str">
        <f>HYPERLINK("https://www.sds-group.ru/product/shayba-ploskaya-din-125-m12-korob-50-sht-up-kranz-KR-01-3531-007/", "Инфо")</f>
        <v>Инфо</v>
      </c>
      <c r="F6513" s="34" t="s">
        <v>1001</v>
      </c>
      <c r="G6513" s="33"/>
      <c r="H6513" s="33" t="s">
        <v>40</v>
      </c>
      <c r="I6513" s="33"/>
      <c r="J6513" s="39">
        <v>1119</v>
      </c>
      <c r="K6513" s="33"/>
      <c r="L6513" s="35">
        <v>1</v>
      </c>
      <c r="M6513" s="35">
        <v>32</v>
      </c>
      <c r="N6513" s="35">
        <v>1</v>
      </c>
      <c r="O6513" s="36">
        <v>178.51</v>
      </c>
      <c r="P6513" s="36">
        <v>146.32</v>
      </c>
      <c r="Q6513" s="36">
        <v>124.96</v>
      </c>
      <c r="R6513" s="36">
        <v>102.43</v>
      </c>
      <c r="S6513" s="36">
        <v>121.39</v>
      </c>
      <c r="T6513" s="36">
        <v>99.5</v>
      </c>
      <c r="U6513" s="34"/>
      <c r="V6513" s="34"/>
      <c r="W6513" s="34"/>
      <c r="X6513" s="37">
        <v>0.26800000000000002</v>
      </c>
      <c r="Y6513" s="38">
        <v>2.1599999999999999E-4</v>
      </c>
      <c r="Z6513" s="21">
        <v>4601004233454</v>
      </c>
    </row>
    <row r="6514" spans="1:26" ht="12" customHeight="1" outlineLevel="3" x14ac:dyDescent="0.2">
      <c r="A6514" s="32" t="s">
        <v>12562</v>
      </c>
      <c r="B6514" s="74" t="s">
        <v>12563</v>
      </c>
      <c r="C6514" s="50"/>
      <c r="D6514" s="53">
        <f t="shared" si="101"/>
        <v>0</v>
      </c>
      <c r="E6514" s="60" t="str">
        <f>HYPERLINK("https://www.sds-group.ru/product/shayba-ploskaya-din-125-m8-korob-200-sht-up-kranz-23369/", "Инфо")</f>
        <v>Инфо</v>
      </c>
      <c r="F6514" s="34" t="s">
        <v>1001</v>
      </c>
      <c r="G6514" s="33"/>
      <c r="H6514" s="33" t="s">
        <v>40</v>
      </c>
      <c r="I6514" s="33"/>
      <c r="J6514" s="35">
        <v>735</v>
      </c>
      <c r="K6514" s="33"/>
      <c r="L6514" s="35">
        <v>1</v>
      </c>
      <c r="M6514" s="35">
        <v>32</v>
      </c>
      <c r="N6514" s="35">
        <v>1</v>
      </c>
      <c r="O6514" s="36">
        <v>225.88</v>
      </c>
      <c r="P6514" s="36">
        <v>185.15</v>
      </c>
      <c r="Q6514" s="36">
        <v>158.12</v>
      </c>
      <c r="R6514" s="36">
        <v>129.61000000000001</v>
      </c>
      <c r="S6514" s="36">
        <v>153.6</v>
      </c>
      <c r="T6514" s="36">
        <v>125.9</v>
      </c>
      <c r="U6514" s="34"/>
      <c r="V6514" s="34"/>
      <c r="W6514" s="34"/>
      <c r="X6514" s="37">
        <v>0.313</v>
      </c>
      <c r="Y6514" s="38">
        <v>2.8200000000000002E-4</v>
      </c>
      <c r="Z6514" s="21">
        <v>4601004230927</v>
      </c>
    </row>
    <row r="6515" spans="1:26" ht="12.95" customHeight="1" outlineLevel="2" x14ac:dyDescent="0.2">
      <c r="A6515" s="76" t="s">
        <v>12564</v>
      </c>
      <c r="B6515" s="76"/>
      <c r="C6515" s="77"/>
      <c r="D6515" s="58"/>
      <c r="E6515" s="68"/>
      <c r="F6515" s="13"/>
      <c r="G6515" s="13"/>
      <c r="H6515" s="13"/>
      <c r="I6515" s="13"/>
      <c r="J6515" s="13"/>
      <c r="K6515" s="13"/>
      <c r="L6515" s="13"/>
      <c r="M6515" s="13"/>
      <c r="N6515" s="13"/>
      <c r="O6515" s="13"/>
      <c r="P6515" s="13"/>
      <c r="Q6515" s="13"/>
      <c r="R6515" s="13"/>
      <c r="S6515" s="13"/>
      <c r="T6515" s="13"/>
      <c r="U6515" s="13"/>
      <c r="V6515" s="13"/>
      <c r="W6515" s="13"/>
      <c r="X6515" s="13"/>
      <c r="Y6515" s="13"/>
      <c r="Z6515" s="13"/>
    </row>
    <row r="6516" spans="1:26" ht="12" customHeight="1" outlineLevel="3" x14ac:dyDescent="0.2">
      <c r="A6516" s="32" t="s">
        <v>12565</v>
      </c>
      <c r="B6516" s="74" t="s">
        <v>12566</v>
      </c>
      <c r="C6516" s="50"/>
      <c r="D6516" s="53">
        <f t="shared" si="101"/>
        <v>0</v>
      </c>
      <c r="E6516" s="60" t="str">
        <f>HYPERLINK("https://www.sds-group.ru/product/shayba-uvelichennaya-din-9021-m8-korob-100-sht-up-kranz-23391/", "Инфо")</f>
        <v>Инфо</v>
      </c>
      <c r="F6516" s="34" t="s">
        <v>1001</v>
      </c>
      <c r="G6516" s="33"/>
      <c r="H6516" s="33" t="s">
        <v>40</v>
      </c>
      <c r="I6516" s="33"/>
      <c r="J6516" s="35">
        <v>349</v>
      </c>
      <c r="K6516" s="33"/>
      <c r="L6516" s="35">
        <v>1</v>
      </c>
      <c r="M6516" s="35">
        <v>32</v>
      </c>
      <c r="N6516" s="35">
        <v>1</v>
      </c>
      <c r="O6516" s="36">
        <v>305.99</v>
      </c>
      <c r="P6516" s="36">
        <v>250.81</v>
      </c>
      <c r="Q6516" s="36">
        <v>214.19</v>
      </c>
      <c r="R6516" s="36">
        <v>175.57</v>
      </c>
      <c r="S6516" s="36">
        <v>208.07</v>
      </c>
      <c r="T6516" s="36">
        <v>170.55</v>
      </c>
      <c r="U6516" s="34"/>
      <c r="V6516" s="34"/>
      <c r="W6516" s="34"/>
      <c r="X6516" s="37">
        <v>0.60699999999999998</v>
      </c>
      <c r="Y6516" s="38">
        <v>3.0499999999999999E-4</v>
      </c>
      <c r="Z6516" s="21">
        <v>4601004231146</v>
      </c>
    </row>
    <row r="6517" spans="1:26" ht="12.95" customHeight="1" outlineLevel="2" x14ac:dyDescent="0.2">
      <c r="A6517" s="76" t="s">
        <v>12567</v>
      </c>
      <c r="B6517" s="76"/>
      <c r="C6517" s="77"/>
      <c r="D6517" s="58"/>
      <c r="E6517" s="68"/>
      <c r="F6517" s="13"/>
      <c r="G6517" s="13"/>
      <c r="H6517" s="13"/>
      <c r="I6517" s="13"/>
      <c r="J6517" s="13"/>
      <c r="K6517" s="13"/>
      <c r="L6517" s="13"/>
      <c r="M6517" s="13"/>
      <c r="N6517" s="13"/>
      <c r="O6517" s="13"/>
      <c r="P6517" s="13"/>
      <c r="Q6517" s="13"/>
      <c r="R6517" s="13"/>
      <c r="S6517" s="13"/>
      <c r="T6517" s="13"/>
      <c r="U6517" s="13"/>
      <c r="V6517" s="13"/>
      <c r="W6517" s="13"/>
      <c r="X6517" s="13"/>
      <c r="Y6517" s="13"/>
      <c r="Z6517" s="13"/>
    </row>
    <row r="6518" spans="1:26" ht="12" customHeight="1" outlineLevel="3" x14ac:dyDescent="0.2">
      <c r="A6518" s="32" t="s">
        <v>12568</v>
      </c>
      <c r="B6518" s="74" t="s">
        <v>12569</v>
      </c>
      <c r="C6518" s="50"/>
      <c r="D6518" s="53">
        <f t="shared" si="101"/>
        <v>0</v>
      </c>
      <c r="E6518" s="60" t="str">
        <f>HYPERLINK("https://www.sds-group.ru/product/shpilka-rezbovaya-din-975-m10h1000-10-sht-up-kranz-KR-01-3542-008/", "Инфо")</f>
        <v>Инфо</v>
      </c>
      <c r="F6518" s="34" t="s">
        <v>39</v>
      </c>
      <c r="G6518" s="33"/>
      <c r="H6518" s="33" t="s">
        <v>40</v>
      </c>
      <c r="I6518" s="33"/>
      <c r="J6518" s="35">
        <v>7</v>
      </c>
      <c r="K6518" s="33"/>
      <c r="L6518" s="35">
        <v>10</v>
      </c>
      <c r="M6518" s="35">
        <v>10</v>
      </c>
      <c r="N6518" s="35">
        <v>10</v>
      </c>
      <c r="O6518" s="36">
        <v>186.04</v>
      </c>
      <c r="P6518" s="36">
        <v>152.49</v>
      </c>
      <c r="Q6518" s="36">
        <v>173.02</v>
      </c>
      <c r="R6518" s="36">
        <v>141.82</v>
      </c>
      <c r="S6518" s="36">
        <v>126.51</v>
      </c>
      <c r="T6518" s="36">
        <v>103.7</v>
      </c>
      <c r="U6518" s="34"/>
      <c r="V6518" s="34"/>
      <c r="W6518" s="34" t="s">
        <v>40</v>
      </c>
      <c r="X6518" s="37">
        <v>0.497</v>
      </c>
      <c r="Y6518" s="38">
        <v>1E-4</v>
      </c>
      <c r="Z6518" s="21">
        <v>4601004234086</v>
      </c>
    </row>
    <row r="6519" spans="1:26" ht="12" customHeight="1" outlineLevel="3" x14ac:dyDescent="0.2">
      <c r="A6519" s="32" t="s">
        <v>12570</v>
      </c>
      <c r="B6519" s="74" t="s">
        <v>12571</v>
      </c>
      <c r="C6519" s="50"/>
      <c r="D6519" s="53">
        <f t="shared" si="101"/>
        <v>0</v>
      </c>
      <c r="E6519" s="60" t="str">
        <f>HYPERLINK("https://www.sds-group.ru/product/shpilka-rezbovaya-din-975-m10h2000-10-sht-up-kranz-KR-01-3542-009/", "Инфо")</f>
        <v>Инфо</v>
      </c>
      <c r="F6519" s="34" t="s">
        <v>39</v>
      </c>
      <c r="G6519" s="33"/>
      <c r="H6519" s="33" t="s">
        <v>40</v>
      </c>
      <c r="I6519" s="33"/>
      <c r="J6519" s="35">
        <v>15</v>
      </c>
      <c r="K6519" s="33"/>
      <c r="L6519" s="35">
        <v>10</v>
      </c>
      <c r="M6519" s="35">
        <v>10</v>
      </c>
      <c r="N6519" s="35">
        <v>10</v>
      </c>
      <c r="O6519" s="36">
        <v>411.26</v>
      </c>
      <c r="P6519" s="36">
        <v>337.1</v>
      </c>
      <c r="Q6519" s="36">
        <v>382.47</v>
      </c>
      <c r="R6519" s="36">
        <v>313.5</v>
      </c>
      <c r="S6519" s="36">
        <v>279.66000000000003</v>
      </c>
      <c r="T6519" s="36">
        <v>229.23</v>
      </c>
      <c r="U6519" s="34"/>
      <c r="V6519" s="34"/>
      <c r="W6519" s="34" t="s">
        <v>40</v>
      </c>
      <c r="X6519" s="37">
        <v>0.42599999999999999</v>
      </c>
      <c r="Y6519" s="38">
        <v>2.0000000000000001E-4</v>
      </c>
      <c r="Z6519" s="21">
        <v>4601004275898</v>
      </c>
    </row>
    <row r="6520" spans="1:26" ht="12" customHeight="1" outlineLevel="3" x14ac:dyDescent="0.2">
      <c r="A6520" s="32" t="s">
        <v>12572</v>
      </c>
      <c r="B6520" s="74" t="s">
        <v>12573</v>
      </c>
      <c r="C6520" s="50"/>
      <c r="D6520" s="53">
        <f t="shared" si="101"/>
        <v>0</v>
      </c>
      <c r="E6520" s="60" t="str">
        <f>HYPERLINK("https://www.sds-group.ru/product/shpilka-rezbovaya-din-975-m6h2000-10-sht-up-kranz-KR-01-3542-005/", "Инфо")</f>
        <v>Инфо</v>
      </c>
      <c r="F6520" s="34" t="s">
        <v>39</v>
      </c>
      <c r="G6520" s="33"/>
      <c r="H6520" s="33" t="s">
        <v>40</v>
      </c>
      <c r="I6520" s="33"/>
      <c r="J6520" s="35">
        <v>159</v>
      </c>
      <c r="K6520" s="33"/>
      <c r="L6520" s="35">
        <v>10</v>
      </c>
      <c r="M6520" s="35">
        <v>10</v>
      </c>
      <c r="N6520" s="35">
        <v>10</v>
      </c>
      <c r="O6520" s="36">
        <v>173.87</v>
      </c>
      <c r="P6520" s="36">
        <v>142.52000000000001</v>
      </c>
      <c r="Q6520" s="36">
        <v>161.69999999999999</v>
      </c>
      <c r="R6520" s="36">
        <v>132.54</v>
      </c>
      <c r="S6520" s="36">
        <v>118.23</v>
      </c>
      <c r="T6520" s="36">
        <v>96.91</v>
      </c>
      <c r="U6520" s="34"/>
      <c r="V6520" s="34"/>
      <c r="W6520" s="34" t="s">
        <v>40</v>
      </c>
      <c r="X6520" s="37">
        <v>0.222</v>
      </c>
      <c r="Y6520" s="38">
        <v>5.0000000000000002E-5</v>
      </c>
      <c r="Z6520" s="21">
        <v>4601004288003</v>
      </c>
    </row>
    <row r="6521" spans="1:26" ht="12" customHeight="1" outlineLevel="3" x14ac:dyDescent="0.2">
      <c r="A6521" s="32" t="s">
        <v>12574</v>
      </c>
      <c r="B6521" s="74" t="s">
        <v>12575</v>
      </c>
      <c r="C6521" s="50"/>
      <c r="D6521" s="53">
        <f t="shared" si="101"/>
        <v>0</v>
      </c>
      <c r="E6521" s="60" t="str">
        <f>HYPERLINK("https://www.sds-group.ru/product/shpilka-rezbovaya-din-975-m8h1000-10-sht-up-kranz-KR-01-3542-006/", "Инфо")</f>
        <v>Инфо</v>
      </c>
      <c r="F6521" s="34" t="s">
        <v>39</v>
      </c>
      <c r="G6521" s="33"/>
      <c r="H6521" s="33" t="s">
        <v>40</v>
      </c>
      <c r="I6521" s="33"/>
      <c r="J6521" s="35">
        <v>333</v>
      </c>
      <c r="K6521" s="33"/>
      <c r="L6521" s="35">
        <v>10</v>
      </c>
      <c r="M6521" s="35">
        <v>10</v>
      </c>
      <c r="N6521" s="35">
        <v>10</v>
      </c>
      <c r="O6521" s="36">
        <v>153.15</v>
      </c>
      <c r="P6521" s="36">
        <v>125.53</v>
      </c>
      <c r="Q6521" s="36">
        <v>142.43</v>
      </c>
      <c r="R6521" s="36">
        <v>116.75</v>
      </c>
      <c r="S6521" s="36">
        <v>104.14</v>
      </c>
      <c r="T6521" s="36">
        <v>85.36</v>
      </c>
      <c r="U6521" s="34"/>
      <c r="V6521" s="34"/>
      <c r="W6521" s="34" t="s">
        <v>40</v>
      </c>
      <c r="X6521" s="37">
        <v>0.19600000000000001</v>
      </c>
      <c r="Y6521" s="38">
        <v>5.0000000000000002E-5</v>
      </c>
      <c r="Z6521" s="21">
        <v>4601004234062</v>
      </c>
    </row>
    <row r="6522" spans="1:26" ht="12.95" customHeight="1" outlineLevel="1" x14ac:dyDescent="0.2">
      <c r="A6522" s="78" t="s">
        <v>12576</v>
      </c>
      <c r="B6522" s="78"/>
      <c r="C6522" s="79"/>
      <c r="D6522" s="57"/>
      <c r="E6522" s="67"/>
      <c r="F6522" s="12"/>
      <c r="G6522" s="12"/>
      <c r="H6522" s="12"/>
      <c r="I6522" s="12"/>
      <c r="J6522" s="12"/>
      <c r="K6522" s="12"/>
      <c r="L6522" s="12"/>
      <c r="M6522" s="12"/>
      <c r="N6522" s="12"/>
      <c r="O6522" s="12"/>
      <c r="P6522" s="12"/>
      <c r="Q6522" s="12"/>
      <c r="R6522" s="12"/>
      <c r="S6522" s="12"/>
      <c r="T6522" s="12"/>
      <c r="U6522" s="12"/>
      <c r="V6522" s="12"/>
      <c r="W6522" s="12"/>
      <c r="X6522" s="12"/>
      <c r="Y6522" s="12"/>
      <c r="Z6522" s="12"/>
    </row>
    <row r="6523" spans="1:26" ht="12.95" customHeight="1" outlineLevel="2" x14ac:dyDescent="0.2">
      <c r="A6523" s="76" t="s">
        <v>12577</v>
      </c>
      <c r="B6523" s="76"/>
      <c r="C6523" s="77"/>
      <c r="D6523" s="58"/>
      <c r="E6523" s="68"/>
      <c r="F6523" s="13"/>
      <c r="G6523" s="13"/>
      <c r="H6523" s="13"/>
      <c r="I6523" s="13"/>
      <c r="J6523" s="13"/>
      <c r="K6523" s="13"/>
      <c r="L6523" s="13"/>
      <c r="M6523" s="13"/>
      <c r="N6523" s="13"/>
      <c r="O6523" s="13"/>
      <c r="P6523" s="13"/>
      <c r="Q6523" s="13"/>
      <c r="R6523" s="13"/>
      <c r="S6523" s="13"/>
      <c r="T6523" s="13"/>
      <c r="U6523" s="13"/>
      <c r="V6523" s="13"/>
      <c r="W6523" s="13"/>
      <c r="X6523" s="13"/>
      <c r="Y6523" s="13"/>
      <c r="Z6523" s="13"/>
    </row>
    <row r="6524" spans="1:26" ht="12" customHeight="1" outlineLevel="3" x14ac:dyDescent="0.2">
      <c r="A6524" s="14" t="s">
        <v>12578</v>
      </c>
      <c r="B6524" s="26" t="s">
        <v>12579</v>
      </c>
      <c r="C6524" s="52"/>
      <c r="D6524" s="55">
        <f t="shared" si="101"/>
        <v>0</v>
      </c>
      <c r="E6524" s="63" t="str">
        <f>HYPERLINK("https://www.sds-group.ru/product/dyubel-raspornyy-10h50mm-siniy-polipropilen-paket-50-sht-up-kranz-KR-01-3618-015/", "Инфо")</f>
        <v>Инфо</v>
      </c>
      <c r="F6524" s="16" t="s">
        <v>1001</v>
      </c>
      <c r="G6524" s="15"/>
      <c r="H6524" s="15"/>
      <c r="I6524" s="15"/>
      <c r="J6524" s="17">
        <v>105</v>
      </c>
      <c r="K6524" s="15"/>
      <c r="L6524" s="17">
        <v>5</v>
      </c>
      <c r="M6524" s="17">
        <v>26</v>
      </c>
      <c r="N6524" s="17">
        <v>5</v>
      </c>
      <c r="O6524" s="18">
        <v>262.69</v>
      </c>
      <c r="P6524" s="18">
        <v>215.32</v>
      </c>
      <c r="Q6524" s="18">
        <v>244.3</v>
      </c>
      <c r="R6524" s="18">
        <v>200.25</v>
      </c>
      <c r="S6524" s="18">
        <v>178.63</v>
      </c>
      <c r="T6524" s="18">
        <v>146.41999999999999</v>
      </c>
      <c r="U6524" s="16"/>
      <c r="V6524" s="16"/>
      <c r="W6524" s="16" t="s">
        <v>40</v>
      </c>
      <c r="X6524" s="19">
        <v>0.154</v>
      </c>
      <c r="Y6524" s="20">
        <v>8.52E-4</v>
      </c>
      <c r="Z6524" s="21">
        <v>4601004237391</v>
      </c>
    </row>
    <row r="6525" spans="1:26" ht="12" customHeight="1" outlineLevel="3" x14ac:dyDescent="0.2">
      <c r="A6525" s="14" t="s">
        <v>12580</v>
      </c>
      <c r="B6525" s="26" t="s">
        <v>12581</v>
      </c>
      <c r="C6525" s="52"/>
      <c r="D6525" s="55">
        <f t="shared" si="101"/>
        <v>0</v>
      </c>
      <c r="E6525" s="63" t="str">
        <f>HYPERLINK("https://www.sds-group.ru/product/dyubel-raspornyy-10h60mm-siniy-polipropilen-paket-50-sht-up-kranz-KR-01-3618-016/", "Инфо")</f>
        <v>Инфо</v>
      </c>
      <c r="F6525" s="16" t="s">
        <v>1001</v>
      </c>
      <c r="G6525" s="15"/>
      <c r="H6525" s="15"/>
      <c r="I6525" s="15"/>
      <c r="J6525" s="17">
        <v>117</v>
      </c>
      <c r="K6525" s="15"/>
      <c r="L6525" s="17">
        <v>5</v>
      </c>
      <c r="M6525" s="17">
        <v>36</v>
      </c>
      <c r="N6525" s="17">
        <v>5</v>
      </c>
      <c r="O6525" s="18">
        <v>296.45999999999998</v>
      </c>
      <c r="P6525" s="18">
        <v>243</v>
      </c>
      <c r="Q6525" s="18">
        <v>275.70999999999998</v>
      </c>
      <c r="R6525" s="18">
        <v>225.99</v>
      </c>
      <c r="S6525" s="18">
        <v>201.59</v>
      </c>
      <c r="T6525" s="18">
        <v>165.24</v>
      </c>
      <c r="U6525" s="16"/>
      <c r="V6525" s="16"/>
      <c r="W6525" s="16" t="s">
        <v>40</v>
      </c>
      <c r="X6525" s="19">
        <v>0.17399999999999999</v>
      </c>
      <c r="Y6525" s="20">
        <v>8.9099999999999997E-4</v>
      </c>
      <c r="Z6525" s="21">
        <v>4601004237292</v>
      </c>
    </row>
    <row r="6526" spans="1:26" ht="12" customHeight="1" outlineLevel="3" x14ac:dyDescent="0.2">
      <c r="A6526" s="14" t="s">
        <v>12582</v>
      </c>
      <c r="B6526" s="26" t="s">
        <v>12583</v>
      </c>
      <c r="C6526" s="52"/>
      <c r="D6526" s="55">
        <f t="shared" si="101"/>
        <v>0</v>
      </c>
      <c r="E6526" s="63" t="str">
        <f>HYPERLINK("https://www.sds-group.ru/product/dyubel-raspornyy-12h60mm-siniy-polipropilen-paket-50-sht-up-kranz-KR-01-3618-018/", "Инфо")</f>
        <v>Инфо</v>
      </c>
      <c r="F6526" s="16" t="s">
        <v>1001</v>
      </c>
      <c r="G6526" s="15"/>
      <c r="H6526" s="15"/>
      <c r="I6526" s="15"/>
      <c r="J6526" s="17">
        <v>180</v>
      </c>
      <c r="K6526" s="15"/>
      <c r="L6526" s="17">
        <v>5</v>
      </c>
      <c r="M6526" s="17">
        <v>25</v>
      </c>
      <c r="N6526" s="17">
        <v>5</v>
      </c>
      <c r="O6526" s="18">
        <v>378.79</v>
      </c>
      <c r="P6526" s="18">
        <v>310.48</v>
      </c>
      <c r="Q6526" s="18">
        <v>352.27</v>
      </c>
      <c r="R6526" s="18">
        <v>288.75</v>
      </c>
      <c r="S6526" s="18">
        <v>257.58</v>
      </c>
      <c r="T6526" s="18">
        <v>211.13</v>
      </c>
      <c r="U6526" s="16"/>
      <c r="V6526" s="16"/>
      <c r="W6526" s="16" t="s">
        <v>40</v>
      </c>
      <c r="X6526" s="19">
        <v>0.25800000000000001</v>
      </c>
      <c r="Y6526" s="20">
        <v>1.305E-3</v>
      </c>
      <c r="Z6526" s="21">
        <v>4601004237308</v>
      </c>
    </row>
    <row r="6527" spans="1:26" ht="12" customHeight="1" outlineLevel="3" x14ac:dyDescent="0.2">
      <c r="A6527" s="14" t="s">
        <v>12584</v>
      </c>
      <c r="B6527" s="26" t="s">
        <v>12585</v>
      </c>
      <c r="C6527" s="52"/>
      <c r="D6527" s="55">
        <f t="shared" si="101"/>
        <v>0</v>
      </c>
      <c r="E6527" s="63" t="str">
        <f>HYPERLINK("https://www.sds-group.ru/product/dyubel-raspornyy-12h70mm-siniy-polipropilen-paket-50-sht-up-kranz-KR-01-3618-019/", "Инфо")</f>
        <v>Инфо</v>
      </c>
      <c r="F6527" s="16" t="s">
        <v>1001</v>
      </c>
      <c r="G6527" s="15"/>
      <c r="H6527" s="15"/>
      <c r="I6527" s="15"/>
      <c r="J6527" s="16" t="s">
        <v>100</v>
      </c>
      <c r="K6527" s="15"/>
      <c r="L6527" s="17">
        <v>5</v>
      </c>
      <c r="M6527" s="17">
        <v>25</v>
      </c>
      <c r="N6527" s="17">
        <v>5</v>
      </c>
      <c r="O6527" s="18">
        <v>435.09</v>
      </c>
      <c r="P6527" s="18">
        <v>356.63</v>
      </c>
      <c r="Q6527" s="18">
        <v>404.63</v>
      </c>
      <c r="R6527" s="18">
        <v>331.66</v>
      </c>
      <c r="S6527" s="18">
        <v>295.86</v>
      </c>
      <c r="T6527" s="18">
        <v>242.51</v>
      </c>
      <c r="U6527" s="16"/>
      <c r="V6527" s="16"/>
      <c r="W6527" s="16" t="s">
        <v>40</v>
      </c>
      <c r="X6527" s="19">
        <v>0.29299999999999998</v>
      </c>
      <c r="Y6527" s="20">
        <v>1.3129999999999999E-3</v>
      </c>
      <c r="Z6527" s="21">
        <v>4601004237285</v>
      </c>
    </row>
    <row r="6528" spans="1:26" ht="12" customHeight="1" outlineLevel="3" x14ac:dyDescent="0.2">
      <c r="A6528" s="14" t="s">
        <v>12586</v>
      </c>
      <c r="B6528" s="26" t="s">
        <v>12587</v>
      </c>
      <c r="C6528" s="52"/>
      <c r="D6528" s="55">
        <f t="shared" si="101"/>
        <v>0</v>
      </c>
      <c r="E6528" s="63" t="str">
        <f>HYPERLINK("https://www.sds-group.ru/product/dyubel-rasporniy-kranz-6h25-siniy-paket-50-sht-up-23058/", "Инфо")</f>
        <v>Инфо</v>
      </c>
      <c r="F6528" s="16" t="s">
        <v>1001</v>
      </c>
      <c r="G6528" s="15"/>
      <c r="H6528" s="15"/>
      <c r="I6528" s="15"/>
      <c r="J6528" s="17">
        <v>689</v>
      </c>
      <c r="K6528" s="15"/>
      <c r="L6528" s="17">
        <v>10</v>
      </c>
      <c r="M6528" s="17">
        <v>140</v>
      </c>
      <c r="N6528" s="17">
        <v>10</v>
      </c>
      <c r="O6528" s="18">
        <v>81.540000000000006</v>
      </c>
      <c r="P6528" s="18">
        <v>66.84</v>
      </c>
      <c r="Q6528" s="18">
        <v>75.83</v>
      </c>
      <c r="R6528" s="18">
        <v>62.16</v>
      </c>
      <c r="S6528" s="18">
        <v>55.45</v>
      </c>
      <c r="T6528" s="18">
        <v>45.45</v>
      </c>
      <c r="U6528" s="16"/>
      <c r="V6528" s="16"/>
      <c r="W6528" s="16" t="s">
        <v>40</v>
      </c>
      <c r="X6528" s="19">
        <v>2.9000000000000001E-2</v>
      </c>
      <c r="Y6528" s="20">
        <v>2.32E-4</v>
      </c>
      <c r="Z6528" s="21">
        <v>4601004237407</v>
      </c>
    </row>
    <row r="6529" spans="1:26" ht="12" customHeight="1" outlineLevel="3" x14ac:dyDescent="0.2">
      <c r="A6529" s="14" t="s">
        <v>12588</v>
      </c>
      <c r="B6529" s="26" t="s">
        <v>12589</v>
      </c>
      <c r="C6529" s="52"/>
      <c r="D6529" s="55">
        <f t="shared" si="101"/>
        <v>0</v>
      </c>
      <c r="E6529" s="63" t="str">
        <f>HYPERLINK("https://www.sds-group.ru/product/dyubel-raspornyy-6h30mm-siniy-polipropilen-paket-50-sht-up-kranz-KR-01-3618-005/", "Инфо")</f>
        <v>Инфо</v>
      </c>
      <c r="F6529" s="16" t="s">
        <v>1001</v>
      </c>
      <c r="G6529" s="15"/>
      <c r="H6529" s="15"/>
      <c r="I6529" s="15"/>
      <c r="J6529" s="17">
        <v>307</v>
      </c>
      <c r="K6529" s="15"/>
      <c r="L6529" s="17">
        <v>10</v>
      </c>
      <c r="M6529" s="22">
        <v>1000</v>
      </c>
      <c r="N6529" s="17">
        <v>10</v>
      </c>
      <c r="O6529" s="18">
        <v>85.21</v>
      </c>
      <c r="P6529" s="18">
        <v>69.84</v>
      </c>
      <c r="Q6529" s="18">
        <v>79.25</v>
      </c>
      <c r="R6529" s="18">
        <v>64.959999999999994</v>
      </c>
      <c r="S6529" s="18">
        <v>57.94</v>
      </c>
      <c r="T6529" s="18">
        <v>47.49</v>
      </c>
      <c r="U6529" s="16"/>
      <c r="V6529" s="16"/>
      <c r="W6529" s="16" t="s">
        <v>40</v>
      </c>
      <c r="X6529" s="19">
        <v>3.3000000000000002E-2</v>
      </c>
      <c r="Y6529" s="20">
        <v>2.2800000000000001E-4</v>
      </c>
      <c r="Z6529" s="21">
        <v>4601004237414</v>
      </c>
    </row>
    <row r="6530" spans="1:26" ht="12" customHeight="1" outlineLevel="3" x14ac:dyDescent="0.2">
      <c r="A6530" s="14" t="s">
        <v>12590</v>
      </c>
      <c r="B6530" s="26" t="s">
        <v>12591</v>
      </c>
      <c r="C6530" s="52"/>
      <c r="D6530" s="55">
        <f t="shared" si="101"/>
        <v>0</v>
      </c>
      <c r="E6530" s="63" t="str">
        <f>HYPERLINK("https://www.sds-group.ru/product/dyubel-raspornyy-6h35mm-siniy-polipropilen-paket-50-sht-up-kranz-KR-01-3618-006/", "Инфо")</f>
        <v>Инфо</v>
      </c>
      <c r="F6530" s="16" t="s">
        <v>1001</v>
      </c>
      <c r="G6530" s="15"/>
      <c r="H6530" s="15"/>
      <c r="I6530" s="15"/>
      <c r="J6530" s="17">
        <v>271</v>
      </c>
      <c r="K6530" s="15"/>
      <c r="L6530" s="17">
        <v>10</v>
      </c>
      <c r="M6530" s="17">
        <v>50</v>
      </c>
      <c r="N6530" s="17">
        <v>10</v>
      </c>
      <c r="O6530" s="18">
        <v>91.41</v>
      </c>
      <c r="P6530" s="18">
        <v>74.930000000000007</v>
      </c>
      <c r="Q6530" s="18">
        <v>85.01</v>
      </c>
      <c r="R6530" s="18">
        <v>69.680000000000007</v>
      </c>
      <c r="S6530" s="18">
        <v>62.16</v>
      </c>
      <c r="T6530" s="18">
        <v>50.95</v>
      </c>
      <c r="U6530" s="16"/>
      <c r="V6530" s="16"/>
      <c r="W6530" s="16" t="s">
        <v>40</v>
      </c>
      <c r="X6530" s="19">
        <v>4.2999999999999997E-2</v>
      </c>
      <c r="Y6530" s="20">
        <v>3.6099999999999999E-4</v>
      </c>
      <c r="Z6530" s="25"/>
    </row>
    <row r="6531" spans="1:26" ht="12" customHeight="1" outlineLevel="3" x14ac:dyDescent="0.2">
      <c r="A6531" s="14" t="s">
        <v>12592</v>
      </c>
      <c r="B6531" s="26" t="s">
        <v>12593</v>
      </c>
      <c r="C6531" s="52"/>
      <c r="D6531" s="55">
        <f t="shared" si="101"/>
        <v>0</v>
      </c>
      <c r="E6531" s="63" t="str">
        <f>HYPERLINK("https://www.sds-group.ru/product/dyubel-raspornyy-6h40mm-siniy-polipropilen-paket-100-sht-up-kranz-KR-01-3618-007/", "Инфо")</f>
        <v>Инфо</v>
      </c>
      <c r="F6531" s="16" t="s">
        <v>1001</v>
      </c>
      <c r="G6531" s="15"/>
      <c r="H6531" s="15"/>
      <c r="I6531" s="15"/>
      <c r="J6531" s="22">
        <v>1316</v>
      </c>
      <c r="K6531" s="15"/>
      <c r="L6531" s="17">
        <v>10</v>
      </c>
      <c r="M6531" s="17">
        <v>60</v>
      </c>
      <c r="N6531" s="17">
        <v>10</v>
      </c>
      <c r="O6531" s="18">
        <v>169.23</v>
      </c>
      <c r="P6531" s="18">
        <v>138.71</v>
      </c>
      <c r="Q6531" s="18">
        <v>157.38</v>
      </c>
      <c r="R6531" s="18">
        <v>129</v>
      </c>
      <c r="S6531" s="18">
        <v>115.08</v>
      </c>
      <c r="T6531" s="18">
        <v>94.33</v>
      </c>
      <c r="U6531" s="16"/>
      <c r="V6531" s="16"/>
      <c r="W6531" s="16" t="s">
        <v>40</v>
      </c>
      <c r="X6531" s="19">
        <v>0.08</v>
      </c>
      <c r="Y6531" s="20">
        <v>5.4900000000000001E-4</v>
      </c>
      <c r="Z6531" s="21">
        <v>4601004237445</v>
      </c>
    </row>
    <row r="6532" spans="1:26" ht="12" customHeight="1" outlineLevel="3" x14ac:dyDescent="0.2">
      <c r="A6532" s="14" t="s">
        <v>12594</v>
      </c>
      <c r="B6532" s="26" t="s">
        <v>12595</v>
      </c>
      <c r="C6532" s="52"/>
      <c r="D6532" s="55">
        <f t="shared" si="101"/>
        <v>0</v>
      </c>
      <c r="E6532" s="63" t="str">
        <f>HYPERLINK("https://www.sds-group.ru/product/dyubel-raspornyy-6h50mm-siniy-polipropilen-paket-50-sht-up-kranz-KR-01-3618-008/", "Инфо")</f>
        <v>Инфо</v>
      </c>
      <c r="F6532" s="16" t="s">
        <v>1001</v>
      </c>
      <c r="G6532" s="15"/>
      <c r="H6532" s="15"/>
      <c r="I6532" s="15"/>
      <c r="J6532" s="17">
        <v>258</v>
      </c>
      <c r="K6532" s="15"/>
      <c r="L6532" s="17">
        <v>20</v>
      </c>
      <c r="M6532" s="17">
        <v>90</v>
      </c>
      <c r="N6532" s="17">
        <v>20</v>
      </c>
      <c r="O6532" s="18">
        <v>111.15</v>
      </c>
      <c r="P6532" s="18">
        <v>91.11</v>
      </c>
      <c r="Q6532" s="18">
        <v>103.37</v>
      </c>
      <c r="R6532" s="18">
        <v>84.73</v>
      </c>
      <c r="S6532" s="18">
        <v>75.58</v>
      </c>
      <c r="T6532" s="18">
        <v>61.95</v>
      </c>
      <c r="U6532" s="16"/>
      <c r="V6532" s="16"/>
      <c r="W6532" s="16" t="s">
        <v>40</v>
      </c>
      <c r="X6532" s="19">
        <v>5.1999999999999998E-2</v>
      </c>
      <c r="Y6532" s="20">
        <v>3.6600000000000001E-4</v>
      </c>
      <c r="Z6532" s="21">
        <v>4601004237438</v>
      </c>
    </row>
    <row r="6533" spans="1:26" ht="12" customHeight="1" outlineLevel="3" x14ac:dyDescent="0.2">
      <c r="A6533" s="14" t="s">
        <v>12596</v>
      </c>
      <c r="B6533" s="26" t="s">
        <v>12597</v>
      </c>
      <c r="C6533" s="52"/>
      <c r="D6533" s="55">
        <f t="shared" si="101"/>
        <v>0</v>
      </c>
      <c r="E6533" s="63" t="str">
        <f>HYPERLINK("https://www.sds-group.ru/product/dyubel-raspornyy-6h60mm-siniy-polipropilen-paket-100-sht-up-kranz-KR-01-3618-009/", "Инфо")</f>
        <v>Инфо</v>
      </c>
      <c r="F6533" s="16" t="s">
        <v>1001</v>
      </c>
      <c r="G6533" s="15"/>
      <c r="H6533" s="15"/>
      <c r="I6533" s="15"/>
      <c r="J6533" s="17">
        <v>156</v>
      </c>
      <c r="K6533" s="15"/>
      <c r="L6533" s="17">
        <v>10</v>
      </c>
      <c r="M6533" s="17">
        <v>100</v>
      </c>
      <c r="N6533" s="17">
        <v>10</v>
      </c>
      <c r="O6533" s="18">
        <v>198.86</v>
      </c>
      <c r="P6533" s="18">
        <v>163</v>
      </c>
      <c r="Q6533" s="18">
        <v>184.94</v>
      </c>
      <c r="R6533" s="18">
        <v>151.59</v>
      </c>
      <c r="S6533" s="18">
        <v>135.22</v>
      </c>
      <c r="T6533" s="18">
        <v>110.84</v>
      </c>
      <c r="U6533" s="16"/>
      <c r="V6533" s="16"/>
      <c r="W6533" s="16" t="s">
        <v>40</v>
      </c>
      <c r="X6533" s="19">
        <v>0.114</v>
      </c>
      <c r="Y6533" s="20">
        <v>1.07E-3</v>
      </c>
      <c r="Z6533" s="21">
        <v>4601004237346</v>
      </c>
    </row>
    <row r="6534" spans="1:26" ht="12" customHeight="1" outlineLevel="3" x14ac:dyDescent="0.2">
      <c r="A6534" s="14" t="s">
        <v>12598</v>
      </c>
      <c r="B6534" s="26" t="s">
        <v>12599</v>
      </c>
      <c r="C6534" s="52"/>
      <c r="D6534" s="55">
        <f t="shared" si="101"/>
        <v>0</v>
      </c>
      <c r="E6534" s="63" t="str">
        <f>HYPERLINK("https://www.sds-group.ru/product/dyubel-raspornyy-8h30mm-siniy-polipropilen-paket-50-sht-up-kranz-KR-01-3618-010/", "Инфо")</f>
        <v>Инфо</v>
      </c>
      <c r="F6534" s="16" t="s">
        <v>1001</v>
      </c>
      <c r="G6534" s="15"/>
      <c r="H6534" s="15"/>
      <c r="I6534" s="15"/>
      <c r="J6534" s="17">
        <v>195</v>
      </c>
      <c r="K6534" s="15"/>
      <c r="L6534" s="17">
        <v>10</v>
      </c>
      <c r="M6534" s="17">
        <v>50</v>
      </c>
      <c r="N6534" s="17">
        <v>10</v>
      </c>
      <c r="O6534" s="18">
        <v>103.76</v>
      </c>
      <c r="P6534" s="18">
        <v>85.05</v>
      </c>
      <c r="Q6534" s="18">
        <v>96.5</v>
      </c>
      <c r="R6534" s="18">
        <v>79.099999999999994</v>
      </c>
      <c r="S6534" s="18">
        <v>70.56</v>
      </c>
      <c r="T6534" s="18">
        <v>57.84</v>
      </c>
      <c r="U6534" s="16"/>
      <c r="V6534" s="16"/>
      <c r="W6534" s="16" t="s">
        <v>40</v>
      </c>
      <c r="X6534" s="19">
        <v>5.3999999999999999E-2</v>
      </c>
      <c r="Y6534" s="20">
        <v>3.2499999999999999E-4</v>
      </c>
      <c r="Z6534" s="21">
        <v>4601004237353</v>
      </c>
    </row>
    <row r="6535" spans="1:26" ht="12" customHeight="1" outlineLevel="3" x14ac:dyDescent="0.2">
      <c r="A6535" s="14" t="s">
        <v>12600</v>
      </c>
      <c r="B6535" s="26" t="s">
        <v>12601</v>
      </c>
      <c r="C6535" s="52"/>
      <c r="D6535" s="55">
        <f t="shared" si="101"/>
        <v>0</v>
      </c>
      <c r="E6535" s="63" t="str">
        <f>HYPERLINK("https://www.sds-group.ru/product/dyubel-raspornyy-8h40mm-siniy-polipropilen-paket-50-sht-up-kranz-KR-01-3618-011/", "Инфо")</f>
        <v>Инфо</v>
      </c>
      <c r="F6535" s="16" t="s">
        <v>1001</v>
      </c>
      <c r="G6535" s="15"/>
      <c r="H6535" s="15"/>
      <c r="I6535" s="15"/>
      <c r="J6535" s="17">
        <v>145</v>
      </c>
      <c r="K6535" s="15"/>
      <c r="L6535" s="17">
        <v>10</v>
      </c>
      <c r="M6535" s="17">
        <v>80</v>
      </c>
      <c r="N6535" s="17">
        <v>10</v>
      </c>
      <c r="O6535" s="18">
        <v>117.35</v>
      </c>
      <c r="P6535" s="18">
        <v>96.19</v>
      </c>
      <c r="Q6535" s="18">
        <v>109.14</v>
      </c>
      <c r="R6535" s="18">
        <v>89.46</v>
      </c>
      <c r="S6535" s="18">
        <v>79.8</v>
      </c>
      <c r="T6535" s="18">
        <v>65.41</v>
      </c>
      <c r="U6535" s="16"/>
      <c r="V6535" s="16"/>
      <c r="W6535" s="16" t="s">
        <v>40</v>
      </c>
      <c r="X6535" s="19">
        <v>5.8000000000000003E-2</v>
      </c>
      <c r="Y6535" s="20">
        <v>3.86E-4</v>
      </c>
      <c r="Z6535" s="21">
        <v>4601004237360</v>
      </c>
    </row>
    <row r="6536" spans="1:26" ht="12" customHeight="1" outlineLevel="3" x14ac:dyDescent="0.2">
      <c r="A6536" s="14" t="s">
        <v>12602</v>
      </c>
      <c r="B6536" s="26" t="s">
        <v>12603</v>
      </c>
      <c r="C6536" s="52"/>
      <c r="D6536" s="55">
        <f t="shared" si="101"/>
        <v>0</v>
      </c>
      <c r="E6536" s="63" t="str">
        <f>HYPERLINK("https://www.sds-group.ru/product/dyubel-raspornyy-8h50mm-siniy-polipropilen-paket-50-sht-up-kranz-KR-01-3618-012/", "Инфо")</f>
        <v>Инфо</v>
      </c>
      <c r="F6536" s="16" t="s">
        <v>1001</v>
      </c>
      <c r="G6536" s="15"/>
      <c r="H6536" s="15"/>
      <c r="I6536" s="15"/>
      <c r="J6536" s="17">
        <v>402</v>
      </c>
      <c r="K6536" s="15"/>
      <c r="L6536" s="17">
        <v>10</v>
      </c>
      <c r="M6536" s="17">
        <v>60</v>
      </c>
      <c r="N6536" s="17">
        <v>10</v>
      </c>
      <c r="O6536" s="18">
        <v>139.57</v>
      </c>
      <c r="P6536" s="18">
        <v>114.4</v>
      </c>
      <c r="Q6536" s="18">
        <v>129.80000000000001</v>
      </c>
      <c r="R6536" s="18">
        <v>106.39</v>
      </c>
      <c r="S6536" s="18">
        <v>94.91</v>
      </c>
      <c r="T6536" s="18">
        <v>77.8</v>
      </c>
      <c r="U6536" s="16"/>
      <c r="V6536" s="16"/>
      <c r="W6536" s="16" t="s">
        <v>40</v>
      </c>
      <c r="X6536" s="19">
        <v>9.1999999999999998E-2</v>
      </c>
      <c r="Y6536" s="20">
        <v>5.4100000000000003E-4</v>
      </c>
      <c r="Z6536" s="21">
        <v>4601004237377</v>
      </c>
    </row>
    <row r="6537" spans="1:26" ht="12" customHeight="1" outlineLevel="3" x14ac:dyDescent="0.2">
      <c r="A6537" s="14" t="s">
        <v>12604</v>
      </c>
      <c r="B6537" s="26" t="s">
        <v>12605</v>
      </c>
      <c r="C6537" s="52"/>
      <c r="D6537" s="55">
        <f t="shared" ref="D6537:D6600" si="102">C6537*(O6537-O6537*$G$3)</f>
        <v>0</v>
      </c>
      <c r="E6537" s="63" t="str">
        <f>HYPERLINK("https://www.sds-group.ru/product/dyubel-raspornyy-8h60mm-siniy-polipropilen-paket-50-sht-up-kranz-KR-01-3618-013/", "Инфо")</f>
        <v>Инфо</v>
      </c>
      <c r="F6537" s="16" t="s">
        <v>1001</v>
      </c>
      <c r="G6537" s="15"/>
      <c r="H6537" s="15"/>
      <c r="I6537" s="15"/>
      <c r="J6537" s="17">
        <v>77</v>
      </c>
      <c r="K6537" s="15"/>
      <c r="L6537" s="17">
        <v>10</v>
      </c>
      <c r="M6537" s="17">
        <v>30</v>
      </c>
      <c r="N6537" s="17">
        <v>10</v>
      </c>
      <c r="O6537" s="18">
        <v>166.75</v>
      </c>
      <c r="P6537" s="18">
        <v>136.68</v>
      </c>
      <c r="Q6537" s="18">
        <v>155.08000000000001</v>
      </c>
      <c r="R6537" s="18">
        <v>127.11</v>
      </c>
      <c r="S6537" s="18">
        <v>113.39</v>
      </c>
      <c r="T6537" s="18">
        <v>92.94</v>
      </c>
      <c r="U6537" s="16"/>
      <c r="V6537" s="16"/>
      <c r="W6537" s="16" t="s">
        <v>40</v>
      </c>
      <c r="X6537" s="19">
        <v>0.11</v>
      </c>
      <c r="Y6537" s="20">
        <v>8.6300000000000005E-4</v>
      </c>
      <c r="Z6537" s="21">
        <v>4601004237384</v>
      </c>
    </row>
    <row r="6538" spans="1:26" ht="12" customHeight="1" outlineLevel="3" x14ac:dyDescent="0.2">
      <c r="A6538" s="14" t="s">
        <v>12606</v>
      </c>
      <c r="B6538" s="26" t="s">
        <v>12607</v>
      </c>
      <c r="C6538" s="52"/>
      <c r="D6538" s="55">
        <f t="shared" si="102"/>
        <v>0</v>
      </c>
      <c r="E6538" s="63" t="str">
        <f>HYPERLINK("https://www.sds-group.ru/product/dyubel-raspornyy-8h80mm-siniy-polipropilen-paket-50-sht-up-kranz-KR-01-3618-014/", "Инфо")</f>
        <v>Инфо</v>
      </c>
      <c r="F6538" s="16" t="s">
        <v>1001</v>
      </c>
      <c r="G6538" s="15"/>
      <c r="H6538" s="15"/>
      <c r="I6538" s="15"/>
      <c r="J6538" s="17">
        <v>68</v>
      </c>
      <c r="K6538" s="15"/>
      <c r="L6538" s="17">
        <v>5</v>
      </c>
      <c r="M6538" s="17">
        <v>50</v>
      </c>
      <c r="N6538" s="17">
        <v>5</v>
      </c>
      <c r="O6538" s="18">
        <v>216.44</v>
      </c>
      <c r="P6538" s="18">
        <v>177.41</v>
      </c>
      <c r="Q6538" s="18">
        <v>201.29</v>
      </c>
      <c r="R6538" s="18">
        <v>164.99</v>
      </c>
      <c r="S6538" s="18">
        <v>147.18</v>
      </c>
      <c r="T6538" s="18">
        <v>120.64</v>
      </c>
      <c r="U6538" s="16"/>
      <c r="V6538" s="16"/>
      <c r="W6538" s="16" t="s">
        <v>40</v>
      </c>
      <c r="X6538" s="19">
        <v>0.14099999999999999</v>
      </c>
      <c r="Y6538" s="20">
        <v>1.0950000000000001E-3</v>
      </c>
      <c r="Z6538" s="21">
        <v>4601004237315</v>
      </c>
    </row>
    <row r="6539" spans="1:26" ht="12.95" customHeight="1" outlineLevel="2" x14ac:dyDescent="0.2">
      <c r="A6539" s="76" t="s">
        <v>12608</v>
      </c>
      <c r="B6539" s="76"/>
      <c r="C6539" s="77"/>
      <c r="D6539" s="58"/>
      <c r="E6539" s="68"/>
      <c r="F6539" s="13"/>
      <c r="G6539" s="13"/>
      <c r="H6539" s="13"/>
      <c r="I6539" s="13"/>
      <c r="J6539" s="13"/>
      <c r="K6539" s="13"/>
      <c r="L6539" s="13"/>
      <c r="M6539" s="13"/>
      <c r="N6539" s="13"/>
      <c r="O6539" s="13"/>
      <c r="P6539" s="13"/>
      <c r="Q6539" s="13"/>
      <c r="R6539" s="13"/>
      <c r="S6539" s="13"/>
      <c r="T6539" s="13"/>
      <c r="U6539" s="13"/>
      <c r="V6539" s="13"/>
      <c r="W6539" s="13"/>
      <c r="X6539" s="13"/>
      <c r="Y6539" s="13"/>
      <c r="Z6539" s="13"/>
    </row>
    <row r="6540" spans="1:26" ht="12" customHeight="1" outlineLevel="3" x14ac:dyDescent="0.2">
      <c r="A6540" s="14" t="s">
        <v>12609</v>
      </c>
      <c r="B6540" s="26" t="s">
        <v>12610</v>
      </c>
      <c r="C6540" s="52"/>
      <c r="D6540" s="55">
        <f t="shared" si="102"/>
        <v>0</v>
      </c>
      <c r="E6540" s="63" t="str">
        <f>HYPERLINK("https://www.sds-group.ru/product/dyubel-raspornyy-10h60mm-seryy-neylon-paket-100-sht-up-kranz-KR-01-3619-016/", "Инфо")</f>
        <v>Инфо</v>
      </c>
      <c r="F6540" s="16" t="s">
        <v>1001</v>
      </c>
      <c r="G6540" s="15"/>
      <c r="H6540" s="15"/>
      <c r="I6540" s="15"/>
      <c r="J6540" s="17">
        <v>29</v>
      </c>
      <c r="K6540" s="15"/>
      <c r="L6540" s="17">
        <v>5</v>
      </c>
      <c r="M6540" s="17">
        <v>7</v>
      </c>
      <c r="N6540" s="17">
        <v>5</v>
      </c>
      <c r="O6540" s="18">
        <v>591.38</v>
      </c>
      <c r="P6540" s="18">
        <v>484.74</v>
      </c>
      <c r="Q6540" s="18">
        <v>514.5</v>
      </c>
      <c r="R6540" s="18">
        <v>421.72</v>
      </c>
      <c r="S6540" s="18">
        <v>402.14</v>
      </c>
      <c r="T6540" s="18">
        <v>329.62</v>
      </c>
      <c r="U6540" s="16"/>
      <c r="V6540" s="16"/>
      <c r="W6540" s="16" t="s">
        <v>40</v>
      </c>
      <c r="X6540" s="19">
        <v>0.28000000000000003</v>
      </c>
      <c r="Y6540" s="20">
        <v>1.2509999999999999E-3</v>
      </c>
      <c r="Z6540" s="21">
        <v>4601004297869</v>
      </c>
    </row>
    <row r="6541" spans="1:26" ht="12" customHeight="1" outlineLevel="3" x14ac:dyDescent="0.2">
      <c r="A6541" s="14" t="s">
        <v>12611</v>
      </c>
      <c r="B6541" s="26" t="s">
        <v>12612</v>
      </c>
      <c r="C6541" s="52"/>
      <c r="D6541" s="55">
        <f t="shared" si="102"/>
        <v>0</v>
      </c>
      <c r="E6541" s="63" t="str">
        <f>HYPERLINK("https://www.sds-group.ru/product/dyubel-raspornyy-6h30mm-seryy-neylon-paket-100-sht-up-kranz-KR-01-3619-005/", "Инфо")</f>
        <v>Инфо</v>
      </c>
      <c r="F6541" s="16" t="s">
        <v>1001</v>
      </c>
      <c r="G6541" s="15"/>
      <c r="H6541" s="15"/>
      <c r="I6541" s="15"/>
      <c r="J6541" s="17">
        <v>123</v>
      </c>
      <c r="K6541" s="15" t="s">
        <v>6556</v>
      </c>
      <c r="L6541" s="17">
        <v>5</v>
      </c>
      <c r="M6541" s="17">
        <v>25</v>
      </c>
      <c r="N6541" s="17">
        <v>5</v>
      </c>
      <c r="O6541" s="18">
        <v>214.22</v>
      </c>
      <c r="P6541" s="18">
        <v>175.59</v>
      </c>
      <c r="Q6541" s="18">
        <v>199.22</v>
      </c>
      <c r="R6541" s="18">
        <v>163.30000000000001</v>
      </c>
      <c r="S6541" s="18">
        <v>145.66999999999999</v>
      </c>
      <c r="T6541" s="18">
        <v>119.4</v>
      </c>
      <c r="U6541" s="16"/>
      <c r="V6541" s="16"/>
      <c r="W6541" s="16" t="s">
        <v>40</v>
      </c>
      <c r="X6541" s="19">
        <v>4.9000000000000002E-2</v>
      </c>
      <c r="Y6541" s="20">
        <v>3.4400000000000001E-4</v>
      </c>
      <c r="Z6541" s="21">
        <v>4601004297838</v>
      </c>
    </row>
    <row r="6542" spans="1:26" ht="12" customHeight="1" outlineLevel="3" x14ac:dyDescent="0.2">
      <c r="A6542" s="14" t="s">
        <v>12613</v>
      </c>
      <c r="B6542" s="26" t="s">
        <v>12614</v>
      </c>
      <c r="C6542" s="52"/>
      <c r="D6542" s="55">
        <f t="shared" si="102"/>
        <v>0</v>
      </c>
      <c r="E6542" s="63" t="str">
        <f>HYPERLINK("https://www.sds-group.ru/product/dyubel-raspornyy-8h40mm-seryy-neylon-paket-100-sht-up-kranz-KR-01-3619-011/", "Инфо")</f>
        <v>Инфо</v>
      </c>
      <c r="F6542" s="16" t="s">
        <v>1001</v>
      </c>
      <c r="G6542" s="15"/>
      <c r="H6542" s="15"/>
      <c r="I6542" s="15"/>
      <c r="J6542" s="17">
        <v>272</v>
      </c>
      <c r="K6542" s="15" t="s">
        <v>6556</v>
      </c>
      <c r="L6542" s="17">
        <v>5</v>
      </c>
      <c r="M6542" s="17">
        <v>15</v>
      </c>
      <c r="N6542" s="17">
        <v>5</v>
      </c>
      <c r="O6542" s="18">
        <v>273.10000000000002</v>
      </c>
      <c r="P6542" s="18">
        <v>223.85</v>
      </c>
      <c r="Q6542" s="18">
        <v>253.98</v>
      </c>
      <c r="R6542" s="18">
        <v>208.18</v>
      </c>
      <c r="S6542" s="18">
        <v>185.71</v>
      </c>
      <c r="T6542" s="18">
        <v>152.22</v>
      </c>
      <c r="U6542" s="16"/>
      <c r="V6542" s="16"/>
      <c r="W6542" s="16" t="s">
        <v>40</v>
      </c>
      <c r="X6542" s="19">
        <v>0.112</v>
      </c>
      <c r="Y6542" s="20">
        <v>5.8600000000000004E-4</v>
      </c>
      <c r="Z6542" s="21">
        <v>4601004297845</v>
      </c>
    </row>
    <row r="6543" spans="1:26" ht="12" customHeight="1" outlineLevel="3" x14ac:dyDescent="0.2">
      <c r="A6543" s="14" t="s">
        <v>12615</v>
      </c>
      <c r="B6543" s="26" t="s">
        <v>12616</v>
      </c>
      <c r="C6543" s="52"/>
      <c r="D6543" s="55">
        <f t="shared" si="102"/>
        <v>0</v>
      </c>
      <c r="E6543" s="63" t="str">
        <f>HYPERLINK("https://www.sds-group.ru/product/dyubel-raspornyy-8h50mm-seryy-neylon-paket-100-sht-up-kranz-KR-01-3619-012/", "Инфо")</f>
        <v>Инфо</v>
      </c>
      <c r="F6543" s="16" t="s">
        <v>1001</v>
      </c>
      <c r="G6543" s="15"/>
      <c r="H6543" s="15"/>
      <c r="I6543" s="15"/>
      <c r="J6543" s="16" t="s">
        <v>100</v>
      </c>
      <c r="K6543" s="15" t="s">
        <v>1888</v>
      </c>
      <c r="L6543" s="17">
        <v>5</v>
      </c>
      <c r="M6543" s="17">
        <v>12</v>
      </c>
      <c r="N6543" s="17">
        <v>5</v>
      </c>
      <c r="O6543" s="18">
        <v>302.97000000000003</v>
      </c>
      <c r="P6543" s="18">
        <v>248.34</v>
      </c>
      <c r="Q6543" s="18">
        <v>281.76</v>
      </c>
      <c r="R6543" s="18">
        <v>230.95</v>
      </c>
      <c r="S6543" s="18">
        <v>206.02</v>
      </c>
      <c r="T6543" s="18">
        <v>168.87</v>
      </c>
      <c r="U6543" s="16"/>
      <c r="V6543" s="16"/>
      <c r="W6543" s="16" t="s">
        <v>40</v>
      </c>
      <c r="X6543" s="19">
        <v>0.13900000000000001</v>
      </c>
      <c r="Y6543" s="20">
        <v>7.2800000000000002E-4</v>
      </c>
      <c r="Z6543" s="21">
        <v>4601004297852</v>
      </c>
    </row>
    <row r="6544" spans="1:26" ht="12.95" customHeight="1" outlineLevel="2" x14ac:dyDescent="0.2">
      <c r="A6544" s="76" t="s">
        <v>12617</v>
      </c>
      <c r="B6544" s="76"/>
      <c r="C6544" s="77"/>
      <c r="D6544" s="58"/>
      <c r="E6544" s="68"/>
      <c r="F6544" s="13"/>
      <c r="G6544" s="13"/>
      <c r="H6544" s="13"/>
      <c r="I6544" s="13"/>
      <c r="J6544" s="13"/>
      <c r="K6544" s="13"/>
      <c r="L6544" s="13"/>
      <c r="M6544" s="13"/>
      <c r="N6544" s="13"/>
      <c r="O6544" s="13"/>
      <c r="P6544" s="13"/>
      <c r="Q6544" s="13"/>
      <c r="R6544" s="13"/>
      <c r="S6544" s="13"/>
      <c r="T6544" s="13"/>
      <c r="U6544" s="13"/>
      <c r="V6544" s="13"/>
      <c r="W6544" s="13"/>
      <c r="X6544" s="13"/>
      <c r="Y6544" s="13"/>
      <c r="Z6544" s="13"/>
    </row>
    <row r="6545" spans="1:26" ht="12" customHeight="1" outlineLevel="3" x14ac:dyDescent="0.2">
      <c r="A6545" s="14" t="s">
        <v>12618</v>
      </c>
      <c r="B6545" s="26" t="s">
        <v>12619</v>
      </c>
      <c r="C6545" s="52"/>
      <c r="D6545" s="55">
        <f t="shared" si="102"/>
        <v>0</v>
      </c>
      <c r="E6545" s="63" t="str">
        <f>HYPERLINK("https://www.sds-group.ru/product/dyubel-gvozd-gribovidnyy-bortik-polipropilen-6h40mm-paket-100-sht-up-kranz-KR-02-3621-001/", "Инфо")</f>
        <v>Инфо</v>
      </c>
      <c r="F6545" s="16" t="s">
        <v>1001</v>
      </c>
      <c r="G6545" s="15"/>
      <c r="H6545" s="15"/>
      <c r="I6545" s="15"/>
      <c r="J6545" s="22">
        <v>2123</v>
      </c>
      <c r="K6545" s="15"/>
      <c r="L6545" s="17">
        <v>5</v>
      </c>
      <c r="M6545" s="17">
        <v>40</v>
      </c>
      <c r="N6545" s="17">
        <v>5</v>
      </c>
      <c r="O6545" s="18">
        <v>287.33</v>
      </c>
      <c r="P6545" s="18">
        <v>235.52</v>
      </c>
      <c r="Q6545" s="18">
        <v>267.22000000000003</v>
      </c>
      <c r="R6545" s="18">
        <v>219.03</v>
      </c>
      <c r="S6545" s="18">
        <v>195.38</v>
      </c>
      <c r="T6545" s="18">
        <v>160.15</v>
      </c>
      <c r="U6545" s="16"/>
      <c r="V6545" s="16"/>
      <c r="W6545" s="16" t="s">
        <v>40</v>
      </c>
      <c r="X6545" s="19">
        <v>0.316</v>
      </c>
      <c r="Y6545" s="20">
        <v>7.9600000000000005E-4</v>
      </c>
      <c r="Z6545" s="21">
        <v>4601004237452</v>
      </c>
    </row>
    <row r="6546" spans="1:26" ht="12" customHeight="1" outlineLevel="3" x14ac:dyDescent="0.2">
      <c r="A6546" s="14" t="s">
        <v>12620</v>
      </c>
      <c r="B6546" s="26" t="s">
        <v>12621</v>
      </c>
      <c r="C6546" s="52"/>
      <c r="D6546" s="55">
        <f t="shared" si="102"/>
        <v>0</v>
      </c>
      <c r="E6546" s="63" t="str">
        <f>HYPERLINK("https://www.sds-group.ru/product/dyubel-gvozd-potaynoy-bortik-polipropilen-10h100mm-korob-50-sht-up-kranz-KR-01-3621-0016/", "Инфо")</f>
        <v>Инфо</v>
      </c>
      <c r="F6546" s="16" t="s">
        <v>1001</v>
      </c>
      <c r="G6546" s="15"/>
      <c r="H6546" s="15"/>
      <c r="I6546" s="15"/>
      <c r="J6546" s="17">
        <v>96</v>
      </c>
      <c r="K6546" s="15"/>
      <c r="L6546" s="17">
        <v>1</v>
      </c>
      <c r="M6546" s="17">
        <v>6</v>
      </c>
      <c r="N6546" s="17">
        <v>1</v>
      </c>
      <c r="O6546" s="18">
        <v>1619.19</v>
      </c>
      <c r="P6546" s="18">
        <v>1327.2</v>
      </c>
      <c r="Q6546" s="18">
        <v>1392.5</v>
      </c>
      <c r="R6546" s="18">
        <v>1141.3900000000001</v>
      </c>
      <c r="S6546" s="18">
        <v>1101.05</v>
      </c>
      <c r="T6546" s="18">
        <v>902.5</v>
      </c>
      <c r="U6546" s="16"/>
      <c r="V6546" s="16"/>
      <c r="W6546" s="16" t="s">
        <v>40</v>
      </c>
      <c r="X6546" s="19">
        <v>1.296</v>
      </c>
      <c r="Y6546" s="20">
        <v>2.2880000000000001E-3</v>
      </c>
      <c r="Z6546" s="21">
        <v>4601004234741</v>
      </c>
    </row>
    <row r="6547" spans="1:26" ht="12" customHeight="1" outlineLevel="3" x14ac:dyDescent="0.2">
      <c r="A6547" s="14" t="s">
        <v>12622</v>
      </c>
      <c r="B6547" s="26" t="s">
        <v>12623</v>
      </c>
      <c r="C6547" s="52"/>
      <c r="D6547" s="55">
        <f t="shared" si="102"/>
        <v>0</v>
      </c>
      <c r="E6547" s="63" t="str">
        <f>HYPERLINK("https://www.sds-group.ru/product/dyubel-gvozd-potaynoy-bortik-polipropilen-6h40mm-paket-100-sht-up-kranz-KR-01-3621-007/", "Инфо")</f>
        <v>Инфо</v>
      </c>
      <c r="F6547" s="16" t="s">
        <v>1001</v>
      </c>
      <c r="G6547" s="15"/>
      <c r="H6547" s="15"/>
      <c r="I6547" s="15"/>
      <c r="J6547" s="17">
        <v>938</v>
      </c>
      <c r="K6547" s="15"/>
      <c r="L6547" s="17">
        <v>5</v>
      </c>
      <c r="M6547" s="17">
        <v>30</v>
      </c>
      <c r="N6547" s="17">
        <v>5</v>
      </c>
      <c r="O6547" s="18">
        <v>321.29000000000002</v>
      </c>
      <c r="P6547" s="18">
        <v>263.35000000000002</v>
      </c>
      <c r="Q6547" s="18">
        <v>298.8</v>
      </c>
      <c r="R6547" s="18">
        <v>244.92</v>
      </c>
      <c r="S6547" s="18">
        <v>218.48</v>
      </c>
      <c r="T6547" s="18">
        <v>179.08</v>
      </c>
      <c r="U6547" s="16"/>
      <c r="V6547" s="16"/>
      <c r="W6547" s="16" t="s">
        <v>40</v>
      </c>
      <c r="X6547" s="19">
        <v>0.28399999999999997</v>
      </c>
      <c r="Y6547" s="20">
        <v>1.4649999999999999E-3</v>
      </c>
      <c r="Z6547" s="21">
        <v>4601004269521</v>
      </c>
    </row>
    <row r="6548" spans="1:26" ht="12" customHeight="1" outlineLevel="3" x14ac:dyDescent="0.2">
      <c r="A6548" s="14" t="s">
        <v>12624</v>
      </c>
      <c r="B6548" s="26" t="s">
        <v>12625</v>
      </c>
      <c r="C6548" s="52"/>
      <c r="D6548" s="55">
        <f t="shared" si="102"/>
        <v>0</v>
      </c>
      <c r="E6548" s="63" t="str">
        <f>HYPERLINK("https://www.sds-group.ru/product/dyubel-gvozd-potaynoy-bortik-polipropilen-6h60mm-paket-100-sht-up-kranz-KR-01-3621-008/", "Инфо")</f>
        <v>Инфо</v>
      </c>
      <c r="F6548" s="16" t="s">
        <v>1001</v>
      </c>
      <c r="G6548" s="15"/>
      <c r="H6548" s="15"/>
      <c r="I6548" s="15"/>
      <c r="J6548" s="17">
        <v>915</v>
      </c>
      <c r="K6548" s="15"/>
      <c r="L6548" s="17">
        <v>5</v>
      </c>
      <c r="M6548" s="17">
        <v>6</v>
      </c>
      <c r="N6548" s="17">
        <v>5</v>
      </c>
      <c r="O6548" s="18">
        <v>341.14</v>
      </c>
      <c r="P6548" s="18">
        <v>279.62</v>
      </c>
      <c r="Q6548" s="18">
        <v>317.26</v>
      </c>
      <c r="R6548" s="18">
        <v>260.05</v>
      </c>
      <c r="S6548" s="18">
        <v>231.98</v>
      </c>
      <c r="T6548" s="18">
        <v>190.15</v>
      </c>
      <c r="U6548" s="16"/>
      <c r="V6548" s="16"/>
      <c r="W6548" s="16" t="s">
        <v>40</v>
      </c>
      <c r="X6548" s="19">
        <v>0.46700000000000003</v>
      </c>
      <c r="Y6548" s="20">
        <v>1.253E-3</v>
      </c>
      <c r="Z6548" s="21">
        <v>4601004269514</v>
      </c>
    </row>
    <row r="6549" spans="1:26" ht="12" customHeight="1" outlineLevel="3" x14ac:dyDescent="0.2">
      <c r="A6549" s="32" t="s">
        <v>12626</v>
      </c>
      <c r="B6549" s="74" t="s">
        <v>12627</v>
      </c>
      <c r="C6549" s="50"/>
      <c r="D6549" s="53">
        <f t="shared" si="102"/>
        <v>0</v>
      </c>
      <c r="E6549" s="60" t="str">
        <f>HYPERLINK("https://www.sds-group.ru/product/dyubel-gvozd-potaynoy-bortik-polipropilen-8h100mm-korob-100-sht-up-kranz-KR-01-3621-0012/", "Инфо")</f>
        <v>Инфо</v>
      </c>
      <c r="F6549" s="34" t="s">
        <v>1001</v>
      </c>
      <c r="G6549" s="33"/>
      <c r="H6549" s="33" t="s">
        <v>40</v>
      </c>
      <c r="I6549" s="33"/>
      <c r="J6549" s="35">
        <v>208</v>
      </c>
      <c r="K6549" s="33"/>
      <c r="L6549" s="35">
        <v>1</v>
      </c>
      <c r="M6549" s="35">
        <v>6</v>
      </c>
      <c r="N6549" s="35">
        <v>1</v>
      </c>
      <c r="O6549" s="36">
        <v>916.84</v>
      </c>
      <c r="P6549" s="36">
        <v>751.51</v>
      </c>
      <c r="Q6549" s="36">
        <v>641.79</v>
      </c>
      <c r="R6549" s="36">
        <v>526.05999999999995</v>
      </c>
      <c r="S6549" s="36">
        <v>623.45000000000005</v>
      </c>
      <c r="T6549" s="36">
        <v>511.02</v>
      </c>
      <c r="U6549" s="34"/>
      <c r="V6549" s="34"/>
      <c r="W6549" s="34"/>
      <c r="X6549" s="37">
        <v>1.2629999999999999</v>
      </c>
      <c r="Y6549" s="38">
        <v>2.3140000000000001E-3</v>
      </c>
      <c r="Z6549" s="21">
        <v>4601004234758</v>
      </c>
    </row>
    <row r="6550" spans="1:26" ht="12" customHeight="1" outlineLevel="3" x14ac:dyDescent="0.2">
      <c r="A6550" s="32" t="s">
        <v>12628</v>
      </c>
      <c r="B6550" s="74" t="s">
        <v>12629</v>
      </c>
      <c r="C6550" s="50"/>
      <c r="D6550" s="53">
        <f t="shared" si="102"/>
        <v>0</v>
      </c>
      <c r="E6550" s="60" t="str">
        <f>HYPERLINK("https://www.sds-group.ru/product/dyubel-gvozd-potaynoy-bortik-polipropilen-8h120mm-korob-100-sht-up-kranz-KR-01-3621-0013/", "Инфо")</f>
        <v>Инфо</v>
      </c>
      <c r="F6550" s="34" t="s">
        <v>1001</v>
      </c>
      <c r="G6550" s="33"/>
      <c r="H6550" s="33" t="s">
        <v>40</v>
      </c>
      <c r="I6550" s="33"/>
      <c r="J6550" s="35">
        <v>416</v>
      </c>
      <c r="K6550" s="33"/>
      <c r="L6550" s="35">
        <v>1</v>
      </c>
      <c r="M6550" s="35">
        <v>6</v>
      </c>
      <c r="N6550" s="35">
        <v>1</v>
      </c>
      <c r="O6550" s="36">
        <v>756.68</v>
      </c>
      <c r="P6550" s="36">
        <v>620.23</v>
      </c>
      <c r="Q6550" s="36">
        <v>529.67999999999995</v>
      </c>
      <c r="R6550" s="36">
        <v>434.16</v>
      </c>
      <c r="S6550" s="36">
        <v>514.54</v>
      </c>
      <c r="T6550" s="36">
        <v>421.75</v>
      </c>
      <c r="U6550" s="34"/>
      <c r="V6550" s="34"/>
      <c r="W6550" s="34"/>
      <c r="X6550" s="37">
        <v>1.5349999999999999</v>
      </c>
      <c r="Y6550" s="38">
        <v>2.2590000000000002E-3</v>
      </c>
      <c r="Z6550" s="21">
        <v>4601004234765</v>
      </c>
    </row>
    <row r="6551" spans="1:26" ht="12.95" customHeight="1" outlineLevel="2" x14ac:dyDescent="0.2">
      <c r="A6551" s="76" t="s">
        <v>12630</v>
      </c>
      <c r="B6551" s="76"/>
      <c r="C6551" s="77"/>
      <c r="D6551" s="58"/>
      <c r="E6551" s="68"/>
      <c r="F6551" s="13"/>
      <c r="G6551" s="13"/>
      <c r="H6551" s="13"/>
      <c r="I6551" s="13"/>
      <c r="J6551" s="13"/>
      <c r="K6551" s="13"/>
      <c r="L6551" s="13"/>
      <c r="M6551" s="13"/>
      <c r="N6551" s="13"/>
      <c r="O6551" s="13"/>
      <c r="P6551" s="13"/>
      <c r="Q6551" s="13"/>
      <c r="R6551" s="13"/>
      <c r="S6551" s="13"/>
      <c r="T6551" s="13"/>
      <c r="U6551" s="13"/>
      <c r="V6551" s="13"/>
      <c r="W6551" s="13"/>
      <c r="X6551" s="13"/>
      <c r="Y6551" s="13"/>
      <c r="Z6551" s="13"/>
    </row>
    <row r="6552" spans="1:26" ht="12" customHeight="1" outlineLevel="3" x14ac:dyDescent="0.2">
      <c r="A6552" s="32" t="s">
        <v>12631</v>
      </c>
      <c r="B6552" s="74" t="s">
        <v>12632</v>
      </c>
      <c r="C6552" s="50"/>
      <c r="D6552" s="53">
        <f t="shared" si="102"/>
        <v>0</v>
      </c>
      <c r="E6552" s="60" t="str">
        <f>HYPERLINK("https://www.sds-group.ru/product/dyubel-s-polukoltsom-10mm-korob-50-sht-up-kranz-KR-01-3641-006/", "Инфо")</f>
        <v>Инфо</v>
      </c>
      <c r="F6552" s="34" t="s">
        <v>1001</v>
      </c>
      <c r="G6552" s="33"/>
      <c r="H6552" s="33" t="s">
        <v>40</v>
      </c>
      <c r="I6552" s="33"/>
      <c r="J6552" s="35">
        <v>88</v>
      </c>
      <c r="K6552" s="33"/>
      <c r="L6552" s="35">
        <v>1</v>
      </c>
      <c r="M6552" s="35">
        <v>6</v>
      </c>
      <c r="N6552" s="35">
        <v>1</v>
      </c>
      <c r="O6552" s="36">
        <v>952.06</v>
      </c>
      <c r="P6552" s="36">
        <v>780.38</v>
      </c>
      <c r="Q6552" s="36">
        <v>666.44</v>
      </c>
      <c r="R6552" s="36">
        <v>546.26</v>
      </c>
      <c r="S6552" s="36">
        <v>647.4</v>
      </c>
      <c r="T6552" s="36">
        <v>530.66</v>
      </c>
      <c r="U6552" s="34"/>
      <c r="V6552" s="34"/>
      <c r="W6552" s="34"/>
      <c r="X6552" s="37">
        <v>0.98299999999999998</v>
      </c>
      <c r="Y6552" s="38">
        <v>2.2409999999999999E-3</v>
      </c>
      <c r="Z6552" s="21">
        <v>4601004234680</v>
      </c>
    </row>
    <row r="6553" spans="1:26" ht="12" customHeight="1" outlineLevel="3" x14ac:dyDescent="0.2">
      <c r="A6553" s="32" t="s">
        <v>12633</v>
      </c>
      <c r="B6553" s="74" t="s">
        <v>12634</v>
      </c>
      <c r="C6553" s="50"/>
      <c r="D6553" s="53">
        <f t="shared" si="102"/>
        <v>0</v>
      </c>
      <c r="E6553" s="60" t="str">
        <f>HYPERLINK("https://www.sds-group.ru/product/dyubel-s-polukoltsom-8mm-korob-100-sht-up-kranz-KR-01-3641-004/", "Инфо")</f>
        <v>Инфо</v>
      </c>
      <c r="F6553" s="34" t="s">
        <v>1001</v>
      </c>
      <c r="G6553" s="33"/>
      <c r="H6553" s="33" t="s">
        <v>40</v>
      </c>
      <c r="I6553" s="33"/>
      <c r="J6553" s="35">
        <v>277</v>
      </c>
      <c r="K6553" s="33"/>
      <c r="L6553" s="35">
        <v>1</v>
      </c>
      <c r="M6553" s="35">
        <v>6</v>
      </c>
      <c r="N6553" s="35">
        <v>1</v>
      </c>
      <c r="O6553" s="36">
        <v>613.11</v>
      </c>
      <c r="P6553" s="36">
        <v>502.55</v>
      </c>
      <c r="Q6553" s="36">
        <v>429.18</v>
      </c>
      <c r="R6553" s="36">
        <v>351.79</v>
      </c>
      <c r="S6553" s="36">
        <v>416.91</v>
      </c>
      <c r="T6553" s="36">
        <v>341.73</v>
      </c>
      <c r="U6553" s="34"/>
      <c r="V6553" s="34"/>
      <c r="W6553" s="34"/>
      <c r="X6553" s="37">
        <v>0.97699999999999998</v>
      </c>
      <c r="Y6553" s="38">
        <v>2.8509999999999998E-3</v>
      </c>
      <c r="Z6553" s="21">
        <v>4601004234796</v>
      </c>
    </row>
    <row r="6554" spans="1:26" ht="12.95" customHeight="1" outlineLevel="1" x14ac:dyDescent="0.2">
      <c r="A6554" s="78" t="s">
        <v>12635</v>
      </c>
      <c r="B6554" s="78"/>
      <c r="C6554" s="79"/>
      <c r="D6554" s="57"/>
      <c r="E6554" s="67"/>
      <c r="F6554" s="12"/>
      <c r="G6554" s="12"/>
      <c r="H6554" s="12"/>
      <c r="I6554" s="12"/>
      <c r="J6554" s="12"/>
      <c r="K6554" s="12"/>
      <c r="L6554" s="12"/>
      <c r="M6554" s="12"/>
      <c r="N6554" s="12"/>
      <c r="O6554" s="12"/>
      <c r="P6554" s="12"/>
      <c r="Q6554" s="12"/>
      <c r="R6554" s="12"/>
      <c r="S6554" s="12"/>
      <c r="T6554" s="12"/>
      <c r="U6554" s="12"/>
      <c r="V6554" s="12"/>
      <c r="W6554" s="12"/>
      <c r="X6554" s="12"/>
      <c r="Y6554" s="12"/>
      <c r="Z6554" s="12"/>
    </row>
    <row r="6555" spans="1:26" ht="12.95" customHeight="1" outlineLevel="2" x14ac:dyDescent="0.2">
      <c r="A6555" s="76" t="s">
        <v>12636</v>
      </c>
      <c r="B6555" s="76"/>
      <c r="C6555" s="77"/>
      <c r="D6555" s="58"/>
      <c r="E6555" s="68"/>
      <c r="F6555" s="13"/>
      <c r="G6555" s="13"/>
      <c r="H6555" s="13"/>
      <c r="I6555" s="13"/>
      <c r="J6555" s="13"/>
      <c r="K6555" s="13"/>
      <c r="L6555" s="13"/>
      <c r="M6555" s="13"/>
      <c r="N6555" s="13"/>
      <c r="O6555" s="13"/>
      <c r="P6555" s="13"/>
      <c r="Q6555" s="13"/>
      <c r="R6555" s="13"/>
      <c r="S6555" s="13"/>
      <c r="T6555" s="13"/>
      <c r="U6555" s="13"/>
      <c r="V6555" s="13"/>
      <c r="W6555" s="13"/>
      <c r="X6555" s="13"/>
      <c r="Y6555" s="13"/>
      <c r="Z6555" s="13"/>
    </row>
    <row r="6556" spans="1:26" ht="12" customHeight="1" outlineLevel="3" x14ac:dyDescent="0.2">
      <c r="A6556" s="32" t="s">
        <v>12637</v>
      </c>
      <c r="B6556" s="74" t="s">
        <v>12638</v>
      </c>
      <c r="C6556" s="50"/>
      <c r="D6556" s="53">
        <f t="shared" si="102"/>
        <v>0</v>
      </c>
      <c r="E6556" s="60" t="str">
        <f>HYPERLINK("https://www.sds-group.ru/product/samorez-universalnyy-3h40-mm-zheltyy-tsink-upakovka-postavschika-12000-sht-up-kranz-1111-0340-1/", "Инфо")</f>
        <v>Инфо</v>
      </c>
      <c r="F6556" s="34" t="s">
        <v>39</v>
      </c>
      <c r="G6556" s="33"/>
      <c r="H6556" s="33" t="s">
        <v>40</v>
      </c>
      <c r="I6556" s="33"/>
      <c r="J6556" s="39">
        <v>108000</v>
      </c>
      <c r="K6556" s="33"/>
      <c r="L6556" s="39">
        <v>12000</v>
      </c>
      <c r="M6556" s="39">
        <v>12000</v>
      </c>
      <c r="N6556" s="39">
        <v>12000</v>
      </c>
      <c r="O6556" s="36">
        <v>0.32</v>
      </c>
      <c r="P6556" s="36">
        <v>0.26</v>
      </c>
      <c r="Q6556" s="36">
        <v>0.22</v>
      </c>
      <c r="R6556" s="36">
        <v>0.18</v>
      </c>
      <c r="S6556" s="36">
        <v>0.22</v>
      </c>
      <c r="T6556" s="36">
        <v>0.18</v>
      </c>
      <c r="U6556" s="34"/>
      <c r="V6556" s="34"/>
      <c r="W6556" s="34"/>
      <c r="X6556" s="37">
        <v>1E-3</v>
      </c>
      <c r="Y6556" s="38">
        <v>1.9999999999999999E-6</v>
      </c>
      <c r="Z6556" s="21">
        <v>2000604394596</v>
      </c>
    </row>
    <row r="6557" spans="1:26" ht="12" customHeight="1" outlineLevel="3" x14ac:dyDescent="0.2">
      <c r="A6557" s="32" t="s">
        <v>12639</v>
      </c>
      <c r="B6557" s="74" t="s">
        <v>12640</v>
      </c>
      <c r="C6557" s="50"/>
      <c r="D6557" s="53">
        <f t="shared" si="102"/>
        <v>0</v>
      </c>
      <c r="E6557" s="60" t="str">
        <f>HYPERLINK("https://www.sds-group.ru/product/samorez-gipsokarton-derevo-3-5h19-mm-upakovka-postavschika-18000-sht-up-kranz-1133-3519-1/", "Инфо")</f>
        <v>Инфо</v>
      </c>
      <c r="F6557" s="34" t="s">
        <v>39</v>
      </c>
      <c r="G6557" s="33"/>
      <c r="H6557" s="33" t="s">
        <v>40</v>
      </c>
      <c r="I6557" s="33" t="s">
        <v>12641</v>
      </c>
      <c r="J6557" s="34" t="s">
        <v>100</v>
      </c>
      <c r="K6557" s="33"/>
      <c r="L6557" s="39">
        <v>18000</v>
      </c>
      <c r="M6557" s="39">
        <v>18000</v>
      </c>
      <c r="N6557" s="39">
        <v>18000</v>
      </c>
      <c r="O6557" s="36">
        <v>0.42</v>
      </c>
      <c r="P6557" s="36">
        <v>0.34</v>
      </c>
      <c r="Q6557" s="36">
        <v>0.28999999999999998</v>
      </c>
      <c r="R6557" s="36">
        <v>0.24</v>
      </c>
      <c r="S6557" s="36">
        <v>0.28999999999999998</v>
      </c>
      <c r="T6557" s="36">
        <v>0.24</v>
      </c>
      <c r="U6557" s="34"/>
      <c r="V6557" s="34"/>
      <c r="W6557" s="34"/>
      <c r="X6557" s="37">
        <v>1E-3</v>
      </c>
      <c r="Y6557" s="38">
        <v>9.9999999999999995E-7</v>
      </c>
      <c r="Z6557" s="21">
        <v>2000604398891</v>
      </c>
    </row>
    <row r="6558" spans="1:26" ht="12" customHeight="1" outlineLevel="3" x14ac:dyDescent="0.2">
      <c r="A6558" s="32" t="s">
        <v>12642</v>
      </c>
      <c r="B6558" s="74" t="s">
        <v>12643</v>
      </c>
      <c r="C6558" s="50"/>
      <c r="D6558" s="53">
        <f t="shared" si="102"/>
        <v>0</v>
      </c>
      <c r="E6558" s="60" t="str">
        <f>HYPERLINK("https://www.sds-group.ru/product/samorez-gipsokarton-derevo-3-5h51-mm-upakovka-postavschika-5000-sht-up-kranz-1133-3551-1/", "Инфо")</f>
        <v>Инфо</v>
      </c>
      <c r="F6558" s="34" t="s">
        <v>39</v>
      </c>
      <c r="G6558" s="33"/>
      <c r="H6558" s="33" t="s">
        <v>40</v>
      </c>
      <c r="I6558" s="33"/>
      <c r="J6558" s="39">
        <v>2000</v>
      </c>
      <c r="K6558" s="33"/>
      <c r="L6558" s="39">
        <v>5000</v>
      </c>
      <c r="M6558" s="39">
        <v>5000</v>
      </c>
      <c r="N6558" s="39">
        <v>5000</v>
      </c>
      <c r="O6558" s="36">
        <v>0.56999999999999995</v>
      </c>
      <c r="P6558" s="36">
        <v>0.47</v>
      </c>
      <c r="Q6558" s="36">
        <v>0.4</v>
      </c>
      <c r="R6558" s="36">
        <v>0.33</v>
      </c>
      <c r="S6558" s="36">
        <v>0.39</v>
      </c>
      <c r="T6558" s="36">
        <v>0.32</v>
      </c>
      <c r="U6558" s="34"/>
      <c r="V6558" s="34"/>
      <c r="W6558" s="34"/>
      <c r="X6558" s="37">
        <v>3.0000000000000001E-3</v>
      </c>
      <c r="Y6558" s="38">
        <v>1.9999999999999999E-6</v>
      </c>
      <c r="Z6558" s="21">
        <v>2000604398952</v>
      </c>
    </row>
    <row r="6559" spans="1:26" ht="12" customHeight="1" outlineLevel="3" x14ac:dyDescent="0.2">
      <c r="A6559" s="32" t="s">
        <v>12644</v>
      </c>
      <c r="B6559" s="74" t="s">
        <v>12645</v>
      </c>
      <c r="C6559" s="50"/>
      <c r="D6559" s="53">
        <f t="shared" si="102"/>
        <v>0</v>
      </c>
      <c r="E6559" s="60" t="str">
        <f>HYPERLINK("https://www.sds-group.ru/product/samorez-gipsokarton-derevo-3-5h55-mm-upakovka-postavschika-4000-sht-up-kranz-1133-3555-1/", "Инфо")</f>
        <v>Инфо</v>
      </c>
      <c r="F6559" s="34" t="s">
        <v>39</v>
      </c>
      <c r="G6559" s="33"/>
      <c r="H6559" s="33" t="s">
        <v>40</v>
      </c>
      <c r="I6559" s="33"/>
      <c r="J6559" s="39">
        <v>4000</v>
      </c>
      <c r="K6559" s="33"/>
      <c r="L6559" s="39">
        <v>4000</v>
      </c>
      <c r="M6559" s="39">
        <v>5500</v>
      </c>
      <c r="N6559" s="39">
        <v>4000</v>
      </c>
      <c r="O6559" s="36">
        <v>1.01</v>
      </c>
      <c r="P6559" s="36">
        <v>0.83</v>
      </c>
      <c r="Q6559" s="36">
        <v>0.71</v>
      </c>
      <c r="R6559" s="36">
        <v>0.57999999999999996</v>
      </c>
      <c r="S6559" s="36">
        <v>0.69</v>
      </c>
      <c r="T6559" s="36">
        <v>0.56999999999999995</v>
      </c>
      <c r="U6559" s="34"/>
      <c r="V6559" s="34"/>
      <c r="W6559" s="34"/>
      <c r="X6559" s="37">
        <v>2E-3</v>
      </c>
      <c r="Y6559" s="38">
        <v>1.9999999999999999E-6</v>
      </c>
      <c r="Z6559" s="21">
        <v>2000604398969</v>
      </c>
    </row>
    <row r="6560" spans="1:26" ht="12" customHeight="1" outlineLevel="3" x14ac:dyDescent="0.2">
      <c r="A6560" s="32" t="s">
        <v>12646</v>
      </c>
      <c r="B6560" s="74" t="s">
        <v>12647</v>
      </c>
      <c r="C6560" s="50"/>
      <c r="D6560" s="53">
        <f t="shared" si="102"/>
        <v>0</v>
      </c>
      <c r="E6560" s="60" t="str">
        <f>HYPERLINK("https://www.sds-group.ru/product/samorez-gipsokarton-derevo-3-8h65-mm-upakovka-postavschika-3000-sht-up-kranz-1133-3865-1/", "Инфо")</f>
        <v>Инфо</v>
      </c>
      <c r="F6560" s="34" t="s">
        <v>39</v>
      </c>
      <c r="G6560" s="33"/>
      <c r="H6560" s="33" t="s">
        <v>40</v>
      </c>
      <c r="I6560" s="33"/>
      <c r="J6560" s="39">
        <v>204000</v>
      </c>
      <c r="K6560" s="33"/>
      <c r="L6560" s="39">
        <v>3000</v>
      </c>
      <c r="M6560" s="39">
        <v>3000</v>
      </c>
      <c r="N6560" s="39">
        <v>3000</v>
      </c>
      <c r="O6560" s="36">
        <v>0.53</v>
      </c>
      <c r="P6560" s="36">
        <v>0.43</v>
      </c>
      <c r="Q6560" s="36">
        <v>0.37</v>
      </c>
      <c r="R6560" s="36">
        <v>0.3</v>
      </c>
      <c r="S6560" s="36">
        <v>0.36</v>
      </c>
      <c r="T6560" s="36">
        <v>0.3</v>
      </c>
      <c r="U6560" s="34"/>
      <c r="V6560" s="34"/>
      <c r="W6560" s="34"/>
      <c r="X6560" s="37">
        <v>3.0000000000000001E-3</v>
      </c>
      <c r="Y6560" s="38">
        <v>3.0000000000000001E-6</v>
      </c>
      <c r="Z6560" s="21">
        <v>2000604398976</v>
      </c>
    </row>
    <row r="6561" spans="1:26" ht="12" customHeight="1" outlineLevel="3" x14ac:dyDescent="0.2">
      <c r="A6561" s="32" t="s">
        <v>12648</v>
      </c>
      <c r="B6561" s="74" t="s">
        <v>12649</v>
      </c>
      <c r="C6561" s="50"/>
      <c r="D6561" s="53">
        <f t="shared" si="102"/>
        <v>0</v>
      </c>
      <c r="E6561" s="60" t="str">
        <f>HYPERLINK("https://www.sds-group.ru/product/samorez-gipsokarton-derevo-4-2h70-mm-upakovka-postavschika-2500-sht-up-kranz-1133-4270-1/", "Инфо")</f>
        <v>Инфо</v>
      </c>
      <c r="F6561" s="34" t="s">
        <v>39</v>
      </c>
      <c r="G6561" s="33"/>
      <c r="H6561" s="33" t="s">
        <v>40</v>
      </c>
      <c r="I6561" s="33"/>
      <c r="J6561" s="34" t="s">
        <v>100</v>
      </c>
      <c r="K6561" s="33"/>
      <c r="L6561" s="39">
        <v>2500</v>
      </c>
      <c r="M6561" s="39">
        <v>3200</v>
      </c>
      <c r="N6561" s="39">
        <v>2500</v>
      </c>
      <c r="O6561" s="36">
        <v>1.69</v>
      </c>
      <c r="P6561" s="36">
        <v>1.39</v>
      </c>
      <c r="Q6561" s="36">
        <v>1.18</v>
      </c>
      <c r="R6561" s="36">
        <v>0.97</v>
      </c>
      <c r="S6561" s="36">
        <v>1.1499999999999999</v>
      </c>
      <c r="T6561" s="36">
        <v>0.94</v>
      </c>
      <c r="U6561" s="34"/>
      <c r="V6561" s="34"/>
      <c r="W6561" s="34"/>
      <c r="X6561" s="37">
        <v>4.0000000000000001E-3</v>
      </c>
      <c r="Y6561" s="38">
        <v>5.0000000000000004E-6</v>
      </c>
      <c r="Z6561" s="21">
        <v>2000604398983</v>
      </c>
    </row>
    <row r="6562" spans="1:26" ht="12" customHeight="1" outlineLevel="3" x14ac:dyDescent="0.2">
      <c r="A6562" s="32" t="s">
        <v>12650</v>
      </c>
      <c r="B6562" s="74" t="s">
        <v>12651</v>
      </c>
      <c r="C6562" s="50"/>
      <c r="D6562" s="53">
        <f t="shared" si="102"/>
        <v>0</v>
      </c>
      <c r="E6562" s="60" t="str">
        <f>HYPERLINK("https://www.sds-group.ru/product/samorez-gipsokarton-derevo-4-2h90-mm-upakovka-postavschika-2000-sht-up-kranz-1133-4290-1/", "Инфо")</f>
        <v>Инфо</v>
      </c>
      <c r="F6562" s="34" t="s">
        <v>39</v>
      </c>
      <c r="G6562" s="33"/>
      <c r="H6562" s="33" t="s">
        <v>40</v>
      </c>
      <c r="I6562" s="33"/>
      <c r="J6562" s="34" t="s">
        <v>100</v>
      </c>
      <c r="K6562" s="33"/>
      <c r="L6562" s="39">
        <v>2000</v>
      </c>
      <c r="M6562" s="39">
        <v>2000</v>
      </c>
      <c r="N6562" s="39">
        <v>2000</v>
      </c>
      <c r="O6562" s="36">
        <v>1.1599999999999999</v>
      </c>
      <c r="P6562" s="36">
        <v>0.95</v>
      </c>
      <c r="Q6562" s="36">
        <v>0.81</v>
      </c>
      <c r="R6562" s="36">
        <v>0.66</v>
      </c>
      <c r="S6562" s="36">
        <v>0.79</v>
      </c>
      <c r="T6562" s="36">
        <v>0.65</v>
      </c>
      <c r="U6562" s="34"/>
      <c r="V6562" s="34"/>
      <c r="W6562" s="34"/>
      <c r="X6562" s="37">
        <v>5.0000000000000001E-3</v>
      </c>
      <c r="Y6562" s="38">
        <v>6.0000000000000002E-6</v>
      </c>
      <c r="Z6562" s="21">
        <v>2000604393674</v>
      </c>
    </row>
    <row r="6563" spans="1:26" ht="12" customHeight="1" outlineLevel="3" x14ac:dyDescent="0.2">
      <c r="A6563" s="32" t="s">
        <v>12652</v>
      </c>
      <c r="B6563" s="74" t="s">
        <v>12653</v>
      </c>
      <c r="C6563" s="50"/>
      <c r="D6563" s="53">
        <f t="shared" si="102"/>
        <v>0</v>
      </c>
      <c r="E6563" s="60" t="str">
        <f>HYPERLINK("https://www.sds-group.ru/product/samorez-gipsokarton-metall-3-5h25-mm-upakovka-postavschika-18000-sht-up-kranz-1143-3525-1/", "Инфо")</f>
        <v>Инфо</v>
      </c>
      <c r="F6563" s="34" t="s">
        <v>39</v>
      </c>
      <c r="G6563" s="33"/>
      <c r="H6563" s="33" t="s">
        <v>40</v>
      </c>
      <c r="I6563" s="33"/>
      <c r="J6563" s="34" t="s">
        <v>100</v>
      </c>
      <c r="K6563" s="33"/>
      <c r="L6563" s="39">
        <v>18000</v>
      </c>
      <c r="M6563" s="39">
        <v>18000</v>
      </c>
      <c r="N6563" s="39">
        <v>18000</v>
      </c>
      <c r="O6563" s="36">
        <v>0.21</v>
      </c>
      <c r="P6563" s="36">
        <v>0.17</v>
      </c>
      <c r="Q6563" s="36">
        <v>0.15</v>
      </c>
      <c r="R6563" s="36">
        <v>0.12</v>
      </c>
      <c r="S6563" s="36">
        <v>0.14000000000000001</v>
      </c>
      <c r="T6563" s="36">
        <v>0.11</v>
      </c>
      <c r="U6563" s="34"/>
      <c r="V6563" s="34"/>
      <c r="W6563" s="34"/>
      <c r="X6563" s="37">
        <v>1E-3</v>
      </c>
      <c r="Y6563" s="38">
        <v>9.9999999999999995E-7</v>
      </c>
      <c r="Z6563" s="21">
        <v>2000604393681</v>
      </c>
    </row>
    <row r="6564" spans="1:26" ht="12" customHeight="1" outlineLevel="3" x14ac:dyDescent="0.2">
      <c r="A6564" s="32" t="s">
        <v>12654</v>
      </c>
      <c r="B6564" s="74" t="s">
        <v>12655</v>
      </c>
      <c r="C6564" s="50"/>
      <c r="D6564" s="53">
        <f t="shared" si="102"/>
        <v>0</v>
      </c>
      <c r="E6564" s="60" t="str">
        <f>HYPERLINK("https://www.sds-group.ru/product/samorez-gipsokarton-metall-3-5h32-mm-upakovka-postavschika-12000-10000-sht-up-kranz-1143-3532-1/", "Инфо")</f>
        <v>Инфо</v>
      </c>
      <c r="F6564" s="34" t="s">
        <v>39</v>
      </c>
      <c r="G6564" s="33"/>
      <c r="H6564" s="33" t="s">
        <v>40</v>
      </c>
      <c r="I6564" s="33"/>
      <c r="J6564" s="34" t="s">
        <v>100</v>
      </c>
      <c r="K6564" s="33"/>
      <c r="L6564" s="39">
        <v>10000</v>
      </c>
      <c r="M6564" s="39">
        <v>12000</v>
      </c>
      <c r="N6564" s="39">
        <v>10000</v>
      </c>
      <c r="O6564" s="36">
        <v>0.55000000000000004</v>
      </c>
      <c r="P6564" s="36">
        <v>0.45</v>
      </c>
      <c r="Q6564" s="36">
        <v>0.39</v>
      </c>
      <c r="R6564" s="36">
        <v>0.32</v>
      </c>
      <c r="S6564" s="36">
        <v>0.37</v>
      </c>
      <c r="T6564" s="36">
        <v>0.3</v>
      </c>
      <c r="U6564" s="34"/>
      <c r="V6564" s="34"/>
      <c r="W6564" s="34"/>
      <c r="X6564" s="37">
        <v>1E-3</v>
      </c>
      <c r="Y6564" s="38">
        <v>9.9999999999999995E-7</v>
      </c>
      <c r="Z6564" s="21">
        <v>2000604393698</v>
      </c>
    </row>
    <row r="6565" spans="1:26" ht="12" customHeight="1" outlineLevel="3" x14ac:dyDescent="0.2">
      <c r="A6565" s="32" t="s">
        <v>12656</v>
      </c>
      <c r="B6565" s="74" t="s">
        <v>12657</v>
      </c>
      <c r="C6565" s="50"/>
      <c r="D6565" s="53">
        <f t="shared" si="102"/>
        <v>0</v>
      </c>
      <c r="E6565" s="60" t="str">
        <f>HYPERLINK("https://www.sds-group.ru/product/samorez-gipsokarton-metall-3-5h35-mm-upakovka-postavschika-11000-sht-up-kranz-1143-3535-1/", "Инфо")</f>
        <v>Инфо</v>
      </c>
      <c r="F6565" s="34" t="s">
        <v>39</v>
      </c>
      <c r="G6565" s="33"/>
      <c r="H6565" s="33" t="s">
        <v>40</v>
      </c>
      <c r="I6565" s="33"/>
      <c r="J6565" s="39">
        <v>22000</v>
      </c>
      <c r="K6565" s="33"/>
      <c r="L6565" s="39">
        <v>11000</v>
      </c>
      <c r="M6565" s="39">
        <v>11000</v>
      </c>
      <c r="N6565" s="39">
        <v>11000</v>
      </c>
      <c r="O6565" s="36">
        <v>0.33</v>
      </c>
      <c r="P6565" s="36">
        <v>0.27</v>
      </c>
      <c r="Q6565" s="36">
        <v>0.23</v>
      </c>
      <c r="R6565" s="36">
        <v>0.19</v>
      </c>
      <c r="S6565" s="36">
        <v>0.22</v>
      </c>
      <c r="T6565" s="36">
        <v>0.18</v>
      </c>
      <c r="U6565" s="34"/>
      <c r="V6565" s="34"/>
      <c r="W6565" s="34"/>
      <c r="X6565" s="37">
        <v>1E-3</v>
      </c>
      <c r="Y6565" s="38">
        <v>9.9999999999999995E-7</v>
      </c>
      <c r="Z6565" s="21">
        <v>2000604393704</v>
      </c>
    </row>
    <row r="6566" spans="1:26" ht="12" customHeight="1" outlineLevel="3" x14ac:dyDescent="0.2">
      <c r="A6566" s="32" t="s">
        <v>12658</v>
      </c>
      <c r="B6566" s="74" t="s">
        <v>12659</v>
      </c>
      <c r="C6566" s="50"/>
      <c r="D6566" s="53">
        <f t="shared" si="102"/>
        <v>0</v>
      </c>
      <c r="E6566" s="60" t="str">
        <f>HYPERLINK("https://www.sds-group.ru/product/samorez-gipsokarton-metall-3-5h45-mm-upakovka-postavschika-8000-sht-up-kranz-1143-3545-1/", "Инфо")</f>
        <v>Инфо</v>
      </c>
      <c r="F6566" s="34" t="s">
        <v>39</v>
      </c>
      <c r="G6566" s="33"/>
      <c r="H6566" s="33" t="s">
        <v>40</v>
      </c>
      <c r="I6566" s="33"/>
      <c r="J6566" s="39">
        <v>56000</v>
      </c>
      <c r="K6566" s="33"/>
      <c r="L6566" s="39">
        <v>8000</v>
      </c>
      <c r="M6566" s="39">
        <v>8000</v>
      </c>
      <c r="N6566" s="39">
        <v>8000</v>
      </c>
      <c r="O6566" s="36">
        <v>0.33</v>
      </c>
      <c r="P6566" s="36">
        <v>0.27</v>
      </c>
      <c r="Q6566" s="36">
        <v>0.23</v>
      </c>
      <c r="R6566" s="36">
        <v>0.19</v>
      </c>
      <c r="S6566" s="36">
        <v>0.22</v>
      </c>
      <c r="T6566" s="36">
        <v>0.18</v>
      </c>
      <c r="U6566" s="34"/>
      <c r="V6566" s="34"/>
      <c r="W6566" s="34"/>
      <c r="X6566" s="37">
        <v>2E-3</v>
      </c>
      <c r="Y6566" s="38">
        <v>1.9999999999999999E-6</v>
      </c>
      <c r="Z6566" s="21">
        <v>2000604393728</v>
      </c>
    </row>
    <row r="6567" spans="1:26" ht="12" customHeight="1" outlineLevel="3" x14ac:dyDescent="0.2">
      <c r="A6567" s="32" t="s">
        <v>12660</v>
      </c>
      <c r="B6567" s="74" t="s">
        <v>12661</v>
      </c>
      <c r="C6567" s="50"/>
      <c r="D6567" s="53">
        <f t="shared" si="102"/>
        <v>0</v>
      </c>
      <c r="E6567" s="60" t="str">
        <f>HYPERLINK("https://www.sds-group.ru/product/samorez-gipsokarton-metall-3-5h51-mm-upakovka-postavschika-5000-sht-up-kranz-1143-3551-1/", "Инфо")</f>
        <v>Инфо</v>
      </c>
      <c r="F6567" s="34" t="s">
        <v>39</v>
      </c>
      <c r="G6567" s="33"/>
      <c r="H6567" s="33" t="s">
        <v>40</v>
      </c>
      <c r="I6567" s="33"/>
      <c r="J6567" s="34" t="s">
        <v>100</v>
      </c>
      <c r="K6567" s="33"/>
      <c r="L6567" s="39">
        <v>5000</v>
      </c>
      <c r="M6567" s="39">
        <v>5500</v>
      </c>
      <c r="N6567" s="39">
        <v>5000</v>
      </c>
      <c r="O6567" s="36">
        <v>0.53</v>
      </c>
      <c r="P6567" s="36">
        <v>0.43</v>
      </c>
      <c r="Q6567" s="36">
        <v>0.37</v>
      </c>
      <c r="R6567" s="36">
        <v>0.3</v>
      </c>
      <c r="S6567" s="36">
        <v>0.36</v>
      </c>
      <c r="T6567" s="36">
        <v>0.3</v>
      </c>
      <c r="U6567" s="34"/>
      <c r="V6567" s="34"/>
      <c r="W6567" s="34"/>
      <c r="X6567" s="37">
        <v>2E-3</v>
      </c>
      <c r="Y6567" s="38">
        <v>1.9999999999999999E-6</v>
      </c>
      <c r="Z6567" s="21">
        <v>2000604399058</v>
      </c>
    </row>
    <row r="6568" spans="1:26" ht="12" customHeight="1" outlineLevel="3" x14ac:dyDescent="0.2">
      <c r="A6568" s="32" t="s">
        <v>12662</v>
      </c>
      <c r="B6568" s="74" t="s">
        <v>12663</v>
      </c>
      <c r="C6568" s="50"/>
      <c r="D6568" s="53">
        <f t="shared" si="102"/>
        <v>0</v>
      </c>
      <c r="E6568" s="60" t="str">
        <f>HYPERLINK("https://www.sds-group.ru/product/samorez-gipsokarton-metall-3-5h55-mm-upakovka-postavschika-4000-sht-up-kranz-1143-3555-1/", "Инфо")</f>
        <v>Инфо</v>
      </c>
      <c r="F6568" s="34" t="s">
        <v>39</v>
      </c>
      <c r="G6568" s="33"/>
      <c r="H6568" s="33" t="s">
        <v>40</v>
      </c>
      <c r="I6568" s="33"/>
      <c r="J6568" s="34" t="s">
        <v>100</v>
      </c>
      <c r="K6568" s="33"/>
      <c r="L6568" s="39">
        <v>4000</v>
      </c>
      <c r="M6568" s="39">
        <v>4000</v>
      </c>
      <c r="N6568" s="39">
        <v>4000</v>
      </c>
      <c r="O6568" s="36">
        <v>0.51</v>
      </c>
      <c r="P6568" s="36">
        <v>0.42</v>
      </c>
      <c r="Q6568" s="36">
        <v>0.36</v>
      </c>
      <c r="R6568" s="36">
        <v>0.3</v>
      </c>
      <c r="S6568" s="36">
        <v>0.35</v>
      </c>
      <c r="T6568" s="36">
        <v>0.28999999999999998</v>
      </c>
      <c r="U6568" s="34"/>
      <c r="V6568" s="34"/>
      <c r="W6568" s="34"/>
      <c r="X6568" s="37">
        <v>2E-3</v>
      </c>
      <c r="Y6568" s="38">
        <v>3.0000000000000001E-6</v>
      </c>
      <c r="Z6568" s="21">
        <v>2000604394756</v>
      </c>
    </row>
    <row r="6569" spans="1:26" ht="12" customHeight="1" outlineLevel="3" x14ac:dyDescent="0.2">
      <c r="A6569" s="32" t="s">
        <v>12664</v>
      </c>
      <c r="B6569" s="74" t="s">
        <v>12665</v>
      </c>
      <c r="C6569" s="50"/>
      <c r="D6569" s="53">
        <f t="shared" si="102"/>
        <v>0</v>
      </c>
      <c r="E6569" s="60" t="str">
        <f>HYPERLINK("https://www.sds-group.ru/product/samorez-gipsokarton-metall-4-2h75-mm-upakovka-postavschika-2000-sht-up-kranz-1143-4275-1/", "Инфо")</f>
        <v>Инфо</v>
      </c>
      <c r="F6569" s="34" t="s">
        <v>39</v>
      </c>
      <c r="G6569" s="33"/>
      <c r="H6569" s="33" t="s">
        <v>40</v>
      </c>
      <c r="I6569" s="33"/>
      <c r="J6569" s="34" t="s">
        <v>100</v>
      </c>
      <c r="K6569" s="33"/>
      <c r="L6569" s="39">
        <v>2000</v>
      </c>
      <c r="M6569" s="39">
        <v>2000</v>
      </c>
      <c r="N6569" s="39">
        <v>2000</v>
      </c>
      <c r="O6569" s="36">
        <v>0.82</v>
      </c>
      <c r="P6569" s="36">
        <v>0.67</v>
      </c>
      <c r="Q6569" s="36">
        <v>0.56999999999999995</v>
      </c>
      <c r="R6569" s="36">
        <v>0.47</v>
      </c>
      <c r="S6569" s="36">
        <v>0.56000000000000005</v>
      </c>
      <c r="T6569" s="36">
        <v>0.46</v>
      </c>
      <c r="U6569" s="34"/>
      <c r="V6569" s="34"/>
      <c r="W6569" s="34"/>
      <c r="X6569" s="37">
        <v>4.0000000000000001E-3</v>
      </c>
      <c r="Y6569" s="38">
        <v>6.9999999999999999E-6</v>
      </c>
      <c r="Z6569" s="21">
        <v>2000604394763</v>
      </c>
    </row>
    <row r="6570" spans="1:26" ht="12" customHeight="1" outlineLevel="3" x14ac:dyDescent="0.2">
      <c r="A6570" s="32" t="s">
        <v>12666</v>
      </c>
      <c r="B6570" s="74" t="s">
        <v>12667</v>
      </c>
      <c r="C6570" s="50"/>
      <c r="D6570" s="53">
        <f t="shared" si="102"/>
        <v>0</v>
      </c>
      <c r="E6570" s="60" t="str">
        <f>HYPERLINK("https://www.sds-group.ru/product/samorez-s-pressshayboy-kranz-pshs-sverlo-4-2h32-upakovka-postavschika-6-000-sht-1182-4232-1/", "Инфо")</f>
        <v>Инфо</v>
      </c>
      <c r="F6570" s="34" t="s">
        <v>39</v>
      </c>
      <c r="G6570" s="33"/>
      <c r="H6570" s="33" t="s">
        <v>40</v>
      </c>
      <c r="I6570" s="33"/>
      <c r="J6570" s="34" t="s">
        <v>100</v>
      </c>
      <c r="K6570" s="33"/>
      <c r="L6570" s="39">
        <v>6000</v>
      </c>
      <c r="M6570" s="39">
        <v>6000</v>
      </c>
      <c r="N6570" s="39">
        <v>6000</v>
      </c>
      <c r="O6570" s="36">
        <v>0.67</v>
      </c>
      <c r="P6570" s="36">
        <v>0.55000000000000004</v>
      </c>
      <c r="Q6570" s="36">
        <v>0.47</v>
      </c>
      <c r="R6570" s="36">
        <v>0.39</v>
      </c>
      <c r="S6570" s="36">
        <v>0.46</v>
      </c>
      <c r="T6570" s="36">
        <v>0.38</v>
      </c>
      <c r="U6570" s="34"/>
      <c r="V6570" s="34"/>
      <c r="W6570" s="34"/>
      <c r="X6570" s="37">
        <v>2E-3</v>
      </c>
      <c r="Y6570" s="38">
        <v>1.9999999999999999E-6</v>
      </c>
      <c r="Z6570" s="21">
        <v>2000604394862</v>
      </c>
    </row>
    <row r="6571" spans="1:26" ht="12" customHeight="1" outlineLevel="3" x14ac:dyDescent="0.2">
      <c r="A6571" s="32" t="s">
        <v>12668</v>
      </c>
      <c r="B6571" s="74" t="s">
        <v>12669</v>
      </c>
      <c r="C6571" s="50"/>
      <c r="D6571" s="53">
        <f t="shared" si="102"/>
        <v>0</v>
      </c>
      <c r="E6571" s="60" t="str">
        <f>HYPERLINK("https://www.sds-group.ru/product/samorez-s-pressshayboy-kranz-pshs-sverlo-4-2h50-upakovka-postavschika-3-000-sht-1182-4250-1/", "Инфо")</f>
        <v>Инфо</v>
      </c>
      <c r="F6571" s="34" t="s">
        <v>39</v>
      </c>
      <c r="G6571" s="33"/>
      <c r="H6571" s="33" t="s">
        <v>40</v>
      </c>
      <c r="I6571" s="33"/>
      <c r="J6571" s="39">
        <v>12000</v>
      </c>
      <c r="K6571" s="33"/>
      <c r="L6571" s="39">
        <v>3000</v>
      </c>
      <c r="M6571" s="39">
        <v>3000</v>
      </c>
      <c r="N6571" s="39">
        <v>3000</v>
      </c>
      <c r="O6571" s="36">
        <v>0.85</v>
      </c>
      <c r="P6571" s="36">
        <v>0.7</v>
      </c>
      <c r="Q6571" s="36">
        <v>0.6</v>
      </c>
      <c r="R6571" s="36">
        <v>0.49</v>
      </c>
      <c r="S6571" s="36">
        <v>0.57999999999999996</v>
      </c>
      <c r="T6571" s="36">
        <v>0.48</v>
      </c>
      <c r="U6571" s="34"/>
      <c r="V6571" s="34"/>
      <c r="W6571" s="34"/>
      <c r="X6571" s="37">
        <v>4.0000000000000001E-3</v>
      </c>
      <c r="Y6571" s="38">
        <v>3.9999999999999998E-6</v>
      </c>
      <c r="Z6571" s="21">
        <v>2000604394879</v>
      </c>
    </row>
    <row r="6572" spans="1:26" ht="12" customHeight="1" outlineLevel="3" x14ac:dyDescent="0.2">
      <c r="A6572" s="32" t="s">
        <v>12670</v>
      </c>
      <c r="B6572" s="74" t="s">
        <v>12671</v>
      </c>
      <c r="C6572" s="50"/>
      <c r="D6572" s="53">
        <f t="shared" si="102"/>
        <v>0</v>
      </c>
      <c r="E6572" s="60" t="str">
        <f>HYPERLINK("https://www.sds-group.ru/product/samorez-universalnyy-3-5h40-mm-zheltyy-tsink-upakovka-postavschika-12000-sht-up-kranz-1111-3540-1/", "Инфо")</f>
        <v>Инфо</v>
      </c>
      <c r="F6572" s="34" t="s">
        <v>39</v>
      </c>
      <c r="G6572" s="33"/>
      <c r="H6572" s="33" t="s">
        <v>40</v>
      </c>
      <c r="I6572" s="33"/>
      <c r="J6572" s="39">
        <v>72000</v>
      </c>
      <c r="K6572" s="33"/>
      <c r="L6572" s="39">
        <v>12000</v>
      </c>
      <c r="M6572" s="39">
        <v>12000</v>
      </c>
      <c r="N6572" s="39">
        <v>12000</v>
      </c>
      <c r="O6572" s="36">
        <v>0.31</v>
      </c>
      <c r="P6572" s="36">
        <v>0.25</v>
      </c>
      <c r="Q6572" s="36">
        <v>0.22</v>
      </c>
      <c r="R6572" s="36">
        <v>0.18</v>
      </c>
      <c r="S6572" s="36">
        <v>0.21</v>
      </c>
      <c r="T6572" s="36">
        <v>0.17</v>
      </c>
      <c r="U6572" s="34"/>
      <c r="V6572" s="34"/>
      <c r="W6572" s="34"/>
      <c r="X6572" s="37">
        <v>1E-3</v>
      </c>
      <c r="Y6572" s="38">
        <v>9.9999999999999995E-7</v>
      </c>
      <c r="Z6572" s="21">
        <v>2000604394534</v>
      </c>
    </row>
    <row r="6573" spans="1:26" ht="12" customHeight="1" outlineLevel="3" x14ac:dyDescent="0.2">
      <c r="A6573" s="32" t="s">
        <v>12672</v>
      </c>
      <c r="B6573" s="74" t="s">
        <v>12673</v>
      </c>
      <c r="C6573" s="50"/>
      <c r="D6573" s="53">
        <f t="shared" si="102"/>
        <v>0</v>
      </c>
      <c r="E6573" s="60" t="str">
        <f>HYPERLINK("https://www.sds-group.ru/product/samorez-universalnyy-3h20-mm-zheltyy-tsink-upakovka-postavschika-32000-sht-up-kranz-1111-0320-1/", "Инфо")</f>
        <v>Инфо</v>
      </c>
      <c r="F6573" s="34" t="s">
        <v>39</v>
      </c>
      <c r="G6573" s="33"/>
      <c r="H6573" s="33" t="s">
        <v>40</v>
      </c>
      <c r="I6573" s="33"/>
      <c r="J6573" s="39">
        <v>64000</v>
      </c>
      <c r="K6573" s="33"/>
      <c r="L6573" s="39">
        <v>32000</v>
      </c>
      <c r="M6573" s="39">
        <v>32000</v>
      </c>
      <c r="N6573" s="39">
        <v>32000</v>
      </c>
      <c r="O6573" s="36">
        <v>0.13</v>
      </c>
      <c r="P6573" s="36">
        <v>0.11</v>
      </c>
      <c r="Q6573" s="36">
        <v>0.09</v>
      </c>
      <c r="R6573" s="36">
        <v>7.0000000000000007E-2</v>
      </c>
      <c r="S6573" s="36">
        <v>0.09</v>
      </c>
      <c r="T6573" s="36">
        <v>7.0000000000000007E-2</v>
      </c>
      <c r="U6573" s="34"/>
      <c r="V6573" s="34"/>
      <c r="W6573" s="34"/>
      <c r="X6573" s="37">
        <v>1E-3</v>
      </c>
      <c r="Y6573" s="38">
        <v>0</v>
      </c>
      <c r="Z6573" s="21">
        <v>2000604394558</v>
      </c>
    </row>
    <row r="6574" spans="1:26" ht="12" customHeight="1" outlineLevel="3" x14ac:dyDescent="0.2">
      <c r="A6574" s="32" t="s">
        <v>12674</v>
      </c>
      <c r="B6574" s="74" t="s">
        <v>12675</v>
      </c>
      <c r="C6574" s="50"/>
      <c r="D6574" s="53">
        <f t="shared" si="102"/>
        <v>0</v>
      </c>
      <c r="E6574" s="60" t="str">
        <f>HYPERLINK("https://www.sds-group.ru/product/samorez-universalnyy-3h25-mm-zheltyy-tsink-upakovka-postavschika-24000-sht-up-kranz-1111-0325-1/", "Инфо")</f>
        <v>Инфо</v>
      </c>
      <c r="F6574" s="34" t="s">
        <v>39</v>
      </c>
      <c r="G6574" s="33"/>
      <c r="H6574" s="33" t="s">
        <v>40</v>
      </c>
      <c r="I6574" s="33"/>
      <c r="J6574" s="34" t="s">
        <v>100</v>
      </c>
      <c r="K6574" s="33"/>
      <c r="L6574" s="39">
        <v>24000</v>
      </c>
      <c r="M6574" s="39">
        <v>24000</v>
      </c>
      <c r="N6574" s="39">
        <v>24000</v>
      </c>
      <c r="O6574" s="36">
        <v>0.14000000000000001</v>
      </c>
      <c r="P6574" s="36">
        <v>0.11</v>
      </c>
      <c r="Q6574" s="36">
        <v>0.1</v>
      </c>
      <c r="R6574" s="36">
        <v>0.08</v>
      </c>
      <c r="S6574" s="36">
        <v>0.1</v>
      </c>
      <c r="T6574" s="36">
        <v>0.08</v>
      </c>
      <c r="U6574" s="34"/>
      <c r="V6574" s="34"/>
      <c r="W6574" s="34"/>
      <c r="X6574" s="37">
        <v>1E-3</v>
      </c>
      <c r="Y6574" s="38">
        <v>9.9999999999999995E-7</v>
      </c>
      <c r="Z6574" s="21">
        <v>2000604394565</v>
      </c>
    </row>
    <row r="6575" spans="1:26" ht="12" customHeight="1" outlineLevel="3" x14ac:dyDescent="0.2">
      <c r="A6575" s="32" t="s">
        <v>12676</v>
      </c>
      <c r="B6575" s="74" t="s">
        <v>12677</v>
      </c>
      <c r="C6575" s="50"/>
      <c r="D6575" s="53">
        <f t="shared" si="102"/>
        <v>0</v>
      </c>
      <c r="E6575" s="60" t="str">
        <f>HYPERLINK("https://www.sds-group.ru/product/samorez-universalnyy-3h30-mm-zheltyy-tsink-upakovka-postavschika-16000-sht-up-kranz-1111-0330-1/", "Инфо")</f>
        <v>Инфо</v>
      </c>
      <c r="F6575" s="34" t="s">
        <v>39</v>
      </c>
      <c r="G6575" s="33"/>
      <c r="H6575" s="33" t="s">
        <v>40</v>
      </c>
      <c r="I6575" s="33"/>
      <c r="J6575" s="34" t="s">
        <v>100</v>
      </c>
      <c r="K6575" s="33"/>
      <c r="L6575" s="39">
        <v>16000</v>
      </c>
      <c r="M6575" s="39">
        <v>16000</v>
      </c>
      <c r="N6575" s="39">
        <v>16000</v>
      </c>
      <c r="O6575" s="36">
        <v>0.25</v>
      </c>
      <c r="P6575" s="36">
        <v>0.2</v>
      </c>
      <c r="Q6575" s="36">
        <v>0.18</v>
      </c>
      <c r="R6575" s="36">
        <v>0.15</v>
      </c>
      <c r="S6575" s="36">
        <v>0.17</v>
      </c>
      <c r="T6575" s="36">
        <v>0.14000000000000001</v>
      </c>
      <c r="U6575" s="34"/>
      <c r="V6575" s="34"/>
      <c r="W6575" s="34"/>
      <c r="X6575" s="37">
        <v>1E-3</v>
      </c>
      <c r="Y6575" s="38">
        <v>3.0000000000000001E-6</v>
      </c>
      <c r="Z6575" s="21">
        <v>2000604394572</v>
      </c>
    </row>
    <row r="6576" spans="1:26" ht="12" customHeight="1" outlineLevel="3" x14ac:dyDescent="0.2">
      <c r="A6576" s="32" t="s">
        <v>12678</v>
      </c>
      <c r="B6576" s="74" t="s">
        <v>12679</v>
      </c>
      <c r="C6576" s="50"/>
      <c r="D6576" s="53">
        <f t="shared" si="102"/>
        <v>0</v>
      </c>
      <c r="E6576" s="60" t="str">
        <f>HYPERLINK("https://www.sds-group.ru/product/samorez-universalnyy-3h35-mm-zheltyy-tsink-upakovka-postavschika-16000-sht-up-kranz-1111-0335-1/", "Инфо")</f>
        <v>Инфо</v>
      </c>
      <c r="F6576" s="34" t="s">
        <v>39</v>
      </c>
      <c r="G6576" s="33"/>
      <c r="H6576" s="33" t="s">
        <v>40</v>
      </c>
      <c r="I6576" s="33"/>
      <c r="J6576" s="39">
        <v>64000</v>
      </c>
      <c r="K6576" s="33"/>
      <c r="L6576" s="39">
        <v>16000</v>
      </c>
      <c r="M6576" s="39">
        <v>16000</v>
      </c>
      <c r="N6576" s="39">
        <v>16000</v>
      </c>
      <c r="O6576" s="36">
        <v>0.22</v>
      </c>
      <c r="P6576" s="36">
        <v>0.18</v>
      </c>
      <c r="Q6576" s="36">
        <v>0.15</v>
      </c>
      <c r="R6576" s="36">
        <v>0.12</v>
      </c>
      <c r="S6576" s="36">
        <v>0.15</v>
      </c>
      <c r="T6576" s="36">
        <v>0.12</v>
      </c>
      <c r="U6576" s="34"/>
      <c r="V6576" s="34"/>
      <c r="W6576" s="34"/>
      <c r="X6576" s="37">
        <v>1E-3</v>
      </c>
      <c r="Y6576" s="38">
        <v>9.9999999999999995E-7</v>
      </c>
      <c r="Z6576" s="21">
        <v>2000604394589</v>
      </c>
    </row>
    <row r="6577" spans="1:26" ht="12" customHeight="1" outlineLevel="3" x14ac:dyDescent="0.2">
      <c r="A6577" s="32" t="s">
        <v>12680</v>
      </c>
      <c r="B6577" s="74" t="s">
        <v>12681</v>
      </c>
      <c r="C6577" s="50"/>
      <c r="D6577" s="53">
        <f t="shared" si="102"/>
        <v>0</v>
      </c>
      <c r="E6577" s="60" t="str">
        <f>HYPERLINK("https://www.sds-group.ru/product/samorez-universalnyy-4h35-mm-zheltyy-tsink-upakovka-postavschika-12000-sht-up-kranz-1111-0435-1/", "Инфо")</f>
        <v>Инфо</v>
      </c>
      <c r="F6577" s="34" t="s">
        <v>39</v>
      </c>
      <c r="G6577" s="33"/>
      <c r="H6577" s="33" t="s">
        <v>40</v>
      </c>
      <c r="I6577" s="33"/>
      <c r="J6577" s="39">
        <v>48000</v>
      </c>
      <c r="K6577" s="33"/>
      <c r="L6577" s="39">
        <v>12000</v>
      </c>
      <c r="M6577" s="39">
        <v>12000</v>
      </c>
      <c r="N6577" s="39">
        <v>12000</v>
      </c>
      <c r="O6577" s="36">
        <v>0.45</v>
      </c>
      <c r="P6577" s="36">
        <v>0.37</v>
      </c>
      <c r="Q6577" s="36">
        <v>0.32</v>
      </c>
      <c r="R6577" s="36">
        <v>0.26</v>
      </c>
      <c r="S6577" s="36">
        <v>0.31</v>
      </c>
      <c r="T6577" s="36">
        <v>0.25</v>
      </c>
      <c r="U6577" s="34"/>
      <c r="V6577" s="34"/>
      <c r="W6577" s="34"/>
      <c r="X6577" s="37">
        <v>2E-3</v>
      </c>
      <c r="Y6577" s="38">
        <v>1.9999999999999999E-6</v>
      </c>
      <c r="Z6577" s="21">
        <v>2000604394633</v>
      </c>
    </row>
    <row r="6578" spans="1:26" ht="12" customHeight="1" outlineLevel="3" x14ac:dyDescent="0.2">
      <c r="A6578" s="32" t="s">
        <v>12682</v>
      </c>
      <c r="B6578" s="74" t="s">
        <v>12683</v>
      </c>
      <c r="C6578" s="50"/>
      <c r="D6578" s="53">
        <f t="shared" si="102"/>
        <v>0</v>
      </c>
      <c r="E6578" s="60" t="str">
        <f>HYPERLINK("https://www.sds-group.ru/product/samorez-universalnyy-4h50-mm-zheltyy-tsink-upakovka-postavschika-6000-sht-up-kranz-1111-0450-1/", "Инфо")</f>
        <v>Инфо</v>
      </c>
      <c r="F6578" s="34" t="s">
        <v>39</v>
      </c>
      <c r="G6578" s="33"/>
      <c r="H6578" s="33" t="s">
        <v>40</v>
      </c>
      <c r="I6578" s="33"/>
      <c r="J6578" s="39">
        <v>84000</v>
      </c>
      <c r="K6578" s="33"/>
      <c r="L6578" s="39">
        <v>6000</v>
      </c>
      <c r="M6578" s="39">
        <v>6000</v>
      </c>
      <c r="N6578" s="39">
        <v>6000</v>
      </c>
      <c r="O6578" s="36">
        <v>0.53</v>
      </c>
      <c r="P6578" s="36">
        <v>0.43</v>
      </c>
      <c r="Q6578" s="36">
        <v>0.37</v>
      </c>
      <c r="R6578" s="36">
        <v>0.3</v>
      </c>
      <c r="S6578" s="36">
        <v>0.36</v>
      </c>
      <c r="T6578" s="36">
        <v>0.3</v>
      </c>
      <c r="U6578" s="34"/>
      <c r="V6578" s="34"/>
      <c r="W6578" s="34"/>
      <c r="X6578" s="37">
        <v>2E-3</v>
      </c>
      <c r="Y6578" s="38">
        <v>1.9999999999999999E-6</v>
      </c>
      <c r="Z6578" s="21">
        <v>2000604394657</v>
      </c>
    </row>
    <row r="6579" spans="1:26" ht="12" customHeight="1" outlineLevel="3" x14ac:dyDescent="0.2">
      <c r="A6579" s="32" t="s">
        <v>12684</v>
      </c>
      <c r="B6579" s="74" t="s">
        <v>12685</v>
      </c>
      <c r="C6579" s="50"/>
      <c r="D6579" s="53">
        <f t="shared" si="102"/>
        <v>0</v>
      </c>
      <c r="E6579" s="60" t="str">
        <f>HYPERLINK("https://www.sds-group.ru/product/samorez-universalnyy-5h40-mm-zheltyy-tsink-upakovka-postavschika-6000-sht-up-kranz-1111-0540-1/", "Инфо")</f>
        <v>Инфо</v>
      </c>
      <c r="F6579" s="34" t="s">
        <v>39</v>
      </c>
      <c r="G6579" s="33"/>
      <c r="H6579" s="33" t="s">
        <v>40</v>
      </c>
      <c r="I6579" s="33" t="s">
        <v>12686</v>
      </c>
      <c r="J6579" s="34" t="s">
        <v>100</v>
      </c>
      <c r="K6579" s="33"/>
      <c r="L6579" s="39">
        <v>6000</v>
      </c>
      <c r="M6579" s="39">
        <v>6000</v>
      </c>
      <c r="N6579" s="39">
        <v>6000</v>
      </c>
      <c r="O6579" s="36">
        <v>1.1100000000000001</v>
      </c>
      <c r="P6579" s="36">
        <v>0.91</v>
      </c>
      <c r="Q6579" s="36">
        <v>0.78</v>
      </c>
      <c r="R6579" s="36">
        <v>0.64</v>
      </c>
      <c r="S6579" s="36">
        <v>0.75</v>
      </c>
      <c r="T6579" s="36">
        <v>0.61</v>
      </c>
      <c r="U6579" s="34"/>
      <c r="V6579" s="34"/>
      <c r="W6579" s="34"/>
      <c r="X6579" s="37">
        <v>3.0000000000000001E-3</v>
      </c>
      <c r="Y6579" s="38">
        <v>1.9999999999999999E-6</v>
      </c>
      <c r="Z6579" s="21">
        <v>2000604394664</v>
      </c>
    </row>
    <row r="6580" spans="1:26" ht="12" customHeight="1" outlineLevel="3" x14ac:dyDescent="0.2">
      <c r="A6580" s="32" t="s">
        <v>12687</v>
      </c>
      <c r="B6580" s="74" t="s">
        <v>12688</v>
      </c>
      <c r="C6580" s="50"/>
      <c r="D6580" s="53">
        <f t="shared" si="102"/>
        <v>0</v>
      </c>
      <c r="E6580" s="60" t="str">
        <f>HYPERLINK("https://www.sds-group.ru/product/samorez-universalnyy-5h60-mm-zheltyy-tsink-upakovka-postavschika-4800-sht-up-kranz-1111-0560-1/", "Инфо")</f>
        <v>Инфо</v>
      </c>
      <c r="F6580" s="34" t="s">
        <v>39</v>
      </c>
      <c r="G6580" s="33"/>
      <c r="H6580" s="33" t="s">
        <v>40</v>
      </c>
      <c r="I6580" s="33" t="s">
        <v>12689</v>
      </c>
      <c r="J6580" s="34" t="s">
        <v>100</v>
      </c>
      <c r="K6580" s="33"/>
      <c r="L6580" s="39">
        <v>4800</v>
      </c>
      <c r="M6580" s="39">
        <v>4800</v>
      </c>
      <c r="N6580" s="39">
        <v>4800</v>
      </c>
      <c r="O6580" s="36">
        <v>0.94</v>
      </c>
      <c r="P6580" s="36">
        <v>0.77</v>
      </c>
      <c r="Q6580" s="36">
        <v>0.66</v>
      </c>
      <c r="R6580" s="36">
        <v>0.54</v>
      </c>
      <c r="S6580" s="36">
        <v>0.64</v>
      </c>
      <c r="T6580" s="36">
        <v>0.52</v>
      </c>
      <c r="U6580" s="34"/>
      <c r="V6580" s="34"/>
      <c r="W6580" s="34"/>
      <c r="X6580" s="37">
        <v>5.0000000000000001E-3</v>
      </c>
      <c r="Y6580" s="38">
        <v>3.9999999999999998E-6</v>
      </c>
      <c r="Z6580" s="21">
        <v>2000604394688</v>
      </c>
    </row>
    <row r="6581" spans="1:26" ht="12.95" customHeight="1" outlineLevel="2" x14ac:dyDescent="0.2">
      <c r="A6581" s="76" t="s">
        <v>12690</v>
      </c>
      <c r="B6581" s="76"/>
      <c r="C6581" s="77"/>
      <c r="D6581" s="58"/>
      <c r="E6581" s="68"/>
      <c r="F6581" s="13"/>
      <c r="G6581" s="13"/>
      <c r="H6581" s="13"/>
      <c r="I6581" s="13"/>
      <c r="J6581" s="13"/>
      <c r="K6581" s="13"/>
      <c r="L6581" s="13"/>
      <c r="M6581" s="13"/>
      <c r="N6581" s="13"/>
      <c r="O6581" s="13"/>
      <c r="P6581" s="13"/>
      <c r="Q6581" s="13"/>
      <c r="R6581" s="13"/>
      <c r="S6581" s="13"/>
      <c r="T6581" s="13"/>
      <c r="U6581" s="13"/>
      <c r="V6581" s="13"/>
      <c r="W6581" s="13"/>
      <c r="X6581" s="13"/>
      <c r="Y6581" s="13"/>
      <c r="Z6581" s="13"/>
    </row>
    <row r="6582" spans="1:26" ht="12" customHeight="1" outlineLevel="3" x14ac:dyDescent="0.2">
      <c r="A6582" s="32" t="s">
        <v>12691</v>
      </c>
      <c r="B6582" s="74" t="s">
        <v>12692</v>
      </c>
      <c r="C6582" s="50"/>
      <c r="D6582" s="53">
        <f t="shared" si="102"/>
        <v>0</v>
      </c>
      <c r="E6582" s="60" t="str">
        <f>HYPERLINK("https://www.sds-group.ru/product/bolt-mebelnyy-kranz-din-603-10h60-upakovka-postavschika-20-kg-452-sht-1301-1060-1/", "Инфо")</f>
        <v>Инфо</v>
      </c>
      <c r="F6582" s="34" t="s">
        <v>39</v>
      </c>
      <c r="G6582" s="33"/>
      <c r="H6582" s="33" t="s">
        <v>40</v>
      </c>
      <c r="I6582" s="33"/>
      <c r="J6582" s="39">
        <v>1808</v>
      </c>
      <c r="K6582" s="33"/>
      <c r="L6582" s="35">
        <v>452</v>
      </c>
      <c r="M6582" s="35">
        <v>452</v>
      </c>
      <c r="N6582" s="35">
        <v>452</v>
      </c>
      <c r="O6582" s="36">
        <v>8.4600000000000009</v>
      </c>
      <c r="P6582" s="36">
        <v>6.93</v>
      </c>
      <c r="Q6582" s="36">
        <v>5.92</v>
      </c>
      <c r="R6582" s="36">
        <v>4.8499999999999996</v>
      </c>
      <c r="S6582" s="36">
        <v>5.75</v>
      </c>
      <c r="T6582" s="36">
        <v>4.71</v>
      </c>
      <c r="U6582" s="34"/>
      <c r="V6582" s="34"/>
      <c r="W6582" s="34"/>
      <c r="X6582" s="37">
        <v>0.04</v>
      </c>
      <c r="Y6582" s="38">
        <v>2.1999999999999999E-5</v>
      </c>
      <c r="Z6582" s="21">
        <v>2000604394923</v>
      </c>
    </row>
    <row r="6583" spans="1:26" ht="12" customHeight="1" outlineLevel="3" x14ac:dyDescent="0.2">
      <c r="A6583" s="32" t="s">
        <v>12693</v>
      </c>
      <c r="B6583" s="74" t="s">
        <v>12694</v>
      </c>
      <c r="C6583" s="50"/>
      <c r="D6583" s="53">
        <f t="shared" si="102"/>
        <v>0</v>
      </c>
      <c r="E6583" s="60" t="str">
        <f>HYPERLINK("https://www.sds-group.ru/product/bolt-shestigrannyy-kranz-din-933-10h45-upakovka-postavschika-24-kg-700-sht-1302-1045-1/", "Инфо")</f>
        <v>Инфо</v>
      </c>
      <c r="F6583" s="34" t="s">
        <v>39</v>
      </c>
      <c r="G6583" s="33"/>
      <c r="H6583" s="33" t="s">
        <v>40</v>
      </c>
      <c r="I6583" s="33"/>
      <c r="J6583" s="34" t="s">
        <v>100</v>
      </c>
      <c r="K6583" s="33"/>
      <c r="L6583" s="35">
        <v>700</v>
      </c>
      <c r="M6583" s="35">
        <v>700</v>
      </c>
      <c r="N6583" s="35">
        <v>700</v>
      </c>
      <c r="O6583" s="36">
        <v>3.2</v>
      </c>
      <c r="P6583" s="36">
        <v>2.62</v>
      </c>
      <c r="Q6583" s="36">
        <v>2.2400000000000002</v>
      </c>
      <c r="R6583" s="36">
        <v>1.84</v>
      </c>
      <c r="S6583" s="36">
        <v>2.1800000000000002</v>
      </c>
      <c r="T6583" s="36">
        <v>1.79</v>
      </c>
      <c r="U6583" s="34"/>
      <c r="V6583" s="34"/>
      <c r="W6583" s="34"/>
      <c r="X6583" s="37">
        <v>3.3000000000000002E-2</v>
      </c>
      <c r="Y6583" s="38">
        <v>1.2999999999999999E-5</v>
      </c>
      <c r="Z6583" s="21">
        <v>2000604395104</v>
      </c>
    </row>
    <row r="6584" spans="1:26" ht="12" customHeight="1" outlineLevel="3" x14ac:dyDescent="0.2">
      <c r="A6584" s="32" t="s">
        <v>12695</v>
      </c>
      <c r="B6584" s="74" t="s">
        <v>12696</v>
      </c>
      <c r="C6584" s="50"/>
      <c r="D6584" s="53">
        <f t="shared" si="102"/>
        <v>0</v>
      </c>
      <c r="E6584" s="60" t="str">
        <f>HYPERLINK("https://www.sds-group.ru/product/bolt-shestigrannyy-kranz-din-933-16h90-upakovka-postavschika-24-kg-150-sht-1302-1690-1/", "Инфо")</f>
        <v>Инфо</v>
      </c>
      <c r="F6584" s="34" t="s">
        <v>39</v>
      </c>
      <c r="G6584" s="33"/>
      <c r="H6584" s="33" t="s">
        <v>40</v>
      </c>
      <c r="I6584" s="33"/>
      <c r="J6584" s="35">
        <v>600</v>
      </c>
      <c r="K6584" s="33"/>
      <c r="L6584" s="35">
        <v>150</v>
      </c>
      <c r="M6584" s="35">
        <v>150</v>
      </c>
      <c r="N6584" s="35">
        <v>150</v>
      </c>
      <c r="O6584" s="36">
        <v>35.729999999999997</v>
      </c>
      <c r="P6584" s="36">
        <v>29.29</v>
      </c>
      <c r="Q6584" s="36">
        <v>25.01</v>
      </c>
      <c r="R6584" s="36">
        <v>20.5</v>
      </c>
      <c r="S6584" s="36">
        <v>24.3</v>
      </c>
      <c r="T6584" s="36">
        <v>19.920000000000002</v>
      </c>
      <c r="U6584" s="34"/>
      <c r="V6584" s="34"/>
      <c r="W6584" s="34"/>
      <c r="X6584" s="37">
        <v>0.152</v>
      </c>
      <c r="Y6584" s="38">
        <v>6.6000000000000005E-5</v>
      </c>
      <c r="Z6584" s="21">
        <v>2000604395159</v>
      </c>
    </row>
    <row r="6585" spans="1:26" ht="12" customHeight="1" outlineLevel="3" x14ac:dyDescent="0.2">
      <c r="A6585" s="32" t="s">
        <v>12697</v>
      </c>
      <c r="B6585" s="74" t="s">
        <v>12698</v>
      </c>
      <c r="C6585" s="50"/>
      <c r="D6585" s="53">
        <f t="shared" si="102"/>
        <v>0</v>
      </c>
      <c r="E6585" s="60" t="str">
        <f>HYPERLINK("https://www.sds-group.ru/product/bolt-shestigrannyy-kranz-din-933-6h40-upakovka-postavschika-24-kg-2-500-sht-1302-0640-1/", "Инфо")</f>
        <v>Инфо</v>
      </c>
      <c r="F6585" s="34" t="s">
        <v>39</v>
      </c>
      <c r="G6585" s="33"/>
      <c r="H6585" s="33" t="s">
        <v>40</v>
      </c>
      <c r="I6585" s="33"/>
      <c r="J6585" s="39">
        <v>7500</v>
      </c>
      <c r="K6585" s="33"/>
      <c r="L6585" s="39">
        <v>2500</v>
      </c>
      <c r="M6585" s="39">
        <v>2500</v>
      </c>
      <c r="N6585" s="39">
        <v>2500</v>
      </c>
      <c r="O6585" s="36">
        <v>2.16</v>
      </c>
      <c r="P6585" s="36">
        <v>1.77</v>
      </c>
      <c r="Q6585" s="36">
        <v>1.51</v>
      </c>
      <c r="R6585" s="36">
        <v>1.24</v>
      </c>
      <c r="S6585" s="36">
        <v>1.47</v>
      </c>
      <c r="T6585" s="36">
        <v>1.2</v>
      </c>
      <c r="U6585" s="34"/>
      <c r="V6585" s="34"/>
      <c r="W6585" s="34"/>
      <c r="X6585" s="37">
        <v>8.9999999999999993E-3</v>
      </c>
      <c r="Y6585" s="38">
        <v>3.9999999999999998E-6</v>
      </c>
      <c r="Z6585" s="21">
        <v>2000604395173</v>
      </c>
    </row>
    <row r="6586" spans="1:26" ht="12" customHeight="1" outlineLevel="3" x14ac:dyDescent="0.2">
      <c r="A6586" s="32" t="s">
        <v>12699</v>
      </c>
      <c r="B6586" s="74" t="s">
        <v>12700</v>
      </c>
      <c r="C6586" s="50"/>
      <c r="D6586" s="53">
        <f t="shared" si="102"/>
        <v>0</v>
      </c>
      <c r="E6586" s="60" t="str">
        <f>HYPERLINK("https://www.sds-group.ru/product/bolt-shestigrannyy-kranz-din-933-6h50-upakovka-postavschika-24-kg-2-100-sht-1302-0650-1/", "Инфо")</f>
        <v>Инфо</v>
      </c>
      <c r="F6586" s="34" t="s">
        <v>39</v>
      </c>
      <c r="G6586" s="33"/>
      <c r="H6586" s="33" t="s">
        <v>40</v>
      </c>
      <c r="I6586" s="33"/>
      <c r="J6586" s="39">
        <v>4200</v>
      </c>
      <c r="K6586" s="33"/>
      <c r="L6586" s="39">
        <v>2100</v>
      </c>
      <c r="M6586" s="39">
        <v>2100</v>
      </c>
      <c r="N6586" s="39">
        <v>2100</v>
      </c>
      <c r="O6586" s="36">
        <v>2.29</v>
      </c>
      <c r="P6586" s="36">
        <v>1.88</v>
      </c>
      <c r="Q6586" s="36">
        <v>1.6</v>
      </c>
      <c r="R6586" s="36">
        <v>1.31</v>
      </c>
      <c r="S6586" s="36">
        <v>1.56</v>
      </c>
      <c r="T6586" s="36">
        <v>1.28</v>
      </c>
      <c r="U6586" s="34"/>
      <c r="V6586" s="34"/>
      <c r="W6586" s="34"/>
      <c r="X6586" s="37">
        <v>1.0999999999999999E-2</v>
      </c>
      <c r="Y6586" s="38">
        <v>6.0000000000000002E-6</v>
      </c>
      <c r="Z6586" s="21">
        <v>2000604395180</v>
      </c>
    </row>
    <row r="6587" spans="1:26" ht="12" customHeight="1" outlineLevel="3" x14ac:dyDescent="0.2">
      <c r="A6587" s="32" t="s">
        <v>12701</v>
      </c>
      <c r="B6587" s="74" t="s">
        <v>12702</v>
      </c>
      <c r="C6587" s="50"/>
      <c r="D6587" s="53">
        <f t="shared" si="102"/>
        <v>0</v>
      </c>
      <c r="E6587" s="60" t="str">
        <f>HYPERLINK("https://www.sds-group.ru/product/bolt-shestigrannyy-kranz-din-933-8h110-upakovka-postavschika-24-kg-500-sht-1302-0891-1/", "Инфо")</f>
        <v>Инфо</v>
      </c>
      <c r="F6587" s="34" t="s">
        <v>39</v>
      </c>
      <c r="G6587" s="33"/>
      <c r="H6587" s="33" t="s">
        <v>40</v>
      </c>
      <c r="I6587" s="33"/>
      <c r="J6587" s="34" t="s">
        <v>100</v>
      </c>
      <c r="K6587" s="33"/>
      <c r="L6587" s="35">
        <v>500</v>
      </c>
      <c r="M6587" s="35">
        <v>500</v>
      </c>
      <c r="N6587" s="35">
        <v>500</v>
      </c>
      <c r="O6587" s="36">
        <v>3.74</v>
      </c>
      <c r="P6587" s="36">
        <v>3.07</v>
      </c>
      <c r="Q6587" s="36">
        <v>2.62</v>
      </c>
      <c r="R6587" s="36">
        <v>2.15</v>
      </c>
      <c r="S6587" s="36">
        <v>2.54</v>
      </c>
      <c r="T6587" s="36">
        <v>2.08</v>
      </c>
      <c r="U6587" s="34"/>
      <c r="V6587" s="34"/>
      <c r="W6587" s="34"/>
      <c r="X6587" s="37">
        <v>0.04</v>
      </c>
      <c r="Y6587" s="38">
        <v>2.5999999999999998E-5</v>
      </c>
      <c r="Z6587" s="21">
        <v>2000604395197</v>
      </c>
    </row>
    <row r="6588" spans="1:26" ht="12" customHeight="1" outlineLevel="3" x14ac:dyDescent="0.2">
      <c r="A6588" s="32" t="s">
        <v>12703</v>
      </c>
      <c r="B6588" s="74" t="s">
        <v>12704</v>
      </c>
      <c r="C6588" s="50"/>
      <c r="D6588" s="53">
        <f t="shared" si="102"/>
        <v>0</v>
      </c>
      <c r="E6588" s="60" t="str">
        <f>HYPERLINK("https://www.sds-group.ru/product/bolt-shestigrannyy-kranz-din-933-8h200-upakovka-postavschika-24-kg-350-sht-1302-0893-1/", "Инфо")</f>
        <v>Инфо</v>
      </c>
      <c r="F6588" s="34" t="s">
        <v>39</v>
      </c>
      <c r="G6588" s="33"/>
      <c r="H6588" s="33" t="s">
        <v>40</v>
      </c>
      <c r="I6588" s="33"/>
      <c r="J6588" s="39">
        <v>25550</v>
      </c>
      <c r="K6588" s="33"/>
      <c r="L6588" s="35">
        <v>350</v>
      </c>
      <c r="M6588" s="35">
        <v>350</v>
      </c>
      <c r="N6588" s="35">
        <v>350</v>
      </c>
      <c r="O6588" s="36">
        <v>4.58</v>
      </c>
      <c r="P6588" s="36">
        <v>3.75</v>
      </c>
      <c r="Q6588" s="36">
        <v>3.21</v>
      </c>
      <c r="R6588" s="36">
        <v>2.63</v>
      </c>
      <c r="S6588" s="36">
        <v>3.11</v>
      </c>
      <c r="T6588" s="36">
        <v>2.5499999999999998</v>
      </c>
      <c r="U6588" s="34"/>
      <c r="V6588" s="34"/>
      <c r="W6588" s="34"/>
      <c r="X6588" s="37">
        <v>6.6000000000000003E-2</v>
      </c>
      <c r="Y6588" s="38">
        <v>3.3000000000000003E-5</v>
      </c>
      <c r="Z6588" s="21">
        <v>2000604395210</v>
      </c>
    </row>
    <row r="6589" spans="1:26" ht="12" customHeight="1" outlineLevel="3" x14ac:dyDescent="0.2">
      <c r="A6589" s="32" t="s">
        <v>12705</v>
      </c>
      <c r="B6589" s="74" t="s">
        <v>12706</v>
      </c>
      <c r="C6589" s="50"/>
      <c r="D6589" s="53">
        <f t="shared" si="102"/>
        <v>0</v>
      </c>
      <c r="E6589" s="60" t="str">
        <f>HYPERLINK("https://www.sds-group.ru/product/bolt-shestigrannyy-kranz-din-933-8h45-upakovka-postavschika-24-kg-1-100-sht-1302-0845-1/", "Инфо")</f>
        <v>Инфо</v>
      </c>
      <c r="F6589" s="34" t="s">
        <v>39</v>
      </c>
      <c r="G6589" s="33"/>
      <c r="H6589" s="33" t="s">
        <v>40</v>
      </c>
      <c r="I6589" s="33"/>
      <c r="J6589" s="39">
        <v>3300</v>
      </c>
      <c r="K6589" s="33"/>
      <c r="L6589" s="39">
        <v>1100</v>
      </c>
      <c r="M6589" s="39">
        <v>1100</v>
      </c>
      <c r="N6589" s="39">
        <v>1100</v>
      </c>
      <c r="O6589" s="36">
        <v>4.49</v>
      </c>
      <c r="P6589" s="36">
        <v>3.68</v>
      </c>
      <c r="Q6589" s="36">
        <v>3.14</v>
      </c>
      <c r="R6589" s="36">
        <v>2.57</v>
      </c>
      <c r="S6589" s="36">
        <v>3.05</v>
      </c>
      <c r="T6589" s="36">
        <v>2.5</v>
      </c>
      <c r="U6589" s="34"/>
      <c r="V6589" s="34"/>
      <c r="W6589" s="34"/>
      <c r="X6589" s="37">
        <v>0.02</v>
      </c>
      <c r="Y6589" s="38">
        <v>7.9999999999999996E-6</v>
      </c>
      <c r="Z6589" s="21">
        <v>2000604395234</v>
      </c>
    </row>
    <row r="6590" spans="1:26" ht="12" customHeight="1" outlineLevel="3" x14ac:dyDescent="0.2">
      <c r="A6590" s="32" t="s">
        <v>12707</v>
      </c>
      <c r="B6590" s="74" t="s">
        <v>12708</v>
      </c>
      <c r="C6590" s="50"/>
      <c r="D6590" s="53">
        <f t="shared" si="102"/>
        <v>0</v>
      </c>
      <c r="E6590" s="60" t="str">
        <f>HYPERLINK("https://www.sds-group.ru/product/bolt-shestigrannyy-kranz-din-933-8h50-upakovka-postavschika-24-kg-1-100-sht-1302-0850-1/", "Инфо")</f>
        <v>Инфо</v>
      </c>
      <c r="F6590" s="34" t="s">
        <v>39</v>
      </c>
      <c r="G6590" s="33"/>
      <c r="H6590" s="33" t="s">
        <v>40</v>
      </c>
      <c r="I6590" s="33"/>
      <c r="J6590" s="39">
        <v>1100</v>
      </c>
      <c r="K6590" s="33"/>
      <c r="L6590" s="39">
        <v>1100</v>
      </c>
      <c r="M6590" s="39">
        <v>1100</v>
      </c>
      <c r="N6590" s="39">
        <v>1100</v>
      </c>
      <c r="O6590" s="36">
        <v>5.29</v>
      </c>
      <c r="P6590" s="36">
        <v>4.34</v>
      </c>
      <c r="Q6590" s="36">
        <v>3.7</v>
      </c>
      <c r="R6590" s="36">
        <v>3.03</v>
      </c>
      <c r="S6590" s="36">
        <v>3.6</v>
      </c>
      <c r="T6590" s="36">
        <v>2.95</v>
      </c>
      <c r="U6590" s="34"/>
      <c r="V6590" s="34"/>
      <c r="W6590" s="34"/>
      <c r="X6590" s="37">
        <v>2.1000000000000001E-2</v>
      </c>
      <c r="Y6590" s="38">
        <v>9.0000000000000002E-6</v>
      </c>
      <c r="Z6590" s="21">
        <v>2000604395241</v>
      </c>
    </row>
    <row r="6591" spans="1:26" ht="12" customHeight="1" outlineLevel="3" x14ac:dyDescent="0.2">
      <c r="A6591" s="32" t="s">
        <v>12709</v>
      </c>
      <c r="B6591" s="74" t="s">
        <v>12710</v>
      </c>
      <c r="C6591" s="50"/>
      <c r="D6591" s="53">
        <f t="shared" si="102"/>
        <v>0</v>
      </c>
      <c r="E6591" s="60" t="str">
        <f>HYPERLINK("https://www.sds-group.ru/product/bolt-shestigrannyy-kranz-din-933-8h55-upakovka-postavschika-24-kg-900-sht-1302-0855-1/", "Инфо")</f>
        <v>Инфо</v>
      </c>
      <c r="F6591" s="34" t="s">
        <v>39</v>
      </c>
      <c r="G6591" s="33"/>
      <c r="H6591" s="33" t="s">
        <v>40</v>
      </c>
      <c r="I6591" s="33"/>
      <c r="J6591" s="34" t="s">
        <v>100</v>
      </c>
      <c r="K6591" s="33"/>
      <c r="L6591" s="35">
        <v>900</v>
      </c>
      <c r="M6591" s="35">
        <v>900</v>
      </c>
      <c r="N6591" s="35">
        <v>900</v>
      </c>
      <c r="O6591" s="36">
        <v>4.66</v>
      </c>
      <c r="P6591" s="36">
        <v>3.82</v>
      </c>
      <c r="Q6591" s="36">
        <v>3.26</v>
      </c>
      <c r="R6591" s="36">
        <v>2.67</v>
      </c>
      <c r="S6591" s="36">
        <v>3.17</v>
      </c>
      <c r="T6591" s="36">
        <v>2.6</v>
      </c>
      <c r="U6591" s="34"/>
      <c r="V6591" s="34"/>
      <c r="W6591" s="34"/>
      <c r="X6591" s="37">
        <v>2.3E-2</v>
      </c>
      <c r="Y6591" s="38">
        <v>1.1E-5</v>
      </c>
      <c r="Z6591" s="21">
        <v>2000604395258</v>
      </c>
    </row>
    <row r="6592" spans="1:26" ht="12" customHeight="1" outlineLevel="3" x14ac:dyDescent="0.2">
      <c r="A6592" s="32" t="s">
        <v>12711</v>
      </c>
      <c r="B6592" s="74" t="s">
        <v>12712</v>
      </c>
      <c r="C6592" s="50"/>
      <c r="D6592" s="53">
        <f t="shared" si="102"/>
        <v>0</v>
      </c>
      <c r="E6592" s="60" t="str">
        <f>HYPERLINK("https://www.sds-group.ru/product/bolt-shestigrannyy-kranz-din-933-8h90-upakovka-postavschika-24-kg-600-sht-1302-0890-1/", "Инфо")</f>
        <v>Инфо</v>
      </c>
      <c r="F6592" s="34" t="s">
        <v>39</v>
      </c>
      <c r="G6592" s="33"/>
      <c r="H6592" s="33" t="s">
        <v>40</v>
      </c>
      <c r="I6592" s="33"/>
      <c r="J6592" s="39">
        <v>31200</v>
      </c>
      <c r="K6592" s="33"/>
      <c r="L6592" s="35">
        <v>600</v>
      </c>
      <c r="M6592" s="35">
        <v>600</v>
      </c>
      <c r="N6592" s="35">
        <v>600</v>
      </c>
      <c r="O6592" s="36">
        <v>3.2</v>
      </c>
      <c r="P6592" s="36">
        <v>2.62</v>
      </c>
      <c r="Q6592" s="36">
        <v>2.2400000000000002</v>
      </c>
      <c r="R6592" s="36">
        <v>1.84</v>
      </c>
      <c r="S6592" s="36">
        <v>2.1800000000000002</v>
      </c>
      <c r="T6592" s="36">
        <v>1.79</v>
      </c>
      <c r="U6592" s="34"/>
      <c r="V6592" s="34"/>
      <c r="W6592" s="34"/>
      <c r="X6592" s="37">
        <v>3.3000000000000002E-2</v>
      </c>
      <c r="Y6592" s="38">
        <v>1.7E-5</v>
      </c>
      <c r="Z6592" s="21">
        <v>2000604395289</v>
      </c>
    </row>
    <row r="6593" spans="1:26" ht="12" customHeight="1" outlineLevel="3" x14ac:dyDescent="0.2">
      <c r="A6593" s="32" t="s">
        <v>12713</v>
      </c>
      <c r="B6593" s="74" t="s">
        <v>12714</v>
      </c>
      <c r="C6593" s="50"/>
      <c r="D6593" s="53">
        <f t="shared" si="102"/>
        <v>0</v>
      </c>
      <c r="E6593" s="60" t="str">
        <f>HYPERLINK("https://www.sds-group.ru/product/gayka-shestigrannaya-kranz-din-934-m12-upakovka-postavschika-20-kg-1-600-sht-1304-0012-1/", "Инфо")</f>
        <v>Инфо</v>
      </c>
      <c r="F6593" s="34" t="s">
        <v>39</v>
      </c>
      <c r="G6593" s="33"/>
      <c r="H6593" s="33" t="s">
        <v>40</v>
      </c>
      <c r="I6593" s="33"/>
      <c r="J6593" s="39">
        <v>80000</v>
      </c>
      <c r="K6593" s="33"/>
      <c r="L6593" s="39">
        <v>1600</v>
      </c>
      <c r="M6593" s="39">
        <v>1600</v>
      </c>
      <c r="N6593" s="39">
        <v>1600</v>
      </c>
      <c r="O6593" s="36">
        <v>1.69</v>
      </c>
      <c r="P6593" s="36">
        <v>1.39</v>
      </c>
      <c r="Q6593" s="36">
        <v>1.18</v>
      </c>
      <c r="R6593" s="36">
        <v>0.97</v>
      </c>
      <c r="S6593" s="36">
        <v>1.1499999999999999</v>
      </c>
      <c r="T6593" s="36">
        <v>0.94</v>
      </c>
      <c r="U6593" s="34"/>
      <c r="V6593" s="34"/>
      <c r="W6593" s="34"/>
      <c r="X6593" s="37">
        <v>1.4E-2</v>
      </c>
      <c r="Y6593" s="38">
        <v>6.0000000000000002E-6</v>
      </c>
      <c r="Z6593" s="21">
        <v>2000604395340</v>
      </c>
    </row>
    <row r="6594" spans="1:26" ht="12" customHeight="1" outlineLevel="3" x14ac:dyDescent="0.2">
      <c r="A6594" s="32" t="s">
        <v>12715</v>
      </c>
      <c r="B6594" s="74" t="s">
        <v>12716</v>
      </c>
      <c r="C6594" s="50"/>
      <c r="D6594" s="53">
        <f t="shared" si="102"/>
        <v>0</v>
      </c>
      <c r="E6594" s="60" t="str">
        <f>HYPERLINK("https://www.sds-group.ru/product/shayba-uvelichennaya-din-9021-m12-upakovka-postavschika-20-5-kg-1000-sht-kranz-1308-0012-1/", "Инфо")</f>
        <v>Инфо</v>
      </c>
      <c r="F6594" s="34" t="s">
        <v>39</v>
      </c>
      <c r="G6594" s="33"/>
      <c r="H6594" s="33" t="s">
        <v>40</v>
      </c>
      <c r="I6594" s="33"/>
      <c r="J6594" s="34" t="s">
        <v>100</v>
      </c>
      <c r="K6594" s="33"/>
      <c r="L6594" s="39">
        <v>1000</v>
      </c>
      <c r="M6594" s="39">
        <v>1000</v>
      </c>
      <c r="N6594" s="39">
        <v>1000</v>
      </c>
      <c r="O6594" s="36">
        <v>2.92</v>
      </c>
      <c r="P6594" s="36">
        <v>2.39</v>
      </c>
      <c r="Q6594" s="36">
        <v>2.04</v>
      </c>
      <c r="R6594" s="36">
        <v>1.67</v>
      </c>
      <c r="S6594" s="36">
        <v>1.99</v>
      </c>
      <c r="T6594" s="36">
        <v>1.63</v>
      </c>
      <c r="U6594" s="34"/>
      <c r="V6594" s="34"/>
      <c r="W6594" s="34"/>
      <c r="X6594" s="37">
        <v>0.02</v>
      </c>
      <c r="Y6594" s="38">
        <v>1.2E-5</v>
      </c>
      <c r="Z6594" s="21">
        <v>2000604395517</v>
      </c>
    </row>
    <row r="6595" spans="1:26" ht="12.95" customHeight="1" x14ac:dyDescent="0.2">
      <c r="A6595" s="80" t="s">
        <v>12717</v>
      </c>
      <c r="B6595" s="80"/>
      <c r="C6595" s="81"/>
      <c r="D6595" s="56"/>
      <c r="E6595" s="66"/>
      <c r="F6595" s="11"/>
      <c r="G6595" s="11"/>
      <c r="H6595" s="11"/>
      <c r="I6595" s="11"/>
      <c r="J6595" s="11"/>
      <c r="K6595" s="11"/>
      <c r="L6595" s="11"/>
      <c r="M6595" s="11"/>
      <c r="N6595" s="11"/>
      <c r="O6595" s="11"/>
      <c r="P6595" s="11"/>
      <c r="Q6595" s="11"/>
      <c r="R6595" s="11"/>
      <c r="S6595" s="11"/>
      <c r="T6595" s="11"/>
      <c r="U6595" s="11"/>
      <c r="V6595" s="11"/>
      <c r="W6595" s="11"/>
      <c r="X6595" s="11"/>
      <c r="Y6595" s="11"/>
      <c r="Z6595" s="11"/>
    </row>
    <row r="6596" spans="1:26" ht="12.95" customHeight="1" outlineLevel="1" x14ac:dyDescent="0.2">
      <c r="A6596" s="78" t="s">
        <v>12718</v>
      </c>
      <c r="B6596" s="78"/>
      <c r="C6596" s="79"/>
      <c r="D6596" s="57"/>
      <c r="E6596" s="67"/>
      <c r="F6596" s="12"/>
      <c r="G6596" s="12"/>
      <c r="H6596" s="12"/>
      <c r="I6596" s="12"/>
      <c r="J6596" s="12"/>
      <c r="K6596" s="12"/>
      <c r="L6596" s="12"/>
      <c r="M6596" s="12"/>
      <c r="N6596" s="12"/>
      <c r="O6596" s="12"/>
      <c r="P6596" s="12"/>
      <c r="Q6596" s="12"/>
      <c r="R6596" s="12"/>
      <c r="S6596" s="12"/>
      <c r="T6596" s="12"/>
      <c r="U6596" s="12"/>
      <c r="V6596" s="12"/>
      <c r="W6596" s="12"/>
      <c r="X6596" s="12"/>
      <c r="Y6596" s="12"/>
      <c r="Z6596" s="12"/>
    </row>
    <row r="6597" spans="1:26" ht="12.95" customHeight="1" outlineLevel="2" x14ac:dyDescent="0.2">
      <c r="A6597" s="76" t="s">
        <v>12719</v>
      </c>
      <c r="B6597" s="76"/>
      <c r="C6597" s="77"/>
      <c r="D6597" s="58"/>
      <c r="E6597" s="68"/>
      <c r="F6597" s="13"/>
      <c r="G6597" s="13"/>
      <c r="H6597" s="13"/>
      <c r="I6597" s="13"/>
      <c r="J6597" s="13"/>
      <c r="K6597" s="13"/>
      <c r="L6597" s="13"/>
      <c r="M6597" s="13"/>
      <c r="N6597" s="13"/>
      <c r="O6597" s="13"/>
      <c r="P6597" s="13"/>
      <c r="Q6597" s="13"/>
      <c r="R6597" s="13"/>
      <c r="S6597" s="13"/>
      <c r="T6597" s="13"/>
      <c r="U6597" s="13"/>
      <c r="V6597" s="13"/>
      <c r="W6597" s="13"/>
      <c r="X6597" s="13"/>
      <c r="Y6597" s="13"/>
      <c r="Z6597" s="13"/>
    </row>
    <row r="6598" spans="1:26" ht="12.95" customHeight="1" outlineLevel="3" x14ac:dyDescent="0.2">
      <c r="A6598" s="82" t="s">
        <v>12720</v>
      </c>
      <c r="B6598" s="82"/>
      <c r="C6598" s="83"/>
      <c r="D6598" s="59"/>
      <c r="E6598" s="69"/>
      <c r="F6598" s="23"/>
      <c r="G6598" s="23"/>
      <c r="H6598" s="23"/>
      <c r="I6598" s="23"/>
      <c r="J6598" s="23"/>
      <c r="K6598" s="23"/>
      <c r="L6598" s="23"/>
      <c r="M6598" s="23"/>
      <c r="N6598" s="23"/>
      <c r="O6598" s="23"/>
      <c r="P6598" s="23"/>
      <c r="Q6598" s="23"/>
      <c r="R6598" s="23"/>
      <c r="S6598" s="23"/>
      <c r="T6598" s="23"/>
      <c r="U6598" s="23"/>
      <c r="V6598" s="23"/>
      <c r="W6598" s="23"/>
      <c r="X6598" s="23"/>
      <c r="Y6598" s="23"/>
      <c r="Z6598" s="23"/>
    </row>
    <row r="6599" spans="1:26" ht="12" customHeight="1" outlineLevel="4" x14ac:dyDescent="0.2">
      <c r="A6599" s="14" t="s">
        <v>12721</v>
      </c>
      <c r="B6599" s="26" t="s">
        <v>12722</v>
      </c>
      <c r="C6599" s="52"/>
      <c r="D6599" s="55">
        <f t="shared" si="102"/>
        <v>0</v>
      </c>
      <c r="E6599" s="63" t="str">
        <f>HYPERLINK("https://www.sds-group.ru/product/kabel-vitaya-para-f-utp-cat-5e-lszh-ng-a-hf-2pr-24awg-indoor-solid-seryy-305m-rexant-02-0022/", "Инфо")</f>
        <v>Инфо</v>
      </c>
      <c r="F6599" s="16" t="s">
        <v>1887</v>
      </c>
      <c r="G6599" s="15"/>
      <c r="H6599" s="15"/>
      <c r="I6599" s="15"/>
      <c r="J6599" s="17">
        <v>32</v>
      </c>
      <c r="K6599" s="15" t="s">
        <v>4013</v>
      </c>
      <c r="L6599" s="17">
        <v>1</v>
      </c>
      <c r="M6599" s="17">
        <v>2</v>
      </c>
      <c r="N6599" s="17">
        <v>1</v>
      </c>
      <c r="O6599" s="18">
        <v>23178.12</v>
      </c>
      <c r="P6599" s="18">
        <v>18998.46</v>
      </c>
      <c r="Q6599" s="18">
        <v>20628.53</v>
      </c>
      <c r="R6599" s="18">
        <v>16908.63</v>
      </c>
      <c r="S6599" s="18">
        <v>15761.12</v>
      </c>
      <c r="T6599" s="18">
        <v>12918.95</v>
      </c>
      <c r="U6599" s="16"/>
      <c r="V6599" s="16"/>
      <c r="W6599" s="16" t="s">
        <v>40</v>
      </c>
      <c r="X6599" s="19">
        <v>9.1</v>
      </c>
      <c r="Y6599" s="20">
        <v>2.5999999999999999E-2</v>
      </c>
      <c r="Z6599" s="21">
        <v>4601004271401</v>
      </c>
    </row>
    <row r="6600" spans="1:26" ht="12" customHeight="1" outlineLevel="4" x14ac:dyDescent="0.2">
      <c r="A6600" s="14" t="s">
        <v>12723</v>
      </c>
      <c r="B6600" s="26" t="s">
        <v>12724</v>
      </c>
      <c r="C6600" s="52"/>
      <c r="D6600" s="55">
        <f t="shared" si="102"/>
        <v>0</v>
      </c>
      <c r="E6600" s="63" t="str">
        <f>HYPERLINK("https://www.sds-group.ru/product/kabel-vitaya-para-f-utp-cat-5e-lszh-ng-a-hf-4pr-24awg-indoor-solid-seryy-305m-rexant-02-0021/", "Инфо")</f>
        <v>Инфо</v>
      </c>
      <c r="F6600" s="16" t="s">
        <v>1887</v>
      </c>
      <c r="G6600" s="15"/>
      <c r="H6600" s="15"/>
      <c r="I6600" s="15"/>
      <c r="J6600" s="17">
        <v>3</v>
      </c>
      <c r="K6600" s="15" t="s">
        <v>925</v>
      </c>
      <c r="L6600" s="17">
        <v>1</v>
      </c>
      <c r="M6600" s="17">
        <v>2</v>
      </c>
      <c r="N6600" s="17">
        <v>1</v>
      </c>
      <c r="O6600" s="18">
        <v>28871.68</v>
      </c>
      <c r="P6600" s="18">
        <v>23665.31</v>
      </c>
      <c r="Q6600" s="18">
        <v>25695.8</v>
      </c>
      <c r="R6600" s="18">
        <v>21062.13</v>
      </c>
      <c r="S6600" s="18">
        <v>19632.740000000002</v>
      </c>
      <c r="T6600" s="18">
        <v>16092.41</v>
      </c>
      <c r="U6600" s="16"/>
      <c r="V6600" s="16"/>
      <c r="W6600" s="16" t="s">
        <v>40</v>
      </c>
      <c r="X6600" s="19">
        <v>14.295999999999999</v>
      </c>
      <c r="Y6600" s="20">
        <v>5.5058000000000003E-2</v>
      </c>
      <c r="Z6600" s="21">
        <v>4601004271388</v>
      </c>
    </row>
    <row r="6601" spans="1:26" ht="12" customHeight="1" outlineLevel="4" x14ac:dyDescent="0.2">
      <c r="A6601" s="14" t="s">
        <v>12725</v>
      </c>
      <c r="B6601" s="26" t="s">
        <v>12726</v>
      </c>
      <c r="C6601" s="52"/>
      <c r="D6601" s="55">
        <f t="shared" ref="D6601:D6664" si="103">C6601*(O6601-O6601*$G$3)</f>
        <v>0</v>
      </c>
      <c r="E6601" s="63" t="str">
        <f>HYPERLINK("https://www.sds-group.ru/product/kabel-vitaya-para-f-utp-cat-5e-pvc-4h2h0-52-mm-24awg-indoor-solid-seryy-305m-rexant-02-0025/", "Инфо")</f>
        <v>Инфо</v>
      </c>
      <c r="F6601" s="16" t="s">
        <v>1887</v>
      </c>
      <c r="G6601" s="15"/>
      <c r="H6601" s="15"/>
      <c r="I6601" s="15"/>
      <c r="J6601" s="17">
        <v>185</v>
      </c>
      <c r="K6601" s="15" t="s">
        <v>4926</v>
      </c>
      <c r="L6601" s="17">
        <v>1</v>
      </c>
      <c r="M6601" s="17">
        <v>2</v>
      </c>
      <c r="N6601" s="17">
        <v>1</v>
      </c>
      <c r="O6601" s="18">
        <v>28182.36</v>
      </c>
      <c r="P6601" s="18">
        <v>23100.3</v>
      </c>
      <c r="Q6601" s="18">
        <v>25082.3</v>
      </c>
      <c r="R6601" s="18">
        <v>20559.259999999998</v>
      </c>
      <c r="S6601" s="18">
        <v>19164</v>
      </c>
      <c r="T6601" s="18">
        <v>15708.2</v>
      </c>
      <c r="U6601" s="16"/>
      <c r="V6601" s="16"/>
      <c r="W6601" s="16" t="s">
        <v>40</v>
      </c>
      <c r="X6601" s="19">
        <v>13.632999999999999</v>
      </c>
      <c r="Y6601" s="20">
        <v>4.6227999999999998E-2</v>
      </c>
      <c r="Z6601" s="21">
        <v>4601004271418</v>
      </c>
    </row>
    <row r="6602" spans="1:26" ht="12" customHeight="1" outlineLevel="4" x14ac:dyDescent="0.2">
      <c r="A6602" s="14" t="s">
        <v>12727</v>
      </c>
      <c r="B6602" s="26" t="s">
        <v>12728</v>
      </c>
      <c r="C6602" s="52"/>
      <c r="D6602" s="55">
        <f t="shared" si="103"/>
        <v>0</v>
      </c>
      <c r="E6602" s="63" t="str">
        <f>HYPERLINK("https://www.sds-group.ru/product/kabel-vitaya-para-u-utp-cat-5e-lszh-ng-a-hf-2pr-24awg-indoor-solid-seryy-305m-rexant-02-0002/", "Инфо")</f>
        <v>Инфо</v>
      </c>
      <c r="F6602" s="16" t="s">
        <v>1887</v>
      </c>
      <c r="G6602" s="15"/>
      <c r="H6602" s="15"/>
      <c r="I6602" s="15"/>
      <c r="J6602" s="17">
        <v>17</v>
      </c>
      <c r="K6602" s="15" t="s">
        <v>4926</v>
      </c>
      <c r="L6602" s="17">
        <v>1</v>
      </c>
      <c r="M6602" s="17">
        <v>2</v>
      </c>
      <c r="N6602" s="17">
        <v>1</v>
      </c>
      <c r="O6602" s="18">
        <v>17737.8</v>
      </c>
      <c r="P6602" s="18">
        <v>14539.18</v>
      </c>
      <c r="Q6602" s="18">
        <v>15786.64</v>
      </c>
      <c r="R6602" s="18">
        <v>12939.87</v>
      </c>
      <c r="S6602" s="18">
        <v>12061.7</v>
      </c>
      <c r="T6602" s="18">
        <v>9886.64</v>
      </c>
      <c r="U6602" s="16"/>
      <c r="V6602" s="16"/>
      <c r="W6602" s="16" t="s">
        <v>40</v>
      </c>
      <c r="X6602" s="19">
        <v>7.484</v>
      </c>
      <c r="Y6602" s="20">
        <v>2.707E-2</v>
      </c>
      <c r="Z6602" s="21">
        <v>4601004271395</v>
      </c>
    </row>
    <row r="6603" spans="1:26" ht="12" customHeight="1" outlineLevel="4" x14ac:dyDescent="0.2">
      <c r="A6603" s="14" t="s">
        <v>12729</v>
      </c>
      <c r="B6603" s="26" t="s">
        <v>12730</v>
      </c>
      <c r="C6603" s="52"/>
      <c r="D6603" s="55">
        <f t="shared" si="103"/>
        <v>0</v>
      </c>
      <c r="E6603" s="63" t="str">
        <f>HYPERLINK("https://www.sds-group.ru/product/kabel-vitaya-para-u-utp-cat-5e-lszh-ng-a-hf-4pr-24awg-indoor-solid-seryy-305m-rexant-02-0004/", "Инфо")</f>
        <v>Инфо</v>
      </c>
      <c r="F6603" s="16" t="s">
        <v>1887</v>
      </c>
      <c r="G6603" s="15"/>
      <c r="H6603" s="15"/>
      <c r="I6603" s="15"/>
      <c r="J6603" s="17">
        <v>258</v>
      </c>
      <c r="K6603" s="15" t="s">
        <v>925</v>
      </c>
      <c r="L6603" s="17">
        <v>1</v>
      </c>
      <c r="M6603" s="17">
        <v>2</v>
      </c>
      <c r="N6603" s="17">
        <v>1</v>
      </c>
      <c r="O6603" s="18">
        <v>27148.5</v>
      </c>
      <c r="P6603" s="18">
        <v>22252.87</v>
      </c>
      <c r="Q6603" s="18">
        <v>24162.17</v>
      </c>
      <c r="R6603" s="18">
        <v>19805.060000000001</v>
      </c>
      <c r="S6603" s="18">
        <v>18460.98</v>
      </c>
      <c r="T6603" s="18">
        <v>15131.95</v>
      </c>
      <c r="U6603" s="16"/>
      <c r="V6603" s="16"/>
      <c r="W6603" s="16" t="s">
        <v>40</v>
      </c>
      <c r="X6603" s="19">
        <v>10.595000000000001</v>
      </c>
      <c r="Y6603" s="20">
        <v>2.7004E-2</v>
      </c>
      <c r="Z6603" s="21">
        <v>4601004271371</v>
      </c>
    </row>
    <row r="6604" spans="1:26" ht="12" customHeight="1" outlineLevel="4" x14ac:dyDescent="0.2">
      <c r="A6604" s="14" t="s">
        <v>12731</v>
      </c>
      <c r="B6604" s="26" t="s">
        <v>12732</v>
      </c>
      <c r="C6604" s="52"/>
      <c r="D6604" s="55">
        <f t="shared" si="103"/>
        <v>0</v>
      </c>
      <c r="E6604" s="63" t="str">
        <f>HYPERLINK("https://www.sds-group.ru/product/kabel-vitaya-para-u-utp-cat-5e-pvc-4h2h0-52-mm-24awg-indoor-solid-seryy-305m-rexant-02-0005/", "Инфо")</f>
        <v>Инфо</v>
      </c>
      <c r="F6604" s="16" t="s">
        <v>1887</v>
      </c>
      <c r="G6604" s="15"/>
      <c r="H6604" s="15"/>
      <c r="I6604" s="15"/>
      <c r="J6604" s="17">
        <v>189</v>
      </c>
      <c r="K6604" s="15" t="s">
        <v>4013</v>
      </c>
      <c r="L6604" s="17">
        <v>1</v>
      </c>
      <c r="M6604" s="17">
        <v>2</v>
      </c>
      <c r="N6604" s="17">
        <v>1</v>
      </c>
      <c r="O6604" s="18">
        <v>25556</v>
      </c>
      <c r="P6604" s="18">
        <v>20947.54</v>
      </c>
      <c r="Q6604" s="18">
        <v>22744.84</v>
      </c>
      <c r="R6604" s="18">
        <v>18643.310000000001</v>
      </c>
      <c r="S6604" s="18">
        <v>17378.080000000002</v>
      </c>
      <c r="T6604" s="18">
        <v>14244.33</v>
      </c>
      <c r="U6604" s="16"/>
      <c r="V6604" s="16"/>
      <c r="W6604" s="16" t="s">
        <v>40</v>
      </c>
      <c r="X6604" s="19">
        <v>10.35</v>
      </c>
      <c r="Y6604" s="20">
        <v>2.5923000000000002E-2</v>
      </c>
      <c r="Z6604" s="21">
        <v>4601004271432</v>
      </c>
    </row>
    <row r="6605" spans="1:26" ht="12.95" customHeight="1" outlineLevel="2" x14ac:dyDescent="0.2">
      <c r="A6605" s="76" t="s">
        <v>12733</v>
      </c>
      <c r="B6605" s="76"/>
      <c r="C6605" s="77"/>
      <c r="D6605" s="58"/>
      <c r="E6605" s="68"/>
      <c r="F6605" s="13"/>
      <c r="G6605" s="13"/>
      <c r="H6605" s="13"/>
      <c r="I6605" s="13"/>
      <c r="J6605" s="13"/>
      <c r="K6605" s="13"/>
      <c r="L6605" s="13"/>
      <c r="M6605" s="13"/>
      <c r="N6605" s="13"/>
      <c r="O6605" s="13"/>
      <c r="P6605" s="13"/>
      <c r="Q6605" s="13"/>
      <c r="R6605" s="13"/>
      <c r="S6605" s="13"/>
      <c r="T6605" s="13"/>
      <c r="U6605" s="13"/>
      <c r="V6605" s="13"/>
      <c r="W6605" s="13"/>
      <c r="X6605" s="13"/>
      <c r="Y6605" s="13"/>
      <c r="Z6605" s="13"/>
    </row>
    <row r="6606" spans="1:26" ht="12.95" customHeight="1" outlineLevel="3" x14ac:dyDescent="0.2">
      <c r="A6606" s="82" t="s">
        <v>12734</v>
      </c>
      <c r="B6606" s="82"/>
      <c r="C6606" s="83"/>
      <c r="D6606" s="59"/>
      <c r="E6606" s="69"/>
      <c r="F6606" s="23"/>
      <c r="G6606" s="23"/>
      <c r="H6606" s="23"/>
      <c r="I6606" s="23"/>
      <c r="J6606" s="23"/>
      <c r="K6606" s="23"/>
      <c r="L6606" s="23"/>
      <c r="M6606" s="23"/>
      <c r="N6606" s="23"/>
      <c r="O6606" s="23"/>
      <c r="P6606" s="23"/>
      <c r="Q6606" s="23"/>
      <c r="R6606" s="23"/>
      <c r="S6606" s="23"/>
      <c r="T6606" s="23"/>
      <c r="U6606" s="23"/>
      <c r="V6606" s="23"/>
      <c r="W6606" s="23"/>
      <c r="X6606" s="23"/>
      <c r="Y6606" s="23"/>
      <c r="Z6606" s="23"/>
    </row>
    <row r="6607" spans="1:26" ht="12" customHeight="1" outlineLevel="4" x14ac:dyDescent="0.2">
      <c r="A6607" s="14" t="s">
        <v>12735</v>
      </c>
      <c r="B6607" s="26" t="s">
        <v>12730</v>
      </c>
      <c r="C6607" s="52"/>
      <c r="D6607" s="55">
        <f t="shared" si="103"/>
        <v>0</v>
      </c>
      <c r="E6607" s="63" t="str">
        <f>HYPERLINK("https://www.sds-group.ru/product/kabel-vitaya-para-u-utp-cat-5e-lszh-ng-a-hf-4pr-24awg-indoor-solid-seryy-305m-rexant-01-0059/", "Инфо")</f>
        <v>Инфо</v>
      </c>
      <c r="F6607" s="16" t="s">
        <v>1887</v>
      </c>
      <c r="G6607" s="15"/>
      <c r="H6607" s="15"/>
      <c r="I6607" s="15"/>
      <c r="J6607" s="17">
        <v>193</v>
      </c>
      <c r="K6607" s="15" t="s">
        <v>925</v>
      </c>
      <c r="L6607" s="17">
        <v>1</v>
      </c>
      <c r="M6607" s="17">
        <v>2</v>
      </c>
      <c r="N6607" s="17">
        <v>1</v>
      </c>
      <c r="O6607" s="18">
        <v>23483.61</v>
      </c>
      <c r="P6607" s="18">
        <v>19248.86</v>
      </c>
      <c r="Q6607" s="18">
        <v>20900.41</v>
      </c>
      <c r="R6607" s="18">
        <v>17131.48</v>
      </c>
      <c r="S6607" s="18">
        <v>13620.49</v>
      </c>
      <c r="T6607" s="18">
        <v>11164.34</v>
      </c>
      <c r="U6607" s="16"/>
      <c r="V6607" s="16"/>
      <c r="W6607" s="16" t="s">
        <v>40</v>
      </c>
      <c r="X6607" s="19">
        <v>7.75</v>
      </c>
      <c r="Y6607" s="20">
        <v>2.7875E-2</v>
      </c>
      <c r="Z6607" s="21">
        <v>4601004257863</v>
      </c>
    </row>
    <row r="6608" spans="1:26" ht="12" customHeight="1" outlineLevel="4" x14ac:dyDescent="0.2">
      <c r="A6608" s="14" t="s">
        <v>12736</v>
      </c>
      <c r="B6608" s="26" t="s">
        <v>12737</v>
      </c>
      <c r="C6608" s="52"/>
      <c r="D6608" s="55">
        <f t="shared" si="103"/>
        <v>0</v>
      </c>
      <c r="E6608" s="63" t="str">
        <f>HYPERLINK("https://www.sds-group.ru/product/kabel-vitaya-para-u-utp-cat-5e-lszh-ng-a-hf-4pr-24awg-indoor-solid-oranzhevyy-305m-rexant-01-0049/", "Инфо")</f>
        <v>Инфо</v>
      </c>
      <c r="F6608" s="16" t="s">
        <v>1887</v>
      </c>
      <c r="G6608" s="15"/>
      <c r="H6608" s="15"/>
      <c r="I6608" s="15"/>
      <c r="J6608" s="22">
        <v>1134</v>
      </c>
      <c r="K6608" s="15" t="s">
        <v>925</v>
      </c>
      <c r="L6608" s="17">
        <v>1</v>
      </c>
      <c r="M6608" s="17">
        <v>2</v>
      </c>
      <c r="N6608" s="17">
        <v>1</v>
      </c>
      <c r="O6608" s="18">
        <v>24426.77</v>
      </c>
      <c r="P6608" s="18">
        <v>20021.939999999999</v>
      </c>
      <c r="Q6608" s="18">
        <v>21739.83</v>
      </c>
      <c r="R6608" s="18">
        <v>17819.53</v>
      </c>
      <c r="S6608" s="18">
        <v>14656.06</v>
      </c>
      <c r="T6608" s="18">
        <v>12013.16</v>
      </c>
      <c r="U6608" s="16"/>
      <c r="V6608" s="16"/>
      <c r="W6608" s="16" t="s">
        <v>40</v>
      </c>
      <c r="X6608" s="19">
        <v>9.3650000000000002</v>
      </c>
      <c r="Y6608" s="20">
        <v>3.6053000000000002E-2</v>
      </c>
      <c r="Z6608" s="21">
        <v>4601004002784</v>
      </c>
    </row>
    <row r="6609" spans="1:26" ht="12" customHeight="1" outlineLevel="4" x14ac:dyDescent="0.2">
      <c r="A6609" s="14" t="s">
        <v>12738</v>
      </c>
      <c r="B6609" s="26" t="s">
        <v>12730</v>
      </c>
      <c r="C6609" s="52"/>
      <c r="D6609" s="55">
        <f t="shared" si="103"/>
        <v>0</v>
      </c>
      <c r="E6609" s="63" t="str">
        <f>HYPERLINK("https://www.sds-group.ru/product/kabel-vitaya-para-u-utp-cat-5e-lszh-ng-a-hf-4pr-24awg-indoor-solid-seryy-305m-rexant-01-0069/", "Инфо")</f>
        <v>Инфо</v>
      </c>
      <c r="F6609" s="16" t="s">
        <v>1887</v>
      </c>
      <c r="G6609" s="15"/>
      <c r="H6609" s="15"/>
      <c r="I6609" s="15"/>
      <c r="J6609" s="17">
        <v>523</v>
      </c>
      <c r="K6609" s="15" t="s">
        <v>925</v>
      </c>
      <c r="L6609" s="17">
        <v>1</v>
      </c>
      <c r="M6609" s="17">
        <v>2</v>
      </c>
      <c r="N6609" s="17">
        <v>1</v>
      </c>
      <c r="O6609" s="18">
        <v>24426.77</v>
      </c>
      <c r="P6609" s="18">
        <v>20021.939999999999</v>
      </c>
      <c r="Q6609" s="18">
        <v>21739.83</v>
      </c>
      <c r="R6609" s="18">
        <v>17819.53</v>
      </c>
      <c r="S6609" s="18">
        <v>14656.06</v>
      </c>
      <c r="T6609" s="18">
        <v>12013.16</v>
      </c>
      <c r="U6609" s="16"/>
      <c r="V6609" s="16"/>
      <c r="W6609" s="16" t="s">
        <v>40</v>
      </c>
      <c r="X6609" s="19">
        <v>9</v>
      </c>
      <c r="Y6609" s="20">
        <v>2.7869999999999999E-2</v>
      </c>
      <c r="Z6609" s="21">
        <v>4601004255692</v>
      </c>
    </row>
    <row r="6610" spans="1:26" ht="12" customHeight="1" outlineLevel="4" x14ac:dyDescent="0.2">
      <c r="A6610" s="14" t="s">
        <v>12739</v>
      </c>
      <c r="B6610" s="26" t="s">
        <v>12740</v>
      </c>
      <c r="C6610" s="52"/>
      <c r="D6610" s="55">
        <f t="shared" si="103"/>
        <v>0</v>
      </c>
      <c r="E6610" s="63" t="str">
        <f>HYPERLINK("https://www.sds-group.ru/product/kabel-vitaya-para-u-utp-cat-5e-pvc-1pr-24awg-indoor-solid-seryy-305m-rexant-01-0002/", "Инфо")</f>
        <v>Инфо</v>
      </c>
      <c r="F6610" s="16" t="s">
        <v>1887</v>
      </c>
      <c r="G6610" s="15"/>
      <c r="H6610" s="15"/>
      <c r="I6610" s="15"/>
      <c r="J6610" s="17">
        <v>28</v>
      </c>
      <c r="K6610" s="15" t="s">
        <v>925</v>
      </c>
      <c r="L6610" s="17">
        <v>1</v>
      </c>
      <c r="M6610" s="17">
        <v>4</v>
      </c>
      <c r="N6610" s="17">
        <v>1</v>
      </c>
      <c r="O6610" s="18">
        <v>7866.15</v>
      </c>
      <c r="P6610" s="18">
        <v>6447.66</v>
      </c>
      <c r="Q6610" s="18">
        <v>7000.87</v>
      </c>
      <c r="R6610" s="18">
        <v>5738.42</v>
      </c>
      <c r="S6610" s="18">
        <v>4719.6899999999996</v>
      </c>
      <c r="T6610" s="18">
        <v>3868.6</v>
      </c>
      <c r="U6610" s="16"/>
      <c r="V6610" s="16"/>
      <c r="W6610" s="16" t="s">
        <v>40</v>
      </c>
      <c r="X6610" s="19">
        <v>5.15</v>
      </c>
      <c r="Y6610" s="20">
        <v>2.6565999999999999E-2</v>
      </c>
      <c r="Z6610" s="21">
        <v>4660008015251</v>
      </c>
    </row>
    <row r="6611" spans="1:26" ht="12" customHeight="1" outlineLevel="4" x14ac:dyDescent="0.2">
      <c r="A6611" s="14" t="s">
        <v>12741</v>
      </c>
      <c r="B6611" s="26" t="s">
        <v>12742</v>
      </c>
      <c r="C6611" s="52"/>
      <c r="D6611" s="55">
        <f t="shared" si="103"/>
        <v>0</v>
      </c>
      <c r="E6611" s="63" t="str">
        <f>HYPERLINK("https://www.sds-group.ru/product/kabel-vitaya-para-u-utp-cat-5e-pvc-2pr-24awg-indoor-stranded-seryy-305m-rexant-01-0026/", "Инфо")</f>
        <v>Инфо</v>
      </c>
      <c r="F6611" s="16" t="s">
        <v>1887</v>
      </c>
      <c r="G6611" s="15"/>
      <c r="H6611" s="15"/>
      <c r="I6611" s="15"/>
      <c r="J6611" s="17">
        <v>91</v>
      </c>
      <c r="K6611" s="15" t="s">
        <v>5369</v>
      </c>
      <c r="L6611" s="17">
        <v>1</v>
      </c>
      <c r="M6611" s="17">
        <v>4</v>
      </c>
      <c r="N6611" s="17">
        <v>1</v>
      </c>
      <c r="O6611" s="18">
        <v>16561.57</v>
      </c>
      <c r="P6611" s="18">
        <v>13575.06</v>
      </c>
      <c r="Q6611" s="18">
        <v>14739.8</v>
      </c>
      <c r="R6611" s="18">
        <v>12081.8</v>
      </c>
      <c r="S6611" s="18">
        <v>9936.94</v>
      </c>
      <c r="T6611" s="18">
        <v>8145.03</v>
      </c>
      <c r="U6611" s="16"/>
      <c r="V6611" s="16"/>
      <c r="W6611" s="16" t="s">
        <v>40</v>
      </c>
      <c r="X6611" s="19">
        <v>5.7629999999999999</v>
      </c>
      <c r="Y6611" s="20">
        <v>2.3195E-2</v>
      </c>
      <c r="Z6611" s="21">
        <v>4660008014032</v>
      </c>
    </row>
    <row r="6612" spans="1:26" ht="12" customHeight="1" outlineLevel="4" x14ac:dyDescent="0.2">
      <c r="A6612" s="14" t="s">
        <v>12743</v>
      </c>
      <c r="B6612" s="26" t="s">
        <v>12744</v>
      </c>
      <c r="C6612" s="52"/>
      <c r="D6612" s="55">
        <f t="shared" si="103"/>
        <v>0</v>
      </c>
      <c r="E6612" s="63" t="str">
        <f>HYPERLINK("https://www.sds-group.ru/product/kabel-vitaya-para-u-utp-cat-5e-pvc-4pr-24awg-indoor-solid-seryy-305m-rexant-01-0043/", "Инфо")</f>
        <v>Инфо</v>
      </c>
      <c r="F6612" s="16" t="s">
        <v>1887</v>
      </c>
      <c r="G6612" s="15"/>
      <c r="H6612" s="15"/>
      <c r="I6612" s="15"/>
      <c r="J6612" s="17">
        <v>148</v>
      </c>
      <c r="K6612" s="15" t="s">
        <v>12745</v>
      </c>
      <c r="L6612" s="17">
        <v>1</v>
      </c>
      <c r="M6612" s="17">
        <v>2</v>
      </c>
      <c r="N6612" s="17">
        <v>1</v>
      </c>
      <c r="O6612" s="18">
        <v>20993.75</v>
      </c>
      <c r="P6612" s="18">
        <v>17207.990000000002</v>
      </c>
      <c r="Q6612" s="18">
        <v>18684.439999999999</v>
      </c>
      <c r="R6612" s="18">
        <v>15315.11</v>
      </c>
      <c r="S6612" s="18">
        <v>12596.25</v>
      </c>
      <c r="T6612" s="18">
        <v>10324.799999999999</v>
      </c>
      <c r="U6612" s="16"/>
      <c r="V6612" s="16"/>
      <c r="W6612" s="16" t="s">
        <v>40</v>
      </c>
      <c r="X6612" s="19">
        <v>9.3040000000000003</v>
      </c>
      <c r="Y6612" s="20">
        <v>2.8017E-2</v>
      </c>
      <c r="Z6612" s="21">
        <v>4610003608040</v>
      </c>
    </row>
    <row r="6613" spans="1:26" ht="12" customHeight="1" outlineLevel="4" x14ac:dyDescent="0.2">
      <c r="A6613" s="14" t="s">
        <v>12746</v>
      </c>
      <c r="B6613" s="26" t="s">
        <v>12747</v>
      </c>
      <c r="C6613" s="52"/>
      <c r="D6613" s="55">
        <f t="shared" si="103"/>
        <v>0</v>
      </c>
      <c r="E6613" s="63" t="str">
        <f>HYPERLINK("https://www.sds-group.ru/product/kabel-vitaya-para-u-utp-cat-5e-pvc-4pr-24awg-indoor-stranded-seryy-305m-rexant-01-0044/", "Инфо")</f>
        <v>Инфо</v>
      </c>
      <c r="F6613" s="16" t="s">
        <v>1887</v>
      </c>
      <c r="G6613" s="15"/>
      <c r="H6613" s="15"/>
      <c r="I6613" s="15"/>
      <c r="J6613" s="17">
        <v>35</v>
      </c>
      <c r="K6613" s="15" t="s">
        <v>925</v>
      </c>
      <c r="L6613" s="17">
        <v>1</v>
      </c>
      <c r="M6613" s="17">
        <v>2</v>
      </c>
      <c r="N6613" s="17">
        <v>1</v>
      </c>
      <c r="O6613" s="18">
        <v>27773.4</v>
      </c>
      <c r="P6613" s="18">
        <v>22765.08</v>
      </c>
      <c r="Q6613" s="18">
        <v>24718.33</v>
      </c>
      <c r="R6613" s="18">
        <v>20260.93</v>
      </c>
      <c r="S6613" s="18">
        <v>16664.04</v>
      </c>
      <c r="T6613" s="18">
        <v>13659.05</v>
      </c>
      <c r="U6613" s="16"/>
      <c r="V6613" s="16"/>
      <c r="W6613" s="16" t="s">
        <v>40</v>
      </c>
      <c r="X6613" s="19">
        <v>7.9290000000000003</v>
      </c>
      <c r="Y6613" s="20">
        <v>3.4636E-2</v>
      </c>
      <c r="Z6613" s="21">
        <v>4660008015268</v>
      </c>
    </row>
    <row r="6614" spans="1:26" ht="12" customHeight="1" outlineLevel="4" x14ac:dyDescent="0.2">
      <c r="A6614" s="14" t="s">
        <v>12748</v>
      </c>
      <c r="B6614" s="26" t="s">
        <v>12749</v>
      </c>
      <c r="C6614" s="52"/>
      <c r="D6614" s="55">
        <f t="shared" si="103"/>
        <v>0</v>
      </c>
      <c r="E6614" s="63" t="str">
        <f>HYPERLINK("https://www.sds-group.ru/product/kabel-vitaya-para-u-utp-cat-5e-ng-a-lsltx-4h2h0-52mm-24awg-indoor-solid-zelenyy-305m-rexant-01-0061/", "Инфо")</f>
        <v>Инфо</v>
      </c>
      <c r="F6614" s="16" t="s">
        <v>1887</v>
      </c>
      <c r="G6614" s="15"/>
      <c r="H6614" s="15"/>
      <c r="I6614" s="15"/>
      <c r="J6614" s="17">
        <v>706</v>
      </c>
      <c r="K6614" s="15" t="s">
        <v>925</v>
      </c>
      <c r="L6614" s="17">
        <v>1</v>
      </c>
      <c r="M6614" s="17">
        <v>2</v>
      </c>
      <c r="N6614" s="17">
        <v>1</v>
      </c>
      <c r="O6614" s="18">
        <v>28818.85</v>
      </c>
      <c r="P6614" s="18">
        <v>23622.01</v>
      </c>
      <c r="Q6614" s="18">
        <v>25648.78</v>
      </c>
      <c r="R6614" s="18">
        <v>21023.59</v>
      </c>
      <c r="S6614" s="18">
        <v>19596.82</v>
      </c>
      <c r="T6614" s="18">
        <v>16062.97</v>
      </c>
      <c r="U6614" s="16"/>
      <c r="V6614" s="16"/>
      <c r="W6614" s="16" t="s">
        <v>40</v>
      </c>
      <c r="X6614" s="19">
        <v>10.651999999999999</v>
      </c>
      <c r="Y6614" s="20">
        <v>3.4319000000000002E-2</v>
      </c>
      <c r="Z6614" s="21">
        <v>4601004263055</v>
      </c>
    </row>
    <row r="6615" spans="1:26" ht="12.95" customHeight="1" outlineLevel="3" x14ac:dyDescent="0.2">
      <c r="A6615" s="76" t="s">
        <v>12750</v>
      </c>
      <c r="B6615" s="76"/>
      <c r="C6615" s="77"/>
      <c r="D6615" s="58"/>
      <c r="E6615" s="68"/>
      <c r="F6615" s="13"/>
      <c r="G6615" s="13"/>
      <c r="H6615" s="13"/>
      <c r="I6615" s="13"/>
      <c r="J6615" s="13"/>
      <c r="K6615" s="13"/>
      <c r="L6615" s="13"/>
      <c r="M6615" s="13"/>
      <c r="N6615" s="13"/>
      <c r="O6615" s="13"/>
      <c r="P6615" s="13"/>
      <c r="Q6615" s="13"/>
      <c r="R6615" s="13"/>
      <c r="S6615" s="13"/>
      <c r="T6615" s="13"/>
      <c r="U6615" s="13"/>
      <c r="V6615" s="13"/>
      <c r="W6615" s="13"/>
      <c r="X6615" s="13"/>
      <c r="Y6615" s="13"/>
      <c r="Z6615" s="13"/>
    </row>
    <row r="6616" spans="1:26" ht="12" customHeight="1" outlineLevel="4" x14ac:dyDescent="0.2">
      <c r="A6616" s="14" t="s">
        <v>12751</v>
      </c>
      <c r="B6616" s="26" t="s">
        <v>12752</v>
      </c>
      <c r="C6616" s="52"/>
      <c r="D6616" s="55">
        <f t="shared" si="103"/>
        <v>0</v>
      </c>
      <c r="E6616" s="63" t="str">
        <f>HYPERLINK("https://www.sds-group.ru/product/kabel-vitaya-para-f-utp-cat-5e-lszh-ng-a-hf-4pr-24awg-indoor-solid-oranzhevyy-305m-rexant-01-0150/", "Инфо")</f>
        <v>Инфо</v>
      </c>
      <c r="F6616" s="16" t="s">
        <v>1887</v>
      </c>
      <c r="G6616" s="15"/>
      <c r="H6616" s="15"/>
      <c r="I6616" s="15"/>
      <c r="J6616" s="17">
        <v>288</v>
      </c>
      <c r="K6616" s="15" t="s">
        <v>5369</v>
      </c>
      <c r="L6616" s="17">
        <v>1</v>
      </c>
      <c r="M6616" s="17">
        <v>2</v>
      </c>
      <c r="N6616" s="17">
        <v>1</v>
      </c>
      <c r="O6616" s="18">
        <v>29260.73</v>
      </c>
      <c r="P6616" s="18">
        <v>23984.2</v>
      </c>
      <c r="Q6616" s="18">
        <v>26042.05</v>
      </c>
      <c r="R6616" s="18">
        <v>21345.94</v>
      </c>
      <c r="S6616" s="18">
        <v>17556.439999999999</v>
      </c>
      <c r="T6616" s="18">
        <v>14390.52</v>
      </c>
      <c r="U6616" s="16"/>
      <c r="V6616" s="16"/>
      <c r="W6616" s="16" t="s">
        <v>40</v>
      </c>
      <c r="X6616" s="19">
        <v>11.930999999999999</v>
      </c>
      <c r="Y6616" s="20">
        <v>4.6223E-2</v>
      </c>
      <c r="Z6616" s="21">
        <v>4601004024847</v>
      </c>
    </row>
    <row r="6617" spans="1:26" ht="12" customHeight="1" outlineLevel="4" x14ac:dyDescent="0.2">
      <c r="A6617" s="14" t="s">
        <v>12753</v>
      </c>
      <c r="B6617" s="26" t="s">
        <v>12724</v>
      </c>
      <c r="C6617" s="52"/>
      <c r="D6617" s="55">
        <f t="shared" si="103"/>
        <v>0</v>
      </c>
      <c r="E6617" s="63" t="str">
        <f>HYPERLINK("https://www.sds-group.ru/product/kabel-vitaya-para-f-utp-cat-5e-lszh-ng-a-hf-4pr-24awg-indoor-solid-seryy-305m-rexant-01-0169/", "Инфо")</f>
        <v>Инфо</v>
      </c>
      <c r="F6617" s="16" t="s">
        <v>1887</v>
      </c>
      <c r="G6617" s="15"/>
      <c r="H6617" s="15"/>
      <c r="I6617" s="15"/>
      <c r="J6617" s="17">
        <v>179</v>
      </c>
      <c r="K6617" s="15" t="s">
        <v>12745</v>
      </c>
      <c r="L6617" s="17">
        <v>1</v>
      </c>
      <c r="M6617" s="17">
        <v>2</v>
      </c>
      <c r="N6617" s="17">
        <v>1</v>
      </c>
      <c r="O6617" s="18">
        <v>29260.73</v>
      </c>
      <c r="P6617" s="18">
        <v>23984.2</v>
      </c>
      <c r="Q6617" s="18">
        <v>26042.05</v>
      </c>
      <c r="R6617" s="18">
        <v>21345.94</v>
      </c>
      <c r="S6617" s="18">
        <v>17556.439999999999</v>
      </c>
      <c r="T6617" s="18">
        <v>14390.52</v>
      </c>
      <c r="U6617" s="16"/>
      <c r="V6617" s="16"/>
      <c r="W6617" s="16" t="s">
        <v>40</v>
      </c>
      <c r="X6617" s="19">
        <v>11.529</v>
      </c>
      <c r="Y6617" s="20">
        <v>4.5594999999999997E-2</v>
      </c>
      <c r="Z6617" s="21">
        <v>4601004255722</v>
      </c>
    </row>
    <row r="6618" spans="1:26" ht="12" customHeight="1" outlineLevel="4" x14ac:dyDescent="0.2">
      <c r="A6618" s="14" t="s">
        <v>12754</v>
      </c>
      <c r="B6618" s="26" t="s">
        <v>12755</v>
      </c>
      <c r="C6618" s="52"/>
      <c r="D6618" s="55">
        <f t="shared" si="103"/>
        <v>0</v>
      </c>
      <c r="E6618" s="63" t="str">
        <f>HYPERLINK("https://www.sds-group.ru/product/kabel-vitaya-para-f-utp-cat-5e-pvc-1pr-24awg-indoor-solid-seryy-305m-rexant-01-0120/", "Инфо")</f>
        <v>Инфо</v>
      </c>
      <c r="F6618" s="16" t="s">
        <v>1887</v>
      </c>
      <c r="G6618" s="15"/>
      <c r="H6618" s="15"/>
      <c r="I6618" s="15"/>
      <c r="J6618" s="17">
        <v>211</v>
      </c>
      <c r="K6618" s="15"/>
      <c r="L6618" s="17">
        <v>1</v>
      </c>
      <c r="M6618" s="17">
        <v>4</v>
      </c>
      <c r="N6618" s="17">
        <v>1</v>
      </c>
      <c r="O6618" s="18">
        <v>12707.33</v>
      </c>
      <c r="P6618" s="18">
        <v>10415.84</v>
      </c>
      <c r="Q6618" s="18">
        <v>11309.52</v>
      </c>
      <c r="R6618" s="18">
        <v>9270.1</v>
      </c>
      <c r="S6618" s="18">
        <v>7624.4</v>
      </c>
      <c r="T6618" s="18">
        <v>6249.51</v>
      </c>
      <c r="U6618" s="16"/>
      <c r="V6618" s="16"/>
      <c r="W6618" s="16" t="s">
        <v>40</v>
      </c>
      <c r="X6618" s="19">
        <v>4.7880000000000003</v>
      </c>
      <c r="Y6618" s="20">
        <v>2.3739E-2</v>
      </c>
      <c r="Z6618" s="21">
        <v>4660008014971</v>
      </c>
    </row>
    <row r="6619" spans="1:26" ht="12" customHeight="1" outlineLevel="4" x14ac:dyDescent="0.2">
      <c r="A6619" s="14" t="s">
        <v>12756</v>
      </c>
      <c r="B6619" s="26" t="s">
        <v>12757</v>
      </c>
      <c r="C6619" s="52"/>
      <c r="D6619" s="55">
        <f t="shared" si="103"/>
        <v>0</v>
      </c>
      <c r="E6619" s="63" t="str">
        <f>HYPERLINK("https://www.sds-group.ru/product/kabel-vitaya-para-f-utp-cat-5e-pvc-2pr-24awg-indoor-solid-seryy-305m-rexant-01-0122/", "Инфо")</f>
        <v>Инфо</v>
      </c>
      <c r="F6619" s="16" t="s">
        <v>1887</v>
      </c>
      <c r="G6619" s="15"/>
      <c r="H6619" s="15"/>
      <c r="I6619" s="15"/>
      <c r="J6619" s="17">
        <v>49</v>
      </c>
      <c r="K6619" s="15" t="s">
        <v>925</v>
      </c>
      <c r="L6619" s="17">
        <v>1</v>
      </c>
      <c r="M6619" s="17">
        <v>2</v>
      </c>
      <c r="N6619" s="17">
        <v>1</v>
      </c>
      <c r="O6619" s="18">
        <v>21038.6</v>
      </c>
      <c r="P6619" s="18">
        <v>17244.75</v>
      </c>
      <c r="Q6619" s="18">
        <v>18724.349999999999</v>
      </c>
      <c r="R6619" s="18">
        <v>15347.83</v>
      </c>
      <c r="S6619" s="18">
        <v>12623.16</v>
      </c>
      <c r="T6619" s="18">
        <v>10346.85</v>
      </c>
      <c r="U6619" s="16"/>
      <c r="V6619" s="16"/>
      <c r="W6619" s="16" t="s">
        <v>40</v>
      </c>
      <c r="X6619" s="19">
        <v>8.5359999999999996</v>
      </c>
      <c r="Y6619" s="20">
        <v>2.7359000000000001E-2</v>
      </c>
      <c r="Z6619" s="21">
        <v>4610003608064</v>
      </c>
    </row>
    <row r="6620" spans="1:26" ht="12" customHeight="1" outlineLevel="4" x14ac:dyDescent="0.2">
      <c r="A6620" s="14" t="s">
        <v>12758</v>
      </c>
      <c r="B6620" s="26" t="s">
        <v>12759</v>
      </c>
      <c r="C6620" s="52"/>
      <c r="D6620" s="55">
        <f t="shared" si="103"/>
        <v>0</v>
      </c>
      <c r="E6620" s="63" t="str">
        <f>HYPERLINK("https://www.sds-group.ru/product/kabel-vitaya-para-f-utp-cat-5e-pvc-2pr-24awg-indoor-stranded-seryy-305m-rexant-01-0125/", "Инфо")</f>
        <v>Инфо</v>
      </c>
      <c r="F6620" s="16" t="s">
        <v>1887</v>
      </c>
      <c r="G6620" s="15"/>
      <c r="H6620" s="15"/>
      <c r="I6620" s="15"/>
      <c r="J6620" s="17">
        <v>348</v>
      </c>
      <c r="K6620" s="15" t="s">
        <v>925</v>
      </c>
      <c r="L6620" s="17">
        <v>1</v>
      </c>
      <c r="M6620" s="17">
        <v>2</v>
      </c>
      <c r="N6620" s="17">
        <v>1</v>
      </c>
      <c r="O6620" s="18">
        <v>20684.259999999998</v>
      </c>
      <c r="P6620" s="18">
        <v>16954.310000000001</v>
      </c>
      <c r="Q6620" s="18">
        <v>18408.990000000002</v>
      </c>
      <c r="R6620" s="18">
        <v>15089.34</v>
      </c>
      <c r="S6620" s="18">
        <v>12410.56</v>
      </c>
      <c r="T6620" s="18">
        <v>10172.59</v>
      </c>
      <c r="U6620" s="16"/>
      <c r="V6620" s="16"/>
      <c r="W6620" s="16" t="s">
        <v>40</v>
      </c>
      <c r="X6620" s="19">
        <v>7.4850000000000003</v>
      </c>
      <c r="Y6620" s="20">
        <v>3.1546999999999999E-2</v>
      </c>
      <c r="Z6620" s="21">
        <v>4660008014995</v>
      </c>
    </row>
    <row r="6621" spans="1:26" ht="12" customHeight="1" outlineLevel="4" x14ac:dyDescent="0.2">
      <c r="A6621" s="14" t="s">
        <v>12760</v>
      </c>
      <c r="B6621" s="26" t="s">
        <v>12761</v>
      </c>
      <c r="C6621" s="52"/>
      <c r="D6621" s="55">
        <f t="shared" si="103"/>
        <v>0</v>
      </c>
      <c r="E6621" s="63" t="str">
        <f>HYPERLINK("https://www.sds-group.ru/product/kabel-vitaya-para-f-utp-cat-5e-pvc-4pr-24awg-indoor-solid-seryy-305m-rexant-01-0143/", "Инфо")</f>
        <v>Инфо</v>
      </c>
      <c r="F6621" s="16" t="s">
        <v>1887</v>
      </c>
      <c r="G6621" s="15"/>
      <c r="H6621" s="15"/>
      <c r="I6621" s="15"/>
      <c r="J6621" s="16" t="s">
        <v>100</v>
      </c>
      <c r="K6621" s="15" t="s">
        <v>5369</v>
      </c>
      <c r="L6621" s="17">
        <v>1</v>
      </c>
      <c r="M6621" s="17">
        <v>2</v>
      </c>
      <c r="N6621" s="17">
        <v>1</v>
      </c>
      <c r="O6621" s="18">
        <v>24541.96</v>
      </c>
      <c r="P6621" s="18">
        <v>20116.36</v>
      </c>
      <c r="Q6621" s="18">
        <v>21842.34</v>
      </c>
      <c r="R6621" s="18">
        <v>17903.560000000001</v>
      </c>
      <c r="S6621" s="18">
        <v>14725.18</v>
      </c>
      <c r="T6621" s="18">
        <v>12069.82</v>
      </c>
      <c r="U6621" s="16"/>
      <c r="V6621" s="16"/>
      <c r="W6621" s="16" t="s">
        <v>40</v>
      </c>
      <c r="X6621" s="19">
        <v>13.27</v>
      </c>
      <c r="Y6621" s="20">
        <v>4.6392999999999997E-2</v>
      </c>
      <c r="Z6621" s="21">
        <v>4610003608071</v>
      </c>
    </row>
    <row r="6622" spans="1:26" ht="12" customHeight="1" outlineLevel="4" x14ac:dyDescent="0.2">
      <c r="A6622" s="14" t="s">
        <v>12762</v>
      </c>
      <c r="B6622" s="26" t="s">
        <v>12763</v>
      </c>
      <c r="C6622" s="52"/>
      <c r="D6622" s="55">
        <f t="shared" si="103"/>
        <v>0</v>
      </c>
      <c r="E6622" s="63" t="str">
        <f>HYPERLINK("https://www.sds-group.ru/product/kabel-vitaya-para-f-utp-cat-5e-pvc-4pr-24awg-indoor-stranded-seryy-305m-rexant-01-0145/", "Инфо")</f>
        <v>Инфо</v>
      </c>
      <c r="F6622" s="16" t="s">
        <v>1887</v>
      </c>
      <c r="G6622" s="15"/>
      <c r="H6622" s="15"/>
      <c r="I6622" s="15"/>
      <c r="J6622" s="17">
        <v>170</v>
      </c>
      <c r="K6622" s="15" t="s">
        <v>5369</v>
      </c>
      <c r="L6622" s="17">
        <v>1</v>
      </c>
      <c r="M6622" s="17">
        <v>2</v>
      </c>
      <c r="N6622" s="17">
        <v>1</v>
      </c>
      <c r="O6622" s="18">
        <v>32817.42</v>
      </c>
      <c r="P6622" s="18">
        <v>26899.52</v>
      </c>
      <c r="Q6622" s="18">
        <v>29207.5</v>
      </c>
      <c r="R6622" s="18">
        <v>23940.57</v>
      </c>
      <c r="S6622" s="18">
        <v>19690.45</v>
      </c>
      <c r="T6622" s="18">
        <v>16139.71</v>
      </c>
      <c r="U6622" s="16"/>
      <c r="V6622" s="16"/>
      <c r="W6622" s="16" t="s">
        <v>40</v>
      </c>
      <c r="X6622" s="19">
        <v>9.9920000000000009</v>
      </c>
      <c r="Y6622" s="20">
        <v>3.5982E-2</v>
      </c>
      <c r="Z6622" s="21">
        <v>4660008016104</v>
      </c>
    </row>
    <row r="6623" spans="1:26" ht="12" customHeight="1" outlineLevel="4" x14ac:dyDescent="0.2">
      <c r="A6623" s="14" t="s">
        <v>12764</v>
      </c>
      <c r="B6623" s="26" t="s">
        <v>12765</v>
      </c>
      <c r="C6623" s="52"/>
      <c r="D6623" s="55">
        <f t="shared" si="103"/>
        <v>0</v>
      </c>
      <c r="E6623" s="63" t="str">
        <f>HYPERLINK("https://www.sds-group.ru/product/kabel-vitaya-para-f-utp-cat-5e-ng-a-lsltx-4h2h0-52mm-24awg-indoor-solid-zelenyy-305m-rexant-01-0161/", "Инфо")</f>
        <v>Инфо</v>
      </c>
      <c r="F6623" s="16" t="s">
        <v>1887</v>
      </c>
      <c r="G6623" s="15"/>
      <c r="H6623" s="15"/>
      <c r="I6623" s="15"/>
      <c r="J6623" s="17">
        <v>43</v>
      </c>
      <c r="K6623" s="15" t="s">
        <v>925</v>
      </c>
      <c r="L6623" s="17">
        <v>1</v>
      </c>
      <c r="M6623" s="17">
        <v>2</v>
      </c>
      <c r="N6623" s="17">
        <v>1</v>
      </c>
      <c r="O6623" s="18">
        <v>33555.33</v>
      </c>
      <c r="P6623" s="18">
        <v>27504.37</v>
      </c>
      <c r="Q6623" s="18">
        <v>29864.240000000002</v>
      </c>
      <c r="R6623" s="18">
        <v>24478.89</v>
      </c>
      <c r="S6623" s="18">
        <v>22817.62</v>
      </c>
      <c r="T6623" s="18">
        <v>18702.97</v>
      </c>
      <c r="U6623" s="16"/>
      <c r="V6623" s="16"/>
      <c r="W6623" s="16" t="s">
        <v>40</v>
      </c>
      <c r="X6623" s="19">
        <v>12.9</v>
      </c>
      <c r="Y6623" s="20">
        <v>4.3999999999999997E-2</v>
      </c>
      <c r="Z6623" s="21">
        <v>4601004262980</v>
      </c>
    </row>
    <row r="6624" spans="1:26" ht="12" customHeight="1" outlineLevel="4" x14ac:dyDescent="0.2">
      <c r="A6624" s="14" t="s">
        <v>12766</v>
      </c>
      <c r="B6624" s="26" t="s">
        <v>12767</v>
      </c>
      <c r="C6624" s="52"/>
      <c r="D6624" s="55">
        <f t="shared" si="103"/>
        <v>0</v>
      </c>
      <c r="E6624" s="63" t="str">
        <f>HYPERLINK("https://www.sds-group.ru/product/kabel-vitaya-para-sf-utp-cat-5e-pvc-4pr-24awg-indoor-solid-seryy-305m-rexant-01-0342/", "Инфо")</f>
        <v>Инфо</v>
      </c>
      <c r="F6624" s="16" t="s">
        <v>1887</v>
      </c>
      <c r="G6624" s="15"/>
      <c r="H6624" s="15"/>
      <c r="I6624" s="15"/>
      <c r="J6624" s="17">
        <v>81</v>
      </c>
      <c r="K6624" s="15" t="s">
        <v>5369</v>
      </c>
      <c r="L6624" s="17">
        <v>1</v>
      </c>
      <c r="M6624" s="17">
        <v>2</v>
      </c>
      <c r="N6624" s="17">
        <v>1</v>
      </c>
      <c r="O6624" s="18">
        <v>40721.629999999997</v>
      </c>
      <c r="P6624" s="18">
        <v>33378.39</v>
      </c>
      <c r="Q6624" s="18">
        <v>36242.25</v>
      </c>
      <c r="R6624" s="18">
        <v>29706.76</v>
      </c>
      <c r="S6624" s="18">
        <v>27690.71</v>
      </c>
      <c r="T6624" s="18">
        <v>22697.3</v>
      </c>
      <c r="U6624" s="16"/>
      <c r="V6624" s="16"/>
      <c r="W6624" s="16" t="s">
        <v>40</v>
      </c>
      <c r="X6624" s="19">
        <v>14.936</v>
      </c>
      <c r="Y6624" s="20">
        <v>5.0708000000000003E-2</v>
      </c>
      <c r="Z6624" s="21">
        <v>4660008016043</v>
      </c>
    </row>
    <row r="6625" spans="1:26" ht="12" customHeight="1" outlineLevel="4" x14ac:dyDescent="0.2">
      <c r="A6625" s="14" t="s">
        <v>12768</v>
      </c>
      <c r="B6625" s="26" t="s">
        <v>12769</v>
      </c>
      <c r="C6625" s="52"/>
      <c r="D6625" s="55">
        <f t="shared" si="103"/>
        <v>0</v>
      </c>
      <c r="E6625" s="63" t="str">
        <f>HYPERLINK("https://www.sds-group.ru/product/kabel-vitaya-para-sf-utp-cat-5e-pvc-4pr-24awg-indoor-stranded-seryy-305m-rexant-01-0343/", "Инфо")</f>
        <v>Инфо</v>
      </c>
      <c r="F6625" s="16" t="s">
        <v>1887</v>
      </c>
      <c r="G6625" s="15"/>
      <c r="H6625" s="15"/>
      <c r="I6625" s="15"/>
      <c r="J6625" s="17">
        <v>197</v>
      </c>
      <c r="K6625" s="15" t="s">
        <v>5369</v>
      </c>
      <c r="L6625" s="17">
        <v>1</v>
      </c>
      <c r="M6625" s="17">
        <v>2</v>
      </c>
      <c r="N6625" s="17">
        <v>1</v>
      </c>
      <c r="O6625" s="18">
        <v>55685.65</v>
      </c>
      <c r="P6625" s="18">
        <v>45643.98</v>
      </c>
      <c r="Q6625" s="18">
        <v>49560.23</v>
      </c>
      <c r="R6625" s="18">
        <v>40623.14</v>
      </c>
      <c r="S6625" s="18">
        <v>33411.39</v>
      </c>
      <c r="T6625" s="18">
        <v>27386.39</v>
      </c>
      <c r="U6625" s="16"/>
      <c r="V6625" s="16"/>
      <c r="W6625" s="16" t="s">
        <v>40</v>
      </c>
      <c r="X6625" s="19">
        <v>10.25</v>
      </c>
      <c r="Y6625" s="20">
        <v>4.2048000000000002E-2</v>
      </c>
      <c r="Z6625" s="21">
        <v>4660008017200</v>
      </c>
    </row>
    <row r="6626" spans="1:26" ht="12.95" customHeight="1" outlineLevel="3" x14ac:dyDescent="0.2">
      <c r="A6626" s="76" t="s">
        <v>12770</v>
      </c>
      <c r="B6626" s="76"/>
      <c r="C6626" s="77"/>
      <c r="D6626" s="58"/>
      <c r="E6626" s="68"/>
      <c r="F6626" s="13"/>
      <c r="G6626" s="13"/>
      <c r="H6626" s="13"/>
      <c r="I6626" s="13"/>
      <c r="J6626" s="13"/>
      <c r="K6626" s="13"/>
      <c r="L6626" s="13"/>
      <c r="M6626" s="13"/>
      <c r="N6626" s="13"/>
      <c r="O6626" s="13"/>
      <c r="P6626" s="13"/>
      <c r="Q6626" s="13"/>
      <c r="R6626" s="13"/>
      <c r="S6626" s="13"/>
      <c r="T6626" s="13"/>
      <c r="U6626" s="13"/>
      <c r="V6626" s="13"/>
      <c r="W6626" s="13"/>
      <c r="X6626" s="13"/>
      <c r="Y6626" s="13"/>
      <c r="Z6626" s="13"/>
    </row>
    <row r="6627" spans="1:26" ht="12" customHeight="1" outlineLevel="4" x14ac:dyDescent="0.2">
      <c r="A6627" s="14" t="s">
        <v>12771</v>
      </c>
      <c r="B6627" s="26" t="s">
        <v>12772</v>
      </c>
      <c r="C6627" s="52"/>
      <c r="D6627" s="55">
        <f t="shared" si="103"/>
        <v>0</v>
      </c>
      <c r="E6627" s="63" t="str">
        <f>HYPERLINK("https://www.sds-group.ru/product/kabel-vitaya-para-u-utp-cat-5e-lszh-ng-a-hf-4pr-24awg-outdoor-solid-chernyy-305m-rexant-01-0065/", "Инфо")</f>
        <v>Инфо</v>
      </c>
      <c r="F6627" s="16" t="s">
        <v>1887</v>
      </c>
      <c r="G6627" s="15"/>
      <c r="H6627" s="15"/>
      <c r="I6627" s="15"/>
      <c r="J6627" s="17">
        <v>178</v>
      </c>
      <c r="K6627" s="15"/>
      <c r="L6627" s="17">
        <v>1</v>
      </c>
      <c r="M6627" s="17">
        <v>2</v>
      </c>
      <c r="N6627" s="17">
        <v>1</v>
      </c>
      <c r="O6627" s="18">
        <v>27214.84</v>
      </c>
      <c r="P6627" s="18">
        <v>22307.25</v>
      </c>
      <c r="Q6627" s="18">
        <v>24221.21</v>
      </c>
      <c r="R6627" s="18">
        <v>19853.45</v>
      </c>
      <c r="S6627" s="18">
        <v>16328.9</v>
      </c>
      <c r="T6627" s="18">
        <v>13384.34</v>
      </c>
      <c r="U6627" s="16"/>
      <c r="V6627" s="16"/>
      <c r="W6627" s="16" t="s">
        <v>40</v>
      </c>
      <c r="X6627" s="19">
        <v>9</v>
      </c>
      <c r="Y6627" s="20">
        <v>2.7833E-2</v>
      </c>
      <c r="Z6627" s="21">
        <v>4601004255739</v>
      </c>
    </row>
    <row r="6628" spans="1:26" ht="12" customHeight="1" outlineLevel="4" x14ac:dyDescent="0.2">
      <c r="A6628" s="14" t="s">
        <v>12773</v>
      </c>
      <c r="B6628" s="26" t="s">
        <v>12774</v>
      </c>
      <c r="C6628" s="52"/>
      <c r="D6628" s="55">
        <f t="shared" si="103"/>
        <v>0</v>
      </c>
      <c r="E6628" s="63" t="str">
        <f>HYPERLINK("https://www.sds-group.ru/product/kabel-vitaya-para-u-utp-cat-5e-pe-2pr-24awg-outdoor-solid-chernyy-305m-rexant-01-0025/", "Инфо")</f>
        <v>Инфо</v>
      </c>
      <c r="F6628" s="16" t="s">
        <v>1887</v>
      </c>
      <c r="G6628" s="15"/>
      <c r="H6628" s="15"/>
      <c r="I6628" s="15"/>
      <c r="J6628" s="17">
        <v>165</v>
      </c>
      <c r="K6628" s="15" t="s">
        <v>12745</v>
      </c>
      <c r="L6628" s="17">
        <v>1</v>
      </c>
      <c r="M6628" s="17">
        <v>4</v>
      </c>
      <c r="N6628" s="17">
        <v>1</v>
      </c>
      <c r="O6628" s="18">
        <v>12393.12</v>
      </c>
      <c r="P6628" s="18">
        <v>10158.299999999999</v>
      </c>
      <c r="Q6628" s="18">
        <v>11029.88</v>
      </c>
      <c r="R6628" s="18">
        <v>9040.89</v>
      </c>
      <c r="S6628" s="18">
        <v>7435.87</v>
      </c>
      <c r="T6628" s="18">
        <v>6094.98</v>
      </c>
      <c r="U6628" s="16"/>
      <c r="V6628" s="16"/>
      <c r="W6628" s="16" t="s">
        <v>40</v>
      </c>
      <c r="X6628" s="19">
        <v>5.45</v>
      </c>
      <c r="Y6628" s="20">
        <v>2.8299999999999999E-2</v>
      </c>
      <c r="Z6628" s="21">
        <v>4660008015244</v>
      </c>
    </row>
    <row r="6629" spans="1:26" ht="12" customHeight="1" outlineLevel="4" x14ac:dyDescent="0.2">
      <c r="A6629" s="14" t="s">
        <v>12775</v>
      </c>
      <c r="B6629" s="26" t="s">
        <v>12776</v>
      </c>
      <c r="C6629" s="52"/>
      <c r="D6629" s="55">
        <f t="shared" si="103"/>
        <v>0</v>
      </c>
      <c r="E6629" s="63" t="str">
        <f>HYPERLINK("https://www.sds-group.ru/product/kabel-vitaya-para-u-utp-cat-5e-pe-4pr-24awg-outdoor-solid-chernyy-305m-rexant-01-0045/", "Инфо")</f>
        <v>Инфо</v>
      </c>
      <c r="F6629" s="16" t="s">
        <v>1887</v>
      </c>
      <c r="G6629" s="15"/>
      <c r="H6629" s="15"/>
      <c r="I6629" s="15"/>
      <c r="J6629" s="22">
        <v>2224</v>
      </c>
      <c r="K6629" s="15"/>
      <c r="L6629" s="17">
        <v>1</v>
      </c>
      <c r="M6629" s="17">
        <v>2</v>
      </c>
      <c r="N6629" s="17">
        <v>1</v>
      </c>
      <c r="O6629" s="18">
        <v>23292.71</v>
      </c>
      <c r="P6629" s="18">
        <v>19092.39</v>
      </c>
      <c r="Q6629" s="18">
        <v>20730.509999999998</v>
      </c>
      <c r="R6629" s="18">
        <v>16992.22</v>
      </c>
      <c r="S6629" s="18">
        <v>13975.63</v>
      </c>
      <c r="T6629" s="18">
        <v>11455.43</v>
      </c>
      <c r="U6629" s="16"/>
      <c r="V6629" s="16"/>
      <c r="W6629" s="16" t="s">
        <v>40</v>
      </c>
      <c r="X6629" s="19">
        <v>8.2129999999999992</v>
      </c>
      <c r="Y6629" s="20">
        <v>3.6105999999999999E-2</v>
      </c>
      <c r="Z6629" s="21">
        <v>4610003608057</v>
      </c>
    </row>
    <row r="6630" spans="1:26" ht="12" customHeight="1" outlineLevel="4" x14ac:dyDescent="0.2">
      <c r="A6630" s="14" t="s">
        <v>12777</v>
      </c>
      <c r="B6630" s="26" t="s">
        <v>12778</v>
      </c>
      <c r="C6630" s="52"/>
      <c r="D6630" s="55">
        <f t="shared" si="103"/>
        <v>0</v>
      </c>
      <c r="E6630" s="63" t="str">
        <f>HYPERLINK("https://www.sds-group.ru/product/kabel-vitaya-para-u-utp-cat-5e-pe-4pr-24awg-outdoor-solid-chernyy-s-trosom-305m-rexant-01-0046/", "Инфо")</f>
        <v>Инфо</v>
      </c>
      <c r="F6630" s="16" t="s">
        <v>1887</v>
      </c>
      <c r="G6630" s="15"/>
      <c r="H6630" s="15"/>
      <c r="I6630" s="15"/>
      <c r="J6630" s="17">
        <v>321</v>
      </c>
      <c r="K6630" s="15" t="s">
        <v>12745</v>
      </c>
      <c r="L6630" s="17">
        <v>1</v>
      </c>
      <c r="M6630" s="17">
        <v>1</v>
      </c>
      <c r="N6630" s="17">
        <v>1</v>
      </c>
      <c r="O6630" s="18">
        <v>30259.22</v>
      </c>
      <c r="P6630" s="18">
        <v>24802.639999999999</v>
      </c>
      <c r="Q6630" s="18">
        <v>26930.71</v>
      </c>
      <c r="R6630" s="18">
        <v>22074.35</v>
      </c>
      <c r="S6630" s="18">
        <v>18155.53</v>
      </c>
      <c r="T6630" s="18">
        <v>14881.58</v>
      </c>
      <c r="U6630" s="16"/>
      <c r="V6630" s="16"/>
      <c r="W6630" s="16" t="s">
        <v>40</v>
      </c>
      <c r="X6630" s="19">
        <v>13.91</v>
      </c>
      <c r="Y6630" s="20">
        <v>3.3015000000000003E-2</v>
      </c>
      <c r="Z6630" s="21">
        <v>4601004050488</v>
      </c>
    </row>
    <row r="6631" spans="1:26" ht="12.95" customHeight="1" outlineLevel="3" x14ac:dyDescent="0.2">
      <c r="A6631" s="76" t="s">
        <v>12779</v>
      </c>
      <c r="B6631" s="76"/>
      <c r="C6631" s="77"/>
      <c r="D6631" s="58"/>
      <c r="E6631" s="68"/>
      <c r="F6631" s="13"/>
      <c r="G6631" s="13"/>
      <c r="H6631" s="13"/>
      <c r="I6631" s="13"/>
      <c r="J6631" s="13"/>
      <c r="K6631" s="13"/>
      <c r="L6631" s="13"/>
      <c r="M6631" s="13"/>
      <c r="N6631" s="13"/>
      <c r="O6631" s="13"/>
      <c r="P6631" s="13"/>
      <c r="Q6631" s="13"/>
      <c r="R6631" s="13"/>
      <c r="S6631" s="13"/>
      <c r="T6631" s="13"/>
      <c r="U6631" s="13"/>
      <c r="V6631" s="13"/>
      <c r="W6631" s="13"/>
      <c r="X6631" s="13"/>
      <c r="Y6631" s="13"/>
      <c r="Z6631" s="13"/>
    </row>
    <row r="6632" spans="1:26" ht="12" customHeight="1" outlineLevel="4" x14ac:dyDescent="0.2">
      <c r="A6632" s="14" t="s">
        <v>12780</v>
      </c>
      <c r="B6632" s="26" t="s">
        <v>12781</v>
      </c>
      <c r="C6632" s="52"/>
      <c r="D6632" s="55">
        <f t="shared" si="103"/>
        <v>0</v>
      </c>
      <c r="E6632" s="63" t="str">
        <f>HYPERLINK("https://www.sds-group.ru/product/kabel-vitaya-para-f-utp-cat-5e-lszh-ng-a-hf-4pr-24awg-outdoor-solid-chernyy-305m-rexant-01-0165/", "Инфо")</f>
        <v>Инфо</v>
      </c>
      <c r="F6632" s="16" t="s">
        <v>1887</v>
      </c>
      <c r="G6632" s="15"/>
      <c r="H6632" s="15"/>
      <c r="I6632" s="15"/>
      <c r="J6632" s="17">
        <v>122</v>
      </c>
      <c r="K6632" s="15" t="s">
        <v>12745</v>
      </c>
      <c r="L6632" s="17">
        <v>1</v>
      </c>
      <c r="M6632" s="17">
        <v>2</v>
      </c>
      <c r="N6632" s="17">
        <v>1</v>
      </c>
      <c r="O6632" s="18">
        <v>33506.449999999997</v>
      </c>
      <c r="P6632" s="18">
        <v>27464.3</v>
      </c>
      <c r="Q6632" s="18">
        <v>29820.74</v>
      </c>
      <c r="R6632" s="18">
        <v>24443.23</v>
      </c>
      <c r="S6632" s="18">
        <v>20103.87</v>
      </c>
      <c r="T6632" s="18">
        <v>16478.580000000002</v>
      </c>
      <c r="U6632" s="16"/>
      <c r="V6632" s="16"/>
      <c r="W6632" s="16" t="s">
        <v>40</v>
      </c>
      <c r="X6632" s="19">
        <v>12</v>
      </c>
      <c r="Y6632" s="20">
        <v>3.5909000000000003E-2</v>
      </c>
      <c r="Z6632" s="21">
        <v>4601004255708</v>
      </c>
    </row>
    <row r="6633" spans="1:26" ht="12" customHeight="1" outlineLevel="4" x14ac:dyDescent="0.2">
      <c r="A6633" s="14" t="s">
        <v>12782</v>
      </c>
      <c r="B6633" s="26" t="s">
        <v>12783</v>
      </c>
      <c r="C6633" s="52"/>
      <c r="D6633" s="55">
        <f t="shared" si="103"/>
        <v>0</v>
      </c>
      <c r="E6633" s="63" t="str">
        <f>HYPERLINK("https://www.sds-group.ru/product/kabel-vitaya-para-f-utp-cat-5e-pe-4pr-24awg-outdoor-solid-chernyy-305m-korobka-rexant-01-0146-1/", "Инфо")</f>
        <v>Инфо</v>
      </c>
      <c r="F6633" s="16" t="s">
        <v>1887</v>
      </c>
      <c r="G6633" s="15"/>
      <c r="H6633" s="15"/>
      <c r="I6633" s="15"/>
      <c r="J6633" s="17">
        <v>492</v>
      </c>
      <c r="K6633" s="15" t="s">
        <v>12745</v>
      </c>
      <c r="L6633" s="17">
        <v>1</v>
      </c>
      <c r="M6633" s="17">
        <v>2</v>
      </c>
      <c r="N6633" s="17">
        <v>1</v>
      </c>
      <c r="O6633" s="18">
        <v>25050.99</v>
      </c>
      <c r="P6633" s="18">
        <v>20533.599999999999</v>
      </c>
      <c r="Q6633" s="18">
        <v>22295.38</v>
      </c>
      <c r="R6633" s="18">
        <v>18274.900000000001</v>
      </c>
      <c r="S6633" s="18">
        <v>15030.59</v>
      </c>
      <c r="T6633" s="18">
        <v>12320.16</v>
      </c>
      <c r="U6633" s="16"/>
      <c r="V6633" s="16"/>
      <c r="W6633" s="16" t="s">
        <v>40</v>
      </c>
      <c r="X6633" s="19">
        <v>10.699</v>
      </c>
      <c r="Y6633" s="20">
        <v>4.5289000000000003E-2</v>
      </c>
      <c r="Z6633" s="21">
        <v>4601004051553</v>
      </c>
    </row>
    <row r="6634" spans="1:26" ht="12" customHeight="1" outlineLevel="4" x14ac:dyDescent="0.2">
      <c r="A6634" s="14" t="s">
        <v>12784</v>
      </c>
      <c r="B6634" s="26" t="s">
        <v>12785</v>
      </c>
      <c r="C6634" s="52"/>
      <c r="D6634" s="55">
        <f t="shared" si="103"/>
        <v>0</v>
      </c>
      <c r="E6634" s="63" t="str">
        <f>HYPERLINK("https://www.sds-group.ru/product/kabel-vitaya-para-f-utp-cat-5e-pe-4pr-24awg-outdoor-solid-chernyy-s-trosom-305m-rexant-01-0144/", "Инфо")</f>
        <v>Инфо</v>
      </c>
      <c r="F6634" s="16" t="s">
        <v>1887</v>
      </c>
      <c r="G6634" s="15"/>
      <c r="H6634" s="15"/>
      <c r="I6634" s="15"/>
      <c r="J6634" s="17">
        <v>573</v>
      </c>
      <c r="K6634" s="15" t="s">
        <v>12745</v>
      </c>
      <c r="L6634" s="17">
        <v>1</v>
      </c>
      <c r="M6634" s="17">
        <v>1</v>
      </c>
      <c r="N6634" s="17">
        <v>1</v>
      </c>
      <c r="O6634" s="18">
        <v>32374.62</v>
      </c>
      <c r="P6634" s="18">
        <v>26536.57</v>
      </c>
      <c r="Q6634" s="18">
        <v>28813.41</v>
      </c>
      <c r="R6634" s="18">
        <v>23617.55</v>
      </c>
      <c r="S6634" s="18">
        <v>19424.77</v>
      </c>
      <c r="T6634" s="18">
        <v>15921.94</v>
      </c>
      <c r="U6634" s="16"/>
      <c r="V6634" s="16"/>
      <c r="W6634" s="16" t="s">
        <v>40</v>
      </c>
      <c r="X6634" s="19">
        <v>14.952999999999999</v>
      </c>
      <c r="Y6634" s="20">
        <v>4.1007000000000002E-2</v>
      </c>
      <c r="Z6634" s="21">
        <v>4601004000308</v>
      </c>
    </row>
    <row r="6635" spans="1:26" ht="12" customHeight="1" outlineLevel="4" x14ac:dyDescent="0.2">
      <c r="A6635" s="14" t="s">
        <v>12786</v>
      </c>
      <c r="B6635" s="26" t="s">
        <v>12787</v>
      </c>
      <c r="C6635" s="52"/>
      <c r="D6635" s="55">
        <f t="shared" si="103"/>
        <v>0</v>
      </c>
      <c r="E6635" s="63" t="str">
        <f>HYPERLINK("https://www.sds-group.ru/product/kabel-vitaya-para-f-utp-cat-5e-pe-2pr-24awg-outdoor-solid-chernyy-305m-rexant-01-0124/", "Инфо")</f>
        <v>Инфо</v>
      </c>
      <c r="F6635" s="16" t="s">
        <v>1887</v>
      </c>
      <c r="G6635" s="15"/>
      <c r="H6635" s="15"/>
      <c r="I6635" s="15"/>
      <c r="J6635" s="17">
        <v>145</v>
      </c>
      <c r="K6635" s="15" t="s">
        <v>4013</v>
      </c>
      <c r="L6635" s="17">
        <v>1</v>
      </c>
      <c r="M6635" s="17">
        <v>2</v>
      </c>
      <c r="N6635" s="17">
        <v>1</v>
      </c>
      <c r="O6635" s="18">
        <v>12080.47</v>
      </c>
      <c r="P6635" s="18">
        <v>9902.02</v>
      </c>
      <c r="Q6635" s="18">
        <v>10751.62</v>
      </c>
      <c r="R6635" s="18">
        <v>8812.7999999999993</v>
      </c>
      <c r="S6635" s="18">
        <v>7248.28</v>
      </c>
      <c r="T6635" s="18">
        <v>5941.21</v>
      </c>
      <c r="U6635" s="16"/>
      <c r="V6635" s="16"/>
      <c r="W6635" s="16" t="s">
        <v>40</v>
      </c>
      <c r="X6635" s="19">
        <v>6.8789999999999996</v>
      </c>
      <c r="Y6635" s="20">
        <v>3.1800000000000002E-2</v>
      </c>
      <c r="Z6635" s="21">
        <v>4660008014988</v>
      </c>
    </row>
    <row r="6636" spans="1:26" ht="12" customHeight="1" outlineLevel="4" x14ac:dyDescent="0.2">
      <c r="A6636" s="14" t="s">
        <v>12788</v>
      </c>
      <c r="B6636" s="26" t="s">
        <v>12789</v>
      </c>
      <c r="C6636" s="52"/>
      <c r="D6636" s="55">
        <f t="shared" si="103"/>
        <v>0</v>
      </c>
      <c r="E6636" s="63" t="str">
        <f>HYPERLINK("https://www.sds-group.ru/product/kabel-vitaya-para-f-utp-cat-5e-pe-4pr-24awg-outdoor-solid-chernyy-305m-baraban-rexant-01-0146/", "Инфо")</f>
        <v>Инфо</v>
      </c>
      <c r="F6636" s="16" t="s">
        <v>1887</v>
      </c>
      <c r="G6636" s="15"/>
      <c r="H6636" s="15"/>
      <c r="I6636" s="15"/>
      <c r="J6636" s="17">
        <v>863</v>
      </c>
      <c r="K6636" s="15" t="s">
        <v>12745</v>
      </c>
      <c r="L6636" s="17">
        <v>1</v>
      </c>
      <c r="M6636" s="17">
        <v>1</v>
      </c>
      <c r="N6636" s="17">
        <v>1</v>
      </c>
      <c r="O6636" s="18">
        <v>25221.040000000001</v>
      </c>
      <c r="P6636" s="18">
        <v>20672.98</v>
      </c>
      <c r="Q6636" s="18">
        <v>22446.73</v>
      </c>
      <c r="R6636" s="18">
        <v>18398.96</v>
      </c>
      <c r="S6636" s="18">
        <v>15132.62</v>
      </c>
      <c r="T6636" s="18">
        <v>12403.79</v>
      </c>
      <c r="U6636" s="16"/>
      <c r="V6636" s="16"/>
      <c r="W6636" s="16" t="s">
        <v>40</v>
      </c>
      <c r="X6636" s="19">
        <v>10.561</v>
      </c>
      <c r="Y6636" s="20">
        <v>2.5236000000000001E-2</v>
      </c>
      <c r="Z6636" s="21">
        <v>4601004050327</v>
      </c>
    </row>
    <row r="6637" spans="1:26" ht="12" customHeight="1" outlineLevel="4" x14ac:dyDescent="0.2">
      <c r="A6637" s="14" t="s">
        <v>12790</v>
      </c>
      <c r="B6637" s="26" t="s">
        <v>12791</v>
      </c>
      <c r="C6637" s="52"/>
      <c r="D6637" s="55">
        <f t="shared" si="103"/>
        <v>0</v>
      </c>
      <c r="E6637" s="63" t="str">
        <f>HYPERLINK("https://www.sds-group.ru/product/kabel-vitaya-para-sf-utp-cat-5e-pe-4pr-24awg-outdoor-solid-chernyy-305m-rexant-01-0344/", "Инфо")</f>
        <v>Инфо</v>
      </c>
      <c r="F6637" s="16" t="s">
        <v>1887</v>
      </c>
      <c r="G6637" s="15"/>
      <c r="H6637" s="15"/>
      <c r="I6637" s="15"/>
      <c r="J6637" s="17">
        <v>191</v>
      </c>
      <c r="K6637" s="15" t="s">
        <v>12745</v>
      </c>
      <c r="L6637" s="17">
        <v>1</v>
      </c>
      <c r="M6637" s="17">
        <v>1</v>
      </c>
      <c r="N6637" s="17">
        <v>1</v>
      </c>
      <c r="O6637" s="18">
        <v>47979.1</v>
      </c>
      <c r="P6637" s="18">
        <v>39327.129999999997</v>
      </c>
      <c r="Q6637" s="18">
        <v>42701.4</v>
      </c>
      <c r="R6637" s="18">
        <v>35001.15</v>
      </c>
      <c r="S6637" s="18">
        <v>32625.79</v>
      </c>
      <c r="T6637" s="18">
        <v>26742.45</v>
      </c>
      <c r="U6637" s="16"/>
      <c r="V6637" s="16"/>
      <c r="W6637" s="16" t="s">
        <v>40</v>
      </c>
      <c r="X6637" s="19">
        <v>13.278</v>
      </c>
      <c r="Y6637" s="20">
        <v>3.2271000000000001E-2</v>
      </c>
      <c r="Z6637" s="21">
        <v>4660008015008</v>
      </c>
    </row>
    <row r="6638" spans="1:26" ht="12.95" customHeight="1" outlineLevel="3" x14ac:dyDescent="0.2">
      <c r="A6638" s="76" t="s">
        <v>12792</v>
      </c>
      <c r="B6638" s="76"/>
      <c r="C6638" s="77"/>
      <c r="D6638" s="58"/>
      <c r="E6638" s="68"/>
      <c r="F6638" s="13"/>
      <c r="G6638" s="13"/>
      <c r="H6638" s="13"/>
      <c r="I6638" s="13"/>
      <c r="J6638" s="13"/>
      <c r="K6638" s="13"/>
      <c r="L6638" s="13"/>
      <c r="M6638" s="13"/>
      <c r="N6638" s="13"/>
      <c r="O6638" s="13"/>
      <c r="P6638" s="13"/>
      <c r="Q6638" s="13"/>
      <c r="R6638" s="13"/>
      <c r="S6638" s="13"/>
      <c r="T6638" s="13"/>
      <c r="U6638" s="13"/>
      <c r="V6638" s="13"/>
      <c r="W6638" s="13"/>
      <c r="X6638" s="13"/>
      <c r="Y6638" s="13"/>
      <c r="Z6638" s="13"/>
    </row>
    <row r="6639" spans="1:26" ht="12" customHeight="1" outlineLevel="4" x14ac:dyDescent="0.2">
      <c r="A6639" s="14" t="s">
        <v>12793</v>
      </c>
      <c r="B6639" s="26" t="s">
        <v>12794</v>
      </c>
      <c r="C6639" s="52"/>
      <c r="D6639" s="55">
        <f t="shared" si="103"/>
        <v>0</v>
      </c>
      <c r="E6639" s="63" t="str">
        <f>HYPERLINK("https://www.sds-group.ru/product/kabel-vitaya-para-f-utp-cat-6-lszh-ng-a-hf-4pr-23awg-indoor-solid-oranzhevyy-305-m-rexant-01-0151/", "Инфо")</f>
        <v>Инфо</v>
      </c>
      <c r="F6639" s="16" t="s">
        <v>1887</v>
      </c>
      <c r="G6639" s="15"/>
      <c r="H6639" s="15"/>
      <c r="I6639" s="15"/>
      <c r="J6639" s="16" t="s">
        <v>100</v>
      </c>
      <c r="K6639" s="15" t="s">
        <v>925</v>
      </c>
      <c r="L6639" s="17">
        <v>1</v>
      </c>
      <c r="M6639" s="17">
        <v>1</v>
      </c>
      <c r="N6639" s="17">
        <v>1</v>
      </c>
      <c r="O6639" s="18">
        <v>42668.91</v>
      </c>
      <c r="P6639" s="18">
        <v>34974.519999999997</v>
      </c>
      <c r="Q6639" s="18">
        <v>37975.33</v>
      </c>
      <c r="R6639" s="18">
        <v>31127.32</v>
      </c>
      <c r="S6639" s="18">
        <v>29014.86</v>
      </c>
      <c r="T6639" s="18">
        <v>23782.67</v>
      </c>
      <c r="U6639" s="16"/>
      <c r="V6639" s="16"/>
      <c r="W6639" s="16" t="s">
        <v>40</v>
      </c>
      <c r="X6639" s="19">
        <v>18.670000000000002</v>
      </c>
      <c r="Y6639" s="20">
        <v>2.8299999999999999E-2</v>
      </c>
      <c r="Z6639" s="21">
        <v>4601004035591</v>
      </c>
    </row>
    <row r="6640" spans="1:26" ht="12" customHeight="1" outlineLevel="4" x14ac:dyDescent="0.2">
      <c r="A6640" s="14" t="s">
        <v>12795</v>
      </c>
      <c r="B6640" s="26" t="s">
        <v>12796</v>
      </c>
      <c r="C6640" s="52"/>
      <c r="D6640" s="55">
        <f t="shared" si="103"/>
        <v>0</v>
      </c>
      <c r="E6640" s="63" t="str">
        <f>HYPERLINK("https://www.sds-group.ru/product/kabel-vitaya-para-f-utp-cat-6-lszh-ng-a-hf-4pr-23awg-indoor-solid-seryy-305m-rexant-01-0167/", "Инфо")</f>
        <v>Инфо</v>
      </c>
      <c r="F6640" s="16" t="s">
        <v>1887</v>
      </c>
      <c r="G6640" s="15"/>
      <c r="H6640" s="15"/>
      <c r="I6640" s="15"/>
      <c r="J6640" s="17">
        <v>10</v>
      </c>
      <c r="K6640" s="15" t="s">
        <v>925</v>
      </c>
      <c r="L6640" s="17">
        <v>1</v>
      </c>
      <c r="M6640" s="17">
        <v>1</v>
      </c>
      <c r="N6640" s="17">
        <v>1</v>
      </c>
      <c r="O6640" s="18">
        <v>42668.92</v>
      </c>
      <c r="P6640" s="18">
        <v>34974.519999999997</v>
      </c>
      <c r="Q6640" s="18">
        <v>37975.339999999997</v>
      </c>
      <c r="R6640" s="18">
        <v>31127.33</v>
      </c>
      <c r="S6640" s="18">
        <v>29014.87</v>
      </c>
      <c r="T6640" s="18">
        <v>23782.68</v>
      </c>
      <c r="U6640" s="16"/>
      <c r="V6640" s="16"/>
      <c r="W6640" s="16" t="s">
        <v>40</v>
      </c>
      <c r="X6640" s="19">
        <v>18.5</v>
      </c>
      <c r="Y6640" s="20">
        <v>7.0800000000000002E-2</v>
      </c>
      <c r="Z6640" s="21">
        <v>4601004255715</v>
      </c>
    </row>
    <row r="6641" spans="1:26" ht="12" customHeight="1" outlineLevel="4" x14ac:dyDescent="0.2">
      <c r="A6641" s="14" t="s">
        <v>12797</v>
      </c>
      <c r="B6641" s="26" t="s">
        <v>12798</v>
      </c>
      <c r="C6641" s="52"/>
      <c r="D6641" s="55">
        <f t="shared" si="103"/>
        <v>0</v>
      </c>
      <c r="E6641" s="63" t="str">
        <f>HYPERLINK("https://www.sds-group.ru/product/kabel-vitaya-para-f-utp-cat-6-pvc-4pr-23awg-indoor-solid-siniy-305-m-rexant-01-0147/", "Инфо")</f>
        <v>Инфо</v>
      </c>
      <c r="F6641" s="16" t="s">
        <v>1887</v>
      </c>
      <c r="G6641" s="15"/>
      <c r="H6641" s="15"/>
      <c r="I6641" s="15"/>
      <c r="J6641" s="17">
        <v>573</v>
      </c>
      <c r="K6641" s="15" t="s">
        <v>925</v>
      </c>
      <c r="L6641" s="17">
        <v>1</v>
      </c>
      <c r="M6641" s="17">
        <v>1</v>
      </c>
      <c r="N6641" s="17">
        <v>1</v>
      </c>
      <c r="O6641" s="18">
        <v>44129.95</v>
      </c>
      <c r="P6641" s="18">
        <v>36172.089999999997</v>
      </c>
      <c r="Q6641" s="18">
        <v>39275.660000000003</v>
      </c>
      <c r="R6641" s="18">
        <v>32193.16</v>
      </c>
      <c r="S6641" s="18">
        <v>30008.37</v>
      </c>
      <c r="T6641" s="18">
        <v>24597.02</v>
      </c>
      <c r="U6641" s="16"/>
      <c r="V6641" s="16"/>
      <c r="W6641" s="16" t="s">
        <v>40</v>
      </c>
      <c r="X6641" s="19">
        <v>17.8</v>
      </c>
      <c r="Y6641" s="20">
        <v>2.8313000000000001E-2</v>
      </c>
      <c r="Z6641" s="21">
        <v>4601004050341</v>
      </c>
    </row>
    <row r="6642" spans="1:26" ht="12" customHeight="1" outlineLevel="4" x14ac:dyDescent="0.2">
      <c r="A6642" s="14" t="s">
        <v>12799</v>
      </c>
      <c r="B6642" s="26" t="s">
        <v>12800</v>
      </c>
      <c r="C6642" s="52"/>
      <c r="D6642" s="55">
        <f t="shared" si="103"/>
        <v>0</v>
      </c>
      <c r="E6642" s="63" t="str">
        <f>HYPERLINK("https://www.sds-group.ru/product/kabel-vitaya-para-f-utp-cat-6-ng-a-lsltx-4h2h0-575mm-23awg-indoor-solid-zelenyy-305m-rexant-01-0171/", "Инфо")</f>
        <v>Инфо</v>
      </c>
      <c r="F6642" s="16" t="s">
        <v>1887</v>
      </c>
      <c r="G6642" s="15"/>
      <c r="H6642" s="15"/>
      <c r="I6642" s="15"/>
      <c r="J6642" s="17">
        <v>119</v>
      </c>
      <c r="K6642" s="15"/>
      <c r="L6642" s="17">
        <v>1</v>
      </c>
      <c r="M6642" s="17">
        <v>1</v>
      </c>
      <c r="N6642" s="17">
        <v>1</v>
      </c>
      <c r="O6642" s="18">
        <v>48705.01</v>
      </c>
      <c r="P6642" s="18">
        <v>39922.14</v>
      </c>
      <c r="Q6642" s="18">
        <v>43347.46</v>
      </c>
      <c r="R6642" s="18">
        <v>35530.699999999997</v>
      </c>
      <c r="S6642" s="18">
        <v>33119.410000000003</v>
      </c>
      <c r="T6642" s="18">
        <v>27147.06</v>
      </c>
      <c r="U6642" s="16"/>
      <c r="V6642" s="16"/>
      <c r="W6642" s="16" t="s">
        <v>40</v>
      </c>
      <c r="X6642" s="19">
        <v>18.87</v>
      </c>
      <c r="Y6642" s="20">
        <v>2.8299999999999999E-2</v>
      </c>
      <c r="Z6642" s="21">
        <v>4601004263000</v>
      </c>
    </row>
    <row r="6643" spans="1:26" ht="12" customHeight="1" outlineLevel="4" x14ac:dyDescent="0.2">
      <c r="A6643" s="14" t="s">
        <v>12801</v>
      </c>
      <c r="B6643" s="26" t="s">
        <v>12802</v>
      </c>
      <c r="C6643" s="52"/>
      <c r="D6643" s="55">
        <f t="shared" si="103"/>
        <v>0</v>
      </c>
      <c r="E6643" s="63" t="str">
        <f>HYPERLINK("https://www.sds-group.ru/product/kabel-vitaya-para-u-utp-cat-6-lszh-ng-a-hf-4pr-23awg-indoor-solid-oranzhevyy-305-m-rexant-01-0050/", "Инфо")</f>
        <v>Инфо</v>
      </c>
      <c r="F6643" s="16" t="s">
        <v>1887</v>
      </c>
      <c r="G6643" s="15"/>
      <c r="H6643" s="15"/>
      <c r="I6643" s="15"/>
      <c r="J6643" s="17">
        <v>30</v>
      </c>
      <c r="K6643" s="15" t="s">
        <v>4926</v>
      </c>
      <c r="L6643" s="17">
        <v>1</v>
      </c>
      <c r="M6643" s="17">
        <v>2</v>
      </c>
      <c r="N6643" s="17">
        <v>1</v>
      </c>
      <c r="O6643" s="18">
        <v>37396.04</v>
      </c>
      <c r="P6643" s="18">
        <v>30652.49</v>
      </c>
      <c r="Q6643" s="18">
        <v>33282.480000000003</v>
      </c>
      <c r="R6643" s="18">
        <v>27280.720000000001</v>
      </c>
      <c r="S6643" s="18">
        <v>25429.31</v>
      </c>
      <c r="T6643" s="18">
        <v>20843.7</v>
      </c>
      <c r="U6643" s="16"/>
      <c r="V6643" s="16"/>
      <c r="W6643" s="16" t="s">
        <v>40</v>
      </c>
      <c r="X6643" s="19">
        <v>13.817</v>
      </c>
      <c r="Y6643" s="20">
        <v>4.5338999999999997E-2</v>
      </c>
      <c r="Z6643" s="21">
        <v>4601004035409</v>
      </c>
    </row>
    <row r="6644" spans="1:26" ht="12" customHeight="1" outlineLevel="4" x14ac:dyDescent="0.2">
      <c r="A6644" s="14" t="s">
        <v>12803</v>
      </c>
      <c r="B6644" s="26" t="s">
        <v>12804</v>
      </c>
      <c r="C6644" s="52"/>
      <c r="D6644" s="55">
        <f t="shared" si="103"/>
        <v>0</v>
      </c>
      <c r="E6644" s="63" t="str">
        <f>HYPERLINK("https://www.sds-group.ru/product/kabel-vitaya-para-u-utp-cat-6-lszh-ng-a-hf-4pr-23awg-indoor-solid-seryy-305-m-rexant-01-0067/", "Инфо")</f>
        <v>Инфо</v>
      </c>
      <c r="F6644" s="16" t="s">
        <v>1887</v>
      </c>
      <c r="G6644" s="15"/>
      <c r="H6644" s="15"/>
      <c r="I6644" s="15"/>
      <c r="J6644" s="17">
        <v>178</v>
      </c>
      <c r="K6644" s="15" t="s">
        <v>4926</v>
      </c>
      <c r="L6644" s="17">
        <v>1</v>
      </c>
      <c r="M6644" s="17">
        <v>2</v>
      </c>
      <c r="N6644" s="17">
        <v>1</v>
      </c>
      <c r="O6644" s="18">
        <v>37396.04</v>
      </c>
      <c r="P6644" s="18">
        <v>30652.49</v>
      </c>
      <c r="Q6644" s="18">
        <v>33282.480000000003</v>
      </c>
      <c r="R6644" s="18">
        <v>27280.720000000001</v>
      </c>
      <c r="S6644" s="18">
        <v>25429.31</v>
      </c>
      <c r="T6644" s="18">
        <v>20843.7</v>
      </c>
      <c r="U6644" s="16"/>
      <c r="V6644" s="16"/>
      <c r="W6644" s="16" t="s">
        <v>40</v>
      </c>
      <c r="X6644" s="19">
        <v>13.877000000000001</v>
      </c>
      <c r="Y6644" s="20">
        <v>4.5823999999999997E-2</v>
      </c>
      <c r="Z6644" s="21">
        <v>4601004255685</v>
      </c>
    </row>
    <row r="6645" spans="1:26" ht="12" customHeight="1" outlineLevel="4" x14ac:dyDescent="0.2">
      <c r="A6645" s="14" t="s">
        <v>12805</v>
      </c>
      <c r="B6645" s="26" t="s">
        <v>12806</v>
      </c>
      <c r="C6645" s="52"/>
      <c r="D6645" s="55">
        <f t="shared" si="103"/>
        <v>0</v>
      </c>
      <c r="E6645" s="63" t="str">
        <f>HYPERLINK("https://www.sds-group.ru/product/kabel-vitaya-para-u-utp-cat-6-pvc-23awg-indoor-solid-siniy-305-m-rexant-01-0047/", "Инфо")</f>
        <v>Инфо</v>
      </c>
      <c r="F6645" s="16" t="s">
        <v>1887</v>
      </c>
      <c r="G6645" s="15"/>
      <c r="H6645" s="15"/>
      <c r="I6645" s="15"/>
      <c r="J6645" s="17">
        <v>209</v>
      </c>
      <c r="K6645" s="15" t="s">
        <v>12745</v>
      </c>
      <c r="L6645" s="17">
        <v>1</v>
      </c>
      <c r="M6645" s="17">
        <v>2</v>
      </c>
      <c r="N6645" s="17">
        <v>1</v>
      </c>
      <c r="O6645" s="18">
        <v>32719.32</v>
      </c>
      <c r="P6645" s="18">
        <v>26819.11</v>
      </c>
      <c r="Q6645" s="18">
        <v>29120.19</v>
      </c>
      <c r="R6645" s="18">
        <v>23869.01</v>
      </c>
      <c r="S6645" s="18">
        <v>22249.14</v>
      </c>
      <c r="T6645" s="18">
        <v>18237</v>
      </c>
      <c r="U6645" s="16"/>
      <c r="V6645" s="16"/>
      <c r="W6645" s="16" t="s">
        <v>40</v>
      </c>
      <c r="X6645" s="19">
        <v>14.14</v>
      </c>
      <c r="Y6645" s="20">
        <v>4.7349000000000002E-2</v>
      </c>
      <c r="Z6645" s="21">
        <v>4660008014025</v>
      </c>
    </row>
    <row r="6646" spans="1:26" ht="12" customHeight="1" outlineLevel="4" x14ac:dyDescent="0.2">
      <c r="A6646" s="14" t="s">
        <v>12807</v>
      </c>
      <c r="B6646" s="26" t="s">
        <v>12808</v>
      </c>
      <c r="C6646" s="52"/>
      <c r="D6646" s="55">
        <f t="shared" si="103"/>
        <v>0</v>
      </c>
      <c r="E6646" s="63" t="str">
        <f>HYPERLINK("https://www.sds-group.ru/product/kabel-vitaya-para-u-utp-cat-6-ng-a-lsltx-4h2h0-575mm-23awg-indoor-solid-zelenyy-305m-rexant-01-0071/", "Инфо")</f>
        <v>Инфо</v>
      </c>
      <c r="F6646" s="16" t="s">
        <v>1887</v>
      </c>
      <c r="G6646" s="15"/>
      <c r="H6646" s="15"/>
      <c r="I6646" s="15"/>
      <c r="J6646" s="17">
        <v>1</v>
      </c>
      <c r="K6646" s="15" t="s">
        <v>4926</v>
      </c>
      <c r="L6646" s="17">
        <v>1</v>
      </c>
      <c r="M6646" s="17">
        <v>2</v>
      </c>
      <c r="N6646" s="17">
        <v>1</v>
      </c>
      <c r="O6646" s="18">
        <v>38800.589999999997</v>
      </c>
      <c r="P6646" s="18">
        <v>31803.759999999998</v>
      </c>
      <c r="Q6646" s="18">
        <v>34532.53</v>
      </c>
      <c r="R6646" s="18">
        <v>28305.35</v>
      </c>
      <c r="S6646" s="18">
        <v>26384.400000000001</v>
      </c>
      <c r="T6646" s="18">
        <v>21626.560000000001</v>
      </c>
      <c r="U6646" s="16"/>
      <c r="V6646" s="16"/>
      <c r="W6646" s="16" t="s">
        <v>40</v>
      </c>
      <c r="X6646" s="19">
        <v>13.964</v>
      </c>
      <c r="Y6646" s="20">
        <v>4.5678000000000003E-2</v>
      </c>
      <c r="Z6646" s="21">
        <v>4601004262997</v>
      </c>
    </row>
    <row r="6647" spans="1:26" ht="12.95" customHeight="1" outlineLevel="3" x14ac:dyDescent="0.2">
      <c r="A6647" s="76" t="s">
        <v>12809</v>
      </c>
      <c r="B6647" s="76"/>
      <c r="C6647" s="77"/>
      <c r="D6647" s="58"/>
      <c r="E6647" s="68"/>
      <c r="F6647" s="13"/>
      <c r="G6647" s="13"/>
      <c r="H6647" s="13"/>
      <c r="I6647" s="13"/>
      <c r="J6647" s="13"/>
      <c r="K6647" s="13"/>
      <c r="L6647" s="13"/>
      <c r="M6647" s="13"/>
      <c r="N6647" s="13"/>
      <c r="O6647" s="13"/>
      <c r="P6647" s="13"/>
      <c r="Q6647" s="13"/>
      <c r="R6647" s="13"/>
      <c r="S6647" s="13"/>
      <c r="T6647" s="13"/>
      <c r="U6647" s="13"/>
      <c r="V6647" s="13"/>
      <c r="W6647" s="13"/>
      <c r="X6647" s="13"/>
      <c r="Y6647" s="13"/>
      <c r="Z6647" s="13"/>
    </row>
    <row r="6648" spans="1:26" ht="12" customHeight="1" outlineLevel="4" x14ac:dyDescent="0.2">
      <c r="A6648" s="14" t="s">
        <v>12810</v>
      </c>
      <c r="B6648" s="26" t="s">
        <v>12811</v>
      </c>
      <c r="C6648" s="52"/>
      <c r="D6648" s="55">
        <f t="shared" si="103"/>
        <v>0</v>
      </c>
      <c r="E6648" s="63" t="str">
        <f>HYPERLINK("https://www.sds-group.ru/product/kabel-vitaya-para-f-utp-cat-6-pe-4pr-23awg-outdoor-solid-chernyy-305m-rexant-01-0158/", "Инфо")</f>
        <v>Инфо</v>
      </c>
      <c r="F6648" s="16" t="s">
        <v>1887</v>
      </c>
      <c r="G6648" s="15"/>
      <c r="H6648" s="15"/>
      <c r="I6648" s="15"/>
      <c r="J6648" s="17">
        <v>2</v>
      </c>
      <c r="K6648" s="15" t="s">
        <v>925</v>
      </c>
      <c r="L6648" s="17">
        <v>1</v>
      </c>
      <c r="M6648" s="17">
        <v>1</v>
      </c>
      <c r="N6648" s="17">
        <v>1</v>
      </c>
      <c r="O6648" s="18">
        <v>45959.199999999997</v>
      </c>
      <c r="P6648" s="18">
        <v>37671.480000000003</v>
      </c>
      <c r="Q6648" s="18">
        <v>40903.69</v>
      </c>
      <c r="R6648" s="18">
        <v>33527.61</v>
      </c>
      <c r="S6648" s="18">
        <v>31252.26</v>
      </c>
      <c r="T6648" s="18">
        <v>25616.61</v>
      </c>
      <c r="U6648" s="16"/>
      <c r="V6648" s="16"/>
      <c r="W6648" s="16" t="s">
        <v>40</v>
      </c>
      <c r="X6648" s="19">
        <v>15.709</v>
      </c>
      <c r="Y6648" s="20">
        <v>3.7809000000000002E-2</v>
      </c>
      <c r="Z6648" s="21">
        <v>4601004276246</v>
      </c>
    </row>
    <row r="6649" spans="1:26" ht="12" customHeight="1" outlineLevel="4" x14ac:dyDescent="0.2">
      <c r="A6649" s="14" t="s">
        <v>12812</v>
      </c>
      <c r="B6649" s="26" t="s">
        <v>12813</v>
      </c>
      <c r="C6649" s="52"/>
      <c r="D6649" s="55">
        <f t="shared" si="103"/>
        <v>0</v>
      </c>
      <c r="E6649" s="63" t="str">
        <f>HYPERLINK("https://www.sds-group.ru/product/kabel-vitaya-para-u-utp-cat-6-pe-4pr-23awg-outdoor-solid-chernyy-305m-rexant-01-0058/", "Инфо")</f>
        <v>Инфо</v>
      </c>
      <c r="F6649" s="16" t="s">
        <v>1887</v>
      </c>
      <c r="G6649" s="15"/>
      <c r="H6649" s="15"/>
      <c r="I6649" s="15"/>
      <c r="J6649" s="17">
        <v>143</v>
      </c>
      <c r="K6649" s="15"/>
      <c r="L6649" s="17">
        <v>1</v>
      </c>
      <c r="M6649" s="17">
        <v>1</v>
      </c>
      <c r="N6649" s="17">
        <v>1</v>
      </c>
      <c r="O6649" s="18">
        <v>37581.18</v>
      </c>
      <c r="P6649" s="18">
        <v>30804.25</v>
      </c>
      <c r="Q6649" s="18">
        <v>33447.25</v>
      </c>
      <c r="R6649" s="18">
        <v>27415.78</v>
      </c>
      <c r="S6649" s="18">
        <v>25555.200000000001</v>
      </c>
      <c r="T6649" s="18">
        <v>20946.89</v>
      </c>
      <c r="U6649" s="16"/>
      <c r="V6649" s="16"/>
      <c r="W6649" s="16" t="s">
        <v>40</v>
      </c>
      <c r="X6649" s="19">
        <v>13.728999999999999</v>
      </c>
      <c r="Y6649" s="20">
        <v>5.1201999999999998E-2</v>
      </c>
      <c r="Z6649" s="21">
        <v>4601004276239</v>
      </c>
    </row>
    <row r="6650" spans="1:26" ht="12.95" customHeight="1" outlineLevel="2" x14ac:dyDescent="0.2">
      <c r="A6650" s="76" t="s">
        <v>12814</v>
      </c>
      <c r="B6650" s="76"/>
      <c r="C6650" s="77"/>
      <c r="D6650" s="58"/>
      <c r="E6650" s="68"/>
      <c r="F6650" s="13"/>
      <c r="G6650" s="13"/>
      <c r="H6650" s="13"/>
      <c r="I6650" s="13"/>
      <c r="J6650" s="13"/>
      <c r="K6650" s="13"/>
      <c r="L6650" s="13"/>
      <c r="M6650" s="13"/>
      <c r="N6650" s="13"/>
      <c r="O6650" s="13"/>
      <c r="P6650" s="13"/>
      <c r="Q6650" s="13"/>
      <c r="R6650" s="13"/>
      <c r="S6650" s="13"/>
      <c r="T6650" s="13"/>
      <c r="U6650" s="13"/>
      <c r="V6650" s="13"/>
      <c r="W6650" s="13"/>
      <c r="X6650" s="13"/>
      <c r="Y6650" s="13"/>
      <c r="Z6650" s="13"/>
    </row>
    <row r="6651" spans="1:26" ht="12.95" customHeight="1" outlineLevel="3" x14ac:dyDescent="0.2">
      <c r="A6651" s="82" t="s">
        <v>12815</v>
      </c>
      <c r="B6651" s="82"/>
      <c r="C6651" s="83"/>
      <c r="D6651" s="59"/>
      <c r="E6651" s="69"/>
      <c r="F6651" s="23"/>
      <c r="G6651" s="23"/>
      <c r="H6651" s="23"/>
      <c r="I6651" s="23"/>
      <c r="J6651" s="23"/>
      <c r="K6651" s="23"/>
      <c r="L6651" s="23"/>
      <c r="M6651" s="23"/>
      <c r="N6651" s="23"/>
      <c r="O6651" s="23"/>
      <c r="P6651" s="23"/>
      <c r="Q6651" s="23"/>
      <c r="R6651" s="23"/>
      <c r="S6651" s="23"/>
      <c r="T6651" s="23"/>
      <c r="U6651" s="23"/>
      <c r="V6651" s="23"/>
      <c r="W6651" s="23"/>
      <c r="X6651" s="23"/>
      <c r="Y6651" s="23"/>
      <c r="Z6651" s="23"/>
    </row>
    <row r="6652" spans="1:26" ht="12" customHeight="1" outlineLevel="4" x14ac:dyDescent="0.2">
      <c r="A6652" s="14" t="s">
        <v>12816</v>
      </c>
      <c r="B6652" s="26" t="s">
        <v>12817</v>
      </c>
      <c r="C6652" s="52"/>
      <c r="D6652" s="55">
        <f t="shared" si="103"/>
        <v>0</v>
      </c>
      <c r="E6652" s="63" t="str">
        <f>HYPERLINK("https://www.sds-group.ru/product/kabel-vitaya-para-f-utp-cat-5-pvc-4pr-26awg-indoor-solid-seryy-305m-proconnect-light-01-0148/", "Инфо")</f>
        <v>Инфо</v>
      </c>
      <c r="F6652" s="16" t="s">
        <v>1887</v>
      </c>
      <c r="G6652" s="15"/>
      <c r="H6652" s="15"/>
      <c r="I6652" s="15"/>
      <c r="J6652" s="17">
        <v>90</v>
      </c>
      <c r="K6652" s="15" t="s">
        <v>925</v>
      </c>
      <c r="L6652" s="17">
        <v>1</v>
      </c>
      <c r="M6652" s="17">
        <v>2</v>
      </c>
      <c r="N6652" s="17">
        <v>1</v>
      </c>
      <c r="O6652" s="18">
        <v>22141.47</v>
      </c>
      <c r="P6652" s="18">
        <v>18148.75</v>
      </c>
      <c r="Q6652" s="18">
        <v>19705.91</v>
      </c>
      <c r="R6652" s="18">
        <v>16152.39</v>
      </c>
      <c r="S6652" s="18">
        <v>12842.05</v>
      </c>
      <c r="T6652" s="18">
        <v>10526.27</v>
      </c>
      <c r="U6652" s="16"/>
      <c r="V6652" s="16"/>
      <c r="W6652" s="16" t="s">
        <v>40</v>
      </c>
      <c r="X6652" s="19">
        <v>9.2639999999999993</v>
      </c>
      <c r="Y6652" s="20">
        <v>3.3522000000000003E-2</v>
      </c>
      <c r="Z6652" s="21">
        <v>4660008015237</v>
      </c>
    </row>
    <row r="6653" spans="1:26" ht="12" customHeight="1" outlineLevel="4" x14ac:dyDescent="0.2">
      <c r="A6653" s="14" t="s">
        <v>12818</v>
      </c>
      <c r="B6653" s="26" t="s">
        <v>12819</v>
      </c>
      <c r="C6653" s="52"/>
      <c r="D6653" s="55">
        <f t="shared" si="103"/>
        <v>0</v>
      </c>
      <c r="E6653" s="63" t="str">
        <f>HYPERLINK("https://www.sds-group.ru/product/kabel-vitaya-para-u-utp-cat-5e-pvc-2pr-24awg-indoor-solid-seryy-305m-proconnect-01-0027/", "Инфо")</f>
        <v>Инфо</v>
      </c>
      <c r="F6653" s="16" t="s">
        <v>1887</v>
      </c>
      <c r="G6653" s="15"/>
      <c r="H6653" s="15"/>
      <c r="I6653" s="15"/>
      <c r="J6653" s="17">
        <v>222</v>
      </c>
      <c r="K6653" s="15" t="s">
        <v>4013</v>
      </c>
      <c r="L6653" s="17">
        <v>1</v>
      </c>
      <c r="M6653" s="17">
        <v>4</v>
      </c>
      <c r="N6653" s="17">
        <v>1</v>
      </c>
      <c r="O6653" s="18">
        <v>10195.33</v>
      </c>
      <c r="P6653" s="18">
        <v>8356.83</v>
      </c>
      <c r="Q6653" s="18">
        <v>9073.84</v>
      </c>
      <c r="R6653" s="18">
        <v>7437.57</v>
      </c>
      <c r="S6653" s="18">
        <v>5913.29</v>
      </c>
      <c r="T6653" s="18">
        <v>4846.96</v>
      </c>
      <c r="U6653" s="16"/>
      <c r="V6653" s="16"/>
      <c r="W6653" s="16" t="s">
        <v>40</v>
      </c>
      <c r="X6653" s="19">
        <v>5.6630000000000003</v>
      </c>
      <c r="Y6653" s="20">
        <v>2.1360000000000001E-2</v>
      </c>
      <c r="Z6653" s="21">
        <v>4660008014049</v>
      </c>
    </row>
    <row r="6654" spans="1:26" ht="12" customHeight="1" outlineLevel="4" x14ac:dyDescent="0.2">
      <c r="A6654" s="14" t="s">
        <v>12820</v>
      </c>
      <c r="B6654" s="26" t="s">
        <v>12821</v>
      </c>
      <c r="C6654" s="52"/>
      <c r="D6654" s="55">
        <f t="shared" si="103"/>
        <v>0</v>
      </c>
      <c r="E6654" s="63" t="str">
        <f>HYPERLINK("https://www.sds-group.ru/product/kabel-vitaya-para-u-utp-cat-5e-pvc-4pr-24awg-indoor-solid-seryy-305m-proconnect-01-0052/", "Инфо")</f>
        <v>Инфо</v>
      </c>
      <c r="F6654" s="16" t="s">
        <v>1887</v>
      </c>
      <c r="G6654" s="15"/>
      <c r="H6654" s="15"/>
      <c r="I6654" s="15"/>
      <c r="J6654" s="22">
        <v>2944</v>
      </c>
      <c r="K6654" s="15" t="s">
        <v>925</v>
      </c>
      <c r="L6654" s="17">
        <v>1</v>
      </c>
      <c r="M6654" s="17">
        <v>2</v>
      </c>
      <c r="N6654" s="17">
        <v>1</v>
      </c>
      <c r="O6654" s="18">
        <v>17956.919999999998</v>
      </c>
      <c r="P6654" s="18">
        <v>14718.79</v>
      </c>
      <c r="Q6654" s="18">
        <v>15981.66</v>
      </c>
      <c r="R6654" s="18">
        <v>13099.72</v>
      </c>
      <c r="S6654" s="18">
        <v>10415.01</v>
      </c>
      <c r="T6654" s="18">
        <v>8536.89</v>
      </c>
      <c r="U6654" s="16"/>
      <c r="V6654" s="16"/>
      <c r="W6654" s="16" t="s">
        <v>40</v>
      </c>
      <c r="X6654" s="19">
        <v>8.2140000000000004</v>
      </c>
      <c r="Y6654" s="20">
        <v>3.0166999999999999E-2</v>
      </c>
      <c r="Z6654" s="21">
        <v>4660008014056</v>
      </c>
    </row>
    <row r="6655" spans="1:26" ht="12" customHeight="1" outlineLevel="4" x14ac:dyDescent="0.2">
      <c r="A6655" s="14" t="s">
        <v>12822</v>
      </c>
      <c r="B6655" s="26" t="s">
        <v>12823</v>
      </c>
      <c r="C6655" s="52"/>
      <c r="D6655" s="55">
        <f t="shared" si="103"/>
        <v>0</v>
      </c>
      <c r="E6655" s="63" t="str">
        <f>HYPERLINK("https://www.sds-group.ru/product/kabel-vitaya-para-f-utp-cat-5e-pvc-4pr-24awg-indoor-solid-seryy-305m-proconnect-01-0152/", "Инфо")</f>
        <v>Инфо</v>
      </c>
      <c r="F6655" s="16" t="s">
        <v>1887</v>
      </c>
      <c r="G6655" s="15"/>
      <c r="H6655" s="15"/>
      <c r="I6655" s="15"/>
      <c r="J6655" s="17">
        <v>53</v>
      </c>
      <c r="K6655" s="15" t="s">
        <v>925</v>
      </c>
      <c r="L6655" s="17">
        <v>1</v>
      </c>
      <c r="M6655" s="17">
        <v>2</v>
      </c>
      <c r="N6655" s="17">
        <v>1</v>
      </c>
      <c r="O6655" s="18">
        <v>23338.3</v>
      </c>
      <c r="P6655" s="18">
        <v>19129.75</v>
      </c>
      <c r="Q6655" s="18">
        <v>20771.09</v>
      </c>
      <c r="R6655" s="18">
        <v>17025.48</v>
      </c>
      <c r="S6655" s="18">
        <v>13536.21</v>
      </c>
      <c r="T6655" s="18">
        <v>11095.25</v>
      </c>
      <c r="U6655" s="16"/>
      <c r="V6655" s="16"/>
      <c r="W6655" s="16" t="s">
        <v>40</v>
      </c>
      <c r="X6655" s="19">
        <v>11.005000000000001</v>
      </c>
      <c r="Y6655" s="20">
        <v>4.4509E-2</v>
      </c>
      <c r="Z6655" s="21">
        <v>4601004002760</v>
      </c>
    </row>
    <row r="6656" spans="1:26" ht="12.95" customHeight="1" outlineLevel="3" x14ac:dyDescent="0.2">
      <c r="A6656" s="76" t="s">
        <v>12824</v>
      </c>
      <c r="B6656" s="76"/>
      <c r="C6656" s="77"/>
      <c r="D6656" s="58"/>
      <c r="E6656" s="68"/>
      <c r="F6656" s="13"/>
      <c r="G6656" s="13"/>
      <c r="H6656" s="13"/>
      <c r="I6656" s="13"/>
      <c r="J6656" s="13"/>
      <c r="K6656" s="13"/>
      <c r="L6656" s="13"/>
      <c r="M6656" s="13"/>
      <c r="N6656" s="13"/>
      <c r="O6656" s="13"/>
      <c r="P6656" s="13"/>
      <c r="Q6656" s="13"/>
      <c r="R6656" s="13"/>
      <c r="S6656" s="13"/>
      <c r="T6656" s="13"/>
      <c r="U6656" s="13"/>
      <c r="V6656" s="13"/>
      <c r="W6656" s="13"/>
      <c r="X6656" s="13"/>
      <c r="Y6656" s="13"/>
      <c r="Z6656" s="13"/>
    </row>
    <row r="6657" spans="1:26" ht="12" customHeight="1" outlineLevel="4" x14ac:dyDescent="0.2">
      <c r="A6657" s="14" t="s">
        <v>12825</v>
      </c>
      <c r="B6657" s="26" t="s">
        <v>12826</v>
      </c>
      <c r="C6657" s="52"/>
      <c r="D6657" s="55">
        <f t="shared" si="103"/>
        <v>0</v>
      </c>
      <c r="E6657" s="63" t="str">
        <f>HYPERLINK("https://www.sds-group.ru/product/kabel-vitaya-para-omednennyy-f-utp-cca-cat-5-pvc-4pr-26awg-indoor-solid-seryy-305m-proconn-01-0148-3/", "Инфо")</f>
        <v>Инфо</v>
      </c>
      <c r="F6657" s="16" t="s">
        <v>1887</v>
      </c>
      <c r="G6657" s="15"/>
      <c r="H6657" s="15"/>
      <c r="I6657" s="15"/>
      <c r="J6657" s="17">
        <v>43</v>
      </c>
      <c r="K6657" s="15" t="s">
        <v>925</v>
      </c>
      <c r="L6657" s="17">
        <v>1</v>
      </c>
      <c r="M6657" s="17">
        <v>2</v>
      </c>
      <c r="N6657" s="17">
        <v>1</v>
      </c>
      <c r="O6657" s="18">
        <v>7275.3</v>
      </c>
      <c r="P6657" s="18">
        <v>5963.36</v>
      </c>
      <c r="Q6657" s="18">
        <v>6475.02</v>
      </c>
      <c r="R6657" s="18">
        <v>5307.39</v>
      </c>
      <c r="S6657" s="18">
        <v>4219.67</v>
      </c>
      <c r="T6657" s="18">
        <v>3458.75</v>
      </c>
      <c r="U6657" s="16"/>
      <c r="V6657" s="16"/>
      <c r="W6657" s="16" t="s">
        <v>40</v>
      </c>
      <c r="X6657" s="19">
        <v>8.2100000000000009</v>
      </c>
      <c r="Y6657" s="20">
        <v>3.9023000000000002E-2</v>
      </c>
      <c r="Z6657" s="21">
        <v>4660008015350</v>
      </c>
    </row>
    <row r="6658" spans="1:26" ht="12" customHeight="1" outlineLevel="4" x14ac:dyDescent="0.2">
      <c r="A6658" s="14" t="s">
        <v>12827</v>
      </c>
      <c r="B6658" s="26" t="s">
        <v>12828</v>
      </c>
      <c r="C6658" s="52"/>
      <c r="D6658" s="55">
        <f t="shared" si="103"/>
        <v>0</v>
      </c>
      <c r="E6658" s="63" t="str">
        <f>HYPERLINK("https://www.sds-group.ru/product/kabel-vitaya-para-omednennyy-f-utp-cca-cat-5e-pvc-2pr-24awg-indoor-solid-seryy-305m-procon-01-0121-3/", "Инфо")</f>
        <v>Инфо</v>
      </c>
      <c r="F6658" s="16" t="s">
        <v>1887</v>
      </c>
      <c r="G6658" s="15"/>
      <c r="H6658" s="15"/>
      <c r="I6658" s="15"/>
      <c r="J6658" s="17">
        <v>46</v>
      </c>
      <c r="K6658" s="15" t="s">
        <v>4029</v>
      </c>
      <c r="L6658" s="17">
        <v>1</v>
      </c>
      <c r="M6658" s="17">
        <v>2</v>
      </c>
      <c r="N6658" s="17">
        <v>1</v>
      </c>
      <c r="O6658" s="18">
        <v>5891.96</v>
      </c>
      <c r="P6658" s="18">
        <v>4829.4799999999996</v>
      </c>
      <c r="Q6658" s="18">
        <v>5243.84</v>
      </c>
      <c r="R6658" s="18">
        <v>4298.2299999999996</v>
      </c>
      <c r="S6658" s="18">
        <v>3417.34</v>
      </c>
      <c r="T6658" s="18">
        <v>2801.1</v>
      </c>
      <c r="U6658" s="16"/>
      <c r="V6658" s="16"/>
      <c r="W6658" s="16" t="s">
        <v>40</v>
      </c>
      <c r="X6658" s="19">
        <v>6.71</v>
      </c>
      <c r="Y6658" s="20">
        <v>2.5999999999999999E-2</v>
      </c>
      <c r="Z6658" s="21">
        <v>4660008015299</v>
      </c>
    </row>
    <row r="6659" spans="1:26" ht="12" customHeight="1" outlineLevel="4" x14ac:dyDescent="0.2">
      <c r="A6659" s="14" t="s">
        <v>12829</v>
      </c>
      <c r="B6659" s="26" t="s">
        <v>12830</v>
      </c>
      <c r="C6659" s="52"/>
      <c r="D6659" s="55">
        <f t="shared" si="103"/>
        <v>0</v>
      </c>
      <c r="E6659" s="63" t="str">
        <f>HYPERLINK("https://www.sds-group.ru/product/kabel-vitaya-para-omednennyy-f-utp-cca-cat-5e-pvc-4pr-24awg-indoor-solid-seryy-305m-procon-01-0142-3/", "Инфо")</f>
        <v>Инфо</v>
      </c>
      <c r="F6659" s="16" t="s">
        <v>1887</v>
      </c>
      <c r="G6659" s="15"/>
      <c r="H6659" s="15"/>
      <c r="I6659" s="15"/>
      <c r="J6659" s="17">
        <v>10</v>
      </c>
      <c r="K6659" s="15" t="s">
        <v>925</v>
      </c>
      <c r="L6659" s="17">
        <v>1</v>
      </c>
      <c r="M6659" s="17">
        <v>2</v>
      </c>
      <c r="N6659" s="17">
        <v>1</v>
      </c>
      <c r="O6659" s="18">
        <v>8453.69</v>
      </c>
      <c r="P6659" s="18">
        <v>6929.25</v>
      </c>
      <c r="Q6659" s="18">
        <v>7523.78</v>
      </c>
      <c r="R6659" s="18">
        <v>6167.03</v>
      </c>
      <c r="S6659" s="18">
        <v>4903.1400000000003</v>
      </c>
      <c r="T6659" s="18">
        <v>4018.97</v>
      </c>
      <c r="U6659" s="16"/>
      <c r="V6659" s="16"/>
      <c r="W6659" s="16" t="s">
        <v>40</v>
      </c>
      <c r="X6659" s="19">
        <v>8.9039999999999999</v>
      </c>
      <c r="Y6659" s="20">
        <v>3.2273000000000003E-2</v>
      </c>
      <c r="Z6659" s="21">
        <v>4660008015305</v>
      </c>
    </row>
    <row r="6660" spans="1:26" ht="12" customHeight="1" outlineLevel="4" x14ac:dyDescent="0.2">
      <c r="A6660" s="14" t="s">
        <v>12831</v>
      </c>
      <c r="B6660" s="26" t="s">
        <v>12832</v>
      </c>
      <c r="C6660" s="52"/>
      <c r="D6660" s="55">
        <f t="shared" si="103"/>
        <v>0</v>
      </c>
      <c r="E6660" s="63" t="str">
        <f>HYPERLINK("https://www.sds-group.ru/product/kabel-vitaya-para-omednennyy-f-utp-cca-cat-6-pvc-4pr-23awg-indoor-solid-seryy-305m-proconn-01-0147-3/", "Инфо")</f>
        <v>Инфо</v>
      </c>
      <c r="F6660" s="16" t="s">
        <v>1887</v>
      </c>
      <c r="G6660" s="15"/>
      <c r="H6660" s="15"/>
      <c r="I6660" s="15"/>
      <c r="J6660" s="17">
        <v>82</v>
      </c>
      <c r="K6660" s="15" t="s">
        <v>6633</v>
      </c>
      <c r="L6660" s="17">
        <v>1</v>
      </c>
      <c r="M6660" s="17">
        <v>2</v>
      </c>
      <c r="N6660" s="17">
        <v>1</v>
      </c>
      <c r="O6660" s="18">
        <v>18109.43</v>
      </c>
      <c r="P6660" s="18">
        <v>14843.8</v>
      </c>
      <c r="Q6660" s="18">
        <v>16117.39</v>
      </c>
      <c r="R6660" s="18">
        <v>13210.98</v>
      </c>
      <c r="S6660" s="18">
        <v>10503.47</v>
      </c>
      <c r="T6660" s="18">
        <v>8609.4</v>
      </c>
      <c r="U6660" s="16"/>
      <c r="V6660" s="16"/>
      <c r="W6660" s="16" t="s">
        <v>40</v>
      </c>
      <c r="X6660" s="19">
        <v>10.949</v>
      </c>
      <c r="Y6660" s="20">
        <v>4.4734999999999997E-2</v>
      </c>
      <c r="Z6660" s="21">
        <v>4660008016111</v>
      </c>
    </row>
    <row r="6661" spans="1:26" ht="12" customHeight="1" outlineLevel="4" x14ac:dyDescent="0.2">
      <c r="A6661" s="14" t="s">
        <v>12833</v>
      </c>
      <c r="B6661" s="26" t="s">
        <v>12834</v>
      </c>
      <c r="C6661" s="52"/>
      <c r="D6661" s="55">
        <f t="shared" si="103"/>
        <v>0</v>
      </c>
      <c r="E6661" s="63" t="str">
        <f>HYPERLINK("https://www.sds-group.ru/product/kabel-vitaya-para-omednennyy-u-utp-cca-cat-5-pvc-4pr-26awg-indoor-solid-seryy-305m-proconn-01-0048-3/", "Инфо")</f>
        <v>Инфо</v>
      </c>
      <c r="F6661" s="16" t="s">
        <v>1887</v>
      </c>
      <c r="G6661" s="15"/>
      <c r="H6661" s="15"/>
      <c r="I6661" s="15"/>
      <c r="J6661" s="17">
        <v>154</v>
      </c>
      <c r="K6661" s="15" t="s">
        <v>925</v>
      </c>
      <c r="L6661" s="17">
        <v>1</v>
      </c>
      <c r="M6661" s="17">
        <v>2</v>
      </c>
      <c r="N6661" s="17">
        <v>1</v>
      </c>
      <c r="O6661" s="18">
        <v>5738.27</v>
      </c>
      <c r="P6661" s="18">
        <v>4703.5</v>
      </c>
      <c r="Q6661" s="18">
        <v>5107.0600000000004</v>
      </c>
      <c r="R6661" s="18">
        <v>4186.1099999999997</v>
      </c>
      <c r="S6661" s="18">
        <v>3328.2</v>
      </c>
      <c r="T6661" s="18">
        <v>2728.03</v>
      </c>
      <c r="U6661" s="16"/>
      <c r="V6661" s="16"/>
      <c r="W6661" s="16" t="s">
        <v>40</v>
      </c>
      <c r="X6661" s="19">
        <v>7.157</v>
      </c>
      <c r="Y6661" s="20">
        <v>2.7564999999999999E-2</v>
      </c>
      <c r="Z6661" s="21">
        <v>4660008015220</v>
      </c>
    </row>
    <row r="6662" spans="1:26" ht="12" customHeight="1" outlineLevel="4" x14ac:dyDescent="0.2">
      <c r="A6662" s="14" t="s">
        <v>12835</v>
      </c>
      <c r="B6662" s="26" t="s">
        <v>12836</v>
      </c>
      <c r="C6662" s="52"/>
      <c r="D6662" s="55">
        <f t="shared" si="103"/>
        <v>0</v>
      </c>
      <c r="E6662" s="63" t="str">
        <f>HYPERLINK("https://www.sds-group.ru/product/kabel-vitaya-para-omednennyy-u-utp-cca-cat-5e-pvc-2pr-24awg-indoor-solid-seryy-305m-procon-01-0022-3/", "Инфо")</f>
        <v>Инфо</v>
      </c>
      <c r="F6662" s="16" t="s">
        <v>1887</v>
      </c>
      <c r="G6662" s="15"/>
      <c r="H6662" s="15"/>
      <c r="I6662" s="15"/>
      <c r="J6662" s="17">
        <v>675</v>
      </c>
      <c r="K6662" s="15"/>
      <c r="L6662" s="17">
        <v>1</v>
      </c>
      <c r="M6662" s="17">
        <v>2</v>
      </c>
      <c r="N6662" s="17">
        <v>1</v>
      </c>
      <c r="O6662" s="18">
        <v>3772.58</v>
      </c>
      <c r="P6662" s="18">
        <v>3092.28</v>
      </c>
      <c r="Q6662" s="18">
        <v>3357.6</v>
      </c>
      <c r="R6662" s="18">
        <v>2752.13</v>
      </c>
      <c r="S6662" s="18">
        <v>2188.1</v>
      </c>
      <c r="T6662" s="18">
        <v>1793.52</v>
      </c>
      <c r="U6662" s="16"/>
      <c r="V6662" s="16"/>
      <c r="W6662" s="16" t="s">
        <v>40</v>
      </c>
      <c r="X6662" s="19">
        <v>5.1539999999999999</v>
      </c>
      <c r="Y6662" s="20">
        <v>2.2884000000000002E-2</v>
      </c>
      <c r="Z6662" s="21">
        <v>4660008015312</v>
      </c>
    </row>
    <row r="6663" spans="1:26" ht="12" customHeight="1" outlineLevel="4" x14ac:dyDescent="0.2">
      <c r="A6663" s="14" t="s">
        <v>12837</v>
      </c>
      <c r="B6663" s="26" t="s">
        <v>12838</v>
      </c>
      <c r="C6663" s="52"/>
      <c r="D6663" s="55">
        <f t="shared" si="103"/>
        <v>0</v>
      </c>
      <c r="E6663" s="63" t="str">
        <f>HYPERLINK("https://www.sds-group.ru/product/kabel-vitaya-para-omednennyy-u-utp-cca-cat-5e-pvc-4pr-24awg-indoor-solid-seryy-305m-procon-01-0043-2/", "Инфо")</f>
        <v>Инфо</v>
      </c>
      <c r="F6663" s="16" t="s">
        <v>1887</v>
      </c>
      <c r="G6663" s="15"/>
      <c r="H6663" s="15"/>
      <c r="I6663" s="15"/>
      <c r="J6663" s="22">
        <v>1088</v>
      </c>
      <c r="K6663" s="15" t="s">
        <v>925</v>
      </c>
      <c r="L6663" s="17">
        <v>1</v>
      </c>
      <c r="M6663" s="17">
        <v>2</v>
      </c>
      <c r="N6663" s="17">
        <v>1</v>
      </c>
      <c r="O6663" s="18">
        <v>6301.83</v>
      </c>
      <c r="P6663" s="18">
        <v>5165.43</v>
      </c>
      <c r="Q6663" s="18">
        <v>5608.63</v>
      </c>
      <c r="R6663" s="18">
        <v>4597.24</v>
      </c>
      <c r="S6663" s="18">
        <v>3655.06</v>
      </c>
      <c r="T6663" s="18">
        <v>2995.95</v>
      </c>
      <c r="U6663" s="16"/>
      <c r="V6663" s="16"/>
      <c r="W6663" s="16" t="s">
        <v>40</v>
      </c>
      <c r="X6663" s="19">
        <v>7.173</v>
      </c>
      <c r="Y6663" s="20">
        <v>2.7458E-2</v>
      </c>
      <c r="Z6663" s="21">
        <v>4601004021723</v>
      </c>
    </row>
    <row r="6664" spans="1:26" ht="12" customHeight="1" outlineLevel="4" x14ac:dyDescent="0.2">
      <c r="A6664" s="14" t="s">
        <v>12839</v>
      </c>
      <c r="B6664" s="26" t="s">
        <v>12840</v>
      </c>
      <c r="C6664" s="52"/>
      <c r="D6664" s="55">
        <f t="shared" si="103"/>
        <v>0</v>
      </c>
      <c r="E6664" s="63" t="str">
        <f>HYPERLINK("https://www.sds-group.ru/product/kabel-vitaya-para-omednennyy-u-utp-cca-cat-5e-pvc-4pr-24awg-indoor-solid-seryy-305m-procon-01-0043-3/", "Инфо")</f>
        <v>Инфо</v>
      </c>
      <c r="F6664" s="16" t="s">
        <v>1887</v>
      </c>
      <c r="G6664" s="15"/>
      <c r="H6664" s="15"/>
      <c r="I6664" s="15"/>
      <c r="J6664" s="17">
        <v>593</v>
      </c>
      <c r="K6664" s="15" t="s">
        <v>925</v>
      </c>
      <c r="L6664" s="17">
        <v>1</v>
      </c>
      <c r="M6664" s="17">
        <v>2</v>
      </c>
      <c r="N6664" s="17">
        <v>1</v>
      </c>
      <c r="O6664" s="18">
        <v>6645.11</v>
      </c>
      <c r="P6664" s="18">
        <v>5446.81</v>
      </c>
      <c r="Q6664" s="18">
        <v>5914.15</v>
      </c>
      <c r="R6664" s="18">
        <v>4847.66</v>
      </c>
      <c r="S6664" s="18">
        <v>3854.16</v>
      </c>
      <c r="T6664" s="18">
        <v>3159.15</v>
      </c>
      <c r="U6664" s="16"/>
      <c r="V6664" s="16"/>
      <c r="W6664" s="16" t="s">
        <v>40</v>
      </c>
      <c r="X6664" s="19">
        <v>7.6029999999999998</v>
      </c>
      <c r="Y6664" s="20">
        <v>2.845E-2</v>
      </c>
      <c r="Z6664" s="21">
        <v>4660008015213</v>
      </c>
    </row>
    <row r="6665" spans="1:26" ht="12" customHeight="1" outlineLevel="4" x14ac:dyDescent="0.2">
      <c r="A6665" s="14" t="s">
        <v>12841</v>
      </c>
      <c r="B6665" s="26" t="s">
        <v>12842</v>
      </c>
      <c r="C6665" s="52"/>
      <c r="D6665" s="55">
        <f t="shared" ref="D6665:D6728" si="104">C6665*(O6665-O6665*$G$3)</f>
        <v>0</v>
      </c>
      <c r="E6665" s="63" t="str">
        <f>HYPERLINK("https://www.sds-group.ru/product/kabel-vitaya-para-omednennyy-u-utp-cca-cat-6-pvc-4pr-23awg-indoor-solid-seryy-305m-proconn-01-0047-3/", "Инфо")</f>
        <v>Инфо</v>
      </c>
      <c r="F6665" s="16" t="s">
        <v>1887</v>
      </c>
      <c r="G6665" s="15"/>
      <c r="H6665" s="15"/>
      <c r="I6665" s="15"/>
      <c r="J6665" s="17">
        <v>61</v>
      </c>
      <c r="K6665" s="15"/>
      <c r="L6665" s="17">
        <v>1</v>
      </c>
      <c r="M6665" s="17">
        <v>2</v>
      </c>
      <c r="N6665" s="17">
        <v>1</v>
      </c>
      <c r="O6665" s="18">
        <v>17323.34</v>
      </c>
      <c r="P6665" s="18">
        <v>14199.46</v>
      </c>
      <c r="Q6665" s="18">
        <v>15417.77</v>
      </c>
      <c r="R6665" s="18">
        <v>12637.52</v>
      </c>
      <c r="S6665" s="18">
        <v>10047.540000000001</v>
      </c>
      <c r="T6665" s="18">
        <v>8235.69</v>
      </c>
      <c r="U6665" s="16"/>
      <c r="V6665" s="16"/>
      <c r="W6665" s="16" t="s">
        <v>40</v>
      </c>
      <c r="X6665" s="19">
        <v>10.233000000000001</v>
      </c>
      <c r="Y6665" s="20">
        <v>5.0216999999999998E-2</v>
      </c>
      <c r="Z6665" s="21">
        <v>4660008017378</v>
      </c>
    </row>
    <row r="6666" spans="1:26" ht="12.95" customHeight="1" outlineLevel="3" x14ac:dyDescent="0.2">
      <c r="A6666" s="76" t="s">
        <v>12843</v>
      </c>
      <c r="B6666" s="76"/>
      <c r="C6666" s="77"/>
      <c r="D6666" s="58"/>
      <c r="E6666" s="68"/>
      <c r="F6666" s="13"/>
      <c r="G6666" s="13"/>
      <c r="H6666" s="13"/>
      <c r="I6666" s="13"/>
      <c r="J6666" s="13"/>
      <c r="K6666" s="13"/>
      <c r="L6666" s="13"/>
      <c r="M6666" s="13"/>
      <c r="N6666" s="13"/>
      <c r="O6666" s="13"/>
      <c r="P6666" s="13"/>
      <c r="Q6666" s="13"/>
      <c r="R6666" s="13"/>
      <c r="S6666" s="13"/>
      <c r="T6666" s="13"/>
      <c r="U6666" s="13"/>
      <c r="V6666" s="13"/>
      <c r="W6666" s="13"/>
      <c r="X6666" s="13"/>
      <c r="Y6666" s="13"/>
      <c r="Z6666" s="13"/>
    </row>
    <row r="6667" spans="1:26" ht="12" customHeight="1" outlineLevel="4" x14ac:dyDescent="0.2">
      <c r="A6667" s="14" t="s">
        <v>12844</v>
      </c>
      <c r="B6667" s="26" t="s">
        <v>12845</v>
      </c>
      <c r="C6667" s="52"/>
      <c r="D6667" s="55">
        <f t="shared" si="104"/>
        <v>0</v>
      </c>
      <c r="E6667" s="63" t="str">
        <f>HYPERLINK("https://www.sds-group.ru/product/kabel-vitaya-para-f-utp-cat-5e-pe-4pr-24awg-outdoor-solid-chernyy-s-trosom-305m-proconnect-01-0155/", "Инфо")</f>
        <v>Инфо</v>
      </c>
      <c r="F6667" s="16" t="s">
        <v>1887</v>
      </c>
      <c r="G6667" s="15"/>
      <c r="H6667" s="15"/>
      <c r="I6667" s="15"/>
      <c r="J6667" s="17">
        <v>170</v>
      </c>
      <c r="K6667" s="15"/>
      <c r="L6667" s="17">
        <v>1</v>
      </c>
      <c r="M6667" s="17">
        <v>1</v>
      </c>
      <c r="N6667" s="17">
        <v>1</v>
      </c>
      <c r="O6667" s="18">
        <v>29790.48</v>
      </c>
      <c r="P6667" s="18">
        <v>24418.43</v>
      </c>
      <c r="Q6667" s="18">
        <v>26513.53</v>
      </c>
      <c r="R6667" s="18">
        <v>21732.400000000001</v>
      </c>
      <c r="S6667" s="18">
        <v>17278.48</v>
      </c>
      <c r="T6667" s="18">
        <v>14162.69</v>
      </c>
      <c r="U6667" s="16"/>
      <c r="V6667" s="16"/>
      <c r="W6667" s="16" t="s">
        <v>40</v>
      </c>
      <c r="X6667" s="19">
        <v>14.67</v>
      </c>
      <c r="Y6667" s="20">
        <v>4.0756000000000001E-2</v>
      </c>
      <c r="Z6667" s="21">
        <v>4601004072961</v>
      </c>
    </row>
    <row r="6668" spans="1:26" ht="12" customHeight="1" outlineLevel="4" x14ac:dyDescent="0.2">
      <c r="A6668" s="14" t="s">
        <v>12846</v>
      </c>
      <c r="B6668" s="26" t="s">
        <v>12847</v>
      </c>
      <c r="C6668" s="52"/>
      <c r="D6668" s="55">
        <f t="shared" si="104"/>
        <v>0</v>
      </c>
      <c r="E6668" s="63" t="str">
        <f>HYPERLINK("https://www.sds-group.ru/product/kabel-vitaya-para-f-utp-cat-5e-pe-4pr-24awg-outdoor-solid-chernyy-305m-proconnect-01-0154/", "Инфо")</f>
        <v>Инфо</v>
      </c>
      <c r="F6668" s="16" t="s">
        <v>1887</v>
      </c>
      <c r="G6668" s="15"/>
      <c r="H6668" s="15"/>
      <c r="I6668" s="15"/>
      <c r="J6668" s="17">
        <v>47</v>
      </c>
      <c r="K6668" s="15" t="s">
        <v>925</v>
      </c>
      <c r="L6668" s="17">
        <v>1</v>
      </c>
      <c r="M6668" s="17">
        <v>1</v>
      </c>
      <c r="N6668" s="17">
        <v>1</v>
      </c>
      <c r="O6668" s="18">
        <v>24637.7</v>
      </c>
      <c r="P6668" s="18">
        <v>20194.84</v>
      </c>
      <c r="Q6668" s="18">
        <v>21927.55</v>
      </c>
      <c r="R6668" s="18">
        <v>17973.400000000001</v>
      </c>
      <c r="S6668" s="18">
        <v>14289.87</v>
      </c>
      <c r="T6668" s="18">
        <v>11713.01</v>
      </c>
      <c r="U6668" s="16"/>
      <c r="V6668" s="16"/>
      <c r="W6668" s="16" t="s">
        <v>40</v>
      </c>
      <c r="X6668" s="19">
        <v>9.9890000000000008</v>
      </c>
      <c r="Y6668" s="20">
        <v>3.2500000000000001E-2</v>
      </c>
      <c r="Z6668" s="21">
        <v>4601004002777</v>
      </c>
    </row>
    <row r="6669" spans="1:26" ht="12" customHeight="1" outlineLevel="4" x14ac:dyDescent="0.2">
      <c r="A6669" s="14" t="s">
        <v>12848</v>
      </c>
      <c r="B6669" s="26" t="s">
        <v>12849</v>
      </c>
      <c r="C6669" s="52"/>
      <c r="D6669" s="55">
        <f t="shared" si="104"/>
        <v>0</v>
      </c>
      <c r="E6669" s="63" t="str">
        <f>HYPERLINK("https://www.sds-group.ru/product/kabel-vitaya-para-u-utp-cat-5e-pe-4pr-24awg-outdoor-solid-chernyy-305m-proconnect-01-0054/", "Инфо")</f>
        <v>Инфо</v>
      </c>
      <c r="F6669" s="16" t="s">
        <v>1887</v>
      </c>
      <c r="G6669" s="15"/>
      <c r="H6669" s="15"/>
      <c r="I6669" s="15"/>
      <c r="J6669" s="17">
        <v>638</v>
      </c>
      <c r="K6669" s="15" t="s">
        <v>5369</v>
      </c>
      <c r="L6669" s="17">
        <v>1</v>
      </c>
      <c r="M6669" s="17">
        <v>2</v>
      </c>
      <c r="N6669" s="17">
        <v>1</v>
      </c>
      <c r="O6669" s="18">
        <v>19276.16</v>
      </c>
      <c r="P6669" s="18">
        <v>15800.13</v>
      </c>
      <c r="Q6669" s="18">
        <v>17155.78</v>
      </c>
      <c r="R6669" s="18">
        <v>14062.11</v>
      </c>
      <c r="S6669" s="18">
        <v>11180.17</v>
      </c>
      <c r="T6669" s="18">
        <v>9164.07</v>
      </c>
      <c r="U6669" s="16"/>
      <c r="V6669" s="16"/>
      <c r="W6669" s="16" t="s">
        <v>40</v>
      </c>
      <c r="X6669" s="19">
        <v>7.5369999999999999</v>
      </c>
      <c r="Y6669" s="20">
        <v>3.1933000000000003E-2</v>
      </c>
      <c r="Z6669" s="21">
        <v>4601004002753</v>
      </c>
    </row>
    <row r="6670" spans="1:26" ht="12.95" customHeight="1" outlineLevel="3" x14ac:dyDescent="0.2">
      <c r="A6670" s="76" t="s">
        <v>12850</v>
      </c>
      <c r="B6670" s="76"/>
      <c r="C6670" s="77"/>
      <c r="D6670" s="58"/>
      <c r="E6670" s="68"/>
      <c r="F6670" s="13"/>
      <c r="G6670" s="13"/>
      <c r="H6670" s="13"/>
      <c r="I6670" s="13"/>
      <c r="J6670" s="13"/>
      <c r="K6670" s="13"/>
      <c r="L6670" s="13"/>
      <c r="M6670" s="13"/>
      <c r="N6670" s="13"/>
      <c r="O6670" s="13"/>
      <c r="P6670" s="13"/>
      <c r="Q6670" s="13"/>
      <c r="R6670" s="13"/>
      <c r="S6670" s="13"/>
      <c r="T6670" s="13"/>
      <c r="U6670" s="13"/>
      <c r="V6670" s="13"/>
      <c r="W6670" s="13"/>
      <c r="X6670" s="13"/>
      <c r="Y6670" s="13"/>
      <c r="Z6670" s="13"/>
    </row>
    <row r="6671" spans="1:26" ht="12" customHeight="1" outlineLevel="4" x14ac:dyDescent="0.2">
      <c r="A6671" s="14" t="s">
        <v>12851</v>
      </c>
      <c r="B6671" s="26" t="s">
        <v>12852</v>
      </c>
      <c r="C6671" s="52"/>
      <c r="D6671" s="55">
        <f t="shared" si="104"/>
        <v>0</v>
      </c>
      <c r="E6671" s="63" t="str">
        <f>HYPERLINK("https://www.sds-group.ru/product/kabel-vitaya-para-omednennyy-f-utp-cca-cat-5e-pe-4pr-24awg-outdoor-solid-chernyy-305m-proc-01-0146-3/", "Инфо")</f>
        <v>Инфо</v>
      </c>
      <c r="F6671" s="16" t="s">
        <v>1887</v>
      </c>
      <c r="G6671" s="15"/>
      <c r="H6671" s="15"/>
      <c r="I6671" s="15"/>
      <c r="J6671" s="17">
        <v>51</v>
      </c>
      <c r="K6671" s="15" t="s">
        <v>6174</v>
      </c>
      <c r="L6671" s="17">
        <v>1</v>
      </c>
      <c r="M6671" s="17">
        <v>2</v>
      </c>
      <c r="N6671" s="17">
        <v>1</v>
      </c>
      <c r="O6671" s="18">
        <v>9380.0400000000009</v>
      </c>
      <c r="P6671" s="18">
        <v>7688.56</v>
      </c>
      <c r="Q6671" s="18">
        <v>8348.24</v>
      </c>
      <c r="R6671" s="18">
        <v>6842.82</v>
      </c>
      <c r="S6671" s="18">
        <v>5440.42</v>
      </c>
      <c r="T6671" s="18">
        <v>4459.3599999999997</v>
      </c>
      <c r="U6671" s="16"/>
      <c r="V6671" s="16"/>
      <c r="W6671" s="16" t="s">
        <v>40</v>
      </c>
      <c r="X6671" s="19">
        <v>7.1260000000000003</v>
      </c>
      <c r="Y6671" s="20">
        <v>3.8767999999999997E-2</v>
      </c>
      <c r="Z6671" s="21">
        <v>4660008015282</v>
      </c>
    </row>
    <row r="6672" spans="1:26" ht="12" customHeight="1" outlineLevel="4" x14ac:dyDescent="0.2">
      <c r="A6672" s="14" t="s">
        <v>12853</v>
      </c>
      <c r="B6672" s="26" t="s">
        <v>12854</v>
      </c>
      <c r="C6672" s="52"/>
      <c r="D6672" s="55">
        <f t="shared" si="104"/>
        <v>0</v>
      </c>
      <c r="E6672" s="63" t="str">
        <f>HYPERLINK("https://www.sds-group.ru/product/kabel-vitaya-para-omednennyy-u-utp-cca-cat-5e-pe-4pr-24awg-outdoor-solid-chernyy-305m-proc-01-0045-3/", "Инфо")</f>
        <v>Инфо</v>
      </c>
      <c r="F6672" s="16" t="s">
        <v>1887</v>
      </c>
      <c r="G6672" s="15"/>
      <c r="H6672" s="15"/>
      <c r="I6672" s="15"/>
      <c r="J6672" s="17">
        <v>436</v>
      </c>
      <c r="K6672" s="15" t="s">
        <v>6174</v>
      </c>
      <c r="L6672" s="17">
        <v>1</v>
      </c>
      <c r="M6672" s="17">
        <v>2</v>
      </c>
      <c r="N6672" s="17">
        <v>1</v>
      </c>
      <c r="O6672" s="18">
        <v>8285.69</v>
      </c>
      <c r="P6672" s="18">
        <v>6791.55</v>
      </c>
      <c r="Q6672" s="18">
        <v>7374.26</v>
      </c>
      <c r="R6672" s="18">
        <v>6044.48</v>
      </c>
      <c r="S6672" s="18">
        <v>4805.7</v>
      </c>
      <c r="T6672" s="18">
        <v>3939.1</v>
      </c>
      <c r="U6672" s="16"/>
      <c r="V6672" s="16"/>
      <c r="W6672" s="16" t="s">
        <v>40</v>
      </c>
      <c r="X6672" s="19">
        <v>6.2670000000000003</v>
      </c>
      <c r="Y6672" s="20">
        <v>3.8285E-2</v>
      </c>
      <c r="Z6672" s="21">
        <v>4660008015275</v>
      </c>
    </row>
    <row r="6673" spans="1:26" ht="12.95" customHeight="1" outlineLevel="2" x14ac:dyDescent="0.2">
      <c r="A6673" s="76" t="s">
        <v>12855</v>
      </c>
      <c r="B6673" s="76"/>
      <c r="C6673" s="77"/>
      <c r="D6673" s="58"/>
      <c r="E6673" s="68"/>
      <c r="F6673" s="13"/>
      <c r="G6673" s="13"/>
      <c r="H6673" s="13"/>
      <c r="I6673" s="13"/>
      <c r="J6673" s="13"/>
      <c r="K6673" s="13"/>
      <c r="L6673" s="13"/>
      <c r="M6673" s="13"/>
      <c r="N6673" s="13"/>
      <c r="O6673" s="13"/>
      <c r="P6673" s="13"/>
      <c r="Q6673" s="13"/>
      <c r="R6673" s="13"/>
      <c r="S6673" s="13"/>
      <c r="T6673" s="13"/>
      <c r="U6673" s="13"/>
      <c r="V6673" s="13"/>
      <c r="W6673" s="13"/>
      <c r="X6673" s="13"/>
      <c r="Y6673" s="13"/>
      <c r="Z6673" s="13"/>
    </row>
    <row r="6674" spans="1:26" ht="12.95" customHeight="1" outlineLevel="3" x14ac:dyDescent="0.2">
      <c r="A6674" s="82" t="s">
        <v>12856</v>
      </c>
      <c r="B6674" s="82"/>
      <c r="C6674" s="83"/>
      <c r="D6674" s="59"/>
      <c r="E6674" s="69"/>
      <c r="F6674" s="23"/>
      <c r="G6674" s="23"/>
      <c r="H6674" s="23"/>
      <c r="I6674" s="23"/>
      <c r="J6674" s="23"/>
      <c r="K6674" s="23"/>
      <c r="L6674" s="23"/>
      <c r="M6674" s="23"/>
      <c r="N6674" s="23"/>
      <c r="O6674" s="23"/>
      <c r="P6674" s="23"/>
      <c r="Q6674" s="23"/>
      <c r="R6674" s="23"/>
      <c r="S6674" s="23"/>
      <c r="T6674" s="23"/>
      <c r="U6674" s="23"/>
      <c r="V6674" s="23"/>
      <c r="W6674" s="23"/>
      <c r="X6674" s="23"/>
      <c r="Y6674" s="23"/>
      <c r="Z6674" s="23"/>
    </row>
    <row r="6675" spans="1:26" ht="12" customHeight="1" outlineLevel="4" x14ac:dyDescent="0.2">
      <c r="A6675" s="14" t="s">
        <v>12857</v>
      </c>
      <c r="B6675" s="26" t="s">
        <v>12858</v>
      </c>
      <c r="C6675" s="52"/>
      <c r="D6675" s="55">
        <f t="shared" si="104"/>
        <v>0</v>
      </c>
      <c r="E6675" s="63" t="str">
        <f>HYPERLINK("https://www.sds-group.ru/product/kabel-vitaya-para-u-utp-cat-5e-pe-4pr-24awg-outdoor-solid-chernyy-100m-rexant-01-0045-100/", "Инфо")</f>
        <v>Инфо</v>
      </c>
      <c r="F6675" s="16" t="s">
        <v>1887</v>
      </c>
      <c r="G6675" s="15"/>
      <c r="H6675" s="15"/>
      <c r="I6675" s="15"/>
      <c r="J6675" s="17">
        <v>73</v>
      </c>
      <c r="K6675" s="15"/>
      <c r="L6675" s="17">
        <v>1</v>
      </c>
      <c r="M6675" s="17">
        <v>4</v>
      </c>
      <c r="N6675" s="17">
        <v>1</v>
      </c>
      <c r="O6675" s="18">
        <v>8346.1200000000008</v>
      </c>
      <c r="P6675" s="18">
        <v>6841.08</v>
      </c>
      <c r="Q6675" s="18">
        <v>7428.05</v>
      </c>
      <c r="R6675" s="18">
        <v>6088.57</v>
      </c>
      <c r="S6675" s="18">
        <v>5007.67</v>
      </c>
      <c r="T6675" s="18">
        <v>4104.6499999999996</v>
      </c>
      <c r="U6675" s="16"/>
      <c r="V6675" s="16"/>
      <c r="W6675" s="16" t="s">
        <v>40</v>
      </c>
      <c r="X6675" s="19">
        <v>2.5489999999999999</v>
      </c>
      <c r="Y6675" s="20">
        <v>1.1537E-2</v>
      </c>
      <c r="Z6675" s="21">
        <v>4601004124417</v>
      </c>
    </row>
    <row r="6676" spans="1:26" ht="12" customHeight="1" outlineLevel="4" x14ac:dyDescent="0.2">
      <c r="A6676" s="14" t="s">
        <v>12859</v>
      </c>
      <c r="B6676" s="26" t="s">
        <v>12860</v>
      </c>
      <c r="C6676" s="52"/>
      <c r="D6676" s="55">
        <f t="shared" si="104"/>
        <v>0</v>
      </c>
      <c r="E6676" s="63" t="str">
        <f>HYPERLINK("https://www.sds-group.ru/product/kabel-vitaya-para-u-utp-cat-5e-pe-4pr-24awg-outdoor-solid-chernyy-25m-rexant-01-0045-25/", "Инфо")</f>
        <v>Инфо</v>
      </c>
      <c r="F6676" s="16" t="s">
        <v>1887</v>
      </c>
      <c r="G6676" s="15"/>
      <c r="H6676" s="15"/>
      <c r="I6676" s="15"/>
      <c r="J6676" s="17">
        <v>13</v>
      </c>
      <c r="K6676" s="15"/>
      <c r="L6676" s="17">
        <v>1</v>
      </c>
      <c r="M6676" s="17">
        <v>20</v>
      </c>
      <c r="N6676" s="17">
        <v>1</v>
      </c>
      <c r="O6676" s="18">
        <v>2576.4699999999998</v>
      </c>
      <c r="P6676" s="18">
        <v>2111.86</v>
      </c>
      <c r="Q6676" s="18">
        <v>2293.06</v>
      </c>
      <c r="R6676" s="18">
        <v>1879.56</v>
      </c>
      <c r="S6676" s="18">
        <v>1545.88</v>
      </c>
      <c r="T6676" s="18">
        <v>1267.1099999999999</v>
      </c>
      <c r="U6676" s="16"/>
      <c r="V6676" s="16"/>
      <c r="W6676" s="16" t="s">
        <v>40</v>
      </c>
      <c r="X6676" s="19">
        <v>0.58699999999999997</v>
      </c>
      <c r="Y6676" s="20">
        <v>1.273E-3</v>
      </c>
      <c r="Z6676" s="21">
        <v>4601004124394</v>
      </c>
    </row>
    <row r="6677" spans="1:26" ht="12" customHeight="1" outlineLevel="4" x14ac:dyDescent="0.2">
      <c r="A6677" s="14" t="s">
        <v>12861</v>
      </c>
      <c r="B6677" s="26" t="s">
        <v>12862</v>
      </c>
      <c r="C6677" s="52"/>
      <c r="D6677" s="55">
        <f t="shared" si="104"/>
        <v>0</v>
      </c>
      <c r="E6677" s="63" t="str">
        <f>HYPERLINK("https://www.sds-group.ru/product/kabel-vitaya-para-u-utp-cat-5e-pe-4pr-24awg-outdoor-solid-chernyy-50m-rexant-01-0045-50/", "Инфо")</f>
        <v>Инфо</v>
      </c>
      <c r="F6677" s="16" t="s">
        <v>1887</v>
      </c>
      <c r="G6677" s="15"/>
      <c r="H6677" s="15"/>
      <c r="I6677" s="15"/>
      <c r="J6677" s="17">
        <v>72</v>
      </c>
      <c r="K6677" s="15"/>
      <c r="L6677" s="17">
        <v>1</v>
      </c>
      <c r="M6677" s="17">
        <v>12</v>
      </c>
      <c r="N6677" s="17">
        <v>1</v>
      </c>
      <c r="O6677" s="18">
        <v>4933.13</v>
      </c>
      <c r="P6677" s="18">
        <v>4043.55</v>
      </c>
      <c r="Q6677" s="18">
        <v>4390.49</v>
      </c>
      <c r="R6677" s="18">
        <v>3598.76</v>
      </c>
      <c r="S6677" s="18">
        <v>2959.88</v>
      </c>
      <c r="T6677" s="18">
        <v>2426.13</v>
      </c>
      <c r="U6677" s="16"/>
      <c r="V6677" s="16"/>
      <c r="W6677" s="16" t="s">
        <v>40</v>
      </c>
      <c r="X6677" s="19">
        <v>1.2829999999999999</v>
      </c>
      <c r="Y6677" s="20">
        <v>5.2820000000000002E-3</v>
      </c>
      <c r="Z6677" s="21">
        <v>4601004124400</v>
      </c>
    </row>
    <row r="6678" spans="1:26" ht="12" customHeight="1" outlineLevel="4" x14ac:dyDescent="0.2">
      <c r="A6678" s="14" t="s">
        <v>12863</v>
      </c>
      <c r="B6678" s="26" t="s">
        <v>12864</v>
      </c>
      <c r="C6678" s="52"/>
      <c r="D6678" s="55">
        <f t="shared" si="104"/>
        <v>0</v>
      </c>
      <c r="E6678" s="63" t="str">
        <f>HYPERLINK("https://www.sds-group.ru/product/kabel-vitaya-para-u-utp-cat-5e-pvc-4pr-24awg-indoor-solid-seryy-100m-rexant-01-0043-100/", "Инфо")</f>
        <v>Инфо</v>
      </c>
      <c r="F6678" s="16" t="s">
        <v>1887</v>
      </c>
      <c r="G6678" s="15"/>
      <c r="H6678" s="15"/>
      <c r="I6678" s="15"/>
      <c r="J6678" s="17">
        <v>88</v>
      </c>
      <c r="K6678" s="15"/>
      <c r="L6678" s="17">
        <v>1</v>
      </c>
      <c r="M6678" s="17">
        <v>6</v>
      </c>
      <c r="N6678" s="17">
        <v>1</v>
      </c>
      <c r="O6678" s="18">
        <v>7571.52</v>
      </c>
      <c r="P6678" s="18">
        <v>6206.16</v>
      </c>
      <c r="Q6678" s="18">
        <v>6738.65</v>
      </c>
      <c r="R6678" s="18">
        <v>5523.48</v>
      </c>
      <c r="S6678" s="18">
        <v>4542.91</v>
      </c>
      <c r="T6678" s="18">
        <v>3723.7</v>
      </c>
      <c r="U6678" s="16"/>
      <c r="V6678" s="16"/>
      <c r="W6678" s="16" t="s">
        <v>40</v>
      </c>
      <c r="X6678" s="19">
        <v>2.7029999999999998</v>
      </c>
      <c r="Y6678" s="20">
        <v>4.411E-3</v>
      </c>
      <c r="Z6678" s="21">
        <v>4601004124370</v>
      </c>
    </row>
    <row r="6679" spans="1:26" ht="12" customHeight="1" outlineLevel="4" x14ac:dyDescent="0.2">
      <c r="A6679" s="14" t="s">
        <v>12865</v>
      </c>
      <c r="B6679" s="26" t="s">
        <v>12866</v>
      </c>
      <c r="C6679" s="52"/>
      <c r="D6679" s="55">
        <f t="shared" si="104"/>
        <v>0</v>
      </c>
      <c r="E6679" s="63" t="str">
        <f>HYPERLINK("https://www.sds-group.ru/product/kabel-vitaya-para-u-utp-cat-5e-pvc-4pr-24awg-indoor-solid-seryy-25m-rexant-01-0043-25/", "Инфо")</f>
        <v>Инфо</v>
      </c>
      <c r="F6679" s="16" t="s">
        <v>1887</v>
      </c>
      <c r="G6679" s="15"/>
      <c r="H6679" s="15"/>
      <c r="I6679" s="15"/>
      <c r="J6679" s="17">
        <v>112</v>
      </c>
      <c r="K6679" s="15"/>
      <c r="L6679" s="17">
        <v>1</v>
      </c>
      <c r="M6679" s="17">
        <v>20</v>
      </c>
      <c r="N6679" s="17">
        <v>1</v>
      </c>
      <c r="O6679" s="18">
        <v>1892.87</v>
      </c>
      <c r="P6679" s="18">
        <v>1551.53</v>
      </c>
      <c r="Q6679" s="18">
        <v>1684.65</v>
      </c>
      <c r="R6679" s="18">
        <v>1380.86</v>
      </c>
      <c r="S6679" s="18">
        <v>1135.72</v>
      </c>
      <c r="T6679" s="18">
        <v>930.92</v>
      </c>
      <c r="U6679" s="16"/>
      <c r="V6679" s="16"/>
      <c r="W6679" s="16" t="s">
        <v>40</v>
      </c>
      <c r="X6679" s="19">
        <v>0.72499999999999998</v>
      </c>
      <c r="Y6679" s="20">
        <v>1.8649999999999999E-3</v>
      </c>
      <c r="Z6679" s="21">
        <v>4601004124431</v>
      </c>
    </row>
    <row r="6680" spans="1:26" ht="12" customHeight="1" outlineLevel="4" x14ac:dyDescent="0.2">
      <c r="A6680" s="14" t="s">
        <v>12867</v>
      </c>
      <c r="B6680" s="26" t="s">
        <v>12868</v>
      </c>
      <c r="C6680" s="52"/>
      <c r="D6680" s="55">
        <f t="shared" si="104"/>
        <v>0</v>
      </c>
      <c r="E6680" s="63" t="str">
        <f>HYPERLINK("https://www.sds-group.ru/product/kabel-vitaya-para-u-utp-cat-5e-pvc-4pr-24awg-indoor-solid-seriy-50m-rexant-17338/", "Инфо")</f>
        <v>Инфо</v>
      </c>
      <c r="F6680" s="16" t="s">
        <v>1887</v>
      </c>
      <c r="G6680" s="15"/>
      <c r="H6680" s="15"/>
      <c r="I6680" s="15"/>
      <c r="J6680" s="17">
        <v>157</v>
      </c>
      <c r="K6680" s="15"/>
      <c r="L6680" s="17">
        <v>1</v>
      </c>
      <c r="M6680" s="17">
        <v>12</v>
      </c>
      <c r="N6680" s="17">
        <v>1</v>
      </c>
      <c r="O6680" s="18">
        <v>3785.76</v>
      </c>
      <c r="P6680" s="18">
        <v>3103.08</v>
      </c>
      <c r="Q6680" s="18">
        <v>3369.33</v>
      </c>
      <c r="R6680" s="18">
        <v>2761.75</v>
      </c>
      <c r="S6680" s="18">
        <v>2271.46</v>
      </c>
      <c r="T6680" s="18">
        <v>1861.85</v>
      </c>
      <c r="U6680" s="16"/>
      <c r="V6680" s="16"/>
      <c r="W6680" s="16" t="s">
        <v>40</v>
      </c>
      <c r="X6680" s="19">
        <v>1.403</v>
      </c>
      <c r="Y6680" s="20">
        <v>2.542E-3</v>
      </c>
      <c r="Z6680" s="21">
        <v>4601004124387</v>
      </c>
    </row>
    <row r="6681" spans="1:26" ht="12.95" customHeight="1" outlineLevel="3" x14ac:dyDescent="0.2">
      <c r="A6681" s="76" t="s">
        <v>12869</v>
      </c>
      <c r="B6681" s="76"/>
      <c r="C6681" s="77"/>
      <c r="D6681" s="58"/>
      <c r="E6681" s="68"/>
      <c r="F6681" s="13"/>
      <c r="G6681" s="13"/>
      <c r="H6681" s="13"/>
      <c r="I6681" s="13"/>
      <c r="J6681" s="13"/>
      <c r="K6681" s="13"/>
      <c r="L6681" s="13"/>
      <c r="M6681" s="13"/>
      <c r="N6681" s="13"/>
      <c r="O6681" s="13"/>
      <c r="P6681" s="13"/>
      <c r="Q6681" s="13"/>
      <c r="R6681" s="13"/>
      <c r="S6681" s="13"/>
      <c r="T6681" s="13"/>
      <c r="U6681" s="13"/>
      <c r="V6681" s="13"/>
      <c r="W6681" s="13"/>
      <c r="X6681" s="13"/>
      <c r="Y6681" s="13"/>
      <c r="Z6681" s="13"/>
    </row>
    <row r="6682" spans="1:26" ht="12" customHeight="1" outlineLevel="4" x14ac:dyDescent="0.2">
      <c r="A6682" s="14" t="s">
        <v>12870</v>
      </c>
      <c r="B6682" s="26" t="s">
        <v>12871</v>
      </c>
      <c r="C6682" s="52"/>
      <c r="D6682" s="55">
        <f t="shared" si="104"/>
        <v>0</v>
      </c>
      <c r="E6682" s="63" t="str">
        <f>HYPERLINK("https://www.sds-group.ru/product/kabel-vitaya-para-omednennyy-f-utp-cca-cat-5e-pvc-4pr-24awg-indoor-solid-seryy-25m-proc-01-0142-3-25/", "Инфо")</f>
        <v>Инфо</v>
      </c>
      <c r="F6682" s="16" t="s">
        <v>1887</v>
      </c>
      <c r="G6682" s="15"/>
      <c r="H6682" s="15"/>
      <c r="I6682" s="15"/>
      <c r="J6682" s="17">
        <v>118</v>
      </c>
      <c r="K6682" s="15"/>
      <c r="L6682" s="17">
        <v>1</v>
      </c>
      <c r="M6682" s="17">
        <v>20</v>
      </c>
      <c r="N6682" s="17">
        <v>1</v>
      </c>
      <c r="O6682" s="18">
        <v>1418.43</v>
      </c>
      <c r="P6682" s="18">
        <v>1162.6500000000001</v>
      </c>
      <c r="Q6682" s="18">
        <v>1262.4000000000001</v>
      </c>
      <c r="R6682" s="18">
        <v>1034.75</v>
      </c>
      <c r="S6682" s="18">
        <v>822.69</v>
      </c>
      <c r="T6682" s="18">
        <v>674.34</v>
      </c>
      <c r="U6682" s="16"/>
      <c r="V6682" s="16"/>
      <c r="W6682" s="16" t="s">
        <v>40</v>
      </c>
      <c r="X6682" s="19">
        <v>0.68500000000000005</v>
      </c>
      <c r="Y6682" s="20">
        <v>2.2729999999999998E-3</v>
      </c>
      <c r="Z6682" s="21">
        <v>4601004063785</v>
      </c>
    </row>
    <row r="6683" spans="1:26" ht="12" customHeight="1" outlineLevel="4" x14ac:dyDescent="0.2">
      <c r="A6683" s="14" t="s">
        <v>12872</v>
      </c>
      <c r="B6683" s="26" t="s">
        <v>12873</v>
      </c>
      <c r="C6683" s="52"/>
      <c r="D6683" s="55">
        <f t="shared" si="104"/>
        <v>0</v>
      </c>
      <c r="E6683" s="63" t="str">
        <f>HYPERLINK("https://www.sds-group.ru/product/kabel-vitaya-para-omednennyy-f-utp-cca-cat-5e-pvc-4pr-24awg-indoor-solid-seryy-50m-proc-01-0142-3-50/", "Инфо")</f>
        <v>Инфо</v>
      </c>
      <c r="F6683" s="16" t="s">
        <v>1887</v>
      </c>
      <c r="G6683" s="15"/>
      <c r="H6683" s="15"/>
      <c r="I6683" s="15"/>
      <c r="J6683" s="17">
        <v>412</v>
      </c>
      <c r="K6683" s="15"/>
      <c r="L6683" s="17">
        <v>1</v>
      </c>
      <c r="M6683" s="17">
        <v>12</v>
      </c>
      <c r="N6683" s="17">
        <v>1</v>
      </c>
      <c r="O6683" s="18">
        <v>2485.5500000000002</v>
      </c>
      <c r="P6683" s="18">
        <v>2037.34</v>
      </c>
      <c r="Q6683" s="18">
        <v>2212.14</v>
      </c>
      <c r="R6683" s="18">
        <v>1813.23</v>
      </c>
      <c r="S6683" s="18">
        <v>1441.62</v>
      </c>
      <c r="T6683" s="18">
        <v>1181.6600000000001</v>
      </c>
      <c r="U6683" s="16"/>
      <c r="V6683" s="16"/>
      <c r="W6683" s="16" t="s">
        <v>40</v>
      </c>
      <c r="X6683" s="19">
        <v>1.266</v>
      </c>
      <c r="Y6683" s="20">
        <v>3.2820000000000002E-3</v>
      </c>
      <c r="Z6683" s="21">
        <v>4601004063747</v>
      </c>
    </row>
    <row r="6684" spans="1:26" ht="12" customHeight="1" outlineLevel="4" x14ac:dyDescent="0.2">
      <c r="A6684" s="14" t="s">
        <v>12874</v>
      </c>
      <c r="B6684" s="26" t="s">
        <v>12875</v>
      </c>
      <c r="C6684" s="52"/>
      <c r="D6684" s="55">
        <f t="shared" si="104"/>
        <v>0</v>
      </c>
      <c r="E6684" s="63" t="str">
        <f>HYPERLINK("https://www.sds-group.ru/product/kabel-vitaya-para-omednennyy-u-utp-cca-cat-5e-pvc-4pr-24awg-indoor-solid-seryy-100m-pr-01-0043-3-100/", "Инфо")</f>
        <v>Инфо</v>
      </c>
      <c r="F6684" s="16" t="s">
        <v>1887</v>
      </c>
      <c r="G6684" s="15"/>
      <c r="H6684" s="15"/>
      <c r="I6684" s="15"/>
      <c r="J6684" s="17">
        <v>61</v>
      </c>
      <c r="K6684" s="15" t="s">
        <v>6174</v>
      </c>
      <c r="L6684" s="17">
        <v>1</v>
      </c>
      <c r="M6684" s="17">
        <v>6</v>
      </c>
      <c r="N6684" s="17">
        <v>1</v>
      </c>
      <c r="O6684" s="18">
        <v>3018.56</v>
      </c>
      <c r="P6684" s="18">
        <v>2474.23</v>
      </c>
      <c r="Q6684" s="18">
        <v>2686.52</v>
      </c>
      <c r="R6684" s="18">
        <v>2202.0700000000002</v>
      </c>
      <c r="S6684" s="18">
        <v>1750.76</v>
      </c>
      <c r="T6684" s="18">
        <v>1435.05</v>
      </c>
      <c r="U6684" s="16"/>
      <c r="V6684" s="16"/>
      <c r="W6684" s="16" t="s">
        <v>40</v>
      </c>
      <c r="X6684" s="19">
        <v>2.2029999999999998</v>
      </c>
      <c r="Y6684" s="20">
        <v>4.8430000000000001E-3</v>
      </c>
      <c r="Z6684" s="21">
        <v>4601004042155</v>
      </c>
    </row>
    <row r="6685" spans="1:26" ht="12" customHeight="1" outlineLevel="4" x14ac:dyDescent="0.2">
      <c r="A6685" s="14" t="s">
        <v>12876</v>
      </c>
      <c r="B6685" s="26" t="s">
        <v>12877</v>
      </c>
      <c r="C6685" s="52"/>
      <c r="D6685" s="55">
        <f t="shared" si="104"/>
        <v>0</v>
      </c>
      <c r="E6685" s="63" t="str">
        <f>HYPERLINK("https://www.sds-group.ru/product/kabel-vitaya-para-omednennyy-u-utp-cca-cat-5e-pvc-4pr-24awg-indoor-solid-seryy-25m-proc-01-0043-3-25/", "Инфо")</f>
        <v>Инфо</v>
      </c>
      <c r="F6685" s="16" t="s">
        <v>1887</v>
      </c>
      <c r="G6685" s="15"/>
      <c r="H6685" s="15"/>
      <c r="I6685" s="15"/>
      <c r="J6685" s="17">
        <v>173</v>
      </c>
      <c r="K6685" s="15" t="s">
        <v>6633</v>
      </c>
      <c r="L6685" s="17">
        <v>1</v>
      </c>
      <c r="M6685" s="17">
        <v>20</v>
      </c>
      <c r="N6685" s="17">
        <v>1</v>
      </c>
      <c r="O6685" s="18">
        <v>796.35</v>
      </c>
      <c r="P6685" s="18">
        <v>652.75</v>
      </c>
      <c r="Q6685" s="18">
        <v>708.75</v>
      </c>
      <c r="R6685" s="18">
        <v>580.94000000000005</v>
      </c>
      <c r="S6685" s="18">
        <v>461.88</v>
      </c>
      <c r="T6685" s="18">
        <v>378.59</v>
      </c>
      <c r="U6685" s="16"/>
      <c r="V6685" s="16"/>
      <c r="W6685" s="16" t="s">
        <v>40</v>
      </c>
      <c r="X6685" s="19">
        <v>0.57099999999999995</v>
      </c>
      <c r="Y6685" s="20">
        <v>1.908E-3</v>
      </c>
      <c r="Z6685" s="21">
        <v>4601004042148</v>
      </c>
    </row>
    <row r="6686" spans="1:26" ht="12" customHeight="1" outlineLevel="4" x14ac:dyDescent="0.2">
      <c r="A6686" s="14" t="s">
        <v>12878</v>
      </c>
      <c r="B6686" s="26" t="s">
        <v>12879</v>
      </c>
      <c r="C6686" s="52"/>
      <c r="D6686" s="55">
        <f t="shared" si="104"/>
        <v>0</v>
      </c>
      <c r="E6686" s="63" t="str">
        <f>HYPERLINK("https://www.sds-group.ru/product/kabel-vitaya-para-omednennyy-u-utp-cca-cat-5e-pvc-4pr-24awg-indoor-solid-seryy-50m-proc-01-0043-3-50/", "Инфо")</f>
        <v>Инфо</v>
      </c>
      <c r="F6686" s="16" t="s">
        <v>1887</v>
      </c>
      <c r="G6686" s="15"/>
      <c r="H6686" s="15"/>
      <c r="I6686" s="15"/>
      <c r="J6686" s="17">
        <v>217</v>
      </c>
      <c r="K6686" s="15" t="s">
        <v>6174</v>
      </c>
      <c r="L6686" s="17">
        <v>1</v>
      </c>
      <c r="M6686" s="17">
        <v>12</v>
      </c>
      <c r="N6686" s="17">
        <v>1</v>
      </c>
      <c r="O6686" s="18">
        <v>1542.77</v>
      </c>
      <c r="P6686" s="18">
        <v>1264.57</v>
      </c>
      <c r="Q6686" s="18">
        <v>1373.07</v>
      </c>
      <c r="R6686" s="18">
        <v>1125.47</v>
      </c>
      <c r="S6686" s="18">
        <v>894.81</v>
      </c>
      <c r="T6686" s="18">
        <v>733.45</v>
      </c>
      <c r="U6686" s="16"/>
      <c r="V6686" s="16"/>
      <c r="W6686" s="16" t="s">
        <v>40</v>
      </c>
      <c r="X6686" s="19">
        <v>1.2130000000000001</v>
      </c>
      <c r="Y6686" s="20">
        <v>3.1220000000000002E-3</v>
      </c>
      <c r="Z6686" s="21">
        <v>4601004042131</v>
      </c>
    </row>
    <row r="6687" spans="1:26" ht="12" customHeight="1" outlineLevel="4" x14ac:dyDescent="0.2">
      <c r="A6687" s="14" t="s">
        <v>12880</v>
      </c>
      <c r="B6687" s="26" t="s">
        <v>12881</v>
      </c>
      <c r="C6687" s="52"/>
      <c r="D6687" s="55">
        <f t="shared" si="104"/>
        <v>0</v>
      </c>
      <c r="E6687" s="63" t="str">
        <f>HYPERLINK("https://www.sds-group.ru/product/kabel-vitaya-para-f-utp-cat-5e-pvc-4pr-24awg-indoor-solid-seryy-100m-proconnect-01-0152-100/", "Инфо")</f>
        <v>Инфо</v>
      </c>
      <c r="F6687" s="16" t="s">
        <v>1887</v>
      </c>
      <c r="G6687" s="15"/>
      <c r="H6687" s="15"/>
      <c r="I6687" s="15"/>
      <c r="J6687" s="17">
        <v>15</v>
      </c>
      <c r="K6687" s="15"/>
      <c r="L6687" s="17">
        <v>1</v>
      </c>
      <c r="M6687" s="17">
        <v>1</v>
      </c>
      <c r="N6687" s="17">
        <v>1</v>
      </c>
      <c r="O6687" s="18">
        <v>9614.5</v>
      </c>
      <c r="P6687" s="18">
        <v>7880.74</v>
      </c>
      <c r="Q6687" s="18">
        <v>8556.91</v>
      </c>
      <c r="R6687" s="18">
        <v>7013.86</v>
      </c>
      <c r="S6687" s="18">
        <v>5576.41</v>
      </c>
      <c r="T6687" s="18">
        <v>4570.83</v>
      </c>
      <c r="U6687" s="16"/>
      <c r="V6687" s="16"/>
      <c r="W6687" s="16" t="s">
        <v>40</v>
      </c>
      <c r="X6687" s="19">
        <v>3.2530000000000001</v>
      </c>
      <c r="Y6687" s="20">
        <v>5.3090000000000004E-3</v>
      </c>
      <c r="Z6687" s="21">
        <v>4601004148383</v>
      </c>
    </row>
    <row r="6688" spans="1:26" ht="12" customHeight="1" outlineLevel="4" x14ac:dyDescent="0.2">
      <c r="A6688" s="14" t="s">
        <v>12882</v>
      </c>
      <c r="B6688" s="26" t="s">
        <v>12883</v>
      </c>
      <c r="C6688" s="52"/>
      <c r="D6688" s="55">
        <f t="shared" si="104"/>
        <v>0</v>
      </c>
      <c r="E6688" s="63" t="str">
        <f>HYPERLINK("https://www.sds-group.ru/product/kabel-vitaya-para-u-utp-cat-5e-pvc-4pr-24awg-indoor-solid-seryy-100m-proconnect-01-0052-100/", "Инфо")</f>
        <v>Инфо</v>
      </c>
      <c r="F6688" s="16" t="s">
        <v>1887</v>
      </c>
      <c r="G6688" s="15"/>
      <c r="H6688" s="15"/>
      <c r="I6688" s="15"/>
      <c r="J6688" s="17">
        <v>53</v>
      </c>
      <c r="K6688" s="15"/>
      <c r="L6688" s="17">
        <v>1</v>
      </c>
      <c r="M6688" s="17">
        <v>6</v>
      </c>
      <c r="N6688" s="17">
        <v>1</v>
      </c>
      <c r="O6688" s="18">
        <v>9897.6200000000008</v>
      </c>
      <c r="P6688" s="18">
        <v>8112.8</v>
      </c>
      <c r="Q6688" s="18">
        <v>8808.8799999999992</v>
      </c>
      <c r="R6688" s="18">
        <v>7220.39</v>
      </c>
      <c r="S6688" s="18">
        <v>5740.62</v>
      </c>
      <c r="T6688" s="18">
        <v>4705.43</v>
      </c>
      <c r="U6688" s="16"/>
      <c r="V6688" s="16"/>
      <c r="W6688" s="16" t="s">
        <v>40</v>
      </c>
      <c r="X6688" s="19">
        <v>3.161</v>
      </c>
      <c r="Y6688" s="20">
        <v>5.385E-3</v>
      </c>
      <c r="Z6688" s="21">
        <v>4601004124509</v>
      </c>
    </row>
    <row r="6689" spans="1:26" ht="12" customHeight="1" outlineLevel="4" x14ac:dyDescent="0.2">
      <c r="A6689" s="14" t="s">
        <v>12884</v>
      </c>
      <c r="B6689" s="26" t="s">
        <v>12885</v>
      </c>
      <c r="C6689" s="52"/>
      <c r="D6689" s="55">
        <f t="shared" si="104"/>
        <v>0</v>
      </c>
      <c r="E6689" s="63" t="str">
        <f>HYPERLINK("https://www.sds-group.ru/product/kabel-vitaya-para-u-utp-cat-5e-pvc-4pr-24awg-indoor-solid-seryy-25m-proconnect-01-0052-25/", "Инфо")</f>
        <v>Инфо</v>
      </c>
      <c r="F6689" s="16" t="s">
        <v>1887</v>
      </c>
      <c r="G6689" s="15"/>
      <c r="H6689" s="15"/>
      <c r="I6689" s="15"/>
      <c r="J6689" s="17">
        <v>38</v>
      </c>
      <c r="K6689" s="15"/>
      <c r="L6689" s="17">
        <v>1</v>
      </c>
      <c r="M6689" s="17">
        <v>15</v>
      </c>
      <c r="N6689" s="17">
        <v>1</v>
      </c>
      <c r="O6689" s="18">
        <v>2472.56</v>
      </c>
      <c r="P6689" s="18">
        <v>2026.69</v>
      </c>
      <c r="Q6689" s="18">
        <v>2200.58</v>
      </c>
      <c r="R6689" s="18">
        <v>1803.75</v>
      </c>
      <c r="S6689" s="18">
        <v>1434.08</v>
      </c>
      <c r="T6689" s="18">
        <v>1175.48</v>
      </c>
      <c r="U6689" s="16"/>
      <c r="V6689" s="16"/>
      <c r="W6689" s="16" t="s">
        <v>40</v>
      </c>
      <c r="X6689" s="19">
        <v>0.61</v>
      </c>
      <c r="Y6689" s="20">
        <v>2.1519999999999998E-3</v>
      </c>
      <c r="Z6689" s="21">
        <v>4601004124486</v>
      </c>
    </row>
    <row r="6690" spans="1:26" ht="12" customHeight="1" outlineLevel="4" x14ac:dyDescent="0.2">
      <c r="A6690" s="14" t="s">
        <v>12886</v>
      </c>
      <c r="B6690" s="26" t="s">
        <v>12887</v>
      </c>
      <c r="C6690" s="52"/>
      <c r="D6690" s="55">
        <f t="shared" si="104"/>
        <v>0</v>
      </c>
      <c r="E6690" s="63" t="str">
        <f>HYPERLINK("https://www.sds-group.ru/product/kabel-vitaya-para-u-utp-cat-5e-pvc-4pr-24awg-indoor-solid-seryy-50m-proconnect-01-0052-50/", "Инфо")</f>
        <v>Инфо</v>
      </c>
      <c r="F6690" s="16" t="s">
        <v>1887</v>
      </c>
      <c r="G6690" s="15"/>
      <c r="H6690" s="15"/>
      <c r="I6690" s="15"/>
      <c r="J6690" s="16" t="s">
        <v>100</v>
      </c>
      <c r="K6690" s="15"/>
      <c r="L6690" s="17">
        <v>1</v>
      </c>
      <c r="M6690" s="17">
        <v>8</v>
      </c>
      <c r="N6690" s="17">
        <v>1</v>
      </c>
      <c r="O6690" s="18">
        <v>5195.05</v>
      </c>
      <c r="P6690" s="18">
        <v>4258.24</v>
      </c>
      <c r="Q6690" s="18">
        <v>4623.59</v>
      </c>
      <c r="R6690" s="18">
        <v>3789.83</v>
      </c>
      <c r="S6690" s="18">
        <v>3013.13</v>
      </c>
      <c r="T6690" s="18">
        <v>2469.7800000000002</v>
      </c>
      <c r="U6690" s="16"/>
      <c r="V6690" s="16"/>
      <c r="W6690" s="16" t="s">
        <v>40</v>
      </c>
      <c r="X6690" s="19">
        <v>1.171</v>
      </c>
      <c r="Y6690" s="20">
        <v>3.9789999999999999E-3</v>
      </c>
      <c r="Z6690" s="21">
        <v>4601004124493</v>
      </c>
    </row>
    <row r="6691" spans="1:26" ht="12.95" customHeight="1" outlineLevel="2" x14ac:dyDescent="0.2">
      <c r="A6691" s="76" t="s">
        <v>12888</v>
      </c>
      <c r="B6691" s="76"/>
      <c r="C6691" s="77"/>
      <c r="D6691" s="58"/>
      <c r="E6691" s="68"/>
      <c r="F6691" s="13"/>
      <c r="G6691" s="13"/>
      <c r="H6691" s="13"/>
      <c r="I6691" s="13"/>
      <c r="J6691" s="13"/>
      <c r="K6691" s="13"/>
      <c r="L6691" s="13"/>
      <c r="M6691" s="13"/>
      <c r="N6691" s="13"/>
      <c r="O6691" s="13"/>
      <c r="P6691" s="13"/>
      <c r="Q6691" s="13"/>
      <c r="R6691" s="13"/>
      <c r="S6691" s="13"/>
      <c r="T6691" s="13"/>
      <c r="U6691" s="13"/>
      <c r="V6691" s="13"/>
      <c r="W6691" s="13"/>
      <c r="X6691" s="13"/>
      <c r="Y6691" s="13"/>
      <c r="Z6691" s="13"/>
    </row>
    <row r="6692" spans="1:26" ht="12.95" customHeight="1" outlineLevel="3" x14ac:dyDescent="0.2">
      <c r="A6692" s="76" t="s">
        <v>12889</v>
      </c>
      <c r="B6692" s="76"/>
      <c r="C6692" s="77"/>
      <c r="D6692" s="58"/>
      <c r="E6692" s="68"/>
      <c r="F6692" s="13"/>
      <c r="G6692" s="13"/>
      <c r="H6692" s="13"/>
      <c r="I6692" s="13"/>
      <c r="J6692" s="13"/>
      <c r="K6692" s="13"/>
      <c r="L6692" s="13"/>
      <c r="M6692" s="13"/>
      <c r="N6692" s="13"/>
      <c r="O6692" s="13"/>
      <c r="P6692" s="13"/>
      <c r="Q6692" s="13"/>
      <c r="R6692" s="13"/>
      <c r="S6692" s="13"/>
      <c r="T6692" s="13"/>
      <c r="U6692" s="13"/>
      <c r="V6692" s="13"/>
      <c r="W6692" s="13"/>
      <c r="X6692" s="13"/>
      <c r="Y6692" s="13"/>
      <c r="Z6692" s="13"/>
    </row>
    <row r="6693" spans="1:26" ht="12" customHeight="1" outlineLevel="4" x14ac:dyDescent="0.2">
      <c r="A6693" s="32" t="s">
        <v>12890</v>
      </c>
      <c r="B6693" s="74" t="s">
        <v>12891</v>
      </c>
      <c r="C6693" s="50"/>
      <c r="D6693" s="53">
        <f t="shared" si="104"/>
        <v>0</v>
      </c>
      <c r="E6693" s="60" t="str">
        <f>HYPERLINK("https://www.sds-group.ru/product/kabel-vitaya-para-f-utp-cat-5e-lszh-ng-a-hf-25pr-24awg-indoor-solid-seryy-305m-rf-rexant-01-1206-R/", "Инфо")</f>
        <v>Инфо</v>
      </c>
      <c r="F6693" s="34" t="s">
        <v>1887</v>
      </c>
      <c r="G6693" s="33"/>
      <c r="H6693" s="33" t="s">
        <v>40</v>
      </c>
      <c r="I6693" s="33"/>
      <c r="J6693" s="34" t="s">
        <v>100</v>
      </c>
      <c r="K6693" s="33"/>
      <c r="L6693" s="35">
        <v>1</v>
      </c>
      <c r="M6693" s="35">
        <v>1</v>
      </c>
      <c r="N6693" s="35">
        <v>1</v>
      </c>
      <c r="O6693" s="36">
        <v>143430.93</v>
      </c>
      <c r="P6693" s="36">
        <v>117566.34</v>
      </c>
      <c r="Q6693" s="36">
        <v>100401.65</v>
      </c>
      <c r="R6693" s="36">
        <v>82296.429999999993</v>
      </c>
      <c r="S6693" s="36">
        <v>86058.559999999998</v>
      </c>
      <c r="T6693" s="36">
        <v>70539.8</v>
      </c>
      <c r="U6693" s="34"/>
      <c r="V6693" s="34"/>
      <c r="W6693" s="34"/>
      <c r="X6693" s="37">
        <v>56.930999999999997</v>
      </c>
      <c r="Y6693" s="38">
        <v>0.11147799999999999</v>
      </c>
      <c r="Z6693" s="21">
        <v>4601004285835</v>
      </c>
    </row>
    <row r="6694" spans="1:26" ht="12" customHeight="1" outlineLevel="4" x14ac:dyDescent="0.2">
      <c r="A6694" s="14" t="s">
        <v>12892</v>
      </c>
      <c r="B6694" s="26" t="s">
        <v>12893</v>
      </c>
      <c r="C6694" s="52"/>
      <c r="D6694" s="55">
        <f t="shared" si="104"/>
        <v>0</v>
      </c>
      <c r="E6694" s="63" t="str">
        <f>HYPERLINK("https://www.sds-group.ru/product/kabel-vitaya-para-f-utp-cat-5e-pvc-10pr-24awg-indoor-solid-seryy-305m-rf-rexant-01-1202-R/", "Инфо")</f>
        <v>Инфо</v>
      </c>
      <c r="F6694" s="16" t="s">
        <v>1887</v>
      </c>
      <c r="G6694" s="15"/>
      <c r="H6694" s="15"/>
      <c r="I6694" s="15"/>
      <c r="J6694" s="16" t="s">
        <v>100</v>
      </c>
      <c r="K6694" s="15"/>
      <c r="L6694" s="17">
        <v>1</v>
      </c>
      <c r="M6694" s="17">
        <v>1</v>
      </c>
      <c r="N6694" s="17">
        <v>1</v>
      </c>
      <c r="O6694" s="18">
        <v>57014.38</v>
      </c>
      <c r="P6694" s="18">
        <v>46733.1</v>
      </c>
      <c r="Q6694" s="18">
        <v>50742.8</v>
      </c>
      <c r="R6694" s="18">
        <v>41592.46</v>
      </c>
      <c r="S6694" s="18">
        <v>34208.629999999997</v>
      </c>
      <c r="T6694" s="18">
        <v>28039.86</v>
      </c>
      <c r="U6694" s="16"/>
      <c r="V6694" s="16"/>
      <c r="W6694" s="16" t="s">
        <v>40</v>
      </c>
      <c r="X6694" s="19">
        <v>28.88</v>
      </c>
      <c r="Y6694" s="20">
        <v>0.103528</v>
      </c>
      <c r="Z6694" s="21">
        <v>4601004296114</v>
      </c>
    </row>
    <row r="6695" spans="1:26" ht="12" customHeight="1" outlineLevel="4" x14ac:dyDescent="0.2">
      <c r="A6695" s="14" t="s">
        <v>12894</v>
      </c>
      <c r="B6695" s="26" t="s">
        <v>12895</v>
      </c>
      <c r="C6695" s="52"/>
      <c r="D6695" s="55">
        <f t="shared" si="104"/>
        <v>0</v>
      </c>
      <c r="E6695" s="63" t="str">
        <f>HYPERLINK("https://www.sds-group.ru/product/kabel-vitaya-para-f-utp-cat-5e-pvc-25pr-24awg-indoor-solid-seryy-305m-rf-rexant-01-1201-R/", "Инфо")</f>
        <v>Инфо</v>
      </c>
      <c r="F6695" s="16" t="s">
        <v>1887</v>
      </c>
      <c r="G6695" s="15"/>
      <c r="H6695" s="15"/>
      <c r="I6695" s="15"/>
      <c r="J6695" s="17">
        <v>42</v>
      </c>
      <c r="K6695" s="15"/>
      <c r="L6695" s="17">
        <v>1</v>
      </c>
      <c r="M6695" s="17">
        <v>1</v>
      </c>
      <c r="N6695" s="17">
        <v>1</v>
      </c>
      <c r="O6695" s="18">
        <v>139663.95000000001</v>
      </c>
      <c r="P6695" s="18">
        <v>114478.65</v>
      </c>
      <c r="Q6695" s="18">
        <v>124300.92</v>
      </c>
      <c r="R6695" s="18">
        <v>101886</v>
      </c>
      <c r="S6695" s="18">
        <v>83798.37</v>
      </c>
      <c r="T6695" s="18">
        <v>68687.19</v>
      </c>
      <c r="U6695" s="16"/>
      <c r="V6695" s="16"/>
      <c r="W6695" s="16" t="s">
        <v>40</v>
      </c>
      <c r="X6695" s="19">
        <v>52.195</v>
      </c>
      <c r="Y6695" s="20">
        <v>9.0829999999999994E-2</v>
      </c>
      <c r="Z6695" s="21">
        <v>4601004285811</v>
      </c>
    </row>
    <row r="6696" spans="1:26" ht="12" customHeight="1" outlineLevel="4" x14ac:dyDescent="0.2">
      <c r="A6696" s="14" t="s">
        <v>12896</v>
      </c>
      <c r="B6696" s="26" t="s">
        <v>12897</v>
      </c>
      <c r="C6696" s="52"/>
      <c r="D6696" s="55">
        <f t="shared" si="104"/>
        <v>0</v>
      </c>
      <c r="E6696" s="63" t="str">
        <f>HYPERLINK("https://www.sds-group.ru/product/kabel-vitaya-para-u-utp-cat-5e-lszh-ng-a-hf-25pr-24awg-indoor-solid-seryy-305m-rf-rexant-01-1016-R/", "Инфо")</f>
        <v>Инфо</v>
      </c>
      <c r="F6696" s="16" t="s">
        <v>1887</v>
      </c>
      <c r="G6696" s="15"/>
      <c r="H6696" s="15"/>
      <c r="I6696" s="15"/>
      <c r="J6696" s="17">
        <v>11</v>
      </c>
      <c r="K6696" s="15"/>
      <c r="L6696" s="17">
        <v>1</v>
      </c>
      <c r="M6696" s="17">
        <v>1</v>
      </c>
      <c r="N6696" s="17">
        <v>1</v>
      </c>
      <c r="O6696" s="18">
        <v>139850.5</v>
      </c>
      <c r="P6696" s="18">
        <v>114631.56</v>
      </c>
      <c r="Q6696" s="18">
        <v>124466.95</v>
      </c>
      <c r="R6696" s="18">
        <v>102022.09</v>
      </c>
      <c r="S6696" s="18">
        <v>83910.3</v>
      </c>
      <c r="T6696" s="18">
        <v>68778.929999999993</v>
      </c>
      <c r="U6696" s="16"/>
      <c r="V6696" s="16"/>
      <c r="W6696" s="16" t="s">
        <v>40</v>
      </c>
      <c r="X6696" s="19">
        <v>54.271000000000001</v>
      </c>
      <c r="Y6696" s="20">
        <v>9.8736000000000004E-2</v>
      </c>
      <c r="Z6696" s="21">
        <v>4601004285828</v>
      </c>
    </row>
    <row r="6697" spans="1:26" ht="12" customHeight="1" outlineLevel="4" x14ac:dyDescent="0.2">
      <c r="A6697" s="14" t="s">
        <v>12898</v>
      </c>
      <c r="B6697" s="26" t="s">
        <v>12899</v>
      </c>
      <c r="C6697" s="52"/>
      <c r="D6697" s="55">
        <f t="shared" si="104"/>
        <v>0</v>
      </c>
      <c r="E6697" s="63" t="str">
        <f>HYPERLINK("https://www.sds-group.ru/product/kabel-vitaya-para-u-utp-cat-5e-pvc-10pr-24awg-indoor-solid-seryy-305m-rf-rexant-01-1011-R/", "Инфо")</f>
        <v>Инфо</v>
      </c>
      <c r="F6697" s="16" t="s">
        <v>1887</v>
      </c>
      <c r="G6697" s="15"/>
      <c r="H6697" s="15"/>
      <c r="I6697" s="15"/>
      <c r="J6697" s="17">
        <v>23</v>
      </c>
      <c r="K6697" s="15"/>
      <c r="L6697" s="17">
        <v>1</v>
      </c>
      <c r="M6697" s="17">
        <v>1</v>
      </c>
      <c r="N6697" s="17">
        <v>1</v>
      </c>
      <c r="O6697" s="18">
        <v>59997.65</v>
      </c>
      <c r="P6697" s="18">
        <v>49178.400000000001</v>
      </c>
      <c r="Q6697" s="18">
        <v>53397.91</v>
      </c>
      <c r="R6697" s="18">
        <v>43768.78</v>
      </c>
      <c r="S6697" s="18">
        <v>35998.589999999997</v>
      </c>
      <c r="T6697" s="18">
        <v>29507.040000000001</v>
      </c>
      <c r="U6697" s="16"/>
      <c r="V6697" s="16"/>
      <c r="W6697" s="16" t="s">
        <v>40</v>
      </c>
      <c r="X6697" s="19">
        <v>27.783999999999999</v>
      </c>
      <c r="Y6697" s="20">
        <v>4.8183999999999998E-2</v>
      </c>
      <c r="Z6697" s="21">
        <v>4601004296084</v>
      </c>
    </row>
    <row r="6698" spans="1:26" ht="12" customHeight="1" outlineLevel="4" x14ac:dyDescent="0.2">
      <c r="A6698" s="14" t="s">
        <v>12900</v>
      </c>
      <c r="B6698" s="26" t="s">
        <v>12901</v>
      </c>
      <c r="C6698" s="52"/>
      <c r="D6698" s="55">
        <f t="shared" si="104"/>
        <v>0</v>
      </c>
      <c r="E6698" s="63" t="str">
        <f>HYPERLINK("https://www.sds-group.ru/product/kabel-vitaya-para-u-utp-cat-5e-pvc-16pr-24awg-indoor-solid-seryy-305m-rf-rexant-01-1012-R/", "Инфо")</f>
        <v>Инфо</v>
      </c>
      <c r="F6698" s="16" t="s">
        <v>1887</v>
      </c>
      <c r="G6698" s="15"/>
      <c r="H6698" s="15"/>
      <c r="I6698" s="15"/>
      <c r="J6698" s="17">
        <v>23</v>
      </c>
      <c r="K6698" s="15"/>
      <c r="L6698" s="17">
        <v>1</v>
      </c>
      <c r="M6698" s="17">
        <v>1</v>
      </c>
      <c r="N6698" s="17">
        <v>1</v>
      </c>
      <c r="O6698" s="18">
        <v>95529.44</v>
      </c>
      <c r="P6698" s="18">
        <v>78302.820000000007</v>
      </c>
      <c r="Q6698" s="18">
        <v>85021.2</v>
      </c>
      <c r="R6698" s="18">
        <v>69689.509999999995</v>
      </c>
      <c r="S6698" s="18">
        <v>57317.66</v>
      </c>
      <c r="T6698" s="18">
        <v>46981.69</v>
      </c>
      <c r="U6698" s="16"/>
      <c r="V6698" s="16"/>
      <c r="W6698" s="16" t="s">
        <v>40</v>
      </c>
      <c r="X6698" s="19">
        <v>41.689</v>
      </c>
      <c r="Y6698" s="20">
        <v>9.1167999999999999E-2</v>
      </c>
      <c r="Z6698" s="21">
        <v>4601004296121</v>
      </c>
    </row>
    <row r="6699" spans="1:26" ht="12" customHeight="1" outlineLevel="4" x14ac:dyDescent="0.2">
      <c r="A6699" s="14" t="s">
        <v>12902</v>
      </c>
      <c r="B6699" s="26" t="s">
        <v>12903</v>
      </c>
      <c r="C6699" s="52"/>
      <c r="D6699" s="55">
        <f t="shared" si="104"/>
        <v>0</v>
      </c>
      <c r="E6699" s="63" t="str">
        <f>HYPERLINK("https://www.sds-group.ru/product/kabel-vitaya-para-u-utp-cat-5e-pvc-25pr-24awg-indoor-solid-seryy-305m-rf-rexant-01-1013-R/", "Инфо")</f>
        <v>Инфо</v>
      </c>
      <c r="F6699" s="16" t="s">
        <v>1887</v>
      </c>
      <c r="G6699" s="15"/>
      <c r="H6699" s="15"/>
      <c r="I6699" s="15"/>
      <c r="J6699" s="16" t="s">
        <v>100</v>
      </c>
      <c r="K6699" s="15"/>
      <c r="L6699" s="17">
        <v>1</v>
      </c>
      <c r="M6699" s="17">
        <v>1</v>
      </c>
      <c r="N6699" s="17">
        <v>1</v>
      </c>
      <c r="O6699" s="18">
        <v>149791.67000000001</v>
      </c>
      <c r="P6699" s="18">
        <v>122780.06</v>
      </c>
      <c r="Q6699" s="18">
        <v>133314.59</v>
      </c>
      <c r="R6699" s="18">
        <v>109274.25</v>
      </c>
      <c r="S6699" s="18">
        <v>89875</v>
      </c>
      <c r="T6699" s="18">
        <v>73668.03</v>
      </c>
      <c r="U6699" s="16"/>
      <c r="V6699" s="16"/>
      <c r="W6699" s="16" t="s">
        <v>40</v>
      </c>
      <c r="X6699" s="19">
        <v>54.49</v>
      </c>
      <c r="Y6699" s="20">
        <v>0.11874</v>
      </c>
      <c r="Z6699" s="21">
        <v>4601004285798</v>
      </c>
    </row>
    <row r="6700" spans="1:26" ht="12.95" customHeight="1" outlineLevel="3" x14ac:dyDescent="0.2">
      <c r="A6700" s="76" t="s">
        <v>12904</v>
      </c>
      <c r="B6700" s="76"/>
      <c r="C6700" s="77"/>
      <c r="D6700" s="58"/>
      <c r="E6700" s="68"/>
      <c r="F6700" s="13"/>
      <c r="G6700" s="13"/>
      <c r="H6700" s="13"/>
      <c r="I6700" s="13"/>
      <c r="J6700" s="13"/>
      <c r="K6700" s="13"/>
      <c r="L6700" s="13"/>
      <c r="M6700" s="13"/>
      <c r="N6700" s="13"/>
      <c r="O6700" s="13"/>
      <c r="P6700" s="13"/>
      <c r="Q6700" s="13"/>
      <c r="R6700" s="13"/>
      <c r="S6700" s="13"/>
      <c r="T6700" s="13"/>
      <c r="U6700" s="13"/>
      <c r="V6700" s="13"/>
      <c r="W6700" s="13"/>
      <c r="X6700" s="13"/>
      <c r="Y6700" s="13"/>
      <c r="Z6700" s="13"/>
    </row>
    <row r="6701" spans="1:26" ht="12" customHeight="1" outlineLevel="4" x14ac:dyDescent="0.2">
      <c r="A6701" s="14" t="s">
        <v>12905</v>
      </c>
      <c r="B6701" s="26" t="s">
        <v>12906</v>
      </c>
      <c r="C6701" s="52"/>
      <c r="D6701" s="55">
        <f t="shared" si="104"/>
        <v>0</v>
      </c>
      <c r="E6701" s="63" t="str">
        <f>HYPERLINK("https://www.sds-group.ru/product/kabel-vitaya-para-f-utp-cat-5e-pe-10pr-24awg-outdoor-solid-chernyy-305m-rf-rexant-01-1204-R/", "Инфо")</f>
        <v>Инфо</v>
      </c>
      <c r="F6701" s="16" t="s">
        <v>1887</v>
      </c>
      <c r="G6701" s="15"/>
      <c r="H6701" s="15"/>
      <c r="I6701" s="15"/>
      <c r="J6701" s="17">
        <v>10</v>
      </c>
      <c r="K6701" s="15"/>
      <c r="L6701" s="17">
        <v>1</v>
      </c>
      <c r="M6701" s="17">
        <v>1</v>
      </c>
      <c r="N6701" s="17">
        <v>1</v>
      </c>
      <c r="O6701" s="18">
        <v>57059.76</v>
      </c>
      <c r="P6701" s="18">
        <v>46770.3</v>
      </c>
      <c r="Q6701" s="18">
        <v>50783.19</v>
      </c>
      <c r="R6701" s="18">
        <v>41625.57</v>
      </c>
      <c r="S6701" s="18">
        <v>34235.86</v>
      </c>
      <c r="T6701" s="18">
        <v>28062.18</v>
      </c>
      <c r="U6701" s="16"/>
      <c r="V6701" s="16"/>
      <c r="W6701" s="16" t="s">
        <v>40</v>
      </c>
      <c r="X6701" s="19">
        <v>24.131</v>
      </c>
      <c r="Y6701" s="20">
        <v>9.3495999999999996E-2</v>
      </c>
      <c r="Z6701" s="21">
        <v>4601004296473</v>
      </c>
    </row>
    <row r="6702" spans="1:26" ht="12" customHeight="1" outlineLevel="4" x14ac:dyDescent="0.2">
      <c r="A6702" s="32" t="s">
        <v>12907</v>
      </c>
      <c r="B6702" s="74" t="s">
        <v>12908</v>
      </c>
      <c r="C6702" s="50"/>
      <c r="D6702" s="53">
        <f t="shared" si="104"/>
        <v>0</v>
      </c>
      <c r="E6702" s="60" t="str">
        <f>HYPERLINK("https://www.sds-group.ru/product/kabel-vitaya-para-u-utp-cat-5-pe-10pr-24awg-outdoor-solid-cherniy-305m-rexant-441/", "Инфо")</f>
        <v>Инфо</v>
      </c>
      <c r="F6702" s="34" t="s">
        <v>1887</v>
      </c>
      <c r="G6702" s="33"/>
      <c r="H6702" s="33" t="s">
        <v>40</v>
      </c>
      <c r="I6702" s="48">
        <v>-120</v>
      </c>
      <c r="J6702" s="35">
        <v>1</v>
      </c>
      <c r="K6702" s="33"/>
      <c r="L6702" s="35">
        <v>1</v>
      </c>
      <c r="M6702" s="35">
        <v>1</v>
      </c>
      <c r="N6702" s="35">
        <v>1</v>
      </c>
      <c r="O6702" s="36">
        <v>63017.71</v>
      </c>
      <c r="P6702" s="36">
        <v>51653.86</v>
      </c>
      <c r="Q6702" s="36">
        <v>44112.4</v>
      </c>
      <c r="R6702" s="36">
        <v>36157.699999999997</v>
      </c>
      <c r="S6702" s="36">
        <v>37810.629999999997</v>
      </c>
      <c r="T6702" s="36">
        <v>30992.32</v>
      </c>
      <c r="U6702" s="34"/>
      <c r="V6702" s="34"/>
      <c r="W6702" s="34"/>
      <c r="X6702" s="37">
        <v>19.542000000000002</v>
      </c>
      <c r="Y6702" s="38">
        <v>4.9674000000000003E-2</v>
      </c>
      <c r="Z6702" s="21">
        <v>4601004050464</v>
      </c>
    </row>
    <row r="6703" spans="1:26" ht="12" customHeight="1" outlineLevel="4" x14ac:dyDescent="0.2">
      <c r="A6703" s="14" t="s">
        <v>12909</v>
      </c>
      <c r="B6703" s="26" t="s">
        <v>12910</v>
      </c>
      <c r="C6703" s="52"/>
      <c r="D6703" s="55">
        <f t="shared" si="104"/>
        <v>0</v>
      </c>
      <c r="E6703" s="63" t="str">
        <f>HYPERLINK("https://www.sds-group.ru/product/kabel-vitaya-para-u-utp-cat-5e-pe-10pr-24awg-outdoor-solid-chernyy-305m-rf-rexant-01-1121-R/", "Инфо")</f>
        <v>Инфо</v>
      </c>
      <c r="F6703" s="16" t="s">
        <v>1887</v>
      </c>
      <c r="G6703" s="15"/>
      <c r="H6703" s="15"/>
      <c r="I6703" s="15"/>
      <c r="J6703" s="16" t="s">
        <v>100</v>
      </c>
      <c r="K6703" s="15"/>
      <c r="L6703" s="17">
        <v>1</v>
      </c>
      <c r="M6703" s="17">
        <v>1</v>
      </c>
      <c r="N6703" s="17">
        <v>1</v>
      </c>
      <c r="O6703" s="18">
        <v>54540.24</v>
      </c>
      <c r="P6703" s="18">
        <v>44705.11</v>
      </c>
      <c r="Q6703" s="18">
        <v>48540.81</v>
      </c>
      <c r="R6703" s="18">
        <v>39787.550000000003</v>
      </c>
      <c r="S6703" s="18">
        <v>32724.14</v>
      </c>
      <c r="T6703" s="18">
        <v>26823.07</v>
      </c>
      <c r="U6703" s="16"/>
      <c r="V6703" s="16"/>
      <c r="W6703" s="16" t="s">
        <v>40</v>
      </c>
      <c r="X6703" s="19">
        <v>22.773</v>
      </c>
      <c r="Y6703" s="20">
        <v>0.10399600000000001</v>
      </c>
      <c r="Z6703" s="21">
        <v>4601004296459</v>
      </c>
    </row>
    <row r="6704" spans="1:26" ht="12" customHeight="1" outlineLevel="4" x14ac:dyDescent="0.2">
      <c r="A6704" s="32" t="s">
        <v>12911</v>
      </c>
      <c r="B6704" s="74" t="s">
        <v>12912</v>
      </c>
      <c r="C6704" s="50"/>
      <c r="D6704" s="53">
        <f t="shared" si="104"/>
        <v>0</v>
      </c>
      <c r="E6704" s="60" t="str">
        <f>HYPERLINK("https://www.sds-group.ru/product/kabel-vitaya-para-u-utp-cat-5e-pe-16pr-24awg-outdoor-solid-chernyy-305m-rf-rexant-01-1123-R/", "Инфо")</f>
        <v>Инфо</v>
      </c>
      <c r="F6704" s="34" t="s">
        <v>1887</v>
      </c>
      <c r="G6704" s="33"/>
      <c r="H6704" s="33" t="s">
        <v>40</v>
      </c>
      <c r="I6704" s="33"/>
      <c r="J6704" s="35">
        <v>17</v>
      </c>
      <c r="K6704" s="33"/>
      <c r="L6704" s="35">
        <v>1</v>
      </c>
      <c r="M6704" s="35">
        <v>1</v>
      </c>
      <c r="N6704" s="35">
        <v>1</v>
      </c>
      <c r="O6704" s="36">
        <v>68606.509999999995</v>
      </c>
      <c r="P6704" s="36">
        <v>56234.84</v>
      </c>
      <c r="Q6704" s="36">
        <v>48024.56</v>
      </c>
      <c r="R6704" s="36">
        <v>39364.39</v>
      </c>
      <c r="S6704" s="36">
        <v>41163.910000000003</v>
      </c>
      <c r="T6704" s="36">
        <v>33740.910000000003</v>
      </c>
      <c r="U6704" s="34"/>
      <c r="V6704" s="34"/>
      <c r="W6704" s="34"/>
      <c r="X6704" s="37">
        <v>30.23</v>
      </c>
      <c r="Y6704" s="38">
        <v>6.5896999999999997E-2</v>
      </c>
      <c r="Z6704" s="21">
        <v>4601004296466</v>
      </c>
    </row>
    <row r="6705" spans="1:26" ht="12" customHeight="1" outlineLevel="4" x14ac:dyDescent="0.2">
      <c r="A6705" s="14" t="s">
        <v>12913</v>
      </c>
      <c r="B6705" s="26" t="s">
        <v>12914</v>
      </c>
      <c r="C6705" s="52"/>
      <c r="D6705" s="55">
        <f t="shared" si="104"/>
        <v>0</v>
      </c>
      <c r="E6705" s="63" t="str">
        <f>HYPERLINK("https://www.sds-group.ru/product/kabel-vitaya-para-u-utp-cat-5e-pe-25pr-24awg-outdoor-solid-chernyy-305m-rf-rexant-01-1122-R/", "Инфо")</f>
        <v>Инфо</v>
      </c>
      <c r="F6705" s="16" t="s">
        <v>1887</v>
      </c>
      <c r="G6705" s="15"/>
      <c r="H6705" s="15"/>
      <c r="I6705" s="15"/>
      <c r="J6705" s="16" t="s">
        <v>100</v>
      </c>
      <c r="K6705" s="15"/>
      <c r="L6705" s="17">
        <v>1</v>
      </c>
      <c r="M6705" s="17">
        <v>1</v>
      </c>
      <c r="N6705" s="17">
        <v>1</v>
      </c>
      <c r="O6705" s="18">
        <v>140804.67000000001</v>
      </c>
      <c r="P6705" s="18">
        <v>115413.66</v>
      </c>
      <c r="Q6705" s="18">
        <v>125316.16</v>
      </c>
      <c r="R6705" s="18">
        <v>102718.16</v>
      </c>
      <c r="S6705" s="18">
        <v>84482.8</v>
      </c>
      <c r="T6705" s="18">
        <v>69248.2</v>
      </c>
      <c r="U6705" s="16"/>
      <c r="V6705" s="16"/>
      <c r="W6705" s="16" t="s">
        <v>40</v>
      </c>
      <c r="X6705" s="19">
        <v>47.25</v>
      </c>
      <c r="Y6705" s="20">
        <v>8.4708000000000006E-2</v>
      </c>
      <c r="Z6705" s="21">
        <v>4601004285804</v>
      </c>
    </row>
    <row r="6706" spans="1:26" ht="12.95" customHeight="1" outlineLevel="2" x14ac:dyDescent="0.2">
      <c r="A6706" s="76" t="s">
        <v>12915</v>
      </c>
      <c r="B6706" s="76"/>
      <c r="C6706" s="77"/>
      <c r="D6706" s="58"/>
      <c r="E6706" s="68"/>
      <c r="F6706" s="13"/>
      <c r="G6706" s="13"/>
      <c r="H6706" s="13"/>
      <c r="I6706" s="13"/>
      <c r="J6706" s="13"/>
      <c r="K6706" s="13"/>
      <c r="L6706" s="13"/>
      <c r="M6706" s="13"/>
      <c r="N6706" s="13"/>
      <c r="O6706" s="13"/>
      <c r="P6706" s="13"/>
      <c r="Q6706" s="13"/>
      <c r="R6706" s="13"/>
      <c r="S6706" s="13"/>
      <c r="T6706" s="13"/>
      <c r="U6706" s="13"/>
      <c r="V6706" s="13"/>
      <c r="W6706" s="13"/>
      <c r="X6706" s="13"/>
      <c r="Y6706" s="13"/>
      <c r="Z6706" s="13"/>
    </row>
    <row r="6707" spans="1:26" ht="12.95" customHeight="1" outlineLevel="3" x14ac:dyDescent="0.2">
      <c r="A6707" s="76" t="s">
        <v>12916</v>
      </c>
      <c r="B6707" s="76"/>
      <c r="C6707" s="77"/>
      <c r="D6707" s="58"/>
      <c r="E6707" s="68"/>
      <c r="F6707" s="13"/>
      <c r="G6707" s="13"/>
      <c r="H6707" s="13"/>
      <c r="I6707" s="13"/>
      <c r="J6707" s="13"/>
      <c r="K6707" s="13"/>
      <c r="L6707" s="13"/>
      <c r="M6707" s="13"/>
      <c r="N6707" s="13"/>
      <c r="O6707" s="13"/>
      <c r="P6707" s="13"/>
      <c r="Q6707" s="13"/>
      <c r="R6707" s="13"/>
      <c r="S6707" s="13"/>
      <c r="T6707" s="13"/>
      <c r="U6707" s="13"/>
      <c r="V6707" s="13"/>
      <c r="W6707" s="13"/>
      <c r="X6707" s="13"/>
      <c r="Y6707" s="13"/>
      <c r="Z6707" s="13"/>
    </row>
    <row r="6708" spans="1:26" ht="12" customHeight="1" outlineLevel="4" x14ac:dyDescent="0.2">
      <c r="A6708" s="14" t="s">
        <v>12917</v>
      </c>
      <c r="B6708" s="26" t="s">
        <v>12918</v>
      </c>
      <c r="C6708" s="52"/>
      <c r="D6708" s="55">
        <f t="shared" si="104"/>
        <v>0</v>
      </c>
      <c r="E6708" s="63" t="str">
        <f>HYPERLINK("https://www.sds-group.ru/product/kabel-vitaya-para-u-utp-cat-5e-lszh-ng-a-hf-4pr-24awg-indoor-solid-oranzhevyy-305m-rf-rexa-01-0049-R/", "Инфо")</f>
        <v>Инфо</v>
      </c>
      <c r="F6708" s="16" t="s">
        <v>1887</v>
      </c>
      <c r="G6708" s="15"/>
      <c r="H6708" s="15"/>
      <c r="I6708" s="15"/>
      <c r="J6708" s="17">
        <v>61</v>
      </c>
      <c r="K6708" s="15" t="s">
        <v>1408</v>
      </c>
      <c r="L6708" s="17">
        <v>1</v>
      </c>
      <c r="M6708" s="17">
        <v>1</v>
      </c>
      <c r="N6708" s="17">
        <v>1</v>
      </c>
      <c r="O6708" s="18">
        <v>25648.1</v>
      </c>
      <c r="P6708" s="18">
        <v>21023.03</v>
      </c>
      <c r="Q6708" s="18">
        <v>22826.81</v>
      </c>
      <c r="R6708" s="18">
        <v>18710.5</v>
      </c>
      <c r="S6708" s="18">
        <v>15388.86</v>
      </c>
      <c r="T6708" s="18">
        <v>12613.82</v>
      </c>
      <c r="U6708" s="16"/>
      <c r="V6708" s="16"/>
      <c r="W6708" s="16" t="s">
        <v>40</v>
      </c>
      <c r="X6708" s="19">
        <v>9.6820000000000004</v>
      </c>
      <c r="Y6708" s="20">
        <v>3.5078999999999999E-2</v>
      </c>
      <c r="Z6708" s="21">
        <v>4601004334595</v>
      </c>
    </row>
    <row r="6709" spans="1:26" ht="12" customHeight="1" outlineLevel="4" x14ac:dyDescent="0.2">
      <c r="A6709" s="14" t="s">
        <v>12919</v>
      </c>
      <c r="B6709" s="26" t="s">
        <v>12920</v>
      </c>
      <c r="C6709" s="52"/>
      <c r="D6709" s="55">
        <f t="shared" si="104"/>
        <v>0</v>
      </c>
      <c r="E6709" s="63" t="str">
        <f>HYPERLINK("https://www.sds-group.ru/product/kabel-vitaya-para-u-utp-cat-5e-lszh-ng-a-hf-4pr-24awg-indoor-solid-seryy-305m-rf-rexant-01-0069-R/", "Инфо")</f>
        <v>Инфо</v>
      </c>
      <c r="F6709" s="16" t="s">
        <v>1887</v>
      </c>
      <c r="G6709" s="15"/>
      <c r="H6709" s="15"/>
      <c r="I6709" s="15"/>
      <c r="J6709" s="17">
        <v>15</v>
      </c>
      <c r="K6709" s="15" t="s">
        <v>1408</v>
      </c>
      <c r="L6709" s="17">
        <v>1</v>
      </c>
      <c r="M6709" s="17">
        <v>1</v>
      </c>
      <c r="N6709" s="17">
        <v>1</v>
      </c>
      <c r="O6709" s="18">
        <v>25648.11</v>
      </c>
      <c r="P6709" s="18">
        <v>21023.040000000001</v>
      </c>
      <c r="Q6709" s="18">
        <v>22826.82</v>
      </c>
      <c r="R6709" s="18">
        <v>18710.509999999998</v>
      </c>
      <c r="S6709" s="18">
        <v>15388.87</v>
      </c>
      <c r="T6709" s="18">
        <v>12613.83</v>
      </c>
      <c r="U6709" s="16"/>
      <c r="V6709" s="16"/>
      <c r="W6709" s="16" t="s">
        <v>40</v>
      </c>
      <c r="X6709" s="19">
        <v>9.734</v>
      </c>
      <c r="Y6709" s="20">
        <v>3.5187000000000003E-2</v>
      </c>
      <c r="Z6709" s="21">
        <v>4601004334571</v>
      </c>
    </row>
    <row r="6710" spans="1:26" ht="12" customHeight="1" outlineLevel="4" x14ac:dyDescent="0.2">
      <c r="A6710" s="14" t="s">
        <v>12921</v>
      </c>
      <c r="B6710" s="26" t="s">
        <v>12920</v>
      </c>
      <c r="C6710" s="52"/>
      <c r="D6710" s="55">
        <f t="shared" si="104"/>
        <v>0</v>
      </c>
      <c r="E6710" s="63" t="str">
        <f>HYPERLINK("https://www.sds-group.ru/product/kabel-vitaya-para-u-utp-cat-5e-lszh-ng-a-hf-4pr-24awg-indoor-solid-seryy-305m-seriya-light-01-0059-R/", "Инфо")</f>
        <v>Инфо</v>
      </c>
      <c r="F6710" s="16" t="s">
        <v>1887</v>
      </c>
      <c r="G6710" s="15"/>
      <c r="H6710" s="15"/>
      <c r="I6710" s="15"/>
      <c r="J6710" s="16" t="s">
        <v>100</v>
      </c>
      <c r="K6710" s="15"/>
      <c r="L6710" s="17">
        <v>1</v>
      </c>
      <c r="M6710" s="17">
        <v>1</v>
      </c>
      <c r="N6710" s="17">
        <v>1</v>
      </c>
      <c r="O6710" s="18">
        <v>22562.639999999999</v>
      </c>
      <c r="P6710" s="18">
        <v>18493.97</v>
      </c>
      <c r="Q6710" s="18">
        <v>20080.75</v>
      </c>
      <c r="R6710" s="18">
        <v>16459.63</v>
      </c>
      <c r="S6710" s="18">
        <v>13086.33</v>
      </c>
      <c r="T6710" s="18">
        <v>10726.5</v>
      </c>
      <c r="U6710" s="16"/>
      <c r="V6710" s="16"/>
      <c r="W6710" s="16" t="s">
        <v>40</v>
      </c>
      <c r="X6710" s="19">
        <v>8.68</v>
      </c>
      <c r="Y6710" s="20">
        <v>3.5118999999999997E-2</v>
      </c>
      <c r="Z6710" s="21">
        <v>4601004334588</v>
      </c>
    </row>
    <row r="6711" spans="1:26" ht="12" customHeight="1" outlineLevel="4" x14ac:dyDescent="0.2">
      <c r="A6711" s="14" t="s">
        <v>12922</v>
      </c>
      <c r="B6711" s="26" t="s">
        <v>12923</v>
      </c>
      <c r="C6711" s="52"/>
      <c r="D6711" s="55">
        <f t="shared" si="104"/>
        <v>0</v>
      </c>
      <c r="E6711" s="63" t="str">
        <f>HYPERLINK("https://www.sds-group.ru/product/kabel-vitaya-para-u-utp-cat-5e-pvc-2pr-24awg-indoor-solid-seryy-305m-rf-rexant-01-0023-R/", "Инфо")</f>
        <v>Инфо</v>
      </c>
      <c r="F6711" s="16" t="s">
        <v>1887</v>
      </c>
      <c r="G6711" s="15"/>
      <c r="H6711" s="15"/>
      <c r="I6711" s="15"/>
      <c r="J6711" s="17">
        <v>32</v>
      </c>
      <c r="K6711" s="15" t="s">
        <v>1408</v>
      </c>
      <c r="L6711" s="17">
        <v>1</v>
      </c>
      <c r="M6711" s="17">
        <v>4</v>
      </c>
      <c r="N6711" s="17">
        <v>1</v>
      </c>
      <c r="O6711" s="18">
        <v>11946.48</v>
      </c>
      <c r="P6711" s="18">
        <v>9792.2000000000007</v>
      </c>
      <c r="Q6711" s="18">
        <v>10632.37</v>
      </c>
      <c r="R6711" s="18">
        <v>8715.06</v>
      </c>
      <c r="S6711" s="18">
        <v>7167.89</v>
      </c>
      <c r="T6711" s="18">
        <v>5875.32</v>
      </c>
      <c r="U6711" s="16"/>
      <c r="V6711" s="16"/>
      <c r="W6711" s="16" t="s">
        <v>40</v>
      </c>
      <c r="X6711" s="19">
        <v>5.6970000000000001</v>
      </c>
      <c r="Y6711" s="20">
        <v>2.0832E-2</v>
      </c>
      <c r="Z6711" s="21">
        <v>4601004329140</v>
      </c>
    </row>
    <row r="6712" spans="1:26" ht="12" customHeight="1" outlineLevel="4" x14ac:dyDescent="0.2">
      <c r="A6712" s="14" t="s">
        <v>12924</v>
      </c>
      <c r="B6712" s="26" t="s">
        <v>12925</v>
      </c>
      <c r="C6712" s="52"/>
      <c r="D6712" s="55">
        <f t="shared" si="104"/>
        <v>0</v>
      </c>
      <c r="E6712" s="63" t="str">
        <f>HYPERLINK("https://www.sds-group.ru/product/kabel-vitaya-para-u-utp-cat-5e-pvc-ng-a-ls-4h2h0-52mm-4pr-24awg-indoor-solid-seryy-305m-rf-01-0041-R/", "Инфо")</f>
        <v>Инфо</v>
      </c>
      <c r="F6712" s="16" t="s">
        <v>1887</v>
      </c>
      <c r="G6712" s="15"/>
      <c r="H6712" s="15"/>
      <c r="I6712" s="15"/>
      <c r="J6712" s="17">
        <v>185</v>
      </c>
      <c r="K6712" s="15"/>
      <c r="L6712" s="17">
        <v>1</v>
      </c>
      <c r="M6712" s="17">
        <v>1</v>
      </c>
      <c r="N6712" s="17">
        <v>1</v>
      </c>
      <c r="O6712" s="18">
        <v>25622.06</v>
      </c>
      <c r="P6712" s="18">
        <v>21001.69</v>
      </c>
      <c r="Q6712" s="18">
        <v>22803.63</v>
      </c>
      <c r="R6712" s="18">
        <v>18691.5</v>
      </c>
      <c r="S6712" s="18">
        <v>17423</v>
      </c>
      <c r="T6712" s="18">
        <v>14281.15</v>
      </c>
      <c r="U6712" s="16"/>
      <c r="V6712" s="16"/>
      <c r="W6712" s="16" t="s">
        <v>40</v>
      </c>
      <c r="X6712" s="19">
        <v>10.068</v>
      </c>
      <c r="Y6712" s="20">
        <v>3.2014000000000001E-2</v>
      </c>
      <c r="Z6712" s="21">
        <v>4601004310612</v>
      </c>
    </row>
    <row r="6713" spans="1:26" ht="12" customHeight="1" outlineLevel="4" x14ac:dyDescent="0.2">
      <c r="A6713" s="14" t="s">
        <v>12926</v>
      </c>
      <c r="B6713" s="26" t="s">
        <v>12927</v>
      </c>
      <c r="C6713" s="52"/>
      <c r="D6713" s="55">
        <f t="shared" si="104"/>
        <v>0</v>
      </c>
      <c r="E6713" s="63" t="str">
        <f>HYPERLINK("https://www.sds-group.ru/product/kabel-vitaya-para-u-utp-cat-5e-pvc-4pr-24awg-indoor-solid-seryy-305m-rf-rexant-01-0043-R/", "Инфо")</f>
        <v>Инфо</v>
      </c>
      <c r="F6713" s="16" t="s">
        <v>1887</v>
      </c>
      <c r="G6713" s="15"/>
      <c r="H6713" s="15"/>
      <c r="I6713" s="15"/>
      <c r="J6713" s="17">
        <v>669</v>
      </c>
      <c r="K6713" s="15"/>
      <c r="L6713" s="17">
        <v>1</v>
      </c>
      <c r="M6713" s="17">
        <v>1</v>
      </c>
      <c r="N6713" s="17">
        <v>1</v>
      </c>
      <c r="O6713" s="18">
        <v>22098.68</v>
      </c>
      <c r="P6713" s="18">
        <v>18113.669999999998</v>
      </c>
      <c r="Q6713" s="18">
        <v>19667.830000000002</v>
      </c>
      <c r="R6713" s="18">
        <v>16121.17</v>
      </c>
      <c r="S6713" s="18">
        <v>13259.21</v>
      </c>
      <c r="T6713" s="18">
        <v>10868.2</v>
      </c>
      <c r="U6713" s="16"/>
      <c r="V6713" s="16"/>
      <c r="W6713" s="16" t="s">
        <v>40</v>
      </c>
      <c r="X6713" s="19">
        <v>9.6649999999999991</v>
      </c>
      <c r="Y6713" s="20">
        <v>3.2475999999999998E-2</v>
      </c>
      <c r="Z6713" s="21">
        <v>4601004285750</v>
      </c>
    </row>
    <row r="6714" spans="1:26" ht="12" customHeight="1" outlineLevel="4" x14ac:dyDescent="0.2">
      <c r="A6714" s="14" t="s">
        <v>12928</v>
      </c>
      <c r="B6714" s="26" t="s">
        <v>12927</v>
      </c>
      <c r="C6714" s="52"/>
      <c r="D6714" s="55">
        <f t="shared" si="104"/>
        <v>0</v>
      </c>
      <c r="E6714" s="63" t="str">
        <f>HYPERLINK("https://www.sds-group.ru/product/kabel-vitaya-para-u-utp-cat-5e-pvc-4pr-24awg-indoor-solid-seryy-305m-seriya-light-rf-rexan-01-0052-R/", "Инфо")</f>
        <v>Инфо</v>
      </c>
      <c r="F6714" s="16" t="s">
        <v>1887</v>
      </c>
      <c r="G6714" s="15"/>
      <c r="H6714" s="15"/>
      <c r="I6714" s="15"/>
      <c r="J6714" s="17">
        <v>263</v>
      </c>
      <c r="K6714" s="15"/>
      <c r="L6714" s="17">
        <v>1</v>
      </c>
      <c r="M6714" s="17">
        <v>1</v>
      </c>
      <c r="N6714" s="17">
        <v>1</v>
      </c>
      <c r="O6714" s="18">
        <v>18695.93</v>
      </c>
      <c r="P6714" s="18">
        <v>15324.53</v>
      </c>
      <c r="Q6714" s="18">
        <v>16639.38</v>
      </c>
      <c r="R6714" s="18">
        <v>13638.84</v>
      </c>
      <c r="S6714" s="18">
        <v>10843.64</v>
      </c>
      <c r="T6714" s="18">
        <v>8888.23</v>
      </c>
      <c r="U6714" s="16"/>
      <c r="V6714" s="16"/>
      <c r="W6714" s="16" t="s">
        <v>40</v>
      </c>
      <c r="X6714" s="19">
        <v>8.6780000000000008</v>
      </c>
      <c r="Y6714" s="20">
        <v>2.9618999999999999E-2</v>
      </c>
      <c r="Z6714" s="21">
        <v>4601004334564</v>
      </c>
    </row>
    <row r="6715" spans="1:26" ht="12" customHeight="1" outlineLevel="4" x14ac:dyDescent="0.2">
      <c r="A6715" s="14" t="s">
        <v>12929</v>
      </c>
      <c r="B6715" s="26" t="s">
        <v>12930</v>
      </c>
      <c r="C6715" s="52"/>
      <c r="D6715" s="55">
        <f t="shared" si="104"/>
        <v>0</v>
      </c>
      <c r="E6715" s="63" t="str">
        <f>HYPERLINK("https://www.sds-group.ru/product/kabel-vitaya-para-u-utp-cat-5e-lszh-ng-a-hf-4pr-24awg-indoor-solid-seryy-305m-rf-rexant-02-0004-R/", "Инфо")</f>
        <v>Инфо</v>
      </c>
      <c r="F6715" s="16" t="s">
        <v>1887</v>
      </c>
      <c r="G6715" s="15"/>
      <c r="H6715" s="15"/>
      <c r="I6715" s="15"/>
      <c r="J6715" s="17">
        <v>23</v>
      </c>
      <c r="K6715" s="15"/>
      <c r="L6715" s="17">
        <v>1</v>
      </c>
      <c r="M6715" s="17">
        <v>1</v>
      </c>
      <c r="N6715" s="17">
        <v>1</v>
      </c>
      <c r="O6715" s="18">
        <v>28505.93</v>
      </c>
      <c r="P6715" s="18">
        <v>23365.52</v>
      </c>
      <c r="Q6715" s="18">
        <v>25370.28</v>
      </c>
      <c r="R6715" s="18">
        <v>20795.310000000001</v>
      </c>
      <c r="S6715" s="18">
        <v>19384.03</v>
      </c>
      <c r="T6715" s="18">
        <v>15888.55</v>
      </c>
      <c r="U6715" s="16"/>
      <c r="V6715" s="16"/>
      <c r="W6715" s="16" t="s">
        <v>40</v>
      </c>
      <c r="X6715" s="19">
        <v>9.9</v>
      </c>
      <c r="Y6715" s="20">
        <v>0.04</v>
      </c>
      <c r="Z6715" s="21">
        <v>4601004334649</v>
      </c>
    </row>
    <row r="6716" spans="1:26" ht="12" customHeight="1" outlineLevel="4" x14ac:dyDescent="0.2">
      <c r="A6716" s="14" t="s">
        <v>12931</v>
      </c>
      <c r="B6716" s="26" t="s">
        <v>12932</v>
      </c>
      <c r="C6716" s="52"/>
      <c r="D6716" s="55">
        <f t="shared" si="104"/>
        <v>0</v>
      </c>
      <c r="E6716" s="63" t="str">
        <f>HYPERLINK("https://www.sds-group.ru/product/kabel-vitaya-para-u-utp-cat-5e-pvc-4x2x0-52-mm-24awg-indoor-solid-seryy-305m-rf-rexant-02-0005-R/", "Инфо")</f>
        <v>Инфо</v>
      </c>
      <c r="F6716" s="16" t="s">
        <v>1887</v>
      </c>
      <c r="G6716" s="15"/>
      <c r="H6716" s="15"/>
      <c r="I6716" s="15"/>
      <c r="J6716" s="17">
        <v>131</v>
      </c>
      <c r="K6716" s="15"/>
      <c r="L6716" s="17">
        <v>1</v>
      </c>
      <c r="M6716" s="17">
        <v>1</v>
      </c>
      <c r="N6716" s="17">
        <v>1</v>
      </c>
      <c r="O6716" s="18">
        <v>26833.79</v>
      </c>
      <c r="P6716" s="18">
        <v>21994.91</v>
      </c>
      <c r="Q6716" s="18">
        <v>23882.07</v>
      </c>
      <c r="R6716" s="18">
        <v>19575.47</v>
      </c>
      <c r="S6716" s="18">
        <v>18246.98</v>
      </c>
      <c r="T6716" s="18">
        <v>14956.54</v>
      </c>
      <c r="U6716" s="16"/>
      <c r="V6716" s="16"/>
      <c r="W6716" s="16" t="s">
        <v>40</v>
      </c>
      <c r="X6716" s="19">
        <v>9.6999999999999993</v>
      </c>
      <c r="Y6716" s="20">
        <v>0.03</v>
      </c>
      <c r="Z6716" s="21">
        <v>4601004334618</v>
      </c>
    </row>
    <row r="6717" spans="1:26" ht="12" customHeight="1" outlineLevel="4" x14ac:dyDescent="0.2">
      <c r="A6717" s="14" t="s">
        <v>12933</v>
      </c>
      <c r="B6717" s="26" t="s">
        <v>12934</v>
      </c>
      <c r="C6717" s="52"/>
      <c r="D6717" s="55">
        <f t="shared" si="104"/>
        <v>0</v>
      </c>
      <c r="E6717" s="63" t="str">
        <f>HYPERLINK("https://www.sds-group.ru/product/kabel-vitaya-para-u-utp-cat-5e-pvc-ng-a-lsltx-4h2h0-52mm-24awg-indoor-solid-zelenyy-305m-r-01-0061-R/", "Инфо")</f>
        <v>Инфо</v>
      </c>
      <c r="F6717" s="16" t="s">
        <v>1887</v>
      </c>
      <c r="G6717" s="15"/>
      <c r="H6717" s="15"/>
      <c r="I6717" s="15"/>
      <c r="J6717" s="17">
        <v>288</v>
      </c>
      <c r="K6717" s="15"/>
      <c r="L6717" s="17">
        <v>1</v>
      </c>
      <c r="M6717" s="17">
        <v>1</v>
      </c>
      <c r="N6717" s="17">
        <v>1</v>
      </c>
      <c r="O6717" s="18">
        <v>30335.62</v>
      </c>
      <c r="P6717" s="18">
        <v>24865.26</v>
      </c>
      <c r="Q6717" s="18">
        <v>26998.7</v>
      </c>
      <c r="R6717" s="18">
        <v>22130.080000000002</v>
      </c>
      <c r="S6717" s="18">
        <v>20628.22</v>
      </c>
      <c r="T6717" s="18">
        <v>16908.38</v>
      </c>
      <c r="U6717" s="16"/>
      <c r="V6717" s="16"/>
      <c r="W6717" s="16" t="s">
        <v>40</v>
      </c>
      <c r="X6717" s="19">
        <v>11.768000000000001</v>
      </c>
      <c r="Y6717" s="20">
        <v>3.1892999999999998E-2</v>
      </c>
      <c r="Z6717" s="21">
        <v>4601004305045</v>
      </c>
    </row>
    <row r="6718" spans="1:26" ht="12.95" customHeight="1" outlineLevel="3" x14ac:dyDescent="0.2">
      <c r="A6718" s="76" t="s">
        <v>12935</v>
      </c>
      <c r="B6718" s="76"/>
      <c r="C6718" s="77"/>
      <c r="D6718" s="58"/>
      <c r="E6718" s="68"/>
      <c r="F6718" s="13"/>
      <c r="G6718" s="13"/>
      <c r="H6718" s="13"/>
      <c r="I6718" s="13"/>
      <c r="J6718" s="13"/>
      <c r="K6718" s="13"/>
      <c r="L6718" s="13"/>
      <c r="M6718" s="13"/>
      <c r="N6718" s="13"/>
      <c r="O6718" s="13"/>
      <c r="P6718" s="13"/>
      <c r="Q6718" s="13"/>
      <c r="R6718" s="13"/>
      <c r="S6718" s="13"/>
      <c r="T6718" s="13"/>
      <c r="U6718" s="13"/>
      <c r="V6718" s="13"/>
      <c r="W6718" s="13"/>
      <c r="X6718" s="13"/>
      <c r="Y6718" s="13"/>
      <c r="Z6718" s="13"/>
    </row>
    <row r="6719" spans="1:26" ht="12" customHeight="1" outlineLevel="4" x14ac:dyDescent="0.2">
      <c r="A6719" s="14" t="s">
        <v>12936</v>
      </c>
      <c r="B6719" s="26" t="s">
        <v>12937</v>
      </c>
      <c r="C6719" s="52"/>
      <c r="D6719" s="55">
        <f t="shared" si="104"/>
        <v>0</v>
      </c>
      <c r="E6719" s="63" t="str">
        <f>HYPERLINK("https://www.sds-group.ru/product/kabel-vitaya-para-f-utp-cat-5e-lszh-ng-a-hf-4pr-24awg-indoor-solid-oranzhevyy-305m-rf-rexa-01-0150-R/", "Инфо")</f>
        <v>Инфо</v>
      </c>
      <c r="F6719" s="16" t="s">
        <v>1887</v>
      </c>
      <c r="G6719" s="15"/>
      <c r="H6719" s="15"/>
      <c r="I6719" s="15"/>
      <c r="J6719" s="17">
        <v>44</v>
      </c>
      <c r="K6719" s="15" t="s">
        <v>1888</v>
      </c>
      <c r="L6719" s="17">
        <v>1</v>
      </c>
      <c r="M6719" s="17">
        <v>1</v>
      </c>
      <c r="N6719" s="17">
        <v>1</v>
      </c>
      <c r="O6719" s="18">
        <v>30800.78</v>
      </c>
      <c r="P6719" s="18">
        <v>25246.54</v>
      </c>
      <c r="Q6719" s="18">
        <v>27412.69</v>
      </c>
      <c r="R6719" s="18">
        <v>22469.42</v>
      </c>
      <c r="S6719" s="18">
        <v>18480.47</v>
      </c>
      <c r="T6719" s="18">
        <v>15147.93</v>
      </c>
      <c r="U6719" s="16"/>
      <c r="V6719" s="16"/>
      <c r="W6719" s="16" t="s">
        <v>40</v>
      </c>
      <c r="X6719" s="19">
        <v>11.791</v>
      </c>
      <c r="Y6719" s="20">
        <v>5.0342999999999999E-2</v>
      </c>
      <c r="Z6719" s="21">
        <v>4601004334670</v>
      </c>
    </row>
    <row r="6720" spans="1:26" ht="12" customHeight="1" outlineLevel="4" x14ac:dyDescent="0.2">
      <c r="A6720" s="14" t="s">
        <v>12938</v>
      </c>
      <c r="B6720" s="26" t="s">
        <v>12939</v>
      </c>
      <c r="C6720" s="52"/>
      <c r="D6720" s="55">
        <f t="shared" si="104"/>
        <v>0</v>
      </c>
      <c r="E6720" s="63" t="str">
        <f>HYPERLINK("https://www.sds-group.ru/product/kabel-vitaya-para-f-utp-cat-5e-lszh-ng-a-hf-4pr-24awg-indoor-solid-seryy-305m-rf-rexant-01-0169-R/", "Инфо")</f>
        <v>Инфо</v>
      </c>
      <c r="F6720" s="16" t="s">
        <v>1887</v>
      </c>
      <c r="G6720" s="15"/>
      <c r="H6720" s="15"/>
      <c r="I6720" s="15"/>
      <c r="J6720" s="17">
        <v>32</v>
      </c>
      <c r="K6720" s="15"/>
      <c r="L6720" s="17">
        <v>1</v>
      </c>
      <c r="M6720" s="17">
        <v>1</v>
      </c>
      <c r="N6720" s="17">
        <v>1</v>
      </c>
      <c r="O6720" s="18">
        <v>30800.78</v>
      </c>
      <c r="P6720" s="18">
        <v>25246.54</v>
      </c>
      <c r="Q6720" s="18">
        <v>27412.69</v>
      </c>
      <c r="R6720" s="18">
        <v>22469.42</v>
      </c>
      <c r="S6720" s="18">
        <v>18480.47</v>
      </c>
      <c r="T6720" s="18">
        <v>15147.93</v>
      </c>
      <c r="U6720" s="16"/>
      <c r="V6720" s="16"/>
      <c r="W6720" s="16" t="s">
        <v>40</v>
      </c>
      <c r="X6720" s="19">
        <v>12.08</v>
      </c>
      <c r="Y6720" s="20">
        <v>4.9792000000000003E-2</v>
      </c>
      <c r="Z6720" s="21">
        <v>4601004334625</v>
      </c>
    </row>
    <row r="6721" spans="1:26" ht="12" customHeight="1" outlineLevel="4" x14ac:dyDescent="0.2">
      <c r="A6721" s="14" t="s">
        <v>12940</v>
      </c>
      <c r="B6721" s="26" t="s">
        <v>12939</v>
      </c>
      <c r="C6721" s="52"/>
      <c r="D6721" s="55">
        <f t="shared" si="104"/>
        <v>0</v>
      </c>
      <c r="E6721" s="63" t="str">
        <f>HYPERLINK("https://www.sds-group.ru/product/kabel-vitaya-para-f-utp-cat-5e-lszh-ng-a-hf-4pr-24awg-indoor-solid-seryy-305m-rf-rexant-02-0021-R/", "Инфо")</f>
        <v>Инфо</v>
      </c>
      <c r="F6721" s="16" t="s">
        <v>1887</v>
      </c>
      <c r="G6721" s="15"/>
      <c r="H6721" s="15"/>
      <c r="I6721" s="15"/>
      <c r="J6721" s="16" t="s">
        <v>100</v>
      </c>
      <c r="K6721" s="15" t="s">
        <v>1888</v>
      </c>
      <c r="L6721" s="17">
        <v>1</v>
      </c>
      <c r="M6721" s="17">
        <v>1</v>
      </c>
      <c r="N6721" s="17">
        <v>1</v>
      </c>
      <c r="O6721" s="18">
        <v>31932.46</v>
      </c>
      <c r="P6721" s="18">
        <v>26174.15</v>
      </c>
      <c r="Q6721" s="18">
        <v>28419.89</v>
      </c>
      <c r="R6721" s="18">
        <v>23294.99</v>
      </c>
      <c r="S6721" s="18">
        <v>21714.07</v>
      </c>
      <c r="T6721" s="18">
        <v>17798.419999999998</v>
      </c>
      <c r="U6721" s="16"/>
      <c r="V6721" s="16"/>
      <c r="W6721" s="16" t="s">
        <v>40</v>
      </c>
      <c r="X6721" s="19">
        <v>12.2</v>
      </c>
      <c r="Y6721" s="20">
        <v>0.05</v>
      </c>
      <c r="Z6721" s="21">
        <v>4601004334700</v>
      </c>
    </row>
    <row r="6722" spans="1:26" ht="12" customHeight="1" outlineLevel="4" x14ac:dyDescent="0.2">
      <c r="A6722" s="14" t="s">
        <v>12941</v>
      </c>
      <c r="B6722" s="26" t="s">
        <v>12942</v>
      </c>
      <c r="C6722" s="52"/>
      <c r="D6722" s="55">
        <f t="shared" si="104"/>
        <v>0</v>
      </c>
      <c r="E6722" s="63" t="str">
        <f>HYPERLINK("https://www.sds-group.ru/product/kabel-vitaya-para-f-utp-cat-5e-pvc-ng-a-ls-4h2h0-52mm-24awg-indoor-solid-seryy-305m-rf-rex-01-0141-R/", "Инфо")</f>
        <v>Инфо</v>
      </c>
      <c r="F6722" s="16" t="s">
        <v>1887</v>
      </c>
      <c r="G6722" s="15"/>
      <c r="H6722" s="15"/>
      <c r="I6722" s="15" t="s">
        <v>3681</v>
      </c>
      <c r="J6722" s="16" t="s">
        <v>100</v>
      </c>
      <c r="K6722" s="15"/>
      <c r="L6722" s="17">
        <v>1</v>
      </c>
      <c r="M6722" s="17">
        <v>1</v>
      </c>
      <c r="N6722" s="17">
        <v>1</v>
      </c>
      <c r="O6722" s="18">
        <v>30678.31</v>
      </c>
      <c r="P6722" s="18">
        <v>25146.16</v>
      </c>
      <c r="Q6722" s="18">
        <v>27303.7</v>
      </c>
      <c r="R6722" s="18">
        <v>22380.080000000002</v>
      </c>
      <c r="S6722" s="18">
        <v>20861.25</v>
      </c>
      <c r="T6722" s="18">
        <v>17099.39</v>
      </c>
      <c r="U6722" s="16"/>
      <c r="V6722" s="16"/>
      <c r="W6722" s="16" t="s">
        <v>40</v>
      </c>
      <c r="X6722" s="19">
        <v>13.903</v>
      </c>
      <c r="Y6722" s="20">
        <v>3.5813999999999999E-2</v>
      </c>
      <c r="Z6722" s="21">
        <v>4601004310629</v>
      </c>
    </row>
    <row r="6723" spans="1:26" ht="12" customHeight="1" outlineLevel="4" x14ac:dyDescent="0.2">
      <c r="A6723" s="14" t="s">
        <v>12943</v>
      </c>
      <c r="B6723" s="26" t="s">
        <v>12944</v>
      </c>
      <c r="C6723" s="52"/>
      <c r="D6723" s="55">
        <f t="shared" si="104"/>
        <v>0</v>
      </c>
      <c r="E6723" s="63" t="str">
        <f>HYPERLINK("https://www.sds-group.ru/product/kabel-vitaya-para-f-utp-cat-5e-pvc-4pr-24awg-indoor-solid-seryy-305m-rf-rexant-01-0143-R/", "Инфо")</f>
        <v>Инфо</v>
      </c>
      <c r="F6723" s="16" t="s">
        <v>1887</v>
      </c>
      <c r="G6723" s="15"/>
      <c r="H6723" s="15"/>
      <c r="I6723" s="15"/>
      <c r="J6723" s="17">
        <v>164</v>
      </c>
      <c r="K6723" s="15"/>
      <c r="L6723" s="17">
        <v>1</v>
      </c>
      <c r="M6723" s="17">
        <v>1</v>
      </c>
      <c r="N6723" s="17">
        <v>1</v>
      </c>
      <c r="O6723" s="18">
        <v>25833.65</v>
      </c>
      <c r="P6723" s="18">
        <v>21175.119999999999</v>
      </c>
      <c r="Q6723" s="18">
        <v>22991.95</v>
      </c>
      <c r="R6723" s="18">
        <v>18845.86</v>
      </c>
      <c r="S6723" s="18">
        <v>15500.19</v>
      </c>
      <c r="T6723" s="18">
        <v>12705.07</v>
      </c>
      <c r="U6723" s="16"/>
      <c r="V6723" s="16"/>
      <c r="W6723" s="16" t="s">
        <v>40</v>
      </c>
      <c r="X6723" s="19">
        <v>12.545</v>
      </c>
      <c r="Y6723" s="20">
        <v>3.6760000000000001E-2</v>
      </c>
      <c r="Z6723" s="21">
        <v>4601004285774</v>
      </c>
    </row>
    <row r="6724" spans="1:26" ht="12" customHeight="1" outlineLevel="4" x14ac:dyDescent="0.2">
      <c r="A6724" s="14" t="s">
        <v>12945</v>
      </c>
      <c r="B6724" s="26" t="s">
        <v>12946</v>
      </c>
      <c r="C6724" s="52"/>
      <c r="D6724" s="55">
        <f t="shared" si="104"/>
        <v>0</v>
      </c>
      <c r="E6724" s="63" t="str">
        <f>HYPERLINK("https://www.sds-group.ru/product/kabel-vitaya-para-f-utp-cat-5e-pvc-4x2x0-52-mm-24awg-indoor-solid-seryy-305m-rf-rexant-02-0025-R/", "Инфо")</f>
        <v>Инфо</v>
      </c>
      <c r="F6724" s="16" t="s">
        <v>1887</v>
      </c>
      <c r="G6724" s="15"/>
      <c r="H6724" s="15"/>
      <c r="I6724" s="15"/>
      <c r="J6724" s="16" t="s">
        <v>100</v>
      </c>
      <c r="K6724" s="15"/>
      <c r="L6724" s="17">
        <v>1</v>
      </c>
      <c r="M6724" s="17">
        <v>1</v>
      </c>
      <c r="N6724" s="17">
        <v>1</v>
      </c>
      <c r="O6724" s="18">
        <v>29591.47</v>
      </c>
      <c r="P6724" s="18">
        <v>24255.3</v>
      </c>
      <c r="Q6724" s="18">
        <v>26336.41</v>
      </c>
      <c r="R6724" s="18">
        <v>21587.22</v>
      </c>
      <c r="S6724" s="18">
        <v>20122.2</v>
      </c>
      <c r="T6724" s="18">
        <v>16493.61</v>
      </c>
      <c r="U6724" s="16"/>
      <c r="V6724" s="16"/>
      <c r="W6724" s="16" t="s">
        <v>40</v>
      </c>
      <c r="X6724" s="19">
        <v>12.3</v>
      </c>
      <c r="Y6724" s="20">
        <v>0.05</v>
      </c>
      <c r="Z6724" s="21">
        <v>4601004334656</v>
      </c>
    </row>
    <row r="6725" spans="1:26" ht="12" customHeight="1" outlineLevel="4" x14ac:dyDescent="0.2">
      <c r="A6725" s="14" t="s">
        <v>12947</v>
      </c>
      <c r="B6725" s="26" t="s">
        <v>12948</v>
      </c>
      <c r="C6725" s="52"/>
      <c r="D6725" s="55">
        <f t="shared" si="104"/>
        <v>0</v>
      </c>
      <c r="E6725" s="63" t="str">
        <f>HYPERLINK("https://www.sds-group.ru/product/kabel-vitaya-para-f-utp-cat-5e-pvc-4pr-24awg-indoor-solid-seryy-305m-seriya-light-rf-rexan-01-0152-R/", "Инфо")</f>
        <v>Инфо</v>
      </c>
      <c r="F6725" s="16" t="s">
        <v>1887</v>
      </c>
      <c r="G6725" s="15"/>
      <c r="H6725" s="15"/>
      <c r="I6725" s="15"/>
      <c r="J6725" s="16" t="s">
        <v>100</v>
      </c>
      <c r="K6725" s="15"/>
      <c r="L6725" s="17">
        <v>1</v>
      </c>
      <c r="M6725" s="17">
        <v>1</v>
      </c>
      <c r="N6725" s="17">
        <v>1</v>
      </c>
      <c r="O6725" s="18">
        <v>23442.27</v>
      </c>
      <c r="P6725" s="18">
        <v>19214.98</v>
      </c>
      <c r="Q6725" s="18">
        <v>20863.62</v>
      </c>
      <c r="R6725" s="18">
        <v>17101.330000000002</v>
      </c>
      <c r="S6725" s="18">
        <v>14065.36</v>
      </c>
      <c r="T6725" s="18">
        <v>11528.98</v>
      </c>
      <c r="U6725" s="16"/>
      <c r="V6725" s="16"/>
      <c r="W6725" s="16" t="s">
        <v>40</v>
      </c>
      <c r="X6725" s="19">
        <v>12.045</v>
      </c>
      <c r="Y6725" s="20">
        <v>3.6999999999999998E-2</v>
      </c>
      <c r="Z6725" s="21">
        <v>4601004285699</v>
      </c>
    </row>
    <row r="6726" spans="1:26" ht="12.95" customHeight="1" outlineLevel="3" x14ac:dyDescent="0.2">
      <c r="A6726" s="76" t="s">
        <v>12949</v>
      </c>
      <c r="B6726" s="76"/>
      <c r="C6726" s="77"/>
      <c r="D6726" s="58"/>
      <c r="E6726" s="68"/>
      <c r="F6726" s="13"/>
      <c r="G6726" s="13"/>
      <c r="H6726" s="13"/>
      <c r="I6726" s="13"/>
      <c r="J6726" s="13"/>
      <c r="K6726" s="13"/>
      <c r="L6726" s="13"/>
      <c r="M6726" s="13"/>
      <c r="N6726" s="13"/>
      <c r="O6726" s="13"/>
      <c r="P6726" s="13"/>
      <c r="Q6726" s="13"/>
      <c r="R6726" s="13"/>
      <c r="S6726" s="13"/>
      <c r="T6726" s="13"/>
      <c r="U6726" s="13"/>
      <c r="V6726" s="13"/>
      <c r="W6726" s="13"/>
      <c r="X6726" s="13"/>
      <c r="Y6726" s="13"/>
      <c r="Z6726" s="13"/>
    </row>
    <row r="6727" spans="1:26" ht="12" customHeight="1" outlineLevel="4" x14ac:dyDescent="0.2">
      <c r="A6727" s="14" t="s">
        <v>12950</v>
      </c>
      <c r="B6727" s="26" t="s">
        <v>12951</v>
      </c>
      <c r="C6727" s="52"/>
      <c r="D6727" s="55">
        <f t="shared" si="104"/>
        <v>0</v>
      </c>
      <c r="E6727" s="63" t="str">
        <f>HYPERLINK("https://www.sds-group.ru/product/kabel-vitaya-para-u-utp-cat-5e-pe-4pr-24awg-outdoor-solid-chernyy-305m-seriya-light-rf-rex-01-0054-R/", "Инфо")</f>
        <v>Инфо</v>
      </c>
      <c r="F6727" s="16" t="s">
        <v>1887</v>
      </c>
      <c r="G6727" s="15"/>
      <c r="H6727" s="15"/>
      <c r="I6727" s="15"/>
      <c r="J6727" s="17">
        <v>46</v>
      </c>
      <c r="K6727" s="15" t="s">
        <v>1408</v>
      </c>
      <c r="L6727" s="17">
        <v>1</v>
      </c>
      <c r="M6727" s="17">
        <v>1</v>
      </c>
      <c r="N6727" s="17">
        <v>1</v>
      </c>
      <c r="O6727" s="18">
        <v>19475.79</v>
      </c>
      <c r="P6727" s="18">
        <v>15963.76</v>
      </c>
      <c r="Q6727" s="18">
        <v>17333.45</v>
      </c>
      <c r="R6727" s="18">
        <v>14207.75</v>
      </c>
      <c r="S6727" s="18">
        <v>11685.47</v>
      </c>
      <c r="T6727" s="18">
        <v>9578.25</v>
      </c>
      <c r="U6727" s="16"/>
      <c r="V6727" s="16"/>
      <c r="W6727" s="16" t="s">
        <v>40</v>
      </c>
      <c r="X6727" s="19">
        <v>7</v>
      </c>
      <c r="Y6727" s="20">
        <v>0.04</v>
      </c>
      <c r="Z6727" s="21">
        <v>4601004285842</v>
      </c>
    </row>
    <row r="6728" spans="1:26" ht="12" customHeight="1" outlineLevel="4" x14ac:dyDescent="0.2">
      <c r="A6728" s="14" t="s">
        <v>12952</v>
      </c>
      <c r="B6728" s="26" t="s">
        <v>12951</v>
      </c>
      <c r="C6728" s="52"/>
      <c r="D6728" s="55">
        <f t="shared" si="104"/>
        <v>0</v>
      </c>
      <c r="E6728" s="63" t="str">
        <f>HYPERLINK("https://www.sds-group.ru/product/kabel-vitaya-para-u-utp-cat-5e-pe-4pr-24awg-outdoor-solid-chernyy-305m-rf-rexant-01-0045-R/", "Инфо")</f>
        <v>Инфо</v>
      </c>
      <c r="F6728" s="16" t="s">
        <v>1887</v>
      </c>
      <c r="G6728" s="15"/>
      <c r="H6728" s="15"/>
      <c r="I6728" s="15"/>
      <c r="J6728" s="17">
        <v>33</v>
      </c>
      <c r="K6728" s="15"/>
      <c r="L6728" s="17">
        <v>1</v>
      </c>
      <c r="M6728" s="17">
        <v>1</v>
      </c>
      <c r="N6728" s="17">
        <v>1</v>
      </c>
      <c r="O6728" s="18">
        <v>24457.35</v>
      </c>
      <c r="P6728" s="18">
        <v>20047.009999999998</v>
      </c>
      <c r="Q6728" s="18">
        <v>21767.040000000001</v>
      </c>
      <c r="R6728" s="18">
        <v>17841.84</v>
      </c>
      <c r="S6728" s="18">
        <v>14674.41</v>
      </c>
      <c r="T6728" s="18">
        <v>12028.2</v>
      </c>
      <c r="U6728" s="16"/>
      <c r="V6728" s="16"/>
      <c r="W6728" s="16" t="s">
        <v>40</v>
      </c>
      <c r="X6728" s="19">
        <v>8.8970000000000002</v>
      </c>
      <c r="Y6728" s="20">
        <v>3.3382000000000002E-2</v>
      </c>
      <c r="Z6728" s="21">
        <v>4601004285767</v>
      </c>
    </row>
    <row r="6729" spans="1:26" ht="12" customHeight="1" outlineLevel="4" x14ac:dyDescent="0.2">
      <c r="A6729" s="14" t="s">
        <v>12953</v>
      </c>
      <c r="B6729" s="26" t="s">
        <v>12954</v>
      </c>
      <c r="C6729" s="52"/>
      <c r="D6729" s="55">
        <f t="shared" ref="D6729:D6792" si="105">C6729*(O6729-O6729*$G$3)</f>
        <v>0</v>
      </c>
      <c r="E6729" s="63" t="str">
        <f>HYPERLINK("https://www.sds-group.ru/product/kabel-vitaya-para-u-utp-cat-5e-pe-4h2h0-52-mm-24awg-outdoor-solid-chernyy-305m-rf-rexant-02-0006-R/", "Инфо")</f>
        <v>Инфо</v>
      </c>
      <c r="F6729" s="16" t="s">
        <v>1887</v>
      </c>
      <c r="G6729" s="15"/>
      <c r="H6729" s="15"/>
      <c r="I6729" s="15"/>
      <c r="J6729" s="16" t="s">
        <v>100</v>
      </c>
      <c r="K6729" s="15" t="s">
        <v>1408</v>
      </c>
      <c r="L6729" s="17">
        <v>1</v>
      </c>
      <c r="M6729" s="17">
        <v>1</v>
      </c>
      <c r="N6729" s="17">
        <v>1</v>
      </c>
      <c r="O6729" s="18">
        <v>25504.47</v>
      </c>
      <c r="P6729" s="18">
        <v>20905.3</v>
      </c>
      <c r="Q6729" s="18">
        <v>22698.98</v>
      </c>
      <c r="R6729" s="18">
        <v>18605.72</v>
      </c>
      <c r="S6729" s="18">
        <v>17343.04</v>
      </c>
      <c r="T6729" s="18">
        <v>14215.61</v>
      </c>
      <c r="U6729" s="16"/>
      <c r="V6729" s="16"/>
      <c r="W6729" s="16" t="s">
        <v>40</v>
      </c>
      <c r="X6729" s="19">
        <v>8.4</v>
      </c>
      <c r="Y6729" s="20">
        <v>0.04</v>
      </c>
      <c r="Z6729" s="21">
        <v>4601004334687</v>
      </c>
    </row>
    <row r="6730" spans="1:26" ht="12.95" customHeight="1" outlineLevel="3" x14ac:dyDescent="0.2">
      <c r="A6730" s="76" t="s">
        <v>12955</v>
      </c>
      <c r="B6730" s="76"/>
      <c r="C6730" s="77"/>
      <c r="D6730" s="58"/>
      <c r="E6730" s="68"/>
      <c r="F6730" s="13"/>
      <c r="G6730" s="13"/>
      <c r="H6730" s="13"/>
      <c r="I6730" s="13"/>
      <c r="J6730" s="13"/>
      <c r="K6730" s="13"/>
      <c r="L6730" s="13"/>
      <c r="M6730" s="13"/>
      <c r="N6730" s="13"/>
      <c r="O6730" s="13"/>
      <c r="P6730" s="13"/>
      <c r="Q6730" s="13"/>
      <c r="R6730" s="13"/>
      <c r="S6730" s="13"/>
      <c r="T6730" s="13"/>
      <c r="U6730" s="13"/>
      <c r="V6730" s="13"/>
      <c r="W6730" s="13"/>
      <c r="X6730" s="13"/>
      <c r="Y6730" s="13"/>
      <c r="Z6730" s="13"/>
    </row>
    <row r="6731" spans="1:26" ht="12" customHeight="1" outlineLevel="4" x14ac:dyDescent="0.2">
      <c r="A6731" s="14" t="s">
        <v>12956</v>
      </c>
      <c r="B6731" s="26" t="s">
        <v>12957</v>
      </c>
      <c r="C6731" s="52"/>
      <c r="D6731" s="55">
        <f t="shared" si="105"/>
        <v>0</v>
      </c>
      <c r="E6731" s="63" t="str">
        <f>HYPERLINK("https://www.sds-group.ru/product/kabel-vitaya-para-f-utp-cat-5e-pe-4pr-24awg-outdoor-solid-chernyy-305m-rf-rexant-01-0146-R/", "Инфо")</f>
        <v>Инфо</v>
      </c>
      <c r="F6731" s="16" t="s">
        <v>1887</v>
      </c>
      <c r="G6731" s="15"/>
      <c r="H6731" s="15"/>
      <c r="I6731" s="15"/>
      <c r="J6731" s="17">
        <v>126</v>
      </c>
      <c r="K6731" s="15"/>
      <c r="L6731" s="17">
        <v>1</v>
      </c>
      <c r="M6731" s="17">
        <v>1</v>
      </c>
      <c r="N6731" s="17">
        <v>1</v>
      </c>
      <c r="O6731" s="18">
        <v>26296.62</v>
      </c>
      <c r="P6731" s="18">
        <v>21554.61</v>
      </c>
      <c r="Q6731" s="18">
        <v>23403.99</v>
      </c>
      <c r="R6731" s="18">
        <v>19183.599999999999</v>
      </c>
      <c r="S6731" s="18">
        <v>15777.97</v>
      </c>
      <c r="T6731" s="18">
        <v>12932.76</v>
      </c>
      <c r="U6731" s="16"/>
      <c r="V6731" s="16"/>
      <c r="W6731" s="16" t="s">
        <v>40</v>
      </c>
      <c r="X6731" s="19">
        <v>9.2929999999999993</v>
      </c>
      <c r="Y6731" s="20">
        <v>3.5472999999999998E-2</v>
      </c>
      <c r="Z6731" s="21">
        <v>4601004285781</v>
      </c>
    </row>
    <row r="6732" spans="1:26" ht="12" customHeight="1" outlineLevel="4" x14ac:dyDescent="0.2">
      <c r="A6732" s="14" t="s">
        <v>12958</v>
      </c>
      <c r="B6732" s="26" t="s">
        <v>12957</v>
      </c>
      <c r="C6732" s="52"/>
      <c r="D6732" s="55">
        <f t="shared" si="105"/>
        <v>0</v>
      </c>
      <c r="E6732" s="63" t="str">
        <f>HYPERLINK("https://www.sds-group.ru/product/kabel-vitaya-para-f-utp-cat-5e-pe-4pr-24awg-outdoor-solid-chernyy-305m-seriya-light-rf-rex-01-0154-R/", "Инфо")</f>
        <v>Инфо</v>
      </c>
      <c r="F6732" s="16" t="s">
        <v>1887</v>
      </c>
      <c r="G6732" s="15"/>
      <c r="H6732" s="15"/>
      <c r="I6732" s="15" t="s">
        <v>3681</v>
      </c>
      <c r="J6732" s="16" t="s">
        <v>100</v>
      </c>
      <c r="K6732" s="15"/>
      <c r="L6732" s="17">
        <v>1</v>
      </c>
      <c r="M6732" s="17">
        <v>1</v>
      </c>
      <c r="N6732" s="17">
        <v>1</v>
      </c>
      <c r="O6732" s="18">
        <v>25023.87</v>
      </c>
      <c r="P6732" s="18">
        <v>20511.37</v>
      </c>
      <c r="Q6732" s="18">
        <v>22271.24</v>
      </c>
      <c r="R6732" s="18">
        <v>18255.11</v>
      </c>
      <c r="S6732" s="18">
        <v>14513.84</v>
      </c>
      <c r="T6732" s="18">
        <v>11896.59</v>
      </c>
      <c r="U6732" s="16"/>
      <c r="V6732" s="16"/>
      <c r="W6732" s="16" t="s">
        <v>40</v>
      </c>
      <c r="X6732" s="19">
        <v>9.0950000000000006</v>
      </c>
      <c r="Y6732" s="20">
        <v>3.6242999999999997E-2</v>
      </c>
      <c r="Z6732" s="21">
        <v>4601004285743</v>
      </c>
    </row>
    <row r="6733" spans="1:26" ht="12" customHeight="1" outlineLevel="4" x14ac:dyDescent="0.2">
      <c r="A6733" s="14" t="s">
        <v>12959</v>
      </c>
      <c r="B6733" s="26" t="s">
        <v>12960</v>
      </c>
      <c r="C6733" s="52"/>
      <c r="D6733" s="55">
        <f t="shared" si="105"/>
        <v>0</v>
      </c>
      <c r="E6733" s="63" t="str">
        <f>HYPERLINK("https://www.sds-group.ru/product/kabel-vitaya-para-f-utp-cat-5e-pe-4h2h0-52-mm-24awg-outdoor-solid-chernyy-305m-rf-rexant-02-0027-R/", "Инфо")</f>
        <v>Инфо</v>
      </c>
      <c r="F6733" s="16" t="s">
        <v>1887</v>
      </c>
      <c r="G6733" s="15"/>
      <c r="H6733" s="15"/>
      <c r="I6733" s="15"/>
      <c r="J6733" s="17">
        <v>18</v>
      </c>
      <c r="K6733" s="15"/>
      <c r="L6733" s="17">
        <v>1</v>
      </c>
      <c r="M6733" s="17">
        <v>1</v>
      </c>
      <c r="N6733" s="17">
        <v>1</v>
      </c>
      <c r="O6733" s="18">
        <v>32487.73</v>
      </c>
      <c r="P6733" s="18">
        <v>26629.29</v>
      </c>
      <c r="Q6733" s="18">
        <v>28914.080000000002</v>
      </c>
      <c r="R6733" s="18">
        <v>23700.07</v>
      </c>
      <c r="S6733" s="18">
        <v>22091.66</v>
      </c>
      <c r="T6733" s="18">
        <v>18107.919999999998</v>
      </c>
      <c r="U6733" s="16"/>
      <c r="V6733" s="16"/>
      <c r="W6733" s="16" t="s">
        <v>40</v>
      </c>
      <c r="X6733" s="19">
        <v>10.3</v>
      </c>
      <c r="Y6733" s="20">
        <v>0.05</v>
      </c>
      <c r="Z6733" s="21">
        <v>4601004334663</v>
      </c>
    </row>
    <row r="6734" spans="1:26" ht="12.95" customHeight="1" outlineLevel="1" x14ac:dyDescent="0.2">
      <c r="A6734" s="78" t="s">
        <v>12961</v>
      </c>
      <c r="B6734" s="78"/>
      <c r="C6734" s="79"/>
      <c r="D6734" s="57"/>
      <c r="E6734" s="67"/>
      <c r="F6734" s="12"/>
      <c r="G6734" s="12"/>
      <c r="H6734" s="12"/>
      <c r="I6734" s="12"/>
      <c r="J6734" s="12"/>
      <c r="K6734" s="12"/>
      <c r="L6734" s="12"/>
      <c r="M6734" s="12"/>
      <c r="N6734" s="12"/>
      <c r="O6734" s="12"/>
      <c r="P6734" s="12"/>
      <c r="Q6734" s="12"/>
      <c r="R6734" s="12"/>
      <c r="S6734" s="12"/>
      <c r="T6734" s="12"/>
      <c r="U6734" s="12"/>
      <c r="V6734" s="12"/>
      <c r="W6734" s="12"/>
      <c r="X6734" s="12"/>
      <c r="Y6734" s="12"/>
      <c r="Z6734" s="12"/>
    </row>
    <row r="6735" spans="1:26" ht="12.95" customHeight="1" outlineLevel="2" x14ac:dyDescent="0.2">
      <c r="A6735" s="76" t="s">
        <v>12962</v>
      </c>
      <c r="B6735" s="76"/>
      <c r="C6735" s="77"/>
      <c r="D6735" s="58"/>
      <c r="E6735" s="68"/>
      <c r="F6735" s="13"/>
      <c r="G6735" s="13"/>
      <c r="H6735" s="13"/>
      <c r="I6735" s="13"/>
      <c r="J6735" s="13"/>
      <c r="K6735" s="13"/>
      <c r="L6735" s="13"/>
      <c r="M6735" s="13"/>
      <c r="N6735" s="13"/>
      <c r="O6735" s="13"/>
      <c r="P6735" s="13"/>
      <c r="Q6735" s="13"/>
      <c r="R6735" s="13"/>
      <c r="S6735" s="13"/>
      <c r="T6735" s="13"/>
      <c r="U6735" s="13"/>
      <c r="V6735" s="13"/>
      <c r="W6735" s="13"/>
      <c r="X6735" s="13"/>
      <c r="Y6735" s="13"/>
      <c r="Z6735" s="13"/>
    </row>
    <row r="6736" spans="1:26" ht="12" customHeight="1" outlineLevel="3" x14ac:dyDescent="0.2">
      <c r="A6736" s="14" t="s">
        <v>12963</v>
      </c>
      <c r="B6736" s="26" t="s">
        <v>12964</v>
      </c>
      <c r="C6736" s="52"/>
      <c r="D6736" s="55">
        <f t="shared" si="105"/>
        <v>0</v>
      </c>
      <c r="E6736" s="63" t="str">
        <f>HYPERLINK("https://www.sds-group.ru/product/patch-panel-19-1u-24-porta-stp-rj45-cat-5e-ekranirovannaya-dual-idc-rexant-02-0041/", "Инфо")</f>
        <v>Инфо</v>
      </c>
      <c r="F6736" s="16" t="s">
        <v>39</v>
      </c>
      <c r="G6736" s="15"/>
      <c r="H6736" s="15"/>
      <c r="I6736" s="15"/>
      <c r="J6736" s="17">
        <v>154</v>
      </c>
      <c r="K6736" s="15" t="s">
        <v>883</v>
      </c>
      <c r="L6736" s="17">
        <v>1</v>
      </c>
      <c r="M6736" s="17">
        <v>10</v>
      </c>
      <c r="N6736" s="17">
        <v>1</v>
      </c>
      <c r="O6736" s="18">
        <v>6110.7</v>
      </c>
      <c r="P6736" s="18">
        <v>5008.7700000000004</v>
      </c>
      <c r="Q6736" s="18">
        <v>4460.8100000000004</v>
      </c>
      <c r="R6736" s="18">
        <v>3656.4</v>
      </c>
      <c r="S6736" s="18">
        <v>4155.28</v>
      </c>
      <c r="T6736" s="18">
        <v>3405.97</v>
      </c>
      <c r="U6736" s="16"/>
      <c r="V6736" s="16"/>
      <c r="W6736" s="16" t="s">
        <v>40</v>
      </c>
      <c r="X6736" s="19">
        <v>1.6819999999999999</v>
      </c>
      <c r="Y6736" s="20">
        <v>4.2420000000000001E-3</v>
      </c>
      <c r="Z6736" s="21">
        <v>4601004229310</v>
      </c>
    </row>
    <row r="6737" spans="1:26" ht="12" customHeight="1" outlineLevel="3" x14ac:dyDescent="0.2">
      <c r="A6737" s="14" t="s">
        <v>12965</v>
      </c>
      <c r="B6737" s="26" t="s">
        <v>12966</v>
      </c>
      <c r="C6737" s="52"/>
      <c r="D6737" s="55">
        <f t="shared" si="105"/>
        <v>0</v>
      </c>
      <c r="E6737" s="63" t="str">
        <f>HYPERLINK("https://www.sds-group.ru/product/patch-panel-19-vysokoy-plotnosti-s-kabelnymi-organayzerami-1u-48-portov-utp-rj45-cat-5e-neek-02-0033/", "Инфо")</f>
        <v>Инфо</v>
      </c>
      <c r="F6737" s="16" t="s">
        <v>39</v>
      </c>
      <c r="G6737" s="15"/>
      <c r="H6737" s="15"/>
      <c r="I6737" s="15"/>
      <c r="J6737" s="16" t="s">
        <v>100</v>
      </c>
      <c r="K6737" s="15" t="s">
        <v>4020</v>
      </c>
      <c r="L6737" s="17">
        <v>1</v>
      </c>
      <c r="M6737" s="17">
        <v>10</v>
      </c>
      <c r="N6737" s="17">
        <v>1</v>
      </c>
      <c r="O6737" s="18">
        <v>9328.34</v>
      </c>
      <c r="P6737" s="18">
        <v>7646.18</v>
      </c>
      <c r="Q6737" s="18">
        <v>6809.69</v>
      </c>
      <c r="R6737" s="18">
        <v>5581.71</v>
      </c>
      <c r="S6737" s="18">
        <v>6343.27</v>
      </c>
      <c r="T6737" s="18">
        <v>5199.3999999999996</v>
      </c>
      <c r="U6737" s="16"/>
      <c r="V6737" s="16"/>
      <c r="W6737" s="16" t="s">
        <v>40</v>
      </c>
      <c r="X6737" s="19">
        <v>1.5129999999999999</v>
      </c>
      <c r="Y6737" s="20">
        <v>3.3180000000000002E-3</v>
      </c>
      <c r="Z6737" s="21">
        <v>4601004229297</v>
      </c>
    </row>
    <row r="6738" spans="1:26" ht="12" customHeight="1" outlineLevel="3" x14ac:dyDescent="0.2">
      <c r="A6738" s="14" t="s">
        <v>12967</v>
      </c>
      <c r="B6738" s="26" t="s">
        <v>12968</v>
      </c>
      <c r="C6738" s="52"/>
      <c r="D6738" s="55">
        <f t="shared" si="105"/>
        <v>0</v>
      </c>
      <c r="E6738" s="63" t="str">
        <f>HYPERLINK("https://www.sds-group.ru/product/patch-panel-19-s-kabelnym-organayzerom-1u-24-porta-utp-rj45-cat-5e-neekranirovannaya-dual-id-02-0031/", "Инфо")</f>
        <v>Инфо</v>
      </c>
      <c r="F6738" s="16" t="s">
        <v>39</v>
      </c>
      <c r="G6738" s="15"/>
      <c r="H6738" s="15"/>
      <c r="I6738" s="15"/>
      <c r="J6738" s="17">
        <v>318</v>
      </c>
      <c r="K6738" s="15" t="s">
        <v>883</v>
      </c>
      <c r="L6738" s="17">
        <v>1</v>
      </c>
      <c r="M6738" s="17">
        <v>20</v>
      </c>
      <c r="N6738" s="17">
        <v>1</v>
      </c>
      <c r="O6738" s="18">
        <v>3491.98</v>
      </c>
      <c r="P6738" s="18">
        <v>2862.28</v>
      </c>
      <c r="Q6738" s="18">
        <v>2688.82</v>
      </c>
      <c r="R6738" s="18">
        <v>2203.9499999999998</v>
      </c>
      <c r="S6738" s="18">
        <v>2374.5500000000002</v>
      </c>
      <c r="T6738" s="18">
        <v>1946.35</v>
      </c>
      <c r="U6738" s="16"/>
      <c r="V6738" s="16"/>
      <c r="W6738" s="16" t="s">
        <v>40</v>
      </c>
      <c r="X6738" s="19">
        <v>0.80600000000000005</v>
      </c>
      <c r="Y6738" s="20">
        <v>3.107E-3</v>
      </c>
      <c r="Z6738" s="21">
        <v>4601004229273</v>
      </c>
    </row>
    <row r="6739" spans="1:26" ht="12" customHeight="1" outlineLevel="3" x14ac:dyDescent="0.2">
      <c r="A6739" s="14" t="s">
        <v>12969</v>
      </c>
      <c r="B6739" s="26" t="s">
        <v>12970</v>
      </c>
      <c r="C6739" s="52"/>
      <c r="D6739" s="55">
        <f t="shared" si="105"/>
        <v>0</v>
      </c>
      <c r="E6739" s="63" t="str">
        <f>HYPERLINK("https://www.sds-group.ru/product/patch-panel-19-s-kabelnymi-organayzerami-2u-48-portov-utp-rj45-cat-5e-neekranirovannaya-dual-02-0032/", "Инфо")</f>
        <v>Инфо</v>
      </c>
      <c r="F6739" s="16" t="s">
        <v>39</v>
      </c>
      <c r="G6739" s="15"/>
      <c r="H6739" s="15"/>
      <c r="I6739" s="15"/>
      <c r="J6739" s="17">
        <v>10</v>
      </c>
      <c r="K6739" s="15" t="s">
        <v>1055</v>
      </c>
      <c r="L6739" s="17">
        <v>1</v>
      </c>
      <c r="M6739" s="17">
        <v>10</v>
      </c>
      <c r="N6739" s="17">
        <v>1</v>
      </c>
      <c r="O6739" s="18">
        <v>6659.21</v>
      </c>
      <c r="P6739" s="18">
        <v>5458.37</v>
      </c>
      <c r="Q6739" s="18">
        <v>4861.22</v>
      </c>
      <c r="R6739" s="18">
        <v>3984.61</v>
      </c>
      <c r="S6739" s="18">
        <v>4528.26</v>
      </c>
      <c r="T6739" s="18">
        <v>3711.69</v>
      </c>
      <c r="U6739" s="16"/>
      <c r="V6739" s="16"/>
      <c r="W6739" s="16" t="s">
        <v>40</v>
      </c>
      <c r="X6739" s="19">
        <v>1.401</v>
      </c>
      <c r="Y6739" s="20">
        <v>4.9519999999999998E-3</v>
      </c>
      <c r="Z6739" s="21">
        <v>4601004229280</v>
      </c>
    </row>
    <row r="6740" spans="1:26" ht="12.95" customHeight="1" outlineLevel="2" x14ac:dyDescent="0.2">
      <c r="A6740" s="76" t="s">
        <v>12971</v>
      </c>
      <c r="B6740" s="76"/>
      <c r="C6740" s="77"/>
      <c r="D6740" s="58"/>
      <c r="E6740" s="68"/>
      <c r="F6740" s="13"/>
      <c r="G6740" s="13"/>
      <c r="H6740" s="13"/>
      <c r="I6740" s="13"/>
      <c r="J6740" s="13"/>
      <c r="K6740" s="13"/>
      <c r="L6740" s="13"/>
      <c r="M6740" s="13"/>
      <c r="N6740" s="13"/>
      <c r="O6740" s="13"/>
      <c r="P6740" s="13"/>
      <c r="Q6740" s="13"/>
      <c r="R6740" s="13"/>
      <c r="S6740" s="13"/>
      <c r="T6740" s="13"/>
      <c r="U6740" s="13"/>
      <c r="V6740" s="13"/>
      <c r="W6740" s="13"/>
      <c r="X6740" s="13"/>
      <c r="Y6740" s="13"/>
      <c r="Z6740" s="13"/>
    </row>
    <row r="6741" spans="1:26" ht="12" customHeight="1" outlineLevel="3" x14ac:dyDescent="0.2">
      <c r="A6741" s="14" t="s">
        <v>12972</v>
      </c>
      <c r="B6741" s="26" t="s">
        <v>12973</v>
      </c>
      <c r="C6741" s="52"/>
      <c r="D6741" s="55">
        <f t="shared" si="105"/>
        <v>0</v>
      </c>
      <c r="E6741" s="63" t="str">
        <f>HYPERLINK("https://www.sds-group.ru/product/patch-panel-19-1u-24-porta-utp-rj45-cat-6-neekranirovannaya-dual-idc-rexant-02-0234/", "Инфо")</f>
        <v>Инфо</v>
      </c>
      <c r="F6741" s="16" t="s">
        <v>39</v>
      </c>
      <c r="G6741" s="15"/>
      <c r="H6741" s="15"/>
      <c r="I6741" s="15"/>
      <c r="J6741" s="17">
        <v>945</v>
      </c>
      <c r="K6741" s="15"/>
      <c r="L6741" s="17">
        <v>1</v>
      </c>
      <c r="M6741" s="17">
        <v>25</v>
      </c>
      <c r="N6741" s="17">
        <v>1</v>
      </c>
      <c r="O6741" s="18">
        <v>3607.4</v>
      </c>
      <c r="P6741" s="18">
        <v>2956.89</v>
      </c>
      <c r="Q6741" s="18">
        <v>2777.7</v>
      </c>
      <c r="R6741" s="18">
        <v>2276.8000000000002</v>
      </c>
      <c r="S6741" s="18">
        <v>2453.0300000000002</v>
      </c>
      <c r="T6741" s="18">
        <v>2010.68</v>
      </c>
      <c r="U6741" s="16"/>
      <c r="V6741" s="16"/>
      <c r="W6741" s="16" t="s">
        <v>40</v>
      </c>
      <c r="X6741" s="19">
        <v>0.623</v>
      </c>
      <c r="Y6741" s="20">
        <v>1.5399999999999999E-3</v>
      </c>
      <c r="Z6741" s="21">
        <v>4601004267220</v>
      </c>
    </row>
    <row r="6742" spans="1:26" ht="12" customHeight="1" outlineLevel="3" x14ac:dyDescent="0.2">
      <c r="A6742" s="14" t="s">
        <v>12974</v>
      </c>
      <c r="B6742" s="26" t="s">
        <v>12975</v>
      </c>
      <c r="C6742" s="52"/>
      <c r="D6742" s="55">
        <f t="shared" si="105"/>
        <v>0</v>
      </c>
      <c r="E6742" s="63" t="str">
        <f>HYPERLINK("https://www.sds-group.ru/product/patch-panel-19-s-kabelnym-organayzerom-1u-24-porta-utp-rj45-cat-6-neekranirovannaya-dual-idc-02-0231/", "Инфо")</f>
        <v>Инфо</v>
      </c>
      <c r="F6742" s="16" t="s">
        <v>39</v>
      </c>
      <c r="G6742" s="15"/>
      <c r="H6742" s="15"/>
      <c r="I6742" s="15"/>
      <c r="J6742" s="17">
        <v>89</v>
      </c>
      <c r="K6742" s="15"/>
      <c r="L6742" s="17">
        <v>1</v>
      </c>
      <c r="M6742" s="17">
        <v>10</v>
      </c>
      <c r="N6742" s="17">
        <v>1</v>
      </c>
      <c r="O6742" s="18">
        <v>4441.92</v>
      </c>
      <c r="P6742" s="18">
        <v>3640.92</v>
      </c>
      <c r="Q6742" s="18">
        <v>3242.6</v>
      </c>
      <c r="R6742" s="18">
        <v>2657.87</v>
      </c>
      <c r="S6742" s="18">
        <v>3020.51</v>
      </c>
      <c r="T6742" s="18">
        <v>2475.83</v>
      </c>
      <c r="U6742" s="16"/>
      <c r="V6742" s="16"/>
      <c r="W6742" s="16" t="s">
        <v>40</v>
      </c>
      <c r="X6742" s="19">
        <v>0.79</v>
      </c>
      <c r="Y6742" s="20">
        <v>3.1570000000000001E-3</v>
      </c>
      <c r="Z6742" s="21">
        <v>4601004229358</v>
      </c>
    </row>
    <row r="6743" spans="1:26" ht="12" customHeight="1" outlineLevel="3" x14ac:dyDescent="0.2">
      <c r="A6743" s="14" t="s">
        <v>12976</v>
      </c>
      <c r="B6743" s="26" t="s">
        <v>12977</v>
      </c>
      <c r="C6743" s="52"/>
      <c r="D6743" s="55">
        <f t="shared" si="105"/>
        <v>0</v>
      </c>
      <c r="E6743" s="63" t="str">
        <f>HYPERLINK("https://www.sds-group.ru/product/patch-panel-19-s-kabelnymi-organayzerami-2u-48-portov-utp-rj45-cat-6-neekranirovannaya-dual--02-0232/", "Инфо")</f>
        <v>Инфо</v>
      </c>
      <c r="F6743" s="16" t="s">
        <v>39</v>
      </c>
      <c r="G6743" s="15"/>
      <c r="H6743" s="15"/>
      <c r="I6743" s="15"/>
      <c r="J6743" s="17">
        <v>98</v>
      </c>
      <c r="K6743" s="15"/>
      <c r="L6743" s="17">
        <v>1</v>
      </c>
      <c r="M6743" s="17">
        <v>10</v>
      </c>
      <c r="N6743" s="17">
        <v>1</v>
      </c>
      <c r="O6743" s="18">
        <v>7131.97</v>
      </c>
      <c r="P6743" s="18">
        <v>5845.88</v>
      </c>
      <c r="Q6743" s="18">
        <v>5206.34</v>
      </c>
      <c r="R6743" s="18">
        <v>4267.49</v>
      </c>
      <c r="S6743" s="18">
        <v>4849.74</v>
      </c>
      <c r="T6743" s="18">
        <v>3975.2</v>
      </c>
      <c r="U6743" s="16"/>
      <c r="V6743" s="16"/>
      <c r="W6743" s="16" t="s">
        <v>40</v>
      </c>
      <c r="X6743" s="19">
        <v>1.4059999999999999</v>
      </c>
      <c r="Y6743" s="20">
        <v>5.0210000000000003E-3</v>
      </c>
      <c r="Z6743" s="21">
        <v>4601004229365</v>
      </c>
    </row>
    <row r="6744" spans="1:26" ht="12.95" customHeight="1" outlineLevel="2" x14ac:dyDescent="0.2">
      <c r="A6744" s="76" t="s">
        <v>12978</v>
      </c>
      <c r="B6744" s="76"/>
      <c r="C6744" s="77"/>
      <c r="D6744" s="58"/>
      <c r="E6744" s="68"/>
      <c r="F6744" s="13"/>
      <c r="G6744" s="13"/>
      <c r="H6744" s="13"/>
      <c r="I6744" s="13"/>
      <c r="J6744" s="13"/>
      <c r="K6744" s="13"/>
      <c r="L6744" s="13"/>
      <c r="M6744" s="13"/>
      <c r="N6744" s="13"/>
      <c r="O6744" s="13"/>
      <c r="P6744" s="13"/>
      <c r="Q6744" s="13"/>
      <c r="R6744" s="13"/>
      <c r="S6744" s="13"/>
      <c r="T6744" s="13"/>
      <c r="U6744" s="13"/>
      <c r="V6744" s="13"/>
      <c r="W6744" s="13"/>
      <c r="X6744" s="13"/>
      <c r="Y6744" s="13"/>
      <c r="Z6744" s="13"/>
    </row>
    <row r="6745" spans="1:26" ht="12" customHeight="1" outlineLevel="3" x14ac:dyDescent="0.2">
      <c r="A6745" s="14" t="s">
        <v>12979</v>
      </c>
      <c r="B6745" s="26" t="s">
        <v>12980</v>
      </c>
      <c r="C6745" s="52"/>
      <c r="D6745" s="55">
        <f t="shared" si="105"/>
        <v>0</v>
      </c>
      <c r="E6745" s="63" t="str">
        <f>HYPERLINK("https://www.sds-group.ru/product/patch-panel-19-nabornaya-1u-24-porta-utp-rj45-cat-5e-neekranirovannaya-dual-idc-rexant-02-0053/", "Инфо")</f>
        <v>Инфо</v>
      </c>
      <c r="F6745" s="16" t="s">
        <v>39</v>
      </c>
      <c r="G6745" s="15"/>
      <c r="H6745" s="15"/>
      <c r="I6745" s="15"/>
      <c r="J6745" s="17">
        <v>95</v>
      </c>
      <c r="K6745" s="15" t="s">
        <v>4020</v>
      </c>
      <c r="L6745" s="17">
        <v>1</v>
      </c>
      <c r="M6745" s="17">
        <v>20</v>
      </c>
      <c r="N6745" s="17">
        <v>1</v>
      </c>
      <c r="O6745" s="18">
        <v>1820.31</v>
      </c>
      <c r="P6745" s="18">
        <v>1492.06</v>
      </c>
      <c r="Q6745" s="18">
        <v>1438.04</v>
      </c>
      <c r="R6745" s="18">
        <v>1178.72</v>
      </c>
      <c r="S6745" s="18">
        <v>1237.81</v>
      </c>
      <c r="T6745" s="18">
        <v>1014.6</v>
      </c>
      <c r="U6745" s="16"/>
      <c r="V6745" s="16"/>
      <c r="W6745" s="16" t="s">
        <v>40</v>
      </c>
      <c r="X6745" s="19">
        <v>0.748</v>
      </c>
      <c r="Y6745" s="20">
        <v>3.5279999999999999E-3</v>
      </c>
      <c r="Z6745" s="21">
        <v>4601004229334</v>
      </c>
    </row>
    <row r="6746" spans="1:26" ht="12.95" customHeight="1" outlineLevel="2" x14ac:dyDescent="0.2">
      <c r="A6746" s="76" t="s">
        <v>12981</v>
      </c>
      <c r="B6746" s="76"/>
      <c r="C6746" s="77"/>
      <c r="D6746" s="58"/>
      <c r="E6746" s="68"/>
      <c r="F6746" s="13"/>
      <c r="G6746" s="13"/>
      <c r="H6746" s="13"/>
      <c r="I6746" s="13"/>
      <c r="J6746" s="13"/>
      <c r="K6746" s="13"/>
      <c r="L6746" s="13"/>
      <c r="M6746" s="13"/>
      <c r="N6746" s="13"/>
      <c r="O6746" s="13"/>
      <c r="P6746" s="13"/>
      <c r="Q6746" s="13"/>
      <c r="R6746" s="13"/>
      <c r="S6746" s="13"/>
      <c r="T6746" s="13"/>
      <c r="U6746" s="13"/>
      <c r="V6746" s="13"/>
      <c r="W6746" s="13"/>
      <c r="X6746" s="13"/>
      <c r="Y6746" s="13"/>
      <c r="Z6746" s="13"/>
    </row>
    <row r="6747" spans="1:26" ht="12" customHeight="1" outlineLevel="3" x14ac:dyDescent="0.2">
      <c r="A6747" s="14" t="s">
        <v>12982</v>
      </c>
      <c r="B6747" s="26" t="s">
        <v>12983</v>
      </c>
      <c r="C6747" s="52"/>
      <c r="D6747" s="55">
        <f t="shared" si="105"/>
        <v>0</v>
      </c>
      <c r="E6747" s="63" t="str">
        <f>HYPERLINK("https://www.sds-group.ru/product/patch-panel-10-1u-12-portov-utp-rj45-cat-5e-neekranirovannaya-dual-idc-rexant-04-0025/", "Инфо")</f>
        <v>Инфо</v>
      </c>
      <c r="F6747" s="16" t="s">
        <v>39</v>
      </c>
      <c r="G6747" s="15"/>
      <c r="H6747" s="15"/>
      <c r="I6747" s="15"/>
      <c r="J6747" s="16" t="s">
        <v>100</v>
      </c>
      <c r="K6747" s="15" t="s">
        <v>1055</v>
      </c>
      <c r="L6747" s="17">
        <v>1</v>
      </c>
      <c r="M6747" s="17">
        <v>20</v>
      </c>
      <c r="N6747" s="17">
        <v>1</v>
      </c>
      <c r="O6747" s="18">
        <v>1516.96</v>
      </c>
      <c r="P6747" s="18">
        <v>1243.4100000000001</v>
      </c>
      <c r="Q6747" s="18">
        <v>1198.4000000000001</v>
      </c>
      <c r="R6747" s="18">
        <v>982.3</v>
      </c>
      <c r="S6747" s="18">
        <v>910.18</v>
      </c>
      <c r="T6747" s="18">
        <v>746.05</v>
      </c>
      <c r="U6747" s="16"/>
      <c r="V6747" s="16"/>
      <c r="W6747" s="16" t="s">
        <v>40</v>
      </c>
      <c r="X6747" s="19">
        <v>0.36299999999999999</v>
      </c>
      <c r="Y6747" s="20">
        <v>1.604E-3</v>
      </c>
      <c r="Z6747" s="21">
        <v>4660008017545</v>
      </c>
    </row>
    <row r="6748" spans="1:26" ht="12" customHeight="1" outlineLevel="3" x14ac:dyDescent="0.2">
      <c r="A6748" s="14" t="s">
        <v>12984</v>
      </c>
      <c r="B6748" s="26" t="s">
        <v>12985</v>
      </c>
      <c r="C6748" s="52"/>
      <c r="D6748" s="55">
        <f t="shared" si="105"/>
        <v>0</v>
      </c>
      <c r="E6748" s="63" t="str">
        <f>HYPERLINK("https://www.sds-group.ru/product/patch-panel-19-1u-24-porta-utp-rj45-cat-5e-neekranirovannaya-dual-idc-rexant-04-0021/", "Инфо")</f>
        <v>Инфо</v>
      </c>
      <c r="F6748" s="16" t="s">
        <v>39</v>
      </c>
      <c r="G6748" s="15"/>
      <c r="H6748" s="15"/>
      <c r="I6748" s="15"/>
      <c r="J6748" s="17">
        <v>281</v>
      </c>
      <c r="K6748" s="15" t="s">
        <v>1055</v>
      </c>
      <c r="L6748" s="17">
        <v>1</v>
      </c>
      <c r="M6748" s="17">
        <v>20</v>
      </c>
      <c r="N6748" s="17">
        <v>1</v>
      </c>
      <c r="O6748" s="18">
        <v>2617.12</v>
      </c>
      <c r="P6748" s="18">
        <v>2145.1799999999998</v>
      </c>
      <c r="Q6748" s="18">
        <v>2015.18</v>
      </c>
      <c r="R6748" s="18">
        <v>1651.79</v>
      </c>
      <c r="S6748" s="18">
        <v>1570.27</v>
      </c>
      <c r="T6748" s="18">
        <v>1287.1099999999999</v>
      </c>
      <c r="U6748" s="16"/>
      <c r="V6748" s="16"/>
      <c r="W6748" s="16" t="s">
        <v>40</v>
      </c>
      <c r="X6748" s="19">
        <v>0.63500000000000001</v>
      </c>
      <c r="Y6748" s="20">
        <v>1.5200000000000001E-3</v>
      </c>
      <c r="Z6748" s="21">
        <v>4610003608569</v>
      </c>
    </row>
    <row r="6749" spans="1:26" ht="12" customHeight="1" outlineLevel="3" x14ac:dyDescent="0.2">
      <c r="A6749" s="14" t="s">
        <v>12986</v>
      </c>
      <c r="B6749" s="26" t="s">
        <v>12987</v>
      </c>
      <c r="C6749" s="52"/>
      <c r="D6749" s="55">
        <f t="shared" si="105"/>
        <v>0</v>
      </c>
      <c r="E6749" s="63" t="str">
        <f>HYPERLINK("https://www.sds-group.ru/product/patch-panel-19-2u-48-portov-utp-rj45-cat-5e-neekranirovannaya-dual-idc-rexant-04-0022/", "Инфо")</f>
        <v>Инфо</v>
      </c>
      <c r="F6749" s="16" t="s">
        <v>39</v>
      </c>
      <c r="G6749" s="15"/>
      <c r="H6749" s="15"/>
      <c r="I6749" s="15"/>
      <c r="J6749" s="17">
        <v>345</v>
      </c>
      <c r="K6749" s="15"/>
      <c r="L6749" s="17">
        <v>1</v>
      </c>
      <c r="M6749" s="17">
        <v>10</v>
      </c>
      <c r="N6749" s="17">
        <v>1</v>
      </c>
      <c r="O6749" s="18">
        <v>5600.37</v>
      </c>
      <c r="P6749" s="18">
        <v>4590.47</v>
      </c>
      <c r="Q6749" s="18">
        <v>4088.27</v>
      </c>
      <c r="R6749" s="18">
        <v>3351.04</v>
      </c>
      <c r="S6749" s="18">
        <v>3360.22</v>
      </c>
      <c r="T6749" s="18">
        <v>2754.28</v>
      </c>
      <c r="U6749" s="16"/>
      <c r="V6749" s="16"/>
      <c r="W6749" s="16" t="s">
        <v>40</v>
      </c>
      <c r="X6749" s="19">
        <v>1.165</v>
      </c>
      <c r="Y6749" s="20">
        <v>3.2360000000000002E-3</v>
      </c>
      <c r="Z6749" s="21">
        <v>4660008013998</v>
      </c>
    </row>
    <row r="6750" spans="1:26" ht="12" customHeight="1" outlineLevel="3" x14ac:dyDescent="0.2">
      <c r="A6750" s="14" t="s">
        <v>12988</v>
      </c>
      <c r="B6750" s="26" t="s">
        <v>12989</v>
      </c>
      <c r="C6750" s="52"/>
      <c r="D6750" s="55">
        <f t="shared" si="105"/>
        <v>0</v>
      </c>
      <c r="E6750" s="63" t="str">
        <f>HYPERLINK("https://www.sds-group.ru/product/patch-panel-19-nastennaya-12-portov-utp-rj45-cat-5e-neekranirovannaya-dual-idc-rexant-04-0020/", "Инфо")</f>
        <v>Инфо</v>
      </c>
      <c r="F6750" s="16" t="s">
        <v>39</v>
      </c>
      <c r="G6750" s="15"/>
      <c r="H6750" s="15"/>
      <c r="I6750" s="15"/>
      <c r="J6750" s="16" t="s">
        <v>100</v>
      </c>
      <c r="K6750" s="15" t="s">
        <v>1055</v>
      </c>
      <c r="L6750" s="17">
        <v>1</v>
      </c>
      <c r="M6750" s="17">
        <v>20</v>
      </c>
      <c r="N6750" s="17">
        <v>1</v>
      </c>
      <c r="O6750" s="18">
        <v>1806.58</v>
      </c>
      <c r="P6750" s="18">
        <v>1480.8</v>
      </c>
      <c r="Q6750" s="18">
        <v>1427.2</v>
      </c>
      <c r="R6750" s="18">
        <v>1169.8399999999999</v>
      </c>
      <c r="S6750" s="18">
        <v>1083.95</v>
      </c>
      <c r="T6750" s="18">
        <v>888.48</v>
      </c>
      <c r="U6750" s="16"/>
      <c r="V6750" s="16"/>
      <c r="W6750" s="16" t="s">
        <v>40</v>
      </c>
      <c r="X6750" s="19">
        <v>0.40200000000000002</v>
      </c>
      <c r="Y6750" s="20">
        <v>1.5889999999999999E-3</v>
      </c>
      <c r="Z6750" s="21">
        <v>4660008013981</v>
      </c>
    </row>
    <row r="6751" spans="1:26" ht="12.95" customHeight="1" outlineLevel="1" x14ac:dyDescent="0.2">
      <c r="A6751" s="78" t="s">
        <v>12990</v>
      </c>
      <c r="B6751" s="78"/>
      <c r="C6751" s="79"/>
      <c r="D6751" s="57"/>
      <c r="E6751" s="67"/>
      <c r="F6751" s="12"/>
      <c r="G6751" s="12"/>
      <c r="H6751" s="12"/>
      <c r="I6751" s="12"/>
      <c r="J6751" s="12"/>
      <c r="K6751" s="12"/>
      <c r="L6751" s="12"/>
      <c r="M6751" s="12"/>
      <c r="N6751" s="12"/>
      <c r="O6751" s="12"/>
      <c r="P6751" s="12"/>
      <c r="Q6751" s="12"/>
      <c r="R6751" s="12"/>
      <c r="S6751" s="12"/>
      <c r="T6751" s="12"/>
      <c r="U6751" s="12"/>
      <c r="V6751" s="12"/>
      <c r="W6751" s="12"/>
      <c r="X6751" s="12"/>
      <c r="Y6751" s="12"/>
      <c r="Z6751" s="12"/>
    </row>
    <row r="6752" spans="1:26" ht="12.95" customHeight="1" outlineLevel="2" x14ac:dyDescent="0.2">
      <c r="A6752" s="76" t="s">
        <v>12991</v>
      </c>
      <c r="B6752" s="76"/>
      <c r="C6752" s="77"/>
      <c r="D6752" s="58"/>
      <c r="E6752" s="68"/>
      <c r="F6752" s="13"/>
      <c r="G6752" s="13"/>
      <c r="H6752" s="13"/>
      <c r="I6752" s="13"/>
      <c r="J6752" s="13"/>
      <c r="K6752" s="13"/>
      <c r="L6752" s="13"/>
      <c r="M6752" s="13"/>
      <c r="N6752" s="13"/>
      <c r="O6752" s="13"/>
      <c r="P6752" s="13"/>
      <c r="Q6752" s="13"/>
      <c r="R6752" s="13"/>
      <c r="S6752" s="13"/>
      <c r="T6752" s="13"/>
      <c r="U6752" s="13"/>
      <c r="V6752" s="13"/>
      <c r="W6752" s="13"/>
      <c r="X6752" s="13"/>
      <c r="Y6752" s="13"/>
      <c r="Z6752" s="13"/>
    </row>
    <row r="6753" spans="1:26" ht="12" customHeight="1" outlineLevel="3" x14ac:dyDescent="0.2">
      <c r="A6753" s="14" t="s">
        <v>12992</v>
      </c>
      <c r="B6753" s="26" t="s">
        <v>12993</v>
      </c>
      <c r="C6753" s="52"/>
      <c r="D6753" s="55">
        <f t="shared" si="105"/>
        <v>0</v>
      </c>
      <c r="E6753" s="63" t="str">
        <f>HYPERLINK("https://www.sds-group.ru/product/adapter-prohodnoy-formata-keystone-jack-rj-45-8p8c-utp-cat-5e-rexant-02-0101/", "Инфо")</f>
        <v>Инфо</v>
      </c>
      <c r="F6753" s="16" t="s">
        <v>39</v>
      </c>
      <c r="G6753" s="15"/>
      <c r="H6753" s="15"/>
      <c r="I6753" s="15"/>
      <c r="J6753" s="16" t="s">
        <v>100</v>
      </c>
      <c r="K6753" s="15" t="s">
        <v>1055</v>
      </c>
      <c r="L6753" s="17">
        <v>10</v>
      </c>
      <c r="M6753" s="17">
        <v>500</v>
      </c>
      <c r="N6753" s="17">
        <v>10</v>
      </c>
      <c r="O6753" s="18">
        <v>135.84</v>
      </c>
      <c r="P6753" s="18">
        <v>111.34</v>
      </c>
      <c r="Q6753" s="18">
        <v>115.46</v>
      </c>
      <c r="R6753" s="18">
        <v>94.64</v>
      </c>
      <c r="S6753" s="18">
        <v>92.37</v>
      </c>
      <c r="T6753" s="18">
        <v>75.709999999999994</v>
      </c>
      <c r="U6753" s="16"/>
      <c r="V6753" s="16"/>
      <c r="W6753" s="16" t="s">
        <v>40</v>
      </c>
      <c r="X6753" s="19">
        <v>8.0000000000000002E-3</v>
      </c>
      <c r="Y6753" s="20">
        <v>8.3999999999999995E-5</v>
      </c>
      <c r="Z6753" s="21">
        <v>4601004275928</v>
      </c>
    </row>
    <row r="6754" spans="1:26" ht="12" customHeight="1" outlineLevel="3" x14ac:dyDescent="0.2">
      <c r="A6754" s="14" t="s">
        <v>12994</v>
      </c>
      <c r="B6754" s="26" t="s">
        <v>12995</v>
      </c>
      <c r="C6754" s="52"/>
      <c r="D6754" s="55">
        <f t="shared" si="105"/>
        <v>0</v>
      </c>
      <c r="E6754" s="63" t="str">
        <f>HYPERLINK("https://www.sds-group.ru/product/adapter-prohodnoy-formata-keystone-jack-rj-45-8p8c-ftp-cat-5e-rexant-02-0102/", "Инфо")</f>
        <v>Инфо</v>
      </c>
      <c r="F6754" s="16" t="s">
        <v>39</v>
      </c>
      <c r="G6754" s="15"/>
      <c r="H6754" s="15"/>
      <c r="I6754" s="15"/>
      <c r="J6754" s="17">
        <v>468</v>
      </c>
      <c r="K6754" s="15" t="s">
        <v>6798</v>
      </c>
      <c r="L6754" s="17">
        <v>10</v>
      </c>
      <c r="M6754" s="17">
        <v>500</v>
      </c>
      <c r="N6754" s="17">
        <v>10</v>
      </c>
      <c r="O6754" s="18">
        <v>318.56</v>
      </c>
      <c r="P6754" s="18">
        <v>261.11</v>
      </c>
      <c r="Q6754" s="18">
        <v>270.77999999999997</v>
      </c>
      <c r="R6754" s="18">
        <v>221.95</v>
      </c>
      <c r="S6754" s="18">
        <v>216.62</v>
      </c>
      <c r="T6754" s="18">
        <v>177.56</v>
      </c>
      <c r="U6754" s="16"/>
      <c r="V6754" s="16"/>
      <c r="W6754" s="16" t="s">
        <v>40</v>
      </c>
      <c r="X6754" s="19">
        <v>1.0999999999999999E-2</v>
      </c>
      <c r="Y6754" s="20">
        <v>7.7999999999999999E-5</v>
      </c>
      <c r="Z6754" s="21">
        <v>4601004275911</v>
      </c>
    </row>
    <row r="6755" spans="1:26" ht="12" customHeight="1" outlineLevel="3" x14ac:dyDescent="0.2">
      <c r="A6755" s="14" t="s">
        <v>12996</v>
      </c>
      <c r="B6755" s="26" t="s">
        <v>12997</v>
      </c>
      <c r="C6755" s="52"/>
      <c r="D6755" s="55">
        <f t="shared" si="105"/>
        <v>0</v>
      </c>
      <c r="E6755" s="63" t="str">
        <f>HYPERLINK("https://www.sds-group.ru/product/modul-keystone-jack-rj-45-8p8c-utp-neekranirovannyy-cat-5e-tip-180-gradusov-belyy-rexant-02-0060/", "Инфо")</f>
        <v>Инфо</v>
      </c>
      <c r="F6755" s="16" t="s">
        <v>39</v>
      </c>
      <c r="G6755" s="15"/>
      <c r="H6755" s="15"/>
      <c r="I6755" s="15"/>
      <c r="J6755" s="22">
        <v>3254</v>
      </c>
      <c r="K6755" s="15" t="s">
        <v>1055</v>
      </c>
      <c r="L6755" s="17">
        <v>10</v>
      </c>
      <c r="M6755" s="22">
        <v>1000</v>
      </c>
      <c r="N6755" s="17">
        <v>10</v>
      </c>
      <c r="O6755" s="18">
        <v>155.77000000000001</v>
      </c>
      <c r="P6755" s="18">
        <v>127.68</v>
      </c>
      <c r="Q6755" s="18">
        <v>132.4</v>
      </c>
      <c r="R6755" s="18">
        <v>108.52</v>
      </c>
      <c r="S6755" s="18">
        <v>105.92</v>
      </c>
      <c r="T6755" s="18">
        <v>86.82</v>
      </c>
      <c r="U6755" s="16"/>
      <c r="V6755" s="16"/>
      <c r="W6755" s="16" t="s">
        <v>40</v>
      </c>
      <c r="X6755" s="19">
        <v>8.9999999999999993E-3</v>
      </c>
      <c r="Y6755" s="20">
        <v>6.3E-5</v>
      </c>
      <c r="Z6755" s="21">
        <v>4601004229723</v>
      </c>
    </row>
    <row r="6756" spans="1:26" ht="12" customHeight="1" outlineLevel="3" x14ac:dyDescent="0.2">
      <c r="A6756" s="14" t="s">
        <v>12998</v>
      </c>
      <c r="B6756" s="26" t="s">
        <v>12999</v>
      </c>
      <c r="C6756" s="52"/>
      <c r="D6756" s="55">
        <f t="shared" si="105"/>
        <v>0</v>
      </c>
      <c r="E6756" s="63" t="str">
        <f>HYPERLINK("https://www.sds-group.ru/product/modul-keystone-jack-rj-45-8p8c-utp-neekranirovannyy-cat-5e-tip-90-gradusov-belyy-rexant-02-0064/", "Инфо")</f>
        <v>Инфо</v>
      </c>
      <c r="F6756" s="16" t="s">
        <v>39</v>
      </c>
      <c r="G6756" s="15"/>
      <c r="H6756" s="15"/>
      <c r="I6756" s="15"/>
      <c r="J6756" s="22">
        <v>1179</v>
      </c>
      <c r="K6756" s="15" t="s">
        <v>1055</v>
      </c>
      <c r="L6756" s="17">
        <v>10</v>
      </c>
      <c r="M6756" s="22">
        <v>1000</v>
      </c>
      <c r="N6756" s="17">
        <v>10</v>
      </c>
      <c r="O6756" s="18">
        <v>149.09</v>
      </c>
      <c r="P6756" s="18">
        <v>122.2</v>
      </c>
      <c r="Q6756" s="18">
        <v>126.73</v>
      </c>
      <c r="R6756" s="18">
        <v>103.88</v>
      </c>
      <c r="S6756" s="18">
        <v>101.38</v>
      </c>
      <c r="T6756" s="18">
        <v>83.1</v>
      </c>
      <c r="U6756" s="16"/>
      <c r="V6756" s="16"/>
      <c r="W6756" s="16" t="s">
        <v>40</v>
      </c>
      <c r="X6756" s="19">
        <v>1.0999999999999999E-2</v>
      </c>
      <c r="Y6756" s="20">
        <v>6.3999999999999997E-5</v>
      </c>
      <c r="Z6756" s="21">
        <v>4601004229495</v>
      </c>
    </row>
    <row r="6757" spans="1:26" ht="12" customHeight="1" outlineLevel="3" x14ac:dyDescent="0.2">
      <c r="A6757" s="14" t="s">
        <v>13000</v>
      </c>
      <c r="B6757" s="26" t="s">
        <v>13001</v>
      </c>
      <c r="C6757" s="52"/>
      <c r="D6757" s="55">
        <f t="shared" si="105"/>
        <v>0</v>
      </c>
      <c r="E6757" s="63" t="str">
        <f>HYPERLINK("https://www.sds-group.ru/product/modul-keystone-jack-rj-45-8p8c-ftp-ekranirovannyy-cat-5e-tip-180-gradusov-samozazhimnoy-rexa-02-0071/", "Инфо")</f>
        <v>Инфо</v>
      </c>
      <c r="F6757" s="16" t="s">
        <v>39</v>
      </c>
      <c r="G6757" s="15"/>
      <c r="H6757" s="15"/>
      <c r="I6757" s="15"/>
      <c r="J6757" s="16" t="s">
        <v>100</v>
      </c>
      <c r="K6757" s="15" t="s">
        <v>1055</v>
      </c>
      <c r="L6757" s="17">
        <v>5</v>
      </c>
      <c r="M6757" s="22">
        <v>1000</v>
      </c>
      <c r="N6757" s="17">
        <v>5</v>
      </c>
      <c r="O6757" s="18">
        <v>465</v>
      </c>
      <c r="P6757" s="18">
        <v>381.15</v>
      </c>
      <c r="Q6757" s="18">
        <v>395.25</v>
      </c>
      <c r="R6757" s="18">
        <v>323.98</v>
      </c>
      <c r="S6757" s="18">
        <v>316.2</v>
      </c>
      <c r="T6757" s="18">
        <v>259.18</v>
      </c>
      <c r="U6757" s="16"/>
      <c r="V6757" s="16"/>
      <c r="W6757" s="16" t="s">
        <v>40</v>
      </c>
      <c r="X6757" s="19">
        <v>0.03</v>
      </c>
      <c r="Y6757" s="20">
        <v>8.2999999999999998E-5</v>
      </c>
      <c r="Z6757" s="21">
        <v>4601004229501</v>
      </c>
    </row>
    <row r="6758" spans="1:26" ht="12" customHeight="1" outlineLevel="3" x14ac:dyDescent="0.2">
      <c r="A6758" s="14" t="s">
        <v>13002</v>
      </c>
      <c r="B6758" s="26" t="s">
        <v>13003</v>
      </c>
      <c r="C6758" s="52"/>
      <c r="D6758" s="55">
        <f t="shared" si="105"/>
        <v>0</v>
      </c>
      <c r="E6758" s="63" t="str">
        <f>HYPERLINK("https://www.sds-group.ru/product/modul-keystone-jack-rj-45-8p8c-ftp-ekranirovannyy-cat-5e-tip-90-gradusov-rexant-02-0072/", "Инфо")</f>
        <v>Инфо</v>
      </c>
      <c r="F6758" s="16" t="s">
        <v>39</v>
      </c>
      <c r="G6758" s="15"/>
      <c r="H6758" s="15"/>
      <c r="I6758" s="15"/>
      <c r="J6758" s="16" t="s">
        <v>100</v>
      </c>
      <c r="K6758" s="15" t="s">
        <v>4020</v>
      </c>
      <c r="L6758" s="17">
        <v>10</v>
      </c>
      <c r="M6758" s="17">
        <v>1</v>
      </c>
      <c r="N6758" s="17">
        <v>10</v>
      </c>
      <c r="O6758" s="18">
        <v>276.3</v>
      </c>
      <c r="P6758" s="18">
        <v>226.48</v>
      </c>
      <c r="Q6758" s="18">
        <v>234.86</v>
      </c>
      <c r="R6758" s="18">
        <v>192.51</v>
      </c>
      <c r="S6758" s="18">
        <v>187.88</v>
      </c>
      <c r="T6758" s="18">
        <v>154</v>
      </c>
      <c r="U6758" s="16"/>
      <c r="V6758" s="16"/>
      <c r="W6758" s="16" t="s">
        <v>40</v>
      </c>
      <c r="X6758" s="19">
        <v>2.1999999999999999E-2</v>
      </c>
      <c r="Y6758" s="20">
        <v>1.3200000000000001E-4</v>
      </c>
      <c r="Z6758" s="21">
        <v>4601004276215</v>
      </c>
    </row>
    <row r="6759" spans="1:26" ht="12.95" customHeight="1" outlineLevel="2" x14ac:dyDescent="0.2">
      <c r="A6759" s="76" t="s">
        <v>13004</v>
      </c>
      <c r="B6759" s="76"/>
      <c r="C6759" s="77"/>
      <c r="D6759" s="58"/>
      <c r="E6759" s="68"/>
      <c r="F6759" s="13"/>
      <c r="G6759" s="13"/>
      <c r="H6759" s="13"/>
      <c r="I6759" s="13"/>
      <c r="J6759" s="13"/>
      <c r="K6759" s="13"/>
      <c r="L6759" s="13"/>
      <c r="M6759" s="13"/>
      <c r="N6759" s="13"/>
      <c r="O6759" s="13"/>
      <c r="P6759" s="13"/>
      <c r="Q6759" s="13"/>
      <c r="R6759" s="13"/>
      <c r="S6759" s="13"/>
      <c r="T6759" s="13"/>
      <c r="U6759" s="13"/>
      <c r="V6759" s="13"/>
      <c r="W6759" s="13"/>
      <c r="X6759" s="13"/>
      <c r="Y6759" s="13"/>
      <c r="Z6759" s="13"/>
    </row>
    <row r="6760" spans="1:26" ht="12" customHeight="1" outlineLevel="3" x14ac:dyDescent="0.2">
      <c r="A6760" s="14" t="s">
        <v>13005</v>
      </c>
      <c r="B6760" s="26" t="s">
        <v>13006</v>
      </c>
      <c r="C6760" s="52"/>
      <c r="D6760" s="55">
        <f t="shared" si="105"/>
        <v>0</v>
      </c>
      <c r="E6760" s="63" t="str">
        <f>HYPERLINK("https://www.sds-group.ru/product/adapter-prohodnoy-formata-keystone-jack-rj-45-8p8c-utp-cat-6-rexant-02-0108/", "Инфо")</f>
        <v>Инфо</v>
      </c>
      <c r="F6760" s="16" t="s">
        <v>39</v>
      </c>
      <c r="G6760" s="15"/>
      <c r="H6760" s="15"/>
      <c r="I6760" s="15"/>
      <c r="J6760" s="16" t="s">
        <v>100</v>
      </c>
      <c r="K6760" s="15" t="s">
        <v>6798</v>
      </c>
      <c r="L6760" s="17">
        <v>10</v>
      </c>
      <c r="M6760" s="17">
        <v>500</v>
      </c>
      <c r="N6760" s="17">
        <v>10</v>
      </c>
      <c r="O6760" s="18">
        <v>165.14</v>
      </c>
      <c r="P6760" s="18">
        <v>135.36000000000001</v>
      </c>
      <c r="Q6760" s="18">
        <v>140.37</v>
      </c>
      <c r="R6760" s="18">
        <v>115.06</v>
      </c>
      <c r="S6760" s="18">
        <v>112.3</v>
      </c>
      <c r="T6760" s="18">
        <v>92.05</v>
      </c>
      <c r="U6760" s="16"/>
      <c r="V6760" s="16"/>
      <c r="W6760" s="16" t="s">
        <v>40</v>
      </c>
      <c r="X6760" s="19">
        <v>8.0000000000000002E-3</v>
      </c>
      <c r="Y6760" s="20">
        <v>8.0000000000000007E-5</v>
      </c>
      <c r="Z6760" s="21">
        <v>4601004275973</v>
      </c>
    </row>
    <row r="6761" spans="1:26" ht="12" customHeight="1" outlineLevel="3" x14ac:dyDescent="0.2">
      <c r="A6761" s="14" t="s">
        <v>13007</v>
      </c>
      <c r="B6761" s="26" t="s">
        <v>13008</v>
      </c>
      <c r="C6761" s="52"/>
      <c r="D6761" s="55">
        <f t="shared" si="105"/>
        <v>0</v>
      </c>
      <c r="E6761" s="63" t="str">
        <f>HYPERLINK("https://www.sds-group.ru/product/adapter-prohodnoy-formata-keystone-jack-rj-45-8p8c-ftp-cat-6-rexant-02-0109/", "Инфо")</f>
        <v>Инфо</v>
      </c>
      <c r="F6761" s="16" t="s">
        <v>39</v>
      </c>
      <c r="G6761" s="15"/>
      <c r="H6761" s="15"/>
      <c r="I6761" s="15"/>
      <c r="J6761" s="16" t="s">
        <v>100</v>
      </c>
      <c r="K6761" s="15" t="s">
        <v>6798</v>
      </c>
      <c r="L6761" s="17">
        <v>5</v>
      </c>
      <c r="M6761" s="17">
        <v>500</v>
      </c>
      <c r="N6761" s="17">
        <v>5</v>
      </c>
      <c r="O6761" s="18">
        <v>266.83</v>
      </c>
      <c r="P6761" s="18">
        <v>218.71</v>
      </c>
      <c r="Q6761" s="18">
        <v>226.81</v>
      </c>
      <c r="R6761" s="18">
        <v>185.91</v>
      </c>
      <c r="S6761" s="18">
        <v>181.44</v>
      </c>
      <c r="T6761" s="18">
        <v>148.72</v>
      </c>
      <c r="U6761" s="16"/>
      <c r="V6761" s="16"/>
      <c r="W6761" s="16" t="s">
        <v>40</v>
      </c>
      <c r="X6761" s="19">
        <v>1.0999999999999999E-2</v>
      </c>
      <c r="Y6761" s="20">
        <v>8.3999999999999995E-5</v>
      </c>
      <c r="Z6761" s="21">
        <v>4601004275966</v>
      </c>
    </row>
    <row r="6762" spans="1:26" ht="12" customHeight="1" outlineLevel="3" x14ac:dyDescent="0.2">
      <c r="A6762" s="14" t="s">
        <v>13009</v>
      </c>
      <c r="B6762" s="26" t="s">
        <v>13010</v>
      </c>
      <c r="C6762" s="52"/>
      <c r="D6762" s="55">
        <f t="shared" si="105"/>
        <v>0</v>
      </c>
      <c r="E6762" s="63" t="str">
        <f>HYPERLINK("https://www.sds-group.ru/product/modul-keystone-jack-rj-45-8p8c-utp-neekranirovannyy-cat-6-tip-180-gradusov-belyy-rexant-02-0250/", "Инфо")</f>
        <v>Инфо</v>
      </c>
      <c r="F6762" s="16" t="s">
        <v>39</v>
      </c>
      <c r="G6762" s="15"/>
      <c r="H6762" s="15"/>
      <c r="I6762" s="15"/>
      <c r="J6762" s="16" t="s">
        <v>100</v>
      </c>
      <c r="K6762" s="15" t="s">
        <v>4020</v>
      </c>
      <c r="L6762" s="17">
        <v>10</v>
      </c>
      <c r="M6762" s="22">
        <v>1000</v>
      </c>
      <c r="N6762" s="17">
        <v>10</v>
      </c>
      <c r="O6762" s="18">
        <v>174.98</v>
      </c>
      <c r="P6762" s="18">
        <v>143.43</v>
      </c>
      <c r="Q6762" s="18">
        <v>148.72999999999999</v>
      </c>
      <c r="R6762" s="18">
        <v>121.91</v>
      </c>
      <c r="S6762" s="18">
        <v>118.99</v>
      </c>
      <c r="T6762" s="18">
        <v>97.53</v>
      </c>
      <c r="U6762" s="16"/>
      <c r="V6762" s="16"/>
      <c r="W6762" s="16" t="s">
        <v>40</v>
      </c>
      <c r="X6762" s="19">
        <v>8.9999999999999993E-3</v>
      </c>
      <c r="Y6762" s="20">
        <v>5.5000000000000002E-5</v>
      </c>
      <c r="Z6762" s="21">
        <v>4601004229556</v>
      </c>
    </row>
    <row r="6763" spans="1:26" ht="12" customHeight="1" outlineLevel="3" x14ac:dyDescent="0.2">
      <c r="A6763" s="14" t="s">
        <v>13011</v>
      </c>
      <c r="B6763" s="26" t="s">
        <v>13012</v>
      </c>
      <c r="C6763" s="52"/>
      <c r="D6763" s="55">
        <f t="shared" si="105"/>
        <v>0</v>
      </c>
      <c r="E6763" s="63" t="str">
        <f>HYPERLINK("https://www.sds-group.ru/product/modul-keystone-jack-rj-45-8p8c-utp-neekranirovannyy-cat-6-tip-180-gradusov-s-pylezaschitno-02-0254-1/", "Инфо")</f>
        <v>Инфо</v>
      </c>
      <c r="F6763" s="16" t="s">
        <v>39</v>
      </c>
      <c r="G6763" s="15"/>
      <c r="H6763" s="15"/>
      <c r="I6763" s="15"/>
      <c r="J6763" s="17">
        <v>110</v>
      </c>
      <c r="K6763" s="15" t="s">
        <v>6434</v>
      </c>
      <c r="L6763" s="17">
        <v>1</v>
      </c>
      <c r="M6763" s="17">
        <v>1</v>
      </c>
      <c r="N6763" s="17">
        <v>1</v>
      </c>
      <c r="O6763" s="18">
        <v>205.33</v>
      </c>
      <c r="P6763" s="18">
        <v>168.3</v>
      </c>
      <c r="Q6763" s="18">
        <v>174.53</v>
      </c>
      <c r="R6763" s="18">
        <v>143.06</v>
      </c>
      <c r="S6763" s="18">
        <v>139.62</v>
      </c>
      <c r="T6763" s="18">
        <v>114.44</v>
      </c>
      <c r="U6763" s="16"/>
      <c r="V6763" s="16"/>
      <c r="W6763" s="16" t="s">
        <v>40</v>
      </c>
      <c r="X6763" s="19">
        <v>1.2E-2</v>
      </c>
      <c r="Y6763" s="20">
        <v>9.2999999999999997E-5</v>
      </c>
      <c r="Z6763" s="21">
        <v>4601004275959</v>
      </c>
    </row>
    <row r="6764" spans="1:26" ht="12" customHeight="1" outlineLevel="3" x14ac:dyDescent="0.2">
      <c r="A6764" s="14" t="s">
        <v>13013</v>
      </c>
      <c r="B6764" s="26" t="s">
        <v>13014</v>
      </c>
      <c r="C6764" s="52"/>
      <c r="D6764" s="55">
        <f t="shared" si="105"/>
        <v>0</v>
      </c>
      <c r="E6764" s="63" t="str">
        <f>HYPERLINK("https://www.sds-group.ru/product/modul-keystone-jack-rj-45-8p8c-utp-neekranirovannyy-cat-6-tip-90-gradusov-belyy-rexant-02-0254/", "Инфо")</f>
        <v>Инфо</v>
      </c>
      <c r="F6764" s="16" t="s">
        <v>39</v>
      </c>
      <c r="G6764" s="15"/>
      <c r="H6764" s="15"/>
      <c r="I6764" s="15"/>
      <c r="J6764" s="16" t="s">
        <v>100</v>
      </c>
      <c r="K6764" s="15" t="s">
        <v>6798</v>
      </c>
      <c r="L6764" s="17">
        <v>10</v>
      </c>
      <c r="M6764" s="22">
        <v>1000</v>
      </c>
      <c r="N6764" s="17">
        <v>10</v>
      </c>
      <c r="O6764" s="18">
        <v>164.42</v>
      </c>
      <c r="P6764" s="18">
        <v>134.77000000000001</v>
      </c>
      <c r="Q6764" s="18">
        <v>139.76</v>
      </c>
      <c r="R6764" s="18">
        <v>114.56</v>
      </c>
      <c r="S6764" s="18">
        <v>111.81</v>
      </c>
      <c r="T6764" s="18">
        <v>91.65</v>
      </c>
      <c r="U6764" s="16"/>
      <c r="V6764" s="16"/>
      <c r="W6764" s="16" t="s">
        <v>40</v>
      </c>
      <c r="X6764" s="19">
        <v>1.0999999999999999E-2</v>
      </c>
      <c r="Y6764" s="20">
        <v>6.3E-5</v>
      </c>
      <c r="Z6764" s="21">
        <v>4601004229570</v>
      </c>
    </row>
    <row r="6765" spans="1:26" ht="12" customHeight="1" outlineLevel="3" x14ac:dyDescent="0.2">
      <c r="A6765" s="14" t="s">
        <v>13015</v>
      </c>
      <c r="B6765" s="26" t="s">
        <v>13016</v>
      </c>
      <c r="C6765" s="52"/>
      <c r="D6765" s="55">
        <f t="shared" si="105"/>
        <v>0</v>
      </c>
      <c r="E6765" s="63" t="str">
        <f>HYPERLINK("https://www.sds-group.ru/product/modul-keystone-jack-rj-45-8p8c-utp-neekranirovannyy-cat-6-tip-90-gradusov-chernyy-rexant-02-0255/", "Инфо")</f>
        <v>Инфо</v>
      </c>
      <c r="F6765" s="16" t="s">
        <v>39</v>
      </c>
      <c r="G6765" s="15"/>
      <c r="H6765" s="15"/>
      <c r="I6765" s="15"/>
      <c r="J6765" s="17">
        <v>184</v>
      </c>
      <c r="K6765" s="15" t="s">
        <v>1055</v>
      </c>
      <c r="L6765" s="17">
        <v>10</v>
      </c>
      <c r="M6765" s="22">
        <v>1000</v>
      </c>
      <c r="N6765" s="17">
        <v>10</v>
      </c>
      <c r="O6765" s="18">
        <v>164.42</v>
      </c>
      <c r="P6765" s="18">
        <v>134.77000000000001</v>
      </c>
      <c r="Q6765" s="18">
        <v>139.76</v>
      </c>
      <c r="R6765" s="18">
        <v>114.56</v>
      </c>
      <c r="S6765" s="18">
        <v>111.81</v>
      </c>
      <c r="T6765" s="18">
        <v>91.65</v>
      </c>
      <c r="U6765" s="16"/>
      <c r="V6765" s="16"/>
      <c r="W6765" s="16" t="s">
        <v>40</v>
      </c>
      <c r="X6765" s="19">
        <v>1.0999999999999999E-2</v>
      </c>
      <c r="Y6765" s="20">
        <v>6.3E-5</v>
      </c>
      <c r="Z6765" s="21">
        <v>4601004275942</v>
      </c>
    </row>
    <row r="6766" spans="1:26" ht="12" customHeight="1" outlineLevel="3" x14ac:dyDescent="0.2">
      <c r="A6766" s="14" t="s">
        <v>13017</v>
      </c>
      <c r="B6766" s="26" t="s">
        <v>13018</v>
      </c>
      <c r="C6766" s="52"/>
      <c r="D6766" s="55">
        <f t="shared" si="105"/>
        <v>0</v>
      </c>
      <c r="E6766" s="63" t="str">
        <f>HYPERLINK("https://www.sds-group.ru/product/modul-keystone-jack-rj-45-8p8c-ftp-ekranirovannyy-cat-6-tip-180-gradusov-samozazhimnoy-rexan-02-0261/", "Инфо")</f>
        <v>Инфо</v>
      </c>
      <c r="F6766" s="16" t="s">
        <v>39</v>
      </c>
      <c r="G6766" s="15"/>
      <c r="H6766" s="15"/>
      <c r="I6766" s="15"/>
      <c r="J6766" s="17">
        <v>582</v>
      </c>
      <c r="K6766" s="15" t="s">
        <v>4020</v>
      </c>
      <c r="L6766" s="17">
        <v>1</v>
      </c>
      <c r="M6766" s="17">
        <v>600</v>
      </c>
      <c r="N6766" s="17">
        <v>1</v>
      </c>
      <c r="O6766" s="18">
        <v>512.05999999999995</v>
      </c>
      <c r="P6766" s="18">
        <v>419.72</v>
      </c>
      <c r="Q6766" s="18">
        <v>409.65</v>
      </c>
      <c r="R6766" s="18">
        <v>335.78</v>
      </c>
      <c r="S6766" s="18">
        <v>348.2</v>
      </c>
      <c r="T6766" s="18">
        <v>285.41000000000003</v>
      </c>
      <c r="U6766" s="16"/>
      <c r="V6766" s="16"/>
      <c r="W6766" s="16" t="s">
        <v>40</v>
      </c>
      <c r="X6766" s="19">
        <v>0.03</v>
      </c>
      <c r="Y6766" s="20">
        <v>8.2000000000000001E-5</v>
      </c>
      <c r="Z6766" s="21">
        <v>4601004229587</v>
      </c>
    </row>
    <row r="6767" spans="1:26" ht="12" customHeight="1" outlineLevel="3" x14ac:dyDescent="0.2">
      <c r="A6767" s="14" t="s">
        <v>13019</v>
      </c>
      <c r="B6767" s="26" t="s">
        <v>13020</v>
      </c>
      <c r="C6767" s="52"/>
      <c r="D6767" s="55">
        <f t="shared" si="105"/>
        <v>0</v>
      </c>
      <c r="E6767" s="63" t="str">
        <f>HYPERLINK("https://www.sds-group.ru/product/modul-keystone-jack-rj-45-8p8c-ftp-ekranirovannyy-cat-6-tip-90-gradusov-rexant-02-0272/", "Инфо")</f>
        <v>Инфо</v>
      </c>
      <c r="F6767" s="16" t="s">
        <v>39</v>
      </c>
      <c r="G6767" s="15"/>
      <c r="H6767" s="15"/>
      <c r="I6767" s="15"/>
      <c r="J6767" s="17">
        <v>259</v>
      </c>
      <c r="K6767" s="15" t="s">
        <v>4020</v>
      </c>
      <c r="L6767" s="17">
        <v>10</v>
      </c>
      <c r="M6767" s="17">
        <v>300</v>
      </c>
      <c r="N6767" s="17">
        <v>10</v>
      </c>
      <c r="O6767" s="18">
        <v>320.79000000000002</v>
      </c>
      <c r="P6767" s="18">
        <v>262.94</v>
      </c>
      <c r="Q6767" s="18">
        <v>272.67</v>
      </c>
      <c r="R6767" s="18">
        <v>223.5</v>
      </c>
      <c r="S6767" s="18">
        <v>218.14</v>
      </c>
      <c r="T6767" s="18">
        <v>178.8</v>
      </c>
      <c r="U6767" s="16"/>
      <c r="V6767" s="16"/>
      <c r="W6767" s="16" t="s">
        <v>40</v>
      </c>
      <c r="X6767" s="19">
        <v>0.02</v>
      </c>
      <c r="Y6767" s="20">
        <v>1.05E-4</v>
      </c>
      <c r="Z6767" s="21">
        <v>4601004275935</v>
      </c>
    </row>
    <row r="6768" spans="1:26" ht="12.95" customHeight="1" outlineLevel="2" x14ac:dyDescent="0.2">
      <c r="A6768" s="76" t="s">
        <v>13021</v>
      </c>
      <c r="B6768" s="76"/>
      <c r="C6768" s="77"/>
      <c r="D6768" s="58"/>
      <c r="E6768" s="68"/>
      <c r="F6768" s="13"/>
      <c r="G6768" s="13"/>
      <c r="H6768" s="13"/>
      <c r="I6768" s="13"/>
      <c r="J6768" s="13"/>
      <c r="K6768" s="13"/>
      <c r="L6768" s="13"/>
      <c r="M6768" s="13"/>
      <c r="N6768" s="13"/>
      <c r="O6768" s="13"/>
      <c r="P6768" s="13"/>
      <c r="Q6768" s="13"/>
      <c r="R6768" s="13"/>
      <c r="S6768" s="13"/>
      <c r="T6768" s="13"/>
      <c r="U6768" s="13"/>
      <c r="V6768" s="13"/>
      <c r="W6768" s="13"/>
      <c r="X6768" s="13"/>
      <c r="Y6768" s="13"/>
      <c r="Z6768" s="13"/>
    </row>
    <row r="6769" spans="1:26" ht="12" customHeight="1" outlineLevel="3" x14ac:dyDescent="0.2">
      <c r="A6769" s="14" t="s">
        <v>13022</v>
      </c>
      <c r="B6769" s="26" t="s">
        <v>13023</v>
      </c>
      <c r="C6769" s="52"/>
      <c r="D6769" s="55">
        <f t="shared" si="105"/>
        <v>0</v>
      </c>
      <c r="E6769" s="63" t="str">
        <f>HYPERLINK("https://www.sds-group.ru/product/modul-keystone-jack-rj-45-8p8c-utp-cat-5e-tip-180-gradusov-samozazhimnoy-belyy-rexant-03-1012/", "Инфо")</f>
        <v>Инфо</v>
      </c>
      <c r="F6769" s="16" t="s">
        <v>39</v>
      </c>
      <c r="G6769" s="15"/>
      <c r="H6769" s="15"/>
      <c r="I6769" s="15"/>
      <c r="J6769" s="17">
        <v>368</v>
      </c>
      <c r="K6769" s="15" t="s">
        <v>1055</v>
      </c>
      <c r="L6769" s="17">
        <v>10</v>
      </c>
      <c r="M6769" s="22">
        <v>1000</v>
      </c>
      <c r="N6769" s="17">
        <v>10</v>
      </c>
      <c r="O6769" s="18">
        <v>128.87</v>
      </c>
      <c r="P6769" s="18">
        <v>105.63</v>
      </c>
      <c r="Q6769" s="18">
        <v>109.54</v>
      </c>
      <c r="R6769" s="18">
        <v>89.79</v>
      </c>
      <c r="S6769" s="18">
        <v>77.319999999999993</v>
      </c>
      <c r="T6769" s="18">
        <v>63.38</v>
      </c>
      <c r="U6769" s="16"/>
      <c r="V6769" s="16"/>
      <c r="W6769" s="16" t="s">
        <v>40</v>
      </c>
      <c r="X6769" s="19">
        <v>8.9999999999999993E-3</v>
      </c>
      <c r="Y6769" s="20">
        <v>5.3000000000000001E-5</v>
      </c>
      <c r="Z6769" s="21">
        <v>4601004133549</v>
      </c>
    </row>
    <row r="6770" spans="1:26" ht="12" customHeight="1" outlineLevel="3" x14ac:dyDescent="0.2">
      <c r="A6770" s="14" t="s">
        <v>13024</v>
      </c>
      <c r="B6770" s="26" t="s">
        <v>13025</v>
      </c>
      <c r="C6770" s="52"/>
      <c r="D6770" s="55">
        <f t="shared" si="105"/>
        <v>0</v>
      </c>
      <c r="E6770" s="63" t="str">
        <f>HYPERLINK("https://www.sds-group.ru/product/modul-keystone-jack-rj-45-8p8c-utp-cat-5e-tip-180-gradusov-belyy-rexant-03-1011/", "Инфо")</f>
        <v>Инфо</v>
      </c>
      <c r="F6770" s="16" t="s">
        <v>39</v>
      </c>
      <c r="G6770" s="15"/>
      <c r="H6770" s="15"/>
      <c r="I6770" s="15"/>
      <c r="J6770" s="22">
        <v>1237</v>
      </c>
      <c r="K6770" s="15" t="s">
        <v>1055</v>
      </c>
      <c r="L6770" s="17">
        <v>10</v>
      </c>
      <c r="M6770" s="22">
        <v>1000</v>
      </c>
      <c r="N6770" s="17">
        <v>10</v>
      </c>
      <c r="O6770" s="18">
        <v>103.19</v>
      </c>
      <c r="P6770" s="18">
        <v>84.58</v>
      </c>
      <c r="Q6770" s="18">
        <v>87.71</v>
      </c>
      <c r="R6770" s="18">
        <v>71.89</v>
      </c>
      <c r="S6770" s="18">
        <v>61.91</v>
      </c>
      <c r="T6770" s="18">
        <v>50.75</v>
      </c>
      <c r="U6770" s="16"/>
      <c r="V6770" s="16"/>
      <c r="W6770" s="16" t="s">
        <v>40</v>
      </c>
      <c r="X6770" s="19">
        <v>1.0999999999999999E-2</v>
      </c>
      <c r="Y6770" s="20">
        <v>5.5000000000000002E-5</v>
      </c>
      <c r="Z6770" s="21">
        <v>4601004133525</v>
      </c>
    </row>
    <row r="6771" spans="1:26" ht="12.95" customHeight="1" outlineLevel="2" x14ac:dyDescent="0.2">
      <c r="A6771" s="76" t="s">
        <v>13026</v>
      </c>
      <c r="B6771" s="76"/>
      <c r="C6771" s="77"/>
      <c r="D6771" s="58"/>
      <c r="E6771" s="68"/>
      <c r="F6771" s="13"/>
      <c r="G6771" s="13"/>
      <c r="H6771" s="13"/>
      <c r="I6771" s="13"/>
      <c r="J6771" s="13"/>
      <c r="K6771" s="13"/>
      <c r="L6771" s="13"/>
      <c r="M6771" s="13"/>
      <c r="N6771" s="13"/>
      <c r="O6771" s="13"/>
      <c r="P6771" s="13"/>
      <c r="Q6771" s="13"/>
      <c r="R6771" s="13"/>
      <c r="S6771" s="13"/>
      <c r="T6771" s="13"/>
      <c r="U6771" s="13"/>
      <c r="V6771" s="13"/>
      <c r="W6771" s="13"/>
      <c r="X6771" s="13"/>
      <c r="Y6771" s="13"/>
      <c r="Z6771" s="13"/>
    </row>
    <row r="6772" spans="1:26" ht="12" customHeight="1" outlineLevel="3" x14ac:dyDescent="0.2">
      <c r="A6772" s="14" t="s">
        <v>13027</v>
      </c>
      <c r="B6772" s="26" t="s">
        <v>13028</v>
      </c>
      <c r="C6772" s="52"/>
      <c r="D6772" s="55">
        <f t="shared" si="105"/>
        <v>0</v>
      </c>
      <c r="E6772" s="63" t="str">
        <f>HYPERLINK("https://www.sds-group.ru/product/modul-keystone-jack-rj-45-8p8c-utp-cat-6-tip-180-gradusov-samozazhimnoy-belyy-rexant-05-1052/", "Инфо")</f>
        <v>Инфо</v>
      </c>
      <c r="F6772" s="16" t="s">
        <v>39</v>
      </c>
      <c r="G6772" s="15"/>
      <c r="H6772" s="15"/>
      <c r="I6772" s="15"/>
      <c r="J6772" s="16" t="s">
        <v>100</v>
      </c>
      <c r="K6772" s="15" t="s">
        <v>6798</v>
      </c>
      <c r="L6772" s="17">
        <v>5</v>
      </c>
      <c r="M6772" s="22">
        <v>1000</v>
      </c>
      <c r="N6772" s="17">
        <v>5</v>
      </c>
      <c r="O6772" s="18">
        <v>209.98</v>
      </c>
      <c r="P6772" s="18">
        <v>172.11</v>
      </c>
      <c r="Q6772" s="18">
        <v>178.48</v>
      </c>
      <c r="R6772" s="18">
        <v>146.30000000000001</v>
      </c>
      <c r="S6772" s="18">
        <v>125.99</v>
      </c>
      <c r="T6772" s="18">
        <v>103.27</v>
      </c>
      <c r="U6772" s="16"/>
      <c r="V6772" s="16"/>
      <c r="W6772" s="16" t="s">
        <v>40</v>
      </c>
      <c r="X6772" s="19">
        <v>1.0999999999999999E-2</v>
      </c>
      <c r="Y6772" s="20">
        <v>5.1999999999999997E-5</v>
      </c>
      <c r="Z6772" s="21">
        <v>4601004065994</v>
      </c>
    </row>
    <row r="6773" spans="1:26" ht="12.95" customHeight="1" outlineLevel="1" x14ac:dyDescent="0.2">
      <c r="A6773" s="78" t="s">
        <v>13029</v>
      </c>
      <c r="B6773" s="78"/>
      <c r="C6773" s="79"/>
      <c r="D6773" s="57"/>
      <c r="E6773" s="67"/>
      <c r="F6773" s="12"/>
      <c r="G6773" s="12"/>
      <c r="H6773" s="12"/>
      <c r="I6773" s="12"/>
      <c r="J6773" s="12"/>
      <c r="K6773" s="12"/>
      <c r="L6773" s="12"/>
      <c r="M6773" s="12"/>
      <c r="N6773" s="12"/>
      <c r="O6773" s="12"/>
      <c r="P6773" s="12"/>
      <c r="Q6773" s="12"/>
      <c r="R6773" s="12"/>
      <c r="S6773" s="12"/>
      <c r="T6773" s="12"/>
      <c r="U6773" s="12"/>
      <c r="V6773" s="12"/>
      <c r="W6773" s="12"/>
      <c r="X6773" s="12"/>
      <c r="Y6773" s="12"/>
      <c r="Z6773" s="12"/>
    </row>
    <row r="6774" spans="1:26" ht="12.95" customHeight="1" outlineLevel="2" x14ac:dyDescent="0.2">
      <c r="A6774" s="76" t="s">
        <v>13030</v>
      </c>
      <c r="B6774" s="76"/>
      <c r="C6774" s="77"/>
      <c r="D6774" s="58"/>
      <c r="E6774" s="68"/>
      <c r="F6774" s="13"/>
      <c r="G6774" s="13"/>
      <c r="H6774" s="13"/>
      <c r="I6774" s="13"/>
      <c r="J6774" s="13"/>
      <c r="K6774" s="13"/>
      <c r="L6774" s="13"/>
      <c r="M6774" s="13"/>
      <c r="N6774" s="13"/>
      <c r="O6774" s="13"/>
      <c r="P6774" s="13"/>
      <c r="Q6774" s="13"/>
      <c r="R6774" s="13"/>
      <c r="S6774" s="13"/>
      <c r="T6774" s="13"/>
      <c r="U6774" s="13"/>
      <c r="V6774" s="13"/>
      <c r="W6774" s="13"/>
      <c r="X6774" s="13"/>
      <c r="Y6774" s="13"/>
      <c r="Z6774" s="13"/>
    </row>
    <row r="6775" spans="1:26" ht="12" customHeight="1" outlineLevel="3" x14ac:dyDescent="0.2">
      <c r="A6775" s="14" t="s">
        <v>13031</v>
      </c>
      <c r="B6775" s="26" t="s">
        <v>13032</v>
      </c>
      <c r="C6775" s="52"/>
      <c r="D6775" s="55">
        <f t="shared" si="105"/>
        <v>0</v>
      </c>
      <c r="E6775" s="63" t="str">
        <f>HYPERLINK("https://www.sds-group.ru/product/razem-rj-45-8p8c-polevoy-zadelki-pod-vituyu-paru-ftp-cat-6-50-50-mikrodyuymov-rexant-02-0381/", "Инфо")</f>
        <v>Инфо</v>
      </c>
      <c r="F6775" s="16" t="s">
        <v>39</v>
      </c>
      <c r="G6775" s="15"/>
      <c r="H6775" s="15"/>
      <c r="I6775" s="15"/>
      <c r="J6775" s="16" t="s">
        <v>100</v>
      </c>
      <c r="K6775" s="15" t="s">
        <v>883</v>
      </c>
      <c r="L6775" s="17">
        <v>1</v>
      </c>
      <c r="M6775" s="17">
        <v>500</v>
      </c>
      <c r="N6775" s="17">
        <v>1</v>
      </c>
      <c r="O6775" s="18">
        <v>582.36</v>
      </c>
      <c r="P6775" s="18">
        <v>477.34</v>
      </c>
      <c r="Q6775" s="18">
        <v>465.89</v>
      </c>
      <c r="R6775" s="18">
        <v>381.88</v>
      </c>
      <c r="S6775" s="18">
        <v>396</v>
      </c>
      <c r="T6775" s="18">
        <v>324.58999999999997</v>
      </c>
      <c r="U6775" s="16"/>
      <c r="V6775" s="16"/>
      <c r="W6775" s="16" t="s">
        <v>40</v>
      </c>
      <c r="X6775" s="19">
        <v>2.4E-2</v>
      </c>
      <c r="Y6775" s="20">
        <v>9.1000000000000003E-5</v>
      </c>
      <c r="Z6775" s="21">
        <v>4601004335301</v>
      </c>
    </row>
    <row r="6776" spans="1:26" ht="12" customHeight="1" outlineLevel="3" x14ac:dyDescent="0.2">
      <c r="A6776" s="14" t="s">
        <v>13033</v>
      </c>
      <c r="B6776" s="26" t="s">
        <v>13034</v>
      </c>
      <c r="C6776" s="52"/>
      <c r="D6776" s="55">
        <f t="shared" si="105"/>
        <v>0</v>
      </c>
      <c r="E6776" s="63" t="str">
        <f>HYPERLINK("https://www.sds-group.ru/product/razem-rj-45-8p8c-polevoy-zadelki-pod-vituyu-paru-utp-cat-6-50-50-mikrodyuymov-rexant-02-0281/", "Инфо")</f>
        <v>Инфо</v>
      </c>
      <c r="F6776" s="16" t="s">
        <v>39</v>
      </c>
      <c r="G6776" s="15"/>
      <c r="H6776" s="15"/>
      <c r="I6776" s="15"/>
      <c r="J6776" s="17">
        <v>491</v>
      </c>
      <c r="K6776" s="15"/>
      <c r="L6776" s="17">
        <v>5</v>
      </c>
      <c r="M6776" s="17">
        <v>500</v>
      </c>
      <c r="N6776" s="17">
        <v>5</v>
      </c>
      <c r="O6776" s="18">
        <v>269.60000000000002</v>
      </c>
      <c r="P6776" s="18">
        <v>220.98</v>
      </c>
      <c r="Q6776" s="18">
        <v>229.16</v>
      </c>
      <c r="R6776" s="18">
        <v>187.84</v>
      </c>
      <c r="S6776" s="18">
        <v>183.33</v>
      </c>
      <c r="T6776" s="18">
        <v>150.27000000000001</v>
      </c>
      <c r="U6776" s="16"/>
      <c r="V6776" s="16"/>
      <c r="W6776" s="16" t="s">
        <v>40</v>
      </c>
      <c r="X6776" s="19">
        <v>1.2E-2</v>
      </c>
      <c r="Y6776" s="20">
        <v>9.2E-5</v>
      </c>
      <c r="Z6776" s="21">
        <v>4601004229624</v>
      </c>
    </row>
    <row r="6777" spans="1:26" ht="12.95" customHeight="1" outlineLevel="2" x14ac:dyDescent="0.2">
      <c r="A6777" s="76" t="s">
        <v>13035</v>
      </c>
      <c r="B6777" s="76"/>
      <c r="C6777" s="77"/>
      <c r="D6777" s="58"/>
      <c r="E6777" s="68"/>
      <c r="F6777" s="13"/>
      <c r="G6777" s="13"/>
      <c r="H6777" s="13"/>
      <c r="I6777" s="13"/>
      <c r="J6777" s="13"/>
      <c r="K6777" s="13"/>
      <c r="L6777" s="13"/>
      <c r="M6777" s="13"/>
      <c r="N6777" s="13"/>
      <c r="O6777" s="13"/>
      <c r="P6777" s="13"/>
      <c r="Q6777" s="13"/>
      <c r="R6777" s="13"/>
      <c r="S6777" s="13"/>
      <c r="T6777" s="13"/>
      <c r="U6777" s="13"/>
      <c r="V6777" s="13"/>
      <c r="W6777" s="13"/>
      <c r="X6777" s="13"/>
      <c r="Y6777" s="13"/>
      <c r="Z6777" s="13"/>
    </row>
    <row r="6778" spans="1:26" ht="12" customHeight="1" outlineLevel="3" x14ac:dyDescent="0.2">
      <c r="A6778" s="14" t="s">
        <v>13036</v>
      </c>
      <c r="B6778" s="26" t="s">
        <v>13037</v>
      </c>
      <c r="C6778" s="52"/>
      <c r="D6778" s="55">
        <f t="shared" si="105"/>
        <v>0</v>
      </c>
      <c r="E6778" s="63" t="str">
        <f>HYPERLINK("https://www.sds-group.ru/product/razem-rj-45-8p8c-polevoy-zadelki-pod-vituyu-paru-ftp-cat-6a-50-50-mikrodyuymov-rexant-02-0373/", "Инфо")</f>
        <v>Инфо</v>
      </c>
      <c r="F6778" s="16" t="s">
        <v>39</v>
      </c>
      <c r="G6778" s="15"/>
      <c r="H6778" s="15"/>
      <c r="I6778" s="15"/>
      <c r="J6778" s="16" t="s">
        <v>100</v>
      </c>
      <c r="K6778" s="15" t="s">
        <v>6798</v>
      </c>
      <c r="L6778" s="17">
        <v>5</v>
      </c>
      <c r="M6778" s="17">
        <v>500</v>
      </c>
      <c r="N6778" s="17">
        <v>5</v>
      </c>
      <c r="O6778" s="18">
        <v>596.94000000000005</v>
      </c>
      <c r="P6778" s="18">
        <v>489.3</v>
      </c>
      <c r="Q6778" s="18">
        <v>477.55</v>
      </c>
      <c r="R6778" s="18">
        <v>391.43</v>
      </c>
      <c r="S6778" s="18">
        <v>405.92</v>
      </c>
      <c r="T6778" s="18">
        <v>332.72</v>
      </c>
      <c r="U6778" s="16"/>
      <c r="V6778" s="16"/>
      <c r="W6778" s="16" t="s">
        <v>40</v>
      </c>
      <c r="X6778" s="19">
        <v>2.1999999999999999E-2</v>
      </c>
      <c r="Y6778" s="20">
        <v>7.6000000000000004E-5</v>
      </c>
      <c r="Z6778" s="21">
        <v>4601004229716</v>
      </c>
    </row>
    <row r="6779" spans="1:26" ht="12.95" customHeight="1" outlineLevel="2" x14ac:dyDescent="0.2">
      <c r="A6779" s="76" t="s">
        <v>13038</v>
      </c>
      <c r="B6779" s="76"/>
      <c r="C6779" s="77"/>
      <c r="D6779" s="58"/>
      <c r="E6779" s="68"/>
      <c r="F6779" s="13"/>
      <c r="G6779" s="13"/>
      <c r="H6779" s="13"/>
      <c r="I6779" s="13"/>
      <c r="J6779" s="13"/>
      <c r="K6779" s="13"/>
      <c r="L6779" s="13"/>
      <c r="M6779" s="13"/>
      <c r="N6779" s="13"/>
      <c r="O6779" s="13"/>
      <c r="P6779" s="13"/>
      <c r="Q6779" s="13"/>
      <c r="R6779" s="13"/>
      <c r="S6779" s="13"/>
      <c r="T6779" s="13"/>
      <c r="U6779" s="13"/>
      <c r="V6779" s="13"/>
      <c r="W6779" s="13"/>
      <c r="X6779" s="13"/>
      <c r="Y6779" s="13"/>
      <c r="Z6779" s="13"/>
    </row>
    <row r="6780" spans="1:26" ht="12" customHeight="1" outlineLevel="3" x14ac:dyDescent="0.2">
      <c r="A6780" s="14" t="s">
        <v>13039</v>
      </c>
      <c r="B6780" s="26" t="s">
        <v>13040</v>
      </c>
      <c r="C6780" s="52"/>
      <c r="D6780" s="55">
        <f t="shared" si="105"/>
        <v>0</v>
      </c>
      <c r="E6780" s="63" t="str">
        <f>HYPERLINK("https://www.sds-group.ru/product/razem-ckvoznoy-ftp-rj-45-8p8c-cat-5e-rexant-05-1019/", "Инфо")</f>
        <v>Инфо</v>
      </c>
      <c r="F6780" s="16" t="s">
        <v>39</v>
      </c>
      <c r="G6780" s="15"/>
      <c r="H6780" s="15"/>
      <c r="I6780" s="15"/>
      <c r="J6780" s="16" t="s">
        <v>100</v>
      </c>
      <c r="K6780" s="15" t="s">
        <v>1277</v>
      </c>
      <c r="L6780" s="17">
        <v>100</v>
      </c>
      <c r="M6780" s="22">
        <v>5000</v>
      </c>
      <c r="N6780" s="17">
        <v>100</v>
      </c>
      <c r="O6780" s="18">
        <v>24.61</v>
      </c>
      <c r="P6780" s="18">
        <v>20.170000000000002</v>
      </c>
      <c r="Q6780" s="18">
        <v>20.92</v>
      </c>
      <c r="R6780" s="18">
        <v>17.149999999999999</v>
      </c>
      <c r="S6780" s="18">
        <v>14.77</v>
      </c>
      <c r="T6780" s="18">
        <v>12.11</v>
      </c>
      <c r="U6780" s="16"/>
      <c r="V6780" s="16"/>
      <c r="W6780" s="16" t="s">
        <v>40</v>
      </c>
      <c r="X6780" s="19">
        <v>3.0000000000000001E-3</v>
      </c>
      <c r="Y6780" s="20">
        <v>5.0000000000000004E-6</v>
      </c>
      <c r="Z6780" s="21">
        <v>4601004276161</v>
      </c>
    </row>
    <row r="6781" spans="1:26" ht="12" customHeight="1" outlineLevel="3" x14ac:dyDescent="0.2">
      <c r="A6781" s="14" t="s">
        <v>13041</v>
      </c>
      <c r="B6781" s="26" t="s">
        <v>13042</v>
      </c>
      <c r="C6781" s="52"/>
      <c r="D6781" s="55">
        <f t="shared" si="105"/>
        <v>0</v>
      </c>
      <c r="E6781" s="63" t="str">
        <f>HYPERLINK("https://www.sds-group.ru/product/razem-ckvoznoy-rj-45-8p8c-pod-vituyu-paru-utp-cat-5e-rexant-05-1020/", "Инфо")</f>
        <v>Инфо</v>
      </c>
      <c r="F6781" s="16" t="s">
        <v>39</v>
      </c>
      <c r="G6781" s="15"/>
      <c r="H6781" s="15"/>
      <c r="I6781" s="15"/>
      <c r="J6781" s="16" t="s">
        <v>100</v>
      </c>
      <c r="K6781" s="15" t="s">
        <v>1004</v>
      </c>
      <c r="L6781" s="17">
        <v>100</v>
      </c>
      <c r="M6781" s="22">
        <v>5000</v>
      </c>
      <c r="N6781" s="17">
        <v>100</v>
      </c>
      <c r="O6781" s="18">
        <v>14.05</v>
      </c>
      <c r="P6781" s="18">
        <v>11.52</v>
      </c>
      <c r="Q6781" s="18">
        <v>11.94</v>
      </c>
      <c r="R6781" s="18">
        <v>9.7899999999999991</v>
      </c>
      <c r="S6781" s="18">
        <v>8.43</v>
      </c>
      <c r="T6781" s="18">
        <v>6.91</v>
      </c>
      <c r="U6781" s="16"/>
      <c r="V6781" s="16"/>
      <c r="W6781" s="16" t="s">
        <v>40</v>
      </c>
      <c r="X6781" s="19">
        <v>2E-3</v>
      </c>
      <c r="Y6781" s="20">
        <v>5.0000000000000004E-6</v>
      </c>
      <c r="Z6781" s="21">
        <v>4601004277861</v>
      </c>
    </row>
    <row r="6782" spans="1:26" ht="12" customHeight="1" outlineLevel="3" x14ac:dyDescent="0.2">
      <c r="A6782" s="14" t="s">
        <v>13043</v>
      </c>
      <c r="B6782" s="26" t="s">
        <v>13044</v>
      </c>
      <c r="C6782" s="52"/>
      <c r="D6782" s="55">
        <f t="shared" si="105"/>
        <v>0</v>
      </c>
      <c r="E6782" s="63" t="str">
        <f>HYPERLINK("https://www.sds-group.ru/product/razem-rj-45-8p8c-ftp-cat-5e-rexant-05-1023/", "Инфо")</f>
        <v>Инфо</v>
      </c>
      <c r="F6782" s="16" t="s">
        <v>39</v>
      </c>
      <c r="G6782" s="15"/>
      <c r="H6782" s="15"/>
      <c r="I6782" s="15"/>
      <c r="J6782" s="22">
        <v>204976</v>
      </c>
      <c r="K6782" s="15" t="s">
        <v>6174</v>
      </c>
      <c r="L6782" s="17">
        <v>100</v>
      </c>
      <c r="M6782" s="22">
        <v>5000</v>
      </c>
      <c r="N6782" s="17">
        <v>100</v>
      </c>
      <c r="O6782" s="18">
        <v>19.38</v>
      </c>
      <c r="P6782" s="18">
        <v>15.89</v>
      </c>
      <c r="Q6782" s="18">
        <v>16.47</v>
      </c>
      <c r="R6782" s="18">
        <v>13.5</v>
      </c>
      <c r="S6782" s="18">
        <v>11.63</v>
      </c>
      <c r="T6782" s="18">
        <v>9.5299999999999994</v>
      </c>
      <c r="U6782" s="16"/>
      <c r="V6782" s="16"/>
      <c r="W6782" s="16" t="s">
        <v>40</v>
      </c>
      <c r="X6782" s="19">
        <v>3.0000000000000001E-3</v>
      </c>
      <c r="Y6782" s="20">
        <v>5.0000000000000004E-6</v>
      </c>
      <c r="Z6782" s="21">
        <v>4660008013042</v>
      </c>
    </row>
    <row r="6783" spans="1:26" ht="12" customHeight="1" outlineLevel="3" x14ac:dyDescent="0.2">
      <c r="A6783" s="14" t="s">
        <v>13045</v>
      </c>
      <c r="B6783" s="26" t="s">
        <v>13046</v>
      </c>
      <c r="C6783" s="52"/>
      <c r="D6783" s="55">
        <f t="shared" si="105"/>
        <v>0</v>
      </c>
      <c r="E6783" s="63" t="str">
        <f>HYPERLINK("https://www.sds-group.ru/product/razem-utp-rj-45-8p8c-cat-5e-rexant-05-1021/", "Инфо")</f>
        <v>Инфо</v>
      </c>
      <c r="F6783" s="16" t="s">
        <v>39</v>
      </c>
      <c r="G6783" s="15"/>
      <c r="H6783" s="15"/>
      <c r="I6783" s="15"/>
      <c r="J6783" s="22">
        <v>115200</v>
      </c>
      <c r="K6783" s="15" t="s">
        <v>1277</v>
      </c>
      <c r="L6783" s="17">
        <v>100</v>
      </c>
      <c r="M6783" s="22">
        <v>10000</v>
      </c>
      <c r="N6783" s="17">
        <v>100</v>
      </c>
      <c r="O6783" s="18">
        <v>7.39</v>
      </c>
      <c r="P6783" s="18">
        <v>6.06</v>
      </c>
      <c r="Q6783" s="18">
        <v>6.28</v>
      </c>
      <c r="R6783" s="18">
        <v>5.15</v>
      </c>
      <c r="S6783" s="18">
        <v>4.43</v>
      </c>
      <c r="T6783" s="18">
        <v>3.63</v>
      </c>
      <c r="U6783" s="16"/>
      <c r="V6783" s="16"/>
      <c r="W6783" s="16" t="s">
        <v>40</v>
      </c>
      <c r="X6783" s="19">
        <v>2E-3</v>
      </c>
      <c r="Y6783" s="20">
        <v>6.9999999999999999E-6</v>
      </c>
      <c r="Z6783" s="21">
        <v>4610003608477</v>
      </c>
    </row>
    <row r="6784" spans="1:26" ht="12" customHeight="1" outlineLevel="3" x14ac:dyDescent="0.2">
      <c r="A6784" s="14" t="s">
        <v>13047</v>
      </c>
      <c r="B6784" s="26" t="s">
        <v>13048</v>
      </c>
      <c r="C6784" s="52"/>
      <c r="D6784" s="55">
        <f t="shared" si="105"/>
        <v>0</v>
      </c>
      <c r="E6784" s="63" t="str">
        <f>HYPERLINK("https://www.sds-group.ru/product/razem-utp-rj-45-8p8c-cat-5e-samozazhimnoy-rexant-05-1051/", "Инфо")</f>
        <v>Инфо</v>
      </c>
      <c r="F6784" s="16" t="s">
        <v>39</v>
      </c>
      <c r="G6784" s="15"/>
      <c r="H6784" s="15"/>
      <c r="I6784" s="15"/>
      <c r="J6784" s="17">
        <v>911</v>
      </c>
      <c r="K6784" s="15" t="s">
        <v>1277</v>
      </c>
      <c r="L6784" s="17">
        <v>5</v>
      </c>
      <c r="M6784" s="22">
        <v>1000</v>
      </c>
      <c r="N6784" s="17">
        <v>5</v>
      </c>
      <c r="O6784" s="18">
        <v>227.24</v>
      </c>
      <c r="P6784" s="18">
        <v>186.26</v>
      </c>
      <c r="Q6784" s="18">
        <v>193.15</v>
      </c>
      <c r="R6784" s="18">
        <v>158.32</v>
      </c>
      <c r="S6784" s="18">
        <v>136.34</v>
      </c>
      <c r="T6784" s="18">
        <v>111.75</v>
      </c>
      <c r="U6784" s="16"/>
      <c r="V6784" s="16"/>
      <c r="W6784" s="16" t="s">
        <v>40</v>
      </c>
      <c r="X6784" s="19">
        <v>8.9999999999999993E-3</v>
      </c>
      <c r="Y6784" s="20">
        <v>6.2000000000000003E-5</v>
      </c>
      <c r="Z6784" s="21">
        <v>4601004059245</v>
      </c>
    </row>
    <row r="6785" spans="1:26" ht="12.95" customHeight="1" outlineLevel="2" x14ac:dyDescent="0.2">
      <c r="A6785" s="76" t="s">
        <v>13049</v>
      </c>
      <c r="B6785" s="76"/>
      <c r="C6785" s="77"/>
      <c r="D6785" s="58"/>
      <c r="E6785" s="68"/>
      <c r="F6785" s="13"/>
      <c r="G6785" s="13"/>
      <c r="H6785" s="13"/>
      <c r="I6785" s="13"/>
      <c r="J6785" s="13"/>
      <c r="K6785" s="13"/>
      <c r="L6785" s="13"/>
      <c r="M6785" s="13"/>
      <c r="N6785" s="13"/>
      <c r="O6785" s="13"/>
      <c r="P6785" s="13"/>
      <c r="Q6785" s="13"/>
      <c r="R6785" s="13"/>
      <c r="S6785" s="13"/>
      <c r="T6785" s="13"/>
      <c r="U6785" s="13"/>
      <c r="V6785" s="13"/>
      <c r="W6785" s="13"/>
      <c r="X6785" s="13"/>
      <c r="Y6785" s="13"/>
      <c r="Z6785" s="13"/>
    </row>
    <row r="6786" spans="1:26" ht="12" customHeight="1" outlineLevel="3" x14ac:dyDescent="0.2">
      <c r="A6786" s="14" t="s">
        <v>13050</v>
      </c>
      <c r="B6786" s="26" t="s">
        <v>13051</v>
      </c>
      <c r="C6786" s="52"/>
      <c r="D6786" s="55">
        <f t="shared" si="105"/>
        <v>0</v>
      </c>
      <c r="E6786" s="63" t="str">
        <f>HYPERLINK("https://www.sds-group.ru/product/razem-ckvoznoy-ftp-rj-45-8p8c-cat-6-rexant-05-1029/", "Инфо")</f>
        <v>Инфо</v>
      </c>
      <c r="F6786" s="16" t="s">
        <v>39</v>
      </c>
      <c r="G6786" s="15"/>
      <c r="H6786" s="15"/>
      <c r="I6786" s="15"/>
      <c r="J6786" s="16" t="s">
        <v>100</v>
      </c>
      <c r="K6786" s="15" t="s">
        <v>1277</v>
      </c>
      <c r="L6786" s="17">
        <v>100</v>
      </c>
      <c r="M6786" s="22">
        <v>5000</v>
      </c>
      <c r="N6786" s="17">
        <v>100</v>
      </c>
      <c r="O6786" s="18">
        <v>27.7</v>
      </c>
      <c r="P6786" s="18">
        <v>22.7</v>
      </c>
      <c r="Q6786" s="18">
        <v>23.55</v>
      </c>
      <c r="R6786" s="18">
        <v>19.3</v>
      </c>
      <c r="S6786" s="18">
        <v>16.62</v>
      </c>
      <c r="T6786" s="18">
        <v>13.62</v>
      </c>
      <c r="U6786" s="16"/>
      <c r="V6786" s="16"/>
      <c r="W6786" s="16" t="s">
        <v>40</v>
      </c>
      <c r="X6786" s="19">
        <v>3.0000000000000001E-3</v>
      </c>
      <c r="Y6786" s="20">
        <v>5.0000000000000004E-6</v>
      </c>
      <c r="Z6786" s="21">
        <v>4601004276185</v>
      </c>
    </row>
    <row r="6787" spans="1:26" ht="12" customHeight="1" outlineLevel="3" x14ac:dyDescent="0.2">
      <c r="A6787" s="14" t="s">
        <v>13052</v>
      </c>
      <c r="B6787" s="26" t="s">
        <v>13053</v>
      </c>
      <c r="C6787" s="52"/>
      <c r="D6787" s="55">
        <f t="shared" si="105"/>
        <v>0</v>
      </c>
      <c r="E6787" s="63" t="str">
        <f>HYPERLINK("https://www.sds-group.ru/product/razem-ckvoznoy-ftp-rj-45-8p8c-cat-6a-rexant-05-1039/", "Инфо")</f>
        <v>Инфо</v>
      </c>
      <c r="F6787" s="16" t="s">
        <v>39</v>
      </c>
      <c r="G6787" s="15"/>
      <c r="H6787" s="15"/>
      <c r="I6787" s="15"/>
      <c r="J6787" s="16" t="s">
        <v>100</v>
      </c>
      <c r="K6787" s="15" t="s">
        <v>1004</v>
      </c>
      <c r="L6787" s="17">
        <v>100</v>
      </c>
      <c r="M6787" s="22">
        <v>5000</v>
      </c>
      <c r="N6787" s="17">
        <v>100</v>
      </c>
      <c r="O6787" s="18">
        <v>55.67</v>
      </c>
      <c r="P6787" s="18">
        <v>45.63</v>
      </c>
      <c r="Q6787" s="18">
        <v>47.32</v>
      </c>
      <c r="R6787" s="18">
        <v>38.79</v>
      </c>
      <c r="S6787" s="18">
        <v>33.4</v>
      </c>
      <c r="T6787" s="18">
        <v>27.38</v>
      </c>
      <c r="U6787" s="16"/>
      <c r="V6787" s="16"/>
      <c r="W6787" s="16" t="s">
        <v>40</v>
      </c>
      <c r="X6787" s="19">
        <v>3.0000000000000001E-3</v>
      </c>
      <c r="Y6787" s="20">
        <v>7.9999999999999996E-6</v>
      </c>
      <c r="Z6787" s="21">
        <v>4601004276208</v>
      </c>
    </row>
    <row r="6788" spans="1:26" ht="12" customHeight="1" outlineLevel="3" x14ac:dyDescent="0.2">
      <c r="A6788" s="14" t="s">
        <v>13054</v>
      </c>
      <c r="B6788" s="26" t="s">
        <v>13055</v>
      </c>
      <c r="C6788" s="52"/>
      <c r="D6788" s="55">
        <f t="shared" si="105"/>
        <v>0</v>
      </c>
      <c r="E6788" s="63" t="str">
        <f>HYPERLINK("https://www.sds-group.ru/product/razem-ckvoznoy-utp-rj-45-8p8c-cat-6-rexant-05-1030/", "Инфо")</f>
        <v>Инфо</v>
      </c>
      <c r="F6788" s="16" t="s">
        <v>39</v>
      </c>
      <c r="G6788" s="15"/>
      <c r="H6788" s="15"/>
      <c r="I6788" s="15"/>
      <c r="J6788" s="16" t="s">
        <v>100</v>
      </c>
      <c r="K6788" s="15" t="s">
        <v>1277</v>
      </c>
      <c r="L6788" s="17">
        <v>100</v>
      </c>
      <c r="M6788" s="22">
        <v>5000</v>
      </c>
      <c r="N6788" s="17">
        <v>100</v>
      </c>
      <c r="O6788" s="18">
        <v>15.26</v>
      </c>
      <c r="P6788" s="18">
        <v>12.51</v>
      </c>
      <c r="Q6788" s="18">
        <v>12.97</v>
      </c>
      <c r="R6788" s="18">
        <v>10.63</v>
      </c>
      <c r="S6788" s="18">
        <v>9.16</v>
      </c>
      <c r="T6788" s="18">
        <v>7.51</v>
      </c>
      <c r="U6788" s="16"/>
      <c r="V6788" s="16"/>
      <c r="W6788" s="16" t="s">
        <v>40</v>
      </c>
      <c r="X6788" s="19">
        <v>2E-3</v>
      </c>
      <c r="Y6788" s="20">
        <v>5.0000000000000004E-6</v>
      </c>
      <c r="Z6788" s="21">
        <v>4601004276178</v>
      </c>
    </row>
    <row r="6789" spans="1:26" ht="12" customHeight="1" outlineLevel="3" x14ac:dyDescent="0.2">
      <c r="A6789" s="14" t="s">
        <v>13056</v>
      </c>
      <c r="B6789" s="26" t="s">
        <v>13057</v>
      </c>
      <c r="C6789" s="52"/>
      <c r="D6789" s="55">
        <f t="shared" si="105"/>
        <v>0</v>
      </c>
      <c r="E6789" s="63" t="str">
        <f>HYPERLINK("https://www.sds-group.ru/product/razem-rj-45-8p8c-pod-vituyu-paru-utp-cat-6-rexant-05-1031-4/", "Инфо")</f>
        <v>Инфо</v>
      </c>
      <c r="F6789" s="16" t="s">
        <v>39</v>
      </c>
      <c r="G6789" s="15"/>
      <c r="H6789" s="15"/>
      <c r="I6789" s="15"/>
      <c r="J6789" s="22">
        <v>2180</v>
      </c>
      <c r="K6789" s="15" t="s">
        <v>1587</v>
      </c>
      <c r="L6789" s="17">
        <v>50</v>
      </c>
      <c r="M6789" s="22">
        <v>8000</v>
      </c>
      <c r="N6789" s="17">
        <v>50</v>
      </c>
      <c r="O6789" s="18">
        <v>16.010000000000002</v>
      </c>
      <c r="P6789" s="18">
        <v>13.12</v>
      </c>
      <c r="Q6789" s="18">
        <v>13.61</v>
      </c>
      <c r="R6789" s="18">
        <v>11.16</v>
      </c>
      <c r="S6789" s="18">
        <v>9.61</v>
      </c>
      <c r="T6789" s="18">
        <v>7.88</v>
      </c>
      <c r="U6789" s="16"/>
      <c r="V6789" s="16"/>
      <c r="W6789" s="16" t="s">
        <v>40</v>
      </c>
      <c r="X6789" s="19">
        <v>2E-3</v>
      </c>
      <c r="Y6789" s="20">
        <v>5.0000000000000004E-6</v>
      </c>
      <c r="Z6789" s="21">
        <v>4601004070899</v>
      </c>
    </row>
    <row r="6790" spans="1:26" ht="12" customHeight="1" outlineLevel="3" x14ac:dyDescent="0.2">
      <c r="A6790" s="14" t="s">
        <v>13058</v>
      </c>
      <c r="B6790" s="26" t="s">
        <v>13059</v>
      </c>
      <c r="C6790" s="52"/>
      <c r="D6790" s="55">
        <f t="shared" si="105"/>
        <v>0</v>
      </c>
      <c r="E6790" s="63" t="str">
        <f>HYPERLINK("https://www.sds-group.ru/product/razem-rj-45-8p8c-pod-vituyu-paru-utp-cat-6-s-vstavkoy-rexant-05-1031/", "Инфо")</f>
        <v>Инфо</v>
      </c>
      <c r="F6790" s="16" t="s">
        <v>39</v>
      </c>
      <c r="G6790" s="15"/>
      <c r="H6790" s="15"/>
      <c r="I6790" s="15"/>
      <c r="J6790" s="22">
        <v>18105</v>
      </c>
      <c r="K6790" s="15" t="s">
        <v>6174</v>
      </c>
      <c r="L6790" s="17">
        <v>50</v>
      </c>
      <c r="M6790" s="22">
        <v>8000</v>
      </c>
      <c r="N6790" s="17">
        <v>50</v>
      </c>
      <c r="O6790" s="18">
        <v>17.309999999999999</v>
      </c>
      <c r="P6790" s="18">
        <v>14.19</v>
      </c>
      <c r="Q6790" s="18">
        <v>14.71</v>
      </c>
      <c r="R6790" s="18">
        <v>12.06</v>
      </c>
      <c r="S6790" s="18">
        <v>10.39</v>
      </c>
      <c r="T6790" s="18">
        <v>8.52</v>
      </c>
      <c r="U6790" s="16"/>
      <c r="V6790" s="16"/>
      <c r="W6790" s="16" t="s">
        <v>40</v>
      </c>
      <c r="X6790" s="19">
        <v>2E-3</v>
      </c>
      <c r="Y6790" s="20">
        <v>6.0000000000000002E-6</v>
      </c>
      <c r="Z6790" s="21">
        <v>4601004070882</v>
      </c>
    </row>
    <row r="6791" spans="1:26" ht="12.95" customHeight="1" outlineLevel="2" x14ac:dyDescent="0.2">
      <c r="A6791" s="76" t="s">
        <v>13060</v>
      </c>
      <c r="B6791" s="76"/>
      <c r="C6791" s="77"/>
      <c r="D6791" s="58"/>
      <c r="E6791" s="68"/>
      <c r="F6791" s="13"/>
      <c r="G6791" s="13"/>
      <c r="H6791" s="13"/>
      <c r="I6791" s="13"/>
      <c r="J6791" s="13"/>
      <c r="K6791" s="13"/>
      <c r="L6791" s="13"/>
      <c r="M6791" s="13"/>
      <c r="N6791" s="13"/>
      <c r="O6791" s="13"/>
      <c r="P6791" s="13"/>
      <c r="Q6791" s="13"/>
      <c r="R6791" s="13"/>
      <c r="S6791" s="13"/>
      <c r="T6791" s="13"/>
      <c r="U6791" s="13"/>
      <c r="V6791" s="13"/>
      <c r="W6791" s="13"/>
      <c r="X6791" s="13"/>
      <c r="Y6791" s="13"/>
      <c r="Z6791" s="13"/>
    </row>
    <row r="6792" spans="1:26" ht="12" customHeight="1" outlineLevel="3" x14ac:dyDescent="0.2">
      <c r="A6792" s="14" t="s">
        <v>13061</v>
      </c>
      <c r="B6792" s="26" t="s">
        <v>13062</v>
      </c>
      <c r="C6792" s="52"/>
      <c r="D6792" s="55">
        <f t="shared" si="105"/>
        <v>0</v>
      </c>
      <c r="E6792" s="63" t="str">
        <f>HYPERLINK("https://www.sds-group.ru/product/razem-utp-rj-45-8p8c-cat-5e-proconnect-light-05-1021-6/", "Инфо")</f>
        <v>Инфо</v>
      </c>
      <c r="F6792" s="16" t="s">
        <v>39</v>
      </c>
      <c r="G6792" s="15"/>
      <c r="H6792" s="15"/>
      <c r="I6792" s="15"/>
      <c r="J6792" s="22">
        <v>698600</v>
      </c>
      <c r="K6792" s="15" t="s">
        <v>1277</v>
      </c>
      <c r="L6792" s="17">
        <v>100</v>
      </c>
      <c r="M6792" s="22">
        <v>10000</v>
      </c>
      <c r="N6792" s="17">
        <v>100</v>
      </c>
      <c r="O6792" s="18">
        <v>5.95</v>
      </c>
      <c r="P6792" s="18">
        <v>4.88</v>
      </c>
      <c r="Q6792" s="18">
        <v>5.0599999999999996</v>
      </c>
      <c r="R6792" s="18">
        <v>4.1500000000000004</v>
      </c>
      <c r="S6792" s="18">
        <v>3.45</v>
      </c>
      <c r="T6792" s="18">
        <v>2.83</v>
      </c>
      <c r="U6792" s="16"/>
      <c r="V6792" s="16"/>
      <c r="W6792" s="16" t="s">
        <v>40</v>
      </c>
      <c r="X6792" s="19">
        <v>2E-3</v>
      </c>
      <c r="Y6792" s="20">
        <v>6.0000000000000002E-6</v>
      </c>
      <c r="Z6792" s="21">
        <v>4601004070776</v>
      </c>
    </row>
    <row r="6793" spans="1:26" ht="12" customHeight="1" outlineLevel="3" x14ac:dyDescent="0.2">
      <c r="A6793" s="14" t="s">
        <v>13063</v>
      </c>
      <c r="B6793" s="26" t="s">
        <v>13062</v>
      </c>
      <c r="C6793" s="52"/>
      <c r="D6793" s="55">
        <f t="shared" ref="D6793:D6856" si="106">C6793*(O6793-O6793*$G$3)</f>
        <v>0</v>
      </c>
      <c r="E6793" s="63" t="str">
        <f>HYPERLINK("https://www.sds-group.ru/product/razem-utp-rj-45-8p8c-cat-5e-proconnect-05-1021-3/", "Инфо")</f>
        <v>Инфо</v>
      </c>
      <c r="F6793" s="16" t="s">
        <v>39</v>
      </c>
      <c r="G6793" s="15"/>
      <c r="H6793" s="15"/>
      <c r="I6793" s="15"/>
      <c r="J6793" s="22">
        <v>196810</v>
      </c>
      <c r="K6793" s="15" t="s">
        <v>1587</v>
      </c>
      <c r="L6793" s="17">
        <v>100</v>
      </c>
      <c r="M6793" s="22">
        <v>10000</v>
      </c>
      <c r="N6793" s="17">
        <v>100</v>
      </c>
      <c r="O6793" s="18">
        <v>6.97</v>
      </c>
      <c r="P6793" s="18">
        <v>5.71</v>
      </c>
      <c r="Q6793" s="18">
        <v>5.92</v>
      </c>
      <c r="R6793" s="18">
        <v>4.8499999999999996</v>
      </c>
      <c r="S6793" s="18">
        <v>4.04</v>
      </c>
      <c r="T6793" s="18">
        <v>3.31</v>
      </c>
      <c r="U6793" s="16"/>
      <c r="V6793" s="16"/>
      <c r="W6793" s="16" t="s">
        <v>40</v>
      </c>
      <c r="X6793" s="19">
        <v>2E-3</v>
      </c>
      <c r="Y6793" s="20">
        <v>6.0000000000000002E-6</v>
      </c>
      <c r="Z6793" s="21">
        <v>4601004002968</v>
      </c>
    </row>
    <row r="6794" spans="1:26" ht="12.95" customHeight="1" outlineLevel="2" x14ac:dyDescent="0.2">
      <c r="A6794" s="76" t="s">
        <v>13064</v>
      </c>
      <c r="B6794" s="76"/>
      <c r="C6794" s="77"/>
      <c r="D6794" s="58"/>
      <c r="E6794" s="68"/>
      <c r="F6794" s="13"/>
      <c r="G6794" s="13"/>
      <c r="H6794" s="13"/>
      <c r="I6794" s="13"/>
      <c r="J6794" s="13"/>
      <c r="K6794" s="13"/>
      <c r="L6794" s="13"/>
      <c r="M6794" s="13"/>
      <c r="N6794" s="13"/>
      <c r="O6794" s="13"/>
      <c r="P6794" s="13"/>
      <c r="Q6794" s="13"/>
      <c r="R6794" s="13"/>
      <c r="S6794" s="13"/>
      <c r="T6794" s="13"/>
      <c r="U6794" s="13"/>
      <c r="V6794" s="13"/>
      <c r="W6794" s="13"/>
      <c r="X6794" s="13"/>
      <c r="Y6794" s="13"/>
      <c r="Z6794" s="13"/>
    </row>
    <row r="6795" spans="1:26" ht="12" customHeight="1" outlineLevel="3" x14ac:dyDescent="0.2">
      <c r="A6795" s="14" t="s">
        <v>13065</v>
      </c>
      <c r="B6795" s="26" t="s">
        <v>13066</v>
      </c>
      <c r="C6795" s="52"/>
      <c r="D6795" s="55">
        <f t="shared" si="106"/>
        <v>0</v>
      </c>
      <c r="E6795" s="63" t="str">
        <f>HYPERLINK("https://www.sds-group.ru/product/kolpachok-izoliruyuschiy-dlya-razemov-rj-45-belyy-rexant-05-1201/", "Инфо")</f>
        <v>Инфо</v>
      </c>
      <c r="F6795" s="16" t="s">
        <v>39</v>
      </c>
      <c r="G6795" s="15"/>
      <c r="H6795" s="15"/>
      <c r="I6795" s="15"/>
      <c r="J6795" s="22">
        <v>23700</v>
      </c>
      <c r="K6795" s="15"/>
      <c r="L6795" s="17">
        <v>100</v>
      </c>
      <c r="M6795" s="22">
        <v>2500</v>
      </c>
      <c r="N6795" s="17">
        <v>100</v>
      </c>
      <c r="O6795" s="18">
        <v>5.71</v>
      </c>
      <c r="P6795" s="18">
        <v>4.68</v>
      </c>
      <c r="Q6795" s="18">
        <v>4.8499999999999996</v>
      </c>
      <c r="R6795" s="18">
        <v>3.98</v>
      </c>
      <c r="S6795" s="18">
        <v>3.43</v>
      </c>
      <c r="T6795" s="18">
        <v>2.81</v>
      </c>
      <c r="U6795" s="16"/>
      <c r="V6795" s="16"/>
      <c r="W6795" s="16" t="s">
        <v>40</v>
      </c>
      <c r="X6795" s="19">
        <v>2E-3</v>
      </c>
      <c r="Y6795" s="20">
        <v>1.1E-5</v>
      </c>
      <c r="Z6795" s="21">
        <v>4601004070783</v>
      </c>
    </row>
    <row r="6796" spans="1:26" ht="12" customHeight="1" outlineLevel="3" x14ac:dyDescent="0.2">
      <c r="A6796" s="14" t="s">
        <v>13067</v>
      </c>
      <c r="B6796" s="26" t="s">
        <v>13068</v>
      </c>
      <c r="C6796" s="52"/>
      <c r="D6796" s="55">
        <f t="shared" si="106"/>
        <v>0</v>
      </c>
      <c r="E6796" s="63" t="str">
        <f>HYPERLINK("https://www.sds-group.ru/product/kolpachok-izoliruyuschiy-dlya-razemov-rj-45-zheltyy-rexant-05-1203/", "Инфо")</f>
        <v>Инфо</v>
      </c>
      <c r="F6796" s="16" t="s">
        <v>39</v>
      </c>
      <c r="G6796" s="15"/>
      <c r="H6796" s="15"/>
      <c r="I6796" s="15"/>
      <c r="J6796" s="22">
        <v>14100</v>
      </c>
      <c r="K6796" s="15"/>
      <c r="L6796" s="17">
        <v>100</v>
      </c>
      <c r="M6796" s="22">
        <v>2500</v>
      </c>
      <c r="N6796" s="17">
        <v>100</v>
      </c>
      <c r="O6796" s="18">
        <v>5.71</v>
      </c>
      <c r="P6796" s="18">
        <v>4.68</v>
      </c>
      <c r="Q6796" s="18">
        <v>4.8499999999999996</v>
      </c>
      <c r="R6796" s="18">
        <v>3.98</v>
      </c>
      <c r="S6796" s="18">
        <v>3.43</v>
      </c>
      <c r="T6796" s="18">
        <v>2.81</v>
      </c>
      <c r="U6796" s="16"/>
      <c r="V6796" s="16"/>
      <c r="W6796" s="16" t="s">
        <v>40</v>
      </c>
      <c r="X6796" s="19">
        <v>2E-3</v>
      </c>
      <c r="Y6796" s="20">
        <v>1.0000000000000001E-5</v>
      </c>
      <c r="Z6796" s="21">
        <v>4601004070769</v>
      </c>
    </row>
    <row r="6797" spans="1:26" ht="12" customHeight="1" outlineLevel="3" x14ac:dyDescent="0.2">
      <c r="A6797" s="14" t="s">
        <v>13069</v>
      </c>
      <c r="B6797" s="26" t="s">
        <v>13070</v>
      </c>
      <c r="C6797" s="52"/>
      <c r="D6797" s="55">
        <f t="shared" si="106"/>
        <v>0</v>
      </c>
      <c r="E6797" s="63" t="str">
        <f>HYPERLINK("https://www.sds-group.ru/product/kolpachok-izoliruyuschiy-dlya-razemov-rj-45-zelenyy-rexant-05-1204/", "Инфо")</f>
        <v>Инфо</v>
      </c>
      <c r="F6797" s="16" t="s">
        <v>39</v>
      </c>
      <c r="G6797" s="15"/>
      <c r="H6797" s="15"/>
      <c r="I6797" s="15"/>
      <c r="J6797" s="22">
        <v>7100</v>
      </c>
      <c r="K6797" s="15" t="s">
        <v>6939</v>
      </c>
      <c r="L6797" s="17">
        <v>100</v>
      </c>
      <c r="M6797" s="22">
        <v>2500</v>
      </c>
      <c r="N6797" s="17">
        <v>100</v>
      </c>
      <c r="O6797" s="18">
        <v>5.71</v>
      </c>
      <c r="P6797" s="18">
        <v>4.68</v>
      </c>
      <c r="Q6797" s="18">
        <v>4.8499999999999996</v>
      </c>
      <c r="R6797" s="18">
        <v>3.98</v>
      </c>
      <c r="S6797" s="18">
        <v>3.43</v>
      </c>
      <c r="T6797" s="18">
        <v>2.81</v>
      </c>
      <c r="U6797" s="16"/>
      <c r="V6797" s="16"/>
      <c r="W6797" s="16" t="s">
        <v>40</v>
      </c>
      <c r="X6797" s="19">
        <v>2E-3</v>
      </c>
      <c r="Y6797" s="20">
        <v>1.0000000000000001E-5</v>
      </c>
      <c r="Z6797" s="21">
        <v>4601004070790</v>
      </c>
    </row>
    <row r="6798" spans="1:26" ht="12" customHeight="1" outlineLevel="3" x14ac:dyDescent="0.2">
      <c r="A6798" s="14" t="s">
        <v>13071</v>
      </c>
      <c r="B6798" s="26" t="s">
        <v>13072</v>
      </c>
      <c r="C6798" s="52"/>
      <c r="D6798" s="55">
        <f t="shared" si="106"/>
        <v>0</v>
      </c>
      <c r="E6798" s="63" t="str">
        <f>HYPERLINK("https://www.sds-group.ru/product/kolpachok-izoliruyuschiy-dlya-razemov-rj-45-krasnyy-rexant-05-1205/", "Инфо")</f>
        <v>Инфо</v>
      </c>
      <c r="F6798" s="16" t="s">
        <v>39</v>
      </c>
      <c r="G6798" s="15"/>
      <c r="H6798" s="15"/>
      <c r="I6798" s="15"/>
      <c r="J6798" s="22">
        <v>6000</v>
      </c>
      <c r="K6798" s="15"/>
      <c r="L6798" s="17">
        <v>100</v>
      </c>
      <c r="M6798" s="22">
        <v>2500</v>
      </c>
      <c r="N6798" s="17">
        <v>100</v>
      </c>
      <c r="O6798" s="18">
        <v>5.71</v>
      </c>
      <c r="P6798" s="18">
        <v>4.68</v>
      </c>
      <c r="Q6798" s="18">
        <v>4.8499999999999996</v>
      </c>
      <c r="R6798" s="18">
        <v>3.98</v>
      </c>
      <c r="S6798" s="18">
        <v>3.43</v>
      </c>
      <c r="T6798" s="18">
        <v>2.81</v>
      </c>
      <c r="U6798" s="16"/>
      <c r="V6798" s="16"/>
      <c r="W6798" s="16" t="s">
        <v>40</v>
      </c>
      <c r="X6798" s="19">
        <v>2E-3</v>
      </c>
      <c r="Y6798" s="20">
        <v>1.1E-5</v>
      </c>
      <c r="Z6798" s="21">
        <v>4601004070806</v>
      </c>
    </row>
    <row r="6799" spans="1:26" ht="12" customHeight="1" outlineLevel="3" x14ac:dyDescent="0.2">
      <c r="A6799" s="14" t="s">
        <v>13073</v>
      </c>
      <c r="B6799" s="26" t="s">
        <v>13074</v>
      </c>
      <c r="C6799" s="52"/>
      <c r="D6799" s="55">
        <f t="shared" si="106"/>
        <v>0</v>
      </c>
      <c r="E6799" s="63" t="str">
        <f>HYPERLINK("https://www.sds-group.ru/product/kolpachok-izoliruyuschiy-dlya-razemov-rj-45-seryy-rexant-05-1208/", "Инфо")</f>
        <v>Инфо</v>
      </c>
      <c r="F6799" s="16" t="s">
        <v>39</v>
      </c>
      <c r="G6799" s="15"/>
      <c r="H6799" s="15"/>
      <c r="I6799" s="15"/>
      <c r="J6799" s="16" t="s">
        <v>100</v>
      </c>
      <c r="K6799" s="15" t="s">
        <v>6930</v>
      </c>
      <c r="L6799" s="17">
        <v>100</v>
      </c>
      <c r="M6799" s="22">
        <v>2500</v>
      </c>
      <c r="N6799" s="17">
        <v>100</v>
      </c>
      <c r="O6799" s="18">
        <v>5.71</v>
      </c>
      <c r="P6799" s="18">
        <v>4.68</v>
      </c>
      <c r="Q6799" s="18">
        <v>4.8499999999999996</v>
      </c>
      <c r="R6799" s="18">
        <v>3.98</v>
      </c>
      <c r="S6799" s="18">
        <v>3.43</v>
      </c>
      <c r="T6799" s="18">
        <v>2.81</v>
      </c>
      <c r="U6799" s="16"/>
      <c r="V6799" s="16"/>
      <c r="W6799" s="16" t="s">
        <v>40</v>
      </c>
      <c r="X6799" s="19">
        <v>2E-3</v>
      </c>
      <c r="Y6799" s="20">
        <v>1.1E-5</v>
      </c>
      <c r="Z6799" s="21">
        <v>4601004070721</v>
      </c>
    </row>
    <row r="6800" spans="1:26" ht="12" customHeight="1" outlineLevel="3" x14ac:dyDescent="0.2">
      <c r="A6800" s="14" t="s">
        <v>13075</v>
      </c>
      <c r="B6800" s="26" t="s">
        <v>13076</v>
      </c>
      <c r="C6800" s="52"/>
      <c r="D6800" s="55">
        <f t="shared" si="106"/>
        <v>0</v>
      </c>
      <c r="E6800" s="63" t="str">
        <f>HYPERLINK("https://www.sds-group.ru/product/kolpachok-izoliruyuschiy-dlya-razemov-rj-45-siniy-rexant-05-1209/", "Инфо")</f>
        <v>Инфо</v>
      </c>
      <c r="F6800" s="16" t="s">
        <v>39</v>
      </c>
      <c r="G6800" s="15"/>
      <c r="H6800" s="15"/>
      <c r="I6800" s="15"/>
      <c r="J6800" s="22">
        <v>12000</v>
      </c>
      <c r="K6800" s="15" t="s">
        <v>6434</v>
      </c>
      <c r="L6800" s="17">
        <v>100</v>
      </c>
      <c r="M6800" s="22">
        <v>2500</v>
      </c>
      <c r="N6800" s="17">
        <v>100</v>
      </c>
      <c r="O6800" s="18">
        <v>5.71</v>
      </c>
      <c r="P6800" s="18">
        <v>4.68</v>
      </c>
      <c r="Q6800" s="18">
        <v>4.8499999999999996</v>
      </c>
      <c r="R6800" s="18">
        <v>3.98</v>
      </c>
      <c r="S6800" s="18">
        <v>3.43</v>
      </c>
      <c r="T6800" s="18">
        <v>2.81</v>
      </c>
      <c r="U6800" s="16"/>
      <c r="V6800" s="16"/>
      <c r="W6800" s="16" t="s">
        <v>40</v>
      </c>
      <c r="X6800" s="19">
        <v>2E-3</v>
      </c>
      <c r="Y6800" s="20">
        <v>1.1E-5</v>
      </c>
      <c r="Z6800" s="21">
        <v>4601004070813</v>
      </c>
    </row>
    <row r="6801" spans="1:26" ht="12" customHeight="1" outlineLevel="3" x14ac:dyDescent="0.2">
      <c r="A6801" s="14" t="s">
        <v>13077</v>
      </c>
      <c r="B6801" s="26" t="s">
        <v>13078</v>
      </c>
      <c r="C6801" s="52"/>
      <c r="D6801" s="55">
        <f t="shared" si="106"/>
        <v>0</v>
      </c>
      <c r="E6801" s="63" t="str">
        <f>HYPERLINK("https://www.sds-group.ru/product/kolpachok-izoliruyuschiy-dlya-razemov-rj-45-chernyy-rexant-05-1210/", "Инфо")</f>
        <v>Инфо</v>
      </c>
      <c r="F6801" s="16" t="s">
        <v>39</v>
      </c>
      <c r="G6801" s="15"/>
      <c r="H6801" s="15"/>
      <c r="I6801" s="15"/>
      <c r="J6801" s="16" t="s">
        <v>100</v>
      </c>
      <c r="K6801" s="15" t="s">
        <v>1587</v>
      </c>
      <c r="L6801" s="17">
        <v>100</v>
      </c>
      <c r="M6801" s="22">
        <v>2500</v>
      </c>
      <c r="N6801" s="17">
        <v>100</v>
      </c>
      <c r="O6801" s="18">
        <v>5.71</v>
      </c>
      <c r="P6801" s="18">
        <v>4.68</v>
      </c>
      <c r="Q6801" s="18">
        <v>4.8499999999999996</v>
      </c>
      <c r="R6801" s="18">
        <v>3.98</v>
      </c>
      <c r="S6801" s="18">
        <v>3.43</v>
      </c>
      <c r="T6801" s="18">
        <v>2.81</v>
      </c>
      <c r="U6801" s="16"/>
      <c r="V6801" s="16"/>
      <c r="W6801" s="16" t="s">
        <v>40</v>
      </c>
      <c r="X6801" s="19">
        <v>2E-3</v>
      </c>
      <c r="Y6801" s="20">
        <v>1.1E-5</v>
      </c>
      <c r="Z6801" s="21">
        <v>4601004070752</v>
      </c>
    </row>
    <row r="6802" spans="1:26" ht="12.95" customHeight="1" outlineLevel="1" x14ac:dyDescent="0.2">
      <c r="A6802" s="78" t="s">
        <v>13079</v>
      </c>
      <c r="B6802" s="78"/>
      <c r="C6802" s="79"/>
      <c r="D6802" s="57"/>
      <c r="E6802" s="67"/>
      <c r="F6802" s="12"/>
      <c r="G6802" s="12"/>
      <c r="H6802" s="12"/>
      <c r="I6802" s="12"/>
      <c r="J6802" s="12"/>
      <c r="K6802" s="12"/>
      <c r="L6802" s="12"/>
      <c r="M6802" s="12"/>
      <c r="N6802" s="12"/>
      <c r="O6802" s="12"/>
      <c r="P6802" s="12"/>
      <c r="Q6802" s="12"/>
      <c r="R6802" s="12"/>
      <c r="S6802" s="12"/>
      <c r="T6802" s="12"/>
      <c r="U6802" s="12"/>
      <c r="V6802" s="12"/>
      <c r="W6802" s="12"/>
      <c r="X6802" s="12"/>
      <c r="Y6802" s="12"/>
      <c r="Z6802" s="12"/>
    </row>
    <row r="6803" spans="1:26" ht="12.95" customHeight="1" outlineLevel="2" x14ac:dyDescent="0.2">
      <c r="A6803" s="76" t="s">
        <v>13080</v>
      </c>
      <c r="B6803" s="76"/>
      <c r="C6803" s="77"/>
      <c r="D6803" s="58"/>
      <c r="E6803" s="68"/>
      <c r="F6803" s="13"/>
      <c r="G6803" s="13"/>
      <c r="H6803" s="13"/>
      <c r="I6803" s="13"/>
      <c r="J6803" s="13"/>
      <c r="K6803" s="13"/>
      <c r="L6803" s="13"/>
      <c r="M6803" s="13"/>
      <c r="N6803" s="13"/>
      <c r="O6803" s="13"/>
      <c r="P6803" s="13"/>
      <c r="Q6803" s="13"/>
      <c r="R6803" s="13"/>
      <c r="S6803" s="13"/>
      <c r="T6803" s="13"/>
      <c r="U6803" s="13"/>
      <c r="V6803" s="13"/>
      <c r="W6803" s="13"/>
      <c r="X6803" s="13"/>
      <c r="Y6803" s="13"/>
      <c r="Z6803" s="13"/>
    </row>
    <row r="6804" spans="1:26" ht="12" customHeight="1" outlineLevel="3" x14ac:dyDescent="0.2">
      <c r="A6804" s="14" t="s">
        <v>13081</v>
      </c>
      <c r="B6804" s="26" t="s">
        <v>13082</v>
      </c>
      <c r="C6804" s="52"/>
      <c r="D6804" s="55">
        <f t="shared" si="106"/>
        <v>0</v>
      </c>
      <c r="E6804" s="63" t="str">
        <f>HYPERLINK("https://www.sds-group.ru/product/rozetka-kombinirovannaya-vneshnyaya-utp-rj-45-8p8c-rj-11-6p-4c-rexant-03-0120/", "Инфо")</f>
        <v>Инфо</v>
      </c>
      <c r="F6804" s="16" t="s">
        <v>39</v>
      </c>
      <c r="G6804" s="15"/>
      <c r="H6804" s="15"/>
      <c r="I6804" s="15"/>
      <c r="J6804" s="17">
        <v>214</v>
      </c>
      <c r="K6804" s="15" t="s">
        <v>4020</v>
      </c>
      <c r="L6804" s="17">
        <v>5</v>
      </c>
      <c r="M6804" s="17">
        <v>250</v>
      </c>
      <c r="N6804" s="17">
        <v>5</v>
      </c>
      <c r="O6804" s="18">
        <v>332.71</v>
      </c>
      <c r="P6804" s="18">
        <v>272.70999999999998</v>
      </c>
      <c r="Q6804" s="18">
        <v>282.8</v>
      </c>
      <c r="R6804" s="18">
        <v>231.8</v>
      </c>
      <c r="S6804" s="18">
        <v>199.63</v>
      </c>
      <c r="T6804" s="18">
        <v>163.63</v>
      </c>
      <c r="U6804" s="16"/>
      <c r="V6804" s="16"/>
      <c r="W6804" s="16" t="s">
        <v>40</v>
      </c>
      <c r="X6804" s="19">
        <v>4.8000000000000001E-2</v>
      </c>
      <c r="Y6804" s="20">
        <v>9.9999999999999995E-7</v>
      </c>
      <c r="Z6804" s="21">
        <v>4601004133532</v>
      </c>
    </row>
    <row r="6805" spans="1:26" ht="12" customHeight="1" outlineLevel="3" x14ac:dyDescent="0.2">
      <c r="A6805" s="14" t="s">
        <v>13083</v>
      </c>
      <c r="B6805" s="26" t="s">
        <v>13084</v>
      </c>
      <c r="C6805" s="52"/>
      <c r="D6805" s="55">
        <f t="shared" si="106"/>
        <v>0</v>
      </c>
      <c r="E6805" s="63" t="str">
        <f>HYPERLINK("https://www.sds-group.ru/product/rozetka-kompyuternaya-vneshnyaya-1-port-rj-45-8p8c-stp-cat-5e-rexant-03-0122/", "Инфо")</f>
        <v>Инфо</v>
      </c>
      <c r="F6805" s="16" t="s">
        <v>39</v>
      </c>
      <c r="G6805" s="15"/>
      <c r="H6805" s="15"/>
      <c r="I6805" s="15"/>
      <c r="J6805" s="22">
        <v>1808</v>
      </c>
      <c r="K6805" s="15" t="s">
        <v>6798</v>
      </c>
      <c r="L6805" s="17">
        <v>5</v>
      </c>
      <c r="M6805" s="17">
        <v>500</v>
      </c>
      <c r="N6805" s="17">
        <v>5</v>
      </c>
      <c r="O6805" s="18">
        <v>255.75</v>
      </c>
      <c r="P6805" s="18">
        <v>209.63</v>
      </c>
      <c r="Q6805" s="18">
        <v>217.39</v>
      </c>
      <c r="R6805" s="18">
        <v>178.19</v>
      </c>
      <c r="S6805" s="18">
        <v>153.44999999999999</v>
      </c>
      <c r="T6805" s="18">
        <v>125.78</v>
      </c>
      <c r="U6805" s="16"/>
      <c r="V6805" s="16"/>
      <c r="W6805" s="16" t="s">
        <v>40</v>
      </c>
      <c r="X6805" s="19">
        <v>0.04</v>
      </c>
      <c r="Y6805" s="20">
        <v>1.4300000000000001E-4</v>
      </c>
      <c r="Z6805" s="21">
        <v>4610003602666</v>
      </c>
    </row>
    <row r="6806" spans="1:26" ht="12" customHeight="1" outlineLevel="3" x14ac:dyDescent="0.2">
      <c r="A6806" s="14" t="s">
        <v>13085</v>
      </c>
      <c r="B6806" s="26" t="s">
        <v>13086</v>
      </c>
      <c r="C6806" s="52"/>
      <c r="D6806" s="55">
        <f t="shared" si="106"/>
        <v>0</v>
      </c>
      <c r="E6806" s="63" t="str">
        <f>HYPERLINK("https://www.sds-group.ru/product/rozetka-kompyuternaya-vneshnyaya-1-port-utp-rj-45-8p8c-cat-5e-rexant-03-0121/", "Инфо")</f>
        <v>Инфо</v>
      </c>
      <c r="F6806" s="16" t="s">
        <v>39</v>
      </c>
      <c r="G6806" s="15"/>
      <c r="H6806" s="15"/>
      <c r="I6806" s="15"/>
      <c r="J6806" s="22">
        <v>25303</v>
      </c>
      <c r="K6806" s="15" t="s">
        <v>6798</v>
      </c>
      <c r="L6806" s="17">
        <v>10</v>
      </c>
      <c r="M6806" s="17">
        <v>200</v>
      </c>
      <c r="N6806" s="17">
        <v>10</v>
      </c>
      <c r="O6806" s="18">
        <v>189.07</v>
      </c>
      <c r="P6806" s="18">
        <v>154.97999999999999</v>
      </c>
      <c r="Q6806" s="18">
        <v>160.71</v>
      </c>
      <c r="R6806" s="18">
        <v>131.72999999999999</v>
      </c>
      <c r="S6806" s="18">
        <v>113.44</v>
      </c>
      <c r="T6806" s="18">
        <v>92.98</v>
      </c>
      <c r="U6806" s="16"/>
      <c r="V6806" s="16"/>
      <c r="W6806" s="16" t="s">
        <v>40</v>
      </c>
      <c r="X6806" s="19">
        <v>4.1000000000000002E-2</v>
      </c>
      <c r="Y6806" s="20">
        <v>1.66E-4</v>
      </c>
      <c r="Z6806" s="21">
        <v>4610003602659</v>
      </c>
    </row>
    <row r="6807" spans="1:26" ht="12" customHeight="1" outlineLevel="3" x14ac:dyDescent="0.2">
      <c r="A6807" s="14" t="s">
        <v>13087</v>
      </c>
      <c r="B6807" s="26" t="s">
        <v>13088</v>
      </c>
      <c r="C6807" s="52"/>
      <c r="D6807" s="55">
        <f t="shared" si="106"/>
        <v>0</v>
      </c>
      <c r="E6807" s="63" t="str">
        <f>HYPERLINK("https://www.sds-group.ru/product/rozetka-kompyuternaya-vneshnyaya-2-porta-utp-rj-45-8p8c-cat-5e-rexant-03-0151/", "Инфо")</f>
        <v>Инфо</v>
      </c>
      <c r="F6807" s="16" t="s">
        <v>39</v>
      </c>
      <c r="G6807" s="15"/>
      <c r="H6807" s="15"/>
      <c r="I6807" s="15"/>
      <c r="J6807" s="22">
        <v>17521</v>
      </c>
      <c r="K6807" s="15" t="s">
        <v>6798</v>
      </c>
      <c r="L6807" s="17">
        <v>5</v>
      </c>
      <c r="M6807" s="17">
        <v>100</v>
      </c>
      <c r="N6807" s="17">
        <v>5</v>
      </c>
      <c r="O6807" s="18">
        <v>277.55</v>
      </c>
      <c r="P6807" s="18">
        <v>227.5</v>
      </c>
      <c r="Q6807" s="18">
        <v>235.92</v>
      </c>
      <c r="R6807" s="18">
        <v>193.38</v>
      </c>
      <c r="S6807" s="18">
        <v>166.53</v>
      </c>
      <c r="T6807" s="18">
        <v>136.5</v>
      </c>
      <c r="U6807" s="16"/>
      <c r="V6807" s="16"/>
      <c r="W6807" s="16" t="s">
        <v>40</v>
      </c>
      <c r="X6807" s="19">
        <v>5.3999999999999999E-2</v>
      </c>
      <c r="Y6807" s="20">
        <v>1.9900000000000001E-4</v>
      </c>
      <c r="Z6807" s="21">
        <v>4610003602703</v>
      </c>
    </row>
    <row r="6808" spans="1:26" ht="12.95" customHeight="1" outlineLevel="2" x14ac:dyDescent="0.2">
      <c r="A6808" s="76" t="s">
        <v>13089</v>
      </c>
      <c r="B6808" s="76"/>
      <c r="C6808" s="77"/>
      <c r="D6808" s="58"/>
      <c r="E6808" s="68"/>
      <c r="F6808" s="13"/>
      <c r="G6808" s="13"/>
      <c r="H6808" s="13"/>
      <c r="I6808" s="13"/>
      <c r="J6808" s="13"/>
      <c r="K6808" s="13"/>
      <c r="L6808" s="13"/>
      <c r="M6808" s="13"/>
      <c r="N6808" s="13"/>
      <c r="O6808" s="13"/>
      <c r="P6808" s="13"/>
      <c r="Q6808" s="13"/>
      <c r="R6808" s="13"/>
      <c r="S6808" s="13"/>
      <c r="T6808" s="13"/>
      <c r="U6808" s="13"/>
      <c r="V6808" s="13"/>
      <c r="W6808" s="13"/>
      <c r="X6808" s="13"/>
      <c r="Y6808" s="13"/>
      <c r="Z6808" s="13"/>
    </row>
    <row r="6809" spans="1:26" ht="12" customHeight="1" outlineLevel="3" x14ac:dyDescent="0.2">
      <c r="A6809" s="14" t="s">
        <v>13090</v>
      </c>
      <c r="B6809" s="26" t="s">
        <v>13091</v>
      </c>
      <c r="C6809" s="52"/>
      <c r="D6809" s="55">
        <f t="shared" si="106"/>
        <v>0</v>
      </c>
      <c r="E6809" s="63" t="str">
        <f>HYPERLINK("https://www.sds-group.ru/product/rozetka-kompyuternaya-vneshnyaya-1-port-rj-45-8p8c-stp-cat-6-rexant-03-0142/", "Инфо")</f>
        <v>Инфо</v>
      </c>
      <c r="F6809" s="16" t="s">
        <v>39</v>
      </c>
      <c r="G6809" s="15"/>
      <c r="H6809" s="15"/>
      <c r="I6809" s="15"/>
      <c r="J6809" s="16" t="s">
        <v>100</v>
      </c>
      <c r="K6809" s="15" t="s">
        <v>6798</v>
      </c>
      <c r="L6809" s="17">
        <v>5</v>
      </c>
      <c r="M6809" s="17">
        <v>200</v>
      </c>
      <c r="N6809" s="17">
        <v>5</v>
      </c>
      <c r="O6809" s="18">
        <v>294.39</v>
      </c>
      <c r="P6809" s="18">
        <v>241.3</v>
      </c>
      <c r="Q6809" s="18">
        <v>250.23</v>
      </c>
      <c r="R6809" s="18">
        <v>205.11</v>
      </c>
      <c r="S6809" s="18">
        <v>176.63</v>
      </c>
      <c r="T6809" s="18">
        <v>144.78</v>
      </c>
      <c r="U6809" s="16"/>
      <c r="V6809" s="16"/>
      <c r="W6809" s="16" t="s">
        <v>40</v>
      </c>
      <c r="X6809" s="19">
        <v>4.2000000000000003E-2</v>
      </c>
      <c r="Y6809" s="20">
        <v>1.7000000000000001E-4</v>
      </c>
      <c r="Z6809" s="21">
        <v>4601004238824</v>
      </c>
    </row>
    <row r="6810" spans="1:26" ht="12" customHeight="1" outlineLevel="3" x14ac:dyDescent="0.2">
      <c r="A6810" s="14" t="s">
        <v>13092</v>
      </c>
      <c r="B6810" s="26" t="s">
        <v>13093</v>
      </c>
      <c r="C6810" s="52"/>
      <c r="D6810" s="55">
        <f t="shared" si="106"/>
        <v>0</v>
      </c>
      <c r="E6810" s="63" t="str">
        <f>HYPERLINK("https://www.sds-group.ru/product/rozetka-kompyuternaya-vneshnyaya-1-port-rj-45-8p8c-utp-cat-6-rexant-03-0132/", "Инфо")</f>
        <v>Инфо</v>
      </c>
      <c r="F6810" s="16" t="s">
        <v>39</v>
      </c>
      <c r="G6810" s="15"/>
      <c r="H6810" s="15"/>
      <c r="I6810" s="15"/>
      <c r="J6810" s="17">
        <v>499</v>
      </c>
      <c r="K6810" s="15" t="s">
        <v>6798</v>
      </c>
      <c r="L6810" s="17">
        <v>5</v>
      </c>
      <c r="M6810" s="17">
        <v>200</v>
      </c>
      <c r="N6810" s="17">
        <v>5</v>
      </c>
      <c r="O6810" s="18">
        <v>227.03</v>
      </c>
      <c r="P6810" s="18">
        <v>186.09</v>
      </c>
      <c r="Q6810" s="18">
        <v>192.98</v>
      </c>
      <c r="R6810" s="18">
        <v>158.18</v>
      </c>
      <c r="S6810" s="18">
        <v>136.22</v>
      </c>
      <c r="T6810" s="18">
        <v>111.66</v>
      </c>
      <c r="U6810" s="16"/>
      <c r="V6810" s="16"/>
      <c r="W6810" s="16" t="s">
        <v>40</v>
      </c>
      <c r="X6810" s="19">
        <v>4.1000000000000002E-2</v>
      </c>
      <c r="Y6810" s="20">
        <v>1.63E-4</v>
      </c>
      <c r="Z6810" s="21">
        <v>4601004238879</v>
      </c>
    </row>
    <row r="6811" spans="1:26" ht="12" customHeight="1" outlineLevel="3" x14ac:dyDescent="0.2">
      <c r="A6811" s="14" t="s">
        <v>13094</v>
      </c>
      <c r="B6811" s="26" t="s">
        <v>13095</v>
      </c>
      <c r="C6811" s="52"/>
      <c r="D6811" s="55">
        <f t="shared" si="106"/>
        <v>0</v>
      </c>
      <c r="E6811" s="63" t="str">
        <f>HYPERLINK("https://www.sds-group.ru/product/rozetka-kompyuternaya-vneshnyaya-2-porta-rj-45-8p8c-stp-cat-6-rexant-03-0146/", "Инфо")</f>
        <v>Инфо</v>
      </c>
      <c r="F6811" s="16" t="s">
        <v>39</v>
      </c>
      <c r="G6811" s="15"/>
      <c r="H6811" s="15"/>
      <c r="I6811" s="15"/>
      <c r="J6811" s="17">
        <v>258</v>
      </c>
      <c r="K6811" s="15" t="s">
        <v>4020</v>
      </c>
      <c r="L6811" s="17">
        <v>5</v>
      </c>
      <c r="M6811" s="17">
        <v>100</v>
      </c>
      <c r="N6811" s="17">
        <v>5</v>
      </c>
      <c r="O6811" s="18">
        <v>494.27</v>
      </c>
      <c r="P6811" s="18">
        <v>405.14</v>
      </c>
      <c r="Q6811" s="18">
        <v>395.42</v>
      </c>
      <c r="R6811" s="18">
        <v>324.11</v>
      </c>
      <c r="S6811" s="18">
        <v>296.56</v>
      </c>
      <c r="T6811" s="18">
        <v>243.08</v>
      </c>
      <c r="U6811" s="16"/>
      <c r="V6811" s="16"/>
      <c r="W6811" s="16" t="s">
        <v>40</v>
      </c>
      <c r="X6811" s="19">
        <v>5.7000000000000002E-2</v>
      </c>
      <c r="Y6811" s="20">
        <v>2.0100000000000001E-4</v>
      </c>
      <c r="Z6811" s="21">
        <v>4601004238855</v>
      </c>
    </row>
    <row r="6812" spans="1:26" ht="12" customHeight="1" outlineLevel="3" x14ac:dyDescent="0.2">
      <c r="A6812" s="14" t="s">
        <v>13096</v>
      </c>
      <c r="B6812" s="26" t="s">
        <v>13097</v>
      </c>
      <c r="C6812" s="52"/>
      <c r="D6812" s="55">
        <f t="shared" si="106"/>
        <v>0</v>
      </c>
      <c r="E6812" s="63" t="str">
        <f>HYPERLINK("https://www.sds-group.ru/product/rozetka-kompyuternaya-vneshnyaya-2-porta-rj-45-8p8c-utp-cat-6-rexant-03-0136/", "Инфо")</f>
        <v>Инфо</v>
      </c>
      <c r="F6812" s="16" t="s">
        <v>39</v>
      </c>
      <c r="G6812" s="15"/>
      <c r="H6812" s="15"/>
      <c r="I6812" s="15"/>
      <c r="J6812" s="17">
        <v>158</v>
      </c>
      <c r="K6812" s="15" t="s">
        <v>940</v>
      </c>
      <c r="L6812" s="17">
        <v>5</v>
      </c>
      <c r="M6812" s="17">
        <v>100</v>
      </c>
      <c r="N6812" s="17">
        <v>5</v>
      </c>
      <c r="O6812" s="18">
        <v>420.9</v>
      </c>
      <c r="P6812" s="18">
        <v>345</v>
      </c>
      <c r="Q6812" s="18">
        <v>357.77</v>
      </c>
      <c r="R6812" s="18">
        <v>293.25</v>
      </c>
      <c r="S6812" s="18">
        <v>252.54</v>
      </c>
      <c r="T6812" s="18">
        <v>207</v>
      </c>
      <c r="U6812" s="16"/>
      <c r="V6812" s="16"/>
      <c r="W6812" s="16" t="s">
        <v>40</v>
      </c>
      <c r="X6812" s="19">
        <v>5.5E-2</v>
      </c>
      <c r="Y6812" s="20">
        <v>1.9799999999999999E-4</v>
      </c>
      <c r="Z6812" s="21">
        <v>4601004238831</v>
      </c>
    </row>
    <row r="6813" spans="1:26" ht="12.95" customHeight="1" outlineLevel="2" x14ac:dyDescent="0.2">
      <c r="A6813" s="76" t="s">
        <v>13098</v>
      </c>
      <c r="B6813" s="76"/>
      <c r="C6813" s="77"/>
      <c r="D6813" s="58"/>
      <c r="E6813" s="68"/>
      <c r="F6813" s="13"/>
      <c r="G6813" s="13"/>
      <c r="H6813" s="13"/>
      <c r="I6813" s="13"/>
      <c r="J6813" s="13"/>
      <c r="K6813" s="13"/>
      <c r="L6813" s="13"/>
      <c r="M6813" s="13"/>
      <c r="N6813" s="13"/>
      <c r="O6813" s="13"/>
      <c r="P6813" s="13"/>
      <c r="Q6813" s="13"/>
      <c r="R6813" s="13"/>
      <c r="S6813" s="13"/>
      <c r="T6813" s="13"/>
      <c r="U6813" s="13"/>
      <c r="V6813" s="13"/>
      <c r="W6813" s="13"/>
      <c r="X6813" s="13"/>
      <c r="Y6813" s="13"/>
      <c r="Z6813" s="13"/>
    </row>
    <row r="6814" spans="1:26" ht="12" customHeight="1" outlineLevel="3" x14ac:dyDescent="0.2">
      <c r="A6814" s="14" t="s">
        <v>13099</v>
      </c>
      <c r="B6814" s="26" t="s">
        <v>13100</v>
      </c>
      <c r="C6814" s="52"/>
      <c r="D6814" s="55">
        <f t="shared" si="106"/>
        <v>0</v>
      </c>
      <c r="E6814" s="63" t="str">
        <f>HYPERLINK("https://www.sds-group.ru/product/adapter-na-din-reyku-dlya-moduley-keystone-rexant-03-0259/", "Инфо")</f>
        <v>Инфо</v>
      </c>
      <c r="F6814" s="16" t="s">
        <v>39</v>
      </c>
      <c r="G6814" s="15"/>
      <c r="H6814" s="15"/>
      <c r="I6814" s="15"/>
      <c r="J6814" s="17">
        <v>190</v>
      </c>
      <c r="K6814" s="15" t="s">
        <v>1055</v>
      </c>
      <c r="L6814" s="17">
        <v>5</v>
      </c>
      <c r="M6814" s="17">
        <v>250</v>
      </c>
      <c r="N6814" s="17">
        <v>5</v>
      </c>
      <c r="O6814" s="18">
        <v>394.48</v>
      </c>
      <c r="P6814" s="18">
        <v>323.33999999999997</v>
      </c>
      <c r="Q6814" s="18">
        <v>335.31</v>
      </c>
      <c r="R6814" s="18">
        <v>274.83999999999997</v>
      </c>
      <c r="S6814" s="18">
        <v>236.69</v>
      </c>
      <c r="T6814" s="18">
        <v>194.01</v>
      </c>
      <c r="U6814" s="16"/>
      <c r="V6814" s="16"/>
      <c r="W6814" s="16" t="s">
        <v>40</v>
      </c>
      <c r="X6814" s="19">
        <v>3.4000000000000002E-2</v>
      </c>
      <c r="Y6814" s="20">
        <v>2.4000000000000001E-4</v>
      </c>
      <c r="Z6814" s="21">
        <v>4601004276154</v>
      </c>
    </row>
    <row r="6815" spans="1:26" ht="12" customHeight="1" outlineLevel="3" x14ac:dyDescent="0.2">
      <c r="A6815" s="14" t="s">
        <v>13101</v>
      </c>
      <c r="B6815" s="26" t="s">
        <v>13102</v>
      </c>
      <c r="C6815" s="52"/>
      <c r="D6815" s="55">
        <f t="shared" si="106"/>
        <v>0</v>
      </c>
      <c r="E6815" s="63" t="str">
        <f>HYPERLINK("https://www.sds-group.ru/product/korpus-nastennoy-rozetki-pod-1-modul-keystone-jack-belyy-03-0221/", "Инфо")</f>
        <v>Инфо</v>
      </c>
      <c r="F6815" s="16" t="s">
        <v>39</v>
      </c>
      <c r="G6815" s="15"/>
      <c r="H6815" s="15"/>
      <c r="I6815" s="15"/>
      <c r="J6815" s="17">
        <v>157</v>
      </c>
      <c r="K6815" s="15"/>
      <c r="L6815" s="17">
        <v>10</v>
      </c>
      <c r="M6815" s="17">
        <v>300</v>
      </c>
      <c r="N6815" s="17">
        <v>10</v>
      </c>
      <c r="O6815" s="18">
        <v>135.91999999999999</v>
      </c>
      <c r="P6815" s="18">
        <v>111.41</v>
      </c>
      <c r="Q6815" s="18">
        <v>95.14</v>
      </c>
      <c r="R6815" s="18">
        <v>77.98</v>
      </c>
      <c r="S6815" s="18">
        <v>81.55</v>
      </c>
      <c r="T6815" s="18">
        <v>66.84</v>
      </c>
      <c r="U6815" s="16"/>
      <c r="V6815" s="16"/>
      <c r="W6815" s="16"/>
      <c r="X6815" s="19">
        <v>3.4000000000000002E-2</v>
      </c>
      <c r="Y6815" s="20">
        <v>1.54E-4</v>
      </c>
      <c r="Z6815" s="21">
        <v>4601004276109</v>
      </c>
    </row>
    <row r="6816" spans="1:26" ht="12" customHeight="1" outlineLevel="3" x14ac:dyDescent="0.2">
      <c r="A6816" s="14" t="s">
        <v>13103</v>
      </c>
      <c r="B6816" s="26" t="s">
        <v>13104</v>
      </c>
      <c r="C6816" s="52"/>
      <c r="D6816" s="55">
        <f t="shared" si="106"/>
        <v>0</v>
      </c>
      <c r="E6816" s="63" t="str">
        <f>HYPERLINK("https://www.sds-group.ru/product/korpus-nastennoy-rozetki-pod-2-modulya-keystone-jack-belyy-03-0251/", "Инфо")</f>
        <v>Инфо</v>
      </c>
      <c r="F6816" s="16" t="s">
        <v>39</v>
      </c>
      <c r="G6816" s="15"/>
      <c r="H6816" s="15"/>
      <c r="I6816" s="15"/>
      <c r="J6816" s="17">
        <v>268</v>
      </c>
      <c r="K6816" s="15"/>
      <c r="L6816" s="17">
        <v>10</v>
      </c>
      <c r="M6816" s="17">
        <v>300</v>
      </c>
      <c r="N6816" s="17">
        <v>10</v>
      </c>
      <c r="O6816" s="18">
        <v>164.85</v>
      </c>
      <c r="P6816" s="18">
        <v>135.12</v>
      </c>
      <c r="Q6816" s="18">
        <v>140.12</v>
      </c>
      <c r="R6816" s="18">
        <v>114.85</v>
      </c>
      <c r="S6816" s="18">
        <v>98.91</v>
      </c>
      <c r="T6816" s="18">
        <v>81.069999999999993</v>
      </c>
      <c r="U6816" s="16"/>
      <c r="V6816" s="16"/>
      <c r="W6816" s="16" t="s">
        <v>40</v>
      </c>
      <c r="X6816" s="19">
        <v>3.3000000000000002E-2</v>
      </c>
      <c r="Y6816" s="20">
        <v>1.9900000000000001E-4</v>
      </c>
      <c r="Z6816" s="21">
        <v>4601004276116</v>
      </c>
    </row>
    <row r="6817" spans="1:26" ht="12.95" customHeight="1" outlineLevel="2" x14ac:dyDescent="0.2">
      <c r="A6817" s="76" t="s">
        <v>13105</v>
      </c>
      <c r="B6817" s="76"/>
      <c r="C6817" s="77"/>
      <c r="D6817" s="58"/>
      <c r="E6817" s="68"/>
      <c r="F6817" s="13"/>
      <c r="G6817" s="13"/>
      <c r="H6817" s="13"/>
      <c r="I6817" s="13"/>
      <c r="J6817" s="13"/>
      <c r="K6817" s="13"/>
      <c r="L6817" s="13"/>
      <c r="M6817" s="13"/>
      <c r="N6817" s="13"/>
      <c r="O6817" s="13"/>
      <c r="P6817" s="13"/>
      <c r="Q6817" s="13"/>
      <c r="R6817" s="13"/>
      <c r="S6817" s="13"/>
      <c r="T6817" s="13"/>
      <c r="U6817" s="13"/>
      <c r="V6817" s="13"/>
      <c r="W6817" s="13"/>
      <c r="X6817" s="13"/>
      <c r="Y6817" s="13"/>
      <c r="Z6817" s="13"/>
    </row>
    <row r="6818" spans="1:26" ht="12" customHeight="1" outlineLevel="3" x14ac:dyDescent="0.2">
      <c r="A6818" s="14" t="s">
        <v>13106</v>
      </c>
      <c r="B6818" s="26" t="s">
        <v>13107</v>
      </c>
      <c r="C6818" s="52"/>
      <c r="D6818" s="55">
        <f t="shared" si="106"/>
        <v>0</v>
      </c>
      <c r="E6818" s="63" t="str">
        <f>HYPERLINK("https://www.sds-group.ru/product/vstavka-mosaic-22-5x45-na-1-port-so-shtorkoy-03-0260/", "Инфо")</f>
        <v>Инфо</v>
      </c>
      <c r="F6818" s="16" t="s">
        <v>39</v>
      </c>
      <c r="G6818" s="15"/>
      <c r="H6818" s="15"/>
      <c r="I6818" s="15"/>
      <c r="J6818" s="22">
        <v>2000</v>
      </c>
      <c r="K6818" s="15"/>
      <c r="L6818" s="17">
        <v>10</v>
      </c>
      <c r="M6818" s="22">
        <v>1000</v>
      </c>
      <c r="N6818" s="17">
        <v>10</v>
      </c>
      <c r="O6818" s="18">
        <v>73.849999999999994</v>
      </c>
      <c r="P6818" s="18">
        <v>60.53</v>
      </c>
      <c r="Q6818" s="18">
        <v>62.77</v>
      </c>
      <c r="R6818" s="18">
        <v>51.45</v>
      </c>
      <c r="S6818" s="18">
        <v>44.31</v>
      </c>
      <c r="T6818" s="18">
        <v>36.32</v>
      </c>
      <c r="U6818" s="16"/>
      <c r="V6818" s="16"/>
      <c r="W6818" s="16" t="s">
        <v>40</v>
      </c>
      <c r="X6818" s="19">
        <v>8.9999999999999993E-3</v>
      </c>
      <c r="Y6818" s="20">
        <v>8.2999999999999998E-5</v>
      </c>
      <c r="Z6818" s="21">
        <v>4601004276079</v>
      </c>
    </row>
    <row r="6819" spans="1:26" ht="12" customHeight="1" outlineLevel="3" x14ac:dyDescent="0.2">
      <c r="A6819" s="14" t="s">
        <v>13108</v>
      </c>
      <c r="B6819" s="26" t="s">
        <v>13109</v>
      </c>
      <c r="C6819" s="52"/>
      <c r="D6819" s="55">
        <f t="shared" si="106"/>
        <v>0</v>
      </c>
      <c r="E6819" s="63" t="str">
        <f>HYPERLINK("https://www.sds-group.ru/product/vstavka-mosaic-45x45-na-2-porta-s-prozrachnoy-shtorkoy-i-uvelichennym-oknom-markirovki-belay-03-0162/", "Инфо")</f>
        <v>Инфо</v>
      </c>
      <c r="F6819" s="16" t="s">
        <v>39</v>
      </c>
      <c r="G6819" s="15"/>
      <c r="H6819" s="15"/>
      <c r="I6819" s="15"/>
      <c r="J6819" s="22">
        <v>3947</v>
      </c>
      <c r="K6819" s="15"/>
      <c r="L6819" s="17">
        <v>10</v>
      </c>
      <c r="M6819" s="17">
        <v>500</v>
      </c>
      <c r="N6819" s="17">
        <v>10</v>
      </c>
      <c r="O6819" s="18">
        <v>123.63</v>
      </c>
      <c r="P6819" s="18">
        <v>101.34</v>
      </c>
      <c r="Q6819" s="18">
        <v>105.09</v>
      </c>
      <c r="R6819" s="18">
        <v>86.14</v>
      </c>
      <c r="S6819" s="18">
        <v>74.180000000000007</v>
      </c>
      <c r="T6819" s="18">
        <v>60.8</v>
      </c>
      <c r="U6819" s="16"/>
      <c r="V6819" s="16"/>
      <c r="W6819" s="16" t="s">
        <v>40</v>
      </c>
      <c r="X6819" s="19">
        <v>0.02</v>
      </c>
      <c r="Y6819" s="20">
        <v>9.2999999999999997E-5</v>
      </c>
      <c r="Z6819" s="21">
        <v>4601004276048</v>
      </c>
    </row>
    <row r="6820" spans="1:26" ht="12" customHeight="1" outlineLevel="3" x14ac:dyDescent="0.2">
      <c r="A6820" s="32" t="s">
        <v>13110</v>
      </c>
      <c r="B6820" s="74" t="s">
        <v>13111</v>
      </c>
      <c r="C6820" s="50"/>
      <c r="D6820" s="53">
        <f t="shared" si="106"/>
        <v>0</v>
      </c>
      <c r="E6820" s="60" t="str">
        <f>HYPERLINK("https://www.sds-group.ru/product/korob-nakladnoy-dlya-litsevyh-paneley-80h80-pod-2-modulya-45h22-5-mosaic-03-0126/", "Инфо")</f>
        <v>Инфо</v>
      </c>
      <c r="F6820" s="34" t="s">
        <v>39</v>
      </c>
      <c r="G6820" s="33"/>
      <c r="H6820" s="33" t="s">
        <v>40</v>
      </c>
      <c r="I6820" s="33"/>
      <c r="J6820" s="35">
        <v>519</v>
      </c>
      <c r="K6820" s="33"/>
      <c r="L6820" s="35">
        <v>1</v>
      </c>
      <c r="M6820" s="35">
        <v>100</v>
      </c>
      <c r="N6820" s="35">
        <v>1</v>
      </c>
      <c r="O6820" s="36">
        <v>119.13</v>
      </c>
      <c r="P6820" s="36">
        <v>97.65</v>
      </c>
      <c r="Q6820" s="36">
        <v>83.39</v>
      </c>
      <c r="R6820" s="36">
        <v>68.349999999999994</v>
      </c>
      <c r="S6820" s="36">
        <v>71.48</v>
      </c>
      <c r="T6820" s="36">
        <v>58.59</v>
      </c>
      <c r="U6820" s="34"/>
      <c r="V6820" s="34"/>
      <c r="W6820" s="34"/>
      <c r="X6820" s="37">
        <v>6.4000000000000001E-2</v>
      </c>
      <c r="Y6820" s="38">
        <v>4.7600000000000002E-4</v>
      </c>
      <c r="Z6820" s="21">
        <v>4601004275997</v>
      </c>
    </row>
    <row r="6821" spans="1:26" ht="12" customHeight="1" outlineLevel="3" x14ac:dyDescent="0.2">
      <c r="A6821" s="14" t="s">
        <v>13112</v>
      </c>
      <c r="B6821" s="26" t="s">
        <v>13113</v>
      </c>
      <c r="C6821" s="52"/>
      <c r="D6821" s="55">
        <f t="shared" si="106"/>
        <v>0</v>
      </c>
      <c r="E6821" s="63" t="str">
        <f>HYPERLINK("https://www.sds-group.ru/product/panel-litsevaya-80h80-dlya-modulya-mosaic-metallicheskiy-support-03-0130/", "Инфо")</f>
        <v>Инфо</v>
      </c>
      <c r="F6821" s="16" t="s">
        <v>39</v>
      </c>
      <c r="G6821" s="15"/>
      <c r="H6821" s="15"/>
      <c r="I6821" s="15"/>
      <c r="J6821" s="17">
        <v>720</v>
      </c>
      <c r="K6821" s="15"/>
      <c r="L6821" s="17">
        <v>10</v>
      </c>
      <c r="M6821" s="17">
        <v>240</v>
      </c>
      <c r="N6821" s="17">
        <v>10</v>
      </c>
      <c r="O6821" s="18">
        <v>215.94</v>
      </c>
      <c r="P6821" s="18">
        <v>177</v>
      </c>
      <c r="Q6821" s="18">
        <v>183.55</v>
      </c>
      <c r="R6821" s="18">
        <v>150.44999999999999</v>
      </c>
      <c r="S6821" s="18">
        <v>129.56</v>
      </c>
      <c r="T6821" s="18">
        <v>106.2</v>
      </c>
      <c r="U6821" s="16"/>
      <c r="V6821" s="16"/>
      <c r="W6821" s="16" t="s">
        <v>40</v>
      </c>
      <c r="X6821" s="19">
        <v>4.2000000000000003E-2</v>
      </c>
      <c r="Y6821" s="20">
        <v>1.35E-4</v>
      </c>
      <c r="Z6821" s="21">
        <v>4601004276017</v>
      </c>
    </row>
    <row r="6822" spans="1:26" ht="12" customHeight="1" outlineLevel="3" x14ac:dyDescent="0.2">
      <c r="A6822" s="32" t="s">
        <v>13114</v>
      </c>
      <c r="B6822" s="74" t="s">
        <v>13115</v>
      </c>
      <c r="C6822" s="50"/>
      <c r="D6822" s="53">
        <f t="shared" si="106"/>
        <v>0</v>
      </c>
      <c r="E6822" s="60" t="str">
        <f>HYPERLINK("https://www.sds-group.ru/product/panel-litsevaya-80h80-dlya-modulya-mosaic-plastikovyy-support-03-0131/", "Инфо")</f>
        <v>Инфо</v>
      </c>
      <c r="F6822" s="34" t="s">
        <v>39</v>
      </c>
      <c r="G6822" s="33"/>
      <c r="H6822" s="33" t="s">
        <v>40</v>
      </c>
      <c r="I6822" s="33"/>
      <c r="J6822" s="35">
        <v>845</v>
      </c>
      <c r="K6822" s="33"/>
      <c r="L6822" s="35">
        <v>1</v>
      </c>
      <c r="M6822" s="35">
        <v>500</v>
      </c>
      <c r="N6822" s="35">
        <v>1</v>
      </c>
      <c r="O6822" s="36">
        <v>149.13</v>
      </c>
      <c r="P6822" s="36">
        <v>122.24</v>
      </c>
      <c r="Q6822" s="36">
        <v>104.39</v>
      </c>
      <c r="R6822" s="36">
        <v>85.57</v>
      </c>
      <c r="S6822" s="36">
        <v>89.48</v>
      </c>
      <c r="T6822" s="36">
        <v>73.34</v>
      </c>
      <c r="U6822" s="34"/>
      <c r="V6822" s="34"/>
      <c r="W6822" s="34"/>
      <c r="X6822" s="37">
        <v>2.7E-2</v>
      </c>
      <c r="Y6822" s="38">
        <v>1.3899999999999999E-4</v>
      </c>
      <c r="Z6822" s="21">
        <v>4601004276031</v>
      </c>
    </row>
    <row r="6823" spans="1:26" ht="12" customHeight="1" outlineLevel="3" x14ac:dyDescent="0.2">
      <c r="A6823" s="14" t="s">
        <v>13116</v>
      </c>
      <c r="B6823" s="26" t="s">
        <v>13117</v>
      </c>
      <c r="C6823" s="52"/>
      <c r="D6823" s="55">
        <f t="shared" si="106"/>
        <v>0</v>
      </c>
      <c r="E6823" s="63" t="str">
        <f>HYPERLINK("https://www.sds-group.ru/product/rozetka-elektricheskaya-45x45-cee-7-4-2k-3-16a-belaya-rexant-11-8977/", "Инфо")</f>
        <v>Инфо</v>
      </c>
      <c r="F6823" s="16" t="s">
        <v>39</v>
      </c>
      <c r="G6823" s="15"/>
      <c r="H6823" s="15"/>
      <c r="I6823" s="15"/>
      <c r="J6823" s="22">
        <v>1269</v>
      </c>
      <c r="K6823" s="15"/>
      <c r="L6823" s="17">
        <v>10</v>
      </c>
      <c r="M6823" s="17">
        <v>200</v>
      </c>
      <c r="N6823" s="17">
        <v>10</v>
      </c>
      <c r="O6823" s="18">
        <v>377.6</v>
      </c>
      <c r="P6823" s="18">
        <v>309.51</v>
      </c>
      <c r="Q6823" s="18">
        <v>320.95999999999998</v>
      </c>
      <c r="R6823" s="18">
        <v>263.08</v>
      </c>
      <c r="S6823" s="18">
        <v>226.56</v>
      </c>
      <c r="T6823" s="18">
        <v>185.7</v>
      </c>
      <c r="U6823" s="16"/>
      <c r="V6823" s="16"/>
      <c r="W6823" s="16" t="s">
        <v>40</v>
      </c>
      <c r="X6823" s="19">
        <v>5.5E-2</v>
      </c>
      <c r="Y6823" s="20">
        <v>1.83E-4</v>
      </c>
      <c r="Z6823" s="21">
        <v>4601004308220</v>
      </c>
    </row>
    <row r="6824" spans="1:26" ht="12" customHeight="1" outlineLevel="3" x14ac:dyDescent="0.2">
      <c r="A6824" s="14" t="s">
        <v>13118</v>
      </c>
      <c r="B6824" s="26" t="s">
        <v>13119</v>
      </c>
      <c r="C6824" s="52"/>
      <c r="D6824" s="55">
        <f t="shared" si="106"/>
        <v>0</v>
      </c>
      <c r="E6824" s="63" t="str">
        <f>HYPERLINK("https://www.sds-group.ru/product/rozetka-elektricheskaya-45x45-cee-7-4-2k-3-16a-krasnaya-rexant-11-8978/", "Инфо")</f>
        <v>Инфо</v>
      </c>
      <c r="F6824" s="16" t="s">
        <v>39</v>
      </c>
      <c r="G6824" s="15"/>
      <c r="H6824" s="15"/>
      <c r="I6824" s="15"/>
      <c r="J6824" s="17">
        <v>991</v>
      </c>
      <c r="K6824" s="15"/>
      <c r="L6824" s="17">
        <v>10</v>
      </c>
      <c r="M6824" s="17">
        <v>200</v>
      </c>
      <c r="N6824" s="17">
        <v>10</v>
      </c>
      <c r="O6824" s="18">
        <v>377.6</v>
      </c>
      <c r="P6824" s="18">
        <v>309.51</v>
      </c>
      <c r="Q6824" s="18">
        <v>320.95999999999998</v>
      </c>
      <c r="R6824" s="18">
        <v>263.08</v>
      </c>
      <c r="S6824" s="18">
        <v>226.56</v>
      </c>
      <c r="T6824" s="18">
        <v>185.7</v>
      </c>
      <c r="U6824" s="16"/>
      <c r="V6824" s="16"/>
      <c r="W6824" s="16" t="s">
        <v>40</v>
      </c>
      <c r="X6824" s="19">
        <v>5.0999999999999997E-2</v>
      </c>
      <c r="Y6824" s="20">
        <v>1.3999999999999999E-4</v>
      </c>
      <c r="Z6824" s="21">
        <v>4601004308237</v>
      </c>
    </row>
    <row r="6825" spans="1:26" ht="12.95" customHeight="1" outlineLevel="1" x14ac:dyDescent="0.2">
      <c r="A6825" s="78" t="s">
        <v>13120</v>
      </c>
      <c r="B6825" s="78"/>
      <c r="C6825" s="79"/>
      <c r="D6825" s="57"/>
      <c r="E6825" s="67"/>
      <c r="F6825" s="12"/>
      <c r="G6825" s="12"/>
      <c r="H6825" s="12"/>
      <c r="I6825" s="12"/>
      <c r="J6825" s="12"/>
      <c r="K6825" s="12"/>
      <c r="L6825" s="12"/>
      <c r="M6825" s="12"/>
      <c r="N6825" s="12"/>
      <c r="O6825" s="12"/>
      <c r="P6825" s="12"/>
      <c r="Q6825" s="12"/>
      <c r="R6825" s="12"/>
      <c r="S6825" s="12"/>
      <c r="T6825" s="12"/>
      <c r="U6825" s="12"/>
      <c r="V6825" s="12"/>
      <c r="W6825" s="12"/>
      <c r="X6825" s="12"/>
      <c r="Y6825" s="12"/>
      <c r="Z6825" s="12"/>
    </row>
    <row r="6826" spans="1:26" ht="12.95" customHeight="1" outlineLevel="2" x14ac:dyDescent="0.2">
      <c r="A6826" s="76" t="s">
        <v>13121</v>
      </c>
      <c r="B6826" s="76"/>
      <c r="C6826" s="77"/>
      <c r="D6826" s="58"/>
      <c r="E6826" s="68"/>
      <c r="F6826" s="13"/>
      <c r="G6826" s="13"/>
      <c r="H6826" s="13"/>
      <c r="I6826" s="13"/>
      <c r="J6826" s="13"/>
      <c r="K6826" s="13"/>
      <c r="L6826" s="13"/>
      <c r="M6826" s="13"/>
      <c r="N6826" s="13"/>
      <c r="O6826" s="13"/>
      <c r="P6826" s="13"/>
      <c r="Q6826" s="13"/>
      <c r="R6826" s="13"/>
      <c r="S6826" s="13"/>
      <c r="T6826" s="13"/>
      <c r="U6826" s="13"/>
      <c r="V6826" s="13"/>
      <c r="W6826" s="13"/>
      <c r="X6826" s="13"/>
      <c r="Y6826" s="13"/>
      <c r="Z6826" s="13"/>
    </row>
    <row r="6827" spans="1:26" ht="12.95" customHeight="1" outlineLevel="3" x14ac:dyDescent="0.2">
      <c r="A6827" s="76" t="s">
        <v>13122</v>
      </c>
      <c r="B6827" s="76"/>
      <c r="C6827" s="77"/>
      <c r="D6827" s="58"/>
      <c r="E6827" s="68"/>
      <c r="F6827" s="13"/>
      <c r="G6827" s="13"/>
      <c r="H6827" s="13"/>
      <c r="I6827" s="13"/>
      <c r="J6827" s="13"/>
      <c r="K6827" s="13"/>
      <c r="L6827" s="13"/>
      <c r="M6827" s="13"/>
      <c r="N6827" s="13"/>
      <c r="O6827" s="13"/>
      <c r="P6827" s="13"/>
      <c r="Q6827" s="13"/>
      <c r="R6827" s="13"/>
      <c r="S6827" s="13"/>
      <c r="T6827" s="13"/>
      <c r="U6827" s="13"/>
      <c r="V6827" s="13"/>
      <c r="W6827" s="13"/>
      <c r="X6827" s="13"/>
      <c r="Y6827" s="13"/>
      <c r="Z6827" s="13"/>
    </row>
    <row r="6828" spans="1:26" ht="12" customHeight="1" outlineLevel="4" x14ac:dyDescent="0.2">
      <c r="A6828" s="14" t="s">
        <v>13123</v>
      </c>
      <c r="B6828" s="26" t="s">
        <v>13124</v>
      </c>
      <c r="C6828" s="52"/>
      <c r="D6828" s="55">
        <f t="shared" si="106"/>
        <v>0</v>
      </c>
      <c r="E6828" s="63" t="str">
        <f>HYPERLINK("https://www.sds-group.ru/product/patch-kord-u-utp-cat-5e-rj45-rj45-26awg-lszh-seryy-1-5m-rexant-02-0100-105/", "Инфо")</f>
        <v>Инфо</v>
      </c>
      <c r="F6828" s="16" t="s">
        <v>39</v>
      </c>
      <c r="G6828" s="15"/>
      <c r="H6828" s="15"/>
      <c r="I6828" s="15"/>
      <c r="J6828" s="17">
        <v>607</v>
      </c>
      <c r="K6828" s="15" t="s">
        <v>1587</v>
      </c>
      <c r="L6828" s="17">
        <v>5</v>
      </c>
      <c r="M6828" s="17">
        <v>200</v>
      </c>
      <c r="N6828" s="17">
        <v>5</v>
      </c>
      <c r="O6828" s="18">
        <v>257.07</v>
      </c>
      <c r="P6828" s="18">
        <v>210.71</v>
      </c>
      <c r="Q6828" s="18">
        <v>218.51</v>
      </c>
      <c r="R6828" s="18">
        <v>179.11</v>
      </c>
      <c r="S6828" s="18">
        <v>174.81</v>
      </c>
      <c r="T6828" s="18">
        <v>143.29</v>
      </c>
      <c r="U6828" s="16"/>
      <c r="V6828" s="16"/>
      <c r="W6828" s="16" t="s">
        <v>40</v>
      </c>
      <c r="X6828" s="19">
        <v>5.5E-2</v>
      </c>
      <c r="Y6828" s="20">
        <v>2.1900000000000001E-4</v>
      </c>
      <c r="Z6828" s="21">
        <v>4601004228054</v>
      </c>
    </row>
    <row r="6829" spans="1:26" ht="12" customHeight="1" outlineLevel="4" x14ac:dyDescent="0.2">
      <c r="A6829" s="14" t="s">
        <v>13125</v>
      </c>
      <c r="B6829" s="26" t="s">
        <v>13126</v>
      </c>
      <c r="C6829" s="52"/>
      <c r="D6829" s="55">
        <f t="shared" si="106"/>
        <v>0</v>
      </c>
      <c r="E6829" s="63" t="str">
        <f>HYPERLINK("https://www.sds-group.ru/product/patch-kord-u-utp-cat-5e-rj45-rj45-26awg-lszh-zheltyy-0-3m-rexant-02-0105-03/", "Инфо")</f>
        <v>Инфо</v>
      </c>
      <c r="F6829" s="16" t="s">
        <v>39</v>
      </c>
      <c r="G6829" s="15"/>
      <c r="H6829" s="15"/>
      <c r="I6829" s="15"/>
      <c r="J6829" s="22">
        <v>1010</v>
      </c>
      <c r="K6829" s="15" t="s">
        <v>7336</v>
      </c>
      <c r="L6829" s="17">
        <v>10</v>
      </c>
      <c r="M6829" s="17">
        <v>400</v>
      </c>
      <c r="N6829" s="17">
        <v>10</v>
      </c>
      <c r="O6829" s="18">
        <v>156.02000000000001</v>
      </c>
      <c r="P6829" s="18">
        <v>127.89</v>
      </c>
      <c r="Q6829" s="18">
        <v>132.62</v>
      </c>
      <c r="R6829" s="18">
        <v>108.7</v>
      </c>
      <c r="S6829" s="18">
        <v>106.09</v>
      </c>
      <c r="T6829" s="18">
        <v>86.96</v>
      </c>
      <c r="U6829" s="16"/>
      <c r="V6829" s="16"/>
      <c r="W6829" s="16" t="s">
        <v>40</v>
      </c>
      <c r="X6829" s="19">
        <v>2.1000000000000001E-2</v>
      </c>
      <c r="Y6829" s="20">
        <v>1.0900000000000001E-4</v>
      </c>
      <c r="Z6829" s="21">
        <v>4601004227897</v>
      </c>
    </row>
    <row r="6830" spans="1:26" ht="12" customHeight="1" outlineLevel="4" x14ac:dyDescent="0.2">
      <c r="A6830" s="14" t="s">
        <v>13127</v>
      </c>
      <c r="B6830" s="26" t="s">
        <v>13128</v>
      </c>
      <c r="C6830" s="52"/>
      <c r="D6830" s="55">
        <f t="shared" si="106"/>
        <v>0</v>
      </c>
      <c r="E6830" s="63" t="str">
        <f>HYPERLINK("https://www.sds-group.ru/product/patch-kord-u-utp-cat-5e-rj45-rj45-26awg-lszh-zheltyy-0-5m-rexant-02-0105-05/", "Инфо")</f>
        <v>Инфо</v>
      </c>
      <c r="F6830" s="16" t="s">
        <v>39</v>
      </c>
      <c r="G6830" s="15"/>
      <c r="H6830" s="15"/>
      <c r="I6830" s="15"/>
      <c r="J6830" s="17">
        <v>989</v>
      </c>
      <c r="K6830" s="15" t="s">
        <v>7336</v>
      </c>
      <c r="L6830" s="17">
        <v>10</v>
      </c>
      <c r="M6830" s="17">
        <v>400</v>
      </c>
      <c r="N6830" s="17">
        <v>10</v>
      </c>
      <c r="O6830" s="18">
        <v>181.6</v>
      </c>
      <c r="P6830" s="18">
        <v>148.85</v>
      </c>
      <c r="Q6830" s="18">
        <v>154.36000000000001</v>
      </c>
      <c r="R6830" s="18">
        <v>126.52</v>
      </c>
      <c r="S6830" s="18">
        <v>123.49</v>
      </c>
      <c r="T6830" s="18">
        <v>101.22</v>
      </c>
      <c r="U6830" s="16"/>
      <c r="V6830" s="16"/>
      <c r="W6830" s="16" t="s">
        <v>40</v>
      </c>
      <c r="X6830" s="19">
        <v>2.7E-2</v>
      </c>
      <c r="Y6830" s="20">
        <v>1.37E-4</v>
      </c>
      <c r="Z6830" s="21">
        <v>4601004227965</v>
      </c>
    </row>
    <row r="6831" spans="1:26" ht="12" customHeight="1" outlineLevel="4" x14ac:dyDescent="0.2">
      <c r="A6831" s="14" t="s">
        <v>13129</v>
      </c>
      <c r="B6831" s="26" t="s">
        <v>13130</v>
      </c>
      <c r="C6831" s="52"/>
      <c r="D6831" s="55">
        <f t="shared" si="106"/>
        <v>0</v>
      </c>
      <c r="E6831" s="63" t="str">
        <f>HYPERLINK("https://www.sds-group.ru/product/patch-kord-u-utp-cat-5e-rj45-rj45-26awg-lszh-zheltyy-1-5m-rexant-02-0105-105/", "Инфо")</f>
        <v>Инфо</v>
      </c>
      <c r="F6831" s="16" t="s">
        <v>39</v>
      </c>
      <c r="G6831" s="15"/>
      <c r="H6831" s="15"/>
      <c r="I6831" s="15"/>
      <c r="J6831" s="16" t="s">
        <v>100</v>
      </c>
      <c r="K6831" s="15" t="s">
        <v>7336</v>
      </c>
      <c r="L6831" s="17">
        <v>10</v>
      </c>
      <c r="M6831" s="17">
        <v>230</v>
      </c>
      <c r="N6831" s="17">
        <v>10</v>
      </c>
      <c r="O6831" s="18">
        <v>302.94</v>
      </c>
      <c r="P6831" s="18">
        <v>248.31</v>
      </c>
      <c r="Q6831" s="18">
        <v>257.5</v>
      </c>
      <c r="R6831" s="18">
        <v>211.07</v>
      </c>
      <c r="S6831" s="18">
        <v>206</v>
      </c>
      <c r="T6831" s="18">
        <v>168.85</v>
      </c>
      <c r="U6831" s="16"/>
      <c r="V6831" s="16"/>
      <c r="W6831" s="16" t="s">
        <v>40</v>
      </c>
      <c r="X6831" s="19">
        <v>5.2999999999999999E-2</v>
      </c>
      <c r="Y6831" s="20">
        <v>2.2800000000000001E-4</v>
      </c>
      <c r="Z6831" s="21">
        <v>4601004228108</v>
      </c>
    </row>
    <row r="6832" spans="1:26" ht="12" customHeight="1" outlineLevel="4" x14ac:dyDescent="0.2">
      <c r="A6832" s="14" t="s">
        <v>13131</v>
      </c>
      <c r="B6832" s="26" t="s">
        <v>13132</v>
      </c>
      <c r="C6832" s="52"/>
      <c r="D6832" s="55">
        <f t="shared" si="106"/>
        <v>0</v>
      </c>
      <c r="E6832" s="63" t="str">
        <f>HYPERLINK("https://www.sds-group.ru/product/patch-kord-u-utp-cat-5e-rj45-rj45-26awg-lszh-zheltyy-1m-rexant-02-0105-1/", "Инфо")</f>
        <v>Инфо</v>
      </c>
      <c r="F6832" s="16" t="s">
        <v>39</v>
      </c>
      <c r="G6832" s="15"/>
      <c r="H6832" s="15"/>
      <c r="I6832" s="15"/>
      <c r="J6832" s="17">
        <v>242</v>
      </c>
      <c r="K6832" s="15" t="s">
        <v>7336</v>
      </c>
      <c r="L6832" s="17">
        <v>5</v>
      </c>
      <c r="M6832" s="17">
        <v>300</v>
      </c>
      <c r="N6832" s="17">
        <v>5</v>
      </c>
      <c r="O6832" s="18">
        <v>236.06</v>
      </c>
      <c r="P6832" s="18">
        <v>193.49</v>
      </c>
      <c r="Q6832" s="18">
        <v>200.65</v>
      </c>
      <c r="R6832" s="18">
        <v>164.47</v>
      </c>
      <c r="S6832" s="18">
        <v>160.52000000000001</v>
      </c>
      <c r="T6832" s="18">
        <v>131.57</v>
      </c>
      <c r="U6832" s="16"/>
      <c r="V6832" s="16"/>
      <c r="W6832" s="16" t="s">
        <v>40</v>
      </c>
      <c r="X6832" s="19">
        <v>4.1000000000000002E-2</v>
      </c>
      <c r="Y6832" s="20">
        <v>1.8000000000000001E-4</v>
      </c>
      <c r="Z6832" s="21">
        <v>4601004228030</v>
      </c>
    </row>
    <row r="6833" spans="1:26" ht="12" customHeight="1" outlineLevel="4" x14ac:dyDescent="0.2">
      <c r="A6833" s="14" t="s">
        <v>13133</v>
      </c>
      <c r="B6833" s="26" t="s">
        <v>13134</v>
      </c>
      <c r="C6833" s="52"/>
      <c r="D6833" s="55">
        <f t="shared" si="106"/>
        <v>0</v>
      </c>
      <c r="E6833" s="63" t="str">
        <f>HYPERLINK("https://www.sds-group.ru/product/patch-kord-u-utp-cat-5e-rj45-rj45-26awg-lszh-zheltyy-2m-rexant-02-0105-2/", "Инфо")</f>
        <v>Инфо</v>
      </c>
      <c r="F6833" s="16" t="s">
        <v>39</v>
      </c>
      <c r="G6833" s="15"/>
      <c r="H6833" s="15"/>
      <c r="I6833" s="15"/>
      <c r="J6833" s="17">
        <v>394</v>
      </c>
      <c r="K6833" s="15" t="s">
        <v>7336</v>
      </c>
      <c r="L6833" s="17">
        <v>10</v>
      </c>
      <c r="M6833" s="17">
        <v>150</v>
      </c>
      <c r="N6833" s="17">
        <v>10</v>
      </c>
      <c r="O6833" s="18">
        <v>352.1</v>
      </c>
      <c r="P6833" s="18">
        <v>288.61</v>
      </c>
      <c r="Q6833" s="18">
        <v>299.29000000000002</v>
      </c>
      <c r="R6833" s="18">
        <v>245.32</v>
      </c>
      <c r="S6833" s="18">
        <v>239.43</v>
      </c>
      <c r="T6833" s="18">
        <v>196.25</v>
      </c>
      <c r="U6833" s="16"/>
      <c r="V6833" s="16"/>
      <c r="W6833" s="16" t="s">
        <v>40</v>
      </c>
      <c r="X6833" s="19">
        <v>7.1999999999999995E-2</v>
      </c>
      <c r="Y6833" s="20">
        <v>2.9799999999999998E-4</v>
      </c>
      <c r="Z6833" s="21">
        <v>4601004228177</v>
      </c>
    </row>
    <row r="6834" spans="1:26" ht="12" customHeight="1" outlineLevel="4" x14ac:dyDescent="0.2">
      <c r="A6834" s="14" t="s">
        <v>13135</v>
      </c>
      <c r="B6834" s="26" t="s">
        <v>13136</v>
      </c>
      <c r="C6834" s="52"/>
      <c r="D6834" s="55">
        <f t="shared" si="106"/>
        <v>0</v>
      </c>
      <c r="E6834" s="63" t="str">
        <f>HYPERLINK("https://www.sds-group.ru/product/patch-kord-u-utp-cat-5e-rj45-rj45-26awg-lszh-zheltyy-3m-rexant-02-0105-3/", "Инфо")</f>
        <v>Инфо</v>
      </c>
      <c r="F6834" s="16" t="s">
        <v>39</v>
      </c>
      <c r="G6834" s="15"/>
      <c r="H6834" s="15"/>
      <c r="I6834" s="15"/>
      <c r="J6834" s="16" t="s">
        <v>100</v>
      </c>
      <c r="K6834" s="15" t="s">
        <v>7336</v>
      </c>
      <c r="L6834" s="17">
        <v>5</v>
      </c>
      <c r="M6834" s="17">
        <v>150</v>
      </c>
      <c r="N6834" s="17">
        <v>5</v>
      </c>
      <c r="O6834" s="18">
        <v>489.38</v>
      </c>
      <c r="P6834" s="18">
        <v>401.13</v>
      </c>
      <c r="Q6834" s="18">
        <v>415.97</v>
      </c>
      <c r="R6834" s="18">
        <v>340.96</v>
      </c>
      <c r="S6834" s="18">
        <v>332.78</v>
      </c>
      <c r="T6834" s="18">
        <v>272.77</v>
      </c>
      <c r="U6834" s="16"/>
      <c r="V6834" s="16"/>
      <c r="W6834" s="16" t="s">
        <v>40</v>
      </c>
      <c r="X6834" s="19">
        <v>9.9000000000000005E-2</v>
      </c>
      <c r="Y6834" s="20">
        <v>4.4700000000000002E-4</v>
      </c>
      <c r="Z6834" s="21">
        <v>4601004228245</v>
      </c>
    </row>
    <row r="6835" spans="1:26" ht="12" customHeight="1" outlineLevel="4" x14ac:dyDescent="0.2">
      <c r="A6835" s="14" t="s">
        <v>13137</v>
      </c>
      <c r="B6835" s="26" t="s">
        <v>13138</v>
      </c>
      <c r="C6835" s="52"/>
      <c r="D6835" s="55">
        <f t="shared" si="106"/>
        <v>0</v>
      </c>
      <c r="E6835" s="63" t="str">
        <f>HYPERLINK("https://www.sds-group.ru/product/patch-kord-u-utp-cat-5e-rj45-rj45-26awg-lszh-zheltyy-5m-rexant-02-0105-5/", "Инфо")</f>
        <v>Инфо</v>
      </c>
      <c r="F6835" s="16" t="s">
        <v>39</v>
      </c>
      <c r="G6835" s="15"/>
      <c r="H6835" s="15"/>
      <c r="I6835" s="15"/>
      <c r="J6835" s="17">
        <v>349</v>
      </c>
      <c r="K6835" s="15"/>
      <c r="L6835" s="17">
        <v>1</v>
      </c>
      <c r="M6835" s="17">
        <v>100</v>
      </c>
      <c r="N6835" s="17">
        <v>1</v>
      </c>
      <c r="O6835" s="18">
        <v>762.75</v>
      </c>
      <c r="P6835" s="18">
        <v>625.20000000000005</v>
      </c>
      <c r="Q6835" s="18">
        <v>610.20000000000005</v>
      </c>
      <c r="R6835" s="18">
        <v>500.16</v>
      </c>
      <c r="S6835" s="18">
        <v>518.66999999999996</v>
      </c>
      <c r="T6835" s="18">
        <v>425.14</v>
      </c>
      <c r="U6835" s="16"/>
      <c r="V6835" s="16"/>
      <c r="W6835" s="16" t="s">
        <v>40</v>
      </c>
      <c r="X6835" s="19">
        <v>0.152</v>
      </c>
      <c r="Y6835" s="20">
        <v>5.0000000000000001E-4</v>
      </c>
      <c r="Z6835" s="21">
        <v>4601004228313</v>
      </c>
    </row>
    <row r="6836" spans="1:26" ht="12" customHeight="1" outlineLevel="4" x14ac:dyDescent="0.2">
      <c r="A6836" s="14" t="s">
        <v>13139</v>
      </c>
      <c r="B6836" s="26" t="s">
        <v>13140</v>
      </c>
      <c r="C6836" s="52"/>
      <c r="D6836" s="55">
        <f t="shared" si="106"/>
        <v>0</v>
      </c>
      <c r="E6836" s="63" t="str">
        <f>HYPERLINK("https://www.sds-group.ru/product/patch-kord-u-utp-cat-5e-rj45-rj45-26awg-lszh-zelenyy-0-3m-rexant-02-0106-03/", "Инфо")</f>
        <v>Инфо</v>
      </c>
      <c r="F6836" s="16" t="s">
        <v>39</v>
      </c>
      <c r="G6836" s="15"/>
      <c r="H6836" s="15"/>
      <c r="I6836" s="15"/>
      <c r="J6836" s="17">
        <v>933</v>
      </c>
      <c r="K6836" s="15" t="s">
        <v>1587</v>
      </c>
      <c r="L6836" s="17">
        <v>10</v>
      </c>
      <c r="M6836" s="17">
        <v>400</v>
      </c>
      <c r="N6836" s="17">
        <v>10</v>
      </c>
      <c r="O6836" s="18">
        <v>156.02000000000001</v>
      </c>
      <c r="P6836" s="18">
        <v>127.89</v>
      </c>
      <c r="Q6836" s="18">
        <v>132.62</v>
      </c>
      <c r="R6836" s="18">
        <v>108.7</v>
      </c>
      <c r="S6836" s="18">
        <v>106.09</v>
      </c>
      <c r="T6836" s="18">
        <v>86.96</v>
      </c>
      <c r="U6836" s="16"/>
      <c r="V6836" s="16"/>
      <c r="W6836" s="16" t="s">
        <v>40</v>
      </c>
      <c r="X6836" s="19">
        <v>2.1000000000000001E-2</v>
      </c>
      <c r="Y6836" s="20">
        <v>1.07E-4</v>
      </c>
      <c r="Z6836" s="21">
        <v>4601004227903</v>
      </c>
    </row>
    <row r="6837" spans="1:26" ht="12" customHeight="1" outlineLevel="4" x14ac:dyDescent="0.2">
      <c r="A6837" s="14" t="s">
        <v>13141</v>
      </c>
      <c r="B6837" s="26" t="s">
        <v>13142</v>
      </c>
      <c r="C6837" s="52"/>
      <c r="D6837" s="55">
        <f t="shared" si="106"/>
        <v>0</v>
      </c>
      <c r="E6837" s="63" t="str">
        <f>HYPERLINK("https://www.sds-group.ru/product/patch-kord-u-utp-cat-5e-rj45-rj45-26awg-lszh-zelenyy-0-5m-rexant-02-0106-05/", "Инфо")</f>
        <v>Инфо</v>
      </c>
      <c r="F6837" s="16" t="s">
        <v>39</v>
      </c>
      <c r="G6837" s="15"/>
      <c r="H6837" s="15"/>
      <c r="I6837" s="15"/>
      <c r="J6837" s="17">
        <v>846</v>
      </c>
      <c r="K6837" s="15" t="s">
        <v>7336</v>
      </c>
      <c r="L6837" s="17">
        <v>10</v>
      </c>
      <c r="M6837" s="17">
        <v>400</v>
      </c>
      <c r="N6837" s="17">
        <v>10</v>
      </c>
      <c r="O6837" s="18">
        <v>181.6</v>
      </c>
      <c r="P6837" s="18">
        <v>148.85</v>
      </c>
      <c r="Q6837" s="18">
        <v>154.36000000000001</v>
      </c>
      <c r="R6837" s="18">
        <v>126.52</v>
      </c>
      <c r="S6837" s="18">
        <v>123.49</v>
      </c>
      <c r="T6837" s="18">
        <v>101.22</v>
      </c>
      <c r="U6837" s="16"/>
      <c r="V6837" s="16"/>
      <c r="W6837" s="16" t="s">
        <v>40</v>
      </c>
      <c r="X6837" s="19">
        <v>2.7E-2</v>
      </c>
      <c r="Y6837" s="20">
        <v>1.36E-4</v>
      </c>
      <c r="Z6837" s="21">
        <v>4601004227972</v>
      </c>
    </row>
    <row r="6838" spans="1:26" ht="12" customHeight="1" outlineLevel="4" x14ac:dyDescent="0.2">
      <c r="A6838" s="14" t="s">
        <v>13143</v>
      </c>
      <c r="B6838" s="26" t="s">
        <v>13144</v>
      </c>
      <c r="C6838" s="52"/>
      <c r="D6838" s="55">
        <f t="shared" si="106"/>
        <v>0</v>
      </c>
      <c r="E6838" s="63" t="str">
        <f>HYPERLINK("https://www.sds-group.ru/product/patch-kord-u-utp-cat-5e-rj45-rj45-26awg-lszh-zelenyy-1-5m-rexant-02-0106-105/", "Инфо")</f>
        <v>Инфо</v>
      </c>
      <c r="F6838" s="16" t="s">
        <v>39</v>
      </c>
      <c r="G6838" s="15"/>
      <c r="H6838" s="15"/>
      <c r="I6838" s="15"/>
      <c r="J6838" s="17">
        <v>395</v>
      </c>
      <c r="K6838" s="15" t="s">
        <v>1587</v>
      </c>
      <c r="L6838" s="17">
        <v>10</v>
      </c>
      <c r="M6838" s="17">
        <v>230</v>
      </c>
      <c r="N6838" s="17">
        <v>10</v>
      </c>
      <c r="O6838" s="18">
        <v>302.94</v>
      </c>
      <c r="P6838" s="18">
        <v>248.31</v>
      </c>
      <c r="Q6838" s="18">
        <v>257.5</v>
      </c>
      <c r="R6838" s="18">
        <v>211.07</v>
      </c>
      <c r="S6838" s="18">
        <v>206</v>
      </c>
      <c r="T6838" s="18">
        <v>168.85</v>
      </c>
      <c r="U6838" s="16"/>
      <c r="V6838" s="16"/>
      <c r="W6838" s="16" t="s">
        <v>40</v>
      </c>
      <c r="X6838" s="19">
        <v>5.3999999999999999E-2</v>
      </c>
      <c r="Y6838" s="20">
        <v>2.2699999999999999E-4</v>
      </c>
      <c r="Z6838" s="21">
        <v>4601004228115</v>
      </c>
    </row>
    <row r="6839" spans="1:26" ht="12" customHeight="1" outlineLevel="4" x14ac:dyDescent="0.2">
      <c r="A6839" s="14" t="s">
        <v>13145</v>
      </c>
      <c r="B6839" s="26" t="s">
        <v>13146</v>
      </c>
      <c r="C6839" s="52"/>
      <c r="D6839" s="55">
        <f t="shared" si="106"/>
        <v>0</v>
      </c>
      <c r="E6839" s="63" t="str">
        <f>HYPERLINK("https://www.sds-group.ru/product/patch-kord-u-utp-cat-5e-rj45-rj45-26awg-lszh-zelenyy-1m-rexant-02-0106-1/", "Инфо")</f>
        <v>Инфо</v>
      </c>
      <c r="F6839" s="16" t="s">
        <v>39</v>
      </c>
      <c r="G6839" s="15"/>
      <c r="H6839" s="15"/>
      <c r="I6839" s="15"/>
      <c r="J6839" s="17">
        <v>780</v>
      </c>
      <c r="K6839" s="15"/>
      <c r="L6839" s="17">
        <v>10</v>
      </c>
      <c r="M6839" s="17">
        <v>300</v>
      </c>
      <c r="N6839" s="17">
        <v>10</v>
      </c>
      <c r="O6839" s="18">
        <v>209.15</v>
      </c>
      <c r="P6839" s="18">
        <v>171.43</v>
      </c>
      <c r="Q6839" s="18">
        <v>177.78</v>
      </c>
      <c r="R6839" s="18">
        <v>145.72</v>
      </c>
      <c r="S6839" s="18">
        <v>142.22</v>
      </c>
      <c r="T6839" s="18">
        <v>116.57</v>
      </c>
      <c r="U6839" s="16"/>
      <c r="V6839" s="16"/>
      <c r="W6839" s="16" t="s">
        <v>40</v>
      </c>
      <c r="X6839" s="19">
        <v>4.1000000000000002E-2</v>
      </c>
      <c r="Y6839" s="20">
        <v>1.7699999999999999E-4</v>
      </c>
      <c r="Z6839" s="21">
        <v>4601004228047</v>
      </c>
    </row>
    <row r="6840" spans="1:26" ht="12" customHeight="1" outlineLevel="4" x14ac:dyDescent="0.2">
      <c r="A6840" s="14" t="s">
        <v>13147</v>
      </c>
      <c r="B6840" s="26" t="s">
        <v>13148</v>
      </c>
      <c r="C6840" s="52"/>
      <c r="D6840" s="55">
        <f t="shared" si="106"/>
        <v>0</v>
      </c>
      <c r="E6840" s="63" t="str">
        <f>HYPERLINK("https://www.sds-group.ru/product/patch-kord-u-utp-cat-5e-rj45-rj45-26awg-lszh-zelenyy-2m-rexant-02-0106-2/", "Инфо")</f>
        <v>Инфо</v>
      </c>
      <c r="F6840" s="16" t="s">
        <v>39</v>
      </c>
      <c r="G6840" s="15"/>
      <c r="H6840" s="15"/>
      <c r="I6840" s="15"/>
      <c r="J6840" s="16" t="s">
        <v>100</v>
      </c>
      <c r="K6840" s="15" t="s">
        <v>1587</v>
      </c>
      <c r="L6840" s="17">
        <v>10</v>
      </c>
      <c r="M6840" s="17">
        <v>150</v>
      </c>
      <c r="N6840" s="17">
        <v>10</v>
      </c>
      <c r="O6840" s="18">
        <v>326.01</v>
      </c>
      <c r="P6840" s="18">
        <v>267.22000000000003</v>
      </c>
      <c r="Q6840" s="18">
        <v>277.11</v>
      </c>
      <c r="R6840" s="18">
        <v>227.14</v>
      </c>
      <c r="S6840" s="18">
        <v>221.69</v>
      </c>
      <c r="T6840" s="18">
        <v>181.71</v>
      </c>
      <c r="U6840" s="16"/>
      <c r="V6840" s="16"/>
      <c r="W6840" s="16" t="s">
        <v>40</v>
      </c>
      <c r="X6840" s="19">
        <v>7.3999999999999996E-2</v>
      </c>
      <c r="Y6840" s="20">
        <v>3.19E-4</v>
      </c>
      <c r="Z6840" s="21">
        <v>4601004228184</v>
      </c>
    </row>
    <row r="6841" spans="1:26" ht="12" customHeight="1" outlineLevel="4" x14ac:dyDescent="0.2">
      <c r="A6841" s="14" t="s">
        <v>13149</v>
      </c>
      <c r="B6841" s="26" t="s">
        <v>13150</v>
      </c>
      <c r="C6841" s="52"/>
      <c r="D6841" s="55">
        <f t="shared" si="106"/>
        <v>0</v>
      </c>
      <c r="E6841" s="63" t="str">
        <f>HYPERLINK("https://www.sds-group.ru/product/patch-kord-u-utp-cat-5e-rj45-rj45-26awg-lszh-zelenyy-3m-rexant-02-0106-3/", "Инфо")</f>
        <v>Инфо</v>
      </c>
      <c r="F6841" s="16" t="s">
        <v>39</v>
      </c>
      <c r="G6841" s="15"/>
      <c r="H6841" s="15"/>
      <c r="I6841" s="15"/>
      <c r="J6841" s="17">
        <v>445</v>
      </c>
      <c r="K6841" s="15" t="s">
        <v>7336</v>
      </c>
      <c r="L6841" s="17">
        <v>5</v>
      </c>
      <c r="M6841" s="17">
        <v>100</v>
      </c>
      <c r="N6841" s="17">
        <v>5</v>
      </c>
      <c r="O6841" s="18">
        <v>453.48</v>
      </c>
      <c r="P6841" s="18">
        <v>371.7</v>
      </c>
      <c r="Q6841" s="18">
        <v>385.46</v>
      </c>
      <c r="R6841" s="18">
        <v>315.95</v>
      </c>
      <c r="S6841" s="18">
        <v>308.37</v>
      </c>
      <c r="T6841" s="18">
        <v>252.76</v>
      </c>
      <c r="U6841" s="16"/>
      <c r="V6841" s="16"/>
      <c r="W6841" s="16" t="s">
        <v>40</v>
      </c>
      <c r="X6841" s="19">
        <v>0.104</v>
      </c>
      <c r="Y6841" s="20">
        <v>4.8200000000000001E-4</v>
      </c>
      <c r="Z6841" s="21">
        <v>4601004228252</v>
      </c>
    </row>
    <row r="6842" spans="1:26" ht="12" customHeight="1" outlineLevel="4" x14ac:dyDescent="0.2">
      <c r="A6842" s="14" t="s">
        <v>13151</v>
      </c>
      <c r="B6842" s="26" t="s">
        <v>13152</v>
      </c>
      <c r="C6842" s="52"/>
      <c r="D6842" s="55">
        <f t="shared" si="106"/>
        <v>0</v>
      </c>
      <c r="E6842" s="63" t="str">
        <f>HYPERLINK("https://www.sds-group.ru/product/patch-kord-u-utp-cat-5e-rj45-rj45-26awg-lszh-zelenyy-5m-rexant-02-0106-5/", "Инфо")</f>
        <v>Инфо</v>
      </c>
      <c r="F6842" s="16" t="s">
        <v>39</v>
      </c>
      <c r="G6842" s="15"/>
      <c r="H6842" s="15"/>
      <c r="I6842" s="15"/>
      <c r="J6842" s="17">
        <v>360</v>
      </c>
      <c r="K6842" s="15"/>
      <c r="L6842" s="17">
        <v>1</v>
      </c>
      <c r="M6842" s="17">
        <v>100</v>
      </c>
      <c r="N6842" s="17">
        <v>1</v>
      </c>
      <c r="O6842" s="18">
        <v>697.23</v>
      </c>
      <c r="P6842" s="18">
        <v>571.5</v>
      </c>
      <c r="Q6842" s="18">
        <v>557.78</v>
      </c>
      <c r="R6842" s="18">
        <v>457.2</v>
      </c>
      <c r="S6842" s="18">
        <v>474.12</v>
      </c>
      <c r="T6842" s="18">
        <v>388.62</v>
      </c>
      <c r="U6842" s="16"/>
      <c r="V6842" s="16"/>
      <c r="W6842" s="16" t="s">
        <v>40</v>
      </c>
      <c r="X6842" s="19">
        <v>0.14399999999999999</v>
      </c>
      <c r="Y6842" s="20">
        <v>5.5599999999999996E-4</v>
      </c>
      <c r="Z6842" s="21">
        <v>4601004228320</v>
      </c>
    </row>
    <row r="6843" spans="1:26" ht="12" customHeight="1" outlineLevel="4" x14ac:dyDescent="0.2">
      <c r="A6843" s="14" t="s">
        <v>13153</v>
      </c>
      <c r="B6843" s="26" t="s">
        <v>13154</v>
      </c>
      <c r="C6843" s="52"/>
      <c r="D6843" s="55">
        <f t="shared" si="106"/>
        <v>0</v>
      </c>
      <c r="E6843" s="63" t="str">
        <f>HYPERLINK("https://www.sds-group.ru/product/patch-kord-u-utp-cat-5e-rj45-rj45-26awg-lszh-krasnyy-0-3m-rexant-02-0103-03/", "Инфо")</f>
        <v>Инфо</v>
      </c>
      <c r="F6843" s="16" t="s">
        <v>39</v>
      </c>
      <c r="G6843" s="15"/>
      <c r="H6843" s="15"/>
      <c r="I6843" s="15"/>
      <c r="J6843" s="17">
        <v>544</v>
      </c>
      <c r="K6843" s="15" t="s">
        <v>7336</v>
      </c>
      <c r="L6843" s="17">
        <v>10</v>
      </c>
      <c r="M6843" s="17">
        <v>400</v>
      </c>
      <c r="N6843" s="17">
        <v>10</v>
      </c>
      <c r="O6843" s="18">
        <v>156.02000000000001</v>
      </c>
      <c r="P6843" s="18">
        <v>127.89</v>
      </c>
      <c r="Q6843" s="18">
        <v>132.62</v>
      </c>
      <c r="R6843" s="18">
        <v>108.7</v>
      </c>
      <c r="S6843" s="18">
        <v>106.09</v>
      </c>
      <c r="T6843" s="18">
        <v>86.96</v>
      </c>
      <c r="U6843" s="16"/>
      <c r="V6843" s="16"/>
      <c r="W6843" s="16" t="s">
        <v>40</v>
      </c>
      <c r="X6843" s="19">
        <v>2.1000000000000001E-2</v>
      </c>
      <c r="Y6843" s="20">
        <v>1.08E-4</v>
      </c>
      <c r="Z6843" s="21">
        <v>4601004227873</v>
      </c>
    </row>
    <row r="6844" spans="1:26" ht="12" customHeight="1" outlineLevel="4" x14ac:dyDescent="0.2">
      <c r="A6844" s="14" t="s">
        <v>13155</v>
      </c>
      <c r="B6844" s="26" t="s">
        <v>13156</v>
      </c>
      <c r="C6844" s="52"/>
      <c r="D6844" s="55">
        <f t="shared" si="106"/>
        <v>0</v>
      </c>
      <c r="E6844" s="63" t="str">
        <f>HYPERLINK("https://www.sds-group.ru/product/patch-kord-u-utp-cat-5e-rj45-rj45-26awg-lszh-krasnyy-0-5m-rexant-02-0103-05/", "Инфо")</f>
        <v>Инфо</v>
      </c>
      <c r="F6844" s="16" t="s">
        <v>39</v>
      </c>
      <c r="G6844" s="15"/>
      <c r="H6844" s="15"/>
      <c r="I6844" s="15"/>
      <c r="J6844" s="16" t="s">
        <v>100</v>
      </c>
      <c r="K6844" s="15" t="s">
        <v>1587</v>
      </c>
      <c r="L6844" s="17">
        <v>10</v>
      </c>
      <c r="M6844" s="17">
        <v>400</v>
      </c>
      <c r="N6844" s="17">
        <v>10</v>
      </c>
      <c r="O6844" s="18">
        <v>181.6</v>
      </c>
      <c r="P6844" s="18">
        <v>148.85</v>
      </c>
      <c r="Q6844" s="18">
        <v>154.36000000000001</v>
      </c>
      <c r="R6844" s="18">
        <v>126.52</v>
      </c>
      <c r="S6844" s="18">
        <v>123.49</v>
      </c>
      <c r="T6844" s="18">
        <v>101.22</v>
      </c>
      <c r="U6844" s="16"/>
      <c r="V6844" s="16"/>
      <c r="W6844" s="16" t="s">
        <v>40</v>
      </c>
      <c r="X6844" s="19">
        <v>2.7E-2</v>
      </c>
      <c r="Y6844" s="20">
        <v>1.36E-4</v>
      </c>
      <c r="Z6844" s="21">
        <v>4601004227941</v>
      </c>
    </row>
    <row r="6845" spans="1:26" ht="12" customHeight="1" outlineLevel="4" x14ac:dyDescent="0.2">
      <c r="A6845" s="14" t="s">
        <v>13157</v>
      </c>
      <c r="B6845" s="26" t="s">
        <v>13158</v>
      </c>
      <c r="C6845" s="52"/>
      <c r="D6845" s="55">
        <f t="shared" si="106"/>
        <v>0</v>
      </c>
      <c r="E6845" s="63" t="str">
        <f>HYPERLINK("https://www.sds-group.ru/product/patch-kord-u-utp-cat-5e-rj45-rj45-26awg-lszh-krasnyy-1-5m-rexant-02-0103-105/", "Инфо")</f>
        <v>Инфо</v>
      </c>
      <c r="F6845" s="16" t="s">
        <v>39</v>
      </c>
      <c r="G6845" s="15"/>
      <c r="H6845" s="15"/>
      <c r="I6845" s="15"/>
      <c r="J6845" s="17">
        <v>178</v>
      </c>
      <c r="K6845" s="15" t="s">
        <v>1587</v>
      </c>
      <c r="L6845" s="17">
        <v>10</v>
      </c>
      <c r="M6845" s="17">
        <v>150</v>
      </c>
      <c r="N6845" s="17">
        <v>10</v>
      </c>
      <c r="O6845" s="18">
        <v>302.94</v>
      </c>
      <c r="P6845" s="18">
        <v>248.31</v>
      </c>
      <c r="Q6845" s="18">
        <v>257.5</v>
      </c>
      <c r="R6845" s="18">
        <v>211.07</v>
      </c>
      <c r="S6845" s="18">
        <v>206</v>
      </c>
      <c r="T6845" s="18">
        <v>168.85</v>
      </c>
      <c r="U6845" s="16"/>
      <c r="V6845" s="16"/>
      <c r="W6845" s="16" t="s">
        <v>40</v>
      </c>
      <c r="X6845" s="19">
        <v>5.8999999999999997E-2</v>
      </c>
      <c r="Y6845" s="20">
        <v>3.1700000000000001E-4</v>
      </c>
      <c r="Z6845" s="21">
        <v>4601004228085</v>
      </c>
    </row>
    <row r="6846" spans="1:26" ht="12" customHeight="1" outlineLevel="4" x14ac:dyDescent="0.2">
      <c r="A6846" s="14" t="s">
        <v>13159</v>
      </c>
      <c r="B6846" s="26" t="s">
        <v>13160</v>
      </c>
      <c r="C6846" s="52"/>
      <c r="D6846" s="55">
        <f t="shared" si="106"/>
        <v>0</v>
      </c>
      <c r="E6846" s="63" t="str">
        <f>HYPERLINK("https://www.sds-group.ru/product/patch-kord-u-utp-cat-5e-rj45-rj45-26awg-lszh-krasnyy-1m-rexant-02-0103-1/", "Инфо")</f>
        <v>Инфо</v>
      </c>
      <c r="F6846" s="16" t="s">
        <v>39</v>
      </c>
      <c r="G6846" s="15"/>
      <c r="H6846" s="15"/>
      <c r="I6846" s="15"/>
      <c r="J6846" s="17">
        <v>173</v>
      </c>
      <c r="K6846" s="15" t="s">
        <v>1587</v>
      </c>
      <c r="L6846" s="17">
        <v>10</v>
      </c>
      <c r="M6846" s="17">
        <v>300</v>
      </c>
      <c r="N6846" s="17">
        <v>10</v>
      </c>
      <c r="O6846" s="18">
        <v>236.06</v>
      </c>
      <c r="P6846" s="18">
        <v>193.49</v>
      </c>
      <c r="Q6846" s="18">
        <v>200.65</v>
      </c>
      <c r="R6846" s="18">
        <v>164.47</v>
      </c>
      <c r="S6846" s="18">
        <v>160.52000000000001</v>
      </c>
      <c r="T6846" s="18">
        <v>131.57</v>
      </c>
      <c r="U6846" s="16"/>
      <c r="V6846" s="16"/>
      <c r="W6846" s="16" t="s">
        <v>40</v>
      </c>
      <c r="X6846" s="19">
        <v>4.4999999999999998E-2</v>
      </c>
      <c r="Y6846" s="20">
        <v>1.7100000000000001E-4</v>
      </c>
      <c r="Z6846" s="21">
        <v>4601004228016</v>
      </c>
    </row>
    <row r="6847" spans="1:26" ht="12" customHeight="1" outlineLevel="4" x14ac:dyDescent="0.2">
      <c r="A6847" s="32" t="s">
        <v>13161</v>
      </c>
      <c r="B6847" s="74" t="s">
        <v>13162</v>
      </c>
      <c r="C6847" s="50"/>
      <c r="D6847" s="53">
        <f t="shared" si="106"/>
        <v>0</v>
      </c>
      <c r="E6847" s="60" t="str">
        <f>HYPERLINK("https://www.sds-group.ru/product/patch-kord-u-utp-cat-5e-rj45-rj45-26awg-lszh-krasnyy-2m-rexant-02-0103-2/", "Инфо")</f>
        <v>Инфо</v>
      </c>
      <c r="F6847" s="34" t="s">
        <v>39</v>
      </c>
      <c r="G6847" s="33"/>
      <c r="H6847" s="33" t="s">
        <v>40</v>
      </c>
      <c r="I6847" s="33"/>
      <c r="J6847" s="34" t="s">
        <v>100</v>
      </c>
      <c r="K6847" s="33" t="s">
        <v>1587</v>
      </c>
      <c r="L6847" s="35">
        <v>10</v>
      </c>
      <c r="M6847" s="35">
        <v>200</v>
      </c>
      <c r="N6847" s="35">
        <v>10</v>
      </c>
      <c r="O6847" s="36">
        <v>326.01</v>
      </c>
      <c r="P6847" s="36">
        <v>267.22000000000003</v>
      </c>
      <c r="Q6847" s="36">
        <v>277.11</v>
      </c>
      <c r="R6847" s="36">
        <v>227.14</v>
      </c>
      <c r="S6847" s="36">
        <v>221.69</v>
      </c>
      <c r="T6847" s="36">
        <v>181.71</v>
      </c>
      <c r="U6847" s="34"/>
      <c r="V6847" s="34"/>
      <c r="W6847" s="34" t="s">
        <v>40</v>
      </c>
      <c r="X6847" s="37">
        <v>6.4000000000000001E-2</v>
      </c>
      <c r="Y6847" s="38">
        <v>2.9700000000000001E-4</v>
      </c>
      <c r="Z6847" s="21">
        <v>4601004228153</v>
      </c>
    </row>
    <row r="6848" spans="1:26" ht="12" customHeight="1" outlineLevel="4" x14ac:dyDescent="0.2">
      <c r="A6848" s="14" t="s">
        <v>13163</v>
      </c>
      <c r="B6848" s="26" t="s">
        <v>13164</v>
      </c>
      <c r="C6848" s="52"/>
      <c r="D6848" s="55">
        <f t="shared" si="106"/>
        <v>0</v>
      </c>
      <c r="E6848" s="63" t="str">
        <f>HYPERLINK("https://www.sds-group.ru/product/patch-kord-u-utp-cat-5e-rj45-rj45-26awg-lszh-krasnyy-3m-rexant-02-0103-3/", "Инфо")</f>
        <v>Инфо</v>
      </c>
      <c r="F6848" s="16" t="s">
        <v>39</v>
      </c>
      <c r="G6848" s="15"/>
      <c r="H6848" s="15"/>
      <c r="I6848" s="15"/>
      <c r="J6848" s="16" t="s">
        <v>100</v>
      </c>
      <c r="K6848" s="15" t="s">
        <v>7336</v>
      </c>
      <c r="L6848" s="17">
        <v>5</v>
      </c>
      <c r="M6848" s="17">
        <v>100</v>
      </c>
      <c r="N6848" s="17">
        <v>5</v>
      </c>
      <c r="O6848" s="18">
        <v>489.38</v>
      </c>
      <c r="P6848" s="18">
        <v>401.13</v>
      </c>
      <c r="Q6848" s="18">
        <v>415.97</v>
      </c>
      <c r="R6848" s="18">
        <v>340.96</v>
      </c>
      <c r="S6848" s="18">
        <v>332.78</v>
      </c>
      <c r="T6848" s="18">
        <v>272.77</v>
      </c>
      <c r="U6848" s="16"/>
      <c r="V6848" s="16"/>
      <c r="W6848" s="16" t="s">
        <v>40</v>
      </c>
      <c r="X6848" s="19">
        <v>9.8000000000000004E-2</v>
      </c>
      <c r="Y6848" s="20">
        <v>4.9700000000000005E-4</v>
      </c>
      <c r="Z6848" s="21">
        <v>4601004228221</v>
      </c>
    </row>
    <row r="6849" spans="1:26" ht="12" customHeight="1" outlineLevel="4" x14ac:dyDescent="0.2">
      <c r="A6849" s="14" t="s">
        <v>13165</v>
      </c>
      <c r="B6849" s="26" t="s">
        <v>13166</v>
      </c>
      <c r="C6849" s="52"/>
      <c r="D6849" s="55">
        <f t="shared" si="106"/>
        <v>0</v>
      </c>
      <c r="E6849" s="63" t="str">
        <f>HYPERLINK("https://www.sds-group.ru/product/patch-kord-u-utp-cat-5e-rj45-rj45-26awg-lszh-krasnyy-5m-rexant-02-0103-5/", "Инфо")</f>
        <v>Инфо</v>
      </c>
      <c r="F6849" s="16" t="s">
        <v>39</v>
      </c>
      <c r="G6849" s="15"/>
      <c r="H6849" s="15"/>
      <c r="I6849" s="15"/>
      <c r="J6849" s="16" t="s">
        <v>100</v>
      </c>
      <c r="K6849" s="15" t="s">
        <v>1587</v>
      </c>
      <c r="L6849" s="17">
        <v>1</v>
      </c>
      <c r="M6849" s="17">
        <v>100</v>
      </c>
      <c r="N6849" s="17">
        <v>1</v>
      </c>
      <c r="O6849" s="18">
        <v>762.75</v>
      </c>
      <c r="P6849" s="18">
        <v>625.20000000000005</v>
      </c>
      <c r="Q6849" s="18">
        <v>610.20000000000005</v>
      </c>
      <c r="R6849" s="18">
        <v>500.16</v>
      </c>
      <c r="S6849" s="18">
        <v>518.66999999999996</v>
      </c>
      <c r="T6849" s="18">
        <v>425.14</v>
      </c>
      <c r="U6849" s="16"/>
      <c r="V6849" s="16"/>
      <c r="W6849" s="16" t="s">
        <v>40</v>
      </c>
      <c r="X6849" s="19">
        <v>0.15</v>
      </c>
      <c r="Y6849" s="20">
        <v>4.6700000000000002E-4</v>
      </c>
      <c r="Z6849" s="21">
        <v>4601004228290</v>
      </c>
    </row>
    <row r="6850" spans="1:26" ht="12" customHeight="1" outlineLevel="4" x14ac:dyDescent="0.2">
      <c r="A6850" s="14" t="s">
        <v>13167</v>
      </c>
      <c r="B6850" s="26" t="s">
        <v>13168</v>
      </c>
      <c r="C6850" s="52"/>
      <c r="D6850" s="55">
        <f t="shared" si="106"/>
        <v>0</v>
      </c>
      <c r="E6850" s="63" t="str">
        <f>HYPERLINK("https://www.sds-group.ru/product/patch-kord-u-utp-cat-5e-rj45-rj45-26awg-lszh-seryy-0-3m-rexant-02-0100-03/", "Инфо")</f>
        <v>Инфо</v>
      </c>
      <c r="F6850" s="16" t="s">
        <v>39</v>
      </c>
      <c r="G6850" s="15"/>
      <c r="H6850" s="15"/>
      <c r="I6850" s="15"/>
      <c r="J6850" s="22">
        <v>2954</v>
      </c>
      <c r="K6850" s="15" t="s">
        <v>7336</v>
      </c>
      <c r="L6850" s="17">
        <v>10</v>
      </c>
      <c r="M6850" s="17">
        <v>400</v>
      </c>
      <c r="N6850" s="17">
        <v>10</v>
      </c>
      <c r="O6850" s="18">
        <v>156.02000000000001</v>
      </c>
      <c r="P6850" s="18">
        <v>127.89</v>
      </c>
      <c r="Q6850" s="18">
        <v>132.62</v>
      </c>
      <c r="R6850" s="18">
        <v>108.7</v>
      </c>
      <c r="S6850" s="18">
        <v>106.09</v>
      </c>
      <c r="T6850" s="18">
        <v>86.96</v>
      </c>
      <c r="U6850" s="16"/>
      <c r="V6850" s="16"/>
      <c r="W6850" s="16" t="s">
        <v>40</v>
      </c>
      <c r="X6850" s="19">
        <v>2.1000000000000001E-2</v>
      </c>
      <c r="Y6850" s="20">
        <v>1.1E-4</v>
      </c>
      <c r="Z6850" s="21">
        <v>4601004229266</v>
      </c>
    </row>
    <row r="6851" spans="1:26" ht="12" customHeight="1" outlineLevel="4" x14ac:dyDescent="0.2">
      <c r="A6851" s="14" t="s">
        <v>13169</v>
      </c>
      <c r="B6851" s="26" t="s">
        <v>13170</v>
      </c>
      <c r="C6851" s="52"/>
      <c r="D6851" s="55">
        <f t="shared" si="106"/>
        <v>0</v>
      </c>
      <c r="E6851" s="63" t="str">
        <f>HYPERLINK("https://www.sds-group.ru/product/patch-kord-u-utp-cat-5e-rj45-rj45-26awg-lszh-seryy-0-5m-rexant-02-0100-05/", "Инфо")</f>
        <v>Инфо</v>
      </c>
      <c r="F6851" s="16" t="s">
        <v>39</v>
      </c>
      <c r="G6851" s="15"/>
      <c r="H6851" s="15"/>
      <c r="I6851" s="15"/>
      <c r="J6851" s="16" t="s">
        <v>100</v>
      </c>
      <c r="K6851" s="15" t="s">
        <v>7336</v>
      </c>
      <c r="L6851" s="17">
        <v>10</v>
      </c>
      <c r="M6851" s="17">
        <v>350</v>
      </c>
      <c r="N6851" s="17">
        <v>10</v>
      </c>
      <c r="O6851" s="18">
        <v>184.63</v>
      </c>
      <c r="P6851" s="18">
        <v>151.34</v>
      </c>
      <c r="Q6851" s="18">
        <v>156.94</v>
      </c>
      <c r="R6851" s="18">
        <v>128.63999999999999</v>
      </c>
      <c r="S6851" s="18">
        <v>125.55</v>
      </c>
      <c r="T6851" s="18">
        <v>102.91</v>
      </c>
      <c r="U6851" s="16"/>
      <c r="V6851" s="16"/>
      <c r="W6851" s="16" t="s">
        <v>40</v>
      </c>
      <c r="X6851" s="19">
        <v>2.9000000000000001E-2</v>
      </c>
      <c r="Y6851" s="20">
        <v>1.27E-4</v>
      </c>
      <c r="Z6851" s="21">
        <v>4601004227910</v>
      </c>
    </row>
    <row r="6852" spans="1:26" ht="12" customHeight="1" outlineLevel="4" x14ac:dyDescent="0.2">
      <c r="A6852" s="14" t="s">
        <v>13171</v>
      </c>
      <c r="B6852" s="26" t="s">
        <v>13172</v>
      </c>
      <c r="C6852" s="52"/>
      <c r="D6852" s="55">
        <f t="shared" si="106"/>
        <v>0</v>
      </c>
      <c r="E6852" s="63" t="str">
        <f>HYPERLINK("https://www.sds-group.ru/product/patch-kord-u-utp-cat-5e-rj45-rj45-26awg-lszh-seryy-1m-rexant-02-0100-1/", "Инфо")</f>
        <v>Инфо</v>
      </c>
      <c r="F6852" s="16" t="s">
        <v>39</v>
      </c>
      <c r="G6852" s="15"/>
      <c r="H6852" s="15"/>
      <c r="I6852" s="15"/>
      <c r="J6852" s="17">
        <v>70</v>
      </c>
      <c r="K6852" s="15" t="s">
        <v>1587</v>
      </c>
      <c r="L6852" s="17">
        <v>5</v>
      </c>
      <c r="M6852" s="17">
        <v>250</v>
      </c>
      <c r="N6852" s="17">
        <v>5</v>
      </c>
      <c r="O6852" s="18">
        <v>233.48</v>
      </c>
      <c r="P6852" s="18">
        <v>191.38</v>
      </c>
      <c r="Q6852" s="18">
        <v>198.46</v>
      </c>
      <c r="R6852" s="18">
        <v>162.66999999999999</v>
      </c>
      <c r="S6852" s="18">
        <v>158.77000000000001</v>
      </c>
      <c r="T6852" s="18">
        <v>130.13999999999999</v>
      </c>
      <c r="U6852" s="16"/>
      <c r="V6852" s="16"/>
      <c r="W6852" s="16" t="s">
        <v>40</v>
      </c>
      <c r="X6852" s="19">
        <v>4.2999999999999997E-2</v>
      </c>
      <c r="Y6852" s="20">
        <v>1.7699999999999999E-4</v>
      </c>
      <c r="Z6852" s="21">
        <v>4601004227989</v>
      </c>
    </row>
    <row r="6853" spans="1:26" ht="12" customHeight="1" outlineLevel="4" x14ac:dyDescent="0.2">
      <c r="A6853" s="14" t="s">
        <v>13173</v>
      </c>
      <c r="B6853" s="26" t="s">
        <v>13174</v>
      </c>
      <c r="C6853" s="52"/>
      <c r="D6853" s="55">
        <f t="shared" si="106"/>
        <v>0</v>
      </c>
      <c r="E6853" s="63" t="str">
        <f>HYPERLINK("https://www.sds-group.ru/product/patch-kord-u-utp-cat-5e-rj45-rj45-26awg-lszh-seryy-2m-rexant-02-0100-2/", "Инфо")</f>
        <v>Инфо</v>
      </c>
      <c r="F6853" s="16" t="s">
        <v>39</v>
      </c>
      <c r="G6853" s="15"/>
      <c r="H6853" s="15"/>
      <c r="I6853" s="15"/>
      <c r="J6853" s="17">
        <v>206</v>
      </c>
      <c r="K6853" s="15" t="s">
        <v>1587</v>
      </c>
      <c r="L6853" s="17">
        <v>10</v>
      </c>
      <c r="M6853" s="17">
        <v>200</v>
      </c>
      <c r="N6853" s="17">
        <v>10</v>
      </c>
      <c r="O6853" s="18">
        <v>326.01</v>
      </c>
      <c r="P6853" s="18">
        <v>267.22000000000003</v>
      </c>
      <c r="Q6853" s="18">
        <v>277.11</v>
      </c>
      <c r="R6853" s="18">
        <v>227.14</v>
      </c>
      <c r="S6853" s="18">
        <v>221.69</v>
      </c>
      <c r="T6853" s="18">
        <v>181.71</v>
      </c>
      <c r="U6853" s="16"/>
      <c r="V6853" s="16"/>
      <c r="W6853" s="16" t="s">
        <v>40</v>
      </c>
      <c r="X6853" s="19">
        <v>6.9000000000000006E-2</v>
      </c>
      <c r="Y6853" s="20">
        <v>2.8800000000000001E-4</v>
      </c>
      <c r="Z6853" s="21">
        <v>4601004228122</v>
      </c>
    </row>
    <row r="6854" spans="1:26" ht="12" customHeight="1" outlineLevel="4" x14ac:dyDescent="0.2">
      <c r="A6854" s="14" t="s">
        <v>13175</v>
      </c>
      <c r="B6854" s="26" t="s">
        <v>13176</v>
      </c>
      <c r="C6854" s="52"/>
      <c r="D6854" s="55">
        <f t="shared" si="106"/>
        <v>0</v>
      </c>
      <c r="E6854" s="63" t="str">
        <f>HYPERLINK("https://www.sds-group.ru/product/patch-kord-u-utp-cat-5e-rj45-rj45-26awg-lszh-seryy-3m-rexant-02-0100-3/", "Инфо")</f>
        <v>Инфо</v>
      </c>
      <c r="F6854" s="16" t="s">
        <v>39</v>
      </c>
      <c r="G6854" s="15"/>
      <c r="H6854" s="15"/>
      <c r="I6854" s="15"/>
      <c r="J6854" s="17">
        <v>103</v>
      </c>
      <c r="K6854" s="15" t="s">
        <v>1587</v>
      </c>
      <c r="L6854" s="17">
        <v>5</v>
      </c>
      <c r="M6854" s="17">
        <v>150</v>
      </c>
      <c r="N6854" s="17">
        <v>5</v>
      </c>
      <c r="O6854" s="18">
        <v>494.49</v>
      </c>
      <c r="P6854" s="18">
        <v>405.32</v>
      </c>
      <c r="Q6854" s="18">
        <v>420.32</v>
      </c>
      <c r="R6854" s="18">
        <v>344.52</v>
      </c>
      <c r="S6854" s="18">
        <v>336.25</v>
      </c>
      <c r="T6854" s="18">
        <v>275.61</v>
      </c>
      <c r="U6854" s="16"/>
      <c r="V6854" s="16"/>
      <c r="W6854" s="16" t="s">
        <v>40</v>
      </c>
      <c r="X6854" s="19">
        <v>9.6000000000000002E-2</v>
      </c>
      <c r="Y6854" s="20">
        <v>4.3899999999999999E-4</v>
      </c>
      <c r="Z6854" s="21">
        <v>4601004228191</v>
      </c>
    </row>
    <row r="6855" spans="1:26" ht="12" customHeight="1" outlineLevel="4" x14ac:dyDescent="0.2">
      <c r="A6855" s="14" t="s">
        <v>13177</v>
      </c>
      <c r="B6855" s="26" t="s">
        <v>13178</v>
      </c>
      <c r="C6855" s="52"/>
      <c r="D6855" s="55">
        <f t="shared" si="106"/>
        <v>0</v>
      </c>
      <c r="E6855" s="63" t="str">
        <f>HYPERLINK("https://www.sds-group.ru/product/patch-kord-u-utp-cat-5e-rj45-rj45-26awg-lszh-seryy-5m-rexant-02-0100-5/", "Инфо")</f>
        <v>Инфо</v>
      </c>
      <c r="F6855" s="16" t="s">
        <v>39</v>
      </c>
      <c r="G6855" s="15"/>
      <c r="H6855" s="15"/>
      <c r="I6855" s="15"/>
      <c r="J6855" s="17">
        <v>466</v>
      </c>
      <c r="K6855" s="15" t="s">
        <v>7336</v>
      </c>
      <c r="L6855" s="17">
        <v>5</v>
      </c>
      <c r="M6855" s="17">
        <v>60</v>
      </c>
      <c r="N6855" s="17">
        <v>5</v>
      </c>
      <c r="O6855" s="18">
        <v>657.42</v>
      </c>
      <c r="P6855" s="18">
        <v>538.87</v>
      </c>
      <c r="Q6855" s="18">
        <v>525.94000000000005</v>
      </c>
      <c r="R6855" s="18">
        <v>431.1</v>
      </c>
      <c r="S6855" s="18">
        <v>447.05</v>
      </c>
      <c r="T6855" s="18">
        <v>366.43</v>
      </c>
      <c r="U6855" s="16"/>
      <c r="V6855" s="16"/>
      <c r="W6855" s="16" t="s">
        <v>40</v>
      </c>
      <c r="X6855" s="19">
        <v>0.14399999999999999</v>
      </c>
      <c r="Y6855" s="20">
        <v>5.1800000000000001E-4</v>
      </c>
      <c r="Z6855" s="21">
        <v>4601004228269</v>
      </c>
    </row>
    <row r="6856" spans="1:26" ht="12" customHeight="1" outlineLevel="4" x14ac:dyDescent="0.2">
      <c r="A6856" s="14" t="s">
        <v>13179</v>
      </c>
      <c r="B6856" s="26" t="s">
        <v>13180</v>
      </c>
      <c r="C6856" s="52"/>
      <c r="D6856" s="55">
        <f t="shared" si="106"/>
        <v>0</v>
      </c>
      <c r="E6856" s="63" t="str">
        <f>HYPERLINK("https://www.sds-group.ru/product/patch-kord-u-utp-cat-5e-rj45-rj45-26awg-lszh-siniy-0-3m-rexant-02-0104-03/", "Инфо")</f>
        <v>Инфо</v>
      </c>
      <c r="F6856" s="16" t="s">
        <v>39</v>
      </c>
      <c r="G6856" s="15"/>
      <c r="H6856" s="15"/>
      <c r="I6856" s="15"/>
      <c r="J6856" s="17">
        <v>328</v>
      </c>
      <c r="K6856" s="15" t="s">
        <v>1587</v>
      </c>
      <c r="L6856" s="17">
        <v>10</v>
      </c>
      <c r="M6856" s="17">
        <v>500</v>
      </c>
      <c r="N6856" s="17">
        <v>10</v>
      </c>
      <c r="O6856" s="18">
        <v>158.41999999999999</v>
      </c>
      <c r="P6856" s="18">
        <v>129.85</v>
      </c>
      <c r="Q6856" s="18">
        <v>134.66</v>
      </c>
      <c r="R6856" s="18">
        <v>110.38</v>
      </c>
      <c r="S6856" s="18">
        <v>107.73</v>
      </c>
      <c r="T6856" s="18">
        <v>88.3</v>
      </c>
      <c r="U6856" s="16"/>
      <c r="V6856" s="16"/>
      <c r="W6856" s="16" t="s">
        <v>40</v>
      </c>
      <c r="X6856" s="19">
        <v>2.1999999999999999E-2</v>
      </c>
      <c r="Y6856" s="20">
        <v>1.08E-4</v>
      </c>
      <c r="Z6856" s="21">
        <v>4601004227880</v>
      </c>
    </row>
    <row r="6857" spans="1:26" ht="12" customHeight="1" outlineLevel="4" x14ac:dyDescent="0.2">
      <c r="A6857" s="14" t="s">
        <v>13181</v>
      </c>
      <c r="B6857" s="26" t="s">
        <v>13182</v>
      </c>
      <c r="C6857" s="52"/>
      <c r="D6857" s="55">
        <f t="shared" ref="D6857:D6920" si="107">C6857*(O6857-O6857*$G$3)</f>
        <v>0</v>
      </c>
      <c r="E6857" s="63" t="str">
        <f>HYPERLINK("https://www.sds-group.ru/product/patch-kord-u-utp-cat-5e-rj45-rj45-26awg-lszh-siniy-0-5m-rexant-02-0104-05/", "Инфо")</f>
        <v>Инфо</v>
      </c>
      <c r="F6857" s="16" t="s">
        <v>39</v>
      </c>
      <c r="G6857" s="15"/>
      <c r="H6857" s="15"/>
      <c r="I6857" s="15"/>
      <c r="J6857" s="17">
        <v>708</v>
      </c>
      <c r="K6857" s="15"/>
      <c r="L6857" s="17">
        <v>10</v>
      </c>
      <c r="M6857" s="17">
        <v>400</v>
      </c>
      <c r="N6857" s="17">
        <v>10</v>
      </c>
      <c r="O6857" s="18">
        <v>181.6</v>
      </c>
      <c r="P6857" s="18">
        <v>148.85</v>
      </c>
      <c r="Q6857" s="18">
        <v>154.36000000000001</v>
      </c>
      <c r="R6857" s="18">
        <v>126.52</v>
      </c>
      <c r="S6857" s="18">
        <v>123.49</v>
      </c>
      <c r="T6857" s="18">
        <v>101.22</v>
      </c>
      <c r="U6857" s="16"/>
      <c r="V6857" s="16"/>
      <c r="W6857" s="16" t="s">
        <v>40</v>
      </c>
      <c r="X6857" s="19">
        <v>2.8000000000000001E-2</v>
      </c>
      <c r="Y6857" s="20">
        <v>1.3300000000000001E-4</v>
      </c>
      <c r="Z6857" s="21">
        <v>4601004227958</v>
      </c>
    </row>
    <row r="6858" spans="1:26" ht="12" customHeight="1" outlineLevel="4" x14ac:dyDescent="0.2">
      <c r="A6858" s="14" t="s">
        <v>13183</v>
      </c>
      <c r="B6858" s="26" t="s">
        <v>13184</v>
      </c>
      <c r="C6858" s="52"/>
      <c r="D6858" s="55">
        <f t="shared" si="107"/>
        <v>0</v>
      </c>
      <c r="E6858" s="63" t="str">
        <f>HYPERLINK("https://www.sds-group.ru/product/patch-kord-u-utp-cat-5e-rj45-rj45-26awg-lszh-siniy-1-5m-rexant-02-0104-105/", "Инфо")</f>
        <v>Инфо</v>
      </c>
      <c r="F6858" s="16" t="s">
        <v>39</v>
      </c>
      <c r="G6858" s="15"/>
      <c r="H6858" s="15"/>
      <c r="I6858" s="15"/>
      <c r="J6858" s="17">
        <v>777</v>
      </c>
      <c r="K6858" s="15" t="s">
        <v>7336</v>
      </c>
      <c r="L6858" s="17">
        <v>10</v>
      </c>
      <c r="M6858" s="17">
        <v>200</v>
      </c>
      <c r="N6858" s="17">
        <v>10</v>
      </c>
      <c r="O6858" s="18">
        <v>302.94</v>
      </c>
      <c r="P6858" s="18">
        <v>248.31</v>
      </c>
      <c r="Q6858" s="18">
        <v>257.5</v>
      </c>
      <c r="R6858" s="18">
        <v>211.07</v>
      </c>
      <c r="S6858" s="18">
        <v>206</v>
      </c>
      <c r="T6858" s="18">
        <v>168.85</v>
      </c>
      <c r="U6858" s="16"/>
      <c r="V6858" s="16"/>
      <c r="W6858" s="16" t="s">
        <v>40</v>
      </c>
      <c r="X6858" s="19">
        <v>5.7000000000000002E-2</v>
      </c>
      <c r="Y6858" s="20">
        <v>2.5000000000000001E-4</v>
      </c>
      <c r="Z6858" s="21">
        <v>4601004228092</v>
      </c>
    </row>
    <row r="6859" spans="1:26" ht="12" customHeight="1" outlineLevel="4" x14ac:dyDescent="0.2">
      <c r="A6859" s="14" t="s">
        <v>13185</v>
      </c>
      <c r="B6859" s="26" t="s">
        <v>13186</v>
      </c>
      <c r="C6859" s="52"/>
      <c r="D6859" s="55">
        <f t="shared" si="107"/>
        <v>0</v>
      </c>
      <c r="E6859" s="63" t="str">
        <f>HYPERLINK("https://www.sds-group.ru/product/patch-kord-u-utp-cat-5e-rj45-rj45-26awg-lszh-siniy-1m-rexant-02-0104-1/", "Инфо")</f>
        <v>Инфо</v>
      </c>
      <c r="F6859" s="16" t="s">
        <v>39</v>
      </c>
      <c r="G6859" s="15"/>
      <c r="H6859" s="15"/>
      <c r="I6859" s="15"/>
      <c r="J6859" s="17">
        <v>1</v>
      </c>
      <c r="K6859" s="15" t="s">
        <v>1587</v>
      </c>
      <c r="L6859" s="17">
        <v>10</v>
      </c>
      <c r="M6859" s="17">
        <v>250</v>
      </c>
      <c r="N6859" s="17">
        <v>10</v>
      </c>
      <c r="O6859" s="18">
        <v>236.06</v>
      </c>
      <c r="P6859" s="18">
        <v>193.49</v>
      </c>
      <c r="Q6859" s="18">
        <v>200.65</v>
      </c>
      <c r="R6859" s="18">
        <v>164.47</v>
      </c>
      <c r="S6859" s="18">
        <v>160.52000000000001</v>
      </c>
      <c r="T6859" s="18">
        <v>131.57</v>
      </c>
      <c r="U6859" s="16"/>
      <c r="V6859" s="16"/>
      <c r="W6859" s="16" t="s">
        <v>40</v>
      </c>
      <c r="X6859" s="19">
        <v>4.2999999999999997E-2</v>
      </c>
      <c r="Y6859" s="20">
        <v>1.8100000000000001E-4</v>
      </c>
      <c r="Z6859" s="21">
        <v>4601004228023</v>
      </c>
    </row>
    <row r="6860" spans="1:26" ht="12" customHeight="1" outlineLevel="4" x14ac:dyDescent="0.2">
      <c r="A6860" s="14" t="s">
        <v>13187</v>
      </c>
      <c r="B6860" s="26" t="s">
        <v>13188</v>
      </c>
      <c r="C6860" s="52"/>
      <c r="D6860" s="55">
        <f t="shared" si="107"/>
        <v>0</v>
      </c>
      <c r="E6860" s="63" t="str">
        <f>HYPERLINK("https://www.sds-group.ru/product/patch-kord-u-utp-cat-5e-rj45-rj45-26awg-lszh-siniy-2m-rexant-02-0104-2/", "Инфо")</f>
        <v>Инфо</v>
      </c>
      <c r="F6860" s="16" t="s">
        <v>39</v>
      </c>
      <c r="G6860" s="15"/>
      <c r="H6860" s="15"/>
      <c r="I6860" s="15"/>
      <c r="J6860" s="17">
        <v>407</v>
      </c>
      <c r="K6860" s="15" t="s">
        <v>1587</v>
      </c>
      <c r="L6860" s="17">
        <v>1</v>
      </c>
      <c r="M6860" s="17">
        <v>150</v>
      </c>
      <c r="N6860" s="17">
        <v>1</v>
      </c>
      <c r="O6860" s="18">
        <v>326.01</v>
      </c>
      <c r="P6860" s="18">
        <v>267.22000000000003</v>
      </c>
      <c r="Q6860" s="18">
        <v>277.11</v>
      </c>
      <c r="R6860" s="18">
        <v>227.14</v>
      </c>
      <c r="S6860" s="18">
        <v>221.69</v>
      </c>
      <c r="T6860" s="18">
        <v>181.71</v>
      </c>
      <c r="U6860" s="16"/>
      <c r="V6860" s="16"/>
      <c r="W6860" s="16" t="s">
        <v>40</v>
      </c>
      <c r="X6860" s="19">
        <v>6.8000000000000005E-2</v>
      </c>
      <c r="Y6860" s="20">
        <v>2.8800000000000001E-4</v>
      </c>
      <c r="Z6860" s="21">
        <v>4601004228160</v>
      </c>
    </row>
    <row r="6861" spans="1:26" ht="12" customHeight="1" outlineLevel="4" x14ac:dyDescent="0.2">
      <c r="A6861" s="14" t="s">
        <v>13189</v>
      </c>
      <c r="B6861" s="26" t="s">
        <v>13190</v>
      </c>
      <c r="C6861" s="52"/>
      <c r="D6861" s="55">
        <f t="shared" si="107"/>
        <v>0</v>
      </c>
      <c r="E6861" s="63" t="str">
        <f>HYPERLINK("https://www.sds-group.ru/product/patch-kord-u-utp-cat-5e-rj45-rj45-26awg-lszh-siniy-3m-rexant-02-0104-3/", "Инфо")</f>
        <v>Инфо</v>
      </c>
      <c r="F6861" s="16" t="s">
        <v>39</v>
      </c>
      <c r="G6861" s="15"/>
      <c r="H6861" s="15"/>
      <c r="I6861" s="15"/>
      <c r="J6861" s="17">
        <v>308</v>
      </c>
      <c r="K6861" s="15"/>
      <c r="L6861" s="17">
        <v>5</v>
      </c>
      <c r="M6861" s="17">
        <v>100</v>
      </c>
      <c r="N6861" s="17">
        <v>5</v>
      </c>
      <c r="O6861" s="18">
        <v>489.38</v>
      </c>
      <c r="P6861" s="18">
        <v>401.13</v>
      </c>
      <c r="Q6861" s="18">
        <v>415.97</v>
      </c>
      <c r="R6861" s="18">
        <v>340.96</v>
      </c>
      <c r="S6861" s="18">
        <v>332.78</v>
      </c>
      <c r="T6861" s="18">
        <v>272.77</v>
      </c>
      <c r="U6861" s="16"/>
      <c r="V6861" s="16"/>
      <c r="W6861" s="16" t="s">
        <v>40</v>
      </c>
      <c r="X6861" s="19">
        <v>0.1</v>
      </c>
      <c r="Y6861" s="20">
        <v>4.46E-4</v>
      </c>
      <c r="Z6861" s="21">
        <v>4601004228238</v>
      </c>
    </row>
    <row r="6862" spans="1:26" ht="12" customHeight="1" outlineLevel="4" x14ac:dyDescent="0.2">
      <c r="A6862" s="14" t="s">
        <v>13191</v>
      </c>
      <c r="B6862" s="26" t="s">
        <v>13192</v>
      </c>
      <c r="C6862" s="52"/>
      <c r="D6862" s="55">
        <f t="shared" si="107"/>
        <v>0</v>
      </c>
      <c r="E6862" s="63" t="str">
        <f>HYPERLINK("https://www.sds-group.ru/product/patch-kord-u-utp-cat-5e-rj45-rj45-26awg-lszh-siniy-5m-rexant-02-0104-5/", "Инфо")</f>
        <v>Инфо</v>
      </c>
      <c r="F6862" s="16" t="s">
        <v>39</v>
      </c>
      <c r="G6862" s="15"/>
      <c r="H6862" s="15"/>
      <c r="I6862" s="15"/>
      <c r="J6862" s="17">
        <v>383</v>
      </c>
      <c r="K6862" s="15" t="s">
        <v>7336</v>
      </c>
      <c r="L6862" s="17">
        <v>1</v>
      </c>
      <c r="M6862" s="17">
        <v>100</v>
      </c>
      <c r="N6862" s="17">
        <v>1</v>
      </c>
      <c r="O6862" s="18">
        <v>762.75</v>
      </c>
      <c r="P6862" s="18">
        <v>625.20000000000005</v>
      </c>
      <c r="Q6862" s="18">
        <v>610.20000000000005</v>
      </c>
      <c r="R6862" s="18">
        <v>500.16</v>
      </c>
      <c r="S6862" s="18">
        <v>518.66999999999996</v>
      </c>
      <c r="T6862" s="18">
        <v>425.14</v>
      </c>
      <c r="U6862" s="16"/>
      <c r="V6862" s="16"/>
      <c r="W6862" s="16" t="s">
        <v>40</v>
      </c>
      <c r="X6862" s="19">
        <v>0.14899999999999999</v>
      </c>
      <c r="Y6862" s="20">
        <v>5.0199999999999995E-4</v>
      </c>
      <c r="Z6862" s="21">
        <v>4601004228306</v>
      </c>
    </row>
    <row r="6863" spans="1:26" ht="12" customHeight="1" outlineLevel="4" x14ac:dyDescent="0.2">
      <c r="A6863" s="14" t="s">
        <v>13193</v>
      </c>
      <c r="B6863" s="26" t="s">
        <v>13194</v>
      </c>
      <c r="C6863" s="52"/>
      <c r="D6863" s="55">
        <f t="shared" si="107"/>
        <v>0</v>
      </c>
      <c r="E6863" s="63" t="str">
        <f>HYPERLINK("https://www.sds-group.ru/product/patch-kord-u-utp-cat-5e-rj45-rj45-26awg-lszh-chernyy-0-3m-rexant-02-0102-03/", "Инфо")</f>
        <v>Инфо</v>
      </c>
      <c r="F6863" s="16" t="s">
        <v>39</v>
      </c>
      <c r="G6863" s="15"/>
      <c r="H6863" s="15"/>
      <c r="I6863" s="15"/>
      <c r="J6863" s="17">
        <v>3</v>
      </c>
      <c r="K6863" s="15" t="s">
        <v>7336</v>
      </c>
      <c r="L6863" s="17">
        <v>10</v>
      </c>
      <c r="M6863" s="17">
        <v>350</v>
      </c>
      <c r="N6863" s="17">
        <v>10</v>
      </c>
      <c r="O6863" s="18">
        <v>156.02000000000001</v>
      </c>
      <c r="P6863" s="18">
        <v>127.89</v>
      </c>
      <c r="Q6863" s="18">
        <v>132.62</v>
      </c>
      <c r="R6863" s="18">
        <v>108.7</v>
      </c>
      <c r="S6863" s="18">
        <v>106.09</v>
      </c>
      <c r="T6863" s="18">
        <v>86.96</v>
      </c>
      <c r="U6863" s="16"/>
      <c r="V6863" s="16"/>
      <c r="W6863" s="16" t="s">
        <v>40</v>
      </c>
      <c r="X6863" s="19">
        <v>2.5000000000000001E-2</v>
      </c>
      <c r="Y6863" s="20">
        <v>1.26E-4</v>
      </c>
      <c r="Z6863" s="21">
        <v>4601004227866</v>
      </c>
    </row>
    <row r="6864" spans="1:26" ht="12" customHeight="1" outlineLevel="4" x14ac:dyDescent="0.2">
      <c r="A6864" s="14" t="s">
        <v>13195</v>
      </c>
      <c r="B6864" s="26" t="s">
        <v>13196</v>
      </c>
      <c r="C6864" s="52"/>
      <c r="D6864" s="55">
        <f t="shared" si="107"/>
        <v>0</v>
      </c>
      <c r="E6864" s="63" t="str">
        <f>HYPERLINK("https://www.sds-group.ru/product/patch-kord-u-utp-cat-5e-rj45-rj45-26awg-lszh-chernyy-0-5m-rexant-02-0102-05/", "Инфо")</f>
        <v>Инфо</v>
      </c>
      <c r="F6864" s="16" t="s">
        <v>39</v>
      </c>
      <c r="G6864" s="15"/>
      <c r="H6864" s="15"/>
      <c r="I6864" s="15"/>
      <c r="J6864" s="16" t="s">
        <v>100</v>
      </c>
      <c r="K6864" s="15" t="s">
        <v>1587</v>
      </c>
      <c r="L6864" s="17">
        <v>10</v>
      </c>
      <c r="M6864" s="17">
        <v>400</v>
      </c>
      <c r="N6864" s="17">
        <v>10</v>
      </c>
      <c r="O6864" s="18">
        <v>181.6</v>
      </c>
      <c r="P6864" s="18">
        <v>148.85</v>
      </c>
      <c r="Q6864" s="18">
        <v>154.36000000000001</v>
      </c>
      <c r="R6864" s="18">
        <v>126.52</v>
      </c>
      <c r="S6864" s="18">
        <v>123.49</v>
      </c>
      <c r="T6864" s="18">
        <v>101.22</v>
      </c>
      <c r="U6864" s="16"/>
      <c r="V6864" s="16"/>
      <c r="W6864" s="16" t="s">
        <v>40</v>
      </c>
      <c r="X6864" s="19">
        <v>2.5999999999999999E-2</v>
      </c>
      <c r="Y6864" s="20">
        <v>1.35E-4</v>
      </c>
      <c r="Z6864" s="21">
        <v>4601004227934</v>
      </c>
    </row>
    <row r="6865" spans="1:26" ht="12" customHeight="1" outlineLevel="4" x14ac:dyDescent="0.2">
      <c r="A6865" s="14" t="s">
        <v>13197</v>
      </c>
      <c r="B6865" s="26" t="s">
        <v>13198</v>
      </c>
      <c r="C6865" s="52"/>
      <c r="D6865" s="55">
        <f t="shared" si="107"/>
        <v>0</v>
      </c>
      <c r="E6865" s="63" t="str">
        <f>HYPERLINK("https://www.sds-group.ru/product/patch-kord-u-utp-cat-5e-rj45-rj45-26awg-lszh-chernyy-1-5m-rexant-02-0102-105/", "Инфо")</f>
        <v>Инфо</v>
      </c>
      <c r="F6865" s="16" t="s">
        <v>39</v>
      </c>
      <c r="G6865" s="15"/>
      <c r="H6865" s="15"/>
      <c r="I6865" s="15"/>
      <c r="J6865" s="17">
        <v>341</v>
      </c>
      <c r="K6865" s="15" t="s">
        <v>7336</v>
      </c>
      <c r="L6865" s="17">
        <v>10</v>
      </c>
      <c r="M6865" s="17">
        <v>150</v>
      </c>
      <c r="N6865" s="17">
        <v>10</v>
      </c>
      <c r="O6865" s="18">
        <v>302.94</v>
      </c>
      <c r="P6865" s="18">
        <v>248.31</v>
      </c>
      <c r="Q6865" s="18">
        <v>257.5</v>
      </c>
      <c r="R6865" s="18">
        <v>211.07</v>
      </c>
      <c r="S6865" s="18">
        <v>206</v>
      </c>
      <c r="T6865" s="18">
        <v>168.85</v>
      </c>
      <c r="U6865" s="16"/>
      <c r="V6865" s="16"/>
      <c r="W6865" s="16" t="s">
        <v>40</v>
      </c>
      <c r="X6865" s="19">
        <v>5.8999999999999997E-2</v>
      </c>
      <c r="Y6865" s="20">
        <v>2.43E-4</v>
      </c>
      <c r="Z6865" s="21">
        <v>4601004228078</v>
      </c>
    </row>
    <row r="6866" spans="1:26" ht="12" customHeight="1" outlineLevel="4" x14ac:dyDescent="0.2">
      <c r="A6866" s="14" t="s">
        <v>13199</v>
      </c>
      <c r="B6866" s="26" t="s">
        <v>13200</v>
      </c>
      <c r="C6866" s="52"/>
      <c r="D6866" s="55">
        <f t="shared" si="107"/>
        <v>0</v>
      </c>
      <c r="E6866" s="63" t="str">
        <f>HYPERLINK("https://www.sds-group.ru/product/patch-kord-u-utp-cat-5e-rj45-rj45-26awg-lszh-chernyy-1m-rexant-02-0102-1/", "Инфо")</f>
        <v>Инфо</v>
      </c>
      <c r="F6866" s="16" t="s">
        <v>39</v>
      </c>
      <c r="G6866" s="15"/>
      <c r="H6866" s="15"/>
      <c r="I6866" s="15"/>
      <c r="J6866" s="16" t="s">
        <v>100</v>
      </c>
      <c r="K6866" s="15" t="s">
        <v>1587</v>
      </c>
      <c r="L6866" s="17">
        <v>5</v>
      </c>
      <c r="M6866" s="17">
        <v>300</v>
      </c>
      <c r="N6866" s="17">
        <v>5</v>
      </c>
      <c r="O6866" s="18">
        <v>236.06</v>
      </c>
      <c r="P6866" s="18">
        <v>193.49</v>
      </c>
      <c r="Q6866" s="18">
        <v>200.65</v>
      </c>
      <c r="R6866" s="18">
        <v>164.47</v>
      </c>
      <c r="S6866" s="18">
        <v>160.52000000000001</v>
      </c>
      <c r="T6866" s="18">
        <v>131.57</v>
      </c>
      <c r="U6866" s="16"/>
      <c r="V6866" s="16"/>
      <c r="W6866" s="16" t="s">
        <v>40</v>
      </c>
      <c r="X6866" s="19">
        <v>4.4999999999999998E-2</v>
      </c>
      <c r="Y6866" s="20">
        <v>1.8699999999999999E-4</v>
      </c>
      <c r="Z6866" s="21">
        <v>4601004228009</v>
      </c>
    </row>
    <row r="6867" spans="1:26" ht="12" customHeight="1" outlineLevel="4" x14ac:dyDescent="0.2">
      <c r="A6867" s="14" t="s">
        <v>13201</v>
      </c>
      <c r="B6867" s="26" t="s">
        <v>13202</v>
      </c>
      <c r="C6867" s="52"/>
      <c r="D6867" s="55">
        <f t="shared" si="107"/>
        <v>0</v>
      </c>
      <c r="E6867" s="63" t="str">
        <f>HYPERLINK("https://www.sds-group.ru/product/patch-kord-u-utp-cat-5e-rj45-rj45-26awg-lszh-chernyy-2m-rexant-02-0102-2/", "Инфо")</f>
        <v>Инфо</v>
      </c>
      <c r="F6867" s="16" t="s">
        <v>39</v>
      </c>
      <c r="G6867" s="15"/>
      <c r="H6867" s="15"/>
      <c r="I6867" s="15"/>
      <c r="J6867" s="16" t="s">
        <v>100</v>
      </c>
      <c r="K6867" s="15" t="s">
        <v>1587</v>
      </c>
      <c r="L6867" s="17">
        <v>1</v>
      </c>
      <c r="M6867" s="17">
        <v>150</v>
      </c>
      <c r="N6867" s="17">
        <v>1</v>
      </c>
      <c r="O6867" s="18">
        <v>326.01</v>
      </c>
      <c r="P6867" s="18">
        <v>267.22000000000003</v>
      </c>
      <c r="Q6867" s="18">
        <v>277.11</v>
      </c>
      <c r="R6867" s="18">
        <v>227.14</v>
      </c>
      <c r="S6867" s="18">
        <v>221.69</v>
      </c>
      <c r="T6867" s="18">
        <v>181.71</v>
      </c>
      <c r="U6867" s="16"/>
      <c r="V6867" s="16"/>
      <c r="W6867" s="16" t="s">
        <v>40</v>
      </c>
      <c r="X6867" s="19">
        <v>7.1999999999999995E-2</v>
      </c>
      <c r="Y6867" s="20">
        <v>3.3E-4</v>
      </c>
      <c r="Z6867" s="21">
        <v>4601004228146</v>
      </c>
    </row>
    <row r="6868" spans="1:26" ht="12" customHeight="1" outlineLevel="4" x14ac:dyDescent="0.2">
      <c r="A6868" s="14" t="s">
        <v>13203</v>
      </c>
      <c r="B6868" s="26" t="s">
        <v>13204</v>
      </c>
      <c r="C6868" s="52"/>
      <c r="D6868" s="55">
        <f t="shared" si="107"/>
        <v>0</v>
      </c>
      <c r="E6868" s="63" t="str">
        <f>HYPERLINK("https://www.sds-group.ru/product/patch-kord-u-utp-cat-5e-rj45-rj45-26awg-lszh-chernyy-3m-rexant-02-0102-3/", "Инфо")</f>
        <v>Инфо</v>
      </c>
      <c r="F6868" s="16" t="s">
        <v>39</v>
      </c>
      <c r="G6868" s="15"/>
      <c r="H6868" s="15"/>
      <c r="I6868" s="15"/>
      <c r="J6868" s="17">
        <v>4</v>
      </c>
      <c r="K6868" s="15" t="s">
        <v>7336</v>
      </c>
      <c r="L6868" s="17">
        <v>5</v>
      </c>
      <c r="M6868" s="17">
        <v>150</v>
      </c>
      <c r="N6868" s="17">
        <v>5</v>
      </c>
      <c r="O6868" s="18">
        <v>489.38</v>
      </c>
      <c r="P6868" s="18">
        <v>401.13</v>
      </c>
      <c r="Q6868" s="18">
        <v>415.97</v>
      </c>
      <c r="R6868" s="18">
        <v>340.96</v>
      </c>
      <c r="S6868" s="18">
        <v>332.78</v>
      </c>
      <c r="T6868" s="18">
        <v>272.77</v>
      </c>
      <c r="U6868" s="16"/>
      <c r="V6868" s="16"/>
      <c r="W6868" s="16" t="s">
        <v>40</v>
      </c>
      <c r="X6868" s="19">
        <v>9.1999999999999998E-2</v>
      </c>
      <c r="Y6868" s="20">
        <v>4.5300000000000001E-4</v>
      </c>
      <c r="Z6868" s="21">
        <v>4601004228214</v>
      </c>
    </row>
    <row r="6869" spans="1:26" ht="12" customHeight="1" outlineLevel="4" x14ac:dyDescent="0.2">
      <c r="A6869" s="14" t="s">
        <v>13205</v>
      </c>
      <c r="B6869" s="26" t="s">
        <v>13206</v>
      </c>
      <c r="C6869" s="52"/>
      <c r="D6869" s="55">
        <f t="shared" si="107"/>
        <v>0</v>
      </c>
      <c r="E6869" s="63" t="str">
        <f>HYPERLINK("https://www.sds-group.ru/product/patch-kord-u-utp-cat-5e-rj45-rj45-26awg-lszh-chernyy-5m-rexant-02-0102-5/", "Инфо")</f>
        <v>Инфо</v>
      </c>
      <c r="F6869" s="16" t="s">
        <v>39</v>
      </c>
      <c r="G6869" s="15"/>
      <c r="H6869" s="15"/>
      <c r="I6869" s="15"/>
      <c r="J6869" s="17">
        <v>359</v>
      </c>
      <c r="K6869" s="15" t="s">
        <v>7336</v>
      </c>
      <c r="L6869" s="17">
        <v>1</v>
      </c>
      <c r="M6869" s="17">
        <v>60</v>
      </c>
      <c r="N6869" s="17">
        <v>1</v>
      </c>
      <c r="O6869" s="18">
        <v>762.75</v>
      </c>
      <c r="P6869" s="18">
        <v>625.20000000000005</v>
      </c>
      <c r="Q6869" s="18">
        <v>610.20000000000005</v>
      </c>
      <c r="R6869" s="18">
        <v>500.16</v>
      </c>
      <c r="S6869" s="18">
        <v>518.66999999999996</v>
      </c>
      <c r="T6869" s="18">
        <v>425.14</v>
      </c>
      <c r="U6869" s="16"/>
      <c r="V6869" s="16"/>
      <c r="W6869" s="16" t="s">
        <v>40</v>
      </c>
      <c r="X6869" s="19">
        <v>0.151</v>
      </c>
      <c r="Y6869" s="20">
        <v>7.18E-4</v>
      </c>
      <c r="Z6869" s="21">
        <v>4601004228283</v>
      </c>
    </row>
    <row r="6870" spans="1:26" ht="12.95" customHeight="1" outlineLevel="3" x14ac:dyDescent="0.2">
      <c r="A6870" s="76" t="s">
        <v>13207</v>
      </c>
      <c r="B6870" s="76"/>
      <c r="C6870" s="77"/>
      <c r="D6870" s="58"/>
      <c r="E6870" s="68"/>
      <c r="F6870" s="13"/>
      <c r="G6870" s="13"/>
      <c r="H6870" s="13"/>
      <c r="I6870" s="13"/>
      <c r="J6870" s="13"/>
      <c r="K6870" s="13"/>
      <c r="L6870" s="13"/>
      <c r="M6870" s="13"/>
      <c r="N6870" s="13"/>
      <c r="O6870" s="13"/>
      <c r="P6870" s="13"/>
      <c r="Q6870" s="13"/>
      <c r="R6870" s="13"/>
      <c r="S6870" s="13"/>
      <c r="T6870" s="13"/>
      <c r="U6870" s="13"/>
      <c r="V6870" s="13"/>
      <c r="W6870" s="13"/>
      <c r="X6870" s="13"/>
      <c r="Y6870" s="13"/>
      <c r="Z6870" s="13"/>
    </row>
    <row r="6871" spans="1:26" ht="12" customHeight="1" outlineLevel="4" x14ac:dyDescent="0.2">
      <c r="A6871" s="14" t="s">
        <v>13208</v>
      </c>
      <c r="B6871" s="26" t="s">
        <v>13209</v>
      </c>
      <c r="C6871" s="52"/>
      <c r="D6871" s="55">
        <f t="shared" si="107"/>
        <v>0</v>
      </c>
      <c r="E6871" s="63" t="str">
        <f>HYPERLINK("https://www.sds-group.ru/product/patch-kord-f-utp-cat-5e-rj45-rj45-26awg-lszh-seryy-0-3m-rexant-02-0110-03/", "Инфо")</f>
        <v>Инфо</v>
      </c>
      <c r="F6871" s="16" t="s">
        <v>39</v>
      </c>
      <c r="G6871" s="15"/>
      <c r="H6871" s="15"/>
      <c r="I6871" s="15"/>
      <c r="J6871" s="17">
        <v>858</v>
      </c>
      <c r="K6871" s="15" t="s">
        <v>7336</v>
      </c>
      <c r="L6871" s="17">
        <v>10</v>
      </c>
      <c r="M6871" s="17">
        <v>500</v>
      </c>
      <c r="N6871" s="17">
        <v>10</v>
      </c>
      <c r="O6871" s="18">
        <v>212.2</v>
      </c>
      <c r="P6871" s="18">
        <v>173.93</v>
      </c>
      <c r="Q6871" s="18">
        <v>180.37</v>
      </c>
      <c r="R6871" s="18">
        <v>147.84</v>
      </c>
      <c r="S6871" s="18">
        <v>144.30000000000001</v>
      </c>
      <c r="T6871" s="18">
        <v>118.28</v>
      </c>
      <c r="U6871" s="16"/>
      <c r="V6871" s="16"/>
      <c r="W6871" s="16" t="s">
        <v>40</v>
      </c>
      <c r="X6871" s="19">
        <v>2.7E-2</v>
      </c>
      <c r="Y6871" s="20">
        <v>1E-4</v>
      </c>
      <c r="Z6871" s="21">
        <v>4601004228375</v>
      </c>
    </row>
    <row r="6872" spans="1:26" ht="12" customHeight="1" outlineLevel="4" x14ac:dyDescent="0.2">
      <c r="A6872" s="14" t="s">
        <v>13210</v>
      </c>
      <c r="B6872" s="26" t="s">
        <v>13211</v>
      </c>
      <c r="C6872" s="52"/>
      <c r="D6872" s="55">
        <f t="shared" si="107"/>
        <v>0</v>
      </c>
      <c r="E6872" s="63" t="str">
        <f>HYPERLINK("https://www.sds-group.ru/product/patch-kord-f-utp-cat-5e-rj45-rj45-26awg-lszh-seryy-0-5m-rexant-02-0110-05/", "Инфо")</f>
        <v>Инфо</v>
      </c>
      <c r="F6872" s="16" t="s">
        <v>39</v>
      </c>
      <c r="G6872" s="15"/>
      <c r="H6872" s="15"/>
      <c r="I6872" s="15"/>
      <c r="J6872" s="16" t="s">
        <v>100</v>
      </c>
      <c r="K6872" s="15" t="s">
        <v>7336</v>
      </c>
      <c r="L6872" s="17">
        <v>10</v>
      </c>
      <c r="M6872" s="17">
        <v>400</v>
      </c>
      <c r="N6872" s="17">
        <v>10</v>
      </c>
      <c r="O6872" s="18">
        <v>237.05</v>
      </c>
      <c r="P6872" s="18">
        <v>194.3</v>
      </c>
      <c r="Q6872" s="18">
        <v>201.49</v>
      </c>
      <c r="R6872" s="18">
        <v>165.16</v>
      </c>
      <c r="S6872" s="18">
        <v>161.19</v>
      </c>
      <c r="T6872" s="18">
        <v>132.12</v>
      </c>
      <c r="U6872" s="16"/>
      <c r="V6872" s="16"/>
      <c r="W6872" s="16" t="s">
        <v>40</v>
      </c>
      <c r="X6872" s="19">
        <v>3.3000000000000002E-2</v>
      </c>
      <c r="Y6872" s="20">
        <v>1.21E-4</v>
      </c>
      <c r="Z6872" s="21">
        <v>4601004228382</v>
      </c>
    </row>
    <row r="6873" spans="1:26" ht="12" customHeight="1" outlineLevel="4" x14ac:dyDescent="0.2">
      <c r="A6873" s="14" t="s">
        <v>13212</v>
      </c>
      <c r="B6873" s="26" t="s">
        <v>13213</v>
      </c>
      <c r="C6873" s="52"/>
      <c r="D6873" s="55">
        <f t="shared" si="107"/>
        <v>0</v>
      </c>
      <c r="E6873" s="63" t="str">
        <f>HYPERLINK("https://www.sds-group.ru/product/patch-kord-f-utp-cat-5e-rj45-rj45-26awg-lszh-seryy-1-5m-rexant-02-0110-105/", "Инфо")</f>
        <v>Инфо</v>
      </c>
      <c r="F6873" s="16" t="s">
        <v>39</v>
      </c>
      <c r="G6873" s="15"/>
      <c r="H6873" s="15"/>
      <c r="I6873" s="15"/>
      <c r="J6873" s="17">
        <v>447</v>
      </c>
      <c r="K6873" s="15" t="s">
        <v>1587</v>
      </c>
      <c r="L6873" s="17">
        <v>10</v>
      </c>
      <c r="M6873" s="17">
        <v>200</v>
      </c>
      <c r="N6873" s="17">
        <v>10</v>
      </c>
      <c r="O6873" s="18">
        <v>363.21</v>
      </c>
      <c r="P6873" s="18">
        <v>297.70999999999998</v>
      </c>
      <c r="Q6873" s="18">
        <v>308.73</v>
      </c>
      <c r="R6873" s="18">
        <v>253.06</v>
      </c>
      <c r="S6873" s="18">
        <v>246.98</v>
      </c>
      <c r="T6873" s="18">
        <v>202.44</v>
      </c>
      <c r="U6873" s="16"/>
      <c r="V6873" s="16"/>
      <c r="W6873" s="16" t="s">
        <v>40</v>
      </c>
      <c r="X6873" s="19">
        <v>6.7000000000000004E-2</v>
      </c>
      <c r="Y6873" s="20">
        <v>2.2499999999999999E-4</v>
      </c>
      <c r="Z6873" s="21">
        <v>4601004228405</v>
      </c>
    </row>
    <row r="6874" spans="1:26" ht="12" customHeight="1" outlineLevel="4" x14ac:dyDescent="0.2">
      <c r="A6874" s="14" t="s">
        <v>13214</v>
      </c>
      <c r="B6874" s="26" t="s">
        <v>13215</v>
      </c>
      <c r="C6874" s="52"/>
      <c r="D6874" s="55">
        <f t="shared" si="107"/>
        <v>0</v>
      </c>
      <c r="E6874" s="63" t="str">
        <f>HYPERLINK("https://www.sds-group.ru/product/patch-kord-f-utp-cat-5e-rj45-rj45-26awg-lszh-seryy-1m-rexant-02-0110-1/", "Инфо")</f>
        <v>Инфо</v>
      </c>
      <c r="F6874" s="16" t="s">
        <v>39</v>
      </c>
      <c r="G6874" s="15"/>
      <c r="H6874" s="15"/>
      <c r="I6874" s="15"/>
      <c r="J6874" s="22">
        <v>1063</v>
      </c>
      <c r="K6874" s="15" t="s">
        <v>7336</v>
      </c>
      <c r="L6874" s="17">
        <v>5</v>
      </c>
      <c r="M6874" s="17">
        <v>200</v>
      </c>
      <c r="N6874" s="17">
        <v>5</v>
      </c>
      <c r="O6874" s="18">
        <v>302.05</v>
      </c>
      <c r="P6874" s="18">
        <v>247.58</v>
      </c>
      <c r="Q6874" s="18">
        <v>256.74</v>
      </c>
      <c r="R6874" s="18">
        <v>210.44</v>
      </c>
      <c r="S6874" s="18">
        <v>205.39</v>
      </c>
      <c r="T6874" s="18">
        <v>168.35</v>
      </c>
      <c r="U6874" s="16"/>
      <c r="V6874" s="16"/>
      <c r="W6874" s="16" t="s">
        <v>40</v>
      </c>
      <c r="X6874" s="19">
        <v>5.0999999999999997E-2</v>
      </c>
      <c r="Y6874" s="20">
        <v>2.1900000000000001E-4</v>
      </c>
      <c r="Z6874" s="21">
        <v>4601004228399</v>
      </c>
    </row>
    <row r="6875" spans="1:26" ht="12" customHeight="1" outlineLevel="4" x14ac:dyDescent="0.2">
      <c r="A6875" s="14" t="s">
        <v>13216</v>
      </c>
      <c r="B6875" s="26" t="s">
        <v>13217</v>
      </c>
      <c r="C6875" s="52"/>
      <c r="D6875" s="55">
        <f t="shared" si="107"/>
        <v>0</v>
      </c>
      <c r="E6875" s="63" t="str">
        <f>HYPERLINK("https://www.sds-group.ru/product/patch-kord-f-utp-cat-5e-rj45-rj45-26awg-lszh-seryy-2m-rexant-02-0110-2/", "Инфо")</f>
        <v>Инфо</v>
      </c>
      <c r="F6875" s="16" t="s">
        <v>39</v>
      </c>
      <c r="G6875" s="15"/>
      <c r="H6875" s="15"/>
      <c r="I6875" s="15"/>
      <c r="J6875" s="17">
        <v>345</v>
      </c>
      <c r="K6875" s="15" t="s">
        <v>1587</v>
      </c>
      <c r="L6875" s="17">
        <v>5</v>
      </c>
      <c r="M6875" s="17">
        <v>150</v>
      </c>
      <c r="N6875" s="17">
        <v>5</v>
      </c>
      <c r="O6875" s="18">
        <v>432.05</v>
      </c>
      <c r="P6875" s="18">
        <v>354.14</v>
      </c>
      <c r="Q6875" s="18">
        <v>367.24</v>
      </c>
      <c r="R6875" s="18">
        <v>301.02</v>
      </c>
      <c r="S6875" s="18">
        <v>293.79000000000002</v>
      </c>
      <c r="T6875" s="18">
        <v>240.81</v>
      </c>
      <c r="U6875" s="16"/>
      <c r="V6875" s="16"/>
      <c r="W6875" s="16" t="s">
        <v>40</v>
      </c>
      <c r="X6875" s="19">
        <v>8.3000000000000004E-2</v>
      </c>
      <c r="Y6875" s="20">
        <v>2.8899999999999998E-4</v>
      </c>
      <c r="Z6875" s="21">
        <v>4601004228412</v>
      </c>
    </row>
    <row r="6876" spans="1:26" ht="12" customHeight="1" outlineLevel="4" x14ac:dyDescent="0.2">
      <c r="A6876" s="14" t="s">
        <v>13218</v>
      </c>
      <c r="B6876" s="26" t="s">
        <v>13219</v>
      </c>
      <c r="C6876" s="52"/>
      <c r="D6876" s="55">
        <f t="shared" si="107"/>
        <v>0</v>
      </c>
      <c r="E6876" s="63" t="str">
        <f>HYPERLINK("https://www.sds-group.ru/product/patch-kord-f-utp-cat-5e-rj45-rj45-26awg-lszh-seryy-3m-rexant-02-0110-3/", "Инфо")</f>
        <v>Инфо</v>
      </c>
      <c r="F6876" s="16" t="s">
        <v>39</v>
      </c>
      <c r="G6876" s="15"/>
      <c r="H6876" s="15"/>
      <c r="I6876" s="15"/>
      <c r="J6876" s="16" t="s">
        <v>100</v>
      </c>
      <c r="K6876" s="15" t="s">
        <v>7336</v>
      </c>
      <c r="L6876" s="17">
        <v>5</v>
      </c>
      <c r="M6876" s="17">
        <v>80</v>
      </c>
      <c r="N6876" s="17">
        <v>5</v>
      </c>
      <c r="O6876" s="18">
        <v>571.59</v>
      </c>
      <c r="P6876" s="18">
        <v>468.52</v>
      </c>
      <c r="Q6876" s="18">
        <v>457.27</v>
      </c>
      <c r="R6876" s="18">
        <v>374.81</v>
      </c>
      <c r="S6876" s="18">
        <v>388.68</v>
      </c>
      <c r="T6876" s="18">
        <v>318.58999999999997</v>
      </c>
      <c r="U6876" s="16"/>
      <c r="V6876" s="16"/>
      <c r="W6876" s="16" t="s">
        <v>40</v>
      </c>
      <c r="X6876" s="19">
        <v>0.11600000000000001</v>
      </c>
      <c r="Y6876" s="20">
        <v>5.3600000000000002E-4</v>
      </c>
      <c r="Z6876" s="21">
        <v>4601004228429</v>
      </c>
    </row>
    <row r="6877" spans="1:26" ht="12" customHeight="1" outlineLevel="4" x14ac:dyDescent="0.2">
      <c r="A6877" s="14" t="s">
        <v>13220</v>
      </c>
      <c r="B6877" s="26" t="s">
        <v>13221</v>
      </c>
      <c r="C6877" s="52"/>
      <c r="D6877" s="55">
        <f t="shared" si="107"/>
        <v>0</v>
      </c>
      <c r="E6877" s="63" t="str">
        <f>HYPERLINK("https://www.sds-group.ru/product/patch-kord-f-utp-cat-5e-rj45-rj45-26awg-lszh-seryy-5m-rexant-02-0110-5/", "Инфо")</f>
        <v>Инфо</v>
      </c>
      <c r="F6877" s="16" t="s">
        <v>39</v>
      </c>
      <c r="G6877" s="15"/>
      <c r="H6877" s="15"/>
      <c r="I6877" s="15"/>
      <c r="J6877" s="17">
        <v>164</v>
      </c>
      <c r="K6877" s="15" t="s">
        <v>7336</v>
      </c>
      <c r="L6877" s="17">
        <v>1</v>
      </c>
      <c r="M6877" s="17">
        <v>100</v>
      </c>
      <c r="N6877" s="17">
        <v>1</v>
      </c>
      <c r="O6877" s="18">
        <v>829.66</v>
      </c>
      <c r="P6877" s="18">
        <v>680.05</v>
      </c>
      <c r="Q6877" s="18">
        <v>663.73</v>
      </c>
      <c r="R6877" s="18">
        <v>544.04</v>
      </c>
      <c r="S6877" s="18">
        <v>564.16999999999996</v>
      </c>
      <c r="T6877" s="18">
        <v>462.43</v>
      </c>
      <c r="U6877" s="16"/>
      <c r="V6877" s="16"/>
      <c r="W6877" s="16" t="s">
        <v>40</v>
      </c>
      <c r="X6877" s="19">
        <v>0.17399999999999999</v>
      </c>
      <c r="Y6877" s="20">
        <v>5.1000000000000004E-4</v>
      </c>
      <c r="Z6877" s="21">
        <v>4601004228436</v>
      </c>
    </row>
    <row r="6878" spans="1:26" ht="12.95" customHeight="1" outlineLevel="3" x14ac:dyDescent="0.2">
      <c r="A6878" s="76" t="s">
        <v>13222</v>
      </c>
      <c r="B6878" s="76"/>
      <c r="C6878" s="77"/>
      <c r="D6878" s="58"/>
      <c r="E6878" s="68"/>
      <c r="F6878" s="13"/>
      <c r="G6878" s="13"/>
      <c r="H6878" s="13"/>
      <c r="I6878" s="13"/>
      <c r="J6878" s="13"/>
      <c r="K6878" s="13"/>
      <c r="L6878" s="13"/>
      <c r="M6878" s="13"/>
      <c r="N6878" s="13"/>
      <c r="O6878" s="13"/>
      <c r="P6878" s="13"/>
      <c r="Q6878" s="13"/>
      <c r="R6878" s="13"/>
      <c r="S6878" s="13"/>
      <c r="T6878" s="13"/>
      <c r="U6878" s="13"/>
      <c r="V6878" s="13"/>
      <c r="W6878" s="13"/>
      <c r="X6878" s="13"/>
      <c r="Y6878" s="13"/>
      <c r="Z6878" s="13"/>
    </row>
    <row r="6879" spans="1:26" ht="12" customHeight="1" outlineLevel="4" x14ac:dyDescent="0.2">
      <c r="A6879" s="14" t="s">
        <v>13223</v>
      </c>
      <c r="B6879" s="26" t="s">
        <v>13224</v>
      </c>
      <c r="C6879" s="52"/>
      <c r="D6879" s="55">
        <f t="shared" si="107"/>
        <v>0</v>
      </c>
      <c r="E6879" s="63" t="str">
        <f>HYPERLINK("https://www.sds-group.ru/product/patch-kord-u-utp-cat-6-rj45-rj45-26awg-lszh-zheltyy-0-3m-rexant-02-0295-03/", "Инфо")</f>
        <v>Инфо</v>
      </c>
      <c r="F6879" s="16" t="s">
        <v>39</v>
      </c>
      <c r="G6879" s="15"/>
      <c r="H6879" s="15"/>
      <c r="I6879" s="15"/>
      <c r="J6879" s="22">
        <v>3027</v>
      </c>
      <c r="K6879" s="15"/>
      <c r="L6879" s="17">
        <v>10</v>
      </c>
      <c r="M6879" s="17">
        <v>300</v>
      </c>
      <c r="N6879" s="17">
        <v>10</v>
      </c>
      <c r="O6879" s="18">
        <v>210.28</v>
      </c>
      <c r="P6879" s="18">
        <v>172.36</v>
      </c>
      <c r="Q6879" s="18">
        <v>178.74</v>
      </c>
      <c r="R6879" s="18">
        <v>146.51</v>
      </c>
      <c r="S6879" s="18">
        <v>142.99</v>
      </c>
      <c r="T6879" s="18">
        <v>117.2</v>
      </c>
      <c r="U6879" s="16"/>
      <c r="V6879" s="16"/>
      <c r="W6879" s="16" t="s">
        <v>40</v>
      </c>
      <c r="X6879" s="19">
        <v>2.4E-2</v>
      </c>
      <c r="Y6879" s="20">
        <v>1.1E-4</v>
      </c>
      <c r="Z6879" s="21">
        <v>4601004228535</v>
      </c>
    </row>
    <row r="6880" spans="1:26" ht="12" customHeight="1" outlineLevel="4" x14ac:dyDescent="0.2">
      <c r="A6880" s="14" t="s">
        <v>13225</v>
      </c>
      <c r="B6880" s="26" t="s">
        <v>13226</v>
      </c>
      <c r="C6880" s="52"/>
      <c r="D6880" s="55">
        <f t="shared" si="107"/>
        <v>0</v>
      </c>
      <c r="E6880" s="63" t="str">
        <f>HYPERLINK("https://www.sds-group.ru/product/patch-kord-u-utp-cat-6-rj45-rj45-26awg-lszh-zheltyy-0-5m-rexant-02-0295-05/", "Инфо")</f>
        <v>Инфо</v>
      </c>
      <c r="F6880" s="16" t="s">
        <v>39</v>
      </c>
      <c r="G6880" s="15"/>
      <c r="H6880" s="15"/>
      <c r="I6880" s="15"/>
      <c r="J6880" s="17">
        <v>474</v>
      </c>
      <c r="K6880" s="15"/>
      <c r="L6880" s="17">
        <v>10</v>
      </c>
      <c r="M6880" s="17">
        <v>400</v>
      </c>
      <c r="N6880" s="17">
        <v>10</v>
      </c>
      <c r="O6880" s="18">
        <v>242.78</v>
      </c>
      <c r="P6880" s="18">
        <v>199</v>
      </c>
      <c r="Q6880" s="18">
        <v>206.36</v>
      </c>
      <c r="R6880" s="18">
        <v>169.15</v>
      </c>
      <c r="S6880" s="18">
        <v>165.09</v>
      </c>
      <c r="T6880" s="18">
        <v>135.32</v>
      </c>
      <c r="U6880" s="16"/>
      <c r="V6880" s="16"/>
      <c r="W6880" s="16" t="s">
        <v>40</v>
      </c>
      <c r="X6880" s="19">
        <v>2.8000000000000001E-2</v>
      </c>
      <c r="Y6880" s="20">
        <v>1.3799999999999999E-4</v>
      </c>
      <c r="Z6880" s="21">
        <v>4601004228603</v>
      </c>
    </row>
    <row r="6881" spans="1:26" ht="12" customHeight="1" outlineLevel="4" x14ac:dyDescent="0.2">
      <c r="A6881" s="14" t="s">
        <v>13227</v>
      </c>
      <c r="B6881" s="26" t="s">
        <v>13228</v>
      </c>
      <c r="C6881" s="52"/>
      <c r="D6881" s="55">
        <f t="shared" si="107"/>
        <v>0</v>
      </c>
      <c r="E6881" s="63" t="str">
        <f>HYPERLINK("https://www.sds-group.ru/product/patch-kord-u-utp-cat-6-rj45-rj45-26awg-lszh-zheltyy-1-5m-rexant-02-0295-105/", "Инфо")</f>
        <v>Инфо</v>
      </c>
      <c r="F6881" s="16" t="s">
        <v>39</v>
      </c>
      <c r="G6881" s="15"/>
      <c r="H6881" s="15"/>
      <c r="I6881" s="15"/>
      <c r="J6881" s="17">
        <v>860</v>
      </c>
      <c r="K6881" s="15"/>
      <c r="L6881" s="17">
        <v>1</v>
      </c>
      <c r="M6881" s="17">
        <v>200</v>
      </c>
      <c r="N6881" s="17">
        <v>1</v>
      </c>
      <c r="O6881" s="18">
        <v>356.84</v>
      </c>
      <c r="P6881" s="18">
        <v>292.49</v>
      </c>
      <c r="Q6881" s="18">
        <v>303.31</v>
      </c>
      <c r="R6881" s="18">
        <v>248.61</v>
      </c>
      <c r="S6881" s="18">
        <v>242.65</v>
      </c>
      <c r="T6881" s="18">
        <v>198.89</v>
      </c>
      <c r="U6881" s="16"/>
      <c r="V6881" s="16"/>
      <c r="W6881" s="16" t="s">
        <v>40</v>
      </c>
      <c r="X6881" s="19">
        <v>5.6000000000000001E-2</v>
      </c>
      <c r="Y6881" s="20">
        <v>3.8400000000000001E-4</v>
      </c>
      <c r="Z6881" s="21">
        <v>4601004228740</v>
      </c>
    </row>
    <row r="6882" spans="1:26" ht="12" customHeight="1" outlineLevel="4" x14ac:dyDescent="0.2">
      <c r="A6882" s="14" t="s">
        <v>13229</v>
      </c>
      <c r="B6882" s="26" t="s">
        <v>13230</v>
      </c>
      <c r="C6882" s="52"/>
      <c r="D6882" s="55">
        <f t="shared" si="107"/>
        <v>0</v>
      </c>
      <c r="E6882" s="63" t="str">
        <f>HYPERLINK("https://www.sds-group.ru/product/patch-kord-u-utp-cat-6-rj45-rj45-26awg-lszh-zheltyy-1m-rexant-02-0295-1/", "Инфо")</f>
        <v>Инфо</v>
      </c>
      <c r="F6882" s="16" t="s">
        <v>39</v>
      </c>
      <c r="G6882" s="15"/>
      <c r="H6882" s="15"/>
      <c r="I6882" s="15"/>
      <c r="J6882" s="16" t="s">
        <v>100</v>
      </c>
      <c r="K6882" s="15"/>
      <c r="L6882" s="17">
        <v>10</v>
      </c>
      <c r="M6882" s="17">
        <v>250</v>
      </c>
      <c r="N6882" s="17">
        <v>10</v>
      </c>
      <c r="O6882" s="18">
        <v>316.89999999999998</v>
      </c>
      <c r="P6882" s="18">
        <v>259.75</v>
      </c>
      <c r="Q6882" s="18">
        <v>269.37</v>
      </c>
      <c r="R6882" s="18">
        <v>220.8</v>
      </c>
      <c r="S6882" s="18">
        <v>215.49</v>
      </c>
      <c r="T6882" s="18">
        <v>176.63</v>
      </c>
      <c r="U6882" s="16"/>
      <c r="V6882" s="16"/>
      <c r="W6882" s="16" t="s">
        <v>40</v>
      </c>
      <c r="X6882" s="19">
        <v>4.4999999999999998E-2</v>
      </c>
      <c r="Y6882" s="20">
        <v>1.8200000000000001E-4</v>
      </c>
      <c r="Z6882" s="21">
        <v>4601004228672</v>
      </c>
    </row>
    <row r="6883" spans="1:26" ht="12" customHeight="1" outlineLevel="4" x14ac:dyDescent="0.2">
      <c r="A6883" s="14" t="s">
        <v>13231</v>
      </c>
      <c r="B6883" s="26" t="s">
        <v>13232</v>
      </c>
      <c r="C6883" s="52"/>
      <c r="D6883" s="55">
        <f t="shared" si="107"/>
        <v>0</v>
      </c>
      <c r="E6883" s="63" t="str">
        <f>HYPERLINK("https://www.sds-group.ru/product/patch-kord-u-utp-cat-6-rj45-rj45-26awg-lszh-zheltyy-2m-rexant-02-0295-2/", "Инфо")</f>
        <v>Инфо</v>
      </c>
      <c r="F6883" s="16" t="s">
        <v>39</v>
      </c>
      <c r="G6883" s="15"/>
      <c r="H6883" s="15"/>
      <c r="I6883" s="15"/>
      <c r="J6883" s="17">
        <v>330</v>
      </c>
      <c r="K6883" s="15"/>
      <c r="L6883" s="17">
        <v>10</v>
      </c>
      <c r="M6883" s="17">
        <v>200</v>
      </c>
      <c r="N6883" s="17">
        <v>10</v>
      </c>
      <c r="O6883" s="18">
        <v>386.59</v>
      </c>
      <c r="P6883" s="18">
        <v>316.88</v>
      </c>
      <c r="Q6883" s="18">
        <v>328.6</v>
      </c>
      <c r="R6883" s="18">
        <v>269.33999999999997</v>
      </c>
      <c r="S6883" s="18">
        <v>262.88</v>
      </c>
      <c r="T6883" s="18">
        <v>215.48</v>
      </c>
      <c r="U6883" s="16"/>
      <c r="V6883" s="16"/>
      <c r="W6883" s="16" t="s">
        <v>40</v>
      </c>
      <c r="X6883" s="19">
        <v>7.5999999999999998E-2</v>
      </c>
      <c r="Y6883" s="20">
        <v>3.1100000000000002E-4</v>
      </c>
      <c r="Z6883" s="21">
        <v>4601004228818</v>
      </c>
    </row>
    <row r="6884" spans="1:26" ht="12" customHeight="1" outlineLevel="4" x14ac:dyDescent="0.2">
      <c r="A6884" s="14" t="s">
        <v>13233</v>
      </c>
      <c r="B6884" s="26" t="s">
        <v>13234</v>
      </c>
      <c r="C6884" s="52"/>
      <c r="D6884" s="55">
        <f t="shared" si="107"/>
        <v>0</v>
      </c>
      <c r="E6884" s="63" t="str">
        <f>HYPERLINK("https://www.sds-group.ru/product/patch-kord-u-utp-cat-6-rj45-rj45-26awg-lszh-zheltyy-3m-rexant-02-0295-3/", "Инфо")</f>
        <v>Инфо</v>
      </c>
      <c r="F6884" s="16" t="s">
        <v>39</v>
      </c>
      <c r="G6884" s="15"/>
      <c r="H6884" s="15"/>
      <c r="I6884" s="15"/>
      <c r="J6884" s="17">
        <v>344</v>
      </c>
      <c r="K6884" s="15"/>
      <c r="L6884" s="17">
        <v>1</v>
      </c>
      <c r="M6884" s="17">
        <v>120</v>
      </c>
      <c r="N6884" s="17">
        <v>1</v>
      </c>
      <c r="O6884" s="18">
        <v>600.26</v>
      </c>
      <c r="P6884" s="18">
        <v>492.02</v>
      </c>
      <c r="Q6884" s="18">
        <v>480.21</v>
      </c>
      <c r="R6884" s="18">
        <v>393.61</v>
      </c>
      <c r="S6884" s="18">
        <v>408.18</v>
      </c>
      <c r="T6884" s="18">
        <v>334.57</v>
      </c>
      <c r="U6884" s="16"/>
      <c r="V6884" s="16"/>
      <c r="W6884" s="16" t="s">
        <v>40</v>
      </c>
      <c r="X6884" s="19">
        <v>0.108</v>
      </c>
      <c r="Y6884" s="20">
        <v>4.6700000000000002E-4</v>
      </c>
      <c r="Z6884" s="21">
        <v>4601004228887</v>
      </c>
    </row>
    <row r="6885" spans="1:26" ht="12" customHeight="1" outlineLevel="4" x14ac:dyDescent="0.2">
      <c r="A6885" s="14" t="s">
        <v>13235</v>
      </c>
      <c r="B6885" s="26" t="s">
        <v>13236</v>
      </c>
      <c r="C6885" s="52"/>
      <c r="D6885" s="55">
        <f t="shared" si="107"/>
        <v>0</v>
      </c>
      <c r="E6885" s="63" t="str">
        <f>HYPERLINK("https://www.sds-group.ru/product/patch-kord-u-utp-cat-6-rj45-rj45-26awg-lszh-zheltyy-5m-rexant-02-0295-5/", "Инфо")</f>
        <v>Инфо</v>
      </c>
      <c r="F6885" s="16" t="s">
        <v>39</v>
      </c>
      <c r="G6885" s="15"/>
      <c r="H6885" s="15"/>
      <c r="I6885" s="15"/>
      <c r="J6885" s="17">
        <v>400</v>
      </c>
      <c r="K6885" s="15"/>
      <c r="L6885" s="17">
        <v>1</v>
      </c>
      <c r="M6885" s="17">
        <v>80</v>
      </c>
      <c r="N6885" s="17">
        <v>1</v>
      </c>
      <c r="O6885" s="18">
        <v>890.85</v>
      </c>
      <c r="P6885" s="18">
        <v>730.2</v>
      </c>
      <c r="Q6885" s="18">
        <v>712.68</v>
      </c>
      <c r="R6885" s="18">
        <v>584.16</v>
      </c>
      <c r="S6885" s="18">
        <v>605.78</v>
      </c>
      <c r="T6885" s="18">
        <v>496.54</v>
      </c>
      <c r="U6885" s="16"/>
      <c r="V6885" s="16"/>
      <c r="W6885" s="16" t="s">
        <v>40</v>
      </c>
      <c r="X6885" s="19">
        <v>0.16800000000000001</v>
      </c>
      <c r="Y6885" s="20">
        <v>5.4900000000000001E-4</v>
      </c>
      <c r="Z6885" s="21">
        <v>4601004228955</v>
      </c>
    </row>
    <row r="6886" spans="1:26" ht="12" customHeight="1" outlineLevel="4" x14ac:dyDescent="0.2">
      <c r="A6886" s="14" t="s">
        <v>13237</v>
      </c>
      <c r="B6886" s="26" t="s">
        <v>13238</v>
      </c>
      <c r="C6886" s="52"/>
      <c r="D6886" s="55">
        <f t="shared" si="107"/>
        <v>0</v>
      </c>
      <c r="E6886" s="63" t="str">
        <f>HYPERLINK("https://www.sds-group.ru/product/patch-kord-u-utp-cat-6-rj45-rj45-26awg-lszh-zelenyy-0-3m-rexant-02-0296-03/", "Инфо")</f>
        <v>Инфо</v>
      </c>
      <c r="F6886" s="16" t="s">
        <v>39</v>
      </c>
      <c r="G6886" s="15"/>
      <c r="H6886" s="15"/>
      <c r="I6886" s="15"/>
      <c r="J6886" s="17">
        <v>799</v>
      </c>
      <c r="K6886" s="15"/>
      <c r="L6886" s="17">
        <v>10</v>
      </c>
      <c r="M6886" s="17">
        <v>300</v>
      </c>
      <c r="N6886" s="17">
        <v>10</v>
      </c>
      <c r="O6886" s="18">
        <v>210.28</v>
      </c>
      <c r="P6886" s="18">
        <v>172.36</v>
      </c>
      <c r="Q6886" s="18">
        <v>178.74</v>
      </c>
      <c r="R6886" s="18">
        <v>146.51</v>
      </c>
      <c r="S6886" s="18">
        <v>142.99</v>
      </c>
      <c r="T6886" s="18">
        <v>117.2</v>
      </c>
      <c r="U6886" s="16"/>
      <c r="V6886" s="16"/>
      <c r="W6886" s="16" t="s">
        <v>40</v>
      </c>
      <c r="X6886" s="19">
        <v>2.1999999999999999E-2</v>
      </c>
      <c r="Y6886" s="20">
        <v>1.1E-4</v>
      </c>
      <c r="Z6886" s="21">
        <v>4601004228542</v>
      </c>
    </row>
    <row r="6887" spans="1:26" ht="12" customHeight="1" outlineLevel="4" x14ac:dyDescent="0.2">
      <c r="A6887" s="14" t="s">
        <v>13239</v>
      </c>
      <c r="B6887" s="26" t="s">
        <v>13240</v>
      </c>
      <c r="C6887" s="52"/>
      <c r="D6887" s="55">
        <f t="shared" si="107"/>
        <v>0</v>
      </c>
      <c r="E6887" s="63" t="str">
        <f>HYPERLINK("https://www.sds-group.ru/product/patch-kord-u-utp-cat-6-rj45-rj45-26awg-lszh-zelenyy-0-5m-rexant-02-0296-05/", "Инфо")</f>
        <v>Инфо</v>
      </c>
      <c r="F6887" s="16" t="s">
        <v>39</v>
      </c>
      <c r="G6887" s="15"/>
      <c r="H6887" s="15"/>
      <c r="I6887" s="15"/>
      <c r="J6887" s="17">
        <v>430</v>
      </c>
      <c r="K6887" s="15"/>
      <c r="L6887" s="17">
        <v>1</v>
      </c>
      <c r="M6887" s="17">
        <v>300</v>
      </c>
      <c r="N6887" s="17">
        <v>1</v>
      </c>
      <c r="O6887" s="18">
        <v>242.78</v>
      </c>
      <c r="P6887" s="18">
        <v>199</v>
      </c>
      <c r="Q6887" s="18">
        <v>206.36</v>
      </c>
      <c r="R6887" s="18">
        <v>169.15</v>
      </c>
      <c r="S6887" s="18">
        <v>165.09</v>
      </c>
      <c r="T6887" s="18">
        <v>135.32</v>
      </c>
      <c r="U6887" s="16"/>
      <c r="V6887" s="16"/>
      <c r="W6887" s="16" t="s">
        <v>40</v>
      </c>
      <c r="X6887" s="19">
        <v>2.9000000000000001E-2</v>
      </c>
      <c r="Y6887" s="20">
        <v>1.36E-4</v>
      </c>
      <c r="Z6887" s="21">
        <v>4601004228610</v>
      </c>
    </row>
    <row r="6888" spans="1:26" ht="12" customHeight="1" outlineLevel="4" x14ac:dyDescent="0.2">
      <c r="A6888" s="14" t="s">
        <v>13241</v>
      </c>
      <c r="B6888" s="26" t="s">
        <v>13242</v>
      </c>
      <c r="C6888" s="52"/>
      <c r="D6888" s="55">
        <f t="shared" si="107"/>
        <v>0</v>
      </c>
      <c r="E6888" s="63" t="str">
        <f>HYPERLINK("https://www.sds-group.ru/product/patch-kord-u-utp-cat-6-rj45-rj45-26awg-lszh-zelenyy-1-5m-rexant-02-0296-105/", "Инфо")</f>
        <v>Инфо</v>
      </c>
      <c r="F6888" s="16" t="s">
        <v>39</v>
      </c>
      <c r="G6888" s="15"/>
      <c r="H6888" s="15"/>
      <c r="I6888" s="15"/>
      <c r="J6888" s="17">
        <v>731</v>
      </c>
      <c r="K6888" s="15"/>
      <c r="L6888" s="17">
        <v>10</v>
      </c>
      <c r="M6888" s="17">
        <v>200</v>
      </c>
      <c r="N6888" s="17">
        <v>10</v>
      </c>
      <c r="O6888" s="18">
        <v>384.25</v>
      </c>
      <c r="P6888" s="18">
        <v>314.95999999999998</v>
      </c>
      <c r="Q6888" s="18">
        <v>326.61</v>
      </c>
      <c r="R6888" s="18">
        <v>267.70999999999998</v>
      </c>
      <c r="S6888" s="18">
        <v>261.29000000000002</v>
      </c>
      <c r="T6888" s="18">
        <v>214.17</v>
      </c>
      <c r="U6888" s="16"/>
      <c r="V6888" s="16"/>
      <c r="W6888" s="16" t="s">
        <v>40</v>
      </c>
      <c r="X6888" s="19">
        <v>6.0999999999999999E-2</v>
      </c>
      <c r="Y6888" s="20">
        <v>2.2100000000000001E-4</v>
      </c>
      <c r="Z6888" s="21">
        <v>4601004228757</v>
      </c>
    </row>
    <row r="6889" spans="1:26" ht="12" customHeight="1" outlineLevel="4" x14ac:dyDescent="0.2">
      <c r="A6889" s="14" t="s">
        <v>13243</v>
      </c>
      <c r="B6889" s="26" t="s">
        <v>13244</v>
      </c>
      <c r="C6889" s="52"/>
      <c r="D6889" s="55">
        <f t="shared" si="107"/>
        <v>0</v>
      </c>
      <c r="E6889" s="63" t="str">
        <f>HYPERLINK("https://www.sds-group.ru/product/patch-kord-u-utp-cat-6-rj45-rj45-26awg-lszh-zelenyy-1m-rexant-02-0296-1/", "Инфо")</f>
        <v>Инфо</v>
      </c>
      <c r="F6889" s="16" t="s">
        <v>39</v>
      </c>
      <c r="G6889" s="15"/>
      <c r="H6889" s="15"/>
      <c r="I6889" s="15"/>
      <c r="J6889" s="22">
        <v>1250</v>
      </c>
      <c r="K6889" s="15"/>
      <c r="L6889" s="17">
        <v>10</v>
      </c>
      <c r="M6889" s="17">
        <v>250</v>
      </c>
      <c r="N6889" s="17">
        <v>10</v>
      </c>
      <c r="O6889" s="18">
        <v>305.86</v>
      </c>
      <c r="P6889" s="18">
        <v>250.7</v>
      </c>
      <c r="Q6889" s="18">
        <v>259.98</v>
      </c>
      <c r="R6889" s="18">
        <v>213.1</v>
      </c>
      <c r="S6889" s="18">
        <v>207.98</v>
      </c>
      <c r="T6889" s="18">
        <v>170.48</v>
      </c>
      <c r="U6889" s="16"/>
      <c r="V6889" s="16"/>
      <c r="W6889" s="16" t="s">
        <v>40</v>
      </c>
      <c r="X6889" s="19">
        <v>4.4999999999999998E-2</v>
      </c>
      <c r="Y6889" s="20">
        <v>1.8100000000000001E-4</v>
      </c>
      <c r="Z6889" s="21">
        <v>4601004228689</v>
      </c>
    </row>
    <row r="6890" spans="1:26" ht="12" customHeight="1" outlineLevel="4" x14ac:dyDescent="0.2">
      <c r="A6890" s="14" t="s">
        <v>13245</v>
      </c>
      <c r="B6890" s="26" t="s">
        <v>13246</v>
      </c>
      <c r="C6890" s="52"/>
      <c r="D6890" s="55">
        <f t="shared" si="107"/>
        <v>0</v>
      </c>
      <c r="E6890" s="63" t="str">
        <f>HYPERLINK("https://www.sds-group.ru/product/patch-kord-u-utp-cat-6-rj45-rj45-26awg-lszh-zelenyy-2m-rexant-02-0296-2/", "Инфо")</f>
        <v>Инфо</v>
      </c>
      <c r="F6890" s="16" t="s">
        <v>39</v>
      </c>
      <c r="G6890" s="15"/>
      <c r="H6890" s="15"/>
      <c r="I6890" s="15"/>
      <c r="J6890" s="17">
        <v>62</v>
      </c>
      <c r="K6890" s="15" t="s">
        <v>7336</v>
      </c>
      <c r="L6890" s="17">
        <v>5</v>
      </c>
      <c r="M6890" s="17">
        <v>150</v>
      </c>
      <c r="N6890" s="17">
        <v>5</v>
      </c>
      <c r="O6890" s="18">
        <v>454.98</v>
      </c>
      <c r="P6890" s="18">
        <v>372.93</v>
      </c>
      <c r="Q6890" s="18">
        <v>363.98</v>
      </c>
      <c r="R6890" s="18">
        <v>298.33999999999997</v>
      </c>
      <c r="S6890" s="18">
        <v>309.39</v>
      </c>
      <c r="T6890" s="18">
        <v>253.6</v>
      </c>
      <c r="U6890" s="16"/>
      <c r="V6890" s="16"/>
      <c r="W6890" s="16" t="s">
        <v>40</v>
      </c>
      <c r="X6890" s="19">
        <v>7.6999999999999999E-2</v>
      </c>
      <c r="Y6890" s="20">
        <v>2.9599999999999998E-4</v>
      </c>
      <c r="Z6890" s="21">
        <v>4601004228825</v>
      </c>
    </row>
    <row r="6891" spans="1:26" ht="12" customHeight="1" outlineLevel="4" x14ac:dyDescent="0.2">
      <c r="A6891" s="14" t="s">
        <v>13247</v>
      </c>
      <c r="B6891" s="26" t="s">
        <v>13248</v>
      </c>
      <c r="C6891" s="52"/>
      <c r="D6891" s="55">
        <f t="shared" si="107"/>
        <v>0</v>
      </c>
      <c r="E6891" s="63" t="str">
        <f>HYPERLINK("https://www.sds-group.ru/product/patch-kord-u-utp-cat-6-rj45-rj45-26awg-lszh-zelenyy-3m-rexant-02-0296-3/", "Инфо")</f>
        <v>Инфо</v>
      </c>
      <c r="F6891" s="16" t="s">
        <v>39</v>
      </c>
      <c r="G6891" s="15"/>
      <c r="H6891" s="15"/>
      <c r="I6891" s="15"/>
      <c r="J6891" s="17">
        <v>244</v>
      </c>
      <c r="K6891" s="15"/>
      <c r="L6891" s="17">
        <v>5</v>
      </c>
      <c r="M6891" s="17">
        <v>120</v>
      </c>
      <c r="N6891" s="17">
        <v>5</v>
      </c>
      <c r="O6891" s="18">
        <v>600.26</v>
      </c>
      <c r="P6891" s="18">
        <v>492.02</v>
      </c>
      <c r="Q6891" s="18">
        <v>480.21</v>
      </c>
      <c r="R6891" s="18">
        <v>393.61</v>
      </c>
      <c r="S6891" s="18">
        <v>408.18</v>
      </c>
      <c r="T6891" s="18">
        <v>334.57</v>
      </c>
      <c r="U6891" s="16"/>
      <c r="V6891" s="16"/>
      <c r="W6891" s="16" t="s">
        <v>40</v>
      </c>
      <c r="X6891" s="19">
        <v>0.108</v>
      </c>
      <c r="Y6891" s="20">
        <v>4.4999999999999999E-4</v>
      </c>
      <c r="Z6891" s="21">
        <v>4601004228894</v>
      </c>
    </row>
    <row r="6892" spans="1:26" ht="12" customHeight="1" outlineLevel="4" x14ac:dyDescent="0.2">
      <c r="A6892" s="14" t="s">
        <v>13249</v>
      </c>
      <c r="B6892" s="26" t="s">
        <v>13250</v>
      </c>
      <c r="C6892" s="52"/>
      <c r="D6892" s="55">
        <f t="shared" si="107"/>
        <v>0</v>
      </c>
      <c r="E6892" s="63" t="str">
        <f>HYPERLINK("https://www.sds-group.ru/product/patch-kord-u-utp-cat-6-rj45-rj45-26awg-lszh-zelenyy-5m-rexant-02-0296-5/", "Инфо")</f>
        <v>Инфо</v>
      </c>
      <c r="F6892" s="16" t="s">
        <v>39</v>
      </c>
      <c r="G6892" s="15"/>
      <c r="H6892" s="15"/>
      <c r="I6892" s="15"/>
      <c r="J6892" s="17">
        <v>311</v>
      </c>
      <c r="K6892" s="15"/>
      <c r="L6892" s="17">
        <v>1</v>
      </c>
      <c r="M6892" s="17">
        <v>80</v>
      </c>
      <c r="N6892" s="17">
        <v>1</v>
      </c>
      <c r="O6892" s="18">
        <v>890.85</v>
      </c>
      <c r="P6892" s="18">
        <v>730.2</v>
      </c>
      <c r="Q6892" s="18">
        <v>712.68</v>
      </c>
      <c r="R6892" s="18">
        <v>584.16</v>
      </c>
      <c r="S6892" s="18">
        <v>605.78</v>
      </c>
      <c r="T6892" s="18">
        <v>496.54</v>
      </c>
      <c r="U6892" s="16"/>
      <c r="V6892" s="16"/>
      <c r="W6892" s="16" t="s">
        <v>40</v>
      </c>
      <c r="X6892" s="19">
        <v>0.16800000000000001</v>
      </c>
      <c r="Y6892" s="20">
        <v>5.5500000000000005E-4</v>
      </c>
      <c r="Z6892" s="21">
        <v>4601004228962</v>
      </c>
    </row>
    <row r="6893" spans="1:26" ht="12" customHeight="1" outlineLevel="4" x14ac:dyDescent="0.2">
      <c r="A6893" s="14" t="s">
        <v>13251</v>
      </c>
      <c r="B6893" s="26" t="s">
        <v>13252</v>
      </c>
      <c r="C6893" s="52"/>
      <c r="D6893" s="55">
        <f t="shared" si="107"/>
        <v>0</v>
      </c>
      <c r="E6893" s="63" t="str">
        <f>HYPERLINK("https://www.sds-group.ru/product/patch-kord-u-utp-cat-6-rj45-rj45-26awg-lszh-krasnyy-0-3m-rexant-02-0293-03/", "Инфо")</f>
        <v>Инфо</v>
      </c>
      <c r="F6893" s="16" t="s">
        <v>39</v>
      </c>
      <c r="G6893" s="15"/>
      <c r="H6893" s="15"/>
      <c r="I6893" s="15"/>
      <c r="J6893" s="22">
        <v>3208</v>
      </c>
      <c r="K6893" s="15"/>
      <c r="L6893" s="17">
        <v>10</v>
      </c>
      <c r="M6893" s="17">
        <v>300</v>
      </c>
      <c r="N6893" s="17">
        <v>10</v>
      </c>
      <c r="O6893" s="18">
        <v>210.28</v>
      </c>
      <c r="P6893" s="18">
        <v>172.36</v>
      </c>
      <c r="Q6893" s="18">
        <v>178.74</v>
      </c>
      <c r="R6893" s="18">
        <v>146.51</v>
      </c>
      <c r="S6893" s="18">
        <v>142.99</v>
      </c>
      <c r="T6893" s="18">
        <v>117.2</v>
      </c>
      <c r="U6893" s="16"/>
      <c r="V6893" s="16"/>
      <c r="W6893" s="16" t="s">
        <v>40</v>
      </c>
      <c r="X6893" s="19">
        <v>2.1999999999999999E-2</v>
      </c>
      <c r="Y6893" s="20">
        <v>1.07E-4</v>
      </c>
      <c r="Z6893" s="21">
        <v>4601004228511</v>
      </c>
    </row>
    <row r="6894" spans="1:26" ht="12" customHeight="1" outlineLevel="4" x14ac:dyDescent="0.2">
      <c r="A6894" s="14" t="s">
        <v>13253</v>
      </c>
      <c r="B6894" s="26" t="s">
        <v>13254</v>
      </c>
      <c r="C6894" s="52"/>
      <c r="D6894" s="55">
        <f t="shared" si="107"/>
        <v>0</v>
      </c>
      <c r="E6894" s="63" t="str">
        <f>HYPERLINK("https://www.sds-group.ru/product/patch-kord-u-utp-cat-6-rj45-rj45-26awg-lszh-krasnyy-0-5m-rexant-02-0293-05/", "Инфо")</f>
        <v>Инфо</v>
      </c>
      <c r="F6894" s="16" t="s">
        <v>39</v>
      </c>
      <c r="G6894" s="15"/>
      <c r="H6894" s="15"/>
      <c r="I6894" s="15"/>
      <c r="J6894" s="17">
        <v>528</v>
      </c>
      <c r="K6894" s="15"/>
      <c r="L6894" s="17">
        <v>10</v>
      </c>
      <c r="M6894" s="17">
        <v>300</v>
      </c>
      <c r="N6894" s="17">
        <v>10</v>
      </c>
      <c r="O6894" s="18">
        <v>242.78</v>
      </c>
      <c r="P6894" s="18">
        <v>199</v>
      </c>
      <c r="Q6894" s="18">
        <v>206.36</v>
      </c>
      <c r="R6894" s="18">
        <v>169.15</v>
      </c>
      <c r="S6894" s="18">
        <v>165.09</v>
      </c>
      <c r="T6894" s="18">
        <v>135.32</v>
      </c>
      <c r="U6894" s="16"/>
      <c r="V6894" s="16"/>
      <c r="W6894" s="16" t="s">
        <v>40</v>
      </c>
      <c r="X6894" s="19">
        <v>2.9000000000000001E-2</v>
      </c>
      <c r="Y6894" s="20">
        <v>1.35E-4</v>
      </c>
      <c r="Z6894" s="21">
        <v>4601004228580</v>
      </c>
    </row>
    <row r="6895" spans="1:26" ht="12" customHeight="1" outlineLevel="4" x14ac:dyDescent="0.2">
      <c r="A6895" s="14" t="s">
        <v>13255</v>
      </c>
      <c r="B6895" s="26" t="s">
        <v>13256</v>
      </c>
      <c r="C6895" s="52"/>
      <c r="D6895" s="55">
        <f t="shared" si="107"/>
        <v>0</v>
      </c>
      <c r="E6895" s="63" t="str">
        <f>HYPERLINK("https://www.sds-group.ru/product/patch-kord-u-utp-cat-6-rj45-rj45-26awg-lszh-krasnyy-1-5m-rexant-02-0293-105/", "Инфо")</f>
        <v>Инфо</v>
      </c>
      <c r="F6895" s="16" t="s">
        <v>39</v>
      </c>
      <c r="G6895" s="15"/>
      <c r="H6895" s="15"/>
      <c r="I6895" s="15"/>
      <c r="J6895" s="17">
        <v>648</v>
      </c>
      <c r="K6895" s="15"/>
      <c r="L6895" s="17">
        <v>10</v>
      </c>
      <c r="M6895" s="17">
        <v>200</v>
      </c>
      <c r="N6895" s="17">
        <v>10</v>
      </c>
      <c r="O6895" s="18">
        <v>384.25</v>
      </c>
      <c r="P6895" s="18">
        <v>314.95999999999998</v>
      </c>
      <c r="Q6895" s="18">
        <v>326.61</v>
      </c>
      <c r="R6895" s="18">
        <v>267.70999999999998</v>
      </c>
      <c r="S6895" s="18">
        <v>261.29000000000002</v>
      </c>
      <c r="T6895" s="18">
        <v>214.17</v>
      </c>
      <c r="U6895" s="16"/>
      <c r="V6895" s="16"/>
      <c r="W6895" s="16" t="s">
        <v>40</v>
      </c>
      <c r="X6895" s="19">
        <v>0.06</v>
      </c>
      <c r="Y6895" s="20">
        <v>2.2699999999999999E-4</v>
      </c>
      <c r="Z6895" s="21">
        <v>4601004228726</v>
      </c>
    </row>
    <row r="6896" spans="1:26" ht="12" customHeight="1" outlineLevel="4" x14ac:dyDescent="0.2">
      <c r="A6896" s="14" t="s">
        <v>13257</v>
      </c>
      <c r="B6896" s="26" t="s">
        <v>13258</v>
      </c>
      <c r="C6896" s="52"/>
      <c r="D6896" s="55">
        <f t="shared" si="107"/>
        <v>0</v>
      </c>
      <c r="E6896" s="63" t="str">
        <f>HYPERLINK("https://www.sds-group.ru/product/patch-kord-u-utp-cat-6-rj45-rj45-26awg-lszh-krasnyy-1m-rexant-02-0293-1/", "Инфо")</f>
        <v>Инфо</v>
      </c>
      <c r="F6896" s="16" t="s">
        <v>39</v>
      </c>
      <c r="G6896" s="15"/>
      <c r="H6896" s="15"/>
      <c r="I6896" s="15"/>
      <c r="J6896" s="22">
        <v>2017</v>
      </c>
      <c r="K6896" s="15"/>
      <c r="L6896" s="17">
        <v>10</v>
      </c>
      <c r="M6896" s="17">
        <v>250</v>
      </c>
      <c r="N6896" s="17">
        <v>10</v>
      </c>
      <c r="O6896" s="18">
        <v>305.86</v>
      </c>
      <c r="P6896" s="18">
        <v>250.7</v>
      </c>
      <c r="Q6896" s="18">
        <v>259.98</v>
      </c>
      <c r="R6896" s="18">
        <v>213.1</v>
      </c>
      <c r="S6896" s="18">
        <v>207.98</v>
      </c>
      <c r="T6896" s="18">
        <v>170.48</v>
      </c>
      <c r="U6896" s="16"/>
      <c r="V6896" s="16"/>
      <c r="W6896" s="16" t="s">
        <v>40</v>
      </c>
      <c r="X6896" s="19">
        <v>4.8000000000000001E-2</v>
      </c>
      <c r="Y6896" s="20">
        <v>1.95E-4</v>
      </c>
      <c r="Z6896" s="21">
        <v>4601004228658</v>
      </c>
    </row>
    <row r="6897" spans="1:26" ht="12" customHeight="1" outlineLevel="4" x14ac:dyDescent="0.2">
      <c r="A6897" s="14" t="s">
        <v>13259</v>
      </c>
      <c r="B6897" s="26" t="s">
        <v>13260</v>
      </c>
      <c r="C6897" s="52"/>
      <c r="D6897" s="55">
        <f t="shared" si="107"/>
        <v>0</v>
      </c>
      <c r="E6897" s="63" t="str">
        <f>HYPERLINK("https://www.sds-group.ru/product/patch-kord-u-utp-cat-6-rj45-rj45-26awg-lszh-krasnyy-2m-rexant-02-0293-2/", "Инфо")</f>
        <v>Инфо</v>
      </c>
      <c r="F6897" s="16" t="s">
        <v>39</v>
      </c>
      <c r="G6897" s="15"/>
      <c r="H6897" s="15"/>
      <c r="I6897" s="15"/>
      <c r="J6897" s="17">
        <v>410</v>
      </c>
      <c r="K6897" s="15"/>
      <c r="L6897" s="17">
        <v>1</v>
      </c>
      <c r="M6897" s="17">
        <v>150</v>
      </c>
      <c r="N6897" s="17">
        <v>1</v>
      </c>
      <c r="O6897" s="18">
        <v>454.98</v>
      </c>
      <c r="P6897" s="18">
        <v>372.93</v>
      </c>
      <c r="Q6897" s="18">
        <v>363.98</v>
      </c>
      <c r="R6897" s="18">
        <v>298.33999999999997</v>
      </c>
      <c r="S6897" s="18">
        <v>309.39</v>
      </c>
      <c r="T6897" s="18">
        <v>253.6</v>
      </c>
      <c r="U6897" s="16"/>
      <c r="V6897" s="16"/>
      <c r="W6897" s="16" t="s">
        <v>40</v>
      </c>
      <c r="X6897" s="19">
        <v>7.9000000000000001E-2</v>
      </c>
      <c r="Y6897" s="20">
        <v>3.1599999999999998E-4</v>
      </c>
      <c r="Z6897" s="21">
        <v>4601004228795</v>
      </c>
    </row>
    <row r="6898" spans="1:26" ht="12" customHeight="1" outlineLevel="4" x14ac:dyDescent="0.2">
      <c r="A6898" s="14" t="s">
        <v>13261</v>
      </c>
      <c r="B6898" s="26" t="s">
        <v>13262</v>
      </c>
      <c r="C6898" s="52"/>
      <c r="D6898" s="55">
        <f t="shared" si="107"/>
        <v>0</v>
      </c>
      <c r="E6898" s="63" t="str">
        <f>HYPERLINK("https://www.sds-group.ru/product/patch-kord-u-utp-cat-6-rj45-rj45-26awg-lszh-krasnyy-3m-rexant-02-0293-3/", "Инфо")</f>
        <v>Инфо</v>
      </c>
      <c r="F6898" s="16" t="s">
        <v>39</v>
      </c>
      <c r="G6898" s="15"/>
      <c r="H6898" s="15"/>
      <c r="I6898" s="15"/>
      <c r="J6898" s="17">
        <v>276</v>
      </c>
      <c r="K6898" s="15" t="s">
        <v>7336</v>
      </c>
      <c r="L6898" s="17">
        <v>1</v>
      </c>
      <c r="M6898" s="17">
        <v>100</v>
      </c>
      <c r="N6898" s="17">
        <v>1</v>
      </c>
      <c r="O6898" s="18">
        <v>600.26</v>
      </c>
      <c r="P6898" s="18">
        <v>492.02</v>
      </c>
      <c r="Q6898" s="18">
        <v>480.21</v>
      </c>
      <c r="R6898" s="18">
        <v>393.61</v>
      </c>
      <c r="S6898" s="18">
        <v>408.18</v>
      </c>
      <c r="T6898" s="18">
        <v>334.57</v>
      </c>
      <c r="U6898" s="16"/>
      <c r="V6898" s="16"/>
      <c r="W6898" s="16" t="s">
        <v>40</v>
      </c>
      <c r="X6898" s="19">
        <v>0.109</v>
      </c>
      <c r="Y6898" s="20">
        <v>4.9600000000000002E-4</v>
      </c>
      <c r="Z6898" s="21">
        <v>4601004228863</v>
      </c>
    </row>
    <row r="6899" spans="1:26" ht="12" customHeight="1" outlineLevel="4" x14ac:dyDescent="0.2">
      <c r="A6899" s="14" t="s">
        <v>13263</v>
      </c>
      <c r="B6899" s="26" t="s">
        <v>13264</v>
      </c>
      <c r="C6899" s="52"/>
      <c r="D6899" s="55">
        <f t="shared" si="107"/>
        <v>0</v>
      </c>
      <c r="E6899" s="63" t="str">
        <f>HYPERLINK("https://www.sds-group.ru/product/patch-kord-u-utp-cat-6-rj45-rj45-26awg-lszh-krasnyy-5m-rexant-02-0293-5/", "Инфо")</f>
        <v>Инфо</v>
      </c>
      <c r="F6899" s="16" t="s">
        <v>39</v>
      </c>
      <c r="G6899" s="15"/>
      <c r="H6899" s="15"/>
      <c r="I6899" s="15"/>
      <c r="J6899" s="17">
        <v>305</v>
      </c>
      <c r="K6899" s="15" t="s">
        <v>7336</v>
      </c>
      <c r="L6899" s="17">
        <v>1</v>
      </c>
      <c r="M6899" s="17">
        <v>80</v>
      </c>
      <c r="N6899" s="17">
        <v>1</v>
      </c>
      <c r="O6899" s="18">
        <v>890.85</v>
      </c>
      <c r="P6899" s="18">
        <v>730.2</v>
      </c>
      <c r="Q6899" s="18">
        <v>712.68</v>
      </c>
      <c r="R6899" s="18">
        <v>584.16</v>
      </c>
      <c r="S6899" s="18">
        <v>605.78</v>
      </c>
      <c r="T6899" s="18">
        <v>496.54</v>
      </c>
      <c r="U6899" s="16"/>
      <c r="V6899" s="16"/>
      <c r="W6899" s="16" t="s">
        <v>40</v>
      </c>
      <c r="X6899" s="19">
        <v>0.16700000000000001</v>
      </c>
      <c r="Y6899" s="20">
        <v>5.44E-4</v>
      </c>
      <c r="Z6899" s="21">
        <v>4601004228931</v>
      </c>
    </row>
    <row r="6900" spans="1:26" ht="12" customHeight="1" outlineLevel="4" x14ac:dyDescent="0.2">
      <c r="A6900" s="14" t="s">
        <v>13265</v>
      </c>
      <c r="B6900" s="26" t="s">
        <v>13266</v>
      </c>
      <c r="C6900" s="52"/>
      <c r="D6900" s="55">
        <f t="shared" si="107"/>
        <v>0</v>
      </c>
      <c r="E6900" s="63" t="str">
        <f>HYPERLINK("https://www.sds-group.ru/product/patch-kord-u-utp-cat-6-rj45-rj45-26awg-lszh-seryy-0-3m-rexant-02-0290-03/", "Инфо")</f>
        <v>Инфо</v>
      </c>
      <c r="F6900" s="16" t="s">
        <v>39</v>
      </c>
      <c r="G6900" s="15"/>
      <c r="H6900" s="15"/>
      <c r="I6900" s="15"/>
      <c r="J6900" s="17">
        <v>220</v>
      </c>
      <c r="K6900" s="15" t="s">
        <v>7336</v>
      </c>
      <c r="L6900" s="17">
        <v>10</v>
      </c>
      <c r="M6900" s="17">
        <v>400</v>
      </c>
      <c r="N6900" s="17">
        <v>10</v>
      </c>
      <c r="O6900" s="18">
        <v>184.01</v>
      </c>
      <c r="P6900" s="18">
        <v>150.83000000000001</v>
      </c>
      <c r="Q6900" s="18">
        <v>156.41</v>
      </c>
      <c r="R6900" s="18">
        <v>128.19999999999999</v>
      </c>
      <c r="S6900" s="18">
        <v>125.13</v>
      </c>
      <c r="T6900" s="18">
        <v>102.57</v>
      </c>
      <c r="U6900" s="16"/>
      <c r="V6900" s="16"/>
      <c r="W6900" s="16" t="s">
        <v>40</v>
      </c>
      <c r="X6900" s="19">
        <v>2.5000000000000001E-2</v>
      </c>
      <c r="Y6900" s="20">
        <v>9.7E-5</v>
      </c>
      <c r="Z6900" s="21">
        <v>4601004228481</v>
      </c>
    </row>
    <row r="6901" spans="1:26" ht="12" customHeight="1" outlineLevel="4" x14ac:dyDescent="0.2">
      <c r="A6901" s="14" t="s">
        <v>13267</v>
      </c>
      <c r="B6901" s="26" t="s">
        <v>13268</v>
      </c>
      <c r="C6901" s="52"/>
      <c r="D6901" s="55">
        <f t="shared" si="107"/>
        <v>0</v>
      </c>
      <c r="E6901" s="63" t="str">
        <f>HYPERLINK("https://www.sds-group.ru/product/patch-kord-u-utp-cat-6-rj45-rj45-26awg-lszh-seryy-0-5m-rexant-02-0290-05/", "Инфо")</f>
        <v>Инфо</v>
      </c>
      <c r="F6901" s="16" t="s">
        <v>39</v>
      </c>
      <c r="G6901" s="15"/>
      <c r="H6901" s="15"/>
      <c r="I6901" s="15"/>
      <c r="J6901" s="22">
        <v>1382</v>
      </c>
      <c r="K6901" s="15" t="s">
        <v>1587</v>
      </c>
      <c r="L6901" s="17">
        <v>10</v>
      </c>
      <c r="M6901" s="17">
        <v>350</v>
      </c>
      <c r="N6901" s="17">
        <v>10</v>
      </c>
      <c r="O6901" s="18">
        <v>204.92</v>
      </c>
      <c r="P6901" s="18">
        <v>167.97</v>
      </c>
      <c r="Q6901" s="18">
        <v>174.18</v>
      </c>
      <c r="R6901" s="18">
        <v>142.77000000000001</v>
      </c>
      <c r="S6901" s="18">
        <v>139.35</v>
      </c>
      <c r="T6901" s="18">
        <v>114.22</v>
      </c>
      <c r="U6901" s="16"/>
      <c r="V6901" s="16"/>
      <c r="W6901" s="16" t="s">
        <v>40</v>
      </c>
      <c r="X6901" s="19">
        <v>2.9000000000000001E-2</v>
      </c>
      <c r="Y6901" s="20">
        <v>1.37E-4</v>
      </c>
      <c r="Z6901" s="21">
        <v>4601004228559</v>
      </c>
    </row>
    <row r="6902" spans="1:26" ht="12" customHeight="1" outlineLevel="4" x14ac:dyDescent="0.2">
      <c r="A6902" s="14" t="s">
        <v>13269</v>
      </c>
      <c r="B6902" s="26" t="s">
        <v>13270</v>
      </c>
      <c r="C6902" s="52"/>
      <c r="D6902" s="55">
        <f t="shared" si="107"/>
        <v>0</v>
      </c>
      <c r="E6902" s="63" t="str">
        <f>HYPERLINK("https://www.sds-group.ru/product/patch-kord-u-utp-cat-6-rj45-rj45-26awg-lszh-seryy-1-5m-rexant-02-0290-105/", "Инфо")</f>
        <v>Инфо</v>
      </c>
      <c r="F6902" s="16" t="s">
        <v>39</v>
      </c>
      <c r="G6902" s="15"/>
      <c r="H6902" s="15"/>
      <c r="I6902" s="15"/>
      <c r="J6902" s="17">
        <v>776</v>
      </c>
      <c r="K6902" s="15" t="s">
        <v>7336</v>
      </c>
      <c r="L6902" s="17">
        <v>10</v>
      </c>
      <c r="M6902" s="17">
        <v>150</v>
      </c>
      <c r="N6902" s="17">
        <v>10</v>
      </c>
      <c r="O6902" s="18">
        <v>356.84</v>
      </c>
      <c r="P6902" s="18">
        <v>292.49</v>
      </c>
      <c r="Q6902" s="18">
        <v>303.31</v>
      </c>
      <c r="R6902" s="18">
        <v>248.61</v>
      </c>
      <c r="S6902" s="18">
        <v>242.65</v>
      </c>
      <c r="T6902" s="18">
        <v>198.89</v>
      </c>
      <c r="U6902" s="16"/>
      <c r="V6902" s="16"/>
      <c r="W6902" s="16" t="s">
        <v>40</v>
      </c>
      <c r="X6902" s="19">
        <v>6.4000000000000001E-2</v>
      </c>
      <c r="Y6902" s="20">
        <v>2.8499999999999999E-4</v>
      </c>
      <c r="Z6902" s="21">
        <v>4601004228696</v>
      </c>
    </row>
    <row r="6903" spans="1:26" ht="12" customHeight="1" outlineLevel="4" x14ac:dyDescent="0.2">
      <c r="A6903" s="14" t="s">
        <v>13271</v>
      </c>
      <c r="B6903" s="26" t="s">
        <v>13272</v>
      </c>
      <c r="C6903" s="52"/>
      <c r="D6903" s="55">
        <f t="shared" si="107"/>
        <v>0</v>
      </c>
      <c r="E6903" s="63" t="str">
        <f>HYPERLINK("https://www.sds-group.ru/product/patch-kord-u-utp-cat-6-rj45-rj45-26awg-lszh-seryy-1m-rexant-02-0290-1/", "Инфо")</f>
        <v>Инфо</v>
      </c>
      <c r="F6903" s="16" t="s">
        <v>39</v>
      </c>
      <c r="G6903" s="15"/>
      <c r="H6903" s="15"/>
      <c r="I6903" s="15"/>
      <c r="J6903" s="22">
        <v>2109</v>
      </c>
      <c r="K6903" s="15" t="s">
        <v>7336</v>
      </c>
      <c r="L6903" s="17">
        <v>10</v>
      </c>
      <c r="M6903" s="17">
        <v>250</v>
      </c>
      <c r="N6903" s="17">
        <v>10</v>
      </c>
      <c r="O6903" s="18">
        <v>293.41000000000003</v>
      </c>
      <c r="P6903" s="18">
        <v>240.5</v>
      </c>
      <c r="Q6903" s="18">
        <v>249.4</v>
      </c>
      <c r="R6903" s="18">
        <v>204.43</v>
      </c>
      <c r="S6903" s="18">
        <v>199.52</v>
      </c>
      <c r="T6903" s="18">
        <v>163.54</v>
      </c>
      <c r="U6903" s="16"/>
      <c r="V6903" s="16"/>
      <c r="W6903" s="16" t="s">
        <v>40</v>
      </c>
      <c r="X6903" s="19">
        <v>4.8000000000000001E-2</v>
      </c>
      <c r="Y6903" s="20">
        <v>2.0100000000000001E-4</v>
      </c>
      <c r="Z6903" s="21">
        <v>4601004228627</v>
      </c>
    </row>
    <row r="6904" spans="1:26" ht="12" customHeight="1" outlineLevel="4" x14ac:dyDescent="0.2">
      <c r="A6904" s="14" t="s">
        <v>13273</v>
      </c>
      <c r="B6904" s="26" t="s">
        <v>13274</v>
      </c>
      <c r="C6904" s="52"/>
      <c r="D6904" s="55">
        <f t="shared" si="107"/>
        <v>0</v>
      </c>
      <c r="E6904" s="63" t="str">
        <f>HYPERLINK("https://www.sds-group.ru/product/patch-kord-u-utp-cat-6-rj45-rj45-26awg-lszh-seryy-2m-rexant-02-0290-2/", "Инфо")</f>
        <v>Инфо</v>
      </c>
      <c r="F6904" s="16" t="s">
        <v>39</v>
      </c>
      <c r="G6904" s="15"/>
      <c r="H6904" s="15"/>
      <c r="I6904" s="15"/>
      <c r="J6904" s="17">
        <v>190</v>
      </c>
      <c r="K6904" s="15" t="s">
        <v>1587</v>
      </c>
      <c r="L6904" s="17">
        <v>10</v>
      </c>
      <c r="M6904" s="17">
        <v>200</v>
      </c>
      <c r="N6904" s="17">
        <v>10</v>
      </c>
      <c r="O6904" s="18">
        <v>417.49</v>
      </c>
      <c r="P6904" s="18">
        <v>342.2</v>
      </c>
      <c r="Q6904" s="18">
        <v>354.87</v>
      </c>
      <c r="R6904" s="18">
        <v>290.88</v>
      </c>
      <c r="S6904" s="18">
        <v>283.89</v>
      </c>
      <c r="T6904" s="18">
        <v>232.7</v>
      </c>
      <c r="U6904" s="16"/>
      <c r="V6904" s="16"/>
      <c r="W6904" s="16" t="s">
        <v>40</v>
      </c>
      <c r="X6904" s="19">
        <v>7.5999999999999998E-2</v>
      </c>
      <c r="Y6904" s="20">
        <v>2.9599999999999998E-4</v>
      </c>
      <c r="Z6904" s="21">
        <v>4601004228764</v>
      </c>
    </row>
    <row r="6905" spans="1:26" ht="12" customHeight="1" outlineLevel="4" x14ac:dyDescent="0.2">
      <c r="A6905" s="14" t="s">
        <v>13275</v>
      </c>
      <c r="B6905" s="26" t="s">
        <v>13276</v>
      </c>
      <c r="C6905" s="52"/>
      <c r="D6905" s="55">
        <f t="shared" si="107"/>
        <v>0</v>
      </c>
      <c r="E6905" s="63" t="str">
        <f>HYPERLINK("https://www.sds-group.ru/product/patch-kord-u-utp-cat-6-rj45-rj45-26awg-lszh-seryy-3m-rexant-02-0290-3/", "Инфо")</f>
        <v>Инфо</v>
      </c>
      <c r="F6905" s="16" t="s">
        <v>39</v>
      </c>
      <c r="G6905" s="15"/>
      <c r="H6905" s="15"/>
      <c r="I6905" s="15"/>
      <c r="J6905" s="17">
        <v>229</v>
      </c>
      <c r="K6905" s="15" t="s">
        <v>1587</v>
      </c>
      <c r="L6905" s="17">
        <v>5</v>
      </c>
      <c r="M6905" s="17">
        <v>120</v>
      </c>
      <c r="N6905" s="17">
        <v>5</v>
      </c>
      <c r="O6905" s="18">
        <v>501.01</v>
      </c>
      <c r="P6905" s="18">
        <v>410.66</v>
      </c>
      <c r="Q6905" s="18">
        <v>425.86</v>
      </c>
      <c r="R6905" s="18">
        <v>349.07</v>
      </c>
      <c r="S6905" s="18">
        <v>340.69</v>
      </c>
      <c r="T6905" s="18">
        <v>279.25</v>
      </c>
      <c r="U6905" s="16"/>
      <c r="V6905" s="16"/>
      <c r="W6905" s="16" t="s">
        <v>40</v>
      </c>
      <c r="X6905" s="19">
        <v>0.108</v>
      </c>
      <c r="Y6905" s="20">
        <v>4.55E-4</v>
      </c>
      <c r="Z6905" s="21">
        <v>4601004228832</v>
      </c>
    </row>
    <row r="6906" spans="1:26" ht="12" customHeight="1" outlineLevel="4" x14ac:dyDescent="0.2">
      <c r="A6906" s="14" t="s">
        <v>13277</v>
      </c>
      <c r="B6906" s="26" t="s">
        <v>13278</v>
      </c>
      <c r="C6906" s="52"/>
      <c r="D6906" s="55">
        <f t="shared" si="107"/>
        <v>0</v>
      </c>
      <c r="E6906" s="63" t="str">
        <f>HYPERLINK("https://www.sds-group.ru/product/patch-kord-u-utp-cat-6-rj45-rj45-26awg-lszh-seryy-5m-rexant-02-0290-5/", "Инфо")</f>
        <v>Инфо</v>
      </c>
      <c r="F6906" s="16" t="s">
        <v>39</v>
      </c>
      <c r="G6906" s="15"/>
      <c r="H6906" s="15"/>
      <c r="I6906" s="15"/>
      <c r="J6906" s="17">
        <v>164</v>
      </c>
      <c r="K6906" s="15" t="s">
        <v>1587</v>
      </c>
      <c r="L6906" s="17">
        <v>1</v>
      </c>
      <c r="M6906" s="17">
        <v>80</v>
      </c>
      <c r="N6906" s="17">
        <v>1</v>
      </c>
      <c r="O6906" s="18">
        <v>836.54</v>
      </c>
      <c r="P6906" s="18">
        <v>685.69</v>
      </c>
      <c r="Q6906" s="18">
        <v>669.23</v>
      </c>
      <c r="R6906" s="18">
        <v>548.54999999999995</v>
      </c>
      <c r="S6906" s="18">
        <v>568.85</v>
      </c>
      <c r="T6906" s="18">
        <v>466.27</v>
      </c>
      <c r="U6906" s="16"/>
      <c r="V6906" s="16"/>
      <c r="W6906" s="16" t="s">
        <v>40</v>
      </c>
      <c r="X6906" s="19">
        <v>0.16400000000000001</v>
      </c>
      <c r="Y6906" s="20">
        <v>5.5699999999999999E-4</v>
      </c>
      <c r="Z6906" s="21">
        <v>4601004228900</v>
      </c>
    </row>
    <row r="6907" spans="1:26" ht="12" customHeight="1" outlineLevel="4" x14ac:dyDescent="0.2">
      <c r="A6907" s="14" t="s">
        <v>13279</v>
      </c>
      <c r="B6907" s="26" t="s">
        <v>13280</v>
      </c>
      <c r="C6907" s="52"/>
      <c r="D6907" s="55">
        <f t="shared" si="107"/>
        <v>0</v>
      </c>
      <c r="E6907" s="63" t="str">
        <f>HYPERLINK("https://www.sds-group.ru/product/patch-kord-u-utp-cat-6-rj45-rj45-26awg-lszh-siniy-0-3m-rexant-02-0294-03/", "Инфо")</f>
        <v>Инфо</v>
      </c>
      <c r="F6907" s="16" t="s">
        <v>39</v>
      </c>
      <c r="G6907" s="15"/>
      <c r="H6907" s="15"/>
      <c r="I6907" s="15"/>
      <c r="J6907" s="17">
        <v>471</v>
      </c>
      <c r="K6907" s="15" t="s">
        <v>7336</v>
      </c>
      <c r="L6907" s="17">
        <v>10</v>
      </c>
      <c r="M6907" s="17">
        <v>300</v>
      </c>
      <c r="N6907" s="17">
        <v>10</v>
      </c>
      <c r="O6907" s="18">
        <v>210.28</v>
      </c>
      <c r="P6907" s="18">
        <v>172.36</v>
      </c>
      <c r="Q6907" s="18">
        <v>178.74</v>
      </c>
      <c r="R6907" s="18">
        <v>146.51</v>
      </c>
      <c r="S6907" s="18">
        <v>142.99</v>
      </c>
      <c r="T6907" s="18">
        <v>117.2</v>
      </c>
      <c r="U6907" s="16"/>
      <c r="V6907" s="16"/>
      <c r="W6907" s="16" t="s">
        <v>40</v>
      </c>
      <c r="X6907" s="19">
        <v>2.1999999999999999E-2</v>
      </c>
      <c r="Y6907" s="20">
        <v>1.0900000000000001E-4</v>
      </c>
      <c r="Z6907" s="21">
        <v>4601004228528</v>
      </c>
    </row>
    <row r="6908" spans="1:26" ht="12" customHeight="1" outlineLevel="4" x14ac:dyDescent="0.2">
      <c r="A6908" s="14" t="s">
        <v>13281</v>
      </c>
      <c r="B6908" s="26" t="s">
        <v>13282</v>
      </c>
      <c r="C6908" s="52"/>
      <c r="D6908" s="55">
        <f t="shared" si="107"/>
        <v>0</v>
      </c>
      <c r="E6908" s="63" t="str">
        <f>HYPERLINK("https://www.sds-group.ru/product/patch-kord-u-utp-cat-6-rj45-rj45-26awg-lszh-siniy-0-5m-rexant-02-0294-05/", "Инфо")</f>
        <v>Инфо</v>
      </c>
      <c r="F6908" s="16" t="s">
        <v>39</v>
      </c>
      <c r="G6908" s="15"/>
      <c r="H6908" s="15"/>
      <c r="I6908" s="15"/>
      <c r="J6908" s="16" t="s">
        <v>100</v>
      </c>
      <c r="K6908" s="15" t="s">
        <v>7336</v>
      </c>
      <c r="L6908" s="17">
        <v>10</v>
      </c>
      <c r="M6908" s="17">
        <v>300</v>
      </c>
      <c r="N6908" s="17">
        <v>10</v>
      </c>
      <c r="O6908" s="18">
        <v>242.78</v>
      </c>
      <c r="P6908" s="18">
        <v>199</v>
      </c>
      <c r="Q6908" s="18">
        <v>206.36</v>
      </c>
      <c r="R6908" s="18">
        <v>169.15</v>
      </c>
      <c r="S6908" s="18">
        <v>165.09</v>
      </c>
      <c r="T6908" s="18">
        <v>135.32</v>
      </c>
      <c r="U6908" s="16"/>
      <c r="V6908" s="16"/>
      <c r="W6908" s="16" t="s">
        <v>40</v>
      </c>
      <c r="X6908" s="19">
        <v>2.9000000000000001E-2</v>
      </c>
      <c r="Y6908" s="20">
        <v>1.3899999999999999E-4</v>
      </c>
      <c r="Z6908" s="21">
        <v>4601004228597</v>
      </c>
    </row>
    <row r="6909" spans="1:26" ht="12" customHeight="1" outlineLevel="4" x14ac:dyDescent="0.2">
      <c r="A6909" s="14" t="s">
        <v>13283</v>
      </c>
      <c r="B6909" s="26" t="s">
        <v>13284</v>
      </c>
      <c r="C6909" s="52"/>
      <c r="D6909" s="55">
        <f t="shared" si="107"/>
        <v>0</v>
      </c>
      <c r="E6909" s="63" t="str">
        <f>HYPERLINK("https://www.sds-group.ru/product/patch-kord-u-utp-cat-6-rj45-rj45-26awg-lszh-siniy-1-5m-rexant-02-0294-105/", "Инфо")</f>
        <v>Инфо</v>
      </c>
      <c r="F6909" s="16" t="s">
        <v>39</v>
      </c>
      <c r="G6909" s="15"/>
      <c r="H6909" s="15"/>
      <c r="I6909" s="15"/>
      <c r="J6909" s="17">
        <v>400</v>
      </c>
      <c r="K6909" s="15"/>
      <c r="L6909" s="17">
        <v>10</v>
      </c>
      <c r="M6909" s="17">
        <v>200</v>
      </c>
      <c r="N6909" s="17">
        <v>10</v>
      </c>
      <c r="O6909" s="18">
        <v>384.25</v>
      </c>
      <c r="P6909" s="18">
        <v>314.95999999999998</v>
      </c>
      <c r="Q6909" s="18">
        <v>326.61</v>
      </c>
      <c r="R6909" s="18">
        <v>267.70999999999998</v>
      </c>
      <c r="S6909" s="18">
        <v>261.29000000000002</v>
      </c>
      <c r="T6909" s="18">
        <v>214.17</v>
      </c>
      <c r="U6909" s="16"/>
      <c r="V6909" s="16"/>
      <c r="W6909" s="16" t="s">
        <v>40</v>
      </c>
      <c r="X6909" s="19">
        <v>6.0999999999999999E-2</v>
      </c>
      <c r="Y6909" s="20">
        <v>2.2000000000000001E-4</v>
      </c>
      <c r="Z6909" s="21">
        <v>4601004228733</v>
      </c>
    </row>
    <row r="6910" spans="1:26" ht="12" customHeight="1" outlineLevel="4" x14ac:dyDescent="0.2">
      <c r="A6910" s="14" t="s">
        <v>13285</v>
      </c>
      <c r="B6910" s="26" t="s">
        <v>13286</v>
      </c>
      <c r="C6910" s="52"/>
      <c r="D6910" s="55">
        <f t="shared" si="107"/>
        <v>0</v>
      </c>
      <c r="E6910" s="63" t="str">
        <f>HYPERLINK("https://www.sds-group.ru/product/patch-kord-u-utp-cat-6-rj45-rj45-26awg-lszh-siniy-1m-rexant-02-0294-1/", "Инфо")</f>
        <v>Инфо</v>
      </c>
      <c r="F6910" s="16" t="s">
        <v>39</v>
      </c>
      <c r="G6910" s="15"/>
      <c r="H6910" s="15"/>
      <c r="I6910" s="15"/>
      <c r="J6910" s="17">
        <v>364</v>
      </c>
      <c r="K6910" s="15" t="s">
        <v>7336</v>
      </c>
      <c r="L6910" s="17">
        <v>1</v>
      </c>
      <c r="M6910" s="17">
        <v>250</v>
      </c>
      <c r="N6910" s="17">
        <v>1</v>
      </c>
      <c r="O6910" s="18">
        <v>305.86</v>
      </c>
      <c r="P6910" s="18">
        <v>250.7</v>
      </c>
      <c r="Q6910" s="18">
        <v>259.98</v>
      </c>
      <c r="R6910" s="18">
        <v>213.1</v>
      </c>
      <c r="S6910" s="18">
        <v>207.98</v>
      </c>
      <c r="T6910" s="18">
        <v>170.48</v>
      </c>
      <c r="U6910" s="16"/>
      <c r="V6910" s="16"/>
      <c r="W6910" s="16" t="s">
        <v>40</v>
      </c>
      <c r="X6910" s="19">
        <v>4.8000000000000001E-2</v>
      </c>
      <c r="Y6910" s="20">
        <v>1.7799999999999999E-4</v>
      </c>
      <c r="Z6910" s="21">
        <v>4601004228665</v>
      </c>
    </row>
    <row r="6911" spans="1:26" ht="12" customHeight="1" outlineLevel="4" x14ac:dyDescent="0.2">
      <c r="A6911" s="14" t="s">
        <v>13287</v>
      </c>
      <c r="B6911" s="26" t="s">
        <v>13288</v>
      </c>
      <c r="C6911" s="52"/>
      <c r="D6911" s="55">
        <f t="shared" si="107"/>
        <v>0</v>
      </c>
      <c r="E6911" s="63" t="str">
        <f>HYPERLINK("https://www.sds-group.ru/product/patch-kord-u-utp-cat-6-rj45-rj45-26awg-lszh-siniy-2m-rexant-02-0294-2/", "Инфо")</f>
        <v>Инфо</v>
      </c>
      <c r="F6911" s="16" t="s">
        <v>39</v>
      </c>
      <c r="G6911" s="15"/>
      <c r="H6911" s="15"/>
      <c r="I6911" s="15"/>
      <c r="J6911" s="17">
        <v>624</v>
      </c>
      <c r="K6911" s="15"/>
      <c r="L6911" s="17">
        <v>5</v>
      </c>
      <c r="M6911" s="17">
        <v>200</v>
      </c>
      <c r="N6911" s="17">
        <v>5</v>
      </c>
      <c r="O6911" s="18">
        <v>454.98</v>
      </c>
      <c r="P6911" s="18">
        <v>372.93</v>
      </c>
      <c r="Q6911" s="18">
        <v>363.98</v>
      </c>
      <c r="R6911" s="18">
        <v>298.33999999999997</v>
      </c>
      <c r="S6911" s="18">
        <v>309.39</v>
      </c>
      <c r="T6911" s="18">
        <v>253.6</v>
      </c>
      <c r="U6911" s="16"/>
      <c r="V6911" s="16"/>
      <c r="W6911" s="16" t="s">
        <v>40</v>
      </c>
      <c r="X6911" s="19">
        <v>7.5999999999999998E-2</v>
      </c>
      <c r="Y6911" s="20">
        <v>2.8899999999999998E-4</v>
      </c>
      <c r="Z6911" s="21">
        <v>4601004228801</v>
      </c>
    </row>
    <row r="6912" spans="1:26" ht="12" customHeight="1" outlineLevel="4" x14ac:dyDescent="0.2">
      <c r="A6912" s="14" t="s">
        <v>13289</v>
      </c>
      <c r="B6912" s="26" t="s">
        <v>13290</v>
      </c>
      <c r="C6912" s="52"/>
      <c r="D6912" s="55">
        <f t="shared" si="107"/>
        <v>0</v>
      </c>
      <c r="E6912" s="63" t="str">
        <f>HYPERLINK("https://www.sds-group.ru/product/patch-kord-u-utp-cat-6-rj45-rj45-26awg-lszh-siniy-3m-rexant-02-0294-3/", "Инфо")</f>
        <v>Инфо</v>
      </c>
      <c r="F6912" s="16" t="s">
        <v>39</v>
      </c>
      <c r="G6912" s="15"/>
      <c r="H6912" s="15"/>
      <c r="I6912" s="15"/>
      <c r="J6912" s="17">
        <v>90</v>
      </c>
      <c r="K6912" s="15" t="s">
        <v>7336</v>
      </c>
      <c r="L6912" s="17">
        <v>1</v>
      </c>
      <c r="M6912" s="17">
        <v>120</v>
      </c>
      <c r="N6912" s="17">
        <v>1</v>
      </c>
      <c r="O6912" s="18">
        <v>600.26</v>
      </c>
      <c r="P6912" s="18">
        <v>492.02</v>
      </c>
      <c r="Q6912" s="18">
        <v>480.21</v>
      </c>
      <c r="R6912" s="18">
        <v>393.61</v>
      </c>
      <c r="S6912" s="18">
        <v>408.18</v>
      </c>
      <c r="T6912" s="18">
        <v>334.57</v>
      </c>
      <c r="U6912" s="16"/>
      <c r="V6912" s="16"/>
      <c r="W6912" s="16" t="s">
        <v>40</v>
      </c>
      <c r="X6912" s="19">
        <v>0.112</v>
      </c>
      <c r="Y6912" s="20">
        <v>4.4799999999999999E-4</v>
      </c>
      <c r="Z6912" s="21">
        <v>4601004228870</v>
      </c>
    </row>
    <row r="6913" spans="1:26" ht="12" customHeight="1" outlineLevel="4" x14ac:dyDescent="0.2">
      <c r="A6913" s="14" t="s">
        <v>13291</v>
      </c>
      <c r="B6913" s="26" t="s">
        <v>13292</v>
      </c>
      <c r="C6913" s="52"/>
      <c r="D6913" s="55">
        <f t="shared" si="107"/>
        <v>0</v>
      </c>
      <c r="E6913" s="63" t="str">
        <f>HYPERLINK("https://www.sds-group.ru/product/patch-kord-u-utp-cat-6-rj45-rj45-26awg-lszh-siniy-5m-rexant-02-0294-5/", "Инфо")</f>
        <v>Инфо</v>
      </c>
      <c r="F6913" s="16" t="s">
        <v>39</v>
      </c>
      <c r="G6913" s="15"/>
      <c r="H6913" s="15"/>
      <c r="I6913" s="15"/>
      <c r="J6913" s="17">
        <v>307</v>
      </c>
      <c r="K6913" s="15"/>
      <c r="L6913" s="17">
        <v>1</v>
      </c>
      <c r="M6913" s="17">
        <v>80</v>
      </c>
      <c r="N6913" s="17">
        <v>1</v>
      </c>
      <c r="O6913" s="18">
        <v>890.85</v>
      </c>
      <c r="P6913" s="18">
        <v>730.2</v>
      </c>
      <c r="Q6913" s="18">
        <v>712.68</v>
      </c>
      <c r="R6913" s="18">
        <v>584.16</v>
      </c>
      <c r="S6913" s="18">
        <v>605.78</v>
      </c>
      <c r="T6913" s="18">
        <v>496.54</v>
      </c>
      <c r="U6913" s="16"/>
      <c r="V6913" s="16"/>
      <c r="W6913" s="16" t="s">
        <v>40</v>
      </c>
      <c r="X6913" s="19">
        <v>0.17100000000000001</v>
      </c>
      <c r="Y6913" s="20">
        <v>5.4000000000000001E-4</v>
      </c>
      <c r="Z6913" s="21">
        <v>4601004228948</v>
      </c>
    </row>
    <row r="6914" spans="1:26" ht="12" customHeight="1" outlineLevel="4" x14ac:dyDescent="0.2">
      <c r="A6914" s="14" t="s">
        <v>13293</v>
      </c>
      <c r="B6914" s="26" t="s">
        <v>13294</v>
      </c>
      <c r="C6914" s="52"/>
      <c r="D6914" s="55">
        <f t="shared" si="107"/>
        <v>0</v>
      </c>
      <c r="E6914" s="63" t="str">
        <f>HYPERLINK("https://www.sds-group.ru/product/patch-kord-u-utp-cat-6-rj45-rj45-26awg-lszh-chernyy-0-3m-rexant-02-0292-03/", "Инфо")</f>
        <v>Инфо</v>
      </c>
      <c r="F6914" s="16" t="s">
        <v>39</v>
      </c>
      <c r="G6914" s="15"/>
      <c r="H6914" s="15"/>
      <c r="I6914" s="15"/>
      <c r="J6914" s="17">
        <v>88</v>
      </c>
      <c r="K6914" s="15" t="s">
        <v>7336</v>
      </c>
      <c r="L6914" s="17">
        <v>10</v>
      </c>
      <c r="M6914" s="17">
        <v>300</v>
      </c>
      <c r="N6914" s="17">
        <v>10</v>
      </c>
      <c r="O6914" s="18">
        <v>210.28</v>
      </c>
      <c r="P6914" s="18">
        <v>172.36</v>
      </c>
      <c r="Q6914" s="18">
        <v>178.74</v>
      </c>
      <c r="R6914" s="18">
        <v>146.51</v>
      </c>
      <c r="S6914" s="18">
        <v>142.99</v>
      </c>
      <c r="T6914" s="18">
        <v>117.2</v>
      </c>
      <c r="U6914" s="16"/>
      <c r="V6914" s="16"/>
      <c r="W6914" s="16" t="s">
        <v>40</v>
      </c>
      <c r="X6914" s="19">
        <v>2.3E-2</v>
      </c>
      <c r="Y6914" s="20">
        <v>1.1E-4</v>
      </c>
      <c r="Z6914" s="21">
        <v>4601004228504</v>
      </c>
    </row>
    <row r="6915" spans="1:26" ht="12" customHeight="1" outlineLevel="4" x14ac:dyDescent="0.2">
      <c r="A6915" s="14" t="s">
        <v>13295</v>
      </c>
      <c r="B6915" s="26" t="s">
        <v>13296</v>
      </c>
      <c r="C6915" s="52"/>
      <c r="D6915" s="55">
        <f t="shared" si="107"/>
        <v>0</v>
      </c>
      <c r="E6915" s="63" t="str">
        <f>HYPERLINK("https://www.sds-group.ru/product/patch-kord-u-utp-cat-6-rj45-rj45-26awg-lszh-chernyy-0-5m-rexant-02-0292-05/", "Инфо")</f>
        <v>Инфо</v>
      </c>
      <c r="F6915" s="16" t="s">
        <v>39</v>
      </c>
      <c r="G6915" s="15"/>
      <c r="H6915" s="15"/>
      <c r="I6915" s="15"/>
      <c r="J6915" s="17">
        <v>837</v>
      </c>
      <c r="K6915" s="15" t="s">
        <v>7336</v>
      </c>
      <c r="L6915" s="17">
        <v>10</v>
      </c>
      <c r="M6915" s="17">
        <v>300</v>
      </c>
      <c r="N6915" s="17">
        <v>10</v>
      </c>
      <c r="O6915" s="18">
        <v>233.23</v>
      </c>
      <c r="P6915" s="18">
        <v>191.17</v>
      </c>
      <c r="Q6915" s="18">
        <v>198.25</v>
      </c>
      <c r="R6915" s="18">
        <v>162.5</v>
      </c>
      <c r="S6915" s="18">
        <v>158.6</v>
      </c>
      <c r="T6915" s="18">
        <v>130</v>
      </c>
      <c r="U6915" s="16"/>
      <c r="V6915" s="16"/>
      <c r="W6915" s="16" t="s">
        <v>40</v>
      </c>
      <c r="X6915" s="19">
        <v>2.9000000000000001E-2</v>
      </c>
      <c r="Y6915" s="20">
        <v>1.37E-4</v>
      </c>
      <c r="Z6915" s="21">
        <v>4601004228573</v>
      </c>
    </row>
    <row r="6916" spans="1:26" ht="12" customHeight="1" outlineLevel="4" x14ac:dyDescent="0.2">
      <c r="A6916" s="14" t="s">
        <v>13297</v>
      </c>
      <c r="B6916" s="26" t="s">
        <v>13298</v>
      </c>
      <c r="C6916" s="52"/>
      <c r="D6916" s="55">
        <f t="shared" si="107"/>
        <v>0</v>
      </c>
      <c r="E6916" s="63" t="str">
        <f>HYPERLINK("https://www.sds-group.ru/product/patch-kord-u-utp-cat-6-rj45-rj45-26awg-lszh-chernyy-1-5m-rexant-02-0292-105/", "Инфо")</f>
        <v>Инфо</v>
      </c>
      <c r="F6916" s="16" t="s">
        <v>39</v>
      </c>
      <c r="G6916" s="15"/>
      <c r="H6916" s="15"/>
      <c r="I6916" s="15"/>
      <c r="J6916" s="17">
        <v>512</v>
      </c>
      <c r="K6916" s="15"/>
      <c r="L6916" s="17">
        <v>10</v>
      </c>
      <c r="M6916" s="17">
        <v>200</v>
      </c>
      <c r="N6916" s="17">
        <v>10</v>
      </c>
      <c r="O6916" s="18">
        <v>349.83</v>
      </c>
      <c r="P6916" s="18">
        <v>286.75</v>
      </c>
      <c r="Q6916" s="18">
        <v>297.36</v>
      </c>
      <c r="R6916" s="18">
        <v>243.74</v>
      </c>
      <c r="S6916" s="18">
        <v>237.88</v>
      </c>
      <c r="T6916" s="18">
        <v>194.98</v>
      </c>
      <c r="U6916" s="16"/>
      <c r="V6916" s="16"/>
      <c r="W6916" s="16" t="s">
        <v>40</v>
      </c>
      <c r="X6916" s="19">
        <v>6.4000000000000001E-2</v>
      </c>
      <c r="Y6916" s="20">
        <v>2.3800000000000001E-4</v>
      </c>
      <c r="Z6916" s="21">
        <v>4601004228719</v>
      </c>
    </row>
    <row r="6917" spans="1:26" ht="12" customHeight="1" outlineLevel="4" x14ac:dyDescent="0.2">
      <c r="A6917" s="14" t="s">
        <v>13299</v>
      </c>
      <c r="B6917" s="26" t="s">
        <v>13300</v>
      </c>
      <c r="C6917" s="52"/>
      <c r="D6917" s="55">
        <f t="shared" si="107"/>
        <v>0</v>
      </c>
      <c r="E6917" s="63" t="str">
        <f>HYPERLINK("https://www.sds-group.ru/product/patch-kord-u-utp-cat-6-rj45-rj45-26awg-lszh-chernyy-1m-rexant-02-0292-1/", "Инфо")</f>
        <v>Инфо</v>
      </c>
      <c r="F6917" s="16" t="s">
        <v>39</v>
      </c>
      <c r="G6917" s="15"/>
      <c r="H6917" s="15"/>
      <c r="I6917" s="15"/>
      <c r="J6917" s="17">
        <v>439</v>
      </c>
      <c r="K6917" s="15" t="s">
        <v>7336</v>
      </c>
      <c r="L6917" s="17">
        <v>5</v>
      </c>
      <c r="M6917" s="17">
        <v>250</v>
      </c>
      <c r="N6917" s="17">
        <v>5</v>
      </c>
      <c r="O6917" s="18">
        <v>292.5</v>
      </c>
      <c r="P6917" s="18">
        <v>239.75</v>
      </c>
      <c r="Q6917" s="18">
        <v>248.63</v>
      </c>
      <c r="R6917" s="18">
        <v>203.8</v>
      </c>
      <c r="S6917" s="18">
        <v>198.9</v>
      </c>
      <c r="T6917" s="18">
        <v>163.03</v>
      </c>
      <c r="U6917" s="16"/>
      <c r="V6917" s="16"/>
      <c r="W6917" s="16" t="s">
        <v>40</v>
      </c>
      <c r="X6917" s="19">
        <v>4.8000000000000001E-2</v>
      </c>
      <c r="Y6917" s="20">
        <v>1.74E-4</v>
      </c>
      <c r="Z6917" s="21">
        <v>4601004228641</v>
      </c>
    </row>
    <row r="6918" spans="1:26" ht="12" customHeight="1" outlineLevel="4" x14ac:dyDescent="0.2">
      <c r="A6918" s="14" t="s">
        <v>13301</v>
      </c>
      <c r="B6918" s="26" t="s">
        <v>13302</v>
      </c>
      <c r="C6918" s="52"/>
      <c r="D6918" s="55">
        <f t="shared" si="107"/>
        <v>0</v>
      </c>
      <c r="E6918" s="63" t="str">
        <f>HYPERLINK("https://www.sds-group.ru/product/patch-kord-u-utp-cat-6-rj45-rj45-26awg-lszh-chernyy-2m-rexant-02-0292-2/", "Инфо")</f>
        <v>Инфо</v>
      </c>
      <c r="F6918" s="16" t="s">
        <v>39</v>
      </c>
      <c r="G6918" s="15"/>
      <c r="H6918" s="15"/>
      <c r="I6918" s="15"/>
      <c r="J6918" s="17">
        <v>594</v>
      </c>
      <c r="K6918" s="15" t="s">
        <v>7336</v>
      </c>
      <c r="L6918" s="17">
        <v>5</v>
      </c>
      <c r="M6918" s="17">
        <v>150</v>
      </c>
      <c r="N6918" s="17">
        <v>5</v>
      </c>
      <c r="O6918" s="18">
        <v>454.98</v>
      </c>
      <c r="P6918" s="18">
        <v>372.93</v>
      </c>
      <c r="Q6918" s="18">
        <v>363.98</v>
      </c>
      <c r="R6918" s="18">
        <v>298.33999999999997</v>
      </c>
      <c r="S6918" s="18">
        <v>309.39</v>
      </c>
      <c r="T6918" s="18">
        <v>253.6</v>
      </c>
      <c r="U6918" s="16"/>
      <c r="V6918" s="16"/>
      <c r="W6918" s="16" t="s">
        <v>40</v>
      </c>
      <c r="X6918" s="19">
        <v>8.1000000000000003E-2</v>
      </c>
      <c r="Y6918" s="20">
        <v>3.1100000000000002E-4</v>
      </c>
      <c r="Z6918" s="21">
        <v>4601004228788</v>
      </c>
    </row>
    <row r="6919" spans="1:26" ht="12" customHeight="1" outlineLevel="4" x14ac:dyDescent="0.2">
      <c r="A6919" s="14" t="s">
        <v>13303</v>
      </c>
      <c r="B6919" s="26" t="s">
        <v>13304</v>
      </c>
      <c r="C6919" s="52"/>
      <c r="D6919" s="55">
        <f t="shared" si="107"/>
        <v>0</v>
      </c>
      <c r="E6919" s="63" t="str">
        <f>HYPERLINK("https://www.sds-group.ru/product/patch-kord-u-utp-cat-6-rj45-rj45-26awg-lszh-chernyy-3m-rexant-02-0292-3/", "Инфо")</f>
        <v>Инфо</v>
      </c>
      <c r="F6919" s="16" t="s">
        <v>39</v>
      </c>
      <c r="G6919" s="15"/>
      <c r="H6919" s="15"/>
      <c r="I6919" s="15"/>
      <c r="J6919" s="17">
        <v>120</v>
      </c>
      <c r="K6919" s="15" t="s">
        <v>7336</v>
      </c>
      <c r="L6919" s="17">
        <v>5</v>
      </c>
      <c r="M6919" s="17">
        <v>120</v>
      </c>
      <c r="N6919" s="17">
        <v>5</v>
      </c>
      <c r="O6919" s="18">
        <v>600.26</v>
      </c>
      <c r="P6919" s="18">
        <v>492.02</v>
      </c>
      <c r="Q6919" s="18">
        <v>480.21</v>
      </c>
      <c r="R6919" s="18">
        <v>393.61</v>
      </c>
      <c r="S6919" s="18">
        <v>408.18</v>
      </c>
      <c r="T6919" s="18">
        <v>334.57</v>
      </c>
      <c r="U6919" s="16"/>
      <c r="V6919" s="16"/>
      <c r="W6919" s="16" t="s">
        <v>40</v>
      </c>
      <c r="X6919" s="19">
        <v>0.112</v>
      </c>
      <c r="Y6919" s="20">
        <v>4.5100000000000001E-4</v>
      </c>
      <c r="Z6919" s="21">
        <v>4601004228856</v>
      </c>
    </row>
    <row r="6920" spans="1:26" ht="12" customHeight="1" outlineLevel="4" x14ac:dyDescent="0.2">
      <c r="A6920" s="14" t="s">
        <v>13305</v>
      </c>
      <c r="B6920" s="26" t="s">
        <v>13306</v>
      </c>
      <c r="C6920" s="52"/>
      <c r="D6920" s="55">
        <f t="shared" si="107"/>
        <v>0</v>
      </c>
      <c r="E6920" s="63" t="str">
        <f>HYPERLINK("https://www.sds-group.ru/product/patch-kord-u-utp-cat-6-rj45-rj45-26awg-lszh-chernyy-5m-rexant-02-0292-5/", "Инфо")</f>
        <v>Инфо</v>
      </c>
      <c r="F6920" s="16" t="s">
        <v>39</v>
      </c>
      <c r="G6920" s="15"/>
      <c r="H6920" s="15"/>
      <c r="I6920" s="15"/>
      <c r="J6920" s="17">
        <v>596</v>
      </c>
      <c r="K6920" s="15"/>
      <c r="L6920" s="17">
        <v>1</v>
      </c>
      <c r="M6920" s="17">
        <v>80</v>
      </c>
      <c r="N6920" s="17">
        <v>1</v>
      </c>
      <c r="O6920" s="18">
        <v>745.56</v>
      </c>
      <c r="P6920" s="18">
        <v>611.11</v>
      </c>
      <c r="Q6920" s="18">
        <v>596.45000000000005</v>
      </c>
      <c r="R6920" s="18">
        <v>488.89</v>
      </c>
      <c r="S6920" s="18">
        <v>506.98</v>
      </c>
      <c r="T6920" s="18">
        <v>415.56</v>
      </c>
      <c r="U6920" s="16"/>
      <c r="V6920" s="16"/>
      <c r="W6920" s="16" t="s">
        <v>40</v>
      </c>
      <c r="X6920" s="19">
        <v>0.17699999999999999</v>
      </c>
      <c r="Y6920" s="20">
        <v>6.1700000000000004E-4</v>
      </c>
      <c r="Z6920" s="21">
        <v>4601004228924</v>
      </c>
    </row>
    <row r="6921" spans="1:26" ht="12.95" customHeight="1" outlineLevel="3" x14ac:dyDescent="0.2">
      <c r="A6921" s="76" t="s">
        <v>13307</v>
      </c>
      <c r="B6921" s="76"/>
      <c r="C6921" s="77"/>
      <c r="D6921" s="58"/>
      <c r="E6921" s="68"/>
      <c r="F6921" s="13"/>
      <c r="G6921" s="13"/>
      <c r="H6921" s="13"/>
      <c r="I6921" s="13"/>
      <c r="J6921" s="13"/>
      <c r="K6921" s="13"/>
      <c r="L6921" s="13"/>
      <c r="M6921" s="13"/>
      <c r="N6921" s="13"/>
      <c r="O6921" s="13"/>
      <c r="P6921" s="13"/>
      <c r="Q6921" s="13"/>
      <c r="R6921" s="13"/>
      <c r="S6921" s="13"/>
      <c r="T6921" s="13"/>
      <c r="U6921" s="13"/>
      <c r="V6921" s="13"/>
      <c r="W6921" s="13"/>
      <c r="X6921" s="13"/>
      <c r="Y6921" s="13"/>
      <c r="Z6921" s="13"/>
    </row>
    <row r="6922" spans="1:26" ht="12" customHeight="1" outlineLevel="4" x14ac:dyDescent="0.2">
      <c r="A6922" s="14" t="s">
        <v>13308</v>
      </c>
      <c r="B6922" s="26" t="s">
        <v>13309</v>
      </c>
      <c r="C6922" s="52"/>
      <c r="D6922" s="55">
        <f t="shared" ref="D6922:D6984" si="108">C6922*(O6922-O6922*$G$3)</f>
        <v>0</v>
      </c>
      <c r="E6922" s="63" t="str">
        <f>HYPERLINK("https://www.sds-group.ru/product/patch-kord-f-utp-cat-6-rj45-rj45-26awg-lszh-seryy-0-3m-rexant-02-0210-03/", "Инфо")</f>
        <v>Инфо</v>
      </c>
      <c r="F6922" s="16" t="s">
        <v>39</v>
      </c>
      <c r="G6922" s="15"/>
      <c r="H6922" s="15"/>
      <c r="I6922" s="15"/>
      <c r="J6922" s="17">
        <v>137</v>
      </c>
      <c r="K6922" s="15" t="s">
        <v>1587</v>
      </c>
      <c r="L6922" s="17">
        <v>10</v>
      </c>
      <c r="M6922" s="17">
        <v>400</v>
      </c>
      <c r="N6922" s="17">
        <v>10</v>
      </c>
      <c r="O6922" s="18">
        <v>278.08</v>
      </c>
      <c r="P6922" s="18">
        <v>227.93</v>
      </c>
      <c r="Q6922" s="18">
        <v>236.37</v>
      </c>
      <c r="R6922" s="18">
        <v>193.75</v>
      </c>
      <c r="S6922" s="18">
        <v>189.09</v>
      </c>
      <c r="T6922" s="18">
        <v>154.99</v>
      </c>
      <c r="U6922" s="16"/>
      <c r="V6922" s="16"/>
      <c r="W6922" s="16" t="s">
        <v>40</v>
      </c>
      <c r="X6922" s="19">
        <v>2.4E-2</v>
      </c>
      <c r="Y6922" s="20">
        <v>1.05E-4</v>
      </c>
      <c r="Z6922" s="21">
        <v>4601004229013</v>
      </c>
    </row>
    <row r="6923" spans="1:26" ht="12" customHeight="1" outlineLevel="4" x14ac:dyDescent="0.2">
      <c r="A6923" s="14" t="s">
        <v>13310</v>
      </c>
      <c r="B6923" s="26" t="s">
        <v>13311</v>
      </c>
      <c r="C6923" s="52"/>
      <c r="D6923" s="55">
        <f t="shared" si="108"/>
        <v>0</v>
      </c>
      <c r="E6923" s="63" t="str">
        <f>HYPERLINK("https://www.sds-group.ru/product/patch-kord-f-utp-cat-6-rj45-rj45-26awg-lszh-seryy-0-5m-rexant-02-0210-05/", "Инфо")</f>
        <v>Инфо</v>
      </c>
      <c r="F6923" s="16" t="s">
        <v>39</v>
      </c>
      <c r="G6923" s="15"/>
      <c r="H6923" s="15"/>
      <c r="I6923" s="15"/>
      <c r="J6923" s="17">
        <v>72</v>
      </c>
      <c r="K6923" s="15" t="s">
        <v>7336</v>
      </c>
      <c r="L6923" s="17">
        <v>10</v>
      </c>
      <c r="M6923" s="17">
        <v>350</v>
      </c>
      <c r="N6923" s="17">
        <v>10</v>
      </c>
      <c r="O6923" s="18">
        <v>299.74</v>
      </c>
      <c r="P6923" s="18">
        <v>245.69</v>
      </c>
      <c r="Q6923" s="18">
        <v>254.78</v>
      </c>
      <c r="R6923" s="18">
        <v>208.84</v>
      </c>
      <c r="S6923" s="18">
        <v>203.82</v>
      </c>
      <c r="T6923" s="18">
        <v>167.07</v>
      </c>
      <c r="U6923" s="16"/>
      <c r="V6923" s="16"/>
      <c r="W6923" s="16" t="s">
        <v>40</v>
      </c>
      <c r="X6923" s="19">
        <v>3.2000000000000001E-2</v>
      </c>
      <c r="Y6923" s="20">
        <v>1.35E-4</v>
      </c>
      <c r="Z6923" s="21">
        <v>4601004229020</v>
      </c>
    </row>
    <row r="6924" spans="1:26" ht="12" customHeight="1" outlineLevel="4" x14ac:dyDescent="0.2">
      <c r="A6924" s="14" t="s">
        <v>13312</v>
      </c>
      <c r="B6924" s="26" t="s">
        <v>13313</v>
      </c>
      <c r="C6924" s="52"/>
      <c r="D6924" s="55">
        <f t="shared" si="108"/>
        <v>0</v>
      </c>
      <c r="E6924" s="63" t="str">
        <f>HYPERLINK("https://www.sds-group.ru/product/patch-kord-f-utp-cat-6-rj45-rj45-26awg-lszh-seryy-1-5m-rexant-02-0210-105/", "Инфо")</f>
        <v>Инфо</v>
      </c>
      <c r="F6924" s="16" t="s">
        <v>39</v>
      </c>
      <c r="G6924" s="15"/>
      <c r="H6924" s="15"/>
      <c r="I6924" s="15"/>
      <c r="J6924" s="17">
        <v>454</v>
      </c>
      <c r="K6924" s="15" t="s">
        <v>1587</v>
      </c>
      <c r="L6924" s="17">
        <v>5</v>
      </c>
      <c r="M6924" s="17">
        <v>170</v>
      </c>
      <c r="N6924" s="17">
        <v>5</v>
      </c>
      <c r="O6924" s="18">
        <v>458.81</v>
      </c>
      <c r="P6924" s="18">
        <v>376.07</v>
      </c>
      <c r="Q6924" s="18">
        <v>389.99</v>
      </c>
      <c r="R6924" s="18">
        <v>319.66000000000003</v>
      </c>
      <c r="S6924" s="18">
        <v>311.99</v>
      </c>
      <c r="T6924" s="18">
        <v>255.73</v>
      </c>
      <c r="U6924" s="16"/>
      <c r="V6924" s="16"/>
      <c r="W6924" s="16" t="s">
        <v>40</v>
      </c>
      <c r="X6924" s="19">
        <v>6.7000000000000004E-2</v>
      </c>
      <c r="Y6924" s="20">
        <v>2.4899999999999998E-4</v>
      </c>
      <c r="Z6924" s="21">
        <v>4601004229044</v>
      </c>
    </row>
    <row r="6925" spans="1:26" ht="12" customHeight="1" outlineLevel="4" x14ac:dyDescent="0.2">
      <c r="A6925" s="14" t="s">
        <v>13314</v>
      </c>
      <c r="B6925" s="26" t="s">
        <v>13315</v>
      </c>
      <c r="C6925" s="52"/>
      <c r="D6925" s="55">
        <f t="shared" si="108"/>
        <v>0</v>
      </c>
      <c r="E6925" s="63" t="str">
        <f>HYPERLINK("https://www.sds-group.ru/product/patch-kord-f-utp-cat-6-rj45-rj45-26awg-lszh-seryy-1m-rexant-02-0210-1/", "Инфо")</f>
        <v>Инфо</v>
      </c>
      <c r="F6925" s="16" t="s">
        <v>39</v>
      </c>
      <c r="G6925" s="15"/>
      <c r="H6925" s="15"/>
      <c r="I6925" s="15"/>
      <c r="J6925" s="16" t="s">
        <v>100</v>
      </c>
      <c r="K6925" s="15" t="s">
        <v>1587</v>
      </c>
      <c r="L6925" s="17">
        <v>10</v>
      </c>
      <c r="M6925" s="17">
        <v>200</v>
      </c>
      <c r="N6925" s="17">
        <v>10</v>
      </c>
      <c r="O6925" s="18">
        <v>365.23</v>
      </c>
      <c r="P6925" s="18">
        <v>299.37</v>
      </c>
      <c r="Q6925" s="18">
        <v>310.45</v>
      </c>
      <c r="R6925" s="18">
        <v>254.47</v>
      </c>
      <c r="S6925" s="18">
        <v>248.36</v>
      </c>
      <c r="T6925" s="18">
        <v>203.57</v>
      </c>
      <c r="U6925" s="16"/>
      <c r="V6925" s="16"/>
      <c r="W6925" s="16" t="s">
        <v>40</v>
      </c>
      <c r="X6925" s="19">
        <v>4.9000000000000002E-2</v>
      </c>
      <c r="Y6925" s="20">
        <v>1.8699999999999999E-4</v>
      </c>
      <c r="Z6925" s="21">
        <v>4601004229037</v>
      </c>
    </row>
    <row r="6926" spans="1:26" ht="12" customHeight="1" outlineLevel="4" x14ac:dyDescent="0.2">
      <c r="A6926" s="14" t="s">
        <v>13316</v>
      </c>
      <c r="B6926" s="26" t="s">
        <v>13317</v>
      </c>
      <c r="C6926" s="52"/>
      <c r="D6926" s="55">
        <f t="shared" si="108"/>
        <v>0</v>
      </c>
      <c r="E6926" s="63" t="str">
        <f>HYPERLINK("https://www.sds-group.ru/product/patch-kord-f-utp-cat-6-rj45-rj45-26awg-lszh-seryy-2m-rexant-02-0210-2/", "Инфо")</f>
        <v>Инфо</v>
      </c>
      <c r="F6926" s="16" t="s">
        <v>39</v>
      </c>
      <c r="G6926" s="15"/>
      <c r="H6926" s="15"/>
      <c r="I6926" s="15"/>
      <c r="J6926" s="17">
        <v>416</v>
      </c>
      <c r="K6926" s="15" t="s">
        <v>7336</v>
      </c>
      <c r="L6926" s="17">
        <v>10</v>
      </c>
      <c r="M6926" s="17">
        <v>150</v>
      </c>
      <c r="N6926" s="17">
        <v>10</v>
      </c>
      <c r="O6926" s="18">
        <v>546.12</v>
      </c>
      <c r="P6926" s="18">
        <v>447.64</v>
      </c>
      <c r="Q6926" s="18">
        <v>436.9</v>
      </c>
      <c r="R6926" s="18">
        <v>358.11</v>
      </c>
      <c r="S6926" s="18">
        <v>371.36</v>
      </c>
      <c r="T6926" s="18">
        <v>304.39</v>
      </c>
      <c r="U6926" s="16"/>
      <c r="V6926" s="16"/>
      <c r="W6926" s="16" t="s">
        <v>40</v>
      </c>
      <c r="X6926" s="19">
        <v>9.1999999999999998E-2</v>
      </c>
      <c r="Y6926" s="20">
        <v>3.2899999999999997E-4</v>
      </c>
      <c r="Z6926" s="21">
        <v>4601004229051</v>
      </c>
    </row>
    <row r="6927" spans="1:26" ht="12" customHeight="1" outlineLevel="4" x14ac:dyDescent="0.2">
      <c r="A6927" s="14" t="s">
        <v>13318</v>
      </c>
      <c r="B6927" s="26" t="s">
        <v>13319</v>
      </c>
      <c r="C6927" s="52"/>
      <c r="D6927" s="55">
        <f t="shared" si="108"/>
        <v>0</v>
      </c>
      <c r="E6927" s="63" t="str">
        <f>HYPERLINK("https://www.sds-group.ru/product/patch-kord-f-utp-cat-6-rj45-rj45-26awg-lszh-seryy-3m-rexant-02-0210-3/", "Инфо")</f>
        <v>Инфо</v>
      </c>
      <c r="F6927" s="16" t="s">
        <v>39</v>
      </c>
      <c r="G6927" s="15"/>
      <c r="H6927" s="15"/>
      <c r="I6927" s="15"/>
      <c r="J6927" s="17">
        <v>431</v>
      </c>
      <c r="K6927" s="15" t="s">
        <v>1587</v>
      </c>
      <c r="L6927" s="17">
        <v>1</v>
      </c>
      <c r="M6927" s="17">
        <v>100</v>
      </c>
      <c r="N6927" s="17">
        <v>1</v>
      </c>
      <c r="O6927" s="18">
        <v>750.36</v>
      </c>
      <c r="P6927" s="18">
        <v>615.04999999999995</v>
      </c>
      <c r="Q6927" s="18">
        <v>600.29</v>
      </c>
      <c r="R6927" s="18">
        <v>492.04</v>
      </c>
      <c r="S6927" s="18">
        <v>510.24</v>
      </c>
      <c r="T6927" s="18">
        <v>418.23</v>
      </c>
      <c r="U6927" s="16"/>
      <c r="V6927" s="16"/>
      <c r="W6927" s="16" t="s">
        <v>40</v>
      </c>
      <c r="X6927" s="19">
        <v>0.13</v>
      </c>
      <c r="Y6927" s="20">
        <v>4.7699999999999999E-4</v>
      </c>
      <c r="Z6927" s="21">
        <v>4601004229068</v>
      </c>
    </row>
    <row r="6928" spans="1:26" ht="12" customHeight="1" outlineLevel="4" x14ac:dyDescent="0.2">
      <c r="A6928" s="14" t="s">
        <v>13320</v>
      </c>
      <c r="B6928" s="26" t="s">
        <v>13321</v>
      </c>
      <c r="C6928" s="52"/>
      <c r="D6928" s="55">
        <f t="shared" si="108"/>
        <v>0</v>
      </c>
      <c r="E6928" s="63" t="str">
        <f>HYPERLINK("https://www.sds-group.ru/product/patch-kord-f-utp-cat-6-rj45-rj45-26awg-lszh-seryy-5m-rexant-02-0210-5/", "Инфо")</f>
        <v>Инфо</v>
      </c>
      <c r="F6928" s="16" t="s">
        <v>39</v>
      </c>
      <c r="G6928" s="15"/>
      <c r="H6928" s="15"/>
      <c r="I6928" s="15"/>
      <c r="J6928" s="17">
        <v>123</v>
      </c>
      <c r="K6928" s="15" t="s">
        <v>7336</v>
      </c>
      <c r="L6928" s="17">
        <v>1</v>
      </c>
      <c r="M6928" s="17">
        <v>80</v>
      </c>
      <c r="N6928" s="17">
        <v>1</v>
      </c>
      <c r="O6928" s="18">
        <v>1029.79</v>
      </c>
      <c r="P6928" s="18">
        <v>844.09</v>
      </c>
      <c r="Q6928" s="18">
        <v>823.83</v>
      </c>
      <c r="R6928" s="18">
        <v>675.27</v>
      </c>
      <c r="S6928" s="18">
        <v>700.26</v>
      </c>
      <c r="T6928" s="18">
        <v>573.98</v>
      </c>
      <c r="U6928" s="16"/>
      <c r="V6928" s="16"/>
      <c r="W6928" s="16" t="s">
        <v>40</v>
      </c>
      <c r="X6928" s="19">
        <v>0.185</v>
      </c>
      <c r="Y6928" s="20">
        <v>5.4799999999999998E-4</v>
      </c>
      <c r="Z6928" s="21">
        <v>4601004229075</v>
      </c>
    </row>
    <row r="6929" spans="1:26" ht="12.95" customHeight="1" outlineLevel="3" x14ac:dyDescent="0.2">
      <c r="A6929" s="76" t="s">
        <v>13322</v>
      </c>
      <c r="B6929" s="76"/>
      <c r="C6929" s="77"/>
      <c r="D6929" s="58"/>
      <c r="E6929" s="68"/>
      <c r="F6929" s="13"/>
      <c r="G6929" s="13"/>
      <c r="H6929" s="13"/>
      <c r="I6929" s="13"/>
      <c r="J6929" s="13"/>
      <c r="K6929" s="13"/>
      <c r="L6929" s="13"/>
      <c r="M6929" s="13"/>
      <c r="N6929" s="13"/>
      <c r="O6929" s="13"/>
      <c r="P6929" s="13"/>
      <c r="Q6929" s="13"/>
      <c r="R6929" s="13"/>
      <c r="S6929" s="13"/>
      <c r="T6929" s="13"/>
      <c r="U6929" s="13"/>
      <c r="V6929" s="13"/>
      <c r="W6929" s="13"/>
      <c r="X6929" s="13"/>
      <c r="Y6929" s="13"/>
      <c r="Z6929" s="13"/>
    </row>
    <row r="6930" spans="1:26" ht="12" customHeight="1" outlineLevel="4" x14ac:dyDescent="0.2">
      <c r="A6930" s="14" t="s">
        <v>13323</v>
      </c>
      <c r="B6930" s="26" t="s">
        <v>13324</v>
      </c>
      <c r="C6930" s="52"/>
      <c r="D6930" s="55">
        <f t="shared" si="108"/>
        <v>0</v>
      </c>
      <c r="E6930" s="63" t="str">
        <f>HYPERLINK("https://www.sds-group.ru/product/patch-kord-u-utp-cat-6a-10g-rj45-rj45-28awg-lszh-seryy-0-5m-rexant-02-0380-05/", "Инфо")</f>
        <v>Инфо</v>
      </c>
      <c r="F6930" s="16" t="s">
        <v>39</v>
      </c>
      <c r="G6930" s="15"/>
      <c r="H6930" s="15"/>
      <c r="I6930" s="15"/>
      <c r="J6930" s="16" t="s">
        <v>100</v>
      </c>
      <c r="K6930" s="15" t="s">
        <v>7336</v>
      </c>
      <c r="L6930" s="17">
        <v>10</v>
      </c>
      <c r="M6930" s="17">
        <v>250</v>
      </c>
      <c r="N6930" s="17">
        <v>10</v>
      </c>
      <c r="O6930" s="18">
        <v>225.54</v>
      </c>
      <c r="P6930" s="18">
        <v>184.87</v>
      </c>
      <c r="Q6930" s="18">
        <v>191.71</v>
      </c>
      <c r="R6930" s="18">
        <v>157.13999999999999</v>
      </c>
      <c r="S6930" s="18">
        <v>153.37</v>
      </c>
      <c r="T6930" s="18">
        <v>125.71</v>
      </c>
      <c r="U6930" s="16"/>
      <c r="V6930" s="16"/>
      <c r="W6930" s="16" t="s">
        <v>40</v>
      </c>
      <c r="X6930" s="19">
        <v>2.5000000000000001E-2</v>
      </c>
      <c r="Y6930" s="20">
        <v>1E-4</v>
      </c>
      <c r="Z6930" s="21">
        <v>4601004229129</v>
      </c>
    </row>
    <row r="6931" spans="1:26" ht="12" customHeight="1" outlineLevel="4" x14ac:dyDescent="0.2">
      <c r="A6931" s="14" t="s">
        <v>13325</v>
      </c>
      <c r="B6931" s="26" t="s">
        <v>13326</v>
      </c>
      <c r="C6931" s="52"/>
      <c r="D6931" s="55">
        <f t="shared" si="108"/>
        <v>0</v>
      </c>
      <c r="E6931" s="63" t="str">
        <f>HYPERLINK("https://www.sds-group.ru/product/patch-kord-u-utp-cat-6a-10g-rj45-rj45-28awg-lszh-seryy-1m-rexant-02-0380-1/", "Инфо")</f>
        <v>Инфо</v>
      </c>
      <c r="F6931" s="16" t="s">
        <v>39</v>
      </c>
      <c r="G6931" s="15"/>
      <c r="H6931" s="15"/>
      <c r="I6931" s="15"/>
      <c r="J6931" s="16" t="s">
        <v>100</v>
      </c>
      <c r="K6931" s="15" t="s">
        <v>7336</v>
      </c>
      <c r="L6931" s="17">
        <v>5</v>
      </c>
      <c r="M6931" s="17">
        <v>200</v>
      </c>
      <c r="N6931" s="17">
        <v>5</v>
      </c>
      <c r="O6931" s="18">
        <v>289.79000000000002</v>
      </c>
      <c r="P6931" s="18">
        <v>237.53</v>
      </c>
      <c r="Q6931" s="18">
        <v>246.32</v>
      </c>
      <c r="R6931" s="18">
        <v>201.9</v>
      </c>
      <c r="S6931" s="18">
        <v>197.06</v>
      </c>
      <c r="T6931" s="18">
        <v>161.52000000000001</v>
      </c>
      <c r="U6931" s="16"/>
      <c r="V6931" s="16"/>
      <c r="W6931" s="16" t="s">
        <v>40</v>
      </c>
      <c r="X6931" s="19">
        <v>2.9000000000000001E-2</v>
      </c>
      <c r="Y6931" s="20">
        <v>1.12E-4</v>
      </c>
      <c r="Z6931" s="21">
        <v>4601004229136</v>
      </c>
    </row>
    <row r="6932" spans="1:26" ht="12" customHeight="1" outlineLevel="4" x14ac:dyDescent="0.2">
      <c r="A6932" s="14" t="s">
        <v>13327</v>
      </c>
      <c r="B6932" s="26" t="s">
        <v>13328</v>
      </c>
      <c r="C6932" s="52"/>
      <c r="D6932" s="55">
        <f t="shared" si="108"/>
        <v>0</v>
      </c>
      <c r="E6932" s="63" t="str">
        <f>HYPERLINK("https://www.sds-group.ru/product/patch-kord-u-utp-cat-6a-10g-rj45-rj45-28awg-lszh-seryy-2m-rexant-02-0380-2/", "Инфо")</f>
        <v>Инфо</v>
      </c>
      <c r="F6932" s="16" t="s">
        <v>39</v>
      </c>
      <c r="G6932" s="15"/>
      <c r="H6932" s="15"/>
      <c r="I6932" s="15"/>
      <c r="J6932" s="17">
        <v>898</v>
      </c>
      <c r="K6932" s="15" t="s">
        <v>7336</v>
      </c>
      <c r="L6932" s="17">
        <v>5</v>
      </c>
      <c r="M6932" s="17">
        <v>150</v>
      </c>
      <c r="N6932" s="17">
        <v>5</v>
      </c>
      <c r="O6932" s="18">
        <v>538.48</v>
      </c>
      <c r="P6932" s="18">
        <v>441.38</v>
      </c>
      <c r="Q6932" s="18">
        <v>430.78</v>
      </c>
      <c r="R6932" s="18">
        <v>353.1</v>
      </c>
      <c r="S6932" s="18">
        <v>366.17</v>
      </c>
      <c r="T6932" s="18">
        <v>300.14</v>
      </c>
      <c r="U6932" s="16"/>
      <c r="V6932" s="16"/>
      <c r="W6932" s="16" t="s">
        <v>40</v>
      </c>
      <c r="X6932" s="19">
        <v>5.0999999999999997E-2</v>
      </c>
      <c r="Y6932" s="20">
        <v>1.5799999999999999E-4</v>
      </c>
      <c r="Z6932" s="21">
        <v>4601004229143</v>
      </c>
    </row>
    <row r="6933" spans="1:26" ht="12" customHeight="1" outlineLevel="4" x14ac:dyDescent="0.2">
      <c r="A6933" s="14" t="s">
        <v>13329</v>
      </c>
      <c r="B6933" s="26" t="s">
        <v>13330</v>
      </c>
      <c r="C6933" s="52"/>
      <c r="D6933" s="55">
        <f t="shared" si="108"/>
        <v>0</v>
      </c>
      <c r="E6933" s="63" t="str">
        <f>HYPERLINK("https://www.sds-group.ru/product/patch-kord-u-utp-cat-6a-10g-rj45-rj45-28awg-lszh-seryy-3m-rexant-02-0380-3/", "Инфо")</f>
        <v>Инфо</v>
      </c>
      <c r="F6933" s="16" t="s">
        <v>39</v>
      </c>
      <c r="G6933" s="15"/>
      <c r="H6933" s="15"/>
      <c r="I6933" s="15"/>
      <c r="J6933" s="17">
        <v>681</v>
      </c>
      <c r="K6933" s="15" t="s">
        <v>7336</v>
      </c>
      <c r="L6933" s="17">
        <v>1</v>
      </c>
      <c r="M6933" s="17">
        <v>100</v>
      </c>
      <c r="N6933" s="17">
        <v>1</v>
      </c>
      <c r="O6933" s="18">
        <v>829.8</v>
      </c>
      <c r="P6933" s="18">
        <v>680.16</v>
      </c>
      <c r="Q6933" s="18">
        <v>663.84</v>
      </c>
      <c r="R6933" s="18">
        <v>544.13</v>
      </c>
      <c r="S6933" s="18">
        <v>564.26</v>
      </c>
      <c r="T6933" s="18">
        <v>462.51</v>
      </c>
      <c r="U6933" s="16"/>
      <c r="V6933" s="16"/>
      <c r="W6933" s="16" t="s">
        <v>40</v>
      </c>
      <c r="X6933" s="19">
        <v>6.8000000000000005E-2</v>
      </c>
      <c r="Y6933" s="20">
        <v>2.2900000000000001E-4</v>
      </c>
      <c r="Z6933" s="21">
        <v>4601004229150</v>
      </c>
    </row>
    <row r="6934" spans="1:26" ht="12" customHeight="1" outlineLevel="4" x14ac:dyDescent="0.2">
      <c r="A6934" s="14" t="s">
        <v>13331</v>
      </c>
      <c r="B6934" s="26" t="s">
        <v>13332</v>
      </c>
      <c r="C6934" s="52"/>
      <c r="D6934" s="55">
        <f t="shared" si="108"/>
        <v>0</v>
      </c>
      <c r="E6934" s="63" t="str">
        <f>HYPERLINK("https://www.sds-group.ru/product/patch-kord-u-utp-cat-6a-10g-rj45-rj45-28awg-lszh-seryy-5m-rexant-02-0380-5/", "Инфо")</f>
        <v>Инфо</v>
      </c>
      <c r="F6934" s="16" t="s">
        <v>39</v>
      </c>
      <c r="G6934" s="15"/>
      <c r="H6934" s="15"/>
      <c r="I6934" s="15"/>
      <c r="J6934" s="17">
        <v>15</v>
      </c>
      <c r="K6934" s="15" t="s">
        <v>7336</v>
      </c>
      <c r="L6934" s="17">
        <v>1</v>
      </c>
      <c r="M6934" s="17">
        <v>150</v>
      </c>
      <c r="N6934" s="17">
        <v>1</v>
      </c>
      <c r="O6934" s="18">
        <v>927.24</v>
      </c>
      <c r="P6934" s="18">
        <v>760.03</v>
      </c>
      <c r="Q6934" s="18">
        <v>741.79</v>
      </c>
      <c r="R6934" s="18">
        <v>608.02</v>
      </c>
      <c r="S6934" s="18">
        <v>630.52</v>
      </c>
      <c r="T6934" s="18">
        <v>516.82000000000005</v>
      </c>
      <c r="U6934" s="16"/>
      <c r="V6934" s="16"/>
      <c r="W6934" s="16" t="s">
        <v>40</v>
      </c>
      <c r="X6934" s="19">
        <v>0.104</v>
      </c>
      <c r="Y6934" s="20">
        <v>3.5500000000000001E-4</v>
      </c>
      <c r="Z6934" s="21">
        <v>4601004229167</v>
      </c>
    </row>
    <row r="6935" spans="1:26" ht="12.95" customHeight="1" outlineLevel="3" x14ac:dyDescent="0.2">
      <c r="A6935" s="76" t="s">
        <v>13333</v>
      </c>
      <c r="B6935" s="76"/>
      <c r="C6935" s="77"/>
      <c r="D6935" s="58"/>
      <c r="E6935" s="68"/>
      <c r="F6935" s="13"/>
      <c r="G6935" s="13"/>
      <c r="H6935" s="13"/>
      <c r="I6935" s="13"/>
      <c r="J6935" s="13"/>
      <c r="K6935" s="13"/>
      <c r="L6935" s="13"/>
      <c r="M6935" s="13"/>
      <c r="N6935" s="13"/>
      <c r="O6935" s="13"/>
      <c r="P6935" s="13"/>
      <c r="Q6935" s="13"/>
      <c r="R6935" s="13"/>
      <c r="S6935" s="13"/>
      <c r="T6935" s="13"/>
      <c r="U6935" s="13"/>
      <c r="V6935" s="13"/>
      <c r="W6935" s="13"/>
      <c r="X6935" s="13"/>
      <c r="Y6935" s="13"/>
      <c r="Z6935" s="13"/>
    </row>
    <row r="6936" spans="1:26" ht="12" customHeight="1" outlineLevel="4" x14ac:dyDescent="0.2">
      <c r="A6936" s="14" t="s">
        <v>13334</v>
      </c>
      <c r="B6936" s="26" t="s">
        <v>13335</v>
      </c>
      <c r="C6936" s="52"/>
      <c r="D6936" s="55">
        <f t="shared" si="108"/>
        <v>0</v>
      </c>
      <c r="E6936" s="63" t="str">
        <f>HYPERLINK("https://www.sds-group.ru/product/patch-kord-s-ftp-cat-6a-10g-rj45-rj45-28awg-lszh-seryy-0-5m-rexant-02-0390-05/", "Инфо")</f>
        <v>Инфо</v>
      </c>
      <c r="F6936" s="16" t="s">
        <v>39</v>
      </c>
      <c r="G6936" s="15"/>
      <c r="H6936" s="15"/>
      <c r="I6936" s="15"/>
      <c r="J6936" s="17">
        <v>253</v>
      </c>
      <c r="K6936" s="15" t="s">
        <v>7336</v>
      </c>
      <c r="L6936" s="17">
        <v>10</v>
      </c>
      <c r="M6936" s="17">
        <v>400</v>
      </c>
      <c r="N6936" s="17">
        <v>10</v>
      </c>
      <c r="O6936" s="18">
        <v>368.1</v>
      </c>
      <c r="P6936" s="18">
        <v>301.72000000000003</v>
      </c>
      <c r="Q6936" s="18">
        <v>312.89</v>
      </c>
      <c r="R6936" s="18">
        <v>256.47000000000003</v>
      </c>
      <c r="S6936" s="18">
        <v>250.31</v>
      </c>
      <c r="T6936" s="18">
        <v>205.17</v>
      </c>
      <c r="U6936" s="16"/>
      <c r="V6936" s="16"/>
      <c r="W6936" s="16" t="s">
        <v>40</v>
      </c>
      <c r="X6936" s="19">
        <v>3.4000000000000002E-2</v>
      </c>
      <c r="Y6936" s="20">
        <v>1.22E-4</v>
      </c>
      <c r="Z6936" s="21">
        <v>4601004229198</v>
      </c>
    </row>
    <row r="6937" spans="1:26" ht="12" customHeight="1" outlineLevel="4" x14ac:dyDescent="0.2">
      <c r="A6937" s="14" t="s">
        <v>13336</v>
      </c>
      <c r="B6937" s="26" t="s">
        <v>13337</v>
      </c>
      <c r="C6937" s="52"/>
      <c r="D6937" s="55">
        <f t="shared" si="108"/>
        <v>0</v>
      </c>
      <c r="E6937" s="63" t="str">
        <f>HYPERLINK("https://www.sds-group.ru/product/patch-kord-s-ftp-cat-6a-10g-rj45-rj45-28awg-lszh-seryy-10m-rexant-02-0390-10/", "Инфо")</f>
        <v>Инфо</v>
      </c>
      <c r="F6937" s="16" t="s">
        <v>39</v>
      </c>
      <c r="G6937" s="15"/>
      <c r="H6937" s="15"/>
      <c r="I6937" s="15"/>
      <c r="J6937" s="17">
        <v>17</v>
      </c>
      <c r="K6937" s="15" t="s">
        <v>1587</v>
      </c>
      <c r="L6937" s="17">
        <v>1</v>
      </c>
      <c r="M6937" s="17">
        <v>30</v>
      </c>
      <c r="N6937" s="17">
        <v>1</v>
      </c>
      <c r="O6937" s="18">
        <v>2877.07</v>
      </c>
      <c r="P6937" s="18">
        <v>2358.25</v>
      </c>
      <c r="Q6937" s="18">
        <v>2215.34</v>
      </c>
      <c r="R6937" s="18">
        <v>1815.85</v>
      </c>
      <c r="S6937" s="18">
        <v>1956.41</v>
      </c>
      <c r="T6937" s="18">
        <v>1603.61</v>
      </c>
      <c r="U6937" s="16"/>
      <c r="V6937" s="16"/>
      <c r="W6937" s="16" t="s">
        <v>40</v>
      </c>
      <c r="X6937" s="19">
        <v>0.38200000000000001</v>
      </c>
      <c r="Y6937" s="20">
        <v>1.462E-3</v>
      </c>
      <c r="Z6937" s="21">
        <v>4601004229259</v>
      </c>
    </row>
    <row r="6938" spans="1:26" ht="12" customHeight="1" outlineLevel="4" x14ac:dyDescent="0.2">
      <c r="A6938" s="14" t="s">
        <v>13338</v>
      </c>
      <c r="B6938" s="26" t="s">
        <v>13339</v>
      </c>
      <c r="C6938" s="52"/>
      <c r="D6938" s="55">
        <f t="shared" si="108"/>
        <v>0</v>
      </c>
      <c r="E6938" s="63" t="str">
        <f>HYPERLINK("https://www.sds-group.ru/product/patch-kord-s-ftp-cat-6a-10g-rj45-rj45-28awg-lszh-seryy-1m-rexant-02-0390-1/", "Инфо")</f>
        <v>Инфо</v>
      </c>
      <c r="F6938" s="16" t="s">
        <v>39</v>
      </c>
      <c r="G6938" s="15"/>
      <c r="H6938" s="15"/>
      <c r="I6938" s="15"/>
      <c r="J6938" s="17">
        <v>492</v>
      </c>
      <c r="K6938" s="15" t="s">
        <v>7336</v>
      </c>
      <c r="L6938" s="17">
        <v>5</v>
      </c>
      <c r="M6938" s="17">
        <v>200</v>
      </c>
      <c r="N6938" s="17">
        <v>5</v>
      </c>
      <c r="O6938" s="18">
        <v>428.05</v>
      </c>
      <c r="P6938" s="18">
        <v>350.86</v>
      </c>
      <c r="Q6938" s="18">
        <v>363.84</v>
      </c>
      <c r="R6938" s="18">
        <v>298.23</v>
      </c>
      <c r="S6938" s="18">
        <v>291.07</v>
      </c>
      <c r="T6938" s="18">
        <v>238.58</v>
      </c>
      <c r="U6938" s="16"/>
      <c r="V6938" s="16"/>
      <c r="W6938" s="16" t="s">
        <v>40</v>
      </c>
      <c r="X6938" s="19">
        <v>4.5999999999999999E-2</v>
      </c>
      <c r="Y6938" s="20">
        <v>1.8100000000000001E-4</v>
      </c>
      <c r="Z6938" s="21">
        <v>4601004229204</v>
      </c>
    </row>
    <row r="6939" spans="1:26" ht="12" customHeight="1" outlineLevel="4" x14ac:dyDescent="0.2">
      <c r="A6939" s="14" t="s">
        <v>13340</v>
      </c>
      <c r="B6939" s="26" t="s">
        <v>13341</v>
      </c>
      <c r="C6939" s="52"/>
      <c r="D6939" s="55">
        <f t="shared" si="108"/>
        <v>0</v>
      </c>
      <c r="E6939" s="63" t="str">
        <f>HYPERLINK("https://www.sds-group.ru/product/patch-kord-s-ftp-cat-6a-10g-rj45-rj45-28awg-lszh-seryy-2m-rexant-02-0390-2/", "Инфо")</f>
        <v>Инфо</v>
      </c>
      <c r="F6939" s="16" t="s">
        <v>39</v>
      </c>
      <c r="G6939" s="15"/>
      <c r="H6939" s="15"/>
      <c r="I6939" s="15"/>
      <c r="J6939" s="17">
        <v>173</v>
      </c>
      <c r="K6939" s="15" t="s">
        <v>1587</v>
      </c>
      <c r="L6939" s="17">
        <v>1</v>
      </c>
      <c r="M6939" s="17">
        <v>100</v>
      </c>
      <c r="N6939" s="17">
        <v>1</v>
      </c>
      <c r="O6939" s="18">
        <v>770.1</v>
      </c>
      <c r="P6939" s="18">
        <v>631.23</v>
      </c>
      <c r="Q6939" s="18">
        <v>616.08000000000004</v>
      </c>
      <c r="R6939" s="18">
        <v>504.98</v>
      </c>
      <c r="S6939" s="18">
        <v>523.66999999999996</v>
      </c>
      <c r="T6939" s="18">
        <v>429.24</v>
      </c>
      <c r="U6939" s="16"/>
      <c r="V6939" s="16"/>
      <c r="W6939" s="16" t="s">
        <v>40</v>
      </c>
      <c r="X6939" s="19">
        <v>8.8999999999999996E-2</v>
      </c>
      <c r="Y6939" s="20">
        <v>4.3600000000000003E-4</v>
      </c>
      <c r="Z6939" s="21">
        <v>4601004229211</v>
      </c>
    </row>
    <row r="6940" spans="1:26" ht="12" customHeight="1" outlineLevel="4" x14ac:dyDescent="0.2">
      <c r="A6940" s="14" t="s">
        <v>13342</v>
      </c>
      <c r="B6940" s="26" t="s">
        <v>13343</v>
      </c>
      <c r="C6940" s="52"/>
      <c r="D6940" s="55">
        <f t="shared" si="108"/>
        <v>0</v>
      </c>
      <c r="E6940" s="63" t="str">
        <f>HYPERLINK("https://www.sds-group.ru/product/patch-kord-s-ftp-cat-6a-10g-rj45-rj45-28awg-lszh-seryy-3m-rexant-02-0390-3/", "Инфо")</f>
        <v>Инфо</v>
      </c>
      <c r="F6940" s="16" t="s">
        <v>39</v>
      </c>
      <c r="G6940" s="15"/>
      <c r="H6940" s="15"/>
      <c r="I6940" s="15"/>
      <c r="J6940" s="17">
        <v>399</v>
      </c>
      <c r="K6940" s="15" t="s">
        <v>7336</v>
      </c>
      <c r="L6940" s="17">
        <v>1</v>
      </c>
      <c r="M6940" s="17">
        <v>100</v>
      </c>
      <c r="N6940" s="17">
        <v>1</v>
      </c>
      <c r="O6940" s="18">
        <v>1173.26</v>
      </c>
      <c r="P6940" s="18">
        <v>961.69</v>
      </c>
      <c r="Q6940" s="18">
        <v>938.61</v>
      </c>
      <c r="R6940" s="18">
        <v>769.35</v>
      </c>
      <c r="S6940" s="18">
        <v>797.82</v>
      </c>
      <c r="T6940" s="18">
        <v>653.95000000000005</v>
      </c>
      <c r="U6940" s="16"/>
      <c r="V6940" s="16"/>
      <c r="W6940" s="16" t="s">
        <v>40</v>
      </c>
      <c r="X6940" s="19">
        <v>0.121</v>
      </c>
      <c r="Y6940" s="20">
        <v>4.6099999999999998E-4</v>
      </c>
      <c r="Z6940" s="21">
        <v>4601004229228</v>
      </c>
    </row>
    <row r="6941" spans="1:26" ht="12" customHeight="1" outlineLevel="4" x14ac:dyDescent="0.2">
      <c r="A6941" s="14" t="s">
        <v>13344</v>
      </c>
      <c r="B6941" s="26" t="s">
        <v>13345</v>
      </c>
      <c r="C6941" s="52"/>
      <c r="D6941" s="55">
        <f t="shared" si="108"/>
        <v>0</v>
      </c>
      <c r="E6941" s="63" t="str">
        <f>HYPERLINK("https://www.sds-group.ru/product/patch-kord-s-ftp-cat-6a-10g-rj45-rj45-28awg-lszh-seryy-5m-rexant-02-0390-5/", "Инфо")</f>
        <v>Инфо</v>
      </c>
      <c r="F6941" s="16" t="s">
        <v>39</v>
      </c>
      <c r="G6941" s="15"/>
      <c r="H6941" s="15"/>
      <c r="I6941" s="15"/>
      <c r="J6941" s="17">
        <v>515</v>
      </c>
      <c r="K6941" s="15" t="s">
        <v>7336</v>
      </c>
      <c r="L6941" s="17">
        <v>1</v>
      </c>
      <c r="M6941" s="17">
        <v>50</v>
      </c>
      <c r="N6941" s="17">
        <v>1</v>
      </c>
      <c r="O6941" s="18">
        <v>1559.05</v>
      </c>
      <c r="P6941" s="18">
        <v>1277.9100000000001</v>
      </c>
      <c r="Q6941" s="18">
        <v>1231.6500000000001</v>
      </c>
      <c r="R6941" s="18">
        <v>1009.55</v>
      </c>
      <c r="S6941" s="18">
        <v>1060.1500000000001</v>
      </c>
      <c r="T6941" s="18">
        <v>868.98</v>
      </c>
      <c r="U6941" s="16"/>
      <c r="V6941" s="16"/>
      <c r="W6941" s="16" t="s">
        <v>40</v>
      </c>
      <c r="X6941" s="19">
        <v>0.19600000000000001</v>
      </c>
      <c r="Y6941" s="20">
        <v>9.6000000000000002E-4</v>
      </c>
      <c r="Z6941" s="21">
        <v>4601004229235</v>
      </c>
    </row>
    <row r="6942" spans="1:26" ht="12" customHeight="1" outlineLevel="4" x14ac:dyDescent="0.2">
      <c r="A6942" s="14" t="s">
        <v>13346</v>
      </c>
      <c r="B6942" s="26" t="s">
        <v>13347</v>
      </c>
      <c r="C6942" s="52"/>
      <c r="D6942" s="55">
        <f t="shared" si="108"/>
        <v>0</v>
      </c>
      <c r="E6942" s="63" t="str">
        <f>HYPERLINK("https://www.sds-group.ru/product/patch-kord-s-ftp-cat-6a-10g-rj45-rj45-28awg-lszh-seryy-7m-rexant-02-0390-7/", "Инфо")</f>
        <v>Инфо</v>
      </c>
      <c r="F6942" s="16" t="s">
        <v>39</v>
      </c>
      <c r="G6942" s="15"/>
      <c r="H6942" s="15"/>
      <c r="I6942" s="15"/>
      <c r="J6942" s="17">
        <v>105</v>
      </c>
      <c r="K6942" s="15" t="s">
        <v>1587</v>
      </c>
      <c r="L6942" s="17">
        <v>1</v>
      </c>
      <c r="M6942" s="17">
        <v>40</v>
      </c>
      <c r="N6942" s="17">
        <v>1</v>
      </c>
      <c r="O6942" s="18">
        <v>1667.87</v>
      </c>
      <c r="P6942" s="18">
        <v>1367.11</v>
      </c>
      <c r="Q6942" s="18">
        <v>1317.62</v>
      </c>
      <c r="R6942" s="18">
        <v>1080.02</v>
      </c>
      <c r="S6942" s="18">
        <v>1134.1500000000001</v>
      </c>
      <c r="T6942" s="18">
        <v>929.63</v>
      </c>
      <c r="U6942" s="16"/>
      <c r="V6942" s="16"/>
      <c r="W6942" s="16" t="s">
        <v>40</v>
      </c>
      <c r="X6942" s="19">
        <v>0.23899999999999999</v>
      </c>
      <c r="Y6942" s="20">
        <v>9.3300000000000002E-4</v>
      </c>
      <c r="Z6942" s="21">
        <v>4601004229242</v>
      </c>
    </row>
    <row r="6943" spans="1:26" ht="12.95" customHeight="1" outlineLevel="2" x14ac:dyDescent="0.2">
      <c r="A6943" s="76" t="s">
        <v>13348</v>
      </c>
      <c r="B6943" s="76"/>
      <c r="C6943" s="77"/>
      <c r="D6943" s="58"/>
      <c r="E6943" s="68"/>
      <c r="F6943" s="13"/>
      <c r="G6943" s="13"/>
      <c r="H6943" s="13"/>
      <c r="I6943" s="13"/>
      <c r="J6943" s="13"/>
      <c r="K6943" s="13"/>
      <c r="L6943" s="13"/>
      <c r="M6943" s="13"/>
      <c r="N6943" s="13"/>
      <c r="O6943" s="13"/>
      <c r="P6943" s="13"/>
      <c r="Q6943" s="13"/>
      <c r="R6943" s="13"/>
      <c r="S6943" s="13"/>
      <c r="T6943" s="13"/>
      <c r="U6943" s="13"/>
      <c r="V6943" s="13"/>
      <c r="W6943" s="13"/>
      <c r="X6943" s="13"/>
      <c r="Y6943" s="13"/>
      <c r="Z6943" s="13"/>
    </row>
    <row r="6944" spans="1:26" ht="12.95" customHeight="1" outlineLevel="3" x14ac:dyDescent="0.2">
      <c r="A6944" s="76" t="s">
        <v>13349</v>
      </c>
      <c r="B6944" s="76"/>
      <c r="C6944" s="77"/>
      <c r="D6944" s="58"/>
      <c r="E6944" s="68"/>
      <c r="F6944" s="13"/>
      <c r="G6944" s="13"/>
      <c r="H6944" s="13"/>
      <c r="I6944" s="13"/>
      <c r="J6944" s="13"/>
      <c r="K6944" s="13"/>
      <c r="L6944" s="13"/>
      <c r="M6944" s="13"/>
      <c r="N6944" s="13"/>
      <c r="O6944" s="13"/>
      <c r="P6944" s="13"/>
      <c r="Q6944" s="13"/>
      <c r="R6944" s="13"/>
      <c r="S6944" s="13"/>
      <c r="T6944" s="13"/>
      <c r="U6944" s="13"/>
      <c r="V6944" s="13"/>
      <c r="W6944" s="13"/>
      <c r="X6944" s="13"/>
      <c r="Y6944" s="13"/>
      <c r="Z6944" s="13"/>
    </row>
    <row r="6945" spans="1:26" ht="12" customHeight="1" outlineLevel="4" x14ac:dyDescent="0.2">
      <c r="A6945" s="14" t="s">
        <v>13350</v>
      </c>
      <c r="B6945" s="26" t="s">
        <v>13351</v>
      </c>
      <c r="C6945" s="52"/>
      <c r="D6945" s="55">
        <f t="shared" si="108"/>
        <v>0</v>
      </c>
      <c r="E6945" s="63" t="str">
        <f>HYPERLINK("https://www.sds-group.ru/product/shnur-kommutatsionnyy-patch-kord-u-utp-rj45-rj45-cat-5e-pvc-seryy-0-5m-rexant-18-1001/", "Инфо")</f>
        <v>Инфо</v>
      </c>
      <c r="F6945" s="16" t="s">
        <v>39</v>
      </c>
      <c r="G6945" s="15"/>
      <c r="H6945" s="15"/>
      <c r="I6945" s="15"/>
      <c r="J6945" s="22">
        <v>11323</v>
      </c>
      <c r="K6945" s="15" t="s">
        <v>1587</v>
      </c>
      <c r="L6945" s="17">
        <v>10</v>
      </c>
      <c r="M6945" s="17">
        <v>400</v>
      </c>
      <c r="N6945" s="17">
        <v>10</v>
      </c>
      <c r="O6945" s="18">
        <v>71.19</v>
      </c>
      <c r="P6945" s="18">
        <v>58.35</v>
      </c>
      <c r="Q6945" s="18">
        <v>60.51</v>
      </c>
      <c r="R6945" s="18">
        <v>49.6</v>
      </c>
      <c r="S6945" s="18">
        <v>42.71</v>
      </c>
      <c r="T6945" s="18">
        <v>35.01</v>
      </c>
      <c r="U6945" s="16"/>
      <c r="V6945" s="16"/>
      <c r="W6945" s="16" t="s">
        <v>40</v>
      </c>
      <c r="X6945" s="19">
        <v>2.4E-2</v>
      </c>
      <c r="Y6945" s="20">
        <v>1.7000000000000001E-4</v>
      </c>
      <c r="Z6945" s="21">
        <v>4610003601690</v>
      </c>
    </row>
    <row r="6946" spans="1:26" ht="12" customHeight="1" outlineLevel="4" x14ac:dyDescent="0.2">
      <c r="A6946" s="14" t="s">
        <v>13352</v>
      </c>
      <c r="B6946" s="26" t="s">
        <v>13353</v>
      </c>
      <c r="C6946" s="52"/>
      <c r="D6946" s="55">
        <f t="shared" si="108"/>
        <v>0</v>
      </c>
      <c r="E6946" s="63" t="str">
        <f>HYPERLINK("https://www.sds-group.ru/product/shnur-kommutatsionnyy-patch-kord-u-utp-rj45-rj45-cat-5e-pvc-seryy-1-5m-rexant-18-1004/", "Инфо")</f>
        <v>Инфо</v>
      </c>
      <c r="F6946" s="16" t="s">
        <v>39</v>
      </c>
      <c r="G6946" s="15"/>
      <c r="H6946" s="15"/>
      <c r="I6946" s="15"/>
      <c r="J6946" s="22">
        <v>7624</v>
      </c>
      <c r="K6946" s="15" t="s">
        <v>1004</v>
      </c>
      <c r="L6946" s="17">
        <v>10</v>
      </c>
      <c r="M6946" s="17">
        <v>250</v>
      </c>
      <c r="N6946" s="17">
        <v>10</v>
      </c>
      <c r="O6946" s="18">
        <v>91.85</v>
      </c>
      <c r="P6946" s="18">
        <v>75.290000000000006</v>
      </c>
      <c r="Q6946" s="18">
        <v>78.069999999999993</v>
      </c>
      <c r="R6946" s="18">
        <v>63.99</v>
      </c>
      <c r="S6946" s="18">
        <v>55.11</v>
      </c>
      <c r="T6946" s="18">
        <v>45.17</v>
      </c>
      <c r="U6946" s="16"/>
      <c r="V6946" s="16"/>
      <c r="W6946" s="16" t="s">
        <v>40</v>
      </c>
      <c r="X6946" s="19">
        <v>4.2000000000000003E-2</v>
      </c>
      <c r="Y6946" s="20">
        <v>1.7899999999999999E-4</v>
      </c>
      <c r="Z6946" s="21">
        <v>4610003601713</v>
      </c>
    </row>
    <row r="6947" spans="1:26" ht="12" customHeight="1" outlineLevel="4" x14ac:dyDescent="0.2">
      <c r="A6947" s="14" t="s">
        <v>13354</v>
      </c>
      <c r="B6947" s="26" t="s">
        <v>13355</v>
      </c>
      <c r="C6947" s="52"/>
      <c r="D6947" s="55">
        <f t="shared" si="108"/>
        <v>0</v>
      </c>
      <c r="E6947" s="63" t="str">
        <f>HYPERLINK("https://www.sds-group.ru/product/shnur-kommutatsionnyy-patch-kord-u-utp-rj45-rj45-cat-5e-pvc-seryy-10m-rexant-18-1009/", "Инфо")</f>
        <v>Инфо</v>
      </c>
      <c r="F6947" s="16" t="s">
        <v>39</v>
      </c>
      <c r="G6947" s="15"/>
      <c r="H6947" s="15"/>
      <c r="I6947" s="15"/>
      <c r="J6947" s="16" t="s">
        <v>100</v>
      </c>
      <c r="K6947" s="15" t="s">
        <v>1587</v>
      </c>
      <c r="L6947" s="17">
        <v>5</v>
      </c>
      <c r="M6947" s="17">
        <v>60</v>
      </c>
      <c r="N6947" s="17">
        <v>5</v>
      </c>
      <c r="O6947" s="18">
        <v>416.34</v>
      </c>
      <c r="P6947" s="18">
        <v>341.26</v>
      </c>
      <c r="Q6947" s="18">
        <v>320.58</v>
      </c>
      <c r="R6947" s="18">
        <v>262.77</v>
      </c>
      <c r="S6947" s="18">
        <v>249.8</v>
      </c>
      <c r="T6947" s="18">
        <v>204.75</v>
      </c>
      <c r="U6947" s="16"/>
      <c r="V6947" s="16"/>
      <c r="W6947" s="16" t="s">
        <v>40</v>
      </c>
      <c r="X6947" s="19">
        <v>0.247</v>
      </c>
      <c r="Y6947" s="20">
        <v>8.52E-4</v>
      </c>
      <c r="Z6947" s="21">
        <v>4610003601768</v>
      </c>
    </row>
    <row r="6948" spans="1:26" ht="12" customHeight="1" outlineLevel="4" x14ac:dyDescent="0.2">
      <c r="A6948" s="14" t="s">
        <v>13356</v>
      </c>
      <c r="B6948" s="26" t="s">
        <v>13357</v>
      </c>
      <c r="C6948" s="52"/>
      <c r="D6948" s="55">
        <f t="shared" si="108"/>
        <v>0</v>
      </c>
      <c r="E6948" s="63" t="str">
        <f>HYPERLINK("https://www.sds-group.ru/product/shnur-kommutatsionnyy-patch-kord-u-utp-rj45-rj45-cat-5e-pvc-seryy-15m-rexant-18-1010/", "Инфо")</f>
        <v>Инфо</v>
      </c>
      <c r="F6948" s="16" t="s">
        <v>39</v>
      </c>
      <c r="G6948" s="15"/>
      <c r="H6948" s="15"/>
      <c r="I6948" s="15"/>
      <c r="J6948" s="17">
        <v>546</v>
      </c>
      <c r="K6948" s="15" t="s">
        <v>1004</v>
      </c>
      <c r="L6948" s="17">
        <v>5</v>
      </c>
      <c r="M6948" s="17">
        <v>60</v>
      </c>
      <c r="N6948" s="17">
        <v>5</v>
      </c>
      <c r="O6948" s="18">
        <v>613.29</v>
      </c>
      <c r="P6948" s="18">
        <v>502.7</v>
      </c>
      <c r="Q6948" s="18">
        <v>472.23</v>
      </c>
      <c r="R6948" s="18">
        <v>387.07</v>
      </c>
      <c r="S6948" s="18">
        <v>367.97</v>
      </c>
      <c r="T6948" s="18">
        <v>301.61</v>
      </c>
      <c r="U6948" s="16"/>
      <c r="V6948" s="16"/>
      <c r="W6948" s="16" t="s">
        <v>40</v>
      </c>
      <c r="X6948" s="19">
        <v>0.35699999999999998</v>
      </c>
      <c r="Y6948" s="20">
        <v>1.093E-3</v>
      </c>
      <c r="Z6948" s="21">
        <v>4610003601775</v>
      </c>
    </row>
    <row r="6949" spans="1:26" ht="12" customHeight="1" outlineLevel="4" x14ac:dyDescent="0.2">
      <c r="A6949" s="14" t="s">
        <v>13358</v>
      </c>
      <c r="B6949" s="26" t="s">
        <v>13359</v>
      </c>
      <c r="C6949" s="52"/>
      <c r="D6949" s="55">
        <f t="shared" si="108"/>
        <v>0</v>
      </c>
      <c r="E6949" s="63" t="str">
        <f>HYPERLINK("https://www.sds-group.ru/product/shnur-kommutatsionnyy-patch-kord-u-utp-rj45-rj45-cat-5e-pvc-seryy-1m-rexant-18-1002/", "Инфо")</f>
        <v>Инфо</v>
      </c>
      <c r="F6949" s="16" t="s">
        <v>39</v>
      </c>
      <c r="G6949" s="15"/>
      <c r="H6949" s="15"/>
      <c r="I6949" s="15"/>
      <c r="J6949" s="16" t="s">
        <v>100</v>
      </c>
      <c r="K6949" s="15" t="s">
        <v>1587</v>
      </c>
      <c r="L6949" s="17">
        <v>10</v>
      </c>
      <c r="M6949" s="17">
        <v>300</v>
      </c>
      <c r="N6949" s="17">
        <v>10</v>
      </c>
      <c r="O6949" s="18">
        <v>82.67</v>
      </c>
      <c r="P6949" s="18">
        <v>67.760000000000005</v>
      </c>
      <c r="Q6949" s="18">
        <v>70.27</v>
      </c>
      <c r="R6949" s="18">
        <v>57.6</v>
      </c>
      <c r="S6949" s="18">
        <v>49.6</v>
      </c>
      <c r="T6949" s="18">
        <v>40.659999999999997</v>
      </c>
      <c r="U6949" s="16"/>
      <c r="V6949" s="16"/>
      <c r="W6949" s="16" t="s">
        <v>40</v>
      </c>
      <c r="X6949" s="19">
        <v>3.6999999999999998E-2</v>
      </c>
      <c r="Y6949" s="20">
        <v>1.56E-4</v>
      </c>
      <c r="Z6949" s="21">
        <v>4610003601706</v>
      </c>
    </row>
    <row r="6950" spans="1:26" ht="12" customHeight="1" outlineLevel="4" x14ac:dyDescent="0.2">
      <c r="A6950" s="14" t="s">
        <v>13360</v>
      </c>
      <c r="B6950" s="26" t="s">
        <v>13361</v>
      </c>
      <c r="C6950" s="52"/>
      <c r="D6950" s="55">
        <f t="shared" si="108"/>
        <v>0</v>
      </c>
      <c r="E6950" s="63" t="str">
        <f>HYPERLINK("https://www.sds-group.ru/product/shnur-kommutatsionnyy-patch-kord-u-utp-rj45-rj45-cat-5e-pvc-seryy-20m-rexant-18-1011/", "Инфо")</f>
        <v>Инфо</v>
      </c>
      <c r="F6950" s="16" t="s">
        <v>39</v>
      </c>
      <c r="G6950" s="15"/>
      <c r="H6950" s="15"/>
      <c r="I6950" s="15"/>
      <c r="J6950" s="16" t="s">
        <v>100</v>
      </c>
      <c r="K6950" s="15" t="s">
        <v>1004</v>
      </c>
      <c r="L6950" s="17">
        <v>1</v>
      </c>
      <c r="M6950" s="17">
        <v>20</v>
      </c>
      <c r="N6950" s="17">
        <v>1</v>
      </c>
      <c r="O6950" s="18">
        <v>804.52</v>
      </c>
      <c r="P6950" s="18">
        <v>659.44</v>
      </c>
      <c r="Q6950" s="18">
        <v>619.48</v>
      </c>
      <c r="R6950" s="18">
        <v>507.77</v>
      </c>
      <c r="S6950" s="18">
        <v>482.71</v>
      </c>
      <c r="T6950" s="18">
        <v>395.66</v>
      </c>
      <c r="U6950" s="16"/>
      <c r="V6950" s="16"/>
      <c r="W6950" s="16" t="s">
        <v>40</v>
      </c>
      <c r="X6950" s="19">
        <v>0.46500000000000002</v>
      </c>
      <c r="Y6950" s="20">
        <v>1.2719999999999999E-3</v>
      </c>
      <c r="Z6950" s="21">
        <v>4660008011369</v>
      </c>
    </row>
    <row r="6951" spans="1:26" ht="12" customHeight="1" outlineLevel="4" x14ac:dyDescent="0.2">
      <c r="A6951" s="14" t="s">
        <v>13362</v>
      </c>
      <c r="B6951" s="26" t="s">
        <v>13363</v>
      </c>
      <c r="C6951" s="52"/>
      <c r="D6951" s="55">
        <f t="shared" si="108"/>
        <v>0</v>
      </c>
      <c r="E6951" s="63" t="str">
        <f>HYPERLINK("https://www.sds-group.ru/product/shnur-kommutatsionnyy-patch-kord-u-utp-rj45-rj45-cat-5e-pvc-seryy-25m-rexant-18-1012/", "Инфо")</f>
        <v>Инфо</v>
      </c>
      <c r="F6951" s="16" t="s">
        <v>39</v>
      </c>
      <c r="G6951" s="15"/>
      <c r="H6951" s="15"/>
      <c r="I6951" s="15"/>
      <c r="J6951" s="17">
        <v>699</v>
      </c>
      <c r="K6951" s="15" t="s">
        <v>1587</v>
      </c>
      <c r="L6951" s="17">
        <v>1</v>
      </c>
      <c r="M6951" s="17">
        <v>20</v>
      </c>
      <c r="N6951" s="17">
        <v>1</v>
      </c>
      <c r="O6951" s="18">
        <v>1184.72</v>
      </c>
      <c r="P6951" s="18">
        <v>971.08</v>
      </c>
      <c r="Q6951" s="18">
        <v>912.23</v>
      </c>
      <c r="R6951" s="18">
        <v>747.73</v>
      </c>
      <c r="S6951" s="18">
        <v>710.83</v>
      </c>
      <c r="T6951" s="18">
        <v>582.65</v>
      </c>
      <c r="U6951" s="16"/>
      <c r="V6951" s="16"/>
      <c r="W6951" s="16" t="s">
        <v>40</v>
      </c>
      <c r="X6951" s="19">
        <v>0.56599999999999995</v>
      </c>
      <c r="Y6951" s="20">
        <v>2.1180000000000001E-3</v>
      </c>
      <c r="Z6951" s="21">
        <v>4660008011352</v>
      </c>
    </row>
    <row r="6952" spans="1:26" ht="12" customHeight="1" outlineLevel="4" x14ac:dyDescent="0.2">
      <c r="A6952" s="14" t="s">
        <v>13364</v>
      </c>
      <c r="B6952" s="26" t="s">
        <v>13365</v>
      </c>
      <c r="C6952" s="52"/>
      <c r="D6952" s="55">
        <f t="shared" si="108"/>
        <v>0</v>
      </c>
      <c r="E6952" s="63" t="str">
        <f>HYPERLINK("https://www.sds-group.ru/product/shnur-kommutatsionnyy-patch-kord-u-utp-rj45-rj45-cat-5e-pvc-seryy-2m-rexant-18-1005/", "Инфо")</f>
        <v>Инфо</v>
      </c>
      <c r="F6952" s="16" t="s">
        <v>39</v>
      </c>
      <c r="G6952" s="15"/>
      <c r="H6952" s="15"/>
      <c r="I6952" s="15"/>
      <c r="J6952" s="22">
        <v>29676</v>
      </c>
      <c r="K6952" s="15" t="s">
        <v>1004</v>
      </c>
      <c r="L6952" s="17">
        <v>10</v>
      </c>
      <c r="M6952" s="17">
        <v>220</v>
      </c>
      <c r="N6952" s="17">
        <v>10</v>
      </c>
      <c r="O6952" s="18">
        <v>108.82</v>
      </c>
      <c r="P6952" s="18">
        <v>89.2</v>
      </c>
      <c r="Q6952" s="18">
        <v>92.5</v>
      </c>
      <c r="R6952" s="18">
        <v>75.819999999999993</v>
      </c>
      <c r="S6952" s="18">
        <v>65.290000000000006</v>
      </c>
      <c r="T6952" s="18">
        <v>53.52</v>
      </c>
      <c r="U6952" s="16"/>
      <c r="V6952" s="16"/>
      <c r="W6952" s="16" t="s">
        <v>40</v>
      </c>
      <c r="X6952" s="19">
        <v>6.0999999999999999E-2</v>
      </c>
      <c r="Y6952" s="20">
        <v>2.1599999999999999E-4</v>
      </c>
      <c r="Z6952" s="21">
        <v>4610003601720</v>
      </c>
    </row>
    <row r="6953" spans="1:26" ht="12" customHeight="1" outlineLevel="4" x14ac:dyDescent="0.2">
      <c r="A6953" s="14" t="s">
        <v>13366</v>
      </c>
      <c r="B6953" s="26" t="s">
        <v>13367</v>
      </c>
      <c r="C6953" s="52"/>
      <c r="D6953" s="55">
        <f t="shared" si="108"/>
        <v>0</v>
      </c>
      <c r="E6953" s="63" t="str">
        <f>HYPERLINK("https://www.sds-group.ru/product/shnur-kommutatsionnyy-patch-kord-u-utp-rj45-rj45-cat-5e-pvc-seryy-3m-rexant-18-1006/", "Инфо")</f>
        <v>Инфо</v>
      </c>
      <c r="F6953" s="16" t="s">
        <v>39</v>
      </c>
      <c r="G6953" s="15"/>
      <c r="H6953" s="15"/>
      <c r="I6953" s="15"/>
      <c r="J6953" s="22">
        <v>28392</v>
      </c>
      <c r="K6953" s="15" t="s">
        <v>1004</v>
      </c>
      <c r="L6953" s="17">
        <v>10</v>
      </c>
      <c r="M6953" s="17">
        <v>200</v>
      </c>
      <c r="N6953" s="17">
        <v>10</v>
      </c>
      <c r="O6953" s="18">
        <v>137.22</v>
      </c>
      <c r="P6953" s="18">
        <v>112.48</v>
      </c>
      <c r="Q6953" s="18">
        <v>116.64</v>
      </c>
      <c r="R6953" s="18">
        <v>95.61</v>
      </c>
      <c r="S6953" s="18">
        <v>82.33</v>
      </c>
      <c r="T6953" s="18">
        <v>67.48</v>
      </c>
      <c r="U6953" s="16"/>
      <c r="V6953" s="16"/>
      <c r="W6953" s="16" t="s">
        <v>40</v>
      </c>
      <c r="X6953" s="19">
        <v>8.6999999999999994E-2</v>
      </c>
      <c r="Y6953" s="20">
        <v>3.4900000000000003E-4</v>
      </c>
      <c r="Z6953" s="21">
        <v>4610003601737</v>
      </c>
    </row>
    <row r="6954" spans="1:26" ht="12" customHeight="1" outlineLevel="4" x14ac:dyDescent="0.2">
      <c r="A6954" s="14" t="s">
        <v>13368</v>
      </c>
      <c r="B6954" s="26" t="s">
        <v>13369</v>
      </c>
      <c r="C6954" s="52"/>
      <c r="D6954" s="55">
        <f t="shared" si="108"/>
        <v>0</v>
      </c>
      <c r="E6954" s="63" t="str">
        <f>HYPERLINK("https://www.sds-group.ru/product/shnur-kommutatsionnyy-patch-kord-u-utp-rj45-rj45-cat-5e-pvc-seryy-5m-rexant-18-1007/", "Инфо")</f>
        <v>Инфо</v>
      </c>
      <c r="F6954" s="16" t="s">
        <v>39</v>
      </c>
      <c r="G6954" s="15"/>
      <c r="H6954" s="15"/>
      <c r="I6954" s="15"/>
      <c r="J6954" s="22">
        <v>7482</v>
      </c>
      <c r="K6954" s="15" t="s">
        <v>1004</v>
      </c>
      <c r="L6954" s="17">
        <v>10</v>
      </c>
      <c r="M6954" s="17">
        <v>100</v>
      </c>
      <c r="N6954" s="17">
        <v>10</v>
      </c>
      <c r="O6954" s="18">
        <v>193.95</v>
      </c>
      <c r="P6954" s="18">
        <v>158.97999999999999</v>
      </c>
      <c r="Q6954" s="18">
        <v>164.86</v>
      </c>
      <c r="R6954" s="18">
        <v>135.13</v>
      </c>
      <c r="S6954" s="18">
        <v>116.37</v>
      </c>
      <c r="T6954" s="18">
        <v>95.39</v>
      </c>
      <c r="U6954" s="16"/>
      <c r="V6954" s="16"/>
      <c r="W6954" s="16" t="s">
        <v>40</v>
      </c>
      <c r="X6954" s="19">
        <v>0.13</v>
      </c>
      <c r="Y6954" s="20">
        <v>6.69E-4</v>
      </c>
      <c r="Z6954" s="21">
        <v>4610003601744</v>
      </c>
    </row>
    <row r="6955" spans="1:26" ht="12" customHeight="1" outlineLevel="4" x14ac:dyDescent="0.2">
      <c r="A6955" s="14" t="s">
        <v>13370</v>
      </c>
      <c r="B6955" s="26" t="s">
        <v>13371</v>
      </c>
      <c r="C6955" s="52"/>
      <c r="D6955" s="55">
        <f t="shared" si="108"/>
        <v>0</v>
      </c>
      <c r="E6955" s="63" t="str">
        <f>HYPERLINK("https://www.sds-group.ru/product/shnur-kommutatsionnyy-patch-kord-u-utp-rj45-rj45-cat-5e-pvc-seryy-7m-rexant-18-1008/", "Инфо")</f>
        <v>Инфо</v>
      </c>
      <c r="F6955" s="16" t="s">
        <v>39</v>
      </c>
      <c r="G6955" s="15"/>
      <c r="H6955" s="15"/>
      <c r="I6955" s="15"/>
      <c r="J6955" s="22">
        <v>1623</v>
      </c>
      <c r="K6955" s="15" t="s">
        <v>1587</v>
      </c>
      <c r="L6955" s="17">
        <v>5</v>
      </c>
      <c r="M6955" s="17">
        <v>80</v>
      </c>
      <c r="N6955" s="17">
        <v>5</v>
      </c>
      <c r="O6955" s="18">
        <v>374.2</v>
      </c>
      <c r="P6955" s="18">
        <v>306.72000000000003</v>
      </c>
      <c r="Q6955" s="18">
        <v>288.13</v>
      </c>
      <c r="R6955" s="18">
        <v>236.17</v>
      </c>
      <c r="S6955" s="18">
        <v>224.52</v>
      </c>
      <c r="T6955" s="18">
        <v>184.03</v>
      </c>
      <c r="U6955" s="16"/>
      <c r="V6955" s="16"/>
      <c r="W6955" s="16" t="s">
        <v>40</v>
      </c>
      <c r="X6955" s="19">
        <v>0.17399999999999999</v>
      </c>
      <c r="Y6955" s="20">
        <v>8.2399999999999997E-4</v>
      </c>
      <c r="Z6955" s="21">
        <v>4610003601751</v>
      </c>
    </row>
    <row r="6956" spans="1:26" ht="12.95" customHeight="1" outlineLevel="3" x14ac:dyDescent="0.2">
      <c r="A6956" s="76" t="s">
        <v>13372</v>
      </c>
      <c r="B6956" s="76"/>
      <c r="C6956" s="77"/>
      <c r="D6956" s="58"/>
      <c r="E6956" s="68"/>
      <c r="F6956" s="13"/>
      <c r="G6956" s="13"/>
      <c r="H6956" s="13"/>
      <c r="I6956" s="13"/>
      <c r="J6956" s="13"/>
      <c r="K6956" s="13"/>
      <c r="L6956" s="13"/>
      <c r="M6956" s="13"/>
      <c r="N6956" s="13"/>
      <c r="O6956" s="13"/>
      <c r="P6956" s="13"/>
      <c r="Q6956" s="13"/>
      <c r="R6956" s="13"/>
      <c r="S6956" s="13"/>
      <c r="T6956" s="13"/>
      <c r="U6956" s="13"/>
      <c r="V6956" s="13"/>
      <c r="W6956" s="13"/>
      <c r="X6956" s="13"/>
      <c r="Y6956" s="13"/>
      <c r="Z6956" s="13"/>
    </row>
    <row r="6957" spans="1:26" ht="12" customHeight="1" outlineLevel="4" x14ac:dyDescent="0.2">
      <c r="A6957" s="14" t="s">
        <v>13373</v>
      </c>
      <c r="B6957" s="26" t="s">
        <v>13374</v>
      </c>
      <c r="C6957" s="52"/>
      <c r="D6957" s="55">
        <f t="shared" si="108"/>
        <v>0</v>
      </c>
      <c r="E6957" s="63" t="str">
        <f>HYPERLINK("https://www.sds-group.ru/product/shnur-kommutatsionnyy-patch-kord-u-utp-rj45-rj45-cat-5e-lszh-seryy-0-5m-rexant-18-8001/", "Инфо")</f>
        <v>Инфо</v>
      </c>
      <c r="F6957" s="16" t="s">
        <v>39</v>
      </c>
      <c r="G6957" s="15"/>
      <c r="H6957" s="15"/>
      <c r="I6957" s="15"/>
      <c r="J6957" s="22">
        <v>3212</v>
      </c>
      <c r="K6957" s="15" t="s">
        <v>1004</v>
      </c>
      <c r="L6957" s="17">
        <v>10</v>
      </c>
      <c r="M6957" s="17">
        <v>400</v>
      </c>
      <c r="N6957" s="17">
        <v>10</v>
      </c>
      <c r="O6957" s="18">
        <v>99.94</v>
      </c>
      <c r="P6957" s="18">
        <v>81.92</v>
      </c>
      <c r="Q6957" s="18">
        <v>84.95</v>
      </c>
      <c r="R6957" s="18">
        <v>69.63</v>
      </c>
      <c r="S6957" s="18">
        <v>59.96</v>
      </c>
      <c r="T6957" s="18">
        <v>49.15</v>
      </c>
      <c r="U6957" s="16"/>
      <c r="V6957" s="16"/>
      <c r="W6957" s="16" t="s">
        <v>40</v>
      </c>
      <c r="X6957" s="19">
        <v>2.7E-2</v>
      </c>
      <c r="Y6957" s="20">
        <v>1.11E-4</v>
      </c>
      <c r="Z6957" s="21">
        <v>4601004135888</v>
      </c>
    </row>
    <row r="6958" spans="1:26" ht="12" customHeight="1" outlineLevel="4" x14ac:dyDescent="0.2">
      <c r="A6958" s="14" t="s">
        <v>13375</v>
      </c>
      <c r="B6958" s="26" t="s">
        <v>13376</v>
      </c>
      <c r="C6958" s="52"/>
      <c r="D6958" s="55">
        <f t="shared" si="108"/>
        <v>0</v>
      </c>
      <c r="E6958" s="63" t="str">
        <f>HYPERLINK("https://www.sds-group.ru/product/shnur-kommutatsionnyy-patch-kord-u-utp-rj45-rj45-cat-5e-lszh-seryy-1-5m-rexant-18-8004/", "Инфо")</f>
        <v>Инфо</v>
      </c>
      <c r="F6958" s="16" t="s">
        <v>39</v>
      </c>
      <c r="G6958" s="15"/>
      <c r="H6958" s="15"/>
      <c r="I6958" s="15"/>
      <c r="J6958" s="22">
        <v>3076</v>
      </c>
      <c r="K6958" s="15" t="s">
        <v>1004</v>
      </c>
      <c r="L6958" s="17">
        <v>10</v>
      </c>
      <c r="M6958" s="17">
        <v>200</v>
      </c>
      <c r="N6958" s="17">
        <v>10</v>
      </c>
      <c r="O6958" s="18">
        <v>151.30000000000001</v>
      </c>
      <c r="P6958" s="18">
        <v>124.02</v>
      </c>
      <c r="Q6958" s="18">
        <v>128.61000000000001</v>
      </c>
      <c r="R6958" s="18">
        <v>105.42</v>
      </c>
      <c r="S6958" s="18">
        <v>90.78</v>
      </c>
      <c r="T6958" s="18">
        <v>74.41</v>
      </c>
      <c r="U6958" s="16"/>
      <c r="V6958" s="16"/>
      <c r="W6958" s="16" t="s">
        <v>40</v>
      </c>
      <c r="X6958" s="19">
        <v>4.2999999999999997E-2</v>
      </c>
      <c r="Y6958" s="20">
        <v>1.6200000000000001E-4</v>
      </c>
      <c r="Z6958" s="21">
        <v>4601004135710</v>
      </c>
    </row>
    <row r="6959" spans="1:26" ht="12" customHeight="1" outlineLevel="4" x14ac:dyDescent="0.2">
      <c r="A6959" s="14" t="s">
        <v>13377</v>
      </c>
      <c r="B6959" s="26" t="s">
        <v>13378</v>
      </c>
      <c r="C6959" s="52"/>
      <c r="D6959" s="55">
        <f t="shared" si="108"/>
        <v>0</v>
      </c>
      <c r="E6959" s="63" t="str">
        <f>HYPERLINK("https://www.sds-group.ru/product/shnur-kommutatsionnyy-patch-kord-u-utp-rj45-rj45-cat-5e-lszh-seryy-1m-rexant-18-8002/", "Инфо")</f>
        <v>Инфо</v>
      </c>
      <c r="F6959" s="16" t="s">
        <v>39</v>
      </c>
      <c r="G6959" s="15"/>
      <c r="H6959" s="15"/>
      <c r="I6959" s="15"/>
      <c r="J6959" s="22">
        <v>7103</v>
      </c>
      <c r="K6959" s="15" t="s">
        <v>1004</v>
      </c>
      <c r="L6959" s="17">
        <v>10</v>
      </c>
      <c r="M6959" s="17">
        <v>300</v>
      </c>
      <c r="N6959" s="17">
        <v>10</v>
      </c>
      <c r="O6959" s="18">
        <v>135.78</v>
      </c>
      <c r="P6959" s="18">
        <v>111.3</v>
      </c>
      <c r="Q6959" s="18">
        <v>115.41</v>
      </c>
      <c r="R6959" s="18">
        <v>94.6</v>
      </c>
      <c r="S6959" s="18">
        <v>81.47</v>
      </c>
      <c r="T6959" s="18">
        <v>66.78</v>
      </c>
      <c r="U6959" s="16"/>
      <c r="V6959" s="16"/>
      <c r="W6959" s="16" t="s">
        <v>40</v>
      </c>
      <c r="X6959" s="19">
        <v>3.6999999999999998E-2</v>
      </c>
      <c r="Y6959" s="20">
        <v>1.25E-4</v>
      </c>
      <c r="Z6959" s="21">
        <v>4601004135727</v>
      </c>
    </row>
    <row r="6960" spans="1:26" ht="12" customHeight="1" outlineLevel="4" x14ac:dyDescent="0.2">
      <c r="A6960" s="14" t="s">
        <v>13379</v>
      </c>
      <c r="B6960" s="26" t="s">
        <v>13380</v>
      </c>
      <c r="C6960" s="52"/>
      <c r="D6960" s="55">
        <f t="shared" si="108"/>
        <v>0</v>
      </c>
      <c r="E6960" s="63" t="str">
        <f>HYPERLINK("https://www.sds-group.ru/product/shnur-kommutatsionnyy-patch-kord-u-utp-rj45-rj45-cat-5e-lszh-seryy-2m-rexant-18-8005/", "Инфо")</f>
        <v>Инфо</v>
      </c>
      <c r="F6960" s="16" t="s">
        <v>39</v>
      </c>
      <c r="G6960" s="15"/>
      <c r="H6960" s="15"/>
      <c r="I6960" s="15"/>
      <c r="J6960" s="22">
        <v>4860</v>
      </c>
      <c r="K6960" s="15" t="s">
        <v>1004</v>
      </c>
      <c r="L6960" s="17">
        <v>10</v>
      </c>
      <c r="M6960" s="17">
        <v>150</v>
      </c>
      <c r="N6960" s="17">
        <v>10</v>
      </c>
      <c r="O6960" s="18">
        <v>199.06</v>
      </c>
      <c r="P6960" s="18">
        <v>163.16</v>
      </c>
      <c r="Q6960" s="18">
        <v>169.2</v>
      </c>
      <c r="R6960" s="18">
        <v>138.69</v>
      </c>
      <c r="S6960" s="18">
        <v>119.44</v>
      </c>
      <c r="T6960" s="18">
        <v>97.9</v>
      </c>
      <c r="U6960" s="16"/>
      <c r="V6960" s="16"/>
      <c r="W6960" s="16" t="s">
        <v>40</v>
      </c>
      <c r="X6960" s="19">
        <v>5.8999999999999997E-2</v>
      </c>
      <c r="Y6960" s="20">
        <v>3.4200000000000002E-4</v>
      </c>
      <c r="Z6960" s="21">
        <v>4601004135734</v>
      </c>
    </row>
    <row r="6961" spans="1:26" ht="12" customHeight="1" outlineLevel="4" x14ac:dyDescent="0.2">
      <c r="A6961" s="14" t="s">
        <v>13381</v>
      </c>
      <c r="B6961" s="26" t="s">
        <v>13382</v>
      </c>
      <c r="C6961" s="52"/>
      <c r="D6961" s="55">
        <f t="shared" si="108"/>
        <v>0</v>
      </c>
      <c r="E6961" s="63" t="str">
        <f>HYPERLINK("https://www.sds-group.ru/product/shnur-kommutatsionnyy-patch-kord-u-utp-rj45-rj45-cat-5e-lszh-seryy-3m-rexant-18-8006/", "Инфо")</f>
        <v>Инфо</v>
      </c>
      <c r="F6961" s="16" t="s">
        <v>39</v>
      </c>
      <c r="G6961" s="15"/>
      <c r="H6961" s="15"/>
      <c r="I6961" s="15"/>
      <c r="J6961" s="22">
        <v>3280</v>
      </c>
      <c r="K6961" s="15" t="s">
        <v>1004</v>
      </c>
      <c r="L6961" s="17">
        <v>5</v>
      </c>
      <c r="M6961" s="17">
        <v>100</v>
      </c>
      <c r="N6961" s="17">
        <v>5</v>
      </c>
      <c r="O6961" s="18">
        <v>239.34</v>
      </c>
      <c r="P6961" s="18">
        <v>196.18</v>
      </c>
      <c r="Q6961" s="18">
        <v>203.44</v>
      </c>
      <c r="R6961" s="18">
        <v>166.75</v>
      </c>
      <c r="S6961" s="18">
        <v>143.6</v>
      </c>
      <c r="T6961" s="18">
        <v>117.7</v>
      </c>
      <c r="U6961" s="16"/>
      <c r="V6961" s="16"/>
      <c r="W6961" s="16" t="s">
        <v>40</v>
      </c>
      <c r="X6961" s="19">
        <v>8.5000000000000006E-2</v>
      </c>
      <c r="Y6961" s="20">
        <v>3.28E-4</v>
      </c>
      <c r="Z6961" s="21">
        <v>4601004135741</v>
      </c>
    </row>
    <row r="6962" spans="1:26" ht="12" customHeight="1" outlineLevel="4" x14ac:dyDescent="0.2">
      <c r="A6962" s="14" t="s">
        <v>13383</v>
      </c>
      <c r="B6962" s="26" t="s">
        <v>13384</v>
      </c>
      <c r="C6962" s="52"/>
      <c r="D6962" s="55">
        <f t="shared" si="108"/>
        <v>0</v>
      </c>
      <c r="E6962" s="63" t="str">
        <f>HYPERLINK("https://www.sds-group.ru/product/shnur-kommutatsionnyy-patch-kord-u-utp-rj45-rj45-cat-5e-lszh-seryy-5m-rexant-18-8007/", "Инфо")</f>
        <v>Инфо</v>
      </c>
      <c r="F6962" s="16" t="s">
        <v>39</v>
      </c>
      <c r="G6962" s="15"/>
      <c r="H6962" s="15"/>
      <c r="I6962" s="15"/>
      <c r="J6962" s="22">
        <v>1094</v>
      </c>
      <c r="K6962" s="15" t="s">
        <v>1004</v>
      </c>
      <c r="L6962" s="17">
        <v>5</v>
      </c>
      <c r="M6962" s="17">
        <v>100</v>
      </c>
      <c r="N6962" s="17">
        <v>5</v>
      </c>
      <c r="O6962" s="18">
        <v>382.62</v>
      </c>
      <c r="P6962" s="18">
        <v>313.62</v>
      </c>
      <c r="Q6962" s="18">
        <v>325.23</v>
      </c>
      <c r="R6962" s="18">
        <v>266.58</v>
      </c>
      <c r="S6962" s="18">
        <v>229.57</v>
      </c>
      <c r="T6962" s="18">
        <v>188.17</v>
      </c>
      <c r="U6962" s="16"/>
      <c r="V6962" s="16"/>
      <c r="W6962" s="16" t="s">
        <v>40</v>
      </c>
      <c r="X6962" s="19">
        <v>0.11899999999999999</v>
      </c>
      <c r="Y6962" s="20">
        <v>5.3200000000000003E-4</v>
      </c>
      <c r="Z6962" s="21">
        <v>4601004135758</v>
      </c>
    </row>
    <row r="6963" spans="1:26" ht="12.95" customHeight="1" outlineLevel="3" x14ac:dyDescent="0.2">
      <c r="A6963" s="76" t="s">
        <v>13385</v>
      </c>
      <c r="B6963" s="76"/>
      <c r="C6963" s="77"/>
      <c r="D6963" s="58"/>
      <c r="E6963" s="68"/>
      <c r="F6963" s="13"/>
      <c r="G6963" s="13"/>
      <c r="H6963" s="13"/>
      <c r="I6963" s="13"/>
      <c r="J6963" s="13"/>
      <c r="K6963" s="13"/>
      <c r="L6963" s="13"/>
      <c r="M6963" s="13"/>
      <c r="N6963" s="13"/>
      <c r="O6963" s="13"/>
      <c r="P6963" s="13"/>
      <c r="Q6963" s="13"/>
      <c r="R6963" s="13"/>
      <c r="S6963" s="13"/>
      <c r="T6963" s="13"/>
      <c r="U6963" s="13"/>
      <c r="V6963" s="13"/>
      <c r="W6963" s="13"/>
      <c r="X6963" s="13"/>
      <c r="Y6963" s="13"/>
      <c r="Z6963" s="13"/>
    </row>
    <row r="6964" spans="1:26" ht="12" customHeight="1" outlineLevel="4" x14ac:dyDescent="0.2">
      <c r="A6964" s="14" t="s">
        <v>13386</v>
      </c>
      <c r="B6964" s="26" t="s">
        <v>13387</v>
      </c>
      <c r="C6964" s="52"/>
      <c r="D6964" s="55">
        <f t="shared" si="108"/>
        <v>0</v>
      </c>
      <c r="E6964" s="63" t="str">
        <f>HYPERLINK("https://www.sds-group.ru/product/shnur-kommutatsionnyy-patch-kord-f-utp-rj45-rj45-cat-5e-lszh-seryy-0-5m-rexant-18-8001-1/", "Инфо")</f>
        <v>Инфо</v>
      </c>
      <c r="F6964" s="16" t="s">
        <v>39</v>
      </c>
      <c r="G6964" s="15"/>
      <c r="H6964" s="15"/>
      <c r="I6964" s="15"/>
      <c r="J6964" s="17">
        <v>981</v>
      </c>
      <c r="K6964" s="15" t="s">
        <v>1004</v>
      </c>
      <c r="L6964" s="17">
        <v>10</v>
      </c>
      <c r="M6964" s="17">
        <v>400</v>
      </c>
      <c r="N6964" s="17">
        <v>10</v>
      </c>
      <c r="O6964" s="18">
        <v>120.6</v>
      </c>
      <c r="P6964" s="18">
        <v>98.85</v>
      </c>
      <c r="Q6964" s="18">
        <v>102.51</v>
      </c>
      <c r="R6964" s="18">
        <v>84.02</v>
      </c>
      <c r="S6964" s="18">
        <v>72.36</v>
      </c>
      <c r="T6964" s="18">
        <v>59.31</v>
      </c>
      <c r="U6964" s="16"/>
      <c r="V6964" s="16"/>
      <c r="W6964" s="16" t="s">
        <v>40</v>
      </c>
      <c r="X6964" s="19">
        <v>2.8000000000000001E-2</v>
      </c>
      <c r="Y6964" s="20">
        <v>1.65E-4</v>
      </c>
      <c r="Z6964" s="21">
        <v>4601004135765</v>
      </c>
    </row>
    <row r="6965" spans="1:26" ht="12" customHeight="1" outlineLevel="4" x14ac:dyDescent="0.2">
      <c r="A6965" s="14" t="s">
        <v>13388</v>
      </c>
      <c r="B6965" s="26" t="s">
        <v>13389</v>
      </c>
      <c r="C6965" s="52"/>
      <c r="D6965" s="55">
        <f t="shared" si="108"/>
        <v>0</v>
      </c>
      <c r="E6965" s="63" t="str">
        <f>HYPERLINK("https://www.sds-group.ru/product/shnur-kommutatsionnyy-patch-kord-f-utp-rj45-rj45-cat-5e-lszh-seryy-1-5m-rexant-18-8004-1/", "Инфо")</f>
        <v>Инфо</v>
      </c>
      <c r="F6965" s="16" t="s">
        <v>39</v>
      </c>
      <c r="G6965" s="15"/>
      <c r="H6965" s="15"/>
      <c r="I6965" s="15"/>
      <c r="J6965" s="17">
        <v>941</v>
      </c>
      <c r="K6965" s="15" t="s">
        <v>1004</v>
      </c>
      <c r="L6965" s="17">
        <v>10</v>
      </c>
      <c r="M6965" s="17">
        <v>200</v>
      </c>
      <c r="N6965" s="17">
        <v>10</v>
      </c>
      <c r="O6965" s="18">
        <v>177.76</v>
      </c>
      <c r="P6965" s="18">
        <v>145.69999999999999</v>
      </c>
      <c r="Q6965" s="18">
        <v>151.1</v>
      </c>
      <c r="R6965" s="18">
        <v>123.85</v>
      </c>
      <c r="S6965" s="18">
        <v>106.66</v>
      </c>
      <c r="T6965" s="18">
        <v>87.43</v>
      </c>
      <c r="U6965" s="16"/>
      <c r="V6965" s="16"/>
      <c r="W6965" s="16" t="s">
        <v>40</v>
      </c>
      <c r="X6965" s="19">
        <v>5.3999999999999999E-2</v>
      </c>
      <c r="Y6965" s="20">
        <v>3.1700000000000001E-4</v>
      </c>
      <c r="Z6965" s="21">
        <v>4601004135789</v>
      </c>
    </row>
    <row r="6966" spans="1:26" ht="12" customHeight="1" outlineLevel="4" x14ac:dyDescent="0.2">
      <c r="A6966" s="14" t="s">
        <v>13390</v>
      </c>
      <c r="B6966" s="26" t="s">
        <v>13391</v>
      </c>
      <c r="C6966" s="52"/>
      <c r="D6966" s="55">
        <f t="shared" si="108"/>
        <v>0</v>
      </c>
      <c r="E6966" s="63" t="str">
        <f>HYPERLINK("https://www.sds-group.ru/product/shnur-kommutatsionnyy-patch-kord-f-utp-rj45-rj45-cat-5e-lszh-seryy-1m-rexant-18-8002-1/", "Инфо")</f>
        <v>Инфо</v>
      </c>
      <c r="F6966" s="16" t="s">
        <v>39</v>
      </c>
      <c r="G6966" s="15"/>
      <c r="H6966" s="15"/>
      <c r="I6966" s="15"/>
      <c r="J6966" s="22">
        <v>3936</v>
      </c>
      <c r="K6966" s="15" t="s">
        <v>1004</v>
      </c>
      <c r="L6966" s="17">
        <v>10</v>
      </c>
      <c r="M6966" s="17">
        <v>250</v>
      </c>
      <c r="N6966" s="17">
        <v>10</v>
      </c>
      <c r="O6966" s="18">
        <v>143.76</v>
      </c>
      <c r="P6966" s="18">
        <v>117.84</v>
      </c>
      <c r="Q6966" s="18">
        <v>122.2</v>
      </c>
      <c r="R6966" s="18">
        <v>100.16</v>
      </c>
      <c r="S6966" s="18">
        <v>86.26</v>
      </c>
      <c r="T6966" s="18">
        <v>70.7</v>
      </c>
      <c r="U6966" s="16"/>
      <c r="V6966" s="16"/>
      <c r="W6966" s="16" t="s">
        <v>40</v>
      </c>
      <c r="X6966" s="19">
        <v>0.04</v>
      </c>
      <c r="Y6966" s="20">
        <v>2.6800000000000001E-4</v>
      </c>
      <c r="Z6966" s="21">
        <v>4601004135772</v>
      </c>
    </row>
    <row r="6967" spans="1:26" ht="12" customHeight="1" outlineLevel="4" x14ac:dyDescent="0.2">
      <c r="A6967" s="14" t="s">
        <v>13392</v>
      </c>
      <c r="B6967" s="26" t="s">
        <v>13393</v>
      </c>
      <c r="C6967" s="52"/>
      <c r="D6967" s="55">
        <f t="shared" si="108"/>
        <v>0</v>
      </c>
      <c r="E6967" s="63" t="str">
        <f>HYPERLINK("https://www.sds-group.ru/product/shnur-kommutatsionnyy-patch-kord-f-utp-rj45-rj45-cat-5e-lszh-seryy-2m-rexant-18-8005-1/", "Инфо")</f>
        <v>Инфо</v>
      </c>
      <c r="F6967" s="16" t="s">
        <v>39</v>
      </c>
      <c r="G6967" s="15"/>
      <c r="H6967" s="15"/>
      <c r="I6967" s="15"/>
      <c r="J6967" s="17">
        <v>537</v>
      </c>
      <c r="K6967" s="15" t="s">
        <v>1004</v>
      </c>
      <c r="L6967" s="17">
        <v>5</v>
      </c>
      <c r="M6967" s="17">
        <v>150</v>
      </c>
      <c r="N6967" s="17">
        <v>5</v>
      </c>
      <c r="O6967" s="18">
        <v>222.67</v>
      </c>
      <c r="P6967" s="18">
        <v>182.52</v>
      </c>
      <c r="Q6967" s="18">
        <v>189.27</v>
      </c>
      <c r="R6967" s="18">
        <v>155.13999999999999</v>
      </c>
      <c r="S6967" s="18">
        <v>133.6</v>
      </c>
      <c r="T6967" s="18">
        <v>109.51</v>
      </c>
      <c r="U6967" s="16"/>
      <c r="V6967" s="16"/>
      <c r="W6967" s="16" t="s">
        <v>40</v>
      </c>
      <c r="X6967" s="19">
        <v>6.4000000000000001E-2</v>
      </c>
      <c r="Y6967" s="20">
        <v>2.1699999999999999E-4</v>
      </c>
      <c r="Z6967" s="21">
        <v>4601004135796</v>
      </c>
    </row>
    <row r="6968" spans="1:26" ht="12" customHeight="1" outlineLevel="4" x14ac:dyDescent="0.2">
      <c r="A6968" s="14" t="s">
        <v>13394</v>
      </c>
      <c r="B6968" s="26" t="s">
        <v>13395</v>
      </c>
      <c r="C6968" s="52"/>
      <c r="D6968" s="55">
        <f t="shared" si="108"/>
        <v>0</v>
      </c>
      <c r="E6968" s="63" t="str">
        <f>HYPERLINK("https://www.sds-group.ru/product/shnur-kommutatsionnyy-patch-kord-f-utp-rj45-rj45-cat-5e-lszh-seryy-3m-rexant-18-8006-1/", "Инфо")</f>
        <v>Инфо</v>
      </c>
      <c r="F6968" s="16" t="s">
        <v>39</v>
      </c>
      <c r="G6968" s="15"/>
      <c r="H6968" s="15"/>
      <c r="I6968" s="15"/>
      <c r="J6968" s="22">
        <v>1385</v>
      </c>
      <c r="K6968" s="15" t="s">
        <v>1004</v>
      </c>
      <c r="L6968" s="17">
        <v>5</v>
      </c>
      <c r="M6968" s="17">
        <v>100</v>
      </c>
      <c r="N6968" s="17">
        <v>5</v>
      </c>
      <c r="O6968" s="18">
        <v>278.19</v>
      </c>
      <c r="P6968" s="18">
        <v>228.02</v>
      </c>
      <c r="Q6968" s="18">
        <v>236.46</v>
      </c>
      <c r="R6968" s="18">
        <v>193.82</v>
      </c>
      <c r="S6968" s="18">
        <v>166.91</v>
      </c>
      <c r="T6968" s="18">
        <v>136.81</v>
      </c>
      <c r="U6968" s="16"/>
      <c r="V6968" s="16"/>
      <c r="W6968" s="16" t="s">
        <v>40</v>
      </c>
      <c r="X6968" s="19">
        <v>8.6999999999999994E-2</v>
      </c>
      <c r="Y6968" s="20">
        <v>4.5800000000000002E-4</v>
      </c>
      <c r="Z6968" s="21">
        <v>4601004135802</v>
      </c>
    </row>
    <row r="6969" spans="1:26" ht="12" customHeight="1" outlineLevel="4" x14ac:dyDescent="0.2">
      <c r="A6969" s="14" t="s">
        <v>13396</v>
      </c>
      <c r="B6969" s="26" t="s">
        <v>13397</v>
      </c>
      <c r="C6969" s="52"/>
      <c r="D6969" s="55">
        <f t="shared" si="108"/>
        <v>0</v>
      </c>
      <c r="E6969" s="63" t="str">
        <f>HYPERLINK("https://www.sds-group.ru/product/shnur-kommutatsionnyy-patch-kord-f-utp-rj45-rj45-cat-5e-lszh-seryy-5m-rexant-18-8007-1/", "Инфо")</f>
        <v>Инфо</v>
      </c>
      <c r="F6969" s="16" t="s">
        <v>39</v>
      </c>
      <c r="G6969" s="15"/>
      <c r="H6969" s="15"/>
      <c r="I6969" s="15"/>
      <c r="J6969" s="16" t="s">
        <v>100</v>
      </c>
      <c r="K6969" s="15" t="s">
        <v>1004</v>
      </c>
      <c r="L6969" s="17">
        <v>10</v>
      </c>
      <c r="M6969" s="17">
        <v>100</v>
      </c>
      <c r="N6969" s="17">
        <v>10</v>
      </c>
      <c r="O6969" s="18">
        <v>407.35</v>
      </c>
      <c r="P6969" s="18">
        <v>333.89</v>
      </c>
      <c r="Q6969" s="18">
        <v>346.25</v>
      </c>
      <c r="R6969" s="18">
        <v>283.81</v>
      </c>
      <c r="S6969" s="18">
        <v>244.41</v>
      </c>
      <c r="T6969" s="18">
        <v>200.34</v>
      </c>
      <c r="U6969" s="16"/>
      <c r="V6969" s="16"/>
      <c r="W6969" s="16" t="s">
        <v>40</v>
      </c>
      <c r="X6969" s="19">
        <v>0.13800000000000001</v>
      </c>
      <c r="Y6969" s="20">
        <v>6.7900000000000002E-4</v>
      </c>
      <c r="Z6969" s="21">
        <v>4601004135819</v>
      </c>
    </row>
    <row r="6970" spans="1:26" ht="12.95" customHeight="1" outlineLevel="3" x14ac:dyDescent="0.2">
      <c r="A6970" s="76" t="s">
        <v>13398</v>
      </c>
      <c r="B6970" s="76"/>
      <c r="C6970" s="77"/>
      <c r="D6970" s="58"/>
      <c r="E6970" s="68"/>
      <c r="F6970" s="13"/>
      <c r="G6970" s="13"/>
      <c r="H6970" s="13"/>
      <c r="I6970" s="13"/>
      <c r="J6970" s="13"/>
      <c r="K6970" s="13"/>
      <c r="L6970" s="13"/>
      <c r="M6970" s="13"/>
      <c r="N6970" s="13"/>
      <c r="O6970" s="13"/>
      <c r="P6970" s="13"/>
      <c r="Q6970" s="13"/>
      <c r="R6970" s="13"/>
      <c r="S6970" s="13"/>
      <c r="T6970" s="13"/>
      <c r="U6970" s="13"/>
      <c r="V6970" s="13"/>
      <c r="W6970" s="13"/>
      <c r="X6970" s="13"/>
      <c r="Y6970" s="13"/>
      <c r="Z6970" s="13"/>
    </row>
    <row r="6971" spans="1:26" ht="12" customHeight="1" outlineLevel="4" x14ac:dyDescent="0.2">
      <c r="A6971" s="32" t="s">
        <v>13399</v>
      </c>
      <c r="B6971" s="74" t="s">
        <v>13400</v>
      </c>
      <c r="C6971" s="50"/>
      <c r="D6971" s="53">
        <f t="shared" si="108"/>
        <v>0</v>
      </c>
      <c r="E6971" s="60" t="str">
        <f>HYPERLINK("https://www.sds-group.ru/product/shnur-kommutatsionnyy-patch-kord-f-utp-rj45-rj45-cat-6-lszh-seryy-1m-rexant-18-8102-1/", "Инфо")</f>
        <v>Инфо</v>
      </c>
      <c r="F6971" s="34" t="s">
        <v>39</v>
      </c>
      <c r="G6971" s="33"/>
      <c r="H6971" s="33" t="s">
        <v>40</v>
      </c>
      <c r="I6971" s="33"/>
      <c r="J6971" s="34" t="s">
        <v>100</v>
      </c>
      <c r="K6971" s="33"/>
      <c r="L6971" s="35">
        <v>1</v>
      </c>
      <c r="M6971" s="35">
        <v>250</v>
      </c>
      <c r="N6971" s="35">
        <v>1</v>
      </c>
      <c r="O6971" s="36">
        <v>246.25</v>
      </c>
      <c r="P6971" s="36">
        <v>201.84</v>
      </c>
      <c r="Q6971" s="36">
        <v>172.38</v>
      </c>
      <c r="R6971" s="36">
        <v>141.30000000000001</v>
      </c>
      <c r="S6971" s="36">
        <v>147.75</v>
      </c>
      <c r="T6971" s="36">
        <v>121.11</v>
      </c>
      <c r="U6971" s="34"/>
      <c r="V6971" s="34"/>
      <c r="W6971" s="34"/>
      <c r="X6971" s="37">
        <v>3.7999999999999999E-2</v>
      </c>
      <c r="Y6971" s="38">
        <v>1.65E-4</v>
      </c>
      <c r="Z6971" s="21">
        <v>4601004135833</v>
      </c>
    </row>
    <row r="6972" spans="1:26" ht="12" customHeight="1" outlineLevel="4" x14ac:dyDescent="0.2">
      <c r="A6972" s="32" t="s">
        <v>13401</v>
      </c>
      <c r="B6972" s="74" t="s">
        <v>13402</v>
      </c>
      <c r="C6972" s="50"/>
      <c r="D6972" s="53">
        <f t="shared" si="108"/>
        <v>0</v>
      </c>
      <c r="E6972" s="60" t="str">
        <f>HYPERLINK("https://www.sds-group.ru/product/shnur-kommutatsionnyy-patch-kord-f-utp-rj45-rj45-cat-6-lszh-seryy-3m-rexant-18-8106-1/", "Инфо")</f>
        <v>Инфо</v>
      </c>
      <c r="F6972" s="34" t="s">
        <v>39</v>
      </c>
      <c r="G6972" s="33"/>
      <c r="H6972" s="33" t="s">
        <v>40</v>
      </c>
      <c r="I6972" s="33"/>
      <c r="J6972" s="35">
        <v>227</v>
      </c>
      <c r="K6972" s="33"/>
      <c r="L6972" s="35">
        <v>1</v>
      </c>
      <c r="M6972" s="35">
        <v>100</v>
      </c>
      <c r="N6972" s="35">
        <v>1</v>
      </c>
      <c r="O6972" s="36">
        <v>398.54</v>
      </c>
      <c r="P6972" s="36">
        <v>326.67</v>
      </c>
      <c r="Q6972" s="36">
        <v>278.98</v>
      </c>
      <c r="R6972" s="36">
        <v>228.67</v>
      </c>
      <c r="S6972" s="36">
        <v>239.12</v>
      </c>
      <c r="T6972" s="36">
        <v>196</v>
      </c>
      <c r="U6972" s="34"/>
      <c r="V6972" s="34"/>
      <c r="W6972" s="34"/>
      <c r="X6972" s="37">
        <v>0.10299999999999999</v>
      </c>
      <c r="Y6972" s="38">
        <v>6.6100000000000002E-4</v>
      </c>
      <c r="Z6972" s="21">
        <v>4601004135864</v>
      </c>
    </row>
    <row r="6973" spans="1:26" ht="12" customHeight="1" outlineLevel="4" x14ac:dyDescent="0.2">
      <c r="A6973" s="32" t="s">
        <v>13403</v>
      </c>
      <c r="B6973" s="74" t="s">
        <v>13404</v>
      </c>
      <c r="C6973" s="50"/>
      <c r="D6973" s="53">
        <f t="shared" si="108"/>
        <v>0</v>
      </c>
      <c r="E6973" s="60" t="str">
        <f>HYPERLINK("https://www.sds-group.ru/product/shnur-kommutatsionnyy-patch-kord-f-utp-rj45-rj45-cat-6-lszh-seryy-5m-rexant-18-8107-1/", "Инфо")</f>
        <v>Инфо</v>
      </c>
      <c r="F6973" s="34" t="s">
        <v>39</v>
      </c>
      <c r="G6973" s="33"/>
      <c r="H6973" s="33" t="s">
        <v>40</v>
      </c>
      <c r="I6973" s="33"/>
      <c r="J6973" s="35">
        <v>747</v>
      </c>
      <c r="K6973" s="33"/>
      <c r="L6973" s="35">
        <v>1</v>
      </c>
      <c r="M6973" s="35">
        <v>100</v>
      </c>
      <c r="N6973" s="35">
        <v>1</v>
      </c>
      <c r="O6973" s="36">
        <v>643.48</v>
      </c>
      <c r="P6973" s="36">
        <v>527.44000000000005</v>
      </c>
      <c r="Q6973" s="36">
        <v>450.44</v>
      </c>
      <c r="R6973" s="36">
        <v>369.21</v>
      </c>
      <c r="S6973" s="36">
        <v>386.09</v>
      </c>
      <c r="T6973" s="36">
        <v>316.47000000000003</v>
      </c>
      <c r="U6973" s="34"/>
      <c r="V6973" s="34"/>
      <c r="W6973" s="34"/>
      <c r="X6973" s="37">
        <v>0.14199999999999999</v>
      </c>
      <c r="Y6973" s="38">
        <v>5.9500000000000004E-4</v>
      </c>
      <c r="Z6973" s="21">
        <v>4601004135871</v>
      </c>
    </row>
    <row r="6974" spans="1:26" ht="12.95" customHeight="1" outlineLevel="1" x14ac:dyDescent="0.2">
      <c r="A6974" s="78" t="s">
        <v>13405</v>
      </c>
      <c r="B6974" s="78"/>
      <c r="C6974" s="79"/>
      <c r="D6974" s="57"/>
      <c r="E6974" s="67"/>
      <c r="F6974" s="12"/>
      <c r="G6974" s="12"/>
      <c r="H6974" s="12"/>
      <c r="I6974" s="12"/>
      <c r="J6974" s="12"/>
      <c r="K6974" s="12"/>
      <c r="L6974" s="12"/>
      <c r="M6974" s="12"/>
      <c r="N6974" s="12"/>
      <c r="O6974" s="12"/>
      <c r="P6974" s="12"/>
      <c r="Q6974" s="12"/>
      <c r="R6974" s="12"/>
      <c r="S6974" s="12"/>
      <c r="T6974" s="12"/>
      <c r="U6974" s="12"/>
      <c r="V6974" s="12"/>
      <c r="W6974" s="12"/>
      <c r="X6974" s="12"/>
      <c r="Y6974" s="12"/>
      <c r="Z6974" s="12"/>
    </row>
    <row r="6975" spans="1:26" ht="12.95" customHeight="1" outlineLevel="2" x14ac:dyDescent="0.2">
      <c r="A6975" s="76" t="s">
        <v>13406</v>
      </c>
      <c r="B6975" s="76"/>
      <c r="C6975" s="77"/>
      <c r="D6975" s="58"/>
      <c r="E6975" s="68"/>
      <c r="F6975" s="13"/>
      <c r="G6975" s="13"/>
      <c r="H6975" s="13"/>
      <c r="I6975" s="13"/>
      <c r="J6975" s="13"/>
      <c r="K6975" s="13"/>
      <c r="L6975" s="13"/>
      <c r="M6975" s="13"/>
      <c r="N6975" s="13"/>
      <c r="O6975" s="13"/>
      <c r="P6975" s="13"/>
      <c r="Q6975" s="13"/>
      <c r="R6975" s="13"/>
      <c r="S6975" s="13"/>
      <c r="T6975" s="13"/>
      <c r="U6975" s="13"/>
      <c r="V6975" s="13"/>
      <c r="W6975" s="13"/>
      <c r="X6975" s="13"/>
      <c r="Y6975" s="13"/>
      <c r="Z6975" s="13"/>
    </row>
    <row r="6976" spans="1:26" ht="12.95" customHeight="1" outlineLevel="3" x14ac:dyDescent="0.2">
      <c r="A6976" s="76" t="s">
        <v>13407</v>
      </c>
      <c r="B6976" s="76"/>
      <c r="C6976" s="77"/>
      <c r="D6976" s="58"/>
      <c r="E6976" s="68"/>
      <c r="F6976" s="13"/>
      <c r="G6976" s="13"/>
      <c r="H6976" s="13"/>
      <c r="I6976" s="13"/>
      <c r="J6976" s="13"/>
      <c r="K6976" s="13"/>
      <c r="L6976" s="13"/>
      <c r="M6976" s="13"/>
      <c r="N6976" s="13"/>
      <c r="O6976" s="13"/>
      <c r="P6976" s="13"/>
      <c r="Q6976" s="13"/>
      <c r="R6976" s="13"/>
      <c r="S6976" s="13"/>
      <c r="T6976" s="13"/>
      <c r="U6976" s="13"/>
      <c r="V6976" s="13"/>
      <c r="W6976" s="13"/>
      <c r="X6976" s="13"/>
      <c r="Y6976" s="13"/>
      <c r="Z6976" s="13"/>
    </row>
    <row r="6977" spans="1:26" ht="12" customHeight="1" outlineLevel="4" x14ac:dyDescent="0.2">
      <c r="A6977" s="14" t="s">
        <v>13408</v>
      </c>
      <c r="B6977" s="26" t="s">
        <v>13409</v>
      </c>
      <c r="C6977" s="52"/>
      <c r="D6977" s="55">
        <f t="shared" si="108"/>
        <v>0</v>
      </c>
      <c r="E6977" s="63" t="str">
        <f>HYPERLINK("https://www.sds-group.ru/product/nastennyy-telekommunikatsionnyy-shkaf-19-6u-600-600-370mm-dver-metall-s-zadney-stenkoy-razbo-04-2230/", "Инфо")</f>
        <v>Инфо</v>
      </c>
      <c r="F6977" s="16" t="s">
        <v>39</v>
      </c>
      <c r="G6977" s="15"/>
      <c r="H6977" s="15"/>
      <c r="I6977" s="15" t="s">
        <v>13410</v>
      </c>
      <c r="J6977" s="16" t="s">
        <v>100</v>
      </c>
      <c r="K6977" s="15"/>
      <c r="L6977" s="17">
        <v>5</v>
      </c>
      <c r="M6977" s="17">
        <v>5</v>
      </c>
      <c r="N6977" s="17">
        <v>5</v>
      </c>
      <c r="O6977" s="18">
        <v>23064.14</v>
      </c>
      <c r="P6977" s="18">
        <v>18905.03</v>
      </c>
      <c r="Q6977" s="18">
        <v>16836.82</v>
      </c>
      <c r="R6977" s="18">
        <v>13800.67</v>
      </c>
      <c r="S6977" s="18">
        <v>15683.62</v>
      </c>
      <c r="T6977" s="18">
        <v>12855.43</v>
      </c>
      <c r="U6977" s="16"/>
      <c r="V6977" s="16"/>
      <c r="W6977" s="16" t="s">
        <v>40</v>
      </c>
      <c r="X6977" s="19">
        <v>18.5</v>
      </c>
      <c r="Y6977" s="20">
        <v>5.6000000000000001E-2</v>
      </c>
      <c r="Z6977" s="21">
        <v>4601004100657</v>
      </c>
    </row>
    <row r="6978" spans="1:26" ht="12.95" customHeight="1" outlineLevel="3" x14ac:dyDescent="0.2">
      <c r="A6978" s="76" t="s">
        <v>13411</v>
      </c>
      <c r="B6978" s="76"/>
      <c r="C6978" s="77"/>
      <c r="D6978" s="58"/>
      <c r="E6978" s="68"/>
      <c r="F6978" s="13"/>
      <c r="G6978" s="13"/>
      <c r="H6978" s="13"/>
      <c r="I6978" s="13"/>
      <c r="J6978" s="13"/>
      <c r="K6978" s="13"/>
      <c r="L6978" s="13"/>
      <c r="M6978" s="13"/>
      <c r="N6978" s="13"/>
      <c r="O6978" s="13"/>
      <c r="P6978" s="13"/>
      <c r="Q6978" s="13"/>
      <c r="R6978" s="13"/>
      <c r="S6978" s="13"/>
      <c r="T6978" s="13"/>
      <c r="U6978" s="13"/>
      <c r="V6978" s="13"/>
      <c r="W6978" s="13"/>
      <c r="X6978" s="13"/>
      <c r="Y6978" s="13"/>
      <c r="Z6978" s="13"/>
    </row>
    <row r="6979" spans="1:26" ht="12" customHeight="1" outlineLevel="4" x14ac:dyDescent="0.2">
      <c r="A6979" s="14" t="s">
        <v>13412</v>
      </c>
      <c r="B6979" s="26" t="s">
        <v>13413</v>
      </c>
      <c r="C6979" s="52"/>
      <c r="D6979" s="55">
        <f t="shared" si="108"/>
        <v>0</v>
      </c>
      <c r="E6979" s="63" t="str">
        <f>HYPERLINK("https://www.sds-group.ru/product/nastennyy-telekommunikatsionnyy-shkaf-19-6u-600-450-370mm-dver-metall-s-zadney-stenkoy-razbo-04-2210/", "Инфо")</f>
        <v>Инфо</v>
      </c>
      <c r="F6979" s="16" t="s">
        <v>39</v>
      </c>
      <c r="G6979" s="15"/>
      <c r="H6979" s="15"/>
      <c r="I6979" s="15" t="s">
        <v>13414</v>
      </c>
      <c r="J6979" s="17">
        <v>5</v>
      </c>
      <c r="K6979" s="15"/>
      <c r="L6979" s="17">
        <v>1</v>
      </c>
      <c r="M6979" s="17">
        <v>5</v>
      </c>
      <c r="N6979" s="17">
        <v>1</v>
      </c>
      <c r="O6979" s="18">
        <v>21013.200000000001</v>
      </c>
      <c r="P6979" s="18">
        <v>17223.93</v>
      </c>
      <c r="Q6979" s="18">
        <v>15339.64</v>
      </c>
      <c r="R6979" s="18">
        <v>12573.48</v>
      </c>
      <c r="S6979" s="18">
        <v>14288.98</v>
      </c>
      <c r="T6979" s="18">
        <v>11712.28</v>
      </c>
      <c r="U6979" s="16"/>
      <c r="V6979" s="16"/>
      <c r="W6979" s="16" t="s">
        <v>40</v>
      </c>
      <c r="X6979" s="19">
        <v>16</v>
      </c>
      <c r="Y6979" s="20">
        <v>5.0999999999999997E-2</v>
      </c>
      <c r="Z6979" s="21">
        <v>4601004100640</v>
      </c>
    </row>
    <row r="6980" spans="1:26" ht="12.95" customHeight="1" outlineLevel="3" x14ac:dyDescent="0.2">
      <c r="A6980" s="76" t="s">
        <v>13415</v>
      </c>
      <c r="B6980" s="76"/>
      <c r="C6980" s="77"/>
      <c r="D6980" s="58"/>
      <c r="E6980" s="68"/>
      <c r="F6980" s="13"/>
      <c r="G6980" s="13"/>
      <c r="H6980" s="13"/>
      <c r="I6980" s="13"/>
      <c r="J6980" s="13"/>
      <c r="K6980" s="13"/>
      <c r="L6980" s="13"/>
      <c r="M6980" s="13"/>
      <c r="N6980" s="13"/>
      <c r="O6980" s="13"/>
      <c r="P6980" s="13"/>
      <c r="Q6980" s="13"/>
      <c r="R6980" s="13"/>
      <c r="S6980" s="13"/>
      <c r="T6980" s="13"/>
      <c r="U6980" s="13"/>
      <c r="V6980" s="13"/>
      <c r="W6980" s="13"/>
      <c r="X6980" s="13"/>
      <c r="Y6980" s="13"/>
      <c r="Z6980" s="13"/>
    </row>
    <row r="6981" spans="1:26" ht="12" customHeight="1" outlineLevel="4" x14ac:dyDescent="0.2">
      <c r="A6981" s="14" t="s">
        <v>13416</v>
      </c>
      <c r="B6981" s="26" t="s">
        <v>13417</v>
      </c>
      <c r="C6981" s="52"/>
      <c r="D6981" s="55">
        <f t="shared" si="108"/>
        <v>0</v>
      </c>
      <c r="E6981" s="63" t="str">
        <f>HYPERLINK("https://www.sds-group.ru/product/nastennyy-telekommunikatsionnyy-shkaf-19-12u-600-450-635mm-dver-metall-s-zadney-stenkoy-razb-04-2212/", "Инфо")</f>
        <v>Инфо</v>
      </c>
      <c r="F6981" s="16" t="s">
        <v>39</v>
      </c>
      <c r="G6981" s="15"/>
      <c r="H6981" s="15"/>
      <c r="I6981" s="15" t="s">
        <v>13410</v>
      </c>
      <c r="J6981" s="16" t="s">
        <v>100</v>
      </c>
      <c r="K6981" s="15"/>
      <c r="L6981" s="17">
        <v>5</v>
      </c>
      <c r="M6981" s="17">
        <v>5</v>
      </c>
      <c r="N6981" s="17">
        <v>5</v>
      </c>
      <c r="O6981" s="18">
        <v>30184.67</v>
      </c>
      <c r="P6981" s="18">
        <v>24741.53</v>
      </c>
      <c r="Q6981" s="18">
        <v>22034.81</v>
      </c>
      <c r="R6981" s="18">
        <v>18061.32</v>
      </c>
      <c r="S6981" s="18">
        <v>20525.580000000002</v>
      </c>
      <c r="T6981" s="18">
        <v>16824.25</v>
      </c>
      <c r="U6981" s="16"/>
      <c r="V6981" s="16"/>
      <c r="W6981" s="16" t="s">
        <v>40</v>
      </c>
      <c r="X6981" s="19">
        <v>24</v>
      </c>
      <c r="Y6981" s="20">
        <v>7.1999999999999995E-2</v>
      </c>
      <c r="Z6981" s="21">
        <v>4601004100558</v>
      </c>
    </row>
    <row r="6982" spans="1:26" ht="12" customHeight="1" outlineLevel="4" x14ac:dyDescent="0.2">
      <c r="A6982" s="14" t="s">
        <v>13418</v>
      </c>
      <c r="B6982" s="26" t="s">
        <v>13419</v>
      </c>
      <c r="C6982" s="52"/>
      <c r="D6982" s="55">
        <f t="shared" si="108"/>
        <v>0</v>
      </c>
      <c r="E6982" s="63" t="str">
        <f>HYPERLINK("https://www.sds-group.ru/product/nastennyy-telekommunikatsionnyy-shkaf-19-12u-600-450-635mm-dver-steklo-s-zadney-stenkoy-razb-04-2202/", "Инфо")</f>
        <v>Инфо</v>
      </c>
      <c r="F6982" s="16" t="s">
        <v>39</v>
      </c>
      <c r="G6982" s="15"/>
      <c r="H6982" s="15"/>
      <c r="I6982" s="15" t="s">
        <v>13414</v>
      </c>
      <c r="J6982" s="16" t="s">
        <v>100</v>
      </c>
      <c r="K6982" s="15"/>
      <c r="L6982" s="17">
        <v>5</v>
      </c>
      <c r="M6982" s="17">
        <v>5</v>
      </c>
      <c r="N6982" s="17">
        <v>5</v>
      </c>
      <c r="O6982" s="18">
        <v>31693.79</v>
      </c>
      <c r="P6982" s="18">
        <v>25978.52</v>
      </c>
      <c r="Q6982" s="18">
        <v>23136.47</v>
      </c>
      <c r="R6982" s="18">
        <v>18964.32</v>
      </c>
      <c r="S6982" s="18">
        <v>21551.78</v>
      </c>
      <c r="T6982" s="18">
        <v>17665.39</v>
      </c>
      <c r="U6982" s="16"/>
      <c r="V6982" s="16"/>
      <c r="W6982" s="16" t="s">
        <v>40</v>
      </c>
      <c r="X6982" s="19">
        <v>23.917000000000002</v>
      </c>
      <c r="Y6982" s="20">
        <v>8.8279999999999997E-2</v>
      </c>
      <c r="Z6982" s="21">
        <v>4601004100572</v>
      </c>
    </row>
    <row r="6983" spans="1:26" ht="12.95" customHeight="1" outlineLevel="3" x14ac:dyDescent="0.2">
      <c r="A6983" s="76" t="s">
        <v>13420</v>
      </c>
      <c r="B6983" s="76"/>
      <c r="C6983" s="77"/>
      <c r="D6983" s="58"/>
      <c r="E6983" s="68"/>
      <c r="F6983" s="13"/>
      <c r="G6983" s="13"/>
      <c r="H6983" s="13"/>
      <c r="I6983" s="13"/>
      <c r="J6983" s="13"/>
      <c r="K6983" s="13"/>
      <c r="L6983" s="13"/>
      <c r="M6983" s="13"/>
      <c r="N6983" s="13"/>
      <c r="O6983" s="13"/>
      <c r="P6983" s="13"/>
      <c r="Q6983" s="13"/>
      <c r="R6983" s="13"/>
      <c r="S6983" s="13"/>
      <c r="T6983" s="13"/>
      <c r="U6983" s="13"/>
      <c r="V6983" s="13"/>
      <c r="W6983" s="13"/>
      <c r="X6983" s="13"/>
      <c r="Y6983" s="13"/>
      <c r="Z6983" s="13"/>
    </row>
    <row r="6984" spans="1:26" ht="12" customHeight="1" outlineLevel="4" x14ac:dyDescent="0.2">
      <c r="A6984" s="14" t="s">
        <v>13421</v>
      </c>
      <c r="B6984" s="26" t="s">
        <v>13422</v>
      </c>
      <c r="C6984" s="52"/>
      <c r="D6984" s="55">
        <f t="shared" si="108"/>
        <v>0</v>
      </c>
      <c r="E6984" s="63" t="str">
        <f>HYPERLINK("https://www.sds-group.ru/product/nastennyy-telekommunikatsionnyy-shkaf-19-15u-600-600-770mm-dver-metall-s-zadney-stenkoy-razb-04-2233/", "Инфо")</f>
        <v>Инфо</v>
      </c>
      <c r="F6984" s="16" t="s">
        <v>39</v>
      </c>
      <c r="G6984" s="15"/>
      <c r="H6984" s="15"/>
      <c r="I6984" s="15" t="s">
        <v>13414</v>
      </c>
      <c r="J6984" s="16" t="s">
        <v>100</v>
      </c>
      <c r="K6984" s="15"/>
      <c r="L6984" s="17">
        <v>5</v>
      </c>
      <c r="M6984" s="17">
        <v>5</v>
      </c>
      <c r="N6984" s="17">
        <v>5</v>
      </c>
      <c r="O6984" s="18">
        <v>33145.96</v>
      </c>
      <c r="P6984" s="18">
        <v>27168.82</v>
      </c>
      <c r="Q6984" s="18">
        <v>24196.55</v>
      </c>
      <c r="R6984" s="18">
        <v>19833.240000000002</v>
      </c>
      <c r="S6984" s="18">
        <v>22539.25</v>
      </c>
      <c r="T6984" s="18">
        <v>18474.8</v>
      </c>
      <c r="U6984" s="16"/>
      <c r="V6984" s="16"/>
      <c r="W6984" s="16" t="s">
        <v>40</v>
      </c>
      <c r="X6984" s="19">
        <v>31</v>
      </c>
      <c r="Y6984" s="20">
        <v>8.5999999999999993E-2</v>
      </c>
      <c r="Z6984" s="21">
        <v>4601004100596</v>
      </c>
    </row>
    <row r="6985" spans="1:26" ht="12" customHeight="1" outlineLevel="4" x14ac:dyDescent="0.2">
      <c r="A6985" s="14" t="s">
        <v>13423</v>
      </c>
      <c r="B6985" s="26" t="s">
        <v>13424</v>
      </c>
      <c r="C6985" s="52"/>
      <c r="D6985" s="55">
        <f t="shared" ref="D6985:D7047" si="109">C6985*(O6985-O6985*$G$3)</f>
        <v>0</v>
      </c>
      <c r="E6985" s="63" t="str">
        <f>HYPERLINK("https://www.sds-group.ru/product/nastennyy-telekommunikatsionnyy-shkaf-19-15u-600-600-770mm-dver-steklo-s-zadney-stenkoy-razb-04-2223/", "Инфо")</f>
        <v>Инфо</v>
      </c>
      <c r="F6985" s="16" t="s">
        <v>39</v>
      </c>
      <c r="G6985" s="15"/>
      <c r="H6985" s="15"/>
      <c r="I6985" s="15" t="s">
        <v>13410</v>
      </c>
      <c r="J6985" s="16" t="s">
        <v>100</v>
      </c>
      <c r="K6985" s="15"/>
      <c r="L6985" s="17">
        <v>1</v>
      </c>
      <c r="M6985" s="17">
        <v>5</v>
      </c>
      <c r="N6985" s="17">
        <v>1</v>
      </c>
      <c r="O6985" s="18">
        <v>34171.199999999997</v>
      </c>
      <c r="P6985" s="18">
        <v>28009.18</v>
      </c>
      <c r="Q6985" s="18">
        <v>24944.98</v>
      </c>
      <c r="R6985" s="18">
        <v>20446.7</v>
      </c>
      <c r="S6985" s="18">
        <v>23236.42</v>
      </c>
      <c r="T6985" s="18">
        <v>19046.25</v>
      </c>
      <c r="U6985" s="16"/>
      <c r="V6985" s="16"/>
      <c r="W6985" s="16" t="s">
        <v>40</v>
      </c>
      <c r="X6985" s="19">
        <v>31</v>
      </c>
      <c r="Y6985" s="20">
        <v>8.5999999999999993E-2</v>
      </c>
      <c r="Z6985" s="21">
        <v>4601004100626</v>
      </c>
    </row>
    <row r="6986" spans="1:26" ht="12.95" customHeight="1" outlineLevel="3" x14ac:dyDescent="0.2">
      <c r="A6986" s="76" t="s">
        <v>13425</v>
      </c>
      <c r="B6986" s="76"/>
      <c r="C6986" s="77"/>
      <c r="D6986" s="58"/>
      <c r="E6986" s="68"/>
      <c r="F6986" s="13"/>
      <c r="G6986" s="13"/>
      <c r="H6986" s="13"/>
      <c r="I6986" s="13"/>
      <c r="J6986" s="13"/>
      <c r="K6986" s="13"/>
      <c r="L6986" s="13"/>
      <c r="M6986" s="13"/>
      <c r="N6986" s="13"/>
      <c r="O6986" s="13"/>
      <c r="P6986" s="13"/>
      <c r="Q6986" s="13"/>
      <c r="R6986" s="13"/>
      <c r="S6986" s="13"/>
      <c r="T6986" s="13"/>
      <c r="U6986" s="13"/>
      <c r="V6986" s="13"/>
      <c r="W6986" s="13"/>
      <c r="X6986" s="13"/>
      <c r="Y6986" s="13"/>
      <c r="Z6986" s="13"/>
    </row>
    <row r="6987" spans="1:26" ht="12" customHeight="1" outlineLevel="4" x14ac:dyDescent="0.2">
      <c r="A6987" s="14" t="s">
        <v>13426</v>
      </c>
      <c r="B6987" s="26" t="s">
        <v>13427</v>
      </c>
      <c r="C6987" s="52"/>
      <c r="D6987" s="55">
        <f t="shared" si="109"/>
        <v>0</v>
      </c>
      <c r="E6987" s="63" t="str">
        <f>HYPERLINK("https://www.sds-group.ru/product/nastennyy-telekommunikatsionnyy-shkaf-19-15u-600-450-770mm-dver-metall-s-zadney-stenkoy-razb-04-2213/", "Инфо")</f>
        <v>Инфо</v>
      </c>
      <c r="F6987" s="16" t="s">
        <v>39</v>
      </c>
      <c r="G6987" s="15"/>
      <c r="H6987" s="15"/>
      <c r="I6987" s="15" t="s">
        <v>13414</v>
      </c>
      <c r="J6987" s="16" t="s">
        <v>100</v>
      </c>
      <c r="K6987" s="15"/>
      <c r="L6987" s="17">
        <v>5</v>
      </c>
      <c r="M6987" s="17">
        <v>5</v>
      </c>
      <c r="N6987" s="17">
        <v>5</v>
      </c>
      <c r="O6987" s="18">
        <v>29003.31</v>
      </c>
      <c r="P6987" s="18">
        <v>23773.200000000001</v>
      </c>
      <c r="Q6987" s="18">
        <v>21172.42</v>
      </c>
      <c r="R6987" s="18">
        <v>17354.439999999999</v>
      </c>
      <c r="S6987" s="18">
        <v>19722.25</v>
      </c>
      <c r="T6987" s="18">
        <v>16165.78</v>
      </c>
      <c r="U6987" s="16"/>
      <c r="V6987" s="16"/>
      <c r="W6987" s="16" t="s">
        <v>40</v>
      </c>
      <c r="X6987" s="19">
        <v>27</v>
      </c>
      <c r="Y6987" s="20">
        <v>8.5999999999999993E-2</v>
      </c>
      <c r="Z6987" s="21">
        <v>4601004100619</v>
      </c>
    </row>
    <row r="6988" spans="1:26" ht="12" customHeight="1" outlineLevel="4" x14ac:dyDescent="0.2">
      <c r="A6988" s="14" t="s">
        <v>13428</v>
      </c>
      <c r="B6988" s="26" t="s">
        <v>13429</v>
      </c>
      <c r="C6988" s="52"/>
      <c r="D6988" s="55">
        <f t="shared" si="109"/>
        <v>0</v>
      </c>
      <c r="E6988" s="63" t="str">
        <f>HYPERLINK("https://www.sds-group.ru/product/nastennyy-telekommunikatsionnyy-shkaf-19-15u-600-450-770mm-dver-steklo-s-zadney-stenkoy-razb-04-2203/", "Инфо")</f>
        <v>Инфо</v>
      </c>
      <c r="F6988" s="16" t="s">
        <v>39</v>
      </c>
      <c r="G6988" s="15"/>
      <c r="H6988" s="15"/>
      <c r="I6988" s="15" t="s">
        <v>13410</v>
      </c>
      <c r="J6988" s="16" t="s">
        <v>100</v>
      </c>
      <c r="K6988" s="15"/>
      <c r="L6988" s="17">
        <v>5</v>
      </c>
      <c r="M6988" s="17">
        <v>5</v>
      </c>
      <c r="N6988" s="17">
        <v>5</v>
      </c>
      <c r="O6988" s="18">
        <v>29003.31</v>
      </c>
      <c r="P6988" s="18">
        <v>23773.200000000001</v>
      </c>
      <c r="Q6988" s="18">
        <v>21172.42</v>
      </c>
      <c r="R6988" s="18">
        <v>17354.439999999999</v>
      </c>
      <c r="S6988" s="18">
        <v>19722.25</v>
      </c>
      <c r="T6988" s="18">
        <v>16165.78</v>
      </c>
      <c r="U6988" s="16"/>
      <c r="V6988" s="16"/>
      <c r="W6988" s="16" t="s">
        <v>40</v>
      </c>
      <c r="X6988" s="19">
        <v>27</v>
      </c>
      <c r="Y6988" s="20">
        <v>8.5999999999999993E-2</v>
      </c>
      <c r="Z6988" s="21">
        <v>4601004100602</v>
      </c>
    </row>
    <row r="6989" spans="1:26" ht="12.95" customHeight="1" outlineLevel="3" x14ac:dyDescent="0.2">
      <c r="A6989" s="76" t="s">
        <v>13430</v>
      </c>
      <c r="B6989" s="76"/>
      <c r="C6989" s="77"/>
      <c r="D6989" s="58"/>
      <c r="E6989" s="68"/>
      <c r="F6989" s="13"/>
      <c r="G6989" s="13"/>
      <c r="H6989" s="13"/>
      <c r="I6989" s="13"/>
      <c r="J6989" s="13"/>
      <c r="K6989" s="13"/>
      <c r="L6989" s="13"/>
      <c r="M6989" s="13"/>
      <c r="N6989" s="13"/>
      <c r="O6989" s="13"/>
      <c r="P6989" s="13"/>
      <c r="Q6989" s="13"/>
      <c r="R6989" s="13"/>
      <c r="S6989" s="13"/>
      <c r="T6989" s="13"/>
      <c r="U6989" s="13"/>
      <c r="V6989" s="13"/>
      <c r="W6989" s="13"/>
      <c r="X6989" s="13"/>
      <c r="Y6989" s="13"/>
      <c r="Z6989" s="13"/>
    </row>
    <row r="6990" spans="1:26" ht="12" customHeight="1" outlineLevel="4" x14ac:dyDescent="0.2">
      <c r="A6990" s="14" t="s">
        <v>13431</v>
      </c>
      <c r="B6990" s="26" t="s">
        <v>13432</v>
      </c>
      <c r="C6990" s="52"/>
      <c r="D6990" s="55">
        <f t="shared" si="109"/>
        <v>0</v>
      </c>
      <c r="E6990" s="63" t="str">
        <f>HYPERLINK("https://www.sds-group.ru/product/nastennyy-telekommunikatsionnyy-shkaf-19-18u-600-450-964mm-dver-metall-s-zadney-stenkoy-razb-04-2214/", "Инфо")</f>
        <v>Инфо</v>
      </c>
      <c r="F6990" s="16" t="s">
        <v>39</v>
      </c>
      <c r="G6990" s="15"/>
      <c r="H6990" s="15"/>
      <c r="I6990" s="15" t="s">
        <v>13414</v>
      </c>
      <c r="J6990" s="16" t="s">
        <v>100</v>
      </c>
      <c r="K6990" s="15"/>
      <c r="L6990" s="17">
        <v>5</v>
      </c>
      <c r="M6990" s="17">
        <v>5</v>
      </c>
      <c r="N6990" s="17">
        <v>5</v>
      </c>
      <c r="O6990" s="18">
        <v>35866.639999999999</v>
      </c>
      <c r="P6990" s="18">
        <v>29398.89</v>
      </c>
      <c r="Q6990" s="18">
        <v>26182.65</v>
      </c>
      <c r="R6990" s="18">
        <v>21461.19</v>
      </c>
      <c r="S6990" s="18">
        <v>24389.32</v>
      </c>
      <c r="T6990" s="18">
        <v>19991.25</v>
      </c>
      <c r="U6990" s="16"/>
      <c r="V6990" s="16"/>
      <c r="W6990" s="16" t="s">
        <v>40</v>
      </c>
      <c r="X6990" s="19">
        <v>30</v>
      </c>
      <c r="Y6990" s="20">
        <v>0.1</v>
      </c>
      <c r="Z6990" s="21">
        <v>4601004100671</v>
      </c>
    </row>
    <row r="6991" spans="1:26" ht="12" customHeight="1" outlineLevel="4" x14ac:dyDescent="0.2">
      <c r="A6991" s="14" t="s">
        <v>13433</v>
      </c>
      <c r="B6991" s="26" t="s">
        <v>13434</v>
      </c>
      <c r="C6991" s="52"/>
      <c r="D6991" s="55">
        <f t="shared" si="109"/>
        <v>0</v>
      </c>
      <c r="E6991" s="63" t="str">
        <f>HYPERLINK("https://www.sds-group.ru/product/nastennyy-telekommunikatsionnyy-shkaf-19-18u-600-450-964mm-dver-steklo-s-zadney-stenkoy-razb-04-2204/", "Инфо")</f>
        <v>Инфо</v>
      </c>
      <c r="F6991" s="16" t="s">
        <v>39</v>
      </c>
      <c r="G6991" s="15"/>
      <c r="H6991" s="15"/>
      <c r="I6991" s="15" t="s">
        <v>13410</v>
      </c>
      <c r="J6991" s="16" t="s">
        <v>100</v>
      </c>
      <c r="K6991" s="15"/>
      <c r="L6991" s="17">
        <v>5</v>
      </c>
      <c r="M6991" s="17">
        <v>5</v>
      </c>
      <c r="N6991" s="17">
        <v>5</v>
      </c>
      <c r="O6991" s="18">
        <v>39908</v>
      </c>
      <c r="P6991" s="18">
        <v>32711.48</v>
      </c>
      <c r="Q6991" s="18">
        <v>29132.84</v>
      </c>
      <c r="R6991" s="18">
        <v>23879.38</v>
      </c>
      <c r="S6991" s="18">
        <v>27137.439999999999</v>
      </c>
      <c r="T6991" s="18">
        <v>22243.8</v>
      </c>
      <c r="U6991" s="16"/>
      <c r="V6991" s="16"/>
      <c r="W6991" s="16" t="s">
        <v>40</v>
      </c>
      <c r="X6991" s="19">
        <v>30</v>
      </c>
      <c r="Y6991" s="20">
        <v>0.1</v>
      </c>
      <c r="Z6991" s="21">
        <v>4601004100688</v>
      </c>
    </row>
    <row r="6992" spans="1:26" ht="12" customHeight="1" outlineLevel="4" x14ac:dyDescent="0.2">
      <c r="A6992" s="14" t="s">
        <v>13435</v>
      </c>
      <c r="B6992" s="26" t="s">
        <v>13436</v>
      </c>
      <c r="C6992" s="52"/>
      <c r="D6992" s="55">
        <f t="shared" si="109"/>
        <v>0</v>
      </c>
      <c r="E6992" s="63" t="str">
        <f>HYPERLINK("https://www.sds-group.ru/product/nastennyy-telekommunikatsionnyy-shkaf-19-18u-600-600-964mm-dver-steklo-s-zadney-stenkoy-razb-04-2224/", "Инфо")</f>
        <v>Инфо</v>
      </c>
      <c r="F6992" s="16" t="s">
        <v>39</v>
      </c>
      <c r="G6992" s="15"/>
      <c r="H6992" s="15"/>
      <c r="I6992" s="15" t="s">
        <v>13414</v>
      </c>
      <c r="J6992" s="16" t="s">
        <v>100</v>
      </c>
      <c r="K6992" s="15"/>
      <c r="L6992" s="17">
        <v>1</v>
      </c>
      <c r="M6992" s="17">
        <v>5</v>
      </c>
      <c r="N6992" s="17">
        <v>1</v>
      </c>
      <c r="O6992" s="18">
        <v>42560.12</v>
      </c>
      <c r="P6992" s="18">
        <v>34885.339999999997</v>
      </c>
      <c r="Q6992" s="18">
        <v>31068.89</v>
      </c>
      <c r="R6992" s="18">
        <v>25466.3</v>
      </c>
      <c r="S6992" s="18">
        <v>28940.880000000001</v>
      </c>
      <c r="T6992" s="18">
        <v>23722.03</v>
      </c>
      <c r="U6992" s="16"/>
      <c r="V6992" s="16"/>
      <c r="W6992" s="16" t="s">
        <v>40</v>
      </c>
      <c r="X6992" s="19">
        <v>34</v>
      </c>
      <c r="Y6992" s="20">
        <v>0.12</v>
      </c>
      <c r="Z6992" s="21">
        <v>4601004100664</v>
      </c>
    </row>
    <row r="6993" spans="1:26" ht="12.95" customHeight="1" outlineLevel="2" x14ac:dyDescent="0.2">
      <c r="A6993" s="76" t="s">
        <v>13437</v>
      </c>
      <c r="B6993" s="76"/>
      <c r="C6993" s="77"/>
      <c r="D6993" s="58"/>
      <c r="E6993" s="68"/>
      <c r="F6993" s="13"/>
      <c r="G6993" s="13"/>
      <c r="H6993" s="13"/>
      <c r="I6993" s="13"/>
      <c r="J6993" s="13"/>
      <c r="K6993" s="13"/>
      <c r="L6993" s="13"/>
      <c r="M6993" s="13"/>
      <c r="N6993" s="13"/>
      <c r="O6993" s="13"/>
      <c r="P6993" s="13"/>
      <c r="Q6993" s="13"/>
      <c r="R6993" s="13"/>
      <c r="S6993" s="13"/>
      <c r="T6993" s="13"/>
      <c r="U6993" s="13"/>
      <c r="V6993" s="13"/>
      <c r="W6993" s="13"/>
      <c r="X6993" s="13"/>
      <c r="Y6993" s="13"/>
      <c r="Z6993" s="13"/>
    </row>
    <row r="6994" spans="1:26" ht="12.95" customHeight="1" outlineLevel="3" x14ac:dyDescent="0.2">
      <c r="A6994" s="76" t="s">
        <v>13438</v>
      </c>
      <c r="B6994" s="76"/>
      <c r="C6994" s="77"/>
      <c r="D6994" s="58"/>
      <c r="E6994" s="68"/>
      <c r="F6994" s="13"/>
      <c r="G6994" s="13"/>
      <c r="H6994" s="13"/>
      <c r="I6994" s="13"/>
      <c r="J6994" s="13"/>
      <c r="K6994" s="13"/>
      <c r="L6994" s="13"/>
      <c r="M6994" s="13"/>
      <c r="N6994" s="13"/>
      <c r="O6994" s="13"/>
      <c r="P6994" s="13"/>
      <c r="Q6994" s="13"/>
      <c r="R6994" s="13"/>
      <c r="S6994" s="13"/>
      <c r="T6994" s="13"/>
      <c r="U6994" s="13"/>
      <c r="V6994" s="13"/>
      <c r="W6994" s="13"/>
      <c r="X6994" s="13"/>
      <c r="Y6994" s="13"/>
      <c r="Z6994" s="13"/>
    </row>
    <row r="6995" spans="1:26" ht="12" customHeight="1" outlineLevel="4" x14ac:dyDescent="0.2">
      <c r="A6995" s="14" t="s">
        <v>13439</v>
      </c>
      <c r="B6995" s="26" t="s">
        <v>13440</v>
      </c>
      <c r="C6995" s="52"/>
      <c r="D6995" s="55">
        <f t="shared" si="109"/>
        <v>0</v>
      </c>
      <c r="E6995" s="63" t="str">
        <f>HYPERLINK("https://www.sds-group.ru/product/shkaf-telekommunikatsionnyy-napolnyy-19-22u-600h600mm-perednyaya-i-zadnyaya-dver-perforatsiy-04-2339/", "Инфо")</f>
        <v>Инфо</v>
      </c>
      <c r="F6995" s="16" t="s">
        <v>39</v>
      </c>
      <c r="G6995" s="15"/>
      <c r="H6995" s="15"/>
      <c r="I6995" s="15" t="s">
        <v>13441</v>
      </c>
      <c r="J6995" s="16" t="s">
        <v>100</v>
      </c>
      <c r="K6995" s="15"/>
      <c r="L6995" s="17">
        <v>1</v>
      </c>
      <c r="M6995" s="17">
        <v>1</v>
      </c>
      <c r="N6995" s="17">
        <v>1</v>
      </c>
      <c r="O6995" s="18">
        <v>63108.22</v>
      </c>
      <c r="P6995" s="18">
        <v>51728.05</v>
      </c>
      <c r="Q6995" s="18">
        <v>46069</v>
      </c>
      <c r="R6995" s="18">
        <v>37761.480000000003</v>
      </c>
      <c r="S6995" s="18">
        <v>42913.59</v>
      </c>
      <c r="T6995" s="18">
        <v>35175.07</v>
      </c>
      <c r="U6995" s="16"/>
      <c r="V6995" s="16"/>
      <c r="W6995" s="16" t="s">
        <v>40</v>
      </c>
      <c r="X6995" s="19">
        <v>66</v>
      </c>
      <c r="Y6995" s="20">
        <v>0.26700000000000002</v>
      </c>
      <c r="Z6995" s="21">
        <v>4601004100855</v>
      </c>
    </row>
    <row r="6996" spans="1:26" ht="12.95" customHeight="1" outlineLevel="3" x14ac:dyDescent="0.2">
      <c r="A6996" s="76" t="s">
        <v>13442</v>
      </c>
      <c r="B6996" s="76"/>
      <c r="C6996" s="77"/>
      <c r="D6996" s="58"/>
      <c r="E6996" s="68"/>
      <c r="F6996" s="13"/>
      <c r="G6996" s="13"/>
      <c r="H6996" s="13"/>
      <c r="I6996" s="13"/>
      <c r="J6996" s="13"/>
      <c r="K6996" s="13"/>
      <c r="L6996" s="13"/>
      <c r="M6996" s="13"/>
      <c r="N6996" s="13"/>
      <c r="O6996" s="13"/>
      <c r="P6996" s="13"/>
      <c r="Q6996" s="13"/>
      <c r="R6996" s="13"/>
      <c r="S6996" s="13"/>
      <c r="T6996" s="13"/>
      <c r="U6996" s="13"/>
      <c r="V6996" s="13"/>
      <c r="W6996" s="13"/>
      <c r="X6996" s="13"/>
      <c r="Y6996" s="13"/>
      <c r="Z6996" s="13"/>
    </row>
    <row r="6997" spans="1:26" ht="12" customHeight="1" outlineLevel="4" x14ac:dyDescent="0.2">
      <c r="A6997" s="14" t="s">
        <v>13443</v>
      </c>
      <c r="B6997" s="26" t="s">
        <v>13444</v>
      </c>
      <c r="C6997" s="52"/>
      <c r="D6997" s="55">
        <f t="shared" si="109"/>
        <v>0</v>
      </c>
      <c r="E6997" s="63" t="str">
        <f>HYPERLINK("https://www.sds-group.ru/product/shkaf-telekommunikatsionnyy-napolnyy-19-22u-600h800mm-dver-steklo-zadnyaya-dver-metall-razbo-04-2314/", "Инфо")</f>
        <v>Инфо</v>
      </c>
      <c r="F6997" s="16" t="s">
        <v>39</v>
      </c>
      <c r="G6997" s="15"/>
      <c r="H6997" s="15"/>
      <c r="I6997" s="15" t="s">
        <v>13445</v>
      </c>
      <c r="J6997" s="16" t="s">
        <v>100</v>
      </c>
      <c r="K6997" s="15"/>
      <c r="L6997" s="17">
        <v>1</v>
      </c>
      <c r="M6997" s="17">
        <v>1</v>
      </c>
      <c r="N6997" s="17">
        <v>1</v>
      </c>
      <c r="O6997" s="18">
        <v>76315.58</v>
      </c>
      <c r="P6997" s="18">
        <v>62553.75</v>
      </c>
      <c r="Q6997" s="18">
        <v>55710.37</v>
      </c>
      <c r="R6997" s="18">
        <v>45664.24</v>
      </c>
      <c r="S6997" s="18">
        <v>51894.59</v>
      </c>
      <c r="T6997" s="18">
        <v>42536.55</v>
      </c>
      <c r="U6997" s="16"/>
      <c r="V6997" s="16"/>
      <c r="W6997" s="16" t="s">
        <v>40</v>
      </c>
      <c r="X6997" s="19">
        <v>75</v>
      </c>
      <c r="Y6997" s="20">
        <v>0.28199999999999997</v>
      </c>
      <c r="Z6997" s="21">
        <v>4601004100831</v>
      </c>
    </row>
    <row r="6998" spans="1:26" ht="12" customHeight="1" outlineLevel="4" x14ac:dyDescent="0.2">
      <c r="A6998" s="14" t="s">
        <v>13446</v>
      </c>
      <c r="B6998" s="26" t="s">
        <v>13447</v>
      </c>
      <c r="C6998" s="52"/>
      <c r="D6998" s="55">
        <f t="shared" si="109"/>
        <v>0</v>
      </c>
      <c r="E6998" s="63" t="str">
        <f>HYPERLINK("https://www.sds-group.ru/product/shkaf-telekommunikatsionnyy-napolnyy-19-22u-600h800mm-perednyaya-i-zadnyaya-dver-perforatsiy-04-2340/", "Инфо")</f>
        <v>Инфо</v>
      </c>
      <c r="F6998" s="16" t="s">
        <v>39</v>
      </c>
      <c r="G6998" s="15"/>
      <c r="H6998" s="15"/>
      <c r="I6998" s="15" t="s">
        <v>13441</v>
      </c>
      <c r="J6998" s="16" t="s">
        <v>100</v>
      </c>
      <c r="K6998" s="15"/>
      <c r="L6998" s="17">
        <v>1</v>
      </c>
      <c r="M6998" s="17">
        <v>1</v>
      </c>
      <c r="N6998" s="17">
        <v>1</v>
      </c>
      <c r="O6998" s="18">
        <v>78605.149999999994</v>
      </c>
      <c r="P6998" s="18">
        <v>64430.45</v>
      </c>
      <c r="Q6998" s="18">
        <v>57381.760000000002</v>
      </c>
      <c r="R6998" s="18">
        <v>47034.23</v>
      </c>
      <c r="S6998" s="18">
        <v>53451.5</v>
      </c>
      <c r="T6998" s="18">
        <v>43812.7</v>
      </c>
      <c r="U6998" s="16"/>
      <c r="V6998" s="16"/>
      <c r="W6998" s="16" t="s">
        <v>40</v>
      </c>
      <c r="X6998" s="19">
        <v>75</v>
      </c>
      <c r="Y6998" s="20">
        <v>0.28199999999999997</v>
      </c>
      <c r="Z6998" s="21">
        <v>4601004100862</v>
      </c>
    </row>
    <row r="6999" spans="1:26" ht="12.95" customHeight="1" outlineLevel="3" x14ac:dyDescent="0.2">
      <c r="A6999" s="76" t="s">
        <v>13448</v>
      </c>
      <c r="B6999" s="76"/>
      <c r="C6999" s="77"/>
      <c r="D6999" s="58"/>
      <c r="E6999" s="68"/>
      <c r="F6999" s="13"/>
      <c r="G6999" s="13"/>
      <c r="H6999" s="13"/>
      <c r="I6999" s="13"/>
      <c r="J6999" s="13"/>
      <c r="K6999" s="13"/>
      <c r="L6999" s="13"/>
      <c r="M6999" s="13"/>
      <c r="N6999" s="13"/>
      <c r="O6999" s="13"/>
      <c r="P6999" s="13"/>
      <c r="Q6999" s="13"/>
      <c r="R6999" s="13"/>
      <c r="S6999" s="13"/>
      <c r="T6999" s="13"/>
      <c r="U6999" s="13"/>
      <c r="V6999" s="13"/>
      <c r="W6999" s="13"/>
      <c r="X6999" s="13"/>
      <c r="Y6999" s="13"/>
      <c r="Z6999" s="13"/>
    </row>
    <row r="7000" spans="1:26" ht="12" customHeight="1" outlineLevel="4" x14ac:dyDescent="0.2">
      <c r="A7000" s="14" t="s">
        <v>13449</v>
      </c>
      <c r="B7000" s="26" t="s">
        <v>13450</v>
      </c>
      <c r="C7000" s="52"/>
      <c r="D7000" s="55">
        <f t="shared" si="109"/>
        <v>0</v>
      </c>
      <c r="E7000" s="63" t="str">
        <f>HYPERLINK("https://www.sds-group.ru/product/shkaf-telekommunikatsionnyy-napolnyy-19-22u-600h1000mm-dver-steklo-zadnyaya-dver-metall-razb-04-2315/", "Инфо")</f>
        <v>Инфо</v>
      </c>
      <c r="F7000" s="16" t="s">
        <v>39</v>
      </c>
      <c r="G7000" s="15"/>
      <c r="H7000" s="15"/>
      <c r="I7000" s="15" t="s">
        <v>13445</v>
      </c>
      <c r="J7000" s="17">
        <v>1</v>
      </c>
      <c r="K7000" s="15"/>
      <c r="L7000" s="17">
        <v>1</v>
      </c>
      <c r="M7000" s="17">
        <v>1</v>
      </c>
      <c r="N7000" s="17">
        <v>1</v>
      </c>
      <c r="O7000" s="18">
        <v>87535.12</v>
      </c>
      <c r="P7000" s="18">
        <v>71750.100000000006</v>
      </c>
      <c r="Q7000" s="18">
        <v>63900.639999999999</v>
      </c>
      <c r="R7000" s="18">
        <v>52377.57</v>
      </c>
      <c r="S7000" s="18">
        <v>59523.88</v>
      </c>
      <c r="T7000" s="18">
        <v>48790.07</v>
      </c>
      <c r="U7000" s="16"/>
      <c r="V7000" s="16"/>
      <c r="W7000" s="16" t="s">
        <v>40</v>
      </c>
      <c r="X7000" s="19">
        <v>84</v>
      </c>
      <c r="Y7000" s="20">
        <v>0.34300000000000003</v>
      </c>
      <c r="Z7000" s="21">
        <v>4601004100848</v>
      </c>
    </row>
    <row r="7001" spans="1:26" ht="12.95" customHeight="1" outlineLevel="3" x14ac:dyDescent="0.2">
      <c r="A7001" s="76" t="s">
        <v>13451</v>
      </c>
      <c r="B7001" s="76"/>
      <c r="C7001" s="77"/>
      <c r="D7001" s="58"/>
      <c r="E7001" s="68"/>
      <c r="F7001" s="13"/>
      <c r="G7001" s="13"/>
      <c r="H7001" s="13"/>
      <c r="I7001" s="13"/>
      <c r="J7001" s="13"/>
      <c r="K7001" s="13"/>
      <c r="L7001" s="13"/>
      <c r="M7001" s="13"/>
      <c r="N7001" s="13"/>
      <c r="O7001" s="13"/>
      <c r="P7001" s="13"/>
      <c r="Q7001" s="13"/>
      <c r="R7001" s="13"/>
      <c r="S7001" s="13"/>
      <c r="T7001" s="13"/>
      <c r="U7001" s="13"/>
      <c r="V7001" s="13"/>
      <c r="W7001" s="13"/>
      <c r="X7001" s="13"/>
      <c r="Y7001" s="13"/>
      <c r="Z7001" s="13"/>
    </row>
    <row r="7002" spans="1:26" ht="12" customHeight="1" outlineLevel="4" x14ac:dyDescent="0.2">
      <c r="A7002" s="32" t="s">
        <v>13452</v>
      </c>
      <c r="B7002" s="74" t="s">
        <v>13453</v>
      </c>
      <c r="C7002" s="50"/>
      <c r="D7002" s="53">
        <f t="shared" si="109"/>
        <v>0</v>
      </c>
      <c r="E7002" s="60" t="str">
        <f>HYPERLINK("https://www.sds-group.ru/product/stoyka-otkritaya-19-33u-odnoramnaya-sostoit-iz-2-korobok-rexant-15537/", "Инфо")</f>
        <v>Инфо</v>
      </c>
      <c r="F7002" s="34" t="s">
        <v>39</v>
      </c>
      <c r="G7002" s="33"/>
      <c r="H7002" s="33" t="s">
        <v>40</v>
      </c>
      <c r="I7002" s="33" t="s">
        <v>13445</v>
      </c>
      <c r="J7002" s="35">
        <v>5</v>
      </c>
      <c r="K7002" s="33"/>
      <c r="L7002" s="35">
        <v>1</v>
      </c>
      <c r="M7002" s="35">
        <v>1</v>
      </c>
      <c r="N7002" s="35">
        <v>1</v>
      </c>
      <c r="O7002" s="36">
        <v>10068.35</v>
      </c>
      <c r="P7002" s="36">
        <v>8252.75</v>
      </c>
      <c r="Q7002" s="36">
        <v>7047.85</v>
      </c>
      <c r="R7002" s="36">
        <v>5776.93</v>
      </c>
      <c r="S7002" s="36">
        <v>6846.48</v>
      </c>
      <c r="T7002" s="36">
        <v>5611.87</v>
      </c>
      <c r="U7002" s="34"/>
      <c r="V7002" s="34"/>
      <c r="W7002" s="34"/>
      <c r="X7002" s="37">
        <v>12.6</v>
      </c>
      <c r="Y7002" s="38">
        <v>0.43640000000000001</v>
      </c>
      <c r="Z7002" s="21">
        <v>4601004101036</v>
      </c>
    </row>
    <row r="7003" spans="1:26" ht="12.95" customHeight="1" outlineLevel="3" x14ac:dyDescent="0.2">
      <c r="A7003" s="76" t="s">
        <v>13454</v>
      </c>
      <c r="B7003" s="76"/>
      <c r="C7003" s="77"/>
      <c r="D7003" s="58"/>
      <c r="E7003" s="68"/>
      <c r="F7003" s="13"/>
      <c r="G7003" s="13"/>
      <c r="H7003" s="13"/>
      <c r="I7003" s="13"/>
      <c r="J7003" s="13"/>
      <c r="K7003" s="13"/>
      <c r="L7003" s="13"/>
      <c r="M7003" s="13"/>
      <c r="N7003" s="13"/>
      <c r="O7003" s="13"/>
      <c r="P7003" s="13"/>
      <c r="Q7003" s="13"/>
      <c r="R7003" s="13"/>
      <c r="S7003" s="13"/>
      <c r="T7003" s="13"/>
      <c r="U7003" s="13"/>
      <c r="V7003" s="13"/>
      <c r="W7003" s="13"/>
      <c r="X7003" s="13"/>
      <c r="Y7003" s="13"/>
      <c r="Z7003" s="13"/>
    </row>
    <row r="7004" spans="1:26" ht="12" customHeight="1" outlineLevel="4" x14ac:dyDescent="0.2">
      <c r="A7004" s="14" t="s">
        <v>13455</v>
      </c>
      <c r="B7004" s="26" t="s">
        <v>13456</v>
      </c>
      <c r="C7004" s="52"/>
      <c r="D7004" s="55">
        <f t="shared" si="109"/>
        <v>0</v>
      </c>
      <c r="E7004" s="63" t="str">
        <f>HYPERLINK("https://www.sds-group.ru/product/shkaf-telekommunikatsionnyy-napolnyy-19-32u-600h800mm-dver-steklo-zadnyaya-dver-metall-razbo-04-2311/", "Инфо")</f>
        <v>Инфо</v>
      </c>
      <c r="F7004" s="16" t="s">
        <v>39</v>
      </c>
      <c r="G7004" s="15"/>
      <c r="H7004" s="15"/>
      <c r="I7004" s="15" t="s">
        <v>13445</v>
      </c>
      <c r="J7004" s="16" t="s">
        <v>100</v>
      </c>
      <c r="K7004" s="15"/>
      <c r="L7004" s="17">
        <v>1</v>
      </c>
      <c r="M7004" s="17">
        <v>1</v>
      </c>
      <c r="N7004" s="17">
        <v>1</v>
      </c>
      <c r="O7004" s="18">
        <v>93970.9</v>
      </c>
      <c r="P7004" s="18">
        <v>77025.33</v>
      </c>
      <c r="Q7004" s="18">
        <v>68598.759999999995</v>
      </c>
      <c r="R7004" s="18">
        <v>56228.49</v>
      </c>
      <c r="S7004" s="18">
        <v>63900.21</v>
      </c>
      <c r="T7004" s="18">
        <v>52377.22</v>
      </c>
      <c r="U7004" s="16"/>
      <c r="V7004" s="16"/>
      <c r="W7004" s="16" t="s">
        <v>40</v>
      </c>
      <c r="X7004" s="19">
        <v>87</v>
      </c>
      <c r="Y7004" s="20">
        <v>0.37</v>
      </c>
      <c r="Z7004" s="21">
        <v>4601004100787</v>
      </c>
    </row>
    <row r="7005" spans="1:26" ht="12" customHeight="1" outlineLevel="4" x14ac:dyDescent="0.2">
      <c r="A7005" s="14" t="s">
        <v>13457</v>
      </c>
      <c r="B7005" s="26" t="s">
        <v>13458</v>
      </c>
      <c r="C7005" s="52"/>
      <c r="D7005" s="55">
        <f t="shared" si="109"/>
        <v>0</v>
      </c>
      <c r="E7005" s="63" t="str">
        <f>HYPERLINK("https://www.sds-group.ru/product/shkaf-telekommunikatsionnyy-napolnyy-19-32u-600h800mm-perednyaya-i-zadnyaya-dver-perforatsiy-04-2338/", "Инфо")</f>
        <v>Инфо</v>
      </c>
      <c r="F7005" s="16" t="s">
        <v>39</v>
      </c>
      <c r="G7005" s="15"/>
      <c r="H7005" s="15"/>
      <c r="I7005" s="15" t="s">
        <v>13441</v>
      </c>
      <c r="J7005" s="16" t="s">
        <v>100</v>
      </c>
      <c r="K7005" s="15"/>
      <c r="L7005" s="17">
        <v>1</v>
      </c>
      <c r="M7005" s="17">
        <v>1</v>
      </c>
      <c r="N7005" s="17">
        <v>1</v>
      </c>
      <c r="O7005" s="18">
        <v>96789.92</v>
      </c>
      <c r="P7005" s="18">
        <v>79336</v>
      </c>
      <c r="Q7005" s="18">
        <v>70656.639999999999</v>
      </c>
      <c r="R7005" s="18">
        <v>57915.28</v>
      </c>
      <c r="S7005" s="18">
        <v>65817.149999999994</v>
      </c>
      <c r="T7005" s="18">
        <v>53948.480000000003</v>
      </c>
      <c r="U7005" s="16"/>
      <c r="V7005" s="16"/>
      <c r="W7005" s="16" t="s">
        <v>40</v>
      </c>
      <c r="X7005" s="19">
        <v>87</v>
      </c>
      <c r="Y7005" s="20">
        <v>0.37</v>
      </c>
      <c r="Z7005" s="21">
        <v>4601004100817</v>
      </c>
    </row>
    <row r="7006" spans="1:26" ht="12.95" customHeight="1" outlineLevel="3" x14ac:dyDescent="0.2">
      <c r="A7006" s="76" t="s">
        <v>13459</v>
      </c>
      <c r="B7006" s="76"/>
      <c r="C7006" s="77"/>
      <c r="D7006" s="58"/>
      <c r="E7006" s="68"/>
      <c r="F7006" s="13"/>
      <c r="G7006" s="13"/>
      <c r="H7006" s="13"/>
      <c r="I7006" s="13"/>
      <c r="J7006" s="13"/>
      <c r="K7006" s="13"/>
      <c r="L7006" s="13"/>
      <c r="M7006" s="13"/>
      <c r="N7006" s="13"/>
      <c r="O7006" s="13"/>
      <c r="P7006" s="13"/>
      <c r="Q7006" s="13"/>
      <c r="R7006" s="13"/>
      <c r="S7006" s="13"/>
      <c r="T7006" s="13"/>
      <c r="U7006" s="13"/>
      <c r="V7006" s="13"/>
      <c r="W7006" s="13"/>
      <c r="X7006" s="13"/>
      <c r="Y7006" s="13"/>
      <c r="Z7006" s="13"/>
    </row>
    <row r="7007" spans="1:26" ht="12" customHeight="1" outlineLevel="4" x14ac:dyDescent="0.2">
      <c r="A7007" s="14" t="s">
        <v>13460</v>
      </c>
      <c r="B7007" s="26" t="s">
        <v>13461</v>
      </c>
      <c r="C7007" s="52"/>
      <c r="D7007" s="55">
        <f t="shared" si="109"/>
        <v>0</v>
      </c>
      <c r="E7007" s="63" t="str">
        <f>HYPERLINK("https://www.sds-group.ru/product/shkaf-telekommunikatsionnyy-napolnyy-19-32u-600h1000mm-dver-steklo-zadnyaya-dver-metall-razb-04-2312/", "Инфо")</f>
        <v>Инфо</v>
      </c>
      <c r="F7007" s="16" t="s">
        <v>39</v>
      </c>
      <c r="G7007" s="15"/>
      <c r="H7007" s="15"/>
      <c r="I7007" s="15" t="s">
        <v>13441</v>
      </c>
      <c r="J7007" s="16" t="s">
        <v>100</v>
      </c>
      <c r="K7007" s="15"/>
      <c r="L7007" s="17">
        <v>1</v>
      </c>
      <c r="M7007" s="17">
        <v>1</v>
      </c>
      <c r="N7007" s="17">
        <v>1</v>
      </c>
      <c r="O7007" s="18">
        <v>102513.60000000001</v>
      </c>
      <c r="P7007" s="18">
        <v>84027.54</v>
      </c>
      <c r="Q7007" s="18">
        <v>74834.929999999993</v>
      </c>
      <c r="R7007" s="18">
        <v>61340.11</v>
      </c>
      <c r="S7007" s="18">
        <v>69709.25</v>
      </c>
      <c r="T7007" s="18">
        <v>57138.73</v>
      </c>
      <c r="U7007" s="16"/>
      <c r="V7007" s="16"/>
      <c r="W7007" s="16" t="s">
        <v>40</v>
      </c>
      <c r="X7007" s="19">
        <v>96</v>
      </c>
      <c r="Y7007" s="20">
        <v>0.44900000000000001</v>
      </c>
      <c r="Z7007" s="21">
        <v>4601004100794</v>
      </c>
    </row>
    <row r="7008" spans="1:26" ht="12.95" customHeight="1" outlineLevel="3" x14ac:dyDescent="0.2">
      <c r="A7008" s="76" t="s">
        <v>13462</v>
      </c>
      <c r="B7008" s="76"/>
      <c r="C7008" s="77"/>
      <c r="D7008" s="58"/>
      <c r="E7008" s="68"/>
      <c r="F7008" s="13"/>
      <c r="G7008" s="13"/>
      <c r="H7008" s="13"/>
      <c r="I7008" s="13"/>
      <c r="J7008" s="13"/>
      <c r="K7008" s="13"/>
      <c r="L7008" s="13"/>
      <c r="M7008" s="13"/>
      <c r="N7008" s="13"/>
      <c r="O7008" s="13"/>
      <c r="P7008" s="13"/>
      <c r="Q7008" s="13"/>
      <c r="R7008" s="13"/>
      <c r="S7008" s="13"/>
      <c r="T7008" s="13"/>
      <c r="U7008" s="13"/>
      <c r="V7008" s="13"/>
      <c r="W7008" s="13"/>
      <c r="X7008" s="13"/>
      <c r="Y7008" s="13"/>
      <c r="Z7008" s="13"/>
    </row>
    <row r="7009" spans="1:26" ht="12" customHeight="1" outlineLevel="4" x14ac:dyDescent="0.2">
      <c r="A7009" s="14" t="s">
        <v>13463</v>
      </c>
      <c r="B7009" s="26" t="s">
        <v>13464</v>
      </c>
      <c r="C7009" s="52"/>
      <c r="D7009" s="55">
        <f t="shared" si="109"/>
        <v>0</v>
      </c>
      <c r="E7009" s="63" t="str">
        <f>HYPERLINK("https://www.sds-group.ru/product/shkaf-telekommunikatsionnyy-napolnyy-19-42u-600h600mm-perednyaya-i-zadnyaya-dver-perforatsiy-04-2333/", "Инфо")</f>
        <v>Инфо</v>
      </c>
      <c r="F7009" s="16" t="s">
        <v>39</v>
      </c>
      <c r="G7009" s="15"/>
      <c r="H7009" s="15"/>
      <c r="I7009" s="15" t="s">
        <v>13441</v>
      </c>
      <c r="J7009" s="16" t="s">
        <v>100</v>
      </c>
      <c r="K7009" s="15"/>
      <c r="L7009" s="17">
        <v>1</v>
      </c>
      <c r="M7009" s="17">
        <v>1</v>
      </c>
      <c r="N7009" s="17">
        <v>1</v>
      </c>
      <c r="O7009" s="18">
        <v>101189.36</v>
      </c>
      <c r="P7009" s="18">
        <v>82942.100000000006</v>
      </c>
      <c r="Q7009" s="18">
        <v>73868.23</v>
      </c>
      <c r="R7009" s="18">
        <v>60547.73</v>
      </c>
      <c r="S7009" s="18">
        <v>68808.759999999995</v>
      </c>
      <c r="T7009" s="18">
        <v>56400.62</v>
      </c>
      <c r="U7009" s="16"/>
      <c r="V7009" s="16"/>
      <c r="W7009" s="16" t="s">
        <v>40</v>
      </c>
      <c r="X7009" s="19">
        <v>88</v>
      </c>
      <c r="Y7009" s="20">
        <v>0.44400000000000001</v>
      </c>
      <c r="Z7009" s="21">
        <v>4601004100930</v>
      </c>
    </row>
    <row r="7010" spans="1:26" ht="12" customHeight="1" outlineLevel="4" x14ac:dyDescent="0.2">
      <c r="A7010" s="14" t="s">
        <v>13465</v>
      </c>
      <c r="B7010" s="26" t="s">
        <v>13466</v>
      </c>
      <c r="C7010" s="52"/>
      <c r="D7010" s="55">
        <f t="shared" si="109"/>
        <v>0</v>
      </c>
      <c r="E7010" s="63" t="str">
        <f>HYPERLINK("https://www.sds-group.ru/product/shkaf-telekommunikatsionnyy-napolnyy-19-42u-600h600mm-perednyaya-i-zadnyaya-raspashnye-perfo-04-2360/", "Инфо")</f>
        <v>Инфо</v>
      </c>
      <c r="F7010" s="16" t="s">
        <v>39</v>
      </c>
      <c r="G7010" s="15"/>
      <c r="H7010" s="15"/>
      <c r="I7010" s="15" t="s">
        <v>13441</v>
      </c>
      <c r="J7010" s="16" t="s">
        <v>100</v>
      </c>
      <c r="K7010" s="15"/>
      <c r="L7010" s="17">
        <v>1</v>
      </c>
      <c r="M7010" s="17">
        <v>1</v>
      </c>
      <c r="N7010" s="17">
        <v>1</v>
      </c>
      <c r="O7010" s="18">
        <v>112746.65</v>
      </c>
      <c r="P7010" s="18">
        <v>92415.29</v>
      </c>
      <c r="Q7010" s="18">
        <v>82305.05</v>
      </c>
      <c r="R7010" s="18">
        <v>67463.16</v>
      </c>
      <c r="S7010" s="18">
        <v>76667.72</v>
      </c>
      <c r="T7010" s="18">
        <v>62842.39</v>
      </c>
      <c r="U7010" s="16"/>
      <c r="V7010" s="16"/>
      <c r="W7010" s="16" t="s">
        <v>40</v>
      </c>
      <c r="X7010" s="19">
        <v>88</v>
      </c>
      <c r="Y7010" s="20">
        <v>0.44400000000000001</v>
      </c>
      <c r="Z7010" s="21">
        <v>4601004100978</v>
      </c>
    </row>
    <row r="7011" spans="1:26" ht="12.95" customHeight="1" outlineLevel="3" x14ac:dyDescent="0.2">
      <c r="A7011" s="76" t="s">
        <v>13467</v>
      </c>
      <c r="B7011" s="76"/>
      <c r="C7011" s="77"/>
      <c r="D7011" s="58"/>
      <c r="E7011" s="68"/>
      <c r="F7011" s="13"/>
      <c r="G7011" s="13"/>
      <c r="H7011" s="13"/>
      <c r="I7011" s="13"/>
      <c r="J7011" s="13"/>
      <c r="K7011" s="13"/>
      <c r="L7011" s="13"/>
      <c r="M7011" s="13"/>
      <c r="N7011" s="13"/>
      <c r="O7011" s="13"/>
      <c r="P7011" s="13"/>
      <c r="Q7011" s="13"/>
      <c r="R7011" s="13"/>
      <c r="S7011" s="13"/>
      <c r="T7011" s="13"/>
      <c r="U7011" s="13"/>
      <c r="V7011" s="13"/>
      <c r="W7011" s="13"/>
      <c r="X7011" s="13"/>
      <c r="Y7011" s="13"/>
      <c r="Z7011" s="13"/>
    </row>
    <row r="7012" spans="1:26" ht="12" customHeight="1" outlineLevel="4" x14ac:dyDescent="0.2">
      <c r="A7012" s="14" t="s">
        <v>13468</v>
      </c>
      <c r="B7012" s="26" t="s">
        <v>13469</v>
      </c>
      <c r="C7012" s="52"/>
      <c r="D7012" s="55">
        <f t="shared" si="109"/>
        <v>0</v>
      </c>
      <c r="E7012" s="63" t="str">
        <f>HYPERLINK("https://www.sds-group.ru/product/shkaf-telekommunikatsionnyy-napolnyy-19-42u-600h800mm-perednyaya-i-zadnyaya-raspashnye-perfo-04-2361/", "Инфо")</f>
        <v>Инфо</v>
      </c>
      <c r="F7012" s="16" t="s">
        <v>39</v>
      </c>
      <c r="G7012" s="15"/>
      <c r="H7012" s="15"/>
      <c r="I7012" s="15" t="s">
        <v>13441</v>
      </c>
      <c r="J7012" s="16" t="s">
        <v>100</v>
      </c>
      <c r="K7012" s="15"/>
      <c r="L7012" s="17">
        <v>1</v>
      </c>
      <c r="M7012" s="17">
        <v>1</v>
      </c>
      <c r="N7012" s="17">
        <v>1</v>
      </c>
      <c r="O7012" s="18">
        <v>127780.97</v>
      </c>
      <c r="P7012" s="18">
        <v>104738.5</v>
      </c>
      <c r="Q7012" s="18">
        <v>93280.11</v>
      </c>
      <c r="R7012" s="18">
        <v>76459.11</v>
      </c>
      <c r="S7012" s="18">
        <v>86891.06</v>
      </c>
      <c r="T7012" s="18">
        <v>71222.179999999993</v>
      </c>
      <c r="U7012" s="16"/>
      <c r="V7012" s="16"/>
      <c r="W7012" s="16" t="s">
        <v>40</v>
      </c>
      <c r="X7012" s="19">
        <v>102</v>
      </c>
      <c r="Y7012" s="20">
        <v>0.45900000000000002</v>
      </c>
      <c r="Z7012" s="21">
        <v>4601004100985</v>
      </c>
    </row>
    <row r="7013" spans="1:26" ht="12.95" customHeight="1" outlineLevel="3" x14ac:dyDescent="0.2">
      <c r="A7013" s="76" t="s">
        <v>13470</v>
      </c>
      <c r="B7013" s="76"/>
      <c r="C7013" s="77"/>
      <c r="D7013" s="58"/>
      <c r="E7013" s="68"/>
      <c r="F7013" s="13"/>
      <c r="G7013" s="13"/>
      <c r="H7013" s="13"/>
      <c r="I7013" s="13"/>
      <c r="J7013" s="13"/>
      <c r="K7013" s="13"/>
      <c r="L7013" s="13"/>
      <c r="M7013" s="13"/>
      <c r="N7013" s="13"/>
      <c r="O7013" s="13"/>
      <c r="P7013" s="13"/>
      <c r="Q7013" s="13"/>
      <c r="R7013" s="13"/>
      <c r="S7013" s="13"/>
      <c r="T7013" s="13"/>
      <c r="U7013" s="13"/>
      <c r="V7013" s="13"/>
      <c r="W7013" s="13"/>
      <c r="X7013" s="13"/>
      <c r="Y7013" s="13"/>
      <c r="Z7013" s="13"/>
    </row>
    <row r="7014" spans="1:26" ht="12" customHeight="1" outlineLevel="4" x14ac:dyDescent="0.2">
      <c r="A7014" s="14" t="s">
        <v>13471</v>
      </c>
      <c r="B7014" s="26" t="s">
        <v>13472</v>
      </c>
      <c r="C7014" s="52"/>
      <c r="D7014" s="55">
        <f t="shared" si="109"/>
        <v>0</v>
      </c>
      <c r="E7014" s="63" t="str">
        <f>HYPERLINK("https://www.sds-group.ru/product/shkaf-telekommunikatsionnyy-napolnyy-19-42u-600h1000mm-dver-steklo-zadnyaya-dver-metall-razb-04-2307/", "Инфо")</f>
        <v>Инфо</v>
      </c>
      <c r="F7014" s="16" t="s">
        <v>39</v>
      </c>
      <c r="G7014" s="15"/>
      <c r="H7014" s="15"/>
      <c r="I7014" s="15" t="s">
        <v>13441</v>
      </c>
      <c r="J7014" s="16" t="s">
        <v>100</v>
      </c>
      <c r="K7014" s="15"/>
      <c r="L7014" s="17">
        <v>1</v>
      </c>
      <c r="M7014" s="17">
        <v>1</v>
      </c>
      <c r="N7014" s="17">
        <v>1</v>
      </c>
      <c r="O7014" s="18">
        <v>120452.46</v>
      </c>
      <c r="P7014" s="18">
        <v>98731.520000000004</v>
      </c>
      <c r="Q7014" s="18">
        <v>87930.3</v>
      </c>
      <c r="R7014" s="18">
        <v>72074.02</v>
      </c>
      <c r="S7014" s="18">
        <v>81907.67</v>
      </c>
      <c r="T7014" s="18">
        <v>67137.429999999993</v>
      </c>
      <c r="U7014" s="16"/>
      <c r="V7014" s="16"/>
      <c r="W7014" s="16" t="s">
        <v>40</v>
      </c>
      <c r="X7014" s="19">
        <v>114</v>
      </c>
      <c r="Y7014" s="20">
        <v>0.55800000000000005</v>
      </c>
      <c r="Z7014" s="21">
        <v>4601004100893</v>
      </c>
    </row>
    <row r="7015" spans="1:26" ht="12" customHeight="1" outlineLevel="4" x14ac:dyDescent="0.2">
      <c r="A7015" s="14" t="s">
        <v>13473</v>
      </c>
      <c r="B7015" s="26" t="s">
        <v>13474</v>
      </c>
      <c r="C7015" s="52"/>
      <c r="D7015" s="55">
        <f t="shared" si="109"/>
        <v>0</v>
      </c>
      <c r="E7015" s="63" t="str">
        <f>HYPERLINK("https://www.sds-group.ru/product/shkaf-telekommunikatsionnyy-napolnyy-19-42u-600h1000mm-perednyaya-i-zadnyaya-dver-perforatsi-04-2332/", "Инфо")</f>
        <v>Инфо</v>
      </c>
      <c r="F7015" s="16" t="s">
        <v>39</v>
      </c>
      <c r="G7015" s="15"/>
      <c r="H7015" s="15"/>
      <c r="I7015" s="15" t="s">
        <v>13445</v>
      </c>
      <c r="J7015" s="16" t="s">
        <v>100</v>
      </c>
      <c r="K7015" s="15"/>
      <c r="L7015" s="17">
        <v>1</v>
      </c>
      <c r="M7015" s="17">
        <v>1</v>
      </c>
      <c r="N7015" s="17">
        <v>1</v>
      </c>
      <c r="O7015" s="18">
        <v>124067.9</v>
      </c>
      <c r="P7015" s="18">
        <v>101695</v>
      </c>
      <c r="Q7015" s="18">
        <v>90569.57</v>
      </c>
      <c r="R7015" s="18">
        <v>74237.350000000006</v>
      </c>
      <c r="S7015" s="18">
        <v>84366.17</v>
      </c>
      <c r="T7015" s="18">
        <v>69152.600000000006</v>
      </c>
      <c r="U7015" s="16"/>
      <c r="V7015" s="16"/>
      <c r="W7015" s="16" t="s">
        <v>40</v>
      </c>
      <c r="X7015" s="19">
        <v>114</v>
      </c>
      <c r="Y7015" s="20">
        <v>0.55800000000000005</v>
      </c>
      <c r="Z7015" s="21">
        <v>4601004100923</v>
      </c>
    </row>
    <row r="7016" spans="1:26" ht="12" customHeight="1" outlineLevel="4" x14ac:dyDescent="0.2">
      <c r="A7016" s="14" t="s">
        <v>13475</v>
      </c>
      <c r="B7016" s="26" t="s">
        <v>13476</v>
      </c>
      <c r="C7016" s="52"/>
      <c r="D7016" s="55">
        <f t="shared" si="109"/>
        <v>0</v>
      </c>
      <c r="E7016" s="63" t="str">
        <f>HYPERLINK("https://www.sds-group.ru/product/shkaf-telekommunikatsionnyy-napolnyy-19-42u-600h1000mm-perednyaya-i-zadnyaya-raspashnye-perf-04-2362/", "Инфо")</f>
        <v>Инфо</v>
      </c>
      <c r="F7016" s="16" t="s">
        <v>39</v>
      </c>
      <c r="G7016" s="15"/>
      <c r="H7016" s="15"/>
      <c r="I7016" s="15" t="s">
        <v>13441</v>
      </c>
      <c r="J7016" s="16" t="s">
        <v>100</v>
      </c>
      <c r="K7016" s="15"/>
      <c r="L7016" s="17">
        <v>1</v>
      </c>
      <c r="M7016" s="17">
        <v>1</v>
      </c>
      <c r="N7016" s="17">
        <v>1</v>
      </c>
      <c r="O7016" s="18">
        <v>154488.4</v>
      </c>
      <c r="P7016" s="18">
        <v>126629.84</v>
      </c>
      <c r="Q7016" s="18">
        <v>112776.53</v>
      </c>
      <c r="R7016" s="18">
        <v>92439.78</v>
      </c>
      <c r="S7016" s="18">
        <v>105052.11</v>
      </c>
      <c r="T7016" s="18">
        <v>86108.29</v>
      </c>
      <c r="U7016" s="16"/>
      <c r="V7016" s="16"/>
      <c r="W7016" s="16" t="s">
        <v>40</v>
      </c>
      <c r="X7016" s="19">
        <v>114</v>
      </c>
      <c r="Y7016" s="20">
        <v>0.55800000000000005</v>
      </c>
      <c r="Z7016" s="21">
        <v>4601004100992</v>
      </c>
    </row>
    <row r="7017" spans="1:26" ht="12.95" customHeight="1" outlineLevel="3" x14ac:dyDescent="0.2">
      <c r="A7017" s="76" t="s">
        <v>13477</v>
      </c>
      <c r="B7017" s="76"/>
      <c r="C7017" s="77"/>
      <c r="D7017" s="58"/>
      <c r="E7017" s="68"/>
      <c r="F7017" s="13"/>
      <c r="G7017" s="13"/>
      <c r="H7017" s="13"/>
      <c r="I7017" s="13"/>
      <c r="J7017" s="13"/>
      <c r="K7017" s="13"/>
      <c r="L7017" s="13"/>
      <c r="M7017" s="13"/>
      <c r="N7017" s="13"/>
      <c r="O7017" s="13"/>
      <c r="P7017" s="13"/>
      <c r="Q7017" s="13"/>
      <c r="R7017" s="13"/>
      <c r="S7017" s="13"/>
      <c r="T7017" s="13"/>
      <c r="U7017" s="13"/>
      <c r="V7017" s="13"/>
      <c r="W7017" s="13"/>
      <c r="X7017" s="13"/>
      <c r="Y7017" s="13"/>
      <c r="Z7017" s="13"/>
    </row>
    <row r="7018" spans="1:26" ht="12" customHeight="1" outlineLevel="4" x14ac:dyDescent="0.2">
      <c r="A7018" s="14" t="s">
        <v>13478</v>
      </c>
      <c r="B7018" s="26" t="s">
        <v>13479</v>
      </c>
      <c r="C7018" s="52"/>
      <c r="D7018" s="55">
        <f t="shared" si="109"/>
        <v>0</v>
      </c>
      <c r="E7018" s="63" t="str">
        <f>HYPERLINK("https://www.sds-group.ru/product/shkaf-telekommunikatsionnyy-napolnyy-19-42u-800h1000mm-perednyaya-i-zadnyaya-dver-perforatsi-04-2336/", "Инфо")</f>
        <v>Инфо</v>
      </c>
      <c r="F7018" s="16" t="s">
        <v>39</v>
      </c>
      <c r="G7018" s="15"/>
      <c r="H7018" s="15"/>
      <c r="I7018" s="15" t="s">
        <v>13441</v>
      </c>
      <c r="J7018" s="16" t="s">
        <v>100</v>
      </c>
      <c r="K7018" s="15"/>
      <c r="L7018" s="17">
        <v>1</v>
      </c>
      <c r="M7018" s="17">
        <v>1</v>
      </c>
      <c r="N7018" s="17">
        <v>1</v>
      </c>
      <c r="O7018" s="18">
        <v>148562.34</v>
      </c>
      <c r="P7018" s="18">
        <v>121772.41</v>
      </c>
      <c r="Q7018" s="18">
        <v>108450.51</v>
      </c>
      <c r="R7018" s="18">
        <v>88893.86</v>
      </c>
      <c r="S7018" s="18">
        <v>101022.39</v>
      </c>
      <c r="T7018" s="18">
        <v>82805.240000000005</v>
      </c>
      <c r="U7018" s="16"/>
      <c r="V7018" s="16"/>
      <c r="W7018" s="16" t="s">
        <v>40</v>
      </c>
      <c r="X7018" s="19">
        <v>140</v>
      </c>
      <c r="Y7018" s="20">
        <v>0.626</v>
      </c>
      <c r="Z7018" s="21">
        <v>4601004100961</v>
      </c>
    </row>
    <row r="7019" spans="1:26" ht="12" customHeight="1" outlineLevel="4" x14ac:dyDescent="0.2">
      <c r="A7019" s="14" t="s">
        <v>13480</v>
      </c>
      <c r="B7019" s="26" t="s">
        <v>13481</v>
      </c>
      <c r="C7019" s="52"/>
      <c r="D7019" s="55">
        <f t="shared" si="109"/>
        <v>0</v>
      </c>
      <c r="E7019" s="63" t="str">
        <f>HYPERLINK("https://www.sds-group.ru/product/shkaf-telekommunikatsionnyy-napolnyy-19-42u-800h800mm-perednyaya-i-zadnyaya-dver-perforatsiy-04-2335/", "Инфо")</f>
        <v>Инфо</v>
      </c>
      <c r="F7019" s="16" t="s">
        <v>39</v>
      </c>
      <c r="G7019" s="15"/>
      <c r="H7019" s="15"/>
      <c r="I7019" s="15" t="s">
        <v>13441</v>
      </c>
      <c r="J7019" s="16" t="s">
        <v>100</v>
      </c>
      <c r="K7019" s="15"/>
      <c r="L7019" s="17">
        <v>1</v>
      </c>
      <c r="M7019" s="17">
        <v>1</v>
      </c>
      <c r="N7019" s="17">
        <v>1</v>
      </c>
      <c r="O7019" s="18">
        <v>134850.13</v>
      </c>
      <c r="P7019" s="18">
        <v>110532.89</v>
      </c>
      <c r="Q7019" s="18">
        <v>98440.59</v>
      </c>
      <c r="R7019" s="18">
        <v>80689.009999999995</v>
      </c>
      <c r="S7019" s="18">
        <v>91698.09</v>
      </c>
      <c r="T7019" s="18">
        <v>75162.37</v>
      </c>
      <c r="U7019" s="16"/>
      <c r="V7019" s="16"/>
      <c r="W7019" s="16" t="s">
        <v>40</v>
      </c>
      <c r="X7019" s="19">
        <v>127</v>
      </c>
      <c r="Y7019" s="20">
        <v>0.60599999999999998</v>
      </c>
      <c r="Z7019" s="21">
        <v>4601004100954</v>
      </c>
    </row>
    <row r="7020" spans="1:26" ht="12" customHeight="1" outlineLevel="4" x14ac:dyDescent="0.2">
      <c r="A7020" s="14" t="s">
        <v>13482</v>
      </c>
      <c r="B7020" s="26" t="s">
        <v>13483</v>
      </c>
      <c r="C7020" s="52"/>
      <c r="D7020" s="55">
        <f t="shared" si="109"/>
        <v>0</v>
      </c>
      <c r="E7020" s="63" t="str">
        <f>HYPERLINK("https://www.sds-group.ru/product/shkaf-telekommunikatsionnyy-napolnyy-19-42u-800h800mm-perednyaya-i-zadnyaya-raspashnye-perfo-04-2363/", "Инфо")</f>
        <v>Инфо</v>
      </c>
      <c r="F7020" s="16" t="s">
        <v>39</v>
      </c>
      <c r="G7020" s="15"/>
      <c r="H7020" s="15"/>
      <c r="I7020" s="15" t="s">
        <v>13441</v>
      </c>
      <c r="J7020" s="16" t="s">
        <v>100</v>
      </c>
      <c r="K7020" s="15"/>
      <c r="L7020" s="17">
        <v>1</v>
      </c>
      <c r="M7020" s="17">
        <v>1</v>
      </c>
      <c r="N7020" s="17">
        <v>1</v>
      </c>
      <c r="O7020" s="18">
        <v>159343.56</v>
      </c>
      <c r="P7020" s="18">
        <v>130609.48</v>
      </c>
      <c r="Q7020" s="18">
        <v>116320.8</v>
      </c>
      <c r="R7020" s="18">
        <v>95344.92</v>
      </c>
      <c r="S7020" s="18">
        <v>108353.62</v>
      </c>
      <c r="T7020" s="18">
        <v>88814.44</v>
      </c>
      <c r="U7020" s="16"/>
      <c r="V7020" s="16"/>
      <c r="W7020" s="16" t="s">
        <v>40</v>
      </c>
      <c r="X7020" s="19">
        <v>127</v>
      </c>
      <c r="Y7020" s="20">
        <v>0.60599999999999998</v>
      </c>
      <c r="Z7020" s="21">
        <v>4601004101005</v>
      </c>
    </row>
    <row r="7021" spans="1:26" ht="12.95" customHeight="1" outlineLevel="3" x14ac:dyDescent="0.2">
      <c r="A7021" s="76" t="s">
        <v>13484</v>
      </c>
      <c r="B7021" s="76"/>
      <c r="C7021" s="77"/>
      <c r="D7021" s="58"/>
      <c r="E7021" s="68"/>
      <c r="F7021" s="13"/>
      <c r="G7021" s="13"/>
      <c r="H7021" s="13"/>
      <c r="I7021" s="13"/>
      <c r="J7021" s="13"/>
      <c r="K7021" s="13"/>
      <c r="L7021" s="13"/>
      <c r="M7021" s="13"/>
      <c r="N7021" s="13"/>
      <c r="O7021" s="13"/>
      <c r="P7021" s="13"/>
      <c r="Q7021" s="13"/>
      <c r="R7021" s="13"/>
      <c r="S7021" s="13"/>
      <c r="T7021" s="13"/>
      <c r="U7021" s="13"/>
      <c r="V7021" s="13"/>
      <c r="W7021" s="13"/>
      <c r="X7021" s="13"/>
      <c r="Y7021" s="13"/>
      <c r="Z7021" s="13"/>
    </row>
    <row r="7022" spans="1:26" ht="12" customHeight="1" outlineLevel="4" x14ac:dyDescent="0.2">
      <c r="A7022" s="14" t="s">
        <v>13485</v>
      </c>
      <c r="B7022" s="26" t="s">
        <v>13486</v>
      </c>
      <c r="C7022" s="52"/>
      <c r="D7022" s="55">
        <f t="shared" si="109"/>
        <v>0</v>
      </c>
      <c r="E7022" s="63" t="str">
        <f>HYPERLINK("https://www.sds-group.ru/product/shkaf-telekommunikatsionnyy-napolnyy-19-42u-800h1000mm-dver-steklo-zadnyaya-dver-metall-razb-04-2309/", "Инфо")</f>
        <v>Инфо</v>
      </c>
      <c r="F7022" s="16" t="s">
        <v>39</v>
      </c>
      <c r="G7022" s="15"/>
      <c r="H7022" s="15"/>
      <c r="I7022" s="15" t="s">
        <v>13441</v>
      </c>
      <c r="J7022" s="16" t="s">
        <v>100</v>
      </c>
      <c r="K7022" s="15"/>
      <c r="L7022" s="17">
        <v>1</v>
      </c>
      <c r="M7022" s="17">
        <v>1</v>
      </c>
      <c r="N7022" s="17">
        <v>1</v>
      </c>
      <c r="O7022" s="18">
        <v>148075.20000000001</v>
      </c>
      <c r="P7022" s="18">
        <v>121373.11</v>
      </c>
      <c r="Q7022" s="18">
        <v>148075.20000000001</v>
      </c>
      <c r="R7022" s="18">
        <v>121373.11</v>
      </c>
      <c r="S7022" s="18">
        <v>88845.119999999995</v>
      </c>
      <c r="T7022" s="18">
        <v>72823.87</v>
      </c>
      <c r="U7022" s="16"/>
      <c r="V7022" s="16"/>
      <c r="W7022" s="16" t="s">
        <v>40</v>
      </c>
      <c r="X7022" s="19">
        <v>140</v>
      </c>
      <c r="Y7022" s="20">
        <v>0.626</v>
      </c>
      <c r="Z7022" s="21">
        <v>4601004100916</v>
      </c>
    </row>
    <row r="7023" spans="1:26" ht="12" customHeight="1" outlineLevel="4" x14ac:dyDescent="0.2">
      <c r="A7023" s="14" t="s">
        <v>13487</v>
      </c>
      <c r="B7023" s="26" t="s">
        <v>13488</v>
      </c>
      <c r="C7023" s="52"/>
      <c r="D7023" s="55">
        <f t="shared" si="109"/>
        <v>0</v>
      </c>
      <c r="E7023" s="63" t="str">
        <f>HYPERLINK("https://www.sds-group.ru/product/shkaf-telekommunikatsionnyy-napolnyy-19-42u-800h1000mm-perednyaya-i-zadnyaya-dver-s-perfor-04-2364-1/", "Инфо")</f>
        <v>Инфо</v>
      </c>
      <c r="F7023" s="16" t="s">
        <v>39</v>
      </c>
      <c r="G7023" s="15"/>
      <c r="H7023" s="15"/>
      <c r="I7023" s="15" t="s">
        <v>13489</v>
      </c>
      <c r="J7023" s="16" t="s">
        <v>100</v>
      </c>
      <c r="K7023" s="15"/>
      <c r="L7023" s="17">
        <v>1</v>
      </c>
      <c r="M7023" s="16"/>
      <c r="N7023" s="17">
        <v>1</v>
      </c>
      <c r="O7023" s="18">
        <v>148562.34</v>
      </c>
      <c r="P7023" s="18">
        <v>121772.41</v>
      </c>
      <c r="Q7023" s="18">
        <v>148562.34</v>
      </c>
      <c r="R7023" s="18">
        <v>121772.41</v>
      </c>
      <c r="S7023" s="18">
        <v>89137.4</v>
      </c>
      <c r="T7023" s="18">
        <v>73063.44</v>
      </c>
      <c r="U7023" s="16"/>
      <c r="V7023" s="16"/>
      <c r="W7023" s="16" t="s">
        <v>40</v>
      </c>
      <c r="X7023" s="19">
        <v>140.80000000000001</v>
      </c>
      <c r="Y7023" s="20">
        <v>0.61</v>
      </c>
      <c r="Z7023" s="21">
        <v>4601004309876</v>
      </c>
    </row>
    <row r="7024" spans="1:26" ht="12" customHeight="1" outlineLevel="4" x14ac:dyDescent="0.2">
      <c r="A7024" s="14" t="s">
        <v>13490</v>
      </c>
      <c r="B7024" s="26" t="s">
        <v>13491</v>
      </c>
      <c r="C7024" s="52"/>
      <c r="D7024" s="55">
        <f t="shared" si="109"/>
        <v>0</v>
      </c>
      <c r="E7024" s="63" t="str">
        <f>HYPERLINK("https://www.sds-group.ru/product/shkaf-telekommunikatsionnyy-napolnyy-19-42u-800h1000mm-perednyaya-i-zadnyaya-raspashnye-perf-04-2364/", "Инфо")</f>
        <v>Инфо</v>
      </c>
      <c r="F7024" s="16" t="s">
        <v>39</v>
      </c>
      <c r="G7024" s="15"/>
      <c r="H7024" s="15"/>
      <c r="I7024" s="15" t="s">
        <v>13441</v>
      </c>
      <c r="J7024" s="16" t="s">
        <v>100</v>
      </c>
      <c r="K7024" s="15"/>
      <c r="L7024" s="17">
        <v>1</v>
      </c>
      <c r="M7024" s="17">
        <v>1</v>
      </c>
      <c r="N7024" s="17">
        <v>1</v>
      </c>
      <c r="O7024" s="18">
        <v>171304.5</v>
      </c>
      <c r="P7024" s="18">
        <v>140413.51999999999</v>
      </c>
      <c r="Q7024" s="18">
        <v>171304.5</v>
      </c>
      <c r="R7024" s="18">
        <v>140413.51999999999</v>
      </c>
      <c r="S7024" s="18">
        <v>102782.7</v>
      </c>
      <c r="T7024" s="18">
        <v>84248.11</v>
      </c>
      <c r="U7024" s="16"/>
      <c r="V7024" s="16"/>
      <c r="W7024" s="16" t="s">
        <v>40</v>
      </c>
      <c r="X7024" s="19">
        <v>139</v>
      </c>
      <c r="Y7024" s="20">
        <v>0.626</v>
      </c>
      <c r="Z7024" s="21">
        <v>4601004101012</v>
      </c>
    </row>
    <row r="7025" spans="1:26" ht="12.95" customHeight="1" outlineLevel="3" x14ac:dyDescent="0.2">
      <c r="A7025" s="76" t="s">
        <v>13492</v>
      </c>
      <c r="B7025" s="76"/>
      <c r="C7025" s="77"/>
      <c r="D7025" s="58"/>
      <c r="E7025" s="68"/>
      <c r="F7025" s="13"/>
      <c r="G7025" s="13"/>
      <c r="H7025" s="13"/>
      <c r="I7025" s="13"/>
      <c r="J7025" s="13"/>
      <c r="K7025" s="13"/>
      <c r="L7025" s="13"/>
      <c r="M7025" s="13"/>
      <c r="N7025" s="13"/>
      <c r="O7025" s="13"/>
      <c r="P7025" s="13"/>
      <c r="Q7025" s="13"/>
      <c r="R7025" s="13"/>
      <c r="S7025" s="13"/>
      <c r="T7025" s="13"/>
      <c r="U7025" s="13"/>
      <c r="V7025" s="13"/>
      <c r="W7025" s="13"/>
      <c r="X7025" s="13"/>
      <c r="Y7025" s="13"/>
      <c r="Z7025" s="13"/>
    </row>
    <row r="7026" spans="1:26" ht="12" customHeight="1" outlineLevel="4" x14ac:dyDescent="0.2">
      <c r="A7026" s="14" t="s">
        <v>13493</v>
      </c>
      <c r="B7026" s="26" t="s">
        <v>13494</v>
      </c>
      <c r="C7026" s="52"/>
      <c r="D7026" s="55">
        <f t="shared" si="109"/>
        <v>0</v>
      </c>
      <c r="E7026" s="63" t="str">
        <f>HYPERLINK("https://www.sds-group.ru/product/shkaf-telekommunikatsionnyy-napolnyy-19-47u-600h600mm-dver-steklo-zadnyaya-dver-metall-razbo-04-2304/", "Инфо")</f>
        <v>Инфо</v>
      </c>
      <c r="F7026" s="16" t="s">
        <v>39</v>
      </c>
      <c r="G7026" s="15"/>
      <c r="H7026" s="15"/>
      <c r="I7026" s="15" t="s">
        <v>13441</v>
      </c>
      <c r="J7026" s="16" t="s">
        <v>100</v>
      </c>
      <c r="K7026" s="15"/>
      <c r="L7026" s="17">
        <v>1</v>
      </c>
      <c r="M7026" s="17">
        <v>1</v>
      </c>
      <c r="N7026" s="17">
        <v>1</v>
      </c>
      <c r="O7026" s="18">
        <v>111682.87</v>
      </c>
      <c r="P7026" s="18">
        <v>91543.34</v>
      </c>
      <c r="Q7026" s="18">
        <v>111682.87</v>
      </c>
      <c r="R7026" s="18">
        <v>91543.34</v>
      </c>
      <c r="S7026" s="18">
        <v>67009.72</v>
      </c>
      <c r="T7026" s="18">
        <v>54926</v>
      </c>
      <c r="U7026" s="16"/>
      <c r="V7026" s="16"/>
      <c r="W7026" s="16" t="s">
        <v>40</v>
      </c>
      <c r="X7026" s="19">
        <v>95</v>
      </c>
      <c r="Y7026" s="20">
        <v>0.48899999999999999</v>
      </c>
      <c r="Z7026" s="21">
        <v>4601004100749</v>
      </c>
    </row>
    <row r="7027" spans="1:26" ht="12.95" customHeight="1" outlineLevel="3" x14ac:dyDescent="0.2">
      <c r="A7027" s="76" t="s">
        <v>13495</v>
      </c>
      <c r="B7027" s="76"/>
      <c r="C7027" s="77"/>
      <c r="D7027" s="58"/>
      <c r="E7027" s="68"/>
      <c r="F7027" s="13"/>
      <c r="G7027" s="13"/>
      <c r="H7027" s="13"/>
      <c r="I7027" s="13"/>
      <c r="J7027" s="13"/>
      <c r="K7027" s="13"/>
      <c r="L7027" s="13"/>
      <c r="M7027" s="13"/>
      <c r="N7027" s="13"/>
      <c r="O7027" s="13"/>
      <c r="P7027" s="13"/>
      <c r="Q7027" s="13"/>
      <c r="R7027" s="13"/>
      <c r="S7027" s="13"/>
      <c r="T7027" s="13"/>
      <c r="U7027" s="13"/>
      <c r="V7027" s="13"/>
      <c r="W7027" s="13"/>
      <c r="X7027" s="13"/>
      <c r="Y7027" s="13"/>
      <c r="Z7027" s="13"/>
    </row>
    <row r="7028" spans="1:26" ht="12" customHeight="1" outlineLevel="4" x14ac:dyDescent="0.2">
      <c r="A7028" s="14" t="s">
        <v>13496</v>
      </c>
      <c r="B7028" s="26" t="s">
        <v>13497</v>
      </c>
      <c r="C7028" s="52"/>
      <c r="D7028" s="55">
        <f t="shared" si="109"/>
        <v>0</v>
      </c>
      <c r="E7028" s="63" t="str">
        <f>HYPERLINK("https://www.sds-group.ru/product/shkaf-telekommunikatsionnyy-napolnyy-19-47u-600h800mm-dver-steklo-zadnyaya-dver-metall-razbo-04-2303/", "Инфо")</f>
        <v>Инфо</v>
      </c>
      <c r="F7028" s="16" t="s">
        <v>39</v>
      </c>
      <c r="G7028" s="15"/>
      <c r="H7028" s="15"/>
      <c r="I7028" s="15" t="s">
        <v>13441</v>
      </c>
      <c r="J7028" s="16" t="s">
        <v>100</v>
      </c>
      <c r="K7028" s="15"/>
      <c r="L7028" s="17">
        <v>1</v>
      </c>
      <c r="M7028" s="17">
        <v>1</v>
      </c>
      <c r="N7028" s="17">
        <v>1</v>
      </c>
      <c r="O7028" s="18">
        <v>116752.62</v>
      </c>
      <c r="P7028" s="18">
        <v>95698.87</v>
      </c>
      <c r="Q7028" s="18">
        <v>116752.62</v>
      </c>
      <c r="R7028" s="18">
        <v>95698.87</v>
      </c>
      <c r="S7028" s="18">
        <v>70051.570000000007</v>
      </c>
      <c r="T7028" s="18">
        <v>57419.32</v>
      </c>
      <c r="U7028" s="16"/>
      <c r="V7028" s="16"/>
      <c r="W7028" s="16" t="s">
        <v>40</v>
      </c>
      <c r="X7028" s="19">
        <v>105</v>
      </c>
      <c r="Y7028" s="20">
        <v>0.504</v>
      </c>
      <c r="Z7028" s="21">
        <v>4601004100732</v>
      </c>
    </row>
    <row r="7029" spans="1:26" ht="12.95" customHeight="1" outlineLevel="3" x14ac:dyDescent="0.2">
      <c r="A7029" s="76" t="s">
        <v>13498</v>
      </c>
      <c r="B7029" s="76"/>
      <c r="C7029" s="77"/>
      <c r="D7029" s="58"/>
      <c r="E7029" s="68"/>
      <c r="F7029" s="13"/>
      <c r="G7029" s="13"/>
      <c r="H7029" s="13"/>
      <c r="I7029" s="13"/>
      <c r="J7029" s="13"/>
      <c r="K7029" s="13"/>
      <c r="L7029" s="13"/>
      <c r="M7029" s="13"/>
      <c r="N7029" s="13"/>
      <c r="O7029" s="13"/>
      <c r="P7029" s="13"/>
      <c r="Q7029" s="13"/>
      <c r="R7029" s="13"/>
      <c r="S7029" s="13"/>
      <c r="T7029" s="13"/>
      <c r="U7029" s="13"/>
      <c r="V7029" s="13"/>
      <c r="W7029" s="13"/>
      <c r="X7029" s="13"/>
      <c r="Y7029" s="13"/>
      <c r="Z7029" s="13"/>
    </row>
    <row r="7030" spans="1:26" ht="12" customHeight="1" outlineLevel="4" x14ac:dyDescent="0.2">
      <c r="A7030" s="14" t="s">
        <v>13499</v>
      </c>
      <c r="B7030" s="26" t="s">
        <v>13500</v>
      </c>
      <c r="C7030" s="52"/>
      <c r="D7030" s="55">
        <f t="shared" si="109"/>
        <v>0</v>
      </c>
      <c r="E7030" s="63" t="str">
        <f>HYPERLINK("https://www.sds-group.ru/product/shkaf-telekommunikatsionnyy-napolnyy-19-47u-600h1000mm-dver-steklo-zadnyaya-dver-metall-razb-04-2300/", "Инфо")</f>
        <v>Инфо</v>
      </c>
      <c r="F7030" s="16" t="s">
        <v>39</v>
      </c>
      <c r="G7030" s="15"/>
      <c r="H7030" s="15"/>
      <c r="I7030" s="15" t="s">
        <v>13441</v>
      </c>
      <c r="J7030" s="16" t="s">
        <v>100</v>
      </c>
      <c r="K7030" s="15"/>
      <c r="L7030" s="17">
        <v>1</v>
      </c>
      <c r="M7030" s="17">
        <v>1</v>
      </c>
      <c r="N7030" s="17">
        <v>1</v>
      </c>
      <c r="O7030" s="18">
        <v>121544.72</v>
      </c>
      <c r="P7030" s="18">
        <v>99626.82</v>
      </c>
      <c r="Q7030" s="18">
        <v>121544.72</v>
      </c>
      <c r="R7030" s="18">
        <v>99626.82</v>
      </c>
      <c r="S7030" s="18">
        <v>72926.83</v>
      </c>
      <c r="T7030" s="18">
        <v>59776.09</v>
      </c>
      <c r="U7030" s="16"/>
      <c r="V7030" s="16"/>
      <c r="W7030" s="16" t="s">
        <v>40</v>
      </c>
      <c r="X7030" s="19">
        <v>118.5</v>
      </c>
      <c r="Y7030" s="20">
        <v>0.60799999999999998</v>
      </c>
      <c r="Z7030" s="21">
        <v>4601004100701</v>
      </c>
    </row>
    <row r="7031" spans="1:26" ht="12" customHeight="1" outlineLevel="4" x14ac:dyDescent="0.2">
      <c r="A7031" s="14" t="s">
        <v>13501</v>
      </c>
      <c r="B7031" s="26" t="s">
        <v>13502</v>
      </c>
      <c r="C7031" s="52"/>
      <c r="D7031" s="55">
        <f t="shared" si="109"/>
        <v>0</v>
      </c>
      <c r="E7031" s="63" t="str">
        <f>HYPERLINK("https://www.sds-group.ru/product/shkaf-telekommunikatsionnyy-napolnyy-19-47u-600h1000mm-perednyaya-i-zadnyaya-dver-perforatsi-04-2330/", "Инфо")</f>
        <v>Инфо</v>
      </c>
      <c r="F7031" s="16" t="s">
        <v>39</v>
      </c>
      <c r="G7031" s="15"/>
      <c r="H7031" s="15"/>
      <c r="I7031" s="15" t="s">
        <v>13441</v>
      </c>
      <c r="J7031" s="16" t="s">
        <v>100</v>
      </c>
      <c r="K7031" s="15"/>
      <c r="L7031" s="17">
        <v>1</v>
      </c>
      <c r="M7031" s="17">
        <v>1</v>
      </c>
      <c r="N7031" s="17">
        <v>1</v>
      </c>
      <c r="O7031" s="18">
        <v>126120.2</v>
      </c>
      <c r="P7031" s="18">
        <v>103377.21</v>
      </c>
      <c r="Q7031" s="18">
        <v>126120.2</v>
      </c>
      <c r="R7031" s="18">
        <v>103377.21</v>
      </c>
      <c r="S7031" s="18">
        <v>75672.12</v>
      </c>
      <c r="T7031" s="18">
        <v>62026.33</v>
      </c>
      <c r="U7031" s="16"/>
      <c r="V7031" s="16"/>
      <c r="W7031" s="16" t="s">
        <v>40</v>
      </c>
      <c r="X7031" s="19">
        <v>118.5</v>
      </c>
      <c r="Y7031" s="20">
        <v>0.60799999999999998</v>
      </c>
      <c r="Z7031" s="21">
        <v>4601004100756</v>
      </c>
    </row>
    <row r="7032" spans="1:26" ht="12.95" customHeight="1" outlineLevel="3" x14ac:dyDescent="0.2">
      <c r="A7032" s="76" t="s">
        <v>13503</v>
      </c>
      <c r="B7032" s="76"/>
      <c r="C7032" s="77"/>
      <c r="D7032" s="58"/>
      <c r="E7032" s="68"/>
      <c r="F7032" s="13"/>
      <c r="G7032" s="13"/>
      <c r="H7032" s="13"/>
      <c r="I7032" s="13"/>
      <c r="J7032" s="13"/>
      <c r="K7032" s="13"/>
      <c r="L7032" s="13"/>
      <c r="M7032" s="13"/>
      <c r="N7032" s="13"/>
      <c r="O7032" s="13"/>
      <c r="P7032" s="13"/>
      <c r="Q7032" s="13"/>
      <c r="R7032" s="13"/>
      <c r="S7032" s="13"/>
      <c r="T7032" s="13"/>
      <c r="U7032" s="13"/>
      <c r="V7032" s="13"/>
      <c r="W7032" s="13"/>
      <c r="X7032" s="13"/>
      <c r="Y7032" s="13"/>
      <c r="Z7032" s="13"/>
    </row>
    <row r="7033" spans="1:26" ht="12" customHeight="1" outlineLevel="4" x14ac:dyDescent="0.2">
      <c r="A7033" s="14" t="s">
        <v>13504</v>
      </c>
      <c r="B7033" s="26" t="s">
        <v>13505</v>
      </c>
      <c r="C7033" s="52"/>
      <c r="D7033" s="55">
        <f t="shared" si="109"/>
        <v>0</v>
      </c>
      <c r="E7033" s="63" t="str">
        <f>HYPERLINK("https://www.sds-group.ru/product/shkaf-telekommunikatsionnyy-napolnyy-19-47u-800h800mm-dver-steklo-zadnyaya-dver-metall-razbo-04-2302/", "Инфо")</f>
        <v>Инфо</v>
      </c>
      <c r="F7033" s="16" t="s">
        <v>39</v>
      </c>
      <c r="G7033" s="15"/>
      <c r="H7033" s="15"/>
      <c r="I7033" s="15" t="s">
        <v>13445</v>
      </c>
      <c r="J7033" s="16" t="s">
        <v>100</v>
      </c>
      <c r="K7033" s="15"/>
      <c r="L7033" s="17">
        <v>1</v>
      </c>
      <c r="M7033" s="17">
        <v>1</v>
      </c>
      <c r="N7033" s="17">
        <v>1</v>
      </c>
      <c r="O7033" s="18">
        <v>146194.76999999999</v>
      </c>
      <c r="P7033" s="18">
        <v>119831.78</v>
      </c>
      <c r="Q7033" s="18">
        <v>146194.76999999999</v>
      </c>
      <c r="R7033" s="18">
        <v>119831.78</v>
      </c>
      <c r="S7033" s="18">
        <v>87716.86</v>
      </c>
      <c r="T7033" s="18">
        <v>71899.070000000007</v>
      </c>
      <c r="U7033" s="16"/>
      <c r="V7033" s="16"/>
      <c r="W7033" s="16" t="s">
        <v>40</v>
      </c>
      <c r="X7033" s="19">
        <v>133</v>
      </c>
      <c r="Y7033" s="20">
        <v>0.66500000000000004</v>
      </c>
      <c r="Z7033" s="21">
        <v>4601004100725</v>
      </c>
    </row>
    <row r="7034" spans="1:26" ht="12.95" customHeight="1" outlineLevel="3" x14ac:dyDescent="0.2">
      <c r="A7034" s="76" t="s">
        <v>13506</v>
      </c>
      <c r="B7034" s="76"/>
      <c r="C7034" s="77"/>
      <c r="D7034" s="58"/>
      <c r="E7034" s="68"/>
      <c r="F7034" s="13"/>
      <c r="G7034" s="13"/>
      <c r="H7034" s="13"/>
      <c r="I7034" s="13"/>
      <c r="J7034" s="13"/>
      <c r="K7034" s="13"/>
      <c r="L7034" s="13"/>
      <c r="M7034" s="13"/>
      <c r="N7034" s="13"/>
      <c r="O7034" s="13"/>
      <c r="P7034" s="13"/>
      <c r="Q7034" s="13"/>
      <c r="R7034" s="13"/>
      <c r="S7034" s="13"/>
      <c r="T7034" s="13"/>
      <c r="U7034" s="13"/>
      <c r="V7034" s="13"/>
      <c r="W7034" s="13"/>
      <c r="X7034" s="13"/>
      <c r="Y7034" s="13"/>
      <c r="Z7034" s="13"/>
    </row>
    <row r="7035" spans="1:26" ht="12" customHeight="1" outlineLevel="4" x14ac:dyDescent="0.2">
      <c r="A7035" s="14" t="s">
        <v>13507</v>
      </c>
      <c r="B7035" s="26" t="s">
        <v>13508</v>
      </c>
      <c r="C7035" s="52"/>
      <c r="D7035" s="55">
        <f t="shared" si="109"/>
        <v>0</v>
      </c>
      <c r="E7035" s="63" t="str">
        <f>HYPERLINK("https://www.sds-group.ru/product/shkaf-telekommunikatsionnyy-napolnyy-19-47u-800h1000mm-dver-steklo-zadnyaya-dver-metall-razb-04-2301/", "Инфо")</f>
        <v>Инфо</v>
      </c>
      <c r="F7035" s="16" t="s">
        <v>39</v>
      </c>
      <c r="G7035" s="15"/>
      <c r="H7035" s="15"/>
      <c r="I7035" s="15" t="s">
        <v>13441</v>
      </c>
      <c r="J7035" s="16" t="s">
        <v>100</v>
      </c>
      <c r="K7035" s="15"/>
      <c r="L7035" s="17">
        <v>1</v>
      </c>
      <c r="M7035" s="17">
        <v>1</v>
      </c>
      <c r="N7035" s="17">
        <v>1</v>
      </c>
      <c r="O7035" s="18">
        <v>156285.44</v>
      </c>
      <c r="P7035" s="18">
        <v>128102.82</v>
      </c>
      <c r="Q7035" s="18">
        <v>156285.44</v>
      </c>
      <c r="R7035" s="18">
        <v>128102.82</v>
      </c>
      <c r="S7035" s="18">
        <v>93771.26</v>
      </c>
      <c r="T7035" s="18">
        <v>76861.69</v>
      </c>
      <c r="U7035" s="16"/>
      <c r="V7035" s="16"/>
      <c r="W7035" s="16" t="s">
        <v>40</v>
      </c>
      <c r="X7035" s="19">
        <v>145</v>
      </c>
      <c r="Y7035" s="20">
        <v>0.68500000000000005</v>
      </c>
      <c r="Z7035" s="21">
        <v>4601004100718</v>
      </c>
    </row>
    <row r="7036" spans="1:26" ht="12" customHeight="1" outlineLevel="4" x14ac:dyDescent="0.2">
      <c r="A7036" s="14" t="s">
        <v>13509</v>
      </c>
      <c r="B7036" s="26" t="s">
        <v>13510</v>
      </c>
      <c r="C7036" s="52"/>
      <c r="D7036" s="55">
        <f t="shared" si="109"/>
        <v>0</v>
      </c>
      <c r="E7036" s="63" t="str">
        <f>HYPERLINK("https://www.sds-group.ru/product/shkaf-telekommunikatsionnyy-napolnyy-19-47u-800h1000mm-perednyaya-i-zadnyaya-dver-perforatsi-04-2331/", "Инфо")</f>
        <v>Инфо</v>
      </c>
      <c r="F7036" s="16" t="s">
        <v>39</v>
      </c>
      <c r="G7036" s="15"/>
      <c r="H7036" s="15"/>
      <c r="I7036" s="15" t="s">
        <v>13441</v>
      </c>
      <c r="J7036" s="16" t="s">
        <v>100</v>
      </c>
      <c r="K7036" s="15"/>
      <c r="L7036" s="17">
        <v>1</v>
      </c>
      <c r="M7036" s="17">
        <v>1</v>
      </c>
      <c r="N7036" s="17">
        <v>1</v>
      </c>
      <c r="O7036" s="18">
        <v>159411.70000000001</v>
      </c>
      <c r="P7036" s="18">
        <v>130665.33</v>
      </c>
      <c r="Q7036" s="18">
        <v>159411.70000000001</v>
      </c>
      <c r="R7036" s="18">
        <v>130665.33</v>
      </c>
      <c r="S7036" s="18">
        <v>95647.02</v>
      </c>
      <c r="T7036" s="18">
        <v>78399.199999999997</v>
      </c>
      <c r="U7036" s="16"/>
      <c r="V7036" s="16"/>
      <c r="W7036" s="16" t="s">
        <v>40</v>
      </c>
      <c r="X7036" s="19">
        <v>145</v>
      </c>
      <c r="Y7036" s="20">
        <v>0.68500000000000005</v>
      </c>
      <c r="Z7036" s="21">
        <v>4601004100763</v>
      </c>
    </row>
    <row r="7037" spans="1:26" ht="12.95" customHeight="1" outlineLevel="2" x14ac:dyDescent="0.2">
      <c r="A7037" s="76" t="s">
        <v>13511</v>
      </c>
      <c r="B7037" s="76"/>
      <c r="C7037" s="77"/>
      <c r="D7037" s="58"/>
      <c r="E7037" s="68"/>
      <c r="F7037" s="13"/>
      <c r="G7037" s="13"/>
      <c r="H7037" s="13"/>
      <c r="I7037" s="13"/>
      <c r="J7037" s="13"/>
      <c r="K7037" s="13"/>
      <c r="L7037" s="13"/>
      <c r="M7037" s="13"/>
      <c r="N7037" s="13"/>
      <c r="O7037" s="13"/>
      <c r="P7037" s="13"/>
      <c r="Q7037" s="13"/>
      <c r="R7037" s="13"/>
      <c r="S7037" s="13"/>
      <c r="T7037" s="13"/>
      <c r="U7037" s="13"/>
      <c r="V7037" s="13"/>
      <c r="W7037" s="13"/>
      <c r="X7037" s="13"/>
      <c r="Y7037" s="13"/>
      <c r="Z7037" s="13"/>
    </row>
    <row r="7038" spans="1:26" ht="12.95" customHeight="1" outlineLevel="3" x14ac:dyDescent="0.2">
      <c r="A7038" s="76" t="s">
        <v>13512</v>
      </c>
      <c r="B7038" s="76"/>
      <c r="C7038" s="77"/>
      <c r="D7038" s="58"/>
      <c r="E7038" s="68"/>
      <c r="F7038" s="13"/>
      <c r="G7038" s="13"/>
      <c r="H7038" s="13"/>
      <c r="I7038" s="13"/>
      <c r="J7038" s="13"/>
      <c r="K7038" s="13"/>
      <c r="L7038" s="13"/>
      <c r="M7038" s="13"/>
      <c r="N7038" s="13"/>
      <c r="O7038" s="13"/>
      <c r="P7038" s="13"/>
      <c r="Q7038" s="13"/>
      <c r="R7038" s="13"/>
      <c r="S7038" s="13"/>
      <c r="T7038" s="13"/>
      <c r="U7038" s="13"/>
      <c r="V7038" s="13"/>
      <c r="W7038" s="13"/>
      <c r="X7038" s="13"/>
      <c r="Y7038" s="13"/>
      <c r="Z7038" s="13"/>
    </row>
    <row r="7039" spans="1:26" ht="12" customHeight="1" outlineLevel="4" x14ac:dyDescent="0.2">
      <c r="A7039" s="14" t="s">
        <v>13513</v>
      </c>
      <c r="B7039" s="26" t="s">
        <v>13514</v>
      </c>
      <c r="C7039" s="52"/>
      <c r="D7039" s="55">
        <f t="shared" si="109"/>
        <v>0</v>
      </c>
      <c r="E7039" s="63" t="str">
        <f>HYPERLINK("https://www.sds-group.ru/product/nastennyy-telekommunikatsionnyy-shkaf-19-6u-600-450mm-dver-steklo-s-zadney-stenkoy-razbo-04-0664-111/", "Инфо")</f>
        <v>Инфо</v>
      </c>
      <c r="F7039" s="16" t="s">
        <v>39</v>
      </c>
      <c r="G7039" s="15"/>
      <c r="H7039" s="15"/>
      <c r="I7039" s="15"/>
      <c r="J7039" s="16" t="s">
        <v>100</v>
      </c>
      <c r="K7039" s="15" t="s">
        <v>1519</v>
      </c>
      <c r="L7039" s="17">
        <v>1</v>
      </c>
      <c r="M7039" s="17">
        <v>1</v>
      </c>
      <c r="N7039" s="17">
        <v>1</v>
      </c>
      <c r="O7039" s="18">
        <v>13887.48</v>
      </c>
      <c r="P7039" s="18">
        <v>11383.18</v>
      </c>
      <c r="Q7039" s="18">
        <v>11109.98</v>
      </c>
      <c r="R7039" s="18">
        <v>9106.5400000000009</v>
      </c>
      <c r="S7039" s="18">
        <v>8332.49</v>
      </c>
      <c r="T7039" s="18">
        <v>6829.91</v>
      </c>
      <c r="U7039" s="16"/>
      <c r="V7039" s="16"/>
      <c r="W7039" s="16" t="s">
        <v>40</v>
      </c>
      <c r="X7039" s="19">
        <v>13.8</v>
      </c>
      <c r="Y7039" s="20">
        <v>4.8800000000000003E-2</v>
      </c>
      <c r="Z7039" s="21">
        <v>4601004296886</v>
      </c>
    </row>
    <row r="7040" spans="1:26" ht="12" customHeight="1" outlineLevel="4" x14ac:dyDescent="0.2">
      <c r="A7040" s="40" t="s">
        <v>13515</v>
      </c>
      <c r="B7040" s="75" t="s">
        <v>13516</v>
      </c>
      <c r="C7040" s="51"/>
      <c r="D7040" s="54">
        <f t="shared" si="109"/>
        <v>0</v>
      </c>
      <c r="E7040" s="61" t="str">
        <f>HYPERLINK("https://www.sds-group.ru/product/nastennyy-telekommunikatsionnyy-shkaf-19-6u-600-450mm-dver-steklo-s-zadney-stenkoy-razbo-04-0664-112/", "Инфо")</f>
        <v>Инфо</v>
      </c>
      <c r="F7040" s="42" t="s">
        <v>39</v>
      </c>
      <c r="G7040" s="41" t="s">
        <v>40</v>
      </c>
      <c r="H7040" s="41"/>
      <c r="I7040" s="41"/>
      <c r="J7040" s="42" t="s">
        <v>100</v>
      </c>
      <c r="K7040" s="41" t="s">
        <v>6930</v>
      </c>
      <c r="L7040" s="43">
        <v>1</v>
      </c>
      <c r="M7040" s="43">
        <v>1</v>
      </c>
      <c r="N7040" s="43">
        <v>1</v>
      </c>
      <c r="O7040" s="44">
        <v>13887.48</v>
      </c>
      <c r="P7040" s="44">
        <v>11383.18</v>
      </c>
      <c r="Q7040" s="44">
        <v>12359.86</v>
      </c>
      <c r="R7040" s="44">
        <v>10131.030000000001</v>
      </c>
      <c r="S7040" s="44">
        <v>8332.49</v>
      </c>
      <c r="T7040" s="44">
        <v>6829.91</v>
      </c>
      <c r="U7040" s="42"/>
      <c r="V7040" s="42"/>
      <c r="W7040" s="42" t="s">
        <v>40</v>
      </c>
      <c r="X7040" s="45">
        <v>14.666</v>
      </c>
      <c r="Y7040" s="46">
        <v>4.3519000000000002E-2</v>
      </c>
      <c r="Z7040" s="21">
        <v>4601004339354</v>
      </c>
    </row>
    <row r="7041" spans="1:26" ht="12.95" customHeight="1" outlineLevel="3" x14ac:dyDescent="0.2">
      <c r="A7041" s="76" t="s">
        <v>13517</v>
      </c>
      <c r="B7041" s="76"/>
      <c r="C7041" s="77"/>
      <c r="D7041" s="58"/>
      <c r="E7041" s="68"/>
      <c r="F7041" s="13"/>
      <c r="G7041" s="13"/>
      <c r="H7041" s="13"/>
      <c r="I7041" s="13"/>
      <c r="J7041" s="13"/>
      <c r="K7041" s="13"/>
      <c r="L7041" s="13"/>
      <c r="M7041" s="13"/>
      <c r="N7041" s="13"/>
      <c r="O7041" s="13"/>
      <c r="P7041" s="13"/>
      <c r="Q7041" s="13"/>
      <c r="R7041" s="13"/>
      <c r="S7041" s="13"/>
      <c r="T7041" s="13"/>
      <c r="U7041" s="13"/>
      <c r="V7041" s="13"/>
      <c r="W7041" s="13"/>
      <c r="X7041" s="13"/>
      <c r="Y7041" s="13"/>
      <c r="Z7041" s="13"/>
    </row>
    <row r="7042" spans="1:26" ht="12" customHeight="1" outlineLevel="4" x14ac:dyDescent="0.2">
      <c r="A7042" s="14" t="s">
        <v>13518</v>
      </c>
      <c r="B7042" s="26" t="s">
        <v>13519</v>
      </c>
      <c r="C7042" s="52"/>
      <c r="D7042" s="55">
        <f t="shared" si="109"/>
        <v>0</v>
      </c>
      <c r="E7042" s="63" t="str">
        <f>HYPERLINK("https://www.sds-group.ru/product/nastennyy-telekommunikatsionnyy-shkaf-19-6u-600-600mm-dver-steklo-s-zadney-stenkoy-razbo-04-0666-111/", "Инфо")</f>
        <v>Инфо</v>
      </c>
      <c r="F7042" s="16" t="s">
        <v>39</v>
      </c>
      <c r="G7042" s="15"/>
      <c r="H7042" s="15"/>
      <c r="I7042" s="15"/>
      <c r="J7042" s="17">
        <v>1</v>
      </c>
      <c r="K7042" s="15" t="s">
        <v>1519</v>
      </c>
      <c r="L7042" s="17">
        <v>1</v>
      </c>
      <c r="M7042" s="17">
        <v>1</v>
      </c>
      <c r="N7042" s="17">
        <v>1</v>
      </c>
      <c r="O7042" s="18">
        <v>15452.28</v>
      </c>
      <c r="P7042" s="18">
        <v>12665.8</v>
      </c>
      <c r="Q7042" s="18">
        <v>12361.82</v>
      </c>
      <c r="R7042" s="18">
        <v>10132.64</v>
      </c>
      <c r="S7042" s="18">
        <v>9271.3700000000008</v>
      </c>
      <c r="T7042" s="18">
        <v>7599.48</v>
      </c>
      <c r="U7042" s="16"/>
      <c r="V7042" s="16"/>
      <c r="W7042" s="16" t="s">
        <v>40</v>
      </c>
      <c r="X7042" s="19">
        <v>16.792000000000002</v>
      </c>
      <c r="Y7042" s="20">
        <v>8.8749999999999996E-2</v>
      </c>
      <c r="Z7042" s="21">
        <v>4601004297050</v>
      </c>
    </row>
    <row r="7043" spans="1:26" ht="12" customHeight="1" outlineLevel="4" x14ac:dyDescent="0.2">
      <c r="A7043" s="40" t="s">
        <v>13520</v>
      </c>
      <c r="B7043" s="75" t="s">
        <v>13521</v>
      </c>
      <c r="C7043" s="51"/>
      <c r="D7043" s="54">
        <f t="shared" si="109"/>
        <v>0</v>
      </c>
      <c r="E7043" s="61" t="str">
        <f>HYPERLINK("https://www.sds-group.ru/product/nastennyy-telekommunikatsionnyy-shkaf-19-6u-600-600mm-dver-steklo-s-zadney-stenkoy-razbo-04-0666-112/", "Инфо")</f>
        <v>Инфо</v>
      </c>
      <c r="F7043" s="42" t="s">
        <v>39</v>
      </c>
      <c r="G7043" s="41" t="s">
        <v>40</v>
      </c>
      <c r="H7043" s="41"/>
      <c r="I7043" s="41"/>
      <c r="J7043" s="42" t="s">
        <v>100</v>
      </c>
      <c r="K7043" s="41" t="s">
        <v>1519</v>
      </c>
      <c r="L7043" s="43">
        <v>1</v>
      </c>
      <c r="M7043" s="43">
        <v>1</v>
      </c>
      <c r="N7043" s="43">
        <v>1</v>
      </c>
      <c r="O7043" s="44">
        <v>15452.28</v>
      </c>
      <c r="P7043" s="44">
        <v>12665.8</v>
      </c>
      <c r="Q7043" s="44">
        <v>13752.53</v>
      </c>
      <c r="R7043" s="44">
        <v>11272.57</v>
      </c>
      <c r="S7043" s="44">
        <v>9271.3700000000008</v>
      </c>
      <c r="T7043" s="44">
        <v>7599.48</v>
      </c>
      <c r="U7043" s="42"/>
      <c r="V7043" s="42"/>
      <c r="W7043" s="42" t="s">
        <v>40</v>
      </c>
      <c r="X7043" s="45">
        <v>16.805</v>
      </c>
      <c r="Y7043" s="46">
        <v>9.0867000000000003E-2</v>
      </c>
      <c r="Z7043" s="21">
        <v>4601004339361</v>
      </c>
    </row>
    <row r="7044" spans="1:26" ht="12.95" customHeight="1" outlineLevel="3" x14ac:dyDescent="0.2">
      <c r="A7044" s="76" t="s">
        <v>13522</v>
      </c>
      <c r="B7044" s="76"/>
      <c r="C7044" s="77"/>
      <c r="D7044" s="58"/>
      <c r="E7044" s="68"/>
      <c r="F7044" s="13"/>
      <c r="G7044" s="13"/>
      <c r="H7044" s="13"/>
      <c r="I7044" s="13"/>
      <c r="J7044" s="13"/>
      <c r="K7044" s="13"/>
      <c r="L7044" s="13"/>
      <c r="M7044" s="13"/>
      <c r="N7044" s="13"/>
      <c r="O7044" s="13"/>
      <c r="P7044" s="13"/>
      <c r="Q7044" s="13"/>
      <c r="R7044" s="13"/>
      <c r="S7044" s="13"/>
      <c r="T7044" s="13"/>
      <c r="U7044" s="13"/>
      <c r="V7044" s="13"/>
      <c r="W7044" s="13"/>
      <c r="X7044" s="13"/>
      <c r="Y7044" s="13"/>
      <c r="Z7044" s="13"/>
    </row>
    <row r="7045" spans="1:26" ht="12" customHeight="1" outlineLevel="4" x14ac:dyDescent="0.2">
      <c r="A7045" s="40" t="s">
        <v>13523</v>
      </c>
      <c r="B7045" s="75" t="s">
        <v>13524</v>
      </c>
      <c r="C7045" s="51"/>
      <c r="D7045" s="54">
        <f t="shared" si="109"/>
        <v>0</v>
      </c>
      <c r="E7045" s="61" t="str">
        <f>HYPERLINK("https://www.sds-group.ru/product/nastennyy-telekommunikatsionnyy-shkaf-19-9u-600-450mm-dver-metall-s-zadney-stenkoy-razbo-04-0964-121/", "Инфо")</f>
        <v>Инфо</v>
      </c>
      <c r="F7045" s="42" t="s">
        <v>39</v>
      </c>
      <c r="G7045" s="41" t="s">
        <v>40</v>
      </c>
      <c r="H7045" s="41"/>
      <c r="I7045" s="41"/>
      <c r="J7045" s="43">
        <v>8</v>
      </c>
      <c r="K7045" s="41" t="s">
        <v>1519</v>
      </c>
      <c r="L7045" s="43">
        <v>1</v>
      </c>
      <c r="M7045" s="43">
        <v>1</v>
      </c>
      <c r="N7045" s="43">
        <v>1</v>
      </c>
      <c r="O7045" s="44">
        <v>15693.9</v>
      </c>
      <c r="P7045" s="44">
        <v>12863.85</v>
      </c>
      <c r="Q7045" s="44">
        <v>13967.57</v>
      </c>
      <c r="R7045" s="44">
        <v>11448.83</v>
      </c>
      <c r="S7045" s="44">
        <v>9416.34</v>
      </c>
      <c r="T7045" s="44">
        <v>7718.31</v>
      </c>
      <c r="U7045" s="42"/>
      <c r="V7045" s="42"/>
      <c r="W7045" s="42" t="s">
        <v>40</v>
      </c>
      <c r="X7045" s="45">
        <v>17.8</v>
      </c>
      <c r="Y7045" s="46">
        <v>5.7000000000000002E-2</v>
      </c>
      <c r="Z7045" s="21">
        <v>4601004331310</v>
      </c>
    </row>
    <row r="7046" spans="1:26" ht="12" customHeight="1" outlineLevel="4" x14ac:dyDescent="0.2">
      <c r="A7046" s="14" t="s">
        <v>13525</v>
      </c>
      <c r="B7046" s="26" t="s">
        <v>13526</v>
      </c>
      <c r="C7046" s="52"/>
      <c r="D7046" s="55">
        <f t="shared" si="109"/>
        <v>0</v>
      </c>
      <c r="E7046" s="63" t="str">
        <f>HYPERLINK("https://www.sds-group.ru/product/nastennyy-telekommunikatsionnyy-shkaf-19-9u-600-450mm-dver-steklo-s-zadney-stenkoy-razbo-04-0964-111/", "Инфо")</f>
        <v>Инфо</v>
      </c>
      <c r="F7046" s="16" t="s">
        <v>39</v>
      </c>
      <c r="G7046" s="15"/>
      <c r="H7046" s="15"/>
      <c r="I7046" s="15"/>
      <c r="J7046" s="16" t="s">
        <v>100</v>
      </c>
      <c r="K7046" s="15" t="s">
        <v>1519</v>
      </c>
      <c r="L7046" s="17">
        <v>1</v>
      </c>
      <c r="M7046" s="17">
        <v>1</v>
      </c>
      <c r="N7046" s="17">
        <v>1</v>
      </c>
      <c r="O7046" s="18">
        <v>15693.9</v>
      </c>
      <c r="P7046" s="18">
        <v>12863.85</v>
      </c>
      <c r="Q7046" s="18">
        <v>12555.12</v>
      </c>
      <c r="R7046" s="18">
        <v>10291.08</v>
      </c>
      <c r="S7046" s="18">
        <v>9416.34</v>
      </c>
      <c r="T7046" s="18">
        <v>7718.31</v>
      </c>
      <c r="U7046" s="16"/>
      <c r="V7046" s="16"/>
      <c r="W7046" s="16" t="s">
        <v>40</v>
      </c>
      <c r="X7046" s="19">
        <v>17.3</v>
      </c>
      <c r="Y7046" s="20">
        <v>6.7250000000000004E-2</v>
      </c>
      <c r="Z7046" s="21">
        <v>4601004296817</v>
      </c>
    </row>
    <row r="7047" spans="1:26" ht="12" customHeight="1" outlineLevel="4" x14ac:dyDescent="0.2">
      <c r="A7047" s="14" t="s">
        <v>13527</v>
      </c>
      <c r="B7047" s="26" t="s">
        <v>13528</v>
      </c>
      <c r="C7047" s="52"/>
      <c r="D7047" s="55">
        <f t="shared" si="109"/>
        <v>0</v>
      </c>
      <c r="E7047" s="63" t="str">
        <f>HYPERLINK("https://www.sds-group.ru/product/nastennyy-telekommunikatsionnyy-shkaf-19-9u-600-450mm-dver-steklo-s-zadney-stenkoy-razbo-04-0964-112/", "Инфо")</f>
        <v>Инфо</v>
      </c>
      <c r="F7047" s="16" t="s">
        <v>39</v>
      </c>
      <c r="G7047" s="15"/>
      <c r="H7047" s="15"/>
      <c r="I7047" s="15"/>
      <c r="J7047" s="16" t="s">
        <v>100</v>
      </c>
      <c r="K7047" s="15" t="s">
        <v>1519</v>
      </c>
      <c r="L7047" s="17">
        <v>1</v>
      </c>
      <c r="M7047" s="17">
        <v>1</v>
      </c>
      <c r="N7047" s="17">
        <v>1</v>
      </c>
      <c r="O7047" s="18">
        <v>15693.9</v>
      </c>
      <c r="P7047" s="18">
        <v>12863.85</v>
      </c>
      <c r="Q7047" s="18">
        <v>12555.12</v>
      </c>
      <c r="R7047" s="18">
        <v>10291.08</v>
      </c>
      <c r="S7047" s="18">
        <v>9416.34</v>
      </c>
      <c r="T7047" s="18">
        <v>7718.31</v>
      </c>
      <c r="U7047" s="16"/>
      <c r="V7047" s="16"/>
      <c r="W7047" s="16" t="s">
        <v>40</v>
      </c>
      <c r="X7047" s="19">
        <v>17.3</v>
      </c>
      <c r="Y7047" s="20">
        <v>6.7250000000000004E-2</v>
      </c>
      <c r="Z7047" s="21">
        <v>4601004304246</v>
      </c>
    </row>
    <row r="7048" spans="1:26" ht="12.95" customHeight="1" outlineLevel="3" x14ac:dyDescent="0.2">
      <c r="A7048" s="76" t="s">
        <v>13529</v>
      </c>
      <c r="B7048" s="76"/>
      <c r="C7048" s="77"/>
      <c r="D7048" s="58"/>
      <c r="E7048" s="68"/>
      <c r="F7048" s="13"/>
      <c r="G7048" s="13"/>
      <c r="H7048" s="13"/>
      <c r="I7048" s="13"/>
      <c r="J7048" s="13"/>
      <c r="K7048" s="13"/>
      <c r="L7048" s="13"/>
      <c r="M7048" s="13"/>
      <c r="N7048" s="13"/>
      <c r="O7048" s="13"/>
      <c r="P7048" s="13"/>
      <c r="Q7048" s="13"/>
      <c r="R7048" s="13"/>
      <c r="S7048" s="13"/>
      <c r="T7048" s="13"/>
      <c r="U7048" s="13"/>
      <c r="V7048" s="13"/>
      <c r="W7048" s="13"/>
      <c r="X7048" s="13"/>
      <c r="Y7048" s="13"/>
      <c r="Z7048" s="13"/>
    </row>
    <row r="7049" spans="1:26" ht="12" customHeight="1" outlineLevel="4" x14ac:dyDescent="0.2">
      <c r="A7049" s="40" t="s">
        <v>13530</v>
      </c>
      <c r="B7049" s="75" t="s">
        <v>13531</v>
      </c>
      <c r="C7049" s="51"/>
      <c r="D7049" s="54">
        <f t="shared" ref="D7049:D7112" si="110">C7049*(O7049-O7049*$G$3)</f>
        <v>0</v>
      </c>
      <c r="E7049" s="61" t="str">
        <f>HYPERLINK("https://www.sds-group.ru/product/nastennyy-telekommunikatsionnyy-shkaf-19-12u-600-600mm-dver-metall-s-zadney-stenkoy-razb-04-1266-121/", "Инфо")</f>
        <v>Инфо</v>
      </c>
      <c r="F7049" s="42" t="s">
        <v>39</v>
      </c>
      <c r="G7049" s="41" t="s">
        <v>40</v>
      </c>
      <c r="H7049" s="41"/>
      <c r="I7049" s="41"/>
      <c r="J7049" s="43">
        <v>9</v>
      </c>
      <c r="K7049" s="41" t="s">
        <v>1519</v>
      </c>
      <c r="L7049" s="43">
        <v>1</v>
      </c>
      <c r="M7049" s="43">
        <v>1</v>
      </c>
      <c r="N7049" s="43">
        <v>1</v>
      </c>
      <c r="O7049" s="44">
        <v>19444.79</v>
      </c>
      <c r="P7049" s="44">
        <v>15938.35</v>
      </c>
      <c r="Q7049" s="44">
        <v>17305.86</v>
      </c>
      <c r="R7049" s="44">
        <v>14185.13</v>
      </c>
      <c r="S7049" s="44">
        <v>11666.87</v>
      </c>
      <c r="T7049" s="44">
        <v>9563.01</v>
      </c>
      <c r="U7049" s="42"/>
      <c r="V7049" s="42"/>
      <c r="W7049" s="42" t="s">
        <v>40</v>
      </c>
      <c r="X7049" s="45">
        <v>22.3</v>
      </c>
      <c r="Y7049" s="46">
        <v>7.8E-2</v>
      </c>
      <c r="Z7049" s="21">
        <v>4601004331327</v>
      </c>
    </row>
    <row r="7050" spans="1:26" ht="12" customHeight="1" outlineLevel="4" x14ac:dyDescent="0.2">
      <c r="A7050" s="40" t="s">
        <v>13532</v>
      </c>
      <c r="B7050" s="75" t="s">
        <v>13533</v>
      </c>
      <c r="C7050" s="51"/>
      <c r="D7050" s="54">
        <f t="shared" si="110"/>
        <v>0</v>
      </c>
      <c r="E7050" s="61" t="str">
        <f>HYPERLINK("https://www.sds-group.ru/product/nastennyy-telekommunikatsionnyy-shkaf-19-12u-600-600mm-dver-metall-s-zadney-stenkoy-razb-04-1266-122/", "Инфо")</f>
        <v>Инфо</v>
      </c>
      <c r="F7050" s="42" t="s">
        <v>39</v>
      </c>
      <c r="G7050" s="41" t="s">
        <v>40</v>
      </c>
      <c r="H7050" s="41"/>
      <c r="I7050" s="41"/>
      <c r="J7050" s="42" t="s">
        <v>100</v>
      </c>
      <c r="K7050" s="41" t="s">
        <v>1519</v>
      </c>
      <c r="L7050" s="43">
        <v>1</v>
      </c>
      <c r="M7050" s="43">
        <v>1</v>
      </c>
      <c r="N7050" s="43">
        <v>1</v>
      </c>
      <c r="O7050" s="44">
        <v>19444.79</v>
      </c>
      <c r="P7050" s="44">
        <v>15938.35</v>
      </c>
      <c r="Q7050" s="44">
        <v>17305.86</v>
      </c>
      <c r="R7050" s="44">
        <v>14185.13</v>
      </c>
      <c r="S7050" s="44">
        <v>11666.87</v>
      </c>
      <c r="T7050" s="44">
        <v>9563.01</v>
      </c>
      <c r="U7050" s="42"/>
      <c r="V7050" s="42"/>
      <c r="W7050" s="42" t="s">
        <v>40</v>
      </c>
      <c r="X7050" s="45">
        <v>21.98</v>
      </c>
      <c r="Y7050" s="46">
        <v>9.2048000000000005E-2</v>
      </c>
      <c r="Z7050" s="21">
        <v>4601004339392</v>
      </c>
    </row>
    <row r="7051" spans="1:26" ht="12" customHeight="1" outlineLevel="4" x14ac:dyDescent="0.2">
      <c r="A7051" s="14" t="s">
        <v>13534</v>
      </c>
      <c r="B7051" s="26" t="s">
        <v>13535</v>
      </c>
      <c r="C7051" s="52"/>
      <c r="D7051" s="55">
        <f t="shared" si="110"/>
        <v>0</v>
      </c>
      <c r="E7051" s="63" t="str">
        <f>HYPERLINK("https://www.sds-group.ru/product/nastennyy-telekommunikatsionnyy-shkaf-19-12u-600-600mm-dver-steklo-s-zadney-stenkoy-razb-04-1266-111/", "Инфо")</f>
        <v>Инфо</v>
      </c>
      <c r="F7051" s="16" t="s">
        <v>39</v>
      </c>
      <c r="G7051" s="15"/>
      <c r="H7051" s="15"/>
      <c r="I7051" s="15"/>
      <c r="J7051" s="16" t="s">
        <v>100</v>
      </c>
      <c r="K7051" s="15" t="s">
        <v>1519</v>
      </c>
      <c r="L7051" s="17">
        <v>1</v>
      </c>
      <c r="M7051" s="17">
        <v>1</v>
      </c>
      <c r="N7051" s="17">
        <v>1</v>
      </c>
      <c r="O7051" s="18">
        <v>19444.79</v>
      </c>
      <c r="P7051" s="18">
        <v>15938.35</v>
      </c>
      <c r="Q7051" s="18">
        <v>15555.83</v>
      </c>
      <c r="R7051" s="18">
        <v>12750.68</v>
      </c>
      <c r="S7051" s="18">
        <v>11666.87</v>
      </c>
      <c r="T7051" s="18">
        <v>9563.01</v>
      </c>
      <c r="U7051" s="16"/>
      <c r="V7051" s="16"/>
      <c r="W7051" s="16" t="s">
        <v>40</v>
      </c>
      <c r="X7051" s="19">
        <v>22</v>
      </c>
      <c r="Y7051" s="20">
        <v>7.6214000000000004E-2</v>
      </c>
      <c r="Z7051" s="21">
        <v>4601004296879</v>
      </c>
    </row>
    <row r="7052" spans="1:26" ht="12" customHeight="1" outlineLevel="4" x14ac:dyDescent="0.2">
      <c r="A7052" s="14" t="s">
        <v>13536</v>
      </c>
      <c r="B7052" s="26" t="s">
        <v>13537</v>
      </c>
      <c r="C7052" s="52"/>
      <c r="D7052" s="55">
        <f t="shared" si="110"/>
        <v>0</v>
      </c>
      <c r="E7052" s="63" t="str">
        <f>HYPERLINK("https://www.sds-group.ru/product/nastennyy-telekommunikatsionnyy-shkaf-19-12u-600-600mm-dver-steklo-s-zadney-stenkoy-razb-04-1266-112/", "Инфо")</f>
        <v>Инфо</v>
      </c>
      <c r="F7052" s="16" t="s">
        <v>39</v>
      </c>
      <c r="G7052" s="15"/>
      <c r="H7052" s="15"/>
      <c r="I7052" s="15"/>
      <c r="J7052" s="16" t="s">
        <v>100</v>
      </c>
      <c r="K7052" s="15" t="s">
        <v>1519</v>
      </c>
      <c r="L7052" s="17">
        <v>1</v>
      </c>
      <c r="M7052" s="17">
        <v>1</v>
      </c>
      <c r="N7052" s="17">
        <v>1</v>
      </c>
      <c r="O7052" s="18">
        <v>19444.79</v>
      </c>
      <c r="P7052" s="18">
        <v>15938.35</v>
      </c>
      <c r="Q7052" s="18">
        <v>15555.83</v>
      </c>
      <c r="R7052" s="18">
        <v>12750.68</v>
      </c>
      <c r="S7052" s="18">
        <v>11666.87</v>
      </c>
      <c r="T7052" s="18">
        <v>9563.01</v>
      </c>
      <c r="U7052" s="16"/>
      <c r="V7052" s="16"/>
      <c r="W7052" s="16" t="s">
        <v>40</v>
      </c>
      <c r="X7052" s="19">
        <v>21.8</v>
      </c>
      <c r="Y7052" s="20">
        <v>9.7000000000000003E-2</v>
      </c>
      <c r="Z7052" s="21">
        <v>4601004304352</v>
      </c>
    </row>
    <row r="7053" spans="1:26" ht="12.95" customHeight="1" outlineLevel="3" x14ac:dyDescent="0.2">
      <c r="A7053" s="76" t="s">
        <v>13538</v>
      </c>
      <c r="B7053" s="76"/>
      <c r="C7053" s="77"/>
      <c r="D7053" s="58"/>
      <c r="E7053" s="68"/>
      <c r="F7053" s="13"/>
      <c r="G7053" s="13"/>
      <c r="H7053" s="13"/>
      <c r="I7053" s="13"/>
      <c r="J7053" s="13"/>
      <c r="K7053" s="13"/>
      <c r="L7053" s="13"/>
      <c r="M7053" s="13"/>
      <c r="N7053" s="13"/>
      <c r="O7053" s="13"/>
      <c r="P7053" s="13"/>
      <c r="Q7053" s="13"/>
      <c r="R7053" s="13"/>
      <c r="S7053" s="13"/>
      <c r="T7053" s="13"/>
      <c r="U7053" s="13"/>
      <c r="V7053" s="13"/>
      <c r="W7053" s="13"/>
      <c r="X7053" s="13"/>
      <c r="Y7053" s="13"/>
      <c r="Z7053" s="13"/>
    </row>
    <row r="7054" spans="1:26" ht="12" customHeight="1" outlineLevel="4" x14ac:dyDescent="0.2">
      <c r="A7054" s="40" t="s">
        <v>13539</v>
      </c>
      <c r="B7054" s="75" t="s">
        <v>13540</v>
      </c>
      <c r="C7054" s="51"/>
      <c r="D7054" s="54">
        <f t="shared" si="110"/>
        <v>0</v>
      </c>
      <c r="E7054" s="62"/>
      <c r="F7054" s="42" t="s">
        <v>39</v>
      </c>
      <c r="G7054" s="41" t="s">
        <v>40</v>
      </c>
      <c r="H7054" s="41"/>
      <c r="I7054" s="41"/>
      <c r="J7054" s="43">
        <v>3</v>
      </c>
      <c r="K7054" s="41" t="s">
        <v>1519</v>
      </c>
      <c r="L7054" s="43">
        <v>1</v>
      </c>
      <c r="M7054" s="43">
        <v>1</v>
      </c>
      <c r="N7054" s="43">
        <v>1</v>
      </c>
      <c r="O7054" s="44">
        <v>9721.24</v>
      </c>
      <c r="P7054" s="44">
        <v>7968.23</v>
      </c>
      <c r="Q7054" s="44">
        <v>8651.9</v>
      </c>
      <c r="R7054" s="44">
        <v>7091.72</v>
      </c>
      <c r="S7054" s="44">
        <v>5832.74</v>
      </c>
      <c r="T7054" s="44">
        <v>4780.93</v>
      </c>
      <c r="U7054" s="42"/>
      <c r="V7054" s="42"/>
      <c r="W7054" s="42" t="s">
        <v>40</v>
      </c>
      <c r="X7054" s="45">
        <v>9.8490000000000002</v>
      </c>
      <c r="Y7054" s="46">
        <v>3.7974000000000001E-2</v>
      </c>
      <c r="Z7054" s="21">
        <v>4601004337466</v>
      </c>
    </row>
    <row r="7055" spans="1:26" ht="12" customHeight="1" outlineLevel="4" x14ac:dyDescent="0.2">
      <c r="A7055" s="40" t="s">
        <v>13541</v>
      </c>
      <c r="B7055" s="75" t="s">
        <v>13542</v>
      </c>
      <c r="C7055" s="51"/>
      <c r="D7055" s="54">
        <f t="shared" si="110"/>
        <v>0</v>
      </c>
      <c r="E7055" s="62"/>
      <c r="F7055" s="42" t="s">
        <v>39</v>
      </c>
      <c r="G7055" s="41" t="s">
        <v>40</v>
      </c>
      <c r="H7055" s="41"/>
      <c r="I7055" s="41"/>
      <c r="J7055" s="42" t="s">
        <v>100</v>
      </c>
      <c r="K7055" s="41" t="s">
        <v>6930</v>
      </c>
      <c r="L7055" s="43">
        <v>1</v>
      </c>
      <c r="M7055" s="43">
        <v>1</v>
      </c>
      <c r="N7055" s="43">
        <v>1</v>
      </c>
      <c r="O7055" s="44">
        <v>9721.24</v>
      </c>
      <c r="P7055" s="44">
        <v>7968.23</v>
      </c>
      <c r="Q7055" s="44">
        <v>8651.9</v>
      </c>
      <c r="R7055" s="44">
        <v>7091.72</v>
      </c>
      <c r="S7055" s="44">
        <v>5832.74</v>
      </c>
      <c r="T7055" s="44">
        <v>4780.93</v>
      </c>
      <c r="U7055" s="42"/>
      <c r="V7055" s="42"/>
      <c r="W7055" s="42" t="s">
        <v>40</v>
      </c>
      <c r="X7055" s="45">
        <v>10.476000000000001</v>
      </c>
      <c r="Y7055" s="46">
        <v>3.7974000000000001E-2</v>
      </c>
      <c r="Z7055" s="21">
        <v>4601004337473</v>
      </c>
    </row>
    <row r="7056" spans="1:26" ht="12.95" customHeight="1" outlineLevel="3" x14ac:dyDescent="0.2">
      <c r="A7056" s="76" t="s">
        <v>13543</v>
      </c>
      <c r="B7056" s="76"/>
      <c r="C7056" s="77"/>
      <c r="D7056" s="58"/>
      <c r="E7056" s="68"/>
      <c r="F7056" s="13"/>
      <c r="G7056" s="13"/>
      <c r="H7056" s="13"/>
      <c r="I7056" s="13"/>
      <c r="J7056" s="13"/>
      <c r="K7056" s="13"/>
      <c r="L7056" s="13"/>
      <c r="M7056" s="13"/>
      <c r="N7056" s="13"/>
      <c r="O7056" s="13"/>
      <c r="P7056" s="13"/>
      <c r="Q7056" s="13"/>
      <c r="R7056" s="13"/>
      <c r="S7056" s="13"/>
      <c r="T7056" s="13"/>
      <c r="U7056" s="13"/>
      <c r="V7056" s="13"/>
      <c r="W7056" s="13"/>
      <c r="X7056" s="13"/>
      <c r="Y7056" s="13"/>
      <c r="Z7056" s="13"/>
    </row>
    <row r="7057" spans="1:26" ht="12" customHeight="1" outlineLevel="4" x14ac:dyDescent="0.2">
      <c r="A7057" s="40" t="s">
        <v>13544</v>
      </c>
      <c r="B7057" s="75" t="s">
        <v>13545</v>
      </c>
      <c r="C7057" s="51"/>
      <c r="D7057" s="54">
        <f t="shared" si="110"/>
        <v>0</v>
      </c>
      <c r="E7057" s="62"/>
      <c r="F7057" s="42" t="s">
        <v>39</v>
      </c>
      <c r="G7057" s="41" t="s">
        <v>40</v>
      </c>
      <c r="H7057" s="41"/>
      <c r="I7057" s="41"/>
      <c r="J7057" s="43">
        <v>14</v>
      </c>
      <c r="K7057" s="41" t="s">
        <v>1519</v>
      </c>
      <c r="L7057" s="43">
        <v>1</v>
      </c>
      <c r="M7057" s="43">
        <v>1</v>
      </c>
      <c r="N7057" s="43">
        <v>1</v>
      </c>
      <c r="O7057" s="44">
        <v>13938.88</v>
      </c>
      <c r="P7057" s="44">
        <v>11425.31</v>
      </c>
      <c r="Q7057" s="44">
        <v>12405.6</v>
      </c>
      <c r="R7057" s="44">
        <v>10168.52</v>
      </c>
      <c r="S7057" s="44">
        <v>8363.33</v>
      </c>
      <c r="T7057" s="44">
        <v>6855.19</v>
      </c>
      <c r="U7057" s="42"/>
      <c r="V7057" s="42"/>
      <c r="W7057" s="42" t="s">
        <v>40</v>
      </c>
      <c r="X7057" s="45">
        <v>12.221</v>
      </c>
      <c r="Y7057" s="46">
        <v>4.5749999999999999E-2</v>
      </c>
      <c r="Z7057" s="21">
        <v>4601004337480</v>
      </c>
    </row>
    <row r="7058" spans="1:26" ht="12" customHeight="1" outlineLevel="4" x14ac:dyDescent="0.2">
      <c r="A7058" s="40" t="s">
        <v>13546</v>
      </c>
      <c r="B7058" s="75" t="s">
        <v>13547</v>
      </c>
      <c r="C7058" s="51"/>
      <c r="D7058" s="54">
        <f t="shared" si="110"/>
        <v>0</v>
      </c>
      <c r="E7058" s="62"/>
      <c r="F7058" s="42" t="s">
        <v>39</v>
      </c>
      <c r="G7058" s="41" t="s">
        <v>40</v>
      </c>
      <c r="H7058" s="41"/>
      <c r="I7058" s="41"/>
      <c r="J7058" s="42" t="s">
        <v>100</v>
      </c>
      <c r="K7058" s="41" t="s">
        <v>1519</v>
      </c>
      <c r="L7058" s="43">
        <v>1</v>
      </c>
      <c r="M7058" s="43">
        <v>1</v>
      </c>
      <c r="N7058" s="43">
        <v>1</v>
      </c>
      <c r="O7058" s="44">
        <v>13938.88</v>
      </c>
      <c r="P7058" s="44">
        <v>11425.31</v>
      </c>
      <c r="Q7058" s="44">
        <v>12405.6</v>
      </c>
      <c r="R7058" s="44">
        <v>10168.52</v>
      </c>
      <c r="S7058" s="44">
        <v>8363.33</v>
      </c>
      <c r="T7058" s="44">
        <v>6855.19</v>
      </c>
      <c r="U7058" s="42"/>
      <c r="V7058" s="42"/>
      <c r="W7058" s="42" t="s">
        <v>40</v>
      </c>
      <c r="X7058" s="45">
        <v>11.519</v>
      </c>
      <c r="Y7058" s="46">
        <v>4.4443999999999997E-2</v>
      </c>
      <c r="Z7058" s="21">
        <v>4601004337497</v>
      </c>
    </row>
    <row r="7059" spans="1:26" ht="12" customHeight="1" outlineLevel="4" x14ac:dyDescent="0.2">
      <c r="A7059" s="40" t="s">
        <v>13548</v>
      </c>
      <c r="B7059" s="75" t="s">
        <v>13549</v>
      </c>
      <c r="C7059" s="51"/>
      <c r="D7059" s="54">
        <f t="shared" si="110"/>
        <v>0</v>
      </c>
      <c r="E7059" s="62"/>
      <c r="F7059" s="42" t="s">
        <v>39</v>
      </c>
      <c r="G7059" s="41" t="s">
        <v>40</v>
      </c>
      <c r="H7059" s="41"/>
      <c r="I7059" s="41"/>
      <c r="J7059" s="43">
        <v>16</v>
      </c>
      <c r="K7059" s="41" t="s">
        <v>1519</v>
      </c>
      <c r="L7059" s="43">
        <v>1</v>
      </c>
      <c r="M7059" s="43">
        <v>1</v>
      </c>
      <c r="N7059" s="43">
        <v>1</v>
      </c>
      <c r="O7059" s="44">
        <v>13938.88</v>
      </c>
      <c r="P7059" s="44">
        <v>11425.31</v>
      </c>
      <c r="Q7059" s="44">
        <v>12405.6</v>
      </c>
      <c r="R7059" s="44">
        <v>10168.52</v>
      </c>
      <c r="S7059" s="44">
        <v>8363.33</v>
      </c>
      <c r="T7059" s="44">
        <v>6855.19</v>
      </c>
      <c r="U7059" s="42"/>
      <c r="V7059" s="42"/>
      <c r="W7059" s="42" t="s">
        <v>40</v>
      </c>
      <c r="X7059" s="45">
        <v>12.313000000000001</v>
      </c>
      <c r="Y7059" s="46">
        <v>4.8044999999999997E-2</v>
      </c>
      <c r="Z7059" s="21">
        <v>4601004337503</v>
      </c>
    </row>
    <row r="7060" spans="1:26" ht="12.95" customHeight="1" outlineLevel="3" x14ac:dyDescent="0.2">
      <c r="A7060" s="76" t="s">
        <v>13550</v>
      </c>
      <c r="B7060" s="76"/>
      <c r="C7060" s="77"/>
      <c r="D7060" s="58"/>
      <c r="E7060" s="68"/>
      <c r="F7060" s="13"/>
      <c r="G7060" s="13"/>
      <c r="H7060" s="13"/>
      <c r="I7060" s="13"/>
      <c r="J7060" s="13"/>
      <c r="K7060" s="13"/>
      <c r="L7060" s="13"/>
      <c r="M7060" s="13"/>
      <c r="N7060" s="13"/>
      <c r="O7060" s="13"/>
      <c r="P7060" s="13"/>
      <c r="Q7060" s="13"/>
      <c r="R7060" s="13"/>
      <c r="S7060" s="13"/>
      <c r="T7060" s="13"/>
      <c r="U7060" s="13"/>
      <c r="V7060" s="13"/>
      <c r="W7060" s="13"/>
      <c r="X7060" s="13"/>
      <c r="Y7060" s="13"/>
      <c r="Z7060" s="13"/>
    </row>
    <row r="7061" spans="1:26" ht="12" customHeight="1" outlineLevel="4" x14ac:dyDescent="0.2">
      <c r="A7061" s="40" t="s">
        <v>13551</v>
      </c>
      <c r="B7061" s="75" t="s">
        <v>13552</v>
      </c>
      <c r="C7061" s="51"/>
      <c r="D7061" s="54">
        <f t="shared" si="110"/>
        <v>0</v>
      </c>
      <c r="E7061" s="61" t="str">
        <f>HYPERLINK("https://www.sds-group.ru/product/nastennyy-telekommunikatsionnyy-shkaf-19-9u-600-600mm-dver-metall-s-zadney-stenkoy-razbo-04-0966-121/", "Инфо")</f>
        <v>Инфо</v>
      </c>
      <c r="F7061" s="42" t="s">
        <v>39</v>
      </c>
      <c r="G7061" s="41" t="s">
        <v>40</v>
      </c>
      <c r="H7061" s="41"/>
      <c r="I7061" s="41"/>
      <c r="J7061" s="43">
        <v>19</v>
      </c>
      <c r="K7061" s="41" t="s">
        <v>1519</v>
      </c>
      <c r="L7061" s="43">
        <v>1</v>
      </c>
      <c r="M7061" s="43">
        <v>1</v>
      </c>
      <c r="N7061" s="43">
        <v>1</v>
      </c>
      <c r="O7061" s="44">
        <v>17385.25</v>
      </c>
      <c r="P7061" s="44">
        <v>14250.2</v>
      </c>
      <c r="Q7061" s="44">
        <v>15472.87</v>
      </c>
      <c r="R7061" s="44">
        <v>12682.68</v>
      </c>
      <c r="S7061" s="44">
        <v>10431.15</v>
      </c>
      <c r="T7061" s="44">
        <v>8550.1200000000008</v>
      </c>
      <c r="U7061" s="42"/>
      <c r="V7061" s="42"/>
      <c r="W7061" s="42" t="s">
        <v>40</v>
      </c>
      <c r="X7061" s="45">
        <v>19.416</v>
      </c>
      <c r="Y7061" s="46">
        <v>8.7610999999999994E-2</v>
      </c>
      <c r="Z7061" s="21">
        <v>4601004331266</v>
      </c>
    </row>
    <row r="7062" spans="1:26" ht="12" customHeight="1" outlineLevel="4" x14ac:dyDescent="0.2">
      <c r="A7062" s="40" t="s">
        <v>13553</v>
      </c>
      <c r="B7062" s="75" t="s">
        <v>13554</v>
      </c>
      <c r="C7062" s="51"/>
      <c r="D7062" s="54">
        <f t="shared" si="110"/>
        <v>0</v>
      </c>
      <c r="E7062" s="61" t="str">
        <f>HYPERLINK("https://www.sds-group.ru/product/nastennyy-telekommunikatsionnyy-shkaf-19-9u-600-600mm-dver-metall-s-zadney-stenkoy-razbo-04-0966-122/", "Инфо")</f>
        <v>Инфо</v>
      </c>
      <c r="F7062" s="42" t="s">
        <v>39</v>
      </c>
      <c r="G7062" s="41" t="s">
        <v>40</v>
      </c>
      <c r="H7062" s="41"/>
      <c r="I7062" s="41"/>
      <c r="J7062" s="43">
        <v>18</v>
      </c>
      <c r="K7062" s="41" t="s">
        <v>1519</v>
      </c>
      <c r="L7062" s="43">
        <v>1</v>
      </c>
      <c r="M7062" s="43">
        <v>1</v>
      </c>
      <c r="N7062" s="43">
        <v>1</v>
      </c>
      <c r="O7062" s="44">
        <v>17385.25</v>
      </c>
      <c r="P7062" s="44">
        <v>14250.2</v>
      </c>
      <c r="Q7062" s="44">
        <v>15472.87</v>
      </c>
      <c r="R7062" s="44">
        <v>12682.68</v>
      </c>
      <c r="S7062" s="44">
        <v>10431.15</v>
      </c>
      <c r="T7062" s="44">
        <v>8550.1200000000008</v>
      </c>
      <c r="U7062" s="42"/>
      <c r="V7062" s="42"/>
      <c r="W7062" s="42" t="s">
        <v>40</v>
      </c>
      <c r="X7062" s="45">
        <v>19.260000000000002</v>
      </c>
      <c r="Y7062" s="46">
        <v>8.7222999999999995E-2</v>
      </c>
      <c r="Z7062" s="21">
        <v>4601004339378</v>
      </c>
    </row>
    <row r="7063" spans="1:26" ht="12" customHeight="1" outlineLevel="4" x14ac:dyDescent="0.2">
      <c r="A7063" s="14" t="s">
        <v>13555</v>
      </c>
      <c r="B7063" s="26" t="s">
        <v>13556</v>
      </c>
      <c r="C7063" s="52"/>
      <c r="D7063" s="55">
        <f t="shared" si="110"/>
        <v>0</v>
      </c>
      <c r="E7063" s="63" t="str">
        <f>HYPERLINK("https://www.sds-group.ru/product/nastennyy-telekommunikatsionnyy-shkaf-19-9u-600-600mm-dver-steklo-s-zadney-stenkoy-razbo-04-0966-111/", "Инфо")</f>
        <v>Инфо</v>
      </c>
      <c r="F7063" s="16" t="s">
        <v>39</v>
      </c>
      <c r="G7063" s="15"/>
      <c r="H7063" s="15"/>
      <c r="I7063" s="15"/>
      <c r="J7063" s="16" t="s">
        <v>100</v>
      </c>
      <c r="K7063" s="15" t="s">
        <v>1519</v>
      </c>
      <c r="L7063" s="17">
        <v>1</v>
      </c>
      <c r="M7063" s="17">
        <v>1</v>
      </c>
      <c r="N7063" s="17">
        <v>1</v>
      </c>
      <c r="O7063" s="18">
        <v>17385.25</v>
      </c>
      <c r="P7063" s="18">
        <v>14250.2</v>
      </c>
      <c r="Q7063" s="18">
        <v>14777.46</v>
      </c>
      <c r="R7063" s="18">
        <v>12112.67</v>
      </c>
      <c r="S7063" s="18">
        <v>10431.15</v>
      </c>
      <c r="T7063" s="18">
        <v>8550.1200000000008</v>
      </c>
      <c r="U7063" s="16"/>
      <c r="V7063" s="16"/>
      <c r="W7063" s="16" t="s">
        <v>40</v>
      </c>
      <c r="X7063" s="19">
        <v>19.757999999999999</v>
      </c>
      <c r="Y7063" s="20">
        <v>8.9091000000000004E-2</v>
      </c>
      <c r="Z7063" s="21">
        <v>4601004296824</v>
      </c>
    </row>
    <row r="7064" spans="1:26" ht="12" customHeight="1" outlineLevel="4" x14ac:dyDescent="0.2">
      <c r="A7064" s="14" t="s">
        <v>13557</v>
      </c>
      <c r="B7064" s="26" t="s">
        <v>13558</v>
      </c>
      <c r="C7064" s="52"/>
      <c r="D7064" s="55">
        <f t="shared" si="110"/>
        <v>0</v>
      </c>
      <c r="E7064" s="63" t="str">
        <f>HYPERLINK("https://www.sds-group.ru/product/nastennyy-telekommunikatsionnyy-shkaf-19-9u-600-600mm-dver-steklo-s-zadney-stenkoy-razbo-04-0966-112/", "Инфо")</f>
        <v>Инфо</v>
      </c>
      <c r="F7064" s="16" t="s">
        <v>39</v>
      </c>
      <c r="G7064" s="15"/>
      <c r="H7064" s="15"/>
      <c r="I7064" s="15"/>
      <c r="J7064" s="16" t="s">
        <v>100</v>
      </c>
      <c r="K7064" s="15" t="s">
        <v>1519</v>
      </c>
      <c r="L7064" s="17">
        <v>1</v>
      </c>
      <c r="M7064" s="17">
        <v>1</v>
      </c>
      <c r="N7064" s="17">
        <v>1</v>
      </c>
      <c r="O7064" s="18">
        <v>17385.25</v>
      </c>
      <c r="P7064" s="18">
        <v>14250.2</v>
      </c>
      <c r="Q7064" s="18">
        <v>13908.2</v>
      </c>
      <c r="R7064" s="18">
        <v>11400.16</v>
      </c>
      <c r="S7064" s="18">
        <v>10431.15</v>
      </c>
      <c r="T7064" s="18">
        <v>8550.1200000000008</v>
      </c>
      <c r="U7064" s="16"/>
      <c r="V7064" s="16"/>
      <c r="W7064" s="16" t="s">
        <v>40</v>
      </c>
      <c r="X7064" s="19">
        <v>19.803000000000001</v>
      </c>
      <c r="Y7064" s="20">
        <v>8.9656E-2</v>
      </c>
      <c r="Z7064" s="21">
        <v>4601004304253</v>
      </c>
    </row>
    <row r="7065" spans="1:26" ht="12.95" customHeight="1" outlineLevel="3" x14ac:dyDescent="0.2">
      <c r="A7065" s="76" t="s">
        <v>13559</v>
      </c>
      <c r="B7065" s="76"/>
      <c r="C7065" s="77"/>
      <c r="D7065" s="58"/>
      <c r="E7065" s="68"/>
      <c r="F7065" s="13"/>
      <c r="G7065" s="13"/>
      <c r="H7065" s="13"/>
      <c r="I7065" s="13"/>
      <c r="J7065" s="13"/>
      <c r="K7065" s="13"/>
      <c r="L7065" s="13"/>
      <c r="M7065" s="13"/>
      <c r="N7065" s="13"/>
      <c r="O7065" s="13"/>
      <c r="P7065" s="13"/>
      <c r="Q7065" s="13"/>
      <c r="R7065" s="13"/>
      <c r="S7065" s="13"/>
      <c r="T7065" s="13"/>
      <c r="U7065" s="13"/>
      <c r="V7065" s="13"/>
      <c r="W7065" s="13"/>
      <c r="X7065" s="13"/>
      <c r="Y7065" s="13"/>
      <c r="Z7065" s="13"/>
    </row>
    <row r="7066" spans="1:26" ht="12" customHeight="1" outlineLevel="4" x14ac:dyDescent="0.2">
      <c r="A7066" s="40" t="s">
        <v>13560</v>
      </c>
      <c r="B7066" s="75" t="s">
        <v>13561</v>
      </c>
      <c r="C7066" s="51"/>
      <c r="D7066" s="54">
        <f t="shared" si="110"/>
        <v>0</v>
      </c>
      <c r="E7066" s="62"/>
      <c r="F7066" s="42" t="s">
        <v>39</v>
      </c>
      <c r="G7066" s="41" t="s">
        <v>40</v>
      </c>
      <c r="H7066" s="41"/>
      <c r="I7066" s="41"/>
      <c r="J7066" s="42" t="s">
        <v>100</v>
      </c>
      <c r="K7066" s="41" t="s">
        <v>1519</v>
      </c>
      <c r="L7066" s="43">
        <v>1</v>
      </c>
      <c r="M7066" s="43">
        <v>1</v>
      </c>
      <c r="N7066" s="43">
        <v>1</v>
      </c>
      <c r="O7066" s="44">
        <v>34285.31</v>
      </c>
      <c r="P7066" s="44">
        <v>28102.71</v>
      </c>
      <c r="Q7066" s="44">
        <v>30513.93</v>
      </c>
      <c r="R7066" s="44">
        <v>25011.42</v>
      </c>
      <c r="S7066" s="44">
        <v>20571.189999999999</v>
      </c>
      <c r="T7066" s="44">
        <v>16861.63</v>
      </c>
      <c r="U7066" s="42"/>
      <c r="V7066" s="42"/>
      <c r="W7066" s="42" t="s">
        <v>40</v>
      </c>
      <c r="X7066" s="45">
        <v>28.3</v>
      </c>
      <c r="Y7066" s="46">
        <v>9.9000000000000005E-2</v>
      </c>
      <c r="Z7066" s="21">
        <v>4601004331235</v>
      </c>
    </row>
    <row r="7067" spans="1:26" ht="12.95" customHeight="1" outlineLevel="2" x14ac:dyDescent="0.2">
      <c r="A7067" s="76" t="s">
        <v>13562</v>
      </c>
      <c r="B7067" s="76"/>
      <c r="C7067" s="77"/>
      <c r="D7067" s="58"/>
      <c r="E7067" s="68"/>
      <c r="F7067" s="13"/>
      <c r="G7067" s="13"/>
      <c r="H7067" s="13"/>
      <c r="I7067" s="13"/>
      <c r="J7067" s="13"/>
      <c r="K7067" s="13"/>
      <c r="L7067" s="13"/>
      <c r="M7067" s="13"/>
      <c r="N7067" s="13"/>
      <c r="O7067" s="13"/>
      <c r="P7067" s="13"/>
      <c r="Q7067" s="13"/>
      <c r="R7067" s="13"/>
      <c r="S7067" s="13"/>
      <c r="T7067" s="13"/>
      <c r="U7067" s="13"/>
      <c r="V7067" s="13"/>
      <c r="W7067" s="13"/>
      <c r="X7067" s="13"/>
      <c r="Y7067" s="13"/>
      <c r="Z7067" s="13"/>
    </row>
    <row r="7068" spans="1:26" ht="12.95" customHeight="1" outlineLevel="3" x14ac:dyDescent="0.2">
      <c r="A7068" s="76" t="s">
        <v>13563</v>
      </c>
      <c r="B7068" s="76"/>
      <c r="C7068" s="77"/>
      <c r="D7068" s="58"/>
      <c r="E7068" s="68"/>
      <c r="F7068" s="13"/>
      <c r="G7068" s="13"/>
      <c r="H7068" s="13"/>
      <c r="I7068" s="13"/>
      <c r="J7068" s="13"/>
      <c r="K7068" s="13"/>
      <c r="L7068" s="13"/>
      <c r="M7068" s="13"/>
      <c r="N7068" s="13"/>
      <c r="O7068" s="13"/>
      <c r="P7068" s="13"/>
      <c r="Q7068" s="13"/>
      <c r="R7068" s="13"/>
      <c r="S7068" s="13"/>
      <c r="T7068" s="13"/>
      <c r="U7068" s="13"/>
      <c r="V7068" s="13"/>
      <c r="W7068" s="13"/>
      <c r="X7068" s="13"/>
      <c r="Y7068" s="13"/>
      <c r="Z7068" s="13"/>
    </row>
    <row r="7069" spans="1:26" ht="12" customHeight="1" outlineLevel="4" x14ac:dyDescent="0.2">
      <c r="A7069" s="14" t="s">
        <v>13564</v>
      </c>
      <c r="B7069" s="26" t="s">
        <v>13565</v>
      </c>
      <c r="C7069" s="52"/>
      <c r="D7069" s="55">
        <f t="shared" si="110"/>
        <v>0</v>
      </c>
      <c r="E7069" s="63" t="str">
        <f>HYPERLINK("https://www.sds-group.ru/product/shkaf-telekommunikatsionnyy-napolnyy-19-18u-600-600-987mm-dver-steklo-zadnyaya-dver-meta-04-1866-211/", "Инфо")</f>
        <v>Инфо</v>
      </c>
      <c r="F7069" s="16" t="s">
        <v>39</v>
      </c>
      <c r="G7069" s="15"/>
      <c r="H7069" s="15"/>
      <c r="I7069" s="15"/>
      <c r="J7069" s="17">
        <v>2</v>
      </c>
      <c r="K7069" s="15" t="s">
        <v>6930</v>
      </c>
      <c r="L7069" s="17">
        <v>1</v>
      </c>
      <c r="M7069" s="17">
        <v>1</v>
      </c>
      <c r="N7069" s="17">
        <v>1</v>
      </c>
      <c r="O7069" s="18">
        <v>43595.44</v>
      </c>
      <c r="P7069" s="18">
        <v>35733.97</v>
      </c>
      <c r="Q7069" s="18">
        <v>34876.35</v>
      </c>
      <c r="R7069" s="18">
        <v>28587.17</v>
      </c>
      <c r="S7069" s="18">
        <v>26157.26</v>
      </c>
      <c r="T7069" s="18">
        <v>21440.38</v>
      </c>
      <c r="U7069" s="16"/>
      <c r="V7069" s="16"/>
      <c r="W7069" s="16" t="s">
        <v>40</v>
      </c>
      <c r="X7069" s="19">
        <v>45</v>
      </c>
      <c r="Y7069" s="20">
        <v>0.11833299999999999</v>
      </c>
      <c r="Z7069" s="21">
        <v>4601004296961</v>
      </c>
    </row>
    <row r="7070" spans="1:26" ht="12" customHeight="1" outlineLevel="4" x14ac:dyDescent="0.2">
      <c r="A7070" s="14" t="s">
        <v>13566</v>
      </c>
      <c r="B7070" s="26" t="s">
        <v>13567</v>
      </c>
      <c r="C7070" s="52"/>
      <c r="D7070" s="55">
        <f t="shared" si="110"/>
        <v>0</v>
      </c>
      <c r="E7070" s="63" t="str">
        <f>HYPERLINK("https://www.sds-group.ru/product/shkaf-telekommunikatsionnyy-napolnyy-19-18u-600-600-987mm-dver-steklo-zadnyaya-dver-meta-04-1866-212/", "Инфо")</f>
        <v>Инфо</v>
      </c>
      <c r="F7070" s="16" t="s">
        <v>39</v>
      </c>
      <c r="G7070" s="15"/>
      <c r="H7070" s="15"/>
      <c r="I7070" s="15"/>
      <c r="J7070" s="16" t="s">
        <v>100</v>
      </c>
      <c r="K7070" s="15" t="s">
        <v>6930</v>
      </c>
      <c r="L7070" s="17">
        <v>1</v>
      </c>
      <c r="M7070" s="17">
        <v>1</v>
      </c>
      <c r="N7070" s="17">
        <v>1</v>
      </c>
      <c r="O7070" s="18">
        <v>43595.44</v>
      </c>
      <c r="P7070" s="18">
        <v>35733.97</v>
      </c>
      <c r="Q7070" s="18">
        <v>37056.120000000003</v>
      </c>
      <c r="R7070" s="18">
        <v>30373.87</v>
      </c>
      <c r="S7070" s="18">
        <v>26157.26</v>
      </c>
      <c r="T7070" s="18">
        <v>21440.38</v>
      </c>
      <c r="U7070" s="16"/>
      <c r="V7070" s="16"/>
      <c r="W7070" s="16" t="s">
        <v>40</v>
      </c>
      <c r="X7070" s="19">
        <v>45.029000000000003</v>
      </c>
      <c r="Y7070" s="20">
        <v>0.118571</v>
      </c>
      <c r="Z7070" s="21">
        <v>4601004304307</v>
      </c>
    </row>
    <row r="7071" spans="1:26" ht="12" customHeight="1" outlineLevel="4" x14ac:dyDescent="0.2">
      <c r="A7071" s="40" t="s">
        <v>13568</v>
      </c>
      <c r="B7071" s="75" t="s">
        <v>13569</v>
      </c>
      <c r="C7071" s="51"/>
      <c r="D7071" s="54">
        <f t="shared" si="110"/>
        <v>0</v>
      </c>
      <c r="E7071" s="61" t="str">
        <f>HYPERLINK("https://www.sds-group.ru/product/shkaf-telekommunikatsionnyy-napolnyy-19-18u-600-600mm-dver-perforatsiya-razbornyy-cherny-04-1866-232/", "Инфо")</f>
        <v>Инфо</v>
      </c>
      <c r="F7071" s="42" t="s">
        <v>39</v>
      </c>
      <c r="G7071" s="41" t="s">
        <v>40</v>
      </c>
      <c r="H7071" s="41"/>
      <c r="I7071" s="41"/>
      <c r="J7071" s="43">
        <v>5</v>
      </c>
      <c r="K7071" s="41" t="s">
        <v>6930</v>
      </c>
      <c r="L7071" s="43">
        <v>1</v>
      </c>
      <c r="M7071" s="43">
        <v>1</v>
      </c>
      <c r="N7071" s="43">
        <v>1</v>
      </c>
      <c r="O7071" s="44">
        <v>40024.910000000003</v>
      </c>
      <c r="P7071" s="44">
        <v>32807.300000000003</v>
      </c>
      <c r="Q7071" s="44">
        <v>35622.17</v>
      </c>
      <c r="R7071" s="44">
        <v>29198.5</v>
      </c>
      <c r="S7071" s="44">
        <v>24014.95</v>
      </c>
      <c r="T7071" s="44">
        <v>19684.39</v>
      </c>
      <c r="U7071" s="42"/>
      <c r="V7071" s="42"/>
      <c r="W7071" s="42" t="s">
        <v>40</v>
      </c>
      <c r="X7071" s="45">
        <v>41</v>
      </c>
      <c r="Y7071" s="46">
        <v>0.130833</v>
      </c>
      <c r="Z7071" s="21">
        <v>4601004339491</v>
      </c>
    </row>
    <row r="7072" spans="1:26" ht="12.95" customHeight="1" outlineLevel="3" x14ac:dyDescent="0.2">
      <c r="A7072" s="76" t="s">
        <v>13570</v>
      </c>
      <c r="B7072" s="76"/>
      <c r="C7072" s="77"/>
      <c r="D7072" s="58"/>
      <c r="E7072" s="68"/>
      <c r="F7072" s="13"/>
      <c r="G7072" s="13"/>
      <c r="H7072" s="13"/>
      <c r="I7072" s="13"/>
      <c r="J7072" s="13"/>
      <c r="K7072" s="13"/>
      <c r="L7072" s="13"/>
      <c r="M7072" s="13"/>
      <c r="N7072" s="13"/>
      <c r="O7072" s="13"/>
      <c r="P7072" s="13"/>
      <c r="Q7072" s="13"/>
      <c r="R7072" s="13"/>
      <c r="S7072" s="13"/>
      <c r="T7072" s="13"/>
      <c r="U7072" s="13"/>
      <c r="V7072" s="13"/>
      <c r="W7072" s="13"/>
      <c r="X7072" s="13"/>
      <c r="Y7072" s="13"/>
      <c r="Z7072" s="13"/>
    </row>
    <row r="7073" spans="1:26" ht="12" customHeight="1" outlineLevel="4" x14ac:dyDescent="0.2">
      <c r="A7073" s="14" t="s">
        <v>13571</v>
      </c>
      <c r="B7073" s="26" t="s">
        <v>13572</v>
      </c>
      <c r="C7073" s="52"/>
      <c r="D7073" s="55">
        <f t="shared" si="110"/>
        <v>0</v>
      </c>
      <c r="E7073" s="63" t="str">
        <f>HYPERLINK("https://www.sds-group.ru/product/shkaf-telekommunikatsionnyy-napolnyy-19-22u-600-600-1164mm-dver-steklo-zadnyaya-dver-met-04-2266-211/", "Инфо")</f>
        <v>Инфо</v>
      </c>
      <c r="F7073" s="16" t="s">
        <v>39</v>
      </c>
      <c r="G7073" s="15"/>
      <c r="H7073" s="15"/>
      <c r="I7073" s="15"/>
      <c r="J7073" s="16" t="s">
        <v>100</v>
      </c>
      <c r="K7073" s="15" t="s">
        <v>6930</v>
      </c>
      <c r="L7073" s="17">
        <v>1</v>
      </c>
      <c r="M7073" s="17">
        <v>1</v>
      </c>
      <c r="N7073" s="17">
        <v>1</v>
      </c>
      <c r="O7073" s="18">
        <v>48197.75</v>
      </c>
      <c r="P7073" s="18">
        <v>39506.35</v>
      </c>
      <c r="Q7073" s="18">
        <v>38558.199999999997</v>
      </c>
      <c r="R7073" s="18">
        <v>31605.08</v>
      </c>
      <c r="S7073" s="18">
        <v>28918.65</v>
      </c>
      <c r="T7073" s="18">
        <v>23703.81</v>
      </c>
      <c r="U7073" s="16"/>
      <c r="V7073" s="16"/>
      <c r="W7073" s="16" t="s">
        <v>40</v>
      </c>
      <c r="X7073" s="19">
        <v>51</v>
      </c>
      <c r="Y7073" s="20">
        <v>0.14000000000000001</v>
      </c>
      <c r="Z7073" s="21">
        <v>4601004296954</v>
      </c>
    </row>
    <row r="7074" spans="1:26" ht="12" customHeight="1" outlineLevel="4" x14ac:dyDescent="0.2">
      <c r="A7074" s="14" t="s">
        <v>13573</v>
      </c>
      <c r="B7074" s="26" t="s">
        <v>13574</v>
      </c>
      <c r="C7074" s="52"/>
      <c r="D7074" s="55">
        <f t="shared" si="110"/>
        <v>0</v>
      </c>
      <c r="E7074" s="63" t="str">
        <f>HYPERLINK("https://www.sds-group.ru/product/shkaf-telekommunikatsionnyy-napolnyy-19-22u-600-600-1164mm-dver-steklo-zadnyaya-dver-met-04-2266-212/", "Инфо")</f>
        <v>Инфо</v>
      </c>
      <c r="F7074" s="16" t="s">
        <v>39</v>
      </c>
      <c r="G7074" s="15"/>
      <c r="H7074" s="15"/>
      <c r="I7074" s="15"/>
      <c r="J7074" s="16" t="s">
        <v>100</v>
      </c>
      <c r="K7074" s="15" t="s">
        <v>6930</v>
      </c>
      <c r="L7074" s="17">
        <v>1</v>
      </c>
      <c r="M7074" s="17">
        <v>1</v>
      </c>
      <c r="N7074" s="17">
        <v>1</v>
      </c>
      <c r="O7074" s="18">
        <v>48197.75</v>
      </c>
      <c r="P7074" s="18">
        <v>39506.35</v>
      </c>
      <c r="Q7074" s="18">
        <v>38558.199999999997</v>
      </c>
      <c r="R7074" s="18">
        <v>31605.08</v>
      </c>
      <c r="S7074" s="18">
        <v>28918.65</v>
      </c>
      <c r="T7074" s="18">
        <v>23703.81</v>
      </c>
      <c r="U7074" s="16"/>
      <c r="V7074" s="16"/>
      <c r="W7074" s="16" t="s">
        <v>40</v>
      </c>
      <c r="X7074" s="19">
        <v>48.6</v>
      </c>
      <c r="Y7074" s="20">
        <v>0.14599999999999999</v>
      </c>
      <c r="Z7074" s="21">
        <v>4601004304345</v>
      </c>
    </row>
    <row r="7075" spans="1:26" ht="12.95" customHeight="1" outlineLevel="3" x14ac:dyDescent="0.2">
      <c r="A7075" s="76" t="s">
        <v>13575</v>
      </c>
      <c r="B7075" s="76"/>
      <c r="C7075" s="77"/>
      <c r="D7075" s="58"/>
      <c r="E7075" s="68"/>
      <c r="F7075" s="13"/>
      <c r="G7075" s="13"/>
      <c r="H7075" s="13"/>
      <c r="I7075" s="13"/>
      <c r="J7075" s="13"/>
      <c r="K7075" s="13"/>
      <c r="L7075" s="13"/>
      <c r="M7075" s="13"/>
      <c r="N7075" s="13"/>
      <c r="O7075" s="13"/>
      <c r="P7075" s="13"/>
      <c r="Q7075" s="13"/>
      <c r="R7075" s="13"/>
      <c r="S7075" s="13"/>
      <c r="T7075" s="13"/>
      <c r="U7075" s="13"/>
      <c r="V7075" s="13"/>
      <c r="W7075" s="13"/>
      <c r="X7075" s="13"/>
      <c r="Y7075" s="13"/>
      <c r="Z7075" s="13"/>
    </row>
    <row r="7076" spans="1:26" ht="12" customHeight="1" outlineLevel="4" x14ac:dyDescent="0.2">
      <c r="A7076" s="14" t="s">
        <v>13576</v>
      </c>
      <c r="B7076" s="26" t="s">
        <v>13577</v>
      </c>
      <c r="C7076" s="52"/>
      <c r="D7076" s="55">
        <f t="shared" si="110"/>
        <v>0</v>
      </c>
      <c r="E7076" s="63" t="str">
        <f>HYPERLINK("https://www.sds-group.ru/product/shkaf-telekommunikatsionnyy-napolnyy-19-27u-600-600-1387mm-dver-steklo-zadnyaya-dver-met-04-2766-211/", "Инфо")</f>
        <v>Инфо</v>
      </c>
      <c r="F7076" s="16" t="s">
        <v>39</v>
      </c>
      <c r="G7076" s="15"/>
      <c r="H7076" s="15"/>
      <c r="I7076" s="15"/>
      <c r="J7076" s="17">
        <v>1</v>
      </c>
      <c r="K7076" s="15" t="s">
        <v>6930</v>
      </c>
      <c r="L7076" s="17">
        <v>1</v>
      </c>
      <c r="M7076" s="17">
        <v>1</v>
      </c>
      <c r="N7076" s="17">
        <v>1</v>
      </c>
      <c r="O7076" s="18">
        <v>71707.62</v>
      </c>
      <c r="P7076" s="18">
        <v>58776.74</v>
      </c>
      <c r="Q7076" s="18">
        <v>71707.62</v>
      </c>
      <c r="R7076" s="18">
        <v>58776.74</v>
      </c>
      <c r="S7076" s="18">
        <v>43024.57</v>
      </c>
      <c r="T7076" s="18">
        <v>35266.04</v>
      </c>
      <c r="U7076" s="16"/>
      <c r="V7076" s="16"/>
      <c r="W7076" s="16" t="s">
        <v>40</v>
      </c>
      <c r="X7076" s="19">
        <v>57</v>
      </c>
      <c r="Y7076" s="20">
        <v>0.16650000000000001</v>
      </c>
      <c r="Z7076" s="21">
        <v>4601004297005</v>
      </c>
    </row>
    <row r="7077" spans="1:26" ht="12" customHeight="1" outlineLevel="4" x14ac:dyDescent="0.2">
      <c r="A7077" s="14" t="s">
        <v>13578</v>
      </c>
      <c r="B7077" s="26" t="s">
        <v>13579</v>
      </c>
      <c r="C7077" s="52"/>
      <c r="D7077" s="55">
        <f t="shared" si="110"/>
        <v>0</v>
      </c>
      <c r="E7077" s="63" t="str">
        <f>HYPERLINK("https://www.sds-group.ru/product/shkaf-telekommunikatsionnyy-napolnyy-19-27u-600-600-1387mm-dver-steklo-zadnyaya-dver-met-04-2766-212/", "Инфо")</f>
        <v>Инфо</v>
      </c>
      <c r="F7077" s="16" t="s">
        <v>39</v>
      </c>
      <c r="G7077" s="15"/>
      <c r="H7077" s="15"/>
      <c r="I7077" s="15"/>
      <c r="J7077" s="17">
        <v>1</v>
      </c>
      <c r="K7077" s="15" t="s">
        <v>6930</v>
      </c>
      <c r="L7077" s="17">
        <v>1</v>
      </c>
      <c r="M7077" s="17">
        <v>1</v>
      </c>
      <c r="N7077" s="17">
        <v>1</v>
      </c>
      <c r="O7077" s="18">
        <v>74045.960000000006</v>
      </c>
      <c r="P7077" s="18">
        <v>60693.41</v>
      </c>
      <c r="Q7077" s="18">
        <v>74045.960000000006</v>
      </c>
      <c r="R7077" s="18">
        <v>60693.41</v>
      </c>
      <c r="S7077" s="18">
        <v>44427.58</v>
      </c>
      <c r="T7077" s="18">
        <v>36416.050000000003</v>
      </c>
      <c r="U7077" s="16"/>
      <c r="V7077" s="16"/>
      <c r="W7077" s="16" t="s">
        <v>40</v>
      </c>
      <c r="X7077" s="19">
        <v>57</v>
      </c>
      <c r="Y7077" s="20">
        <v>0.16636400000000001</v>
      </c>
      <c r="Z7077" s="21">
        <v>4601004304314</v>
      </c>
    </row>
    <row r="7078" spans="1:26" ht="12.95" customHeight="1" outlineLevel="3" x14ac:dyDescent="0.2">
      <c r="A7078" s="76" t="s">
        <v>13580</v>
      </c>
      <c r="B7078" s="76"/>
      <c r="C7078" s="77"/>
      <c r="D7078" s="58"/>
      <c r="E7078" s="68"/>
      <c r="F7078" s="13"/>
      <c r="G7078" s="13"/>
      <c r="H7078" s="13"/>
      <c r="I7078" s="13"/>
      <c r="J7078" s="13"/>
      <c r="K7078" s="13"/>
      <c r="L7078" s="13"/>
      <c r="M7078" s="13"/>
      <c r="N7078" s="13"/>
      <c r="O7078" s="13"/>
      <c r="P7078" s="13"/>
      <c r="Q7078" s="13"/>
      <c r="R7078" s="13"/>
      <c r="S7078" s="13"/>
      <c r="T7078" s="13"/>
      <c r="U7078" s="13"/>
      <c r="V7078" s="13"/>
      <c r="W7078" s="13"/>
      <c r="X7078" s="13"/>
      <c r="Y7078" s="13"/>
      <c r="Z7078" s="13"/>
    </row>
    <row r="7079" spans="1:26" ht="12" customHeight="1" outlineLevel="4" x14ac:dyDescent="0.2">
      <c r="A7079" s="14" t="s">
        <v>13581</v>
      </c>
      <c r="B7079" s="26" t="s">
        <v>13582</v>
      </c>
      <c r="C7079" s="52"/>
      <c r="D7079" s="55">
        <f t="shared" si="110"/>
        <v>0</v>
      </c>
      <c r="E7079" s="63" t="str">
        <f>HYPERLINK("https://www.sds-group.ru/product/shkaf-telekommunikatsionnyy-napolnyy-19-32u-600-600-1609mm-dver-steklo-zadnyaya-dver-met-04-3266-211/", "Инфо")</f>
        <v>Инфо</v>
      </c>
      <c r="F7079" s="16" t="s">
        <v>39</v>
      </c>
      <c r="G7079" s="15"/>
      <c r="H7079" s="15"/>
      <c r="I7079" s="15"/>
      <c r="J7079" s="16" t="s">
        <v>100</v>
      </c>
      <c r="K7079" s="15" t="s">
        <v>6930</v>
      </c>
      <c r="L7079" s="17">
        <v>1</v>
      </c>
      <c r="M7079" s="17">
        <v>1</v>
      </c>
      <c r="N7079" s="17">
        <v>1</v>
      </c>
      <c r="O7079" s="18">
        <v>54410.879999999997</v>
      </c>
      <c r="P7079" s="18">
        <v>44599.08</v>
      </c>
      <c r="Q7079" s="18">
        <v>43528.7</v>
      </c>
      <c r="R7079" s="18">
        <v>35679.26</v>
      </c>
      <c r="S7079" s="18">
        <v>32646.53</v>
      </c>
      <c r="T7079" s="18">
        <v>26759.45</v>
      </c>
      <c r="U7079" s="16"/>
      <c r="V7079" s="16"/>
      <c r="W7079" s="16" t="s">
        <v>40</v>
      </c>
      <c r="X7079" s="19">
        <v>66</v>
      </c>
      <c r="Y7079" s="20">
        <v>0.193</v>
      </c>
      <c r="Z7079" s="21">
        <v>4601004297012</v>
      </c>
    </row>
    <row r="7080" spans="1:26" ht="12" customHeight="1" outlineLevel="4" x14ac:dyDescent="0.2">
      <c r="A7080" s="14" t="s">
        <v>13583</v>
      </c>
      <c r="B7080" s="26" t="s">
        <v>13584</v>
      </c>
      <c r="C7080" s="52"/>
      <c r="D7080" s="55">
        <f t="shared" si="110"/>
        <v>0</v>
      </c>
      <c r="E7080" s="63" t="str">
        <f>HYPERLINK("https://www.sds-group.ru/product/shkaf-telekommunikatsionnyy-napolnyy-19-32u-600-600-1609mm-dver-steklo-zadnyaya-dver-met-04-3266-212/", "Инфо")</f>
        <v>Инфо</v>
      </c>
      <c r="F7080" s="16" t="s">
        <v>39</v>
      </c>
      <c r="G7080" s="15"/>
      <c r="H7080" s="15"/>
      <c r="I7080" s="15"/>
      <c r="J7080" s="16" t="s">
        <v>100</v>
      </c>
      <c r="K7080" s="15" t="s">
        <v>6930</v>
      </c>
      <c r="L7080" s="17">
        <v>1</v>
      </c>
      <c r="M7080" s="17">
        <v>1</v>
      </c>
      <c r="N7080" s="17">
        <v>1</v>
      </c>
      <c r="O7080" s="18">
        <v>54410.879999999997</v>
      </c>
      <c r="P7080" s="18">
        <v>44599.08</v>
      </c>
      <c r="Q7080" s="18">
        <v>43528.7</v>
      </c>
      <c r="R7080" s="18">
        <v>35679.26</v>
      </c>
      <c r="S7080" s="18">
        <v>32646.53</v>
      </c>
      <c r="T7080" s="18">
        <v>26759.45</v>
      </c>
      <c r="U7080" s="16"/>
      <c r="V7080" s="16"/>
      <c r="W7080" s="16" t="s">
        <v>40</v>
      </c>
      <c r="X7080" s="19">
        <v>67</v>
      </c>
      <c r="Y7080" s="20">
        <v>0.83799999999999997</v>
      </c>
      <c r="Z7080" s="21">
        <v>4601004304321</v>
      </c>
    </row>
    <row r="7081" spans="1:26" ht="12.95" customHeight="1" outlineLevel="3" x14ac:dyDescent="0.2">
      <c r="A7081" s="76" t="s">
        <v>13585</v>
      </c>
      <c r="B7081" s="76"/>
      <c r="C7081" s="77"/>
      <c r="D7081" s="58"/>
      <c r="E7081" s="68"/>
      <c r="F7081" s="13"/>
      <c r="G7081" s="13"/>
      <c r="H7081" s="13"/>
      <c r="I7081" s="13"/>
      <c r="J7081" s="13"/>
      <c r="K7081" s="13"/>
      <c r="L7081" s="13"/>
      <c r="M7081" s="13"/>
      <c r="N7081" s="13"/>
      <c r="O7081" s="13"/>
      <c r="P7081" s="13"/>
      <c r="Q7081" s="13"/>
      <c r="R7081" s="13"/>
      <c r="S7081" s="13"/>
      <c r="T7081" s="13"/>
      <c r="U7081" s="13"/>
      <c r="V7081" s="13"/>
      <c r="W7081" s="13"/>
      <c r="X7081" s="13"/>
      <c r="Y7081" s="13"/>
      <c r="Z7081" s="13"/>
    </row>
    <row r="7082" spans="1:26" ht="12" customHeight="1" outlineLevel="4" x14ac:dyDescent="0.2">
      <c r="A7082" s="14" t="s">
        <v>13586</v>
      </c>
      <c r="B7082" s="26" t="s">
        <v>13587</v>
      </c>
      <c r="C7082" s="52"/>
      <c r="D7082" s="55">
        <f t="shared" si="110"/>
        <v>0</v>
      </c>
      <c r="E7082" s="63" t="str">
        <f>HYPERLINK("https://www.sds-group.ru/product/shkaf-telekommunikatsionnyy-napolnyy-19-37u-600-600-1832mm-dver-steklo-zadnyaya-dver-met-04-3766-211/", "Инфо")</f>
        <v>Инфо</v>
      </c>
      <c r="F7082" s="16" t="s">
        <v>39</v>
      </c>
      <c r="G7082" s="15"/>
      <c r="H7082" s="15"/>
      <c r="I7082" s="15"/>
      <c r="J7082" s="16" t="s">
        <v>100</v>
      </c>
      <c r="K7082" s="15"/>
      <c r="L7082" s="17">
        <v>1</v>
      </c>
      <c r="M7082" s="17">
        <v>1</v>
      </c>
      <c r="N7082" s="17">
        <v>1</v>
      </c>
      <c r="O7082" s="18">
        <v>89150.63</v>
      </c>
      <c r="P7082" s="18">
        <v>73074.289999999994</v>
      </c>
      <c r="Q7082" s="18">
        <v>89150.63</v>
      </c>
      <c r="R7082" s="18">
        <v>73074.289999999994</v>
      </c>
      <c r="S7082" s="18">
        <v>53490.38</v>
      </c>
      <c r="T7082" s="18">
        <v>43844.57</v>
      </c>
      <c r="U7082" s="16"/>
      <c r="V7082" s="16"/>
      <c r="W7082" s="16" t="s">
        <v>40</v>
      </c>
      <c r="X7082" s="19">
        <v>70.400000000000006</v>
      </c>
      <c r="Y7082" s="20">
        <v>0.23</v>
      </c>
      <c r="Z7082" s="21">
        <v>4601004296930</v>
      </c>
    </row>
    <row r="7083" spans="1:26" ht="12" customHeight="1" outlineLevel="4" x14ac:dyDescent="0.2">
      <c r="A7083" s="14" t="s">
        <v>13588</v>
      </c>
      <c r="B7083" s="26" t="s">
        <v>13589</v>
      </c>
      <c r="C7083" s="52"/>
      <c r="D7083" s="55">
        <f t="shared" si="110"/>
        <v>0</v>
      </c>
      <c r="E7083" s="63" t="str">
        <f>HYPERLINK("https://www.sds-group.ru/product/shkaf-telekommunikatsionnyy-napolnyy-19-37u-600-600-1832mm-dver-steklo-zadnyaya-dver-met-04-3766-212/", "Инфо")</f>
        <v>Инфо</v>
      </c>
      <c r="F7083" s="16" t="s">
        <v>39</v>
      </c>
      <c r="G7083" s="15"/>
      <c r="H7083" s="15"/>
      <c r="I7083" s="15"/>
      <c r="J7083" s="17">
        <v>1</v>
      </c>
      <c r="K7083" s="15"/>
      <c r="L7083" s="17">
        <v>1</v>
      </c>
      <c r="M7083" s="17">
        <v>1</v>
      </c>
      <c r="N7083" s="17">
        <v>1</v>
      </c>
      <c r="O7083" s="18">
        <v>89150.63</v>
      </c>
      <c r="P7083" s="18">
        <v>73074.289999999994</v>
      </c>
      <c r="Q7083" s="18">
        <v>89150.63</v>
      </c>
      <c r="R7083" s="18">
        <v>73074.289999999994</v>
      </c>
      <c r="S7083" s="18">
        <v>53490.38</v>
      </c>
      <c r="T7083" s="18">
        <v>43844.57</v>
      </c>
      <c r="U7083" s="16"/>
      <c r="V7083" s="16"/>
      <c r="W7083" s="16" t="s">
        <v>40</v>
      </c>
      <c r="X7083" s="19">
        <v>73</v>
      </c>
      <c r="Y7083" s="20">
        <v>0.219556</v>
      </c>
      <c r="Z7083" s="21">
        <v>4601004304338</v>
      </c>
    </row>
    <row r="7084" spans="1:26" ht="12.95" customHeight="1" outlineLevel="3" x14ac:dyDescent="0.2">
      <c r="A7084" s="76" t="s">
        <v>13590</v>
      </c>
      <c r="B7084" s="76"/>
      <c r="C7084" s="77"/>
      <c r="D7084" s="58"/>
      <c r="E7084" s="68"/>
      <c r="F7084" s="13"/>
      <c r="G7084" s="13"/>
      <c r="H7084" s="13"/>
      <c r="I7084" s="13"/>
      <c r="J7084" s="13"/>
      <c r="K7084" s="13"/>
      <c r="L7084" s="13"/>
      <c r="M7084" s="13"/>
      <c r="N7084" s="13"/>
      <c r="O7084" s="13"/>
      <c r="P7084" s="13"/>
      <c r="Q7084" s="13"/>
      <c r="R7084" s="13"/>
      <c r="S7084" s="13"/>
      <c r="T7084" s="13"/>
      <c r="U7084" s="13"/>
      <c r="V7084" s="13"/>
      <c r="W7084" s="13"/>
      <c r="X7084" s="13"/>
      <c r="Y7084" s="13"/>
      <c r="Z7084" s="13"/>
    </row>
    <row r="7085" spans="1:26" ht="12" customHeight="1" outlineLevel="4" x14ac:dyDescent="0.2">
      <c r="A7085" s="14" t="s">
        <v>13591</v>
      </c>
      <c r="B7085" s="26" t="s">
        <v>13592</v>
      </c>
      <c r="C7085" s="52"/>
      <c r="D7085" s="55">
        <f t="shared" si="110"/>
        <v>0</v>
      </c>
      <c r="E7085" s="63" t="str">
        <f>HYPERLINK("https://www.sds-group.ru/product/shkaf-telekommunikatsionnyy-napolnyy-19-42u-600-600-2054mm-dver-steklo-zadnyaya-dver-met-04-4266-211/", "Инфо")</f>
        <v>Инфо</v>
      </c>
      <c r="F7085" s="16" t="s">
        <v>39</v>
      </c>
      <c r="G7085" s="15"/>
      <c r="H7085" s="15"/>
      <c r="I7085" s="15"/>
      <c r="J7085" s="17">
        <v>2</v>
      </c>
      <c r="K7085" s="15" t="s">
        <v>6930</v>
      </c>
      <c r="L7085" s="17">
        <v>1</v>
      </c>
      <c r="M7085" s="17">
        <v>1</v>
      </c>
      <c r="N7085" s="17">
        <v>1</v>
      </c>
      <c r="O7085" s="18">
        <v>66837.13</v>
      </c>
      <c r="P7085" s="18">
        <v>54784.53</v>
      </c>
      <c r="Q7085" s="18">
        <v>53469.7</v>
      </c>
      <c r="R7085" s="18">
        <v>43827.62</v>
      </c>
      <c r="S7085" s="18">
        <v>40102.28</v>
      </c>
      <c r="T7085" s="18">
        <v>32870.720000000001</v>
      </c>
      <c r="U7085" s="16"/>
      <c r="V7085" s="16"/>
      <c r="W7085" s="16" t="s">
        <v>40</v>
      </c>
      <c r="X7085" s="19">
        <v>78.501000000000005</v>
      </c>
      <c r="Y7085" s="20">
        <v>0.246</v>
      </c>
      <c r="Z7085" s="21">
        <v>4601004296923</v>
      </c>
    </row>
    <row r="7086" spans="1:26" ht="12" customHeight="1" outlineLevel="4" x14ac:dyDescent="0.2">
      <c r="A7086" s="14" t="s">
        <v>13593</v>
      </c>
      <c r="B7086" s="26" t="s">
        <v>13594</v>
      </c>
      <c r="C7086" s="52"/>
      <c r="D7086" s="55">
        <f t="shared" si="110"/>
        <v>0</v>
      </c>
      <c r="E7086" s="63" t="str">
        <f>HYPERLINK("https://www.sds-group.ru/product/shkaf-telekommunikatsionnyy-napolnyy-19-42u-600-600-2054mm-dver-steklo-zadnyaya-dver-met-04-4266-212/", "Инфо")</f>
        <v>Инфо</v>
      </c>
      <c r="F7086" s="16" t="s">
        <v>39</v>
      </c>
      <c r="G7086" s="15"/>
      <c r="H7086" s="15"/>
      <c r="I7086" s="15"/>
      <c r="J7086" s="16" t="s">
        <v>100</v>
      </c>
      <c r="K7086" s="15" t="s">
        <v>6930</v>
      </c>
      <c r="L7086" s="17">
        <v>1</v>
      </c>
      <c r="M7086" s="17">
        <v>1</v>
      </c>
      <c r="N7086" s="17">
        <v>1</v>
      </c>
      <c r="O7086" s="18">
        <v>66837.13</v>
      </c>
      <c r="P7086" s="18">
        <v>54784.53</v>
      </c>
      <c r="Q7086" s="18">
        <v>48791.1</v>
      </c>
      <c r="R7086" s="18">
        <v>39992.699999999997</v>
      </c>
      <c r="S7086" s="18">
        <v>40102.28</v>
      </c>
      <c r="T7086" s="18">
        <v>32870.720000000001</v>
      </c>
      <c r="U7086" s="16"/>
      <c r="V7086" s="16"/>
      <c r="W7086" s="16" t="s">
        <v>40</v>
      </c>
      <c r="X7086" s="19">
        <v>78.466999999999999</v>
      </c>
      <c r="Y7086" s="20">
        <v>0.246</v>
      </c>
      <c r="Z7086" s="21">
        <v>4601004304284</v>
      </c>
    </row>
    <row r="7087" spans="1:26" ht="12.95" customHeight="1" outlineLevel="3" x14ac:dyDescent="0.2">
      <c r="A7087" s="76" t="s">
        <v>13595</v>
      </c>
      <c r="B7087" s="76"/>
      <c r="C7087" s="77"/>
      <c r="D7087" s="58"/>
      <c r="E7087" s="68"/>
      <c r="F7087" s="13"/>
      <c r="G7087" s="13"/>
      <c r="H7087" s="13"/>
      <c r="I7087" s="13"/>
      <c r="J7087" s="13"/>
      <c r="K7087" s="13"/>
      <c r="L7087" s="13"/>
      <c r="M7087" s="13"/>
      <c r="N7087" s="13"/>
      <c r="O7087" s="13"/>
      <c r="P7087" s="13"/>
      <c r="Q7087" s="13"/>
      <c r="R7087" s="13"/>
      <c r="S7087" s="13"/>
      <c r="T7087" s="13"/>
      <c r="U7087" s="13"/>
      <c r="V7087" s="13"/>
      <c r="W7087" s="13"/>
      <c r="X7087" s="13"/>
      <c r="Y7087" s="13"/>
      <c r="Z7087" s="13"/>
    </row>
    <row r="7088" spans="1:26" ht="12" customHeight="1" outlineLevel="4" x14ac:dyDescent="0.2">
      <c r="A7088" s="14" t="s">
        <v>13596</v>
      </c>
      <c r="B7088" s="26" t="s">
        <v>13597</v>
      </c>
      <c r="C7088" s="52"/>
      <c r="D7088" s="55">
        <f t="shared" si="110"/>
        <v>0</v>
      </c>
      <c r="E7088" s="63" t="str">
        <f>HYPERLINK("https://www.sds-group.ru/product/shkaf-telekommunikatsionnyy-napolnyy-19-42u-600-800-2054mm-dver-perforatsiya-perforirova-04-4266-232/", "Инфо")</f>
        <v>Инфо</v>
      </c>
      <c r="F7088" s="16" t="s">
        <v>39</v>
      </c>
      <c r="G7088" s="15"/>
      <c r="H7088" s="15"/>
      <c r="I7088" s="15"/>
      <c r="J7088" s="17">
        <v>1</v>
      </c>
      <c r="K7088" s="15" t="s">
        <v>6930</v>
      </c>
      <c r="L7088" s="17">
        <v>1</v>
      </c>
      <c r="M7088" s="17">
        <v>1</v>
      </c>
      <c r="N7088" s="17">
        <v>1</v>
      </c>
      <c r="O7088" s="18">
        <v>71669.570000000007</v>
      </c>
      <c r="P7088" s="18">
        <v>58745.55</v>
      </c>
      <c r="Q7088" s="18">
        <v>52318.79</v>
      </c>
      <c r="R7088" s="18">
        <v>42884.25</v>
      </c>
      <c r="S7088" s="18">
        <v>43001.74</v>
      </c>
      <c r="T7088" s="18">
        <v>35247.33</v>
      </c>
      <c r="U7088" s="16"/>
      <c r="V7088" s="16"/>
      <c r="W7088" s="16" t="s">
        <v>40</v>
      </c>
      <c r="X7088" s="19">
        <v>78.486000000000004</v>
      </c>
      <c r="Y7088" s="20">
        <v>0.32800000000000001</v>
      </c>
      <c r="Z7088" s="21">
        <v>4601004304277</v>
      </c>
    </row>
    <row r="7089" spans="1:26" ht="12" customHeight="1" outlineLevel="4" x14ac:dyDescent="0.2">
      <c r="A7089" s="14" t="s">
        <v>13598</v>
      </c>
      <c r="B7089" s="26" t="s">
        <v>13599</v>
      </c>
      <c r="C7089" s="52"/>
      <c r="D7089" s="55">
        <f t="shared" si="110"/>
        <v>0</v>
      </c>
      <c r="E7089" s="63" t="str">
        <f>HYPERLINK("https://www.sds-group.ru/product/shkaf-telekommunikatsionnyy-napolnyy-19-42u-600-800-2054mm-dver-steklo-zadnyaya-dver-met-04-4268-211/", "Инфо")</f>
        <v>Инфо</v>
      </c>
      <c r="F7089" s="16" t="s">
        <v>39</v>
      </c>
      <c r="G7089" s="15"/>
      <c r="H7089" s="15"/>
      <c r="I7089" s="15"/>
      <c r="J7089" s="16" t="s">
        <v>100</v>
      </c>
      <c r="K7089" s="15" t="s">
        <v>6930</v>
      </c>
      <c r="L7089" s="17">
        <v>1</v>
      </c>
      <c r="M7089" s="17">
        <v>1</v>
      </c>
      <c r="N7089" s="17">
        <v>1</v>
      </c>
      <c r="O7089" s="18">
        <v>72590.03</v>
      </c>
      <c r="P7089" s="18">
        <v>59500.02</v>
      </c>
      <c r="Q7089" s="18">
        <v>52990.720000000001</v>
      </c>
      <c r="R7089" s="18">
        <v>43435.02</v>
      </c>
      <c r="S7089" s="18">
        <v>43554.02</v>
      </c>
      <c r="T7089" s="18">
        <v>35700.019999999997</v>
      </c>
      <c r="U7089" s="16"/>
      <c r="V7089" s="16"/>
      <c r="W7089" s="16" t="s">
        <v>40</v>
      </c>
      <c r="X7089" s="19">
        <v>90.605999999999995</v>
      </c>
      <c r="Y7089" s="20">
        <v>0.56363600000000003</v>
      </c>
      <c r="Z7089" s="21">
        <v>4601004296947</v>
      </c>
    </row>
    <row r="7090" spans="1:26" ht="12" customHeight="1" outlineLevel="4" x14ac:dyDescent="0.2">
      <c r="A7090" s="14" t="s">
        <v>13600</v>
      </c>
      <c r="B7090" s="26" t="s">
        <v>13601</v>
      </c>
      <c r="C7090" s="52"/>
      <c r="D7090" s="55">
        <f t="shared" si="110"/>
        <v>0</v>
      </c>
      <c r="E7090" s="63" t="str">
        <f>HYPERLINK("https://www.sds-group.ru/product/napolniy-shkaf-19-42u-600-times-800-times-2054-shxgxv-dver-steklo-metallicheskaya-zadnyaya-dver-bokovie-semnie-stenki-ral-9005-rexant-31439/", "Инфо")</f>
        <v>Инфо</v>
      </c>
      <c r="F7090" s="16" t="s">
        <v>39</v>
      </c>
      <c r="G7090" s="15"/>
      <c r="H7090" s="15"/>
      <c r="I7090" s="15"/>
      <c r="J7090" s="16" t="s">
        <v>100</v>
      </c>
      <c r="K7090" s="15" t="s">
        <v>6930</v>
      </c>
      <c r="L7090" s="17">
        <v>1</v>
      </c>
      <c r="M7090" s="17">
        <v>1</v>
      </c>
      <c r="N7090" s="17">
        <v>1</v>
      </c>
      <c r="O7090" s="18">
        <v>72590.03</v>
      </c>
      <c r="P7090" s="18">
        <v>59500.02</v>
      </c>
      <c r="Q7090" s="18">
        <v>52990.720000000001</v>
      </c>
      <c r="R7090" s="18">
        <v>43435.02</v>
      </c>
      <c r="S7090" s="18">
        <v>43554.02</v>
      </c>
      <c r="T7090" s="18">
        <v>35700.019999999997</v>
      </c>
      <c r="U7090" s="16"/>
      <c r="V7090" s="16"/>
      <c r="W7090" s="16" t="s">
        <v>40</v>
      </c>
      <c r="X7090" s="19">
        <v>16.968</v>
      </c>
      <c r="Y7090" s="20">
        <v>5.6473000000000002E-2</v>
      </c>
      <c r="Z7090" s="21">
        <v>4601004304291</v>
      </c>
    </row>
    <row r="7091" spans="1:26" ht="12" customHeight="1" outlineLevel="4" x14ac:dyDescent="0.2">
      <c r="A7091" s="40" t="s">
        <v>13602</v>
      </c>
      <c r="B7091" s="75" t="s">
        <v>13603</v>
      </c>
      <c r="C7091" s="51"/>
      <c r="D7091" s="54">
        <f t="shared" si="110"/>
        <v>0</v>
      </c>
      <c r="E7091" s="61" t="str">
        <f>HYPERLINK("https://www.sds-group.ru/product/shkaf-telekommunikatsionnyy-napolnyy-19-42u-600-800mm-dver-perforatsiya-razbornyy-seryy--04-4268-231/", "Инфо")</f>
        <v>Инфо</v>
      </c>
      <c r="F7091" s="42" t="s">
        <v>39</v>
      </c>
      <c r="G7091" s="41" t="s">
        <v>40</v>
      </c>
      <c r="H7091" s="41"/>
      <c r="I7091" s="41"/>
      <c r="J7091" s="42" t="s">
        <v>100</v>
      </c>
      <c r="K7091" s="41" t="s">
        <v>6930</v>
      </c>
      <c r="L7091" s="43">
        <v>1</v>
      </c>
      <c r="M7091" s="43">
        <v>1</v>
      </c>
      <c r="N7091" s="43">
        <v>1</v>
      </c>
      <c r="O7091" s="44">
        <v>72590.03</v>
      </c>
      <c r="P7091" s="44">
        <v>59500.02</v>
      </c>
      <c r="Q7091" s="44">
        <v>64605.13</v>
      </c>
      <c r="R7091" s="44">
        <v>52955.02</v>
      </c>
      <c r="S7091" s="44">
        <v>43554.02</v>
      </c>
      <c r="T7091" s="44">
        <v>35700.019999999997</v>
      </c>
      <c r="U7091" s="42"/>
      <c r="V7091" s="42"/>
      <c r="W7091" s="42" t="s">
        <v>40</v>
      </c>
      <c r="X7091" s="45">
        <v>79.513999999999996</v>
      </c>
      <c r="Y7091" s="46">
        <v>0.46993600000000002</v>
      </c>
      <c r="Z7091" s="21">
        <v>4601004331457</v>
      </c>
    </row>
    <row r="7092" spans="1:26" ht="12" customHeight="1" outlineLevel="4" x14ac:dyDescent="0.2">
      <c r="A7092" s="40" t="s">
        <v>13604</v>
      </c>
      <c r="B7092" s="75" t="s">
        <v>13605</v>
      </c>
      <c r="C7092" s="51"/>
      <c r="D7092" s="54">
        <f t="shared" si="110"/>
        <v>0</v>
      </c>
      <c r="E7092" s="61" t="str">
        <f>HYPERLINK("https://www.sds-group.ru/product/shkaf-telekommunikatsionnyy-napolnyy-19-42u-600-800h2055mm-dver-perforatsiya-perforirova-04-4268-232/", "Инфо")</f>
        <v>Инфо</v>
      </c>
      <c r="F7092" s="42" t="s">
        <v>39</v>
      </c>
      <c r="G7092" s="41" t="s">
        <v>40</v>
      </c>
      <c r="H7092" s="41"/>
      <c r="I7092" s="41"/>
      <c r="J7092" s="42" t="s">
        <v>100</v>
      </c>
      <c r="K7092" s="41" t="s">
        <v>6930</v>
      </c>
      <c r="L7092" s="43">
        <v>1</v>
      </c>
      <c r="M7092" s="43">
        <v>1</v>
      </c>
      <c r="N7092" s="43">
        <v>1</v>
      </c>
      <c r="O7092" s="44">
        <v>72590.03</v>
      </c>
      <c r="P7092" s="44">
        <v>59500.02</v>
      </c>
      <c r="Q7092" s="44">
        <v>64605.13</v>
      </c>
      <c r="R7092" s="44">
        <v>52955.02</v>
      </c>
      <c r="S7092" s="44">
        <v>43554.02</v>
      </c>
      <c r="T7092" s="44">
        <v>35700.019999999997</v>
      </c>
      <c r="U7092" s="42"/>
      <c r="V7092" s="42"/>
      <c r="W7092" s="42" t="s">
        <v>40</v>
      </c>
      <c r="X7092" s="45">
        <v>80</v>
      </c>
      <c r="Y7092" s="46">
        <v>0.84571399999999997</v>
      </c>
      <c r="Z7092" s="21">
        <v>4601004337459</v>
      </c>
    </row>
    <row r="7093" spans="1:26" ht="12.95" customHeight="1" outlineLevel="3" x14ac:dyDescent="0.2">
      <c r="A7093" s="76" t="s">
        <v>13606</v>
      </c>
      <c r="B7093" s="76"/>
      <c r="C7093" s="77"/>
      <c r="D7093" s="58"/>
      <c r="E7093" s="68"/>
      <c r="F7093" s="13"/>
      <c r="G7093" s="13"/>
      <c r="H7093" s="13"/>
      <c r="I7093" s="13"/>
      <c r="J7093" s="13"/>
      <c r="K7093" s="13"/>
      <c r="L7093" s="13"/>
      <c r="M7093" s="13"/>
      <c r="N7093" s="13"/>
      <c r="O7093" s="13"/>
      <c r="P7093" s="13"/>
      <c r="Q7093" s="13"/>
      <c r="R7093" s="13"/>
      <c r="S7093" s="13"/>
      <c r="T7093" s="13"/>
      <c r="U7093" s="13"/>
      <c r="V7093" s="13"/>
      <c r="W7093" s="13"/>
      <c r="X7093" s="13"/>
      <c r="Y7093" s="13"/>
      <c r="Z7093" s="13"/>
    </row>
    <row r="7094" spans="1:26" ht="12" customHeight="1" outlineLevel="4" x14ac:dyDescent="0.2">
      <c r="A7094" s="14" t="s">
        <v>13607</v>
      </c>
      <c r="B7094" s="26" t="s">
        <v>13608</v>
      </c>
      <c r="C7094" s="52"/>
      <c r="D7094" s="55">
        <f t="shared" si="110"/>
        <v>0</v>
      </c>
      <c r="E7094" s="63" t="str">
        <f>HYPERLINK("https://www.sds-group.ru/product/shkaf-telekommunikatsionnyy-napolnyy-19-42u-800-800-2054mm-dver-steklo-zadnyaya-dver-met-04-4288-212/", "Инфо")</f>
        <v>Инфо</v>
      </c>
      <c r="F7094" s="16" t="s">
        <v>39</v>
      </c>
      <c r="G7094" s="15"/>
      <c r="H7094" s="15"/>
      <c r="I7094" s="15"/>
      <c r="J7094" s="16" t="s">
        <v>100</v>
      </c>
      <c r="K7094" s="15" t="s">
        <v>6930</v>
      </c>
      <c r="L7094" s="17">
        <v>1</v>
      </c>
      <c r="M7094" s="17">
        <v>1</v>
      </c>
      <c r="N7094" s="17">
        <v>1</v>
      </c>
      <c r="O7094" s="18">
        <v>86166.86</v>
      </c>
      <c r="P7094" s="18">
        <v>70628.570000000007</v>
      </c>
      <c r="Q7094" s="18">
        <v>62901.81</v>
      </c>
      <c r="R7094" s="18">
        <v>51558.86</v>
      </c>
      <c r="S7094" s="18">
        <v>51700.12</v>
      </c>
      <c r="T7094" s="18">
        <v>42377.15</v>
      </c>
      <c r="U7094" s="16"/>
      <c r="V7094" s="16"/>
      <c r="W7094" s="16" t="s">
        <v>40</v>
      </c>
      <c r="X7094" s="19">
        <v>121.52</v>
      </c>
      <c r="Y7094" s="20">
        <v>0.438</v>
      </c>
      <c r="Z7094" s="21">
        <v>4601004304260</v>
      </c>
    </row>
    <row r="7095" spans="1:26" ht="12" customHeight="1" outlineLevel="4" x14ac:dyDescent="0.2">
      <c r="A7095" s="40" t="s">
        <v>13609</v>
      </c>
      <c r="B7095" s="75" t="s">
        <v>13610</v>
      </c>
      <c r="C7095" s="51"/>
      <c r="D7095" s="54">
        <f t="shared" si="110"/>
        <v>0</v>
      </c>
      <c r="E7095" s="61" t="str">
        <f>HYPERLINK("https://www.sds-group.ru/product/shkaf-telekommunikatsionnyy-napolnyy-19-42u-800-800mm-dver-steklo-razbornyy-seryy-ral-70-04-4288-211/", "Инфо")</f>
        <v>Инфо</v>
      </c>
      <c r="F7095" s="42" t="s">
        <v>39</v>
      </c>
      <c r="G7095" s="41" t="s">
        <v>40</v>
      </c>
      <c r="H7095" s="41"/>
      <c r="I7095" s="41"/>
      <c r="J7095" s="43">
        <v>3</v>
      </c>
      <c r="K7095" s="41" t="s">
        <v>6930</v>
      </c>
      <c r="L7095" s="43">
        <v>1</v>
      </c>
      <c r="M7095" s="43">
        <v>1</v>
      </c>
      <c r="N7095" s="43">
        <v>1</v>
      </c>
      <c r="O7095" s="44">
        <v>86166.86</v>
      </c>
      <c r="P7095" s="44">
        <v>70628.570000000007</v>
      </c>
      <c r="Q7095" s="44">
        <v>76688.509999999995</v>
      </c>
      <c r="R7095" s="44">
        <v>62859.43</v>
      </c>
      <c r="S7095" s="44">
        <v>51700.12</v>
      </c>
      <c r="T7095" s="44">
        <v>42377.15</v>
      </c>
      <c r="U7095" s="42"/>
      <c r="V7095" s="42"/>
      <c r="W7095" s="42" t="s">
        <v>40</v>
      </c>
      <c r="X7095" s="45">
        <v>111.889</v>
      </c>
      <c r="Y7095" s="46">
        <v>0.39388899999999999</v>
      </c>
      <c r="Z7095" s="21">
        <v>4601004331112</v>
      </c>
    </row>
    <row r="7096" spans="1:26" ht="12.95" customHeight="1" outlineLevel="2" x14ac:dyDescent="0.2">
      <c r="A7096" s="76" t="s">
        <v>13611</v>
      </c>
      <c r="B7096" s="76"/>
      <c r="C7096" s="77"/>
      <c r="D7096" s="58"/>
      <c r="E7096" s="68"/>
      <c r="F7096" s="13"/>
      <c r="G7096" s="13"/>
      <c r="H7096" s="13"/>
      <c r="I7096" s="13"/>
      <c r="J7096" s="13"/>
      <c r="K7096" s="13"/>
      <c r="L7096" s="13"/>
      <c r="M7096" s="13"/>
      <c r="N7096" s="13"/>
      <c r="O7096" s="13"/>
      <c r="P7096" s="13"/>
      <c r="Q7096" s="13"/>
      <c r="R7096" s="13"/>
      <c r="S7096" s="13"/>
      <c r="T7096" s="13"/>
      <c r="U7096" s="13"/>
      <c r="V7096" s="13"/>
      <c r="W7096" s="13"/>
      <c r="X7096" s="13"/>
      <c r="Y7096" s="13"/>
      <c r="Z7096" s="13"/>
    </row>
    <row r="7097" spans="1:26" ht="12" customHeight="1" outlineLevel="3" x14ac:dyDescent="0.2">
      <c r="A7097" s="14" t="s">
        <v>13612</v>
      </c>
      <c r="B7097" s="26" t="s">
        <v>13613</v>
      </c>
      <c r="C7097" s="52"/>
      <c r="D7097" s="55">
        <f t="shared" si="110"/>
        <v>0</v>
      </c>
      <c r="E7097" s="63" t="str">
        <f>HYPERLINK("https://www.sds-group.ru/product/shkaf-nastennyy-19-antivandalnyy-raspashnoy-10u-600-500-500mm-shxgxv-ral-7035-rexant-04-2253/", "Инфо")</f>
        <v>Инфо</v>
      </c>
      <c r="F7097" s="16" t="s">
        <v>39</v>
      </c>
      <c r="G7097" s="15"/>
      <c r="H7097" s="15"/>
      <c r="I7097" s="15" t="s">
        <v>13414</v>
      </c>
      <c r="J7097" s="16" t="s">
        <v>100</v>
      </c>
      <c r="K7097" s="15" t="s">
        <v>1888</v>
      </c>
      <c r="L7097" s="17">
        <v>1</v>
      </c>
      <c r="M7097" s="17">
        <v>1</v>
      </c>
      <c r="N7097" s="17">
        <v>1</v>
      </c>
      <c r="O7097" s="18">
        <v>26409.68</v>
      </c>
      <c r="P7097" s="18">
        <v>21647.279999999999</v>
      </c>
      <c r="Q7097" s="18">
        <v>26409.68</v>
      </c>
      <c r="R7097" s="18">
        <v>21647.279999999999</v>
      </c>
      <c r="S7097" s="18">
        <v>15845.81</v>
      </c>
      <c r="T7097" s="18">
        <v>12988.37</v>
      </c>
      <c r="U7097" s="16"/>
      <c r="V7097" s="16"/>
      <c r="W7097" s="16" t="s">
        <v>40</v>
      </c>
      <c r="X7097" s="19">
        <v>23.276</v>
      </c>
      <c r="Y7097" s="20">
        <v>0.15387700000000001</v>
      </c>
      <c r="Z7097" s="21">
        <v>4601004101159</v>
      </c>
    </row>
    <row r="7098" spans="1:26" ht="12" customHeight="1" outlineLevel="3" x14ac:dyDescent="0.2">
      <c r="A7098" s="14" t="s">
        <v>13614</v>
      </c>
      <c r="B7098" s="26" t="s">
        <v>13615</v>
      </c>
      <c r="C7098" s="52"/>
      <c r="D7098" s="55">
        <f t="shared" si="110"/>
        <v>0</v>
      </c>
      <c r="E7098" s="63" t="str">
        <f>HYPERLINK("https://www.sds-group.ru/product/shkaf-nastennyy-19-antivandalnyy-raspashnoy-14u-600-500-700mm-shxgxv-ral-7035-rexant-04-2254/", "Инфо")</f>
        <v>Инфо</v>
      </c>
      <c r="F7098" s="16" t="s">
        <v>39</v>
      </c>
      <c r="G7098" s="15"/>
      <c r="H7098" s="15"/>
      <c r="I7098" s="15" t="s">
        <v>13414</v>
      </c>
      <c r="J7098" s="16" t="s">
        <v>100</v>
      </c>
      <c r="K7098" s="15" t="s">
        <v>1888</v>
      </c>
      <c r="L7098" s="17">
        <v>1</v>
      </c>
      <c r="M7098" s="17">
        <v>1</v>
      </c>
      <c r="N7098" s="17">
        <v>1</v>
      </c>
      <c r="O7098" s="18">
        <v>31310.57</v>
      </c>
      <c r="P7098" s="18">
        <v>25664.400000000001</v>
      </c>
      <c r="Q7098" s="18">
        <v>31310.57</v>
      </c>
      <c r="R7098" s="18">
        <v>25664.400000000001</v>
      </c>
      <c r="S7098" s="18">
        <v>18786.34</v>
      </c>
      <c r="T7098" s="18">
        <v>15398.64</v>
      </c>
      <c r="U7098" s="16"/>
      <c r="V7098" s="16"/>
      <c r="W7098" s="16" t="s">
        <v>40</v>
      </c>
      <c r="X7098" s="19">
        <v>27.571999999999999</v>
      </c>
      <c r="Y7098" s="20">
        <v>0.20821500000000001</v>
      </c>
      <c r="Z7098" s="21">
        <v>4601004101166</v>
      </c>
    </row>
    <row r="7099" spans="1:26" ht="12" customHeight="1" outlineLevel="3" x14ac:dyDescent="0.2">
      <c r="A7099" s="40" t="s">
        <v>13616</v>
      </c>
      <c r="B7099" s="75" t="s">
        <v>13617</v>
      </c>
      <c r="C7099" s="51"/>
      <c r="D7099" s="54">
        <f t="shared" si="110"/>
        <v>0</v>
      </c>
      <c r="E7099" s="62"/>
      <c r="F7099" s="42" t="s">
        <v>39</v>
      </c>
      <c r="G7099" s="41" t="s">
        <v>40</v>
      </c>
      <c r="H7099" s="41"/>
      <c r="I7099" s="41" t="s">
        <v>2135</v>
      </c>
      <c r="J7099" s="42" t="s">
        <v>100</v>
      </c>
      <c r="K7099" s="41" t="s">
        <v>1888</v>
      </c>
      <c r="L7099" s="43">
        <v>1</v>
      </c>
      <c r="M7099" s="43">
        <v>1</v>
      </c>
      <c r="N7099" s="43">
        <v>1</v>
      </c>
      <c r="O7099" s="44">
        <v>15772.8</v>
      </c>
      <c r="P7099" s="44">
        <v>12928.52</v>
      </c>
      <c r="Q7099" s="44">
        <v>14037.79</v>
      </c>
      <c r="R7099" s="44">
        <v>11506.39</v>
      </c>
      <c r="S7099" s="44">
        <v>10725.5</v>
      </c>
      <c r="T7099" s="44">
        <v>8791.39</v>
      </c>
      <c r="U7099" s="42"/>
      <c r="V7099" s="42"/>
      <c r="W7099" s="42" t="s">
        <v>40</v>
      </c>
      <c r="X7099" s="45">
        <v>9.5</v>
      </c>
      <c r="Y7099" s="46">
        <v>6.2E-2</v>
      </c>
      <c r="Z7099" s="21">
        <v>4601004358669</v>
      </c>
    </row>
    <row r="7100" spans="1:26" ht="12" customHeight="1" outlineLevel="3" x14ac:dyDescent="0.2">
      <c r="A7100" s="14" t="s">
        <v>13618</v>
      </c>
      <c r="B7100" s="26" t="s">
        <v>13619</v>
      </c>
      <c r="C7100" s="52"/>
      <c r="D7100" s="55">
        <f t="shared" si="110"/>
        <v>0</v>
      </c>
      <c r="E7100" s="63" t="str">
        <f>HYPERLINK("https://www.sds-group.ru/product/shkaf-nastennyy-19-antivandalnyy-raspashnoy-8u-600-400-450mm-shxgxv-ral-7035-rexant-04-2252/", "Инфо")</f>
        <v>Инфо</v>
      </c>
      <c r="F7100" s="16" t="s">
        <v>39</v>
      </c>
      <c r="G7100" s="15"/>
      <c r="H7100" s="15"/>
      <c r="I7100" s="15" t="s">
        <v>13414</v>
      </c>
      <c r="J7100" s="16" t="s">
        <v>100</v>
      </c>
      <c r="K7100" s="15" t="s">
        <v>1888</v>
      </c>
      <c r="L7100" s="17">
        <v>1</v>
      </c>
      <c r="M7100" s="17">
        <v>1</v>
      </c>
      <c r="N7100" s="17">
        <v>1</v>
      </c>
      <c r="O7100" s="18">
        <v>19955.13</v>
      </c>
      <c r="P7100" s="18">
        <v>16356.66</v>
      </c>
      <c r="Q7100" s="18">
        <v>19955.13</v>
      </c>
      <c r="R7100" s="18">
        <v>16356.66</v>
      </c>
      <c r="S7100" s="18">
        <v>11973.08</v>
      </c>
      <c r="T7100" s="18">
        <v>9814</v>
      </c>
      <c r="U7100" s="16"/>
      <c r="V7100" s="16"/>
      <c r="W7100" s="16" t="s">
        <v>40</v>
      </c>
      <c r="X7100" s="19">
        <v>18.7</v>
      </c>
      <c r="Y7100" s="20">
        <v>0.103729</v>
      </c>
      <c r="Z7100" s="21">
        <v>4601004101142</v>
      </c>
    </row>
    <row r="7101" spans="1:26" ht="12.95" customHeight="1" outlineLevel="2" x14ac:dyDescent="0.2">
      <c r="A7101" s="76" t="s">
        <v>13620</v>
      </c>
      <c r="B7101" s="76"/>
      <c r="C7101" s="77"/>
      <c r="D7101" s="58"/>
      <c r="E7101" s="68"/>
      <c r="F7101" s="13"/>
      <c r="G7101" s="13"/>
      <c r="H7101" s="13"/>
      <c r="I7101" s="13"/>
      <c r="J7101" s="13"/>
      <c r="K7101" s="13"/>
      <c r="L7101" s="13"/>
      <c r="M7101" s="13"/>
      <c r="N7101" s="13"/>
      <c r="O7101" s="13"/>
      <c r="P7101" s="13"/>
      <c r="Q7101" s="13"/>
      <c r="R7101" s="13"/>
      <c r="S7101" s="13"/>
      <c r="T7101" s="13"/>
      <c r="U7101" s="13"/>
      <c r="V7101" s="13"/>
      <c r="W7101" s="13"/>
      <c r="X7101" s="13"/>
      <c r="Y7101" s="13"/>
      <c r="Z7101" s="13"/>
    </row>
    <row r="7102" spans="1:26" ht="12" customHeight="1" outlineLevel="3" x14ac:dyDescent="0.2">
      <c r="A7102" s="14" t="s">
        <v>13621</v>
      </c>
      <c r="B7102" s="26" t="s">
        <v>13622</v>
      </c>
      <c r="C7102" s="52"/>
      <c r="D7102" s="55">
        <f t="shared" si="110"/>
        <v>0</v>
      </c>
      <c r="E7102" s="63" t="str">
        <f>HYPERLINK("https://www.sds-group.ru/product/polka-vydvizhnaya-dlya-klaviatury-19-1u-glubina-450mm-rexant-04-2629/", "Инфо")</f>
        <v>Инфо</v>
      </c>
      <c r="F7102" s="16" t="s">
        <v>39</v>
      </c>
      <c r="G7102" s="15"/>
      <c r="H7102" s="15"/>
      <c r="I7102" s="15" t="s">
        <v>13441</v>
      </c>
      <c r="J7102" s="16" t="s">
        <v>100</v>
      </c>
      <c r="K7102" s="15"/>
      <c r="L7102" s="17">
        <v>1</v>
      </c>
      <c r="M7102" s="17">
        <v>1</v>
      </c>
      <c r="N7102" s="17">
        <v>1</v>
      </c>
      <c r="O7102" s="18">
        <v>3632.32</v>
      </c>
      <c r="P7102" s="18">
        <v>2977.31</v>
      </c>
      <c r="Q7102" s="18">
        <v>3632.32</v>
      </c>
      <c r="R7102" s="18">
        <v>2977.31</v>
      </c>
      <c r="S7102" s="18">
        <v>2179.39</v>
      </c>
      <c r="T7102" s="18">
        <v>1786.39</v>
      </c>
      <c r="U7102" s="16"/>
      <c r="V7102" s="16"/>
      <c r="W7102" s="16" t="s">
        <v>40</v>
      </c>
      <c r="X7102" s="19">
        <v>2.88</v>
      </c>
      <c r="Y7102" s="20">
        <v>1.0999999999999999E-2</v>
      </c>
      <c r="Z7102" s="21">
        <v>4601004102651</v>
      </c>
    </row>
    <row r="7103" spans="1:26" ht="12" customHeight="1" outlineLevel="3" x14ac:dyDescent="0.2">
      <c r="A7103" s="14" t="s">
        <v>13623</v>
      </c>
      <c r="B7103" s="26" t="s">
        <v>13624</v>
      </c>
      <c r="C7103" s="52"/>
      <c r="D7103" s="55">
        <f t="shared" si="110"/>
        <v>0</v>
      </c>
      <c r="E7103" s="63" t="str">
        <f>HYPERLINK("https://www.sds-group.ru/product/polka-perednego-krepleniya-statsionarnaya-19-1u-glubinoy-250mm-rexant-04-2626/", "Инфо")</f>
        <v>Инфо</v>
      </c>
      <c r="F7103" s="16" t="s">
        <v>39</v>
      </c>
      <c r="G7103" s="15"/>
      <c r="H7103" s="15"/>
      <c r="I7103" s="15" t="s">
        <v>13441</v>
      </c>
      <c r="J7103" s="16" t="s">
        <v>100</v>
      </c>
      <c r="K7103" s="15"/>
      <c r="L7103" s="17">
        <v>1</v>
      </c>
      <c r="M7103" s="17">
        <v>1</v>
      </c>
      <c r="N7103" s="17">
        <v>1</v>
      </c>
      <c r="O7103" s="18">
        <v>2116.81</v>
      </c>
      <c r="P7103" s="18">
        <v>1735.09</v>
      </c>
      <c r="Q7103" s="18">
        <v>2116.81</v>
      </c>
      <c r="R7103" s="18">
        <v>1735.09</v>
      </c>
      <c r="S7103" s="18">
        <v>1270.0899999999999</v>
      </c>
      <c r="T7103" s="18">
        <v>1041.06</v>
      </c>
      <c r="U7103" s="16"/>
      <c r="V7103" s="16"/>
      <c r="W7103" s="16" t="s">
        <v>40</v>
      </c>
      <c r="X7103" s="19">
        <v>1.4490000000000001</v>
      </c>
      <c r="Y7103" s="20">
        <v>5.4000000000000003E-3</v>
      </c>
      <c r="Z7103" s="21">
        <v>4601004102620</v>
      </c>
    </row>
    <row r="7104" spans="1:26" ht="12" customHeight="1" outlineLevel="3" x14ac:dyDescent="0.2">
      <c r="A7104" s="32" t="s">
        <v>13625</v>
      </c>
      <c r="B7104" s="74" t="s">
        <v>13626</v>
      </c>
      <c r="C7104" s="50"/>
      <c r="D7104" s="53">
        <f t="shared" si="110"/>
        <v>0</v>
      </c>
      <c r="E7104" s="60" t="str">
        <f>HYPERLINK("https://www.sds-group.ru/product/polka-perednego-krepleniya-statsionarnaya-19-2u-glubinoy-450mm-rexant-04-2628/", "Инфо")</f>
        <v>Инфо</v>
      </c>
      <c r="F7104" s="34" t="s">
        <v>39</v>
      </c>
      <c r="G7104" s="33"/>
      <c r="H7104" s="33" t="s">
        <v>40</v>
      </c>
      <c r="I7104" s="33" t="s">
        <v>13441</v>
      </c>
      <c r="J7104" s="34" t="s">
        <v>100</v>
      </c>
      <c r="K7104" s="33"/>
      <c r="L7104" s="35">
        <v>1</v>
      </c>
      <c r="M7104" s="35">
        <v>1</v>
      </c>
      <c r="N7104" s="35">
        <v>1</v>
      </c>
      <c r="O7104" s="36">
        <v>4011.87</v>
      </c>
      <c r="P7104" s="36">
        <v>3288.42</v>
      </c>
      <c r="Q7104" s="36">
        <v>4011.87</v>
      </c>
      <c r="R7104" s="36">
        <v>3288.42</v>
      </c>
      <c r="S7104" s="36">
        <v>2407.12</v>
      </c>
      <c r="T7104" s="36">
        <v>1973.05</v>
      </c>
      <c r="U7104" s="34"/>
      <c r="V7104" s="34"/>
      <c r="W7104" s="34" t="s">
        <v>40</v>
      </c>
      <c r="X7104" s="37">
        <v>2.2400000000000002</v>
      </c>
      <c r="Y7104" s="38">
        <v>2.2499999999999999E-2</v>
      </c>
      <c r="Z7104" s="21">
        <v>4601004102644</v>
      </c>
    </row>
    <row r="7105" spans="1:26" ht="12" customHeight="1" outlineLevel="3" x14ac:dyDescent="0.2">
      <c r="A7105" s="32" t="s">
        <v>13627</v>
      </c>
      <c r="B7105" s="74" t="s">
        <v>13628</v>
      </c>
      <c r="C7105" s="50"/>
      <c r="D7105" s="53">
        <f t="shared" si="110"/>
        <v>0</v>
      </c>
      <c r="E7105" s="60" t="str">
        <f>HYPERLINK("https://www.sds-group.ru/product/polka-statsionarnaya-usilennaya-19-1u-poleznaya-glubina-700mm-dlya-shkafov-glubinoy-1000mm-r-04-2625/", "Инфо")</f>
        <v>Инфо</v>
      </c>
      <c r="F7105" s="34" t="s">
        <v>39</v>
      </c>
      <c r="G7105" s="33"/>
      <c r="H7105" s="33" t="s">
        <v>40</v>
      </c>
      <c r="I7105" s="33" t="s">
        <v>13441</v>
      </c>
      <c r="J7105" s="34" t="s">
        <v>100</v>
      </c>
      <c r="K7105" s="33"/>
      <c r="L7105" s="35">
        <v>1</v>
      </c>
      <c r="M7105" s="35">
        <v>1</v>
      </c>
      <c r="N7105" s="35">
        <v>1</v>
      </c>
      <c r="O7105" s="36">
        <v>7935.94</v>
      </c>
      <c r="P7105" s="36">
        <v>6504.87</v>
      </c>
      <c r="Q7105" s="36">
        <v>7935.94</v>
      </c>
      <c r="R7105" s="36">
        <v>6504.87</v>
      </c>
      <c r="S7105" s="36">
        <v>4761.5600000000004</v>
      </c>
      <c r="T7105" s="36">
        <v>3902.92</v>
      </c>
      <c r="U7105" s="34"/>
      <c r="V7105" s="34"/>
      <c r="W7105" s="34" t="s">
        <v>40</v>
      </c>
      <c r="X7105" s="37">
        <v>5.52</v>
      </c>
      <c r="Y7105" s="38">
        <v>1.255E-2</v>
      </c>
      <c r="Z7105" s="21">
        <v>4601004102613</v>
      </c>
    </row>
    <row r="7106" spans="1:26" ht="12" customHeight="1" outlineLevel="3" x14ac:dyDescent="0.2">
      <c r="A7106" s="32" t="s">
        <v>13629</v>
      </c>
      <c r="B7106" s="74" t="s">
        <v>13630</v>
      </c>
      <c r="C7106" s="50"/>
      <c r="D7106" s="53">
        <f t="shared" si="110"/>
        <v>0</v>
      </c>
      <c r="E7106" s="60" t="str">
        <f>HYPERLINK("https://www.sds-group.ru/product/polka-statsionarnaya-19-1u-poleznaya-glubina-350mm-dlya-shkafov-glubinoy-600mm-rexant-04-2620/", "Инфо")</f>
        <v>Инфо</v>
      </c>
      <c r="F7106" s="34" t="s">
        <v>39</v>
      </c>
      <c r="G7106" s="33"/>
      <c r="H7106" s="33" t="s">
        <v>40</v>
      </c>
      <c r="I7106" s="33" t="s">
        <v>13441</v>
      </c>
      <c r="J7106" s="34" t="s">
        <v>100</v>
      </c>
      <c r="K7106" s="33"/>
      <c r="L7106" s="35">
        <v>1</v>
      </c>
      <c r="M7106" s="35">
        <v>1</v>
      </c>
      <c r="N7106" s="35">
        <v>1</v>
      </c>
      <c r="O7106" s="36">
        <v>2938.99</v>
      </c>
      <c r="P7106" s="36">
        <v>2409.0100000000002</v>
      </c>
      <c r="Q7106" s="36">
        <v>2938.99</v>
      </c>
      <c r="R7106" s="36">
        <v>2409.0100000000002</v>
      </c>
      <c r="S7106" s="36">
        <v>1763.39</v>
      </c>
      <c r="T7106" s="36">
        <v>1445.4</v>
      </c>
      <c r="U7106" s="34"/>
      <c r="V7106" s="34"/>
      <c r="W7106" s="34" t="s">
        <v>40</v>
      </c>
      <c r="X7106" s="37">
        <v>1.94</v>
      </c>
      <c r="Y7106" s="38">
        <v>7.0000000000000001E-3</v>
      </c>
      <c r="Z7106" s="21">
        <v>4601004102569</v>
      </c>
    </row>
    <row r="7107" spans="1:26" ht="12.95" customHeight="1" outlineLevel="2" x14ac:dyDescent="0.2">
      <c r="A7107" s="76" t="s">
        <v>13631</v>
      </c>
      <c r="B7107" s="76"/>
      <c r="C7107" s="77"/>
      <c r="D7107" s="58"/>
      <c r="E7107" s="68"/>
      <c r="F7107" s="13"/>
      <c r="G7107" s="13"/>
      <c r="H7107" s="13"/>
      <c r="I7107" s="13"/>
      <c r="J7107" s="13"/>
      <c r="K7107" s="13"/>
      <c r="L7107" s="13"/>
      <c r="M7107" s="13"/>
      <c r="N7107" s="13"/>
      <c r="O7107" s="13"/>
      <c r="P7107" s="13"/>
      <c r="Q7107" s="13"/>
      <c r="R7107" s="13"/>
      <c r="S7107" s="13"/>
      <c r="T7107" s="13"/>
      <c r="U7107" s="13"/>
      <c r="V7107" s="13"/>
      <c r="W7107" s="13"/>
      <c r="X7107" s="13"/>
      <c r="Y7107" s="13"/>
      <c r="Z7107" s="13"/>
    </row>
    <row r="7108" spans="1:26" ht="12" customHeight="1" outlineLevel="3" x14ac:dyDescent="0.2">
      <c r="A7108" s="14" t="s">
        <v>13632</v>
      </c>
      <c r="B7108" s="26" t="s">
        <v>13633</v>
      </c>
      <c r="C7108" s="52"/>
      <c r="D7108" s="55">
        <f t="shared" si="110"/>
        <v>0</v>
      </c>
      <c r="E7108" s="63" t="str">
        <f>HYPERLINK("https://www.sds-group.ru/product/organayzer-kabelnyy-vertikalnyy-42u-bez-kryshki-shirina-100mm-rexant-04-2641/", "Инфо")</f>
        <v>Инфо</v>
      </c>
      <c r="F7108" s="16" t="s">
        <v>39</v>
      </c>
      <c r="G7108" s="15"/>
      <c r="H7108" s="15"/>
      <c r="I7108" s="15" t="s">
        <v>13441</v>
      </c>
      <c r="J7108" s="16" t="s">
        <v>100</v>
      </c>
      <c r="K7108" s="15"/>
      <c r="L7108" s="17">
        <v>1</v>
      </c>
      <c r="M7108" s="17">
        <v>1</v>
      </c>
      <c r="N7108" s="17">
        <v>1</v>
      </c>
      <c r="O7108" s="18">
        <v>4852.91</v>
      </c>
      <c r="P7108" s="18">
        <v>3977.8</v>
      </c>
      <c r="Q7108" s="18">
        <v>4852.91</v>
      </c>
      <c r="R7108" s="18">
        <v>3977.8</v>
      </c>
      <c r="S7108" s="18">
        <v>2911.75</v>
      </c>
      <c r="T7108" s="18">
        <v>2386.6799999999998</v>
      </c>
      <c r="U7108" s="16"/>
      <c r="V7108" s="16"/>
      <c r="W7108" s="16" t="s">
        <v>40</v>
      </c>
      <c r="X7108" s="19">
        <v>3</v>
      </c>
      <c r="Y7108" s="20">
        <v>1.35E-2</v>
      </c>
      <c r="Z7108" s="21">
        <v>4601004102675</v>
      </c>
    </row>
    <row r="7109" spans="1:26" ht="12" customHeight="1" outlineLevel="3" x14ac:dyDescent="0.2">
      <c r="A7109" s="14" t="s">
        <v>13634</v>
      </c>
      <c r="B7109" s="26" t="s">
        <v>13635</v>
      </c>
      <c r="C7109" s="52"/>
      <c r="D7109" s="55">
        <f t="shared" si="110"/>
        <v>0</v>
      </c>
      <c r="E7109" s="63" t="str">
        <f>HYPERLINK("https://www.sds-group.ru/product/organayzer-kabelnyy-vertikalnyy-42u-s-kryshkoy-shirina-100mm-rexant-04-2640/", "Инфо")</f>
        <v>Инфо</v>
      </c>
      <c r="F7109" s="16" t="s">
        <v>39</v>
      </c>
      <c r="G7109" s="15"/>
      <c r="H7109" s="15"/>
      <c r="I7109" s="15" t="s">
        <v>13441</v>
      </c>
      <c r="J7109" s="16" t="s">
        <v>100</v>
      </c>
      <c r="K7109" s="15" t="s">
        <v>1888</v>
      </c>
      <c r="L7109" s="17">
        <v>1</v>
      </c>
      <c r="M7109" s="17">
        <v>1</v>
      </c>
      <c r="N7109" s="17">
        <v>1</v>
      </c>
      <c r="O7109" s="18">
        <v>7205.88</v>
      </c>
      <c r="P7109" s="18">
        <v>5906.46</v>
      </c>
      <c r="Q7109" s="18">
        <v>7205.88</v>
      </c>
      <c r="R7109" s="18">
        <v>5906.46</v>
      </c>
      <c r="S7109" s="18">
        <v>4323.53</v>
      </c>
      <c r="T7109" s="18">
        <v>3543.88</v>
      </c>
      <c r="U7109" s="16"/>
      <c r="V7109" s="16"/>
      <c r="W7109" s="16" t="s">
        <v>40</v>
      </c>
      <c r="X7109" s="19">
        <v>3.42</v>
      </c>
      <c r="Y7109" s="20">
        <v>1.35E-2</v>
      </c>
      <c r="Z7109" s="21">
        <v>4601004102668</v>
      </c>
    </row>
    <row r="7110" spans="1:26" ht="12" customHeight="1" outlineLevel="3" x14ac:dyDescent="0.2">
      <c r="A7110" s="14" t="s">
        <v>13636</v>
      </c>
      <c r="B7110" s="26" t="s">
        <v>13637</v>
      </c>
      <c r="C7110" s="52"/>
      <c r="D7110" s="55">
        <f t="shared" si="110"/>
        <v>0</v>
      </c>
      <c r="E7110" s="63" t="str">
        <f>HYPERLINK("https://www.sds-group.ru/product/organayzer-kabelnyy-vertikalnyy-47u-bez-kryshki-shirina-100mm-rexant-04-2650/", "Инфо")</f>
        <v>Инфо</v>
      </c>
      <c r="F7110" s="16" t="s">
        <v>39</v>
      </c>
      <c r="G7110" s="15"/>
      <c r="H7110" s="15"/>
      <c r="I7110" s="15" t="s">
        <v>13441</v>
      </c>
      <c r="J7110" s="16" t="s">
        <v>100</v>
      </c>
      <c r="K7110" s="15"/>
      <c r="L7110" s="17">
        <v>1</v>
      </c>
      <c r="M7110" s="17">
        <v>1</v>
      </c>
      <c r="N7110" s="17">
        <v>1</v>
      </c>
      <c r="O7110" s="18">
        <v>4672.91</v>
      </c>
      <c r="P7110" s="18">
        <v>3830.25</v>
      </c>
      <c r="Q7110" s="18">
        <v>4672.91</v>
      </c>
      <c r="R7110" s="18">
        <v>3830.25</v>
      </c>
      <c r="S7110" s="18">
        <v>2803.75</v>
      </c>
      <c r="T7110" s="18">
        <v>2298.16</v>
      </c>
      <c r="U7110" s="16"/>
      <c r="V7110" s="16"/>
      <c r="W7110" s="16" t="s">
        <v>40</v>
      </c>
      <c r="X7110" s="19">
        <v>4</v>
      </c>
      <c r="Y7110" s="20">
        <v>1.4500000000000001E-2</v>
      </c>
      <c r="Z7110" s="21">
        <v>4601004118713</v>
      </c>
    </row>
    <row r="7111" spans="1:26" ht="12" customHeight="1" outlineLevel="3" x14ac:dyDescent="0.2">
      <c r="A7111" s="14" t="s">
        <v>13638</v>
      </c>
      <c r="B7111" s="26" t="s">
        <v>13639</v>
      </c>
      <c r="C7111" s="52"/>
      <c r="D7111" s="55">
        <f t="shared" si="110"/>
        <v>0</v>
      </c>
      <c r="E7111" s="63" t="str">
        <f>HYPERLINK("https://www.sds-group.ru/product/organayzer-kabelnyy-vertikalnyy-47u-s-kryshkoy-shirina-100mm-rexant-04-2651/", "Инфо")</f>
        <v>Инфо</v>
      </c>
      <c r="F7111" s="16" t="s">
        <v>39</v>
      </c>
      <c r="G7111" s="15"/>
      <c r="H7111" s="15"/>
      <c r="I7111" s="15" t="s">
        <v>13441</v>
      </c>
      <c r="J7111" s="16" t="s">
        <v>100</v>
      </c>
      <c r="K7111" s="15"/>
      <c r="L7111" s="17">
        <v>1</v>
      </c>
      <c r="M7111" s="17">
        <v>1</v>
      </c>
      <c r="N7111" s="17">
        <v>1</v>
      </c>
      <c r="O7111" s="18">
        <v>6762.56</v>
      </c>
      <c r="P7111" s="18">
        <v>5543.08</v>
      </c>
      <c r="Q7111" s="18">
        <v>6762.56</v>
      </c>
      <c r="R7111" s="18">
        <v>5543.08</v>
      </c>
      <c r="S7111" s="18">
        <v>4057.54</v>
      </c>
      <c r="T7111" s="18">
        <v>3325.85</v>
      </c>
      <c r="U7111" s="16"/>
      <c r="V7111" s="16"/>
      <c r="W7111" s="16" t="s">
        <v>40</v>
      </c>
      <c r="X7111" s="19">
        <v>4.2</v>
      </c>
      <c r="Y7111" s="20">
        <v>1.4500000000000001E-2</v>
      </c>
      <c r="Z7111" s="21">
        <v>4601004118706</v>
      </c>
    </row>
    <row r="7112" spans="1:26" ht="12" customHeight="1" outlineLevel="3" x14ac:dyDescent="0.2">
      <c r="A7112" s="14" t="s">
        <v>13640</v>
      </c>
      <c r="B7112" s="26" t="s">
        <v>13641</v>
      </c>
      <c r="C7112" s="52"/>
      <c r="D7112" s="55">
        <f t="shared" si="110"/>
        <v>0</v>
      </c>
      <c r="E7112" s="63" t="str">
        <f>HYPERLINK("https://www.sds-group.ru/product/organayzer-kabelnyy-gorizontalnyy-19-1u-5-kolets-glubinoy-45-mm-metall-ral-7035-04-0305/", "Инфо")</f>
        <v>Инфо</v>
      </c>
      <c r="F7112" s="16" t="s">
        <v>39</v>
      </c>
      <c r="G7112" s="15"/>
      <c r="H7112" s="15"/>
      <c r="I7112" s="15" t="s">
        <v>13441</v>
      </c>
      <c r="J7112" s="16" t="s">
        <v>100</v>
      </c>
      <c r="K7112" s="15"/>
      <c r="L7112" s="17">
        <v>1</v>
      </c>
      <c r="M7112" s="17">
        <v>50</v>
      </c>
      <c r="N7112" s="17">
        <v>1</v>
      </c>
      <c r="O7112" s="18">
        <v>1661.7</v>
      </c>
      <c r="P7112" s="18">
        <v>1362.05</v>
      </c>
      <c r="Q7112" s="18">
        <v>1661.7</v>
      </c>
      <c r="R7112" s="18">
        <v>1362.05</v>
      </c>
      <c r="S7112" s="18">
        <v>997.02</v>
      </c>
      <c r="T7112" s="18">
        <v>817.23</v>
      </c>
      <c r="U7112" s="16"/>
      <c r="V7112" s="16"/>
      <c r="W7112" s="16" t="s">
        <v>40</v>
      </c>
      <c r="X7112" s="19">
        <v>0.40500000000000003</v>
      </c>
      <c r="Y7112" s="20">
        <v>1.1310000000000001E-3</v>
      </c>
      <c r="Z7112" s="21">
        <v>2000032787700</v>
      </c>
    </row>
    <row r="7113" spans="1:26" ht="12" customHeight="1" outlineLevel="3" x14ac:dyDescent="0.2">
      <c r="A7113" s="14" t="s">
        <v>13642</v>
      </c>
      <c r="B7113" s="26" t="s">
        <v>13643</v>
      </c>
      <c r="C7113" s="52"/>
      <c r="D7113" s="55">
        <f t="shared" ref="D7113:D7175" si="111">C7113*(O7113-O7113*$G$3)</f>
        <v>0</v>
      </c>
      <c r="E7113" s="63" t="str">
        <f>HYPERLINK("https://www.sds-group.ru/product/panel-zaglushka-19-1u-rexant-04-2660/", "Инфо")</f>
        <v>Инфо</v>
      </c>
      <c r="F7113" s="16" t="s">
        <v>39</v>
      </c>
      <c r="G7113" s="15"/>
      <c r="H7113" s="15"/>
      <c r="I7113" s="15" t="s">
        <v>13441</v>
      </c>
      <c r="J7113" s="16" t="s">
        <v>100</v>
      </c>
      <c r="K7113" s="15"/>
      <c r="L7113" s="17">
        <v>1</v>
      </c>
      <c r="M7113" s="17">
        <v>1</v>
      </c>
      <c r="N7113" s="17">
        <v>1</v>
      </c>
      <c r="O7113" s="18">
        <v>572.75</v>
      </c>
      <c r="P7113" s="18">
        <v>469.47</v>
      </c>
      <c r="Q7113" s="18">
        <v>572.75</v>
      </c>
      <c r="R7113" s="18">
        <v>469.47</v>
      </c>
      <c r="S7113" s="18">
        <v>343.65</v>
      </c>
      <c r="T7113" s="18">
        <v>281.68</v>
      </c>
      <c r="U7113" s="16"/>
      <c r="V7113" s="16"/>
      <c r="W7113" s="16" t="s">
        <v>40</v>
      </c>
      <c r="X7113" s="19">
        <v>0.57599999999999996</v>
      </c>
      <c r="Y7113" s="20">
        <v>1.9961E-2</v>
      </c>
      <c r="Z7113" s="21">
        <v>4601004102736</v>
      </c>
    </row>
    <row r="7114" spans="1:26" ht="12" customHeight="1" outlineLevel="3" x14ac:dyDescent="0.2">
      <c r="A7114" s="14" t="s">
        <v>13644</v>
      </c>
      <c r="B7114" s="26" t="s">
        <v>13645</v>
      </c>
      <c r="C7114" s="52"/>
      <c r="D7114" s="55">
        <f t="shared" si="111"/>
        <v>0</v>
      </c>
      <c r="E7114" s="63" t="str">
        <f>HYPERLINK("https://www.sds-group.ru/product/panel-zaglushka-19-2u-rexant-04-2661/", "Инфо")</f>
        <v>Инфо</v>
      </c>
      <c r="F7114" s="16" t="s">
        <v>39</v>
      </c>
      <c r="G7114" s="15"/>
      <c r="H7114" s="15"/>
      <c r="I7114" s="15" t="s">
        <v>13441</v>
      </c>
      <c r="J7114" s="16" t="s">
        <v>100</v>
      </c>
      <c r="K7114" s="15"/>
      <c r="L7114" s="17">
        <v>1</v>
      </c>
      <c r="M7114" s="17">
        <v>1</v>
      </c>
      <c r="N7114" s="17">
        <v>1</v>
      </c>
      <c r="O7114" s="18">
        <v>760.2</v>
      </c>
      <c r="P7114" s="18">
        <v>623.11</v>
      </c>
      <c r="Q7114" s="18">
        <v>760.2</v>
      </c>
      <c r="R7114" s="18">
        <v>623.11</v>
      </c>
      <c r="S7114" s="18">
        <v>456.12</v>
      </c>
      <c r="T7114" s="18">
        <v>373.87</v>
      </c>
      <c r="U7114" s="16"/>
      <c r="V7114" s="16"/>
      <c r="W7114" s="16" t="s">
        <v>40</v>
      </c>
      <c r="X7114" s="19">
        <v>0.52</v>
      </c>
      <c r="Y7114" s="20">
        <v>5.0000000000000002E-5</v>
      </c>
      <c r="Z7114" s="21">
        <v>4601004102743</v>
      </c>
    </row>
    <row r="7115" spans="1:26" ht="12.95" customHeight="1" outlineLevel="2" x14ac:dyDescent="0.2">
      <c r="A7115" s="76" t="s">
        <v>13646</v>
      </c>
      <c r="B7115" s="76"/>
      <c r="C7115" s="77"/>
      <c r="D7115" s="58"/>
      <c r="E7115" s="68"/>
      <c r="F7115" s="13"/>
      <c r="G7115" s="13"/>
      <c r="H7115" s="13"/>
      <c r="I7115" s="13"/>
      <c r="J7115" s="13"/>
      <c r="K7115" s="13"/>
      <c r="L7115" s="13"/>
      <c r="M7115" s="13"/>
      <c r="N7115" s="13"/>
      <c r="O7115" s="13"/>
      <c r="P7115" s="13"/>
      <c r="Q7115" s="13"/>
      <c r="R7115" s="13"/>
      <c r="S7115" s="13"/>
      <c r="T7115" s="13"/>
      <c r="U7115" s="13"/>
      <c r="V7115" s="13"/>
      <c r="W7115" s="13"/>
      <c r="X7115" s="13"/>
      <c r="Y7115" s="13"/>
      <c r="Z7115" s="13"/>
    </row>
    <row r="7116" spans="1:26" ht="12" customHeight="1" outlineLevel="3" x14ac:dyDescent="0.2">
      <c r="A7116" s="14" t="s">
        <v>13647</v>
      </c>
      <c r="B7116" s="26" t="s">
        <v>13648</v>
      </c>
      <c r="C7116" s="52"/>
      <c r="D7116" s="55">
        <f t="shared" si="111"/>
        <v>0</v>
      </c>
      <c r="E7116" s="63" t="str">
        <f>HYPERLINK("https://www.sds-group.ru/product/blok-raspredeleniya-pitaniya-pdu-vertikalnyy-10-rozetok-see-7-4-schuko-10-rozetok-c13-16a--04-0202-2/", "Инфо")</f>
        <v>Инфо</v>
      </c>
      <c r="F7116" s="16" t="s">
        <v>39</v>
      </c>
      <c r="G7116" s="15"/>
      <c r="H7116" s="15"/>
      <c r="I7116" s="15"/>
      <c r="J7116" s="17">
        <v>35</v>
      </c>
      <c r="K7116" s="15" t="s">
        <v>6434</v>
      </c>
      <c r="L7116" s="17">
        <v>1</v>
      </c>
      <c r="M7116" s="17">
        <v>10</v>
      </c>
      <c r="N7116" s="17">
        <v>1</v>
      </c>
      <c r="O7116" s="18">
        <v>10276.549999999999</v>
      </c>
      <c r="P7116" s="18">
        <v>8423.4</v>
      </c>
      <c r="Q7116" s="18">
        <v>7501.88</v>
      </c>
      <c r="R7116" s="18">
        <v>6149.08</v>
      </c>
      <c r="S7116" s="18">
        <v>6165.93</v>
      </c>
      <c r="T7116" s="18">
        <v>5054.04</v>
      </c>
      <c r="U7116" s="16"/>
      <c r="V7116" s="16"/>
      <c r="W7116" s="16" t="s">
        <v>40</v>
      </c>
      <c r="X7116" s="19">
        <v>1.9</v>
      </c>
      <c r="Y7116" s="20">
        <v>1.2200000000000001E-2</v>
      </c>
      <c r="Z7116" s="21">
        <v>4601004309319</v>
      </c>
    </row>
    <row r="7117" spans="1:26" ht="12" customHeight="1" outlineLevel="3" x14ac:dyDescent="0.2">
      <c r="A7117" s="14" t="s">
        <v>13649</v>
      </c>
      <c r="B7117" s="26" t="s">
        <v>13650</v>
      </c>
      <c r="C7117" s="52"/>
      <c r="D7117" s="55">
        <f t="shared" si="111"/>
        <v>0</v>
      </c>
      <c r="E7117" s="63" t="str">
        <f>HYPERLINK("https://www.sds-group.ru/product/blok-raspredeleniya-pitaniya-pdu-vertikalnyy-12-rozetok-see-7-4-schuko-16a-vykl-alyum-korp-04-0204-2/", "Инфо")</f>
        <v>Инфо</v>
      </c>
      <c r="F7117" s="16" t="s">
        <v>39</v>
      </c>
      <c r="G7117" s="15"/>
      <c r="H7117" s="15"/>
      <c r="I7117" s="15"/>
      <c r="J7117" s="17">
        <v>26</v>
      </c>
      <c r="K7117" s="15" t="s">
        <v>6434</v>
      </c>
      <c r="L7117" s="17">
        <v>1</v>
      </c>
      <c r="M7117" s="17">
        <v>20</v>
      </c>
      <c r="N7117" s="17">
        <v>1</v>
      </c>
      <c r="O7117" s="18">
        <v>5960.51</v>
      </c>
      <c r="P7117" s="18">
        <v>4885.66</v>
      </c>
      <c r="Q7117" s="18">
        <v>4351.17</v>
      </c>
      <c r="R7117" s="18">
        <v>3566.53</v>
      </c>
      <c r="S7117" s="18">
        <v>3576.31</v>
      </c>
      <c r="T7117" s="18">
        <v>2931.4</v>
      </c>
      <c r="U7117" s="16"/>
      <c r="V7117" s="16"/>
      <c r="W7117" s="16" t="s">
        <v>40</v>
      </c>
      <c r="X7117" s="19">
        <v>1.266</v>
      </c>
      <c r="Y7117" s="20">
        <v>4.5469999999999998E-3</v>
      </c>
      <c r="Z7117" s="21">
        <v>4601004309326</v>
      </c>
    </row>
    <row r="7118" spans="1:26" ht="12" customHeight="1" outlineLevel="3" x14ac:dyDescent="0.2">
      <c r="A7118" s="14" t="s">
        <v>13651</v>
      </c>
      <c r="B7118" s="26" t="s">
        <v>13652</v>
      </c>
      <c r="C7118" s="52"/>
      <c r="D7118" s="55">
        <f t="shared" si="111"/>
        <v>0</v>
      </c>
      <c r="E7118" s="63" t="str">
        <f>HYPERLINK("https://www.sds-group.ru/product/blok-raspredeleniya-pitaniya-pdu-vertikalnyy-13-rozetok-see-7-4-schuko-16a-filtr-bez-vykl--04-0205-2/", "Инфо")</f>
        <v>Инфо</v>
      </c>
      <c r="F7118" s="16" t="s">
        <v>39</v>
      </c>
      <c r="G7118" s="15"/>
      <c r="H7118" s="15"/>
      <c r="I7118" s="15"/>
      <c r="J7118" s="17">
        <v>31</v>
      </c>
      <c r="K7118" s="15" t="s">
        <v>6434</v>
      </c>
      <c r="L7118" s="17">
        <v>1</v>
      </c>
      <c r="M7118" s="17">
        <v>20</v>
      </c>
      <c r="N7118" s="17">
        <v>1</v>
      </c>
      <c r="O7118" s="18">
        <v>6323.23</v>
      </c>
      <c r="P7118" s="18">
        <v>5182.9799999999996</v>
      </c>
      <c r="Q7118" s="18">
        <v>4615.96</v>
      </c>
      <c r="R7118" s="18">
        <v>3783.57</v>
      </c>
      <c r="S7118" s="18">
        <v>3793.94</v>
      </c>
      <c r="T7118" s="18">
        <v>3109.79</v>
      </c>
      <c r="U7118" s="16"/>
      <c r="V7118" s="16"/>
      <c r="W7118" s="16" t="s">
        <v>40</v>
      </c>
      <c r="X7118" s="19">
        <v>1.286</v>
      </c>
      <c r="Y7118" s="20">
        <v>4.5599999999999998E-3</v>
      </c>
      <c r="Z7118" s="21">
        <v>4601004309357</v>
      </c>
    </row>
    <row r="7119" spans="1:26" ht="12" customHeight="1" outlineLevel="3" x14ac:dyDescent="0.2">
      <c r="A7119" s="14" t="s">
        <v>13653</v>
      </c>
      <c r="B7119" s="26" t="s">
        <v>13654</v>
      </c>
      <c r="C7119" s="52"/>
      <c r="D7119" s="55">
        <f t="shared" si="111"/>
        <v>0</v>
      </c>
      <c r="E7119" s="63" t="str">
        <f>HYPERLINK("https://www.sds-group.ru/product/blok-raspredeleniya-pitaniya-pdu-vertikalnyy-20-rozetok-see-7-4-schuko-16a-avtomat-zaschit-04-0201-2/", "Инфо")</f>
        <v>Инфо</v>
      </c>
      <c r="F7119" s="16" t="s">
        <v>39</v>
      </c>
      <c r="G7119" s="15"/>
      <c r="H7119" s="15"/>
      <c r="I7119" s="15"/>
      <c r="J7119" s="17">
        <v>10</v>
      </c>
      <c r="K7119" s="15" t="s">
        <v>6434</v>
      </c>
      <c r="L7119" s="17">
        <v>1</v>
      </c>
      <c r="M7119" s="17">
        <v>10</v>
      </c>
      <c r="N7119" s="17">
        <v>1</v>
      </c>
      <c r="O7119" s="18">
        <v>10276.549999999999</v>
      </c>
      <c r="P7119" s="18">
        <v>8423.4</v>
      </c>
      <c r="Q7119" s="18">
        <v>7501.88</v>
      </c>
      <c r="R7119" s="18">
        <v>6149.08</v>
      </c>
      <c r="S7119" s="18">
        <v>6165.93</v>
      </c>
      <c r="T7119" s="18">
        <v>5054.04</v>
      </c>
      <c r="U7119" s="16"/>
      <c r="V7119" s="16"/>
      <c r="W7119" s="16" t="s">
        <v>40</v>
      </c>
      <c r="X7119" s="19">
        <v>2.016</v>
      </c>
      <c r="Y7119" s="20">
        <v>8.0000000000000002E-3</v>
      </c>
      <c r="Z7119" s="21">
        <v>4601004309333</v>
      </c>
    </row>
    <row r="7120" spans="1:26" ht="12" customHeight="1" outlineLevel="3" x14ac:dyDescent="0.2">
      <c r="A7120" s="14" t="s">
        <v>13655</v>
      </c>
      <c r="B7120" s="26" t="s">
        <v>13656</v>
      </c>
      <c r="C7120" s="52"/>
      <c r="D7120" s="55">
        <f t="shared" si="111"/>
        <v>0</v>
      </c>
      <c r="E7120" s="63" t="str">
        <f>HYPERLINK("https://www.sds-group.ru/product/blok-raspredeleniya-pitaniya-pdu-gorizontalnyy-1u-6-rozetok-see-7-4-schuko-10a-bez-vykl-al-04-0301-1/", "Инфо")</f>
        <v>Инфо</v>
      </c>
      <c r="F7120" s="16" t="s">
        <v>39</v>
      </c>
      <c r="G7120" s="15"/>
      <c r="H7120" s="15"/>
      <c r="I7120" s="15"/>
      <c r="J7120" s="17">
        <v>41</v>
      </c>
      <c r="K7120" s="15" t="s">
        <v>6434</v>
      </c>
      <c r="L7120" s="17">
        <v>1</v>
      </c>
      <c r="M7120" s="17">
        <v>25</v>
      </c>
      <c r="N7120" s="17">
        <v>1</v>
      </c>
      <c r="O7120" s="18">
        <v>4474.7299999999996</v>
      </c>
      <c r="P7120" s="18">
        <v>3667.81</v>
      </c>
      <c r="Q7120" s="18">
        <v>3266.55</v>
      </c>
      <c r="R7120" s="18">
        <v>2677.5</v>
      </c>
      <c r="S7120" s="18">
        <v>2684.84</v>
      </c>
      <c r="T7120" s="18">
        <v>2200.69</v>
      </c>
      <c r="U7120" s="16"/>
      <c r="V7120" s="16"/>
      <c r="W7120" s="16" t="s">
        <v>40</v>
      </c>
      <c r="X7120" s="19">
        <v>0.86399999999999999</v>
      </c>
      <c r="Y7120" s="20">
        <v>3.4259999999999998E-3</v>
      </c>
      <c r="Z7120" s="21">
        <v>4601004309364</v>
      </c>
    </row>
    <row r="7121" spans="1:26" ht="12" customHeight="1" outlineLevel="3" x14ac:dyDescent="0.2">
      <c r="A7121" s="14" t="s">
        <v>13657</v>
      </c>
      <c r="B7121" s="26" t="s">
        <v>13658</v>
      </c>
      <c r="C7121" s="52"/>
      <c r="D7121" s="55">
        <f t="shared" si="111"/>
        <v>0</v>
      </c>
      <c r="E7121" s="63" t="str">
        <f>HYPERLINK("https://www.sds-group.ru/product/blok-raspredeleniya-pitaniya-pdu-gorizontalnyy-1u-6-rozetok-see-7-4-schuko-16a-avtomat-zas-04-0103-1/", "Инфо")</f>
        <v>Инфо</v>
      </c>
      <c r="F7121" s="16" t="s">
        <v>39</v>
      </c>
      <c r="G7121" s="15"/>
      <c r="H7121" s="15"/>
      <c r="I7121" s="15"/>
      <c r="J7121" s="17">
        <v>50</v>
      </c>
      <c r="K7121" s="15" t="s">
        <v>6434</v>
      </c>
      <c r="L7121" s="17">
        <v>1</v>
      </c>
      <c r="M7121" s="17">
        <v>25</v>
      </c>
      <c r="N7121" s="17">
        <v>1</v>
      </c>
      <c r="O7121" s="18">
        <v>5048.46</v>
      </c>
      <c r="P7121" s="18">
        <v>4138.08</v>
      </c>
      <c r="Q7121" s="18">
        <v>3685.38</v>
      </c>
      <c r="R7121" s="18">
        <v>3020.8</v>
      </c>
      <c r="S7121" s="18">
        <v>3029.08</v>
      </c>
      <c r="T7121" s="18">
        <v>2482.85</v>
      </c>
      <c r="U7121" s="16"/>
      <c r="V7121" s="16"/>
      <c r="W7121" s="16" t="s">
        <v>40</v>
      </c>
      <c r="X7121" s="19">
        <v>0.92900000000000005</v>
      </c>
      <c r="Y7121" s="20">
        <v>2.6440000000000001E-3</v>
      </c>
      <c r="Z7121" s="21">
        <v>4601004309395</v>
      </c>
    </row>
    <row r="7122" spans="1:26" ht="12" customHeight="1" outlineLevel="3" x14ac:dyDescent="0.2">
      <c r="A7122" s="14" t="s">
        <v>13659</v>
      </c>
      <c r="B7122" s="26" t="s">
        <v>13660</v>
      </c>
      <c r="C7122" s="52"/>
      <c r="D7122" s="55">
        <f t="shared" si="111"/>
        <v>0</v>
      </c>
      <c r="E7122" s="63" t="str">
        <f>HYPERLINK("https://www.sds-group.ru/product/blok-raspredeleniya-pitaniya-pdu-gorizontalnyy-1u-6-rozetok-see-7-4-schuko-16a-bez-vykl-al-04-0101-1/", "Инфо")</f>
        <v>Инфо</v>
      </c>
      <c r="F7122" s="16" t="s">
        <v>39</v>
      </c>
      <c r="G7122" s="15"/>
      <c r="H7122" s="15"/>
      <c r="I7122" s="15"/>
      <c r="J7122" s="17">
        <v>89</v>
      </c>
      <c r="K7122" s="15" t="s">
        <v>6434</v>
      </c>
      <c r="L7122" s="17">
        <v>1</v>
      </c>
      <c r="M7122" s="17">
        <v>25</v>
      </c>
      <c r="N7122" s="17">
        <v>1</v>
      </c>
      <c r="O7122" s="18">
        <v>4378.82</v>
      </c>
      <c r="P7122" s="18">
        <v>3589.2</v>
      </c>
      <c r="Q7122" s="18">
        <v>3196.54</v>
      </c>
      <c r="R7122" s="18">
        <v>2620.11</v>
      </c>
      <c r="S7122" s="18">
        <v>2627.29</v>
      </c>
      <c r="T7122" s="18">
        <v>2153.52</v>
      </c>
      <c r="U7122" s="16"/>
      <c r="V7122" s="16"/>
      <c r="W7122" s="16" t="s">
        <v>40</v>
      </c>
      <c r="X7122" s="19">
        <v>0.85199999999999998</v>
      </c>
      <c r="Y7122" s="20">
        <v>2.9380000000000001E-3</v>
      </c>
      <c r="Z7122" s="21">
        <v>4601004309456</v>
      </c>
    </row>
    <row r="7123" spans="1:26" ht="12" customHeight="1" outlineLevel="3" x14ac:dyDescent="0.2">
      <c r="A7123" s="14" t="s">
        <v>13661</v>
      </c>
      <c r="B7123" s="26" t="s">
        <v>13662</v>
      </c>
      <c r="C7123" s="52"/>
      <c r="D7123" s="55">
        <f t="shared" si="111"/>
        <v>0</v>
      </c>
      <c r="E7123" s="63" t="str">
        <f>HYPERLINK("https://www.sds-group.ru/product/blok-raspredeleniya-pitaniya-pdu-gorizontalnyy-1u-6-rozetok-see-7-4-schuko-16a-filtr-vykl--04-0102-1/", "Инфо")</f>
        <v>Инфо</v>
      </c>
      <c r="F7123" s="16" t="s">
        <v>39</v>
      </c>
      <c r="G7123" s="15"/>
      <c r="H7123" s="15"/>
      <c r="I7123" s="15"/>
      <c r="J7123" s="17">
        <v>203</v>
      </c>
      <c r="K7123" s="15"/>
      <c r="L7123" s="17">
        <v>1</v>
      </c>
      <c r="M7123" s="17">
        <v>25</v>
      </c>
      <c r="N7123" s="17">
        <v>1</v>
      </c>
      <c r="O7123" s="18">
        <v>4680.51</v>
      </c>
      <c r="P7123" s="18">
        <v>3836.48</v>
      </c>
      <c r="Q7123" s="18">
        <v>3416.77</v>
      </c>
      <c r="R7123" s="18">
        <v>2800.63</v>
      </c>
      <c r="S7123" s="18">
        <v>2808.31</v>
      </c>
      <c r="T7123" s="18">
        <v>2301.89</v>
      </c>
      <c r="U7123" s="16"/>
      <c r="V7123" s="16"/>
      <c r="W7123" s="16" t="s">
        <v>40</v>
      </c>
      <c r="X7123" s="19">
        <v>0.88200000000000001</v>
      </c>
      <c r="Y7123" s="20">
        <v>2.6830000000000001E-3</v>
      </c>
      <c r="Z7123" s="21">
        <v>4601004309425</v>
      </c>
    </row>
    <row r="7124" spans="1:26" ht="12" customHeight="1" outlineLevel="3" x14ac:dyDescent="0.2">
      <c r="A7124" s="14" t="s">
        <v>13663</v>
      </c>
      <c r="B7124" s="26" t="s">
        <v>13664</v>
      </c>
      <c r="C7124" s="52"/>
      <c r="D7124" s="55">
        <f t="shared" si="111"/>
        <v>0</v>
      </c>
      <c r="E7124" s="63" t="str">
        <f>HYPERLINK("https://www.sds-group.ru/product/blok-raspredeleniya-pitaniya-pdu-gorizontalnyy-1u-8-rozetok-c13-10a-bez-vykl-alyum-korp-sh-04-0304-1/", "Инфо")</f>
        <v>Инфо</v>
      </c>
      <c r="F7124" s="16" t="s">
        <v>39</v>
      </c>
      <c r="G7124" s="15"/>
      <c r="H7124" s="15"/>
      <c r="I7124" s="15"/>
      <c r="J7124" s="17">
        <v>10</v>
      </c>
      <c r="K7124" s="15" t="s">
        <v>6434</v>
      </c>
      <c r="L7124" s="17">
        <v>1</v>
      </c>
      <c r="M7124" s="17">
        <v>25</v>
      </c>
      <c r="N7124" s="17">
        <v>1</v>
      </c>
      <c r="O7124" s="18">
        <v>4561.93</v>
      </c>
      <c r="P7124" s="18">
        <v>3739.29</v>
      </c>
      <c r="Q7124" s="18">
        <v>3330.21</v>
      </c>
      <c r="R7124" s="18">
        <v>2729.68</v>
      </c>
      <c r="S7124" s="18">
        <v>2737.16</v>
      </c>
      <c r="T7124" s="18">
        <v>2243.5700000000002</v>
      </c>
      <c r="U7124" s="16"/>
      <c r="V7124" s="16"/>
      <c r="W7124" s="16" t="s">
        <v>40</v>
      </c>
      <c r="X7124" s="19">
        <v>0.85599999999999998</v>
      </c>
      <c r="Y7124" s="20">
        <v>3.4680000000000002E-3</v>
      </c>
      <c r="Z7124" s="21">
        <v>4601004309432</v>
      </c>
    </row>
    <row r="7125" spans="1:26" ht="12" customHeight="1" outlineLevel="3" x14ac:dyDescent="0.2">
      <c r="A7125" s="14" t="s">
        <v>13665</v>
      </c>
      <c r="B7125" s="26" t="s">
        <v>13666</v>
      </c>
      <c r="C7125" s="52"/>
      <c r="D7125" s="55">
        <f t="shared" si="111"/>
        <v>0</v>
      </c>
      <c r="E7125" s="63" t="str">
        <f>HYPERLINK("https://www.sds-group.ru/product/blok-raspredeleniya-pitaniya-pdu-gorizontalnyy-1u-8-rozetok-see-7-4-schuko-10a-vykl-alyum--04-0303-1/", "Инфо")</f>
        <v>Инфо</v>
      </c>
      <c r="F7125" s="16" t="s">
        <v>39</v>
      </c>
      <c r="G7125" s="15"/>
      <c r="H7125" s="15"/>
      <c r="I7125" s="15"/>
      <c r="J7125" s="17">
        <v>427</v>
      </c>
      <c r="K7125" s="15"/>
      <c r="L7125" s="17">
        <v>1</v>
      </c>
      <c r="M7125" s="17">
        <v>25</v>
      </c>
      <c r="N7125" s="17">
        <v>1</v>
      </c>
      <c r="O7125" s="18">
        <v>3941.11</v>
      </c>
      <c r="P7125" s="18">
        <v>3230.42</v>
      </c>
      <c r="Q7125" s="18">
        <v>2877.01</v>
      </c>
      <c r="R7125" s="18">
        <v>2358.1999999999998</v>
      </c>
      <c r="S7125" s="18">
        <v>2364.67</v>
      </c>
      <c r="T7125" s="18">
        <v>1938.25</v>
      </c>
      <c r="U7125" s="16"/>
      <c r="V7125" s="16"/>
      <c r="W7125" s="16" t="s">
        <v>40</v>
      </c>
      <c r="X7125" s="19">
        <v>0.66500000000000004</v>
      </c>
      <c r="Y7125" s="20">
        <v>2.6830000000000001E-3</v>
      </c>
      <c r="Z7125" s="21">
        <v>4601004309401</v>
      </c>
    </row>
    <row r="7126" spans="1:26" ht="12" customHeight="1" outlineLevel="3" x14ac:dyDescent="0.2">
      <c r="A7126" s="14" t="s">
        <v>13667</v>
      </c>
      <c r="B7126" s="26" t="s">
        <v>13668</v>
      </c>
      <c r="C7126" s="52"/>
      <c r="D7126" s="55">
        <f t="shared" si="111"/>
        <v>0</v>
      </c>
      <c r="E7126" s="63" t="str">
        <f>HYPERLINK("https://www.sds-group.ru/product/blok-raspredeleniya-pitaniya-pdu-gorizontalnyy-1u-8-rozetok-see-7-4-schuko-10a-vykl-alyum--04-0302-1/", "Инфо")</f>
        <v>Инфо</v>
      </c>
      <c r="F7126" s="16" t="s">
        <v>39</v>
      </c>
      <c r="G7126" s="15"/>
      <c r="H7126" s="15"/>
      <c r="I7126" s="15"/>
      <c r="J7126" s="17">
        <v>286</v>
      </c>
      <c r="K7126" s="15"/>
      <c r="L7126" s="17">
        <v>1</v>
      </c>
      <c r="M7126" s="17">
        <v>25</v>
      </c>
      <c r="N7126" s="17">
        <v>1</v>
      </c>
      <c r="O7126" s="18">
        <v>4561.93</v>
      </c>
      <c r="P7126" s="18">
        <v>3739.29</v>
      </c>
      <c r="Q7126" s="18">
        <v>3330.21</v>
      </c>
      <c r="R7126" s="18">
        <v>2729.68</v>
      </c>
      <c r="S7126" s="18">
        <v>2737.16</v>
      </c>
      <c r="T7126" s="18">
        <v>2243.5700000000002</v>
      </c>
      <c r="U7126" s="16"/>
      <c r="V7126" s="16"/>
      <c r="W7126" s="16" t="s">
        <v>40</v>
      </c>
      <c r="X7126" s="19">
        <v>0.88</v>
      </c>
      <c r="Y7126" s="20">
        <v>2.6830000000000001E-3</v>
      </c>
      <c r="Z7126" s="21">
        <v>4601004309388</v>
      </c>
    </row>
    <row r="7127" spans="1:26" ht="12" customHeight="1" outlineLevel="3" x14ac:dyDescent="0.2">
      <c r="A7127" s="14" t="s">
        <v>13669</v>
      </c>
      <c r="B7127" s="26" t="s">
        <v>13670</v>
      </c>
      <c r="C7127" s="52"/>
      <c r="D7127" s="55">
        <f t="shared" si="111"/>
        <v>0</v>
      </c>
      <c r="E7127" s="63" t="str">
        <f>HYPERLINK("https://www.sds-group.ru/product/blok-raspredeleniya-pitaniya-pdu-gorizontalnyy-1u-8-rozetok-see-7-4-schuko-16a-vykl-alyum--04-0104-1/", "Инфо")</f>
        <v>Инфо</v>
      </c>
      <c r="F7127" s="16" t="s">
        <v>39</v>
      </c>
      <c r="G7127" s="15"/>
      <c r="H7127" s="15"/>
      <c r="I7127" s="15"/>
      <c r="J7127" s="17">
        <v>405</v>
      </c>
      <c r="K7127" s="15" t="s">
        <v>6434</v>
      </c>
      <c r="L7127" s="17">
        <v>1</v>
      </c>
      <c r="M7127" s="17">
        <v>25</v>
      </c>
      <c r="N7127" s="17">
        <v>1</v>
      </c>
      <c r="O7127" s="18">
        <v>4500.8999999999996</v>
      </c>
      <c r="P7127" s="18">
        <v>3689.26</v>
      </c>
      <c r="Q7127" s="18">
        <v>3285.66</v>
      </c>
      <c r="R7127" s="18">
        <v>2693.16</v>
      </c>
      <c r="S7127" s="18">
        <v>2700.54</v>
      </c>
      <c r="T7127" s="18">
        <v>2213.56</v>
      </c>
      <c r="U7127" s="16"/>
      <c r="V7127" s="16"/>
      <c r="W7127" s="16" t="s">
        <v>40</v>
      </c>
      <c r="X7127" s="19">
        <v>0.90400000000000003</v>
      </c>
      <c r="Y7127" s="20">
        <v>2.7539999999999999E-3</v>
      </c>
      <c r="Z7127" s="21">
        <v>4601004309340</v>
      </c>
    </row>
    <row r="7128" spans="1:26" ht="12" customHeight="1" outlineLevel="3" x14ac:dyDescent="0.2">
      <c r="A7128" s="14" t="s">
        <v>13671</v>
      </c>
      <c r="B7128" s="26" t="s">
        <v>13672</v>
      </c>
      <c r="C7128" s="52"/>
      <c r="D7128" s="55">
        <f t="shared" si="111"/>
        <v>0</v>
      </c>
      <c r="E7128" s="63" t="str">
        <f>HYPERLINK("https://www.sds-group.ru/product/blok-raspredeleniya-pitaniya-pdu-gorizontalnyy-1u-9-rozetok-see-7-4-schuko-10a-bez-vykl-al-04-0305-1/", "Инфо")</f>
        <v>Инфо</v>
      </c>
      <c r="F7128" s="16" t="s">
        <v>39</v>
      </c>
      <c r="G7128" s="15"/>
      <c r="H7128" s="15"/>
      <c r="I7128" s="15"/>
      <c r="J7128" s="17">
        <v>620</v>
      </c>
      <c r="K7128" s="15"/>
      <c r="L7128" s="17">
        <v>1</v>
      </c>
      <c r="M7128" s="17">
        <v>25</v>
      </c>
      <c r="N7128" s="17">
        <v>1</v>
      </c>
      <c r="O7128" s="18">
        <v>4331.74</v>
      </c>
      <c r="P7128" s="18">
        <v>3550.61</v>
      </c>
      <c r="Q7128" s="18">
        <v>3162.17</v>
      </c>
      <c r="R7128" s="18">
        <v>2591.94</v>
      </c>
      <c r="S7128" s="18">
        <v>2599.04</v>
      </c>
      <c r="T7128" s="18">
        <v>2130.36</v>
      </c>
      <c r="U7128" s="16"/>
      <c r="V7128" s="16"/>
      <c r="W7128" s="16" t="s">
        <v>40</v>
      </c>
      <c r="X7128" s="19">
        <v>0.872</v>
      </c>
      <c r="Y7128" s="20">
        <v>2.6670000000000001E-3</v>
      </c>
      <c r="Z7128" s="21">
        <v>4601004309449</v>
      </c>
    </row>
    <row r="7129" spans="1:26" ht="12" customHeight="1" outlineLevel="3" x14ac:dyDescent="0.2">
      <c r="A7129" s="14" t="s">
        <v>13673</v>
      </c>
      <c r="B7129" s="26" t="s">
        <v>13674</v>
      </c>
      <c r="C7129" s="52"/>
      <c r="D7129" s="55">
        <f t="shared" si="111"/>
        <v>0</v>
      </c>
      <c r="E7129" s="63" t="str">
        <f>HYPERLINK("https://www.sds-group.ru/product/blok-raspredeleniya-pitaniya-pdu-gorizontalnyy-1u-9-rozetok-see-7-4-schuko-16a-bez-vykl-al-04-0105-1/", "Инфо")</f>
        <v>Инфо</v>
      </c>
      <c r="F7129" s="16" t="s">
        <v>39</v>
      </c>
      <c r="G7129" s="15"/>
      <c r="H7129" s="15"/>
      <c r="I7129" s="15"/>
      <c r="J7129" s="17">
        <v>680</v>
      </c>
      <c r="K7129" s="15"/>
      <c r="L7129" s="17">
        <v>1</v>
      </c>
      <c r="M7129" s="17">
        <v>25</v>
      </c>
      <c r="N7129" s="17">
        <v>1</v>
      </c>
      <c r="O7129" s="18">
        <v>4561.93</v>
      </c>
      <c r="P7129" s="18">
        <v>3739.29</v>
      </c>
      <c r="Q7129" s="18">
        <v>3330.21</v>
      </c>
      <c r="R7129" s="18">
        <v>2729.68</v>
      </c>
      <c r="S7129" s="18">
        <v>2737.16</v>
      </c>
      <c r="T7129" s="18">
        <v>2243.5700000000002</v>
      </c>
      <c r="U7129" s="16"/>
      <c r="V7129" s="16"/>
      <c r="W7129" s="16" t="s">
        <v>40</v>
      </c>
      <c r="X7129" s="19">
        <v>0.89700000000000002</v>
      </c>
      <c r="Y7129" s="20">
        <v>2.6380000000000002E-3</v>
      </c>
      <c r="Z7129" s="21">
        <v>4601004309418</v>
      </c>
    </row>
    <row r="7130" spans="1:26" ht="12.95" customHeight="1" outlineLevel="2" x14ac:dyDescent="0.2">
      <c r="A7130" s="76" t="s">
        <v>13675</v>
      </c>
      <c r="B7130" s="76"/>
      <c r="C7130" s="77"/>
      <c r="D7130" s="58"/>
      <c r="E7130" s="68"/>
      <c r="F7130" s="13"/>
      <c r="G7130" s="13"/>
      <c r="H7130" s="13"/>
      <c r="I7130" s="13"/>
      <c r="J7130" s="13"/>
      <c r="K7130" s="13"/>
      <c r="L7130" s="13"/>
      <c r="M7130" s="13"/>
      <c r="N7130" s="13"/>
      <c r="O7130" s="13"/>
      <c r="P7130" s="13"/>
      <c r="Q7130" s="13"/>
      <c r="R7130" s="13"/>
      <c r="S7130" s="13"/>
      <c r="T7130" s="13"/>
      <c r="U7130" s="13"/>
      <c r="V7130" s="13"/>
      <c r="W7130" s="13"/>
      <c r="X7130" s="13"/>
      <c r="Y7130" s="13"/>
      <c r="Z7130" s="13"/>
    </row>
    <row r="7131" spans="1:26" ht="12" customHeight="1" outlineLevel="3" x14ac:dyDescent="0.2">
      <c r="A7131" s="14" t="s">
        <v>13676</v>
      </c>
      <c r="B7131" s="26" t="s">
        <v>13677</v>
      </c>
      <c r="C7131" s="52"/>
      <c r="D7131" s="55">
        <f t="shared" si="111"/>
        <v>0</v>
      </c>
      <c r="E7131" s="63" t="str">
        <f>HYPERLINK("https://www.sds-group.ru/product/shnur-setevoy-iec-320-c13-iec-320-c14-3x0-75mm-6a-dlina-0-6m-rexant-04-2721/", "Инфо")</f>
        <v>Инфо</v>
      </c>
      <c r="F7131" s="16" t="s">
        <v>39</v>
      </c>
      <c r="G7131" s="15"/>
      <c r="H7131" s="15"/>
      <c r="I7131" s="15"/>
      <c r="J7131" s="17">
        <v>984</v>
      </c>
      <c r="K7131" s="15"/>
      <c r="L7131" s="17">
        <v>5</v>
      </c>
      <c r="M7131" s="17">
        <v>160</v>
      </c>
      <c r="N7131" s="17">
        <v>5</v>
      </c>
      <c r="O7131" s="18">
        <v>271.39</v>
      </c>
      <c r="P7131" s="18">
        <v>222.45</v>
      </c>
      <c r="Q7131" s="18">
        <v>230.68</v>
      </c>
      <c r="R7131" s="18">
        <v>189.08</v>
      </c>
      <c r="S7131" s="18">
        <v>162.83000000000001</v>
      </c>
      <c r="T7131" s="18">
        <v>133.47</v>
      </c>
      <c r="U7131" s="16"/>
      <c r="V7131" s="16"/>
      <c r="W7131" s="16" t="s">
        <v>40</v>
      </c>
      <c r="X7131" s="19">
        <v>9.9000000000000005E-2</v>
      </c>
      <c r="Y7131" s="20">
        <v>2.42E-4</v>
      </c>
      <c r="Z7131" s="21">
        <v>4601004304864</v>
      </c>
    </row>
    <row r="7132" spans="1:26" ht="12" customHeight="1" outlineLevel="3" x14ac:dyDescent="0.2">
      <c r="A7132" s="14" t="s">
        <v>13678</v>
      </c>
      <c r="B7132" s="26" t="s">
        <v>13679</v>
      </c>
      <c r="C7132" s="52"/>
      <c r="D7132" s="55">
        <f t="shared" si="111"/>
        <v>0</v>
      </c>
      <c r="E7132" s="63" t="str">
        <f>HYPERLINK("https://www.sds-group.ru/product/shnur-setevoy-iec-320-c13-iec-320-c14-3x0-75mm-6a-dlina-1-2m-rexant-04-2722/", "Инфо")</f>
        <v>Инфо</v>
      </c>
      <c r="F7132" s="16" t="s">
        <v>39</v>
      </c>
      <c r="G7132" s="15"/>
      <c r="H7132" s="15"/>
      <c r="I7132" s="15"/>
      <c r="J7132" s="17">
        <v>874</v>
      </c>
      <c r="K7132" s="15"/>
      <c r="L7132" s="17">
        <v>5</v>
      </c>
      <c r="M7132" s="17">
        <v>100</v>
      </c>
      <c r="N7132" s="17">
        <v>5</v>
      </c>
      <c r="O7132" s="18">
        <v>367.39</v>
      </c>
      <c r="P7132" s="18">
        <v>301.14</v>
      </c>
      <c r="Q7132" s="18">
        <v>312.27999999999997</v>
      </c>
      <c r="R7132" s="18">
        <v>255.97</v>
      </c>
      <c r="S7132" s="18">
        <v>220.43</v>
      </c>
      <c r="T7132" s="18">
        <v>180.68</v>
      </c>
      <c r="U7132" s="16"/>
      <c r="V7132" s="16"/>
      <c r="W7132" s="16" t="s">
        <v>40</v>
      </c>
      <c r="X7132" s="19">
        <v>0.13600000000000001</v>
      </c>
      <c r="Y7132" s="20">
        <v>4.08E-4</v>
      </c>
      <c r="Z7132" s="21">
        <v>4601004304987</v>
      </c>
    </row>
    <row r="7133" spans="1:26" ht="12" customHeight="1" outlineLevel="3" x14ac:dyDescent="0.2">
      <c r="A7133" s="14" t="s">
        <v>13680</v>
      </c>
      <c r="B7133" s="26" t="s">
        <v>13681</v>
      </c>
      <c r="C7133" s="52"/>
      <c r="D7133" s="55">
        <f t="shared" si="111"/>
        <v>0</v>
      </c>
      <c r="E7133" s="63" t="str">
        <f>HYPERLINK("https://www.sds-group.ru/product/shnur-setevoy-iec-320-c13-iec-320-c14-3x0-75mm-6a-dlina-1-8m-rexant-04-2723/", "Инфо")</f>
        <v>Инфо</v>
      </c>
      <c r="F7133" s="16" t="s">
        <v>39</v>
      </c>
      <c r="G7133" s="15"/>
      <c r="H7133" s="15"/>
      <c r="I7133" s="15"/>
      <c r="J7133" s="17">
        <v>64</v>
      </c>
      <c r="K7133" s="15" t="s">
        <v>979</v>
      </c>
      <c r="L7133" s="17">
        <v>5</v>
      </c>
      <c r="M7133" s="17">
        <v>100</v>
      </c>
      <c r="N7133" s="17">
        <v>5</v>
      </c>
      <c r="O7133" s="18">
        <v>452.31</v>
      </c>
      <c r="P7133" s="18">
        <v>370.75</v>
      </c>
      <c r="Q7133" s="18">
        <v>384.46</v>
      </c>
      <c r="R7133" s="18">
        <v>315.13</v>
      </c>
      <c r="S7133" s="18">
        <v>271.39</v>
      </c>
      <c r="T7133" s="18">
        <v>222.45</v>
      </c>
      <c r="U7133" s="16"/>
      <c r="V7133" s="16"/>
      <c r="W7133" s="16" t="s">
        <v>40</v>
      </c>
      <c r="X7133" s="19">
        <v>0.183</v>
      </c>
      <c r="Y7133" s="20">
        <v>4.7600000000000002E-4</v>
      </c>
      <c r="Z7133" s="21">
        <v>4601004305014</v>
      </c>
    </row>
    <row r="7134" spans="1:26" ht="12" customHeight="1" outlineLevel="3" x14ac:dyDescent="0.2">
      <c r="A7134" s="14" t="s">
        <v>13682</v>
      </c>
      <c r="B7134" s="26" t="s">
        <v>13683</v>
      </c>
      <c r="C7134" s="52"/>
      <c r="D7134" s="55">
        <f t="shared" si="111"/>
        <v>0</v>
      </c>
      <c r="E7134" s="63" t="str">
        <f>HYPERLINK("https://www.sds-group.ru/product/shnur-setevoy-iec-320-c13-iec-320-c14-3x0-75mm-6a-dlina-5m-rexant-04-2725/", "Инфо")</f>
        <v>Инфо</v>
      </c>
      <c r="F7134" s="16" t="s">
        <v>39</v>
      </c>
      <c r="G7134" s="15"/>
      <c r="H7134" s="15"/>
      <c r="I7134" s="15"/>
      <c r="J7134" s="17">
        <v>16</v>
      </c>
      <c r="K7134" s="15" t="s">
        <v>1277</v>
      </c>
      <c r="L7134" s="17">
        <v>1</v>
      </c>
      <c r="M7134" s="17">
        <v>50</v>
      </c>
      <c r="N7134" s="17">
        <v>1</v>
      </c>
      <c r="O7134" s="18">
        <v>895.39</v>
      </c>
      <c r="P7134" s="18">
        <v>733.93</v>
      </c>
      <c r="Q7134" s="18">
        <v>761.08</v>
      </c>
      <c r="R7134" s="18">
        <v>623.84</v>
      </c>
      <c r="S7134" s="18">
        <v>537.23</v>
      </c>
      <c r="T7134" s="18">
        <v>440.35</v>
      </c>
      <c r="U7134" s="16"/>
      <c r="V7134" s="16"/>
      <c r="W7134" s="16" t="s">
        <v>40</v>
      </c>
      <c r="X7134" s="19">
        <v>0.41</v>
      </c>
      <c r="Y7134" s="20">
        <v>9.1799999999999998E-4</v>
      </c>
      <c r="Z7134" s="21">
        <v>4601004304949</v>
      </c>
    </row>
    <row r="7135" spans="1:26" ht="12" customHeight="1" outlineLevel="3" x14ac:dyDescent="0.2">
      <c r="A7135" s="14" t="s">
        <v>13684</v>
      </c>
      <c r="B7135" s="26" t="s">
        <v>13685</v>
      </c>
      <c r="C7135" s="52"/>
      <c r="D7135" s="55">
        <f t="shared" si="111"/>
        <v>0</v>
      </c>
      <c r="E7135" s="63" t="str">
        <f>HYPERLINK("https://www.sds-group.ru/product/shnur-setevoy-iec-320-c13-iec-320-c14-3x1-0mm-10a-dlina-0-6m-rexant-04-2726/", "Инфо")</f>
        <v>Инфо</v>
      </c>
      <c r="F7135" s="16" t="s">
        <v>39</v>
      </c>
      <c r="G7135" s="15"/>
      <c r="H7135" s="15"/>
      <c r="I7135" s="15"/>
      <c r="J7135" s="17">
        <v>603</v>
      </c>
      <c r="K7135" s="15"/>
      <c r="L7135" s="17">
        <v>5</v>
      </c>
      <c r="M7135" s="17">
        <v>100</v>
      </c>
      <c r="N7135" s="17">
        <v>5</v>
      </c>
      <c r="O7135" s="18">
        <v>356.31</v>
      </c>
      <c r="P7135" s="18">
        <v>292.06</v>
      </c>
      <c r="Q7135" s="18">
        <v>302.86</v>
      </c>
      <c r="R7135" s="18">
        <v>248.25</v>
      </c>
      <c r="S7135" s="18">
        <v>213.79</v>
      </c>
      <c r="T7135" s="18">
        <v>175.24</v>
      </c>
      <c r="U7135" s="16"/>
      <c r="V7135" s="16"/>
      <c r="W7135" s="16" t="s">
        <v>40</v>
      </c>
      <c r="X7135" s="19">
        <v>0.12</v>
      </c>
      <c r="Y7135" s="20">
        <v>3.7599999999999998E-4</v>
      </c>
      <c r="Z7135" s="21">
        <v>4601004304918</v>
      </c>
    </row>
    <row r="7136" spans="1:26" ht="12" customHeight="1" outlineLevel="3" x14ac:dyDescent="0.2">
      <c r="A7136" s="14" t="s">
        <v>13686</v>
      </c>
      <c r="B7136" s="26" t="s">
        <v>13687</v>
      </c>
      <c r="C7136" s="52"/>
      <c r="D7136" s="55">
        <f t="shared" si="111"/>
        <v>0</v>
      </c>
      <c r="E7136" s="63" t="str">
        <f>HYPERLINK("https://www.sds-group.ru/product/shnur-setevoy-iec-320-c13-iec-320-c14-3x1-0mm-10a-dlina-1-2m-rexant-04-2727/", "Инфо")</f>
        <v>Инфо</v>
      </c>
      <c r="F7136" s="16" t="s">
        <v>39</v>
      </c>
      <c r="G7136" s="15"/>
      <c r="H7136" s="15"/>
      <c r="I7136" s="15"/>
      <c r="J7136" s="17">
        <v>665</v>
      </c>
      <c r="K7136" s="15"/>
      <c r="L7136" s="17">
        <v>5</v>
      </c>
      <c r="M7136" s="17">
        <v>100</v>
      </c>
      <c r="N7136" s="17">
        <v>5</v>
      </c>
      <c r="O7136" s="18">
        <v>587.08000000000004</v>
      </c>
      <c r="P7136" s="18">
        <v>481.21</v>
      </c>
      <c r="Q7136" s="18">
        <v>499.02</v>
      </c>
      <c r="R7136" s="18">
        <v>409.03</v>
      </c>
      <c r="S7136" s="18">
        <v>352.25</v>
      </c>
      <c r="T7136" s="18">
        <v>288.73</v>
      </c>
      <c r="U7136" s="16"/>
      <c r="V7136" s="16"/>
      <c r="W7136" s="16" t="s">
        <v>40</v>
      </c>
      <c r="X7136" s="19">
        <v>0.18</v>
      </c>
      <c r="Y7136" s="20">
        <v>4.8200000000000001E-4</v>
      </c>
      <c r="Z7136" s="21">
        <v>4601004304994</v>
      </c>
    </row>
    <row r="7137" spans="1:26" ht="12" customHeight="1" outlineLevel="3" x14ac:dyDescent="0.2">
      <c r="A7137" s="14" t="s">
        <v>13688</v>
      </c>
      <c r="B7137" s="26" t="s">
        <v>13689</v>
      </c>
      <c r="C7137" s="52"/>
      <c r="D7137" s="55">
        <f t="shared" si="111"/>
        <v>0</v>
      </c>
      <c r="E7137" s="63" t="str">
        <f>HYPERLINK("https://www.sds-group.ru/product/shnur-setevoy-iec-320-c13-iec-320-c14-3x1-0mm-10a-dlina-1-8m-rexant-04-2728/", "Инфо")</f>
        <v>Инфо</v>
      </c>
      <c r="F7137" s="16" t="s">
        <v>39</v>
      </c>
      <c r="G7137" s="15"/>
      <c r="H7137" s="15"/>
      <c r="I7137" s="15"/>
      <c r="J7137" s="17">
        <v>265</v>
      </c>
      <c r="K7137" s="15" t="s">
        <v>979</v>
      </c>
      <c r="L7137" s="17">
        <v>1</v>
      </c>
      <c r="M7137" s="17">
        <v>60</v>
      </c>
      <c r="N7137" s="17">
        <v>1</v>
      </c>
      <c r="O7137" s="18">
        <v>705.24</v>
      </c>
      <c r="P7137" s="18">
        <v>578.07000000000005</v>
      </c>
      <c r="Q7137" s="18">
        <v>599.45000000000005</v>
      </c>
      <c r="R7137" s="18">
        <v>491.35</v>
      </c>
      <c r="S7137" s="18">
        <v>423.14</v>
      </c>
      <c r="T7137" s="18">
        <v>346.84</v>
      </c>
      <c r="U7137" s="16"/>
      <c r="V7137" s="16"/>
      <c r="W7137" s="16" t="s">
        <v>40</v>
      </c>
      <c r="X7137" s="19">
        <v>0.24399999999999999</v>
      </c>
      <c r="Y7137" s="20">
        <v>5.8799999999999998E-4</v>
      </c>
      <c r="Z7137" s="21">
        <v>4601004304925</v>
      </c>
    </row>
    <row r="7138" spans="1:26" ht="12" customHeight="1" outlineLevel="3" x14ac:dyDescent="0.2">
      <c r="A7138" s="14" t="s">
        <v>13690</v>
      </c>
      <c r="B7138" s="26" t="s">
        <v>13691</v>
      </c>
      <c r="C7138" s="52"/>
      <c r="D7138" s="55">
        <f t="shared" si="111"/>
        <v>0</v>
      </c>
      <c r="E7138" s="63" t="str">
        <f>HYPERLINK("https://www.sds-group.ru/product/shnur-setevoy-iec-320-c13-iec-320-c14-3x1-0mm-10a-dlina-3m-rexant-04-2729/", "Инфо")</f>
        <v>Инфо</v>
      </c>
      <c r="F7138" s="16" t="s">
        <v>39</v>
      </c>
      <c r="G7138" s="15"/>
      <c r="H7138" s="15"/>
      <c r="I7138" s="15"/>
      <c r="J7138" s="17">
        <v>27</v>
      </c>
      <c r="K7138" s="15" t="s">
        <v>979</v>
      </c>
      <c r="L7138" s="17">
        <v>1</v>
      </c>
      <c r="M7138" s="17">
        <v>50</v>
      </c>
      <c r="N7138" s="17">
        <v>1</v>
      </c>
      <c r="O7138" s="18">
        <v>640.62</v>
      </c>
      <c r="P7138" s="18">
        <v>525.1</v>
      </c>
      <c r="Q7138" s="18">
        <v>544.53</v>
      </c>
      <c r="R7138" s="18">
        <v>446.34</v>
      </c>
      <c r="S7138" s="18">
        <v>384.37</v>
      </c>
      <c r="T7138" s="18">
        <v>315.06</v>
      </c>
      <c r="U7138" s="16"/>
      <c r="V7138" s="16"/>
      <c r="W7138" s="16" t="s">
        <v>40</v>
      </c>
      <c r="X7138" s="19">
        <v>0.36499999999999999</v>
      </c>
      <c r="Y7138" s="20">
        <v>7.54E-4</v>
      </c>
      <c r="Z7138" s="21">
        <v>4601004304901</v>
      </c>
    </row>
    <row r="7139" spans="1:26" ht="12" customHeight="1" outlineLevel="3" x14ac:dyDescent="0.2">
      <c r="A7139" s="14" t="s">
        <v>13692</v>
      </c>
      <c r="B7139" s="26" t="s">
        <v>13693</v>
      </c>
      <c r="C7139" s="52"/>
      <c r="D7139" s="55">
        <f t="shared" si="111"/>
        <v>0</v>
      </c>
      <c r="E7139" s="63" t="str">
        <f>HYPERLINK("https://www.sds-group.ru/product/shnur-setevoy-iec-320-c13-iec-320-c14-3x1-0mm-10a-dlina-5m-rexant-04-2730/", "Инфо")</f>
        <v>Инфо</v>
      </c>
      <c r="F7139" s="16" t="s">
        <v>39</v>
      </c>
      <c r="G7139" s="15"/>
      <c r="H7139" s="15"/>
      <c r="I7139" s="15"/>
      <c r="J7139" s="17">
        <v>238</v>
      </c>
      <c r="K7139" s="15"/>
      <c r="L7139" s="17">
        <v>1</v>
      </c>
      <c r="M7139" s="17">
        <v>40</v>
      </c>
      <c r="N7139" s="17">
        <v>1</v>
      </c>
      <c r="O7139" s="18">
        <v>917.55</v>
      </c>
      <c r="P7139" s="18">
        <v>752.09</v>
      </c>
      <c r="Q7139" s="18">
        <v>779.92</v>
      </c>
      <c r="R7139" s="18">
        <v>639.28</v>
      </c>
      <c r="S7139" s="18">
        <v>550.53</v>
      </c>
      <c r="T7139" s="18">
        <v>451.25</v>
      </c>
      <c r="U7139" s="16"/>
      <c r="V7139" s="16"/>
      <c r="W7139" s="16" t="s">
        <v>40</v>
      </c>
      <c r="X7139" s="19">
        <v>0.53100000000000003</v>
      </c>
      <c r="Y7139" s="20">
        <v>1.207E-3</v>
      </c>
      <c r="Z7139" s="21">
        <v>4601004305007</v>
      </c>
    </row>
    <row r="7140" spans="1:26" ht="12" customHeight="1" outlineLevel="3" x14ac:dyDescent="0.2">
      <c r="A7140" s="14" t="s">
        <v>13694</v>
      </c>
      <c r="B7140" s="26" t="s">
        <v>13695</v>
      </c>
      <c r="C7140" s="52"/>
      <c r="D7140" s="55">
        <f t="shared" si="111"/>
        <v>0</v>
      </c>
      <c r="E7140" s="63" t="str">
        <f>HYPERLINK("https://www.sds-group.ru/product/shnur-setevoy-iec-320-c19-iec-320-c20-3x1-5mm-16a-dlina-1-8m-rexant-04-2741/", "Инфо")</f>
        <v>Инфо</v>
      </c>
      <c r="F7140" s="16" t="s">
        <v>39</v>
      </c>
      <c r="G7140" s="15"/>
      <c r="H7140" s="15"/>
      <c r="I7140" s="15"/>
      <c r="J7140" s="17">
        <v>39</v>
      </c>
      <c r="K7140" s="15" t="s">
        <v>1277</v>
      </c>
      <c r="L7140" s="17">
        <v>1</v>
      </c>
      <c r="M7140" s="17">
        <v>50</v>
      </c>
      <c r="N7140" s="17">
        <v>1</v>
      </c>
      <c r="O7140" s="18">
        <v>1211.08</v>
      </c>
      <c r="P7140" s="18">
        <v>992.69</v>
      </c>
      <c r="Q7140" s="18">
        <v>1029.42</v>
      </c>
      <c r="R7140" s="18">
        <v>843.79</v>
      </c>
      <c r="S7140" s="18">
        <v>726.65</v>
      </c>
      <c r="T7140" s="18">
        <v>595.61</v>
      </c>
      <c r="U7140" s="16"/>
      <c r="V7140" s="16"/>
      <c r="W7140" s="16" t="s">
        <v>40</v>
      </c>
      <c r="X7140" s="19">
        <v>0.313</v>
      </c>
      <c r="Y7140" s="20">
        <v>7.4700000000000005E-4</v>
      </c>
      <c r="Z7140" s="21">
        <v>4601004304956</v>
      </c>
    </row>
    <row r="7141" spans="1:26" ht="12" customHeight="1" outlineLevel="3" x14ac:dyDescent="0.2">
      <c r="A7141" s="14" t="s">
        <v>13696</v>
      </c>
      <c r="B7141" s="26" t="s">
        <v>13697</v>
      </c>
      <c r="C7141" s="52"/>
      <c r="D7141" s="55">
        <f t="shared" si="111"/>
        <v>0</v>
      </c>
      <c r="E7141" s="63" t="str">
        <f>HYPERLINK("https://www.sds-group.ru/product/shnur-setevoy-iec-320-c19-iec-320-c20-3x1-5mm-16a-dlina-3m-rexant-04-2742/", "Инфо")</f>
        <v>Инфо</v>
      </c>
      <c r="F7141" s="16" t="s">
        <v>39</v>
      </c>
      <c r="G7141" s="15"/>
      <c r="H7141" s="15"/>
      <c r="I7141" s="15"/>
      <c r="J7141" s="17">
        <v>226</v>
      </c>
      <c r="K7141" s="15"/>
      <c r="L7141" s="17">
        <v>1</v>
      </c>
      <c r="M7141" s="17">
        <v>50</v>
      </c>
      <c r="N7141" s="17">
        <v>1</v>
      </c>
      <c r="O7141" s="18">
        <v>1667.09</v>
      </c>
      <c r="P7141" s="18">
        <v>1366.47</v>
      </c>
      <c r="Q7141" s="18">
        <v>1417.03</v>
      </c>
      <c r="R7141" s="18">
        <v>1161.5</v>
      </c>
      <c r="S7141" s="18">
        <v>1000.25</v>
      </c>
      <c r="T7141" s="18">
        <v>819.88</v>
      </c>
      <c r="U7141" s="16"/>
      <c r="V7141" s="16"/>
      <c r="W7141" s="16" t="s">
        <v>40</v>
      </c>
      <c r="X7141" s="19">
        <v>0.44900000000000001</v>
      </c>
      <c r="Y7141" s="20">
        <v>9.5E-4</v>
      </c>
      <c r="Z7141" s="21">
        <v>4601004304888</v>
      </c>
    </row>
    <row r="7142" spans="1:26" ht="12" customHeight="1" outlineLevel="3" x14ac:dyDescent="0.2">
      <c r="A7142" s="14" t="s">
        <v>13698</v>
      </c>
      <c r="B7142" s="26" t="s">
        <v>13699</v>
      </c>
      <c r="C7142" s="52"/>
      <c r="D7142" s="55">
        <f t="shared" si="111"/>
        <v>0</v>
      </c>
      <c r="E7142" s="63" t="str">
        <f>HYPERLINK("https://www.sds-group.ru/product/shnur-setevoy-iec-320-c19-iec-320-c20-3x1-5mm-16a-dlina-5m-rexant-04-2743/", "Инфо")</f>
        <v>Инфо</v>
      </c>
      <c r="F7142" s="16" t="s">
        <v>39</v>
      </c>
      <c r="G7142" s="15"/>
      <c r="H7142" s="15"/>
      <c r="I7142" s="15"/>
      <c r="J7142" s="17">
        <v>52</v>
      </c>
      <c r="K7142" s="15" t="s">
        <v>1277</v>
      </c>
      <c r="L7142" s="17">
        <v>1</v>
      </c>
      <c r="M7142" s="17">
        <v>25</v>
      </c>
      <c r="N7142" s="17">
        <v>1</v>
      </c>
      <c r="O7142" s="18">
        <v>2438.7800000000002</v>
      </c>
      <c r="P7142" s="18">
        <v>1999</v>
      </c>
      <c r="Q7142" s="18">
        <v>2072.96</v>
      </c>
      <c r="R7142" s="18">
        <v>1699.15</v>
      </c>
      <c r="S7142" s="18">
        <v>1463.27</v>
      </c>
      <c r="T7142" s="18">
        <v>1199.4000000000001</v>
      </c>
      <c r="U7142" s="16"/>
      <c r="V7142" s="16"/>
      <c r="W7142" s="16" t="s">
        <v>40</v>
      </c>
      <c r="X7142" s="19">
        <v>0.68899999999999995</v>
      </c>
      <c r="Y7142" s="20">
        <v>1.3290000000000001E-3</v>
      </c>
      <c r="Z7142" s="21">
        <v>4601004304895</v>
      </c>
    </row>
    <row r="7143" spans="1:26" ht="12" customHeight="1" outlineLevel="3" x14ac:dyDescent="0.2">
      <c r="A7143" s="14" t="s">
        <v>13700</v>
      </c>
      <c r="B7143" s="26" t="s">
        <v>13701</v>
      </c>
      <c r="C7143" s="52"/>
      <c r="D7143" s="55">
        <f t="shared" si="111"/>
        <v>0</v>
      </c>
      <c r="E7143" s="63" t="str">
        <f>HYPERLINK("https://www.sds-group.ru/product/shnur-setevoy-see-7-7-schuko-iec-320-c13-3x0-75mm-6a-dlina-0-6m-rexant-04-2731/", "Инфо")</f>
        <v>Инфо</v>
      </c>
      <c r="F7143" s="16" t="s">
        <v>39</v>
      </c>
      <c r="G7143" s="15"/>
      <c r="H7143" s="15"/>
      <c r="I7143" s="15"/>
      <c r="J7143" s="17">
        <v>630</v>
      </c>
      <c r="K7143" s="15"/>
      <c r="L7143" s="17">
        <v>5</v>
      </c>
      <c r="M7143" s="17">
        <v>100</v>
      </c>
      <c r="N7143" s="17">
        <v>5</v>
      </c>
      <c r="O7143" s="18">
        <v>310.16000000000003</v>
      </c>
      <c r="P7143" s="18">
        <v>254.23</v>
      </c>
      <c r="Q7143" s="18">
        <v>263.64</v>
      </c>
      <c r="R7143" s="18">
        <v>216.1</v>
      </c>
      <c r="S7143" s="18">
        <v>186.1</v>
      </c>
      <c r="T7143" s="18">
        <v>152.54</v>
      </c>
      <c r="U7143" s="16"/>
      <c r="V7143" s="16"/>
      <c r="W7143" s="16" t="s">
        <v>40</v>
      </c>
      <c r="X7143" s="19">
        <v>0.111</v>
      </c>
      <c r="Y7143" s="20">
        <v>3.3700000000000001E-4</v>
      </c>
      <c r="Z7143" s="21">
        <v>4601004304932</v>
      </c>
    </row>
    <row r="7144" spans="1:26" ht="12" customHeight="1" outlineLevel="3" x14ac:dyDescent="0.2">
      <c r="A7144" s="14" t="s">
        <v>13702</v>
      </c>
      <c r="B7144" s="26" t="s">
        <v>13703</v>
      </c>
      <c r="C7144" s="52"/>
      <c r="D7144" s="55">
        <f t="shared" si="111"/>
        <v>0</v>
      </c>
      <c r="E7144" s="63" t="str">
        <f>HYPERLINK("https://www.sds-group.ru/product/shnur-setevoy-see-7-7-schuko-iec-320-c13-3x0-75mm-6a-dlina-1-2m-rexant-04-2732/", "Инфо")</f>
        <v>Инфо</v>
      </c>
      <c r="F7144" s="16" t="s">
        <v>39</v>
      </c>
      <c r="G7144" s="15"/>
      <c r="H7144" s="15"/>
      <c r="I7144" s="15"/>
      <c r="J7144" s="17">
        <v>527</v>
      </c>
      <c r="K7144" s="15"/>
      <c r="L7144" s="17">
        <v>5</v>
      </c>
      <c r="M7144" s="17">
        <v>100</v>
      </c>
      <c r="N7144" s="17">
        <v>5</v>
      </c>
      <c r="O7144" s="18">
        <v>408</v>
      </c>
      <c r="P7144" s="18">
        <v>334.43</v>
      </c>
      <c r="Q7144" s="18">
        <v>346.8</v>
      </c>
      <c r="R7144" s="18">
        <v>284.26</v>
      </c>
      <c r="S7144" s="18">
        <v>244.8</v>
      </c>
      <c r="T7144" s="18">
        <v>200.66</v>
      </c>
      <c r="U7144" s="16"/>
      <c r="V7144" s="16"/>
      <c r="W7144" s="16" t="s">
        <v>40</v>
      </c>
      <c r="X7144" s="19">
        <v>0.151</v>
      </c>
      <c r="Y7144" s="20">
        <v>3.6299999999999999E-4</v>
      </c>
      <c r="Z7144" s="21">
        <v>4601004304963</v>
      </c>
    </row>
    <row r="7145" spans="1:26" ht="12" customHeight="1" outlineLevel="3" x14ac:dyDescent="0.2">
      <c r="A7145" s="14" t="s">
        <v>13704</v>
      </c>
      <c r="B7145" s="26" t="s">
        <v>13705</v>
      </c>
      <c r="C7145" s="52"/>
      <c r="D7145" s="55">
        <f t="shared" si="111"/>
        <v>0</v>
      </c>
      <c r="E7145" s="63" t="str">
        <f>HYPERLINK("https://www.sds-group.ru/product/shnur-setevoy-see-7-7-schuko-iec-320-c13-3x0-75mm-6a-dlina-1-8m-rexant-04-2733/", "Инфо")</f>
        <v>Инфо</v>
      </c>
      <c r="F7145" s="16" t="s">
        <v>39</v>
      </c>
      <c r="G7145" s="15"/>
      <c r="H7145" s="15"/>
      <c r="I7145" s="15"/>
      <c r="J7145" s="16" t="s">
        <v>100</v>
      </c>
      <c r="K7145" s="15" t="s">
        <v>1277</v>
      </c>
      <c r="L7145" s="17">
        <v>5</v>
      </c>
      <c r="M7145" s="17">
        <v>100</v>
      </c>
      <c r="N7145" s="17">
        <v>5</v>
      </c>
      <c r="O7145" s="18">
        <v>492.93</v>
      </c>
      <c r="P7145" s="18">
        <v>404.04</v>
      </c>
      <c r="Q7145" s="18">
        <v>418.99</v>
      </c>
      <c r="R7145" s="18">
        <v>343.43</v>
      </c>
      <c r="S7145" s="18">
        <v>295.76</v>
      </c>
      <c r="T7145" s="18">
        <v>242.43</v>
      </c>
      <c r="U7145" s="16"/>
      <c r="V7145" s="16"/>
      <c r="W7145" s="16" t="s">
        <v>40</v>
      </c>
      <c r="X7145" s="19">
        <v>0.192</v>
      </c>
      <c r="Y7145" s="20">
        <v>4.6900000000000002E-4</v>
      </c>
      <c r="Z7145" s="21">
        <v>4601004304970</v>
      </c>
    </row>
    <row r="7146" spans="1:26" ht="12" customHeight="1" outlineLevel="3" x14ac:dyDescent="0.2">
      <c r="A7146" s="14" t="s">
        <v>13706</v>
      </c>
      <c r="B7146" s="26" t="s">
        <v>13707</v>
      </c>
      <c r="C7146" s="52"/>
      <c r="D7146" s="55">
        <f t="shared" si="111"/>
        <v>0</v>
      </c>
      <c r="E7146" s="63" t="str">
        <f>HYPERLINK("https://www.sds-group.ru/product/shnur-setevoy-see-7-7-schuko-iec-320-c13-3x0-75mm-6a-dlina-3m-rexant-04-2734/", "Инфо")</f>
        <v>Инфо</v>
      </c>
      <c r="F7146" s="16" t="s">
        <v>39</v>
      </c>
      <c r="G7146" s="15"/>
      <c r="H7146" s="15"/>
      <c r="I7146" s="15"/>
      <c r="J7146" s="17">
        <v>172</v>
      </c>
      <c r="K7146" s="15"/>
      <c r="L7146" s="17">
        <v>1</v>
      </c>
      <c r="M7146" s="17">
        <v>50</v>
      </c>
      <c r="N7146" s="17">
        <v>1</v>
      </c>
      <c r="O7146" s="18">
        <v>662.78</v>
      </c>
      <c r="P7146" s="18">
        <v>543.26</v>
      </c>
      <c r="Q7146" s="18">
        <v>563.36</v>
      </c>
      <c r="R7146" s="18">
        <v>461.77</v>
      </c>
      <c r="S7146" s="18">
        <v>397.67</v>
      </c>
      <c r="T7146" s="18">
        <v>325.95999999999998</v>
      </c>
      <c r="U7146" s="16"/>
      <c r="V7146" s="16"/>
      <c r="W7146" s="16" t="s">
        <v>40</v>
      </c>
      <c r="X7146" s="19">
        <v>0.27900000000000003</v>
      </c>
      <c r="Y7146" s="20">
        <v>7.1699999999999997E-4</v>
      </c>
      <c r="Z7146" s="21">
        <v>4601004304871</v>
      </c>
    </row>
    <row r="7147" spans="1:26" ht="12" customHeight="1" outlineLevel="3" x14ac:dyDescent="0.2">
      <c r="A7147" s="14" t="s">
        <v>13708</v>
      </c>
      <c r="B7147" s="26" t="s">
        <v>13709</v>
      </c>
      <c r="C7147" s="52"/>
      <c r="D7147" s="55">
        <f t="shared" si="111"/>
        <v>0</v>
      </c>
      <c r="E7147" s="63" t="str">
        <f>HYPERLINK("https://www.sds-group.ru/product/shnur-setevoy-see-7-7-schuko-iec-320-c13-3x0-75mm-6a-dlina-5m-rexant-04-2735/", "Инфо")</f>
        <v>Инфо</v>
      </c>
      <c r="F7147" s="16" t="s">
        <v>39</v>
      </c>
      <c r="G7147" s="15"/>
      <c r="H7147" s="15"/>
      <c r="I7147" s="15"/>
      <c r="J7147" s="17">
        <v>232</v>
      </c>
      <c r="K7147" s="15"/>
      <c r="L7147" s="17">
        <v>1</v>
      </c>
      <c r="M7147" s="17">
        <v>50</v>
      </c>
      <c r="N7147" s="17">
        <v>1</v>
      </c>
      <c r="O7147" s="18">
        <v>930.47</v>
      </c>
      <c r="P7147" s="18">
        <v>762.68</v>
      </c>
      <c r="Q7147" s="18">
        <v>790.9</v>
      </c>
      <c r="R7147" s="18">
        <v>648.28</v>
      </c>
      <c r="S7147" s="18">
        <v>558.28</v>
      </c>
      <c r="T7147" s="18">
        <v>457.61</v>
      </c>
      <c r="U7147" s="16"/>
      <c r="V7147" s="16"/>
      <c r="W7147" s="16" t="s">
        <v>40</v>
      </c>
      <c r="X7147" s="19">
        <v>0.41899999999999998</v>
      </c>
      <c r="Y7147" s="20">
        <v>9.6400000000000001E-4</v>
      </c>
      <c r="Z7147" s="21">
        <v>4601004304857</v>
      </c>
    </row>
    <row r="7148" spans="1:26" ht="12" customHeight="1" outlineLevel="3" x14ac:dyDescent="0.2">
      <c r="A7148" s="14" t="s">
        <v>13710</v>
      </c>
      <c r="B7148" s="26" t="s">
        <v>13711</v>
      </c>
      <c r="C7148" s="52"/>
      <c r="D7148" s="55">
        <f t="shared" si="111"/>
        <v>0</v>
      </c>
      <c r="E7148" s="63" t="str">
        <f>HYPERLINK("https://www.sds-group.ru/product/shnur-setevoy-see-7-7-schuko-iec-320-c13-3x1-0mm-10a-dlina-0-6m-rexant-04-2736/", "Инфо")</f>
        <v>Инфо</v>
      </c>
      <c r="F7148" s="16" t="s">
        <v>39</v>
      </c>
      <c r="G7148" s="15"/>
      <c r="H7148" s="15"/>
      <c r="I7148" s="15"/>
      <c r="J7148" s="16" t="s">
        <v>100</v>
      </c>
      <c r="K7148" s="15" t="s">
        <v>1277</v>
      </c>
      <c r="L7148" s="17">
        <v>5</v>
      </c>
      <c r="M7148" s="17">
        <v>100</v>
      </c>
      <c r="N7148" s="17">
        <v>5</v>
      </c>
      <c r="O7148" s="18">
        <v>328.62</v>
      </c>
      <c r="P7148" s="18">
        <v>269.36</v>
      </c>
      <c r="Q7148" s="18">
        <v>279.33</v>
      </c>
      <c r="R7148" s="18">
        <v>228.96</v>
      </c>
      <c r="S7148" s="18">
        <v>197.17</v>
      </c>
      <c r="T7148" s="18">
        <v>161.61000000000001</v>
      </c>
      <c r="U7148" s="16"/>
      <c r="V7148" s="16"/>
      <c r="W7148" s="16" t="s">
        <v>40</v>
      </c>
      <c r="X7148" s="19">
        <v>0.13200000000000001</v>
      </c>
      <c r="Y7148" s="20">
        <v>4.0499999999999998E-4</v>
      </c>
      <c r="Z7148" s="21">
        <v>4601004304840</v>
      </c>
    </row>
    <row r="7149" spans="1:26" ht="12" customHeight="1" outlineLevel="3" x14ac:dyDescent="0.2">
      <c r="A7149" s="14" t="s">
        <v>13712</v>
      </c>
      <c r="B7149" s="26" t="s">
        <v>13713</v>
      </c>
      <c r="C7149" s="52"/>
      <c r="D7149" s="55">
        <f t="shared" si="111"/>
        <v>0</v>
      </c>
      <c r="E7149" s="63" t="str">
        <f>HYPERLINK("https://www.sds-group.ru/product/shnur-setevoy-see-7-7-schuko-iec-320-c13-3x1-0mm-10a-dlina-1-2m-rexant-04-2737/", "Инфо")</f>
        <v>Инфо</v>
      </c>
      <c r="F7149" s="16" t="s">
        <v>39</v>
      </c>
      <c r="G7149" s="15"/>
      <c r="H7149" s="15"/>
      <c r="I7149" s="15"/>
      <c r="J7149" s="16" t="s">
        <v>100</v>
      </c>
      <c r="K7149" s="15"/>
      <c r="L7149" s="17">
        <v>5</v>
      </c>
      <c r="M7149" s="17">
        <v>100</v>
      </c>
      <c r="N7149" s="17">
        <v>5</v>
      </c>
      <c r="O7149" s="18">
        <v>432</v>
      </c>
      <c r="P7149" s="18">
        <v>354.1</v>
      </c>
      <c r="Q7149" s="18">
        <v>367.2</v>
      </c>
      <c r="R7149" s="18">
        <v>300.98</v>
      </c>
      <c r="S7149" s="18">
        <v>259.2</v>
      </c>
      <c r="T7149" s="18">
        <v>212.46</v>
      </c>
      <c r="U7149" s="16"/>
      <c r="V7149" s="16"/>
      <c r="W7149" s="16" t="s">
        <v>40</v>
      </c>
      <c r="X7149" s="19">
        <v>0.19</v>
      </c>
      <c r="Y7149" s="20">
        <v>4.4900000000000002E-4</v>
      </c>
      <c r="Z7149" s="21">
        <v>4601004304802</v>
      </c>
    </row>
    <row r="7150" spans="1:26" ht="12" customHeight="1" outlineLevel="3" x14ac:dyDescent="0.2">
      <c r="A7150" s="14" t="s">
        <v>13714</v>
      </c>
      <c r="B7150" s="26" t="s">
        <v>13715</v>
      </c>
      <c r="C7150" s="52"/>
      <c r="D7150" s="55">
        <f t="shared" si="111"/>
        <v>0</v>
      </c>
      <c r="E7150" s="63" t="str">
        <f>HYPERLINK("https://www.sds-group.ru/product/shnur-setevoy-see-7-7-schuko-iec-320-c13-3x1-0mm-10a-dlina-1-8m-rexant-04-2738/", "Инфо")</f>
        <v>Инфо</v>
      </c>
      <c r="F7150" s="16" t="s">
        <v>39</v>
      </c>
      <c r="G7150" s="15"/>
      <c r="H7150" s="15"/>
      <c r="I7150" s="15"/>
      <c r="J7150" s="17">
        <v>7</v>
      </c>
      <c r="K7150" s="15" t="s">
        <v>979</v>
      </c>
      <c r="L7150" s="17">
        <v>5</v>
      </c>
      <c r="M7150" s="17">
        <v>60</v>
      </c>
      <c r="N7150" s="17">
        <v>5</v>
      </c>
      <c r="O7150" s="18">
        <v>533.54</v>
      </c>
      <c r="P7150" s="18">
        <v>437.33</v>
      </c>
      <c r="Q7150" s="18">
        <v>453.51</v>
      </c>
      <c r="R7150" s="18">
        <v>371.73</v>
      </c>
      <c r="S7150" s="18">
        <v>320.12</v>
      </c>
      <c r="T7150" s="18">
        <v>262.39</v>
      </c>
      <c r="U7150" s="16"/>
      <c r="V7150" s="16"/>
      <c r="W7150" s="16" t="s">
        <v>40</v>
      </c>
      <c r="X7150" s="19">
        <v>0.25600000000000001</v>
      </c>
      <c r="Y7150" s="20">
        <v>6.1700000000000004E-4</v>
      </c>
      <c r="Z7150" s="21">
        <v>4601004304826</v>
      </c>
    </row>
    <row r="7151" spans="1:26" ht="12" customHeight="1" outlineLevel="3" x14ac:dyDescent="0.2">
      <c r="A7151" s="14" t="s">
        <v>13716</v>
      </c>
      <c r="B7151" s="26" t="s">
        <v>13717</v>
      </c>
      <c r="C7151" s="52"/>
      <c r="D7151" s="55">
        <f t="shared" si="111"/>
        <v>0</v>
      </c>
      <c r="E7151" s="63" t="str">
        <f>HYPERLINK("https://www.sds-group.ru/product/shnur-setevoy-see-7-7-schuko-iec-320-c13-3x1-0mm-10a-dlina-3m-rexant-04-2739/", "Инфо")</f>
        <v>Инфо</v>
      </c>
      <c r="F7151" s="16" t="s">
        <v>39</v>
      </c>
      <c r="G7151" s="15"/>
      <c r="H7151" s="15"/>
      <c r="I7151" s="15"/>
      <c r="J7151" s="17">
        <v>215</v>
      </c>
      <c r="K7151" s="15"/>
      <c r="L7151" s="17">
        <v>1</v>
      </c>
      <c r="M7151" s="17">
        <v>50</v>
      </c>
      <c r="N7151" s="17">
        <v>1</v>
      </c>
      <c r="O7151" s="18">
        <v>736.63</v>
      </c>
      <c r="P7151" s="18">
        <v>603.79999999999995</v>
      </c>
      <c r="Q7151" s="18">
        <v>626.14</v>
      </c>
      <c r="R7151" s="18">
        <v>513.23</v>
      </c>
      <c r="S7151" s="18">
        <v>441.98</v>
      </c>
      <c r="T7151" s="18">
        <v>362.28</v>
      </c>
      <c r="U7151" s="16"/>
      <c r="V7151" s="16"/>
      <c r="W7151" s="16" t="s">
        <v>40</v>
      </c>
      <c r="X7151" s="19">
        <v>0.38600000000000001</v>
      </c>
      <c r="Y7151" s="20">
        <v>8.0400000000000003E-4</v>
      </c>
      <c r="Z7151" s="21">
        <v>4601004304833</v>
      </c>
    </row>
    <row r="7152" spans="1:26" ht="12" customHeight="1" outlineLevel="3" x14ac:dyDescent="0.2">
      <c r="A7152" s="14" t="s">
        <v>13718</v>
      </c>
      <c r="B7152" s="26" t="s">
        <v>13719</v>
      </c>
      <c r="C7152" s="52"/>
      <c r="D7152" s="55">
        <f t="shared" si="111"/>
        <v>0</v>
      </c>
      <c r="E7152" s="63" t="str">
        <f>HYPERLINK("https://www.sds-group.ru/product/shnur-setevoy-see-7-7-schuko-iec-320-c13-3x1-0mm-sup2-dlina-5m-rexant-31890/", "Инфо")</f>
        <v>Инфо</v>
      </c>
      <c r="F7152" s="16" t="s">
        <v>39</v>
      </c>
      <c r="G7152" s="15"/>
      <c r="H7152" s="15"/>
      <c r="I7152" s="15"/>
      <c r="J7152" s="16" t="s">
        <v>100</v>
      </c>
      <c r="K7152" s="15" t="s">
        <v>3762</v>
      </c>
      <c r="L7152" s="17">
        <v>1</v>
      </c>
      <c r="M7152" s="17">
        <v>40</v>
      </c>
      <c r="N7152" s="17">
        <v>1</v>
      </c>
      <c r="O7152" s="18">
        <v>917.55</v>
      </c>
      <c r="P7152" s="18">
        <v>752.09</v>
      </c>
      <c r="Q7152" s="18">
        <v>779.92</v>
      </c>
      <c r="R7152" s="18">
        <v>639.28</v>
      </c>
      <c r="S7152" s="18">
        <v>550.53</v>
      </c>
      <c r="T7152" s="18">
        <v>451.25</v>
      </c>
      <c r="U7152" s="16"/>
      <c r="V7152" s="16"/>
      <c r="W7152" s="16" t="s">
        <v>40</v>
      </c>
      <c r="X7152" s="19">
        <v>0.58299999999999996</v>
      </c>
      <c r="Y7152" s="20">
        <v>1.103E-3</v>
      </c>
      <c r="Z7152" s="21">
        <v>4601004304819</v>
      </c>
    </row>
    <row r="7153" spans="1:26" ht="12.95" customHeight="1" outlineLevel="2" x14ac:dyDescent="0.2">
      <c r="A7153" s="76" t="s">
        <v>13720</v>
      </c>
      <c r="B7153" s="76"/>
      <c r="C7153" s="77"/>
      <c r="D7153" s="58"/>
      <c r="E7153" s="68"/>
      <c r="F7153" s="13"/>
      <c r="G7153" s="13"/>
      <c r="H7153" s="13"/>
      <c r="I7153" s="13"/>
      <c r="J7153" s="13"/>
      <c r="K7153" s="13"/>
      <c r="L7153" s="13"/>
      <c r="M7153" s="13"/>
      <c r="N7153" s="13"/>
      <c r="O7153" s="13"/>
      <c r="P7153" s="13"/>
      <c r="Q7153" s="13"/>
      <c r="R7153" s="13"/>
      <c r="S7153" s="13"/>
      <c r="T7153" s="13"/>
      <c r="U7153" s="13"/>
      <c r="V7153" s="13"/>
      <c r="W7153" s="13"/>
      <c r="X7153" s="13"/>
      <c r="Y7153" s="13"/>
      <c r="Z7153" s="13"/>
    </row>
    <row r="7154" spans="1:26" ht="12" customHeight="1" outlineLevel="3" x14ac:dyDescent="0.2">
      <c r="A7154" s="14" t="s">
        <v>13721</v>
      </c>
      <c r="B7154" s="26" t="s">
        <v>13722</v>
      </c>
      <c r="C7154" s="52"/>
      <c r="D7154" s="55">
        <f t="shared" si="111"/>
        <v>0</v>
      </c>
      <c r="E7154" s="63" t="str">
        <f>HYPERLINK("https://www.sds-group.ru/product/modul-ventilyatornyy-potolochnyy-s-4-ventilyatorami-bez-termostata-dlya-shkafov-s-glubinoy-1-04-2602/", "Инфо")</f>
        <v>Инфо</v>
      </c>
      <c r="F7154" s="16" t="s">
        <v>39</v>
      </c>
      <c r="G7154" s="15"/>
      <c r="H7154" s="15"/>
      <c r="I7154" s="15" t="s">
        <v>13441</v>
      </c>
      <c r="J7154" s="16" t="s">
        <v>100</v>
      </c>
      <c r="K7154" s="15"/>
      <c r="L7154" s="17">
        <v>1</v>
      </c>
      <c r="M7154" s="17">
        <v>1</v>
      </c>
      <c r="N7154" s="17">
        <v>1</v>
      </c>
      <c r="O7154" s="18">
        <v>9419.7000000000007</v>
      </c>
      <c r="P7154" s="18">
        <v>7721.07</v>
      </c>
      <c r="Q7154" s="18">
        <v>9419.7000000000007</v>
      </c>
      <c r="R7154" s="18">
        <v>7721.07</v>
      </c>
      <c r="S7154" s="18">
        <v>5651.82</v>
      </c>
      <c r="T7154" s="18">
        <v>4632.6400000000003</v>
      </c>
      <c r="U7154" s="16"/>
      <c r="V7154" s="16"/>
      <c r="W7154" s="16" t="s">
        <v>40</v>
      </c>
      <c r="X7154" s="19">
        <v>5</v>
      </c>
      <c r="Y7154" s="20">
        <v>1.7000000000000001E-2</v>
      </c>
      <c r="Z7154" s="21">
        <v>4601004103108</v>
      </c>
    </row>
    <row r="7155" spans="1:26" ht="12" customHeight="1" outlineLevel="3" x14ac:dyDescent="0.2">
      <c r="A7155" s="32" t="s">
        <v>13723</v>
      </c>
      <c r="B7155" s="74" t="s">
        <v>13724</v>
      </c>
      <c r="C7155" s="50"/>
      <c r="D7155" s="53">
        <f t="shared" si="111"/>
        <v>0</v>
      </c>
      <c r="E7155" s="60" t="str">
        <f>HYPERLINK("https://www.sds-group.ru/product/modul-ventilyatornyy-potolochnyy-s-4-ventilyatorami-bez-termostata-dlya-shkafov-s-glubinoy-8-04-2601/", "Инфо")</f>
        <v>Инфо</v>
      </c>
      <c r="F7155" s="34" t="s">
        <v>39</v>
      </c>
      <c r="G7155" s="33"/>
      <c r="H7155" s="33" t="s">
        <v>40</v>
      </c>
      <c r="I7155" s="33" t="s">
        <v>13441</v>
      </c>
      <c r="J7155" s="35">
        <v>4</v>
      </c>
      <c r="K7155" s="33"/>
      <c r="L7155" s="35">
        <v>1</v>
      </c>
      <c r="M7155" s="35">
        <v>1</v>
      </c>
      <c r="N7155" s="35">
        <v>1</v>
      </c>
      <c r="O7155" s="36">
        <v>11618.03</v>
      </c>
      <c r="P7155" s="36">
        <v>9522.98</v>
      </c>
      <c r="Q7155" s="36">
        <v>11618.03</v>
      </c>
      <c r="R7155" s="36">
        <v>9522.98</v>
      </c>
      <c r="S7155" s="36">
        <v>6970.82</v>
      </c>
      <c r="T7155" s="36">
        <v>5713.79</v>
      </c>
      <c r="U7155" s="34"/>
      <c r="V7155" s="34"/>
      <c r="W7155" s="34" t="s">
        <v>40</v>
      </c>
      <c r="X7155" s="37">
        <v>4.4000000000000004</v>
      </c>
      <c r="Y7155" s="38">
        <v>1.6E-2</v>
      </c>
      <c r="Z7155" s="21">
        <v>4601004103092</v>
      </c>
    </row>
    <row r="7156" spans="1:26" ht="12" customHeight="1" outlineLevel="3" x14ac:dyDescent="0.2">
      <c r="A7156" s="32" t="s">
        <v>13725</v>
      </c>
      <c r="B7156" s="74" t="s">
        <v>13726</v>
      </c>
      <c r="C7156" s="50"/>
      <c r="D7156" s="53">
        <f t="shared" si="111"/>
        <v>0</v>
      </c>
      <c r="E7156" s="60" t="str">
        <f>HYPERLINK("https://www.sds-group.ru/product/modul-ventilyatornyy-potolochnyy-s-6-ventilyatorami-bez-termostata-dlya-shkafov-s-glubinoy-1-04-2603/", "Инфо")</f>
        <v>Инфо</v>
      </c>
      <c r="F7156" s="34" t="s">
        <v>39</v>
      </c>
      <c r="G7156" s="33"/>
      <c r="H7156" s="33" t="s">
        <v>40</v>
      </c>
      <c r="I7156" s="33" t="s">
        <v>13441</v>
      </c>
      <c r="J7156" s="34" t="s">
        <v>100</v>
      </c>
      <c r="K7156" s="33"/>
      <c r="L7156" s="35">
        <v>1</v>
      </c>
      <c r="M7156" s="35">
        <v>1</v>
      </c>
      <c r="N7156" s="35">
        <v>1</v>
      </c>
      <c r="O7156" s="36">
        <v>16227.22</v>
      </c>
      <c r="P7156" s="36">
        <v>13301</v>
      </c>
      <c r="Q7156" s="36">
        <v>16227.22</v>
      </c>
      <c r="R7156" s="36">
        <v>13301</v>
      </c>
      <c r="S7156" s="36">
        <v>9736.33</v>
      </c>
      <c r="T7156" s="36">
        <v>7980.6</v>
      </c>
      <c r="U7156" s="34"/>
      <c r="V7156" s="34"/>
      <c r="W7156" s="34" t="s">
        <v>40</v>
      </c>
      <c r="X7156" s="37">
        <v>5.5</v>
      </c>
      <c r="Y7156" s="38">
        <v>1.7000000000000001E-2</v>
      </c>
      <c r="Z7156" s="21">
        <v>4601004103115</v>
      </c>
    </row>
    <row r="7157" spans="1:26" ht="12.95" customHeight="1" outlineLevel="2" x14ac:dyDescent="0.2">
      <c r="A7157" s="76" t="s">
        <v>13727</v>
      </c>
      <c r="B7157" s="76"/>
      <c r="C7157" s="77"/>
      <c r="D7157" s="58"/>
      <c r="E7157" s="68"/>
      <c r="F7157" s="13"/>
      <c r="G7157" s="13"/>
      <c r="H7157" s="13"/>
      <c r="I7157" s="13"/>
      <c r="J7157" s="13"/>
      <c r="K7157" s="13"/>
      <c r="L7157" s="13"/>
      <c r="M7157" s="13"/>
      <c r="N7157" s="13"/>
      <c r="O7157" s="13"/>
      <c r="P7157" s="13"/>
      <c r="Q7157" s="13"/>
      <c r="R7157" s="13"/>
      <c r="S7157" s="13"/>
      <c r="T7157" s="13"/>
      <c r="U7157" s="13"/>
      <c r="V7157" s="13"/>
      <c r="W7157" s="13"/>
      <c r="X7157" s="13"/>
      <c r="Y7157" s="13"/>
      <c r="Z7157" s="13"/>
    </row>
    <row r="7158" spans="1:26" ht="12" customHeight="1" outlineLevel="3" x14ac:dyDescent="0.2">
      <c r="A7158" s="32" t="s">
        <v>13728</v>
      </c>
      <c r="B7158" s="74" t="s">
        <v>13729</v>
      </c>
      <c r="C7158" s="50"/>
      <c r="D7158" s="53">
        <f t="shared" si="111"/>
        <v>0</v>
      </c>
      <c r="E7158" s="60" t="str">
        <f>HYPERLINK("https://www.sds-group.ru/product/zamok-dlya-bokovyh-dverey-napolnyy-nastennyy-rexant-04-2688/", "Инфо")</f>
        <v>Инфо</v>
      </c>
      <c r="F7158" s="34" t="s">
        <v>39</v>
      </c>
      <c r="G7158" s="33"/>
      <c r="H7158" s="33" t="s">
        <v>40</v>
      </c>
      <c r="I7158" s="33" t="s">
        <v>13441</v>
      </c>
      <c r="J7158" s="35">
        <v>3</v>
      </c>
      <c r="K7158" s="33"/>
      <c r="L7158" s="35">
        <v>1</v>
      </c>
      <c r="M7158" s="35">
        <v>1</v>
      </c>
      <c r="N7158" s="35">
        <v>1</v>
      </c>
      <c r="O7158" s="36">
        <v>417.94</v>
      </c>
      <c r="P7158" s="36">
        <v>342.57</v>
      </c>
      <c r="Q7158" s="36">
        <v>417.94</v>
      </c>
      <c r="R7158" s="36">
        <v>342.57</v>
      </c>
      <c r="S7158" s="36">
        <v>250.76</v>
      </c>
      <c r="T7158" s="36">
        <v>205.54</v>
      </c>
      <c r="U7158" s="34"/>
      <c r="V7158" s="34"/>
      <c r="W7158" s="34" t="s">
        <v>40</v>
      </c>
      <c r="X7158" s="37">
        <v>0.04</v>
      </c>
      <c r="Y7158" s="38">
        <v>8.0000000000000007E-5</v>
      </c>
      <c r="Z7158" s="21">
        <v>4601004102804</v>
      </c>
    </row>
    <row r="7159" spans="1:26" ht="12" customHeight="1" outlineLevel="3" x14ac:dyDescent="0.2">
      <c r="A7159" s="14" t="s">
        <v>13730</v>
      </c>
      <c r="B7159" s="26" t="s">
        <v>13731</v>
      </c>
      <c r="C7159" s="52"/>
      <c r="D7159" s="55">
        <f t="shared" si="111"/>
        <v>0</v>
      </c>
      <c r="E7159" s="63" t="str">
        <f>HYPERLINK("https://www.sds-group.ru/product/komplekt-krepezha-vint-shayba-gayka-m6x16-rexant-04-2686/", "Инфо")</f>
        <v>Инфо</v>
      </c>
      <c r="F7159" s="16" t="s">
        <v>39</v>
      </c>
      <c r="G7159" s="15"/>
      <c r="H7159" s="15"/>
      <c r="I7159" s="15" t="s">
        <v>13441</v>
      </c>
      <c r="J7159" s="22">
        <v>15600</v>
      </c>
      <c r="K7159" s="15"/>
      <c r="L7159" s="17">
        <v>100</v>
      </c>
      <c r="M7159" s="22">
        <v>1000</v>
      </c>
      <c r="N7159" s="17">
        <v>100</v>
      </c>
      <c r="O7159" s="18">
        <v>31.33</v>
      </c>
      <c r="P7159" s="18">
        <v>25.68</v>
      </c>
      <c r="Q7159" s="18">
        <v>31.33</v>
      </c>
      <c r="R7159" s="18">
        <v>25.68</v>
      </c>
      <c r="S7159" s="18">
        <v>18.8</v>
      </c>
      <c r="T7159" s="18">
        <v>15.41</v>
      </c>
      <c r="U7159" s="16"/>
      <c r="V7159" s="16"/>
      <c r="W7159" s="16" t="s">
        <v>40</v>
      </c>
      <c r="X7159" s="19">
        <v>8.9999999999999993E-3</v>
      </c>
      <c r="Y7159" s="20">
        <v>6.0000000000000002E-6</v>
      </c>
      <c r="Z7159" s="21">
        <v>4601004102828</v>
      </c>
    </row>
    <row r="7160" spans="1:26" ht="12" customHeight="1" outlineLevel="3" x14ac:dyDescent="0.2">
      <c r="A7160" s="14" t="s">
        <v>13732</v>
      </c>
      <c r="B7160" s="26" t="s">
        <v>13733</v>
      </c>
      <c r="C7160" s="52"/>
      <c r="D7160" s="55">
        <f t="shared" si="111"/>
        <v>0</v>
      </c>
      <c r="E7160" s="63" t="str">
        <f>HYPERLINK("https://www.sds-group.ru/product/nabor-kabeley-zazemleniya-rexant-04-2687/", "Инфо")</f>
        <v>Инфо</v>
      </c>
      <c r="F7160" s="16" t="s">
        <v>39</v>
      </c>
      <c r="G7160" s="15"/>
      <c r="H7160" s="15"/>
      <c r="I7160" s="15" t="s">
        <v>13441</v>
      </c>
      <c r="J7160" s="16" t="s">
        <v>100</v>
      </c>
      <c r="K7160" s="15"/>
      <c r="L7160" s="17">
        <v>1</v>
      </c>
      <c r="M7160" s="17">
        <v>1</v>
      </c>
      <c r="N7160" s="17">
        <v>1</v>
      </c>
      <c r="O7160" s="18">
        <v>1388.53</v>
      </c>
      <c r="P7160" s="18">
        <v>1138.1400000000001</v>
      </c>
      <c r="Q7160" s="18">
        <v>1388.53</v>
      </c>
      <c r="R7160" s="18">
        <v>1138.1400000000001</v>
      </c>
      <c r="S7160" s="18">
        <v>833.12</v>
      </c>
      <c r="T7160" s="18">
        <v>682.89</v>
      </c>
      <c r="U7160" s="16"/>
      <c r="V7160" s="16"/>
      <c r="W7160" s="16" t="s">
        <v>40</v>
      </c>
      <c r="X7160" s="19">
        <v>0.11700000000000001</v>
      </c>
      <c r="Y7160" s="20">
        <v>2.8800000000000001E-4</v>
      </c>
      <c r="Z7160" s="21">
        <v>4601004102835</v>
      </c>
    </row>
    <row r="7161" spans="1:26" ht="12" customHeight="1" outlineLevel="3" x14ac:dyDescent="0.2">
      <c r="A7161" s="14" t="s">
        <v>13734</v>
      </c>
      <c r="B7161" s="26" t="s">
        <v>13735</v>
      </c>
      <c r="C7161" s="52"/>
      <c r="D7161" s="55">
        <f t="shared" si="111"/>
        <v>0</v>
      </c>
      <c r="E7161" s="63" t="str">
        <f>HYPERLINK("https://www.sds-group.ru/product/shina-dlya-zazemleniya-19-rexant-04-2690/", "Инфо")</f>
        <v>Инфо</v>
      </c>
      <c r="F7161" s="16" t="s">
        <v>39</v>
      </c>
      <c r="G7161" s="15"/>
      <c r="H7161" s="15"/>
      <c r="I7161" s="15" t="s">
        <v>13441</v>
      </c>
      <c r="J7161" s="17">
        <v>3</v>
      </c>
      <c r="K7161" s="15"/>
      <c r="L7161" s="17">
        <v>1</v>
      </c>
      <c r="M7161" s="17">
        <v>1</v>
      </c>
      <c r="N7161" s="17">
        <v>1</v>
      </c>
      <c r="O7161" s="18">
        <v>3622.15</v>
      </c>
      <c r="P7161" s="18">
        <v>2968.98</v>
      </c>
      <c r="Q7161" s="18">
        <v>3622.15</v>
      </c>
      <c r="R7161" s="18">
        <v>2968.98</v>
      </c>
      <c r="S7161" s="18">
        <v>2173.29</v>
      </c>
      <c r="T7161" s="18">
        <v>1781.39</v>
      </c>
      <c r="U7161" s="16"/>
      <c r="V7161" s="16"/>
      <c r="W7161" s="16" t="s">
        <v>40</v>
      </c>
      <c r="X7161" s="19">
        <v>0.46</v>
      </c>
      <c r="Y7161" s="20">
        <v>1.6000000000000001E-4</v>
      </c>
      <c r="Z7161" s="21">
        <v>4601004102811</v>
      </c>
    </row>
    <row r="7162" spans="1:26" ht="12.95" customHeight="1" outlineLevel="1" x14ac:dyDescent="0.2">
      <c r="A7162" s="78" t="s">
        <v>13736</v>
      </c>
      <c r="B7162" s="78"/>
      <c r="C7162" s="79"/>
      <c r="D7162" s="57"/>
      <c r="E7162" s="67"/>
      <c r="F7162" s="12"/>
      <c r="G7162" s="12"/>
      <c r="H7162" s="12"/>
      <c r="I7162" s="12"/>
      <c r="J7162" s="12"/>
      <c r="K7162" s="12"/>
      <c r="L7162" s="12"/>
      <c r="M7162" s="12"/>
      <c r="N7162" s="12"/>
      <c r="O7162" s="12"/>
      <c r="P7162" s="12"/>
      <c r="Q7162" s="12"/>
      <c r="R7162" s="12"/>
      <c r="S7162" s="12"/>
      <c r="T7162" s="12"/>
      <c r="U7162" s="12"/>
      <c r="V7162" s="12"/>
      <c r="W7162" s="12"/>
      <c r="X7162" s="12"/>
      <c r="Y7162" s="12"/>
      <c r="Z7162" s="12"/>
    </row>
    <row r="7163" spans="1:26" ht="12.95" customHeight="1" outlineLevel="2" x14ac:dyDescent="0.2">
      <c r="A7163" s="76" t="s">
        <v>13737</v>
      </c>
      <c r="B7163" s="76"/>
      <c r="C7163" s="77"/>
      <c r="D7163" s="58"/>
      <c r="E7163" s="68"/>
      <c r="F7163" s="13"/>
      <c r="G7163" s="13"/>
      <c r="H7163" s="13"/>
      <c r="I7163" s="13"/>
      <c r="J7163" s="13"/>
      <c r="K7163" s="13"/>
      <c r="L7163" s="13"/>
      <c r="M7163" s="13"/>
      <c r="N7163" s="13"/>
      <c r="O7163" s="13"/>
      <c r="P7163" s="13"/>
      <c r="Q7163" s="13"/>
      <c r="R7163" s="13"/>
      <c r="S7163" s="13"/>
      <c r="T7163" s="13"/>
      <c r="U7163" s="13"/>
      <c r="V7163" s="13"/>
      <c r="W7163" s="13"/>
      <c r="X7163" s="13"/>
      <c r="Y7163" s="13"/>
      <c r="Z7163" s="13"/>
    </row>
    <row r="7164" spans="1:26" ht="12.95" customHeight="1" outlineLevel="3" x14ac:dyDescent="0.2">
      <c r="A7164" s="76" t="s">
        <v>13738</v>
      </c>
      <c r="B7164" s="76"/>
      <c r="C7164" s="77"/>
      <c r="D7164" s="58"/>
      <c r="E7164" s="68"/>
      <c r="F7164" s="13"/>
      <c r="G7164" s="13"/>
      <c r="H7164" s="13"/>
      <c r="I7164" s="13"/>
      <c r="J7164" s="13"/>
      <c r="K7164" s="13"/>
      <c r="L7164" s="13"/>
      <c r="M7164" s="13"/>
      <c r="N7164" s="13"/>
      <c r="O7164" s="13"/>
      <c r="P7164" s="13"/>
      <c r="Q7164" s="13"/>
      <c r="R7164" s="13"/>
      <c r="S7164" s="13"/>
      <c r="T7164" s="13"/>
      <c r="U7164" s="13"/>
      <c r="V7164" s="13"/>
      <c r="W7164" s="13"/>
      <c r="X7164" s="13"/>
      <c r="Y7164" s="13"/>
      <c r="Z7164" s="13"/>
    </row>
    <row r="7165" spans="1:26" ht="12" customHeight="1" outlineLevel="4" x14ac:dyDescent="0.2">
      <c r="A7165" s="14" t="s">
        <v>13739</v>
      </c>
      <c r="B7165" s="26" t="s">
        <v>13740</v>
      </c>
      <c r="C7165" s="52"/>
      <c r="D7165" s="55">
        <f t="shared" si="111"/>
        <v>0</v>
      </c>
      <c r="E7165" s="64"/>
      <c r="F7165" s="16" t="s">
        <v>39</v>
      </c>
      <c r="G7165" s="15"/>
      <c r="H7165" s="15"/>
      <c r="I7165" s="15"/>
      <c r="J7165" s="16" t="s">
        <v>100</v>
      </c>
      <c r="K7165" s="15" t="s">
        <v>1094</v>
      </c>
      <c r="L7165" s="17">
        <v>1</v>
      </c>
      <c r="M7165" s="16"/>
      <c r="N7165" s="17">
        <v>1</v>
      </c>
      <c r="O7165" s="18">
        <v>466.09</v>
      </c>
      <c r="P7165" s="18">
        <v>382.04</v>
      </c>
      <c r="Q7165" s="18">
        <v>414.82</v>
      </c>
      <c r="R7165" s="18">
        <v>340.02</v>
      </c>
      <c r="S7165" s="18">
        <v>316.94</v>
      </c>
      <c r="T7165" s="18">
        <v>259.79000000000002</v>
      </c>
      <c r="U7165" s="16"/>
      <c r="V7165" s="16"/>
      <c r="W7165" s="16" t="s">
        <v>40</v>
      </c>
      <c r="X7165" s="25"/>
      <c r="Y7165" s="25"/>
      <c r="Z7165" s="21">
        <v>4601004317321</v>
      </c>
    </row>
    <row r="7166" spans="1:26" ht="12" customHeight="1" outlineLevel="4" x14ac:dyDescent="0.2">
      <c r="A7166" s="14" t="s">
        <v>13741</v>
      </c>
      <c r="B7166" s="26" t="s">
        <v>13742</v>
      </c>
      <c r="C7166" s="52"/>
      <c r="D7166" s="55">
        <f t="shared" si="111"/>
        <v>0</v>
      </c>
      <c r="E7166" s="64"/>
      <c r="F7166" s="16" t="s">
        <v>39</v>
      </c>
      <c r="G7166" s="15"/>
      <c r="H7166" s="15"/>
      <c r="I7166" s="15"/>
      <c r="J7166" s="16" t="s">
        <v>100</v>
      </c>
      <c r="K7166" s="15" t="s">
        <v>1094</v>
      </c>
      <c r="L7166" s="17">
        <v>1</v>
      </c>
      <c r="M7166" s="16"/>
      <c r="N7166" s="17">
        <v>1</v>
      </c>
      <c r="O7166" s="18">
        <v>541.6</v>
      </c>
      <c r="P7166" s="18">
        <v>443.93</v>
      </c>
      <c r="Q7166" s="18">
        <v>482.02</v>
      </c>
      <c r="R7166" s="18">
        <v>395.1</v>
      </c>
      <c r="S7166" s="18">
        <v>368.29</v>
      </c>
      <c r="T7166" s="18">
        <v>301.88</v>
      </c>
      <c r="U7166" s="16"/>
      <c r="V7166" s="16"/>
      <c r="W7166" s="16" t="s">
        <v>40</v>
      </c>
      <c r="X7166" s="25"/>
      <c r="Y7166" s="25"/>
      <c r="Z7166" s="21">
        <v>4601004317338</v>
      </c>
    </row>
    <row r="7167" spans="1:26" ht="12" customHeight="1" outlineLevel="4" x14ac:dyDescent="0.2">
      <c r="A7167" s="40" t="s">
        <v>13743</v>
      </c>
      <c r="B7167" s="75" t="s">
        <v>13744</v>
      </c>
      <c r="C7167" s="51"/>
      <c r="D7167" s="54">
        <f t="shared" si="111"/>
        <v>0</v>
      </c>
      <c r="E7167" s="62"/>
      <c r="F7167" s="42" t="s">
        <v>39</v>
      </c>
      <c r="G7167" s="41" t="s">
        <v>40</v>
      </c>
      <c r="H7167" s="41"/>
      <c r="I7167" s="41"/>
      <c r="J7167" s="43">
        <v>258</v>
      </c>
      <c r="K7167" s="41" t="s">
        <v>1094</v>
      </c>
      <c r="L7167" s="43">
        <v>1</v>
      </c>
      <c r="M7167" s="43">
        <v>1</v>
      </c>
      <c r="N7167" s="43">
        <v>1</v>
      </c>
      <c r="O7167" s="44">
        <v>350.92</v>
      </c>
      <c r="P7167" s="44">
        <v>287.64</v>
      </c>
      <c r="Q7167" s="44">
        <v>312.32</v>
      </c>
      <c r="R7167" s="44">
        <v>256</v>
      </c>
      <c r="S7167" s="44">
        <v>238.63</v>
      </c>
      <c r="T7167" s="44">
        <v>195.6</v>
      </c>
      <c r="U7167" s="42"/>
      <c r="V7167" s="42"/>
      <c r="W7167" s="42" t="s">
        <v>40</v>
      </c>
      <c r="X7167" s="45">
        <v>1.0999999999999999E-2</v>
      </c>
      <c r="Y7167" s="46">
        <v>9.3999999999999994E-5</v>
      </c>
      <c r="Z7167" s="21">
        <v>4601004317932</v>
      </c>
    </row>
    <row r="7168" spans="1:26" ht="12" customHeight="1" outlineLevel="4" x14ac:dyDescent="0.2">
      <c r="A7168" s="40" t="s">
        <v>13745</v>
      </c>
      <c r="B7168" s="75" t="s">
        <v>13746</v>
      </c>
      <c r="C7168" s="51"/>
      <c r="D7168" s="54">
        <f t="shared" si="111"/>
        <v>0</v>
      </c>
      <c r="E7168" s="62"/>
      <c r="F7168" s="42" t="s">
        <v>39</v>
      </c>
      <c r="G7168" s="41" t="s">
        <v>40</v>
      </c>
      <c r="H7168" s="41"/>
      <c r="I7168" s="41"/>
      <c r="J7168" s="43">
        <v>184</v>
      </c>
      <c r="K7168" s="41"/>
      <c r="L7168" s="43">
        <v>1</v>
      </c>
      <c r="M7168" s="43">
        <v>1</v>
      </c>
      <c r="N7168" s="43">
        <v>1</v>
      </c>
      <c r="O7168" s="44">
        <v>366.31</v>
      </c>
      <c r="P7168" s="44">
        <v>300.25</v>
      </c>
      <c r="Q7168" s="44">
        <v>326.02</v>
      </c>
      <c r="R7168" s="44">
        <v>267.23</v>
      </c>
      <c r="S7168" s="44">
        <v>249.09</v>
      </c>
      <c r="T7168" s="44">
        <v>204.17</v>
      </c>
      <c r="U7168" s="42"/>
      <c r="V7168" s="42"/>
      <c r="W7168" s="42" t="s">
        <v>40</v>
      </c>
      <c r="X7168" s="45">
        <v>1.6E-2</v>
      </c>
      <c r="Y7168" s="46">
        <v>2.1100000000000001E-4</v>
      </c>
      <c r="Z7168" s="21">
        <v>4601004317314</v>
      </c>
    </row>
    <row r="7169" spans="1:26" ht="12" customHeight="1" outlineLevel="4" x14ac:dyDescent="0.2">
      <c r="A7169" s="40" t="s">
        <v>13747</v>
      </c>
      <c r="B7169" s="75" t="s">
        <v>13748</v>
      </c>
      <c r="C7169" s="51"/>
      <c r="D7169" s="54">
        <f t="shared" si="111"/>
        <v>0</v>
      </c>
      <c r="E7169" s="62"/>
      <c r="F7169" s="42" t="s">
        <v>39</v>
      </c>
      <c r="G7169" s="41" t="s">
        <v>40</v>
      </c>
      <c r="H7169" s="41"/>
      <c r="I7169" s="41"/>
      <c r="J7169" s="43">
        <v>80</v>
      </c>
      <c r="K7169" s="41"/>
      <c r="L7169" s="43">
        <v>1</v>
      </c>
      <c r="M7169" s="43">
        <v>1</v>
      </c>
      <c r="N7169" s="43">
        <v>1</v>
      </c>
      <c r="O7169" s="44">
        <v>383.24</v>
      </c>
      <c r="P7169" s="44">
        <v>314.13</v>
      </c>
      <c r="Q7169" s="44">
        <v>341.08</v>
      </c>
      <c r="R7169" s="44">
        <v>279.57</v>
      </c>
      <c r="S7169" s="44">
        <v>260.60000000000002</v>
      </c>
      <c r="T7169" s="44">
        <v>213.61</v>
      </c>
      <c r="U7169" s="42"/>
      <c r="V7169" s="42"/>
      <c r="W7169" s="42" t="s">
        <v>40</v>
      </c>
      <c r="X7169" s="45">
        <v>2.3E-2</v>
      </c>
      <c r="Y7169" s="46">
        <v>2.8699999999999998E-4</v>
      </c>
      <c r="Z7169" s="21">
        <v>4601004317390</v>
      </c>
    </row>
    <row r="7170" spans="1:26" ht="12" customHeight="1" outlineLevel="4" x14ac:dyDescent="0.2">
      <c r="A7170" s="40" t="s">
        <v>13749</v>
      </c>
      <c r="B7170" s="75" t="s">
        <v>13750</v>
      </c>
      <c r="C7170" s="51"/>
      <c r="D7170" s="54">
        <f t="shared" si="111"/>
        <v>0</v>
      </c>
      <c r="E7170" s="62"/>
      <c r="F7170" s="42" t="s">
        <v>39</v>
      </c>
      <c r="G7170" s="41" t="s">
        <v>40</v>
      </c>
      <c r="H7170" s="41"/>
      <c r="I7170" s="41"/>
      <c r="J7170" s="43">
        <v>50</v>
      </c>
      <c r="K7170" s="41"/>
      <c r="L7170" s="43">
        <v>1</v>
      </c>
      <c r="M7170" s="43">
        <v>1</v>
      </c>
      <c r="N7170" s="43">
        <v>1</v>
      </c>
      <c r="O7170" s="44">
        <v>414.03</v>
      </c>
      <c r="P7170" s="44">
        <v>339.37</v>
      </c>
      <c r="Q7170" s="44">
        <v>368.49</v>
      </c>
      <c r="R7170" s="44">
        <v>302.04000000000002</v>
      </c>
      <c r="S7170" s="44">
        <v>281.54000000000002</v>
      </c>
      <c r="T7170" s="44">
        <v>230.77</v>
      </c>
      <c r="U7170" s="42"/>
      <c r="V7170" s="42"/>
      <c r="W7170" s="42" t="s">
        <v>40</v>
      </c>
      <c r="X7170" s="45">
        <v>3.7999999999999999E-2</v>
      </c>
      <c r="Y7170" s="46">
        <v>8.5899999999999995E-4</v>
      </c>
      <c r="Z7170" s="21">
        <v>4601004317383</v>
      </c>
    </row>
    <row r="7171" spans="1:26" ht="12" customHeight="1" outlineLevel="4" x14ac:dyDescent="0.2">
      <c r="A7171" s="14" t="s">
        <v>13751</v>
      </c>
      <c r="B7171" s="26" t="s">
        <v>13752</v>
      </c>
      <c r="C7171" s="52"/>
      <c r="D7171" s="55">
        <f t="shared" si="111"/>
        <v>0</v>
      </c>
      <c r="E7171" s="64"/>
      <c r="F7171" s="16" t="s">
        <v>39</v>
      </c>
      <c r="G7171" s="15"/>
      <c r="H7171" s="15"/>
      <c r="I7171" s="15"/>
      <c r="J7171" s="16" t="s">
        <v>100</v>
      </c>
      <c r="K7171" s="15" t="s">
        <v>1094</v>
      </c>
      <c r="L7171" s="17">
        <v>1</v>
      </c>
      <c r="M7171" s="16"/>
      <c r="N7171" s="17">
        <v>1</v>
      </c>
      <c r="O7171" s="18">
        <v>421.08</v>
      </c>
      <c r="P7171" s="18">
        <v>345.15</v>
      </c>
      <c r="Q7171" s="18">
        <v>374.76</v>
      </c>
      <c r="R7171" s="18">
        <v>307.18</v>
      </c>
      <c r="S7171" s="18">
        <v>286.33</v>
      </c>
      <c r="T7171" s="18">
        <v>234.7</v>
      </c>
      <c r="U7171" s="16"/>
      <c r="V7171" s="16"/>
      <c r="W7171" s="16" t="s">
        <v>40</v>
      </c>
      <c r="X7171" s="25"/>
      <c r="Y7171" s="25"/>
      <c r="Z7171" s="21">
        <v>4601004317406</v>
      </c>
    </row>
    <row r="7172" spans="1:26" ht="12" customHeight="1" outlineLevel="4" x14ac:dyDescent="0.2">
      <c r="A7172" s="32" t="s">
        <v>13753</v>
      </c>
      <c r="B7172" s="74" t="s">
        <v>13754</v>
      </c>
      <c r="C7172" s="50"/>
      <c r="D7172" s="53">
        <f t="shared" si="111"/>
        <v>0</v>
      </c>
      <c r="E7172" s="60" t="str">
        <f>HYPERLINK("https://www.sds-group.ru/product/patch-kord-opticheskiy-soedinitelnyy-sm-9-125-os2-lc-upc-lc-upc-simplex-lszh-1m-50-2100/", "Инфо")</f>
        <v>Инфо</v>
      </c>
      <c r="F7172" s="34" t="s">
        <v>39</v>
      </c>
      <c r="G7172" s="33"/>
      <c r="H7172" s="33" t="s">
        <v>40</v>
      </c>
      <c r="I7172" s="33" t="s">
        <v>13755</v>
      </c>
      <c r="J7172" s="34" t="s">
        <v>100</v>
      </c>
      <c r="K7172" s="33"/>
      <c r="L7172" s="35">
        <v>10</v>
      </c>
      <c r="M7172" s="35">
        <v>100</v>
      </c>
      <c r="N7172" s="35">
        <v>10</v>
      </c>
      <c r="O7172" s="36">
        <v>446.44</v>
      </c>
      <c r="P7172" s="36">
        <v>365.93</v>
      </c>
      <c r="Q7172" s="36">
        <v>446.44</v>
      </c>
      <c r="R7172" s="36">
        <v>365.93</v>
      </c>
      <c r="S7172" s="36">
        <v>267.86</v>
      </c>
      <c r="T7172" s="36">
        <v>219.56</v>
      </c>
      <c r="U7172" s="34"/>
      <c r="V7172" s="34"/>
      <c r="W7172" s="34" t="s">
        <v>40</v>
      </c>
      <c r="X7172" s="37">
        <v>1.0999999999999999E-2</v>
      </c>
      <c r="Y7172" s="38">
        <v>1.15E-4</v>
      </c>
      <c r="Z7172" s="21">
        <v>4601004107014</v>
      </c>
    </row>
    <row r="7173" spans="1:26" ht="12" customHeight="1" outlineLevel="4" x14ac:dyDescent="0.2">
      <c r="A7173" s="32" t="s">
        <v>13756</v>
      </c>
      <c r="B7173" s="74" t="s">
        <v>13757</v>
      </c>
      <c r="C7173" s="50"/>
      <c r="D7173" s="53">
        <f t="shared" si="111"/>
        <v>0</v>
      </c>
      <c r="E7173" s="60" t="str">
        <f>HYPERLINK("https://www.sds-group.ru/product/patch-kord-opticheskiy-soedinitelnyy-sm-9-125-os2-lc-upc-lc-upc-simplex-lszh-2m-50-2101/", "Инфо")</f>
        <v>Инфо</v>
      </c>
      <c r="F7173" s="34" t="s">
        <v>39</v>
      </c>
      <c r="G7173" s="33"/>
      <c r="H7173" s="33" t="s">
        <v>40</v>
      </c>
      <c r="I7173" s="33" t="s">
        <v>13755</v>
      </c>
      <c r="J7173" s="34" t="s">
        <v>100</v>
      </c>
      <c r="K7173" s="33"/>
      <c r="L7173" s="35">
        <v>10</v>
      </c>
      <c r="M7173" s="35">
        <v>100</v>
      </c>
      <c r="N7173" s="35">
        <v>10</v>
      </c>
      <c r="O7173" s="36">
        <v>469.73</v>
      </c>
      <c r="P7173" s="36">
        <v>385.02</v>
      </c>
      <c r="Q7173" s="36">
        <v>469.73</v>
      </c>
      <c r="R7173" s="36">
        <v>385.02</v>
      </c>
      <c r="S7173" s="36">
        <v>281.83999999999997</v>
      </c>
      <c r="T7173" s="36">
        <v>231.02</v>
      </c>
      <c r="U7173" s="34"/>
      <c r="V7173" s="34"/>
      <c r="W7173" s="34" t="s">
        <v>40</v>
      </c>
      <c r="X7173" s="37">
        <v>1.7000000000000001E-2</v>
      </c>
      <c r="Y7173" s="38">
        <v>1.1400000000000001E-4</v>
      </c>
      <c r="Z7173" s="21">
        <v>4601004107021</v>
      </c>
    </row>
    <row r="7174" spans="1:26" ht="12" customHeight="1" outlineLevel="4" x14ac:dyDescent="0.2">
      <c r="A7174" s="32" t="s">
        <v>13758</v>
      </c>
      <c r="B7174" s="74" t="s">
        <v>13759</v>
      </c>
      <c r="C7174" s="50"/>
      <c r="D7174" s="53">
        <f t="shared" si="111"/>
        <v>0</v>
      </c>
      <c r="E7174" s="60" t="str">
        <f>HYPERLINK("https://www.sds-group.ru/product/patch-kord-opticheskiy-soedinitelnyy-sm-9-125-os2-lc-upc-lc-upc-simplex-lszh-3m-rexant-50-2102/", "Инфо")</f>
        <v>Инфо</v>
      </c>
      <c r="F7174" s="34" t="s">
        <v>39</v>
      </c>
      <c r="G7174" s="33"/>
      <c r="H7174" s="33" t="s">
        <v>40</v>
      </c>
      <c r="I7174" s="33" t="s">
        <v>13755</v>
      </c>
      <c r="J7174" s="34" t="s">
        <v>100</v>
      </c>
      <c r="K7174" s="33"/>
      <c r="L7174" s="35">
        <v>10</v>
      </c>
      <c r="M7174" s="35">
        <v>100</v>
      </c>
      <c r="N7174" s="35">
        <v>10</v>
      </c>
      <c r="O7174" s="36">
        <v>475.35</v>
      </c>
      <c r="P7174" s="36">
        <v>389.63</v>
      </c>
      <c r="Q7174" s="36">
        <v>475.35</v>
      </c>
      <c r="R7174" s="36">
        <v>389.63</v>
      </c>
      <c r="S7174" s="36">
        <v>285.20999999999998</v>
      </c>
      <c r="T7174" s="36">
        <v>233.78</v>
      </c>
      <c r="U7174" s="34"/>
      <c r="V7174" s="34"/>
      <c r="W7174" s="34" t="s">
        <v>40</v>
      </c>
      <c r="X7174" s="37">
        <v>2.1000000000000001E-2</v>
      </c>
      <c r="Y7174" s="38">
        <v>3.1999999999999999E-5</v>
      </c>
      <c r="Z7174" s="21">
        <v>4601004107038</v>
      </c>
    </row>
    <row r="7175" spans="1:26" ht="12" customHeight="1" outlineLevel="4" x14ac:dyDescent="0.2">
      <c r="A7175" s="32" t="s">
        <v>13760</v>
      </c>
      <c r="B7175" s="74" t="s">
        <v>13761</v>
      </c>
      <c r="C7175" s="50"/>
      <c r="D7175" s="53">
        <f t="shared" si="111"/>
        <v>0</v>
      </c>
      <c r="E7175" s="60" t="str">
        <f>HYPERLINK("https://www.sds-group.ru/product/patch-kord-opticheskiy-soedinitelnyy-sm-9-125-os2-lc-upc-lc-upc-simplex-lszh-5m-50-2103/", "Инфо")</f>
        <v>Инфо</v>
      </c>
      <c r="F7175" s="34" t="s">
        <v>39</v>
      </c>
      <c r="G7175" s="33"/>
      <c r="H7175" s="33" t="s">
        <v>40</v>
      </c>
      <c r="I7175" s="33" t="s">
        <v>13755</v>
      </c>
      <c r="J7175" s="35">
        <v>10</v>
      </c>
      <c r="K7175" s="33"/>
      <c r="L7175" s="35">
        <v>10</v>
      </c>
      <c r="M7175" s="35">
        <v>100</v>
      </c>
      <c r="N7175" s="35">
        <v>10</v>
      </c>
      <c r="O7175" s="36">
        <v>524.57000000000005</v>
      </c>
      <c r="P7175" s="36">
        <v>429.98</v>
      </c>
      <c r="Q7175" s="36">
        <v>524.57000000000005</v>
      </c>
      <c r="R7175" s="36">
        <v>429.98</v>
      </c>
      <c r="S7175" s="36">
        <v>314.74</v>
      </c>
      <c r="T7175" s="36">
        <v>257.98</v>
      </c>
      <c r="U7175" s="34"/>
      <c r="V7175" s="34"/>
      <c r="W7175" s="34" t="s">
        <v>40</v>
      </c>
      <c r="X7175" s="37">
        <v>3.6999999999999998E-2</v>
      </c>
      <c r="Y7175" s="38">
        <v>7.6599999999999997E-4</v>
      </c>
      <c r="Z7175" s="21">
        <v>4601004107045</v>
      </c>
    </row>
    <row r="7176" spans="1:26" ht="12.95" customHeight="1" outlineLevel="3" x14ac:dyDescent="0.2">
      <c r="A7176" s="76" t="s">
        <v>13762</v>
      </c>
      <c r="B7176" s="76"/>
      <c r="C7176" s="77"/>
      <c r="D7176" s="58"/>
      <c r="E7176" s="68"/>
      <c r="F7176" s="13"/>
      <c r="G7176" s="13"/>
      <c r="H7176" s="13"/>
      <c r="I7176" s="13"/>
      <c r="J7176" s="13"/>
      <c r="K7176" s="13"/>
      <c r="L7176" s="13"/>
      <c r="M7176" s="13"/>
      <c r="N7176" s="13"/>
      <c r="O7176" s="13"/>
      <c r="P7176" s="13"/>
      <c r="Q7176" s="13"/>
      <c r="R7176" s="13"/>
      <c r="S7176" s="13"/>
      <c r="T7176" s="13"/>
      <c r="U7176" s="13"/>
      <c r="V7176" s="13"/>
      <c r="W7176" s="13"/>
      <c r="X7176" s="13"/>
      <c r="Y7176" s="13"/>
      <c r="Z7176" s="13"/>
    </row>
    <row r="7177" spans="1:26" ht="12" customHeight="1" outlineLevel="4" x14ac:dyDescent="0.2">
      <c r="A7177" s="14" t="s">
        <v>13763</v>
      </c>
      <c r="B7177" s="26" t="s">
        <v>13764</v>
      </c>
      <c r="C7177" s="52"/>
      <c r="D7177" s="55">
        <f t="shared" ref="D7177:D7240" si="112">C7177*(O7177-O7177*$G$3)</f>
        <v>0</v>
      </c>
      <c r="E7177" s="64"/>
      <c r="F7177" s="16" t="s">
        <v>39</v>
      </c>
      <c r="G7177" s="15"/>
      <c r="H7177" s="15"/>
      <c r="I7177" s="15"/>
      <c r="J7177" s="16" t="s">
        <v>100</v>
      </c>
      <c r="K7177" s="15" t="s">
        <v>1094</v>
      </c>
      <c r="L7177" s="17">
        <v>1</v>
      </c>
      <c r="M7177" s="16"/>
      <c r="N7177" s="17">
        <v>1</v>
      </c>
      <c r="O7177" s="18">
        <v>466.09</v>
      </c>
      <c r="P7177" s="18">
        <v>382.04</v>
      </c>
      <c r="Q7177" s="18">
        <v>414.82</v>
      </c>
      <c r="R7177" s="18">
        <v>340.02</v>
      </c>
      <c r="S7177" s="18">
        <v>316.94</v>
      </c>
      <c r="T7177" s="18">
        <v>259.79000000000002</v>
      </c>
      <c r="U7177" s="16"/>
      <c r="V7177" s="16"/>
      <c r="W7177" s="16" t="s">
        <v>40</v>
      </c>
      <c r="X7177" s="25"/>
      <c r="Y7177" s="25"/>
      <c r="Z7177" s="21">
        <v>4601004317550</v>
      </c>
    </row>
    <row r="7178" spans="1:26" ht="12" customHeight="1" outlineLevel="4" x14ac:dyDescent="0.2">
      <c r="A7178" s="14" t="s">
        <v>13765</v>
      </c>
      <c r="B7178" s="26" t="s">
        <v>13766</v>
      </c>
      <c r="C7178" s="52"/>
      <c r="D7178" s="55">
        <f t="shared" si="112"/>
        <v>0</v>
      </c>
      <c r="E7178" s="64"/>
      <c r="F7178" s="16" t="s">
        <v>39</v>
      </c>
      <c r="G7178" s="15"/>
      <c r="H7178" s="15"/>
      <c r="I7178" s="15"/>
      <c r="J7178" s="16" t="s">
        <v>100</v>
      </c>
      <c r="K7178" s="15" t="s">
        <v>1094</v>
      </c>
      <c r="L7178" s="17">
        <v>1</v>
      </c>
      <c r="M7178" s="16"/>
      <c r="N7178" s="17">
        <v>1</v>
      </c>
      <c r="O7178" s="18">
        <v>541.6</v>
      </c>
      <c r="P7178" s="18">
        <v>443.93</v>
      </c>
      <c r="Q7178" s="18">
        <v>482.02</v>
      </c>
      <c r="R7178" s="18">
        <v>395.1</v>
      </c>
      <c r="S7178" s="18">
        <v>368.29</v>
      </c>
      <c r="T7178" s="18">
        <v>301.88</v>
      </c>
      <c r="U7178" s="16"/>
      <c r="V7178" s="16"/>
      <c r="W7178" s="16" t="s">
        <v>40</v>
      </c>
      <c r="X7178" s="25"/>
      <c r="Y7178" s="25"/>
      <c r="Z7178" s="21">
        <v>4601004317581</v>
      </c>
    </row>
    <row r="7179" spans="1:26" ht="12" customHeight="1" outlineLevel="4" x14ac:dyDescent="0.2">
      <c r="A7179" s="40" t="s">
        <v>13767</v>
      </c>
      <c r="B7179" s="75" t="s">
        <v>13768</v>
      </c>
      <c r="C7179" s="51"/>
      <c r="D7179" s="54">
        <f t="shared" si="112"/>
        <v>0</v>
      </c>
      <c r="E7179" s="62"/>
      <c r="F7179" s="42" t="s">
        <v>39</v>
      </c>
      <c r="G7179" s="41" t="s">
        <v>40</v>
      </c>
      <c r="H7179" s="41"/>
      <c r="I7179" s="41"/>
      <c r="J7179" s="43">
        <v>200</v>
      </c>
      <c r="K7179" s="41" t="s">
        <v>1094</v>
      </c>
      <c r="L7179" s="43">
        <v>1</v>
      </c>
      <c r="M7179" s="43">
        <v>1</v>
      </c>
      <c r="N7179" s="43">
        <v>1</v>
      </c>
      <c r="O7179" s="44">
        <v>350.92</v>
      </c>
      <c r="P7179" s="44">
        <v>287.64</v>
      </c>
      <c r="Q7179" s="44">
        <v>312.32</v>
      </c>
      <c r="R7179" s="44">
        <v>256</v>
      </c>
      <c r="S7179" s="44">
        <v>238.63</v>
      </c>
      <c r="T7179" s="44">
        <v>195.6</v>
      </c>
      <c r="U7179" s="42"/>
      <c r="V7179" s="42"/>
      <c r="W7179" s="42" t="s">
        <v>40</v>
      </c>
      <c r="X7179" s="45">
        <v>1.2E-2</v>
      </c>
      <c r="Y7179" s="46">
        <v>1.5100000000000001E-4</v>
      </c>
      <c r="Z7179" s="21">
        <v>4601004317574</v>
      </c>
    </row>
    <row r="7180" spans="1:26" ht="12" customHeight="1" outlineLevel="4" x14ac:dyDescent="0.2">
      <c r="A7180" s="40" t="s">
        <v>13769</v>
      </c>
      <c r="B7180" s="75" t="s">
        <v>13770</v>
      </c>
      <c r="C7180" s="51"/>
      <c r="D7180" s="54">
        <f t="shared" si="112"/>
        <v>0</v>
      </c>
      <c r="E7180" s="62"/>
      <c r="F7180" s="42" t="s">
        <v>39</v>
      </c>
      <c r="G7180" s="41" t="s">
        <v>40</v>
      </c>
      <c r="H7180" s="41"/>
      <c r="I7180" s="41"/>
      <c r="J7180" s="43">
        <v>150</v>
      </c>
      <c r="K7180" s="41"/>
      <c r="L7180" s="43">
        <v>1</v>
      </c>
      <c r="M7180" s="43">
        <v>1</v>
      </c>
      <c r="N7180" s="43">
        <v>1</v>
      </c>
      <c r="O7180" s="44">
        <v>366.31</v>
      </c>
      <c r="P7180" s="44">
        <v>300.25</v>
      </c>
      <c r="Q7180" s="44">
        <v>326.02</v>
      </c>
      <c r="R7180" s="44">
        <v>267.23</v>
      </c>
      <c r="S7180" s="44">
        <v>249.09</v>
      </c>
      <c r="T7180" s="44">
        <v>204.17</v>
      </c>
      <c r="U7180" s="42"/>
      <c r="V7180" s="42"/>
      <c r="W7180" s="42" t="s">
        <v>40</v>
      </c>
      <c r="X7180" s="45">
        <v>2.1000000000000001E-2</v>
      </c>
      <c r="Y7180" s="46">
        <v>1.55E-4</v>
      </c>
      <c r="Z7180" s="21">
        <v>4601004317543</v>
      </c>
    </row>
    <row r="7181" spans="1:26" ht="12" customHeight="1" outlineLevel="4" x14ac:dyDescent="0.2">
      <c r="A7181" s="40" t="s">
        <v>13771</v>
      </c>
      <c r="B7181" s="75" t="s">
        <v>13772</v>
      </c>
      <c r="C7181" s="51"/>
      <c r="D7181" s="54">
        <f t="shared" si="112"/>
        <v>0</v>
      </c>
      <c r="E7181" s="62"/>
      <c r="F7181" s="42" t="s">
        <v>39</v>
      </c>
      <c r="G7181" s="41" t="s">
        <v>40</v>
      </c>
      <c r="H7181" s="41"/>
      <c r="I7181" s="41"/>
      <c r="J7181" s="43">
        <v>80</v>
      </c>
      <c r="K7181" s="41"/>
      <c r="L7181" s="43">
        <v>1</v>
      </c>
      <c r="M7181" s="43">
        <v>1</v>
      </c>
      <c r="N7181" s="43">
        <v>1</v>
      </c>
      <c r="O7181" s="44">
        <v>383.24</v>
      </c>
      <c r="P7181" s="44">
        <v>314.13</v>
      </c>
      <c r="Q7181" s="44">
        <v>341.08</v>
      </c>
      <c r="R7181" s="44">
        <v>279.57</v>
      </c>
      <c r="S7181" s="44">
        <v>260.60000000000002</v>
      </c>
      <c r="T7181" s="44">
        <v>213.61</v>
      </c>
      <c r="U7181" s="42"/>
      <c r="V7181" s="42"/>
      <c r="W7181" s="42" t="s">
        <v>40</v>
      </c>
      <c r="X7181" s="45">
        <v>2.3E-2</v>
      </c>
      <c r="Y7181" s="46">
        <v>3.6600000000000001E-4</v>
      </c>
      <c r="Z7181" s="21">
        <v>4601004317536</v>
      </c>
    </row>
    <row r="7182" spans="1:26" ht="12" customHeight="1" outlineLevel="4" x14ac:dyDescent="0.2">
      <c r="A7182" s="40" t="s">
        <v>13773</v>
      </c>
      <c r="B7182" s="75" t="s">
        <v>13774</v>
      </c>
      <c r="C7182" s="51"/>
      <c r="D7182" s="54">
        <f t="shared" si="112"/>
        <v>0</v>
      </c>
      <c r="E7182" s="62"/>
      <c r="F7182" s="42" t="s">
        <v>39</v>
      </c>
      <c r="G7182" s="41" t="s">
        <v>40</v>
      </c>
      <c r="H7182" s="41"/>
      <c r="I7182" s="41"/>
      <c r="J7182" s="43">
        <v>50</v>
      </c>
      <c r="K7182" s="41"/>
      <c r="L7182" s="43">
        <v>1</v>
      </c>
      <c r="M7182" s="43">
        <v>1</v>
      </c>
      <c r="N7182" s="43">
        <v>1</v>
      </c>
      <c r="O7182" s="44">
        <v>414.03</v>
      </c>
      <c r="P7182" s="44">
        <v>339.37</v>
      </c>
      <c r="Q7182" s="44">
        <v>368.49</v>
      </c>
      <c r="R7182" s="44">
        <v>302.04000000000002</v>
      </c>
      <c r="S7182" s="44">
        <v>281.54000000000002</v>
      </c>
      <c r="T7182" s="44">
        <v>230.77</v>
      </c>
      <c r="U7182" s="42"/>
      <c r="V7182" s="42"/>
      <c r="W7182" s="42" t="s">
        <v>40</v>
      </c>
      <c r="X7182" s="45">
        <v>3.9E-2</v>
      </c>
      <c r="Y7182" s="46">
        <v>7.9900000000000001E-4</v>
      </c>
      <c r="Z7182" s="21">
        <v>4601004317529</v>
      </c>
    </row>
    <row r="7183" spans="1:26" ht="12" customHeight="1" outlineLevel="4" x14ac:dyDescent="0.2">
      <c r="A7183" s="14" t="s">
        <v>13775</v>
      </c>
      <c r="B7183" s="26" t="s">
        <v>13776</v>
      </c>
      <c r="C7183" s="52"/>
      <c r="D7183" s="55">
        <f t="shared" si="112"/>
        <v>0</v>
      </c>
      <c r="E7183" s="64"/>
      <c r="F7183" s="16" t="s">
        <v>39</v>
      </c>
      <c r="G7183" s="15"/>
      <c r="H7183" s="15"/>
      <c r="I7183" s="15"/>
      <c r="J7183" s="16" t="s">
        <v>100</v>
      </c>
      <c r="K7183" s="15" t="s">
        <v>1094</v>
      </c>
      <c r="L7183" s="17">
        <v>1</v>
      </c>
      <c r="M7183" s="16"/>
      <c r="N7183" s="17">
        <v>1</v>
      </c>
      <c r="O7183" s="18">
        <v>421.08</v>
      </c>
      <c r="P7183" s="18">
        <v>345.15</v>
      </c>
      <c r="Q7183" s="18">
        <v>374.76</v>
      </c>
      <c r="R7183" s="18">
        <v>307.18</v>
      </c>
      <c r="S7183" s="18">
        <v>286.33</v>
      </c>
      <c r="T7183" s="18">
        <v>234.7</v>
      </c>
      <c r="U7183" s="16"/>
      <c r="V7183" s="16"/>
      <c r="W7183" s="16" t="s">
        <v>40</v>
      </c>
      <c r="X7183" s="25"/>
      <c r="Y7183" s="25"/>
      <c r="Z7183" s="21">
        <v>4601004317512</v>
      </c>
    </row>
    <row r="7184" spans="1:26" ht="12.95" customHeight="1" outlineLevel="3" x14ac:dyDescent="0.2">
      <c r="A7184" s="76" t="s">
        <v>13777</v>
      </c>
      <c r="B7184" s="76"/>
      <c r="C7184" s="77"/>
      <c r="D7184" s="58"/>
      <c r="E7184" s="68"/>
      <c r="F7184" s="13"/>
      <c r="G7184" s="13"/>
      <c r="H7184" s="13"/>
      <c r="I7184" s="13"/>
      <c r="J7184" s="13"/>
      <c r="K7184" s="13"/>
      <c r="L7184" s="13"/>
      <c r="M7184" s="13"/>
      <c r="N7184" s="13"/>
      <c r="O7184" s="13"/>
      <c r="P7184" s="13"/>
      <c r="Q7184" s="13"/>
      <c r="R7184" s="13"/>
      <c r="S7184" s="13"/>
      <c r="T7184" s="13"/>
      <c r="U7184" s="13"/>
      <c r="V7184" s="13"/>
      <c r="W7184" s="13"/>
      <c r="X7184" s="13"/>
      <c r="Y7184" s="13"/>
      <c r="Z7184" s="13"/>
    </row>
    <row r="7185" spans="1:26" ht="12" customHeight="1" outlineLevel="4" x14ac:dyDescent="0.2">
      <c r="A7185" s="14" t="s">
        <v>13778</v>
      </c>
      <c r="B7185" s="26" t="s">
        <v>13779</v>
      </c>
      <c r="C7185" s="52"/>
      <c r="D7185" s="55">
        <f t="shared" si="112"/>
        <v>0</v>
      </c>
      <c r="E7185" s="64"/>
      <c r="F7185" s="16" t="s">
        <v>39</v>
      </c>
      <c r="G7185" s="15"/>
      <c r="H7185" s="15"/>
      <c r="I7185" s="15"/>
      <c r="J7185" s="16" t="s">
        <v>100</v>
      </c>
      <c r="K7185" s="15" t="s">
        <v>1094</v>
      </c>
      <c r="L7185" s="17">
        <v>1</v>
      </c>
      <c r="M7185" s="16"/>
      <c r="N7185" s="17">
        <v>1</v>
      </c>
      <c r="O7185" s="18">
        <v>466.09</v>
      </c>
      <c r="P7185" s="18">
        <v>382.04</v>
      </c>
      <c r="Q7185" s="18">
        <v>414.82</v>
      </c>
      <c r="R7185" s="18">
        <v>340.02</v>
      </c>
      <c r="S7185" s="18">
        <v>316.94</v>
      </c>
      <c r="T7185" s="18">
        <v>259.79000000000002</v>
      </c>
      <c r="U7185" s="16"/>
      <c r="V7185" s="16"/>
      <c r="W7185" s="16" t="s">
        <v>40</v>
      </c>
      <c r="X7185" s="25"/>
      <c r="Y7185" s="25"/>
      <c r="Z7185" s="21">
        <v>4601004317949</v>
      </c>
    </row>
    <row r="7186" spans="1:26" ht="12" customHeight="1" outlineLevel="4" x14ac:dyDescent="0.2">
      <c r="A7186" s="14" t="s">
        <v>13780</v>
      </c>
      <c r="B7186" s="26" t="s">
        <v>13781</v>
      </c>
      <c r="C7186" s="52"/>
      <c r="D7186" s="55">
        <f t="shared" si="112"/>
        <v>0</v>
      </c>
      <c r="E7186" s="64"/>
      <c r="F7186" s="16" t="s">
        <v>39</v>
      </c>
      <c r="G7186" s="15"/>
      <c r="H7186" s="15"/>
      <c r="I7186" s="15"/>
      <c r="J7186" s="16" t="s">
        <v>100</v>
      </c>
      <c r="K7186" s="15" t="s">
        <v>1094</v>
      </c>
      <c r="L7186" s="17">
        <v>1</v>
      </c>
      <c r="M7186" s="16"/>
      <c r="N7186" s="17">
        <v>1</v>
      </c>
      <c r="O7186" s="18">
        <v>541.6</v>
      </c>
      <c r="P7186" s="18">
        <v>443.93</v>
      </c>
      <c r="Q7186" s="18">
        <v>482.02</v>
      </c>
      <c r="R7186" s="18">
        <v>395.1</v>
      </c>
      <c r="S7186" s="18">
        <v>368.29</v>
      </c>
      <c r="T7186" s="18">
        <v>301.88</v>
      </c>
      <c r="U7186" s="16"/>
      <c r="V7186" s="16"/>
      <c r="W7186" s="16" t="s">
        <v>40</v>
      </c>
      <c r="X7186" s="25"/>
      <c r="Y7186" s="25"/>
      <c r="Z7186" s="21">
        <v>4601004317956</v>
      </c>
    </row>
    <row r="7187" spans="1:26" ht="12" customHeight="1" outlineLevel="4" x14ac:dyDescent="0.2">
      <c r="A7187" s="40" t="s">
        <v>13782</v>
      </c>
      <c r="B7187" s="75" t="s">
        <v>13783</v>
      </c>
      <c r="C7187" s="51"/>
      <c r="D7187" s="54">
        <f t="shared" si="112"/>
        <v>0</v>
      </c>
      <c r="E7187" s="62"/>
      <c r="F7187" s="42" t="s">
        <v>39</v>
      </c>
      <c r="G7187" s="41" t="s">
        <v>40</v>
      </c>
      <c r="H7187" s="41"/>
      <c r="I7187" s="41"/>
      <c r="J7187" s="43">
        <v>100</v>
      </c>
      <c r="K7187" s="41" t="s">
        <v>1094</v>
      </c>
      <c r="L7187" s="43">
        <v>1</v>
      </c>
      <c r="M7187" s="43">
        <v>1</v>
      </c>
      <c r="N7187" s="43">
        <v>1</v>
      </c>
      <c r="O7187" s="44">
        <v>350.92</v>
      </c>
      <c r="P7187" s="44">
        <v>287.64</v>
      </c>
      <c r="Q7187" s="44">
        <v>312.32</v>
      </c>
      <c r="R7187" s="44">
        <v>256</v>
      </c>
      <c r="S7187" s="44">
        <v>238.63</v>
      </c>
      <c r="T7187" s="44">
        <v>195.6</v>
      </c>
      <c r="U7187" s="42"/>
      <c r="V7187" s="42"/>
      <c r="W7187" s="42" t="s">
        <v>40</v>
      </c>
      <c r="X7187" s="45">
        <v>1.4E-2</v>
      </c>
      <c r="Y7187" s="46">
        <v>3.3E-4</v>
      </c>
      <c r="Z7187" s="21">
        <v>4601004320345</v>
      </c>
    </row>
    <row r="7188" spans="1:26" ht="12" customHeight="1" outlineLevel="4" x14ac:dyDescent="0.2">
      <c r="A7188" s="40" t="s">
        <v>13784</v>
      </c>
      <c r="B7188" s="75" t="s">
        <v>13785</v>
      </c>
      <c r="C7188" s="51"/>
      <c r="D7188" s="54">
        <f t="shared" si="112"/>
        <v>0</v>
      </c>
      <c r="E7188" s="62"/>
      <c r="F7188" s="42" t="s">
        <v>39</v>
      </c>
      <c r="G7188" s="41" t="s">
        <v>40</v>
      </c>
      <c r="H7188" s="41"/>
      <c r="I7188" s="41"/>
      <c r="J7188" s="43">
        <v>306</v>
      </c>
      <c r="K7188" s="41"/>
      <c r="L7188" s="43">
        <v>1</v>
      </c>
      <c r="M7188" s="43">
        <v>1</v>
      </c>
      <c r="N7188" s="43">
        <v>1</v>
      </c>
      <c r="O7188" s="44">
        <v>366.31</v>
      </c>
      <c r="P7188" s="44">
        <v>300.25</v>
      </c>
      <c r="Q7188" s="44">
        <v>326.02</v>
      </c>
      <c r="R7188" s="44">
        <v>267.23</v>
      </c>
      <c r="S7188" s="44">
        <v>249.09</v>
      </c>
      <c r="T7188" s="44">
        <v>204.17</v>
      </c>
      <c r="U7188" s="42"/>
      <c r="V7188" s="42"/>
      <c r="W7188" s="42" t="s">
        <v>40</v>
      </c>
      <c r="X7188" s="45">
        <v>2.1000000000000001E-2</v>
      </c>
      <c r="Y7188" s="46">
        <v>2.63E-4</v>
      </c>
      <c r="Z7188" s="21">
        <v>4601004317888</v>
      </c>
    </row>
    <row r="7189" spans="1:26" ht="12" customHeight="1" outlineLevel="4" x14ac:dyDescent="0.2">
      <c r="A7189" s="40" t="s">
        <v>13786</v>
      </c>
      <c r="B7189" s="75" t="s">
        <v>13787</v>
      </c>
      <c r="C7189" s="51"/>
      <c r="D7189" s="54">
        <f t="shared" si="112"/>
        <v>0</v>
      </c>
      <c r="E7189" s="62"/>
      <c r="F7189" s="42" t="s">
        <v>39</v>
      </c>
      <c r="G7189" s="41" t="s">
        <v>40</v>
      </c>
      <c r="H7189" s="41"/>
      <c r="I7189" s="41"/>
      <c r="J7189" s="43">
        <v>120</v>
      </c>
      <c r="K7189" s="41"/>
      <c r="L7189" s="43">
        <v>1</v>
      </c>
      <c r="M7189" s="43">
        <v>1</v>
      </c>
      <c r="N7189" s="43">
        <v>1</v>
      </c>
      <c r="O7189" s="44">
        <v>383.24</v>
      </c>
      <c r="P7189" s="44">
        <v>314.13</v>
      </c>
      <c r="Q7189" s="44">
        <v>341.08</v>
      </c>
      <c r="R7189" s="44">
        <v>279.57</v>
      </c>
      <c r="S7189" s="44">
        <v>260.60000000000002</v>
      </c>
      <c r="T7189" s="44">
        <v>213.61</v>
      </c>
      <c r="U7189" s="42"/>
      <c r="V7189" s="42"/>
      <c r="W7189" s="42" t="s">
        <v>40</v>
      </c>
      <c r="X7189" s="45">
        <v>2.5000000000000001E-2</v>
      </c>
      <c r="Y7189" s="46">
        <v>3.2000000000000003E-4</v>
      </c>
      <c r="Z7189" s="21">
        <v>4601004317857</v>
      </c>
    </row>
    <row r="7190" spans="1:26" ht="12" customHeight="1" outlineLevel="4" x14ac:dyDescent="0.2">
      <c r="A7190" s="40" t="s">
        <v>13788</v>
      </c>
      <c r="B7190" s="75" t="s">
        <v>13789</v>
      </c>
      <c r="C7190" s="51"/>
      <c r="D7190" s="54">
        <f t="shared" si="112"/>
        <v>0</v>
      </c>
      <c r="E7190" s="62"/>
      <c r="F7190" s="42" t="s">
        <v>39</v>
      </c>
      <c r="G7190" s="41" t="s">
        <v>40</v>
      </c>
      <c r="H7190" s="41"/>
      <c r="I7190" s="41"/>
      <c r="J7190" s="43">
        <v>40</v>
      </c>
      <c r="K7190" s="41"/>
      <c r="L7190" s="43">
        <v>1</v>
      </c>
      <c r="M7190" s="43">
        <v>1</v>
      </c>
      <c r="N7190" s="43">
        <v>1</v>
      </c>
      <c r="O7190" s="44">
        <v>414.03</v>
      </c>
      <c r="P7190" s="44">
        <v>339.37</v>
      </c>
      <c r="Q7190" s="44">
        <v>368.49</v>
      </c>
      <c r="R7190" s="44">
        <v>302.04000000000002</v>
      </c>
      <c r="S7190" s="44">
        <v>281.54000000000002</v>
      </c>
      <c r="T7190" s="44">
        <v>230.77</v>
      </c>
      <c r="U7190" s="42"/>
      <c r="V7190" s="42"/>
      <c r="W7190" s="42" t="s">
        <v>40</v>
      </c>
      <c r="X7190" s="45">
        <v>3.7999999999999999E-2</v>
      </c>
      <c r="Y7190" s="46">
        <v>8.0000000000000004E-4</v>
      </c>
      <c r="Z7190" s="21">
        <v>4601004317895</v>
      </c>
    </row>
    <row r="7191" spans="1:26" ht="12" customHeight="1" outlineLevel="4" x14ac:dyDescent="0.2">
      <c r="A7191" s="14" t="s">
        <v>13790</v>
      </c>
      <c r="B7191" s="26" t="s">
        <v>13791</v>
      </c>
      <c r="C7191" s="52"/>
      <c r="D7191" s="55">
        <f t="shared" si="112"/>
        <v>0</v>
      </c>
      <c r="E7191" s="64"/>
      <c r="F7191" s="16" t="s">
        <v>39</v>
      </c>
      <c r="G7191" s="15"/>
      <c r="H7191" s="15"/>
      <c r="I7191" s="15"/>
      <c r="J7191" s="16" t="s">
        <v>100</v>
      </c>
      <c r="K7191" s="15" t="s">
        <v>1094</v>
      </c>
      <c r="L7191" s="17">
        <v>1</v>
      </c>
      <c r="M7191" s="16"/>
      <c r="N7191" s="17">
        <v>1</v>
      </c>
      <c r="O7191" s="18">
        <v>421.08</v>
      </c>
      <c r="P7191" s="18">
        <v>345.15</v>
      </c>
      <c r="Q7191" s="18">
        <v>374.76</v>
      </c>
      <c r="R7191" s="18">
        <v>307.18</v>
      </c>
      <c r="S7191" s="18">
        <v>286.33</v>
      </c>
      <c r="T7191" s="18">
        <v>234.7</v>
      </c>
      <c r="U7191" s="16"/>
      <c r="V7191" s="16"/>
      <c r="W7191" s="16" t="s">
        <v>40</v>
      </c>
      <c r="X7191" s="25"/>
      <c r="Y7191" s="25"/>
      <c r="Z7191" s="21">
        <v>4601004317987</v>
      </c>
    </row>
    <row r="7192" spans="1:26" ht="12.95" customHeight="1" outlineLevel="3" x14ac:dyDescent="0.2">
      <c r="A7192" s="76" t="s">
        <v>13792</v>
      </c>
      <c r="B7192" s="76"/>
      <c r="C7192" s="77"/>
      <c r="D7192" s="58"/>
      <c r="E7192" s="68"/>
      <c r="F7192" s="13"/>
      <c r="G7192" s="13"/>
      <c r="H7192" s="13"/>
      <c r="I7192" s="13"/>
      <c r="J7192" s="13"/>
      <c r="K7192" s="13"/>
      <c r="L7192" s="13"/>
      <c r="M7192" s="13"/>
      <c r="N7192" s="13"/>
      <c r="O7192" s="13"/>
      <c r="P7192" s="13"/>
      <c r="Q7192" s="13"/>
      <c r="R7192" s="13"/>
      <c r="S7192" s="13"/>
      <c r="T7192" s="13"/>
      <c r="U7192" s="13"/>
      <c r="V7192" s="13"/>
      <c r="W7192" s="13"/>
      <c r="X7192" s="13"/>
      <c r="Y7192" s="13"/>
      <c r="Z7192" s="13"/>
    </row>
    <row r="7193" spans="1:26" ht="12" customHeight="1" outlineLevel="4" x14ac:dyDescent="0.2">
      <c r="A7193" s="40" t="s">
        <v>13793</v>
      </c>
      <c r="B7193" s="75" t="s">
        <v>13794</v>
      </c>
      <c r="C7193" s="51"/>
      <c r="D7193" s="54">
        <f t="shared" si="112"/>
        <v>0</v>
      </c>
      <c r="E7193" s="62"/>
      <c r="F7193" s="42" t="s">
        <v>39</v>
      </c>
      <c r="G7193" s="41" t="s">
        <v>40</v>
      </c>
      <c r="H7193" s="41"/>
      <c r="I7193" s="41"/>
      <c r="J7193" s="43">
        <v>100</v>
      </c>
      <c r="K7193" s="41"/>
      <c r="L7193" s="43">
        <v>1</v>
      </c>
      <c r="M7193" s="42"/>
      <c r="N7193" s="43">
        <v>1</v>
      </c>
      <c r="O7193" s="44">
        <v>671.3</v>
      </c>
      <c r="P7193" s="44">
        <v>550.25</v>
      </c>
      <c r="Q7193" s="44">
        <v>570.61</v>
      </c>
      <c r="R7193" s="44">
        <v>467.71</v>
      </c>
      <c r="S7193" s="44">
        <v>456.48</v>
      </c>
      <c r="T7193" s="44">
        <v>374.16</v>
      </c>
      <c r="U7193" s="42"/>
      <c r="V7193" s="42"/>
      <c r="W7193" s="42" t="s">
        <v>40</v>
      </c>
      <c r="X7193" s="45">
        <v>7.0999999999999994E-2</v>
      </c>
      <c r="Y7193" s="46">
        <v>5.9900000000000003E-4</v>
      </c>
      <c r="Z7193" s="21">
        <v>4601004317925</v>
      </c>
    </row>
    <row r="7194" spans="1:26" ht="12" customHeight="1" outlineLevel="4" x14ac:dyDescent="0.2">
      <c r="A7194" s="14" t="s">
        <v>13795</v>
      </c>
      <c r="B7194" s="26" t="s">
        <v>13796</v>
      </c>
      <c r="C7194" s="52"/>
      <c r="D7194" s="55">
        <f t="shared" si="112"/>
        <v>0</v>
      </c>
      <c r="E7194" s="64"/>
      <c r="F7194" s="16" t="s">
        <v>39</v>
      </c>
      <c r="G7194" s="15"/>
      <c r="H7194" s="15"/>
      <c r="I7194" s="15"/>
      <c r="J7194" s="16" t="s">
        <v>100</v>
      </c>
      <c r="K7194" s="15" t="s">
        <v>1094</v>
      </c>
      <c r="L7194" s="17">
        <v>1</v>
      </c>
      <c r="M7194" s="16"/>
      <c r="N7194" s="17">
        <v>1</v>
      </c>
      <c r="O7194" s="18">
        <v>678.6</v>
      </c>
      <c r="P7194" s="18">
        <v>556.23</v>
      </c>
      <c r="Q7194" s="18">
        <v>576.80999999999995</v>
      </c>
      <c r="R7194" s="18">
        <v>472.8</v>
      </c>
      <c r="S7194" s="18">
        <v>461.45</v>
      </c>
      <c r="T7194" s="18">
        <v>378.24</v>
      </c>
      <c r="U7194" s="16"/>
      <c r="V7194" s="16"/>
      <c r="W7194" s="16" t="s">
        <v>40</v>
      </c>
      <c r="X7194" s="25"/>
      <c r="Y7194" s="25"/>
      <c r="Z7194" s="21">
        <v>4601004317970</v>
      </c>
    </row>
    <row r="7195" spans="1:26" ht="12" customHeight="1" outlineLevel="4" x14ac:dyDescent="0.2">
      <c r="A7195" s="40" t="s">
        <v>13797</v>
      </c>
      <c r="B7195" s="75" t="s">
        <v>13798</v>
      </c>
      <c r="C7195" s="51"/>
      <c r="D7195" s="54">
        <f t="shared" si="112"/>
        <v>0</v>
      </c>
      <c r="E7195" s="62"/>
      <c r="F7195" s="42" t="s">
        <v>39</v>
      </c>
      <c r="G7195" s="41" t="s">
        <v>40</v>
      </c>
      <c r="H7195" s="41"/>
      <c r="I7195" s="41"/>
      <c r="J7195" s="43">
        <v>100</v>
      </c>
      <c r="K7195" s="41"/>
      <c r="L7195" s="43">
        <v>1</v>
      </c>
      <c r="M7195" s="42"/>
      <c r="N7195" s="43">
        <v>1</v>
      </c>
      <c r="O7195" s="44">
        <v>392.66</v>
      </c>
      <c r="P7195" s="44">
        <v>321.85000000000002</v>
      </c>
      <c r="Q7195" s="44">
        <v>333.76</v>
      </c>
      <c r="R7195" s="44">
        <v>273.57</v>
      </c>
      <c r="S7195" s="44">
        <v>267.01</v>
      </c>
      <c r="T7195" s="44">
        <v>218.86</v>
      </c>
      <c r="U7195" s="42"/>
      <c r="V7195" s="42"/>
      <c r="W7195" s="42" t="s">
        <v>40</v>
      </c>
      <c r="X7195" s="45">
        <v>1.7999999999999999E-2</v>
      </c>
      <c r="Y7195" s="46">
        <v>5.9000000000000003E-4</v>
      </c>
      <c r="Z7195" s="21">
        <v>4601004317963</v>
      </c>
    </row>
    <row r="7196" spans="1:26" ht="12" customHeight="1" outlineLevel="4" x14ac:dyDescent="0.2">
      <c r="A7196" s="40" t="s">
        <v>13799</v>
      </c>
      <c r="B7196" s="75" t="s">
        <v>13800</v>
      </c>
      <c r="C7196" s="51"/>
      <c r="D7196" s="54">
        <f t="shared" si="112"/>
        <v>0</v>
      </c>
      <c r="E7196" s="62"/>
      <c r="F7196" s="42" t="s">
        <v>39</v>
      </c>
      <c r="G7196" s="41" t="s">
        <v>40</v>
      </c>
      <c r="H7196" s="41"/>
      <c r="I7196" s="41"/>
      <c r="J7196" s="43">
        <v>200</v>
      </c>
      <c r="K7196" s="41"/>
      <c r="L7196" s="43">
        <v>1</v>
      </c>
      <c r="M7196" s="42"/>
      <c r="N7196" s="43">
        <v>1</v>
      </c>
      <c r="O7196" s="44">
        <v>425.22</v>
      </c>
      <c r="P7196" s="44">
        <v>348.54</v>
      </c>
      <c r="Q7196" s="44">
        <v>361.44</v>
      </c>
      <c r="R7196" s="44">
        <v>296.26</v>
      </c>
      <c r="S7196" s="44">
        <v>289.14999999999998</v>
      </c>
      <c r="T7196" s="44">
        <v>237.01</v>
      </c>
      <c r="U7196" s="42"/>
      <c r="V7196" s="42"/>
      <c r="W7196" s="42" t="s">
        <v>40</v>
      </c>
      <c r="X7196" s="45">
        <v>2.5000000000000001E-2</v>
      </c>
      <c r="Y7196" s="46">
        <v>6.0700000000000001E-4</v>
      </c>
      <c r="Z7196" s="21">
        <v>4601004317918</v>
      </c>
    </row>
    <row r="7197" spans="1:26" ht="12" customHeight="1" outlineLevel="4" x14ac:dyDescent="0.2">
      <c r="A7197" s="40" t="s">
        <v>13801</v>
      </c>
      <c r="B7197" s="75" t="s">
        <v>13802</v>
      </c>
      <c r="C7197" s="51"/>
      <c r="D7197" s="54">
        <f t="shared" si="112"/>
        <v>0</v>
      </c>
      <c r="E7197" s="62"/>
      <c r="F7197" s="42" t="s">
        <v>39</v>
      </c>
      <c r="G7197" s="41" t="s">
        <v>40</v>
      </c>
      <c r="H7197" s="41"/>
      <c r="I7197" s="41"/>
      <c r="J7197" s="43">
        <v>100</v>
      </c>
      <c r="K7197" s="41"/>
      <c r="L7197" s="43">
        <v>1</v>
      </c>
      <c r="M7197" s="42"/>
      <c r="N7197" s="43">
        <v>1</v>
      </c>
      <c r="O7197" s="44">
        <v>457.79</v>
      </c>
      <c r="P7197" s="44">
        <v>375.24</v>
      </c>
      <c r="Q7197" s="44">
        <v>389.12</v>
      </c>
      <c r="R7197" s="44">
        <v>318.95</v>
      </c>
      <c r="S7197" s="44">
        <v>311.3</v>
      </c>
      <c r="T7197" s="44">
        <v>255.16</v>
      </c>
      <c r="U7197" s="42"/>
      <c r="V7197" s="42"/>
      <c r="W7197" s="42" t="s">
        <v>40</v>
      </c>
      <c r="X7197" s="45">
        <v>2.5999999999999999E-2</v>
      </c>
      <c r="Y7197" s="46">
        <v>4.0000000000000002E-4</v>
      </c>
      <c r="Z7197" s="21">
        <v>4601004318007</v>
      </c>
    </row>
    <row r="7198" spans="1:26" ht="12" customHeight="1" outlineLevel="4" x14ac:dyDescent="0.2">
      <c r="A7198" s="40" t="s">
        <v>13803</v>
      </c>
      <c r="B7198" s="75" t="s">
        <v>13804</v>
      </c>
      <c r="C7198" s="51"/>
      <c r="D7198" s="54">
        <f t="shared" si="112"/>
        <v>0</v>
      </c>
      <c r="E7198" s="62"/>
      <c r="F7198" s="42" t="s">
        <v>39</v>
      </c>
      <c r="G7198" s="41" t="s">
        <v>40</v>
      </c>
      <c r="H7198" s="41"/>
      <c r="I7198" s="41"/>
      <c r="J7198" s="43">
        <v>200</v>
      </c>
      <c r="K7198" s="41"/>
      <c r="L7198" s="43">
        <v>1</v>
      </c>
      <c r="M7198" s="42"/>
      <c r="N7198" s="43">
        <v>1</v>
      </c>
      <c r="O7198" s="44">
        <v>506.65</v>
      </c>
      <c r="P7198" s="44">
        <v>415.29</v>
      </c>
      <c r="Q7198" s="44">
        <v>430.65</v>
      </c>
      <c r="R7198" s="44">
        <v>352.99</v>
      </c>
      <c r="S7198" s="44">
        <v>344.52</v>
      </c>
      <c r="T7198" s="44">
        <v>282.39</v>
      </c>
      <c r="U7198" s="42"/>
      <c r="V7198" s="42"/>
      <c r="W7198" s="42" t="s">
        <v>40</v>
      </c>
      <c r="X7198" s="45">
        <v>0.04</v>
      </c>
      <c r="Y7198" s="46">
        <v>6.7100000000000005E-4</v>
      </c>
      <c r="Z7198" s="21">
        <v>4601004317994</v>
      </c>
    </row>
    <row r="7199" spans="1:26" ht="12" customHeight="1" outlineLevel="4" x14ac:dyDescent="0.2">
      <c r="A7199" s="14" t="s">
        <v>13805</v>
      </c>
      <c r="B7199" s="26" t="s">
        <v>13806</v>
      </c>
      <c r="C7199" s="52"/>
      <c r="D7199" s="55">
        <f t="shared" si="112"/>
        <v>0</v>
      </c>
      <c r="E7199" s="64"/>
      <c r="F7199" s="16" t="s">
        <v>39</v>
      </c>
      <c r="G7199" s="15"/>
      <c r="H7199" s="15"/>
      <c r="I7199" s="15"/>
      <c r="J7199" s="16" t="s">
        <v>100</v>
      </c>
      <c r="K7199" s="15" t="s">
        <v>1094</v>
      </c>
      <c r="L7199" s="17">
        <v>1</v>
      </c>
      <c r="M7199" s="16"/>
      <c r="N7199" s="17">
        <v>1</v>
      </c>
      <c r="O7199" s="18">
        <v>556.48</v>
      </c>
      <c r="P7199" s="18">
        <v>456.13</v>
      </c>
      <c r="Q7199" s="18">
        <v>473.01</v>
      </c>
      <c r="R7199" s="18">
        <v>387.71</v>
      </c>
      <c r="S7199" s="18">
        <v>378.41</v>
      </c>
      <c r="T7199" s="18">
        <v>310.17</v>
      </c>
      <c r="U7199" s="16"/>
      <c r="V7199" s="16"/>
      <c r="W7199" s="16" t="s">
        <v>40</v>
      </c>
      <c r="X7199" s="25"/>
      <c r="Y7199" s="25"/>
      <c r="Z7199" s="21">
        <v>4601004317901</v>
      </c>
    </row>
    <row r="7200" spans="1:26" ht="12" customHeight="1" outlineLevel="4" x14ac:dyDescent="0.2">
      <c r="A7200" s="32" t="s">
        <v>13807</v>
      </c>
      <c r="B7200" s="74" t="s">
        <v>13808</v>
      </c>
      <c r="C7200" s="50"/>
      <c r="D7200" s="53">
        <f t="shared" si="112"/>
        <v>0</v>
      </c>
      <c r="E7200" s="60" t="str">
        <f>HYPERLINK("https://www.sds-group.ru/product/patch-kord-opticheskiy-soedinitelnyy-sm-9-125-os2-sc-apc-sc-apc-simplex-lszh-10m-rexant-50-2026/", "Инфо")</f>
        <v>Инфо</v>
      </c>
      <c r="F7200" s="34" t="s">
        <v>39</v>
      </c>
      <c r="G7200" s="33"/>
      <c r="H7200" s="33" t="s">
        <v>40</v>
      </c>
      <c r="I7200" s="33" t="s">
        <v>13755</v>
      </c>
      <c r="J7200" s="34" t="s">
        <v>100</v>
      </c>
      <c r="K7200" s="33"/>
      <c r="L7200" s="35">
        <v>10</v>
      </c>
      <c r="M7200" s="35">
        <v>60</v>
      </c>
      <c r="N7200" s="35">
        <v>10</v>
      </c>
      <c r="O7200" s="36">
        <v>633.89</v>
      </c>
      <c r="P7200" s="36">
        <v>519.58000000000004</v>
      </c>
      <c r="Q7200" s="36">
        <v>633.89</v>
      </c>
      <c r="R7200" s="36">
        <v>519.58000000000004</v>
      </c>
      <c r="S7200" s="36">
        <v>380.33</v>
      </c>
      <c r="T7200" s="36">
        <v>311.75</v>
      </c>
      <c r="U7200" s="34"/>
      <c r="V7200" s="34"/>
      <c r="W7200" s="34" t="s">
        <v>40</v>
      </c>
      <c r="X7200" s="37">
        <v>7.6999999999999999E-2</v>
      </c>
      <c r="Y7200" s="38">
        <v>9.4899999999999997E-4</v>
      </c>
      <c r="Z7200" s="21">
        <v>4601004106758</v>
      </c>
    </row>
    <row r="7201" spans="1:26" ht="12" customHeight="1" outlineLevel="4" x14ac:dyDescent="0.2">
      <c r="A7201" s="32" t="s">
        <v>13809</v>
      </c>
      <c r="B7201" s="74" t="s">
        <v>13810</v>
      </c>
      <c r="C7201" s="50"/>
      <c r="D7201" s="53">
        <f t="shared" si="112"/>
        <v>0</v>
      </c>
      <c r="E7201" s="60" t="str">
        <f>HYPERLINK("https://www.sds-group.ru/product/patch-kord-opticheskiy-soedinitelnyy-sm-9-125-os2-sc-apc-sc-apc-simplex-lszh-3m-rexant-50-2024/", "Инфо")</f>
        <v>Инфо</v>
      </c>
      <c r="F7201" s="34" t="s">
        <v>39</v>
      </c>
      <c r="G7201" s="33"/>
      <c r="H7201" s="33" t="s">
        <v>40</v>
      </c>
      <c r="I7201" s="33" t="s">
        <v>13755</v>
      </c>
      <c r="J7201" s="35">
        <v>230</v>
      </c>
      <c r="K7201" s="33"/>
      <c r="L7201" s="35">
        <v>10</v>
      </c>
      <c r="M7201" s="35">
        <v>100</v>
      </c>
      <c r="N7201" s="35">
        <v>10</v>
      </c>
      <c r="O7201" s="36">
        <v>491.26</v>
      </c>
      <c r="P7201" s="36">
        <v>402.67</v>
      </c>
      <c r="Q7201" s="36">
        <v>491.26</v>
      </c>
      <c r="R7201" s="36">
        <v>402.67</v>
      </c>
      <c r="S7201" s="36">
        <v>294.76</v>
      </c>
      <c r="T7201" s="36">
        <v>241.61</v>
      </c>
      <c r="U7201" s="34"/>
      <c r="V7201" s="34"/>
      <c r="W7201" s="34" t="s">
        <v>40</v>
      </c>
      <c r="X7201" s="37">
        <v>2.8000000000000001E-2</v>
      </c>
      <c r="Y7201" s="38">
        <v>1.189E-3</v>
      </c>
      <c r="Z7201" s="21">
        <v>4601004106734</v>
      </c>
    </row>
    <row r="7202" spans="1:26" ht="12" customHeight="1" outlineLevel="4" x14ac:dyDescent="0.2">
      <c r="A7202" s="32" t="s">
        <v>13811</v>
      </c>
      <c r="B7202" s="74" t="s">
        <v>13812</v>
      </c>
      <c r="C7202" s="50"/>
      <c r="D7202" s="53">
        <f t="shared" si="112"/>
        <v>0</v>
      </c>
      <c r="E7202" s="60" t="str">
        <f>HYPERLINK("https://www.sds-group.ru/product/patch-kord-opticheskiy-soedinitelnyy-sm-9-125-os2-sc-apc-sc-apc-simplex-lszh-5m-rexant-50-2025/", "Инфо")</f>
        <v>Инфо</v>
      </c>
      <c r="F7202" s="34" t="s">
        <v>39</v>
      </c>
      <c r="G7202" s="33"/>
      <c r="H7202" s="33" t="s">
        <v>40</v>
      </c>
      <c r="I7202" s="33" t="s">
        <v>13755</v>
      </c>
      <c r="J7202" s="35">
        <v>100</v>
      </c>
      <c r="K7202" s="33"/>
      <c r="L7202" s="35">
        <v>10</v>
      </c>
      <c r="M7202" s="35">
        <v>100</v>
      </c>
      <c r="N7202" s="35">
        <v>10</v>
      </c>
      <c r="O7202" s="36">
        <v>532.01</v>
      </c>
      <c r="P7202" s="36">
        <v>436.07</v>
      </c>
      <c r="Q7202" s="36">
        <v>532.01</v>
      </c>
      <c r="R7202" s="36">
        <v>436.07</v>
      </c>
      <c r="S7202" s="36">
        <v>319.20999999999998</v>
      </c>
      <c r="T7202" s="36">
        <v>261.64999999999998</v>
      </c>
      <c r="U7202" s="34"/>
      <c r="V7202" s="34"/>
      <c r="W7202" s="34" t="s">
        <v>40</v>
      </c>
      <c r="X7202" s="37">
        <v>4.2999999999999997E-2</v>
      </c>
      <c r="Y7202" s="38">
        <v>8.2700000000000004E-4</v>
      </c>
      <c r="Z7202" s="21">
        <v>4601004106741</v>
      </c>
    </row>
    <row r="7203" spans="1:26" ht="12" customHeight="1" outlineLevel="4" x14ac:dyDescent="0.2">
      <c r="A7203" s="32" t="s">
        <v>13813</v>
      </c>
      <c r="B7203" s="74" t="s">
        <v>13814</v>
      </c>
      <c r="C7203" s="50"/>
      <c r="D7203" s="53">
        <f t="shared" si="112"/>
        <v>0</v>
      </c>
      <c r="E7203" s="60" t="str">
        <f>HYPERLINK("https://www.sds-group.ru/product/patch-kord-opticheskiy-soedinitelnyy-sm-9-125-os2-sc-apc-sc-apc-simplex-lszh-7m-rexant-50-2060/", "Инфо")</f>
        <v>Инфо</v>
      </c>
      <c r="F7203" s="34" t="s">
        <v>39</v>
      </c>
      <c r="G7203" s="33"/>
      <c r="H7203" s="33" t="s">
        <v>40</v>
      </c>
      <c r="I7203" s="33" t="s">
        <v>13755</v>
      </c>
      <c r="J7203" s="34" t="s">
        <v>100</v>
      </c>
      <c r="K7203" s="33"/>
      <c r="L7203" s="35">
        <v>10</v>
      </c>
      <c r="M7203" s="35">
        <v>100</v>
      </c>
      <c r="N7203" s="35">
        <v>10</v>
      </c>
      <c r="O7203" s="36">
        <v>572.76</v>
      </c>
      <c r="P7203" s="36">
        <v>469.48</v>
      </c>
      <c r="Q7203" s="36">
        <v>572.76</v>
      </c>
      <c r="R7203" s="36">
        <v>469.48</v>
      </c>
      <c r="S7203" s="36">
        <v>343.66</v>
      </c>
      <c r="T7203" s="36">
        <v>281.69</v>
      </c>
      <c r="U7203" s="34"/>
      <c r="V7203" s="34"/>
      <c r="W7203" s="34" t="s">
        <v>40</v>
      </c>
      <c r="X7203" s="37">
        <v>5.1999999999999998E-2</v>
      </c>
      <c r="Y7203" s="38">
        <v>1.75E-4</v>
      </c>
      <c r="Z7203" s="21">
        <v>4601004103504</v>
      </c>
    </row>
    <row r="7204" spans="1:26" ht="12" customHeight="1" outlineLevel="4" x14ac:dyDescent="0.2">
      <c r="A7204" s="14" t="s">
        <v>13815</v>
      </c>
      <c r="B7204" s="26" t="s">
        <v>13816</v>
      </c>
      <c r="C7204" s="52"/>
      <c r="D7204" s="55">
        <f t="shared" si="112"/>
        <v>0</v>
      </c>
      <c r="E7204" s="63" t="str">
        <f>HYPERLINK("https://www.sds-group.ru/product/patch-kord-opticheskiy-soedinitelnyy-sm-9-125-os2-sc-apc-sc-apc-simplex-lszh-20m-rexant-50-2028/", "Инфо")</f>
        <v>Инфо</v>
      </c>
      <c r="F7204" s="16" t="s">
        <v>39</v>
      </c>
      <c r="G7204" s="15"/>
      <c r="H7204" s="15"/>
      <c r="I7204" s="15" t="s">
        <v>13755</v>
      </c>
      <c r="J7204" s="16" t="s">
        <v>100</v>
      </c>
      <c r="K7204" s="15"/>
      <c r="L7204" s="17">
        <v>10</v>
      </c>
      <c r="M7204" s="17">
        <v>60</v>
      </c>
      <c r="N7204" s="17">
        <v>10</v>
      </c>
      <c r="O7204" s="18">
        <v>828.7</v>
      </c>
      <c r="P7204" s="18">
        <v>679.26</v>
      </c>
      <c r="Q7204" s="18">
        <v>828.7</v>
      </c>
      <c r="R7204" s="18">
        <v>679.26</v>
      </c>
      <c r="S7204" s="18">
        <v>497.22</v>
      </c>
      <c r="T7204" s="18">
        <v>407.56</v>
      </c>
      <c r="U7204" s="16"/>
      <c r="V7204" s="16"/>
      <c r="W7204" s="16" t="s">
        <v>40</v>
      </c>
      <c r="X7204" s="19">
        <v>0.11899999999999999</v>
      </c>
      <c r="Y7204" s="20">
        <v>1.8979999999999999E-3</v>
      </c>
      <c r="Z7204" s="21">
        <v>4601004106772</v>
      </c>
    </row>
    <row r="7205" spans="1:26" ht="12.95" customHeight="1" outlineLevel="3" x14ac:dyDescent="0.2">
      <c r="A7205" s="76" t="s">
        <v>13817</v>
      </c>
      <c r="B7205" s="76"/>
      <c r="C7205" s="77"/>
      <c r="D7205" s="58"/>
      <c r="E7205" s="68"/>
      <c r="F7205" s="13"/>
      <c r="G7205" s="13"/>
      <c r="H7205" s="13"/>
      <c r="I7205" s="13"/>
      <c r="J7205" s="13"/>
      <c r="K7205" s="13"/>
      <c r="L7205" s="13"/>
      <c r="M7205" s="13"/>
      <c r="N7205" s="13"/>
      <c r="O7205" s="13"/>
      <c r="P7205" s="13"/>
      <c r="Q7205" s="13"/>
      <c r="R7205" s="13"/>
      <c r="S7205" s="13"/>
      <c r="T7205" s="13"/>
      <c r="U7205" s="13"/>
      <c r="V7205" s="13"/>
      <c r="W7205" s="13"/>
      <c r="X7205" s="13"/>
      <c r="Y7205" s="13"/>
      <c r="Z7205" s="13"/>
    </row>
    <row r="7206" spans="1:26" ht="12" customHeight="1" outlineLevel="4" x14ac:dyDescent="0.2">
      <c r="A7206" s="40" t="s">
        <v>13818</v>
      </c>
      <c r="B7206" s="75" t="s">
        <v>13819</v>
      </c>
      <c r="C7206" s="51"/>
      <c r="D7206" s="54">
        <f t="shared" si="112"/>
        <v>0</v>
      </c>
      <c r="E7206" s="62"/>
      <c r="F7206" s="42" t="s">
        <v>39</v>
      </c>
      <c r="G7206" s="41" t="s">
        <v>40</v>
      </c>
      <c r="H7206" s="41"/>
      <c r="I7206" s="41"/>
      <c r="J7206" s="43">
        <v>100</v>
      </c>
      <c r="K7206" s="41" t="s">
        <v>1094</v>
      </c>
      <c r="L7206" s="43">
        <v>1</v>
      </c>
      <c r="M7206" s="42"/>
      <c r="N7206" s="43">
        <v>1</v>
      </c>
      <c r="O7206" s="44">
        <v>671.3</v>
      </c>
      <c r="P7206" s="44">
        <v>550.25</v>
      </c>
      <c r="Q7206" s="44">
        <v>570.61</v>
      </c>
      <c r="R7206" s="44">
        <v>467.71</v>
      </c>
      <c r="S7206" s="44">
        <v>456.48</v>
      </c>
      <c r="T7206" s="44">
        <v>374.16</v>
      </c>
      <c r="U7206" s="42"/>
      <c r="V7206" s="42"/>
      <c r="W7206" s="42" t="s">
        <v>40</v>
      </c>
      <c r="X7206" s="45">
        <v>7.6999999999999999E-2</v>
      </c>
      <c r="Y7206" s="46">
        <v>7.4799999999999997E-4</v>
      </c>
      <c r="Z7206" s="21">
        <v>4601004318052</v>
      </c>
    </row>
    <row r="7207" spans="1:26" ht="12" customHeight="1" outlineLevel="4" x14ac:dyDescent="0.2">
      <c r="A7207" s="14" t="s">
        <v>13820</v>
      </c>
      <c r="B7207" s="26" t="s">
        <v>13821</v>
      </c>
      <c r="C7207" s="52"/>
      <c r="D7207" s="55">
        <f t="shared" si="112"/>
        <v>0</v>
      </c>
      <c r="E7207" s="64"/>
      <c r="F7207" s="16" t="s">
        <v>39</v>
      </c>
      <c r="G7207" s="15"/>
      <c r="H7207" s="15"/>
      <c r="I7207" s="15"/>
      <c r="J7207" s="16" t="s">
        <v>100</v>
      </c>
      <c r="K7207" s="15" t="s">
        <v>1094</v>
      </c>
      <c r="L7207" s="17">
        <v>1</v>
      </c>
      <c r="M7207" s="16"/>
      <c r="N7207" s="17">
        <v>1</v>
      </c>
      <c r="O7207" s="18">
        <v>678.6</v>
      </c>
      <c r="P7207" s="18">
        <v>556.23</v>
      </c>
      <c r="Q7207" s="18">
        <v>576.80999999999995</v>
      </c>
      <c r="R7207" s="18">
        <v>472.8</v>
      </c>
      <c r="S7207" s="18">
        <v>461.45</v>
      </c>
      <c r="T7207" s="18">
        <v>378.24</v>
      </c>
      <c r="U7207" s="16"/>
      <c r="V7207" s="16"/>
      <c r="W7207" s="16" t="s">
        <v>40</v>
      </c>
      <c r="X7207" s="25"/>
      <c r="Y7207" s="25"/>
      <c r="Z7207" s="21">
        <v>4601004318069</v>
      </c>
    </row>
    <row r="7208" spans="1:26" ht="12" customHeight="1" outlineLevel="4" x14ac:dyDescent="0.2">
      <c r="A7208" s="14" t="s">
        <v>13822</v>
      </c>
      <c r="B7208" s="26" t="s">
        <v>13823</v>
      </c>
      <c r="C7208" s="52"/>
      <c r="D7208" s="55">
        <f t="shared" si="112"/>
        <v>0</v>
      </c>
      <c r="E7208" s="64"/>
      <c r="F7208" s="16" t="s">
        <v>39</v>
      </c>
      <c r="G7208" s="15"/>
      <c r="H7208" s="15"/>
      <c r="I7208" s="15"/>
      <c r="J7208" s="16" t="s">
        <v>100</v>
      </c>
      <c r="K7208" s="15" t="s">
        <v>1094</v>
      </c>
      <c r="L7208" s="17">
        <v>1</v>
      </c>
      <c r="M7208" s="16"/>
      <c r="N7208" s="17">
        <v>1</v>
      </c>
      <c r="O7208" s="18">
        <v>370.43</v>
      </c>
      <c r="P7208" s="18">
        <v>303.63</v>
      </c>
      <c r="Q7208" s="18">
        <v>314.87</v>
      </c>
      <c r="R7208" s="18">
        <v>258.08999999999997</v>
      </c>
      <c r="S7208" s="18">
        <v>251.89</v>
      </c>
      <c r="T7208" s="18">
        <v>206.47</v>
      </c>
      <c r="U7208" s="16"/>
      <c r="V7208" s="16"/>
      <c r="W7208" s="16" t="s">
        <v>40</v>
      </c>
      <c r="X7208" s="25"/>
      <c r="Y7208" s="25"/>
      <c r="Z7208" s="21">
        <v>4601004318090</v>
      </c>
    </row>
    <row r="7209" spans="1:26" ht="12" customHeight="1" outlineLevel="4" x14ac:dyDescent="0.2">
      <c r="A7209" s="40" t="s">
        <v>13824</v>
      </c>
      <c r="B7209" s="75" t="s">
        <v>13825</v>
      </c>
      <c r="C7209" s="51"/>
      <c r="D7209" s="54">
        <f t="shared" si="112"/>
        <v>0</v>
      </c>
      <c r="E7209" s="62"/>
      <c r="F7209" s="42" t="s">
        <v>39</v>
      </c>
      <c r="G7209" s="41" t="s">
        <v>40</v>
      </c>
      <c r="H7209" s="41"/>
      <c r="I7209" s="41"/>
      <c r="J7209" s="43">
        <v>100</v>
      </c>
      <c r="K7209" s="41" t="s">
        <v>1094</v>
      </c>
      <c r="L7209" s="43">
        <v>1</v>
      </c>
      <c r="M7209" s="42"/>
      <c r="N7209" s="43">
        <v>1</v>
      </c>
      <c r="O7209" s="44">
        <v>425.22</v>
      </c>
      <c r="P7209" s="44">
        <v>348.54</v>
      </c>
      <c r="Q7209" s="44">
        <v>361.44</v>
      </c>
      <c r="R7209" s="44">
        <v>296.26</v>
      </c>
      <c r="S7209" s="44">
        <v>289.14999999999998</v>
      </c>
      <c r="T7209" s="44">
        <v>237.01</v>
      </c>
      <c r="U7209" s="42"/>
      <c r="V7209" s="42"/>
      <c r="W7209" s="42" t="s">
        <v>40</v>
      </c>
      <c r="X7209" s="45">
        <v>0.02</v>
      </c>
      <c r="Y7209" s="46">
        <v>3.8200000000000002E-4</v>
      </c>
      <c r="Z7209" s="21">
        <v>4601004318014</v>
      </c>
    </row>
    <row r="7210" spans="1:26" ht="12" customHeight="1" outlineLevel="4" x14ac:dyDescent="0.2">
      <c r="A7210" s="40" t="s">
        <v>13826</v>
      </c>
      <c r="B7210" s="75" t="s">
        <v>13827</v>
      </c>
      <c r="C7210" s="51"/>
      <c r="D7210" s="54">
        <f t="shared" si="112"/>
        <v>0</v>
      </c>
      <c r="E7210" s="62"/>
      <c r="F7210" s="42" t="s">
        <v>39</v>
      </c>
      <c r="G7210" s="41" t="s">
        <v>40</v>
      </c>
      <c r="H7210" s="41"/>
      <c r="I7210" s="41"/>
      <c r="J7210" s="43">
        <v>100</v>
      </c>
      <c r="K7210" s="41" t="s">
        <v>1094</v>
      </c>
      <c r="L7210" s="43">
        <v>1</v>
      </c>
      <c r="M7210" s="42"/>
      <c r="N7210" s="43">
        <v>1</v>
      </c>
      <c r="O7210" s="44">
        <v>457.79</v>
      </c>
      <c r="P7210" s="44">
        <v>375.24</v>
      </c>
      <c r="Q7210" s="44">
        <v>389.12</v>
      </c>
      <c r="R7210" s="44">
        <v>318.95</v>
      </c>
      <c r="S7210" s="44">
        <v>311.3</v>
      </c>
      <c r="T7210" s="44">
        <v>255.16</v>
      </c>
      <c r="U7210" s="42"/>
      <c r="V7210" s="42"/>
      <c r="W7210" s="42" t="s">
        <v>40</v>
      </c>
      <c r="X7210" s="45">
        <v>2.7E-2</v>
      </c>
      <c r="Y7210" s="46">
        <v>4.46E-4</v>
      </c>
      <c r="Z7210" s="21">
        <v>4601004318021</v>
      </c>
    </row>
    <row r="7211" spans="1:26" ht="12" customHeight="1" outlineLevel="4" x14ac:dyDescent="0.2">
      <c r="A7211" s="40" t="s">
        <v>13828</v>
      </c>
      <c r="B7211" s="75" t="s">
        <v>13829</v>
      </c>
      <c r="C7211" s="51"/>
      <c r="D7211" s="54">
        <f t="shared" si="112"/>
        <v>0</v>
      </c>
      <c r="E7211" s="62"/>
      <c r="F7211" s="42" t="s">
        <v>39</v>
      </c>
      <c r="G7211" s="41" t="s">
        <v>40</v>
      </c>
      <c r="H7211" s="41"/>
      <c r="I7211" s="41"/>
      <c r="J7211" s="43">
        <v>110</v>
      </c>
      <c r="K7211" s="41" t="s">
        <v>1094</v>
      </c>
      <c r="L7211" s="43">
        <v>1</v>
      </c>
      <c r="M7211" s="42"/>
      <c r="N7211" s="43">
        <v>1</v>
      </c>
      <c r="O7211" s="44">
        <v>506.65</v>
      </c>
      <c r="P7211" s="44">
        <v>415.29</v>
      </c>
      <c r="Q7211" s="44">
        <v>430.65</v>
      </c>
      <c r="R7211" s="44">
        <v>352.99</v>
      </c>
      <c r="S7211" s="44">
        <v>344.52</v>
      </c>
      <c r="T7211" s="44">
        <v>282.39</v>
      </c>
      <c r="U7211" s="42"/>
      <c r="V7211" s="42"/>
      <c r="W7211" s="42" t="s">
        <v>40</v>
      </c>
      <c r="X7211" s="45">
        <v>3.9E-2</v>
      </c>
      <c r="Y7211" s="46">
        <v>6.3000000000000003E-4</v>
      </c>
      <c r="Z7211" s="21">
        <v>4601004318038</v>
      </c>
    </row>
    <row r="7212" spans="1:26" ht="12" customHeight="1" outlineLevel="4" x14ac:dyDescent="0.2">
      <c r="A7212" s="14" t="s">
        <v>13830</v>
      </c>
      <c r="B7212" s="26" t="s">
        <v>13831</v>
      </c>
      <c r="C7212" s="52"/>
      <c r="D7212" s="55">
        <f t="shared" si="112"/>
        <v>0</v>
      </c>
      <c r="E7212" s="64"/>
      <c r="F7212" s="16" t="s">
        <v>39</v>
      </c>
      <c r="G7212" s="15"/>
      <c r="H7212" s="15"/>
      <c r="I7212" s="15"/>
      <c r="J7212" s="16" t="s">
        <v>100</v>
      </c>
      <c r="K7212" s="15" t="s">
        <v>1094</v>
      </c>
      <c r="L7212" s="17">
        <v>1</v>
      </c>
      <c r="M7212" s="16"/>
      <c r="N7212" s="17">
        <v>1</v>
      </c>
      <c r="O7212" s="18">
        <v>556.48</v>
      </c>
      <c r="P7212" s="18">
        <v>456.13</v>
      </c>
      <c r="Q7212" s="18">
        <v>473.01</v>
      </c>
      <c r="R7212" s="18">
        <v>387.71</v>
      </c>
      <c r="S7212" s="18">
        <v>378.41</v>
      </c>
      <c r="T7212" s="18">
        <v>310.17</v>
      </c>
      <c r="U7212" s="16"/>
      <c r="V7212" s="16"/>
      <c r="W7212" s="16" t="s">
        <v>40</v>
      </c>
      <c r="X7212" s="25"/>
      <c r="Y7212" s="25"/>
      <c r="Z7212" s="21">
        <v>4601004318045</v>
      </c>
    </row>
    <row r="7213" spans="1:26" ht="12" customHeight="1" outlineLevel="4" x14ac:dyDescent="0.2">
      <c r="A7213" s="32" t="s">
        <v>13832</v>
      </c>
      <c r="B7213" s="74" t="s">
        <v>13833</v>
      </c>
      <c r="C7213" s="50"/>
      <c r="D7213" s="53">
        <f t="shared" si="112"/>
        <v>0</v>
      </c>
      <c r="E7213" s="60" t="str">
        <f>HYPERLINK("https://www.sds-group.ru/product/patch-kord-opticheskiy-perehodnoy-sm-9-125-os2-sc-apc-sc-upc-simplex-lszh-10m-rexant-50-2062/", "Инфо")</f>
        <v>Инфо</v>
      </c>
      <c r="F7213" s="34" t="s">
        <v>39</v>
      </c>
      <c r="G7213" s="33"/>
      <c r="H7213" s="33" t="s">
        <v>40</v>
      </c>
      <c r="I7213" s="33" t="s">
        <v>13755</v>
      </c>
      <c r="J7213" s="34" t="s">
        <v>100</v>
      </c>
      <c r="K7213" s="33"/>
      <c r="L7213" s="35">
        <v>10</v>
      </c>
      <c r="M7213" s="35">
        <v>100</v>
      </c>
      <c r="N7213" s="35">
        <v>10</v>
      </c>
      <c r="O7213" s="36">
        <v>633.89</v>
      </c>
      <c r="P7213" s="36">
        <v>519.58000000000004</v>
      </c>
      <c r="Q7213" s="36">
        <v>633.89</v>
      </c>
      <c r="R7213" s="36">
        <v>519.58000000000004</v>
      </c>
      <c r="S7213" s="36">
        <v>380.33</v>
      </c>
      <c r="T7213" s="36">
        <v>311.75</v>
      </c>
      <c r="U7213" s="34"/>
      <c r="V7213" s="34"/>
      <c r="W7213" s="34" t="s">
        <v>40</v>
      </c>
      <c r="X7213" s="37">
        <v>5.1999999999999998E-2</v>
      </c>
      <c r="Y7213" s="38">
        <v>1.2260000000000001E-3</v>
      </c>
      <c r="Z7213" s="21">
        <v>4601004113954</v>
      </c>
    </row>
    <row r="7214" spans="1:26" ht="12" customHeight="1" outlineLevel="4" x14ac:dyDescent="0.2">
      <c r="A7214" s="32" t="s">
        <v>13834</v>
      </c>
      <c r="B7214" s="74" t="s">
        <v>13835</v>
      </c>
      <c r="C7214" s="50"/>
      <c r="D7214" s="53">
        <f t="shared" si="112"/>
        <v>0</v>
      </c>
      <c r="E7214" s="60" t="str">
        <f>HYPERLINK("https://www.sds-group.ru/product/patch-kord-opticheskiy-perehodnoy-sm-9-125-os2-sc-apc-sc-upc-simplex-lszh-15m-rexant-50-2063/", "Инфо")</f>
        <v>Инфо</v>
      </c>
      <c r="F7214" s="34" t="s">
        <v>39</v>
      </c>
      <c r="G7214" s="33"/>
      <c r="H7214" s="33" t="s">
        <v>40</v>
      </c>
      <c r="I7214" s="33" t="s">
        <v>13755</v>
      </c>
      <c r="J7214" s="35">
        <v>140</v>
      </c>
      <c r="K7214" s="33"/>
      <c r="L7214" s="35">
        <v>10</v>
      </c>
      <c r="M7214" s="35">
        <v>5</v>
      </c>
      <c r="N7214" s="35">
        <v>10</v>
      </c>
      <c r="O7214" s="36">
        <v>727.43</v>
      </c>
      <c r="P7214" s="36">
        <v>596.25</v>
      </c>
      <c r="Q7214" s="36">
        <v>727.43</v>
      </c>
      <c r="R7214" s="36">
        <v>596.25</v>
      </c>
      <c r="S7214" s="36">
        <v>436.46</v>
      </c>
      <c r="T7214" s="36">
        <v>357.75</v>
      </c>
      <c r="U7214" s="34"/>
      <c r="V7214" s="34"/>
      <c r="W7214" s="34" t="s">
        <v>40</v>
      </c>
      <c r="X7214" s="37">
        <v>0.1</v>
      </c>
      <c r="Y7214" s="38">
        <v>1.341E-3</v>
      </c>
      <c r="Z7214" s="21">
        <v>4601004113930</v>
      </c>
    </row>
    <row r="7215" spans="1:26" ht="12" customHeight="1" outlineLevel="4" x14ac:dyDescent="0.2">
      <c r="A7215" s="32" t="s">
        <v>13836</v>
      </c>
      <c r="B7215" s="74" t="s">
        <v>13837</v>
      </c>
      <c r="C7215" s="50"/>
      <c r="D7215" s="53">
        <f t="shared" si="112"/>
        <v>0</v>
      </c>
      <c r="E7215" s="60" t="str">
        <f>HYPERLINK("https://www.sds-group.ru/product/patch-kord-opticheskiy-perehodnoy-sm-9-125-os2-sc-apc-sc-upc-simplex-lszh-7m-rexant-50-2061/", "Инфо")</f>
        <v>Инфо</v>
      </c>
      <c r="F7215" s="34" t="s">
        <v>39</v>
      </c>
      <c r="G7215" s="33"/>
      <c r="H7215" s="33" t="s">
        <v>40</v>
      </c>
      <c r="I7215" s="33" t="s">
        <v>13755</v>
      </c>
      <c r="J7215" s="34" t="s">
        <v>100</v>
      </c>
      <c r="K7215" s="33"/>
      <c r="L7215" s="35">
        <v>10</v>
      </c>
      <c r="M7215" s="35">
        <v>100</v>
      </c>
      <c r="N7215" s="35">
        <v>10</v>
      </c>
      <c r="O7215" s="36">
        <v>572.76</v>
      </c>
      <c r="P7215" s="36">
        <v>469.48</v>
      </c>
      <c r="Q7215" s="36">
        <v>572.76</v>
      </c>
      <c r="R7215" s="36">
        <v>469.48</v>
      </c>
      <c r="S7215" s="36">
        <v>343.66</v>
      </c>
      <c r="T7215" s="36">
        <v>281.69</v>
      </c>
      <c r="U7215" s="34"/>
      <c r="V7215" s="34"/>
      <c r="W7215" s="34" t="s">
        <v>40</v>
      </c>
      <c r="X7215" s="37">
        <v>0.05</v>
      </c>
      <c r="Y7215" s="38">
        <v>8.7799999999999998E-4</v>
      </c>
      <c r="Z7215" s="21">
        <v>4601004103511</v>
      </c>
    </row>
    <row r="7216" spans="1:26" ht="12.95" customHeight="1" outlineLevel="2" x14ac:dyDescent="0.2">
      <c r="A7216" s="76" t="s">
        <v>13838</v>
      </c>
      <c r="B7216" s="76"/>
      <c r="C7216" s="77"/>
      <c r="D7216" s="58"/>
      <c r="E7216" s="68"/>
      <c r="F7216" s="13"/>
      <c r="G7216" s="13"/>
      <c r="H7216" s="13"/>
      <c r="I7216" s="13"/>
      <c r="J7216" s="13"/>
      <c r="K7216" s="13"/>
      <c r="L7216" s="13"/>
      <c r="M7216" s="13"/>
      <c r="N7216" s="13"/>
      <c r="O7216" s="13"/>
      <c r="P7216" s="13"/>
      <c r="Q7216" s="13"/>
      <c r="R7216" s="13"/>
      <c r="S7216" s="13"/>
      <c r="T7216" s="13"/>
      <c r="U7216" s="13"/>
      <c r="V7216" s="13"/>
      <c r="W7216" s="13"/>
      <c r="X7216" s="13"/>
      <c r="Y7216" s="13"/>
      <c r="Z7216" s="13"/>
    </row>
    <row r="7217" spans="1:26" ht="12.95" customHeight="1" outlineLevel="3" x14ac:dyDescent="0.2">
      <c r="A7217" s="76" t="s">
        <v>13839</v>
      </c>
      <c r="B7217" s="76"/>
      <c r="C7217" s="77"/>
      <c r="D7217" s="58"/>
      <c r="E7217" s="68"/>
      <c r="F7217" s="13"/>
      <c r="G7217" s="13"/>
      <c r="H7217" s="13"/>
      <c r="I7217" s="13"/>
      <c r="J7217" s="13"/>
      <c r="K7217" s="13"/>
      <c r="L7217" s="13"/>
      <c r="M7217" s="13"/>
      <c r="N7217" s="13"/>
      <c r="O7217" s="13"/>
      <c r="P7217" s="13"/>
      <c r="Q7217" s="13"/>
      <c r="R7217" s="13"/>
      <c r="S7217" s="13"/>
      <c r="T7217" s="13"/>
      <c r="U7217" s="13"/>
      <c r="V7217" s="13"/>
      <c r="W7217" s="13"/>
      <c r="X7217" s="13"/>
      <c r="Y7217" s="13"/>
      <c r="Z7217" s="13"/>
    </row>
    <row r="7218" spans="1:26" ht="12" customHeight="1" outlineLevel="4" x14ac:dyDescent="0.2">
      <c r="A7218" s="40" t="s">
        <v>13840</v>
      </c>
      <c r="B7218" s="75" t="s">
        <v>13841</v>
      </c>
      <c r="C7218" s="51"/>
      <c r="D7218" s="54">
        <f t="shared" si="112"/>
        <v>0</v>
      </c>
      <c r="E7218" s="62"/>
      <c r="F7218" s="42" t="s">
        <v>39</v>
      </c>
      <c r="G7218" s="41" t="s">
        <v>40</v>
      </c>
      <c r="H7218" s="41"/>
      <c r="I7218" s="41"/>
      <c r="J7218" s="43">
        <v>150</v>
      </c>
      <c r="K7218" s="41" t="s">
        <v>1094</v>
      </c>
      <c r="L7218" s="43">
        <v>1</v>
      </c>
      <c r="M7218" s="43">
        <v>1</v>
      </c>
      <c r="N7218" s="43">
        <v>1</v>
      </c>
      <c r="O7218" s="44">
        <v>989.66</v>
      </c>
      <c r="P7218" s="44">
        <v>811.2</v>
      </c>
      <c r="Q7218" s="44">
        <v>880.8</v>
      </c>
      <c r="R7218" s="44">
        <v>721.97</v>
      </c>
      <c r="S7218" s="44">
        <v>672.97</v>
      </c>
      <c r="T7218" s="44">
        <v>551.61</v>
      </c>
      <c r="U7218" s="42"/>
      <c r="V7218" s="42"/>
      <c r="W7218" s="42" t="s">
        <v>40</v>
      </c>
      <c r="X7218" s="45">
        <v>0.13400000000000001</v>
      </c>
      <c r="Y7218" s="46">
        <v>1.224E-3</v>
      </c>
      <c r="Z7218" s="21">
        <v>4601004318120</v>
      </c>
    </row>
    <row r="7219" spans="1:26" ht="12" customHeight="1" outlineLevel="4" x14ac:dyDescent="0.2">
      <c r="A7219" s="40" t="s">
        <v>13842</v>
      </c>
      <c r="B7219" s="75" t="s">
        <v>13843</v>
      </c>
      <c r="C7219" s="51"/>
      <c r="D7219" s="54">
        <f t="shared" si="112"/>
        <v>0</v>
      </c>
      <c r="E7219" s="62"/>
      <c r="F7219" s="42" t="s">
        <v>39</v>
      </c>
      <c r="G7219" s="41" t="s">
        <v>40</v>
      </c>
      <c r="H7219" s="41"/>
      <c r="I7219" s="41"/>
      <c r="J7219" s="43">
        <v>100</v>
      </c>
      <c r="K7219" s="41"/>
      <c r="L7219" s="43">
        <v>1</v>
      </c>
      <c r="M7219" s="43">
        <v>1</v>
      </c>
      <c r="N7219" s="43">
        <v>1</v>
      </c>
      <c r="O7219" s="44">
        <v>1146.6400000000001</v>
      </c>
      <c r="P7219" s="44">
        <v>939.87</v>
      </c>
      <c r="Q7219" s="44">
        <v>1020.51</v>
      </c>
      <c r="R7219" s="44">
        <v>836.48</v>
      </c>
      <c r="S7219" s="44">
        <v>779.72</v>
      </c>
      <c r="T7219" s="44">
        <v>639.11</v>
      </c>
      <c r="U7219" s="42"/>
      <c r="V7219" s="42"/>
      <c r="W7219" s="42" t="s">
        <v>40</v>
      </c>
      <c r="X7219" s="45">
        <v>0.20300000000000001</v>
      </c>
      <c r="Y7219" s="46">
        <v>1.913E-3</v>
      </c>
      <c r="Z7219" s="21">
        <v>4601004318137</v>
      </c>
    </row>
    <row r="7220" spans="1:26" ht="12" customHeight="1" outlineLevel="4" x14ac:dyDescent="0.2">
      <c r="A7220" s="40" t="s">
        <v>13844</v>
      </c>
      <c r="B7220" s="75" t="s">
        <v>13845</v>
      </c>
      <c r="C7220" s="51"/>
      <c r="D7220" s="54">
        <f t="shared" si="112"/>
        <v>0</v>
      </c>
      <c r="E7220" s="62"/>
      <c r="F7220" s="42" t="s">
        <v>39</v>
      </c>
      <c r="G7220" s="41" t="s">
        <v>40</v>
      </c>
      <c r="H7220" s="41"/>
      <c r="I7220" s="41"/>
      <c r="J7220" s="43">
        <v>119</v>
      </c>
      <c r="K7220" s="41" t="s">
        <v>1094</v>
      </c>
      <c r="L7220" s="43">
        <v>1</v>
      </c>
      <c r="M7220" s="43">
        <v>1</v>
      </c>
      <c r="N7220" s="43">
        <v>1</v>
      </c>
      <c r="O7220" s="44">
        <v>703.37</v>
      </c>
      <c r="P7220" s="44">
        <v>576.53</v>
      </c>
      <c r="Q7220" s="44">
        <v>626</v>
      </c>
      <c r="R7220" s="44">
        <v>513.11</v>
      </c>
      <c r="S7220" s="44">
        <v>478.29</v>
      </c>
      <c r="T7220" s="44">
        <v>392.04</v>
      </c>
      <c r="U7220" s="42"/>
      <c r="V7220" s="42"/>
      <c r="W7220" s="42" t="s">
        <v>40</v>
      </c>
      <c r="X7220" s="45">
        <v>2.1000000000000001E-2</v>
      </c>
      <c r="Y7220" s="46">
        <v>2.4000000000000001E-4</v>
      </c>
      <c r="Z7220" s="21">
        <v>4601004318076</v>
      </c>
    </row>
    <row r="7221" spans="1:26" ht="12" customHeight="1" outlineLevel="4" x14ac:dyDescent="0.2">
      <c r="A7221" s="40" t="s">
        <v>13846</v>
      </c>
      <c r="B7221" s="75" t="s">
        <v>13847</v>
      </c>
      <c r="C7221" s="51"/>
      <c r="D7221" s="54">
        <f t="shared" si="112"/>
        <v>0</v>
      </c>
      <c r="E7221" s="62"/>
      <c r="F7221" s="42" t="s">
        <v>39</v>
      </c>
      <c r="G7221" s="41" t="s">
        <v>40</v>
      </c>
      <c r="H7221" s="41"/>
      <c r="I7221" s="41"/>
      <c r="J7221" s="43">
        <v>51</v>
      </c>
      <c r="K7221" s="41" t="s">
        <v>1094</v>
      </c>
      <c r="L7221" s="43">
        <v>1</v>
      </c>
      <c r="M7221" s="43">
        <v>1</v>
      </c>
      <c r="N7221" s="43">
        <v>1</v>
      </c>
      <c r="O7221" s="44">
        <v>734.16</v>
      </c>
      <c r="P7221" s="44">
        <v>601.77</v>
      </c>
      <c r="Q7221" s="44">
        <v>653.4</v>
      </c>
      <c r="R7221" s="44">
        <v>535.57000000000005</v>
      </c>
      <c r="S7221" s="44">
        <v>499.23</v>
      </c>
      <c r="T7221" s="44">
        <v>409.2</v>
      </c>
      <c r="U7221" s="42"/>
      <c r="V7221" s="42"/>
      <c r="W7221" s="42" t="s">
        <v>40</v>
      </c>
      <c r="X7221" s="45">
        <v>3.3000000000000002E-2</v>
      </c>
      <c r="Y7221" s="46">
        <v>3.5E-4</v>
      </c>
      <c r="Z7221" s="21">
        <v>4601004318083</v>
      </c>
    </row>
    <row r="7222" spans="1:26" ht="12" customHeight="1" outlineLevel="4" x14ac:dyDescent="0.2">
      <c r="A7222" s="40" t="s">
        <v>13848</v>
      </c>
      <c r="B7222" s="75" t="s">
        <v>13849</v>
      </c>
      <c r="C7222" s="51"/>
      <c r="D7222" s="54">
        <f t="shared" si="112"/>
        <v>0</v>
      </c>
      <c r="E7222" s="62"/>
      <c r="F7222" s="42" t="s">
        <v>39</v>
      </c>
      <c r="G7222" s="41" t="s">
        <v>40</v>
      </c>
      <c r="H7222" s="41"/>
      <c r="I7222" s="41"/>
      <c r="J7222" s="43">
        <v>200</v>
      </c>
      <c r="K7222" s="41" t="s">
        <v>1094</v>
      </c>
      <c r="L7222" s="43">
        <v>1</v>
      </c>
      <c r="M7222" s="43">
        <v>1</v>
      </c>
      <c r="N7222" s="43">
        <v>1</v>
      </c>
      <c r="O7222" s="44">
        <v>766.49</v>
      </c>
      <c r="P7222" s="44">
        <v>628.27</v>
      </c>
      <c r="Q7222" s="44">
        <v>682.18</v>
      </c>
      <c r="R7222" s="44">
        <v>559.16</v>
      </c>
      <c r="S7222" s="44">
        <v>521.21</v>
      </c>
      <c r="T7222" s="44">
        <v>427.22</v>
      </c>
      <c r="U7222" s="42"/>
      <c r="V7222" s="42"/>
      <c r="W7222" s="42" t="s">
        <v>40</v>
      </c>
      <c r="X7222" s="45">
        <v>4.8000000000000001E-2</v>
      </c>
      <c r="Y7222" s="46">
        <v>3.59E-4</v>
      </c>
      <c r="Z7222" s="21">
        <v>4601004318106</v>
      </c>
    </row>
    <row r="7223" spans="1:26" ht="12" customHeight="1" outlineLevel="4" x14ac:dyDescent="0.2">
      <c r="A7223" s="40" t="s">
        <v>13850</v>
      </c>
      <c r="B7223" s="75" t="s">
        <v>13851</v>
      </c>
      <c r="C7223" s="51"/>
      <c r="D7223" s="54">
        <f t="shared" si="112"/>
        <v>0</v>
      </c>
      <c r="E7223" s="62"/>
      <c r="F7223" s="42" t="s">
        <v>39</v>
      </c>
      <c r="G7223" s="41" t="s">
        <v>40</v>
      </c>
      <c r="H7223" s="41"/>
      <c r="I7223" s="41"/>
      <c r="J7223" s="43">
        <v>200</v>
      </c>
      <c r="K7223" s="41"/>
      <c r="L7223" s="43">
        <v>1</v>
      </c>
      <c r="M7223" s="43">
        <v>1</v>
      </c>
      <c r="N7223" s="43">
        <v>1</v>
      </c>
      <c r="O7223" s="44">
        <v>831.12</v>
      </c>
      <c r="P7223" s="44">
        <v>681.25</v>
      </c>
      <c r="Q7223" s="44">
        <v>739.7</v>
      </c>
      <c r="R7223" s="44">
        <v>606.30999999999995</v>
      </c>
      <c r="S7223" s="44">
        <v>565.16</v>
      </c>
      <c r="T7223" s="44">
        <v>463.25</v>
      </c>
      <c r="U7223" s="42"/>
      <c r="V7223" s="42"/>
      <c r="W7223" s="42" t="s">
        <v>40</v>
      </c>
      <c r="X7223" s="45">
        <v>6.5000000000000002E-2</v>
      </c>
      <c r="Y7223" s="46">
        <v>1.0640000000000001E-3</v>
      </c>
      <c r="Z7223" s="21">
        <v>4601004318168</v>
      </c>
    </row>
    <row r="7224" spans="1:26" ht="12" customHeight="1" outlineLevel="4" x14ac:dyDescent="0.2">
      <c r="A7224" s="40" t="s">
        <v>13852</v>
      </c>
      <c r="B7224" s="75" t="s">
        <v>13853</v>
      </c>
      <c r="C7224" s="51"/>
      <c r="D7224" s="54">
        <f t="shared" si="112"/>
        <v>0</v>
      </c>
      <c r="E7224" s="62"/>
      <c r="F7224" s="42" t="s">
        <v>39</v>
      </c>
      <c r="G7224" s="41" t="s">
        <v>40</v>
      </c>
      <c r="H7224" s="41"/>
      <c r="I7224" s="41"/>
      <c r="J7224" s="43">
        <v>50</v>
      </c>
      <c r="K7224" s="41"/>
      <c r="L7224" s="43">
        <v>1</v>
      </c>
      <c r="M7224" s="43">
        <v>1</v>
      </c>
      <c r="N7224" s="43">
        <v>1</v>
      </c>
      <c r="O7224" s="44">
        <v>894.23</v>
      </c>
      <c r="P7224" s="44">
        <v>732.98</v>
      </c>
      <c r="Q7224" s="44">
        <v>795.86</v>
      </c>
      <c r="R7224" s="44">
        <v>652.34</v>
      </c>
      <c r="S7224" s="44">
        <v>608.08000000000004</v>
      </c>
      <c r="T7224" s="44">
        <v>498.43</v>
      </c>
      <c r="U7224" s="42"/>
      <c r="V7224" s="42"/>
      <c r="W7224" s="42" t="s">
        <v>40</v>
      </c>
      <c r="X7224" s="45">
        <v>9.7000000000000003E-2</v>
      </c>
      <c r="Y7224" s="46">
        <v>6.2299999999999996E-4</v>
      </c>
      <c r="Z7224" s="21">
        <v>4601004318113</v>
      </c>
    </row>
    <row r="7225" spans="1:26" ht="12" customHeight="1" outlineLevel="4" x14ac:dyDescent="0.2">
      <c r="A7225" s="32" t="s">
        <v>13854</v>
      </c>
      <c r="B7225" s="74" t="s">
        <v>13855</v>
      </c>
      <c r="C7225" s="50"/>
      <c r="D7225" s="53">
        <f t="shared" si="112"/>
        <v>0</v>
      </c>
      <c r="E7225" s="60" t="str">
        <f>HYPERLINK("https://www.sds-group.ru/product/patch-kord-opticheskiy-soedinitelnyy-sm-9-125-os2-lc-upc-lc-upc-duplex-lszh-3m-50-2117/", "Инфо")</f>
        <v>Инфо</v>
      </c>
      <c r="F7225" s="34" t="s">
        <v>39</v>
      </c>
      <c r="G7225" s="33"/>
      <c r="H7225" s="33" t="s">
        <v>40</v>
      </c>
      <c r="I7225" s="33" t="s">
        <v>13755</v>
      </c>
      <c r="J7225" s="34" t="s">
        <v>100</v>
      </c>
      <c r="K7225" s="33"/>
      <c r="L7225" s="35">
        <v>10</v>
      </c>
      <c r="M7225" s="35">
        <v>100</v>
      </c>
      <c r="N7225" s="35">
        <v>10</v>
      </c>
      <c r="O7225" s="36">
        <v>984.78</v>
      </c>
      <c r="P7225" s="36">
        <v>807.2</v>
      </c>
      <c r="Q7225" s="36">
        <v>984.78</v>
      </c>
      <c r="R7225" s="36">
        <v>807.2</v>
      </c>
      <c r="S7225" s="36">
        <v>590.87</v>
      </c>
      <c r="T7225" s="36">
        <v>484.32</v>
      </c>
      <c r="U7225" s="34"/>
      <c r="V7225" s="34"/>
      <c r="W7225" s="34" t="s">
        <v>40</v>
      </c>
      <c r="X7225" s="37">
        <v>5.5E-2</v>
      </c>
      <c r="Y7225" s="38">
        <v>5.0070000000000002E-3</v>
      </c>
      <c r="Z7225" s="21">
        <v>4601004107144</v>
      </c>
    </row>
    <row r="7226" spans="1:26" ht="12" customHeight="1" outlineLevel="4" x14ac:dyDescent="0.2">
      <c r="A7226" s="32" t="s">
        <v>13856</v>
      </c>
      <c r="B7226" s="74" t="s">
        <v>13857</v>
      </c>
      <c r="C7226" s="50"/>
      <c r="D7226" s="53">
        <f t="shared" si="112"/>
        <v>0</v>
      </c>
      <c r="E7226" s="60" t="str">
        <f>HYPERLINK("https://www.sds-group.ru/product/patch-kord-opticheskiy-soedinitelnyy-sm-9-125-os2-lc-upc-lc-upc-duplex-lszh-5m-rexant-50-2118/", "Инфо")</f>
        <v>Инфо</v>
      </c>
      <c r="F7226" s="34" t="s">
        <v>39</v>
      </c>
      <c r="G7226" s="33"/>
      <c r="H7226" s="33" t="s">
        <v>40</v>
      </c>
      <c r="I7226" s="33" t="s">
        <v>13755</v>
      </c>
      <c r="J7226" s="34" t="s">
        <v>100</v>
      </c>
      <c r="K7226" s="33"/>
      <c r="L7226" s="35">
        <v>10</v>
      </c>
      <c r="M7226" s="35">
        <v>100</v>
      </c>
      <c r="N7226" s="35">
        <v>10</v>
      </c>
      <c r="O7226" s="36">
        <v>1066.26</v>
      </c>
      <c r="P7226" s="36">
        <v>873.98</v>
      </c>
      <c r="Q7226" s="36">
        <v>1066.26</v>
      </c>
      <c r="R7226" s="36">
        <v>873.98</v>
      </c>
      <c r="S7226" s="36">
        <v>639.76</v>
      </c>
      <c r="T7226" s="36">
        <v>524.39</v>
      </c>
      <c r="U7226" s="34"/>
      <c r="V7226" s="34"/>
      <c r="W7226" s="34" t="s">
        <v>40</v>
      </c>
      <c r="X7226" s="37">
        <v>7.6999999999999999E-2</v>
      </c>
      <c r="Y7226" s="38">
        <v>3.424E-3</v>
      </c>
      <c r="Z7226" s="21">
        <v>4601004107151</v>
      </c>
    </row>
    <row r="7227" spans="1:26" ht="12.95" customHeight="1" outlineLevel="3" x14ac:dyDescent="0.2">
      <c r="A7227" s="76" t="s">
        <v>13858</v>
      </c>
      <c r="B7227" s="76"/>
      <c r="C7227" s="77"/>
      <c r="D7227" s="58"/>
      <c r="E7227" s="68"/>
      <c r="F7227" s="13"/>
      <c r="G7227" s="13"/>
      <c r="H7227" s="13"/>
      <c r="I7227" s="13"/>
      <c r="J7227" s="13"/>
      <c r="K7227" s="13"/>
      <c r="L7227" s="13"/>
      <c r="M7227" s="13"/>
      <c r="N7227" s="13"/>
      <c r="O7227" s="13"/>
      <c r="P7227" s="13"/>
      <c r="Q7227" s="13"/>
      <c r="R7227" s="13"/>
      <c r="S7227" s="13"/>
      <c r="T7227" s="13"/>
      <c r="U7227" s="13"/>
      <c r="V7227" s="13"/>
      <c r="W7227" s="13"/>
      <c r="X7227" s="13"/>
      <c r="Y7227" s="13"/>
      <c r="Z7227" s="13"/>
    </row>
    <row r="7228" spans="1:26" ht="12" customHeight="1" outlineLevel="4" x14ac:dyDescent="0.2">
      <c r="A7228" s="14" t="s">
        <v>13859</v>
      </c>
      <c r="B7228" s="26" t="s">
        <v>13860</v>
      </c>
      <c r="C7228" s="52"/>
      <c r="D7228" s="55">
        <f t="shared" si="112"/>
        <v>0</v>
      </c>
      <c r="E7228" s="64"/>
      <c r="F7228" s="16" t="s">
        <v>39</v>
      </c>
      <c r="G7228" s="15"/>
      <c r="H7228" s="15"/>
      <c r="I7228" s="15"/>
      <c r="J7228" s="16" t="s">
        <v>100</v>
      </c>
      <c r="K7228" s="15" t="s">
        <v>1094</v>
      </c>
      <c r="L7228" s="17">
        <v>1</v>
      </c>
      <c r="M7228" s="17">
        <v>1</v>
      </c>
      <c r="N7228" s="17">
        <v>1</v>
      </c>
      <c r="O7228" s="18">
        <v>933.64</v>
      </c>
      <c r="P7228" s="18">
        <v>765.28</v>
      </c>
      <c r="Q7228" s="18">
        <v>830.94</v>
      </c>
      <c r="R7228" s="18">
        <v>681.1</v>
      </c>
      <c r="S7228" s="18">
        <v>634.88</v>
      </c>
      <c r="T7228" s="18">
        <v>520.39</v>
      </c>
      <c r="U7228" s="16"/>
      <c r="V7228" s="16"/>
      <c r="W7228" s="16" t="s">
        <v>40</v>
      </c>
      <c r="X7228" s="25"/>
      <c r="Y7228" s="25"/>
      <c r="Z7228" s="21">
        <v>4601004355538</v>
      </c>
    </row>
    <row r="7229" spans="1:26" ht="12" customHeight="1" outlineLevel="4" x14ac:dyDescent="0.2">
      <c r="A7229" s="14" t="s">
        <v>13861</v>
      </c>
      <c r="B7229" s="26" t="s">
        <v>13862</v>
      </c>
      <c r="C7229" s="52"/>
      <c r="D7229" s="55">
        <f t="shared" si="112"/>
        <v>0</v>
      </c>
      <c r="E7229" s="64"/>
      <c r="F7229" s="16" t="s">
        <v>39</v>
      </c>
      <c r="G7229" s="15"/>
      <c r="H7229" s="15"/>
      <c r="I7229" s="15"/>
      <c r="J7229" s="16" t="s">
        <v>100</v>
      </c>
      <c r="K7229" s="15" t="s">
        <v>1094</v>
      </c>
      <c r="L7229" s="17">
        <v>1</v>
      </c>
      <c r="M7229" s="17">
        <v>1</v>
      </c>
      <c r="N7229" s="17">
        <v>1</v>
      </c>
      <c r="O7229" s="18">
        <v>1081.74</v>
      </c>
      <c r="P7229" s="18">
        <v>886.67</v>
      </c>
      <c r="Q7229" s="18">
        <v>962.75</v>
      </c>
      <c r="R7229" s="18">
        <v>789.14</v>
      </c>
      <c r="S7229" s="18">
        <v>735.58</v>
      </c>
      <c r="T7229" s="18">
        <v>602.92999999999995</v>
      </c>
      <c r="U7229" s="16"/>
      <c r="V7229" s="16"/>
      <c r="W7229" s="16" t="s">
        <v>40</v>
      </c>
      <c r="X7229" s="25"/>
      <c r="Y7229" s="25"/>
      <c r="Z7229" s="21">
        <v>4601004355521</v>
      </c>
    </row>
    <row r="7230" spans="1:26" ht="12" customHeight="1" outlineLevel="4" x14ac:dyDescent="0.2">
      <c r="A7230" s="40" t="s">
        <v>13863</v>
      </c>
      <c r="B7230" s="75" t="s">
        <v>13864</v>
      </c>
      <c r="C7230" s="51"/>
      <c r="D7230" s="54">
        <f t="shared" si="112"/>
        <v>0</v>
      </c>
      <c r="E7230" s="62"/>
      <c r="F7230" s="42" t="s">
        <v>39</v>
      </c>
      <c r="G7230" s="41" t="s">
        <v>40</v>
      </c>
      <c r="H7230" s="41"/>
      <c r="I7230" s="41"/>
      <c r="J7230" s="43">
        <v>100</v>
      </c>
      <c r="K7230" s="41" t="s">
        <v>1094</v>
      </c>
      <c r="L7230" s="43">
        <v>1</v>
      </c>
      <c r="M7230" s="43">
        <v>1</v>
      </c>
      <c r="N7230" s="43">
        <v>1</v>
      </c>
      <c r="O7230" s="44">
        <v>703.37</v>
      </c>
      <c r="P7230" s="44">
        <v>576.53</v>
      </c>
      <c r="Q7230" s="44">
        <v>626</v>
      </c>
      <c r="R7230" s="44">
        <v>513.11</v>
      </c>
      <c r="S7230" s="44">
        <v>478.29</v>
      </c>
      <c r="T7230" s="44">
        <v>392.04</v>
      </c>
      <c r="U7230" s="42"/>
      <c r="V7230" s="42"/>
      <c r="W7230" s="42" t="s">
        <v>40</v>
      </c>
      <c r="X7230" s="45">
        <v>2.5999999999999999E-2</v>
      </c>
      <c r="Y7230" s="46">
        <v>3.6299999999999999E-4</v>
      </c>
      <c r="Z7230" s="21">
        <v>4601004355583</v>
      </c>
    </row>
    <row r="7231" spans="1:26" ht="12" customHeight="1" outlineLevel="4" x14ac:dyDescent="0.2">
      <c r="A7231" s="40" t="s">
        <v>13865</v>
      </c>
      <c r="B7231" s="75" t="s">
        <v>13866</v>
      </c>
      <c r="C7231" s="51"/>
      <c r="D7231" s="54">
        <f t="shared" si="112"/>
        <v>0</v>
      </c>
      <c r="E7231" s="62"/>
      <c r="F7231" s="42" t="s">
        <v>39</v>
      </c>
      <c r="G7231" s="41" t="s">
        <v>40</v>
      </c>
      <c r="H7231" s="41"/>
      <c r="I7231" s="41"/>
      <c r="J7231" s="43">
        <v>75</v>
      </c>
      <c r="K7231" s="41" t="s">
        <v>1094</v>
      </c>
      <c r="L7231" s="43">
        <v>1</v>
      </c>
      <c r="M7231" s="43">
        <v>1</v>
      </c>
      <c r="N7231" s="43">
        <v>1</v>
      </c>
      <c r="O7231" s="44">
        <v>734.16</v>
      </c>
      <c r="P7231" s="44">
        <v>601.77</v>
      </c>
      <c r="Q7231" s="44">
        <v>653.4</v>
      </c>
      <c r="R7231" s="44">
        <v>535.57000000000005</v>
      </c>
      <c r="S7231" s="44">
        <v>499.23</v>
      </c>
      <c r="T7231" s="44">
        <v>409.2</v>
      </c>
      <c r="U7231" s="42"/>
      <c r="V7231" s="42"/>
      <c r="W7231" s="42" t="s">
        <v>40</v>
      </c>
      <c r="X7231" s="45">
        <v>3.5999999999999997E-2</v>
      </c>
      <c r="Y7231" s="46">
        <v>5.2599999999999999E-4</v>
      </c>
      <c r="Z7231" s="21">
        <v>4601004355576</v>
      </c>
    </row>
    <row r="7232" spans="1:26" ht="12" customHeight="1" outlineLevel="4" x14ac:dyDescent="0.2">
      <c r="A7232" s="40" t="s">
        <v>13867</v>
      </c>
      <c r="B7232" s="75" t="s">
        <v>13868</v>
      </c>
      <c r="C7232" s="51"/>
      <c r="D7232" s="54">
        <f t="shared" si="112"/>
        <v>0</v>
      </c>
      <c r="E7232" s="62"/>
      <c r="F7232" s="42" t="s">
        <v>39</v>
      </c>
      <c r="G7232" s="41" t="s">
        <v>40</v>
      </c>
      <c r="H7232" s="41"/>
      <c r="I7232" s="41"/>
      <c r="J7232" s="43">
        <v>200</v>
      </c>
      <c r="K7232" s="41"/>
      <c r="L7232" s="43">
        <v>1</v>
      </c>
      <c r="M7232" s="43">
        <v>1</v>
      </c>
      <c r="N7232" s="43">
        <v>1</v>
      </c>
      <c r="O7232" s="44">
        <v>766.49</v>
      </c>
      <c r="P7232" s="44">
        <v>628.27</v>
      </c>
      <c r="Q7232" s="44">
        <v>682.18</v>
      </c>
      <c r="R7232" s="44">
        <v>559.16</v>
      </c>
      <c r="S7232" s="44">
        <v>521.21</v>
      </c>
      <c r="T7232" s="44">
        <v>427.22</v>
      </c>
      <c r="U7232" s="42"/>
      <c r="V7232" s="42"/>
      <c r="W7232" s="42" t="s">
        <v>40</v>
      </c>
      <c r="X7232" s="45">
        <v>0.05</v>
      </c>
      <c r="Y7232" s="46">
        <v>8.5700000000000001E-4</v>
      </c>
      <c r="Z7232" s="21">
        <v>4601004355569</v>
      </c>
    </row>
    <row r="7233" spans="1:26" ht="12" customHeight="1" outlineLevel="4" x14ac:dyDescent="0.2">
      <c r="A7233" s="40" t="s">
        <v>13869</v>
      </c>
      <c r="B7233" s="75" t="s">
        <v>13870</v>
      </c>
      <c r="C7233" s="51"/>
      <c r="D7233" s="54">
        <f t="shared" si="112"/>
        <v>0</v>
      </c>
      <c r="E7233" s="62"/>
      <c r="F7233" s="42" t="s">
        <v>39</v>
      </c>
      <c r="G7233" s="41" t="s">
        <v>40</v>
      </c>
      <c r="H7233" s="41"/>
      <c r="I7233" s="41"/>
      <c r="J7233" s="43">
        <v>50</v>
      </c>
      <c r="K7233" s="41"/>
      <c r="L7233" s="43">
        <v>1</v>
      </c>
      <c r="M7233" s="43">
        <v>1</v>
      </c>
      <c r="N7233" s="43">
        <v>1</v>
      </c>
      <c r="O7233" s="44">
        <v>831.12</v>
      </c>
      <c r="P7233" s="44">
        <v>681.25</v>
      </c>
      <c r="Q7233" s="44">
        <v>739.7</v>
      </c>
      <c r="R7233" s="44">
        <v>606.30999999999995</v>
      </c>
      <c r="S7233" s="44">
        <v>565.16</v>
      </c>
      <c r="T7233" s="44">
        <v>463.25</v>
      </c>
      <c r="U7233" s="42"/>
      <c r="V7233" s="42"/>
      <c r="W7233" s="42" t="s">
        <v>40</v>
      </c>
      <c r="X7233" s="45">
        <v>7.5999999999999998E-2</v>
      </c>
      <c r="Y7233" s="46">
        <v>1.186E-3</v>
      </c>
      <c r="Z7233" s="21">
        <v>4601004355552</v>
      </c>
    </row>
    <row r="7234" spans="1:26" ht="12" customHeight="1" outlineLevel="4" x14ac:dyDescent="0.2">
      <c r="A7234" s="14" t="s">
        <v>13871</v>
      </c>
      <c r="B7234" s="26" t="s">
        <v>13872</v>
      </c>
      <c r="C7234" s="52"/>
      <c r="D7234" s="55">
        <f t="shared" si="112"/>
        <v>0</v>
      </c>
      <c r="E7234" s="64"/>
      <c r="F7234" s="16" t="s">
        <v>39</v>
      </c>
      <c r="G7234" s="15"/>
      <c r="H7234" s="15"/>
      <c r="I7234" s="15"/>
      <c r="J7234" s="16" t="s">
        <v>100</v>
      </c>
      <c r="K7234" s="15" t="s">
        <v>1094</v>
      </c>
      <c r="L7234" s="17">
        <v>1</v>
      </c>
      <c r="M7234" s="17">
        <v>1</v>
      </c>
      <c r="N7234" s="17">
        <v>1</v>
      </c>
      <c r="O7234" s="18">
        <v>843.61</v>
      </c>
      <c r="P7234" s="18">
        <v>691.48</v>
      </c>
      <c r="Q7234" s="18">
        <v>750.81</v>
      </c>
      <c r="R7234" s="18">
        <v>615.41999999999996</v>
      </c>
      <c r="S7234" s="18">
        <v>573.65</v>
      </c>
      <c r="T7234" s="18">
        <v>470.2</v>
      </c>
      <c r="U7234" s="16"/>
      <c r="V7234" s="16"/>
      <c r="W7234" s="16" t="s">
        <v>40</v>
      </c>
      <c r="X7234" s="25"/>
      <c r="Y7234" s="25"/>
      <c r="Z7234" s="21">
        <v>4601004355545</v>
      </c>
    </row>
    <row r="7235" spans="1:26" ht="12" customHeight="1" outlineLevel="4" x14ac:dyDescent="0.2">
      <c r="A7235" s="32" t="s">
        <v>13873</v>
      </c>
      <c r="B7235" s="74" t="s">
        <v>13874</v>
      </c>
      <c r="C7235" s="50"/>
      <c r="D7235" s="53">
        <f t="shared" si="112"/>
        <v>0</v>
      </c>
      <c r="E7235" s="60" t="str">
        <f>HYPERLINK("https://www.sds-group.ru/product/patch-kord-opticheskiy-perehodnoy-sm-9-125-os2-lc-upc-sc-upc-duplex-lszh-1m-rexant-50-2409/", "Инфо")</f>
        <v>Инфо</v>
      </c>
      <c r="F7235" s="34" t="s">
        <v>39</v>
      </c>
      <c r="G7235" s="33"/>
      <c r="H7235" s="33" t="s">
        <v>40</v>
      </c>
      <c r="I7235" s="33" t="s">
        <v>13755</v>
      </c>
      <c r="J7235" s="34" t="s">
        <v>100</v>
      </c>
      <c r="K7235" s="33"/>
      <c r="L7235" s="35">
        <v>10</v>
      </c>
      <c r="M7235" s="35">
        <v>100</v>
      </c>
      <c r="N7235" s="35">
        <v>10</v>
      </c>
      <c r="O7235" s="36">
        <v>897.12</v>
      </c>
      <c r="P7235" s="36">
        <v>735.34</v>
      </c>
      <c r="Q7235" s="36">
        <v>897.12</v>
      </c>
      <c r="R7235" s="36">
        <v>735.34</v>
      </c>
      <c r="S7235" s="36">
        <v>538.27</v>
      </c>
      <c r="T7235" s="36">
        <v>441.2</v>
      </c>
      <c r="U7235" s="34"/>
      <c r="V7235" s="34"/>
      <c r="W7235" s="34" t="s">
        <v>40</v>
      </c>
      <c r="X7235" s="37">
        <v>1.6E-2</v>
      </c>
      <c r="Y7235" s="38">
        <v>3.5100000000000002E-4</v>
      </c>
      <c r="Z7235" s="21">
        <v>4601004108356</v>
      </c>
    </row>
    <row r="7236" spans="1:26" ht="12" customHeight="1" outlineLevel="4" x14ac:dyDescent="0.2">
      <c r="A7236" s="14" t="s">
        <v>13875</v>
      </c>
      <c r="B7236" s="26" t="s">
        <v>13876</v>
      </c>
      <c r="C7236" s="52"/>
      <c r="D7236" s="55">
        <f t="shared" si="112"/>
        <v>0</v>
      </c>
      <c r="E7236" s="63" t="str">
        <f>HYPERLINK("https://www.sds-group.ru/product/patch-kord-opticheskiy-sm-9-125-os2-lc-upc-sc-upc-3mm-duplex-lszh-2m-24141/", "Инфо")</f>
        <v>Инфо</v>
      </c>
      <c r="F7236" s="16" t="s">
        <v>39</v>
      </c>
      <c r="G7236" s="15"/>
      <c r="H7236" s="15"/>
      <c r="I7236" s="15" t="s">
        <v>13755</v>
      </c>
      <c r="J7236" s="16" t="s">
        <v>100</v>
      </c>
      <c r="K7236" s="15"/>
      <c r="L7236" s="17">
        <v>1</v>
      </c>
      <c r="M7236" s="17">
        <v>100</v>
      </c>
      <c r="N7236" s="17">
        <v>1</v>
      </c>
      <c r="O7236" s="18">
        <v>1012.15</v>
      </c>
      <c r="P7236" s="18">
        <v>829.63</v>
      </c>
      <c r="Q7236" s="18">
        <v>1012.15</v>
      </c>
      <c r="R7236" s="18">
        <v>829.63</v>
      </c>
      <c r="S7236" s="18">
        <v>607.29</v>
      </c>
      <c r="T7236" s="18">
        <v>497.78</v>
      </c>
      <c r="U7236" s="16"/>
      <c r="V7236" s="16"/>
      <c r="W7236" s="16" t="s">
        <v>40</v>
      </c>
      <c r="X7236" s="19">
        <v>0.03</v>
      </c>
      <c r="Y7236" s="20">
        <v>1.02E-4</v>
      </c>
      <c r="Z7236" s="21">
        <v>2000321632438</v>
      </c>
    </row>
    <row r="7237" spans="1:26" ht="12" customHeight="1" outlineLevel="4" x14ac:dyDescent="0.2">
      <c r="A7237" s="32" t="s">
        <v>13877</v>
      </c>
      <c r="B7237" s="74" t="s">
        <v>13878</v>
      </c>
      <c r="C7237" s="50"/>
      <c r="D7237" s="53">
        <f t="shared" si="112"/>
        <v>0</v>
      </c>
      <c r="E7237" s="60" t="str">
        <f>HYPERLINK("https://www.sds-group.ru/product/patch-kord-opticheskiy-perehodnoy-sm-9-125-os2-lc-upc-sc-upc-duplex-lszh-2m-rexant-50-2410/", "Инфо")</f>
        <v>Инфо</v>
      </c>
      <c r="F7237" s="34" t="s">
        <v>39</v>
      </c>
      <c r="G7237" s="33"/>
      <c r="H7237" s="33" t="s">
        <v>40</v>
      </c>
      <c r="I7237" s="33" t="s">
        <v>13755</v>
      </c>
      <c r="J7237" s="34" t="s">
        <v>100</v>
      </c>
      <c r="K7237" s="33"/>
      <c r="L7237" s="35">
        <v>10</v>
      </c>
      <c r="M7237" s="35">
        <v>100</v>
      </c>
      <c r="N7237" s="35">
        <v>10</v>
      </c>
      <c r="O7237" s="36">
        <v>944.03</v>
      </c>
      <c r="P7237" s="36">
        <v>773.8</v>
      </c>
      <c r="Q7237" s="36">
        <v>944.03</v>
      </c>
      <c r="R7237" s="36">
        <v>773.8</v>
      </c>
      <c r="S7237" s="36">
        <v>566.41999999999996</v>
      </c>
      <c r="T7237" s="36">
        <v>464.28</v>
      </c>
      <c r="U7237" s="34"/>
      <c r="V7237" s="34"/>
      <c r="W7237" s="34" t="s">
        <v>40</v>
      </c>
      <c r="X7237" s="37">
        <v>3.7999999999999999E-2</v>
      </c>
      <c r="Y7237" s="38">
        <v>7.7800000000000015E-4</v>
      </c>
      <c r="Z7237" s="21">
        <v>4601004108363</v>
      </c>
    </row>
    <row r="7238" spans="1:26" ht="12" customHeight="1" outlineLevel="4" x14ac:dyDescent="0.2">
      <c r="A7238" s="32" t="s">
        <v>13879</v>
      </c>
      <c r="B7238" s="74" t="s">
        <v>13880</v>
      </c>
      <c r="C7238" s="50"/>
      <c r="D7238" s="53">
        <f t="shared" si="112"/>
        <v>0</v>
      </c>
      <c r="E7238" s="60" t="str">
        <f>HYPERLINK("https://www.sds-group.ru/product/patch-kord-opticheskiy-perehodnoy-sm-9-125-os2-lc-upc-sc-upc-duplex-lszh-3m-rexant-50-2411/", "Инфо")</f>
        <v>Инфо</v>
      </c>
      <c r="F7238" s="34" t="s">
        <v>39</v>
      </c>
      <c r="G7238" s="33"/>
      <c r="H7238" s="33" t="s">
        <v>40</v>
      </c>
      <c r="I7238" s="33" t="s">
        <v>13755</v>
      </c>
      <c r="J7238" s="34" t="s">
        <v>100</v>
      </c>
      <c r="K7238" s="33"/>
      <c r="L7238" s="35">
        <v>10</v>
      </c>
      <c r="M7238" s="35">
        <v>100</v>
      </c>
      <c r="N7238" s="35">
        <v>10</v>
      </c>
      <c r="O7238" s="36">
        <v>984.78</v>
      </c>
      <c r="P7238" s="36">
        <v>807.2</v>
      </c>
      <c r="Q7238" s="36">
        <v>984.78</v>
      </c>
      <c r="R7238" s="36">
        <v>807.2</v>
      </c>
      <c r="S7238" s="36">
        <v>590.87</v>
      </c>
      <c r="T7238" s="36">
        <v>484.32</v>
      </c>
      <c r="U7238" s="34"/>
      <c r="V7238" s="34"/>
      <c r="W7238" s="34" t="s">
        <v>40</v>
      </c>
      <c r="X7238" s="37">
        <v>0.05</v>
      </c>
      <c r="Y7238" s="38">
        <v>7.3899999999999997E-4</v>
      </c>
      <c r="Z7238" s="21">
        <v>4601004108370</v>
      </c>
    </row>
    <row r="7239" spans="1:26" ht="12.95" customHeight="1" outlineLevel="3" x14ac:dyDescent="0.2">
      <c r="A7239" s="76" t="s">
        <v>13881</v>
      </c>
      <c r="B7239" s="76"/>
      <c r="C7239" s="77"/>
      <c r="D7239" s="58"/>
      <c r="E7239" s="68"/>
      <c r="F7239" s="13"/>
      <c r="G7239" s="13"/>
      <c r="H7239" s="13"/>
      <c r="I7239" s="13"/>
      <c r="J7239" s="13"/>
      <c r="K7239" s="13"/>
      <c r="L7239" s="13"/>
      <c r="M7239" s="13"/>
      <c r="N7239" s="13"/>
      <c r="O7239" s="13"/>
      <c r="P7239" s="13"/>
      <c r="Q7239" s="13"/>
      <c r="R7239" s="13"/>
      <c r="S7239" s="13"/>
      <c r="T7239" s="13"/>
      <c r="U7239" s="13"/>
      <c r="V7239" s="13"/>
      <c r="W7239" s="13"/>
      <c r="X7239" s="13"/>
      <c r="Y7239" s="13"/>
      <c r="Z7239" s="13"/>
    </row>
    <row r="7240" spans="1:26" ht="12" customHeight="1" outlineLevel="4" x14ac:dyDescent="0.2">
      <c r="A7240" s="14" t="s">
        <v>13882</v>
      </c>
      <c r="B7240" s="26" t="s">
        <v>13883</v>
      </c>
      <c r="C7240" s="52"/>
      <c r="D7240" s="55">
        <f t="shared" si="112"/>
        <v>0</v>
      </c>
      <c r="E7240" s="64"/>
      <c r="F7240" s="16" t="s">
        <v>39</v>
      </c>
      <c r="G7240" s="15"/>
      <c r="H7240" s="15"/>
      <c r="I7240" s="15"/>
      <c r="J7240" s="16" t="s">
        <v>100</v>
      </c>
      <c r="K7240" s="15" t="s">
        <v>1094</v>
      </c>
      <c r="L7240" s="17">
        <v>1</v>
      </c>
      <c r="M7240" s="16"/>
      <c r="N7240" s="17">
        <v>1</v>
      </c>
      <c r="O7240" s="18">
        <v>933.64</v>
      </c>
      <c r="P7240" s="18">
        <v>765.28</v>
      </c>
      <c r="Q7240" s="18">
        <v>830.94</v>
      </c>
      <c r="R7240" s="18">
        <v>681.1</v>
      </c>
      <c r="S7240" s="18">
        <v>634.88</v>
      </c>
      <c r="T7240" s="18">
        <v>520.39</v>
      </c>
      <c r="U7240" s="16"/>
      <c r="V7240" s="16"/>
      <c r="W7240" s="16" t="s">
        <v>40</v>
      </c>
      <c r="X7240" s="25"/>
      <c r="Y7240" s="25"/>
      <c r="Z7240" s="21">
        <v>4601004318748</v>
      </c>
    </row>
    <row r="7241" spans="1:26" ht="12" customHeight="1" outlineLevel="4" x14ac:dyDescent="0.2">
      <c r="A7241" s="14" t="s">
        <v>13884</v>
      </c>
      <c r="B7241" s="26" t="s">
        <v>13885</v>
      </c>
      <c r="C7241" s="52"/>
      <c r="D7241" s="55">
        <f t="shared" ref="D7241:D7304" si="113">C7241*(O7241-O7241*$G$3)</f>
        <v>0</v>
      </c>
      <c r="E7241" s="64"/>
      <c r="F7241" s="16" t="s">
        <v>39</v>
      </c>
      <c r="G7241" s="15"/>
      <c r="H7241" s="15"/>
      <c r="I7241" s="15"/>
      <c r="J7241" s="16" t="s">
        <v>100</v>
      </c>
      <c r="K7241" s="15" t="s">
        <v>1094</v>
      </c>
      <c r="L7241" s="17">
        <v>1</v>
      </c>
      <c r="M7241" s="16"/>
      <c r="N7241" s="17">
        <v>1</v>
      </c>
      <c r="O7241" s="18">
        <v>1081.74</v>
      </c>
      <c r="P7241" s="18">
        <v>886.67</v>
      </c>
      <c r="Q7241" s="18">
        <v>962.75</v>
      </c>
      <c r="R7241" s="18">
        <v>789.14</v>
      </c>
      <c r="S7241" s="18">
        <v>735.58</v>
      </c>
      <c r="T7241" s="18">
        <v>602.92999999999995</v>
      </c>
      <c r="U7241" s="16"/>
      <c r="V7241" s="16"/>
      <c r="W7241" s="16" t="s">
        <v>40</v>
      </c>
      <c r="X7241" s="25"/>
      <c r="Y7241" s="25"/>
      <c r="Z7241" s="21">
        <v>4601004318755</v>
      </c>
    </row>
    <row r="7242" spans="1:26" ht="12" customHeight="1" outlineLevel="4" x14ac:dyDescent="0.2">
      <c r="A7242" s="40" t="s">
        <v>13886</v>
      </c>
      <c r="B7242" s="75" t="s">
        <v>13887</v>
      </c>
      <c r="C7242" s="51"/>
      <c r="D7242" s="54">
        <f t="shared" si="113"/>
        <v>0</v>
      </c>
      <c r="E7242" s="62"/>
      <c r="F7242" s="42" t="s">
        <v>39</v>
      </c>
      <c r="G7242" s="41" t="s">
        <v>40</v>
      </c>
      <c r="H7242" s="41"/>
      <c r="I7242" s="41"/>
      <c r="J7242" s="43">
        <v>60</v>
      </c>
      <c r="K7242" s="41" t="s">
        <v>1094</v>
      </c>
      <c r="L7242" s="43">
        <v>1</v>
      </c>
      <c r="M7242" s="43">
        <v>1</v>
      </c>
      <c r="N7242" s="43">
        <v>1</v>
      </c>
      <c r="O7242" s="44">
        <v>703.37</v>
      </c>
      <c r="P7242" s="44">
        <v>576.53</v>
      </c>
      <c r="Q7242" s="44">
        <v>626</v>
      </c>
      <c r="R7242" s="44">
        <v>513.11</v>
      </c>
      <c r="S7242" s="44">
        <v>478.29</v>
      </c>
      <c r="T7242" s="44">
        <v>392.04</v>
      </c>
      <c r="U7242" s="42"/>
      <c r="V7242" s="42"/>
      <c r="W7242" s="42" t="s">
        <v>40</v>
      </c>
      <c r="X7242" s="45">
        <v>2.8000000000000001E-2</v>
      </c>
      <c r="Y7242" s="46">
        <v>1.7899999999999999E-4</v>
      </c>
      <c r="Z7242" s="21">
        <v>4601004318700</v>
      </c>
    </row>
    <row r="7243" spans="1:26" ht="12" customHeight="1" outlineLevel="4" x14ac:dyDescent="0.2">
      <c r="A7243" s="14" t="s">
        <v>13888</v>
      </c>
      <c r="B7243" s="26" t="s">
        <v>13889</v>
      </c>
      <c r="C7243" s="52"/>
      <c r="D7243" s="55">
        <f t="shared" si="113"/>
        <v>0</v>
      </c>
      <c r="E7243" s="64"/>
      <c r="F7243" s="16" t="s">
        <v>39</v>
      </c>
      <c r="G7243" s="15"/>
      <c r="H7243" s="15"/>
      <c r="I7243" s="15"/>
      <c r="J7243" s="16" t="s">
        <v>100</v>
      </c>
      <c r="K7243" s="15" t="s">
        <v>1094</v>
      </c>
      <c r="L7243" s="17">
        <v>1</v>
      </c>
      <c r="M7243" s="16"/>
      <c r="N7243" s="17">
        <v>1</v>
      </c>
      <c r="O7243" s="18">
        <v>692.6</v>
      </c>
      <c r="P7243" s="18">
        <v>567.70000000000005</v>
      </c>
      <c r="Q7243" s="18">
        <v>616.41</v>
      </c>
      <c r="R7243" s="18">
        <v>505.25</v>
      </c>
      <c r="S7243" s="18">
        <v>470.97</v>
      </c>
      <c r="T7243" s="18">
        <v>386.04</v>
      </c>
      <c r="U7243" s="16"/>
      <c r="V7243" s="16"/>
      <c r="W7243" s="16" t="s">
        <v>40</v>
      </c>
      <c r="X7243" s="25"/>
      <c r="Y7243" s="25"/>
      <c r="Z7243" s="21">
        <v>4601004318779</v>
      </c>
    </row>
    <row r="7244" spans="1:26" ht="12" customHeight="1" outlineLevel="4" x14ac:dyDescent="0.2">
      <c r="A7244" s="14" t="s">
        <v>13890</v>
      </c>
      <c r="B7244" s="26" t="s">
        <v>13891</v>
      </c>
      <c r="C7244" s="52"/>
      <c r="D7244" s="55">
        <f t="shared" si="113"/>
        <v>0</v>
      </c>
      <c r="E7244" s="64"/>
      <c r="F7244" s="16" t="s">
        <v>39</v>
      </c>
      <c r="G7244" s="15"/>
      <c r="H7244" s="15"/>
      <c r="I7244" s="15"/>
      <c r="J7244" s="16" t="s">
        <v>100</v>
      </c>
      <c r="K7244" s="15" t="s">
        <v>1094</v>
      </c>
      <c r="L7244" s="17">
        <v>1</v>
      </c>
      <c r="M7244" s="16"/>
      <c r="N7244" s="17">
        <v>1</v>
      </c>
      <c r="O7244" s="18">
        <v>723.1</v>
      </c>
      <c r="P7244" s="18">
        <v>592.70000000000005</v>
      </c>
      <c r="Q7244" s="18">
        <v>643.55999999999995</v>
      </c>
      <c r="R7244" s="18">
        <v>527.51</v>
      </c>
      <c r="S7244" s="18">
        <v>491.71</v>
      </c>
      <c r="T7244" s="18">
        <v>403.04</v>
      </c>
      <c r="U7244" s="16"/>
      <c r="V7244" s="16"/>
      <c r="W7244" s="16" t="s">
        <v>40</v>
      </c>
      <c r="X7244" s="25"/>
      <c r="Y7244" s="25"/>
      <c r="Z7244" s="21">
        <v>4601004318717</v>
      </c>
    </row>
    <row r="7245" spans="1:26" ht="12" customHeight="1" outlineLevel="4" x14ac:dyDescent="0.2">
      <c r="A7245" s="14" t="s">
        <v>13892</v>
      </c>
      <c r="B7245" s="26" t="s">
        <v>13893</v>
      </c>
      <c r="C7245" s="52"/>
      <c r="D7245" s="55">
        <f t="shared" si="113"/>
        <v>0</v>
      </c>
      <c r="E7245" s="64"/>
      <c r="F7245" s="16" t="s">
        <v>39</v>
      </c>
      <c r="G7245" s="15"/>
      <c r="H7245" s="15"/>
      <c r="I7245" s="15"/>
      <c r="J7245" s="16" t="s">
        <v>100</v>
      </c>
      <c r="K7245" s="15" t="s">
        <v>1094</v>
      </c>
      <c r="L7245" s="17">
        <v>1</v>
      </c>
      <c r="M7245" s="16"/>
      <c r="N7245" s="17">
        <v>1</v>
      </c>
      <c r="O7245" s="18">
        <v>784.08</v>
      </c>
      <c r="P7245" s="18">
        <v>642.69000000000005</v>
      </c>
      <c r="Q7245" s="18">
        <v>697.83</v>
      </c>
      <c r="R7245" s="18">
        <v>571.99</v>
      </c>
      <c r="S7245" s="18">
        <v>533.16999999999996</v>
      </c>
      <c r="T7245" s="18">
        <v>437.02</v>
      </c>
      <c r="U7245" s="16"/>
      <c r="V7245" s="16"/>
      <c r="W7245" s="16" t="s">
        <v>40</v>
      </c>
      <c r="X7245" s="25"/>
      <c r="Y7245" s="25"/>
      <c r="Z7245" s="21">
        <v>4601004318724</v>
      </c>
    </row>
    <row r="7246" spans="1:26" ht="12" customHeight="1" outlineLevel="4" x14ac:dyDescent="0.2">
      <c r="A7246" s="14" t="s">
        <v>13894</v>
      </c>
      <c r="B7246" s="26" t="s">
        <v>13895</v>
      </c>
      <c r="C7246" s="52"/>
      <c r="D7246" s="55">
        <f t="shared" si="113"/>
        <v>0</v>
      </c>
      <c r="E7246" s="64"/>
      <c r="F7246" s="16" t="s">
        <v>39</v>
      </c>
      <c r="G7246" s="15"/>
      <c r="H7246" s="15"/>
      <c r="I7246" s="15"/>
      <c r="J7246" s="16" t="s">
        <v>100</v>
      </c>
      <c r="K7246" s="15" t="s">
        <v>1094</v>
      </c>
      <c r="L7246" s="17">
        <v>1</v>
      </c>
      <c r="M7246" s="16"/>
      <c r="N7246" s="17">
        <v>1</v>
      </c>
      <c r="O7246" s="18">
        <v>843.61</v>
      </c>
      <c r="P7246" s="18">
        <v>691.48</v>
      </c>
      <c r="Q7246" s="18">
        <v>750.81</v>
      </c>
      <c r="R7246" s="18">
        <v>615.41999999999996</v>
      </c>
      <c r="S7246" s="18">
        <v>573.65</v>
      </c>
      <c r="T7246" s="18">
        <v>470.2</v>
      </c>
      <c r="U7246" s="16"/>
      <c r="V7246" s="16"/>
      <c r="W7246" s="16" t="s">
        <v>40</v>
      </c>
      <c r="X7246" s="25"/>
      <c r="Y7246" s="25"/>
      <c r="Z7246" s="21">
        <v>4601004318731</v>
      </c>
    </row>
    <row r="7247" spans="1:26" ht="12" customHeight="1" outlineLevel="4" x14ac:dyDescent="0.2">
      <c r="A7247" s="32" t="s">
        <v>13896</v>
      </c>
      <c r="B7247" s="74" t="s">
        <v>13897</v>
      </c>
      <c r="C7247" s="50"/>
      <c r="D7247" s="53">
        <f t="shared" si="113"/>
        <v>0</v>
      </c>
      <c r="E7247" s="60" t="str">
        <f>HYPERLINK("https://www.sds-group.ru/product/patch-kord-opticheskiy-soedinitelnyy-sm-9-125-os2-sc-upc-sc-upc-duplex-lszh-1m-50-2011/", "Инфо")</f>
        <v>Инфо</v>
      </c>
      <c r="F7247" s="34" t="s">
        <v>39</v>
      </c>
      <c r="G7247" s="33"/>
      <c r="H7247" s="33" t="s">
        <v>40</v>
      </c>
      <c r="I7247" s="33" t="s">
        <v>13755</v>
      </c>
      <c r="J7247" s="34" t="s">
        <v>100</v>
      </c>
      <c r="K7247" s="33"/>
      <c r="L7247" s="35">
        <v>10</v>
      </c>
      <c r="M7247" s="35">
        <v>100</v>
      </c>
      <c r="N7247" s="35">
        <v>10</v>
      </c>
      <c r="O7247" s="36">
        <v>903.27</v>
      </c>
      <c r="P7247" s="36">
        <v>740.39</v>
      </c>
      <c r="Q7247" s="36">
        <v>903.27</v>
      </c>
      <c r="R7247" s="36">
        <v>740.39</v>
      </c>
      <c r="S7247" s="36">
        <v>541.96</v>
      </c>
      <c r="T7247" s="36">
        <v>444.23</v>
      </c>
      <c r="U7247" s="34"/>
      <c r="V7247" s="34"/>
      <c r="W7247" s="34" t="s">
        <v>40</v>
      </c>
      <c r="X7247" s="37">
        <v>2.5999999999999999E-2</v>
      </c>
      <c r="Y7247" s="38">
        <v>8.1099999999999998E-4</v>
      </c>
      <c r="Z7247" s="21">
        <v>4601004106604</v>
      </c>
    </row>
    <row r="7248" spans="1:26" ht="12" customHeight="1" outlineLevel="4" x14ac:dyDescent="0.2">
      <c r="A7248" s="32" t="s">
        <v>13898</v>
      </c>
      <c r="B7248" s="74" t="s">
        <v>13899</v>
      </c>
      <c r="C7248" s="50"/>
      <c r="D7248" s="53">
        <f t="shared" si="113"/>
        <v>0</v>
      </c>
      <c r="E7248" s="60" t="str">
        <f>HYPERLINK("https://www.sds-group.ru/product/patch-kord-opticheskiy-soedinitelnyy-sm-9-125-os2-sc-upc-sc-upc-duplex-lszh-2m-rexant-50-2012/", "Инфо")</f>
        <v>Инфо</v>
      </c>
      <c r="F7248" s="34" t="s">
        <v>39</v>
      </c>
      <c r="G7248" s="33"/>
      <c r="H7248" s="33" t="s">
        <v>40</v>
      </c>
      <c r="I7248" s="33" t="s">
        <v>13755</v>
      </c>
      <c r="J7248" s="34" t="s">
        <v>100</v>
      </c>
      <c r="K7248" s="33"/>
      <c r="L7248" s="35">
        <v>10</v>
      </c>
      <c r="M7248" s="35">
        <v>100</v>
      </c>
      <c r="N7248" s="35">
        <v>10</v>
      </c>
      <c r="O7248" s="36">
        <v>944.03</v>
      </c>
      <c r="P7248" s="36">
        <v>773.8</v>
      </c>
      <c r="Q7248" s="36">
        <v>944.03</v>
      </c>
      <c r="R7248" s="36">
        <v>773.8</v>
      </c>
      <c r="S7248" s="36">
        <v>566.41999999999996</v>
      </c>
      <c r="T7248" s="36">
        <v>464.28</v>
      </c>
      <c r="U7248" s="34"/>
      <c r="V7248" s="34"/>
      <c r="W7248" s="34" t="s">
        <v>40</v>
      </c>
      <c r="X7248" s="37">
        <v>3.3000000000000002E-2</v>
      </c>
      <c r="Y7248" s="38">
        <v>3.4200000000000002E-4</v>
      </c>
      <c r="Z7248" s="21">
        <v>4601004106611</v>
      </c>
    </row>
    <row r="7249" spans="1:26" ht="12" customHeight="1" outlineLevel="4" x14ac:dyDescent="0.2">
      <c r="A7249" s="32" t="s">
        <v>13900</v>
      </c>
      <c r="B7249" s="74" t="s">
        <v>13901</v>
      </c>
      <c r="C7249" s="50"/>
      <c r="D7249" s="53">
        <f t="shared" si="113"/>
        <v>0</v>
      </c>
      <c r="E7249" s="60" t="str">
        <f>HYPERLINK("https://www.sds-group.ru/product/patch-kord-opticheskiy-soedinitelnyy-sm-9-125-os2-sc-upc-sc-upc-duplex-lszh-3m-50-2013/", "Инфо")</f>
        <v>Инфо</v>
      </c>
      <c r="F7249" s="34" t="s">
        <v>39</v>
      </c>
      <c r="G7249" s="33"/>
      <c r="H7249" s="33" t="s">
        <v>40</v>
      </c>
      <c r="I7249" s="33" t="s">
        <v>13755</v>
      </c>
      <c r="J7249" s="34" t="s">
        <v>100</v>
      </c>
      <c r="K7249" s="33"/>
      <c r="L7249" s="35">
        <v>10</v>
      </c>
      <c r="M7249" s="35">
        <v>100</v>
      </c>
      <c r="N7249" s="35">
        <v>10</v>
      </c>
      <c r="O7249" s="36">
        <v>984.78</v>
      </c>
      <c r="P7249" s="36">
        <v>807.2</v>
      </c>
      <c r="Q7249" s="36">
        <v>984.78</v>
      </c>
      <c r="R7249" s="36">
        <v>807.2</v>
      </c>
      <c r="S7249" s="36">
        <v>590.87</v>
      </c>
      <c r="T7249" s="36">
        <v>484.32</v>
      </c>
      <c r="U7249" s="34"/>
      <c r="V7249" s="34"/>
      <c r="W7249" s="34" t="s">
        <v>40</v>
      </c>
      <c r="X7249" s="37">
        <v>4.4999999999999998E-2</v>
      </c>
      <c r="Y7249" s="38">
        <v>4.5600000000000003E-4</v>
      </c>
      <c r="Z7249" s="21">
        <v>4601004106628</v>
      </c>
    </row>
    <row r="7250" spans="1:26" ht="12" customHeight="1" outlineLevel="4" x14ac:dyDescent="0.2">
      <c r="A7250" s="32" t="s">
        <v>13902</v>
      </c>
      <c r="B7250" s="74" t="s">
        <v>13903</v>
      </c>
      <c r="C7250" s="50"/>
      <c r="D7250" s="53">
        <f t="shared" si="113"/>
        <v>0</v>
      </c>
      <c r="E7250" s="60" t="str">
        <f>HYPERLINK("https://www.sds-group.ru/product/patch-kord-opticheskiy-soedinitelnyy-sm-9-125-os2-sc-upc-sc-upc-duplex-lszh-5m-rexant-50-2014/", "Инфо")</f>
        <v>Инфо</v>
      </c>
      <c r="F7250" s="34" t="s">
        <v>39</v>
      </c>
      <c r="G7250" s="33"/>
      <c r="H7250" s="33" t="s">
        <v>40</v>
      </c>
      <c r="I7250" s="33" t="s">
        <v>13755</v>
      </c>
      <c r="J7250" s="34" t="s">
        <v>100</v>
      </c>
      <c r="K7250" s="33"/>
      <c r="L7250" s="35">
        <v>10</v>
      </c>
      <c r="M7250" s="35">
        <v>100</v>
      </c>
      <c r="N7250" s="35">
        <v>10</v>
      </c>
      <c r="O7250" s="36">
        <v>1066.26</v>
      </c>
      <c r="P7250" s="36">
        <v>873.98</v>
      </c>
      <c r="Q7250" s="36">
        <v>1066.26</v>
      </c>
      <c r="R7250" s="36">
        <v>873.98</v>
      </c>
      <c r="S7250" s="36">
        <v>639.76</v>
      </c>
      <c r="T7250" s="36">
        <v>524.39</v>
      </c>
      <c r="U7250" s="34"/>
      <c r="V7250" s="34"/>
      <c r="W7250" s="34" t="s">
        <v>40</v>
      </c>
      <c r="X7250" s="37">
        <v>8.3000000000000004E-2</v>
      </c>
      <c r="Y7250" s="38">
        <v>8.8199999999999997E-4</v>
      </c>
      <c r="Z7250" s="21">
        <v>4601004106635</v>
      </c>
    </row>
    <row r="7251" spans="1:26" ht="12.95" customHeight="1" outlineLevel="2" x14ac:dyDescent="0.2">
      <c r="A7251" s="76" t="s">
        <v>13904</v>
      </c>
      <c r="B7251" s="76"/>
      <c r="C7251" s="77"/>
      <c r="D7251" s="58"/>
      <c r="E7251" s="68"/>
      <c r="F7251" s="13"/>
      <c r="G7251" s="13"/>
      <c r="H7251" s="13"/>
      <c r="I7251" s="13"/>
      <c r="J7251" s="13"/>
      <c r="K7251" s="13"/>
      <c r="L7251" s="13"/>
      <c r="M7251" s="13"/>
      <c r="N7251" s="13"/>
      <c r="O7251" s="13"/>
      <c r="P7251" s="13"/>
      <c r="Q7251" s="13"/>
      <c r="R7251" s="13"/>
      <c r="S7251" s="13"/>
      <c r="T7251" s="13"/>
      <c r="U7251" s="13"/>
      <c r="V7251" s="13"/>
      <c r="W7251" s="13"/>
      <c r="X7251" s="13"/>
      <c r="Y7251" s="13"/>
      <c r="Z7251" s="13"/>
    </row>
    <row r="7252" spans="1:26" ht="12.95" customHeight="1" outlineLevel="3" x14ac:dyDescent="0.2">
      <c r="A7252" s="76" t="s">
        <v>13905</v>
      </c>
      <c r="B7252" s="76"/>
      <c r="C7252" s="77"/>
      <c r="D7252" s="58"/>
      <c r="E7252" s="68"/>
      <c r="F7252" s="13"/>
      <c r="G7252" s="13"/>
      <c r="H7252" s="13"/>
      <c r="I7252" s="13"/>
      <c r="J7252" s="13"/>
      <c r="K7252" s="13"/>
      <c r="L7252" s="13"/>
      <c r="M7252" s="13"/>
      <c r="N7252" s="13"/>
      <c r="O7252" s="13"/>
      <c r="P7252" s="13"/>
      <c r="Q7252" s="13"/>
      <c r="R7252" s="13"/>
      <c r="S7252" s="13"/>
      <c r="T7252" s="13"/>
      <c r="U7252" s="13"/>
      <c r="V7252" s="13"/>
      <c r="W7252" s="13"/>
      <c r="X7252" s="13"/>
      <c r="Y7252" s="13"/>
      <c r="Z7252" s="13"/>
    </row>
    <row r="7253" spans="1:26" ht="12" customHeight="1" outlineLevel="4" x14ac:dyDescent="0.2">
      <c r="A7253" s="14" t="s">
        <v>13906</v>
      </c>
      <c r="B7253" s="26" t="s">
        <v>13907</v>
      </c>
      <c r="C7253" s="52"/>
      <c r="D7253" s="55">
        <f t="shared" si="113"/>
        <v>0</v>
      </c>
      <c r="E7253" s="63" t="str">
        <f>HYPERLINK("https://www.sds-group.ru/product/patch-kord-opticheskiy-perehodnoy-mm-50-125-om2-lc-upc-fc-upc-duplex-lszh-1m-50-3267/", "Инфо")</f>
        <v>Инфо</v>
      </c>
      <c r="F7253" s="16" t="s">
        <v>39</v>
      </c>
      <c r="G7253" s="15"/>
      <c r="H7253" s="15"/>
      <c r="I7253" s="15" t="s">
        <v>13755</v>
      </c>
      <c r="J7253" s="17">
        <v>30</v>
      </c>
      <c r="K7253" s="15"/>
      <c r="L7253" s="17">
        <v>10</v>
      </c>
      <c r="M7253" s="17">
        <v>100</v>
      </c>
      <c r="N7253" s="17">
        <v>10</v>
      </c>
      <c r="O7253" s="18">
        <v>903.27</v>
      </c>
      <c r="P7253" s="18">
        <v>740.39</v>
      </c>
      <c r="Q7253" s="18">
        <v>903.27</v>
      </c>
      <c r="R7253" s="18">
        <v>740.39</v>
      </c>
      <c r="S7253" s="18">
        <v>541.96</v>
      </c>
      <c r="T7253" s="18">
        <v>444.23</v>
      </c>
      <c r="U7253" s="16"/>
      <c r="V7253" s="16"/>
      <c r="W7253" s="16" t="s">
        <v>40</v>
      </c>
      <c r="X7253" s="19">
        <v>3.2000000000000001E-2</v>
      </c>
      <c r="Y7253" s="20">
        <v>3.21E-4</v>
      </c>
      <c r="Z7253" s="21">
        <v>4601004112346</v>
      </c>
    </row>
    <row r="7254" spans="1:26" ht="12.95" customHeight="1" outlineLevel="2" x14ac:dyDescent="0.2">
      <c r="A7254" s="76" t="s">
        <v>13908</v>
      </c>
      <c r="B7254" s="76"/>
      <c r="C7254" s="77"/>
      <c r="D7254" s="58"/>
      <c r="E7254" s="68"/>
      <c r="F7254" s="13"/>
      <c r="G7254" s="13"/>
      <c r="H7254" s="13"/>
      <c r="I7254" s="13"/>
      <c r="J7254" s="13"/>
      <c r="K7254" s="13"/>
      <c r="L7254" s="13"/>
      <c r="M7254" s="13"/>
      <c r="N7254" s="13"/>
      <c r="O7254" s="13"/>
      <c r="P7254" s="13"/>
      <c r="Q7254" s="13"/>
      <c r="R7254" s="13"/>
      <c r="S7254" s="13"/>
      <c r="T7254" s="13"/>
      <c r="U7254" s="13"/>
      <c r="V7254" s="13"/>
      <c r="W7254" s="13"/>
      <c r="X7254" s="13"/>
      <c r="Y7254" s="13"/>
      <c r="Z7254" s="13"/>
    </row>
    <row r="7255" spans="1:26" ht="12.95" customHeight="1" outlineLevel="3" x14ac:dyDescent="0.2">
      <c r="A7255" s="76" t="s">
        <v>13909</v>
      </c>
      <c r="B7255" s="76"/>
      <c r="C7255" s="77"/>
      <c r="D7255" s="58"/>
      <c r="E7255" s="68"/>
      <c r="F7255" s="13"/>
      <c r="G7255" s="13"/>
      <c r="H7255" s="13"/>
      <c r="I7255" s="13"/>
      <c r="J7255" s="13"/>
      <c r="K7255" s="13"/>
      <c r="L7255" s="13"/>
      <c r="M7255" s="13"/>
      <c r="N7255" s="13"/>
      <c r="O7255" s="13"/>
      <c r="P7255" s="13"/>
      <c r="Q7255" s="13"/>
      <c r="R7255" s="13"/>
      <c r="S7255" s="13"/>
      <c r="T7255" s="13"/>
      <c r="U7255" s="13"/>
      <c r="V7255" s="13"/>
      <c r="W7255" s="13"/>
      <c r="X7255" s="13"/>
      <c r="Y7255" s="13"/>
      <c r="Z7255" s="13"/>
    </row>
    <row r="7256" spans="1:26" ht="12" customHeight="1" outlineLevel="4" x14ac:dyDescent="0.2">
      <c r="A7256" s="40" t="s">
        <v>13910</v>
      </c>
      <c r="B7256" s="75" t="s">
        <v>13911</v>
      </c>
      <c r="C7256" s="51"/>
      <c r="D7256" s="54">
        <f t="shared" si="113"/>
        <v>0</v>
      </c>
      <c r="E7256" s="62"/>
      <c r="F7256" s="42" t="s">
        <v>39</v>
      </c>
      <c r="G7256" s="41" t="s">
        <v>40</v>
      </c>
      <c r="H7256" s="41"/>
      <c r="I7256" s="41"/>
      <c r="J7256" s="43">
        <v>180</v>
      </c>
      <c r="K7256" s="41" t="s">
        <v>1094</v>
      </c>
      <c r="L7256" s="43">
        <v>1</v>
      </c>
      <c r="M7256" s="43">
        <v>1</v>
      </c>
      <c r="N7256" s="43">
        <v>1</v>
      </c>
      <c r="O7256" s="44">
        <v>777.26</v>
      </c>
      <c r="P7256" s="44">
        <v>637.1</v>
      </c>
      <c r="Q7256" s="44">
        <v>691.76</v>
      </c>
      <c r="R7256" s="44">
        <v>567.02</v>
      </c>
      <c r="S7256" s="44">
        <v>528.54</v>
      </c>
      <c r="T7256" s="44">
        <v>433.23</v>
      </c>
      <c r="U7256" s="42"/>
      <c r="V7256" s="42"/>
      <c r="W7256" s="42" t="s">
        <v>40</v>
      </c>
      <c r="X7256" s="45">
        <v>2.7E-2</v>
      </c>
      <c r="Y7256" s="46">
        <v>4.46E-4</v>
      </c>
      <c r="Z7256" s="21">
        <v>4601004355514</v>
      </c>
    </row>
    <row r="7257" spans="1:26" ht="12" customHeight="1" outlineLevel="4" x14ac:dyDescent="0.2">
      <c r="A7257" s="40" t="s">
        <v>13912</v>
      </c>
      <c r="B7257" s="75" t="s">
        <v>13913</v>
      </c>
      <c r="C7257" s="51"/>
      <c r="D7257" s="54">
        <f t="shared" si="113"/>
        <v>0</v>
      </c>
      <c r="E7257" s="62"/>
      <c r="F7257" s="42" t="s">
        <v>39</v>
      </c>
      <c r="G7257" s="41" t="s">
        <v>40</v>
      </c>
      <c r="H7257" s="41"/>
      <c r="I7257" s="41"/>
      <c r="J7257" s="43">
        <v>140</v>
      </c>
      <c r="K7257" s="41"/>
      <c r="L7257" s="43">
        <v>1</v>
      </c>
      <c r="M7257" s="43">
        <v>1</v>
      </c>
      <c r="N7257" s="43">
        <v>1</v>
      </c>
      <c r="O7257" s="44">
        <v>1375.98</v>
      </c>
      <c r="P7257" s="44">
        <v>1127.8499999999999</v>
      </c>
      <c r="Q7257" s="44">
        <v>1224.6199999999999</v>
      </c>
      <c r="R7257" s="44">
        <v>1003.79</v>
      </c>
      <c r="S7257" s="44">
        <v>935.67</v>
      </c>
      <c r="T7257" s="44">
        <v>766.94</v>
      </c>
      <c r="U7257" s="42"/>
      <c r="V7257" s="42"/>
      <c r="W7257" s="42" t="s">
        <v>40</v>
      </c>
      <c r="X7257" s="45">
        <v>0.13800000000000001</v>
      </c>
      <c r="Y7257" s="46">
        <v>1.3940000000000001E-3</v>
      </c>
      <c r="Z7257" s="21">
        <v>4601004319431</v>
      </c>
    </row>
    <row r="7258" spans="1:26" ht="12" customHeight="1" outlineLevel="4" x14ac:dyDescent="0.2">
      <c r="A7258" s="40" t="s">
        <v>13914</v>
      </c>
      <c r="B7258" s="75" t="s">
        <v>13915</v>
      </c>
      <c r="C7258" s="51"/>
      <c r="D7258" s="54">
        <f t="shared" si="113"/>
        <v>0</v>
      </c>
      <c r="E7258" s="62"/>
      <c r="F7258" s="42" t="s">
        <v>39</v>
      </c>
      <c r="G7258" s="41" t="s">
        <v>40</v>
      </c>
      <c r="H7258" s="41"/>
      <c r="I7258" s="41"/>
      <c r="J7258" s="43">
        <v>125</v>
      </c>
      <c r="K7258" s="41"/>
      <c r="L7258" s="43">
        <v>1</v>
      </c>
      <c r="M7258" s="43">
        <v>1</v>
      </c>
      <c r="N7258" s="43">
        <v>1</v>
      </c>
      <c r="O7258" s="44">
        <v>1749.98</v>
      </c>
      <c r="P7258" s="44">
        <v>1434.41</v>
      </c>
      <c r="Q7258" s="44">
        <v>1557.48</v>
      </c>
      <c r="R7258" s="44">
        <v>1276.6199999999999</v>
      </c>
      <c r="S7258" s="44">
        <v>1189.99</v>
      </c>
      <c r="T7258" s="44">
        <v>975.4</v>
      </c>
      <c r="U7258" s="42"/>
      <c r="V7258" s="42"/>
      <c r="W7258" s="42" t="s">
        <v>40</v>
      </c>
      <c r="X7258" s="45">
        <v>0.20100000000000001</v>
      </c>
      <c r="Y7258" s="46">
        <v>1.392E-3</v>
      </c>
      <c r="Z7258" s="21">
        <v>4601004319448</v>
      </c>
    </row>
    <row r="7259" spans="1:26" ht="12" customHeight="1" outlineLevel="4" x14ac:dyDescent="0.2">
      <c r="A7259" s="40" t="s">
        <v>13916</v>
      </c>
      <c r="B7259" s="75" t="s">
        <v>13917</v>
      </c>
      <c r="C7259" s="51"/>
      <c r="D7259" s="54">
        <f t="shared" si="113"/>
        <v>0</v>
      </c>
      <c r="E7259" s="62"/>
      <c r="F7259" s="42" t="s">
        <v>39</v>
      </c>
      <c r="G7259" s="41" t="s">
        <v>40</v>
      </c>
      <c r="H7259" s="41"/>
      <c r="I7259" s="41"/>
      <c r="J7259" s="43">
        <v>100</v>
      </c>
      <c r="K7259" s="41" t="s">
        <v>1094</v>
      </c>
      <c r="L7259" s="43">
        <v>1</v>
      </c>
      <c r="M7259" s="43">
        <v>1</v>
      </c>
      <c r="N7259" s="43">
        <v>1</v>
      </c>
      <c r="O7259" s="44">
        <v>703.37</v>
      </c>
      <c r="P7259" s="44">
        <v>576.53</v>
      </c>
      <c r="Q7259" s="44">
        <v>626</v>
      </c>
      <c r="R7259" s="44">
        <v>513.11</v>
      </c>
      <c r="S7259" s="44">
        <v>478.29</v>
      </c>
      <c r="T7259" s="44">
        <v>392.04</v>
      </c>
      <c r="U7259" s="42"/>
      <c r="V7259" s="42"/>
      <c r="W7259" s="42" t="s">
        <v>40</v>
      </c>
      <c r="X7259" s="45">
        <v>2.4E-2</v>
      </c>
      <c r="Y7259" s="46">
        <v>5.8600000000000004E-4</v>
      </c>
      <c r="Z7259" s="21">
        <v>4601004319394</v>
      </c>
    </row>
    <row r="7260" spans="1:26" ht="12" customHeight="1" outlineLevel="4" x14ac:dyDescent="0.2">
      <c r="A7260" s="40" t="s">
        <v>13918</v>
      </c>
      <c r="B7260" s="75" t="s">
        <v>13919</v>
      </c>
      <c r="C7260" s="51"/>
      <c r="D7260" s="54">
        <f t="shared" si="113"/>
        <v>0</v>
      </c>
      <c r="E7260" s="62"/>
      <c r="F7260" s="42" t="s">
        <v>39</v>
      </c>
      <c r="G7260" s="41" t="s">
        <v>40</v>
      </c>
      <c r="H7260" s="41"/>
      <c r="I7260" s="41"/>
      <c r="J7260" s="43">
        <v>27</v>
      </c>
      <c r="K7260" s="41" t="s">
        <v>1094</v>
      </c>
      <c r="L7260" s="43">
        <v>1</v>
      </c>
      <c r="M7260" s="43">
        <v>1</v>
      </c>
      <c r="N7260" s="43">
        <v>1</v>
      </c>
      <c r="O7260" s="44">
        <v>2123.9899999999998</v>
      </c>
      <c r="P7260" s="44">
        <v>1740.98</v>
      </c>
      <c r="Q7260" s="44">
        <v>1890.35</v>
      </c>
      <c r="R7260" s="44">
        <v>1549.47</v>
      </c>
      <c r="S7260" s="44">
        <v>1444.31</v>
      </c>
      <c r="T7260" s="44">
        <v>1183.8599999999999</v>
      </c>
      <c r="U7260" s="42"/>
      <c r="V7260" s="42"/>
      <c r="W7260" s="42" t="s">
        <v>40</v>
      </c>
      <c r="X7260" s="45">
        <v>0.27</v>
      </c>
      <c r="Y7260" s="46">
        <v>2.8289999999999999E-3</v>
      </c>
      <c r="Z7260" s="21">
        <v>4601004355507</v>
      </c>
    </row>
    <row r="7261" spans="1:26" ht="12" customHeight="1" outlineLevel="4" x14ac:dyDescent="0.2">
      <c r="A7261" s="40" t="s">
        <v>13920</v>
      </c>
      <c r="B7261" s="75" t="s">
        <v>13921</v>
      </c>
      <c r="C7261" s="51"/>
      <c r="D7261" s="54">
        <f t="shared" si="113"/>
        <v>0</v>
      </c>
      <c r="E7261" s="62"/>
      <c r="F7261" s="42" t="s">
        <v>39</v>
      </c>
      <c r="G7261" s="41" t="s">
        <v>40</v>
      </c>
      <c r="H7261" s="41"/>
      <c r="I7261" s="41"/>
      <c r="J7261" s="43">
        <v>40</v>
      </c>
      <c r="K7261" s="41" t="s">
        <v>1094</v>
      </c>
      <c r="L7261" s="43">
        <v>1</v>
      </c>
      <c r="M7261" s="43">
        <v>1</v>
      </c>
      <c r="N7261" s="43">
        <v>1</v>
      </c>
      <c r="O7261" s="44">
        <v>2499.5300000000002</v>
      </c>
      <c r="P7261" s="44">
        <v>2048.8000000000002</v>
      </c>
      <c r="Q7261" s="44">
        <v>2224.58</v>
      </c>
      <c r="R7261" s="44">
        <v>1823.43</v>
      </c>
      <c r="S7261" s="44">
        <v>1699.68</v>
      </c>
      <c r="T7261" s="44">
        <v>1393.18</v>
      </c>
      <c r="U7261" s="42"/>
      <c r="V7261" s="42"/>
      <c r="W7261" s="42" t="s">
        <v>40</v>
      </c>
      <c r="X7261" s="45">
        <v>0.33500000000000002</v>
      </c>
      <c r="Y7261" s="46">
        <v>2.954E-3</v>
      </c>
      <c r="Z7261" s="21">
        <v>4601004355491</v>
      </c>
    </row>
    <row r="7262" spans="1:26" ht="12" customHeight="1" outlineLevel="4" x14ac:dyDescent="0.2">
      <c r="A7262" s="40" t="s">
        <v>13922</v>
      </c>
      <c r="B7262" s="75" t="s">
        <v>13923</v>
      </c>
      <c r="C7262" s="51"/>
      <c r="D7262" s="54">
        <f t="shared" si="113"/>
        <v>0</v>
      </c>
      <c r="E7262" s="62"/>
      <c r="F7262" s="42" t="s">
        <v>39</v>
      </c>
      <c r="G7262" s="41" t="s">
        <v>40</v>
      </c>
      <c r="H7262" s="41"/>
      <c r="I7262" s="41"/>
      <c r="J7262" s="43">
        <v>340</v>
      </c>
      <c r="K7262" s="41" t="s">
        <v>1094</v>
      </c>
      <c r="L7262" s="43">
        <v>1</v>
      </c>
      <c r="M7262" s="43">
        <v>1</v>
      </c>
      <c r="N7262" s="43">
        <v>1</v>
      </c>
      <c r="O7262" s="44">
        <v>777.26</v>
      </c>
      <c r="P7262" s="44">
        <v>637.1</v>
      </c>
      <c r="Q7262" s="44">
        <v>691.76</v>
      </c>
      <c r="R7262" s="44">
        <v>567.02</v>
      </c>
      <c r="S7262" s="44">
        <v>528.54</v>
      </c>
      <c r="T7262" s="44">
        <v>433.23</v>
      </c>
      <c r="U7262" s="42"/>
      <c r="V7262" s="42"/>
      <c r="W7262" s="42" t="s">
        <v>40</v>
      </c>
      <c r="X7262" s="45">
        <v>3.5999999999999997E-2</v>
      </c>
      <c r="Y7262" s="46">
        <v>4.0200000000000001E-4</v>
      </c>
      <c r="Z7262" s="21">
        <v>4601004319400</v>
      </c>
    </row>
    <row r="7263" spans="1:26" ht="12" customHeight="1" outlineLevel="4" x14ac:dyDescent="0.2">
      <c r="A7263" s="40" t="s">
        <v>13924</v>
      </c>
      <c r="B7263" s="75" t="s">
        <v>13925</v>
      </c>
      <c r="C7263" s="51"/>
      <c r="D7263" s="54">
        <f t="shared" si="113"/>
        <v>0</v>
      </c>
      <c r="E7263" s="62"/>
      <c r="F7263" s="42" t="s">
        <v>39</v>
      </c>
      <c r="G7263" s="41" t="s">
        <v>40</v>
      </c>
      <c r="H7263" s="41"/>
      <c r="I7263" s="41"/>
      <c r="J7263" s="43">
        <v>410</v>
      </c>
      <c r="K7263" s="41" t="s">
        <v>1094</v>
      </c>
      <c r="L7263" s="43">
        <v>1</v>
      </c>
      <c r="M7263" s="43">
        <v>1</v>
      </c>
      <c r="N7263" s="43">
        <v>1</v>
      </c>
      <c r="O7263" s="44">
        <v>852.67</v>
      </c>
      <c r="P7263" s="44">
        <v>698.91</v>
      </c>
      <c r="Q7263" s="44">
        <v>758.88</v>
      </c>
      <c r="R7263" s="44">
        <v>622.03</v>
      </c>
      <c r="S7263" s="44">
        <v>579.82000000000005</v>
      </c>
      <c r="T7263" s="44">
        <v>475.26</v>
      </c>
      <c r="U7263" s="42"/>
      <c r="V7263" s="42"/>
      <c r="W7263" s="42" t="s">
        <v>40</v>
      </c>
      <c r="X7263" s="45">
        <v>4.7E-2</v>
      </c>
      <c r="Y7263" s="46">
        <v>3.68E-4</v>
      </c>
      <c r="Z7263" s="21">
        <v>4601004319349</v>
      </c>
    </row>
    <row r="7264" spans="1:26" ht="12" customHeight="1" outlineLevel="4" x14ac:dyDescent="0.2">
      <c r="A7264" s="40" t="s">
        <v>13926</v>
      </c>
      <c r="B7264" s="75" t="s">
        <v>13927</v>
      </c>
      <c r="C7264" s="51"/>
      <c r="D7264" s="54">
        <f t="shared" si="113"/>
        <v>0</v>
      </c>
      <c r="E7264" s="62"/>
      <c r="F7264" s="42" t="s">
        <v>39</v>
      </c>
      <c r="G7264" s="41" t="s">
        <v>40</v>
      </c>
      <c r="H7264" s="41"/>
      <c r="I7264" s="41"/>
      <c r="J7264" s="43">
        <v>358</v>
      </c>
      <c r="K7264" s="41" t="s">
        <v>1094</v>
      </c>
      <c r="L7264" s="43">
        <v>1</v>
      </c>
      <c r="M7264" s="43">
        <v>1</v>
      </c>
      <c r="N7264" s="43">
        <v>1</v>
      </c>
      <c r="O7264" s="44">
        <v>1000.43</v>
      </c>
      <c r="P7264" s="44">
        <v>820.02</v>
      </c>
      <c r="Q7264" s="44">
        <v>890.38</v>
      </c>
      <c r="R7264" s="44">
        <v>729.82</v>
      </c>
      <c r="S7264" s="44">
        <v>680.29</v>
      </c>
      <c r="T7264" s="44">
        <v>557.61</v>
      </c>
      <c r="U7264" s="42"/>
      <c r="V7264" s="42"/>
      <c r="W7264" s="42" t="s">
        <v>40</v>
      </c>
      <c r="X7264" s="45">
        <v>7.5999999999999998E-2</v>
      </c>
      <c r="Y7264" s="46">
        <v>7.3999999999999999E-4</v>
      </c>
      <c r="Z7264" s="21">
        <v>4601004319417</v>
      </c>
    </row>
    <row r="7265" spans="1:26" ht="12" customHeight="1" outlineLevel="4" x14ac:dyDescent="0.2">
      <c r="A7265" s="40" t="s">
        <v>13928</v>
      </c>
      <c r="B7265" s="75" t="s">
        <v>13929</v>
      </c>
      <c r="C7265" s="51"/>
      <c r="D7265" s="54">
        <f t="shared" si="113"/>
        <v>0</v>
      </c>
      <c r="E7265" s="62"/>
      <c r="F7265" s="42" t="s">
        <v>39</v>
      </c>
      <c r="G7265" s="41" t="s">
        <v>40</v>
      </c>
      <c r="H7265" s="41"/>
      <c r="I7265" s="41"/>
      <c r="J7265" s="43">
        <v>150</v>
      </c>
      <c r="K7265" s="41"/>
      <c r="L7265" s="43">
        <v>1</v>
      </c>
      <c r="M7265" s="43">
        <v>1</v>
      </c>
      <c r="N7265" s="43">
        <v>1</v>
      </c>
      <c r="O7265" s="44">
        <v>1152.8</v>
      </c>
      <c r="P7265" s="44">
        <v>944.92</v>
      </c>
      <c r="Q7265" s="44">
        <v>1025.99</v>
      </c>
      <c r="R7265" s="44">
        <v>840.98</v>
      </c>
      <c r="S7265" s="44">
        <v>783.9</v>
      </c>
      <c r="T7265" s="44">
        <v>642.54</v>
      </c>
      <c r="U7265" s="42"/>
      <c r="V7265" s="42"/>
      <c r="W7265" s="42" t="s">
        <v>40</v>
      </c>
      <c r="X7265" s="45">
        <v>0.10100000000000001</v>
      </c>
      <c r="Y7265" s="46">
        <v>8.5700000000000001E-4</v>
      </c>
      <c r="Z7265" s="21">
        <v>4601004319424</v>
      </c>
    </row>
    <row r="7266" spans="1:26" ht="12.95" customHeight="1" outlineLevel="3" x14ac:dyDescent="0.2">
      <c r="A7266" s="76" t="s">
        <v>13930</v>
      </c>
      <c r="B7266" s="76"/>
      <c r="C7266" s="77"/>
      <c r="D7266" s="58"/>
      <c r="E7266" s="68"/>
      <c r="F7266" s="13"/>
      <c r="G7266" s="13"/>
      <c r="H7266" s="13"/>
      <c r="I7266" s="13"/>
      <c r="J7266" s="13"/>
      <c r="K7266" s="13"/>
      <c r="L7266" s="13"/>
      <c r="M7266" s="13"/>
      <c r="N7266" s="13"/>
      <c r="O7266" s="13"/>
      <c r="P7266" s="13"/>
      <c r="Q7266" s="13"/>
      <c r="R7266" s="13"/>
      <c r="S7266" s="13"/>
      <c r="T7266" s="13"/>
      <c r="U7266" s="13"/>
      <c r="V7266" s="13"/>
      <c r="W7266" s="13"/>
      <c r="X7266" s="13"/>
      <c r="Y7266" s="13"/>
      <c r="Z7266" s="13"/>
    </row>
    <row r="7267" spans="1:26" ht="12" customHeight="1" outlineLevel="4" x14ac:dyDescent="0.2">
      <c r="A7267" s="14" t="s">
        <v>13931</v>
      </c>
      <c r="B7267" s="26" t="s">
        <v>13932</v>
      </c>
      <c r="C7267" s="52"/>
      <c r="D7267" s="55">
        <f t="shared" si="113"/>
        <v>0</v>
      </c>
      <c r="E7267" s="64"/>
      <c r="F7267" s="16" t="s">
        <v>39</v>
      </c>
      <c r="G7267" s="15"/>
      <c r="H7267" s="15"/>
      <c r="I7267" s="15"/>
      <c r="J7267" s="16" t="s">
        <v>100</v>
      </c>
      <c r="K7267" s="15" t="s">
        <v>1094</v>
      </c>
      <c r="L7267" s="17">
        <v>1</v>
      </c>
      <c r="M7267" s="16"/>
      <c r="N7267" s="17">
        <v>1</v>
      </c>
      <c r="O7267" s="18">
        <v>1298.0899999999999</v>
      </c>
      <c r="P7267" s="18">
        <v>1064.01</v>
      </c>
      <c r="Q7267" s="18">
        <v>1155.3</v>
      </c>
      <c r="R7267" s="18">
        <v>946.97</v>
      </c>
      <c r="S7267" s="18">
        <v>882.7</v>
      </c>
      <c r="T7267" s="18">
        <v>723.52</v>
      </c>
      <c r="U7267" s="16"/>
      <c r="V7267" s="16"/>
      <c r="W7267" s="16" t="s">
        <v>40</v>
      </c>
      <c r="X7267" s="25"/>
      <c r="Y7267" s="25"/>
      <c r="Z7267" s="21">
        <v>4601004319561</v>
      </c>
    </row>
    <row r="7268" spans="1:26" ht="12" customHeight="1" outlineLevel="4" x14ac:dyDescent="0.2">
      <c r="A7268" s="14" t="s">
        <v>13933</v>
      </c>
      <c r="B7268" s="26" t="s">
        <v>13934</v>
      </c>
      <c r="C7268" s="52"/>
      <c r="D7268" s="55">
        <f t="shared" si="113"/>
        <v>0</v>
      </c>
      <c r="E7268" s="64"/>
      <c r="F7268" s="16" t="s">
        <v>39</v>
      </c>
      <c r="G7268" s="15"/>
      <c r="H7268" s="15"/>
      <c r="I7268" s="15"/>
      <c r="J7268" s="16" t="s">
        <v>100</v>
      </c>
      <c r="K7268" s="15" t="s">
        <v>1094</v>
      </c>
      <c r="L7268" s="17">
        <v>1</v>
      </c>
      <c r="M7268" s="16"/>
      <c r="N7268" s="17">
        <v>1</v>
      </c>
      <c r="O7268" s="18">
        <v>1650.92</v>
      </c>
      <c r="P7268" s="18">
        <v>1353.21</v>
      </c>
      <c r="Q7268" s="18">
        <v>1469.32</v>
      </c>
      <c r="R7268" s="18">
        <v>1204.3599999999999</v>
      </c>
      <c r="S7268" s="18">
        <v>1122.6300000000001</v>
      </c>
      <c r="T7268" s="18">
        <v>920.19</v>
      </c>
      <c r="U7268" s="16"/>
      <c r="V7268" s="16"/>
      <c r="W7268" s="16" t="s">
        <v>40</v>
      </c>
      <c r="X7268" s="25"/>
      <c r="Y7268" s="25"/>
      <c r="Z7268" s="21">
        <v>4601004319516</v>
      </c>
    </row>
    <row r="7269" spans="1:26" ht="12" customHeight="1" outlineLevel="4" x14ac:dyDescent="0.2">
      <c r="A7269" s="40" t="s">
        <v>13935</v>
      </c>
      <c r="B7269" s="75" t="s">
        <v>13936</v>
      </c>
      <c r="C7269" s="51"/>
      <c r="D7269" s="54">
        <f t="shared" si="113"/>
        <v>0</v>
      </c>
      <c r="E7269" s="62"/>
      <c r="F7269" s="42" t="s">
        <v>39</v>
      </c>
      <c r="G7269" s="41" t="s">
        <v>40</v>
      </c>
      <c r="H7269" s="41"/>
      <c r="I7269" s="41"/>
      <c r="J7269" s="43">
        <v>60</v>
      </c>
      <c r="K7269" s="41"/>
      <c r="L7269" s="43">
        <v>1</v>
      </c>
      <c r="M7269" s="43">
        <v>1</v>
      </c>
      <c r="N7269" s="43">
        <v>1</v>
      </c>
      <c r="O7269" s="44">
        <v>703.37</v>
      </c>
      <c r="P7269" s="44">
        <v>576.53</v>
      </c>
      <c r="Q7269" s="44">
        <v>626</v>
      </c>
      <c r="R7269" s="44">
        <v>513.11</v>
      </c>
      <c r="S7269" s="44">
        <v>478.29</v>
      </c>
      <c r="T7269" s="44">
        <v>392.04</v>
      </c>
      <c r="U7269" s="42"/>
      <c r="V7269" s="42"/>
      <c r="W7269" s="42" t="s">
        <v>40</v>
      </c>
      <c r="X7269" s="45">
        <v>2.5999999999999999E-2</v>
      </c>
      <c r="Y7269" s="46">
        <v>3.9199999999999999E-4</v>
      </c>
      <c r="Z7269" s="21">
        <v>4601004319455</v>
      </c>
    </row>
    <row r="7270" spans="1:26" ht="12" customHeight="1" outlineLevel="4" x14ac:dyDescent="0.2">
      <c r="A7270" s="40" t="s">
        <v>13937</v>
      </c>
      <c r="B7270" s="75" t="s">
        <v>13938</v>
      </c>
      <c r="C7270" s="51"/>
      <c r="D7270" s="54">
        <f t="shared" si="113"/>
        <v>0</v>
      </c>
      <c r="E7270" s="62"/>
      <c r="F7270" s="42" t="s">
        <v>39</v>
      </c>
      <c r="G7270" s="41" t="s">
        <v>40</v>
      </c>
      <c r="H7270" s="41"/>
      <c r="I7270" s="41"/>
      <c r="J7270" s="43">
        <v>30</v>
      </c>
      <c r="K7270" s="41" t="s">
        <v>1094</v>
      </c>
      <c r="L7270" s="43">
        <v>1</v>
      </c>
      <c r="M7270" s="43">
        <v>1</v>
      </c>
      <c r="N7270" s="43">
        <v>1</v>
      </c>
      <c r="O7270" s="44">
        <v>777.26</v>
      </c>
      <c r="P7270" s="44">
        <v>637.1</v>
      </c>
      <c r="Q7270" s="44">
        <v>691.76</v>
      </c>
      <c r="R7270" s="44">
        <v>567.02</v>
      </c>
      <c r="S7270" s="44">
        <v>528.54</v>
      </c>
      <c r="T7270" s="44">
        <v>433.23</v>
      </c>
      <c r="U7270" s="42"/>
      <c r="V7270" s="42"/>
      <c r="W7270" s="42" t="s">
        <v>40</v>
      </c>
      <c r="X7270" s="45">
        <v>3.9E-2</v>
      </c>
      <c r="Y7270" s="46">
        <v>4.6099999999999998E-4</v>
      </c>
      <c r="Z7270" s="21">
        <v>4601004319462</v>
      </c>
    </row>
    <row r="7271" spans="1:26" ht="12" customHeight="1" outlineLevel="4" x14ac:dyDescent="0.2">
      <c r="A7271" s="40" t="s">
        <v>13939</v>
      </c>
      <c r="B7271" s="75" t="s">
        <v>13940</v>
      </c>
      <c r="C7271" s="51"/>
      <c r="D7271" s="54">
        <f t="shared" si="113"/>
        <v>0</v>
      </c>
      <c r="E7271" s="62"/>
      <c r="F7271" s="42" t="s">
        <v>39</v>
      </c>
      <c r="G7271" s="41" t="s">
        <v>40</v>
      </c>
      <c r="H7271" s="41"/>
      <c r="I7271" s="41"/>
      <c r="J7271" s="43">
        <v>30</v>
      </c>
      <c r="K7271" s="41" t="s">
        <v>1094</v>
      </c>
      <c r="L7271" s="43">
        <v>1</v>
      </c>
      <c r="M7271" s="43">
        <v>1</v>
      </c>
      <c r="N7271" s="43">
        <v>1</v>
      </c>
      <c r="O7271" s="44">
        <v>852.67</v>
      </c>
      <c r="P7271" s="44">
        <v>698.91</v>
      </c>
      <c r="Q7271" s="44">
        <v>758.88</v>
      </c>
      <c r="R7271" s="44">
        <v>622.03</v>
      </c>
      <c r="S7271" s="44">
        <v>579.82000000000005</v>
      </c>
      <c r="T7271" s="44">
        <v>475.26</v>
      </c>
      <c r="U7271" s="42"/>
      <c r="V7271" s="42"/>
      <c r="W7271" s="42" t="s">
        <v>40</v>
      </c>
      <c r="X7271" s="45">
        <v>0.05</v>
      </c>
      <c r="Y7271" s="46">
        <v>3.6400000000000001E-4</v>
      </c>
      <c r="Z7271" s="21">
        <v>4601004319479</v>
      </c>
    </row>
    <row r="7272" spans="1:26" ht="12" customHeight="1" outlineLevel="4" x14ac:dyDescent="0.2">
      <c r="A7272" s="14" t="s">
        <v>13941</v>
      </c>
      <c r="B7272" s="26" t="s">
        <v>13942</v>
      </c>
      <c r="C7272" s="52"/>
      <c r="D7272" s="55">
        <f t="shared" si="113"/>
        <v>0</v>
      </c>
      <c r="E7272" s="64"/>
      <c r="F7272" s="16" t="s">
        <v>39</v>
      </c>
      <c r="G7272" s="15"/>
      <c r="H7272" s="15"/>
      <c r="I7272" s="15"/>
      <c r="J7272" s="16" t="s">
        <v>100</v>
      </c>
      <c r="K7272" s="15" t="s">
        <v>1094</v>
      </c>
      <c r="L7272" s="17">
        <v>1</v>
      </c>
      <c r="M7272" s="16"/>
      <c r="N7272" s="17">
        <v>1</v>
      </c>
      <c r="O7272" s="18">
        <v>943.8</v>
      </c>
      <c r="P7272" s="18">
        <v>773.61</v>
      </c>
      <c r="Q7272" s="18">
        <v>839.98</v>
      </c>
      <c r="R7272" s="18">
        <v>688.51</v>
      </c>
      <c r="S7272" s="18">
        <v>641.78</v>
      </c>
      <c r="T7272" s="18">
        <v>526.04999999999995</v>
      </c>
      <c r="U7272" s="16"/>
      <c r="V7272" s="16"/>
      <c r="W7272" s="16" t="s">
        <v>40</v>
      </c>
      <c r="X7272" s="25"/>
      <c r="Y7272" s="25"/>
      <c r="Z7272" s="21">
        <v>4601004319486</v>
      </c>
    </row>
    <row r="7273" spans="1:26" ht="12" customHeight="1" outlineLevel="4" x14ac:dyDescent="0.2">
      <c r="A7273" s="14" t="s">
        <v>13943</v>
      </c>
      <c r="B7273" s="26" t="s">
        <v>13944</v>
      </c>
      <c r="C7273" s="52"/>
      <c r="D7273" s="55">
        <f t="shared" si="113"/>
        <v>0</v>
      </c>
      <c r="E7273" s="64"/>
      <c r="F7273" s="16" t="s">
        <v>39</v>
      </c>
      <c r="G7273" s="15"/>
      <c r="H7273" s="15"/>
      <c r="I7273" s="15"/>
      <c r="J7273" s="16" t="s">
        <v>100</v>
      </c>
      <c r="K7273" s="15" t="s">
        <v>1094</v>
      </c>
      <c r="L7273" s="17">
        <v>1</v>
      </c>
      <c r="M7273" s="16"/>
      <c r="N7273" s="17">
        <v>1</v>
      </c>
      <c r="O7273" s="18">
        <v>1087.55</v>
      </c>
      <c r="P7273" s="18">
        <v>891.43</v>
      </c>
      <c r="Q7273" s="18">
        <v>967.92</v>
      </c>
      <c r="R7273" s="18">
        <v>793.38</v>
      </c>
      <c r="S7273" s="18">
        <v>739.53</v>
      </c>
      <c r="T7273" s="18">
        <v>606.16999999999996</v>
      </c>
      <c r="U7273" s="16"/>
      <c r="V7273" s="16"/>
      <c r="W7273" s="16" t="s">
        <v>40</v>
      </c>
      <c r="X7273" s="25"/>
      <c r="Y7273" s="25"/>
      <c r="Z7273" s="21">
        <v>4601004319493</v>
      </c>
    </row>
    <row r="7274" spans="1:26" ht="12.95" customHeight="1" outlineLevel="3" x14ac:dyDescent="0.2">
      <c r="A7274" s="76" t="s">
        <v>13945</v>
      </c>
      <c r="B7274" s="76"/>
      <c r="C7274" s="77"/>
      <c r="D7274" s="58"/>
      <c r="E7274" s="68"/>
      <c r="F7274" s="13"/>
      <c r="G7274" s="13"/>
      <c r="H7274" s="13"/>
      <c r="I7274" s="13"/>
      <c r="J7274" s="13"/>
      <c r="K7274" s="13"/>
      <c r="L7274" s="13"/>
      <c r="M7274" s="13"/>
      <c r="N7274" s="13"/>
      <c r="O7274" s="13"/>
      <c r="P7274" s="13"/>
      <c r="Q7274" s="13"/>
      <c r="R7274" s="13"/>
      <c r="S7274" s="13"/>
      <c r="T7274" s="13"/>
      <c r="U7274" s="13"/>
      <c r="V7274" s="13"/>
      <c r="W7274" s="13"/>
      <c r="X7274" s="13"/>
      <c r="Y7274" s="13"/>
      <c r="Z7274" s="13"/>
    </row>
    <row r="7275" spans="1:26" ht="12" customHeight="1" outlineLevel="4" x14ac:dyDescent="0.2">
      <c r="A7275" s="14" t="s">
        <v>13946</v>
      </c>
      <c r="B7275" s="26" t="s">
        <v>13947</v>
      </c>
      <c r="C7275" s="52"/>
      <c r="D7275" s="55">
        <f t="shared" si="113"/>
        <v>0</v>
      </c>
      <c r="E7275" s="64"/>
      <c r="F7275" s="16" t="s">
        <v>39</v>
      </c>
      <c r="G7275" s="15"/>
      <c r="H7275" s="15"/>
      <c r="I7275" s="15"/>
      <c r="J7275" s="16" t="s">
        <v>100</v>
      </c>
      <c r="K7275" s="15" t="s">
        <v>1094</v>
      </c>
      <c r="L7275" s="17">
        <v>1</v>
      </c>
      <c r="M7275" s="16"/>
      <c r="N7275" s="17">
        <v>1</v>
      </c>
      <c r="O7275" s="18">
        <v>1298.0899999999999</v>
      </c>
      <c r="P7275" s="18">
        <v>1064.01</v>
      </c>
      <c r="Q7275" s="18">
        <v>1155.3</v>
      </c>
      <c r="R7275" s="18">
        <v>946.97</v>
      </c>
      <c r="S7275" s="18">
        <v>882.7</v>
      </c>
      <c r="T7275" s="18">
        <v>723.52</v>
      </c>
      <c r="U7275" s="16"/>
      <c r="V7275" s="16"/>
      <c r="W7275" s="16" t="s">
        <v>40</v>
      </c>
      <c r="X7275" s="25"/>
      <c r="Y7275" s="25"/>
      <c r="Z7275" s="21">
        <v>4601004319783</v>
      </c>
    </row>
    <row r="7276" spans="1:26" ht="12" customHeight="1" outlineLevel="4" x14ac:dyDescent="0.2">
      <c r="A7276" s="14" t="s">
        <v>13948</v>
      </c>
      <c r="B7276" s="26" t="s">
        <v>13949</v>
      </c>
      <c r="C7276" s="52"/>
      <c r="D7276" s="55">
        <f t="shared" si="113"/>
        <v>0</v>
      </c>
      <c r="E7276" s="64"/>
      <c r="F7276" s="16" t="s">
        <v>39</v>
      </c>
      <c r="G7276" s="15"/>
      <c r="H7276" s="15"/>
      <c r="I7276" s="15"/>
      <c r="J7276" s="16" t="s">
        <v>100</v>
      </c>
      <c r="K7276" s="15" t="s">
        <v>1094</v>
      </c>
      <c r="L7276" s="17">
        <v>1</v>
      </c>
      <c r="M7276" s="16"/>
      <c r="N7276" s="17">
        <v>1</v>
      </c>
      <c r="O7276" s="18">
        <v>1650.92</v>
      </c>
      <c r="P7276" s="18">
        <v>1353.21</v>
      </c>
      <c r="Q7276" s="18">
        <v>1469.32</v>
      </c>
      <c r="R7276" s="18">
        <v>1204.3599999999999</v>
      </c>
      <c r="S7276" s="18">
        <v>1122.6300000000001</v>
      </c>
      <c r="T7276" s="18">
        <v>920.19</v>
      </c>
      <c r="U7276" s="16"/>
      <c r="V7276" s="16"/>
      <c r="W7276" s="16" t="s">
        <v>40</v>
      </c>
      <c r="X7276" s="25"/>
      <c r="Y7276" s="25"/>
      <c r="Z7276" s="21">
        <v>4601004319714</v>
      </c>
    </row>
    <row r="7277" spans="1:26" ht="12" customHeight="1" outlineLevel="4" x14ac:dyDescent="0.2">
      <c r="A7277" s="14" t="s">
        <v>13950</v>
      </c>
      <c r="B7277" s="26" t="s">
        <v>13951</v>
      </c>
      <c r="C7277" s="52"/>
      <c r="D7277" s="55">
        <f t="shared" si="113"/>
        <v>0</v>
      </c>
      <c r="E7277" s="64"/>
      <c r="F7277" s="16" t="s">
        <v>39</v>
      </c>
      <c r="G7277" s="15"/>
      <c r="H7277" s="15"/>
      <c r="I7277" s="15"/>
      <c r="J7277" s="16" t="s">
        <v>100</v>
      </c>
      <c r="K7277" s="15" t="s">
        <v>1094</v>
      </c>
      <c r="L7277" s="17">
        <v>1</v>
      </c>
      <c r="M7277" s="16"/>
      <c r="N7277" s="17">
        <v>1</v>
      </c>
      <c r="O7277" s="18">
        <v>663.56</v>
      </c>
      <c r="P7277" s="18">
        <v>543.9</v>
      </c>
      <c r="Q7277" s="18">
        <v>590.57000000000005</v>
      </c>
      <c r="R7277" s="18">
        <v>484.07</v>
      </c>
      <c r="S7277" s="18">
        <v>451.22</v>
      </c>
      <c r="T7277" s="18">
        <v>369.85</v>
      </c>
      <c r="U7277" s="16"/>
      <c r="V7277" s="16"/>
      <c r="W7277" s="16" t="s">
        <v>40</v>
      </c>
      <c r="X7277" s="25"/>
      <c r="Y7277" s="25"/>
      <c r="Z7277" s="21">
        <v>4601004319677</v>
      </c>
    </row>
    <row r="7278" spans="1:26" ht="12" customHeight="1" outlineLevel="4" x14ac:dyDescent="0.2">
      <c r="A7278" s="14" t="s">
        <v>13952</v>
      </c>
      <c r="B7278" s="26" t="s">
        <v>13953</v>
      </c>
      <c r="C7278" s="52"/>
      <c r="D7278" s="55">
        <f t="shared" si="113"/>
        <v>0</v>
      </c>
      <c r="E7278" s="64"/>
      <c r="F7278" s="16" t="s">
        <v>39</v>
      </c>
      <c r="G7278" s="15"/>
      <c r="H7278" s="15"/>
      <c r="I7278" s="15"/>
      <c r="J7278" s="16" t="s">
        <v>100</v>
      </c>
      <c r="K7278" s="15" t="s">
        <v>1094</v>
      </c>
      <c r="L7278" s="17">
        <v>1</v>
      </c>
      <c r="M7278" s="16"/>
      <c r="N7278" s="17">
        <v>1</v>
      </c>
      <c r="O7278" s="18">
        <v>733.26</v>
      </c>
      <c r="P7278" s="18">
        <v>601.03</v>
      </c>
      <c r="Q7278" s="18">
        <v>652.6</v>
      </c>
      <c r="R7278" s="18">
        <v>534.91999999999996</v>
      </c>
      <c r="S7278" s="18">
        <v>498.62</v>
      </c>
      <c r="T7278" s="18">
        <v>408.7</v>
      </c>
      <c r="U7278" s="16"/>
      <c r="V7278" s="16"/>
      <c r="W7278" s="16" t="s">
        <v>40</v>
      </c>
      <c r="X7278" s="25"/>
      <c r="Y7278" s="25"/>
      <c r="Z7278" s="21">
        <v>4601004319684</v>
      </c>
    </row>
    <row r="7279" spans="1:26" ht="12" customHeight="1" outlineLevel="4" x14ac:dyDescent="0.2">
      <c r="A7279" s="14" t="s">
        <v>13954</v>
      </c>
      <c r="B7279" s="26" t="s">
        <v>13955</v>
      </c>
      <c r="C7279" s="52"/>
      <c r="D7279" s="55">
        <f t="shared" si="113"/>
        <v>0</v>
      </c>
      <c r="E7279" s="64"/>
      <c r="F7279" s="16" t="s">
        <v>39</v>
      </c>
      <c r="G7279" s="15"/>
      <c r="H7279" s="15"/>
      <c r="I7279" s="15"/>
      <c r="J7279" s="16" t="s">
        <v>100</v>
      </c>
      <c r="K7279" s="15" t="s">
        <v>1094</v>
      </c>
      <c r="L7279" s="17">
        <v>1</v>
      </c>
      <c r="M7279" s="16"/>
      <c r="N7279" s="17">
        <v>1</v>
      </c>
      <c r="O7279" s="18">
        <v>804.41</v>
      </c>
      <c r="P7279" s="18">
        <v>659.35</v>
      </c>
      <c r="Q7279" s="18">
        <v>715.92</v>
      </c>
      <c r="R7279" s="18">
        <v>586.82000000000005</v>
      </c>
      <c r="S7279" s="18">
        <v>547</v>
      </c>
      <c r="T7279" s="18">
        <v>448.36</v>
      </c>
      <c r="U7279" s="16"/>
      <c r="V7279" s="16"/>
      <c r="W7279" s="16" t="s">
        <v>40</v>
      </c>
      <c r="X7279" s="25"/>
      <c r="Y7279" s="25"/>
      <c r="Z7279" s="21">
        <v>4601004319622</v>
      </c>
    </row>
    <row r="7280" spans="1:26" ht="12" customHeight="1" outlineLevel="4" x14ac:dyDescent="0.2">
      <c r="A7280" s="14" t="s">
        <v>13956</v>
      </c>
      <c r="B7280" s="26" t="s">
        <v>13957</v>
      </c>
      <c r="C7280" s="52"/>
      <c r="D7280" s="55">
        <f t="shared" si="113"/>
        <v>0</v>
      </c>
      <c r="E7280" s="64"/>
      <c r="F7280" s="16" t="s">
        <v>39</v>
      </c>
      <c r="G7280" s="15"/>
      <c r="H7280" s="15"/>
      <c r="I7280" s="15"/>
      <c r="J7280" s="16" t="s">
        <v>100</v>
      </c>
      <c r="K7280" s="15" t="s">
        <v>1094</v>
      </c>
      <c r="L7280" s="17">
        <v>1</v>
      </c>
      <c r="M7280" s="16"/>
      <c r="N7280" s="17">
        <v>1</v>
      </c>
      <c r="O7280" s="18">
        <v>943.8</v>
      </c>
      <c r="P7280" s="18">
        <v>773.61</v>
      </c>
      <c r="Q7280" s="18">
        <v>839.98</v>
      </c>
      <c r="R7280" s="18">
        <v>688.51</v>
      </c>
      <c r="S7280" s="18">
        <v>641.78</v>
      </c>
      <c r="T7280" s="18">
        <v>526.04999999999995</v>
      </c>
      <c r="U7280" s="16"/>
      <c r="V7280" s="16"/>
      <c r="W7280" s="16" t="s">
        <v>40</v>
      </c>
      <c r="X7280" s="25"/>
      <c r="Y7280" s="25"/>
      <c r="Z7280" s="21">
        <v>4601004319707</v>
      </c>
    </row>
    <row r="7281" spans="1:26" ht="12.95" customHeight="1" outlineLevel="2" x14ac:dyDescent="0.2">
      <c r="A7281" s="76" t="s">
        <v>13958</v>
      </c>
      <c r="B7281" s="76"/>
      <c r="C7281" s="77"/>
      <c r="D7281" s="58"/>
      <c r="E7281" s="68"/>
      <c r="F7281" s="13"/>
      <c r="G7281" s="13"/>
      <c r="H7281" s="13"/>
      <c r="I7281" s="13"/>
      <c r="J7281" s="13"/>
      <c r="K7281" s="13"/>
      <c r="L7281" s="13"/>
      <c r="M7281" s="13"/>
      <c r="N7281" s="13"/>
      <c r="O7281" s="13"/>
      <c r="P7281" s="13"/>
      <c r="Q7281" s="13"/>
      <c r="R7281" s="13"/>
      <c r="S7281" s="13"/>
      <c r="T7281" s="13"/>
      <c r="U7281" s="13"/>
      <c r="V7281" s="13"/>
      <c r="W7281" s="13"/>
      <c r="X7281" s="13"/>
      <c r="Y7281" s="13"/>
      <c r="Z7281" s="13"/>
    </row>
    <row r="7282" spans="1:26" ht="12.95" customHeight="1" outlineLevel="3" x14ac:dyDescent="0.2">
      <c r="A7282" s="76" t="s">
        <v>13959</v>
      </c>
      <c r="B7282" s="76"/>
      <c r="C7282" s="77"/>
      <c r="D7282" s="58"/>
      <c r="E7282" s="68"/>
      <c r="F7282" s="13"/>
      <c r="G7282" s="13"/>
      <c r="H7282" s="13"/>
      <c r="I7282" s="13"/>
      <c r="J7282" s="13"/>
      <c r="K7282" s="13"/>
      <c r="L7282" s="13"/>
      <c r="M7282" s="13"/>
      <c r="N7282" s="13"/>
      <c r="O7282" s="13"/>
      <c r="P7282" s="13"/>
      <c r="Q7282" s="13"/>
      <c r="R7282" s="13"/>
      <c r="S7282" s="13"/>
      <c r="T7282" s="13"/>
      <c r="U7282" s="13"/>
      <c r="V7282" s="13"/>
      <c r="W7282" s="13"/>
      <c r="X7282" s="13"/>
      <c r="Y7282" s="13"/>
      <c r="Z7282" s="13"/>
    </row>
    <row r="7283" spans="1:26" ht="12" customHeight="1" outlineLevel="4" x14ac:dyDescent="0.2">
      <c r="A7283" s="40" t="s">
        <v>13960</v>
      </c>
      <c r="B7283" s="75" t="s">
        <v>13961</v>
      </c>
      <c r="C7283" s="51"/>
      <c r="D7283" s="54">
        <f t="shared" si="113"/>
        <v>0</v>
      </c>
      <c r="E7283" s="62"/>
      <c r="F7283" s="42" t="s">
        <v>39</v>
      </c>
      <c r="G7283" s="41" t="s">
        <v>40</v>
      </c>
      <c r="H7283" s="41"/>
      <c r="I7283" s="41"/>
      <c r="J7283" s="43">
        <v>140</v>
      </c>
      <c r="K7283" s="41" t="s">
        <v>1094</v>
      </c>
      <c r="L7283" s="43">
        <v>1</v>
      </c>
      <c r="M7283" s="43">
        <v>1</v>
      </c>
      <c r="N7283" s="43">
        <v>1</v>
      </c>
      <c r="O7283" s="44">
        <v>878.84</v>
      </c>
      <c r="P7283" s="44">
        <v>720.36</v>
      </c>
      <c r="Q7283" s="44">
        <v>782.17</v>
      </c>
      <c r="R7283" s="44">
        <v>641.12</v>
      </c>
      <c r="S7283" s="44">
        <v>597.61</v>
      </c>
      <c r="T7283" s="44">
        <v>489.84</v>
      </c>
      <c r="U7283" s="42"/>
      <c r="V7283" s="42"/>
      <c r="W7283" s="42" t="s">
        <v>40</v>
      </c>
      <c r="X7283" s="45">
        <v>1.7999999999999999E-2</v>
      </c>
      <c r="Y7283" s="46">
        <v>3.4900000000000003E-4</v>
      </c>
      <c r="Z7283" s="21">
        <v>4601004355484</v>
      </c>
    </row>
    <row r="7284" spans="1:26" ht="12" customHeight="1" outlineLevel="4" x14ac:dyDescent="0.2">
      <c r="A7284" s="40" t="s">
        <v>13962</v>
      </c>
      <c r="B7284" s="75" t="s">
        <v>13963</v>
      </c>
      <c r="C7284" s="51"/>
      <c r="D7284" s="54">
        <f t="shared" si="113"/>
        <v>0</v>
      </c>
      <c r="E7284" s="62"/>
      <c r="F7284" s="42" t="s">
        <v>39</v>
      </c>
      <c r="G7284" s="41" t="s">
        <v>40</v>
      </c>
      <c r="H7284" s="41"/>
      <c r="I7284" s="41"/>
      <c r="J7284" s="43">
        <v>91</v>
      </c>
      <c r="K7284" s="41" t="s">
        <v>1094</v>
      </c>
      <c r="L7284" s="43">
        <v>1</v>
      </c>
      <c r="M7284" s="43">
        <v>1</v>
      </c>
      <c r="N7284" s="43">
        <v>1</v>
      </c>
      <c r="O7284" s="44">
        <v>2304.06</v>
      </c>
      <c r="P7284" s="44">
        <v>1888.57</v>
      </c>
      <c r="Q7284" s="44">
        <v>2050.61</v>
      </c>
      <c r="R7284" s="44">
        <v>1680.83</v>
      </c>
      <c r="S7284" s="44">
        <v>1566.76</v>
      </c>
      <c r="T7284" s="44">
        <v>1284.23</v>
      </c>
      <c r="U7284" s="42"/>
      <c r="V7284" s="42"/>
      <c r="W7284" s="42" t="s">
        <v>40</v>
      </c>
      <c r="X7284" s="45">
        <v>0.13900000000000001</v>
      </c>
      <c r="Y7284" s="46">
        <v>1.286E-3</v>
      </c>
      <c r="Z7284" s="21">
        <v>4601004319912</v>
      </c>
    </row>
    <row r="7285" spans="1:26" ht="12" customHeight="1" outlineLevel="4" x14ac:dyDescent="0.2">
      <c r="A7285" s="40" t="s">
        <v>13964</v>
      </c>
      <c r="B7285" s="75" t="s">
        <v>13965</v>
      </c>
      <c r="C7285" s="51"/>
      <c r="D7285" s="54">
        <f t="shared" si="113"/>
        <v>0</v>
      </c>
      <c r="E7285" s="62"/>
      <c r="F7285" s="42" t="s">
        <v>39</v>
      </c>
      <c r="G7285" s="41" t="s">
        <v>40</v>
      </c>
      <c r="H7285" s="41"/>
      <c r="I7285" s="41"/>
      <c r="J7285" s="43">
        <v>90</v>
      </c>
      <c r="K7285" s="41" t="s">
        <v>1094</v>
      </c>
      <c r="L7285" s="43">
        <v>1</v>
      </c>
      <c r="M7285" s="43">
        <v>1</v>
      </c>
      <c r="N7285" s="43">
        <v>1</v>
      </c>
      <c r="O7285" s="44">
        <v>3193.67</v>
      </c>
      <c r="P7285" s="44">
        <v>2617.7600000000002</v>
      </c>
      <c r="Q7285" s="44">
        <v>2842.37</v>
      </c>
      <c r="R7285" s="44">
        <v>2329.81</v>
      </c>
      <c r="S7285" s="44">
        <v>2171.6999999999998</v>
      </c>
      <c r="T7285" s="44">
        <v>1780.08</v>
      </c>
      <c r="U7285" s="42"/>
      <c r="V7285" s="42"/>
      <c r="W7285" s="42" t="s">
        <v>40</v>
      </c>
      <c r="X7285" s="45">
        <v>0.19700000000000001</v>
      </c>
      <c r="Y7285" s="46">
        <v>1.828E-3</v>
      </c>
      <c r="Z7285" s="21">
        <v>4601004319929</v>
      </c>
    </row>
    <row r="7286" spans="1:26" ht="12" customHeight="1" outlineLevel="4" x14ac:dyDescent="0.2">
      <c r="A7286" s="40" t="s">
        <v>13966</v>
      </c>
      <c r="B7286" s="75" t="s">
        <v>13967</v>
      </c>
      <c r="C7286" s="51"/>
      <c r="D7286" s="54">
        <f t="shared" si="113"/>
        <v>0</v>
      </c>
      <c r="E7286" s="62"/>
      <c r="F7286" s="42" t="s">
        <v>39</v>
      </c>
      <c r="G7286" s="41" t="s">
        <v>40</v>
      </c>
      <c r="H7286" s="41"/>
      <c r="I7286" s="41"/>
      <c r="J7286" s="43">
        <v>230</v>
      </c>
      <c r="K7286" s="41" t="s">
        <v>1094</v>
      </c>
      <c r="L7286" s="43">
        <v>1</v>
      </c>
      <c r="M7286" s="43">
        <v>1</v>
      </c>
      <c r="N7286" s="43">
        <v>1</v>
      </c>
      <c r="O7286" s="44">
        <v>735.35</v>
      </c>
      <c r="P7286" s="44">
        <v>602.75</v>
      </c>
      <c r="Q7286" s="44">
        <v>654.46</v>
      </c>
      <c r="R7286" s="44">
        <v>536.44000000000005</v>
      </c>
      <c r="S7286" s="44">
        <v>500.04</v>
      </c>
      <c r="T7286" s="44">
        <v>409.87</v>
      </c>
      <c r="U7286" s="42"/>
      <c r="V7286" s="42"/>
      <c r="W7286" s="42" t="s">
        <v>40</v>
      </c>
      <c r="X7286" s="45">
        <v>2.1999999999999999E-2</v>
      </c>
      <c r="Y7286" s="46">
        <v>3.3799999999999998E-4</v>
      </c>
      <c r="Z7286" s="21">
        <v>4601004319875</v>
      </c>
    </row>
    <row r="7287" spans="1:26" ht="12" customHeight="1" outlineLevel="4" x14ac:dyDescent="0.2">
      <c r="A7287" s="40" t="s">
        <v>13968</v>
      </c>
      <c r="B7287" s="75" t="s">
        <v>13969</v>
      </c>
      <c r="C7287" s="51"/>
      <c r="D7287" s="54">
        <f t="shared" si="113"/>
        <v>0</v>
      </c>
      <c r="E7287" s="62"/>
      <c r="F7287" s="42" t="s">
        <v>39</v>
      </c>
      <c r="G7287" s="41" t="s">
        <v>40</v>
      </c>
      <c r="H7287" s="41"/>
      <c r="I7287" s="41"/>
      <c r="J7287" s="43">
        <v>35</v>
      </c>
      <c r="K7287" s="41" t="s">
        <v>1094</v>
      </c>
      <c r="L7287" s="43">
        <v>1</v>
      </c>
      <c r="M7287" s="43">
        <v>1</v>
      </c>
      <c r="N7287" s="43">
        <v>1</v>
      </c>
      <c r="O7287" s="44">
        <v>4083.29</v>
      </c>
      <c r="P7287" s="44">
        <v>3346.96</v>
      </c>
      <c r="Q7287" s="44">
        <v>3634.13</v>
      </c>
      <c r="R7287" s="44">
        <v>2978.8</v>
      </c>
      <c r="S7287" s="44">
        <v>2776.64</v>
      </c>
      <c r="T7287" s="44">
        <v>2275.9299999999998</v>
      </c>
      <c r="U7287" s="42"/>
      <c r="V7287" s="42"/>
      <c r="W7287" s="42" t="s">
        <v>40</v>
      </c>
      <c r="X7287" s="45">
        <v>0.27</v>
      </c>
      <c r="Y7287" s="46">
        <v>2.8670000000000002E-3</v>
      </c>
      <c r="Z7287" s="21">
        <v>4601004355477</v>
      </c>
    </row>
    <row r="7288" spans="1:26" ht="12" customHeight="1" outlineLevel="4" x14ac:dyDescent="0.2">
      <c r="A7288" s="40" t="s">
        <v>13970</v>
      </c>
      <c r="B7288" s="75" t="s">
        <v>13971</v>
      </c>
      <c r="C7288" s="51"/>
      <c r="D7288" s="54">
        <f t="shared" si="113"/>
        <v>0</v>
      </c>
      <c r="E7288" s="62"/>
      <c r="F7288" s="42" t="s">
        <v>39</v>
      </c>
      <c r="G7288" s="41" t="s">
        <v>40</v>
      </c>
      <c r="H7288" s="41"/>
      <c r="I7288" s="41"/>
      <c r="J7288" s="43">
        <v>35</v>
      </c>
      <c r="K7288" s="41" t="s">
        <v>1094</v>
      </c>
      <c r="L7288" s="43">
        <v>1</v>
      </c>
      <c r="M7288" s="43">
        <v>1</v>
      </c>
      <c r="N7288" s="43">
        <v>1</v>
      </c>
      <c r="O7288" s="44">
        <v>4971.3599999999997</v>
      </c>
      <c r="P7288" s="44">
        <v>4074.89</v>
      </c>
      <c r="Q7288" s="44">
        <v>4424.51</v>
      </c>
      <c r="R7288" s="44">
        <v>3626.65</v>
      </c>
      <c r="S7288" s="44">
        <v>3380.52</v>
      </c>
      <c r="T7288" s="44">
        <v>2770.92</v>
      </c>
      <c r="U7288" s="42"/>
      <c r="V7288" s="42"/>
      <c r="W7288" s="42" t="s">
        <v>40</v>
      </c>
      <c r="X7288" s="45">
        <v>0.33500000000000002</v>
      </c>
      <c r="Y7288" s="46">
        <v>3.2699999999999999E-3</v>
      </c>
      <c r="Z7288" s="21">
        <v>4601004355460</v>
      </c>
    </row>
    <row r="7289" spans="1:26" ht="12" customHeight="1" outlineLevel="4" x14ac:dyDescent="0.2">
      <c r="A7289" s="40" t="s">
        <v>13972</v>
      </c>
      <c r="B7289" s="75" t="s">
        <v>13973</v>
      </c>
      <c r="C7289" s="51"/>
      <c r="D7289" s="54">
        <f t="shared" si="113"/>
        <v>0</v>
      </c>
      <c r="E7289" s="62"/>
      <c r="F7289" s="42" t="s">
        <v>39</v>
      </c>
      <c r="G7289" s="41" t="s">
        <v>40</v>
      </c>
      <c r="H7289" s="41"/>
      <c r="I7289" s="41"/>
      <c r="J7289" s="43">
        <v>260</v>
      </c>
      <c r="K7289" s="41" t="s">
        <v>1094</v>
      </c>
      <c r="L7289" s="43">
        <v>1</v>
      </c>
      <c r="M7289" s="43">
        <v>1</v>
      </c>
      <c r="N7289" s="43">
        <v>1</v>
      </c>
      <c r="O7289" s="44">
        <v>878.84</v>
      </c>
      <c r="P7289" s="44">
        <v>720.36</v>
      </c>
      <c r="Q7289" s="44">
        <v>782.17</v>
      </c>
      <c r="R7289" s="44">
        <v>641.12</v>
      </c>
      <c r="S7289" s="44">
        <v>597.61</v>
      </c>
      <c r="T7289" s="44">
        <v>489.84</v>
      </c>
      <c r="U7289" s="42"/>
      <c r="V7289" s="42"/>
      <c r="W7289" s="42" t="s">
        <v>40</v>
      </c>
      <c r="X7289" s="45">
        <v>3.5999999999999997E-2</v>
      </c>
      <c r="Y7289" s="46">
        <v>3.6099999999999999E-4</v>
      </c>
      <c r="Z7289" s="21">
        <v>4601004319882</v>
      </c>
    </row>
    <row r="7290" spans="1:26" ht="12" customHeight="1" outlineLevel="4" x14ac:dyDescent="0.2">
      <c r="A7290" s="40" t="s">
        <v>13974</v>
      </c>
      <c r="B7290" s="75" t="s">
        <v>13975</v>
      </c>
      <c r="C7290" s="51"/>
      <c r="D7290" s="54">
        <f t="shared" si="113"/>
        <v>0</v>
      </c>
      <c r="E7290" s="62"/>
      <c r="F7290" s="42" t="s">
        <v>39</v>
      </c>
      <c r="G7290" s="41" t="s">
        <v>40</v>
      </c>
      <c r="H7290" s="41"/>
      <c r="I7290" s="41"/>
      <c r="J7290" s="43">
        <v>289</v>
      </c>
      <c r="K7290" s="41" t="s">
        <v>1094</v>
      </c>
      <c r="L7290" s="43">
        <v>1</v>
      </c>
      <c r="M7290" s="43">
        <v>1</v>
      </c>
      <c r="N7290" s="43">
        <v>1</v>
      </c>
      <c r="O7290" s="44">
        <v>1058.92</v>
      </c>
      <c r="P7290" s="44">
        <v>867.97</v>
      </c>
      <c r="Q7290" s="44">
        <v>942.44</v>
      </c>
      <c r="R7290" s="44">
        <v>772.49</v>
      </c>
      <c r="S7290" s="44">
        <v>720.07</v>
      </c>
      <c r="T7290" s="44">
        <v>590.22</v>
      </c>
      <c r="U7290" s="42"/>
      <c r="V7290" s="42"/>
      <c r="W7290" s="42" t="s">
        <v>40</v>
      </c>
      <c r="X7290" s="45">
        <v>4.7E-2</v>
      </c>
      <c r="Y7290" s="46">
        <v>3.7800000000000003E-4</v>
      </c>
      <c r="Z7290" s="21">
        <v>4601004319899</v>
      </c>
    </row>
    <row r="7291" spans="1:26" ht="12" customHeight="1" outlineLevel="4" x14ac:dyDescent="0.2">
      <c r="A7291" s="40" t="s">
        <v>13976</v>
      </c>
      <c r="B7291" s="75" t="s">
        <v>13977</v>
      </c>
      <c r="C7291" s="51"/>
      <c r="D7291" s="54">
        <f t="shared" si="113"/>
        <v>0</v>
      </c>
      <c r="E7291" s="62"/>
      <c r="F7291" s="42" t="s">
        <v>39</v>
      </c>
      <c r="G7291" s="41" t="s">
        <v>40</v>
      </c>
      <c r="H7291" s="41"/>
      <c r="I7291" s="41"/>
      <c r="J7291" s="43">
        <v>240</v>
      </c>
      <c r="K7291" s="41" t="s">
        <v>1094</v>
      </c>
      <c r="L7291" s="43">
        <v>1</v>
      </c>
      <c r="M7291" s="43">
        <v>1</v>
      </c>
      <c r="N7291" s="43">
        <v>1</v>
      </c>
      <c r="O7291" s="44">
        <v>1415.99</v>
      </c>
      <c r="P7291" s="44">
        <v>1160.6500000000001</v>
      </c>
      <c r="Q7291" s="44">
        <v>1260.23</v>
      </c>
      <c r="R7291" s="44">
        <v>1032.98</v>
      </c>
      <c r="S7291" s="44">
        <v>962.87</v>
      </c>
      <c r="T7291" s="44">
        <v>789.24</v>
      </c>
      <c r="U7291" s="42"/>
      <c r="V7291" s="42"/>
      <c r="W7291" s="42" t="s">
        <v>40</v>
      </c>
      <c r="X7291" s="45">
        <v>7.6999999999999999E-2</v>
      </c>
      <c r="Y7291" s="46">
        <v>8.25E-4</v>
      </c>
      <c r="Z7291" s="21">
        <v>4601004319905</v>
      </c>
    </row>
    <row r="7292" spans="1:26" ht="12" customHeight="1" outlineLevel="4" x14ac:dyDescent="0.2">
      <c r="A7292" s="40" t="s">
        <v>13978</v>
      </c>
      <c r="B7292" s="75" t="s">
        <v>13979</v>
      </c>
      <c r="C7292" s="51"/>
      <c r="D7292" s="54">
        <f t="shared" si="113"/>
        <v>0</v>
      </c>
      <c r="E7292" s="62"/>
      <c r="F7292" s="42" t="s">
        <v>39</v>
      </c>
      <c r="G7292" s="41" t="s">
        <v>40</v>
      </c>
      <c r="H7292" s="41"/>
      <c r="I7292" s="41"/>
      <c r="J7292" s="43">
        <v>60</v>
      </c>
      <c r="K7292" s="41"/>
      <c r="L7292" s="43">
        <v>1</v>
      </c>
      <c r="M7292" s="43">
        <v>1</v>
      </c>
      <c r="N7292" s="43">
        <v>1</v>
      </c>
      <c r="O7292" s="44">
        <v>1768.45</v>
      </c>
      <c r="P7292" s="44">
        <v>1449.55</v>
      </c>
      <c r="Q7292" s="44">
        <v>1573.92</v>
      </c>
      <c r="R7292" s="44">
        <v>1290.0999999999999</v>
      </c>
      <c r="S7292" s="44">
        <v>1202.55</v>
      </c>
      <c r="T7292" s="44">
        <v>985.7</v>
      </c>
      <c r="U7292" s="42"/>
      <c r="V7292" s="42"/>
      <c r="W7292" s="42" t="s">
        <v>40</v>
      </c>
      <c r="X7292" s="45">
        <v>9.8000000000000004E-2</v>
      </c>
      <c r="Y7292" s="46">
        <v>1.23E-3</v>
      </c>
      <c r="Z7292" s="21">
        <v>4601004319981</v>
      </c>
    </row>
    <row r="7293" spans="1:26" ht="12.95" customHeight="1" outlineLevel="3" x14ac:dyDescent="0.2">
      <c r="A7293" s="76" t="s">
        <v>13980</v>
      </c>
      <c r="B7293" s="76"/>
      <c r="C7293" s="77"/>
      <c r="D7293" s="58"/>
      <c r="E7293" s="68"/>
      <c r="F7293" s="13"/>
      <c r="G7293" s="13"/>
      <c r="H7293" s="13"/>
      <c r="I7293" s="13"/>
      <c r="J7293" s="13"/>
      <c r="K7293" s="13"/>
      <c r="L7293" s="13"/>
      <c r="M7293" s="13"/>
      <c r="N7293" s="13"/>
      <c r="O7293" s="13"/>
      <c r="P7293" s="13"/>
      <c r="Q7293" s="13"/>
      <c r="R7293" s="13"/>
      <c r="S7293" s="13"/>
      <c r="T7293" s="13"/>
      <c r="U7293" s="13"/>
      <c r="V7293" s="13"/>
      <c r="W7293" s="13"/>
      <c r="X7293" s="13"/>
      <c r="Y7293" s="13"/>
      <c r="Z7293" s="13"/>
    </row>
    <row r="7294" spans="1:26" ht="12" customHeight="1" outlineLevel="4" x14ac:dyDescent="0.2">
      <c r="A7294" s="14" t="s">
        <v>13981</v>
      </c>
      <c r="B7294" s="26" t="s">
        <v>13982</v>
      </c>
      <c r="C7294" s="52"/>
      <c r="D7294" s="55">
        <f t="shared" si="113"/>
        <v>0</v>
      </c>
      <c r="E7294" s="64"/>
      <c r="F7294" s="16" t="s">
        <v>39</v>
      </c>
      <c r="G7294" s="15"/>
      <c r="H7294" s="15"/>
      <c r="I7294" s="15"/>
      <c r="J7294" s="16" t="s">
        <v>100</v>
      </c>
      <c r="K7294" s="15" t="s">
        <v>1094</v>
      </c>
      <c r="L7294" s="17">
        <v>1</v>
      </c>
      <c r="M7294" s="16"/>
      <c r="N7294" s="17">
        <v>1</v>
      </c>
      <c r="O7294" s="18">
        <v>2173.64</v>
      </c>
      <c r="P7294" s="18">
        <v>1781.67</v>
      </c>
      <c r="Q7294" s="18">
        <v>1934.54</v>
      </c>
      <c r="R7294" s="18">
        <v>1585.69</v>
      </c>
      <c r="S7294" s="18">
        <v>1478.08</v>
      </c>
      <c r="T7294" s="18">
        <v>1211.54</v>
      </c>
      <c r="U7294" s="16"/>
      <c r="V7294" s="16"/>
      <c r="W7294" s="16" t="s">
        <v>40</v>
      </c>
      <c r="X7294" s="25"/>
      <c r="Y7294" s="25"/>
      <c r="Z7294" s="21">
        <v>4601004320024</v>
      </c>
    </row>
    <row r="7295" spans="1:26" ht="12" customHeight="1" outlineLevel="4" x14ac:dyDescent="0.2">
      <c r="A7295" s="14" t="s">
        <v>13983</v>
      </c>
      <c r="B7295" s="26" t="s">
        <v>13984</v>
      </c>
      <c r="C7295" s="52"/>
      <c r="D7295" s="55">
        <f t="shared" si="113"/>
        <v>0</v>
      </c>
      <c r="E7295" s="64"/>
      <c r="F7295" s="16" t="s">
        <v>39</v>
      </c>
      <c r="G7295" s="15"/>
      <c r="H7295" s="15"/>
      <c r="I7295" s="15"/>
      <c r="J7295" s="16" t="s">
        <v>100</v>
      </c>
      <c r="K7295" s="15" t="s">
        <v>1094</v>
      </c>
      <c r="L7295" s="17">
        <v>1</v>
      </c>
      <c r="M7295" s="16"/>
      <c r="N7295" s="17">
        <v>1</v>
      </c>
      <c r="O7295" s="18">
        <v>693.73</v>
      </c>
      <c r="P7295" s="18">
        <v>568.63</v>
      </c>
      <c r="Q7295" s="18">
        <v>617.41999999999996</v>
      </c>
      <c r="R7295" s="18">
        <v>506.08</v>
      </c>
      <c r="S7295" s="18">
        <v>471.74</v>
      </c>
      <c r="T7295" s="18">
        <v>386.67</v>
      </c>
      <c r="U7295" s="16"/>
      <c r="V7295" s="16"/>
      <c r="W7295" s="16" t="s">
        <v>40</v>
      </c>
      <c r="X7295" s="25"/>
      <c r="Y7295" s="25"/>
      <c r="Z7295" s="21">
        <v>4601004319967</v>
      </c>
    </row>
    <row r="7296" spans="1:26" ht="12" customHeight="1" outlineLevel="4" x14ac:dyDescent="0.2">
      <c r="A7296" s="14" t="s">
        <v>13985</v>
      </c>
      <c r="B7296" s="26" t="s">
        <v>13986</v>
      </c>
      <c r="C7296" s="52"/>
      <c r="D7296" s="55">
        <f t="shared" si="113"/>
        <v>0</v>
      </c>
      <c r="E7296" s="64"/>
      <c r="F7296" s="16" t="s">
        <v>39</v>
      </c>
      <c r="G7296" s="15"/>
      <c r="H7296" s="15"/>
      <c r="I7296" s="15"/>
      <c r="J7296" s="16" t="s">
        <v>100</v>
      </c>
      <c r="K7296" s="15" t="s">
        <v>1094</v>
      </c>
      <c r="L7296" s="17">
        <v>1</v>
      </c>
      <c r="M7296" s="16"/>
      <c r="N7296" s="17">
        <v>1</v>
      </c>
      <c r="O7296" s="18">
        <v>829.09</v>
      </c>
      <c r="P7296" s="18">
        <v>679.58</v>
      </c>
      <c r="Q7296" s="18">
        <v>737.89</v>
      </c>
      <c r="R7296" s="18">
        <v>604.83000000000004</v>
      </c>
      <c r="S7296" s="18">
        <v>563.78</v>
      </c>
      <c r="T7296" s="18">
        <v>462.11</v>
      </c>
      <c r="U7296" s="16"/>
      <c r="V7296" s="16"/>
      <c r="W7296" s="16" t="s">
        <v>40</v>
      </c>
      <c r="X7296" s="25"/>
      <c r="Y7296" s="25"/>
      <c r="Z7296" s="21">
        <v>4601004319974</v>
      </c>
    </row>
    <row r="7297" spans="1:26" ht="12" customHeight="1" outlineLevel="4" x14ac:dyDescent="0.2">
      <c r="A7297" s="14" t="s">
        <v>13987</v>
      </c>
      <c r="B7297" s="26" t="s">
        <v>13988</v>
      </c>
      <c r="C7297" s="52"/>
      <c r="D7297" s="55">
        <f t="shared" si="113"/>
        <v>0</v>
      </c>
      <c r="E7297" s="64"/>
      <c r="F7297" s="16" t="s">
        <v>39</v>
      </c>
      <c r="G7297" s="15"/>
      <c r="H7297" s="15"/>
      <c r="I7297" s="15"/>
      <c r="J7297" s="16" t="s">
        <v>100</v>
      </c>
      <c r="K7297" s="15" t="s">
        <v>1094</v>
      </c>
      <c r="L7297" s="17">
        <v>1</v>
      </c>
      <c r="M7297" s="16"/>
      <c r="N7297" s="17">
        <v>1</v>
      </c>
      <c r="O7297" s="18">
        <v>998.98</v>
      </c>
      <c r="P7297" s="18">
        <v>818.84</v>
      </c>
      <c r="Q7297" s="18">
        <v>889.09</v>
      </c>
      <c r="R7297" s="18">
        <v>728.76</v>
      </c>
      <c r="S7297" s="18">
        <v>679.31</v>
      </c>
      <c r="T7297" s="18">
        <v>556.80999999999995</v>
      </c>
      <c r="U7297" s="16"/>
      <c r="V7297" s="16"/>
      <c r="W7297" s="16" t="s">
        <v>40</v>
      </c>
      <c r="X7297" s="25"/>
      <c r="Y7297" s="25"/>
      <c r="Z7297" s="21">
        <v>4601004319998</v>
      </c>
    </row>
    <row r="7298" spans="1:26" ht="12" customHeight="1" outlineLevel="4" x14ac:dyDescent="0.2">
      <c r="A7298" s="14" t="s">
        <v>13989</v>
      </c>
      <c r="B7298" s="26" t="s">
        <v>13990</v>
      </c>
      <c r="C7298" s="52"/>
      <c r="D7298" s="55">
        <f t="shared" si="113"/>
        <v>0</v>
      </c>
      <c r="E7298" s="64"/>
      <c r="F7298" s="16" t="s">
        <v>39</v>
      </c>
      <c r="G7298" s="15"/>
      <c r="H7298" s="15"/>
      <c r="I7298" s="15"/>
      <c r="J7298" s="16" t="s">
        <v>100</v>
      </c>
      <c r="K7298" s="15" t="s">
        <v>1094</v>
      </c>
      <c r="L7298" s="17">
        <v>1</v>
      </c>
      <c r="M7298" s="16"/>
      <c r="N7298" s="17">
        <v>1</v>
      </c>
      <c r="O7298" s="18">
        <v>1335.84</v>
      </c>
      <c r="P7298" s="18">
        <v>1094.95</v>
      </c>
      <c r="Q7298" s="18">
        <v>1188.9000000000001</v>
      </c>
      <c r="R7298" s="18">
        <v>974.51</v>
      </c>
      <c r="S7298" s="18">
        <v>908.37</v>
      </c>
      <c r="T7298" s="18">
        <v>744.57</v>
      </c>
      <c r="U7298" s="16"/>
      <c r="V7298" s="16"/>
      <c r="W7298" s="16" t="s">
        <v>40</v>
      </c>
      <c r="X7298" s="25"/>
      <c r="Y7298" s="25"/>
      <c r="Z7298" s="21">
        <v>4601004320000</v>
      </c>
    </row>
    <row r="7299" spans="1:26" ht="12.95" customHeight="1" outlineLevel="3" x14ac:dyDescent="0.2">
      <c r="A7299" s="76" t="s">
        <v>13991</v>
      </c>
      <c r="B7299" s="76"/>
      <c r="C7299" s="77"/>
      <c r="D7299" s="58"/>
      <c r="E7299" s="68"/>
      <c r="F7299" s="13"/>
      <c r="G7299" s="13"/>
      <c r="H7299" s="13"/>
      <c r="I7299" s="13"/>
      <c r="J7299" s="13"/>
      <c r="K7299" s="13"/>
      <c r="L7299" s="13"/>
      <c r="M7299" s="13"/>
      <c r="N7299" s="13"/>
      <c r="O7299" s="13"/>
      <c r="P7299" s="13"/>
      <c r="Q7299" s="13"/>
      <c r="R7299" s="13"/>
      <c r="S7299" s="13"/>
      <c r="T7299" s="13"/>
      <c r="U7299" s="13"/>
      <c r="V7299" s="13"/>
      <c r="W7299" s="13"/>
      <c r="X7299" s="13"/>
      <c r="Y7299" s="13"/>
      <c r="Z7299" s="13"/>
    </row>
    <row r="7300" spans="1:26" ht="12" customHeight="1" outlineLevel="4" x14ac:dyDescent="0.2">
      <c r="A7300" s="14" t="s">
        <v>13992</v>
      </c>
      <c r="B7300" s="26" t="s">
        <v>13993</v>
      </c>
      <c r="C7300" s="52"/>
      <c r="D7300" s="55">
        <f t="shared" si="113"/>
        <v>0</v>
      </c>
      <c r="E7300" s="64"/>
      <c r="F7300" s="16" t="s">
        <v>39</v>
      </c>
      <c r="G7300" s="15"/>
      <c r="H7300" s="15"/>
      <c r="I7300" s="15"/>
      <c r="J7300" s="16" t="s">
        <v>100</v>
      </c>
      <c r="K7300" s="15" t="s">
        <v>1094</v>
      </c>
      <c r="L7300" s="17">
        <v>1</v>
      </c>
      <c r="M7300" s="16"/>
      <c r="N7300" s="17">
        <v>1</v>
      </c>
      <c r="O7300" s="18">
        <v>663.56</v>
      </c>
      <c r="P7300" s="18">
        <v>543.9</v>
      </c>
      <c r="Q7300" s="18">
        <v>590.57000000000005</v>
      </c>
      <c r="R7300" s="18">
        <v>484.07</v>
      </c>
      <c r="S7300" s="18">
        <v>451.22</v>
      </c>
      <c r="T7300" s="18">
        <v>369.85</v>
      </c>
      <c r="U7300" s="16"/>
      <c r="V7300" s="16"/>
      <c r="W7300" s="16" t="s">
        <v>40</v>
      </c>
      <c r="X7300" s="25"/>
      <c r="Y7300" s="25"/>
      <c r="Z7300" s="21">
        <v>4601004319813</v>
      </c>
    </row>
    <row r="7301" spans="1:26" ht="12" customHeight="1" outlineLevel="4" x14ac:dyDescent="0.2">
      <c r="A7301" s="14" t="s">
        <v>13994</v>
      </c>
      <c r="B7301" s="26" t="s">
        <v>13995</v>
      </c>
      <c r="C7301" s="52"/>
      <c r="D7301" s="55">
        <f t="shared" si="113"/>
        <v>0</v>
      </c>
      <c r="E7301" s="64"/>
      <c r="F7301" s="16" t="s">
        <v>39</v>
      </c>
      <c r="G7301" s="15"/>
      <c r="H7301" s="15"/>
      <c r="I7301" s="15"/>
      <c r="J7301" s="16" t="s">
        <v>100</v>
      </c>
      <c r="K7301" s="15" t="s">
        <v>1094</v>
      </c>
      <c r="L7301" s="17">
        <v>1</v>
      </c>
      <c r="M7301" s="16"/>
      <c r="N7301" s="17">
        <v>1</v>
      </c>
      <c r="O7301" s="18">
        <v>829.09</v>
      </c>
      <c r="P7301" s="18">
        <v>679.58</v>
      </c>
      <c r="Q7301" s="18">
        <v>737.89</v>
      </c>
      <c r="R7301" s="18">
        <v>604.83000000000004</v>
      </c>
      <c r="S7301" s="18">
        <v>563.78</v>
      </c>
      <c r="T7301" s="18">
        <v>462.11</v>
      </c>
      <c r="U7301" s="16"/>
      <c r="V7301" s="16"/>
      <c r="W7301" s="16" t="s">
        <v>40</v>
      </c>
      <c r="X7301" s="25"/>
      <c r="Y7301" s="25"/>
      <c r="Z7301" s="21">
        <v>4601004320192</v>
      </c>
    </row>
    <row r="7302" spans="1:26" ht="12" customHeight="1" outlineLevel="4" x14ac:dyDescent="0.2">
      <c r="A7302" s="14" t="s">
        <v>13996</v>
      </c>
      <c r="B7302" s="26" t="s">
        <v>13997</v>
      </c>
      <c r="C7302" s="52"/>
      <c r="D7302" s="55">
        <f t="shared" si="113"/>
        <v>0</v>
      </c>
      <c r="E7302" s="64"/>
      <c r="F7302" s="16" t="s">
        <v>39</v>
      </c>
      <c r="G7302" s="15"/>
      <c r="H7302" s="15"/>
      <c r="I7302" s="15"/>
      <c r="J7302" s="16" t="s">
        <v>100</v>
      </c>
      <c r="K7302" s="15" t="s">
        <v>1094</v>
      </c>
      <c r="L7302" s="17">
        <v>1</v>
      </c>
      <c r="M7302" s="16"/>
      <c r="N7302" s="17">
        <v>1</v>
      </c>
      <c r="O7302" s="18">
        <v>998.98</v>
      </c>
      <c r="P7302" s="18">
        <v>818.84</v>
      </c>
      <c r="Q7302" s="18">
        <v>889.09</v>
      </c>
      <c r="R7302" s="18">
        <v>728.76</v>
      </c>
      <c r="S7302" s="18">
        <v>679.31</v>
      </c>
      <c r="T7302" s="18">
        <v>556.80999999999995</v>
      </c>
      <c r="U7302" s="16"/>
      <c r="V7302" s="16"/>
      <c r="W7302" s="16" t="s">
        <v>40</v>
      </c>
      <c r="X7302" s="25"/>
      <c r="Y7302" s="25"/>
      <c r="Z7302" s="21">
        <v>4601004320208</v>
      </c>
    </row>
    <row r="7303" spans="1:26" ht="12.95" customHeight="1" outlineLevel="3" x14ac:dyDescent="0.2">
      <c r="A7303" s="76" t="s">
        <v>13998</v>
      </c>
      <c r="B7303" s="76"/>
      <c r="C7303" s="77"/>
      <c r="D7303" s="58"/>
      <c r="E7303" s="68"/>
      <c r="F7303" s="13"/>
      <c r="G7303" s="13"/>
      <c r="H7303" s="13"/>
      <c r="I7303" s="13"/>
      <c r="J7303" s="13"/>
      <c r="K7303" s="13"/>
      <c r="L7303" s="13"/>
      <c r="M7303" s="13"/>
      <c r="N7303" s="13"/>
      <c r="O7303" s="13"/>
      <c r="P7303" s="13"/>
      <c r="Q7303" s="13"/>
      <c r="R7303" s="13"/>
      <c r="S7303" s="13"/>
      <c r="T7303" s="13"/>
      <c r="U7303" s="13"/>
      <c r="V7303" s="13"/>
      <c r="W7303" s="13"/>
      <c r="X7303" s="13"/>
      <c r="Y7303" s="13"/>
      <c r="Z7303" s="13"/>
    </row>
    <row r="7304" spans="1:26" ht="12" customHeight="1" outlineLevel="4" x14ac:dyDescent="0.2">
      <c r="A7304" s="32" t="s">
        <v>13999</v>
      </c>
      <c r="B7304" s="74" t="s">
        <v>14000</v>
      </c>
      <c r="C7304" s="50"/>
      <c r="D7304" s="53">
        <f t="shared" si="113"/>
        <v>0</v>
      </c>
      <c r="E7304" s="60" t="str">
        <f>HYPERLINK("https://www.sds-group.ru/product/patch-kord-opticheskiy-perehodnoy-sm-9-125-os2-sc-apc-fc-upc-duplex-pvc-5m-rexant-50-2857-1/", "Инфо")</f>
        <v>Инфо</v>
      </c>
      <c r="F7304" s="34" t="s">
        <v>39</v>
      </c>
      <c r="G7304" s="33"/>
      <c r="H7304" s="33" t="s">
        <v>40</v>
      </c>
      <c r="I7304" s="33" t="s">
        <v>13755</v>
      </c>
      <c r="J7304" s="34" t="s">
        <v>100</v>
      </c>
      <c r="K7304" s="33"/>
      <c r="L7304" s="35">
        <v>1</v>
      </c>
      <c r="M7304" s="35">
        <v>100</v>
      </c>
      <c r="N7304" s="35">
        <v>1</v>
      </c>
      <c r="O7304" s="36">
        <v>867.83</v>
      </c>
      <c r="P7304" s="36">
        <v>711.34</v>
      </c>
      <c r="Q7304" s="36">
        <v>867.83</v>
      </c>
      <c r="R7304" s="36">
        <v>711.34</v>
      </c>
      <c r="S7304" s="36">
        <v>520.70000000000005</v>
      </c>
      <c r="T7304" s="36">
        <v>426.8</v>
      </c>
      <c r="U7304" s="34"/>
      <c r="V7304" s="34"/>
      <c r="W7304" s="34" t="s">
        <v>40</v>
      </c>
      <c r="X7304" s="37">
        <v>5.1999999999999998E-2</v>
      </c>
      <c r="Y7304" s="38">
        <v>6.9300000000000004E-4</v>
      </c>
      <c r="Z7304" s="21">
        <v>4601004105171</v>
      </c>
    </row>
    <row r="7305" spans="1:26" ht="12" customHeight="1" outlineLevel="4" x14ac:dyDescent="0.2">
      <c r="A7305" s="32" t="s">
        <v>14001</v>
      </c>
      <c r="B7305" s="74" t="s">
        <v>14002</v>
      </c>
      <c r="C7305" s="50"/>
      <c r="D7305" s="53">
        <f t="shared" ref="D7305:D7368" si="114">C7305*(O7305-O7305*$G$3)</f>
        <v>0</v>
      </c>
      <c r="E7305" s="60" t="str">
        <f>HYPERLINK("https://www.sds-group.ru/product/patch-kord-opticheskiy-sm-9-125-os2-sc-upc-fc-upc-duplex-3mm-lszh-10m-24144/", "Инфо")</f>
        <v>Инфо</v>
      </c>
      <c r="F7305" s="34" t="s">
        <v>39</v>
      </c>
      <c r="G7305" s="33"/>
      <c r="H7305" s="33" t="s">
        <v>40</v>
      </c>
      <c r="I7305" s="33" t="s">
        <v>13755</v>
      </c>
      <c r="J7305" s="34" t="s">
        <v>100</v>
      </c>
      <c r="K7305" s="33"/>
      <c r="L7305" s="35">
        <v>10</v>
      </c>
      <c r="M7305" s="35">
        <v>30</v>
      </c>
      <c r="N7305" s="35">
        <v>10</v>
      </c>
      <c r="O7305" s="36">
        <v>1299.5</v>
      </c>
      <c r="P7305" s="36">
        <v>1065.1600000000001</v>
      </c>
      <c r="Q7305" s="36">
        <v>1299.5</v>
      </c>
      <c r="R7305" s="36">
        <v>1065.1600000000001</v>
      </c>
      <c r="S7305" s="36">
        <v>779.7</v>
      </c>
      <c r="T7305" s="36">
        <v>639.1</v>
      </c>
      <c r="U7305" s="34"/>
      <c r="V7305" s="34"/>
      <c r="W7305" s="34" t="s">
        <v>40</v>
      </c>
      <c r="X7305" s="37">
        <v>0.15</v>
      </c>
      <c r="Y7305" s="38">
        <v>2.2499999999999999E-4</v>
      </c>
      <c r="Z7305" s="21">
        <v>2000321632469</v>
      </c>
    </row>
    <row r="7306" spans="1:26" ht="12" customHeight="1" outlineLevel="4" x14ac:dyDescent="0.2">
      <c r="A7306" s="14" t="s">
        <v>14003</v>
      </c>
      <c r="B7306" s="26" t="s">
        <v>14004</v>
      </c>
      <c r="C7306" s="52"/>
      <c r="D7306" s="55">
        <f t="shared" si="114"/>
        <v>0</v>
      </c>
      <c r="E7306" s="63" t="str">
        <f>HYPERLINK("https://www.sds-group.ru/product/patch-kord-opticheskiy-perehodnoy-sm-9-125-os2-sc-upc-fc-upc-simplex-lszh-3m-rexant-50-2802/", "Инфо")</f>
        <v>Инфо</v>
      </c>
      <c r="F7306" s="16" t="s">
        <v>39</v>
      </c>
      <c r="G7306" s="15"/>
      <c r="H7306" s="15"/>
      <c r="I7306" s="15" t="s">
        <v>13755</v>
      </c>
      <c r="J7306" s="17">
        <v>105</v>
      </c>
      <c r="K7306" s="15"/>
      <c r="L7306" s="17">
        <v>5</v>
      </c>
      <c r="M7306" s="17">
        <v>84</v>
      </c>
      <c r="N7306" s="17">
        <v>5</v>
      </c>
      <c r="O7306" s="18">
        <v>491.26</v>
      </c>
      <c r="P7306" s="18">
        <v>402.67</v>
      </c>
      <c r="Q7306" s="18">
        <v>491.26</v>
      </c>
      <c r="R7306" s="18">
        <v>402.67</v>
      </c>
      <c r="S7306" s="18">
        <v>294.76</v>
      </c>
      <c r="T7306" s="18">
        <v>241.61</v>
      </c>
      <c r="U7306" s="16"/>
      <c r="V7306" s="16"/>
      <c r="W7306" s="16" t="s">
        <v>40</v>
      </c>
      <c r="X7306" s="19">
        <v>2.3E-2</v>
      </c>
      <c r="Y7306" s="20">
        <v>1.15E-4</v>
      </c>
      <c r="Z7306" s="21">
        <v>4601004109674</v>
      </c>
    </row>
    <row r="7307" spans="1:26" ht="12" customHeight="1" outlineLevel="4" x14ac:dyDescent="0.2">
      <c r="A7307" s="14" t="s">
        <v>14005</v>
      </c>
      <c r="B7307" s="26" t="s">
        <v>14006</v>
      </c>
      <c r="C7307" s="52"/>
      <c r="D7307" s="55">
        <f t="shared" si="114"/>
        <v>0</v>
      </c>
      <c r="E7307" s="63" t="str">
        <f>HYPERLINK("https://www.sds-group.ru/product/patch-kord-opticheskiy-perehodnoy-sm-9-125-os2-lc-upc-fc-upc-duplex-lszh-15m-rexant-50-2530/", "Инфо")</f>
        <v>Инфо</v>
      </c>
      <c r="F7307" s="16" t="s">
        <v>39</v>
      </c>
      <c r="G7307" s="15"/>
      <c r="H7307" s="15"/>
      <c r="I7307" s="15" t="s">
        <v>13755</v>
      </c>
      <c r="J7307" s="16" t="s">
        <v>100</v>
      </c>
      <c r="K7307" s="15"/>
      <c r="L7307" s="17">
        <v>10</v>
      </c>
      <c r="M7307" s="17">
        <v>22</v>
      </c>
      <c r="N7307" s="17">
        <v>10</v>
      </c>
      <c r="O7307" s="18">
        <v>1479.11</v>
      </c>
      <c r="P7307" s="18">
        <v>1212.3900000000001</v>
      </c>
      <c r="Q7307" s="18">
        <v>1479.11</v>
      </c>
      <c r="R7307" s="18">
        <v>1212.3900000000001</v>
      </c>
      <c r="S7307" s="18">
        <v>887.47</v>
      </c>
      <c r="T7307" s="18">
        <v>727.43</v>
      </c>
      <c r="U7307" s="16"/>
      <c r="V7307" s="16"/>
      <c r="W7307" s="16" t="s">
        <v>40</v>
      </c>
      <c r="X7307" s="19">
        <v>0.125</v>
      </c>
      <c r="Y7307" s="20">
        <v>2E-3</v>
      </c>
      <c r="Z7307" s="21">
        <v>4601004130197</v>
      </c>
    </row>
    <row r="7308" spans="1:26" ht="12.95" customHeight="1" outlineLevel="1" x14ac:dyDescent="0.2">
      <c r="A7308" s="78" t="s">
        <v>14007</v>
      </c>
      <c r="B7308" s="78"/>
      <c r="C7308" s="79"/>
      <c r="D7308" s="57"/>
      <c r="E7308" s="67"/>
      <c r="F7308" s="12"/>
      <c r="G7308" s="12"/>
      <c r="H7308" s="12"/>
      <c r="I7308" s="12"/>
      <c r="J7308" s="12"/>
      <c r="K7308" s="12"/>
      <c r="L7308" s="12"/>
      <c r="M7308" s="12"/>
      <c r="N7308" s="12"/>
      <c r="O7308" s="12"/>
      <c r="P7308" s="12"/>
      <c r="Q7308" s="12"/>
      <c r="R7308" s="12"/>
      <c r="S7308" s="12"/>
      <c r="T7308" s="12"/>
      <c r="U7308" s="12"/>
      <c r="V7308" s="12"/>
      <c r="W7308" s="12"/>
      <c r="X7308" s="12"/>
      <c r="Y7308" s="12"/>
      <c r="Z7308" s="12"/>
    </row>
    <row r="7309" spans="1:26" ht="12.95" customHeight="1" outlineLevel="2" x14ac:dyDescent="0.2">
      <c r="A7309" s="76" t="s">
        <v>14008</v>
      </c>
      <c r="B7309" s="76"/>
      <c r="C7309" s="77"/>
      <c r="D7309" s="58"/>
      <c r="E7309" s="68"/>
      <c r="F7309" s="13"/>
      <c r="G7309" s="13"/>
      <c r="H7309" s="13"/>
      <c r="I7309" s="13"/>
      <c r="J7309" s="13"/>
      <c r="K7309" s="13"/>
      <c r="L7309" s="13"/>
      <c r="M7309" s="13"/>
      <c r="N7309" s="13"/>
      <c r="O7309" s="13"/>
      <c r="P7309" s="13"/>
      <c r="Q7309" s="13"/>
      <c r="R7309" s="13"/>
      <c r="S7309" s="13"/>
      <c r="T7309" s="13"/>
      <c r="U7309" s="13"/>
      <c r="V7309" s="13"/>
      <c r="W7309" s="13"/>
      <c r="X7309" s="13"/>
      <c r="Y7309" s="13"/>
      <c r="Z7309" s="13"/>
    </row>
    <row r="7310" spans="1:26" ht="12" customHeight="1" outlineLevel="3" x14ac:dyDescent="0.2">
      <c r="A7310" s="40" t="s">
        <v>14009</v>
      </c>
      <c r="B7310" s="75" t="s">
        <v>14010</v>
      </c>
      <c r="C7310" s="51"/>
      <c r="D7310" s="54">
        <f t="shared" si="114"/>
        <v>0</v>
      </c>
      <c r="E7310" s="62"/>
      <c r="F7310" s="42" t="s">
        <v>1767</v>
      </c>
      <c r="G7310" s="41" t="s">
        <v>40</v>
      </c>
      <c r="H7310" s="41"/>
      <c r="I7310" s="41"/>
      <c r="J7310" s="47">
        <v>10000</v>
      </c>
      <c r="K7310" s="41"/>
      <c r="L7310" s="43">
        <v>1</v>
      </c>
      <c r="M7310" s="47">
        <v>2000</v>
      </c>
      <c r="N7310" s="43">
        <v>1</v>
      </c>
      <c r="O7310" s="44">
        <v>216.71</v>
      </c>
      <c r="P7310" s="44">
        <v>177.63</v>
      </c>
      <c r="Q7310" s="44">
        <v>192.87</v>
      </c>
      <c r="R7310" s="44">
        <v>158.09</v>
      </c>
      <c r="S7310" s="44">
        <v>147.36000000000001</v>
      </c>
      <c r="T7310" s="44">
        <v>120.79</v>
      </c>
      <c r="U7310" s="42"/>
      <c r="V7310" s="42"/>
      <c r="W7310" s="42" t="s">
        <v>40</v>
      </c>
      <c r="X7310" s="45">
        <v>0.08</v>
      </c>
      <c r="Y7310" s="46">
        <v>1.95E-4</v>
      </c>
      <c r="Z7310" s="21">
        <v>4601004356542</v>
      </c>
    </row>
    <row r="7311" spans="1:26" ht="12" customHeight="1" outlineLevel="3" x14ac:dyDescent="0.2">
      <c r="A7311" s="40" t="s">
        <v>14011</v>
      </c>
      <c r="B7311" s="75" t="s">
        <v>14012</v>
      </c>
      <c r="C7311" s="51"/>
      <c r="D7311" s="54">
        <f t="shared" si="114"/>
        <v>0</v>
      </c>
      <c r="E7311" s="62"/>
      <c r="F7311" s="42" t="s">
        <v>1767</v>
      </c>
      <c r="G7311" s="41" t="s">
        <v>40</v>
      </c>
      <c r="H7311" s="41"/>
      <c r="I7311" s="41"/>
      <c r="J7311" s="47">
        <v>2000</v>
      </c>
      <c r="K7311" s="41"/>
      <c r="L7311" s="43">
        <v>1</v>
      </c>
      <c r="M7311" s="47">
        <v>2000</v>
      </c>
      <c r="N7311" s="43">
        <v>1</v>
      </c>
      <c r="O7311" s="44">
        <v>97.52</v>
      </c>
      <c r="P7311" s="44">
        <v>79.930000000000007</v>
      </c>
      <c r="Q7311" s="44">
        <v>86.79</v>
      </c>
      <c r="R7311" s="44">
        <v>71.14</v>
      </c>
      <c r="S7311" s="44">
        <v>66.31</v>
      </c>
      <c r="T7311" s="44">
        <v>54.35</v>
      </c>
      <c r="U7311" s="42"/>
      <c r="V7311" s="42"/>
      <c r="W7311" s="42" t="s">
        <v>40</v>
      </c>
      <c r="X7311" s="45">
        <v>4.2000000000000003E-2</v>
      </c>
      <c r="Y7311" s="46">
        <v>2.1900000000000001E-4</v>
      </c>
      <c r="Z7311" s="21">
        <v>4601004356481</v>
      </c>
    </row>
    <row r="7312" spans="1:26" ht="12" customHeight="1" outlineLevel="3" x14ac:dyDescent="0.2">
      <c r="A7312" s="40" t="s">
        <v>14013</v>
      </c>
      <c r="B7312" s="75" t="s">
        <v>14014</v>
      </c>
      <c r="C7312" s="51"/>
      <c r="D7312" s="54">
        <f t="shared" si="114"/>
        <v>0</v>
      </c>
      <c r="E7312" s="62"/>
      <c r="F7312" s="42" t="s">
        <v>1767</v>
      </c>
      <c r="G7312" s="41" t="s">
        <v>40</v>
      </c>
      <c r="H7312" s="41"/>
      <c r="I7312" s="41"/>
      <c r="J7312" s="47">
        <v>1000</v>
      </c>
      <c r="K7312" s="41"/>
      <c r="L7312" s="43">
        <v>1</v>
      </c>
      <c r="M7312" s="47">
        <v>2000</v>
      </c>
      <c r="N7312" s="43">
        <v>1</v>
      </c>
      <c r="O7312" s="44">
        <v>104.66</v>
      </c>
      <c r="P7312" s="44">
        <v>85.79</v>
      </c>
      <c r="Q7312" s="44">
        <v>93.15</v>
      </c>
      <c r="R7312" s="44">
        <v>76.349999999999994</v>
      </c>
      <c r="S7312" s="44">
        <v>71.17</v>
      </c>
      <c r="T7312" s="44">
        <v>58.34</v>
      </c>
      <c r="U7312" s="42"/>
      <c r="V7312" s="42"/>
      <c r="W7312" s="42" t="s">
        <v>40</v>
      </c>
      <c r="X7312" s="45">
        <v>4.2000000000000003E-2</v>
      </c>
      <c r="Y7312" s="46">
        <v>2.24E-4</v>
      </c>
      <c r="Z7312" s="21">
        <v>4601004356566</v>
      </c>
    </row>
    <row r="7313" spans="1:26" ht="12" customHeight="1" outlineLevel="3" x14ac:dyDescent="0.2">
      <c r="A7313" s="40" t="s">
        <v>14015</v>
      </c>
      <c r="B7313" s="75" t="s">
        <v>14016</v>
      </c>
      <c r="C7313" s="51"/>
      <c r="D7313" s="54">
        <f t="shared" si="114"/>
        <v>0</v>
      </c>
      <c r="E7313" s="62"/>
      <c r="F7313" s="42" t="s">
        <v>1767</v>
      </c>
      <c r="G7313" s="41" t="s">
        <v>40</v>
      </c>
      <c r="H7313" s="41"/>
      <c r="I7313" s="41"/>
      <c r="J7313" s="47">
        <v>2000</v>
      </c>
      <c r="K7313" s="41"/>
      <c r="L7313" s="43">
        <v>1</v>
      </c>
      <c r="M7313" s="47">
        <v>2000</v>
      </c>
      <c r="N7313" s="43">
        <v>1</v>
      </c>
      <c r="O7313" s="44">
        <v>143.91</v>
      </c>
      <c r="P7313" s="44">
        <v>117.96</v>
      </c>
      <c r="Q7313" s="44">
        <v>128.08000000000001</v>
      </c>
      <c r="R7313" s="44">
        <v>104.98</v>
      </c>
      <c r="S7313" s="44">
        <v>97.86</v>
      </c>
      <c r="T7313" s="44">
        <v>80.209999999999994</v>
      </c>
      <c r="U7313" s="42"/>
      <c r="V7313" s="42"/>
      <c r="W7313" s="42" t="s">
        <v>40</v>
      </c>
      <c r="X7313" s="45">
        <v>4.1000000000000002E-2</v>
      </c>
      <c r="Y7313" s="46">
        <v>2.1699999999999999E-4</v>
      </c>
      <c r="Z7313" s="21">
        <v>4601004356528</v>
      </c>
    </row>
    <row r="7314" spans="1:26" ht="12" customHeight="1" outlineLevel="3" x14ac:dyDescent="0.2">
      <c r="A7314" s="40" t="s">
        <v>14017</v>
      </c>
      <c r="B7314" s="75" t="s">
        <v>14018</v>
      </c>
      <c r="C7314" s="51"/>
      <c r="D7314" s="54">
        <f t="shared" si="114"/>
        <v>0</v>
      </c>
      <c r="E7314" s="62"/>
      <c r="F7314" s="42" t="s">
        <v>1767</v>
      </c>
      <c r="G7314" s="41" t="s">
        <v>40</v>
      </c>
      <c r="H7314" s="41"/>
      <c r="I7314" s="41"/>
      <c r="J7314" s="47">
        <v>2000</v>
      </c>
      <c r="K7314" s="41"/>
      <c r="L7314" s="43">
        <v>1</v>
      </c>
      <c r="M7314" s="47">
        <v>2000</v>
      </c>
      <c r="N7314" s="43">
        <v>1</v>
      </c>
      <c r="O7314" s="44">
        <v>164.08</v>
      </c>
      <c r="P7314" s="44">
        <v>134.49</v>
      </c>
      <c r="Q7314" s="44">
        <v>146.03</v>
      </c>
      <c r="R7314" s="44">
        <v>119.7</v>
      </c>
      <c r="S7314" s="44">
        <v>111.57</v>
      </c>
      <c r="T7314" s="44">
        <v>91.45</v>
      </c>
      <c r="U7314" s="42"/>
      <c r="V7314" s="42"/>
      <c r="W7314" s="42" t="s">
        <v>40</v>
      </c>
      <c r="X7314" s="45">
        <v>4.2000000000000003E-2</v>
      </c>
      <c r="Y7314" s="46">
        <v>2.1900000000000001E-4</v>
      </c>
      <c r="Z7314" s="21">
        <v>4601004356603</v>
      </c>
    </row>
    <row r="7315" spans="1:26" ht="12" customHeight="1" outlineLevel="3" x14ac:dyDescent="0.2">
      <c r="A7315" s="40" t="s">
        <v>14019</v>
      </c>
      <c r="B7315" s="75" t="s">
        <v>14020</v>
      </c>
      <c r="C7315" s="51"/>
      <c r="D7315" s="54">
        <f t="shared" si="114"/>
        <v>0</v>
      </c>
      <c r="E7315" s="62"/>
      <c r="F7315" s="42" t="s">
        <v>1767</v>
      </c>
      <c r="G7315" s="41" t="s">
        <v>40</v>
      </c>
      <c r="H7315" s="41"/>
      <c r="I7315" s="41"/>
      <c r="J7315" s="47">
        <v>2000</v>
      </c>
      <c r="K7315" s="41"/>
      <c r="L7315" s="43">
        <v>1</v>
      </c>
      <c r="M7315" s="47">
        <v>2000</v>
      </c>
      <c r="N7315" s="43">
        <v>1</v>
      </c>
      <c r="O7315" s="44">
        <v>121.41</v>
      </c>
      <c r="P7315" s="44">
        <v>99.52</v>
      </c>
      <c r="Q7315" s="44">
        <v>108.05</v>
      </c>
      <c r="R7315" s="44">
        <v>88.57</v>
      </c>
      <c r="S7315" s="44">
        <v>82.56</v>
      </c>
      <c r="T7315" s="44">
        <v>67.67</v>
      </c>
      <c r="U7315" s="42"/>
      <c r="V7315" s="42"/>
      <c r="W7315" s="42" t="s">
        <v>40</v>
      </c>
      <c r="X7315" s="45">
        <v>5.2999999999999999E-2</v>
      </c>
      <c r="Y7315" s="46">
        <v>2.1900000000000001E-4</v>
      </c>
      <c r="Z7315" s="21">
        <v>4601004356498</v>
      </c>
    </row>
    <row r="7316" spans="1:26" ht="12" customHeight="1" outlineLevel="3" x14ac:dyDescent="0.2">
      <c r="A7316" s="40" t="s">
        <v>14021</v>
      </c>
      <c r="B7316" s="75" t="s">
        <v>14022</v>
      </c>
      <c r="C7316" s="51"/>
      <c r="D7316" s="54">
        <f t="shared" si="114"/>
        <v>0</v>
      </c>
      <c r="E7316" s="62"/>
      <c r="F7316" s="42" t="s">
        <v>1767</v>
      </c>
      <c r="G7316" s="41" t="s">
        <v>40</v>
      </c>
      <c r="H7316" s="41"/>
      <c r="I7316" s="41"/>
      <c r="J7316" s="47">
        <v>10000</v>
      </c>
      <c r="K7316" s="41"/>
      <c r="L7316" s="43">
        <v>1</v>
      </c>
      <c r="M7316" s="47">
        <v>2000</v>
      </c>
      <c r="N7316" s="43">
        <v>1</v>
      </c>
      <c r="O7316" s="44">
        <v>130.02000000000001</v>
      </c>
      <c r="P7316" s="44">
        <v>106.57</v>
      </c>
      <c r="Q7316" s="44">
        <v>115.72</v>
      </c>
      <c r="R7316" s="44">
        <v>94.85</v>
      </c>
      <c r="S7316" s="44">
        <v>88.41</v>
      </c>
      <c r="T7316" s="44">
        <v>72.47</v>
      </c>
      <c r="U7316" s="42"/>
      <c r="V7316" s="42"/>
      <c r="W7316" s="42" t="s">
        <v>40</v>
      </c>
      <c r="X7316" s="45">
        <v>5.2999999999999999E-2</v>
      </c>
      <c r="Y7316" s="46">
        <v>2.24E-4</v>
      </c>
      <c r="Z7316" s="21">
        <v>4601004356573</v>
      </c>
    </row>
    <row r="7317" spans="1:26" ht="12" customHeight="1" outlineLevel="3" x14ac:dyDescent="0.2">
      <c r="A7317" s="40" t="s">
        <v>14023</v>
      </c>
      <c r="B7317" s="75" t="s">
        <v>14024</v>
      </c>
      <c r="C7317" s="51"/>
      <c r="D7317" s="54">
        <f t="shared" si="114"/>
        <v>0</v>
      </c>
      <c r="E7317" s="62"/>
      <c r="F7317" s="42" t="s">
        <v>1767</v>
      </c>
      <c r="G7317" s="41" t="s">
        <v>40</v>
      </c>
      <c r="H7317" s="41"/>
      <c r="I7317" s="41"/>
      <c r="J7317" s="47">
        <v>2000</v>
      </c>
      <c r="K7317" s="41"/>
      <c r="L7317" s="43">
        <v>1</v>
      </c>
      <c r="M7317" s="47">
        <v>2000</v>
      </c>
      <c r="N7317" s="43">
        <v>1</v>
      </c>
      <c r="O7317" s="44">
        <v>284.23</v>
      </c>
      <c r="P7317" s="44">
        <v>232.98</v>
      </c>
      <c r="Q7317" s="44">
        <v>252.96</v>
      </c>
      <c r="R7317" s="44">
        <v>207.34</v>
      </c>
      <c r="S7317" s="44">
        <v>193.28</v>
      </c>
      <c r="T7317" s="44">
        <v>158.43</v>
      </c>
      <c r="U7317" s="42"/>
      <c r="V7317" s="42"/>
      <c r="W7317" s="42" t="s">
        <v>40</v>
      </c>
      <c r="X7317" s="45">
        <v>5.5E-2</v>
      </c>
      <c r="Y7317" s="46">
        <v>2.1900000000000001E-4</v>
      </c>
      <c r="Z7317" s="21">
        <v>4601004356535</v>
      </c>
    </row>
    <row r="7318" spans="1:26" ht="12" customHeight="1" outlineLevel="3" x14ac:dyDescent="0.2">
      <c r="A7318" s="40" t="s">
        <v>14025</v>
      </c>
      <c r="B7318" s="75" t="s">
        <v>14026</v>
      </c>
      <c r="C7318" s="51"/>
      <c r="D7318" s="54">
        <f t="shared" si="114"/>
        <v>0</v>
      </c>
      <c r="E7318" s="62"/>
      <c r="F7318" s="42" t="s">
        <v>1767</v>
      </c>
      <c r="G7318" s="41" t="s">
        <v>40</v>
      </c>
      <c r="H7318" s="41"/>
      <c r="I7318" s="41"/>
      <c r="J7318" s="47">
        <v>2000</v>
      </c>
      <c r="K7318" s="41"/>
      <c r="L7318" s="43">
        <v>1</v>
      </c>
      <c r="M7318" s="47">
        <v>2000</v>
      </c>
      <c r="N7318" s="43">
        <v>1</v>
      </c>
      <c r="O7318" s="44">
        <v>322.60000000000002</v>
      </c>
      <c r="P7318" s="44">
        <v>264.43</v>
      </c>
      <c r="Q7318" s="44">
        <v>287.11</v>
      </c>
      <c r="R7318" s="44">
        <v>235.34</v>
      </c>
      <c r="S7318" s="44">
        <v>219.37</v>
      </c>
      <c r="T7318" s="44">
        <v>179.81</v>
      </c>
      <c r="U7318" s="42"/>
      <c r="V7318" s="42"/>
      <c r="W7318" s="42" t="s">
        <v>40</v>
      </c>
      <c r="X7318" s="45">
        <v>5.3999999999999999E-2</v>
      </c>
      <c r="Y7318" s="46">
        <v>2.1699999999999999E-4</v>
      </c>
      <c r="Z7318" s="21">
        <v>4601004356610</v>
      </c>
    </row>
    <row r="7319" spans="1:26" ht="12.95" customHeight="1" outlineLevel="1" x14ac:dyDescent="0.2">
      <c r="A7319" s="78" t="s">
        <v>14027</v>
      </c>
      <c r="B7319" s="78"/>
      <c r="C7319" s="79"/>
      <c r="D7319" s="57"/>
      <c r="E7319" s="67"/>
      <c r="F7319" s="12"/>
      <c r="G7319" s="12"/>
      <c r="H7319" s="12"/>
      <c r="I7319" s="12"/>
      <c r="J7319" s="12"/>
      <c r="K7319" s="12"/>
      <c r="L7319" s="12"/>
      <c r="M7319" s="12"/>
      <c r="N7319" s="12"/>
      <c r="O7319" s="12"/>
      <c r="P7319" s="12"/>
      <c r="Q7319" s="12"/>
      <c r="R7319" s="12"/>
      <c r="S7319" s="12"/>
      <c r="T7319" s="12"/>
      <c r="U7319" s="12"/>
      <c r="V7319" s="12"/>
      <c r="W7319" s="12"/>
      <c r="X7319" s="12"/>
      <c r="Y7319" s="12"/>
      <c r="Z7319" s="12"/>
    </row>
    <row r="7320" spans="1:26" ht="12" customHeight="1" outlineLevel="2" x14ac:dyDescent="0.2">
      <c r="A7320" s="40" t="s">
        <v>14028</v>
      </c>
      <c r="B7320" s="75" t="s">
        <v>14029</v>
      </c>
      <c r="C7320" s="51"/>
      <c r="D7320" s="54">
        <f t="shared" si="114"/>
        <v>0</v>
      </c>
      <c r="E7320" s="62"/>
      <c r="F7320" s="42" t="s">
        <v>39</v>
      </c>
      <c r="G7320" s="41" t="s">
        <v>40</v>
      </c>
      <c r="H7320" s="41"/>
      <c r="I7320" s="41"/>
      <c r="J7320" s="42" t="s">
        <v>100</v>
      </c>
      <c r="K7320" s="41" t="s">
        <v>1094</v>
      </c>
      <c r="L7320" s="43">
        <v>1</v>
      </c>
      <c r="M7320" s="43">
        <v>500</v>
      </c>
      <c r="N7320" s="43">
        <v>1</v>
      </c>
      <c r="O7320" s="44">
        <v>157.69</v>
      </c>
      <c r="P7320" s="44">
        <v>129.25</v>
      </c>
      <c r="Q7320" s="44">
        <v>140.34</v>
      </c>
      <c r="R7320" s="44">
        <v>115.03</v>
      </c>
      <c r="S7320" s="44">
        <v>107.23</v>
      </c>
      <c r="T7320" s="44">
        <v>87.89</v>
      </c>
      <c r="U7320" s="42"/>
      <c r="V7320" s="42"/>
      <c r="W7320" s="42" t="s">
        <v>40</v>
      </c>
      <c r="X7320" s="49"/>
      <c r="Y7320" s="49"/>
      <c r="Z7320" s="21">
        <v>4601004356115</v>
      </c>
    </row>
    <row r="7321" spans="1:26" ht="12" customHeight="1" outlineLevel="2" x14ac:dyDescent="0.2">
      <c r="A7321" s="40" t="s">
        <v>14030</v>
      </c>
      <c r="B7321" s="75" t="s">
        <v>14031</v>
      </c>
      <c r="C7321" s="51"/>
      <c r="D7321" s="54">
        <f t="shared" si="114"/>
        <v>0</v>
      </c>
      <c r="E7321" s="62"/>
      <c r="F7321" s="42" t="s">
        <v>39</v>
      </c>
      <c r="G7321" s="41" t="s">
        <v>40</v>
      </c>
      <c r="H7321" s="41"/>
      <c r="I7321" s="41"/>
      <c r="J7321" s="42" t="s">
        <v>100</v>
      </c>
      <c r="K7321" s="41" t="s">
        <v>1094</v>
      </c>
      <c r="L7321" s="43">
        <v>1</v>
      </c>
      <c r="M7321" s="43">
        <v>500</v>
      </c>
      <c r="N7321" s="43">
        <v>1</v>
      </c>
      <c r="O7321" s="44">
        <v>165.13</v>
      </c>
      <c r="P7321" s="44">
        <v>135.35</v>
      </c>
      <c r="Q7321" s="44">
        <v>146.97</v>
      </c>
      <c r="R7321" s="44">
        <v>120.47</v>
      </c>
      <c r="S7321" s="44">
        <v>112.29</v>
      </c>
      <c r="T7321" s="44">
        <v>92.04</v>
      </c>
      <c r="U7321" s="42"/>
      <c r="V7321" s="42"/>
      <c r="W7321" s="42" t="s">
        <v>40</v>
      </c>
      <c r="X7321" s="49"/>
      <c r="Y7321" s="49"/>
      <c r="Z7321" s="21">
        <v>4601004356139</v>
      </c>
    </row>
    <row r="7322" spans="1:26" ht="12" customHeight="1" outlineLevel="2" x14ac:dyDescent="0.2">
      <c r="A7322" s="40" t="s">
        <v>14032</v>
      </c>
      <c r="B7322" s="75" t="s">
        <v>14033</v>
      </c>
      <c r="C7322" s="51"/>
      <c r="D7322" s="54">
        <f t="shared" si="114"/>
        <v>0</v>
      </c>
      <c r="E7322" s="62"/>
      <c r="F7322" s="42" t="s">
        <v>39</v>
      </c>
      <c r="G7322" s="41" t="s">
        <v>40</v>
      </c>
      <c r="H7322" s="41"/>
      <c r="I7322" s="41"/>
      <c r="J7322" s="42" t="s">
        <v>100</v>
      </c>
      <c r="K7322" s="41" t="s">
        <v>1094</v>
      </c>
      <c r="L7322" s="43">
        <v>1</v>
      </c>
      <c r="M7322" s="43">
        <v>500</v>
      </c>
      <c r="N7322" s="43">
        <v>1</v>
      </c>
      <c r="O7322" s="44">
        <v>163.08000000000001</v>
      </c>
      <c r="P7322" s="44">
        <v>133.66999999999999</v>
      </c>
      <c r="Q7322" s="44">
        <v>145.13999999999999</v>
      </c>
      <c r="R7322" s="44">
        <v>118.97</v>
      </c>
      <c r="S7322" s="44">
        <v>110.89</v>
      </c>
      <c r="T7322" s="44">
        <v>90.89</v>
      </c>
      <c r="U7322" s="42"/>
      <c r="V7322" s="42"/>
      <c r="W7322" s="42" t="s">
        <v>40</v>
      </c>
      <c r="X7322" s="49"/>
      <c r="Y7322" s="49"/>
      <c r="Z7322" s="21">
        <v>4601004356146</v>
      </c>
    </row>
    <row r="7323" spans="1:26" ht="12" customHeight="1" outlineLevel="2" x14ac:dyDescent="0.2">
      <c r="A7323" s="40" t="s">
        <v>14034</v>
      </c>
      <c r="B7323" s="75" t="s">
        <v>14035</v>
      </c>
      <c r="C7323" s="51"/>
      <c r="D7323" s="54">
        <f t="shared" si="114"/>
        <v>0</v>
      </c>
      <c r="E7323" s="62"/>
      <c r="F7323" s="42" t="s">
        <v>39</v>
      </c>
      <c r="G7323" s="41" t="s">
        <v>40</v>
      </c>
      <c r="H7323" s="41"/>
      <c r="I7323" s="41"/>
      <c r="J7323" s="42" t="s">
        <v>100</v>
      </c>
      <c r="K7323" s="41" t="s">
        <v>1094</v>
      </c>
      <c r="L7323" s="43">
        <v>1</v>
      </c>
      <c r="M7323" s="43">
        <v>500</v>
      </c>
      <c r="N7323" s="43">
        <v>1</v>
      </c>
      <c r="O7323" s="44">
        <v>167.15</v>
      </c>
      <c r="P7323" s="44">
        <v>137.01</v>
      </c>
      <c r="Q7323" s="44">
        <v>148.76</v>
      </c>
      <c r="R7323" s="44">
        <v>121.93</v>
      </c>
      <c r="S7323" s="44">
        <v>113.66</v>
      </c>
      <c r="T7323" s="44">
        <v>93.16</v>
      </c>
      <c r="U7323" s="42"/>
      <c r="V7323" s="42"/>
      <c r="W7323" s="42" t="s">
        <v>40</v>
      </c>
      <c r="X7323" s="49"/>
      <c r="Y7323" s="49"/>
      <c r="Z7323" s="21">
        <v>4601004356153</v>
      </c>
    </row>
    <row r="7324" spans="1:26" ht="12" customHeight="1" outlineLevel="2" x14ac:dyDescent="0.2">
      <c r="A7324" s="40" t="s">
        <v>14036</v>
      </c>
      <c r="B7324" s="75" t="s">
        <v>14037</v>
      </c>
      <c r="C7324" s="51"/>
      <c r="D7324" s="54">
        <f t="shared" si="114"/>
        <v>0</v>
      </c>
      <c r="E7324" s="62"/>
      <c r="F7324" s="42" t="s">
        <v>39</v>
      </c>
      <c r="G7324" s="41" t="s">
        <v>40</v>
      </c>
      <c r="H7324" s="41"/>
      <c r="I7324" s="41"/>
      <c r="J7324" s="42" t="s">
        <v>100</v>
      </c>
      <c r="K7324" s="41" t="s">
        <v>1094</v>
      </c>
      <c r="L7324" s="43">
        <v>1</v>
      </c>
      <c r="M7324" s="43">
        <v>500</v>
      </c>
      <c r="N7324" s="43">
        <v>1</v>
      </c>
      <c r="O7324" s="44">
        <v>163.08000000000001</v>
      </c>
      <c r="P7324" s="44">
        <v>133.66999999999999</v>
      </c>
      <c r="Q7324" s="44">
        <v>145.13999999999999</v>
      </c>
      <c r="R7324" s="44">
        <v>118.97</v>
      </c>
      <c r="S7324" s="44">
        <v>110.89</v>
      </c>
      <c r="T7324" s="44">
        <v>90.89</v>
      </c>
      <c r="U7324" s="42"/>
      <c r="V7324" s="42"/>
      <c r="W7324" s="42" t="s">
        <v>40</v>
      </c>
      <c r="X7324" s="49"/>
      <c r="Y7324" s="49"/>
      <c r="Z7324" s="21">
        <v>4601004356160</v>
      </c>
    </row>
    <row r="7325" spans="1:26" ht="12" customHeight="1" outlineLevel="2" x14ac:dyDescent="0.2">
      <c r="A7325" s="40" t="s">
        <v>14038</v>
      </c>
      <c r="B7325" s="75" t="s">
        <v>14039</v>
      </c>
      <c r="C7325" s="51"/>
      <c r="D7325" s="54">
        <f t="shared" si="114"/>
        <v>0</v>
      </c>
      <c r="E7325" s="62"/>
      <c r="F7325" s="42" t="s">
        <v>39</v>
      </c>
      <c r="G7325" s="41" t="s">
        <v>40</v>
      </c>
      <c r="H7325" s="41"/>
      <c r="I7325" s="41"/>
      <c r="J7325" s="42" t="s">
        <v>100</v>
      </c>
      <c r="K7325" s="41" t="s">
        <v>1094</v>
      </c>
      <c r="L7325" s="43">
        <v>1</v>
      </c>
      <c r="M7325" s="43">
        <v>500</v>
      </c>
      <c r="N7325" s="43">
        <v>1</v>
      </c>
      <c r="O7325" s="44">
        <v>167.31</v>
      </c>
      <c r="P7325" s="44">
        <v>137.13999999999999</v>
      </c>
      <c r="Q7325" s="44">
        <v>148.91</v>
      </c>
      <c r="R7325" s="44">
        <v>122.06</v>
      </c>
      <c r="S7325" s="44">
        <v>113.77</v>
      </c>
      <c r="T7325" s="44">
        <v>93.25</v>
      </c>
      <c r="U7325" s="42"/>
      <c r="V7325" s="42"/>
      <c r="W7325" s="42" t="s">
        <v>40</v>
      </c>
      <c r="X7325" s="49"/>
      <c r="Y7325" s="49"/>
      <c r="Z7325" s="21">
        <v>4601004356177</v>
      </c>
    </row>
    <row r="7326" spans="1:26" ht="12.95" customHeight="1" outlineLevel="1" x14ac:dyDescent="0.2">
      <c r="A7326" s="78" t="s">
        <v>14040</v>
      </c>
      <c r="B7326" s="78"/>
      <c r="C7326" s="79"/>
      <c r="D7326" s="57"/>
      <c r="E7326" s="67"/>
      <c r="F7326" s="12"/>
      <c r="G7326" s="12"/>
      <c r="H7326" s="12"/>
      <c r="I7326" s="12"/>
      <c r="J7326" s="12"/>
      <c r="K7326" s="12"/>
      <c r="L7326" s="12"/>
      <c r="M7326" s="12"/>
      <c r="N7326" s="12"/>
      <c r="O7326" s="12"/>
      <c r="P7326" s="12"/>
      <c r="Q7326" s="12"/>
      <c r="R7326" s="12"/>
      <c r="S7326" s="12"/>
      <c r="T7326" s="12"/>
      <c r="U7326" s="12"/>
      <c r="V7326" s="12"/>
      <c r="W7326" s="12"/>
      <c r="X7326" s="12"/>
      <c r="Y7326" s="12"/>
      <c r="Z7326" s="12"/>
    </row>
    <row r="7327" spans="1:26" ht="12" customHeight="1" outlineLevel="2" x14ac:dyDescent="0.2">
      <c r="A7327" s="40" t="s">
        <v>14041</v>
      </c>
      <c r="B7327" s="75" t="s">
        <v>14042</v>
      </c>
      <c r="C7327" s="51"/>
      <c r="D7327" s="54">
        <f t="shared" si="114"/>
        <v>0</v>
      </c>
      <c r="E7327" s="62"/>
      <c r="F7327" s="42" t="s">
        <v>39</v>
      </c>
      <c r="G7327" s="41" t="s">
        <v>40</v>
      </c>
      <c r="H7327" s="41"/>
      <c r="I7327" s="41"/>
      <c r="J7327" s="42" t="s">
        <v>100</v>
      </c>
      <c r="K7327" s="41" t="s">
        <v>1094</v>
      </c>
      <c r="L7327" s="43">
        <v>1</v>
      </c>
      <c r="M7327" s="43">
        <v>500</v>
      </c>
      <c r="N7327" s="43">
        <v>1</v>
      </c>
      <c r="O7327" s="44">
        <v>193.65</v>
      </c>
      <c r="P7327" s="44">
        <v>158.72999999999999</v>
      </c>
      <c r="Q7327" s="44">
        <v>172.35</v>
      </c>
      <c r="R7327" s="44">
        <v>141.27000000000001</v>
      </c>
      <c r="S7327" s="44">
        <v>131.68</v>
      </c>
      <c r="T7327" s="44">
        <v>107.93</v>
      </c>
      <c r="U7327" s="42"/>
      <c r="V7327" s="42"/>
      <c r="W7327" s="42" t="s">
        <v>40</v>
      </c>
      <c r="X7327" s="49"/>
      <c r="Y7327" s="49"/>
      <c r="Z7327" s="21">
        <v>4601004356184</v>
      </c>
    </row>
    <row r="7328" spans="1:26" ht="12" customHeight="1" outlineLevel="2" x14ac:dyDescent="0.2">
      <c r="A7328" s="40" t="s">
        <v>14043</v>
      </c>
      <c r="B7328" s="75" t="s">
        <v>14044</v>
      </c>
      <c r="C7328" s="51"/>
      <c r="D7328" s="54">
        <f t="shared" si="114"/>
        <v>0</v>
      </c>
      <c r="E7328" s="62"/>
      <c r="F7328" s="42" t="s">
        <v>39</v>
      </c>
      <c r="G7328" s="41" t="s">
        <v>40</v>
      </c>
      <c r="H7328" s="41"/>
      <c r="I7328" s="41"/>
      <c r="J7328" s="43">
        <v>150</v>
      </c>
      <c r="K7328" s="41" t="s">
        <v>1094</v>
      </c>
      <c r="L7328" s="43">
        <v>1</v>
      </c>
      <c r="M7328" s="43">
        <v>500</v>
      </c>
      <c r="N7328" s="43">
        <v>1</v>
      </c>
      <c r="O7328" s="44">
        <v>179.38</v>
      </c>
      <c r="P7328" s="44">
        <v>147.03</v>
      </c>
      <c r="Q7328" s="44">
        <v>159.65</v>
      </c>
      <c r="R7328" s="44">
        <v>130.86000000000001</v>
      </c>
      <c r="S7328" s="44">
        <v>121.98</v>
      </c>
      <c r="T7328" s="44">
        <v>99.98</v>
      </c>
      <c r="U7328" s="42"/>
      <c r="V7328" s="42"/>
      <c r="W7328" s="42" t="s">
        <v>40</v>
      </c>
      <c r="X7328" s="49"/>
      <c r="Y7328" s="49"/>
      <c r="Z7328" s="21">
        <v>4601004356191</v>
      </c>
    </row>
    <row r="7329" spans="1:26" ht="12" customHeight="1" outlineLevel="2" x14ac:dyDescent="0.2">
      <c r="A7329" s="40" t="s">
        <v>14045</v>
      </c>
      <c r="B7329" s="75" t="s">
        <v>14046</v>
      </c>
      <c r="C7329" s="51"/>
      <c r="D7329" s="54">
        <f t="shared" si="114"/>
        <v>0</v>
      </c>
      <c r="E7329" s="62"/>
      <c r="F7329" s="42" t="s">
        <v>39</v>
      </c>
      <c r="G7329" s="41" t="s">
        <v>40</v>
      </c>
      <c r="H7329" s="41"/>
      <c r="I7329" s="41"/>
      <c r="J7329" s="42" t="s">
        <v>100</v>
      </c>
      <c r="K7329" s="41" t="s">
        <v>1094</v>
      </c>
      <c r="L7329" s="43">
        <v>1</v>
      </c>
      <c r="M7329" s="43">
        <v>500</v>
      </c>
      <c r="N7329" s="43">
        <v>1</v>
      </c>
      <c r="O7329" s="44">
        <v>179.38</v>
      </c>
      <c r="P7329" s="44">
        <v>147.03</v>
      </c>
      <c r="Q7329" s="44">
        <v>159.65</v>
      </c>
      <c r="R7329" s="44">
        <v>130.86000000000001</v>
      </c>
      <c r="S7329" s="44">
        <v>121.98</v>
      </c>
      <c r="T7329" s="44">
        <v>99.98</v>
      </c>
      <c r="U7329" s="42"/>
      <c r="V7329" s="42"/>
      <c r="W7329" s="42" t="s">
        <v>40</v>
      </c>
      <c r="X7329" s="49"/>
      <c r="Y7329" s="49"/>
      <c r="Z7329" s="21">
        <v>4601004356207</v>
      </c>
    </row>
    <row r="7330" spans="1:26" ht="12" customHeight="1" outlineLevel="2" x14ac:dyDescent="0.2">
      <c r="A7330" s="40" t="s">
        <v>14047</v>
      </c>
      <c r="B7330" s="75" t="s">
        <v>14048</v>
      </c>
      <c r="C7330" s="51"/>
      <c r="D7330" s="54">
        <f t="shared" si="114"/>
        <v>0</v>
      </c>
      <c r="E7330" s="62"/>
      <c r="F7330" s="42" t="s">
        <v>39</v>
      </c>
      <c r="G7330" s="41" t="s">
        <v>40</v>
      </c>
      <c r="H7330" s="41"/>
      <c r="I7330" s="41"/>
      <c r="J7330" s="43">
        <v>150</v>
      </c>
      <c r="K7330" s="41" t="s">
        <v>1094</v>
      </c>
      <c r="L7330" s="43">
        <v>1</v>
      </c>
      <c r="M7330" s="43">
        <v>500</v>
      </c>
      <c r="N7330" s="43">
        <v>1</v>
      </c>
      <c r="O7330" s="44">
        <v>267.12</v>
      </c>
      <c r="P7330" s="44">
        <v>218.95</v>
      </c>
      <c r="Q7330" s="44">
        <v>237.74</v>
      </c>
      <c r="R7330" s="44">
        <v>194.87</v>
      </c>
      <c r="S7330" s="44">
        <v>181.64</v>
      </c>
      <c r="T7330" s="44">
        <v>148.88999999999999</v>
      </c>
      <c r="U7330" s="42"/>
      <c r="V7330" s="42"/>
      <c r="W7330" s="42" t="s">
        <v>40</v>
      </c>
      <c r="X7330" s="45">
        <v>1.0999999999999999E-2</v>
      </c>
      <c r="Y7330" s="46">
        <v>4.3000000000000002E-5</v>
      </c>
      <c r="Z7330" s="21">
        <v>4601004356221</v>
      </c>
    </row>
    <row r="7331" spans="1:26" ht="12" customHeight="1" outlineLevel="2" x14ac:dyDescent="0.2">
      <c r="A7331" s="40" t="s">
        <v>14049</v>
      </c>
      <c r="B7331" s="75" t="s">
        <v>14050</v>
      </c>
      <c r="C7331" s="51"/>
      <c r="D7331" s="54">
        <f t="shared" si="114"/>
        <v>0</v>
      </c>
      <c r="E7331" s="62"/>
      <c r="F7331" s="42" t="s">
        <v>39</v>
      </c>
      <c r="G7331" s="41" t="s">
        <v>40</v>
      </c>
      <c r="H7331" s="41"/>
      <c r="I7331" s="41"/>
      <c r="J7331" s="43">
        <v>10</v>
      </c>
      <c r="K7331" s="41" t="s">
        <v>1094</v>
      </c>
      <c r="L7331" s="43">
        <v>1</v>
      </c>
      <c r="M7331" s="43">
        <v>500</v>
      </c>
      <c r="N7331" s="43">
        <v>1</v>
      </c>
      <c r="O7331" s="44">
        <v>267.12</v>
      </c>
      <c r="P7331" s="44">
        <v>218.95</v>
      </c>
      <c r="Q7331" s="44">
        <v>237.74</v>
      </c>
      <c r="R7331" s="44">
        <v>194.87</v>
      </c>
      <c r="S7331" s="44">
        <v>181.64</v>
      </c>
      <c r="T7331" s="44">
        <v>148.88999999999999</v>
      </c>
      <c r="U7331" s="42"/>
      <c r="V7331" s="42"/>
      <c r="W7331" s="42" t="s">
        <v>40</v>
      </c>
      <c r="X7331" s="45">
        <v>1.0999999999999999E-2</v>
      </c>
      <c r="Y7331" s="46">
        <v>6.2000000000000003E-5</v>
      </c>
      <c r="Z7331" s="21">
        <v>4601004356238</v>
      </c>
    </row>
    <row r="7332" spans="1:26" ht="12.95" customHeight="1" outlineLevel="1" x14ac:dyDescent="0.2">
      <c r="A7332" s="78" t="s">
        <v>14051</v>
      </c>
      <c r="B7332" s="78"/>
      <c r="C7332" s="79"/>
      <c r="D7332" s="57"/>
      <c r="E7332" s="67"/>
      <c r="F7332" s="12"/>
      <c r="G7332" s="12"/>
      <c r="H7332" s="12"/>
      <c r="I7332" s="12"/>
      <c r="J7332" s="12"/>
      <c r="K7332" s="12"/>
      <c r="L7332" s="12"/>
      <c r="M7332" s="12"/>
      <c r="N7332" s="12"/>
      <c r="O7332" s="12"/>
      <c r="P7332" s="12"/>
      <c r="Q7332" s="12"/>
      <c r="R7332" s="12"/>
      <c r="S7332" s="12"/>
      <c r="T7332" s="12"/>
      <c r="U7332" s="12"/>
      <c r="V7332" s="12"/>
      <c r="W7332" s="12"/>
      <c r="X7332" s="12"/>
      <c r="Y7332" s="12"/>
      <c r="Z7332" s="12"/>
    </row>
    <row r="7333" spans="1:26" ht="12" customHeight="1" outlineLevel="2" x14ac:dyDescent="0.2">
      <c r="A7333" s="40" t="s">
        <v>14052</v>
      </c>
      <c r="B7333" s="75" t="s">
        <v>14053</v>
      </c>
      <c r="C7333" s="51"/>
      <c r="D7333" s="54">
        <f t="shared" si="114"/>
        <v>0</v>
      </c>
      <c r="E7333" s="62"/>
      <c r="F7333" s="42" t="s">
        <v>39</v>
      </c>
      <c r="G7333" s="41" t="s">
        <v>40</v>
      </c>
      <c r="H7333" s="41"/>
      <c r="I7333" s="41"/>
      <c r="J7333" s="43">
        <v>150</v>
      </c>
      <c r="K7333" s="41" t="s">
        <v>1094</v>
      </c>
      <c r="L7333" s="43">
        <v>10</v>
      </c>
      <c r="M7333" s="47">
        <v>1000</v>
      </c>
      <c r="N7333" s="43">
        <v>10</v>
      </c>
      <c r="O7333" s="44">
        <v>115.43</v>
      </c>
      <c r="P7333" s="44">
        <v>94.61</v>
      </c>
      <c r="Q7333" s="44">
        <v>102.73</v>
      </c>
      <c r="R7333" s="44">
        <v>84.2</v>
      </c>
      <c r="S7333" s="44">
        <v>78.489999999999995</v>
      </c>
      <c r="T7333" s="44">
        <v>64.34</v>
      </c>
      <c r="U7333" s="42"/>
      <c r="V7333" s="42"/>
      <c r="W7333" s="42" t="s">
        <v>40</v>
      </c>
      <c r="X7333" s="45">
        <v>3.0000000000000001E-3</v>
      </c>
      <c r="Y7333" s="46">
        <v>2.5999999999999998E-5</v>
      </c>
      <c r="Z7333" s="21">
        <v>4601004356283</v>
      </c>
    </row>
    <row r="7334" spans="1:26" ht="12" customHeight="1" outlineLevel="2" x14ac:dyDescent="0.2">
      <c r="A7334" s="40" t="s">
        <v>14054</v>
      </c>
      <c r="B7334" s="75" t="s">
        <v>14055</v>
      </c>
      <c r="C7334" s="51"/>
      <c r="D7334" s="54">
        <f t="shared" si="114"/>
        <v>0</v>
      </c>
      <c r="E7334" s="62"/>
      <c r="F7334" s="42" t="s">
        <v>39</v>
      </c>
      <c r="G7334" s="41" t="s">
        <v>40</v>
      </c>
      <c r="H7334" s="41"/>
      <c r="I7334" s="41"/>
      <c r="J7334" s="43">
        <v>150</v>
      </c>
      <c r="K7334" s="41" t="s">
        <v>1094</v>
      </c>
      <c r="L7334" s="43">
        <v>10</v>
      </c>
      <c r="M7334" s="47">
        <v>1000</v>
      </c>
      <c r="N7334" s="43">
        <v>10</v>
      </c>
      <c r="O7334" s="44">
        <v>154.94</v>
      </c>
      <c r="P7334" s="44">
        <v>127</v>
      </c>
      <c r="Q7334" s="44">
        <v>137.9</v>
      </c>
      <c r="R7334" s="44">
        <v>113.03</v>
      </c>
      <c r="S7334" s="44">
        <v>105.36</v>
      </c>
      <c r="T7334" s="44">
        <v>86.36</v>
      </c>
      <c r="U7334" s="42"/>
      <c r="V7334" s="42"/>
      <c r="W7334" s="42" t="s">
        <v>40</v>
      </c>
      <c r="X7334" s="45">
        <v>3.0000000000000001E-3</v>
      </c>
      <c r="Y7334" s="46">
        <v>4.1E-5</v>
      </c>
      <c r="Z7334" s="21">
        <v>4601004356290</v>
      </c>
    </row>
    <row r="7335" spans="1:26" ht="12" customHeight="1" outlineLevel="2" x14ac:dyDescent="0.2">
      <c r="A7335" s="40" t="s">
        <v>14056</v>
      </c>
      <c r="B7335" s="75" t="s">
        <v>14057</v>
      </c>
      <c r="C7335" s="51"/>
      <c r="D7335" s="54">
        <f t="shared" si="114"/>
        <v>0</v>
      </c>
      <c r="E7335" s="62"/>
      <c r="F7335" s="42" t="s">
        <v>39</v>
      </c>
      <c r="G7335" s="41" t="s">
        <v>40</v>
      </c>
      <c r="H7335" s="41"/>
      <c r="I7335" s="41"/>
      <c r="J7335" s="42" t="s">
        <v>100</v>
      </c>
      <c r="K7335" s="41" t="s">
        <v>1094</v>
      </c>
      <c r="L7335" s="43">
        <v>10</v>
      </c>
      <c r="M7335" s="47">
        <v>1000</v>
      </c>
      <c r="N7335" s="43">
        <v>10</v>
      </c>
      <c r="O7335" s="44">
        <v>115.43</v>
      </c>
      <c r="P7335" s="44">
        <v>94.61</v>
      </c>
      <c r="Q7335" s="44">
        <v>102.73</v>
      </c>
      <c r="R7335" s="44">
        <v>84.2</v>
      </c>
      <c r="S7335" s="44">
        <v>78.489999999999995</v>
      </c>
      <c r="T7335" s="44">
        <v>64.34</v>
      </c>
      <c r="U7335" s="42"/>
      <c r="V7335" s="42"/>
      <c r="W7335" s="42" t="s">
        <v>40</v>
      </c>
      <c r="X7335" s="49"/>
      <c r="Y7335" s="49"/>
      <c r="Z7335" s="21">
        <v>4601004356276</v>
      </c>
    </row>
    <row r="7336" spans="1:26" ht="12" customHeight="1" outlineLevel="2" x14ac:dyDescent="0.2">
      <c r="A7336" s="40" t="s">
        <v>14058</v>
      </c>
      <c r="B7336" s="75" t="s">
        <v>14059</v>
      </c>
      <c r="C7336" s="51"/>
      <c r="D7336" s="54">
        <f t="shared" si="114"/>
        <v>0</v>
      </c>
      <c r="E7336" s="62"/>
      <c r="F7336" s="42" t="s">
        <v>39</v>
      </c>
      <c r="G7336" s="41" t="s">
        <v>40</v>
      </c>
      <c r="H7336" s="41"/>
      <c r="I7336" s="41"/>
      <c r="J7336" s="43">
        <v>90</v>
      </c>
      <c r="K7336" s="41"/>
      <c r="L7336" s="43">
        <v>10</v>
      </c>
      <c r="M7336" s="47">
        <v>1000</v>
      </c>
      <c r="N7336" s="43">
        <v>10</v>
      </c>
      <c r="O7336" s="44">
        <v>115.43</v>
      </c>
      <c r="P7336" s="44">
        <v>94.61</v>
      </c>
      <c r="Q7336" s="44">
        <v>102.73</v>
      </c>
      <c r="R7336" s="44">
        <v>84.2</v>
      </c>
      <c r="S7336" s="44">
        <v>78.489999999999995</v>
      </c>
      <c r="T7336" s="44">
        <v>64.34</v>
      </c>
      <c r="U7336" s="42"/>
      <c r="V7336" s="42"/>
      <c r="W7336" s="42" t="s">
        <v>40</v>
      </c>
      <c r="X7336" s="45">
        <v>3.0000000000000001E-3</v>
      </c>
      <c r="Y7336" s="46">
        <v>4.1E-5</v>
      </c>
      <c r="Z7336" s="21">
        <v>4601004356245</v>
      </c>
    </row>
    <row r="7337" spans="1:26" ht="12" customHeight="1" outlineLevel="2" x14ac:dyDescent="0.2">
      <c r="A7337" s="40" t="s">
        <v>14060</v>
      </c>
      <c r="B7337" s="75" t="s">
        <v>14061</v>
      </c>
      <c r="C7337" s="51"/>
      <c r="D7337" s="54">
        <f t="shared" si="114"/>
        <v>0</v>
      </c>
      <c r="E7337" s="62"/>
      <c r="F7337" s="42" t="s">
        <v>39</v>
      </c>
      <c r="G7337" s="41" t="s">
        <v>40</v>
      </c>
      <c r="H7337" s="41"/>
      <c r="I7337" s="41"/>
      <c r="J7337" s="42" t="s">
        <v>100</v>
      </c>
      <c r="K7337" s="41" t="s">
        <v>1094</v>
      </c>
      <c r="L7337" s="43">
        <v>10</v>
      </c>
      <c r="M7337" s="47">
        <v>1000</v>
      </c>
      <c r="N7337" s="43">
        <v>10</v>
      </c>
      <c r="O7337" s="44">
        <v>115.43</v>
      </c>
      <c r="P7337" s="44">
        <v>94.61</v>
      </c>
      <c r="Q7337" s="44">
        <v>102.73</v>
      </c>
      <c r="R7337" s="44">
        <v>84.2</v>
      </c>
      <c r="S7337" s="44">
        <v>78.489999999999995</v>
      </c>
      <c r="T7337" s="44">
        <v>64.34</v>
      </c>
      <c r="U7337" s="42"/>
      <c r="V7337" s="42"/>
      <c r="W7337" s="42" t="s">
        <v>40</v>
      </c>
      <c r="X7337" s="49"/>
      <c r="Y7337" s="49"/>
      <c r="Z7337" s="21">
        <v>4601004356269</v>
      </c>
    </row>
    <row r="7338" spans="1:26" ht="12" customHeight="1" outlineLevel="2" x14ac:dyDescent="0.2">
      <c r="A7338" s="14" t="s">
        <v>14062</v>
      </c>
      <c r="B7338" s="26" t="s">
        <v>14063</v>
      </c>
      <c r="C7338" s="52"/>
      <c r="D7338" s="55">
        <f t="shared" si="114"/>
        <v>0</v>
      </c>
      <c r="E7338" s="64"/>
      <c r="F7338" s="16" t="s">
        <v>39</v>
      </c>
      <c r="G7338" s="15"/>
      <c r="H7338" s="15"/>
      <c r="I7338" s="15"/>
      <c r="J7338" s="16" t="s">
        <v>100</v>
      </c>
      <c r="K7338" s="15" t="s">
        <v>1094</v>
      </c>
      <c r="L7338" s="17">
        <v>10</v>
      </c>
      <c r="M7338" s="22">
        <v>1000</v>
      </c>
      <c r="N7338" s="17">
        <v>10</v>
      </c>
      <c r="O7338" s="18">
        <v>76.92</v>
      </c>
      <c r="P7338" s="18">
        <v>63.05</v>
      </c>
      <c r="Q7338" s="18">
        <v>68.459999999999994</v>
      </c>
      <c r="R7338" s="18">
        <v>56.11</v>
      </c>
      <c r="S7338" s="18">
        <v>52.31</v>
      </c>
      <c r="T7338" s="18">
        <v>42.88</v>
      </c>
      <c r="U7338" s="16"/>
      <c r="V7338" s="16"/>
      <c r="W7338" s="16" t="s">
        <v>40</v>
      </c>
      <c r="X7338" s="25"/>
      <c r="Y7338" s="25"/>
      <c r="Z7338" s="21">
        <v>4601004356306</v>
      </c>
    </row>
    <row r="7339" spans="1:26" ht="12" customHeight="1" outlineLevel="2" x14ac:dyDescent="0.2">
      <c r="A7339" s="14" t="s">
        <v>14064</v>
      </c>
      <c r="B7339" s="26" t="s">
        <v>14065</v>
      </c>
      <c r="C7339" s="52"/>
      <c r="D7339" s="55">
        <f t="shared" si="114"/>
        <v>0</v>
      </c>
      <c r="E7339" s="64"/>
      <c r="F7339" s="16" t="s">
        <v>39</v>
      </c>
      <c r="G7339" s="15"/>
      <c r="H7339" s="15"/>
      <c r="I7339" s="15"/>
      <c r="J7339" s="16" t="s">
        <v>100</v>
      </c>
      <c r="K7339" s="15" t="s">
        <v>1094</v>
      </c>
      <c r="L7339" s="17">
        <v>10</v>
      </c>
      <c r="M7339" s="22">
        <v>1000</v>
      </c>
      <c r="N7339" s="17">
        <v>10</v>
      </c>
      <c r="O7339" s="18">
        <v>76.92</v>
      </c>
      <c r="P7339" s="18">
        <v>63.05</v>
      </c>
      <c r="Q7339" s="18">
        <v>68.459999999999994</v>
      </c>
      <c r="R7339" s="18">
        <v>56.11</v>
      </c>
      <c r="S7339" s="18">
        <v>52.31</v>
      </c>
      <c r="T7339" s="18">
        <v>42.88</v>
      </c>
      <c r="U7339" s="16"/>
      <c r="V7339" s="16"/>
      <c r="W7339" s="16" t="s">
        <v>40</v>
      </c>
      <c r="X7339" s="25"/>
      <c r="Y7339" s="25"/>
      <c r="Z7339" s="21">
        <v>4601004356320</v>
      </c>
    </row>
    <row r="7340" spans="1:26" ht="12" customHeight="1" outlineLevel="2" x14ac:dyDescent="0.2">
      <c r="A7340" s="40" t="s">
        <v>14066</v>
      </c>
      <c r="B7340" s="75" t="s">
        <v>14067</v>
      </c>
      <c r="C7340" s="51"/>
      <c r="D7340" s="54">
        <f t="shared" si="114"/>
        <v>0</v>
      </c>
      <c r="E7340" s="62"/>
      <c r="F7340" s="42" t="s">
        <v>39</v>
      </c>
      <c r="G7340" s="41" t="s">
        <v>40</v>
      </c>
      <c r="H7340" s="41"/>
      <c r="I7340" s="41"/>
      <c r="J7340" s="43">
        <v>100</v>
      </c>
      <c r="K7340" s="41" t="s">
        <v>1094</v>
      </c>
      <c r="L7340" s="43">
        <v>10</v>
      </c>
      <c r="M7340" s="47">
        <v>1000</v>
      </c>
      <c r="N7340" s="43">
        <v>10</v>
      </c>
      <c r="O7340" s="44">
        <v>40.020000000000003</v>
      </c>
      <c r="P7340" s="44">
        <v>32.799999999999997</v>
      </c>
      <c r="Q7340" s="44">
        <v>35.619999999999997</v>
      </c>
      <c r="R7340" s="44">
        <v>29.2</v>
      </c>
      <c r="S7340" s="44">
        <v>27.21</v>
      </c>
      <c r="T7340" s="44">
        <v>22.3</v>
      </c>
      <c r="U7340" s="42"/>
      <c r="V7340" s="42"/>
      <c r="W7340" s="42" t="s">
        <v>40</v>
      </c>
      <c r="X7340" s="45">
        <v>4.0000000000000001E-3</v>
      </c>
      <c r="Y7340" s="46">
        <v>4.1E-5</v>
      </c>
      <c r="Z7340" s="21">
        <v>4601004356337</v>
      </c>
    </row>
    <row r="7341" spans="1:26" ht="12" customHeight="1" outlineLevel="2" x14ac:dyDescent="0.2">
      <c r="A7341" s="40" t="s">
        <v>14068</v>
      </c>
      <c r="B7341" s="75" t="s">
        <v>14069</v>
      </c>
      <c r="C7341" s="51"/>
      <c r="D7341" s="54">
        <f t="shared" si="114"/>
        <v>0</v>
      </c>
      <c r="E7341" s="62"/>
      <c r="F7341" s="42" t="s">
        <v>39</v>
      </c>
      <c r="G7341" s="41" t="s">
        <v>40</v>
      </c>
      <c r="H7341" s="41"/>
      <c r="I7341" s="41"/>
      <c r="J7341" s="43">
        <v>100</v>
      </c>
      <c r="K7341" s="41" t="s">
        <v>1094</v>
      </c>
      <c r="L7341" s="43">
        <v>10</v>
      </c>
      <c r="M7341" s="47">
        <v>1000</v>
      </c>
      <c r="N7341" s="43">
        <v>10</v>
      </c>
      <c r="O7341" s="44">
        <v>40.020000000000003</v>
      </c>
      <c r="P7341" s="44">
        <v>32.799999999999997</v>
      </c>
      <c r="Q7341" s="44">
        <v>35.619999999999997</v>
      </c>
      <c r="R7341" s="44">
        <v>29.2</v>
      </c>
      <c r="S7341" s="44">
        <v>27.21</v>
      </c>
      <c r="T7341" s="44">
        <v>22.3</v>
      </c>
      <c r="U7341" s="42"/>
      <c r="V7341" s="42"/>
      <c r="W7341" s="42" t="s">
        <v>40</v>
      </c>
      <c r="X7341" s="45">
        <v>4.0000000000000001E-3</v>
      </c>
      <c r="Y7341" s="46">
        <v>2.4000000000000001E-5</v>
      </c>
      <c r="Z7341" s="21">
        <v>4601004356313</v>
      </c>
    </row>
    <row r="7342" spans="1:26" ht="12.95" customHeight="1" outlineLevel="1" x14ac:dyDescent="0.2">
      <c r="A7342" s="78" t="s">
        <v>14070</v>
      </c>
      <c r="B7342" s="78"/>
      <c r="C7342" s="79"/>
      <c r="D7342" s="57"/>
      <c r="E7342" s="67"/>
      <c r="F7342" s="12"/>
      <c r="G7342" s="12"/>
      <c r="H7342" s="12"/>
      <c r="I7342" s="12"/>
      <c r="J7342" s="12"/>
      <c r="K7342" s="12"/>
      <c r="L7342" s="12"/>
      <c r="M7342" s="12"/>
      <c r="N7342" s="12"/>
      <c r="O7342" s="12"/>
      <c r="P7342" s="12"/>
      <c r="Q7342" s="12"/>
      <c r="R7342" s="12"/>
      <c r="S7342" s="12"/>
      <c r="T7342" s="12"/>
      <c r="U7342" s="12"/>
      <c r="V7342" s="12"/>
      <c r="W7342" s="12"/>
      <c r="X7342" s="12"/>
      <c r="Y7342" s="12"/>
      <c r="Z7342" s="12"/>
    </row>
    <row r="7343" spans="1:26" ht="12" customHeight="1" outlineLevel="2" x14ac:dyDescent="0.2">
      <c r="A7343" s="40" t="s">
        <v>14071</v>
      </c>
      <c r="B7343" s="75" t="s">
        <v>14072</v>
      </c>
      <c r="C7343" s="51"/>
      <c r="D7343" s="54">
        <f t="shared" si="114"/>
        <v>0</v>
      </c>
      <c r="E7343" s="62"/>
      <c r="F7343" s="42" t="s">
        <v>39</v>
      </c>
      <c r="G7343" s="41" t="s">
        <v>40</v>
      </c>
      <c r="H7343" s="41"/>
      <c r="I7343" s="41"/>
      <c r="J7343" s="42" t="s">
        <v>100</v>
      </c>
      <c r="K7343" s="41" t="s">
        <v>1094</v>
      </c>
      <c r="L7343" s="43">
        <v>100</v>
      </c>
      <c r="M7343" s="47">
        <v>5000</v>
      </c>
      <c r="N7343" s="43">
        <v>100</v>
      </c>
      <c r="O7343" s="44">
        <v>7.79</v>
      </c>
      <c r="P7343" s="44">
        <v>6.39</v>
      </c>
      <c r="Q7343" s="44">
        <v>6.93</v>
      </c>
      <c r="R7343" s="44">
        <v>5.68</v>
      </c>
      <c r="S7343" s="44">
        <v>5.3</v>
      </c>
      <c r="T7343" s="44">
        <v>4.34</v>
      </c>
      <c r="U7343" s="42"/>
      <c r="V7343" s="42"/>
      <c r="W7343" s="42" t="s">
        <v>40</v>
      </c>
      <c r="X7343" s="49"/>
      <c r="Y7343" s="49"/>
      <c r="Z7343" s="21">
        <v>4601004356399</v>
      </c>
    </row>
    <row r="7344" spans="1:26" ht="12" customHeight="1" outlineLevel="2" x14ac:dyDescent="0.2">
      <c r="A7344" s="40" t="s">
        <v>14073</v>
      </c>
      <c r="B7344" s="75" t="s">
        <v>14074</v>
      </c>
      <c r="C7344" s="51"/>
      <c r="D7344" s="54">
        <f t="shared" si="114"/>
        <v>0</v>
      </c>
      <c r="E7344" s="62"/>
      <c r="F7344" s="42" t="s">
        <v>39</v>
      </c>
      <c r="G7344" s="41" t="s">
        <v>40</v>
      </c>
      <c r="H7344" s="41"/>
      <c r="I7344" s="41"/>
      <c r="J7344" s="42" t="s">
        <v>100</v>
      </c>
      <c r="K7344" s="41" t="s">
        <v>1094</v>
      </c>
      <c r="L7344" s="43">
        <v>100</v>
      </c>
      <c r="M7344" s="47">
        <v>5000</v>
      </c>
      <c r="N7344" s="43">
        <v>100</v>
      </c>
      <c r="O7344" s="44">
        <v>7.79</v>
      </c>
      <c r="P7344" s="44">
        <v>6.39</v>
      </c>
      <c r="Q7344" s="44">
        <v>6.93</v>
      </c>
      <c r="R7344" s="44">
        <v>5.68</v>
      </c>
      <c r="S7344" s="44">
        <v>5.3</v>
      </c>
      <c r="T7344" s="44">
        <v>4.34</v>
      </c>
      <c r="U7344" s="42"/>
      <c r="V7344" s="42"/>
      <c r="W7344" s="42" t="s">
        <v>40</v>
      </c>
      <c r="X7344" s="49"/>
      <c r="Y7344" s="49"/>
      <c r="Z7344" s="21">
        <v>4601004356412</v>
      </c>
    </row>
    <row r="7345" spans="1:26" ht="12" customHeight="1" outlineLevel="2" x14ac:dyDescent="0.2">
      <c r="A7345" s="40" t="s">
        <v>14075</v>
      </c>
      <c r="B7345" s="75" t="s">
        <v>14076</v>
      </c>
      <c r="C7345" s="51"/>
      <c r="D7345" s="54">
        <f t="shared" si="114"/>
        <v>0</v>
      </c>
      <c r="E7345" s="62"/>
      <c r="F7345" s="42" t="s">
        <v>39</v>
      </c>
      <c r="G7345" s="41" t="s">
        <v>40</v>
      </c>
      <c r="H7345" s="41"/>
      <c r="I7345" s="41"/>
      <c r="J7345" s="43">
        <v>10</v>
      </c>
      <c r="K7345" s="41"/>
      <c r="L7345" s="43">
        <v>1</v>
      </c>
      <c r="M7345" s="43">
        <v>500</v>
      </c>
      <c r="N7345" s="43">
        <v>1</v>
      </c>
      <c r="O7345" s="44">
        <v>55.04</v>
      </c>
      <c r="P7345" s="44">
        <v>45.11</v>
      </c>
      <c r="Q7345" s="44">
        <v>48.99</v>
      </c>
      <c r="R7345" s="44">
        <v>40.159999999999997</v>
      </c>
      <c r="S7345" s="44">
        <v>37.43</v>
      </c>
      <c r="T7345" s="44">
        <v>30.68</v>
      </c>
      <c r="U7345" s="42"/>
      <c r="V7345" s="42"/>
      <c r="W7345" s="42" t="s">
        <v>40</v>
      </c>
      <c r="X7345" s="45">
        <v>3.5999999999999997E-2</v>
      </c>
      <c r="Y7345" s="46">
        <v>1.2400000000000001E-4</v>
      </c>
      <c r="Z7345" s="21">
        <v>4601004356252</v>
      </c>
    </row>
    <row r="7346" spans="1:26" ht="12" customHeight="1" outlineLevel="2" x14ac:dyDescent="0.2">
      <c r="A7346" s="14" t="s">
        <v>14077</v>
      </c>
      <c r="B7346" s="26" t="s">
        <v>14078</v>
      </c>
      <c r="C7346" s="52"/>
      <c r="D7346" s="55">
        <f t="shared" si="114"/>
        <v>0</v>
      </c>
      <c r="E7346" s="64"/>
      <c r="F7346" s="16" t="s">
        <v>39</v>
      </c>
      <c r="G7346" s="15"/>
      <c r="H7346" s="15"/>
      <c r="I7346" s="15"/>
      <c r="J7346" s="16" t="s">
        <v>100</v>
      </c>
      <c r="K7346" s="15" t="s">
        <v>1094</v>
      </c>
      <c r="L7346" s="17">
        <v>1</v>
      </c>
      <c r="M7346" s="17">
        <v>500</v>
      </c>
      <c r="N7346" s="17">
        <v>1</v>
      </c>
      <c r="O7346" s="18">
        <v>114.23</v>
      </c>
      <c r="P7346" s="18">
        <v>93.63</v>
      </c>
      <c r="Q7346" s="18">
        <v>101.66</v>
      </c>
      <c r="R7346" s="18">
        <v>83.33</v>
      </c>
      <c r="S7346" s="18">
        <v>77.680000000000007</v>
      </c>
      <c r="T7346" s="18">
        <v>63.67</v>
      </c>
      <c r="U7346" s="16"/>
      <c r="V7346" s="16"/>
      <c r="W7346" s="16" t="s">
        <v>40</v>
      </c>
      <c r="X7346" s="25"/>
      <c r="Y7346" s="25"/>
      <c r="Z7346" s="21">
        <v>4601004356382</v>
      </c>
    </row>
    <row r="7347" spans="1:26" ht="12" customHeight="1" outlineLevel="2" x14ac:dyDescent="0.2">
      <c r="A7347" s="40" t="s">
        <v>14079</v>
      </c>
      <c r="B7347" s="75" t="s">
        <v>14080</v>
      </c>
      <c r="C7347" s="51"/>
      <c r="D7347" s="54">
        <f t="shared" si="114"/>
        <v>0</v>
      </c>
      <c r="E7347" s="62"/>
      <c r="F7347" s="42" t="s">
        <v>39</v>
      </c>
      <c r="G7347" s="41" t="s">
        <v>40</v>
      </c>
      <c r="H7347" s="41"/>
      <c r="I7347" s="41"/>
      <c r="J7347" s="43">
        <v>20</v>
      </c>
      <c r="K7347" s="41"/>
      <c r="L7347" s="43">
        <v>1</v>
      </c>
      <c r="M7347" s="43">
        <v>500</v>
      </c>
      <c r="N7347" s="43">
        <v>1</v>
      </c>
      <c r="O7347" s="44">
        <v>121.08</v>
      </c>
      <c r="P7347" s="44">
        <v>99.25</v>
      </c>
      <c r="Q7347" s="44">
        <v>107.76</v>
      </c>
      <c r="R7347" s="44">
        <v>88.33</v>
      </c>
      <c r="S7347" s="44">
        <v>82.33</v>
      </c>
      <c r="T7347" s="44">
        <v>67.48</v>
      </c>
      <c r="U7347" s="42"/>
      <c r="V7347" s="42"/>
      <c r="W7347" s="42" t="s">
        <v>40</v>
      </c>
      <c r="X7347" s="45">
        <v>6.6000000000000003E-2</v>
      </c>
      <c r="Y7347" s="46">
        <v>4.7800000000000002E-4</v>
      </c>
      <c r="Z7347" s="21">
        <v>4601004356405</v>
      </c>
    </row>
    <row r="7348" spans="1:26" ht="12.95" customHeight="1" outlineLevel="1" x14ac:dyDescent="0.2">
      <c r="A7348" s="78" t="s">
        <v>14081</v>
      </c>
      <c r="B7348" s="78"/>
      <c r="C7348" s="79"/>
      <c r="D7348" s="57"/>
      <c r="E7348" s="67"/>
      <c r="F7348" s="12"/>
      <c r="G7348" s="12"/>
      <c r="H7348" s="12"/>
      <c r="I7348" s="12"/>
      <c r="J7348" s="12"/>
      <c r="K7348" s="12"/>
      <c r="L7348" s="12"/>
      <c r="M7348" s="12"/>
      <c r="N7348" s="12"/>
      <c r="O7348" s="12"/>
      <c r="P7348" s="12"/>
      <c r="Q7348" s="12"/>
      <c r="R7348" s="12"/>
      <c r="S7348" s="12"/>
      <c r="T7348" s="12"/>
      <c r="U7348" s="12"/>
      <c r="V7348" s="12"/>
      <c r="W7348" s="12"/>
      <c r="X7348" s="12"/>
      <c r="Y7348" s="12"/>
      <c r="Z7348" s="12"/>
    </row>
    <row r="7349" spans="1:26" ht="12.95" customHeight="1" outlineLevel="2" x14ac:dyDescent="0.2">
      <c r="A7349" s="76" t="s">
        <v>14082</v>
      </c>
      <c r="B7349" s="76"/>
      <c r="C7349" s="77"/>
      <c r="D7349" s="58"/>
      <c r="E7349" s="68"/>
      <c r="F7349" s="13"/>
      <c r="G7349" s="13"/>
      <c r="H7349" s="13"/>
      <c r="I7349" s="13"/>
      <c r="J7349" s="13"/>
      <c r="K7349" s="13"/>
      <c r="L7349" s="13"/>
      <c r="M7349" s="13"/>
      <c r="N7349" s="13"/>
      <c r="O7349" s="13"/>
      <c r="P7349" s="13"/>
      <c r="Q7349" s="13"/>
      <c r="R7349" s="13"/>
      <c r="S7349" s="13"/>
      <c r="T7349" s="13"/>
      <c r="U7349" s="13"/>
      <c r="V7349" s="13"/>
      <c r="W7349" s="13"/>
      <c r="X7349" s="13"/>
      <c r="Y7349" s="13"/>
      <c r="Z7349" s="13"/>
    </row>
    <row r="7350" spans="1:26" ht="12" customHeight="1" outlineLevel="3" x14ac:dyDescent="0.2">
      <c r="A7350" s="14" t="s">
        <v>14083</v>
      </c>
      <c r="B7350" s="26" t="s">
        <v>14084</v>
      </c>
      <c r="C7350" s="52"/>
      <c r="D7350" s="55">
        <f t="shared" si="114"/>
        <v>0</v>
      </c>
      <c r="E7350" s="63" t="str">
        <f>HYPERLINK("https://www.sds-group.ru/product/provod-dlya-polevoy-svyazi-p-274-m-500-m-rexant-01-8080/", "Инфо")</f>
        <v>Инфо</v>
      </c>
      <c r="F7350" s="16" t="s">
        <v>1767</v>
      </c>
      <c r="G7350" s="15"/>
      <c r="H7350" s="15"/>
      <c r="I7350" s="15"/>
      <c r="J7350" s="22">
        <v>318000</v>
      </c>
      <c r="K7350" s="15"/>
      <c r="L7350" s="17">
        <v>500</v>
      </c>
      <c r="M7350" s="17">
        <v>500</v>
      </c>
      <c r="N7350" s="17">
        <v>500</v>
      </c>
      <c r="O7350" s="18">
        <v>33.700000000000003</v>
      </c>
      <c r="P7350" s="18">
        <v>27.62</v>
      </c>
      <c r="Q7350" s="18">
        <v>33.700000000000003</v>
      </c>
      <c r="R7350" s="18">
        <v>27.62</v>
      </c>
      <c r="S7350" s="18">
        <v>20.22</v>
      </c>
      <c r="T7350" s="18">
        <v>16.57</v>
      </c>
      <c r="U7350" s="16"/>
      <c r="V7350" s="16"/>
      <c r="W7350" s="16" t="s">
        <v>40</v>
      </c>
      <c r="X7350" s="19">
        <v>1.2E-2</v>
      </c>
      <c r="Y7350" s="20">
        <v>1.8E-5</v>
      </c>
      <c r="Z7350" s="21">
        <v>4601004035744</v>
      </c>
    </row>
    <row r="7351" spans="1:26" ht="12" customHeight="1" outlineLevel="3" x14ac:dyDescent="0.2">
      <c r="A7351" s="14" t="s">
        <v>14085</v>
      </c>
      <c r="B7351" s="26" t="s">
        <v>14086</v>
      </c>
      <c r="C7351" s="52"/>
      <c r="D7351" s="55">
        <f t="shared" si="114"/>
        <v>0</v>
      </c>
      <c r="E7351" s="63" t="str">
        <f>HYPERLINK("https://www.sds-group.ru/product/provod-prppm-2h0-90mm-500m-rexant-01-5514-1/", "Инфо")</f>
        <v>Инфо</v>
      </c>
      <c r="F7351" s="16" t="s">
        <v>1767</v>
      </c>
      <c r="G7351" s="15"/>
      <c r="H7351" s="15"/>
      <c r="I7351" s="15"/>
      <c r="J7351" s="22">
        <v>11000</v>
      </c>
      <c r="K7351" s="15"/>
      <c r="L7351" s="17">
        <v>500</v>
      </c>
      <c r="M7351" s="17">
        <v>500</v>
      </c>
      <c r="N7351" s="17">
        <v>500</v>
      </c>
      <c r="O7351" s="18">
        <v>77.349999999999994</v>
      </c>
      <c r="P7351" s="18">
        <v>63.4</v>
      </c>
      <c r="Q7351" s="18">
        <v>77.349999999999994</v>
      </c>
      <c r="R7351" s="18">
        <v>63.4</v>
      </c>
      <c r="S7351" s="18">
        <v>46.41</v>
      </c>
      <c r="T7351" s="18">
        <v>38.04</v>
      </c>
      <c r="U7351" s="16"/>
      <c r="V7351" s="16"/>
      <c r="W7351" s="16" t="s">
        <v>40</v>
      </c>
      <c r="X7351" s="19">
        <v>2.3E-2</v>
      </c>
      <c r="Y7351" s="20">
        <v>4.8999999999999998E-5</v>
      </c>
      <c r="Z7351" s="21">
        <v>4601004031647</v>
      </c>
    </row>
    <row r="7352" spans="1:26" ht="12" customHeight="1" outlineLevel="3" x14ac:dyDescent="0.2">
      <c r="A7352" s="14" t="s">
        <v>14087</v>
      </c>
      <c r="B7352" s="26" t="s">
        <v>14088</v>
      </c>
      <c r="C7352" s="52"/>
      <c r="D7352" s="55">
        <f t="shared" si="114"/>
        <v>0</v>
      </c>
      <c r="E7352" s="63" t="str">
        <f>HYPERLINK("https://www.sds-group.ru/product/provod-prppm-2h1-20mm-500m-rexant-01-5515-1/", "Инфо")</f>
        <v>Инфо</v>
      </c>
      <c r="F7352" s="16" t="s">
        <v>1767</v>
      </c>
      <c r="G7352" s="15"/>
      <c r="H7352" s="15"/>
      <c r="I7352" s="15"/>
      <c r="J7352" s="22">
        <v>7000</v>
      </c>
      <c r="K7352" s="15" t="s">
        <v>1094</v>
      </c>
      <c r="L7352" s="17">
        <v>500</v>
      </c>
      <c r="M7352" s="17">
        <v>500</v>
      </c>
      <c r="N7352" s="17">
        <v>500</v>
      </c>
      <c r="O7352" s="18">
        <v>125.4</v>
      </c>
      <c r="P7352" s="18">
        <v>102.79</v>
      </c>
      <c r="Q7352" s="18">
        <v>125.4</v>
      </c>
      <c r="R7352" s="18">
        <v>102.79</v>
      </c>
      <c r="S7352" s="18">
        <v>75.239999999999995</v>
      </c>
      <c r="T7352" s="18">
        <v>61.67</v>
      </c>
      <c r="U7352" s="16"/>
      <c r="V7352" s="16"/>
      <c r="W7352" s="16" t="s">
        <v>40</v>
      </c>
      <c r="X7352" s="19">
        <v>0.03</v>
      </c>
      <c r="Y7352" s="20">
        <v>3.3000000000000003E-5</v>
      </c>
      <c r="Z7352" s="21">
        <v>4601004031654</v>
      </c>
    </row>
    <row r="7353" spans="1:26" ht="12" customHeight="1" outlineLevel="3" x14ac:dyDescent="0.2">
      <c r="A7353" s="14" t="s">
        <v>14089</v>
      </c>
      <c r="B7353" s="26" t="s">
        <v>14090</v>
      </c>
      <c r="C7353" s="52"/>
      <c r="D7353" s="55">
        <f t="shared" si="114"/>
        <v>0</v>
      </c>
      <c r="E7353" s="63" t="str">
        <f>HYPERLINK("https://www.sds-group.ru/product/kabel-telefonnyy-shtlp-2-zhily-cca-belyy-100m-rexant-01-5001-3/", "Инфо")</f>
        <v>Инфо</v>
      </c>
      <c r="F7353" s="16" t="s">
        <v>1887</v>
      </c>
      <c r="G7353" s="15"/>
      <c r="H7353" s="15"/>
      <c r="I7353" s="15"/>
      <c r="J7353" s="17">
        <v>196</v>
      </c>
      <c r="K7353" s="15" t="s">
        <v>7336</v>
      </c>
      <c r="L7353" s="17">
        <v>1</v>
      </c>
      <c r="M7353" s="17">
        <v>10</v>
      </c>
      <c r="N7353" s="17">
        <v>1</v>
      </c>
      <c r="O7353" s="18">
        <v>1545.23</v>
      </c>
      <c r="P7353" s="18">
        <v>1266.58</v>
      </c>
      <c r="Q7353" s="18">
        <v>1545.23</v>
      </c>
      <c r="R7353" s="18">
        <v>1266.58</v>
      </c>
      <c r="S7353" s="18">
        <v>927.14</v>
      </c>
      <c r="T7353" s="18">
        <v>759.95</v>
      </c>
      <c r="U7353" s="16"/>
      <c r="V7353" s="16"/>
      <c r="W7353" s="16" t="s">
        <v>40</v>
      </c>
      <c r="X7353" s="19">
        <v>1.349</v>
      </c>
      <c r="Y7353" s="20">
        <v>1.06E-3</v>
      </c>
      <c r="Z7353" s="21">
        <v>4610003608170</v>
      </c>
    </row>
    <row r="7354" spans="1:26" ht="12" customHeight="1" outlineLevel="3" x14ac:dyDescent="0.2">
      <c r="A7354" s="14" t="s">
        <v>14091</v>
      </c>
      <c r="B7354" s="26" t="s">
        <v>14092</v>
      </c>
      <c r="C7354" s="52"/>
      <c r="D7354" s="55">
        <f t="shared" si="114"/>
        <v>0</v>
      </c>
      <c r="E7354" s="63" t="str">
        <f>HYPERLINK("https://www.sds-group.ru/product/kabel-telefonnyy-shtlp-2-zhily-cu-belyy-100m-rexant-01-5001/", "Инфо")</f>
        <v>Инфо</v>
      </c>
      <c r="F7354" s="16" t="s">
        <v>1887</v>
      </c>
      <c r="G7354" s="15"/>
      <c r="H7354" s="15"/>
      <c r="I7354" s="15"/>
      <c r="J7354" s="17">
        <v>172</v>
      </c>
      <c r="K7354" s="15" t="s">
        <v>6174</v>
      </c>
      <c r="L7354" s="17">
        <v>1</v>
      </c>
      <c r="M7354" s="17">
        <v>10</v>
      </c>
      <c r="N7354" s="17">
        <v>1</v>
      </c>
      <c r="O7354" s="18">
        <v>2116.9</v>
      </c>
      <c r="P7354" s="18">
        <v>1735.16</v>
      </c>
      <c r="Q7354" s="18">
        <v>2116.9</v>
      </c>
      <c r="R7354" s="18">
        <v>1735.16</v>
      </c>
      <c r="S7354" s="18">
        <v>1270.1400000000001</v>
      </c>
      <c r="T7354" s="18">
        <v>1041.0999999999999</v>
      </c>
      <c r="U7354" s="16"/>
      <c r="V7354" s="16"/>
      <c r="W7354" s="16" t="s">
        <v>40</v>
      </c>
      <c r="X7354" s="19">
        <v>1.4</v>
      </c>
      <c r="Y7354" s="20">
        <v>2.4190000000000001E-3</v>
      </c>
      <c r="Z7354" s="21">
        <v>4610003608156</v>
      </c>
    </row>
    <row r="7355" spans="1:26" ht="12" customHeight="1" outlineLevel="3" x14ac:dyDescent="0.2">
      <c r="A7355" s="14" t="s">
        <v>14093</v>
      </c>
      <c r="B7355" s="26" t="s">
        <v>14094</v>
      </c>
      <c r="C7355" s="52"/>
      <c r="D7355" s="55">
        <f t="shared" si="114"/>
        <v>0</v>
      </c>
      <c r="E7355" s="63" t="str">
        <f>HYPERLINK("https://www.sds-group.ru/product/kabel-telefonnyy-shtlp-2-zhily-cu-chernyy-100m-rexant-01-5002/", "Инфо")</f>
        <v>Инфо</v>
      </c>
      <c r="F7355" s="16" t="s">
        <v>1887</v>
      </c>
      <c r="G7355" s="15"/>
      <c r="H7355" s="15"/>
      <c r="I7355" s="15"/>
      <c r="J7355" s="17">
        <v>183</v>
      </c>
      <c r="K7355" s="15"/>
      <c r="L7355" s="17">
        <v>1</v>
      </c>
      <c r="M7355" s="17">
        <v>10</v>
      </c>
      <c r="N7355" s="17">
        <v>1</v>
      </c>
      <c r="O7355" s="18">
        <v>2116.88</v>
      </c>
      <c r="P7355" s="18">
        <v>1735.15</v>
      </c>
      <c r="Q7355" s="18">
        <v>2116.88</v>
      </c>
      <c r="R7355" s="18">
        <v>1735.15</v>
      </c>
      <c r="S7355" s="18">
        <v>1270.1300000000001</v>
      </c>
      <c r="T7355" s="18">
        <v>1041.0899999999999</v>
      </c>
      <c r="U7355" s="16"/>
      <c r="V7355" s="16"/>
      <c r="W7355" s="16" t="s">
        <v>40</v>
      </c>
      <c r="X7355" s="19">
        <v>1.4139999999999999</v>
      </c>
      <c r="Y7355" s="20">
        <v>2.3140000000000001E-3</v>
      </c>
      <c r="Z7355" s="21">
        <v>4601004011120</v>
      </c>
    </row>
    <row r="7356" spans="1:26" ht="12" customHeight="1" outlineLevel="3" x14ac:dyDescent="0.2">
      <c r="A7356" s="14" t="s">
        <v>14095</v>
      </c>
      <c r="B7356" s="26" t="s">
        <v>14096</v>
      </c>
      <c r="C7356" s="52"/>
      <c r="D7356" s="55">
        <f t="shared" si="114"/>
        <v>0</v>
      </c>
      <c r="E7356" s="63" t="str">
        <f>HYPERLINK("https://www.sds-group.ru/product/kabel-telefonnyy-shtlp-4-zhily-cca-belyy-100m-rexant-01-5101-3/", "Инфо")</f>
        <v>Инфо</v>
      </c>
      <c r="F7356" s="16" t="s">
        <v>1887</v>
      </c>
      <c r="G7356" s="15"/>
      <c r="H7356" s="15"/>
      <c r="I7356" s="15"/>
      <c r="J7356" s="17">
        <v>275</v>
      </c>
      <c r="K7356" s="15" t="s">
        <v>6174</v>
      </c>
      <c r="L7356" s="17">
        <v>1</v>
      </c>
      <c r="M7356" s="17">
        <v>10</v>
      </c>
      <c r="N7356" s="17">
        <v>1</v>
      </c>
      <c r="O7356" s="18">
        <v>1719.19</v>
      </c>
      <c r="P7356" s="18">
        <v>1409.17</v>
      </c>
      <c r="Q7356" s="18">
        <v>1719.19</v>
      </c>
      <c r="R7356" s="18">
        <v>1409.17</v>
      </c>
      <c r="S7356" s="18">
        <v>1031.51</v>
      </c>
      <c r="T7356" s="18">
        <v>845.5</v>
      </c>
      <c r="U7356" s="16"/>
      <c r="V7356" s="16"/>
      <c r="W7356" s="16" t="s">
        <v>40</v>
      </c>
      <c r="X7356" s="19">
        <v>1.2969999999999999</v>
      </c>
      <c r="Y7356" s="20">
        <v>2.124E-3</v>
      </c>
      <c r="Z7356" s="21">
        <v>4660008011734</v>
      </c>
    </row>
    <row r="7357" spans="1:26" ht="12" customHeight="1" outlineLevel="3" x14ac:dyDescent="0.2">
      <c r="A7357" s="14" t="s">
        <v>14097</v>
      </c>
      <c r="B7357" s="26" t="s">
        <v>14098</v>
      </c>
      <c r="C7357" s="52"/>
      <c r="D7357" s="55">
        <f t="shared" si="114"/>
        <v>0</v>
      </c>
      <c r="E7357" s="63" t="str">
        <f>HYPERLINK("https://www.sds-group.ru/product/kabel-telefonnyy-shtlp-4-zhily-cu-belyy-100m-rexant-01-5101/", "Инфо")</f>
        <v>Инфо</v>
      </c>
      <c r="F7357" s="16" t="s">
        <v>1887</v>
      </c>
      <c r="G7357" s="15"/>
      <c r="H7357" s="15"/>
      <c r="I7357" s="15"/>
      <c r="J7357" s="17">
        <v>181</v>
      </c>
      <c r="K7357" s="15" t="s">
        <v>6174</v>
      </c>
      <c r="L7357" s="17">
        <v>1</v>
      </c>
      <c r="M7357" s="17">
        <v>10</v>
      </c>
      <c r="N7357" s="17">
        <v>1</v>
      </c>
      <c r="O7357" s="18">
        <v>2862.69</v>
      </c>
      <c r="P7357" s="18">
        <v>2346.4699999999998</v>
      </c>
      <c r="Q7357" s="18">
        <v>2862.69</v>
      </c>
      <c r="R7357" s="18">
        <v>2346.4699999999998</v>
      </c>
      <c r="S7357" s="18">
        <v>1717.61</v>
      </c>
      <c r="T7357" s="18">
        <v>1407.88</v>
      </c>
      <c r="U7357" s="16"/>
      <c r="V7357" s="16"/>
      <c r="W7357" s="16" t="s">
        <v>40</v>
      </c>
      <c r="X7357" s="19">
        <v>1.405</v>
      </c>
      <c r="Y7357" s="20">
        <v>2.4139999999999999E-3</v>
      </c>
      <c r="Z7357" s="21">
        <v>4601004012264</v>
      </c>
    </row>
    <row r="7358" spans="1:26" ht="12" customHeight="1" outlineLevel="3" x14ac:dyDescent="0.2">
      <c r="A7358" s="14" t="s">
        <v>14099</v>
      </c>
      <c r="B7358" s="26" t="s">
        <v>14100</v>
      </c>
      <c r="C7358" s="52"/>
      <c r="D7358" s="55">
        <f t="shared" si="114"/>
        <v>0</v>
      </c>
      <c r="E7358" s="63" t="str">
        <f>HYPERLINK("https://www.sds-group.ru/product/kabel-telefonnyy-shtlp-4-zhily-cu-chernyy-100m-rexant-01-5109/", "Инфо")</f>
        <v>Инфо</v>
      </c>
      <c r="F7358" s="16" t="s">
        <v>1887</v>
      </c>
      <c r="G7358" s="15"/>
      <c r="H7358" s="15"/>
      <c r="I7358" s="15"/>
      <c r="J7358" s="17">
        <v>174</v>
      </c>
      <c r="K7358" s="15" t="s">
        <v>6174</v>
      </c>
      <c r="L7358" s="17">
        <v>1</v>
      </c>
      <c r="M7358" s="17">
        <v>10</v>
      </c>
      <c r="N7358" s="17">
        <v>1</v>
      </c>
      <c r="O7358" s="18">
        <v>2738.69</v>
      </c>
      <c r="P7358" s="18">
        <v>2244.83</v>
      </c>
      <c r="Q7358" s="18">
        <v>2738.69</v>
      </c>
      <c r="R7358" s="18">
        <v>2244.83</v>
      </c>
      <c r="S7358" s="18">
        <v>1643.21</v>
      </c>
      <c r="T7358" s="18">
        <v>1346.89</v>
      </c>
      <c r="U7358" s="16"/>
      <c r="V7358" s="16"/>
      <c r="W7358" s="16" t="s">
        <v>40</v>
      </c>
      <c r="X7358" s="19">
        <v>1.3839999999999999</v>
      </c>
      <c r="Y7358" s="20">
        <v>2.4260000000000002E-3</v>
      </c>
      <c r="Z7358" s="21">
        <v>4601004012196</v>
      </c>
    </row>
    <row r="7359" spans="1:26" ht="12.95" customHeight="1" outlineLevel="2" x14ac:dyDescent="0.2">
      <c r="A7359" s="76" t="s">
        <v>14101</v>
      </c>
      <c r="B7359" s="76"/>
      <c r="C7359" s="77"/>
      <c r="D7359" s="58"/>
      <c r="E7359" s="68"/>
      <c r="F7359" s="13"/>
      <c r="G7359" s="13"/>
      <c r="H7359" s="13"/>
      <c r="I7359" s="13"/>
      <c r="J7359" s="13"/>
      <c r="K7359" s="13"/>
      <c r="L7359" s="13"/>
      <c r="M7359" s="13"/>
      <c r="N7359" s="13"/>
      <c r="O7359" s="13"/>
      <c r="P7359" s="13"/>
      <c r="Q7359" s="13"/>
      <c r="R7359" s="13"/>
      <c r="S7359" s="13"/>
      <c r="T7359" s="13"/>
      <c r="U7359" s="13"/>
      <c r="V7359" s="13"/>
      <c r="W7359" s="13"/>
      <c r="X7359" s="13"/>
      <c r="Y7359" s="13"/>
      <c r="Z7359" s="13"/>
    </row>
    <row r="7360" spans="1:26" ht="12" customHeight="1" outlineLevel="3" x14ac:dyDescent="0.2">
      <c r="A7360" s="14" t="s">
        <v>14102</v>
      </c>
      <c r="B7360" s="26" t="s">
        <v>14103</v>
      </c>
      <c r="C7360" s="52"/>
      <c r="D7360" s="55">
        <f t="shared" si="114"/>
        <v>0</v>
      </c>
      <c r="E7360" s="63" t="str">
        <f>HYPERLINK("https://www.sds-group.ru/product/plint-na-10-par-razmykaemyy-markirovka-0-9-montazh-na-homut-rexant-04-0102/", "Инфо")</f>
        <v>Инфо</v>
      </c>
      <c r="F7360" s="16" t="s">
        <v>39</v>
      </c>
      <c r="G7360" s="15"/>
      <c r="H7360" s="15"/>
      <c r="I7360" s="15"/>
      <c r="J7360" s="22">
        <v>3290</v>
      </c>
      <c r="K7360" s="15" t="s">
        <v>1055</v>
      </c>
      <c r="L7360" s="17">
        <v>10</v>
      </c>
      <c r="M7360" s="17">
        <v>250</v>
      </c>
      <c r="N7360" s="17">
        <v>10</v>
      </c>
      <c r="O7360" s="18">
        <v>263.75</v>
      </c>
      <c r="P7360" s="18">
        <v>216.19</v>
      </c>
      <c r="Q7360" s="18">
        <v>263.75</v>
      </c>
      <c r="R7360" s="18">
        <v>216.19</v>
      </c>
      <c r="S7360" s="18">
        <v>158.25</v>
      </c>
      <c r="T7360" s="18">
        <v>129.71</v>
      </c>
      <c r="U7360" s="16"/>
      <c r="V7360" s="16"/>
      <c r="W7360" s="16" t="s">
        <v>40</v>
      </c>
      <c r="X7360" s="19">
        <v>4.8000000000000001E-2</v>
      </c>
      <c r="Y7360" s="20">
        <v>1.6000000000000001E-4</v>
      </c>
      <c r="Z7360" s="21">
        <v>4601004316218</v>
      </c>
    </row>
    <row r="7361" spans="1:26" ht="12" customHeight="1" outlineLevel="3" x14ac:dyDescent="0.2">
      <c r="A7361" s="14" t="s">
        <v>14104</v>
      </c>
      <c r="B7361" s="26" t="s">
        <v>14105</v>
      </c>
      <c r="C7361" s="52"/>
      <c r="D7361" s="55">
        <f t="shared" si="114"/>
        <v>0</v>
      </c>
      <c r="E7361" s="63" t="str">
        <f>HYPERLINK("https://www.sds-group.ru/product/plint-na-10-par-razmykaemyy-markirovka-0-9-universalnyy-montazh-na-reyku-homut-rexant-04-0121/", "Инфо")</f>
        <v>Инфо</v>
      </c>
      <c r="F7361" s="16" t="s">
        <v>39</v>
      </c>
      <c r="G7361" s="15"/>
      <c r="H7361" s="15"/>
      <c r="I7361" s="15"/>
      <c r="J7361" s="22">
        <v>5410</v>
      </c>
      <c r="K7361" s="15"/>
      <c r="L7361" s="17">
        <v>10</v>
      </c>
      <c r="M7361" s="17">
        <v>250</v>
      </c>
      <c r="N7361" s="17">
        <v>10</v>
      </c>
      <c r="O7361" s="18">
        <v>306.87</v>
      </c>
      <c r="P7361" s="18">
        <v>251.53</v>
      </c>
      <c r="Q7361" s="18">
        <v>306.87</v>
      </c>
      <c r="R7361" s="18">
        <v>251.53</v>
      </c>
      <c r="S7361" s="18">
        <v>184.12</v>
      </c>
      <c r="T7361" s="18">
        <v>150.91999999999999</v>
      </c>
      <c r="U7361" s="16"/>
      <c r="V7361" s="16"/>
      <c r="W7361" s="16" t="s">
        <v>40</v>
      </c>
      <c r="X7361" s="19">
        <v>5.0999999999999997E-2</v>
      </c>
      <c r="Y7361" s="20">
        <v>1.66E-4</v>
      </c>
      <c r="Z7361" s="21">
        <v>4601004316225</v>
      </c>
    </row>
    <row r="7362" spans="1:26" ht="12.95" customHeight="1" outlineLevel="2" x14ac:dyDescent="0.2">
      <c r="A7362" s="76" t="s">
        <v>14106</v>
      </c>
      <c r="B7362" s="76"/>
      <c r="C7362" s="77"/>
      <c r="D7362" s="58"/>
      <c r="E7362" s="68"/>
      <c r="F7362" s="13"/>
      <c r="G7362" s="13"/>
      <c r="H7362" s="13"/>
      <c r="I7362" s="13"/>
      <c r="J7362" s="13"/>
      <c r="K7362" s="13"/>
      <c r="L7362" s="13"/>
      <c r="M7362" s="13"/>
      <c r="N7362" s="13"/>
      <c r="O7362" s="13"/>
      <c r="P7362" s="13"/>
      <c r="Q7362" s="13"/>
      <c r="R7362" s="13"/>
      <c r="S7362" s="13"/>
      <c r="T7362" s="13"/>
      <c r="U7362" s="13"/>
      <c r="V7362" s="13"/>
      <c r="W7362" s="13"/>
      <c r="X7362" s="13"/>
      <c r="Y7362" s="13"/>
      <c r="Z7362" s="13"/>
    </row>
    <row r="7363" spans="1:26" ht="12" customHeight="1" outlineLevel="3" x14ac:dyDescent="0.2">
      <c r="A7363" s="32" t="s">
        <v>14107</v>
      </c>
      <c r="B7363" s="74" t="s">
        <v>14108</v>
      </c>
      <c r="C7363" s="50"/>
      <c r="D7363" s="53">
        <f t="shared" si="114"/>
        <v>0</v>
      </c>
      <c r="E7363" s="60" t="str">
        <f>HYPERLINK("https://www.sds-group.ru/product/adapter-telefonnyy-prohodnoy-utp-rj-14-6p4c-cat-3-rexant-03-0022/", "Инфо")</f>
        <v>Инфо</v>
      </c>
      <c r="F7363" s="34" t="s">
        <v>39</v>
      </c>
      <c r="G7363" s="33"/>
      <c r="H7363" s="33" t="s">
        <v>40</v>
      </c>
      <c r="I7363" s="33"/>
      <c r="J7363" s="39">
        <v>2250</v>
      </c>
      <c r="K7363" s="33" t="s">
        <v>6798</v>
      </c>
      <c r="L7363" s="35">
        <v>50</v>
      </c>
      <c r="M7363" s="39">
        <v>1000</v>
      </c>
      <c r="N7363" s="35">
        <v>50</v>
      </c>
      <c r="O7363" s="36">
        <v>37.82</v>
      </c>
      <c r="P7363" s="36">
        <v>31</v>
      </c>
      <c r="Q7363" s="36">
        <v>26.47</v>
      </c>
      <c r="R7363" s="36">
        <v>21.7</v>
      </c>
      <c r="S7363" s="36">
        <v>22.69</v>
      </c>
      <c r="T7363" s="36">
        <v>18.600000000000001</v>
      </c>
      <c r="U7363" s="34"/>
      <c r="V7363" s="34"/>
      <c r="W7363" s="34"/>
      <c r="X7363" s="37">
        <v>8.0000000000000002E-3</v>
      </c>
      <c r="Y7363" s="38">
        <v>2.3E-5</v>
      </c>
      <c r="Z7363" s="21">
        <v>4610003602567</v>
      </c>
    </row>
    <row r="7364" spans="1:26" ht="12" customHeight="1" outlineLevel="3" x14ac:dyDescent="0.2">
      <c r="A7364" s="14" t="s">
        <v>14109</v>
      </c>
      <c r="B7364" s="26" t="s">
        <v>14110</v>
      </c>
      <c r="C7364" s="52"/>
      <c r="D7364" s="55">
        <f t="shared" si="114"/>
        <v>0</v>
      </c>
      <c r="E7364" s="63" t="str">
        <f>HYPERLINK("https://www.sds-group.ru/product/dvoynik-telefonnyy-utp-rj-14-6p4c-gnezdo-2-gnezda-rexant-03-0032/", "Инфо")</f>
        <v>Инфо</v>
      </c>
      <c r="F7364" s="16" t="s">
        <v>39</v>
      </c>
      <c r="G7364" s="15"/>
      <c r="H7364" s="15"/>
      <c r="I7364" s="15"/>
      <c r="J7364" s="22">
        <v>7100</v>
      </c>
      <c r="K7364" s="15" t="s">
        <v>4020</v>
      </c>
      <c r="L7364" s="17">
        <v>50</v>
      </c>
      <c r="M7364" s="22">
        <v>1000</v>
      </c>
      <c r="N7364" s="17">
        <v>50</v>
      </c>
      <c r="O7364" s="18">
        <v>82.69</v>
      </c>
      <c r="P7364" s="18">
        <v>67.78</v>
      </c>
      <c r="Q7364" s="18">
        <v>82.69</v>
      </c>
      <c r="R7364" s="18">
        <v>67.78</v>
      </c>
      <c r="S7364" s="18">
        <v>49.61</v>
      </c>
      <c r="T7364" s="18">
        <v>40.659999999999997</v>
      </c>
      <c r="U7364" s="16"/>
      <c r="V7364" s="16"/>
      <c r="W7364" s="16" t="s">
        <v>40</v>
      </c>
      <c r="X7364" s="19">
        <v>1.0999999999999999E-2</v>
      </c>
      <c r="Y7364" s="20">
        <v>6.0999999999999999E-5</v>
      </c>
      <c r="Z7364" s="21">
        <v>4610003602598</v>
      </c>
    </row>
    <row r="7365" spans="1:26" ht="12" customHeight="1" outlineLevel="3" x14ac:dyDescent="0.2">
      <c r="A7365" s="14" t="s">
        <v>14111</v>
      </c>
      <c r="B7365" s="26" t="s">
        <v>14112</v>
      </c>
      <c r="C7365" s="52"/>
      <c r="D7365" s="55">
        <f t="shared" si="114"/>
        <v>0</v>
      </c>
      <c r="E7365" s="63" t="str">
        <f>HYPERLINK("https://www.sds-group.ru/product/rozetka-telefonnaya-vneshnyaya-1-port-utp-rj-11-6p2c-cat-3-proconnect-03-0001-4/", "Инфо")</f>
        <v>Инфо</v>
      </c>
      <c r="F7365" s="16" t="s">
        <v>39</v>
      </c>
      <c r="G7365" s="15"/>
      <c r="H7365" s="15"/>
      <c r="I7365" s="15"/>
      <c r="J7365" s="22">
        <v>2289</v>
      </c>
      <c r="K7365" s="15" t="s">
        <v>4020</v>
      </c>
      <c r="L7365" s="17">
        <v>50</v>
      </c>
      <c r="M7365" s="17">
        <v>500</v>
      </c>
      <c r="N7365" s="17">
        <v>50</v>
      </c>
      <c r="O7365" s="18">
        <v>64.19</v>
      </c>
      <c r="P7365" s="18">
        <v>52.61</v>
      </c>
      <c r="Q7365" s="18">
        <v>64.19</v>
      </c>
      <c r="R7365" s="18">
        <v>52.61</v>
      </c>
      <c r="S7365" s="18">
        <v>37.229999999999997</v>
      </c>
      <c r="T7365" s="18">
        <v>30.52</v>
      </c>
      <c r="U7365" s="16"/>
      <c r="V7365" s="16"/>
      <c r="W7365" s="16" t="s">
        <v>40</v>
      </c>
      <c r="X7365" s="19">
        <v>1.6E-2</v>
      </c>
      <c r="Y7365" s="20">
        <v>6.9999999999999994E-5</v>
      </c>
      <c r="Z7365" s="21">
        <v>4660008017941</v>
      </c>
    </row>
    <row r="7366" spans="1:26" ht="12" customHeight="1" outlineLevel="3" x14ac:dyDescent="0.2">
      <c r="A7366" s="14" t="s">
        <v>14113</v>
      </c>
      <c r="B7366" s="26" t="s">
        <v>14114</v>
      </c>
      <c r="C7366" s="52"/>
      <c r="D7366" s="55">
        <f t="shared" si="114"/>
        <v>0</v>
      </c>
      <c r="E7366" s="63" t="str">
        <f>HYPERLINK("https://www.sds-group.ru/product/rozetka-telefonnaya-vneshnyaya-1-port-utp-rj-14-6p4c-cat-3-rexant-03-0001/", "Инфо")</f>
        <v>Инфо</v>
      </c>
      <c r="F7366" s="16" t="s">
        <v>39</v>
      </c>
      <c r="G7366" s="15"/>
      <c r="H7366" s="15"/>
      <c r="I7366" s="15"/>
      <c r="J7366" s="22">
        <v>10098</v>
      </c>
      <c r="K7366" s="15" t="s">
        <v>6798</v>
      </c>
      <c r="L7366" s="17">
        <v>50</v>
      </c>
      <c r="M7366" s="17">
        <v>500</v>
      </c>
      <c r="N7366" s="17">
        <v>50</v>
      </c>
      <c r="O7366" s="18">
        <v>66.89</v>
      </c>
      <c r="P7366" s="18">
        <v>54.83</v>
      </c>
      <c r="Q7366" s="18">
        <v>66.89</v>
      </c>
      <c r="R7366" s="18">
        <v>54.83</v>
      </c>
      <c r="S7366" s="18">
        <v>40.130000000000003</v>
      </c>
      <c r="T7366" s="18">
        <v>32.89</v>
      </c>
      <c r="U7366" s="16"/>
      <c r="V7366" s="16"/>
      <c r="W7366" s="16" t="s">
        <v>40</v>
      </c>
      <c r="X7366" s="19">
        <v>2.4E-2</v>
      </c>
      <c r="Y7366" s="20">
        <v>1.3200000000000001E-4</v>
      </c>
      <c r="Z7366" s="21">
        <v>4610003602451</v>
      </c>
    </row>
    <row r="7367" spans="1:26" ht="12" customHeight="1" outlineLevel="3" x14ac:dyDescent="0.2">
      <c r="A7367" s="14" t="s">
        <v>14115</v>
      </c>
      <c r="B7367" s="26" t="s">
        <v>14116</v>
      </c>
      <c r="C7367" s="52"/>
      <c r="D7367" s="55">
        <f t="shared" si="114"/>
        <v>0</v>
      </c>
      <c r="E7367" s="63" t="str">
        <f>HYPERLINK("https://www.sds-group.ru/product/rozetka-telefonnaya-vneshnyaya-2-porta-utp-rj-14-6p4c-cat-3-rexant-03-0002/", "Инфо")</f>
        <v>Инфо</v>
      </c>
      <c r="F7367" s="16" t="s">
        <v>39</v>
      </c>
      <c r="G7367" s="15"/>
      <c r="H7367" s="15"/>
      <c r="I7367" s="15"/>
      <c r="J7367" s="22">
        <v>7389</v>
      </c>
      <c r="K7367" s="15" t="s">
        <v>6798</v>
      </c>
      <c r="L7367" s="17">
        <v>10</v>
      </c>
      <c r="M7367" s="17">
        <v>500</v>
      </c>
      <c r="N7367" s="17">
        <v>10</v>
      </c>
      <c r="O7367" s="18">
        <v>100.15</v>
      </c>
      <c r="P7367" s="18">
        <v>82.09</v>
      </c>
      <c r="Q7367" s="18">
        <v>100.15</v>
      </c>
      <c r="R7367" s="18">
        <v>82.09</v>
      </c>
      <c r="S7367" s="18">
        <v>60.09</v>
      </c>
      <c r="T7367" s="18">
        <v>49.25</v>
      </c>
      <c r="U7367" s="16"/>
      <c r="V7367" s="16"/>
      <c r="W7367" s="16" t="s">
        <v>40</v>
      </c>
      <c r="X7367" s="19">
        <v>3.1E-2</v>
      </c>
      <c r="Y7367" s="20">
        <v>1.3300000000000001E-4</v>
      </c>
      <c r="Z7367" s="21">
        <v>4610003602468</v>
      </c>
    </row>
    <row r="7368" spans="1:26" ht="12" customHeight="1" outlineLevel="3" x14ac:dyDescent="0.2">
      <c r="A7368" s="14" t="s">
        <v>14117</v>
      </c>
      <c r="B7368" s="26" t="s">
        <v>14118</v>
      </c>
      <c r="C7368" s="52"/>
      <c r="D7368" s="55">
        <f t="shared" si="114"/>
        <v>0</v>
      </c>
      <c r="E7368" s="63" t="str">
        <f>HYPERLINK("https://www.sds-group.ru/product/razem-telefonnyy-utp-rj-12-6p6c-cat-3-rexant-05-1013/", "Инфо")</f>
        <v>Инфо</v>
      </c>
      <c r="F7368" s="16" t="s">
        <v>39</v>
      </c>
      <c r="G7368" s="15"/>
      <c r="H7368" s="15"/>
      <c r="I7368" s="15"/>
      <c r="J7368" s="16" t="s">
        <v>100</v>
      </c>
      <c r="K7368" s="15" t="s">
        <v>1277</v>
      </c>
      <c r="L7368" s="17">
        <v>100</v>
      </c>
      <c r="M7368" s="22">
        <v>20000</v>
      </c>
      <c r="N7368" s="17">
        <v>100</v>
      </c>
      <c r="O7368" s="18">
        <v>5.94</v>
      </c>
      <c r="P7368" s="18">
        <v>4.87</v>
      </c>
      <c r="Q7368" s="18">
        <v>5.94</v>
      </c>
      <c r="R7368" s="18">
        <v>4.87</v>
      </c>
      <c r="S7368" s="18">
        <v>3.56</v>
      </c>
      <c r="T7368" s="18">
        <v>2.92</v>
      </c>
      <c r="U7368" s="16"/>
      <c r="V7368" s="16"/>
      <c r="W7368" s="16" t="s">
        <v>40</v>
      </c>
      <c r="X7368" s="19">
        <v>1E-3</v>
      </c>
      <c r="Y7368" s="20">
        <v>1.9999999999999999E-6</v>
      </c>
      <c r="Z7368" s="21">
        <v>4601004070738</v>
      </c>
    </row>
    <row r="7369" spans="1:26" ht="12" customHeight="1" outlineLevel="3" x14ac:dyDescent="0.2">
      <c r="A7369" s="14" t="s">
        <v>14119</v>
      </c>
      <c r="B7369" s="26" t="s">
        <v>14120</v>
      </c>
      <c r="C7369" s="52"/>
      <c r="D7369" s="55">
        <f t="shared" ref="D7369:D7431" si="115">C7369*(O7369-O7369*$G$3)</f>
        <v>0</v>
      </c>
      <c r="E7369" s="63" t="str">
        <f>HYPERLINK("https://www.sds-group.ru/product/razem-telefonnyy-utp-rj-14-6p4c-cat-3-proconnect-05-1012-3/", "Инфо")</f>
        <v>Инфо</v>
      </c>
      <c r="F7369" s="16" t="s">
        <v>39</v>
      </c>
      <c r="G7369" s="15"/>
      <c r="H7369" s="15"/>
      <c r="I7369" s="15"/>
      <c r="J7369" s="16" t="s">
        <v>100</v>
      </c>
      <c r="K7369" s="15"/>
      <c r="L7369" s="17">
        <v>100</v>
      </c>
      <c r="M7369" s="22">
        <v>20000</v>
      </c>
      <c r="N7369" s="17">
        <v>100</v>
      </c>
      <c r="O7369" s="18">
        <v>5.23</v>
      </c>
      <c r="P7369" s="18">
        <v>4.29</v>
      </c>
      <c r="Q7369" s="18">
        <v>5.23</v>
      </c>
      <c r="R7369" s="18">
        <v>4.29</v>
      </c>
      <c r="S7369" s="18">
        <v>3.03</v>
      </c>
      <c r="T7369" s="18">
        <v>2.48</v>
      </c>
      <c r="U7369" s="16"/>
      <c r="V7369" s="16"/>
      <c r="W7369" s="16" t="s">
        <v>40</v>
      </c>
      <c r="X7369" s="19">
        <v>1E-3</v>
      </c>
      <c r="Y7369" s="20">
        <v>1.9999999999999999E-6</v>
      </c>
      <c r="Z7369" s="21">
        <v>4601004070837</v>
      </c>
    </row>
    <row r="7370" spans="1:26" ht="12" customHeight="1" outlineLevel="3" x14ac:dyDescent="0.2">
      <c r="A7370" s="14" t="s">
        <v>14121</v>
      </c>
      <c r="B7370" s="26" t="s">
        <v>14122</v>
      </c>
      <c r="C7370" s="52"/>
      <c r="D7370" s="55">
        <f t="shared" si="115"/>
        <v>0</v>
      </c>
      <c r="E7370" s="63" t="str">
        <f>HYPERLINK("https://www.sds-group.ru/product/razem-telefonnyy-utp-rj-14-6p4c-cat-3-rexant-05-1012/", "Инфо")</f>
        <v>Инфо</v>
      </c>
      <c r="F7370" s="16" t="s">
        <v>39</v>
      </c>
      <c r="G7370" s="15"/>
      <c r="H7370" s="15"/>
      <c r="I7370" s="15"/>
      <c r="J7370" s="22">
        <v>4770</v>
      </c>
      <c r="K7370" s="15" t="s">
        <v>4020</v>
      </c>
      <c r="L7370" s="17">
        <v>100</v>
      </c>
      <c r="M7370" s="22">
        <v>20000</v>
      </c>
      <c r="N7370" s="17">
        <v>100</v>
      </c>
      <c r="O7370" s="18">
        <v>5.95</v>
      </c>
      <c r="P7370" s="18">
        <v>4.88</v>
      </c>
      <c r="Q7370" s="18">
        <v>5.95</v>
      </c>
      <c r="R7370" s="18">
        <v>4.88</v>
      </c>
      <c r="S7370" s="18">
        <v>3.57</v>
      </c>
      <c r="T7370" s="18">
        <v>2.93</v>
      </c>
      <c r="U7370" s="16"/>
      <c r="V7370" s="16"/>
      <c r="W7370" s="16" t="s">
        <v>40</v>
      </c>
      <c r="X7370" s="19">
        <v>1E-3</v>
      </c>
      <c r="Y7370" s="20">
        <v>1.9999999999999999E-6</v>
      </c>
      <c r="Z7370" s="21">
        <v>4610003608460</v>
      </c>
    </row>
    <row r="7371" spans="1:26" ht="12" customHeight="1" outlineLevel="3" x14ac:dyDescent="0.2">
      <c r="A7371" s="14" t="s">
        <v>14123</v>
      </c>
      <c r="B7371" s="26" t="s">
        <v>14124</v>
      </c>
      <c r="C7371" s="52"/>
      <c r="D7371" s="55">
        <f t="shared" si="115"/>
        <v>0</v>
      </c>
      <c r="E7371" s="63" t="str">
        <f>HYPERLINK("https://www.sds-group.ru/product/razem-telefonnyy-utp-rj-9-4p4c-cat-3-proconnect-05-1001-3/", "Инфо")</f>
        <v>Инфо</v>
      </c>
      <c r="F7371" s="16" t="s">
        <v>39</v>
      </c>
      <c r="G7371" s="15"/>
      <c r="H7371" s="15"/>
      <c r="I7371" s="15"/>
      <c r="J7371" s="16" t="s">
        <v>100</v>
      </c>
      <c r="K7371" s="15" t="s">
        <v>1587</v>
      </c>
      <c r="L7371" s="17">
        <v>100</v>
      </c>
      <c r="M7371" s="22">
        <v>20000</v>
      </c>
      <c r="N7371" s="17">
        <v>100</v>
      </c>
      <c r="O7371" s="18">
        <v>4.62</v>
      </c>
      <c r="P7371" s="18">
        <v>3.79</v>
      </c>
      <c r="Q7371" s="18">
        <v>4.62</v>
      </c>
      <c r="R7371" s="18">
        <v>3.79</v>
      </c>
      <c r="S7371" s="18">
        <v>2.68</v>
      </c>
      <c r="T7371" s="18">
        <v>2.2000000000000002</v>
      </c>
      <c r="U7371" s="16"/>
      <c r="V7371" s="16"/>
      <c r="W7371" s="16" t="s">
        <v>40</v>
      </c>
      <c r="X7371" s="19">
        <v>1E-3</v>
      </c>
      <c r="Y7371" s="20">
        <v>1.9999999999999999E-6</v>
      </c>
      <c r="Z7371" s="21">
        <v>4601004070868</v>
      </c>
    </row>
    <row r="7372" spans="1:26" ht="12" customHeight="1" outlineLevel="3" x14ac:dyDescent="0.2">
      <c r="A7372" s="14" t="s">
        <v>14125</v>
      </c>
      <c r="B7372" s="26" t="s">
        <v>14126</v>
      </c>
      <c r="C7372" s="52"/>
      <c r="D7372" s="55">
        <f t="shared" si="115"/>
        <v>0</v>
      </c>
      <c r="E7372" s="63" t="str">
        <f>HYPERLINK("https://www.sds-group.ru/product/razem-telefonnyy-utp-rj-9-4p4c-cat-3-rexant-05-1001/", "Инфо")</f>
        <v>Инфо</v>
      </c>
      <c r="F7372" s="16" t="s">
        <v>39</v>
      </c>
      <c r="G7372" s="15"/>
      <c r="H7372" s="15"/>
      <c r="I7372" s="15"/>
      <c r="J7372" s="22">
        <v>10300</v>
      </c>
      <c r="K7372" s="15" t="s">
        <v>1004</v>
      </c>
      <c r="L7372" s="17">
        <v>100</v>
      </c>
      <c r="M7372" s="22">
        <v>20000</v>
      </c>
      <c r="N7372" s="17">
        <v>100</v>
      </c>
      <c r="O7372" s="18">
        <v>4.97</v>
      </c>
      <c r="P7372" s="18">
        <v>4.07</v>
      </c>
      <c r="Q7372" s="18">
        <v>4.97</v>
      </c>
      <c r="R7372" s="18">
        <v>4.07</v>
      </c>
      <c r="S7372" s="18">
        <v>2.98</v>
      </c>
      <c r="T7372" s="18">
        <v>2.44</v>
      </c>
      <c r="U7372" s="16"/>
      <c r="V7372" s="16"/>
      <c r="W7372" s="16" t="s">
        <v>40</v>
      </c>
      <c r="X7372" s="19">
        <v>1E-3</v>
      </c>
      <c r="Y7372" s="20">
        <v>1.9999999999999999E-6</v>
      </c>
      <c r="Z7372" s="21">
        <v>4660008013059</v>
      </c>
    </row>
    <row r="7373" spans="1:26" ht="12.95" customHeight="1" outlineLevel="1" x14ac:dyDescent="0.2">
      <c r="A7373" s="78" t="s">
        <v>14127</v>
      </c>
      <c r="B7373" s="78"/>
      <c r="C7373" s="79"/>
      <c r="D7373" s="57"/>
      <c r="E7373" s="67"/>
      <c r="F7373" s="12"/>
      <c r="G7373" s="12"/>
      <c r="H7373" s="12"/>
      <c r="I7373" s="12"/>
      <c r="J7373" s="12"/>
      <c r="K7373" s="12"/>
      <c r="L7373" s="12"/>
      <c r="M7373" s="12"/>
      <c r="N7373" s="12"/>
      <c r="O7373" s="12"/>
      <c r="P7373" s="12"/>
      <c r="Q7373" s="12"/>
      <c r="R7373" s="12"/>
      <c r="S7373" s="12"/>
      <c r="T7373" s="12"/>
      <c r="U7373" s="12"/>
      <c r="V7373" s="12"/>
      <c r="W7373" s="12"/>
      <c r="X7373" s="12"/>
      <c r="Y7373" s="12"/>
      <c r="Z7373" s="12"/>
    </row>
    <row r="7374" spans="1:26" ht="12.95" customHeight="1" outlineLevel="2" x14ac:dyDescent="0.2">
      <c r="A7374" s="76" t="s">
        <v>14128</v>
      </c>
      <c r="B7374" s="76"/>
      <c r="C7374" s="77"/>
      <c r="D7374" s="58"/>
      <c r="E7374" s="68"/>
      <c r="F7374" s="13"/>
      <c r="G7374" s="13"/>
      <c r="H7374" s="13"/>
      <c r="I7374" s="13"/>
      <c r="J7374" s="13"/>
      <c r="K7374" s="13"/>
      <c r="L7374" s="13"/>
      <c r="M7374" s="13"/>
      <c r="N7374" s="13"/>
      <c r="O7374" s="13"/>
      <c r="P7374" s="13"/>
      <c r="Q7374" s="13"/>
      <c r="R7374" s="13"/>
      <c r="S7374" s="13"/>
      <c r="T7374" s="13"/>
      <c r="U7374" s="13"/>
      <c r="V7374" s="13"/>
      <c r="W7374" s="13"/>
      <c r="X7374" s="13"/>
      <c r="Y7374" s="13"/>
      <c r="Z7374" s="13"/>
    </row>
    <row r="7375" spans="1:26" ht="12" customHeight="1" outlineLevel="3" x14ac:dyDescent="0.2">
      <c r="A7375" s="14" t="s">
        <v>14129</v>
      </c>
      <c r="B7375" s="26" t="s">
        <v>14130</v>
      </c>
      <c r="C7375" s="52"/>
      <c r="D7375" s="55">
        <f t="shared" si="115"/>
        <v>0</v>
      </c>
      <c r="E7375" s="63" t="str">
        <f>HYPERLINK("https://www.sds-group.ru/product/adapter-prohodnoy-utp-rj-45-8p8c-cat-5e-50-sht-rexant-03-0101/", "Инфо")</f>
        <v>Инфо</v>
      </c>
      <c r="F7375" s="16" t="s">
        <v>39</v>
      </c>
      <c r="G7375" s="15"/>
      <c r="H7375" s="15"/>
      <c r="I7375" s="15"/>
      <c r="J7375" s="22">
        <v>30770</v>
      </c>
      <c r="K7375" s="15" t="s">
        <v>1055</v>
      </c>
      <c r="L7375" s="17">
        <v>50</v>
      </c>
      <c r="M7375" s="22">
        <v>1000</v>
      </c>
      <c r="N7375" s="17">
        <v>50</v>
      </c>
      <c r="O7375" s="18">
        <v>86.53</v>
      </c>
      <c r="P7375" s="18">
        <v>70.930000000000007</v>
      </c>
      <c r="Q7375" s="18">
        <v>86.53</v>
      </c>
      <c r="R7375" s="18">
        <v>70.930000000000007</v>
      </c>
      <c r="S7375" s="18">
        <v>51.92</v>
      </c>
      <c r="T7375" s="18">
        <v>42.56</v>
      </c>
      <c r="U7375" s="16"/>
      <c r="V7375" s="16"/>
      <c r="W7375" s="16" t="s">
        <v>40</v>
      </c>
      <c r="X7375" s="19">
        <v>8.0000000000000002E-3</v>
      </c>
      <c r="Y7375" s="20">
        <v>2.0000000000000002E-5</v>
      </c>
      <c r="Z7375" s="21">
        <v>4610003602611</v>
      </c>
    </row>
    <row r="7376" spans="1:26" ht="12" customHeight="1" outlineLevel="3" x14ac:dyDescent="0.2">
      <c r="A7376" s="14" t="s">
        <v>14131</v>
      </c>
      <c r="B7376" s="26" t="s">
        <v>14132</v>
      </c>
      <c r="C7376" s="52"/>
      <c r="D7376" s="55">
        <f t="shared" si="115"/>
        <v>0</v>
      </c>
      <c r="E7376" s="63" t="str">
        <f>HYPERLINK("https://www.sds-group.ru/product/adapter-prohodnoy-utp-rj-45-cat-5e-proconnect-03-0101-4/", "Инфо")</f>
        <v>Инфо</v>
      </c>
      <c r="F7376" s="16" t="s">
        <v>39</v>
      </c>
      <c r="G7376" s="15"/>
      <c r="H7376" s="15"/>
      <c r="I7376" s="15"/>
      <c r="J7376" s="22">
        <v>58560</v>
      </c>
      <c r="K7376" s="15" t="s">
        <v>6798</v>
      </c>
      <c r="L7376" s="17">
        <v>50</v>
      </c>
      <c r="M7376" s="22">
        <v>1000</v>
      </c>
      <c r="N7376" s="17">
        <v>50</v>
      </c>
      <c r="O7376" s="18">
        <v>45.52</v>
      </c>
      <c r="P7376" s="18">
        <v>37.31</v>
      </c>
      <c r="Q7376" s="18">
        <v>45.52</v>
      </c>
      <c r="R7376" s="18">
        <v>37.31</v>
      </c>
      <c r="S7376" s="18">
        <v>26.4</v>
      </c>
      <c r="T7376" s="18">
        <v>21.64</v>
      </c>
      <c r="U7376" s="16"/>
      <c r="V7376" s="16"/>
      <c r="W7376" s="16" t="s">
        <v>40</v>
      </c>
      <c r="X7376" s="19">
        <v>7.0000000000000001E-3</v>
      </c>
      <c r="Y7376" s="20">
        <v>1.4E-5</v>
      </c>
      <c r="Z7376" s="21">
        <v>4601004076488</v>
      </c>
    </row>
    <row r="7377" spans="1:26" ht="12" customHeight="1" outlineLevel="3" x14ac:dyDescent="0.2">
      <c r="A7377" s="14" t="s">
        <v>14133</v>
      </c>
      <c r="B7377" s="26" t="s">
        <v>14134</v>
      </c>
      <c r="C7377" s="52"/>
      <c r="D7377" s="55">
        <f t="shared" si="115"/>
        <v>0</v>
      </c>
      <c r="E7377" s="63" t="str">
        <f>HYPERLINK("https://www.sds-group.ru/product/adapter-prohodnoy-ftp-rj-45-8p8c-cat-6-rexant-03-0109/", "Инфо")</f>
        <v>Инфо</v>
      </c>
      <c r="F7377" s="16" t="s">
        <v>39</v>
      </c>
      <c r="G7377" s="15"/>
      <c r="H7377" s="15"/>
      <c r="I7377" s="15"/>
      <c r="J7377" s="16" t="s">
        <v>100</v>
      </c>
      <c r="K7377" s="15" t="s">
        <v>6798</v>
      </c>
      <c r="L7377" s="17">
        <v>5</v>
      </c>
      <c r="M7377" s="17">
        <v>500</v>
      </c>
      <c r="N7377" s="17">
        <v>5</v>
      </c>
      <c r="O7377" s="18">
        <v>275.35000000000002</v>
      </c>
      <c r="P7377" s="18">
        <v>225.7</v>
      </c>
      <c r="Q7377" s="18">
        <v>275.35000000000002</v>
      </c>
      <c r="R7377" s="18">
        <v>225.7</v>
      </c>
      <c r="S7377" s="18">
        <v>165.21</v>
      </c>
      <c r="T7377" s="18">
        <v>135.41999999999999</v>
      </c>
      <c r="U7377" s="16"/>
      <c r="V7377" s="16"/>
      <c r="W7377" s="16" t="s">
        <v>40</v>
      </c>
      <c r="X7377" s="19">
        <v>1.6E-2</v>
      </c>
      <c r="Y7377" s="20">
        <v>8.3999999999999995E-5</v>
      </c>
      <c r="Z7377" s="21">
        <v>4601004238862</v>
      </c>
    </row>
    <row r="7378" spans="1:26" ht="12" customHeight="1" outlineLevel="3" x14ac:dyDescent="0.2">
      <c r="A7378" s="14" t="s">
        <v>14135</v>
      </c>
      <c r="B7378" s="26" t="s">
        <v>14136</v>
      </c>
      <c r="C7378" s="52"/>
      <c r="D7378" s="55">
        <f t="shared" si="115"/>
        <v>0</v>
      </c>
      <c r="E7378" s="63" t="str">
        <f>HYPERLINK("https://www.sds-group.ru/product/adapter-prohodnoy-utp-rj-45-8p8c-cat-6-rexant-03-0108/", "Инфо")</f>
        <v>Инфо</v>
      </c>
      <c r="F7378" s="16" t="s">
        <v>39</v>
      </c>
      <c r="G7378" s="15"/>
      <c r="H7378" s="15"/>
      <c r="I7378" s="15"/>
      <c r="J7378" s="17">
        <v>569</v>
      </c>
      <c r="K7378" s="15" t="s">
        <v>4020</v>
      </c>
      <c r="L7378" s="17">
        <v>10</v>
      </c>
      <c r="M7378" s="17">
        <v>500</v>
      </c>
      <c r="N7378" s="17">
        <v>10</v>
      </c>
      <c r="O7378" s="18">
        <v>167.37</v>
      </c>
      <c r="P7378" s="18">
        <v>137.19</v>
      </c>
      <c r="Q7378" s="18">
        <v>167.37</v>
      </c>
      <c r="R7378" s="18">
        <v>137.19</v>
      </c>
      <c r="S7378" s="18">
        <v>100.42</v>
      </c>
      <c r="T7378" s="18">
        <v>82.31</v>
      </c>
      <c r="U7378" s="16"/>
      <c r="V7378" s="16"/>
      <c r="W7378" s="16" t="s">
        <v>40</v>
      </c>
      <c r="X7378" s="19">
        <v>0.01</v>
      </c>
      <c r="Y7378" s="20">
        <v>5.7000000000000003E-5</v>
      </c>
      <c r="Z7378" s="21">
        <v>4601004238848</v>
      </c>
    </row>
    <row r="7379" spans="1:26" ht="12" customHeight="1" outlineLevel="3" x14ac:dyDescent="0.2">
      <c r="A7379" s="14" t="s">
        <v>14137</v>
      </c>
      <c r="B7379" s="26" t="s">
        <v>14138</v>
      </c>
      <c r="C7379" s="52"/>
      <c r="D7379" s="55">
        <f t="shared" si="115"/>
        <v>0</v>
      </c>
      <c r="E7379" s="63" t="str">
        <f>HYPERLINK("https://www.sds-group.ru/product/dvoynik-kompyuternyy-utp-rj-45-8p8c-gnezdo-2-gnezda-rexant-03-0103/", "Инфо")</f>
        <v>Инфо</v>
      </c>
      <c r="F7379" s="16" t="s">
        <v>39</v>
      </c>
      <c r="G7379" s="15"/>
      <c r="H7379" s="15"/>
      <c r="I7379" s="15"/>
      <c r="J7379" s="22">
        <v>2700</v>
      </c>
      <c r="K7379" s="15" t="s">
        <v>883</v>
      </c>
      <c r="L7379" s="17">
        <v>50</v>
      </c>
      <c r="M7379" s="22">
        <v>1000</v>
      </c>
      <c r="N7379" s="17">
        <v>50</v>
      </c>
      <c r="O7379" s="18">
        <v>91.11</v>
      </c>
      <c r="P7379" s="18">
        <v>74.680000000000007</v>
      </c>
      <c r="Q7379" s="18">
        <v>91.11</v>
      </c>
      <c r="R7379" s="18">
        <v>74.680000000000007</v>
      </c>
      <c r="S7379" s="18">
        <v>54.67</v>
      </c>
      <c r="T7379" s="18">
        <v>44.81</v>
      </c>
      <c r="U7379" s="16"/>
      <c r="V7379" s="16"/>
      <c r="W7379" s="16" t="s">
        <v>40</v>
      </c>
      <c r="X7379" s="19">
        <v>1.2999999999999999E-2</v>
      </c>
      <c r="Y7379" s="20">
        <v>7.1000000000000005E-5</v>
      </c>
      <c r="Z7379" s="21">
        <v>4610003602635</v>
      </c>
    </row>
    <row r="7380" spans="1:26" ht="12" customHeight="1" outlineLevel="3" x14ac:dyDescent="0.2">
      <c r="A7380" s="14" t="s">
        <v>14139</v>
      </c>
      <c r="B7380" s="26" t="s">
        <v>14140</v>
      </c>
      <c r="C7380" s="52"/>
      <c r="D7380" s="55">
        <f t="shared" si="115"/>
        <v>0</v>
      </c>
      <c r="E7380" s="63" t="str">
        <f>HYPERLINK("https://www.sds-group.ru/product/kross-soedinitelnyy-cat-5e-rexant-03-0104/", "Инфо")</f>
        <v>Инфо</v>
      </c>
      <c r="F7380" s="16" t="s">
        <v>39</v>
      </c>
      <c r="G7380" s="15"/>
      <c r="H7380" s="15"/>
      <c r="I7380" s="15"/>
      <c r="J7380" s="16" t="s">
        <v>100</v>
      </c>
      <c r="K7380" s="15" t="s">
        <v>6798</v>
      </c>
      <c r="L7380" s="17">
        <v>10</v>
      </c>
      <c r="M7380" s="17">
        <v>200</v>
      </c>
      <c r="N7380" s="17">
        <v>10</v>
      </c>
      <c r="O7380" s="18">
        <v>288.89999999999998</v>
      </c>
      <c r="P7380" s="18">
        <v>236.8</v>
      </c>
      <c r="Q7380" s="18">
        <v>288.89999999999998</v>
      </c>
      <c r="R7380" s="18">
        <v>236.8</v>
      </c>
      <c r="S7380" s="18">
        <v>173.34</v>
      </c>
      <c r="T7380" s="18">
        <v>142.08000000000001</v>
      </c>
      <c r="U7380" s="16"/>
      <c r="V7380" s="16"/>
      <c r="W7380" s="16" t="s">
        <v>40</v>
      </c>
      <c r="X7380" s="19">
        <v>5.7000000000000002E-2</v>
      </c>
      <c r="Y7380" s="20">
        <v>1.5100000000000001E-4</v>
      </c>
      <c r="Z7380" s="21">
        <v>4601004003149</v>
      </c>
    </row>
    <row r="7381" spans="1:26" ht="12.95" customHeight="1" outlineLevel="2" x14ac:dyDescent="0.2">
      <c r="A7381" s="76" t="s">
        <v>14141</v>
      </c>
      <c r="B7381" s="76"/>
      <c r="C7381" s="77"/>
      <c r="D7381" s="58"/>
      <c r="E7381" s="68"/>
      <c r="F7381" s="13"/>
      <c r="G7381" s="13"/>
      <c r="H7381" s="13"/>
      <c r="I7381" s="13"/>
      <c r="J7381" s="13"/>
      <c r="K7381" s="13"/>
      <c r="L7381" s="13"/>
      <c r="M7381" s="13"/>
      <c r="N7381" s="13"/>
      <c r="O7381" s="13"/>
      <c r="P7381" s="13"/>
      <c r="Q7381" s="13"/>
      <c r="R7381" s="13"/>
      <c r="S7381" s="13"/>
      <c r="T7381" s="13"/>
      <c r="U7381" s="13"/>
      <c r="V7381" s="13"/>
      <c r="W7381" s="13"/>
      <c r="X7381" s="13"/>
      <c r="Y7381" s="13"/>
      <c r="Z7381" s="13"/>
    </row>
    <row r="7382" spans="1:26" ht="12" customHeight="1" outlineLevel="3" x14ac:dyDescent="0.2">
      <c r="A7382" s="14" t="s">
        <v>14142</v>
      </c>
      <c r="B7382" s="26" t="s">
        <v>14143</v>
      </c>
      <c r="C7382" s="52"/>
      <c r="D7382" s="55">
        <f t="shared" si="115"/>
        <v>0</v>
      </c>
      <c r="E7382" s="63" t="str">
        <f>HYPERLINK("https://www.sds-group.ru/product/soedinitel-izolirovannyy-k-1-dlya-zhil-d-0-4-0-7mm-d-1-52mm-rexant-07-5401/", "Инфо")</f>
        <v>Инфо</v>
      </c>
      <c r="F7382" s="16" t="s">
        <v>39</v>
      </c>
      <c r="G7382" s="15"/>
      <c r="H7382" s="15"/>
      <c r="I7382" s="15"/>
      <c r="J7382" s="22">
        <v>1137250</v>
      </c>
      <c r="K7382" s="15" t="s">
        <v>6798</v>
      </c>
      <c r="L7382" s="17">
        <v>500</v>
      </c>
      <c r="M7382" s="22">
        <v>20000</v>
      </c>
      <c r="N7382" s="17">
        <v>500</v>
      </c>
      <c r="O7382" s="18">
        <v>4.1100000000000003</v>
      </c>
      <c r="P7382" s="18">
        <v>3.37</v>
      </c>
      <c r="Q7382" s="18">
        <v>4.1100000000000003</v>
      </c>
      <c r="R7382" s="18">
        <v>3.37</v>
      </c>
      <c r="S7382" s="18">
        <v>2.4700000000000002</v>
      </c>
      <c r="T7382" s="18">
        <v>2.02</v>
      </c>
      <c r="U7382" s="16"/>
      <c r="V7382" s="16"/>
      <c r="W7382" s="16" t="s">
        <v>40</v>
      </c>
      <c r="X7382" s="19">
        <v>1E-3</v>
      </c>
      <c r="Y7382" s="20">
        <v>1.9999999999999999E-6</v>
      </c>
      <c r="Z7382" s="21">
        <v>4601004062689</v>
      </c>
    </row>
    <row r="7383" spans="1:26" ht="12" customHeight="1" outlineLevel="3" x14ac:dyDescent="0.2">
      <c r="A7383" s="14" t="s">
        <v>14144</v>
      </c>
      <c r="B7383" s="26" t="s">
        <v>14145</v>
      </c>
      <c r="C7383" s="52"/>
      <c r="D7383" s="55">
        <f t="shared" si="115"/>
        <v>0</v>
      </c>
      <c r="E7383" s="63" t="str">
        <f>HYPERLINK("https://www.sds-group.ru/product/soedinitel-izolirovannyy-k-2-dlya-zhil-d-0-4-0-9mm-d-2-08mm-rexant-07-5402/", "Инфо")</f>
        <v>Инфо</v>
      </c>
      <c r="F7383" s="16" t="s">
        <v>39</v>
      </c>
      <c r="G7383" s="15"/>
      <c r="H7383" s="15"/>
      <c r="I7383" s="15"/>
      <c r="J7383" s="22">
        <v>326300</v>
      </c>
      <c r="K7383" s="15" t="s">
        <v>6798</v>
      </c>
      <c r="L7383" s="17">
        <v>100</v>
      </c>
      <c r="M7383" s="22">
        <v>10000</v>
      </c>
      <c r="N7383" s="17">
        <v>100</v>
      </c>
      <c r="O7383" s="18">
        <v>6.99</v>
      </c>
      <c r="P7383" s="18">
        <v>5.73</v>
      </c>
      <c r="Q7383" s="18">
        <v>6.99</v>
      </c>
      <c r="R7383" s="18">
        <v>5.73</v>
      </c>
      <c r="S7383" s="18">
        <v>4.1900000000000004</v>
      </c>
      <c r="T7383" s="18">
        <v>3.43</v>
      </c>
      <c r="U7383" s="16"/>
      <c r="V7383" s="16"/>
      <c r="W7383" s="16" t="s">
        <v>40</v>
      </c>
      <c r="X7383" s="19">
        <v>1E-3</v>
      </c>
      <c r="Y7383" s="20">
        <v>1.9999999999999999E-6</v>
      </c>
      <c r="Z7383" s="21">
        <v>4660008011901</v>
      </c>
    </row>
    <row r="7384" spans="1:26" ht="12" customHeight="1" outlineLevel="3" x14ac:dyDescent="0.2">
      <c r="A7384" s="14" t="s">
        <v>14146</v>
      </c>
      <c r="B7384" s="26" t="s">
        <v>14147</v>
      </c>
      <c r="C7384" s="52"/>
      <c r="D7384" s="55">
        <f t="shared" si="115"/>
        <v>0</v>
      </c>
      <c r="E7384" s="63" t="str">
        <f>HYPERLINK("https://www.sds-group.ru/product/soedinitel-izolirovannyy-k-3-dlya-zhil-d-0-4-0-9mm-d-1-67mm-rexant-07-5403/", "Инфо")</f>
        <v>Инфо</v>
      </c>
      <c r="F7384" s="16" t="s">
        <v>39</v>
      </c>
      <c r="G7384" s="15"/>
      <c r="H7384" s="15"/>
      <c r="I7384" s="15"/>
      <c r="J7384" s="22">
        <v>54700</v>
      </c>
      <c r="K7384" s="15" t="s">
        <v>940</v>
      </c>
      <c r="L7384" s="17">
        <v>100</v>
      </c>
      <c r="M7384" s="22">
        <v>10000</v>
      </c>
      <c r="N7384" s="17">
        <v>100</v>
      </c>
      <c r="O7384" s="18">
        <v>12.01</v>
      </c>
      <c r="P7384" s="18">
        <v>9.84</v>
      </c>
      <c r="Q7384" s="18">
        <v>12.01</v>
      </c>
      <c r="R7384" s="18">
        <v>9.84</v>
      </c>
      <c r="S7384" s="18">
        <v>7.21</v>
      </c>
      <c r="T7384" s="18">
        <v>5.91</v>
      </c>
      <c r="U7384" s="16"/>
      <c r="V7384" s="16"/>
      <c r="W7384" s="16" t="s">
        <v>40</v>
      </c>
      <c r="X7384" s="19">
        <v>1E-3</v>
      </c>
      <c r="Y7384" s="20">
        <v>3.0000000000000001E-6</v>
      </c>
      <c r="Z7384" s="21">
        <v>4601004062696</v>
      </c>
    </row>
    <row r="7385" spans="1:26" ht="12.95" customHeight="1" outlineLevel="2" x14ac:dyDescent="0.2">
      <c r="A7385" s="76" t="s">
        <v>14148</v>
      </c>
      <c r="B7385" s="76"/>
      <c r="C7385" s="77"/>
      <c r="D7385" s="58"/>
      <c r="E7385" s="68"/>
      <c r="F7385" s="13"/>
      <c r="G7385" s="13"/>
      <c r="H7385" s="13"/>
      <c r="I7385" s="13"/>
      <c r="J7385" s="13"/>
      <c r="K7385" s="13"/>
      <c r="L7385" s="13"/>
      <c r="M7385" s="13"/>
      <c r="N7385" s="13"/>
      <c r="O7385" s="13"/>
      <c r="P7385" s="13"/>
      <c r="Q7385" s="13"/>
      <c r="R7385" s="13"/>
      <c r="S7385" s="13"/>
      <c r="T7385" s="13"/>
      <c r="U7385" s="13"/>
      <c r="V7385" s="13"/>
      <c r="W7385" s="13"/>
      <c r="X7385" s="13"/>
      <c r="Y7385" s="13"/>
      <c r="Z7385" s="13"/>
    </row>
    <row r="7386" spans="1:26" ht="12" customHeight="1" outlineLevel="3" x14ac:dyDescent="0.2">
      <c r="A7386" s="14" t="s">
        <v>14149</v>
      </c>
      <c r="B7386" s="26" t="s">
        <v>14150</v>
      </c>
      <c r="C7386" s="52"/>
      <c r="D7386" s="55">
        <f t="shared" si="115"/>
        <v>0</v>
      </c>
      <c r="E7386" s="63" t="str">
        <f>HYPERLINK("https://www.sds-group.ru/product/industrialnyy-prohodnoy-adapter-ulichnyy-rj-45-8p8c-stp-cat-6-ip68-rexant-02-0283/", "Инфо")</f>
        <v>Инфо</v>
      </c>
      <c r="F7386" s="16" t="s">
        <v>39</v>
      </c>
      <c r="G7386" s="15"/>
      <c r="H7386" s="15"/>
      <c r="I7386" s="15"/>
      <c r="J7386" s="16" t="s">
        <v>100</v>
      </c>
      <c r="K7386" s="15" t="s">
        <v>1055</v>
      </c>
      <c r="L7386" s="17">
        <v>1</v>
      </c>
      <c r="M7386" s="17">
        <v>200</v>
      </c>
      <c r="N7386" s="17">
        <v>1</v>
      </c>
      <c r="O7386" s="18">
        <v>1819.66</v>
      </c>
      <c r="P7386" s="18">
        <v>1491.52</v>
      </c>
      <c r="Q7386" s="18">
        <v>1819.66</v>
      </c>
      <c r="R7386" s="18">
        <v>1491.52</v>
      </c>
      <c r="S7386" s="18">
        <v>1091.8</v>
      </c>
      <c r="T7386" s="18">
        <v>894.92</v>
      </c>
      <c r="U7386" s="16"/>
      <c r="V7386" s="16"/>
      <c r="W7386" s="16" t="s">
        <v>40</v>
      </c>
      <c r="X7386" s="19">
        <v>5.6000000000000001E-2</v>
      </c>
      <c r="Y7386" s="20">
        <v>1.95E-4</v>
      </c>
      <c r="Z7386" s="21">
        <v>4601004276123</v>
      </c>
    </row>
    <row r="7387" spans="1:26" ht="12" customHeight="1" outlineLevel="3" x14ac:dyDescent="0.2">
      <c r="A7387" s="32" t="s">
        <v>14151</v>
      </c>
      <c r="B7387" s="74" t="s">
        <v>14152</v>
      </c>
      <c r="C7387" s="50"/>
      <c r="D7387" s="53">
        <f t="shared" si="115"/>
        <v>0</v>
      </c>
      <c r="E7387" s="60" t="str">
        <f>HYPERLINK("https://www.sds-group.ru/product/industrialnyy-soedinitelnyy-modul-rj-45-8p8c-stp-cat-6-ip68-s-zaschitnym-kolpachkom-dlya-kab-02-0285/", "Инфо")</f>
        <v>Инфо</v>
      </c>
      <c r="F7387" s="34" t="s">
        <v>39</v>
      </c>
      <c r="G7387" s="33"/>
      <c r="H7387" s="33" t="s">
        <v>40</v>
      </c>
      <c r="I7387" s="33"/>
      <c r="J7387" s="35">
        <v>16</v>
      </c>
      <c r="K7387" s="33"/>
      <c r="L7387" s="35">
        <v>1</v>
      </c>
      <c r="M7387" s="35">
        <v>1</v>
      </c>
      <c r="N7387" s="35">
        <v>1</v>
      </c>
      <c r="O7387" s="36">
        <v>1184.19</v>
      </c>
      <c r="P7387" s="36">
        <v>970.65</v>
      </c>
      <c r="Q7387" s="36">
        <v>1184.19</v>
      </c>
      <c r="R7387" s="36">
        <v>970.65</v>
      </c>
      <c r="S7387" s="36">
        <v>710.51</v>
      </c>
      <c r="T7387" s="36">
        <v>582.39</v>
      </c>
      <c r="U7387" s="34"/>
      <c r="V7387" s="34"/>
      <c r="W7387" s="34" t="s">
        <v>40</v>
      </c>
      <c r="X7387" s="37">
        <v>2.7E-2</v>
      </c>
      <c r="Y7387" s="38">
        <v>1.8100000000000001E-4</v>
      </c>
      <c r="Z7387" s="21">
        <v>4601004276147</v>
      </c>
    </row>
    <row r="7388" spans="1:26" ht="12" customHeight="1" outlineLevel="3" x14ac:dyDescent="0.2">
      <c r="A7388" s="32" t="s">
        <v>14153</v>
      </c>
      <c r="B7388" s="74" t="s">
        <v>14154</v>
      </c>
      <c r="C7388" s="50"/>
      <c r="D7388" s="53">
        <f t="shared" si="115"/>
        <v>0</v>
      </c>
      <c r="E7388" s="60" t="str">
        <f>HYPERLINK("https://www.sds-group.ru/product/industrialnyy-soedinitelnyy-modul-rj-45-8p8c-stp-cat-6-ip68-rexant-02-0284/", "Инфо")</f>
        <v>Инфо</v>
      </c>
      <c r="F7388" s="34" t="s">
        <v>39</v>
      </c>
      <c r="G7388" s="33"/>
      <c r="H7388" s="33" t="s">
        <v>40</v>
      </c>
      <c r="I7388" s="33"/>
      <c r="J7388" s="35">
        <v>63</v>
      </c>
      <c r="K7388" s="33"/>
      <c r="L7388" s="35">
        <v>1</v>
      </c>
      <c r="M7388" s="35">
        <v>150</v>
      </c>
      <c r="N7388" s="35">
        <v>1</v>
      </c>
      <c r="O7388" s="36">
        <v>1536.69</v>
      </c>
      <c r="P7388" s="36">
        <v>1259.58</v>
      </c>
      <c r="Q7388" s="36">
        <v>1536.69</v>
      </c>
      <c r="R7388" s="36">
        <v>1259.58</v>
      </c>
      <c r="S7388" s="36">
        <v>922.01</v>
      </c>
      <c r="T7388" s="36">
        <v>755.75</v>
      </c>
      <c r="U7388" s="34"/>
      <c r="V7388" s="34"/>
      <c r="W7388" s="34" t="s">
        <v>40</v>
      </c>
      <c r="X7388" s="37">
        <v>4.8000000000000001E-2</v>
      </c>
      <c r="Y7388" s="38">
        <v>2.6699999999999998E-4</v>
      </c>
      <c r="Z7388" s="21">
        <v>4601004276130</v>
      </c>
    </row>
    <row r="7389" spans="1:26" ht="12.95" customHeight="1" outlineLevel="1" x14ac:dyDescent="0.2">
      <c r="A7389" s="78" t="s">
        <v>14155</v>
      </c>
      <c r="B7389" s="78"/>
      <c r="C7389" s="79"/>
      <c r="D7389" s="57"/>
      <c r="E7389" s="67"/>
      <c r="F7389" s="12"/>
      <c r="G7389" s="12"/>
      <c r="H7389" s="12"/>
      <c r="I7389" s="12"/>
      <c r="J7389" s="12"/>
      <c r="K7389" s="12"/>
      <c r="L7389" s="12"/>
      <c r="M7389" s="12"/>
      <c r="N7389" s="12"/>
      <c r="O7389" s="12"/>
      <c r="P7389" s="12"/>
      <c r="Q7389" s="12"/>
      <c r="R7389" s="12"/>
      <c r="S7389" s="12"/>
      <c r="T7389" s="12"/>
      <c r="U7389" s="12"/>
      <c r="V7389" s="12"/>
      <c r="W7389" s="12"/>
      <c r="X7389" s="12"/>
      <c r="Y7389" s="12"/>
      <c r="Z7389" s="12"/>
    </row>
    <row r="7390" spans="1:26" ht="12.95" customHeight="1" outlineLevel="2" x14ac:dyDescent="0.2">
      <c r="A7390" s="76" t="s">
        <v>14156</v>
      </c>
      <c r="B7390" s="76"/>
      <c r="C7390" s="77"/>
      <c r="D7390" s="58"/>
      <c r="E7390" s="68"/>
      <c r="F7390" s="13"/>
      <c r="G7390" s="13"/>
      <c r="H7390" s="13"/>
      <c r="I7390" s="13"/>
      <c r="J7390" s="13"/>
      <c r="K7390" s="13"/>
      <c r="L7390" s="13"/>
      <c r="M7390" s="13"/>
      <c r="N7390" s="13"/>
      <c r="O7390" s="13"/>
      <c r="P7390" s="13"/>
      <c r="Q7390" s="13"/>
      <c r="R7390" s="13"/>
      <c r="S7390" s="13"/>
      <c r="T7390" s="13"/>
      <c r="U7390" s="13"/>
      <c r="V7390" s="13"/>
      <c r="W7390" s="13"/>
      <c r="X7390" s="13"/>
      <c r="Y7390" s="13"/>
      <c r="Z7390" s="13"/>
    </row>
    <row r="7391" spans="1:26" ht="12" customHeight="1" outlineLevel="3" x14ac:dyDescent="0.2">
      <c r="A7391" s="14" t="s">
        <v>14157</v>
      </c>
      <c r="B7391" s="26" t="s">
        <v>14158</v>
      </c>
      <c r="C7391" s="52"/>
      <c r="D7391" s="55">
        <f t="shared" si="115"/>
        <v>0</v>
      </c>
      <c r="E7391" s="63" t="str">
        <f>HYPERLINK("https://www.sds-group.ru/product/rozetka-setevaya-lan-na-stenu-1-gnezdo-8r8s-rj-45-cat-5e-rexant-06-0104-B/", "Инфо")</f>
        <v>Инфо</v>
      </c>
      <c r="F7391" s="16" t="s">
        <v>39</v>
      </c>
      <c r="G7391" s="15"/>
      <c r="H7391" s="15"/>
      <c r="I7391" s="15"/>
      <c r="J7391" s="17">
        <v>253</v>
      </c>
      <c r="K7391" s="15"/>
      <c r="L7391" s="17">
        <v>5</v>
      </c>
      <c r="M7391" s="17">
        <v>10</v>
      </c>
      <c r="N7391" s="17">
        <v>5</v>
      </c>
      <c r="O7391" s="18">
        <v>310.61</v>
      </c>
      <c r="P7391" s="18">
        <v>254.6</v>
      </c>
      <c r="Q7391" s="18">
        <v>310.61</v>
      </c>
      <c r="R7391" s="18">
        <v>254.6</v>
      </c>
      <c r="S7391" s="18">
        <v>186.37</v>
      </c>
      <c r="T7391" s="18">
        <v>152.76</v>
      </c>
      <c r="U7391" s="16"/>
      <c r="V7391" s="16"/>
      <c r="W7391" s="16" t="s">
        <v>40</v>
      </c>
      <c r="X7391" s="19">
        <v>4.1000000000000002E-2</v>
      </c>
      <c r="Y7391" s="20">
        <v>2.9100000000000003E-4</v>
      </c>
      <c r="Z7391" s="21">
        <v>4601004122383</v>
      </c>
    </row>
    <row r="7392" spans="1:26" ht="12" customHeight="1" outlineLevel="3" x14ac:dyDescent="0.2">
      <c r="A7392" s="14" t="s">
        <v>14159</v>
      </c>
      <c r="B7392" s="26" t="s">
        <v>14160</v>
      </c>
      <c r="C7392" s="52"/>
      <c r="D7392" s="55">
        <f t="shared" si="115"/>
        <v>0</v>
      </c>
      <c r="E7392" s="63" t="str">
        <f>HYPERLINK("https://www.sds-group.ru/product/rozetka-setevaya-lan-na-stenu-2-gnezdo-8r8s-rj-45-cat-5e-rexant-06-0105-C/", "Инфо")</f>
        <v>Инфо</v>
      </c>
      <c r="F7392" s="16" t="s">
        <v>39</v>
      </c>
      <c r="G7392" s="15"/>
      <c r="H7392" s="15"/>
      <c r="I7392" s="15"/>
      <c r="J7392" s="17">
        <v>159</v>
      </c>
      <c r="K7392" s="15"/>
      <c r="L7392" s="17">
        <v>5</v>
      </c>
      <c r="M7392" s="17">
        <v>10</v>
      </c>
      <c r="N7392" s="17">
        <v>5</v>
      </c>
      <c r="O7392" s="18">
        <v>498.94</v>
      </c>
      <c r="P7392" s="18">
        <v>408.97</v>
      </c>
      <c r="Q7392" s="18">
        <v>498.94</v>
      </c>
      <c r="R7392" s="18">
        <v>408.97</v>
      </c>
      <c r="S7392" s="18">
        <v>299.36</v>
      </c>
      <c r="T7392" s="18">
        <v>245.38</v>
      </c>
      <c r="U7392" s="16"/>
      <c r="V7392" s="16"/>
      <c r="W7392" s="16" t="s">
        <v>40</v>
      </c>
      <c r="X7392" s="19">
        <v>0.06</v>
      </c>
      <c r="Y7392" s="20">
        <v>3.7300000000000001E-4</v>
      </c>
      <c r="Z7392" s="21">
        <v>4601004122390</v>
      </c>
    </row>
    <row r="7393" spans="1:26" ht="12.95" customHeight="1" outlineLevel="2" x14ac:dyDescent="0.2">
      <c r="A7393" s="76" t="s">
        <v>14161</v>
      </c>
      <c r="B7393" s="76"/>
      <c r="C7393" s="77"/>
      <c r="D7393" s="58"/>
      <c r="E7393" s="68"/>
      <c r="F7393" s="13"/>
      <c r="G7393" s="13"/>
      <c r="H7393" s="13"/>
      <c r="I7393" s="13"/>
      <c r="J7393" s="13"/>
      <c r="K7393" s="13"/>
      <c r="L7393" s="13"/>
      <c r="M7393" s="13"/>
      <c r="N7393" s="13"/>
      <c r="O7393" s="13"/>
      <c r="P7393" s="13"/>
      <c r="Q7393" s="13"/>
      <c r="R7393" s="13"/>
      <c r="S7393" s="13"/>
      <c r="T7393" s="13"/>
      <c r="U7393" s="13"/>
      <c r="V7393" s="13"/>
      <c r="W7393" s="13"/>
      <c r="X7393" s="13"/>
      <c r="Y7393" s="13"/>
      <c r="Z7393" s="13"/>
    </row>
    <row r="7394" spans="1:26" ht="12" customHeight="1" outlineLevel="3" x14ac:dyDescent="0.2">
      <c r="A7394" s="32" t="s">
        <v>14162</v>
      </c>
      <c r="B7394" s="74" t="s">
        <v>14163</v>
      </c>
      <c r="C7394" s="50"/>
      <c r="D7394" s="53">
        <f t="shared" si="115"/>
        <v>0</v>
      </c>
      <c r="E7394" s="60" t="str">
        <f>HYPERLINK("https://www.sds-group.ru/product/kolpachok-zaschitniy-dlya-shtekera-8r8s-rj-45-seriy-5sht-rexant-18143/", "Инфо")</f>
        <v>Инфо</v>
      </c>
      <c r="F7394" s="34" t="s">
        <v>1001</v>
      </c>
      <c r="G7394" s="33"/>
      <c r="H7394" s="33" t="s">
        <v>40</v>
      </c>
      <c r="I7394" s="33"/>
      <c r="J7394" s="34" t="s">
        <v>100</v>
      </c>
      <c r="K7394" s="33"/>
      <c r="L7394" s="35">
        <v>1</v>
      </c>
      <c r="M7394" s="35">
        <v>10</v>
      </c>
      <c r="N7394" s="35">
        <v>1</v>
      </c>
      <c r="O7394" s="36">
        <v>71.67</v>
      </c>
      <c r="P7394" s="36">
        <v>58.75</v>
      </c>
      <c r="Q7394" s="36">
        <v>50.17</v>
      </c>
      <c r="R7394" s="36">
        <v>41.12</v>
      </c>
      <c r="S7394" s="36">
        <v>43</v>
      </c>
      <c r="T7394" s="36">
        <v>35.25</v>
      </c>
      <c r="U7394" s="34"/>
      <c r="V7394" s="34"/>
      <c r="W7394" s="34"/>
      <c r="X7394" s="37">
        <v>1.4E-2</v>
      </c>
      <c r="Y7394" s="38">
        <v>1.4300000000000001E-4</v>
      </c>
      <c r="Z7394" s="21">
        <v>4601004122338</v>
      </c>
    </row>
    <row r="7395" spans="1:26" ht="12" customHeight="1" outlineLevel="3" x14ac:dyDescent="0.2">
      <c r="A7395" s="14" t="s">
        <v>14164</v>
      </c>
      <c r="B7395" s="26" t="s">
        <v>14165</v>
      </c>
      <c r="C7395" s="52"/>
      <c r="D7395" s="55">
        <f t="shared" si="115"/>
        <v>0</v>
      </c>
      <c r="E7395" s="63" t="str">
        <f>HYPERLINK("https://www.sds-group.ru/product/razem-rj-45-8p8c-pod-vituyu-paru-ftp-cat-5e-paket-5sht-proconnect-05-1023-9/", "Инфо")</f>
        <v>Инфо</v>
      </c>
      <c r="F7395" s="16" t="s">
        <v>1001</v>
      </c>
      <c r="G7395" s="15"/>
      <c r="H7395" s="15"/>
      <c r="I7395" s="15"/>
      <c r="J7395" s="16" t="s">
        <v>100</v>
      </c>
      <c r="K7395" s="15"/>
      <c r="L7395" s="17">
        <v>10</v>
      </c>
      <c r="M7395" s="17">
        <v>50</v>
      </c>
      <c r="N7395" s="17">
        <v>10</v>
      </c>
      <c r="O7395" s="18">
        <v>159.93</v>
      </c>
      <c r="P7395" s="18">
        <v>131.09</v>
      </c>
      <c r="Q7395" s="18">
        <v>159.93</v>
      </c>
      <c r="R7395" s="18">
        <v>131.09</v>
      </c>
      <c r="S7395" s="18">
        <v>92.76</v>
      </c>
      <c r="T7395" s="18">
        <v>76.03</v>
      </c>
      <c r="U7395" s="16"/>
      <c r="V7395" s="16"/>
      <c r="W7395" s="16" t="s">
        <v>40</v>
      </c>
      <c r="X7395" s="19">
        <v>1.4E-2</v>
      </c>
      <c r="Y7395" s="20">
        <v>5.0000000000000002E-5</v>
      </c>
      <c r="Z7395" s="21">
        <v>4601004050037</v>
      </c>
    </row>
    <row r="7396" spans="1:26" ht="12" customHeight="1" outlineLevel="3" x14ac:dyDescent="0.2">
      <c r="A7396" s="40" t="s">
        <v>14166</v>
      </c>
      <c r="B7396" s="75" t="s">
        <v>14167</v>
      </c>
      <c r="C7396" s="51"/>
      <c r="D7396" s="54">
        <f t="shared" si="115"/>
        <v>0</v>
      </c>
      <c r="E7396" s="62"/>
      <c r="F7396" s="42" t="s">
        <v>2709</v>
      </c>
      <c r="G7396" s="41" t="s">
        <v>40</v>
      </c>
      <c r="H7396" s="41"/>
      <c r="I7396" s="41"/>
      <c r="J7396" s="47">
        <v>1182</v>
      </c>
      <c r="K7396" s="41"/>
      <c r="L7396" s="43">
        <v>10</v>
      </c>
      <c r="M7396" s="43">
        <v>10</v>
      </c>
      <c r="N7396" s="43">
        <v>10</v>
      </c>
      <c r="O7396" s="44">
        <v>131.44</v>
      </c>
      <c r="P7396" s="44">
        <v>107.74</v>
      </c>
      <c r="Q7396" s="44">
        <v>116.98</v>
      </c>
      <c r="R7396" s="44">
        <v>95.89</v>
      </c>
      <c r="S7396" s="44">
        <v>89.38</v>
      </c>
      <c r="T7396" s="44">
        <v>73.260000000000005</v>
      </c>
      <c r="U7396" s="42"/>
      <c r="V7396" s="42"/>
      <c r="W7396" s="42" t="s">
        <v>40</v>
      </c>
      <c r="X7396" s="45">
        <v>0.01</v>
      </c>
      <c r="Y7396" s="46">
        <v>1.4899999999999999E-4</v>
      </c>
      <c r="Z7396" s="21">
        <v>4601004350137</v>
      </c>
    </row>
    <row r="7397" spans="1:26" ht="12" customHeight="1" outlineLevel="3" x14ac:dyDescent="0.2">
      <c r="A7397" s="14" t="s">
        <v>14168</v>
      </c>
      <c r="B7397" s="26" t="s">
        <v>14169</v>
      </c>
      <c r="C7397" s="52"/>
      <c r="D7397" s="55">
        <f t="shared" si="115"/>
        <v>0</v>
      </c>
      <c r="E7397" s="63" t="str">
        <f>HYPERLINK("https://www.sds-group.ru/product/razem-rj-45-8p8c-pod-vituyu-paru-utp-cat-5e-15-15-mikrodyuymov-paket-5sht-proconnect-05-1021-3-9/", "Инфо")</f>
        <v>Инфо</v>
      </c>
      <c r="F7397" s="16" t="s">
        <v>1001</v>
      </c>
      <c r="G7397" s="15"/>
      <c r="H7397" s="15"/>
      <c r="I7397" s="15"/>
      <c r="J7397" s="16" t="s">
        <v>100</v>
      </c>
      <c r="K7397" s="15"/>
      <c r="L7397" s="17">
        <v>10</v>
      </c>
      <c r="M7397" s="17">
        <v>50</v>
      </c>
      <c r="N7397" s="17">
        <v>10</v>
      </c>
      <c r="O7397" s="18">
        <v>62.95</v>
      </c>
      <c r="P7397" s="18">
        <v>51.6</v>
      </c>
      <c r="Q7397" s="18">
        <v>62.95</v>
      </c>
      <c r="R7397" s="18">
        <v>51.6</v>
      </c>
      <c r="S7397" s="18">
        <v>36.51</v>
      </c>
      <c r="T7397" s="18">
        <v>29.93</v>
      </c>
      <c r="U7397" s="16"/>
      <c r="V7397" s="16"/>
      <c r="W7397" s="16" t="s">
        <v>40</v>
      </c>
      <c r="X7397" s="19">
        <v>1.0999999999999999E-2</v>
      </c>
      <c r="Y7397" s="20">
        <v>1.03E-4</v>
      </c>
      <c r="Z7397" s="21">
        <v>4601004049222</v>
      </c>
    </row>
    <row r="7398" spans="1:26" ht="12" customHeight="1" outlineLevel="3" x14ac:dyDescent="0.2">
      <c r="A7398" s="14" t="s">
        <v>14170</v>
      </c>
      <c r="B7398" s="26" t="s">
        <v>14171</v>
      </c>
      <c r="C7398" s="52"/>
      <c r="D7398" s="55">
        <f t="shared" si="115"/>
        <v>0</v>
      </c>
      <c r="E7398" s="63" t="str">
        <f>HYPERLINK("https://www.sds-group.ru/product/razem-setevoy-lan-na-kabel-shteker-8r8s-rj-45-pod-obzhim-2sht-rexant-06-0081-A2/", "Инфо")</f>
        <v>Инфо</v>
      </c>
      <c r="F7398" s="16" t="s">
        <v>1001</v>
      </c>
      <c r="G7398" s="15"/>
      <c r="H7398" s="15"/>
      <c r="I7398" s="15"/>
      <c r="J7398" s="17">
        <v>578</v>
      </c>
      <c r="K7398" s="15"/>
      <c r="L7398" s="17">
        <v>10</v>
      </c>
      <c r="M7398" s="17">
        <v>10</v>
      </c>
      <c r="N7398" s="17">
        <v>10</v>
      </c>
      <c r="O7398" s="18">
        <v>50.2</v>
      </c>
      <c r="P7398" s="18">
        <v>41.15</v>
      </c>
      <c r="Q7398" s="18">
        <v>50.2</v>
      </c>
      <c r="R7398" s="18">
        <v>41.15</v>
      </c>
      <c r="S7398" s="18">
        <v>30.12</v>
      </c>
      <c r="T7398" s="18">
        <v>24.69</v>
      </c>
      <c r="U7398" s="16"/>
      <c r="V7398" s="16"/>
      <c r="W7398" s="16" t="s">
        <v>40</v>
      </c>
      <c r="X7398" s="19">
        <v>1.0999999999999999E-2</v>
      </c>
      <c r="Y7398" s="20">
        <v>1.6899999999999999E-4</v>
      </c>
      <c r="Z7398" s="21">
        <v>4601004122277</v>
      </c>
    </row>
    <row r="7399" spans="1:26" ht="12" customHeight="1" outlineLevel="3" x14ac:dyDescent="0.2">
      <c r="A7399" s="14" t="s">
        <v>14172</v>
      </c>
      <c r="B7399" s="26" t="s">
        <v>14173</v>
      </c>
      <c r="C7399" s="52"/>
      <c r="D7399" s="55">
        <f t="shared" si="115"/>
        <v>0</v>
      </c>
      <c r="E7399" s="63" t="str">
        <f>HYPERLINK("https://www.sds-group.ru/product/razem-setevoy-lan-na-kabel-shteker-8r8s-rj-45-pod-obzhim-v-ekrane-10sht-rexant-06-0082-A10/", "Инфо")</f>
        <v>Инфо</v>
      </c>
      <c r="F7399" s="16" t="s">
        <v>1001</v>
      </c>
      <c r="G7399" s="15"/>
      <c r="H7399" s="15"/>
      <c r="I7399" s="15"/>
      <c r="J7399" s="17">
        <v>638</v>
      </c>
      <c r="K7399" s="15"/>
      <c r="L7399" s="17">
        <v>5</v>
      </c>
      <c r="M7399" s="17">
        <v>10</v>
      </c>
      <c r="N7399" s="17">
        <v>5</v>
      </c>
      <c r="O7399" s="18">
        <v>236.23</v>
      </c>
      <c r="P7399" s="18">
        <v>193.63</v>
      </c>
      <c r="Q7399" s="18">
        <v>236.23</v>
      </c>
      <c r="R7399" s="18">
        <v>193.63</v>
      </c>
      <c r="S7399" s="18">
        <v>141.74</v>
      </c>
      <c r="T7399" s="18">
        <v>116.18</v>
      </c>
      <c r="U7399" s="16"/>
      <c r="V7399" s="16"/>
      <c r="W7399" s="16" t="s">
        <v>40</v>
      </c>
      <c r="X7399" s="19">
        <v>3.1E-2</v>
      </c>
      <c r="Y7399" s="20">
        <v>1.46E-4</v>
      </c>
      <c r="Z7399" s="21">
        <v>4601004156258</v>
      </c>
    </row>
    <row r="7400" spans="1:26" ht="12" customHeight="1" outlineLevel="3" x14ac:dyDescent="0.2">
      <c r="A7400" s="14" t="s">
        <v>14174</v>
      </c>
      <c r="B7400" s="26" t="s">
        <v>14175</v>
      </c>
      <c r="C7400" s="52"/>
      <c r="D7400" s="55">
        <f t="shared" si="115"/>
        <v>0</v>
      </c>
      <c r="E7400" s="63" t="str">
        <f>HYPERLINK("https://www.sds-group.ru/product/soedinitel-dlya-zhil-izolirovannyy-k-2-d-0-4-0-9mm-d-2-08mm-5-sht-up-rexant-06-0088-A5/", "Инфо")</f>
        <v>Инфо</v>
      </c>
      <c r="F7400" s="16" t="s">
        <v>1001</v>
      </c>
      <c r="G7400" s="15"/>
      <c r="H7400" s="15"/>
      <c r="I7400" s="15"/>
      <c r="J7400" s="17">
        <v>540</v>
      </c>
      <c r="K7400" s="15"/>
      <c r="L7400" s="17">
        <v>10</v>
      </c>
      <c r="M7400" s="17">
        <v>10</v>
      </c>
      <c r="N7400" s="17">
        <v>10</v>
      </c>
      <c r="O7400" s="18">
        <v>82.82</v>
      </c>
      <c r="P7400" s="18">
        <v>67.89</v>
      </c>
      <c r="Q7400" s="18">
        <v>82.82</v>
      </c>
      <c r="R7400" s="18">
        <v>67.89</v>
      </c>
      <c r="S7400" s="18">
        <v>49.69</v>
      </c>
      <c r="T7400" s="18">
        <v>40.729999999999997</v>
      </c>
      <c r="U7400" s="16"/>
      <c r="V7400" s="16"/>
      <c r="W7400" s="16" t="s">
        <v>40</v>
      </c>
      <c r="X7400" s="19">
        <v>0.01</v>
      </c>
      <c r="Y7400" s="20">
        <v>1.6100000000000001E-4</v>
      </c>
      <c r="Z7400" s="21">
        <v>4601004122345</v>
      </c>
    </row>
    <row r="7401" spans="1:26" ht="12.95" customHeight="1" outlineLevel="2" x14ac:dyDescent="0.2">
      <c r="A7401" s="76" t="s">
        <v>14176</v>
      </c>
      <c r="B7401" s="76"/>
      <c r="C7401" s="77"/>
      <c r="D7401" s="58"/>
      <c r="E7401" s="68"/>
      <c r="F7401" s="13"/>
      <c r="G7401" s="13"/>
      <c r="H7401" s="13"/>
      <c r="I7401" s="13"/>
      <c r="J7401" s="13"/>
      <c r="K7401" s="13"/>
      <c r="L7401" s="13"/>
      <c r="M7401" s="13"/>
      <c r="N7401" s="13"/>
      <c r="O7401" s="13"/>
      <c r="P7401" s="13"/>
      <c r="Q7401" s="13"/>
      <c r="R7401" s="13"/>
      <c r="S7401" s="13"/>
      <c r="T7401" s="13"/>
      <c r="U7401" s="13"/>
      <c r="V7401" s="13"/>
      <c r="W7401" s="13"/>
      <c r="X7401" s="13"/>
      <c r="Y7401" s="13"/>
      <c r="Z7401" s="13"/>
    </row>
    <row r="7402" spans="1:26" ht="12" customHeight="1" outlineLevel="3" x14ac:dyDescent="0.2">
      <c r="A7402" s="14" t="s">
        <v>14177</v>
      </c>
      <c r="B7402" s="26" t="s">
        <v>14178</v>
      </c>
      <c r="C7402" s="52"/>
      <c r="D7402" s="55">
        <f t="shared" si="115"/>
        <v>0</v>
      </c>
      <c r="E7402" s="63" t="str">
        <f>HYPERLINK("https://www.sds-group.ru/product/adapter-prohodnoy-rj-45-8p8c-utp-cat-5e-proconnect-03-0101-9/", "Инфо")</f>
        <v>Инфо</v>
      </c>
      <c r="F7402" s="16" t="s">
        <v>1001</v>
      </c>
      <c r="G7402" s="15"/>
      <c r="H7402" s="15"/>
      <c r="I7402" s="15"/>
      <c r="J7402" s="17">
        <v>629</v>
      </c>
      <c r="K7402" s="15"/>
      <c r="L7402" s="17">
        <v>10</v>
      </c>
      <c r="M7402" s="17">
        <v>50</v>
      </c>
      <c r="N7402" s="17">
        <v>10</v>
      </c>
      <c r="O7402" s="18">
        <v>107.47</v>
      </c>
      <c r="P7402" s="18">
        <v>88.09</v>
      </c>
      <c r="Q7402" s="18">
        <v>107.47</v>
      </c>
      <c r="R7402" s="18">
        <v>88.09</v>
      </c>
      <c r="S7402" s="18">
        <v>62.33</v>
      </c>
      <c r="T7402" s="18">
        <v>51.09</v>
      </c>
      <c r="U7402" s="16"/>
      <c r="V7402" s="16"/>
      <c r="W7402" s="16" t="s">
        <v>40</v>
      </c>
      <c r="X7402" s="19">
        <v>0.01</v>
      </c>
      <c r="Y7402" s="20">
        <v>7.4999999999999993E-5</v>
      </c>
      <c r="Z7402" s="21">
        <v>4601004049154</v>
      </c>
    </row>
    <row r="7403" spans="1:26" ht="12" customHeight="1" outlineLevel="3" x14ac:dyDescent="0.2">
      <c r="A7403" s="14" t="s">
        <v>14179</v>
      </c>
      <c r="B7403" s="26" t="s">
        <v>14180</v>
      </c>
      <c r="C7403" s="52"/>
      <c r="D7403" s="55">
        <f t="shared" si="115"/>
        <v>0</v>
      </c>
      <c r="E7403" s="63" t="str">
        <f>HYPERLINK("https://www.sds-group.ru/product/perehodnik-setevoy-lan-gnezdo-8r8s-rj-45-gnezdo-8r8s-rj-45-rexant-06-0111-A/", "Инфо")</f>
        <v>Инфо</v>
      </c>
      <c r="F7403" s="16" t="s">
        <v>39</v>
      </c>
      <c r="G7403" s="15"/>
      <c r="H7403" s="15"/>
      <c r="I7403" s="15"/>
      <c r="J7403" s="22">
        <v>1596</v>
      </c>
      <c r="K7403" s="15"/>
      <c r="L7403" s="17">
        <v>10</v>
      </c>
      <c r="M7403" s="17">
        <v>10</v>
      </c>
      <c r="N7403" s="17">
        <v>10</v>
      </c>
      <c r="O7403" s="18">
        <v>110.3</v>
      </c>
      <c r="P7403" s="18">
        <v>90.41</v>
      </c>
      <c r="Q7403" s="18">
        <v>110.3</v>
      </c>
      <c r="R7403" s="18">
        <v>90.41</v>
      </c>
      <c r="S7403" s="18">
        <v>66.180000000000007</v>
      </c>
      <c r="T7403" s="18">
        <v>54.25</v>
      </c>
      <c r="U7403" s="16"/>
      <c r="V7403" s="16"/>
      <c r="W7403" s="16" t="s">
        <v>40</v>
      </c>
      <c r="X7403" s="19">
        <v>1.4999999999999999E-2</v>
      </c>
      <c r="Y7403" s="20">
        <v>1.65E-4</v>
      </c>
      <c r="Z7403" s="21">
        <v>4601004122451</v>
      </c>
    </row>
    <row r="7404" spans="1:26" ht="12" customHeight="1" outlineLevel="3" x14ac:dyDescent="0.2">
      <c r="A7404" s="32" t="s">
        <v>14181</v>
      </c>
      <c r="B7404" s="74" t="s">
        <v>14182</v>
      </c>
      <c r="C7404" s="50"/>
      <c r="D7404" s="53">
        <f t="shared" si="115"/>
        <v>0</v>
      </c>
      <c r="E7404" s="60" t="str">
        <f>HYPERLINK("https://www.sds-group.ru/product/perehodnik-setevoy-lan-shteker-8r8s-rj-45-2-gnezda-8r8s-rj-45-rexant-06-0113-B/", "Инфо")</f>
        <v>Инфо</v>
      </c>
      <c r="F7404" s="34" t="s">
        <v>39</v>
      </c>
      <c r="G7404" s="33"/>
      <c r="H7404" s="33" t="s">
        <v>40</v>
      </c>
      <c r="I7404" s="33"/>
      <c r="J7404" s="35">
        <v>393</v>
      </c>
      <c r="K7404" s="33"/>
      <c r="L7404" s="35">
        <v>1</v>
      </c>
      <c r="M7404" s="35">
        <v>10</v>
      </c>
      <c r="N7404" s="35">
        <v>1</v>
      </c>
      <c r="O7404" s="36">
        <v>143.79</v>
      </c>
      <c r="P7404" s="36">
        <v>117.86</v>
      </c>
      <c r="Q7404" s="36">
        <v>100.65</v>
      </c>
      <c r="R7404" s="36">
        <v>82.5</v>
      </c>
      <c r="S7404" s="36">
        <v>86.27</v>
      </c>
      <c r="T7404" s="36">
        <v>70.709999999999994</v>
      </c>
      <c r="U7404" s="34"/>
      <c r="V7404" s="34"/>
      <c r="W7404" s="34"/>
      <c r="X7404" s="37">
        <v>0.02</v>
      </c>
      <c r="Y7404" s="38">
        <v>2.9E-4</v>
      </c>
      <c r="Z7404" s="21">
        <v>4601004122475</v>
      </c>
    </row>
    <row r="7405" spans="1:26" ht="12.95" customHeight="1" outlineLevel="2" x14ac:dyDescent="0.2">
      <c r="A7405" s="76" t="s">
        <v>14183</v>
      </c>
      <c r="B7405" s="76"/>
      <c r="C7405" s="77"/>
      <c r="D7405" s="58"/>
      <c r="E7405" s="68"/>
      <c r="F7405" s="13"/>
      <c r="G7405" s="13"/>
      <c r="H7405" s="13"/>
      <c r="I7405" s="13"/>
      <c r="J7405" s="13"/>
      <c r="K7405" s="13"/>
      <c r="L7405" s="13"/>
      <c r="M7405" s="13"/>
      <c r="N7405" s="13"/>
      <c r="O7405" s="13"/>
      <c r="P7405" s="13"/>
      <c r="Q7405" s="13"/>
      <c r="R7405" s="13"/>
      <c r="S7405" s="13"/>
      <c r="T7405" s="13"/>
      <c r="U7405" s="13"/>
      <c r="V7405" s="13"/>
      <c r="W7405" s="13"/>
      <c r="X7405" s="13"/>
      <c r="Y7405" s="13"/>
      <c r="Z7405" s="13"/>
    </row>
    <row r="7406" spans="1:26" ht="12" customHeight="1" outlineLevel="3" x14ac:dyDescent="0.2">
      <c r="A7406" s="32" t="s">
        <v>14184</v>
      </c>
      <c r="B7406" s="74" t="s">
        <v>14185</v>
      </c>
      <c r="C7406" s="50"/>
      <c r="D7406" s="53">
        <f t="shared" si="115"/>
        <v>0</v>
      </c>
      <c r="E7406" s="60" t="str">
        <f>HYPERLINK("https://www.sds-group.ru/product/patch-kord-u-utp-rj45-rj45-cat-5e-pvc-seryy-1-5m-rexant-06-3202/", "Инфо")</f>
        <v>Инфо</v>
      </c>
      <c r="F7406" s="34" t="s">
        <v>39</v>
      </c>
      <c r="G7406" s="33"/>
      <c r="H7406" s="33" t="s">
        <v>40</v>
      </c>
      <c r="I7406" s="33"/>
      <c r="J7406" s="35">
        <v>143</v>
      </c>
      <c r="K7406" s="33"/>
      <c r="L7406" s="35">
        <v>1</v>
      </c>
      <c r="M7406" s="35">
        <v>10</v>
      </c>
      <c r="N7406" s="35">
        <v>1</v>
      </c>
      <c r="O7406" s="36">
        <v>268.69</v>
      </c>
      <c r="P7406" s="36">
        <v>220.24</v>
      </c>
      <c r="Q7406" s="36">
        <v>188.08</v>
      </c>
      <c r="R7406" s="36">
        <v>154.16</v>
      </c>
      <c r="S7406" s="36">
        <v>161.21</v>
      </c>
      <c r="T7406" s="36">
        <v>132.13999999999999</v>
      </c>
      <c r="U7406" s="34"/>
      <c r="V7406" s="34"/>
      <c r="W7406" s="34"/>
      <c r="X7406" s="37">
        <v>5.0999999999999997E-2</v>
      </c>
      <c r="Y7406" s="38">
        <v>3.2200000000000002E-4</v>
      </c>
      <c r="Z7406" s="21">
        <v>4601004127821</v>
      </c>
    </row>
    <row r="7407" spans="1:26" ht="12" customHeight="1" outlineLevel="3" x14ac:dyDescent="0.2">
      <c r="A7407" s="32" t="s">
        <v>14186</v>
      </c>
      <c r="B7407" s="74" t="s">
        <v>14187</v>
      </c>
      <c r="C7407" s="50"/>
      <c r="D7407" s="53">
        <f t="shared" si="115"/>
        <v>0</v>
      </c>
      <c r="E7407" s="60" t="str">
        <f>HYPERLINK("https://www.sds-group.ru/product/patch-kord-u-utp-rj45-rj45-cat-5e-pvc-seryy-5m-rexant-06-3204/", "Инфо")</f>
        <v>Инфо</v>
      </c>
      <c r="F7407" s="34" t="s">
        <v>39</v>
      </c>
      <c r="G7407" s="33"/>
      <c r="H7407" s="33" t="s">
        <v>40</v>
      </c>
      <c r="I7407" s="33"/>
      <c r="J7407" s="34" t="s">
        <v>100</v>
      </c>
      <c r="K7407" s="33"/>
      <c r="L7407" s="35">
        <v>1</v>
      </c>
      <c r="M7407" s="35">
        <v>10</v>
      </c>
      <c r="N7407" s="35">
        <v>1</v>
      </c>
      <c r="O7407" s="36">
        <v>548.16</v>
      </c>
      <c r="P7407" s="36">
        <v>449.31</v>
      </c>
      <c r="Q7407" s="36">
        <v>383.71</v>
      </c>
      <c r="R7407" s="36">
        <v>314.52</v>
      </c>
      <c r="S7407" s="36">
        <v>328.9</v>
      </c>
      <c r="T7407" s="36">
        <v>269.58999999999997</v>
      </c>
      <c r="U7407" s="34"/>
      <c r="V7407" s="34"/>
      <c r="W7407" s="34"/>
      <c r="X7407" s="37">
        <v>0.113</v>
      </c>
      <c r="Y7407" s="38">
        <v>6.6E-4</v>
      </c>
      <c r="Z7407" s="21">
        <v>4601004127845</v>
      </c>
    </row>
    <row r="7408" spans="1:26" ht="12.95" customHeight="1" outlineLevel="1" x14ac:dyDescent="0.2">
      <c r="A7408" s="78" t="s">
        <v>14188</v>
      </c>
      <c r="B7408" s="78"/>
      <c r="C7408" s="79"/>
      <c r="D7408" s="57"/>
      <c r="E7408" s="67"/>
      <c r="F7408" s="12"/>
      <c r="G7408" s="12"/>
      <c r="H7408" s="12"/>
      <c r="I7408" s="12"/>
      <c r="J7408" s="12"/>
      <c r="K7408" s="12"/>
      <c r="L7408" s="12"/>
      <c r="M7408" s="12"/>
      <c r="N7408" s="12"/>
      <c r="O7408" s="12"/>
      <c r="P7408" s="12"/>
      <c r="Q7408" s="12"/>
      <c r="R7408" s="12"/>
      <c r="S7408" s="12"/>
      <c r="T7408" s="12"/>
      <c r="U7408" s="12"/>
      <c r="V7408" s="12"/>
      <c r="W7408" s="12"/>
      <c r="X7408" s="12"/>
      <c r="Y7408" s="12"/>
      <c r="Z7408" s="12"/>
    </row>
    <row r="7409" spans="1:26" ht="12.95" customHeight="1" outlineLevel="2" x14ac:dyDescent="0.2">
      <c r="A7409" s="76" t="s">
        <v>14189</v>
      </c>
      <c r="B7409" s="76"/>
      <c r="C7409" s="77"/>
      <c r="D7409" s="58"/>
      <c r="E7409" s="68"/>
      <c r="F7409" s="13"/>
      <c r="G7409" s="13"/>
      <c r="H7409" s="13"/>
      <c r="I7409" s="13"/>
      <c r="J7409" s="13"/>
      <c r="K7409" s="13"/>
      <c r="L7409" s="13"/>
      <c r="M7409" s="13"/>
      <c r="N7409" s="13"/>
      <c r="O7409" s="13"/>
      <c r="P7409" s="13"/>
      <c r="Q7409" s="13"/>
      <c r="R7409" s="13"/>
      <c r="S7409" s="13"/>
      <c r="T7409" s="13"/>
      <c r="U7409" s="13"/>
      <c r="V7409" s="13"/>
      <c r="W7409" s="13"/>
      <c r="X7409" s="13"/>
      <c r="Y7409" s="13"/>
      <c r="Z7409" s="13"/>
    </row>
    <row r="7410" spans="1:26" ht="12" customHeight="1" outlineLevel="3" x14ac:dyDescent="0.2">
      <c r="A7410" s="14" t="s">
        <v>14190</v>
      </c>
      <c r="B7410" s="26" t="s">
        <v>14191</v>
      </c>
      <c r="C7410" s="52"/>
      <c r="D7410" s="55">
        <f t="shared" si="115"/>
        <v>0</v>
      </c>
      <c r="E7410" s="63" t="str">
        <f>HYPERLINK("https://www.sds-group.ru/product/kabel-vitaya-para-s-ftp-cat-7-pvc-4pr-23awg-indoor-solid-seryy-305-m-rexant-01-0542/", "Инфо")</f>
        <v>Инфо</v>
      </c>
      <c r="F7410" s="16" t="s">
        <v>1887</v>
      </c>
      <c r="G7410" s="15"/>
      <c r="H7410" s="15"/>
      <c r="I7410" s="15"/>
      <c r="J7410" s="16" t="s">
        <v>100</v>
      </c>
      <c r="K7410" s="15"/>
      <c r="L7410" s="17">
        <v>1</v>
      </c>
      <c r="M7410" s="17">
        <v>1</v>
      </c>
      <c r="N7410" s="17">
        <v>1</v>
      </c>
      <c r="O7410" s="18">
        <v>85381.94</v>
      </c>
      <c r="P7410" s="18">
        <v>69985.2</v>
      </c>
      <c r="Q7410" s="18">
        <v>85381.94</v>
      </c>
      <c r="R7410" s="18">
        <v>69985.2</v>
      </c>
      <c r="S7410" s="18">
        <v>85381.94</v>
      </c>
      <c r="T7410" s="18">
        <v>69985.2</v>
      </c>
      <c r="U7410" s="16"/>
      <c r="V7410" s="16"/>
      <c r="W7410" s="16" t="s">
        <v>40</v>
      </c>
      <c r="X7410" s="19">
        <v>20</v>
      </c>
      <c r="Y7410" s="20">
        <v>2.9399999999999999E-2</v>
      </c>
      <c r="Z7410" s="21">
        <v>4601004050358</v>
      </c>
    </row>
    <row r="7411" spans="1:26" ht="12" customHeight="1" outlineLevel="3" x14ac:dyDescent="0.2">
      <c r="A7411" s="14" t="s">
        <v>14192</v>
      </c>
      <c r="B7411" s="26" t="s">
        <v>14193</v>
      </c>
      <c r="C7411" s="52"/>
      <c r="D7411" s="55">
        <f t="shared" si="115"/>
        <v>0</v>
      </c>
      <c r="E7411" s="63" t="str">
        <f>HYPERLINK("https://www.sds-group.ru/product/kabel-vitaya-para-s-ftp-cat-6a-lszh-ng-a-hf-4pr-23awg-indoor-solid-seryy-305m-rexant-02-0325/", "Инфо")</f>
        <v>Инфо</v>
      </c>
      <c r="F7411" s="16" t="s">
        <v>1887</v>
      </c>
      <c r="G7411" s="15"/>
      <c r="H7411" s="15"/>
      <c r="I7411" s="15"/>
      <c r="J7411" s="17">
        <v>130</v>
      </c>
      <c r="K7411" s="15"/>
      <c r="L7411" s="17">
        <v>1</v>
      </c>
      <c r="M7411" s="17">
        <v>1</v>
      </c>
      <c r="N7411" s="17">
        <v>1</v>
      </c>
      <c r="O7411" s="18">
        <v>91380.479999999996</v>
      </c>
      <c r="P7411" s="18">
        <v>74902.03</v>
      </c>
      <c r="Q7411" s="18">
        <v>91380.479999999996</v>
      </c>
      <c r="R7411" s="18">
        <v>74902.03</v>
      </c>
      <c r="S7411" s="18">
        <v>91380.479999999996</v>
      </c>
      <c r="T7411" s="18">
        <v>74902.03</v>
      </c>
      <c r="U7411" s="16"/>
      <c r="V7411" s="16"/>
      <c r="W7411" s="16" t="s">
        <v>40</v>
      </c>
      <c r="X7411" s="19">
        <v>20.632000000000001</v>
      </c>
      <c r="Y7411" s="20">
        <v>4.6829000000000003E-2</v>
      </c>
      <c r="Z7411" s="21">
        <v>4601004271364</v>
      </c>
    </row>
    <row r="7412" spans="1:26" ht="12" customHeight="1" outlineLevel="3" x14ac:dyDescent="0.2">
      <c r="A7412" s="40" t="s">
        <v>14194</v>
      </c>
      <c r="B7412" s="75" t="s">
        <v>14195</v>
      </c>
      <c r="C7412" s="51"/>
      <c r="D7412" s="54">
        <f t="shared" si="115"/>
        <v>0</v>
      </c>
      <c r="E7412" s="61" t="str">
        <f>HYPERLINK("https://www.sds-group.ru/product/kabel-vitaya-para-s-ftp-cat-6a-pvc-ls-ng-a-lsltx-4h2h0-575-mm-23awg-vnutrenniy-odnoprovoloch-02-0326/", "Инфо")</f>
        <v>Инфо</v>
      </c>
      <c r="F7412" s="42" t="s">
        <v>1887</v>
      </c>
      <c r="G7412" s="41" t="s">
        <v>40</v>
      </c>
      <c r="H7412" s="41"/>
      <c r="I7412" s="41" t="s">
        <v>14196</v>
      </c>
      <c r="J7412" s="42" t="s">
        <v>100</v>
      </c>
      <c r="K7412" s="41"/>
      <c r="L7412" s="43">
        <v>1</v>
      </c>
      <c r="M7412" s="43">
        <v>1</v>
      </c>
      <c r="N7412" s="43">
        <v>1</v>
      </c>
      <c r="O7412" s="44">
        <v>105767.86</v>
      </c>
      <c r="P7412" s="44">
        <v>86694.97</v>
      </c>
      <c r="Q7412" s="44">
        <v>105767.86</v>
      </c>
      <c r="R7412" s="44">
        <v>86694.97</v>
      </c>
      <c r="S7412" s="44">
        <v>105767.86</v>
      </c>
      <c r="T7412" s="44">
        <v>86694.97</v>
      </c>
      <c r="U7412" s="42"/>
      <c r="V7412" s="42"/>
      <c r="W7412" s="42" t="s">
        <v>40</v>
      </c>
      <c r="X7412" s="45">
        <v>20.9</v>
      </c>
      <c r="Y7412" s="46">
        <v>4.3700000000000003E-2</v>
      </c>
      <c r="Z7412" s="21">
        <v>4601004331693</v>
      </c>
    </row>
    <row r="7413" spans="1:26" ht="12" customHeight="1" outlineLevel="3" x14ac:dyDescent="0.2">
      <c r="A7413" s="14" t="s">
        <v>14197</v>
      </c>
      <c r="B7413" s="26" t="s">
        <v>14198</v>
      </c>
      <c r="C7413" s="52"/>
      <c r="D7413" s="55">
        <f t="shared" si="115"/>
        <v>0</v>
      </c>
      <c r="E7413" s="63" t="str">
        <f>HYPERLINK("https://www.sds-group.ru/product/kabel-vitaya-para-u-ftp-cat-6a-lszh-ng-a-hf-4pr-23awg-indoor-solid-seryy-305m-rexant-02-0321/", "Инфо")</f>
        <v>Инфо</v>
      </c>
      <c r="F7413" s="16" t="s">
        <v>1887</v>
      </c>
      <c r="G7413" s="15"/>
      <c r="H7413" s="15"/>
      <c r="I7413" s="15"/>
      <c r="J7413" s="17">
        <v>37</v>
      </c>
      <c r="K7413" s="15"/>
      <c r="L7413" s="17">
        <v>1</v>
      </c>
      <c r="M7413" s="17">
        <v>1</v>
      </c>
      <c r="N7413" s="17">
        <v>1</v>
      </c>
      <c r="O7413" s="18">
        <v>75991.02</v>
      </c>
      <c r="P7413" s="18">
        <v>62287.72</v>
      </c>
      <c r="Q7413" s="18">
        <v>75991.02</v>
      </c>
      <c r="R7413" s="18">
        <v>62287.72</v>
      </c>
      <c r="S7413" s="18">
        <v>75991.02</v>
      </c>
      <c r="T7413" s="18">
        <v>62287.72</v>
      </c>
      <c r="U7413" s="16"/>
      <c r="V7413" s="16"/>
      <c r="W7413" s="16" t="s">
        <v>40</v>
      </c>
      <c r="X7413" s="19">
        <v>19.8</v>
      </c>
      <c r="Y7413" s="20">
        <v>4.3700000000000003E-2</v>
      </c>
      <c r="Z7413" s="21">
        <v>4601004241022</v>
      </c>
    </row>
    <row r="7414" spans="1:26" ht="12" customHeight="1" outlineLevel="3" x14ac:dyDescent="0.2">
      <c r="A7414" s="14" t="s">
        <v>14199</v>
      </c>
      <c r="B7414" s="26" t="s">
        <v>14200</v>
      </c>
      <c r="C7414" s="52"/>
      <c r="D7414" s="55">
        <f t="shared" si="115"/>
        <v>0</v>
      </c>
      <c r="E7414" s="63" t="str">
        <f>HYPERLINK("https://www.sds-group.ru/product/kabel-vitaya-para-u-utp-cat-6a-lszh-ng-a-hf-4pr-23awg-indoor-solid-seryy-305m-rexant-02-0302/", "Инфо")</f>
        <v>Инфо</v>
      </c>
      <c r="F7414" s="16" t="s">
        <v>1887</v>
      </c>
      <c r="G7414" s="15"/>
      <c r="H7414" s="15"/>
      <c r="I7414" s="15"/>
      <c r="J7414" s="17">
        <v>157</v>
      </c>
      <c r="K7414" s="15"/>
      <c r="L7414" s="17">
        <v>1</v>
      </c>
      <c r="M7414" s="17">
        <v>1</v>
      </c>
      <c r="N7414" s="17">
        <v>1</v>
      </c>
      <c r="O7414" s="18">
        <v>84014.58</v>
      </c>
      <c r="P7414" s="18">
        <v>68864.41</v>
      </c>
      <c r="Q7414" s="18">
        <v>84014.58</v>
      </c>
      <c r="R7414" s="18">
        <v>68864.41</v>
      </c>
      <c r="S7414" s="18">
        <v>84014.58</v>
      </c>
      <c r="T7414" s="18">
        <v>68864.41</v>
      </c>
      <c r="U7414" s="16"/>
      <c r="V7414" s="16"/>
      <c r="W7414" s="16" t="s">
        <v>40</v>
      </c>
      <c r="X7414" s="19">
        <v>16.175000000000001</v>
      </c>
      <c r="Y7414" s="20">
        <v>5.1091999999999999E-2</v>
      </c>
      <c r="Z7414" s="21">
        <v>4601004241015</v>
      </c>
    </row>
    <row r="7415" spans="1:26" ht="12.95" customHeight="1" outlineLevel="2" x14ac:dyDescent="0.2">
      <c r="A7415" s="76" t="s">
        <v>14201</v>
      </c>
      <c r="B7415" s="76"/>
      <c r="C7415" s="77"/>
      <c r="D7415" s="58"/>
      <c r="E7415" s="68"/>
      <c r="F7415" s="13"/>
      <c r="G7415" s="13"/>
      <c r="H7415" s="13"/>
      <c r="I7415" s="13"/>
      <c r="J7415" s="13"/>
      <c r="K7415" s="13"/>
      <c r="L7415" s="13"/>
      <c r="M7415" s="13"/>
      <c r="N7415" s="13"/>
      <c r="O7415" s="13"/>
      <c r="P7415" s="13"/>
      <c r="Q7415" s="13"/>
      <c r="R7415" s="13"/>
      <c r="S7415" s="13"/>
      <c r="T7415" s="13"/>
      <c r="U7415" s="13"/>
      <c r="V7415" s="13"/>
      <c r="W7415" s="13"/>
      <c r="X7415" s="13"/>
      <c r="Y7415" s="13"/>
      <c r="Z7415" s="13"/>
    </row>
    <row r="7416" spans="1:26" ht="12" customHeight="1" outlineLevel="3" x14ac:dyDescent="0.2">
      <c r="A7416" s="14" t="s">
        <v>14202</v>
      </c>
      <c r="B7416" s="26" t="s">
        <v>14203</v>
      </c>
      <c r="C7416" s="52"/>
      <c r="D7416" s="55">
        <f t="shared" si="115"/>
        <v>0</v>
      </c>
      <c r="E7416" s="63" t="str">
        <f>HYPERLINK("https://www.sds-group.ru/product/nastennyy-telekommunikatsionnyy-shkaf-19-9u-600-450-500mm-dver-steklo-s-zadney-stenkoy-razbo-04-2201/", "Инфо")</f>
        <v>Инфо</v>
      </c>
      <c r="F7416" s="16" t="s">
        <v>39</v>
      </c>
      <c r="G7416" s="15"/>
      <c r="H7416" s="15"/>
      <c r="I7416" s="15" t="s">
        <v>13414</v>
      </c>
      <c r="J7416" s="16" t="s">
        <v>100</v>
      </c>
      <c r="K7416" s="15"/>
      <c r="L7416" s="17">
        <v>5</v>
      </c>
      <c r="M7416" s="17">
        <v>5</v>
      </c>
      <c r="N7416" s="17">
        <v>5</v>
      </c>
      <c r="O7416" s="18">
        <v>22975.05</v>
      </c>
      <c r="P7416" s="18">
        <v>18832.009999999998</v>
      </c>
      <c r="Q7416" s="18">
        <v>16771.79</v>
      </c>
      <c r="R7416" s="18">
        <v>13747.37</v>
      </c>
      <c r="S7416" s="18">
        <v>15623.03</v>
      </c>
      <c r="T7416" s="18">
        <v>12805.76</v>
      </c>
      <c r="U7416" s="16"/>
      <c r="V7416" s="16"/>
      <c r="W7416" s="16" t="s">
        <v>40</v>
      </c>
      <c r="X7416" s="19">
        <v>20</v>
      </c>
      <c r="Y7416" s="20">
        <v>0.13500000000000001</v>
      </c>
      <c r="Z7416" s="21">
        <v>4601004100527</v>
      </c>
    </row>
    <row r="7417" spans="1:26" ht="12" customHeight="1" outlineLevel="3" x14ac:dyDescent="0.2">
      <c r="A7417" s="14" t="s">
        <v>14204</v>
      </c>
      <c r="B7417" s="26" t="s">
        <v>14205</v>
      </c>
      <c r="C7417" s="52"/>
      <c r="D7417" s="55">
        <f t="shared" si="115"/>
        <v>0</v>
      </c>
      <c r="E7417" s="63" t="str">
        <f>HYPERLINK("https://www.sds-group.ru/product/nastennyy-telekommunikatsionnyy-shkaf-19-6u-600-450-370mm-dver-steklo-s-zadney-stenkoy-razbo-04-2200/", "Инфо")</f>
        <v>Инфо</v>
      </c>
      <c r="F7417" s="16" t="s">
        <v>39</v>
      </c>
      <c r="G7417" s="15"/>
      <c r="H7417" s="15"/>
      <c r="I7417" s="15" t="s">
        <v>13414</v>
      </c>
      <c r="J7417" s="16" t="s">
        <v>100</v>
      </c>
      <c r="K7417" s="15"/>
      <c r="L7417" s="17">
        <v>5</v>
      </c>
      <c r="M7417" s="17">
        <v>5</v>
      </c>
      <c r="N7417" s="17">
        <v>5</v>
      </c>
      <c r="O7417" s="18">
        <v>21013.200000000001</v>
      </c>
      <c r="P7417" s="18">
        <v>17223.93</v>
      </c>
      <c r="Q7417" s="18">
        <v>15339.64</v>
      </c>
      <c r="R7417" s="18">
        <v>12573.48</v>
      </c>
      <c r="S7417" s="18">
        <v>14288.98</v>
      </c>
      <c r="T7417" s="18">
        <v>11712.28</v>
      </c>
      <c r="U7417" s="16"/>
      <c r="V7417" s="16"/>
      <c r="W7417" s="16" t="s">
        <v>40</v>
      </c>
      <c r="X7417" s="19">
        <v>23.984000000000002</v>
      </c>
      <c r="Y7417" s="20">
        <v>8.3626000000000006E-2</v>
      </c>
      <c r="Z7417" s="21">
        <v>4601004101135</v>
      </c>
    </row>
    <row r="7418" spans="1:26" ht="12" customHeight="1" outlineLevel="3" x14ac:dyDescent="0.2">
      <c r="A7418" s="14" t="s">
        <v>14206</v>
      </c>
      <c r="B7418" s="26" t="s">
        <v>14207</v>
      </c>
      <c r="C7418" s="52"/>
      <c r="D7418" s="55">
        <f t="shared" si="115"/>
        <v>0</v>
      </c>
      <c r="E7418" s="63" t="str">
        <f>HYPERLINK("https://www.sds-group.ru/product/nastennyy-telekommunikatsionnyy-shkaf-19-12u-600-600-635mm-dver-steklo-s-zadney-stenkoy-razb-04-2222/", "Инфо")</f>
        <v>Инфо</v>
      </c>
      <c r="F7418" s="16" t="s">
        <v>39</v>
      </c>
      <c r="G7418" s="15"/>
      <c r="H7418" s="15"/>
      <c r="I7418" s="15" t="s">
        <v>13414</v>
      </c>
      <c r="J7418" s="16" t="s">
        <v>100</v>
      </c>
      <c r="K7418" s="15"/>
      <c r="L7418" s="17">
        <v>5</v>
      </c>
      <c r="M7418" s="17">
        <v>5</v>
      </c>
      <c r="N7418" s="17">
        <v>5</v>
      </c>
      <c r="O7418" s="18">
        <v>28383.96</v>
      </c>
      <c r="P7418" s="18">
        <v>23265.54</v>
      </c>
      <c r="Q7418" s="18">
        <v>20720.29</v>
      </c>
      <c r="R7418" s="18">
        <v>16983.84</v>
      </c>
      <c r="S7418" s="18">
        <v>19301.09</v>
      </c>
      <c r="T7418" s="18">
        <v>15820.57</v>
      </c>
      <c r="U7418" s="16"/>
      <c r="V7418" s="16"/>
      <c r="W7418" s="16" t="s">
        <v>40</v>
      </c>
      <c r="X7418" s="19">
        <v>25.35</v>
      </c>
      <c r="Y7418" s="20">
        <v>8.5558999999999996E-2</v>
      </c>
      <c r="Z7418" s="21">
        <v>4601004100589</v>
      </c>
    </row>
    <row r="7419" spans="1:26" ht="12" customHeight="1" outlineLevel="3" x14ac:dyDescent="0.2">
      <c r="A7419" s="14" t="s">
        <v>14208</v>
      </c>
      <c r="B7419" s="26" t="s">
        <v>14209</v>
      </c>
      <c r="C7419" s="52"/>
      <c r="D7419" s="55">
        <f t="shared" si="115"/>
        <v>0</v>
      </c>
      <c r="E7419" s="63" t="str">
        <f>HYPERLINK("https://www.sds-group.ru/product/nastennyy-telekommunikatsionnyy-shkaf-19-9u-600-600-500mm-dver-steklo-s-zadney-stenkoy-razbo-04-2221/", "Инфо")</f>
        <v>Инфо</v>
      </c>
      <c r="F7419" s="16" t="s">
        <v>39</v>
      </c>
      <c r="G7419" s="15"/>
      <c r="H7419" s="15"/>
      <c r="I7419" s="15" t="s">
        <v>13414</v>
      </c>
      <c r="J7419" s="16" t="s">
        <v>100</v>
      </c>
      <c r="K7419" s="15"/>
      <c r="L7419" s="17">
        <v>5</v>
      </c>
      <c r="M7419" s="17">
        <v>5</v>
      </c>
      <c r="N7419" s="17">
        <v>5</v>
      </c>
      <c r="O7419" s="18">
        <v>26894.34</v>
      </c>
      <c r="P7419" s="18">
        <v>22044.54</v>
      </c>
      <c r="Q7419" s="18">
        <v>19632.87</v>
      </c>
      <c r="R7419" s="18">
        <v>16092.52</v>
      </c>
      <c r="S7419" s="18">
        <v>18288.150000000001</v>
      </c>
      <c r="T7419" s="18">
        <v>14990.29</v>
      </c>
      <c r="U7419" s="16"/>
      <c r="V7419" s="16"/>
      <c r="W7419" s="16" t="s">
        <v>40</v>
      </c>
      <c r="X7419" s="19">
        <v>22</v>
      </c>
      <c r="Y7419" s="20">
        <v>7.2999999999999995E-2</v>
      </c>
      <c r="Z7419" s="21">
        <v>4601004100541</v>
      </c>
    </row>
    <row r="7420" spans="1:26" ht="12" customHeight="1" outlineLevel="3" x14ac:dyDescent="0.2">
      <c r="A7420" s="14" t="s">
        <v>14210</v>
      </c>
      <c r="B7420" s="26" t="s">
        <v>14211</v>
      </c>
      <c r="C7420" s="52"/>
      <c r="D7420" s="55">
        <f t="shared" si="115"/>
        <v>0</v>
      </c>
      <c r="E7420" s="63" t="str">
        <f>HYPERLINK("https://www.sds-group.ru/product/nastennyy-telekommunikatsionnyy-shkaf-19-6u-600-600-370mm-dver-steklo-s-zadney-stenkoy-razbo-04-2220/", "Инфо")</f>
        <v>Инфо</v>
      </c>
      <c r="F7420" s="16" t="s">
        <v>39</v>
      </c>
      <c r="G7420" s="15"/>
      <c r="H7420" s="15"/>
      <c r="I7420" s="15" t="s">
        <v>13414</v>
      </c>
      <c r="J7420" s="16" t="s">
        <v>100</v>
      </c>
      <c r="K7420" s="15"/>
      <c r="L7420" s="17">
        <v>5</v>
      </c>
      <c r="M7420" s="17">
        <v>5</v>
      </c>
      <c r="N7420" s="17">
        <v>5</v>
      </c>
      <c r="O7420" s="18">
        <v>25204.21</v>
      </c>
      <c r="P7420" s="18">
        <v>20659.189999999999</v>
      </c>
      <c r="Q7420" s="18">
        <v>18399.07</v>
      </c>
      <c r="R7420" s="18">
        <v>15081.2</v>
      </c>
      <c r="S7420" s="18">
        <v>17138.86</v>
      </c>
      <c r="T7420" s="18">
        <v>14048.25</v>
      </c>
      <c r="U7420" s="16"/>
      <c r="V7420" s="16"/>
      <c r="W7420" s="16" t="s">
        <v>40</v>
      </c>
      <c r="X7420" s="19">
        <v>19.468</v>
      </c>
      <c r="Y7420" s="20">
        <v>7.8151999999999999E-2</v>
      </c>
      <c r="Z7420" s="21">
        <v>4601004100633</v>
      </c>
    </row>
    <row r="7421" spans="1:26" ht="12" customHeight="1" outlineLevel="3" x14ac:dyDescent="0.2">
      <c r="A7421" s="14" t="s">
        <v>14212</v>
      </c>
      <c r="B7421" s="26" t="s">
        <v>14213</v>
      </c>
      <c r="C7421" s="52"/>
      <c r="D7421" s="55">
        <f t="shared" si="115"/>
        <v>0</v>
      </c>
      <c r="E7421" s="63" t="str">
        <f>HYPERLINK("https://www.sds-group.ru/product/nastennyy-telekommunikatsionnyy-shkaf-19-9u-600-450-500mm-dver-metall-s-zadney-stenkoy-razbo-04-2211/", "Инфо")</f>
        <v>Инфо</v>
      </c>
      <c r="F7421" s="16" t="s">
        <v>39</v>
      </c>
      <c r="G7421" s="15"/>
      <c r="H7421" s="15"/>
      <c r="I7421" s="15" t="s">
        <v>13414</v>
      </c>
      <c r="J7421" s="16" t="s">
        <v>100</v>
      </c>
      <c r="K7421" s="15"/>
      <c r="L7421" s="17">
        <v>5</v>
      </c>
      <c r="M7421" s="17">
        <v>5</v>
      </c>
      <c r="N7421" s="17">
        <v>5</v>
      </c>
      <c r="O7421" s="18">
        <v>24449.49</v>
      </c>
      <c r="P7421" s="18">
        <v>20040.57</v>
      </c>
      <c r="Q7421" s="18">
        <v>17848.13</v>
      </c>
      <c r="R7421" s="18">
        <v>14629.61</v>
      </c>
      <c r="S7421" s="18">
        <v>16625.650000000001</v>
      </c>
      <c r="T7421" s="18">
        <v>13627.58</v>
      </c>
      <c r="U7421" s="16"/>
      <c r="V7421" s="16"/>
      <c r="W7421" s="16" t="s">
        <v>40</v>
      </c>
      <c r="X7421" s="19">
        <v>20</v>
      </c>
      <c r="Y7421" s="20">
        <v>6.7000000000000004E-2</v>
      </c>
      <c r="Z7421" s="21">
        <v>4601004100534</v>
      </c>
    </row>
    <row r="7422" spans="1:26" ht="12" customHeight="1" outlineLevel="3" x14ac:dyDescent="0.2">
      <c r="A7422" s="14" t="s">
        <v>14214</v>
      </c>
      <c r="B7422" s="26" t="s">
        <v>14215</v>
      </c>
      <c r="C7422" s="52"/>
      <c r="D7422" s="55">
        <f t="shared" si="115"/>
        <v>0</v>
      </c>
      <c r="E7422" s="63" t="str">
        <f>HYPERLINK("https://www.sds-group.ru/product/nastennyy-telekommunikatsionnyy-shkaf-19-12u-600-600-635mm-dver-metall-s-zadney-stenkoy-razb-04-2232/", "Инфо")</f>
        <v>Инфо</v>
      </c>
      <c r="F7422" s="16" t="s">
        <v>39</v>
      </c>
      <c r="G7422" s="15"/>
      <c r="H7422" s="15"/>
      <c r="I7422" s="15" t="s">
        <v>13414</v>
      </c>
      <c r="J7422" s="16" t="s">
        <v>100</v>
      </c>
      <c r="K7422" s="15"/>
      <c r="L7422" s="17">
        <v>5</v>
      </c>
      <c r="M7422" s="17">
        <v>5</v>
      </c>
      <c r="N7422" s="17">
        <v>5</v>
      </c>
      <c r="O7422" s="18">
        <v>28383.96</v>
      </c>
      <c r="P7422" s="18">
        <v>23265.54</v>
      </c>
      <c r="Q7422" s="18">
        <v>20720.29</v>
      </c>
      <c r="R7422" s="18">
        <v>16983.84</v>
      </c>
      <c r="S7422" s="18">
        <v>19301.09</v>
      </c>
      <c r="T7422" s="18">
        <v>15820.57</v>
      </c>
      <c r="U7422" s="16"/>
      <c r="V7422" s="16"/>
      <c r="W7422" s="16" t="s">
        <v>40</v>
      </c>
      <c r="X7422" s="19">
        <v>26</v>
      </c>
      <c r="Y7422" s="20">
        <v>7.1999999999999995E-2</v>
      </c>
      <c r="Z7422" s="21">
        <v>4601004100565</v>
      </c>
    </row>
    <row r="7423" spans="1:26" ht="12" customHeight="1" outlineLevel="3" x14ac:dyDescent="0.2">
      <c r="A7423" s="14" t="s">
        <v>14216</v>
      </c>
      <c r="B7423" s="26" t="s">
        <v>14217</v>
      </c>
      <c r="C7423" s="52"/>
      <c r="D7423" s="55">
        <f t="shared" si="115"/>
        <v>0</v>
      </c>
      <c r="E7423" s="63" t="str">
        <f>HYPERLINK("https://www.sds-group.ru/product/nastennyy-telekommunikatsionnyy-shkaf-19-9u-600-600-500mm-dver-metall-s-zadney-stenkoy-razbo-04-2231/", "Инфо")</f>
        <v>Инфо</v>
      </c>
      <c r="F7423" s="16" t="s">
        <v>39</v>
      </c>
      <c r="G7423" s="15"/>
      <c r="H7423" s="15"/>
      <c r="I7423" s="15" t="s">
        <v>13414</v>
      </c>
      <c r="J7423" s="16" t="s">
        <v>100</v>
      </c>
      <c r="K7423" s="15"/>
      <c r="L7423" s="17">
        <v>5</v>
      </c>
      <c r="M7423" s="17">
        <v>5</v>
      </c>
      <c r="N7423" s="17">
        <v>5</v>
      </c>
      <c r="O7423" s="18">
        <v>27345.5</v>
      </c>
      <c r="P7423" s="18">
        <v>22414.34</v>
      </c>
      <c r="Q7423" s="18">
        <v>19962.22</v>
      </c>
      <c r="R7423" s="18">
        <v>16362.48</v>
      </c>
      <c r="S7423" s="18">
        <v>18594.939999999999</v>
      </c>
      <c r="T7423" s="18">
        <v>15241.75</v>
      </c>
      <c r="U7423" s="16"/>
      <c r="V7423" s="16"/>
      <c r="W7423" s="16" t="s">
        <v>40</v>
      </c>
      <c r="X7423" s="19">
        <v>22</v>
      </c>
      <c r="Y7423" s="20">
        <v>7.2999999999999995E-2</v>
      </c>
      <c r="Z7423" s="21">
        <v>4601004100510</v>
      </c>
    </row>
    <row r="7424" spans="1:26" ht="12" customHeight="1" outlineLevel="3" x14ac:dyDescent="0.2">
      <c r="A7424" s="14" t="s">
        <v>14218</v>
      </c>
      <c r="B7424" s="26" t="s">
        <v>14219</v>
      </c>
      <c r="C7424" s="52"/>
      <c r="D7424" s="55">
        <f t="shared" si="115"/>
        <v>0</v>
      </c>
      <c r="E7424" s="63" t="str">
        <f>HYPERLINK("https://www.sds-group.ru/product/nastennyy-telekommunikatsionnyy-shkaf-19-18u-600-600-964mm-dver-metall-s-zadney-stenkoy-razb-04-2234/", "Инфо")</f>
        <v>Инфо</v>
      </c>
      <c r="F7424" s="16" t="s">
        <v>39</v>
      </c>
      <c r="G7424" s="15"/>
      <c r="H7424" s="15"/>
      <c r="I7424" s="15" t="s">
        <v>13414</v>
      </c>
      <c r="J7424" s="16" t="s">
        <v>100</v>
      </c>
      <c r="K7424" s="15"/>
      <c r="L7424" s="17">
        <v>5</v>
      </c>
      <c r="M7424" s="17">
        <v>5</v>
      </c>
      <c r="N7424" s="17">
        <v>5</v>
      </c>
      <c r="O7424" s="18">
        <v>38946.629999999997</v>
      </c>
      <c r="P7424" s="18">
        <v>31923.47</v>
      </c>
      <c r="Q7424" s="18">
        <v>28431.040000000001</v>
      </c>
      <c r="R7424" s="18">
        <v>23304.13</v>
      </c>
      <c r="S7424" s="18">
        <v>26483.71</v>
      </c>
      <c r="T7424" s="18">
        <v>21707.96</v>
      </c>
      <c r="U7424" s="16"/>
      <c r="V7424" s="16"/>
      <c r="W7424" s="16" t="s">
        <v>40</v>
      </c>
      <c r="X7424" s="19">
        <v>34</v>
      </c>
      <c r="Y7424" s="20">
        <v>0.12</v>
      </c>
      <c r="Z7424" s="21">
        <v>4601004100695</v>
      </c>
    </row>
    <row r="7425" spans="1:26" ht="12" customHeight="1" outlineLevel="3" x14ac:dyDescent="0.2">
      <c r="A7425" s="14" t="s">
        <v>14220</v>
      </c>
      <c r="B7425" s="26" t="s">
        <v>14221</v>
      </c>
      <c r="C7425" s="52"/>
      <c r="D7425" s="55">
        <f t="shared" si="115"/>
        <v>0</v>
      </c>
      <c r="E7425" s="63" t="str">
        <f>HYPERLINK("https://www.sds-group.ru/product/shkaf-telekommunikatsionnyy-napolnyy-19-22u-600h600mm-dver-steklo-zadnyaya-dver-metall-razbo-04-2313/", "Инфо")</f>
        <v>Инфо</v>
      </c>
      <c r="F7425" s="16" t="s">
        <v>39</v>
      </c>
      <c r="G7425" s="15"/>
      <c r="H7425" s="15"/>
      <c r="I7425" s="15" t="s">
        <v>13441</v>
      </c>
      <c r="J7425" s="16" t="s">
        <v>100</v>
      </c>
      <c r="K7425" s="15"/>
      <c r="L7425" s="17">
        <v>1</v>
      </c>
      <c r="M7425" s="17">
        <v>1</v>
      </c>
      <c r="N7425" s="17">
        <v>1</v>
      </c>
      <c r="O7425" s="18">
        <v>65494.8</v>
      </c>
      <c r="P7425" s="18">
        <v>53684.26</v>
      </c>
      <c r="Q7425" s="18">
        <v>47811.199999999997</v>
      </c>
      <c r="R7425" s="18">
        <v>39189.51</v>
      </c>
      <c r="S7425" s="18">
        <v>44536.46</v>
      </c>
      <c r="T7425" s="18">
        <v>36505.300000000003</v>
      </c>
      <c r="U7425" s="16"/>
      <c r="V7425" s="16"/>
      <c r="W7425" s="16" t="s">
        <v>40</v>
      </c>
      <c r="X7425" s="19">
        <v>66</v>
      </c>
      <c r="Y7425" s="20">
        <v>0.26700000000000002</v>
      </c>
      <c r="Z7425" s="21">
        <v>4601004100824</v>
      </c>
    </row>
    <row r="7426" spans="1:26" ht="12" customHeight="1" outlineLevel="3" x14ac:dyDescent="0.2">
      <c r="A7426" s="14" t="s">
        <v>14222</v>
      </c>
      <c r="B7426" s="26" t="s">
        <v>14223</v>
      </c>
      <c r="C7426" s="52"/>
      <c r="D7426" s="55">
        <f t="shared" si="115"/>
        <v>0</v>
      </c>
      <c r="E7426" s="63" t="str">
        <f>HYPERLINK("https://www.sds-group.ru/product/shkaf-telekommunikatsionnyy-napolnyy-19-32u-600h600mm-dver-steklo-zadnyaya-dver-metall-razbo-04-2310/", "Инфо")</f>
        <v>Инфо</v>
      </c>
      <c r="F7426" s="16" t="s">
        <v>39</v>
      </c>
      <c r="G7426" s="15"/>
      <c r="H7426" s="15"/>
      <c r="I7426" s="15" t="s">
        <v>13441</v>
      </c>
      <c r="J7426" s="16" t="s">
        <v>100</v>
      </c>
      <c r="K7426" s="15"/>
      <c r="L7426" s="17">
        <v>1</v>
      </c>
      <c r="M7426" s="17">
        <v>1</v>
      </c>
      <c r="N7426" s="17">
        <v>1</v>
      </c>
      <c r="O7426" s="18">
        <v>85428</v>
      </c>
      <c r="P7426" s="18">
        <v>70022.95</v>
      </c>
      <c r="Q7426" s="18">
        <v>62362.44</v>
      </c>
      <c r="R7426" s="18">
        <v>51116.75</v>
      </c>
      <c r="S7426" s="18">
        <v>58091.040000000001</v>
      </c>
      <c r="T7426" s="18">
        <v>47615.61</v>
      </c>
      <c r="U7426" s="16"/>
      <c r="V7426" s="16"/>
      <c r="W7426" s="16" t="s">
        <v>40</v>
      </c>
      <c r="X7426" s="19">
        <v>75</v>
      </c>
      <c r="Y7426" s="20">
        <v>0.35499999999999998</v>
      </c>
      <c r="Z7426" s="21">
        <v>4601004100770</v>
      </c>
    </row>
    <row r="7427" spans="1:26" ht="12" customHeight="1" outlineLevel="3" x14ac:dyDescent="0.2">
      <c r="A7427" s="14" t="s">
        <v>14224</v>
      </c>
      <c r="B7427" s="26" t="s">
        <v>14225</v>
      </c>
      <c r="C7427" s="52"/>
      <c r="D7427" s="55">
        <f t="shared" si="115"/>
        <v>0</v>
      </c>
      <c r="E7427" s="63" t="str">
        <f>HYPERLINK("https://www.sds-group.ru/product/shkaf-telekommunikatsionnyy-napolnyy-19-42u-600h600mm-dver-steklo-zadnyaya-dver-metall-razbo-04-2305/", "Инфо")</f>
        <v>Инфо</v>
      </c>
      <c r="F7427" s="16" t="s">
        <v>39</v>
      </c>
      <c r="G7427" s="15"/>
      <c r="H7427" s="15"/>
      <c r="I7427" s="15" t="s">
        <v>13441</v>
      </c>
      <c r="J7427" s="16" t="s">
        <v>100</v>
      </c>
      <c r="K7427" s="15"/>
      <c r="L7427" s="17">
        <v>1</v>
      </c>
      <c r="M7427" s="17">
        <v>1</v>
      </c>
      <c r="N7427" s="17">
        <v>1</v>
      </c>
      <c r="O7427" s="18">
        <v>98242.3</v>
      </c>
      <c r="P7427" s="18">
        <v>80526.48</v>
      </c>
      <c r="Q7427" s="18">
        <v>71716.88</v>
      </c>
      <c r="R7427" s="18">
        <v>58784.33</v>
      </c>
      <c r="S7427" s="18">
        <v>66804.759999999995</v>
      </c>
      <c r="T7427" s="18">
        <v>54758</v>
      </c>
      <c r="U7427" s="16"/>
      <c r="V7427" s="16"/>
      <c r="W7427" s="16" t="s">
        <v>40</v>
      </c>
      <c r="X7427" s="19">
        <v>88</v>
      </c>
      <c r="Y7427" s="20">
        <v>0.44400000000000001</v>
      </c>
      <c r="Z7427" s="21">
        <v>4601004100879</v>
      </c>
    </row>
    <row r="7428" spans="1:26" ht="12" customHeight="1" outlineLevel="3" x14ac:dyDescent="0.2">
      <c r="A7428" s="14" t="s">
        <v>14226</v>
      </c>
      <c r="B7428" s="26" t="s">
        <v>14227</v>
      </c>
      <c r="C7428" s="52"/>
      <c r="D7428" s="55">
        <f t="shared" si="115"/>
        <v>0</v>
      </c>
      <c r="E7428" s="63" t="str">
        <f>HYPERLINK("https://www.sds-group.ru/product/shkaf-telekommunikatsionnyy-napolnyy-19-42u-600h800mm-dver-steklo-zadnyaya-dver-metall-razbo-04-2306/", "Инфо")</f>
        <v>Инфо</v>
      </c>
      <c r="F7428" s="16" t="s">
        <v>39</v>
      </c>
      <c r="G7428" s="15"/>
      <c r="H7428" s="15"/>
      <c r="I7428" s="15" t="s">
        <v>13441</v>
      </c>
      <c r="J7428" s="16" t="s">
        <v>100</v>
      </c>
      <c r="K7428" s="15"/>
      <c r="L7428" s="17">
        <v>1</v>
      </c>
      <c r="M7428" s="17">
        <v>1</v>
      </c>
      <c r="N7428" s="17">
        <v>1</v>
      </c>
      <c r="O7428" s="18">
        <v>116512.4</v>
      </c>
      <c r="P7428" s="18">
        <v>95501.97</v>
      </c>
      <c r="Q7428" s="18">
        <v>85054.05</v>
      </c>
      <c r="R7428" s="18">
        <v>69716.429999999993</v>
      </c>
      <c r="S7428" s="18">
        <v>79228.429999999993</v>
      </c>
      <c r="T7428" s="18">
        <v>64941.34</v>
      </c>
      <c r="U7428" s="16"/>
      <c r="V7428" s="16"/>
      <c r="W7428" s="16" t="s">
        <v>40</v>
      </c>
      <c r="X7428" s="19">
        <v>102</v>
      </c>
      <c r="Y7428" s="20">
        <v>0.45900000000000002</v>
      </c>
      <c r="Z7428" s="21">
        <v>4601004100886</v>
      </c>
    </row>
    <row r="7429" spans="1:26" ht="12" customHeight="1" outlineLevel="3" x14ac:dyDescent="0.2">
      <c r="A7429" s="14" t="s">
        <v>14228</v>
      </c>
      <c r="B7429" s="26" t="s">
        <v>14229</v>
      </c>
      <c r="C7429" s="52"/>
      <c r="D7429" s="55">
        <f t="shared" si="115"/>
        <v>0</v>
      </c>
      <c r="E7429" s="63" t="str">
        <f>HYPERLINK("https://www.sds-group.ru/product/shkaf-telekommunikatsionnyy-napolnyy-19-42u-600h800mm-perednyaya-i-zadnyaya-dver-perforatsiy-04-2334/", "Инфо")</f>
        <v>Инфо</v>
      </c>
      <c r="F7429" s="16" t="s">
        <v>39</v>
      </c>
      <c r="G7429" s="15"/>
      <c r="H7429" s="15"/>
      <c r="I7429" s="15" t="s">
        <v>13441</v>
      </c>
      <c r="J7429" s="16" t="s">
        <v>100</v>
      </c>
      <c r="K7429" s="15"/>
      <c r="L7429" s="17">
        <v>1</v>
      </c>
      <c r="M7429" s="17">
        <v>1</v>
      </c>
      <c r="N7429" s="17">
        <v>1</v>
      </c>
      <c r="O7429" s="18">
        <v>112116.11</v>
      </c>
      <c r="P7429" s="18">
        <v>91898.45</v>
      </c>
      <c r="Q7429" s="18">
        <v>81844.759999999995</v>
      </c>
      <c r="R7429" s="18">
        <v>67085.87</v>
      </c>
      <c r="S7429" s="18">
        <v>76238.95</v>
      </c>
      <c r="T7429" s="18">
        <v>62490.94</v>
      </c>
      <c r="U7429" s="16"/>
      <c r="V7429" s="16"/>
      <c r="W7429" s="16" t="s">
        <v>40</v>
      </c>
      <c r="X7429" s="19">
        <v>102</v>
      </c>
      <c r="Y7429" s="20">
        <v>0.45900000000000002</v>
      </c>
      <c r="Z7429" s="21">
        <v>4601004100947</v>
      </c>
    </row>
    <row r="7430" spans="1:26" ht="12" customHeight="1" outlineLevel="3" x14ac:dyDescent="0.2">
      <c r="A7430" s="14" t="s">
        <v>14230</v>
      </c>
      <c r="B7430" s="26" t="s">
        <v>14231</v>
      </c>
      <c r="C7430" s="52"/>
      <c r="D7430" s="55">
        <f t="shared" si="115"/>
        <v>0</v>
      </c>
      <c r="E7430" s="63" t="str">
        <f>HYPERLINK("https://www.sds-group.ru/product/shkaf-telekommunikatsionnyy-napolnyy-19-42u-800h800mm-dver-steklo-zadnyaya-dver-metall-razbo-04-2308/", "Инфо")</f>
        <v>Инфо</v>
      </c>
      <c r="F7430" s="16" t="s">
        <v>39</v>
      </c>
      <c r="G7430" s="15"/>
      <c r="H7430" s="15"/>
      <c r="I7430" s="15" t="s">
        <v>13441</v>
      </c>
      <c r="J7430" s="16" t="s">
        <v>100</v>
      </c>
      <c r="K7430" s="15"/>
      <c r="L7430" s="17">
        <v>1</v>
      </c>
      <c r="M7430" s="17">
        <v>1</v>
      </c>
      <c r="N7430" s="17">
        <v>1</v>
      </c>
      <c r="O7430" s="18">
        <v>132208.98000000001</v>
      </c>
      <c r="P7430" s="18">
        <v>108368.02</v>
      </c>
      <c r="Q7430" s="18">
        <v>96512.56</v>
      </c>
      <c r="R7430" s="18">
        <v>79108.66</v>
      </c>
      <c r="S7430" s="18">
        <v>89902.11</v>
      </c>
      <c r="T7430" s="18">
        <v>73690.25</v>
      </c>
      <c r="U7430" s="16"/>
      <c r="V7430" s="16"/>
      <c r="W7430" s="16" t="s">
        <v>40</v>
      </c>
      <c r="X7430" s="19">
        <v>127</v>
      </c>
      <c r="Y7430" s="20">
        <v>0.60599999999999998</v>
      </c>
      <c r="Z7430" s="21">
        <v>4601004100909</v>
      </c>
    </row>
    <row r="7431" spans="1:26" ht="12" customHeight="1" outlineLevel="3" x14ac:dyDescent="0.2">
      <c r="A7431" s="14" t="s">
        <v>14232</v>
      </c>
      <c r="B7431" s="26" t="s">
        <v>14233</v>
      </c>
      <c r="C7431" s="52"/>
      <c r="D7431" s="55">
        <f t="shared" si="115"/>
        <v>0</v>
      </c>
      <c r="E7431" s="63" t="str">
        <f>HYPERLINK("https://www.sds-group.ru/product/shkaf-telekommunikatsionnyy-napolnyy-19-32u-600h600mm-perednyaya-i-zadnyaya-dver-perforatsiy-04-2337/", "Инфо")</f>
        <v>Инфо</v>
      </c>
      <c r="F7431" s="16" t="s">
        <v>39</v>
      </c>
      <c r="G7431" s="15"/>
      <c r="H7431" s="15"/>
      <c r="I7431" s="15" t="s">
        <v>13441</v>
      </c>
      <c r="J7431" s="16" t="s">
        <v>100</v>
      </c>
      <c r="K7431" s="15"/>
      <c r="L7431" s="17">
        <v>1</v>
      </c>
      <c r="M7431" s="17">
        <v>1</v>
      </c>
      <c r="N7431" s="17">
        <v>1</v>
      </c>
      <c r="O7431" s="18">
        <v>87990.84</v>
      </c>
      <c r="P7431" s="18">
        <v>72123.64</v>
      </c>
      <c r="Q7431" s="18">
        <v>64233.31</v>
      </c>
      <c r="R7431" s="18">
        <v>52650.25</v>
      </c>
      <c r="S7431" s="18">
        <v>59833.77</v>
      </c>
      <c r="T7431" s="18">
        <v>49044.07</v>
      </c>
      <c r="U7431" s="16"/>
      <c r="V7431" s="16"/>
      <c r="W7431" s="16" t="s">
        <v>40</v>
      </c>
      <c r="X7431" s="19">
        <v>75</v>
      </c>
      <c r="Y7431" s="20">
        <v>0.35499999999999998</v>
      </c>
      <c r="Z7431" s="21">
        <v>4601004100800</v>
      </c>
    </row>
    <row r="7432" spans="1:26" ht="12.95" customHeight="1" x14ac:dyDescent="0.2">
      <c r="A7432" s="80" t="s">
        <v>14234</v>
      </c>
      <c r="B7432" s="80"/>
      <c r="C7432" s="81"/>
      <c r="D7432" s="56"/>
      <c r="E7432" s="66"/>
      <c r="F7432" s="11"/>
      <c r="G7432" s="11"/>
      <c r="H7432" s="11"/>
      <c r="I7432" s="11"/>
      <c r="J7432" s="11"/>
      <c r="K7432" s="11"/>
      <c r="L7432" s="11"/>
      <c r="M7432" s="11"/>
      <c r="N7432" s="11"/>
      <c r="O7432" s="11"/>
      <c r="P7432" s="11"/>
      <c r="Q7432" s="11"/>
      <c r="R7432" s="11"/>
      <c r="S7432" s="11"/>
      <c r="T7432" s="11"/>
      <c r="U7432" s="11"/>
      <c r="V7432" s="11"/>
      <c r="W7432" s="11"/>
      <c r="X7432" s="11"/>
      <c r="Y7432" s="11"/>
      <c r="Z7432" s="11"/>
    </row>
    <row r="7433" spans="1:26" ht="12.95" customHeight="1" outlineLevel="1" x14ac:dyDescent="0.2">
      <c r="A7433" s="78" t="s">
        <v>14235</v>
      </c>
      <c r="B7433" s="78"/>
      <c r="C7433" s="79"/>
      <c r="D7433" s="57"/>
      <c r="E7433" s="67"/>
      <c r="F7433" s="12"/>
      <c r="G7433" s="12"/>
      <c r="H7433" s="12"/>
      <c r="I7433" s="12"/>
      <c r="J7433" s="12"/>
      <c r="K7433" s="12"/>
      <c r="L7433" s="12"/>
      <c r="M7433" s="12"/>
      <c r="N7433" s="12"/>
      <c r="O7433" s="12"/>
      <c r="P7433" s="12"/>
      <c r="Q7433" s="12"/>
      <c r="R7433" s="12"/>
      <c r="S7433" s="12"/>
      <c r="T7433" s="12"/>
      <c r="U7433" s="12"/>
      <c r="V7433" s="12"/>
      <c r="W7433" s="12"/>
      <c r="X7433" s="12"/>
      <c r="Y7433" s="12"/>
      <c r="Z7433" s="12"/>
    </row>
    <row r="7434" spans="1:26" ht="12.95" customHeight="1" outlineLevel="2" x14ac:dyDescent="0.2">
      <c r="A7434" s="76" t="s">
        <v>14236</v>
      </c>
      <c r="B7434" s="76"/>
      <c r="C7434" s="77"/>
      <c r="D7434" s="58"/>
      <c r="E7434" s="68"/>
      <c r="F7434" s="13"/>
      <c r="G7434" s="13"/>
      <c r="H7434" s="13"/>
      <c r="I7434" s="13"/>
      <c r="J7434" s="13"/>
      <c r="K7434" s="13"/>
      <c r="L7434" s="13"/>
      <c r="M7434" s="13"/>
      <c r="N7434" s="13"/>
      <c r="O7434" s="13"/>
      <c r="P7434" s="13"/>
      <c r="Q7434" s="13"/>
      <c r="R7434" s="13"/>
      <c r="S7434" s="13"/>
      <c r="T7434" s="13"/>
      <c r="U7434" s="13"/>
      <c r="V7434" s="13"/>
      <c r="W7434" s="13"/>
      <c r="X7434" s="13"/>
      <c r="Y7434" s="13"/>
      <c r="Z7434" s="13"/>
    </row>
    <row r="7435" spans="1:26" ht="12.95" customHeight="1" outlineLevel="3" x14ac:dyDescent="0.2">
      <c r="A7435" s="82" t="s">
        <v>14237</v>
      </c>
      <c r="B7435" s="82"/>
      <c r="C7435" s="83"/>
      <c r="D7435" s="59"/>
      <c r="E7435" s="69"/>
      <c r="F7435" s="23"/>
      <c r="G7435" s="23"/>
      <c r="H7435" s="23"/>
      <c r="I7435" s="23"/>
      <c r="J7435" s="23"/>
      <c r="K7435" s="23"/>
      <c r="L7435" s="23"/>
      <c r="M7435" s="23"/>
      <c r="N7435" s="23"/>
      <c r="O7435" s="23"/>
      <c r="P7435" s="23"/>
      <c r="Q7435" s="23"/>
      <c r="R7435" s="23"/>
      <c r="S7435" s="23"/>
      <c r="T7435" s="23"/>
      <c r="U7435" s="23"/>
      <c r="V7435" s="23"/>
      <c r="W7435" s="23"/>
      <c r="X7435" s="23"/>
      <c r="Y7435" s="23"/>
      <c r="Z7435" s="23"/>
    </row>
    <row r="7436" spans="1:26" ht="12" customHeight="1" outlineLevel="4" x14ac:dyDescent="0.2">
      <c r="A7436" s="14" t="s">
        <v>14238</v>
      </c>
      <c r="B7436" s="26" t="s">
        <v>14239</v>
      </c>
      <c r="C7436" s="52"/>
      <c r="D7436" s="55">
        <f t="shared" ref="D7436:D7496" si="116">C7436*(O7436-O7436*$G$3)</f>
        <v>0</v>
      </c>
      <c r="E7436" s="63" t="str">
        <f>HYPERLINK("https://www.sds-group.ru/product/kabel-kvk-v-1-5-2x0-75-mm-cu-cu-belyy-200-m-rexant-01-4014/", "Инфо")</f>
        <v>Инфо</v>
      </c>
      <c r="F7436" s="16" t="s">
        <v>1887</v>
      </c>
      <c r="G7436" s="15"/>
      <c r="H7436" s="15"/>
      <c r="I7436" s="15"/>
      <c r="J7436" s="17">
        <v>39</v>
      </c>
      <c r="K7436" s="15"/>
      <c r="L7436" s="17">
        <v>1</v>
      </c>
      <c r="M7436" s="17">
        <v>2</v>
      </c>
      <c r="N7436" s="17">
        <v>1</v>
      </c>
      <c r="O7436" s="18">
        <v>16353.11</v>
      </c>
      <c r="P7436" s="18">
        <v>13404.19</v>
      </c>
      <c r="Q7436" s="18">
        <v>11937.77</v>
      </c>
      <c r="R7436" s="18">
        <v>9785.06</v>
      </c>
      <c r="S7436" s="18">
        <v>11120.11</v>
      </c>
      <c r="T7436" s="18">
        <v>9114.84</v>
      </c>
      <c r="U7436" s="16"/>
      <c r="V7436" s="16"/>
      <c r="W7436" s="16" t="s">
        <v>40</v>
      </c>
      <c r="X7436" s="19">
        <v>10.6</v>
      </c>
      <c r="Y7436" s="20">
        <v>1.4702E-2</v>
      </c>
      <c r="Z7436" s="21">
        <v>4601004031128</v>
      </c>
    </row>
    <row r="7437" spans="1:26" ht="12" customHeight="1" outlineLevel="4" x14ac:dyDescent="0.2">
      <c r="A7437" s="14" t="s">
        <v>14240</v>
      </c>
      <c r="B7437" s="26" t="s">
        <v>14241</v>
      </c>
      <c r="C7437" s="52"/>
      <c r="D7437" s="55">
        <f t="shared" si="116"/>
        <v>0</v>
      </c>
      <c r="E7437" s="63" t="str">
        <f>HYPERLINK("https://www.sds-group.ru/product/kabel-kvk-v-2-2x0-75-mm-cu-cca-96-belyy-200-m-proconnect-01-4108/", "Инфо")</f>
        <v>Инфо</v>
      </c>
      <c r="F7437" s="16" t="s">
        <v>1887</v>
      </c>
      <c r="G7437" s="15"/>
      <c r="H7437" s="15"/>
      <c r="I7437" s="15"/>
      <c r="J7437" s="17">
        <v>63</v>
      </c>
      <c r="K7437" s="15"/>
      <c r="L7437" s="17">
        <v>1</v>
      </c>
      <c r="M7437" s="17">
        <v>2</v>
      </c>
      <c r="N7437" s="17">
        <v>1</v>
      </c>
      <c r="O7437" s="18">
        <v>8417.65</v>
      </c>
      <c r="P7437" s="18">
        <v>6899.71</v>
      </c>
      <c r="Q7437" s="18">
        <v>6144.88</v>
      </c>
      <c r="R7437" s="18">
        <v>5036.79</v>
      </c>
      <c r="S7437" s="18">
        <v>5724</v>
      </c>
      <c r="T7437" s="18">
        <v>4691.8</v>
      </c>
      <c r="U7437" s="16"/>
      <c r="V7437" s="16"/>
      <c r="W7437" s="16" t="s">
        <v>40</v>
      </c>
      <c r="X7437" s="19">
        <v>11.227</v>
      </c>
      <c r="Y7437" s="20">
        <v>2.3042E-2</v>
      </c>
      <c r="Z7437" s="21">
        <v>4660008017149</v>
      </c>
    </row>
    <row r="7438" spans="1:26" ht="12" customHeight="1" outlineLevel="4" x14ac:dyDescent="0.2">
      <c r="A7438" s="14" t="s">
        <v>14242</v>
      </c>
      <c r="B7438" s="26" t="s">
        <v>14243</v>
      </c>
      <c r="C7438" s="52"/>
      <c r="D7438" s="55">
        <f t="shared" si="116"/>
        <v>0</v>
      </c>
      <c r="E7438" s="63" t="str">
        <f>HYPERLINK("https://www.sds-group.ru/product/kabel-kvk-v-2-2x0-75-mm-cu-cu-belyy-200-m-rexant-01-4101-1/", "Инфо")</f>
        <v>Инфо</v>
      </c>
      <c r="F7438" s="16" t="s">
        <v>1887</v>
      </c>
      <c r="G7438" s="15"/>
      <c r="H7438" s="15"/>
      <c r="I7438" s="15"/>
      <c r="J7438" s="17">
        <v>73</v>
      </c>
      <c r="K7438" s="15"/>
      <c r="L7438" s="17">
        <v>1</v>
      </c>
      <c r="M7438" s="17">
        <v>2</v>
      </c>
      <c r="N7438" s="17">
        <v>1</v>
      </c>
      <c r="O7438" s="18">
        <v>13336.72</v>
      </c>
      <c r="P7438" s="18">
        <v>10931.74</v>
      </c>
      <c r="Q7438" s="18">
        <v>9735.81</v>
      </c>
      <c r="R7438" s="18">
        <v>7980.17</v>
      </c>
      <c r="S7438" s="18">
        <v>9068.9699999999993</v>
      </c>
      <c r="T7438" s="18">
        <v>7433.58</v>
      </c>
      <c r="U7438" s="16"/>
      <c r="V7438" s="16"/>
      <c r="W7438" s="16" t="s">
        <v>40</v>
      </c>
      <c r="X7438" s="19">
        <v>12.744999999999999</v>
      </c>
      <c r="Y7438" s="20">
        <v>2.3970999999999999E-2</v>
      </c>
      <c r="Z7438" s="21">
        <v>4601004061774</v>
      </c>
    </row>
    <row r="7439" spans="1:26" ht="12" customHeight="1" outlineLevel="4" x14ac:dyDescent="0.2">
      <c r="A7439" s="14" t="s">
        <v>14244</v>
      </c>
      <c r="B7439" s="26" t="s">
        <v>14245</v>
      </c>
      <c r="C7439" s="52"/>
      <c r="D7439" s="55">
        <f t="shared" si="116"/>
        <v>0</v>
      </c>
      <c r="E7439" s="63" t="str">
        <f>HYPERLINK("https://www.sds-group.ru/product/kabel-kvk-p-1-5-2x0-75-mm-cu-cu-chernyy-200-m-rexant-01-4015/", "Инфо")</f>
        <v>Инфо</v>
      </c>
      <c r="F7439" s="16" t="s">
        <v>1887</v>
      </c>
      <c r="G7439" s="15"/>
      <c r="H7439" s="15"/>
      <c r="I7439" s="15"/>
      <c r="J7439" s="17">
        <v>99</v>
      </c>
      <c r="K7439" s="15"/>
      <c r="L7439" s="17">
        <v>1</v>
      </c>
      <c r="M7439" s="17">
        <v>2</v>
      </c>
      <c r="N7439" s="17">
        <v>1</v>
      </c>
      <c r="O7439" s="18">
        <v>16353.1</v>
      </c>
      <c r="P7439" s="18">
        <v>13404.18</v>
      </c>
      <c r="Q7439" s="18">
        <v>11937.76</v>
      </c>
      <c r="R7439" s="18">
        <v>9785.0499999999993</v>
      </c>
      <c r="S7439" s="18">
        <v>11120.11</v>
      </c>
      <c r="T7439" s="18">
        <v>9114.84</v>
      </c>
      <c r="U7439" s="16"/>
      <c r="V7439" s="16"/>
      <c r="W7439" s="16" t="s">
        <v>40</v>
      </c>
      <c r="X7439" s="19">
        <v>8.5719999999999992</v>
      </c>
      <c r="Y7439" s="20">
        <v>1.4848999999999999E-2</v>
      </c>
      <c r="Z7439" s="21">
        <v>4601004031135</v>
      </c>
    </row>
    <row r="7440" spans="1:26" ht="12" customHeight="1" outlineLevel="4" x14ac:dyDescent="0.2">
      <c r="A7440" s="14" t="s">
        <v>14246</v>
      </c>
      <c r="B7440" s="26" t="s">
        <v>14247</v>
      </c>
      <c r="C7440" s="52"/>
      <c r="D7440" s="55">
        <f t="shared" si="116"/>
        <v>0</v>
      </c>
      <c r="E7440" s="63" t="str">
        <f>HYPERLINK("https://www.sds-group.ru/product/kabel-kvk-p-2-2x0-75-mm-cu-cca-96-chernyy-200-m-proconnect-01-4109/", "Инфо")</f>
        <v>Инфо</v>
      </c>
      <c r="F7440" s="16" t="s">
        <v>1887</v>
      </c>
      <c r="G7440" s="15"/>
      <c r="H7440" s="15"/>
      <c r="I7440" s="15"/>
      <c r="J7440" s="17">
        <v>106</v>
      </c>
      <c r="K7440" s="15"/>
      <c r="L7440" s="17">
        <v>1</v>
      </c>
      <c r="M7440" s="17">
        <v>2</v>
      </c>
      <c r="N7440" s="17">
        <v>1</v>
      </c>
      <c r="O7440" s="18">
        <v>8417.64</v>
      </c>
      <c r="P7440" s="18">
        <v>6899.7</v>
      </c>
      <c r="Q7440" s="18">
        <v>6144.88</v>
      </c>
      <c r="R7440" s="18">
        <v>5036.79</v>
      </c>
      <c r="S7440" s="18">
        <v>5724</v>
      </c>
      <c r="T7440" s="18">
        <v>4691.8</v>
      </c>
      <c r="U7440" s="16"/>
      <c r="V7440" s="16"/>
      <c r="W7440" s="16" t="s">
        <v>40</v>
      </c>
      <c r="X7440" s="19">
        <v>9.39</v>
      </c>
      <c r="Y7440" s="20">
        <v>2.4362999999999999E-2</v>
      </c>
      <c r="Z7440" s="21">
        <v>4660008017132</v>
      </c>
    </row>
    <row r="7441" spans="1:26" ht="12" customHeight="1" outlineLevel="4" x14ac:dyDescent="0.2">
      <c r="A7441" s="14" t="s">
        <v>14248</v>
      </c>
      <c r="B7441" s="26" t="s">
        <v>14249</v>
      </c>
      <c r="C7441" s="52"/>
      <c r="D7441" s="55">
        <f t="shared" si="116"/>
        <v>0</v>
      </c>
      <c r="E7441" s="63" t="str">
        <f>HYPERLINK("https://www.sds-group.ru/product/kabel-kvk-p-2-2x0-75-mm-cu-cu-chernyy-200-m-rexant-01-4105/", "Инфо")</f>
        <v>Инфо</v>
      </c>
      <c r="F7441" s="16" t="s">
        <v>1887</v>
      </c>
      <c r="G7441" s="15"/>
      <c r="H7441" s="15"/>
      <c r="I7441" s="15"/>
      <c r="J7441" s="17">
        <v>75</v>
      </c>
      <c r="K7441" s="15" t="s">
        <v>6837</v>
      </c>
      <c r="L7441" s="17">
        <v>1</v>
      </c>
      <c r="M7441" s="17">
        <v>2</v>
      </c>
      <c r="N7441" s="17">
        <v>1</v>
      </c>
      <c r="O7441" s="18">
        <v>13336.72</v>
      </c>
      <c r="P7441" s="18">
        <v>10931.74</v>
      </c>
      <c r="Q7441" s="18">
        <v>9735.81</v>
      </c>
      <c r="R7441" s="18">
        <v>7980.17</v>
      </c>
      <c r="S7441" s="18">
        <v>9068.9699999999993</v>
      </c>
      <c r="T7441" s="18">
        <v>7433.58</v>
      </c>
      <c r="U7441" s="16"/>
      <c r="V7441" s="16"/>
      <c r="W7441" s="16" t="s">
        <v>40</v>
      </c>
      <c r="X7441" s="19">
        <v>10.352</v>
      </c>
      <c r="Y7441" s="20">
        <v>2.4351999999999999E-2</v>
      </c>
      <c r="Z7441" s="21">
        <v>4660008016609</v>
      </c>
    </row>
    <row r="7442" spans="1:26" ht="12" customHeight="1" outlineLevel="4" x14ac:dyDescent="0.2">
      <c r="A7442" s="14" t="s">
        <v>14250</v>
      </c>
      <c r="B7442" s="26" t="s">
        <v>14251</v>
      </c>
      <c r="C7442" s="52"/>
      <c r="D7442" s="55">
        <f t="shared" si="116"/>
        <v>0</v>
      </c>
      <c r="E7442" s="63" t="str">
        <f>HYPERLINK("https://www.sds-group.ru/product/kabel-kvk-p-2-2x0-75-mm-tros-cu-cu-chernyy-305-m-rexant-01-4107/", "Инфо")</f>
        <v>Инфо</v>
      </c>
      <c r="F7442" s="16" t="s">
        <v>1887</v>
      </c>
      <c r="G7442" s="15"/>
      <c r="H7442" s="15"/>
      <c r="I7442" s="15"/>
      <c r="J7442" s="17">
        <v>28</v>
      </c>
      <c r="K7442" s="15"/>
      <c r="L7442" s="17">
        <v>1</v>
      </c>
      <c r="M7442" s="17">
        <v>1</v>
      </c>
      <c r="N7442" s="17">
        <v>1</v>
      </c>
      <c r="O7442" s="18">
        <v>25010.98</v>
      </c>
      <c r="P7442" s="18">
        <v>20500.8</v>
      </c>
      <c r="Q7442" s="18">
        <v>18258.02</v>
      </c>
      <c r="R7442" s="18">
        <v>14965.59</v>
      </c>
      <c r="S7442" s="18">
        <v>17007.47</v>
      </c>
      <c r="T7442" s="18">
        <v>13940.55</v>
      </c>
      <c r="U7442" s="16"/>
      <c r="V7442" s="16"/>
      <c r="W7442" s="16" t="s">
        <v>40</v>
      </c>
      <c r="X7442" s="19">
        <v>21.033000000000001</v>
      </c>
      <c r="Y7442" s="20">
        <v>4.4852999999999997E-2</v>
      </c>
      <c r="Z7442" s="21">
        <v>4601004001060</v>
      </c>
    </row>
    <row r="7443" spans="1:26" ht="12.95" customHeight="1" outlineLevel="3" x14ac:dyDescent="0.2">
      <c r="A7443" s="82" t="s">
        <v>14252</v>
      </c>
      <c r="B7443" s="82"/>
      <c r="C7443" s="83"/>
      <c r="D7443" s="59"/>
      <c r="E7443" s="69"/>
      <c r="F7443" s="23"/>
      <c r="G7443" s="23"/>
      <c r="H7443" s="23"/>
      <c r="I7443" s="23"/>
      <c r="J7443" s="23"/>
      <c r="K7443" s="23"/>
      <c r="L7443" s="23"/>
      <c r="M7443" s="23"/>
      <c r="N7443" s="23"/>
      <c r="O7443" s="23"/>
      <c r="P7443" s="23"/>
      <c r="Q7443" s="23"/>
      <c r="R7443" s="23"/>
      <c r="S7443" s="23"/>
      <c r="T7443" s="23"/>
      <c r="U7443" s="23"/>
      <c r="V7443" s="23"/>
      <c r="W7443" s="23"/>
      <c r="X7443" s="23"/>
      <c r="Y7443" s="23"/>
      <c r="Z7443" s="23"/>
    </row>
    <row r="7444" spans="1:26" ht="12" customHeight="1" outlineLevel="4" x14ac:dyDescent="0.2">
      <c r="A7444" s="14" t="s">
        <v>14253</v>
      </c>
      <c r="B7444" s="26" t="s">
        <v>14254</v>
      </c>
      <c r="C7444" s="52"/>
      <c r="D7444" s="55">
        <f t="shared" si="116"/>
        <v>0</v>
      </c>
      <c r="E7444" s="63" t="str">
        <f>HYPERLINK("https://www.sds-group.ru/product/kabel-kvk-v-1-5-2x0-50-mm-cu-cu-belyy-200-m-rexant-01-4012/", "Инфо")</f>
        <v>Инфо</v>
      </c>
      <c r="F7444" s="16" t="s">
        <v>1887</v>
      </c>
      <c r="G7444" s="15"/>
      <c r="H7444" s="15"/>
      <c r="I7444" s="15"/>
      <c r="J7444" s="17">
        <v>105</v>
      </c>
      <c r="K7444" s="15"/>
      <c r="L7444" s="17">
        <v>1</v>
      </c>
      <c r="M7444" s="17">
        <v>2</v>
      </c>
      <c r="N7444" s="17">
        <v>1</v>
      </c>
      <c r="O7444" s="18">
        <v>10312.91</v>
      </c>
      <c r="P7444" s="18">
        <v>8453.2000000000007</v>
      </c>
      <c r="Q7444" s="18">
        <v>7528.42</v>
      </c>
      <c r="R7444" s="18">
        <v>6170.84</v>
      </c>
      <c r="S7444" s="18">
        <v>7012.78</v>
      </c>
      <c r="T7444" s="18">
        <v>5748.18</v>
      </c>
      <c r="U7444" s="16"/>
      <c r="V7444" s="16"/>
      <c r="W7444" s="16" t="s">
        <v>40</v>
      </c>
      <c r="X7444" s="19">
        <v>8.0039999999999996</v>
      </c>
      <c r="Y7444" s="20">
        <v>1.3854E-2</v>
      </c>
      <c r="Z7444" s="21">
        <v>4601004031166</v>
      </c>
    </row>
    <row r="7445" spans="1:26" ht="12" customHeight="1" outlineLevel="4" x14ac:dyDescent="0.2">
      <c r="A7445" s="14" t="s">
        <v>14255</v>
      </c>
      <c r="B7445" s="26" t="s">
        <v>14256</v>
      </c>
      <c r="C7445" s="52"/>
      <c r="D7445" s="55">
        <f t="shared" si="116"/>
        <v>0</v>
      </c>
      <c r="E7445" s="63" t="str">
        <f>HYPERLINK("https://www.sds-group.ru/product/kabel-kvk-v-2-2x0-50-mm-cu-cca-96-belyy-200-m-proconnect-01-4216/", "Инфо")</f>
        <v>Инфо</v>
      </c>
      <c r="F7445" s="16" t="s">
        <v>1887</v>
      </c>
      <c r="G7445" s="15"/>
      <c r="H7445" s="15"/>
      <c r="I7445" s="15"/>
      <c r="J7445" s="17">
        <v>11</v>
      </c>
      <c r="K7445" s="15"/>
      <c r="L7445" s="17">
        <v>1</v>
      </c>
      <c r="M7445" s="17">
        <v>2</v>
      </c>
      <c r="N7445" s="17">
        <v>1</v>
      </c>
      <c r="O7445" s="18">
        <v>7170.58</v>
      </c>
      <c r="P7445" s="18">
        <v>5877.52</v>
      </c>
      <c r="Q7445" s="18">
        <v>5234.5200000000004</v>
      </c>
      <c r="R7445" s="18">
        <v>4290.59</v>
      </c>
      <c r="S7445" s="18">
        <v>4875.99</v>
      </c>
      <c r="T7445" s="18">
        <v>3996.71</v>
      </c>
      <c r="U7445" s="16"/>
      <c r="V7445" s="16"/>
      <c r="W7445" s="16" t="s">
        <v>40</v>
      </c>
      <c r="X7445" s="19">
        <v>10.983000000000001</v>
      </c>
      <c r="Y7445" s="20">
        <v>2.1425E-2</v>
      </c>
      <c r="Z7445" s="21">
        <v>4660008017163</v>
      </c>
    </row>
    <row r="7446" spans="1:26" ht="12" customHeight="1" outlineLevel="4" x14ac:dyDescent="0.2">
      <c r="A7446" s="14" t="s">
        <v>14257</v>
      </c>
      <c r="B7446" s="26" t="s">
        <v>14258</v>
      </c>
      <c r="C7446" s="52"/>
      <c r="D7446" s="55">
        <f t="shared" si="116"/>
        <v>0</v>
      </c>
      <c r="E7446" s="63" t="str">
        <f>HYPERLINK("https://www.sds-group.ru/product/kabel-kvk-v-2-2x0-50-mm-cu-cu-belyy-200-m-proconnect-01-4213/", "Инфо")</f>
        <v>Инфо</v>
      </c>
      <c r="F7446" s="16" t="s">
        <v>1887</v>
      </c>
      <c r="G7446" s="15"/>
      <c r="H7446" s="15"/>
      <c r="I7446" s="15"/>
      <c r="J7446" s="17">
        <v>13</v>
      </c>
      <c r="K7446" s="15" t="s">
        <v>662</v>
      </c>
      <c r="L7446" s="17">
        <v>1</v>
      </c>
      <c r="M7446" s="17">
        <v>2</v>
      </c>
      <c r="N7446" s="17">
        <v>1</v>
      </c>
      <c r="O7446" s="18">
        <v>11257.37</v>
      </c>
      <c r="P7446" s="18">
        <v>9227.35</v>
      </c>
      <c r="Q7446" s="18">
        <v>8217.8799999999992</v>
      </c>
      <c r="R7446" s="18">
        <v>6735.97</v>
      </c>
      <c r="S7446" s="18">
        <v>7655.01</v>
      </c>
      <c r="T7446" s="18">
        <v>6274.6</v>
      </c>
      <c r="U7446" s="16"/>
      <c r="V7446" s="16"/>
      <c r="W7446" s="16" t="s">
        <v>40</v>
      </c>
      <c r="X7446" s="19">
        <v>12.388999999999999</v>
      </c>
      <c r="Y7446" s="20">
        <v>2.5219999999999999E-2</v>
      </c>
      <c r="Z7446" s="21">
        <v>4660008017576</v>
      </c>
    </row>
    <row r="7447" spans="1:26" ht="12" customHeight="1" outlineLevel="4" x14ac:dyDescent="0.2">
      <c r="A7447" s="14" t="s">
        <v>14259</v>
      </c>
      <c r="B7447" s="26" t="s">
        <v>14260</v>
      </c>
      <c r="C7447" s="52"/>
      <c r="D7447" s="55">
        <f t="shared" si="116"/>
        <v>0</v>
      </c>
      <c r="E7447" s="63" t="str">
        <f>HYPERLINK("https://www.sds-group.ru/product/kabel-kvk-p-1-5-2x0-50-mm-cu-cu-chernyy-200-m-rexant-01-4013/", "Инфо")</f>
        <v>Инфо</v>
      </c>
      <c r="F7447" s="16" t="s">
        <v>1887</v>
      </c>
      <c r="G7447" s="15"/>
      <c r="H7447" s="15"/>
      <c r="I7447" s="15"/>
      <c r="J7447" s="16" t="s">
        <v>100</v>
      </c>
      <c r="K7447" s="15"/>
      <c r="L7447" s="17">
        <v>1</v>
      </c>
      <c r="M7447" s="17">
        <v>2</v>
      </c>
      <c r="N7447" s="17">
        <v>1</v>
      </c>
      <c r="O7447" s="18">
        <v>10312.91</v>
      </c>
      <c r="P7447" s="18">
        <v>8453.2000000000007</v>
      </c>
      <c r="Q7447" s="18">
        <v>7528.42</v>
      </c>
      <c r="R7447" s="18">
        <v>6170.84</v>
      </c>
      <c r="S7447" s="18">
        <v>7012.78</v>
      </c>
      <c r="T7447" s="18">
        <v>5748.18</v>
      </c>
      <c r="U7447" s="16"/>
      <c r="V7447" s="16"/>
      <c r="W7447" s="16" t="s">
        <v>40</v>
      </c>
      <c r="X7447" s="19">
        <v>8.56</v>
      </c>
      <c r="Y7447" s="20">
        <v>1.4862E-2</v>
      </c>
      <c r="Z7447" s="21">
        <v>4601004031173</v>
      </c>
    </row>
    <row r="7448" spans="1:26" ht="12" customHeight="1" outlineLevel="4" x14ac:dyDescent="0.2">
      <c r="A7448" s="14" t="s">
        <v>14261</v>
      </c>
      <c r="B7448" s="26" t="s">
        <v>14262</v>
      </c>
      <c r="C7448" s="52"/>
      <c r="D7448" s="55">
        <f t="shared" si="116"/>
        <v>0</v>
      </c>
      <c r="E7448" s="63" t="str">
        <f>HYPERLINK("https://www.sds-group.ru/product/kabel-kvk-p-2-2x0-50-mm-cu-cca-96-chernyy-200-m-proconnect-01-4215/", "Инфо")</f>
        <v>Инфо</v>
      </c>
      <c r="F7448" s="16" t="s">
        <v>1887</v>
      </c>
      <c r="G7448" s="15"/>
      <c r="H7448" s="15"/>
      <c r="I7448" s="15"/>
      <c r="J7448" s="17">
        <v>52</v>
      </c>
      <c r="K7448" s="15"/>
      <c r="L7448" s="17">
        <v>1</v>
      </c>
      <c r="M7448" s="17">
        <v>2</v>
      </c>
      <c r="N7448" s="17">
        <v>1</v>
      </c>
      <c r="O7448" s="18">
        <v>7170.58</v>
      </c>
      <c r="P7448" s="18">
        <v>5877.52</v>
      </c>
      <c r="Q7448" s="18">
        <v>5234.5200000000004</v>
      </c>
      <c r="R7448" s="18">
        <v>4290.59</v>
      </c>
      <c r="S7448" s="18">
        <v>4875.99</v>
      </c>
      <c r="T7448" s="18">
        <v>3996.71</v>
      </c>
      <c r="U7448" s="16"/>
      <c r="V7448" s="16"/>
      <c r="W7448" s="16" t="s">
        <v>40</v>
      </c>
      <c r="X7448" s="19">
        <v>8.6219999999999999</v>
      </c>
      <c r="Y7448" s="20">
        <v>2.1597999999999999E-2</v>
      </c>
      <c r="Z7448" s="21">
        <v>4601004084629</v>
      </c>
    </row>
    <row r="7449" spans="1:26" ht="12" customHeight="1" outlineLevel="4" x14ac:dyDescent="0.2">
      <c r="A7449" s="14" t="s">
        <v>14263</v>
      </c>
      <c r="B7449" s="26" t="s">
        <v>14264</v>
      </c>
      <c r="C7449" s="52"/>
      <c r="D7449" s="55">
        <f t="shared" si="116"/>
        <v>0</v>
      </c>
      <c r="E7449" s="63" t="str">
        <f>HYPERLINK("https://www.sds-group.ru/product/kabel-kvk-p-2-2x0-50-mm-cu-cu-chernyy-200-m-proconnect-01-4214/", "Инфо")</f>
        <v>Инфо</v>
      </c>
      <c r="F7449" s="16" t="s">
        <v>1887</v>
      </c>
      <c r="G7449" s="15"/>
      <c r="H7449" s="15"/>
      <c r="I7449" s="15"/>
      <c r="J7449" s="17">
        <v>40</v>
      </c>
      <c r="K7449" s="15" t="s">
        <v>6837</v>
      </c>
      <c r="L7449" s="17">
        <v>1</v>
      </c>
      <c r="M7449" s="17">
        <v>2</v>
      </c>
      <c r="N7449" s="17">
        <v>1</v>
      </c>
      <c r="O7449" s="18">
        <v>11470.2</v>
      </c>
      <c r="P7449" s="18">
        <v>9401.7999999999993</v>
      </c>
      <c r="Q7449" s="18">
        <v>8373.25</v>
      </c>
      <c r="R7449" s="18">
        <v>6863.32</v>
      </c>
      <c r="S7449" s="18">
        <v>7799.74</v>
      </c>
      <c r="T7449" s="18">
        <v>6393.23</v>
      </c>
      <c r="U7449" s="16"/>
      <c r="V7449" s="16"/>
      <c r="W7449" s="16" t="s">
        <v>40</v>
      </c>
      <c r="X7449" s="19">
        <v>9.8510000000000009</v>
      </c>
      <c r="Y7449" s="20">
        <v>2.5308000000000001E-2</v>
      </c>
      <c r="Z7449" s="21">
        <v>4660008017583</v>
      </c>
    </row>
    <row r="7450" spans="1:26" ht="12.95" customHeight="1" outlineLevel="3" x14ac:dyDescent="0.2">
      <c r="A7450" s="82" t="s">
        <v>14265</v>
      </c>
      <c r="B7450" s="82"/>
      <c r="C7450" s="83"/>
      <c r="D7450" s="59"/>
      <c r="E7450" s="69"/>
      <c r="F7450" s="23"/>
      <c r="G7450" s="23"/>
      <c r="H7450" s="23"/>
      <c r="I7450" s="23"/>
      <c r="J7450" s="23"/>
      <c r="K7450" s="23"/>
      <c r="L7450" s="23"/>
      <c r="M7450" s="23"/>
      <c r="N7450" s="23"/>
      <c r="O7450" s="23"/>
      <c r="P7450" s="23"/>
      <c r="Q7450" s="23"/>
      <c r="R7450" s="23"/>
      <c r="S7450" s="23"/>
      <c r="T7450" s="23"/>
      <c r="U7450" s="23"/>
      <c r="V7450" s="23"/>
      <c r="W7450" s="23"/>
      <c r="X7450" s="23"/>
      <c r="Y7450" s="23"/>
      <c r="Z7450" s="23"/>
    </row>
    <row r="7451" spans="1:26" ht="12" customHeight="1" outlineLevel="4" x14ac:dyDescent="0.2">
      <c r="A7451" s="14" t="s">
        <v>14266</v>
      </c>
      <c r="B7451" s="26" t="s">
        <v>14267</v>
      </c>
      <c r="C7451" s="52"/>
      <c r="D7451" s="55">
        <f t="shared" si="116"/>
        <v>0</v>
      </c>
      <c r="E7451" s="63" t="str">
        <f>HYPERLINK("https://www.sds-group.ru/product/kabel-kksv-v-2h0-5-mm-100-m-belyy-rexant-01-4001/", "Инфо")</f>
        <v>Инфо</v>
      </c>
      <c r="F7451" s="16" t="s">
        <v>1887</v>
      </c>
      <c r="G7451" s="15"/>
      <c r="H7451" s="15"/>
      <c r="I7451" s="15"/>
      <c r="J7451" s="17">
        <v>475</v>
      </c>
      <c r="K7451" s="15" t="s">
        <v>662</v>
      </c>
      <c r="L7451" s="17">
        <v>1</v>
      </c>
      <c r="M7451" s="17">
        <v>6</v>
      </c>
      <c r="N7451" s="17">
        <v>1</v>
      </c>
      <c r="O7451" s="18">
        <v>4467.93</v>
      </c>
      <c r="P7451" s="18">
        <v>3662.24</v>
      </c>
      <c r="Q7451" s="18">
        <v>3261.59</v>
      </c>
      <c r="R7451" s="18">
        <v>2673.43</v>
      </c>
      <c r="S7451" s="18">
        <v>3038.19</v>
      </c>
      <c r="T7451" s="18">
        <v>2490.3200000000002</v>
      </c>
      <c r="U7451" s="16"/>
      <c r="V7451" s="16"/>
      <c r="W7451" s="16" t="s">
        <v>40</v>
      </c>
      <c r="X7451" s="19">
        <v>3.6419999999999999</v>
      </c>
      <c r="Y7451" s="20">
        <v>6.6990000000000001E-3</v>
      </c>
      <c r="Z7451" s="21">
        <v>4660008016517</v>
      </c>
    </row>
    <row r="7452" spans="1:26" ht="12" customHeight="1" outlineLevel="4" x14ac:dyDescent="0.2">
      <c r="A7452" s="14" t="s">
        <v>14268</v>
      </c>
      <c r="B7452" s="26" t="s">
        <v>14269</v>
      </c>
      <c r="C7452" s="52"/>
      <c r="D7452" s="55">
        <f t="shared" si="116"/>
        <v>0</v>
      </c>
      <c r="E7452" s="63" t="str">
        <f>HYPERLINK("https://www.sds-group.ru/product/kabel-kksv-v-2h0-5-mm-305-m-belyy-rexant-01-4003/", "Инфо")</f>
        <v>Инфо</v>
      </c>
      <c r="F7452" s="16" t="s">
        <v>1887</v>
      </c>
      <c r="G7452" s="15"/>
      <c r="H7452" s="15"/>
      <c r="I7452" s="15"/>
      <c r="J7452" s="16" t="s">
        <v>100</v>
      </c>
      <c r="K7452" s="15"/>
      <c r="L7452" s="17">
        <v>1</v>
      </c>
      <c r="M7452" s="17">
        <v>2</v>
      </c>
      <c r="N7452" s="17">
        <v>1</v>
      </c>
      <c r="O7452" s="18">
        <v>14652.94</v>
      </c>
      <c r="P7452" s="18">
        <v>12010.61</v>
      </c>
      <c r="Q7452" s="18">
        <v>10696.65</v>
      </c>
      <c r="R7452" s="18">
        <v>8767.75</v>
      </c>
      <c r="S7452" s="18">
        <v>9964</v>
      </c>
      <c r="T7452" s="18">
        <v>8167.21</v>
      </c>
      <c r="U7452" s="16"/>
      <c r="V7452" s="16"/>
      <c r="W7452" s="16" t="s">
        <v>40</v>
      </c>
      <c r="X7452" s="19">
        <v>10.683999999999999</v>
      </c>
      <c r="Y7452" s="20">
        <v>2.2221000000000001E-2</v>
      </c>
      <c r="Z7452" s="21">
        <v>4660008016524</v>
      </c>
    </row>
    <row r="7453" spans="1:26" ht="12" customHeight="1" outlineLevel="4" x14ac:dyDescent="0.2">
      <c r="A7453" s="14" t="s">
        <v>14270</v>
      </c>
      <c r="B7453" s="26" t="s">
        <v>14271</v>
      </c>
      <c r="C7453" s="52"/>
      <c r="D7453" s="55">
        <f t="shared" si="116"/>
        <v>0</v>
      </c>
      <c r="E7453" s="63" t="str">
        <f>HYPERLINK("https://www.sds-group.ru/product/kabel-kksv-v-4h0-5-mm-100-m-belyy-rexant-01-4021/", "Инфо")</f>
        <v>Инфо</v>
      </c>
      <c r="F7453" s="16" t="s">
        <v>1887</v>
      </c>
      <c r="G7453" s="15"/>
      <c r="H7453" s="15"/>
      <c r="I7453" s="15"/>
      <c r="J7453" s="17">
        <v>43</v>
      </c>
      <c r="K7453" s="15"/>
      <c r="L7453" s="17">
        <v>1</v>
      </c>
      <c r="M7453" s="17">
        <v>6</v>
      </c>
      <c r="N7453" s="17">
        <v>1</v>
      </c>
      <c r="O7453" s="18">
        <v>7014.71</v>
      </c>
      <c r="P7453" s="18">
        <v>5749.76</v>
      </c>
      <c r="Q7453" s="18">
        <v>5120.74</v>
      </c>
      <c r="R7453" s="18">
        <v>4197.33</v>
      </c>
      <c r="S7453" s="18">
        <v>4770</v>
      </c>
      <c r="T7453" s="18">
        <v>3909.84</v>
      </c>
      <c r="U7453" s="16"/>
      <c r="V7453" s="16"/>
      <c r="W7453" s="16" t="s">
        <v>40</v>
      </c>
      <c r="X7453" s="19">
        <v>4.077</v>
      </c>
      <c r="Y7453" s="20">
        <v>8.0510000000000009E-3</v>
      </c>
      <c r="Z7453" s="21">
        <v>4660008016531</v>
      </c>
    </row>
    <row r="7454" spans="1:26" ht="12" customHeight="1" outlineLevel="4" x14ac:dyDescent="0.2">
      <c r="A7454" s="14" t="s">
        <v>14272</v>
      </c>
      <c r="B7454" s="26" t="s">
        <v>14273</v>
      </c>
      <c r="C7454" s="52"/>
      <c r="D7454" s="55">
        <f t="shared" si="116"/>
        <v>0</v>
      </c>
      <c r="E7454" s="63" t="str">
        <f>HYPERLINK("https://www.sds-group.ru/product/kabel-kksv-p-2h0-5-mm-100-m-chernyy-rexant-01-4002/", "Инфо")</f>
        <v>Инфо</v>
      </c>
      <c r="F7454" s="16" t="s">
        <v>1887</v>
      </c>
      <c r="G7454" s="15"/>
      <c r="H7454" s="15"/>
      <c r="I7454" s="15"/>
      <c r="J7454" s="17">
        <v>342</v>
      </c>
      <c r="K7454" s="15"/>
      <c r="L7454" s="17">
        <v>1</v>
      </c>
      <c r="M7454" s="17">
        <v>6</v>
      </c>
      <c r="N7454" s="17">
        <v>1</v>
      </c>
      <c r="O7454" s="18">
        <v>4467.93</v>
      </c>
      <c r="P7454" s="18">
        <v>3662.24</v>
      </c>
      <c r="Q7454" s="18">
        <v>3261.59</v>
      </c>
      <c r="R7454" s="18">
        <v>2673.43</v>
      </c>
      <c r="S7454" s="18">
        <v>3038.19</v>
      </c>
      <c r="T7454" s="18">
        <v>2490.3200000000002</v>
      </c>
      <c r="U7454" s="16"/>
      <c r="V7454" s="16"/>
      <c r="W7454" s="16" t="s">
        <v>40</v>
      </c>
      <c r="X7454" s="19">
        <v>2.5640000000000001</v>
      </c>
      <c r="Y7454" s="20">
        <v>8.5979999999999997E-3</v>
      </c>
      <c r="Z7454" s="21">
        <v>4660008011598</v>
      </c>
    </row>
    <row r="7455" spans="1:26" ht="12" customHeight="1" outlineLevel="4" x14ac:dyDescent="0.2">
      <c r="A7455" s="14" t="s">
        <v>14274</v>
      </c>
      <c r="B7455" s="26" t="s">
        <v>14275</v>
      </c>
      <c r="C7455" s="52"/>
      <c r="D7455" s="55">
        <f t="shared" si="116"/>
        <v>0</v>
      </c>
      <c r="E7455" s="63" t="str">
        <f>HYPERLINK("https://www.sds-group.ru/product/kabel-kksv-p-2h0-5-mm-305-m-chernyy-rexant-01-4004/", "Инфо")</f>
        <v>Инфо</v>
      </c>
      <c r="F7455" s="16" t="s">
        <v>1887</v>
      </c>
      <c r="G7455" s="15"/>
      <c r="H7455" s="15"/>
      <c r="I7455" s="15"/>
      <c r="J7455" s="16" t="s">
        <v>100</v>
      </c>
      <c r="K7455" s="15"/>
      <c r="L7455" s="17">
        <v>1</v>
      </c>
      <c r="M7455" s="17">
        <v>2</v>
      </c>
      <c r="N7455" s="17">
        <v>1</v>
      </c>
      <c r="O7455" s="18">
        <v>14652.94</v>
      </c>
      <c r="P7455" s="18">
        <v>12010.61</v>
      </c>
      <c r="Q7455" s="18">
        <v>10696.65</v>
      </c>
      <c r="R7455" s="18">
        <v>8767.75</v>
      </c>
      <c r="S7455" s="18">
        <v>9964</v>
      </c>
      <c r="T7455" s="18">
        <v>8167.21</v>
      </c>
      <c r="U7455" s="16"/>
      <c r="V7455" s="16"/>
      <c r="W7455" s="16" t="s">
        <v>40</v>
      </c>
      <c r="X7455" s="19">
        <v>8.3930000000000007</v>
      </c>
      <c r="Y7455" s="20">
        <v>2.6520999999999999E-2</v>
      </c>
      <c r="Z7455" s="21">
        <v>4660008016654</v>
      </c>
    </row>
    <row r="7456" spans="1:26" ht="12" customHeight="1" outlineLevel="4" x14ac:dyDescent="0.2">
      <c r="A7456" s="14" t="s">
        <v>14276</v>
      </c>
      <c r="B7456" s="26" t="s">
        <v>14277</v>
      </c>
      <c r="C7456" s="52"/>
      <c r="D7456" s="55">
        <f t="shared" si="116"/>
        <v>0</v>
      </c>
      <c r="E7456" s="63" t="str">
        <f>HYPERLINK("https://www.sds-group.ru/product/kabel-kksv-p-4h0-5-mm-100-m-chernyy-rexant-01-4022/", "Инфо")</f>
        <v>Инфо</v>
      </c>
      <c r="F7456" s="16" t="s">
        <v>1887</v>
      </c>
      <c r="G7456" s="15"/>
      <c r="H7456" s="15"/>
      <c r="I7456" s="15"/>
      <c r="J7456" s="17">
        <v>114</v>
      </c>
      <c r="K7456" s="15"/>
      <c r="L7456" s="17">
        <v>1</v>
      </c>
      <c r="M7456" s="17">
        <v>6</v>
      </c>
      <c r="N7456" s="17">
        <v>1</v>
      </c>
      <c r="O7456" s="18">
        <v>7014.7</v>
      </c>
      <c r="P7456" s="18">
        <v>5749.75</v>
      </c>
      <c r="Q7456" s="18">
        <v>5120.7299999999996</v>
      </c>
      <c r="R7456" s="18">
        <v>4197.32</v>
      </c>
      <c r="S7456" s="18">
        <v>4770</v>
      </c>
      <c r="T7456" s="18">
        <v>3909.84</v>
      </c>
      <c r="U7456" s="16"/>
      <c r="V7456" s="16"/>
      <c r="W7456" s="16" t="s">
        <v>40</v>
      </c>
      <c r="X7456" s="19">
        <v>2.93</v>
      </c>
      <c r="Y7456" s="20">
        <v>7.0260000000000001E-3</v>
      </c>
      <c r="Z7456" s="21">
        <v>4660008016548</v>
      </c>
    </row>
    <row r="7457" spans="1:26" ht="12.95" customHeight="1" outlineLevel="3" x14ac:dyDescent="0.2">
      <c r="A7457" s="82" t="s">
        <v>14278</v>
      </c>
      <c r="B7457" s="82"/>
      <c r="C7457" s="83"/>
      <c r="D7457" s="59"/>
      <c r="E7457" s="69"/>
      <c r="F7457" s="23"/>
      <c r="G7457" s="23"/>
      <c r="H7457" s="23"/>
      <c r="I7457" s="23"/>
      <c r="J7457" s="23"/>
      <c r="K7457" s="23"/>
      <c r="L7457" s="23"/>
      <c r="M7457" s="23"/>
      <c r="N7457" s="23"/>
      <c r="O7457" s="23"/>
      <c r="P7457" s="23"/>
      <c r="Q7457" s="23"/>
      <c r="R7457" s="23"/>
      <c r="S7457" s="23"/>
      <c r="T7457" s="23"/>
      <c r="U7457" s="23"/>
      <c r="V7457" s="23"/>
      <c r="W7457" s="23"/>
      <c r="X7457" s="23"/>
      <c r="Y7457" s="23"/>
      <c r="Z7457" s="23"/>
    </row>
    <row r="7458" spans="1:26" ht="12" customHeight="1" outlineLevel="4" x14ac:dyDescent="0.2">
      <c r="A7458" s="14" t="s">
        <v>14279</v>
      </c>
      <c r="B7458" s="26" t="s">
        <v>14280</v>
      </c>
      <c r="C7458" s="52"/>
      <c r="D7458" s="55">
        <f t="shared" si="116"/>
        <v>0</v>
      </c>
      <c r="E7458" s="63" t="str">
        <f>HYPERLINK("https://www.sds-group.ru/product/kabel-shvev-shsm-3x0-12-mm-200-m-belyy-rexant-01-4033/", "Инфо")</f>
        <v>Инфо</v>
      </c>
      <c r="F7458" s="16" t="s">
        <v>1887</v>
      </c>
      <c r="G7458" s="15"/>
      <c r="H7458" s="15"/>
      <c r="I7458" s="15"/>
      <c r="J7458" s="17">
        <v>268</v>
      </c>
      <c r="K7458" s="15"/>
      <c r="L7458" s="17">
        <v>1</v>
      </c>
      <c r="M7458" s="17">
        <v>4</v>
      </c>
      <c r="N7458" s="17">
        <v>1</v>
      </c>
      <c r="O7458" s="18">
        <v>6043.98</v>
      </c>
      <c r="P7458" s="18">
        <v>4954.08</v>
      </c>
      <c r="Q7458" s="18">
        <v>4412.1099999999997</v>
      </c>
      <c r="R7458" s="18">
        <v>3616.48</v>
      </c>
      <c r="S7458" s="18">
        <v>4109.91</v>
      </c>
      <c r="T7458" s="18">
        <v>3368.78</v>
      </c>
      <c r="U7458" s="16"/>
      <c r="V7458" s="16"/>
      <c r="W7458" s="16" t="s">
        <v>40</v>
      </c>
      <c r="X7458" s="19">
        <v>4.649</v>
      </c>
      <c r="Y7458" s="20">
        <v>9.3640000000000008E-3</v>
      </c>
      <c r="Z7458" s="21">
        <v>4660008013714</v>
      </c>
    </row>
    <row r="7459" spans="1:26" ht="12" customHeight="1" outlineLevel="4" x14ac:dyDescent="0.2">
      <c r="A7459" s="14" t="s">
        <v>14281</v>
      </c>
      <c r="B7459" s="26" t="s">
        <v>14282</v>
      </c>
      <c r="C7459" s="52"/>
      <c r="D7459" s="55">
        <f t="shared" si="116"/>
        <v>0</v>
      </c>
      <c r="E7459" s="63" t="str">
        <f>HYPERLINK("https://www.sds-group.ru/product/kabel-shvep-shsm-4x0-12-mm-200-m-chernyy-rexant-01-4034/", "Инфо")</f>
        <v>Инфо</v>
      </c>
      <c r="F7459" s="16" t="s">
        <v>1887</v>
      </c>
      <c r="G7459" s="15"/>
      <c r="H7459" s="15"/>
      <c r="I7459" s="15"/>
      <c r="J7459" s="17">
        <v>4</v>
      </c>
      <c r="K7459" s="15"/>
      <c r="L7459" s="17">
        <v>1</v>
      </c>
      <c r="M7459" s="17">
        <v>4</v>
      </c>
      <c r="N7459" s="17">
        <v>1</v>
      </c>
      <c r="O7459" s="18">
        <v>7634.5</v>
      </c>
      <c r="P7459" s="18">
        <v>6257.79</v>
      </c>
      <c r="Q7459" s="18">
        <v>5573.19</v>
      </c>
      <c r="R7459" s="18">
        <v>4568.1899999999996</v>
      </c>
      <c r="S7459" s="18">
        <v>5191.46</v>
      </c>
      <c r="T7459" s="18">
        <v>4255.3</v>
      </c>
      <c r="U7459" s="16"/>
      <c r="V7459" s="16"/>
      <c r="W7459" s="16" t="s">
        <v>40</v>
      </c>
      <c r="X7459" s="19">
        <v>4.5229999999999997</v>
      </c>
      <c r="Y7459" s="20">
        <v>9.7649999999999994E-3</v>
      </c>
      <c r="Z7459" s="21">
        <v>4660008013721</v>
      </c>
    </row>
    <row r="7460" spans="1:26" ht="12.95" customHeight="1" outlineLevel="2" x14ac:dyDescent="0.2">
      <c r="A7460" s="76" t="s">
        <v>14283</v>
      </c>
      <c r="B7460" s="76"/>
      <c r="C7460" s="77"/>
      <c r="D7460" s="58"/>
      <c r="E7460" s="68"/>
      <c r="F7460" s="13"/>
      <c r="G7460" s="13"/>
      <c r="H7460" s="13"/>
      <c r="I7460" s="13"/>
      <c r="J7460" s="13"/>
      <c r="K7460" s="13"/>
      <c r="L7460" s="13"/>
      <c r="M7460" s="13"/>
      <c r="N7460" s="13"/>
      <c r="O7460" s="13"/>
      <c r="P7460" s="13"/>
      <c r="Q7460" s="13"/>
      <c r="R7460" s="13"/>
      <c r="S7460" s="13"/>
      <c r="T7460" s="13"/>
      <c r="U7460" s="13"/>
      <c r="V7460" s="13"/>
      <c r="W7460" s="13"/>
      <c r="X7460" s="13"/>
      <c r="Y7460" s="13"/>
      <c r="Z7460" s="13"/>
    </row>
    <row r="7461" spans="1:26" ht="12.95" customHeight="1" outlineLevel="3" x14ac:dyDescent="0.2">
      <c r="A7461" s="76" t="s">
        <v>14284</v>
      </c>
      <c r="B7461" s="76"/>
      <c r="C7461" s="77"/>
      <c r="D7461" s="58"/>
      <c r="E7461" s="68"/>
      <c r="F7461" s="13"/>
      <c r="G7461" s="13"/>
      <c r="H7461" s="13"/>
      <c r="I7461" s="13"/>
      <c r="J7461" s="13"/>
      <c r="K7461" s="13"/>
      <c r="L7461" s="13"/>
      <c r="M7461" s="13"/>
      <c r="N7461" s="13"/>
      <c r="O7461" s="13"/>
      <c r="P7461" s="13"/>
      <c r="Q7461" s="13"/>
      <c r="R7461" s="13"/>
      <c r="S7461" s="13"/>
      <c r="T7461" s="13"/>
      <c r="U7461" s="13"/>
      <c r="V7461" s="13"/>
      <c r="W7461" s="13"/>
      <c r="X7461" s="13"/>
      <c r="Y7461" s="13"/>
      <c r="Z7461" s="13"/>
    </row>
    <row r="7462" spans="1:26" ht="12" customHeight="1" outlineLevel="4" x14ac:dyDescent="0.2">
      <c r="A7462" s="32" t="s">
        <v>14285</v>
      </c>
      <c r="B7462" s="74" t="s">
        <v>14286</v>
      </c>
      <c r="C7462" s="50"/>
      <c r="D7462" s="53">
        <f t="shared" si="116"/>
        <v>0</v>
      </c>
      <c r="E7462" s="60" t="str">
        <f>HYPERLINK("https://www.sds-group.ru/product/razem-bnc-gnezdo-pod-vint-s-kolpachkom-rexant-05-3082/", "Инфо")</f>
        <v>Инфо</v>
      </c>
      <c r="F7462" s="34" t="s">
        <v>39</v>
      </c>
      <c r="G7462" s="33"/>
      <c r="H7462" s="33" t="s">
        <v>40</v>
      </c>
      <c r="I7462" s="33"/>
      <c r="J7462" s="39">
        <v>1350</v>
      </c>
      <c r="K7462" s="33"/>
      <c r="L7462" s="35">
        <v>50</v>
      </c>
      <c r="M7462" s="39">
        <v>1000</v>
      </c>
      <c r="N7462" s="35">
        <v>50</v>
      </c>
      <c r="O7462" s="36">
        <v>35.64</v>
      </c>
      <c r="P7462" s="36">
        <v>29.21</v>
      </c>
      <c r="Q7462" s="36">
        <v>24.95</v>
      </c>
      <c r="R7462" s="36">
        <v>20.45</v>
      </c>
      <c r="S7462" s="36">
        <v>24.24</v>
      </c>
      <c r="T7462" s="36">
        <v>19.87</v>
      </c>
      <c r="U7462" s="34"/>
      <c r="V7462" s="34"/>
      <c r="W7462" s="34"/>
      <c r="X7462" s="37">
        <v>7.0000000000000001E-3</v>
      </c>
      <c r="Y7462" s="38">
        <v>1.1E-5</v>
      </c>
      <c r="Z7462" s="21">
        <v>4601004041578</v>
      </c>
    </row>
    <row r="7463" spans="1:26" ht="12" customHeight="1" outlineLevel="4" x14ac:dyDescent="0.2">
      <c r="A7463" s="14" t="s">
        <v>14287</v>
      </c>
      <c r="B7463" s="26" t="s">
        <v>14288</v>
      </c>
      <c r="C7463" s="52"/>
      <c r="D7463" s="55">
        <f t="shared" si="116"/>
        <v>0</v>
      </c>
      <c r="E7463" s="63" t="str">
        <f>HYPERLINK("https://www.sds-group.ru/product/razem-bnc-gnezdo-s-klemmnoy-kolodkoy-rexant-05-3081/", "Инфо")</f>
        <v>Инфо</v>
      </c>
      <c r="F7463" s="16" t="s">
        <v>39</v>
      </c>
      <c r="G7463" s="15"/>
      <c r="H7463" s="15"/>
      <c r="I7463" s="15"/>
      <c r="J7463" s="22">
        <v>5380</v>
      </c>
      <c r="K7463" s="15" t="s">
        <v>1150</v>
      </c>
      <c r="L7463" s="17">
        <v>50</v>
      </c>
      <c r="M7463" s="22">
        <v>1000</v>
      </c>
      <c r="N7463" s="17">
        <v>50</v>
      </c>
      <c r="O7463" s="18">
        <v>42.77</v>
      </c>
      <c r="P7463" s="18">
        <v>35.06</v>
      </c>
      <c r="Q7463" s="18">
        <v>36.35</v>
      </c>
      <c r="R7463" s="18">
        <v>29.8</v>
      </c>
      <c r="S7463" s="18">
        <v>29.08</v>
      </c>
      <c r="T7463" s="18">
        <v>23.84</v>
      </c>
      <c r="U7463" s="16"/>
      <c r="V7463" s="16"/>
      <c r="W7463" s="16" t="s">
        <v>40</v>
      </c>
      <c r="X7463" s="19">
        <v>8.9999999999999993E-3</v>
      </c>
      <c r="Y7463" s="20">
        <v>1.7E-5</v>
      </c>
      <c r="Z7463" s="21">
        <v>4601004053908</v>
      </c>
    </row>
    <row r="7464" spans="1:26" ht="12" customHeight="1" outlineLevel="4" x14ac:dyDescent="0.2">
      <c r="A7464" s="14" t="s">
        <v>14289</v>
      </c>
      <c r="B7464" s="26" t="s">
        <v>14290</v>
      </c>
      <c r="C7464" s="52"/>
      <c r="D7464" s="55">
        <f t="shared" si="116"/>
        <v>0</v>
      </c>
      <c r="E7464" s="63" t="str">
        <f>HYPERLINK("https://www.sds-group.ru/product/razem-bnc-shteker-rg-58-obzhim-rexant-05-3001/", "Инфо")</f>
        <v>Инфо</v>
      </c>
      <c r="F7464" s="16" t="s">
        <v>39</v>
      </c>
      <c r="G7464" s="15"/>
      <c r="H7464" s="15"/>
      <c r="I7464" s="15"/>
      <c r="J7464" s="22">
        <v>7830</v>
      </c>
      <c r="K7464" s="15" t="s">
        <v>925</v>
      </c>
      <c r="L7464" s="17">
        <v>100</v>
      </c>
      <c r="M7464" s="22">
        <v>2500</v>
      </c>
      <c r="N7464" s="17">
        <v>100</v>
      </c>
      <c r="O7464" s="18">
        <v>40.85</v>
      </c>
      <c r="P7464" s="18">
        <v>33.479999999999997</v>
      </c>
      <c r="Q7464" s="18">
        <v>34.72</v>
      </c>
      <c r="R7464" s="18">
        <v>28.46</v>
      </c>
      <c r="S7464" s="18">
        <v>27.78</v>
      </c>
      <c r="T7464" s="18">
        <v>22.77</v>
      </c>
      <c r="U7464" s="16"/>
      <c r="V7464" s="16"/>
      <c r="W7464" s="16" t="s">
        <v>40</v>
      </c>
      <c r="X7464" s="19">
        <v>7.0000000000000001E-3</v>
      </c>
      <c r="Y7464" s="20">
        <v>9.0000000000000002E-6</v>
      </c>
      <c r="Z7464" s="21">
        <v>4610003608279</v>
      </c>
    </row>
    <row r="7465" spans="1:26" ht="12" customHeight="1" outlineLevel="4" x14ac:dyDescent="0.2">
      <c r="A7465" s="14" t="s">
        <v>14291</v>
      </c>
      <c r="B7465" s="26" t="s">
        <v>14292</v>
      </c>
      <c r="C7465" s="52"/>
      <c r="D7465" s="55">
        <f t="shared" si="116"/>
        <v>0</v>
      </c>
      <c r="E7465" s="63" t="str">
        <f>HYPERLINK("https://www.sds-group.ru/product/razem-bnc-shteker-rg-59-obzhim-rexant-05-3002/", "Инфо")</f>
        <v>Инфо</v>
      </c>
      <c r="F7465" s="16" t="s">
        <v>39</v>
      </c>
      <c r="G7465" s="15"/>
      <c r="H7465" s="15"/>
      <c r="I7465" s="15"/>
      <c r="J7465" s="22">
        <v>8000</v>
      </c>
      <c r="K7465" s="15" t="s">
        <v>662</v>
      </c>
      <c r="L7465" s="17">
        <v>100</v>
      </c>
      <c r="M7465" s="22">
        <v>2500</v>
      </c>
      <c r="N7465" s="17">
        <v>100</v>
      </c>
      <c r="O7465" s="18">
        <v>48.27</v>
      </c>
      <c r="P7465" s="18">
        <v>39.57</v>
      </c>
      <c r="Q7465" s="18">
        <v>41.03</v>
      </c>
      <c r="R7465" s="18">
        <v>33.630000000000003</v>
      </c>
      <c r="S7465" s="18">
        <v>32.82</v>
      </c>
      <c r="T7465" s="18">
        <v>26.9</v>
      </c>
      <c r="U7465" s="16"/>
      <c r="V7465" s="16"/>
      <c r="W7465" s="16" t="s">
        <v>40</v>
      </c>
      <c r="X7465" s="19">
        <v>7.0000000000000001E-3</v>
      </c>
      <c r="Y7465" s="20">
        <v>9.0000000000000002E-6</v>
      </c>
      <c r="Z7465" s="21">
        <v>4601004012912</v>
      </c>
    </row>
    <row r="7466" spans="1:26" ht="12" customHeight="1" outlineLevel="4" x14ac:dyDescent="0.2">
      <c r="A7466" s="14" t="s">
        <v>14293</v>
      </c>
      <c r="B7466" s="26" t="s">
        <v>14294</v>
      </c>
      <c r="C7466" s="52"/>
      <c r="D7466" s="55">
        <f t="shared" si="116"/>
        <v>0</v>
      </c>
      <c r="E7466" s="63" t="str">
        <f>HYPERLINK("https://www.sds-group.ru/product/razem-bnc-shteker-rg-6-obzhim-rexant-05-3003/", "Инфо")</f>
        <v>Инфо</v>
      </c>
      <c r="F7466" s="16" t="s">
        <v>39</v>
      </c>
      <c r="G7466" s="15"/>
      <c r="H7466" s="15"/>
      <c r="I7466" s="15"/>
      <c r="J7466" s="16" t="s">
        <v>100</v>
      </c>
      <c r="K7466" s="15" t="s">
        <v>662</v>
      </c>
      <c r="L7466" s="17">
        <v>100</v>
      </c>
      <c r="M7466" s="22">
        <v>2500</v>
      </c>
      <c r="N7466" s="17">
        <v>100</v>
      </c>
      <c r="O7466" s="18">
        <v>49.99</v>
      </c>
      <c r="P7466" s="18">
        <v>40.98</v>
      </c>
      <c r="Q7466" s="18">
        <v>42.49</v>
      </c>
      <c r="R7466" s="18">
        <v>34.83</v>
      </c>
      <c r="S7466" s="18">
        <v>33.99</v>
      </c>
      <c r="T7466" s="18">
        <v>27.86</v>
      </c>
      <c r="U7466" s="16"/>
      <c r="V7466" s="16"/>
      <c r="W7466" s="16" t="s">
        <v>40</v>
      </c>
      <c r="X7466" s="19">
        <v>8.0000000000000002E-3</v>
      </c>
      <c r="Y7466" s="20">
        <v>9.9999999999999995E-7</v>
      </c>
      <c r="Z7466" s="21">
        <v>4601004012066</v>
      </c>
    </row>
    <row r="7467" spans="1:26" ht="12" customHeight="1" outlineLevel="4" x14ac:dyDescent="0.2">
      <c r="A7467" s="32" t="s">
        <v>14295</v>
      </c>
      <c r="B7467" s="74" t="s">
        <v>14296</v>
      </c>
      <c r="C7467" s="50"/>
      <c r="D7467" s="53">
        <f t="shared" si="116"/>
        <v>0</v>
      </c>
      <c r="E7467" s="60" t="str">
        <f>HYPERLINK("https://www.sds-group.ru/product/razem-bnc-shteker-pod-vint-s-kolpachkom-rexant-05-3071/", "Инфо")</f>
        <v>Инфо</v>
      </c>
      <c r="F7467" s="34" t="s">
        <v>39</v>
      </c>
      <c r="G7467" s="33"/>
      <c r="H7467" s="33" t="s">
        <v>40</v>
      </c>
      <c r="I7467" s="33"/>
      <c r="J7467" s="39">
        <v>1200</v>
      </c>
      <c r="K7467" s="33"/>
      <c r="L7467" s="35">
        <v>50</v>
      </c>
      <c r="M7467" s="39">
        <v>1000</v>
      </c>
      <c r="N7467" s="35">
        <v>50</v>
      </c>
      <c r="O7467" s="36">
        <v>56.6</v>
      </c>
      <c r="P7467" s="36">
        <v>46.39</v>
      </c>
      <c r="Q7467" s="36">
        <v>48.11</v>
      </c>
      <c r="R7467" s="36">
        <v>39.43</v>
      </c>
      <c r="S7467" s="36">
        <v>38.49</v>
      </c>
      <c r="T7467" s="36">
        <v>31.55</v>
      </c>
      <c r="U7467" s="34"/>
      <c r="V7467" s="34"/>
      <c r="W7467" s="34" t="s">
        <v>40</v>
      </c>
      <c r="X7467" s="37">
        <v>8.9999999999999993E-3</v>
      </c>
      <c r="Y7467" s="38">
        <v>1.2999999999999999E-5</v>
      </c>
      <c r="Z7467" s="21">
        <v>4610003608255</v>
      </c>
    </row>
    <row r="7468" spans="1:26" ht="12" customHeight="1" outlineLevel="4" x14ac:dyDescent="0.2">
      <c r="A7468" s="14" t="s">
        <v>14297</v>
      </c>
      <c r="B7468" s="26" t="s">
        <v>14298</v>
      </c>
      <c r="C7468" s="52"/>
      <c r="D7468" s="55">
        <f t="shared" si="116"/>
        <v>0</v>
      </c>
      <c r="E7468" s="63" t="str">
        <f>HYPERLINK("https://www.sds-group.ru/product/razem-bnc-shteker-pod-vint-s-pruzhinoy-metall-proconnect-05-3073-4/", "Инфо")</f>
        <v>Инфо</v>
      </c>
      <c r="F7468" s="16" t="s">
        <v>39</v>
      </c>
      <c r="G7468" s="15"/>
      <c r="H7468" s="15"/>
      <c r="I7468" s="15"/>
      <c r="J7468" s="22">
        <v>18000</v>
      </c>
      <c r="K7468" s="15"/>
      <c r="L7468" s="17">
        <v>50</v>
      </c>
      <c r="M7468" s="22">
        <v>1000</v>
      </c>
      <c r="N7468" s="17">
        <v>50</v>
      </c>
      <c r="O7468" s="18">
        <v>49.78</v>
      </c>
      <c r="P7468" s="18">
        <v>40.799999999999997</v>
      </c>
      <c r="Q7468" s="18">
        <v>42.31</v>
      </c>
      <c r="R7468" s="18">
        <v>34.68</v>
      </c>
      <c r="S7468" s="18">
        <v>33.85</v>
      </c>
      <c r="T7468" s="18">
        <v>27.75</v>
      </c>
      <c r="U7468" s="16"/>
      <c r="V7468" s="16"/>
      <c r="W7468" s="16" t="s">
        <v>40</v>
      </c>
      <c r="X7468" s="19">
        <v>1.0999999999999999E-2</v>
      </c>
      <c r="Y7468" s="20">
        <v>1.2999999999999999E-5</v>
      </c>
      <c r="Z7468" s="21">
        <v>4660008011987</v>
      </c>
    </row>
    <row r="7469" spans="1:26" ht="12" customHeight="1" outlineLevel="4" x14ac:dyDescent="0.2">
      <c r="A7469" s="14" t="s">
        <v>14299</v>
      </c>
      <c r="B7469" s="26" t="s">
        <v>14300</v>
      </c>
      <c r="C7469" s="52"/>
      <c r="D7469" s="55">
        <f t="shared" si="116"/>
        <v>0</v>
      </c>
      <c r="E7469" s="63" t="str">
        <f>HYPERLINK("https://www.sds-group.ru/product/razem-bnc-shteker-pod-vint-s-pruzhinoy-metall-rexant-05-3073/", "Инфо")</f>
        <v>Инфо</v>
      </c>
      <c r="F7469" s="16" t="s">
        <v>39</v>
      </c>
      <c r="G7469" s="15"/>
      <c r="H7469" s="15"/>
      <c r="I7469" s="15"/>
      <c r="J7469" s="22">
        <v>19220</v>
      </c>
      <c r="K7469" s="15"/>
      <c r="L7469" s="17">
        <v>10</v>
      </c>
      <c r="M7469" s="22">
        <v>1000</v>
      </c>
      <c r="N7469" s="17">
        <v>10</v>
      </c>
      <c r="O7469" s="18">
        <v>46.51</v>
      </c>
      <c r="P7469" s="18">
        <v>38.119999999999997</v>
      </c>
      <c r="Q7469" s="18">
        <v>39.53</v>
      </c>
      <c r="R7469" s="18">
        <v>32.4</v>
      </c>
      <c r="S7469" s="18">
        <v>31.63</v>
      </c>
      <c r="T7469" s="18">
        <v>25.93</v>
      </c>
      <c r="U7469" s="16"/>
      <c r="V7469" s="16"/>
      <c r="W7469" s="16" t="s">
        <v>40</v>
      </c>
      <c r="X7469" s="19">
        <v>1.0999999999999999E-2</v>
      </c>
      <c r="Y7469" s="20">
        <v>1.2E-5</v>
      </c>
      <c r="Z7469" s="21">
        <v>4610003608262</v>
      </c>
    </row>
    <row r="7470" spans="1:26" ht="12" customHeight="1" outlineLevel="4" x14ac:dyDescent="0.2">
      <c r="A7470" s="32" t="s">
        <v>14301</v>
      </c>
      <c r="B7470" s="74" t="s">
        <v>14302</v>
      </c>
      <c r="C7470" s="50"/>
      <c r="D7470" s="53">
        <f t="shared" si="116"/>
        <v>0</v>
      </c>
      <c r="E7470" s="60" t="str">
        <f>HYPERLINK("https://www.sds-group.ru/product/razem-bnc-shteker-pod-payku-s-pruzhinoy-metall-universalnyy-proconnect-05-3075-4/", "Инфо")</f>
        <v>Инфо</v>
      </c>
      <c r="F7470" s="34" t="s">
        <v>39</v>
      </c>
      <c r="G7470" s="33"/>
      <c r="H7470" s="33" t="s">
        <v>40</v>
      </c>
      <c r="I7470" s="33"/>
      <c r="J7470" s="34" t="s">
        <v>100</v>
      </c>
      <c r="K7470" s="33" t="s">
        <v>1277</v>
      </c>
      <c r="L7470" s="35">
        <v>50</v>
      </c>
      <c r="M7470" s="39">
        <v>1000</v>
      </c>
      <c r="N7470" s="35">
        <v>50</v>
      </c>
      <c r="O7470" s="36">
        <v>65.989999999999995</v>
      </c>
      <c r="P7470" s="36">
        <v>54.09</v>
      </c>
      <c r="Q7470" s="36">
        <v>56.09</v>
      </c>
      <c r="R7470" s="36">
        <v>45.98</v>
      </c>
      <c r="S7470" s="36">
        <v>44.87</v>
      </c>
      <c r="T7470" s="36">
        <v>36.78</v>
      </c>
      <c r="U7470" s="34"/>
      <c r="V7470" s="34"/>
      <c r="W7470" s="34" t="s">
        <v>40</v>
      </c>
      <c r="X7470" s="37">
        <v>1.0999999999999999E-2</v>
      </c>
      <c r="Y7470" s="38">
        <v>1.2E-5</v>
      </c>
      <c r="Z7470" s="21">
        <v>4660008017910</v>
      </c>
    </row>
    <row r="7471" spans="1:26" ht="12" customHeight="1" outlineLevel="4" x14ac:dyDescent="0.2">
      <c r="A7471" s="14" t="s">
        <v>14303</v>
      </c>
      <c r="B7471" s="26" t="s">
        <v>14304</v>
      </c>
      <c r="C7471" s="52"/>
      <c r="D7471" s="55">
        <f t="shared" si="116"/>
        <v>0</v>
      </c>
      <c r="E7471" s="63" t="str">
        <f>HYPERLINK("https://www.sds-group.ru/product/razem-bnc-shteker-s-bystrozazhimnoy-kolodkoy-rexant-05-3076-2/", "Инфо")</f>
        <v>Инфо</v>
      </c>
      <c r="F7471" s="16" t="s">
        <v>39</v>
      </c>
      <c r="G7471" s="15"/>
      <c r="H7471" s="15"/>
      <c r="I7471" s="15"/>
      <c r="J7471" s="22">
        <v>10380</v>
      </c>
      <c r="K7471" s="15" t="s">
        <v>1519</v>
      </c>
      <c r="L7471" s="17">
        <v>50</v>
      </c>
      <c r="M7471" s="22">
        <v>1000</v>
      </c>
      <c r="N7471" s="17">
        <v>50</v>
      </c>
      <c r="O7471" s="18">
        <v>104.76</v>
      </c>
      <c r="P7471" s="18">
        <v>85.87</v>
      </c>
      <c r="Q7471" s="18">
        <v>89.05</v>
      </c>
      <c r="R7471" s="18">
        <v>72.989999999999995</v>
      </c>
      <c r="S7471" s="18">
        <v>71.239999999999995</v>
      </c>
      <c r="T7471" s="18">
        <v>58.39</v>
      </c>
      <c r="U7471" s="16"/>
      <c r="V7471" s="16"/>
      <c r="W7471" s="16" t="s">
        <v>40</v>
      </c>
      <c r="X7471" s="19">
        <v>1.2999999999999999E-2</v>
      </c>
      <c r="Y7471" s="20">
        <v>4.5000000000000003E-5</v>
      </c>
      <c r="Z7471" s="21">
        <v>4601004054172</v>
      </c>
    </row>
    <row r="7472" spans="1:26" ht="12" customHeight="1" outlineLevel="4" x14ac:dyDescent="0.2">
      <c r="A7472" s="14" t="s">
        <v>14305</v>
      </c>
      <c r="B7472" s="26" t="s">
        <v>14306</v>
      </c>
      <c r="C7472" s="52"/>
      <c r="D7472" s="55">
        <f t="shared" si="116"/>
        <v>0</v>
      </c>
      <c r="E7472" s="63" t="str">
        <f>HYPERLINK("https://www.sds-group.ru/product/razem-bnc-shteker-s-klemmnoy-kolodkoy-proconnect-05-3076-4/", "Инфо")</f>
        <v>Инфо</v>
      </c>
      <c r="F7472" s="16" t="s">
        <v>39</v>
      </c>
      <c r="G7472" s="15"/>
      <c r="H7472" s="15"/>
      <c r="I7472" s="15"/>
      <c r="J7472" s="22">
        <v>63210</v>
      </c>
      <c r="K7472" s="15"/>
      <c r="L7472" s="17">
        <v>50</v>
      </c>
      <c r="M7472" s="22">
        <v>1000</v>
      </c>
      <c r="N7472" s="17">
        <v>50</v>
      </c>
      <c r="O7472" s="18">
        <v>35.64</v>
      </c>
      <c r="P7472" s="18">
        <v>29.21</v>
      </c>
      <c r="Q7472" s="18">
        <v>30.29</v>
      </c>
      <c r="R7472" s="18">
        <v>24.83</v>
      </c>
      <c r="S7472" s="18">
        <v>24.24</v>
      </c>
      <c r="T7472" s="18">
        <v>19.87</v>
      </c>
      <c r="U7472" s="16"/>
      <c r="V7472" s="16"/>
      <c r="W7472" s="16" t="s">
        <v>40</v>
      </c>
      <c r="X7472" s="19">
        <v>1.0999999999999999E-2</v>
      </c>
      <c r="Y7472" s="20">
        <v>1.8E-5</v>
      </c>
      <c r="Z7472" s="21">
        <v>4601004053748</v>
      </c>
    </row>
    <row r="7473" spans="1:26" ht="12" customHeight="1" outlineLevel="4" x14ac:dyDescent="0.2">
      <c r="A7473" s="14" t="s">
        <v>14307</v>
      </c>
      <c r="B7473" s="26" t="s">
        <v>14308</v>
      </c>
      <c r="C7473" s="52"/>
      <c r="D7473" s="55">
        <f t="shared" si="116"/>
        <v>0</v>
      </c>
      <c r="E7473" s="63" t="str">
        <f>HYPERLINK("https://www.sds-group.ru/product/razem-bnc-shteker-s-klemmnoy-kolodkoy-rexant-05-3076/", "Инфо")</f>
        <v>Инфо</v>
      </c>
      <c r="F7473" s="16" t="s">
        <v>39</v>
      </c>
      <c r="G7473" s="15"/>
      <c r="H7473" s="15"/>
      <c r="I7473" s="15"/>
      <c r="J7473" s="22">
        <v>42850</v>
      </c>
      <c r="K7473" s="15" t="s">
        <v>995</v>
      </c>
      <c r="L7473" s="17">
        <v>50</v>
      </c>
      <c r="M7473" s="22">
        <v>1000</v>
      </c>
      <c r="N7473" s="17">
        <v>50</v>
      </c>
      <c r="O7473" s="18">
        <v>42.77</v>
      </c>
      <c r="P7473" s="18">
        <v>35.06</v>
      </c>
      <c r="Q7473" s="18">
        <v>36.35</v>
      </c>
      <c r="R7473" s="18">
        <v>29.8</v>
      </c>
      <c r="S7473" s="18">
        <v>29.08</v>
      </c>
      <c r="T7473" s="18">
        <v>23.84</v>
      </c>
      <c r="U7473" s="16"/>
      <c r="V7473" s="16"/>
      <c r="W7473" s="16" t="s">
        <v>40</v>
      </c>
      <c r="X7473" s="19">
        <v>1.0999999999999999E-2</v>
      </c>
      <c r="Y7473" s="20">
        <v>1.5E-5</v>
      </c>
      <c r="Z7473" s="21">
        <v>4601004008687</v>
      </c>
    </row>
    <row r="7474" spans="1:26" ht="12" customHeight="1" outlineLevel="4" x14ac:dyDescent="0.2">
      <c r="A7474" s="32" t="s">
        <v>14309</v>
      </c>
      <c r="B7474" s="74" t="s">
        <v>14310</v>
      </c>
      <c r="C7474" s="50"/>
      <c r="D7474" s="53">
        <f t="shared" si="116"/>
        <v>0</v>
      </c>
      <c r="E7474" s="60" t="str">
        <f>HYPERLINK("https://www.sds-group.ru/product/razem-bnc-gnezdo-s-provodom-20-sm-rexant-05-3120/", "Инфо")</f>
        <v>Инфо</v>
      </c>
      <c r="F7474" s="34" t="s">
        <v>39</v>
      </c>
      <c r="G7474" s="33"/>
      <c r="H7474" s="33" t="s">
        <v>40</v>
      </c>
      <c r="I7474" s="33"/>
      <c r="J7474" s="39">
        <v>3150</v>
      </c>
      <c r="K7474" s="33"/>
      <c r="L7474" s="35">
        <v>50</v>
      </c>
      <c r="M7474" s="39">
        <v>1000</v>
      </c>
      <c r="N7474" s="35">
        <v>50</v>
      </c>
      <c r="O7474" s="36">
        <v>12.35</v>
      </c>
      <c r="P7474" s="36">
        <v>10.119999999999999</v>
      </c>
      <c r="Q7474" s="36">
        <v>8.65</v>
      </c>
      <c r="R7474" s="36">
        <v>7.09</v>
      </c>
      <c r="S7474" s="36">
        <v>8.4</v>
      </c>
      <c r="T7474" s="36">
        <v>6.89</v>
      </c>
      <c r="U7474" s="34"/>
      <c r="V7474" s="34"/>
      <c r="W7474" s="34"/>
      <c r="X7474" s="37">
        <v>8.0000000000000002E-3</v>
      </c>
      <c r="Y7474" s="38">
        <v>2.5000000000000001E-5</v>
      </c>
      <c r="Z7474" s="21">
        <v>4601004088290</v>
      </c>
    </row>
    <row r="7475" spans="1:26" ht="12.95" customHeight="1" outlineLevel="3" x14ac:dyDescent="0.2">
      <c r="A7475" s="76" t="s">
        <v>14311</v>
      </c>
      <c r="B7475" s="76"/>
      <c r="C7475" s="77"/>
      <c r="D7475" s="58"/>
      <c r="E7475" s="68"/>
      <c r="F7475" s="13"/>
      <c r="G7475" s="13"/>
      <c r="H7475" s="13"/>
      <c r="I7475" s="13"/>
      <c r="J7475" s="13"/>
      <c r="K7475" s="13"/>
      <c r="L7475" s="13"/>
      <c r="M7475" s="13"/>
      <c r="N7475" s="13"/>
      <c r="O7475" s="13"/>
      <c r="P7475" s="13"/>
      <c r="Q7475" s="13"/>
      <c r="R7475" s="13"/>
      <c r="S7475" s="13"/>
      <c r="T7475" s="13"/>
      <c r="U7475" s="13"/>
      <c r="V7475" s="13"/>
      <c r="W7475" s="13"/>
      <c r="X7475" s="13"/>
      <c r="Y7475" s="13"/>
      <c r="Z7475" s="13"/>
    </row>
    <row r="7476" spans="1:26" ht="12" customHeight="1" outlineLevel="4" x14ac:dyDescent="0.2">
      <c r="A7476" s="14" t="s">
        <v>14312</v>
      </c>
      <c r="B7476" s="26" t="s">
        <v>14313</v>
      </c>
      <c r="C7476" s="52"/>
      <c r="D7476" s="55">
        <f t="shared" si="116"/>
        <v>0</v>
      </c>
      <c r="E7476" s="63" t="str">
        <f>HYPERLINK("https://www.sds-group.ru/product/razvetvitel-pitaniya-dc-na-2-razema-2-1h5-5mm-rexant-14-0320/", "Инфо")</f>
        <v>Инфо</v>
      </c>
      <c r="F7476" s="16" t="s">
        <v>39</v>
      </c>
      <c r="G7476" s="15"/>
      <c r="H7476" s="15"/>
      <c r="I7476" s="15"/>
      <c r="J7476" s="17">
        <v>951</v>
      </c>
      <c r="K7476" s="15"/>
      <c r="L7476" s="17">
        <v>5</v>
      </c>
      <c r="M7476" s="17">
        <v>400</v>
      </c>
      <c r="N7476" s="17">
        <v>5</v>
      </c>
      <c r="O7476" s="18">
        <v>272.17</v>
      </c>
      <c r="P7476" s="18">
        <v>223.09</v>
      </c>
      <c r="Q7476" s="18">
        <v>231.34</v>
      </c>
      <c r="R7476" s="18">
        <v>189.62</v>
      </c>
      <c r="S7476" s="18">
        <v>185.08</v>
      </c>
      <c r="T7476" s="18">
        <v>151.69999999999999</v>
      </c>
      <c r="U7476" s="16"/>
      <c r="V7476" s="16"/>
      <c r="W7476" s="16" t="s">
        <v>40</v>
      </c>
      <c r="X7476" s="19">
        <v>2.5000000000000001E-2</v>
      </c>
      <c r="Y7476" s="20">
        <v>6.0000000000000002E-5</v>
      </c>
      <c r="Z7476" s="21">
        <v>4601004075245</v>
      </c>
    </row>
    <row r="7477" spans="1:26" ht="12" customHeight="1" outlineLevel="4" x14ac:dyDescent="0.2">
      <c r="A7477" s="32" t="s">
        <v>14314</v>
      </c>
      <c r="B7477" s="74" t="s">
        <v>14315</v>
      </c>
      <c r="C7477" s="50"/>
      <c r="D7477" s="53">
        <f t="shared" si="116"/>
        <v>0</v>
      </c>
      <c r="E7477" s="60" t="str">
        <f>HYPERLINK("https://www.sds-group.ru/product/razvetvitel-pitaniya-dc-na-5-razemov-2-1h5-5mm-rexant-14-0318/", "Инфо")</f>
        <v>Инфо</v>
      </c>
      <c r="F7477" s="34" t="s">
        <v>39</v>
      </c>
      <c r="G7477" s="33"/>
      <c r="H7477" s="33" t="s">
        <v>40</v>
      </c>
      <c r="I7477" s="33"/>
      <c r="J7477" s="35">
        <v>161</v>
      </c>
      <c r="K7477" s="33"/>
      <c r="L7477" s="35">
        <v>1</v>
      </c>
      <c r="M7477" s="35">
        <v>200</v>
      </c>
      <c r="N7477" s="35">
        <v>1</v>
      </c>
      <c r="O7477" s="36">
        <v>228.9</v>
      </c>
      <c r="P7477" s="36">
        <v>187.62</v>
      </c>
      <c r="Q7477" s="36">
        <v>160.22999999999999</v>
      </c>
      <c r="R7477" s="36">
        <v>131.34</v>
      </c>
      <c r="S7477" s="36">
        <v>155.65</v>
      </c>
      <c r="T7477" s="36">
        <v>127.58</v>
      </c>
      <c r="U7477" s="34"/>
      <c r="V7477" s="34"/>
      <c r="W7477" s="34"/>
      <c r="X7477" s="37">
        <v>4.2999999999999997E-2</v>
      </c>
      <c r="Y7477" s="38">
        <v>1.1E-4</v>
      </c>
      <c r="Z7477" s="21">
        <v>4601004068988</v>
      </c>
    </row>
    <row r="7478" spans="1:26" ht="12" customHeight="1" outlineLevel="4" x14ac:dyDescent="0.2">
      <c r="A7478" s="32" t="s">
        <v>14316</v>
      </c>
      <c r="B7478" s="74" t="s">
        <v>14317</v>
      </c>
      <c r="C7478" s="50"/>
      <c r="D7478" s="53">
        <f t="shared" si="116"/>
        <v>0</v>
      </c>
      <c r="E7478" s="60" t="str">
        <f>HYPERLINK("https://www.sds-group.ru/product/razvetvitel-pitaniya-dc-na-9-razemov-2-1h5-5mm-rexant-14-0317/", "Инфо")</f>
        <v>Инфо</v>
      </c>
      <c r="F7478" s="34" t="s">
        <v>39</v>
      </c>
      <c r="G7478" s="33"/>
      <c r="H7478" s="33" t="s">
        <v>40</v>
      </c>
      <c r="I7478" s="33"/>
      <c r="J7478" s="35">
        <v>731</v>
      </c>
      <c r="K7478" s="33"/>
      <c r="L7478" s="35">
        <v>1</v>
      </c>
      <c r="M7478" s="35">
        <v>200</v>
      </c>
      <c r="N7478" s="35">
        <v>1</v>
      </c>
      <c r="O7478" s="36">
        <v>338.45</v>
      </c>
      <c r="P7478" s="36">
        <v>277.42</v>
      </c>
      <c r="Q7478" s="36">
        <v>236.92</v>
      </c>
      <c r="R7478" s="36">
        <v>194.2</v>
      </c>
      <c r="S7478" s="36">
        <v>230.15</v>
      </c>
      <c r="T7478" s="36">
        <v>188.65</v>
      </c>
      <c r="U7478" s="34"/>
      <c r="V7478" s="34"/>
      <c r="W7478" s="34"/>
      <c r="X7478" s="37">
        <v>6.0999999999999999E-2</v>
      </c>
      <c r="Y7478" s="38">
        <v>1.5799999999999999E-4</v>
      </c>
      <c r="Z7478" s="21">
        <v>4601004009776</v>
      </c>
    </row>
    <row r="7479" spans="1:26" ht="12" customHeight="1" outlineLevel="4" x14ac:dyDescent="0.2">
      <c r="A7479" s="14" t="s">
        <v>14318</v>
      </c>
      <c r="B7479" s="26" t="s">
        <v>14319</v>
      </c>
      <c r="C7479" s="52"/>
      <c r="D7479" s="55">
        <f t="shared" si="116"/>
        <v>0</v>
      </c>
      <c r="E7479" s="63" t="str">
        <f>HYPERLINK("https://www.sds-group.ru/product/razem-pitaniya-dc-gnezdo-2-1h5-5-s-bystrozazhimnoy-kolodkoy-rexant-14-0315-2/", "Инфо")</f>
        <v>Инфо</v>
      </c>
      <c r="F7479" s="16" t="s">
        <v>39</v>
      </c>
      <c r="G7479" s="15"/>
      <c r="H7479" s="15"/>
      <c r="I7479" s="15"/>
      <c r="J7479" s="22">
        <v>2725</v>
      </c>
      <c r="K7479" s="15" t="s">
        <v>1277</v>
      </c>
      <c r="L7479" s="17">
        <v>50</v>
      </c>
      <c r="M7479" s="22">
        <v>1000</v>
      </c>
      <c r="N7479" s="17">
        <v>50</v>
      </c>
      <c r="O7479" s="18">
        <v>86.25</v>
      </c>
      <c r="P7479" s="18">
        <v>70.7</v>
      </c>
      <c r="Q7479" s="18">
        <v>73.31</v>
      </c>
      <c r="R7479" s="18">
        <v>60.09</v>
      </c>
      <c r="S7479" s="18">
        <v>58.65</v>
      </c>
      <c r="T7479" s="18">
        <v>48.07</v>
      </c>
      <c r="U7479" s="16"/>
      <c r="V7479" s="16"/>
      <c r="W7479" s="16" t="s">
        <v>40</v>
      </c>
      <c r="X7479" s="19">
        <v>8.9999999999999993E-3</v>
      </c>
      <c r="Y7479" s="20">
        <v>1.5E-5</v>
      </c>
      <c r="Z7479" s="21">
        <v>4601004054349</v>
      </c>
    </row>
    <row r="7480" spans="1:26" ht="12" customHeight="1" outlineLevel="4" x14ac:dyDescent="0.2">
      <c r="A7480" s="14" t="s">
        <v>14320</v>
      </c>
      <c r="B7480" s="26" t="s">
        <v>14321</v>
      </c>
      <c r="C7480" s="52"/>
      <c r="D7480" s="55">
        <f t="shared" si="116"/>
        <v>0</v>
      </c>
      <c r="E7480" s="63" t="str">
        <f>HYPERLINK("https://www.sds-group.ru/product/razem-pitaniya-dc-gnezdo-2-1h5-5-s-klemmnoy-kolodkoy-rexant-14-0315/", "Инфо")</f>
        <v>Инфо</v>
      </c>
      <c r="F7480" s="16" t="s">
        <v>39</v>
      </c>
      <c r="G7480" s="15"/>
      <c r="H7480" s="15"/>
      <c r="I7480" s="15"/>
      <c r="J7480" s="22">
        <v>77900</v>
      </c>
      <c r="K7480" s="15" t="s">
        <v>5837</v>
      </c>
      <c r="L7480" s="17">
        <v>50</v>
      </c>
      <c r="M7480" s="22">
        <v>2000</v>
      </c>
      <c r="N7480" s="17">
        <v>50</v>
      </c>
      <c r="O7480" s="18">
        <v>37.119999999999997</v>
      </c>
      <c r="P7480" s="18">
        <v>30.43</v>
      </c>
      <c r="Q7480" s="18">
        <v>31.55</v>
      </c>
      <c r="R7480" s="18">
        <v>25.86</v>
      </c>
      <c r="S7480" s="18">
        <v>25.24</v>
      </c>
      <c r="T7480" s="18">
        <v>20.69</v>
      </c>
      <c r="U7480" s="16"/>
      <c r="V7480" s="16"/>
      <c r="W7480" s="16" t="s">
        <v>40</v>
      </c>
      <c r="X7480" s="19">
        <v>7.0000000000000001E-3</v>
      </c>
      <c r="Y7480" s="20">
        <v>1.2E-5</v>
      </c>
      <c r="Z7480" s="21">
        <v>4601004054301</v>
      </c>
    </row>
    <row r="7481" spans="1:26" ht="12" customHeight="1" outlineLevel="4" x14ac:dyDescent="0.2">
      <c r="A7481" s="14" t="s">
        <v>14322</v>
      </c>
      <c r="B7481" s="26" t="s">
        <v>14323</v>
      </c>
      <c r="C7481" s="52"/>
      <c r="D7481" s="55">
        <f t="shared" si="116"/>
        <v>0</v>
      </c>
      <c r="E7481" s="63" t="str">
        <f>HYPERLINK("https://www.sds-group.ru/product/razem-pitaniya-dc-shteker-2-1h5-5mm-s-bystrozazhimnoy-kolodkoy-rexant-14-0314-2/", "Инфо")</f>
        <v>Инфо</v>
      </c>
      <c r="F7481" s="16" t="s">
        <v>39</v>
      </c>
      <c r="G7481" s="15"/>
      <c r="H7481" s="15"/>
      <c r="I7481" s="15"/>
      <c r="J7481" s="22">
        <v>23860</v>
      </c>
      <c r="K7481" s="15" t="s">
        <v>1150</v>
      </c>
      <c r="L7481" s="17">
        <v>50</v>
      </c>
      <c r="M7481" s="22">
        <v>1000</v>
      </c>
      <c r="N7481" s="17">
        <v>50</v>
      </c>
      <c r="O7481" s="18">
        <v>82.62</v>
      </c>
      <c r="P7481" s="18">
        <v>67.72</v>
      </c>
      <c r="Q7481" s="18">
        <v>70.23</v>
      </c>
      <c r="R7481" s="18">
        <v>57.57</v>
      </c>
      <c r="S7481" s="18">
        <v>56.18</v>
      </c>
      <c r="T7481" s="18">
        <v>46.05</v>
      </c>
      <c r="U7481" s="16"/>
      <c r="V7481" s="16"/>
      <c r="W7481" s="16" t="s">
        <v>40</v>
      </c>
      <c r="X7481" s="19">
        <v>8.0000000000000002E-3</v>
      </c>
      <c r="Y7481" s="20">
        <v>1.5E-5</v>
      </c>
      <c r="Z7481" s="21">
        <v>4601004054387</v>
      </c>
    </row>
    <row r="7482" spans="1:26" ht="12" customHeight="1" outlineLevel="4" x14ac:dyDescent="0.2">
      <c r="A7482" s="14" t="s">
        <v>14324</v>
      </c>
      <c r="B7482" s="26" t="s">
        <v>14325</v>
      </c>
      <c r="C7482" s="52"/>
      <c r="D7482" s="55">
        <f t="shared" si="116"/>
        <v>0</v>
      </c>
      <c r="E7482" s="63" t="str">
        <f>HYPERLINK("https://www.sds-group.ru/product/razem-pitaniya-dc-shteker-2-1h5-5mm-s-klemmnoy-kolodkoy-proconnect-14-0314-4/", "Инфо")</f>
        <v>Инфо</v>
      </c>
      <c r="F7482" s="16" t="s">
        <v>39</v>
      </c>
      <c r="G7482" s="15"/>
      <c r="H7482" s="15"/>
      <c r="I7482" s="15"/>
      <c r="J7482" s="16" t="s">
        <v>100</v>
      </c>
      <c r="K7482" s="15"/>
      <c r="L7482" s="17">
        <v>50</v>
      </c>
      <c r="M7482" s="22">
        <v>2000</v>
      </c>
      <c r="N7482" s="17">
        <v>50</v>
      </c>
      <c r="O7482" s="18">
        <v>32.81</v>
      </c>
      <c r="P7482" s="18">
        <v>26.89</v>
      </c>
      <c r="Q7482" s="18">
        <v>27.89</v>
      </c>
      <c r="R7482" s="18">
        <v>22.86</v>
      </c>
      <c r="S7482" s="18">
        <v>22.31</v>
      </c>
      <c r="T7482" s="18">
        <v>18.29</v>
      </c>
      <c r="U7482" s="16"/>
      <c r="V7482" s="16"/>
      <c r="W7482" s="16" t="s">
        <v>40</v>
      </c>
      <c r="X7482" s="19">
        <v>6.0000000000000001E-3</v>
      </c>
      <c r="Y7482" s="20">
        <v>1.0000000000000001E-5</v>
      </c>
      <c r="Z7482" s="21">
        <v>4601004054295</v>
      </c>
    </row>
    <row r="7483" spans="1:26" ht="12" customHeight="1" outlineLevel="4" x14ac:dyDescent="0.2">
      <c r="A7483" s="14" t="s">
        <v>14326</v>
      </c>
      <c r="B7483" s="26" t="s">
        <v>14327</v>
      </c>
      <c r="C7483" s="52"/>
      <c r="D7483" s="55">
        <f t="shared" si="116"/>
        <v>0</v>
      </c>
      <c r="E7483" s="63" t="str">
        <f>HYPERLINK("https://www.sds-group.ru/product/razem-pitaniya-dc-shteker-2-1h5-5mm-s-klemmnoy-kolodkoy-rexant-14-0314/", "Инфо")</f>
        <v>Инфо</v>
      </c>
      <c r="F7483" s="16" t="s">
        <v>39</v>
      </c>
      <c r="G7483" s="15"/>
      <c r="H7483" s="15"/>
      <c r="I7483" s="15"/>
      <c r="J7483" s="22">
        <v>97860</v>
      </c>
      <c r="K7483" s="15" t="s">
        <v>1277</v>
      </c>
      <c r="L7483" s="17">
        <v>50</v>
      </c>
      <c r="M7483" s="22">
        <v>2000</v>
      </c>
      <c r="N7483" s="17">
        <v>50</v>
      </c>
      <c r="O7483" s="18">
        <v>41.79</v>
      </c>
      <c r="P7483" s="18">
        <v>34.25</v>
      </c>
      <c r="Q7483" s="18">
        <v>35.520000000000003</v>
      </c>
      <c r="R7483" s="18">
        <v>29.11</v>
      </c>
      <c r="S7483" s="18">
        <v>28.42</v>
      </c>
      <c r="T7483" s="18">
        <v>23.3</v>
      </c>
      <c r="U7483" s="16"/>
      <c r="V7483" s="16"/>
      <c r="W7483" s="16" t="s">
        <v>40</v>
      </c>
      <c r="X7483" s="19">
        <v>6.0000000000000001E-3</v>
      </c>
      <c r="Y7483" s="20">
        <v>1.0000000000000001E-5</v>
      </c>
      <c r="Z7483" s="21">
        <v>4601004009196</v>
      </c>
    </row>
    <row r="7484" spans="1:26" ht="12" customHeight="1" outlineLevel="4" x14ac:dyDescent="0.2">
      <c r="A7484" s="14" t="s">
        <v>14328</v>
      </c>
      <c r="B7484" s="26" t="s">
        <v>14329</v>
      </c>
      <c r="C7484" s="52"/>
      <c r="D7484" s="55">
        <f t="shared" si="116"/>
        <v>0</v>
      </c>
      <c r="E7484" s="63" t="str">
        <f>HYPERLINK("https://www.sds-group.ru/product/razem-pitaniya-dc-shteker-2-1h5-5mm-rexant-14-0311/", "Инфо")</f>
        <v>Инфо</v>
      </c>
      <c r="F7484" s="16" t="s">
        <v>39</v>
      </c>
      <c r="G7484" s="15"/>
      <c r="H7484" s="15"/>
      <c r="I7484" s="15"/>
      <c r="J7484" s="22">
        <v>16600</v>
      </c>
      <c r="K7484" s="15"/>
      <c r="L7484" s="17">
        <v>50</v>
      </c>
      <c r="M7484" s="22">
        <v>5000</v>
      </c>
      <c r="N7484" s="17">
        <v>50</v>
      </c>
      <c r="O7484" s="18">
        <v>16.670000000000002</v>
      </c>
      <c r="P7484" s="18">
        <v>13.66</v>
      </c>
      <c r="Q7484" s="18">
        <v>14.17</v>
      </c>
      <c r="R7484" s="18">
        <v>11.61</v>
      </c>
      <c r="S7484" s="18">
        <v>11.34</v>
      </c>
      <c r="T7484" s="18">
        <v>9.3000000000000007</v>
      </c>
      <c r="U7484" s="16"/>
      <c r="V7484" s="16"/>
      <c r="W7484" s="16" t="s">
        <v>40</v>
      </c>
      <c r="X7484" s="19">
        <v>2E-3</v>
      </c>
      <c r="Y7484" s="20">
        <v>5.0000000000000004E-6</v>
      </c>
      <c r="Z7484" s="21">
        <v>4601004012073</v>
      </c>
    </row>
    <row r="7485" spans="1:26" ht="12" customHeight="1" outlineLevel="4" x14ac:dyDescent="0.2">
      <c r="A7485" s="14" t="s">
        <v>14330</v>
      </c>
      <c r="B7485" s="26" t="s">
        <v>14331</v>
      </c>
      <c r="C7485" s="52"/>
      <c r="D7485" s="55">
        <f t="shared" si="116"/>
        <v>0</v>
      </c>
      <c r="E7485" s="63" t="str">
        <f>HYPERLINK("https://www.sds-group.ru/product/razem-pitaniya-dc-shteker-2-1h5-5mm-s-provodom-20-sm-rexant-14-0313/", "Инфо")</f>
        <v>Инфо</v>
      </c>
      <c r="F7485" s="16" t="s">
        <v>39</v>
      </c>
      <c r="G7485" s="15"/>
      <c r="H7485" s="15"/>
      <c r="I7485" s="15"/>
      <c r="J7485" s="22">
        <v>26400</v>
      </c>
      <c r="K7485" s="15"/>
      <c r="L7485" s="17">
        <v>50</v>
      </c>
      <c r="M7485" s="22">
        <v>2000</v>
      </c>
      <c r="N7485" s="17">
        <v>50</v>
      </c>
      <c r="O7485" s="18">
        <v>58.77</v>
      </c>
      <c r="P7485" s="18">
        <v>48.17</v>
      </c>
      <c r="Q7485" s="18">
        <v>49.95</v>
      </c>
      <c r="R7485" s="18">
        <v>40.94</v>
      </c>
      <c r="S7485" s="18">
        <v>39.96</v>
      </c>
      <c r="T7485" s="18">
        <v>32.75</v>
      </c>
      <c r="U7485" s="16"/>
      <c r="V7485" s="16"/>
      <c r="W7485" s="16" t="s">
        <v>40</v>
      </c>
      <c r="X7485" s="19">
        <v>5.0000000000000001E-3</v>
      </c>
      <c r="Y7485" s="20">
        <v>1.2999999999999999E-5</v>
      </c>
      <c r="Z7485" s="21">
        <v>4601004009202</v>
      </c>
    </row>
    <row r="7486" spans="1:26" ht="12" customHeight="1" outlineLevel="4" x14ac:dyDescent="0.2">
      <c r="A7486" s="14" t="s">
        <v>14332</v>
      </c>
      <c r="B7486" s="26" t="s">
        <v>14333</v>
      </c>
      <c r="C7486" s="52"/>
      <c r="D7486" s="55">
        <f t="shared" si="116"/>
        <v>0</v>
      </c>
      <c r="E7486" s="63" t="str">
        <f>HYPERLINK("https://www.sds-group.ru/product/razem-pitaniya-dc-shteker-2-1h5-5mm-uglovoy-rexant-14-0312/", "Инфо")</f>
        <v>Инфо</v>
      </c>
      <c r="F7486" s="16" t="s">
        <v>39</v>
      </c>
      <c r="G7486" s="15"/>
      <c r="H7486" s="15"/>
      <c r="I7486" s="15"/>
      <c r="J7486" s="22">
        <v>3050</v>
      </c>
      <c r="K7486" s="15" t="s">
        <v>995</v>
      </c>
      <c r="L7486" s="17">
        <v>50</v>
      </c>
      <c r="M7486" s="22">
        <v>2500</v>
      </c>
      <c r="N7486" s="17">
        <v>50</v>
      </c>
      <c r="O7486" s="18">
        <v>28.98</v>
      </c>
      <c r="P7486" s="18">
        <v>23.75</v>
      </c>
      <c r="Q7486" s="18">
        <v>24.63</v>
      </c>
      <c r="R7486" s="18">
        <v>20.190000000000001</v>
      </c>
      <c r="S7486" s="18">
        <v>19.71</v>
      </c>
      <c r="T7486" s="18">
        <v>16.16</v>
      </c>
      <c r="U7486" s="16"/>
      <c r="V7486" s="16"/>
      <c r="W7486" s="16" t="s">
        <v>40</v>
      </c>
      <c r="X7486" s="19">
        <v>2E-3</v>
      </c>
      <c r="Y7486" s="20">
        <v>6.0000000000000002E-6</v>
      </c>
      <c r="Z7486" s="21">
        <v>4601004054264</v>
      </c>
    </row>
    <row r="7487" spans="1:26" ht="12" customHeight="1" outlineLevel="4" x14ac:dyDescent="0.2">
      <c r="A7487" s="14" t="s">
        <v>14334</v>
      </c>
      <c r="B7487" s="26" t="s">
        <v>14335</v>
      </c>
      <c r="C7487" s="52"/>
      <c r="D7487" s="55">
        <f t="shared" si="116"/>
        <v>0</v>
      </c>
      <c r="E7487" s="63" t="str">
        <f>HYPERLINK("https://www.sds-group.ru/product/razem-pitaniya-dc-gnezdo-2-1h5-5-s-provodom-20-sm-rexant-14-0310/", "Инфо")</f>
        <v>Инфо</v>
      </c>
      <c r="F7487" s="16" t="s">
        <v>39</v>
      </c>
      <c r="G7487" s="15"/>
      <c r="H7487" s="15"/>
      <c r="I7487" s="15"/>
      <c r="J7487" s="22">
        <v>9250</v>
      </c>
      <c r="K7487" s="15" t="s">
        <v>6939</v>
      </c>
      <c r="L7487" s="17">
        <v>50</v>
      </c>
      <c r="M7487" s="22">
        <v>2000</v>
      </c>
      <c r="N7487" s="17">
        <v>50</v>
      </c>
      <c r="O7487" s="18">
        <v>76.97</v>
      </c>
      <c r="P7487" s="18">
        <v>63.09</v>
      </c>
      <c r="Q7487" s="18">
        <v>65.42</v>
      </c>
      <c r="R7487" s="18">
        <v>53.62</v>
      </c>
      <c r="S7487" s="18">
        <v>52.34</v>
      </c>
      <c r="T7487" s="18">
        <v>42.9</v>
      </c>
      <c r="U7487" s="16"/>
      <c r="V7487" s="16"/>
      <c r="W7487" s="16" t="s">
        <v>40</v>
      </c>
      <c r="X7487" s="19">
        <v>8.0000000000000002E-3</v>
      </c>
      <c r="Y7487" s="20">
        <v>1.2E-5</v>
      </c>
      <c r="Z7487" s="21">
        <v>4601004054233</v>
      </c>
    </row>
    <row r="7488" spans="1:26" ht="12" customHeight="1" outlineLevel="4" x14ac:dyDescent="0.2">
      <c r="A7488" s="14" t="s">
        <v>14336</v>
      </c>
      <c r="B7488" s="26" t="s">
        <v>14337</v>
      </c>
      <c r="C7488" s="52"/>
      <c r="D7488" s="55">
        <f t="shared" si="116"/>
        <v>0</v>
      </c>
      <c r="E7488" s="63" t="str">
        <f>HYPERLINK("https://www.sds-group.ru/product/razem-pitaniya-dc-gnezdo-2-5h5-5mm-s-provodom-20sm-rexant-14-0332/", "Инфо")</f>
        <v>Инфо</v>
      </c>
      <c r="F7488" s="16" t="s">
        <v>39</v>
      </c>
      <c r="G7488" s="15"/>
      <c r="H7488" s="15"/>
      <c r="I7488" s="15"/>
      <c r="J7488" s="16" t="s">
        <v>100</v>
      </c>
      <c r="K7488" s="15" t="s">
        <v>995</v>
      </c>
      <c r="L7488" s="17">
        <v>50</v>
      </c>
      <c r="M7488" s="22">
        <v>2000</v>
      </c>
      <c r="N7488" s="17">
        <v>50</v>
      </c>
      <c r="O7488" s="18">
        <v>83.66</v>
      </c>
      <c r="P7488" s="18">
        <v>68.569999999999993</v>
      </c>
      <c r="Q7488" s="18">
        <v>71.11</v>
      </c>
      <c r="R7488" s="18">
        <v>58.29</v>
      </c>
      <c r="S7488" s="18">
        <v>56.89</v>
      </c>
      <c r="T7488" s="18">
        <v>46.63</v>
      </c>
      <c r="U7488" s="16"/>
      <c r="V7488" s="16"/>
      <c r="W7488" s="16" t="s">
        <v>40</v>
      </c>
      <c r="X7488" s="19">
        <v>6.0000000000000001E-3</v>
      </c>
      <c r="Y7488" s="20">
        <v>1.2999999999999999E-5</v>
      </c>
      <c r="Z7488" s="21">
        <v>4601004155176</v>
      </c>
    </row>
    <row r="7489" spans="1:26" ht="12" customHeight="1" outlineLevel="4" x14ac:dyDescent="0.2">
      <c r="A7489" s="14" t="s">
        <v>14338</v>
      </c>
      <c r="B7489" s="26" t="s">
        <v>14339</v>
      </c>
      <c r="C7489" s="52"/>
      <c r="D7489" s="55">
        <f t="shared" si="116"/>
        <v>0</v>
      </c>
      <c r="E7489" s="63" t="str">
        <f>HYPERLINK("https://www.sds-group.ru/product/razem-pitaniya-dc-shteker-2-5h5-5mm-s-provodom-20-sm-rexant-14-0324/", "Инфо")</f>
        <v>Инфо</v>
      </c>
      <c r="F7489" s="16" t="s">
        <v>39</v>
      </c>
      <c r="G7489" s="15"/>
      <c r="H7489" s="15"/>
      <c r="I7489" s="15"/>
      <c r="J7489" s="16" t="s">
        <v>100</v>
      </c>
      <c r="K7489" s="15" t="s">
        <v>995</v>
      </c>
      <c r="L7489" s="17">
        <v>50</v>
      </c>
      <c r="M7489" s="22">
        <v>2000</v>
      </c>
      <c r="N7489" s="17">
        <v>50</v>
      </c>
      <c r="O7489" s="18">
        <v>59.9</v>
      </c>
      <c r="P7489" s="18">
        <v>49.1</v>
      </c>
      <c r="Q7489" s="18">
        <v>50.92</v>
      </c>
      <c r="R7489" s="18">
        <v>41.74</v>
      </c>
      <c r="S7489" s="18">
        <v>40.729999999999997</v>
      </c>
      <c r="T7489" s="18">
        <v>33.39</v>
      </c>
      <c r="U7489" s="16"/>
      <c r="V7489" s="16"/>
      <c r="W7489" s="16" t="s">
        <v>40</v>
      </c>
      <c r="X7489" s="19">
        <v>5.0000000000000001E-3</v>
      </c>
      <c r="Y7489" s="20">
        <v>1.2999999999999999E-5</v>
      </c>
      <c r="Z7489" s="21">
        <v>4601004142329</v>
      </c>
    </row>
    <row r="7490" spans="1:26" ht="12" customHeight="1" outlineLevel="4" x14ac:dyDescent="0.2">
      <c r="A7490" s="14" t="s">
        <v>14340</v>
      </c>
      <c r="B7490" s="26" t="s">
        <v>14341</v>
      </c>
      <c r="C7490" s="52"/>
      <c r="D7490" s="55">
        <f t="shared" si="116"/>
        <v>0</v>
      </c>
      <c r="E7490" s="63" t="str">
        <f>HYPERLINK("https://www.sds-group.ru/product/udlinitel-kabelya-pitaniya-dc-gnezdo-shteker-2-1h5-5mm-3m-rexant-14-0360/", "Инфо")</f>
        <v>Инфо</v>
      </c>
      <c r="F7490" s="16" t="s">
        <v>39</v>
      </c>
      <c r="G7490" s="15"/>
      <c r="H7490" s="15"/>
      <c r="I7490" s="15"/>
      <c r="J7490" s="22">
        <v>6078</v>
      </c>
      <c r="K7490" s="15" t="s">
        <v>1004</v>
      </c>
      <c r="L7490" s="17">
        <v>10</v>
      </c>
      <c r="M7490" s="17">
        <v>250</v>
      </c>
      <c r="N7490" s="17">
        <v>10</v>
      </c>
      <c r="O7490" s="18">
        <v>173.13</v>
      </c>
      <c r="P7490" s="18">
        <v>141.91</v>
      </c>
      <c r="Q7490" s="18">
        <v>147.16</v>
      </c>
      <c r="R7490" s="18">
        <v>120.62</v>
      </c>
      <c r="S7490" s="18">
        <v>117.73</v>
      </c>
      <c r="T7490" s="18">
        <v>96.5</v>
      </c>
      <c r="U7490" s="16"/>
      <c r="V7490" s="16"/>
      <c r="W7490" s="16" t="s">
        <v>40</v>
      </c>
      <c r="X7490" s="19">
        <v>4.8000000000000001E-2</v>
      </c>
      <c r="Y7490" s="20">
        <v>1.25E-4</v>
      </c>
      <c r="Z7490" s="21">
        <v>4601004075221</v>
      </c>
    </row>
    <row r="7491" spans="1:26" ht="12" customHeight="1" outlineLevel="4" x14ac:dyDescent="0.2">
      <c r="A7491" s="32" t="s">
        <v>14342</v>
      </c>
      <c r="B7491" s="74" t="s">
        <v>14343</v>
      </c>
      <c r="C7491" s="50"/>
      <c r="D7491" s="53">
        <f t="shared" si="116"/>
        <v>0</v>
      </c>
      <c r="E7491" s="60" t="str">
        <f>HYPERLINK("https://www.sds-group.ru/product/udlinitel-kabelya-pitaniya-dc-gnezdo-shteker-2-1h5-5mm-1-5m-rexant-14-0350/", "Инфо")</f>
        <v>Инфо</v>
      </c>
      <c r="F7491" s="34" t="s">
        <v>39</v>
      </c>
      <c r="G7491" s="33"/>
      <c r="H7491" s="33" t="s">
        <v>40</v>
      </c>
      <c r="I7491" s="33"/>
      <c r="J7491" s="35">
        <v>746</v>
      </c>
      <c r="K7491" s="33"/>
      <c r="L7491" s="35">
        <v>1</v>
      </c>
      <c r="M7491" s="35">
        <v>500</v>
      </c>
      <c r="N7491" s="35">
        <v>1</v>
      </c>
      <c r="O7491" s="36">
        <v>143.55000000000001</v>
      </c>
      <c r="P7491" s="36">
        <v>117.66</v>
      </c>
      <c r="Q7491" s="36">
        <v>100.49</v>
      </c>
      <c r="R7491" s="36">
        <v>82.37</v>
      </c>
      <c r="S7491" s="36">
        <v>97.61</v>
      </c>
      <c r="T7491" s="36">
        <v>80.010000000000005</v>
      </c>
      <c r="U7491" s="34"/>
      <c r="V7491" s="34"/>
      <c r="W7491" s="34"/>
      <c r="X7491" s="37">
        <v>2.7E-2</v>
      </c>
      <c r="Y7491" s="38">
        <v>7.4999999999999993E-5</v>
      </c>
      <c r="Z7491" s="21">
        <v>4601004075214</v>
      </c>
    </row>
    <row r="7492" spans="1:26" ht="12.95" customHeight="1" outlineLevel="3" x14ac:dyDescent="0.2">
      <c r="A7492" s="76" t="s">
        <v>14344</v>
      </c>
      <c r="B7492" s="76"/>
      <c r="C7492" s="77"/>
      <c r="D7492" s="58"/>
      <c r="E7492" s="68"/>
      <c r="F7492" s="13"/>
      <c r="G7492" s="13"/>
      <c r="H7492" s="13"/>
      <c r="I7492" s="13"/>
      <c r="J7492" s="13"/>
      <c r="K7492" s="13"/>
      <c r="L7492" s="13"/>
      <c r="M7492" s="13"/>
      <c r="N7492" s="13"/>
      <c r="O7492" s="13"/>
      <c r="P7492" s="13"/>
      <c r="Q7492" s="13"/>
      <c r="R7492" s="13"/>
      <c r="S7492" s="13"/>
      <c r="T7492" s="13"/>
      <c r="U7492" s="13"/>
      <c r="V7492" s="13"/>
      <c r="W7492" s="13"/>
      <c r="X7492" s="13"/>
      <c r="Y7492" s="13"/>
      <c r="Z7492" s="13"/>
    </row>
    <row r="7493" spans="1:26" ht="12" customHeight="1" outlineLevel="4" x14ac:dyDescent="0.2">
      <c r="A7493" s="14" t="s">
        <v>14345</v>
      </c>
      <c r="B7493" s="26" t="s">
        <v>14346</v>
      </c>
      <c r="C7493" s="52"/>
      <c r="D7493" s="55">
        <f t="shared" si="116"/>
        <v>0</v>
      </c>
      <c r="E7493" s="63" t="str">
        <f>HYPERLINK("https://www.sds-group.ru/product/grozozaschita-vitoy-pary-rj45-razem-rexant-05-3079/", "Инфо")</f>
        <v>Инфо</v>
      </c>
      <c r="F7493" s="16" t="s">
        <v>39</v>
      </c>
      <c r="G7493" s="15"/>
      <c r="H7493" s="15"/>
      <c r="I7493" s="15"/>
      <c r="J7493" s="16" t="s">
        <v>100</v>
      </c>
      <c r="K7493" s="15" t="s">
        <v>1519</v>
      </c>
      <c r="L7493" s="17">
        <v>1</v>
      </c>
      <c r="M7493" s="17">
        <v>200</v>
      </c>
      <c r="N7493" s="17">
        <v>1</v>
      </c>
      <c r="O7493" s="18">
        <v>2107.3200000000002</v>
      </c>
      <c r="P7493" s="18">
        <v>1727.31</v>
      </c>
      <c r="Q7493" s="18">
        <v>1664.78</v>
      </c>
      <c r="R7493" s="18">
        <v>1364.57</v>
      </c>
      <c r="S7493" s="18">
        <v>1432.98</v>
      </c>
      <c r="T7493" s="18">
        <v>1174.57</v>
      </c>
      <c r="U7493" s="16"/>
      <c r="V7493" s="16"/>
      <c r="W7493" s="16" t="s">
        <v>40</v>
      </c>
      <c r="X7493" s="19">
        <v>9.5000000000000001E-2</v>
      </c>
      <c r="Y7493" s="20">
        <v>3.8200000000000002E-4</v>
      </c>
      <c r="Z7493" s="21">
        <v>4601004004757</v>
      </c>
    </row>
    <row r="7494" spans="1:26" ht="12" customHeight="1" outlineLevel="4" x14ac:dyDescent="0.2">
      <c r="A7494" s="14" t="s">
        <v>14347</v>
      </c>
      <c r="B7494" s="26" t="s">
        <v>14348</v>
      </c>
      <c r="C7494" s="52"/>
      <c r="D7494" s="55">
        <f t="shared" si="116"/>
        <v>0</v>
      </c>
      <c r="E7494" s="63" t="str">
        <f>HYPERLINK("https://www.sds-group.ru/product/grozozaschita-vitoy-pary-razem-rj45-s-poe-rexant-05-3079-1/", "Инфо")</f>
        <v>Инфо</v>
      </c>
      <c r="F7494" s="16" t="s">
        <v>39</v>
      </c>
      <c r="G7494" s="15"/>
      <c r="H7494" s="15"/>
      <c r="I7494" s="15"/>
      <c r="J7494" s="16" t="s">
        <v>100</v>
      </c>
      <c r="K7494" s="15" t="s">
        <v>1519</v>
      </c>
      <c r="L7494" s="17">
        <v>1</v>
      </c>
      <c r="M7494" s="17">
        <v>100</v>
      </c>
      <c r="N7494" s="17">
        <v>1</v>
      </c>
      <c r="O7494" s="18">
        <v>3442.93</v>
      </c>
      <c r="P7494" s="18">
        <v>2822.07</v>
      </c>
      <c r="Q7494" s="18">
        <v>2651.06</v>
      </c>
      <c r="R7494" s="18">
        <v>2173</v>
      </c>
      <c r="S7494" s="18">
        <v>2341.19</v>
      </c>
      <c r="T7494" s="18">
        <v>1919.01</v>
      </c>
      <c r="U7494" s="16"/>
      <c r="V7494" s="16"/>
      <c r="W7494" s="16" t="s">
        <v>40</v>
      </c>
      <c r="X7494" s="19">
        <v>0.17199999999999999</v>
      </c>
      <c r="Y7494" s="20">
        <v>7.5900000000000002E-4</v>
      </c>
      <c r="Z7494" s="21">
        <v>4601004027916</v>
      </c>
    </row>
    <row r="7495" spans="1:26" ht="12" customHeight="1" outlineLevel="4" x14ac:dyDescent="0.2">
      <c r="A7495" s="14" t="s">
        <v>14349</v>
      </c>
      <c r="B7495" s="26" t="s">
        <v>14350</v>
      </c>
      <c r="C7495" s="52"/>
      <c r="D7495" s="55">
        <f t="shared" si="116"/>
        <v>0</v>
      </c>
      <c r="E7495" s="63" t="str">
        <f>HYPERLINK("https://www.sds-group.ru/product/grozozaschita-koaksialnogo-kabelya-bnc-razem-rexant-05-3078/", "Инфо")</f>
        <v>Инфо</v>
      </c>
      <c r="F7495" s="16" t="s">
        <v>39</v>
      </c>
      <c r="G7495" s="15"/>
      <c r="H7495" s="15"/>
      <c r="I7495" s="15"/>
      <c r="J7495" s="17">
        <v>390</v>
      </c>
      <c r="K7495" s="15"/>
      <c r="L7495" s="17">
        <v>10</v>
      </c>
      <c r="M7495" s="17">
        <v>125</v>
      </c>
      <c r="N7495" s="17">
        <v>10</v>
      </c>
      <c r="O7495" s="18">
        <v>1811.54</v>
      </c>
      <c r="P7495" s="18">
        <v>1484.87</v>
      </c>
      <c r="Q7495" s="18">
        <v>1431.12</v>
      </c>
      <c r="R7495" s="18">
        <v>1173.05</v>
      </c>
      <c r="S7495" s="18">
        <v>1231.8499999999999</v>
      </c>
      <c r="T7495" s="18">
        <v>1009.71</v>
      </c>
      <c r="U7495" s="16"/>
      <c r="V7495" s="16"/>
      <c r="W7495" s="16" t="s">
        <v>40</v>
      </c>
      <c r="X7495" s="19">
        <v>8.7999999999999995E-2</v>
      </c>
      <c r="Y7495" s="20">
        <v>3.9899999999999999E-4</v>
      </c>
      <c r="Z7495" s="21">
        <v>4601004004740</v>
      </c>
    </row>
    <row r="7496" spans="1:26" ht="12" customHeight="1" outlineLevel="4" x14ac:dyDescent="0.2">
      <c r="A7496" s="14" t="s">
        <v>14351</v>
      </c>
      <c r="B7496" s="26" t="s">
        <v>14352</v>
      </c>
      <c r="C7496" s="52"/>
      <c r="D7496" s="55">
        <f t="shared" si="116"/>
        <v>0</v>
      </c>
      <c r="E7496" s="63" t="str">
        <f>HYPERLINK("https://www.sds-group.ru/product/grozozaschita-na-f-razem-5-2400-mgts-rexant-05-4000-1/", "Инфо")</f>
        <v>Инфо</v>
      </c>
      <c r="F7496" s="16" t="s">
        <v>39</v>
      </c>
      <c r="G7496" s="15"/>
      <c r="H7496" s="15"/>
      <c r="I7496" s="15"/>
      <c r="J7496" s="17">
        <v>340</v>
      </c>
      <c r="K7496" s="15"/>
      <c r="L7496" s="17">
        <v>10</v>
      </c>
      <c r="M7496" s="17">
        <v>500</v>
      </c>
      <c r="N7496" s="17">
        <v>10</v>
      </c>
      <c r="O7496" s="18">
        <v>773.13</v>
      </c>
      <c r="P7496" s="18">
        <v>633.71</v>
      </c>
      <c r="Q7496" s="18">
        <v>618.5</v>
      </c>
      <c r="R7496" s="18">
        <v>506.97</v>
      </c>
      <c r="S7496" s="18">
        <v>525.73</v>
      </c>
      <c r="T7496" s="18">
        <v>430.93</v>
      </c>
      <c r="U7496" s="16"/>
      <c r="V7496" s="16"/>
      <c r="W7496" s="16" t="s">
        <v>40</v>
      </c>
      <c r="X7496" s="19">
        <v>3.4000000000000002E-2</v>
      </c>
      <c r="Y7496" s="20">
        <v>5.0000000000000002E-5</v>
      </c>
      <c r="Z7496" s="21">
        <v>4601004027923</v>
      </c>
    </row>
    <row r="7497" spans="1:26" ht="12.95" customHeight="1" outlineLevel="2" x14ac:dyDescent="0.2">
      <c r="A7497" s="76" t="s">
        <v>14353</v>
      </c>
      <c r="B7497" s="76"/>
      <c r="C7497" s="77"/>
      <c r="D7497" s="58"/>
      <c r="E7497" s="68"/>
      <c r="F7497" s="13"/>
      <c r="G7497" s="13"/>
      <c r="H7497" s="13"/>
      <c r="I7497" s="13"/>
      <c r="J7497" s="13"/>
      <c r="K7497" s="13"/>
      <c r="L7497" s="13"/>
      <c r="M7497" s="13"/>
      <c r="N7497" s="13"/>
      <c r="O7497" s="13"/>
      <c r="P7497" s="13"/>
      <c r="Q7497" s="13"/>
      <c r="R7497" s="13"/>
      <c r="S7497" s="13"/>
      <c r="T7497" s="13"/>
      <c r="U7497" s="13"/>
      <c r="V7497" s="13"/>
      <c r="W7497" s="13"/>
      <c r="X7497" s="13"/>
      <c r="Y7497" s="13"/>
      <c r="Z7497" s="13"/>
    </row>
    <row r="7498" spans="1:26" ht="12" customHeight="1" outlineLevel="3" x14ac:dyDescent="0.2">
      <c r="A7498" s="14" t="s">
        <v>14354</v>
      </c>
      <c r="B7498" s="26" t="s">
        <v>14355</v>
      </c>
      <c r="C7498" s="52"/>
      <c r="D7498" s="55">
        <f t="shared" ref="D7498:D7560" si="117">C7498*(O7498-O7498*$G$3)</f>
        <v>0</v>
      </c>
      <c r="E7498" s="63" t="str">
        <f>HYPERLINK("https://www.sds-group.ru/product/mulyazh-videokamery-vnutrenney-ustanovki-rx-303-rexant-45-0303/", "Инфо")</f>
        <v>Инфо</v>
      </c>
      <c r="F7498" s="16" t="s">
        <v>39</v>
      </c>
      <c r="G7498" s="15"/>
      <c r="H7498" s="15"/>
      <c r="I7498" s="15"/>
      <c r="J7498" s="17">
        <v>926</v>
      </c>
      <c r="K7498" s="15"/>
      <c r="L7498" s="17">
        <v>1</v>
      </c>
      <c r="M7498" s="17">
        <v>15</v>
      </c>
      <c r="N7498" s="17">
        <v>1</v>
      </c>
      <c r="O7498" s="18">
        <v>494.43</v>
      </c>
      <c r="P7498" s="18">
        <v>405.27</v>
      </c>
      <c r="Q7498" s="18">
        <v>346.1</v>
      </c>
      <c r="R7498" s="18">
        <v>283.69</v>
      </c>
      <c r="S7498" s="18">
        <v>336.21</v>
      </c>
      <c r="T7498" s="18">
        <v>275.58</v>
      </c>
      <c r="U7498" s="16"/>
      <c r="V7498" s="16"/>
      <c r="W7498" s="16"/>
      <c r="X7498" s="19">
        <v>0.16800000000000001</v>
      </c>
      <c r="Y7498" s="20">
        <v>1.0989999999999999E-3</v>
      </c>
      <c r="Z7498" s="21">
        <v>4601004181328</v>
      </c>
    </row>
    <row r="7499" spans="1:26" ht="12" customHeight="1" outlineLevel="3" x14ac:dyDescent="0.2">
      <c r="A7499" s="14" t="s">
        <v>14356</v>
      </c>
      <c r="B7499" s="26" t="s">
        <v>14357</v>
      </c>
      <c r="C7499" s="52"/>
      <c r="D7499" s="55">
        <f t="shared" si="117"/>
        <v>0</v>
      </c>
      <c r="E7499" s="63" t="str">
        <f>HYPERLINK("https://www.sds-group.ru/product/mulyazh-videokamery-ulichnoy-ustanovki-rx-307-rexant-45-0307/", "Инфо")</f>
        <v>Инфо</v>
      </c>
      <c r="F7499" s="16" t="s">
        <v>39</v>
      </c>
      <c r="G7499" s="15"/>
      <c r="H7499" s="15"/>
      <c r="I7499" s="15"/>
      <c r="J7499" s="17">
        <v>448</v>
      </c>
      <c r="K7499" s="15" t="s">
        <v>1004</v>
      </c>
      <c r="L7499" s="17">
        <v>1</v>
      </c>
      <c r="M7499" s="17">
        <v>30</v>
      </c>
      <c r="N7499" s="17">
        <v>1</v>
      </c>
      <c r="O7499" s="18">
        <v>747.38</v>
      </c>
      <c r="P7499" s="18">
        <v>612.61</v>
      </c>
      <c r="Q7499" s="18">
        <v>523.16999999999996</v>
      </c>
      <c r="R7499" s="18">
        <v>428.83</v>
      </c>
      <c r="S7499" s="18">
        <v>508.22</v>
      </c>
      <c r="T7499" s="18">
        <v>416.57</v>
      </c>
      <c r="U7499" s="16"/>
      <c r="V7499" s="16"/>
      <c r="W7499" s="16"/>
      <c r="X7499" s="19">
        <v>0.33</v>
      </c>
      <c r="Y7499" s="20">
        <v>2.7239999999999999E-3</v>
      </c>
      <c r="Z7499" s="21">
        <v>4601004181342</v>
      </c>
    </row>
    <row r="7500" spans="1:26" ht="12" customHeight="1" outlineLevel="3" x14ac:dyDescent="0.2">
      <c r="A7500" s="14" t="s">
        <v>14358</v>
      </c>
      <c r="B7500" s="26" t="s">
        <v>14359</v>
      </c>
      <c r="C7500" s="52"/>
      <c r="D7500" s="55">
        <f t="shared" si="117"/>
        <v>0</v>
      </c>
      <c r="E7500" s="63" t="str">
        <f>HYPERLINK("https://www.sds-group.ru/product/mulyazh-kamery-vnutrenniy-kupolnyy-belyy-rexant-45-0210/", "Инфо")</f>
        <v>Инфо</v>
      </c>
      <c r="F7500" s="16" t="s">
        <v>39</v>
      </c>
      <c r="G7500" s="15"/>
      <c r="H7500" s="15"/>
      <c r="I7500" s="15"/>
      <c r="J7500" s="22">
        <v>2377</v>
      </c>
      <c r="K7500" s="15" t="s">
        <v>1004</v>
      </c>
      <c r="L7500" s="17">
        <v>1</v>
      </c>
      <c r="M7500" s="17">
        <v>60</v>
      </c>
      <c r="N7500" s="17">
        <v>1</v>
      </c>
      <c r="O7500" s="18">
        <v>551.91</v>
      </c>
      <c r="P7500" s="18">
        <v>452.39</v>
      </c>
      <c r="Q7500" s="18">
        <v>386.34</v>
      </c>
      <c r="R7500" s="18">
        <v>316.67</v>
      </c>
      <c r="S7500" s="18">
        <v>375.3</v>
      </c>
      <c r="T7500" s="18">
        <v>307.62</v>
      </c>
      <c r="U7500" s="16"/>
      <c r="V7500" s="16"/>
      <c r="W7500" s="16"/>
      <c r="X7500" s="19">
        <v>0.20499999999999999</v>
      </c>
      <c r="Y7500" s="20">
        <v>2.0200000000000001E-3</v>
      </c>
      <c r="Z7500" s="21">
        <v>4601004020849</v>
      </c>
    </row>
    <row r="7501" spans="1:26" ht="12" customHeight="1" outlineLevel="3" x14ac:dyDescent="0.2">
      <c r="A7501" s="14" t="s">
        <v>14360</v>
      </c>
      <c r="B7501" s="26" t="s">
        <v>14361</v>
      </c>
      <c r="C7501" s="52"/>
      <c r="D7501" s="55">
        <f t="shared" si="117"/>
        <v>0</v>
      </c>
      <c r="E7501" s="63" t="str">
        <f>HYPERLINK("https://www.sds-group.ru/product/mulyazh-kamery-ulichnyy-tsilindricheskiy-belyy-rexant-45-0240/", "Инфо")</f>
        <v>Инфо</v>
      </c>
      <c r="F7501" s="16" t="s">
        <v>39</v>
      </c>
      <c r="G7501" s="15"/>
      <c r="H7501" s="15"/>
      <c r="I7501" s="15"/>
      <c r="J7501" s="17">
        <v>920</v>
      </c>
      <c r="K7501" s="15"/>
      <c r="L7501" s="17">
        <v>1</v>
      </c>
      <c r="M7501" s="17">
        <v>30</v>
      </c>
      <c r="N7501" s="17">
        <v>1</v>
      </c>
      <c r="O7501" s="18">
        <v>1092.3399999999999</v>
      </c>
      <c r="P7501" s="18">
        <v>895.36</v>
      </c>
      <c r="Q7501" s="18">
        <v>764.64</v>
      </c>
      <c r="R7501" s="18">
        <v>626.75</v>
      </c>
      <c r="S7501" s="18">
        <v>742.79</v>
      </c>
      <c r="T7501" s="18">
        <v>608.84</v>
      </c>
      <c r="U7501" s="16"/>
      <c r="V7501" s="16"/>
      <c r="W7501" s="16"/>
      <c r="X7501" s="19">
        <v>0.35699999999999998</v>
      </c>
      <c r="Y7501" s="20">
        <v>3.7989999999999999E-3</v>
      </c>
      <c r="Z7501" s="21">
        <v>4601004084810</v>
      </c>
    </row>
    <row r="7502" spans="1:26" ht="12" customHeight="1" outlineLevel="3" x14ac:dyDescent="0.2">
      <c r="A7502" s="14" t="s">
        <v>14362</v>
      </c>
      <c r="B7502" s="26" t="s">
        <v>14363</v>
      </c>
      <c r="C7502" s="52"/>
      <c r="D7502" s="55">
        <f t="shared" si="117"/>
        <v>0</v>
      </c>
      <c r="E7502" s="63" t="str">
        <f>HYPERLINK("https://www.sds-group.ru/product/mulyazh-kamery-ulichnyy-tsilindricheskiy-chernyy-rexant-45-0250/", "Инфо")</f>
        <v>Инфо</v>
      </c>
      <c r="F7502" s="16" t="s">
        <v>39</v>
      </c>
      <c r="G7502" s="15"/>
      <c r="H7502" s="15"/>
      <c r="I7502" s="15"/>
      <c r="J7502" s="22">
        <v>2702</v>
      </c>
      <c r="K7502" s="15"/>
      <c r="L7502" s="17">
        <v>1</v>
      </c>
      <c r="M7502" s="17">
        <v>30</v>
      </c>
      <c r="N7502" s="17">
        <v>1</v>
      </c>
      <c r="O7502" s="18">
        <v>1126.83</v>
      </c>
      <c r="P7502" s="18">
        <v>923.63</v>
      </c>
      <c r="Q7502" s="18">
        <v>788.78</v>
      </c>
      <c r="R7502" s="18">
        <v>646.54</v>
      </c>
      <c r="S7502" s="18">
        <v>766.24</v>
      </c>
      <c r="T7502" s="18">
        <v>628.07000000000005</v>
      </c>
      <c r="U7502" s="16"/>
      <c r="V7502" s="16"/>
      <c r="W7502" s="16"/>
      <c r="X7502" s="19">
        <v>0.36899999999999999</v>
      </c>
      <c r="Y7502" s="20">
        <v>3.8110000000000002E-3</v>
      </c>
      <c r="Z7502" s="21">
        <v>4601004084803</v>
      </c>
    </row>
    <row r="7503" spans="1:26" ht="12" customHeight="1" outlineLevel="3" x14ac:dyDescent="0.2">
      <c r="A7503" s="14" t="s">
        <v>14364</v>
      </c>
      <c r="B7503" s="26" t="s">
        <v>14365</v>
      </c>
      <c r="C7503" s="52"/>
      <c r="D7503" s="55">
        <f t="shared" si="117"/>
        <v>0</v>
      </c>
      <c r="E7503" s="63" t="str">
        <f>HYPERLINK("https://www.sds-group.ru/product/mulyazh-kamery-vnutrenniy-kupolnyy-chernyy-rexant-45-0230/", "Инфо")</f>
        <v>Инфо</v>
      </c>
      <c r="F7503" s="16" t="s">
        <v>39</v>
      </c>
      <c r="G7503" s="15"/>
      <c r="H7503" s="15"/>
      <c r="I7503" s="15"/>
      <c r="J7503" s="17">
        <v>896</v>
      </c>
      <c r="K7503" s="15" t="s">
        <v>1004</v>
      </c>
      <c r="L7503" s="17">
        <v>1</v>
      </c>
      <c r="M7503" s="17">
        <v>100</v>
      </c>
      <c r="N7503" s="17">
        <v>1</v>
      </c>
      <c r="O7503" s="18">
        <v>500.16</v>
      </c>
      <c r="P7503" s="18">
        <v>409.97</v>
      </c>
      <c r="Q7503" s="18">
        <v>350.11</v>
      </c>
      <c r="R7503" s="18">
        <v>286.98</v>
      </c>
      <c r="S7503" s="18">
        <v>340.11</v>
      </c>
      <c r="T7503" s="18">
        <v>278.77999999999997</v>
      </c>
      <c r="U7503" s="16"/>
      <c r="V7503" s="16"/>
      <c r="W7503" s="16"/>
      <c r="X7503" s="19">
        <v>0.17</v>
      </c>
      <c r="Y7503" s="20">
        <v>9.3000000000000005E-4</v>
      </c>
      <c r="Z7503" s="21">
        <v>4601004020863</v>
      </c>
    </row>
    <row r="7504" spans="1:26" ht="12.95" customHeight="1" outlineLevel="2" x14ac:dyDescent="0.2">
      <c r="A7504" s="76" t="s">
        <v>14366</v>
      </c>
      <c r="B7504" s="76"/>
      <c r="C7504" s="77"/>
      <c r="D7504" s="58"/>
      <c r="E7504" s="68"/>
      <c r="F7504" s="13"/>
      <c r="G7504" s="13"/>
      <c r="H7504" s="13"/>
      <c r="I7504" s="13"/>
      <c r="J7504" s="13"/>
      <c r="K7504" s="13"/>
      <c r="L7504" s="13"/>
      <c r="M7504" s="13"/>
      <c r="N7504" s="13"/>
      <c r="O7504" s="13"/>
      <c r="P7504" s="13"/>
      <c r="Q7504" s="13"/>
      <c r="R7504" s="13"/>
      <c r="S7504" s="13"/>
      <c r="T7504" s="13"/>
      <c r="U7504" s="13"/>
      <c r="V7504" s="13"/>
      <c r="W7504" s="13"/>
      <c r="X7504" s="13"/>
      <c r="Y7504" s="13"/>
      <c r="Z7504" s="13"/>
    </row>
    <row r="7505" spans="1:26" ht="12.95" customHeight="1" outlineLevel="3" x14ac:dyDescent="0.2">
      <c r="A7505" s="76" t="s">
        <v>14367</v>
      </c>
      <c r="B7505" s="76"/>
      <c r="C7505" s="77"/>
      <c r="D7505" s="58"/>
      <c r="E7505" s="68"/>
      <c r="F7505" s="13"/>
      <c r="G7505" s="13"/>
      <c r="H7505" s="13"/>
      <c r="I7505" s="13"/>
      <c r="J7505" s="13"/>
      <c r="K7505" s="13"/>
      <c r="L7505" s="13"/>
      <c r="M7505" s="13"/>
      <c r="N7505" s="13"/>
      <c r="O7505" s="13"/>
      <c r="P7505" s="13"/>
      <c r="Q7505" s="13"/>
      <c r="R7505" s="13"/>
      <c r="S7505" s="13"/>
      <c r="T7505" s="13"/>
      <c r="U7505" s="13"/>
      <c r="V7505" s="13"/>
      <c r="W7505" s="13"/>
      <c r="X7505" s="13"/>
      <c r="Y7505" s="13"/>
      <c r="Z7505" s="13"/>
    </row>
    <row r="7506" spans="1:26" ht="12" customHeight="1" outlineLevel="4" x14ac:dyDescent="0.2">
      <c r="A7506" s="32" t="s">
        <v>14368</v>
      </c>
      <c r="B7506" s="74" t="s">
        <v>14369</v>
      </c>
      <c r="C7506" s="50"/>
      <c r="D7506" s="53">
        <f t="shared" si="117"/>
        <v>0</v>
      </c>
      <c r="E7506" s="60" t="str">
        <f>HYPERLINK("https://www.sds-group.ru/product/kupolnaya-ulichnaya-kamera-ahd-1-3mp-960p-obektiv-2-8-12-mm-ik-do-30-m-45-0143/", "Инфо")</f>
        <v>Инфо</v>
      </c>
      <c r="F7506" s="34" t="s">
        <v>39</v>
      </c>
      <c r="G7506" s="33"/>
      <c r="H7506" s="33" t="s">
        <v>40</v>
      </c>
      <c r="I7506" s="33"/>
      <c r="J7506" s="35">
        <v>14</v>
      </c>
      <c r="K7506" s="33"/>
      <c r="L7506" s="35">
        <v>1</v>
      </c>
      <c r="M7506" s="35">
        <v>50</v>
      </c>
      <c r="N7506" s="35">
        <v>1</v>
      </c>
      <c r="O7506" s="36">
        <v>3669.06</v>
      </c>
      <c r="P7506" s="36">
        <v>3007.43</v>
      </c>
      <c r="Q7506" s="36">
        <v>2568.34</v>
      </c>
      <c r="R7506" s="36">
        <v>2105.1999999999998</v>
      </c>
      <c r="S7506" s="36">
        <v>2494.96</v>
      </c>
      <c r="T7506" s="36">
        <v>2045.05</v>
      </c>
      <c r="U7506" s="34"/>
      <c r="V7506" s="34"/>
      <c r="W7506" s="34"/>
      <c r="X7506" s="37">
        <v>0.69899999999999995</v>
      </c>
      <c r="Y7506" s="38">
        <v>2.0240000000000002E-3</v>
      </c>
      <c r="Z7506" s="21">
        <v>4601004035508</v>
      </c>
    </row>
    <row r="7507" spans="1:26" ht="12.95" customHeight="1" outlineLevel="3" x14ac:dyDescent="0.2">
      <c r="A7507" s="76" t="s">
        <v>14370</v>
      </c>
      <c r="B7507" s="76"/>
      <c r="C7507" s="77"/>
      <c r="D7507" s="58"/>
      <c r="E7507" s="68"/>
      <c r="F7507" s="13"/>
      <c r="G7507" s="13"/>
      <c r="H7507" s="13"/>
      <c r="I7507" s="13"/>
      <c r="J7507" s="13"/>
      <c r="K7507" s="13"/>
      <c r="L7507" s="13"/>
      <c r="M7507" s="13"/>
      <c r="N7507" s="13"/>
      <c r="O7507" s="13"/>
      <c r="P7507" s="13"/>
      <c r="Q7507" s="13"/>
      <c r="R7507" s="13"/>
      <c r="S7507" s="13"/>
      <c r="T7507" s="13"/>
      <c r="U7507" s="13"/>
      <c r="V7507" s="13"/>
      <c r="W7507" s="13"/>
      <c r="X7507" s="13"/>
      <c r="Y7507" s="13"/>
      <c r="Z7507" s="13"/>
    </row>
    <row r="7508" spans="1:26" ht="12" customHeight="1" outlineLevel="4" x14ac:dyDescent="0.2">
      <c r="A7508" s="32" t="s">
        <v>14371</v>
      </c>
      <c r="B7508" s="74" t="s">
        <v>14372</v>
      </c>
      <c r="C7508" s="50"/>
      <c r="D7508" s="53">
        <f t="shared" si="117"/>
        <v>0</v>
      </c>
      <c r="E7508" s="60" t="str">
        <f>HYPERLINK("https://www.sds-group.ru/product/kupolnaya-kamera-ahd-1-0mp-720p-obektiv-2-8-12-mm-ik-do-30-m-45-0135/", "Инфо")</f>
        <v>Инфо</v>
      </c>
      <c r="F7508" s="34" t="s">
        <v>39</v>
      </c>
      <c r="G7508" s="33"/>
      <c r="H7508" s="33" t="s">
        <v>40</v>
      </c>
      <c r="I7508" s="33"/>
      <c r="J7508" s="35">
        <v>12</v>
      </c>
      <c r="K7508" s="33"/>
      <c r="L7508" s="35">
        <v>1</v>
      </c>
      <c r="M7508" s="35">
        <v>18</v>
      </c>
      <c r="N7508" s="35">
        <v>1</v>
      </c>
      <c r="O7508" s="36">
        <v>1858.16</v>
      </c>
      <c r="P7508" s="36">
        <v>1523.08</v>
      </c>
      <c r="Q7508" s="36">
        <v>1300.71</v>
      </c>
      <c r="R7508" s="36">
        <v>1066.1600000000001</v>
      </c>
      <c r="S7508" s="36">
        <v>1263.55</v>
      </c>
      <c r="T7508" s="36">
        <v>1035.7</v>
      </c>
      <c r="U7508" s="34"/>
      <c r="V7508" s="34"/>
      <c r="W7508" s="34"/>
      <c r="X7508" s="37">
        <v>0.39600000000000002</v>
      </c>
      <c r="Y7508" s="38">
        <v>2.0140000000000002E-3</v>
      </c>
      <c r="Z7508" s="21">
        <v>4601004050693</v>
      </c>
    </row>
    <row r="7509" spans="1:26" ht="12.95" customHeight="1" outlineLevel="2" x14ac:dyDescent="0.2">
      <c r="A7509" s="76" t="s">
        <v>14373</v>
      </c>
      <c r="B7509" s="76"/>
      <c r="C7509" s="77"/>
      <c r="D7509" s="58"/>
      <c r="E7509" s="68"/>
      <c r="F7509" s="13"/>
      <c r="G7509" s="13"/>
      <c r="H7509" s="13"/>
      <c r="I7509" s="13"/>
      <c r="J7509" s="13"/>
      <c r="K7509" s="13"/>
      <c r="L7509" s="13"/>
      <c r="M7509" s="13"/>
      <c r="N7509" s="13"/>
      <c r="O7509" s="13"/>
      <c r="P7509" s="13"/>
      <c r="Q7509" s="13"/>
      <c r="R7509" s="13"/>
      <c r="S7509" s="13"/>
      <c r="T7509" s="13"/>
      <c r="U7509" s="13"/>
      <c r="V7509" s="13"/>
      <c r="W7509" s="13"/>
      <c r="X7509" s="13"/>
      <c r="Y7509" s="13"/>
      <c r="Z7509" s="13"/>
    </row>
    <row r="7510" spans="1:26" ht="12" customHeight="1" outlineLevel="3" x14ac:dyDescent="0.2">
      <c r="A7510" s="32" t="s">
        <v>14374</v>
      </c>
      <c r="B7510" s="74" t="s">
        <v>14375</v>
      </c>
      <c r="C7510" s="50"/>
      <c r="D7510" s="53">
        <f t="shared" si="117"/>
        <v>0</v>
      </c>
      <c r="E7510" s="60" t="str">
        <f>HYPERLINK("https://www.sds-group.ru/product/blok-pitaniya-rezervirovannyy-12v-2a-pod-akb-7a-ch-dc-496-34-0496/", "Инфо")</f>
        <v>Инфо</v>
      </c>
      <c r="F7510" s="34" t="s">
        <v>39</v>
      </c>
      <c r="G7510" s="33"/>
      <c r="H7510" s="33" t="s">
        <v>40</v>
      </c>
      <c r="I7510" s="33"/>
      <c r="J7510" s="35">
        <v>9</v>
      </c>
      <c r="K7510" s="33"/>
      <c r="L7510" s="35">
        <v>1</v>
      </c>
      <c r="M7510" s="35">
        <v>24</v>
      </c>
      <c r="N7510" s="35">
        <v>1</v>
      </c>
      <c r="O7510" s="36">
        <v>4664.8999999999996</v>
      </c>
      <c r="P7510" s="36">
        <v>3823.69</v>
      </c>
      <c r="Q7510" s="36">
        <v>3405.38</v>
      </c>
      <c r="R7510" s="36">
        <v>2791.3</v>
      </c>
      <c r="S7510" s="36">
        <v>3172.13</v>
      </c>
      <c r="T7510" s="36">
        <v>2600.11</v>
      </c>
      <c r="U7510" s="34"/>
      <c r="V7510" s="34"/>
      <c r="W7510" s="34" t="s">
        <v>40</v>
      </c>
      <c r="X7510" s="37">
        <v>0.70399999999999996</v>
      </c>
      <c r="Y7510" s="38">
        <v>2.9640000000000001E-3</v>
      </c>
      <c r="Z7510" s="21">
        <v>4601004057784</v>
      </c>
    </row>
    <row r="7511" spans="1:26" ht="12" customHeight="1" outlineLevel="3" x14ac:dyDescent="0.2">
      <c r="A7511" s="32" t="s">
        <v>14376</v>
      </c>
      <c r="B7511" s="74" t="s">
        <v>14377</v>
      </c>
      <c r="C7511" s="50"/>
      <c r="D7511" s="53">
        <f t="shared" si="117"/>
        <v>0</v>
      </c>
      <c r="E7511" s="60" t="str">
        <f>HYPERLINK("https://www.sds-group.ru/product/blok-pitaniya-stabilizirovannyy-12v-1-5a-ulichnaya-ustanovka-dc-493-34-0493/", "Инфо")</f>
        <v>Инфо</v>
      </c>
      <c r="F7511" s="34" t="s">
        <v>39</v>
      </c>
      <c r="G7511" s="33"/>
      <c r="H7511" s="33" t="s">
        <v>40</v>
      </c>
      <c r="I7511" s="33"/>
      <c r="J7511" s="35">
        <v>2</v>
      </c>
      <c r="K7511" s="33"/>
      <c r="L7511" s="35">
        <v>1</v>
      </c>
      <c r="M7511" s="35">
        <v>30</v>
      </c>
      <c r="N7511" s="35">
        <v>1</v>
      </c>
      <c r="O7511" s="36">
        <v>1746.99</v>
      </c>
      <c r="P7511" s="36">
        <v>1431.96</v>
      </c>
      <c r="Q7511" s="36">
        <v>1380.12</v>
      </c>
      <c r="R7511" s="36">
        <v>1131.25</v>
      </c>
      <c r="S7511" s="36">
        <v>1187.95</v>
      </c>
      <c r="T7511" s="36">
        <v>973.73</v>
      </c>
      <c r="U7511" s="34"/>
      <c r="V7511" s="34"/>
      <c r="W7511" s="34" t="s">
        <v>40</v>
      </c>
      <c r="X7511" s="37">
        <v>7.0999999999999994E-2</v>
      </c>
      <c r="Y7511" s="38">
        <v>1.15E-4</v>
      </c>
      <c r="Z7511" s="21">
        <v>4601004057753</v>
      </c>
    </row>
    <row r="7512" spans="1:26" ht="12.95" customHeight="1" outlineLevel="2" x14ac:dyDescent="0.2">
      <c r="A7512" s="76" t="s">
        <v>14378</v>
      </c>
      <c r="B7512" s="76"/>
      <c r="C7512" s="77"/>
      <c r="D7512" s="58"/>
      <c r="E7512" s="68"/>
      <c r="F7512" s="13"/>
      <c r="G7512" s="13"/>
      <c r="H7512" s="13"/>
      <c r="I7512" s="13"/>
      <c r="J7512" s="13"/>
      <c r="K7512" s="13"/>
      <c r="L7512" s="13"/>
      <c r="M7512" s="13"/>
      <c r="N7512" s="13"/>
      <c r="O7512" s="13"/>
      <c r="P7512" s="13"/>
      <c r="Q7512" s="13"/>
      <c r="R7512" s="13"/>
      <c r="S7512" s="13"/>
      <c r="T7512" s="13"/>
      <c r="U7512" s="13"/>
      <c r="V7512" s="13"/>
      <c r="W7512" s="13"/>
      <c r="X7512" s="13"/>
      <c r="Y7512" s="13"/>
      <c r="Z7512" s="13"/>
    </row>
    <row r="7513" spans="1:26" ht="12" customHeight="1" outlineLevel="3" x14ac:dyDescent="0.2">
      <c r="A7513" s="14" t="s">
        <v>14379</v>
      </c>
      <c r="B7513" s="26" t="s">
        <v>14380</v>
      </c>
      <c r="C7513" s="52"/>
      <c r="D7513" s="55">
        <f t="shared" si="117"/>
        <v>0</v>
      </c>
      <c r="E7513" s="63" t="str">
        <f>HYPERLINK("https://www.sds-group.ru/product/kronshteyn-dlya-kamer-videonablyudeniya-na-stolb-14h14-sm-pod-homuty-rexant-homuty-v-komplek-34-0894/", "Инфо")</f>
        <v>Инфо</v>
      </c>
      <c r="F7513" s="16" t="s">
        <v>39</v>
      </c>
      <c r="G7513" s="15"/>
      <c r="H7513" s="15"/>
      <c r="I7513" s="15"/>
      <c r="J7513" s="17">
        <v>157</v>
      </c>
      <c r="K7513" s="15" t="s">
        <v>1408</v>
      </c>
      <c r="L7513" s="17">
        <v>1</v>
      </c>
      <c r="M7513" s="17">
        <v>25</v>
      </c>
      <c r="N7513" s="17">
        <v>1</v>
      </c>
      <c r="O7513" s="18">
        <v>755.38</v>
      </c>
      <c r="P7513" s="18">
        <v>619.16</v>
      </c>
      <c r="Q7513" s="18">
        <v>604.29999999999995</v>
      </c>
      <c r="R7513" s="18">
        <v>495.33</v>
      </c>
      <c r="S7513" s="18">
        <v>513.66</v>
      </c>
      <c r="T7513" s="18">
        <v>421.03</v>
      </c>
      <c r="U7513" s="16"/>
      <c r="V7513" s="16"/>
      <c r="W7513" s="16" t="s">
        <v>40</v>
      </c>
      <c r="X7513" s="19">
        <v>0.63200000000000001</v>
      </c>
      <c r="Y7513" s="20">
        <v>1.6410000000000001E-3</v>
      </c>
      <c r="Z7513" s="21">
        <v>4601004296732</v>
      </c>
    </row>
    <row r="7514" spans="1:26" ht="12" customHeight="1" outlineLevel="3" x14ac:dyDescent="0.2">
      <c r="A7514" s="14" t="s">
        <v>14381</v>
      </c>
      <c r="B7514" s="26" t="s">
        <v>14382</v>
      </c>
      <c r="C7514" s="52"/>
      <c r="D7514" s="55">
        <f t="shared" si="117"/>
        <v>0</v>
      </c>
      <c r="E7514" s="63" t="str">
        <f>HYPERLINK("https://www.sds-group.ru/product/kronshteyn-dlya-kamer-videonablyudeniya-na-stolb-18h14sm-pod-homuty-rexant-homuty-v-komplekt-34-0893/", "Инфо")</f>
        <v>Инфо</v>
      </c>
      <c r="F7514" s="16" t="s">
        <v>39</v>
      </c>
      <c r="G7514" s="15"/>
      <c r="H7514" s="15"/>
      <c r="I7514" s="15"/>
      <c r="J7514" s="17">
        <v>99</v>
      </c>
      <c r="K7514" s="15"/>
      <c r="L7514" s="17">
        <v>1</v>
      </c>
      <c r="M7514" s="17">
        <v>30</v>
      </c>
      <c r="N7514" s="17">
        <v>1</v>
      </c>
      <c r="O7514" s="18">
        <v>1027.03</v>
      </c>
      <c r="P7514" s="18">
        <v>841.83</v>
      </c>
      <c r="Q7514" s="18">
        <v>821.62</v>
      </c>
      <c r="R7514" s="18">
        <v>673.46</v>
      </c>
      <c r="S7514" s="18">
        <v>698.38</v>
      </c>
      <c r="T7514" s="18">
        <v>572.44000000000005</v>
      </c>
      <c r="U7514" s="16"/>
      <c r="V7514" s="16"/>
      <c r="W7514" s="16" t="s">
        <v>40</v>
      </c>
      <c r="X7514" s="19">
        <v>0.75700000000000001</v>
      </c>
      <c r="Y7514" s="20">
        <v>1.3489999999999999E-3</v>
      </c>
      <c r="Z7514" s="21">
        <v>4601004296787</v>
      </c>
    </row>
    <row r="7515" spans="1:26" ht="12" customHeight="1" outlineLevel="3" x14ac:dyDescent="0.2">
      <c r="A7515" s="14" t="s">
        <v>14383</v>
      </c>
      <c r="B7515" s="26" t="s">
        <v>14384</v>
      </c>
      <c r="C7515" s="52"/>
      <c r="D7515" s="55">
        <f t="shared" si="117"/>
        <v>0</v>
      </c>
      <c r="E7515" s="63" t="str">
        <f>HYPERLINK("https://www.sds-group.ru/product/kronshteyn-dlya-kamer-videonablyudeniya-rexant-s-povorotnoy-ploschadkoy-truba-5-1-sm-30-sm-34-0872/", "Инфо")</f>
        <v>Инфо</v>
      </c>
      <c r="F7515" s="16" t="s">
        <v>39</v>
      </c>
      <c r="G7515" s="15"/>
      <c r="H7515" s="15"/>
      <c r="I7515" s="15"/>
      <c r="J7515" s="17">
        <v>16</v>
      </c>
      <c r="K7515" s="15" t="s">
        <v>1408</v>
      </c>
      <c r="L7515" s="17">
        <v>1</v>
      </c>
      <c r="M7515" s="17">
        <v>20</v>
      </c>
      <c r="N7515" s="17">
        <v>1</v>
      </c>
      <c r="O7515" s="18">
        <v>1532.73</v>
      </c>
      <c r="P7515" s="18">
        <v>1256.3399999999999</v>
      </c>
      <c r="Q7515" s="18">
        <v>1210.8599999999999</v>
      </c>
      <c r="R7515" s="18">
        <v>992.51</v>
      </c>
      <c r="S7515" s="18">
        <v>1042.26</v>
      </c>
      <c r="T7515" s="18">
        <v>854.31</v>
      </c>
      <c r="U7515" s="16"/>
      <c r="V7515" s="16"/>
      <c r="W7515" s="16" t="s">
        <v>40</v>
      </c>
      <c r="X7515" s="19">
        <v>1.321</v>
      </c>
      <c r="Y7515" s="20">
        <v>4.7949999999999998E-3</v>
      </c>
      <c r="Z7515" s="21">
        <v>4601004129054</v>
      </c>
    </row>
    <row r="7516" spans="1:26" ht="12" customHeight="1" outlineLevel="3" x14ac:dyDescent="0.2">
      <c r="A7516" s="14" t="s">
        <v>14385</v>
      </c>
      <c r="B7516" s="26" t="s">
        <v>14386</v>
      </c>
      <c r="C7516" s="52"/>
      <c r="D7516" s="55">
        <f t="shared" si="117"/>
        <v>0</v>
      </c>
      <c r="E7516" s="63" t="str">
        <f>HYPERLINK("https://www.sds-group.ru/product/kronshteyn-dlya-kamer-videonablyudeniya-rexant-teleskopicheskiy-70-130-sm-34-0878/", "Инфо")</f>
        <v>Инфо</v>
      </c>
      <c r="F7516" s="16" t="s">
        <v>39</v>
      </c>
      <c r="G7516" s="15"/>
      <c r="H7516" s="15"/>
      <c r="I7516" s="15"/>
      <c r="J7516" s="22">
        <v>1041</v>
      </c>
      <c r="K7516" s="15"/>
      <c r="L7516" s="17">
        <v>1</v>
      </c>
      <c r="M7516" s="17">
        <v>10</v>
      </c>
      <c r="N7516" s="17">
        <v>1</v>
      </c>
      <c r="O7516" s="18">
        <v>2870.66</v>
      </c>
      <c r="P7516" s="18">
        <v>2353</v>
      </c>
      <c r="Q7516" s="18">
        <v>2210.41</v>
      </c>
      <c r="R7516" s="18">
        <v>1811.81</v>
      </c>
      <c r="S7516" s="18">
        <v>1952.05</v>
      </c>
      <c r="T7516" s="18">
        <v>1600.04</v>
      </c>
      <c r="U7516" s="16"/>
      <c r="V7516" s="16"/>
      <c r="W7516" s="16" t="s">
        <v>40</v>
      </c>
      <c r="X7516" s="19">
        <v>2.7589999999999999</v>
      </c>
      <c r="Y7516" s="20">
        <v>1.7815999999999999E-2</v>
      </c>
      <c r="Z7516" s="21">
        <v>4601004129078</v>
      </c>
    </row>
    <row r="7517" spans="1:26" ht="12" customHeight="1" outlineLevel="3" x14ac:dyDescent="0.2">
      <c r="A7517" s="14" t="s">
        <v>14387</v>
      </c>
      <c r="B7517" s="26" t="s">
        <v>14388</v>
      </c>
      <c r="C7517" s="52"/>
      <c r="D7517" s="55">
        <f t="shared" si="117"/>
        <v>0</v>
      </c>
      <c r="E7517" s="63" t="str">
        <f>HYPERLINK("https://www.sds-group.ru/product/kronshteyn-dlya-kamer-videonablyudeniya-teleskopicheskiy-60-110sm-bokovoy-rexant-34-0616/", "Инфо")</f>
        <v>Инфо</v>
      </c>
      <c r="F7517" s="16" t="s">
        <v>39</v>
      </c>
      <c r="G7517" s="15"/>
      <c r="H7517" s="15"/>
      <c r="I7517" s="15"/>
      <c r="J7517" s="17">
        <v>137</v>
      </c>
      <c r="K7517" s="15" t="s">
        <v>1408</v>
      </c>
      <c r="L7517" s="17">
        <v>1</v>
      </c>
      <c r="M7517" s="17">
        <v>10</v>
      </c>
      <c r="N7517" s="17">
        <v>1</v>
      </c>
      <c r="O7517" s="18">
        <v>1889.95</v>
      </c>
      <c r="P7517" s="18">
        <v>1549.14</v>
      </c>
      <c r="Q7517" s="18">
        <v>1493.06</v>
      </c>
      <c r="R7517" s="18">
        <v>1223.82</v>
      </c>
      <c r="S7517" s="18">
        <v>1285.17</v>
      </c>
      <c r="T7517" s="18">
        <v>1053.42</v>
      </c>
      <c r="U7517" s="16"/>
      <c r="V7517" s="16"/>
      <c r="W7517" s="16" t="s">
        <v>40</v>
      </c>
      <c r="X7517" s="19">
        <v>1.86</v>
      </c>
      <c r="Y7517" s="20">
        <v>1.2258E-2</v>
      </c>
      <c r="Z7517" s="21">
        <v>4601004282520</v>
      </c>
    </row>
    <row r="7518" spans="1:26" ht="12" customHeight="1" outlineLevel="3" x14ac:dyDescent="0.2">
      <c r="A7518" s="14" t="s">
        <v>14389</v>
      </c>
      <c r="B7518" s="26" t="s">
        <v>14390</v>
      </c>
      <c r="C7518" s="52"/>
      <c r="D7518" s="55">
        <f t="shared" si="117"/>
        <v>0</v>
      </c>
      <c r="E7518" s="63" t="str">
        <f>HYPERLINK("https://www.sds-group.ru/product/kronshteyn-dlya-kamer-videonablyudeniya-teleskopicheskiy-60-110sm-tortsevoy-rexant-34-0617/", "Инфо")</f>
        <v>Инфо</v>
      </c>
      <c r="F7518" s="16" t="s">
        <v>39</v>
      </c>
      <c r="G7518" s="15"/>
      <c r="H7518" s="15"/>
      <c r="I7518" s="15"/>
      <c r="J7518" s="16" t="s">
        <v>100</v>
      </c>
      <c r="K7518" s="15" t="s">
        <v>1094</v>
      </c>
      <c r="L7518" s="17">
        <v>1</v>
      </c>
      <c r="M7518" s="17">
        <v>10</v>
      </c>
      <c r="N7518" s="17">
        <v>1</v>
      </c>
      <c r="O7518" s="18">
        <v>1889.95</v>
      </c>
      <c r="P7518" s="18">
        <v>1549.14</v>
      </c>
      <c r="Q7518" s="18">
        <v>1493.06</v>
      </c>
      <c r="R7518" s="18">
        <v>1223.82</v>
      </c>
      <c r="S7518" s="18">
        <v>1285.17</v>
      </c>
      <c r="T7518" s="18">
        <v>1053.42</v>
      </c>
      <c r="U7518" s="16"/>
      <c r="V7518" s="16"/>
      <c r="W7518" s="16" t="s">
        <v>40</v>
      </c>
      <c r="X7518" s="19">
        <v>1.887</v>
      </c>
      <c r="Y7518" s="20">
        <v>1.2442E-2</v>
      </c>
      <c r="Z7518" s="21">
        <v>4601004282490</v>
      </c>
    </row>
    <row r="7519" spans="1:26" ht="12" customHeight="1" outlineLevel="3" x14ac:dyDescent="0.2">
      <c r="A7519" s="14" t="s">
        <v>14391</v>
      </c>
      <c r="B7519" s="26" t="s">
        <v>14392</v>
      </c>
      <c r="C7519" s="52"/>
      <c r="D7519" s="55">
        <f t="shared" si="117"/>
        <v>0</v>
      </c>
      <c r="E7519" s="63" t="str">
        <f>HYPERLINK("https://www.sds-group.ru/product/kronshteyn-dlya-kamer-videonablyudeniya-teleskopicheskiy-70-130sm-bokovoy-rexant-34-0879/", "Инфо")</f>
        <v>Инфо</v>
      </c>
      <c r="F7519" s="16" t="s">
        <v>39</v>
      </c>
      <c r="G7519" s="15"/>
      <c r="H7519" s="15"/>
      <c r="I7519" s="15"/>
      <c r="J7519" s="17">
        <v>53</v>
      </c>
      <c r="K7519" s="15" t="s">
        <v>1094</v>
      </c>
      <c r="L7519" s="17">
        <v>1</v>
      </c>
      <c r="M7519" s="17">
        <v>10</v>
      </c>
      <c r="N7519" s="17">
        <v>1</v>
      </c>
      <c r="O7519" s="18">
        <v>2292.59</v>
      </c>
      <c r="P7519" s="18">
        <v>1879.17</v>
      </c>
      <c r="Q7519" s="18">
        <v>1765.29</v>
      </c>
      <c r="R7519" s="18">
        <v>1446.96</v>
      </c>
      <c r="S7519" s="18">
        <v>1558.96</v>
      </c>
      <c r="T7519" s="18">
        <v>1277.8399999999999</v>
      </c>
      <c r="U7519" s="16"/>
      <c r="V7519" s="16"/>
      <c r="W7519" s="16" t="s">
        <v>40</v>
      </c>
      <c r="X7519" s="19">
        <v>2.6</v>
      </c>
      <c r="Y7519" s="20">
        <v>1.6978E-2</v>
      </c>
      <c r="Z7519" s="21">
        <v>4601004296725</v>
      </c>
    </row>
    <row r="7520" spans="1:26" ht="12" customHeight="1" outlineLevel="3" x14ac:dyDescent="0.2">
      <c r="A7520" s="14" t="s">
        <v>14393</v>
      </c>
      <c r="B7520" s="26" t="s">
        <v>14394</v>
      </c>
      <c r="C7520" s="52"/>
      <c r="D7520" s="55">
        <f t="shared" si="117"/>
        <v>0</v>
      </c>
      <c r="E7520" s="63" t="str">
        <f>HYPERLINK("https://www.sds-group.ru/product/kronshteyn-dlya-kamer-videonablyudeniya-rexant-truba-5-1-sm-30-sm-34-0870/", "Инфо")</f>
        <v>Инфо</v>
      </c>
      <c r="F7520" s="16" t="s">
        <v>39</v>
      </c>
      <c r="G7520" s="15"/>
      <c r="H7520" s="15"/>
      <c r="I7520" s="15"/>
      <c r="J7520" s="17">
        <v>323</v>
      </c>
      <c r="K7520" s="15"/>
      <c r="L7520" s="17">
        <v>1</v>
      </c>
      <c r="M7520" s="17">
        <v>20</v>
      </c>
      <c r="N7520" s="17">
        <v>1</v>
      </c>
      <c r="O7520" s="18">
        <v>1282.1500000000001</v>
      </c>
      <c r="P7520" s="18">
        <v>1050.94</v>
      </c>
      <c r="Q7520" s="18">
        <v>1025.72</v>
      </c>
      <c r="R7520" s="18">
        <v>840.75</v>
      </c>
      <c r="S7520" s="18">
        <v>871.86</v>
      </c>
      <c r="T7520" s="18">
        <v>714.64</v>
      </c>
      <c r="U7520" s="16"/>
      <c r="V7520" s="16"/>
      <c r="W7520" s="16" t="s">
        <v>40</v>
      </c>
      <c r="X7520" s="19">
        <v>0.90100000000000002</v>
      </c>
      <c r="Y7520" s="20">
        <v>3.529E-3</v>
      </c>
      <c r="Z7520" s="21">
        <v>4601004129047</v>
      </c>
    </row>
    <row r="7521" spans="1:26" ht="12" customHeight="1" outlineLevel="3" x14ac:dyDescent="0.2">
      <c r="A7521" s="32" t="s">
        <v>14395</v>
      </c>
      <c r="B7521" s="74" t="s">
        <v>14396</v>
      </c>
      <c r="C7521" s="50"/>
      <c r="D7521" s="53">
        <f t="shared" si="117"/>
        <v>0</v>
      </c>
      <c r="E7521" s="60" t="str">
        <f>HYPERLINK("https://www.sds-group.ru/product/kronshteyn-dlya-kamer-videonablyudeniya-30sm-tortsevoy-rexant-34-0885/", "Инфо")</f>
        <v>Инфо</v>
      </c>
      <c r="F7521" s="34" t="s">
        <v>39</v>
      </c>
      <c r="G7521" s="33"/>
      <c r="H7521" s="33" t="s">
        <v>40</v>
      </c>
      <c r="I7521" s="33"/>
      <c r="J7521" s="34" t="s">
        <v>100</v>
      </c>
      <c r="K7521" s="33"/>
      <c r="L7521" s="35">
        <v>1</v>
      </c>
      <c r="M7521" s="35">
        <v>30</v>
      </c>
      <c r="N7521" s="35">
        <v>1</v>
      </c>
      <c r="O7521" s="36">
        <v>685.79</v>
      </c>
      <c r="P7521" s="36">
        <v>562.12</v>
      </c>
      <c r="Q7521" s="36">
        <v>548.63</v>
      </c>
      <c r="R7521" s="36">
        <v>449.7</v>
      </c>
      <c r="S7521" s="36">
        <v>466.34</v>
      </c>
      <c r="T7521" s="36">
        <v>382.25</v>
      </c>
      <c r="U7521" s="34"/>
      <c r="V7521" s="34"/>
      <c r="W7521" s="34" t="s">
        <v>40</v>
      </c>
      <c r="X7521" s="37">
        <v>0.54600000000000004</v>
      </c>
      <c r="Y7521" s="38">
        <v>1.358E-3</v>
      </c>
      <c r="Z7521" s="21">
        <v>4601004296756</v>
      </c>
    </row>
    <row r="7522" spans="1:26" ht="12" customHeight="1" outlineLevel="3" x14ac:dyDescent="0.2">
      <c r="A7522" s="14" t="s">
        <v>14397</v>
      </c>
      <c r="B7522" s="26" t="s">
        <v>14398</v>
      </c>
      <c r="C7522" s="52"/>
      <c r="D7522" s="55">
        <f t="shared" si="117"/>
        <v>0</v>
      </c>
      <c r="E7522" s="63" t="str">
        <f>HYPERLINK("https://www.sds-group.ru/product/kronshteyn-dlya-kamer-videonablyudeniya-30sm-uglovoy-rexant-34-0880/", "Инфо")</f>
        <v>Инфо</v>
      </c>
      <c r="F7522" s="16" t="s">
        <v>39</v>
      </c>
      <c r="G7522" s="15"/>
      <c r="H7522" s="15"/>
      <c r="I7522" s="15"/>
      <c r="J7522" s="17">
        <v>39</v>
      </c>
      <c r="K7522" s="15"/>
      <c r="L7522" s="17">
        <v>1</v>
      </c>
      <c r="M7522" s="17">
        <v>30</v>
      </c>
      <c r="N7522" s="17">
        <v>1</v>
      </c>
      <c r="O7522" s="18">
        <v>1341.78</v>
      </c>
      <c r="P7522" s="18">
        <v>1099.82</v>
      </c>
      <c r="Q7522" s="18">
        <v>1060.01</v>
      </c>
      <c r="R7522" s="18">
        <v>868.86</v>
      </c>
      <c r="S7522" s="18">
        <v>912.41</v>
      </c>
      <c r="T7522" s="18">
        <v>747.88</v>
      </c>
      <c r="U7522" s="16"/>
      <c r="V7522" s="16"/>
      <c r="W7522" s="16" t="s">
        <v>40</v>
      </c>
      <c r="X7522" s="19">
        <v>0.98099999999999998</v>
      </c>
      <c r="Y7522" s="20">
        <v>2.3609999999999998E-3</v>
      </c>
      <c r="Z7522" s="21">
        <v>4601004296695</v>
      </c>
    </row>
    <row r="7523" spans="1:26" ht="12" customHeight="1" outlineLevel="3" x14ac:dyDescent="0.2">
      <c r="A7523" s="32" t="s">
        <v>14399</v>
      </c>
      <c r="B7523" s="74" t="s">
        <v>14400</v>
      </c>
      <c r="C7523" s="50"/>
      <c r="D7523" s="53">
        <f t="shared" si="117"/>
        <v>0</v>
      </c>
      <c r="E7523" s="60" t="str">
        <f>HYPERLINK("https://www.sds-group.ru/product/kronshteyn-dlya-kamer-videonablyudeniya-45sm-bokovoy-rexant-34-0886/", "Инфо")</f>
        <v>Инфо</v>
      </c>
      <c r="F7523" s="34" t="s">
        <v>39</v>
      </c>
      <c r="G7523" s="33"/>
      <c r="H7523" s="33" t="s">
        <v>40</v>
      </c>
      <c r="I7523" s="33"/>
      <c r="J7523" s="34" t="s">
        <v>100</v>
      </c>
      <c r="K7523" s="33"/>
      <c r="L7523" s="35">
        <v>1</v>
      </c>
      <c r="M7523" s="35">
        <v>50</v>
      </c>
      <c r="N7523" s="35">
        <v>1</v>
      </c>
      <c r="O7523" s="36">
        <v>778.56</v>
      </c>
      <c r="P7523" s="36">
        <v>638.16</v>
      </c>
      <c r="Q7523" s="36">
        <v>622.85</v>
      </c>
      <c r="R7523" s="36">
        <v>510.53</v>
      </c>
      <c r="S7523" s="36">
        <v>529.41999999999996</v>
      </c>
      <c r="T7523" s="36">
        <v>433.95</v>
      </c>
      <c r="U7523" s="34"/>
      <c r="V7523" s="34"/>
      <c r="W7523" s="34" t="s">
        <v>40</v>
      </c>
      <c r="X7523" s="37">
        <v>0.628</v>
      </c>
      <c r="Y7523" s="38">
        <v>1.931E-3</v>
      </c>
      <c r="Z7523" s="21">
        <v>4601004296749</v>
      </c>
    </row>
    <row r="7524" spans="1:26" ht="12" customHeight="1" outlineLevel="3" x14ac:dyDescent="0.2">
      <c r="A7524" s="14" t="s">
        <v>14401</v>
      </c>
      <c r="B7524" s="26" t="s">
        <v>14402</v>
      </c>
      <c r="C7524" s="52"/>
      <c r="D7524" s="55">
        <f t="shared" si="117"/>
        <v>0</v>
      </c>
      <c r="E7524" s="63" t="str">
        <f>HYPERLINK("https://www.sds-group.ru/product/kronshteyn-dlya-kamer-videonablyudeniya-50sm-uglovoy-rexant-34-0881/", "Инфо")</f>
        <v>Инфо</v>
      </c>
      <c r="F7524" s="16" t="s">
        <v>39</v>
      </c>
      <c r="G7524" s="15"/>
      <c r="H7524" s="15"/>
      <c r="I7524" s="15"/>
      <c r="J7524" s="17">
        <v>7</v>
      </c>
      <c r="K7524" s="15" t="s">
        <v>1408</v>
      </c>
      <c r="L7524" s="17">
        <v>1</v>
      </c>
      <c r="M7524" s="17">
        <v>15</v>
      </c>
      <c r="N7524" s="17">
        <v>1</v>
      </c>
      <c r="O7524" s="18">
        <v>1736.02</v>
      </c>
      <c r="P7524" s="18">
        <v>1422.97</v>
      </c>
      <c r="Q7524" s="18">
        <v>1371.46</v>
      </c>
      <c r="R7524" s="18">
        <v>1124.1500000000001</v>
      </c>
      <c r="S7524" s="18">
        <v>1180.49</v>
      </c>
      <c r="T7524" s="18">
        <v>967.61</v>
      </c>
      <c r="U7524" s="16"/>
      <c r="V7524" s="16"/>
      <c r="W7524" s="16" t="s">
        <v>40</v>
      </c>
      <c r="X7524" s="19">
        <v>1.32</v>
      </c>
      <c r="Y7524" s="20">
        <v>4.6290000000000003E-3</v>
      </c>
      <c r="Z7524" s="21">
        <v>4601004296701</v>
      </c>
    </row>
    <row r="7525" spans="1:26" ht="12" customHeight="1" outlineLevel="3" x14ac:dyDescent="0.2">
      <c r="A7525" s="14" t="s">
        <v>14403</v>
      </c>
      <c r="B7525" s="26" t="s">
        <v>14404</v>
      </c>
      <c r="C7525" s="52"/>
      <c r="D7525" s="55">
        <f t="shared" si="117"/>
        <v>0</v>
      </c>
      <c r="E7525" s="63" t="str">
        <f>HYPERLINK("https://www.sds-group.ru/product/kronshteyn-universalnyy-dlya-videokamer-na-stolb-ugol-seryy-28-4011/", "Инфо")</f>
        <v>Инфо</v>
      </c>
      <c r="F7525" s="16" t="s">
        <v>39</v>
      </c>
      <c r="G7525" s="15"/>
      <c r="H7525" s="15"/>
      <c r="I7525" s="15"/>
      <c r="J7525" s="17">
        <v>198</v>
      </c>
      <c r="K7525" s="15" t="s">
        <v>1408</v>
      </c>
      <c r="L7525" s="17">
        <v>1</v>
      </c>
      <c r="M7525" s="17">
        <v>18</v>
      </c>
      <c r="N7525" s="17">
        <v>1</v>
      </c>
      <c r="O7525" s="18">
        <v>1914.11</v>
      </c>
      <c r="P7525" s="18">
        <v>1568.94</v>
      </c>
      <c r="Q7525" s="18">
        <v>1512.15</v>
      </c>
      <c r="R7525" s="18">
        <v>1239.47</v>
      </c>
      <c r="S7525" s="18">
        <v>1301.5899999999999</v>
      </c>
      <c r="T7525" s="18">
        <v>1066.8800000000001</v>
      </c>
      <c r="U7525" s="16"/>
      <c r="V7525" s="16"/>
      <c r="W7525" s="16" t="s">
        <v>40</v>
      </c>
      <c r="X7525" s="19">
        <v>0.55700000000000005</v>
      </c>
      <c r="Y7525" s="20">
        <v>2.9949999999999998E-3</v>
      </c>
      <c r="Z7525" s="21">
        <v>4601004248410</v>
      </c>
    </row>
    <row r="7526" spans="1:26" ht="12" customHeight="1" outlineLevel="3" x14ac:dyDescent="0.2">
      <c r="A7526" s="14" t="s">
        <v>14405</v>
      </c>
      <c r="B7526" s="26" t="s">
        <v>14406</v>
      </c>
      <c r="C7526" s="52"/>
      <c r="D7526" s="55">
        <f t="shared" si="117"/>
        <v>0</v>
      </c>
      <c r="E7526" s="63" t="str">
        <f>HYPERLINK("https://www.sds-group.ru/product/kronshteyn-universalnyy-dlya-videokamer-na-stolb-ugol-chernyy-28-4012/", "Инфо")</f>
        <v>Инфо</v>
      </c>
      <c r="F7526" s="16" t="s">
        <v>39</v>
      </c>
      <c r="G7526" s="15"/>
      <c r="H7526" s="15"/>
      <c r="I7526" s="15"/>
      <c r="J7526" s="17">
        <v>148</v>
      </c>
      <c r="K7526" s="15" t="s">
        <v>1408</v>
      </c>
      <c r="L7526" s="17">
        <v>1</v>
      </c>
      <c r="M7526" s="17">
        <v>18</v>
      </c>
      <c r="N7526" s="17">
        <v>1</v>
      </c>
      <c r="O7526" s="18">
        <v>1914.11</v>
      </c>
      <c r="P7526" s="18">
        <v>1568.94</v>
      </c>
      <c r="Q7526" s="18">
        <v>1512.15</v>
      </c>
      <c r="R7526" s="18">
        <v>1239.47</v>
      </c>
      <c r="S7526" s="18">
        <v>1301.5899999999999</v>
      </c>
      <c r="T7526" s="18">
        <v>1066.8800000000001</v>
      </c>
      <c r="U7526" s="16"/>
      <c r="V7526" s="16"/>
      <c r="W7526" s="16" t="s">
        <v>40</v>
      </c>
      <c r="X7526" s="19">
        <v>0.58099999999999996</v>
      </c>
      <c r="Y7526" s="20">
        <v>2.8240000000000001E-3</v>
      </c>
      <c r="Z7526" s="21">
        <v>4601004248427</v>
      </c>
    </row>
    <row r="7527" spans="1:26" ht="12.95" customHeight="1" outlineLevel="1" x14ac:dyDescent="0.2">
      <c r="A7527" s="78" t="s">
        <v>14407</v>
      </c>
      <c r="B7527" s="78"/>
      <c r="C7527" s="79"/>
      <c r="D7527" s="57"/>
      <c r="E7527" s="67"/>
      <c r="F7527" s="12"/>
      <c r="G7527" s="12"/>
      <c r="H7527" s="12"/>
      <c r="I7527" s="12"/>
      <c r="J7527" s="12"/>
      <c r="K7527" s="12"/>
      <c r="L7527" s="12"/>
      <c r="M7527" s="12"/>
      <c r="N7527" s="12"/>
      <c r="O7527" s="12"/>
      <c r="P7527" s="12"/>
      <c r="Q7527" s="12"/>
      <c r="R7527" s="12"/>
      <c r="S7527" s="12"/>
      <c r="T7527" s="12"/>
      <c r="U7527" s="12"/>
      <c r="V7527" s="12"/>
      <c r="W7527" s="12"/>
      <c r="X7527" s="12"/>
      <c r="Y7527" s="12"/>
      <c r="Z7527" s="12"/>
    </row>
    <row r="7528" spans="1:26" ht="12.95" customHeight="1" outlineLevel="2" x14ac:dyDescent="0.2">
      <c r="A7528" s="76" t="s">
        <v>14408</v>
      </c>
      <c r="B7528" s="76"/>
      <c r="C7528" s="77"/>
      <c r="D7528" s="58"/>
      <c r="E7528" s="68"/>
      <c r="F7528" s="13"/>
      <c r="G7528" s="13"/>
      <c r="H7528" s="13"/>
      <c r="I7528" s="13"/>
      <c r="J7528" s="13"/>
      <c r="K7528" s="13"/>
      <c r="L7528" s="13"/>
      <c r="M7528" s="13"/>
      <c r="N7528" s="13"/>
      <c r="O7528" s="13"/>
      <c r="P7528" s="13"/>
      <c r="Q7528" s="13"/>
      <c r="R7528" s="13"/>
      <c r="S7528" s="13"/>
      <c r="T7528" s="13"/>
      <c r="U7528" s="13"/>
      <c r="V7528" s="13"/>
      <c r="W7528" s="13"/>
      <c r="X7528" s="13"/>
      <c r="Y7528" s="13"/>
      <c r="Z7528" s="13"/>
    </row>
    <row r="7529" spans="1:26" ht="12.95" customHeight="1" outlineLevel="3" x14ac:dyDescent="0.2">
      <c r="A7529" s="82" t="s">
        <v>14409</v>
      </c>
      <c r="B7529" s="82"/>
      <c r="C7529" s="83"/>
      <c r="D7529" s="59"/>
      <c r="E7529" s="69"/>
      <c r="F7529" s="23"/>
      <c r="G7529" s="23"/>
      <c r="H7529" s="23"/>
      <c r="I7529" s="23"/>
      <c r="J7529" s="23"/>
      <c r="K7529" s="23"/>
      <c r="L7529" s="23"/>
      <c r="M7529" s="23"/>
      <c r="N7529" s="23"/>
      <c r="O7529" s="23"/>
      <c r="P7529" s="23"/>
      <c r="Q7529" s="23"/>
      <c r="R7529" s="23"/>
      <c r="S7529" s="23"/>
      <c r="T7529" s="23"/>
      <c r="U7529" s="23"/>
      <c r="V7529" s="23"/>
      <c r="W7529" s="23"/>
      <c r="X7529" s="23"/>
      <c r="Y7529" s="23"/>
      <c r="Z7529" s="23"/>
    </row>
    <row r="7530" spans="1:26" ht="12" customHeight="1" outlineLevel="4" x14ac:dyDescent="0.2">
      <c r="A7530" s="14" t="s">
        <v>14410</v>
      </c>
      <c r="B7530" s="26" t="s">
        <v>14411</v>
      </c>
      <c r="C7530" s="52"/>
      <c r="D7530" s="55">
        <f t="shared" si="117"/>
        <v>0</v>
      </c>
      <c r="E7530" s="63" t="str">
        <f>HYPERLINK("https://www.sds-group.ru/product/kabel-signalnyy-kspv-10h0-4mm-buhta-200m-rexant-01-4704/", "Инфо")</f>
        <v>Инфо</v>
      </c>
      <c r="F7530" s="16" t="s">
        <v>1767</v>
      </c>
      <c r="G7530" s="15"/>
      <c r="H7530" s="15"/>
      <c r="I7530" s="15"/>
      <c r="J7530" s="22">
        <v>7200</v>
      </c>
      <c r="K7530" s="15"/>
      <c r="L7530" s="17">
        <v>200</v>
      </c>
      <c r="M7530" s="17">
        <v>200</v>
      </c>
      <c r="N7530" s="17">
        <v>200</v>
      </c>
      <c r="O7530" s="18">
        <v>48.87</v>
      </c>
      <c r="P7530" s="18">
        <v>40.06</v>
      </c>
      <c r="Q7530" s="18">
        <v>34.21</v>
      </c>
      <c r="R7530" s="18">
        <v>28.04</v>
      </c>
      <c r="S7530" s="18">
        <v>33.229999999999997</v>
      </c>
      <c r="T7530" s="18">
        <v>27.24</v>
      </c>
      <c r="U7530" s="16"/>
      <c r="V7530" s="16"/>
      <c r="W7530" s="16"/>
      <c r="X7530" s="19">
        <v>2.1999999999999999E-2</v>
      </c>
      <c r="Y7530" s="20">
        <v>3.3000000000000003E-5</v>
      </c>
      <c r="Z7530" s="21">
        <v>4601004077386</v>
      </c>
    </row>
    <row r="7531" spans="1:26" ht="12" customHeight="1" outlineLevel="4" x14ac:dyDescent="0.2">
      <c r="A7531" s="14" t="s">
        <v>14412</v>
      </c>
      <c r="B7531" s="26" t="s">
        <v>14413</v>
      </c>
      <c r="C7531" s="52"/>
      <c r="D7531" s="55">
        <f t="shared" si="117"/>
        <v>0</v>
      </c>
      <c r="E7531" s="63" t="str">
        <f>HYPERLINK("https://www.sds-group.ru/product/kabel-signalnyy-kspv-10h0-5mm-buhta-200m-rexant-01-4714/", "Инфо")</f>
        <v>Инфо</v>
      </c>
      <c r="F7531" s="16" t="s">
        <v>1767</v>
      </c>
      <c r="G7531" s="15"/>
      <c r="H7531" s="15"/>
      <c r="I7531" s="15"/>
      <c r="J7531" s="22">
        <v>10200</v>
      </c>
      <c r="K7531" s="15"/>
      <c r="L7531" s="17">
        <v>200</v>
      </c>
      <c r="M7531" s="17">
        <v>200</v>
      </c>
      <c r="N7531" s="17">
        <v>200</v>
      </c>
      <c r="O7531" s="18">
        <v>72.12</v>
      </c>
      <c r="P7531" s="18">
        <v>59.11</v>
      </c>
      <c r="Q7531" s="18">
        <v>50.48</v>
      </c>
      <c r="R7531" s="18">
        <v>41.38</v>
      </c>
      <c r="S7531" s="18">
        <v>49.04</v>
      </c>
      <c r="T7531" s="18">
        <v>40.200000000000003</v>
      </c>
      <c r="U7531" s="16"/>
      <c r="V7531" s="16"/>
      <c r="W7531" s="16"/>
      <c r="X7531" s="19">
        <v>2.1000000000000001E-2</v>
      </c>
      <c r="Y7531" s="20">
        <v>3.0000000000000001E-5</v>
      </c>
      <c r="Z7531" s="21">
        <v>4601004077478</v>
      </c>
    </row>
    <row r="7532" spans="1:26" ht="12" customHeight="1" outlineLevel="4" x14ac:dyDescent="0.2">
      <c r="A7532" s="14" t="s">
        <v>14414</v>
      </c>
      <c r="B7532" s="26" t="s">
        <v>14415</v>
      </c>
      <c r="C7532" s="52"/>
      <c r="D7532" s="55">
        <f t="shared" si="117"/>
        <v>0</v>
      </c>
      <c r="E7532" s="63" t="str">
        <f>HYPERLINK("https://www.sds-group.ru/product/kabel-signalnyy-kspv-12h0-4mm-buhta-200m-rexant-01-4705/", "Инфо")</f>
        <v>Инфо</v>
      </c>
      <c r="F7532" s="16" t="s">
        <v>1767</v>
      </c>
      <c r="G7532" s="15"/>
      <c r="H7532" s="15"/>
      <c r="I7532" s="15"/>
      <c r="J7532" s="17">
        <v>600</v>
      </c>
      <c r="K7532" s="15" t="s">
        <v>1094</v>
      </c>
      <c r="L7532" s="17">
        <v>200</v>
      </c>
      <c r="M7532" s="17">
        <v>200</v>
      </c>
      <c r="N7532" s="17">
        <v>200</v>
      </c>
      <c r="O7532" s="18">
        <v>62</v>
      </c>
      <c r="P7532" s="18">
        <v>50.82</v>
      </c>
      <c r="Q7532" s="18">
        <v>43.4</v>
      </c>
      <c r="R7532" s="18">
        <v>35.57</v>
      </c>
      <c r="S7532" s="18">
        <v>42.16</v>
      </c>
      <c r="T7532" s="18">
        <v>34.56</v>
      </c>
      <c r="U7532" s="16"/>
      <c r="V7532" s="16"/>
      <c r="W7532" s="16"/>
      <c r="X7532" s="19">
        <v>2.4E-2</v>
      </c>
      <c r="Y7532" s="20">
        <v>3.0000000000000001E-5</v>
      </c>
      <c r="Z7532" s="21">
        <v>4601004077393</v>
      </c>
    </row>
    <row r="7533" spans="1:26" ht="12" customHeight="1" outlineLevel="4" x14ac:dyDescent="0.2">
      <c r="A7533" s="14" t="s">
        <v>14416</v>
      </c>
      <c r="B7533" s="26" t="s">
        <v>14417</v>
      </c>
      <c r="C7533" s="52"/>
      <c r="D7533" s="55">
        <f t="shared" si="117"/>
        <v>0</v>
      </c>
      <c r="E7533" s="63" t="str">
        <f>HYPERLINK("https://www.sds-group.ru/product/kabel-signalnyy-kspv-12h0-5mm-buhta-200m-rexant-01-4715/", "Инфо")</f>
        <v>Инфо</v>
      </c>
      <c r="F7533" s="16" t="s">
        <v>1767</v>
      </c>
      <c r="G7533" s="15"/>
      <c r="H7533" s="15"/>
      <c r="I7533" s="15"/>
      <c r="J7533" s="22">
        <v>6000</v>
      </c>
      <c r="K7533" s="15" t="s">
        <v>1094</v>
      </c>
      <c r="L7533" s="17">
        <v>200</v>
      </c>
      <c r="M7533" s="17">
        <v>200</v>
      </c>
      <c r="N7533" s="17">
        <v>200</v>
      </c>
      <c r="O7533" s="18">
        <v>85.68</v>
      </c>
      <c r="P7533" s="18">
        <v>70.23</v>
      </c>
      <c r="Q7533" s="18">
        <v>59.98</v>
      </c>
      <c r="R7533" s="18">
        <v>49.16</v>
      </c>
      <c r="S7533" s="18">
        <v>58.26</v>
      </c>
      <c r="T7533" s="18">
        <v>47.75</v>
      </c>
      <c r="U7533" s="16"/>
      <c r="V7533" s="16"/>
      <c r="W7533" s="16"/>
      <c r="X7533" s="19">
        <v>3.1E-2</v>
      </c>
      <c r="Y7533" s="20">
        <v>3.6999999999999998E-5</v>
      </c>
      <c r="Z7533" s="21">
        <v>4601004077485</v>
      </c>
    </row>
    <row r="7534" spans="1:26" ht="12" customHeight="1" outlineLevel="4" x14ac:dyDescent="0.2">
      <c r="A7534" s="14" t="s">
        <v>14418</v>
      </c>
      <c r="B7534" s="26" t="s">
        <v>14419</v>
      </c>
      <c r="C7534" s="52"/>
      <c r="D7534" s="55">
        <f t="shared" si="117"/>
        <v>0</v>
      </c>
      <c r="E7534" s="63" t="str">
        <f>HYPERLINK("https://www.sds-group.ru/product/kabel-signalnyy-kspv-14h0-4mm-buhta-200m-rexant-01-4706/", "Инфо")</f>
        <v>Инфо</v>
      </c>
      <c r="F7534" s="16" t="s">
        <v>1767</v>
      </c>
      <c r="G7534" s="15"/>
      <c r="H7534" s="15"/>
      <c r="I7534" s="15" t="s">
        <v>14420</v>
      </c>
      <c r="J7534" s="16" t="s">
        <v>100</v>
      </c>
      <c r="K7534" s="15"/>
      <c r="L7534" s="17">
        <v>200</v>
      </c>
      <c r="M7534" s="17">
        <v>200</v>
      </c>
      <c r="N7534" s="17">
        <v>200</v>
      </c>
      <c r="O7534" s="18">
        <v>68.180000000000007</v>
      </c>
      <c r="P7534" s="18">
        <v>55.89</v>
      </c>
      <c r="Q7534" s="18">
        <v>47.73</v>
      </c>
      <c r="R7534" s="18">
        <v>39.119999999999997</v>
      </c>
      <c r="S7534" s="18">
        <v>46.36</v>
      </c>
      <c r="T7534" s="18">
        <v>38</v>
      </c>
      <c r="U7534" s="16"/>
      <c r="V7534" s="16"/>
      <c r="W7534" s="16"/>
      <c r="X7534" s="19">
        <v>2.8000000000000001E-2</v>
      </c>
      <c r="Y7534" s="20">
        <v>3.8999999999999999E-5</v>
      </c>
      <c r="Z7534" s="21">
        <v>4601004077409</v>
      </c>
    </row>
    <row r="7535" spans="1:26" ht="12" customHeight="1" outlineLevel="4" x14ac:dyDescent="0.2">
      <c r="A7535" s="14" t="s">
        <v>14421</v>
      </c>
      <c r="B7535" s="26" t="s">
        <v>14422</v>
      </c>
      <c r="C7535" s="52"/>
      <c r="D7535" s="55">
        <f t="shared" si="117"/>
        <v>0</v>
      </c>
      <c r="E7535" s="63" t="str">
        <f>HYPERLINK("https://www.sds-group.ru/product/kabel-signalnyy-kspv-14h0-5mm-buhta-200m-rexant-01-4716/", "Инфо")</f>
        <v>Инфо</v>
      </c>
      <c r="F7535" s="16" t="s">
        <v>1767</v>
      </c>
      <c r="G7535" s="15"/>
      <c r="H7535" s="15"/>
      <c r="I7535" s="15"/>
      <c r="J7535" s="16" t="s">
        <v>100</v>
      </c>
      <c r="K7535" s="15" t="s">
        <v>1381</v>
      </c>
      <c r="L7535" s="17">
        <v>200</v>
      </c>
      <c r="M7535" s="17">
        <v>200</v>
      </c>
      <c r="N7535" s="17">
        <v>200</v>
      </c>
      <c r="O7535" s="18">
        <v>100.46</v>
      </c>
      <c r="P7535" s="18">
        <v>82.34</v>
      </c>
      <c r="Q7535" s="18">
        <v>70.319999999999993</v>
      </c>
      <c r="R7535" s="18">
        <v>57.64</v>
      </c>
      <c r="S7535" s="18">
        <v>68.31</v>
      </c>
      <c r="T7535" s="18">
        <v>55.99</v>
      </c>
      <c r="U7535" s="16"/>
      <c r="V7535" s="16"/>
      <c r="W7535" s="16"/>
      <c r="X7535" s="19">
        <v>4.1000000000000002E-2</v>
      </c>
      <c r="Y7535" s="20">
        <v>5.3000000000000001E-5</v>
      </c>
      <c r="Z7535" s="21">
        <v>4601004077492</v>
      </c>
    </row>
    <row r="7536" spans="1:26" ht="12" customHeight="1" outlineLevel="4" x14ac:dyDescent="0.2">
      <c r="A7536" s="14" t="s">
        <v>14423</v>
      </c>
      <c r="B7536" s="26" t="s">
        <v>14424</v>
      </c>
      <c r="C7536" s="52"/>
      <c r="D7536" s="55">
        <f t="shared" si="117"/>
        <v>0</v>
      </c>
      <c r="E7536" s="63" t="str">
        <f>HYPERLINK("https://www.sds-group.ru/product/kabel-signalnyy-kspv-20h0-5mm-buhta-200m-rexant-01-4719/", "Инфо")</f>
        <v>Инфо</v>
      </c>
      <c r="F7536" s="16" t="s">
        <v>1767</v>
      </c>
      <c r="G7536" s="15"/>
      <c r="H7536" s="15"/>
      <c r="I7536" s="15"/>
      <c r="J7536" s="16" t="s">
        <v>100</v>
      </c>
      <c r="K7536" s="15" t="s">
        <v>1381</v>
      </c>
      <c r="L7536" s="17">
        <v>200</v>
      </c>
      <c r="M7536" s="17">
        <v>200</v>
      </c>
      <c r="N7536" s="17">
        <v>200</v>
      </c>
      <c r="O7536" s="18">
        <v>138.47</v>
      </c>
      <c r="P7536" s="18">
        <v>113.5</v>
      </c>
      <c r="Q7536" s="18">
        <v>96.93</v>
      </c>
      <c r="R7536" s="18">
        <v>79.45</v>
      </c>
      <c r="S7536" s="18">
        <v>94.16</v>
      </c>
      <c r="T7536" s="18">
        <v>77.180000000000007</v>
      </c>
      <c r="U7536" s="16"/>
      <c r="V7536" s="16"/>
      <c r="W7536" s="16"/>
      <c r="X7536" s="19">
        <v>4.9000000000000002E-2</v>
      </c>
      <c r="Y7536" s="20">
        <v>6.8999999999999997E-5</v>
      </c>
      <c r="Z7536" s="21">
        <v>4601004077522</v>
      </c>
    </row>
    <row r="7537" spans="1:26" ht="12" customHeight="1" outlineLevel="4" x14ac:dyDescent="0.2">
      <c r="A7537" s="14" t="s">
        <v>14425</v>
      </c>
      <c r="B7537" s="26" t="s">
        <v>14426</v>
      </c>
      <c r="C7537" s="52"/>
      <c r="D7537" s="55">
        <f t="shared" si="117"/>
        <v>0</v>
      </c>
      <c r="E7537" s="63" t="str">
        <f>HYPERLINK("https://www.sds-group.ru/product/kabel-signalnyy-kspv-2h0-4mm-buhta-500m-rexant-01-4700/", "Инфо")</f>
        <v>Инфо</v>
      </c>
      <c r="F7537" s="16" t="s">
        <v>1767</v>
      </c>
      <c r="G7537" s="15"/>
      <c r="H7537" s="15"/>
      <c r="I7537" s="15"/>
      <c r="J7537" s="22">
        <v>60850</v>
      </c>
      <c r="K7537" s="15" t="s">
        <v>1094</v>
      </c>
      <c r="L7537" s="17">
        <v>500</v>
      </c>
      <c r="M7537" s="17">
        <v>500</v>
      </c>
      <c r="N7537" s="17">
        <v>500</v>
      </c>
      <c r="O7537" s="18">
        <v>10.71</v>
      </c>
      <c r="P7537" s="18">
        <v>8.7799999999999994</v>
      </c>
      <c r="Q7537" s="18">
        <v>7.5</v>
      </c>
      <c r="R7537" s="18">
        <v>6.15</v>
      </c>
      <c r="S7537" s="18">
        <v>7.28</v>
      </c>
      <c r="T7537" s="18">
        <v>5.97</v>
      </c>
      <c r="U7537" s="16"/>
      <c r="V7537" s="16"/>
      <c r="W7537" s="16"/>
      <c r="X7537" s="19">
        <v>5.0000000000000001E-3</v>
      </c>
      <c r="Y7537" s="20">
        <v>7.9999999999999996E-6</v>
      </c>
      <c r="Z7537" s="21">
        <v>4601004080317</v>
      </c>
    </row>
    <row r="7538" spans="1:26" ht="12" customHeight="1" outlineLevel="4" x14ac:dyDescent="0.2">
      <c r="A7538" s="14" t="s">
        <v>14427</v>
      </c>
      <c r="B7538" s="26" t="s">
        <v>14428</v>
      </c>
      <c r="C7538" s="52"/>
      <c r="D7538" s="55">
        <f t="shared" si="117"/>
        <v>0</v>
      </c>
      <c r="E7538" s="63" t="str">
        <f>HYPERLINK("https://www.sds-group.ru/product/kabel-signalnyy-kspv-2h0-5mm-buhta-500m-rexant-01-4710/", "Инфо")</f>
        <v>Инфо</v>
      </c>
      <c r="F7538" s="16" t="s">
        <v>1767</v>
      </c>
      <c r="G7538" s="15"/>
      <c r="H7538" s="15"/>
      <c r="I7538" s="15"/>
      <c r="J7538" s="22">
        <v>131500</v>
      </c>
      <c r="K7538" s="15" t="s">
        <v>1094</v>
      </c>
      <c r="L7538" s="17">
        <v>500</v>
      </c>
      <c r="M7538" s="17">
        <v>500</v>
      </c>
      <c r="N7538" s="17">
        <v>500</v>
      </c>
      <c r="O7538" s="18">
        <v>14.84</v>
      </c>
      <c r="P7538" s="18">
        <v>12.16</v>
      </c>
      <c r="Q7538" s="18">
        <v>10.39</v>
      </c>
      <c r="R7538" s="18">
        <v>8.52</v>
      </c>
      <c r="S7538" s="18">
        <v>10.09</v>
      </c>
      <c r="T7538" s="18">
        <v>8.27</v>
      </c>
      <c r="U7538" s="16"/>
      <c r="V7538" s="16"/>
      <c r="W7538" s="16"/>
      <c r="X7538" s="19">
        <v>7.0000000000000001E-3</v>
      </c>
      <c r="Y7538" s="20">
        <v>9.0000000000000002E-6</v>
      </c>
      <c r="Z7538" s="21">
        <v>4601004079847</v>
      </c>
    </row>
    <row r="7539" spans="1:26" ht="12" customHeight="1" outlineLevel="4" x14ac:dyDescent="0.2">
      <c r="A7539" s="14" t="s">
        <v>14429</v>
      </c>
      <c r="B7539" s="26" t="s">
        <v>14430</v>
      </c>
      <c r="C7539" s="52"/>
      <c r="D7539" s="55">
        <f t="shared" si="117"/>
        <v>0</v>
      </c>
      <c r="E7539" s="63" t="str">
        <f>HYPERLINK("https://www.sds-group.ru/product/kabel-signalnyy-kspv-4h0-4mm-buhta-200m-rexant-01-4701/", "Инфо")</f>
        <v>Инфо</v>
      </c>
      <c r="F7539" s="16" t="s">
        <v>1767</v>
      </c>
      <c r="G7539" s="15"/>
      <c r="H7539" s="15"/>
      <c r="I7539" s="15"/>
      <c r="J7539" s="22">
        <v>32080</v>
      </c>
      <c r="K7539" s="15" t="s">
        <v>1094</v>
      </c>
      <c r="L7539" s="17">
        <v>200</v>
      </c>
      <c r="M7539" s="17">
        <v>200</v>
      </c>
      <c r="N7539" s="17">
        <v>200</v>
      </c>
      <c r="O7539" s="18">
        <v>20.07</v>
      </c>
      <c r="P7539" s="18">
        <v>16.45</v>
      </c>
      <c r="Q7539" s="18">
        <v>14.05</v>
      </c>
      <c r="R7539" s="18">
        <v>11.52</v>
      </c>
      <c r="S7539" s="18">
        <v>13.65</v>
      </c>
      <c r="T7539" s="18">
        <v>11.19</v>
      </c>
      <c r="U7539" s="16"/>
      <c r="V7539" s="16"/>
      <c r="W7539" s="16"/>
      <c r="X7539" s="19">
        <v>8.0000000000000002E-3</v>
      </c>
      <c r="Y7539" s="20">
        <v>1.8E-5</v>
      </c>
      <c r="Z7539" s="21">
        <v>4601004079366</v>
      </c>
    </row>
    <row r="7540" spans="1:26" ht="12" customHeight="1" outlineLevel="4" x14ac:dyDescent="0.2">
      <c r="A7540" s="14" t="s">
        <v>14431</v>
      </c>
      <c r="B7540" s="26" t="s">
        <v>14432</v>
      </c>
      <c r="C7540" s="52"/>
      <c r="D7540" s="55">
        <f t="shared" si="117"/>
        <v>0</v>
      </c>
      <c r="E7540" s="63" t="str">
        <f>HYPERLINK("https://www.sds-group.ru/product/kabel-signalnyy-kspv-4h0-5mm-buhta-200m-rexant-01-4711/", "Инфо")</f>
        <v>Инфо</v>
      </c>
      <c r="F7540" s="16" t="s">
        <v>1767</v>
      </c>
      <c r="G7540" s="15"/>
      <c r="H7540" s="15"/>
      <c r="I7540" s="15"/>
      <c r="J7540" s="22">
        <v>178600</v>
      </c>
      <c r="K7540" s="15" t="s">
        <v>1381</v>
      </c>
      <c r="L7540" s="17">
        <v>200</v>
      </c>
      <c r="M7540" s="17">
        <v>200</v>
      </c>
      <c r="N7540" s="17">
        <v>200</v>
      </c>
      <c r="O7540" s="18">
        <v>28.23</v>
      </c>
      <c r="P7540" s="18">
        <v>23.14</v>
      </c>
      <c r="Q7540" s="18">
        <v>19.760000000000002</v>
      </c>
      <c r="R7540" s="18">
        <v>16.2</v>
      </c>
      <c r="S7540" s="18">
        <v>19.2</v>
      </c>
      <c r="T7540" s="18">
        <v>15.74</v>
      </c>
      <c r="U7540" s="16"/>
      <c r="V7540" s="16"/>
      <c r="W7540" s="16"/>
      <c r="X7540" s="19">
        <v>1.2E-2</v>
      </c>
      <c r="Y7540" s="20">
        <v>2.0999999999999999E-5</v>
      </c>
      <c r="Z7540" s="21">
        <v>4601004077447</v>
      </c>
    </row>
    <row r="7541" spans="1:26" ht="12" customHeight="1" outlineLevel="4" x14ac:dyDescent="0.2">
      <c r="A7541" s="14" t="s">
        <v>14433</v>
      </c>
      <c r="B7541" s="26" t="s">
        <v>14434</v>
      </c>
      <c r="C7541" s="52"/>
      <c r="D7541" s="55">
        <f t="shared" si="117"/>
        <v>0</v>
      </c>
      <c r="E7541" s="63" t="str">
        <f>HYPERLINK("https://www.sds-group.ru/product/kabel-signalnyy-kspv-6h0-4mm-buhta-200m-rexant-01-4702/", "Инфо")</f>
        <v>Инфо</v>
      </c>
      <c r="F7541" s="16" t="s">
        <v>1767</v>
      </c>
      <c r="G7541" s="15"/>
      <c r="H7541" s="15"/>
      <c r="I7541" s="15"/>
      <c r="J7541" s="22">
        <v>3600</v>
      </c>
      <c r="K7541" s="15"/>
      <c r="L7541" s="17">
        <v>200</v>
      </c>
      <c r="M7541" s="17">
        <v>200</v>
      </c>
      <c r="N7541" s="17">
        <v>200</v>
      </c>
      <c r="O7541" s="18">
        <v>31.07</v>
      </c>
      <c r="P7541" s="18">
        <v>25.47</v>
      </c>
      <c r="Q7541" s="18">
        <v>21.75</v>
      </c>
      <c r="R7541" s="18">
        <v>17.829999999999998</v>
      </c>
      <c r="S7541" s="18">
        <v>21.13</v>
      </c>
      <c r="T7541" s="18">
        <v>17.32</v>
      </c>
      <c r="U7541" s="16"/>
      <c r="V7541" s="16"/>
      <c r="W7541" s="16"/>
      <c r="X7541" s="19">
        <v>1.2E-2</v>
      </c>
      <c r="Y7541" s="20">
        <v>2.0000000000000002E-5</v>
      </c>
      <c r="Z7541" s="21">
        <v>4601004077362</v>
      </c>
    </row>
    <row r="7542" spans="1:26" ht="12" customHeight="1" outlineLevel="4" x14ac:dyDescent="0.2">
      <c r="A7542" s="14" t="s">
        <v>14435</v>
      </c>
      <c r="B7542" s="26" t="s">
        <v>14436</v>
      </c>
      <c r="C7542" s="52"/>
      <c r="D7542" s="55">
        <f t="shared" si="117"/>
        <v>0</v>
      </c>
      <c r="E7542" s="63" t="str">
        <f>HYPERLINK("https://www.sds-group.ru/product/kabel-signalnyy-kspv-6h0-5mm-buhta-200m-rexant-01-4712/", "Инфо")</f>
        <v>Инфо</v>
      </c>
      <c r="F7542" s="16" t="s">
        <v>1767</v>
      </c>
      <c r="G7542" s="15"/>
      <c r="H7542" s="15"/>
      <c r="I7542" s="15"/>
      <c r="J7542" s="22">
        <v>35200</v>
      </c>
      <c r="K7542" s="15" t="s">
        <v>1094</v>
      </c>
      <c r="L7542" s="17">
        <v>200</v>
      </c>
      <c r="M7542" s="17">
        <v>200</v>
      </c>
      <c r="N7542" s="17">
        <v>200</v>
      </c>
      <c r="O7542" s="18">
        <v>42.61</v>
      </c>
      <c r="P7542" s="18">
        <v>34.93</v>
      </c>
      <c r="Q7542" s="18">
        <v>29.83</v>
      </c>
      <c r="R7542" s="18">
        <v>24.45</v>
      </c>
      <c r="S7542" s="18">
        <v>28.97</v>
      </c>
      <c r="T7542" s="18">
        <v>23.75</v>
      </c>
      <c r="U7542" s="16"/>
      <c r="V7542" s="16"/>
      <c r="W7542" s="16"/>
      <c r="X7542" s="19">
        <v>1.7999999999999999E-2</v>
      </c>
      <c r="Y7542" s="20">
        <v>2.4000000000000001E-5</v>
      </c>
      <c r="Z7542" s="21">
        <v>4601004077454</v>
      </c>
    </row>
    <row r="7543" spans="1:26" ht="12" customHeight="1" outlineLevel="4" x14ac:dyDescent="0.2">
      <c r="A7543" s="14" t="s">
        <v>14437</v>
      </c>
      <c r="B7543" s="26" t="s">
        <v>14438</v>
      </c>
      <c r="C7543" s="52"/>
      <c r="D7543" s="55">
        <f t="shared" si="117"/>
        <v>0</v>
      </c>
      <c r="E7543" s="63" t="str">
        <f>HYPERLINK("https://www.sds-group.ru/product/kabel-signalnyy-kspv-8h0-4mm-buhta-200m-rexant-01-4703/", "Инфо")</f>
        <v>Инфо</v>
      </c>
      <c r="F7543" s="16" t="s">
        <v>1767</v>
      </c>
      <c r="G7543" s="15"/>
      <c r="H7543" s="15"/>
      <c r="I7543" s="15"/>
      <c r="J7543" s="22">
        <v>8400</v>
      </c>
      <c r="K7543" s="15"/>
      <c r="L7543" s="17">
        <v>200</v>
      </c>
      <c r="M7543" s="17">
        <v>200</v>
      </c>
      <c r="N7543" s="17">
        <v>200</v>
      </c>
      <c r="O7543" s="18">
        <v>42.06</v>
      </c>
      <c r="P7543" s="18">
        <v>34.479999999999997</v>
      </c>
      <c r="Q7543" s="18">
        <v>29.44</v>
      </c>
      <c r="R7543" s="18">
        <v>24.13</v>
      </c>
      <c r="S7543" s="18">
        <v>28.6</v>
      </c>
      <c r="T7543" s="18">
        <v>23.44</v>
      </c>
      <c r="U7543" s="16"/>
      <c r="V7543" s="16"/>
      <c r="W7543" s="16"/>
      <c r="X7543" s="19">
        <v>1.4999999999999999E-2</v>
      </c>
      <c r="Y7543" s="20">
        <v>2.0000000000000002E-5</v>
      </c>
      <c r="Z7543" s="21">
        <v>4601004077379</v>
      </c>
    </row>
    <row r="7544" spans="1:26" ht="12" customHeight="1" outlineLevel="4" x14ac:dyDescent="0.2">
      <c r="A7544" s="14" t="s">
        <v>14439</v>
      </c>
      <c r="B7544" s="26" t="s">
        <v>14440</v>
      </c>
      <c r="C7544" s="52"/>
      <c r="D7544" s="55">
        <f t="shared" si="117"/>
        <v>0</v>
      </c>
      <c r="E7544" s="63" t="str">
        <f>HYPERLINK("https://www.sds-group.ru/product/kabel-signalnyy-kspv-8h0-5mm-buhta-200m-rexant-01-4713/", "Инфо")</f>
        <v>Инфо</v>
      </c>
      <c r="F7544" s="16" t="s">
        <v>1767</v>
      </c>
      <c r="G7544" s="15"/>
      <c r="H7544" s="15"/>
      <c r="I7544" s="15"/>
      <c r="J7544" s="22">
        <v>13000</v>
      </c>
      <c r="K7544" s="15" t="s">
        <v>1094</v>
      </c>
      <c r="L7544" s="17">
        <v>200</v>
      </c>
      <c r="M7544" s="17">
        <v>200</v>
      </c>
      <c r="N7544" s="17">
        <v>200</v>
      </c>
      <c r="O7544" s="18">
        <v>56</v>
      </c>
      <c r="P7544" s="18">
        <v>45.9</v>
      </c>
      <c r="Q7544" s="18">
        <v>39.200000000000003</v>
      </c>
      <c r="R7544" s="18">
        <v>32.130000000000003</v>
      </c>
      <c r="S7544" s="18">
        <v>38.08</v>
      </c>
      <c r="T7544" s="18">
        <v>31.21</v>
      </c>
      <c r="U7544" s="16"/>
      <c r="V7544" s="16"/>
      <c r="W7544" s="16"/>
      <c r="X7544" s="19">
        <v>2.1999999999999999E-2</v>
      </c>
      <c r="Y7544" s="20">
        <v>2.5999999999999998E-5</v>
      </c>
      <c r="Z7544" s="21">
        <v>4601004077461</v>
      </c>
    </row>
    <row r="7545" spans="1:26" ht="12" customHeight="1" outlineLevel="4" x14ac:dyDescent="0.2">
      <c r="A7545" s="32" t="s">
        <v>14441</v>
      </c>
      <c r="B7545" s="74" t="s">
        <v>14442</v>
      </c>
      <c r="C7545" s="50"/>
      <c r="D7545" s="53">
        <f t="shared" si="117"/>
        <v>0</v>
      </c>
      <c r="E7545" s="60" t="str">
        <f>HYPERLINK("https://www.sds-group.ru/product/kabel-signalnyy-kspev-2h0-4mm-buhta-200m-rexant-01-4700-1/", "Инфо")</f>
        <v>Инфо</v>
      </c>
      <c r="F7545" s="34" t="s">
        <v>1767</v>
      </c>
      <c r="G7545" s="33"/>
      <c r="H7545" s="33" t="s">
        <v>40</v>
      </c>
      <c r="I7545" s="33" t="s">
        <v>14420</v>
      </c>
      <c r="J7545" s="34" t="s">
        <v>100</v>
      </c>
      <c r="K7545" s="33" t="s">
        <v>1094</v>
      </c>
      <c r="L7545" s="35">
        <v>200</v>
      </c>
      <c r="M7545" s="35">
        <v>200</v>
      </c>
      <c r="N7545" s="35">
        <v>200</v>
      </c>
      <c r="O7545" s="36">
        <v>14.97</v>
      </c>
      <c r="P7545" s="36">
        <v>12.27</v>
      </c>
      <c r="Q7545" s="36">
        <v>10.48</v>
      </c>
      <c r="R7545" s="36">
        <v>8.59</v>
      </c>
      <c r="S7545" s="36">
        <v>10.18</v>
      </c>
      <c r="T7545" s="36">
        <v>8.34</v>
      </c>
      <c r="U7545" s="34"/>
      <c r="V7545" s="34"/>
      <c r="W7545" s="34"/>
      <c r="X7545" s="37">
        <v>1.2999999999999999E-2</v>
      </c>
      <c r="Y7545" s="38">
        <v>2.9E-5</v>
      </c>
      <c r="Z7545" s="21">
        <v>4601004092167</v>
      </c>
    </row>
    <row r="7546" spans="1:26" ht="12" customHeight="1" outlineLevel="4" x14ac:dyDescent="0.2">
      <c r="A7546" s="14" t="s">
        <v>14443</v>
      </c>
      <c r="B7546" s="26" t="s">
        <v>14444</v>
      </c>
      <c r="C7546" s="52"/>
      <c r="D7546" s="55">
        <f t="shared" si="117"/>
        <v>0</v>
      </c>
      <c r="E7546" s="63" t="str">
        <f>HYPERLINK("https://www.sds-group.ru/product/kabel-signalnyy-kspev-2h0-5mm-buhta-200m-rexant-01-4710-1/", "Инфо")</f>
        <v>Инфо</v>
      </c>
      <c r="F7546" s="16" t="s">
        <v>1767</v>
      </c>
      <c r="G7546" s="15"/>
      <c r="H7546" s="15"/>
      <c r="I7546" s="15"/>
      <c r="J7546" s="22">
        <v>12200</v>
      </c>
      <c r="K7546" s="15"/>
      <c r="L7546" s="17">
        <v>200</v>
      </c>
      <c r="M7546" s="17">
        <v>200</v>
      </c>
      <c r="N7546" s="17">
        <v>200</v>
      </c>
      <c r="O7546" s="18">
        <v>23.01</v>
      </c>
      <c r="P7546" s="18">
        <v>18.86</v>
      </c>
      <c r="Q7546" s="18">
        <v>16.11</v>
      </c>
      <c r="R7546" s="18">
        <v>13.2</v>
      </c>
      <c r="S7546" s="18">
        <v>15.65</v>
      </c>
      <c r="T7546" s="18">
        <v>12.83</v>
      </c>
      <c r="U7546" s="16"/>
      <c r="V7546" s="16"/>
      <c r="W7546" s="16"/>
      <c r="X7546" s="19">
        <v>1.2E-2</v>
      </c>
      <c r="Y7546" s="20">
        <v>2.5999999999999998E-5</v>
      </c>
      <c r="Z7546" s="21">
        <v>4601004092020</v>
      </c>
    </row>
    <row r="7547" spans="1:26" ht="12" customHeight="1" outlineLevel="4" x14ac:dyDescent="0.2">
      <c r="A7547" s="14" t="s">
        <v>14445</v>
      </c>
      <c r="B7547" s="26" t="s">
        <v>14446</v>
      </c>
      <c r="C7547" s="52"/>
      <c r="D7547" s="55">
        <f t="shared" si="117"/>
        <v>0</v>
      </c>
      <c r="E7547" s="63" t="str">
        <f>HYPERLINK("https://www.sds-group.ru/product/kabel-signalnyy-kspev-4h0-5mm-buhta-200m-rexant-01-4711-1/", "Инфо")</f>
        <v>Инфо</v>
      </c>
      <c r="F7547" s="16" t="s">
        <v>1767</v>
      </c>
      <c r="G7547" s="15"/>
      <c r="H7547" s="15"/>
      <c r="I7547" s="15"/>
      <c r="J7547" s="17">
        <v>400</v>
      </c>
      <c r="K7547" s="15" t="s">
        <v>1381</v>
      </c>
      <c r="L7547" s="17">
        <v>200</v>
      </c>
      <c r="M7547" s="17">
        <v>200</v>
      </c>
      <c r="N7547" s="17">
        <v>200</v>
      </c>
      <c r="O7547" s="18">
        <v>34.33</v>
      </c>
      <c r="P7547" s="18">
        <v>28.14</v>
      </c>
      <c r="Q7547" s="18">
        <v>24.03</v>
      </c>
      <c r="R7547" s="18">
        <v>19.7</v>
      </c>
      <c r="S7547" s="18">
        <v>23.34</v>
      </c>
      <c r="T7547" s="18">
        <v>19.13</v>
      </c>
      <c r="U7547" s="16"/>
      <c r="V7547" s="16"/>
      <c r="W7547" s="16"/>
      <c r="X7547" s="19">
        <v>1.9E-2</v>
      </c>
      <c r="Y7547" s="20">
        <v>3.1999999999999999E-5</v>
      </c>
      <c r="Z7547" s="21">
        <v>4601004077768</v>
      </c>
    </row>
    <row r="7548" spans="1:26" ht="12" customHeight="1" outlineLevel="4" x14ac:dyDescent="0.2">
      <c r="A7548" s="40" t="s">
        <v>14447</v>
      </c>
      <c r="B7548" s="75" t="s">
        <v>14448</v>
      </c>
      <c r="C7548" s="51"/>
      <c r="D7548" s="54">
        <f t="shared" si="117"/>
        <v>0</v>
      </c>
      <c r="E7548" s="61" t="str">
        <f>HYPERLINK("https://www.sds-group.ru/product/kabel-signalnyy-kspv-6h0-5mm-ssa-buhta-200m-rexant-01-4712-5/", "Инфо")</f>
        <v>Инфо</v>
      </c>
      <c r="F7548" s="42" t="s">
        <v>2672</v>
      </c>
      <c r="G7548" s="41" t="s">
        <v>40</v>
      </c>
      <c r="H7548" s="41" t="s">
        <v>40</v>
      </c>
      <c r="I7548" s="41"/>
      <c r="J7548" s="47">
        <v>2000</v>
      </c>
      <c r="K7548" s="41"/>
      <c r="L7548" s="43">
        <v>200</v>
      </c>
      <c r="M7548" s="43">
        <v>200</v>
      </c>
      <c r="N7548" s="43">
        <v>200</v>
      </c>
      <c r="O7548" s="44">
        <v>28.01</v>
      </c>
      <c r="P7548" s="44">
        <v>22.96</v>
      </c>
      <c r="Q7548" s="44">
        <v>19.61</v>
      </c>
      <c r="R7548" s="44">
        <v>16.07</v>
      </c>
      <c r="S7548" s="44">
        <v>19.05</v>
      </c>
      <c r="T7548" s="44">
        <v>15.61</v>
      </c>
      <c r="U7548" s="42"/>
      <c r="V7548" s="42"/>
      <c r="W7548" s="42"/>
      <c r="X7548" s="45">
        <v>1.2E-2</v>
      </c>
      <c r="Y7548" s="46">
        <v>2.4000000000000001E-5</v>
      </c>
      <c r="Z7548" s="21">
        <v>4601004342330</v>
      </c>
    </row>
    <row r="7549" spans="1:26" ht="12" customHeight="1" outlineLevel="4" x14ac:dyDescent="0.2">
      <c r="A7549" s="40" t="s">
        <v>14449</v>
      </c>
      <c r="B7549" s="75" t="s">
        <v>14450</v>
      </c>
      <c r="C7549" s="51"/>
      <c r="D7549" s="54">
        <f t="shared" si="117"/>
        <v>0</v>
      </c>
      <c r="E7549" s="61" t="str">
        <f>HYPERLINK("https://www.sds-group.ru/product/kabel-signalnyy-kspv-8h0-5mm-ssa-buhta-200m-rexant-01-4713-5/", "Инфо")</f>
        <v>Инфо</v>
      </c>
      <c r="F7549" s="42" t="s">
        <v>1767</v>
      </c>
      <c r="G7549" s="41" t="s">
        <v>40</v>
      </c>
      <c r="H7549" s="41" t="s">
        <v>40</v>
      </c>
      <c r="I7549" s="41"/>
      <c r="J7549" s="47">
        <v>1600</v>
      </c>
      <c r="K7549" s="41"/>
      <c r="L7549" s="43">
        <v>200</v>
      </c>
      <c r="M7549" s="43">
        <v>200</v>
      </c>
      <c r="N7549" s="43">
        <v>200</v>
      </c>
      <c r="O7549" s="44">
        <v>42.7</v>
      </c>
      <c r="P7549" s="44">
        <v>35</v>
      </c>
      <c r="Q7549" s="44">
        <v>29.89</v>
      </c>
      <c r="R7549" s="44">
        <v>24.5</v>
      </c>
      <c r="S7549" s="44">
        <v>29.04</v>
      </c>
      <c r="T7549" s="44">
        <v>23.8</v>
      </c>
      <c r="U7549" s="42"/>
      <c r="V7549" s="42"/>
      <c r="W7549" s="42"/>
      <c r="X7549" s="45">
        <v>1.4E-2</v>
      </c>
      <c r="Y7549" s="46">
        <v>2.3E-5</v>
      </c>
      <c r="Z7549" s="21">
        <v>4601004342347</v>
      </c>
    </row>
    <row r="7550" spans="1:26" ht="12" customHeight="1" outlineLevel="4" x14ac:dyDescent="0.2">
      <c r="A7550" s="40" t="s">
        <v>14451</v>
      </c>
      <c r="B7550" s="75" t="s">
        <v>14452</v>
      </c>
      <c r="C7550" s="51"/>
      <c r="D7550" s="54">
        <f t="shared" si="117"/>
        <v>0</v>
      </c>
      <c r="E7550" s="61" t="str">
        <f>HYPERLINK("https://www.sds-group.ru/product/kabel-signalnyy-kspev-2h0-5mm-ssa-buhta-200m-rexant-01-4710-6/", "Инфо")</f>
        <v>Инфо</v>
      </c>
      <c r="F7550" s="42" t="s">
        <v>1767</v>
      </c>
      <c r="G7550" s="41" t="s">
        <v>40</v>
      </c>
      <c r="H7550" s="41" t="s">
        <v>40</v>
      </c>
      <c r="I7550" s="41"/>
      <c r="J7550" s="47">
        <v>1400</v>
      </c>
      <c r="K7550" s="41"/>
      <c r="L7550" s="43">
        <v>200</v>
      </c>
      <c r="M7550" s="43">
        <v>200</v>
      </c>
      <c r="N7550" s="43">
        <v>200</v>
      </c>
      <c r="O7550" s="44">
        <v>16.010000000000002</v>
      </c>
      <c r="P7550" s="44">
        <v>13.12</v>
      </c>
      <c r="Q7550" s="44">
        <v>11.21</v>
      </c>
      <c r="R7550" s="44">
        <v>9.19</v>
      </c>
      <c r="S7550" s="44">
        <v>10.89</v>
      </c>
      <c r="T7550" s="44">
        <v>8.93</v>
      </c>
      <c r="U7550" s="42"/>
      <c r="V7550" s="42"/>
      <c r="W7550" s="42"/>
      <c r="X7550" s="45">
        <v>1.2999999999999999E-2</v>
      </c>
      <c r="Y7550" s="46">
        <v>2.6999999999999999E-5</v>
      </c>
      <c r="Z7550" s="21">
        <v>4601004342354</v>
      </c>
    </row>
    <row r="7551" spans="1:26" ht="12.95" customHeight="1" outlineLevel="3" x14ac:dyDescent="0.2">
      <c r="A7551" s="82" t="s">
        <v>14453</v>
      </c>
      <c r="B7551" s="82"/>
      <c r="C7551" s="83"/>
      <c r="D7551" s="59"/>
      <c r="E7551" s="69"/>
      <c r="F7551" s="23"/>
      <c r="G7551" s="23"/>
      <c r="H7551" s="23"/>
      <c r="I7551" s="23"/>
      <c r="J7551" s="23"/>
      <c r="K7551" s="23"/>
      <c r="L7551" s="23"/>
      <c r="M7551" s="23"/>
      <c r="N7551" s="23"/>
      <c r="O7551" s="23"/>
      <c r="P7551" s="23"/>
      <c r="Q7551" s="23"/>
      <c r="R7551" s="23"/>
      <c r="S7551" s="23"/>
      <c r="T7551" s="23"/>
      <c r="U7551" s="23"/>
      <c r="V7551" s="23"/>
      <c r="W7551" s="23"/>
      <c r="X7551" s="23"/>
      <c r="Y7551" s="23"/>
      <c r="Z7551" s="23"/>
    </row>
    <row r="7552" spans="1:26" ht="12" customHeight="1" outlineLevel="4" x14ac:dyDescent="0.2">
      <c r="A7552" s="14" t="s">
        <v>14454</v>
      </c>
      <c r="B7552" s="26" t="s">
        <v>14455</v>
      </c>
      <c r="C7552" s="52"/>
      <c r="D7552" s="55">
        <f t="shared" si="117"/>
        <v>0</v>
      </c>
      <c r="E7552" s="63" t="str">
        <f>HYPERLINK("https://www.sds-group.ru/product/kabel-signalnyy-ksvv-10h0-5mm-buhta-200m-rexant-01-4751/", "Инфо")</f>
        <v>Инфо</v>
      </c>
      <c r="F7552" s="16" t="s">
        <v>1767</v>
      </c>
      <c r="G7552" s="15"/>
      <c r="H7552" s="15"/>
      <c r="I7552" s="15" t="s">
        <v>14456</v>
      </c>
      <c r="J7552" s="16" t="s">
        <v>100</v>
      </c>
      <c r="K7552" s="15"/>
      <c r="L7552" s="17">
        <v>200</v>
      </c>
      <c r="M7552" s="17">
        <v>200</v>
      </c>
      <c r="N7552" s="17">
        <v>200</v>
      </c>
      <c r="O7552" s="18">
        <v>84.26</v>
      </c>
      <c r="P7552" s="18">
        <v>69.069999999999993</v>
      </c>
      <c r="Q7552" s="18">
        <v>58.98</v>
      </c>
      <c r="R7552" s="18">
        <v>48.34</v>
      </c>
      <c r="S7552" s="18">
        <v>57.3</v>
      </c>
      <c r="T7552" s="18">
        <v>46.97</v>
      </c>
      <c r="U7552" s="16"/>
      <c r="V7552" s="16"/>
      <c r="W7552" s="16"/>
      <c r="X7552" s="19">
        <v>3.4000000000000002E-2</v>
      </c>
      <c r="Y7552" s="20">
        <v>3.8999999999999999E-5</v>
      </c>
      <c r="Z7552" s="21">
        <v>4601004078109</v>
      </c>
    </row>
    <row r="7553" spans="1:26" ht="12" customHeight="1" outlineLevel="4" x14ac:dyDescent="0.2">
      <c r="A7553" s="14" t="s">
        <v>14457</v>
      </c>
      <c r="B7553" s="26" t="s">
        <v>14458</v>
      </c>
      <c r="C7553" s="52"/>
      <c r="D7553" s="55">
        <f t="shared" si="117"/>
        <v>0</v>
      </c>
      <c r="E7553" s="63" t="str">
        <f>HYPERLINK("https://www.sds-group.ru/product/kabel-signalnyy-ksvv-2h0-5mm-buhta-500m-rexant-01-4747/", "Инфо")</f>
        <v>Инфо</v>
      </c>
      <c r="F7553" s="16" t="s">
        <v>1767</v>
      </c>
      <c r="G7553" s="15"/>
      <c r="H7553" s="15"/>
      <c r="I7553" s="15"/>
      <c r="J7553" s="16" t="s">
        <v>100</v>
      </c>
      <c r="K7553" s="15"/>
      <c r="L7553" s="17">
        <v>500</v>
      </c>
      <c r="M7553" s="17">
        <v>500</v>
      </c>
      <c r="N7553" s="17">
        <v>500</v>
      </c>
      <c r="O7553" s="18">
        <v>15.41</v>
      </c>
      <c r="P7553" s="18">
        <v>12.63</v>
      </c>
      <c r="Q7553" s="18">
        <v>10.79</v>
      </c>
      <c r="R7553" s="18">
        <v>8.84</v>
      </c>
      <c r="S7553" s="18">
        <v>10.48</v>
      </c>
      <c r="T7553" s="18">
        <v>8.59</v>
      </c>
      <c r="U7553" s="16"/>
      <c r="V7553" s="16"/>
      <c r="W7553" s="16"/>
      <c r="X7553" s="19">
        <v>8.0000000000000002E-3</v>
      </c>
      <c r="Y7553" s="20">
        <v>1.0000000000000001E-5</v>
      </c>
      <c r="Z7553" s="21">
        <v>4601004079960</v>
      </c>
    </row>
    <row r="7554" spans="1:26" ht="12" customHeight="1" outlineLevel="4" x14ac:dyDescent="0.2">
      <c r="A7554" s="14" t="s">
        <v>14459</v>
      </c>
      <c r="B7554" s="26" t="s">
        <v>14460</v>
      </c>
      <c r="C7554" s="52"/>
      <c r="D7554" s="55">
        <f t="shared" si="117"/>
        <v>0</v>
      </c>
      <c r="E7554" s="63" t="str">
        <f>HYPERLINK("https://www.sds-group.ru/product/kabel-signalnyy-ksvv-4h0-5mm-buhta-200m-rexant-01-4748/", "Инфо")</f>
        <v>Инфо</v>
      </c>
      <c r="F7554" s="16" t="s">
        <v>1767</v>
      </c>
      <c r="G7554" s="15"/>
      <c r="H7554" s="15"/>
      <c r="I7554" s="15"/>
      <c r="J7554" s="22">
        <v>1400</v>
      </c>
      <c r="K7554" s="15" t="s">
        <v>1381</v>
      </c>
      <c r="L7554" s="17">
        <v>200</v>
      </c>
      <c r="M7554" s="17">
        <v>200</v>
      </c>
      <c r="N7554" s="17">
        <v>200</v>
      </c>
      <c r="O7554" s="18">
        <v>28.69</v>
      </c>
      <c r="P7554" s="18">
        <v>23.52</v>
      </c>
      <c r="Q7554" s="18">
        <v>20.079999999999998</v>
      </c>
      <c r="R7554" s="18">
        <v>16.46</v>
      </c>
      <c r="S7554" s="18">
        <v>19.510000000000002</v>
      </c>
      <c r="T7554" s="18">
        <v>15.99</v>
      </c>
      <c r="U7554" s="16"/>
      <c r="V7554" s="16"/>
      <c r="W7554" s="16"/>
      <c r="X7554" s="19">
        <v>1.4E-2</v>
      </c>
      <c r="Y7554" s="20">
        <v>2.1999999999999999E-5</v>
      </c>
      <c r="Z7554" s="21">
        <v>4601004078079</v>
      </c>
    </row>
    <row r="7555" spans="1:26" ht="12" customHeight="1" outlineLevel="4" x14ac:dyDescent="0.2">
      <c r="A7555" s="14" t="s">
        <v>14461</v>
      </c>
      <c r="B7555" s="26" t="s">
        <v>14462</v>
      </c>
      <c r="C7555" s="52"/>
      <c r="D7555" s="55">
        <f t="shared" si="117"/>
        <v>0</v>
      </c>
      <c r="E7555" s="63" t="str">
        <f>HYPERLINK("https://www.sds-group.ru/product/kabel-signalnyy-ksvv-6h0-5mm-buhta-200m-rexant-01-4749/", "Инфо")</f>
        <v>Инфо</v>
      </c>
      <c r="F7555" s="16" t="s">
        <v>1767</v>
      </c>
      <c r="G7555" s="15"/>
      <c r="H7555" s="15"/>
      <c r="I7555" s="15"/>
      <c r="J7555" s="22">
        <v>5800</v>
      </c>
      <c r="K7555" s="15" t="s">
        <v>1888</v>
      </c>
      <c r="L7555" s="17">
        <v>200</v>
      </c>
      <c r="M7555" s="17">
        <v>200</v>
      </c>
      <c r="N7555" s="17">
        <v>200</v>
      </c>
      <c r="O7555" s="18">
        <v>49.9</v>
      </c>
      <c r="P7555" s="18">
        <v>40.9</v>
      </c>
      <c r="Q7555" s="18">
        <v>34.93</v>
      </c>
      <c r="R7555" s="18">
        <v>28.63</v>
      </c>
      <c r="S7555" s="18">
        <v>33.93</v>
      </c>
      <c r="T7555" s="18">
        <v>27.81</v>
      </c>
      <c r="U7555" s="16"/>
      <c r="V7555" s="16"/>
      <c r="W7555" s="16"/>
      <c r="X7555" s="19">
        <v>0.02</v>
      </c>
      <c r="Y7555" s="20">
        <v>2.6999999999999999E-5</v>
      </c>
      <c r="Z7555" s="21">
        <v>4601004078086</v>
      </c>
    </row>
    <row r="7556" spans="1:26" ht="12" customHeight="1" outlineLevel="4" x14ac:dyDescent="0.2">
      <c r="A7556" s="14" t="s">
        <v>14463</v>
      </c>
      <c r="B7556" s="26" t="s">
        <v>14464</v>
      </c>
      <c r="C7556" s="52"/>
      <c r="D7556" s="55">
        <f t="shared" si="117"/>
        <v>0</v>
      </c>
      <c r="E7556" s="63" t="str">
        <f>HYPERLINK("https://www.sds-group.ru/product/kabel-signalnyy-ksvv-8h0-5mm-buhta-200m-rexant-01-4750/", "Инфо")</f>
        <v>Инфо</v>
      </c>
      <c r="F7556" s="16" t="s">
        <v>1767</v>
      </c>
      <c r="G7556" s="15"/>
      <c r="H7556" s="15"/>
      <c r="I7556" s="15"/>
      <c r="J7556" s="22">
        <v>10400</v>
      </c>
      <c r="K7556" s="15"/>
      <c r="L7556" s="17">
        <v>200</v>
      </c>
      <c r="M7556" s="17">
        <v>200</v>
      </c>
      <c r="N7556" s="17">
        <v>200</v>
      </c>
      <c r="O7556" s="18">
        <v>64.73</v>
      </c>
      <c r="P7556" s="18">
        <v>53.06</v>
      </c>
      <c r="Q7556" s="18">
        <v>45.31</v>
      </c>
      <c r="R7556" s="18">
        <v>37.14</v>
      </c>
      <c r="S7556" s="18">
        <v>44.02</v>
      </c>
      <c r="T7556" s="18">
        <v>36.08</v>
      </c>
      <c r="U7556" s="16"/>
      <c r="V7556" s="16"/>
      <c r="W7556" s="16"/>
      <c r="X7556" s="19">
        <v>2.8000000000000001E-2</v>
      </c>
      <c r="Y7556" s="20">
        <v>3.3000000000000003E-5</v>
      </c>
      <c r="Z7556" s="21">
        <v>4601004078093</v>
      </c>
    </row>
    <row r="7557" spans="1:26" ht="12" customHeight="1" outlineLevel="4" x14ac:dyDescent="0.2">
      <c r="A7557" s="14" t="s">
        <v>14465</v>
      </c>
      <c r="B7557" s="26" t="s">
        <v>14466</v>
      </c>
      <c r="C7557" s="52"/>
      <c r="D7557" s="55">
        <f t="shared" si="117"/>
        <v>0</v>
      </c>
      <c r="E7557" s="63" t="str">
        <f>HYPERLINK("https://www.sds-group.ru/product/kabel-signalnyy-ksvev-2h0-5mm-buhta-200m-rexant-01-4747-1/", "Инфо")</f>
        <v>Инфо</v>
      </c>
      <c r="F7557" s="16" t="s">
        <v>1767</v>
      </c>
      <c r="G7557" s="15"/>
      <c r="H7557" s="15"/>
      <c r="I7557" s="15"/>
      <c r="J7557" s="16" t="s">
        <v>100</v>
      </c>
      <c r="K7557" s="15" t="s">
        <v>1094</v>
      </c>
      <c r="L7557" s="17">
        <v>200</v>
      </c>
      <c r="M7557" s="17">
        <v>200</v>
      </c>
      <c r="N7557" s="17">
        <v>200</v>
      </c>
      <c r="O7557" s="18">
        <v>24.9</v>
      </c>
      <c r="P7557" s="18">
        <v>20.41</v>
      </c>
      <c r="Q7557" s="18">
        <v>17.43</v>
      </c>
      <c r="R7557" s="18">
        <v>14.29</v>
      </c>
      <c r="S7557" s="18">
        <v>16.93</v>
      </c>
      <c r="T7557" s="18">
        <v>13.88</v>
      </c>
      <c r="U7557" s="16"/>
      <c r="V7557" s="16"/>
      <c r="W7557" s="16"/>
      <c r="X7557" s="19">
        <v>1.4E-2</v>
      </c>
      <c r="Y7557" s="20">
        <v>2.6999999999999999E-5</v>
      </c>
      <c r="Z7557" s="21">
        <v>4601004092037</v>
      </c>
    </row>
    <row r="7558" spans="1:26" ht="12" customHeight="1" outlineLevel="4" x14ac:dyDescent="0.2">
      <c r="A7558" s="14" t="s">
        <v>14467</v>
      </c>
      <c r="B7558" s="26" t="s">
        <v>14468</v>
      </c>
      <c r="C7558" s="52"/>
      <c r="D7558" s="55">
        <f t="shared" si="117"/>
        <v>0</v>
      </c>
      <c r="E7558" s="63" t="str">
        <f>HYPERLINK("https://www.sds-group.ru/product/kabel-signalnyy-ksvev-4h0-5mm-buhta-200m-rexant-01-4748-1/", "Инфо")</f>
        <v>Инфо</v>
      </c>
      <c r="F7558" s="16" t="s">
        <v>1767</v>
      </c>
      <c r="G7558" s="15"/>
      <c r="H7558" s="15"/>
      <c r="I7558" s="15"/>
      <c r="J7558" s="22">
        <v>4200</v>
      </c>
      <c r="K7558" s="15" t="s">
        <v>1381</v>
      </c>
      <c r="L7558" s="17">
        <v>200</v>
      </c>
      <c r="M7558" s="17">
        <v>200</v>
      </c>
      <c r="N7558" s="17">
        <v>200</v>
      </c>
      <c r="O7558" s="18">
        <v>41.37</v>
      </c>
      <c r="P7558" s="18">
        <v>33.909999999999997</v>
      </c>
      <c r="Q7558" s="18">
        <v>28.96</v>
      </c>
      <c r="R7558" s="18">
        <v>23.74</v>
      </c>
      <c r="S7558" s="18">
        <v>28.13</v>
      </c>
      <c r="T7558" s="18">
        <v>23.06</v>
      </c>
      <c r="U7558" s="16"/>
      <c r="V7558" s="16"/>
      <c r="W7558" s="16"/>
      <c r="X7558" s="19">
        <v>1.9E-2</v>
      </c>
      <c r="Y7558" s="20">
        <v>2.5000000000000001E-5</v>
      </c>
      <c r="Z7558" s="21">
        <v>4601004078383</v>
      </c>
    </row>
    <row r="7559" spans="1:26" ht="12" customHeight="1" outlineLevel="4" x14ac:dyDescent="0.2">
      <c r="A7559" s="40" t="s">
        <v>14469</v>
      </c>
      <c r="B7559" s="75" t="s">
        <v>14470</v>
      </c>
      <c r="C7559" s="51"/>
      <c r="D7559" s="54">
        <f t="shared" si="117"/>
        <v>0</v>
      </c>
      <c r="E7559" s="61" t="str">
        <f>HYPERLINK("https://www.sds-group.ru/product/kabel-signalnyy-ksvv-2h0-5mm-ssa-buhta-500m-rexant-01-4747-5/", "Инфо")</f>
        <v>Инфо</v>
      </c>
      <c r="F7559" s="42" t="s">
        <v>2672</v>
      </c>
      <c r="G7559" s="41" t="s">
        <v>40</v>
      </c>
      <c r="H7559" s="41" t="s">
        <v>40</v>
      </c>
      <c r="I7559" s="41"/>
      <c r="J7559" s="47">
        <v>4000</v>
      </c>
      <c r="K7559" s="41"/>
      <c r="L7559" s="43">
        <v>500</v>
      </c>
      <c r="M7559" s="43">
        <v>500</v>
      </c>
      <c r="N7559" s="43">
        <v>500</v>
      </c>
      <c r="O7559" s="44">
        <v>10.28</v>
      </c>
      <c r="P7559" s="44">
        <v>8.43</v>
      </c>
      <c r="Q7559" s="44">
        <v>7.2</v>
      </c>
      <c r="R7559" s="44">
        <v>5.9</v>
      </c>
      <c r="S7559" s="44">
        <v>6.99</v>
      </c>
      <c r="T7559" s="44">
        <v>5.73</v>
      </c>
      <c r="U7559" s="42"/>
      <c r="V7559" s="42"/>
      <c r="W7559" s="42"/>
      <c r="X7559" s="45">
        <v>6.0000000000000001E-3</v>
      </c>
      <c r="Y7559" s="46">
        <v>1.0000000000000001E-5</v>
      </c>
      <c r="Z7559" s="21">
        <v>4601004342378</v>
      </c>
    </row>
    <row r="7560" spans="1:26" ht="12" customHeight="1" outlineLevel="4" x14ac:dyDescent="0.2">
      <c r="A7560" s="40" t="s">
        <v>14471</v>
      </c>
      <c r="B7560" s="75" t="s">
        <v>14472</v>
      </c>
      <c r="C7560" s="51"/>
      <c r="D7560" s="54">
        <f t="shared" si="117"/>
        <v>0</v>
      </c>
      <c r="E7560" s="61" t="str">
        <f>HYPERLINK("https://www.sds-group.ru/product/kabel-signalnyy-ksvv-4h0-5mm-ssa-buhta-200m-rexant-01-4748-5/", "Инфо")</f>
        <v>Инфо</v>
      </c>
      <c r="F7560" s="42" t="s">
        <v>1767</v>
      </c>
      <c r="G7560" s="41" t="s">
        <v>40</v>
      </c>
      <c r="H7560" s="41" t="s">
        <v>40</v>
      </c>
      <c r="I7560" s="41"/>
      <c r="J7560" s="47">
        <v>2800</v>
      </c>
      <c r="K7560" s="41"/>
      <c r="L7560" s="43">
        <v>200</v>
      </c>
      <c r="M7560" s="43">
        <v>200</v>
      </c>
      <c r="N7560" s="43">
        <v>200</v>
      </c>
      <c r="O7560" s="44">
        <v>20.3</v>
      </c>
      <c r="P7560" s="44">
        <v>16.64</v>
      </c>
      <c r="Q7560" s="44">
        <v>14.21</v>
      </c>
      <c r="R7560" s="44">
        <v>11.65</v>
      </c>
      <c r="S7560" s="44">
        <v>13.8</v>
      </c>
      <c r="T7560" s="44">
        <v>11.31</v>
      </c>
      <c r="U7560" s="42"/>
      <c r="V7560" s="42"/>
      <c r="W7560" s="42"/>
      <c r="X7560" s="45">
        <v>8.9999999999999993E-3</v>
      </c>
      <c r="Y7560" s="46">
        <v>1.5999999999999999E-5</v>
      </c>
      <c r="Z7560" s="21">
        <v>4601004342385</v>
      </c>
    </row>
    <row r="7561" spans="1:26" ht="12" customHeight="1" outlineLevel="4" x14ac:dyDescent="0.2">
      <c r="A7561" s="40" t="s">
        <v>14473</v>
      </c>
      <c r="B7561" s="75" t="s">
        <v>14474</v>
      </c>
      <c r="C7561" s="51"/>
      <c r="D7561" s="54">
        <f t="shared" ref="D7561:D7624" si="118">C7561*(O7561-O7561*$G$3)</f>
        <v>0</v>
      </c>
      <c r="E7561" s="61" t="str">
        <f>HYPERLINK("https://www.sds-group.ru/product/kabel-signalnyy-ksvvng-a-ls-4h0-5mm-ssa-buhta-200m-rexant-01-4785-5/", "Инфо")</f>
        <v>Инфо</v>
      </c>
      <c r="F7561" s="42" t="s">
        <v>2672</v>
      </c>
      <c r="G7561" s="41" t="s">
        <v>40</v>
      </c>
      <c r="H7561" s="41" t="s">
        <v>40</v>
      </c>
      <c r="I7561" s="41"/>
      <c r="J7561" s="47">
        <v>3400</v>
      </c>
      <c r="K7561" s="41"/>
      <c r="L7561" s="43">
        <v>200</v>
      </c>
      <c r="M7561" s="43">
        <v>200</v>
      </c>
      <c r="N7561" s="43">
        <v>200</v>
      </c>
      <c r="O7561" s="44">
        <v>20.7</v>
      </c>
      <c r="P7561" s="44">
        <v>16.97</v>
      </c>
      <c r="Q7561" s="44">
        <v>14.49</v>
      </c>
      <c r="R7561" s="44">
        <v>11.88</v>
      </c>
      <c r="S7561" s="44">
        <v>14.08</v>
      </c>
      <c r="T7561" s="44">
        <v>11.54</v>
      </c>
      <c r="U7561" s="42"/>
      <c r="V7561" s="42"/>
      <c r="W7561" s="42"/>
      <c r="X7561" s="45">
        <v>1.0999999999999999E-2</v>
      </c>
      <c r="Y7561" s="46">
        <v>1.9000000000000001E-5</v>
      </c>
      <c r="Z7561" s="21">
        <v>4601004342422</v>
      </c>
    </row>
    <row r="7562" spans="1:26" ht="12" customHeight="1" outlineLevel="4" x14ac:dyDescent="0.2">
      <c r="A7562" s="40" t="s">
        <v>14475</v>
      </c>
      <c r="B7562" s="75" t="s">
        <v>14476</v>
      </c>
      <c r="C7562" s="51"/>
      <c r="D7562" s="54">
        <f t="shared" si="118"/>
        <v>0</v>
      </c>
      <c r="E7562" s="61" t="str">
        <f>HYPERLINK("https://www.sds-group.ru/product/kabel-signalnyy-ksvev-2h0-5mm-ssa-buhta-200m-rexant-01-4747-6/", "Инфо")</f>
        <v>Инфо</v>
      </c>
      <c r="F7562" s="42" t="s">
        <v>2672</v>
      </c>
      <c r="G7562" s="41" t="s">
        <v>40</v>
      </c>
      <c r="H7562" s="41" t="s">
        <v>40</v>
      </c>
      <c r="I7562" s="41"/>
      <c r="J7562" s="47">
        <v>4000</v>
      </c>
      <c r="K7562" s="41"/>
      <c r="L7562" s="43">
        <v>200</v>
      </c>
      <c r="M7562" s="43">
        <v>200</v>
      </c>
      <c r="N7562" s="43">
        <v>200</v>
      </c>
      <c r="O7562" s="44">
        <v>12.59</v>
      </c>
      <c r="P7562" s="44">
        <v>10.32</v>
      </c>
      <c r="Q7562" s="44">
        <v>8.81</v>
      </c>
      <c r="R7562" s="44">
        <v>7.22</v>
      </c>
      <c r="S7562" s="44">
        <v>8.56</v>
      </c>
      <c r="T7562" s="44">
        <v>7.02</v>
      </c>
      <c r="U7562" s="42"/>
      <c r="V7562" s="42"/>
      <c r="W7562" s="42"/>
      <c r="X7562" s="45">
        <v>1.2E-2</v>
      </c>
      <c r="Y7562" s="46">
        <v>2.5000000000000001E-5</v>
      </c>
      <c r="Z7562" s="21">
        <v>4601004342392</v>
      </c>
    </row>
    <row r="7563" spans="1:26" ht="12" customHeight="1" outlineLevel="4" x14ac:dyDescent="0.2">
      <c r="A7563" s="40" t="s">
        <v>14477</v>
      </c>
      <c r="B7563" s="75" t="s">
        <v>14478</v>
      </c>
      <c r="C7563" s="51"/>
      <c r="D7563" s="54">
        <f t="shared" si="118"/>
        <v>0</v>
      </c>
      <c r="E7563" s="61" t="str">
        <f>HYPERLINK("https://www.sds-group.ru/product/kabel-signalnyy-ksvev-4h0-5mm-ssa-buhta-200m-rexant-01-4748-6/", "Инфо")</f>
        <v>Инфо</v>
      </c>
      <c r="F7563" s="42" t="s">
        <v>1767</v>
      </c>
      <c r="G7563" s="41" t="s">
        <v>40</v>
      </c>
      <c r="H7563" s="41" t="s">
        <v>40</v>
      </c>
      <c r="I7563" s="41"/>
      <c r="J7563" s="47">
        <v>2800</v>
      </c>
      <c r="K7563" s="41"/>
      <c r="L7563" s="43">
        <v>200</v>
      </c>
      <c r="M7563" s="43">
        <v>200</v>
      </c>
      <c r="N7563" s="43">
        <v>200</v>
      </c>
      <c r="O7563" s="44">
        <v>26.82</v>
      </c>
      <c r="P7563" s="44">
        <v>21.98</v>
      </c>
      <c r="Q7563" s="44">
        <v>18.77</v>
      </c>
      <c r="R7563" s="44">
        <v>15.39</v>
      </c>
      <c r="S7563" s="44">
        <v>18.239999999999998</v>
      </c>
      <c r="T7563" s="44">
        <v>14.95</v>
      </c>
      <c r="U7563" s="42"/>
      <c r="V7563" s="42"/>
      <c r="W7563" s="42"/>
      <c r="X7563" s="45">
        <v>1.4E-2</v>
      </c>
      <c r="Y7563" s="46">
        <v>2.6999999999999999E-5</v>
      </c>
      <c r="Z7563" s="21">
        <v>4601004342408</v>
      </c>
    </row>
    <row r="7564" spans="1:26" ht="12.95" customHeight="1" outlineLevel="3" x14ac:dyDescent="0.2">
      <c r="A7564" s="82" t="s">
        <v>14479</v>
      </c>
      <c r="B7564" s="82"/>
      <c r="C7564" s="83"/>
      <c r="D7564" s="59"/>
      <c r="E7564" s="69"/>
      <c r="F7564" s="23"/>
      <c r="G7564" s="23"/>
      <c r="H7564" s="23"/>
      <c r="I7564" s="23"/>
      <c r="J7564" s="23"/>
      <c r="K7564" s="23"/>
      <c r="L7564" s="23"/>
      <c r="M7564" s="23"/>
      <c r="N7564" s="23"/>
      <c r="O7564" s="23"/>
      <c r="P7564" s="23"/>
      <c r="Q7564" s="23"/>
      <c r="R7564" s="23"/>
      <c r="S7564" s="23"/>
      <c r="T7564" s="23"/>
      <c r="U7564" s="23"/>
      <c r="V7564" s="23"/>
      <c r="W7564" s="23"/>
      <c r="X7564" s="23"/>
      <c r="Y7564" s="23"/>
      <c r="Z7564" s="23"/>
    </row>
    <row r="7565" spans="1:26" ht="12" customHeight="1" outlineLevel="4" x14ac:dyDescent="0.2">
      <c r="A7565" s="14" t="s">
        <v>14480</v>
      </c>
      <c r="B7565" s="26" t="s">
        <v>14481</v>
      </c>
      <c r="C7565" s="52"/>
      <c r="D7565" s="55">
        <f t="shared" si="118"/>
        <v>0</v>
      </c>
      <c r="E7565" s="63" t="str">
        <f>HYPERLINK("https://www.sds-group.ru/product/kabel-signalnyy-ksvvng-a-ls-20h0-5mm-buhta-200m-rexant-01-4793/", "Инфо")</f>
        <v>Инфо</v>
      </c>
      <c r="F7565" s="16" t="s">
        <v>1767</v>
      </c>
      <c r="G7565" s="15"/>
      <c r="H7565" s="15"/>
      <c r="I7565" s="15"/>
      <c r="J7565" s="22">
        <v>7600</v>
      </c>
      <c r="K7565" s="15" t="s">
        <v>1381</v>
      </c>
      <c r="L7565" s="17">
        <v>200</v>
      </c>
      <c r="M7565" s="17">
        <v>200</v>
      </c>
      <c r="N7565" s="17">
        <v>200</v>
      </c>
      <c r="O7565" s="18">
        <v>158.84</v>
      </c>
      <c r="P7565" s="18">
        <v>130.19999999999999</v>
      </c>
      <c r="Q7565" s="18">
        <v>111.19</v>
      </c>
      <c r="R7565" s="18">
        <v>91.14</v>
      </c>
      <c r="S7565" s="18">
        <v>108.01</v>
      </c>
      <c r="T7565" s="18">
        <v>88.53</v>
      </c>
      <c r="U7565" s="16"/>
      <c r="V7565" s="16"/>
      <c r="W7565" s="16"/>
      <c r="X7565" s="19">
        <v>6.7000000000000004E-2</v>
      </c>
      <c r="Y7565" s="20">
        <v>7.1000000000000005E-5</v>
      </c>
      <c r="Z7565" s="21">
        <v>4601004078772</v>
      </c>
    </row>
    <row r="7566" spans="1:26" ht="12" customHeight="1" outlineLevel="4" x14ac:dyDescent="0.2">
      <c r="A7566" s="14" t="s">
        <v>14482</v>
      </c>
      <c r="B7566" s="26" t="s">
        <v>14483</v>
      </c>
      <c r="C7566" s="52"/>
      <c r="D7566" s="55">
        <f t="shared" si="118"/>
        <v>0</v>
      </c>
      <c r="E7566" s="63" t="str">
        <f>HYPERLINK("https://www.sds-group.ru/product/kabel-signalnyy-ksvvng-a-ls-2h0-5mm-buhta-500m-rexant-01-4784/", "Инфо")</f>
        <v>Инфо</v>
      </c>
      <c r="F7566" s="16" t="s">
        <v>1767</v>
      </c>
      <c r="G7566" s="15"/>
      <c r="H7566" s="15"/>
      <c r="I7566" s="15"/>
      <c r="J7566" s="22">
        <v>108500</v>
      </c>
      <c r="K7566" s="15" t="s">
        <v>1381</v>
      </c>
      <c r="L7566" s="17">
        <v>500</v>
      </c>
      <c r="M7566" s="17">
        <v>500</v>
      </c>
      <c r="N7566" s="17">
        <v>500</v>
      </c>
      <c r="O7566" s="18">
        <v>16.420000000000002</v>
      </c>
      <c r="P7566" s="18">
        <v>13.46</v>
      </c>
      <c r="Q7566" s="18">
        <v>11.49</v>
      </c>
      <c r="R7566" s="18">
        <v>9.42</v>
      </c>
      <c r="S7566" s="18">
        <v>11.17</v>
      </c>
      <c r="T7566" s="18">
        <v>9.16</v>
      </c>
      <c r="U7566" s="16"/>
      <c r="V7566" s="16"/>
      <c r="W7566" s="16"/>
      <c r="X7566" s="19">
        <v>8.9999999999999993E-3</v>
      </c>
      <c r="Y7566" s="20">
        <v>1.2E-5</v>
      </c>
      <c r="Z7566" s="21">
        <v>4601004080089</v>
      </c>
    </row>
    <row r="7567" spans="1:26" ht="12" customHeight="1" outlineLevel="4" x14ac:dyDescent="0.2">
      <c r="A7567" s="14" t="s">
        <v>14484</v>
      </c>
      <c r="B7567" s="26" t="s">
        <v>14485</v>
      </c>
      <c r="C7567" s="52"/>
      <c r="D7567" s="55">
        <f t="shared" si="118"/>
        <v>0</v>
      </c>
      <c r="E7567" s="63" t="str">
        <f>HYPERLINK("https://www.sds-group.ru/product/kabel-signalnyy-ksvvng-a-ls-4h0-5mm-buhta-200m-rexant-01-4785/", "Инфо")</f>
        <v>Инфо</v>
      </c>
      <c r="F7567" s="16" t="s">
        <v>1767</v>
      </c>
      <c r="G7567" s="15"/>
      <c r="H7567" s="15"/>
      <c r="I7567" s="15"/>
      <c r="J7567" s="22">
        <v>52200</v>
      </c>
      <c r="K7567" s="15" t="s">
        <v>1381</v>
      </c>
      <c r="L7567" s="17">
        <v>200</v>
      </c>
      <c r="M7567" s="17">
        <v>200</v>
      </c>
      <c r="N7567" s="17">
        <v>200</v>
      </c>
      <c r="O7567" s="18">
        <v>30.13</v>
      </c>
      <c r="P7567" s="18">
        <v>24.7</v>
      </c>
      <c r="Q7567" s="18">
        <v>21.09</v>
      </c>
      <c r="R7567" s="18">
        <v>17.29</v>
      </c>
      <c r="S7567" s="18">
        <v>20.49</v>
      </c>
      <c r="T7567" s="18">
        <v>16.8</v>
      </c>
      <c r="U7567" s="16"/>
      <c r="V7567" s="16"/>
      <c r="W7567" s="16"/>
      <c r="X7567" s="19">
        <v>1.4999999999999999E-2</v>
      </c>
      <c r="Y7567" s="20">
        <v>2.3E-5</v>
      </c>
      <c r="Z7567" s="21">
        <v>4601004078697</v>
      </c>
    </row>
    <row r="7568" spans="1:26" ht="12" customHeight="1" outlineLevel="4" x14ac:dyDescent="0.2">
      <c r="A7568" s="14" t="s">
        <v>14486</v>
      </c>
      <c r="B7568" s="26" t="s">
        <v>14487</v>
      </c>
      <c r="C7568" s="52"/>
      <c r="D7568" s="55">
        <f t="shared" si="118"/>
        <v>0</v>
      </c>
      <c r="E7568" s="63" t="str">
        <f>HYPERLINK("https://www.sds-group.ru/product/kabel-signalnyy-ksvvng-a-ls-6h0-5mm-buhta-200m-rexant-01-4786/", "Инфо")</f>
        <v>Инфо</v>
      </c>
      <c r="F7568" s="16" t="s">
        <v>1767</v>
      </c>
      <c r="G7568" s="15"/>
      <c r="H7568" s="15"/>
      <c r="I7568" s="15"/>
      <c r="J7568" s="22">
        <v>8000</v>
      </c>
      <c r="K7568" s="15"/>
      <c r="L7568" s="17">
        <v>200</v>
      </c>
      <c r="M7568" s="17">
        <v>200</v>
      </c>
      <c r="N7568" s="17">
        <v>200</v>
      </c>
      <c r="O7568" s="18">
        <v>50.55</v>
      </c>
      <c r="P7568" s="18">
        <v>41.43</v>
      </c>
      <c r="Q7568" s="18">
        <v>35.39</v>
      </c>
      <c r="R7568" s="18">
        <v>29.01</v>
      </c>
      <c r="S7568" s="18">
        <v>34.369999999999997</v>
      </c>
      <c r="T7568" s="18">
        <v>28.17</v>
      </c>
      <c r="U7568" s="16"/>
      <c r="V7568" s="16"/>
      <c r="W7568" s="16"/>
      <c r="X7568" s="19">
        <v>2.1000000000000001E-2</v>
      </c>
      <c r="Y7568" s="20">
        <v>2.8E-5</v>
      </c>
      <c r="Z7568" s="21">
        <v>4601004078703</v>
      </c>
    </row>
    <row r="7569" spans="1:26" ht="12" customHeight="1" outlineLevel="4" x14ac:dyDescent="0.2">
      <c r="A7569" s="14" t="s">
        <v>14488</v>
      </c>
      <c r="B7569" s="26" t="s">
        <v>14489</v>
      </c>
      <c r="C7569" s="52"/>
      <c r="D7569" s="55">
        <f t="shared" si="118"/>
        <v>0</v>
      </c>
      <c r="E7569" s="63" t="str">
        <f>HYPERLINK("https://www.sds-group.ru/product/kabel-signalnyy-ksvvng-a-ls-8h0-5mm-buhta-200m-rexant-01-4787/", "Инфо")</f>
        <v>Инфо</v>
      </c>
      <c r="F7569" s="16" t="s">
        <v>1767</v>
      </c>
      <c r="G7569" s="15"/>
      <c r="H7569" s="15"/>
      <c r="I7569" s="15"/>
      <c r="J7569" s="22">
        <v>2000</v>
      </c>
      <c r="K7569" s="15" t="s">
        <v>1381</v>
      </c>
      <c r="L7569" s="17">
        <v>200</v>
      </c>
      <c r="M7569" s="17">
        <v>200</v>
      </c>
      <c r="N7569" s="17">
        <v>200</v>
      </c>
      <c r="O7569" s="18">
        <v>64.400000000000006</v>
      </c>
      <c r="P7569" s="18">
        <v>52.79</v>
      </c>
      <c r="Q7569" s="18">
        <v>45.08</v>
      </c>
      <c r="R7569" s="18">
        <v>36.950000000000003</v>
      </c>
      <c r="S7569" s="18">
        <v>43.79</v>
      </c>
      <c r="T7569" s="18">
        <v>35.89</v>
      </c>
      <c r="U7569" s="16"/>
      <c r="V7569" s="16"/>
      <c r="W7569" s="16"/>
      <c r="X7569" s="19">
        <v>2.8000000000000001E-2</v>
      </c>
      <c r="Y7569" s="20">
        <v>3.3000000000000003E-5</v>
      </c>
      <c r="Z7569" s="21">
        <v>4601004078710</v>
      </c>
    </row>
    <row r="7570" spans="1:26" ht="12.95" customHeight="1" outlineLevel="2" x14ac:dyDescent="0.2">
      <c r="A7570" s="76" t="s">
        <v>14490</v>
      </c>
      <c r="B7570" s="76"/>
      <c r="C7570" s="77"/>
      <c r="D7570" s="58"/>
      <c r="E7570" s="68"/>
      <c r="F7570" s="13"/>
      <c r="G7570" s="13"/>
      <c r="H7570" s="13"/>
      <c r="I7570" s="13"/>
      <c r="J7570" s="13"/>
      <c r="K7570" s="13"/>
      <c r="L7570" s="13"/>
      <c r="M7570" s="13"/>
      <c r="N7570" s="13"/>
      <c r="O7570" s="13"/>
      <c r="P7570" s="13"/>
      <c r="Q7570" s="13"/>
      <c r="R7570" s="13"/>
      <c r="S7570" s="13"/>
      <c r="T7570" s="13"/>
      <c r="U7570" s="13"/>
      <c r="V7570" s="13"/>
      <c r="W7570" s="13"/>
      <c r="X7570" s="13"/>
      <c r="Y7570" s="13"/>
      <c r="Z7570" s="13"/>
    </row>
    <row r="7571" spans="1:26" ht="12.95" customHeight="1" outlineLevel="3" x14ac:dyDescent="0.2">
      <c r="A7571" s="82" t="s">
        <v>14491</v>
      </c>
      <c r="B7571" s="82"/>
      <c r="C7571" s="83"/>
      <c r="D7571" s="59"/>
      <c r="E7571" s="69"/>
      <c r="F7571" s="23"/>
      <c r="G7571" s="23"/>
      <c r="H7571" s="23"/>
      <c r="I7571" s="23"/>
      <c r="J7571" s="23"/>
      <c r="K7571" s="23"/>
      <c r="L7571" s="23"/>
      <c r="M7571" s="23"/>
      <c r="N7571" s="23"/>
      <c r="O7571" s="23"/>
      <c r="P7571" s="23"/>
      <c r="Q7571" s="23"/>
      <c r="R7571" s="23"/>
      <c r="S7571" s="23"/>
      <c r="T7571" s="23"/>
      <c r="U7571" s="23"/>
      <c r="V7571" s="23"/>
      <c r="W7571" s="23"/>
      <c r="X7571" s="23"/>
      <c r="Y7571" s="23"/>
      <c r="Z7571" s="23"/>
    </row>
    <row r="7572" spans="1:26" ht="12" customHeight="1" outlineLevel="4" x14ac:dyDescent="0.2">
      <c r="A7572" s="14" t="s">
        <v>14492</v>
      </c>
      <c r="B7572" s="26" t="s">
        <v>14493</v>
      </c>
      <c r="C7572" s="52"/>
      <c r="D7572" s="55">
        <f t="shared" si="118"/>
        <v>0</v>
      </c>
      <c r="E7572" s="63" t="str">
        <f>HYPERLINK("https://www.sds-group.ru/product/kabel-dlya-pozharnoy-signalizatsii-kpsvvng-a-ls-1x2x0-50mm-buhta-200m-rexant-01-4860/", "Инфо")</f>
        <v>Инфо</v>
      </c>
      <c r="F7572" s="16" t="s">
        <v>1767</v>
      </c>
      <c r="G7572" s="15"/>
      <c r="H7572" s="15"/>
      <c r="I7572" s="15"/>
      <c r="J7572" s="22">
        <v>6400</v>
      </c>
      <c r="K7572" s="15" t="s">
        <v>1094</v>
      </c>
      <c r="L7572" s="17">
        <v>200</v>
      </c>
      <c r="M7572" s="17">
        <v>200</v>
      </c>
      <c r="N7572" s="17">
        <v>200</v>
      </c>
      <c r="O7572" s="18">
        <v>38.96</v>
      </c>
      <c r="P7572" s="18">
        <v>31.93</v>
      </c>
      <c r="Q7572" s="18">
        <v>27.27</v>
      </c>
      <c r="R7572" s="18">
        <v>22.35</v>
      </c>
      <c r="S7572" s="18">
        <v>26.49</v>
      </c>
      <c r="T7572" s="18">
        <v>21.71</v>
      </c>
      <c r="U7572" s="16"/>
      <c r="V7572" s="16"/>
      <c r="W7572" s="16"/>
      <c r="X7572" s="19">
        <v>2.7E-2</v>
      </c>
      <c r="Y7572" s="20">
        <v>5.3999999999999998E-5</v>
      </c>
      <c r="Z7572" s="21">
        <v>4601004081376</v>
      </c>
    </row>
    <row r="7573" spans="1:26" ht="12" customHeight="1" outlineLevel="4" x14ac:dyDescent="0.2">
      <c r="A7573" s="14" t="s">
        <v>14494</v>
      </c>
      <c r="B7573" s="26" t="s">
        <v>14495</v>
      </c>
      <c r="C7573" s="52"/>
      <c r="D7573" s="55">
        <f t="shared" si="118"/>
        <v>0</v>
      </c>
      <c r="E7573" s="63" t="str">
        <f>HYPERLINK("https://www.sds-group.ru/product/kabel-dlya-pozharnoy-signalizatsii-kpsvvng-a-ls-1x2x0-75mm-buhta-200m-rexant-01-4861/", "Инфо")</f>
        <v>Инфо</v>
      </c>
      <c r="F7573" s="16" t="s">
        <v>1767</v>
      </c>
      <c r="G7573" s="15"/>
      <c r="H7573" s="15"/>
      <c r="I7573" s="15"/>
      <c r="J7573" s="22">
        <v>5600</v>
      </c>
      <c r="K7573" s="15" t="s">
        <v>1094</v>
      </c>
      <c r="L7573" s="17">
        <v>200</v>
      </c>
      <c r="M7573" s="17">
        <v>200</v>
      </c>
      <c r="N7573" s="17">
        <v>200</v>
      </c>
      <c r="O7573" s="18">
        <v>53.63</v>
      </c>
      <c r="P7573" s="18">
        <v>43.96</v>
      </c>
      <c r="Q7573" s="18">
        <v>37.54</v>
      </c>
      <c r="R7573" s="18">
        <v>30.77</v>
      </c>
      <c r="S7573" s="18">
        <v>36.47</v>
      </c>
      <c r="T7573" s="18">
        <v>29.89</v>
      </c>
      <c r="U7573" s="16"/>
      <c r="V7573" s="16"/>
      <c r="W7573" s="16"/>
      <c r="X7573" s="19">
        <v>3.4000000000000002E-2</v>
      </c>
      <c r="Y7573" s="20">
        <v>5.3999999999999998E-5</v>
      </c>
      <c r="Z7573" s="21">
        <v>4601004081383</v>
      </c>
    </row>
    <row r="7574" spans="1:26" ht="12" customHeight="1" outlineLevel="4" x14ac:dyDescent="0.2">
      <c r="A7574" s="14" t="s">
        <v>14496</v>
      </c>
      <c r="B7574" s="26" t="s">
        <v>14497</v>
      </c>
      <c r="C7574" s="52"/>
      <c r="D7574" s="55">
        <f t="shared" si="118"/>
        <v>0</v>
      </c>
      <c r="E7574" s="63" t="str">
        <f>HYPERLINK("https://www.sds-group.ru/product/kabel-dlya-pozharnoy-signalizatsii-kpsvvng-a-ls-1x2x1-00mm-buhta-200m-rexant-01-4862/", "Инфо")</f>
        <v>Инфо</v>
      </c>
      <c r="F7574" s="16" t="s">
        <v>1767</v>
      </c>
      <c r="G7574" s="15"/>
      <c r="H7574" s="15"/>
      <c r="I7574" s="15"/>
      <c r="J7574" s="22">
        <v>2000</v>
      </c>
      <c r="K7574" s="15" t="s">
        <v>1094</v>
      </c>
      <c r="L7574" s="17">
        <v>200</v>
      </c>
      <c r="M7574" s="17">
        <v>200</v>
      </c>
      <c r="N7574" s="17">
        <v>200</v>
      </c>
      <c r="O7574" s="18">
        <v>70.349999999999994</v>
      </c>
      <c r="P7574" s="18">
        <v>57.66</v>
      </c>
      <c r="Q7574" s="18">
        <v>49.25</v>
      </c>
      <c r="R7574" s="18">
        <v>40.369999999999997</v>
      </c>
      <c r="S7574" s="18">
        <v>47.84</v>
      </c>
      <c r="T7574" s="18">
        <v>39.21</v>
      </c>
      <c r="U7574" s="16"/>
      <c r="V7574" s="16"/>
      <c r="W7574" s="16"/>
      <c r="X7574" s="19">
        <v>3.5999999999999997E-2</v>
      </c>
      <c r="Y7574" s="20">
        <v>5.1999999999999997E-5</v>
      </c>
      <c r="Z7574" s="21">
        <v>4601004081390</v>
      </c>
    </row>
    <row r="7575" spans="1:26" ht="12" customHeight="1" outlineLevel="4" x14ac:dyDescent="0.2">
      <c r="A7575" s="14" t="s">
        <v>14498</v>
      </c>
      <c r="B7575" s="26" t="s">
        <v>14499</v>
      </c>
      <c r="C7575" s="52"/>
      <c r="D7575" s="55">
        <f t="shared" si="118"/>
        <v>0</v>
      </c>
      <c r="E7575" s="63" t="str">
        <f>HYPERLINK("https://www.sds-group.ru/product/kabel-dlya-pozharnoy-signalizatsii-kpsvvng-a-ls-1x2x1-50mm-buhta-200m-rexant-01-4863/", "Инфо")</f>
        <v>Инфо</v>
      </c>
      <c r="F7575" s="16" t="s">
        <v>1767</v>
      </c>
      <c r="G7575" s="15"/>
      <c r="H7575" s="15"/>
      <c r="I7575" s="15"/>
      <c r="J7575" s="22">
        <v>5800</v>
      </c>
      <c r="K7575" s="15"/>
      <c r="L7575" s="17">
        <v>200</v>
      </c>
      <c r="M7575" s="17">
        <v>200</v>
      </c>
      <c r="N7575" s="17">
        <v>200</v>
      </c>
      <c r="O7575" s="18">
        <v>98.89</v>
      </c>
      <c r="P7575" s="18">
        <v>81.06</v>
      </c>
      <c r="Q7575" s="18">
        <v>69.22</v>
      </c>
      <c r="R7575" s="18">
        <v>56.74</v>
      </c>
      <c r="S7575" s="18">
        <v>67.25</v>
      </c>
      <c r="T7575" s="18">
        <v>55.12</v>
      </c>
      <c r="U7575" s="16"/>
      <c r="V7575" s="16"/>
      <c r="W7575" s="16"/>
      <c r="X7575" s="19">
        <v>4.5999999999999999E-2</v>
      </c>
      <c r="Y7575" s="20">
        <v>7.1000000000000005E-5</v>
      </c>
      <c r="Z7575" s="21">
        <v>4601004081406</v>
      </c>
    </row>
    <row r="7576" spans="1:26" ht="12" customHeight="1" outlineLevel="4" x14ac:dyDescent="0.2">
      <c r="A7576" s="14" t="s">
        <v>14500</v>
      </c>
      <c r="B7576" s="26" t="s">
        <v>14501</v>
      </c>
      <c r="C7576" s="52"/>
      <c r="D7576" s="55">
        <f t="shared" si="118"/>
        <v>0</v>
      </c>
      <c r="E7576" s="63" t="str">
        <f>HYPERLINK("https://www.sds-group.ru/product/kabel-dlya-pozharnoy-signalizatsii-kpsvvng-a-ls-2x2x0-50mm-buhta-200m-rexant-01-4865/", "Инфо")</f>
        <v>Инфо</v>
      </c>
      <c r="F7576" s="16" t="s">
        <v>1767</v>
      </c>
      <c r="G7576" s="15"/>
      <c r="H7576" s="15"/>
      <c r="I7576" s="15"/>
      <c r="J7576" s="16" t="s">
        <v>100</v>
      </c>
      <c r="K7576" s="15"/>
      <c r="L7576" s="17">
        <v>200</v>
      </c>
      <c r="M7576" s="17">
        <v>200</v>
      </c>
      <c r="N7576" s="17">
        <v>200</v>
      </c>
      <c r="O7576" s="18">
        <v>73.680000000000007</v>
      </c>
      <c r="P7576" s="18">
        <v>60.39</v>
      </c>
      <c r="Q7576" s="18">
        <v>51.58</v>
      </c>
      <c r="R7576" s="18">
        <v>42.28</v>
      </c>
      <c r="S7576" s="18">
        <v>50.1</v>
      </c>
      <c r="T7576" s="18">
        <v>41.07</v>
      </c>
      <c r="U7576" s="16"/>
      <c r="V7576" s="16"/>
      <c r="W7576" s="16"/>
      <c r="X7576" s="19">
        <v>4.2000000000000003E-2</v>
      </c>
      <c r="Y7576" s="20">
        <v>8.0000000000000007E-5</v>
      </c>
      <c r="Z7576" s="21">
        <v>4601004081420</v>
      </c>
    </row>
    <row r="7577" spans="1:26" ht="12" customHeight="1" outlineLevel="4" x14ac:dyDescent="0.2">
      <c r="A7577" s="14" t="s">
        <v>14502</v>
      </c>
      <c r="B7577" s="26" t="s">
        <v>14503</v>
      </c>
      <c r="C7577" s="52"/>
      <c r="D7577" s="55">
        <f t="shared" si="118"/>
        <v>0</v>
      </c>
      <c r="E7577" s="63" t="str">
        <f>HYPERLINK("https://www.sds-group.ru/product/kabel-dlya-pozharnoy-signalizatsii-kpsvvng-a-ls-2x2x0-75mm-buhta-200m-rexant-01-4866/", "Инфо")</f>
        <v>Инфо</v>
      </c>
      <c r="F7577" s="16" t="s">
        <v>1767</v>
      </c>
      <c r="G7577" s="15"/>
      <c r="H7577" s="15"/>
      <c r="I7577" s="15"/>
      <c r="J7577" s="22">
        <v>4600</v>
      </c>
      <c r="K7577" s="15" t="s">
        <v>1094</v>
      </c>
      <c r="L7577" s="17">
        <v>200</v>
      </c>
      <c r="M7577" s="17">
        <v>200</v>
      </c>
      <c r="N7577" s="17">
        <v>200</v>
      </c>
      <c r="O7577" s="18">
        <v>99.95</v>
      </c>
      <c r="P7577" s="18">
        <v>81.93</v>
      </c>
      <c r="Q7577" s="18">
        <v>69.97</v>
      </c>
      <c r="R7577" s="18">
        <v>57.35</v>
      </c>
      <c r="S7577" s="18">
        <v>67.97</v>
      </c>
      <c r="T7577" s="18">
        <v>55.71</v>
      </c>
      <c r="U7577" s="16"/>
      <c r="V7577" s="16"/>
      <c r="W7577" s="16"/>
      <c r="X7577" s="19">
        <v>4.9000000000000002E-2</v>
      </c>
      <c r="Y7577" s="20">
        <v>7.2999999999999999E-5</v>
      </c>
      <c r="Z7577" s="21">
        <v>4601004081437</v>
      </c>
    </row>
    <row r="7578" spans="1:26" ht="12" customHeight="1" outlineLevel="4" x14ac:dyDescent="0.2">
      <c r="A7578" s="14" t="s">
        <v>14504</v>
      </c>
      <c r="B7578" s="26" t="s">
        <v>14505</v>
      </c>
      <c r="C7578" s="52"/>
      <c r="D7578" s="55">
        <f t="shared" si="118"/>
        <v>0</v>
      </c>
      <c r="E7578" s="63" t="str">
        <f>HYPERLINK("https://www.sds-group.ru/product/kabel-dlya-pozharnoy-signalizatsii-kpsvevng-a-ls-1x2x0-50mm-buhta-200m-rexant-01-4860-1/", "Инфо")</f>
        <v>Инфо</v>
      </c>
      <c r="F7578" s="16" t="s">
        <v>1767</v>
      </c>
      <c r="G7578" s="15"/>
      <c r="H7578" s="15"/>
      <c r="I7578" s="15"/>
      <c r="J7578" s="16" t="s">
        <v>100</v>
      </c>
      <c r="K7578" s="15" t="s">
        <v>1094</v>
      </c>
      <c r="L7578" s="17">
        <v>200</v>
      </c>
      <c r="M7578" s="17">
        <v>200</v>
      </c>
      <c r="N7578" s="17">
        <v>200</v>
      </c>
      <c r="O7578" s="18">
        <v>45.91</v>
      </c>
      <c r="P7578" s="18">
        <v>37.630000000000003</v>
      </c>
      <c r="Q7578" s="18">
        <v>32.14</v>
      </c>
      <c r="R7578" s="18">
        <v>26.34</v>
      </c>
      <c r="S7578" s="18">
        <v>31.22</v>
      </c>
      <c r="T7578" s="18">
        <v>25.59</v>
      </c>
      <c r="U7578" s="16"/>
      <c r="V7578" s="16"/>
      <c r="W7578" s="16"/>
      <c r="X7578" s="19">
        <v>2.8000000000000001E-2</v>
      </c>
      <c r="Y7578" s="20">
        <v>4.8999999999999998E-5</v>
      </c>
      <c r="Z7578" s="21">
        <v>4601004081475</v>
      </c>
    </row>
    <row r="7579" spans="1:26" ht="12" customHeight="1" outlineLevel="4" x14ac:dyDescent="0.2">
      <c r="A7579" s="14" t="s">
        <v>14506</v>
      </c>
      <c r="B7579" s="26" t="s">
        <v>14507</v>
      </c>
      <c r="C7579" s="52"/>
      <c r="D7579" s="55">
        <f t="shared" si="118"/>
        <v>0</v>
      </c>
      <c r="E7579" s="63" t="str">
        <f>HYPERLINK("https://www.sds-group.ru/product/kabel-dlya-pozharnoy-signalizatsii-kpsvevng-a-ls-1x2x0-75mm-buhta-200m-rexant-01-4861-1/", "Инфо")</f>
        <v>Инфо</v>
      </c>
      <c r="F7579" s="16" t="s">
        <v>1767</v>
      </c>
      <c r="G7579" s="15"/>
      <c r="H7579" s="15"/>
      <c r="I7579" s="15"/>
      <c r="J7579" s="16" t="s">
        <v>100</v>
      </c>
      <c r="K7579" s="15" t="s">
        <v>1094</v>
      </c>
      <c r="L7579" s="17">
        <v>200</v>
      </c>
      <c r="M7579" s="17">
        <v>200</v>
      </c>
      <c r="N7579" s="17">
        <v>200</v>
      </c>
      <c r="O7579" s="18">
        <v>60.73</v>
      </c>
      <c r="P7579" s="18">
        <v>49.78</v>
      </c>
      <c r="Q7579" s="18">
        <v>42.51</v>
      </c>
      <c r="R7579" s="18">
        <v>34.840000000000003</v>
      </c>
      <c r="S7579" s="18">
        <v>41.3</v>
      </c>
      <c r="T7579" s="18">
        <v>33.85</v>
      </c>
      <c r="U7579" s="16"/>
      <c r="V7579" s="16"/>
      <c r="W7579" s="16"/>
      <c r="X7579" s="19">
        <v>3.3000000000000002E-2</v>
      </c>
      <c r="Y7579" s="20">
        <v>5.1E-5</v>
      </c>
      <c r="Z7579" s="21">
        <v>4601004081482</v>
      </c>
    </row>
    <row r="7580" spans="1:26" ht="12" customHeight="1" outlineLevel="4" x14ac:dyDescent="0.2">
      <c r="A7580" s="14" t="s">
        <v>14508</v>
      </c>
      <c r="B7580" s="26" t="s">
        <v>14509</v>
      </c>
      <c r="C7580" s="52"/>
      <c r="D7580" s="55">
        <f t="shared" si="118"/>
        <v>0</v>
      </c>
      <c r="E7580" s="63" t="str">
        <f>HYPERLINK("https://www.sds-group.ru/product/kabel-dlya-pozharnoy-signalizatsii-kpsvevng-a-ls-1x2x1-00mm-buhta-200m-rexant-01-4862-1/", "Инфо")</f>
        <v>Инфо</v>
      </c>
      <c r="F7580" s="16" t="s">
        <v>1767</v>
      </c>
      <c r="G7580" s="15"/>
      <c r="H7580" s="15"/>
      <c r="I7580" s="15"/>
      <c r="J7580" s="22">
        <v>7200</v>
      </c>
      <c r="K7580" s="15" t="s">
        <v>1094</v>
      </c>
      <c r="L7580" s="17">
        <v>200</v>
      </c>
      <c r="M7580" s="17">
        <v>200</v>
      </c>
      <c r="N7580" s="17">
        <v>200</v>
      </c>
      <c r="O7580" s="18">
        <v>78.78</v>
      </c>
      <c r="P7580" s="18">
        <v>64.569999999999993</v>
      </c>
      <c r="Q7580" s="18">
        <v>55.15</v>
      </c>
      <c r="R7580" s="18">
        <v>45.2</v>
      </c>
      <c r="S7580" s="18">
        <v>53.57</v>
      </c>
      <c r="T7580" s="18">
        <v>43.91</v>
      </c>
      <c r="U7580" s="16"/>
      <c r="V7580" s="16"/>
      <c r="W7580" s="16"/>
      <c r="X7580" s="19">
        <v>3.6999999999999998E-2</v>
      </c>
      <c r="Y7580" s="20">
        <v>5.7000000000000003E-5</v>
      </c>
      <c r="Z7580" s="21">
        <v>4601004081499</v>
      </c>
    </row>
    <row r="7581" spans="1:26" ht="12" customHeight="1" outlineLevel="4" x14ac:dyDescent="0.2">
      <c r="A7581" s="14" t="s">
        <v>14510</v>
      </c>
      <c r="B7581" s="26" t="s">
        <v>14511</v>
      </c>
      <c r="C7581" s="52"/>
      <c r="D7581" s="55">
        <f t="shared" si="118"/>
        <v>0</v>
      </c>
      <c r="E7581" s="63" t="str">
        <f>HYPERLINK("https://www.sds-group.ru/product/kabel-dlya-pozharnoy-signalizatsii-kpsvevng-a-ls-1x2x1-50mm-buhta-200m-rexant-01-4863-1/", "Инфо")</f>
        <v>Инфо</v>
      </c>
      <c r="F7581" s="16" t="s">
        <v>1767</v>
      </c>
      <c r="G7581" s="15"/>
      <c r="H7581" s="15"/>
      <c r="I7581" s="15"/>
      <c r="J7581" s="22">
        <v>4200</v>
      </c>
      <c r="K7581" s="15" t="s">
        <v>1094</v>
      </c>
      <c r="L7581" s="17">
        <v>200</v>
      </c>
      <c r="M7581" s="17">
        <v>200</v>
      </c>
      <c r="N7581" s="17">
        <v>200</v>
      </c>
      <c r="O7581" s="18">
        <v>109.47</v>
      </c>
      <c r="P7581" s="18">
        <v>89.73</v>
      </c>
      <c r="Q7581" s="18">
        <v>76.63</v>
      </c>
      <c r="R7581" s="18">
        <v>62.81</v>
      </c>
      <c r="S7581" s="18">
        <v>74.44</v>
      </c>
      <c r="T7581" s="18">
        <v>61.02</v>
      </c>
      <c r="U7581" s="16"/>
      <c r="V7581" s="16"/>
      <c r="W7581" s="16"/>
      <c r="X7581" s="19">
        <v>4.9000000000000002E-2</v>
      </c>
      <c r="Y7581" s="20">
        <v>8.0000000000000007E-5</v>
      </c>
      <c r="Z7581" s="21">
        <v>4601004081505</v>
      </c>
    </row>
    <row r="7582" spans="1:26" ht="12" customHeight="1" outlineLevel="4" x14ac:dyDescent="0.2">
      <c r="A7582" s="14" t="s">
        <v>14512</v>
      </c>
      <c r="B7582" s="26" t="s">
        <v>14513</v>
      </c>
      <c r="C7582" s="52"/>
      <c r="D7582" s="55">
        <f t="shared" si="118"/>
        <v>0</v>
      </c>
      <c r="E7582" s="63" t="str">
        <f>HYPERLINK("https://www.sds-group.ru/product/kabel-dlya-pozharnoy-signalizatsii-kpsvevng-a-ls-2x2x0-50mm-buhta-200m-rexant-01-4865-1/", "Инфо")</f>
        <v>Инфо</v>
      </c>
      <c r="F7582" s="16" t="s">
        <v>1767</v>
      </c>
      <c r="G7582" s="15"/>
      <c r="H7582" s="15"/>
      <c r="I7582" s="15"/>
      <c r="J7582" s="16" t="s">
        <v>100</v>
      </c>
      <c r="K7582" s="15" t="s">
        <v>1094</v>
      </c>
      <c r="L7582" s="17">
        <v>200</v>
      </c>
      <c r="M7582" s="17">
        <v>200</v>
      </c>
      <c r="N7582" s="17">
        <v>200</v>
      </c>
      <c r="O7582" s="18">
        <v>81.28</v>
      </c>
      <c r="P7582" s="18">
        <v>66.62</v>
      </c>
      <c r="Q7582" s="18">
        <v>56.9</v>
      </c>
      <c r="R7582" s="18">
        <v>46.64</v>
      </c>
      <c r="S7582" s="18">
        <v>55.27</v>
      </c>
      <c r="T7582" s="18">
        <v>45.3</v>
      </c>
      <c r="U7582" s="16"/>
      <c r="V7582" s="16"/>
      <c r="W7582" s="16"/>
      <c r="X7582" s="19">
        <v>4.5999999999999999E-2</v>
      </c>
      <c r="Y7582" s="20">
        <v>8.6000000000000003E-5</v>
      </c>
      <c r="Z7582" s="21">
        <v>4601004081529</v>
      </c>
    </row>
    <row r="7583" spans="1:26" ht="12" customHeight="1" outlineLevel="4" x14ac:dyDescent="0.2">
      <c r="A7583" s="14" t="s">
        <v>14514</v>
      </c>
      <c r="B7583" s="26" t="s">
        <v>14515</v>
      </c>
      <c r="C7583" s="52"/>
      <c r="D7583" s="55">
        <f t="shared" si="118"/>
        <v>0</v>
      </c>
      <c r="E7583" s="63" t="str">
        <f>HYPERLINK("https://www.sds-group.ru/product/kabel-dlya-pozharnoy-signalizatsii-kpsvevng-a-ls-2x2x0-75mm-buhta-200m-rexant-01-4866-1/", "Инфо")</f>
        <v>Инфо</v>
      </c>
      <c r="F7583" s="16" t="s">
        <v>1767</v>
      </c>
      <c r="G7583" s="15"/>
      <c r="H7583" s="15"/>
      <c r="I7583" s="15"/>
      <c r="J7583" s="22">
        <v>1200</v>
      </c>
      <c r="K7583" s="15" t="s">
        <v>1094</v>
      </c>
      <c r="L7583" s="17">
        <v>200</v>
      </c>
      <c r="M7583" s="17">
        <v>200</v>
      </c>
      <c r="N7583" s="17">
        <v>200</v>
      </c>
      <c r="O7583" s="18">
        <v>116.31</v>
      </c>
      <c r="P7583" s="18">
        <v>95.34</v>
      </c>
      <c r="Q7583" s="18">
        <v>81.42</v>
      </c>
      <c r="R7583" s="18">
        <v>66.739999999999995</v>
      </c>
      <c r="S7583" s="18">
        <v>79.09</v>
      </c>
      <c r="T7583" s="18">
        <v>64.83</v>
      </c>
      <c r="U7583" s="16"/>
      <c r="V7583" s="16"/>
      <c r="W7583" s="16"/>
      <c r="X7583" s="19">
        <v>5.1999999999999998E-2</v>
      </c>
      <c r="Y7583" s="20">
        <v>9.0000000000000006E-5</v>
      </c>
      <c r="Z7583" s="21">
        <v>4601004081536</v>
      </c>
    </row>
    <row r="7584" spans="1:26" ht="12" customHeight="1" outlineLevel="4" x14ac:dyDescent="0.2">
      <c r="A7584" s="14" t="s">
        <v>14516</v>
      </c>
      <c r="B7584" s="26" t="s">
        <v>14517</v>
      </c>
      <c r="C7584" s="52"/>
      <c r="D7584" s="55">
        <f t="shared" si="118"/>
        <v>0</v>
      </c>
      <c r="E7584" s="63" t="str">
        <f>HYPERLINK("https://www.sds-group.ru/product/kabel-dlya-pozharnoy-signalizatsii-kpsvevng-a-ls-2x2x1-00mm-buhta-200m-rexant-01-4867-1/", "Инфо")</f>
        <v>Инфо</v>
      </c>
      <c r="F7584" s="16" t="s">
        <v>1767</v>
      </c>
      <c r="G7584" s="15"/>
      <c r="H7584" s="15"/>
      <c r="I7584" s="15"/>
      <c r="J7584" s="22">
        <v>6800</v>
      </c>
      <c r="K7584" s="15"/>
      <c r="L7584" s="17">
        <v>200</v>
      </c>
      <c r="M7584" s="17">
        <v>200</v>
      </c>
      <c r="N7584" s="17">
        <v>200</v>
      </c>
      <c r="O7584" s="18">
        <v>147.41999999999999</v>
      </c>
      <c r="P7584" s="18">
        <v>120.84</v>
      </c>
      <c r="Q7584" s="18">
        <v>103.19</v>
      </c>
      <c r="R7584" s="18">
        <v>84.58</v>
      </c>
      <c r="S7584" s="18">
        <v>100.25</v>
      </c>
      <c r="T7584" s="18">
        <v>82.17</v>
      </c>
      <c r="U7584" s="16"/>
      <c r="V7584" s="16"/>
      <c r="W7584" s="16"/>
      <c r="X7584" s="19">
        <v>6.0999999999999999E-2</v>
      </c>
      <c r="Y7584" s="20">
        <v>8.2999999999999998E-5</v>
      </c>
      <c r="Z7584" s="21">
        <v>4601004081543</v>
      </c>
    </row>
    <row r="7585" spans="1:26" ht="12" customHeight="1" outlineLevel="4" x14ac:dyDescent="0.2">
      <c r="A7585" s="14" t="s">
        <v>14518</v>
      </c>
      <c r="B7585" s="26" t="s">
        <v>14519</v>
      </c>
      <c r="C7585" s="52"/>
      <c r="D7585" s="55">
        <f t="shared" si="118"/>
        <v>0</v>
      </c>
      <c r="E7585" s="63" t="str">
        <f>HYPERLINK("https://www.sds-group.ru/product/kabel-dlya-pozharnoy-signalizatsii-kpsvevng-a-ls-2x2x1-50mm-buhta-200m-rexant-01-4868-1/", "Инфо")</f>
        <v>Инфо</v>
      </c>
      <c r="F7585" s="16" t="s">
        <v>1767</v>
      </c>
      <c r="G7585" s="15"/>
      <c r="H7585" s="15"/>
      <c r="I7585" s="15" t="s">
        <v>14420</v>
      </c>
      <c r="J7585" s="16" t="s">
        <v>100</v>
      </c>
      <c r="K7585" s="15"/>
      <c r="L7585" s="17">
        <v>200</v>
      </c>
      <c r="M7585" s="17">
        <v>200</v>
      </c>
      <c r="N7585" s="17">
        <v>200</v>
      </c>
      <c r="O7585" s="18">
        <v>193.46</v>
      </c>
      <c r="P7585" s="18">
        <v>158.57</v>
      </c>
      <c r="Q7585" s="18">
        <v>135.41999999999999</v>
      </c>
      <c r="R7585" s="18">
        <v>111</v>
      </c>
      <c r="S7585" s="18">
        <v>131.55000000000001</v>
      </c>
      <c r="T7585" s="18">
        <v>107.83</v>
      </c>
      <c r="U7585" s="16"/>
      <c r="V7585" s="16"/>
      <c r="W7585" s="16"/>
      <c r="X7585" s="19">
        <v>8.8999999999999996E-2</v>
      </c>
      <c r="Y7585" s="20">
        <v>6.7000000000000002E-5</v>
      </c>
      <c r="Z7585" s="21">
        <v>4601004081550</v>
      </c>
    </row>
    <row r="7586" spans="1:26" ht="12.95" customHeight="1" outlineLevel="3" x14ac:dyDescent="0.2">
      <c r="A7586" s="82" t="s">
        <v>14520</v>
      </c>
      <c r="B7586" s="82"/>
      <c r="C7586" s="83"/>
      <c r="D7586" s="59"/>
      <c r="E7586" s="69"/>
      <c r="F7586" s="23"/>
      <c r="G7586" s="23"/>
      <c r="H7586" s="23"/>
      <c r="I7586" s="23"/>
      <c r="J7586" s="23"/>
      <c r="K7586" s="23"/>
      <c r="L7586" s="23"/>
      <c r="M7586" s="23"/>
      <c r="N7586" s="23"/>
      <c r="O7586" s="23"/>
      <c r="P7586" s="23"/>
      <c r="Q7586" s="23"/>
      <c r="R7586" s="23"/>
      <c r="S7586" s="23"/>
      <c r="T7586" s="23"/>
      <c r="U7586" s="23"/>
      <c r="V7586" s="23"/>
      <c r="W7586" s="23"/>
      <c r="X7586" s="23"/>
      <c r="Y7586" s="23"/>
      <c r="Z7586" s="23"/>
    </row>
    <row r="7587" spans="1:26" ht="12" customHeight="1" outlineLevel="4" x14ac:dyDescent="0.2">
      <c r="A7587" s="14" t="s">
        <v>14521</v>
      </c>
      <c r="B7587" s="26" t="s">
        <v>14522</v>
      </c>
      <c r="C7587" s="52"/>
      <c r="D7587" s="55">
        <f t="shared" si="118"/>
        <v>0</v>
      </c>
      <c r="E7587" s="63" t="str">
        <f>HYPERLINK("https://www.sds-group.ru/product/kabel-dlya-pozharnoy-signalizatsii-kpsvvng-a-lsltx-1x2x0-50mm-buhta-200m-rexant-01-4870/", "Инфо")</f>
        <v>Инфо</v>
      </c>
      <c r="F7587" s="16" t="s">
        <v>1767</v>
      </c>
      <c r="G7587" s="15"/>
      <c r="H7587" s="15"/>
      <c r="I7587" s="15"/>
      <c r="J7587" s="22">
        <v>11200</v>
      </c>
      <c r="K7587" s="15"/>
      <c r="L7587" s="17">
        <v>200</v>
      </c>
      <c r="M7587" s="17">
        <v>200</v>
      </c>
      <c r="N7587" s="17">
        <v>200</v>
      </c>
      <c r="O7587" s="18">
        <v>45.94</v>
      </c>
      <c r="P7587" s="18">
        <v>37.659999999999997</v>
      </c>
      <c r="Q7587" s="18">
        <v>32.159999999999997</v>
      </c>
      <c r="R7587" s="18">
        <v>26.36</v>
      </c>
      <c r="S7587" s="18">
        <v>31.24</v>
      </c>
      <c r="T7587" s="18">
        <v>25.61</v>
      </c>
      <c r="U7587" s="16"/>
      <c r="V7587" s="16"/>
      <c r="W7587" s="16"/>
      <c r="X7587" s="19">
        <v>2.5000000000000001E-2</v>
      </c>
      <c r="Y7587" s="20">
        <v>4.6999999999999997E-5</v>
      </c>
      <c r="Z7587" s="21">
        <v>4601004081574</v>
      </c>
    </row>
    <row r="7588" spans="1:26" ht="12" customHeight="1" outlineLevel="4" x14ac:dyDescent="0.2">
      <c r="A7588" s="14" t="s">
        <v>14523</v>
      </c>
      <c r="B7588" s="26" t="s">
        <v>14524</v>
      </c>
      <c r="C7588" s="52"/>
      <c r="D7588" s="55">
        <f t="shared" si="118"/>
        <v>0</v>
      </c>
      <c r="E7588" s="63" t="str">
        <f>HYPERLINK("https://www.sds-group.ru/product/kabel-dlya-pozharnoy-signalizatsii-kpsvvng-a-lsltx-1x2x0-75mm-buhta-200m-rexant-01-4871/", "Инфо")</f>
        <v>Инфо</v>
      </c>
      <c r="F7588" s="16" t="s">
        <v>1767</v>
      </c>
      <c r="G7588" s="15"/>
      <c r="H7588" s="15"/>
      <c r="I7588" s="15"/>
      <c r="J7588" s="22">
        <v>6800</v>
      </c>
      <c r="K7588" s="15" t="s">
        <v>1381</v>
      </c>
      <c r="L7588" s="17">
        <v>200</v>
      </c>
      <c r="M7588" s="17">
        <v>200</v>
      </c>
      <c r="N7588" s="17">
        <v>200</v>
      </c>
      <c r="O7588" s="18">
        <v>68.47</v>
      </c>
      <c r="P7588" s="18">
        <v>56.12</v>
      </c>
      <c r="Q7588" s="18">
        <v>47.93</v>
      </c>
      <c r="R7588" s="18">
        <v>39.29</v>
      </c>
      <c r="S7588" s="18">
        <v>46.56</v>
      </c>
      <c r="T7588" s="18">
        <v>38.159999999999997</v>
      </c>
      <c r="U7588" s="16"/>
      <c r="V7588" s="16"/>
      <c r="W7588" s="16"/>
      <c r="X7588" s="19">
        <v>2.9000000000000001E-2</v>
      </c>
      <c r="Y7588" s="20">
        <v>4.8999999999999998E-5</v>
      </c>
      <c r="Z7588" s="21">
        <v>4601004081581</v>
      </c>
    </row>
    <row r="7589" spans="1:26" ht="12" customHeight="1" outlineLevel="4" x14ac:dyDescent="0.2">
      <c r="A7589" s="14" t="s">
        <v>14525</v>
      </c>
      <c r="B7589" s="26" t="s">
        <v>14526</v>
      </c>
      <c r="C7589" s="52"/>
      <c r="D7589" s="55">
        <f t="shared" si="118"/>
        <v>0</v>
      </c>
      <c r="E7589" s="63" t="str">
        <f>HYPERLINK("https://www.sds-group.ru/product/kabel-dlya-pozharnoy-signalizatsii-kpsvvng-a-lsltx-1x2x1-00mm-buhta-200m-rexant-01-4872/", "Инфо")</f>
        <v>Инфо</v>
      </c>
      <c r="F7589" s="16" t="s">
        <v>1767</v>
      </c>
      <c r="G7589" s="15"/>
      <c r="H7589" s="15"/>
      <c r="I7589" s="15"/>
      <c r="J7589" s="22">
        <v>3600</v>
      </c>
      <c r="K7589" s="15" t="s">
        <v>1381</v>
      </c>
      <c r="L7589" s="17">
        <v>200</v>
      </c>
      <c r="M7589" s="17">
        <v>200</v>
      </c>
      <c r="N7589" s="17">
        <v>200</v>
      </c>
      <c r="O7589" s="18">
        <v>83.15</v>
      </c>
      <c r="P7589" s="18">
        <v>68.16</v>
      </c>
      <c r="Q7589" s="18">
        <v>58.21</v>
      </c>
      <c r="R7589" s="18">
        <v>47.71</v>
      </c>
      <c r="S7589" s="18">
        <v>56.54</v>
      </c>
      <c r="T7589" s="18">
        <v>46.34</v>
      </c>
      <c r="U7589" s="16"/>
      <c r="V7589" s="16"/>
      <c r="W7589" s="16"/>
      <c r="X7589" s="19">
        <v>3.5000000000000003E-2</v>
      </c>
      <c r="Y7589" s="20">
        <v>7.7000000000000001E-5</v>
      </c>
      <c r="Z7589" s="21">
        <v>4601004081598</v>
      </c>
    </row>
    <row r="7590" spans="1:26" ht="12" customHeight="1" outlineLevel="4" x14ac:dyDescent="0.2">
      <c r="A7590" s="14" t="s">
        <v>14527</v>
      </c>
      <c r="B7590" s="26" t="s">
        <v>14528</v>
      </c>
      <c r="C7590" s="52"/>
      <c r="D7590" s="55">
        <f t="shared" si="118"/>
        <v>0</v>
      </c>
      <c r="E7590" s="63" t="str">
        <f>HYPERLINK("https://www.sds-group.ru/product/kabel-dlya-pozharnoy-signalizatsii-kpsvvng-a-lsltx-1x2x1-50mm-buhta-200m-rexant-01-4873/", "Инфо")</f>
        <v>Инфо</v>
      </c>
      <c r="F7590" s="16" t="s">
        <v>1767</v>
      </c>
      <c r="G7590" s="15"/>
      <c r="H7590" s="15"/>
      <c r="I7590" s="15"/>
      <c r="J7590" s="22">
        <v>9600</v>
      </c>
      <c r="K7590" s="15"/>
      <c r="L7590" s="17">
        <v>200</v>
      </c>
      <c r="M7590" s="17">
        <v>200</v>
      </c>
      <c r="N7590" s="17">
        <v>200</v>
      </c>
      <c r="O7590" s="18">
        <v>112.51</v>
      </c>
      <c r="P7590" s="18">
        <v>92.22</v>
      </c>
      <c r="Q7590" s="18">
        <v>78.760000000000005</v>
      </c>
      <c r="R7590" s="18">
        <v>64.56</v>
      </c>
      <c r="S7590" s="18">
        <v>76.510000000000005</v>
      </c>
      <c r="T7590" s="18">
        <v>62.71</v>
      </c>
      <c r="U7590" s="16"/>
      <c r="V7590" s="16"/>
      <c r="W7590" s="16"/>
      <c r="X7590" s="19">
        <v>4.4999999999999998E-2</v>
      </c>
      <c r="Y7590" s="20">
        <v>6.3999999999999997E-5</v>
      </c>
      <c r="Z7590" s="21">
        <v>4601004081604</v>
      </c>
    </row>
    <row r="7591" spans="1:26" ht="12" customHeight="1" outlineLevel="4" x14ac:dyDescent="0.2">
      <c r="A7591" s="14" t="s">
        <v>14529</v>
      </c>
      <c r="B7591" s="26" t="s">
        <v>14530</v>
      </c>
      <c r="C7591" s="52"/>
      <c r="D7591" s="55">
        <f t="shared" si="118"/>
        <v>0</v>
      </c>
      <c r="E7591" s="63" t="str">
        <f>HYPERLINK("https://www.sds-group.ru/product/kabel-dlya-pozharnoy-signalizatsii-kpsvvng-a-lsltx-2x2x0-50mm-buhta-200m-rexant-01-4875/", "Инфо")</f>
        <v>Инфо</v>
      </c>
      <c r="F7591" s="16" t="s">
        <v>1767</v>
      </c>
      <c r="G7591" s="15"/>
      <c r="H7591" s="15"/>
      <c r="I7591" s="15"/>
      <c r="J7591" s="16" t="s">
        <v>100</v>
      </c>
      <c r="K7591" s="15" t="s">
        <v>1381</v>
      </c>
      <c r="L7591" s="17">
        <v>200</v>
      </c>
      <c r="M7591" s="17">
        <v>200</v>
      </c>
      <c r="N7591" s="17">
        <v>200</v>
      </c>
      <c r="O7591" s="18">
        <v>87.15</v>
      </c>
      <c r="P7591" s="18">
        <v>71.430000000000007</v>
      </c>
      <c r="Q7591" s="18">
        <v>61.01</v>
      </c>
      <c r="R7591" s="18">
        <v>50.01</v>
      </c>
      <c r="S7591" s="18">
        <v>59.26</v>
      </c>
      <c r="T7591" s="18">
        <v>48.57</v>
      </c>
      <c r="U7591" s="16"/>
      <c r="V7591" s="16"/>
      <c r="W7591" s="16"/>
      <c r="X7591" s="19">
        <v>3.9E-2</v>
      </c>
      <c r="Y7591" s="20">
        <v>5.3000000000000001E-5</v>
      </c>
      <c r="Z7591" s="21">
        <v>4601004081628</v>
      </c>
    </row>
    <row r="7592" spans="1:26" ht="12" customHeight="1" outlineLevel="4" x14ac:dyDescent="0.2">
      <c r="A7592" s="14" t="s">
        <v>14531</v>
      </c>
      <c r="B7592" s="26" t="s">
        <v>14532</v>
      </c>
      <c r="C7592" s="52"/>
      <c r="D7592" s="55">
        <f t="shared" si="118"/>
        <v>0</v>
      </c>
      <c r="E7592" s="63" t="str">
        <f>HYPERLINK("https://www.sds-group.ru/product/kabel-dlya-pozharnoy-signalizatsii-kpsvvng-a-lsltx-2x2x0-75mm-buhta-200m-rexant-01-4876/", "Инфо")</f>
        <v>Инфо</v>
      </c>
      <c r="F7592" s="16" t="s">
        <v>1767</v>
      </c>
      <c r="G7592" s="15"/>
      <c r="H7592" s="15"/>
      <c r="I7592" s="15"/>
      <c r="J7592" s="22">
        <v>2400</v>
      </c>
      <c r="K7592" s="15"/>
      <c r="L7592" s="17">
        <v>200</v>
      </c>
      <c r="M7592" s="17">
        <v>200</v>
      </c>
      <c r="N7592" s="17">
        <v>200</v>
      </c>
      <c r="O7592" s="18">
        <v>121.22</v>
      </c>
      <c r="P7592" s="18">
        <v>99.36</v>
      </c>
      <c r="Q7592" s="18">
        <v>84.85</v>
      </c>
      <c r="R7592" s="18">
        <v>69.55</v>
      </c>
      <c r="S7592" s="18">
        <v>82.43</v>
      </c>
      <c r="T7592" s="18">
        <v>67.569999999999993</v>
      </c>
      <c r="U7592" s="16"/>
      <c r="V7592" s="16"/>
      <c r="W7592" s="16"/>
      <c r="X7592" s="19">
        <v>4.8000000000000001E-2</v>
      </c>
      <c r="Y7592" s="20">
        <v>7.2999999999999999E-5</v>
      </c>
      <c r="Z7592" s="21">
        <v>4601004081635</v>
      </c>
    </row>
    <row r="7593" spans="1:26" ht="12" customHeight="1" outlineLevel="4" x14ac:dyDescent="0.2">
      <c r="A7593" s="14" t="s">
        <v>14533</v>
      </c>
      <c r="B7593" s="26" t="s">
        <v>14534</v>
      </c>
      <c r="C7593" s="52"/>
      <c r="D7593" s="55">
        <f t="shared" si="118"/>
        <v>0</v>
      </c>
      <c r="E7593" s="63" t="str">
        <f>HYPERLINK("https://www.sds-group.ru/product/kabel-dlya-pozharnoy-signalizatsii-kpsvevng-a-lsltx-1x2x0-50mm-buhta-200m-rexant-01-4870-1/", "Инфо")</f>
        <v>Инфо</v>
      </c>
      <c r="F7593" s="16" t="s">
        <v>1767</v>
      </c>
      <c r="G7593" s="15"/>
      <c r="H7593" s="15"/>
      <c r="I7593" s="15"/>
      <c r="J7593" s="22">
        <v>2800</v>
      </c>
      <c r="K7593" s="15" t="s">
        <v>1381</v>
      </c>
      <c r="L7593" s="17">
        <v>200</v>
      </c>
      <c r="M7593" s="17">
        <v>200</v>
      </c>
      <c r="N7593" s="17">
        <v>200</v>
      </c>
      <c r="O7593" s="18">
        <v>51.94</v>
      </c>
      <c r="P7593" s="18">
        <v>42.57</v>
      </c>
      <c r="Q7593" s="18">
        <v>36.36</v>
      </c>
      <c r="R7593" s="18">
        <v>29.8</v>
      </c>
      <c r="S7593" s="18">
        <v>35.32</v>
      </c>
      <c r="T7593" s="18">
        <v>28.95</v>
      </c>
      <c r="U7593" s="16"/>
      <c r="V7593" s="16"/>
      <c r="W7593" s="16"/>
      <c r="X7593" s="19">
        <v>2.8000000000000001E-2</v>
      </c>
      <c r="Y7593" s="20">
        <v>5.1999999999999997E-5</v>
      </c>
      <c r="Z7593" s="21">
        <v>4601004081673</v>
      </c>
    </row>
    <row r="7594" spans="1:26" ht="12" customHeight="1" outlineLevel="4" x14ac:dyDescent="0.2">
      <c r="A7594" s="14" t="s">
        <v>14535</v>
      </c>
      <c r="B7594" s="26" t="s">
        <v>14536</v>
      </c>
      <c r="C7594" s="52"/>
      <c r="D7594" s="55">
        <f t="shared" si="118"/>
        <v>0</v>
      </c>
      <c r="E7594" s="63" t="str">
        <f>HYPERLINK("https://www.sds-group.ru/product/kabel-dlya-pozharnoy-signalizatsii-kpsvevng-a-lsltx-1x2x0-75mm-buhta-200m-rexant-01-4871-1/", "Инфо")</f>
        <v>Инфо</v>
      </c>
      <c r="F7594" s="16" t="s">
        <v>1767</v>
      </c>
      <c r="G7594" s="15"/>
      <c r="H7594" s="15"/>
      <c r="I7594" s="15"/>
      <c r="J7594" s="22">
        <v>4800</v>
      </c>
      <c r="K7594" s="15"/>
      <c r="L7594" s="17">
        <v>200</v>
      </c>
      <c r="M7594" s="17">
        <v>200</v>
      </c>
      <c r="N7594" s="17">
        <v>200</v>
      </c>
      <c r="O7594" s="18">
        <v>71.819999999999993</v>
      </c>
      <c r="P7594" s="18">
        <v>58.87</v>
      </c>
      <c r="Q7594" s="18">
        <v>50.27</v>
      </c>
      <c r="R7594" s="18">
        <v>41.2</v>
      </c>
      <c r="S7594" s="18">
        <v>48.84</v>
      </c>
      <c r="T7594" s="18">
        <v>40.03</v>
      </c>
      <c r="U7594" s="16"/>
      <c r="V7594" s="16"/>
      <c r="W7594" s="16"/>
      <c r="X7594" s="19">
        <v>3.2000000000000001E-2</v>
      </c>
      <c r="Y7594" s="20">
        <v>5.5000000000000002E-5</v>
      </c>
      <c r="Z7594" s="21">
        <v>4601004081680</v>
      </c>
    </row>
    <row r="7595" spans="1:26" ht="12" customHeight="1" outlineLevel="4" x14ac:dyDescent="0.2">
      <c r="A7595" s="14" t="s">
        <v>14537</v>
      </c>
      <c r="B7595" s="26" t="s">
        <v>14538</v>
      </c>
      <c r="C7595" s="52"/>
      <c r="D7595" s="55">
        <f t="shared" si="118"/>
        <v>0</v>
      </c>
      <c r="E7595" s="63" t="str">
        <f>HYPERLINK("https://www.sds-group.ru/product/kabel-dlya-pozharnoy-signalizatsii-kpsvevng-a-lsltx-2x2x0-50mm-buhta-200m-rexant-01-4875-1/", "Инфо")</f>
        <v>Инфо</v>
      </c>
      <c r="F7595" s="16" t="s">
        <v>1767</v>
      </c>
      <c r="G7595" s="15"/>
      <c r="H7595" s="15"/>
      <c r="I7595" s="15"/>
      <c r="J7595" s="17">
        <v>800</v>
      </c>
      <c r="K7595" s="15" t="s">
        <v>1094</v>
      </c>
      <c r="L7595" s="17">
        <v>200</v>
      </c>
      <c r="M7595" s="17">
        <v>200</v>
      </c>
      <c r="N7595" s="17">
        <v>200</v>
      </c>
      <c r="O7595" s="18">
        <v>91.7</v>
      </c>
      <c r="P7595" s="18">
        <v>75.16</v>
      </c>
      <c r="Q7595" s="18">
        <v>64.19</v>
      </c>
      <c r="R7595" s="18">
        <v>52.61</v>
      </c>
      <c r="S7595" s="18">
        <v>62.36</v>
      </c>
      <c r="T7595" s="18">
        <v>51.11</v>
      </c>
      <c r="U7595" s="16"/>
      <c r="V7595" s="16"/>
      <c r="W7595" s="16"/>
      <c r="X7595" s="19">
        <v>4.7E-2</v>
      </c>
      <c r="Y7595" s="20">
        <v>9.7999999999999997E-5</v>
      </c>
      <c r="Z7595" s="21">
        <v>4601004081727</v>
      </c>
    </row>
    <row r="7596" spans="1:26" ht="12" customHeight="1" outlineLevel="4" x14ac:dyDescent="0.2">
      <c r="A7596" s="14" t="s">
        <v>14539</v>
      </c>
      <c r="B7596" s="26" t="s">
        <v>14540</v>
      </c>
      <c r="C7596" s="52"/>
      <c r="D7596" s="55">
        <f t="shared" si="118"/>
        <v>0</v>
      </c>
      <c r="E7596" s="63" t="str">
        <f>HYPERLINK("https://www.sds-group.ru/product/kabel-dlya-pozharnoy-signalizatsii-kpsvevng-a-lsltx-2x2x0-75mm-buhta-200m-rexant-01-4876-1/", "Инфо")</f>
        <v>Инфо</v>
      </c>
      <c r="F7596" s="16" t="s">
        <v>1767</v>
      </c>
      <c r="G7596" s="15"/>
      <c r="H7596" s="15"/>
      <c r="I7596" s="15"/>
      <c r="J7596" s="22">
        <v>3000</v>
      </c>
      <c r="K7596" s="15" t="s">
        <v>1381</v>
      </c>
      <c r="L7596" s="17">
        <v>200</v>
      </c>
      <c r="M7596" s="17">
        <v>200</v>
      </c>
      <c r="N7596" s="17">
        <v>200</v>
      </c>
      <c r="O7596" s="18">
        <v>132.75</v>
      </c>
      <c r="P7596" s="18">
        <v>108.81</v>
      </c>
      <c r="Q7596" s="18">
        <v>92.93</v>
      </c>
      <c r="R7596" s="18">
        <v>76.17</v>
      </c>
      <c r="S7596" s="18">
        <v>90.27</v>
      </c>
      <c r="T7596" s="18">
        <v>73.989999999999995</v>
      </c>
      <c r="U7596" s="16"/>
      <c r="V7596" s="16"/>
      <c r="W7596" s="16"/>
      <c r="X7596" s="19">
        <v>5.7000000000000002E-2</v>
      </c>
      <c r="Y7596" s="20">
        <v>8.7000000000000001E-5</v>
      </c>
      <c r="Z7596" s="21">
        <v>4601004081734</v>
      </c>
    </row>
    <row r="7597" spans="1:26" ht="12.95" customHeight="1" outlineLevel="3" x14ac:dyDescent="0.2">
      <c r="A7597" s="82" t="s">
        <v>14541</v>
      </c>
      <c r="B7597" s="82"/>
      <c r="C7597" s="83"/>
      <c r="D7597" s="59"/>
      <c r="E7597" s="69"/>
      <c r="F7597" s="23"/>
      <c r="G7597" s="23"/>
      <c r="H7597" s="23"/>
      <c r="I7597" s="23"/>
      <c r="J7597" s="23"/>
      <c r="K7597" s="23"/>
      <c r="L7597" s="23"/>
      <c r="M7597" s="23"/>
      <c r="N7597" s="23"/>
      <c r="O7597" s="23"/>
      <c r="P7597" s="23"/>
      <c r="Q7597" s="23"/>
      <c r="R7597" s="23"/>
      <c r="S7597" s="23"/>
      <c r="T7597" s="23"/>
      <c r="U7597" s="23"/>
      <c r="V7597" s="23"/>
      <c r="W7597" s="23"/>
      <c r="X7597" s="23"/>
      <c r="Y7597" s="23"/>
      <c r="Z7597" s="23"/>
    </row>
    <row r="7598" spans="1:26" ht="12" customHeight="1" outlineLevel="4" x14ac:dyDescent="0.2">
      <c r="A7598" s="14" t="s">
        <v>14542</v>
      </c>
      <c r="B7598" s="26" t="s">
        <v>14543</v>
      </c>
      <c r="C7598" s="52"/>
      <c r="D7598" s="55">
        <f t="shared" si="118"/>
        <v>0</v>
      </c>
      <c r="E7598" s="63" t="str">
        <f>HYPERLINK("https://www.sds-group.ru/product/kabel-ognestoykiy-kpsng-a-frls-1x2x0-20mm-buhta-200m-rexant-01-4900/", "Инфо")</f>
        <v>Инфо</v>
      </c>
      <c r="F7598" s="16" t="s">
        <v>1767</v>
      </c>
      <c r="G7598" s="15"/>
      <c r="H7598" s="15"/>
      <c r="I7598" s="15"/>
      <c r="J7598" s="16" t="s">
        <v>100</v>
      </c>
      <c r="K7598" s="15" t="s">
        <v>1381</v>
      </c>
      <c r="L7598" s="17">
        <v>200</v>
      </c>
      <c r="M7598" s="17">
        <v>200</v>
      </c>
      <c r="N7598" s="17">
        <v>200</v>
      </c>
      <c r="O7598" s="18">
        <v>23.65</v>
      </c>
      <c r="P7598" s="18">
        <v>19.39</v>
      </c>
      <c r="Q7598" s="18">
        <v>16.559999999999999</v>
      </c>
      <c r="R7598" s="18">
        <v>13.57</v>
      </c>
      <c r="S7598" s="18">
        <v>16.079999999999998</v>
      </c>
      <c r="T7598" s="18">
        <v>13.18</v>
      </c>
      <c r="U7598" s="16"/>
      <c r="V7598" s="16"/>
      <c r="W7598" s="16"/>
      <c r="X7598" s="19">
        <v>1.4E-2</v>
      </c>
      <c r="Y7598" s="20">
        <v>5.7000000000000003E-5</v>
      </c>
      <c r="Z7598" s="21">
        <v>4601004081772</v>
      </c>
    </row>
    <row r="7599" spans="1:26" ht="12" customHeight="1" outlineLevel="4" x14ac:dyDescent="0.2">
      <c r="A7599" s="14" t="s">
        <v>14544</v>
      </c>
      <c r="B7599" s="26" t="s">
        <v>14545</v>
      </c>
      <c r="C7599" s="52"/>
      <c r="D7599" s="55">
        <f t="shared" si="118"/>
        <v>0</v>
      </c>
      <c r="E7599" s="63" t="str">
        <f>HYPERLINK("https://www.sds-group.ru/product/kabel-ognestoykiy-kpsng-a-frls-1x2x0-35mm-buhta-200m-rexant-01-4901/", "Инфо")</f>
        <v>Инфо</v>
      </c>
      <c r="F7599" s="16" t="s">
        <v>1767</v>
      </c>
      <c r="G7599" s="15"/>
      <c r="H7599" s="15"/>
      <c r="I7599" s="15" t="s">
        <v>14420</v>
      </c>
      <c r="J7599" s="17">
        <v>200</v>
      </c>
      <c r="K7599" s="15"/>
      <c r="L7599" s="17">
        <v>200</v>
      </c>
      <c r="M7599" s="17">
        <v>200</v>
      </c>
      <c r="N7599" s="17">
        <v>200</v>
      </c>
      <c r="O7599" s="18">
        <v>31.96</v>
      </c>
      <c r="P7599" s="18">
        <v>26.2</v>
      </c>
      <c r="Q7599" s="18">
        <v>22.37</v>
      </c>
      <c r="R7599" s="18">
        <v>18.34</v>
      </c>
      <c r="S7599" s="18">
        <v>21.73</v>
      </c>
      <c r="T7599" s="18">
        <v>17.809999999999999</v>
      </c>
      <c r="U7599" s="16"/>
      <c r="V7599" s="16"/>
      <c r="W7599" s="16"/>
      <c r="X7599" s="19">
        <v>2.1999999999999999E-2</v>
      </c>
      <c r="Y7599" s="20">
        <v>5.3999999999999998E-5</v>
      </c>
      <c r="Z7599" s="21">
        <v>4601004080348</v>
      </c>
    </row>
    <row r="7600" spans="1:26" ht="12" customHeight="1" outlineLevel="4" x14ac:dyDescent="0.2">
      <c r="A7600" s="14" t="s">
        <v>14546</v>
      </c>
      <c r="B7600" s="26" t="s">
        <v>14547</v>
      </c>
      <c r="C7600" s="52"/>
      <c r="D7600" s="55">
        <f t="shared" si="118"/>
        <v>0</v>
      </c>
      <c r="E7600" s="63" t="str">
        <f>HYPERLINK("https://www.sds-group.ru/product/kabel-ognestoykiy-kpsng-a-frls-1x2x0-50mm-buhta-200m-rexant-01-4902/", "Инфо")</f>
        <v>Инфо</v>
      </c>
      <c r="F7600" s="16" t="s">
        <v>1767</v>
      </c>
      <c r="G7600" s="15"/>
      <c r="H7600" s="15"/>
      <c r="I7600" s="15"/>
      <c r="J7600" s="22">
        <v>15740</v>
      </c>
      <c r="K7600" s="15" t="s">
        <v>1094</v>
      </c>
      <c r="L7600" s="17">
        <v>200</v>
      </c>
      <c r="M7600" s="17">
        <v>200</v>
      </c>
      <c r="N7600" s="17">
        <v>200</v>
      </c>
      <c r="O7600" s="18">
        <v>37.96</v>
      </c>
      <c r="P7600" s="18">
        <v>31.11</v>
      </c>
      <c r="Q7600" s="18">
        <v>26.57</v>
      </c>
      <c r="R7600" s="18">
        <v>21.78</v>
      </c>
      <c r="S7600" s="18">
        <v>25.81</v>
      </c>
      <c r="T7600" s="18">
        <v>21.16</v>
      </c>
      <c r="U7600" s="16"/>
      <c r="V7600" s="16"/>
      <c r="W7600" s="16"/>
      <c r="X7600" s="19">
        <v>2.1999999999999999E-2</v>
      </c>
      <c r="Y7600" s="20">
        <v>4.5000000000000003E-5</v>
      </c>
      <c r="Z7600" s="21">
        <v>4601004080355</v>
      </c>
    </row>
    <row r="7601" spans="1:26" ht="12" customHeight="1" outlineLevel="4" x14ac:dyDescent="0.2">
      <c r="A7601" s="14" t="s">
        <v>14548</v>
      </c>
      <c r="B7601" s="26" t="s">
        <v>14549</v>
      </c>
      <c r="C7601" s="52"/>
      <c r="D7601" s="55">
        <f t="shared" si="118"/>
        <v>0</v>
      </c>
      <c r="E7601" s="63" t="str">
        <f>HYPERLINK("https://www.sds-group.ru/product/kabel-ognestoykiy-kpsng-a-frls-1x2x1-00mm-buhta-200m-rexant-01-4904/", "Инфо")</f>
        <v>Инфо</v>
      </c>
      <c r="F7601" s="16" t="s">
        <v>1767</v>
      </c>
      <c r="G7601" s="15"/>
      <c r="H7601" s="15"/>
      <c r="I7601" s="15"/>
      <c r="J7601" s="22">
        <v>7400</v>
      </c>
      <c r="K7601" s="15" t="s">
        <v>1094</v>
      </c>
      <c r="L7601" s="17">
        <v>200</v>
      </c>
      <c r="M7601" s="17">
        <v>200</v>
      </c>
      <c r="N7601" s="17">
        <v>200</v>
      </c>
      <c r="O7601" s="18">
        <v>66.22</v>
      </c>
      <c r="P7601" s="18">
        <v>54.28</v>
      </c>
      <c r="Q7601" s="18">
        <v>46.35</v>
      </c>
      <c r="R7601" s="18">
        <v>37.99</v>
      </c>
      <c r="S7601" s="18">
        <v>45.03</v>
      </c>
      <c r="T7601" s="18">
        <v>36.909999999999997</v>
      </c>
      <c r="U7601" s="16"/>
      <c r="V7601" s="16"/>
      <c r="W7601" s="16"/>
      <c r="X7601" s="19">
        <v>3.6999999999999998E-2</v>
      </c>
      <c r="Y7601" s="20">
        <v>6.3E-5</v>
      </c>
      <c r="Z7601" s="21">
        <v>4601004080379</v>
      </c>
    </row>
    <row r="7602" spans="1:26" ht="12" customHeight="1" outlineLevel="4" x14ac:dyDescent="0.2">
      <c r="A7602" s="14" t="s">
        <v>14550</v>
      </c>
      <c r="B7602" s="26" t="s">
        <v>14551</v>
      </c>
      <c r="C7602" s="52"/>
      <c r="D7602" s="55">
        <f t="shared" si="118"/>
        <v>0</v>
      </c>
      <c r="E7602" s="63" t="str">
        <f>HYPERLINK("https://www.sds-group.ru/product/kabel-ognestoykiy-kpsng-a-frls-1x2x1-50mm-buhta-200m-rexant-01-4905/", "Инфо")</f>
        <v>Инфо</v>
      </c>
      <c r="F7602" s="16" t="s">
        <v>1767</v>
      </c>
      <c r="G7602" s="15"/>
      <c r="H7602" s="15"/>
      <c r="I7602" s="15"/>
      <c r="J7602" s="22">
        <v>4800</v>
      </c>
      <c r="K7602" s="15"/>
      <c r="L7602" s="17">
        <v>200</v>
      </c>
      <c r="M7602" s="17">
        <v>200</v>
      </c>
      <c r="N7602" s="17">
        <v>200</v>
      </c>
      <c r="O7602" s="18">
        <v>90.98</v>
      </c>
      <c r="P7602" s="18">
        <v>74.569999999999993</v>
      </c>
      <c r="Q7602" s="18">
        <v>63.69</v>
      </c>
      <c r="R7602" s="18">
        <v>52.2</v>
      </c>
      <c r="S7602" s="18">
        <v>61.87</v>
      </c>
      <c r="T7602" s="18">
        <v>50.71</v>
      </c>
      <c r="U7602" s="16"/>
      <c r="V7602" s="16"/>
      <c r="W7602" s="16"/>
      <c r="X7602" s="19">
        <v>4.3999999999999997E-2</v>
      </c>
      <c r="Y7602" s="20">
        <v>7.2000000000000002E-5</v>
      </c>
      <c r="Z7602" s="21">
        <v>4601004080386</v>
      </c>
    </row>
    <row r="7603" spans="1:26" ht="12" customHeight="1" outlineLevel="4" x14ac:dyDescent="0.2">
      <c r="A7603" s="14" t="s">
        <v>14552</v>
      </c>
      <c r="B7603" s="26" t="s">
        <v>14553</v>
      </c>
      <c r="C7603" s="52"/>
      <c r="D7603" s="55">
        <f t="shared" si="118"/>
        <v>0</v>
      </c>
      <c r="E7603" s="63" t="str">
        <f>HYPERLINK("https://www.sds-group.ru/product/kabel-ognestoykiy-kpsng-a-frls-1h2h0-75mm-buhta-200m-rexant-01-4903/", "Инфо")</f>
        <v>Инфо</v>
      </c>
      <c r="F7603" s="16" t="s">
        <v>1767</v>
      </c>
      <c r="G7603" s="15"/>
      <c r="H7603" s="15"/>
      <c r="I7603" s="15"/>
      <c r="J7603" s="16" t="s">
        <v>100</v>
      </c>
      <c r="K7603" s="15" t="s">
        <v>1381</v>
      </c>
      <c r="L7603" s="17">
        <v>200</v>
      </c>
      <c r="M7603" s="17">
        <v>200</v>
      </c>
      <c r="N7603" s="17">
        <v>200</v>
      </c>
      <c r="O7603" s="18">
        <v>48.03</v>
      </c>
      <c r="P7603" s="18">
        <v>39.369999999999997</v>
      </c>
      <c r="Q7603" s="18">
        <v>33.619999999999997</v>
      </c>
      <c r="R7603" s="18">
        <v>27.56</v>
      </c>
      <c r="S7603" s="18">
        <v>32.659999999999997</v>
      </c>
      <c r="T7603" s="18">
        <v>26.77</v>
      </c>
      <c r="U7603" s="16"/>
      <c r="V7603" s="16"/>
      <c r="W7603" s="16"/>
      <c r="X7603" s="19">
        <v>2.9000000000000001E-2</v>
      </c>
      <c r="Y7603" s="20">
        <v>5.5000000000000002E-5</v>
      </c>
      <c r="Z7603" s="21">
        <v>4601004080362</v>
      </c>
    </row>
    <row r="7604" spans="1:26" ht="12" customHeight="1" outlineLevel="4" x14ac:dyDescent="0.2">
      <c r="A7604" s="14" t="s">
        <v>14554</v>
      </c>
      <c r="B7604" s="26" t="s">
        <v>14555</v>
      </c>
      <c r="C7604" s="52"/>
      <c r="D7604" s="55">
        <f t="shared" si="118"/>
        <v>0</v>
      </c>
      <c r="E7604" s="63" t="str">
        <f>HYPERLINK("https://www.sds-group.ru/product/kabel-ognestoykiy-kpsng-a-frls-2x2x0-20mm-buhta-200m-rexant-01-4907/", "Инфо")</f>
        <v>Инфо</v>
      </c>
      <c r="F7604" s="16" t="s">
        <v>1767</v>
      </c>
      <c r="G7604" s="15"/>
      <c r="H7604" s="15"/>
      <c r="I7604" s="15"/>
      <c r="J7604" s="22">
        <v>1800</v>
      </c>
      <c r="K7604" s="15" t="s">
        <v>1381</v>
      </c>
      <c r="L7604" s="17">
        <v>200</v>
      </c>
      <c r="M7604" s="17">
        <v>200</v>
      </c>
      <c r="N7604" s="17">
        <v>200</v>
      </c>
      <c r="O7604" s="18">
        <v>45.97</v>
      </c>
      <c r="P7604" s="18">
        <v>37.68</v>
      </c>
      <c r="Q7604" s="18">
        <v>32.18</v>
      </c>
      <c r="R7604" s="18">
        <v>26.38</v>
      </c>
      <c r="S7604" s="18">
        <v>31.26</v>
      </c>
      <c r="T7604" s="18">
        <v>25.62</v>
      </c>
      <c r="U7604" s="16"/>
      <c r="V7604" s="16"/>
      <c r="W7604" s="16"/>
      <c r="X7604" s="19">
        <v>2.3E-2</v>
      </c>
      <c r="Y7604" s="20">
        <v>4.1999999999999998E-5</v>
      </c>
      <c r="Z7604" s="21">
        <v>4601004080409</v>
      </c>
    </row>
    <row r="7605" spans="1:26" ht="12" customHeight="1" outlineLevel="4" x14ac:dyDescent="0.2">
      <c r="A7605" s="14" t="s">
        <v>14556</v>
      </c>
      <c r="B7605" s="26" t="s">
        <v>14557</v>
      </c>
      <c r="C7605" s="52"/>
      <c r="D7605" s="55">
        <f t="shared" si="118"/>
        <v>0</v>
      </c>
      <c r="E7605" s="63" t="str">
        <f>HYPERLINK("https://www.sds-group.ru/product/kabel-ognestoykiy-kpsng-a-frls-2x2x0-50mm-buhta-200m-rexant-01-4909/", "Инфо")</f>
        <v>Инфо</v>
      </c>
      <c r="F7605" s="16" t="s">
        <v>1767</v>
      </c>
      <c r="G7605" s="15"/>
      <c r="H7605" s="15"/>
      <c r="I7605" s="15"/>
      <c r="J7605" s="17">
        <v>400</v>
      </c>
      <c r="K7605" s="15" t="s">
        <v>1381</v>
      </c>
      <c r="L7605" s="17">
        <v>200</v>
      </c>
      <c r="M7605" s="17">
        <v>200</v>
      </c>
      <c r="N7605" s="17">
        <v>200</v>
      </c>
      <c r="O7605" s="18">
        <v>71.819999999999993</v>
      </c>
      <c r="P7605" s="18">
        <v>58.87</v>
      </c>
      <c r="Q7605" s="18">
        <v>50.27</v>
      </c>
      <c r="R7605" s="18">
        <v>41.2</v>
      </c>
      <c r="S7605" s="18">
        <v>48.84</v>
      </c>
      <c r="T7605" s="18">
        <v>40.03</v>
      </c>
      <c r="U7605" s="16"/>
      <c r="V7605" s="16"/>
      <c r="W7605" s="16"/>
      <c r="X7605" s="19">
        <v>3.5000000000000003E-2</v>
      </c>
      <c r="Y7605" s="20">
        <v>5.1E-5</v>
      </c>
      <c r="Z7605" s="21">
        <v>4601004080423</v>
      </c>
    </row>
    <row r="7606" spans="1:26" ht="12" customHeight="1" outlineLevel="4" x14ac:dyDescent="0.2">
      <c r="A7606" s="14" t="s">
        <v>14558</v>
      </c>
      <c r="B7606" s="26" t="s">
        <v>14559</v>
      </c>
      <c r="C7606" s="52"/>
      <c r="D7606" s="55">
        <f t="shared" si="118"/>
        <v>0</v>
      </c>
      <c r="E7606" s="63" t="str">
        <f>HYPERLINK("https://www.sds-group.ru/product/kabel-ognestoykiy-kpsng-a-frls-2x2x0-75mm-buhta-200m-rexant-01-4910/", "Инфо")</f>
        <v>Инфо</v>
      </c>
      <c r="F7606" s="16" t="s">
        <v>1767</v>
      </c>
      <c r="G7606" s="15"/>
      <c r="H7606" s="15"/>
      <c r="I7606" s="15"/>
      <c r="J7606" s="16" t="s">
        <v>100</v>
      </c>
      <c r="K7606" s="15" t="s">
        <v>1381</v>
      </c>
      <c r="L7606" s="17">
        <v>200</v>
      </c>
      <c r="M7606" s="17">
        <v>200</v>
      </c>
      <c r="N7606" s="17">
        <v>200</v>
      </c>
      <c r="O7606" s="18">
        <v>90.22</v>
      </c>
      <c r="P7606" s="18">
        <v>73.95</v>
      </c>
      <c r="Q7606" s="18">
        <v>63.15</v>
      </c>
      <c r="R7606" s="18">
        <v>51.76</v>
      </c>
      <c r="S7606" s="18">
        <v>61.35</v>
      </c>
      <c r="T7606" s="18">
        <v>50.29</v>
      </c>
      <c r="U7606" s="16"/>
      <c r="V7606" s="16"/>
      <c r="W7606" s="16"/>
      <c r="X7606" s="19">
        <v>0.05</v>
      </c>
      <c r="Y7606" s="20">
        <v>7.8999999999999996E-5</v>
      </c>
      <c r="Z7606" s="21">
        <v>4601004080430</v>
      </c>
    </row>
    <row r="7607" spans="1:26" ht="12" customHeight="1" outlineLevel="4" x14ac:dyDescent="0.2">
      <c r="A7607" s="14" t="s">
        <v>14560</v>
      </c>
      <c r="B7607" s="26" t="s">
        <v>14561</v>
      </c>
      <c r="C7607" s="52"/>
      <c r="D7607" s="55">
        <f t="shared" si="118"/>
        <v>0</v>
      </c>
      <c r="E7607" s="63" t="str">
        <f>HYPERLINK("https://www.sds-group.ru/product/kabel-ognestoykiy-kpsng-a-frls-2x2x1-00mm-buhta-200m-rexant-01-4911/", "Инфо")</f>
        <v>Инфо</v>
      </c>
      <c r="F7607" s="16" t="s">
        <v>1767</v>
      </c>
      <c r="G7607" s="15"/>
      <c r="H7607" s="15"/>
      <c r="I7607" s="15"/>
      <c r="J7607" s="22">
        <v>1800</v>
      </c>
      <c r="K7607" s="15"/>
      <c r="L7607" s="17">
        <v>200</v>
      </c>
      <c r="M7607" s="17">
        <v>200</v>
      </c>
      <c r="N7607" s="17">
        <v>200</v>
      </c>
      <c r="O7607" s="18">
        <v>121.29</v>
      </c>
      <c r="P7607" s="18">
        <v>99.42</v>
      </c>
      <c r="Q7607" s="18">
        <v>84.9</v>
      </c>
      <c r="R7607" s="18">
        <v>69.59</v>
      </c>
      <c r="S7607" s="18">
        <v>82.48</v>
      </c>
      <c r="T7607" s="18">
        <v>67.61</v>
      </c>
      <c r="U7607" s="16"/>
      <c r="V7607" s="16"/>
      <c r="W7607" s="16"/>
      <c r="X7607" s="19">
        <v>5.8000000000000003E-2</v>
      </c>
      <c r="Y7607" s="20">
        <v>8.7999999999999998E-5</v>
      </c>
      <c r="Z7607" s="21">
        <v>4601004080447</v>
      </c>
    </row>
    <row r="7608" spans="1:26" ht="12" customHeight="1" outlineLevel="4" x14ac:dyDescent="0.2">
      <c r="A7608" s="14" t="s">
        <v>14562</v>
      </c>
      <c r="B7608" s="26" t="s">
        <v>14563</v>
      </c>
      <c r="C7608" s="52"/>
      <c r="D7608" s="55">
        <f t="shared" si="118"/>
        <v>0</v>
      </c>
      <c r="E7608" s="63" t="str">
        <f>HYPERLINK("https://www.sds-group.ru/product/kabel-ognestoykiy-kpseng-a-frls-1x2x0-20mm-buhta-200m-rexant-01-4900-1/", "Инфо")</f>
        <v>Инфо</v>
      </c>
      <c r="F7608" s="16" t="s">
        <v>1767</v>
      </c>
      <c r="G7608" s="15"/>
      <c r="H7608" s="15"/>
      <c r="I7608" s="15"/>
      <c r="J7608" s="22">
        <v>2800</v>
      </c>
      <c r="K7608" s="15" t="s">
        <v>1381</v>
      </c>
      <c r="L7608" s="17">
        <v>200</v>
      </c>
      <c r="M7608" s="17">
        <v>200</v>
      </c>
      <c r="N7608" s="17">
        <v>200</v>
      </c>
      <c r="O7608" s="18">
        <v>27.41</v>
      </c>
      <c r="P7608" s="18">
        <v>22.47</v>
      </c>
      <c r="Q7608" s="18">
        <v>19.190000000000001</v>
      </c>
      <c r="R7608" s="18">
        <v>15.73</v>
      </c>
      <c r="S7608" s="18">
        <v>18.64</v>
      </c>
      <c r="T7608" s="18">
        <v>15.28</v>
      </c>
      <c r="U7608" s="16"/>
      <c r="V7608" s="16"/>
      <c r="W7608" s="16"/>
      <c r="X7608" s="19">
        <v>0.02</v>
      </c>
      <c r="Y7608" s="20">
        <v>5.5000000000000002E-5</v>
      </c>
      <c r="Z7608" s="21">
        <v>4601004080478</v>
      </c>
    </row>
    <row r="7609" spans="1:26" ht="12" customHeight="1" outlineLevel="4" x14ac:dyDescent="0.2">
      <c r="A7609" s="14" t="s">
        <v>14564</v>
      </c>
      <c r="B7609" s="26" t="s">
        <v>14565</v>
      </c>
      <c r="C7609" s="52"/>
      <c r="D7609" s="55">
        <f t="shared" si="118"/>
        <v>0</v>
      </c>
      <c r="E7609" s="63" t="str">
        <f>HYPERLINK("https://www.sds-group.ru/product/kabel-ognestoykiy-kpseng-a-frls-1x2x0-50mm-buhta-200m-rexant-01-4902-1/", "Инфо")</f>
        <v>Инфо</v>
      </c>
      <c r="F7609" s="16" t="s">
        <v>1767</v>
      </c>
      <c r="G7609" s="15"/>
      <c r="H7609" s="15"/>
      <c r="I7609" s="15"/>
      <c r="J7609" s="22">
        <v>10800</v>
      </c>
      <c r="K7609" s="15" t="s">
        <v>1094</v>
      </c>
      <c r="L7609" s="17">
        <v>200</v>
      </c>
      <c r="M7609" s="17">
        <v>200</v>
      </c>
      <c r="N7609" s="17">
        <v>200</v>
      </c>
      <c r="O7609" s="18">
        <v>42.32</v>
      </c>
      <c r="P7609" s="18">
        <v>34.69</v>
      </c>
      <c r="Q7609" s="18">
        <v>29.62</v>
      </c>
      <c r="R7609" s="18">
        <v>24.28</v>
      </c>
      <c r="S7609" s="18">
        <v>28.78</v>
      </c>
      <c r="T7609" s="18">
        <v>23.59</v>
      </c>
      <c r="U7609" s="16"/>
      <c r="V7609" s="16"/>
      <c r="W7609" s="16"/>
      <c r="X7609" s="19">
        <v>2.5000000000000001E-2</v>
      </c>
      <c r="Y7609" s="20">
        <v>4.6E-5</v>
      </c>
      <c r="Z7609" s="21">
        <v>4601004080492</v>
      </c>
    </row>
    <row r="7610" spans="1:26" ht="12" customHeight="1" outlineLevel="4" x14ac:dyDescent="0.2">
      <c r="A7610" s="14" t="s">
        <v>14566</v>
      </c>
      <c r="B7610" s="26" t="s">
        <v>14567</v>
      </c>
      <c r="C7610" s="52"/>
      <c r="D7610" s="55">
        <f t="shared" si="118"/>
        <v>0</v>
      </c>
      <c r="E7610" s="63" t="str">
        <f>HYPERLINK("https://www.sds-group.ru/product/kabel-ognestoykiy-kpseng-a-frls-1x2x0-75mm-buhta-200m-rexant-01-4903-1/", "Инфо")</f>
        <v>Инфо</v>
      </c>
      <c r="F7610" s="16" t="s">
        <v>1767</v>
      </c>
      <c r="G7610" s="15"/>
      <c r="H7610" s="15"/>
      <c r="I7610" s="15"/>
      <c r="J7610" s="22">
        <v>7800</v>
      </c>
      <c r="K7610" s="15" t="s">
        <v>1381</v>
      </c>
      <c r="L7610" s="17">
        <v>200</v>
      </c>
      <c r="M7610" s="17">
        <v>200</v>
      </c>
      <c r="N7610" s="17">
        <v>200</v>
      </c>
      <c r="O7610" s="18">
        <v>56.07</v>
      </c>
      <c r="P7610" s="18">
        <v>45.96</v>
      </c>
      <c r="Q7610" s="18">
        <v>39.25</v>
      </c>
      <c r="R7610" s="18">
        <v>32.17</v>
      </c>
      <c r="S7610" s="18">
        <v>38.130000000000003</v>
      </c>
      <c r="T7610" s="18">
        <v>31.25</v>
      </c>
      <c r="U7610" s="16"/>
      <c r="V7610" s="16"/>
      <c r="W7610" s="16"/>
      <c r="X7610" s="19">
        <v>3.3000000000000002E-2</v>
      </c>
      <c r="Y7610" s="20">
        <v>6.0999999999999999E-5</v>
      </c>
      <c r="Z7610" s="21">
        <v>4601004080508</v>
      </c>
    </row>
    <row r="7611" spans="1:26" ht="12" customHeight="1" outlineLevel="4" x14ac:dyDescent="0.2">
      <c r="A7611" s="14" t="s">
        <v>14568</v>
      </c>
      <c r="B7611" s="26" t="s">
        <v>14569</v>
      </c>
      <c r="C7611" s="52"/>
      <c r="D7611" s="55">
        <f t="shared" si="118"/>
        <v>0</v>
      </c>
      <c r="E7611" s="63" t="str">
        <f>HYPERLINK("https://www.sds-group.ru/product/kabel-ognestoykiy-kpseng-a-frls-1x2x1-00mm-buhta-200m-rexant-01-4904-1/", "Инфо")</f>
        <v>Инфо</v>
      </c>
      <c r="F7611" s="16" t="s">
        <v>1767</v>
      </c>
      <c r="G7611" s="15"/>
      <c r="H7611" s="15"/>
      <c r="I7611" s="15"/>
      <c r="J7611" s="22">
        <v>10990</v>
      </c>
      <c r="K7611" s="15" t="s">
        <v>1381</v>
      </c>
      <c r="L7611" s="17">
        <v>200</v>
      </c>
      <c r="M7611" s="17">
        <v>200</v>
      </c>
      <c r="N7611" s="17">
        <v>200</v>
      </c>
      <c r="O7611" s="18">
        <v>71.17</v>
      </c>
      <c r="P7611" s="18">
        <v>58.34</v>
      </c>
      <c r="Q7611" s="18">
        <v>49.82</v>
      </c>
      <c r="R7611" s="18">
        <v>40.840000000000003</v>
      </c>
      <c r="S7611" s="18">
        <v>48.4</v>
      </c>
      <c r="T7611" s="18">
        <v>39.67</v>
      </c>
      <c r="U7611" s="16"/>
      <c r="V7611" s="16"/>
      <c r="W7611" s="16"/>
      <c r="X7611" s="19">
        <v>3.5999999999999997E-2</v>
      </c>
      <c r="Y7611" s="20">
        <v>7.2000000000000002E-5</v>
      </c>
      <c r="Z7611" s="21">
        <v>4601004080515</v>
      </c>
    </row>
    <row r="7612" spans="1:26" ht="12" customHeight="1" outlineLevel="4" x14ac:dyDescent="0.2">
      <c r="A7612" s="14" t="s">
        <v>14570</v>
      </c>
      <c r="B7612" s="26" t="s">
        <v>14571</v>
      </c>
      <c r="C7612" s="52"/>
      <c r="D7612" s="55">
        <f t="shared" si="118"/>
        <v>0</v>
      </c>
      <c r="E7612" s="63" t="str">
        <f>HYPERLINK("https://www.sds-group.ru/product/kabel-ognestoykiy-kpseng-a-frls-1x2x1-50mm-buhta-200m-rexant-01-4905-1/", "Инфо")</f>
        <v>Инфо</v>
      </c>
      <c r="F7612" s="16" t="s">
        <v>1767</v>
      </c>
      <c r="G7612" s="15"/>
      <c r="H7612" s="15"/>
      <c r="I7612" s="15"/>
      <c r="J7612" s="16" t="s">
        <v>100</v>
      </c>
      <c r="K7612" s="15"/>
      <c r="L7612" s="17">
        <v>200</v>
      </c>
      <c r="M7612" s="17">
        <v>200</v>
      </c>
      <c r="N7612" s="17">
        <v>200</v>
      </c>
      <c r="O7612" s="18">
        <v>99.14</v>
      </c>
      <c r="P7612" s="18">
        <v>81.260000000000005</v>
      </c>
      <c r="Q7612" s="18">
        <v>69.400000000000006</v>
      </c>
      <c r="R7612" s="18">
        <v>56.89</v>
      </c>
      <c r="S7612" s="18">
        <v>67.42</v>
      </c>
      <c r="T7612" s="18">
        <v>55.26</v>
      </c>
      <c r="U7612" s="16"/>
      <c r="V7612" s="16"/>
      <c r="W7612" s="16"/>
      <c r="X7612" s="19">
        <v>4.7E-2</v>
      </c>
      <c r="Y7612" s="20">
        <v>8.0000000000000007E-5</v>
      </c>
      <c r="Z7612" s="21">
        <v>4601004080522</v>
      </c>
    </row>
    <row r="7613" spans="1:26" ht="12" customHeight="1" outlineLevel="4" x14ac:dyDescent="0.2">
      <c r="A7613" s="14" t="s">
        <v>14572</v>
      </c>
      <c r="B7613" s="26" t="s">
        <v>14573</v>
      </c>
      <c r="C7613" s="52"/>
      <c r="D7613" s="55">
        <f t="shared" si="118"/>
        <v>0</v>
      </c>
      <c r="E7613" s="63" t="str">
        <f>HYPERLINK("https://www.sds-group.ru/product/kabel-ognestoykiy-kpseng-a-frls-2x2x0-50mm-buhta-200m-rexant-01-4909-1/", "Инфо")</f>
        <v>Инфо</v>
      </c>
      <c r="F7613" s="16" t="s">
        <v>1767</v>
      </c>
      <c r="G7613" s="15"/>
      <c r="H7613" s="15"/>
      <c r="I7613" s="15"/>
      <c r="J7613" s="17">
        <v>200</v>
      </c>
      <c r="K7613" s="15" t="s">
        <v>1094</v>
      </c>
      <c r="L7613" s="17">
        <v>200</v>
      </c>
      <c r="M7613" s="17">
        <v>200</v>
      </c>
      <c r="N7613" s="17">
        <v>200</v>
      </c>
      <c r="O7613" s="18">
        <v>77.25</v>
      </c>
      <c r="P7613" s="18">
        <v>63.32</v>
      </c>
      <c r="Q7613" s="18">
        <v>54.08</v>
      </c>
      <c r="R7613" s="18">
        <v>44.33</v>
      </c>
      <c r="S7613" s="18">
        <v>52.53</v>
      </c>
      <c r="T7613" s="18">
        <v>43.06</v>
      </c>
      <c r="U7613" s="16"/>
      <c r="V7613" s="16"/>
      <c r="W7613" s="16"/>
      <c r="X7613" s="19">
        <v>4.4999999999999998E-2</v>
      </c>
      <c r="Y7613" s="20">
        <v>9.3999999999999994E-5</v>
      </c>
      <c r="Z7613" s="21">
        <v>4601004080560</v>
      </c>
    </row>
    <row r="7614" spans="1:26" ht="12" customHeight="1" outlineLevel="4" x14ac:dyDescent="0.2">
      <c r="A7614" s="14" t="s">
        <v>14574</v>
      </c>
      <c r="B7614" s="26" t="s">
        <v>14575</v>
      </c>
      <c r="C7614" s="52"/>
      <c r="D7614" s="55">
        <f t="shared" si="118"/>
        <v>0</v>
      </c>
      <c r="E7614" s="63" t="str">
        <f>HYPERLINK("https://www.sds-group.ru/product/kabel-ognestoykiy-kpseng-a-frls-2x2x0-75mm-buhta-200m-rexant-01-4910-1/", "Инфо")</f>
        <v>Инфо</v>
      </c>
      <c r="F7614" s="16" t="s">
        <v>1767</v>
      </c>
      <c r="G7614" s="15"/>
      <c r="H7614" s="15"/>
      <c r="I7614" s="15"/>
      <c r="J7614" s="17">
        <v>800</v>
      </c>
      <c r="K7614" s="15" t="s">
        <v>1094</v>
      </c>
      <c r="L7614" s="17">
        <v>200</v>
      </c>
      <c r="M7614" s="17">
        <v>200</v>
      </c>
      <c r="N7614" s="17">
        <v>200</v>
      </c>
      <c r="O7614" s="18">
        <v>100.07</v>
      </c>
      <c r="P7614" s="18">
        <v>82.02</v>
      </c>
      <c r="Q7614" s="18">
        <v>70.05</v>
      </c>
      <c r="R7614" s="18">
        <v>57.42</v>
      </c>
      <c r="S7614" s="18">
        <v>68.05</v>
      </c>
      <c r="T7614" s="18">
        <v>55.78</v>
      </c>
      <c r="U7614" s="16"/>
      <c r="V7614" s="16"/>
      <c r="W7614" s="16"/>
      <c r="X7614" s="19">
        <v>4.9000000000000002E-2</v>
      </c>
      <c r="Y7614" s="20">
        <v>8.2000000000000001E-5</v>
      </c>
      <c r="Z7614" s="21">
        <v>4601004080577</v>
      </c>
    </row>
    <row r="7615" spans="1:26" ht="12" customHeight="1" outlineLevel="4" x14ac:dyDescent="0.2">
      <c r="A7615" s="14" t="s">
        <v>14576</v>
      </c>
      <c r="B7615" s="26" t="s">
        <v>14577</v>
      </c>
      <c r="C7615" s="52"/>
      <c r="D7615" s="55">
        <f t="shared" si="118"/>
        <v>0</v>
      </c>
      <c r="E7615" s="63" t="str">
        <f>HYPERLINK("https://www.sds-group.ru/product/kabel-ognestoykiy-kpseng-a-frls-2x2x1-00mm-buhta-200m-rexant-01-4911-1/", "Инфо")</f>
        <v>Инфо</v>
      </c>
      <c r="F7615" s="16" t="s">
        <v>1767</v>
      </c>
      <c r="G7615" s="15"/>
      <c r="H7615" s="15"/>
      <c r="I7615" s="15"/>
      <c r="J7615" s="22">
        <v>4200</v>
      </c>
      <c r="K7615" s="15" t="s">
        <v>1094</v>
      </c>
      <c r="L7615" s="17">
        <v>200</v>
      </c>
      <c r="M7615" s="17">
        <v>200</v>
      </c>
      <c r="N7615" s="17">
        <v>200</v>
      </c>
      <c r="O7615" s="18">
        <v>124.18</v>
      </c>
      <c r="P7615" s="18">
        <v>101.79</v>
      </c>
      <c r="Q7615" s="18">
        <v>86.93</v>
      </c>
      <c r="R7615" s="18">
        <v>71.25</v>
      </c>
      <c r="S7615" s="18">
        <v>84.44</v>
      </c>
      <c r="T7615" s="18">
        <v>69.209999999999994</v>
      </c>
      <c r="U7615" s="16"/>
      <c r="V7615" s="16"/>
      <c r="W7615" s="16"/>
      <c r="X7615" s="19">
        <v>0.06</v>
      </c>
      <c r="Y7615" s="20">
        <v>9.5000000000000005E-5</v>
      </c>
      <c r="Z7615" s="21">
        <v>4601004080584</v>
      </c>
    </row>
    <row r="7616" spans="1:26" ht="12.95" customHeight="1" outlineLevel="3" x14ac:dyDescent="0.2">
      <c r="A7616" s="82" t="s">
        <v>14578</v>
      </c>
      <c r="B7616" s="82"/>
      <c r="C7616" s="83"/>
      <c r="D7616" s="59"/>
      <c r="E7616" s="69"/>
      <c r="F7616" s="23"/>
      <c r="G7616" s="23"/>
      <c r="H7616" s="23"/>
      <c r="I7616" s="23"/>
      <c r="J7616" s="23"/>
      <c r="K7616" s="23"/>
      <c r="L7616" s="23"/>
      <c r="M7616" s="23"/>
      <c r="N7616" s="23"/>
      <c r="O7616" s="23"/>
      <c r="P7616" s="23"/>
      <c r="Q7616" s="23"/>
      <c r="R7616" s="23"/>
      <c r="S7616" s="23"/>
      <c r="T7616" s="23"/>
      <c r="U7616" s="23"/>
      <c r="V7616" s="23"/>
      <c r="W7616" s="23"/>
      <c r="X7616" s="23"/>
      <c r="Y7616" s="23"/>
      <c r="Z7616" s="23"/>
    </row>
    <row r="7617" spans="1:26" ht="12" customHeight="1" outlineLevel="4" x14ac:dyDescent="0.2">
      <c r="A7617" s="14" t="s">
        <v>14579</v>
      </c>
      <c r="B7617" s="26" t="s">
        <v>14580</v>
      </c>
      <c r="C7617" s="52"/>
      <c r="D7617" s="55">
        <f t="shared" si="118"/>
        <v>0</v>
      </c>
      <c r="E7617" s="63" t="str">
        <f>HYPERLINK("https://www.sds-group.ru/product/kabel-ognestoykiy-kpsng-a-frhf-1x2x0-50mm-buhta-200m-rexant-01-4916/", "Инфо")</f>
        <v>Инфо</v>
      </c>
      <c r="F7617" s="16" t="s">
        <v>1767</v>
      </c>
      <c r="G7617" s="15"/>
      <c r="H7617" s="15"/>
      <c r="I7617" s="15"/>
      <c r="J7617" s="22">
        <v>5400</v>
      </c>
      <c r="K7617" s="15"/>
      <c r="L7617" s="17">
        <v>200</v>
      </c>
      <c r="M7617" s="17">
        <v>200</v>
      </c>
      <c r="N7617" s="17">
        <v>200</v>
      </c>
      <c r="O7617" s="18">
        <v>52.81</v>
      </c>
      <c r="P7617" s="18">
        <v>43.29</v>
      </c>
      <c r="Q7617" s="18">
        <v>36.97</v>
      </c>
      <c r="R7617" s="18">
        <v>30.3</v>
      </c>
      <c r="S7617" s="18">
        <v>35.909999999999997</v>
      </c>
      <c r="T7617" s="18">
        <v>29.43</v>
      </c>
      <c r="U7617" s="16"/>
      <c r="V7617" s="16"/>
      <c r="W7617" s="16"/>
      <c r="X7617" s="19">
        <v>2.1999999999999999E-2</v>
      </c>
      <c r="Y7617" s="20">
        <v>5.8E-5</v>
      </c>
      <c r="Z7617" s="21">
        <v>4601004080744</v>
      </c>
    </row>
    <row r="7618" spans="1:26" ht="12" customHeight="1" outlineLevel="4" x14ac:dyDescent="0.2">
      <c r="A7618" s="14" t="s">
        <v>14581</v>
      </c>
      <c r="B7618" s="26" t="s">
        <v>14582</v>
      </c>
      <c r="C7618" s="52"/>
      <c r="D7618" s="55">
        <f t="shared" si="118"/>
        <v>0</v>
      </c>
      <c r="E7618" s="63" t="str">
        <f>HYPERLINK("https://www.sds-group.ru/product/kabel-ognestoykiy-kpsng-a-frhf-1x2x0-75mm-buhta-200m-rexant-01-4917/", "Инфо")</f>
        <v>Инфо</v>
      </c>
      <c r="F7618" s="16" t="s">
        <v>1767</v>
      </c>
      <c r="G7618" s="15"/>
      <c r="H7618" s="15"/>
      <c r="I7618" s="15"/>
      <c r="J7618" s="22">
        <v>10390</v>
      </c>
      <c r="K7618" s="15" t="s">
        <v>1094</v>
      </c>
      <c r="L7618" s="17">
        <v>200</v>
      </c>
      <c r="M7618" s="17">
        <v>200</v>
      </c>
      <c r="N7618" s="17">
        <v>200</v>
      </c>
      <c r="O7618" s="18">
        <v>61.1</v>
      </c>
      <c r="P7618" s="18">
        <v>50.08</v>
      </c>
      <c r="Q7618" s="18">
        <v>42.77</v>
      </c>
      <c r="R7618" s="18">
        <v>35.06</v>
      </c>
      <c r="S7618" s="18">
        <v>41.55</v>
      </c>
      <c r="T7618" s="18">
        <v>34.06</v>
      </c>
      <c r="U7618" s="16"/>
      <c r="V7618" s="16"/>
      <c r="W7618" s="16"/>
      <c r="X7618" s="19">
        <v>2.7E-2</v>
      </c>
      <c r="Y7618" s="20">
        <v>5.7000000000000003E-5</v>
      </c>
      <c r="Z7618" s="21">
        <v>4601004080638</v>
      </c>
    </row>
    <row r="7619" spans="1:26" ht="12" customHeight="1" outlineLevel="4" x14ac:dyDescent="0.2">
      <c r="A7619" s="14" t="s">
        <v>14583</v>
      </c>
      <c r="B7619" s="26" t="s">
        <v>14584</v>
      </c>
      <c r="C7619" s="52"/>
      <c r="D7619" s="55">
        <f t="shared" si="118"/>
        <v>0</v>
      </c>
      <c r="E7619" s="63" t="str">
        <f>HYPERLINK("https://www.sds-group.ru/product/kabel-ognestoykiy-kpsng-a-frhf-1x2x1-00mm-buhta-200m-rexant-01-4918/", "Инфо")</f>
        <v>Инфо</v>
      </c>
      <c r="F7619" s="16" t="s">
        <v>1767</v>
      </c>
      <c r="G7619" s="15"/>
      <c r="H7619" s="15"/>
      <c r="I7619" s="15"/>
      <c r="J7619" s="22">
        <v>5600</v>
      </c>
      <c r="K7619" s="15" t="s">
        <v>1094</v>
      </c>
      <c r="L7619" s="17">
        <v>200</v>
      </c>
      <c r="M7619" s="17">
        <v>200</v>
      </c>
      <c r="N7619" s="17">
        <v>200</v>
      </c>
      <c r="O7619" s="18">
        <v>80.83</v>
      </c>
      <c r="P7619" s="18">
        <v>66.25</v>
      </c>
      <c r="Q7619" s="18">
        <v>56.58</v>
      </c>
      <c r="R7619" s="18">
        <v>46.38</v>
      </c>
      <c r="S7619" s="18">
        <v>54.96</v>
      </c>
      <c r="T7619" s="18">
        <v>45.05</v>
      </c>
      <c r="U7619" s="16"/>
      <c r="V7619" s="16"/>
      <c r="W7619" s="16"/>
      <c r="X7619" s="19">
        <v>3.7999999999999999E-2</v>
      </c>
      <c r="Y7619" s="20">
        <v>7.3999999999999996E-5</v>
      </c>
      <c r="Z7619" s="21">
        <v>4601004080645</v>
      </c>
    </row>
    <row r="7620" spans="1:26" ht="12" customHeight="1" outlineLevel="4" x14ac:dyDescent="0.2">
      <c r="A7620" s="14" t="s">
        <v>14585</v>
      </c>
      <c r="B7620" s="26" t="s">
        <v>14586</v>
      </c>
      <c r="C7620" s="52"/>
      <c r="D7620" s="55">
        <f t="shared" si="118"/>
        <v>0</v>
      </c>
      <c r="E7620" s="63" t="str">
        <f>HYPERLINK("https://www.sds-group.ru/product/kabel-ognestoykiy-kpsng-a-frhf-1x2x1-50mm-buhta-200m-rexant-01-4919/", "Инфо")</f>
        <v>Инфо</v>
      </c>
      <c r="F7620" s="16" t="s">
        <v>1767</v>
      </c>
      <c r="G7620" s="15"/>
      <c r="H7620" s="15"/>
      <c r="I7620" s="15"/>
      <c r="J7620" s="22">
        <v>4600</v>
      </c>
      <c r="K7620" s="15"/>
      <c r="L7620" s="17">
        <v>200</v>
      </c>
      <c r="M7620" s="17">
        <v>200</v>
      </c>
      <c r="N7620" s="17">
        <v>200</v>
      </c>
      <c r="O7620" s="18">
        <v>120.92</v>
      </c>
      <c r="P7620" s="18">
        <v>99.11</v>
      </c>
      <c r="Q7620" s="18">
        <v>84.64</v>
      </c>
      <c r="R7620" s="18">
        <v>69.38</v>
      </c>
      <c r="S7620" s="18">
        <v>82.23</v>
      </c>
      <c r="T7620" s="18">
        <v>67.400000000000006</v>
      </c>
      <c r="U7620" s="16"/>
      <c r="V7620" s="16"/>
      <c r="W7620" s="16"/>
      <c r="X7620" s="19">
        <v>4.3999999999999997E-2</v>
      </c>
      <c r="Y7620" s="20">
        <v>7.6000000000000004E-5</v>
      </c>
      <c r="Z7620" s="21">
        <v>4601004080652</v>
      </c>
    </row>
    <row r="7621" spans="1:26" ht="12" customHeight="1" outlineLevel="4" x14ac:dyDescent="0.2">
      <c r="A7621" s="14" t="s">
        <v>14587</v>
      </c>
      <c r="B7621" s="26" t="s">
        <v>14588</v>
      </c>
      <c r="C7621" s="52"/>
      <c r="D7621" s="55">
        <f t="shared" si="118"/>
        <v>0</v>
      </c>
      <c r="E7621" s="63" t="str">
        <f>HYPERLINK("https://www.sds-group.ru/product/kabel-ognestoykiy-kpsng-a-frhf-2x2x0-50mm-buhta-200m-rexant-01-4923/", "Инфо")</f>
        <v>Инфо</v>
      </c>
      <c r="F7621" s="16" t="s">
        <v>1767</v>
      </c>
      <c r="G7621" s="15"/>
      <c r="H7621" s="15"/>
      <c r="I7621" s="15"/>
      <c r="J7621" s="22">
        <v>2400</v>
      </c>
      <c r="K7621" s="15" t="s">
        <v>1381</v>
      </c>
      <c r="L7621" s="17">
        <v>200</v>
      </c>
      <c r="M7621" s="17">
        <v>200</v>
      </c>
      <c r="N7621" s="17">
        <v>200</v>
      </c>
      <c r="O7621" s="18">
        <v>98.15</v>
      </c>
      <c r="P7621" s="18">
        <v>80.45</v>
      </c>
      <c r="Q7621" s="18">
        <v>68.709999999999994</v>
      </c>
      <c r="R7621" s="18">
        <v>56.32</v>
      </c>
      <c r="S7621" s="18">
        <v>66.739999999999995</v>
      </c>
      <c r="T7621" s="18">
        <v>54.7</v>
      </c>
      <c r="U7621" s="16"/>
      <c r="V7621" s="16"/>
      <c r="W7621" s="16"/>
      <c r="X7621" s="19">
        <v>3.5999999999999997E-2</v>
      </c>
      <c r="Y7621" s="20">
        <v>6.2000000000000003E-5</v>
      </c>
      <c r="Z7621" s="21">
        <v>4601004080690</v>
      </c>
    </row>
    <row r="7622" spans="1:26" ht="12" customHeight="1" outlineLevel="4" x14ac:dyDescent="0.2">
      <c r="A7622" s="14" t="s">
        <v>14589</v>
      </c>
      <c r="B7622" s="26" t="s">
        <v>14590</v>
      </c>
      <c r="C7622" s="52"/>
      <c r="D7622" s="55">
        <f t="shared" si="118"/>
        <v>0</v>
      </c>
      <c r="E7622" s="63" t="str">
        <f>HYPERLINK("https://www.sds-group.ru/product/kabel-ognestoykiy-kpsng-a-frhf-2x2x0-75mm-buhta-200m-rexant-01-4924/", "Инфо")</f>
        <v>Инфо</v>
      </c>
      <c r="F7622" s="16" t="s">
        <v>1767</v>
      </c>
      <c r="G7622" s="15"/>
      <c r="H7622" s="15"/>
      <c r="I7622" s="15"/>
      <c r="J7622" s="22">
        <v>5800</v>
      </c>
      <c r="K7622" s="15" t="s">
        <v>1381</v>
      </c>
      <c r="L7622" s="17">
        <v>200</v>
      </c>
      <c r="M7622" s="17">
        <v>200</v>
      </c>
      <c r="N7622" s="17">
        <v>200</v>
      </c>
      <c r="O7622" s="18">
        <v>107.65</v>
      </c>
      <c r="P7622" s="18">
        <v>88.24</v>
      </c>
      <c r="Q7622" s="18">
        <v>75.36</v>
      </c>
      <c r="R7622" s="18">
        <v>61.77</v>
      </c>
      <c r="S7622" s="18">
        <v>73.2</v>
      </c>
      <c r="T7622" s="18">
        <v>60</v>
      </c>
      <c r="U7622" s="16"/>
      <c r="V7622" s="16"/>
      <c r="W7622" s="16"/>
      <c r="X7622" s="19">
        <v>4.4999999999999998E-2</v>
      </c>
      <c r="Y7622" s="20">
        <v>8.8999999999999995E-5</v>
      </c>
      <c r="Z7622" s="21">
        <v>4601004080706</v>
      </c>
    </row>
    <row r="7623" spans="1:26" ht="12" customHeight="1" outlineLevel="4" x14ac:dyDescent="0.2">
      <c r="A7623" s="14" t="s">
        <v>14591</v>
      </c>
      <c r="B7623" s="26" t="s">
        <v>14592</v>
      </c>
      <c r="C7623" s="52"/>
      <c r="D7623" s="55">
        <f t="shared" si="118"/>
        <v>0</v>
      </c>
      <c r="E7623" s="63" t="str">
        <f>HYPERLINK("https://www.sds-group.ru/product/kabel-ognestoykiy-kpseng-a-frhf-1x2x0-50mm-buhta-200m-rexant-01-4916-1/", "Инфо")</f>
        <v>Инфо</v>
      </c>
      <c r="F7623" s="16" t="s">
        <v>1767</v>
      </c>
      <c r="G7623" s="15"/>
      <c r="H7623" s="15"/>
      <c r="I7623" s="15" t="s">
        <v>14593</v>
      </c>
      <c r="J7623" s="16" t="s">
        <v>100</v>
      </c>
      <c r="K7623" s="15"/>
      <c r="L7623" s="17">
        <v>200</v>
      </c>
      <c r="M7623" s="17">
        <v>200</v>
      </c>
      <c r="N7623" s="17">
        <v>200</v>
      </c>
      <c r="O7623" s="18">
        <v>57.31</v>
      </c>
      <c r="P7623" s="18">
        <v>46.98</v>
      </c>
      <c r="Q7623" s="18">
        <v>40.119999999999997</v>
      </c>
      <c r="R7623" s="18">
        <v>32.89</v>
      </c>
      <c r="S7623" s="18">
        <v>38.97</v>
      </c>
      <c r="T7623" s="18">
        <v>31.94</v>
      </c>
      <c r="U7623" s="16"/>
      <c r="V7623" s="16"/>
      <c r="W7623" s="16"/>
      <c r="X7623" s="19">
        <v>2.5000000000000001E-2</v>
      </c>
      <c r="Y7623" s="20">
        <v>6.2000000000000003E-5</v>
      </c>
      <c r="Z7623" s="21">
        <v>4601004080775</v>
      </c>
    </row>
    <row r="7624" spans="1:26" ht="12" customHeight="1" outlineLevel="4" x14ac:dyDescent="0.2">
      <c r="A7624" s="14" t="s">
        <v>14594</v>
      </c>
      <c r="B7624" s="26" t="s">
        <v>14595</v>
      </c>
      <c r="C7624" s="52"/>
      <c r="D7624" s="55">
        <f t="shared" si="118"/>
        <v>0</v>
      </c>
      <c r="E7624" s="63" t="str">
        <f>HYPERLINK("https://www.sds-group.ru/product/kabel-ognestoykiy-kpseng-a-frhf-1x2x0-75mm-buhta-200m-rexant-01-4917-1/", "Инфо")</f>
        <v>Инфо</v>
      </c>
      <c r="F7624" s="16" t="s">
        <v>1767</v>
      </c>
      <c r="G7624" s="15"/>
      <c r="H7624" s="15"/>
      <c r="I7624" s="15"/>
      <c r="J7624" s="22">
        <v>5400</v>
      </c>
      <c r="K7624" s="15" t="s">
        <v>1094</v>
      </c>
      <c r="L7624" s="17">
        <v>200</v>
      </c>
      <c r="M7624" s="17">
        <v>200</v>
      </c>
      <c r="N7624" s="17">
        <v>200</v>
      </c>
      <c r="O7624" s="18">
        <v>66.3</v>
      </c>
      <c r="P7624" s="18">
        <v>54.34</v>
      </c>
      <c r="Q7624" s="18">
        <v>46.41</v>
      </c>
      <c r="R7624" s="18">
        <v>38.04</v>
      </c>
      <c r="S7624" s="18">
        <v>45.08</v>
      </c>
      <c r="T7624" s="18">
        <v>36.950000000000003</v>
      </c>
      <c r="U7624" s="16"/>
      <c r="V7624" s="16"/>
      <c r="W7624" s="16"/>
      <c r="X7624" s="19">
        <v>0.03</v>
      </c>
      <c r="Y7624" s="20">
        <v>6.0000000000000002E-5</v>
      </c>
      <c r="Z7624" s="21">
        <v>4601004080782</v>
      </c>
    </row>
    <row r="7625" spans="1:26" ht="12" customHeight="1" outlineLevel="4" x14ac:dyDescent="0.2">
      <c r="A7625" s="14" t="s">
        <v>14596</v>
      </c>
      <c r="B7625" s="26" t="s">
        <v>14597</v>
      </c>
      <c r="C7625" s="52"/>
      <c r="D7625" s="55">
        <f t="shared" ref="D7625:D7687" si="119">C7625*(O7625-O7625*$G$3)</f>
        <v>0</v>
      </c>
      <c r="E7625" s="63" t="str">
        <f>HYPERLINK("https://www.sds-group.ru/product/kabel-ognestoykiy-kpseng-a-frhf-1x2x1-00mm-buhta-200m-rexant-01-4918-1/", "Инфо")</f>
        <v>Инфо</v>
      </c>
      <c r="F7625" s="16" t="s">
        <v>1767</v>
      </c>
      <c r="G7625" s="15"/>
      <c r="H7625" s="15"/>
      <c r="I7625" s="15"/>
      <c r="J7625" s="16" t="s">
        <v>100</v>
      </c>
      <c r="K7625" s="15"/>
      <c r="L7625" s="17">
        <v>200</v>
      </c>
      <c r="M7625" s="17">
        <v>200</v>
      </c>
      <c r="N7625" s="17">
        <v>200</v>
      </c>
      <c r="O7625" s="18">
        <v>88.29</v>
      </c>
      <c r="P7625" s="18">
        <v>72.37</v>
      </c>
      <c r="Q7625" s="18">
        <v>61.8</v>
      </c>
      <c r="R7625" s="18">
        <v>50.66</v>
      </c>
      <c r="S7625" s="18">
        <v>60.04</v>
      </c>
      <c r="T7625" s="18">
        <v>49.21</v>
      </c>
      <c r="U7625" s="16"/>
      <c r="V7625" s="16"/>
      <c r="W7625" s="16"/>
      <c r="X7625" s="19">
        <v>3.6999999999999998E-2</v>
      </c>
      <c r="Y7625" s="20">
        <v>7.7000000000000001E-5</v>
      </c>
      <c r="Z7625" s="21">
        <v>4601004080799</v>
      </c>
    </row>
    <row r="7626" spans="1:26" ht="12" customHeight="1" outlineLevel="4" x14ac:dyDescent="0.2">
      <c r="A7626" s="14" t="s">
        <v>14598</v>
      </c>
      <c r="B7626" s="26" t="s">
        <v>14599</v>
      </c>
      <c r="C7626" s="52"/>
      <c r="D7626" s="55">
        <f t="shared" si="119"/>
        <v>0</v>
      </c>
      <c r="E7626" s="63" t="str">
        <f>HYPERLINK("https://www.sds-group.ru/product/kabel-ognestoykiy-kpseng-a-frhf-1x2x1-50mm-buhta-200m-rexant-01-4919-1/", "Инфо")</f>
        <v>Инфо</v>
      </c>
      <c r="F7626" s="16" t="s">
        <v>1767</v>
      </c>
      <c r="G7626" s="15"/>
      <c r="H7626" s="15"/>
      <c r="I7626" s="15"/>
      <c r="J7626" s="16" t="s">
        <v>100</v>
      </c>
      <c r="K7626" s="15" t="s">
        <v>1381</v>
      </c>
      <c r="L7626" s="17">
        <v>200</v>
      </c>
      <c r="M7626" s="17">
        <v>200</v>
      </c>
      <c r="N7626" s="17">
        <v>200</v>
      </c>
      <c r="O7626" s="18">
        <v>124.21</v>
      </c>
      <c r="P7626" s="18">
        <v>101.81</v>
      </c>
      <c r="Q7626" s="18">
        <v>86.95</v>
      </c>
      <c r="R7626" s="18">
        <v>71.27</v>
      </c>
      <c r="S7626" s="18">
        <v>84.46</v>
      </c>
      <c r="T7626" s="18">
        <v>69.23</v>
      </c>
      <c r="U7626" s="16"/>
      <c r="V7626" s="16"/>
      <c r="W7626" s="16"/>
      <c r="X7626" s="19">
        <v>4.3999999999999997E-2</v>
      </c>
      <c r="Y7626" s="20">
        <v>8.5000000000000006E-5</v>
      </c>
      <c r="Z7626" s="21">
        <v>4601004080805</v>
      </c>
    </row>
    <row r="7627" spans="1:26" ht="12" customHeight="1" outlineLevel="4" x14ac:dyDescent="0.2">
      <c r="A7627" s="14" t="s">
        <v>14600</v>
      </c>
      <c r="B7627" s="26" t="s">
        <v>14601</v>
      </c>
      <c r="C7627" s="52"/>
      <c r="D7627" s="55">
        <f t="shared" si="119"/>
        <v>0</v>
      </c>
      <c r="E7627" s="63" t="str">
        <f>HYPERLINK("https://www.sds-group.ru/product/kabel-ognestoykiy-kpseng-a-frhf-2x2x0-50mm-buhta-200m-rexant-01-4923-1/", "Инфо")</f>
        <v>Инфо</v>
      </c>
      <c r="F7627" s="16" t="s">
        <v>1767</v>
      </c>
      <c r="G7627" s="15"/>
      <c r="H7627" s="15"/>
      <c r="I7627" s="15"/>
      <c r="J7627" s="16" t="s">
        <v>100</v>
      </c>
      <c r="K7627" s="15"/>
      <c r="L7627" s="17">
        <v>200</v>
      </c>
      <c r="M7627" s="17">
        <v>200</v>
      </c>
      <c r="N7627" s="17">
        <v>200</v>
      </c>
      <c r="O7627" s="18">
        <v>99.68</v>
      </c>
      <c r="P7627" s="18">
        <v>81.7</v>
      </c>
      <c r="Q7627" s="18">
        <v>69.78</v>
      </c>
      <c r="R7627" s="18">
        <v>57.2</v>
      </c>
      <c r="S7627" s="18">
        <v>67.78</v>
      </c>
      <c r="T7627" s="18">
        <v>55.56</v>
      </c>
      <c r="U7627" s="16"/>
      <c r="V7627" s="16"/>
      <c r="W7627" s="16"/>
      <c r="X7627" s="19">
        <v>4.3999999999999997E-2</v>
      </c>
      <c r="Y7627" s="20">
        <v>8.2000000000000001E-5</v>
      </c>
      <c r="Z7627" s="21">
        <v>4601004080850</v>
      </c>
    </row>
    <row r="7628" spans="1:26" ht="12" customHeight="1" outlineLevel="4" x14ac:dyDescent="0.2">
      <c r="A7628" s="14" t="s">
        <v>14602</v>
      </c>
      <c r="B7628" s="26" t="s">
        <v>14603</v>
      </c>
      <c r="C7628" s="52"/>
      <c r="D7628" s="55">
        <f t="shared" si="119"/>
        <v>0</v>
      </c>
      <c r="E7628" s="63" t="str">
        <f>HYPERLINK("https://www.sds-group.ru/product/kabel-ognestoykiy-kpseng-a-frhf-2x2x0-75mm-buhta-200m-rexant-01-4924-1/", "Инфо")</f>
        <v>Инфо</v>
      </c>
      <c r="F7628" s="16" t="s">
        <v>1767</v>
      </c>
      <c r="G7628" s="15"/>
      <c r="H7628" s="15"/>
      <c r="I7628" s="15"/>
      <c r="J7628" s="22">
        <v>2200</v>
      </c>
      <c r="K7628" s="15" t="s">
        <v>1381</v>
      </c>
      <c r="L7628" s="17">
        <v>200</v>
      </c>
      <c r="M7628" s="17">
        <v>200</v>
      </c>
      <c r="N7628" s="17">
        <v>200</v>
      </c>
      <c r="O7628" s="18">
        <v>112.66</v>
      </c>
      <c r="P7628" s="18">
        <v>92.34</v>
      </c>
      <c r="Q7628" s="18">
        <v>78.86</v>
      </c>
      <c r="R7628" s="18">
        <v>64.64</v>
      </c>
      <c r="S7628" s="18">
        <v>76.61</v>
      </c>
      <c r="T7628" s="18">
        <v>62.8</v>
      </c>
      <c r="U7628" s="16"/>
      <c r="V7628" s="16"/>
      <c r="W7628" s="16"/>
      <c r="X7628" s="19">
        <v>5.3999999999999999E-2</v>
      </c>
      <c r="Y7628" s="20">
        <v>8.7999999999999998E-5</v>
      </c>
      <c r="Z7628" s="21">
        <v>4601004080867</v>
      </c>
    </row>
    <row r="7629" spans="1:26" ht="12.95" customHeight="1" outlineLevel="3" x14ac:dyDescent="0.2">
      <c r="A7629" s="82" t="s">
        <v>14604</v>
      </c>
      <c r="B7629" s="82"/>
      <c r="C7629" s="83"/>
      <c r="D7629" s="59"/>
      <c r="E7629" s="69"/>
      <c r="F7629" s="23"/>
      <c r="G7629" s="23"/>
      <c r="H7629" s="23"/>
      <c r="I7629" s="23"/>
      <c r="J7629" s="23"/>
      <c r="K7629" s="23"/>
      <c r="L7629" s="23"/>
      <c r="M7629" s="23"/>
      <c r="N7629" s="23"/>
      <c r="O7629" s="23"/>
      <c r="P7629" s="23"/>
      <c r="Q7629" s="23"/>
      <c r="R7629" s="23"/>
      <c r="S7629" s="23"/>
      <c r="T7629" s="23"/>
      <c r="U7629" s="23"/>
      <c r="V7629" s="23"/>
      <c r="W7629" s="23"/>
      <c r="X7629" s="23"/>
      <c r="Y7629" s="23"/>
      <c r="Z7629" s="23"/>
    </row>
    <row r="7630" spans="1:26" ht="12" customHeight="1" outlineLevel="4" x14ac:dyDescent="0.2">
      <c r="A7630" s="14" t="s">
        <v>14605</v>
      </c>
      <c r="B7630" s="26" t="s">
        <v>14606</v>
      </c>
      <c r="C7630" s="52"/>
      <c r="D7630" s="55">
        <f t="shared" si="119"/>
        <v>0</v>
      </c>
      <c r="E7630" s="63" t="str">
        <f>HYPERLINK("https://www.sds-group.ru/product/kabel-ognestoykiy-kpsng-a-frlsltx-1x2x0-50mm-buhta-200m-rexant-01-4930/", "Инфо")</f>
        <v>Инфо</v>
      </c>
      <c r="F7630" s="16" t="s">
        <v>1767</v>
      </c>
      <c r="G7630" s="15"/>
      <c r="H7630" s="15"/>
      <c r="I7630" s="15" t="s">
        <v>14593</v>
      </c>
      <c r="J7630" s="16" t="s">
        <v>100</v>
      </c>
      <c r="K7630" s="15"/>
      <c r="L7630" s="17">
        <v>200</v>
      </c>
      <c r="M7630" s="17">
        <v>200</v>
      </c>
      <c r="N7630" s="17">
        <v>200</v>
      </c>
      <c r="O7630" s="18">
        <v>50.85</v>
      </c>
      <c r="P7630" s="18">
        <v>41.68</v>
      </c>
      <c r="Q7630" s="18">
        <v>35.6</v>
      </c>
      <c r="R7630" s="18">
        <v>29.18</v>
      </c>
      <c r="S7630" s="18">
        <v>34.58</v>
      </c>
      <c r="T7630" s="18">
        <v>28.34</v>
      </c>
      <c r="U7630" s="16"/>
      <c r="V7630" s="16"/>
      <c r="W7630" s="16"/>
      <c r="X7630" s="19">
        <v>2.7E-2</v>
      </c>
      <c r="Y7630" s="20">
        <v>6.3999999999999997E-5</v>
      </c>
      <c r="Z7630" s="21">
        <v>4601004080911</v>
      </c>
    </row>
    <row r="7631" spans="1:26" ht="12" customHeight="1" outlineLevel="4" x14ac:dyDescent="0.2">
      <c r="A7631" s="14" t="s">
        <v>14607</v>
      </c>
      <c r="B7631" s="26" t="s">
        <v>14608</v>
      </c>
      <c r="C7631" s="52"/>
      <c r="D7631" s="55">
        <f t="shared" si="119"/>
        <v>0</v>
      </c>
      <c r="E7631" s="63" t="str">
        <f>HYPERLINK("https://www.sds-group.ru/product/kabel-ognestoykiy-kpsng-a-frlsltx-1x2x0-75mm-buhta-200m-rexant-01-4931/", "Инфо")</f>
        <v>Инфо</v>
      </c>
      <c r="F7631" s="16" t="s">
        <v>1767</v>
      </c>
      <c r="G7631" s="15"/>
      <c r="H7631" s="15"/>
      <c r="I7631" s="15"/>
      <c r="J7631" s="16" t="s">
        <v>100</v>
      </c>
      <c r="K7631" s="15"/>
      <c r="L7631" s="17">
        <v>200</v>
      </c>
      <c r="M7631" s="17">
        <v>200</v>
      </c>
      <c r="N7631" s="17">
        <v>200</v>
      </c>
      <c r="O7631" s="18">
        <v>64.41</v>
      </c>
      <c r="P7631" s="18">
        <v>52.8</v>
      </c>
      <c r="Q7631" s="18">
        <v>45.09</v>
      </c>
      <c r="R7631" s="18">
        <v>36.96</v>
      </c>
      <c r="S7631" s="18">
        <v>43.8</v>
      </c>
      <c r="T7631" s="18">
        <v>35.9</v>
      </c>
      <c r="U7631" s="16"/>
      <c r="V7631" s="16"/>
      <c r="W7631" s="16"/>
      <c r="X7631" s="19">
        <v>2.9000000000000001E-2</v>
      </c>
      <c r="Y7631" s="20">
        <v>4.6999999999999997E-5</v>
      </c>
      <c r="Z7631" s="21">
        <v>4601004080928</v>
      </c>
    </row>
    <row r="7632" spans="1:26" ht="12" customHeight="1" outlineLevel="4" x14ac:dyDescent="0.2">
      <c r="A7632" s="14" t="s">
        <v>14609</v>
      </c>
      <c r="B7632" s="26" t="s">
        <v>14610</v>
      </c>
      <c r="C7632" s="52"/>
      <c r="D7632" s="55">
        <f t="shared" si="119"/>
        <v>0</v>
      </c>
      <c r="E7632" s="63" t="str">
        <f>HYPERLINK("https://www.sds-group.ru/product/kabel-ognestoykiy-kpsng-a-frlsltx-1x2x1-00mm-buhta-200m-rexant-01-4932/", "Инфо")</f>
        <v>Инфо</v>
      </c>
      <c r="F7632" s="16" t="s">
        <v>1767</v>
      </c>
      <c r="G7632" s="15"/>
      <c r="H7632" s="15"/>
      <c r="I7632" s="15"/>
      <c r="J7632" s="16" t="s">
        <v>100</v>
      </c>
      <c r="K7632" s="15" t="s">
        <v>1094</v>
      </c>
      <c r="L7632" s="17">
        <v>200</v>
      </c>
      <c r="M7632" s="17">
        <v>200</v>
      </c>
      <c r="N7632" s="17">
        <v>200</v>
      </c>
      <c r="O7632" s="18">
        <v>102.17</v>
      </c>
      <c r="P7632" s="18">
        <v>83.75</v>
      </c>
      <c r="Q7632" s="18">
        <v>71.52</v>
      </c>
      <c r="R7632" s="18">
        <v>58.62</v>
      </c>
      <c r="S7632" s="18">
        <v>69.48</v>
      </c>
      <c r="T7632" s="18">
        <v>56.95</v>
      </c>
      <c r="U7632" s="16"/>
      <c r="V7632" s="16"/>
      <c r="W7632" s="16"/>
      <c r="X7632" s="19">
        <v>0.03</v>
      </c>
      <c r="Y7632" s="20">
        <v>5.8999999999999998E-5</v>
      </c>
      <c r="Z7632" s="21">
        <v>4601004080935</v>
      </c>
    </row>
    <row r="7633" spans="1:26" ht="12" customHeight="1" outlineLevel="4" x14ac:dyDescent="0.2">
      <c r="A7633" s="14" t="s">
        <v>14611</v>
      </c>
      <c r="B7633" s="26" t="s">
        <v>14612</v>
      </c>
      <c r="C7633" s="52"/>
      <c r="D7633" s="55">
        <f t="shared" si="119"/>
        <v>0</v>
      </c>
      <c r="E7633" s="63" t="str">
        <f>HYPERLINK("https://www.sds-group.ru/product/kabel-ognestoykiy-kpsng-a-frlsltx-1x2x1-50mm-buhta-200m-rexant-01-4933/", "Инфо")</f>
        <v>Инфо</v>
      </c>
      <c r="F7633" s="16" t="s">
        <v>1767</v>
      </c>
      <c r="G7633" s="15"/>
      <c r="H7633" s="15"/>
      <c r="I7633" s="15"/>
      <c r="J7633" s="22">
        <v>1800</v>
      </c>
      <c r="K7633" s="15" t="s">
        <v>1381</v>
      </c>
      <c r="L7633" s="17">
        <v>200</v>
      </c>
      <c r="M7633" s="17">
        <v>200</v>
      </c>
      <c r="N7633" s="17">
        <v>200</v>
      </c>
      <c r="O7633" s="18">
        <v>140.41</v>
      </c>
      <c r="P7633" s="18">
        <v>115.09</v>
      </c>
      <c r="Q7633" s="18">
        <v>98.29</v>
      </c>
      <c r="R7633" s="18">
        <v>80.569999999999993</v>
      </c>
      <c r="S7633" s="18">
        <v>95.48</v>
      </c>
      <c r="T7633" s="18">
        <v>78.260000000000005</v>
      </c>
      <c r="U7633" s="16"/>
      <c r="V7633" s="16"/>
      <c r="W7633" s="16"/>
      <c r="X7633" s="19">
        <v>4.5999999999999999E-2</v>
      </c>
      <c r="Y7633" s="20">
        <v>7.7999999999999999E-5</v>
      </c>
      <c r="Z7633" s="21">
        <v>4601004080942</v>
      </c>
    </row>
    <row r="7634" spans="1:26" ht="12" customHeight="1" outlineLevel="4" x14ac:dyDescent="0.2">
      <c r="A7634" s="14" t="s">
        <v>14613</v>
      </c>
      <c r="B7634" s="26" t="s">
        <v>14614</v>
      </c>
      <c r="C7634" s="52"/>
      <c r="D7634" s="55">
        <f t="shared" si="119"/>
        <v>0</v>
      </c>
      <c r="E7634" s="63" t="str">
        <f>HYPERLINK("https://www.sds-group.ru/product/kabel-ognestoykiy-kpsng-a-frlsltx-2x2x0-50mm-buhta-200m-rexant-01-4937/", "Инфо")</f>
        <v>Инфо</v>
      </c>
      <c r="F7634" s="16" t="s">
        <v>1767</v>
      </c>
      <c r="G7634" s="15"/>
      <c r="H7634" s="15"/>
      <c r="I7634" s="15"/>
      <c r="J7634" s="22">
        <v>1400</v>
      </c>
      <c r="K7634" s="15"/>
      <c r="L7634" s="17">
        <v>200</v>
      </c>
      <c r="M7634" s="17">
        <v>200</v>
      </c>
      <c r="N7634" s="17">
        <v>200</v>
      </c>
      <c r="O7634" s="18">
        <v>106.9</v>
      </c>
      <c r="P7634" s="18">
        <v>87.62</v>
      </c>
      <c r="Q7634" s="18">
        <v>74.83</v>
      </c>
      <c r="R7634" s="18">
        <v>61.34</v>
      </c>
      <c r="S7634" s="18">
        <v>72.69</v>
      </c>
      <c r="T7634" s="18">
        <v>59.58</v>
      </c>
      <c r="U7634" s="16"/>
      <c r="V7634" s="16"/>
      <c r="W7634" s="16"/>
      <c r="X7634" s="19">
        <v>3.9E-2</v>
      </c>
      <c r="Y7634" s="20">
        <v>8.0000000000000007E-5</v>
      </c>
      <c r="Z7634" s="21">
        <v>4601004080980</v>
      </c>
    </row>
    <row r="7635" spans="1:26" ht="12" customHeight="1" outlineLevel="4" x14ac:dyDescent="0.2">
      <c r="A7635" s="14" t="s">
        <v>14615</v>
      </c>
      <c r="B7635" s="26" t="s">
        <v>14616</v>
      </c>
      <c r="C7635" s="52"/>
      <c r="D7635" s="55">
        <f t="shared" si="119"/>
        <v>0</v>
      </c>
      <c r="E7635" s="63" t="str">
        <f>HYPERLINK("https://www.sds-group.ru/product/kabel-ognestoykiy-kpsng-a-frlsltx-2x2x0-75mm-buhta-200m-rexant-01-4938/", "Инфо")</f>
        <v>Инфо</v>
      </c>
      <c r="F7635" s="16" t="s">
        <v>1767</v>
      </c>
      <c r="G7635" s="15"/>
      <c r="H7635" s="15"/>
      <c r="I7635" s="15"/>
      <c r="J7635" s="17">
        <v>400</v>
      </c>
      <c r="K7635" s="15" t="s">
        <v>1381</v>
      </c>
      <c r="L7635" s="17">
        <v>200</v>
      </c>
      <c r="M7635" s="17">
        <v>200</v>
      </c>
      <c r="N7635" s="17">
        <v>200</v>
      </c>
      <c r="O7635" s="18">
        <v>121.71</v>
      </c>
      <c r="P7635" s="18">
        <v>99.76</v>
      </c>
      <c r="Q7635" s="18">
        <v>85.2</v>
      </c>
      <c r="R7635" s="18">
        <v>69.84</v>
      </c>
      <c r="S7635" s="18">
        <v>82.76</v>
      </c>
      <c r="T7635" s="18">
        <v>67.84</v>
      </c>
      <c r="U7635" s="16"/>
      <c r="V7635" s="16"/>
      <c r="W7635" s="16"/>
      <c r="X7635" s="19">
        <v>5.0999999999999997E-2</v>
      </c>
      <c r="Y7635" s="20">
        <v>6.7000000000000002E-5</v>
      </c>
      <c r="Z7635" s="21">
        <v>4601004080973</v>
      </c>
    </row>
    <row r="7636" spans="1:26" ht="12" customHeight="1" outlineLevel="4" x14ac:dyDescent="0.2">
      <c r="A7636" s="14" t="s">
        <v>14617</v>
      </c>
      <c r="B7636" s="26" t="s">
        <v>14618</v>
      </c>
      <c r="C7636" s="52"/>
      <c r="D7636" s="55">
        <f t="shared" si="119"/>
        <v>0</v>
      </c>
      <c r="E7636" s="63" t="str">
        <f>HYPERLINK("https://www.sds-group.ru/product/kabel-ognestoykiy-kpseng-a-frlsltx-1x2x0-50mm-buhta-200m-rexant-01-4930-1/", "Инфо")</f>
        <v>Инфо</v>
      </c>
      <c r="F7636" s="16" t="s">
        <v>1767</v>
      </c>
      <c r="G7636" s="15"/>
      <c r="H7636" s="15"/>
      <c r="I7636" s="15"/>
      <c r="J7636" s="22">
        <v>5600</v>
      </c>
      <c r="K7636" s="15"/>
      <c r="L7636" s="17">
        <v>200</v>
      </c>
      <c r="M7636" s="17">
        <v>200</v>
      </c>
      <c r="N7636" s="17">
        <v>200</v>
      </c>
      <c r="O7636" s="18">
        <v>55.69</v>
      </c>
      <c r="P7636" s="18">
        <v>45.65</v>
      </c>
      <c r="Q7636" s="18">
        <v>38.979999999999997</v>
      </c>
      <c r="R7636" s="18">
        <v>31.95</v>
      </c>
      <c r="S7636" s="18">
        <v>37.869999999999997</v>
      </c>
      <c r="T7636" s="18">
        <v>31.04</v>
      </c>
      <c r="U7636" s="16"/>
      <c r="V7636" s="16"/>
      <c r="W7636" s="16"/>
      <c r="X7636" s="19">
        <v>2.7E-2</v>
      </c>
      <c r="Y7636" s="20">
        <v>5.5000000000000002E-5</v>
      </c>
      <c r="Z7636" s="21">
        <v>4601004081048</v>
      </c>
    </row>
    <row r="7637" spans="1:26" ht="12" customHeight="1" outlineLevel="4" x14ac:dyDescent="0.2">
      <c r="A7637" s="14" t="s">
        <v>14619</v>
      </c>
      <c r="B7637" s="26" t="s">
        <v>14620</v>
      </c>
      <c r="C7637" s="52"/>
      <c r="D7637" s="55">
        <f t="shared" si="119"/>
        <v>0</v>
      </c>
      <c r="E7637" s="63" t="str">
        <f>HYPERLINK("https://www.sds-group.ru/product/kabel-ognestoykiy-kpseng-a-frlsltx-1x2x0-75mm-buhta-200m-rexant-01-4931-1/", "Инфо")</f>
        <v>Инфо</v>
      </c>
      <c r="F7637" s="16" t="s">
        <v>1767</v>
      </c>
      <c r="G7637" s="15"/>
      <c r="H7637" s="15"/>
      <c r="I7637" s="15"/>
      <c r="J7637" s="22">
        <v>1200</v>
      </c>
      <c r="K7637" s="15" t="s">
        <v>1888</v>
      </c>
      <c r="L7637" s="17">
        <v>200</v>
      </c>
      <c r="M7637" s="17">
        <v>200</v>
      </c>
      <c r="N7637" s="17">
        <v>200</v>
      </c>
      <c r="O7637" s="18">
        <v>65.91</v>
      </c>
      <c r="P7637" s="18">
        <v>54.02</v>
      </c>
      <c r="Q7637" s="18">
        <v>46.14</v>
      </c>
      <c r="R7637" s="18">
        <v>37.82</v>
      </c>
      <c r="S7637" s="18">
        <v>44.82</v>
      </c>
      <c r="T7637" s="18">
        <v>36.74</v>
      </c>
      <c r="U7637" s="16"/>
      <c r="V7637" s="16"/>
      <c r="W7637" s="16"/>
      <c r="X7637" s="19">
        <v>3.5999999999999997E-2</v>
      </c>
      <c r="Y7637" s="20">
        <v>5.5000000000000002E-5</v>
      </c>
      <c r="Z7637" s="21">
        <v>4601004081055</v>
      </c>
    </row>
    <row r="7638" spans="1:26" ht="12" customHeight="1" outlineLevel="4" x14ac:dyDescent="0.2">
      <c r="A7638" s="14" t="s">
        <v>14621</v>
      </c>
      <c r="B7638" s="26" t="s">
        <v>14622</v>
      </c>
      <c r="C7638" s="52"/>
      <c r="D7638" s="55">
        <f t="shared" si="119"/>
        <v>0</v>
      </c>
      <c r="E7638" s="63" t="str">
        <f>HYPERLINK("https://www.sds-group.ru/product/kabel-ognestoykiy-kpseng-a-frlsltx-1x2x1-00mm-buhta-200m-rexant-01-4932-1/", "Инфо")</f>
        <v>Инфо</v>
      </c>
      <c r="F7638" s="16" t="s">
        <v>1767</v>
      </c>
      <c r="G7638" s="15"/>
      <c r="H7638" s="15"/>
      <c r="I7638" s="15"/>
      <c r="J7638" s="22">
        <v>2200</v>
      </c>
      <c r="K7638" s="15"/>
      <c r="L7638" s="17">
        <v>200</v>
      </c>
      <c r="M7638" s="17">
        <v>200</v>
      </c>
      <c r="N7638" s="17">
        <v>200</v>
      </c>
      <c r="O7638" s="18">
        <v>110.19</v>
      </c>
      <c r="P7638" s="18">
        <v>90.32</v>
      </c>
      <c r="Q7638" s="18">
        <v>77.13</v>
      </c>
      <c r="R7638" s="18">
        <v>63.22</v>
      </c>
      <c r="S7638" s="18">
        <v>74.930000000000007</v>
      </c>
      <c r="T7638" s="18">
        <v>61.42</v>
      </c>
      <c r="U7638" s="16"/>
      <c r="V7638" s="16"/>
      <c r="W7638" s="16"/>
      <c r="X7638" s="19">
        <v>3.5000000000000003E-2</v>
      </c>
      <c r="Y7638" s="20">
        <v>6.8999999999999997E-5</v>
      </c>
      <c r="Z7638" s="21">
        <v>4601004081062</v>
      </c>
    </row>
    <row r="7639" spans="1:26" ht="12" customHeight="1" outlineLevel="4" x14ac:dyDescent="0.2">
      <c r="A7639" s="14" t="s">
        <v>14623</v>
      </c>
      <c r="B7639" s="26" t="s">
        <v>14624</v>
      </c>
      <c r="C7639" s="52"/>
      <c r="D7639" s="55">
        <f t="shared" si="119"/>
        <v>0</v>
      </c>
      <c r="E7639" s="63" t="str">
        <f>HYPERLINK("https://www.sds-group.ru/product/kabel-ognestoykiy-kpseng-a-frlsltx-2x2x0-50mm-buhta-200m-rexant-01-4937-1/", "Инфо")</f>
        <v>Инфо</v>
      </c>
      <c r="F7639" s="16" t="s">
        <v>1767</v>
      </c>
      <c r="G7639" s="15"/>
      <c r="H7639" s="15"/>
      <c r="I7639" s="15"/>
      <c r="J7639" s="22">
        <v>4600</v>
      </c>
      <c r="K7639" s="15"/>
      <c r="L7639" s="17">
        <v>200</v>
      </c>
      <c r="M7639" s="17">
        <v>200</v>
      </c>
      <c r="N7639" s="17">
        <v>200</v>
      </c>
      <c r="O7639" s="18">
        <v>92.06</v>
      </c>
      <c r="P7639" s="18">
        <v>75.459999999999994</v>
      </c>
      <c r="Q7639" s="18">
        <v>64.44</v>
      </c>
      <c r="R7639" s="18">
        <v>52.82</v>
      </c>
      <c r="S7639" s="18">
        <v>62.6</v>
      </c>
      <c r="T7639" s="18">
        <v>51.31</v>
      </c>
      <c r="U7639" s="16"/>
      <c r="V7639" s="16"/>
      <c r="W7639" s="16"/>
      <c r="X7639" s="19">
        <v>0.04</v>
      </c>
      <c r="Y7639" s="20">
        <v>7.7999999999999999E-5</v>
      </c>
      <c r="Z7639" s="21">
        <v>4601004081123</v>
      </c>
    </row>
    <row r="7640" spans="1:26" ht="12" customHeight="1" outlineLevel="4" x14ac:dyDescent="0.2">
      <c r="A7640" s="14" t="s">
        <v>14625</v>
      </c>
      <c r="B7640" s="26" t="s">
        <v>14626</v>
      </c>
      <c r="C7640" s="52"/>
      <c r="D7640" s="55">
        <f t="shared" si="119"/>
        <v>0</v>
      </c>
      <c r="E7640" s="63" t="str">
        <f>HYPERLINK("https://www.sds-group.ru/product/kabel-ognestoykiy-kpseng-a-frlsltx-2x2x0-75mm-buhta-200m-rexant-01-4938-1/", "Инфо")</f>
        <v>Инфо</v>
      </c>
      <c r="F7640" s="16" t="s">
        <v>1767</v>
      </c>
      <c r="G7640" s="15"/>
      <c r="H7640" s="15"/>
      <c r="I7640" s="15"/>
      <c r="J7640" s="22">
        <v>2000</v>
      </c>
      <c r="K7640" s="15"/>
      <c r="L7640" s="17">
        <v>200</v>
      </c>
      <c r="M7640" s="17">
        <v>200</v>
      </c>
      <c r="N7640" s="17">
        <v>200</v>
      </c>
      <c r="O7640" s="18">
        <v>124.42</v>
      </c>
      <c r="P7640" s="18">
        <v>101.98</v>
      </c>
      <c r="Q7640" s="18">
        <v>87.09</v>
      </c>
      <c r="R7640" s="18">
        <v>71.39</v>
      </c>
      <c r="S7640" s="18">
        <v>84.61</v>
      </c>
      <c r="T7640" s="18">
        <v>69.349999999999994</v>
      </c>
      <c r="U7640" s="16"/>
      <c r="V7640" s="16"/>
      <c r="W7640" s="16"/>
      <c r="X7640" s="19">
        <v>5.6000000000000001E-2</v>
      </c>
      <c r="Y7640" s="20">
        <v>7.6000000000000004E-5</v>
      </c>
      <c r="Z7640" s="21">
        <v>4601004081130</v>
      </c>
    </row>
    <row r="7641" spans="1:26" ht="12.95" customHeight="1" outlineLevel="1" x14ac:dyDescent="0.2">
      <c r="A7641" s="78" t="s">
        <v>14627</v>
      </c>
      <c r="B7641" s="78"/>
      <c r="C7641" s="79"/>
      <c r="D7641" s="57"/>
      <c r="E7641" s="67"/>
      <c r="F7641" s="12"/>
      <c r="G7641" s="12"/>
      <c r="H7641" s="12"/>
      <c r="I7641" s="12"/>
      <c r="J7641" s="12"/>
      <c r="K7641" s="12"/>
      <c r="L7641" s="12"/>
      <c r="M7641" s="12"/>
      <c r="N7641" s="12"/>
      <c r="O7641" s="12"/>
      <c r="P7641" s="12"/>
      <c r="Q7641" s="12"/>
      <c r="R7641" s="12"/>
      <c r="S7641" s="12"/>
      <c r="T7641" s="12"/>
      <c r="U7641" s="12"/>
      <c r="V7641" s="12"/>
      <c r="W7641" s="12"/>
      <c r="X7641" s="12"/>
      <c r="Y7641" s="12"/>
      <c r="Z7641" s="12"/>
    </row>
    <row r="7642" spans="1:26" ht="12.95" customHeight="1" outlineLevel="2" x14ac:dyDescent="0.2">
      <c r="A7642" s="76" t="s">
        <v>14628</v>
      </c>
      <c r="B7642" s="76"/>
      <c r="C7642" s="77"/>
      <c r="D7642" s="58"/>
      <c r="E7642" s="68"/>
      <c r="F7642" s="13"/>
      <c r="G7642" s="13"/>
      <c r="H7642" s="13"/>
      <c r="I7642" s="13"/>
      <c r="J7642" s="13"/>
      <c r="K7642" s="13"/>
      <c r="L7642" s="13"/>
      <c r="M7642" s="13"/>
      <c r="N7642" s="13"/>
      <c r="O7642" s="13"/>
      <c r="P7642" s="13"/>
      <c r="Q7642" s="13"/>
      <c r="R7642" s="13"/>
      <c r="S7642" s="13"/>
      <c r="T7642" s="13"/>
      <c r="U7642" s="13"/>
      <c r="V7642" s="13"/>
      <c r="W7642" s="13"/>
      <c r="X7642" s="13"/>
      <c r="Y7642" s="13"/>
      <c r="Z7642" s="13"/>
    </row>
    <row r="7643" spans="1:26" ht="12.95" customHeight="1" outlineLevel="3" x14ac:dyDescent="0.2">
      <c r="A7643" s="76" t="s">
        <v>14629</v>
      </c>
      <c r="B7643" s="76"/>
      <c r="C7643" s="77"/>
      <c r="D7643" s="58"/>
      <c r="E7643" s="68"/>
      <c r="F7643" s="13"/>
      <c r="G7643" s="13"/>
      <c r="H7643" s="13"/>
      <c r="I7643" s="13"/>
      <c r="J7643" s="13"/>
      <c r="K7643" s="13"/>
      <c r="L7643" s="13"/>
      <c r="M7643" s="13"/>
      <c r="N7643" s="13"/>
      <c r="O7643" s="13"/>
      <c r="P7643" s="13"/>
      <c r="Q7643" s="13"/>
      <c r="R7643" s="13"/>
      <c r="S7643" s="13"/>
      <c r="T7643" s="13"/>
      <c r="U7643" s="13"/>
      <c r="V7643" s="13"/>
      <c r="W7643" s="13"/>
      <c r="X7643" s="13"/>
      <c r="Y7643" s="13"/>
      <c r="Z7643" s="13"/>
    </row>
    <row r="7644" spans="1:26" ht="12" customHeight="1" outlineLevel="4" x14ac:dyDescent="0.2">
      <c r="A7644" s="32" t="s">
        <v>14630</v>
      </c>
      <c r="B7644" s="74" t="s">
        <v>14631</v>
      </c>
      <c r="C7644" s="50"/>
      <c r="D7644" s="53">
        <f t="shared" si="119"/>
        <v>0</v>
      </c>
      <c r="E7644" s="60" t="str">
        <f>HYPERLINK("https://www.sds-group.ru/product/tsvetnoy-monitor-videodomofona-4-3-formata-ahd-model-ac-332-v-komplekte-s-vyzyvnoy-videopa-45-0332-1/", "Инфо")</f>
        <v>Инфо</v>
      </c>
      <c r="F7644" s="34" t="s">
        <v>974</v>
      </c>
      <c r="G7644" s="33"/>
      <c r="H7644" s="33" t="s">
        <v>40</v>
      </c>
      <c r="I7644" s="33"/>
      <c r="J7644" s="34" t="s">
        <v>100</v>
      </c>
      <c r="K7644" s="33"/>
      <c r="L7644" s="35">
        <v>1</v>
      </c>
      <c r="M7644" s="35">
        <v>1</v>
      </c>
      <c r="N7644" s="35">
        <v>1</v>
      </c>
      <c r="O7644" s="36">
        <v>6886.66</v>
      </c>
      <c r="P7644" s="36">
        <v>5644.8</v>
      </c>
      <c r="Q7644" s="36">
        <v>4820.66</v>
      </c>
      <c r="R7644" s="36">
        <v>3951.36</v>
      </c>
      <c r="S7644" s="36">
        <v>4682.93</v>
      </c>
      <c r="T7644" s="36">
        <v>3838.47</v>
      </c>
      <c r="U7644" s="34"/>
      <c r="V7644" s="34"/>
      <c r="W7644" s="34"/>
      <c r="X7644" s="37">
        <v>0.77500000000000002</v>
      </c>
      <c r="Y7644" s="38">
        <v>3.7940000000000001E-3</v>
      </c>
      <c r="Z7644" s="21">
        <v>4601004321205</v>
      </c>
    </row>
    <row r="7645" spans="1:26" ht="12.95" customHeight="1" outlineLevel="3" x14ac:dyDescent="0.2">
      <c r="A7645" s="76" t="s">
        <v>14632</v>
      </c>
      <c r="B7645" s="76"/>
      <c r="C7645" s="77"/>
      <c r="D7645" s="58"/>
      <c r="E7645" s="68"/>
      <c r="F7645" s="13"/>
      <c r="G7645" s="13"/>
      <c r="H7645" s="13"/>
      <c r="I7645" s="13"/>
      <c r="J7645" s="13"/>
      <c r="K7645" s="13"/>
      <c r="L7645" s="13"/>
      <c r="M7645" s="13"/>
      <c r="N7645" s="13"/>
      <c r="O7645" s="13"/>
      <c r="P7645" s="13"/>
      <c r="Q7645" s="13"/>
      <c r="R7645" s="13"/>
      <c r="S7645" s="13"/>
      <c r="T7645" s="13"/>
      <c r="U7645" s="13"/>
      <c r="V7645" s="13"/>
      <c r="W7645" s="13"/>
      <c r="X7645" s="13"/>
      <c r="Y7645" s="13"/>
      <c r="Z7645" s="13"/>
    </row>
    <row r="7646" spans="1:26" ht="12" customHeight="1" outlineLevel="4" x14ac:dyDescent="0.2">
      <c r="A7646" s="32" t="s">
        <v>14633</v>
      </c>
      <c r="B7646" s="74" t="s">
        <v>14634</v>
      </c>
      <c r="C7646" s="50"/>
      <c r="D7646" s="53">
        <f t="shared" si="119"/>
        <v>0</v>
      </c>
      <c r="E7646" s="60" t="str">
        <f>HYPERLINK("https://www.sds-group.ru/product/vyzyvnaya-videopanel-standarta-ahd-model-ac-317-45-0317/", "Инфо")</f>
        <v>Инфо</v>
      </c>
      <c r="F7646" s="34" t="s">
        <v>39</v>
      </c>
      <c r="G7646" s="33"/>
      <c r="H7646" s="33" t="s">
        <v>40</v>
      </c>
      <c r="I7646" s="33"/>
      <c r="J7646" s="35">
        <v>8</v>
      </c>
      <c r="K7646" s="33"/>
      <c r="L7646" s="35">
        <v>1</v>
      </c>
      <c r="M7646" s="35">
        <v>20</v>
      </c>
      <c r="N7646" s="35">
        <v>1</v>
      </c>
      <c r="O7646" s="36">
        <v>6580.63</v>
      </c>
      <c r="P7646" s="36">
        <v>5393.96</v>
      </c>
      <c r="Q7646" s="36">
        <v>4606.4399999999996</v>
      </c>
      <c r="R7646" s="36">
        <v>3775.77</v>
      </c>
      <c r="S7646" s="36">
        <v>4474.83</v>
      </c>
      <c r="T7646" s="36">
        <v>3667.89</v>
      </c>
      <c r="U7646" s="34"/>
      <c r="V7646" s="34"/>
      <c r="W7646" s="34"/>
      <c r="X7646" s="37">
        <v>0.39400000000000002</v>
      </c>
      <c r="Y7646" s="38">
        <v>1.041E-3</v>
      </c>
      <c r="Z7646" s="21">
        <v>4601004252776</v>
      </c>
    </row>
    <row r="7647" spans="1:26" ht="12.95" customHeight="1" outlineLevel="2" x14ac:dyDescent="0.2">
      <c r="A7647" s="76" t="s">
        <v>14635</v>
      </c>
      <c r="B7647" s="76"/>
      <c r="C7647" s="77"/>
      <c r="D7647" s="58"/>
      <c r="E7647" s="68"/>
      <c r="F7647" s="13"/>
      <c r="G7647" s="13"/>
      <c r="H7647" s="13"/>
      <c r="I7647" s="13"/>
      <c r="J7647" s="13"/>
      <c r="K7647" s="13"/>
      <c r="L7647" s="13"/>
      <c r="M7647" s="13"/>
      <c r="N7647" s="13"/>
      <c r="O7647" s="13"/>
      <c r="P7647" s="13"/>
      <c r="Q7647" s="13"/>
      <c r="R7647" s="13"/>
      <c r="S7647" s="13"/>
      <c r="T7647" s="13"/>
      <c r="U7647" s="13"/>
      <c r="V7647" s="13"/>
      <c r="W7647" s="13"/>
      <c r="X7647" s="13"/>
      <c r="Y7647" s="13"/>
      <c r="Z7647" s="13"/>
    </row>
    <row r="7648" spans="1:26" ht="12" customHeight="1" outlineLevel="3" x14ac:dyDescent="0.2">
      <c r="A7648" s="14" t="s">
        <v>14636</v>
      </c>
      <c r="B7648" s="26" t="s">
        <v>14637</v>
      </c>
      <c r="C7648" s="52"/>
      <c r="D7648" s="55">
        <f t="shared" si="119"/>
        <v>0</v>
      </c>
      <c r="E7648" s="63" t="str">
        <f>HYPERLINK("https://www.sds-group.ru/product/trubka-domofona-rx-349-rexant-45-0349/", "Инфо")</f>
        <v>Инфо</v>
      </c>
      <c r="F7648" s="16" t="s">
        <v>39</v>
      </c>
      <c r="G7648" s="15"/>
      <c r="H7648" s="15"/>
      <c r="I7648" s="15"/>
      <c r="J7648" s="22">
        <v>10885</v>
      </c>
      <c r="K7648" s="15" t="s">
        <v>8890</v>
      </c>
      <c r="L7648" s="17">
        <v>1</v>
      </c>
      <c r="M7648" s="17">
        <v>32</v>
      </c>
      <c r="N7648" s="17">
        <v>1</v>
      </c>
      <c r="O7648" s="18">
        <v>1010.65</v>
      </c>
      <c r="P7648" s="18">
        <v>828.4</v>
      </c>
      <c r="Q7648" s="18">
        <v>707.46</v>
      </c>
      <c r="R7648" s="18">
        <v>579.89</v>
      </c>
      <c r="S7648" s="18">
        <v>687.24</v>
      </c>
      <c r="T7648" s="18">
        <v>563.30999999999995</v>
      </c>
      <c r="U7648" s="16"/>
      <c r="V7648" s="16"/>
      <c r="W7648" s="16"/>
      <c r="X7648" s="19">
        <v>0.29199999999999998</v>
      </c>
      <c r="Y7648" s="20">
        <v>1.454E-3</v>
      </c>
      <c r="Z7648" s="21">
        <v>4601004067981</v>
      </c>
    </row>
    <row r="7649" spans="1:26" ht="12" customHeight="1" outlineLevel="3" x14ac:dyDescent="0.2">
      <c r="A7649" s="14" t="s">
        <v>14638</v>
      </c>
      <c r="B7649" s="26" t="s">
        <v>14639</v>
      </c>
      <c r="C7649" s="52"/>
      <c r="D7649" s="55">
        <f t="shared" si="119"/>
        <v>0</v>
      </c>
      <c r="E7649" s="63" t="str">
        <f>HYPERLINK("https://www.sds-group.ru/product/trubka-domofona-s-indikatorom-i-otklyucheniem-zvuka-rx-346-rexant-premium-45-0346/", "Инфо")</f>
        <v>Инфо</v>
      </c>
      <c r="F7649" s="16" t="s">
        <v>39</v>
      </c>
      <c r="G7649" s="15"/>
      <c r="H7649" s="15"/>
      <c r="I7649" s="15"/>
      <c r="J7649" s="22">
        <v>6562</v>
      </c>
      <c r="K7649" s="15" t="s">
        <v>8890</v>
      </c>
      <c r="L7649" s="17">
        <v>1</v>
      </c>
      <c r="M7649" s="17">
        <v>30</v>
      </c>
      <c r="N7649" s="17">
        <v>1</v>
      </c>
      <c r="O7649" s="18">
        <v>1250.6199999999999</v>
      </c>
      <c r="P7649" s="18">
        <v>1025.0999999999999</v>
      </c>
      <c r="Q7649" s="18">
        <v>875.43</v>
      </c>
      <c r="R7649" s="18">
        <v>717.57</v>
      </c>
      <c r="S7649" s="18">
        <v>850.42</v>
      </c>
      <c r="T7649" s="18">
        <v>697.07</v>
      </c>
      <c r="U7649" s="16"/>
      <c r="V7649" s="16"/>
      <c r="W7649" s="16"/>
      <c r="X7649" s="19">
        <v>0.29099999999999998</v>
      </c>
      <c r="Y7649" s="20">
        <v>1.531E-3</v>
      </c>
      <c r="Z7649" s="21">
        <v>4601004137547</v>
      </c>
    </row>
    <row r="7650" spans="1:26" ht="12" customHeight="1" outlineLevel="3" x14ac:dyDescent="0.2">
      <c r="A7650" s="14" t="s">
        <v>14640</v>
      </c>
      <c r="B7650" s="26" t="s">
        <v>14641</v>
      </c>
      <c r="C7650" s="52"/>
      <c r="D7650" s="55">
        <f t="shared" si="119"/>
        <v>0</v>
      </c>
      <c r="E7650" s="63" t="str">
        <f>HYPERLINK("https://www.sds-group.ru/product/trubka-domofona-s-indikatorom-i-otklyucheniem-zvuka-rx-347-rexant-45-0347/", "Инфо")</f>
        <v>Инфо</v>
      </c>
      <c r="F7650" s="16" t="s">
        <v>39</v>
      </c>
      <c r="G7650" s="15"/>
      <c r="H7650" s="15"/>
      <c r="I7650" s="15"/>
      <c r="J7650" s="22">
        <v>5301</v>
      </c>
      <c r="K7650" s="15" t="s">
        <v>8890</v>
      </c>
      <c r="L7650" s="17">
        <v>1</v>
      </c>
      <c r="M7650" s="17">
        <v>32</v>
      </c>
      <c r="N7650" s="17">
        <v>1</v>
      </c>
      <c r="O7650" s="18">
        <v>1078.02</v>
      </c>
      <c r="P7650" s="18">
        <v>883.62</v>
      </c>
      <c r="Q7650" s="18">
        <v>754.61</v>
      </c>
      <c r="R7650" s="18">
        <v>618.53</v>
      </c>
      <c r="S7650" s="18">
        <v>733.05</v>
      </c>
      <c r="T7650" s="18">
        <v>600.86</v>
      </c>
      <c r="U7650" s="16"/>
      <c r="V7650" s="16"/>
      <c r="W7650" s="16"/>
      <c r="X7650" s="19">
        <v>0.29099999999999998</v>
      </c>
      <c r="Y7650" s="20">
        <v>1.4779999999999999E-3</v>
      </c>
      <c r="Z7650" s="21">
        <v>4601004068001</v>
      </c>
    </row>
    <row r="7651" spans="1:26" ht="12" customHeight="1" outlineLevel="3" x14ac:dyDescent="0.2">
      <c r="A7651" s="14" t="s">
        <v>14642</v>
      </c>
      <c r="B7651" s="26" t="s">
        <v>14643</v>
      </c>
      <c r="C7651" s="52"/>
      <c r="D7651" s="55">
        <f t="shared" si="119"/>
        <v>0</v>
      </c>
      <c r="E7651" s="63" t="str">
        <f>HYPERLINK("https://www.sds-group.ru/product/trubka-domofona-s-indikatorom-i-regulirovkoy-zvuka-rx-320-chernaya-rexant-45-0320/", "Инфо")</f>
        <v>Инфо</v>
      </c>
      <c r="F7651" s="16" t="s">
        <v>39</v>
      </c>
      <c r="G7651" s="15"/>
      <c r="H7651" s="15"/>
      <c r="I7651" s="15"/>
      <c r="J7651" s="22">
        <v>7871</v>
      </c>
      <c r="K7651" s="15" t="s">
        <v>1888</v>
      </c>
      <c r="L7651" s="17">
        <v>1</v>
      </c>
      <c r="M7651" s="17">
        <v>32</v>
      </c>
      <c r="N7651" s="17">
        <v>1</v>
      </c>
      <c r="O7651" s="18">
        <v>1145.3900000000001</v>
      </c>
      <c r="P7651" s="18">
        <v>938.84</v>
      </c>
      <c r="Q7651" s="18">
        <v>801.77</v>
      </c>
      <c r="R7651" s="18">
        <v>657.19</v>
      </c>
      <c r="S7651" s="18">
        <v>778.87</v>
      </c>
      <c r="T7651" s="18">
        <v>638.41999999999996</v>
      </c>
      <c r="U7651" s="16"/>
      <c r="V7651" s="16"/>
      <c r="W7651" s="16"/>
      <c r="X7651" s="19">
        <v>0.30199999999999999</v>
      </c>
      <c r="Y7651" s="20">
        <v>1.389E-3</v>
      </c>
      <c r="Z7651" s="21">
        <v>4601004240179</v>
      </c>
    </row>
    <row r="7652" spans="1:26" ht="12" customHeight="1" outlineLevel="3" x14ac:dyDescent="0.2">
      <c r="A7652" s="14" t="s">
        <v>14644</v>
      </c>
      <c r="B7652" s="26" t="s">
        <v>14645</v>
      </c>
      <c r="C7652" s="52"/>
      <c r="D7652" s="55">
        <f t="shared" si="119"/>
        <v>0</v>
      </c>
      <c r="E7652" s="63" t="str">
        <f>HYPERLINK("https://www.sds-group.ru/product/trubka-domofona-s-indikatorom-i-regulirovkoy-zvuka-rx-321-seraya-rexant-45-0321/", "Инфо")</f>
        <v>Инфо</v>
      </c>
      <c r="F7652" s="16" t="s">
        <v>39</v>
      </c>
      <c r="G7652" s="15"/>
      <c r="H7652" s="15"/>
      <c r="I7652" s="15"/>
      <c r="J7652" s="22">
        <v>7529</v>
      </c>
      <c r="K7652" s="15" t="s">
        <v>8890</v>
      </c>
      <c r="L7652" s="17">
        <v>1</v>
      </c>
      <c r="M7652" s="17">
        <v>32</v>
      </c>
      <c r="N7652" s="17">
        <v>1</v>
      </c>
      <c r="O7652" s="18">
        <v>1145.3900000000001</v>
      </c>
      <c r="P7652" s="18">
        <v>938.84</v>
      </c>
      <c r="Q7652" s="18">
        <v>801.77</v>
      </c>
      <c r="R7652" s="18">
        <v>657.19</v>
      </c>
      <c r="S7652" s="18">
        <v>778.87</v>
      </c>
      <c r="T7652" s="18">
        <v>638.41999999999996</v>
      </c>
      <c r="U7652" s="16"/>
      <c r="V7652" s="16"/>
      <c r="W7652" s="16"/>
      <c r="X7652" s="19">
        <v>0.3</v>
      </c>
      <c r="Y7652" s="20">
        <v>1.4419999999999999E-3</v>
      </c>
      <c r="Z7652" s="21">
        <v>4601004240162</v>
      </c>
    </row>
    <row r="7653" spans="1:26" ht="12" customHeight="1" outlineLevel="3" x14ac:dyDescent="0.2">
      <c r="A7653" s="32" t="s">
        <v>14646</v>
      </c>
      <c r="B7653" s="74" t="s">
        <v>14647</v>
      </c>
      <c r="C7653" s="50"/>
      <c r="D7653" s="53">
        <f t="shared" si="119"/>
        <v>0</v>
      </c>
      <c r="E7653" s="60" t="str">
        <f>HYPERLINK("https://www.sds-group.ru/product/trubka-domofona-s-indikatorom-i-regulirovkoy-zvuka-rx-322-jeltaya-rexant-28485/", "Инфо")</f>
        <v>Инфо</v>
      </c>
      <c r="F7653" s="34" t="s">
        <v>39</v>
      </c>
      <c r="G7653" s="33"/>
      <c r="H7653" s="33" t="s">
        <v>40</v>
      </c>
      <c r="I7653" s="33"/>
      <c r="J7653" s="34" t="s">
        <v>100</v>
      </c>
      <c r="K7653" s="33"/>
      <c r="L7653" s="35">
        <v>1</v>
      </c>
      <c r="M7653" s="35">
        <v>32</v>
      </c>
      <c r="N7653" s="35">
        <v>1</v>
      </c>
      <c r="O7653" s="36">
        <v>862.3</v>
      </c>
      <c r="P7653" s="36">
        <v>706.8</v>
      </c>
      <c r="Q7653" s="36">
        <v>603.61</v>
      </c>
      <c r="R7653" s="36">
        <v>494.76</v>
      </c>
      <c r="S7653" s="36">
        <v>586.36</v>
      </c>
      <c r="T7653" s="36">
        <v>480.62</v>
      </c>
      <c r="U7653" s="34"/>
      <c r="V7653" s="34"/>
      <c r="W7653" s="34"/>
      <c r="X7653" s="37">
        <v>0.28699999999999998</v>
      </c>
      <c r="Y7653" s="38">
        <v>2.0010000000000002E-3</v>
      </c>
      <c r="Z7653" s="21">
        <v>4601004240155</v>
      </c>
    </row>
    <row r="7654" spans="1:26" ht="12" customHeight="1" outlineLevel="3" x14ac:dyDescent="0.2">
      <c r="A7654" s="14" t="s">
        <v>14648</v>
      </c>
      <c r="B7654" s="26" t="s">
        <v>14649</v>
      </c>
      <c r="C7654" s="52"/>
      <c r="D7654" s="55">
        <f t="shared" si="119"/>
        <v>0</v>
      </c>
      <c r="E7654" s="63" t="str">
        <f>HYPERLINK("https://www.sds-group.ru/product/trubka-domofona-s-indikatorom-i-regulyatorom-zvuka-rx-348-rexant-45-0348/", "Инфо")</f>
        <v>Инфо</v>
      </c>
      <c r="F7654" s="16" t="s">
        <v>39</v>
      </c>
      <c r="G7654" s="15"/>
      <c r="H7654" s="15"/>
      <c r="I7654" s="15"/>
      <c r="J7654" s="22">
        <v>17362</v>
      </c>
      <c r="K7654" s="15" t="s">
        <v>8890</v>
      </c>
      <c r="L7654" s="17">
        <v>1</v>
      </c>
      <c r="M7654" s="17">
        <v>32</v>
      </c>
      <c r="N7654" s="17">
        <v>1</v>
      </c>
      <c r="O7654" s="18">
        <v>1145.3900000000001</v>
      </c>
      <c r="P7654" s="18">
        <v>938.84</v>
      </c>
      <c r="Q7654" s="18">
        <v>801.77</v>
      </c>
      <c r="R7654" s="18">
        <v>657.19</v>
      </c>
      <c r="S7654" s="18">
        <v>778.87</v>
      </c>
      <c r="T7654" s="18">
        <v>638.41999999999996</v>
      </c>
      <c r="U7654" s="16"/>
      <c r="V7654" s="16"/>
      <c r="W7654" s="16"/>
      <c r="X7654" s="19">
        <v>0.29399999999999998</v>
      </c>
      <c r="Y7654" s="20">
        <v>1.4599999999999999E-3</v>
      </c>
      <c r="Z7654" s="21">
        <v>4601004067998</v>
      </c>
    </row>
    <row r="7655" spans="1:26" ht="12.95" customHeight="1" outlineLevel="2" x14ac:dyDescent="0.2">
      <c r="A7655" s="76" t="s">
        <v>14650</v>
      </c>
      <c r="B7655" s="76"/>
      <c r="C7655" s="77"/>
      <c r="D7655" s="58"/>
      <c r="E7655" s="68"/>
      <c r="F7655" s="13"/>
      <c r="G7655" s="13"/>
      <c r="H7655" s="13"/>
      <c r="I7655" s="13"/>
      <c r="J7655" s="13"/>
      <c r="K7655" s="13"/>
      <c r="L7655" s="13"/>
      <c r="M7655" s="13"/>
      <c r="N7655" s="13"/>
      <c r="O7655" s="13"/>
      <c r="P7655" s="13"/>
      <c r="Q7655" s="13"/>
      <c r="R7655" s="13"/>
      <c r="S7655" s="13"/>
      <c r="T7655" s="13"/>
      <c r="U7655" s="13"/>
      <c r="V7655" s="13"/>
      <c r="W7655" s="13"/>
      <c r="X7655" s="13"/>
      <c r="Y7655" s="13"/>
      <c r="Z7655" s="13"/>
    </row>
    <row r="7656" spans="1:26" ht="12" customHeight="1" outlineLevel="3" x14ac:dyDescent="0.2">
      <c r="A7656" s="32" t="s">
        <v>14651</v>
      </c>
      <c r="B7656" s="74" t="s">
        <v>14652</v>
      </c>
      <c r="C7656" s="50"/>
      <c r="D7656" s="53">
        <f t="shared" si="119"/>
        <v>0</v>
      </c>
      <c r="E7656" s="60" t="str">
        <f>HYPERLINK("https://www.sds-group.ru/product/dublikator-elektronnyh-klyuchey-125khz-format-em-marin-46-0253/", "Инфо")</f>
        <v>Инфо</v>
      </c>
      <c r="F7656" s="34" t="s">
        <v>39</v>
      </c>
      <c r="G7656" s="33"/>
      <c r="H7656" s="33" t="s">
        <v>40</v>
      </c>
      <c r="I7656" s="33"/>
      <c r="J7656" s="35">
        <v>79</v>
      </c>
      <c r="K7656" s="33"/>
      <c r="L7656" s="35">
        <v>1</v>
      </c>
      <c r="M7656" s="35">
        <v>100</v>
      </c>
      <c r="N7656" s="35">
        <v>1</v>
      </c>
      <c r="O7656" s="36">
        <v>1639.4</v>
      </c>
      <c r="P7656" s="36">
        <v>1343.77</v>
      </c>
      <c r="Q7656" s="36">
        <v>1147.58</v>
      </c>
      <c r="R7656" s="36">
        <v>940.64</v>
      </c>
      <c r="S7656" s="36">
        <v>1114.79</v>
      </c>
      <c r="T7656" s="36">
        <v>913.76</v>
      </c>
      <c r="U7656" s="34"/>
      <c r="V7656" s="34"/>
      <c r="W7656" s="34"/>
      <c r="X7656" s="37">
        <v>8.3000000000000004E-2</v>
      </c>
      <c r="Y7656" s="38">
        <v>5.4199999999999995E-4</v>
      </c>
      <c r="Z7656" s="21">
        <v>4601004103283</v>
      </c>
    </row>
    <row r="7657" spans="1:26" ht="12" customHeight="1" outlineLevel="3" x14ac:dyDescent="0.2">
      <c r="A7657" s="32" t="s">
        <v>14653</v>
      </c>
      <c r="B7657" s="74" t="s">
        <v>14654</v>
      </c>
      <c r="C7657" s="50"/>
      <c r="D7657" s="53">
        <f t="shared" si="119"/>
        <v>0</v>
      </c>
      <c r="E7657" s="60" t="str">
        <f>HYPERLINK("https://www.sds-group.ru/product/kompaktnyy-elektronnyy-klyuch-karta-125khz-format-em-marin-belyy-rexant-46-0220/", "Инфо")</f>
        <v>Инфо</v>
      </c>
      <c r="F7657" s="34" t="s">
        <v>39</v>
      </c>
      <c r="G7657" s="33"/>
      <c r="H7657" s="33" t="s">
        <v>40</v>
      </c>
      <c r="I7657" s="33"/>
      <c r="J7657" s="39">
        <v>1200</v>
      </c>
      <c r="K7657" s="33"/>
      <c r="L7657" s="35">
        <v>100</v>
      </c>
      <c r="M7657" s="39">
        <v>2500</v>
      </c>
      <c r="N7657" s="35">
        <v>100</v>
      </c>
      <c r="O7657" s="36">
        <v>77.92</v>
      </c>
      <c r="P7657" s="36">
        <v>63.87</v>
      </c>
      <c r="Q7657" s="36">
        <v>54.54</v>
      </c>
      <c r="R7657" s="36">
        <v>44.7</v>
      </c>
      <c r="S7657" s="36">
        <v>52.99</v>
      </c>
      <c r="T7657" s="36">
        <v>43.43</v>
      </c>
      <c r="U7657" s="34"/>
      <c r="V7657" s="34"/>
      <c r="W7657" s="34"/>
      <c r="X7657" s="37">
        <v>8.0000000000000002E-3</v>
      </c>
      <c r="Y7657" s="38">
        <v>1.8E-5</v>
      </c>
      <c r="Z7657" s="21">
        <v>4601004241268</v>
      </c>
    </row>
    <row r="7658" spans="1:26" ht="12" customHeight="1" outlineLevel="3" x14ac:dyDescent="0.2">
      <c r="A7658" s="32" t="s">
        <v>14655</v>
      </c>
      <c r="B7658" s="74" t="s">
        <v>14656</v>
      </c>
      <c r="C7658" s="50"/>
      <c r="D7658" s="53">
        <f t="shared" si="119"/>
        <v>0</v>
      </c>
      <c r="E7658" s="60" t="str">
        <f>HYPERLINK("https://www.sds-group.ru/product/elektronnyy-klyuch-braslet-125-khz-format-em-marin-46-0257/", "Инфо")</f>
        <v>Инфо</v>
      </c>
      <c r="F7658" s="34" t="s">
        <v>39</v>
      </c>
      <c r="G7658" s="33"/>
      <c r="H7658" s="33" t="s">
        <v>40</v>
      </c>
      <c r="I7658" s="33"/>
      <c r="J7658" s="39">
        <v>2800</v>
      </c>
      <c r="K7658" s="33"/>
      <c r="L7658" s="35">
        <v>100</v>
      </c>
      <c r="M7658" s="39">
        <v>1000</v>
      </c>
      <c r="N7658" s="35">
        <v>100</v>
      </c>
      <c r="O7658" s="36">
        <v>158.29</v>
      </c>
      <c r="P7658" s="36">
        <v>129.75</v>
      </c>
      <c r="Q7658" s="36">
        <v>110.8</v>
      </c>
      <c r="R7658" s="36">
        <v>90.82</v>
      </c>
      <c r="S7658" s="36">
        <v>107.64</v>
      </c>
      <c r="T7658" s="36">
        <v>88.23</v>
      </c>
      <c r="U7658" s="34"/>
      <c r="V7658" s="34"/>
      <c r="W7658" s="34"/>
      <c r="X7658" s="37">
        <v>1.2999999999999999E-2</v>
      </c>
      <c r="Y7658" s="38">
        <v>3.0000000000000001E-5</v>
      </c>
      <c r="Z7658" s="21">
        <v>4601004137516</v>
      </c>
    </row>
    <row r="7659" spans="1:26" ht="12" customHeight="1" outlineLevel="3" x14ac:dyDescent="0.2">
      <c r="A7659" s="32" t="s">
        <v>14657</v>
      </c>
      <c r="B7659" s="74" t="s">
        <v>14658</v>
      </c>
      <c r="C7659" s="50"/>
      <c r="D7659" s="53">
        <f t="shared" si="119"/>
        <v>0</v>
      </c>
      <c r="E7659" s="60" t="str">
        <f>HYPERLINK("https://www.sds-group.ru/product/elektronnyy-klyuch-braslet-125-khz-format-em-marin-individualnaya-upakovka-1-sht-46-0257-1/", "Инфо")</f>
        <v>Инфо</v>
      </c>
      <c r="F7659" s="34" t="s">
        <v>39</v>
      </c>
      <c r="G7659" s="33"/>
      <c r="H7659" s="33" t="s">
        <v>40</v>
      </c>
      <c r="I7659" s="33"/>
      <c r="J7659" s="35">
        <v>17</v>
      </c>
      <c r="K7659" s="33"/>
      <c r="L7659" s="35">
        <v>5</v>
      </c>
      <c r="M7659" s="39">
        <v>1000</v>
      </c>
      <c r="N7659" s="35">
        <v>5</v>
      </c>
      <c r="O7659" s="36">
        <v>274.05</v>
      </c>
      <c r="P7659" s="36">
        <v>224.63</v>
      </c>
      <c r="Q7659" s="36">
        <v>232.94</v>
      </c>
      <c r="R7659" s="36">
        <v>190.93</v>
      </c>
      <c r="S7659" s="36">
        <v>186.35</v>
      </c>
      <c r="T7659" s="36">
        <v>152.75</v>
      </c>
      <c r="U7659" s="34"/>
      <c r="V7659" s="34"/>
      <c r="W7659" s="34" t="s">
        <v>40</v>
      </c>
      <c r="X7659" s="37">
        <v>1.2999999999999999E-2</v>
      </c>
      <c r="Y7659" s="38">
        <v>1.17E-4</v>
      </c>
      <c r="Z7659" s="21">
        <v>4601004155107</v>
      </c>
    </row>
    <row r="7660" spans="1:26" ht="12" customHeight="1" outlineLevel="3" x14ac:dyDescent="0.2">
      <c r="A7660" s="32" t="s">
        <v>14659</v>
      </c>
      <c r="B7660" s="74" t="s">
        <v>14660</v>
      </c>
      <c r="C7660" s="50"/>
      <c r="D7660" s="53">
        <f t="shared" si="119"/>
        <v>0</v>
      </c>
      <c r="E7660" s="60" t="str">
        <f>HYPERLINK("https://www.sds-group.ru/product/elektronnyy-klyuch-brelok-125khz-format-em-marin-46-0221/", "Инфо")</f>
        <v>Инфо</v>
      </c>
      <c r="F7660" s="34" t="s">
        <v>39</v>
      </c>
      <c r="G7660" s="33"/>
      <c r="H7660" s="33" t="s">
        <v>40</v>
      </c>
      <c r="I7660" s="33"/>
      <c r="J7660" s="39">
        <v>6100</v>
      </c>
      <c r="K7660" s="33"/>
      <c r="L7660" s="35">
        <v>50</v>
      </c>
      <c r="M7660" s="39">
        <v>3750</v>
      </c>
      <c r="N7660" s="35">
        <v>50</v>
      </c>
      <c r="O7660" s="36">
        <v>43.88</v>
      </c>
      <c r="P7660" s="36">
        <v>35.97</v>
      </c>
      <c r="Q7660" s="36">
        <v>37.299999999999997</v>
      </c>
      <c r="R7660" s="36">
        <v>30.57</v>
      </c>
      <c r="S7660" s="36">
        <v>29.84</v>
      </c>
      <c r="T7660" s="36">
        <v>24.46</v>
      </c>
      <c r="U7660" s="34"/>
      <c r="V7660" s="34"/>
      <c r="W7660" s="34" t="s">
        <v>40</v>
      </c>
      <c r="X7660" s="37">
        <v>5.0000000000000001E-3</v>
      </c>
      <c r="Y7660" s="38">
        <v>1.2E-5</v>
      </c>
      <c r="Z7660" s="21">
        <v>4601004063198</v>
      </c>
    </row>
    <row r="7661" spans="1:26" ht="12" customHeight="1" outlineLevel="3" x14ac:dyDescent="0.2">
      <c r="A7661" s="32" t="s">
        <v>14661</v>
      </c>
      <c r="B7661" s="74" t="s">
        <v>14662</v>
      </c>
      <c r="C7661" s="50"/>
      <c r="D7661" s="53">
        <f t="shared" si="119"/>
        <v>0</v>
      </c>
      <c r="E7661" s="60" t="str">
        <f>HYPERLINK("https://www.sds-group.ru/product/elektronnyy-klyuch-brelok-125khz-format-em-marin-individualnaya-upakovka-1-sht-46-0221-1/", "Инфо")</f>
        <v>Инфо</v>
      </c>
      <c r="F7661" s="34" t="s">
        <v>39</v>
      </c>
      <c r="G7661" s="33"/>
      <c r="H7661" s="33" t="s">
        <v>40</v>
      </c>
      <c r="I7661" s="33"/>
      <c r="J7661" s="35">
        <v>210</v>
      </c>
      <c r="K7661" s="33"/>
      <c r="L7661" s="35">
        <v>10</v>
      </c>
      <c r="M7661" s="35">
        <v>250</v>
      </c>
      <c r="N7661" s="35">
        <v>10</v>
      </c>
      <c r="O7661" s="36">
        <v>58.93</v>
      </c>
      <c r="P7661" s="36">
        <v>48.3</v>
      </c>
      <c r="Q7661" s="36">
        <v>50.09</v>
      </c>
      <c r="R7661" s="36">
        <v>41.06</v>
      </c>
      <c r="S7661" s="36">
        <v>40.07</v>
      </c>
      <c r="T7661" s="36">
        <v>32.840000000000003</v>
      </c>
      <c r="U7661" s="34"/>
      <c r="V7661" s="34"/>
      <c r="W7661" s="34" t="s">
        <v>40</v>
      </c>
      <c r="X7661" s="37">
        <v>6.0000000000000001E-3</v>
      </c>
      <c r="Y7661" s="38">
        <v>2.0999999999999999E-5</v>
      </c>
      <c r="Z7661" s="21">
        <v>4601004123953</v>
      </c>
    </row>
    <row r="7662" spans="1:26" ht="12" customHeight="1" outlineLevel="3" x14ac:dyDescent="0.2">
      <c r="A7662" s="32" t="s">
        <v>14663</v>
      </c>
      <c r="B7662" s="74" t="s">
        <v>14664</v>
      </c>
      <c r="C7662" s="50"/>
      <c r="D7662" s="53">
        <f t="shared" si="119"/>
        <v>0</v>
      </c>
      <c r="E7662" s="60" t="str">
        <f>HYPERLINK("https://www.sds-group.ru/product/elektronnyy-klyuch-brelok-13-56-mhz-format-mifare-46-0223/", "Инфо")</f>
        <v>Инфо</v>
      </c>
      <c r="F7662" s="34" t="s">
        <v>39</v>
      </c>
      <c r="G7662" s="33"/>
      <c r="H7662" s="33" t="s">
        <v>40</v>
      </c>
      <c r="I7662" s="33"/>
      <c r="J7662" s="39">
        <v>14550</v>
      </c>
      <c r="K7662" s="33"/>
      <c r="L7662" s="35">
        <v>50</v>
      </c>
      <c r="M7662" s="39">
        <v>3750</v>
      </c>
      <c r="N7662" s="35">
        <v>50</v>
      </c>
      <c r="O7662" s="36">
        <v>64.41</v>
      </c>
      <c r="P7662" s="36">
        <v>52.8</v>
      </c>
      <c r="Q7662" s="36">
        <v>45.09</v>
      </c>
      <c r="R7662" s="36">
        <v>36.96</v>
      </c>
      <c r="S7662" s="36">
        <v>43.8</v>
      </c>
      <c r="T7662" s="36">
        <v>35.9</v>
      </c>
      <c r="U7662" s="34"/>
      <c r="V7662" s="34"/>
      <c r="W7662" s="34"/>
      <c r="X7662" s="37">
        <v>5.0000000000000001E-3</v>
      </c>
      <c r="Y7662" s="38">
        <v>1.2E-5</v>
      </c>
      <c r="Z7662" s="21">
        <v>4601004063181</v>
      </c>
    </row>
    <row r="7663" spans="1:26" ht="12" customHeight="1" outlineLevel="3" x14ac:dyDescent="0.2">
      <c r="A7663" s="32" t="s">
        <v>14665</v>
      </c>
      <c r="B7663" s="74" t="s">
        <v>14666</v>
      </c>
      <c r="C7663" s="50"/>
      <c r="D7663" s="53">
        <f t="shared" si="119"/>
        <v>0</v>
      </c>
      <c r="E7663" s="60" t="str">
        <f>HYPERLINK("https://www.sds-group.ru/product/elektronnyy-klyuch-brelok-13-56-mhz-format-mifare-individualnaya-upakovka-1-sht-46-0223-1/", "Инфо")</f>
        <v>Инфо</v>
      </c>
      <c r="F7663" s="34" t="s">
        <v>39</v>
      </c>
      <c r="G7663" s="33"/>
      <c r="H7663" s="33" t="s">
        <v>40</v>
      </c>
      <c r="I7663" s="33"/>
      <c r="J7663" s="35">
        <v>710</v>
      </c>
      <c r="K7663" s="33"/>
      <c r="L7663" s="35">
        <v>10</v>
      </c>
      <c r="M7663" s="35">
        <v>250</v>
      </c>
      <c r="N7663" s="35">
        <v>10</v>
      </c>
      <c r="O7663" s="36">
        <v>96.8</v>
      </c>
      <c r="P7663" s="36">
        <v>79.34</v>
      </c>
      <c r="Q7663" s="36">
        <v>82.28</v>
      </c>
      <c r="R7663" s="36">
        <v>67.44</v>
      </c>
      <c r="S7663" s="36">
        <v>65.819999999999993</v>
      </c>
      <c r="T7663" s="36">
        <v>53.95</v>
      </c>
      <c r="U7663" s="34"/>
      <c r="V7663" s="34"/>
      <c r="W7663" s="34" t="s">
        <v>40</v>
      </c>
      <c r="X7663" s="37">
        <v>5.0000000000000001E-3</v>
      </c>
      <c r="Y7663" s="38">
        <v>3.6999999999999998E-5</v>
      </c>
      <c r="Z7663" s="21">
        <v>4601004123946</v>
      </c>
    </row>
    <row r="7664" spans="1:26" ht="12" customHeight="1" outlineLevel="3" x14ac:dyDescent="0.2">
      <c r="A7664" s="32" t="s">
        <v>14667</v>
      </c>
      <c r="B7664" s="74" t="s">
        <v>14668</v>
      </c>
      <c r="C7664" s="50"/>
      <c r="D7664" s="53">
        <f t="shared" si="119"/>
        <v>0</v>
      </c>
      <c r="E7664" s="60" t="str">
        <f>HYPERLINK("https://www.sds-group.ru/product/elektronnyy-klyuch-karta-s-prorezyu-125khz-format-em-marin-46-0227/", "Инфо")</f>
        <v>Инфо</v>
      </c>
      <c r="F7664" s="34" t="s">
        <v>39</v>
      </c>
      <c r="G7664" s="33"/>
      <c r="H7664" s="33" t="s">
        <v>40</v>
      </c>
      <c r="I7664" s="33"/>
      <c r="J7664" s="39">
        <v>28600</v>
      </c>
      <c r="K7664" s="33"/>
      <c r="L7664" s="35">
        <v>100</v>
      </c>
      <c r="M7664" s="39">
        <v>2500</v>
      </c>
      <c r="N7664" s="35">
        <v>100</v>
      </c>
      <c r="O7664" s="36">
        <v>49.98</v>
      </c>
      <c r="P7664" s="36">
        <v>40.97</v>
      </c>
      <c r="Q7664" s="36">
        <v>42.48</v>
      </c>
      <c r="R7664" s="36">
        <v>34.82</v>
      </c>
      <c r="S7664" s="36">
        <v>33.99</v>
      </c>
      <c r="T7664" s="36">
        <v>27.86</v>
      </c>
      <c r="U7664" s="34"/>
      <c r="V7664" s="34"/>
      <c r="W7664" s="34" t="s">
        <v>40</v>
      </c>
      <c r="X7664" s="37">
        <v>8.9999999999999993E-3</v>
      </c>
      <c r="Y7664" s="38">
        <v>1.4E-5</v>
      </c>
      <c r="Z7664" s="21">
        <v>4601004080331</v>
      </c>
    </row>
    <row r="7665" spans="1:26" ht="12" customHeight="1" outlineLevel="3" x14ac:dyDescent="0.2">
      <c r="A7665" s="32" t="s">
        <v>14669</v>
      </c>
      <c r="B7665" s="74" t="s">
        <v>14670</v>
      </c>
      <c r="C7665" s="50"/>
      <c r="D7665" s="53">
        <f t="shared" si="119"/>
        <v>0</v>
      </c>
      <c r="E7665" s="60" t="str">
        <f>HYPERLINK("https://www.sds-group.ru/product/elektronnyy-klyuch-karta-s-prorezyu-125khz-format-em-marin-individualnaya-upakovka-1-sht-46-0227-1/", "Инфо")</f>
        <v>Инфо</v>
      </c>
      <c r="F7665" s="34" t="s">
        <v>39</v>
      </c>
      <c r="G7665" s="33"/>
      <c r="H7665" s="33" t="s">
        <v>40</v>
      </c>
      <c r="I7665" s="33"/>
      <c r="J7665" s="35">
        <v>87</v>
      </c>
      <c r="K7665" s="33"/>
      <c r="L7665" s="35">
        <v>10</v>
      </c>
      <c r="M7665" s="35">
        <v>250</v>
      </c>
      <c r="N7665" s="35">
        <v>10</v>
      </c>
      <c r="O7665" s="36">
        <v>84.82</v>
      </c>
      <c r="P7665" s="36">
        <v>69.52</v>
      </c>
      <c r="Q7665" s="36">
        <v>72.099999999999994</v>
      </c>
      <c r="R7665" s="36">
        <v>59.1</v>
      </c>
      <c r="S7665" s="36">
        <v>57.68</v>
      </c>
      <c r="T7665" s="36">
        <v>47.28</v>
      </c>
      <c r="U7665" s="34"/>
      <c r="V7665" s="34"/>
      <c r="W7665" s="34" t="s">
        <v>40</v>
      </c>
      <c r="X7665" s="37">
        <v>0.01</v>
      </c>
      <c r="Y7665" s="38">
        <v>3.6999999999999998E-5</v>
      </c>
      <c r="Z7665" s="21">
        <v>4601004123939</v>
      </c>
    </row>
    <row r="7666" spans="1:26" ht="12" customHeight="1" outlineLevel="3" x14ac:dyDescent="0.2">
      <c r="A7666" s="32" t="s">
        <v>14671</v>
      </c>
      <c r="B7666" s="74" t="s">
        <v>14672</v>
      </c>
      <c r="C7666" s="50"/>
      <c r="D7666" s="53">
        <f t="shared" si="119"/>
        <v>0</v>
      </c>
      <c r="E7666" s="60" t="str">
        <f>HYPERLINK("https://www.sds-group.ru/product/elektronnyy-klyuch-karta-125khz-format-em-marin-46-0225/", "Инфо")</f>
        <v>Инфо</v>
      </c>
      <c r="F7666" s="34" t="s">
        <v>39</v>
      </c>
      <c r="G7666" s="33"/>
      <c r="H7666" s="33" t="s">
        <v>40</v>
      </c>
      <c r="I7666" s="33"/>
      <c r="J7666" s="39">
        <v>9700</v>
      </c>
      <c r="K7666" s="33"/>
      <c r="L7666" s="35">
        <v>100</v>
      </c>
      <c r="M7666" s="39">
        <v>5000</v>
      </c>
      <c r="N7666" s="35">
        <v>100</v>
      </c>
      <c r="O7666" s="36">
        <v>34.869999999999997</v>
      </c>
      <c r="P7666" s="36">
        <v>28.58</v>
      </c>
      <c r="Q7666" s="36">
        <v>29.64</v>
      </c>
      <c r="R7666" s="36">
        <v>24.3</v>
      </c>
      <c r="S7666" s="36">
        <v>23.71</v>
      </c>
      <c r="T7666" s="36">
        <v>19.43</v>
      </c>
      <c r="U7666" s="34"/>
      <c r="V7666" s="34"/>
      <c r="W7666" s="34" t="s">
        <v>40</v>
      </c>
      <c r="X7666" s="37">
        <v>7.0000000000000001E-3</v>
      </c>
      <c r="Y7666" s="38">
        <v>9.0000000000000002E-6</v>
      </c>
      <c r="Z7666" s="21">
        <v>4601004063204</v>
      </c>
    </row>
    <row r="7667" spans="1:26" ht="12" customHeight="1" outlineLevel="3" x14ac:dyDescent="0.2">
      <c r="A7667" s="32" t="s">
        <v>14673</v>
      </c>
      <c r="B7667" s="74" t="s">
        <v>14674</v>
      </c>
      <c r="C7667" s="50"/>
      <c r="D7667" s="53">
        <f t="shared" si="119"/>
        <v>0</v>
      </c>
      <c r="E7667" s="60" t="str">
        <f>HYPERLINK("https://www.sds-group.ru/product/elektronnyy-klyuch-karta-125khz-format-em-marin-individualnaya-upakovka-1-sht-46-0225-1/", "Инфо")</f>
        <v>Инфо</v>
      </c>
      <c r="F7667" s="34" t="s">
        <v>39</v>
      </c>
      <c r="G7667" s="33"/>
      <c r="H7667" s="33" t="s">
        <v>40</v>
      </c>
      <c r="I7667" s="33"/>
      <c r="J7667" s="39">
        <v>1479</v>
      </c>
      <c r="K7667" s="33"/>
      <c r="L7667" s="35">
        <v>10</v>
      </c>
      <c r="M7667" s="35">
        <v>250</v>
      </c>
      <c r="N7667" s="35">
        <v>10</v>
      </c>
      <c r="O7667" s="36">
        <v>61.07</v>
      </c>
      <c r="P7667" s="36">
        <v>50.06</v>
      </c>
      <c r="Q7667" s="36">
        <v>51.91</v>
      </c>
      <c r="R7667" s="36">
        <v>42.55</v>
      </c>
      <c r="S7667" s="36">
        <v>41.53</v>
      </c>
      <c r="T7667" s="36">
        <v>34.04</v>
      </c>
      <c r="U7667" s="34"/>
      <c r="V7667" s="34"/>
      <c r="W7667" s="34" t="s">
        <v>40</v>
      </c>
      <c r="X7667" s="37">
        <v>8.0000000000000002E-3</v>
      </c>
      <c r="Y7667" s="38">
        <v>2.3E-5</v>
      </c>
      <c r="Z7667" s="21">
        <v>4601004123960</v>
      </c>
    </row>
    <row r="7668" spans="1:26" ht="12.95" customHeight="1" outlineLevel="2" x14ac:dyDescent="0.2">
      <c r="A7668" s="82" t="s">
        <v>14675</v>
      </c>
      <c r="B7668" s="82"/>
      <c r="C7668" s="83"/>
      <c r="D7668" s="59"/>
      <c r="E7668" s="69"/>
      <c r="F7668" s="23"/>
      <c r="G7668" s="23"/>
      <c r="H7668" s="23"/>
      <c r="I7668" s="23"/>
      <c r="J7668" s="23"/>
      <c r="K7668" s="23"/>
      <c r="L7668" s="23"/>
      <c r="M7668" s="23"/>
      <c r="N7668" s="23"/>
      <c r="O7668" s="23"/>
      <c r="P7668" s="23"/>
      <c r="Q7668" s="23"/>
      <c r="R7668" s="23"/>
      <c r="S7668" s="23"/>
      <c r="T7668" s="23"/>
      <c r="U7668" s="23"/>
      <c r="V7668" s="23"/>
      <c r="W7668" s="23"/>
      <c r="X7668" s="23"/>
      <c r="Y7668" s="23"/>
      <c r="Z7668" s="23"/>
    </row>
    <row r="7669" spans="1:26" ht="12" customHeight="1" outlineLevel="3" x14ac:dyDescent="0.2">
      <c r="A7669" s="32" t="s">
        <v>14676</v>
      </c>
      <c r="B7669" s="74" t="s">
        <v>14677</v>
      </c>
      <c r="C7669" s="50"/>
      <c r="D7669" s="53">
        <f t="shared" si="119"/>
        <v>0</v>
      </c>
      <c r="E7669" s="60" t="str">
        <f>HYPERLINK("https://www.sds-group.ru/product/zamok-elektromehanicheskiy-nakladnoy-universalnyy-sc-10-45-0907/", "Инфо")</f>
        <v>Инфо</v>
      </c>
      <c r="F7669" s="34" t="s">
        <v>39</v>
      </c>
      <c r="G7669" s="33"/>
      <c r="H7669" s="33" t="s">
        <v>40</v>
      </c>
      <c r="I7669" s="33"/>
      <c r="J7669" s="35">
        <v>161</v>
      </c>
      <c r="K7669" s="33"/>
      <c r="L7669" s="35">
        <v>1</v>
      </c>
      <c r="M7669" s="35">
        <v>12</v>
      </c>
      <c r="N7669" s="35">
        <v>1</v>
      </c>
      <c r="O7669" s="36">
        <v>1667.08</v>
      </c>
      <c r="P7669" s="36">
        <v>1366.46</v>
      </c>
      <c r="Q7669" s="36">
        <v>1166.96</v>
      </c>
      <c r="R7669" s="36">
        <v>956.52</v>
      </c>
      <c r="S7669" s="36">
        <v>1133.6099999999999</v>
      </c>
      <c r="T7669" s="36">
        <v>929.19</v>
      </c>
      <c r="U7669" s="34"/>
      <c r="V7669" s="34"/>
      <c r="W7669" s="34"/>
      <c r="X7669" s="37">
        <v>1.5149999999999999</v>
      </c>
      <c r="Y7669" s="38">
        <v>1.5460000000000001E-3</v>
      </c>
      <c r="Z7669" s="21">
        <v>4601004146679</v>
      </c>
    </row>
    <row r="7670" spans="1:26" ht="12" customHeight="1" outlineLevel="3" x14ac:dyDescent="0.2">
      <c r="A7670" s="32" t="s">
        <v>14678</v>
      </c>
      <c r="B7670" s="74" t="s">
        <v>14679</v>
      </c>
      <c r="C7670" s="50"/>
      <c r="D7670" s="53">
        <f t="shared" si="119"/>
        <v>0</v>
      </c>
      <c r="E7670" s="60" t="str">
        <f>HYPERLINK("https://www.sds-group.ru/product/zamok-elektromehanicheskiy-nakladnoy-universalnyy-sc-20-s-vozmozhnostyu-blokirovki-knopki-ot-45-0909/", "Инфо")</f>
        <v>Инфо</v>
      </c>
      <c r="F7670" s="34" t="s">
        <v>39</v>
      </c>
      <c r="G7670" s="33"/>
      <c r="H7670" s="33" t="s">
        <v>40</v>
      </c>
      <c r="I7670" s="33"/>
      <c r="J7670" s="35">
        <v>264</v>
      </c>
      <c r="K7670" s="33"/>
      <c r="L7670" s="35">
        <v>1</v>
      </c>
      <c r="M7670" s="35">
        <v>12</v>
      </c>
      <c r="N7670" s="35">
        <v>1</v>
      </c>
      <c r="O7670" s="36">
        <v>2412.2399999999998</v>
      </c>
      <c r="P7670" s="36">
        <v>1977.25</v>
      </c>
      <c r="Q7670" s="36">
        <v>1688.57</v>
      </c>
      <c r="R7670" s="36">
        <v>1384.07</v>
      </c>
      <c r="S7670" s="36">
        <v>1640.32</v>
      </c>
      <c r="T7670" s="36">
        <v>1344.52</v>
      </c>
      <c r="U7670" s="34"/>
      <c r="V7670" s="34"/>
      <c r="W7670" s="34"/>
      <c r="X7670" s="37">
        <v>1.5620000000000001</v>
      </c>
      <c r="Y7670" s="38">
        <v>1.4300000000000001E-3</v>
      </c>
      <c r="Z7670" s="21">
        <v>4601004146686</v>
      </c>
    </row>
    <row r="7671" spans="1:26" ht="12.95" customHeight="1" outlineLevel="2" x14ac:dyDescent="0.2">
      <c r="A7671" s="76" t="s">
        <v>14680</v>
      </c>
      <c r="B7671" s="76"/>
      <c r="C7671" s="77"/>
      <c r="D7671" s="58"/>
      <c r="E7671" s="68"/>
      <c r="F7671" s="13"/>
      <c r="G7671" s="13"/>
      <c r="H7671" s="13"/>
      <c r="I7671" s="13"/>
      <c r="J7671" s="13"/>
      <c r="K7671" s="13"/>
      <c r="L7671" s="13"/>
      <c r="M7671" s="13"/>
      <c r="N7671" s="13"/>
      <c r="O7671" s="13"/>
      <c r="P7671" s="13"/>
      <c r="Q7671" s="13"/>
      <c r="R7671" s="13"/>
      <c r="S7671" s="13"/>
      <c r="T7671" s="13"/>
      <c r="U7671" s="13"/>
      <c r="V7671" s="13"/>
      <c r="W7671" s="13"/>
      <c r="X7671" s="13"/>
      <c r="Y7671" s="13"/>
      <c r="Z7671" s="13"/>
    </row>
    <row r="7672" spans="1:26" ht="12" customHeight="1" outlineLevel="3" x14ac:dyDescent="0.2">
      <c r="A7672" s="32" t="s">
        <v>14681</v>
      </c>
      <c r="B7672" s="74" t="s">
        <v>14682</v>
      </c>
      <c r="C7672" s="50"/>
      <c r="D7672" s="53">
        <f t="shared" si="119"/>
        <v>0</v>
      </c>
      <c r="E7672" s="60" t="str">
        <f>HYPERLINK("https://www.sds-group.ru/product/knopka-vyhod-metallicheskaya-sb-30-45-0955/", "Инфо")</f>
        <v>Инфо</v>
      </c>
      <c r="F7672" s="34" t="s">
        <v>39</v>
      </c>
      <c r="G7672" s="33"/>
      <c r="H7672" s="33" t="s">
        <v>40</v>
      </c>
      <c r="I7672" s="33"/>
      <c r="J7672" s="35">
        <v>10</v>
      </c>
      <c r="K7672" s="33"/>
      <c r="L7672" s="35">
        <v>1</v>
      </c>
      <c r="M7672" s="35">
        <v>100</v>
      </c>
      <c r="N7672" s="35">
        <v>1</v>
      </c>
      <c r="O7672" s="36">
        <v>1190.8</v>
      </c>
      <c r="P7672" s="36">
        <v>976.07</v>
      </c>
      <c r="Q7672" s="36">
        <v>833.56</v>
      </c>
      <c r="R7672" s="36">
        <v>683.25</v>
      </c>
      <c r="S7672" s="36">
        <v>809.74</v>
      </c>
      <c r="T7672" s="36">
        <v>663.72</v>
      </c>
      <c r="U7672" s="34"/>
      <c r="V7672" s="34"/>
      <c r="W7672" s="34"/>
      <c r="X7672" s="37">
        <v>0.13100000000000001</v>
      </c>
      <c r="Y7672" s="38">
        <v>1.5699999999999999E-4</v>
      </c>
      <c r="Z7672" s="21">
        <v>4601004146716</v>
      </c>
    </row>
    <row r="7673" spans="1:26" ht="12.95" customHeight="1" outlineLevel="1" x14ac:dyDescent="0.2">
      <c r="A7673" s="78" t="s">
        <v>14683</v>
      </c>
      <c r="B7673" s="78"/>
      <c r="C7673" s="79"/>
      <c r="D7673" s="57"/>
      <c r="E7673" s="67"/>
      <c r="F7673" s="12"/>
      <c r="G7673" s="12"/>
      <c r="H7673" s="12"/>
      <c r="I7673" s="12"/>
      <c r="J7673" s="12"/>
      <c r="K7673" s="12"/>
      <c r="L7673" s="12"/>
      <c r="M7673" s="12"/>
      <c r="N7673" s="12"/>
      <c r="O7673" s="12"/>
      <c r="P7673" s="12"/>
      <c r="Q7673" s="12"/>
      <c r="R7673" s="12"/>
      <c r="S7673" s="12"/>
      <c r="T7673" s="12"/>
      <c r="U7673" s="12"/>
      <c r="V7673" s="12"/>
      <c r="W7673" s="12"/>
      <c r="X7673" s="12"/>
      <c r="Y7673" s="12"/>
      <c r="Z7673" s="12"/>
    </row>
    <row r="7674" spans="1:26" ht="12.95" customHeight="1" outlineLevel="2" x14ac:dyDescent="0.2">
      <c r="A7674" s="82" t="s">
        <v>14684</v>
      </c>
      <c r="B7674" s="82"/>
      <c r="C7674" s="83"/>
      <c r="D7674" s="59"/>
      <c r="E7674" s="69"/>
      <c r="F7674" s="23"/>
      <c r="G7674" s="23"/>
      <c r="H7674" s="23"/>
      <c r="I7674" s="23"/>
      <c r="J7674" s="23"/>
      <c r="K7674" s="23"/>
      <c r="L7674" s="23"/>
      <c r="M7674" s="23"/>
      <c r="N7674" s="23"/>
      <c r="O7674" s="23"/>
      <c r="P7674" s="23"/>
      <c r="Q7674" s="23"/>
      <c r="R7674" s="23"/>
      <c r="S7674" s="23"/>
      <c r="T7674" s="23"/>
      <c r="U7674" s="23"/>
      <c r="V7674" s="23"/>
      <c r="W7674" s="23"/>
      <c r="X7674" s="23"/>
      <c r="Y7674" s="23"/>
      <c r="Z7674" s="23"/>
    </row>
    <row r="7675" spans="1:26" ht="12" customHeight="1" outlineLevel="3" x14ac:dyDescent="0.2">
      <c r="A7675" s="32" t="s">
        <v>14685</v>
      </c>
      <c r="B7675" s="74" t="s">
        <v>14686</v>
      </c>
      <c r="C7675" s="50"/>
      <c r="D7675" s="53">
        <f t="shared" si="119"/>
        <v>0</v>
      </c>
      <c r="E7675" s="60" t="str">
        <f>HYPERLINK("https://www.sds-group.ru/product/besprovodnoy-datchik-otkrytiya-dlya-gs-115-s-otklyuchaemoy-indikatsiey-gerkon-model-gs-241-r-46-0241/", "Инфо")</f>
        <v>Инфо</v>
      </c>
      <c r="F7675" s="34" t="s">
        <v>39</v>
      </c>
      <c r="G7675" s="33"/>
      <c r="H7675" s="33" t="s">
        <v>40</v>
      </c>
      <c r="I7675" s="33"/>
      <c r="J7675" s="35">
        <v>223</v>
      </c>
      <c r="K7675" s="33"/>
      <c r="L7675" s="35">
        <v>1</v>
      </c>
      <c r="M7675" s="35">
        <v>100</v>
      </c>
      <c r="N7675" s="35">
        <v>1</v>
      </c>
      <c r="O7675" s="36">
        <v>604.82000000000005</v>
      </c>
      <c r="P7675" s="36">
        <v>495.75</v>
      </c>
      <c r="Q7675" s="36">
        <v>423.37</v>
      </c>
      <c r="R7675" s="36">
        <v>347.02</v>
      </c>
      <c r="S7675" s="36">
        <v>411.28</v>
      </c>
      <c r="T7675" s="36">
        <v>337.11</v>
      </c>
      <c r="U7675" s="34"/>
      <c r="V7675" s="34"/>
      <c r="W7675" s="34"/>
      <c r="X7675" s="37">
        <v>3.6999999999999998E-2</v>
      </c>
      <c r="Y7675" s="38">
        <v>6.7999999999999999E-5</v>
      </c>
      <c r="Z7675" s="21">
        <v>4601004063457</v>
      </c>
    </row>
    <row r="7676" spans="1:26" ht="12.95" customHeight="1" outlineLevel="2" x14ac:dyDescent="0.2">
      <c r="A7676" s="76" t="s">
        <v>14687</v>
      </c>
      <c r="B7676" s="76"/>
      <c r="C7676" s="77"/>
      <c r="D7676" s="58"/>
      <c r="E7676" s="68"/>
      <c r="F7676" s="13"/>
      <c r="G7676" s="13"/>
      <c r="H7676" s="13"/>
      <c r="I7676" s="13"/>
      <c r="J7676" s="13"/>
      <c r="K7676" s="13"/>
      <c r="L7676" s="13"/>
      <c r="M7676" s="13"/>
      <c r="N7676" s="13"/>
      <c r="O7676" s="13"/>
      <c r="P7676" s="13"/>
      <c r="Q7676" s="13"/>
      <c r="R7676" s="13"/>
      <c r="S7676" s="13"/>
      <c r="T7676" s="13"/>
      <c r="U7676" s="13"/>
      <c r="V7676" s="13"/>
      <c r="W7676" s="13"/>
      <c r="X7676" s="13"/>
      <c r="Y7676" s="13"/>
      <c r="Z7676" s="13"/>
    </row>
    <row r="7677" spans="1:26" ht="12" customHeight="1" outlineLevel="3" x14ac:dyDescent="0.2">
      <c r="A7677" s="14" t="s">
        <v>14688</v>
      </c>
      <c r="B7677" s="26" t="s">
        <v>14689</v>
      </c>
      <c r="C7677" s="52"/>
      <c r="D7677" s="55">
        <f t="shared" si="119"/>
        <v>0</v>
      </c>
      <c r="E7677" s="63" t="str">
        <f>HYPERLINK("https://www.sds-group.ru/product/avtonomnaya-signalizatsiya-gerkon-v-upakovke-4sht-model-rx-207-rexant-46-0207/", "Инфо")</f>
        <v>Инфо</v>
      </c>
      <c r="F7677" s="16" t="s">
        <v>1001</v>
      </c>
      <c r="G7677" s="15"/>
      <c r="H7677" s="15"/>
      <c r="I7677" s="15"/>
      <c r="J7677" s="16" t="s">
        <v>100</v>
      </c>
      <c r="K7677" s="15" t="s">
        <v>1094</v>
      </c>
      <c r="L7677" s="17">
        <v>1</v>
      </c>
      <c r="M7677" s="17">
        <v>20</v>
      </c>
      <c r="N7677" s="17">
        <v>1</v>
      </c>
      <c r="O7677" s="18">
        <v>1813.66</v>
      </c>
      <c r="P7677" s="18">
        <v>1486.61</v>
      </c>
      <c r="Q7677" s="18">
        <v>1432.79</v>
      </c>
      <c r="R7677" s="18">
        <v>1174.42</v>
      </c>
      <c r="S7677" s="18">
        <v>1233.29</v>
      </c>
      <c r="T7677" s="18">
        <v>1010.89</v>
      </c>
      <c r="U7677" s="16"/>
      <c r="V7677" s="16"/>
      <c r="W7677" s="16" t="s">
        <v>40</v>
      </c>
      <c r="X7677" s="19">
        <v>0.23</v>
      </c>
      <c r="Y7677" s="20">
        <v>1.0430000000000001E-3</v>
      </c>
      <c r="Z7677" s="21">
        <v>4601004075467</v>
      </c>
    </row>
    <row r="7678" spans="1:26" ht="12" customHeight="1" outlineLevel="3" x14ac:dyDescent="0.2">
      <c r="A7678" s="14" t="s">
        <v>14690</v>
      </c>
      <c r="B7678" s="26" t="s">
        <v>14691</v>
      </c>
      <c r="C7678" s="52"/>
      <c r="D7678" s="55">
        <f t="shared" si="119"/>
        <v>0</v>
      </c>
      <c r="E7678" s="63" t="str">
        <f>HYPERLINK("https://www.sds-group.ru/product/besprovodnoy-zvonok-s-vynosnym-datchikom-dvizheniya-model-gs-215-rexant-46-0215/", "Инфо")</f>
        <v>Инфо</v>
      </c>
      <c r="F7678" s="16" t="s">
        <v>39</v>
      </c>
      <c r="G7678" s="15"/>
      <c r="H7678" s="15"/>
      <c r="I7678" s="15"/>
      <c r="J7678" s="16" t="s">
        <v>100</v>
      </c>
      <c r="K7678" s="15" t="s">
        <v>2706</v>
      </c>
      <c r="L7678" s="17">
        <v>1</v>
      </c>
      <c r="M7678" s="17">
        <v>60</v>
      </c>
      <c r="N7678" s="17">
        <v>1</v>
      </c>
      <c r="O7678" s="18">
        <v>2678.86</v>
      </c>
      <c r="P7678" s="18">
        <v>2195.79</v>
      </c>
      <c r="Q7678" s="18">
        <v>1875.2</v>
      </c>
      <c r="R7678" s="18">
        <v>1537.05</v>
      </c>
      <c r="S7678" s="18">
        <v>1821.62</v>
      </c>
      <c r="T7678" s="18">
        <v>1493.13</v>
      </c>
      <c r="U7678" s="16"/>
      <c r="V7678" s="16"/>
      <c r="W7678" s="16"/>
      <c r="X7678" s="19">
        <v>0.17799999999999999</v>
      </c>
      <c r="Y7678" s="20">
        <v>1.397E-3</v>
      </c>
      <c r="Z7678" s="21">
        <v>4601004067929</v>
      </c>
    </row>
    <row r="7679" spans="1:26" ht="12" customHeight="1" outlineLevel="3" x14ac:dyDescent="0.2">
      <c r="A7679" s="14" t="s">
        <v>14692</v>
      </c>
      <c r="B7679" s="26" t="s">
        <v>14693</v>
      </c>
      <c r="C7679" s="52"/>
      <c r="D7679" s="55">
        <f t="shared" si="119"/>
        <v>0</v>
      </c>
      <c r="E7679" s="63" t="str">
        <f>HYPERLINK("https://www.sds-group.ru/product/besprovodnoy-zvonok-s-datchikom-dvizheniya-model-gs-205-rexant-46-0205/", "Инфо")</f>
        <v>Инфо</v>
      </c>
      <c r="F7679" s="16" t="s">
        <v>39</v>
      </c>
      <c r="G7679" s="15"/>
      <c r="H7679" s="15"/>
      <c r="I7679" s="15"/>
      <c r="J7679" s="17">
        <v>14</v>
      </c>
      <c r="K7679" s="15"/>
      <c r="L7679" s="17">
        <v>1</v>
      </c>
      <c r="M7679" s="17">
        <v>60</v>
      </c>
      <c r="N7679" s="17">
        <v>1</v>
      </c>
      <c r="O7679" s="18">
        <v>1740.2</v>
      </c>
      <c r="P7679" s="18">
        <v>1426.39</v>
      </c>
      <c r="Q7679" s="18">
        <v>1374.76</v>
      </c>
      <c r="R7679" s="18">
        <v>1126.8499999999999</v>
      </c>
      <c r="S7679" s="18">
        <v>1183.3399999999999</v>
      </c>
      <c r="T7679" s="18">
        <v>969.95</v>
      </c>
      <c r="U7679" s="16"/>
      <c r="V7679" s="16"/>
      <c r="W7679" s="16" t="s">
        <v>40</v>
      </c>
      <c r="X7679" s="19">
        <v>0.158</v>
      </c>
      <c r="Y7679" s="20">
        <v>1.2030000000000001E-3</v>
      </c>
      <c r="Z7679" s="21">
        <v>4601004066847</v>
      </c>
    </row>
    <row r="7680" spans="1:26" ht="12.95" customHeight="1" outlineLevel="1" x14ac:dyDescent="0.2">
      <c r="A7680" s="78" t="s">
        <v>14694</v>
      </c>
      <c r="B7680" s="78"/>
      <c r="C7680" s="79"/>
      <c r="D7680" s="57"/>
      <c r="E7680" s="67"/>
      <c r="F7680" s="12"/>
      <c r="G7680" s="12"/>
      <c r="H7680" s="12"/>
      <c r="I7680" s="12"/>
      <c r="J7680" s="12"/>
      <c r="K7680" s="12"/>
      <c r="L7680" s="12"/>
      <c r="M7680" s="12"/>
      <c r="N7680" s="12"/>
      <c r="O7680" s="12"/>
      <c r="P7680" s="12"/>
      <c r="Q7680" s="12"/>
      <c r="R7680" s="12"/>
      <c r="S7680" s="12"/>
      <c r="T7680" s="12"/>
      <c r="U7680" s="12"/>
      <c r="V7680" s="12"/>
      <c r="W7680" s="12"/>
      <c r="X7680" s="12"/>
      <c r="Y7680" s="12"/>
      <c r="Z7680" s="12"/>
    </row>
    <row r="7681" spans="1:26" ht="12.95" customHeight="1" outlineLevel="2" x14ac:dyDescent="0.2">
      <c r="A7681" s="76" t="s">
        <v>14695</v>
      </c>
      <c r="B7681" s="76"/>
      <c r="C7681" s="77"/>
      <c r="D7681" s="58"/>
      <c r="E7681" s="68"/>
      <c r="F7681" s="13"/>
      <c r="G7681" s="13"/>
      <c r="H7681" s="13"/>
      <c r="I7681" s="13"/>
      <c r="J7681" s="13"/>
      <c r="K7681" s="13"/>
      <c r="L7681" s="13"/>
      <c r="M7681" s="13"/>
      <c r="N7681" s="13"/>
      <c r="O7681" s="13"/>
      <c r="P7681" s="13"/>
      <c r="Q7681" s="13"/>
      <c r="R7681" s="13"/>
      <c r="S7681" s="13"/>
      <c r="T7681" s="13"/>
      <c r="U7681" s="13"/>
      <c r="V7681" s="13"/>
      <c r="W7681" s="13"/>
      <c r="X7681" s="13"/>
      <c r="Y7681" s="13"/>
      <c r="Z7681" s="13"/>
    </row>
    <row r="7682" spans="1:26" ht="12.95" customHeight="1" outlineLevel="3" x14ac:dyDescent="0.2">
      <c r="A7682" s="76" t="s">
        <v>14696</v>
      </c>
      <c r="B7682" s="76"/>
      <c r="C7682" s="77"/>
      <c r="D7682" s="58"/>
      <c r="E7682" s="68"/>
      <c r="F7682" s="13"/>
      <c r="G7682" s="13"/>
      <c r="H7682" s="13"/>
      <c r="I7682" s="13"/>
      <c r="J7682" s="13"/>
      <c r="K7682" s="13"/>
      <c r="L7682" s="13"/>
      <c r="M7682" s="13"/>
      <c r="N7682" s="13"/>
      <c r="O7682" s="13"/>
      <c r="P7682" s="13"/>
      <c r="Q7682" s="13"/>
      <c r="R7682" s="13"/>
      <c r="S7682" s="13"/>
      <c r="T7682" s="13"/>
      <c r="U7682" s="13"/>
      <c r="V7682" s="13"/>
      <c r="W7682" s="13"/>
      <c r="X7682" s="13"/>
      <c r="Y7682" s="13"/>
      <c r="Z7682" s="13"/>
    </row>
    <row r="7683" spans="1:26" ht="12" customHeight="1" outlineLevel="4" x14ac:dyDescent="0.2">
      <c r="A7683" s="14" t="s">
        <v>14697</v>
      </c>
      <c r="B7683" s="26" t="s">
        <v>14698</v>
      </c>
      <c r="C7683" s="52"/>
      <c r="D7683" s="55">
        <f t="shared" si="119"/>
        <v>0</v>
      </c>
      <c r="E7683" s="63" t="str">
        <f>HYPERLINK("https://www.sds-group.ru/product/nakleyka-znak-pozharnoy-bezopasnosti-ognetushitel-100-100-mm-rexant-56-0050/", "Инфо")</f>
        <v>Инфо</v>
      </c>
      <c r="F7683" s="16" t="s">
        <v>39</v>
      </c>
      <c r="G7683" s="15"/>
      <c r="H7683" s="15"/>
      <c r="I7683" s="15"/>
      <c r="J7683" s="16" t="s">
        <v>100</v>
      </c>
      <c r="K7683" s="15"/>
      <c r="L7683" s="17">
        <v>5</v>
      </c>
      <c r="M7683" s="17">
        <v>100</v>
      </c>
      <c r="N7683" s="17">
        <v>5</v>
      </c>
      <c r="O7683" s="18">
        <v>27.26</v>
      </c>
      <c r="P7683" s="18">
        <v>22.34</v>
      </c>
      <c r="Q7683" s="18">
        <v>23.17</v>
      </c>
      <c r="R7683" s="18">
        <v>18.989999999999998</v>
      </c>
      <c r="S7683" s="18">
        <v>18.54</v>
      </c>
      <c r="T7683" s="18">
        <v>15.2</v>
      </c>
      <c r="U7683" s="16"/>
      <c r="V7683" s="16"/>
      <c r="W7683" s="16" t="s">
        <v>40</v>
      </c>
      <c r="X7683" s="19">
        <v>3.0000000000000001E-3</v>
      </c>
      <c r="Y7683" s="20">
        <v>3.9999999999999998E-6</v>
      </c>
      <c r="Z7683" s="21">
        <v>4601004049307</v>
      </c>
    </row>
    <row r="7684" spans="1:26" ht="12" customHeight="1" outlineLevel="4" x14ac:dyDescent="0.2">
      <c r="A7684" s="14" t="s">
        <v>14699</v>
      </c>
      <c r="B7684" s="26" t="s">
        <v>14700</v>
      </c>
      <c r="C7684" s="52"/>
      <c r="D7684" s="55">
        <f t="shared" si="119"/>
        <v>0</v>
      </c>
      <c r="E7684" s="63" t="str">
        <f>HYPERLINK("https://www.sds-group.ru/product/nakleyka-znak-pozharnoy-bezopasnosti-ognetushitel-200-200-mm-rexant-56-0051/", "Инфо")</f>
        <v>Инфо</v>
      </c>
      <c r="F7684" s="16" t="s">
        <v>39</v>
      </c>
      <c r="G7684" s="15"/>
      <c r="H7684" s="15"/>
      <c r="I7684" s="15"/>
      <c r="J7684" s="22">
        <v>3582</v>
      </c>
      <c r="K7684" s="15"/>
      <c r="L7684" s="17">
        <v>5</v>
      </c>
      <c r="M7684" s="17">
        <v>100</v>
      </c>
      <c r="N7684" s="17">
        <v>5</v>
      </c>
      <c r="O7684" s="18">
        <v>58.65</v>
      </c>
      <c r="P7684" s="18">
        <v>48.07</v>
      </c>
      <c r="Q7684" s="18">
        <v>49.85</v>
      </c>
      <c r="R7684" s="18">
        <v>40.86</v>
      </c>
      <c r="S7684" s="18">
        <v>39.880000000000003</v>
      </c>
      <c r="T7684" s="18">
        <v>32.69</v>
      </c>
      <c r="U7684" s="16"/>
      <c r="V7684" s="16"/>
      <c r="W7684" s="16" t="s">
        <v>40</v>
      </c>
      <c r="X7684" s="19">
        <v>1.0999999999999999E-2</v>
      </c>
      <c r="Y7684" s="20">
        <v>1.2999999999999999E-5</v>
      </c>
      <c r="Z7684" s="21">
        <v>4601004049321</v>
      </c>
    </row>
    <row r="7685" spans="1:26" ht="12" customHeight="1" outlineLevel="4" x14ac:dyDescent="0.2">
      <c r="A7685" s="14" t="s">
        <v>14701</v>
      </c>
      <c r="B7685" s="26" t="s">
        <v>14702</v>
      </c>
      <c r="C7685" s="52"/>
      <c r="D7685" s="55">
        <f t="shared" si="119"/>
        <v>0</v>
      </c>
      <c r="E7685" s="63" t="str">
        <f>HYPERLINK("https://www.sds-group.ru/product/nakleyka-znak-pozharnoy-bezopasnosti-pozharnyy-kran-100-100-mm-rexant-56-0054/", "Инфо")</f>
        <v>Инфо</v>
      </c>
      <c r="F7685" s="16" t="s">
        <v>39</v>
      </c>
      <c r="G7685" s="15"/>
      <c r="H7685" s="15"/>
      <c r="I7685" s="15"/>
      <c r="J7685" s="17">
        <v>405</v>
      </c>
      <c r="K7685" s="15"/>
      <c r="L7685" s="17">
        <v>5</v>
      </c>
      <c r="M7685" s="17">
        <v>100</v>
      </c>
      <c r="N7685" s="17">
        <v>5</v>
      </c>
      <c r="O7685" s="18">
        <v>27.26</v>
      </c>
      <c r="P7685" s="18">
        <v>22.34</v>
      </c>
      <c r="Q7685" s="18">
        <v>23.17</v>
      </c>
      <c r="R7685" s="18">
        <v>18.989999999999998</v>
      </c>
      <c r="S7685" s="18">
        <v>18.54</v>
      </c>
      <c r="T7685" s="18">
        <v>15.2</v>
      </c>
      <c r="U7685" s="16"/>
      <c r="V7685" s="16"/>
      <c r="W7685" s="16" t="s">
        <v>40</v>
      </c>
      <c r="X7685" s="19">
        <v>4.0000000000000001E-3</v>
      </c>
      <c r="Y7685" s="20">
        <v>3.4999999999999997E-5</v>
      </c>
      <c r="Z7685" s="21">
        <v>4601004155954</v>
      </c>
    </row>
    <row r="7686" spans="1:26" ht="12" customHeight="1" outlineLevel="4" x14ac:dyDescent="0.2">
      <c r="A7686" s="14" t="s">
        <v>14703</v>
      </c>
      <c r="B7686" s="26" t="s">
        <v>14704</v>
      </c>
      <c r="C7686" s="52"/>
      <c r="D7686" s="55">
        <f t="shared" si="119"/>
        <v>0</v>
      </c>
      <c r="E7686" s="63" t="str">
        <f>HYPERLINK("https://www.sds-group.ru/product/nakleyka-znak-pozharnoy-bezopasnosti-pozharnyy-kran-200-200-mm-rexant-56-0055/", "Инфо")</f>
        <v>Инфо</v>
      </c>
      <c r="F7686" s="16" t="s">
        <v>39</v>
      </c>
      <c r="G7686" s="15"/>
      <c r="H7686" s="15"/>
      <c r="I7686" s="15"/>
      <c r="J7686" s="17">
        <v>196</v>
      </c>
      <c r="K7686" s="15"/>
      <c r="L7686" s="17">
        <v>5</v>
      </c>
      <c r="M7686" s="17">
        <v>100</v>
      </c>
      <c r="N7686" s="17">
        <v>5</v>
      </c>
      <c r="O7686" s="18">
        <v>58.65</v>
      </c>
      <c r="P7686" s="18">
        <v>48.07</v>
      </c>
      <c r="Q7686" s="18">
        <v>49.85</v>
      </c>
      <c r="R7686" s="18">
        <v>40.86</v>
      </c>
      <c r="S7686" s="18">
        <v>39.880000000000003</v>
      </c>
      <c r="T7686" s="18">
        <v>32.69</v>
      </c>
      <c r="U7686" s="16"/>
      <c r="V7686" s="16"/>
      <c r="W7686" s="16" t="s">
        <v>40</v>
      </c>
      <c r="X7686" s="19">
        <v>1.0999999999999999E-2</v>
      </c>
      <c r="Y7686" s="20">
        <v>1.0000000000000001E-5</v>
      </c>
      <c r="Z7686" s="21">
        <v>4601004155961</v>
      </c>
    </row>
    <row r="7687" spans="1:26" ht="12" customHeight="1" outlineLevel="4" x14ac:dyDescent="0.2">
      <c r="A7687" s="14" t="s">
        <v>14705</v>
      </c>
      <c r="B7687" s="26" t="s">
        <v>14706</v>
      </c>
      <c r="C7687" s="52"/>
      <c r="D7687" s="55">
        <f t="shared" si="119"/>
        <v>0</v>
      </c>
      <c r="E7687" s="63" t="str">
        <f>HYPERLINK("https://www.sds-group.ru/product/nakleyka-znak-pozharnoy-bezopasnosti-ognetushitel-150h150-mm-rexant-56-0051-1/", "Инфо")</f>
        <v>Инфо</v>
      </c>
      <c r="F7687" s="16" t="s">
        <v>39</v>
      </c>
      <c r="G7687" s="15"/>
      <c r="H7687" s="15"/>
      <c r="I7687" s="15"/>
      <c r="J7687" s="22">
        <v>3675</v>
      </c>
      <c r="K7687" s="15"/>
      <c r="L7687" s="17">
        <v>5</v>
      </c>
      <c r="M7687" s="17">
        <v>100</v>
      </c>
      <c r="N7687" s="17">
        <v>5</v>
      </c>
      <c r="O7687" s="18">
        <v>38.85</v>
      </c>
      <c r="P7687" s="18">
        <v>31.84</v>
      </c>
      <c r="Q7687" s="18">
        <v>33.020000000000003</v>
      </c>
      <c r="R7687" s="18">
        <v>27.07</v>
      </c>
      <c r="S7687" s="18">
        <v>26.42</v>
      </c>
      <c r="T7687" s="18">
        <v>21.66</v>
      </c>
      <c r="U7687" s="16"/>
      <c r="V7687" s="16"/>
      <c r="W7687" s="16" t="s">
        <v>40</v>
      </c>
      <c r="X7687" s="19">
        <v>6.0000000000000001E-3</v>
      </c>
      <c r="Y7687" s="20">
        <v>6.9999999999999999E-6</v>
      </c>
      <c r="Z7687" s="21">
        <v>4601004162914</v>
      </c>
    </row>
    <row r="7688" spans="1:26" ht="12.95" customHeight="1" outlineLevel="3" x14ac:dyDescent="0.2">
      <c r="A7688" s="76" t="s">
        <v>14707</v>
      </c>
      <c r="B7688" s="76"/>
      <c r="C7688" s="77"/>
      <c r="D7688" s="58"/>
      <c r="E7688" s="68"/>
      <c r="F7688" s="13"/>
      <c r="G7688" s="13"/>
      <c r="H7688" s="13"/>
      <c r="I7688" s="13"/>
      <c r="J7688" s="13"/>
      <c r="K7688" s="13"/>
      <c r="L7688" s="13"/>
      <c r="M7688" s="13"/>
      <c r="N7688" s="13"/>
      <c r="O7688" s="13"/>
      <c r="P7688" s="13"/>
      <c r="Q7688" s="13"/>
      <c r="R7688" s="13"/>
      <c r="S7688" s="13"/>
      <c r="T7688" s="13"/>
      <c r="U7688" s="13"/>
      <c r="V7688" s="13"/>
      <c r="W7688" s="13"/>
      <c r="X7688" s="13"/>
      <c r="Y7688" s="13"/>
      <c r="Z7688" s="13"/>
    </row>
    <row r="7689" spans="1:26" ht="12" customHeight="1" outlineLevel="4" x14ac:dyDescent="0.2">
      <c r="A7689" s="32" t="s">
        <v>14708</v>
      </c>
      <c r="B7689" s="74" t="s">
        <v>14709</v>
      </c>
      <c r="C7689" s="50"/>
      <c r="D7689" s="53">
        <f t="shared" ref="D7689:D7751" si="120">C7689*(O7689-O7689*$G$3)</f>
        <v>0</v>
      </c>
      <c r="E7689" s="60" t="str">
        <f>HYPERLINK("https://www.sds-group.ru/product/nakleyka-zapreschayuschiy-znak-s-zhivotnymi-vhod-zapreschen-300-150-mm-rexant-56-0040/", "Инфо")</f>
        <v>Инфо</v>
      </c>
      <c r="F7689" s="34" t="s">
        <v>39</v>
      </c>
      <c r="G7689" s="33"/>
      <c r="H7689" s="33" t="s">
        <v>40</v>
      </c>
      <c r="I7689" s="33"/>
      <c r="J7689" s="35">
        <v>815</v>
      </c>
      <c r="K7689" s="33"/>
      <c r="L7689" s="35">
        <v>5</v>
      </c>
      <c r="M7689" s="35">
        <v>100</v>
      </c>
      <c r="N7689" s="35">
        <v>5</v>
      </c>
      <c r="O7689" s="36">
        <v>41.62</v>
      </c>
      <c r="P7689" s="36">
        <v>34.11</v>
      </c>
      <c r="Q7689" s="36">
        <v>29.13</v>
      </c>
      <c r="R7689" s="36">
        <v>23.88</v>
      </c>
      <c r="S7689" s="36">
        <v>28.3</v>
      </c>
      <c r="T7689" s="36">
        <v>23.2</v>
      </c>
      <c r="U7689" s="34"/>
      <c r="V7689" s="34"/>
      <c r="W7689" s="34"/>
      <c r="X7689" s="37">
        <v>0.01</v>
      </c>
      <c r="Y7689" s="38">
        <v>1.6100000000000001E-4</v>
      </c>
      <c r="Z7689" s="21">
        <v>4601004155992</v>
      </c>
    </row>
    <row r="7690" spans="1:26" ht="12" customHeight="1" outlineLevel="4" x14ac:dyDescent="0.2">
      <c r="A7690" s="32" t="s">
        <v>14710</v>
      </c>
      <c r="B7690" s="74" t="s">
        <v>14711</v>
      </c>
      <c r="C7690" s="50"/>
      <c r="D7690" s="53">
        <f t="shared" si="120"/>
        <v>0</v>
      </c>
      <c r="E7690" s="60" t="str">
        <f>HYPERLINK("https://www.sds-group.ru/product/nakleyka-zapreschayuschiy-znak-fotosemka-zapreschena-150-150-mm-rexant-56-0043/", "Инфо")</f>
        <v>Инфо</v>
      </c>
      <c r="F7690" s="34" t="s">
        <v>39</v>
      </c>
      <c r="G7690" s="33"/>
      <c r="H7690" s="33" t="s">
        <v>40</v>
      </c>
      <c r="I7690" s="33"/>
      <c r="J7690" s="35">
        <v>860</v>
      </c>
      <c r="K7690" s="33"/>
      <c r="L7690" s="35">
        <v>5</v>
      </c>
      <c r="M7690" s="35">
        <v>100</v>
      </c>
      <c r="N7690" s="35">
        <v>5</v>
      </c>
      <c r="O7690" s="36">
        <v>30.63</v>
      </c>
      <c r="P7690" s="36">
        <v>25.11</v>
      </c>
      <c r="Q7690" s="36">
        <v>21.44</v>
      </c>
      <c r="R7690" s="36">
        <v>17.57</v>
      </c>
      <c r="S7690" s="36">
        <v>20.83</v>
      </c>
      <c r="T7690" s="36">
        <v>17.07</v>
      </c>
      <c r="U7690" s="34"/>
      <c r="V7690" s="34"/>
      <c r="W7690" s="34"/>
      <c r="X7690" s="37">
        <v>4.0000000000000001E-3</v>
      </c>
      <c r="Y7690" s="38">
        <v>8.7000000000000001E-5</v>
      </c>
      <c r="Z7690" s="21">
        <v>4601004156029</v>
      </c>
    </row>
    <row r="7691" spans="1:26" ht="12" customHeight="1" outlineLevel="4" x14ac:dyDescent="0.2">
      <c r="A7691" s="32" t="s">
        <v>14712</v>
      </c>
      <c r="B7691" s="74" t="s">
        <v>14713</v>
      </c>
      <c r="C7691" s="50"/>
      <c r="D7691" s="53">
        <f t="shared" si="120"/>
        <v>0</v>
      </c>
      <c r="E7691" s="60" t="str">
        <f>HYPERLINK("https://www.sds-group.ru/product/nakleyka-zapreschayuschiy-znak-ne-musorit-d-150-mm-rexant-56-0013/", "Инфо")</f>
        <v>Инфо</v>
      </c>
      <c r="F7691" s="34" t="s">
        <v>39</v>
      </c>
      <c r="G7691" s="33"/>
      <c r="H7691" s="33" t="s">
        <v>40</v>
      </c>
      <c r="I7691" s="33"/>
      <c r="J7691" s="39">
        <v>1620</v>
      </c>
      <c r="K7691" s="33"/>
      <c r="L7691" s="35">
        <v>10</v>
      </c>
      <c r="M7691" s="35">
        <v>100</v>
      </c>
      <c r="N7691" s="35">
        <v>10</v>
      </c>
      <c r="O7691" s="36">
        <v>31.67</v>
      </c>
      <c r="P7691" s="36">
        <v>25.96</v>
      </c>
      <c r="Q7691" s="36">
        <v>22.17</v>
      </c>
      <c r="R7691" s="36">
        <v>18.170000000000002</v>
      </c>
      <c r="S7691" s="36">
        <v>21.54</v>
      </c>
      <c r="T7691" s="36">
        <v>17.66</v>
      </c>
      <c r="U7691" s="34"/>
      <c r="V7691" s="34"/>
      <c r="W7691" s="34"/>
      <c r="X7691" s="37">
        <v>6.0000000000000001E-3</v>
      </c>
      <c r="Y7691" s="38">
        <v>9.0000000000000002E-6</v>
      </c>
      <c r="Z7691" s="21">
        <v>4601004162198</v>
      </c>
    </row>
    <row r="7692" spans="1:26" ht="12" customHeight="1" outlineLevel="4" x14ac:dyDescent="0.2">
      <c r="A7692" s="14" t="s">
        <v>14714</v>
      </c>
      <c r="B7692" s="26" t="s">
        <v>14715</v>
      </c>
      <c r="C7692" s="52"/>
      <c r="D7692" s="55">
        <f t="shared" si="120"/>
        <v>0</v>
      </c>
      <c r="E7692" s="63" t="str">
        <f>HYPERLINK("https://www.sds-group.ru/product/nakleyka-informatsionnyy-znak-kurit-zaprescheno-200h200-rexant-56-0035/", "Инфо")</f>
        <v>Инфо</v>
      </c>
      <c r="F7692" s="16" t="s">
        <v>39</v>
      </c>
      <c r="G7692" s="15"/>
      <c r="H7692" s="15"/>
      <c r="I7692" s="15"/>
      <c r="J7692" s="22">
        <v>2575</v>
      </c>
      <c r="K7692" s="15" t="s">
        <v>1094</v>
      </c>
      <c r="L7692" s="17">
        <v>5</v>
      </c>
      <c r="M7692" s="17">
        <v>100</v>
      </c>
      <c r="N7692" s="17">
        <v>5</v>
      </c>
      <c r="O7692" s="18">
        <v>58.65</v>
      </c>
      <c r="P7692" s="18">
        <v>48.07</v>
      </c>
      <c r="Q7692" s="18">
        <v>49.85</v>
      </c>
      <c r="R7692" s="18">
        <v>40.86</v>
      </c>
      <c r="S7692" s="18">
        <v>39.880000000000003</v>
      </c>
      <c r="T7692" s="18">
        <v>32.69</v>
      </c>
      <c r="U7692" s="16"/>
      <c r="V7692" s="16"/>
      <c r="W7692" s="16" t="s">
        <v>40</v>
      </c>
      <c r="X7692" s="19">
        <v>1.0999999999999999E-2</v>
      </c>
      <c r="Y7692" s="20">
        <v>1.4E-5</v>
      </c>
      <c r="Z7692" s="21">
        <v>4601004060050</v>
      </c>
    </row>
    <row r="7693" spans="1:26" ht="12" customHeight="1" outlineLevel="4" x14ac:dyDescent="0.2">
      <c r="A7693" s="32" t="s">
        <v>14716</v>
      </c>
      <c r="B7693" s="74" t="s">
        <v>14717</v>
      </c>
      <c r="C7693" s="50"/>
      <c r="D7693" s="53">
        <f t="shared" si="120"/>
        <v>0</v>
      </c>
      <c r="E7693" s="60" t="str">
        <f>HYPERLINK("https://www.sds-group.ru/product/nakleyki-zapreschayuschie-znaki-nabor-nakleek-4-sht-mini-d-9-sm-s-hederom-200h200-mm-rexa-56-0040-10/", "Инфо")</f>
        <v>Инфо</v>
      </c>
      <c r="F7693" s="34" t="s">
        <v>39</v>
      </c>
      <c r="G7693" s="33"/>
      <c r="H7693" s="33" t="s">
        <v>40</v>
      </c>
      <c r="I7693" s="33"/>
      <c r="J7693" s="39">
        <v>3650</v>
      </c>
      <c r="K7693" s="33"/>
      <c r="L7693" s="35">
        <v>5</v>
      </c>
      <c r="M7693" s="35">
        <v>5</v>
      </c>
      <c r="N7693" s="35">
        <v>5</v>
      </c>
      <c r="O7693" s="36">
        <v>17.84</v>
      </c>
      <c r="P7693" s="36">
        <v>14.62</v>
      </c>
      <c r="Q7693" s="36">
        <v>12.49</v>
      </c>
      <c r="R7693" s="36">
        <v>10.24</v>
      </c>
      <c r="S7693" s="36">
        <v>12.13</v>
      </c>
      <c r="T7693" s="36">
        <v>9.94</v>
      </c>
      <c r="U7693" s="34"/>
      <c r="V7693" s="34"/>
      <c r="W7693" s="34"/>
      <c r="X7693" s="37">
        <v>1.2999999999999999E-2</v>
      </c>
      <c r="Y7693" s="38">
        <v>9.0000000000000002E-6</v>
      </c>
      <c r="Z7693" s="21">
        <v>4601004266995</v>
      </c>
    </row>
    <row r="7694" spans="1:26" ht="12.95" customHeight="1" outlineLevel="3" x14ac:dyDescent="0.2">
      <c r="A7694" s="76" t="s">
        <v>14718</v>
      </c>
      <c r="B7694" s="76"/>
      <c r="C7694" s="77"/>
      <c r="D7694" s="58"/>
      <c r="E7694" s="68"/>
      <c r="F7694" s="13"/>
      <c r="G7694" s="13"/>
      <c r="H7694" s="13"/>
      <c r="I7694" s="13"/>
      <c r="J7694" s="13"/>
      <c r="K7694" s="13"/>
      <c r="L7694" s="13"/>
      <c r="M7694" s="13"/>
      <c r="N7694" s="13"/>
      <c r="O7694" s="13"/>
      <c r="P7694" s="13"/>
      <c r="Q7694" s="13"/>
      <c r="R7694" s="13"/>
      <c r="S7694" s="13"/>
      <c r="T7694" s="13"/>
      <c r="U7694" s="13"/>
      <c r="V7694" s="13"/>
      <c r="W7694" s="13"/>
      <c r="X7694" s="13"/>
      <c r="Y7694" s="13"/>
      <c r="Z7694" s="13"/>
    </row>
    <row r="7695" spans="1:26" ht="12" customHeight="1" outlineLevel="4" x14ac:dyDescent="0.2">
      <c r="A7695" s="32" t="s">
        <v>14719</v>
      </c>
      <c r="B7695" s="74" t="s">
        <v>14720</v>
      </c>
      <c r="C7695" s="50"/>
      <c r="D7695" s="53">
        <f t="shared" si="120"/>
        <v>0</v>
      </c>
      <c r="E7695" s="60" t="str">
        <f>HYPERLINK("https://www.sds-group.ru/product/nakleyka-znak-bezopasnosti-vnimanie-opasnost-150h150h150-mm-rexant-55-0021/", "Инфо")</f>
        <v>Инфо</v>
      </c>
      <c r="F7695" s="34" t="s">
        <v>39</v>
      </c>
      <c r="G7695" s="33"/>
      <c r="H7695" s="33" t="s">
        <v>40</v>
      </c>
      <c r="I7695" s="33"/>
      <c r="J7695" s="35">
        <v>210</v>
      </c>
      <c r="K7695" s="33"/>
      <c r="L7695" s="35">
        <v>10</v>
      </c>
      <c r="M7695" s="35">
        <v>100</v>
      </c>
      <c r="N7695" s="35">
        <v>10</v>
      </c>
      <c r="O7695" s="36">
        <v>46.91</v>
      </c>
      <c r="P7695" s="36">
        <v>38.450000000000003</v>
      </c>
      <c r="Q7695" s="36">
        <v>32.840000000000003</v>
      </c>
      <c r="R7695" s="36">
        <v>26.92</v>
      </c>
      <c r="S7695" s="36">
        <v>31.9</v>
      </c>
      <c r="T7695" s="36">
        <v>26.15</v>
      </c>
      <c r="U7695" s="34"/>
      <c r="V7695" s="34"/>
      <c r="W7695" s="34"/>
      <c r="X7695" s="37">
        <v>7.0000000000000001E-3</v>
      </c>
      <c r="Y7695" s="38">
        <v>6.0000000000000002E-6</v>
      </c>
      <c r="Z7695" s="21">
        <v>4601004162235</v>
      </c>
    </row>
    <row r="7696" spans="1:26" ht="12.95" customHeight="1" outlineLevel="3" x14ac:dyDescent="0.2">
      <c r="A7696" s="76" t="s">
        <v>14721</v>
      </c>
      <c r="B7696" s="76"/>
      <c r="C7696" s="77"/>
      <c r="D7696" s="58"/>
      <c r="E7696" s="68"/>
      <c r="F7696" s="13"/>
      <c r="G7696" s="13"/>
      <c r="H7696" s="13"/>
      <c r="I7696" s="13"/>
      <c r="J7696" s="13"/>
      <c r="K7696" s="13"/>
      <c r="L7696" s="13"/>
      <c r="M7696" s="13"/>
      <c r="N7696" s="13"/>
      <c r="O7696" s="13"/>
      <c r="P7696" s="13"/>
      <c r="Q7696" s="13"/>
      <c r="R7696" s="13"/>
      <c r="S7696" s="13"/>
      <c r="T7696" s="13"/>
      <c r="U7696" s="13"/>
      <c r="V7696" s="13"/>
      <c r="W7696" s="13"/>
      <c r="X7696" s="13"/>
      <c r="Y7696" s="13"/>
      <c r="Z7696" s="13"/>
    </row>
    <row r="7697" spans="1:26" ht="12" customHeight="1" outlineLevel="4" x14ac:dyDescent="0.2">
      <c r="A7697" s="14" t="s">
        <v>14722</v>
      </c>
      <c r="B7697" s="26" t="s">
        <v>14723</v>
      </c>
      <c r="C7697" s="52"/>
      <c r="D7697" s="55">
        <f t="shared" si="120"/>
        <v>0</v>
      </c>
      <c r="E7697" s="63" t="str">
        <f>HYPERLINK("https://www.sds-group.ru/product/nakleyka-informatsionnyy-znak-vnimanie-vedetsya-videonablyudenie-100-100-mm-rexant-56-0031/", "Инфо")</f>
        <v>Инфо</v>
      </c>
      <c r="F7697" s="16" t="s">
        <v>39</v>
      </c>
      <c r="G7697" s="15"/>
      <c r="H7697" s="15"/>
      <c r="I7697" s="15"/>
      <c r="J7697" s="22">
        <v>1115</v>
      </c>
      <c r="K7697" s="15" t="s">
        <v>1094</v>
      </c>
      <c r="L7697" s="17">
        <v>50</v>
      </c>
      <c r="M7697" s="17">
        <v>100</v>
      </c>
      <c r="N7697" s="17">
        <v>50</v>
      </c>
      <c r="O7697" s="18">
        <v>27.26</v>
      </c>
      <c r="P7697" s="18">
        <v>22.34</v>
      </c>
      <c r="Q7697" s="18">
        <v>23.17</v>
      </c>
      <c r="R7697" s="18">
        <v>18.989999999999998</v>
      </c>
      <c r="S7697" s="18">
        <v>18.54</v>
      </c>
      <c r="T7697" s="18">
        <v>15.2</v>
      </c>
      <c r="U7697" s="16"/>
      <c r="V7697" s="16"/>
      <c r="W7697" s="16" t="s">
        <v>40</v>
      </c>
      <c r="X7697" s="19">
        <v>3.0000000000000001E-3</v>
      </c>
      <c r="Y7697" s="20">
        <v>3.0000000000000001E-6</v>
      </c>
      <c r="Z7697" s="21">
        <v>4601004049314</v>
      </c>
    </row>
    <row r="7698" spans="1:26" ht="12" customHeight="1" outlineLevel="4" x14ac:dyDescent="0.2">
      <c r="A7698" s="14" t="s">
        <v>14724</v>
      </c>
      <c r="B7698" s="26" t="s">
        <v>14725</v>
      </c>
      <c r="C7698" s="52"/>
      <c r="D7698" s="55">
        <f t="shared" si="120"/>
        <v>0</v>
      </c>
      <c r="E7698" s="63" t="str">
        <f>HYPERLINK("https://www.sds-group.ru/product/nakleyka-informatsionnyy-znak-vnimanie-vedetsya-videonablyudenie-200-200-mm-rexant-56-0024/", "Инфо")</f>
        <v>Инфо</v>
      </c>
      <c r="F7698" s="16" t="s">
        <v>39</v>
      </c>
      <c r="G7698" s="15"/>
      <c r="H7698" s="15"/>
      <c r="I7698" s="15"/>
      <c r="J7698" s="22">
        <v>1390</v>
      </c>
      <c r="K7698" s="15"/>
      <c r="L7698" s="17">
        <v>5</v>
      </c>
      <c r="M7698" s="17">
        <v>100</v>
      </c>
      <c r="N7698" s="17">
        <v>5</v>
      </c>
      <c r="O7698" s="18">
        <v>58.65</v>
      </c>
      <c r="P7698" s="18">
        <v>48.07</v>
      </c>
      <c r="Q7698" s="18">
        <v>49.85</v>
      </c>
      <c r="R7698" s="18">
        <v>40.86</v>
      </c>
      <c r="S7698" s="18">
        <v>39.880000000000003</v>
      </c>
      <c r="T7698" s="18">
        <v>32.69</v>
      </c>
      <c r="U7698" s="16"/>
      <c r="V7698" s="16"/>
      <c r="W7698" s="16" t="s">
        <v>40</v>
      </c>
      <c r="X7698" s="19">
        <v>1.0999999999999999E-2</v>
      </c>
      <c r="Y7698" s="20">
        <v>1.2999999999999999E-5</v>
      </c>
      <c r="Z7698" s="21">
        <v>4601004028340</v>
      </c>
    </row>
    <row r="7699" spans="1:26" ht="12" customHeight="1" outlineLevel="4" x14ac:dyDescent="0.2">
      <c r="A7699" s="14" t="s">
        <v>14726</v>
      </c>
      <c r="B7699" s="26" t="s">
        <v>14727</v>
      </c>
      <c r="C7699" s="52"/>
      <c r="D7699" s="55">
        <f t="shared" si="120"/>
        <v>0</v>
      </c>
      <c r="E7699" s="63" t="str">
        <f>HYPERLINK("https://www.sds-group.ru/product/nakleyka-informatsionnyy-znak-zheltyy-krug-d-150-mm-rexant-56-0014/", "Инфо")</f>
        <v>Инфо</v>
      </c>
      <c r="F7699" s="16" t="s">
        <v>39</v>
      </c>
      <c r="G7699" s="15"/>
      <c r="H7699" s="15"/>
      <c r="I7699" s="15"/>
      <c r="J7699" s="22">
        <v>2370</v>
      </c>
      <c r="K7699" s="15"/>
      <c r="L7699" s="17">
        <v>10</v>
      </c>
      <c r="M7699" s="17">
        <v>10</v>
      </c>
      <c r="N7699" s="17">
        <v>10</v>
      </c>
      <c r="O7699" s="18">
        <v>51.06</v>
      </c>
      <c r="P7699" s="18">
        <v>41.85</v>
      </c>
      <c r="Q7699" s="18">
        <v>43.4</v>
      </c>
      <c r="R7699" s="18">
        <v>35.57</v>
      </c>
      <c r="S7699" s="18">
        <v>34.72</v>
      </c>
      <c r="T7699" s="18">
        <v>28.46</v>
      </c>
      <c r="U7699" s="16"/>
      <c r="V7699" s="16"/>
      <c r="W7699" s="16" t="s">
        <v>40</v>
      </c>
      <c r="X7699" s="19">
        <v>6.0000000000000001E-3</v>
      </c>
      <c r="Y7699" s="20">
        <v>1.0000000000000001E-5</v>
      </c>
      <c r="Z7699" s="21">
        <v>4601004163010</v>
      </c>
    </row>
    <row r="7700" spans="1:26" ht="12" customHeight="1" outlineLevel="4" x14ac:dyDescent="0.2">
      <c r="A7700" s="14" t="s">
        <v>14728</v>
      </c>
      <c r="B7700" s="26" t="s">
        <v>14729</v>
      </c>
      <c r="C7700" s="52"/>
      <c r="D7700" s="55">
        <f t="shared" si="120"/>
        <v>0</v>
      </c>
      <c r="E7700" s="63" t="str">
        <f>HYPERLINK("https://www.sds-group.ru/product/nakleyka-informatsionnyy-znak-otvetstvennyy-za-pozharnuyu-bezopasnost-100h200-mm-rexant-56-0012/", "Инфо")</f>
        <v>Инфо</v>
      </c>
      <c r="F7700" s="16" t="s">
        <v>39</v>
      </c>
      <c r="G7700" s="15"/>
      <c r="H7700" s="15"/>
      <c r="I7700" s="15"/>
      <c r="J7700" s="22">
        <v>1635</v>
      </c>
      <c r="K7700" s="15"/>
      <c r="L7700" s="17">
        <v>50</v>
      </c>
      <c r="M7700" s="17">
        <v>100</v>
      </c>
      <c r="N7700" s="17">
        <v>50</v>
      </c>
      <c r="O7700" s="18">
        <v>36.42</v>
      </c>
      <c r="P7700" s="18">
        <v>29.85</v>
      </c>
      <c r="Q7700" s="18">
        <v>30.96</v>
      </c>
      <c r="R7700" s="18">
        <v>25.38</v>
      </c>
      <c r="S7700" s="18">
        <v>24.77</v>
      </c>
      <c r="T7700" s="18">
        <v>20.3</v>
      </c>
      <c r="U7700" s="16"/>
      <c r="V7700" s="16"/>
      <c r="W7700" s="16" t="s">
        <v>40</v>
      </c>
      <c r="X7700" s="19">
        <v>5.0000000000000001E-3</v>
      </c>
      <c r="Y7700" s="20">
        <v>7.2000000000000002E-5</v>
      </c>
      <c r="Z7700" s="21">
        <v>4601004162273</v>
      </c>
    </row>
    <row r="7701" spans="1:26" ht="12.95" customHeight="1" outlineLevel="3" x14ac:dyDescent="0.2">
      <c r="A7701" s="76" t="s">
        <v>14730</v>
      </c>
      <c r="B7701" s="76"/>
      <c r="C7701" s="77"/>
      <c r="D7701" s="58"/>
      <c r="E7701" s="68"/>
      <c r="F7701" s="13"/>
      <c r="G7701" s="13"/>
      <c r="H7701" s="13"/>
      <c r="I7701" s="13"/>
      <c r="J7701" s="13"/>
      <c r="K7701" s="13"/>
      <c r="L7701" s="13"/>
      <c r="M7701" s="13"/>
      <c r="N7701" s="13"/>
      <c r="O7701" s="13"/>
      <c r="P7701" s="13"/>
      <c r="Q7701" s="13"/>
      <c r="R7701" s="13"/>
      <c r="S7701" s="13"/>
      <c r="T7701" s="13"/>
      <c r="U7701" s="13"/>
      <c r="V7701" s="13"/>
      <c r="W7701" s="13"/>
      <c r="X7701" s="13"/>
      <c r="Y7701" s="13"/>
      <c r="Z7701" s="13"/>
    </row>
    <row r="7702" spans="1:26" ht="12" customHeight="1" outlineLevel="4" x14ac:dyDescent="0.2">
      <c r="A7702" s="14" t="s">
        <v>14731</v>
      </c>
      <c r="B7702" s="26" t="s">
        <v>14732</v>
      </c>
      <c r="C7702" s="52"/>
      <c r="D7702" s="55">
        <f t="shared" si="120"/>
        <v>0</v>
      </c>
      <c r="E7702" s="63" t="str">
        <f>HYPERLINK("https://www.sds-group.ru/product/nakleyka-znak-meditsinskogo-naznacheniya-aptechka-pervoy-meditsinskoy-pomoschi-100-100-mm-re-56-0070/", "Инфо")</f>
        <v>Инфо</v>
      </c>
      <c r="F7702" s="16" t="s">
        <v>39</v>
      </c>
      <c r="G7702" s="15"/>
      <c r="H7702" s="15"/>
      <c r="I7702" s="15"/>
      <c r="J7702" s="22">
        <v>2555</v>
      </c>
      <c r="K7702" s="15"/>
      <c r="L7702" s="17">
        <v>5</v>
      </c>
      <c r="M7702" s="17">
        <v>100</v>
      </c>
      <c r="N7702" s="17">
        <v>5</v>
      </c>
      <c r="O7702" s="18">
        <v>27.26</v>
      </c>
      <c r="P7702" s="18">
        <v>22.34</v>
      </c>
      <c r="Q7702" s="18">
        <v>19.079999999999998</v>
      </c>
      <c r="R7702" s="18">
        <v>15.64</v>
      </c>
      <c r="S7702" s="18">
        <v>18.54</v>
      </c>
      <c r="T7702" s="18">
        <v>15.2</v>
      </c>
      <c r="U7702" s="16"/>
      <c r="V7702" s="16"/>
      <c r="W7702" s="16"/>
      <c r="X7702" s="19">
        <v>2E-3</v>
      </c>
      <c r="Y7702" s="20">
        <v>3.6999999999999998E-5</v>
      </c>
      <c r="Z7702" s="21">
        <v>4601004156197</v>
      </c>
    </row>
    <row r="7703" spans="1:26" ht="12.95" customHeight="1" outlineLevel="3" x14ac:dyDescent="0.2">
      <c r="A7703" s="76" t="s">
        <v>14733</v>
      </c>
      <c r="B7703" s="76"/>
      <c r="C7703" s="77"/>
      <c r="D7703" s="58"/>
      <c r="E7703" s="68"/>
      <c r="F7703" s="13"/>
      <c r="G7703" s="13"/>
      <c r="H7703" s="13"/>
      <c r="I7703" s="13"/>
      <c r="J7703" s="13"/>
      <c r="K7703" s="13"/>
      <c r="L7703" s="13"/>
      <c r="M7703" s="13"/>
      <c r="N7703" s="13"/>
      <c r="O7703" s="13"/>
      <c r="P7703" s="13"/>
      <c r="Q7703" s="13"/>
      <c r="R7703" s="13"/>
      <c r="S7703" s="13"/>
      <c r="T7703" s="13"/>
      <c r="U7703" s="13"/>
      <c r="V7703" s="13"/>
      <c r="W7703" s="13"/>
      <c r="X7703" s="13"/>
      <c r="Y7703" s="13"/>
      <c r="Z7703" s="13"/>
    </row>
    <row r="7704" spans="1:26" ht="12" customHeight="1" outlineLevel="4" x14ac:dyDescent="0.2">
      <c r="A7704" s="14" t="s">
        <v>14734</v>
      </c>
      <c r="B7704" s="26" t="s">
        <v>14735</v>
      </c>
      <c r="C7704" s="52"/>
      <c r="D7704" s="55">
        <f t="shared" si="120"/>
        <v>0</v>
      </c>
      <c r="E7704" s="63" t="str">
        <f>HYPERLINK("https://www.sds-group.ru/product/nakleyka-avtomobilnaya-invalid-150-150-mm-56-0072/", "Инфо")</f>
        <v>Инфо</v>
      </c>
      <c r="F7704" s="16" t="s">
        <v>39</v>
      </c>
      <c r="G7704" s="15"/>
      <c r="H7704" s="15"/>
      <c r="I7704" s="15"/>
      <c r="J7704" s="17">
        <v>650</v>
      </c>
      <c r="K7704" s="15" t="s">
        <v>1094</v>
      </c>
      <c r="L7704" s="17">
        <v>50</v>
      </c>
      <c r="M7704" s="17">
        <v>100</v>
      </c>
      <c r="N7704" s="17">
        <v>50</v>
      </c>
      <c r="O7704" s="18">
        <v>38.85</v>
      </c>
      <c r="P7704" s="18">
        <v>31.84</v>
      </c>
      <c r="Q7704" s="18">
        <v>33.020000000000003</v>
      </c>
      <c r="R7704" s="18">
        <v>27.07</v>
      </c>
      <c r="S7704" s="18">
        <v>26.42</v>
      </c>
      <c r="T7704" s="18">
        <v>21.66</v>
      </c>
      <c r="U7704" s="16"/>
      <c r="V7704" s="16"/>
      <c r="W7704" s="16" t="s">
        <v>40</v>
      </c>
      <c r="X7704" s="19">
        <v>6.0000000000000001E-3</v>
      </c>
      <c r="Y7704" s="20">
        <v>6.0000000000000002E-6</v>
      </c>
      <c r="Z7704" s="21">
        <v>4601004156210</v>
      </c>
    </row>
    <row r="7705" spans="1:26" ht="12" customHeight="1" outlineLevel="4" x14ac:dyDescent="0.2">
      <c r="A7705" s="14" t="s">
        <v>14736</v>
      </c>
      <c r="B7705" s="26" t="s">
        <v>14737</v>
      </c>
      <c r="C7705" s="52"/>
      <c r="D7705" s="55">
        <f t="shared" si="120"/>
        <v>0</v>
      </c>
      <c r="E7705" s="63" t="str">
        <f>HYPERLINK("https://www.sds-group.ru/product/nakleyka-informatsionnyy-znak-nachinayuschiy-voditel-150h150-rexant-56-0034/", "Инфо")</f>
        <v>Инфо</v>
      </c>
      <c r="F7705" s="16" t="s">
        <v>39</v>
      </c>
      <c r="G7705" s="15"/>
      <c r="H7705" s="15"/>
      <c r="I7705" s="15"/>
      <c r="J7705" s="22">
        <v>1319</v>
      </c>
      <c r="K7705" s="15"/>
      <c r="L7705" s="17">
        <v>50</v>
      </c>
      <c r="M7705" s="17">
        <v>100</v>
      </c>
      <c r="N7705" s="17">
        <v>50</v>
      </c>
      <c r="O7705" s="18">
        <v>38.85</v>
      </c>
      <c r="P7705" s="18">
        <v>31.84</v>
      </c>
      <c r="Q7705" s="18">
        <v>33.020000000000003</v>
      </c>
      <c r="R7705" s="18">
        <v>27.07</v>
      </c>
      <c r="S7705" s="18">
        <v>26.42</v>
      </c>
      <c r="T7705" s="18">
        <v>21.66</v>
      </c>
      <c r="U7705" s="16"/>
      <c r="V7705" s="16"/>
      <c r="W7705" s="16" t="s">
        <v>40</v>
      </c>
      <c r="X7705" s="19">
        <v>7.0000000000000001E-3</v>
      </c>
      <c r="Y7705" s="20">
        <v>9.0000000000000006E-5</v>
      </c>
      <c r="Z7705" s="21">
        <v>4601004043879</v>
      </c>
    </row>
    <row r="7706" spans="1:26" ht="12.95" customHeight="1" outlineLevel="2" x14ac:dyDescent="0.2">
      <c r="A7706" s="76" t="s">
        <v>14738</v>
      </c>
      <c r="B7706" s="76"/>
      <c r="C7706" s="77"/>
      <c r="D7706" s="58"/>
      <c r="E7706" s="68"/>
      <c r="F7706" s="13"/>
      <c r="G7706" s="13"/>
      <c r="H7706" s="13"/>
      <c r="I7706" s="13"/>
      <c r="J7706" s="13"/>
      <c r="K7706" s="13"/>
      <c r="L7706" s="13"/>
      <c r="M7706" s="13"/>
      <c r="N7706" s="13"/>
      <c r="O7706" s="13"/>
      <c r="P7706" s="13"/>
      <c r="Q7706" s="13"/>
      <c r="R7706" s="13"/>
      <c r="S7706" s="13"/>
      <c r="T7706" s="13"/>
      <c r="U7706" s="13"/>
      <c r="V7706" s="13"/>
      <c r="W7706" s="13"/>
      <c r="X7706" s="13"/>
      <c r="Y7706" s="13"/>
      <c r="Z7706" s="13"/>
    </row>
    <row r="7707" spans="1:26" ht="12.95" customHeight="1" outlineLevel="3" x14ac:dyDescent="0.2">
      <c r="A7707" s="76" t="s">
        <v>14739</v>
      </c>
      <c r="B7707" s="76"/>
      <c r="C7707" s="77"/>
      <c r="D7707" s="58"/>
      <c r="E7707" s="68"/>
      <c r="F7707" s="13"/>
      <c r="G7707" s="13"/>
      <c r="H7707" s="13"/>
      <c r="I7707" s="13"/>
      <c r="J7707" s="13"/>
      <c r="K7707" s="13"/>
      <c r="L7707" s="13"/>
      <c r="M7707" s="13"/>
      <c r="N7707" s="13"/>
      <c r="O7707" s="13"/>
      <c r="P7707" s="13"/>
      <c r="Q7707" s="13"/>
      <c r="R7707" s="13"/>
      <c r="S7707" s="13"/>
      <c r="T7707" s="13"/>
      <c r="U7707" s="13"/>
      <c r="V7707" s="13"/>
      <c r="W7707" s="13"/>
      <c r="X7707" s="13"/>
      <c r="Y7707" s="13"/>
      <c r="Z7707" s="13"/>
    </row>
    <row r="7708" spans="1:26" ht="12" customHeight="1" outlineLevel="4" x14ac:dyDescent="0.2">
      <c r="A7708" s="14" t="s">
        <v>14740</v>
      </c>
      <c r="B7708" s="26" t="s">
        <v>14741</v>
      </c>
      <c r="C7708" s="52"/>
      <c r="D7708" s="55">
        <f t="shared" si="120"/>
        <v>0</v>
      </c>
      <c r="E7708" s="63" t="str">
        <f>HYPERLINK("https://www.sds-group.ru/product/tablichka-pvh-znak-pozharnoy-bezopasnosti-ognetushitel-200h200-mm-rexant-56-0051-2/", "Инфо")</f>
        <v>Инфо</v>
      </c>
      <c r="F7708" s="16" t="s">
        <v>39</v>
      </c>
      <c r="G7708" s="15"/>
      <c r="H7708" s="15"/>
      <c r="I7708" s="15"/>
      <c r="J7708" s="22">
        <v>1474</v>
      </c>
      <c r="K7708" s="15"/>
      <c r="L7708" s="17">
        <v>10</v>
      </c>
      <c r="M7708" s="17">
        <v>10</v>
      </c>
      <c r="N7708" s="17">
        <v>10</v>
      </c>
      <c r="O7708" s="18">
        <v>186.61</v>
      </c>
      <c r="P7708" s="18">
        <v>152.96</v>
      </c>
      <c r="Q7708" s="18">
        <v>158.62</v>
      </c>
      <c r="R7708" s="18">
        <v>130.02000000000001</v>
      </c>
      <c r="S7708" s="18">
        <v>126.89</v>
      </c>
      <c r="T7708" s="18">
        <v>104.01</v>
      </c>
      <c r="U7708" s="16"/>
      <c r="V7708" s="16"/>
      <c r="W7708" s="16" t="s">
        <v>40</v>
      </c>
      <c r="X7708" s="19">
        <v>2.1999999999999999E-2</v>
      </c>
      <c r="Y7708" s="20">
        <v>6.8999999999999997E-5</v>
      </c>
      <c r="Z7708" s="21">
        <v>4601004143944</v>
      </c>
    </row>
    <row r="7709" spans="1:26" ht="12" customHeight="1" outlineLevel="4" x14ac:dyDescent="0.2">
      <c r="A7709" s="14" t="s">
        <v>14742</v>
      </c>
      <c r="B7709" s="26" t="s">
        <v>14743</v>
      </c>
      <c r="C7709" s="52"/>
      <c r="D7709" s="55">
        <f t="shared" si="120"/>
        <v>0</v>
      </c>
      <c r="E7709" s="63" t="str">
        <f>HYPERLINK("https://www.sds-group.ru/product/tablichka-pvh-znak-pozharnoy-bezopasnosti-pozharnyy-gidrant-200h200-mm-rexant-56-0053-2/", "Инфо")</f>
        <v>Инфо</v>
      </c>
      <c r="F7709" s="16" t="s">
        <v>39</v>
      </c>
      <c r="G7709" s="15"/>
      <c r="H7709" s="15"/>
      <c r="I7709" s="15"/>
      <c r="J7709" s="17">
        <v>190</v>
      </c>
      <c r="K7709" s="15"/>
      <c r="L7709" s="17">
        <v>10</v>
      </c>
      <c r="M7709" s="17">
        <v>10</v>
      </c>
      <c r="N7709" s="17">
        <v>10</v>
      </c>
      <c r="O7709" s="18">
        <v>198.79</v>
      </c>
      <c r="P7709" s="18">
        <v>162.94</v>
      </c>
      <c r="Q7709" s="18">
        <v>139.15</v>
      </c>
      <c r="R7709" s="18">
        <v>114.06</v>
      </c>
      <c r="S7709" s="18">
        <v>135.18</v>
      </c>
      <c r="T7709" s="18">
        <v>110.8</v>
      </c>
      <c r="U7709" s="16"/>
      <c r="V7709" s="16"/>
      <c r="W7709" s="16"/>
      <c r="X7709" s="19">
        <v>1.7999999999999999E-2</v>
      </c>
      <c r="Y7709" s="20">
        <v>6.1799999999999995E-4</v>
      </c>
      <c r="Z7709" s="21">
        <v>4601004143951</v>
      </c>
    </row>
    <row r="7710" spans="1:26" ht="12.95" customHeight="1" outlineLevel="3" x14ac:dyDescent="0.2">
      <c r="A7710" s="76" t="s">
        <v>14744</v>
      </c>
      <c r="B7710" s="76"/>
      <c r="C7710" s="77"/>
      <c r="D7710" s="58"/>
      <c r="E7710" s="68"/>
      <c r="F7710" s="13"/>
      <c r="G7710" s="13"/>
      <c r="H7710" s="13"/>
      <c r="I7710" s="13"/>
      <c r="J7710" s="13"/>
      <c r="K7710" s="13"/>
      <c r="L7710" s="13"/>
      <c r="M7710" s="13"/>
      <c r="N7710" s="13"/>
      <c r="O7710" s="13"/>
      <c r="P7710" s="13"/>
      <c r="Q7710" s="13"/>
      <c r="R7710" s="13"/>
      <c r="S7710" s="13"/>
      <c r="T7710" s="13"/>
      <c r="U7710" s="13"/>
      <c r="V7710" s="13"/>
      <c r="W7710" s="13"/>
      <c r="X7710" s="13"/>
      <c r="Y7710" s="13"/>
      <c r="Z7710" s="13"/>
    </row>
    <row r="7711" spans="1:26" ht="12" customHeight="1" outlineLevel="4" x14ac:dyDescent="0.2">
      <c r="A7711" s="32" t="s">
        <v>14745</v>
      </c>
      <c r="B7711" s="74" t="s">
        <v>14746</v>
      </c>
      <c r="C7711" s="50"/>
      <c r="D7711" s="53">
        <f t="shared" si="120"/>
        <v>0</v>
      </c>
      <c r="E7711" s="60" t="str">
        <f>HYPERLINK("https://www.sds-group.ru/product/tablichka-pvh-evakuatsionnyy-znak-ukazatel-zapasnogo-vyhoda-100h300-mm-rexant-56-0020-2/", "Инфо")</f>
        <v>Инфо</v>
      </c>
      <c r="F7711" s="34" t="s">
        <v>39</v>
      </c>
      <c r="G7711" s="33"/>
      <c r="H7711" s="33" t="s">
        <v>40</v>
      </c>
      <c r="I7711" s="33"/>
      <c r="J7711" s="35">
        <v>2</v>
      </c>
      <c r="K7711" s="33"/>
      <c r="L7711" s="35">
        <v>1</v>
      </c>
      <c r="M7711" s="35">
        <v>10</v>
      </c>
      <c r="N7711" s="35">
        <v>1</v>
      </c>
      <c r="O7711" s="36">
        <v>132.54</v>
      </c>
      <c r="P7711" s="36">
        <v>108.64</v>
      </c>
      <c r="Q7711" s="36">
        <v>92.78</v>
      </c>
      <c r="R7711" s="36">
        <v>76.05</v>
      </c>
      <c r="S7711" s="36">
        <v>90.13</v>
      </c>
      <c r="T7711" s="36">
        <v>73.88</v>
      </c>
      <c r="U7711" s="34"/>
      <c r="V7711" s="34"/>
      <c r="W7711" s="34"/>
      <c r="X7711" s="37">
        <v>2.1000000000000001E-2</v>
      </c>
      <c r="Y7711" s="38">
        <v>5.3000000000000001E-5</v>
      </c>
      <c r="Z7711" s="21">
        <v>4601004143975</v>
      </c>
    </row>
    <row r="7712" spans="1:26" ht="12.95" customHeight="1" outlineLevel="3" x14ac:dyDescent="0.2">
      <c r="A7712" s="76" t="s">
        <v>14747</v>
      </c>
      <c r="B7712" s="76"/>
      <c r="C7712" s="77"/>
      <c r="D7712" s="58"/>
      <c r="E7712" s="68"/>
      <c r="F7712" s="13"/>
      <c r="G7712" s="13"/>
      <c r="H7712" s="13"/>
      <c r="I7712" s="13"/>
      <c r="J7712" s="13"/>
      <c r="K7712" s="13"/>
      <c r="L7712" s="13"/>
      <c r="M7712" s="13"/>
      <c r="N7712" s="13"/>
      <c r="O7712" s="13"/>
      <c r="P7712" s="13"/>
      <c r="Q7712" s="13"/>
      <c r="R7712" s="13"/>
      <c r="S7712" s="13"/>
      <c r="T7712" s="13"/>
      <c r="U7712" s="13"/>
      <c r="V7712" s="13"/>
      <c r="W7712" s="13"/>
      <c r="X7712" s="13"/>
      <c r="Y7712" s="13"/>
      <c r="Z7712" s="13"/>
    </row>
    <row r="7713" spans="1:26" ht="12" customHeight="1" outlineLevel="4" x14ac:dyDescent="0.2">
      <c r="A7713" s="32" t="s">
        <v>14748</v>
      </c>
      <c r="B7713" s="74" t="s">
        <v>14749</v>
      </c>
      <c r="C7713" s="50"/>
      <c r="D7713" s="53">
        <f t="shared" si="120"/>
        <v>0</v>
      </c>
      <c r="E7713" s="60" t="str">
        <f>HYPERLINK("https://www.sds-group.ru/product/tablichka-pvh-zapreschayuschiy-znak-fotosemka-zapreschena-150h150-mm-rexant-56-0043-2/", "Инфо")</f>
        <v>Инфо</v>
      </c>
      <c r="F7713" s="34" t="s">
        <v>39</v>
      </c>
      <c r="G7713" s="33"/>
      <c r="H7713" s="33" t="s">
        <v>40</v>
      </c>
      <c r="I7713" s="33"/>
      <c r="J7713" s="35">
        <v>7</v>
      </c>
      <c r="K7713" s="33"/>
      <c r="L7713" s="35">
        <v>1</v>
      </c>
      <c r="M7713" s="35">
        <v>100</v>
      </c>
      <c r="N7713" s="35">
        <v>1</v>
      </c>
      <c r="O7713" s="36">
        <v>105.46</v>
      </c>
      <c r="P7713" s="36">
        <v>86.44</v>
      </c>
      <c r="Q7713" s="36">
        <v>73.819999999999993</v>
      </c>
      <c r="R7713" s="36">
        <v>60.51</v>
      </c>
      <c r="S7713" s="36">
        <v>71.709999999999994</v>
      </c>
      <c r="T7713" s="36">
        <v>58.78</v>
      </c>
      <c r="U7713" s="34"/>
      <c r="V7713" s="34"/>
      <c r="W7713" s="34"/>
      <c r="X7713" s="37">
        <v>1.4E-2</v>
      </c>
      <c r="Y7713" s="38">
        <v>3.6200000000000002E-4</v>
      </c>
      <c r="Z7713" s="21">
        <v>4601004143937</v>
      </c>
    </row>
    <row r="7714" spans="1:26" ht="12.95" customHeight="1" outlineLevel="3" x14ac:dyDescent="0.2">
      <c r="A7714" s="76" t="s">
        <v>14750</v>
      </c>
      <c r="B7714" s="76"/>
      <c r="C7714" s="77"/>
      <c r="D7714" s="58"/>
      <c r="E7714" s="68"/>
      <c r="F7714" s="13"/>
      <c r="G7714" s="13"/>
      <c r="H7714" s="13"/>
      <c r="I7714" s="13"/>
      <c r="J7714" s="13"/>
      <c r="K7714" s="13"/>
      <c r="L7714" s="13"/>
      <c r="M7714" s="13"/>
      <c r="N7714" s="13"/>
      <c r="O7714" s="13"/>
      <c r="P7714" s="13"/>
      <c r="Q7714" s="13"/>
      <c r="R7714" s="13"/>
      <c r="S7714" s="13"/>
      <c r="T7714" s="13"/>
      <c r="U7714" s="13"/>
      <c r="V7714" s="13"/>
      <c r="W7714" s="13"/>
      <c r="X7714" s="13"/>
      <c r="Y7714" s="13"/>
      <c r="Z7714" s="13"/>
    </row>
    <row r="7715" spans="1:26" ht="12" customHeight="1" outlineLevel="4" x14ac:dyDescent="0.2">
      <c r="A7715" s="32" t="s">
        <v>14751</v>
      </c>
      <c r="B7715" s="74" t="s">
        <v>14752</v>
      </c>
      <c r="C7715" s="50"/>
      <c r="D7715" s="53">
        <f t="shared" si="120"/>
        <v>0</v>
      </c>
      <c r="E7715" s="60" t="str">
        <f>HYPERLINK("https://www.sds-group.ru/product/tablichka-pvh-zona-wi-fi-200h150-mm-rexant-56-0017-2/", "Инфо")</f>
        <v>Инфо</v>
      </c>
      <c r="F7715" s="34" t="s">
        <v>39</v>
      </c>
      <c r="G7715" s="33"/>
      <c r="H7715" s="33" t="s">
        <v>40</v>
      </c>
      <c r="I7715" s="33"/>
      <c r="J7715" s="35">
        <v>65</v>
      </c>
      <c r="K7715" s="33"/>
      <c r="L7715" s="35">
        <v>1</v>
      </c>
      <c r="M7715" s="35">
        <v>100</v>
      </c>
      <c r="N7715" s="35">
        <v>1</v>
      </c>
      <c r="O7715" s="36">
        <v>130.88</v>
      </c>
      <c r="P7715" s="36">
        <v>107.28</v>
      </c>
      <c r="Q7715" s="36">
        <v>91.62</v>
      </c>
      <c r="R7715" s="36">
        <v>75.099999999999994</v>
      </c>
      <c r="S7715" s="36">
        <v>89</v>
      </c>
      <c r="T7715" s="36">
        <v>72.95</v>
      </c>
      <c r="U7715" s="34"/>
      <c r="V7715" s="34"/>
      <c r="W7715" s="34"/>
      <c r="X7715" s="37">
        <v>2.1000000000000001E-2</v>
      </c>
      <c r="Y7715" s="38">
        <v>1.1E-4</v>
      </c>
      <c r="Z7715" s="21">
        <v>4601004148130</v>
      </c>
    </row>
    <row r="7716" spans="1:26" ht="12" customHeight="1" outlineLevel="4" x14ac:dyDescent="0.2">
      <c r="A7716" s="14" t="s">
        <v>14753</v>
      </c>
      <c r="B7716" s="26" t="s">
        <v>14754</v>
      </c>
      <c r="C7716" s="52"/>
      <c r="D7716" s="55">
        <f t="shared" si="120"/>
        <v>0</v>
      </c>
      <c r="E7716" s="63" t="str">
        <f>HYPERLINK("https://www.sds-group.ru/product/tablichka-pvh-informatsionnyy-znak-vnimanie-vedetsya-videonablyudenie-200h200-mm-rexant-56-0024-2/", "Инфо")</f>
        <v>Инфо</v>
      </c>
      <c r="F7716" s="16" t="s">
        <v>39</v>
      </c>
      <c r="G7716" s="15"/>
      <c r="H7716" s="15"/>
      <c r="I7716" s="15"/>
      <c r="J7716" s="17">
        <v>773</v>
      </c>
      <c r="K7716" s="15" t="s">
        <v>1094</v>
      </c>
      <c r="L7716" s="17">
        <v>10</v>
      </c>
      <c r="M7716" s="17">
        <v>10</v>
      </c>
      <c r="N7716" s="17">
        <v>10</v>
      </c>
      <c r="O7716" s="18">
        <v>198.79</v>
      </c>
      <c r="P7716" s="18">
        <v>162.94</v>
      </c>
      <c r="Q7716" s="18">
        <v>139.15</v>
      </c>
      <c r="R7716" s="18">
        <v>114.06</v>
      </c>
      <c r="S7716" s="18">
        <v>135.18</v>
      </c>
      <c r="T7716" s="18">
        <v>110.8</v>
      </c>
      <c r="U7716" s="16"/>
      <c r="V7716" s="16"/>
      <c r="W7716" s="16"/>
      <c r="X7716" s="19">
        <v>2.4E-2</v>
      </c>
      <c r="Y7716" s="20">
        <v>6.29E-4</v>
      </c>
      <c r="Z7716" s="21">
        <v>4601004143876</v>
      </c>
    </row>
    <row r="7717" spans="1:26" ht="12.95" customHeight="1" x14ac:dyDescent="0.2">
      <c r="A7717" s="80" t="s">
        <v>14755</v>
      </c>
      <c r="B7717" s="80"/>
      <c r="C7717" s="81"/>
      <c r="D7717" s="56"/>
      <c r="E7717" s="66"/>
      <c r="F7717" s="11"/>
      <c r="G7717" s="11"/>
      <c r="H7717" s="11"/>
      <c r="I7717" s="11"/>
      <c r="J7717" s="11"/>
      <c r="K7717" s="11"/>
      <c r="L7717" s="11"/>
      <c r="M7717" s="11"/>
      <c r="N7717" s="11"/>
      <c r="O7717" s="11"/>
      <c r="P7717" s="11"/>
      <c r="Q7717" s="11"/>
      <c r="R7717" s="11"/>
      <c r="S7717" s="11"/>
      <c r="T7717" s="11"/>
      <c r="U7717" s="11"/>
      <c r="V7717" s="11"/>
      <c r="W7717" s="11"/>
      <c r="X7717" s="11"/>
      <c r="Y7717" s="11"/>
      <c r="Z7717" s="11"/>
    </row>
    <row r="7718" spans="1:26" ht="12.95" customHeight="1" outlineLevel="1" x14ac:dyDescent="0.2">
      <c r="A7718" s="78" t="s">
        <v>14756</v>
      </c>
      <c r="B7718" s="78"/>
      <c r="C7718" s="79"/>
      <c r="D7718" s="57"/>
      <c r="E7718" s="67"/>
      <c r="F7718" s="12"/>
      <c r="G7718" s="12"/>
      <c r="H7718" s="12"/>
      <c r="I7718" s="12"/>
      <c r="J7718" s="12"/>
      <c r="K7718" s="12"/>
      <c r="L7718" s="12"/>
      <c r="M7718" s="12"/>
      <c r="N7718" s="12"/>
      <c r="O7718" s="12"/>
      <c r="P7718" s="12"/>
      <c r="Q7718" s="12"/>
      <c r="R7718" s="12"/>
      <c r="S7718" s="12"/>
      <c r="T7718" s="12"/>
      <c r="U7718" s="12"/>
      <c r="V7718" s="12"/>
      <c r="W7718" s="12"/>
      <c r="X7718" s="12"/>
      <c r="Y7718" s="12"/>
      <c r="Z7718" s="12"/>
    </row>
    <row r="7719" spans="1:26" ht="12.95" customHeight="1" outlineLevel="2" x14ac:dyDescent="0.2">
      <c r="A7719" s="82" t="s">
        <v>14757</v>
      </c>
      <c r="B7719" s="82"/>
      <c r="C7719" s="83"/>
      <c r="D7719" s="59"/>
      <c r="E7719" s="69"/>
      <c r="F7719" s="23"/>
      <c r="G7719" s="23"/>
      <c r="H7719" s="23"/>
      <c r="I7719" s="23"/>
      <c r="J7719" s="23"/>
      <c r="K7719" s="23"/>
      <c r="L7719" s="23"/>
      <c r="M7719" s="23"/>
      <c r="N7719" s="23"/>
      <c r="O7719" s="23"/>
      <c r="P7719" s="23"/>
      <c r="Q7719" s="23"/>
      <c r="R7719" s="23"/>
      <c r="S7719" s="23"/>
      <c r="T7719" s="23"/>
      <c r="U7719" s="23"/>
      <c r="V7719" s="23"/>
      <c r="W7719" s="23"/>
      <c r="X7719" s="23"/>
      <c r="Y7719" s="23"/>
      <c r="Z7719" s="23"/>
    </row>
    <row r="7720" spans="1:26" ht="12" customHeight="1" outlineLevel="3" x14ac:dyDescent="0.2">
      <c r="A7720" s="14" t="s">
        <v>14758</v>
      </c>
      <c r="B7720" s="26" t="s">
        <v>14759</v>
      </c>
      <c r="C7720" s="52"/>
      <c r="D7720" s="55">
        <f t="shared" si="120"/>
        <v>0</v>
      </c>
      <c r="E7720" s="63" t="str">
        <f>HYPERLINK("https://www.sds-group.ru/product/kabel-koaksialnyy-sat-703-b-ccs-al-al-75-75om-100m-indoor-belyy-proconnect-01-2431-2/", "Инфо")</f>
        <v>Инфо</v>
      </c>
      <c r="F7720" s="16" t="s">
        <v>1887</v>
      </c>
      <c r="G7720" s="15"/>
      <c r="H7720" s="15"/>
      <c r="I7720" s="15"/>
      <c r="J7720" s="17">
        <v>504</v>
      </c>
      <c r="K7720" s="15" t="s">
        <v>925</v>
      </c>
      <c r="L7720" s="17">
        <v>1</v>
      </c>
      <c r="M7720" s="17">
        <v>6</v>
      </c>
      <c r="N7720" s="17">
        <v>1</v>
      </c>
      <c r="O7720" s="18">
        <v>2772.79</v>
      </c>
      <c r="P7720" s="18">
        <v>2272.7800000000002</v>
      </c>
      <c r="Q7720" s="18">
        <v>2467.7800000000002</v>
      </c>
      <c r="R7720" s="18">
        <v>2022.77</v>
      </c>
      <c r="S7720" s="18">
        <v>1885.5</v>
      </c>
      <c r="T7720" s="18">
        <v>1545.49</v>
      </c>
      <c r="U7720" s="16"/>
      <c r="V7720" s="16"/>
      <c r="W7720" s="16" t="s">
        <v>40</v>
      </c>
      <c r="X7720" s="19">
        <v>3.746</v>
      </c>
      <c r="Y7720" s="20">
        <v>9.3270000000000002E-3</v>
      </c>
      <c r="Z7720" s="21">
        <v>4601004049345</v>
      </c>
    </row>
    <row r="7721" spans="1:26" ht="12" customHeight="1" outlineLevel="3" x14ac:dyDescent="0.2">
      <c r="A7721" s="14" t="s">
        <v>14760</v>
      </c>
      <c r="B7721" s="26" t="s">
        <v>14761</v>
      </c>
      <c r="C7721" s="52"/>
      <c r="D7721" s="55">
        <f t="shared" si="120"/>
        <v>0</v>
      </c>
      <c r="E7721" s="63" t="str">
        <f>HYPERLINK("https://www.sds-group.ru/product/kabel-koaksialnyy-sat-703-b-cu-al-al-75-75om-100m-outdoor-chernyy-proconnect-01-2436-1/", "Инфо")</f>
        <v>Инфо</v>
      </c>
      <c r="F7721" s="16" t="s">
        <v>1887</v>
      </c>
      <c r="G7721" s="15"/>
      <c r="H7721" s="15"/>
      <c r="I7721" s="15"/>
      <c r="J7721" s="17">
        <v>199</v>
      </c>
      <c r="K7721" s="15" t="s">
        <v>925</v>
      </c>
      <c r="L7721" s="17">
        <v>1</v>
      </c>
      <c r="M7721" s="17">
        <v>6</v>
      </c>
      <c r="N7721" s="17">
        <v>1</v>
      </c>
      <c r="O7721" s="18">
        <v>7454.11</v>
      </c>
      <c r="P7721" s="18">
        <v>6109.93</v>
      </c>
      <c r="Q7721" s="18">
        <v>6634.16</v>
      </c>
      <c r="R7721" s="18">
        <v>5437.84</v>
      </c>
      <c r="S7721" s="18">
        <v>5068.79</v>
      </c>
      <c r="T7721" s="18">
        <v>4154.75</v>
      </c>
      <c r="U7721" s="16"/>
      <c r="V7721" s="16"/>
      <c r="W7721" s="16" t="s">
        <v>40</v>
      </c>
      <c r="X7721" s="19">
        <v>2.911</v>
      </c>
      <c r="Y7721" s="20">
        <v>8.659E-3</v>
      </c>
      <c r="Z7721" s="21">
        <v>4601004035812</v>
      </c>
    </row>
    <row r="7722" spans="1:26" ht="12" customHeight="1" outlineLevel="3" x14ac:dyDescent="0.2">
      <c r="A7722" s="14" t="s">
        <v>14762</v>
      </c>
      <c r="B7722" s="26" t="s">
        <v>14763</v>
      </c>
      <c r="C7722" s="52"/>
      <c r="D7722" s="55">
        <f t="shared" si="120"/>
        <v>0</v>
      </c>
      <c r="E7722" s="63" t="str">
        <f>HYPERLINK("https://www.sds-group.ru/product/kabel-koaksialnyy-sat-703-b-cu-al-cu-48-75om-100m-indoor-belyy-smartkip-01-2424/", "Инфо")</f>
        <v>Инфо</v>
      </c>
      <c r="F7722" s="16" t="s">
        <v>1887</v>
      </c>
      <c r="G7722" s="15"/>
      <c r="H7722" s="15"/>
      <c r="I7722" s="15"/>
      <c r="J7722" s="17">
        <v>192</v>
      </c>
      <c r="K7722" s="15" t="s">
        <v>925</v>
      </c>
      <c r="L7722" s="17">
        <v>1</v>
      </c>
      <c r="M7722" s="17">
        <v>6</v>
      </c>
      <c r="N7722" s="17">
        <v>1</v>
      </c>
      <c r="O7722" s="18">
        <v>3529.65</v>
      </c>
      <c r="P7722" s="18">
        <v>2893.16</v>
      </c>
      <c r="Q7722" s="18">
        <v>3141.39</v>
      </c>
      <c r="R7722" s="18">
        <v>2574.91</v>
      </c>
      <c r="S7722" s="18">
        <v>2400.16</v>
      </c>
      <c r="T7722" s="18">
        <v>1967.34</v>
      </c>
      <c r="U7722" s="16"/>
      <c r="V7722" s="16"/>
      <c r="W7722" s="16" t="s">
        <v>40</v>
      </c>
      <c r="X7722" s="19">
        <v>3.5089999999999999</v>
      </c>
      <c r="Y7722" s="20">
        <v>8.6009999999999993E-3</v>
      </c>
      <c r="Z7722" s="21">
        <v>4601004089204</v>
      </c>
    </row>
    <row r="7723" spans="1:26" ht="12" customHeight="1" outlineLevel="3" x14ac:dyDescent="0.2">
      <c r="A7723" s="14" t="s">
        <v>14764</v>
      </c>
      <c r="B7723" s="26" t="s">
        <v>14765</v>
      </c>
      <c r="C7723" s="52"/>
      <c r="D7723" s="55">
        <f t="shared" si="120"/>
        <v>0</v>
      </c>
      <c r="E7723" s="63" t="str">
        <f>HYPERLINK("https://www.sds-group.ru/product/kabel-koaksialnyy-sat-703-b-cu-al-cu-64-75om-100m-indoor-belyy-proconnect-01-2431-6/", "Инфо")</f>
        <v>Инфо</v>
      </c>
      <c r="F7723" s="16" t="s">
        <v>1887</v>
      </c>
      <c r="G7723" s="15"/>
      <c r="H7723" s="15"/>
      <c r="I7723" s="15"/>
      <c r="J7723" s="17">
        <v>282</v>
      </c>
      <c r="K7723" s="15" t="s">
        <v>925</v>
      </c>
      <c r="L7723" s="17">
        <v>1</v>
      </c>
      <c r="M7723" s="17">
        <v>6</v>
      </c>
      <c r="N7723" s="17">
        <v>1</v>
      </c>
      <c r="O7723" s="18">
        <v>4214.6400000000003</v>
      </c>
      <c r="P7723" s="18">
        <v>3454.62</v>
      </c>
      <c r="Q7723" s="18">
        <v>3751.03</v>
      </c>
      <c r="R7723" s="18">
        <v>3074.61</v>
      </c>
      <c r="S7723" s="18">
        <v>2865.96</v>
      </c>
      <c r="T7723" s="18">
        <v>2349.15</v>
      </c>
      <c r="U7723" s="16"/>
      <c r="V7723" s="16"/>
      <c r="W7723" s="16" t="s">
        <v>40</v>
      </c>
      <c r="X7723" s="19">
        <v>3.6869999999999998</v>
      </c>
      <c r="Y7723" s="20">
        <v>8.6350000000000003E-3</v>
      </c>
      <c r="Z7723" s="21">
        <v>4601004049659</v>
      </c>
    </row>
    <row r="7724" spans="1:26" ht="12" customHeight="1" outlineLevel="3" x14ac:dyDescent="0.2">
      <c r="A7724" s="14" t="s">
        <v>14766</v>
      </c>
      <c r="B7724" s="26" t="s">
        <v>14767</v>
      </c>
      <c r="C7724" s="52"/>
      <c r="D7724" s="55">
        <f t="shared" si="120"/>
        <v>0</v>
      </c>
      <c r="E7724" s="63" t="str">
        <f>HYPERLINK("https://www.sds-group.ru/product/kabel-koaksialnyy-sat-703-b-cu-al-cu-75-75om-100m-indoor-belyy-rexant-01-2431/", "Инфо")</f>
        <v>Инфо</v>
      </c>
      <c r="F7724" s="16" t="s">
        <v>1887</v>
      </c>
      <c r="G7724" s="15"/>
      <c r="H7724" s="15"/>
      <c r="I7724" s="15"/>
      <c r="J7724" s="22">
        <v>3290</v>
      </c>
      <c r="K7724" s="15" t="s">
        <v>925</v>
      </c>
      <c r="L7724" s="17">
        <v>1</v>
      </c>
      <c r="M7724" s="17">
        <v>6</v>
      </c>
      <c r="N7724" s="17">
        <v>1</v>
      </c>
      <c r="O7724" s="18">
        <v>6432.88</v>
      </c>
      <c r="P7724" s="18">
        <v>5272.85</v>
      </c>
      <c r="Q7724" s="18">
        <v>5725.26</v>
      </c>
      <c r="R7724" s="18">
        <v>4692.84</v>
      </c>
      <c r="S7724" s="18">
        <v>4374.3599999999997</v>
      </c>
      <c r="T7724" s="18">
        <v>3585.54</v>
      </c>
      <c r="U7724" s="16"/>
      <c r="V7724" s="16"/>
      <c r="W7724" s="16" t="s">
        <v>40</v>
      </c>
      <c r="X7724" s="19">
        <v>3.9430000000000001</v>
      </c>
      <c r="Y7724" s="20">
        <v>8.9899999999999997E-3</v>
      </c>
      <c r="Z7724" s="21">
        <v>4660008014018</v>
      </c>
    </row>
    <row r="7725" spans="1:26" ht="12" customHeight="1" outlineLevel="3" x14ac:dyDescent="0.2">
      <c r="A7725" s="14" t="s">
        <v>14768</v>
      </c>
      <c r="B7725" s="26" t="s">
        <v>14769</v>
      </c>
      <c r="C7725" s="52"/>
      <c r="D7725" s="55">
        <f t="shared" si="120"/>
        <v>0</v>
      </c>
      <c r="E7725" s="63" t="str">
        <f>HYPERLINK("https://www.sds-group.ru/product/kabel-koaksialnyy-sat-703-b-cu-al-cusn-75-75om-100m-indoor-belyy-cavel-01-2432/", "Инфо")</f>
        <v>Инфо</v>
      </c>
      <c r="F7725" s="16" t="s">
        <v>1887</v>
      </c>
      <c r="G7725" s="15"/>
      <c r="H7725" s="15"/>
      <c r="I7725" s="15"/>
      <c r="J7725" s="17">
        <v>55</v>
      </c>
      <c r="K7725" s="15"/>
      <c r="L7725" s="17">
        <v>1</v>
      </c>
      <c r="M7725" s="17">
        <v>6</v>
      </c>
      <c r="N7725" s="17">
        <v>1</v>
      </c>
      <c r="O7725" s="18">
        <v>23273.74</v>
      </c>
      <c r="P7725" s="18">
        <v>19076.84</v>
      </c>
      <c r="Q7725" s="18">
        <v>20713.63</v>
      </c>
      <c r="R7725" s="18">
        <v>16978.39</v>
      </c>
      <c r="S7725" s="18">
        <v>13498.77</v>
      </c>
      <c r="T7725" s="18">
        <v>11064.57</v>
      </c>
      <c r="U7725" s="16"/>
      <c r="V7725" s="16"/>
      <c r="W7725" s="16" t="s">
        <v>40</v>
      </c>
      <c r="X7725" s="19">
        <v>4.0890000000000004</v>
      </c>
      <c r="Y7725" s="20">
        <v>9.1179999999999994E-3</v>
      </c>
      <c r="Z7725" s="21">
        <v>8000022010102</v>
      </c>
    </row>
    <row r="7726" spans="1:26" ht="12.95" customHeight="1" outlineLevel="2" x14ac:dyDescent="0.2">
      <c r="A7726" s="82" t="s">
        <v>14770</v>
      </c>
      <c r="B7726" s="82"/>
      <c r="C7726" s="83"/>
      <c r="D7726" s="59"/>
      <c r="E7726" s="69"/>
      <c r="F7726" s="23"/>
      <c r="G7726" s="23"/>
      <c r="H7726" s="23"/>
      <c r="I7726" s="23"/>
      <c r="J7726" s="23"/>
      <c r="K7726" s="23"/>
      <c r="L7726" s="23"/>
      <c r="M7726" s="23"/>
      <c r="N7726" s="23"/>
      <c r="O7726" s="23"/>
      <c r="P7726" s="23"/>
      <c r="Q7726" s="23"/>
      <c r="R7726" s="23"/>
      <c r="S7726" s="23"/>
      <c r="T7726" s="23"/>
      <c r="U7726" s="23"/>
      <c r="V7726" s="23"/>
      <c r="W7726" s="23"/>
      <c r="X7726" s="23"/>
      <c r="Y7726" s="23"/>
      <c r="Z7726" s="23"/>
    </row>
    <row r="7727" spans="1:26" ht="12" customHeight="1" outlineLevel="3" x14ac:dyDescent="0.2">
      <c r="A7727" s="14" t="s">
        <v>14771</v>
      </c>
      <c r="B7727" s="26" t="s">
        <v>14772</v>
      </c>
      <c r="C7727" s="52"/>
      <c r="D7727" s="55">
        <f t="shared" si="120"/>
        <v>0</v>
      </c>
      <c r="E7727" s="63" t="str">
        <f>HYPERLINK("https://www.sds-group.ru/product/kabel-koaksialnyy-sat-50-m-ccs-al-al-75-75om-100m-indoor-belyy-proconnect-01-2401-2/", "Инфо")</f>
        <v>Инфо</v>
      </c>
      <c r="F7727" s="16" t="s">
        <v>1887</v>
      </c>
      <c r="G7727" s="15"/>
      <c r="H7727" s="15"/>
      <c r="I7727" s="15"/>
      <c r="J7727" s="17">
        <v>776</v>
      </c>
      <c r="K7727" s="15" t="s">
        <v>925</v>
      </c>
      <c r="L7727" s="17">
        <v>1</v>
      </c>
      <c r="M7727" s="17">
        <v>6</v>
      </c>
      <c r="N7727" s="17">
        <v>1</v>
      </c>
      <c r="O7727" s="18">
        <v>2440.06</v>
      </c>
      <c r="P7727" s="18">
        <v>2000.05</v>
      </c>
      <c r="Q7727" s="18">
        <v>2171.65</v>
      </c>
      <c r="R7727" s="18">
        <v>1780.04</v>
      </c>
      <c r="S7727" s="18">
        <v>1659.24</v>
      </c>
      <c r="T7727" s="18">
        <v>1360.03</v>
      </c>
      <c r="U7727" s="16"/>
      <c r="V7727" s="16"/>
      <c r="W7727" s="16" t="s">
        <v>40</v>
      </c>
      <c r="X7727" s="19">
        <v>3.7040000000000002</v>
      </c>
      <c r="Y7727" s="20">
        <v>8.8559999999999993E-3</v>
      </c>
      <c r="Z7727" s="21">
        <v>4601004049352</v>
      </c>
    </row>
    <row r="7728" spans="1:26" ht="12" customHeight="1" outlineLevel="3" x14ac:dyDescent="0.2">
      <c r="A7728" s="14" t="s">
        <v>14773</v>
      </c>
      <c r="B7728" s="26" t="s">
        <v>14774</v>
      </c>
      <c r="C7728" s="52"/>
      <c r="D7728" s="55">
        <f t="shared" si="120"/>
        <v>0</v>
      </c>
      <c r="E7728" s="63" t="str">
        <f>HYPERLINK("https://www.sds-group.ru/product/kabel-koaksialnyy-sat-50-m-cu-al-cu-64-75om-100m-indoor-belyy-proconnect-01-2401-6/", "Инфо")</f>
        <v>Инфо</v>
      </c>
      <c r="F7728" s="16" t="s">
        <v>1887</v>
      </c>
      <c r="G7728" s="15"/>
      <c r="H7728" s="15"/>
      <c r="I7728" s="15"/>
      <c r="J7728" s="17">
        <v>510</v>
      </c>
      <c r="K7728" s="15"/>
      <c r="L7728" s="17">
        <v>1</v>
      </c>
      <c r="M7728" s="17">
        <v>6</v>
      </c>
      <c r="N7728" s="17">
        <v>1</v>
      </c>
      <c r="O7728" s="18">
        <v>3992.82</v>
      </c>
      <c r="P7728" s="18">
        <v>3272.8</v>
      </c>
      <c r="Q7728" s="18">
        <v>3553.61</v>
      </c>
      <c r="R7728" s="18">
        <v>2912.8</v>
      </c>
      <c r="S7728" s="18">
        <v>2715.12</v>
      </c>
      <c r="T7728" s="18">
        <v>2225.5100000000002</v>
      </c>
      <c r="U7728" s="16"/>
      <c r="V7728" s="16"/>
      <c r="W7728" s="16" t="s">
        <v>40</v>
      </c>
      <c r="X7728" s="19">
        <v>3.5</v>
      </c>
      <c r="Y7728" s="20">
        <v>8.4720000000000004E-3</v>
      </c>
      <c r="Z7728" s="21">
        <v>4601004049666</v>
      </c>
    </row>
    <row r="7729" spans="1:26" ht="12" customHeight="1" outlineLevel="3" x14ac:dyDescent="0.2">
      <c r="A7729" s="14" t="s">
        <v>14775</v>
      </c>
      <c r="B7729" s="26" t="s">
        <v>14776</v>
      </c>
      <c r="C7729" s="52"/>
      <c r="D7729" s="55">
        <f t="shared" si="120"/>
        <v>0</v>
      </c>
      <c r="E7729" s="63" t="str">
        <f>HYPERLINK("https://www.sds-group.ru/product/kabel-koaksialnyy-sat-50-m-cu-al-cu-75-75om-100m-indoor-belyy-rexant-01-2401/", "Инфо")</f>
        <v>Инфо</v>
      </c>
      <c r="F7729" s="16" t="s">
        <v>1887</v>
      </c>
      <c r="G7729" s="15"/>
      <c r="H7729" s="15"/>
      <c r="I7729" s="15"/>
      <c r="J7729" s="17">
        <v>473</v>
      </c>
      <c r="K7729" s="15" t="s">
        <v>925</v>
      </c>
      <c r="L7729" s="17">
        <v>1</v>
      </c>
      <c r="M7729" s="17">
        <v>6</v>
      </c>
      <c r="N7729" s="17">
        <v>1</v>
      </c>
      <c r="O7729" s="18">
        <v>4269.4799999999996</v>
      </c>
      <c r="P7729" s="18">
        <v>3499.57</v>
      </c>
      <c r="Q7729" s="18">
        <v>3799.84</v>
      </c>
      <c r="R7729" s="18">
        <v>3114.62</v>
      </c>
      <c r="S7729" s="18">
        <v>2903.25</v>
      </c>
      <c r="T7729" s="18">
        <v>2379.71</v>
      </c>
      <c r="U7729" s="16"/>
      <c r="V7729" s="16"/>
      <c r="W7729" s="16" t="s">
        <v>40</v>
      </c>
      <c r="X7729" s="19">
        <v>3.7029999999999998</v>
      </c>
      <c r="Y7729" s="20">
        <v>9.2589999999999999E-3</v>
      </c>
      <c r="Z7729" s="21">
        <v>4660008014001</v>
      </c>
    </row>
    <row r="7730" spans="1:26" ht="12" customHeight="1" outlineLevel="3" x14ac:dyDescent="0.2">
      <c r="A7730" s="14" t="s">
        <v>14777</v>
      </c>
      <c r="B7730" s="26" t="s">
        <v>14778</v>
      </c>
      <c r="C7730" s="52"/>
      <c r="D7730" s="55">
        <f t="shared" si="120"/>
        <v>0</v>
      </c>
      <c r="E7730" s="63" t="str">
        <f>HYPERLINK("https://www.sds-group.ru/product/kabel-koaksialnyy-sat-50-m-cu-al-cusn-64-75om-100m-indoor-belyy-cavel-01-2402/", "Инфо")</f>
        <v>Инфо</v>
      </c>
      <c r="F7730" s="16" t="s">
        <v>1887</v>
      </c>
      <c r="G7730" s="15"/>
      <c r="H7730" s="15"/>
      <c r="I7730" s="15"/>
      <c r="J7730" s="17">
        <v>10</v>
      </c>
      <c r="K7730" s="15"/>
      <c r="L7730" s="17">
        <v>1</v>
      </c>
      <c r="M7730" s="17">
        <v>6</v>
      </c>
      <c r="N7730" s="17">
        <v>1</v>
      </c>
      <c r="O7730" s="18">
        <v>18910.2</v>
      </c>
      <c r="P7730" s="18">
        <v>15500.16</v>
      </c>
      <c r="Q7730" s="18">
        <v>16830.080000000002</v>
      </c>
      <c r="R7730" s="18">
        <v>13795.15</v>
      </c>
      <c r="S7730" s="18">
        <v>10967.92</v>
      </c>
      <c r="T7730" s="18">
        <v>8990.1</v>
      </c>
      <c r="U7730" s="16"/>
      <c r="V7730" s="16"/>
      <c r="W7730" s="16" t="s">
        <v>40</v>
      </c>
      <c r="X7730" s="19">
        <v>4.0039999999999996</v>
      </c>
      <c r="Y7730" s="20">
        <v>9.3109999999999998E-3</v>
      </c>
      <c r="Z7730" s="21">
        <v>8000048010100</v>
      </c>
    </row>
    <row r="7731" spans="1:26" ht="12.95" customHeight="1" outlineLevel="2" x14ac:dyDescent="0.2">
      <c r="A7731" s="82" t="s">
        <v>14779</v>
      </c>
      <c r="B7731" s="82"/>
      <c r="C7731" s="83"/>
      <c r="D7731" s="59"/>
      <c r="E7731" s="69"/>
      <c r="F7731" s="23"/>
      <c r="G7731" s="23"/>
      <c r="H7731" s="23"/>
      <c r="I7731" s="23"/>
      <c r="J7731" s="23"/>
      <c r="K7731" s="23"/>
      <c r="L7731" s="23"/>
      <c r="M7731" s="23"/>
      <c r="N7731" s="23"/>
      <c r="O7731" s="23"/>
      <c r="P7731" s="23"/>
      <c r="Q7731" s="23"/>
      <c r="R7731" s="23"/>
      <c r="S7731" s="23"/>
      <c r="T7731" s="23"/>
      <c r="U7731" s="23"/>
      <c r="V7731" s="23"/>
      <c r="W7731" s="23"/>
      <c r="X7731" s="23"/>
      <c r="Y7731" s="23"/>
      <c r="Z7731" s="23"/>
    </row>
    <row r="7732" spans="1:26" ht="12" customHeight="1" outlineLevel="3" x14ac:dyDescent="0.2">
      <c r="A7732" s="14" t="s">
        <v>14780</v>
      </c>
      <c r="B7732" s="26" t="s">
        <v>14781</v>
      </c>
      <c r="C7732" s="52"/>
      <c r="D7732" s="55">
        <f t="shared" si="120"/>
        <v>0</v>
      </c>
      <c r="E7732" s="63" t="str">
        <f>HYPERLINK("https://www.sds-group.ru/product/kabel-koaksialnyy-3s-2v-75om-ccs-al-al-48-100m-indoor-belyy-rexant-01-2611/", "Инфо")</f>
        <v>Инфо</v>
      </c>
      <c r="F7732" s="16" t="s">
        <v>1887</v>
      </c>
      <c r="G7732" s="15"/>
      <c r="H7732" s="15"/>
      <c r="I7732" s="15"/>
      <c r="J7732" s="17">
        <v>224</v>
      </c>
      <c r="K7732" s="15" t="s">
        <v>1519</v>
      </c>
      <c r="L7732" s="17">
        <v>1</v>
      </c>
      <c r="M7732" s="17">
        <v>6</v>
      </c>
      <c r="N7732" s="17">
        <v>1</v>
      </c>
      <c r="O7732" s="18">
        <v>2366.85</v>
      </c>
      <c r="P7732" s="18">
        <v>1940.04</v>
      </c>
      <c r="Q7732" s="18">
        <v>2106.5</v>
      </c>
      <c r="R7732" s="18">
        <v>1726.64</v>
      </c>
      <c r="S7732" s="18">
        <v>1609.46</v>
      </c>
      <c r="T7732" s="18">
        <v>1319.23</v>
      </c>
      <c r="U7732" s="16"/>
      <c r="V7732" s="16"/>
      <c r="W7732" s="16" t="s">
        <v>40</v>
      </c>
      <c r="X7732" s="19">
        <v>2.351</v>
      </c>
      <c r="Y7732" s="20">
        <v>4.2690000000000002E-3</v>
      </c>
      <c r="Z7732" s="21">
        <v>4610003608118</v>
      </c>
    </row>
    <row r="7733" spans="1:26" ht="12" customHeight="1" outlineLevel="3" x14ac:dyDescent="0.2">
      <c r="A7733" s="14" t="s">
        <v>14782</v>
      </c>
      <c r="B7733" s="26" t="s">
        <v>14783</v>
      </c>
      <c r="C7733" s="52"/>
      <c r="D7733" s="55">
        <f t="shared" si="120"/>
        <v>0</v>
      </c>
      <c r="E7733" s="63" t="str">
        <f>HYPERLINK("https://www.sds-group.ru/product/kabel-koaksialnyy-rg-59u-75om-ccs-al-al-48-100m-indoor-belyy-proconnect-01-2621/", "Инфо")</f>
        <v>Инфо</v>
      </c>
      <c r="F7733" s="16" t="s">
        <v>1887</v>
      </c>
      <c r="G7733" s="15"/>
      <c r="H7733" s="15"/>
      <c r="I7733" s="15"/>
      <c r="J7733" s="17">
        <v>104</v>
      </c>
      <c r="K7733" s="15"/>
      <c r="L7733" s="17">
        <v>1</v>
      </c>
      <c r="M7733" s="17">
        <v>6</v>
      </c>
      <c r="N7733" s="17">
        <v>1</v>
      </c>
      <c r="O7733" s="18">
        <v>2573.44</v>
      </c>
      <c r="P7733" s="18">
        <v>2109.38</v>
      </c>
      <c r="Q7733" s="18">
        <v>2290.36</v>
      </c>
      <c r="R7733" s="18">
        <v>1877.34</v>
      </c>
      <c r="S7733" s="18">
        <v>1749.94</v>
      </c>
      <c r="T7733" s="18">
        <v>1434.38</v>
      </c>
      <c r="U7733" s="16"/>
      <c r="V7733" s="16"/>
      <c r="W7733" s="16" t="s">
        <v>40</v>
      </c>
      <c r="X7733" s="19">
        <v>2.7629999999999999</v>
      </c>
      <c r="Y7733" s="20">
        <v>6.025E-3</v>
      </c>
      <c r="Z7733" s="21">
        <v>4610003608095</v>
      </c>
    </row>
    <row r="7734" spans="1:26" ht="12" customHeight="1" outlineLevel="3" x14ac:dyDescent="0.2">
      <c r="A7734" s="14" t="s">
        <v>14784</v>
      </c>
      <c r="B7734" s="26" t="s">
        <v>14785</v>
      </c>
      <c r="C7734" s="52"/>
      <c r="D7734" s="55">
        <f t="shared" si="120"/>
        <v>0</v>
      </c>
      <c r="E7734" s="63" t="str">
        <f>HYPERLINK("https://www.sds-group.ru/product/kabel-koaksialnyy-rg-6u-75om-ccs-al-al-32-100m-indoor-belyy-proconnect-light-01-2251/", "Инфо")</f>
        <v>Инфо</v>
      </c>
      <c r="F7734" s="16" t="s">
        <v>1887</v>
      </c>
      <c r="G7734" s="15"/>
      <c r="H7734" s="15"/>
      <c r="I7734" s="15"/>
      <c r="J7734" s="16" t="s">
        <v>100</v>
      </c>
      <c r="K7734" s="15" t="s">
        <v>6837</v>
      </c>
      <c r="L7734" s="17">
        <v>1</v>
      </c>
      <c r="M7734" s="17">
        <v>6</v>
      </c>
      <c r="N7734" s="17">
        <v>1</v>
      </c>
      <c r="O7734" s="18">
        <v>1884.93</v>
      </c>
      <c r="P7734" s="18">
        <v>1545.02</v>
      </c>
      <c r="Q7734" s="18">
        <v>1677.59</v>
      </c>
      <c r="R7734" s="18">
        <v>1375.07</v>
      </c>
      <c r="S7734" s="18">
        <v>1281.75</v>
      </c>
      <c r="T7734" s="18">
        <v>1050.6099999999999</v>
      </c>
      <c r="U7734" s="16"/>
      <c r="V7734" s="16"/>
      <c r="W7734" s="16" t="s">
        <v>40</v>
      </c>
      <c r="X7734" s="19">
        <v>3.306</v>
      </c>
      <c r="Y7734" s="20">
        <v>7.1510000000000002E-3</v>
      </c>
      <c r="Z7734" s="21">
        <v>4660008017170</v>
      </c>
    </row>
    <row r="7735" spans="1:26" ht="12" customHeight="1" outlineLevel="3" x14ac:dyDescent="0.2">
      <c r="A7735" s="14" t="s">
        <v>14786</v>
      </c>
      <c r="B7735" s="26" t="s">
        <v>14787</v>
      </c>
      <c r="C7735" s="52"/>
      <c r="D7735" s="55">
        <f t="shared" si="120"/>
        <v>0</v>
      </c>
      <c r="E7735" s="63" t="str">
        <f>HYPERLINK("https://www.sds-group.ru/product/kabel-koaksialnyy-rg-6u-75om-ccs-al-al-48-100m-indoor-belyy-proconnect-01-2205/", "Инфо")</f>
        <v>Инфо</v>
      </c>
      <c r="F7735" s="16" t="s">
        <v>1887</v>
      </c>
      <c r="G7735" s="15"/>
      <c r="H7735" s="15"/>
      <c r="I7735" s="15"/>
      <c r="J7735" s="17">
        <v>679</v>
      </c>
      <c r="K7735" s="15" t="s">
        <v>6837</v>
      </c>
      <c r="L7735" s="17">
        <v>1</v>
      </c>
      <c r="M7735" s="17">
        <v>6</v>
      </c>
      <c r="N7735" s="17">
        <v>1</v>
      </c>
      <c r="O7735" s="18">
        <v>2292.5</v>
      </c>
      <c r="P7735" s="18">
        <v>1879.1</v>
      </c>
      <c r="Q7735" s="18">
        <v>2040.33</v>
      </c>
      <c r="R7735" s="18">
        <v>1672.4</v>
      </c>
      <c r="S7735" s="18">
        <v>1558.9</v>
      </c>
      <c r="T7735" s="18">
        <v>1277.79</v>
      </c>
      <c r="U7735" s="16"/>
      <c r="V7735" s="16"/>
      <c r="W7735" s="16" t="s">
        <v>40</v>
      </c>
      <c r="X7735" s="19">
        <v>3.492</v>
      </c>
      <c r="Y7735" s="20">
        <v>7.2370000000000004E-3</v>
      </c>
      <c r="Z7735" s="21">
        <v>4660008013127</v>
      </c>
    </row>
    <row r="7736" spans="1:26" ht="12" customHeight="1" outlineLevel="3" x14ac:dyDescent="0.2">
      <c r="A7736" s="14" t="s">
        <v>14788</v>
      </c>
      <c r="B7736" s="26" t="s">
        <v>14789</v>
      </c>
      <c r="C7736" s="52"/>
      <c r="D7736" s="55">
        <f t="shared" si="120"/>
        <v>0</v>
      </c>
      <c r="E7736" s="63" t="str">
        <f>HYPERLINK("https://www.sds-group.ru/product/kabel-koaksialnyy-rg-6u-75om-ccs-al-al-48-100m-outdoor-chernyy-proconnect-01-2205-1/", "Инфо")</f>
        <v>Инфо</v>
      </c>
      <c r="F7736" s="16" t="s">
        <v>1887</v>
      </c>
      <c r="G7736" s="15"/>
      <c r="H7736" s="15"/>
      <c r="I7736" s="15"/>
      <c r="J7736" s="17">
        <v>246</v>
      </c>
      <c r="K7736" s="15" t="s">
        <v>6837</v>
      </c>
      <c r="L7736" s="17">
        <v>1</v>
      </c>
      <c r="M7736" s="17">
        <v>6</v>
      </c>
      <c r="N7736" s="17">
        <v>1</v>
      </c>
      <c r="O7736" s="18">
        <v>3052.2</v>
      </c>
      <c r="P7736" s="18">
        <v>2501.8000000000002</v>
      </c>
      <c r="Q7736" s="18">
        <v>2716.46</v>
      </c>
      <c r="R7736" s="18">
        <v>2226.61</v>
      </c>
      <c r="S7736" s="18">
        <v>2075.5</v>
      </c>
      <c r="T7736" s="18">
        <v>1701.23</v>
      </c>
      <c r="U7736" s="16"/>
      <c r="V7736" s="16"/>
      <c r="W7736" s="16" t="s">
        <v>40</v>
      </c>
      <c r="X7736" s="19">
        <v>2.4990000000000001</v>
      </c>
      <c r="Y7736" s="20">
        <v>7.0870000000000004E-3</v>
      </c>
      <c r="Z7736" s="21">
        <v>4601004063082</v>
      </c>
    </row>
    <row r="7737" spans="1:26" ht="12" customHeight="1" outlineLevel="3" x14ac:dyDescent="0.2">
      <c r="A7737" s="14" t="s">
        <v>14790</v>
      </c>
      <c r="B7737" s="26" t="s">
        <v>14791</v>
      </c>
      <c r="C7737" s="52"/>
      <c r="D7737" s="55">
        <f t="shared" si="120"/>
        <v>0</v>
      </c>
      <c r="E7737" s="63" t="str">
        <f>HYPERLINK("https://www.sds-group.ru/product/kabel-koaksialnyy-rg-6u-75om-ccs-al-al-64-100m-indoor-belyy-rexant-01-2201/", "Инфо")</f>
        <v>Инфо</v>
      </c>
      <c r="F7737" s="16" t="s">
        <v>1887</v>
      </c>
      <c r="G7737" s="15"/>
      <c r="H7737" s="15"/>
      <c r="I7737" s="15"/>
      <c r="J7737" s="22">
        <v>1672</v>
      </c>
      <c r="K7737" s="15" t="s">
        <v>925</v>
      </c>
      <c r="L7737" s="17">
        <v>1</v>
      </c>
      <c r="M7737" s="17">
        <v>6</v>
      </c>
      <c r="N7737" s="17">
        <v>1</v>
      </c>
      <c r="O7737" s="18">
        <v>2678.02</v>
      </c>
      <c r="P7737" s="18">
        <v>2195.1</v>
      </c>
      <c r="Q7737" s="18">
        <v>2383.44</v>
      </c>
      <c r="R7737" s="18">
        <v>1953.64</v>
      </c>
      <c r="S7737" s="18">
        <v>1821.05</v>
      </c>
      <c r="T7737" s="18">
        <v>1492.66</v>
      </c>
      <c r="U7737" s="16"/>
      <c r="V7737" s="16"/>
      <c r="W7737" s="16" t="s">
        <v>40</v>
      </c>
      <c r="X7737" s="19">
        <v>3.6909999999999998</v>
      </c>
      <c r="Y7737" s="20">
        <v>7.339E-3</v>
      </c>
      <c r="Z7737" s="21">
        <v>4610003608088</v>
      </c>
    </row>
    <row r="7738" spans="1:26" ht="12" customHeight="1" outlineLevel="3" x14ac:dyDescent="0.2">
      <c r="A7738" s="14" t="s">
        <v>14792</v>
      </c>
      <c r="B7738" s="26" t="s">
        <v>14793</v>
      </c>
      <c r="C7738" s="52"/>
      <c r="D7738" s="55">
        <f t="shared" si="120"/>
        <v>0</v>
      </c>
      <c r="E7738" s="63" t="str">
        <f>HYPERLINK("https://www.sds-group.ru/product/kabel-koaksialnyy-rg-6u-75om-ccs-al-al-64-100m-outdoor-chernyy-rexant-01-2202/", "Инфо")</f>
        <v>Инфо</v>
      </c>
      <c r="F7738" s="16" t="s">
        <v>1887</v>
      </c>
      <c r="G7738" s="15"/>
      <c r="H7738" s="15"/>
      <c r="I7738" s="15"/>
      <c r="J7738" s="17">
        <v>519</v>
      </c>
      <c r="K7738" s="15" t="s">
        <v>6837</v>
      </c>
      <c r="L7738" s="17">
        <v>1</v>
      </c>
      <c r="M7738" s="17">
        <v>6</v>
      </c>
      <c r="N7738" s="17">
        <v>1</v>
      </c>
      <c r="O7738" s="18">
        <v>2788.32</v>
      </c>
      <c r="P7738" s="18">
        <v>2285.5100000000002</v>
      </c>
      <c r="Q7738" s="18">
        <v>2481.6</v>
      </c>
      <c r="R7738" s="18">
        <v>2034.1</v>
      </c>
      <c r="S7738" s="18">
        <v>1896.06</v>
      </c>
      <c r="T7738" s="18">
        <v>1554.15</v>
      </c>
      <c r="U7738" s="16"/>
      <c r="V7738" s="16"/>
      <c r="W7738" s="16" t="s">
        <v>40</v>
      </c>
      <c r="X7738" s="19">
        <v>2.7069999999999999</v>
      </c>
      <c r="Y7738" s="20">
        <v>7.1390000000000004E-3</v>
      </c>
      <c r="Z7738" s="21">
        <v>4660008016180</v>
      </c>
    </row>
    <row r="7739" spans="1:26" ht="12" customHeight="1" outlineLevel="3" x14ac:dyDescent="0.2">
      <c r="A7739" s="14" t="s">
        <v>14794</v>
      </c>
      <c r="B7739" s="26" t="s">
        <v>14795</v>
      </c>
      <c r="C7739" s="52"/>
      <c r="D7739" s="55">
        <f t="shared" si="120"/>
        <v>0</v>
      </c>
      <c r="E7739" s="63" t="str">
        <f>HYPERLINK("https://www.sds-group.ru/product/kabel-koaksialnyy-rg-6u-75om-ccs-al-al-64-305m-indoor-belyy-rexant-01-2203/", "Инфо")</f>
        <v>Инфо</v>
      </c>
      <c r="F7739" s="16" t="s">
        <v>1887</v>
      </c>
      <c r="G7739" s="15"/>
      <c r="H7739" s="15"/>
      <c r="I7739" s="15"/>
      <c r="J7739" s="17">
        <v>68</v>
      </c>
      <c r="K7739" s="15" t="s">
        <v>6837</v>
      </c>
      <c r="L7739" s="17">
        <v>1</v>
      </c>
      <c r="M7739" s="17">
        <v>2</v>
      </c>
      <c r="N7739" s="17">
        <v>1</v>
      </c>
      <c r="O7739" s="18">
        <v>8782.42</v>
      </c>
      <c r="P7739" s="18">
        <v>7198.7</v>
      </c>
      <c r="Q7739" s="18">
        <v>7816.35</v>
      </c>
      <c r="R7739" s="18">
        <v>6406.84</v>
      </c>
      <c r="S7739" s="18">
        <v>5972.05</v>
      </c>
      <c r="T7739" s="18">
        <v>4895.12</v>
      </c>
      <c r="U7739" s="16"/>
      <c r="V7739" s="16"/>
      <c r="W7739" s="16" t="s">
        <v>40</v>
      </c>
      <c r="X7739" s="19">
        <v>12.266999999999999</v>
      </c>
      <c r="Y7739" s="20">
        <v>2.6629E-2</v>
      </c>
      <c r="Z7739" s="21">
        <v>4660008016197</v>
      </c>
    </row>
    <row r="7740" spans="1:26" ht="12" customHeight="1" outlineLevel="3" x14ac:dyDescent="0.2">
      <c r="A7740" s="14" t="s">
        <v>14796</v>
      </c>
      <c r="B7740" s="26" t="s">
        <v>14797</v>
      </c>
      <c r="C7740" s="52"/>
      <c r="D7740" s="55">
        <f t="shared" si="120"/>
        <v>0</v>
      </c>
      <c r="E7740" s="63" t="str">
        <f>HYPERLINK("https://www.sds-group.ru/product/kabel-koaksialnyy-rg-6u-75om-ccs-al-al-64-305m-outdoor-chernyy-rexant-01-2204/", "Инфо")</f>
        <v>Инфо</v>
      </c>
      <c r="F7740" s="16" t="s">
        <v>1887</v>
      </c>
      <c r="G7740" s="15"/>
      <c r="H7740" s="15"/>
      <c r="I7740" s="15"/>
      <c r="J7740" s="17">
        <v>78</v>
      </c>
      <c r="K7740" s="15" t="s">
        <v>6837</v>
      </c>
      <c r="L7740" s="17">
        <v>1</v>
      </c>
      <c r="M7740" s="17">
        <v>2</v>
      </c>
      <c r="N7740" s="17">
        <v>1</v>
      </c>
      <c r="O7740" s="18">
        <v>9099.86</v>
      </c>
      <c r="P7740" s="18">
        <v>7458.9</v>
      </c>
      <c r="Q7740" s="18">
        <v>8098.88</v>
      </c>
      <c r="R7740" s="18">
        <v>6638.43</v>
      </c>
      <c r="S7740" s="18">
        <v>6187.9</v>
      </c>
      <c r="T7740" s="18">
        <v>5072.05</v>
      </c>
      <c r="U7740" s="16"/>
      <c r="V7740" s="16"/>
      <c r="W7740" s="16" t="s">
        <v>40</v>
      </c>
      <c r="X7740" s="19">
        <v>8.85</v>
      </c>
      <c r="Y7740" s="20">
        <v>2.2273000000000001E-2</v>
      </c>
      <c r="Z7740" s="21">
        <v>4660008016203</v>
      </c>
    </row>
    <row r="7741" spans="1:26" ht="12.95" customHeight="1" outlineLevel="2" x14ac:dyDescent="0.2">
      <c r="A7741" s="82" t="s">
        <v>14798</v>
      </c>
      <c r="B7741" s="82"/>
      <c r="C7741" s="83"/>
      <c r="D7741" s="59"/>
      <c r="E7741" s="69"/>
      <c r="F7741" s="23"/>
      <c r="G7741" s="23"/>
      <c r="H7741" s="23"/>
      <c r="I7741" s="23"/>
      <c r="J7741" s="23"/>
      <c r="K7741" s="23"/>
      <c r="L7741" s="23"/>
      <c r="M7741" s="23"/>
      <c r="N7741" s="23"/>
      <c r="O7741" s="23"/>
      <c r="P7741" s="23"/>
      <c r="Q7741" s="23"/>
      <c r="R7741" s="23"/>
      <c r="S7741" s="23"/>
      <c r="T7741" s="23"/>
      <c r="U7741" s="23"/>
      <c r="V7741" s="23"/>
      <c r="W7741" s="23"/>
      <c r="X7741" s="23"/>
      <c r="Y7741" s="23"/>
      <c r="Z7741" s="23"/>
    </row>
    <row r="7742" spans="1:26" ht="12" customHeight="1" outlineLevel="3" x14ac:dyDescent="0.2">
      <c r="A7742" s="14" t="s">
        <v>14799</v>
      </c>
      <c r="B7742" s="26" t="s">
        <v>14800</v>
      </c>
      <c r="C7742" s="52"/>
      <c r="D7742" s="55">
        <f t="shared" si="120"/>
        <v>0</v>
      </c>
      <c r="E7742" s="63" t="str">
        <f>HYPERLINK("https://www.sds-group.ru/product/kabel-koaksialnyy-rg-59u-75om-cu-al-cu-64-100m-indoor-belyy-rexant-01-2641/", "Инфо")</f>
        <v>Инфо</v>
      </c>
      <c r="F7742" s="16" t="s">
        <v>1887</v>
      </c>
      <c r="G7742" s="15"/>
      <c r="H7742" s="15"/>
      <c r="I7742" s="15"/>
      <c r="J7742" s="17">
        <v>37</v>
      </c>
      <c r="K7742" s="15"/>
      <c r="L7742" s="17">
        <v>1</v>
      </c>
      <c r="M7742" s="17">
        <v>6</v>
      </c>
      <c r="N7742" s="17">
        <v>1</v>
      </c>
      <c r="O7742" s="18">
        <v>4928.32</v>
      </c>
      <c r="P7742" s="18">
        <v>4039.61</v>
      </c>
      <c r="Q7742" s="18">
        <v>4386.2</v>
      </c>
      <c r="R7742" s="18">
        <v>3595.25</v>
      </c>
      <c r="S7742" s="18">
        <v>3351.26</v>
      </c>
      <c r="T7742" s="18">
        <v>2746.93</v>
      </c>
      <c r="U7742" s="16"/>
      <c r="V7742" s="16"/>
      <c r="W7742" s="16" t="s">
        <v>40</v>
      </c>
      <c r="X7742" s="19">
        <v>3.9750000000000001</v>
      </c>
      <c r="Y7742" s="20">
        <v>6.7279999999999996E-3</v>
      </c>
      <c r="Z7742" s="21">
        <v>4610003608101</v>
      </c>
    </row>
    <row r="7743" spans="1:26" ht="12" customHeight="1" outlineLevel="3" x14ac:dyDescent="0.2">
      <c r="A7743" s="14" t="s">
        <v>14801</v>
      </c>
      <c r="B7743" s="26" t="s">
        <v>14802</v>
      </c>
      <c r="C7743" s="52"/>
      <c r="D7743" s="55">
        <f t="shared" si="120"/>
        <v>0</v>
      </c>
      <c r="E7743" s="63" t="str">
        <f>HYPERLINK("https://www.sds-group.ru/product/kabel-koaksialnyy-rg-59u-75om-cu-al-cu-64-305m-indoor-belyy-rexant-01-2651/", "Инфо")</f>
        <v>Инфо</v>
      </c>
      <c r="F7743" s="16" t="s">
        <v>1887</v>
      </c>
      <c r="G7743" s="15"/>
      <c r="H7743" s="15"/>
      <c r="I7743" s="15"/>
      <c r="J7743" s="17">
        <v>68</v>
      </c>
      <c r="K7743" s="15"/>
      <c r="L7743" s="17">
        <v>1</v>
      </c>
      <c r="M7743" s="17">
        <v>2</v>
      </c>
      <c r="N7743" s="17">
        <v>1</v>
      </c>
      <c r="O7743" s="18">
        <v>15031.43</v>
      </c>
      <c r="P7743" s="18">
        <v>12320.84</v>
      </c>
      <c r="Q7743" s="18">
        <v>13377.97</v>
      </c>
      <c r="R7743" s="18">
        <v>10965.55</v>
      </c>
      <c r="S7743" s="18">
        <v>10221.370000000001</v>
      </c>
      <c r="T7743" s="18">
        <v>8378.17</v>
      </c>
      <c r="U7743" s="16"/>
      <c r="V7743" s="16"/>
      <c r="W7743" s="16" t="s">
        <v>40</v>
      </c>
      <c r="X7743" s="19">
        <v>12.169</v>
      </c>
      <c r="Y7743" s="20">
        <v>2.0063999999999999E-2</v>
      </c>
      <c r="Z7743" s="21">
        <v>4660008016388</v>
      </c>
    </row>
    <row r="7744" spans="1:26" ht="12" customHeight="1" outlineLevel="3" x14ac:dyDescent="0.2">
      <c r="A7744" s="14" t="s">
        <v>14803</v>
      </c>
      <c r="B7744" s="26" t="s">
        <v>14804</v>
      </c>
      <c r="C7744" s="52"/>
      <c r="D7744" s="55">
        <f t="shared" si="120"/>
        <v>0</v>
      </c>
      <c r="E7744" s="63" t="str">
        <f>HYPERLINK("https://www.sds-group.ru/product/kabel-koaksialnyy-rg-6u-75om-cu-al-cu-48-100m-indoor-belyy-proconnect-01-2206/", "Инфо")</f>
        <v>Инфо</v>
      </c>
      <c r="F7744" s="16" t="s">
        <v>1887</v>
      </c>
      <c r="G7744" s="15"/>
      <c r="H7744" s="15"/>
      <c r="I7744" s="15"/>
      <c r="J7744" s="17">
        <v>441</v>
      </c>
      <c r="K7744" s="15" t="s">
        <v>1519</v>
      </c>
      <c r="L7744" s="17">
        <v>1</v>
      </c>
      <c r="M7744" s="17">
        <v>6</v>
      </c>
      <c r="N7744" s="17">
        <v>1</v>
      </c>
      <c r="O7744" s="18">
        <v>4628.84</v>
      </c>
      <c r="P7744" s="18">
        <v>3794.13</v>
      </c>
      <c r="Q7744" s="18">
        <v>4119.67</v>
      </c>
      <c r="R7744" s="18">
        <v>3376.78</v>
      </c>
      <c r="S7744" s="18">
        <v>3147.61</v>
      </c>
      <c r="T7744" s="18">
        <v>2580.0100000000002</v>
      </c>
      <c r="U7744" s="16"/>
      <c r="V7744" s="16"/>
      <c r="W7744" s="16" t="s">
        <v>40</v>
      </c>
      <c r="X7744" s="19">
        <v>3.5249999999999999</v>
      </c>
      <c r="Y7744" s="20">
        <v>6.9649999999999998E-3</v>
      </c>
      <c r="Z7744" s="21">
        <v>4601004012325</v>
      </c>
    </row>
    <row r="7745" spans="1:26" ht="12" customHeight="1" outlineLevel="3" x14ac:dyDescent="0.2">
      <c r="A7745" s="14" t="s">
        <v>14805</v>
      </c>
      <c r="B7745" s="26" t="s">
        <v>14806</v>
      </c>
      <c r="C7745" s="52"/>
      <c r="D7745" s="55">
        <f t="shared" si="120"/>
        <v>0</v>
      </c>
      <c r="E7745" s="63" t="str">
        <f>HYPERLINK("https://www.sds-group.ru/product/kabel-koaksialnyy-rg-6u-75om-cu-al-cu-64-100m-indoor-belyy-rexant-01-2221/", "Инфо")</f>
        <v>Инфо</v>
      </c>
      <c r="F7745" s="16" t="s">
        <v>1887</v>
      </c>
      <c r="G7745" s="15"/>
      <c r="H7745" s="15"/>
      <c r="I7745" s="15"/>
      <c r="J7745" s="22">
        <v>1195</v>
      </c>
      <c r="K7745" s="15" t="s">
        <v>925</v>
      </c>
      <c r="L7745" s="17">
        <v>1</v>
      </c>
      <c r="M7745" s="17">
        <v>6</v>
      </c>
      <c r="N7745" s="17">
        <v>1</v>
      </c>
      <c r="O7745" s="18">
        <v>5687.38</v>
      </c>
      <c r="P7745" s="18">
        <v>4661.79</v>
      </c>
      <c r="Q7745" s="18">
        <v>5061.7700000000004</v>
      </c>
      <c r="R7745" s="18">
        <v>4148.99</v>
      </c>
      <c r="S7745" s="18">
        <v>3867.42</v>
      </c>
      <c r="T7745" s="18">
        <v>3170.02</v>
      </c>
      <c r="U7745" s="16"/>
      <c r="V7745" s="16"/>
      <c r="W7745" s="16" t="s">
        <v>40</v>
      </c>
      <c r="X7745" s="19">
        <v>3.7530000000000001</v>
      </c>
      <c r="Y7745" s="20">
        <v>7.1149999999999998E-3</v>
      </c>
      <c r="Z7745" s="21">
        <v>4660008016227</v>
      </c>
    </row>
    <row r="7746" spans="1:26" ht="12" customHeight="1" outlineLevel="3" x14ac:dyDescent="0.2">
      <c r="A7746" s="14" t="s">
        <v>14807</v>
      </c>
      <c r="B7746" s="26" t="s">
        <v>14808</v>
      </c>
      <c r="C7746" s="52"/>
      <c r="D7746" s="55">
        <f t="shared" si="120"/>
        <v>0</v>
      </c>
      <c r="E7746" s="63" t="str">
        <f>HYPERLINK("https://www.sds-group.ru/product/kabel-koaksialnyy-rg-6u-75om-cu-al-cu-64-100m-outdoor-chernyy-rexant-01-2222/", "Инфо")</f>
        <v>Инфо</v>
      </c>
      <c r="F7746" s="16" t="s">
        <v>1887</v>
      </c>
      <c r="G7746" s="15"/>
      <c r="H7746" s="15"/>
      <c r="I7746" s="15"/>
      <c r="J7746" s="17">
        <v>83</v>
      </c>
      <c r="K7746" s="15" t="s">
        <v>6837</v>
      </c>
      <c r="L7746" s="17">
        <v>1</v>
      </c>
      <c r="M7746" s="17">
        <v>6</v>
      </c>
      <c r="N7746" s="17">
        <v>1</v>
      </c>
      <c r="O7746" s="18">
        <v>5767.26</v>
      </c>
      <c r="P7746" s="18">
        <v>4727.26</v>
      </c>
      <c r="Q7746" s="18">
        <v>5132.8599999999997</v>
      </c>
      <c r="R7746" s="18">
        <v>4207.26</v>
      </c>
      <c r="S7746" s="18">
        <v>3921.74</v>
      </c>
      <c r="T7746" s="18">
        <v>3214.54</v>
      </c>
      <c r="U7746" s="16"/>
      <c r="V7746" s="16"/>
      <c r="W7746" s="16" t="s">
        <v>40</v>
      </c>
      <c r="X7746" s="19">
        <v>2.7370000000000001</v>
      </c>
      <c r="Y7746" s="20">
        <v>7.4229999999999999E-3</v>
      </c>
      <c r="Z7746" s="21">
        <v>4660008016234</v>
      </c>
    </row>
    <row r="7747" spans="1:26" ht="12" customHeight="1" outlineLevel="3" x14ac:dyDescent="0.2">
      <c r="A7747" s="14" t="s">
        <v>14809</v>
      </c>
      <c r="B7747" s="26" t="s">
        <v>14810</v>
      </c>
      <c r="C7747" s="52"/>
      <c r="D7747" s="55">
        <f t="shared" si="120"/>
        <v>0</v>
      </c>
      <c r="E7747" s="63" t="str">
        <f>HYPERLINK("https://www.sds-group.ru/product/kabel-koaksialnyy-rg-6u-75om-cu-al-cu-64-305m-indoor-belyy-rexant-01-2231/", "Инфо")</f>
        <v>Инфо</v>
      </c>
      <c r="F7747" s="16" t="s">
        <v>1887</v>
      </c>
      <c r="G7747" s="15"/>
      <c r="H7747" s="15"/>
      <c r="I7747" s="15"/>
      <c r="J7747" s="17">
        <v>99</v>
      </c>
      <c r="K7747" s="15" t="s">
        <v>925</v>
      </c>
      <c r="L7747" s="17">
        <v>1</v>
      </c>
      <c r="M7747" s="17">
        <v>2</v>
      </c>
      <c r="N7747" s="17">
        <v>1</v>
      </c>
      <c r="O7747" s="18">
        <v>17339.939999999999</v>
      </c>
      <c r="P7747" s="18">
        <v>14213.07</v>
      </c>
      <c r="Q7747" s="18">
        <v>15432.55</v>
      </c>
      <c r="R7747" s="18">
        <v>12649.63</v>
      </c>
      <c r="S7747" s="18">
        <v>11791.16</v>
      </c>
      <c r="T7747" s="18">
        <v>9664.89</v>
      </c>
      <c r="U7747" s="16"/>
      <c r="V7747" s="16"/>
      <c r="W7747" s="16" t="s">
        <v>40</v>
      </c>
      <c r="X7747" s="19">
        <v>12.433999999999999</v>
      </c>
      <c r="Y7747" s="20">
        <v>2.3864E-2</v>
      </c>
      <c r="Z7747" s="21">
        <v>4660008016265</v>
      </c>
    </row>
    <row r="7748" spans="1:26" ht="12" customHeight="1" outlineLevel="3" x14ac:dyDescent="0.2">
      <c r="A7748" s="14" t="s">
        <v>14811</v>
      </c>
      <c r="B7748" s="26" t="s">
        <v>14812</v>
      </c>
      <c r="C7748" s="52"/>
      <c r="D7748" s="55">
        <f t="shared" si="120"/>
        <v>0</v>
      </c>
      <c r="E7748" s="63" t="str">
        <f>HYPERLINK("https://www.sds-group.ru/product/kabel-koaksialnyy-rg-6u-75om-cu-al-cu-64-305m-outdoor-chernyy-rexant-01-2232/", "Инфо")</f>
        <v>Инфо</v>
      </c>
      <c r="F7748" s="16" t="s">
        <v>1887</v>
      </c>
      <c r="G7748" s="15"/>
      <c r="H7748" s="15"/>
      <c r="I7748" s="15"/>
      <c r="J7748" s="17">
        <v>24</v>
      </c>
      <c r="K7748" s="15" t="s">
        <v>925</v>
      </c>
      <c r="L7748" s="17">
        <v>1</v>
      </c>
      <c r="M7748" s="17">
        <v>2</v>
      </c>
      <c r="N7748" s="17">
        <v>1</v>
      </c>
      <c r="O7748" s="18">
        <v>17581.71</v>
      </c>
      <c r="P7748" s="18">
        <v>14411.24</v>
      </c>
      <c r="Q7748" s="18">
        <v>15647.72</v>
      </c>
      <c r="R7748" s="18">
        <v>12826</v>
      </c>
      <c r="S7748" s="18">
        <v>11955.56</v>
      </c>
      <c r="T7748" s="18">
        <v>9799.64</v>
      </c>
      <c r="U7748" s="16"/>
      <c r="V7748" s="16"/>
      <c r="W7748" s="16" t="s">
        <v>40</v>
      </c>
      <c r="X7748" s="19">
        <v>9.2379999999999995</v>
      </c>
      <c r="Y7748" s="20">
        <v>2.6492000000000002E-2</v>
      </c>
      <c r="Z7748" s="21">
        <v>4660008016272</v>
      </c>
    </row>
    <row r="7749" spans="1:26" ht="12" customHeight="1" outlineLevel="3" x14ac:dyDescent="0.2">
      <c r="A7749" s="14" t="s">
        <v>14813</v>
      </c>
      <c r="B7749" s="26" t="s">
        <v>14814</v>
      </c>
      <c r="C7749" s="52"/>
      <c r="D7749" s="55">
        <f t="shared" si="120"/>
        <v>0</v>
      </c>
      <c r="E7749" s="63" t="str">
        <f>HYPERLINK("https://www.sds-group.ru/product/kabel-koaksialnyy-rg-6u-75om-cu-al-cu-75-100m-indoor-belyy-rexant-01-2223/", "Инфо")</f>
        <v>Инфо</v>
      </c>
      <c r="F7749" s="16" t="s">
        <v>1887</v>
      </c>
      <c r="G7749" s="15"/>
      <c r="H7749" s="15"/>
      <c r="I7749" s="15"/>
      <c r="J7749" s="17">
        <v>45</v>
      </c>
      <c r="K7749" s="15" t="s">
        <v>925</v>
      </c>
      <c r="L7749" s="17">
        <v>1</v>
      </c>
      <c r="M7749" s="17">
        <v>6</v>
      </c>
      <c r="N7749" s="17">
        <v>1</v>
      </c>
      <c r="O7749" s="18">
        <v>8986.49</v>
      </c>
      <c r="P7749" s="18">
        <v>7365.98</v>
      </c>
      <c r="Q7749" s="18">
        <v>7997.98</v>
      </c>
      <c r="R7749" s="18">
        <v>6555.72</v>
      </c>
      <c r="S7749" s="18">
        <v>6110.81</v>
      </c>
      <c r="T7749" s="18">
        <v>5008.8599999999997</v>
      </c>
      <c r="U7749" s="16"/>
      <c r="V7749" s="16"/>
      <c r="W7749" s="16" t="s">
        <v>40</v>
      </c>
      <c r="X7749" s="19">
        <v>4.1390000000000002</v>
      </c>
      <c r="Y7749" s="20">
        <v>7.1529999999999996E-3</v>
      </c>
      <c r="Z7749" s="21">
        <v>4660008016241</v>
      </c>
    </row>
    <row r="7750" spans="1:26" ht="12" customHeight="1" outlineLevel="3" x14ac:dyDescent="0.2">
      <c r="A7750" s="32" t="s">
        <v>14815</v>
      </c>
      <c r="B7750" s="74" t="s">
        <v>14816</v>
      </c>
      <c r="C7750" s="50"/>
      <c r="D7750" s="53">
        <f t="shared" si="120"/>
        <v>0</v>
      </c>
      <c r="E7750" s="60" t="str">
        <f>HYPERLINK("https://www.sds-group.ru/product/kabel-koaksialnyy-rg-6u-75om-cu-al-cu-75-305m-indoor-belyy-rexant-01-2233/", "Инфо")</f>
        <v>Инфо</v>
      </c>
      <c r="F7750" s="34" t="s">
        <v>1887</v>
      </c>
      <c r="G7750" s="33"/>
      <c r="H7750" s="33" t="s">
        <v>40</v>
      </c>
      <c r="I7750" s="33"/>
      <c r="J7750" s="35">
        <v>32</v>
      </c>
      <c r="K7750" s="33"/>
      <c r="L7750" s="35">
        <v>1</v>
      </c>
      <c r="M7750" s="35">
        <v>2</v>
      </c>
      <c r="N7750" s="35">
        <v>1</v>
      </c>
      <c r="O7750" s="36">
        <v>20845.02</v>
      </c>
      <c r="P7750" s="36">
        <v>17086.080000000002</v>
      </c>
      <c r="Q7750" s="36">
        <v>18552.07</v>
      </c>
      <c r="R7750" s="36">
        <v>15206.61</v>
      </c>
      <c r="S7750" s="36">
        <v>14174.61</v>
      </c>
      <c r="T7750" s="36">
        <v>11618.53</v>
      </c>
      <c r="U7750" s="34"/>
      <c r="V7750" s="34"/>
      <c r="W7750" s="34" t="s">
        <v>40</v>
      </c>
      <c r="X7750" s="37">
        <v>13.093</v>
      </c>
      <c r="Y7750" s="38">
        <v>2.2738000000000001E-2</v>
      </c>
      <c r="Z7750" s="21">
        <v>4660008016289</v>
      </c>
    </row>
    <row r="7751" spans="1:26" ht="12" customHeight="1" outlineLevel="3" x14ac:dyDescent="0.2">
      <c r="A7751" s="14" t="s">
        <v>14817</v>
      </c>
      <c r="B7751" s="26" t="s">
        <v>14818</v>
      </c>
      <c r="C7751" s="52"/>
      <c r="D7751" s="55">
        <f t="shared" si="120"/>
        <v>0</v>
      </c>
      <c r="E7751" s="63" t="str">
        <f>HYPERLINK("https://www.sds-group.ru/product/kabel-koaksialnyy-rg-6u-75om-cu-al-cu-al-90-dve-folgi-100m-indoor-belyy-rexant-01-2241/", "Инфо")</f>
        <v>Инфо</v>
      </c>
      <c r="F7751" s="16" t="s">
        <v>1887</v>
      </c>
      <c r="G7751" s="15"/>
      <c r="H7751" s="15"/>
      <c r="I7751" s="15"/>
      <c r="J7751" s="17">
        <v>111</v>
      </c>
      <c r="K7751" s="15" t="s">
        <v>925</v>
      </c>
      <c r="L7751" s="17">
        <v>1</v>
      </c>
      <c r="M7751" s="17">
        <v>5</v>
      </c>
      <c r="N7751" s="17">
        <v>1</v>
      </c>
      <c r="O7751" s="18">
        <v>8780.52</v>
      </c>
      <c r="P7751" s="18">
        <v>7197.15</v>
      </c>
      <c r="Q7751" s="18">
        <v>7814.66</v>
      </c>
      <c r="R7751" s="18">
        <v>6405.46</v>
      </c>
      <c r="S7751" s="18">
        <v>5970.75</v>
      </c>
      <c r="T7751" s="18">
        <v>4894.0600000000004</v>
      </c>
      <c r="U7751" s="16"/>
      <c r="V7751" s="16"/>
      <c r="W7751" s="16" t="s">
        <v>40</v>
      </c>
      <c r="X7751" s="19">
        <v>4.55</v>
      </c>
      <c r="Y7751" s="20">
        <v>1.2697999999999999E-2</v>
      </c>
      <c r="Z7751" s="21">
        <v>4660008016760</v>
      </c>
    </row>
    <row r="7752" spans="1:26" ht="12.95" customHeight="1" outlineLevel="2" x14ac:dyDescent="0.2">
      <c r="A7752" s="82" t="s">
        <v>14819</v>
      </c>
      <c r="B7752" s="82"/>
      <c r="C7752" s="83"/>
      <c r="D7752" s="59"/>
      <c r="E7752" s="69"/>
      <c r="F7752" s="23"/>
      <c r="G7752" s="23"/>
      <c r="H7752" s="23"/>
      <c r="I7752" s="23"/>
      <c r="J7752" s="23"/>
      <c r="K7752" s="23"/>
      <c r="L7752" s="23"/>
      <c r="M7752" s="23"/>
      <c r="N7752" s="23"/>
      <c r="O7752" s="23"/>
      <c r="P7752" s="23"/>
      <c r="Q7752" s="23"/>
      <c r="R7752" s="23"/>
      <c r="S7752" s="23"/>
      <c r="T7752" s="23"/>
      <c r="U7752" s="23"/>
      <c r="V7752" s="23"/>
      <c r="W7752" s="23"/>
      <c r="X7752" s="23"/>
      <c r="Y7752" s="23"/>
      <c r="Z7752" s="23"/>
    </row>
    <row r="7753" spans="1:26" ht="12" customHeight="1" outlineLevel="3" x14ac:dyDescent="0.2">
      <c r="A7753" s="14" t="s">
        <v>14820</v>
      </c>
      <c r="B7753" s="26" t="s">
        <v>14821</v>
      </c>
      <c r="C7753" s="52"/>
      <c r="D7753" s="55">
        <f t="shared" ref="D7753:D7816" si="121">C7753*(O7753-O7753*$G$3)</f>
        <v>0</v>
      </c>
      <c r="E7753" s="63" t="str">
        <f>HYPERLINK("https://www.sds-group.ru/product/kabel-koaksialnyy-rg-213-50-om-cu-cu-96-100m-outdoor-chernyy-rexant-01-2041/", "Инфо")</f>
        <v>Инфо</v>
      </c>
      <c r="F7753" s="16" t="s">
        <v>1887</v>
      </c>
      <c r="G7753" s="15"/>
      <c r="H7753" s="15"/>
      <c r="I7753" s="15"/>
      <c r="J7753" s="16" t="s">
        <v>100</v>
      </c>
      <c r="K7753" s="15" t="s">
        <v>1519</v>
      </c>
      <c r="L7753" s="17">
        <v>1</v>
      </c>
      <c r="M7753" s="17">
        <v>1</v>
      </c>
      <c r="N7753" s="17">
        <v>1</v>
      </c>
      <c r="O7753" s="18">
        <v>46139.26</v>
      </c>
      <c r="P7753" s="18">
        <v>37819.07</v>
      </c>
      <c r="Q7753" s="18">
        <v>41063.94</v>
      </c>
      <c r="R7753" s="18">
        <v>33658.97</v>
      </c>
      <c r="S7753" s="18">
        <v>31374.7</v>
      </c>
      <c r="T7753" s="18">
        <v>25716.97</v>
      </c>
      <c r="U7753" s="16"/>
      <c r="V7753" s="16"/>
      <c r="W7753" s="16" t="s">
        <v>40</v>
      </c>
      <c r="X7753" s="19">
        <v>15.728</v>
      </c>
      <c r="Y7753" s="20">
        <v>3.1178999999999998E-2</v>
      </c>
      <c r="Z7753" s="21">
        <v>4660008016173</v>
      </c>
    </row>
    <row r="7754" spans="1:26" ht="12" customHeight="1" outlineLevel="3" x14ac:dyDescent="0.2">
      <c r="A7754" s="14" t="s">
        <v>14822</v>
      </c>
      <c r="B7754" s="26" t="s">
        <v>14823</v>
      </c>
      <c r="C7754" s="52"/>
      <c r="D7754" s="55">
        <f t="shared" si="121"/>
        <v>0</v>
      </c>
      <c r="E7754" s="63" t="str">
        <f>HYPERLINK("https://www.sds-group.ru/product/kabel-koaksialnyy-rg-58-a-u-50-om-cu-al-cu-64-100m-indoor-belyy-rexant-01-2001/", "Инфо")</f>
        <v>Инфо</v>
      </c>
      <c r="F7754" s="16" t="s">
        <v>1887</v>
      </c>
      <c r="G7754" s="15"/>
      <c r="H7754" s="15"/>
      <c r="I7754" s="15"/>
      <c r="J7754" s="17">
        <v>680</v>
      </c>
      <c r="K7754" s="15" t="s">
        <v>1519</v>
      </c>
      <c r="L7754" s="17">
        <v>1</v>
      </c>
      <c r="M7754" s="17">
        <v>6</v>
      </c>
      <c r="N7754" s="17">
        <v>1</v>
      </c>
      <c r="O7754" s="18">
        <v>4892.3</v>
      </c>
      <c r="P7754" s="18">
        <v>4010.08</v>
      </c>
      <c r="Q7754" s="18">
        <v>4354.1499999999996</v>
      </c>
      <c r="R7754" s="18">
        <v>3568.98</v>
      </c>
      <c r="S7754" s="18">
        <v>3326.76</v>
      </c>
      <c r="T7754" s="18">
        <v>2726.85</v>
      </c>
      <c r="U7754" s="16"/>
      <c r="V7754" s="16"/>
      <c r="W7754" s="16" t="s">
        <v>40</v>
      </c>
      <c r="X7754" s="19">
        <v>3.2290000000000001</v>
      </c>
      <c r="Y7754" s="20">
        <v>5.1019999999999998E-3</v>
      </c>
      <c r="Z7754" s="21">
        <v>4660008016128</v>
      </c>
    </row>
    <row r="7755" spans="1:26" ht="12" customHeight="1" outlineLevel="3" x14ac:dyDescent="0.2">
      <c r="A7755" s="14" t="s">
        <v>14824</v>
      </c>
      <c r="B7755" s="26" t="s">
        <v>14825</v>
      </c>
      <c r="C7755" s="52"/>
      <c r="D7755" s="55">
        <f t="shared" si="121"/>
        <v>0</v>
      </c>
      <c r="E7755" s="63" t="str">
        <f>HYPERLINK("https://www.sds-group.ru/product/kabel-koaksialnyy-rg-58-a-u-50-om-cu-al-cu-64-100m-outdoor-chernyy-rexant-01-2003/", "Инфо")</f>
        <v>Инфо</v>
      </c>
      <c r="F7755" s="16" t="s">
        <v>1887</v>
      </c>
      <c r="G7755" s="15"/>
      <c r="H7755" s="15"/>
      <c r="I7755" s="15"/>
      <c r="J7755" s="22">
        <v>3467</v>
      </c>
      <c r="K7755" s="15" t="s">
        <v>1519</v>
      </c>
      <c r="L7755" s="17">
        <v>1</v>
      </c>
      <c r="M7755" s="17">
        <v>6</v>
      </c>
      <c r="N7755" s="17">
        <v>1</v>
      </c>
      <c r="O7755" s="18">
        <v>4892.3</v>
      </c>
      <c r="P7755" s="18">
        <v>4010.08</v>
      </c>
      <c r="Q7755" s="18">
        <v>4354.1499999999996</v>
      </c>
      <c r="R7755" s="18">
        <v>3568.98</v>
      </c>
      <c r="S7755" s="18">
        <v>3326.76</v>
      </c>
      <c r="T7755" s="18">
        <v>2726.85</v>
      </c>
      <c r="U7755" s="16"/>
      <c r="V7755" s="16"/>
      <c r="W7755" s="16" t="s">
        <v>40</v>
      </c>
      <c r="X7755" s="19">
        <v>3.2250000000000001</v>
      </c>
      <c r="Y7755" s="20">
        <v>5.0600000000000003E-3</v>
      </c>
      <c r="Z7755" s="21">
        <v>4660008016142</v>
      </c>
    </row>
    <row r="7756" spans="1:26" ht="12" customHeight="1" outlineLevel="3" x14ac:dyDescent="0.2">
      <c r="A7756" s="14" t="s">
        <v>14826</v>
      </c>
      <c r="B7756" s="26" t="s">
        <v>14827</v>
      </c>
      <c r="C7756" s="52"/>
      <c r="D7756" s="55">
        <f t="shared" si="121"/>
        <v>0</v>
      </c>
      <c r="E7756" s="63" t="str">
        <f>HYPERLINK("https://www.sds-group.ru/product/kabel-koaksialnyy-rg-58-a-u-50-om-cu-al-cu-64-100m-indoor-seryy-rexant-01-2002/", "Инфо")</f>
        <v>Инфо</v>
      </c>
      <c r="F7756" s="16" t="s">
        <v>1887</v>
      </c>
      <c r="G7756" s="15"/>
      <c r="H7756" s="15"/>
      <c r="I7756" s="15"/>
      <c r="J7756" s="17">
        <v>165</v>
      </c>
      <c r="K7756" s="15" t="s">
        <v>1519</v>
      </c>
      <c r="L7756" s="17">
        <v>1</v>
      </c>
      <c r="M7756" s="17">
        <v>6</v>
      </c>
      <c r="N7756" s="17">
        <v>1</v>
      </c>
      <c r="O7756" s="18">
        <v>4892.3</v>
      </c>
      <c r="P7756" s="18">
        <v>4010.08</v>
      </c>
      <c r="Q7756" s="18">
        <v>4354.1499999999996</v>
      </c>
      <c r="R7756" s="18">
        <v>3568.98</v>
      </c>
      <c r="S7756" s="18">
        <v>3326.76</v>
      </c>
      <c r="T7756" s="18">
        <v>2726.85</v>
      </c>
      <c r="U7756" s="16"/>
      <c r="V7756" s="16"/>
      <c r="W7756" s="16" t="s">
        <v>40</v>
      </c>
      <c r="X7756" s="19">
        <v>3.2240000000000002</v>
      </c>
      <c r="Y7756" s="20">
        <v>5.1229999999999999E-3</v>
      </c>
      <c r="Z7756" s="21">
        <v>4660008016135</v>
      </c>
    </row>
    <row r="7757" spans="1:26" ht="12" customHeight="1" outlineLevel="3" x14ac:dyDescent="0.2">
      <c r="A7757" s="14" t="s">
        <v>14828</v>
      </c>
      <c r="B7757" s="26" t="s">
        <v>14829</v>
      </c>
      <c r="C7757" s="52"/>
      <c r="D7757" s="55">
        <f t="shared" si="121"/>
        <v>0</v>
      </c>
      <c r="E7757" s="63" t="str">
        <f>HYPERLINK("https://www.sds-group.ru/product/kabel-koaksialnyy-rg-8x-50-om-ccs-al-al-75-100m-indoor-seryy-rexant-01-2021/", "Инфо")</f>
        <v>Инфо</v>
      </c>
      <c r="F7757" s="16" t="s">
        <v>1887</v>
      </c>
      <c r="G7757" s="15"/>
      <c r="H7757" s="15"/>
      <c r="I7757" s="15"/>
      <c r="J7757" s="16" t="s">
        <v>100</v>
      </c>
      <c r="K7757" s="15"/>
      <c r="L7757" s="17">
        <v>1</v>
      </c>
      <c r="M7757" s="17">
        <v>2</v>
      </c>
      <c r="N7757" s="17">
        <v>1</v>
      </c>
      <c r="O7757" s="18">
        <v>9227.85</v>
      </c>
      <c r="P7757" s="18">
        <v>7563.81</v>
      </c>
      <c r="Q7757" s="18">
        <v>8212.7900000000009</v>
      </c>
      <c r="R7757" s="18">
        <v>6731.8</v>
      </c>
      <c r="S7757" s="18">
        <v>6274.94</v>
      </c>
      <c r="T7757" s="18">
        <v>5143.3900000000003</v>
      </c>
      <c r="U7757" s="16"/>
      <c r="V7757" s="16"/>
      <c r="W7757" s="16" t="s">
        <v>40</v>
      </c>
      <c r="X7757" s="19">
        <v>6.5</v>
      </c>
      <c r="Y7757" s="20">
        <v>1.06E-2</v>
      </c>
      <c r="Z7757" s="21">
        <v>4660008016166</v>
      </c>
    </row>
    <row r="7758" spans="1:26" ht="12.95" customHeight="1" outlineLevel="2" x14ac:dyDescent="0.2">
      <c r="A7758" s="82" t="s">
        <v>14830</v>
      </c>
      <c r="B7758" s="82"/>
      <c r="C7758" s="83"/>
      <c r="D7758" s="59"/>
      <c r="E7758" s="69"/>
      <c r="F7758" s="23"/>
      <c r="G7758" s="23"/>
      <c r="H7758" s="23"/>
      <c r="I7758" s="23"/>
      <c r="J7758" s="23"/>
      <c r="K7758" s="23"/>
      <c r="L7758" s="23"/>
      <c r="M7758" s="23"/>
      <c r="N7758" s="23"/>
      <c r="O7758" s="23"/>
      <c r="P7758" s="23"/>
      <c r="Q7758" s="23"/>
      <c r="R7758" s="23"/>
      <c r="S7758" s="23"/>
      <c r="T7758" s="23"/>
      <c r="U7758" s="23"/>
      <c r="V7758" s="23"/>
      <c r="W7758" s="23"/>
      <c r="X7758" s="23"/>
      <c r="Y7758" s="23"/>
      <c r="Z7758" s="23"/>
    </row>
    <row r="7759" spans="1:26" ht="12" customHeight="1" outlineLevel="3" x14ac:dyDescent="0.2">
      <c r="A7759" s="14" t="s">
        <v>14831</v>
      </c>
      <c r="B7759" s="26" t="s">
        <v>14832</v>
      </c>
      <c r="C7759" s="52"/>
      <c r="D7759" s="55">
        <f t="shared" si="121"/>
        <v>0</v>
      </c>
      <c r="E7759" s="63" t="str">
        <f>HYPERLINK("https://www.sds-group.ru/product/kabel-koaksialnyy-rg-6u-75om-ccs-al-al-48-10m-indoor-belyy-proconnect-01-2205-10/", "Инфо")</f>
        <v>Инфо</v>
      </c>
      <c r="F7759" s="16" t="s">
        <v>1887</v>
      </c>
      <c r="G7759" s="15"/>
      <c r="H7759" s="15"/>
      <c r="I7759" s="15"/>
      <c r="J7759" s="22">
        <v>1481</v>
      </c>
      <c r="K7759" s="15"/>
      <c r="L7759" s="17">
        <v>5</v>
      </c>
      <c r="M7759" s="17">
        <v>40</v>
      </c>
      <c r="N7759" s="17">
        <v>5</v>
      </c>
      <c r="O7759" s="18">
        <v>355.4</v>
      </c>
      <c r="P7759" s="18">
        <v>291.31</v>
      </c>
      <c r="Q7759" s="18">
        <v>316.31</v>
      </c>
      <c r="R7759" s="18">
        <v>259.27</v>
      </c>
      <c r="S7759" s="18">
        <v>241.67</v>
      </c>
      <c r="T7759" s="18">
        <v>198.09</v>
      </c>
      <c r="U7759" s="16"/>
      <c r="V7759" s="16"/>
      <c r="W7759" s="16" t="s">
        <v>40</v>
      </c>
      <c r="X7759" s="19">
        <v>0.35499999999999998</v>
      </c>
      <c r="Y7759" s="20">
        <v>1.4450000000000001E-3</v>
      </c>
      <c r="Z7759" s="21">
        <v>4660008018146</v>
      </c>
    </row>
    <row r="7760" spans="1:26" ht="12" customHeight="1" outlineLevel="3" x14ac:dyDescent="0.2">
      <c r="A7760" s="14" t="s">
        <v>14833</v>
      </c>
      <c r="B7760" s="26" t="s">
        <v>14834</v>
      </c>
      <c r="C7760" s="52"/>
      <c r="D7760" s="55">
        <f t="shared" si="121"/>
        <v>0</v>
      </c>
      <c r="E7760" s="63" t="str">
        <f>HYPERLINK("https://www.sds-group.ru/product/kabel-koaksialnyy-rg-6u-75om-ccs-al-al-48-20m-indoor-belyy-proconnect-01-2205-20/", "Инфо")</f>
        <v>Инфо</v>
      </c>
      <c r="F7760" s="16" t="s">
        <v>1887</v>
      </c>
      <c r="G7760" s="15"/>
      <c r="H7760" s="15"/>
      <c r="I7760" s="15"/>
      <c r="J7760" s="17">
        <v>211</v>
      </c>
      <c r="K7760" s="15" t="s">
        <v>6837</v>
      </c>
      <c r="L7760" s="17">
        <v>1</v>
      </c>
      <c r="M7760" s="17">
        <v>20</v>
      </c>
      <c r="N7760" s="17">
        <v>1</v>
      </c>
      <c r="O7760" s="18">
        <v>708.46</v>
      </c>
      <c r="P7760" s="18">
        <v>580.70000000000005</v>
      </c>
      <c r="Q7760" s="18">
        <v>630.53</v>
      </c>
      <c r="R7760" s="18">
        <v>516.83000000000004</v>
      </c>
      <c r="S7760" s="18">
        <v>481.75</v>
      </c>
      <c r="T7760" s="18">
        <v>394.88</v>
      </c>
      <c r="U7760" s="16"/>
      <c r="V7760" s="16"/>
      <c r="W7760" s="16" t="s">
        <v>40</v>
      </c>
      <c r="X7760" s="19">
        <v>0.69899999999999995</v>
      </c>
      <c r="Y7760" s="20">
        <v>2.274E-3</v>
      </c>
      <c r="Z7760" s="21">
        <v>4660008018153</v>
      </c>
    </row>
    <row r="7761" spans="1:26" ht="12" customHeight="1" outlineLevel="3" x14ac:dyDescent="0.2">
      <c r="A7761" s="14" t="s">
        <v>14835</v>
      </c>
      <c r="B7761" s="26" t="s">
        <v>14836</v>
      </c>
      <c r="C7761" s="52"/>
      <c r="D7761" s="55">
        <f t="shared" si="121"/>
        <v>0</v>
      </c>
      <c r="E7761" s="63" t="str">
        <f>HYPERLINK("https://www.sds-group.ru/product/kabel-koaksialnyy-rg-6u-75om-ccs-al-al-48-50m-indoor-belyy-proconnect-01-2205-50/", "Инфо")</f>
        <v>Инфо</v>
      </c>
      <c r="F7761" s="16" t="s">
        <v>1887</v>
      </c>
      <c r="G7761" s="15"/>
      <c r="H7761" s="15"/>
      <c r="I7761" s="15"/>
      <c r="J7761" s="17">
        <v>22</v>
      </c>
      <c r="K7761" s="15" t="s">
        <v>6837</v>
      </c>
      <c r="L7761" s="17">
        <v>1</v>
      </c>
      <c r="M7761" s="17">
        <v>12</v>
      </c>
      <c r="N7761" s="17">
        <v>1</v>
      </c>
      <c r="O7761" s="18">
        <v>1629.35</v>
      </c>
      <c r="P7761" s="18">
        <v>1335.53</v>
      </c>
      <c r="Q7761" s="18">
        <v>1450.12</v>
      </c>
      <c r="R7761" s="18">
        <v>1188.6199999999999</v>
      </c>
      <c r="S7761" s="18">
        <v>1107.96</v>
      </c>
      <c r="T7761" s="18">
        <v>908.16</v>
      </c>
      <c r="U7761" s="16"/>
      <c r="V7761" s="16"/>
      <c r="W7761" s="16" t="s">
        <v>40</v>
      </c>
      <c r="X7761" s="19">
        <v>1.667</v>
      </c>
      <c r="Y7761" s="20">
        <v>4.1669999999999997E-3</v>
      </c>
      <c r="Z7761" s="21">
        <v>4660008018160</v>
      </c>
    </row>
    <row r="7762" spans="1:26" ht="12" customHeight="1" outlineLevel="3" x14ac:dyDescent="0.2">
      <c r="A7762" s="14" t="s">
        <v>14837</v>
      </c>
      <c r="B7762" s="26" t="s">
        <v>14838</v>
      </c>
      <c r="C7762" s="52"/>
      <c r="D7762" s="55">
        <f t="shared" si="121"/>
        <v>0</v>
      </c>
      <c r="E7762" s="63" t="str">
        <f>HYPERLINK("https://www.sds-group.ru/product/kabel-koaksialnyy-sat-50m-75om-ccs-al-al-75-20m-indoor-belyy-proconnect-01-2401-2-20/", "Инфо")</f>
        <v>Инфо</v>
      </c>
      <c r="F7762" s="16" t="s">
        <v>39</v>
      </c>
      <c r="G7762" s="15"/>
      <c r="H7762" s="15"/>
      <c r="I7762" s="15"/>
      <c r="J7762" s="17">
        <v>749</v>
      </c>
      <c r="K7762" s="15"/>
      <c r="L7762" s="17">
        <v>1</v>
      </c>
      <c r="M7762" s="17">
        <v>20</v>
      </c>
      <c r="N7762" s="17">
        <v>1</v>
      </c>
      <c r="O7762" s="18">
        <v>984.71</v>
      </c>
      <c r="P7762" s="18">
        <v>807.14</v>
      </c>
      <c r="Q7762" s="18">
        <v>876.39</v>
      </c>
      <c r="R7762" s="18">
        <v>718.35</v>
      </c>
      <c r="S7762" s="18">
        <v>669.6</v>
      </c>
      <c r="T7762" s="18">
        <v>548.85</v>
      </c>
      <c r="U7762" s="16"/>
      <c r="V7762" s="16"/>
      <c r="W7762" s="16" t="s">
        <v>40</v>
      </c>
      <c r="X7762" s="19">
        <v>0.17299999999999999</v>
      </c>
      <c r="Y7762" s="20">
        <v>3.28E-4</v>
      </c>
      <c r="Z7762" s="21">
        <v>4601004063754</v>
      </c>
    </row>
    <row r="7763" spans="1:26" ht="12" customHeight="1" outlineLevel="3" x14ac:dyDescent="0.2">
      <c r="A7763" s="14" t="s">
        <v>14839</v>
      </c>
      <c r="B7763" s="26" t="s">
        <v>14840</v>
      </c>
      <c r="C7763" s="52"/>
      <c r="D7763" s="55">
        <f t="shared" si="121"/>
        <v>0</v>
      </c>
      <c r="E7763" s="63" t="str">
        <f>HYPERLINK("https://www.sds-group.ru/product/kabel-koaksialnyy-sat-50m-75om-ccs-al-al-75-50m-indoor-belyy-proconnect-01-2401-2-50/", "Инфо")</f>
        <v>Инфо</v>
      </c>
      <c r="F7763" s="16" t="s">
        <v>39</v>
      </c>
      <c r="G7763" s="15"/>
      <c r="H7763" s="15"/>
      <c r="I7763" s="15"/>
      <c r="J7763" s="17">
        <v>121</v>
      </c>
      <c r="K7763" s="15" t="s">
        <v>6837</v>
      </c>
      <c r="L7763" s="17">
        <v>1</v>
      </c>
      <c r="M7763" s="17">
        <v>12</v>
      </c>
      <c r="N7763" s="17">
        <v>1</v>
      </c>
      <c r="O7763" s="18">
        <v>2475.34</v>
      </c>
      <c r="P7763" s="18">
        <v>2028.97</v>
      </c>
      <c r="Q7763" s="18">
        <v>2203.0500000000002</v>
      </c>
      <c r="R7763" s="18">
        <v>1805.78</v>
      </c>
      <c r="S7763" s="18">
        <v>1683.23</v>
      </c>
      <c r="T7763" s="18">
        <v>1379.7</v>
      </c>
      <c r="U7763" s="16"/>
      <c r="V7763" s="16"/>
      <c r="W7763" s="16" t="s">
        <v>40</v>
      </c>
      <c r="X7763" s="19">
        <v>1.9750000000000001</v>
      </c>
      <c r="Y7763" s="20">
        <v>4.0229999999999997E-3</v>
      </c>
      <c r="Z7763" s="21">
        <v>4601004063761</v>
      </c>
    </row>
    <row r="7764" spans="1:26" ht="12" customHeight="1" outlineLevel="3" x14ac:dyDescent="0.2">
      <c r="A7764" s="14" t="s">
        <v>14841</v>
      </c>
      <c r="B7764" s="26" t="s">
        <v>14842</v>
      </c>
      <c r="C7764" s="52"/>
      <c r="D7764" s="55">
        <f t="shared" si="121"/>
        <v>0</v>
      </c>
      <c r="E7764" s="63" t="str">
        <f>HYPERLINK("https://www.sds-group.ru/product/kabel-koaksialnyy-sat-703b-75om-ccs-al-al-75-20m-indoor-belyy-proconnect-01-2431-2-20/", "Инфо")</f>
        <v>Инфо</v>
      </c>
      <c r="F7764" s="16" t="s">
        <v>39</v>
      </c>
      <c r="G7764" s="15"/>
      <c r="H7764" s="15"/>
      <c r="I7764" s="15"/>
      <c r="J7764" s="22">
        <v>1028</v>
      </c>
      <c r="K7764" s="15"/>
      <c r="L7764" s="17">
        <v>1</v>
      </c>
      <c r="M7764" s="17">
        <v>20</v>
      </c>
      <c r="N7764" s="17">
        <v>1</v>
      </c>
      <c r="O7764" s="18">
        <v>752.14</v>
      </c>
      <c r="P7764" s="18">
        <v>616.51</v>
      </c>
      <c r="Q7764" s="18">
        <v>669.4</v>
      </c>
      <c r="R7764" s="18">
        <v>548.69000000000005</v>
      </c>
      <c r="S7764" s="18">
        <v>511.46</v>
      </c>
      <c r="T7764" s="18">
        <v>419.23</v>
      </c>
      <c r="U7764" s="16"/>
      <c r="V7764" s="16"/>
      <c r="W7764" s="16" t="s">
        <v>40</v>
      </c>
      <c r="X7764" s="19">
        <v>0.80700000000000005</v>
      </c>
      <c r="Y7764" s="20">
        <v>2.1570000000000001E-3</v>
      </c>
      <c r="Z7764" s="21">
        <v>4601004063778</v>
      </c>
    </row>
    <row r="7765" spans="1:26" ht="12" customHeight="1" outlineLevel="3" x14ac:dyDescent="0.2">
      <c r="A7765" s="14" t="s">
        <v>14843</v>
      </c>
      <c r="B7765" s="26" t="s">
        <v>14844</v>
      </c>
      <c r="C7765" s="52"/>
      <c r="D7765" s="55">
        <f t="shared" si="121"/>
        <v>0</v>
      </c>
      <c r="E7765" s="63" t="str">
        <f>HYPERLINK("https://www.sds-group.ru/product/kabel-koaksialnyy-sat-703b-75om-ccs-al-al-75-50m-indoor-belyy-proconnect-01-2431-2-50/", "Инфо")</f>
        <v>Инфо</v>
      </c>
      <c r="F7765" s="16" t="s">
        <v>39</v>
      </c>
      <c r="G7765" s="15"/>
      <c r="H7765" s="15"/>
      <c r="I7765" s="15"/>
      <c r="J7765" s="17">
        <v>108</v>
      </c>
      <c r="K7765" s="15"/>
      <c r="L7765" s="17">
        <v>1</v>
      </c>
      <c r="M7765" s="17">
        <v>12</v>
      </c>
      <c r="N7765" s="17">
        <v>1</v>
      </c>
      <c r="O7765" s="18">
        <v>2014.45</v>
      </c>
      <c r="P7765" s="18">
        <v>1651.19</v>
      </c>
      <c r="Q7765" s="18">
        <v>1792.86</v>
      </c>
      <c r="R7765" s="18">
        <v>1469.56</v>
      </c>
      <c r="S7765" s="18">
        <v>1369.83</v>
      </c>
      <c r="T7765" s="18">
        <v>1122.81</v>
      </c>
      <c r="U7765" s="16"/>
      <c r="V7765" s="16"/>
      <c r="W7765" s="16" t="s">
        <v>40</v>
      </c>
      <c r="X7765" s="19">
        <v>1.9279999999999999</v>
      </c>
      <c r="Y7765" s="20">
        <v>4.3870000000000003E-3</v>
      </c>
      <c r="Z7765" s="21">
        <v>4601004063792</v>
      </c>
    </row>
    <row r="7766" spans="1:26" ht="12" customHeight="1" outlineLevel="3" x14ac:dyDescent="0.2">
      <c r="A7766" s="14" t="s">
        <v>14845</v>
      </c>
      <c r="B7766" s="26" t="s">
        <v>14846</v>
      </c>
      <c r="C7766" s="52"/>
      <c r="D7766" s="55">
        <f t="shared" si="121"/>
        <v>0</v>
      </c>
      <c r="E7766" s="63" t="str">
        <f>HYPERLINK("https://www.sds-group.ru/product/kabel-koaksialnyy-sat-703b-75om-cu-al-cu-75-10m-indoor-belyy-rexant-01-2431-10/", "Инфо")</f>
        <v>Инфо</v>
      </c>
      <c r="F7766" s="16" t="s">
        <v>1887</v>
      </c>
      <c r="G7766" s="15"/>
      <c r="H7766" s="15"/>
      <c r="I7766" s="15"/>
      <c r="J7766" s="17">
        <v>324</v>
      </c>
      <c r="K7766" s="15"/>
      <c r="L7766" s="17">
        <v>5</v>
      </c>
      <c r="M7766" s="17">
        <v>40</v>
      </c>
      <c r="N7766" s="17">
        <v>5</v>
      </c>
      <c r="O7766" s="18">
        <v>577.46</v>
      </c>
      <c r="P7766" s="18">
        <v>473.33</v>
      </c>
      <c r="Q7766" s="18">
        <v>513.94000000000005</v>
      </c>
      <c r="R7766" s="18">
        <v>421.26</v>
      </c>
      <c r="S7766" s="18">
        <v>392.67</v>
      </c>
      <c r="T7766" s="18">
        <v>321.86</v>
      </c>
      <c r="U7766" s="16"/>
      <c r="V7766" s="16"/>
      <c r="W7766" s="16" t="s">
        <v>40</v>
      </c>
      <c r="X7766" s="19">
        <v>0.39800000000000002</v>
      </c>
      <c r="Y7766" s="20">
        <v>1.5299999999999999E-3</v>
      </c>
      <c r="Z7766" s="21">
        <v>4660008018115</v>
      </c>
    </row>
    <row r="7767" spans="1:26" ht="12" customHeight="1" outlineLevel="3" x14ac:dyDescent="0.2">
      <c r="A7767" s="14" t="s">
        <v>14847</v>
      </c>
      <c r="B7767" s="26" t="s">
        <v>14848</v>
      </c>
      <c r="C7767" s="52"/>
      <c r="D7767" s="55">
        <f t="shared" si="121"/>
        <v>0</v>
      </c>
      <c r="E7767" s="63" t="str">
        <f>HYPERLINK("https://www.sds-group.ru/product/kabel-koaksialnyy-sat-703b-75om-cu-al-cu-75-20m-indoor-belyy-rexant-01-2431-20/", "Инфо")</f>
        <v>Инфо</v>
      </c>
      <c r="F7767" s="16" t="s">
        <v>1887</v>
      </c>
      <c r="G7767" s="15"/>
      <c r="H7767" s="15"/>
      <c r="I7767" s="15"/>
      <c r="J7767" s="17">
        <v>306</v>
      </c>
      <c r="K7767" s="15" t="s">
        <v>925</v>
      </c>
      <c r="L7767" s="17">
        <v>1</v>
      </c>
      <c r="M7767" s="17">
        <v>20</v>
      </c>
      <c r="N7767" s="17">
        <v>1</v>
      </c>
      <c r="O7767" s="18">
        <v>1476.48</v>
      </c>
      <c r="P7767" s="18">
        <v>1210.23</v>
      </c>
      <c r="Q7767" s="18">
        <v>1314.07</v>
      </c>
      <c r="R7767" s="18">
        <v>1077.1099999999999</v>
      </c>
      <c r="S7767" s="18">
        <v>1004.01</v>
      </c>
      <c r="T7767" s="18">
        <v>822.96</v>
      </c>
      <c r="U7767" s="16"/>
      <c r="V7767" s="16"/>
      <c r="W7767" s="16" t="s">
        <v>40</v>
      </c>
      <c r="X7767" s="19">
        <v>0.78300000000000003</v>
      </c>
      <c r="Y7767" s="20">
        <v>2.2529999999999998E-3</v>
      </c>
      <c r="Z7767" s="21">
        <v>4660008018122</v>
      </c>
    </row>
    <row r="7768" spans="1:26" ht="12" customHeight="1" outlineLevel="3" x14ac:dyDescent="0.2">
      <c r="A7768" s="14" t="s">
        <v>14849</v>
      </c>
      <c r="B7768" s="26" t="s">
        <v>14850</v>
      </c>
      <c r="C7768" s="52"/>
      <c r="D7768" s="55">
        <f t="shared" si="121"/>
        <v>0</v>
      </c>
      <c r="E7768" s="63" t="str">
        <f>HYPERLINK("https://www.sds-group.ru/product/kabel-koaksialnyy-sat-703b-75om-cu-al-cu-75-50m-indoor-belyy-rexant-01-2431-50/", "Инфо")</f>
        <v>Инфо</v>
      </c>
      <c r="F7768" s="16" t="s">
        <v>1887</v>
      </c>
      <c r="G7768" s="15"/>
      <c r="H7768" s="15"/>
      <c r="I7768" s="15"/>
      <c r="J7768" s="17">
        <v>641</v>
      </c>
      <c r="K7768" s="15" t="s">
        <v>1519</v>
      </c>
      <c r="L7768" s="17">
        <v>1</v>
      </c>
      <c r="M7768" s="17">
        <v>12</v>
      </c>
      <c r="N7768" s="17">
        <v>1</v>
      </c>
      <c r="O7768" s="18">
        <v>3691.23</v>
      </c>
      <c r="P7768" s="18">
        <v>3025.6</v>
      </c>
      <c r="Q7768" s="18">
        <v>3285.19</v>
      </c>
      <c r="R7768" s="18">
        <v>2692.78</v>
      </c>
      <c r="S7768" s="18">
        <v>2510.04</v>
      </c>
      <c r="T7768" s="18">
        <v>2057.41</v>
      </c>
      <c r="U7768" s="16"/>
      <c r="V7768" s="16"/>
      <c r="W7768" s="16" t="s">
        <v>40</v>
      </c>
      <c r="X7768" s="19">
        <v>1.974</v>
      </c>
      <c r="Y7768" s="20">
        <v>4.4169999999999999E-3</v>
      </c>
      <c r="Z7768" s="21">
        <v>4660008018139</v>
      </c>
    </row>
    <row r="7769" spans="1:26" ht="12.95" customHeight="1" outlineLevel="2" x14ac:dyDescent="0.2">
      <c r="A7769" s="82" t="s">
        <v>14851</v>
      </c>
      <c r="B7769" s="82"/>
      <c r="C7769" s="83"/>
      <c r="D7769" s="59"/>
      <c r="E7769" s="69"/>
      <c r="F7769" s="23"/>
      <c r="G7769" s="23"/>
      <c r="H7769" s="23"/>
      <c r="I7769" s="23"/>
      <c r="J7769" s="23"/>
      <c r="K7769" s="23"/>
      <c r="L7769" s="23"/>
      <c r="M7769" s="23"/>
      <c r="N7769" s="23"/>
      <c r="O7769" s="23"/>
      <c r="P7769" s="23"/>
      <c r="Q7769" s="23"/>
      <c r="R7769" s="23"/>
      <c r="S7769" s="23"/>
      <c r="T7769" s="23"/>
      <c r="U7769" s="23"/>
      <c r="V7769" s="23"/>
      <c r="W7769" s="23"/>
      <c r="X7769" s="23"/>
      <c r="Y7769" s="23"/>
      <c r="Z7769" s="23"/>
    </row>
    <row r="7770" spans="1:26" ht="12" customHeight="1" outlineLevel="3" x14ac:dyDescent="0.2">
      <c r="A7770" s="14" t="s">
        <v>14852</v>
      </c>
      <c r="B7770" s="26" t="s">
        <v>14853</v>
      </c>
      <c r="C7770" s="52"/>
      <c r="D7770" s="55">
        <f t="shared" si="121"/>
        <v>0</v>
      </c>
      <c r="E7770" s="63" t="str">
        <f>HYPERLINK("https://www.sds-group.ru/product/kabel-koaksialnyy-mars-4k-cu-al-cusn-96-75om-100m-indoor-belyy-rexant-01-2501/", "Инфо")</f>
        <v>Инфо</v>
      </c>
      <c r="F7770" s="16" t="s">
        <v>1887</v>
      </c>
      <c r="G7770" s="15"/>
      <c r="H7770" s="15"/>
      <c r="I7770" s="15"/>
      <c r="J7770" s="17">
        <v>84</v>
      </c>
      <c r="K7770" s="15" t="s">
        <v>1519</v>
      </c>
      <c r="L7770" s="17">
        <v>1</v>
      </c>
      <c r="M7770" s="17">
        <v>4</v>
      </c>
      <c r="N7770" s="17">
        <v>1</v>
      </c>
      <c r="O7770" s="18">
        <v>8443.85</v>
      </c>
      <c r="P7770" s="18">
        <v>6921.19</v>
      </c>
      <c r="Q7770" s="18">
        <v>7515.03</v>
      </c>
      <c r="R7770" s="18">
        <v>6159.86</v>
      </c>
      <c r="S7770" s="18">
        <v>5741.82</v>
      </c>
      <c r="T7770" s="18">
        <v>4706.41</v>
      </c>
      <c r="U7770" s="16"/>
      <c r="V7770" s="16"/>
      <c r="W7770" s="16" t="s">
        <v>40</v>
      </c>
      <c r="X7770" s="19">
        <v>4.798</v>
      </c>
      <c r="Y7770" s="20">
        <v>8.8730000000000007E-3</v>
      </c>
      <c r="Z7770" s="21">
        <v>4601004006119</v>
      </c>
    </row>
    <row r="7771" spans="1:26" ht="12" customHeight="1" outlineLevel="3" x14ac:dyDescent="0.2">
      <c r="A7771" s="14" t="s">
        <v>14854</v>
      </c>
      <c r="B7771" s="26" t="s">
        <v>14855</v>
      </c>
      <c r="C7771" s="52"/>
      <c r="D7771" s="55">
        <f t="shared" si="121"/>
        <v>0</v>
      </c>
      <c r="E7771" s="63" t="str">
        <f>HYPERLINK("https://www.sds-group.ru/product/kabel-koaksialnyy-mars-hd-cu-al-cusn-96-75om-100m-indoor-belyy-rexant-01-2502/", "Инфо")</f>
        <v>Инфо</v>
      </c>
      <c r="F7771" s="16" t="s">
        <v>1887</v>
      </c>
      <c r="G7771" s="15"/>
      <c r="H7771" s="15"/>
      <c r="I7771" s="15"/>
      <c r="J7771" s="16" t="s">
        <v>100</v>
      </c>
      <c r="K7771" s="15"/>
      <c r="L7771" s="17">
        <v>1</v>
      </c>
      <c r="M7771" s="17">
        <v>4</v>
      </c>
      <c r="N7771" s="17">
        <v>1</v>
      </c>
      <c r="O7771" s="18">
        <v>9293.07</v>
      </c>
      <c r="P7771" s="18">
        <v>7617.27</v>
      </c>
      <c r="Q7771" s="18">
        <v>8270.83</v>
      </c>
      <c r="R7771" s="18">
        <v>6779.37</v>
      </c>
      <c r="S7771" s="18">
        <v>6319.29</v>
      </c>
      <c r="T7771" s="18">
        <v>5179.75</v>
      </c>
      <c r="U7771" s="16"/>
      <c r="V7771" s="16"/>
      <c r="W7771" s="16" t="s">
        <v>40</v>
      </c>
      <c r="X7771" s="19">
        <v>4.4790000000000001</v>
      </c>
      <c r="Y7771" s="20">
        <v>1.0036E-2</v>
      </c>
      <c r="Z7771" s="21">
        <v>4601004006126</v>
      </c>
    </row>
    <row r="7772" spans="1:26" ht="12.95" customHeight="1" outlineLevel="2" x14ac:dyDescent="0.2">
      <c r="A7772" s="82" t="s">
        <v>14856</v>
      </c>
      <c r="B7772" s="82"/>
      <c r="C7772" s="83"/>
      <c r="D7772" s="59"/>
      <c r="E7772" s="69"/>
      <c r="F7772" s="23"/>
      <c r="G7772" s="23"/>
      <c r="H7772" s="23"/>
      <c r="I7772" s="23"/>
      <c r="J7772" s="23"/>
      <c r="K7772" s="23"/>
      <c r="L7772" s="23"/>
      <c r="M7772" s="23"/>
      <c r="N7772" s="23"/>
      <c r="O7772" s="23"/>
      <c r="P7772" s="23"/>
      <c r="Q7772" s="23"/>
      <c r="R7772" s="23"/>
      <c r="S7772" s="23"/>
      <c r="T7772" s="23"/>
      <c r="U7772" s="23"/>
      <c r="V7772" s="23"/>
      <c r="W7772" s="23"/>
      <c r="X7772" s="23"/>
      <c r="Y7772" s="23"/>
      <c r="Z7772" s="23"/>
    </row>
    <row r="7773" spans="1:26" ht="12" customHeight="1" outlineLevel="3" x14ac:dyDescent="0.2">
      <c r="A7773" s="14" t="s">
        <v>14857</v>
      </c>
      <c r="B7773" s="26" t="s">
        <v>14858</v>
      </c>
      <c r="C7773" s="52"/>
      <c r="D7773" s="55">
        <f t="shared" si="121"/>
        <v>0</v>
      </c>
      <c r="E7773" s="63" t="str">
        <f>HYPERLINK("https://www.sds-group.ru/product/kabel-koaksialnyy-magistralnyy-rg-11u-75om-ccs-al-al-83-305m-indoor-belyy-rexant-01-3001/", "Инфо")</f>
        <v>Инфо</v>
      </c>
      <c r="F7773" s="16" t="s">
        <v>1887</v>
      </c>
      <c r="G7773" s="15"/>
      <c r="H7773" s="15"/>
      <c r="I7773" s="15"/>
      <c r="J7773" s="17">
        <v>9</v>
      </c>
      <c r="K7773" s="15" t="s">
        <v>925</v>
      </c>
      <c r="L7773" s="17">
        <v>1</v>
      </c>
      <c r="M7773" s="17">
        <v>1</v>
      </c>
      <c r="N7773" s="17">
        <v>1</v>
      </c>
      <c r="O7773" s="18">
        <v>18317.29</v>
      </c>
      <c r="P7773" s="18">
        <v>15014.17</v>
      </c>
      <c r="Q7773" s="18">
        <v>16302.39</v>
      </c>
      <c r="R7773" s="18">
        <v>13362.61</v>
      </c>
      <c r="S7773" s="18">
        <v>12455.76</v>
      </c>
      <c r="T7773" s="18">
        <v>10209.64</v>
      </c>
      <c r="U7773" s="16"/>
      <c r="V7773" s="16"/>
      <c r="W7773" s="16" t="s">
        <v>40</v>
      </c>
      <c r="X7773" s="19">
        <v>28.097000000000001</v>
      </c>
      <c r="Y7773" s="20">
        <v>5.5208E-2</v>
      </c>
      <c r="Z7773" s="21">
        <v>4660008016432</v>
      </c>
    </row>
    <row r="7774" spans="1:26" ht="12" customHeight="1" outlineLevel="3" x14ac:dyDescent="0.2">
      <c r="A7774" s="14" t="s">
        <v>14859</v>
      </c>
      <c r="B7774" s="26" t="s">
        <v>14860</v>
      </c>
      <c r="C7774" s="52"/>
      <c r="D7774" s="55">
        <f t="shared" si="121"/>
        <v>0</v>
      </c>
      <c r="E7774" s="63" t="str">
        <f>HYPERLINK("https://www.sds-group.ru/product/kabel-koaksialnyy-magistralnyy-rg-11u-75om-ccs-al-al-83-305m-outdoor-chernyy-rexant-01-3011/", "Инфо")</f>
        <v>Инфо</v>
      </c>
      <c r="F7774" s="16" t="s">
        <v>1887</v>
      </c>
      <c r="G7774" s="15"/>
      <c r="H7774" s="15"/>
      <c r="I7774" s="15"/>
      <c r="J7774" s="17">
        <v>80</v>
      </c>
      <c r="K7774" s="15" t="s">
        <v>925</v>
      </c>
      <c r="L7774" s="17">
        <v>1</v>
      </c>
      <c r="M7774" s="17">
        <v>1</v>
      </c>
      <c r="N7774" s="17">
        <v>1</v>
      </c>
      <c r="O7774" s="18">
        <v>18317.29</v>
      </c>
      <c r="P7774" s="18">
        <v>15014.17</v>
      </c>
      <c r="Q7774" s="18">
        <v>16302.39</v>
      </c>
      <c r="R7774" s="18">
        <v>13362.61</v>
      </c>
      <c r="S7774" s="18">
        <v>12455.76</v>
      </c>
      <c r="T7774" s="18">
        <v>10209.64</v>
      </c>
      <c r="U7774" s="16"/>
      <c r="V7774" s="16"/>
      <c r="W7774" s="16" t="s">
        <v>40</v>
      </c>
      <c r="X7774" s="19">
        <v>22.425999999999998</v>
      </c>
      <c r="Y7774" s="20">
        <v>6.6829E-2</v>
      </c>
      <c r="Z7774" s="21">
        <v>4660008016449</v>
      </c>
    </row>
    <row r="7775" spans="1:26" ht="12.95" customHeight="1" outlineLevel="2" x14ac:dyDescent="0.2">
      <c r="A7775" s="82" t="s">
        <v>14861</v>
      </c>
      <c r="B7775" s="82"/>
      <c r="C7775" s="83"/>
      <c r="D7775" s="59"/>
      <c r="E7775" s="69"/>
      <c r="F7775" s="23"/>
      <c r="G7775" s="23"/>
      <c r="H7775" s="23"/>
      <c r="I7775" s="23"/>
      <c r="J7775" s="23"/>
      <c r="K7775" s="23"/>
      <c r="L7775" s="23"/>
      <c r="M7775" s="23"/>
      <c r="N7775" s="23"/>
      <c r="O7775" s="23"/>
      <c r="P7775" s="23"/>
      <c r="Q7775" s="23"/>
      <c r="R7775" s="23"/>
      <c r="S7775" s="23"/>
      <c r="T7775" s="23"/>
      <c r="U7775" s="23"/>
      <c r="V7775" s="23"/>
      <c r="W7775" s="23"/>
      <c r="X7775" s="23"/>
      <c r="Y7775" s="23"/>
      <c r="Z7775" s="23"/>
    </row>
    <row r="7776" spans="1:26" ht="12" customHeight="1" outlineLevel="3" x14ac:dyDescent="0.2">
      <c r="A7776" s="14" t="s">
        <v>14862</v>
      </c>
      <c r="B7776" s="26" t="s">
        <v>14863</v>
      </c>
      <c r="C7776" s="52"/>
      <c r="D7776" s="55">
        <f t="shared" si="121"/>
        <v>0</v>
      </c>
      <c r="E7776" s="63" t="str">
        <f>HYPERLINK("https://www.sds-group.ru/product/kabel-koaksialnyy-rk-75-2-11a-400m-chernyy-rexant-01-2681/", "Инфо")</f>
        <v>Инфо</v>
      </c>
      <c r="F7776" s="16" t="s">
        <v>1767</v>
      </c>
      <c r="G7776" s="15"/>
      <c r="H7776" s="15"/>
      <c r="I7776" s="15"/>
      <c r="J7776" s="22">
        <v>8800</v>
      </c>
      <c r="K7776" s="15"/>
      <c r="L7776" s="17">
        <v>400</v>
      </c>
      <c r="M7776" s="17">
        <v>400</v>
      </c>
      <c r="N7776" s="17">
        <v>400</v>
      </c>
      <c r="O7776" s="18">
        <v>52.83</v>
      </c>
      <c r="P7776" s="18">
        <v>43.3</v>
      </c>
      <c r="Q7776" s="18">
        <v>47.02</v>
      </c>
      <c r="R7776" s="18">
        <v>38.54</v>
      </c>
      <c r="S7776" s="18">
        <v>35.92</v>
      </c>
      <c r="T7776" s="18">
        <v>29.44</v>
      </c>
      <c r="U7776" s="16"/>
      <c r="V7776" s="16"/>
      <c r="W7776" s="16" t="s">
        <v>40</v>
      </c>
      <c r="X7776" s="19">
        <v>1.4999999999999999E-2</v>
      </c>
      <c r="Y7776" s="20">
        <v>2.9E-5</v>
      </c>
      <c r="Z7776" s="21">
        <v>4601004037625</v>
      </c>
    </row>
    <row r="7777" spans="1:26" ht="12" customHeight="1" outlineLevel="3" x14ac:dyDescent="0.2">
      <c r="A7777" s="14" t="s">
        <v>14864</v>
      </c>
      <c r="B7777" s="26" t="s">
        <v>14865</v>
      </c>
      <c r="C7777" s="52"/>
      <c r="D7777" s="55">
        <f t="shared" si="121"/>
        <v>0</v>
      </c>
      <c r="E7777" s="63" t="str">
        <f>HYPERLINK("https://www.sds-group.ru/product/kabel-koaksialnyy-rk-75-2-11ait-400m-chernyy-rexant-01-2680/", "Инфо")</f>
        <v>Инфо</v>
      </c>
      <c r="F7777" s="16" t="s">
        <v>1767</v>
      </c>
      <c r="G7777" s="15"/>
      <c r="H7777" s="15"/>
      <c r="I7777" s="15"/>
      <c r="J7777" s="22">
        <v>6800</v>
      </c>
      <c r="K7777" s="15"/>
      <c r="L7777" s="17">
        <v>400</v>
      </c>
      <c r="M7777" s="17">
        <v>400</v>
      </c>
      <c r="N7777" s="17">
        <v>400</v>
      </c>
      <c r="O7777" s="18">
        <v>37.49</v>
      </c>
      <c r="P7777" s="18">
        <v>30.73</v>
      </c>
      <c r="Q7777" s="18">
        <v>33.369999999999997</v>
      </c>
      <c r="R7777" s="18">
        <v>27.35</v>
      </c>
      <c r="S7777" s="18">
        <v>25.49</v>
      </c>
      <c r="T7777" s="18">
        <v>20.89</v>
      </c>
      <c r="U7777" s="16"/>
      <c r="V7777" s="16"/>
      <c r="W7777" s="16" t="s">
        <v>40</v>
      </c>
      <c r="X7777" s="19">
        <v>0.01</v>
      </c>
      <c r="Y7777" s="20">
        <v>1.8E-5</v>
      </c>
      <c r="Z7777" s="21">
        <v>4601004035829</v>
      </c>
    </row>
    <row r="7778" spans="1:26" ht="12" customHeight="1" outlineLevel="3" x14ac:dyDescent="0.2">
      <c r="A7778" s="14" t="s">
        <v>14866</v>
      </c>
      <c r="B7778" s="26" t="s">
        <v>14867</v>
      </c>
      <c r="C7778" s="52"/>
      <c r="D7778" s="55">
        <f t="shared" si="121"/>
        <v>0</v>
      </c>
      <c r="E7778" s="63" t="str">
        <f>HYPERLINK("https://www.sds-group.ru/product/kabel-koaksialnyy-rk-75-4-11-200m-chernyy-rexant-01-2697/", "Инфо")</f>
        <v>Инфо</v>
      </c>
      <c r="F7778" s="16" t="s">
        <v>1767</v>
      </c>
      <c r="G7778" s="15"/>
      <c r="H7778" s="15"/>
      <c r="I7778" s="15"/>
      <c r="J7778" s="22">
        <v>1200</v>
      </c>
      <c r="K7778" s="15"/>
      <c r="L7778" s="17">
        <v>200</v>
      </c>
      <c r="M7778" s="17">
        <v>200</v>
      </c>
      <c r="N7778" s="17">
        <v>200</v>
      </c>
      <c r="O7778" s="18">
        <v>126.95</v>
      </c>
      <c r="P7778" s="18">
        <v>104.06</v>
      </c>
      <c r="Q7778" s="18">
        <v>112.99</v>
      </c>
      <c r="R7778" s="18">
        <v>92.61</v>
      </c>
      <c r="S7778" s="18">
        <v>86.33</v>
      </c>
      <c r="T7778" s="18">
        <v>70.760000000000005</v>
      </c>
      <c r="U7778" s="16"/>
      <c r="V7778" s="16"/>
      <c r="W7778" s="16" t="s">
        <v>40</v>
      </c>
      <c r="X7778" s="19">
        <v>0.04</v>
      </c>
      <c r="Y7778" s="20">
        <v>5.8999999999999998E-5</v>
      </c>
      <c r="Z7778" s="21">
        <v>4601004031692</v>
      </c>
    </row>
    <row r="7779" spans="1:26" ht="12" customHeight="1" outlineLevel="3" x14ac:dyDescent="0.2">
      <c r="A7779" s="14" t="s">
        <v>14868</v>
      </c>
      <c r="B7779" s="26" t="s">
        <v>14869</v>
      </c>
      <c r="C7779" s="52"/>
      <c r="D7779" s="55">
        <f t="shared" si="121"/>
        <v>0</v>
      </c>
      <c r="E7779" s="63" t="str">
        <f>HYPERLINK("https://www.sds-group.ru/product/kabel-koaksialnyy-rk-75-4-11a-200m-chernyy-rexant-01-2693/", "Инфо")</f>
        <v>Инфо</v>
      </c>
      <c r="F7779" s="16" t="s">
        <v>1767</v>
      </c>
      <c r="G7779" s="15"/>
      <c r="H7779" s="15"/>
      <c r="I7779" s="15"/>
      <c r="J7779" s="22">
        <v>12200</v>
      </c>
      <c r="K7779" s="15"/>
      <c r="L7779" s="17">
        <v>200</v>
      </c>
      <c r="M7779" s="17">
        <v>200</v>
      </c>
      <c r="N7779" s="17">
        <v>200</v>
      </c>
      <c r="O7779" s="18">
        <v>90.98</v>
      </c>
      <c r="P7779" s="18">
        <v>74.569999999999993</v>
      </c>
      <c r="Q7779" s="18">
        <v>80.97</v>
      </c>
      <c r="R7779" s="18">
        <v>66.37</v>
      </c>
      <c r="S7779" s="18">
        <v>61.87</v>
      </c>
      <c r="T7779" s="18">
        <v>50.71</v>
      </c>
      <c r="U7779" s="16"/>
      <c r="V7779" s="16"/>
      <c r="W7779" s="16" t="s">
        <v>40</v>
      </c>
      <c r="X7779" s="19">
        <v>3.1E-2</v>
      </c>
      <c r="Y7779" s="20">
        <v>5.8E-5</v>
      </c>
      <c r="Z7779" s="21">
        <v>4601004035874</v>
      </c>
    </row>
    <row r="7780" spans="1:26" ht="12" customHeight="1" outlineLevel="3" x14ac:dyDescent="0.2">
      <c r="A7780" s="14" t="s">
        <v>14870</v>
      </c>
      <c r="B7780" s="26" t="s">
        <v>14871</v>
      </c>
      <c r="C7780" s="52"/>
      <c r="D7780" s="55">
        <f t="shared" si="121"/>
        <v>0</v>
      </c>
      <c r="E7780" s="63" t="str">
        <f>HYPERLINK("https://www.sds-group.ru/product/kabel-koaksialnyy-rk-75-4-11ait-200m-chernyy-rexant-01-2692/", "Инфо")</f>
        <v>Инфо</v>
      </c>
      <c r="F7780" s="16" t="s">
        <v>1767</v>
      </c>
      <c r="G7780" s="15"/>
      <c r="H7780" s="15"/>
      <c r="I7780" s="15"/>
      <c r="J7780" s="22">
        <v>4860</v>
      </c>
      <c r="K7780" s="15"/>
      <c r="L7780" s="17">
        <v>200</v>
      </c>
      <c r="M7780" s="17">
        <v>200</v>
      </c>
      <c r="N7780" s="17">
        <v>200</v>
      </c>
      <c r="O7780" s="18">
        <v>69.64</v>
      </c>
      <c r="P7780" s="18">
        <v>57.08</v>
      </c>
      <c r="Q7780" s="18">
        <v>61.98</v>
      </c>
      <c r="R7780" s="18">
        <v>50.8</v>
      </c>
      <c r="S7780" s="18">
        <v>47.36</v>
      </c>
      <c r="T7780" s="18">
        <v>38.82</v>
      </c>
      <c r="U7780" s="16"/>
      <c r="V7780" s="16"/>
      <c r="W7780" s="16" t="s">
        <v>40</v>
      </c>
      <c r="X7780" s="19">
        <v>3.1E-2</v>
      </c>
      <c r="Y7780" s="20">
        <v>5.7000000000000003E-5</v>
      </c>
      <c r="Z7780" s="21">
        <v>4601004035843</v>
      </c>
    </row>
    <row r="7781" spans="1:26" ht="12" customHeight="1" outlineLevel="3" x14ac:dyDescent="0.2">
      <c r="A7781" s="14" t="s">
        <v>14872</v>
      </c>
      <c r="B7781" s="26" t="s">
        <v>14873</v>
      </c>
      <c r="C7781" s="52"/>
      <c r="D7781" s="55">
        <f t="shared" si="121"/>
        <v>0</v>
      </c>
      <c r="E7781" s="63" t="str">
        <f>HYPERLINK("https://www.sds-group.ru/product/kabel-koaksialnyy-rk-75-4-15-200m-chernyy-rexant-01-2690/", "Инфо")</f>
        <v>Инфо</v>
      </c>
      <c r="F7781" s="16" t="s">
        <v>1767</v>
      </c>
      <c r="G7781" s="15"/>
      <c r="H7781" s="15"/>
      <c r="I7781" s="15"/>
      <c r="J7781" s="17">
        <v>600</v>
      </c>
      <c r="K7781" s="15"/>
      <c r="L7781" s="17">
        <v>200</v>
      </c>
      <c r="M7781" s="17">
        <v>200</v>
      </c>
      <c r="N7781" s="17">
        <v>200</v>
      </c>
      <c r="O7781" s="18">
        <v>141.03</v>
      </c>
      <c r="P7781" s="18">
        <v>115.6</v>
      </c>
      <c r="Q7781" s="18">
        <v>125.52</v>
      </c>
      <c r="R7781" s="18">
        <v>102.89</v>
      </c>
      <c r="S7781" s="18">
        <v>95.9</v>
      </c>
      <c r="T7781" s="18">
        <v>78.61</v>
      </c>
      <c r="U7781" s="16"/>
      <c r="V7781" s="16"/>
      <c r="W7781" s="16" t="s">
        <v>40</v>
      </c>
      <c r="X7781" s="19">
        <v>4.8000000000000001E-2</v>
      </c>
      <c r="Y7781" s="20">
        <v>7.4999999999999993E-5</v>
      </c>
      <c r="Z7781" s="21">
        <v>4601004059474</v>
      </c>
    </row>
    <row r="7782" spans="1:26" ht="12.95" customHeight="1" outlineLevel="2" x14ac:dyDescent="0.2">
      <c r="A7782" s="82" t="s">
        <v>14874</v>
      </c>
      <c r="B7782" s="82"/>
      <c r="C7782" s="83"/>
      <c r="D7782" s="59"/>
      <c r="E7782" s="69"/>
      <c r="F7782" s="23"/>
      <c r="G7782" s="23"/>
      <c r="H7782" s="23"/>
      <c r="I7782" s="23"/>
      <c r="J7782" s="23"/>
      <c r="K7782" s="23"/>
      <c r="L7782" s="23"/>
      <c r="M7782" s="23"/>
      <c r="N7782" s="23"/>
      <c r="O7782" s="23"/>
      <c r="P7782" s="23"/>
      <c r="Q7782" s="23"/>
      <c r="R7782" s="23"/>
      <c r="S7782" s="23"/>
      <c r="T7782" s="23"/>
      <c r="U7782" s="23"/>
      <c r="V7782" s="23"/>
      <c r="W7782" s="23"/>
      <c r="X7782" s="23"/>
      <c r="Y7782" s="23"/>
      <c r="Z7782" s="23"/>
    </row>
    <row r="7783" spans="1:26" ht="12" customHeight="1" outlineLevel="3" x14ac:dyDescent="0.2">
      <c r="A7783" s="14" t="s">
        <v>14875</v>
      </c>
      <c r="B7783" s="26" t="s">
        <v>14876</v>
      </c>
      <c r="C7783" s="52"/>
      <c r="D7783" s="55">
        <f t="shared" si="121"/>
        <v>0</v>
      </c>
      <c r="E7783" s="63" t="str">
        <f>HYPERLINK("https://www.sds-group.ru/product/kabel-koaksialnyy-rg-6u-ng-a-hf-cu-al-cu-64-75om-100m-indoor-oranzhevyy-rexant-01-2654/", "Инфо")</f>
        <v>Инфо</v>
      </c>
      <c r="F7783" s="16" t="s">
        <v>1887</v>
      </c>
      <c r="G7783" s="15"/>
      <c r="H7783" s="15"/>
      <c r="I7783" s="15"/>
      <c r="J7783" s="16" t="s">
        <v>100</v>
      </c>
      <c r="K7783" s="15" t="s">
        <v>925</v>
      </c>
      <c r="L7783" s="17">
        <v>1</v>
      </c>
      <c r="M7783" s="17">
        <v>6</v>
      </c>
      <c r="N7783" s="17">
        <v>1</v>
      </c>
      <c r="O7783" s="18">
        <v>8763.3700000000008</v>
      </c>
      <c r="P7783" s="18">
        <v>7183.09</v>
      </c>
      <c r="Q7783" s="18">
        <v>7799.4</v>
      </c>
      <c r="R7783" s="18">
        <v>6392.95</v>
      </c>
      <c r="S7783" s="18">
        <v>5959.09</v>
      </c>
      <c r="T7783" s="18">
        <v>4884.5</v>
      </c>
      <c r="U7783" s="16"/>
      <c r="V7783" s="16"/>
      <c r="W7783" s="16" t="s">
        <v>40</v>
      </c>
      <c r="X7783" s="19">
        <v>3.835</v>
      </c>
      <c r="Y7783" s="20">
        <v>7.0400000000000003E-3</v>
      </c>
      <c r="Z7783" s="21">
        <v>4601004009677</v>
      </c>
    </row>
    <row r="7784" spans="1:26" ht="12.95" customHeight="1" outlineLevel="2" x14ac:dyDescent="0.2">
      <c r="A7784" s="82" t="s">
        <v>14877</v>
      </c>
      <c r="B7784" s="82"/>
      <c r="C7784" s="83"/>
      <c r="D7784" s="59"/>
      <c r="E7784" s="69"/>
      <c r="F7784" s="23"/>
      <c r="G7784" s="23"/>
      <c r="H7784" s="23"/>
      <c r="I7784" s="23"/>
      <c r="J7784" s="23"/>
      <c r="K7784" s="23"/>
      <c r="L7784" s="23"/>
      <c r="M7784" s="23"/>
      <c r="N7784" s="23"/>
      <c r="O7784" s="23"/>
      <c r="P7784" s="23"/>
      <c r="Q7784" s="23"/>
      <c r="R7784" s="23"/>
      <c r="S7784" s="23"/>
      <c r="T7784" s="23"/>
      <c r="U7784" s="23"/>
      <c r="V7784" s="23"/>
      <c r="W7784" s="23"/>
      <c r="X7784" s="23"/>
      <c r="Y7784" s="23"/>
      <c r="Z7784" s="23"/>
    </row>
    <row r="7785" spans="1:26" ht="12" customHeight="1" outlineLevel="3" x14ac:dyDescent="0.2">
      <c r="A7785" s="14" t="s">
        <v>14878</v>
      </c>
      <c r="B7785" s="26" t="s">
        <v>14879</v>
      </c>
      <c r="C7785" s="52"/>
      <c r="D7785" s="55">
        <f t="shared" si="121"/>
        <v>0</v>
      </c>
      <c r="E7785" s="63" t="str">
        <f>HYPERLINK("https://www.sds-group.ru/product/kabel-koaksialnyy-dg-113-cu-al-cu-75-75om-100m-indoor-belyy-rexant-01-2471/", "Инфо")</f>
        <v>Инфо</v>
      </c>
      <c r="F7785" s="16" t="s">
        <v>1887</v>
      </c>
      <c r="G7785" s="15"/>
      <c r="H7785" s="15"/>
      <c r="I7785" s="15"/>
      <c r="J7785" s="17">
        <v>101</v>
      </c>
      <c r="K7785" s="15"/>
      <c r="L7785" s="17">
        <v>1</v>
      </c>
      <c r="M7785" s="17">
        <v>6</v>
      </c>
      <c r="N7785" s="17">
        <v>1</v>
      </c>
      <c r="O7785" s="18">
        <v>9409.92</v>
      </c>
      <c r="P7785" s="18">
        <v>7713.05</v>
      </c>
      <c r="Q7785" s="18">
        <v>8374.83</v>
      </c>
      <c r="R7785" s="18">
        <v>6864.61</v>
      </c>
      <c r="S7785" s="18">
        <v>6398.75</v>
      </c>
      <c r="T7785" s="18">
        <v>5244.88</v>
      </c>
      <c r="U7785" s="16"/>
      <c r="V7785" s="16"/>
      <c r="W7785" s="16" t="s">
        <v>40</v>
      </c>
      <c r="X7785" s="19">
        <v>4.0759999999999996</v>
      </c>
      <c r="Y7785" s="20">
        <v>8.8599999999999998E-3</v>
      </c>
      <c r="Z7785" s="21">
        <v>4601004004993</v>
      </c>
    </row>
    <row r="7786" spans="1:26" ht="12" customHeight="1" outlineLevel="3" x14ac:dyDescent="0.2">
      <c r="A7786" s="32" t="s">
        <v>14880</v>
      </c>
      <c r="B7786" s="74" t="s">
        <v>14881</v>
      </c>
      <c r="C7786" s="50"/>
      <c r="D7786" s="53">
        <f t="shared" si="121"/>
        <v>0</v>
      </c>
      <c r="E7786" s="60" t="str">
        <f>HYPERLINK("https://www.sds-group.ru/product/kabel-koaksialnyy-dg-113-cu-al-cusn-75-75om-100m-indoor-belyy-cavel-01-2472/", "Инфо")</f>
        <v>Инфо</v>
      </c>
      <c r="F7786" s="34" t="s">
        <v>1887</v>
      </c>
      <c r="G7786" s="33"/>
      <c r="H7786" s="33" t="s">
        <v>40</v>
      </c>
      <c r="I7786" s="33"/>
      <c r="J7786" s="35">
        <v>3</v>
      </c>
      <c r="K7786" s="33"/>
      <c r="L7786" s="35">
        <v>1</v>
      </c>
      <c r="M7786" s="35">
        <v>6</v>
      </c>
      <c r="N7786" s="35">
        <v>1</v>
      </c>
      <c r="O7786" s="36">
        <v>25830.38</v>
      </c>
      <c r="P7786" s="36">
        <v>21172.44</v>
      </c>
      <c r="Q7786" s="36">
        <v>18081.27</v>
      </c>
      <c r="R7786" s="36">
        <v>14820.71</v>
      </c>
      <c r="S7786" s="36">
        <v>14981.62</v>
      </c>
      <c r="T7786" s="36">
        <v>12280.02</v>
      </c>
      <c r="U7786" s="34"/>
      <c r="V7786" s="34"/>
      <c r="W7786" s="34"/>
      <c r="X7786" s="37">
        <v>4.391</v>
      </c>
      <c r="Y7786" s="38">
        <v>9.3469999999999994E-3</v>
      </c>
      <c r="Z7786" s="21">
        <v>8000003910100</v>
      </c>
    </row>
    <row r="7787" spans="1:26" ht="12.95" customHeight="1" outlineLevel="1" x14ac:dyDescent="0.2">
      <c r="A7787" s="78" t="s">
        <v>14882</v>
      </c>
      <c r="B7787" s="78"/>
      <c r="C7787" s="79"/>
      <c r="D7787" s="57"/>
      <c r="E7787" s="67"/>
      <c r="F7787" s="12"/>
      <c r="G7787" s="12"/>
      <c r="H7787" s="12"/>
      <c r="I7787" s="12"/>
      <c r="J7787" s="12"/>
      <c r="K7787" s="12"/>
      <c r="L7787" s="12"/>
      <c r="M7787" s="12"/>
      <c r="N7787" s="12"/>
      <c r="O7787" s="12"/>
      <c r="P7787" s="12"/>
      <c r="Q7787" s="12"/>
      <c r="R7787" s="12"/>
      <c r="S7787" s="12"/>
      <c r="T7787" s="12"/>
      <c r="U7787" s="12"/>
      <c r="V7787" s="12"/>
      <c r="W7787" s="12"/>
      <c r="X7787" s="12"/>
      <c r="Y7787" s="12"/>
      <c r="Z7787" s="12"/>
    </row>
    <row r="7788" spans="1:26" ht="12.95" customHeight="1" outlineLevel="2" x14ac:dyDescent="0.2">
      <c r="A7788" s="76" t="s">
        <v>14883</v>
      </c>
      <c r="B7788" s="76"/>
      <c r="C7788" s="77"/>
      <c r="D7788" s="58"/>
      <c r="E7788" s="68"/>
      <c r="F7788" s="13"/>
      <c r="G7788" s="13"/>
      <c r="H7788" s="13"/>
      <c r="I7788" s="13"/>
      <c r="J7788" s="13"/>
      <c r="K7788" s="13"/>
      <c r="L7788" s="13"/>
      <c r="M7788" s="13"/>
      <c r="N7788" s="13"/>
      <c r="O7788" s="13"/>
      <c r="P7788" s="13"/>
      <c r="Q7788" s="13"/>
      <c r="R7788" s="13"/>
      <c r="S7788" s="13"/>
      <c r="T7788" s="13"/>
      <c r="U7788" s="13"/>
      <c r="V7788" s="13"/>
      <c r="W7788" s="13"/>
      <c r="X7788" s="13"/>
      <c r="Y7788" s="13"/>
      <c r="Z7788" s="13"/>
    </row>
    <row r="7789" spans="1:26" ht="12" customHeight="1" outlineLevel="3" x14ac:dyDescent="0.2">
      <c r="A7789" s="14" t="s">
        <v>14884</v>
      </c>
      <c r="B7789" s="26" t="s">
        <v>14885</v>
      </c>
      <c r="C7789" s="52"/>
      <c r="D7789" s="55">
        <f t="shared" si="121"/>
        <v>0</v>
      </c>
      <c r="E7789" s="63" t="str">
        <f>HYPERLINK("https://www.sds-group.ru/product/kabel-akusticheskiy-2h0-25mm-krasno-chernyy-100m-proconnect-01-6101-6/", "Инфо")</f>
        <v>Инфо</v>
      </c>
      <c r="F7789" s="16" t="s">
        <v>1887</v>
      </c>
      <c r="G7789" s="15"/>
      <c r="H7789" s="15"/>
      <c r="I7789" s="15"/>
      <c r="J7789" s="17">
        <v>104</v>
      </c>
      <c r="K7789" s="15" t="s">
        <v>6174</v>
      </c>
      <c r="L7789" s="17">
        <v>1</v>
      </c>
      <c r="M7789" s="17">
        <v>8</v>
      </c>
      <c r="N7789" s="17">
        <v>1</v>
      </c>
      <c r="O7789" s="18">
        <v>1140.21</v>
      </c>
      <c r="P7789" s="18">
        <v>934.6</v>
      </c>
      <c r="Q7789" s="18">
        <v>1014.79</v>
      </c>
      <c r="R7789" s="18">
        <v>831.8</v>
      </c>
      <c r="S7789" s="18">
        <v>775.34</v>
      </c>
      <c r="T7789" s="18">
        <v>635.52</v>
      </c>
      <c r="U7789" s="16"/>
      <c r="V7789" s="16"/>
      <c r="W7789" s="16" t="s">
        <v>40</v>
      </c>
      <c r="X7789" s="19">
        <v>1.0109999999999999</v>
      </c>
      <c r="Y7789" s="20">
        <v>1.6050000000000001E-3</v>
      </c>
      <c r="Z7789" s="21">
        <v>4660008010010</v>
      </c>
    </row>
    <row r="7790" spans="1:26" ht="12" customHeight="1" outlineLevel="3" x14ac:dyDescent="0.2">
      <c r="A7790" s="14" t="s">
        <v>14886</v>
      </c>
      <c r="B7790" s="26" t="s">
        <v>14887</v>
      </c>
      <c r="C7790" s="52"/>
      <c r="D7790" s="55">
        <f t="shared" si="121"/>
        <v>0</v>
      </c>
      <c r="E7790" s="63" t="str">
        <f>HYPERLINK("https://www.sds-group.ru/product/kabel-akusticheskiy-2h0-25mm-krasno-chernyy-100m-rexant-01-6101-3/", "Инфо")</f>
        <v>Инфо</v>
      </c>
      <c r="F7790" s="16" t="s">
        <v>1887</v>
      </c>
      <c r="G7790" s="15"/>
      <c r="H7790" s="15"/>
      <c r="I7790" s="15"/>
      <c r="J7790" s="17">
        <v>123</v>
      </c>
      <c r="K7790" s="15" t="s">
        <v>6174</v>
      </c>
      <c r="L7790" s="17">
        <v>1</v>
      </c>
      <c r="M7790" s="17">
        <v>10</v>
      </c>
      <c r="N7790" s="17">
        <v>1</v>
      </c>
      <c r="O7790" s="18">
        <v>1783.25</v>
      </c>
      <c r="P7790" s="18">
        <v>1461.68</v>
      </c>
      <c r="Q7790" s="18">
        <v>1587.09</v>
      </c>
      <c r="R7790" s="18">
        <v>1300.8900000000001</v>
      </c>
      <c r="S7790" s="18">
        <v>1212.6099999999999</v>
      </c>
      <c r="T7790" s="18">
        <v>993.94</v>
      </c>
      <c r="U7790" s="16"/>
      <c r="V7790" s="16"/>
      <c r="W7790" s="16" t="s">
        <v>40</v>
      </c>
      <c r="X7790" s="19">
        <v>0.91800000000000004</v>
      </c>
      <c r="Y7790" s="20">
        <v>1.5690000000000001E-3</v>
      </c>
      <c r="Z7790" s="21">
        <v>4601004027831</v>
      </c>
    </row>
    <row r="7791" spans="1:26" ht="12" customHeight="1" outlineLevel="3" x14ac:dyDescent="0.2">
      <c r="A7791" s="14" t="s">
        <v>14888</v>
      </c>
      <c r="B7791" s="26" t="s">
        <v>14889</v>
      </c>
      <c r="C7791" s="52"/>
      <c r="D7791" s="55">
        <f t="shared" si="121"/>
        <v>0</v>
      </c>
      <c r="E7791" s="63" t="str">
        <f>HYPERLINK("https://www.sds-group.ru/product/kabel-akusticheskiy-2h0-35mm-krasno-chernyy-100m-proconnect-01-6102-6/", "Инфо")</f>
        <v>Инфо</v>
      </c>
      <c r="F7791" s="16" t="s">
        <v>1887</v>
      </c>
      <c r="G7791" s="15"/>
      <c r="H7791" s="15"/>
      <c r="I7791" s="15"/>
      <c r="J7791" s="22">
        <v>1335</v>
      </c>
      <c r="K7791" s="15" t="s">
        <v>6174</v>
      </c>
      <c r="L7791" s="17">
        <v>1</v>
      </c>
      <c r="M7791" s="17">
        <v>8</v>
      </c>
      <c r="N7791" s="17">
        <v>1</v>
      </c>
      <c r="O7791" s="18">
        <v>1368.26</v>
      </c>
      <c r="P7791" s="18">
        <v>1121.52</v>
      </c>
      <c r="Q7791" s="18">
        <v>1217.75</v>
      </c>
      <c r="R7791" s="18">
        <v>998.16</v>
      </c>
      <c r="S7791" s="18">
        <v>930.42</v>
      </c>
      <c r="T7791" s="18">
        <v>762.64</v>
      </c>
      <c r="U7791" s="16"/>
      <c r="V7791" s="16"/>
      <c r="W7791" s="16" t="s">
        <v>40</v>
      </c>
      <c r="X7791" s="19">
        <v>1.002</v>
      </c>
      <c r="Y7791" s="20">
        <v>1.555E-3</v>
      </c>
      <c r="Z7791" s="21">
        <v>4660008010027</v>
      </c>
    </row>
    <row r="7792" spans="1:26" ht="12" customHeight="1" outlineLevel="3" x14ac:dyDescent="0.2">
      <c r="A7792" s="14" t="s">
        <v>14890</v>
      </c>
      <c r="B7792" s="26" t="s">
        <v>14891</v>
      </c>
      <c r="C7792" s="52"/>
      <c r="D7792" s="55">
        <f t="shared" si="121"/>
        <v>0</v>
      </c>
      <c r="E7792" s="63" t="str">
        <f>HYPERLINK("https://www.sds-group.ru/product/kabel-akusticheskiy-2h0-35mm-krasno-chernyy-100m-rexant-01-6102-3/", "Инфо")</f>
        <v>Инфо</v>
      </c>
      <c r="F7792" s="16" t="s">
        <v>1887</v>
      </c>
      <c r="G7792" s="15"/>
      <c r="H7792" s="15"/>
      <c r="I7792" s="15"/>
      <c r="J7792" s="17">
        <v>425</v>
      </c>
      <c r="K7792" s="15" t="s">
        <v>6174</v>
      </c>
      <c r="L7792" s="17">
        <v>1</v>
      </c>
      <c r="M7792" s="17">
        <v>10</v>
      </c>
      <c r="N7792" s="17">
        <v>1</v>
      </c>
      <c r="O7792" s="18">
        <v>1733.59</v>
      </c>
      <c r="P7792" s="18">
        <v>1420.98</v>
      </c>
      <c r="Q7792" s="18">
        <v>1542.9</v>
      </c>
      <c r="R7792" s="18">
        <v>1264.67</v>
      </c>
      <c r="S7792" s="18">
        <v>1178.8399999999999</v>
      </c>
      <c r="T7792" s="18">
        <v>966.26</v>
      </c>
      <c r="U7792" s="16"/>
      <c r="V7792" s="16"/>
      <c r="W7792" s="16" t="s">
        <v>40</v>
      </c>
      <c r="X7792" s="19">
        <v>0.95</v>
      </c>
      <c r="Y7792" s="20">
        <v>1.299E-3</v>
      </c>
      <c r="Z7792" s="21">
        <v>4601004027688</v>
      </c>
    </row>
    <row r="7793" spans="1:26" ht="12" customHeight="1" outlineLevel="3" x14ac:dyDescent="0.2">
      <c r="A7793" s="14" t="s">
        <v>14892</v>
      </c>
      <c r="B7793" s="26" t="s">
        <v>14893</v>
      </c>
      <c r="C7793" s="52"/>
      <c r="D7793" s="55">
        <f t="shared" si="121"/>
        <v>0</v>
      </c>
      <c r="E7793" s="63" t="str">
        <f>HYPERLINK("https://www.sds-group.ru/product/kabel-akusticheskiy-2h0-50mm-krasno-chernyy-100m-proconnect-01-6103-6/", "Инфо")</f>
        <v>Инфо</v>
      </c>
      <c r="F7793" s="16" t="s">
        <v>1887</v>
      </c>
      <c r="G7793" s="15"/>
      <c r="H7793" s="15"/>
      <c r="I7793" s="15"/>
      <c r="J7793" s="22">
        <v>1411</v>
      </c>
      <c r="K7793" s="15" t="s">
        <v>6174</v>
      </c>
      <c r="L7793" s="17">
        <v>1</v>
      </c>
      <c r="M7793" s="17">
        <v>8</v>
      </c>
      <c r="N7793" s="17">
        <v>1</v>
      </c>
      <c r="O7793" s="18">
        <v>1824.34</v>
      </c>
      <c r="P7793" s="18">
        <v>1495.36</v>
      </c>
      <c r="Q7793" s="18">
        <v>1623.66</v>
      </c>
      <c r="R7793" s="18">
        <v>1330.87</v>
      </c>
      <c r="S7793" s="18">
        <v>1240.55</v>
      </c>
      <c r="T7793" s="18">
        <v>1016.84</v>
      </c>
      <c r="U7793" s="16"/>
      <c r="V7793" s="16"/>
      <c r="W7793" s="16" t="s">
        <v>40</v>
      </c>
      <c r="X7793" s="19">
        <v>1.2250000000000001</v>
      </c>
      <c r="Y7793" s="20">
        <v>1.843E-3</v>
      </c>
      <c r="Z7793" s="21">
        <v>4660008010034</v>
      </c>
    </row>
    <row r="7794" spans="1:26" ht="12" customHeight="1" outlineLevel="3" x14ac:dyDescent="0.2">
      <c r="A7794" s="14" t="s">
        <v>14894</v>
      </c>
      <c r="B7794" s="26" t="s">
        <v>14895</v>
      </c>
      <c r="C7794" s="52"/>
      <c r="D7794" s="55">
        <f t="shared" si="121"/>
        <v>0</v>
      </c>
      <c r="E7794" s="63" t="str">
        <f>HYPERLINK("https://www.sds-group.ru/product/kabel-akusticheskiy-2h0-50mm-krasno-chernyy-100m-rexant-01-6103-3/", "Инфо")</f>
        <v>Инфо</v>
      </c>
      <c r="F7794" s="16" t="s">
        <v>1887</v>
      </c>
      <c r="G7794" s="15"/>
      <c r="H7794" s="15"/>
      <c r="I7794" s="15"/>
      <c r="J7794" s="17">
        <v>848</v>
      </c>
      <c r="K7794" s="15" t="s">
        <v>6174</v>
      </c>
      <c r="L7794" s="17">
        <v>1</v>
      </c>
      <c r="M7794" s="17">
        <v>8</v>
      </c>
      <c r="N7794" s="17">
        <v>1</v>
      </c>
      <c r="O7794" s="18">
        <v>2422.7399999999998</v>
      </c>
      <c r="P7794" s="18">
        <v>1985.85</v>
      </c>
      <c r="Q7794" s="18">
        <v>2156.2399999999998</v>
      </c>
      <c r="R7794" s="18">
        <v>1767.41</v>
      </c>
      <c r="S7794" s="18">
        <v>1647.46</v>
      </c>
      <c r="T7794" s="18">
        <v>1350.38</v>
      </c>
      <c r="U7794" s="16"/>
      <c r="V7794" s="16"/>
      <c r="W7794" s="16" t="s">
        <v>40</v>
      </c>
      <c r="X7794" s="19">
        <v>1.1659999999999999</v>
      </c>
      <c r="Y7794" s="20">
        <v>1.856E-3</v>
      </c>
      <c r="Z7794" s="21">
        <v>4601004027695</v>
      </c>
    </row>
    <row r="7795" spans="1:26" ht="12" customHeight="1" outlineLevel="3" x14ac:dyDescent="0.2">
      <c r="A7795" s="14" t="s">
        <v>14896</v>
      </c>
      <c r="B7795" s="26" t="s">
        <v>14897</v>
      </c>
      <c r="C7795" s="52"/>
      <c r="D7795" s="55">
        <f t="shared" si="121"/>
        <v>0</v>
      </c>
      <c r="E7795" s="63" t="str">
        <f>HYPERLINK("https://www.sds-group.ru/product/kabel-akusticheskiy-2h0-75mm-krasno-chernyy-100m-proconnect-01-6104-6/", "Инфо")</f>
        <v>Инфо</v>
      </c>
      <c r="F7795" s="16" t="s">
        <v>1887</v>
      </c>
      <c r="G7795" s="15"/>
      <c r="H7795" s="15"/>
      <c r="I7795" s="15"/>
      <c r="J7795" s="22">
        <v>1896</v>
      </c>
      <c r="K7795" s="15" t="s">
        <v>6174</v>
      </c>
      <c r="L7795" s="17">
        <v>1</v>
      </c>
      <c r="M7795" s="17">
        <v>6</v>
      </c>
      <c r="N7795" s="17">
        <v>1</v>
      </c>
      <c r="O7795" s="18">
        <v>2280.4299999999998</v>
      </c>
      <c r="P7795" s="18">
        <v>1869.2</v>
      </c>
      <c r="Q7795" s="18">
        <v>2029.58</v>
      </c>
      <c r="R7795" s="18">
        <v>1663.59</v>
      </c>
      <c r="S7795" s="18">
        <v>1550.69</v>
      </c>
      <c r="T7795" s="18">
        <v>1271.06</v>
      </c>
      <c r="U7795" s="16"/>
      <c r="V7795" s="16"/>
      <c r="W7795" s="16" t="s">
        <v>40</v>
      </c>
      <c r="X7795" s="19">
        <v>1.8320000000000001</v>
      </c>
      <c r="Y7795" s="20">
        <v>2.5149999999999999E-3</v>
      </c>
      <c r="Z7795" s="21">
        <v>4660008010041</v>
      </c>
    </row>
    <row r="7796" spans="1:26" ht="12" customHeight="1" outlineLevel="3" x14ac:dyDescent="0.2">
      <c r="A7796" s="14" t="s">
        <v>14898</v>
      </c>
      <c r="B7796" s="26" t="s">
        <v>14899</v>
      </c>
      <c r="C7796" s="52"/>
      <c r="D7796" s="55">
        <f t="shared" si="121"/>
        <v>0</v>
      </c>
      <c r="E7796" s="63" t="str">
        <f>HYPERLINK("https://www.sds-group.ru/product/kabel-akusticheskiy-2h0-75mm-krasno-chernyy-100m-rexant-01-6104-3/", "Инфо")</f>
        <v>Инфо</v>
      </c>
      <c r="F7796" s="16" t="s">
        <v>1887</v>
      </c>
      <c r="G7796" s="15"/>
      <c r="H7796" s="15"/>
      <c r="I7796" s="15"/>
      <c r="J7796" s="17">
        <v>127</v>
      </c>
      <c r="K7796" s="15" t="s">
        <v>6174</v>
      </c>
      <c r="L7796" s="17">
        <v>1</v>
      </c>
      <c r="M7796" s="17">
        <v>6</v>
      </c>
      <c r="N7796" s="17">
        <v>1</v>
      </c>
      <c r="O7796" s="18">
        <v>2943.16</v>
      </c>
      <c r="P7796" s="18">
        <v>2412.4299999999998</v>
      </c>
      <c r="Q7796" s="18">
        <v>2619.41</v>
      </c>
      <c r="R7796" s="18">
        <v>2147.06</v>
      </c>
      <c r="S7796" s="18">
        <v>2001.35</v>
      </c>
      <c r="T7796" s="18">
        <v>1640.45</v>
      </c>
      <c r="U7796" s="16"/>
      <c r="V7796" s="16"/>
      <c r="W7796" s="16" t="s">
        <v>40</v>
      </c>
      <c r="X7796" s="19">
        <v>1.694</v>
      </c>
      <c r="Y7796" s="20">
        <v>2.6189999999999998E-3</v>
      </c>
      <c r="Z7796" s="21">
        <v>4601004027701</v>
      </c>
    </row>
    <row r="7797" spans="1:26" ht="12" customHeight="1" outlineLevel="3" x14ac:dyDescent="0.2">
      <c r="A7797" s="14" t="s">
        <v>14900</v>
      </c>
      <c r="B7797" s="26" t="s">
        <v>14901</v>
      </c>
      <c r="C7797" s="52"/>
      <c r="D7797" s="55">
        <f t="shared" si="121"/>
        <v>0</v>
      </c>
      <c r="E7797" s="63" t="str">
        <f>HYPERLINK("https://www.sds-group.ru/product/kabel-akusticheskiy-2h1-00mm-krasno-chernyy-100m-proconnect-01-6105-6/", "Инфо")</f>
        <v>Инфо</v>
      </c>
      <c r="F7797" s="16" t="s">
        <v>1887</v>
      </c>
      <c r="G7797" s="15"/>
      <c r="H7797" s="15"/>
      <c r="I7797" s="15"/>
      <c r="J7797" s="17">
        <v>188</v>
      </c>
      <c r="K7797" s="15" t="s">
        <v>6174</v>
      </c>
      <c r="L7797" s="17">
        <v>1</v>
      </c>
      <c r="M7797" s="17">
        <v>4</v>
      </c>
      <c r="N7797" s="17">
        <v>1</v>
      </c>
      <c r="O7797" s="18">
        <v>2964.56</v>
      </c>
      <c r="P7797" s="18">
        <v>2429.9699999999998</v>
      </c>
      <c r="Q7797" s="18">
        <v>2638.46</v>
      </c>
      <c r="R7797" s="18">
        <v>2162.67</v>
      </c>
      <c r="S7797" s="18">
        <v>2015.9</v>
      </c>
      <c r="T7797" s="18">
        <v>1652.38</v>
      </c>
      <c r="U7797" s="16"/>
      <c r="V7797" s="16"/>
      <c r="W7797" s="16" t="s">
        <v>40</v>
      </c>
      <c r="X7797" s="19">
        <v>2.2850000000000001</v>
      </c>
      <c r="Y7797" s="20">
        <v>3.2269999999999998E-3</v>
      </c>
      <c r="Z7797" s="21">
        <v>4660008010058</v>
      </c>
    </row>
    <row r="7798" spans="1:26" ht="12" customHeight="1" outlineLevel="3" x14ac:dyDescent="0.2">
      <c r="A7798" s="14" t="s">
        <v>14902</v>
      </c>
      <c r="B7798" s="26" t="s">
        <v>14903</v>
      </c>
      <c r="C7798" s="52"/>
      <c r="D7798" s="55">
        <f t="shared" si="121"/>
        <v>0</v>
      </c>
      <c r="E7798" s="63" t="str">
        <f>HYPERLINK("https://www.sds-group.ru/product/kabel-akusticheskiy-2h1-00mm-krasno-chernyy-100m-rexant-01-6105-3/", "Инфо")</f>
        <v>Инфо</v>
      </c>
      <c r="F7798" s="16" t="s">
        <v>1887</v>
      </c>
      <c r="G7798" s="15"/>
      <c r="H7798" s="15"/>
      <c r="I7798" s="15"/>
      <c r="J7798" s="17">
        <v>113</v>
      </c>
      <c r="K7798" s="15" t="s">
        <v>6174</v>
      </c>
      <c r="L7798" s="17">
        <v>1</v>
      </c>
      <c r="M7798" s="17">
        <v>4</v>
      </c>
      <c r="N7798" s="17">
        <v>1</v>
      </c>
      <c r="O7798" s="18">
        <v>3994.45</v>
      </c>
      <c r="P7798" s="18">
        <v>3274.14</v>
      </c>
      <c r="Q7798" s="18">
        <v>3555.06</v>
      </c>
      <c r="R7798" s="18">
        <v>2913.98</v>
      </c>
      <c r="S7798" s="18">
        <v>2716.23</v>
      </c>
      <c r="T7798" s="18">
        <v>2226.42</v>
      </c>
      <c r="U7798" s="16"/>
      <c r="V7798" s="16"/>
      <c r="W7798" s="16" t="s">
        <v>40</v>
      </c>
      <c r="X7798" s="19">
        <v>2.0249999999999999</v>
      </c>
      <c r="Y7798" s="20">
        <v>3.2000000000000002E-3</v>
      </c>
      <c r="Z7798" s="21">
        <v>4601004027718</v>
      </c>
    </row>
    <row r="7799" spans="1:26" ht="12" customHeight="1" outlineLevel="3" x14ac:dyDescent="0.2">
      <c r="A7799" s="14" t="s">
        <v>14904</v>
      </c>
      <c r="B7799" s="26" t="s">
        <v>14905</v>
      </c>
      <c r="C7799" s="52"/>
      <c r="D7799" s="55">
        <f t="shared" si="121"/>
        <v>0</v>
      </c>
      <c r="E7799" s="63" t="str">
        <f>HYPERLINK("https://www.sds-group.ru/product/kabel-akusticheskiy-2h1-50mm-krasno-chernyy-100m-proconnect-01-6106-6/", "Инфо")</f>
        <v>Инфо</v>
      </c>
      <c r="F7799" s="16" t="s">
        <v>1887</v>
      </c>
      <c r="G7799" s="15"/>
      <c r="H7799" s="15"/>
      <c r="I7799" s="15"/>
      <c r="J7799" s="17">
        <v>944</v>
      </c>
      <c r="K7799" s="15" t="s">
        <v>6174</v>
      </c>
      <c r="L7799" s="17">
        <v>1</v>
      </c>
      <c r="M7799" s="17">
        <v>4</v>
      </c>
      <c r="N7799" s="17">
        <v>1</v>
      </c>
      <c r="O7799" s="18">
        <v>3876.73</v>
      </c>
      <c r="P7799" s="18">
        <v>3177.65</v>
      </c>
      <c r="Q7799" s="18">
        <v>3450.29</v>
      </c>
      <c r="R7799" s="18">
        <v>2828.11</v>
      </c>
      <c r="S7799" s="18">
        <v>2636.18</v>
      </c>
      <c r="T7799" s="18">
        <v>2160.8000000000002</v>
      </c>
      <c r="U7799" s="16"/>
      <c r="V7799" s="16"/>
      <c r="W7799" s="16" t="s">
        <v>40</v>
      </c>
      <c r="X7799" s="19">
        <v>3.0169999999999999</v>
      </c>
      <c r="Y7799" s="20">
        <v>4.0870000000000004E-3</v>
      </c>
      <c r="Z7799" s="21">
        <v>4660008012038</v>
      </c>
    </row>
    <row r="7800" spans="1:26" ht="12" customHeight="1" outlineLevel="3" x14ac:dyDescent="0.2">
      <c r="A7800" s="14" t="s">
        <v>14906</v>
      </c>
      <c r="B7800" s="26" t="s">
        <v>14907</v>
      </c>
      <c r="C7800" s="52"/>
      <c r="D7800" s="55">
        <f t="shared" si="121"/>
        <v>0</v>
      </c>
      <c r="E7800" s="63" t="str">
        <f>HYPERLINK("https://www.sds-group.ru/product/kabel-akusticheskiy-2h1-50mm-krasno-chernyy-100m-rexant-01-6106-3/", "Инфо")</f>
        <v>Инфо</v>
      </c>
      <c r="F7800" s="16" t="s">
        <v>1887</v>
      </c>
      <c r="G7800" s="15"/>
      <c r="H7800" s="15"/>
      <c r="I7800" s="15"/>
      <c r="J7800" s="17">
        <v>92</v>
      </c>
      <c r="K7800" s="15" t="s">
        <v>6174</v>
      </c>
      <c r="L7800" s="17">
        <v>1</v>
      </c>
      <c r="M7800" s="17">
        <v>4</v>
      </c>
      <c r="N7800" s="17">
        <v>1</v>
      </c>
      <c r="O7800" s="18">
        <v>4882.29</v>
      </c>
      <c r="P7800" s="18">
        <v>4001.88</v>
      </c>
      <c r="Q7800" s="18">
        <v>4345.24</v>
      </c>
      <c r="R7800" s="18">
        <v>3561.67</v>
      </c>
      <c r="S7800" s="18">
        <v>3319.96</v>
      </c>
      <c r="T7800" s="18">
        <v>2721.28</v>
      </c>
      <c r="U7800" s="16"/>
      <c r="V7800" s="16"/>
      <c r="W7800" s="16" t="s">
        <v>40</v>
      </c>
      <c r="X7800" s="19">
        <v>2.6720000000000002</v>
      </c>
      <c r="Y7800" s="20">
        <v>4.7499999999999999E-3</v>
      </c>
      <c r="Z7800" s="21">
        <v>4601004027725</v>
      </c>
    </row>
    <row r="7801" spans="1:26" ht="12" customHeight="1" outlineLevel="3" x14ac:dyDescent="0.2">
      <c r="A7801" s="14" t="s">
        <v>14908</v>
      </c>
      <c r="B7801" s="26" t="s">
        <v>14909</v>
      </c>
      <c r="C7801" s="52"/>
      <c r="D7801" s="55">
        <f t="shared" si="121"/>
        <v>0</v>
      </c>
      <c r="E7801" s="63" t="str">
        <f>HYPERLINK("https://www.sds-group.ru/product/kabel-akusticheskiy-2h2-50mm-krasno-chernyy-100m-proconnect-01-6108-6/", "Инфо")</f>
        <v>Инфо</v>
      </c>
      <c r="F7801" s="16" t="s">
        <v>1887</v>
      </c>
      <c r="G7801" s="15"/>
      <c r="H7801" s="15"/>
      <c r="I7801" s="15"/>
      <c r="J7801" s="17">
        <v>22</v>
      </c>
      <c r="K7801" s="15" t="s">
        <v>6174</v>
      </c>
      <c r="L7801" s="17">
        <v>1</v>
      </c>
      <c r="M7801" s="17">
        <v>2</v>
      </c>
      <c r="N7801" s="17">
        <v>1</v>
      </c>
      <c r="O7801" s="18">
        <v>5701.06</v>
      </c>
      <c r="P7801" s="18">
        <v>4673</v>
      </c>
      <c r="Q7801" s="18">
        <v>5073.9399999999996</v>
      </c>
      <c r="R7801" s="18">
        <v>4158.97</v>
      </c>
      <c r="S7801" s="18">
        <v>3876.72</v>
      </c>
      <c r="T7801" s="18">
        <v>3177.64</v>
      </c>
      <c r="U7801" s="16"/>
      <c r="V7801" s="16"/>
      <c r="W7801" s="16" t="s">
        <v>40</v>
      </c>
      <c r="X7801" s="19">
        <v>4.399</v>
      </c>
      <c r="Y7801" s="20">
        <v>6.999E-3</v>
      </c>
      <c r="Z7801" s="21">
        <v>4660008012045</v>
      </c>
    </row>
    <row r="7802" spans="1:26" ht="12" customHeight="1" outlineLevel="3" x14ac:dyDescent="0.2">
      <c r="A7802" s="14" t="s">
        <v>14910</v>
      </c>
      <c r="B7802" s="26" t="s">
        <v>14911</v>
      </c>
      <c r="C7802" s="52"/>
      <c r="D7802" s="55">
        <f t="shared" si="121"/>
        <v>0</v>
      </c>
      <c r="E7802" s="63" t="str">
        <f>HYPERLINK("https://www.sds-group.ru/product/kabel-akusticheskiy-2h2-50mm-krasno-chernyy-100m-rexant-01-6108-3/", "Инфо")</f>
        <v>Инфо</v>
      </c>
      <c r="F7802" s="16" t="s">
        <v>1887</v>
      </c>
      <c r="G7802" s="15"/>
      <c r="H7802" s="15"/>
      <c r="I7802" s="15"/>
      <c r="J7802" s="17">
        <v>99</v>
      </c>
      <c r="K7802" s="15" t="s">
        <v>14912</v>
      </c>
      <c r="L7802" s="17">
        <v>1</v>
      </c>
      <c r="M7802" s="17">
        <v>2</v>
      </c>
      <c r="N7802" s="17">
        <v>1</v>
      </c>
      <c r="O7802" s="18">
        <v>7613.87</v>
      </c>
      <c r="P7802" s="18">
        <v>6240.88</v>
      </c>
      <c r="Q7802" s="18">
        <v>6776.34</v>
      </c>
      <c r="R7802" s="18">
        <v>5554.38</v>
      </c>
      <c r="S7802" s="18">
        <v>5177.43</v>
      </c>
      <c r="T7802" s="18">
        <v>4243.8</v>
      </c>
      <c r="U7802" s="16"/>
      <c r="V7802" s="16"/>
      <c r="W7802" s="16" t="s">
        <v>40</v>
      </c>
      <c r="X7802" s="19">
        <v>4.1079999999999997</v>
      </c>
      <c r="Y7802" s="20">
        <v>7.3239999999999998E-3</v>
      </c>
      <c r="Z7802" s="21">
        <v>4601004027732</v>
      </c>
    </row>
    <row r="7803" spans="1:26" ht="12.95" customHeight="1" outlineLevel="2" x14ac:dyDescent="0.2">
      <c r="A7803" s="76" t="s">
        <v>14913</v>
      </c>
      <c r="B7803" s="76"/>
      <c r="C7803" s="77"/>
      <c r="D7803" s="58"/>
      <c r="E7803" s="68"/>
      <c r="F7803" s="13"/>
      <c r="G7803" s="13"/>
      <c r="H7803" s="13"/>
      <c r="I7803" s="13"/>
      <c r="J7803" s="13"/>
      <c r="K7803" s="13"/>
      <c r="L7803" s="13"/>
      <c r="M7803" s="13"/>
      <c r="N7803" s="13"/>
      <c r="O7803" s="13"/>
      <c r="P7803" s="13"/>
      <c r="Q7803" s="13"/>
      <c r="R7803" s="13"/>
      <c r="S7803" s="13"/>
      <c r="T7803" s="13"/>
      <c r="U7803" s="13"/>
      <c r="V7803" s="13"/>
      <c r="W7803" s="13"/>
      <c r="X7803" s="13"/>
      <c r="Y7803" s="13"/>
      <c r="Z7803" s="13"/>
    </row>
    <row r="7804" spans="1:26" ht="12" customHeight="1" outlineLevel="3" x14ac:dyDescent="0.2">
      <c r="A7804" s="14" t="s">
        <v>14914</v>
      </c>
      <c r="B7804" s="26" t="s">
        <v>14915</v>
      </c>
      <c r="C7804" s="52"/>
      <c r="D7804" s="55">
        <f t="shared" si="121"/>
        <v>0</v>
      </c>
      <c r="E7804" s="63" t="str">
        <f>HYPERLINK("https://www.sds-group.ru/product/kabel-akusticheskiy-2h0-25mm-prozrachnyy-blueline-100m-proconnect-01-6201-6/", "Инфо")</f>
        <v>Инфо</v>
      </c>
      <c r="F7804" s="16" t="s">
        <v>1887</v>
      </c>
      <c r="G7804" s="15"/>
      <c r="H7804" s="15"/>
      <c r="I7804" s="15"/>
      <c r="J7804" s="17">
        <v>89</v>
      </c>
      <c r="K7804" s="15" t="s">
        <v>6174</v>
      </c>
      <c r="L7804" s="17">
        <v>1</v>
      </c>
      <c r="M7804" s="17">
        <v>8</v>
      </c>
      <c r="N7804" s="17">
        <v>1</v>
      </c>
      <c r="O7804" s="18">
        <v>1368.26</v>
      </c>
      <c r="P7804" s="18">
        <v>1121.52</v>
      </c>
      <c r="Q7804" s="18">
        <v>1217.75</v>
      </c>
      <c r="R7804" s="18">
        <v>998.16</v>
      </c>
      <c r="S7804" s="18">
        <v>930.42</v>
      </c>
      <c r="T7804" s="18">
        <v>762.64</v>
      </c>
      <c r="U7804" s="16"/>
      <c r="V7804" s="16"/>
      <c r="W7804" s="16" t="s">
        <v>40</v>
      </c>
      <c r="X7804" s="19">
        <v>0.80400000000000005</v>
      </c>
      <c r="Y7804" s="20">
        <v>1.4630000000000001E-3</v>
      </c>
      <c r="Z7804" s="21">
        <v>4660008010065</v>
      </c>
    </row>
    <row r="7805" spans="1:26" ht="12" customHeight="1" outlineLevel="3" x14ac:dyDescent="0.2">
      <c r="A7805" s="14" t="s">
        <v>14916</v>
      </c>
      <c r="B7805" s="26" t="s">
        <v>14917</v>
      </c>
      <c r="C7805" s="52"/>
      <c r="D7805" s="55">
        <f t="shared" si="121"/>
        <v>0</v>
      </c>
      <c r="E7805" s="63" t="str">
        <f>HYPERLINK("https://www.sds-group.ru/product/kabel-akusticheskiy-2h0-25mm-prozrachnyy-blueline-100m-rexant-01-6201-3/", "Инфо")</f>
        <v>Инфо</v>
      </c>
      <c r="F7805" s="16" t="s">
        <v>1887</v>
      </c>
      <c r="G7805" s="15"/>
      <c r="H7805" s="15"/>
      <c r="I7805" s="15"/>
      <c r="J7805" s="17">
        <v>103</v>
      </c>
      <c r="K7805" s="15"/>
      <c r="L7805" s="17">
        <v>1</v>
      </c>
      <c r="M7805" s="17">
        <v>10</v>
      </c>
      <c r="N7805" s="17">
        <v>1</v>
      </c>
      <c r="O7805" s="18">
        <v>1641.91</v>
      </c>
      <c r="P7805" s="18">
        <v>1345.83</v>
      </c>
      <c r="Q7805" s="18">
        <v>1461.3</v>
      </c>
      <c r="R7805" s="18">
        <v>1197.79</v>
      </c>
      <c r="S7805" s="18">
        <v>1116.5</v>
      </c>
      <c r="T7805" s="18">
        <v>915.16</v>
      </c>
      <c r="U7805" s="16"/>
      <c r="V7805" s="16"/>
      <c r="W7805" s="16" t="s">
        <v>40</v>
      </c>
      <c r="X7805" s="19">
        <v>0.751</v>
      </c>
      <c r="Y7805" s="20">
        <v>1.4339999999999999E-3</v>
      </c>
      <c r="Z7805" s="21">
        <v>4601004027749</v>
      </c>
    </row>
    <row r="7806" spans="1:26" ht="12" customHeight="1" outlineLevel="3" x14ac:dyDescent="0.2">
      <c r="A7806" s="14" t="s">
        <v>14918</v>
      </c>
      <c r="B7806" s="26" t="s">
        <v>14919</v>
      </c>
      <c r="C7806" s="52"/>
      <c r="D7806" s="55">
        <f t="shared" si="121"/>
        <v>0</v>
      </c>
      <c r="E7806" s="63" t="str">
        <f>HYPERLINK("https://www.sds-group.ru/product/kabel-akusticheskiy-2h0-35mm-prozrachnyy-blueline-100m-proconnect-01-6202-6/", "Инфо")</f>
        <v>Инфо</v>
      </c>
      <c r="F7806" s="16" t="s">
        <v>1887</v>
      </c>
      <c r="G7806" s="15"/>
      <c r="H7806" s="15"/>
      <c r="I7806" s="15"/>
      <c r="J7806" s="17">
        <v>751</v>
      </c>
      <c r="K7806" s="15" t="s">
        <v>1272</v>
      </c>
      <c r="L7806" s="17">
        <v>1</v>
      </c>
      <c r="M7806" s="17">
        <v>8</v>
      </c>
      <c r="N7806" s="17">
        <v>1</v>
      </c>
      <c r="O7806" s="18">
        <v>1596.3</v>
      </c>
      <c r="P7806" s="18">
        <v>1308.44</v>
      </c>
      <c r="Q7806" s="18">
        <v>1420.71</v>
      </c>
      <c r="R7806" s="18">
        <v>1164.52</v>
      </c>
      <c r="S7806" s="18">
        <v>1085.48</v>
      </c>
      <c r="T7806" s="18">
        <v>889.74</v>
      </c>
      <c r="U7806" s="16"/>
      <c r="V7806" s="16"/>
      <c r="W7806" s="16" t="s">
        <v>40</v>
      </c>
      <c r="X7806" s="19">
        <v>0.81799999999999995</v>
      </c>
      <c r="Y7806" s="20">
        <v>1.542E-3</v>
      </c>
      <c r="Z7806" s="21">
        <v>4660008010072</v>
      </c>
    </row>
    <row r="7807" spans="1:26" ht="12" customHeight="1" outlineLevel="3" x14ac:dyDescent="0.2">
      <c r="A7807" s="14" t="s">
        <v>14920</v>
      </c>
      <c r="B7807" s="26" t="s">
        <v>14921</v>
      </c>
      <c r="C7807" s="52"/>
      <c r="D7807" s="55">
        <f t="shared" si="121"/>
        <v>0</v>
      </c>
      <c r="E7807" s="63" t="str">
        <f>HYPERLINK("https://www.sds-group.ru/product/kabel-akusticheskiy-2h0-35mm-prozrachnyy-blueline-100m-rexant-01-6202-3/", "Инфо")</f>
        <v>Инфо</v>
      </c>
      <c r="F7807" s="16" t="s">
        <v>1887</v>
      </c>
      <c r="G7807" s="15"/>
      <c r="H7807" s="15"/>
      <c r="I7807" s="15"/>
      <c r="J7807" s="17">
        <v>144</v>
      </c>
      <c r="K7807" s="15" t="s">
        <v>14912</v>
      </c>
      <c r="L7807" s="17">
        <v>1</v>
      </c>
      <c r="M7807" s="17">
        <v>10</v>
      </c>
      <c r="N7807" s="17">
        <v>1</v>
      </c>
      <c r="O7807" s="18">
        <v>1915.56</v>
      </c>
      <c r="P7807" s="18">
        <v>1570.13</v>
      </c>
      <c r="Q7807" s="18">
        <v>1704.85</v>
      </c>
      <c r="R7807" s="18">
        <v>1397.42</v>
      </c>
      <c r="S7807" s="18">
        <v>1302.58</v>
      </c>
      <c r="T7807" s="18">
        <v>1067.69</v>
      </c>
      <c r="U7807" s="16"/>
      <c r="V7807" s="16"/>
      <c r="W7807" s="16" t="s">
        <v>40</v>
      </c>
      <c r="X7807" s="19">
        <v>0.751</v>
      </c>
      <c r="Y7807" s="20">
        <v>1.572E-3</v>
      </c>
      <c r="Z7807" s="21">
        <v>4601004027756</v>
      </c>
    </row>
    <row r="7808" spans="1:26" ht="12" customHeight="1" outlineLevel="3" x14ac:dyDescent="0.2">
      <c r="A7808" s="14" t="s">
        <v>14922</v>
      </c>
      <c r="B7808" s="26" t="s">
        <v>14923</v>
      </c>
      <c r="C7808" s="52"/>
      <c r="D7808" s="55">
        <f t="shared" si="121"/>
        <v>0</v>
      </c>
      <c r="E7808" s="63" t="str">
        <f>HYPERLINK("https://www.sds-group.ru/product/kabel-akusticheskiy-2h0-50mm-prozrachnyy-blueline-100m-proconnect-01-6203-6/", "Инфо")</f>
        <v>Инфо</v>
      </c>
      <c r="F7808" s="16" t="s">
        <v>1887</v>
      </c>
      <c r="G7808" s="15"/>
      <c r="H7808" s="15"/>
      <c r="I7808" s="15"/>
      <c r="J7808" s="17">
        <v>682</v>
      </c>
      <c r="K7808" s="15" t="s">
        <v>14912</v>
      </c>
      <c r="L7808" s="17">
        <v>1</v>
      </c>
      <c r="M7808" s="17">
        <v>8</v>
      </c>
      <c r="N7808" s="17">
        <v>1</v>
      </c>
      <c r="O7808" s="18">
        <v>2166.41</v>
      </c>
      <c r="P7808" s="18">
        <v>1775.75</v>
      </c>
      <c r="Q7808" s="18">
        <v>1928.1</v>
      </c>
      <c r="R7808" s="18">
        <v>1580.41</v>
      </c>
      <c r="S7808" s="18">
        <v>1473.16</v>
      </c>
      <c r="T7808" s="18">
        <v>1207.51</v>
      </c>
      <c r="U7808" s="16"/>
      <c r="V7808" s="16"/>
      <c r="W7808" s="16" t="s">
        <v>40</v>
      </c>
      <c r="X7808" s="19">
        <v>0.96599999999999997</v>
      </c>
      <c r="Y7808" s="20">
        <v>1.8140000000000001E-3</v>
      </c>
      <c r="Z7808" s="21">
        <v>4660008010089</v>
      </c>
    </row>
    <row r="7809" spans="1:26" ht="12" customHeight="1" outlineLevel="3" x14ac:dyDescent="0.2">
      <c r="A7809" s="14" t="s">
        <v>14924</v>
      </c>
      <c r="B7809" s="26" t="s">
        <v>14925</v>
      </c>
      <c r="C7809" s="52"/>
      <c r="D7809" s="55">
        <f t="shared" si="121"/>
        <v>0</v>
      </c>
      <c r="E7809" s="63" t="str">
        <f>HYPERLINK("https://www.sds-group.ru/product/kabel-akusticheskiy-2h0-50mm-prozrachnyy-blueline-100m-rexant-01-6203-3/", "Инфо")</f>
        <v>Инфо</v>
      </c>
      <c r="F7809" s="16" t="s">
        <v>1887</v>
      </c>
      <c r="G7809" s="15"/>
      <c r="H7809" s="15"/>
      <c r="I7809" s="15"/>
      <c r="J7809" s="17">
        <v>10</v>
      </c>
      <c r="K7809" s="15" t="s">
        <v>6174</v>
      </c>
      <c r="L7809" s="17">
        <v>1</v>
      </c>
      <c r="M7809" s="17">
        <v>8</v>
      </c>
      <c r="N7809" s="17">
        <v>1</v>
      </c>
      <c r="O7809" s="18">
        <v>2599.69</v>
      </c>
      <c r="P7809" s="18">
        <v>2130.89</v>
      </c>
      <c r="Q7809" s="18">
        <v>2313.7199999999998</v>
      </c>
      <c r="R7809" s="18">
        <v>1896.49</v>
      </c>
      <c r="S7809" s="18">
        <v>1767.79</v>
      </c>
      <c r="T7809" s="18">
        <v>1449.01</v>
      </c>
      <c r="U7809" s="16"/>
      <c r="V7809" s="16"/>
      <c r="W7809" s="16" t="s">
        <v>40</v>
      </c>
      <c r="X7809" s="19">
        <v>1.0069999999999999</v>
      </c>
      <c r="Y7809" s="20">
        <v>1.91E-3</v>
      </c>
      <c r="Z7809" s="21">
        <v>4601004027763</v>
      </c>
    </row>
    <row r="7810" spans="1:26" ht="12" customHeight="1" outlineLevel="3" x14ac:dyDescent="0.2">
      <c r="A7810" s="14" t="s">
        <v>14926</v>
      </c>
      <c r="B7810" s="26" t="s">
        <v>14927</v>
      </c>
      <c r="C7810" s="52"/>
      <c r="D7810" s="55">
        <f t="shared" si="121"/>
        <v>0</v>
      </c>
      <c r="E7810" s="63" t="str">
        <f>HYPERLINK("https://www.sds-group.ru/product/kabel-akusticheskiy-2h0-75mm-prozrachnyy-blueline-100m-proconnect-01-6204-6/", "Инфо")</f>
        <v>Инфо</v>
      </c>
      <c r="F7810" s="16" t="s">
        <v>1887</v>
      </c>
      <c r="G7810" s="15"/>
      <c r="H7810" s="15"/>
      <c r="I7810" s="15"/>
      <c r="J7810" s="22">
        <v>1400</v>
      </c>
      <c r="K7810" s="15" t="s">
        <v>6174</v>
      </c>
      <c r="L7810" s="17">
        <v>1</v>
      </c>
      <c r="M7810" s="17">
        <v>6</v>
      </c>
      <c r="N7810" s="17">
        <v>1</v>
      </c>
      <c r="O7810" s="18">
        <v>2508.4699999999998</v>
      </c>
      <c r="P7810" s="18">
        <v>2056.12</v>
      </c>
      <c r="Q7810" s="18">
        <v>2232.54</v>
      </c>
      <c r="R7810" s="18">
        <v>1829.95</v>
      </c>
      <c r="S7810" s="18">
        <v>1705.76</v>
      </c>
      <c r="T7810" s="18">
        <v>1398.16</v>
      </c>
      <c r="U7810" s="16"/>
      <c r="V7810" s="16"/>
      <c r="W7810" s="16" t="s">
        <v>40</v>
      </c>
      <c r="X7810" s="19">
        <v>1.43</v>
      </c>
      <c r="Y7810" s="20">
        <v>2.5899999999999999E-3</v>
      </c>
      <c r="Z7810" s="21">
        <v>4660008010096</v>
      </c>
    </row>
    <row r="7811" spans="1:26" ht="12" customHeight="1" outlineLevel="3" x14ac:dyDescent="0.2">
      <c r="A7811" s="14" t="s">
        <v>14928</v>
      </c>
      <c r="B7811" s="26" t="s">
        <v>14929</v>
      </c>
      <c r="C7811" s="52"/>
      <c r="D7811" s="55">
        <f t="shared" si="121"/>
        <v>0</v>
      </c>
      <c r="E7811" s="63" t="str">
        <f>HYPERLINK("https://www.sds-group.ru/product/kabel-akusticheskiy-2h0-75mm-prozrachnyy-blueline-100m-rexant-01-6204-3/", "Инфо")</f>
        <v>Инфо</v>
      </c>
      <c r="F7811" s="16" t="s">
        <v>1887</v>
      </c>
      <c r="G7811" s="15"/>
      <c r="H7811" s="15"/>
      <c r="I7811" s="15"/>
      <c r="J7811" s="17">
        <v>102</v>
      </c>
      <c r="K7811" s="15" t="s">
        <v>6174</v>
      </c>
      <c r="L7811" s="17">
        <v>1</v>
      </c>
      <c r="M7811" s="17">
        <v>6</v>
      </c>
      <c r="N7811" s="17">
        <v>1</v>
      </c>
      <c r="O7811" s="18">
        <v>3108.08</v>
      </c>
      <c r="P7811" s="18">
        <v>2547.61</v>
      </c>
      <c r="Q7811" s="18">
        <v>2766.19</v>
      </c>
      <c r="R7811" s="18">
        <v>2267.37</v>
      </c>
      <c r="S7811" s="18">
        <v>2113.4899999999998</v>
      </c>
      <c r="T7811" s="18">
        <v>1732.37</v>
      </c>
      <c r="U7811" s="16"/>
      <c r="V7811" s="16"/>
      <c r="W7811" s="16" t="s">
        <v>40</v>
      </c>
      <c r="X7811" s="19">
        <v>1.4370000000000001</v>
      </c>
      <c r="Y7811" s="20">
        <v>2.6610000000000002E-3</v>
      </c>
      <c r="Z7811" s="21">
        <v>4601004027770</v>
      </c>
    </row>
    <row r="7812" spans="1:26" ht="12" customHeight="1" outlineLevel="3" x14ac:dyDescent="0.2">
      <c r="A7812" s="14" t="s">
        <v>14930</v>
      </c>
      <c r="B7812" s="26" t="s">
        <v>14931</v>
      </c>
      <c r="C7812" s="52"/>
      <c r="D7812" s="55">
        <f t="shared" si="121"/>
        <v>0</v>
      </c>
      <c r="E7812" s="63" t="str">
        <f>HYPERLINK("https://www.sds-group.ru/product/kabel-akusticheskiy-2h1-00mm-prozrachnyy-blueline-100m-proconnect-01-6205-6/", "Инфо")</f>
        <v>Инфо</v>
      </c>
      <c r="F7812" s="16" t="s">
        <v>1887</v>
      </c>
      <c r="G7812" s="15"/>
      <c r="H7812" s="15"/>
      <c r="I7812" s="15"/>
      <c r="J7812" s="17">
        <v>240</v>
      </c>
      <c r="K7812" s="15" t="s">
        <v>6174</v>
      </c>
      <c r="L7812" s="17">
        <v>1</v>
      </c>
      <c r="M7812" s="17">
        <v>4</v>
      </c>
      <c r="N7812" s="17">
        <v>1</v>
      </c>
      <c r="O7812" s="18">
        <v>3192.6</v>
      </c>
      <c r="P7812" s="18">
        <v>2616.89</v>
      </c>
      <c r="Q7812" s="18">
        <v>2841.41</v>
      </c>
      <c r="R7812" s="18">
        <v>2329.02</v>
      </c>
      <c r="S7812" s="18">
        <v>2170.9699999999998</v>
      </c>
      <c r="T7812" s="18">
        <v>1779.48</v>
      </c>
      <c r="U7812" s="16"/>
      <c r="V7812" s="16"/>
      <c r="W7812" s="16" t="s">
        <v>40</v>
      </c>
      <c r="X7812" s="19">
        <v>1.7709999999999999</v>
      </c>
      <c r="Y7812" s="20">
        <v>2.8670000000000002E-3</v>
      </c>
      <c r="Z7812" s="21">
        <v>4660008010102</v>
      </c>
    </row>
    <row r="7813" spans="1:26" ht="12" customHeight="1" outlineLevel="3" x14ac:dyDescent="0.2">
      <c r="A7813" s="14" t="s">
        <v>14932</v>
      </c>
      <c r="B7813" s="26" t="s">
        <v>14933</v>
      </c>
      <c r="C7813" s="52"/>
      <c r="D7813" s="55">
        <f t="shared" si="121"/>
        <v>0</v>
      </c>
      <c r="E7813" s="63" t="str">
        <f>HYPERLINK("https://www.sds-group.ru/product/kabel-akusticheskiy-2h1-00mm-prozrachnyy-blueline-100m-rexant-01-6205-3/", "Инфо")</f>
        <v>Инфо</v>
      </c>
      <c r="F7813" s="16" t="s">
        <v>1887</v>
      </c>
      <c r="G7813" s="15"/>
      <c r="H7813" s="15"/>
      <c r="I7813" s="15"/>
      <c r="J7813" s="17">
        <v>63</v>
      </c>
      <c r="K7813" s="15" t="s">
        <v>1272</v>
      </c>
      <c r="L7813" s="17">
        <v>1</v>
      </c>
      <c r="M7813" s="17">
        <v>4</v>
      </c>
      <c r="N7813" s="17">
        <v>1</v>
      </c>
      <c r="O7813" s="18">
        <v>3994.45</v>
      </c>
      <c r="P7813" s="18">
        <v>3274.14</v>
      </c>
      <c r="Q7813" s="18">
        <v>3555.06</v>
      </c>
      <c r="R7813" s="18">
        <v>2913.98</v>
      </c>
      <c r="S7813" s="18">
        <v>2716.23</v>
      </c>
      <c r="T7813" s="18">
        <v>2226.42</v>
      </c>
      <c r="U7813" s="16"/>
      <c r="V7813" s="16"/>
      <c r="W7813" s="16" t="s">
        <v>40</v>
      </c>
      <c r="X7813" s="19">
        <v>1.625</v>
      </c>
      <c r="Y7813" s="20">
        <v>3.026E-3</v>
      </c>
      <c r="Z7813" s="21">
        <v>4601004027787</v>
      </c>
    </row>
    <row r="7814" spans="1:26" ht="12" customHeight="1" outlineLevel="3" x14ac:dyDescent="0.2">
      <c r="A7814" s="14" t="s">
        <v>14934</v>
      </c>
      <c r="B7814" s="26" t="s">
        <v>14935</v>
      </c>
      <c r="C7814" s="52"/>
      <c r="D7814" s="55">
        <f t="shared" si="121"/>
        <v>0</v>
      </c>
      <c r="E7814" s="63" t="str">
        <f>HYPERLINK("https://www.sds-group.ru/product/kabel-akusticheskiy-2h1-50mm-prozrachnyy-blueline-100m-proconnect-01-6206-6/", "Инфо")</f>
        <v>Инфо</v>
      </c>
      <c r="F7814" s="16" t="s">
        <v>1887</v>
      </c>
      <c r="G7814" s="15"/>
      <c r="H7814" s="15"/>
      <c r="I7814" s="15"/>
      <c r="J7814" s="17">
        <v>118</v>
      </c>
      <c r="K7814" s="15" t="s">
        <v>6174</v>
      </c>
      <c r="L7814" s="17">
        <v>1</v>
      </c>
      <c r="M7814" s="17">
        <v>4</v>
      </c>
      <c r="N7814" s="17">
        <v>1</v>
      </c>
      <c r="O7814" s="18">
        <v>4332.8100000000004</v>
      </c>
      <c r="P7814" s="18">
        <v>3551.48</v>
      </c>
      <c r="Q7814" s="18">
        <v>3856.2</v>
      </c>
      <c r="R7814" s="18">
        <v>3160.82</v>
      </c>
      <c r="S7814" s="18">
        <v>2946.31</v>
      </c>
      <c r="T7814" s="18">
        <v>2415.0100000000002</v>
      </c>
      <c r="U7814" s="16"/>
      <c r="V7814" s="16"/>
      <c r="W7814" s="16" t="s">
        <v>40</v>
      </c>
      <c r="X7814" s="19">
        <v>2.31</v>
      </c>
      <c r="Y7814" s="20">
        <v>4.0810000000000004E-3</v>
      </c>
      <c r="Z7814" s="21">
        <v>4660008010119</v>
      </c>
    </row>
    <row r="7815" spans="1:26" ht="12" customHeight="1" outlineLevel="3" x14ac:dyDescent="0.2">
      <c r="A7815" s="14" t="s">
        <v>14936</v>
      </c>
      <c r="B7815" s="26" t="s">
        <v>14937</v>
      </c>
      <c r="C7815" s="52"/>
      <c r="D7815" s="55">
        <f t="shared" si="121"/>
        <v>0</v>
      </c>
      <c r="E7815" s="63" t="str">
        <f>HYPERLINK("https://www.sds-group.ru/product/kabel-akusticheskiy-2h1-50mm-prozrachnyy-blueline-100m-rexant-01-6206-3/", "Инфо")</f>
        <v>Инфо</v>
      </c>
      <c r="F7815" s="16" t="s">
        <v>1887</v>
      </c>
      <c r="G7815" s="15"/>
      <c r="H7815" s="15"/>
      <c r="I7815" s="15"/>
      <c r="J7815" s="17">
        <v>208</v>
      </c>
      <c r="K7815" s="15" t="s">
        <v>6174</v>
      </c>
      <c r="L7815" s="17">
        <v>1</v>
      </c>
      <c r="M7815" s="17">
        <v>4</v>
      </c>
      <c r="N7815" s="17">
        <v>1</v>
      </c>
      <c r="O7815" s="18">
        <v>5237.07</v>
      </c>
      <c r="P7815" s="18">
        <v>4292.68</v>
      </c>
      <c r="Q7815" s="18">
        <v>4660.99</v>
      </c>
      <c r="R7815" s="18">
        <v>3820.48</v>
      </c>
      <c r="S7815" s="18">
        <v>3561.21</v>
      </c>
      <c r="T7815" s="18">
        <v>2919.02</v>
      </c>
      <c r="U7815" s="16"/>
      <c r="V7815" s="16"/>
      <c r="W7815" s="16" t="s">
        <v>40</v>
      </c>
      <c r="X7815" s="19">
        <v>2.1970000000000001</v>
      </c>
      <c r="Y7815" s="20">
        <v>4.4190000000000002E-3</v>
      </c>
      <c r="Z7815" s="21">
        <v>4601004027794</v>
      </c>
    </row>
    <row r="7816" spans="1:26" ht="12" customHeight="1" outlineLevel="3" x14ac:dyDescent="0.2">
      <c r="A7816" s="14" t="s">
        <v>14938</v>
      </c>
      <c r="B7816" s="26" t="s">
        <v>14939</v>
      </c>
      <c r="C7816" s="52"/>
      <c r="D7816" s="55">
        <f t="shared" si="121"/>
        <v>0</v>
      </c>
      <c r="E7816" s="63" t="str">
        <f>HYPERLINK("https://www.sds-group.ru/product/kabel-akusticheskiy-2h2-00mm-prozrachnyy-blueline-100m-proconnect-01-6207-6/", "Инфо")</f>
        <v>Инфо</v>
      </c>
      <c r="F7816" s="16" t="s">
        <v>1887</v>
      </c>
      <c r="G7816" s="15"/>
      <c r="H7816" s="15"/>
      <c r="I7816" s="15"/>
      <c r="J7816" s="16" t="s">
        <v>100</v>
      </c>
      <c r="K7816" s="15" t="s">
        <v>7336</v>
      </c>
      <c r="L7816" s="17">
        <v>1</v>
      </c>
      <c r="M7816" s="17">
        <v>4</v>
      </c>
      <c r="N7816" s="17">
        <v>1</v>
      </c>
      <c r="O7816" s="18">
        <v>5587.05</v>
      </c>
      <c r="P7816" s="18">
        <v>4579.55</v>
      </c>
      <c r="Q7816" s="18">
        <v>4972.47</v>
      </c>
      <c r="R7816" s="18">
        <v>4075.8</v>
      </c>
      <c r="S7816" s="18">
        <v>3799.19</v>
      </c>
      <c r="T7816" s="18">
        <v>3114.09</v>
      </c>
      <c r="U7816" s="16"/>
      <c r="V7816" s="16"/>
      <c r="W7816" s="16" t="s">
        <v>40</v>
      </c>
      <c r="X7816" s="19">
        <v>2.891</v>
      </c>
      <c r="Y7816" s="20">
        <v>5.182E-3</v>
      </c>
      <c r="Z7816" s="21">
        <v>4660008010126</v>
      </c>
    </row>
    <row r="7817" spans="1:26" ht="12" customHeight="1" outlineLevel="3" x14ac:dyDescent="0.2">
      <c r="A7817" s="14" t="s">
        <v>14940</v>
      </c>
      <c r="B7817" s="26" t="s">
        <v>14941</v>
      </c>
      <c r="C7817" s="52"/>
      <c r="D7817" s="55">
        <f t="shared" ref="D7817:D7879" si="122">C7817*(O7817-O7817*$G$3)</f>
        <v>0</v>
      </c>
      <c r="E7817" s="63" t="str">
        <f>HYPERLINK("https://www.sds-group.ru/product/kabel-akusticheskiy-2h2-00mm-prozrachnyy-blueline-100m-rexant-01-6207-3/", "Инфо")</f>
        <v>Инфо</v>
      </c>
      <c r="F7817" s="16" t="s">
        <v>1887</v>
      </c>
      <c r="G7817" s="15"/>
      <c r="H7817" s="15"/>
      <c r="I7817" s="15"/>
      <c r="J7817" s="16" t="s">
        <v>100</v>
      </c>
      <c r="K7817" s="15"/>
      <c r="L7817" s="17">
        <v>1</v>
      </c>
      <c r="M7817" s="17">
        <v>4</v>
      </c>
      <c r="N7817" s="17">
        <v>1</v>
      </c>
      <c r="O7817" s="18">
        <v>7466.11</v>
      </c>
      <c r="P7817" s="18">
        <v>6119.76</v>
      </c>
      <c r="Q7817" s="18">
        <v>6644.84</v>
      </c>
      <c r="R7817" s="18">
        <v>5446.59</v>
      </c>
      <c r="S7817" s="18">
        <v>5076.95</v>
      </c>
      <c r="T7817" s="18">
        <v>4161.43</v>
      </c>
      <c r="U7817" s="16"/>
      <c r="V7817" s="16"/>
      <c r="W7817" s="16" t="s">
        <v>40</v>
      </c>
      <c r="X7817" s="19">
        <v>2.9630000000000001</v>
      </c>
      <c r="Y7817" s="20">
        <v>4.8079999999999998E-3</v>
      </c>
      <c r="Z7817" s="21">
        <v>4601004027800</v>
      </c>
    </row>
    <row r="7818" spans="1:26" ht="12" customHeight="1" outlineLevel="3" x14ac:dyDescent="0.2">
      <c r="A7818" s="14" t="s">
        <v>14942</v>
      </c>
      <c r="B7818" s="26" t="s">
        <v>14943</v>
      </c>
      <c r="C7818" s="52"/>
      <c r="D7818" s="55">
        <f t="shared" si="122"/>
        <v>0</v>
      </c>
      <c r="E7818" s="63" t="str">
        <f>HYPERLINK("https://www.sds-group.ru/product/kabel-akusticheskiy-2h2-50mm-prozrachnyy-blueline-100m-proconnect-01-6208-6/", "Инфо")</f>
        <v>Инфо</v>
      </c>
      <c r="F7818" s="16" t="s">
        <v>1887</v>
      </c>
      <c r="G7818" s="15"/>
      <c r="H7818" s="15"/>
      <c r="I7818" s="15"/>
      <c r="J7818" s="17">
        <v>129</v>
      </c>
      <c r="K7818" s="15" t="s">
        <v>6174</v>
      </c>
      <c r="L7818" s="17">
        <v>1</v>
      </c>
      <c r="M7818" s="17">
        <v>2</v>
      </c>
      <c r="N7818" s="17">
        <v>1</v>
      </c>
      <c r="O7818" s="18">
        <v>6613.23</v>
      </c>
      <c r="P7818" s="18">
        <v>5420.68</v>
      </c>
      <c r="Q7818" s="18">
        <v>5885.77</v>
      </c>
      <c r="R7818" s="18">
        <v>4824.3999999999996</v>
      </c>
      <c r="S7818" s="18">
        <v>4497</v>
      </c>
      <c r="T7818" s="18">
        <v>3686.07</v>
      </c>
      <c r="U7818" s="16"/>
      <c r="V7818" s="16"/>
      <c r="W7818" s="16" t="s">
        <v>40</v>
      </c>
      <c r="X7818" s="19">
        <v>3.4510000000000001</v>
      </c>
      <c r="Y7818" s="20">
        <v>6.2760000000000003E-3</v>
      </c>
      <c r="Z7818" s="21">
        <v>4660008010133</v>
      </c>
    </row>
    <row r="7819" spans="1:26" ht="12" customHeight="1" outlineLevel="3" x14ac:dyDescent="0.2">
      <c r="A7819" s="14" t="s">
        <v>14944</v>
      </c>
      <c r="B7819" s="26" t="s">
        <v>14945</v>
      </c>
      <c r="C7819" s="52"/>
      <c r="D7819" s="55">
        <f t="shared" si="122"/>
        <v>0</v>
      </c>
      <c r="E7819" s="63" t="str">
        <f>HYPERLINK("https://www.sds-group.ru/product/kabel-akusticheskiy-2h2-50mm-prozrachnyy-blueline-100m-rexant-01-6208-3/", "Инфо")</f>
        <v>Инфо</v>
      </c>
      <c r="F7819" s="16" t="s">
        <v>1887</v>
      </c>
      <c r="G7819" s="15"/>
      <c r="H7819" s="15"/>
      <c r="I7819" s="15"/>
      <c r="J7819" s="17">
        <v>96</v>
      </c>
      <c r="K7819" s="15" t="s">
        <v>6174</v>
      </c>
      <c r="L7819" s="17">
        <v>1</v>
      </c>
      <c r="M7819" s="17">
        <v>2</v>
      </c>
      <c r="N7819" s="17">
        <v>1</v>
      </c>
      <c r="O7819" s="18">
        <v>7935.89</v>
      </c>
      <c r="P7819" s="18">
        <v>6504.83</v>
      </c>
      <c r="Q7819" s="18">
        <v>7062.94</v>
      </c>
      <c r="R7819" s="18">
        <v>5789.3</v>
      </c>
      <c r="S7819" s="18">
        <v>5396.41</v>
      </c>
      <c r="T7819" s="18">
        <v>4423.29</v>
      </c>
      <c r="U7819" s="16"/>
      <c r="V7819" s="16"/>
      <c r="W7819" s="16" t="s">
        <v>40</v>
      </c>
      <c r="X7819" s="19">
        <v>3.411</v>
      </c>
      <c r="Y7819" s="20">
        <v>6.306E-3</v>
      </c>
      <c r="Z7819" s="21">
        <v>4601004027817</v>
      </c>
    </row>
    <row r="7820" spans="1:26" ht="12" customHeight="1" outlineLevel="3" x14ac:dyDescent="0.2">
      <c r="A7820" s="14" t="s">
        <v>14946</v>
      </c>
      <c r="B7820" s="26" t="s">
        <v>14947</v>
      </c>
      <c r="C7820" s="52"/>
      <c r="D7820" s="55">
        <f t="shared" si="122"/>
        <v>0</v>
      </c>
      <c r="E7820" s="63" t="str">
        <f>HYPERLINK("https://www.sds-group.ru/product/kabel-akusticheskiy-2h4-00mm-prozrachnyy-blueline-100m-proconnect-01-6209-6/", "Инфо")</f>
        <v>Инфо</v>
      </c>
      <c r="F7820" s="16" t="s">
        <v>1887</v>
      </c>
      <c r="G7820" s="15"/>
      <c r="H7820" s="15"/>
      <c r="I7820" s="15"/>
      <c r="J7820" s="17">
        <v>15</v>
      </c>
      <c r="K7820" s="15" t="s">
        <v>14912</v>
      </c>
      <c r="L7820" s="17">
        <v>1</v>
      </c>
      <c r="M7820" s="17">
        <v>1</v>
      </c>
      <c r="N7820" s="17">
        <v>1</v>
      </c>
      <c r="O7820" s="18">
        <v>13279.83</v>
      </c>
      <c r="P7820" s="18">
        <v>10885.11</v>
      </c>
      <c r="Q7820" s="18">
        <v>11819.05</v>
      </c>
      <c r="R7820" s="18">
        <v>9687.75</v>
      </c>
      <c r="S7820" s="18">
        <v>9030.2800000000007</v>
      </c>
      <c r="T7820" s="18">
        <v>7401.87</v>
      </c>
      <c r="U7820" s="16"/>
      <c r="V7820" s="16"/>
      <c r="W7820" s="16" t="s">
        <v>40</v>
      </c>
      <c r="X7820" s="19">
        <v>6.7510000000000003</v>
      </c>
      <c r="Y7820" s="20">
        <v>1.1974E-2</v>
      </c>
      <c r="Z7820" s="21">
        <v>4660008010140</v>
      </c>
    </row>
    <row r="7821" spans="1:26" ht="12" customHeight="1" outlineLevel="3" x14ac:dyDescent="0.2">
      <c r="A7821" s="14" t="s">
        <v>14948</v>
      </c>
      <c r="B7821" s="26" t="s">
        <v>14949</v>
      </c>
      <c r="C7821" s="52"/>
      <c r="D7821" s="55">
        <f t="shared" si="122"/>
        <v>0</v>
      </c>
      <c r="E7821" s="63" t="str">
        <f>HYPERLINK("https://www.sds-group.ru/product/kabel-akusticheskiy-2h4-00mm-prozrachnyy-blueline-100m-rexant-01-6209-3/", "Инфо")</f>
        <v>Инфо</v>
      </c>
      <c r="F7821" s="16" t="s">
        <v>1887</v>
      </c>
      <c r="G7821" s="15"/>
      <c r="H7821" s="15"/>
      <c r="I7821" s="15"/>
      <c r="J7821" s="17">
        <v>68</v>
      </c>
      <c r="K7821" s="15"/>
      <c r="L7821" s="17">
        <v>1</v>
      </c>
      <c r="M7821" s="17">
        <v>1</v>
      </c>
      <c r="N7821" s="17">
        <v>1</v>
      </c>
      <c r="O7821" s="18">
        <v>14566.31</v>
      </c>
      <c r="P7821" s="18">
        <v>11939.6</v>
      </c>
      <c r="Q7821" s="18">
        <v>12964.02</v>
      </c>
      <c r="R7821" s="18">
        <v>10626.25</v>
      </c>
      <c r="S7821" s="18">
        <v>9905.09</v>
      </c>
      <c r="T7821" s="18">
        <v>8118.93</v>
      </c>
      <c r="U7821" s="16"/>
      <c r="V7821" s="16"/>
      <c r="W7821" s="16" t="s">
        <v>40</v>
      </c>
      <c r="X7821" s="19">
        <v>6.6520000000000001</v>
      </c>
      <c r="Y7821" s="20">
        <v>1.23E-2</v>
      </c>
      <c r="Z7821" s="21">
        <v>4601004027824</v>
      </c>
    </row>
    <row r="7822" spans="1:26" ht="12" customHeight="1" outlineLevel="3" x14ac:dyDescent="0.2">
      <c r="A7822" s="14" t="s">
        <v>14950</v>
      </c>
      <c r="B7822" s="26" t="s">
        <v>14951</v>
      </c>
      <c r="C7822" s="52"/>
      <c r="D7822" s="55">
        <f t="shared" si="122"/>
        <v>0</v>
      </c>
      <c r="E7822" s="63" t="str">
        <f>HYPERLINK("https://www.sds-group.ru/product/kabel-akusticheskiy-2h6-00mm-prozrachnyy-blueline-100m-proconnect-01-6210-6/", "Инфо")</f>
        <v>Инфо</v>
      </c>
      <c r="F7822" s="16" t="s">
        <v>1887</v>
      </c>
      <c r="G7822" s="15"/>
      <c r="H7822" s="15"/>
      <c r="I7822" s="15"/>
      <c r="J7822" s="17">
        <v>23</v>
      </c>
      <c r="K7822" s="15"/>
      <c r="L7822" s="17">
        <v>1</v>
      </c>
      <c r="M7822" s="17">
        <v>1</v>
      </c>
      <c r="N7822" s="17">
        <v>1</v>
      </c>
      <c r="O7822" s="18">
        <v>14594.73</v>
      </c>
      <c r="P7822" s="18">
        <v>11962.89</v>
      </c>
      <c r="Q7822" s="18">
        <v>12989.31</v>
      </c>
      <c r="R7822" s="18">
        <v>10646.98</v>
      </c>
      <c r="S7822" s="18">
        <v>9924.42</v>
      </c>
      <c r="T7822" s="18">
        <v>8134.77</v>
      </c>
      <c r="U7822" s="16"/>
      <c r="V7822" s="16"/>
      <c r="W7822" s="16" t="s">
        <v>40</v>
      </c>
      <c r="X7822" s="19">
        <v>9.1120000000000001</v>
      </c>
      <c r="Y7822" s="20">
        <v>1.5696999999999999E-2</v>
      </c>
      <c r="Z7822" s="21">
        <v>4601004013865</v>
      </c>
    </row>
    <row r="7823" spans="1:26" ht="12.95" customHeight="1" outlineLevel="2" x14ac:dyDescent="0.2">
      <c r="A7823" s="76" t="s">
        <v>14952</v>
      </c>
      <c r="B7823" s="76"/>
      <c r="C7823" s="77"/>
      <c r="D7823" s="58"/>
      <c r="E7823" s="68"/>
      <c r="F7823" s="13"/>
      <c r="G7823" s="13"/>
      <c r="H7823" s="13"/>
      <c r="I7823" s="13"/>
      <c r="J7823" s="13"/>
      <c r="K7823" s="13"/>
      <c r="L7823" s="13"/>
      <c r="M7823" s="13"/>
      <c r="N7823" s="13"/>
      <c r="O7823" s="13"/>
      <c r="P7823" s="13"/>
      <c r="Q7823" s="13"/>
      <c r="R7823" s="13"/>
      <c r="S7823" s="13"/>
      <c r="T7823" s="13"/>
      <c r="U7823" s="13"/>
      <c r="V7823" s="13"/>
      <c r="W7823" s="13"/>
      <c r="X7823" s="13"/>
      <c r="Y7823" s="13"/>
      <c r="Z7823" s="13"/>
    </row>
    <row r="7824" spans="1:26" ht="12" customHeight="1" outlineLevel="3" x14ac:dyDescent="0.2">
      <c r="A7824" s="14" t="s">
        <v>14953</v>
      </c>
      <c r="B7824" s="26" t="s">
        <v>14954</v>
      </c>
      <c r="C7824" s="52"/>
      <c r="D7824" s="55">
        <f t="shared" si="122"/>
        <v>0</v>
      </c>
      <c r="E7824" s="63" t="str">
        <f>HYPERLINK("https://www.sds-group.ru/product/kabel-akusticheskiy-2h0-50mm-prozrachnyy-silicon-100m-rexant-01-6303/", "Инфо")</f>
        <v>Инфо</v>
      </c>
      <c r="F7824" s="16" t="s">
        <v>1887</v>
      </c>
      <c r="G7824" s="15"/>
      <c r="H7824" s="15"/>
      <c r="I7824" s="15"/>
      <c r="J7824" s="16" t="s">
        <v>100</v>
      </c>
      <c r="K7824" s="15" t="s">
        <v>6174</v>
      </c>
      <c r="L7824" s="17">
        <v>1</v>
      </c>
      <c r="M7824" s="17">
        <v>8</v>
      </c>
      <c r="N7824" s="17">
        <v>1</v>
      </c>
      <c r="O7824" s="18">
        <v>7885.72</v>
      </c>
      <c r="P7824" s="18">
        <v>6463.7</v>
      </c>
      <c r="Q7824" s="18">
        <v>7018.29</v>
      </c>
      <c r="R7824" s="18">
        <v>5752.7</v>
      </c>
      <c r="S7824" s="18">
        <v>5362.29</v>
      </c>
      <c r="T7824" s="18">
        <v>4395.32</v>
      </c>
      <c r="U7824" s="16"/>
      <c r="V7824" s="16"/>
      <c r="W7824" s="16" t="s">
        <v>40</v>
      </c>
      <c r="X7824" s="19">
        <v>1.613</v>
      </c>
      <c r="Y7824" s="20">
        <v>1.7309999999999999E-3</v>
      </c>
      <c r="Z7824" s="21">
        <v>4660008015923</v>
      </c>
    </row>
    <row r="7825" spans="1:26" ht="12" customHeight="1" outlineLevel="3" x14ac:dyDescent="0.2">
      <c r="A7825" s="14" t="s">
        <v>14955</v>
      </c>
      <c r="B7825" s="26" t="s">
        <v>14956</v>
      </c>
      <c r="C7825" s="52"/>
      <c r="D7825" s="55">
        <f t="shared" si="122"/>
        <v>0</v>
      </c>
      <c r="E7825" s="63" t="str">
        <f>HYPERLINK("https://www.sds-group.ru/product/kabel-akusticheskiy-2h0-75mm-prozrachnyy-silicon-100m-rexant-01-6304/", "Инфо")</f>
        <v>Инфо</v>
      </c>
      <c r="F7825" s="16" t="s">
        <v>1887</v>
      </c>
      <c r="G7825" s="15"/>
      <c r="H7825" s="15"/>
      <c r="I7825" s="15"/>
      <c r="J7825" s="17">
        <v>157</v>
      </c>
      <c r="K7825" s="15"/>
      <c r="L7825" s="17">
        <v>1</v>
      </c>
      <c r="M7825" s="17">
        <v>6</v>
      </c>
      <c r="N7825" s="17">
        <v>1</v>
      </c>
      <c r="O7825" s="18">
        <v>11040.01</v>
      </c>
      <c r="P7825" s="18">
        <v>9049.19</v>
      </c>
      <c r="Q7825" s="18">
        <v>9825.61</v>
      </c>
      <c r="R7825" s="18">
        <v>8053.78</v>
      </c>
      <c r="S7825" s="18">
        <v>7507.21</v>
      </c>
      <c r="T7825" s="18">
        <v>6153.45</v>
      </c>
      <c r="U7825" s="16"/>
      <c r="V7825" s="16"/>
      <c r="W7825" s="16" t="s">
        <v>40</v>
      </c>
      <c r="X7825" s="19">
        <v>2.202</v>
      </c>
      <c r="Y7825" s="20">
        <v>2.5959999999999998E-3</v>
      </c>
      <c r="Z7825" s="21">
        <v>4660008015930</v>
      </c>
    </row>
    <row r="7826" spans="1:26" ht="12" customHeight="1" outlineLevel="3" x14ac:dyDescent="0.2">
      <c r="A7826" s="14" t="s">
        <v>14957</v>
      </c>
      <c r="B7826" s="26" t="s">
        <v>14958</v>
      </c>
      <c r="C7826" s="52"/>
      <c r="D7826" s="55">
        <f t="shared" si="122"/>
        <v>0</v>
      </c>
      <c r="E7826" s="63" t="str">
        <f>HYPERLINK("https://www.sds-group.ru/product/kabel-akusticheskiy-2h1-00mm-prozrachnyy-silicon-100m-rexant-01-6305/", "Инфо")</f>
        <v>Инфо</v>
      </c>
      <c r="F7826" s="16" t="s">
        <v>1887</v>
      </c>
      <c r="G7826" s="15"/>
      <c r="H7826" s="15"/>
      <c r="I7826" s="15"/>
      <c r="J7826" s="17">
        <v>12</v>
      </c>
      <c r="K7826" s="15" t="s">
        <v>1272</v>
      </c>
      <c r="L7826" s="17">
        <v>1</v>
      </c>
      <c r="M7826" s="17">
        <v>4</v>
      </c>
      <c r="N7826" s="17">
        <v>1</v>
      </c>
      <c r="O7826" s="18">
        <v>14644.91</v>
      </c>
      <c r="P7826" s="18">
        <v>12004.02</v>
      </c>
      <c r="Q7826" s="18">
        <v>13033.97</v>
      </c>
      <c r="R7826" s="18">
        <v>10683.58</v>
      </c>
      <c r="S7826" s="18">
        <v>9958.5400000000009</v>
      </c>
      <c r="T7826" s="18">
        <v>8162.74</v>
      </c>
      <c r="U7826" s="16"/>
      <c r="V7826" s="16"/>
      <c r="W7826" s="16" t="s">
        <v>40</v>
      </c>
      <c r="X7826" s="19">
        <v>2.827</v>
      </c>
      <c r="Y7826" s="20">
        <v>3.019E-3</v>
      </c>
      <c r="Z7826" s="21">
        <v>4660008015954</v>
      </c>
    </row>
    <row r="7827" spans="1:26" ht="12" customHeight="1" outlineLevel="3" x14ac:dyDescent="0.2">
      <c r="A7827" s="14" t="s">
        <v>14959</v>
      </c>
      <c r="B7827" s="26" t="s">
        <v>14960</v>
      </c>
      <c r="C7827" s="52"/>
      <c r="D7827" s="55">
        <f t="shared" si="122"/>
        <v>0</v>
      </c>
      <c r="E7827" s="63" t="str">
        <f>HYPERLINK("https://www.sds-group.ru/product/kabel-akusticheskiy-2h1-50mm-prozrachnyy-silicon-100m-rexant-01-6306/", "Инфо")</f>
        <v>Инфо</v>
      </c>
      <c r="F7827" s="16" t="s">
        <v>1887</v>
      </c>
      <c r="G7827" s="15"/>
      <c r="H7827" s="15"/>
      <c r="I7827" s="15"/>
      <c r="J7827" s="17">
        <v>8</v>
      </c>
      <c r="K7827" s="15" t="s">
        <v>1272</v>
      </c>
      <c r="L7827" s="17">
        <v>1</v>
      </c>
      <c r="M7827" s="17">
        <v>4</v>
      </c>
      <c r="N7827" s="17">
        <v>1</v>
      </c>
      <c r="O7827" s="18">
        <v>19151.03</v>
      </c>
      <c r="P7827" s="18">
        <v>15697.57</v>
      </c>
      <c r="Q7827" s="18">
        <v>17044.419999999998</v>
      </c>
      <c r="R7827" s="18">
        <v>13970.84</v>
      </c>
      <c r="S7827" s="18">
        <v>13022.7</v>
      </c>
      <c r="T7827" s="18">
        <v>10674.34</v>
      </c>
      <c r="U7827" s="16"/>
      <c r="V7827" s="16"/>
      <c r="W7827" s="16" t="s">
        <v>40</v>
      </c>
      <c r="X7827" s="19">
        <v>4.0860000000000003</v>
      </c>
      <c r="Y7827" s="20">
        <v>4.5750000000000001E-3</v>
      </c>
      <c r="Z7827" s="21">
        <v>4660008015947</v>
      </c>
    </row>
    <row r="7828" spans="1:26" ht="12" customHeight="1" outlineLevel="3" x14ac:dyDescent="0.2">
      <c r="A7828" s="14" t="s">
        <v>14961</v>
      </c>
      <c r="B7828" s="26" t="s">
        <v>14962</v>
      </c>
      <c r="C7828" s="52"/>
      <c r="D7828" s="55">
        <f t="shared" si="122"/>
        <v>0</v>
      </c>
      <c r="E7828" s="63" t="str">
        <f>HYPERLINK("https://www.sds-group.ru/product/kabel-akusticheskiy-2h2-50mm-prozrachnyy-silicon-100m-rexant-01-6308/", "Инфо")</f>
        <v>Инфо</v>
      </c>
      <c r="F7828" s="16" t="s">
        <v>1887</v>
      </c>
      <c r="G7828" s="15"/>
      <c r="H7828" s="15"/>
      <c r="I7828" s="15"/>
      <c r="J7828" s="17">
        <v>41</v>
      </c>
      <c r="K7828" s="15" t="s">
        <v>1272</v>
      </c>
      <c r="L7828" s="17">
        <v>1</v>
      </c>
      <c r="M7828" s="17">
        <v>2</v>
      </c>
      <c r="N7828" s="17">
        <v>1</v>
      </c>
      <c r="O7828" s="18">
        <v>33795.93</v>
      </c>
      <c r="P7828" s="18">
        <v>27701.58</v>
      </c>
      <c r="Q7828" s="18">
        <v>30078.38</v>
      </c>
      <c r="R7828" s="18">
        <v>24654.41</v>
      </c>
      <c r="S7828" s="18">
        <v>22981.23</v>
      </c>
      <c r="T7828" s="18">
        <v>18837.07</v>
      </c>
      <c r="U7828" s="16"/>
      <c r="V7828" s="16"/>
      <c r="W7828" s="16" t="s">
        <v>40</v>
      </c>
      <c r="X7828" s="19">
        <v>6.6779999999999999</v>
      </c>
      <c r="Y7828" s="20">
        <v>6.202E-3</v>
      </c>
      <c r="Z7828" s="21">
        <v>4660008015978</v>
      </c>
    </row>
    <row r="7829" spans="1:26" ht="12" customHeight="1" outlineLevel="3" x14ac:dyDescent="0.2">
      <c r="A7829" s="14" t="s">
        <v>14963</v>
      </c>
      <c r="B7829" s="26" t="s">
        <v>14964</v>
      </c>
      <c r="C7829" s="52"/>
      <c r="D7829" s="55">
        <f t="shared" si="122"/>
        <v>0</v>
      </c>
      <c r="E7829" s="63" t="str">
        <f>HYPERLINK("https://www.sds-group.ru/product/kabel-akusticheskiy-2h4-00mm-prozrachnyy-silicon-100m-rexant-01-6309/", "Инфо")</f>
        <v>Инфо</v>
      </c>
      <c r="F7829" s="16" t="s">
        <v>1887</v>
      </c>
      <c r="G7829" s="15"/>
      <c r="H7829" s="15"/>
      <c r="I7829" s="15"/>
      <c r="J7829" s="17">
        <v>2</v>
      </c>
      <c r="K7829" s="15"/>
      <c r="L7829" s="17">
        <v>1</v>
      </c>
      <c r="M7829" s="17">
        <v>1</v>
      </c>
      <c r="N7829" s="17">
        <v>1</v>
      </c>
      <c r="O7829" s="18">
        <v>49567.360000000001</v>
      </c>
      <c r="P7829" s="18">
        <v>40628.980000000003</v>
      </c>
      <c r="Q7829" s="18">
        <v>44114.95</v>
      </c>
      <c r="R7829" s="18">
        <v>36159.800000000003</v>
      </c>
      <c r="S7829" s="18">
        <v>33705.800000000003</v>
      </c>
      <c r="T7829" s="18">
        <v>27627.7</v>
      </c>
      <c r="U7829" s="16"/>
      <c r="V7829" s="16"/>
      <c r="W7829" s="16" t="s">
        <v>40</v>
      </c>
      <c r="X7829" s="19">
        <v>10.487</v>
      </c>
      <c r="Y7829" s="20">
        <v>1.0145E-2</v>
      </c>
      <c r="Z7829" s="21">
        <v>4660008015985</v>
      </c>
    </row>
    <row r="7830" spans="1:26" ht="12.95" customHeight="1" outlineLevel="2" x14ac:dyDescent="0.2">
      <c r="A7830" s="76" t="s">
        <v>14965</v>
      </c>
      <c r="B7830" s="76"/>
      <c r="C7830" s="77"/>
      <c r="D7830" s="58"/>
      <c r="E7830" s="68"/>
      <c r="F7830" s="13"/>
      <c r="G7830" s="13"/>
      <c r="H7830" s="13"/>
      <c r="I7830" s="13"/>
      <c r="J7830" s="13"/>
      <c r="K7830" s="13"/>
      <c r="L7830" s="13"/>
      <c r="M7830" s="13"/>
      <c r="N7830" s="13"/>
      <c r="O7830" s="13"/>
      <c r="P7830" s="13"/>
      <c r="Q7830" s="13"/>
      <c r="R7830" s="13"/>
      <c r="S7830" s="13"/>
      <c r="T7830" s="13"/>
      <c r="U7830" s="13"/>
      <c r="V7830" s="13"/>
      <c r="W7830" s="13"/>
      <c r="X7830" s="13"/>
      <c r="Y7830" s="13"/>
      <c r="Z7830" s="13"/>
    </row>
    <row r="7831" spans="1:26" ht="12" customHeight="1" outlineLevel="3" x14ac:dyDescent="0.2">
      <c r="A7831" s="14" t="s">
        <v>14966</v>
      </c>
      <c r="B7831" s="26" t="s">
        <v>14967</v>
      </c>
      <c r="C7831" s="52"/>
      <c r="D7831" s="55">
        <f t="shared" si="122"/>
        <v>0</v>
      </c>
      <c r="E7831" s="63" t="str">
        <f>HYPERLINK("https://www.sds-group.ru/product/kabel-akusticheskiy-2h0-25mm-krasno-chernyy-mini-buhta-10m-rexant-01-6101-3-10/", "Инфо")</f>
        <v>Инфо</v>
      </c>
      <c r="F7831" s="16" t="s">
        <v>39</v>
      </c>
      <c r="G7831" s="15"/>
      <c r="H7831" s="15"/>
      <c r="I7831" s="15"/>
      <c r="J7831" s="17">
        <v>75</v>
      </c>
      <c r="K7831" s="15" t="s">
        <v>7336</v>
      </c>
      <c r="L7831" s="17">
        <v>5</v>
      </c>
      <c r="M7831" s="17">
        <v>120</v>
      </c>
      <c r="N7831" s="17">
        <v>5</v>
      </c>
      <c r="O7831" s="18">
        <v>313.14999999999998</v>
      </c>
      <c r="P7831" s="18">
        <v>256.68</v>
      </c>
      <c r="Q7831" s="18">
        <v>219.21</v>
      </c>
      <c r="R7831" s="18">
        <v>179.68</v>
      </c>
      <c r="S7831" s="18">
        <v>212.94</v>
      </c>
      <c r="T7831" s="18">
        <v>174.54</v>
      </c>
      <c r="U7831" s="16"/>
      <c r="V7831" s="16"/>
      <c r="W7831" s="16"/>
      <c r="X7831" s="19">
        <v>9.4E-2</v>
      </c>
      <c r="Y7831" s="20">
        <v>4.1800000000000002E-4</v>
      </c>
      <c r="Z7831" s="21">
        <v>4601004069480</v>
      </c>
    </row>
    <row r="7832" spans="1:26" ht="12" customHeight="1" outlineLevel="3" x14ac:dyDescent="0.2">
      <c r="A7832" s="14" t="s">
        <v>14968</v>
      </c>
      <c r="B7832" s="26" t="s">
        <v>14969</v>
      </c>
      <c r="C7832" s="52"/>
      <c r="D7832" s="55">
        <f t="shared" si="122"/>
        <v>0</v>
      </c>
      <c r="E7832" s="63" t="str">
        <f>HYPERLINK("https://www.sds-group.ru/product/kabel-akusticheskiy-2h0-25mm-krasno-chernyy-mini-buhta-20m-rexant-01-6101-3-20/", "Инфо")</f>
        <v>Инфо</v>
      </c>
      <c r="F7832" s="16" t="s">
        <v>39</v>
      </c>
      <c r="G7832" s="15"/>
      <c r="H7832" s="15"/>
      <c r="I7832" s="15"/>
      <c r="J7832" s="16" t="s">
        <v>100</v>
      </c>
      <c r="K7832" s="15" t="s">
        <v>6174</v>
      </c>
      <c r="L7832" s="17">
        <v>5</v>
      </c>
      <c r="M7832" s="17">
        <v>70</v>
      </c>
      <c r="N7832" s="17">
        <v>5</v>
      </c>
      <c r="O7832" s="18">
        <v>478.36</v>
      </c>
      <c r="P7832" s="18">
        <v>392.1</v>
      </c>
      <c r="Q7832" s="18">
        <v>334.85</v>
      </c>
      <c r="R7832" s="18">
        <v>274.47000000000003</v>
      </c>
      <c r="S7832" s="18">
        <v>325.27999999999997</v>
      </c>
      <c r="T7832" s="18">
        <v>266.62</v>
      </c>
      <c r="U7832" s="16"/>
      <c r="V7832" s="16"/>
      <c r="W7832" s="16"/>
      <c r="X7832" s="19">
        <v>0.184</v>
      </c>
      <c r="Y7832" s="20">
        <v>7.2999999999999996E-4</v>
      </c>
      <c r="Z7832" s="21">
        <v>4601004069572</v>
      </c>
    </row>
    <row r="7833" spans="1:26" ht="12" customHeight="1" outlineLevel="3" x14ac:dyDescent="0.2">
      <c r="A7833" s="32" t="s">
        <v>14970</v>
      </c>
      <c r="B7833" s="74" t="s">
        <v>14971</v>
      </c>
      <c r="C7833" s="50"/>
      <c r="D7833" s="53">
        <f t="shared" si="122"/>
        <v>0</v>
      </c>
      <c r="E7833" s="60" t="str">
        <f>HYPERLINK("https://www.sds-group.ru/product/kabel-akusticheskiy-2h0-25mm-krasno-chernyy-mini-buhta-5m-rexant-01-6101-3-05/", "Инфо")</f>
        <v>Инфо</v>
      </c>
      <c r="F7833" s="34" t="s">
        <v>39</v>
      </c>
      <c r="G7833" s="33"/>
      <c r="H7833" s="33" t="s">
        <v>40</v>
      </c>
      <c r="I7833" s="33"/>
      <c r="J7833" s="39">
        <v>1092</v>
      </c>
      <c r="K7833" s="33"/>
      <c r="L7833" s="35">
        <v>5</v>
      </c>
      <c r="M7833" s="35">
        <v>100</v>
      </c>
      <c r="N7833" s="35">
        <v>5</v>
      </c>
      <c r="O7833" s="36">
        <v>222.47</v>
      </c>
      <c r="P7833" s="36">
        <v>182.35</v>
      </c>
      <c r="Q7833" s="36">
        <v>155.72999999999999</v>
      </c>
      <c r="R7833" s="36">
        <v>127.65</v>
      </c>
      <c r="S7833" s="36">
        <v>151.28</v>
      </c>
      <c r="T7833" s="36">
        <v>124</v>
      </c>
      <c r="U7833" s="34"/>
      <c r="V7833" s="34"/>
      <c r="W7833" s="34"/>
      <c r="X7833" s="37">
        <v>5.3999999999999999E-2</v>
      </c>
      <c r="Y7833" s="38">
        <v>3.2000000000000003E-4</v>
      </c>
      <c r="Z7833" s="21">
        <v>4601004069657</v>
      </c>
    </row>
    <row r="7834" spans="1:26" ht="12" customHeight="1" outlineLevel="3" x14ac:dyDescent="0.2">
      <c r="A7834" s="14" t="s">
        <v>14972</v>
      </c>
      <c r="B7834" s="26" t="s">
        <v>14973</v>
      </c>
      <c r="C7834" s="52"/>
      <c r="D7834" s="55">
        <f t="shared" si="122"/>
        <v>0</v>
      </c>
      <c r="E7834" s="63" t="str">
        <f>HYPERLINK("https://www.sds-group.ru/product/kabel-akusticheskiy-2h0-35mm-krasno-chernyy-mini-buhta-10m-rexant-01-6102-3-10/", "Инфо")</f>
        <v>Инфо</v>
      </c>
      <c r="F7834" s="16" t="s">
        <v>39</v>
      </c>
      <c r="G7834" s="15"/>
      <c r="H7834" s="15"/>
      <c r="I7834" s="15"/>
      <c r="J7834" s="17">
        <v>50</v>
      </c>
      <c r="K7834" s="15" t="s">
        <v>6174</v>
      </c>
      <c r="L7834" s="17">
        <v>5</v>
      </c>
      <c r="M7834" s="17">
        <v>110</v>
      </c>
      <c r="N7834" s="17">
        <v>5</v>
      </c>
      <c r="O7834" s="18">
        <v>300.3</v>
      </c>
      <c r="P7834" s="18">
        <v>246.15</v>
      </c>
      <c r="Q7834" s="18">
        <v>210.21</v>
      </c>
      <c r="R7834" s="18">
        <v>172.3</v>
      </c>
      <c r="S7834" s="18">
        <v>204.2</v>
      </c>
      <c r="T7834" s="18">
        <v>167.38</v>
      </c>
      <c r="U7834" s="16"/>
      <c r="V7834" s="16"/>
      <c r="W7834" s="16"/>
      <c r="X7834" s="19">
        <v>9.7000000000000003E-2</v>
      </c>
      <c r="Y7834" s="20">
        <v>4.26E-4</v>
      </c>
      <c r="Z7834" s="21">
        <v>4601004069503</v>
      </c>
    </row>
    <row r="7835" spans="1:26" ht="12" customHeight="1" outlineLevel="3" x14ac:dyDescent="0.2">
      <c r="A7835" s="14" t="s">
        <v>14974</v>
      </c>
      <c r="B7835" s="26" t="s">
        <v>14975</v>
      </c>
      <c r="C7835" s="52"/>
      <c r="D7835" s="55">
        <f t="shared" si="122"/>
        <v>0</v>
      </c>
      <c r="E7835" s="63" t="str">
        <f>HYPERLINK("https://www.sds-group.ru/product/kabel-akusticheskiy-2h0-35mm-krasno-chernyy-mini-buhta-20m-rexant-01-6102-3-20/", "Инфо")</f>
        <v>Инфо</v>
      </c>
      <c r="F7835" s="16" t="s">
        <v>39</v>
      </c>
      <c r="G7835" s="15"/>
      <c r="H7835" s="15"/>
      <c r="I7835" s="15"/>
      <c r="J7835" s="17">
        <v>438</v>
      </c>
      <c r="K7835" s="15"/>
      <c r="L7835" s="17">
        <v>5</v>
      </c>
      <c r="M7835" s="17">
        <v>80</v>
      </c>
      <c r="N7835" s="17">
        <v>5</v>
      </c>
      <c r="O7835" s="18">
        <v>572.09</v>
      </c>
      <c r="P7835" s="18">
        <v>468.93</v>
      </c>
      <c r="Q7835" s="18">
        <v>400.46</v>
      </c>
      <c r="R7835" s="18">
        <v>328.25</v>
      </c>
      <c r="S7835" s="18">
        <v>389.02</v>
      </c>
      <c r="T7835" s="18">
        <v>318.87</v>
      </c>
      <c r="U7835" s="16"/>
      <c r="V7835" s="16"/>
      <c r="W7835" s="16"/>
      <c r="X7835" s="19">
        <v>0.17899999999999999</v>
      </c>
      <c r="Y7835" s="20">
        <v>6.0899999999999995E-4</v>
      </c>
      <c r="Z7835" s="21">
        <v>4601004069589</v>
      </c>
    </row>
    <row r="7836" spans="1:26" ht="12" customHeight="1" outlineLevel="3" x14ac:dyDescent="0.2">
      <c r="A7836" s="32" t="s">
        <v>14976</v>
      </c>
      <c r="B7836" s="74" t="s">
        <v>14977</v>
      </c>
      <c r="C7836" s="50"/>
      <c r="D7836" s="53">
        <f t="shared" si="122"/>
        <v>0</v>
      </c>
      <c r="E7836" s="60" t="str">
        <f>HYPERLINK("https://www.sds-group.ru/product/kabel-akusticheskiy-2h0-35mm-krasno-chernyy-mini-buhta-5m-rexant-01-6102-3-05/", "Инфо")</f>
        <v>Инфо</v>
      </c>
      <c r="F7836" s="34" t="s">
        <v>39</v>
      </c>
      <c r="G7836" s="33"/>
      <c r="H7836" s="33" t="s">
        <v>40</v>
      </c>
      <c r="I7836" s="33"/>
      <c r="J7836" s="35">
        <v>3</v>
      </c>
      <c r="K7836" s="33" t="s">
        <v>6174</v>
      </c>
      <c r="L7836" s="35">
        <v>5</v>
      </c>
      <c r="M7836" s="35">
        <v>100</v>
      </c>
      <c r="N7836" s="35">
        <v>5</v>
      </c>
      <c r="O7836" s="36">
        <v>177.9</v>
      </c>
      <c r="P7836" s="36">
        <v>145.82</v>
      </c>
      <c r="Q7836" s="36">
        <v>124.53</v>
      </c>
      <c r="R7836" s="36">
        <v>102.07</v>
      </c>
      <c r="S7836" s="36">
        <v>120.97</v>
      </c>
      <c r="T7836" s="36">
        <v>99.16</v>
      </c>
      <c r="U7836" s="34"/>
      <c r="V7836" s="34"/>
      <c r="W7836" s="34"/>
      <c r="X7836" s="37">
        <v>5.7000000000000002E-2</v>
      </c>
      <c r="Y7836" s="38">
        <v>3.5100000000000002E-4</v>
      </c>
      <c r="Z7836" s="21">
        <v>4601004069398</v>
      </c>
    </row>
    <row r="7837" spans="1:26" ht="12" customHeight="1" outlineLevel="3" x14ac:dyDescent="0.2">
      <c r="A7837" s="14" t="s">
        <v>14978</v>
      </c>
      <c r="B7837" s="26" t="s">
        <v>14979</v>
      </c>
      <c r="C7837" s="52"/>
      <c r="D7837" s="55">
        <f t="shared" si="122"/>
        <v>0</v>
      </c>
      <c r="E7837" s="63" t="str">
        <f>HYPERLINK("https://www.sds-group.ru/product/kabel-akusticheskiy-2h0-50mm-krasno-chernyy-mini-buhta-10m-rexant-01-6103-3-10/", "Инфо")</f>
        <v>Инфо</v>
      </c>
      <c r="F7837" s="16" t="s">
        <v>39</v>
      </c>
      <c r="G7837" s="15"/>
      <c r="H7837" s="15"/>
      <c r="I7837" s="15"/>
      <c r="J7837" s="17">
        <v>160</v>
      </c>
      <c r="K7837" s="15" t="s">
        <v>7336</v>
      </c>
      <c r="L7837" s="17">
        <v>5</v>
      </c>
      <c r="M7837" s="17">
        <v>100</v>
      </c>
      <c r="N7837" s="17">
        <v>5</v>
      </c>
      <c r="O7837" s="18">
        <v>403.79</v>
      </c>
      <c r="P7837" s="18">
        <v>330.98</v>
      </c>
      <c r="Q7837" s="18">
        <v>282.64999999999998</v>
      </c>
      <c r="R7837" s="18">
        <v>231.68</v>
      </c>
      <c r="S7837" s="18">
        <v>274.58</v>
      </c>
      <c r="T7837" s="18">
        <v>225.07</v>
      </c>
      <c r="U7837" s="16"/>
      <c r="V7837" s="16"/>
      <c r="W7837" s="16"/>
      <c r="X7837" s="19">
        <v>0.13100000000000001</v>
      </c>
      <c r="Y7837" s="20">
        <v>4.95E-4</v>
      </c>
      <c r="Z7837" s="21">
        <v>4601004069510</v>
      </c>
    </row>
    <row r="7838" spans="1:26" ht="12" customHeight="1" outlineLevel="3" x14ac:dyDescent="0.2">
      <c r="A7838" s="14" t="s">
        <v>14980</v>
      </c>
      <c r="B7838" s="26" t="s">
        <v>14981</v>
      </c>
      <c r="C7838" s="52"/>
      <c r="D7838" s="55">
        <f t="shared" si="122"/>
        <v>0</v>
      </c>
      <c r="E7838" s="63" t="str">
        <f>HYPERLINK("https://www.sds-group.ru/product/kabel-akusticheskiy-2h0-50mm-krasno-chernyy-mini-buhta-20m-rexant-01-6103-3-20/", "Инфо")</f>
        <v>Инфо</v>
      </c>
      <c r="F7838" s="16" t="s">
        <v>39</v>
      </c>
      <c r="G7838" s="15"/>
      <c r="H7838" s="15"/>
      <c r="I7838" s="15"/>
      <c r="J7838" s="17">
        <v>10</v>
      </c>
      <c r="K7838" s="15" t="s">
        <v>1272</v>
      </c>
      <c r="L7838" s="17">
        <v>5</v>
      </c>
      <c r="M7838" s="17">
        <v>60</v>
      </c>
      <c r="N7838" s="17">
        <v>5</v>
      </c>
      <c r="O7838" s="18">
        <v>664.2</v>
      </c>
      <c r="P7838" s="18">
        <v>544.42999999999995</v>
      </c>
      <c r="Q7838" s="18">
        <v>464.94</v>
      </c>
      <c r="R7838" s="18">
        <v>381.1</v>
      </c>
      <c r="S7838" s="18">
        <v>451.66</v>
      </c>
      <c r="T7838" s="18">
        <v>370.21</v>
      </c>
      <c r="U7838" s="16"/>
      <c r="V7838" s="16"/>
      <c r="W7838" s="16"/>
      <c r="X7838" s="19">
        <v>0.216</v>
      </c>
      <c r="Y7838" s="20">
        <v>7.8700000000000005E-4</v>
      </c>
      <c r="Z7838" s="21">
        <v>4601004069596</v>
      </c>
    </row>
    <row r="7839" spans="1:26" ht="12" customHeight="1" outlineLevel="3" x14ac:dyDescent="0.2">
      <c r="A7839" s="14" t="s">
        <v>14982</v>
      </c>
      <c r="B7839" s="26" t="s">
        <v>14983</v>
      </c>
      <c r="C7839" s="52"/>
      <c r="D7839" s="55">
        <f t="shared" si="122"/>
        <v>0</v>
      </c>
      <c r="E7839" s="63" t="str">
        <f>HYPERLINK("https://www.sds-group.ru/product/kabel-akusticheskiy-2h0-50mm-krasno-chernyy-mini-buhta-5m-rexant-01-6103-3-05/", "Инфо")</f>
        <v>Инфо</v>
      </c>
      <c r="F7839" s="16" t="s">
        <v>39</v>
      </c>
      <c r="G7839" s="15"/>
      <c r="H7839" s="15"/>
      <c r="I7839" s="15"/>
      <c r="J7839" s="17">
        <v>214</v>
      </c>
      <c r="K7839" s="15" t="s">
        <v>6174</v>
      </c>
      <c r="L7839" s="17">
        <v>5</v>
      </c>
      <c r="M7839" s="17">
        <v>100</v>
      </c>
      <c r="N7839" s="17">
        <v>5</v>
      </c>
      <c r="O7839" s="18">
        <v>246.98</v>
      </c>
      <c r="P7839" s="18">
        <v>202.44</v>
      </c>
      <c r="Q7839" s="18">
        <v>172.89</v>
      </c>
      <c r="R7839" s="18">
        <v>141.71</v>
      </c>
      <c r="S7839" s="18">
        <v>167.95</v>
      </c>
      <c r="T7839" s="18">
        <v>137.66</v>
      </c>
      <c r="U7839" s="16"/>
      <c r="V7839" s="16"/>
      <c r="W7839" s="16"/>
      <c r="X7839" s="19">
        <v>6.3E-2</v>
      </c>
      <c r="Y7839" s="20">
        <v>3.4400000000000001E-4</v>
      </c>
      <c r="Z7839" s="21">
        <v>4601004069404</v>
      </c>
    </row>
    <row r="7840" spans="1:26" ht="12" customHeight="1" outlineLevel="3" x14ac:dyDescent="0.2">
      <c r="A7840" s="14" t="s">
        <v>14984</v>
      </c>
      <c r="B7840" s="26" t="s">
        <v>14985</v>
      </c>
      <c r="C7840" s="52"/>
      <c r="D7840" s="55">
        <f t="shared" si="122"/>
        <v>0</v>
      </c>
      <c r="E7840" s="63" t="str">
        <f>HYPERLINK("https://www.sds-group.ru/product/kabel-akusticheskiy-2h0-75mm-krasno-chernyy-mini-buhta-10m-rexant-01-6104-3-10/", "Инфо")</f>
        <v>Инфо</v>
      </c>
      <c r="F7840" s="16" t="s">
        <v>39</v>
      </c>
      <c r="G7840" s="15"/>
      <c r="H7840" s="15"/>
      <c r="I7840" s="15"/>
      <c r="J7840" s="17">
        <v>242</v>
      </c>
      <c r="K7840" s="15" t="s">
        <v>6174</v>
      </c>
      <c r="L7840" s="17">
        <v>5</v>
      </c>
      <c r="M7840" s="17">
        <v>100</v>
      </c>
      <c r="N7840" s="17">
        <v>5</v>
      </c>
      <c r="O7840" s="18">
        <v>459.16</v>
      </c>
      <c r="P7840" s="18">
        <v>376.36</v>
      </c>
      <c r="Q7840" s="18">
        <v>321.41000000000003</v>
      </c>
      <c r="R7840" s="18">
        <v>263.45</v>
      </c>
      <c r="S7840" s="18">
        <v>312.23</v>
      </c>
      <c r="T7840" s="18">
        <v>255.93</v>
      </c>
      <c r="U7840" s="16"/>
      <c r="V7840" s="16"/>
      <c r="W7840" s="16"/>
      <c r="X7840" s="19">
        <v>0.151</v>
      </c>
      <c r="Y7840" s="20">
        <v>4.75E-4</v>
      </c>
      <c r="Z7840" s="21">
        <v>4601004069527</v>
      </c>
    </row>
    <row r="7841" spans="1:26" ht="12" customHeight="1" outlineLevel="3" x14ac:dyDescent="0.2">
      <c r="A7841" s="14" t="s">
        <v>14986</v>
      </c>
      <c r="B7841" s="26" t="s">
        <v>14987</v>
      </c>
      <c r="C7841" s="52"/>
      <c r="D7841" s="55">
        <f t="shared" si="122"/>
        <v>0</v>
      </c>
      <c r="E7841" s="63" t="str">
        <f>HYPERLINK("https://www.sds-group.ru/product/kabel-akusticheskiy-2h0-75mm-krasno-chernyy-mini-buhta-20m-rexant-01-6104-3-20/", "Инфо")</f>
        <v>Инфо</v>
      </c>
      <c r="F7841" s="16" t="s">
        <v>39</v>
      </c>
      <c r="G7841" s="15"/>
      <c r="H7841" s="15"/>
      <c r="I7841" s="15"/>
      <c r="J7841" s="17">
        <v>89</v>
      </c>
      <c r="K7841" s="15" t="s">
        <v>6174</v>
      </c>
      <c r="L7841" s="17">
        <v>5</v>
      </c>
      <c r="M7841" s="17">
        <v>50</v>
      </c>
      <c r="N7841" s="17">
        <v>5</v>
      </c>
      <c r="O7841" s="18">
        <v>766.17</v>
      </c>
      <c r="P7841" s="18">
        <v>628.01</v>
      </c>
      <c r="Q7841" s="18">
        <v>536.32000000000005</v>
      </c>
      <c r="R7841" s="18">
        <v>439.61</v>
      </c>
      <c r="S7841" s="18">
        <v>521</v>
      </c>
      <c r="T7841" s="18">
        <v>427.05</v>
      </c>
      <c r="U7841" s="16"/>
      <c r="V7841" s="16"/>
      <c r="W7841" s="16"/>
      <c r="X7841" s="19">
        <v>0.32500000000000001</v>
      </c>
      <c r="Y7841" s="20">
        <v>8.9999999999999998E-4</v>
      </c>
      <c r="Z7841" s="21">
        <v>4601004069602</v>
      </c>
    </row>
    <row r="7842" spans="1:26" ht="12" customHeight="1" outlineLevel="3" x14ac:dyDescent="0.2">
      <c r="A7842" s="14" t="s">
        <v>14988</v>
      </c>
      <c r="B7842" s="26" t="s">
        <v>14989</v>
      </c>
      <c r="C7842" s="52"/>
      <c r="D7842" s="55">
        <f t="shared" si="122"/>
        <v>0</v>
      </c>
      <c r="E7842" s="63" t="str">
        <f>HYPERLINK("https://www.sds-group.ru/product/kabel-akusticheskiy-2h0-75mm-krasno-chernyy-mini-buhta-5m-rexant-01-6104-3-05/", "Инфо")</f>
        <v>Инфо</v>
      </c>
      <c r="F7842" s="16" t="s">
        <v>39</v>
      </c>
      <c r="G7842" s="15"/>
      <c r="H7842" s="15"/>
      <c r="I7842" s="15"/>
      <c r="J7842" s="17">
        <v>259</v>
      </c>
      <c r="K7842" s="15" t="s">
        <v>6174</v>
      </c>
      <c r="L7842" s="17">
        <v>5</v>
      </c>
      <c r="M7842" s="17">
        <v>90</v>
      </c>
      <c r="N7842" s="17">
        <v>5</v>
      </c>
      <c r="O7842" s="18">
        <v>254.67</v>
      </c>
      <c r="P7842" s="18">
        <v>208.75</v>
      </c>
      <c r="Q7842" s="18">
        <v>178.27</v>
      </c>
      <c r="R7842" s="18">
        <v>146.12</v>
      </c>
      <c r="S7842" s="18">
        <v>173.18</v>
      </c>
      <c r="T7842" s="18">
        <v>141.94999999999999</v>
      </c>
      <c r="U7842" s="16"/>
      <c r="V7842" s="16"/>
      <c r="W7842" s="16"/>
      <c r="X7842" s="19">
        <v>9.0999999999999998E-2</v>
      </c>
      <c r="Y7842" s="20">
        <v>3.7800000000000003E-4</v>
      </c>
      <c r="Z7842" s="21">
        <v>4601004069428</v>
      </c>
    </row>
    <row r="7843" spans="1:26" ht="12" customHeight="1" outlineLevel="3" x14ac:dyDescent="0.2">
      <c r="A7843" s="14" t="s">
        <v>14990</v>
      </c>
      <c r="B7843" s="26" t="s">
        <v>14991</v>
      </c>
      <c r="C7843" s="52"/>
      <c r="D7843" s="55">
        <f t="shared" si="122"/>
        <v>0</v>
      </c>
      <c r="E7843" s="63" t="str">
        <f>HYPERLINK("https://www.sds-group.ru/product/kabel-akusticheskiy-2h1-00mm-krasno-chernyy-mini-buhta-10m-rexant-01-6105-3-10/", "Инфо")</f>
        <v>Инфо</v>
      </c>
      <c r="F7843" s="16" t="s">
        <v>39</v>
      </c>
      <c r="G7843" s="15"/>
      <c r="H7843" s="15"/>
      <c r="I7843" s="15"/>
      <c r="J7843" s="17">
        <v>540</v>
      </c>
      <c r="K7843" s="15" t="s">
        <v>7336</v>
      </c>
      <c r="L7843" s="17">
        <v>5</v>
      </c>
      <c r="M7843" s="17">
        <v>70</v>
      </c>
      <c r="N7843" s="17">
        <v>5</v>
      </c>
      <c r="O7843" s="18">
        <v>578.4</v>
      </c>
      <c r="P7843" s="18">
        <v>474.1</v>
      </c>
      <c r="Q7843" s="18">
        <v>404.88</v>
      </c>
      <c r="R7843" s="18">
        <v>331.87</v>
      </c>
      <c r="S7843" s="18">
        <v>393.31</v>
      </c>
      <c r="T7843" s="18">
        <v>322.39</v>
      </c>
      <c r="U7843" s="16"/>
      <c r="V7843" s="16"/>
      <c r="W7843" s="16"/>
      <c r="X7843" s="19">
        <v>0.21299999999999999</v>
      </c>
      <c r="Y7843" s="20">
        <v>7.0399999999999998E-4</v>
      </c>
      <c r="Z7843" s="21">
        <v>4601004069534</v>
      </c>
    </row>
    <row r="7844" spans="1:26" ht="12" customHeight="1" outlineLevel="3" x14ac:dyDescent="0.2">
      <c r="A7844" s="14" t="s">
        <v>14992</v>
      </c>
      <c r="B7844" s="26" t="s">
        <v>14993</v>
      </c>
      <c r="C7844" s="52"/>
      <c r="D7844" s="55">
        <f t="shared" si="122"/>
        <v>0</v>
      </c>
      <c r="E7844" s="63" t="str">
        <f>HYPERLINK("https://www.sds-group.ru/product/kabel-akusticheskiy-2h1-00mm-krasno-chernyy-mini-buhta-20m-rexant-01-6105-3-20/", "Инфо")</f>
        <v>Инфо</v>
      </c>
      <c r="F7844" s="16" t="s">
        <v>39</v>
      </c>
      <c r="G7844" s="15"/>
      <c r="H7844" s="15"/>
      <c r="I7844" s="15"/>
      <c r="J7844" s="17">
        <v>159</v>
      </c>
      <c r="K7844" s="15" t="s">
        <v>1272</v>
      </c>
      <c r="L7844" s="17">
        <v>5</v>
      </c>
      <c r="M7844" s="17">
        <v>50</v>
      </c>
      <c r="N7844" s="17">
        <v>5</v>
      </c>
      <c r="O7844" s="18">
        <v>996.71</v>
      </c>
      <c r="P7844" s="18">
        <v>816.98</v>
      </c>
      <c r="Q7844" s="18">
        <v>697.7</v>
      </c>
      <c r="R7844" s="18">
        <v>571.89</v>
      </c>
      <c r="S7844" s="18">
        <v>677.76</v>
      </c>
      <c r="T7844" s="18">
        <v>555.54</v>
      </c>
      <c r="U7844" s="16"/>
      <c r="V7844" s="16"/>
      <c r="W7844" s="16"/>
      <c r="X7844" s="19">
        <v>0.39300000000000002</v>
      </c>
      <c r="Y7844" s="20">
        <v>1.106E-3</v>
      </c>
      <c r="Z7844" s="21">
        <v>4601004069619</v>
      </c>
    </row>
    <row r="7845" spans="1:26" ht="12" customHeight="1" outlineLevel="3" x14ac:dyDescent="0.2">
      <c r="A7845" s="14" t="s">
        <v>14994</v>
      </c>
      <c r="B7845" s="26" t="s">
        <v>14995</v>
      </c>
      <c r="C7845" s="52"/>
      <c r="D7845" s="55">
        <f t="shared" si="122"/>
        <v>0</v>
      </c>
      <c r="E7845" s="63" t="str">
        <f>HYPERLINK("https://www.sds-group.ru/product/kabel-akusticheskiy-2h1-00mm-krasno-chernyy-mini-buhta-5m-rexant-01-6105-3-05/", "Инфо")</f>
        <v>Инфо</v>
      </c>
      <c r="F7845" s="16" t="s">
        <v>39</v>
      </c>
      <c r="G7845" s="15"/>
      <c r="H7845" s="15"/>
      <c r="I7845" s="15"/>
      <c r="J7845" s="17">
        <v>869</v>
      </c>
      <c r="K7845" s="15" t="s">
        <v>7336</v>
      </c>
      <c r="L7845" s="17">
        <v>5</v>
      </c>
      <c r="M7845" s="17">
        <v>70</v>
      </c>
      <c r="N7845" s="17">
        <v>5</v>
      </c>
      <c r="O7845" s="18">
        <v>325.92</v>
      </c>
      <c r="P7845" s="18">
        <v>267.14999999999998</v>
      </c>
      <c r="Q7845" s="18">
        <v>228.14</v>
      </c>
      <c r="R7845" s="18">
        <v>187</v>
      </c>
      <c r="S7845" s="18">
        <v>221.63</v>
      </c>
      <c r="T7845" s="18">
        <v>181.66</v>
      </c>
      <c r="U7845" s="16"/>
      <c r="V7845" s="16"/>
      <c r="W7845" s="16"/>
      <c r="X7845" s="19">
        <v>0.114</v>
      </c>
      <c r="Y7845" s="20">
        <v>4.8799999999999999E-4</v>
      </c>
      <c r="Z7845" s="21">
        <v>4601004069411</v>
      </c>
    </row>
    <row r="7846" spans="1:26" ht="12" customHeight="1" outlineLevel="3" x14ac:dyDescent="0.2">
      <c r="A7846" s="14" t="s">
        <v>14996</v>
      </c>
      <c r="B7846" s="26" t="s">
        <v>14997</v>
      </c>
      <c r="C7846" s="52"/>
      <c r="D7846" s="55">
        <f t="shared" si="122"/>
        <v>0</v>
      </c>
      <c r="E7846" s="63" t="str">
        <f>HYPERLINK("https://www.sds-group.ru/product/kabel-akusticheskiy-2h1-50mm-krasno-chernyy-mini-buhta-10m-rexant-01-6106-3-10/", "Инфо")</f>
        <v>Инфо</v>
      </c>
      <c r="F7846" s="16" t="s">
        <v>39</v>
      </c>
      <c r="G7846" s="15"/>
      <c r="H7846" s="15"/>
      <c r="I7846" s="15"/>
      <c r="J7846" s="16" t="s">
        <v>100</v>
      </c>
      <c r="K7846" s="15" t="s">
        <v>6174</v>
      </c>
      <c r="L7846" s="17">
        <v>5</v>
      </c>
      <c r="M7846" s="17">
        <v>70</v>
      </c>
      <c r="N7846" s="17">
        <v>5</v>
      </c>
      <c r="O7846" s="18">
        <v>774.19</v>
      </c>
      <c r="P7846" s="18">
        <v>634.58000000000004</v>
      </c>
      <c r="Q7846" s="18">
        <v>541.92999999999995</v>
      </c>
      <c r="R7846" s="18">
        <v>444.2</v>
      </c>
      <c r="S7846" s="18">
        <v>526.45000000000005</v>
      </c>
      <c r="T7846" s="18">
        <v>431.52</v>
      </c>
      <c r="U7846" s="16"/>
      <c r="V7846" s="16"/>
      <c r="W7846" s="16"/>
      <c r="X7846" s="19">
        <v>0.27</v>
      </c>
      <c r="Y7846" s="20">
        <v>7.2999999999999996E-4</v>
      </c>
      <c r="Z7846" s="21">
        <v>4601004096424</v>
      </c>
    </row>
    <row r="7847" spans="1:26" ht="12" customHeight="1" outlineLevel="3" x14ac:dyDescent="0.2">
      <c r="A7847" s="14" t="s">
        <v>14998</v>
      </c>
      <c r="B7847" s="26" t="s">
        <v>14999</v>
      </c>
      <c r="C7847" s="52"/>
      <c r="D7847" s="55">
        <f t="shared" si="122"/>
        <v>0</v>
      </c>
      <c r="E7847" s="63" t="str">
        <f>HYPERLINK("https://www.sds-group.ru/product/kabel-akusticheskiy-2h1-50mm-krasno-chernyy-mini-buhta-20m-rexant-01-6106-3-20/", "Инфо")</f>
        <v>Инфо</v>
      </c>
      <c r="F7847" s="16" t="s">
        <v>39</v>
      </c>
      <c r="G7847" s="15"/>
      <c r="H7847" s="15"/>
      <c r="I7847" s="15"/>
      <c r="J7847" s="16" t="s">
        <v>100</v>
      </c>
      <c r="K7847" s="15" t="s">
        <v>7336</v>
      </c>
      <c r="L7847" s="17">
        <v>5</v>
      </c>
      <c r="M7847" s="17">
        <v>40</v>
      </c>
      <c r="N7847" s="17">
        <v>5</v>
      </c>
      <c r="O7847" s="18">
        <v>1500.81</v>
      </c>
      <c r="P7847" s="18">
        <v>1230.17</v>
      </c>
      <c r="Q7847" s="18">
        <v>1050.57</v>
      </c>
      <c r="R7847" s="18">
        <v>861.12</v>
      </c>
      <c r="S7847" s="18">
        <v>1020.55</v>
      </c>
      <c r="T7847" s="18">
        <v>836.52</v>
      </c>
      <c r="U7847" s="16"/>
      <c r="V7847" s="16"/>
      <c r="W7847" s="16"/>
      <c r="X7847" s="19">
        <v>0.51700000000000002</v>
      </c>
      <c r="Y7847" s="20">
        <v>1.2080000000000001E-3</v>
      </c>
      <c r="Z7847" s="21">
        <v>4601004096523</v>
      </c>
    </row>
    <row r="7848" spans="1:26" ht="12" customHeight="1" outlineLevel="3" x14ac:dyDescent="0.2">
      <c r="A7848" s="14" t="s">
        <v>15000</v>
      </c>
      <c r="B7848" s="26" t="s">
        <v>15001</v>
      </c>
      <c r="C7848" s="52"/>
      <c r="D7848" s="55">
        <f t="shared" si="122"/>
        <v>0</v>
      </c>
      <c r="E7848" s="63" t="str">
        <f>HYPERLINK("https://www.sds-group.ru/product/kabel-akusticheskiy-2h1-50mm-krasno-chernyy-mini-buhta-5m-rexant-01-6106-3-05/", "Инфо")</f>
        <v>Инфо</v>
      </c>
      <c r="F7848" s="16" t="s">
        <v>39</v>
      </c>
      <c r="G7848" s="15"/>
      <c r="H7848" s="15"/>
      <c r="I7848" s="15"/>
      <c r="J7848" s="17">
        <v>753</v>
      </c>
      <c r="K7848" s="15" t="s">
        <v>1272</v>
      </c>
      <c r="L7848" s="17">
        <v>5</v>
      </c>
      <c r="M7848" s="17">
        <v>70</v>
      </c>
      <c r="N7848" s="17">
        <v>5</v>
      </c>
      <c r="O7848" s="18">
        <v>450.44</v>
      </c>
      <c r="P7848" s="18">
        <v>369.21</v>
      </c>
      <c r="Q7848" s="18">
        <v>315.31</v>
      </c>
      <c r="R7848" s="18">
        <v>258.45</v>
      </c>
      <c r="S7848" s="18">
        <v>306.3</v>
      </c>
      <c r="T7848" s="18">
        <v>251.07</v>
      </c>
      <c r="U7848" s="16"/>
      <c r="V7848" s="16"/>
      <c r="W7848" s="16"/>
      <c r="X7848" s="19">
        <v>0.13900000000000001</v>
      </c>
      <c r="Y7848" s="20">
        <v>4.9399999999999997E-4</v>
      </c>
      <c r="Z7848" s="21">
        <v>4601004069466</v>
      </c>
    </row>
    <row r="7849" spans="1:26" ht="12" customHeight="1" outlineLevel="3" x14ac:dyDescent="0.2">
      <c r="A7849" s="14" t="s">
        <v>15002</v>
      </c>
      <c r="B7849" s="26" t="s">
        <v>15003</v>
      </c>
      <c r="C7849" s="52"/>
      <c r="D7849" s="55">
        <f t="shared" si="122"/>
        <v>0</v>
      </c>
      <c r="E7849" s="63" t="str">
        <f>HYPERLINK("https://www.sds-group.ru/product/kabel-akusticheskiy-2h2-50mm-krasno-chernyy-mini-buhta-10m-rexant-01-6108-3-10/", "Инфо")</f>
        <v>Инфо</v>
      </c>
      <c r="F7849" s="16" t="s">
        <v>39</v>
      </c>
      <c r="G7849" s="15"/>
      <c r="H7849" s="15"/>
      <c r="I7849" s="15"/>
      <c r="J7849" s="17">
        <v>146</v>
      </c>
      <c r="K7849" s="15" t="s">
        <v>7336</v>
      </c>
      <c r="L7849" s="17">
        <v>5</v>
      </c>
      <c r="M7849" s="17">
        <v>60</v>
      </c>
      <c r="N7849" s="17">
        <v>5</v>
      </c>
      <c r="O7849" s="18">
        <v>1392.19</v>
      </c>
      <c r="P7849" s="18">
        <v>1141.1400000000001</v>
      </c>
      <c r="Q7849" s="18">
        <v>974.53</v>
      </c>
      <c r="R7849" s="18">
        <v>798.8</v>
      </c>
      <c r="S7849" s="18">
        <v>946.69</v>
      </c>
      <c r="T7849" s="18">
        <v>775.98</v>
      </c>
      <c r="U7849" s="16"/>
      <c r="V7849" s="16"/>
      <c r="W7849" s="16"/>
      <c r="X7849" s="19">
        <v>0.40100000000000002</v>
      </c>
      <c r="Y7849" s="20">
        <v>8.4599999999999996E-4</v>
      </c>
      <c r="Z7849" s="21">
        <v>4601004096431</v>
      </c>
    </row>
    <row r="7850" spans="1:26" ht="12" customHeight="1" outlineLevel="3" x14ac:dyDescent="0.2">
      <c r="A7850" s="14" t="s">
        <v>15004</v>
      </c>
      <c r="B7850" s="26" t="s">
        <v>15005</v>
      </c>
      <c r="C7850" s="52"/>
      <c r="D7850" s="55">
        <f t="shared" si="122"/>
        <v>0</v>
      </c>
      <c r="E7850" s="63" t="str">
        <f>HYPERLINK("https://www.sds-group.ru/product/kabel-akusticheskiy-2h2-50mm-krasno-chernyy-mini-buhta-20m-rexant-01-6108-3-20/", "Инфо")</f>
        <v>Инфо</v>
      </c>
      <c r="F7850" s="16" t="s">
        <v>39</v>
      </c>
      <c r="G7850" s="15"/>
      <c r="H7850" s="15"/>
      <c r="I7850" s="15"/>
      <c r="J7850" s="17">
        <v>349</v>
      </c>
      <c r="K7850" s="15"/>
      <c r="L7850" s="17">
        <v>5</v>
      </c>
      <c r="M7850" s="17">
        <v>30</v>
      </c>
      <c r="N7850" s="17">
        <v>5</v>
      </c>
      <c r="O7850" s="18">
        <v>2471.62</v>
      </c>
      <c r="P7850" s="18">
        <v>2025.92</v>
      </c>
      <c r="Q7850" s="18">
        <v>1730.13</v>
      </c>
      <c r="R7850" s="18">
        <v>1418.14</v>
      </c>
      <c r="S7850" s="18">
        <v>1680.7</v>
      </c>
      <c r="T7850" s="18">
        <v>1377.62</v>
      </c>
      <c r="U7850" s="16"/>
      <c r="V7850" s="16"/>
      <c r="W7850" s="16"/>
      <c r="X7850" s="19">
        <v>0.76900000000000002</v>
      </c>
      <c r="Y7850" s="20">
        <v>1.6440000000000001E-3</v>
      </c>
      <c r="Z7850" s="21">
        <v>4601004096530</v>
      </c>
    </row>
    <row r="7851" spans="1:26" ht="12" customHeight="1" outlineLevel="3" x14ac:dyDescent="0.2">
      <c r="A7851" s="14" t="s">
        <v>15006</v>
      </c>
      <c r="B7851" s="26" t="s">
        <v>15007</v>
      </c>
      <c r="C7851" s="52"/>
      <c r="D7851" s="55">
        <f t="shared" si="122"/>
        <v>0</v>
      </c>
      <c r="E7851" s="63" t="str">
        <f>HYPERLINK("https://www.sds-group.ru/product/kabel-akusticheskiy-2h2-50mm-krasno-chernyy-mini-buhta-5m-rexant-01-6108-3-05/", "Инфо")</f>
        <v>Инфо</v>
      </c>
      <c r="F7851" s="16" t="s">
        <v>39</v>
      </c>
      <c r="G7851" s="15"/>
      <c r="H7851" s="15"/>
      <c r="I7851" s="15"/>
      <c r="J7851" s="17">
        <v>118</v>
      </c>
      <c r="K7851" s="15" t="s">
        <v>7336</v>
      </c>
      <c r="L7851" s="17">
        <v>5</v>
      </c>
      <c r="M7851" s="17">
        <v>60</v>
      </c>
      <c r="N7851" s="17">
        <v>5</v>
      </c>
      <c r="O7851" s="18">
        <v>838.49</v>
      </c>
      <c r="P7851" s="18">
        <v>687.29</v>
      </c>
      <c r="Q7851" s="18">
        <v>586.94000000000005</v>
      </c>
      <c r="R7851" s="18">
        <v>481.1</v>
      </c>
      <c r="S7851" s="18">
        <v>570.16999999999996</v>
      </c>
      <c r="T7851" s="18">
        <v>467.35</v>
      </c>
      <c r="U7851" s="16"/>
      <c r="V7851" s="16"/>
      <c r="W7851" s="16"/>
      <c r="X7851" s="19">
        <v>0.20799999999999999</v>
      </c>
      <c r="Y7851" s="20">
        <v>5.7499999999999999E-4</v>
      </c>
      <c r="Z7851" s="21">
        <v>4601004096592</v>
      </c>
    </row>
    <row r="7852" spans="1:26" ht="12.95" customHeight="1" outlineLevel="2" x14ac:dyDescent="0.2">
      <c r="A7852" s="76" t="s">
        <v>15008</v>
      </c>
      <c r="B7852" s="76"/>
      <c r="C7852" s="77"/>
      <c r="D7852" s="58"/>
      <c r="E7852" s="68"/>
      <c r="F7852" s="13"/>
      <c r="G7852" s="13"/>
      <c r="H7852" s="13"/>
      <c r="I7852" s="13"/>
      <c r="J7852" s="13"/>
      <c r="K7852" s="13"/>
      <c r="L7852" s="13"/>
      <c r="M7852" s="13"/>
      <c r="N7852" s="13"/>
      <c r="O7852" s="13"/>
      <c r="P7852" s="13"/>
      <c r="Q7852" s="13"/>
      <c r="R7852" s="13"/>
      <c r="S7852" s="13"/>
      <c r="T7852" s="13"/>
      <c r="U7852" s="13"/>
      <c r="V7852" s="13"/>
      <c r="W7852" s="13"/>
      <c r="X7852" s="13"/>
      <c r="Y7852" s="13"/>
      <c r="Z7852" s="13"/>
    </row>
    <row r="7853" spans="1:26" ht="12" customHeight="1" outlineLevel="3" x14ac:dyDescent="0.2">
      <c r="A7853" s="32" t="s">
        <v>15009</v>
      </c>
      <c r="B7853" s="74" t="s">
        <v>15010</v>
      </c>
      <c r="C7853" s="50"/>
      <c r="D7853" s="53">
        <f t="shared" si="122"/>
        <v>0</v>
      </c>
      <c r="E7853" s="60" t="str">
        <f>HYPERLINK("https://www.sds-group.ru/product/kabel-akusticheskiy-2h0-35mm-prozrachnyy-blueline-mini-buhta-20m-rexant-01-6202-3-20/", "Инфо")</f>
        <v>Инфо</v>
      </c>
      <c r="F7853" s="34" t="s">
        <v>39</v>
      </c>
      <c r="G7853" s="33"/>
      <c r="H7853" s="33" t="s">
        <v>40</v>
      </c>
      <c r="I7853" s="33"/>
      <c r="J7853" s="35">
        <v>521</v>
      </c>
      <c r="K7853" s="33"/>
      <c r="L7853" s="35">
        <v>5</v>
      </c>
      <c r="M7853" s="35">
        <v>70</v>
      </c>
      <c r="N7853" s="35">
        <v>5</v>
      </c>
      <c r="O7853" s="36">
        <v>397.29</v>
      </c>
      <c r="P7853" s="36">
        <v>325.64999999999998</v>
      </c>
      <c r="Q7853" s="36">
        <v>278.10000000000002</v>
      </c>
      <c r="R7853" s="36">
        <v>227.95</v>
      </c>
      <c r="S7853" s="36">
        <v>270.16000000000003</v>
      </c>
      <c r="T7853" s="36">
        <v>221.44</v>
      </c>
      <c r="U7853" s="34"/>
      <c r="V7853" s="34"/>
      <c r="W7853" s="34"/>
      <c r="X7853" s="37">
        <v>0.16500000000000001</v>
      </c>
      <c r="Y7853" s="38">
        <v>6.8900000000000005E-4</v>
      </c>
      <c r="Z7853" s="21">
        <v>4601004069626</v>
      </c>
    </row>
    <row r="7854" spans="1:26" ht="12" customHeight="1" outlineLevel="3" x14ac:dyDescent="0.2">
      <c r="A7854" s="32" t="s">
        <v>15011</v>
      </c>
      <c r="B7854" s="74" t="s">
        <v>15012</v>
      </c>
      <c r="C7854" s="50"/>
      <c r="D7854" s="53">
        <f t="shared" si="122"/>
        <v>0</v>
      </c>
      <c r="E7854" s="60" t="str">
        <f>HYPERLINK("https://www.sds-group.ru/product/kabel-akusticheskiy-2h0-35mm-prozrachnyy-blueline-mini-buhta-5m-rexant-01-6202-3-05/", "Инфо")</f>
        <v>Инфо</v>
      </c>
      <c r="F7854" s="34" t="s">
        <v>39</v>
      </c>
      <c r="G7854" s="33"/>
      <c r="H7854" s="33" t="s">
        <v>40</v>
      </c>
      <c r="I7854" s="33"/>
      <c r="J7854" s="35">
        <v>25</v>
      </c>
      <c r="K7854" s="33"/>
      <c r="L7854" s="35">
        <v>5</v>
      </c>
      <c r="M7854" s="35">
        <v>110</v>
      </c>
      <c r="N7854" s="35">
        <v>5</v>
      </c>
      <c r="O7854" s="36">
        <v>202.21</v>
      </c>
      <c r="P7854" s="36">
        <v>165.75</v>
      </c>
      <c r="Q7854" s="36">
        <v>141.55000000000001</v>
      </c>
      <c r="R7854" s="36">
        <v>116.02</v>
      </c>
      <c r="S7854" s="36">
        <v>137.5</v>
      </c>
      <c r="T7854" s="36">
        <v>112.7</v>
      </c>
      <c r="U7854" s="34"/>
      <c r="V7854" s="34"/>
      <c r="W7854" s="34"/>
      <c r="X7854" s="37">
        <v>0.05</v>
      </c>
      <c r="Y7854" s="38">
        <v>3.1399999999999999E-4</v>
      </c>
      <c r="Z7854" s="21">
        <v>4601004069435</v>
      </c>
    </row>
    <row r="7855" spans="1:26" ht="12" customHeight="1" outlineLevel="3" x14ac:dyDescent="0.2">
      <c r="A7855" s="32" t="s">
        <v>15013</v>
      </c>
      <c r="B7855" s="74" t="s">
        <v>15014</v>
      </c>
      <c r="C7855" s="50"/>
      <c r="D7855" s="53">
        <f t="shared" si="122"/>
        <v>0</v>
      </c>
      <c r="E7855" s="60" t="str">
        <f>HYPERLINK("https://www.sds-group.ru/product/kabel-akusticheskiy-2h0-50mm-prozrachnyy-blueline-mini-buhta-10m-rexant-01-6203-3-10/", "Инфо")</f>
        <v>Инфо</v>
      </c>
      <c r="F7855" s="34" t="s">
        <v>39</v>
      </c>
      <c r="G7855" s="33"/>
      <c r="H7855" s="33" t="s">
        <v>40</v>
      </c>
      <c r="I7855" s="33"/>
      <c r="J7855" s="35">
        <v>168</v>
      </c>
      <c r="K7855" s="33"/>
      <c r="L7855" s="35">
        <v>5</v>
      </c>
      <c r="M7855" s="35">
        <v>80</v>
      </c>
      <c r="N7855" s="35">
        <v>5</v>
      </c>
      <c r="O7855" s="36">
        <v>366.37</v>
      </c>
      <c r="P7855" s="36">
        <v>300.3</v>
      </c>
      <c r="Q7855" s="36">
        <v>256.45999999999998</v>
      </c>
      <c r="R7855" s="36">
        <v>210.21</v>
      </c>
      <c r="S7855" s="36">
        <v>249.13</v>
      </c>
      <c r="T7855" s="36">
        <v>204.2</v>
      </c>
      <c r="U7855" s="34"/>
      <c r="V7855" s="34"/>
      <c r="W7855" s="34"/>
      <c r="X7855" s="37">
        <v>0.10199999999999999</v>
      </c>
      <c r="Y7855" s="38">
        <v>6.3400000000000001E-4</v>
      </c>
      <c r="Z7855" s="21">
        <v>4601004069558</v>
      </c>
    </row>
    <row r="7856" spans="1:26" ht="12" customHeight="1" outlineLevel="3" x14ac:dyDescent="0.2">
      <c r="A7856" s="14" t="s">
        <v>15015</v>
      </c>
      <c r="B7856" s="26" t="s">
        <v>15016</v>
      </c>
      <c r="C7856" s="52"/>
      <c r="D7856" s="55">
        <f t="shared" si="122"/>
        <v>0</v>
      </c>
      <c r="E7856" s="63" t="str">
        <f>HYPERLINK("https://www.sds-group.ru/product/kabel-akusticheskiy-2h0-50mm-prozrachnyy-blueline-mini-buhta-20m-rexant-01-6203-3-20/", "Инфо")</f>
        <v>Инфо</v>
      </c>
      <c r="F7856" s="16" t="s">
        <v>39</v>
      </c>
      <c r="G7856" s="15"/>
      <c r="H7856" s="15"/>
      <c r="I7856" s="15"/>
      <c r="J7856" s="17">
        <v>160</v>
      </c>
      <c r="K7856" s="15" t="s">
        <v>7336</v>
      </c>
      <c r="L7856" s="17">
        <v>5</v>
      </c>
      <c r="M7856" s="17">
        <v>70</v>
      </c>
      <c r="N7856" s="17">
        <v>5</v>
      </c>
      <c r="O7856" s="18">
        <v>698.6</v>
      </c>
      <c r="P7856" s="18">
        <v>572.62</v>
      </c>
      <c r="Q7856" s="18">
        <v>489.02</v>
      </c>
      <c r="R7856" s="18">
        <v>400.84</v>
      </c>
      <c r="S7856" s="18">
        <v>475.05</v>
      </c>
      <c r="T7856" s="18">
        <v>389.39</v>
      </c>
      <c r="U7856" s="16"/>
      <c r="V7856" s="16"/>
      <c r="W7856" s="16"/>
      <c r="X7856" s="19">
        <v>0.2</v>
      </c>
      <c r="Y7856" s="20">
        <v>6.6500000000000001E-4</v>
      </c>
      <c r="Z7856" s="21">
        <v>4601004069633</v>
      </c>
    </row>
    <row r="7857" spans="1:26" ht="12" customHeight="1" outlineLevel="3" x14ac:dyDescent="0.2">
      <c r="A7857" s="32" t="s">
        <v>15017</v>
      </c>
      <c r="B7857" s="74" t="s">
        <v>15018</v>
      </c>
      <c r="C7857" s="50"/>
      <c r="D7857" s="53">
        <f t="shared" si="122"/>
        <v>0</v>
      </c>
      <c r="E7857" s="60" t="str">
        <f>HYPERLINK("https://www.sds-group.ru/product/kabel-akusticheskiy-2h0-75mm-prozrachnyy-blueline-mini-buhta-10m-rexant-01-6204-3-10/", "Инфо")</f>
        <v>Инфо</v>
      </c>
      <c r="F7857" s="34" t="s">
        <v>39</v>
      </c>
      <c r="G7857" s="33"/>
      <c r="H7857" s="33" t="s">
        <v>40</v>
      </c>
      <c r="I7857" s="33"/>
      <c r="J7857" s="35">
        <v>373</v>
      </c>
      <c r="K7857" s="33"/>
      <c r="L7857" s="35">
        <v>5</v>
      </c>
      <c r="M7857" s="35">
        <v>90</v>
      </c>
      <c r="N7857" s="35">
        <v>5</v>
      </c>
      <c r="O7857" s="36">
        <v>475.06</v>
      </c>
      <c r="P7857" s="36">
        <v>389.39</v>
      </c>
      <c r="Q7857" s="36">
        <v>332.54</v>
      </c>
      <c r="R7857" s="36">
        <v>272.57</v>
      </c>
      <c r="S7857" s="36">
        <v>323.04000000000002</v>
      </c>
      <c r="T7857" s="36">
        <v>264.79000000000002</v>
      </c>
      <c r="U7857" s="34"/>
      <c r="V7857" s="34"/>
      <c r="W7857" s="34"/>
      <c r="X7857" s="37">
        <v>0.14099999999999999</v>
      </c>
      <c r="Y7857" s="38">
        <v>5.6599999999999999E-4</v>
      </c>
      <c r="Z7857" s="21">
        <v>4601004069565</v>
      </c>
    </row>
    <row r="7858" spans="1:26" ht="12" customHeight="1" outlineLevel="3" x14ac:dyDescent="0.2">
      <c r="A7858" s="14" t="s">
        <v>15019</v>
      </c>
      <c r="B7858" s="26" t="s">
        <v>15020</v>
      </c>
      <c r="C7858" s="52"/>
      <c r="D7858" s="55">
        <f t="shared" si="122"/>
        <v>0</v>
      </c>
      <c r="E7858" s="63" t="str">
        <f>HYPERLINK("https://www.sds-group.ru/product/kabel-akusticheskiy-2h0-75mm-prozrachnyy-blueline-mini-buhta-20m-rexant-01-6204-3-20/", "Инфо")</f>
        <v>Инфо</v>
      </c>
      <c r="F7858" s="16" t="s">
        <v>39</v>
      </c>
      <c r="G7858" s="15"/>
      <c r="H7858" s="15"/>
      <c r="I7858" s="15"/>
      <c r="J7858" s="17">
        <v>33</v>
      </c>
      <c r="K7858" s="15" t="s">
        <v>7336</v>
      </c>
      <c r="L7858" s="17">
        <v>5</v>
      </c>
      <c r="M7858" s="17">
        <v>50</v>
      </c>
      <c r="N7858" s="17">
        <v>5</v>
      </c>
      <c r="O7858" s="18">
        <v>891.99</v>
      </c>
      <c r="P7858" s="18">
        <v>731.14</v>
      </c>
      <c r="Q7858" s="18">
        <v>624.39</v>
      </c>
      <c r="R7858" s="18">
        <v>511.8</v>
      </c>
      <c r="S7858" s="18">
        <v>606.54999999999995</v>
      </c>
      <c r="T7858" s="18">
        <v>497.17</v>
      </c>
      <c r="U7858" s="16"/>
      <c r="V7858" s="16"/>
      <c r="W7858" s="16"/>
      <c r="X7858" s="19">
        <v>0.252</v>
      </c>
      <c r="Y7858" s="20">
        <v>6.6600000000000003E-4</v>
      </c>
      <c r="Z7858" s="21">
        <v>4601004069640</v>
      </c>
    </row>
    <row r="7859" spans="1:26" ht="12" customHeight="1" outlineLevel="3" x14ac:dyDescent="0.2">
      <c r="A7859" s="32" t="s">
        <v>15021</v>
      </c>
      <c r="B7859" s="74" t="s">
        <v>15022</v>
      </c>
      <c r="C7859" s="50"/>
      <c r="D7859" s="53">
        <f t="shared" si="122"/>
        <v>0</v>
      </c>
      <c r="E7859" s="60" t="str">
        <f>HYPERLINK("https://www.sds-group.ru/product/kabel-akusticheskiy-2h0-75mm-prozrachnyy-blueline-mini-buhta-5m-rexant-01-6204-3-05/", "Инфо")</f>
        <v>Инфо</v>
      </c>
      <c r="F7859" s="34" t="s">
        <v>39</v>
      </c>
      <c r="G7859" s="33"/>
      <c r="H7859" s="33" t="s">
        <v>40</v>
      </c>
      <c r="I7859" s="33"/>
      <c r="J7859" s="35">
        <v>940</v>
      </c>
      <c r="K7859" s="33"/>
      <c r="L7859" s="35">
        <v>5</v>
      </c>
      <c r="M7859" s="35">
        <v>80</v>
      </c>
      <c r="N7859" s="35">
        <v>5</v>
      </c>
      <c r="O7859" s="36">
        <v>231.57</v>
      </c>
      <c r="P7859" s="36">
        <v>189.81</v>
      </c>
      <c r="Q7859" s="36">
        <v>162.1</v>
      </c>
      <c r="R7859" s="36">
        <v>132.87</v>
      </c>
      <c r="S7859" s="36">
        <v>157.47</v>
      </c>
      <c r="T7859" s="36">
        <v>129.07</v>
      </c>
      <c r="U7859" s="34"/>
      <c r="V7859" s="34"/>
      <c r="W7859" s="34"/>
      <c r="X7859" s="37">
        <v>8.1000000000000003E-2</v>
      </c>
      <c r="Y7859" s="38">
        <v>4.3899999999999999E-4</v>
      </c>
      <c r="Z7859" s="21">
        <v>4601004069459</v>
      </c>
    </row>
    <row r="7860" spans="1:26" ht="12" customHeight="1" outlineLevel="3" x14ac:dyDescent="0.2">
      <c r="A7860" s="14" t="s">
        <v>15023</v>
      </c>
      <c r="B7860" s="26" t="s">
        <v>15024</v>
      </c>
      <c r="C7860" s="52"/>
      <c r="D7860" s="55">
        <f t="shared" si="122"/>
        <v>0</v>
      </c>
      <c r="E7860" s="63" t="str">
        <f>HYPERLINK("https://www.sds-group.ru/product/kabel-akusticheskiy-2h0-75mm-prozrachnyy-silicon-mini-buhta-10m-rexant-01-6304-10/", "Инфо")</f>
        <v>Инфо</v>
      </c>
      <c r="F7860" s="16" t="s">
        <v>39</v>
      </c>
      <c r="G7860" s="15"/>
      <c r="H7860" s="15"/>
      <c r="I7860" s="15"/>
      <c r="J7860" s="17">
        <v>5</v>
      </c>
      <c r="K7860" s="15" t="s">
        <v>6174</v>
      </c>
      <c r="L7860" s="17">
        <v>5</v>
      </c>
      <c r="M7860" s="17">
        <v>50</v>
      </c>
      <c r="N7860" s="17">
        <v>5</v>
      </c>
      <c r="O7860" s="18">
        <v>1260.0899999999999</v>
      </c>
      <c r="P7860" s="18">
        <v>1032.8599999999999</v>
      </c>
      <c r="Q7860" s="18">
        <v>882.06</v>
      </c>
      <c r="R7860" s="18">
        <v>723</v>
      </c>
      <c r="S7860" s="18">
        <v>856.86</v>
      </c>
      <c r="T7860" s="18">
        <v>702.34</v>
      </c>
      <c r="U7860" s="16"/>
      <c r="V7860" s="16"/>
      <c r="W7860" s="16"/>
      <c r="X7860" s="19">
        <v>0.22500000000000001</v>
      </c>
      <c r="Y7860" s="20">
        <v>5.5699999999999999E-4</v>
      </c>
      <c r="Z7860" s="21">
        <v>4601004021235</v>
      </c>
    </row>
    <row r="7861" spans="1:26" ht="12" customHeight="1" outlineLevel="3" x14ac:dyDescent="0.2">
      <c r="A7861" s="32" t="s">
        <v>15025</v>
      </c>
      <c r="B7861" s="74" t="s">
        <v>15026</v>
      </c>
      <c r="C7861" s="50"/>
      <c r="D7861" s="53">
        <f t="shared" si="122"/>
        <v>0</v>
      </c>
      <c r="E7861" s="60" t="str">
        <f>HYPERLINK("https://www.sds-group.ru/product/kabel-akusticheskiy-2h0-75mm-prozrachnyy-silicon-mini-buhta-5m-rexant-01-6304-05/", "Инфо")</f>
        <v>Инфо</v>
      </c>
      <c r="F7861" s="34" t="s">
        <v>39</v>
      </c>
      <c r="G7861" s="33"/>
      <c r="H7861" s="33" t="s">
        <v>40</v>
      </c>
      <c r="I7861" s="33"/>
      <c r="J7861" s="35">
        <v>1</v>
      </c>
      <c r="K7861" s="33"/>
      <c r="L7861" s="35">
        <v>5</v>
      </c>
      <c r="M7861" s="35">
        <v>90</v>
      </c>
      <c r="N7861" s="35">
        <v>5</v>
      </c>
      <c r="O7861" s="36">
        <v>744.89</v>
      </c>
      <c r="P7861" s="36">
        <v>610.57000000000005</v>
      </c>
      <c r="Q7861" s="36">
        <v>521.41999999999996</v>
      </c>
      <c r="R7861" s="36">
        <v>427.39</v>
      </c>
      <c r="S7861" s="36">
        <v>506.53</v>
      </c>
      <c r="T7861" s="36">
        <v>415.19</v>
      </c>
      <c r="U7861" s="34"/>
      <c r="V7861" s="34"/>
      <c r="W7861" s="34"/>
      <c r="X7861" s="37">
        <v>0.123</v>
      </c>
      <c r="Y7861" s="38">
        <v>3.9100000000000002E-4</v>
      </c>
      <c r="Z7861" s="21">
        <v>4601004021419</v>
      </c>
    </row>
    <row r="7862" spans="1:26" ht="12" customHeight="1" outlineLevel="3" x14ac:dyDescent="0.2">
      <c r="A7862" s="32" t="s">
        <v>15027</v>
      </c>
      <c r="B7862" s="74" t="s">
        <v>15028</v>
      </c>
      <c r="C7862" s="50"/>
      <c r="D7862" s="53">
        <f t="shared" si="122"/>
        <v>0</v>
      </c>
      <c r="E7862" s="60" t="str">
        <f>HYPERLINK("https://www.sds-group.ru/product/kabel-akusticheskiy-2h1-00mm-prozrachnyy-blueline-mini-buhta-10m-rexant-01-6205-3-10/", "Инфо")</f>
        <v>Инфо</v>
      </c>
      <c r="F7862" s="34" t="s">
        <v>39</v>
      </c>
      <c r="G7862" s="33"/>
      <c r="H7862" s="33" t="s">
        <v>40</v>
      </c>
      <c r="I7862" s="33"/>
      <c r="J7862" s="35">
        <v>1</v>
      </c>
      <c r="K7862" s="33"/>
      <c r="L7862" s="35">
        <v>5</v>
      </c>
      <c r="M7862" s="35">
        <v>80</v>
      </c>
      <c r="N7862" s="35">
        <v>5</v>
      </c>
      <c r="O7862" s="36">
        <v>753.03</v>
      </c>
      <c r="P7862" s="36">
        <v>617.24</v>
      </c>
      <c r="Q7862" s="36">
        <v>527.12</v>
      </c>
      <c r="R7862" s="36">
        <v>432.07</v>
      </c>
      <c r="S7862" s="36">
        <v>512.05999999999995</v>
      </c>
      <c r="T7862" s="36">
        <v>419.72</v>
      </c>
      <c r="U7862" s="34"/>
      <c r="V7862" s="34"/>
      <c r="W7862" s="34"/>
      <c r="X7862" s="37">
        <v>0.16200000000000001</v>
      </c>
      <c r="Y7862" s="38">
        <v>6.8000000000000005E-4</v>
      </c>
      <c r="Z7862" s="21">
        <v>4601004096455</v>
      </c>
    </row>
    <row r="7863" spans="1:26" ht="12" customHeight="1" outlineLevel="3" x14ac:dyDescent="0.2">
      <c r="A7863" s="32" t="s">
        <v>15029</v>
      </c>
      <c r="B7863" s="74" t="s">
        <v>15030</v>
      </c>
      <c r="C7863" s="50"/>
      <c r="D7863" s="53">
        <f t="shared" si="122"/>
        <v>0</v>
      </c>
      <c r="E7863" s="60" t="str">
        <f>HYPERLINK("https://www.sds-group.ru/product/kabel-akusticheskiy-2h1-00mm-prozrachnyy-silicon-mini-buhta-5m-rexant-01-6305-05/", "Инфо")</f>
        <v>Инфо</v>
      </c>
      <c r="F7863" s="34" t="s">
        <v>39</v>
      </c>
      <c r="G7863" s="33"/>
      <c r="H7863" s="33" t="s">
        <v>40</v>
      </c>
      <c r="I7863" s="33"/>
      <c r="J7863" s="34" t="s">
        <v>100</v>
      </c>
      <c r="K7863" s="33" t="s">
        <v>1272</v>
      </c>
      <c r="L7863" s="35">
        <v>5</v>
      </c>
      <c r="M7863" s="35">
        <v>70</v>
      </c>
      <c r="N7863" s="35">
        <v>5</v>
      </c>
      <c r="O7863" s="36">
        <v>990.7</v>
      </c>
      <c r="P7863" s="36">
        <v>812.05</v>
      </c>
      <c r="Q7863" s="36">
        <v>693.49</v>
      </c>
      <c r="R7863" s="36">
        <v>568.42999999999995</v>
      </c>
      <c r="S7863" s="36">
        <v>673.68</v>
      </c>
      <c r="T7863" s="36">
        <v>552.20000000000005</v>
      </c>
      <c r="U7863" s="34"/>
      <c r="V7863" s="34"/>
      <c r="W7863" s="34"/>
      <c r="X7863" s="37">
        <v>0.13100000000000001</v>
      </c>
      <c r="Y7863" s="38">
        <v>4.2000000000000002E-4</v>
      </c>
      <c r="Z7863" s="21">
        <v>4601004096400</v>
      </c>
    </row>
    <row r="7864" spans="1:26" ht="12" customHeight="1" outlineLevel="3" x14ac:dyDescent="0.2">
      <c r="A7864" s="14" t="s">
        <v>15031</v>
      </c>
      <c r="B7864" s="26" t="s">
        <v>15032</v>
      </c>
      <c r="C7864" s="52"/>
      <c r="D7864" s="55">
        <f t="shared" si="122"/>
        <v>0</v>
      </c>
      <c r="E7864" s="63" t="str">
        <f>HYPERLINK("https://www.sds-group.ru/product/kabel-akusticheskiy-2h1-50mm-prozrachnyy-blueline-mini-buhta-10m-rexant-01-6206-3-10/", "Инфо")</f>
        <v>Инфо</v>
      </c>
      <c r="F7864" s="16" t="s">
        <v>39</v>
      </c>
      <c r="G7864" s="15"/>
      <c r="H7864" s="15"/>
      <c r="I7864" s="15"/>
      <c r="J7864" s="17">
        <v>434</v>
      </c>
      <c r="K7864" s="15"/>
      <c r="L7864" s="17">
        <v>5</v>
      </c>
      <c r="M7864" s="17">
        <v>80</v>
      </c>
      <c r="N7864" s="17">
        <v>5</v>
      </c>
      <c r="O7864" s="18">
        <v>749.73</v>
      </c>
      <c r="P7864" s="18">
        <v>614.53</v>
      </c>
      <c r="Q7864" s="18">
        <v>524.80999999999995</v>
      </c>
      <c r="R7864" s="18">
        <v>430.17</v>
      </c>
      <c r="S7864" s="18">
        <v>509.82</v>
      </c>
      <c r="T7864" s="18">
        <v>417.89</v>
      </c>
      <c r="U7864" s="16"/>
      <c r="V7864" s="16"/>
      <c r="W7864" s="16"/>
      <c r="X7864" s="19">
        <v>0.222</v>
      </c>
      <c r="Y7864" s="20">
        <v>6.0899999999999995E-4</v>
      </c>
      <c r="Z7864" s="21">
        <v>4601004096462</v>
      </c>
    </row>
    <row r="7865" spans="1:26" ht="12" customHeight="1" outlineLevel="3" x14ac:dyDescent="0.2">
      <c r="A7865" s="14" t="s">
        <v>15033</v>
      </c>
      <c r="B7865" s="26" t="s">
        <v>15034</v>
      </c>
      <c r="C7865" s="52"/>
      <c r="D7865" s="55">
        <f t="shared" si="122"/>
        <v>0</v>
      </c>
      <c r="E7865" s="63" t="str">
        <f>HYPERLINK("https://www.sds-group.ru/product/kabel-akusticheskiy-2h1-50mm-prozrachnyy-blueline-mini-buhta-20m-rexant-01-6206-3-20/", "Инфо")</f>
        <v>Инфо</v>
      </c>
      <c r="F7865" s="16" t="s">
        <v>39</v>
      </c>
      <c r="G7865" s="15"/>
      <c r="H7865" s="15"/>
      <c r="I7865" s="15"/>
      <c r="J7865" s="17">
        <v>75</v>
      </c>
      <c r="K7865" s="15" t="s">
        <v>6174</v>
      </c>
      <c r="L7865" s="17">
        <v>5</v>
      </c>
      <c r="M7865" s="17">
        <v>40</v>
      </c>
      <c r="N7865" s="17">
        <v>5</v>
      </c>
      <c r="O7865" s="18">
        <v>1435.59</v>
      </c>
      <c r="P7865" s="18">
        <v>1176.71</v>
      </c>
      <c r="Q7865" s="18">
        <v>1004.91</v>
      </c>
      <c r="R7865" s="18">
        <v>823.7</v>
      </c>
      <c r="S7865" s="18">
        <v>976.2</v>
      </c>
      <c r="T7865" s="18">
        <v>800.16</v>
      </c>
      <c r="U7865" s="16"/>
      <c r="V7865" s="16"/>
      <c r="W7865" s="16"/>
      <c r="X7865" s="19">
        <v>0.40500000000000003</v>
      </c>
      <c r="Y7865" s="20">
        <v>1.116E-3</v>
      </c>
      <c r="Z7865" s="21">
        <v>4601004096561</v>
      </c>
    </row>
    <row r="7866" spans="1:26" ht="12" customHeight="1" outlineLevel="3" x14ac:dyDescent="0.2">
      <c r="A7866" s="14" t="s">
        <v>15035</v>
      </c>
      <c r="B7866" s="26" t="s">
        <v>15036</v>
      </c>
      <c r="C7866" s="52"/>
      <c r="D7866" s="55">
        <f t="shared" si="122"/>
        <v>0</v>
      </c>
      <c r="E7866" s="63" t="str">
        <f>HYPERLINK("https://www.sds-group.ru/product/kabel-akusticheskiy-2h1-50mm-prozrachnyy-blueline-mini-buhta-5m-rexant-01-6206-3-05/", "Инфо")</f>
        <v>Инфо</v>
      </c>
      <c r="F7866" s="16" t="s">
        <v>39</v>
      </c>
      <c r="G7866" s="15"/>
      <c r="H7866" s="15"/>
      <c r="I7866" s="15"/>
      <c r="J7866" s="17">
        <v>820</v>
      </c>
      <c r="K7866" s="15"/>
      <c r="L7866" s="17">
        <v>5</v>
      </c>
      <c r="M7866" s="17">
        <v>70</v>
      </c>
      <c r="N7866" s="17">
        <v>5</v>
      </c>
      <c r="O7866" s="18">
        <v>365.67</v>
      </c>
      <c r="P7866" s="18">
        <v>299.73</v>
      </c>
      <c r="Q7866" s="18">
        <v>255.97</v>
      </c>
      <c r="R7866" s="18">
        <v>209.81</v>
      </c>
      <c r="S7866" s="18">
        <v>248.66</v>
      </c>
      <c r="T7866" s="18">
        <v>203.82</v>
      </c>
      <c r="U7866" s="16"/>
      <c r="V7866" s="16"/>
      <c r="W7866" s="16"/>
      <c r="X7866" s="19">
        <v>0.11</v>
      </c>
      <c r="Y7866" s="20">
        <v>5.0600000000000005E-4</v>
      </c>
      <c r="Z7866" s="21">
        <v>4601004069473</v>
      </c>
    </row>
    <row r="7867" spans="1:26" ht="12" customHeight="1" outlineLevel="3" x14ac:dyDescent="0.2">
      <c r="A7867" s="32" t="s">
        <v>15037</v>
      </c>
      <c r="B7867" s="74" t="s">
        <v>15038</v>
      </c>
      <c r="C7867" s="50"/>
      <c r="D7867" s="53">
        <f t="shared" si="122"/>
        <v>0</v>
      </c>
      <c r="E7867" s="60" t="str">
        <f>HYPERLINK("https://www.sds-group.ru/product/kabel-akusticheskiy-2h1-50mm-prozrachnyy-silicon-mini-buhta-10m-rexant-01-6306-10/", "Инфо")</f>
        <v>Инфо</v>
      </c>
      <c r="F7867" s="34" t="s">
        <v>39</v>
      </c>
      <c r="G7867" s="33"/>
      <c r="H7867" s="33" t="s">
        <v>40</v>
      </c>
      <c r="I7867" s="33"/>
      <c r="J7867" s="35">
        <v>164</v>
      </c>
      <c r="K7867" s="33"/>
      <c r="L7867" s="35">
        <v>5</v>
      </c>
      <c r="M7867" s="35">
        <v>40</v>
      </c>
      <c r="N7867" s="35">
        <v>5</v>
      </c>
      <c r="O7867" s="36">
        <v>2735.57</v>
      </c>
      <c r="P7867" s="36">
        <v>2242.27</v>
      </c>
      <c r="Q7867" s="36">
        <v>1914.9</v>
      </c>
      <c r="R7867" s="36">
        <v>1569.59</v>
      </c>
      <c r="S7867" s="36">
        <v>1860.19</v>
      </c>
      <c r="T7867" s="36">
        <v>1524.75</v>
      </c>
      <c r="U7867" s="34"/>
      <c r="V7867" s="34"/>
      <c r="W7867" s="34"/>
      <c r="X7867" s="37">
        <v>0.41399999999999998</v>
      </c>
      <c r="Y7867" s="38">
        <v>9.6599999999999995E-4</v>
      </c>
      <c r="Z7867" s="21">
        <v>4601004096509</v>
      </c>
    </row>
    <row r="7868" spans="1:26" ht="12" customHeight="1" outlineLevel="3" x14ac:dyDescent="0.2">
      <c r="A7868" s="14" t="s">
        <v>15039</v>
      </c>
      <c r="B7868" s="26" t="s">
        <v>15040</v>
      </c>
      <c r="C7868" s="52"/>
      <c r="D7868" s="55">
        <f t="shared" si="122"/>
        <v>0</v>
      </c>
      <c r="E7868" s="63" t="str">
        <f>HYPERLINK("https://www.sds-group.ru/product/kabel-akusticheskiy-2h1-50mm-prozrachnyy-silicon-mini-buhta-5m-rexant-01-6306-05/", "Инфо")</f>
        <v>Инфо</v>
      </c>
      <c r="F7868" s="16" t="s">
        <v>39</v>
      </c>
      <c r="G7868" s="15"/>
      <c r="H7868" s="15"/>
      <c r="I7868" s="15"/>
      <c r="J7868" s="16" t="s">
        <v>100</v>
      </c>
      <c r="K7868" s="15" t="s">
        <v>6174</v>
      </c>
      <c r="L7868" s="17">
        <v>5</v>
      </c>
      <c r="M7868" s="17">
        <v>60</v>
      </c>
      <c r="N7868" s="17">
        <v>5</v>
      </c>
      <c r="O7868" s="18">
        <v>1753.03</v>
      </c>
      <c r="P7868" s="18">
        <v>1436.91</v>
      </c>
      <c r="Q7868" s="18">
        <v>1227.1199999999999</v>
      </c>
      <c r="R7868" s="18">
        <v>1005.84</v>
      </c>
      <c r="S7868" s="18">
        <v>1192.06</v>
      </c>
      <c r="T7868" s="18">
        <v>977.1</v>
      </c>
      <c r="U7868" s="16"/>
      <c r="V7868" s="16"/>
      <c r="W7868" s="16"/>
      <c r="X7868" s="19">
        <v>0.183</v>
      </c>
      <c r="Y7868" s="20">
        <v>4.0400000000000001E-4</v>
      </c>
      <c r="Z7868" s="21">
        <v>4601004026841</v>
      </c>
    </row>
    <row r="7869" spans="1:26" ht="12" customHeight="1" outlineLevel="3" x14ac:dyDescent="0.2">
      <c r="A7869" s="14" t="s">
        <v>15041</v>
      </c>
      <c r="B7869" s="26" t="s">
        <v>15042</v>
      </c>
      <c r="C7869" s="52"/>
      <c r="D7869" s="55">
        <f t="shared" si="122"/>
        <v>0</v>
      </c>
      <c r="E7869" s="63" t="str">
        <f>HYPERLINK("https://www.sds-group.ru/product/kabel-akusticheskiy-2h2-00mm-prozrachnyy-blueline-mini-buhta-20m-rexant-01-6207-3-20/", "Инфо")</f>
        <v>Инфо</v>
      </c>
      <c r="F7869" s="16" t="s">
        <v>39</v>
      </c>
      <c r="G7869" s="15"/>
      <c r="H7869" s="15"/>
      <c r="I7869" s="15"/>
      <c r="J7869" s="17">
        <v>269</v>
      </c>
      <c r="K7869" s="15"/>
      <c r="L7869" s="17">
        <v>5</v>
      </c>
      <c r="M7869" s="17">
        <v>30</v>
      </c>
      <c r="N7869" s="17">
        <v>5</v>
      </c>
      <c r="O7869" s="18">
        <v>1588.12</v>
      </c>
      <c r="P7869" s="18">
        <v>1301.74</v>
      </c>
      <c r="Q7869" s="18">
        <v>1111.68</v>
      </c>
      <c r="R7869" s="18">
        <v>911.21</v>
      </c>
      <c r="S7869" s="18">
        <v>1079.92</v>
      </c>
      <c r="T7869" s="18">
        <v>885.18</v>
      </c>
      <c r="U7869" s="16"/>
      <c r="V7869" s="16"/>
      <c r="W7869" s="16"/>
      <c r="X7869" s="19">
        <v>0.59</v>
      </c>
      <c r="Y7869" s="20">
        <v>1.14E-3</v>
      </c>
      <c r="Z7869" s="21">
        <v>4601004096578</v>
      </c>
    </row>
    <row r="7870" spans="1:26" ht="12" customHeight="1" outlineLevel="3" x14ac:dyDescent="0.2">
      <c r="A7870" s="14" t="s">
        <v>15043</v>
      </c>
      <c r="B7870" s="26" t="s">
        <v>15044</v>
      </c>
      <c r="C7870" s="52"/>
      <c r="D7870" s="55">
        <f t="shared" si="122"/>
        <v>0</v>
      </c>
      <c r="E7870" s="63" t="str">
        <f>HYPERLINK("https://www.sds-group.ru/product/kabel-akusticheskiy-2h2-50mm-prozrachnyy-blueline-mini-buhta-10m-rexant-01-6208-3-10/", "Инфо")</f>
        <v>Инфо</v>
      </c>
      <c r="F7870" s="16" t="s">
        <v>39</v>
      </c>
      <c r="G7870" s="15"/>
      <c r="H7870" s="15"/>
      <c r="I7870" s="15"/>
      <c r="J7870" s="17">
        <v>454</v>
      </c>
      <c r="K7870" s="15"/>
      <c r="L7870" s="17">
        <v>5</v>
      </c>
      <c r="M7870" s="17">
        <v>70</v>
      </c>
      <c r="N7870" s="17">
        <v>5</v>
      </c>
      <c r="O7870" s="18">
        <v>1074.95</v>
      </c>
      <c r="P7870" s="18">
        <v>881.11</v>
      </c>
      <c r="Q7870" s="18">
        <v>752.47</v>
      </c>
      <c r="R7870" s="18">
        <v>616.78</v>
      </c>
      <c r="S7870" s="18">
        <v>730.97</v>
      </c>
      <c r="T7870" s="18">
        <v>599.16</v>
      </c>
      <c r="U7870" s="16"/>
      <c r="V7870" s="16"/>
      <c r="W7870" s="16"/>
      <c r="X7870" s="19">
        <v>0.32200000000000001</v>
      </c>
      <c r="Y7870" s="20">
        <v>8.0999999999999996E-4</v>
      </c>
      <c r="Z7870" s="21">
        <v>4601004096486</v>
      </c>
    </row>
    <row r="7871" spans="1:26" ht="12" customHeight="1" outlineLevel="3" x14ac:dyDescent="0.2">
      <c r="A7871" s="14" t="s">
        <v>15045</v>
      </c>
      <c r="B7871" s="26" t="s">
        <v>15046</v>
      </c>
      <c r="C7871" s="52"/>
      <c r="D7871" s="55">
        <f t="shared" si="122"/>
        <v>0</v>
      </c>
      <c r="E7871" s="63" t="str">
        <f>HYPERLINK("https://www.sds-group.ru/product/kabel-akusticheskiy-2h2-50mm-prozrachnyy-blueline-mini-buhta-20m-rexant-01-6208-3-20/", "Инфо")</f>
        <v>Инфо</v>
      </c>
      <c r="F7871" s="16" t="s">
        <v>39</v>
      </c>
      <c r="G7871" s="15"/>
      <c r="H7871" s="15"/>
      <c r="I7871" s="15"/>
      <c r="J7871" s="17">
        <v>98</v>
      </c>
      <c r="K7871" s="15" t="s">
        <v>1272</v>
      </c>
      <c r="L7871" s="17">
        <v>5</v>
      </c>
      <c r="M7871" s="17">
        <v>20</v>
      </c>
      <c r="N7871" s="17">
        <v>5</v>
      </c>
      <c r="O7871" s="18">
        <v>2510.89</v>
      </c>
      <c r="P7871" s="18">
        <v>2058.11</v>
      </c>
      <c r="Q7871" s="18">
        <v>1757.62</v>
      </c>
      <c r="R7871" s="18">
        <v>1440.67</v>
      </c>
      <c r="S7871" s="18">
        <v>1707.41</v>
      </c>
      <c r="T7871" s="18">
        <v>1399.52</v>
      </c>
      <c r="U7871" s="16"/>
      <c r="V7871" s="16"/>
      <c r="W7871" s="16"/>
      <c r="X7871" s="19">
        <v>0.67900000000000005</v>
      </c>
      <c r="Y7871" s="20">
        <v>1.598E-3</v>
      </c>
      <c r="Z7871" s="21">
        <v>4601004096585</v>
      </c>
    </row>
    <row r="7872" spans="1:26" ht="12" customHeight="1" outlineLevel="3" x14ac:dyDescent="0.2">
      <c r="A7872" s="32" t="s">
        <v>15047</v>
      </c>
      <c r="B7872" s="74" t="s">
        <v>15048</v>
      </c>
      <c r="C7872" s="50"/>
      <c r="D7872" s="53">
        <f t="shared" si="122"/>
        <v>0</v>
      </c>
      <c r="E7872" s="60" t="str">
        <f>HYPERLINK("https://www.sds-group.ru/product/kabel-akusticheskiy-2h2-50mm-prozrachnyy-blueline-mini-buhta-5m-rexant-01-6208-3-05/", "Инфо")</f>
        <v>Инфо</v>
      </c>
      <c r="F7872" s="34" t="s">
        <v>39</v>
      </c>
      <c r="G7872" s="33"/>
      <c r="H7872" s="33" t="s">
        <v>40</v>
      </c>
      <c r="I7872" s="33"/>
      <c r="J7872" s="35">
        <v>14</v>
      </c>
      <c r="K7872" s="33"/>
      <c r="L7872" s="35">
        <v>5</v>
      </c>
      <c r="M7872" s="35">
        <v>70</v>
      </c>
      <c r="N7872" s="35">
        <v>5</v>
      </c>
      <c r="O7872" s="36">
        <v>898.9</v>
      </c>
      <c r="P7872" s="36">
        <v>736.8</v>
      </c>
      <c r="Q7872" s="36">
        <v>629.23</v>
      </c>
      <c r="R7872" s="36">
        <v>515.76</v>
      </c>
      <c r="S7872" s="36">
        <v>611.25</v>
      </c>
      <c r="T7872" s="36">
        <v>501.02</v>
      </c>
      <c r="U7872" s="34"/>
      <c r="V7872" s="34"/>
      <c r="W7872" s="34"/>
      <c r="X7872" s="37">
        <v>0.17499999999999999</v>
      </c>
      <c r="Y7872" s="38">
        <v>5.0699999999999996E-4</v>
      </c>
      <c r="Z7872" s="21">
        <v>4601004096394</v>
      </c>
    </row>
    <row r="7873" spans="1:26" ht="12" customHeight="1" outlineLevel="3" x14ac:dyDescent="0.2">
      <c r="A7873" s="14" t="s">
        <v>15049</v>
      </c>
      <c r="B7873" s="26" t="s">
        <v>15050</v>
      </c>
      <c r="C7873" s="52"/>
      <c r="D7873" s="55">
        <f t="shared" si="122"/>
        <v>0</v>
      </c>
      <c r="E7873" s="63" t="str">
        <f>HYPERLINK("https://www.sds-group.ru/product/kabel-akusticheskiy-2h2-50mm-prozrachnyy-silicon-mini-buhta-10m-rexant-01-6308-10/", "Инфо")</f>
        <v>Инфо</v>
      </c>
      <c r="F7873" s="16" t="s">
        <v>39</v>
      </c>
      <c r="G7873" s="15"/>
      <c r="H7873" s="15"/>
      <c r="I7873" s="15"/>
      <c r="J7873" s="17">
        <v>503</v>
      </c>
      <c r="K7873" s="15"/>
      <c r="L7873" s="17">
        <v>5</v>
      </c>
      <c r="M7873" s="17">
        <v>20</v>
      </c>
      <c r="N7873" s="17">
        <v>5</v>
      </c>
      <c r="O7873" s="18">
        <v>4587.82</v>
      </c>
      <c r="P7873" s="18">
        <v>3760.51</v>
      </c>
      <c r="Q7873" s="18">
        <v>3211.47</v>
      </c>
      <c r="R7873" s="18">
        <v>2632.35</v>
      </c>
      <c r="S7873" s="18">
        <v>3119.72</v>
      </c>
      <c r="T7873" s="18">
        <v>2557.15</v>
      </c>
      <c r="U7873" s="16"/>
      <c r="V7873" s="16"/>
      <c r="W7873" s="16"/>
      <c r="X7873" s="19">
        <v>0.64800000000000002</v>
      </c>
      <c r="Y7873" s="20">
        <v>9.3800000000000003E-4</v>
      </c>
      <c r="Z7873" s="21">
        <v>4601004096516</v>
      </c>
    </row>
    <row r="7874" spans="1:26" ht="12" customHeight="1" outlineLevel="3" x14ac:dyDescent="0.2">
      <c r="A7874" s="14" t="s">
        <v>15051</v>
      </c>
      <c r="B7874" s="26" t="s">
        <v>15052</v>
      </c>
      <c r="C7874" s="52"/>
      <c r="D7874" s="55">
        <f t="shared" si="122"/>
        <v>0</v>
      </c>
      <c r="E7874" s="63" t="str">
        <f>HYPERLINK("https://www.sds-group.ru/product/kabel-akusticheskiy-2h2-50mm-prozrachnyy-silicon-mini-buhta-5m-rexant-01-6308-05/", "Инфо")</f>
        <v>Инфо</v>
      </c>
      <c r="F7874" s="16" t="s">
        <v>39</v>
      </c>
      <c r="G7874" s="15"/>
      <c r="H7874" s="15"/>
      <c r="I7874" s="15"/>
      <c r="J7874" s="17">
        <v>192</v>
      </c>
      <c r="K7874" s="15"/>
      <c r="L7874" s="17">
        <v>5</v>
      </c>
      <c r="M7874" s="17">
        <v>30</v>
      </c>
      <c r="N7874" s="17">
        <v>5</v>
      </c>
      <c r="O7874" s="18">
        <v>2915.14</v>
      </c>
      <c r="P7874" s="18">
        <v>2389.46</v>
      </c>
      <c r="Q7874" s="18">
        <v>2040.6</v>
      </c>
      <c r="R7874" s="18">
        <v>1672.62</v>
      </c>
      <c r="S7874" s="18">
        <v>1982.3</v>
      </c>
      <c r="T7874" s="18">
        <v>1624.84</v>
      </c>
      <c r="U7874" s="16"/>
      <c r="V7874" s="16"/>
      <c r="W7874" s="16"/>
      <c r="X7874" s="19">
        <v>0.34300000000000003</v>
      </c>
      <c r="Y7874" s="20">
        <v>5.8900000000000001E-4</v>
      </c>
      <c r="Z7874" s="21">
        <v>4601004096417</v>
      </c>
    </row>
    <row r="7875" spans="1:26" ht="12.95" customHeight="1" outlineLevel="2" x14ac:dyDescent="0.2">
      <c r="A7875" s="76" t="s">
        <v>15053</v>
      </c>
      <c r="B7875" s="76"/>
      <c r="C7875" s="77"/>
      <c r="D7875" s="58"/>
      <c r="E7875" s="68"/>
      <c r="F7875" s="13"/>
      <c r="G7875" s="13"/>
      <c r="H7875" s="13"/>
      <c r="I7875" s="13"/>
      <c r="J7875" s="13"/>
      <c r="K7875" s="13"/>
      <c r="L7875" s="13"/>
      <c r="M7875" s="13"/>
      <c r="N7875" s="13"/>
      <c r="O7875" s="13"/>
      <c r="P7875" s="13"/>
      <c r="Q7875" s="13"/>
      <c r="R7875" s="13"/>
      <c r="S7875" s="13"/>
      <c r="T7875" s="13"/>
      <c r="U7875" s="13"/>
      <c r="V7875" s="13"/>
      <c r="W7875" s="13"/>
      <c r="X7875" s="13"/>
      <c r="Y7875" s="13"/>
      <c r="Z7875" s="13"/>
    </row>
    <row r="7876" spans="1:26" ht="12" customHeight="1" outlineLevel="3" x14ac:dyDescent="0.2">
      <c r="A7876" s="14" t="s">
        <v>15054</v>
      </c>
      <c r="B7876" s="26" t="s">
        <v>15055</v>
      </c>
      <c r="C7876" s="52"/>
      <c r="D7876" s="55">
        <f t="shared" si="122"/>
        <v>0</v>
      </c>
      <c r="E7876" s="63" t="str">
        <f>HYPERLINK("https://www.sds-group.ru/product/kabel-mikrofonnyy-2h0-25mm-6-8mm-siniy-100m-rexant-01-6028/", "Инфо")</f>
        <v>Инфо</v>
      </c>
      <c r="F7876" s="16" t="s">
        <v>1887</v>
      </c>
      <c r="G7876" s="15"/>
      <c r="H7876" s="15"/>
      <c r="I7876" s="15"/>
      <c r="J7876" s="17">
        <v>5</v>
      </c>
      <c r="K7876" s="15" t="s">
        <v>7336</v>
      </c>
      <c r="L7876" s="17">
        <v>1</v>
      </c>
      <c r="M7876" s="17">
        <v>2</v>
      </c>
      <c r="N7876" s="17">
        <v>1</v>
      </c>
      <c r="O7876" s="18">
        <v>13454.52</v>
      </c>
      <c r="P7876" s="18">
        <v>11028.3</v>
      </c>
      <c r="Q7876" s="18">
        <v>11974.52</v>
      </c>
      <c r="R7876" s="18">
        <v>9815.18</v>
      </c>
      <c r="S7876" s="18">
        <v>9149.07</v>
      </c>
      <c r="T7876" s="18">
        <v>7499.24</v>
      </c>
      <c r="U7876" s="16"/>
      <c r="V7876" s="16"/>
      <c r="W7876" s="16" t="s">
        <v>40</v>
      </c>
      <c r="X7876" s="19">
        <v>5.1609999999999996</v>
      </c>
      <c r="Y7876" s="20">
        <v>9.1909999999999995E-3</v>
      </c>
      <c r="Z7876" s="21">
        <v>4660008017606</v>
      </c>
    </row>
    <row r="7877" spans="1:26" ht="12" customHeight="1" outlineLevel="3" x14ac:dyDescent="0.2">
      <c r="A7877" s="14" t="s">
        <v>15056</v>
      </c>
      <c r="B7877" s="26" t="s">
        <v>15057</v>
      </c>
      <c r="C7877" s="52"/>
      <c r="D7877" s="55">
        <f t="shared" si="122"/>
        <v>0</v>
      </c>
      <c r="E7877" s="63" t="str">
        <f>HYPERLINK("https://www.sds-group.ru/product/kabel-mikrofonnyy-2h0-25mm-6-8mm-chernyy-100m-rexant-01-6029/", "Инфо")</f>
        <v>Инфо</v>
      </c>
      <c r="F7877" s="16" t="s">
        <v>1887</v>
      </c>
      <c r="G7877" s="15"/>
      <c r="H7877" s="15"/>
      <c r="I7877" s="15"/>
      <c r="J7877" s="17">
        <v>122</v>
      </c>
      <c r="K7877" s="15" t="s">
        <v>7336</v>
      </c>
      <c r="L7877" s="17">
        <v>1</v>
      </c>
      <c r="M7877" s="17">
        <v>2</v>
      </c>
      <c r="N7877" s="17">
        <v>1</v>
      </c>
      <c r="O7877" s="18">
        <v>13454.52</v>
      </c>
      <c r="P7877" s="18">
        <v>11028.3</v>
      </c>
      <c r="Q7877" s="18">
        <v>11974.52</v>
      </c>
      <c r="R7877" s="18">
        <v>9815.18</v>
      </c>
      <c r="S7877" s="18">
        <v>9149.07</v>
      </c>
      <c r="T7877" s="18">
        <v>7499.24</v>
      </c>
      <c r="U7877" s="16"/>
      <c r="V7877" s="16"/>
      <c r="W7877" s="16" t="s">
        <v>40</v>
      </c>
      <c r="X7877" s="19">
        <v>5.319</v>
      </c>
      <c r="Y7877" s="20">
        <v>8.8050000000000003E-3</v>
      </c>
      <c r="Z7877" s="21">
        <v>4601004002364</v>
      </c>
    </row>
    <row r="7878" spans="1:26" ht="12.95" customHeight="1" outlineLevel="2" x14ac:dyDescent="0.2">
      <c r="A7878" s="76" t="s">
        <v>15058</v>
      </c>
      <c r="B7878" s="76"/>
      <c r="C7878" s="77"/>
      <c r="D7878" s="58"/>
      <c r="E7878" s="68"/>
      <c r="F7878" s="13"/>
      <c r="G7878" s="13"/>
      <c r="H7878" s="13"/>
      <c r="I7878" s="13"/>
      <c r="J7878" s="13"/>
      <c r="K7878" s="13"/>
      <c r="L7878" s="13"/>
      <c r="M7878" s="13"/>
      <c r="N7878" s="13"/>
      <c r="O7878" s="13"/>
      <c r="P7878" s="13"/>
      <c r="Q7878" s="13"/>
      <c r="R7878" s="13"/>
      <c r="S7878" s="13"/>
      <c r="T7878" s="13"/>
      <c r="U7878" s="13"/>
      <c r="V7878" s="13"/>
      <c r="W7878" s="13"/>
      <c r="X7878" s="13"/>
      <c r="Y7878" s="13"/>
      <c r="Z7878" s="13"/>
    </row>
    <row r="7879" spans="1:26" ht="12" customHeight="1" outlineLevel="3" x14ac:dyDescent="0.2">
      <c r="A7879" s="14" t="s">
        <v>15059</v>
      </c>
      <c r="B7879" s="26" t="s">
        <v>15060</v>
      </c>
      <c r="C7879" s="52"/>
      <c r="D7879" s="55">
        <f t="shared" si="122"/>
        <v>0</v>
      </c>
      <c r="E7879" s="63" t="str">
        <f>HYPERLINK("https://www.sds-group.ru/product/kabel-shges-2-chernyy-100m-proconnect-01-6001-6/", "Инфо")</f>
        <v>Инфо</v>
      </c>
      <c r="F7879" s="16" t="s">
        <v>1887</v>
      </c>
      <c r="G7879" s="15"/>
      <c r="H7879" s="15"/>
      <c r="I7879" s="15"/>
      <c r="J7879" s="17">
        <v>114</v>
      </c>
      <c r="K7879" s="15" t="s">
        <v>6174</v>
      </c>
      <c r="L7879" s="17">
        <v>1</v>
      </c>
      <c r="M7879" s="17">
        <v>8</v>
      </c>
      <c r="N7879" s="17">
        <v>1</v>
      </c>
      <c r="O7879" s="18">
        <v>4159.4399999999996</v>
      </c>
      <c r="P7879" s="18">
        <v>3409.38</v>
      </c>
      <c r="Q7879" s="18">
        <v>3701.9</v>
      </c>
      <c r="R7879" s="18">
        <v>3034.34</v>
      </c>
      <c r="S7879" s="18">
        <v>2828.42</v>
      </c>
      <c r="T7879" s="18">
        <v>2318.38</v>
      </c>
      <c r="U7879" s="16"/>
      <c r="V7879" s="16"/>
      <c r="W7879" s="16" t="s">
        <v>40</v>
      </c>
      <c r="X7879" s="19">
        <v>2.0699999999999998</v>
      </c>
      <c r="Y7879" s="20">
        <v>3.6879999999999999E-3</v>
      </c>
      <c r="Z7879" s="21">
        <v>4660008010225</v>
      </c>
    </row>
    <row r="7880" spans="1:26" ht="12.95" customHeight="1" outlineLevel="2" x14ac:dyDescent="0.2">
      <c r="A7880" s="76" t="s">
        <v>15061</v>
      </c>
      <c r="B7880" s="76"/>
      <c r="C7880" s="77"/>
      <c r="D7880" s="58"/>
      <c r="E7880" s="68"/>
      <c r="F7880" s="13"/>
      <c r="G7880" s="13"/>
      <c r="H7880" s="13"/>
      <c r="I7880" s="13"/>
      <c r="J7880" s="13"/>
      <c r="K7880" s="13"/>
      <c r="L7880" s="13"/>
      <c r="M7880" s="13"/>
      <c r="N7880" s="13"/>
      <c r="O7880" s="13"/>
      <c r="P7880" s="13"/>
      <c r="Q7880" s="13"/>
      <c r="R7880" s="13"/>
      <c r="S7880" s="13"/>
      <c r="T7880" s="13"/>
      <c r="U7880" s="13"/>
      <c r="V7880" s="13"/>
      <c r="W7880" s="13"/>
      <c r="X7880" s="13"/>
      <c r="Y7880" s="13"/>
      <c r="Z7880" s="13"/>
    </row>
    <row r="7881" spans="1:26" ht="12" customHeight="1" outlineLevel="3" x14ac:dyDescent="0.2">
      <c r="A7881" s="32" t="s">
        <v>15062</v>
      </c>
      <c r="B7881" s="74" t="s">
        <v>15063</v>
      </c>
      <c r="C7881" s="50"/>
      <c r="D7881" s="53">
        <f t="shared" ref="D7881:D7944" si="123">C7881*(O7881-O7881*$G$3)</f>
        <v>0</v>
      </c>
      <c r="E7881" s="65"/>
      <c r="F7881" s="34" t="s">
        <v>1887</v>
      </c>
      <c r="G7881" s="33"/>
      <c r="H7881" s="33" t="s">
        <v>40</v>
      </c>
      <c r="I7881" s="33"/>
      <c r="J7881" s="35">
        <v>20</v>
      </c>
      <c r="K7881" s="33"/>
      <c r="L7881" s="35">
        <v>1</v>
      </c>
      <c r="M7881" s="35">
        <v>8</v>
      </c>
      <c r="N7881" s="35">
        <v>1</v>
      </c>
      <c r="O7881" s="36">
        <v>467.14</v>
      </c>
      <c r="P7881" s="36">
        <v>382.9</v>
      </c>
      <c r="Q7881" s="36">
        <v>467.14</v>
      </c>
      <c r="R7881" s="36">
        <v>382.9</v>
      </c>
      <c r="S7881" s="36">
        <v>467.14</v>
      </c>
      <c r="T7881" s="36">
        <v>382.9</v>
      </c>
      <c r="U7881" s="34"/>
      <c r="V7881" s="34"/>
      <c r="W7881" s="34" t="s">
        <v>40</v>
      </c>
      <c r="X7881" s="37">
        <v>0.95</v>
      </c>
      <c r="Y7881" s="38">
        <v>1.5640000000000001E-3</v>
      </c>
      <c r="Z7881" s="21">
        <v>4601004239784</v>
      </c>
    </row>
    <row r="7882" spans="1:26" ht="12" customHeight="1" outlineLevel="3" x14ac:dyDescent="0.2">
      <c r="A7882" s="32" t="s">
        <v>15064</v>
      </c>
      <c r="B7882" s="74" t="s">
        <v>15065</v>
      </c>
      <c r="C7882" s="50"/>
      <c r="D7882" s="53">
        <f t="shared" si="123"/>
        <v>0</v>
      </c>
      <c r="E7882" s="65"/>
      <c r="F7882" s="34" t="s">
        <v>1887</v>
      </c>
      <c r="G7882" s="33"/>
      <c r="H7882" s="33" t="s">
        <v>40</v>
      </c>
      <c r="I7882" s="33"/>
      <c r="J7882" s="35">
        <v>29</v>
      </c>
      <c r="K7882" s="33"/>
      <c r="L7882" s="35">
        <v>1</v>
      </c>
      <c r="M7882" s="35">
        <v>8</v>
      </c>
      <c r="N7882" s="35">
        <v>1</v>
      </c>
      <c r="O7882" s="36">
        <v>519.04999999999995</v>
      </c>
      <c r="P7882" s="36">
        <v>425.45</v>
      </c>
      <c r="Q7882" s="36">
        <v>519.04999999999995</v>
      </c>
      <c r="R7882" s="36">
        <v>425.45</v>
      </c>
      <c r="S7882" s="36">
        <v>519.04999999999995</v>
      </c>
      <c r="T7882" s="36">
        <v>425.45</v>
      </c>
      <c r="U7882" s="34"/>
      <c r="V7882" s="34"/>
      <c r="W7882" s="34" t="s">
        <v>40</v>
      </c>
      <c r="X7882" s="37">
        <v>0.75600000000000001</v>
      </c>
      <c r="Y7882" s="38">
        <v>1.4450000000000001E-3</v>
      </c>
      <c r="Z7882" s="21">
        <v>4601004239678</v>
      </c>
    </row>
    <row r="7883" spans="1:26" ht="12" customHeight="1" outlineLevel="3" x14ac:dyDescent="0.2">
      <c r="A7883" s="14" t="s">
        <v>15066</v>
      </c>
      <c r="B7883" s="26" t="s">
        <v>15067</v>
      </c>
      <c r="C7883" s="52"/>
      <c r="D7883" s="55">
        <f t="shared" si="123"/>
        <v>0</v>
      </c>
      <c r="E7883" s="64"/>
      <c r="F7883" s="16" t="s">
        <v>1887</v>
      </c>
      <c r="G7883" s="15"/>
      <c r="H7883" s="15"/>
      <c r="I7883" s="15"/>
      <c r="J7883" s="17">
        <v>164</v>
      </c>
      <c r="K7883" s="15"/>
      <c r="L7883" s="17">
        <v>1</v>
      </c>
      <c r="M7883" s="17">
        <v>8</v>
      </c>
      <c r="N7883" s="17">
        <v>1</v>
      </c>
      <c r="O7883" s="18">
        <v>560.57000000000005</v>
      </c>
      <c r="P7883" s="18">
        <v>459.48</v>
      </c>
      <c r="Q7883" s="18">
        <v>560.57000000000005</v>
      </c>
      <c r="R7883" s="18">
        <v>459.48</v>
      </c>
      <c r="S7883" s="18">
        <v>560.57000000000005</v>
      </c>
      <c r="T7883" s="18">
        <v>459.48</v>
      </c>
      <c r="U7883" s="16"/>
      <c r="V7883" s="16"/>
      <c r="W7883" s="16" t="s">
        <v>40</v>
      </c>
      <c r="X7883" s="19">
        <v>0.99299999999999999</v>
      </c>
      <c r="Y7883" s="20">
        <v>1.518E-3</v>
      </c>
      <c r="Z7883" s="21">
        <v>4601004239616</v>
      </c>
    </row>
    <row r="7884" spans="1:26" ht="12" customHeight="1" outlineLevel="3" x14ac:dyDescent="0.2">
      <c r="A7884" s="32" t="s">
        <v>15068</v>
      </c>
      <c r="B7884" s="74" t="s">
        <v>15069</v>
      </c>
      <c r="C7884" s="50"/>
      <c r="D7884" s="53">
        <f t="shared" si="123"/>
        <v>0</v>
      </c>
      <c r="E7884" s="65"/>
      <c r="F7884" s="34" t="s">
        <v>1887</v>
      </c>
      <c r="G7884" s="33"/>
      <c r="H7884" s="33" t="s">
        <v>40</v>
      </c>
      <c r="I7884" s="33"/>
      <c r="J7884" s="35">
        <v>106</v>
      </c>
      <c r="K7884" s="33"/>
      <c r="L7884" s="35">
        <v>1</v>
      </c>
      <c r="M7884" s="35">
        <v>8</v>
      </c>
      <c r="N7884" s="35">
        <v>1</v>
      </c>
      <c r="O7884" s="36">
        <v>558.22</v>
      </c>
      <c r="P7884" s="36">
        <v>457.56</v>
      </c>
      <c r="Q7884" s="36">
        <v>558.22</v>
      </c>
      <c r="R7884" s="36">
        <v>457.56</v>
      </c>
      <c r="S7884" s="36">
        <v>558.22</v>
      </c>
      <c r="T7884" s="36">
        <v>457.56</v>
      </c>
      <c r="U7884" s="34"/>
      <c r="V7884" s="34"/>
      <c r="W7884" s="34" t="s">
        <v>40</v>
      </c>
      <c r="X7884" s="37">
        <v>0.746</v>
      </c>
      <c r="Y7884" s="38">
        <v>1.4760000000000001E-3</v>
      </c>
      <c r="Z7884" s="21">
        <v>4601004239685</v>
      </c>
    </row>
    <row r="7885" spans="1:26" ht="12" customHeight="1" outlineLevel="3" x14ac:dyDescent="0.2">
      <c r="A7885" s="14" t="s">
        <v>15070</v>
      </c>
      <c r="B7885" s="26" t="s">
        <v>15071</v>
      </c>
      <c r="C7885" s="52"/>
      <c r="D7885" s="55">
        <f t="shared" si="123"/>
        <v>0</v>
      </c>
      <c r="E7885" s="64"/>
      <c r="F7885" s="16" t="s">
        <v>1887</v>
      </c>
      <c r="G7885" s="15"/>
      <c r="H7885" s="15"/>
      <c r="I7885" s="15"/>
      <c r="J7885" s="17">
        <v>404</v>
      </c>
      <c r="K7885" s="15" t="s">
        <v>6434</v>
      </c>
      <c r="L7885" s="17">
        <v>1</v>
      </c>
      <c r="M7885" s="17">
        <v>8</v>
      </c>
      <c r="N7885" s="17">
        <v>1</v>
      </c>
      <c r="O7885" s="18">
        <v>747.43</v>
      </c>
      <c r="P7885" s="18">
        <v>612.65</v>
      </c>
      <c r="Q7885" s="18">
        <v>747.43</v>
      </c>
      <c r="R7885" s="18">
        <v>612.65</v>
      </c>
      <c r="S7885" s="18">
        <v>747.43</v>
      </c>
      <c r="T7885" s="18">
        <v>612.65</v>
      </c>
      <c r="U7885" s="16"/>
      <c r="V7885" s="16"/>
      <c r="W7885" s="16" t="s">
        <v>40</v>
      </c>
      <c r="X7885" s="19">
        <v>1.115</v>
      </c>
      <c r="Y7885" s="20">
        <v>1.9220000000000001E-3</v>
      </c>
      <c r="Z7885" s="21">
        <v>4601004239623</v>
      </c>
    </row>
    <row r="7886" spans="1:26" ht="12" customHeight="1" outlineLevel="3" x14ac:dyDescent="0.2">
      <c r="A7886" s="14" t="s">
        <v>15072</v>
      </c>
      <c r="B7886" s="26" t="s">
        <v>15073</v>
      </c>
      <c r="C7886" s="52"/>
      <c r="D7886" s="55">
        <f t="shared" si="123"/>
        <v>0</v>
      </c>
      <c r="E7886" s="64"/>
      <c r="F7886" s="16" t="s">
        <v>1887</v>
      </c>
      <c r="G7886" s="15"/>
      <c r="H7886" s="15"/>
      <c r="I7886" s="15"/>
      <c r="J7886" s="17">
        <v>106</v>
      </c>
      <c r="K7886" s="15" t="s">
        <v>6434</v>
      </c>
      <c r="L7886" s="17">
        <v>1</v>
      </c>
      <c r="M7886" s="17">
        <v>8</v>
      </c>
      <c r="N7886" s="17">
        <v>1</v>
      </c>
      <c r="O7886" s="18">
        <v>882.38</v>
      </c>
      <c r="P7886" s="18">
        <v>723.26</v>
      </c>
      <c r="Q7886" s="18">
        <v>882.38</v>
      </c>
      <c r="R7886" s="18">
        <v>723.26</v>
      </c>
      <c r="S7886" s="18">
        <v>882.38</v>
      </c>
      <c r="T7886" s="18">
        <v>723.26</v>
      </c>
      <c r="U7886" s="16"/>
      <c r="V7886" s="16"/>
      <c r="W7886" s="16" t="s">
        <v>40</v>
      </c>
      <c r="X7886" s="19">
        <v>0.873</v>
      </c>
      <c r="Y7886" s="20">
        <v>1.817E-3</v>
      </c>
      <c r="Z7886" s="21">
        <v>4601004239692</v>
      </c>
    </row>
    <row r="7887" spans="1:26" ht="12" customHeight="1" outlineLevel="3" x14ac:dyDescent="0.2">
      <c r="A7887" s="14" t="s">
        <v>15074</v>
      </c>
      <c r="B7887" s="26" t="s">
        <v>15075</v>
      </c>
      <c r="C7887" s="52"/>
      <c r="D7887" s="55">
        <f t="shared" si="123"/>
        <v>0</v>
      </c>
      <c r="E7887" s="64"/>
      <c r="F7887" s="16" t="s">
        <v>1887</v>
      </c>
      <c r="G7887" s="15"/>
      <c r="H7887" s="15"/>
      <c r="I7887" s="15"/>
      <c r="J7887" s="17">
        <v>898</v>
      </c>
      <c r="K7887" s="15"/>
      <c r="L7887" s="17">
        <v>1</v>
      </c>
      <c r="M7887" s="17">
        <v>6</v>
      </c>
      <c r="N7887" s="17">
        <v>1</v>
      </c>
      <c r="O7887" s="18">
        <v>934.28</v>
      </c>
      <c r="P7887" s="18">
        <v>765.8</v>
      </c>
      <c r="Q7887" s="18">
        <v>934.28</v>
      </c>
      <c r="R7887" s="18">
        <v>765.8</v>
      </c>
      <c r="S7887" s="18">
        <v>934.28</v>
      </c>
      <c r="T7887" s="18">
        <v>765.8</v>
      </c>
      <c r="U7887" s="16"/>
      <c r="V7887" s="16"/>
      <c r="W7887" s="16" t="s">
        <v>40</v>
      </c>
      <c r="X7887" s="19">
        <v>1.611</v>
      </c>
      <c r="Y7887" s="20">
        <v>2.6250000000000002E-3</v>
      </c>
      <c r="Z7887" s="21">
        <v>4601004239630</v>
      </c>
    </row>
    <row r="7888" spans="1:26" ht="12" customHeight="1" outlineLevel="3" x14ac:dyDescent="0.2">
      <c r="A7888" s="14" t="s">
        <v>15076</v>
      </c>
      <c r="B7888" s="26" t="s">
        <v>15077</v>
      </c>
      <c r="C7888" s="52"/>
      <c r="D7888" s="55">
        <f t="shared" si="123"/>
        <v>0</v>
      </c>
      <c r="E7888" s="64"/>
      <c r="F7888" s="16" t="s">
        <v>1887</v>
      </c>
      <c r="G7888" s="15"/>
      <c r="H7888" s="15"/>
      <c r="I7888" s="15"/>
      <c r="J7888" s="17">
        <v>222</v>
      </c>
      <c r="K7888" s="15" t="s">
        <v>6434</v>
      </c>
      <c r="L7888" s="17">
        <v>1</v>
      </c>
      <c r="M7888" s="17">
        <v>6</v>
      </c>
      <c r="N7888" s="17">
        <v>1</v>
      </c>
      <c r="O7888" s="18">
        <v>986.19</v>
      </c>
      <c r="P7888" s="18">
        <v>808.35</v>
      </c>
      <c r="Q7888" s="18">
        <v>986.19</v>
      </c>
      <c r="R7888" s="18">
        <v>808.35</v>
      </c>
      <c r="S7888" s="18">
        <v>986.19</v>
      </c>
      <c r="T7888" s="18">
        <v>808.35</v>
      </c>
      <c r="U7888" s="16"/>
      <c r="V7888" s="16"/>
      <c r="W7888" s="16" t="s">
        <v>40</v>
      </c>
      <c r="X7888" s="19">
        <v>1.3480000000000001</v>
      </c>
      <c r="Y7888" s="20">
        <v>2.6480000000000002E-3</v>
      </c>
      <c r="Z7888" s="21">
        <v>4601004239708</v>
      </c>
    </row>
    <row r="7889" spans="1:26" ht="12" customHeight="1" outlineLevel="3" x14ac:dyDescent="0.2">
      <c r="A7889" s="14" t="s">
        <v>15078</v>
      </c>
      <c r="B7889" s="26" t="s">
        <v>15079</v>
      </c>
      <c r="C7889" s="52"/>
      <c r="D7889" s="55">
        <f t="shared" si="123"/>
        <v>0</v>
      </c>
      <c r="E7889" s="64"/>
      <c r="F7889" s="16" t="s">
        <v>1887</v>
      </c>
      <c r="G7889" s="15"/>
      <c r="H7889" s="15"/>
      <c r="I7889" s="15"/>
      <c r="J7889" s="17">
        <v>188</v>
      </c>
      <c r="K7889" s="15" t="s">
        <v>6434</v>
      </c>
      <c r="L7889" s="17">
        <v>1</v>
      </c>
      <c r="M7889" s="17">
        <v>4</v>
      </c>
      <c r="N7889" s="17">
        <v>1</v>
      </c>
      <c r="O7889" s="18">
        <v>1193.8</v>
      </c>
      <c r="P7889" s="18">
        <v>978.52</v>
      </c>
      <c r="Q7889" s="18">
        <v>1193.8</v>
      </c>
      <c r="R7889" s="18">
        <v>978.52</v>
      </c>
      <c r="S7889" s="18">
        <v>1193.8</v>
      </c>
      <c r="T7889" s="18">
        <v>978.52</v>
      </c>
      <c r="U7889" s="16"/>
      <c r="V7889" s="16"/>
      <c r="W7889" s="16" t="s">
        <v>40</v>
      </c>
      <c r="X7889" s="19">
        <v>2.173</v>
      </c>
      <c r="Y7889" s="20">
        <v>3.215E-3</v>
      </c>
      <c r="Z7889" s="21">
        <v>4601004239647</v>
      </c>
    </row>
    <row r="7890" spans="1:26" ht="12" customHeight="1" outlineLevel="3" x14ac:dyDescent="0.2">
      <c r="A7890" s="14" t="s">
        <v>15080</v>
      </c>
      <c r="B7890" s="26" t="s">
        <v>15081</v>
      </c>
      <c r="C7890" s="52"/>
      <c r="D7890" s="55">
        <f t="shared" si="123"/>
        <v>0</v>
      </c>
      <c r="E7890" s="64"/>
      <c r="F7890" s="16" t="s">
        <v>1887</v>
      </c>
      <c r="G7890" s="15"/>
      <c r="H7890" s="15"/>
      <c r="I7890" s="15"/>
      <c r="J7890" s="17">
        <v>108</v>
      </c>
      <c r="K7890" s="15"/>
      <c r="L7890" s="17">
        <v>1</v>
      </c>
      <c r="M7890" s="17">
        <v>4</v>
      </c>
      <c r="N7890" s="17">
        <v>1</v>
      </c>
      <c r="O7890" s="18">
        <v>1297.6099999999999</v>
      </c>
      <c r="P7890" s="18">
        <v>1063.6099999999999</v>
      </c>
      <c r="Q7890" s="18">
        <v>1297.6099999999999</v>
      </c>
      <c r="R7890" s="18">
        <v>1063.6099999999999</v>
      </c>
      <c r="S7890" s="18">
        <v>1297.6099999999999</v>
      </c>
      <c r="T7890" s="18">
        <v>1063.6099999999999</v>
      </c>
      <c r="U7890" s="16"/>
      <c r="V7890" s="16"/>
      <c r="W7890" s="16" t="s">
        <v>40</v>
      </c>
      <c r="X7890" s="19">
        <v>1.571</v>
      </c>
      <c r="Y7890" s="20">
        <v>2.9429999999999999E-3</v>
      </c>
      <c r="Z7890" s="21">
        <v>4601004239715</v>
      </c>
    </row>
    <row r="7891" spans="1:26" ht="12" customHeight="1" outlineLevel="3" x14ac:dyDescent="0.2">
      <c r="A7891" s="14" t="s">
        <v>15082</v>
      </c>
      <c r="B7891" s="26" t="s">
        <v>15083</v>
      </c>
      <c r="C7891" s="52"/>
      <c r="D7891" s="55">
        <f t="shared" si="123"/>
        <v>0</v>
      </c>
      <c r="E7891" s="64"/>
      <c r="F7891" s="16" t="s">
        <v>1887</v>
      </c>
      <c r="G7891" s="15"/>
      <c r="H7891" s="15"/>
      <c r="I7891" s="15"/>
      <c r="J7891" s="17">
        <v>174</v>
      </c>
      <c r="K7891" s="15" t="s">
        <v>6434</v>
      </c>
      <c r="L7891" s="17">
        <v>1</v>
      </c>
      <c r="M7891" s="17">
        <v>4</v>
      </c>
      <c r="N7891" s="17">
        <v>1</v>
      </c>
      <c r="O7891" s="18">
        <v>1609.05</v>
      </c>
      <c r="P7891" s="18">
        <v>1318.89</v>
      </c>
      <c r="Q7891" s="18">
        <v>1609.05</v>
      </c>
      <c r="R7891" s="18">
        <v>1318.89</v>
      </c>
      <c r="S7891" s="18">
        <v>1609.05</v>
      </c>
      <c r="T7891" s="18">
        <v>1318.89</v>
      </c>
      <c r="U7891" s="16"/>
      <c r="V7891" s="16"/>
      <c r="W7891" s="16" t="s">
        <v>40</v>
      </c>
      <c r="X7891" s="19">
        <v>2.891</v>
      </c>
      <c r="Y7891" s="20">
        <v>4.5989999999999998E-3</v>
      </c>
      <c r="Z7891" s="21">
        <v>4601004239654</v>
      </c>
    </row>
    <row r="7892" spans="1:26" ht="12" customHeight="1" outlineLevel="3" x14ac:dyDescent="0.2">
      <c r="A7892" s="14" t="s">
        <v>15084</v>
      </c>
      <c r="B7892" s="26" t="s">
        <v>15085</v>
      </c>
      <c r="C7892" s="52"/>
      <c r="D7892" s="55">
        <f t="shared" si="123"/>
        <v>0</v>
      </c>
      <c r="E7892" s="64"/>
      <c r="F7892" s="16" t="s">
        <v>1887</v>
      </c>
      <c r="G7892" s="15"/>
      <c r="H7892" s="15"/>
      <c r="I7892" s="15"/>
      <c r="J7892" s="17">
        <v>121</v>
      </c>
      <c r="K7892" s="15"/>
      <c r="L7892" s="17">
        <v>1</v>
      </c>
      <c r="M7892" s="17">
        <v>4</v>
      </c>
      <c r="N7892" s="17">
        <v>1</v>
      </c>
      <c r="O7892" s="18">
        <v>1764.76</v>
      </c>
      <c r="P7892" s="18">
        <v>1446.52</v>
      </c>
      <c r="Q7892" s="18">
        <v>1764.76</v>
      </c>
      <c r="R7892" s="18">
        <v>1446.52</v>
      </c>
      <c r="S7892" s="18">
        <v>1764.76</v>
      </c>
      <c r="T7892" s="18">
        <v>1446.52</v>
      </c>
      <c r="U7892" s="16"/>
      <c r="V7892" s="16"/>
      <c r="W7892" s="16" t="s">
        <v>40</v>
      </c>
      <c r="X7892" s="19">
        <v>2.1930000000000001</v>
      </c>
      <c r="Y7892" s="20">
        <v>4.1549999999999998E-3</v>
      </c>
      <c r="Z7892" s="21">
        <v>4601004239722</v>
      </c>
    </row>
    <row r="7893" spans="1:26" ht="12" customHeight="1" outlineLevel="3" x14ac:dyDescent="0.2">
      <c r="A7893" s="14" t="s">
        <v>15086</v>
      </c>
      <c r="B7893" s="26" t="s">
        <v>15087</v>
      </c>
      <c r="C7893" s="52"/>
      <c r="D7893" s="55">
        <f t="shared" si="123"/>
        <v>0</v>
      </c>
      <c r="E7893" s="64"/>
      <c r="F7893" s="16" t="s">
        <v>1887</v>
      </c>
      <c r="G7893" s="15"/>
      <c r="H7893" s="15"/>
      <c r="I7893" s="15"/>
      <c r="J7893" s="17">
        <v>126</v>
      </c>
      <c r="K7893" s="15" t="s">
        <v>6434</v>
      </c>
      <c r="L7893" s="17">
        <v>1</v>
      </c>
      <c r="M7893" s="17">
        <v>2</v>
      </c>
      <c r="N7893" s="17">
        <v>1</v>
      </c>
      <c r="O7893" s="18">
        <v>2491.42</v>
      </c>
      <c r="P7893" s="18">
        <v>2042.15</v>
      </c>
      <c r="Q7893" s="18">
        <v>2491.42</v>
      </c>
      <c r="R7893" s="18">
        <v>2042.15</v>
      </c>
      <c r="S7893" s="18">
        <v>2491.42</v>
      </c>
      <c r="T7893" s="18">
        <v>2042.15</v>
      </c>
      <c r="U7893" s="16"/>
      <c r="V7893" s="16"/>
      <c r="W7893" s="16" t="s">
        <v>40</v>
      </c>
      <c r="X7893" s="19">
        <v>4.577</v>
      </c>
      <c r="Y7893" s="20">
        <v>6.8649999999999996E-3</v>
      </c>
      <c r="Z7893" s="21">
        <v>4601004239661</v>
      </c>
    </row>
    <row r="7894" spans="1:26" ht="12" customHeight="1" outlineLevel="3" x14ac:dyDescent="0.2">
      <c r="A7894" s="14" t="s">
        <v>15088</v>
      </c>
      <c r="B7894" s="26" t="s">
        <v>15089</v>
      </c>
      <c r="C7894" s="52"/>
      <c r="D7894" s="55">
        <f t="shared" si="123"/>
        <v>0</v>
      </c>
      <c r="E7894" s="64"/>
      <c r="F7894" s="16" t="s">
        <v>1887</v>
      </c>
      <c r="G7894" s="15"/>
      <c r="H7894" s="15"/>
      <c r="I7894" s="15"/>
      <c r="J7894" s="17">
        <v>57</v>
      </c>
      <c r="K7894" s="15"/>
      <c r="L7894" s="17">
        <v>1</v>
      </c>
      <c r="M7894" s="17">
        <v>2</v>
      </c>
      <c r="N7894" s="17">
        <v>1</v>
      </c>
      <c r="O7894" s="18">
        <v>2699.04</v>
      </c>
      <c r="P7894" s="18">
        <v>2212.33</v>
      </c>
      <c r="Q7894" s="18">
        <v>2699.04</v>
      </c>
      <c r="R7894" s="18">
        <v>2212.33</v>
      </c>
      <c r="S7894" s="18">
        <v>2699.04</v>
      </c>
      <c r="T7894" s="18">
        <v>2212.33</v>
      </c>
      <c r="U7894" s="16"/>
      <c r="V7894" s="16"/>
      <c r="W7894" s="16" t="s">
        <v>40</v>
      </c>
      <c r="X7894" s="19">
        <v>3.2450000000000001</v>
      </c>
      <c r="Y7894" s="20">
        <v>6.4390000000000003E-3</v>
      </c>
      <c r="Z7894" s="21">
        <v>4601004239739</v>
      </c>
    </row>
    <row r="7895" spans="1:26" ht="12.95" customHeight="1" outlineLevel="1" x14ac:dyDescent="0.2">
      <c r="A7895" s="78" t="s">
        <v>15090</v>
      </c>
      <c r="B7895" s="78"/>
      <c r="C7895" s="79"/>
      <c r="D7895" s="57"/>
      <c r="E7895" s="67"/>
      <c r="F7895" s="12"/>
      <c r="G7895" s="12"/>
      <c r="H7895" s="12"/>
      <c r="I7895" s="12"/>
      <c r="J7895" s="12"/>
      <c r="K7895" s="12"/>
      <c r="L7895" s="12"/>
      <c r="M7895" s="12"/>
      <c r="N7895" s="12"/>
      <c r="O7895" s="12"/>
      <c r="P7895" s="12"/>
      <c r="Q7895" s="12"/>
      <c r="R7895" s="12"/>
      <c r="S7895" s="12"/>
      <c r="T7895" s="12"/>
      <c r="U7895" s="12"/>
      <c r="V7895" s="12"/>
      <c r="W7895" s="12"/>
      <c r="X7895" s="12"/>
      <c r="Y7895" s="12"/>
      <c r="Z7895" s="12"/>
    </row>
    <row r="7896" spans="1:26" ht="12.95" customHeight="1" outlineLevel="2" x14ac:dyDescent="0.2">
      <c r="A7896" s="76" t="s">
        <v>15091</v>
      </c>
      <c r="B7896" s="76"/>
      <c r="C7896" s="77"/>
      <c r="D7896" s="58"/>
      <c r="E7896" s="68"/>
      <c r="F7896" s="13"/>
      <c r="G7896" s="13"/>
      <c r="H7896" s="13"/>
      <c r="I7896" s="13"/>
      <c r="J7896" s="13"/>
      <c r="K7896" s="13"/>
      <c r="L7896" s="13"/>
      <c r="M7896" s="13"/>
      <c r="N7896" s="13"/>
      <c r="O7896" s="13"/>
      <c r="P7896" s="13"/>
      <c r="Q7896" s="13"/>
      <c r="R7896" s="13"/>
      <c r="S7896" s="13"/>
      <c r="T7896" s="13"/>
      <c r="U7896" s="13"/>
      <c r="V7896" s="13"/>
      <c r="W7896" s="13"/>
      <c r="X7896" s="13"/>
      <c r="Y7896" s="13"/>
      <c r="Z7896" s="13"/>
    </row>
    <row r="7897" spans="1:26" ht="12" customHeight="1" outlineLevel="3" x14ac:dyDescent="0.2">
      <c r="A7897" s="14" t="s">
        <v>15092</v>
      </c>
      <c r="B7897" s="26" t="s">
        <v>15093</v>
      </c>
      <c r="C7897" s="52"/>
      <c r="D7897" s="55">
        <f t="shared" si="123"/>
        <v>0</v>
      </c>
      <c r="E7897" s="63" t="str">
        <f>HYPERLINK("https://www.sds-group.ru/product/delitel-tvx2-pod-f-razem-5-1000mgts-silver-3-f-razema-v-komplekte-rexant-05-6101/", "Инфо")</f>
        <v>Инфо</v>
      </c>
      <c r="F7897" s="16" t="s">
        <v>39</v>
      </c>
      <c r="G7897" s="15"/>
      <c r="H7897" s="15"/>
      <c r="I7897" s="15"/>
      <c r="J7897" s="22">
        <v>5121</v>
      </c>
      <c r="K7897" s="15" t="s">
        <v>1519</v>
      </c>
      <c r="L7897" s="17">
        <v>5</v>
      </c>
      <c r="M7897" s="17">
        <v>120</v>
      </c>
      <c r="N7897" s="17">
        <v>5</v>
      </c>
      <c r="O7897" s="18">
        <v>339.3</v>
      </c>
      <c r="P7897" s="18">
        <v>278.11</v>
      </c>
      <c r="Q7897" s="18">
        <v>288.41000000000003</v>
      </c>
      <c r="R7897" s="18">
        <v>236.4</v>
      </c>
      <c r="S7897" s="18">
        <v>230.72</v>
      </c>
      <c r="T7897" s="18">
        <v>189.11</v>
      </c>
      <c r="U7897" s="16"/>
      <c r="V7897" s="16"/>
      <c r="W7897" s="16" t="s">
        <v>40</v>
      </c>
      <c r="X7897" s="19">
        <v>8.1000000000000003E-2</v>
      </c>
      <c r="Y7897" s="20">
        <v>5.4100000000000003E-4</v>
      </c>
      <c r="Z7897" s="21">
        <v>4610003602123</v>
      </c>
    </row>
    <row r="7898" spans="1:26" ht="12" customHeight="1" outlineLevel="3" x14ac:dyDescent="0.2">
      <c r="A7898" s="14" t="s">
        <v>15094</v>
      </c>
      <c r="B7898" s="26" t="s">
        <v>15095</v>
      </c>
      <c r="C7898" s="52"/>
      <c r="D7898" s="55">
        <f t="shared" si="123"/>
        <v>0</v>
      </c>
      <c r="E7898" s="63" t="str">
        <f>HYPERLINK("https://www.sds-group.ru/product/delitel-tvh2-pod-f-razem-5-1000mgts-proconnect-05-6021/", "Инфо")</f>
        <v>Инфо</v>
      </c>
      <c r="F7898" s="16" t="s">
        <v>39</v>
      </c>
      <c r="G7898" s="15"/>
      <c r="H7898" s="15"/>
      <c r="I7898" s="15"/>
      <c r="J7898" s="22">
        <v>6519</v>
      </c>
      <c r="K7898" s="15" t="s">
        <v>6939</v>
      </c>
      <c r="L7898" s="17">
        <v>10</v>
      </c>
      <c r="M7898" s="17">
        <v>250</v>
      </c>
      <c r="N7898" s="17">
        <v>10</v>
      </c>
      <c r="O7898" s="18">
        <v>133.72</v>
      </c>
      <c r="P7898" s="18">
        <v>109.61</v>
      </c>
      <c r="Q7898" s="18">
        <v>113.66</v>
      </c>
      <c r="R7898" s="18">
        <v>93.16</v>
      </c>
      <c r="S7898" s="18">
        <v>90.93</v>
      </c>
      <c r="T7898" s="18">
        <v>74.53</v>
      </c>
      <c r="U7898" s="16"/>
      <c r="V7898" s="16"/>
      <c r="W7898" s="16" t="s">
        <v>40</v>
      </c>
      <c r="X7898" s="19">
        <v>3.2000000000000001E-2</v>
      </c>
      <c r="Y7898" s="20">
        <v>7.2000000000000002E-5</v>
      </c>
      <c r="Z7898" s="21">
        <v>4660008012885</v>
      </c>
    </row>
    <row r="7899" spans="1:26" ht="12" customHeight="1" outlineLevel="3" x14ac:dyDescent="0.2">
      <c r="A7899" s="14" t="s">
        <v>15096</v>
      </c>
      <c r="B7899" s="26" t="s">
        <v>15097</v>
      </c>
      <c r="C7899" s="52"/>
      <c r="D7899" s="55">
        <f t="shared" si="123"/>
        <v>0</v>
      </c>
      <c r="E7899" s="63" t="str">
        <f>HYPERLINK("https://www.sds-group.ru/product/delitel-tvh2-pod-f-razem-5-1000mgts-rexant-05-6001/", "Инфо")</f>
        <v>Инфо</v>
      </c>
      <c r="F7899" s="16" t="s">
        <v>39</v>
      </c>
      <c r="G7899" s="15"/>
      <c r="H7899" s="15"/>
      <c r="I7899" s="15"/>
      <c r="J7899" s="22">
        <v>17136</v>
      </c>
      <c r="K7899" s="15" t="s">
        <v>995</v>
      </c>
      <c r="L7899" s="17">
        <v>10</v>
      </c>
      <c r="M7899" s="17">
        <v>200</v>
      </c>
      <c r="N7899" s="17">
        <v>10</v>
      </c>
      <c r="O7899" s="18">
        <v>194.46</v>
      </c>
      <c r="P7899" s="18">
        <v>159.38999999999999</v>
      </c>
      <c r="Q7899" s="18">
        <v>165.29</v>
      </c>
      <c r="R7899" s="18">
        <v>135.47999999999999</v>
      </c>
      <c r="S7899" s="18">
        <v>132.22999999999999</v>
      </c>
      <c r="T7899" s="18">
        <v>108.39</v>
      </c>
      <c r="U7899" s="16"/>
      <c r="V7899" s="16"/>
      <c r="W7899" s="16" t="s">
        <v>40</v>
      </c>
      <c r="X7899" s="19">
        <v>4.4999999999999998E-2</v>
      </c>
      <c r="Y7899" s="20">
        <v>1.5799999999999999E-4</v>
      </c>
      <c r="Z7899" s="21">
        <v>4610003602048</v>
      </c>
    </row>
    <row r="7900" spans="1:26" ht="12" customHeight="1" outlineLevel="3" x14ac:dyDescent="0.2">
      <c r="A7900" s="14" t="s">
        <v>15098</v>
      </c>
      <c r="B7900" s="26" t="s">
        <v>15099</v>
      </c>
      <c r="C7900" s="52"/>
      <c r="D7900" s="55">
        <f t="shared" si="123"/>
        <v>0</v>
      </c>
      <c r="E7900" s="63" t="str">
        <f>HYPERLINK("https://www.sds-group.ru/product/delitel-tvh2-pod-f-razem-5-2500mgts-sputnik-proconnect-05-6201-4/", "Инфо")</f>
        <v>Инфо</v>
      </c>
      <c r="F7900" s="16" t="s">
        <v>39</v>
      </c>
      <c r="G7900" s="15"/>
      <c r="H7900" s="15"/>
      <c r="I7900" s="15"/>
      <c r="J7900" s="22">
        <v>3768</v>
      </c>
      <c r="K7900" s="15" t="s">
        <v>1004</v>
      </c>
      <c r="L7900" s="17">
        <v>5</v>
      </c>
      <c r="M7900" s="17">
        <v>200</v>
      </c>
      <c r="N7900" s="17">
        <v>5</v>
      </c>
      <c r="O7900" s="18">
        <v>255.35</v>
      </c>
      <c r="P7900" s="18">
        <v>209.3</v>
      </c>
      <c r="Q7900" s="18">
        <v>217.05</v>
      </c>
      <c r="R7900" s="18">
        <v>177.91</v>
      </c>
      <c r="S7900" s="18">
        <v>173.64</v>
      </c>
      <c r="T7900" s="18">
        <v>142.33000000000001</v>
      </c>
      <c r="U7900" s="16"/>
      <c r="V7900" s="16"/>
      <c r="W7900" s="16" t="s">
        <v>40</v>
      </c>
      <c r="X7900" s="19">
        <v>3.4000000000000002E-2</v>
      </c>
      <c r="Y7900" s="20">
        <v>1.01E-4</v>
      </c>
      <c r="Z7900" s="21">
        <v>4601004093805</v>
      </c>
    </row>
    <row r="7901" spans="1:26" ht="12" customHeight="1" outlineLevel="3" x14ac:dyDescent="0.2">
      <c r="A7901" s="14" t="s">
        <v>15100</v>
      </c>
      <c r="B7901" s="26" t="s">
        <v>15101</v>
      </c>
      <c r="C7901" s="52"/>
      <c r="D7901" s="55">
        <f t="shared" si="123"/>
        <v>0</v>
      </c>
      <c r="E7901" s="63" t="str">
        <f>HYPERLINK("https://www.sds-group.ru/product/delitel-tvh2-pod-f-razem-5-2500mgts-sputnik-rexant-05-6201/", "Инфо")</f>
        <v>Инфо</v>
      </c>
      <c r="F7901" s="16" t="s">
        <v>39</v>
      </c>
      <c r="G7901" s="15"/>
      <c r="H7901" s="15"/>
      <c r="I7901" s="15"/>
      <c r="J7901" s="22">
        <v>3092</v>
      </c>
      <c r="K7901" s="15" t="s">
        <v>6939</v>
      </c>
      <c r="L7901" s="17">
        <v>5</v>
      </c>
      <c r="M7901" s="17">
        <v>100</v>
      </c>
      <c r="N7901" s="17">
        <v>5</v>
      </c>
      <c r="O7901" s="18">
        <v>379.82</v>
      </c>
      <c r="P7901" s="18">
        <v>311.33</v>
      </c>
      <c r="Q7901" s="18">
        <v>322.85000000000002</v>
      </c>
      <c r="R7901" s="18">
        <v>264.63</v>
      </c>
      <c r="S7901" s="18">
        <v>258.27999999999997</v>
      </c>
      <c r="T7901" s="18">
        <v>211.7</v>
      </c>
      <c r="U7901" s="16"/>
      <c r="V7901" s="16"/>
      <c r="W7901" s="16" t="s">
        <v>40</v>
      </c>
      <c r="X7901" s="19">
        <v>7.8E-2</v>
      </c>
      <c r="Y7901" s="20">
        <v>4.3300000000000001E-4</v>
      </c>
      <c r="Z7901" s="21">
        <v>4610003602222</v>
      </c>
    </row>
    <row r="7902" spans="1:26" ht="12" customHeight="1" outlineLevel="3" x14ac:dyDescent="0.2">
      <c r="A7902" s="14" t="s">
        <v>15102</v>
      </c>
      <c r="B7902" s="26" t="s">
        <v>15103</v>
      </c>
      <c r="C7902" s="52"/>
      <c r="D7902" s="55">
        <f t="shared" si="123"/>
        <v>0</v>
      </c>
      <c r="E7902" s="63" t="str">
        <f>HYPERLINK("https://www.sds-group.ru/product/delitel-tvh2-pod-f-razem-5-900mgts-proconnect-05-6031/", "Инфо")</f>
        <v>Инфо</v>
      </c>
      <c r="F7902" s="16" t="s">
        <v>39</v>
      </c>
      <c r="G7902" s="15"/>
      <c r="H7902" s="15"/>
      <c r="I7902" s="15"/>
      <c r="J7902" s="22">
        <v>10099</v>
      </c>
      <c r="K7902" s="15" t="s">
        <v>1277</v>
      </c>
      <c r="L7902" s="17">
        <v>10</v>
      </c>
      <c r="M7902" s="17">
        <v>500</v>
      </c>
      <c r="N7902" s="17">
        <v>10</v>
      </c>
      <c r="O7902" s="18">
        <v>64.849999999999994</v>
      </c>
      <c r="P7902" s="18">
        <v>53.16</v>
      </c>
      <c r="Q7902" s="18">
        <v>55.12</v>
      </c>
      <c r="R7902" s="18">
        <v>45.18</v>
      </c>
      <c r="S7902" s="18">
        <v>44.1</v>
      </c>
      <c r="T7902" s="18">
        <v>36.15</v>
      </c>
      <c r="U7902" s="16"/>
      <c r="V7902" s="16"/>
      <c r="W7902" s="16" t="s">
        <v>40</v>
      </c>
      <c r="X7902" s="19">
        <v>2.1000000000000001E-2</v>
      </c>
      <c r="Y7902" s="20">
        <v>4.8000000000000001E-5</v>
      </c>
      <c r="Z7902" s="21">
        <v>4601004133044</v>
      </c>
    </row>
    <row r="7903" spans="1:26" ht="12" customHeight="1" outlineLevel="3" x14ac:dyDescent="0.2">
      <c r="A7903" s="14" t="s">
        <v>15104</v>
      </c>
      <c r="B7903" s="26" t="s">
        <v>15105</v>
      </c>
      <c r="C7903" s="52"/>
      <c r="D7903" s="55">
        <f t="shared" si="123"/>
        <v>0</v>
      </c>
      <c r="E7903" s="63" t="str">
        <f>HYPERLINK("https://www.sds-group.ru/product/delitel-tvh3-pod-f-razem-5-1000mgts-proconnect-05-6022/", "Инфо")</f>
        <v>Инфо</v>
      </c>
      <c r="F7903" s="16" t="s">
        <v>39</v>
      </c>
      <c r="G7903" s="15"/>
      <c r="H7903" s="15"/>
      <c r="I7903" s="15"/>
      <c r="J7903" s="16" t="s">
        <v>100</v>
      </c>
      <c r="K7903" s="15" t="s">
        <v>6939</v>
      </c>
      <c r="L7903" s="17">
        <v>10</v>
      </c>
      <c r="M7903" s="17">
        <v>250</v>
      </c>
      <c r="N7903" s="17">
        <v>10</v>
      </c>
      <c r="O7903" s="18">
        <v>175.55</v>
      </c>
      <c r="P7903" s="18">
        <v>143.88999999999999</v>
      </c>
      <c r="Q7903" s="18">
        <v>149.22</v>
      </c>
      <c r="R7903" s="18">
        <v>122.31</v>
      </c>
      <c r="S7903" s="18">
        <v>119.37</v>
      </c>
      <c r="T7903" s="18">
        <v>97.84</v>
      </c>
      <c r="U7903" s="16"/>
      <c r="V7903" s="16"/>
      <c r="W7903" s="16" t="s">
        <v>40</v>
      </c>
      <c r="X7903" s="19">
        <v>4.3999999999999997E-2</v>
      </c>
      <c r="Y7903" s="20">
        <v>8.7999999999999998E-5</v>
      </c>
      <c r="Z7903" s="21">
        <v>4660008012892</v>
      </c>
    </row>
    <row r="7904" spans="1:26" ht="12" customHeight="1" outlineLevel="3" x14ac:dyDescent="0.2">
      <c r="A7904" s="14" t="s">
        <v>15106</v>
      </c>
      <c r="B7904" s="26" t="s">
        <v>15107</v>
      </c>
      <c r="C7904" s="52"/>
      <c r="D7904" s="55">
        <f t="shared" si="123"/>
        <v>0</v>
      </c>
      <c r="E7904" s="63" t="str">
        <f>HYPERLINK("https://www.sds-group.ru/product/delitel-tvh3-pod-f-razem-5-1000mgts-rexant-05-6002/", "Инфо")</f>
        <v>Инфо</v>
      </c>
      <c r="F7904" s="16" t="s">
        <v>39</v>
      </c>
      <c r="G7904" s="15"/>
      <c r="H7904" s="15"/>
      <c r="I7904" s="15"/>
      <c r="J7904" s="22">
        <v>8874</v>
      </c>
      <c r="K7904" s="15" t="s">
        <v>995</v>
      </c>
      <c r="L7904" s="17">
        <v>5</v>
      </c>
      <c r="M7904" s="17">
        <v>200</v>
      </c>
      <c r="N7904" s="17">
        <v>5</v>
      </c>
      <c r="O7904" s="18">
        <v>292.7</v>
      </c>
      <c r="P7904" s="18">
        <v>239.92</v>
      </c>
      <c r="Q7904" s="18">
        <v>248.8</v>
      </c>
      <c r="R7904" s="18">
        <v>203.93</v>
      </c>
      <c r="S7904" s="18">
        <v>199.04</v>
      </c>
      <c r="T7904" s="18">
        <v>163.15</v>
      </c>
      <c r="U7904" s="16"/>
      <c r="V7904" s="16"/>
      <c r="W7904" s="16" t="s">
        <v>40</v>
      </c>
      <c r="X7904" s="19">
        <v>6.0999999999999999E-2</v>
      </c>
      <c r="Y7904" s="20">
        <v>1.6000000000000001E-4</v>
      </c>
      <c r="Z7904" s="21">
        <v>4610003602055</v>
      </c>
    </row>
    <row r="7905" spans="1:26" ht="12" customHeight="1" outlineLevel="3" x14ac:dyDescent="0.2">
      <c r="A7905" s="14" t="s">
        <v>15108</v>
      </c>
      <c r="B7905" s="26" t="s">
        <v>15109</v>
      </c>
      <c r="C7905" s="52"/>
      <c r="D7905" s="55">
        <f t="shared" si="123"/>
        <v>0</v>
      </c>
      <c r="E7905" s="63" t="str">
        <f>HYPERLINK("https://www.sds-group.ru/product/delitel-tvh3-pod-f-razem-5-1000mgts-silver-4-f-razema-v-komplekte-rexant-05-6102/", "Инфо")</f>
        <v>Инфо</v>
      </c>
      <c r="F7905" s="16" t="s">
        <v>39</v>
      </c>
      <c r="G7905" s="15"/>
      <c r="H7905" s="15"/>
      <c r="I7905" s="15"/>
      <c r="J7905" s="22">
        <v>6011</v>
      </c>
      <c r="K7905" s="15"/>
      <c r="L7905" s="17">
        <v>1</v>
      </c>
      <c r="M7905" s="17">
        <v>120</v>
      </c>
      <c r="N7905" s="17">
        <v>1</v>
      </c>
      <c r="O7905" s="18">
        <v>452.4</v>
      </c>
      <c r="P7905" s="18">
        <v>370.82</v>
      </c>
      <c r="Q7905" s="18">
        <v>361.92</v>
      </c>
      <c r="R7905" s="18">
        <v>296.66000000000003</v>
      </c>
      <c r="S7905" s="18">
        <v>307.63</v>
      </c>
      <c r="T7905" s="18">
        <v>252.16</v>
      </c>
      <c r="U7905" s="16"/>
      <c r="V7905" s="16"/>
      <c r="W7905" s="16" t="s">
        <v>40</v>
      </c>
      <c r="X7905" s="19">
        <v>5.8000000000000003E-2</v>
      </c>
      <c r="Y7905" s="20">
        <v>2.5900000000000001E-4</v>
      </c>
      <c r="Z7905" s="21">
        <v>4610003602130</v>
      </c>
    </row>
    <row r="7906" spans="1:26" ht="12" customHeight="1" outlineLevel="3" x14ac:dyDescent="0.2">
      <c r="A7906" s="14" t="s">
        <v>15110</v>
      </c>
      <c r="B7906" s="26" t="s">
        <v>15111</v>
      </c>
      <c r="C7906" s="52"/>
      <c r="D7906" s="55">
        <f t="shared" si="123"/>
        <v>0</v>
      </c>
      <c r="E7906" s="63" t="str">
        <f>HYPERLINK("https://www.sds-group.ru/product/delitel-tvh3-pod-f-razem-5-2500mgts-sputnik-proconnect-05-6202-4/", "Инфо")</f>
        <v>Инфо</v>
      </c>
      <c r="F7906" s="16" t="s">
        <v>39</v>
      </c>
      <c r="G7906" s="15"/>
      <c r="H7906" s="15"/>
      <c r="I7906" s="15"/>
      <c r="J7906" s="22">
        <v>1942</v>
      </c>
      <c r="K7906" s="15" t="s">
        <v>998</v>
      </c>
      <c r="L7906" s="17">
        <v>5</v>
      </c>
      <c r="M7906" s="17">
        <v>200</v>
      </c>
      <c r="N7906" s="17">
        <v>5</v>
      </c>
      <c r="O7906" s="18">
        <v>323.66000000000003</v>
      </c>
      <c r="P7906" s="18">
        <v>265.3</v>
      </c>
      <c r="Q7906" s="18">
        <v>275.11</v>
      </c>
      <c r="R7906" s="18">
        <v>225.5</v>
      </c>
      <c r="S7906" s="18">
        <v>220.09</v>
      </c>
      <c r="T7906" s="18">
        <v>180.4</v>
      </c>
      <c r="U7906" s="16"/>
      <c r="V7906" s="16"/>
      <c r="W7906" s="16" t="s">
        <v>40</v>
      </c>
      <c r="X7906" s="19">
        <v>4.7E-2</v>
      </c>
      <c r="Y7906" s="20">
        <v>1.17E-4</v>
      </c>
      <c r="Z7906" s="21">
        <v>4601004093782</v>
      </c>
    </row>
    <row r="7907" spans="1:26" ht="12" customHeight="1" outlineLevel="3" x14ac:dyDescent="0.2">
      <c r="A7907" s="14" t="s">
        <v>15112</v>
      </c>
      <c r="B7907" s="26" t="s">
        <v>15113</v>
      </c>
      <c r="C7907" s="52"/>
      <c r="D7907" s="55">
        <f t="shared" si="123"/>
        <v>0</v>
      </c>
      <c r="E7907" s="63" t="str">
        <f>HYPERLINK("https://www.sds-group.ru/product/delitel-tvh3-pod-f-razem-5-2500mgts-sputnik-rexant-05-6202/", "Инфо")</f>
        <v>Инфо</v>
      </c>
      <c r="F7907" s="16" t="s">
        <v>39</v>
      </c>
      <c r="G7907" s="15"/>
      <c r="H7907" s="15"/>
      <c r="I7907" s="15"/>
      <c r="J7907" s="22">
        <v>1947</v>
      </c>
      <c r="K7907" s="15"/>
      <c r="L7907" s="17">
        <v>1</v>
      </c>
      <c r="M7907" s="17">
        <v>100</v>
      </c>
      <c r="N7907" s="17">
        <v>1</v>
      </c>
      <c r="O7907" s="18">
        <v>540.77</v>
      </c>
      <c r="P7907" s="18">
        <v>443.25</v>
      </c>
      <c r="Q7907" s="18">
        <v>432.62</v>
      </c>
      <c r="R7907" s="18">
        <v>354.61</v>
      </c>
      <c r="S7907" s="18">
        <v>367.72</v>
      </c>
      <c r="T7907" s="18">
        <v>301.41000000000003</v>
      </c>
      <c r="U7907" s="16"/>
      <c r="V7907" s="16"/>
      <c r="W7907" s="16" t="s">
        <v>40</v>
      </c>
      <c r="X7907" s="19">
        <v>8.4000000000000005E-2</v>
      </c>
      <c r="Y7907" s="20">
        <v>4.5899999999999999E-4</v>
      </c>
      <c r="Z7907" s="21">
        <v>4610003602239</v>
      </c>
    </row>
    <row r="7908" spans="1:26" ht="12" customHeight="1" outlineLevel="3" x14ac:dyDescent="0.2">
      <c r="A7908" s="14" t="s">
        <v>15114</v>
      </c>
      <c r="B7908" s="26" t="s">
        <v>15115</v>
      </c>
      <c r="C7908" s="52"/>
      <c r="D7908" s="55">
        <f t="shared" si="123"/>
        <v>0</v>
      </c>
      <c r="E7908" s="63" t="str">
        <f>HYPERLINK("https://www.sds-group.ru/product/delitel-tvh3-pod-f-razem-5-900mgts-proconnect-05-6032/", "Инфо")</f>
        <v>Инфо</v>
      </c>
      <c r="F7908" s="16" t="s">
        <v>39</v>
      </c>
      <c r="G7908" s="15"/>
      <c r="H7908" s="15"/>
      <c r="I7908" s="15"/>
      <c r="J7908" s="22">
        <v>4306</v>
      </c>
      <c r="K7908" s="15" t="s">
        <v>1150</v>
      </c>
      <c r="L7908" s="17">
        <v>10</v>
      </c>
      <c r="M7908" s="17">
        <v>500</v>
      </c>
      <c r="N7908" s="17">
        <v>10</v>
      </c>
      <c r="O7908" s="18">
        <v>81.260000000000005</v>
      </c>
      <c r="P7908" s="18">
        <v>66.61</v>
      </c>
      <c r="Q7908" s="18">
        <v>69.069999999999993</v>
      </c>
      <c r="R7908" s="18">
        <v>56.61</v>
      </c>
      <c r="S7908" s="18">
        <v>55.26</v>
      </c>
      <c r="T7908" s="18">
        <v>45.3</v>
      </c>
      <c r="U7908" s="16"/>
      <c r="V7908" s="16"/>
      <c r="W7908" s="16" t="s">
        <v>40</v>
      </c>
      <c r="X7908" s="19">
        <v>2.5999999999999999E-2</v>
      </c>
      <c r="Y7908" s="20">
        <v>5.3999999999999998E-5</v>
      </c>
      <c r="Z7908" s="21">
        <v>4601004133358</v>
      </c>
    </row>
    <row r="7909" spans="1:26" ht="12" customHeight="1" outlineLevel="3" x14ac:dyDescent="0.2">
      <c r="A7909" s="14" t="s">
        <v>15116</v>
      </c>
      <c r="B7909" s="26" t="s">
        <v>15117</v>
      </c>
      <c r="C7909" s="52"/>
      <c r="D7909" s="55">
        <f t="shared" si="123"/>
        <v>0</v>
      </c>
      <c r="E7909" s="63" t="str">
        <f>HYPERLINK("https://www.sds-group.ru/product/delitel-tvh4-pod-f-razem-5-1000mgts-proconnect-05-6023/", "Инфо")</f>
        <v>Инфо</v>
      </c>
      <c r="F7909" s="16" t="s">
        <v>39</v>
      </c>
      <c r="G7909" s="15"/>
      <c r="H7909" s="15"/>
      <c r="I7909" s="15"/>
      <c r="J7909" s="22">
        <v>5894</v>
      </c>
      <c r="K7909" s="15" t="s">
        <v>925</v>
      </c>
      <c r="L7909" s="17">
        <v>10</v>
      </c>
      <c r="M7909" s="17">
        <v>200</v>
      </c>
      <c r="N7909" s="17">
        <v>10</v>
      </c>
      <c r="O7909" s="18">
        <v>203.42</v>
      </c>
      <c r="P7909" s="18">
        <v>166.74</v>
      </c>
      <c r="Q7909" s="18">
        <v>172.91</v>
      </c>
      <c r="R7909" s="18">
        <v>141.72999999999999</v>
      </c>
      <c r="S7909" s="18">
        <v>138.33000000000001</v>
      </c>
      <c r="T7909" s="18">
        <v>113.39</v>
      </c>
      <c r="U7909" s="16"/>
      <c r="V7909" s="16"/>
      <c r="W7909" s="16" t="s">
        <v>40</v>
      </c>
      <c r="X7909" s="19">
        <v>4.8000000000000001E-2</v>
      </c>
      <c r="Y7909" s="20">
        <v>1.16E-4</v>
      </c>
      <c r="Z7909" s="21">
        <v>4601004000230</v>
      </c>
    </row>
    <row r="7910" spans="1:26" ht="12" customHeight="1" outlineLevel="3" x14ac:dyDescent="0.2">
      <c r="A7910" s="14" t="s">
        <v>15118</v>
      </c>
      <c r="B7910" s="26" t="s">
        <v>15119</v>
      </c>
      <c r="C7910" s="52"/>
      <c r="D7910" s="55">
        <f t="shared" si="123"/>
        <v>0</v>
      </c>
      <c r="E7910" s="63" t="str">
        <f>HYPERLINK("https://www.sds-group.ru/product/delitel-tvh4-pod-f-razem-5-1000mgts-rexant-05-6003/", "Инфо")</f>
        <v>Инфо</v>
      </c>
      <c r="F7910" s="16" t="s">
        <v>39</v>
      </c>
      <c r="G7910" s="15"/>
      <c r="H7910" s="15"/>
      <c r="I7910" s="15"/>
      <c r="J7910" s="17">
        <v>135</v>
      </c>
      <c r="K7910" s="15" t="s">
        <v>6939</v>
      </c>
      <c r="L7910" s="17">
        <v>10</v>
      </c>
      <c r="M7910" s="17">
        <v>200</v>
      </c>
      <c r="N7910" s="17">
        <v>10</v>
      </c>
      <c r="O7910" s="18">
        <v>359.05</v>
      </c>
      <c r="P7910" s="18">
        <v>294.3</v>
      </c>
      <c r="Q7910" s="18">
        <v>305.19</v>
      </c>
      <c r="R7910" s="18">
        <v>250.16</v>
      </c>
      <c r="S7910" s="18">
        <v>244.15</v>
      </c>
      <c r="T7910" s="18">
        <v>200.12</v>
      </c>
      <c r="U7910" s="16"/>
      <c r="V7910" s="16"/>
      <c r="W7910" s="16" t="s">
        <v>40</v>
      </c>
      <c r="X7910" s="19">
        <v>6.0999999999999999E-2</v>
      </c>
      <c r="Y7910" s="20">
        <v>1.6799999999999999E-4</v>
      </c>
      <c r="Z7910" s="21">
        <v>4610003602062</v>
      </c>
    </row>
    <row r="7911" spans="1:26" ht="12" customHeight="1" outlineLevel="3" x14ac:dyDescent="0.2">
      <c r="A7911" s="14" t="s">
        <v>15120</v>
      </c>
      <c r="B7911" s="26" t="s">
        <v>15121</v>
      </c>
      <c r="C7911" s="52"/>
      <c r="D7911" s="55">
        <f t="shared" si="123"/>
        <v>0</v>
      </c>
      <c r="E7911" s="63" t="str">
        <f>HYPERLINK("https://www.sds-group.ru/product/delitel-tvh4-pod-f-razem-5-1000mgts-silver-5-f-razemov-v-komplekte-rexant-05-6103/", "Инфо")</f>
        <v>Инфо</v>
      </c>
      <c r="F7911" s="16" t="s">
        <v>39</v>
      </c>
      <c r="G7911" s="15"/>
      <c r="H7911" s="15"/>
      <c r="I7911" s="15"/>
      <c r="J7911" s="22">
        <v>2562</v>
      </c>
      <c r="K7911" s="15" t="s">
        <v>925</v>
      </c>
      <c r="L7911" s="17">
        <v>1</v>
      </c>
      <c r="M7911" s="17">
        <v>120</v>
      </c>
      <c r="N7911" s="17">
        <v>1</v>
      </c>
      <c r="O7911" s="18">
        <v>482.84</v>
      </c>
      <c r="P7911" s="18">
        <v>395.77</v>
      </c>
      <c r="Q7911" s="18">
        <v>386.27</v>
      </c>
      <c r="R7911" s="18">
        <v>316.61</v>
      </c>
      <c r="S7911" s="18">
        <v>328.33</v>
      </c>
      <c r="T7911" s="18">
        <v>269.12</v>
      </c>
      <c r="U7911" s="16"/>
      <c r="V7911" s="16"/>
      <c r="W7911" s="16" t="s">
        <v>40</v>
      </c>
      <c r="X7911" s="19">
        <v>0.105</v>
      </c>
      <c r="Y7911" s="20">
        <v>5.5199999999999997E-4</v>
      </c>
      <c r="Z7911" s="21">
        <v>4610003602147</v>
      </c>
    </row>
    <row r="7912" spans="1:26" ht="12" customHeight="1" outlineLevel="3" x14ac:dyDescent="0.2">
      <c r="A7912" s="14" t="s">
        <v>15122</v>
      </c>
      <c r="B7912" s="26" t="s">
        <v>15123</v>
      </c>
      <c r="C7912" s="52"/>
      <c r="D7912" s="55">
        <f t="shared" si="123"/>
        <v>0</v>
      </c>
      <c r="E7912" s="63" t="str">
        <f>HYPERLINK("https://www.sds-group.ru/product/delitel-tvh4-pod-f-razem-5-2500mgts-sputnik-rexant-05-6203/", "Инфо")</f>
        <v>Инфо</v>
      </c>
      <c r="F7912" s="16" t="s">
        <v>39</v>
      </c>
      <c r="G7912" s="15"/>
      <c r="H7912" s="15"/>
      <c r="I7912" s="15"/>
      <c r="J7912" s="22">
        <v>1198</v>
      </c>
      <c r="K7912" s="15" t="s">
        <v>1519</v>
      </c>
      <c r="L7912" s="17">
        <v>1</v>
      </c>
      <c r="M7912" s="17">
        <v>120</v>
      </c>
      <c r="N7912" s="17">
        <v>1</v>
      </c>
      <c r="O7912" s="18">
        <v>645.36</v>
      </c>
      <c r="P7912" s="18">
        <v>528.98</v>
      </c>
      <c r="Q7912" s="18">
        <v>516.29</v>
      </c>
      <c r="R7912" s="18">
        <v>423.19</v>
      </c>
      <c r="S7912" s="18">
        <v>438.84</v>
      </c>
      <c r="T7912" s="18">
        <v>359.7</v>
      </c>
      <c r="U7912" s="16"/>
      <c r="V7912" s="16"/>
      <c r="W7912" s="16" t="s">
        <v>40</v>
      </c>
      <c r="X7912" s="19">
        <v>0.152</v>
      </c>
      <c r="Y7912" s="20">
        <v>5.4900000000000001E-4</v>
      </c>
      <c r="Z7912" s="21">
        <v>4610003602246</v>
      </c>
    </row>
    <row r="7913" spans="1:26" ht="12" customHeight="1" outlineLevel="3" x14ac:dyDescent="0.2">
      <c r="A7913" s="14" t="s">
        <v>15124</v>
      </c>
      <c r="B7913" s="26" t="s">
        <v>15125</v>
      </c>
      <c r="C7913" s="52"/>
      <c r="D7913" s="55">
        <f t="shared" si="123"/>
        <v>0</v>
      </c>
      <c r="E7913" s="63" t="str">
        <f>HYPERLINK("https://www.sds-group.ru/product/delitel-tvh6-pod-f-razem-5-1000mgts-proconnect-05-6024/", "Инфо")</f>
        <v>Инфо</v>
      </c>
      <c r="F7913" s="16" t="s">
        <v>39</v>
      </c>
      <c r="G7913" s="15"/>
      <c r="H7913" s="15"/>
      <c r="I7913" s="15"/>
      <c r="J7913" s="22">
        <v>1193</v>
      </c>
      <c r="K7913" s="15" t="s">
        <v>925</v>
      </c>
      <c r="L7913" s="17">
        <v>1</v>
      </c>
      <c r="M7913" s="17">
        <v>100</v>
      </c>
      <c r="N7913" s="17">
        <v>1</v>
      </c>
      <c r="O7913" s="18">
        <v>611.79</v>
      </c>
      <c r="P7913" s="18">
        <v>501.47</v>
      </c>
      <c r="Q7913" s="18">
        <v>489.43</v>
      </c>
      <c r="R7913" s="18">
        <v>401.17</v>
      </c>
      <c r="S7913" s="18">
        <v>416.02</v>
      </c>
      <c r="T7913" s="18">
        <v>341</v>
      </c>
      <c r="U7913" s="16"/>
      <c r="V7913" s="16"/>
      <c r="W7913" s="16" t="s">
        <v>40</v>
      </c>
      <c r="X7913" s="19">
        <v>0.108</v>
      </c>
      <c r="Y7913" s="20">
        <v>2.9500000000000001E-4</v>
      </c>
      <c r="Z7913" s="21">
        <v>4601004012103</v>
      </c>
    </row>
    <row r="7914" spans="1:26" ht="12" customHeight="1" outlineLevel="3" x14ac:dyDescent="0.2">
      <c r="A7914" s="14" t="s">
        <v>15126</v>
      </c>
      <c r="B7914" s="26" t="s">
        <v>15127</v>
      </c>
      <c r="C7914" s="52"/>
      <c r="D7914" s="55">
        <f t="shared" si="123"/>
        <v>0</v>
      </c>
      <c r="E7914" s="63" t="str">
        <f>HYPERLINK("https://www.sds-group.ru/product/delitel-tvh6-pod-f-razem-5-1000mgts-rexant-05-6004/", "Инфо")</f>
        <v>Инфо</v>
      </c>
      <c r="F7914" s="16" t="s">
        <v>39</v>
      </c>
      <c r="G7914" s="15"/>
      <c r="H7914" s="15"/>
      <c r="I7914" s="15"/>
      <c r="J7914" s="16" t="s">
        <v>100</v>
      </c>
      <c r="K7914" s="15" t="s">
        <v>925</v>
      </c>
      <c r="L7914" s="17">
        <v>1</v>
      </c>
      <c r="M7914" s="17">
        <v>100</v>
      </c>
      <c r="N7914" s="17">
        <v>1</v>
      </c>
      <c r="O7914" s="18">
        <v>779.14</v>
      </c>
      <c r="P7914" s="18">
        <v>638.64</v>
      </c>
      <c r="Q7914" s="18">
        <v>623.30999999999995</v>
      </c>
      <c r="R7914" s="18">
        <v>510.91</v>
      </c>
      <c r="S7914" s="18">
        <v>529.82000000000005</v>
      </c>
      <c r="T7914" s="18">
        <v>434.28</v>
      </c>
      <c r="U7914" s="16"/>
      <c r="V7914" s="16"/>
      <c r="W7914" s="16" t="s">
        <v>40</v>
      </c>
      <c r="X7914" s="19">
        <v>0.14599999999999999</v>
      </c>
      <c r="Y7914" s="20">
        <v>2.8400000000000002E-4</v>
      </c>
      <c r="Z7914" s="21">
        <v>4610003602079</v>
      </c>
    </row>
    <row r="7915" spans="1:26" ht="12" customHeight="1" outlineLevel="3" x14ac:dyDescent="0.2">
      <c r="A7915" s="14" t="s">
        <v>15128</v>
      </c>
      <c r="B7915" s="26" t="s">
        <v>15129</v>
      </c>
      <c r="C7915" s="52"/>
      <c r="D7915" s="55">
        <f t="shared" si="123"/>
        <v>0</v>
      </c>
      <c r="E7915" s="63" t="str">
        <f>HYPERLINK("https://www.sds-group.ru/product/delitel-tvh6-pod-f-razem-5-1000mgts-silver-7-f-razemov-v-komplekte-rexant-05-6104/", "Инфо")</f>
        <v>Инфо</v>
      </c>
      <c r="F7915" s="16" t="s">
        <v>39</v>
      </c>
      <c r="G7915" s="15"/>
      <c r="H7915" s="15"/>
      <c r="I7915" s="15"/>
      <c r="J7915" s="17">
        <v>202</v>
      </c>
      <c r="K7915" s="15"/>
      <c r="L7915" s="17">
        <v>1</v>
      </c>
      <c r="M7915" s="17">
        <v>40</v>
      </c>
      <c r="N7915" s="17">
        <v>1</v>
      </c>
      <c r="O7915" s="18">
        <v>1408.99</v>
      </c>
      <c r="P7915" s="18">
        <v>1154.9100000000001</v>
      </c>
      <c r="Q7915" s="18">
        <v>1113.0999999999999</v>
      </c>
      <c r="R7915" s="18">
        <v>912.38</v>
      </c>
      <c r="S7915" s="18">
        <v>958.11</v>
      </c>
      <c r="T7915" s="18">
        <v>785.34</v>
      </c>
      <c r="U7915" s="16"/>
      <c r="V7915" s="16"/>
      <c r="W7915" s="16" t="s">
        <v>40</v>
      </c>
      <c r="X7915" s="19">
        <v>0.22500000000000001</v>
      </c>
      <c r="Y7915" s="20">
        <v>1.3110000000000001E-3</v>
      </c>
      <c r="Z7915" s="21">
        <v>4610003602154</v>
      </c>
    </row>
    <row r="7916" spans="1:26" ht="12" customHeight="1" outlineLevel="3" x14ac:dyDescent="0.2">
      <c r="A7916" s="14" t="s">
        <v>15130</v>
      </c>
      <c r="B7916" s="26" t="s">
        <v>15131</v>
      </c>
      <c r="C7916" s="52"/>
      <c r="D7916" s="55">
        <f t="shared" si="123"/>
        <v>0</v>
      </c>
      <c r="E7916" s="63" t="str">
        <f>HYPERLINK("https://www.sds-group.ru/product/delitel-tvh6-pod-f-razem-5-2500mgts-sputnik-rexant-05-6204/", "Инфо")</f>
        <v>Инфо</v>
      </c>
      <c r="F7916" s="16" t="s">
        <v>39</v>
      </c>
      <c r="G7916" s="15"/>
      <c r="H7916" s="15"/>
      <c r="I7916" s="15"/>
      <c r="J7916" s="16" t="s">
        <v>100</v>
      </c>
      <c r="K7916" s="15" t="s">
        <v>925</v>
      </c>
      <c r="L7916" s="17">
        <v>1</v>
      </c>
      <c r="M7916" s="17">
        <v>40</v>
      </c>
      <c r="N7916" s="17">
        <v>1</v>
      </c>
      <c r="O7916" s="18">
        <v>1140.95</v>
      </c>
      <c r="P7916" s="18">
        <v>935.2</v>
      </c>
      <c r="Q7916" s="18">
        <v>912.76</v>
      </c>
      <c r="R7916" s="18">
        <v>748.16</v>
      </c>
      <c r="S7916" s="18">
        <v>775.85</v>
      </c>
      <c r="T7916" s="18">
        <v>635.94000000000005</v>
      </c>
      <c r="U7916" s="16"/>
      <c r="V7916" s="16"/>
      <c r="W7916" s="16" t="s">
        <v>40</v>
      </c>
      <c r="X7916" s="19">
        <v>0.23100000000000001</v>
      </c>
      <c r="Y7916" s="20">
        <v>1.2960000000000001E-3</v>
      </c>
      <c r="Z7916" s="21">
        <v>4610003602253</v>
      </c>
    </row>
    <row r="7917" spans="1:26" ht="12" customHeight="1" outlineLevel="3" x14ac:dyDescent="0.2">
      <c r="A7917" s="14" t="s">
        <v>15132</v>
      </c>
      <c r="B7917" s="26" t="s">
        <v>15133</v>
      </c>
      <c r="C7917" s="52"/>
      <c r="D7917" s="55">
        <f t="shared" si="123"/>
        <v>0</v>
      </c>
      <c r="E7917" s="63" t="str">
        <f>HYPERLINK("https://www.sds-group.ru/product/delitel-tvh8-pod-f-razem-5-1000mgts-proconnect-05-6025/", "Инфо")</f>
        <v>Инфо</v>
      </c>
      <c r="F7917" s="16" t="s">
        <v>39</v>
      </c>
      <c r="G7917" s="15"/>
      <c r="H7917" s="15"/>
      <c r="I7917" s="15"/>
      <c r="J7917" s="17">
        <v>483</v>
      </c>
      <c r="K7917" s="15" t="s">
        <v>998</v>
      </c>
      <c r="L7917" s="17">
        <v>5</v>
      </c>
      <c r="M7917" s="17">
        <v>100</v>
      </c>
      <c r="N7917" s="17">
        <v>5</v>
      </c>
      <c r="O7917" s="18">
        <v>561.74</v>
      </c>
      <c r="P7917" s="18">
        <v>460.44</v>
      </c>
      <c r="Q7917" s="18">
        <v>449.39</v>
      </c>
      <c r="R7917" s="18">
        <v>368.35</v>
      </c>
      <c r="S7917" s="18">
        <v>381.98</v>
      </c>
      <c r="T7917" s="18">
        <v>313.10000000000002</v>
      </c>
      <c r="U7917" s="16"/>
      <c r="V7917" s="16"/>
      <c r="W7917" s="16" t="s">
        <v>40</v>
      </c>
      <c r="X7917" s="19">
        <v>0.112</v>
      </c>
      <c r="Y7917" s="20">
        <v>2.3800000000000001E-4</v>
      </c>
      <c r="Z7917" s="21">
        <v>4601004133419</v>
      </c>
    </row>
    <row r="7918" spans="1:26" ht="12" customHeight="1" outlineLevel="3" x14ac:dyDescent="0.2">
      <c r="A7918" s="14" t="s">
        <v>15134</v>
      </c>
      <c r="B7918" s="26" t="s">
        <v>15135</v>
      </c>
      <c r="C7918" s="52"/>
      <c r="D7918" s="55">
        <f t="shared" si="123"/>
        <v>0</v>
      </c>
      <c r="E7918" s="63" t="str">
        <f>HYPERLINK("https://www.sds-group.ru/product/delitel-tvh8-pod-f-razem-5-1000mgts-rexant-05-6005/", "Инфо")</f>
        <v>Инфо</v>
      </c>
      <c r="F7918" s="16" t="s">
        <v>39</v>
      </c>
      <c r="G7918" s="15"/>
      <c r="H7918" s="15"/>
      <c r="I7918" s="15"/>
      <c r="J7918" s="17">
        <v>446</v>
      </c>
      <c r="K7918" s="15"/>
      <c r="L7918" s="17">
        <v>1</v>
      </c>
      <c r="M7918" s="17">
        <v>100</v>
      </c>
      <c r="N7918" s="17">
        <v>1</v>
      </c>
      <c r="O7918" s="18">
        <v>778.54</v>
      </c>
      <c r="P7918" s="18">
        <v>638.15</v>
      </c>
      <c r="Q7918" s="18">
        <v>622.83000000000004</v>
      </c>
      <c r="R7918" s="18">
        <v>510.52</v>
      </c>
      <c r="S7918" s="18">
        <v>529.41</v>
      </c>
      <c r="T7918" s="18">
        <v>433.94</v>
      </c>
      <c r="U7918" s="16"/>
      <c r="V7918" s="16"/>
      <c r="W7918" s="16" t="s">
        <v>40</v>
      </c>
      <c r="X7918" s="19">
        <v>0.15</v>
      </c>
      <c r="Y7918" s="20">
        <v>2.7500000000000002E-4</v>
      </c>
      <c r="Z7918" s="21">
        <v>4610003602086</v>
      </c>
    </row>
    <row r="7919" spans="1:26" ht="12" customHeight="1" outlineLevel="3" x14ac:dyDescent="0.2">
      <c r="A7919" s="14" t="s">
        <v>15136</v>
      </c>
      <c r="B7919" s="26" t="s">
        <v>15137</v>
      </c>
      <c r="C7919" s="52"/>
      <c r="D7919" s="55">
        <f t="shared" si="123"/>
        <v>0</v>
      </c>
      <c r="E7919" s="63" t="str">
        <f>HYPERLINK("https://www.sds-group.ru/product/delitel-tvh8-pod-f-razem-5-1000mgts-silver-9-f-razemov-v-komplekte-rexant-05-6105/", "Инфо")</f>
        <v>Инфо</v>
      </c>
      <c r="F7919" s="16" t="s">
        <v>39</v>
      </c>
      <c r="G7919" s="15"/>
      <c r="H7919" s="15"/>
      <c r="I7919" s="15"/>
      <c r="J7919" s="17">
        <v>259</v>
      </c>
      <c r="K7919" s="15"/>
      <c r="L7919" s="17">
        <v>1</v>
      </c>
      <c r="M7919" s="17">
        <v>100</v>
      </c>
      <c r="N7919" s="17">
        <v>1</v>
      </c>
      <c r="O7919" s="18">
        <v>1286.56</v>
      </c>
      <c r="P7919" s="18">
        <v>1054.56</v>
      </c>
      <c r="Q7919" s="18">
        <v>1016.38</v>
      </c>
      <c r="R7919" s="18">
        <v>833.1</v>
      </c>
      <c r="S7919" s="18">
        <v>874.86</v>
      </c>
      <c r="T7919" s="18">
        <v>717.1</v>
      </c>
      <c r="U7919" s="16"/>
      <c r="V7919" s="16"/>
      <c r="W7919" s="16" t="s">
        <v>40</v>
      </c>
      <c r="X7919" s="19">
        <v>0.23499999999999999</v>
      </c>
      <c r="Y7919" s="20">
        <v>1.2750000000000001E-3</v>
      </c>
      <c r="Z7919" s="21">
        <v>4610003602161</v>
      </c>
    </row>
    <row r="7920" spans="1:26" ht="12" customHeight="1" outlineLevel="3" x14ac:dyDescent="0.2">
      <c r="A7920" s="14" t="s">
        <v>15138</v>
      </c>
      <c r="B7920" s="26" t="s">
        <v>15139</v>
      </c>
      <c r="C7920" s="52"/>
      <c r="D7920" s="55">
        <f t="shared" si="123"/>
        <v>0</v>
      </c>
      <c r="E7920" s="63" t="str">
        <f>HYPERLINK("https://www.sds-group.ru/product/delitel-tvh8-pod-f-razem-5-2500mgts-sputnik-rexant-05-6205/", "Инфо")</f>
        <v>Инфо</v>
      </c>
      <c r="F7920" s="16" t="s">
        <v>39</v>
      </c>
      <c r="G7920" s="15"/>
      <c r="H7920" s="15"/>
      <c r="I7920" s="15"/>
      <c r="J7920" s="17">
        <v>243</v>
      </c>
      <c r="K7920" s="15" t="s">
        <v>1519</v>
      </c>
      <c r="L7920" s="17">
        <v>1</v>
      </c>
      <c r="M7920" s="17">
        <v>40</v>
      </c>
      <c r="N7920" s="17">
        <v>1</v>
      </c>
      <c r="O7920" s="18">
        <v>1298.07</v>
      </c>
      <c r="P7920" s="18">
        <v>1063.99</v>
      </c>
      <c r="Q7920" s="18">
        <v>1025.48</v>
      </c>
      <c r="R7920" s="18">
        <v>840.56</v>
      </c>
      <c r="S7920" s="18">
        <v>882.69</v>
      </c>
      <c r="T7920" s="18">
        <v>723.52</v>
      </c>
      <c r="U7920" s="16"/>
      <c r="V7920" s="16"/>
      <c r="W7920" s="16" t="s">
        <v>40</v>
      </c>
      <c r="X7920" s="19">
        <v>0.23799999999999999</v>
      </c>
      <c r="Y7920" s="20">
        <v>1.343E-3</v>
      </c>
      <c r="Z7920" s="21">
        <v>4610003602260</v>
      </c>
    </row>
    <row r="7921" spans="1:26" ht="12" customHeight="1" outlineLevel="3" x14ac:dyDescent="0.2">
      <c r="A7921" s="14" t="s">
        <v>15140</v>
      </c>
      <c r="B7921" s="26" t="s">
        <v>15141</v>
      </c>
      <c r="C7921" s="52"/>
      <c r="D7921" s="55">
        <f t="shared" si="123"/>
        <v>0</v>
      </c>
      <c r="E7921" s="63" t="str">
        <f>HYPERLINK("https://www.sds-group.ru/product/dipleksor-summator-delitel-sat-tv-rexant-05-8000/", "Инфо")</f>
        <v>Инфо</v>
      </c>
      <c r="F7921" s="16" t="s">
        <v>39</v>
      </c>
      <c r="G7921" s="15"/>
      <c r="H7921" s="15"/>
      <c r="I7921" s="15"/>
      <c r="J7921" s="16" t="s">
        <v>100</v>
      </c>
      <c r="K7921" s="15" t="s">
        <v>925</v>
      </c>
      <c r="L7921" s="17">
        <v>1</v>
      </c>
      <c r="M7921" s="17">
        <v>100</v>
      </c>
      <c r="N7921" s="17">
        <v>1</v>
      </c>
      <c r="O7921" s="18">
        <v>380.81</v>
      </c>
      <c r="P7921" s="18">
        <v>312.14</v>
      </c>
      <c r="Q7921" s="18">
        <v>304.64999999999998</v>
      </c>
      <c r="R7921" s="18">
        <v>249.71</v>
      </c>
      <c r="S7921" s="18">
        <v>258.95</v>
      </c>
      <c r="T7921" s="18">
        <v>212.25</v>
      </c>
      <c r="U7921" s="16"/>
      <c r="V7921" s="16"/>
      <c r="W7921" s="16" t="s">
        <v>40</v>
      </c>
      <c r="X7921" s="19">
        <v>6.9000000000000006E-2</v>
      </c>
      <c r="Y7921" s="20">
        <v>1.3899999999999999E-4</v>
      </c>
      <c r="Z7921" s="21">
        <v>4601004093775</v>
      </c>
    </row>
    <row r="7922" spans="1:26" ht="12.95" customHeight="1" outlineLevel="2" x14ac:dyDescent="0.2">
      <c r="A7922" s="76" t="s">
        <v>15142</v>
      </c>
      <c r="B7922" s="76"/>
      <c r="C7922" s="77"/>
      <c r="D7922" s="58"/>
      <c r="E7922" s="68"/>
      <c r="F7922" s="13"/>
      <c r="G7922" s="13"/>
      <c r="H7922" s="13"/>
      <c r="I7922" s="13"/>
      <c r="J7922" s="13"/>
      <c r="K7922" s="13"/>
      <c r="L7922" s="13"/>
      <c r="M7922" s="13"/>
      <c r="N7922" s="13"/>
      <c r="O7922" s="13"/>
      <c r="P7922" s="13"/>
      <c r="Q7922" s="13"/>
      <c r="R7922" s="13"/>
      <c r="S7922" s="13"/>
      <c r="T7922" s="13"/>
      <c r="U7922" s="13"/>
      <c r="V7922" s="13"/>
      <c r="W7922" s="13"/>
      <c r="X7922" s="13"/>
      <c r="Y7922" s="13"/>
      <c r="Z7922" s="13"/>
    </row>
    <row r="7923" spans="1:26" ht="12" customHeight="1" outlineLevel="3" x14ac:dyDescent="0.2">
      <c r="A7923" s="14" t="s">
        <v>15143</v>
      </c>
      <c r="B7923" s="26" t="s">
        <v>15144</v>
      </c>
      <c r="C7923" s="52"/>
      <c r="D7923" s="55">
        <f t="shared" si="123"/>
        <v>0</v>
      </c>
      <c r="E7923" s="63" t="str">
        <f>HYPERLINK("https://www.sds-group.ru/product/f-razem-rg-58-rexant-05-4001/", "Инфо")</f>
        <v>Инфо</v>
      </c>
      <c r="F7923" s="16" t="s">
        <v>39</v>
      </c>
      <c r="G7923" s="15"/>
      <c r="H7923" s="15"/>
      <c r="I7923" s="15"/>
      <c r="J7923" s="22">
        <v>14900</v>
      </c>
      <c r="K7923" s="15"/>
      <c r="L7923" s="17">
        <v>100</v>
      </c>
      <c r="M7923" s="22">
        <v>5000</v>
      </c>
      <c r="N7923" s="17">
        <v>100</v>
      </c>
      <c r="O7923" s="18">
        <v>22.03</v>
      </c>
      <c r="P7923" s="18">
        <v>18.059999999999999</v>
      </c>
      <c r="Q7923" s="18">
        <v>18.73</v>
      </c>
      <c r="R7923" s="18">
        <v>15.35</v>
      </c>
      <c r="S7923" s="18">
        <v>14.98</v>
      </c>
      <c r="T7923" s="18">
        <v>12.28</v>
      </c>
      <c r="U7923" s="16"/>
      <c r="V7923" s="16"/>
      <c r="W7923" s="16" t="s">
        <v>40</v>
      </c>
      <c r="X7923" s="19">
        <v>5.0000000000000001E-3</v>
      </c>
      <c r="Y7923" s="20">
        <v>3.9999999999999998E-6</v>
      </c>
      <c r="Z7923" s="21">
        <v>4610003608293</v>
      </c>
    </row>
    <row r="7924" spans="1:26" ht="12" customHeight="1" outlineLevel="3" x14ac:dyDescent="0.2">
      <c r="A7924" s="14" t="s">
        <v>15145</v>
      </c>
      <c r="B7924" s="26" t="s">
        <v>15146</v>
      </c>
      <c r="C7924" s="52"/>
      <c r="D7924" s="55">
        <f t="shared" si="123"/>
        <v>0</v>
      </c>
      <c r="E7924" s="63" t="str">
        <f>HYPERLINK("https://www.sds-group.ru/product/f-razem-rg-58-proconnect-05-4001-4/", "Инфо")</f>
        <v>Инфо</v>
      </c>
      <c r="F7924" s="16" t="s">
        <v>39</v>
      </c>
      <c r="G7924" s="15"/>
      <c r="H7924" s="15"/>
      <c r="I7924" s="15"/>
      <c r="J7924" s="22">
        <v>42700</v>
      </c>
      <c r="K7924" s="15"/>
      <c r="L7924" s="17">
        <v>100</v>
      </c>
      <c r="M7924" s="22">
        <v>5000</v>
      </c>
      <c r="N7924" s="17">
        <v>100</v>
      </c>
      <c r="O7924" s="18">
        <v>16.61</v>
      </c>
      <c r="P7924" s="18">
        <v>13.61</v>
      </c>
      <c r="Q7924" s="18">
        <v>14.12</v>
      </c>
      <c r="R7924" s="18">
        <v>11.57</v>
      </c>
      <c r="S7924" s="18">
        <v>11.29</v>
      </c>
      <c r="T7924" s="18">
        <v>9.25</v>
      </c>
      <c r="U7924" s="16"/>
      <c r="V7924" s="16"/>
      <c r="W7924" s="16" t="s">
        <v>40</v>
      </c>
      <c r="X7924" s="19">
        <v>4.0000000000000001E-3</v>
      </c>
      <c r="Y7924" s="20">
        <v>3.0000000000000001E-6</v>
      </c>
      <c r="Z7924" s="21">
        <v>4601004054554</v>
      </c>
    </row>
    <row r="7925" spans="1:26" ht="12" customHeight="1" outlineLevel="3" x14ac:dyDescent="0.2">
      <c r="A7925" s="14" t="s">
        <v>15147</v>
      </c>
      <c r="B7925" s="26" t="s">
        <v>15148</v>
      </c>
      <c r="C7925" s="52"/>
      <c r="D7925" s="55">
        <f t="shared" si="123"/>
        <v>0</v>
      </c>
      <c r="E7925" s="63" t="str">
        <f>HYPERLINK("https://www.sds-group.ru/product/f-razem-rg-59-rexant-05-4002/", "Инфо")</f>
        <v>Инфо</v>
      </c>
      <c r="F7925" s="16" t="s">
        <v>39</v>
      </c>
      <c r="G7925" s="15"/>
      <c r="H7925" s="15"/>
      <c r="I7925" s="15"/>
      <c r="J7925" s="22">
        <v>7500</v>
      </c>
      <c r="K7925" s="15"/>
      <c r="L7925" s="17">
        <v>100</v>
      </c>
      <c r="M7925" s="22">
        <v>5000</v>
      </c>
      <c r="N7925" s="17">
        <v>100</v>
      </c>
      <c r="O7925" s="18">
        <v>22.66</v>
      </c>
      <c r="P7925" s="18">
        <v>18.57</v>
      </c>
      <c r="Q7925" s="18">
        <v>19.260000000000002</v>
      </c>
      <c r="R7925" s="18">
        <v>15.79</v>
      </c>
      <c r="S7925" s="18">
        <v>15.41</v>
      </c>
      <c r="T7925" s="18">
        <v>12.63</v>
      </c>
      <c r="U7925" s="16"/>
      <c r="V7925" s="16"/>
      <c r="W7925" s="16" t="s">
        <v>40</v>
      </c>
      <c r="X7925" s="19">
        <v>4.0000000000000001E-3</v>
      </c>
      <c r="Y7925" s="20">
        <v>3.0000000000000001E-6</v>
      </c>
      <c r="Z7925" s="21">
        <v>4601004055056</v>
      </c>
    </row>
    <row r="7926" spans="1:26" ht="12" customHeight="1" outlineLevel="3" x14ac:dyDescent="0.2">
      <c r="A7926" s="14" t="s">
        <v>15149</v>
      </c>
      <c r="B7926" s="26" t="s">
        <v>15150</v>
      </c>
      <c r="C7926" s="52"/>
      <c r="D7926" s="55">
        <f t="shared" si="123"/>
        <v>0</v>
      </c>
      <c r="E7926" s="63" t="str">
        <f>HYPERLINK("https://www.sds-group.ru/product/f-razem-rg-59-proconnect-05-4002-4/", "Инфо")</f>
        <v>Инфо</v>
      </c>
      <c r="F7926" s="16" t="s">
        <v>39</v>
      </c>
      <c r="G7926" s="15"/>
      <c r="H7926" s="15"/>
      <c r="I7926" s="15"/>
      <c r="J7926" s="22">
        <v>12150</v>
      </c>
      <c r="K7926" s="15" t="s">
        <v>6174</v>
      </c>
      <c r="L7926" s="17">
        <v>100</v>
      </c>
      <c r="M7926" s="22">
        <v>5000</v>
      </c>
      <c r="N7926" s="17">
        <v>100</v>
      </c>
      <c r="O7926" s="18">
        <v>12.21</v>
      </c>
      <c r="P7926" s="18">
        <v>10.01</v>
      </c>
      <c r="Q7926" s="18">
        <v>10.38</v>
      </c>
      <c r="R7926" s="18">
        <v>8.51</v>
      </c>
      <c r="S7926" s="18">
        <v>8.3000000000000007</v>
      </c>
      <c r="T7926" s="18">
        <v>6.8</v>
      </c>
      <c r="U7926" s="16"/>
      <c r="V7926" s="16"/>
      <c r="W7926" s="16" t="s">
        <v>40</v>
      </c>
      <c r="X7926" s="19">
        <v>4.0000000000000001E-3</v>
      </c>
      <c r="Y7926" s="20">
        <v>3.0000000000000001E-6</v>
      </c>
      <c r="Z7926" s="21">
        <v>4601004054561</v>
      </c>
    </row>
    <row r="7927" spans="1:26" ht="12" customHeight="1" outlineLevel="3" x14ac:dyDescent="0.2">
      <c r="A7927" s="14" t="s">
        <v>15151</v>
      </c>
      <c r="B7927" s="26" t="s">
        <v>15152</v>
      </c>
      <c r="C7927" s="52"/>
      <c r="D7927" s="55">
        <f t="shared" si="123"/>
        <v>0</v>
      </c>
      <c r="E7927" s="63" t="str">
        <f>HYPERLINK("https://www.sds-group.ru/product/f-razem-rg-6-l-17-8mm-proconnect-05-4003-6/", "Инфо")</f>
        <v>Инфо</v>
      </c>
      <c r="F7927" s="16" t="s">
        <v>39</v>
      </c>
      <c r="G7927" s="15"/>
      <c r="H7927" s="15"/>
      <c r="I7927" s="15"/>
      <c r="J7927" s="22">
        <v>51500</v>
      </c>
      <c r="K7927" s="15" t="s">
        <v>1277</v>
      </c>
      <c r="L7927" s="17">
        <v>100</v>
      </c>
      <c r="M7927" s="22">
        <v>5000</v>
      </c>
      <c r="N7927" s="17">
        <v>100</v>
      </c>
      <c r="O7927" s="18">
        <v>6.05</v>
      </c>
      <c r="P7927" s="18">
        <v>4.96</v>
      </c>
      <c r="Q7927" s="18">
        <v>5.14</v>
      </c>
      <c r="R7927" s="18">
        <v>4.21</v>
      </c>
      <c r="S7927" s="18">
        <v>4.1100000000000003</v>
      </c>
      <c r="T7927" s="18">
        <v>3.37</v>
      </c>
      <c r="U7927" s="16"/>
      <c r="V7927" s="16"/>
      <c r="W7927" s="16" t="s">
        <v>40</v>
      </c>
      <c r="X7927" s="19">
        <v>2E-3</v>
      </c>
      <c r="Y7927" s="20">
        <v>3.9999999999999998E-6</v>
      </c>
      <c r="Z7927" s="21">
        <v>4601004041721</v>
      </c>
    </row>
    <row r="7928" spans="1:26" ht="12" customHeight="1" outlineLevel="3" x14ac:dyDescent="0.2">
      <c r="A7928" s="14" t="s">
        <v>15153</v>
      </c>
      <c r="B7928" s="26" t="s">
        <v>15154</v>
      </c>
      <c r="C7928" s="52"/>
      <c r="D7928" s="55">
        <f t="shared" si="123"/>
        <v>0</v>
      </c>
      <c r="E7928" s="63" t="str">
        <f>HYPERLINK("https://www.sds-group.ru/product/f-razem-rg-6-rexant-05-4003/", "Инфо")</f>
        <v>Инфо</v>
      </c>
      <c r="F7928" s="16" t="s">
        <v>39</v>
      </c>
      <c r="G7928" s="15"/>
      <c r="H7928" s="15"/>
      <c r="I7928" s="15"/>
      <c r="J7928" s="22">
        <v>244500</v>
      </c>
      <c r="K7928" s="15" t="s">
        <v>925</v>
      </c>
      <c r="L7928" s="17">
        <v>100</v>
      </c>
      <c r="M7928" s="22">
        <v>5000</v>
      </c>
      <c r="N7928" s="17">
        <v>100</v>
      </c>
      <c r="O7928" s="18">
        <v>19.100000000000001</v>
      </c>
      <c r="P7928" s="18">
        <v>15.66</v>
      </c>
      <c r="Q7928" s="18">
        <v>16.239999999999998</v>
      </c>
      <c r="R7928" s="18">
        <v>13.31</v>
      </c>
      <c r="S7928" s="18">
        <v>12.99</v>
      </c>
      <c r="T7928" s="18">
        <v>10.65</v>
      </c>
      <c r="U7928" s="16"/>
      <c r="V7928" s="16"/>
      <c r="W7928" s="16" t="s">
        <v>40</v>
      </c>
      <c r="X7928" s="19">
        <v>3.0000000000000001E-3</v>
      </c>
      <c r="Y7928" s="20">
        <v>3.9999999999999998E-6</v>
      </c>
      <c r="Z7928" s="21">
        <v>4660008011925</v>
      </c>
    </row>
    <row r="7929" spans="1:26" ht="12" customHeight="1" outlineLevel="3" x14ac:dyDescent="0.2">
      <c r="A7929" s="14" t="s">
        <v>15155</v>
      </c>
      <c r="B7929" s="26" t="s">
        <v>15156</v>
      </c>
      <c r="C7929" s="52"/>
      <c r="D7929" s="55">
        <f t="shared" si="123"/>
        <v>0</v>
      </c>
      <c r="E7929" s="63" t="str">
        <f>HYPERLINK("https://www.sds-group.ru/product/f-razem-rg-6-l-19mm-proconnect-05-4003-4/", "Инфо")</f>
        <v>Инфо</v>
      </c>
      <c r="F7929" s="16" t="s">
        <v>39</v>
      </c>
      <c r="G7929" s="15"/>
      <c r="H7929" s="15"/>
      <c r="I7929" s="15"/>
      <c r="J7929" s="22">
        <v>313570</v>
      </c>
      <c r="K7929" s="15" t="s">
        <v>1277</v>
      </c>
      <c r="L7929" s="17">
        <v>100</v>
      </c>
      <c r="M7929" s="22">
        <v>5000</v>
      </c>
      <c r="N7929" s="17">
        <v>100</v>
      </c>
      <c r="O7929" s="18">
        <v>8.75</v>
      </c>
      <c r="P7929" s="18">
        <v>7.17</v>
      </c>
      <c r="Q7929" s="18">
        <v>7.44</v>
      </c>
      <c r="R7929" s="18">
        <v>6.1</v>
      </c>
      <c r="S7929" s="18">
        <v>5.95</v>
      </c>
      <c r="T7929" s="18">
        <v>4.88</v>
      </c>
      <c r="U7929" s="16"/>
      <c r="V7929" s="16"/>
      <c r="W7929" s="16" t="s">
        <v>40</v>
      </c>
      <c r="X7929" s="19">
        <v>3.0000000000000001E-3</v>
      </c>
      <c r="Y7929" s="20">
        <v>5.0000000000000004E-6</v>
      </c>
      <c r="Z7929" s="21">
        <v>4601004054578</v>
      </c>
    </row>
    <row r="7930" spans="1:26" ht="12" customHeight="1" outlineLevel="3" x14ac:dyDescent="0.2">
      <c r="A7930" s="14" t="s">
        <v>15157</v>
      </c>
      <c r="B7930" s="26" t="s">
        <v>15158</v>
      </c>
      <c r="C7930" s="52"/>
      <c r="D7930" s="55">
        <f t="shared" si="123"/>
        <v>0</v>
      </c>
      <c r="E7930" s="63" t="str">
        <f>HYPERLINK("https://www.sds-group.ru/product/f-razem-rg-6-obzhim-rexant-05-4031/", "Инфо")</f>
        <v>Инфо</v>
      </c>
      <c r="F7930" s="16" t="s">
        <v>39</v>
      </c>
      <c r="G7930" s="15"/>
      <c r="H7930" s="15"/>
      <c r="I7930" s="15"/>
      <c r="J7930" s="22">
        <v>22100</v>
      </c>
      <c r="K7930" s="15"/>
      <c r="L7930" s="17">
        <v>100</v>
      </c>
      <c r="M7930" s="22">
        <v>4000</v>
      </c>
      <c r="N7930" s="17">
        <v>100</v>
      </c>
      <c r="O7930" s="18">
        <v>32.270000000000003</v>
      </c>
      <c r="P7930" s="18">
        <v>26.45</v>
      </c>
      <c r="Q7930" s="18">
        <v>27.43</v>
      </c>
      <c r="R7930" s="18">
        <v>22.48</v>
      </c>
      <c r="S7930" s="18">
        <v>21.94</v>
      </c>
      <c r="T7930" s="18">
        <v>17.98</v>
      </c>
      <c r="U7930" s="16"/>
      <c r="V7930" s="16"/>
      <c r="W7930" s="16" t="s">
        <v>40</v>
      </c>
      <c r="X7930" s="19">
        <v>6.0000000000000001E-3</v>
      </c>
      <c r="Y7930" s="20">
        <v>3.9999999999999998E-6</v>
      </c>
      <c r="Z7930" s="21">
        <v>4610003608309</v>
      </c>
    </row>
    <row r="7931" spans="1:26" ht="12" customHeight="1" outlineLevel="3" x14ac:dyDescent="0.2">
      <c r="A7931" s="14" t="s">
        <v>15159</v>
      </c>
      <c r="B7931" s="26" t="s">
        <v>15160</v>
      </c>
      <c r="C7931" s="52"/>
      <c r="D7931" s="55">
        <f t="shared" si="123"/>
        <v>0</v>
      </c>
      <c r="E7931" s="63" t="str">
        <f>HYPERLINK("https://www.sds-group.ru/product/f-razem-dlya-rg-11-s-pinom-rexant-05-4007/", "Инфо")</f>
        <v>Инфо</v>
      </c>
      <c r="F7931" s="16" t="s">
        <v>39</v>
      </c>
      <c r="G7931" s="15"/>
      <c r="H7931" s="15"/>
      <c r="I7931" s="15"/>
      <c r="J7931" s="17">
        <v>200</v>
      </c>
      <c r="K7931" s="15" t="s">
        <v>6798</v>
      </c>
      <c r="L7931" s="17">
        <v>50</v>
      </c>
      <c r="M7931" s="22">
        <v>1000</v>
      </c>
      <c r="N7931" s="17">
        <v>50</v>
      </c>
      <c r="O7931" s="18">
        <v>127.16</v>
      </c>
      <c r="P7931" s="18">
        <v>104.23</v>
      </c>
      <c r="Q7931" s="18">
        <v>108.09</v>
      </c>
      <c r="R7931" s="18">
        <v>88.6</v>
      </c>
      <c r="S7931" s="18">
        <v>86.47</v>
      </c>
      <c r="T7931" s="18">
        <v>70.88</v>
      </c>
      <c r="U7931" s="16"/>
      <c r="V7931" s="16"/>
      <c r="W7931" s="16" t="s">
        <v>40</v>
      </c>
      <c r="X7931" s="19">
        <v>1.0999999999999999E-2</v>
      </c>
      <c r="Y7931" s="20">
        <v>1.8E-5</v>
      </c>
      <c r="Z7931" s="21">
        <v>4601004053922</v>
      </c>
    </row>
    <row r="7932" spans="1:26" ht="12" customHeight="1" outlineLevel="3" x14ac:dyDescent="0.2">
      <c r="A7932" s="14" t="s">
        <v>15161</v>
      </c>
      <c r="B7932" s="26" t="s">
        <v>15162</v>
      </c>
      <c r="C7932" s="52"/>
      <c r="D7932" s="55">
        <f t="shared" si="123"/>
        <v>0</v>
      </c>
      <c r="E7932" s="63" t="str">
        <f>HYPERLINK("https://www.sds-group.ru/product/f-razem-dlya-rg-11-s-pinom-proconnect-05-4007-4/", "Инфо")</f>
        <v>Инфо</v>
      </c>
      <c r="F7932" s="16" t="s">
        <v>39</v>
      </c>
      <c r="G7932" s="15"/>
      <c r="H7932" s="15"/>
      <c r="I7932" s="15"/>
      <c r="J7932" s="16" t="s">
        <v>100</v>
      </c>
      <c r="K7932" s="15" t="s">
        <v>925</v>
      </c>
      <c r="L7932" s="17">
        <v>50</v>
      </c>
      <c r="M7932" s="22">
        <v>1000</v>
      </c>
      <c r="N7932" s="17">
        <v>50</v>
      </c>
      <c r="O7932" s="18">
        <v>79.97</v>
      </c>
      <c r="P7932" s="18">
        <v>65.55</v>
      </c>
      <c r="Q7932" s="18">
        <v>67.97</v>
      </c>
      <c r="R7932" s="18">
        <v>55.71</v>
      </c>
      <c r="S7932" s="18">
        <v>54.38</v>
      </c>
      <c r="T7932" s="18">
        <v>44.57</v>
      </c>
      <c r="U7932" s="16"/>
      <c r="V7932" s="16"/>
      <c r="W7932" s="16" t="s">
        <v>40</v>
      </c>
      <c r="X7932" s="19">
        <v>0.01</v>
      </c>
      <c r="Y7932" s="20">
        <v>1.5999999999999999E-5</v>
      </c>
      <c r="Z7932" s="21">
        <v>4601004053762</v>
      </c>
    </row>
    <row r="7933" spans="1:26" ht="12" customHeight="1" outlineLevel="3" x14ac:dyDescent="0.2">
      <c r="A7933" s="14" t="s">
        <v>15163</v>
      </c>
      <c r="B7933" s="26" t="s">
        <v>15164</v>
      </c>
      <c r="C7933" s="52"/>
      <c r="D7933" s="55">
        <f t="shared" si="123"/>
        <v>0</v>
      </c>
      <c r="E7933" s="63" t="str">
        <f>HYPERLINK("https://www.sds-group.ru/product/f-razem-dlya-sat-s-rezinovym-uplotnitelem-rexant-05-4005/", "Инфо")</f>
        <v>Инфо</v>
      </c>
      <c r="F7933" s="16" t="s">
        <v>39</v>
      </c>
      <c r="G7933" s="15"/>
      <c r="H7933" s="15"/>
      <c r="I7933" s="15"/>
      <c r="J7933" s="22">
        <v>19470</v>
      </c>
      <c r="K7933" s="15" t="s">
        <v>1277</v>
      </c>
      <c r="L7933" s="17">
        <v>100</v>
      </c>
      <c r="M7933" s="22">
        <v>5000</v>
      </c>
      <c r="N7933" s="17">
        <v>100</v>
      </c>
      <c r="O7933" s="18">
        <v>15.14</v>
      </c>
      <c r="P7933" s="18">
        <v>12.41</v>
      </c>
      <c r="Q7933" s="18">
        <v>12.87</v>
      </c>
      <c r="R7933" s="18">
        <v>10.55</v>
      </c>
      <c r="S7933" s="18">
        <v>10.3</v>
      </c>
      <c r="T7933" s="18">
        <v>8.44</v>
      </c>
      <c r="U7933" s="16"/>
      <c r="V7933" s="16"/>
      <c r="W7933" s="16" t="s">
        <v>40</v>
      </c>
      <c r="X7933" s="19">
        <v>3.0000000000000001E-3</v>
      </c>
      <c r="Y7933" s="20">
        <v>3.9999999999999998E-6</v>
      </c>
      <c r="Z7933" s="21">
        <v>4601004055087</v>
      </c>
    </row>
    <row r="7934" spans="1:26" ht="12" customHeight="1" outlineLevel="3" x14ac:dyDescent="0.2">
      <c r="A7934" s="14" t="s">
        <v>15165</v>
      </c>
      <c r="B7934" s="26" t="s">
        <v>15166</v>
      </c>
      <c r="C7934" s="52"/>
      <c r="D7934" s="55">
        <f t="shared" si="123"/>
        <v>0</v>
      </c>
      <c r="E7934" s="63" t="str">
        <f>HYPERLINK("https://www.sds-group.ru/product/f-razem-dlya-sat-s-rezinovym-uplotnitelem-proconnect-05-4005-4/", "Инфо")</f>
        <v>Инфо</v>
      </c>
      <c r="F7934" s="16" t="s">
        <v>39</v>
      </c>
      <c r="G7934" s="15"/>
      <c r="H7934" s="15"/>
      <c r="I7934" s="15"/>
      <c r="J7934" s="16" t="s">
        <v>100</v>
      </c>
      <c r="K7934" s="15" t="s">
        <v>925</v>
      </c>
      <c r="L7934" s="17">
        <v>100</v>
      </c>
      <c r="M7934" s="22">
        <v>5000</v>
      </c>
      <c r="N7934" s="17">
        <v>100</v>
      </c>
      <c r="O7934" s="18">
        <v>16.190000000000001</v>
      </c>
      <c r="P7934" s="18">
        <v>13.27</v>
      </c>
      <c r="Q7934" s="18">
        <v>13.76</v>
      </c>
      <c r="R7934" s="18">
        <v>11.28</v>
      </c>
      <c r="S7934" s="18">
        <v>11.01</v>
      </c>
      <c r="T7934" s="18">
        <v>9.02</v>
      </c>
      <c r="U7934" s="16"/>
      <c r="V7934" s="16"/>
      <c r="W7934" s="16" t="s">
        <v>40</v>
      </c>
      <c r="X7934" s="19">
        <v>3.0000000000000001E-3</v>
      </c>
      <c r="Y7934" s="20">
        <v>3.0000000000000001E-6</v>
      </c>
      <c r="Z7934" s="21">
        <v>4601004054592</v>
      </c>
    </row>
    <row r="7935" spans="1:26" ht="12" customHeight="1" outlineLevel="3" x14ac:dyDescent="0.2">
      <c r="A7935" s="32" t="s">
        <v>15167</v>
      </c>
      <c r="B7935" s="74" t="s">
        <v>15168</v>
      </c>
      <c r="C7935" s="50"/>
      <c r="D7935" s="53">
        <f t="shared" si="123"/>
        <v>0</v>
      </c>
      <c r="E7935" s="60" t="str">
        <f>HYPERLINK("https://www.sds-group.ru/product/f-razem-na-korpus-s-kontaktom-proconnect-05-4103-4/", "Инфо")</f>
        <v>Инфо</v>
      </c>
      <c r="F7935" s="34" t="s">
        <v>39</v>
      </c>
      <c r="G7935" s="33"/>
      <c r="H7935" s="33" t="s">
        <v>40</v>
      </c>
      <c r="I7935" s="33"/>
      <c r="J7935" s="39">
        <v>180500</v>
      </c>
      <c r="K7935" s="33"/>
      <c r="L7935" s="35">
        <v>100</v>
      </c>
      <c r="M7935" s="39">
        <v>5000</v>
      </c>
      <c r="N7935" s="35">
        <v>100</v>
      </c>
      <c r="O7935" s="36">
        <v>15.4</v>
      </c>
      <c r="P7935" s="36">
        <v>12.62</v>
      </c>
      <c r="Q7935" s="36">
        <v>10.78</v>
      </c>
      <c r="R7935" s="36">
        <v>8.84</v>
      </c>
      <c r="S7935" s="36">
        <v>10.47</v>
      </c>
      <c r="T7935" s="36">
        <v>8.58</v>
      </c>
      <c r="U7935" s="34"/>
      <c r="V7935" s="34"/>
      <c r="W7935" s="34"/>
      <c r="X7935" s="37">
        <v>5.0000000000000001E-3</v>
      </c>
      <c r="Y7935" s="38">
        <v>6.0000000000000002E-6</v>
      </c>
      <c r="Z7935" s="21">
        <v>4601004054646</v>
      </c>
    </row>
    <row r="7936" spans="1:26" ht="12.95" customHeight="1" outlineLevel="2" x14ac:dyDescent="0.2">
      <c r="A7936" s="76" t="s">
        <v>15169</v>
      </c>
      <c r="B7936" s="76"/>
      <c r="C7936" s="77"/>
      <c r="D7936" s="58"/>
      <c r="E7936" s="68"/>
      <c r="F7936" s="13"/>
      <c r="G7936" s="13"/>
      <c r="H7936" s="13"/>
      <c r="I7936" s="13"/>
      <c r="J7936" s="13"/>
      <c r="K7936" s="13"/>
      <c r="L7936" s="13"/>
      <c r="M7936" s="13"/>
      <c r="N7936" s="13"/>
      <c r="O7936" s="13"/>
      <c r="P7936" s="13"/>
      <c r="Q7936" s="13"/>
      <c r="R7936" s="13"/>
      <c r="S7936" s="13"/>
      <c r="T7936" s="13"/>
      <c r="U7936" s="13"/>
      <c r="V7936" s="13"/>
      <c r="W7936" s="13"/>
      <c r="X7936" s="13"/>
      <c r="Y7936" s="13"/>
      <c r="Z7936" s="13"/>
    </row>
    <row r="7937" spans="1:26" ht="12" customHeight="1" outlineLevel="3" x14ac:dyDescent="0.2">
      <c r="A7937" s="32" t="s">
        <v>15170</v>
      </c>
      <c r="B7937" s="74" t="s">
        <v>15171</v>
      </c>
      <c r="C7937" s="50"/>
      <c r="D7937" s="53">
        <f t="shared" si="123"/>
        <v>0</v>
      </c>
      <c r="E7937" s="60" t="str">
        <f>HYPERLINK("https://www.sds-group.ru/product/tv-razem-gnezdo-bez-payki-oreh-rexant-05-2032/", "Инфо")</f>
        <v>Инфо</v>
      </c>
      <c r="F7937" s="34" t="s">
        <v>39</v>
      </c>
      <c r="G7937" s="33"/>
      <c r="H7937" s="33" t="s">
        <v>40</v>
      </c>
      <c r="I7937" s="33"/>
      <c r="J7937" s="39">
        <v>8600</v>
      </c>
      <c r="K7937" s="33"/>
      <c r="L7937" s="35">
        <v>100</v>
      </c>
      <c r="M7937" s="39">
        <v>2500</v>
      </c>
      <c r="N7937" s="35">
        <v>100</v>
      </c>
      <c r="O7937" s="36">
        <v>6.82</v>
      </c>
      <c r="P7937" s="36">
        <v>5.59</v>
      </c>
      <c r="Q7937" s="36">
        <v>4.7699999999999996</v>
      </c>
      <c r="R7937" s="36">
        <v>3.91</v>
      </c>
      <c r="S7937" s="36">
        <v>4.6399999999999997</v>
      </c>
      <c r="T7937" s="36">
        <v>3.8</v>
      </c>
      <c r="U7937" s="34"/>
      <c r="V7937" s="34"/>
      <c r="W7937" s="34"/>
      <c r="X7937" s="37">
        <v>6.0000000000000001E-3</v>
      </c>
      <c r="Y7937" s="38">
        <v>6.9999999999999999E-6</v>
      </c>
      <c r="Z7937" s="21">
        <v>4610003609139</v>
      </c>
    </row>
    <row r="7938" spans="1:26" ht="12" customHeight="1" outlineLevel="3" x14ac:dyDescent="0.2">
      <c r="A7938" s="32" t="s">
        <v>15172</v>
      </c>
      <c r="B7938" s="74" t="s">
        <v>15173</v>
      </c>
      <c r="C7938" s="50"/>
      <c r="D7938" s="53">
        <f t="shared" si="123"/>
        <v>0</v>
      </c>
      <c r="E7938" s="60" t="str">
        <f>HYPERLINK("https://www.sds-group.ru/product/tv-razem-gnezdo-bez-payki-belyy-proconnect-05-2043-2/", "Инфо")</f>
        <v>Инфо</v>
      </c>
      <c r="F7938" s="34" t="s">
        <v>39</v>
      </c>
      <c r="G7938" s="33"/>
      <c r="H7938" s="33" t="s">
        <v>40</v>
      </c>
      <c r="I7938" s="33"/>
      <c r="J7938" s="39">
        <v>9300</v>
      </c>
      <c r="K7938" s="33"/>
      <c r="L7938" s="35">
        <v>100</v>
      </c>
      <c r="M7938" s="39">
        <v>2500</v>
      </c>
      <c r="N7938" s="35">
        <v>100</v>
      </c>
      <c r="O7938" s="36">
        <v>3.87</v>
      </c>
      <c r="P7938" s="36">
        <v>3.17</v>
      </c>
      <c r="Q7938" s="36">
        <v>2.71</v>
      </c>
      <c r="R7938" s="36">
        <v>2.2200000000000002</v>
      </c>
      <c r="S7938" s="36">
        <v>2.63</v>
      </c>
      <c r="T7938" s="36">
        <v>2.16</v>
      </c>
      <c r="U7938" s="34"/>
      <c r="V7938" s="34"/>
      <c r="W7938" s="34"/>
      <c r="X7938" s="37">
        <v>3.0000000000000001E-3</v>
      </c>
      <c r="Y7938" s="38">
        <v>1.2E-5</v>
      </c>
      <c r="Z7938" s="21">
        <v>4601004041646</v>
      </c>
    </row>
    <row r="7939" spans="1:26" ht="12" customHeight="1" outlineLevel="3" x14ac:dyDescent="0.2">
      <c r="A7939" s="32" t="s">
        <v>15174</v>
      </c>
      <c r="B7939" s="74" t="s">
        <v>15175</v>
      </c>
      <c r="C7939" s="50"/>
      <c r="D7939" s="53">
        <f t="shared" si="123"/>
        <v>0</v>
      </c>
      <c r="E7939" s="60" t="str">
        <f>HYPERLINK("https://www.sds-group.ru/product/tv-razem-gnezdo-bez-payki-belyy-rexant-05-2043/", "Инфо")</f>
        <v>Инфо</v>
      </c>
      <c r="F7939" s="34" t="s">
        <v>39</v>
      </c>
      <c r="G7939" s="33"/>
      <c r="H7939" s="33" t="s">
        <v>40</v>
      </c>
      <c r="I7939" s="33"/>
      <c r="J7939" s="39">
        <v>13600</v>
      </c>
      <c r="K7939" s="33"/>
      <c r="L7939" s="35">
        <v>100</v>
      </c>
      <c r="M7939" s="39">
        <v>1000</v>
      </c>
      <c r="N7939" s="35">
        <v>100</v>
      </c>
      <c r="O7939" s="36">
        <v>4.8899999999999997</v>
      </c>
      <c r="P7939" s="36">
        <v>4.01</v>
      </c>
      <c r="Q7939" s="36">
        <v>3.42</v>
      </c>
      <c r="R7939" s="36">
        <v>2.8</v>
      </c>
      <c r="S7939" s="36">
        <v>3.33</v>
      </c>
      <c r="T7939" s="36">
        <v>2.73</v>
      </c>
      <c r="U7939" s="34"/>
      <c r="V7939" s="34"/>
      <c r="W7939" s="34"/>
      <c r="X7939" s="37">
        <v>5.0000000000000001E-3</v>
      </c>
      <c r="Y7939" s="38">
        <v>1.0000000000000001E-5</v>
      </c>
      <c r="Z7939" s="21">
        <v>4601004054851</v>
      </c>
    </row>
    <row r="7940" spans="1:26" ht="12" customHeight="1" outlineLevel="3" x14ac:dyDescent="0.2">
      <c r="A7940" s="32" t="s">
        <v>15176</v>
      </c>
      <c r="B7940" s="74" t="s">
        <v>15177</v>
      </c>
      <c r="C7940" s="50"/>
      <c r="D7940" s="53">
        <f t="shared" si="123"/>
        <v>0</v>
      </c>
      <c r="E7940" s="60" t="str">
        <f>HYPERLINK("https://www.sds-group.ru/product/tv-razem-gnezdo-bez-payki-chernyy-rexant-05-2044/", "Инфо")</f>
        <v>Инфо</v>
      </c>
      <c r="F7940" s="34" t="s">
        <v>39</v>
      </c>
      <c r="G7940" s="33"/>
      <c r="H7940" s="33" t="s">
        <v>40</v>
      </c>
      <c r="I7940" s="33"/>
      <c r="J7940" s="39">
        <v>11400</v>
      </c>
      <c r="K7940" s="33"/>
      <c r="L7940" s="35">
        <v>100</v>
      </c>
      <c r="M7940" s="39">
        <v>5000</v>
      </c>
      <c r="N7940" s="35">
        <v>100</v>
      </c>
      <c r="O7940" s="36">
        <v>6</v>
      </c>
      <c r="P7940" s="36">
        <v>4.92</v>
      </c>
      <c r="Q7940" s="36">
        <v>4.2</v>
      </c>
      <c r="R7940" s="36">
        <v>3.44</v>
      </c>
      <c r="S7940" s="36">
        <v>4.08</v>
      </c>
      <c r="T7940" s="36">
        <v>3.34</v>
      </c>
      <c r="U7940" s="34"/>
      <c r="V7940" s="34"/>
      <c r="W7940" s="34"/>
      <c r="X7940" s="37">
        <v>4.0000000000000001E-3</v>
      </c>
      <c r="Y7940" s="38">
        <v>1.0000000000000001E-5</v>
      </c>
      <c r="Z7940" s="21">
        <v>4601004054868</v>
      </c>
    </row>
    <row r="7941" spans="1:26" ht="12" customHeight="1" outlineLevel="3" x14ac:dyDescent="0.2">
      <c r="A7941" s="14" t="s">
        <v>15178</v>
      </c>
      <c r="B7941" s="26" t="s">
        <v>15179</v>
      </c>
      <c r="C7941" s="52"/>
      <c r="D7941" s="55">
        <f t="shared" si="123"/>
        <v>0</v>
      </c>
      <c r="E7941" s="63" t="str">
        <f>HYPERLINK("https://www.sds-group.ru/product/tv-razem-gnezdo-nikelirovannyy-c-pruzhinoy-proconnect-05-2014-4/", "Инфо")</f>
        <v>Инфо</v>
      </c>
      <c r="F7941" s="16" t="s">
        <v>39</v>
      </c>
      <c r="G7941" s="15"/>
      <c r="H7941" s="15"/>
      <c r="I7941" s="15"/>
      <c r="J7941" s="22">
        <v>8340</v>
      </c>
      <c r="K7941" s="15"/>
      <c r="L7941" s="17">
        <v>100</v>
      </c>
      <c r="M7941" s="22">
        <v>2000</v>
      </c>
      <c r="N7941" s="17">
        <v>100</v>
      </c>
      <c r="O7941" s="18">
        <v>28.5</v>
      </c>
      <c r="P7941" s="18">
        <v>23.36</v>
      </c>
      <c r="Q7941" s="18">
        <v>24.23</v>
      </c>
      <c r="R7941" s="18">
        <v>19.86</v>
      </c>
      <c r="S7941" s="18">
        <v>19.38</v>
      </c>
      <c r="T7941" s="18">
        <v>15.89</v>
      </c>
      <c r="U7941" s="16"/>
      <c r="V7941" s="16"/>
      <c r="W7941" s="16" t="s">
        <v>40</v>
      </c>
      <c r="X7941" s="19">
        <v>8.0000000000000002E-3</v>
      </c>
      <c r="Y7941" s="20">
        <v>1.0000000000000001E-5</v>
      </c>
      <c r="Z7941" s="21">
        <v>4601004054455</v>
      </c>
    </row>
    <row r="7942" spans="1:26" ht="12" customHeight="1" outlineLevel="3" x14ac:dyDescent="0.2">
      <c r="A7942" s="14" t="s">
        <v>15180</v>
      </c>
      <c r="B7942" s="26" t="s">
        <v>15181</v>
      </c>
      <c r="C7942" s="52"/>
      <c r="D7942" s="55">
        <f t="shared" si="123"/>
        <v>0</v>
      </c>
      <c r="E7942" s="63" t="str">
        <f>HYPERLINK("https://www.sds-group.ru/product/tv-razem-shteker-bez-payki-belyy-proconnect-05-2041-2/", "Инфо")</f>
        <v>Инфо</v>
      </c>
      <c r="F7942" s="16" t="s">
        <v>39</v>
      </c>
      <c r="G7942" s="15"/>
      <c r="H7942" s="15"/>
      <c r="I7942" s="15"/>
      <c r="J7942" s="22">
        <v>12560</v>
      </c>
      <c r="K7942" s="15" t="s">
        <v>1266</v>
      </c>
      <c r="L7942" s="17">
        <v>100</v>
      </c>
      <c r="M7942" s="22">
        <v>2500</v>
      </c>
      <c r="N7942" s="17">
        <v>100</v>
      </c>
      <c r="O7942" s="18">
        <v>11.98</v>
      </c>
      <c r="P7942" s="18">
        <v>9.82</v>
      </c>
      <c r="Q7942" s="18">
        <v>10.18</v>
      </c>
      <c r="R7942" s="18">
        <v>8.34</v>
      </c>
      <c r="S7942" s="18">
        <v>8.15</v>
      </c>
      <c r="T7942" s="18">
        <v>6.68</v>
      </c>
      <c r="U7942" s="16"/>
      <c r="V7942" s="16"/>
      <c r="W7942" s="16" t="s">
        <v>40</v>
      </c>
      <c r="X7942" s="19">
        <v>3.0000000000000001E-3</v>
      </c>
      <c r="Y7942" s="20">
        <v>1.1E-5</v>
      </c>
      <c r="Z7942" s="21">
        <v>4601004041752</v>
      </c>
    </row>
    <row r="7943" spans="1:26" ht="12" customHeight="1" outlineLevel="3" x14ac:dyDescent="0.2">
      <c r="A7943" s="14" t="s">
        <v>15182</v>
      </c>
      <c r="B7943" s="26" t="s">
        <v>15183</v>
      </c>
      <c r="C7943" s="52"/>
      <c r="D7943" s="55">
        <f t="shared" si="123"/>
        <v>0</v>
      </c>
      <c r="E7943" s="63" t="str">
        <f>HYPERLINK("https://www.sds-group.ru/product/tv-razem-shteker-bez-payki-belyy-uglovoy-rexant-05-2061/", "Инфо")</f>
        <v>Инфо</v>
      </c>
      <c r="F7943" s="16" t="s">
        <v>39</v>
      </c>
      <c r="G7943" s="15"/>
      <c r="H7943" s="15"/>
      <c r="I7943" s="15"/>
      <c r="J7943" s="22">
        <v>11710</v>
      </c>
      <c r="K7943" s="15" t="s">
        <v>1004</v>
      </c>
      <c r="L7943" s="17">
        <v>100</v>
      </c>
      <c r="M7943" s="22">
        <v>2500</v>
      </c>
      <c r="N7943" s="17">
        <v>100</v>
      </c>
      <c r="O7943" s="18">
        <v>18.149999999999999</v>
      </c>
      <c r="P7943" s="18">
        <v>14.88</v>
      </c>
      <c r="Q7943" s="18">
        <v>15.43</v>
      </c>
      <c r="R7943" s="18">
        <v>12.65</v>
      </c>
      <c r="S7943" s="18">
        <v>12.34</v>
      </c>
      <c r="T7943" s="18">
        <v>10.11</v>
      </c>
      <c r="U7943" s="16"/>
      <c r="V7943" s="16"/>
      <c r="W7943" s="16" t="s">
        <v>40</v>
      </c>
      <c r="X7943" s="19">
        <v>5.0000000000000001E-3</v>
      </c>
      <c r="Y7943" s="20">
        <v>1.4E-5</v>
      </c>
      <c r="Z7943" s="21">
        <v>4601004054875</v>
      </c>
    </row>
    <row r="7944" spans="1:26" ht="12" customHeight="1" outlineLevel="3" x14ac:dyDescent="0.2">
      <c r="A7944" s="14" t="s">
        <v>15184</v>
      </c>
      <c r="B7944" s="26" t="s">
        <v>15185</v>
      </c>
      <c r="C7944" s="52"/>
      <c r="D7944" s="55">
        <f t="shared" si="123"/>
        <v>0</v>
      </c>
      <c r="E7944" s="63" t="str">
        <f>HYPERLINK("https://www.sds-group.ru/product/tv-razem-shteker-bez-payki-chernyy-proconnect-05-2042-2/", "Инфо")</f>
        <v>Инфо</v>
      </c>
      <c r="F7944" s="16" t="s">
        <v>39</v>
      </c>
      <c r="G7944" s="15"/>
      <c r="H7944" s="15"/>
      <c r="I7944" s="15"/>
      <c r="J7944" s="22">
        <v>6200</v>
      </c>
      <c r="K7944" s="15" t="s">
        <v>995</v>
      </c>
      <c r="L7944" s="17">
        <v>100</v>
      </c>
      <c r="M7944" s="22">
        <v>2500</v>
      </c>
      <c r="N7944" s="17">
        <v>100</v>
      </c>
      <c r="O7944" s="18">
        <v>11.98</v>
      </c>
      <c r="P7944" s="18">
        <v>9.82</v>
      </c>
      <c r="Q7944" s="18">
        <v>10.18</v>
      </c>
      <c r="R7944" s="18">
        <v>8.34</v>
      </c>
      <c r="S7944" s="18">
        <v>8.15</v>
      </c>
      <c r="T7944" s="18">
        <v>6.68</v>
      </c>
      <c r="U7944" s="16"/>
      <c r="V7944" s="16"/>
      <c r="W7944" s="16" t="s">
        <v>40</v>
      </c>
      <c r="X7944" s="19">
        <v>3.0000000000000001E-3</v>
      </c>
      <c r="Y7944" s="20">
        <v>1.2E-5</v>
      </c>
      <c r="Z7944" s="21">
        <v>4601004041769</v>
      </c>
    </row>
    <row r="7945" spans="1:26" ht="12" customHeight="1" outlineLevel="3" x14ac:dyDescent="0.2">
      <c r="A7945" s="14" t="s">
        <v>15186</v>
      </c>
      <c r="B7945" s="26" t="s">
        <v>15187</v>
      </c>
      <c r="C7945" s="52"/>
      <c r="D7945" s="55">
        <f t="shared" ref="D7945:D8008" si="124">C7945*(O7945-O7945*$G$3)</f>
        <v>0</v>
      </c>
      <c r="E7945" s="63" t="str">
        <f>HYPERLINK("https://www.sds-group.ru/product/tv-razem-shteker-nikelirovannyy-c-pruzhinoy-rexant-05-2011/", "Инфо")</f>
        <v>Инфо</v>
      </c>
      <c r="F7945" s="16" t="s">
        <v>39</v>
      </c>
      <c r="G7945" s="15"/>
      <c r="H7945" s="15"/>
      <c r="I7945" s="15"/>
      <c r="J7945" s="22">
        <v>9750</v>
      </c>
      <c r="K7945" s="15" t="s">
        <v>1004</v>
      </c>
      <c r="L7945" s="17">
        <v>100</v>
      </c>
      <c r="M7945" s="22">
        <v>2500</v>
      </c>
      <c r="N7945" s="17">
        <v>100</v>
      </c>
      <c r="O7945" s="18">
        <v>24.37</v>
      </c>
      <c r="P7945" s="18">
        <v>19.98</v>
      </c>
      <c r="Q7945" s="18">
        <v>20.71</v>
      </c>
      <c r="R7945" s="18">
        <v>16.98</v>
      </c>
      <c r="S7945" s="18">
        <v>16.57</v>
      </c>
      <c r="T7945" s="18">
        <v>13.58</v>
      </c>
      <c r="U7945" s="16"/>
      <c r="V7945" s="16"/>
      <c r="W7945" s="16" t="s">
        <v>40</v>
      </c>
      <c r="X7945" s="19">
        <v>8.0000000000000002E-3</v>
      </c>
      <c r="Y7945" s="20">
        <v>1.0000000000000001E-5</v>
      </c>
      <c r="Z7945" s="21">
        <v>4610003608231</v>
      </c>
    </row>
    <row r="7946" spans="1:26" ht="12" customHeight="1" outlineLevel="3" x14ac:dyDescent="0.2">
      <c r="A7946" s="14" t="s">
        <v>15188</v>
      </c>
      <c r="B7946" s="26" t="s">
        <v>15189</v>
      </c>
      <c r="C7946" s="52"/>
      <c r="D7946" s="55">
        <f t="shared" si="124"/>
        <v>0</v>
      </c>
      <c r="E7946" s="63" t="str">
        <f>HYPERLINK("https://www.sds-group.ru/product/tv-razem-shteker-nikelirovannyy-c-pruzhinoy-proconnect-05-2011-4/", "Инфо")</f>
        <v>Инфо</v>
      </c>
      <c r="F7946" s="16" t="s">
        <v>39</v>
      </c>
      <c r="G7946" s="15"/>
      <c r="H7946" s="15"/>
      <c r="I7946" s="15"/>
      <c r="J7946" s="22">
        <v>66300</v>
      </c>
      <c r="K7946" s="15" t="s">
        <v>1004</v>
      </c>
      <c r="L7946" s="17">
        <v>100</v>
      </c>
      <c r="M7946" s="22">
        <v>2000</v>
      </c>
      <c r="N7946" s="17">
        <v>100</v>
      </c>
      <c r="O7946" s="18">
        <v>27.52</v>
      </c>
      <c r="P7946" s="18">
        <v>22.56</v>
      </c>
      <c r="Q7946" s="18">
        <v>23.39</v>
      </c>
      <c r="R7946" s="18">
        <v>19.170000000000002</v>
      </c>
      <c r="S7946" s="18">
        <v>18.71</v>
      </c>
      <c r="T7946" s="18">
        <v>15.34</v>
      </c>
      <c r="U7946" s="16"/>
      <c r="V7946" s="16"/>
      <c r="W7946" s="16" t="s">
        <v>40</v>
      </c>
      <c r="X7946" s="19">
        <v>8.0000000000000002E-3</v>
      </c>
      <c r="Y7946" s="20">
        <v>9.0000000000000002E-6</v>
      </c>
      <c r="Z7946" s="21">
        <v>4601004054806</v>
      </c>
    </row>
    <row r="7947" spans="1:26" ht="12.95" customHeight="1" outlineLevel="2" x14ac:dyDescent="0.2">
      <c r="A7947" s="76" t="s">
        <v>15190</v>
      </c>
      <c r="B7947" s="76"/>
      <c r="C7947" s="77"/>
      <c r="D7947" s="58"/>
      <c r="E7947" s="68"/>
      <c r="F7947" s="13"/>
      <c r="G7947" s="13"/>
      <c r="H7947" s="13"/>
      <c r="I7947" s="13"/>
      <c r="J7947" s="13"/>
      <c r="K7947" s="13"/>
      <c r="L7947" s="13"/>
      <c r="M7947" s="13"/>
      <c r="N7947" s="13"/>
      <c r="O7947" s="13"/>
      <c r="P7947" s="13"/>
      <c r="Q7947" s="13"/>
      <c r="R7947" s="13"/>
      <c r="S7947" s="13"/>
      <c r="T7947" s="13"/>
      <c r="U7947" s="13"/>
      <c r="V7947" s="13"/>
      <c r="W7947" s="13"/>
      <c r="X7947" s="13"/>
      <c r="Y7947" s="13"/>
      <c r="Z7947" s="13"/>
    </row>
    <row r="7948" spans="1:26" ht="12" customHeight="1" outlineLevel="3" x14ac:dyDescent="0.2">
      <c r="A7948" s="14" t="s">
        <v>15191</v>
      </c>
      <c r="B7948" s="26" t="s">
        <v>15192</v>
      </c>
      <c r="C7948" s="52"/>
      <c r="D7948" s="55">
        <f t="shared" si="124"/>
        <v>0</v>
      </c>
      <c r="E7948" s="63" t="str">
        <f>HYPERLINK("https://www.sds-group.ru/product/perehodnik-gnezdo-f-gnezdo-f-bochka-bez-koltsa-proconnect-05-4201-6/", "Инфо")</f>
        <v>Инфо</v>
      </c>
      <c r="F7948" s="16" t="s">
        <v>39</v>
      </c>
      <c r="G7948" s="15"/>
      <c r="H7948" s="15"/>
      <c r="I7948" s="15"/>
      <c r="J7948" s="22">
        <v>12916</v>
      </c>
      <c r="K7948" s="15" t="s">
        <v>925</v>
      </c>
      <c r="L7948" s="17">
        <v>100</v>
      </c>
      <c r="M7948" s="22">
        <v>5000</v>
      </c>
      <c r="N7948" s="17">
        <v>100</v>
      </c>
      <c r="O7948" s="18">
        <v>10.73</v>
      </c>
      <c r="P7948" s="18">
        <v>8.8000000000000007</v>
      </c>
      <c r="Q7948" s="18">
        <v>9.1199999999999992</v>
      </c>
      <c r="R7948" s="18">
        <v>7.48</v>
      </c>
      <c r="S7948" s="18">
        <v>7.3</v>
      </c>
      <c r="T7948" s="18">
        <v>5.98</v>
      </c>
      <c r="U7948" s="16"/>
      <c r="V7948" s="16"/>
      <c r="W7948" s="16" t="s">
        <v>40</v>
      </c>
      <c r="X7948" s="19">
        <v>3.0000000000000001E-3</v>
      </c>
      <c r="Y7948" s="20">
        <v>5.0000000000000004E-6</v>
      </c>
      <c r="Z7948" s="21">
        <v>4601004041684</v>
      </c>
    </row>
    <row r="7949" spans="1:26" ht="12" customHeight="1" outlineLevel="3" x14ac:dyDescent="0.2">
      <c r="A7949" s="14" t="s">
        <v>15193</v>
      </c>
      <c r="B7949" s="26" t="s">
        <v>15194</v>
      </c>
      <c r="C7949" s="52"/>
      <c r="D7949" s="55">
        <f t="shared" si="124"/>
        <v>0</v>
      </c>
      <c r="E7949" s="63" t="str">
        <f>HYPERLINK("https://www.sds-group.ru/product/perehodnik-gnezdo-f-gnezdo-f-bochka-s-koltsom-proconnect-05-4201-4/", "Инфо")</f>
        <v>Инфо</v>
      </c>
      <c r="F7949" s="16" t="s">
        <v>39</v>
      </c>
      <c r="G7949" s="15"/>
      <c r="H7949" s="15"/>
      <c r="I7949" s="15"/>
      <c r="J7949" s="22">
        <v>10600</v>
      </c>
      <c r="K7949" s="15" t="s">
        <v>1277</v>
      </c>
      <c r="L7949" s="17">
        <v>100</v>
      </c>
      <c r="M7949" s="22">
        <v>5000</v>
      </c>
      <c r="N7949" s="17">
        <v>100</v>
      </c>
      <c r="O7949" s="18">
        <v>13.67</v>
      </c>
      <c r="P7949" s="18">
        <v>11.2</v>
      </c>
      <c r="Q7949" s="18">
        <v>11.62</v>
      </c>
      <c r="R7949" s="18">
        <v>9.52</v>
      </c>
      <c r="S7949" s="18">
        <v>9.3000000000000007</v>
      </c>
      <c r="T7949" s="18">
        <v>7.62</v>
      </c>
      <c r="U7949" s="16"/>
      <c r="V7949" s="16"/>
      <c r="W7949" s="16" t="s">
        <v>40</v>
      </c>
      <c r="X7949" s="19">
        <v>3.0000000000000001E-3</v>
      </c>
      <c r="Y7949" s="20">
        <v>5.0000000000000004E-6</v>
      </c>
      <c r="Z7949" s="21">
        <v>4601004054738</v>
      </c>
    </row>
    <row r="7950" spans="1:26" ht="12" customHeight="1" outlineLevel="3" x14ac:dyDescent="0.2">
      <c r="A7950" s="14" t="s">
        <v>15195</v>
      </c>
      <c r="B7950" s="26" t="s">
        <v>15196</v>
      </c>
      <c r="C7950" s="52"/>
      <c r="D7950" s="55">
        <f t="shared" si="124"/>
        <v>0</v>
      </c>
      <c r="E7950" s="63" t="str">
        <f>HYPERLINK("https://www.sds-group.ru/product/perehodnik-gnezdo-f-gnezdo-f-bochka-s-koltsom-rexant-05-4201/", "Инфо")</f>
        <v>Инфо</v>
      </c>
      <c r="F7950" s="16" t="s">
        <v>39</v>
      </c>
      <c r="G7950" s="15"/>
      <c r="H7950" s="15"/>
      <c r="I7950" s="15"/>
      <c r="J7950" s="22">
        <v>45170</v>
      </c>
      <c r="K7950" s="15" t="s">
        <v>925</v>
      </c>
      <c r="L7950" s="17">
        <v>100</v>
      </c>
      <c r="M7950" s="22">
        <v>2500</v>
      </c>
      <c r="N7950" s="17">
        <v>100</v>
      </c>
      <c r="O7950" s="18">
        <v>32.11</v>
      </c>
      <c r="P7950" s="18">
        <v>26.32</v>
      </c>
      <c r="Q7950" s="18">
        <v>27.29</v>
      </c>
      <c r="R7950" s="18">
        <v>22.37</v>
      </c>
      <c r="S7950" s="18">
        <v>21.83</v>
      </c>
      <c r="T7950" s="18">
        <v>17.89</v>
      </c>
      <c r="U7950" s="16"/>
      <c r="V7950" s="16"/>
      <c r="W7950" s="16" t="s">
        <v>40</v>
      </c>
      <c r="X7950" s="19">
        <v>5.0000000000000001E-3</v>
      </c>
      <c r="Y7950" s="20">
        <v>3.9999999999999998E-6</v>
      </c>
      <c r="Z7950" s="21">
        <v>4610003608323</v>
      </c>
    </row>
    <row r="7951" spans="1:26" ht="12" customHeight="1" outlineLevel="3" x14ac:dyDescent="0.2">
      <c r="A7951" s="14" t="s">
        <v>15197</v>
      </c>
      <c r="B7951" s="26" t="s">
        <v>15198</v>
      </c>
      <c r="C7951" s="52"/>
      <c r="D7951" s="55">
        <f t="shared" si="124"/>
        <v>0</v>
      </c>
      <c r="E7951" s="63" t="str">
        <f>HYPERLINK("https://www.sds-group.ru/product/perehodnik-soedinitel-x3-gnezda-f-proconnect-05-4204-4/", "Инфо")</f>
        <v>Инфо</v>
      </c>
      <c r="F7951" s="16" t="s">
        <v>39</v>
      </c>
      <c r="G7951" s="15"/>
      <c r="H7951" s="15"/>
      <c r="I7951" s="15"/>
      <c r="J7951" s="22">
        <v>12940</v>
      </c>
      <c r="K7951" s="15" t="s">
        <v>925</v>
      </c>
      <c r="L7951" s="17">
        <v>50</v>
      </c>
      <c r="M7951" s="22">
        <v>2000</v>
      </c>
      <c r="N7951" s="17">
        <v>50</v>
      </c>
      <c r="O7951" s="18">
        <v>34.229999999999997</v>
      </c>
      <c r="P7951" s="18">
        <v>28.06</v>
      </c>
      <c r="Q7951" s="18">
        <v>29.1</v>
      </c>
      <c r="R7951" s="18">
        <v>23.85</v>
      </c>
      <c r="S7951" s="18">
        <v>23.28</v>
      </c>
      <c r="T7951" s="18">
        <v>19.079999999999998</v>
      </c>
      <c r="U7951" s="16"/>
      <c r="V7951" s="16"/>
      <c r="W7951" s="16" t="s">
        <v>40</v>
      </c>
      <c r="X7951" s="19">
        <v>7.0000000000000001E-3</v>
      </c>
      <c r="Y7951" s="20">
        <v>7.9999999999999996E-6</v>
      </c>
      <c r="Z7951" s="21">
        <v>4601004041639</v>
      </c>
    </row>
    <row r="7952" spans="1:26" ht="12" customHeight="1" outlineLevel="3" x14ac:dyDescent="0.2">
      <c r="A7952" s="14" t="s">
        <v>15199</v>
      </c>
      <c r="B7952" s="26" t="s">
        <v>15200</v>
      </c>
      <c r="C7952" s="52"/>
      <c r="D7952" s="55">
        <f t="shared" si="124"/>
        <v>0</v>
      </c>
      <c r="E7952" s="63" t="str">
        <f>HYPERLINK("https://www.sds-group.ru/product/perehodnik-gnezdo-f-gnezdo-tv-proconnect-05-4302-4/", "Инфо")</f>
        <v>Инфо</v>
      </c>
      <c r="F7952" s="16" t="s">
        <v>39</v>
      </c>
      <c r="G7952" s="15"/>
      <c r="H7952" s="15"/>
      <c r="I7952" s="15"/>
      <c r="J7952" s="22">
        <v>70940</v>
      </c>
      <c r="K7952" s="15" t="s">
        <v>6174</v>
      </c>
      <c r="L7952" s="17">
        <v>100</v>
      </c>
      <c r="M7952" s="22">
        <v>2500</v>
      </c>
      <c r="N7952" s="17">
        <v>100</v>
      </c>
      <c r="O7952" s="18">
        <v>21.84</v>
      </c>
      <c r="P7952" s="18">
        <v>17.899999999999999</v>
      </c>
      <c r="Q7952" s="18">
        <v>18.559999999999999</v>
      </c>
      <c r="R7952" s="18">
        <v>15.21</v>
      </c>
      <c r="S7952" s="18">
        <v>14.85</v>
      </c>
      <c r="T7952" s="18">
        <v>12.17</v>
      </c>
      <c r="U7952" s="16"/>
      <c r="V7952" s="16"/>
      <c r="W7952" s="16" t="s">
        <v>40</v>
      </c>
      <c r="X7952" s="19">
        <v>4.0000000000000001E-3</v>
      </c>
      <c r="Y7952" s="20">
        <v>6.0000000000000002E-6</v>
      </c>
      <c r="Z7952" s="21">
        <v>4601004054769</v>
      </c>
    </row>
    <row r="7953" spans="1:26" ht="12" customHeight="1" outlineLevel="3" x14ac:dyDescent="0.2">
      <c r="A7953" s="14" t="s">
        <v>15201</v>
      </c>
      <c r="B7953" s="26" t="s">
        <v>15202</v>
      </c>
      <c r="C7953" s="52"/>
      <c r="D7953" s="55">
        <f t="shared" si="124"/>
        <v>0</v>
      </c>
      <c r="E7953" s="63" t="str">
        <f>HYPERLINK("https://www.sds-group.ru/product/perehodnik-gnezdo-f-gnezdo-tv-rexant-05-4301/", "Инфо")</f>
        <v>Инфо</v>
      </c>
      <c r="F7953" s="16" t="s">
        <v>39</v>
      </c>
      <c r="G7953" s="15"/>
      <c r="H7953" s="15"/>
      <c r="I7953" s="15"/>
      <c r="J7953" s="16" t="s">
        <v>100</v>
      </c>
      <c r="K7953" s="15" t="s">
        <v>925</v>
      </c>
      <c r="L7953" s="17">
        <v>20</v>
      </c>
      <c r="M7953" s="22">
        <v>2500</v>
      </c>
      <c r="N7953" s="17">
        <v>20</v>
      </c>
      <c r="O7953" s="18">
        <v>34.369999999999997</v>
      </c>
      <c r="P7953" s="18">
        <v>28.17</v>
      </c>
      <c r="Q7953" s="18">
        <v>29.21</v>
      </c>
      <c r="R7953" s="18">
        <v>23.94</v>
      </c>
      <c r="S7953" s="18">
        <v>23.37</v>
      </c>
      <c r="T7953" s="18">
        <v>19.16</v>
      </c>
      <c r="U7953" s="16"/>
      <c r="V7953" s="16"/>
      <c r="W7953" s="16" t="s">
        <v>40</v>
      </c>
      <c r="X7953" s="19">
        <v>7.0000000000000001E-3</v>
      </c>
      <c r="Y7953" s="20">
        <v>6.9999999999999999E-6</v>
      </c>
      <c r="Z7953" s="21">
        <v>4660008011963</v>
      </c>
    </row>
    <row r="7954" spans="1:26" ht="12" customHeight="1" outlineLevel="3" x14ac:dyDescent="0.2">
      <c r="A7954" s="14" t="s">
        <v>15203</v>
      </c>
      <c r="B7954" s="26" t="s">
        <v>15204</v>
      </c>
      <c r="C7954" s="52"/>
      <c r="D7954" s="55">
        <f t="shared" si="124"/>
        <v>0</v>
      </c>
      <c r="E7954" s="63" t="str">
        <f>HYPERLINK("https://www.sds-group.ru/product/perehodnik-gnezdo-f-gnezdo-tv-s-koltsom-proconnect-05-4301-4/", "Инфо")</f>
        <v>Инфо</v>
      </c>
      <c r="F7954" s="16" t="s">
        <v>39</v>
      </c>
      <c r="G7954" s="15"/>
      <c r="H7954" s="15"/>
      <c r="I7954" s="15"/>
      <c r="J7954" s="22">
        <v>27000</v>
      </c>
      <c r="K7954" s="15" t="s">
        <v>6174</v>
      </c>
      <c r="L7954" s="17">
        <v>100</v>
      </c>
      <c r="M7954" s="22">
        <v>2500</v>
      </c>
      <c r="N7954" s="17">
        <v>100</v>
      </c>
      <c r="O7954" s="18">
        <v>23.17</v>
      </c>
      <c r="P7954" s="18">
        <v>18.989999999999998</v>
      </c>
      <c r="Q7954" s="18">
        <v>19.690000000000001</v>
      </c>
      <c r="R7954" s="18">
        <v>16.14</v>
      </c>
      <c r="S7954" s="18">
        <v>15.76</v>
      </c>
      <c r="T7954" s="18">
        <v>12.92</v>
      </c>
      <c r="U7954" s="16"/>
      <c r="V7954" s="16"/>
      <c r="W7954" s="16" t="s">
        <v>40</v>
      </c>
      <c r="X7954" s="19">
        <v>4.0000000000000001E-3</v>
      </c>
      <c r="Y7954" s="20">
        <v>6.0000000000000002E-6</v>
      </c>
      <c r="Z7954" s="21">
        <v>4660008012014</v>
      </c>
    </row>
    <row r="7955" spans="1:26" ht="12" customHeight="1" outlineLevel="3" x14ac:dyDescent="0.2">
      <c r="A7955" s="14" t="s">
        <v>15205</v>
      </c>
      <c r="B7955" s="26" t="s">
        <v>15206</v>
      </c>
      <c r="C7955" s="52"/>
      <c r="D7955" s="55">
        <f t="shared" si="124"/>
        <v>0</v>
      </c>
      <c r="E7955" s="63" t="str">
        <f>HYPERLINK("https://www.sds-group.ru/product/perehodnik-uglovoy-gnezdo-f-gnezdo-tv-proconnect-05-4312-4/", "Инфо")</f>
        <v>Инфо</v>
      </c>
      <c r="F7955" s="16" t="s">
        <v>39</v>
      </c>
      <c r="G7955" s="15"/>
      <c r="H7955" s="15"/>
      <c r="I7955" s="15"/>
      <c r="J7955" s="22">
        <v>36180</v>
      </c>
      <c r="K7955" s="15"/>
      <c r="L7955" s="17">
        <v>50</v>
      </c>
      <c r="M7955" s="22">
        <v>2000</v>
      </c>
      <c r="N7955" s="17">
        <v>50</v>
      </c>
      <c r="O7955" s="18">
        <v>34.619999999999997</v>
      </c>
      <c r="P7955" s="18">
        <v>28.38</v>
      </c>
      <c r="Q7955" s="18">
        <v>29.43</v>
      </c>
      <c r="R7955" s="18">
        <v>24.12</v>
      </c>
      <c r="S7955" s="18">
        <v>23.54</v>
      </c>
      <c r="T7955" s="18">
        <v>19.3</v>
      </c>
      <c r="U7955" s="16"/>
      <c r="V7955" s="16"/>
      <c r="W7955" s="16" t="s">
        <v>40</v>
      </c>
      <c r="X7955" s="19">
        <v>8.0000000000000002E-3</v>
      </c>
      <c r="Y7955" s="20">
        <v>1.0000000000000001E-5</v>
      </c>
      <c r="Z7955" s="21">
        <v>4601004041608</v>
      </c>
    </row>
    <row r="7956" spans="1:26" ht="12" customHeight="1" outlineLevel="3" x14ac:dyDescent="0.2">
      <c r="A7956" s="14" t="s">
        <v>15207</v>
      </c>
      <c r="B7956" s="26" t="s">
        <v>15208</v>
      </c>
      <c r="C7956" s="52"/>
      <c r="D7956" s="55">
        <f t="shared" si="124"/>
        <v>0</v>
      </c>
      <c r="E7956" s="63" t="str">
        <f>HYPERLINK("https://www.sds-group.ru/product/perehodnik-uglovoy-gnezdo-f-gnezdo-tv-rexant-05-4312/", "Инфо")</f>
        <v>Инфо</v>
      </c>
      <c r="F7956" s="16" t="s">
        <v>39</v>
      </c>
      <c r="G7956" s="15"/>
      <c r="H7956" s="15"/>
      <c r="I7956" s="15"/>
      <c r="J7956" s="16" t="s">
        <v>100</v>
      </c>
      <c r="K7956" s="15" t="s">
        <v>925</v>
      </c>
      <c r="L7956" s="17">
        <v>10</v>
      </c>
      <c r="M7956" s="22">
        <v>1000</v>
      </c>
      <c r="N7956" s="17">
        <v>10</v>
      </c>
      <c r="O7956" s="18">
        <v>86.5</v>
      </c>
      <c r="P7956" s="18">
        <v>70.900000000000006</v>
      </c>
      <c r="Q7956" s="18">
        <v>73.53</v>
      </c>
      <c r="R7956" s="18">
        <v>60.27</v>
      </c>
      <c r="S7956" s="18">
        <v>58.82</v>
      </c>
      <c r="T7956" s="18">
        <v>48.21</v>
      </c>
      <c r="U7956" s="16"/>
      <c r="V7956" s="16"/>
      <c r="W7956" s="16" t="s">
        <v>40</v>
      </c>
      <c r="X7956" s="19">
        <v>1.4E-2</v>
      </c>
      <c r="Y7956" s="20">
        <v>1.7E-5</v>
      </c>
      <c r="Z7956" s="21">
        <v>4601004125346</v>
      </c>
    </row>
    <row r="7957" spans="1:26" ht="12" customHeight="1" outlineLevel="3" x14ac:dyDescent="0.2">
      <c r="A7957" s="14" t="s">
        <v>15209</v>
      </c>
      <c r="B7957" s="26" t="s">
        <v>15210</v>
      </c>
      <c r="C7957" s="52"/>
      <c r="D7957" s="55">
        <f t="shared" si="124"/>
        <v>0</v>
      </c>
      <c r="E7957" s="63" t="str">
        <f>HYPERLINK("https://www.sds-group.ru/product/perehodnik-gnezdo-f-shteker-tv-rexant-05-4303/", "Инфо")</f>
        <v>Инфо</v>
      </c>
      <c r="F7957" s="16" t="s">
        <v>39</v>
      </c>
      <c r="G7957" s="15"/>
      <c r="H7957" s="15"/>
      <c r="I7957" s="15"/>
      <c r="J7957" s="22">
        <v>38820</v>
      </c>
      <c r="K7957" s="15" t="s">
        <v>1277</v>
      </c>
      <c r="L7957" s="17">
        <v>100</v>
      </c>
      <c r="M7957" s="22">
        <v>2500</v>
      </c>
      <c r="N7957" s="17">
        <v>100</v>
      </c>
      <c r="O7957" s="18">
        <v>32.96</v>
      </c>
      <c r="P7957" s="18">
        <v>27.02</v>
      </c>
      <c r="Q7957" s="18">
        <v>28.02</v>
      </c>
      <c r="R7957" s="18">
        <v>22.97</v>
      </c>
      <c r="S7957" s="18">
        <v>22.41</v>
      </c>
      <c r="T7957" s="18">
        <v>18.37</v>
      </c>
      <c r="U7957" s="16"/>
      <c r="V7957" s="16"/>
      <c r="W7957" s="16" t="s">
        <v>40</v>
      </c>
      <c r="X7957" s="19">
        <v>6.0000000000000001E-3</v>
      </c>
      <c r="Y7957" s="20">
        <v>6.9999999999999999E-6</v>
      </c>
      <c r="Z7957" s="21">
        <v>4660008011949</v>
      </c>
    </row>
    <row r="7958" spans="1:26" ht="12" customHeight="1" outlineLevel="3" x14ac:dyDescent="0.2">
      <c r="A7958" s="14" t="s">
        <v>15211</v>
      </c>
      <c r="B7958" s="26" t="s">
        <v>15212</v>
      </c>
      <c r="C7958" s="52"/>
      <c r="D7958" s="55">
        <f t="shared" si="124"/>
        <v>0</v>
      </c>
      <c r="E7958" s="63" t="str">
        <f>HYPERLINK("https://www.sds-group.ru/product/perehodnik-gnezdo-f-shteker-tv-zn-proconnect-05-4303-6/", "Инфо")</f>
        <v>Инфо</v>
      </c>
      <c r="F7958" s="16" t="s">
        <v>39</v>
      </c>
      <c r="G7958" s="15"/>
      <c r="H7958" s="15"/>
      <c r="I7958" s="15"/>
      <c r="J7958" s="22">
        <v>66160</v>
      </c>
      <c r="K7958" s="15" t="s">
        <v>6174</v>
      </c>
      <c r="L7958" s="17">
        <v>100</v>
      </c>
      <c r="M7958" s="22">
        <v>2500</v>
      </c>
      <c r="N7958" s="17">
        <v>100</v>
      </c>
      <c r="O7958" s="18">
        <v>10.56</v>
      </c>
      <c r="P7958" s="18">
        <v>8.66</v>
      </c>
      <c r="Q7958" s="18">
        <v>8.98</v>
      </c>
      <c r="R7958" s="18">
        <v>7.36</v>
      </c>
      <c r="S7958" s="18">
        <v>7.18</v>
      </c>
      <c r="T7958" s="18">
        <v>5.89</v>
      </c>
      <c r="U7958" s="16"/>
      <c r="V7958" s="16"/>
      <c r="W7958" s="16" t="s">
        <v>40</v>
      </c>
      <c r="X7958" s="19">
        <v>3.0000000000000001E-3</v>
      </c>
      <c r="Y7958" s="20">
        <v>5.0000000000000004E-6</v>
      </c>
      <c r="Z7958" s="21">
        <v>4601004049796</v>
      </c>
    </row>
    <row r="7959" spans="1:26" ht="12" customHeight="1" outlineLevel="3" x14ac:dyDescent="0.2">
      <c r="A7959" s="14" t="s">
        <v>15213</v>
      </c>
      <c r="B7959" s="26" t="s">
        <v>15214</v>
      </c>
      <c r="C7959" s="52"/>
      <c r="D7959" s="55">
        <f t="shared" si="124"/>
        <v>0</v>
      </c>
      <c r="E7959" s="63" t="str">
        <f>HYPERLINK("https://www.sds-group.ru/product/perehodnik-gnezdo-f-shteker-tv-znni-proconnect-05-4303-4/", "Инфо")</f>
        <v>Инфо</v>
      </c>
      <c r="F7959" s="16" t="s">
        <v>39</v>
      </c>
      <c r="G7959" s="15"/>
      <c r="H7959" s="15"/>
      <c r="I7959" s="15"/>
      <c r="J7959" s="16" t="s">
        <v>100</v>
      </c>
      <c r="K7959" s="15" t="s">
        <v>925</v>
      </c>
      <c r="L7959" s="17">
        <v>100</v>
      </c>
      <c r="M7959" s="22">
        <v>5000</v>
      </c>
      <c r="N7959" s="17">
        <v>100</v>
      </c>
      <c r="O7959" s="18">
        <v>11.17</v>
      </c>
      <c r="P7959" s="18">
        <v>9.16</v>
      </c>
      <c r="Q7959" s="18">
        <v>9.49</v>
      </c>
      <c r="R7959" s="18">
        <v>7.78</v>
      </c>
      <c r="S7959" s="18">
        <v>7.6</v>
      </c>
      <c r="T7959" s="18">
        <v>6.23</v>
      </c>
      <c r="U7959" s="16"/>
      <c r="V7959" s="16"/>
      <c r="W7959" s="16" t="s">
        <v>40</v>
      </c>
      <c r="X7959" s="19">
        <v>3.0000000000000001E-3</v>
      </c>
      <c r="Y7959" s="20">
        <v>5.0000000000000004E-6</v>
      </c>
      <c r="Z7959" s="21">
        <v>4601004041691</v>
      </c>
    </row>
    <row r="7960" spans="1:26" ht="12" customHeight="1" outlineLevel="3" x14ac:dyDescent="0.2">
      <c r="A7960" s="14" t="s">
        <v>15215</v>
      </c>
      <c r="B7960" s="26" t="s">
        <v>15216</v>
      </c>
      <c r="C7960" s="52"/>
      <c r="D7960" s="55">
        <f t="shared" si="124"/>
        <v>0</v>
      </c>
      <c r="E7960" s="63" t="str">
        <f>HYPERLINK("https://www.sds-group.ru/product/perehodnik-uglovoy-gnezdo-f-shteker-tv-proconnect-05-4311-4/", "Инфо")</f>
        <v>Инфо</v>
      </c>
      <c r="F7960" s="16" t="s">
        <v>39</v>
      </c>
      <c r="G7960" s="15"/>
      <c r="H7960" s="15"/>
      <c r="I7960" s="15"/>
      <c r="J7960" s="22">
        <v>51200</v>
      </c>
      <c r="K7960" s="15" t="s">
        <v>925</v>
      </c>
      <c r="L7960" s="17">
        <v>50</v>
      </c>
      <c r="M7960" s="22">
        <v>1000</v>
      </c>
      <c r="N7960" s="17">
        <v>50</v>
      </c>
      <c r="O7960" s="18">
        <v>34.619999999999997</v>
      </c>
      <c r="P7960" s="18">
        <v>28.38</v>
      </c>
      <c r="Q7960" s="18">
        <v>29.43</v>
      </c>
      <c r="R7960" s="18">
        <v>24.12</v>
      </c>
      <c r="S7960" s="18">
        <v>23.54</v>
      </c>
      <c r="T7960" s="18">
        <v>19.3</v>
      </c>
      <c r="U7960" s="16"/>
      <c r="V7960" s="16"/>
      <c r="W7960" s="16" t="s">
        <v>40</v>
      </c>
      <c r="X7960" s="19">
        <v>8.0000000000000002E-3</v>
      </c>
      <c r="Y7960" s="20">
        <v>1.0000000000000001E-5</v>
      </c>
      <c r="Z7960" s="21">
        <v>4601004011953</v>
      </c>
    </row>
    <row r="7961" spans="1:26" ht="12" customHeight="1" outlineLevel="3" x14ac:dyDescent="0.2">
      <c r="A7961" s="14" t="s">
        <v>15217</v>
      </c>
      <c r="B7961" s="26" t="s">
        <v>15218</v>
      </c>
      <c r="C7961" s="52"/>
      <c r="D7961" s="55">
        <f t="shared" si="124"/>
        <v>0</v>
      </c>
      <c r="E7961" s="63" t="str">
        <f>HYPERLINK("https://www.sds-group.ru/product/perehodnik-uglovoy-gnezdo-f-shteker-tv-rexant-05-4311/", "Инфо")</f>
        <v>Инфо</v>
      </c>
      <c r="F7961" s="16" t="s">
        <v>39</v>
      </c>
      <c r="G7961" s="15"/>
      <c r="H7961" s="15"/>
      <c r="I7961" s="15"/>
      <c r="J7961" s="22">
        <v>9293</v>
      </c>
      <c r="K7961" s="15" t="s">
        <v>995</v>
      </c>
      <c r="L7961" s="17">
        <v>10</v>
      </c>
      <c r="M7961" s="22">
        <v>1000</v>
      </c>
      <c r="N7961" s="17">
        <v>10</v>
      </c>
      <c r="O7961" s="18">
        <v>86.5</v>
      </c>
      <c r="P7961" s="18">
        <v>70.900000000000006</v>
      </c>
      <c r="Q7961" s="18">
        <v>73.53</v>
      </c>
      <c r="R7961" s="18">
        <v>60.27</v>
      </c>
      <c r="S7961" s="18">
        <v>58.82</v>
      </c>
      <c r="T7961" s="18">
        <v>48.21</v>
      </c>
      <c r="U7961" s="16"/>
      <c r="V7961" s="16"/>
      <c r="W7961" s="16" t="s">
        <v>40</v>
      </c>
      <c r="X7961" s="19">
        <v>1.2999999999999999E-2</v>
      </c>
      <c r="Y7961" s="20">
        <v>1.7E-5</v>
      </c>
      <c r="Z7961" s="21">
        <v>4610003608347</v>
      </c>
    </row>
    <row r="7962" spans="1:26" ht="12" customHeight="1" outlineLevel="3" x14ac:dyDescent="0.2">
      <c r="A7962" s="14" t="s">
        <v>15219</v>
      </c>
      <c r="B7962" s="26" t="s">
        <v>15220</v>
      </c>
      <c r="C7962" s="52"/>
      <c r="D7962" s="55">
        <f t="shared" si="124"/>
        <v>0</v>
      </c>
      <c r="E7962" s="63" t="str">
        <f>HYPERLINK("https://www.sds-group.ru/product/perehodnik-shteker-f-gnezdo-tv-proconnect-05-4362-4/", "Инфо")</f>
        <v>Инфо</v>
      </c>
      <c r="F7962" s="16" t="s">
        <v>39</v>
      </c>
      <c r="G7962" s="15"/>
      <c r="H7962" s="15"/>
      <c r="I7962" s="15"/>
      <c r="J7962" s="16" t="s">
        <v>100</v>
      </c>
      <c r="K7962" s="15" t="s">
        <v>1277</v>
      </c>
      <c r="L7962" s="17">
        <v>100</v>
      </c>
      <c r="M7962" s="22">
        <v>2500</v>
      </c>
      <c r="N7962" s="17">
        <v>100</v>
      </c>
      <c r="O7962" s="18">
        <v>39.54</v>
      </c>
      <c r="P7962" s="18">
        <v>32.409999999999997</v>
      </c>
      <c r="Q7962" s="18">
        <v>33.61</v>
      </c>
      <c r="R7962" s="18">
        <v>27.55</v>
      </c>
      <c r="S7962" s="18">
        <v>26.89</v>
      </c>
      <c r="T7962" s="18">
        <v>22.04</v>
      </c>
      <c r="U7962" s="16"/>
      <c r="V7962" s="16"/>
      <c r="W7962" s="16" t="s">
        <v>40</v>
      </c>
      <c r="X7962" s="19">
        <v>7.0000000000000001E-3</v>
      </c>
      <c r="Y7962" s="20">
        <v>6.9999999999999999E-6</v>
      </c>
      <c r="Z7962" s="21">
        <v>4601004041707</v>
      </c>
    </row>
    <row r="7963" spans="1:26" ht="12.95" customHeight="1" outlineLevel="1" x14ac:dyDescent="0.2">
      <c r="A7963" s="78" t="s">
        <v>15221</v>
      </c>
      <c r="B7963" s="78"/>
      <c r="C7963" s="79"/>
      <c r="D7963" s="57"/>
      <c r="E7963" s="67"/>
      <c r="F7963" s="12"/>
      <c r="G7963" s="12"/>
      <c r="H7963" s="12"/>
      <c r="I7963" s="12"/>
      <c r="J7963" s="12"/>
      <c r="K7963" s="12"/>
      <c r="L7963" s="12"/>
      <c r="M7963" s="12"/>
      <c r="N7963" s="12"/>
      <c r="O7963" s="12"/>
      <c r="P7963" s="12"/>
      <c r="Q7963" s="12"/>
      <c r="R7963" s="12"/>
      <c r="S7963" s="12"/>
      <c r="T7963" s="12"/>
      <c r="U7963" s="12"/>
      <c r="V7963" s="12"/>
      <c r="W7963" s="12"/>
      <c r="X7963" s="12"/>
      <c r="Y7963" s="12"/>
      <c r="Z7963" s="12"/>
    </row>
    <row r="7964" spans="1:26" ht="12.95" customHeight="1" outlineLevel="2" x14ac:dyDescent="0.2">
      <c r="A7964" s="76" t="s">
        <v>15222</v>
      </c>
      <c r="B7964" s="76"/>
      <c r="C7964" s="77"/>
      <c r="D7964" s="58"/>
      <c r="E7964" s="68"/>
      <c r="F7964" s="13"/>
      <c r="G7964" s="13"/>
      <c r="H7964" s="13"/>
      <c r="I7964" s="13"/>
      <c r="J7964" s="13"/>
      <c r="K7964" s="13"/>
      <c r="L7964" s="13"/>
      <c r="M7964" s="13"/>
      <c r="N7964" s="13"/>
      <c r="O7964" s="13"/>
      <c r="P7964" s="13"/>
      <c r="Q7964" s="13"/>
      <c r="R7964" s="13"/>
      <c r="S7964" s="13"/>
      <c r="T7964" s="13"/>
      <c r="U7964" s="13"/>
      <c r="V7964" s="13"/>
      <c r="W7964" s="13"/>
      <c r="X7964" s="13"/>
      <c r="Y7964" s="13"/>
      <c r="Z7964" s="13"/>
    </row>
    <row r="7965" spans="1:26" ht="12" customHeight="1" outlineLevel="3" x14ac:dyDescent="0.2">
      <c r="A7965" s="14" t="s">
        <v>15223</v>
      </c>
      <c r="B7965" s="26" t="s">
        <v>15224</v>
      </c>
      <c r="C7965" s="52"/>
      <c r="D7965" s="55">
        <f t="shared" si="124"/>
        <v>0</v>
      </c>
      <c r="E7965" s="63" t="str">
        <f>HYPERLINK("https://www.sds-group.ru/product/hdmi-udlinitel-po-vitoy-pare-rj-45-8p8c-do-200m-1080p-rexant-17-6971/", "Инфо")</f>
        <v>Инфо</v>
      </c>
      <c r="F7965" s="16" t="s">
        <v>39</v>
      </c>
      <c r="G7965" s="15"/>
      <c r="H7965" s="15"/>
      <c r="I7965" s="15"/>
      <c r="J7965" s="17">
        <v>33</v>
      </c>
      <c r="K7965" s="15" t="s">
        <v>1888</v>
      </c>
      <c r="L7965" s="17">
        <v>1</v>
      </c>
      <c r="M7965" s="17">
        <v>20</v>
      </c>
      <c r="N7965" s="17">
        <v>1</v>
      </c>
      <c r="O7965" s="18">
        <v>13568</v>
      </c>
      <c r="P7965" s="18">
        <v>11121.31</v>
      </c>
      <c r="Q7965" s="18">
        <v>9497.6</v>
      </c>
      <c r="R7965" s="18">
        <v>7784.92</v>
      </c>
      <c r="S7965" s="18">
        <v>9226.24</v>
      </c>
      <c r="T7965" s="18">
        <v>7562.49</v>
      </c>
      <c r="U7965" s="16"/>
      <c r="V7965" s="16"/>
      <c r="W7965" s="16"/>
      <c r="X7965" s="19">
        <v>0.66100000000000003</v>
      </c>
      <c r="Y7965" s="20">
        <v>2.6359999999999999E-3</v>
      </c>
      <c r="Z7965" s="21">
        <v>4601004342866</v>
      </c>
    </row>
    <row r="7966" spans="1:26" ht="12" customHeight="1" outlineLevel="3" x14ac:dyDescent="0.2">
      <c r="A7966" s="14" t="s">
        <v>15225</v>
      </c>
      <c r="B7966" s="26" t="s">
        <v>15226</v>
      </c>
      <c r="C7966" s="52"/>
      <c r="D7966" s="55">
        <f t="shared" si="124"/>
        <v>0</v>
      </c>
      <c r="E7966" s="63" t="str">
        <f>HYPERLINK("https://www.sds-group.ru/product/hdmi-udlinitel-po-vitoy-pare-rj-45-8p8c-do-60m-1080p-rexant-17-6906/", "Инфо")</f>
        <v>Инфо</v>
      </c>
      <c r="F7966" s="16" t="s">
        <v>39</v>
      </c>
      <c r="G7966" s="15"/>
      <c r="H7966" s="15"/>
      <c r="I7966" s="15"/>
      <c r="J7966" s="17">
        <v>199</v>
      </c>
      <c r="K7966" s="15"/>
      <c r="L7966" s="17">
        <v>1</v>
      </c>
      <c r="M7966" s="17">
        <v>20</v>
      </c>
      <c r="N7966" s="17">
        <v>1</v>
      </c>
      <c r="O7966" s="18">
        <v>4595.5600000000004</v>
      </c>
      <c r="P7966" s="18">
        <v>3766.85</v>
      </c>
      <c r="Q7966" s="18">
        <v>3354.76</v>
      </c>
      <c r="R7966" s="18">
        <v>2749.8</v>
      </c>
      <c r="S7966" s="18">
        <v>3124.98</v>
      </c>
      <c r="T7966" s="18">
        <v>2561.46</v>
      </c>
      <c r="U7966" s="16"/>
      <c r="V7966" s="16"/>
      <c r="W7966" s="16" t="s">
        <v>40</v>
      </c>
      <c r="X7966" s="19">
        <v>0.375</v>
      </c>
      <c r="Y7966" s="20">
        <v>2.3890000000000001E-3</v>
      </c>
      <c r="Z7966" s="21">
        <v>4601004002234</v>
      </c>
    </row>
    <row r="7967" spans="1:26" ht="12" customHeight="1" outlineLevel="3" x14ac:dyDescent="0.2">
      <c r="A7967" s="14" t="s">
        <v>15227</v>
      </c>
      <c r="B7967" s="26" t="s">
        <v>15228</v>
      </c>
      <c r="C7967" s="52"/>
      <c r="D7967" s="55">
        <f t="shared" si="124"/>
        <v>0</v>
      </c>
      <c r="E7967" s="63" t="str">
        <f>HYPERLINK("https://www.sds-group.ru/product/hdmi-udlinitel-po-vitoy-pare-rj-45-8p8c-do-30m-1080p-rexant-17-6916/", "Инфо")</f>
        <v>Инфо</v>
      </c>
      <c r="F7967" s="16" t="s">
        <v>1001</v>
      </c>
      <c r="G7967" s="15"/>
      <c r="H7967" s="15"/>
      <c r="I7967" s="15"/>
      <c r="J7967" s="17">
        <v>896</v>
      </c>
      <c r="K7967" s="15"/>
      <c r="L7967" s="17">
        <v>1</v>
      </c>
      <c r="M7967" s="17">
        <v>100</v>
      </c>
      <c r="N7967" s="17">
        <v>1</v>
      </c>
      <c r="O7967" s="18">
        <v>816.79</v>
      </c>
      <c r="P7967" s="18">
        <v>669.5</v>
      </c>
      <c r="Q7967" s="18">
        <v>653.42999999999995</v>
      </c>
      <c r="R7967" s="18">
        <v>535.6</v>
      </c>
      <c r="S7967" s="18">
        <v>555.41999999999996</v>
      </c>
      <c r="T7967" s="18">
        <v>455.26</v>
      </c>
      <c r="U7967" s="16"/>
      <c r="V7967" s="16"/>
      <c r="W7967" s="16" t="s">
        <v>40</v>
      </c>
      <c r="X7967" s="19">
        <v>9.8000000000000004E-2</v>
      </c>
      <c r="Y7967" s="20">
        <v>1.01E-3</v>
      </c>
      <c r="Z7967" s="21">
        <v>4601004049819</v>
      </c>
    </row>
    <row r="7968" spans="1:26" ht="12" customHeight="1" outlineLevel="3" x14ac:dyDescent="0.2">
      <c r="A7968" s="14" t="s">
        <v>15229</v>
      </c>
      <c r="B7968" s="26" t="s">
        <v>15230</v>
      </c>
      <c r="C7968" s="52"/>
      <c r="D7968" s="55">
        <f t="shared" si="124"/>
        <v>0</v>
      </c>
      <c r="E7968" s="63" t="str">
        <f>HYPERLINK("https://www.sds-group.ru/product/perehodnik-gnezdo-hdmi-gnezdo-hdmi-rexant-17-6806/", "Инфо")</f>
        <v>Инфо</v>
      </c>
      <c r="F7968" s="16" t="s">
        <v>39</v>
      </c>
      <c r="G7968" s="15"/>
      <c r="H7968" s="15"/>
      <c r="I7968" s="15"/>
      <c r="J7968" s="17">
        <v>707</v>
      </c>
      <c r="K7968" s="15" t="s">
        <v>1094</v>
      </c>
      <c r="L7968" s="17">
        <v>10</v>
      </c>
      <c r="M7968" s="17">
        <v>300</v>
      </c>
      <c r="N7968" s="17">
        <v>10</v>
      </c>
      <c r="O7968" s="18">
        <v>301.91000000000003</v>
      </c>
      <c r="P7968" s="18">
        <v>247.47</v>
      </c>
      <c r="Q7968" s="18">
        <v>256.62</v>
      </c>
      <c r="R7968" s="18">
        <v>210.34</v>
      </c>
      <c r="S7968" s="18">
        <v>205.3</v>
      </c>
      <c r="T7968" s="18">
        <v>168.28</v>
      </c>
      <c r="U7968" s="16"/>
      <c r="V7968" s="16"/>
      <c r="W7968" s="16" t="s">
        <v>40</v>
      </c>
      <c r="X7968" s="19">
        <v>1.6E-2</v>
      </c>
      <c r="Y7968" s="20">
        <v>1.6799999999999999E-4</v>
      </c>
      <c r="Z7968" s="21">
        <v>4610003608989</v>
      </c>
    </row>
    <row r="7969" spans="1:26" ht="12" customHeight="1" outlineLevel="3" x14ac:dyDescent="0.2">
      <c r="A7969" s="14" t="s">
        <v>15231</v>
      </c>
      <c r="B7969" s="26" t="s">
        <v>15232</v>
      </c>
      <c r="C7969" s="52"/>
      <c r="D7969" s="55">
        <f t="shared" si="124"/>
        <v>0</v>
      </c>
      <c r="E7969" s="63" t="str">
        <f>HYPERLINK("https://www.sds-group.ru/product/perehodnik-shteker-dvi-i-gnezdo-hdmi-rexant-17-6811/", "Инфо")</f>
        <v>Инфо</v>
      </c>
      <c r="F7969" s="16" t="s">
        <v>39</v>
      </c>
      <c r="G7969" s="15"/>
      <c r="H7969" s="15"/>
      <c r="I7969" s="15"/>
      <c r="J7969" s="22">
        <v>1739</v>
      </c>
      <c r="K7969" s="15"/>
      <c r="L7969" s="17">
        <v>10</v>
      </c>
      <c r="M7969" s="17">
        <v>250</v>
      </c>
      <c r="N7969" s="17">
        <v>10</v>
      </c>
      <c r="O7969" s="18">
        <v>359.2</v>
      </c>
      <c r="P7969" s="18">
        <v>294.43</v>
      </c>
      <c r="Q7969" s="18">
        <v>305.32</v>
      </c>
      <c r="R7969" s="18">
        <v>250.26</v>
      </c>
      <c r="S7969" s="18">
        <v>244.26</v>
      </c>
      <c r="T7969" s="18">
        <v>200.21</v>
      </c>
      <c r="U7969" s="16"/>
      <c r="V7969" s="16"/>
      <c r="W7969" s="16" t="s">
        <v>40</v>
      </c>
      <c r="X7969" s="19">
        <v>3.6999999999999998E-2</v>
      </c>
      <c r="Y7969" s="20">
        <v>9.2999999999999997E-5</v>
      </c>
      <c r="Z7969" s="21">
        <v>4610003608972</v>
      </c>
    </row>
    <row r="7970" spans="1:26" ht="12" customHeight="1" outlineLevel="3" x14ac:dyDescent="0.2">
      <c r="A7970" s="32" t="s">
        <v>15233</v>
      </c>
      <c r="B7970" s="74" t="s">
        <v>15234</v>
      </c>
      <c r="C7970" s="50"/>
      <c r="D7970" s="53">
        <f t="shared" si="124"/>
        <v>0</v>
      </c>
      <c r="E7970" s="60" t="str">
        <f>HYPERLINK("https://www.sds-group.ru/product/perehodnik-povorotnyy-shteker-dvi-d-gnezdo-hdmi-rexant-17-6812/", "Инфо")</f>
        <v>Инфо</v>
      </c>
      <c r="F7970" s="34" t="s">
        <v>39</v>
      </c>
      <c r="G7970" s="33"/>
      <c r="H7970" s="33" t="s">
        <v>40</v>
      </c>
      <c r="I7970" s="33"/>
      <c r="J7970" s="35">
        <v>42</v>
      </c>
      <c r="K7970" s="33"/>
      <c r="L7970" s="35">
        <v>10</v>
      </c>
      <c r="M7970" s="35">
        <v>250</v>
      </c>
      <c r="N7970" s="35">
        <v>10</v>
      </c>
      <c r="O7970" s="36">
        <v>683.21</v>
      </c>
      <c r="P7970" s="36">
        <v>560.01</v>
      </c>
      <c r="Q7970" s="36">
        <v>546.57000000000005</v>
      </c>
      <c r="R7970" s="36">
        <v>448.01</v>
      </c>
      <c r="S7970" s="36">
        <v>464.58</v>
      </c>
      <c r="T7970" s="36">
        <v>380.8</v>
      </c>
      <c r="U7970" s="34"/>
      <c r="V7970" s="34"/>
      <c r="W7970" s="34" t="s">
        <v>40</v>
      </c>
      <c r="X7970" s="37">
        <v>3.2000000000000001E-2</v>
      </c>
      <c r="Y7970" s="38">
        <v>1.07E-4</v>
      </c>
      <c r="Z7970" s="21">
        <v>4660008012830</v>
      </c>
    </row>
    <row r="7971" spans="1:26" ht="12" customHeight="1" outlineLevel="3" x14ac:dyDescent="0.2">
      <c r="A7971" s="32" t="s">
        <v>15235</v>
      </c>
      <c r="B7971" s="74" t="s">
        <v>15236</v>
      </c>
      <c r="C7971" s="50"/>
      <c r="D7971" s="53">
        <f t="shared" si="124"/>
        <v>0</v>
      </c>
      <c r="E7971" s="60" t="str">
        <f>HYPERLINK("https://www.sds-group.ru/product/perehodnik-shteker-dvi-i-gnezdo-vga-rexant-17-6821/", "Инфо")</f>
        <v>Инфо</v>
      </c>
      <c r="F7971" s="34" t="s">
        <v>39</v>
      </c>
      <c r="G7971" s="33"/>
      <c r="H7971" s="33" t="s">
        <v>40</v>
      </c>
      <c r="I7971" s="33"/>
      <c r="J7971" s="39">
        <v>1606</v>
      </c>
      <c r="K7971" s="33"/>
      <c r="L7971" s="35">
        <v>1</v>
      </c>
      <c r="M7971" s="35">
        <v>250</v>
      </c>
      <c r="N7971" s="35">
        <v>1</v>
      </c>
      <c r="O7971" s="36">
        <v>307.56</v>
      </c>
      <c r="P7971" s="36">
        <v>252.1</v>
      </c>
      <c r="Q7971" s="36">
        <v>215.29</v>
      </c>
      <c r="R7971" s="36">
        <v>176.47</v>
      </c>
      <c r="S7971" s="36">
        <v>209.14</v>
      </c>
      <c r="T7971" s="36">
        <v>171.43</v>
      </c>
      <c r="U7971" s="34"/>
      <c r="V7971" s="34"/>
      <c r="W7971" s="34"/>
      <c r="X7971" s="37">
        <v>4.2999999999999997E-2</v>
      </c>
      <c r="Y7971" s="38">
        <v>1.27E-4</v>
      </c>
      <c r="Z7971" s="21">
        <v>4610003609009</v>
      </c>
    </row>
    <row r="7972" spans="1:26" ht="12" customHeight="1" outlineLevel="3" x14ac:dyDescent="0.2">
      <c r="A7972" s="32" t="s">
        <v>15237</v>
      </c>
      <c r="B7972" s="74" t="s">
        <v>15238</v>
      </c>
      <c r="C7972" s="50"/>
      <c r="D7972" s="53">
        <f t="shared" si="124"/>
        <v>0</v>
      </c>
      <c r="E7972" s="60" t="str">
        <f>HYPERLINK("https://www.sds-group.ru/product/perehodnik-shteker-hdmi-2-gnezda-hdmi-s-provodom-chernyy-rexant-17-6832/", "Инфо")</f>
        <v>Инфо</v>
      </c>
      <c r="F7972" s="34" t="s">
        <v>39</v>
      </c>
      <c r="G7972" s="33"/>
      <c r="H7972" s="33" t="s">
        <v>40</v>
      </c>
      <c r="I7972" s="33"/>
      <c r="J7972" s="35">
        <v>834</v>
      </c>
      <c r="K7972" s="33"/>
      <c r="L7972" s="35">
        <v>10</v>
      </c>
      <c r="M7972" s="35">
        <v>100</v>
      </c>
      <c r="N7972" s="35">
        <v>10</v>
      </c>
      <c r="O7972" s="36">
        <v>482.36</v>
      </c>
      <c r="P7972" s="36">
        <v>395.38</v>
      </c>
      <c r="Q7972" s="36">
        <v>337.65</v>
      </c>
      <c r="R7972" s="36">
        <v>276.76</v>
      </c>
      <c r="S7972" s="36">
        <v>328</v>
      </c>
      <c r="T7972" s="36">
        <v>268.85000000000002</v>
      </c>
      <c r="U7972" s="34"/>
      <c r="V7972" s="34"/>
      <c r="W7972" s="34"/>
      <c r="X7972" s="37">
        <v>6.5000000000000002E-2</v>
      </c>
      <c r="Y7972" s="38">
        <v>2.3699999999999999E-4</v>
      </c>
      <c r="Z7972" s="21">
        <v>4660008016876</v>
      </c>
    </row>
    <row r="7973" spans="1:26" ht="12" customHeight="1" outlineLevel="3" x14ac:dyDescent="0.2">
      <c r="A7973" s="32" t="s">
        <v>15239</v>
      </c>
      <c r="B7973" s="74" t="s">
        <v>15240</v>
      </c>
      <c r="C7973" s="50"/>
      <c r="D7973" s="53">
        <f t="shared" si="124"/>
        <v>0</v>
      </c>
      <c r="E7973" s="60" t="str">
        <f>HYPERLINK("https://www.sds-group.ru/product/perehodnik-shteker-hdmi-gnezdo-dvi-i-rexant-17-6807/", "Инфо")</f>
        <v>Инфо</v>
      </c>
      <c r="F7973" s="34" t="s">
        <v>39</v>
      </c>
      <c r="G7973" s="33"/>
      <c r="H7973" s="33" t="s">
        <v>40</v>
      </c>
      <c r="I7973" s="33"/>
      <c r="J7973" s="39">
        <v>1085</v>
      </c>
      <c r="K7973" s="33"/>
      <c r="L7973" s="35">
        <v>10</v>
      </c>
      <c r="M7973" s="35">
        <v>250</v>
      </c>
      <c r="N7973" s="35">
        <v>10</v>
      </c>
      <c r="O7973" s="36">
        <v>462.16</v>
      </c>
      <c r="P7973" s="36">
        <v>378.82</v>
      </c>
      <c r="Q7973" s="36">
        <v>369.73</v>
      </c>
      <c r="R7973" s="36">
        <v>303.06</v>
      </c>
      <c r="S7973" s="36">
        <v>314.27</v>
      </c>
      <c r="T7973" s="36">
        <v>257.60000000000002</v>
      </c>
      <c r="U7973" s="34"/>
      <c r="V7973" s="34"/>
      <c r="W7973" s="34" t="s">
        <v>40</v>
      </c>
      <c r="X7973" s="37">
        <v>4.1000000000000002E-2</v>
      </c>
      <c r="Y7973" s="38">
        <v>1.3999999999999999E-4</v>
      </c>
      <c r="Z7973" s="21">
        <v>4660008012793</v>
      </c>
    </row>
    <row r="7974" spans="1:26" ht="12" customHeight="1" outlineLevel="3" x14ac:dyDescent="0.2">
      <c r="A7974" s="32" t="s">
        <v>15241</v>
      </c>
      <c r="B7974" s="74" t="s">
        <v>15242</v>
      </c>
      <c r="C7974" s="50"/>
      <c r="D7974" s="53">
        <f t="shared" si="124"/>
        <v>0</v>
      </c>
      <c r="E7974" s="60" t="str">
        <f>HYPERLINK("https://www.sds-group.ru/product/perehodnik-shteker-hdmi-gnezdo-hdmi-povorotnyy-rexant-17-6813/", "Инфо")</f>
        <v>Инфо</v>
      </c>
      <c r="F7974" s="34" t="s">
        <v>39</v>
      </c>
      <c r="G7974" s="33"/>
      <c r="H7974" s="33" t="s">
        <v>40</v>
      </c>
      <c r="I7974" s="33"/>
      <c r="J7974" s="35">
        <v>169</v>
      </c>
      <c r="K7974" s="33"/>
      <c r="L7974" s="35">
        <v>10</v>
      </c>
      <c r="M7974" s="35">
        <v>250</v>
      </c>
      <c r="N7974" s="35">
        <v>10</v>
      </c>
      <c r="O7974" s="36">
        <v>283.02</v>
      </c>
      <c r="P7974" s="36">
        <v>231.98</v>
      </c>
      <c r="Q7974" s="36">
        <v>198.11</v>
      </c>
      <c r="R7974" s="36">
        <v>162.38999999999999</v>
      </c>
      <c r="S7974" s="36">
        <v>192.45</v>
      </c>
      <c r="T7974" s="36">
        <v>157.75</v>
      </c>
      <c r="U7974" s="34"/>
      <c r="V7974" s="34"/>
      <c r="W7974" s="34"/>
      <c r="X7974" s="37">
        <v>2.1000000000000001E-2</v>
      </c>
      <c r="Y7974" s="38">
        <v>2.3499999999999999E-4</v>
      </c>
      <c r="Z7974" s="21">
        <v>4660008012847</v>
      </c>
    </row>
    <row r="7975" spans="1:26" ht="12" customHeight="1" outlineLevel="3" x14ac:dyDescent="0.2">
      <c r="A7975" s="32" t="s">
        <v>15243</v>
      </c>
      <c r="B7975" s="74" t="s">
        <v>15244</v>
      </c>
      <c r="C7975" s="50"/>
      <c r="D7975" s="53">
        <f t="shared" si="124"/>
        <v>0</v>
      </c>
      <c r="E7975" s="60" t="str">
        <f>HYPERLINK("https://www.sds-group.ru/product/perehodnik-shteker-hdmi-gnezdo-hdmi-uglovoy-rexant-17-6805/", "Инфо")</f>
        <v>Инфо</v>
      </c>
      <c r="F7975" s="34" t="s">
        <v>39</v>
      </c>
      <c r="G7975" s="33"/>
      <c r="H7975" s="33" t="s">
        <v>40</v>
      </c>
      <c r="I7975" s="33"/>
      <c r="J7975" s="35">
        <v>764</v>
      </c>
      <c r="K7975" s="33"/>
      <c r="L7975" s="35">
        <v>1</v>
      </c>
      <c r="M7975" s="35">
        <v>600</v>
      </c>
      <c r="N7975" s="35">
        <v>1</v>
      </c>
      <c r="O7975" s="36">
        <v>217.72</v>
      </c>
      <c r="P7975" s="36">
        <v>178.46</v>
      </c>
      <c r="Q7975" s="36">
        <v>152.4</v>
      </c>
      <c r="R7975" s="36">
        <v>124.92</v>
      </c>
      <c r="S7975" s="36">
        <v>148.05000000000001</v>
      </c>
      <c r="T7975" s="36">
        <v>121.35</v>
      </c>
      <c r="U7975" s="34"/>
      <c r="V7975" s="34"/>
      <c r="W7975" s="34"/>
      <c r="X7975" s="37">
        <v>1.7000000000000001E-2</v>
      </c>
      <c r="Y7975" s="38">
        <v>5.5999999999999999E-5</v>
      </c>
      <c r="Z7975" s="21">
        <v>4610003608996</v>
      </c>
    </row>
    <row r="7976" spans="1:26" ht="12" customHeight="1" outlineLevel="3" x14ac:dyDescent="0.2">
      <c r="A7976" s="32" t="s">
        <v>15245</v>
      </c>
      <c r="B7976" s="74" t="s">
        <v>15246</v>
      </c>
      <c r="C7976" s="50"/>
      <c r="D7976" s="53">
        <f t="shared" si="124"/>
        <v>0</v>
      </c>
      <c r="E7976" s="60" t="str">
        <f>HYPERLINK("https://www.sds-group.ru/product/perehodnik-shteker-hdmi-gnezdo-vga-provod-shnur-stereo-3-5mm-s-pitaniem-rexant-17-6934/", "Инфо")</f>
        <v>Инфо</v>
      </c>
      <c r="F7976" s="34" t="s">
        <v>39</v>
      </c>
      <c r="G7976" s="33"/>
      <c r="H7976" s="33" t="s">
        <v>40</v>
      </c>
      <c r="I7976" s="33"/>
      <c r="J7976" s="35">
        <v>516</v>
      </c>
      <c r="K7976" s="33"/>
      <c r="L7976" s="35">
        <v>10</v>
      </c>
      <c r="M7976" s="35">
        <v>100</v>
      </c>
      <c r="N7976" s="35">
        <v>10</v>
      </c>
      <c r="O7976" s="36">
        <v>540.05999999999995</v>
      </c>
      <c r="P7976" s="36">
        <v>442.67</v>
      </c>
      <c r="Q7976" s="36">
        <v>378.04</v>
      </c>
      <c r="R7976" s="36">
        <v>309.87</v>
      </c>
      <c r="S7976" s="36">
        <v>367.24</v>
      </c>
      <c r="T7976" s="36">
        <v>301.02</v>
      </c>
      <c r="U7976" s="34"/>
      <c r="V7976" s="34"/>
      <c r="W7976" s="34"/>
      <c r="X7976" s="37">
        <v>6.5000000000000002E-2</v>
      </c>
      <c r="Y7976" s="38">
        <v>2.14E-4</v>
      </c>
      <c r="Z7976" s="21">
        <v>4601004148888</v>
      </c>
    </row>
    <row r="7977" spans="1:26" ht="12" customHeight="1" outlineLevel="3" x14ac:dyDescent="0.2">
      <c r="A7977" s="14" t="s">
        <v>15247</v>
      </c>
      <c r="B7977" s="26" t="s">
        <v>15248</v>
      </c>
      <c r="C7977" s="52"/>
      <c r="D7977" s="55">
        <f t="shared" si="124"/>
        <v>0</v>
      </c>
      <c r="E7977" s="63" t="str">
        <f>HYPERLINK("https://www.sds-group.ru/product/perehodnik-shteker-hdmi-gnezdo-vga-provod-shnur-stereo-3-5mm-rexant-17-6936/", "Инфо")</f>
        <v>Инфо</v>
      </c>
      <c r="F7977" s="16" t="s">
        <v>39</v>
      </c>
      <c r="G7977" s="15"/>
      <c r="H7977" s="15"/>
      <c r="I7977" s="15"/>
      <c r="J7977" s="17">
        <v>700</v>
      </c>
      <c r="K7977" s="15"/>
      <c r="L7977" s="17">
        <v>1</v>
      </c>
      <c r="M7977" s="17">
        <v>250</v>
      </c>
      <c r="N7977" s="17">
        <v>1</v>
      </c>
      <c r="O7977" s="18">
        <v>770.34</v>
      </c>
      <c r="P7977" s="18">
        <v>631.42999999999995</v>
      </c>
      <c r="Q7977" s="18">
        <v>616.27</v>
      </c>
      <c r="R7977" s="18">
        <v>505.14</v>
      </c>
      <c r="S7977" s="18">
        <v>523.83000000000004</v>
      </c>
      <c r="T7977" s="18">
        <v>429.37</v>
      </c>
      <c r="U7977" s="16"/>
      <c r="V7977" s="16"/>
      <c r="W7977" s="16" t="s">
        <v>40</v>
      </c>
      <c r="X7977" s="19">
        <v>6.4000000000000001E-2</v>
      </c>
      <c r="Y7977" s="20">
        <v>2.3800000000000001E-4</v>
      </c>
      <c r="Z7977" s="21">
        <v>4601004075788</v>
      </c>
    </row>
    <row r="7978" spans="1:26" ht="12" customHeight="1" outlineLevel="3" x14ac:dyDescent="0.2">
      <c r="A7978" s="32" t="s">
        <v>15249</v>
      </c>
      <c r="B7978" s="74" t="s">
        <v>15250</v>
      </c>
      <c r="C7978" s="50"/>
      <c r="D7978" s="53">
        <f t="shared" si="124"/>
        <v>0</v>
      </c>
      <c r="E7978" s="60" t="str">
        <f>HYPERLINK("https://www.sds-group.ru/product/perehodnik-shteker-hdmi-gnezdo-vga-provod-rexant-17-6835/", "Инфо")</f>
        <v>Инфо</v>
      </c>
      <c r="F7978" s="34" t="s">
        <v>39</v>
      </c>
      <c r="G7978" s="33"/>
      <c r="H7978" s="33" t="s">
        <v>40</v>
      </c>
      <c r="I7978" s="33"/>
      <c r="J7978" s="35">
        <v>665</v>
      </c>
      <c r="K7978" s="33"/>
      <c r="L7978" s="35">
        <v>1</v>
      </c>
      <c r="M7978" s="35">
        <v>200</v>
      </c>
      <c r="N7978" s="35">
        <v>1</v>
      </c>
      <c r="O7978" s="36">
        <v>838.34</v>
      </c>
      <c r="P7978" s="36">
        <v>687.16</v>
      </c>
      <c r="Q7978" s="36">
        <v>586.84</v>
      </c>
      <c r="R7978" s="36">
        <v>481.02</v>
      </c>
      <c r="S7978" s="36">
        <v>570.07000000000005</v>
      </c>
      <c r="T7978" s="36">
        <v>467.27</v>
      </c>
      <c r="U7978" s="34"/>
      <c r="V7978" s="34"/>
      <c r="W7978" s="34"/>
      <c r="X7978" s="37">
        <v>4.8000000000000001E-2</v>
      </c>
      <c r="Y7978" s="38">
        <v>3.1E-4</v>
      </c>
      <c r="Z7978" s="21">
        <v>4601004068636</v>
      </c>
    </row>
    <row r="7979" spans="1:26" ht="12" customHeight="1" outlineLevel="3" x14ac:dyDescent="0.2">
      <c r="A7979" s="32" t="s">
        <v>15251</v>
      </c>
      <c r="B7979" s="74" t="s">
        <v>15252</v>
      </c>
      <c r="C7979" s="50"/>
      <c r="D7979" s="53">
        <f t="shared" si="124"/>
        <v>0</v>
      </c>
      <c r="E7979" s="60" t="str">
        <f>HYPERLINK("https://www.sds-group.ru/product/perehodnik-shteker-vga-2-gnezda-vga-provod-rexant-17-6834/", "Инфо")</f>
        <v>Инфо</v>
      </c>
      <c r="F7979" s="34" t="s">
        <v>39</v>
      </c>
      <c r="G7979" s="33"/>
      <c r="H7979" s="33" t="s">
        <v>40</v>
      </c>
      <c r="I7979" s="33"/>
      <c r="J7979" s="39">
        <v>1534</v>
      </c>
      <c r="K7979" s="33"/>
      <c r="L7979" s="35">
        <v>1</v>
      </c>
      <c r="M7979" s="35">
        <v>200</v>
      </c>
      <c r="N7979" s="35">
        <v>1</v>
      </c>
      <c r="O7979" s="36">
        <v>352.62</v>
      </c>
      <c r="P7979" s="36">
        <v>289.02999999999997</v>
      </c>
      <c r="Q7979" s="36">
        <v>246.83</v>
      </c>
      <c r="R7979" s="36">
        <v>202.32</v>
      </c>
      <c r="S7979" s="36">
        <v>239.78</v>
      </c>
      <c r="T7979" s="36">
        <v>196.54</v>
      </c>
      <c r="U7979" s="34"/>
      <c r="V7979" s="34"/>
      <c r="W7979" s="34"/>
      <c r="X7979" s="37">
        <v>9.5000000000000001E-2</v>
      </c>
      <c r="Y7979" s="38">
        <v>2.6400000000000002E-4</v>
      </c>
      <c r="Z7979" s="21">
        <v>4601004002333</v>
      </c>
    </row>
    <row r="7980" spans="1:26" ht="12" customHeight="1" outlineLevel="3" x14ac:dyDescent="0.2">
      <c r="A7980" s="32" t="s">
        <v>15253</v>
      </c>
      <c r="B7980" s="74" t="s">
        <v>15254</v>
      </c>
      <c r="C7980" s="50"/>
      <c r="D7980" s="53">
        <f t="shared" si="124"/>
        <v>0</v>
      </c>
      <c r="E7980" s="60" t="str">
        <f>HYPERLINK("https://www.sds-group.ru/product/perehodnik-shteker-vga-gnezdo-dvi-i-rexant-17-6808/", "Инфо")</f>
        <v>Инфо</v>
      </c>
      <c r="F7980" s="34" t="s">
        <v>39</v>
      </c>
      <c r="G7980" s="33"/>
      <c r="H7980" s="33" t="s">
        <v>40</v>
      </c>
      <c r="I7980" s="33"/>
      <c r="J7980" s="35">
        <v>671</v>
      </c>
      <c r="K7980" s="33"/>
      <c r="L7980" s="35">
        <v>10</v>
      </c>
      <c r="M7980" s="35">
        <v>250</v>
      </c>
      <c r="N7980" s="35">
        <v>10</v>
      </c>
      <c r="O7980" s="36">
        <v>243.22</v>
      </c>
      <c r="P7980" s="36">
        <v>199.36</v>
      </c>
      <c r="Q7980" s="36">
        <v>170.25</v>
      </c>
      <c r="R7980" s="36">
        <v>139.55000000000001</v>
      </c>
      <c r="S7980" s="36">
        <v>165.39</v>
      </c>
      <c r="T7980" s="36">
        <v>135.57</v>
      </c>
      <c r="U7980" s="34"/>
      <c r="V7980" s="34"/>
      <c r="W7980" s="34"/>
      <c r="X7980" s="37">
        <v>0.04</v>
      </c>
      <c r="Y7980" s="38">
        <v>1.1400000000000001E-4</v>
      </c>
      <c r="Z7980" s="21">
        <v>4660008012809</v>
      </c>
    </row>
    <row r="7981" spans="1:26" ht="12" customHeight="1" outlineLevel="3" x14ac:dyDescent="0.2">
      <c r="A7981" s="32" t="s">
        <v>15255</v>
      </c>
      <c r="B7981" s="74" t="s">
        <v>15256</v>
      </c>
      <c r="C7981" s="50"/>
      <c r="D7981" s="53">
        <f t="shared" si="124"/>
        <v>0</v>
      </c>
      <c r="E7981" s="60" t="str">
        <f>HYPERLINK("https://www.sds-group.ru/product/perehodnik-shteker-micro-hdmi-gnezdo-hdmi-rexant-17-6815/", "Инфо")</f>
        <v>Инфо</v>
      </c>
      <c r="F7981" s="34" t="s">
        <v>39</v>
      </c>
      <c r="G7981" s="33"/>
      <c r="H7981" s="33" t="s">
        <v>40</v>
      </c>
      <c r="I7981" s="33"/>
      <c r="J7981" s="35">
        <v>2</v>
      </c>
      <c r="K7981" s="33"/>
      <c r="L7981" s="35">
        <v>10</v>
      </c>
      <c r="M7981" s="35">
        <v>500</v>
      </c>
      <c r="N7981" s="35">
        <v>10</v>
      </c>
      <c r="O7981" s="36">
        <v>164.78</v>
      </c>
      <c r="P7981" s="36">
        <v>135.07</v>
      </c>
      <c r="Q7981" s="36">
        <v>115.35</v>
      </c>
      <c r="R7981" s="36">
        <v>94.55</v>
      </c>
      <c r="S7981" s="36">
        <v>112.05</v>
      </c>
      <c r="T7981" s="36">
        <v>91.84</v>
      </c>
      <c r="U7981" s="34"/>
      <c r="V7981" s="34"/>
      <c r="W7981" s="34"/>
      <c r="X7981" s="37">
        <v>1.2999999999999999E-2</v>
      </c>
      <c r="Y7981" s="38">
        <v>5.3999999999999998E-5</v>
      </c>
      <c r="Z7981" s="21">
        <v>4660008016012</v>
      </c>
    </row>
    <row r="7982" spans="1:26" ht="12.95" customHeight="1" outlineLevel="2" x14ac:dyDescent="0.2">
      <c r="A7982" s="76" t="s">
        <v>15257</v>
      </c>
      <c r="B7982" s="76"/>
      <c r="C7982" s="77"/>
      <c r="D7982" s="58"/>
      <c r="E7982" s="68"/>
      <c r="F7982" s="13"/>
      <c r="G7982" s="13"/>
      <c r="H7982" s="13"/>
      <c r="I7982" s="13"/>
      <c r="J7982" s="13"/>
      <c r="K7982" s="13"/>
      <c r="L7982" s="13"/>
      <c r="M7982" s="13"/>
      <c r="N7982" s="13"/>
      <c r="O7982" s="13"/>
      <c r="P7982" s="13"/>
      <c r="Q7982" s="13"/>
      <c r="R7982" s="13"/>
      <c r="S7982" s="13"/>
      <c r="T7982" s="13"/>
      <c r="U7982" s="13"/>
      <c r="V7982" s="13"/>
      <c r="W7982" s="13"/>
      <c r="X7982" s="13"/>
      <c r="Y7982" s="13"/>
      <c r="Z7982" s="13"/>
    </row>
    <row r="7983" spans="1:26" ht="12" customHeight="1" outlineLevel="3" x14ac:dyDescent="0.2">
      <c r="A7983" s="14" t="s">
        <v>15258</v>
      </c>
      <c r="B7983" s="26" t="s">
        <v>15259</v>
      </c>
      <c r="C7983" s="52"/>
      <c r="D7983" s="55">
        <f t="shared" si="124"/>
        <v>0</v>
      </c>
      <c r="E7983" s="63" t="str">
        <f>HYPERLINK("https://www.sds-group.ru/product/konverter-3-rca-na-hdmi-plastik-rexant-17-6939/", "Инфо")</f>
        <v>Инфо</v>
      </c>
      <c r="F7983" s="16" t="s">
        <v>39</v>
      </c>
      <c r="G7983" s="15"/>
      <c r="H7983" s="15"/>
      <c r="I7983" s="15"/>
      <c r="J7983" s="17">
        <v>2</v>
      </c>
      <c r="K7983" s="15" t="s">
        <v>1035</v>
      </c>
      <c r="L7983" s="17">
        <v>1</v>
      </c>
      <c r="M7983" s="17">
        <v>50</v>
      </c>
      <c r="N7983" s="17">
        <v>1</v>
      </c>
      <c r="O7983" s="18">
        <v>1965.79</v>
      </c>
      <c r="P7983" s="18">
        <v>1611.3</v>
      </c>
      <c r="Q7983" s="18">
        <v>1552.97</v>
      </c>
      <c r="R7983" s="18">
        <v>1272.93</v>
      </c>
      <c r="S7983" s="18">
        <v>1336.74</v>
      </c>
      <c r="T7983" s="18">
        <v>1095.69</v>
      </c>
      <c r="U7983" s="16"/>
      <c r="V7983" s="16"/>
      <c r="W7983" s="16" t="s">
        <v>40</v>
      </c>
      <c r="X7983" s="19">
        <v>5.3999999999999999E-2</v>
      </c>
      <c r="Y7983" s="20">
        <v>2.6800000000000001E-4</v>
      </c>
      <c r="Z7983" s="21">
        <v>4601004130739</v>
      </c>
    </row>
    <row r="7984" spans="1:26" ht="12" customHeight="1" outlineLevel="3" x14ac:dyDescent="0.2">
      <c r="A7984" s="14" t="s">
        <v>15260</v>
      </c>
      <c r="B7984" s="26" t="s">
        <v>15261</v>
      </c>
      <c r="C7984" s="52"/>
      <c r="D7984" s="55">
        <f t="shared" si="124"/>
        <v>0</v>
      </c>
      <c r="E7984" s="63" t="str">
        <f>HYPERLINK("https://www.sds-group.ru/product/konverter-bnc-rca-s-video-na-vga-perehodnik-gn-bnc-sht-rca-plastik-rexant-17-6932/", "Инфо")</f>
        <v>Инфо</v>
      </c>
      <c r="F7984" s="16" t="s">
        <v>39</v>
      </c>
      <c r="G7984" s="15"/>
      <c r="H7984" s="15"/>
      <c r="I7984" s="15"/>
      <c r="J7984" s="17">
        <v>182</v>
      </c>
      <c r="K7984" s="15"/>
      <c r="L7984" s="17">
        <v>1</v>
      </c>
      <c r="M7984" s="17">
        <v>20</v>
      </c>
      <c r="N7984" s="17">
        <v>1</v>
      </c>
      <c r="O7984" s="18">
        <v>4096.4799999999996</v>
      </c>
      <c r="P7984" s="18">
        <v>3357.77</v>
      </c>
      <c r="Q7984" s="18">
        <v>3154.29</v>
      </c>
      <c r="R7984" s="18">
        <v>2585.48</v>
      </c>
      <c r="S7984" s="18">
        <v>2785.61</v>
      </c>
      <c r="T7984" s="18">
        <v>2283.29</v>
      </c>
      <c r="U7984" s="16"/>
      <c r="V7984" s="16"/>
      <c r="W7984" s="16" t="s">
        <v>40</v>
      </c>
      <c r="X7984" s="19">
        <v>0.38800000000000001</v>
      </c>
      <c r="Y7984" s="20">
        <v>2.1450000000000002E-3</v>
      </c>
      <c r="Z7984" s="21">
        <v>4601004075092</v>
      </c>
    </row>
    <row r="7985" spans="1:26" ht="12" customHeight="1" outlineLevel="3" x14ac:dyDescent="0.2">
      <c r="A7985" s="14" t="s">
        <v>15262</v>
      </c>
      <c r="B7985" s="26" t="s">
        <v>15263</v>
      </c>
      <c r="C7985" s="52"/>
      <c r="D7985" s="55">
        <f t="shared" si="124"/>
        <v>0</v>
      </c>
      <c r="E7985" s="63" t="str">
        <f>HYPERLINK("https://www.sds-group.ru/product/konverter-hdmi-na-3-rca-plastik-belyy-rexant-17-6931/", "Инфо")</f>
        <v>Инфо</v>
      </c>
      <c r="F7985" s="16" t="s">
        <v>39</v>
      </c>
      <c r="G7985" s="15"/>
      <c r="H7985" s="15"/>
      <c r="I7985" s="15"/>
      <c r="J7985" s="17">
        <v>94</v>
      </c>
      <c r="K7985" s="15"/>
      <c r="L7985" s="17">
        <v>1</v>
      </c>
      <c r="M7985" s="17">
        <v>100</v>
      </c>
      <c r="N7985" s="17">
        <v>1</v>
      </c>
      <c r="O7985" s="18">
        <v>1947.98</v>
      </c>
      <c r="P7985" s="18">
        <v>1596.7</v>
      </c>
      <c r="Q7985" s="18">
        <v>1363.59</v>
      </c>
      <c r="R7985" s="18">
        <v>1117.7</v>
      </c>
      <c r="S7985" s="18">
        <v>1324.63</v>
      </c>
      <c r="T7985" s="18">
        <v>1085.76</v>
      </c>
      <c r="U7985" s="16"/>
      <c r="V7985" s="16"/>
      <c r="W7985" s="16"/>
      <c r="X7985" s="19">
        <v>6.8000000000000005E-2</v>
      </c>
      <c r="Y7985" s="20">
        <v>3.7599999999999998E-4</v>
      </c>
      <c r="Z7985" s="21">
        <v>4601004075078</v>
      </c>
    </row>
    <row r="7986" spans="1:26" ht="12.95" customHeight="1" outlineLevel="2" x14ac:dyDescent="0.2">
      <c r="A7986" s="76" t="s">
        <v>15264</v>
      </c>
      <c r="B7986" s="76"/>
      <c r="C7986" s="77"/>
      <c r="D7986" s="58"/>
      <c r="E7986" s="68"/>
      <c r="F7986" s="13"/>
      <c r="G7986" s="13"/>
      <c r="H7986" s="13"/>
      <c r="I7986" s="13"/>
      <c r="J7986" s="13"/>
      <c r="K7986" s="13"/>
      <c r="L7986" s="13"/>
      <c r="M7986" s="13"/>
      <c r="N7986" s="13"/>
      <c r="O7986" s="13"/>
      <c r="P7986" s="13"/>
      <c r="Q7986" s="13"/>
      <c r="R7986" s="13"/>
      <c r="S7986" s="13"/>
      <c r="T7986" s="13"/>
      <c r="U7986" s="13"/>
      <c r="V7986" s="13"/>
      <c r="W7986" s="13"/>
      <c r="X7986" s="13"/>
      <c r="Y7986" s="13"/>
      <c r="Z7986" s="13"/>
    </row>
    <row r="7987" spans="1:26" ht="12" customHeight="1" outlineLevel="3" x14ac:dyDescent="0.2">
      <c r="A7987" s="32" t="s">
        <v>15265</v>
      </c>
      <c r="B7987" s="74" t="s">
        <v>15266</v>
      </c>
      <c r="C7987" s="50"/>
      <c r="D7987" s="53">
        <f t="shared" si="124"/>
        <v>0</v>
      </c>
      <c r="E7987" s="60" t="str">
        <f>HYPERLINK("https://www.sds-group.ru/product/razem-shteker-rca-metall-payka-chernyy-krasnyy-proconnect-14-0405-4/", "Инфо")</f>
        <v>Инфо</v>
      </c>
      <c r="F7987" s="34" t="s">
        <v>39</v>
      </c>
      <c r="G7987" s="33"/>
      <c r="H7987" s="33" t="s">
        <v>40</v>
      </c>
      <c r="I7987" s="33"/>
      <c r="J7987" s="39">
        <v>2900</v>
      </c>
      <c r="K7987" s="33"/>
      <c r="L7987" s="35">
        <v>100</v>
      </c>
      <c r="M7987" s="39">
        <v>1000</v>
      </c>
      <c r="N7987" s="35">
        <v>100</v>
      </c>
      <c r="O7987" s="36">
        <v>45.27</v>
      </c>
      <c r="P7987" s="36">
        <v>37.11</v>
      </c>
      <c r="Q7987" s="36">
        <v>38.479999999999997</v>
      </c>
      <c r="R7987" s="36">
        <v>31.54</v>
      </c>
      <c r="S7987" s="36">
        <v>30.78</v>
      </c>
      <c r="T7987" s="36">
        <v>25.23</v>
      </c>
      <c r="U7987" s="34"/>
      <c r="V7987" s="34"/>
      <c r="W7987" s="34" t="s">
        <v>40</v>
      </c>
      <c r="X7987" s="37">
        <v>7.0000000000000001E-3</v>
      </c>
      <c r="Y7987" s="38">
        <v>7.9999999999999996E-6</v>
      </c>
      <c r="Z7987" s="21">
        <v>4601004054660</v>
      </c>
    </row>
    <row r="7988" spans="1:26" ht="12" customHeight="1" outlineLevel="3" x14ac:dyDescent="0.2">
      <c r="A7988" s="32" t="s">
        <v>15267</v>
      </c>
      <c r="B7988" s="74" t="s">
        <v>15268</v>
      </c>
      <c r="C7988" s="50"/>
      <c r="D7988" s="53">
        <f t="shared" si="124"/>
        <v>0</v>
      </c>
      <c r="E7988" s="60" t="str">
        <f>HYPERLINK("https://www.sds-group.ru/product/razem-shteker-rca-metall-pod-vint-chernyy-krasnyy-proconnect-14-0410-4/", "Инфо")</f>
        <v>Инфо</v>
      </c>
      <c r="F7988" s="34" t="s">
        <v>39</v>
      </c>
      <c r="G7988" s="33"/>
      <c r="H7988" s="33" t="s">
        <v>40</v>
      </c>
      <c r="I7988" s="33"/>
      <c r="J7988" s="39">
        <v>5600</v>
      </c>
      <c r="K7988" s="33"/>
      <c r="L7988" s="35">
        <v>100</v>
      </c>
      <c r="M7988" s="39">
        <v>1000</v>
      </c>
      <c r="N7988" s="35">
        <v>100</v>
      </c>
      <c r="O7988" s="36">
        <v>58.04</v>
      </c>
      <c r="P7988" s="36">
        <v>47.57</v>
      </c>
      <c r="Q7988" s="36">
        <v>49.33</v>
      </c>
      <c r="R7988" s="36">
        <v>40.43</v>
      </c>
      <c r="S7988" s="36">
        <v>39.47</v>
      </c>
      <c r="T7988" s="36">
        <v>32.35</v>
      </c>
      <c r="U7988" s="34"/>
      <c r="V7988" s="34"/>
      <c r="W7988" s="34" t="s">
        <v>40</v>
      </c>
      <c r="X7988" s="37">
        <v>8.9999999999999993E-3</v>
      </c>
      <c r="Y7988" s="38">
        <v>9.0000000000000002E-6</v>
      </c>
      <c r="Z7988" s="21">
        <v>4601004054677</v>
      </c>
    </row>
    <row r="7989" spans="1:26" ht="12" customHeight="1" outlineLevel="3" x14ac:dyDescent="0.2">
      <c r="A7989" s="14" t="s">
        <v>15269</v>
      </c>
      <c r="B7989" s="26" t="s">
        <v>15270</v>
      </c>
      <c r="C7989" s="52"/>
      <c r="D7989" s="55">
        <f t="shared" si="124"/>
        <v>0</v>
      </c>
      <c r="E7989" s="63" t="str">
        <f>HYPERLINK("https://www.sds-group.ru/product/razem-shteker-rca-s-klemmnoy-kolodkoy-rexant-14-0413/", "Инфо")</f>
        <v>Инфо</v>
      </c>
      <c r="F7989" s="16" t="s">
        <v>39</v>
      </c>
      <c r="G7989" s="15"/>
      <c r="H7989" s="15"/>
      <c r="I7989" s="15"/>
      <c r="J7989" s="22">
        <v>2800</v>
      </c>
      <c r="K7989" s="15" t="s">
        <v>1277</v>
      </c>
      <c r="L7989" s="17">
        <v>50</v>
      </c>
      <c r="M7989" s="22">
        <v>1000</v>
      </c>
      <c r="N7989" s="17">
        <v>50</v>
      </c>
      <c r="O7989" s="18">
        <v>54.91</v>
      </c>
      <c r="P7989" s="18">
        <v>45.01</v>
      </c>
      <c r="Q7989" s="18">
        <v>46.67</v>
      </c>
      <c r="R7989" s="18">
        <v>38.25</v>
      </c>
      <c r="S7989" s="18">
        <v>37.340000000000003</v>
      </c>
      <c r="T7989" s="18">
        <v>30.61</v>
      </c>
      <c r="U7989" s="16"/>
      <c r="V7989" s="16"/>
      <c r="W7989" s="16" t="s">
        <v>40</v>
      </c>
      <c r="X7989" s="19">
        <v>8.9999999999999993E-3</v>
      </c>
      <c r="Y7989" s="20">
        <v>3.4999999999999997E-5</v>
      </c>
      <c r="Z7989" s="21">
        <v>4601004008694</v>
      </c>
    </row>
    <row r="7990" spans="1:26" ht="12.95" customHeight="1" outlineLevel="2" x14ac:dyDescent="0.2">
      <c r="A7990" s="76" t="s">
        <v>15271</v>
      </c>
      <c r="B7990" s="76"/>
      <c r="C7990" s="77"/>
      <c r="D7990" s="58"/>
      <c r="E7990" s="68"/>
      <c r="F7990" s="13"/>
      <c r="G7990" s="13"/>
      <c r="H7990" s="13"/>
      <c r="I7990" s="13"/>
      <c r="J7990" s="13"/>
      <c r="K7990" s="13"/>
      <c r="L7990" s="13"/>
      <c r="M7990" s="13"/>
      <c r="N7990" s="13"/>
      <c r="O7990" s="13"/>
      <c r="P7990" s="13"/>
      <c r="Q7990" s="13"/>
      <c r="R7990" s="13"/>
      <c r="S7990" s="13"/>
      <c r="T7990" s="13"/>
      <c r="U7990" s="13"/>
      <c r="V7990" s="13"/>
      <c r="W7990" s="13"/>
      <c r="X7990" s="13"/>
      <c r="Y7990" s="13"/>
      <c r="Z7990" s="13"/>
    </row>
    <row r="7991" spans="1:26" ht="12" customHeight="1" outlineLevel="3" x14ac:dyDescent="0.2">
      <c r="A7991" s="32" t="s">
        <v>15272</v>
      </c>
      <c r="B7991" s="74" t="s">
        <v>15273</v>
      </c>
      <c r="C7991" s="50"/>
      <c r="D7991" s="53">
        <f t="shared" si="124"/>
        <v>0</v>
      </c>
      <c r="E7991" s="60" t="str">
        <f>HYPERLINK("https://www.sds-group.ru/product/perehodnik-3-5mm-stereo-gnezdo-3-5mm-stereo-gnezdo-plastik-rexant-14-0203/", "Инфо")</f>
        <v>Инфо</v>
      </c>
      <c r="F7991" s="34" t="s">
        <v>39</v>
      </c>
      <c r="G7991" s="33"/>
      <c r="H7991" s="33" t="s">
        <v>40</v>
      </c>
      <c r="I7991" s="33"/>
      <c r="J7991" s="39">
        <v>2750</v>
      </c>
      <c r="K7991" s="33"/>
      <c r="L7991" s="35">
        <v>50</v>
      </c>
      <c r="M7991" s="39">
        <v>2500</v>
      </c>
      <c r="N7991" s="35">
        <v>50</v>
      </c>
      <c r="O7991" s="36">
        <v>51.89</v>
      </c>
      <c r="P7991" s="36">
        <v>42.53</v>
      </c>
      <c r="Q7991" s="36">
        <v>36.32</v>
      </c>
      <c r="R7991" s="36">
        <v>29.77</v>
      </c>
      <c r="S7991" s="36">
        <v>35.29</v>
      </c>
      <c r="T7991" s="36">
        <v>28.93</v>
      </c>
      <c r="U7991" s="34"/>
      <c r="V7991" s="34"/>
      <c r="W7991" s="34"/>
      <c r="X7991" s="37">
        <v>6.0000000000000001E-3</v>
      </c>
      <c r="Y7991" s="38">
        <v>7.9999999999999996E-6</v>
      </c>
      <c r="Z7991" s="21">
        <v>4601004012288</v>
      </c>
    </row>
    <row r="7992" spans="1:26" ht="12" customHeight="1" outlineLevel="3" x14ac:dyDescent="0.2">
      <c r="A7992" s="14" t="s">
        <v>15274</v>
      </c>
      <c r="B7992" s="26" t="s">
        <v>15275</v>
      </c>
      <c r="C7992" s="52"/>
      <c r="D7992" s="55">
        <f t="shared" si="124"/>
        <v>0</v>
      </c>
      <c r="E7992" s="63" t="str">
        <f>HYPERLINK("https://www.sds-group.ru/product/razem-3-5mm-stereo-shteker-s-klemmnoy-kolodkoy-pod-vint-rexant-14-0440/", "Инфо")</f>
        <v>Инфо</v>
      </c>
      <c r="F7992" s="16" t="s">
        <v>39</v>
      </c>
      <c r="G7992" s="15"/>
      <c r="H7992" s="15"/>
      <c r="I7992" s="15"/>
      <c r="J7992" s="16" t="s">
        <v>100</v>
      </c>
      <c r="K7992" s="15" t="s">
        <v>995</v>
      </c>
      <c r="L7992" s="17">
        <v>40</v>
      </c>
      <c r="M7992" s="17">
        <v>800</v>
      </c>
      <c r="N7992" s="17">
        <v>40</v>
      </c>
      <c r="O7992" s="18">
        <v>172.54</v>
      </c>
      <c r="P7992" s="18">
        <v>141.43</v>
      </c>
      <c r="Q7992" s="18">
        <v>146.66</v>
      </c>
      <c r="R7992" s="18">
        <v>120.21</v>
      </c>
      <c r="S7992" s="18">
        <v>117.33</v>
      </c>
      <c r="T7992" s="18">
        <v>96.17</v>
      </c>
      <c r="U7992" s="16"/>
      <c r="V7992" s="16"/>
      <c r="W7992" s="16" t="s">
        <v>40</v>
      </c>
      <c r="X7992" s="19">
        <v>8.9999999999999993E-3</v>
      </c>
      <c r="Y7992" s="20">
        <v>1.5999999999999999E-5</v>
      </c>
      <c r="Z7992" s="21">
        <v>4601004060623</v>
      </c>
    </row>
    <row r="7993" spans="1:26" ht="12.95" customHeight="1" outlineLevel="2" x14ac:dyDescent="0.2">
      <c r="A7993" s="76" t="s">
        <v>15276</v>
      </c>
      <c r="B7993" s="76"/>
      <c r="C7993" s="77"/>
      <c r="D7993" s="58"/>
      <c r="E7993" s="68"/>
      <c r="F7993" s="13"/>
      <c r="G7993" s="13"/>
      <c r="H7993" s="13"/>
      <c r="I7993" s="13"/>
      <c r="J7993" s="13"/>
      <c r="K7993" s="13"/>
      <c r="L7993" s="13"/>
      <c r="M7993" s="13"/>
      <c r="N7993" s="13"/>
      <c r="O7993" s="13"/>
      <c r="P7993" s="13"/>
      <c r="Q7993" s="13"/>
      <c r="R7993" s="13"/>
      <c r="S7993" s="13"/>
      <c r="T7993" s="13"/>
      <c r="U7993" s="13"/>
      <c r="V7993" s="13"/>
      <c r="W7993" s="13"/>
      <c r="X7993" s="13"/>
      <c r="Y7993" s="13"/>
      <c r="Z7993" s="13"/>
    </row>
    <row r="7994" spans="1:26" ht="12" customHeight="1" outlineLevel="3" x14ac:dyDescent="0.2">
      <c r="A7994" s="14" t="s">
        <v>15277</v>
      </c>
      <c r="B7994" s="26" t="s">
        <v>15278</v>
      </c>
      <c r="C7994" s="52"/>
      <c r="D7994" s="55">
        <f t="shared" si="124"/>
        <v>0</v>
      </c>
      <c r="E7994" s="63" t="str">
        <f>HYPERLINK("https://www.sds-group.ru/product/delitel-gnezdo-hdmi-na-2-gnezda-hdmi-metall-rexant-17-6901/", "Инфо")</f>
        <v>Инфо</v>
      </c>
      <c r="F7994" s="16" t="s">
        <v>39</v>
      </c>
      <c r="G7994" s="15"/>
      <c r="H7994" s="15"/>
      <c r="I7994" s="15"/>
      <c r="J7994" s="17">
        <v>77</v>
      </c>
      <c r="K7994" s="15" t="s">
        <v>10151</v>
      </c>
      <c r="L7994" s="17">
        <v>1</v>
      </c>
      <c r="M7994" s="17">
        <v>40</v>
      </c>
      <c r="N7994" s="17">
        <v>1</v>
      </c>
      <c r="O7994" s="18">
        <v>2491</v>
      </c>
      <c r="P7994" s="18">
        <v>2041.8</v>
      </c>
      <c r="Q7994" s="18">
        <v>1743.7</v>
      </c>
      <c r="R7994" s="18">
        <v>1429.26</v>
      </c>
      <c r="S7994" s="18">
        <v>1693.88</v>
      </c>
      <c r="T7994" s="18">
        <v>1388.43</v>
      </c>
      <c r="U7994" s="16"/>
      <c r="V7994" s="16"/>
      <c r="W7994" s="16"/>
      <c r="X7994" s="19">
        <v>0.252</v>
      </c>
      <c r="Y7994" s="20">
        <v>1.67E-3</v>
      </c>
      <c r="Z7994" s="21">
        <v>4601004002197</v>
      </c>
    </row>
    <row r="7995" spans="1:26" ht="12" customHeight="1" outlineLevel="3" x14ac:dyDescent="0.2">
      <c r="A7995" s="32" t="s">
        <v>15279</v>
      </c>
      <c r="B7995" s="74" t="s">
        <v>15280</v>
      </c>
      <c r="C7995" s="50"/>
      <c r="D7995" s="53">
        <f t="shared" si="124"/>
        <v>0</v>
      </c>
      <c r="E7995" s="60" t="str">
        <f>HYPERLINK("https://www.sds-group.ru/product/delitel-gnezdo-vga-na-2-gnezda-vga-metall-rexant-17-6922/", "Инфо")</f>
        <v>Инфо</v>
      </c>
      <c r="F7995" s="34" t="s">
        <v>39</v>
      </c>
      <c r="G7995" s="33"/>
      <c r="H7995" s="33" t="s">
        <v>40</v>
      </c>
      <c r="I7995" s="33"/>
      <c r="J7995" s="35">
        <v>162</v>
      </c>
      <c r="K7995" s="33"/>
      <c r="L7995" s="35">
        <v>1</v>
      </c>
      <c r="M7995" s="35">
        <v>40</v>
      </c>
      <c r="N7995" s="35">
        <v>1</v>
      </c>
      <c r="O7995" s="36">
        <v>1614.61</v>
      </c>
      <c r="P7995" s="36">
        <v>1323.45</v>
      </c>
      <c r="Q7995" s="36">
        <v>1130.23</v>
      </c>
      <c r="R7995" s="36">
        <v>926.42</v>
      </c>
      <c r="S7995" s="36">
        <v>1097.93</v>
      </c>
      <c r="T7995" s="36">
        <v>899.94</v>
      </c>
      <c r="U7995" s="34"/>
      <c r="V7995" s="34"/>
      <c r="W7995" s="34"/>
      <c r="X7995" s="37">
        <v>0.318</v>
      </c>
      <c r="Y7995" s="38">
        <v>2.398E-3</v>
      </c>
      <c r="Z7995" s="21">
        <v>4601004027190</v>
      </c>
    </row>
    <row r="7996" spans="1:26" ht="12" customHeight="1" outlineLevel="3" x14ac:dyDescent="0.2">
      <c r="A7996" s="32" t="s">
        <v>15281</v>
      </c>
      <c r="B7996" s="74" t="s">
        <v>15282</v>
      </c>
      <c r="C7996" s="50"/>
      <c r="D7996" s="53">
        <f t="shared" si="124"/>
        <v>0</v>
      </c>
      <c r="E7996" s="60" t="str">
        <f>HYPERLINK("https://www.sds-group.ru/product/delitel-gnezdo-vga-na-4-gnezda-vga-metall-rexant-17-6924/", "Инфо")</f>
        <v>Инфо</v>
      </c>
      <c r="F7996" s="34" t="s">
        <v>39</v>
      </c>
      <c r="G7996" s="33"/>
      <c r="H7996" s="33" t="s">
        <v>40</v>
      </c>
      <c r="I7996" s="33"/>
      <c r="J7996" s="35">
        <v>68</v>
      </c>
      <c r="K7996" s="33"/>
      <c r="L7996" s="35">
        <v>1</v>
      </c>
      <c r="M7996" s="35">
        <v>40</v>
      </c>
      <c r="N7996" s="35">
        <v>1</v>
      </c>
      <c r="O7996" s="36">
        <v>3019.08</v>
      </c>
      <c r="P7996" s="36">
        <v>2474.66</v>
      </c>
      <c r="Q7996" s="36">
        <v>2113.36</v>
      </c>
      <c r="R7996" s="36">
        <v>1732.26</v>
      </c>
      <c r="S7996" s="36">
        <v>2052.9699999999998</v>
      </c>
      <c r="T7996" s="36">
        <v>1682.76</v>
      </c>
      <c r="U7996" s="34"/>
      <c r="V7996" s="34"/>
      <c r="W7996" s="34"/>
      <c r="X7996" s="37">
        <v>0.36199999999999999</v>
      </c>
      <c r="Y7996" s="38">
        <v>2.3960000000000001E-3</v>
      </c>
      <c r="Z7996" s="21">
        <v>4601004027183</v>
      </c>
    </row>
    <row r="7997" spans="1:26" ht="12" customHeight="1" outlineLevel="3" x14ac:dyDescent="0.2">
      <c r="A7997" s="32" t="s">
        <v>15283</v>
      </c>
      <c r="B7997" s="74" t="s">
        <v>15284</v>
      </c>
      <c r="C7997" s="50"/>
      <c r="D7997" s="53">
        <f t="shared" si="124"/>
        <v>0</v>
      </c>
      <c r="E7997" s="60" t="str">
        <f>HYPERLINK("https://www.sds-group.ru/product/delitel-gnezdo-vga-na-8-gnezd-vga-metall-rexant-8754/", "Инфо")</f>
        <v>Инфо</v>
      </c>
      <c r="F7997" s="34" t="s">
        <v>39</v>
      </c>
      <c r="G7997" s="33"/>
      <c r="H7997" s="33" t="s">
        <v>40</v>
      </c>
      <c r="I7997" s="33"/>
      <c r="J7997" s="35">
        <v>10</v>
      </c>
      <c r="K7997" s="33"/>
      <c r="L7997" s="35">
        <v>1</v>
      </c>
      <c r="M7997" s="35">
        <v>20</v>
      </c>
      <c r="N7997" s="35">
        <v>1</v>
      </c>
      <c r="O7997" s="36">
        <v>1848.39</v>
      </c>
      <c r="P7997" s="36">
        <v>1515.07</v>
      </c>
      <c r="Q7997" s="36">
        <v>1293.8699999999999</v>
      </c>
      <c r="R7997" s="36">
        <v>1060.55</v>
      </c>
      <c r="S7997" s="36">
        <v>1256.9100000000001</v>
      </c>
      <c r="T7997" s="36">
        <v>1030.25</v>
      </c>
      <c r="U7997" s="34"/>
      <c r="V7997" s="34"/>
      <c r="W7997" s="34"/>
      <c r="X7997" s="37">
        <v>0.66400000000000003</v>
      </c>
      <c r="Y7997" s="38">
        <v>3.516E-3</v>
      </c>
      <c r="Z7997" s="21">
        <v>4601004027176</v>
      </c>
    </row>
    <row r="7998" spans="1:26" ht="12.95" customHeight="1" outlineLevel="1" x14ac:dyDescent="0.2">
      <c r="A7998" s="78" t="s">
        <v>15285</v>
      </c>
      <c r="B7998" s="78"/>
      <c r="C7998" s="79"/>
      <c r="D7998" s="57"/>
      <c r="E7998" s="67"/>
      <c r="F7998" s="12"/>
      <c r="G7998" s="12"/>
      <c r="H7998" s="12"/>
      <c r="I7998" s="12"/>
      <c r="J7998" s="12"/>
      <c r="K7998" s="12"/>
      <c r="L7998" s="12"/>
      <c r="M7998" s="12"/>
      <c r="N7998" s="12"/>
      <c r="O7998" s="12"/>
      <c r="P7998" s="12"/>
      <c r="Q7998" s="12"/>
      <c r="R7998" s="12"/>
      <c r="S7998" s="12"/>
      <c r="T7998" s="12"/>
      <c r="U7998" s="12"/>
      <c r="V7998" s="12"/>
      <c r="W7998" s="12"/>
      <c r="X7998" s="12"/>
      <c r="Y7998" s="12"/>
      <c r="Z7998" s="12"/>
    </row>
    <row r="7999" spans="1:26" ht="12.95" customHeight="1" outlineLevel="2" x14ac:dyDescent="0.2">
      <c r="A7999" s="76" t="s">
        <v>15286</v>
      </c>
      <c r="B7999" s="76"/>
      <c r="C7999" s="77"/>
      <c r="D7999" s="58"/>
      <c r="E7999" s="68"/>
      <c r="F7999" s="13"/>
      <c r="G7999" s="13"/>
      <c r="H7999" s="13"/>
      <c r="I7999" s="13"/>
      <c r="J7999" s="13"/>
      <c r="K7999" s="13"/>
      <c r="L7999" s="13"/>
      <c r="M7999" s="13"/>
      <c r="N7999" s="13"/>
      <c r="O7999" s="13"/>
      <c r="P7999" s="13"/>
      <c r="Q7999" s="13"/>
      <c r="R7999" s="13"/>
      <c r="S7999" s="13"/>
      <c r="T7999" s="13"/>
      <c r="U7999" s="13"/>
      <c r="V7999" s="13"/>
      <c r="W7999" s="13"/>
      <c r="X7999" s="13"/>
      <c r="Y7999" s="13"/>
      <c r="Z7999" s="13"/>
    </row>
    <row r="8000" spans="1:26" ht="12.95" customHeight="1" outlineLevel="3" x14ac:dyDescent="0.2">
      <c r="A8000" s="76" t="s">
        <v>15287</v>
      </c>
      <c r="B8000" s="76"/>
      <c r="C8000" s="77"/>
      <c r="D8000" s="58"/>
      <c r="E8000" s="68"/>
      <c r="F8000" s="13"/>
      <c r="G8000" s="13"/>
      <c r="H8000" s="13"/>
      <c r="I8000" s="13"/>
      <c r="J8000" s="13"/>
      <c r="K8000" s="13"/>
      <c r="L8000" s="13"/>
      <c r="M8000" s="13"/>
      <c r="N8000" s="13"/>
      <c r="O8000" s="13"/>
      <c r="P8000" s="13"/>
      <c r="Q8000" s="13"/>
      <c r="R8000" s="13"/>
      <c r="S8000" s="13"/>
      <c r="T8000" s="13"/>
      <c r="U8000" s="13"/>
      <c r="V8000" s="13"/>
      <c r="W8000" s="13"/>
      <c r="X8000" s="13"/>
      <c r="Y8000" s="13"/>
      <c r="Z8000" s="13"/>
    </row>
    <row r="8001" spans="1:26" ht="12" customHeight="1" outlineLevel="4" x14ac:dyDescent="0.2">
      <c r="A8001" s="14" t="s">
        <v>15288</v>
      </c>
      <c r="B8001" s="26" t="s">
        <v>15289</v>
      </c>
      <c r="C8001" s="52"/>
      <c r="D8001" s="55">
        <f t="shared" si="124"/>
        <v>0</v>
      </c>
      <c r="E8001" s="63" t="str">
        <f>HYPERLINK("https://www.sds-group.ru/product/kabel-hdmi-hdmi-1-4-1-5m-silver-proconnect-17-6203-8/", "Инфо")</f>
        <v>Инфо</v>
      </c>
      <c r="F8001" s="16" t="s">
        <v>39</v>
      </c>
      <c r="G8001" s="15"/>
      <c r="H8001" s="15"/>
      <c r="I8001" s="15"/>
      <c r="J8001" s="22">
        <v>3398</v>
      </c>
      <c r="K8001" s="15"/>
      <c r="L8001" s="17">
        <v>10</v>
      </c>
      <c r="M8001" s="17">
        <v>200</v>
      </c>
      <c r="N8001" s="17">
        <v>10</v>
      </c>
      <c r="O8001" s="18">
        <v>267.58</v>
      </c>
      <c r="P8001" s="18">
        <v>219.33</v>
      </c>
      <c r="Q8001" s="18">
        <v>227.44</v>
      </c>
      <c r="R8001" s="18">
        <v>186.43</v>
      </c>
      <c r="S8001" s="18">
        <v>181.95</v>
      </c>
      <c r="T8001" s="18">
        <v>149.13999999999999</v>
      </c>
      <c r="U8001" s="16"/>
      <c r="V8001" s="16"/>
      <c r="W8001" s="16" t="s">
        <v>40</v>
      </c>
      <c r="X8001" s="19">
        <v>6.9000000000000006E-2</v>
      </c>
      <c r="Y8001" s="20">
        <v>2.4399999999999999E-4</v>
      </c>
      <c r="Z8001" s="21">
        <v>4601004002937</v>
      </c>
    </row>
    <row r="8002" spans="1:26" ht="12" customHeight="1" outlineLevel="4" x14ac:dyDescent="0.2">
      <c r="A8002" s="14" t="s">
        <v>15290</v>
      </c>
      <c r="B8002" s="26" t="s">
        <v>15291</v>
      </c>
      <c r="C8002" s="52"/>
      <c r="D8002" s="55">
        <f t="shared" si="124"/>
        <v>0</v>
      </c>
      <c r="E8002" s="63" t="str">
        <f>HYPERLINK("https://www.sds-group.ru/product/kabel-hdmi-hdmi-1-4-1-5m-gold-proconnect-17-6203-6/", "Инфо")</f>
        <v>Инфо</v>
      </c>
      <c r="F8002" s="16" t="s">
        <v>39</v>
      </c>
      <c r="G8002" s="15"/>
      <c r="H8002" s="15"/>
      <c r="I8002" s="15"/>
      <c r="J8002" s="22">
        <v>6034</v>
      </c>
      <c r="K8002" s="15"/>
      <c r="L8002" s="17">
        <v>10</v>
      </c>
      <c r="M8002" s="17">
        <v>100</v>
      </c>
      <c r="N8002" s="17">
        <v>10</v>
      </c>
      <c r="O8002" s="18">
        <v>263.60000000000002</v>
      </c>
      <c r="P8002" s="18">
        <v>216.07</v>
      </c>
      <c r="Q8002" s="18">
        <v>224.06</v>
      </c>
      <c r="R8002" s="18">
        <v>183.66</v>
      </c>
      <c r="S8002" s="18">
        <v>179.25</v>
      </c>
      <c r="T8002" s="18">
        <v>146.93</v>
      </c>
      <c r="U8002" s="16"/>
      <c r="V8002" s="16"/>
      <c r="W8002" s="16" t="s">
        <v>40</v>
      </c>
      <c r="X8002" s="19">
        <v>0.08</v>
      </c>
      <c r="Y8002" s="20">
        <v>2.3699999999999999E-4</v>
      </c>
      <c r="Z8002" s="21">
        <v>4660008011093</v>
      </c>
    </row>
    <row r="8003" spans="1:26" ht="12" customHeight="1" outlineLevel="4" x14ac:dyDescent="0.2">
      <c r="A8003" s="14" t="s">
        <v>15292</v>
      </c>
      <c r="B8003" s="26" t="s">
        <v>15293</v>
      </c>
      <c r="C8003" s="52"/>
      <c r="D8003" s="55">
        <f t="shared" si="124"/>
        <v>0</v>
      </c>
      <c r="E8003" s="63" t="str">
        <f>HYPERLINK("https://www.sds-group.ru/product/kabel-hdmi-hdmi-1-4-1-5m-gold-rexant-17-6203/", "Инфо")</f>
        <v>Инфо</v>
      </c>
      <c r="F8003" s="16" t="s">
        <v>39</v>
      </c>
      <c r="G8003" s="15"/>
      <c r="H8003" s="15"/>
      <c r="I8003" s="15"/>
      <c r="J8003" s="22">
        <v>1543</v>
      </c>
      <c r="K8003" s="15"/>
      <c r="L8003" s="17">
        <v>10</v>
      </c>
      <c r="M8003" s="17">
        <v>100</v>
      </c>
      <c r="N8003" s="17">
        <v>10</v>
      </c>
      <c r="O8003" s="18">
        <v>450.58</v>
      </c>
      <c r="P8003" s="18">
        <v>369.33</v>
      </c>
      <c r="Q8003" s="18">
        <v>382.99</v>
      </c>
      <c r="R8003" s="18">
        <v>313.93</v>
      </c>
      <c r="S8003" s="18">
        <v>306.39</v>
      </c>
      <c r="T8003" s="18">
        <v>251.14</v>
      </c>
      <c r="U8003" s="16"/>
      <c r="V8003" s="16"/>
      <c r="W8003" s="16" t="s">
        <v>40</v>
      </c>
      <c r="X8003" s="19">
        <v>0.11700000000000001</v>
      </c>
      <c r="Y8003" s="20">
        <v>1.049E-3</v>
      </c>
      <c r="Z8003" s="21">
        <v>4610003601263</v>
      </c>
    </row>
    <row r="8004" spans="1:26" ht="12" customHeight="1" outlineLevel="4" x14ac:dyDescent="0.2">
      <c r="A8004" s="14" t="s">
        <v>15294</v>
      </c>
      <c r="B8004" s="26" t="s">
        <v>15295</v>
      </c>
      <c r="C8004" s="52"/>
      <c r="D8004" s="55">
        <f t="shared" si="124"/>
        <v>0</v>
      </c>
      <c r="E8004" s="63" t="str">
        <f>HYPERLINK("https://www.sds-group.ru/product/kabel-hdmi-hdmi-1-4-1-5m-gold-belyy-rexant-17-6203-1/", "Инфо")</f>
        <v>Инфо</v>
      </c>
      <c r="F8004" s="16" t="s">
        <v>39</v>
      </c>
      <c r="G8004" s="15"/>
      <c r="H8004" s="15"/>
      <c r="I8004" s="15"/>
      <c r="J8004" s="17">
        <v>33</v>
      </c>
      <c r="K8004" s="15" t="s">
        <v>5369</v>
      </c>
      <c r="L8004" s="17">
        <v>5</v>
      </c>
      <c r="M8004" s="17">
        <v>50</v>
      </c>
      <c r="N8004" s="17">
        <v>5</v>
      </c>
      <c r="O8004" s="18">
        <v>447.38</v>
      </c>
      <c r="P8004" s="18">
        <v>366.7</v>
      </c>
      <c r="Q8004" s="18">
        <v>313.17</v>
      </c>
      <c r="R8004" s="18">
        <v>256.7</v>
      </c>
      <c r="S8004" s="18">
        <v>304.22000000000003</v>
      </c>
      <c r="T8004" s="18">
        <v>249.36</v>
      </c>
      <c r="U8004" s="16"/>
      <c r="V8004" s="16"/>
      <c r="W8004" s="16"/>
      <c r="X8004" s="19">
        <v>0.10100000000000001</v>
      </c>
      <c r="Y8004" s="20">
        <v>6.4599999999999998E-4</v>
      </c>
      <c r="Z8004" s="21">
        <v>4601004201613</v>
      </c>
    </row>
    <row r="8005" spans="1:26" ht="12" customHeight="1" outlineLevel="4" x14ac:dyDescent="0.2">
      <c r="A8005" s="14" t="s">
        <v>15296</v>
      </c>
      <c r="B8005" s="26" t="s">
        <v>15297</v>
      </c>
      <c r="C8005" s="52"/>
      <c r="D8005" s="55">
        <f t="shared" si="124"/>
        <v>0</v>
      </c>
      <c r="E8005" s="63" t="str">
        <f>HYPERLINK("https://www.sds-group.ru/product/kabel-hdmi-hdmi-1-4-1-5m-gold-uglovoy-proconnect-17-6203-4/", "Инфо")</f>
        <v>Инфо</v>
      </c>
      <c r="F8005" s="16" t="s">
        <v>39</v>
      </c>
      <c r="G8005" s="15"/>
      <c r="H8005" s="15"/>
      <c r="I8005" s="15"/>
      <c r="J8005" s="17">
        <v>566</v>
      </c>
      <c r="K8005" s="15" t="s">
        <v>1277</v>
      </c>
      <c r="L8005" s="17">
        <v>5</v>
      </c>
      <c r="M8005" s="17">
        <v>100</v>
      </c>
      <c r="N8005" s="17">
        <v>5</v>
      </c>
      <c r="O8005" s="18">
        <v>410.75</v>
      </c>
      <c r="P8005" s="18">
        <v>336.68</v>
      </c>
      <c r="Q8005" s="18">
        <v>349.14</v>
      </c>
      <c r="R8005" s="18">
        <v>286.18</v>
      </c>
      <c r="S8005" s="18">
        <v>279.31</v>
      </c>
      <c r="T8005" s="18">
        <v>228.94</v>
      </c>
      <c r="U8005" s="16"/>
      <c r="V8005" s="16"/>
      <c r="W8005" s="16" t="s">
        <v>40</v>
      </c>
      <c r="X8005" s="19">
        <v>7.4999999999999997E-2</v>
      </c>
      <c r="Y8005" s="20">
        <v>4.0299999999999998E-4</v>
      </c>
      <c r="Z8005" s="21">
        <v>4610003608828</v>
      </c>
    </row>
    <row r="8006" spans="1:26" ht="12" customHeight="1" outlineLevel="4" x14ac:dyDescent="0.2">
      <c r="A8006" s="14" t="s">
        <v>15298</v>
      </c>
      <c r="B8006" s="26" t="s">
        <v>15299</v>
      </c>
      <c r="C8006" s="52"/>
      <c r="D8006" s="55">
        <f t="shared" si="124"/>
        <v>0</v>
      </c>
      <c r="E8006" s="63" t="str">
        <f>HYPERLINK("https://www.sds-group.ru/product/kabel-hdmi-hdmi-1-4-10m-gold-proconnect-17-6208-6/", "Инфо")</f>
        <v>Инфо</v>
      </c>
      <c r="F8006" s="16" t="s">
        <v>39</v>
      </c>
      <c r="G8006" s="15"/>
      <c r="H8006" s="15"/>
      <c r="I8006" s="15"/>
      <c r="J8006" s="22">
        <v>2964</v>
      </c>
      <c r="K8006" s="15"/>
      <c r="L8006" s="17">
        <v>5</v>
      </c>
      <c r="M8006" s="17">
        <v>25</v>
      </c>
      <c r="N8006" s="17">
        <v>5</v>
      </c>
      <c r="O8006" s="18">
        <v>1153.48</v>
      </c>
      <c r="P8006" s="18">
        <v>945.48</v>
      </c>
      <c r="Q8006" s="18">
        <v>922.78</v>
      </c>
      <c r="R8006" s="18">
        <v>756.38</v>
      </c>
      <c r="S8006" s="18">
        <v>784.37</v>
      </c>
      <c r="T8006" s="18">
        <v>642.92999999999995</v>
      </c>
      <c r="U8006" s="16"/>
      <c r="V8006" s="16"/>
      <c r="W8006" s="16" t="s">
        <v>40</v>
      </c>
      <c r="X8006" s="19">
        <v>0.76</v>
      </c>
      <c r="Y8006" s="20">
        <v>1.521E-3</v>
      </c>
      <c r="Z8006" s="21">
        <v>4660008011147</v>
      </c>
    </row>
    <row r="8007" spans="1:26" ht="12" customHeight="1" outlineLevel="4" x14ac:dyDescent="0.2">
      <c r="A8007" s="14" t="s">
        <v>15300</v>
      </c>
      <c r="B8007" s="26" t="s">
        <v>15301</v>
      </c>
      <c r="C8007" s="52"/>
      <c r="D8007" s="55">
        <f t="shared" si="124"/>
        <v>0</v>
      </c>
      <c r="E8007" s="63" t="str">
        <f>HYPERLINK("https://www.sds-group.ru/product/kabel-hdmi-hdmi-1-4-10m-gold-rexant-17-6208/", "Инфо")</f>
        <v>Инфо</v>
      </c>
      <c r="F8007" s="16" t="s">
        <v>39</v>
      </c>
      <c r="G8007" s="15"/>
      <c r="H8007" s="15"/>
      <c r="I8007" s="15"/>
      <c r="J8007" s="22">
        <v>1488</v>
      </c>
      <c r="K8007" s="15"/>
      <c r="L8007" s="17">
        <v>5</v>
      </c>
      <c r="M8007" s="17">
        <v>20</v>
      </c>
      <c r="N8007" s="17">
        <v>5</v>
      </c>
      <c r="O8007" s="18">
        <v>1401.43</v>
      </c>
      <c r="P8007" s="18">
        <v>1148.71</v>
      </c>
      <c r="Q8007" s="18">
        <v>1121.1400000000001</v>
      </c>
      <c r="R8007" s="18">
        <v>918.97</v>
      </c>
      <c r="S8007" s="18">
        <v>952.97</v>
      </c>
      <c r="T8007" s="18">
        <v>781.12</v>
      </c>
      <c r="U8007" s="16"/>
      <c r="V8007" s="16"/>
      <c r="W8007" s="16" t="s">
        <v>40</v>
      </c>
      <c r="X8007" s="19">
        <v>0.48499999999999999</v>
      </c>
      <c r="Y8007" s="20">
        <v>1.905E-3</v>
      </c>
      <c r="Z8007" s="21">
        <v>4610003601317</v>
      </c>
    </row>
    <row r="8008" spans="1:26" ht="12" customHeight="1" outlineLevel="4" x14ac:dyDescent="0.2">
      <c r="A8008" s="14" t="s">
        <v>15302</v>
      </c>
      <c r="B8008" s="26" t="s">
        <v>15303</v>
      </c>
      <c r="C8008" s="52"/>
      <c r="D8008" s="55">
        <f t="shared" si="124"/>
        <v>0</v>
      </c>
      <c r="E8008" s="63" t="str">
        <f>HYPERLINK("https://www.sds-group.ru/product/kabel-hdmi-hdmi-1-4-15m-gold-proconnect-17-6209-6/", "Инфо")</f>
        <v>Инфо</v>
      </c>
      <c r="F8008" s="16" t="s">
        <v>39</v>
      </c>
      <c r="G8008" s="15"/>
      <c r="H8008" s="15"/>
      <c r="I8008" s="15"/>
      <c r="J8008" s="17">
        <v>918</v>
      </c>
      <c r="K8008" s="15"/>
      <c r="L8008" s="17">
        <v>1</v>
      </c>
      <c r="M8008" s="17">
        <v>10</v>
      </c>
      <c r="N8008" s="17">
        <v>1</v>
      </c>
      <c r="O8008" s="18">
        <v>2147.81</v>
      </c>
      <c r="P8008" s="18">
        <v>1760.5</v>
      </c>
      <c r="Q8008" s="18">
        <v>1696.77</v>
      </c>
      <c r="R8008" s="18">
        <v>1390.8</v>
      </c>
      <c r="S8008" s="18">
        <v>1460.51</v>
      </c>
      <c r="T8008" s="18">
        <v>1197.1400000000001</v>
      </c>
      <c r="U8008" s="16"/>
      <c r="V8008" s="16"/>
      <c r="W8008" s="16" t="s">
        <v>40</v>
      </c>
      <c r="X8008" s="19">
        <v>0.76800000000000002</v>
      </c>
      <c r="Y8008" s="20">
        <v>2.6970000000000002E-3</v>
      </c>
      <c r="Z8008" s="21">
        <v>4660008011154</v>
      </c>
    </row>
    <row r="8009" spans="1:26" ht="12" customHeight="1" outlineLevel="4" x14ac:dyDescent="0.2">
      <c r="A8009" s="14" t="s">
        <v>15304</v>
      </c>
      <c r="B8009" s="26" t="s">
        <v>15305</v>
      </c>
      <c r="C8009" s="52"/>
      <c r="D8009" s="55">
        <f t="shared" ref="D8009:D8072" si="125">C8009*(O8009-O8009*$G$3)</f>
        <v>0</v>
      </c>
      <c r="E8009" s="63" t="str">
        <f>HYPERLINK("https://www.sds-group.ru/product/kabel-hdmi-hdmi-1-4-15m-gold-rexant-17-6209/", "Инфо")</f>
        <v>Инфо</v>
      </c>
      <c r="F8009" s="16" t="s">
        <v>39</v>
      </c>
      <c r="G8009" s="15"/>
      <c r="H8009" s="15"/>
      <c r="I8009" s="15"/>
      <c r="J8009" s="17">
        <v>866</v>
      </c>
      <c r="K8009" s="15"/>
      <c r="L8009" s="17">
        <v>1</v>
      </c>
      <c r="M8009" s="17">
        <v>10</v>
      </c>
      <c r="N8009" s="17">
        <v>1</v>
      </c>
      <c r="O8009" s="18">
        <v>2396.0500000000002</v>
      </c>
      <c r="P8009" s="18">
        <v>1963.98</v>
      </c>
      <c r="Q8009" s="18">
        <v>1844.96</v>
      </c>
      <c r="R8009" s="18">
        <v>1512.26</v>
      </c>
      <c r="S8009" s="18">
        <v>1629.31</v>
      </c>
      <c r="T8009" s="18">
        <v>1335.5</v>
      </c>
      <c r="U8009" s="16"/>
      <c r="V8009" s="16"/>
      <c r="W8009" s="16" t="s">
        <v>40</v>
      </c>
      <c r="X8009" s="19">
        <v>0.95</v>
      </c>
      <c r="Y8009" s="20">
        <v>2.967E-3</v>
      </c>
      <c r="Z8009" s="21">
        <v>4610003603830</v>
      </c>
    </row>
    <row r="8010" spans="1:26" ht="12" customHeight="1" outlineLevel="4" x14ac:dyDescent="0.2">
      <c r="A8010" s="14" t="s">
        <v>15306</v>
      </c>
      <c r="B8010" s="26" t="s">
        <v>15307</v>
      </c>
      <c r="C8010" s="52"/>
      <c r="D8010" s="55">
        <f t="shared" si="125"/>
        <v>0</v>
      </c>
      <c r="E8010" s="63" t="str">
        <f>HYPERLINK("https://www.sds-group.ru/product/kabel-hdmi-hdmi-1-4-1m-silver-proconnect-17-6202-8/", "Инфо")</f>
        <v>Инфо</v>
      </c>
      <c r="F8010" s="16" t="s">
        <v>39</v>
      </c>
      <c r="G8010" s="15"/>
      <c r="H8010" s="15"/>
      <c r="I8010" s="15"/>
      <c r="J8010" s="22">
        <v>3249</v>
      </c>
      <c r="K8010" s="15" t="s">
        <v>925</v>
      </c>
      <c r="L8010" s="17">
        <v>10</v>
      </c>
      <c r="M8010" s="17">
        <v>250</v>
      </c>
      <c r="N8010" s="17">
        <v>10</v>
      </c>
      <c r="O8010" s="18">
        <v>225.3</v>
      </c>
      <c r="P8010" s="18">
        <v>184.67</v>
      </c>
      <c r="Q8010" s="18">
        <v>191.51</v>
      </c>
      <c r="R8010" s="18">
        <v>156.97999999999999</v>
      </c>
      <c r="S8010" s="18">
        <v>153.19999999999999</v>
      </c>
      <c r="T8010" s="18">
        <v>125.57</v>
      </c>
      <c r="U8010" s="16"/>
      <c r="V8010" s="16"/>
      <c r="W8010" s="16" t="s">
        <v>40</v>
      </c>
      <c r="X8010" s="19">
        <v>5.3999999999999999E-2</v>
      </c>
      <c r="Y8010" s="20">
        <v>1.7799999999999999E-4</v>
      </c>
      <c r="Z8010" s="21">
        <v>4601004002920</v>
      </c>
    </row>
    <row r="8011" spans="1:26" ht="12" customHeight="1" outlineLevel="4" x14ac:dyDescent="0.2">
      <c r="A8011" s="14" t="s">
        <v>15308</v>
      </c>
      <c r="B8011" s="26" t="s">
        <v>15309</v>
      </c>
      <c r="C8011" s="52"/>
      <c r="D8011" s="55">
        <f t="shared" si="125"/>
        <v>0</v>
      </c>
      <c r="E8011" s="63" t="str">
        <f>HYPERLINK("https://www.sds-group.ru/product/kabel-hdmi-hdmi-1-4-1m-gold-proconnect-17-6202-6/", "Инфо")</f>
        <v>Инфо</v>
      </c>
      <c r="F8011" s="16" t="s">
        <v>39</v>
      </c>
      <c r="G8011" s="15"/>
      <c r="H8011" s="15"/>
      <c r="I8011" s="15"/>
      <c r="J8011" s="22">
        <v>5730</v>
      </c>
      <c r="K8011" s="15"/>
      <c r="L8011" s="17">
        <v>10</v>
      </c>
      <c r="M8011" s="17">
        <v>150</v>
      </c>
      <c r="N8011" s="17">
        <v>10</v>
      </c>
      <c r="O8011" s="18">
        <v>251.88</v>
      </c>
      <c r="P8011" s="18">
        <v>206.46</v>
      </c>
      <c r="Q8011" s="18">
        <v>176.32</v>
      </c>
      <c r="R8011" s="18">
        <v>144.52000000000001</v>
      </c>
      <c r="S8011" s="18">
        <v>171.28</v>
      </c>
      <c r="T8011" s="18">
        <v>140.38999999999999</v>
      </c>
      <c r="U8011" s="16"/>
      <c r="V8011" s="16"/>
      <c r="W8011" s="16"/>
      <c r="X8011" s="19">
        <v>6.2E-2</v>
      </c>
      <c r="Y8011" s="20">
        <v>1.7000000000000001E-4</v>
      </c>
      <c r="Z8011" s="21">
        <v>4660008011086</v>
      </c>
    </row>
    <row r="8012" spans="1:26" ht="12" customHeight="1" outlineLevel="4" x14ac:dyDescent="0.2">
      <c r="A8012" s="14" t="s">
        <v>15310</v>
      </c>
      <c r="B8012" s="26" t="s">
        <v>15311</v>
      </c>
      <c r="C8012" s="52"/>
      <c r="D8012" s="55">
        <f t="shared" si="125"/>
        <v>0</v>
      </c>
      <c r="E8012" s="63" t="str">
        <f>HYPERLINK("https://www.sds-group.ru/product/kabel-hdmi-hdmi-1-4-1m-gold-rexant-17-6202/", "Инфо")</f>
        <v>Инфо</v>
      </c>
      <c r="F8012" s="16" t="s">
        <v>39</v>
      </c>
      <c r="G8012" s="15"/>
      <c r="H8012" s="15"/>
      <c r="I8012" s="15"/>
      <c r="J8012" s="22">
        <v>2541</v>
      </c>
      <c r="K8012" s="15"/>
      <c r="L8012" s="17">
        <v>10</v>
      </c>
      <c r="M8012" s="17">
        <v>150</v>
      </c>
      <c r="N8012" s="17">
        <v>10</v>
      </c>
      <c r="O8012" s="18">
        <v>350.36</v>
      </c>
      <c r="P8012" s="18">
        <v>287.18</v>
      </c>
      <c r="Q8012" s="18">
        <v>245.25</v>
      </c>
      <c r="R8012" s="18">
        <v>201.02</v>
      </c>
      <c r="S8012" s="18">
        <v>238.24</v>
      </c>
      <c r="T8012" s="18">
        <v>195.28</v>
      </c>
      <c r="U8012" s="16"/>
      <c r="V8012" s="16"/>
      <c r="W8012" s="16"/>
      <c r="X8012" s="19">
        <v>6.2E-2</v>
      </c>
      <c r="Y8012" s="20">
        <v>2.7E-4</v>
      </c>
      <c r="Z8012" s="21">
        <v>4610003601256</v>
      </c>
    </row>
    <row r="8013" spans="1:26" ht="12" customHeight="1" outlineLevel="4" x14ac:dyDescent="0.2">
      <c r="A8013" s="14" t="s">
        <v>15312</v>
      </c>
      <c r="B8013" s="26" t="s">
        <v>15313</v>
      </c>
      <c r="C8013" s="52"/>
      <c r="D8013" s="55">
        <f t="shared" si="125"/>
        <v>0</v>
      </c>
      <c r="E8013" s="63" t="str">
        <f>HYPERLINK("https://www.sds-group.ru/product/kabel-hdmi-hdmi-1-4-20m-gold-proconnect-17-6210-6/", "Инфо")</f>
        <v>Инфо</v>
      </c>
      <c r="F8013" s="16" t="s">
        <v>39</v>
      </c>
      <c r="G8013" s="15"/>
      <c r="H8013" s="15"/>
      <c r="I8013" s="15"/>
      <c r="J8013" s="17">
        <v>330</v>
      </c>
      <c r="K8013" s="15"/>
      <c r="L8013" s="17">
        <v>1</v>
      </c>
      <c r="M8013" s="17">
        <v>10</v>
      </c>
      <c r="N8013" s="17">
        <v>1</v>
      </c>
      <c r="O8013" s="18">
        <v>3696.77</v>
      </c>
      <c r="P8013" s="18">
        <v>3030.14</v>
      </c>
      <c r="Q8013" s="18">
        <v>2698.64</v>
      </c>
      <c r="R8013" s="18">
        <v>2212</v>
      </c>
      <c r="S8013" s="18">
        <v>2513.8000000000002</v>
      </c>
      <c r="T8013" s="18">
        <v>2060.4899999999998</v>
      </c>
      <c r="U8013" s="16"/>
      <c r="V8013" s="16"/>
      <c r="W8013" s="16" t="s">
        <v>40</v>
      </c>
      <c r="X8013" s="19">
        <v>1.427</v>
      </c>
      <c r="Y8013" s="20">
        <v>2.5500000000000002E-3</v>
      </c>
      <c r="Z8013" s="21">
        <v>4660008011161</v>
      </c>
    </row>
    <row r="8014" spans="1:26" ht="12" customHeight="1" outlineLevel="4" x14ac:dyDescent="0.2">
      <c r="A8014" s="14" t="s">
        <v>15314</v>
      </c>
      <c r="B8014" s="26" t="s">
        <v>15315</v>
      </c>
      <c r="C8014" s="52"/>
      <c r="D8014" s="55">
        <f t="shared" si="125"/>
        <v>0</v>
      </c>
      <c r="E8014" s="63" t="str">
        <f>HYPERLINK("https://www.sds-group.ru/product/kabel-hdmi-hdmi-1-4-20m-gold-rexant-17-6210/", "Инфо")</f>
        <v>Инфо</v>
      </c>
      <c r="F8014" s="16" t="s">
        <v>39</v>
      </c>
      <c r="G8014" s="15"/>
      <c r="H8014" s="15"/>
      <c r="I8014" s="15"/>
      <c r="J8014" s="17">
        <v>634</v>
      </c>
      <c r="K8014" s="15"/>
      <c r="L8014" s="17">
        <v>1</v>
      </c>
      <c r="M8014" s="17">
        <v>10</v>
      </c>
      <c r="N8014" s="17">
        <v>1</v>
      </c>
      <c r="O8014" s="18">
        <v>4638.45</v>
      </c>
      <c r="P8014" s="18">
        <v>3802.01</v>
      </c>
      <c r="Q8014" s="18">
        <v>3246.92</v>
      </c>
      <c r="R8014" s="18">
        <v>2661.41</v>
      </c>
      <c r="S8014" s="18">
        <v>3154.15</v>
      </c>
      <c r="T8014" s="18">
        <v>2585.37</v>
      </c>
      <c r="U8014" s="16"/>
      <c r="V8014" s="16"/>
      <c r="W8014" s="16"/>
      <c r="X8014" s="19">
        <v>1.454</v>
      </c>
      <c r="Y8014" s="20">
        <v>3.64E-3</v>
      </c>
      <c r="Z8014" s="21">
        <v>4610003603847</v>
      </c>
    </row>
    <row r="8015" spans="1:26" ht="12" customHeight="1" outlineLevel="4" x14ac:dyDescent="0.2">
      <c r="A8015" s="14" t="s">
        <v>15316</v>
      </c>
      <c r="B8015" s="26" t="s">
        <v>15317</v>
      </c>
      <c r="C8015" s="52"/>
      <c r="D8015" s="55">
        <f t="shared" si="125"/>
        <v>0</v>
      </c>
      <c r="E8015" s="63" t="str">
        <f>HYPERLINK("https://www.sds-group.ru/product/kabel-hdmi-hdmi-1-4-2m-silver-proconnect-17-6204-8/", "Инфо")</f>
        <v>Инфо</v>
      </c>
      <c r="F8015" s="16" t="s">
        <v>39</v>
      </c>
      <c r="G8015" s="15"/>
      <c r="H8015" s="15"/>
      <c r="I8015" s="15"/>
      <c r="J8015" s="22">
        <v>1235</v>
      </c>
      <c r="K8015" s="15" t="s">
        <v>1277</v>
      </c>
      <c r="L8015" s="17">
        <v>5</v>
      </c>
      <c r="M8015" s="17">
        <v>150</v>
      </c>
      <c r="N8015" s="17">
        <v>5</v>
      </c>
      <c r="O8015" s="18">
        <v>300.39999999999998</v>
      </c>
      <c r="P8015" s="18">
        <v>246.23</v>
      </c>
      <c r="Q8015" s="18">
        <v>255.34</v>
      </c>
      <c r="R8015" s="18">
        <v>209.3</v>
      </c>
      <c r="S8015" s="18">
        <v>204.27</v>
      </c>
      <c r="T8015" s="18">
        <v>167.43</v>
      </c>
      <c r="U8015" s="16"/>
      <c r="V8015" s="16"/>
      <c r="W8015" s="16" t="s">
        <v>40</v>
      </c>
      <c r="X8015" s="19">
        <v>8.2000000000000003E-2</v>
      </c>
      <c r="Y8015" s="20">
        <v>2.7700000000000001E-4</v>
      </c>
      <c r="Z8015" s="21">
        <v>4601004198067</v>
      </c>
    </row>
    <row r="8016" spans="1:26" ht="12" customHeight="1" outlineLevel="4" x14ac:dyDescent="0.2">
      <c r="A8016" s="14" t="s">
        <v>15318</v>
      </c>
      <c r="B8016" s="26" t="s">
        <v>15319</v>
      </c>
      <c r="C8016" s="52"/>
      <c r="D8016" s="55">
        <f t="shared" si="125"/>
        <v>0</v>
      </c>
      <c r="E8016" s="63" t="str">
        <f>HYPERLINK("https://www.sds-group.ru/product/kabel-hdmi-hdmi-1-4-2m-gold-proconnect-17-6204-6/", "Инфо")</f>
        <v>Инфо</v>
      </c>
      <c r="F8016" s="16" t="s">
        <v>39</v>
      </c>
      <c r="G8016" s="15"/>
      <c r="H8016" s="15"/>
      <c r="I8016" s="15"/>
      <c r="J8016" s="22">
        <v>10655</v>
      </c>
      <c r="K8016" s="15"/>
      <c r="L8016" s="17">
        <v>10</v>
      </c>
      <c r="M8016" s="17">
        <v>100</v>
      </c>
      <c r="N8016" s="17">
        <v>10</v>
      </c>
      <c r="O8016" s="18">
        <v>302.10000000000002</v>
      </c>
      <c r="P8016" s="18">
        <v>247.62</v>
      </c>
      <c r="Q8016" s="18">
        <v>211.47</v>
      </c>
      <c r="R8016" s="18">
        <v>173.34</v>
      </c>
      <c r="S8016" s="18">
        <v>205.43</v>
      </c>
      <c r="T8016" s="18">
        <v>168.39</v>
      </c>
      <c r="U8016" s="16"/>
      <c r="V8016" s="16"/>
      <c r="W8016" s="16"/>
      <c r="X8016" s="19">
        <v>9.6000000000000002E-2</v>
      </c>
      <c r="Y8016" s="20">
        <v>3.7599999999999998E-4</v>
      </c>
      <c r="Z8016" s="21">
        <v>4660008011109</v>
      </c>
    </row>
    <row r="8017" spans="1:26" ht="12" customHeight="1" outlineLevel="4" x14ac:dyDescent="0.2">
      <c r="A8017" s="14" t="s">
        <v>15320</v>
      </c>
      <c r="B8017" s="26" t="s">
        <v>15321</v>
      </c>
      <c r="C8017" s="52"/>
      <c r="D8017" s="55">
        <f t="shared" si="125"/>
        <v>0</v>
      </c>
      <c r="E8017" s="63" t="str">
        <f>HYPERLINK("https://www.sds-group.ru/product/kabel-hdmi-hdmi-1-4-2m-gold-rexant-17-6204/", "Инфо")</f>
        <v>Инфо</v>
      </c>
      <c r="F8017" s="16" t="s">
        <v>39</v>
      </c>
      <c r="G8017" s="15"/>
      <c r="H8017" s="15"/>
      <c r="I8017" s="15"/>
      <c r="J8017" s="22">
        <v>2558</v>
      </c>
      <c r="K8017" s="15"/>
      <c r="L8017" s="17">
        <v>5</v>
      </c>
      <c r="M8017" s="17">
        <v>90</v>
      </c>
      <c r="N8017" s="17">
        <v>5</v>
      </c>
      <c r="O8017" s="18">
        <v>540.82000000000005</v>
      </c>
      <c r="P8017" s="18">
        <v>443.3</v>
      </c>
      <c r="Q8017" s="18">
        <v>459.7</v>
      </c>
      <c r="R8017" s="18">
        <v>376.8</v>
      </c>
      <c r="S8017" s="18">
        <v>367.76</v>
      </c>
      <c r="T8017" s="18">
        <v>301.44</v>
      </c>
      <c r="U8017" s="16"/>
      <c r="V8017" s="16"/>
      <c r="W8017" s="16" t="s">
        <v>40</v>
      </c>
      <c r="X8017" s="19">
        <v>0.12</v>
      </c>
      <c r="Y8017" s="20">
        <v>6.3900000000000003E-4</v>
      </c>
      <c r="Z8017" s="21">
        <v>4610003601270</v>
      </c>
    </row>
    <row r="8018" spans="1:26" ht="12" customHeight="1" outlineLevel="4" x14ac:dyDescent="0.2">
      <c r="A8018" s="14" t="s">
        <v>15322</v>
      </c>
      <c r="B8018" s="26" t="s">
        <v>15323</v>
      </c>
      <c r="C8018" s="52"/>
      <c r="D8018" s="55">
        <f t="shared" si="125"/>
        <v>0</v>
      </c>
      <c r="E8018" s="63" t="str">
        <f>HYPERLINK("https://www.sds-group.ru/product/kabel-hdmi-hdmi-1-4-2m-gold-belyy-rexant-17-6204-1/", "Инфо")</f>
        <v>Инфо</v>
      </c>
      <c r="F8018" s="16" t="s">
        <v>39</v>
      </c>
      <c r="G8018" s="15"/>
      <c r="H8018" s="15"/>
      <c r="I8018" s="15"/>
      <c r="J8018" s="17">
        <v>576</v>
      </c>
      <c r="K8018" s="15"/>
      <c r="L8018" s="17">
        <v>5</v>
      </c>
      <c r="M8018" s="17">
        <v>50</v>
      </c>
      <c r="N8018" s="17">
        <v>5</v>
      </c>
      <c r="O8018" s="18">
        <v>571.79999999999995</v>
      </c>
      <c r="P8018" s="18">
        <v>468.69</v>
      </c>
      <c r="Q8018" s="18">
        <v>400.26</v>
      </c>
      <c r="R8018" s="18">
        <v>328.08</v>
      </c>
      <c r="S8018" s="18">
        <v>388.82</v>
      </c>
      <c r="T8018" s="18">
        <v>318.7</v>
      </c>
      <c r="U8018" s="16"/>
      <c r="V8018" s="16"/>
      <c r="W8018" s="16"/>
      <c r="X8018" s="19">
        <v>0.123</v>
      </c>
      <c r="Y8018" s="20">
        <v>8.2100000000000001E-4</v>
      </c>
      <c r="Z8018" s="21">
        <v>4601004201606</v>
      </c>
    </row>
    <row r="8019" spans="1:26" ht="12" customHeight="1" outlineLevel="4" x14ac:dyDescent="0.2">
      <c r="A8019" s="14" t="s">
        <v>15324</v>
      </c>
      <c r="B8019" s="26" t="s">
        <v>15325</v>
      </c>
      <c r="C8019" s="52"/>
      <c r="D8019" s="55">
        <f t="shared" si="125"/>
        <v>0</v>
      </c>
      <c r="E8019" s="63" t="str">
        <f>HYPERLINK("https://www.sds-group.ru/product/kabel-hdmi-hdmi-1-4-3m-gold-rexant-17-6205/", "Инфо")</f>
        <v>Инфо</v>
      </c>
      <c r="F8019" s="16" t="s">
        <v>39</v>
      </c>
      <c r="G8019" s="15"/>
      <c r="H8019" s="15"/>
      <c r="I8019" s="15"/>
      <c r="J8019" s="17">
        <v>330</v>
      </c>
      <c r="K8019" s="15" t="s">
        <v>1277</v>
      </c>
      <c r="L8019" s="17">
        <v>10</v>
      </c>
      <c r="M8019" s="17">
        <v>50</v>
      </c>
      <c r="N8019" s="17">
        <v>10</v>
      </c>
      <c r="O8019" s="18">
        <v>600.83000000000004</v>
      </c>
      <c r="P8019" s="18">
        <v>492.48</v>
      </c>
      <c r="Q8019" s="18">
        <v>480.66</v>
      </c>
      <c r="R8019" s="18">
        <v>393.98</v>
      </c>
      <c r="S8019" s="18">
        <v>408.56</v>
      </c>
      <c r="T8019" s="18">
        <v>334.89</v>
      </c>
      <c r="U8019" s="16"/>
      <c r="V8019" s="16"/>
      <c r="W8019" s="16" t="s">
        <v>40</v>
      </c>
      <c r="X8019" s="19">
        <v>0.154</v>
      </c>
      <c r="Y8019" s="20">
        <v>9.7799999999999992E-4</v>
      </c>
      <c r="Z8019" s="21">
        <v>4610003601287</v>
      </c>
    </row>
    <row r="8020" spans="1:26" ht="12" customHeight="1" outlineLevel="4" x14ac:dyDescent="0.2">
      <c r="A8020" s="14" t="s">
        <v>15326</v>
      </c>
      <c r="B8020" s="26" t="s">
        <v>15327</v>
      </c>
      <c r="C8020" s="52"/>
      <c r="D8020" s="55">
        <f t="shared" si="125"/>
        <v>0</v>
      </c>
      <c r="E8020" s="63" t="str">
        <f>HYPERLINK("https://www.sds-group.ru/product/kabel-hdmi-hdmi-1-4-3m-gold-proconnect-17-6205-6/", "Инфо")</f>
        <v>Инфо</v>
      </c>
      <c r="F8020" s="16" t="s">
        <v>39</v>
      </c>
      <c r="G8020" s="15"/>
      <c r="H8020" s="15"/>
      <c r="I8020" s="15"/>
      <c r="J8020" s="22">
        <v>12619</v>
      </c>
      <c r="K8020" s="15"/>
      <c r="L8020" s="17">
        <v>10</v>
      </c>
      <c r="M8020" s="17">
        <v>50</v>
      </c>
      <c r="N8020" s="17">
        <v>10</v>
      </c>
      <c r="O8020" s="18">
        <v>343.3</v>
      </c>
      <c r="P8020" s="18">
        <v>281.39</v>
      </c>
      <c r="Q8020" s="18">
        <v>240.31</v>
      </c>
      <c r="R8020" s="18">
        <v>196.98</v>
      </c>
      <c r="S8020" s="18">
        <v>233.44</v>
      </c>
      <c r="T8020" s="18">
        <v>191.34</v>
      </c>
      <c r="U8020" s="16"/>
      <c r="V8020" s="16"/>
      <c r="W8020" s="16"/>
      <c r="X8020" s="19">
        <v>0.13100000000000001</v>
      </c>
      <c r="Y8020" s="20">
        <v>7.4100000000000001E-4</v>
      </c>
      <c r="Z8020" s="21">
        <v>4660008011116</v>
      </c>
    </row>
    <row r="8021" spans="1:26" ht="12" customHeight="1" outlineLevel="4" x14ac:dyDescent="0.2">
      <c r="A8021" s="14" t="s">
        <v>15328</v>
      </c>
      <c r="B8021" s="26" t="s">
        <v>15329</v>
      </c>
      <c r="C8021" s="52"/>
      <c r="D8021" s="55">
        <f t="shared" si="125"/>
        <v>0</v>
      </c>
      <c r="E8021" s="63" t="str">
        <f>HYPERLINK("https://www.sds-group.ru/product/kabel-hdmi-hdmi-1-4-3m-gold-uglovoy-proconnect-17-6205-4/", "Инфо")</f>
        <v>Инфо</v>
      </c>
      <c r="F8021" s="16" t="s">
        <v>39</v>
      </c>
      <c r="G8021" s="15"/>
      <c r="H8021" s="15"/>
      <c r="I8021" s="15"/>
      <c r="J8021" s="22">
        <v>1006</v>
      </c>
      <c r="K8021" s="15"/>
      <c r="L8021" s="17">
        <v>5</v>
      </c>
      <c r="M8021" s="17">
        <v>50</v>
      </c>
      <c r="N8021" s="17">
        <v>5</v>
      </c>
      <c r="O8021" s="18">
        <v>454.34</v>
      </c>
      <c r="P8021" s="18">
        <v>372.41</v>
      </c>
      <c r="Q8021" s="18">
        <v>318.04000000000002</v>
      </c>
      <c r="R8021" s="18">
        <v>260.69</v>
      </c>
      <c r="S8021" s="18">
        <v>308.95</v>
      </c>
      <c r="T8021" s="18">
        <v>253.24</v>
      </c>
      <c r="U8021" s="16"/>
      <c r="V8021" s="16"/>
      <c r="W8021" s="16"/>
      <c r="X8021" s="19">
        <v>0.115</v>
      </c>
      <c r="Y8021" s="20">
        <v>6.8499999999999995E-4</v>
      </c>
      <c r="Z8021" s="21">
        <v>4610003608842</v>
      </c>
    </row>
    <row r="8022" spans="1:26" ht="12" customHeight="1" outlineLevel="4" x14ac:dyDescent="0.2">
      <c r="A8022" s="14" t="s">
        <v>15330</v>
      </c>
      <c r="B8022" s="26" t="s">
        <v>15331</v>
      </c>
      <c r="C8022" s="52"/>
      <c r="D8022" s="55">
        <f t="shared" si="125"/>
        <v>0</v>
      </c>
      <c r="E8022" s="63" t="str">
        <f>HYPERLINK("https://www.sds-group.ru/product/kabel-hdmi-hdmi-1-4-5m-gold-rexant-17-6206/", "Инфо")</f>
        <v>Инфо</v>
      </c>
      <c r="F8022" s="16" t="s">
        <v>39</v>
      </c>
      <c r="G8022" s="15"/>
      <c r="H8022" s="15"/>
      <c r="I8022" s="15"/>
      <c r="J8022" s="16" t="s">
        <v>100</v>
      </c>
      <c r="K8022" s="15" t="s">
        <v>925</v>
      </c>
      <c r="L8022" s="17">
        <v>5</v>
      </c>
      <c r="M8022" s="17">
        <v>50</v>
      </c>
      <c r="N8022" s="17">
        <v>5</v>
      </c>
      <c r="O8022" s="18">
        <v>863.65</v>
      </c>
      <c r="P8022" s="18">
        <v>707.91</v>
      </c>
      <c r="Q8022" s="18">
        <v>604.55999999999995</v>
      </c>
      <c r="R8022" s="18">
        <v>495.54</v>
      </c>
      <c r="S8022" s="18">
        <v>587.28</v>
      </c>
      <c r="T8022" s="18">
        <v>481.38</v>
      </c>
      <c r="U8022" s="16"/>
      <c r="V8022" s="16"/>
      <c r="W8022" s="16"/>
      <c r="X8022" s="19">
        <v>0.22800000000000001</v>
      </c>
      <c r="Y8022" s="20">
        <v>9.2299999999999999E-4</v>
      </c>
      <c r="Z8022" s="21">
        <v>4610003601294</v>
      </c>
    </row>
    <row r="8023" spans="1:26" ht="12" customHeight="1" outlineLevel="4" x14ac:dyDescent="0.2">
      <c r="A8023" s="14" t="s">
        <v>15332</v>
      </c>
      <c r="B8023" s="26" t="s">
        <v>15333</v>
      </c>
      <c r="C8023" s="52"/>
      <c r="D8023" s="55">
        <f t="shared" si="125"/>
        <v>0</v>
      </c>
      <c r="E8023" s="63" t="str">
        <f>HYPERLINK("https://www.sds-group.ru/product/kabel-hdmi-hdmi-1-4-5m-gold-proconnect-17-6206-6/", "Инфо")</f>
        <v>Инфо</v>
      </c>
      <c r="F8023" s="16" t="s">
        <v>39</v>
      </c>
      <c r="G8023" s="15"/>
      <c r="H8023" s="15"/>
      <c r="I8023" s="15"/>
      <c r="J8023" s="22">
        <v>3945</v>
      </c>
      <c r="K8023" s="15"/>
      <c r="L8023" s="17">
        <v>5</v>
      </c>
      <c r="M8023" s="17">
        <v>80</v>
      </c>
      <c r="N8023" s="17">
        <v>5</v>
      </c>
      <c r="O8023" s="18">
        <v>639.26</v>
      </c>
      <c r="P8023" s="18">
        <v>523.98</v>
      </c>
      <c r="Q8023" s="18">
        <v>447.48</v>
      </c>
      <c r="R8023" s="18">
        <v>366.79</v>
      </c>
      <c r="S8023" s="18">
        <v>434.7</v>
      </c>
      <c r="T8023" s="18">
        <v>356.31</v>
      </c>
      <c r="U8023" s="16"/>
      <c r="V8023" s="16"/>
      <c r="W8023" s="16"/>
      <c r="X8023" s="19">
        <v>0.216</v>
      </c>
      <c r="Y8023" s="20">
        <v>5.1599999999999997E-4</v>
      </c>
      <c r="Z8023" s="21">
        <v>4660008011123</v>
      </c>
    </row>
    <row r="8024" spans="1:26" ht="12" customHeight="1" outlineLevel="4" x14ac:dyDescent="0.2">
      <c r="A8024" s="32" t="s">
        <v>15334</v>
      </c>
      <c r="B8024" s="74" t="s">
        <v>15335</v>
      </c>
      <c r="C8024" s="50"/>
      <c r="D8024" s="53">
        <f t="shared" si="125"/>
        <v>0</v>
      </c>
      <c r="E8024" s="60" t="str">
        <f>HYPERLINK("https://www.sds-group.ru/product/shnur-hdmi-hdmi-1-4-2m-gold-s-filtrami-uglovoy-360-rexant-17-6204-3/", "Инфо")</f>
        <v>Инфо</v>
      </c>
      <c r="F8024" s="34" t="s">
        <v>39</v>
      </c>
      <c r="G8024" s="33"/>
      <c r="H8024" s="33" t="s">
        <v>40</v>
      </c>
      <c r="I8024" s="33"/>
      <c r="J8024" s="39">
        <v>1430</v>
      </c>
      <c r="K8024" s="33"/>
      <c r="L8024" s="35">
        <v>10</v>
      </c>
      <c r="M8024" s="35">
        <v>60</v>
      </c>
      <c r="N8024" s="35">
        <v>10</v>
      </c>
      <c r="O8024" s="36">
        <v>753.42</v>
      </c>
      <c r="P8024" s="36">
        <v>617.55999999999995</v>
      </c>
      <c r="Q8024" s="36">
        <v>527.39</v>
      </c>
      <c r="R8024" s="36">
        <v>432.29</v>
      </c>
      <c r="S8024" s="36">
        <v>512.33000000000004</v>
      </c>
      <c r="T8024" s="36">
        <v>419.94</v>
      </c>
      <c r="U8024" s="34"/>
      <c r="V8024" s="34"/>
      <c r="W8024" s="34"/>
      <c r="X8024" s="37">
        <v>0.14000000000000001</v>
      </c>
      <c r="Y8024" s="38">
        <v>7.2499999999999995E-4</v>
      </c>
      <c r="Z8024" s="21">
        <v>4610003605698</v>
      </c>
    </row>
    <row r="8025" spans="1:26" ht="12.95" customHeight="1" outlineLevel="3" x14ac:dyDescent="0.2">
      <c r="A8025" s="76" t="s">
        <v>15336</v>
      </c>
      <c r="B8025" s="76"/>
      <c r="C8025" s="77"/>
      <c r="D8025" s="58"/>
      <c r="E8025" s="68"/>
      <c r="F8025" s="13"/>
      <c r="G8025" s="13"/>
      <c r="H8025" s="13"/>
      <c r="I8025" s="13"/>
      <c r="J8025" s="13"/>
      <c r="K8025" s="13"/>
      <c r="L8025" s="13"/>
      <c r="M8025" s="13"/>
      <c r="N8025" s="13"/>
      <c r="O8025" s="13"/>
      <c r="P8025" s="13"/>
      <c r="Q8025" s="13"/>
      <c r="R8025" s="13"/>
      <c r="S8025" s="13"/>
      <c r="T8025" s="13"/>
      <c r="U8025" s="13"/>
      <c r="V8025" s="13"/>
      <c r="W8025" s="13"/>
      <c r="X8025" s="13"/>
      <c r="Y8025" s="13"/>
      <c r="Z8025" s="13"/>
    </row>
    <row r="8026" spans="1:26" ht="12" customHeight="1" outlineLevel="4" x14ac:dyDescent="0.2">
      <c r="A8026" s="14" t="s">
        <v>15337</v>
      </c>
      <c r="B8026" s="26" t="s">
        <v>15338</v>
      </c>
      <c r="C8026" s="52"/>
      <c r="D8026" s="55">
        <f t="shared" si="125"/>
        <v>0</v>
      </c>
      <c r="E8026" s="63" t="str">
        <f>HYPERLINK("https://www.sds-group.ru/product/kabel-hdmi-hdmi-2-0-1m-gold-rexant-17-6102/", "Инфо")</f>
        <v>Инфо</v>
      </c>
      <c r="F8026" s="16" t="s">
        <v>39</v>
      </c>
      <c r="G8026" s="15"/>
      <c r="H8026" s="15"/>
      <c r="I8026" s="15"/>
      <c r="J8026" s="17">
        <v>944</v>
      </c>
      <c r="K8026" s="15"/>
      <c r="L8026" s="17">
        <v>1</v>
      </c>
      <c r="M8026" s="17">
        <v>50</v>
      </c>
      <c r="N8026" s="17">
        <v>1</v>
      </c>
      <c r="O8026" s="18">
        <v>408.1</v>
      </c>
      <c r="P8026" s="18">
        <v>334.51</v>
      </c>
      <c r="Q8026" s="18">
        <v>326.48</v>
      </c>
      <c r="R8026" s="18">
        <v>267.61</v>
      </c>
      <c r="S8026" s="18">
        <v>277.51</v>
      </c>
      <c r="T8026" s="18">
        <v>227.47</v>
      </c>
      <c r="U8026" s="16"/>
      <c r="V8026" s="16"/>
      <c r="W8026" s="16" t="s">
        <v>40</v>
      </c>
      <c r="X8026" s="19">
        <v>0.122</v>
      </c>
      <c r="Y8026" s="20">
        <v>8.4699999999999999E-4</v>
      </c>
      <c r="Z8026" s="21">
        <v>4601004180420</v>
      </c>
    </row>
    <row r="8027" spans="1:26" ht="12" customHeight="1" outlineLevel="4" x14ac:dyDescent="0.2">
      <c r="A8027" s="14" t="s">
        <v>15339</v>
      </c>
      <c r="B8027" s="26" t="s">
        <v>15340</v>
      </c>
      <c r="C8027" s="52"/>
      <c r="D8027" s="55">
        <f t="shared" si="125"/>
        <v>0</v>
      </c>
      <c r="E8027" s="63" t="str">
        <f>HYPERLINK("https://www.sds-group.ru/product/kabel-hdmi-hdmi-2-0-1-5m-gold-rexant-17-6103/", "Инфо")</f>
        <v>Инфо</v>
      </c>
      <c r="F8027" s="16" t="s">
        <v>39</v>
      </c>
      <c r="G8027" s="15"/>
      <c r="H8027" s="15"/>
      <c r="I8027" s="15"/>
      <c r="J8027" s="17">
        <v>958</v>
      </c>
      <c r="K8027" s="15"/>
      <c r="L8027" s="17">
        <v>5</v>
      </c>
      <c r="M8027" s="17">
        <v>50</v>
      </c>
      <c r="N8027" s="17">
        <v>5</v>
      </c>
      <c r="O8027" s="18">
        <v>515.16</v>
      </c>
      <c r="P8027" s="18">
        <v>422.26</v>
      </c>
      <c r="Q8027" s="18">
        <v>412.13</v>
      </c>
      <c r="R8027" s="18">
        <v>337.81</v>
      </c>
      <c r="S8027" s="18">
        <v>350.31</v>
      </c>
      <c r="T8027" s="18">
        <v>287.14</v>
      </c>
      <c r="U8027" s="16"/>
      <c r="V8027" s="16"/>
      <c r="W8027" s="16" t="s">
        <v>40</v>
      </c>
      <c r="X8027" s="19">
        <v>0.14699999999999999</v>
      </c>
      <c r="Y8027" s="20">
        <v>8.4099999999999995E-4</v>
      </c>
      <c r="Z8027" s="21">
        <v>4601004180376</v>
      </c>
    </row>
    <row r="8028" spans="1:26" ht="12" customHeight="1" outlineLevel="4" x14ac:dyDescent="0.2">
      <c r="A8028" s="14" t="s">
        <v>15341</v>
      </c>
      <c r="B8028" s="26" t="s">
        <v>15342</v>
      </c>
      <c r="C8028" s="52"/>
      <c r="D8028" s="55">
        <f t="shared" si="125"/>
        <v>0</v>
      </c>
      <c r="E8028" s="63" t="str">
        <f>HYPERLINK("https://www.sds-group.ru/product/kabel-hdmi-hdmi-2-0-1-5m-gold-proconnect-17-6103-6/", "Инфо")</f>
        <v>Инфо</v>
      </c>
      <c r="F8028" s="16" t="s">
        <v>39</v>
      </c>
      <c r="G8028" s="15"/>
      <c r="H8028" s="15"/>
      <c r="I8028" s="15"/>
      <c r="J8028" s="22">
        <v>1361</v>
      </c>
      <c r="K8028" s="15" t="s">
        <v>1094</v>
      </c>
      <c r="L8028" s="17">
        <v>5</v>
      </c>
      <c r="M8028" s="17">
        <v>120</v>
      </c>
      <c r="N8028" s="17">
        <v>5</v>
      </c>
      <c r="O8028" s="18">
        <v>291.07</v>
      </c>
      <c r="P8028" s="18">
        <v>238.58</v>
      </c>
      <c r="Q8028" s="18">
        <v>203.75</v>
      </c>
      <c r="R8028" s="18">
        <v>167.01</v>
      </c>
      <c r="S8028" s="18">
        <v>197.93</v>
      </c>
      <c r="T8028" s="18">
        <v>162.24</v>
      </c>
      <c r="U8028" s="16"/>
      <c r="V8028" s="16"/>
      <c r="W8028" s="16"/>
      <c r="X8028" s="19">
        <v>8.1000000000000003E-2</v>
      </c>
      <c r="Y8028" s="20">
        <v>3.3599999999999998E-4</v>
      </c>
      <c r="Z8028" s="21">
        <v>4601004197145</v>
      </c>
    </row>
    <row r="8029" spans="1:26" ht="12" customHeight="1" outlineLevel="4" x14ac:dyDescent="0.2">
      <c r="A8029" s="14" t="s">
        <v>15343</v>
      </c>
      <c r="B8029" s="26" t="s">
        <v>15344</v>
      </c>
      <c r="C8029" s="52"/>
      <c r="D8029" s="55">
        <f t="shared" si="125"/>
        <v>0</v>
      </c>
      <c r="E8029" s="63" t="str">
        <f>HYPERLINK("https://www.sds-group.ru/product/kabel-hdmi-hdmi-2-0-10m-gold-proconnect-17-6108-6/", "Инфо")</f>
        <v>Инфо</v>
      </c>
      <c r="F8029" s="16" t="s">
        <v>39</v>
      </c>
      <c r="G8029" s="15"/>
      <c r="H8029" s="15"/>
      <c r="I8029" s="15"/>
      <c r="J8029" s="22">
        <v>1051</v>
      </c>
      <c r="K8029" s="15" t="s">
        <v>1094</v>
      </c>
      <c r="L8029" s="17">
        <v>1</v>
      </c>
      <c r="M8029" s="17">
        <v>20</v>
      </c>
      <c r="N8029" s="17">
        <v>1</v>
      </c>
      <c r="O8029" s="18">
        <v>1615.44</v>
      </c>
      <c r="P8029" s="18">
        <v>1324.13</v>
      </c>
      <c r="Q8029" s="18">
        <v>1130.81</v>
      </c>
      <c r="R8029" s="18">
        <v>926.89</v>
      </c>
      <c r="S8029" s="18">
        <v>1098.5</v>
      </c>
      <c r="T8029" s="18">
        <v>900.41</v>
      </c>
      <c r="U8029" s="16"/>
      <c r="V8029" s="16"/>
      <c r="W8029" s="16"/>
      <c r="X8029" s="19">
        <v>0.45100000000000001</v>
      </c>
      <c r="Y8029" s="20">
        <v>1.482E-3</v>
      </c>
      <c r="Z8029" s="21">
        <v>4601004197183</v>
      </c>
    </row>
    <row r="8030" spans="1:26" ht="12" customHeight="1" outlineLevel="4" x14ac:dyDescent="0.2">
      <c r="A8030" s="14" t="s">
        <v>15345</v>
      </c>
      <c r="B8030" s="26" t="s">
        <v>15346</v>
      </c>
      <c r="C8030" s="52"/>
      <c r="D8030" s="55">
        <f t="shared" si="125"/>
        <v>0</v>
      </c>
      <c r="E8030" s="63" t="str">
        <f>HYPERLINK("https://www.sds-group.ru/product/kabel-hdmi-hdmi-2-0-15m-gold-proconnect-17-6109-6/", "Инфо")</f>
        <v>Инфо</v>
      </c>
      <c r="F8030" s="16" t="s">
        <v>39</v>
      </c>
      <c r="G8030" s="15"/>
      <c r="H8030" s="15"/>
      <c r="I8030" s="15"/>
      <c r="J8030" s="16" t="s">
        <v>100</v>
      </c>
      <c r="K8030" s="15" t="s">
        <v>1094</v>
      </c>
      <c r="L8030" s="17">
        <v>1</v>
      </c>
      <c r="M8030" s="17">
        <v>10</v>
      </c>
      <c r="N8030" s="17">
        <v>1</v>
      </c>
      <c r="O8030" s="18">
        <v>3097.81</v>
      </c>
      <c r="P8030" s="18">
        <v>2539.19</v>
      </c>
      <c r="Q8030" s="18">
        <v>2168.4699999999998</v>
      </c>
      <c r="R8030" s="18">
        <v>1777.43</v>
      </c>
      <c r="S8030" s="18">
        <v>2106.5100000000002</v>
      </c>
      <c r="T8030" s="18">
        <v>1726.65</v>
      </c>
      <c r="U8030" s="16"/>
      <c r="V8030" s="16"/>
      <c r="W8030" s="16"/>
      <c r="X8030" s="19">
        <v>0.76600000000000001</v>
      </c>
      <c r="Y8030" s="20">
        <v>2.65E-3</v>
      </c>
      <c r="Z8030" s="21">
        <v>4601004197190</v>
      </c>
    </row>
    <row r="8031" spans="1:26" ht="12" customHeight="1" outlineLevel="4" x14ac:dyDescent="0.2">
      <c r="A8031" s="14" t="s">
        <v>15347</v>
      </c>
      <c r="B8031" s="26" t="s">
        <v>15348</v>
      </c>
      <c r="C8031" s="52"/>
      <c r="D8031" s="55">
        <f t="shared" si="125"/>
        <v>0</v>
      </c>
      <c r="E8031" s="63" t="str">
        <f>HYPERLINK("https://www.sds-group.ru/product/kabel-hdmi-hdmi-2-0-1m-gold-proconnect-17-6102-6/", "Инфо")</f>
        <v>Инфо</v>
      </c>
      <c r="F8031" s="16" t="s">
        <v>39</v>
      </c>
      <c r="G8031" s="15"/>
      <c r="H8031" s="15"/>
      <c r="I8031" s="15"/>
      <c r="J8031" s="16" t="s">
        <v>100</v>
      </c>
      <c r="K8031" s="15" t="s">
        <v>1277</v>
      </c>
      <c r="L8031" s="17">
        <v>5</v>
      </c>
      <c r="M8031" s="17">
        <v>150</v>
      </c>
      <c r="N8031" s="17">
        <v>5</v>
      </c>
      <c r="O8031" s="18">
        <v>242.56</v>
      </c>
      <c r="P8031" s="18">
        <v>198.82</v>
      </c>
      <c r="Q8031" s="18">
        <v>169.79</v>
      </c>
      <c r="R8031" s="18">
        <v>139.16999999999999</v>
      </c>
      <c r="S8031" s="18">
        <v>164.94</v>
      </c>
      <c r="T8031" s="18">
        <v>135.19999999999999</v>
      </c>
      <c r="U8031" s="16"/>
      <c r="V8031" s="16"/>
      <c r="W8031" s="16"/>
      <c r="X8031" s="19">
        <v>5.8999999999999997E-2</v>
      </c>
      <c r="Y8031" s="20">
        <v>2.9999999999999997E-4</v>
      </c>
      <c r="Z8031" s="21">
        <v>4601004197213</v>
      </c>
    </row>
    <row r="8032" spans="1:26" ht="12" customHeight="1" outlineLevel="4" x14ac:dyDescent="0.2">
      <c r="A8032" s="14" t="s">
        <v>15349</v>
      </c>
      <c r="B8032" s="26" t="s">
        <v>15350</v>
      </c>
      <c r="C8032" s="52"/>
      <c r="D8032" s="55">
        <f t="shared" si="125"/>
        <v>0</v>
      </c>
      <c r="E8032" s="63" t="str">
        <f>HYPERLINK("https://www.sds-group.ru/product/kabel-hdmi-hdmi-2-0-20m-gold-proconnect-17-6110-6/", "Инфо")</f>
        <v>Инфо</v>
      </c>
      <c r="F8032" s="16" t="s">
        <v>39</v>
      </c>
      <c r="G8032" s="15"/>
      <c r="H8032" s="15"/>
      <c r="I8032" s="15"/>
      <c r="J8032" s="16" t="s">
        <v>100</v>
      </c>
      <c r="K8032" s="15" t="s">
        <v>1094</v>
      </c>
      <c r="L8032" s="17">
        <v>1</v>
      </c>
      <c r="M8032" s="17">
        <v>10</v>
      </c>
      <c r="N8032" s="17">
        <v>1</v>
      </c>
      <c r="O8032" s="18">
        <v>4381.3500000000004</v>
      </c>
      <c r="P8032" s="18">
        <v>3591.27</v>
      </c>
      <c r="Q8032" s="18">
        <v>3066.95</v>
      </c>
      <c r="R8032" s="18">
        <v>2513.89</v>
      </c>
      <c r="S8032" s="18">
        <v>2979.32</v>
      </c>
      <c r="T8032" s="18">
        <v>2442.0700000000002</v>
      </c>
      <c r="U8032" s="16"/>
      <c r="V8032" s="16"/>
      <c r="W8032" s="16"/>
      <c r="X8032" s="19">
        <v>1.395</v>
      </c>
      <c r="Y8032" s="20">
        <v>3.4770000000000001E-3</v>
      </c>
      <c r="Z8032" s="21">
        <v>4601004197206</v>
      </c>
    </row>
    <row r="8033" spans="1:26" ht="12" customHeight="1" outlineLevel="4" x14ac:dyDescent="0.2">
      <c r="A8033" s="14" t="s">
        <v>15351</v>
      </c>
      <c r="B8033" s="26" t="s">
        <v>15352</v>
      </c>
      <c r="C8033" s="52"/>
      <c r="D8033" s="55">
        <f t="shared" si="125"/>
        <v>0</v>
      </c>
      <c r="E8033" s="63" t="str">
        <f>HYPERLINK("https://www.sds-group.ru/product/kabel-hdmi-hdmi-2-0-2m-gold-rexant-17-6104/", "Инфо")</f>
        <v>Инфо</v>
      </c>
      <c r="F8033" s="16" t="s">
        <v>39</v>
      </c>
      <c r="G8033" s="15"/>
      <c r="H8033" s="15"/>
      <c r="I8033" s="15"/>
      <c r="J8033" s="17">
        <v>689</v>
      </c>
      <c r="K8033" s="15"/>
      <c r="L8033" s="17">
        <v>1</v>
      </c>
      <c r="M8033" s="17">
        <v>50</v>
      </c>
      <c r="N8033" s="17">
        <v>1</v>
      </c>
      <c r="O8033" s="18">
        <v>758.93</v>
      </c>
      <c r="P8033" s="18">
        <v>622.07000000000005</v>
      </c>
      <c r="Q8033" s="18">
        <v>607.14</v>
      </c>
      <c r="R8033" s="18">
        <v>497.66</v>
      </c>
      <c r="S8033" s="18">
        <v>516.07000000000005</v>
      </c>
      <c r="T8033" s="18">
        <v>423.01</v>
      </c>
      <c r="U8033" s="16"/>
      <c r="V8033" s="16"/>
      <c r="W8033" s="16" t="s">
        <v>40</v>
      </c>
      <c r="X8033" s="19">
        <v>0.187</v>
      </c>
      <c r="Y8033" s="20">
        <v>1.209E-3</v>
      </c>
      <c r="Z8033" s="21">
        <v>4601004201620</v>
      </c>
    </row>
    <row r="8034" spans="1:26" ht="12" customHeight="1" outlineLevel="4" x14ac:dyDescent="0.2">
      <c r="A8034" s="14" t="s">
        <v>15353</v>
      </c>
      <c r="B8034" s="26" t="s">
        <v>15354</v>
      </c>
      <c r="C8034" s="52"/>
      <c r="D8034" s="55">
        <f t="shared" si="125"/>
        <v>0</v>
      </c>
      <c r="E8034" s="63" t="str">
        <f>HYPERLINK("https://www.sds-group.ru/product/kabel-hdmi-hdmi-2-0-2m-gold-proconnect-17-6104-6/", "Инфо")</f>
        <v>Инфо</v>
      </c>
      <c r="F8034" s="16" t="s">
        <v>39</v>
      </c>
      <c r="G8034" s="15"/>
      <c r="H8034" s="15"/>
      <c r="I8034" s="15"/>
      <c r="J8034" s="17">
        <v>17</v>
      </c>
      <c r="K8034" s="15" t="s">
        <v>1519</v>
      </c>
      <c r="L8034" s="17">
        <v>10</v>
      </c>
      <c r="M8034" s="17">
        <v>100</v>
      </c>
      <c r="N8034" s="17">
        <v>10</v>
      </c>
      <c r="O8034" s="18">
        <v>320.17</v>
      </c>
      <c r="P8034" s="18">
        <v>262.43</v>
      </c>
      <c r="Q8034" s="18">
        <v>224.12</v>
      </c>
      <c r="R8034" s="18">
        <v>183.7</v>
      </c>
      <c r="S8034" s="18">
        <v>217.72</v>
      </c>
      <c r="T8034" s="18">
        <v>178.46</v>
      </c>
      <c r="U8034" s="16"/>
      <c r="V8034" s="16"/>
      <c r="W8034" s="16"/>
      <c r="X8034" s="19">
        <v>0.11700000000000001</v>
      </c>
      <c r="Y8034" s="20">
        <v>5.6099999999999998E-4</v>
      </c>
      <c r="Z8034" s="21">
        <v>4601004197152</v>
      </c>
    </row>
    <row r="8035" spans="1:26" ht="12" customHeight="1" outlineLevel="4" x14ac:dyDescent="0.2">
      <c r="A8035" s="14" t="s">
        <v>15355</v>
      </c>
      <c r="B8035" s="26" t="s">
        <v>15356</v>
      </c>
      <c r="C8035" s="52"/>
      <c r="D8035" s="55">
        <f t="shared" si="125"/>
        <v>0</v>
      </c>
      <c r="E8035" s="63" t="str">
        <f>HYPERLINK("https://www.sds-group.ru/product/kabel-hdmi-hdmi-2-0-3m-gold-rexant-17-6105/", "Инфо")</f>
        <v>Инфо</v>
      </c>
      <c r="F8035" s="16" t="s">
        <v>39</v>
      </c>
      <c r="G8035" s="15"/>
      <c r="H8035" s="15"/>
      <c r="I8035" s="15"/>
      <c r="J8035" s="17">
        <v>566</v>
      </c>
      <c r="K8035" s="15"/>
      <c r="L8035" s="17">
        <v>1</v>
      </c>
      <c r="M8035" s="17">
        <v>50</v>
      </c>
      <c r="N8035" s="17">
        <v>1</v>
      </c>
      <c r="O8035" s="18">
        <v>846.24</v>
      </c>
      <c r="P8035" s="18">
        <v>693.64</v>
      </c>
      <c r="Q8035" s="18">
        <v>592.37</v>
      </c>
      <c r="R8035" s="18">
        <v>485.55</v>
      </c>
      <c r="S8035" s="18">
        <v>575.44000000000005</v>
      </c>
      <c r="T8035" s="18">
        <v>471.67</v>
      </c>
      <c r="U8035" s="16"/>
      <c r="V8035" s="16"/>
      <c r="W8035" s="16"/>
      <c r="X8035" s="19">
        <v>0.22700000000000001</v>
      </c>
      <c r="Y8035" s="20">
        <v>1.209E-3</v>
      </c>
      <c r="Z8035" s="21">
        <v>4601004180383</v>
      </c>
    </row>
    <row r="8036" spans="1:26" ht="12" customHeight="1" outlineLevel="4" x14ac:dyDescent="0.2">
      <c r="A8036" s="14" t="s">
        <v>15357</v>
      </c>
      <c r="B8036" s="26" t="s">
        <v>15358</v>
      </c>
      <c r="C8036" s="52"/>
      <c r="D8036" s="55">
        <f t="shared" si="125"/>
        <v>0</v>
      </c>
      <c r="E8036" s="63" t="str">
        <f>HYPERLINK("https://www.sds-group.ru/product/kabel-hdmi-hdmi-2-0-3m-gold-proconnect-17-6105-6/", "Инфо")</f>
        <v>Инфо</v>
      </c>
      <c r="F8036" s="16" t="s">
        <v>39</v>
      </c>
      <c r="G8036" s="15"/>
      <c r="H8036" s="15"/>
      <c r="I8036" s="15"/>
      <c r="J8036" s="16" t="s">
        <v>100</v>
      </c>
      <c r="K8036" s="15" t="s">
        <v>925</v>
      </c>
      <c r="L8036" s="17">
        <v>10</v>
      </c>
      <c r="M8036" s="17">
        <v>80</v>
      </c>
      <c r="N8036" s="17">
        <v>10</v>
      </c>
      <c r="O8036" s="18">
        <v>479.22</v>
      </c>
      <c r="P8036" s="18">
        <v>392.8</v>
      </c>
      <c r="Q8036" s="18">
        <v>335.45</v>
      </c>
      <c r="R8036" s="18">
        <v>274.95999999999998</v>
      </c>
      <c r="S8036" s="18">
        <v>325.87</v>
      </c>
      <c r="T8036" s="18">
        <v>267.11</v>
      </c>
      <c r="U8036" s="16"/>
      <c r="V8036" s="16"/>
      <c r="W8036" s="16"/>
      <c r="X8036" s="19">
        <v>0.123</v>
      </c>
      <c r="Y8036" s="20">
        <v>6.5700000000000003E-4</v>
      </c>
      <c r="Z8036" s="21">
        <v>4601004197169</v>
      </c>
    </row>
    <row r="8037" spans="1:26" ht="12" customHeight="1" outlineLevel="4" x14ac:dyDescent="0.2">
      <c r="A8037" s="14" t="s">
        <v>15359</v>
      </c>
      <c r="B8037" s="26" t="s">
        <v>15360</v>
      </c>
      <c r="C8037" s="52"/>
      <c r="D8037" s="55">
        <f t="shared" si="125"/>
        <v>0</v>
      </c>
      <c r="E8037" s="63" t="str">
        <f>HYPERLINK("https://www.sds-group.ru/product/kabel-hdmi-hdmi-2-0-5m-gold-proconnect-17-6106-6/", "Инфо")</f>
        <v>Инфо</v>
      </c>
      <c r="F8037" s="16" t="s">
        <v>39</v>
      </c>
      <c r="G8037" s="15"/>
      <c r="H8037" s="15"/>
      <c r="I8037" s="15"/>
      <c r="J8037" s="22">
        <v>1518</v>
      </c>
      <c r="K8037" s="15" t="s">
        <v>925</v>
      </c>
      <c r="L8037" s="17">
        <v>10</v>
      </c>
      <c r="M8037" s="17">
        <v>50</v>
      </c>
      <c r="N8037" s="17">
        <v>10</v>
      </c>
      <c r="O8037" s="18">
        <v>609.29</v>
      </c>
      <c r="P8037" s="18">
        <v>499.42</v>
      </c>
      <c r="Q8037" s="18">
        <v>426.5</v>
      </c>
      <c r="R8037" s="18">
        <v>349.59</v>
      </c>
      <c r="S8037" s="18">
        <v>414.32</v>
      </c>
      <c r="T8037" s="18">
        <v>339.61</v>
      </c>
      <c r="U8037" s="16"/>
      <c r="V8037" s="16"/>
      <c r="W8037" s="16"/>
      <c r="X8037" s="19">
        <v>0.215</v>
      </c>
      <c r="Y8037" s="20">
        <v>8.4800000000000001E-4</v>
      </c>
      <c r="Z8037" s="21">
        <v>4601004197176</v>
      </c>
    </row>
    <row r="8038" spans="1:26" ht="12.95" customHeight="1" outlineLevel="3" x14ac:dyDescent="0.2">
      <c r="A8038" s="76" t="s">
        <v>15361</v>
      </c>
      <c r="B8038" s="76"/>
      <c r="C8038" s="77"/>
      <c r="D8038" s="58"/>
      <c r="E8038" s="68"/>
      <c r="F8038" s="13"/>
      <c r="G8038" s="13"/>
      <c r="H8038" s="13"/>
      <c r="I8038" s="13"/>
      <c r="J8038" s="13"/>
      <c r="K8038" s="13"/>
      <c r="L8038" s="13"/>
      <c r="M8038" s="13"/>
      <c r="N8038" s="13"/>
      <c r="O8038" s="13"/>
      <c r="P8038" s="13"/>
      <c r="Q8038" s="13"/>
      <c r="R8038" s="13"/>
      <c r="S8038" s="13"/>
      <c r="T8038" s="13"/>
      <c r="U8038" s="13"/>
      <c r="V8038" s="13"/>
      <c r="W8038" s="13"/>
      <c r="X8038" s="13"/>
      <c r="Y8038" s="13"/>
      <c r="Z8038" s="13"/>
    </row>
    <row r="8039" spans="1:26" ht="12" customHeight="1" outlineLevel="4" x14ac:dyDescent="0.2">
      <c r="A8039" s="14" t="s">
        <v>15362</v>
      </c>
      <c r="B8039" s="26" t="s">
        <v>15363</v>
      </c>
      <c r="C8039" s="52"/>
      <c r="D8039" s="55">
        <f t="shared" si="125"/>
        <v>0</v>
      </c>
      <c r="E8039" s="63" t="str">
        <f>HYPERLINK("https://www.sds-group.ru/product/kabel-hdmi-hdmi-2-1-dlina-1-5m-gold-rexant-17-6003/", "Инфо")</f>
        <v>Инфо</v>
      </c>
      <c r="F8039" s="16" t="s">
        <v>39</v>
      </c>
      <c r="G8039" s="15"/>
      <c r="H8039" s="15"/>
      <c r="I8039" s="15"/>
      <c r="J8039" s="17">
        <v>926</v>
      </c>
      <c r="K8039" s="15" t="s">
        <v>1277</v>
      </c>
      <c r="L8039" s="17">
        <v>1</v>
      </c>
      <c r="M8039" s="17">
        <v>100</v>
      </c>
      <c r="N8039" s="17">
        <v>1</v>
      </c>
      <c r="O8039" s="18">
        <v>964.6</v>
      </c>
      <c r="P8039" s="18">
        <v>790.66</v>
      </c>
      <c r="Q8039" s="18">
        <v>675.22</v>
      </c>
      <c r="R8039" s="18">
        <v>553.46</v>
      </c>
      <c r="S8039" s="18">
        <v>655.93</v>
      </c>
      <c r="T8039" s="18">
        <v>537.65</v>
      </c>
      <c r="U8039" s="16"/>
      <c r="V8039" s="16"/>
      <c r="W8039" s="16"/>
      <c r="X8039" s="19">
        <v>0.123</v>
      </c>
      <c r="Y8039" s="20">
        <v>4.1199999999999999E-4</v>
      </c>
      <c r="Z8039" s="21">
        <v>4601004257870</v>
      </c>
    </row>
    <row r="8040" spans="1:26" ht="12" customHeight="1" outlineLevel="4" x14ac:dyDescent="0.2">
      <c r="A8040" s="14" t="s">
        <v>15364</v>
      </c>
      <c r="B8040" s="26" t="s">
        <v>15365</v>
      </c>
      <c r="C8040" s="52"/>
      <c r="D8040" s="55">
        <f t="shared" si="125"/>
        <v>0</v>
      </c>
      <c r="E8040" s="63" t="str">
        <f>HYPERLINK("https://www.sds-group.ru/product/kabel-hdmi-hdmi-2-1-dlina-1m-gold-rexant-17-6002/", "Инфо")</f>
        <v>Инфо</v>
      </c>
      <c r="F8040" s="16" t="s">
        <v>39</v>
      </c>
      <c r="G8040" s="15"/>
      <c r="H8040" s="15"/>
      <c r="I8040" s="15"/>
      <c r="J8040" s="17">
        <v>216</v>
      </c>
      <c r="K8040" s="15" t="s">
        <v>1277</v>
      </c>
      <c r="L8040" s="17">
        <v>1</v>
      </c>
      <c r="M8040" s="17">
        <v>80</v>
      </c>
      <c r="N8040" s="17">
        <v>1</v>
      </c>
      <c r="O8040" s="18">
        <v>931.03</v>
      </c>
      <c r="P8040" s="18">
        <v>763.14</v>
      </c>
      <c r="Q8040" s="18">
        <v>651.72</v>
      </c>
      <c r="R8040" s="18">
        <v>534.20000000000005</v>
      </c>
      <c r="S8040" s="18">
        <v>633.1</v>
      </c>
      <c r="T8040" s="18">
        <v>518.92999999999995</v>
      </c>
      <c r="U8040" s="16"/>
      <c r="V8040" s="16"/>
      <c r="W8040" s="16"/>
      <c r="X8040" s="19">
        <v>9.4E-2</v>
      </c>
      <c r="Y8040" s="20">
        <v>2.7700000000000001E-4</v>
      </c>
      <c r="Z8040" s="21">
        <v>4601004257900</v>
      </c>
    </row>
    <row r="8041" spans="1:26" ht="12" customHeight="1" outlineLevel="4" x14ac:dyDescent="0.2">
      <c r="A8041" s="14" t="s">
        <v>15366</v>
      </c>
      <c r="B8041" s="26" t="s">
        <v>15367</v>
      </c>
      <c r="C8041" s="52"/>
      <c r="D8041" s="55">
        <f t="shared" si="125"/>
        <v>0</v>
      </c>
      <c r="E8041" s="63" t="str">
        <f>HYPERLINK("https://www.sds-group.ru/product/kabel-hdmi-hdmi-2-1-dlina-2m-gold-rexant-17-6004/", "Инфо")</f>
        <v>Инфо</v>
      </c>
      <c r="F8041" s="16" t="s">
        <v>39</v>
      </c>
      <c r="G8041" s="15"/>
      <c r="H8041" s="15"/>
      <c r="I8041" s="15"/>
      <c r="J8041" s="17">
        <v>575</v>
      </c>
      <c r="K8041" s="15" t="s">
        <v>1277</v>
      </c>
      <c r="L8041" s="17">
        <v>1</v>
      </c>
      <c r="M8041" s="17">
        <v>60</v>
      </c>
      <c r="N8041" s="17">
        <v>1</v>
      </c>
      <c r="O8041" s="18">
        <v>1347.53</v>
      </c>
      <c r="P8041" s="18">
        <v>1104.53</v>
      </c>
      <c r="Q8041" s="18">
        <v>943.27</v>
      </c>
      <c r="R8041" s="18">
        <v>773.17</v>
      </c>
      <c r="S8041" s="18">
        <v>916.32</v>
      </c>
      <c r="T8041" s="18">
        <v>751.08</v>
      </c>
      <c r="U8041" s="16"/>
      <c r="V8041" s="16"/>
      <c r="W8041" s="16"/>
      <c r="X8041" s="19">
        <v>0.222</v>
      </c>
      <c r="Y8041" s="20">
        <v>2.232E-3</v>
      </c>
      <c r="Z8041" s="21">
        <v>4601004257887</v>
      </c>
    </row>
    <row r="8042" spans="1:26" ht="12" customHeight="1" outlineLevel="4" x14ac:dyDescent="0.2">
      <c r="A8042" s="14" t="s">
        <v>15368</v>
      </c>
      <c r="B8042" s="26" t="s">
        <v>15369</v>
      </c>
      <c r="C8042" s="52"/>
      <c r="D8042" s="55">
        <f t="shared" si="125"/>
        <v>0</v>
      </c>
      <c r="E8042" s="63" t="str">
        <f>HYPERLINK("https://www.sds-group.ru/product/kabel-hdmi-hdmi-2-1-dlina-3m-gold-rexant-17-6005/", "Инфо")</f>
        <v>Инфо</v>
      </c>
      <c r="F8042" s="16" t="s">
        <v>39</v>
      </c>
      <c r="G8042" s="15"/>
      <c r="H8042" s="15"/>
      <c r="I8042" s="15"/>
      <c r="J8042" s="17">
        <v>258</v>
      </c>
      <c r="K8042" s="15" t="s">
        <v>1094</v>
      </c>
      <c r="L8042" s="17">
        <v>1</v>
      </c>
      <c r="M8042" s="17">
        <v>60</v>
      </c>
      <c r="N8042" s="17">
        <v>1</v>
      </c>
      <c r="O8042" s="18">
        <v>1466.37</v>
      </c>
      <c r="P8042" s="18">
        <v>1201.94</v>
      </c>
      <c r="Q8042" s="18">
        <v>1026.46</v>
      </c>
      <c r="R8042" s="18">
        <v>841.36</v>
      </c>
      <c r="S8042" s="18">
        <v>997.13</v>
      </c>
      <c r="T8042" s="18">
        <v>817.32</v>
      </c>
      <c r="U8042" s="16"/>
      <c r="V8042" s="16"/>
      <c r="W8042" s="16"/>
      <c r="X8042" s="19">
        <v>0.219</v>
      </c>
      <c r="Y8042" s="20">
        <v>6.9200000000000002E-4</v>
      </c>
      <c r="Z8042" s="21">
        <v>4601004257894</v>
      </c>
    </row>
    <row r="8043" spans="1:26" ht="12.95" customHeight="1" outlineLevel="3" x14ac:dyDescent="0.2">
      <c r="A8043" s="76" t="s">
        <v>15370</v>
      </c>
      <c r="B8043" s="76"/>
      <c r="C8043" s="77"/>
      <c r="D8043" s="58"/>
      <c r="E8043" s="68"/>
      <c r="F8043" s="13"/>
      <c r="G8043" s="13"/>
      <c r="H8043" s="13"/>
      <c r="I8043" s="13"/>
      <c r="J8043" s="13"/>
      <c r="K8043" s="13"/>
      <c r="L8043" s="13"/>
      <c r="M8043" s="13"/>
      <c r="N8043" s="13"/>
      <c r="O8043" s="13"/>
      <c r="P8043" s="13"/>
      <c r="Q8043" s="13"/>
      <c r="R8043" s="13"/>
      <c r="S8043" s="13"/>
      <c r="T8043" s="13"/>
      <c r="U8043" s="13"/>
      <c r="V8043" s="13"/>
      <c r="W8043" s="13"/>
      <c r="X8043" s="13"/>
      <c r="Y8043" s="13"/>
      <c r="Z8043" s="13"/>
    </row>
    <row r="8044" spans="1:26" ht="12" customHeight="1" outlineLevel="4" x14ac:dyDescent="0.2">
      <c r="A8044" s="14" t="s">
        <v>15371</v>
      </c>
      <c r="B8044" s="26" t="s">
        <v>15372</v>
      </c>
      <c r="C8044" s="52"/>
      <c r="D8044" s="55">
        <f t="shared" si="125"/>
        <v>0</v>
      </c>
      <c r="E8044" s="63" t="str">
        <f>HYPERLINK("https://www.sds-group.ru/product/kabel-displayport-hdmi-1-8m-rexant-17-6502/", "Инфо")</f>
        <v>Инфо</v>
      </c>
      <c r="F8044" s="16" t="s">
        <v>39</v>
      </c>
      <c r="G8044" s="15"/>
      <c r="H8044" s="15"/>
      <c r="I8044" s="15"/>
      <c r="J8044" s="22">
        <v>1312</v>
      </c>
      <c r="K8044" s="15"/>
      <c r="L8044" s="17">
        <v>10</v>
      </c>
      <c r="M8044" s="17">
        <v>250</v>
      </c>
      <c r="N8044" s="17">
        <v>10</v>
      </c>
      <c r="O8044" s="18">
        <v>948.66</v>
      </c>
      <c r="P8044" s="18">
        <v>777.59</v>
      </c>
      <c r="Q8044" s="18">
        <v>664.06</v>
      </c>
      <c r="R8044" s="18">
        <v>544.30999999999995</v>
      </c>
      <c r="S8044" s="18">
        <v>645.09</v>
      </c>
      <c r="T8044" s="18">
        <v>528.76</v>
      </c>
      <c r="U8044" s="16"/>
      <c r="V8044" s="16"/>
      <c r="W8044" s="16"/>
      <c r="X8044" s="19">
        <v>7.9000000000000001E-2</v>
      </c>
      <c r="Y8044" s="20">
        <v>3.4600000000000001E-4</v>
      </c>
      <c r="Z8044" s="21">
        <v>4601004224162</v>
      </c>
    </row>
    <row r="8045" spans="1:26" ht="12.95" customHeight="1" outlineLevel="3" x14ac:dyDescent="0.2">
      <c r="A8045" s="76" t="s">
        <v>15373</v>
      </c>
      <c r="B8045" s="76"/>
      <c r="C8045" s="77"/>
      <c r="D8045" s="58"/>
      <c r="E8045" s="68"/>
      <c r="F8045" s="13"/>
      <c r="G8045" s="13"/>
      <c r="H8045" s="13"/>
      <c r="I8045" s="13"/>
      <c r="J8045" s="13"/>
      <c r="K8045" s="13"/>
      <c r="L8045" s="13"/>
      <c r="M8045" s="13"/>
      <c r="N8045" s="13"/>
      <c r="O8045" s="13"/>
      <c r="P8045" s="13"/>
      <c r="Q8045" s="13"/>
      <c r="R8045" s="13"/>
      <c r="S8045" s="13"/>
      <c r="T8045" s="13"/>
      <c r="U8045" s="13"/>
      <c r="V8045" s="13"/>
      <c r="W8045" s="13"/>
      <c r="X8045" s="13"/>
      <c r="Y8045" s="13"/>
      <c r="Z8045" s="13"/>
    </row>
    <row r="8046" spans="1:26" ht="12" customHeight="1" outlineLevel="4" x14ac:dyDescent="0.2">
      <c r="A8046" s="14" t="s">
        <v>15374</v>
      </c>
      <c r="B8046" s="26" t="s">
        <v>15375</v>
      </c>
      <c r="C8046" s="52"/>
      <c r="D8046" s="55">
        <f t="shared" si="125"/>
        <v>0</v>
      </c>
      <c r="E8046" s="63" t="str">
        <f>HYPERLINK("https://www.sds-group.ru/product/kabel-usb-type-c-hdmi-2m-rexant-17-6402/", "Инфо")</f>
        <v>Инфо</v>
      </c>
      <c r="F8046" s="16" t="s">
        <v>39</v>
      </c>
      <c r="G8046" s="15"/>
      <c r="H8046" s="15"/>
      <c r="I8046" s="15"/>
      <c r="J8046" s="16" t="s">
        <v>100</v>
      </c>
      <c r="K8046" s="15" t="s">
        <v>925</v>
      </c>
      <c r="L8046" s="17">
        <v>10</v>
      </c>
      <c r="M8046" s="17">
        <v>100</v>
      </c>
      <c r="N8046" s="17">
        <v>10</v>
      </c>
      <c r="O8046" s="18">
        <v>1617.03</v>
      </c>
      <c r="P8046" s="18">
        <v>1325.43</v>
      </c>
      <c r="Q8046" s="18">
        <v>1131.92</v>
      </c>
      <c r="R8046" s="18">
        <v>927.8</v>
      </c>
      <c r="S8046" s="18">
        <v>1099.58</v>
      </c>
      <c r="T8046" s="18">
        <v>901.3</v>
      </c>
      <c r="U8046" s="16"/>
      <c r="V8046" s="16"/>
      <c r="W8046" s="16"/>
      <c r="X8046" s="19">
        <v>8.5999999999999993E-2</v>
      </c>
      <c r="Y8046" s="20">
        <v>3.6200000000000002E-4</v>
      </c>
      <c r="Z8046" s="21">
        <v>4601004224148</v>
      </c>
    </row>
    <row r="8047" spans="1:26" ht="12.95" customHeight="1" outlineLevel="3" x14ac:dyDescent="0.2">
      <c r="A8047" s="76" t="s">
        <v>15376</v>
      </c>
      <c r="B8047" s="76"/>
      <c r="C8047" s="77"/>
      <c r="D8047" s="58"/>
      <c r="E8047" s="68"/>
      <c r="F8047" s="13"/>
      <c r="G8047" s="13"/>
      <c r="H8047" s="13"/>
      <c r="I8047" s="13"/>
      <c r="J8047" s="13"/>
      <c r="K8047" s="13"/>
      <c r="L8047" s="13"/>
      <c r="M8047" s="13"/>
      <c r="N8047" s="13"/>
      <c r="O8047" s="13"/>
      <c r="P8047" s="13"/>
      <c r="Q8047" s="13"/>
      <c r="R8047" s="13"/>
      <c r="S8047" s="13"/>
      <c r="T8047" s="13"/>
      <c r="U8047" s="13"/>
      <c r="V8047" s="13"/>
      <c r="W8047" s="13"/>
      <c r="X8047" s="13"/>
      <c r="Y8047" s="13"/>
      <c r="Z8047" s="13"/>
    </row>
    <row r="8048" spans="1:26" ht="12" customHeight="1" outlineLevel="4" x14ac:dyDescent="0.2">
      <c r="A8048" s="14" t="s">
        <v>15377</v>
      </c>
      <c r="B8048" s="26" t="s">
        <v>15378</v>
      </c>
      <c r="C8048" s="52"/>
      <c r="D8048" s="55">
        <f t="shared" si="125"/>
        <v>0</v>
      </c>
      <c r="E8048" s="63" t="str">
        <f>HYPERLINK("https://www.sds-group.ru/product/shnur-hdmi-dvi-d-1-5m-gold-s-filtrami-rexant-17-6303/", "Инфо")</f>
        <v>Инфо</v>
      </c>
      <c r="F8048" s="16" t="s">
        <v>39</v>
      </c>
      <c r="G8048" s="15"/>
      <c r="H8048" s="15"/>
      <c r="I8048" s="15"/>
      <c r="J8048" s="22">
        <v>2759</v>
      </c>
      <c r="K8048" s="15" t="s">
        <v>925</v>
      </c>
      <c r="L8048" s="17">
        <v>10</v>
      </c>
      <c r="M8048" s="17">
        <v>60</v>
      </c>
      <c r="N8048" s="17">
        <v>10</v>
      </c>
      <c r="O8048" s="18">
        <v>518.34</v>
      </c>
      <c r="P8048" s="18">
        <v>424.87</v>
      </c>
      <c r="Q8048" s="18">
        <v>362.84</v>
      </c>
      <c r="R8048" s="18">
        <v>297.41000000000003</v>
      </c>
      <c r="S8048" s="18">
        <v>352.47</v>
      </c>
      <c r="T8048" s="18">
        <v>288.91000000000003</v>
      </c>
      <c r="U8048" s="16"/>
      <c r="V8048" s="16"/>
      <c r="W8048" s="16"/>
      <c r="X8048" s="19">
        <v>0.14499999999999999</v>
      </c>
      <c r="Y8048" s="20">
        <v>5.4100000000000003E-4</v>
      </c>
      <c r="Z8048" s="21">
        <v>4610003601409</v>
      </c>
    </row>
    <row r="8049" spans="1:26" ht="12" customHeight="1" outlineLevel="4" x14ac:dyDescent="0.2">
      <c r="A8049" s="14" t="s">
        <v>15379</v>
      </c>
      <c r="B8049" s="26" t="s">
        <v>15380</v>
      </c>
      <c r="C8049" s="52"/>
      <c r="D8049" s="55">
        <f t="shared" si="125"/>
        <v>0</v>
      </c>
      <c r="E8049" s="63" t="str">
        <f>HYPERLINK("https://www.sds-group.ru/product/shnur-hdmi-dvi-d-2m-gold-s-filtrami-rexant-17-6304/", "Инфо")</f>
        <v>Инфо</v>
      </c>
      <c r="F8049" s="16" t="s">
        <v>39</v>
      </c>
      <c r="G8049" s="15"/>
      <c r="H8049" s="15"/>
      <c r="I8049" s="15"/>
      <c r="J8049" s="17">
        <v>885</v>
      </c>
      <c r="K8049" s="15" t="s">
        <v>5369</v>
      </c>
      <c r="L8049" s="17">
        <v>10</v>
      </c>
      <c r="M8049" s="17">
        <v>60</v>
      </c>
      <c r="N8049" s="17">
        <v>10</v>
      </c>
      <c r="O8049" s="18">
        <v>700.71</v>
      </c>
      <c r="P8049" s="18">
        <v>574.35</v>
      </c>
      <c r="Q8049" s="18">
        <v>490.5</v>
      </c>
      <c r="R8049" s="18">
        <v>402.05</v>
      </c>
      <c r="S8049" s="18">
        <v>476.48</v>
      </c>
      <c r="T8049" s="18">
        <v>390.56</v>
      </c>
      <c r="U8049" s="16"/>
      <c r="V8049" s="16"/>
      <c r="W8049" s="16"/>
      <c r="X8049" s="19">
        <v>0.21099999999999999</v>
      </c>
      <c r="Y8049" s="20">
        <v>1.3630000000000001E-3</v>
      </c>
      <c r="Z8049" s="21">
        <v>4610003601416</v>
      </c>
    </row>
    <row r="8050" spans="1:26" ht="12" customHeight="1" outlineLevel="4" x14ac:dyDescent="0.2">
      <c r="A8050" s="14" t="s">
        <v>15381</v>
      </c>
      <c r="B8050" s="26" t="s">
        <v>15382</v>
      </c>
      <c r="C8050" s="52"/>
      <c r="D8050" s="55">
        <f t="shared" si="125"/>
        <v>0</v>
      </c>
      <c r="E8050" s="63" t="str">
        <f>HYPERLINK("https://www.sds-group.ru/product/shnur-hdmi-dvi-d-3m-gold-s-filtrami-rexant-17-6305/", "Инфо")</f>
        <v>Инфо</v>
      </c>
      <c r="F8050" s="16" t="s">
        <v>39</v>
      </c>
      <c r="G8050" s="15"/>
      <c r="H8050" s="15"/>
      <c r="I8050" s="15"/>
      <c r="J8050" s="17">
        <v>961</v>
      </c>
      <c r="K8050" s="15" t="s">
        <v>925</v>
      </c>
      <c r="L8050" s="17">
        <v>10</v>
      </c>
      <c r="M8050" s="17">
        <v>40</v>
      </c>
      <c r="N8050" s="17">
        <v>10</v>
      </c>
      <c r="O8050" s="18">
        <v>698.28</v>
      </c>
      <c r="P8050" s="18">
        <v>572.36</v>
      </c>
      <c r="Q8050" s="18">
        <v>488.8</v>
      </c>
      <c r="R8050" s="18">
        <v>400.66</v>
      </c>
      <c r="S8050" s="18">
        <v>474.83</v>
      </c>
      <c r="T8050" s="18">
        <v>389.2</v>
      </c>
      <c r="U8050" s="16"/>
      <c r="V8050" s="16"/>
      <c r="W8050" s="16"/>
      <c r="X8050" s="19">
        <v>0.27500000000000002</v>
      </c>
      <c r="Y8050" s="20">
        <v>8.8800000000000001E-4</v>
      </c>
      <c r="Z8050" s="21">
        <v>4610003601423</v>
      </c>
    </row>
    <row r="8051" spans="1:26" ht="12" customHeight="1" outlineLevel="4" x14ac:dyDescent="0.2">
      <c r="A8051" s="14" t="s">
        <v>15383</v>
      </c>
      <c r="B8051" s="26" t="s">
        <v>15384</v>
      </c>
      <c r="C8051" s="52"/>
      <c r="D8051" s="55">
        <f t="shared" si="125"/>
        <v>0</v>
      </c>
      <c r="E8051" s="63" t="str">
        <f>HYPERLINK("https://www.sds-group.ru/product/shnur-hdmi-dvi-d-7m-gold-s-filtrami-rexant-17-6307/", "Инфо")</f>
        <v>Инфо</v>
      </c>
      <c r="F8051" s="16" t="s">
        <v>39</v>
      </c>
      <c r="G8051" s="15"/>
      <c r="H8051" s="15"/>
      <c r="I8051" s="15"/>
      <c r="J8051" s="17">
        <v>333</v>
      </c>
      <c r="K8051" s="15" t="s">
        <v>1277</v>
      </c>
      <c r="L8051" s="17">
        <v>5</v>
      </c>
      <c r="M8051" s="17">
        <v>20</v>
      </c>
      <c r="N8051" s="17">
        <v>5</v>
      </c>
      <c r="O8051" s="18">
        <v>1145.01</v>
      </c>
      <c r="P8051" s="18">
        <v>938.53</v>
      </c>
      <c r="Q8051" s="18">
        <v>801.51</v>
      </c>
      <c r="R8051" s="18">
        <v>656.98</v>
      </c>
      <c r="S8051" s="18">
        <v>778.61</v>
      </c>
      <c r="T8051" s="18">
        <v>638.20000000000005</v>
      </c>
      <c r="U8051" s="16"/>
      <c r="V8051" s="16"/>
      <c r="W8051" s="16"/>
      <c r="X8051" s="19">
        <v>0.497</v>
      </c>
      <c r="Y8051" s="20">
        <v>1.7409999999999999E-3</v>
      </c>
      <c r="Z8051" s="21">
        <v>4610003601447</v>
      </c>
    </row>
    <row r="8052" spans="1:26" ht="12.95" customHeight="1" outlineLevel="2" x14ac:dyDescent="0.2">
      <c r="A8052" s="76" t="s">
        <v>15385</v>
      </c>
      <c r="B8052" s="76"/>
      <c r="C8052" s="77"/>
      <c r="D8052" s="58"/>
      <c r="E8052" s="68"/>
      <c r="F8052" s="13"/>
      <c r="G8052" s="13"/>
      <c r="H8052" s="13"/>
      <c r="I8052" s="13"/>
      <c r="J8052" s="13"/>
      <c r="K8052" s="13"/>
      <c r="L8052" s="13"/>
      <c r="M8052" s="13"/>
      <c r="N8052" s="13"/>
      <c r="O8052" s="13"/>
      <c r="P8052" s="13"/>
      <c r="Q8052" s="13"/>
      <c r="R8052" s="13"/>
      <c r="S8052" s="13"/>
      <c r="T8052" s="13"/>
      <c r="U8052" s="13"/>
      <c r="V8052" s="13"/>
      <c r="W8052" s="13"/>
      <c r="X8052" s="13"/>
      <c r="Y8052" s="13"/>
      <c r="Z8052" s="13"/>
    </row>
    <row r="8053" spans="1:26" ht="12.95" customHeight="1" outlineLevel="3" x14ac:dyDescent="0.2">
      <c r="A8053" s="76" t="s">
        <v>15386</v>
      </c>
      <c r="B8053" s="76"/>
      <c r="C8053" s="77"/>
      <c r="D8053" s="58"/>
      <c r="E8053" s="68"/>
      <c r="F8053" s="13"/>
      <c r="G8053" s="13"/>
      <c r="H8053" s="13"/>
      <c r="I8053" s="13"/>
      <c r="J8053" s="13"/>
      <c r="K8053" s="13"/>
      <c r="L8053" s="13"/>
      <c r="M8053" s="13"/>
      <c r="N8053" s="13"/>
      <c r="O8053" s="13"/>
      <c r="P8053" s="13"/>
      <c r="Q8053" s="13"/>
      <c r="R8053" s="13"/>
      <c r="S8053" s="13"/>
      <c r="T8053" s="13"/>
      <c r="U8053" s="13"/>
      <c r="V8053" s="13"/>
      <c r="W8053" s="13"/>
      <c r="X8053" s="13"/>
      <c r="Y8053" s="13"/>
      <c r="Z8053" s="13"/>
    </row>
    <row r="8054" spans="1:26" ht="12" customHeight="1" outlineLevel="4" x14ac:dyDescent="0.2">
      <c r="A8054" s="14" t="s">
        <v>15387</v>
      </c>
      <c r="B8054" s="26" t="s">
        <v>15388</v>
      </c>
      <c r="C8054" s="52"/>
      <c r="D8054" s="55">
        <f t="shared" si="125"/>
        <v>0</v>
      </c>
      <c r="E8054" s="63" t="str">
        <f>HYPERLINK("https://www.sds-group.ru/product/shnur-2-rca-2-rca-1-5m-chernyy-rexant-17-0103/", "Инфо")</f>
        <v>Инфо</v>
      </c>
      <c r="F8054" s="16" t="s">
        <v>39</v>
      </c>
      <c r="G8054" s="15"/>
      <c r="H8054" s="15"/>
      <c r="I8054" s="15"/>
      <c r="J8054" s="17">
        <v>84</v>
      </c>
      <c r="K8054" s="15" t="s">
        <v>1266</v>
      </c>
      <c r="L8054" s="17">
        <v>10</v>
      </c>
      <c r="M8054" s="17">
        <v>200</v>
      </c>
      <c r="N8054" s="17">
        <v>10</v>
      </c>
      <c r="O8054" s="18">
        <v>109.94</v>
      </c>
      <c r="P8054" s="18">
        <v>90.11</v>
      </c>
      <c r="Q8054" s="18">
        <v>93.45</v>
      </c>
      <c r="R8054" s="18">
        <v>76.599999999999994</v>
      </c>
      <c r="S8054" s="18">
        <v>74.760000000000005</v>
      </c>
      <c r="T8054" s="18">
        <v>61.28</v>
      </c>
      <c r="U8054" s="16"/>
      <c r="V8054" s="16"/>
      <c r="W8054" s="16" t="s">
        <v>40</v>
      </c>
      <c r="X8054" s="19">
        <v>4.7E-2</v>
      </c>
      <c r="Y8054" s="20">
        <v>1.2E-4</v>
      </c>
      <c r="Z8054" s="21">
        <v>4610003604332</v>
      </c>
    </row>
    <row r="8055" spans="1:26" ht="12" customHeight="1" outlineLevel="4" x14ac:dyDescent="0.2">
      <c r="A8055" s="14" t="s">
        <v>15389</v>
      </c>
      <c r="B8055" s="26" t="s">
        <v>15388</v>
      </c>
      <c r="C8055" s="52"/>
      <c r="D8055" s="55">
        <f t="shared" si="125"/>
        <v>0</v>
      </c>
      <c r="E8055" s="63" t="str">
        <f>HYPERLINK("https://www.sds-group.ru/product/shnur-2-rca-2-rca-1-5m-chernyy-gold-rexant-17-0143/", "Инфо")</f>
        <v>Инфо</v>
      </c>
      <c r="F8055" s="16" t="s">
        <v>39</v>
      </c>
      <c r="G8055" s="15"/>
      <c r="H8055" s="15"/>
      <c r="I8055" s="15"/>
      <c r="J8055" s="17">
        <v>395</v>
      </c>
      <c r="K8055" s="15" t="s">
        <v>995</v>
      </c>
      <c r="L8055" s="17">
        <v>5</v>
      </c>
      <c r="M8055" s="17">
        <v>100</v>
      </c>
      <c r="N8055" s="17">
        <v>5</v>
      </c>
      <c r="O8055" s="18">
        <v>317.47000000000003</v>
      </c>
      <c r="P8055" s="18">
        <v>260.22000000000003</v>
      </c>
      <c r="Q8055" s="18">
        <v>269.85000000000002</v>
      </c>
      <c r="R8055" s="18">
        <v>221.19</v>
      </c>
      <c r="S8055" s="18">
        <v>215.88</v>
      </c>
      <c r="T8055" s="18">
        <v>176.95</v>
      </c>
      <c r="U8055" s="16"/>
      <c r="V8055" s="16"/>
      <c r="W8055" s="16" t="s">
        <v>40</v>
      </c>
      <c r="X8055" s="19">
        <v>0.1</v>
      </c>
      <c r="Y8055" s="20">
        <v>3.1399999999999999E-4</v>
      </c>
      <c r="Z8055" s="21">
        <v>4610003600297</v>
      </c>
    </row>
    <row r="8056" spans="1:26" ht="12" customHeight="1" outlineLevel="4" x14ac:dyDescent="0.2">
      <c r="A8056" s="14" t="s">
        <v>15390</v>
      </c>
      <c r="B8056" s="26" t="s">
        <v>15391</v>
      </c>
      <c r="C8056" s="52"/>
      <c r="D8056" s="55">
        <f t="shared" si="125"/>
        <v>0</v>
      </c>
      <c r="E8056" s="63" t="str">
        <f>HYPERLINK("https://www.sds-group.ru/product/shnur-2-rca-2-rca-10m-chernyy-gold-rexant-17-0148/", "Инфо")</f>
        <v>Инфо</v>
      </c>
      <c r="F8056" s="16" t="s">
        <v>39</v>
      </c>
      <c r="G8056" s="15"/>
      <c r="H8056" s="15"/>
      <c r="I8056" s="15"/>
      <c r="J8056" s="17">
        <v>321</v>
      </c>
      <c r="K8056" s="15" t="s">
        <v>995</v>
      </c>
      <c r="L8056" s="17">
        <v>5</v>
      </c>
      <c r="M8056" s="17">
        <v>25</v>
      </c>
      <c r="N8056" s="17">
        <v>5</v>
      </c>
      <c r="O8056" s="18">
        <v>1235.55</v>
      </c>
      <c r="P8056" s="18">
        <v>1012.75</v>
      </c>
      <c r="Q8056" s="18">
        <v>864.89</v>
      </c>
      <c r="R8056" s="18">
        <v>708.93</v>
      </c>
      <c r="S8056" s="18">
        <v>840.17</v>
      </c>
      <c r="T8056" s="18">
        <v>688.66</v>
      </c>
      <c r="U8056" s="16"/>
      <c r="V8056" s="16"/>
      <c r="W8056" s="16"/>
      <c r="X8056" s="19">
        <v>0.47699999999999998</v>
      </c>
      <c r="Y8056" s="20">
        <v>9.4600000000000001E-4</v>
      </c>
      <c r="Z8056" s="21">
        <v>4610003604066</v>
      </c>
    </row>
    <row r="8057" spans="1:26" ht="12" customHeight="1" outlineLevel="4" x14ac:dyDescent="0.2">
      <c r="A8057" s="32" t="s">
        <v>15392</v>
      </c>
      <c r="B8057" s="74" t="s">
        <v>15393</v>
      </c>
      <c r="C8057" s="50"/>
      <c r="D8057" s="53">
        <f t="shared" si="125"/>
        <v>0</v>
      </c>
      <c r="E8057" s="60" t="str">
        <f>HYPERLINK("https://www.sds-group.ru/product/shnur-2-rca-2-rca-3m-chernyy-rexant-17-0105/", "Инфо")</f>
        <v>Инфо</v>
      </c>
      <c r="F8057" s="34" t="s">
        <v>39</v>
      </c>
      <c r="G8057" s="33"/>
      <c r="H8057" s="33" t="s">
        <v>40</v>
      </c>
      <c r="I8057" s="33"/>
      <c r="J8057" s="35">
        <v>753</v>
      </c>
      <c r="K8057" s="33"/>
      <c r="L8057" s="35">
        <v>10</v>
      </c>
      <c r="M8057" s="35">
        <v>200</v>
      </c>
      <c r="N8057" s="35">
        <v>10</v>
      </c>
      <c r="O8057" s="36">
        <v>143.46</v>
      </c>
      <c r="P8057" s="36">
        <v>117.59</v>
      </c>
      <c r="Q8057" s="36">
        <v>100.42</v>
      </c>
      <c r="R8057" s="36">
        <v>82.31</v>
      </c>
      <c r="S8057" s="36">
        <v>97.55</v>
      </c>
      <c r="T8057" s="36">
        <v>79.959999999999994</v>
      </c>
      <c r="U8057" s="34"/>
      <c r="V8057" s="34"/>
      <c r="W8057" s="34"/>
      <c r="X8057" s="37">
        <v>7.5999999999999998E-2</v>
      </c>
      <c r="Y8057" s="38">
        <v>1.4100000000000001E-4</v>
      </c>
      <c r="Z8057" s="21">
        <v>4610003604356</v>
      </c>
    </row>
    <row r="8058" spans="1:26" ht="12" customHeight="1" outlineLevel="4" x14ac:dyDescent="0.2">
      <c r="A8058" s="32" t="s">
        <v>15394</v>
      </c>
      <c r="B8058" s="74" t="s">
        <v>15393</v>
      </c>
      <c r="C8058" s="50"/>
      <c r="D8058" s="53">
        <f t="shared" si="125"/>
        <v>0</v>
      </c>
      <c r="E8058" s="60" t="str">
        <f>HYPERLINK("https://www.sds-group.ru/product/shnur-2-rca-2-rca-3m-chernyy-gold-rexant-17-0145/", "Инфо")</f>
        <v>Инфо</v>
      </c>
      <c r="F8058" s="34" t="s">
        <v>39</v>
      </c>
      <c r="G8058" s="33"/>
      <c r="H8058" s="33" t="s">
        <v>40</v>
      </c>
      <c r="I8058" s="33"/>
      <c r="J8058" s="35">
        <v>80</v>
      </c>
      <c r="K8058" s="33"/>
      <c r="L8058" s="35">
        <v>10</v>
      </c>
      <c r="M8058" s="35">
        <v>100</v>
      </c>
      <c r="N8058" s="35">
        <v>10</v>
      </c>
      <c r="O8058" s="36">
        <v>502.47</v>
      </c>
      <c r="P8058" s="36">
        <v>411.86</v>
      </c>
      <c r="Q8058" s="36">
        <v>351.73</v>
      </c>
      <c r="R8058" s="36">
        <v>288.3</v>
      </c>
      <c r="S8058" s="36">
        <v>341.68</v>
      </c>
      <c r="T8058" s="36">
        <v>280.07</v>
      </c>
      <c r="U8058" s="34"/>
      <c r="V8058" s="34"/>
      <c r="W8058" s="34"/>
      <c r="X8058" s="37">
        <v>0.16700000000000001</v>
      </c>
      <c r="Y8058" s="38">
        <v>1.67E-3</v>
      </c>
      <c r="Z8058" s="21">
        <v>4610003600310</v>
      </c>
    </row>
    <row r="8059" spans="1:26" ht="12" customHeight="1" outlineLevel="4" x14ac:dyDescent="0.2">
      <c r="A8059" s="14" t="s">
        <v>15395</v>
      </c>
      <c r="B8059" s="26" t="s">
        <v>15396</v>
      </c>
      <c r="C8059" s="52"/>
      <c r="D8059" s="55">
        <f t="shared" si="125"/>
        <v>0</v>
      </c>
      <c r="E8059" s="63" t="str">
        <f>HYPERLINK("https://www.sds-group.ru/product/shnur-2-rca-2-rca-5m-chernyy-gold-rexant-17-0146/", "Инфо")</f>
        <v>Инфо</v>
      </c>
      <c r="F8059" s="16" t="s">
        <v>39</v>
      </c>
      <c r="G8059" s="15"/>
      <c r="H8059" s="15"/>
      <c r="I8059" s="15"/>
      <c r="J8059" s="17">
        <v>226</v>
      </c>
      <c r="K8059" s="15" t="s">
        <v>1035</v>
      </c>
      <c r="L8059" s="17">
        <v>5</v>
      </c>
      <c r="M8059" s="17">
        <v>50</v>
      </c>
      <c r="N8059" s="17">
        <v>5</v>
      </c>
      <c r="O8059" s="18">
        <v>805.09</v>
      </c>
      <c r="P8059" s="18">
        <v>659.91</v>
      </c>
      <c r="Q8059" s="18">
        <v>563.55999999999995</v>
      </c>
      <c r="R8059" s="18">
        <v>461.93</v>
      </c>
      <c r="S8059" s="18">
        <v>547.46</v>
      </c>
      <c r="T8059" s="18">
        <v>448.74</v>
      </c>
      <c r="U8059" s="16"/>
      <c r="V8059" s="16"/>
      <c r="W8059" s="16"/>
      <c r="X8059" s="19">
        <v>0.26</v>
      </c>
      <c r="Y8059" s="20">
        <v>6.2E-4</v>
      </c>
      <c r="Z8059" s="21">
        <v>4610003600334</v>
      </c>
    </row>
    <row r="8060" spans="1:26" ht="12.95" customHeight="1" outlineLevel="3" x14ac:dyDescent="0.2">
      <c r="A8060" s="76" t="s">
        <v>15397</v>
      </c>
      <c r="B8060" s="76"/>
      <c r="C8060" s="77"/>
      <c r="D8060" s="58"/>
      <c r="E8060" s="68"/>
      <c r="F8060" s="13"/>
      <c r="G8060" s="13"/>
      <c r="H8060" s="13"/>
      <c r="I8060" s="13"/>
      <c r="J8060" s="13"/>
      <c r="K8060" s="13"/>
      <c r="L8060" s="13"/>
      <c r="M8060" s="13"/>
      <c r="N8060" s="13"/>
      <c r="O8060" s="13"/>
      <c r="P8060" s="13"/>
      <c r="Q8060" s="13"/>
      <c r="R8060" s="13"/>
      <c r="S8060" s="13"/>
      <c r="T8060" s="13"/>
      <c r="U8060" s="13"/>
      <c r="V8060" s="13"/>
      <c r="W8060" s="13"/>
      <c r="X8060" s="13"/>
      <c r="Y8060" s="13"/>
      <c r="Z8060" s="13"/>
    </row>
    <row r="8061" spans="1:26" ht="12" customHeight="1" outlineLevel="4" x14ac:dyDescent="0.2">
      <c r="A8061" s="14" t="s">
        <v>15398</v>
      </c>
      <c r="B8061" s="26" t="s">
        <v>15399</v>
      </c>
      <c r="C8061" s="52"/>
      <c r="D8061" s="55">
        <f t="shared" si="125"/>
        <v>0</v>
      </c>
      <c r="E8061" s="63" t="str">
        <f>HYPERLINK("https://www.sds-group.ru/product/shnur-3-rca-3-rca-1-5m-chernyy-rexant-17-0202/", "Инфо")</f>
        <v>Инфо</v>
      </c>
      <c r="F8061" s="16" t="s">
        <v>39</v>
      </c>
      <c r="G8061" s="15"/>
      <c r="H8061" s="15"/>
      <c r="I8061" s="15"/>
      <c r="J8061" s="22">
        <v>10469</v>
      </c>
      <c r="K8061" s="15" t="s">
        <v>1266</v>
      </c>
      <c r="L8061" s="17">
        <v>10</v>
      </c>
      <c r="M8061" s="17">
        <v>250</v>
      </c>
      <c r="N8061" s="17">
        <v>10</v>
      </c>
      <c r="O8061" s="18">
        <v>126.14</v>
      </c>
      <c r="P8061" s="18">
        <v>103.39</v>
      </c>
      <c r="Q8061" s="18">
        <v>107.22</v>
      </c>
      <c r="R8061" s="18">
        <v>87.89</v>
      </c>
      <c r="S8061" s="18">
        <v>85.78</v>
      </c>
      <c r="T8061" s="18">
        <v>70.31</v>
      </c>
      <c r="U8061" s="16"/>
      <c r="V8061" s="16"/>
      <c r="W8061" s="16" t="s">
        <v>40</v>
      </c>
      <c r="X8061" s="19">
        <v>7.0000000000000007E-2</v>
      </c>
      <c r="Y8061" s="20">
        <v>1.4799999999999999E-4</v>
      </c>
      <c r="Z8061" s="21">
        <v>4610003604509</v>
      </c>
    </row>
    <row r="8062" spans="1:26" ht="12" customHeight="1" outlineLevel="4" x14ac:dyDescent="0.2">
      <c r="A8062" s="32" t="s">
        <v>15400</v>
      </c>
      <c r="B8062" s="74" t="s">
        <v>15401</v>
      </c>
      <c r="C8062" s="50"/>
      <c r="D8062" s="53">
        <f t="shared" si="125"/>
        <v>0</v>
      </c>
      <c r="E8062" s="60" t="str">
        <f>HYPERLINK("https://www.sds-group.ru/product/shnur-3-rca-3-rca-5m-chernyy-rexant-17-0205/", "Инфо")</f>
        <v>Инфо</v>
      </c>
      <c r="F8062" s="34" t="s">
        <v>39</v>
      </c>
      <c r="G8062" s="33"/>
      <c r="H8062" s="33" t="s">
        <v>40</v>
      </c>
      <c r="I8062" s="33"/>
      <c r="J8062" s="35">
        <v>285</v>
      </c>
      <c r="K8062" s="33"/>
      <c r="L8062" s="35">
        <v>10</v>
      </c>
      <c r="M8062" s="35">
        <v>100</v>
      </c>
      <c r="N8062" s="35">
        <v>10</v>
      </c>
      <c r="O8062" s="36">
        <v>241.49</v>
      </c>
      <c r="P8062" s="36">
        <v>197.94</v>
      </c>
      <c r="Q8062" s="36">
        <v>169.04</v>
      </c>
      <c r="R8062" s="36">
        <v>138.56</v>
      </c>
      <c r="S8062" s="36">
        <v>164.21</v>
      </c>
      <c r="T8062" s="36">
        <v>134.6</v>
      </c>
      <c r="U8062" s="34"/>
      <c r="V8062" s="34"/>
      <c r="W8062" s="34"/>
      <c r="X8062" s="37">
        <v>0.18</v>
      </c>
      <c r="Y8062" s="38">
        <v>3.4000000000000002E-4</v>
      </c>
      <c r="Z8062" s="21">
        <v>4610003604523</v>
      </c>
    </row>
    <row r="8063" spans="1:26" ht="12" customHeight="1" outlineLevel="4" x14ac:dyDescent="0.2">
      <c r="A8063" s="14" t="s">
        <v>15402</v>
      </c>
      <c r="B8063" s="26" t="s">
        <v>15403</v>
      </c>
      <c r="C8063" s="52"/>
      <c r="D8063" s="55">
        <f t="shared" si="125"/>
        <v>0</v>
      </c>
      <c r="E8063" s="63" t="str">
        <f>HYPERLINK("https://www.sds-group.ru/product/shnur-3-rca-3-rca-1-5m-chernyy-gold-rexant-17-0212/", "Инфо")</f>
        <v>Инфо</v>
      </c>
      <c r="F8063" s="16" t="s">
        <v>39</v>
      </c>
      <c r="G8063" s="15"/>
      <c r="H8063" s="15"/>
      <c r="I8063" s="15"/>
      <c r="J8063" s="17">
        <v>758</v>
      </c>
      <c r="K8063" s="15" t="s">
        <v>1266</v>
      </c>
      <c r="L8063" s="17">
        <v>10</v>
      </c>
      <c r="M8063" s="17">
        <v>100</v>
      </c>
      <c r="N8063" s="17">
        <v>10</v>
      </c>
      <c r="O8063" s="18">
        <v>479.9</v>
      </c>
      <c r="P8063" s="18">
        <v>393.36</v>
      </c>
      <c r="Q8063" s="18">
        <v>407.92</v>
      </c>
      <c r="R8063" s="18">
        <v>334.36</v>
      </c>
      <c r="S8063" s="18">
        <v>326.33</v>
      </c>
      <c r="T8063" s="18">
        <v>267.48</v>
      </c>
      <c r="U8063" s="16"/>
      <c r="V8063" s="16"/>
      <c r="W8063" s="16" t="s">
        <v>40</v>
      </c>
      <c r="X8063" s="19">
        <v>0.14499999999999999</v>
      </c>
      <c r="Y8063" s="20">
        <v>3.8999999999999999E-4</v>
      </c>
      <c r="Z8063" s="21">
        <v>4610003600358</v>
      </c>
    </row>
    <row r="8064" spans="1:26" ht="12" customHeight="1" outlineLevel="4" x14ac:dyDescent="0.2">
      <c r="A8064" s="32" t="s">
        <v>15404</v>
      </c>
      <c r="B8064" s="74" t="s">
        <v>15405</v>
      </c>
      <c r="C8064" s="50"/>
      <c r="D8064" s="53">
        <f t="shared" si="125"/>
        <v>0</v>
      </c>
      <c r="E8064" s="60" t="str">
        <f>HYPERLINK("https://www.sds-group.ru/product/shnur-3-rca-3-rca-3m-chernyy-gold-rexant-17-0214/", "Инфо")</f>
        <v>Инфо</v>
      </c>
      <c r="F8064" s="34" t="s">
        <v>39</v>
      </c>
      <c r="G8064" s="33"/>
      <c r="H8064" s="33" t="s">
        <v>40</v>
      </c>
      <c r="I8064" s="33"/>
      <c r="J8064" s="35">
        <v>599</v>
      </c>
      <c r="K8064" s="33"/>
      <c r="L8064" s="35">
        <v>1</v>
      </c>
      <c r="M8064" s="35">
        <v>100</v>
      </c>
      <c r="N8064" s="35">
        <v>1</v>
      </c>
      <c r="O8064" s="36">
        <v>294.61</v>
      </c>
      <c r="P8064" s="36">
        <v>241.48</v>
      </c>
      <c r="Q8064" s="36">
        <v>206.23</v>
      </c>
      <c r="R8064" s="36">
        <v>169.04</v>
      </c>
      <c r="S8064" s="36">
        <v>200.33</v>
      </c>
      <c r="T8064" s="36">
        <v>164.2</v>
      </c>
      <c r="U8064" s="34"/>
      <c r="V8064" s="34"/>
      <c r="W8064" s="34"/>
      <c r="X8064" s="37">
        <v>0.23100000000000001</v>
      </c>
      <c r="Y8064" s="38">
        <v>5.4699999999999996E-4</v>
      </c>
      <c r="Z8064" s="21">
        <v>4610003600372</v>
      </c>
    </row>
    <row r="8065" spans="1:26" ht="12.95" customHeight="1" outlineLevel="3" x14ac:dyDescent="0.2">
      <c r="A8065" s="76" t="s">
        <v>15406</v>
      </c>
      <c r="B8065" s="76"/>
      <c r="C8065" s="77"/>
      <c r="D8065" s="58"/>
      <c r="E8065" s="68"/>
      <c r="F8065" s="13"/>
      <c r="G8065" s="13"/>
      <c r="H8065" s="13"/>
      <c r="I8065" s="13"/>
      <c r="J8065" s="13"/>
      <c r="K8065" s="13"/>
      <c r="L8065" s="13"/>
      <c r="M8065" s="13"/>
      <c r="N8065" s="13"/>
      <c r="O8065" s="13"/>
      <c r="P8065" s="13"/>
      <c r="Q8065" s="13"/>
      <c r="R8065" s="13"/>
      <c r="S8065" s="13"/>
      <c r="T8065" s="13"/>
      <c r="U8065" s="13"/>
      <c r="V8065" s="13"/>
      <c r="W8065" s="13"/>
      <c r="X8065" s="13"/>
      <c r="Y8065" s="13"/>
      <c r="Z8065" s="13"/>
    </row>
    <row r="8066" spans="1:26" ht="12" customHeight="1" outlineLevel="4" x14ac:dyDescent="0.2">
      <c r="A8066" s="14" t="s">
        <v>15407</v>
      </c>
      <c r="B8066" s="26" t="s">
        <v>15408</v>
      </c>
      <c r="C8066" s="52"/>
      <c r="D8066" s="55">
        <f t="shared" si="125"/>
        <v>0</v>
      </c>
      <c r="E8066" s="63" t="str">
        <f>HYPERLINK("https://www.sds-group.ru/product/shnur-stereo-3-5mm-2-rca-1-5m-rexant-17-4202/", "Инфо")</f>
        <v>Инфо</v>
      </c>
      <c r="F8066" s="16" t="s">
        <v>39</v>
      </c>
      <c r="G8066" s="15"/>
      <c r="H8066" s="15"/>
      <c r="I8066" s="15"/>
      <c r="J8066" s="22">
        <v>4241</v>
      </c>
      <c r="K8066" s="15" t="s">
        <v>1266</v>
      </c>
      <c r="L8066" s="17">
        <v>10</v>
      </c>
      <c r="M8066" s="17">
        <v>400</v>
      </c>
      <c r="N8066" s="17">
        <v>10</v>
      </c>
      <c r="O8066" s="18">
        <v>96.12</v>
      </c>
      <c r="P8066" s="18">
        <v>78.790000000000006</v>
      </c>
      <c r="Q8066" s="18">
        <v>81.7</v>
      </c>
      <c r="R8066" s="18">
        <v>66.97</v>
      </c>
      <c r="S8066" s="18">
        <v>65.36</v>
      </c>
      <c r="T8066" s="18">
        <v>53.57</v>
      </c>
      <c r="U8066" s="16"/>
      <c r="V8066" s="16"/>
      <c r="W8066" s="16" t="s">
        <v>40</v>
      </c>
      <c r="X8066" s="19">
        <v>4.2999999999999997E-2</v>
      </c>
      <c r="Y8066" s="20">
        <v>9.7999999999999997E-5</v>
      </c>
      <c r="Z8066" s="21">
        <v>4610003604769</v>
      </c>
    </row>
    <row r="8067" spans="1:26" ht="12" customHeight="1" outlineLevel="4" x14ac:dyDescent="0.2">
      <c r="A8067" s="14" t="s">
        <v>15409</v>
      </c>
      <c r="B8067" s="26" t="s">
        <v>15410</v>
      </c>
      <c r="C8067" s="52"/>
      <c r="D8067" s="55">
        <f t="shared" si="125"/>
        <v>0</v>
      </c>
      <c r="E8067" s="63" t="str">
        <f>HYPERLINK("https://www.sds-group.ru/product/shnur-stereo-3-5mm-2-rca-1-2m-smartkip-17-4202-8/", "Инфо")</f>
        <v>Инфо</v>
      </c>
      <c r="F8067" s="16" t="s">
        <v>39</v>
      </c>
      <c r="G8067" s="15"/>
      <c r="H8067" s="15"/>
      <c r="I8067" s="15"/>
      <c r="J8067" s="22">
        <v>29074</v>
      </c>
      <c r="K8067" s="15"/>
      <c r="L8067" s="17">
        <v>10</v>
      </c>
      <c r="M8067" s="17">
        <v>500</v>
      </c>
      <c r="N8067" s="17">
        <v>10</v>
      </c>
      <c r="O8067" s="18">
        <v>88.36</v>
      </c>
      <c r="P8067" s="18">
        <v>72.430000000000007</v>
      </c>
      <c r="Q8067" s="18">
        <v>61.85</v>
      </c>
      <c r="R8067" s="18">
        <v>50.7</v>
      </c>
      <c r="S8067" s="18">
        <v>60.08</v>
      </c>
      <c r="T8067" s="18">
        <v>49.25</v>
      </c>
      <c r="U8067" s="16"/>
      <c r="V8067" s="16"/>
      <c r="W8067" s="16"/>
      <c r="X8067" s="19">
        <v>3.3000000000000002E-2</v>
      </c>
      <c r="Y8067" s="20">
        <v>7.2999999999999999E-5</v>
      </c>
      <c r="Z8067" s="21">
        <v>4601004257603</v>
      </c>
    </row>
    <row r="8068" spans="1:26" ht="12" customHeight="1" outlineLevel="4" x14ac:dyDescent="0.2">
      <c r="A8068" s="14" t="s">
        <v>15411</v>
      </c>
      <c r="B8068" s="26" t="s">
        <v>15412</v>
      </c>
      <c r="C8068" s="52"/>
      <c r="D8068" s="55">
        <f t="shared" si="125"/>
        <v>0</v>
      </c>
      <c r="E8068" s="63" t="str">
        <f>HYPERLINK("https://www.sds-group.ru/product/shnur-stereo-3-5mm-2-rca-3m-rexant-17-4204/", "Инфо")</f>
        <v>Инфо</v>
      </c>
      <c r="F8068" s="16" t="s">
        <v>39</v>
      </c>
      <c r="G8068" s="15"/>
      <c r="H8068" s="15"/>
      <c r="I8068" s="15"/>
      <c r="J8068" s="22">
        <v>3135</v>
      </c>
      <c r="K8068" s="15" t="s">
        <v>1266</v>
      </c>
      <c r="L8068" s="17">
        <v>10</v>
      </c>
      <c r="M8068" s="17">
        <v>200</v>
      </c>
      <c r="N8068" s="17">
        <v>10</v>
      </c>
      <c r="O8068" s="18">
        <v>125.08</v>
      </c>
      <c r="P8068" s="18">
        <v>102.52</v>
      </c>
      <c r="Q8068" s="18">
        <v>87.56</v>
      </c>
      <c r="R8068" s="18">
        <v>71.77</v>
      </c>
      <c r="S8068" s="18">
        <v>85.05</v>
      </c>
      <c r="T8068" s="18">
        <v>69.709999999999994</v>
      </c>
      <c r="U8068" s="16"/>
      <c r="V8068" s="16"/>
      <c r="W8068" s="16"/>
      <c r="X8068" s="19">
        <v>7.2999999999999995E-2</v>
      </c>
      <c r="Y8068" s="20">
        <v>1.56E-4</v>
      </c>
      <c r="Z8068" s="21">
        <v>4610003604783</v>
      </c>
    </row>
    <row r="8069" spans="1:26" ht="12" customHeight="1" outlineLevel="4" x14ac:dyDescent="0.2">
      <c r="A8069" s="32" t="s">
        <v>15413</v>
      </c>
      <c r="B8069" s="74" t="s">
        <v>15414</v>
      </c>
      <c r="C8069" s="50"/>
      <c r="D8069" s="53">
        <f t="shared" si="125"/>
        <v>0</v>
      </c>
      <c r="E8069" s="60" t="str">
        <f>HYPERLINK("https://www.sds-group.ru/product/shnur-stereo-3-5mm-2-rca-7m-rexant-17-4206/", "Инфо")</f>
        <v>Инфо</v>
      </c>
      <c r="F8069" s="34" t="s">
        <v>39</v>
      </c>
      <c r="G8069" s="33"/>
      <c r="H8069" s="33" t="s">
        <v>40</v>
      </c>
      <c r="I8069" s="33"/>
      <c r="J8069" s="35">
        <v>800</v>
      </c>
      <c r="K8069" s="33"/>
      <c r="L8069" s="35">
        <v>10</v>
      </c>
      <c r="M8069" s="35">
        <v>100</v>
      </c>
      <c r="N8069" s="35">
        <v>10</v>
      </c>
      <c r="O8069" s="36">
        <v>131.52000000000001</v>
      </c>
      <c r="P8069" s="36">
        <v>107.8</v>
      </c>
      <c r="Q8069" s="36">
        <v>92.06</v>
      </c>
      <c r="R8069" s="36">
        <v>75.459999999999994</v>
      </c>
      <c r="S8069" s="36">
        <v>89.43</v>
      </c>
      <c r="T8069" s="36">
        <v>73.3</v>
      </c>
      <c r="U8069" s="34"/>
      <c r="V8069" s="34"/>
      <c r="W8069" s="34"/>
      <c r="X8069" s="37">
        <v>0.154</v>
      </c>
      <c r="Y8069" s="38">
        <v>3.1500000000000001E-4</v>
      </c>
      <c r="Z8069" s="21">
        <v>4660008016968</v>
      </c>
    </row>
    <row r="8070" spans="1:26" ht="12" customHeight="1" outlineLevel="4" x14ac:dyDescent="0.2">
      <c r="A8070" s="14" t="s">
        <v>15415</v>
      </c>
      <c r="B8070" s="26" t="s">
        <v>15416</v>
      </c>
      <c r="C8070" s="52"/>
      <c r="D8070" s="55">
        <f t="shared" si="125"/>
        <v>0</v>
      </c>
      <c r="E8070" s="63" t="str">
        <f>HYPERLINK("https://www.sds-group.ru/product/shnur-stereo-3-5mm-2-rca-1-5m-gold-rexant-17-4232/", "Инфо")</f>
        <v>Инфо</v>
      </c>
      <c r="F8070" s="16" t="s">
        <v>39</v>
      </c>
      <c r="G8070" s="15"/>
      <c r="H8070" s="15"/>
      <c r="I8070" s="15"/>
      <c r="J8070" s="22">
        <v>1816</v>
      </c>
      <c r="K8070" s="15"/>
      <c r="L8070" s="17">
        <v>10</v>
      </c>
      <c r="M8070" s="17">
        <v>150</v>
      </c>
      <c r="N8070" s="17">
        <v>10</v>
      </c>
      <c r="O8070" s="18">
        <v>305.94</v>
      </c>
      <c r="P8070" s="18">
        <v>250.77</v>
      </c>
      <c r="Q8070" s="18">
        <v>260.05</v>
      </c>
      <c r="R8070" s="18">
        <v>213.16</v>
      </c>
      <c r="S8070" s="18">
        <v>208.04</v>
      </c>
      <c r="T8070" s="18">
        <v>170.52</v>
      </c>
      <c r="U8070" s="16"/>
      <c r="V8070" s="16"/>
      <c r="W8070" s="16" t="s">
        <v>40</v>
      </c>
      <c r="X8070" s="19">
        <v>6.9000000000000006E-2</v>
      </c>
      <c r="Y8070" s="20">
        <v>2.5099999999999998E-4</v>
      </c>
      <c r="Z8070" s="21">
        <v>4610003601157</v>
      </c>
    </row>
    <row r="8071" spans="1:26" ht="12" customHeight="1" outlineLevel="4" x14ac:dyDescent="0.2">
      <c r="A8071" s="14" t="s">
        <v>15417</v>
      </c>
      <c r="B8071" s="26" t="s">
        <v>15418</v>
      </c>
      <c r="C8071" s="52"/>
      <c r="D8071" s="55">
        <f t="shared" si="125"/>
        <v>0</v>
      </c>
      <c r="E8071" s="63" t="str">
        <f>HYPERLINK("https://www.sds-group.ru/product/shnur-stereo-3-5mm-2-rca-1-5m-gold-metall-rexant-17-4222/", "Инфо")</f>
        <v>Инфо</v>
      </c>
      <c r="F8071" s="16" t="s">
        <v>39</v>
      </c>
      <c r="G8071" s="15"/>
      <c r="H8071" s="15"/>
      <c r="I8071" s="15"/>
      <c r="J8071" s="17">
        <v>549</v>
      </c>
      <c r="K8071" s="15"/>
      <c r="L8071" s="17">
        <v>10</v>
      </c>
      <c r="M8071" s="17">
        <v>100</v>
      </c>
      <c r="N8071" s="17">
        <v>10</v>
      </c>
      <c r="O8071" s="18">
        <v>499.69</v>
      </c>
      <c r="P8071" s="18">
        <v>409.58</v>
      </c>
      <c r="Q8071" s="18">
        <v>399.75</v>
      </c>
      <c r="R8071" s="18">
        <v>327.66000000000003</v>
      </c>
      <c r="S8071" s="18">
        <v>339.79</v>
      </c>
      <c r="T8071" s="18">
        <v>278.52</v>
      </c>
      <c r="U8071" s="16"/>
      <c r="V8071" s="16"/>
      <c r="W8071" s="16" t="s">
        <v>40</v>
      </c>
      <c r="X8071" s="19">
        <v>0.105</v>
      </c>
      <c r="Y8071" s="20">
        <v>3.4499999999999998E-4</v>
      </c>
      <c r="Z8071" s="21">
        <v>4610003601218</v>
      </c>
    </row>
    <row r="8072" spans="1:26" ht="12" customHeight="1" outlineLevel="4" x14ac:dyDescent="0.2">
      <c r="A8072" s="14" t="s">
        <v>15419</v>
      </c>
      <c r="B8072" s="26" t="s">
        <v>15420</v>
      </c>
      <c r="C8072" s="52"/>
      <c r="D8072" s="55">
        <f t="shared" si="125"/>
        <v>0</v>
      </c>
      <c r="E8072" s="63" t="str">
        <f>HYPERLINK("https://www.sds-group.ru/product/shnur-stereo-3-5mm-2-rca-3m-gold-rexant-17-4234/", "Инфо")</f>
        <v>Инфо</v>
      </c>
      <c r="F8072" s="16" t="s">
        <v>39</v>
      </c>
      <c r="G8072" s="15"/>
      <c r="H8072" s="15"/>
      <c r="I8072" s="15"/>
      <c r="J8072" s="17">
        <v>368</v>
      </c>
      <c r="K8072" s="15"/>
      <c r="L8072" s="17">
        <v>10</v>
      </c>
      <c r="M8072" s="17">
        <v>100</v>
      </c>
      <c r="N8072" s="17">
        <v>10</v>
      </c>
      <c r="O8072" s="18">
        <v>383.88</v>
      </c>
      <c r="P8072" s="18">
        <v>314.66000000000003</v>
      </c>
      <c r="Q8072" s="18">
        <v>326.3</v>
      </c>
      <c r="R8072" s="18">
        <v>267.45999999999998</v>
      </c>
      <c r="S8072" s="18">
        <v>261.04000000000002</v>
      </c>
      <c r="T8072" s="18">
        <v>213.97</v>
      </c>
      <c r="U8072" s="16"/>
      <c r="V8072" s="16"/>
      <c r="W8072" s="16" t="s">
        <v>40</v>
      </c>
      <c r="X8072" s="19">
        <v>0.107</v>
      </c>
      <c r="Y8072" s="20">
        <v>3.4099999999999999E-4</v>
      </c>
      <c r="Z8072" s="21">
        <v>4610003601164</v>
      </c>
    </row>
    <row r="8073" spans="1:26" ht="12" customHeight="1" outlineLevel="4" x14ac:dyDescent="0.2">
      <c r="A8073" s="14" t="s">
        <v>15421</v>
      </c>
      <c r="B8073" s="26" t="s">
        <v>15422</v>
      </c>
      <c r="C8073" s="52"/>
      <c r="D8073" s="55">
        <f t="shared" ref="D8073:D8135" si="126">C8073*(O8073-O8073*$G$3)</f>
        <v>0</v>
      </c>
      <c r="E8073" s="63" t="str">
        <f>HYPERLINK("https://www.sds-group.ru/product/shnur-stereo-3-5mm-2-rca-3m-gold-metall-rexant-17-4224/", "Инфо")</f>
        <v>Инфо</v>
      </c>
      <c r="F8073" s="16" t="s">
        <v>39</v>
      </c>
      <c r="G8073" s="15"/>
      <c r="H8073" s="15"/>
      <c r="I8073" s="15"/>
      <c r="J8073" s="17">
        <v>844</v>
      </c>
      <c r="K8073" s="15"/>
      <c r="L8073" s="17">
        <v>10</v>
      </c>
      <c r="M8073" s="17">
        <v>100</v>
      </c>
      <c r="N8073" s="17">
        <v>10</v>
      </c>
      <c r="O8073" s="18">
        <v>578.47</v>
      </c>
      <c r="P8073" s="18">
        <v>474.16</v>
      </c>
      <c r="Q8073" s="18">
        <v>462.78</v>
      </c>
      <c r="R8073" s="18">
        <v>379.33</v>
      </c>
      <c r="S8073" s="18">
        <v>393.36</v>
      </c>
      <c r="T8073" s="18">
        <v>322.43</v>
      </c>
      <c r="U8073" s="16"/>
      <c r="V8073" s="16"/>
      <c r="W8073" s="16" t="s">
        <v>40</v>
      </c>
      <c r="X8073" s="19">
        <v>0.17100000000000001</v>
      </c>
      <c r="Y8073" s="20">
        <v>5.7600000000000001E-4</v>
      </c>
      <c r="Z8073" s="21">
        <v>4610003601225</v>
      </c>
    </row>
    <row r="8074" spans="1:26" ht="12" customHeight="1" outlineLevel="4" x14ac:dyDescent="0.2">
      <c r="A8074" s="32" t="s">
        <v>15423</v>
      </c>
      <c r="B8074" s="74" t="s">
        <v>15424</v>
      </c>
      <c r="C8074" s="50"/>
      <c r="D8074" s="53">
        <f t="shared" si="126"/>
        <v>0</v>
      </c>
      <c r="E8074" s="60" t="str">
        <f>HYPERLINK("https://www.sds-group.ru/product/shnur-stereo-3-5mm-4c-3-rca-1-5m-dvuhtsvetnyy-shteker-gold-rexant-17-4412/", "Инфо")</f>
        <v>Инфо</v>
      </c>
      <c r="F8074" s="34" t="s">
        <v>39</v>
      </c>
      <c r="G8074" s="33"/>
      <c r="H8074" s="33" t="s">
        <v>40</v>
      </c>
      <c r="I8074" s="33"/>
      <c r="J8074" s="39">
        <v>4664</v>
      </c>
      <c r="K8074" s="33"/>
      <c r="L8074" s="35">
        <v>10</v>
      </c>
      <c r="M8074" s="35">
        <v>200</v>
      </c>
      <c r="N8074" s="35">
        <v>10</v>
      </c>
      <c r="O8074" s="36">
        <v>206.83</v>
      </c>
      <c r="P8074" s="36">
        <v>169.53</v>
      </c>
      <c r="Q8074" s="36">
        <v>144.78</v>
      </c>
      <c r="R8074" s="36">
        <v>118.67</v>
      </c>
      <c r="S8074" s="36">
        <v>140.63999999999999</v>
      </c>
      <c r="T8074" s="36">
        <v>115.28</v>
      </c>
      <c r="U8074" s="34"/>
      <c r="V8074" s="34"/>
      <c r="W8074" s="34"/>
      <c r="X8074" s="37">
        <v>8.2000000000000003E-2</v>
      </c>
      <c r="Y8074" s="38">
        <v>2.8600000000000001E-4</v>
      </c>
      <c r="Z8074" s="21">
        <v>4610003601249</v>
      </c>
    </row>
    <row r="8075" spans="1:26" ht="12" customHeight="1" outlineLevel="4" x14ac:dyDescent="0.2">
      <c r="A8075" s="32" t="s">
        <v>15425</v>
      </c>
      <c r="B8075" s="74" t="s">
        <v>15426</v>
      </c>
      <c r="C8075" s="50"/>
      <c r="D8075" s="53">
        <f t="shared" si="126"/>
        <v>0</v>
      </c>
      <c r="E8075" s="60" t="str">
        <f>HYPERLINK("https://www.sds-group.ru/product/shnur-stereo-3-5mm-4c-3-rca-1-5m-gold-rexant-17-4412-4/", "Инфо")</f>
        <v>Инфо</v>
      </c>
      <c r="F8075" s="34" t="s">
        <v>39</v>
      </c>
      <c r="G8075" s="33"/>
      <c r="H8075" s="33" t="s">
        <v>40</v>
      </c>
      <c r="I8075" s="33"/>
      <c r="J8075" s="39">
        <v>2418</v>
      </c>
      <c r="K8075" s="33"/>
      <c r="L8075" s="35">
        <v>10</v>
      </c>
      <c r="M8075" s="35">
        <v>200</v>
      </c>
      <c r="N8075" s="35">
        <v>10</v>
      </c>
      <c r="O8075" s="36">
        <v>184.34</v>
      </c>
      <c r="P8075" s="36">
        <v>151.1</v>
      </c>
      <c r="Q8075" s="36">
        <v>129.04</v>
      </c>
      <c r="R8075" s="36">
        <v>105.77</v>
      </c>
      <c r="S8075" s="36">
        <v>125.35</v>
      </c>
      <c r="T8075" s="36">
        <v>102.75</v>
      </c>
      <c r="U8075" s="34"/>
      <c r="V8075" s="34"/>
      <c r="W8075" s="34"/>
      <c r="X8075" s="37">
        <v>7.0000000000000007E-2</v>
      </c>
      <c r="Y8075" s="38">
        <v>1.75E-4</v>
      </c>
      <c r="Z8075" s="21">
        <v>4660008017071</v>
      </c>
    </row>
    <row r="8076" spans="1:26" ht="12.95" customHeight="1" outlineLevel="2" x14ac:dyDescent="0.2">
      <c r="A8076" s="76" t="s">
        <v>15427</v>
      </c>
      <c r="B8076" s="76"/>
      <c r="C8076" s="77"/>
      <c r="D8076" s="58"/>
      <c r="E8076" s="68"/>
      <c r="F8076" s="13"/>
      <c r="G8076" s="13"/>
      <c r="H8076" s="13"/>
      <c r="I8076" s="13"/>
      <c r="J8076" s="13"/>
      <c r="K8076" s="13"/>
      <c r="L8076" s="13"/>
      <c r="M8076" s="13"/>
      <c r="N8076" s="13"/>
      <c r="O8076" s="13"/>
      <c r="P8076" s="13"/>
      <c r="Q8076" s="13"/>
      <c r="R8076" s="13"/>
      <c r="S8076" s="13"/>
      <c r="T8076" s="13"/>
      <c r="U8076" s="13"/>
      <c r="V8076" s="13"/>
      <c r="W8076" s="13"/>
      <c r="X8076" s="13"/>
      <c r="Y8076" s="13"/>
      <c r="Z8076" s="13"/>
    </row>
    <row r="8077" spans="1:26" ht="12" customHeight="1" outlineLevel="3" x14ac:dyDescent="0.2">
      <c r="A8077" s="14" t="s">
        <v>15428</v>
      </c>
      <c r="B8077" s="26" t="s">
        <v>15429</v>
      </c>
      <c r="C8077" s="52"/>
      <c r="D8077" s="55">
        <f t="shared" si="126"/>
        <v>0</v>
      </c>
      <c r="E8077" s="63" t="str">
        <f>HYPERLINK("https://www.sds-group.ru/product/shnur-stereo-3-5mm-gnezdo-stereo-3-5mm-shteker-1-5m-rexant-17-4003/", "Инфо")</f>
        <v>Инфо</v>
      </c>
      <c r="F8077" s="16" t="s">
        <v>39</v>
      </c>
      <c r="G8077" s="15"/>
      <c r="H8077" s="15"/>
      <c r="I8077" s="15"/>
      <c r="J8077" s="17">
        <v>958</v>
      </c>
      <c r="K8077" s="15" t="s">
        <v>1004</v>
      </c>
      <c r="L8077" s="17">
        <v>10</v>
      </c>
      <c r="M8077" s="17">
        <v>400</v>
      </c>
      <c r="N8077" s="17">
        <v>10</v>
      </c>
      <c r="O8077" s="18">
        <v>115.2</v>
      </c>
      <c r="P8077" s="18">
        <v>94.43</v>
      </c>
      <c r="Q8077" s="18">
        <v>97.92</v>
      </c>
      <c r="R8077" s="18">
        <v>80.260000000000005</v>
      </c>
      <c r="S8077" s="18">
        <v>78.34</v>
      </c>
      <c r="T8077" s="18">
        <v>64.209999999999994</v>
      </c>
      <c r="U8077" s="16"/>
      <c r="V8077" s="16"/>
      <c r="W8077" s="16" t="s">
        <v>40</v>
      </c>
      <c r="X8077" s="19">
        <v>3.9E-2</v>
      </c>
      <c r="Y8077" s="20">
        <v>8.7999999999999998E-5</v>
      </c>
      <c r="Z8077" s="21">
        <v>4610003604714</v>
      </c>
    </row>
    <row r="8078" spans="1:26" ht="12" customHeight="1" outlineLevel="3" x14ac:dyDescent="0.2">
      <c r="A8078" s="14" t="s">
        <v>15430</v>
      </c>
      <c r="B8078" s="26" t="s">
        <v>15431</v>
      </c>
      <c r="C8078" s="52"/>
      <c r="D8078" s="55">
        <f t="shared" si="126"/>
        <v>0</v>
      </c>
      <c r="E8078" s="63" t="str">
        <f>HYPERLINK("https://www.sds-group.ru/product/shnur-stereo-3-5mm-gnezdo-stereo-3-5mm-shteker-10m-rexant-17-4008/", "Инфо")</f>
        <v>Инфо</v>
      </c>
      <c r="F8078" s="16" t="s">
        <v>39</v>
      </c>
      <c r="G8078" s="15"/>
      <c r="H8078" s="15"/>
      <c r="I8078" s="15"/>
      <c r="J8078" s="17">
        <v>174</v>
      </c>
      <c r="K8078" s="15" t="s">
        <v>995</v>
      </c>
      <c r="L8078" s="17">
        <v>10</v>
      </c>
      <c r="M8078" s="17">
        <v>50</v>
      </c>
      <c r="N8078" s="17">
        <v>10</v>
      </c>
      <c r="O8078" s="18">
        <v>354.04</v>
      </c>
      <c r="P8078" s="18">
        <v>290.2</v>
      </c>
      <c r="Q8078" s="18">
        <v>247.83</v>
      </c>
      <c r="R8078" s="18">
        <v>203.14</v>
      </c>
      <c r="S8078" s="18">
        <v>240.75</v>
      </c>
      <c r="T8078" s="18">
        <v>197.34</v>
      </c>
      <c r="U8078" s="16"/>
      <c r="V8078" s="16"/>
      <c r="W8078" s="16"/>
      <c r="X8078" s="19">
        <v>0.2</v>
      </c>
      <c r="Y8078" s="20">
        <v>4.2400000000000001E-4</v>
      </c>
      <c r="Z8078" s="21">
        <v>4610003604752</v>
      </c>
    </row>
    <row r="8079" spans="1:26" ht="12" customHeight="1" outlineLevel="3" x14ac:dyDescent="0.2">
      <c r="A8079" s="14" t="s">
        <v>15432</v>
      </c>
      <c r="B8079" s="26" t="s">
        <v>15433</v>
      </c>
      <c r="C8079" s="52"/>
      <c r="D8079" s="55">
        <f t="shared" si="126"/>
        <v>0</v>
      </c>
      <c r="E8079" s="63" t="str">
        <f>HYPERLINK("https://www.sds-group.ru/product/shnur-stereo-3-5mm-gnezdo-stereo-3-5mm-shteker-3m-rexant-17-4005/", "Инфо")</f>
        <v>Инфо</v>
      </c>
      <c r="F8079" s="16" t="s">
        <v>39</v>
      </c>
      <c r="G8079" s="15"/>
      <c r="H8079" s="15"/>
      <c r="I8079" s="15"/>
      <c r="J8079" s="17">
        <v>559</v>
      </c>
      <c r="K8079" s="15" t="s">
        <v>1004</v>
      </c>
      <c r="L8079" s="17">
        <v>10</v>
      </c>
      <c r="M8079" s="17">
        <v>200</v>
      </c>
      <c r="N8079" s="17">
        <v>10</v>
      </c>
      <c r="O8079" s="18">
        <v>153.74</v>
      </c>
      <c r="P8079" s="18">
        <v>126.02</v>
      </c>
      <c r="Q8079" s="18">
        <v>130.68</v>
      </c>
      <c r="R8079" s="18">
        <v>107.11</v>
      </c>
      <c r="S8079" s="18">
        <v>104.54</v>
      </c>
      <c r="T8079" s="18">
        <v>85.69</v>
      </c>
      <c r="U8079" s="16"/>
      <c r="V8079" s="16"/>
      <c r="W8079" s="16" t="s">
        <v>40</v>
      </c>
      <c r="X8079" s="19">
        <v>6.6000000000000003E-2</v>
      </c>
      <c r="Y8079" s="20">
        <v>1.5899999999999999E-4</v>
      </c>
      <c r="Z8079" s="21">
        <v>4610003604721</v>
      </c>
    </row>
    <row r="8080" spans="1:26" ht="12" customHeight="1" outlineLevel="3" x14ac:dyDescent="0.2">
      <c r="A8080" s="14" t="s">
        <v>15434</v>
      </c>
      <c r="B8080" s="26" t="s">
        <v>15435</v>
      </c>
      <c r="C8080" s="52"/>
      <c r="D8080" s="55">
        <f t="shared" si="126"/>
        <v>0</v>
      </c>
      <c r="E8080" s="63" t="str">
        <f>HYPERLINK("https://www.sds-group.ru/product/shnur-stereo-3-5mm-gnezdo-stereo-3-5mm-shteker-7m-rexant-17-4007/", "Инфо")</f>
        <v>Инфо</v>
      </c>
      <c r="F8080" s="16" t="s">
        <v>39</v>
      </c>
      <c r="G8080" s="15"/>
      <c r="H8080" s="15"/>
      <c r="I8080" s="15"/>
      <c r="J8080" s="17">
        <v>430</v>
      </c>
      <c r="K8080" s="15" t="s">
        <v>1266</v>
      </c>
      <c r="L8080" s="17">
        <v>5</v>
      </c>
      <c r="M8080" s="17">
        <v>100</v>
      </c>
      <c r="N8080" s="17">
        <v>5</v>
      </c>
      <c r="O8080" s="18">
        <v>335.97</v>
      </c>
      <c r="P8080" s="18">
        <v>275.39</v>
      </c>
      <c r="Q8080" s="18">
        <v>285.57</v>
      </c>
      <c r="R8080" s="18">
        <v>234.07</v>
      </c>
      <c r="S8080" s="18">
        <v>228.46</v>
      </c>
      <c r="T8080" s="18">
        <v>187.26</v>
      </c>
      <c r="U8080" s="16"/>
      <c r="V8080" s="16"/>
      <c r="W8080" s="16" t="s">
        <v>40</v>
      </c>
      <c r="X8080" s="19">
        <v>0.14299999999999999</v>
      </c>
      <c r="Y8080" s="20">
        <v>3.5199999999999999E-4</v>
      </c>
      <c r="Z8080" s="21">
        <v>4610003604745</v>
      </c>
    </row>
    <row r="8081" spans="1:26" ht="12" customHeight="1" outlineLevel="3" x14ac:dyDescent="0.2">
      <c r="A8081" s="14" t="s">
        <v>15436</v>
      </c>
      <c r="B8081" s="26" t="s">
        <v>15437</v>
      </c>
      <c r="C8081" s="52"/>
      <c r="D8081" s="55">
        <f t="shared" si="126"/>
        <v>0</v>
      </c>
      <c r="E8081" s="63" t="str">
        <f>HYPERLINK("https://www.sds-group.ru/product/shnur-stereo-3-5mm-shteker-stereo-3-5mm-shteker-0-5m-rexant-17-4100/", "Инфо")</f>
        <v>Инфо</v>
      </c>
      <c r="F8081" s="16" t="s">
        <v>39</v>
      </c>
      <c r="G8081" s="15"/>
      <c r="H8081" s="15"/>
      <c r="I8081" s="15"/>
      <c r="J8081" s="22">
        <v>2446</v>
      </c>
      <c r="K8081" s="15"/>
      <c r="L8081" s="17">
        <v>10</v>
      </c>
      <c r="M8081" s="17">
        <v>500</v>
      </c>
      <c r="N8081" s="17">
        <v>10</v>
      </c>
      <c r="O8081" s="18">
        <v>77.319999999999993</v>
      </c>
      <c r="P8081" s="18">
        <v>63.38</v>
      </c>
      <c r="Q8081" s="18">
        <v>65.72</v>
      </c>
      <c r="R8081" s="18">
        <v>53.87</v>
      </c>
      <c r="S8081" s="18">
        <v>52.58</v>
      </c>
      <c r="T8081" s="18">
        <v>43.1</v>
      </c>
      <c r="U8081" s="16"/>
      <c r="V8081" s="16"/>
      <c r="W8081" s="16" t="s">
        <v>40</v>
      </c>
      <c r="X8081" s="19">
        <v>1.9E-2</v>
      </c>
      <c r="Y8081" s="20">
        <v>5.1E-5</v>
      </c>
      <c r="Z8081" s="21">
        <v>4601004000827</v>
      </c>
    </row>
    <row r="8082" spans="1:26" ht="12" customHeight="1" outlineLevel="3" x14ac:dyDescent="0.2">
      <c r="A8082" s="14" t="s">
        <v>15438</v>
      </c>
      <c r="B8082" s="26" t="s">
        <v>15439</v>
      </c>
      <c r="C8082" s="52"/>
      <c r="D8082" s="55">
        <f t="shared" si="126"/>
        <v>0</v>
      </c>
      <c r="E8082" s="63" t="str">
        <f>HYPERLINK("https://www.sds-group.ru/product/shnur-stereo-3-5mm-shteker-stereo-3-5mm-shteker-1-5m-rexant-17-4102/", "Инфо")</f>
        <v>Инфо</v>
      </c>
      <c r="F8082" s="16" t="s">
        <v>39</v>
      </c>
      <c r="G8082" s="15"/>
      <c r="H8082" s="15"/>
      <c r="I8082" s="15"/>
      <c r="J8082" s="22">
        <v>7692</v>
      </c>
      <c r="K8082" s="15"/>
      <c r="L8082" s="17">
        <v>10</v>
      </c>
      <c r="M8082" s="17">
        <v>400</v>
      </c>
      <c r="N8082" s="17">
        <v>10</v>
      </c>
      <c r="O8082" s="18">
        <v>110.91</v>
      </c>
      <c r="P8082" s="18">
        <v>90.91</v>
      </c>
      <c r="Q8082" s="18">
        <v>94.27</v>
      </c>
      <c r="R8082" s="18">
        <v>77.27</v>
      </c>
      <c r="S8082" s="18">
        <v>75.42</v>
      </c>
      <c r="T8082" s="18">
        <v>61.82</v>
      </c>
      <c r="U8082" s="16"/>
      <c r="V8082" s="16"/>
      <c r="W8082" s="16" t="s">
        <v>40</v>
      </c>
      <c r="X8082" s="19">
        <v>3.7999999999999999E-2</v>
      </c>
      <c r="Y8082" s="20">
        <v>8.3999999999999995E-5</v>
      </c>
      <c r="Z8082" s="21">
        <v>4610003604691</v>
      </c>
    </row>
    <row r="8083" spans="1:26" ht="12" customHeight="1" outlineLevel="3" x14ac:dyDescent="0.2">
      <c r="A8083" s="14" t="s">
        <v>15440</v>
      </c>
      <c r="B8083" s="26" t="s">
        <v>15441</v>
      </c>
      <c r="C8083" s="52"/>
      <c r="D8083" s="55">
        <f t="shared" si="126"/>
        <v>0</v>
      </c>
      <c r="E8083" s="63" t="str">
        <f>HYPERLINK("https://www.sds-group.ru/product/shnur-stereo-3-5mm-shteker-stereo-3-5mm-shteker-3m-rexant-17-4104/", "Инфо")</f>
        <v>Инфо</v>
      </c>
      <c r="F8083" s="16" t="s">
        <v>39</v>
      </c>
      <c r="G8083" s="15"/>
      <c r="H8083" s="15"/>
      <c r="I8083" s="15"/>
      <c r="J8083" s="22">
        <v>1435</v>
      </c>
      <c r="K8083" s="15" t="s">
        <v>1266</v>
      </c>
      <c r="L8083" s="17">
        <v>10</v>
      </c>
      <c r="M8083" s="17">
        <v>250</v>
      </c>
      <c r="N8083" s="17">
        <v>10</v>
      </c>
      <c r="O8083" s="18">
        <v>151.62</v>
      </c>
      <c r="P8083" s="18">
        <v>124.28</v>
      </c>
      <c r="Q8083" s="18">
        <v>128.88</v>
      </c>
      <c r="R8083" s="18">
        <v>105.64</v>
      </c>
      <c r="S8083" s="18">
        <v>103.1</v>
      </c>
      <c r="T8083" s="18">
        <v>84.51</v>
      </c>
      <c r="U8083" s="16"/>
      <c r="V8083" s="16"/>
      <c r="W8083" s="16" t="s">
        <v>40</v>
      </c>
      <c r="X8083" s="19">
        <v>6.9000000000000006E-2</v>
      </c>
      <c r="Y8083" s="20">
        <v>1.46E-4</v>
      </c>
      <c r="Z8083" s="21">
        <v>4610003604707</v>
      </c>
    </row>
    <row r="8084" spans="1:26" ht="12" customHeight="1" outlineLevel="3" x14ac:dyDescent="0.2">
      <c r="A8084" s="14" t="s">
        <v>15442</v>
      </c>
      <c r="B8084" s="26" t="s">
        <v>15443</v>
      </c>
      <c r="C8084" s="52"/>
      <c r="D8084" s="55">
        <f t="shared" si="126"/>
        <v>0</v>
      </c>
      <c r="E8084" s="63" t="str">
        <f>HYPERLINK("https://www.sds-group.ru/product/shnur-stereo-3-5mm-shteker-stereo-3-5mm-shteker-5m-rexant-17-4105/", "Инфо")</f>
        <v>Инфо</v>
      </c>
      <c r="F8084" s="16" t="s">
        <v>39</v>
      </c>
      <c r="G8084" s="15"/>
      <c r="H8084" s="15"/>
      <c r="I8084" s="15"/>
      <c r="J8084" s="22">
        <v>1562</v>
      </c>
      <c r="K8084" s="15"/>
      <c r="L8084" s="17">
        <v>10</v>
      </c>
      <c r="M8084" s="17">
        <v>200</v>
      </c>
      <c r="N8084" s="17">
        <v>10</v>
      </c>
      <c r="O8084" s="18">
        <v>205.64</v>
      </c>
      <c r="P8084" s="18">
        <v>168.56</v>
      </c>
      <c r="Q8084" s="18">
        <v>174.79</v>
      </c>
      <c r="R8084" s="18">
        <v>143.27000000000001</v>
      </c>
      <c r="S8084" s="18">
        <v>139.84</v>
      </c>
      <c r="T8084" s="18">
        <v>114.62</v>
      </c>
      <c r="U8084" s="16"/>
      <c r="V8084" s="16"/>
      <c r="W8084" s="16" t="s">
        <v>40</v>
      </c>
      <c r="X8084" s="19">
        <v>0.10299999999999999</v>
      </c>
      <c r="Y8084" s="20">
        <v>2.0699999999999999E-4</v>
      </c>
      <c r="Z8084" s="21">
        <v>4601004001145</v>
      </c>
    </row>
    <row r="8085" spans="1:26" ht="12.95" customHeight="1" outlineLevel="2" x14ac:dyDescent="0.2">
      <c r="A8085" s="76" t="s">
        <v>15444</v>
      </c>
      <c r="B8085" s="76"/>
      <c r="C8085" s="77"/>
      <c r="D8085" s="58"/>
      <c r="E8085" s="68"/>
      <c r="F8085" s="13"/>
      <c r="G8085" s="13"/>
      <c r="H8085" s="13"/>
      <c r="I8085" s="13"/>
      <c r="J8085" s="13"/>
      <c r="K8085" s="13"/>
      <c r="L8085" s="13"/>
      <c r="M8085" s="13"/>
      <c r="N8085" s="13"/>
      <c r="O8085" s="13"/>
      <c r="P8085" s="13"/>
      <c r="Q8085" s="13"/>
      <c r="R8085" s="13"/>
      <c r="S8085" s="13"/>
      <c r="T8085" s="13"/>
      <c r="U8085" s="13"/>
      <c r="V8085" s="13"/>
      <c r="W8085" s="13"/>
      <c r="X8085" s="13"/>
      <c r="Y8085" s="13"/>
      <c r="Z8085" s="13"/>
    </row>
    <row r="8086" spans="1:26" ht="12" customHeight="1" outlineLevel="3" x14ac:dyDescent="0.2">
      <c r="A8086" s="14" t="s">
        <v>15445</v>
      </c>
      <c r="B8086" s="26" t="s">
        <v>15446</v>
      </c>
      <c r="C8086" s="52"/>
      <c r="D8086" s="55">
        <f t="shared" si="126"/>
        <v>0</v>
      </c>
      <c r="E8086" s="63" t="str">
        <f>HYPERLINK("https://www.sds-group.ru/product/shnur-vga-vga-s-ferritami-1-8m-chernyy-proconnect-17-5503-6/", "Инфо")</f>
        <v>Инфо</v>
      </c>
      <c r="F8086" s="16" t="s">
        <v>39</v>
      </c>
      <c r="G8086" s="15"/>
      <c r="H8086" s="15"/>
      <c r="I8086" s="15"/>
      <c r="J8086" s="22">
        <v>2390</v>
      </c>
      <c r="K8086" s="15"/>
      <c r="L8086" s="17">
        <v>10</v>
      </c>
      <c r="M8086" s="17">
        <v>100</v>
      </c>
      <c r="N8086" s="17">
        <v>10</v>
      </c>
      <c r="O8086" s="18">
        <v>445.22</v>
      </c>
      <c r="P8086" s="18">
        <v>364.93</v>
      </c>
      <c r="Q8086" s="18">
        <v>356.18</v>
      </c>
      <c r="R8086" s="18">
        <v>291.95</v>
      </c>
      <c r="S8086" s="18">
        <v>302.75</v>
      </c>
      <c r="T8086" s="18">
        <v>248.16</v>
      </c>
      <c r="U8086" s="16"/>
      <c r="V8086" s="16"/>
      <c r="W8086" s="16" t="s">
        <v>40</v>
      </c>
      <c r="X8086" s="19">
        <v>0.13500000000000001</v>
      </c>
      <c r="Y8086" s="20">
        <v>3.6000000000000002E-4</v>
      </c>
      <c r="Z8086" s="21">
        <v>4601004002494</v>
      </c>
    </row>
    <row r="8087" spans="1:26" ht="12" customHeight="1" outlineLevel="3" x14ac:dyDescent="0.2">
      <c r="A8087" s="14" t="s">
        <v>15447</v>
      </c>
      <c r="B8087" s="26" t="s">
        <v>15448</v>
      </c>
      <c r="C8087" s="52"/>
      <c r="D8087" s="55">
        <f t="shared" si="126"/>
        <v>0</v>
      </c>
      <c r="E8087" s="63" t="str">
        <f>HYPERLINK("https://www.sds-group.ru/product/shnur-vga-vga-s-ferritami-3m-chernyy-proconnect-17-5505-6/", "Инфо")</f>
        <v>Инфо</v>
      </c>
      <c r="F8087" s="16" t="s">
        <v>39</v>
      </c>
      <c r="G8087" s="15"/>
      <c r="H8087" s="15"/>
      <c r="I8087" s="15"/>
      <c r="J8087" s="17">
        <v>582</v>
      </c>
      <c r="K8087" s="15"/>
      <c r="L8087" s="17">
        <v>10</v>
      </c>
      <c r="M8087" s="17">
        <v>100</v>
      </c>
      <c r="N8087" s="17">
        <v>10</v>
      </c>
      <c r="O8087" s="18">
        <v>729.16</v>
      </c>
      <c r="P8087" s="18">
        <v>597.66999999999996</v>
      </c>
      <c r="Q8087" s="18">
        <v>583.33000000000004</v>
      </c>
      <c r="R8087" s="18">
        <v>478.14</v>
      </c>
      <c r="S8087" s="18">
        <v>495.83</v>
      </c>
      <c r="T8087" s="18">
        <v>406.42</v>
      </c>
      <c r="U8087" s="16"/>
      <c r="V8087" s="16"/>
      <c r="W8087" s="16" t="s">
        <v>40</v>
      </c>
      <c r="X8087" s="19">
        <v>0.18099999999999999</v>
      </c>
      <c r="Y8087" s="20">
        <v>3.8699999999999997E-4</v>
      </c>
      <c r="Z8087" s="21">
        <v>4601004002487</v>
      </c>
    </row>
    <row r="8088" spans="1:26" ht="12.95" customHeight="1" outlineLevel="2" x14ac:dyDescent="0.2">
      <c r="A8088" s="76" t="s">
        <v>15449</v>
      </c>
      <c r="B8088" s="76"/>
      <c r="C8088" s="77"/>
      <c r="D8088" s="58"/>
      <c r="E8088" s="68"/>
      <c r="F8088" s="13"/>
      <c r="G8088" s="13"/>
      <c r="H8088" s="13"/>
      <c r="I8088" s="13"/>
      <c r="J8088" s="13"/>
      <c r="K8088" s="13"/>
      <c r="L8088" s="13"/>
      <c r="M8088" s="13"/>
      <c r="N8088" s="13"/>
      <c r="O8088" s="13"/>
      <c r="P8088" s="13"/>
      <c r="Q8088" s="13"/>
      <c r="R8088" s="13"/>
      <c r="S8088" s="13"/>
      <c r="T8088" s="13"/>
      <c r="U8088" s="13"/>
      <c r="V8088" s="13"/>
      <c r="W8088" s="13"/>
      <c r="X8088" s="13"/>
      <c r="Y8088" s="13"/>
      <c r="Z8088" s="13"/>
    </row>
    <row r="8089" spans="1:26" ht="12" customHeight="1" outlineLevel="3" x14ac:dyDescent="0.2">
      <c r="A8089" s="32" t="s">
        <v>15450</v>
      </c>
      <c r="B8089" s="74" t="s">
        <v>15451</v>
      </c>
      <c r="C8089" s="50"/>
      <c r="D8089" s="53">
        <f t="shared" si="126"/>
        <v>0</v>
      </c>
      <c r="E8089" s="60" t="str">
        <f>HYPERLINK("https://www.sds-group.ru/product/shnur-toslink-toslink-1-5m-rexant-17-0802/", "Инфо")</f>
        <v>Инфо</v>
      </c>
      <c r="F8089" s="34" t="s">
        <v>39</v>
      </c>
      <c r="G8089" s="33"/>
      <c r="H8089" s="33" t="s">
        <v>40</v>
      </c>
      <c r="I8089" s="33"/>
      <c r="J8089" s="39">
        <v>1047</v>
      </c>
      <c r="K8089" s="33"/>
      <c r="L8089" s="35">
        <v>10</v>
      </c>
      <c r="M8089" s="35">
        <v>200</v>
      </c>
      <c r="N8089" s="35">
        <v>10</v>
      </c>
      <c r="O8089" s="36">
        <v>353.16</v>
      </c>
      <c r="P8089" s="36">
        <v>289.48</v>
      </c>
      <c r="Q8089" s="36">
        <v>247.21</v>
      </c>
      <c r="R8089" s="36">
        <v>202.63</v>
      </c>
      <c r="S8089" s="36">
        <v>240.15</v>
      </c>
      <c r="T8089" s="36">
        <v>196.84</v>
      </c>
      <c r="U8089" s="34"/>
      <c r="V8089" s="34"/>
      <c r="W8089" s="34"/>
      <c r="X8089" s="37">
        <v>3.7999999999999999E-2</v>
      </c>
      <c r="Y8089" s="38">
        <v>1.4999999999999999E-4</v>
      </c>
      <c r="Z8089" s="21">
        <v>4660008015510</v>
      </c>
    </row>
    <row r="8090" spans="1:26" ht="12" customHeight="1" outlineLevel="3" x14ac:dyDescent="0.2">
      <c r="A8090" s="32" t="s">
        <v>15452</v>
      </c>
      <c r="B8090" s="74" t="s">
        <v>15453</v>
      </c>
      <c r="C8090" s="50"/>
      <c r="D8090" s="53">
        <f t="shared" si="126"/>
        <v>0</v>
      </c>
      <c r="E8090" s="60" t="str">
        <f>HYPERLINK("https://www.sds-group.ru/product/shnur-toslink-toslink-3m-rexant-17-0804/", "Инфо")</f>
        <v>Инфо</v>
      </c>
      <c r="F8090" s="34" t="s">
        <v>39</v>
      </c>
      <c r="G8090" s="33"/>
      <c r="H8090" s="33" t="s">
        <v>40</v>
      </c>
      <c r="I8090" s="33"/>
      <c r="J8090" s="35">
        <v>745</v>
      </c>
      <c r="K8090" s="33"/>
      <c r="L8090" s="35">
        <v>10</v>
      </c>
      <c r="M8090" s="35">
        <v>200</v>
      </c>
      <c r="N8090" s="35">
        <v>10</v>
      </c>
      <c r="O8090" s="36">
        <v>267.22000000000003</v>
      </c>
      <c r="P8090" s="36">
        <v>219.03</v>
      </c>
      <c r="Q8090" s="36">
        <v>187.05</v>
      </c>
      <c r="R8090" s="36">
        <v>153.32</v>
      </c>
      <c r="S8090" s="36">
        <v>181.71</v>
      </c>
      <c r="T8090" s="36">
        <v>148.94</v>
      </c>
      <c r="U8090" s="34"/>
      <c r="V8090" s="34"/>
      <c r="W8090" s="34"/>
      <c r="X8090" s="37">
        <v>6.5000000000000002E-2</v>
      </c>
      <c r="Y8090" s="38">
        <v>1.8200000000000001E-4</v>
      </c>
      <c r="Z8090" s="21">
        <v>4660008015527</v>
      </c>
    </row>
    <row r="8091" spans="1:26" ht="12.95" customHeight="1" outlineLevel="2" x14ac:dyDescent="0.2">
      <c r="A8091" s="76" t="s">
        <v>15454</v>
      </c>
      <c r="B8091" s="76"/>
      <c r="C8091" s="77"/>
      <c r="D8091" s="58"/>
      <c r="E8091" s="68"/>
      <c r="F8091" s="13"/>
      <c r="G8091" s="13"/>
      <c r="H8091" s="13"/>
      <c r="I8091" s="13"/>
      <c r="J8091" s="13"/>
      <c r="K8091" s="13"/>
      <c r="L8091" s="13"/>
      <c r="M8091" s="13"/>
      <c r="N8091" s="13"/>
      <c r="O8091" s="13"/>
      <c r="P8091" s="13"/>
      <c r="Q8091" s="13"/>
      <c r="R8091" s="13"/>
      <c r="S8091" s="13"/>
      <c r="T8091" s="13"/>
      <c r="U8091" s="13"/>
      <c r="V8091" s="13"/>
      <c r="W8091" s="13"/>
      <c r="X8091" s="13"/>
      <c r="Y8091" s="13"/>
      <c r="Z8091" s="13"/>
    </row>
    <row r="8092" spans="1:26" ht="12" customHeight="1" outlineLevel="3" x14ac:dyDescent="0.2">
      <c r="A8092" s="14" t="s">
        <v>15455</v>
      </c>
      <c r="B8092" s="26" t="s">
        <v>15456</v>
      </c>
      <c r="C8092" s="52"/>
      <c r="D8092" s="55">
        <f t="shared" si="126"/>
        <v>0</v>
      </c>
      <c r="E8092" s="63" t="str">
        <f>HYPERLINK("https://www.sds-group.ru/product/shnur-din-5-pin-2-rca-1-2m-rexant-17-2512-4/", "Инфо")</f>
        <v>Инфо</v>
      </c>
      <c r="F8092" s="16" t="s">
        <v>39</v>
      </c>
      <c r="G8092" s="15"/>
      <c r="H8092" s="15"/>
      <c r="I8092" s="15"/>
      <c r="J8092" s="22">
        <v>1777</v>
      </c>
      <c r="K8092" s="15"/>
      <c r="L8092" s="17">
        <v>10</v>
      </c>
      <c r="M8092" s="17">
        <v>250</v>
      </c>
      <c r="N8092" s="17">
        <v>10</v>
      </c>
      <c r="O8092" s="18">
        <v>319.17</v>
      </c>
      <c r="P8092" s="18">
        <v>261.61</v>
      </c>
      <c r="Q8092" s="18">
        <v>223.42</v>
      </c>
      <c r="R8092" s="18">
        <v>183.13</v>
      </c>
      <c r="S8092" s="18">
        <v>217.04</v>
      </c>
      <c r="T8092" s="18">
        <v>177.9</v>
      </c>
      <c r="U8092" s="16"/>
      <c r="V8092" s="16"/>
      <c r="W8092" s="16"/>
      <c r="X8092" s="19">
        <v>4.2999999999999997E-2</v>
      </c>
      <c r="Y8092" s="20">
        <v>1.16E-4</v>
      </c>
      <c r="Z8092" s="21">
        <v>4660008015541</v>
      </c>
    </row>
    <row r="8093" spans="1:26" ht="12" customHeight="1" outlineLevel="3" x14ac:dyDescent="0.2">
      <c r="A8093" s="14" t="s">
        <v>15457</v>
      </c>
      <c r="B8093" s="26" t="s">
        <v>15458</v>
      </c>
      <c r="C8093" s="52"/>
      <c r="D8093" s="55">
        <f t="shared" si="126"/>
        <v>0</v>
      </c>
      <c r="E8093" s="63" t="str">
        <f>HYPERLINK("https://www.sds-group.ru/product/shnur-din-5-pin-din-5-pin-1-2m-rexant-17-2522-4/", "Инфо")</f>
        <v>Инфо</v>
      </c>
      <c r="F8093" s="16" t="s">
        <v>39</v>
      </c>
      <c r="G8093" s="15"/>
      <c r="H8093" s="15"/>
      <c r="I8093" s="15"/>
      <c r="J8093" s="22">
        <v>2509</v>
      </c>
      <c r="K8093" s="15" t="s">
        <v>1004</v>
      </c>
      <c r="L8093" s="17">
        <v>10</v>
      </c>
      <c r="M8093" s="17">
        <v>200</v>
      </c>
      <c r="N8093" s="17">
        <v>10</v>
      </c>
      <c r="O8093" s="18">
        <v>196.1</v>
      </c>
      <c r="P8093" s="18">
        <v>160.74</v>
      </c>
      <c r="Q8093" s="18">
        <v>137.27000000000001</v>
      </c>
      <c r="R8093" s="18">
        <v>112.52</v>
      </c>
      <c r="S8093" s="18">
        <v>133.35</v>
      </c>
      <c r="T8093" s="18">
        <v>109.3</v>
      </c>
      <c r="U8093" s="16"/>
      <c r="V8093" s="16"/>
      <c r="W8093" s="16"/>
      <c r="X8093" s="19">
        <v>5.2999999999999999E-2</v>
      </c>
      <c r="Y8093" s="20">
        <v>1.2E-4</v>
      </c>
      <c r="Z8093" s="21">
        <v>4660008015534</v>
      </c>
    </row>
    <row r="8094" spans="1:26" ht="12" customHeight="1" outlineLevel="3" x14ac:dyDescent="0.2">
      <c r="A8094" s="14" t="s">
        <v>15459</v>
      </c>
      <c r="B8094" s="26" t="s">
        <v>15460</v>
      </c>
      <c r="C8094" s="52"/>
      <c r="D8094" s="55">
        <f t="shared" si="126"/>
        <v>0</v>
      </c>
      <c r="E8094" s="63" t="str">
        <f>HYPERLINK("https://www.sds-group.ru/product/shnur-din-5-pin-stereo-3-5mm-1-2m-rexant-17-2502-4/", "Инфо")</f>
        <v>Инфо</v>
      </c>
      <c r="F8094" s="16" t="s">
        <v>39</v>
      </c>
      <c r="G8094" s="15"/>
      <c r="H8094" s="15"/>
      <c r="I8094" s="15"/>
      <c r="J8094" s="16" t="s">
        <v>100</v>
      </c>
      <c r="K8094" s="15" t="s">
        <v>1004</v>
      </c>
      <c r="L8094" s="17">
        <v>5</v>
      </c>
      <c r="M8094" s="17">
        <v>250</v>
      </c>
      <c r="N8094" s="17">
        <v>5</v>
      </c>
      <c r="O8094" s="18">
        <v>172.78</v>
      </c>
      <c r="P8094" s="18">
        <v>141.62</v>
      </c>
      <c r="Q8094" s="18">
        <v>120.95</v>
      </c>
      <c r="R8094" s="18">
        <v>99.14</v>
      </c>
      <c r="S8094" s="18">
        <v>117.49</v>
      </c>
      <c r="T8094" s="18">
        <v>96.3</v>
      </c>
      <c r="U8094" s="16"/>
      <c r="V8094" s="16"/>
      <c r="W8094" s="16"/>
      <c r="X8094" s="19">
        <v>4.1000000000000002E-2</v>
      </c>
      <c r="Y8094" s="20">
        <v>1.12E-4</v>
      </c>
      <c r="Z8094" s="21">
        <v>4660008015558</v>
      </c>
    </row>
    <row r="8095" spans="1:26" ht="12" customHeight="1" outlineLevel="3" x14ac:dyDescent="0.2">
      <c r="A8095" s="14" t="s">
        <v>15461</v>
      </c>
      <c r="B8095" s="26" t="s">
        <v>15462</v>
      </c>
      <c r="C8095" s="52"/>
      <c r="D8095" s="55">
        <f t="shared" si="126"/>
        <v>0</v>
      </c>
      <c r="E8095" s="63" t="str">
        <f>HYPERLINK("https://www.sds-group.ru/product/shnur-din-5-pin-2-rca-1-5m-gold-rexant-17-2512/", "Инфо")</f>
        <v>Инфо</v>
      </c>
      <c r="F8095" s="16" t="s">
        <v>39</v>
      </c>
      <c r="G8095" s="15"/>
      <c r="H8095" s="15"/>
      <c r="I8095" s="15"/>
      <c r="J8095" s="17">
        <v>915</v>
      </c>
      <c r="K8095" s="15" t="s">
        <v>1004</v>
      </c>
      <c r="L8095" s="17">
        <v>10</v>
      </c>
      <c r="M8095" s="17">
        <v>200</v>
      </c>
      <c r="N8095" s="17">
        <v>10</v>
      </c>
      <c r="O8095" s="18">
        <v>288.32</v>
      </c>
      <c r="P8095" s="18">
        <v>236.33</v>
      </c>
      <c r="Q8095" s="18">
        <v>245.07</v>
      </c>
      <c r="R8095" s="18">
        <v>200.88</v>
      </c>
      <c r="S8095" s="18">
        <v>196.06</v>
      </c>
      <c r="T8095" s="18">
        <v>160.69999999999999</v>
      </c>
      <c r="U8095" s="16"/>
      <c r="V8095" s="16"/>
      <c r="W8095" s="16" t="s">
        <v>40</v>
      </c>
      <c r="X8095" s="19">
        <v>6.0999999999999999E-2</v>
      </c>
      <c r="Y8095" s="20">
        <v>2.2800000000000001E-4</v>
      </c>
      <c r="Z8095" s="21">
        <v>4610003604110</v>
      </c>
    </row>
    <row r="8096" spans="1:26" ht="12" customHeight="1" outlineLevel="3" x14ac:dyDescent="0.2">
      <c r="A8096" s="14" t="s">
        <v>15463</v>
      </c>
      <c r="B8096" s="26" t="s">
        <v>15464</v>
      </c>
      <c r="C8096" s="52"/>
      <c r="D8096" s="55">
        <f t="shared" si="126"/>
        <v>0</v>
      </c>
      <c r="E8096" s="63" t="str">
        <f>HYPERLINK("https://www.sds-group.ru/product/shnur-din-5-pin-din-5-pin-1-5m-gold-rexant-17-2522/", "Инфо")</f>
        <v>Инфо</v>
      </c>
      <c r="F8096" s="16" t="s">
        <v>39</v>
      </c>
      <c r="G8096" s="15"/>
      <c r="H8096" s="15"/>
      <c r="I8096" s="15"/>
      <c r="J8096" s="17">
        <v>978</v>
      </c>
      <c r="K8096" s="15" t="s">
        <v>998</v>
      </c>
      <c r="L8096" s="17">
        <v>10</v>
      </c>
      <c r="M8096" s="17">
        <v>200</v>
      </c>
      <c r="N8096" s="17">
        <v>10</v>
      </c>
      <c r="O8096" s="18">
        <v>339.85</v>
      </c>
      <c r="P8096" s="18">
        <v>278.57</v>
      </c>
      <c r="Q8096" s="18">
        <v>237.9</v>
      </c>
      <c r="R8096" s="18">
        <v>195</v>
      </c>
      <c r="S8096" s="18">
        <v>231.1</v>
      </c>
      <c r="T8096" s="18">
        <v>189.43</v>
      </c>
      <c r="U8096" s="16"/>
      <c r="V8096" s="16"/>
      <c r="W8096" s="16"/>
      <c r="X8096" s="19">
        <v>6.7000000000000004E-2</v>
      </c>
      <c r="Y8096" s="20">
        <v>1.9900000000000001E-4</v>
      </c>
      <c r="Z8096" s="21">
        <v>4610003606138</v>
      </c>
    </row>
    <row r="8097" spans="1:26" ht="12" customHeight="1" outlineLevel="3" x14ac:dyDescent="0.2">
      <c r="A8097" s="14" t="s">
        <v>15465</v>
      </c>
      <c r="B8097" s="26" t="s">
        <v>15466</v>
      </c>
      <c r="C8097" s="52"/>
      <c r="D8097" s="55">
        <f t="shared" si="126"/>
        <v>0</v>
      </c>
      <c r="E8097" s="63" t="str">
        <f>HYPERLINK("https://www.sds-group.ru/product/shnur-din-5-pin-stereo-3-5mm-1-5m-gold-rexant-17-2502/", "Инфо")</f>
        <v>Инфо</v>
      </c>
      <c r="F8097" s="16" t="s">
        <v>39</v>
      </c>
      <c r="G8097" s="15"/>
      <c r="H8097" s="15"/>
      <c r="I8097" s="15"/>
      <c r="J8097" s="16" t="s">
        <v>100</v>
      </c>
      <c r="K8097" s="15" t="s">
        <v>1004</v>
      </c>
      <c r="L8097" s="17">
        <v>10</v>
      </c>
      <c r="M8097" s="17">
        <v>200</v>
      </c>
      <c r="N8097" s="17">
        <v>10</v>
      </c>
      <c r="O8097" s="18">
        <v>235.32</v>
      </c>
      <c r="P8097" s="18">
        <v>192.89</v>
      </c>
      <c r="Q8097" s="18">
        <v>164.72</v>
      </c>
      <c r="R8097" s="18">
        <v>135.02000000000001</v>
      </c>
      <c r="S8097" s="18">
        <v>160.02000000000001</v>
      </c>
      <c r="T8097" s="18">
        <v>131.16</v>
      </c>
      <c r="U8097" s="16"/>
      <c r="V8097" s="16"/>
      <c r="W8097" s="16"/>
      <c r="X8097" s="19">
        <v>5.8999999999999997E-2</v>
      </c>
      <c r="Y8097" s="20">
        <v>1.94E-4</v>
      </c>
      <c r="Z8097" s="21">
        <v>4610003604103</v>
      </c>
    </row>
    <row r="8098" spans="1:26" ht="12.95" customHeight="1" outlineLevel="2" x14ac:dyDescent="0.2">
      <c r="A8098" s="76" t="s">
        <v>15467</v>
      </c>
      <c r="B8098" s="76"/>
      <c r="C8098" s="77"/>
      <c r="D8098" s="58"/>
      <c r="E8098" s="68"/>
      <c r="F8098" s="13"/>
      <c r="G8098" s="13"/>
      <c r="H8098" s="13"/>
      <c r="I8098" s="13"/>
      <c r="J8098" s="13"/>
      <c r="K8098" s="13"/>
      <c r="L8098" s="13"/>
      <c r="M8098" s="13"/>
      <c r="N8098" s="13"/>
      <c r="O8098" s="13"/>
      <c r="P8098" s="13"/>
      <c r="Q8098" s="13"/>
      <c r="R8098" s="13"/>
      <c r="S8098" s="13"/>
      <c r="T8098" s="13"/>
      <c r="U8098" s="13"/>
      <c r="V8098" s="13"/>
      <c r="W8098" s="13"/>
      <c r="X8098" s="13"/>
      <c r="Y8098" s="13"/>
      <c r="Z8098" s="13"/>
    </row>
    <row r="8099" spans="1:26" ht="12" customHeight="1" outlineLevel="3" x14ac:dyDescent="0.2">
      <c r="A8099" s="14" t="s">
        <v>15468</v>
      </c>
      <c r="B8099" s="26" t="s">
        <v>15469</v>
      </c>
      <c r="C8099" s="52"/>
      <c r="D8099" s="55">
        <f t="shared" si="126"/>
        <v>0</v>
      </c>
      <c r="E8099" s="63" t="str">
        <f>HYPERLINK("https://www.sds-group.ru/product/vch-kabel-tv-gnezdo-tv-shteker-1-5m-chernyy-rexant-17-5011/", "Инфо")</f>
        <v>Инфо</v>
      </c>
      <c r="F8099" s="16" t="s">
        <v>39</v>
      </c>
      <c r="G8099" s="15"/>
      <c r="H8099" s="15"/>
      <c r="I8099" s="15"/>
      <c r="J8099" s="22">
        <v>3412</v>
      </c>
      <c r="K8099" s="15"/>
      <c r="L8099" s="17">
        <v>10</v>
      </c>
      <c r="M8099" s="17">
        <v>400</v>
      </c>
      <c r="N8099" s="17">
        <v>10</v>
      </c>
      <c r="O8099" s="18">
        <v>66.61</v>
      </c>
      <c r="P8099" s="18">
        <v>54.6</v>
      </c>
      <c r="Q8099" s="18">
        <v>56.62</v>
      </c>
      <c r="R8099" s="18">
        <v>46.41</v>
      </c>
      <c r="S8099" s="18">
        <v>45.29</v>
      </c>
      <c r="T8099" s="18">
        <v>37.119999999999997</v>
      </c>
      <c r="U8099" s="16"/>
      <c r="V8099" s="16"/>
      <c r="W8099" s="16" t="s">
        <v>40</v>
      </c>
      <c r="X8099" s="19">
        <v>2.8000000000000001E-2</v>
      </c>
      <c r="Y8099" s="20">
        <v>6.8999999999999997E-5</v>
      </c>
      <c r="Z8099" s="21">
        <v>4610003607661</v>
      </c>
    </row>
    <row r="8100" spans="1:26" ht="12" customHeight="1" outlineLevel="3" x14ac:dyDescent="0.2">
      <c r="A8100" s="32" t="s">
        <v>15470</v>
      </c>
      <c r="B8100" s="74" t="s">
        <v>15471</v>
      </c>
      <c r="C8100" s="50"/>
      <c r="D8100" s="53">
        <f t="shared" si="126"/>
        <v>0</v>
      </c>
      <c r="E8100" s="60" t="str">
        <f>HYPERLINK("https://www.sds-group.ru/product/vch-kabel-tv-gnezdo-tv-shteker-3m-chernyy-rexant-17-5013/", "Инфо")</f>
        <v>Инфо</v>
      </c>
      <c r="F8100" s="34" t="s">
        <v>39</v>
      </c>
      <c r="G8100" s="33"/>
      <c r="H8100" s="33" t="s">
        <v>40</v>
      </c>
      <c r="I8100" s="33"/>
      <c r="J8100" s="34" t="s">
        <v>100</v>
      </c>
      <c r="K8100" s="33"/>
      <c r="L8100" s="35">
        <v>10</v>
      </c>
      <c r="M8100" s="35">
        <v>250</v>
      </c>
      <c r="N8100" s="35">
        <v>10</v>
      </c>
      <c r="O8100" s="36">
        <v>111.37</v>
      </c>
      <c r="P8100" s="36">
        <v>91.29</v>
      </c>
      <c r="Q8100" s="36">
        <v>77.959999999999994</v>
      </c>
      <c r="R8100" s="36">
        <v>63.9</v>
      </c>
      <c r="S8100" s="36">
        <v>75.73</v>
      </c>
      <c r="T8100" s="36">
        <v>62.07</v>
      </c>
      <c r="U8100" s="34"/>
      <c r="V8100" s="34"/>
      <c r="W8100" s="34"/>
      <c r="X8100" s="37">
        <v>4.5999999999999999E-2</v>
      </c>
      <c r="Y8100" s="38">
        <v>1.22E-4</v>
      </c>
      <c r="Z8100" s="21">
        <v>4610003607760</v>
      </c>
    </row>
    <row r="8101" spans="1:26" ht="12" customHeight="1" outlineLevel="3" x14ac:dyDescent="0.2">
      <c r="A8101" s="14" t="s">
        <v>15472</v>
      </c>
      <c r="B8101" s="26" t="s">
        <v>15473</v>
      </c>
      <c r="C8101" s="52"/>
      <c r="D8101" s="55">
        <f t="shared" si="126"/>
        <v>0</v>
      </c>
      <c r="E8101" s="63" t="str">
        <f>HYPERLINK("https://www.sds-group.ru/product/vch-kabel-tv-gnezdo-tv-shteker-5m-chernyy-rexant-17-5014/", "Инфо")</f>
        <v>Инфо</v>
      </c>
      <c r="F8101" s="16" t="s">
        <v>39</v>
      </c>
      <c r="G8101" s="15"/>
      <c r="H8101" s="15"/>
      <c r="I8101" s="15"/>
      <c r="J8101" s="17">
        <v>195</v>
      </c>
      <c r="K8101" s="15" t="s">
        <v>995</v>
      </c>
      <c r="L8101" s="17">
        <v>10</v>
      </c>
      <c r="M8101" s="17">
        <v>200</v>
      </c>
      <c r="N8101" s="17">
        <v>10</v>
      </c>
      <c r="O8101" s="18">
        <v>157.25</v>
      </c>
      <c r="P8101" s="18">
        <v>128.88999999999999</v>
      </c>
      <c r="Q8101" s="18">
        <v>133.66</v>
      </c>
      <c r="R8101" s="18">
        <v>109.56</v>
      </c>
      <c r="S8101" s="18">
        <v>106.93</v>
      </c>
      <c r="T8101" s="18">
        <v>87.65</v>
      </c>
      <c r="U8101" s="16"/>
      <c r="V8101" s="16"/>
      <c r="W8101" s="16" t="s">
        <v>40</v>
      </c>
      <c r="X8101" s="19">
        <v>6.5000000000000002E-2</v>
      </c>
      <c r="Y8101" s="20">
        <v>1.5699999999999999E-4</v>
      </c>
      <c r="Z8101" s="21">
        <v>4610003607784</v>
      </c>
    </row>
    <row r="8102" spans="1:26" ht="12" customHeight="1" outlineLevel="3" x14ac:dyDescent="0.2">
      <c r="A8102" s="14" t="s">
        <v>15474</v>
      </c>
      <c r="B8102" s="26" t="s">
        <v>15475</v>
      </c>
      <c r="C8102" s="52"/>
      <c r="D8102" s="55">
        <f t="shared" si="126"/>
        <v>0</v>
      </c>
      <c r="E8102" s="63" t="str">
        <f>HYPERLINK("https://www.sds-group.ru/product/shnur-tv-gnezdo-tv-shteker-1-5m-belyy-rexant-18-0002/", "Инфо")</f>
        <v>Инфо</v>
      </c>
      <c r="F8102" s="16" t="s">
        <v>39</v>
      </c>
      <c r="G8102" s="15"/>
      <c r="H8102" s="15"/>
      <c r="I8102" s="15"/>
      <c r="J8102" s="22">
        <v>3696</v>
      </c>
      <c r="K8102" s="15" t="s">
        <v>1004</v>
      </c>
      <c r="L8102" s="17">
        <v>5</v>
      </c>
      <c r="M8102" s="17">
        <v>250</v>
      </c>
      <c r="N8102" s="17">
        <v>5</v>
      </c>
      <c r="O8102" s="18">
        <v>230.63</v>
      </c>
      <c r="P8102" s="18">
        <v>189.04</v>
      </c>
      <c r="Q8102" s="18">
        <v>196.04</v>
      </c>
      <c r="R8102" s="18">
        <v>160.69</v>
      </c>
      <c r="S8102" s="18">
        <v>156.83000000000001</v>
      </c>
      <c r="T8102" s="18">
        <v>128.55000000000001</v>
      </c>
      <c r="U8102" s="16"/>
      <c r="V8102" s="16"/>
      <c r="W8102" s="16" t="s">
        <v>40</v>
      </c>
      <c r="X8102" s="19">
        <v>6.8000000000000005E-2</v>
      </c>
      <c r="Y8102" s="20">
        <v>2.7099999999999997E-4</v>
      </c>
      <c r="Z8102" s="21">
        <v>4610003601614</v>
      </c>
    </row>
    <row r="8103" spans="1:26" ht="12" customHeight="1" outlineLevel="3" x14ac:dyDescent="0.2">
      <c r="A8103" s="14" t="s">
        <v>15476</v>
      </c>
      <c r="B8103" s="26" t="s">
        <v>15477</v>
      </c>
      <c r="C8103" s="52"/>
      <c r="D8103" s="55">
        <f t="shared" si="126"/>
        <v>0</v>
      </c>
      <c r="E8103" s="63" t="str">
        <f>HYPERLINK("https://www.sds-group.ru/product/shnur-tv-gnezdo-tv-shteker-1-5m-chernyy-rexant-17-5002/", "Инфо")</f>
        <v>Инфо</v>
      </c>
      <c r="F8103" s="16" t="s">
        <v>39</v>
      </c>
      <c r="G8103" s="15"/>
      <c r="H8103" s="15"/>
      <c r="I8103" s="15"/>
      <c r="J8103" s="17">
        <v>739</v>
      </c>
      <c r="K8103" s="15" t="s">
        <v>1004</v>
      </c>
      <c r="L8103" s="17">
        <v>10</v>
      </c>
      <c r="M8103" s="17">
        <v>200</v>
      </c>
      <c r="N8103" s="17">
        <v>10</v>
      </c>
      <c r="O8103" s="18">
        <v>96.46</v>
      </c>
      <c r="P8103" s="18">
        <v>79.069999999999993</v>
      </c>
      <c r="Q8103" s="18">
        <v>67.52</v>
      </c>
      <c r="R8103" s="18">
        <v>55.34</v>
      </c>
      <c r="S8103" s="18">
        <v>65.59</v>
      </c>
      <c r="T8103" s="18">
        <v>53.76</v>
      </c>
      <c r="U8103" s="16"/>
      <c r="V8103" s="16"/>
      <c r="W8103" s="16"/>
      <c r="X8103" s="19">
        <v>5.1999999999999998E-2</v>
      </c>
      <c r="Y8103" s="20">
        <v>1.5200000000000001E-4</v>
      </c>
      <c r="Z8103" s="21">
        <v>4610003604684</v>
      </c>
    </row>
    <row r="8104" spans="1:26" ht="12" customHeight="1" outlineLevel="3" x14ac:dyDescent="0.2">
      <c r="A8104" s="14" t="s">
        <v>15478</v>
      </c>
      <c r="B8104" s="26" t="s">
        <v>15479</v>
      </c>
      <c r="C8104" s="52"/>
      <c r="D8104" s="55">
        <f t="shared" si="126"/>
        <v>0</v>
      </c>
      <c r="E8104" s="63" t="str">
        <f>HYPERLINK("https://www.sds-group.ru/product/shnur-tv-gnezdo-tv-shteker-10m-belyy-rexant-18-0007/", "Инфо")</f>
        <v>Инфо</v>
      </c>
      <c r="F8104" s="16" t="s">
        <v>39</v>
      </c>
      <c r="G8104" s="15"/>
      <c r="H8104" s="15"/>
      <c r="I8104" s="15"/>
      <c r="J8104" s="17">
        <v>556</v>
      </c>
      <c r="K8104" s="15" t="s">
        <v>1004</v>
      </c>
      <c r="L8104" s="17">
        <v>5</v>
      </c>
      <c r="M8104" s="17">
        <v>50</v>
      </c>
      <c r="N8104" s="17">
        <v>5</v>
      </c>
      <c r="O8104" s="18">
        <v>655.6</v>
      </c>
      <c r="P8104" s="18">
        <v>537.38</v>
      </c>
      <c r="Q8104" s="18">
        <v>524.48</v>
      </c>
      <c r="R8104" s="18">
        <v>429.9</v>
      </c>
      <c r="S8104" s="18">
        <v>445.81</v>
      </c>
      <c r="T8104" s="18">
        <v>365.42</v>
      </c>
      <c r="U8104" s="16"/>
      <c r="V8104" s="16"/>
      <c r="W8104" s="16" t="s">
        <v>40</v>
      </c>
      <c r="X8104" s="19">
        <v>0.309</v>
      </c>
      <c r="Y8104" s="20">
        <v>7.6000000000000004E-4</v>
      </c>
      <c r="Z8104" s="21">
        <v>4610003604196</v>
      </c>
    </row>
    <row r="8105" spans="1:26" ht="12" customHeight="1" outlineLevel="3" x14ac:dyDescent="0.2">
      <c r="A8105" s="14" t="s">
        <v>15480</v>
      </c>
      <c r="B8105" s="26" t="s">
        <v>15481</v>
      </c>
      <c r="C8105" s="52"/>
      <c r="D8105" s="55">
        <f t="shared" si="126"/>
        <v>0</v>
      </c>
      <c r="E8105" s="63" t="str">
        <f>HYPERLINK("https://www.sds-group.ru/product/shnur-tv-gnezdo-tv-shteker-15m-belyy-rexant-18-0008/", "Инфо")</f>
        <v>Инфо</v>
      </c>
      <c r="F8105" s="16" t="s">
        <v>39</v>
      </c>
      <c r="G8105" s="15"/>
      <c r="H8105" s="15"/>
      <c r="I8105" s="15"/>
      <c r="J8105" s="17">
        <v>138</v>
      </c>
      <c r="K8105" s="15" t="s">
        <v>995</v>
      </c>
      <c r="L8105" s="17">
        <v>5</v>
      </c>
      <c r="M8105" s="17">
        <v>25</v>
      </c>
      <c r="N8105" s="17">
        <v>5</v>
      </c>
      <c r="O8105" s="18">
        <v>557.52</v>
      </c>
      <c r="P8105" s="18">
        <v>456.98</v>
      </c>
      <c r="Q8105" s="18">
        <v>446.02</v>
      </c>
      <c r="R8105" s="18">
        <v>365.59</v>
      </c>
      <c r="S8105" s="18">
        <v>379.11</v>
      </c>
      <c r="T8105" s="18">
        <v>310.75</v>
      </c>
      <c r="U8105" s="16"/>
      <c r="V8105" s="16"/>
      <c r="W8105" s="16" t="s">
        <v>40</v>
      </c>
      <c r="X8105" s="19">
        <v>0.42799999999999999</v>
      </c>
      <c r="Y8105" s="20">
        <v>1.114E-3</v>
      </c>
      <c r="Z8105" s="21">
        <v>4610003604202</v>
      </c>
    </row>
    <row r="8106" spans="1:26" ht="12" customHeight="1" outlineLevel="3" x14ac:dyDescent="0.2">
      <c r="A8106" s="14" t="s">
        <v>15482</v>
      </c>
      <c r="B8106" s="26" t="s">
        <v>15483</v>
      </c>
      <c r="C8106" s="52"/>
      <c r="D8106" s="55">
        <f t="shared" si="126"/>
        <v>0</v>
      </c>
      <c r="E8106" s="63" t="str">
        <f>HYPERLINK("https://www.sds-group.ru/product/shnur-tv-gnezdo-tv-shteker-3m-belyy-rexant-18-0004/", "Инфо")</f>
        <v>Инфо</v>
      </c>
      <c r="F8106" s="16" t="s">
        <v>39</v>
      </c>
      <c r="G8106" s="15"/>
      <c r="H8106" s="15"/>
      <c r="I8106" s="15"/>
      <c r="J8106" s="17">
        <v>828</v>
      </c>
      <c r="K8106" s="15" t="s">
        <v>1266</v>
      </c>
      <c r="L8106" s="17">
        <v>5</v>
      </c>
      <c r="M8106" s="17">
        <v>100</v>
      </c>
      <c r="N8106" s="17">
        <v>5</v>
      </c>
      <c r="O8106" s="18">
        <v>208.82</v>
      </c>
      <c r="P8106" s="18">
        <v>171.16</v>
      </c>
      <c r="Q8106" s="18">
        <v>177.5</v>
      </c>
      <c r="R8106" s="18">
        <v>145.49</v>
      </c>
      <c r="S8106" s="18">
        <v>142</v>
      </c>
      <c r="T8106" s="18">
        <v>116.39</v>
      </c>
      <c r="U8106" s="16"/>
      <c r="V8106" s="16"/>
      <c r="W8106" s="16" t="s">
        <v>40</v>
      </c>
      <c r="X8106" s="19">
        <v>9.2999999999999999E-2</v>
      </c>
      <c r="Y8106" s="20">
        <v>4.0499999999999998E-4</v>
      </c>
      <c r="Z8106" s="21">
        <v>4610003604165</v>
      </c>
    </row>
    <row r="8107" spans="1:26" ht="12" customHeight="1" outlineLevel="3" x14ac:dyDescent="0.2">
      <c r="A8107" s="14" t="s">
        <v>15484</v>
      </c>
      <c r="B8107" s="26" t="s">
        <v>15485</v>
      </c>
      <c r="C8107" s="52"/>
      <c r="D8107" s="55">
        <f t="shared" si="126"/>
        <v>0</v>
      </c>
      <c r="E8107" s="63" t="str">
        <f>HYPERLINK("https://www.sds-group.ru/product/shnur-tv-gnezdo-tv-shteker-5m-belyy-rexant-18-0005/", "Инфо")</f>
        <v>Инфо</v>
      </c>
      <c r="F8107" s="16" t="s">
        <v>39</v>
      </c>
      <c r="G8107" s="15"/>
      <c r="H8107" s="15"/>
      <c r="I8107" s="15"/>
      <c r="J8107" s="22">
        <v>1107</v>
      </c>
      <c r="K8107" s="15" t="s">
        <v>1004</v>
      </c>
      <c r="L8107" s="17">
        <v>10</v>
      </c>
      <c r="M8107" s="17">
        <v>100</v>
      </c>
      <c r="N8107" s="17">
        <v>10</v>
      </c>
      <c r="O8107" s="18">
        <v>372.8</v>
      </c>
      <c r="P8107" s="18">
        <v>305.57</v>
      </c>
      <c r="Q8107" s="18">
        <v>316.88</v>
      </c>
      <c r="R8107" s="18">
        <v>259.74</v>
      </c>
      <c r="S8107" s="18">
        <v>253.5</v>
      </c>
      <c r="T8107" s="18">
        <v>207.79</v>
      </c>
      <c r="U8107" s="16"/>
      <c r="V8107" s="16"/>
      <c r="W8107" s="16" t="s">
        <v>40</v>
      </c>
      <c r="X8107" s="19">
        <v>0.161</v>
      </c>
      <c r="Y8107" s="20">
        <v>4.5399999999999998E-4</v>
      </c>
      <c r="Z8107" s="21">
        <v>4610003604172</v>
      </c>
    </row>
    <row r="8108" spans="1:26" ht="12" customHeight="1" outlineLevel="3" x14ac:dyDescent="0.2">
      <c r="A8108" s="14" t="s">
        <v>15486</v>
      </c>
      <c r="B8108" s="26" t="s">
        <v>15487</v>
      </c>
      <c r="C8108" s="52"/>
      <c r="D8108" s="55">
        <f t="shared" si="126"/>
        <v>0</v>
      </c>
      <c r="E8108" s="63" t="str">
        <f>HYPERLINK("https://www.sds-group.ru/product/shnur-tv-gnezdo-tv-shteker-7m-belyy-rexant-18-0006/", "Инфо")</f>
        <v>Инфо</v>
      </c>
      <c r="F8108" s="16" t="s">
        <v>39</v>
      </c>
      <c r="G8108" s="15"/>
      <c r="H8108" s="15"/>
      <c r="I8108" s="15"/>
      <c r="J8108" s="17">
        <v>405</v>
      </c>
      <c r="K8108" s="15" t="s">
        <v>998</v>
      </c>
      <c r="L8108" s="17">
        <v>10</v>
      </c>
      <c r="M8108" s="17">
        <v>50</v>
      </c>
      <c r="N8108" s="17">
        <v>10</v>
      </c>
      <c r="O8108" s="18">
        <v>479.22</v>
      </c>
      <c r="P8108" s="18">
        <v>392.8</v>
      </c>
      <c r="Q8108" s="18">
        <v>383.38</v>
      </c>
      <c r="R8108" s="18">
        <v>314.25</v>
      </c>
      <c r="S8108" s="18">
        <v>325.87</v>
      </c>
      <c r="T8108" s="18">
        <v>267.11</v>
      </c>
      <c r="U8108" s="16"/>
      <c r="V8108" s="16"/>
      <c r="W8108" s="16" t="s">
        <v>40</v>
      </c>
      <c r="X8108" s="19">
        <v>0.22700000000000001</v>
      </c>
      <c r="Y8108" s="20">
        <v>4.4999999999999999E-4</v>
      </c>
      <c r="Z8108" s="21">
        <v>4610003604189</v>
      </c>
    </row>
    <row r="8109" spans="1:26" ht="12" customHeight="1" outlineLevel="3" x14ac:dyDescent="0.2">
      <c r="A8109" s="14" t="s">
        <v>15488</v>
      </c>
      <c r="B8109" s="26" t="s">
        <v>15489</v>
      </c>
      <c r="C8109" s="52"/>
      <c r="D8109" s="55">
        <f t="shared" si="126"/>
        <v>0</v>
      </c>
      <c r="E8109" s="63" t="str">
        <f>HYPERLINK("https://www.sds-group.ru/product/shnur-tv-gnezdo-tv-shteker-uglovoy-1-5m-belyy-rexant-18-0022/", "Инфо")</f>
        <v>Инфо</v>
      </c>
      <c r="F8109" s="16" t="s">
        <v>39</v>
      </c>
      <c r="G8109" s="15"/>
      <c r="H8109" s="15"/>
      <c r="I8109" s="15"/>
      <c r="J8109" s="22">
        <v>4148</v>
      </c>
      <c r="K8109" s="15" t="s">
        <v>1004</v>
      </c>
      <c r="L8109" s="17">
        <v>10</v>
      </c>
      <c r="M8109" s="17">
        <v>250</v>
      </c>
      <c r="N8109" s="17">
        <v>10</v>
      </c>
      <c r="O8109" s="18">
        <v>248.63</v>
      </c>
      <c r="P8109" s="18">
        <v>203.8</v>
      </c>
      <c r="Q8109" s="18">
        <v>211.34</v>
      </c>
      <c r="R8109" s="18">
        <v>173.23</v>
      </c>
      <c r="S8109" s="18">
        <v>169.07</v>
      </c>
      <c r="T8109" s="18">
        <v>138.58000000000001</v>
      </c>
      <c r="U8109" s="16"/>
      <c r="V8109" s="16"/>
      <c r="W8109" s="16" t="s">
        <v>40</v>
      </c>
      <c r="X8109" s="19">
        <v>6.8000000000000005E-2</v>
      </c>
      <c r="Y8109" s="20">
        <v>3.1500000000000001E-4</v>
      </c>
      <c r="Z8109" s="21">
        <v>4660008011321</v>
      </c>
    </row>
    <row r="8110" spans="1:26" ht="12" customHeight="1" outlineLevel="3" x14ac:dyDescent="0.2">
      <c r="A8110" s="14" t="s">
        <v>15490</v>
      </c>
      <c r="B8110" s="26" t="s">
        <v>15491</v>
      </c>
      <c r="C8110" s="52"/>
      <c r="D8110" s="55">
        <f t="shared" si="126"/>
        <v>0</v>
      </c>
      <c r="E8110" s="63" t="str">
        <f>HYPERLINK("https://www.sds-group.ru/product/shnur-tv-gnezdo-tv-shteker-uglovoy-1-5m-chernyy-rexant-18-0012/", "Инфо")</f>
        <v>Инфо</v>
      </c>
      <c r="F8110" s="16" t="s">
        <v>39</v>
      </c>
      <c r="G8110" s="15"/>
      <c r="H8110" s="15"/>
      <c r="I8110" s="15"/>
      <c r="J8110" s="22">
        <v>10523</v>
      </c>
      <c r="K8110" s="15" t="s">
        <v>1004</v>
      </c>
      <c r="L8110" s="17">
        <v>10</v>
      </c>
      <c r="M8110" s="17">
        <v>150</v>
      </c>
      <c r="N8110" s="17">
        <v>10</v>
      </c>
      <c r="O8110" s="18">
        <v>169.6</v>
      </c>
      <c r="P8110" s="18">
        <v>139.02000000000001</v>
      </c>
      <c r="Q8110" s="18">
        <v>118.72</v>
      </c>
      <c r="R8110" s="18">
        <v>97.31</v>
      </c>
      <c r="S8110" s="18">
        <v>115.33</v>
      </c>
      <c r="T8110" s="18">
        <v>94.53</v>
      </c>
      <c r="U8110" s="16"/>
      <c r="V8110" s="16"/>
      <c r="W8110" s="16"/>
      <c r="X8110" s="19">
        <v>6.6000000000000003E-2</v>
      </c>
      <c r="Y8110" s="20">
        <v>2.72E-4</v>
      </c>
      <c r="Z8110" s="21">
        <v>4610003605728</v>
      </c>
    </row>
    <row r="8111" spans="1:26" ht="12" customHeight="1" outlineLevel="3" x14ac:dyDescent="0.2">
      <c r="A8111" s="14" t="s">
        <v>15492</v>
      </c>
      <c r="B8111" s="26" t="s">
        <v>15493</v>
      </c>
      <c r="C8111" s="52"/>
      <c r="D8111" s="55">
        <f t="shared" si="126"/>
        <v>0</v>
      </c>
      <c r="E8111" s="63" t="str">
        <f>HYPERLINK("https://www.sds-group.ru/product/shnur-tv-gnezdo-tv-shteker-uglovoy-3m-belyy-rexant-18-0024/", "Инфо")</f>
        <v>Инфо</v>
      </c>
      <c r="F8111" s="16" t="s">
        <v>39</v>
      </c>
      <c r="G8111" s="15"/>
      <c r="H8111" s="15"/>
      <c r="I8111" s="15"/>
      <c r="J8111" s="22">
        <v>1055</v>
      </c>
      <c r="K8111" s="15"/>
      <c r="L8111" s="17">
        <v>10</v>
      </c>
      <c r="M8111" s="17">
        <v>100</v>
      </c>
      <c r="N8111" s="17">
        <v>10</v>
      </c>
      <c r="O8111" s="18">
        <v>285.02</v>
      </c>
      <c r="P8111" s="18">
        <v>233.62</v>
      </c>
      <c r="Q8111" s="18">
        <v>242.27</v>
      </c>
      <c r="R8111" s="18">
        <v>198.58</v>
      </c>
      <c r="S8111" s="18">
        <v>193.81</v>
      </c>
      <c r="T8111" s="18">
        <v>158.86000000000001</v>
      </c>
      <c r="U8111" s="16"/>
      <c r="V8111" s="16"/>
      <c r="W8111" s="16" t="s">
        <v>40</v>
      </c>
      <c r="X8111" s="19">
        <v>0.108</v>
      </c>
      <c r="Y8111" s="20">
        <v>4.4200000000000001E-4</v>
      </c>
      <c r="Z8111" s="21">
        <v>4660008011338</v>
      </c>
    </row>
    <row r="8112" spans="1:26" ht="12" customHeight="1" outlineLevel="3" x14ac:dyDescent="0.2">
      <c r="A8112" s="14" t="s">
        <v>15494</v>
      </c>
      <c r="B8112" s="26" t="s">
        <v>15495</v>
      </c>
      <c r="C8112" s="52"/>
      <c r="D8112" s="55">
        <f t="shared" si="126"/>
        <v>0</v>
      </c>
      <c r="E8112" s="63" t="str">
        <f>HYPERLINK("https://www.sds-group.ru/product/shnur-tv-gnezdo-tv-shteker-uglovoy-3m-chernyy-rexant-18-0014/", "Инфо")</f>
        <v>Инфо</v>
      </c>
      <c r="F8112" s="16" t="s">
        <v>39</v>
      </c>
      <c r="G8112" s="15"/>
      <c r="H8112" s="15"/>
      <c r="I8112" s="15"/>
      <c r="J8112" s="17">
        <v>660</v>
      </c>
      <c r="K8112" s="15" t="s">
        <v>998</v>
      </c>
      <c r="L8112" s="17">
        <v>10</v>
      </c>
      <c r="M8112" s="17">
        <v>100</v>
      </c>
      <c r="N8112" s="17">
        <v>10</v>
      </c>
      <c r="O8112" s="18">
        <v>226.84</v>
      </c>
      <c r="P8112" s="18">
        <v>185.93</v>
      </c>
      <c r="Q8112" s="18">
        <v>158.79</v>
      </c>
      <c r="R8112" s="18">
        <v>130.16</v>
      </c>
      <c r="S8112" s="18">
        <v>154.25</v>
      </c>
      <c r="T8112" s="18">
        <v>126.43</v>
      </c>
      <c r="U8112" s="16"/>
      <c r="V8112" s="16"/>
      <c r="W8112" s="16"/>
      <c r="X8112" s="19">
        <v>0.107</v>
      </c>
      <c r="Y8112" s="20">
        <v>4.6999999999999999E-4</v>
      </c>
      <c r="Z8112" s="21">
        <v>4660008011314</v>
      </c>
    </row>
    <row r="8113" spans="1:26" ht="12" customHeight="1" outlineLevel="3" x14ac:dyDescent="0.2">
      <c r="A8113" s="14" t="s">
        <v>15496</v>
      </c>
      <c r="B8113" s="26" t="s">
        <v>15497</v>
      </c>
      <c r="C8113" s="52"/>
      <c r="D8113" s="55">
        <f t="shared" si="126"/>
        <v>0</v>
      </c>
      <c r="E8113" s="63" t="str">
        <f>HYPERLINK("https://www.sds-group.ru/product/shnur-tv-gnezdo-tv-shteker-uglovoy-5m-belyy-rexant-18-0025/", "Инфо")</f>
        <v>Инфо</v>
      </c>
      <c r="F8113" s="16" t="s">
        <v>39</v>
      </c>
      <c r="G8113" s="15"/>
      <c r="H8113" s="15"/>
      <c r="I8113" s="15"/>
      <c r="J8113" s="22">
        <v>1665</v>
      </c>
      <c r="K8113" s="15" t="s">
        <v>998</v>
      </c>
      <c r="L8113" s="17">
        <v>10</v>
      </c>
      <c r="M8113" s="17">
        <v>100</v>
      </c>
      <c r="N8113" s="17">
        <v>10</v>
      </c>
      <c r="O8113" s="18">
        <v>346.64</v>
      </c>
      <c r="P8113" s="18">
        <v>284.13</v>
      </c>
      <c r="Q8113" s="18">
        <v>242.65</v>
      </c>
      <c r="R8113" s="18">
        <v>198.89</v>
      </c>
      <c r="S8113" s="18">
        <v>235.72</v>
      </c>
      <c r="T8113" s="18">
        <v>193.21</v>
      </c>
      <c r="U8113" s="16"/>
      <c r="V8113" s="16"/>
      <c r="W8113" s="16"/>
      <c r="X8113" s="19">
        <v>0.16800000000000001</v>
      </c>
      <c r="Y8113" s="20">
        <v>5.4600000000000004E-4</v>
      </c>
      <c r="Z8113" s="21">
        <v>4660008011345</v>
      </c>
    </row>
    <row r="8114" spans="1:26" ht="12" customHeight="1" outlineLevel="3" x14ac:dyDescent="0.2">
      <c r="A8114" s="14" t="s">
        <v>15498</v>
      </c>
      <c r="B8114" s="26" t="s">
        <v>15499</v>
      </c>
      <c r="C8114" s="52"/>
      <c r="D8114" s="55">
        <f t="shared" si="126"/>
        <v>0</v>
      </c>
      <c r="E8114" s="63" t="str">
        <f>HYPERLINK("https://www.sds-group.ru/product/shnur-tv-shteker-tv-shteker-1-5m-belyy-rexant-18-0102/", "Инфо")</f>
        <v>Инфо</v>
      </c>
      <c r="F8114" s="16" t="s">
        <v>39</v>
      </c>
      <c r="G8114" s="15"/>
      <c r="H8114" s="15"/>
      <c r="I8114" s="15"/>
      <c r="J8114" s="22">
        <v>2128</v>
      </c>
      <c r="K8114" s="15"/>
      <c r="L8114" s="17">
        <v>10</v>
      </c>
      <c r="M8114" s="17">
        <v>150</v>
      </c>
      <c r="N8114" s="17">
        <v>10</v>
      </c>
      <c r="O8114" s="18">
        <v>208.19</v>
      </c>
      <c r="P8114" s="18">
        <v>170.65</v>
      </c>
      <c r="Q8114" s="18">
        <v>176.96</v>
      </c>
      <c r="R8114" s="18">
        <v>145.05000000000001</v>
      </c>
      <c r="S8114" s="18">
        <v>141.57</v>
      </c>
      <c r="T8114" s="18">
        <v>116.04</v>
      </c>
      <c r="U8114" s="16"/>
      <c r="V8114" s="16"/>
      <c r="W8114" s="16" t="s">
        <v>40</v>
      </c>
      <c r="X8114" s="19">
        <v>7.0999999999999994E-2</v>
      </c>
      <c r="Y8114" s="20">
        <v>5.5000000000000002E-5</v>
      </c>
      <c r="Z8114" s="21">
        <v>4610003601652</v>
      </c>
    </row>
    <row r="8115" spans="1:26" ht="12" customHeight="1" outlineLevel="3" x14ac:dyDescent="0.2">
      <c r="A8115" s="14" t="s">
        <v>15500</v>
      </c>
      <c r="B8115" s="26" t="s">
        <v>15501</v>
      </c>
      <c r="C8115" s="52"/>
      <c r="D8115" s="55">
        <f t="shared" si="126"/>
        <v>0</v>
      </c>
      <c r="E8115" s="63" t="str">
        <f>HYPERLINK("https://www.sds-group.ru/product/shnur-tv-shteker-tv-shteker-uglovoy-1-5m-belyy-rexant-18-0112/", "Инфо")</f>
        <v>Инфо</v>
      </c>
      <c r="F8115" s="16" t="s">
        <v>39</v>
      </c>
      <c r="G8115" s="15"/>
      <c r="H8115" s="15"/>
      <c r="I8115" s="15"/>
      <c r="J8115" s="22">
        <v>3767</v>
      </c>
      <c r="K8115" s="15" t="s">
        <v>1004</v>
      </c>
      <c r="L8115" s="17">
        <v>10</v>
      </c>
      <c r="M8115" s="17">
        <v>200</v>
      </c>
      <c r="N8115" s="17">
        <v>10</v>
      </c>
      <c r="O8115" s="18">
        <v>156.88</v>
      </c>
      <c r="P8115" s="18">
        <v>128.59</v>
      </c>
      <c r="Q8115" s="18">
        <v>109.82</v>
      </c>
      <c r="R8115" s="18">
        <v>90.02</v>
      </c>
      <c r="S8115" s="18">
        <v>106.68</v>
      </c>
      <c r="T8115" s="18">
        <v>87.44</v>
      </c>
      <c r="U8115" s="16"/>
      <c r="V8115" s="16"/>
      <c r="W8115" s="16"/>
      <c r="X8115" s="19">
        <v>6.8000000000000005E-2</v>
      </c>
      <c r="Y8115" s="20">
        <v>2.7300000000000002E-4</v>
      </c>
      <c r="Z8115" s="21">
        <v>4610003601669</v>
      </c>
    </row>
    <row r="8116" spans="1:26" ht="12.95" customHeight="1" outlineLevel="1" x14ac:dyDescent="0.2">
      <c r="A8116" s="78" t="s">
        <v>15502</v>
      </c>
      <c r="B8116" s="78"/>
      <c r="C8116" s="79"/>
      <c r="D8116" s="57"/>
      <c r="E8116" s="67"/>
      <c r="F8116" s="12"/>
      <c r="G8116" s="12"/>
      <c r="H8116" s="12"/>
      <c r="I8116" s="12"/>
      <c r="J8116" s="12"/>
      <c r="K8116" s="12"/>
      <c r="L8116" s="12"/>
      <c r="M8116" s="12"/>
      <c r="N8116" s="12"/>
      <c r="O8116" s="12"/>
      <c r="P8116" s="12"/>
      <c r="Q8116" s="12"/>
      <c r="R8116" s="12"/>
      <c r="S8116" s="12"/>
      <c r="T8116" s="12"/>
      <c r="U8116" s="12"/>
      <c r="V8116" s="12"/>
      <c r="W8116" s="12"/>
      <c r="X8116" s="12"/>
      <c r="Y8116" s="12"/>
      <c r="Z8116" s="12"/>
    </row>
    <row r="8117" spans="1:26" ht="12.95" customHeight="1" outlineLevel="2" x14ac:dyDescent="0.2">
      <c r="A8117" s="76" t="s">
        <v>15503</v>
      </c>
      <c r="B8117" s="76"/>
      <c r="C8117" s="77"/>
      <c r="D8117" s="58"/>
      <c r="E8117" s="68"/>
      <c r="F8117" s="13"/>
      <c r="G8117" s="13"/>
      <c r="H8117" s="13"/>
      <c r="I8117" s="13"/>
      <c r="J8117" s="13"/>
      <c r="K8117" s="13"/>
      <c r="L8117" s="13"/>
      <c r="M8117" s="13"/>
      <c r="N8117" s="13"/>
      <c r="O8117" s="13"/>
      <c r="P8117" s="13"/>
      <c r="Q8117" s="13"/>
      <c r="R8117" s="13"/>
      <c r="S8117" s="13"/>
      <c r="T8117" s="13"/>
      <c r="U8117" s="13"/>
      <c r="V8117" s="13"/>
      <c r="W8117" s="13"/>
      <c r="X8117" s="13"/>
      <c r="Y8117" s="13"/>
      <c r="Z8117" s="13"/>
    </row>
    <row r="8118" spans="1:26" ht="12" customHeight="1" outlineLevel="3" x14ac:dyDescent="0.2">
      <c r="A8118" s="14" t="s">
        <v>15504</v>
      </c>
      <c r="B8118" s="26" t="s">
        <v>15505</v>
      </c>
      <c r="C8118" s="52"/>
      <c r="D8118" s="55">
        <f t="shared" si="126"/>
        <v>0</v>
      </c>
      <c r="E8118" s="63" t="str">
        <f>HYPERLINK("https://www.sds-group.ru/product/antenna-komnatnaya-aktivnaya-dlya-tsifrovogo-televideniya-dvb-t2-ring-50-rexant-34-0721/", "Инфо")</f>
        <v>Инфо</v>
      </c>
      <c r="F8118" s="16" t="s">
        <v>39</v>
      </c>
      <c r="G8118" s="15"/>
      <c r="H8118" s="15"/>
      <c r="I8118" s="15"/>
      <c r="J8118" s="17">
        <v>27</v>
      </c>
      <c r="K8118" s="15"/>
      <c r="L8118" s="17">
        <v>1</v>
      </c>
      <c r="M8118" s="17">
        <v>20</v>
      </c>
      <c r="N8118" s="17">
        <v>1</v>
      </c>
      <c r="O8118" s="18">
        <v>2280.06</v>
      </c>
      <c r="P8118" s="18">
        <v>1868.9</v>
      </c>
      <c r="Q8118" s="18">
        <v>1801.25</v>
      </c>
      <c r="R8118" s="18">
        <v>1476.43</v>
      </c>
      <c r="S8118" s="18">
        <v>1550.44</v>
      </c>
      <c r="T8118" s="18">
        <v>1270.8499999999999</v>
      </c>
      <c r="U8118" s="16"/>
      <c r="V8118" s="16"/>
      <c r="W8118" s="16" t="s">
        <v>40</v>
      </c>
      <c r="X8118" s="19">
        <v>0.2</v>
      </c>
      <c r="Y8118" s="20">
        <v>2.7469999999999999E-3</v>
      </c>
      <c r="Z8118" s="21">
        <v>4601004207608</v>
      </c>
    </row>
    <row r="8119" spans="1:26" ht="12" customHeight="1" outlineLevel="3" x14ac:dyDescent="0.2">
      <c r="A8119" s="32" t="s">
        <v>15506</v>
      </c>
      <c r="B8119" s="74" t="s">
        <v>15507</v>
      </c>
      <c r="C8119" s="50"/>
      <c r="D8119" s="53">
        <f t="shared" si="126"/>
        <v>0</v>
      </c>
      <c r="E8119" s="60" t="str">
        <f>HYPERLINK("https://www.sds-group.ru/product/antenna-komnatnaya-aktivnaya-dlya-tsifrovogo-televideniya-dvb-t2-ag-701-rexant-34-0701/", "Инфо")</f>
        <v>Инфо</v>
      </c>
      <c r="F8119" s="34" t="s">
        <v>39</v>
      </c>
      <c r="G8119" s="33"/>
      <c r="H8119" s="33" t="s">
        <v>40</v>
      </c>
      <c r="I8119" s="33"/>
      <c r="J8119" s="34" t="s">
        <v>100</v>
      </c>
      <c r="K8119" s="33"/>
      <c r="L8119" s="35">
        <v>1</v>
      </c>
      <c r="M8119" s="35">
        <v>20</v>
      </c>
      <c r="N8119" s="35">
        <v>1</v>
      </c>
      <c r="O8119" s="36">
        <v>1918.01</v>
      </c>
      <c r="P8119" s="36">
        <v>1572.14</v>
      </c>
      <c r="Q8119" s="36">
        <v>1342.61</v>
      </c>
      <c r="R8119" s="36">
        <v>1100.5</v>
      </c>
      <c r="S8119" s="36">
        <v>1304.25</v>
      </c>
      <c r="T8119" s="36">
        <v>1069.06</v>
      </c>
      <c r="U8119" s="34"/>
      <c r="V8119" s="34"/>
      <c r="W8119" s="34"/>
      <c r="X8119" s="37">
        <v>0.41499999999999998</v>
      </c>
      <c r="Y8119" s="38">
        <v>2.3519999999999999E-3</v>
      </c>
      <c r="Z8119" s="21">
        <v>4601004138209</v>
      </c>
    </row>
    <row r="8120" spans="1:26" ht="12" customHeight="1" outlineLevel="3" x14ac:dyDescent="0.2">
      <c r="A8120" s="14" t="s">
        <v>15508</v>
      </c>
      <c r="B8120" s="26" t="s">
        <v>15509</v>
      </c>
      <c r="C8120" s="52"/>
      <c r="D8120" s="55">
        <f t="shared" si="126"/>
        <v>0</v>
      </c>
      <c r="E8120" s="63" t="str">
        <f>HYPERLINK("https://www.sds-group.ru/product/antenna-komnatnaya-aktivnaya-dlya-tsifrovogo-televideniya-dvb-t2-ag-717-rexant-34-0717/", "Инфо")</f>
        <v>Инфо</v>
      </c>
      <c r="F8120" s="16" t="s">
        <v>39</v>
      </c>
      <c r="G8120" s="15"/>
      <c r="H8120" s="15"/>
      <c r="I8120" s="15"/>
      <c r="J8120" s="16" t="s">
        <v>100</v>
      </c>
      <c r="K8120" s="15" t="s">
        <v>1408</v>
      </c>
      <c r="L8120" s="17">
        <v>1</v>
      </c>
      <c r="M8120" s="17">
        <v>20</v>
      </c>
      <c r="N8120" s="17">
        <v>1</v>
      </c>
      <c r="O8120" s="18">
        <v>1955.6</v>
      </c>
      <c r="P8120" s="18">
        <v>1602.95</v>
      </c>
      <c r="Q8120" s="18">
        <v>1564.48</v>
      </c>
      <c r="R8120" s="18">
        <v>1282.3599999999999</v>
      </c>
      <c r="S8120" s="18">
        <v>1329.81</v>
      </c>
      <c r="T8120" s="18">
        <v>1090.01</v>
      </c>
      <c r="U8120" s="16"/>
      <c r="V8120" s="16"/>
      <c r="W8120" s="16" t="s">
        <v>40</v>
      </c>
      <c r="X8120" s="19">
        <v>0.253</v>
      </c>
      <c r="Y8120" s="20">
        <v>1.4189999999999999E-3</v>
      </c>
      <c r="Z8120" s="21">
        <v>4601004138179</v>
      </c>
    </row>
    <row r="8121" spans="1:26" ht="12" customHeight="1" outlineLevel="3" x14ac:dyDescent="0.2">
      <c r="A8121" s="14" t="s">
        <v>15510</v>
      </c>
      <c r="B8121" s="26" t="s">
        <v>15511</v>
      </c>
      <c r="C8121" s="52"/>
      <c r="D8121" s="55">
        <f t="shared" si="126"/>
        <v>0</v>
      </c>
      <c r="E8121" s="63" t="str">
        <f>HYPERLINK("https://www.sds-group.ru/product/antenna-komnatnaya-aktivnaya-dlya-tsifrovogo-televideniya-dvb-t2-rx-267-rexant-34-0267/", "Инфо")</f>
        <v>Инфо</v>
      </c>
      <c r="F8121" s="16" t="s">
        <v>39</v>
      </c>
      <c r="G8121" s="15"/>
      <c r="H8121" s="15"/>
      <c r="I8121" s="15"/>
      <c r="J8121" s="22">
        <v>2750</v>
      </c>
      <c r="K8121" s="15" t="s">
        <v>1408</v>
      </c>
      <c r="L8121" s="17">
        <v>1</v>
      </c>
      <c r="M8121" s="17">
        <v>20</v>
      </c>
      <c r="N8121" s="17">
        <v>1</v>
      </c>
      <c r="O8121" s="18">
        <v>1142.23</v>
      </c>
      <c r="P8121" s="18">
        <v>936.25</v>
      </c>
      <c r="Q8121" s="18">
        <v>799.56</v>
      </c>
      <c r="R8121" s="18">
        <v>655.38</v>
      </c>
      <c r="S8121" s="18">
        <v>776.72</v>
      </c>
      <c r="T8121" s="18">
        <v>636.66</v>
      </c>
      <c r="U8121" s="16"/>
      <c r="V8121" s="16"/>
      <c r="W8121" s="16"/>
      <c r="X8121" s="19">
        <v>0.38400000000000001</v>
      </c>
      <c r="Y8121" s="20">
        <v>4.1089999999999998E-3</v>
      </c>
      <c r="Z8121" s="21">
        <v>4601004084452</v>
      </c>
    </row>
    <row r="8122" spans="1:26" ht="12" customHeight="1" outlineLevel="3" x14ac:dyDescent="0.2">
      <c r="A8122" s="14" t="s">
        <v>15512</v>
      </c>
      <c r="B8122" s="26" t="s">
        <v>15513</v>
      </c>
      <c r="C8122" s="52"/>
      <c r="D8122" s="55">
        <f t="shared" si="126"/>
        <v>0</v>
      </c>
      <c r="E8122" s="63" t="str">
        <f>HYPERLINK("https://www.sds-group.ru/product/antenna-komnatnaya-aktivnaya-dlya-tsifrovogo-televideniya-dvb-t2-na-prisoske-rx-257-rexant-34-0257/", "Инфо")</f>
        <v>Инфо</v>
      </c>
      <c r="F8122" s="16" t="s">
        <v>39</v>
      </c>
      <c r="G8122" s="15"/>
      <c r="H8122" s="15"/>
      <c r="I8122" s="15"/>
      <c r="J8122" s="17">
        <v>108</v>
      </c>
      <c r="K8122" s="15" t="s">
        <v>1408</v>
      </c>
      <c r="L8122" s="17">
        <v>1</v>
      </c>
      <c r="M8122" s="17">
        <v>20</v>
      </c>
      <c r="N8122" s="17">
        <v>1</v>
      </c>
      <c r="O8122" s="18">
        <v>1254.6400000000001</v>
      </c>
      <c r="P8122" s="18">
        <v>1028.3900000000001</v>
      </c>
      <c r="Q8122" s="18">
        <v>1003.71</v>
      </c>
      <c r="R8122" s="18">
        <v>822.71</v>
      </c>
      <c r="S8122" s="18">
        <v>853.16</v>
      </c>
      <c r="T8122" s="18">
        <v>699.31</v>
      </c>
      <c r="U8122" s="16"/>
      <c r="V8122" s="16"/>
      <c r="W8122" s="16" t="s">
        <v>40</v>
      </c>
      <c r="X8122" s="19">
        <v>6.7000000000000004E-2</v>
      </c>
      <c r="Y8122" s="20">
        <v>3.3399999999999999E-4</v>
      </c>
      <c r="Z8122" s="21">
        <v>4601004050310</v>
      </c>
    </row>
    <row r="8123" spans="1:26" ht="12" customHeight="1" outlineLevel="3" x14ac:dyDescent="0.2">
      <c r="A8123" s="14" t="s">
        <v>15514</v>
      </c>
      <c r="B8123" s="26" t="s">
        <v>15515</v>
      </c>
      <c r="C8123" s="52"/>
      <c r="D8123" s="55">
        <f t="shared" si="126"/>
        <v>0</v>
      </c>
      <c r="E8123" s="63" t="str">
        <f>HYPERLINK("https://www.sds-group.ru/product/antenna-komnatnaya-aktivnaya-dlya-tsifrovogo-televideniya-dvb-t2-ag-705-rexant-34-0705/", "Инфо")</f>
        <v>Инфо</v>
      </c>
      <c r="F8123" s="16" t="s">
        <v>39</v>
      </c>
      <c r="G8123" s="15"/>
      <c r="H8123" s="15"/>
      <c r="I8123" s="15"/>
      <c r="J8123" s="17">
        <v>20</v>
      </c>
      <c r="K8123" s="15"/>
      <c r="L8123" s="17">
        <v>1</v>
      </c>
      <c r="M8123" s="17">
        <v>20</v>
      </c>
      <c r="N8123" s="17">
        <v>1</v>
      </c>
      <c r="O8123" s="18">
        <v>1384.34</v>
      </c>
      <c r="P8123" s="18">
        <v>1134.7</v>
      </c>
      <c r="Q8123" s="18">
        <v>1107.47</v>
      </c>
      <c r="R8123" s="18">
        <v>907.76</v>
      </c>
      <c r="S8123" s="18">
        <v>941.35</v>
      </c>
      <c r="T8123" s="18">
        <v>771.6</v>
      </c>
      <c r="U8123" s="16"/>
      <c r="V8123" s="16"/>
      <c r="W8123" s="16" t="s">
        <v>40</v>
      </c>
      <c r="X8123" s="19">
        <v>9.4E-2</v>
      </c>
      <c r="Y8123" s="20">
        <v>8.9700000000000001E-4</v>
      </c>
      <c r="Z8123" s="21">
        <v>4601004138087</v>
      </c>
    </row>
    <row r="8124" spans="1:26" ht="12" customHeight="1" outlineLevel="3" x14ac:dyDescent="0.2">
      <c r="A8124" s="14" t="s">
        <v>15516</v>
      </c>
      <c r="B8124" s="26" t="s">
        <v>15517</v>
      </c>
      <c r="C8124" s="52"/>
      <c r="D8124" s="55">
        <f t="shared" si="126"/>
        <v>0</v>
      </c>
      <c r="E8124" s="63" t="str">
        <f>HYPERLINK("https://www.sds-group.ru/product/antenna-komnatnaya-aktivnaya-s-usb-pitaniem-dlya-tsifrovogo-televideniya-dvb-t2-ring-51-rexa-34-0723/", "Инфо")</f>
        <v>Инфо</v>
      </c>
      <c r="F8124" s="16" t="s">
        <v>39</v>
      </c>
      <c r="G8124" s="15"/>
      <c r="H8124" s="15"/>
      <c r="I8124" s="15"/>
      <c r="J8124" s="16" t="s">
        <v>100</v>
      </c>
      <c r="K8124" s="15" t="s">
        <v>1408</v>
      </c>
      <c r="L8124" s="17">
        <v>1</v>
      </c>
      <c r="M8124" s="17">
        <v>20</v>
      </c>
      <c r="N8124" s="17">
        <v>1</v>
      </c>
      <c r="O8124" s="18">
        <v>2585.36</v>
      </c>
      <c r="P8124" s="18">
        <v>2119.15</v>
      </c>
      <c r="Q8124" s="18">
        <v>2068.29</v>
      </c>
      <c r="R8124" s="18">
        <v>1695.32</v>
      </c>
      <c r="S8124" s="18">
        <v>1758.04</v>
      </c>
      <c r="T8124" s="18">
        <v>1441.02</v>
      </c>
      <c r="U8124" s="16"/>
      <c r="V8124" s="16"/>
      <c r="W8124" s="16" t="s">
        <v>40</v>
      </c>
      <c r="X8124" s="19">
        <v>0.27500000000000002</v>
      </c>
      <c r="Y8124" s="20">
        <v>2.4979999999999998E-3</v>
      </c>
      <c r="Z8124" s="21">
        <v>4601004207622</v>
      </c>
    </row>
    <row r="8125" spans="1:26" ht="12" customHeight="1" outlineLevel="3" x14ac:dyDescent="0.2">
      <c r="A8125" s="14" t="s">
        <v>15518</v>
      </c>
      <c r="B8125" s="26" t="s">
        <v>15519</v>
      </c>
      <c r="C8125" s="52"/>
      <c r="D8125" s="55">
        <f t="shared" si="126"/>
        <v>0</v>
      </c>
      <c r="E8125" s="63" t="str">
        <f>HYPERLINK("https://www.sds-group.ru/product/antenna-komnatnaya-aktivnaya-s-usb-pitaniem-dlya-tsifrovogo-televideniya-dvb-t2-ag-715-rexan-34-0715/", "Инфо")</f>
        <v>Инфо</v>
      </c>
      <c r="F8125" s="16" t="s">
        <v>39</v>
      </c>
      <c r="G8125" s="15"/>
      <c r="H8125" s="15"/>
      <c r="I8125" s="15"/>
      <c r="J8125" s="17">
        <v>90</v>
      </c>
      <c r="K8125" s="15"/>
      <c r="L8125" s="17">
        <v>1</v>
      </c>
      <c r="M8125" s="17">
        <v>20</v>
      </c>
      <c r="N8125" s="17">
        <v>1</v>
      </c>
      <c r="O8125" s="18">
        <v>2262.19</v>
      </c>
      <c r="P8125" s="18">
        <v>1854.25</v>
      </c>
      <c r="Q8125" s="18">
        <v>1922.86</v>
      </c>
      <c r="R8125" s="18">
        <v>1576.11</v>
      </c>
      <c r="S8125" s="18">
        <v>1538.29</v>
      </c>
      <c r="T8125" s="18">
        <v>1260.8900000000001</v>
      </c>
      <c r="U8125" s="16"/>
      <c r="V8125" s="16"/>
      <c r="W8125" s="16" t="s">
        <v>40</v>
      </c>
      <c r="X8125" s="19">
        <v>0.214</v>
      </c>
      <c r="Y8125" s="20">
        <v>1.438E-3</v>
      </c>
      <c r="Z8125" s="21">
        <v>4601004138155</v>
      </c>
    </row>
    <row r="8126" spans="1:26" ht="12" customHeight="1" outlineLevel="3" x14ac:dyDescent="0.2">
      <c r="A8126" s="14" t="s">
        <v>15520</v>
      </c>
      <c r="B8126" s="26" t="s">
        <v>15521</v>
      </c>
      <c r="C8126" s="52"/>
      <c r="D8126" s="55">
        <f t="shared" si="126"/>
        <v>0</v>
      </c>
      <c r="E8126" s="63" t="str">
        <f>HYPERLINK("https://www.sds-group.ru/product/antenna-komnatnaya-aktivnaya-s-usb-pitaniem-dlya-tsifrovogo-televideniya-dvb-t2-ag-703-rexan-34-0703/", "Инфо")</f>
        <v>Инфо</v>
      </c>
      <c r="F8126" s="16" t="s">
        <v>39</v>
      </c>
      <c r="G8126" s="15"/>
      <c r="H8126" s="15"/>
      <c r="I8126" s="15"/>
      <c r="J8126" s="17">
        <v>10</v>
      </c>
      <c r="K8126" s="15"/>
      <c r="L8126" s="17">
        <v>1</v>
      </c>
      <c r="M8126" s="17">
        <v>20</v>
      </c>
      <c r="N8126" s="17">
        <v>1</v>
      </c>
      <c r="O8126" s="18">
        <v>2635.5</v>
      </c>
      <c r="P8126" s="18">
        <v>2160.25</v>
      </c>
      <c r="Q8126" s="18">
        <v>2082.0500000000002</v>
      </c>
      <c r="R8126" s="18">
        <v>1706.6</v>
      </c>
      <c r="S8126" s="18">
        <v>1792.14</v>
      </c>
      <c r="T8126" s="18">
        <v>1468.97</v>
      </c>
      <c r="U8126" s="16"/>
      <c r="V8126" s="16"/>
      <c r="W8126" s="16" t="s">
        <v>40</v>
      </c>
      <c r="X8126" s="19">
        <v>0.45</v>
      </c>
      <c r="Y8126" s="20">
        <v>2.947E-3</v>
      </c>
      <c r="Z8126" s="21">
        <v>4601004138070</v>
      </c>
    </row>
    <row r="8127" spans="1:26" ht="12" customHeight="1" outlineLevel="3" x14ac:dyDescent="0.2">
      <c r="A8127" s="14" t="s">
        <v>15522</v>
      </c>
      <c r="B8127" s="26" t="s">
        <v>15523</v>
      </c>
      <c r="C8127" s="52"/>
      <c r="D8127" s="55">
        <f t="shared" si="126"/>
        <v>0</v>
      </c>
      <c r="E8127" s="63" t="str">
        <f>HYPERLINK("https://www.sds-group.ru/product/antenna-komnatnaya-aktivnaya-s-usb-pitaniem-dlya-tsifrovogo-televideniya-dvb-t2-ag-719-rexan-34-0719/", "Инфо")</f>
        <v>Инфо</v>
      </c>
      <c r="F8127" s="16" t="s">
        <v>39</v>
      </c>
      <c r="G8127" s="15"/>
      <c r="H8127" s="15"/>
      <c r="I8127" s="15"/>
      <c r="J8127" s="17">
        <v>14</v>
      </c>
      <c r="K8127" s="15"/>
      <c r="L8127" s="17">
        <v>1</v>
      </c>
      <c r="M8127" s="17">
        <v>20</v>
      </c>
      <c r="N8127" s="17">
        <v>1</v>
      </c>
      <c r="O8127" s="18">
        <v>2317.9</v>
      </c>
      <c r="P8127" s="18">
        <v>1899.92</v>
      </c>
      <c r="Q8127" s="18">
        <v>1622.53</v>
      </c>
      <c r="R8127" s="18">
        <v>1329.94</v>
      </c>
      <c r="S8127" s="18">
        <v>1576.17</v>
      </c>
      <c r="T8127" s="18">
        <v>1291.94</v>
      </c>
      <c r="U8127" s="16"/>
      <c r="V8127" s="16"/>
      <c r="W8127" s="16"/>
      <c r="X8127" s="19">
        <v>0.245</v>
      </c>
      <c r="Y8127" s="20">
        <v>1.358E-3</v>
      </c>
      <c r="Z8127" s="21">
        <v>4601004138186</v>
      </c>
    </row>
    <row r="8128" spans="1:26" ht="12" customHeight="1" outlineLevel="3" x14ac:dyDescent="0.2">
      <c r="A8128" s="14" t="s">
        <v>15524</v>
      </c>
      <c r="B8128" s="26" t="s">
        <v>15525</v>
      </c>
      <c r="C8128" s="52"/>
      <c r="D8128" s="55">
        <f t="shared" si="126"/>
        <v>0</v>
      </c>
      <c r="E8128" s="63" t="str">
        <f>HYPERLINK("https://www.sds-group.ru/product/antenna-komnatnaya-aktivnaya-s-usb-pitaniem-dlya-tsifrovogo-televideniya-dvb-t2-rx-269-rexan-34-0269/", "Инфо")</f>
        <v>Инфо</v>
      </c>
      <c r="F8128" s="16" t="s">
        <v>39</v>
      </c>
      <c r="G8128" s="15"/>
      <c r="H8128" s="15"/>
      <c r="I8128" s="15"/>
      <c r="J8128" s="17">
        <v>514</v>
      </c>
      <c r="K8128" s="15" t="s">
        <v>1408</v>
      </c>
      <c r="L8128" s="17">
        <v>1</v>
      </c>
      <c r="M8128" s="17">
        <v>20</v>
      </c>
      <c r="N8128" s="17">
        <v>1</v>
      </c>
      <c r="O8128" s="18">
        <v>1560.13</v>
      </c>
      <c r="P8128" s="18">
        <v>1278.8</v>
      </c>
      <c r="Q8128" s="18">
        <v>1326.11</v>
      </c>
      <c r="R8128" s="18">
        <v>1086.98</v>
      </c>
      <c r="S8128" s="18">
        <v>1060.8900000000001</v>
      </c>
      <c r="T8128" s="18">
        <v>869.58</v>
      </c>
      <c r="U8128" s="16"/>
      <c r="V8128" s="16"/>
      <c r="W8128" s="16" t="s">
        <v>40</v>
      </c>
      <c r="X8128" s="19">
        <v>0.377</v>
      </c>
      <c r="Y8128" s="20">
        <v>3.774E-3</v>
      </c>
      <c r="Z8128" s="21">
        <v>4601004142336</v>
      </c>
    </row>
    <row r="8129" spans="1:26" ht="12" customHeight="1" outlineLevel="3" x14ac:dyDescent="0.2">
      <c r="A8129" s="14" t="s">
        <v>15526</v>
      </c>
      <c r="B8129" s="26" t="s">
        <v>15527</v>
      </c>
      <c r="C8129" s="52"/>
      <c r="D8129" s="55">
        <f t="shared" si="126"/>
        <v>0</v>
      </c>
      <c r="E8129" s="63" t="str">
        <f>HYPERLINK("https://www.sds-group.ru/product/antenna-komnatnaya-aktivnaya-s-usb-pitaniem-dlya-tsifrovogo-televideniya-dvb-t2-ag-707-rexan-34-0707/", "Инфо")</f>
        <v>Инфо</v>
      </c>
      <c r="F8129" s="16" t="s">
        <v>39</v>
      </c>
      <c r="G8129" s="15"/>
      <c r="H8129" s="15"/>
      <c r="I8129" s="15"/>
      <c r="J8129" s="17">
        <v>41</v>
      </c>
      <c r="K8129" s="15"/>
      <c r="L8129" s="17">
        <v>1</v>
      </c>
      <c r="M8129" s="17">
        <v>20</v>
      </c>
      <c r="N8129" s="17">
        <v>1</v>
      </c>
      <c r="O8129" s="18">
        <v>1838.73</v>
      </c>
      <c r="P8129" s="18">
        <v>1507.16</v>
      </c>
      <c r="Q8129" s="18">
        <v>1562.92</v>
      </c>
      <c r="R8129" s="18">
        <v>1281.08</v>
      </c>
      <c r="S8129" s="18">
        <v>1250.3399999999999</v>
      </c>
      <c r="T8129" s="18">
        <v>1024.8699999999999</v>
      </c>
      <c r="U8129" s="16"/>
      <c r="V8129" s="16"/>
      <c r="W8129" s="16" t="s">
        <v>40</v>
      </c>
      <c r="X8129" s="19">
        <v>0.121</v>
      </c>
      <c r="Y8129" s="20">
        <v>8.8699999999999998E-4</v>
      </c>
      <c r="Z8129" s="21">
        <v>4601004138100</v>
      </c>
    </row>
    <row r="8130" spans="1:26" ht="12" customHeight="1" outlineLevel="3" x14ac:dyDescent="0.2">
      <c r="A8130" s="14" t="s">
        <v>15528</v>
      </c>
      <c r="B8130" s="26" t="s">
        <v>15529</v>
      </c>
      <c r="C8130" s="52"/>
      <c r="D8130" s="55">
        <f t="shared" si="126"/>
        <v>0</v>
      </c>
      <c r="E8130" s="63" t="str">
        <f>HYPERLINK("https://www.sds-group.ru/product/antenna-komnatnaya-aktivnaya-s-usb-pitaniem-dlya-tsifrovogo-televideniya-dvb-t2-ag-711-rexan-34-0711/", "Инфо")</f>
        <v>Инфо</v>
      </c>
      <c r="F8130" s="16" t="s">
        <v>39</v>
      </c>
      <c r="G8130" s="15"/>
      <c r="H8130" s="15"/>
      <c r="I8130" s="15"/>
      <c r="J8130" s="17">
        <v>60</v>
      </c>
      <c r="K8130" s="15"/>
      <c r="L8130" s="17">
        <v>1</v>
      </c>
      <c r="M8130" s="17">
        <v>20</v>
      </c>
      <c r="N8130" s="17">
        <v>1</v>
      </c>
      <c r="O8130" s="18">
        <v>2184.1799999999998</v>
      </c>
      <c r="P8130" s="18">
        <v>1790.31</v>
      </c>
      <c r="Q8130" s="18">
        <v>1725.5</v>
      </c>
      <c r="R8130" s="18">
        <v>1414.34</v>
      </c>
      <c r="S8130" s="18">
        <v>1485.24</v>
      </c>
      <c r="T8130" s="18">
        <v>1217.4100000000001</v>
      </c>
      <c r="U8130" s="16"/>
      <c r="V8130" s="16"/>
      <c r="W8130" s="16" t="s">
        <v>40</v>
      </c>
      <c r="X8130" s="19">
        <v>0.216</v>
      </c>
      <c r="Y8130" s="20">
        <v>2.4359999999999998E-3</v>
      </c>
      <c r="Z8130" s="21">
        <v>4601004138131</v>
      </c>
    </row>
    <row r="8131" spans="1:26" ht="12" customHeight="1" outlineLevel="3" x14ac:dyDescent="0.2">
      <c r="A8131" s="14" t="s">
        <v>15530</v>
      </c>
      <c r="B8131" s="26" t="s">
        <v>15531</v>
      </c>
      <c r="C8131" s="52"/>
      <c r="D8131" s="55">
        <f t="shared" si="126"/>
        <v>0</v>
      </c>
      <c r="E8131" s="63" t="str">
        <f>HYPERLINK("https://www.sds-group.ru/product/antenna-komnatnaya-dlya-tsifrovogo-televideniya-dvb-t2-rx-252-rexant-34-0252/", "Инфо")</f>
        <v>Инфо</v>
      </c>
      <c r="F8131" s="16" t="s">
        <v>39</v>
      </c>
      <c r="G8131" s="15"/>
      <c r="H8131" s="15"/>
      <c r="I8131" s="15"/>
      <c r="J8131" s="17">
        <v>816</v>
      </c>
      <c r="K8131" s="15"/>
      <c r="L8131" s="17">
        <v>1</v>
      </c>
      <c r="M8131" s="17">
        <v>20</v>
      </c>
      <c r="N8131" s="17">
        <v>1</v>
      </c>
      <c r="O8131" s="18">
        <v>944.59</v>
      </c>
      <c r="P8131" s="18">
        <v>774.25</v>
      </c>
      <c r="Q8131" s="18">
        <v>661.21</v>
      </c>
      <c r="R8131" s="18">
        <v>541.98</v>
      </c>
      <c r="S8131" s="18">
        <v>642.32000000000005</v>
      </c>
      <c r="T8131" s="18">
        <v>526.49</v>
      </c>
      <c r="U8131" s="16"/>
      <c r="V8131" s="16"/>
      <c r="W8131" s="16"/>
      <c r="X8131" s="19">
        <v>0.32400000000000001</v>
      </c>
      <c r="Y8131" s="20">
        <v>4.0410000000000003E-3</v>
      </c>
      <c r="Z8131" s="21">
        <v>4601004037045</v>
      </c>
    </row>
    <row r="8132" spans="1:26" ht="12" customHeight="1" outlineLevel="3" x14ac:dyDescent="0.2">
      <c r="A8132" s="14" t="s">
        <v>15532</v>
      </c>
      <c r="B8132" s="26" t="s">
        <v>15533</v>
      </c>
      <c r="C8132" s="52"/>
      <c r="D8132" s="55">
        <f t="shared" si="126"/>
        <v>0</v>
      </c>
      <c r="E8132" s="63" t="str">
        <f>HYPERLINK("https://www.sds-group.ru/product/antenna-komnatnaya-dlya-tsifrovogo-televideniya-dvb-t2-rx-265-rexant-34-0265/", "Инфо")</f>
        <v>Инфо</v>
      </c>
      <c r="F8132" s="16" t="s">
        <v>39</v>
      </c>
      <c r="G8132" s="15"/>
      <c r="H8132" s="15"/>
      <c r="I8132" s="15"/>
      <c r="J8132" s="22">
        <v>3508</v>
      </c>
      <c r="K8132" s="15"/>
      <c r="L8132" s="17">
        <v>1</v>
      </c>
      <c r="M8132" s="17">
        <v>20</v>
      </c>
      <c r="N8132" s="17">
        <v>1</v>
      </c>
      <c r="O8132" s="18">
        <v>944.59</v>
      </c>
      <c r="P8132" s="18">
        <v>774.25</v>
      </c>
      <c r="Q8132" s="18">
        <v>661.21</v>
      </c>
      <c r="R8132" s="18">
        <v>541.98</v>
      </c>
      <c r="S8132" s="18">
        <v>642.32000000000005</v>
      </c>
      <c r="T8132" s="18">
        <v>526.49</v>
      </c>
      <c r="U8132" s="16"/>
      <c r="V8132" s="16"/>
      <c r="W8132" s="16"/>
      <c r="X8132" s="19">
        <v>0.39800000000000002</v>
      </c>
      <c r="Y8132" s="20">
        <v>4.2030000000000001E-3</v>
      </c>
      <c r="Z8132" s="21">
        <v>4601004084476</v>
      </c>
    </row>
    <row r="8133" spans="1:26" ht="12" customHeight="1" outlineLevel="3" x14ac:dyDescent="0.2">
      <c r="A8133" s="14" t="s">
        <v>15534</v>
      </c>
      <c r="B8133" s="26" t="s">
        <v>15535</v>
      </c>
      <c r="C8133" s="52"/>
      <c r="D8133" s="55">
        <f t="shared" si="126"/>
        <v>0</v>
      </c>
      <c r="E8133" s="63" t="str">
        <f>HYPERLINK("https://www.sds-group.ru/product/antenna-komnatnaya-dlya-tsifrovogo-televideniya-dvb-t2-na-prisoske-rx-255-rexant-34-0255/", "Инфо")</f>
        <v>Инфо</v>
      </c>
      <c r="F8133" s="16" t="s">
        <v>39</v>
      </c>
      <c r="G8133" s="15"/>
      <c r="H8133" s="15"/>
      <c r="I8133" s="15"/>
      <c r="J8133" s="17">
        <v>185</v>
      </c>
      <c r="K8133" s="15"/>
      <c r="L8133" s="17">
        <v>1</v>
      </c>
      <c r="M8133" s="17">
        <v>20</v>
      </c>
      <c r="N8133" s="17">
        <v>1</v>
      </c>
      <c r="O8133" s="18">
        <v>928.31</v>
      </c>
      <c r="P8133" s="18">
        <v>760.91</v>
      </c>
      <c r="Q8133" s="18">
        <v>733.36</v>
      </c>
      <c r="R8133" s="18">
        <v>601.11</v>
      </c>
      <c r="S8133" s="18">
        <v>631.25</v>
      </c>
      <c r="T8133" s="18">
        <v>517.41999999999996</v>
      </c>
      <c r="U8133" s="16"/>
      <c r="V8133" s="16"/>
      <c r="W8133" s="16" t="s">
        <v>40</v>
      </c>
      <c r="X8133" s="19">
        <v>7.8E-2</v>
      </c>
      <c r="Y8133" s="20">
        <v>5.5099999999999995E-4</v>
      </c>
      <c r="Z8133" s="21">
        <v>4601004050303</v>
      </c>
    </row>
    <row r="8134" spans="1:26" ht="12" customHeight="1" outlineLevel="3" x14ac:dyDescent="0.2">
      <c r="A8134" s="14" t="s">
        <v>15536</v>
      </c>
      <c r="B8134" s="26" t="s">
        <v>15537</v>
      </c>
      <c r="C8134" s="52"/>
      <c r="D8134" s="55">
        <f t="shared" si="126"/>
        <v>0</v>
      </c>
      <c r="E8134" s="63" t="str">
        <f>HYPERLINK("https://www.sds-group.ru/product/antenna-komnatnaya-teleskopicheskaya-na-podstavke-usy-koltso-rx-100-rexant-34-0100/", "Инфо")</f>
        <v>Инфо</v>
      </c>
      <c r="F8134" s="16" t="s">
        <v>39</v>
      </c>
      <c r="G8134" s="15"/>
      <c r="H8134" s="15"/>
      <c r="I8134" s="15"/>
      <c r="J8134" s="22">
        <v>9978</v>
      </c>
      <c r="K8134" s="15" t="s">
        <v>6939</v>
      </c>
      <c r="L8134" s="17">
        <v>5</v>
      </c>
      <c r="M8134" s="17">
        <v>50</v>
      </c>
      <c r="N8134" s="17">
        <v>5</v>
      </c>
      <c r="O8134" s="18">
        <v>445.67</v>
      </c>
      <c r="P8134" s="18">
        <v>365.3</v>
      </c>
      <c r="Q8134" s="18">
        <v>378.82</v>
      </c>
      <c r="R8134" s="18">
        <v>310.51</v>
      </c>
      <c r="S8134" s="18">
        <v>303.06</v>
      </c>
      <c r="T8134" s="18">
        <v>248.41</v>
      </c>
      <c r="U8134" s="16"/>
      <c r="V8134" s="16"/>
      <c r="W8134" s="16" t="s">
        <v>40</v>
      </c>
      <c r="X8134" s="19">
        <v>0.13600000000000001</v>
      </c>
      <c r="Y8134" s="20">
        <v>1E-3</v>
      </c>
      <c r="Z8134" s="21">
        <v>4610003605315</v>
      </c>
    </row>
    <row r="8135" spans="1:26" ht="12" customHeight="1" outlineLevel="3" x14ac:dyDescent="0.2">
      <c r="A8135" s="14" t="s">
        <v>15538</v>
      </c>
      <c r="B8135" s="26" t="s">
        <v>15539</v>
      </c>
      <c r="C8135" s="52"/>
      <c r="D8135" s="55">
        <f t="shared" si="126"/>
        <v>0</v>
      </c>
      <c r="E8135" s="63" t="str">
        <f>HYPERLINK("https://www.sds-group.ru/product/antenna-komnatnaya-teleskopicheskaya-na-podstavke-usy-rx-105-rexant-34-0105/", "Инфо")</f>
        <v>Инфо</v>
      </c>
      <c r="F8135" s="16" t="s">
        <v>39</v>
      </c>
      <c r="G8135" s="15"/>
      <c r="H8135" s="15"/>
      <c r="I8135" s="15"/>
      <c r="J8135" s="22">
        <v>25765</v>
      </c>
      <c r="K8135" s="15" t="s">
        <v>995</v>
      </c>
      <c r="L8135" s="17">
        <v>5</v>
      </c>
      <c r="M8135" s="17">
        <v>50</v>
      </c>
      <c r="N8135" s="17">
        <v>5</v>
      </c>
      <c r="O8135" s="18">
        <v>301.07</v>
      </c>
      <c r="P8135" s="18">
        <v>246.78</v>
      </c>
      <c r="Q8135" s="18">
        <v>255.91</v>
      </c>
      <c r="R8135" s="18">
        <v>209.76</v>
      </c>
      <c r="S8135" s="18">
        <v>204.73</v>
      </c>
      <c r="T8135" s="18">
        <v>167.81</v>
      </c>
      <c r="U8135" s="16"/>
      <c r="V8135" s="16"/>
      <c r="W8135" s="16" t="s">
        <v>40</v>
      </c>
      <c r="X8135" s="19">
        <v>0.114</v>
      </c>
      <c r="Y8135" s="20">
        <v>9.5699999999999995E-4</v>
      </c>
      <c r="Z8135" s="21">
        <v>4610003601911</v>
      </c>
    </row>
    <row r="8136" spans="1:26" ht="12.95" customHeight="1" outlineLevel="2" x14ac:dyDescent="0.2">
      <c r="A8136" s="76" t="s">
        <v>15540</v>
      </c>
      <c r="B8136" s="76"/>
      <c r="C8136" s="77"/>
      <c r="D8136" s="58"/>
      <c r="E8136" s="68"/>
      <c r="F8136" s="13"/>
      <c r="G8136" s="13"/>
      <c r="H8136" s="13"/>
      <c r="I8136" s="13"/>
      <c r="J8136" s="13"/>
      <c r="K8136" s="13"/>
      <c r="L8136" s="13"/>
      <c r="M8136" s="13"/>
      <c r="N8136" s="13"/>
      <c r="O8136" s="13"/>
      <c r="P8136" s="13"/>
      <c r="Q8136" s="13"/>
      <c r="R8136" s="13"/>
      <c r="S8136" s="13"/>
      <c r="T8136" s="13"/>
      <c r="U8136" s="13"/>
      <c r="V8136" s="13"/>
      <c r="W8136" s="13"/>
      <c r="X8136" s="13"/>
      <c r="Y8136" s="13"/>
      <c r="Z8136" s="13"/>
    </row>
    <row r="8137" spans="1:26" ht="12" customHeight="1" outlineLevel="3" x14ac:dyDescent="0.2">
      <c r="A8137" s="14" t="s">
        <v>15541</v>
      </c>
      <c r="B8137" s="26" t="s">
        <v>15542</v>
      </c>
      <c r="C8137" s="52"/>
      <c r="D8137" s="55">
        <f t="shared" ref="D8137:D8200" si="127">C8137*(O8137-O8137*$G$3)</f>
        <v>0</v>
      </c>
      <c r="E8137" s="63" t="str">
        <f>HYPERLINK("https://www.sds-group.ru/product/tv-antenna-naruzhnaya-aktivnaya-dlya-tsifrovogo-tv-dvb-t2-rx-408-rexant-34-0408/", "Инфо")</f>
        <v>Инфо</v>
      </c>
      <c r="F8137" s="16" t="s">
        <v>39</v>
      </c>
      <c r="G8137" s="15"/>
      <c r="H8137" s="15"/>
      <c r="I8137" s="15"/>
      <c r="J8137" s="22">
        <v>2085</v>
      </c>
      <c r="K8137" s="15"/>
      <c r="L8137" s="17">
        <v>1</v>
      </c>
      <c r="M8137" s="17">
        <v>15</v>
      </c>
      <c r="N8137" s="17">
        <v>1</v>
      </c>
      <c r="O8137" s="18">
        <v>1332.42</v>
      </c>
      <c r="P8137" s="18">
        <v>1092.1500000000001</v>
      </c>
      <c r="Q8137" s="18">
        <v>932.69</v>
      </c>
      <c r="R8137" s="18">
        <v>764.5</v>
      </c>
      <c r="S8137" s="18">
        <v>906.05</v>
      </c>
      <c r="T8137" s="18">
        <v>742.66</v>
      </c>
      <c r="U8137" s="16"/>
      <c r="V8137" s="16"/>
      <c r="W8137" s="16"/>
      <c r="X8137" s="19">
        <v>0.32400000000000001</v>
      </c>
      <c r="Y8137" s="20">
        <v>5.156E-3</v>
      </c>
      <c r="Z8137" s="21">
        <v>4601004084346</v>
      </c>
    </row>
    <row r="8138" spans="1:26" ht="12" customHeight="1" outlineLevel="3" x14ac:dyDescent="0.2">
      <c r="A8138" s="14" t="s">
        <v>15543</v>
      </c>
      <c r="B8138" s="26" t="s">
        <v>15544</v>
      </c>
      <c r="C8138" s="52"/>
      <c r="D8138" s="55">
        <f t="shared" si="127"/>
        <v>0</v>
      </c>
      <c r="E8138" s="63" t="str">
        <f>HYPERLINK("https://www.sds-group.ru/product/tv-antenna-naruzhnaya-aktivnaya-dlya-tsifrovogo-tv-dvb-t2-rx-415-rexant-34-0415/", "Инфо")</f>
        <v>Инфо</v>
      </c>
      <c r="F8138" s="16" t="s">
        <v>39</v>
      </c>
      <c r="G8138" s="15"/>
      <c r="H8138" s="15"/>
      <c r="I8138" s="15"/>
      <c r="J8138" s="17">
        <v>22</v>
      </c>
      <c r="K8138" s="15"/>
      <c r="L8138" s="17">
        <v>1</v>
      </c>
      <c r="M8138" s="17">
        <v>5</v>
      </c>
      <c r="N8138" s="17">
        <v>1</v>
      </c>
      <c r="O8138" s="18">
        <v>6801.39</v>
      </c>
      <c r="P8138" s="18">
        <v>5574.91</v>
      </c>
      <c r="Q8138" s="18">
        <v>5373.1</v>
      </c>
      <c r="R8138" s="18">
        <v>4404.18</v>
      </c>
      <c r="S8138" s="18">
        <v>4624.95</v>
      </c>
      <c r="T8138" s="18">
        <v>3790.94</v>
      </c>
      <c r="U8138" s="16"/>
      <c r="V8138" s="16"/>
      <c r="W8138" s="16" t="s">
        <v>40</v>
      </c>
      <c r="X8138" s="19">
        <v>2.41</v>
      </c>
      <c r="Y8138" s="20">
        <v>2.256E-2</v>
      </c>
      <c r="Z8138" s="21">
        <v>4601004084513</v>
      </c>
    </row>
    <row r="8139" spans="1:26" ht="12" customHeight="1" outlineLevel="3" x14ac:dyDescent="0.2">
      <c r="A8139" s="14" t="s">
        <v>15545</v>
      </c>
      <c r="B8139" s="26" t="s">
        <v>15546</v>
      </c>
      <c r="C8139" s="52"/>
      <c r="D8139" s="55">
        <f t="shared" si="127"/>
        <v>0</v>
      </c>
      <c r="E8139" s="63" t="str">
        <f>HYPERLINK("https://www.sds-group.ru/product/tv-antenna-naruzhnaya-aktivnaya-dlya-tsifrovogo-tv-dvb-t2-rx-415-1-rexant-34-0415-1/", "Инфо")</f>
        <v>Инфо</v>
      </c>
      <c r="F8139" s="16" t="s">
        <v>39</v>
      </c>
      <c r="G8139" s="15"/>
      <c r="H8139" s="15"/>
      <c r="I8139" s="15"/>
      <c r="J8139" s="17">
        <v>13</v>
      </c>
      <c r="K8139" s="15"/>
      <c r="L8139" s="17">
        <v>1</v>
      </c>
      <c r="M8139" s="17">
        <v>5</v>
      </c>
      <c r="N8139" s="17">
        <v>1</v>
      </c>
      <c r="O8139" s="18">
        <v>7188.92</v>
      </c>
      <c r="P8139" s="18">
        <v>5892.56</v>
      </c>
      <c r="Q8139" s="18">
        <v>5751.14</v>
      </c>
      <c r="R8139" s="18">
        <v>4714.05</v>
      </c>
      <c r="S8139" s="18">
        <v>4888.47</v>
      </c>
      <c r="T8139" s="18">
        <v>4006.94</v>
      </c>
      <c r="U8139" s="16"/>
      <c r="V8139" s="16"/>
      <c r="W8139" s="16" t="s">
        <v>40</v>
      </c>
      <c r="X8139" s="19">
        <v>2.085</v>
      </c>
      <c r="Y8139" s="20">
        <v>5.1479999999999998E-2</v>
      </c>
      <c r="Z8139" s="21">
        <v>4601004084384</v>
      </c>
    </row>
    <row r="8140" spans="1:26" ht="12" customHeight="1" outlineLevel="3" x14ac:dyDescent="0.2">
      <c r="A8140" s="14" t="s">
        <v>15547</v>
      </c>
      <c r="B8140" s="26" t="s">
        <v>15548</v>
      </c>
      <c r="C8140" s="52"/>
      <c r="D8140" s="55">
        <f t="shared" si="127"/>
        <v>0</v>
      </c>
      <c r="E8140" s="63" t="str">
        <f>HYPERLINK("https://www.sds-group.ru/product/tv-antenna-naruzhnaya-aktivnaya-dlya-tsifrovogo-tv-dvb-t2-rx-422-rexant-34-0422/", "Инфо")</f>
        <v>Инфо</v>
      </c>
      <c r="F8140" s="16" t="s">
        <v>39</v>
      </c>
      <c r="G8140" s="15"/>
      <c r="H8140" s="15"/>
      <c r="I8140" s="15"/>
      <c r="J8140" s="17">
        <v>179</v>
      </c>
      <c r="K8140" s="15"/>
      <c r="L8140" s="17">
        <v>1</v>
      </c>
      <c r="M8140" s="17">
        <v>20</v>
      </c>
      <c r="N8140" s="17">
        <v>1</v>
      </c>
      <c r="O8140" s="18">
        <v>1281.54</v>
      </c>
      <c r="P8140" s="18">
        <v>1050.44</v>
      </c>
      <c r="Q8140" s="18">
        <v>1089.31</v>
      </c>
      <c r="R8140" s="18">
        <v>892.88</v>
      </c>
      <c r="S8140" s="18">
        <v>871.45</v>
      </c>
      <c r="T8140" s="18">
        <v>714.3</v>
      </c>
      <c r="U8140" s="16"/>
      <c r="V8140" s="16"/>
      <c r="W8140" s="16" t="s">
        <v>40</v>
      </c>
      <c r="X8140" s="19">
        <v>0.39300000000000002</v>
      </c>
      <c r="Y8140" s="20">
        <v>3.8419999999999999E-3</v>
      </c>
      <c r="Z8140" s="21">
        <v>4601004099579</v>
      </c>
    </row>
    <row r="8141" spans="1:26" ht="12" customHeight="1" outlineLevel="3" x14ac:dyDescent="0.2">
      <c r="A8141" s="14" t="s">
        <v>15549</v>
      </c>
      <c r="B8141" s="26" t="s">
        <v>15550</v>
      </c>
      <c r="C8141" s="52"/>
      <c r="D8141" s="55">
        <f t="shared" si="127"/>
        <v>0</v>
      </c>
      <c r="E8141" s="63" t="str">
        <f>HYPERLINK("https://www.sds-group.ru/product/tv-antenna-naruzhnaya-aktivnaya-dlya-tsifrovogo-tv-dvb-t2-rx-424-rexant-34-0424/", "Инфо")</f>
        <v>Инфо</v>
      </c>
      <c r="F8141" s="16" t="s">
        <v>39</v>
      </c>
      <c r="G8141" s="15"/>
      <c r="H8141" s="15"/>
      <c r="I8141" s="15"/>
      <c r="J8141" s="17">
        <v>470</v>
      </c>
      <c r="K8141" s="15" t="s">
        <v>1408</v>
      </c>
      <c r="L8141" s="17">
        <v>1</v>
      </c>
      <c r="M8141" s="17">
        <v>20</v>
      </c>
      <c r="N8141" s="17">
        <v>1</v>
      </c>
      <c r="O8141" s="18">
        <v>1221.47</v>
      </c>
      <c r="P8141" s="18">
        <v>1001.2</v>
      </c>
      <c r="Q8141" s="18">
        <v>1038.25</v>
      </c>
      <c r="R8141" s="18">
        <v>851.02</v>
      </c>
      <c r="S8141" s="18">
        <v>830.6</v>
      </c>
      <c r="T8141" s="18">
        <v>680.82</v>
      </c>
      <c r="U8141" s="16"/>
      <c r="V8141" s="16"/>
      <c r="W8141" s="16" t="s">
        <v>40</v>
      </c>
      <c r="X8141" s="19">
        <v>0.58099999999999996</v>
      </c>
      <c r="Y8141" s="20">
        <v>6.3790000000000001E-3</v>
      </c>
      <c r="Z8141" s="21">
        <v>4601004099593</v>
      </c>
    </row>
    <row r="8142" spans="1:26" ht="12" customHeight="1" outlineLevel="3" x14ac:dyDescent="0.2">
      <c r="A8142" s="14" t="s">
        <v>15551</v>
      </c>
      <c r="B8142" s="26" t="s">
        <v>15552</v>
      </c>
      <c r="C8142" s="52"/>
      <c r="D8142" s="55">
        <f t="shared" si="127"/>
        <v>0</v>
      </c>
      <c r="E8142" s="63" t="str">
        <f>HYPERLINK("https://www.sds-group.ru/product/tv-antenna-naruzhnaya-aktivnaya-dlya-tsifrovogo-tv-dvb-t2-rx-411-rexant-34-0411/", "Инфо")</f>
        <v>Инфо</v>
      </c>
      <c r="F8142" s="16" t="s">
        <v>39</v>
      </c>
      <c r="G8142" s="15"/>
      <c r="H8142" s="15"/>
      <c r="I8142" s="15"/>
      <c r="J8142" s="17">
        <v>113</v>
      </c>
      <c r="K8142" s="15"/>
      <c r="L8142" s="17">
        <v>1</v>
      </c>
      <c r="M8142" s="17">
        <v>5</v>
      </c>
      <c r="N8142" s="17">
        <v>1</v>
      </c>
      <c r="O8142" s="18">
        <v>2586.11</v>
      </c>
      <c r="P8142" s="18">
        <v>2119.7600000000002</v>
      </c>
      <c r="Q8142" s="18">
        <v>2198.19</v>
      </c>
      <c r="R8142" s="18">
        <v>1801.8</v>
      </c>
      <c r="S8142" s="18">
        <v>1758.55</v>
      </c>
      <c r="T8142" s="18">
        <v>1441.43</v>
      </c>
      <c r="U8142" s="16"/>
      <c r="V8142" s="16"/>
      <c r="W8142" s="16" t="s">
        <v>40</v>
      </c>
      <c r="X8142" s="19">
        <v>0.67700000000000005</v>
      </c>
      <c r="Y8142" s="20">
        <v>1.0248E-2</v>
      </c>
      <c r="Z8142" s="21">
        <v>4601004084520</v>
      </c>
    </row>
    <row r="8143" spans="1:26" ht="12" customHeight="1" outlineLevel="3" x14ac:dyDescent="0.2">
      <c r="A8143" s="14" t="s">
        <v>15553</v>
      </c>
      <c r="B8143" s="26" t="s">
        <v>15554</v>
      </c>
      <c r="C8143" s="52"/>
      <c r="D8143" s="55">
        <f t="shared" si="127"/>
        <v>0</v>
      </c>
      <c r="E8143" s="63" t="str">
        <f>HYPERLINK("https://www.sds-group.ru/product/tv-antenna-naruzhnaya-aktivnaya-dlya-tsifrovogo-tv-dvb-t2-rx-411-1-rexant-34-0411-1/", "Инфо")</f>
        <v>Инфо</v>
      </c>
      <c r="F8143" s="16" t="s">
        <v>39</v>
      </c>
      <c r="G8143" s="15"/>
      <c r="H8143" s="15"/>
      <c r="I8143" s="15"/>
      <c r="J8143" s="17">
        <v>151</v>
      </c>
      <c r="K8143" s="15"/>
      <c r="L8143" s="17">
        <v>1</v>
      </c>
      <c r="M8143" s="17">
        <v>15</v>
      </c>
      <c r="N8143" s="17">
        <v>1</v>
      </c>
      <c r="O8143" s="18">
        <v>2458.14</v>
      </c>
      <c r="P8143" s="18">
        <v>2014.87</v>
      </c>
      <c r="Q8143" s="18">
        <v>1720.7</v>
      </c>
      <c r="R8143" s="18">
        <v>1410.41</v>
      </c>
      <c r="S8143" s="18">
        <v>1671.54</v>
      </c>
      <c r="T8143" s="18">
        <v>1370.11</v>
      </c>
      <c r="U8143" s="16"/>
      <c r="V8143" s="16"/>
      <c r="W8143" s="16"/>
      <c r="X8143" s="19">
        <v>0.51500000000000001</v>
      </c>
      <c r="Y8143" s="20">
        <v>4.9439999999999996E-3</v>
      </c>
      <c r="Z8143" s="21">
        <v>4601004084360</v>
      </c>
    </row>
    <row r="8144" spans="1:26" ht="12" customHeight="1" outlineLevel="3" x14ac:dyDescent="0.2">
      <c r="A8144" s="14" t="s">
        <v>15555</v>
      </c>
      <c r="B8144" s="26" t="s">
        <v>15556</v>
      </c>
      <c r="C8144" s="52"/>
      <c r="D8144" s="55">
        <f t="shared" si="127"/>
        <v>0</v>
      </c>
      <c r="E8144" s="63" t="str">
        <f>HYPERLINK("https://www.sds-group.ru/product/tv-antenna-naruzhnaya-aktivnaya-dlya-tsifrovogo-tv-dvb-t2-rx-401-rexant-34-0401/", "Инфо")</f>
        <v>Инфо</v>
      </c>
      <c r="F8144" s="16" t="s">
        <v>39</v>
      </c>
      <c r="G8144" s="15"/>
      <c r="H8144" s="15"/>
      <c r="I8144" s="15"/>
      <c r="J8144" s="17">
        <v>44</v>
      </c>
      <c r="K8144" s="15"/>
      <c r="L8144" s="17">
        <v>1</v>
      </c>
      <c r="M8144" s="17">
        <v>10</v>
      </c>
      <c r="N8144" s="17">
        <v>1</v>
      </c>
      <c r="O8144" s="18">
        <v>4110.68</v>
      </c>
      <c r="P8144" s="18">
        <v>3369.41</v>
      </c>
      <c r="Q8144" s="18">
        <v>3165.22</v>
      </c>
      <c r="R8144" s="18">
        <v>2594.44</v>
      </c>
      <c r="S8144" s="18">
        <v>2795.26</v>
      </c>
      <c r="T8144" s="18">
        <v>2291.1999999999998</v>
      </c>
      <c r="U8144" s="16"/>
      <c r="V8144" s="16"/>
      <c r="W8144" s="16" t="s">
        <v>40</v>
      </c>
      <c r="X8144" s="19">
        <v>1.6559999999999999</v>
      </c>
      <c r="Y8144" s="20">
        <v>1.1247E-2</v>
      </c>
      <c r="Z8144" s="21">
        <v>4601004023888</v>
      </c>
    </row>
    <row r="8145" spans="1:26" ht="12" customHeight="1" outlineLevel="3" x14ac:dyDescent="0.2">
      <c r="A8145" s="14" t="s">
        <v>15557</v>
      </c>
      <c r="B8145" s="26" t="s">
        <v>15558</v>
      </c>
      <c r="C8145" s="52"/>
      <c r="D8145" s="55">
        <f t="shared" si="127"/>
        <v>0</v>
      </c>
      <c r="E8145" s="63" t="str">
        <f>HYPERLINK("https://www.sds-group.ru/product/tv-antenna-naruzhnaya-aktivnaya-dlya-tsifrovogo-tv-dvb-t2-rx-413-rexant-34-0413/", "Инфо")</f>
        <v>Инфо</v>
      </c>
      <c r="F8145" s="16" t="s">
        <v>39</v>
      </c>
      <c r="G8145" s="15"/>
      <c r="H8145" s="15"/>
      <c r="I8145" s="15"/>
      <c r="J8145" s="17">
        <v>57</v>
      </c>
      <c r="K8145" s="15"/>
      <c r="L8145" s="17">
        <v>1</v>
      </c>
      <c r="M8145" s="17">
        <v>5</v>
      </c>
      <c r="N8145" s="17">
        <v>1</v>
      </c>
      <c r="O8145" s="18">
        <v>4984.12</v>
      </c>
      <c r="P8145" s="18">
        <v>4085.34</v>
      </c>
      <c r="Q8145" s="18">
        <v>3937.45</v>
      </c>
      <c r="R8145" s="18">
        <v>3227.42</v>
      </c>
      <c r="S8145" s="18">
        <v>3389.2</v>
      </c>
      <c r="T8145" s="18">
        <v>2778.03</v>
      </c>
      <c r="U8145" s="16"/>
      <c r="V8145" s="16"/>
      <c r="W8145" s="16" t="s">
        <v>40</v>
      </c>
      <c r="X8145" s="19">
        <v>1.651</v>
      </c>
      <c r="Y8145" s="20">
        <v>1.0580000000000001E-2</v>
      </c>
      <c r="Z8145" s="21">
        <v>4601004084490</v>
      </c>
    </row>
    <row r="8146" spans="1:26" ht="12" customHeight="1" outlineLevel="3" x14ac:dyDescent="0.2">
      <c r="A8146" s="14" t="s">
        <v>15559</v>
      </c>
      <c r="B8146" s="26" t="s">
        <v>15560</v>
      </c>
      <c r="C8146" s="52"/>
      <c r="D8146" s="55">
        <f t="shared" si="127"/>
        <v>0</v>
      </c>
      <c r="E8146" s="63" t="str">
        <f>HYPERLINK("https://www.sds-group.ru/product/tv-antenna-naruzhnaya-aktivnaya-dlya-tsifrovogo-tv-dvb-t2-rx-413-1-rexant-34-0413-1/", "Инфо")</f>
        <v>Инфо</v>
      </c>
      <c r="F8146" s="16" t="s">
        <v>39</v>
      </c>
      <c r="G8146" s="15"/>
      <c r="H8146" s="15"/>
      <c r="I8146" s="15"/>
      <c r="J8146" s="17">
        <v>15</v>
      </c>
      <c r="K8146" s="15"/>
      <c r="L8146" s="17">
        <v>1</v>
      </c>
      <c r="M8146" s="17">
        <v>10</v>
      </c>
      <c r="N8146" s="17">
        <v>1</v>
      </c>
      <c r="O8146" s="18">
        <v>4986.16</v>
      </c>
      <c r="P8146" s="18">
        <v>4087.02</v>
      </c>
      <c r="Q8146" s="18">
        <v>3490.31</v>
      </c>
      <c r="R8146" s="18">
        <v>2860.91</v>
      </c>
      <c r="S8146" s="18">
        <v>3390.59</v>
      </c>
      <c r="T8146" s="18">
        <v>2779.17</v>
      </c>
      <c r="U8146" s="16"/>
      <c r="V8146" s="16"/>
      <c r="W8146" s="16"/>
      <c r="X8146" s="19">
        <v>1.1659999999999999</v>
      </c>
      <c r="Y8146" s="20">
        <v>2.1600000000000001E-2</v>
      </c>
      <c r="Z8146" s="21">
        <v>4601004084407</v>
      </c>
    </row>
    <row r="8147" spans="1:26" ht="12" customHeight="1" outlineLevel="3" x14ac:dyDescent="0.2">
      <c r="A8147" s="14" t="s">
        <v>15561</v>
      </c>
      <c r="B8147" s="26" t="s">
        <v>15562</v>
      </c>
      <c r="C8147" s="52"/>
      <c r="D8147" s="55">
        <f t="shared" si="127"/>
        <v>0</v>
      </c>
      <c r="E8147" s="63" t="str">
        <f>HYPERLINK("https://www.sds-group.ru/product/tv-antenna-naruzhnaya-aktivnaya-dlya-tsifrovogo-tv-dvb-t2-rx-406-def-rexant-34-0773/", "Инфо")</f>
        <v>Инфо</v>
      </c>
      <c r="F8147" s="16" t="s">
        <v>39</v>
      </c>
      <c r="G8147" s="15"/>
      <c r="H8147" s="15"/>
      <c r="I8147" s="15"/>
      <c r="J8147" s="17">
        <v>2</v>
      </c>
      <c r="K8147" s="15" t="s">
        <v>1408</v>
      </c>
      <c r="L8147" s="17">
        <v>1</v>
      </c>
      <c r="M8147" s="17">
        <v>5</v>
      </c>
      <c r="N8147" s="17">
        <v>1</v>
      </c>
      <c r="O8147" s="18">
        <v>5831.2</v>
      </c>
      <c r="P8147" s="18">
        <v>4779.67</v>
      </c>
      <c r="Q8147" s="18">
        <v>4664.96</v>
      </c>
      <c r="R8147" s="18">
        <v>3823.74</v>
      </c>
      <c r="S8147" s="18">
        <v>3965.22</v>
      </c>
      <c r="T8147" s="18">
        <v>3250.18</v>
      </c>
      <c r="U8147" s="16"/>
      <c r="V8147" s="16"/>
      <c r="W8147" s="16" t="s">
        <v>40</v>
      </c>
      <c r="X8147" s="19">
        <v>1.464</v>
      </c>
      <c r="Y8147" s="20">
        <v>1.4064E-2</v>
      </c>
      <c r="Z8147" s="21">
        <v>4601004231498</v>
      </c>
    </row>
    <row r="8148" spans="1:26" ht="12" customHeight="1" outlineLevel="3" x14ac:dyDescent="0.2">
      <c r="A8148" s="14" t="s">
        <v>15563</v>
      </c>
      <c r="B8148" s="26" t="s">
        <v>15564</v>
      </c>
      <c r="C8148" s="52"/>
      <c r="D8148" s="55">
        <f t="shared" si="127"/>
        <v>0</v>
      </c>
      <c r="E8148" s="63" t="str">
        <f>HYPERLINK("https://www.sds-group.ru/product/tv-antenna-naruzhnaya-aktivnaya-dlya-tsifrovogo-tv-dvb-t2-rx-417-rexant-34-0777/", "Инфо")</f>
        <v>Инфо</v>
      </c>
      <c r="F8148" s="16" t="s">
        <v>39</v>
      </c>
      <c r="G8148" s="15"/>
      <c r="H8148" s="15"/>
      <c r="I8148" s="15"/>
      <c r="J8148" s="17">
        <v>16</v>
      </c>
      <c r="K8148" s="15" t="s">
        <v>1408</v>
      </c>
      <c r="L8148" s="17">
        <v>1</v>
      </c>
      <c r="M8148" s="17">
        <v>10</v>
      </c>
      <c r="N8148" s="17">
        <v>1</v>
      </c>
      <c r="O8148" s="18">
        <v>4453.55</v>
      </c>
      <c r="P8148" s="18">
        <v>3650.45</v>
      </c>
      <c r="Q8148" s="18">
        <v>3562.84</v>
      </c>
      <c r="R8148" s="18">
        <v>2920.36</v>
      </c>
      <c r="S8148" s="18">
        <v>3028.41</v>
      </c>
      <c r="T8148" s="18">
        <v>2482.3000000000002</v>
      </c>
      <c r="U8148" s="16"/>
      <c r="V8148" s="16"/>
      <c r="W8148" s="16" t="s">
        <v>40</v>
      </c>
      <c r="X8148" s="19">
        <v>0.87</v>
      </c>
      <c r="Y8148" s="20">
        <v>1.2584E-2</v>
      </c>
      <c r="Z8148" s="21">
        <v>4601004231474</v>
      </c>
    </row>
    <row r="8149" spans="1:26" ht="12" customHeight="1" outlineLevel="3" x14ac:dyDescent="0.2">
      <c r="A8149" s="14" t="s">
        <v>15565</v>
      </c>
      <c r="B8149" s="26" t="s">
        <v>15566</v>
      </c>
      <c r="C8149" s="52"/>
      <c r="D8149" s="55">
        <f t="shared" si="127"/>
        <v>0</v>
      </c>
      <c r="E8149" s="63" t="str">
        <f>HYPERLINK("https://www.sds-group.ru/product/tb-antenna-naruzhnaya-dlya-tsifrovogo-televideniya-dvb-t2-rx-414-rexant-34-0414/", "Инфо")</f>
        <v>Инфо</v>
      </c>
      <c r="F8149" s="16" t="s">
        <v>39</v>
      </c>
      <c r="G8149" s="15"/>
      <c r="H8149" s="15"/>
      <c r="I8149" s="15"/>
      <c r="J8149" s="17">
        <v>47</v>
      </c>
      <c r="K8149" s="15"/>
      <c r="L8149" s="17">
        <v>1</v>
      </c>
      <c r="M8149" s="17">
        <v>5</v>
      </c>
      <c r="N8149" s="17">
        <v>1</v>
      </c>
      <c r="O8149" s="18">
        <v>6797.78</v>
      </c>
      <c r="P8149" s="18">
        <v>5571.95</v>
      </c>
      <c r="Q8149" s="18">
        <v>4758.45</v>
      </c>
      <c r="R8149" s="18">
        <v>3900.37</v>
      </c>
      <c r="S8149" s="18">
        <v>4622.49</v>
      </c>
      <c r="T8149" s="18">
        <v>3788.93</v>
      </c>
      <c r="U8149" s="16"/>
      <c r="V8149" s="16"/>
      <c r="W8149" s="16"/>
      <c r="X8149" s="19">
        <v>2.4140000000000001</v>
      </c>
      <c r="Y8149" s="20">
        <v>2.256E-2</v>
      </c>
      <c r="Z8149" s="21">
        <v>4601004084506</v>
      </c>
    </row>
    <row r="8150" spans="1:26" ht="12" customHeight="1" outlineLevel="3" x14ac:dyDescent="0.2">
      <c r="A8150" s="14" t="s">
        <v>15567</v>
      </c>
      <c r="B8150" s="26" t="s">
        <v>15568</v>
      </c>
      <c r="C8150" s="52"/>
      <c r="D8150" s="55">
        <f t="shared" si="127"/>
        <v>0</v>
      </c>
      <c r="E8150" s="63" t="str">
        <f>HYPERLINK("https://www.sds-group.ru/product/tb-antenna-naruzhnaya-dlya-tsifrovogo-televideniya-dvb-t2-rx-414-1-rexant-34-0414-1/", "Инфо")</f>
        <v>Инфо</v>
      </c>
      <c r="F8150" s="16" t="s">
        <v>39</v>
      </c>
      <c r="G8150" s="15"/>
      <c r="H8150" s="15"/>
      <c r="I8150" s="15"/>
      <c r="J8150" s="17">
        <v>59</v>
      </c>
      <c r="K8150" s="15"/>
      <c r="L8150" s="17">
        <v>1</v>
      </c>
      <c r="M8150" s="17">
        <v>5</v>
      </c>
      <c r="N8150" s="17">
        <v>1</v>
      </c>
      <c r="O8150" s="18">
        <v>6778.46</v>
      </c>
      <c r="P8150" s="18">
        <v>5556.11</v>
      </c>
      <c r="Q8150" s="18">
        <v>5422.77</v>
      </c>
      <c r="R8150" s="18">
        <v>4444.8900000000003</v>
      </c>
      <c r="S8150" s="18">
        <v>4609.3500000000004</v>
      </c>
      <c r="T8150" s="18">
        <v>3778.16</v>
      </c>
      <c r="U8150" s="16"/>
      <c r="V8150" s="16"/>
      <c r="W8150" s="16" t="s">
        <v>40</v>
      </c>
      <c r="X8150" s="19">
        <v>2.0699999999999998</v>
      </c>
      <c r="Y8150" s="20">
        <v>3.85E-2</v>
      </c>
      <c r="Z8150" s="21">
        <v>4601004084377</v>
      </c>
    </row>
    <row r="8151" spans="1:26" ht="12" customHeight="1" outlineLevel="3" x14ac:dyDescent="0.2">
      <c r="A8151" s="14" t="s">
        <v>15569</v>
      </c>
      <c r="B8151" s="26" t="s">
        <v>15570</v>
      </c>
      <c r="C8151" s="52"/>
      <c r="D8151" s="55">
        <f t="shared" si="127"/>
        <v>0</v>
      </c>
      <c r="E8151" s="63" t="str">
        <f>HYPERLINK("https://www.sds-group.ru/product/tb-antenna-naruzhnaya-dlya-tsifrovogo-televideniya-dvb-t2-rx-421-rexant-34-0421/", "Инфо")</f>
        <v>Инфо</v>
      </c>
      <c r="F8151" s="16" t="s">
        <v>39</v>
      </c>
      <c r="G8151" s="15"/>
      <c r="H8151" s="15"/>
      <c r="I8151" s="15"/>
      <c r="J8151" s="17">
        <v>71</v>
      </c>
      <c r="K8151" s="15"/>
      <c r="L8151" s="17">
        <v>1</v>
      </c>
      <c r="M8151" s="17">
        <v>30</v>
      </c>
      <c r="N8151" s="17">
        <v>1</v>
      </c>
      <c r="O8151" s="18">
        <v>1009.75</v>
      </c>
      <c r="P8151" s="18">
        <v>827.66</v>
      </c>
      <c r="Q8151" s="18">
        <v>807.8</v>
      </c>
      <c r="R8151" s="18">
        <v>662.13</v>
      </c>
      <c r="S8151" s="18">
        <v>686.63</v>
      </c>
      <c r="T8151" s="18">
        <v>562.80999999999995</v>
      </c>
      <c r="U8151" s="16"/>
      <c r="V8151" s="16"/>
      <c r="W8151" s="16" t="s">
        <v>40</v>
      </c>
      <c r="X8151" s="19">
        <v>0.36499999999999999</v>
      </c>
      <c r="Y8151" s="20">
        <v>3.6240000000000001E-3</v>
      </c>
      <c r="Z8151" s="21">
        <v>4601004099609</v>
      </c>
    </row>
    <row r="8152" spans="1:26" ht="12" customHeight="1" outlineLevel="3" x14ac:dyDescent="0.2">
      <c r="A8152" s="14" t="s">
        <v>15571</v>
      </c>
      <c r="B8152" s="26" t="s">
        <v>15572</v>
      </c>
      <c r="C8152" s="52"/>
      <c r="D8152" s="55">
        <f t="shared" si="127"/>
        <v>0</v>
      </c>
      <c r="E8152" s="63" t="str">
        <f>HYPERLINK("https://www.sds-group.ru/product/tb-antenna-naruzhnaya-dlya-tsifrovogo-televideniya-dvb-t2-rx-410-rexant-34-0410/", "Инфо")</f>
        <v>Инфо</v>
      </c>
      <c r="F8152" s="16" t="s">
        <v>39</v>
      </c>
      <c r="G8152" s="15"/>
      <c r="H8152" s="15"/>
      <c r="I8152" s="15"/>
      <c r="J8152" s="17">
        <v>139</v>
      </c>
      <c r="K8152" s="15"/>
      <c r="L8152" s="17">
        <v>1</v>
      </c>
      <c r="M8152" s="17">
        <v>5</v>
      </c>
      <c r="N8152" s="17">
        <v>1</v>
      </c>
      <c r="O8152" s="18">
        <v>2633.04</v>
      </c>
      <c r="P8152" s="18">
        <v>2158.23</v>
      </c>
      <c r="Q8152" s="18">
        <v>2080.1</v>
      </c>
      <c r="R8152" s="18">
        <v>1705</v>
      </c>
      <c r="S8152" s="18">
        <v>1790.47</v>
      </c>
      <c r="T8152" s="18">
        <v>1467.6</v>
      </c>
      <c r="U8152" s="16"/>
      <c r="V8152" s="16"/>
      <c r="W8152" s="16" t="s">
        <v>40</v>
      </c>
      <c r="X8152" s="19">
        <v>0.66300000000000003</v>
      </c>
      <c r="Y8152" s="20">
        <v>1.0474000000000001E-2</v>
      </c>
      <c r="Z8152" s="21">
        <v>4601004084483</v>
      </c>
    </row>
    <row r="8153" spans="1:26" ht="12" customHeight="1" outlineLevel="3" x14ac:dyDescent="0.2">
      <c r="A8153" s="14" t="s">
        <v>15573</v>
      </c>
      <c r="B8153" s="26" t="s">
        <v>15574</v>
      </c>
      <c r="C8153" s="52"/>
      <c r="D8153" s="55">
        <f t="shared" si="127"/>
        <v>0</v>
      </c>
      <c r="E8153" s="63" t="str">
        <f>HYPERLINK("https://www.sds-group.ru/product/tb-antenna-naruzhnaya-dlya-tsifrovogo-televideniya-dvb-t2-rx-410-1-rexant-34-0410-1/", "Инфо")</f>
        <v>Инфо</v>
      </c>
      <c r="F8153" s="16" t="s">
        <v>39</v>
      </c>
      <c r="G8153" s="15"/>
      <c r="H8153" s="15"/>
      <c r="I8153" s="15"/>
      <c r="J8153" s="17">
        <v>26</v>
      </c>
      <c r="K8153" s="15"/>
      <c r="L8153" s="17">
        <v>1</v>
      </c>
      <c r="M8153" s="17">
        <v>15</v>
      </c>
      <c r="N8153" s="17">
        <v>1</v>
      </c>
      <c r="O8153" s="18">
        <v>2339.8200000000002</v>
      </c>
      <c r="P8153" s="18">
        <v>1917.89</v>
      </c>
      <c r="Q8153" s="18">
        <v>1848.46</v>
      </c>
      <c r="R8153" s="18">
        <v>1515.13</v>
      </c>
      <c r="S8153" s="18">
        <v>1591.08</v>
      </c>
      <c r="T8153" s="18">
        <v>1304.1600000000001</v>
      </c>
      <c r="U8153" s="16"/>
      <c r="V8153" s="16"/>
      <c r="W8153" s="16" t="s">
        <v>40</v>
      </c>
      <c r="X8153" s="19">
        <v>0.53300000000000003</v>
      </c>
      <c r="Y8153" s="20">
        <v>5.1780000000000003E-3</v>
      </c>
      <c r="Z8153" s="21">
        <v>4601004084353</v>
      </c>
    </row>
    <row r="8154" spans="1:26" ht="12" customHeight="1" outlineLevel="3" x14ac:dyDescent="0.2">
      <c r="A8154" s="14" t="s">
        <v>15575</v>
      </c>
      <c r="B8154" s="26" t="s">
        <v>15576</v>
      </c>
      <c r="C8154" s="52"/>
      <c r="D8154" s="55">
        <f t="shared" si="127"/>
        <v>0</v>
      </c>
      <c r="E8154" s="63" t="str">
        <f>HYPERLINK("https://www.sds-group.ru/product/tb-antenna-naruzhnaya-dlya-tsifrovogo-televideniya-dvb-t2-rx-423-rexant-34-0423/", "Инфо")</f>
        <v>Инфо</v>
      </c>
      <c r="F8154" s="16" t="s">
        <v>39</v>
      </c>
      <c r="G8154" s="15"/>
      <c r="H8154" s="15"/>
      <c r="I8154" s="15"/>
      <c r="J8154" s="17">
        <v>171</v>
      </c>
      <c r="K8154" s="15" t="s">
        <v>1408</v>
      </c>
      <c r="L8154" s="17">
        <v>1</v>
      </c>
      <c r="M8154" s="17">
        <v>20</v>
      </c>
      <c r="N8154" s="17">
        <v>1</v>
      </c>
      <c r="O8154" s="18">
        <v>1140.03</v>
      </c>
      <c r="P8154" s="18">
        <v>934.45</v>
      </c>
      <c r="Q8154" s="18">
        <v>912.02</v>
      </c>
      <c r="R8154" s="18">
        <v>747.56</v>
      </c>
      <c r="S8154" s="18">
        <v>775.22</v>
      </c>
      <c r="T8154" s="18">
        <v>635.42999999999995</v>
      </c>
      <c r="U8154" s="16"/>
      <c r="V8154" s="16"/>
      <c r="W8154" s="16" t="s">
        <v>40</v>
      </c>
      <c r="X8154" s="19">
        <v>0.54600000000000004</v>
      </c>
      <c r="Y8154" s="20">
        <v>6.6990000000000001E-3</v>
      </c>
      <c r="Z8154" s="21">
        <v>4601004099586</v>
      </c>
    </row>
    <row r="8155" spans="1:26" ht="12" customHeight="1" outlineLevel="3" x14ac:dyDescent="0.2">
      <c r="A8155" s="14" t="s">
        <v>15577</v>
      </c>
      <c r="B8155" s="26" t="s">
        <v>15578</v>
      </c>
      <c r="C8155" s="52"/>
      <c r="D8155" s="55">
        <f t="shared" si="127"/>
        <v>0</v>
      </c>
      <c r="E8155" s="63" t="str">
        <f>HYPERLINK("https://www.sds-group.ru/product/tb-antenna-naruzhnaya-dlya-tsifrovogo-televideniya-dvb-t2-rx-402-rexant-34-0402/", "Инфо")</f>
        <v>Инфо</v>
      </c>
      <c r="F8155" s="16" t="s">
        <v>39</v>
      </c>
      <c r="G8155" s="15"/>
      <c r="H8155" s="15"/>
      <c r="I8155" s="15"/>
      <c r="J8155" s="17">
        <v>434</v>
      </c>
      <c r="K8155" s="15"/>
      <c r="L8155" s="17">
        <v>1</v>
      </c>
      <c r="M8155" s="17">
        <v>5</v>
      </c>
      <c r="N8155" s="17">
        <v>1</v>
      </c>
      <c r="O8155" s="18">
        <v>2586.11</v>
      </c>
      <c r="P8155" s="18">
        <v>2119.7600000000002</v>
      </c>
      <c r="Q8155" s="18">
        <v>1810.28</v>
      </c>
      <c r="R8155" s="18">
        <v>1483.84</v>
      </c>
      <c r="S8155" s="18">
        <v>1758.55</v>
      </c>
      <c r="T8155" s="18">
        <v>1441.43</v>
      </c>
      <c r="U8155" s="16"/>
      <c r="V8155" s="16"/>
      <c r="W8155" s="16"/>
      <c r="X8155" s="19">
        <v>1.044</v>
      </c>
      <c r="Y8155" s="20">
        <v>4.5900000000000003E-3</v>
      </c>
      <c r="Z8155" s="21">
        <v>4601004022829</v>
      </c>
    </row>
    <row r="8156" spans="1:26" ht="12" customHeight="1" outlineLevel="3" x14ac:dyDescent="0.2">
      <c r="A8156" s="14" t="s">
        <v>15579</v>
      </c>
      <c r="B8156" s="26" t="s">
        <v>15580</v>
      </c>
      <c r="C8156" s="52"/>
      <c r="D8156" s="55">
        <f t="shared" si="127"/>
        <v>0</v>
      </c>
      <c r="E8156" s="63" t="str">
        <f>HYPERLINK("https://www.sds-group.ru/product/tb-antenna-naruzhnaya-dlya-tsifrovogo-televideniya-dvb-t2-rx-412-rexant-34-0412/", "Инфо")</f>
        <v>Инфо</v>
      </c>
      <c r="F8156" s="16" t="s">
        <v>39</v>
      </c>
      <c r="G8156" s="15"/>
      <c r="H8156" s="15"/>
      <c r="I8156" s="15"/>
      <c r="J8156" s="17">
        <v>50</v>
      </c>
      <c r="K8156" s="15"/>
      <c r="L8156" s="17">
        <v>1</v>
      </c>
      <c r="M8156" s="17">
        <v>5</v>
      </c>
      <c r="N8156" s="17">
        <v>1</v>
      </c>
      <c r="O8156" s="18">
        <v>4862.22</v>
      </c>
      <c r="P8156" s="18">
        <v>3985.43</v>
      </c>
      <c r="Q8156" s="18">
        <v>3841.15</v>
      </c>
      <c r="R8156" s="18">
        <v>3148.48</v>
      </c>
      <c r="S8156" s="18">
        <v>3306.31</v>
      </c>
      <c r="T8156" s="18">
        <v>2710.09</v>
      </c>
      <c r="U8156" s="16"/>
      <c r="V8156" s="16"/>
      <c r="W8156" s="16" t="s">
        <v>40</v>
      </c>
      <c r="X8156" s="19">
        <v>1.5089999999999999</v>
      </c>
      <c r="Y8156" s="20">
        <v>2.256E-2</v>
      </c>
      <c r="Z8156" s="21">
        <v>4601004084582</v>
      </c>
    </row>
    <row r="8157" spans="1:26" ht="12" customHeight="1" outlineLevel="3" x14ac:dyDescent="0.2">
      <c r="A8157" s="14" t="s">
        <v>15581</v>
      </c>
      <c r="B8157" s="26" t="s">
        <v>15582</v>
      </c>
      <c r="C8157" s="52"/>
      <c r="D8157" s="55">
        <f t="shared" si="127"/>
        <v>0</v>
      </c>
      <c r="E8157" s="63" t="str">
        <f>HYPERLINK("https://www.sds-group.ru/product/tb-antenna-naruzhnaya-dlya-tsifrovogo-televideniya-dvb-t2-rx-412-1-rexant-34-0412-1/", "Инфо")</f>
        <v>Инфо</v>
      </c>
      <c r="F8157" s="16" t="s">
        <v>39</v>
      </c>
      <c r="G8157" s="15"/>
      <c r="H8157" s="15"/>
      <c r="I8157" s="15"/>
      <c r="J8157" s="17">
        <v>16</v>
      </c>
      <c r="K8157" s="15" t="s">
        <v>1408</v>
      </c>
      <c r="L8157" s="17">
        <v>1</v>
      </c>
      <c r="M8157" s="17">
        <v>10</v>
      </c>
      <c r="N8157" s="17">
        <v>1</v>
      </c>
      <c r="O8157" s="18">
        <v>4810.28</v>
      </c>
      <c r="P8157" s="18">
        <v>3942.85</v>
      </c>
      <c r="Q8157" s="18">
        <v>3800.12</v>
      </c>
      <c r="R8157" s="18">
        <v>3114.85</v>
      </c>
      <c r="S8157" s="18">
        <v>3270.99</v>
      </c>
      <c r="T8157" s="18">
        <v>2681.14</v>
      </c>
      <c r="U8157" s="16"/>
      <c r="V8157" s="16"/>
      <c r="W8157" s="16" t="s">
        <v>40</v>
      </c>
      <c r="X8157" s="19">
        <v>1.0840000000000001</v>
      </c>
      <c r="Y8157" s="20">
        <v>5.7599999999999998E-2</v>
      </c>
      <c r="Z8157" s="21">
        <v>4601004084391</v>
      </c>
    </row>
    <row r="8158" spans="1:26" ht="12" customHeight="1" outlineLevel="3" x14ac:dyDescent="0.2">
      <c r="A8158" s="14" t="s">
        <v>15583</v>
      </c>
      <c r="B8158" s="26" t="s">
        <v>15584</v>
      </c>
      <c r="C8158" s="52"/>
      <c r="D8158" s="55">
        <f t="shared" si="127"/>
        <v>0</v>
      </c>
      <c r="E8158" s="63" t="str">
        <f>HYPERLINK("https://www.sds-group.ru/product/tv-antenna-naruzhnaya-dlya-tsifrovogo-televideniya-dvb-t2-rx-416-rexant-34-0775/", "Инфо")</f>
        <v>Инфо</v>
      </c>
      <c r="F8158" s="16" t="s">
        <v>39</v>
      </c>
      <c r="G8158" s="15"/>
      <c r="H8158" s="15"/>
      <c r="I8158" s="15"/>
      <c r="J8158" s="17">
        <v>261</v>
      </c>
      <c r="K8158" s="15"/>
      <c r="L8158" s="17">
        <v>1</v>
      </c>
      <c r="M8158" s="17">
        <v>15</v>
      </c>
      <c r="N8158" s="17">
        <v>1</v>
      </c>
      <c r="O8158" s="18">
        <v>3803.28</v>
      </c>
      <c r="P8158" s="18">
        <v>3117.44</v>
      </c>
      <c r="Q8158" s="18">
        <v>2662.3</v>
      </c>
      <c r="R8158" s="18">
        <v>2182.21</v>
      </c>
      <c r="S8158" s="18">
        <v>2586.23</v>
      </c>
      <c r="T8158" s="18">
        <v>2119.86</v>
      </c>
      <c r="U8158" s="16"/>
      <c r="V8158" s="16"/>
      <c r="W8158" s="16"/>
      <c r="X8158" s="19">
        <v>0.34899999999999998</v>
      </c>
      <c r="Y8158" s="20">
        <v>5.1729999999999996E-3</v>
      </c>
      <c r="Z8158" s="21">
        <v>4601004231467</v>
      </c>
    </row>
    <row r="8159" spans="1:26" ht="12" customHeight="1" outlineLevel="3" x14ac:dyDescent="0.2">
      <c r="A8159" s="14" t="s">
        <v>15585</v>
      </c>
      <c r="B8159" s="26" t="s">
        <v>15586</v>
      </c>
      <c r="C8159" s="52"/>
      <c r="D8159" s="55">
        <f t="shared" si="127"/>
        <v>0</v>
      </c>
      <c r="E8159" s="63" t="str">
        <f>HYPERLINK("https://www.sds-group.ru/product/tb-antenna-naruzhnaya-dlya-tsifrovogo-televideniya-dvb-t2-rx-407-rexant-34-0407/", "Инфо")</f>
        <v>Инфо</v>
      </c>
      <c r="F8159" s="16" t="s">
        <v>39</v>
      </c>
      <c r="G8159" s="15"/>
      <c r="H8159" s="15"/>
      <c r="I8159" s="15"/>
      <c r="J8159" s="17">
        <v>432</v>
      </c>
      <c r="K8159" s="15"/>
      <c r="L8159" s="17">
        <v>1</v>
      </c>
      <c r="M8159" s="17">
        <v>15</v>
      </c>
      <c r="N8159" s="17">
        <v>1</v>
      </c>
      <c r="O8159" s="18">
        <v>977.16</v>
      </c>
      <c r="P8159" s="18">
        <v>800.95</v>
      </c>
      <c r="Q8159" s="18">
        <v>781.73</v>
      </c>
      <c r="R8159" s="18">
        <v>640.76</v>
      </c>
      <c r="S8159" s="18">
        <v>664.47</v>
      </c>
      <c r="T8159" s="18">
        <v>544.65</v>
      </c>
      <c r="U8159" s="16"/>
      <c r="V8159" s="16"/>
      <c r="W8159" s="16" t="s">
        <v>40</v>
      </c>
      <c r="X8159" s="19">
        <v>0.32100000000000001</v>
      </c>
      <c r="Y8159" s="20">
        <v>5.1390000000000003E-3</v>
      </c>
      <c r="Z8159" s="21">
        <v>4601004084469</v>
      </c>
    </row>
    <row r="8160" spans="1:26" ht="12.95" customHeight="1" outlineLevel="2" x14ac:dyDescent="0.2">
      <c r="A8160" s="76" t="s">
        <v>15587</v>
      </c>
      <c r="B8160" s="76"/>
      <c r="C8160" s="77"/>
      <c r="D8160" s="58"/>
      <c r="E8160" s="68"/>
      <c r="F8160" s="13"/>
      <c r="G8160" s="13"/>
      <c r="H8160" s="13"/>
      <c r="I8160" s="13"/>
      <c r="J8160" s="13"/>
      <c r="K8160" s="13"/>
      <c r="L8160" s="13"/>
      <c r="M8160" s="13"/>
      <c r="N8160" s="13"/>
      <c r="O8160" s="13"/>
      <c r="P8160" s="13"/>
      <c r="Q8160" s="13"/>
      <c r="R8160" s="13"/>
      <c r="S8160" s="13"/>
      <c r="T8160" s="13"/>
      <c r="U8160" s="13"/>
      <c r="V8160" s="13"/>
      <c r="W8160" s="13"/>
      <c r="X8160" s="13"/>
      <c r="Y8160" s="13"/>
      <c r="Z8160" s="13"/>
    </row>
    <row r="8161" spans="1:26" ht="12" customHeight="1" outlineLevel="3" x14ac:dyDescent="0.2">
      <c r="A8161" s="14" t="s">
        <v>15588</v>
      </c>
      <c r="B8161" s="26" t="s">
        <v>15589</v>
      </c>
      <c r="C8161" s="52"/>
      <c r="D8161" s="55">
        <f t="shared" si="127"/>
        <v>0</v>
      </c>
      <c r="E8161" s="63" t="str">
        <f>HYPERLINK("https://www.sds-group.ru/product/fm-antenna-naruzhnaya-dlya-dalnego-priema-radiostantsiy-fm-ukv-diapazona-rx-555-rexant-34-0555/", "Инфо")</f>
        <v>Инфо</v>
      </c>
      <c r="F8161" s="16" t="s">
        <v>39</v>
      </c>
      <c r="G8161" s="15"/>
      <c r="H8161" s="15"/>
      <c r="I8161" s="15"/>
      <c r="J8161" s="17">
        <v>45</v>
      </c>
      <c r="K8161" s="15"/>
      <c r="L8161" s="17">
        <v>1</v>
      </c>
      <c r="M8161" s="17">
        <v>20</v>
      </c>
      <c r="N8161" s="17">
        <v>1</v>
      </c>
      <c r="O8161" s="18">
        <v>4112.93</v>
      </c>
      <c r="P8161" s="18">
        <v>3371.25</v>
      </c>
      <c r="Q8161" s="18">
        <v>3249.21</v>
      </c>
      <c r="R8161" s="18">
        <v>2663.29</v>
      </c>
      <c r="S8161" s="18">
        <v>2796.79</v>
      </c>
      <c r="T8161" s="18">
        <v>2292.4499999999998</v>
      </c>
      <c r="U8161" s="16"/>
      <c r="V8161" s="16"/>
      <c r="W8161" s="16" t="s">
        <v>40</v>
      </c>
      <c r="X8161" s="19">
        <v>0.99399999999999999</v>
      </c>
      <c r="Y8161" s="20">
        <v>8.8199999999999997E-3</v>
      </c>
      <c r="Z8161" s="21">
        <v>4601004084438</v>
      </c>
    </row>
    <row r="8162" spans="1:26" ht="12" customHeight="1" outlineLevel="3" x14ac:dyDescent="0.2">
      <c r="A8162" s="14" t="s">
        <v>15590</v>
      </c>
      <c r="B8162" s="26" t="s">
        <v>15591</v>
      </c>
      <c r="C8162" s="52"/>
      <c r="D8162" s="55">
        <f t="shared" si="127"/>
        <v>0</v>
      </c>
      <c r="E8162" s="63" t="str">
        <f>HYPERLINK("https://www.sds-group.ru/product/fm-antenna-naruzhnaya-dlya-priema-radiostantsiy-fm-ukv-diapazona-rx-553-rexant-34-0553/", "Инфо")</f>
        <v>Инфо</v>
      </c>
      <c r="F8162" s="16" t="s">
        <v>39</v>
      </c>
      <c r="G8162" s="15"/>
      <c r="H8162" s="15"/>
      <c r="I8162" s="15"/>
      <c r="J8162" s="17">
        <v>52</v>
      </c>
      <c r="K8162" s="15" t="s">
        <v>1408</v>
      </c>
      <c r="L8162" s="17">
        <v>1</v>
      </c>
      <c r="M8162" s="17">
        <v>20</v>
      </c>
      <c r="N8162" s="17">
        <v>1</v>
      </c>
      <c r="O8162" s="18">
        <v>3212.52</v>
      </c>
      <c r="P8162" s="18">
        <v>2633.21</v>
      </c>
      <c r="Q8162" s="18">
        <v>2570.02</v>
      </c>
      <c r="R8162" s="18">
        <v>2106.5700000000002</v>
      </c>
      <c r="S8162" s="18">
        <v>2184.5100000000002</v>
      </c>
      <c r="T8162" s="18">
        <v>1790.58</v>
      </c>
      <c r="U8162" s="16"/>
      <c r="V8162" s="16"/>
      <c r="W8162" s="16" t="s">
        <v>40</v>
      </c>
      <c r="X8162" s="19">
        <v>0.76200000000000001</v>
      </c>
      <c r="Y8162" s="20">
        <v>8.9510000000000006E-3</v>
      </c>
      <c r="Z8162" s="21">
        <v>4601004084445</v>
      </c>
    </row>
    <row r="8163" spans="1:26" ht="12.95" customHeight="1" outlineLevel="2" x14ac:dyDescent="0.2">
      <c r="A8163" s="76" t="s">
        <v>15592</v>
      </c>
      <c r="B8163" s="76"/>
      <c r="C8163" s="77"/>
      <c r="D8163" s="58"/>
      <c r="E8163" s="68"/>
      <c r="F8163" s="13"/>
      <c r="G8163" s="13"/>
      <c r="H8163" s="13"/>
      <c r="I8163" s="13"/>
      <c r="J8163" s="13"/>
      <c r="K8163" s="13"/>
      <c r="L8163" s="13"/>
      <c r="M8163" s="13"/>
      <c r="N8163" s="13"/>
      <c r="O8163" s="13"/>
      <c r="P8163" s="13"/>
      <c r="Q8163" s="13"/>
      <c r="R8163" s="13"/>
      <c r="S8163" s="13"/>
      <c r="T8163" s="13"/>
      <c r="U8163" s="13"/>
      <c r="V8163" s="13"/>
      <c r="W8163" s="13"/>
      <c r="X8163" s="13"/>
      <c r="Y8163" s="13"/>
      <c r="Z8163" s="13"/>
    </row>
    <row r="8164" spans="1:26" ht="12" customHeight="1" outlineLevel="3" x14ac:dyDescent="0.2">
      <c r="A8164" s="14" t="s">
        <v>15593</v>
      </c>
      <c r="B8164" s="26" t="s">
        <v>15594</v>
      </c>
      <c r="C8164" s="52"/>
      <c r="D8164" s="55">
        <f t="shared" si="127"/>
        <v>0</v>
      </c>
      <c r="E8164" s="63" t="str">
        <f>HYPERLINK("https://www.sds-group.ru/product/koltso-pod-rastyazhku-dlya-macht-rexant-34-0488/", "Инфо")</f>
        <v>Инфо</v>
      </c>
      <c r="F8164" s="16" t="s">
        <v>39</v>
      </c>
      <c r="G8164" s="15"/>
      <c r="H8164" s="15"/>
      <c r="I8164" s="15"/>
      <c r="J8164" s="17">
        <v>146</v>
      </c>
      <c r="K8164" s="15"/>
      <c r="L8164" s="17">
        <v>1</v>
      </c>
      <c r="M8164" s="17">
        <v>20</v>
      </c>
      <c r="N8164" s="17">
        <v>1</v>
      </c>
      <c r="O8164" s="18">
        <v>540.98</v>
      </c>
      <c r="P8164" s="18">
        <v>443.43</v>
      </c>
      <c r="Q8164" s="18">
        <v>432.78</v>
      </c>
      <c r="R8164" s="18">
        <v>354.74</v>
      </c>
      <c r="S8164" s="18">
        <v>367.87</v>
      </c>
      <c r="T8164" s="18">
        <v>301.52999999999997</v>
      </c>
      <c r="U8164" s="16"/>
      <c r="V8164" s="16"/>
      <c r="W8164" s="16" t="s">
        <v>40</v>
      </c>
      <c r="X8164" s="19">
        <v>0.214</v>
      </c>
      <c r="Y8164" s="20">
        <v>2.7700000000000001E-4</v>
      </c>
      <c r="Z8164" s="21">
        <v>4601004043817</v>
      </c>
    </row>
    <row r="8165" spans="1:26" ht="12" customHeight="1" outlineLevel="3" x14ac:dyDescent="0.2">
      <c r="A8165" s="14" t="s">
        <v>15595</v>
      </c>
      <c r="B8165" s="26" t="s">
        <v>15596</v>
      </c>
      <c r="C8165" s="52"/>
      <c r="D8165" s="55">
        <f t="shared" si="127"/>
        <v>0</v>
      </c>
      <c r="E8165" s="63" t="str">
        <f>HYPERLINK("https://www.sds-group.ru/product/kronshteyn-dlya-efirnyh-i-wi-fi-antenn-moskva-1-oblegchennyy-10sm-rexant-34-0583/", "Инфо")</f>
        <v>Инфо</v>
      </c>
      <c r="F8165" s="16" t="s">
        <v>39</v>
      </c>
      <c r="G8165" s="15"/>
      <c r="H8165" s="15"/>
      <c r="I8165" s="15"/>
      <c r="J8165" s="17">
        <v>792</v>
      </c>
      <c r="K8165" s="15" t="s">
        <v>1408</v>
      </c>
      <c r="L8165" s="17">
        <v>5</v>
      </c>
      <c r="M8165" s="17">
        <v>100</v>
      </c>
      <c r="N8165" s="17">
        <v>5</v>
      </c>
      <c r="O8165" s="18">
        <v>373.06</v>
      </c>
      <c r="P8165" s="18">
        <v>305.79000000000002</v>
      </c>
      <c r="Q8165" s="18">
        <v>317.10000000000002</v>
      </c>
      <c r="R8165" s="18">
        <v>259.92</v>
      </c>
      <c r="S8165" s="18">
        <v>253.68</v>
      </c>
      <c r="T8165" s="18">
        <v>207.93</v>
      </c>
      <c r="U8165" s="16"/>
      <c r="V8165" s="16"/>
      <c r="W8165" s="16" t="s">
        <v>40</v>
      </c>
      <c r="X8165" s="19">
        <v>0.191</v>
      </c>
      <c r="Y8165" s="20">
        <v>4.0700000000000003E-4</v>
      </c>
      <c r="Z8165" s="21">
        <v>4601004068476</v>
      </c>
    </row>
    <row r="8166" spans="1:26" ht="12" customHeight="1" outlineLevel="3" x14ac:dyDescent="0.2">
      <c r="A8166" s="14" t="s">
        <v>15597</v>
      </c>
      <c r="B8166" s="26" t="s">
        <v>15598</v>
      </c>
      <c r="C8166" s="52"/>
      <c r="D8166" s="55">
        <f t="shared" si="127"/>
        <v>0</v>
      </c>
      <c r="E8166" s="63" t="str">
        <f>HYPERLINK("https://www.sds-group.ru/product/kronshteyn-22sm-g-obraznyy-dlya-efirnyh-wifi-i-gsm-antenn-rexant-34-0615/", "Инфо")</f>
        <v>Инфо</v>
      </c>
      <c r="F8166" s="16" t="s">
        <v>39</v>
      </c>
      <c r="G8166" s="15"/>
      <c r="H8166" s="15"/>
      <c r="I8166" s="15"/>
      <c r="J8166" s="17">
        <v>20</v>
      </c>
      <c r="K8166" s="15" t="s">
        <v>1094</v>
      </c>
      <c r="L8166" s="17">
        <v>1</v>
      </c>
      <c r="M8166" s="17">
        <v>25</v>
      </c>
      <c r="N8166" s="17">
        <v>1</v>
      </c>
      <c r="O8166" s="18">
        <v>762.49</v>
      </c>
      <c r="P8166" s="18">
        <v>624.99</v>
      </c>
      <c r="Q8166" s="18">
        <v>609.99</v>
      </c>
      <c r="R8166" s="18">
        <v>499.99</v>
      </c>
      <c r="S8166" s="18">
        <v>518.49</v>
      </c>
      <c r="T8166" s="18">
        <v>424.99</v>
      </c>
      <c r="U8166" s="16"/>
      <c r="V8166" s="16"/>
      <c r="W8166" s="16" t="s">
        <v>40</v>
      </c>
      <c r="X8166" s="19">
        <v>0.63</v>
      </c>
      <c r="Y8166" s="20">
        <v>1.614E-3</v>
      </c>
      <c r="Z8166" s="21">
        <v>4601004282575</v>
      </c>
    </row>
    <row r="8167" spans="1:26" ht="12" customHeight="1" outlineLevel="3" x14ac:dyDescent="0.2">
      <c r="A8167" s="14" t="s">
        <v>15599</v>
      </c>
      <c r="B8167" s="26" t="s">
        <v>15600</v>
      </c>
      <c r="C8167" s="52"/>
      <c r="D8167" s="55">
        <f t="shared" si="127"/>
        <v>0</v>
      </c>
      <c r="E8167" s="63" t="str">
        <f>HYPERLINK("https://www.sds-group.ru/product/kronshteyn-28sm-gnutyy-dlya-efirnyh-wifi-i-gsm-antenn-rexant-34-0614/", "Инфо")</f>
        <v>Инфо</v>
      </c>
      <c r="F8167" s="16" t="s">
        <v>39</v>
      </c>
      <c r="G8167" s="15"/>
      <c r="H8167" s="15"/>
      <c r="I8167" s="15"/>
      <c r="J8167" s="17">
        <v>83</v>
      </c>
      <c r="K8167" s="15" t="s">
        <v>1094</v>
      </c>
      <c r="L8167" s="17">
        <v>1</v>
      </c>
      <c r="M8167" s="17">
        <v>25</v>
      </c>
      <c r="N8167" s="17">
        <v>1</v>
      </c>
      <c r="O8167" s="18">
        <v>686.23</v>
      </c>
      <c r="P8167" s="18">
        <v>562.48</v>
      </c>
      <c r="Q8167" s="18">
        <v>548.98</v>
      </c>
      <c r="R8167" s="18">
        <v>449.98</v>
      </c>
      <c r="S8167" s="18">
        <v>466.64</v>
      </c>
      <c r="T8167" s="18">
        <v>382.49</v>
      </c>
      <c r="U8167" s="16"/>
      <c r="V8167" s="16"/>
      <c r="W8167" s="16" t="s">
        <v>40</v>
      </c>
      <c r="X8167" s="19">
        <v>0.58499999999999996</v>
      </c>
      <c r="Y8167" s="20">
        <v>1.6429999999999999E-3</v>
      </c>
      <c r="Z8167" s="21">
        <v>4601004282537</v>
      </c>
    </row>
    <row r="8168" spans="1:26" ht="12" customHeight="1" outlineLevel="3" x14ac:dyDescent="0.2">
      <c r="A8168" s="14" t="s">
        <v>15601</v>
      </c>
      <c r="B8168" s="26" t="s">
        <v>15602</v>
      </c>
      <c r="C8168" s="52"/>
      <c r="D8168" s="55">
        <f t="shared" si="127"/>
        <v>0</v>
      </c>
      <c r="E8168" s="63" t="str">
        <f>HYPERLINK("https://www.sds-group.ru/product/kronshteyn-g-obraznyy-30-50sm-teleskopicheskiy-rexant-34-0605/", "Инфо")</f>
        <v>Инфо</v>
      </c>
      <c r="F8168" s="16" t="s">
        <v>39</v>
      </c>
      <c r="G8168" s="15"/>
      <c r="H8168" s="15"/>
      <c r="I8168" s="15"/>
      <c r="J8168" s="17">
        <v>118</v>
      </c>
      <c r="K8168" s="15"/>
      <c r="L8168" s="17">
        <v>1</v>
      </c>
      <c r="M8168" s="17">
        <v>10</v>
      </c>
      <c r="N8168" s="17">
        <v>1</v>
      </c>
      <c r="O8168" s="18">
        <v>1753.72</v>
      </c>
      <c r="P8168" s="18">
        <v>1437.48</v>
      </c>
      <c r="Q8168" s="18">
        <v>1385.44</v>
      </c>
      <c r="R8168" s="18">
        <v>1135.6099999999999</v>
      </c>
      <c r="S8168" s="18">
        <v>1192.53</v>
      </c>
      <c r="T8168" s="18">
        <v>977.48</v>
      </c>
      <c r="U8168" s="16"/>
      <c r="V8168" s="16"/>
      <c r="W8168" s="16" t="s">
        <v>40</v>
      </c>
      <c r="X8168" s="19">
        <v>1.911</v>
      </c>
      <c r="Y8168" s="20">
        <v>6.9779999999999998E-3</v>
      </c>
      <c r="Z8168" s="21">
        <v>4601004282469</v>
      </c>
    </row>
    <row r="8169" spans="1:26" ht="12" customHeight="1" outlineLevel="3" x14ac:dyDescent="0.2">
      <c r="A8169" s="14" t="s">
        <v>15603</v>
      </c>
      <c r="B8169" s="26" t="s">
        <v>15604</v>
      </c>
      <c r="C8169" s="52"/>
      <c r="D8169" s="55">
        <f t="shared" si="127"/>
        <v>0</v>
      </c>
      <c r="E8169" s="63" t="str">
        <f>HYPERLINK("https://www.sds-group.ru/product/kronshteyn-g-obraznyy-50-90sm-teleskopicheskiy-rexant-34-0606/", "Инфо")</f>
        <v>Инфо</v>
      </c>
      <c r="F8169" s="16" t="s">
        <v>39</v>
      </c>
      <c r="G8169" s="15"/>
      <c r="H8169" s="15"/>
      <c r="I8169" s="15"/>
      <c r="J8169" s="17">
        <v>64</v>
      </c>
      <c r="K8169" s="15" t="s">
        <v>1408</v>
      </c>
      <c r="L8169" s="17">
        <v>1</v>
      </c>
      <c r="M8169" s="17">
        <v>10</v>
      </c>
      <c r="N8169" s="17">
        <v>1</v>
      </c>
      <c r="O8169" s="18">
        <v>2007.87</v>
      </c>
      <c r="P8169" s="18">
        <v>1645.8</v>
      </c>
      <c r="Q8169" s="18">
        <v>1405.51</v>
      </c>
      <c r="R8169" s="18">
        <v>1152.06</v>
      </c>
      <c r="S8169" s="18">
        <v>1365.35</v>
      </c>
      <c r="T8169" s="18">
        <v>1119.1400000000001</v>
      </c>
      <c r="U8169" s="16"/>
      <c r="V8169" s="16"/>
      <c r="W8169" s="16"/>
      <c r="X8169" s="19">
        <v>2.4620000000000002</v>
      </c>
      <c r="Y8169" s="20">
        <v>9.7599999999999996E-3</v>
      </c>
      <c r="Z8169" s="21">
        <v>4601004282513</v>
      </c>
    </row>
    <row r="8170" spans="1:26" ht="12" customHeight="1" outlineLevel="3" x14ac:dyDescent="0.2">
      <c r="A8170" s="14" t="s">
        <v>15605</v>
      </c>
      <c r="B8170" s="26" t="s">
        <v>15606</v>
      </c>
      <c r="C8170" s="52"/>
      <c r="D8170" s="55">
        <f t="shared" si="127"/>
        <v>0</v>
      </c>
      <c r="E8170" s="63" t="str">
        <f>HYPERLINK("https://www.sds-group.ru/product/kronshteyn-dlya-macht-krym-teleskopicheskiy-30-50sm-rexant-34-0591/", "Инфо")</f>
        <v>Инфо</v>
      </c>
      <c r="F8170" s="16" t="s">
        <v>39</v>
      </c>
      <c r="G8170" s="15"/>
      <c r="H8170" s="15"/>
      <c r="I8170" s="15"/>
      <c r="J8170" s="17">
        <v>943</v>
      </c>
      <c r="K8170" s="15" t="s">
        <v>1408</v>
      </c>
      <c r="L8170" s="17">
        <v>1</v>
      </c>
      <c r="M8170" s="17">
        <v>16</v>
      </c>
      <c r="N8170" s="17">
        <v>1</v>
      </c>
      <c r="O8170" s="18">
        <v>1532.43</v>
      </c>
      <c r="P8170" s="18">
        <v>1256.0899999999999</v>
      </c>
      <c r="Q8170" s="18">
        <v>1072.7</v>
      </c>
      <c r="R8170" s="18">
        <v>879.26</v>
      </c>
      <c r="S8170" s="18">
        <v>1042.05</v>
      </c>
      <c r="T8170" s="18">
        <v>854.14</v>
      </c>
      <c r="U8170" s="16"/>
      <c r="V8170" s="16"/>
      <c r="W8170" s="16"/>
      <c r="X8170" s="19">
        <v>1.8720000000000001</v>
      </c>
      <c r="Y8170" s="20">
        <v>4.4510000000000001E-3</v>
      </c>
      <c r="Z8170" s="21">
        <v>4601004038769</v>
      </c>
    </row>
    <row r="8171" spans="1:26" ht="12" customHeight="1" outlineLevel="3" x14ac:dyDescent="0.2">
      <c r="A8171" s="14" t="s">
        <v>15607</v>
      </c>
      <c r="B8171" s="26" t="s">
        <v>15608</v>
      </c>
      <c r="C8171" s="52"/>
      <c r="D8171" s="55">
        <f t="shared" si="127"/>
        <v>0</v>
      </c>
      <c r="E8171" s="63" t="str">
        <f>HYPERLINK("https://www.sds-group.ru/product/kronshteyn-dlya-macht-krym-teleskopicheskiy-40-70sm-rexant-34-0592/", "Инфо")</f>
        <v>Инфо</v>
      </c>
      <c r="F8171" s="16" t="s">
        <v>39</v>
      </c>
      <c r="G8171" s="15"/>
      <c r="H8171" s="15"/>
      <c r="I8171" s="15"/>
      <c r="J8171" s="17">
        <v>111</v>
      </c>
      <c r="K8171" s="15" t="s">
        <v>1408</v>
      </c>
      <c r="L8171" s="17">
        <v>1</v>
      </c>
      <c r="M8171" s="17">
        <v>12</v>
      </c>
      <c r="N8171" s="17">
        <v>1</v>
      </c>
      <c r="O8171" s="18">
        <v>1719.88</v>
      </c>
      <c r="P8171" s="18">
        <v>1409.74</v>
      </c>
      <c r="Q8171" s="18">
        <v>1358.71</v>
      </c>
      <c r="R8171" s="18">
        <v>1113.7</v>
      </c>
      <c r="S8171" s="18">
        <v>1169.52</v>
      </c>
      <c r="T8171" s="18">
        <v>958.62</v>
      </c>
      <c r="U8171" s="16"/>
      <c r="V8171" s="16"/>
      <c r="W8171" s="16" t="s">
        <v>40</v>
      </c>
      <c r="X8171" s="19">
        <v>2.19</v>
      </c>
      <c r="Y8171" s="20">
        <v>8.2120000000000005E-3</v>
      </c>
      <c r="Z8171" s="21">
        <v>4601004038783</v>
      </c>
    </row>
    <row r="8172" spans="1:26" ht="12" customHeight="1" outlineLevel="3" x14ac:dyDescent="0.2">
      <c r="A8172" s="14" t="s">
        <v>15609</v>
      </c>
      <c r="B8172" s="26" t="s">
        <v>15610</v>
      </c>
      <c r="C8172" s="52"/>
      <c r="D8172" s="55">
        <f t="shared" si="127"/>
        <v>0</v>
      </c>
      <c r="E8172" s="63" t="str">
        <f>HYPERLINK("https://www.sds-group.ru/product/kronshteyn-dlya-macht-ploskiy-p-obraznyy-10sm-rexant-34-0594/", "Инфо")</f>
        <v>Инфо</v>
      </c>
      <c r="F8172" s="16" t="s">
        <v>39</v>
      </c>
      <c r="G8172" s="15"/>
      <c r="H8172" s="15"/>
      <c r="I8172" s="15"/>
      <c r="J8172" s="17">
        <v>269</v>
      </c>
      <c r="K8172" s="15"/>
      <c r="L8172" s="17">
        <v>1</v>
      </c>
      <c r="M8172" s="17">
        <v>40</v>
      </c>
      <c r="N8172" s="17">
        <v>1</v>
      </c>
      <c r="O8172" s="18">
        <v>836.5</v>
      </c>
      <c r="P8172" s="18">
        <v>685.66</v>
      </c>
      <c r="Q8172" s="18">
        <v>669.2</v>
      </c>
      <c r="R8172" s="18">
        <v>548.52</v>
      </c>
      <c r="S8172" s="18">
        <v>568.82000000000005</v>
      </c>
      <c r="T8172" s="18">
        <v>466.25</v>
      </c>
      <c r="U8172" s="16"/>
      <c r="V8172" s="16"/>
      <c r="W8172" s="16" t="s">
        <v>40</v>
      </c>
      <c r="X8172" s="19">
        <v>0.61</v>
      </c>
      <c r="Y8172" s="20">
        <v>1.0070000000000001E-3</v>
      </c>
      <c r="Z8172" s="21">
        <v>4601004042179</v>
      </c>
    </row>
    <row r="8173" spans="1:26" ht="12" customHeight="1" outlineLevel="3" x14ac:dyDescent="0.2">
      <c r="A8173" s="14" t="s">
        <v>15611</v>
      </c>
      <c r="B8173" s="26" t="s">
        <v>15612</v>
      </c>
      <c r="C8173" s="52"/>
      <c r="D8173" s="55">
        <f t="shared" si="127"/>
        <v>0</v>
      </c>
      <c r="E8173" s="63" t="str">
        <f>HYPERLINK("https://www.sds-group.ru/product/kronshteyn-dlya-macht-ploskiy-p-obraznyy-20sm-rexant-34-0595/", "Инфо")</f>
        <v>Инфо</v>
      </c>
      <c r="F8173" s="16" t="s">
        <v>39</v>
      </c>
      <c r="G8173" s="15"/>
      <c r="H8173" s="15"/>
      <c r="I8173" s="15"/>
      <c r="J8173" s="16" t="s">
        <v>100</v>
      </c>
      <c r="K8173" s="15" t="s">
        <v>1408</v>
      </c>
      <c r="L8173" s="17">
        <v>1</v>
      </c>
      <c r="M8173" s="17">
        <v>30</v>
      </c>
      <c r="N8173" s="17">
        <v>1</v>
      </c>
      <c r="O8173" s="18">
        <v>1056.77</v>
      </c>
      <c r="P8173" s="18">
        <v>866.2</v>
      </c>
      <c r="Q8173" s="18">
        <v>845.42</v>
      </c>
      <c r="R8173" s="18">
        <v>692.97</v>
      </c>
      <c r="S8173" s="18">
        <v>718.6</v>
      </c>
      <c r="T8173" s="18">
        <v>589.02</v>
      </c>
      <c r="U8173" s="16"/>
      <c r="V8173" s="16"/>
      <c r="W8173" s="16" t="s">
        <v>40</v>
      </c>
      <c r="X8173" s="19">
        <v>0.77100000000000002</v>
      </c>
      <c r="Y8173" s="20">
        <v>1.3489999999999999E-3</v>
      </c>
      <c r="Z8173" s="21">
        <v>4601004042162</v>
      </c>
    </row>
    <row r="8174" spans="1:26" ht="12" customHeight="1" outlineLevel="3" x14ac:dyDescent="0.2">
      <c r="A8174" s="14" t="s">
        <v>15613</v>
      </c>
      <c r="B8174" s="26" t="s">
        <v>15614</v>
      </c>
      <c r="C8174" s="52"/>
      <c r="D8174" s="55">
        <f t="shared" si="127"/>
        <v>0</v>
      </c>
      <c r="E8174" s="63" t="str">
        <f>HYPERLINK("https://www.sds-group.ru/product/kronshteyn-dlya-macht-teleskopicheskiy-20-30sm-rexant-34-0607/", "Инфо")</f>
        <v>Инфо</v>
      </c>
      <c r="F8174" s="16" t="s">
        <v>39</v>
      </c>
      <c r="G8174" s="15"/>
      <c r="H8174" s="15"/>
      <c r="I8174" s="15"/>
      <c r="J8174" s="17">
        <v>652</v>
      </c>
      <c r="K8174" s="15" t="s">
        <v>1408</v>
      </c>
      <c r="L8174" s="17">
        <v>1</v>
      </c>
      <c r="M8174" s="17">
        <v>20</v>
      </c>
      <c r="N8174" s="17">
        <v>1</v>
      </c>
      <c r="O8174" s="18">
        <v>1474.14</v>
      </c>
      <c r="P8174" s="18">
        <v>1208.31</v>
      </c>
      <c r="Q8174" s="18">
        <v>1031.9000000000001</v>
      </c>
      <c r="R8174" s="18">
        <v>845.82</v>
      </c>
      <c r="S8174" s="18">
        <v>1002.42</v>
      </c>
      <c r="T8174" s="18">
        <v>821.66</v>
      </c>
      <c r="U8174" s="16"/>
      <c r="V8174" s="16"/>
      <c r="W8174" s="16"/>
      <c r="X8174" s="19">
        <v>1.6080000000000001</v>
      </c>
      <c r="Y8174" s="20">
        <v>3.6050000000000001E-3</v>
      </c>
      <c r="Z8174" s="21">
        <v>4601004282551</v>
      </c>
    </row>
    <row r="8175" spans="1:26" ht="12" customHeight="1" outlineLevel="3" x14ac:dyDescent="0.2">
      <c r="A8175" s="14" t="s">
        <v>15615</v>
      </c>
      <c r="B8175" s="26" t="s">
        <v>15616</v>
      </c>
      <c r="C8175" s="52"/>
      <c r="D8175" s="55">
        <f t="shared" si="127"/>
        <v>0</v>
      </c>
      <c r="E8175" s="63" t="str">
        <f>HYPERLINK("https://www.sds-group.ru/product/kronshteyn-dlya-macht-teleskopicheskiy-50-90sm-rexant-34-0608/", "Инфо")</f>
        <v>Инфо</v>
      </c>
      <c r="F8175" s="16" t="s">
        <v>39</v>
      </c>
      <c r="G8175" s="15"/>
      <c r="H8175" s="15"/>
      <c r="I8175" s="15"/>
      <c r="J8175" s="17">
        <v>183</v>
      </c>
      <c r="K8175" s="15" t="s">
        <v>1094</v>
      </c>
      <c r="L8175" s="17">
        <v>1</v>
      </c>
      <c r="M8175" s="17">
        <v>10</v>
      </c>
      <c r="N8175" s="17">
        <v>1</v>
      </c>
      <c r="O8175" s="18">
        <v>2058.71</v>
      </c>
      <c r="P8175" s="18">
        <v>1687.47</v>
      </c>
      <c r="Q8175" s="18">
        <v>1626.38</v>
      </c>
      <c r="R8175" s="18">
        <v>1333.1</v>
      </c>
      <c r="S8175" s="18">
        <v>1399.92</v>
      </c>
      <c r="T8175" s="18">
        <v>1147.48</v>
      </c>
      <c r="U8175" s="16"/>
      <c r="V8175" s="16"/>
      <c r="W8175" s="16" t="s">
        <v>40</v>
      </c>
      <c r="X8175" s="19">
        <v>2.5110000000000001</v>
      </c>
      <c r="Y8175" s="20">
        <v>9.7420000000000007E-3</v>
      </c>
      <c r="Z8175" s="21">
        <v>4601004282544</v>
      </c>
    </row>
    <row r="8176" spans="1:26" ht="12" customHeight="1" outlineLevel="3" x14ac:dyDescent="0.2">
      <c r="A8176" s="14" t="s">
        <v>15617</v>
      </c>
      <c r="B8176" s="26" t="s">
        <v>15618</v>
      </c>
      <c r="C8176" s="52"/>
      <c r="D8176" s="55">
        <f t="shared" si="127"/>
        <v>0</v>
      </c>
      <c r="E8176" s="63" t="str">
        <f>HYPERLINK("https://www.sds-group.ru/product/kronshteyn-dlya-machty-krym-1-rexant-34-0482/", "Инфо")</f>
        <v>Инфо</v>
      </c>
      <c r="F8176" s="16" t="s">
        <v>39</v>
      </c>
      <c r="G8176" s="15"/>
      <c r="H8176" s="15"/>
      <c r="I8176" s="15"/>
      <c r="J8176" s="17">
        <v>172</v>
      </c>
      <c r="K8176" s="15" t="s">
        <v>1408</v>
      </c>
      <c r="L8176" s="17">
        <v>1</v>
      </c>
      <c r="M8176" s="17">
        <v>20</v>
      </c>
      <c r="N8176" s="17">
        <v>1</v>
      </c>
      <c r="O8176" s="18">
        <v>729.45</v>
      </c>
      <c r="P8176" s="18">
        <v>597.91</v>
      </c>
      <c r="Q8176" s="18">
        <v>583.55999999999995</v>
      </c>
      <c r="R8176" s="18">
        <v>478.33</v>
      </c>
      <c r="S8176" s="18">
        <v>496.03</v>
      </c>
      <c r="T8176" s="18">
        <v>406.58</v>
      </c>
      <c r="U8176" s="16"/>
      <c r="V8176" s="16"/>
      <c r="W8176" s="16" t="s">
        <v>40</v>
      </c>
      <c r="X8176" s="19">
        <v>0.95299999999999996</v>
      </c>
      <c r="Y8176" s="20">
        <v>1.993E-3</v>
      </c>
      <c r="Z8176" s="21">
        <v>4601004036130</v>
      </c>
    </row>
    <row r="8177" spans="1:26" ht="12" customHeight="1" outlineLevel="3" x14ac:dyDescent="0.2">
      <c r="A8177" s="14" t="s">
        <v>15619</v>
      </c>
      <c r="B8177" s="26" t="s">
        <v>15620</v>
      </c>
      <c r="C8177" s="52"/>
      <c r="D8177" s="55">
        <f t="shared" si="127"/>
        <v>0</v>
      </c>
      <c r="E8177" s="63" t="str">
        <f>HYPERLINK("https://www.sds-group.ru/product/kronshteyn-dlya-sputnikovoy-antenny-g-obraznyy-55-60sm-32sm-rexant-34-0860/", "Инфо")</f>
        <v>Инфо</v>
      </c>
      <c r="F8177" s="16" t="s">
        <v>39</v>
      </c>
      <c r="G8177" s="15"/>
      <c r="H8177" s="15"/>
      <c r="I8177" s="15"/>
      <c r="J8177" s="17">
        <v>492</v>
      </c>
      <c r="K8177" s="15" t="s">
        <v>1408</v>
      </c>
      <c r="L8177" s="17">
        <v>1</v>
      </c>
      <c r="M8177" s="17">
        <v>25</v>
      </c>
      <c r="N8177" s="17">
        <v>1</v>
      </c>
      <c r="O8177" s="18">
        <v>718.1</v>
      </c>
      <c r="P8177" s="18">
        <v>588.61</v>
      </c>
      <c r="Q8177" s="18">
        <v>574.48</v>
      </c>
      <c r="R8177" s="18">
        <v>470.89</v>
      </c>
      <c r="S8177" s="18">
        <v>488.31</v>
      </c>
      <c r="T8177" s="18">
        <v>400.25</v>
      </c>
      <c r="U8177" s="16"/>
      <c r="V8177" s="16"/>
      <c r="W8177" s="16" t="s">
        <v>40</v>
      </c>
      <c r="X8177" s="19">
        <v>0.77500000000000002</v>
      </c>
      <c r="Y8177" s="20">
        <v>2.8440000000000002E-3</v>
      </c>
      <c r="Z8177" s="21">
        <v>4601004102194</v>
      </c>
    </row>
    <row r="8178" spans="1:26" ht="12" customHeight="1" outlineLevel="3" x14ac:dyDescent="0.2">
      <c r="A8178" s="14" t="s">
        <v>15621</v>
      </c>
      <c r="B8178" s="26" t="s">
        <v>15622</v>
      </c>
      <c r="C8178" s="52"/>
      <c r="D8178" s="55">
        <f t="shared" si="127"/>
        <v>0</v>
      </c>
      <c r="E8178" s="63" t="str">
        <f>HYPERLINK("https://www.sds-group.ru/product/kronshteyn-dlya-sputnikovoy-antenny-g-obraznyy-60sm-34sm-rexant-34-0861/", "Инфо")</f>
        <v>Инфо</v>
      </c>
      <c r="F8178" s="16" t="s">
        <v>39</v>
      </c>
      <c r="G8178" s="15"/>
      <c r="H8178" s="15"/>
      <c r="I8178" s="15"/>
      <c r="J8178" s="17">
        <v>26</v>
      </c>
      <c r="K8178" s="15" t="s">
        <v>1408</v>
      </c>
      <c r="L8178" s="17">
        <v>1</v>
      </c>
      <c r="M8178" s="17">
        <v>30</v>
      </c>
      <c r="N8178" s="17">
        <v>1</v>
      </c>
      <c r="O8178" s="18">
        <v>1072.77</v>
      </c>
      <c r="P8178" s="18">
        <v>879.32</v>
      </c>
      <c r="Q8178" s="18">
        <v>858.22</v>
      </c>
      <c r="R8178" s="18">
        <v>703.46</v>
      </c>
      <c r="S8178" s="18">
        <v>729.48</v>
      </c>
      <c r="T8178" s="18">
        <v>597.92999999999995</v>
      </c>
      <c r="U8178" s="16"/>
      <c r="V8178" s="16"/>
      <c r="W8178" s="16" t="s">
        <v>40</v>
      </c>
      <c r="X8178" s="19">
        <v>0.97599999999999998</v>
      </c>
      <c r="Y8178" s="20">
        <v>3.2729999999999999E-3</v>
      </c>
      <c r="Z8178" s="21">
        <v>4601004125643</v>
      </c>
    </row>
    <row r="8179" spans="1:26" ht="12" customHeight="1" outlineLevel="3" x14ac:dyDescent="0.2">
      <c r="A8179" s="14" t="s">
        <v>15623</v>
      </c>
      <c r="B8179" s="26" t="s">
        <v>15624</v>
      </c>
      <c r="C8179" s="52"/>
      <c r="D8179" s="55">
        <f t="shared" si="127"/>
        <v>0</v>
      </c>
      <c r="E8179" s="63" t="str">
        <f>HYPERLINK("https://www.sds-group.ru/product/kronshteyn-povorotnyy-sevastopol-1-50sm-rexant-34-0597/", "Инфо")</f>
        <v>Инфо</v>
      </c>
      <c r="F8179" s="16" t="s">
        <v>39</v>
      </c>
      <c r="G8179" s="15"/>
      <c r="H8179" s="15"/>
      <c r="I8179" s="15"/>
      <c r="J8179" s="17">
        <v>84</v>
      </c>
      <c r="K8179" s="15"/>
      <c r="L8179" s="17">
        <v>1</v>
      </c>
      <c r="M8179" s="17">
        <v>25</v>
      </c>
      <c r="N8179" s="17">
        <v>1</v>
      </c>
      <c r="O8179" s="18">
        <v>1212.6400000000001</v>
      </c>
      <c r="P8179" s="18">
        <v>993.97</v>
      </c>
      <c r="Q8179" s="18">
        <v>848.85</v>
      </c>
      <c r="R8179" s="18">
        <v>695.78</v>
      </c>
      <c r="S8179" s="18">
        <v>824.6</v>
      </c>
      <c r="T8179" s="18">
        <v>675.9</v>
      </c>
      <c r="U8179" s="16"/>
      <c r="V8179" s="16"/>
      <c r="W8179" s="16"/>
      <c r="X8179" s="19">
        <v>0.85399999999999998</v>
      </c>
      <c r="Y8179" s="20">
        <v>2.843E-3</v>
      </c>
      <c r="Z8179" s="21">
        <v>4601004045118</v>
      </c>
    </row>
    <row r="8180" spans="1:26" ht="12" customHeight="1" outlineLevel="3" x14ac:dyDescent="0.2">
      <c r="A8180" s="14" t="s">
        <v>15625</v>
      </c>
      <c r="B8180" s="26" t="s">
        <v>15626</v>
      </c>
      <c r="C8180" s="52"/>
      <c r="D8180" s="55">
        <f t="shared" si="127"/>
        <v>0</v>
      </c>
      <c r="E8180" s="63" t="str">
        <f>HYPERLINK("https://www.sds-group.ru/product/kronshteyn-povorotnyy-sevastopol-2-100sm-rexant-34-0598/", "Инфо")</f>
        <v>Инфо</v>
      </c>
      <c r="F8180" s="16" t="s">
        <v>39</v>
      </c>
      <c r="G8180" s="15"/>
      <c r="H8180" s="15"/>
      <c r="I8180" s="15"/>
      <c r="J8180" s="17">
        <v>54</v>
      </c>
      <c r="K8180" s="15"/>
      <c r="L8180" s="17">
        <v>1</v>
      </c>
      <c r="M8180" s="17">
        <v>25</v>
      </c>
      <c r="N8180" s="17">
        <v>1</v>
      </c>
      <c r="O8180" s="18">
        <v>1335.67</v>
      </c>
      <c r="P8180" s="18">
        <v>1094.81</v>
      </c>
      <c r="Q8180" s="18">
        <v>934.97</v>
      </c>
      <c r="R8180" s="18">
        <v>766.37</v>
      </c>
      <c r="S8180" s="18">
        <v>908.26</v>
      </c>
      <c r="T8180" s="18">
        <v>744.48</v>
      </c>
      <c r="U8180" s="16"/>
      <c r="V8180" s="16"/>
      <c r="W8180" s="16"/>
      <c r="X8180" s="19">
        <v>1.238</v>
      </c>
      <c r="Y8180" s="20">
        <v>6.8580000000000004E-3</v>
      </c>
      <c r="Z8180" s="21">
        <v>4601004045125</v>
      </c>
    </row>
    <row r="8181" spans="1:26" ht="12" customHeight="1" outlineLevel="3" x14ac:dyDescent="0.2">
      <c r="A8181" s="14" t="s">
        <v>15627</v>
      </c>
      <c r="B8181" s="26" t="s">
        <v>15628</v>
      </c>
      <c r="C8181" s="52"/>
      <c r="D8181" s="55">
        <f t="shared" si="127"/>
        <v>0</v>
      </c>
      <c r="E8181" s="63" t="str">
        <f>HYPERLINK("https://www.sds-group.ru/product/kronshteyn-dlya-sputnikovoy-antenny-g-obraznyy-usilennyy-75sm-50sm-rexant-34-0865/", "Инфо")</f>
        <v>Инфо</v>
      </c>
      <c r="F8181" s="16" t="s">
        <v>39</v>
      </c>
      <c r="G8181" s="15"/>
      <c r="H8181" s="15"/>
      <c r="I8181" s="15"/>
      <c r="J8181" s="17">
        <v>55</v>
      </c>
      <c r="K8181" s="15" t="s">
        <v>1408</v>
      </c>
      <c r="L8181" s="17">
        <v>1</v>
      </c>
      <c r="M8181" s="17">
        <v>5</v>
      </c>
      <c r="N8181" s="17">
        <v>1</v>
      </c>
      <c r="O8181" s="18">
        <v>3298.46</v>
      </c>
      <c r="P8181" s="18">
        <v>2703.66</v>
      </c>
      <c r="Q8181" s="18">
        <v>2308.92</v>
      </c>
      <c r="R8181" s="18">
        <v>1892.56</v>
      </c>
      <c r="S8181" s="18">
        <v>2242.9499999999998</v>
      </c>
      <c r="T8181" s="18">
        <v>1838.48</v>
      </c>
      <c r="U8181" s="16"/>
      <c r="V8181" s="16"/>
      <c r="W8181" s="16"/>
      <c r="X8181" s="19">
        <v>3.1440000000000001</v>
      </c>
      <c r="Y8181" s="20">
        <v>1.9445E-2</v>
      </c>
      <c r="Z8181" s="21">
        <v>4601004125650</v>
      </c>
    </row>
    <row r="8182" spans="1:26" ht="12" customHeight="1" outlineLevel="3" x14ac:dyDescent="0.2">
      <c r="A8182" s="14" t="s">
        <v>15629</v>
      </c>
      <c r="B8182" s="26" t="s">
        <v>15630</v>
      </c>
      <c r="C8182" s="52"/>
      <c r="D8182" s="55">
        <f t="shared" si="127"/>
        <v>0</v>
      </c>
      <c r="E8182" s="63" t="str">
        <f>HYPERLINK("https://www.sds-group.ru/product/kronshteyn-efirnyy-g-obraznyy-14-5sm-rexant-34-0580/", "Инфо")</f>
        <v>Инфо</v>
      </c>
      <c r="F8182" s="16" t="s">
        <v>39</v>
      </c>
      <c r="G8182" s="15"/>
      <c r="H8182" s="15"/>
      <c r="I8182" s="15"/>
      <c r="J8182" s="22">
        <v>1031</v>
      </c>
      <c r="K8182" s="15"/>
      <c r="L8182" s="17">
        <v>1</v>
      </c>
      <c r="M8182" s="17">
        <v>50</v>
      </c>
      <c r="N8182" s="17">
        <v>1</v>
      </c>
      <c r="O8182" s="18">
        <v>499.71</v>
      </c>
      <c r="P8182" s="18">
        <v>409.6</v>
      </c>
      <c r="Q8182" s="18">
        <v>399.77</v>
      </c>
      <c r="R8182" s="18">
        <v>327.68</v>
      </c>
      <c r="S8182" s="18">
        <v>339.8</v>
      </c>
      <c r="T8182" s="18">
        <v>278.52</v>
      </c>
      <c r="U8182" s="16"/>
      <c r="V8182" s="16"/>
      <c r="W8182" s="16" t="s">
        <v>40</v>
      </c>
      <c r="X8182" s="19">
        <v>0.35099999999999998</v>
      </c>
      <c r="Y8182" s="20">
        <v>8.1400000000000005E-4</v>
      </c>
      <c r="Z8182" s="21">
        <v>4601004041851</v>
      </c>
    </row>
    <row r="8183" spans="1:26" ht="12" customHeight="1" outlineLevel="3" x14ac:dyDescent="0.2">
      <c r="A8183" s="14" t="s">
        <v>15631</v>
      </c>
      <c r="B8183" s="26" t="s">
        <v>15632</v>
      </c>
      <c r="C8183" s="52"/>
      <c r="D8183" s="55">
        <f t="shared" si="127"/>
        <v>0</v>
      </c>
      <c r="E8183" s="63" t="str">
        <f>HYPERLINK("https://www.sds-group.ru/product/kronshteyn-efirnyy-polosa-14-5sm-rexant-34-0570/", "Инфо")</f>
        <v>Инфо</v>
      </c>
      <c r="F8183" s="16" t="s">
        <v>39</v>
      </c>
      <c r="G8183" s="15"/>
      <c r="H8183" s="15"/>
      <c r="I8183" s="15"/>
      <c r="J8183" s="22">
        <v>2035</v>
      </c>
      <c r="K8183" s="15"/>
      <c r="L8183" s="17">
        <v>1</v>
      </c>
      <c r="M8183" s="17">
        <v>50</v>
      </c>
      <c r="N8183" s="17">
        <v>1</v>
      </c>
      <c r="O8183" s="18">
        <v>522.58000000000004</v>
      </c>
      <c r="P8183" s="18">
        <v>428.34</v>
      </c>
      <c r="Q8183" s="18">
        <v>365.81</v>
      </c>
      <c r="R8183" s="18">
        <v>299.83999999999997</v>
      </c>
      <c r="S8183" s="18">
        <v>355.35</v>
      </c>
      <c r="T8183" s="18">
        <v>291.27</v>
      </c>
      <c r="U8183" s="16"/>
      <c r="V8183" s="16"/>
      <c r="W8183" s="16"/>
      <c r="X8183" s="19">
        <v>0.32</v>
      </c>
      <c r="Y8183" s="20">
        <v>8.0900000000000004E-4</v>
      </c>
      <c r="Z8183" s="21">
        <v>4601004076112</v>
      </c>
    </row>
    <row r="8184" spans="1:26" ht="12" customHeight="1" outlineLevel="3" x14ac:dyDescent="0.2">
      <c r="A8184" s="32" t="s">
        <v>15633</v>
      </c>
      <c r="B8184" s="74" t="s">
        <v>15634</v>
      </c>
      <c r="C8184" s="50"/>
      <c r="D8184" s="53">
        <f t="shared" si="127"/>
        <v>0</v>
      </c>
      <c r="E8184" s="60" t="str">
        <f>HYPERLINK("https://www.sds-group.ru/product/kronshteyn-efirnyy-20sm-treugolnaya-ploschadka-rexant-34-0602/", "Инфо")</f>
        <v>Инфо</v>
      </c>
      <c r="F8184" s="34" t="s">
        <v>39</v>
      </c>
      <c r="G8184" s="33"/>
      <c r="H8184" s="33" t="s">
        <v>40</v>
      </c>
      <c r="I8184" s="33"/>
      <c r="J8184" s="35">
        <v>103</v>
      </c>
      <c r="K8184" s="33"/>
      <c r="L8184" s="35">
        <v>1</v>
      </c>
      <c r="M8184" s="35">
        <v>50</v>
      </c>
      <c r="N8184" s="35">
        <v>1</v>
      </c>
      <c r="O8184" s="36">
        <v>406.66</v>
      </c>
      <c r="P8184" s="36">
        <v>333.33</v>
      </c>
      <c r="Q8184" s="36">
        <v>345.66</v>
      </c>
      <c r="R8184" s="36">
        <v>283.33</v>
      </c>
      <c r="S8184" s="36">
        <v>276.52999999999997</v>
      </c>
      <c r="T8184" s="36">
        <v>226.66</v>
      </c>
      <c r="U8184" s="34"/>
      <c r="V8184" s="34"/>
      <c r="W8184" s="34" t="s">
        <v>40</v>
      </c>
      <c r="X8184" s="37">
        <v>0.27200000000000002</v>
      </c>
      <c r="Y8184" s="38">
        <v>8.0599999999999997E-4</v>
      </c>
      <c r="Z8184" s="21">
        <v>4601004282438</v>
      </c>
    </row>
    <row r="8185" spans="1:26" ht="12" customHeight="1" outlineLevel="3" x14ac:dyDescent="0.2">
      <c r="A8185" s="14" t="s">
        <v>15635</v>
      </c>
      <c r="B8185" s="26" t="s">
        <v>15636</v>
      </c>
      <c r="C8185" s="52"/>
      <c r="D8185" s="55">
        <f t="shared" si="127"/>
        <v>0</v>
      </c>
      <c r="E8185" s="63" t="str">
        <f>HYPERLINK("https://www.sds-group.ru/product/kronshteyn-efirnyy-20smh14-5sm-rexant-34-0601/", "Инфо")</f>
        <v>Инфо</v>
      </c>
      <c r="F8185" s="16" t="s">
        <v>39</v>
      </c>
      <c r="G8185" s="15"/>
      <c r="H8185" s="15"/>
      <c r="I8185" s="15"/>
      <c r="J8185" s="17">
        <v>55</v>
      </c>
      <c r="K8185" s="15"/>
      <c r="L8185" s="17">
        <v>1</v>
      </c>
      <c r="M8185" s="17">
        <v>35</v>
      </c>
      <c r="N8185" s="17">
        <v>1</v>
      </c>
      <c r="O8185" s="18">
        <v>508.32</v>
      </c>
      <c r="P8185" s="18">
        <v>416.66</v>
      </c>
      <c r="Q8185" s="18">
        <v>355.82</v>
      </c>
      <c r="R8185" s="18">
        <v>291.66000000000003</v>
      </c>
      <c r="S8185" s="18">
        <v>345.66</v>
      </c>
      <c r="T8185" s="18">
        <v>283.33</v>
      </c>
      <c r="U8185" s="16"/>
      <c r="V8185" s="16"/>
      <c r="W8185" s="16"/>
      <c r="X8185" s="19">
        <v>0.435</v>
      </c>
      <c r="Y8185" s="20">
        <v>1.14E-3</v>
      </c>
      <c r="Z8185" s="21">
        <v>4601004282476</v>
      </c>
    </row>
    <row r="8186" spans="1:26" ht="12" customHeight="1" outlineLevel="3" x14ac:dyDescent="0.2">
      <c r="A8186" s="14" t="s">
        <v>15637</v>
      </c>
      <c r="B8186" s="26" t="s">
        <v>15638</v>
      </c>
      <c r="C8186" s="52"/>
      <c r="D8186" s="55">
        <f t="shared" si="127"/>
        <v>0</v>
      </c>
      <c r="E8186" s="63" t="str">
        <f>HYPERLINK("https://www.sds-group.ru/product/kronshteyn-efirnyy-g-obraznyy-povorotnyy-25sm-rexant-34-0571/", "Инфо")</f>
        <v>Инфо</v>
      </c>
      <c r="F8186" s="16" t="s">
        <v>39</v>
      </c>
      <c r="G8186" s="15"/>
      <c r="H8186" s="15"/>
      <c r="I8186" s="15"/>
      <c r="J8186" s="17">
        <v>97</v>
      </c>
      <c r="K8186" s="15"/>
      <c r="L8186" s="17">
        <v>5</v>
      </c>
      <c r="M8186" s="17">
        <v>35</v>
      </c>
      <c r="N8186" s="17">
        <v>5</v>
      </c>
      <c r="O8186" s="18">
        <v>549.20000000000005</v>
      </c>
      <c r="P8186" s="18">
        <v>450.16</v>
      </c>
      <c r="Q8186" s="18">
        <v>439.36</v>
      </c>
      <c r="R8186" s="18">
        <v>360.13</v>
      </c>
      <c r="S8186" s="18">
        <v>373.46</v>
      </c>
      <c r="T8186" s="18">
        <v>306.11</v>
      </c>
      <c r="U8186" s="16"/>
      <c r="V8186" s="16"/>
      <c r="W8186" s="16" t="s">
        <v>40</v>
      </c>
      <c r="X8186" s="19">
        <v>0.41199999999999998</v>
      </c>
      <c r="Y8186" s="20">
        <v>1.1620000000000001E-3</v>
      </c>
      <c r="Z8186" s="21">
        <v>4601004076129</v>
      </c>
    </row>
    <row r="8187" spans="1:26" ht="12" customHeight="1" outlineLevel="3" x14ac:dyDescent="0.2">
      <c r="A8187" s="14" t="s">
        <v>15639</v>
      </c>
      <c r="B8187" s="26" t="s">
        <v>15640</v>
      </c>
      <c r="C8187" s="52"/>
      <c r="D8187" s="55">
        <f t="shared" si="127"/>
        <v>0</v>
      </c>
      <c r="E8187" s="63" t="str">
        <f>HYPERLINK("https://www.sds-group.ru/product/kronshteyn-efirnyy-g-obraznyy-30sm-rexant-34-0480/", "Инфо")</f>
        <v>Инфо</v>
      </c>
      <c r="F8187" s="16" t="s">
        <v>39</v>
      </c>
      <c r="G8187" s="15"/>
      <c r="H8187" s="15"/>
      <c r="I8187" s="15"/>
      <c r="J8187" s="16" t="s">
        <v>100</v>
      </c>
      <c r="K8187" s="15" t="s">
        <v>1408</v>
      </c>
      <c r="L8187" s="17">
        <v>1</v>
      </c>
      <c r="M8187" s="17">
        <v>35</v>
      </c>
      <c r="N8187" s="17">
        <v>1</v>
      </c>
      <c r="O8187" s="18">
        <v>544.12</v>
      </c>
      <c r="P8187" s="18">
        <v>446</v>
      </c>
      <c r="Q8187" s="18">
        <v>435.3</v>
      </c>
      <c r="R8187" s="18">
        <v>356.8</v>
      </c>
      <c r="S8187" s="18">
        <v>370</v>
      </c>
      <c r="T8187" s="18">
        <v>303.27999999999997</v>
      </c>
      <c r="U8187" s="16"/>
      <c r="V8187" s="16"/>
      <c r="W8187" s="16" t="s">
        <v>40</v>
      </c>
      <c r="X8187" s="19">
        <v>0.44900000000000001</v>
      </c>
      <c r="Y8187" s="20">
        <v>1.165E-3</v>
      </c>
      <c r="Z8187" s="21">
        <v>4601004036154</v>
      </c>
    </row>
    <row r="8188" spans="1:26" ht="12" customHeight="1" outlineLevel="3" x14ac:dyDescent="0.2">
      <c r="A8188" s="14" t="s">
        <v>15641</v>
      </c>
      <c r="B8188" s="26" t="s">
        <v>15642</v>
      </c>
      <c r="C8188" s="52"/>
      <c r="D8188" s="55">
        <f t="shared" si="127"/>
        <v>0</v>
      </c>
      <c r="E8188" s="63" t="str">
        <f>HYPERLINK("https://www.sds-group.ru/product/kronshteyn-efirnyy-30sm-belyy-rexant-34-0574/", "Инфо")</f>
        <v>Инфо</v>
      </c>
      <c r="F8188" s="16" t="s">
        <v>39</v>
      </c>
      <c r="G8188" s="15"/>
      <c r="H8188" s="15"/>
      <c r="I8188" s="15"/>
      <c r="J8188" s="17">
        <v>543</v>
      </c>
      <c r="K8188" s="15"/>
      <c r="L8188" s="17">
        <v>1</v>
      </c>
      <c r="M8188" s="17">
        <v>30</v>
      </c>
      <c r="N8188" s="17">
        <v>1</v>
      </c>
      <c r="O8188" s="18">
        <v>566.33000000000004</v>
      </c>
      <c r="P8188" s="18">
        <v>464.2</v>
      </c>
      <c r="Q8188" s="18">
        <v>396.43</v>
      </c>
      <c r="R8188" s="18">
        <v>324.94</v>
      </c>
      <c r="S8188" s="18">
        <v>385.1</v>
      </c>
      <c r="T8188" s="18">
        <v>315.66000000000003</v>
      </c>
      <c r="U8188" s="16"/>
      <c r="V8188" s="16"/>
      <c r="W8188" s="16"/>
      <c r="X8188" s="19">
        <v>0.433</v>
      </c>
      <c r="Y8188" s="20">
        <v>1.3500000000000001E-3</v>
      </c>
      <c r="Z8188" s="21">
        <v>4601004076150</v>
      </c>
    </row>
    <row r="8189" spans="1:26" ht="12" customHeight="1" outlineLevel="3" x14ac:dyDescent="0.2">
      <c r="A8189" s="14" t="s">
        <v>15643</v>
      </c>
      <c r="B8189" s="26" t="s">
        <v>15644</v>
      </c>
      <c r="C8189" s="52"/>
      <c r="D8189" s="55">
        <f t="shared" si="127"/>
        <v>0</v>
      </c>
      <c r="E8189" s="63" t="str">
        <f>HYPERLINK("https://www.sds-group.ru/product/kronshteyn-efirnyy-30sm-seryy-rexant-34-0573/", "Инфо")</f>
        <v>Инфо</v>
      </c>
      <c r="F8189" s="16" t="s">
        <v>39</v>
      </c>
      <c r="G8189" s="15"/>
      <c r="H8189" s="15"/>
      <c r="I8189" s="15"/>
      <c r="J8189" s="17">
        <v>241</v>
      </c>
      <c r="K8189" s="15" t="s">
        <v>1094</v>
      </c>
      <c r="L8189" s="17">
        <v>1</v>
      </c>
      <c r="M8189" s="17">
        <v>30</v>
      </c>
      <c r="N8189" s="17">
        <v>1</v>
      </c>
      <c r="O8189" s="18">
        <v>567.69000000000005</v>
      </c>
      <c r="P8189" s="18">
        <v>465.32</v>
      </c>
      <c r="Q8189" s="18">
        <v>454.15</v>
      </c>
      <c r="R8189" s="18">
        <v>372.25</v>
      </c>
      <c r="S8189" s="18">
        <v>386.03</v>
      </c>
      <c r="T8189" s="18">
        <v>316.42</v>
      </c>
      <c r="U8189" s="16"/>
      <c r="V8189" s="16"/>
      <c r="W8189" s="16" t="s">
        <v>40</v>
      </c>
      <c r="X8189" s="19">
        <v>0.42899999999999999</v>
      </c>
      <c r="Y8189" s="20">
        <v>1.3619999999999999E-3</v>
      </c>
      <c r="Z8189" s="21">
        <v>4601004076143</v>
      </c>
    </row>
    <row r="8190" spans="1:26" ht="12" customHeight="1" outlineLevel="3" x14ac:dyDescent="0.2">
      <c r="A8190" s="14" t="s">
        <v>15645</v>
      </c>
      <c r="B8190" s="26" t="s">
        <v>15646</v>
      </c>
      <c r="C8190" s="52"/>
      <c r="D8190" s="55">
        <f t="shared" si="127"/>
        <v>0</v>
      </c>
      <c r="E8190" s="63" t="str">
        <f>HYPERLINK("https://www.sds-group.ru/product/kronshteyn-efirnyy-g-obraznyy-45sm-rexant-34-0581/", "Инфо")</f>
        <v>Инфо</v>
      </c>
      <c r="F8190" s="16" t="s">
        <v>39</v>
      </c>
      <c r="G8190" s="15"/>
      <c r="H8190" s="15"/>
      <c r="I8190" s="15"/>
      <c r="J8190" s="16" t="s">
        <v>100</v>
      </c>
      <c r="K8190" s="15" t="s">
        <v>1408</v>
      </c>
      <c r="L8190" s="17">
        <v>1</v>
      </c>
      <c r="M8190" s="17">
        <v>40</v>
      </c>
      <c r="N8190" s="17">
        <v>1</v>
      </c>
      <c r="O8190" s="18">
        <v>675.15</v>
      </c>
      <c r="P8190" s="18">
        <v>553.4</v>
      </c>
      <c r="Q8190" s="18">
        <v>540.12</v>
      </c>
      <c r="R8190" s="18">
        <v>442.72</v>
      </c>
      <c r="S8190" s="18">
        <v>459.1</v>
      </c>
      <c r="T8190" s="18">
        <v>376.31</v>
      </c>
      <c r="U8190" s="16"/>
      <c r="V8190" s="16"/>
      <c r="W8190" s="16" t="s">
        <v>40</v>
      </c>
      <c r="X8190" s="19">
        <v>0.54500000000000004</v>
      </c>
      <c r="Y8190" s="20">
        <v>1.7799999999999999E-3</v>
      </c>
      <c r="Z8190" s="21">
        <v>4601004038776</v>
      </c>
    </row>
    <row r="8191" spans="1:26" ht="12" customHeight="1" outlineLevel="3" x14ac:dyDescent="0.2">
      <c r="A8191" s="14" t="s">
        <v>15647</v>
      </c>
      <c r="B8191" s="26" t="s">
        <v>15648</v>
      </c>
      <c r="C8191" s="52"/>
      <c r="D8191" s="55">
        <f t="shared" si="127"/>
        <v>0</v>
      </c>
      <c r="E8191" s="63" t="str">
        <f>HYPERLINK("https://www.sds-group.ru/product/kronshteyn-efirnyy-teleskopicheskiy-60-110sm-rexant-34-0582/", "Инфо")</f>
        <v>Инфо</v>
      </c>
      <c r="F8191" s="16" t="s">
        <v>39</v>
      </c>
      <c r="G8191" s="15"/>
      <c r="H8191" s="15"/>
      <c r="I8191" s="15"/>
      <c r="J8191" s="17">
        <v>273</v>
      </c>
      <c r="K8191" s="15"/>
      <c r="L8191" s="17">
        <v>1</v>
      </c>
      <c r="M8191" s="17">
        <v>10</v>
      </c>
      <c r="N8191" s="17">
        <v>1</v>
      </c>
      <c r="O8191" s="18">
        <v>1529.82</v>
      </c>
      <c r="P8191" s="18">
        <v>1253.95</v>
      </c>
      <c r="Q8191" s="18">
        <v>1208.56</v>
      </c>
      <c r="R8191" s="18">
        <v>990.62</v>
      </c>
      <c r="S8191" s="18">
        <v>1040.28</v>
      </c>
      <c r="T8191" s="18">
        <v>852.69</v>
      </c>
      <c r="U8191" s="16"/>
      <c r="V8191" s="16"/>
      <c r="W8191" s="16" t="s">
        <v>40</v>
      </c>
      <c r="X8191" s="19">
        <v>1.7709999999999999</v>
      </c>
      <c r="Y8191" s="20">
        <v>6.855E-3</v>
      </c>
      <c r="Z8191" s="21">
        <v>4601004038745</v>
      </c>
    </row>
    <row r="8192" spans="1:26" ht="12" customHeight="1" outlineLevel="3" x14ac:dyDescent="0.2">
      <c r="A8192" s="14" t="s">
        <v>15649</v>
      </c>
      <c r="B8192" s="26" t="s">
        <v>15650</v>
      </c>
      <c r="C8192" s="52"/>
      <c r="D8192" s="55">
        <f t="shared" si="127"/>
        <v>0</v>
      </c>
      <c r="E8192" s="63" t="str">
        <f>HYPERLINK("https://www.sds-group.ru/product/kronshteyn-efirnyy-g-obraznyy-60sm-rexant-34-0481/", "Инфо")</f>
        <v>Инфо</v>
      </c>
      <c r="F8192" s="16" t="s">
        <v>39</v>
      </c>
      <c r="G8192" s="15"/>
      <c r="H8192" s="15"/>
      <c r="I8192" s="15"/>
      <c r="J8192" s="17">
        <v>240</v>
      </c>
      <c r="K8192" s="15"/>
      <c r="L8192" s="17">
        <v>1</v>
      </c>
      <c r="M8192" s="17">
        <v>30</v>
      </c>
      <c r="N8192" s="17">
        <v>1</v>
      </c>
      <c r="O8192" s="18">
        <v>711.72</v>
      </c>
      <c r="P8192" s="18">
        <v>583.38</v>
      </c>
      <c r="Q8192" s="18">
        <v>569.38</v>
      </c>
      <c r="R8192" s="18">
        <v>466.7</v>
      </c>
      <c r="S8192" s="18">
        <v>483.97</v>
      </c>
      <c r="T8192" s="18">
        <v>396.7</v>
      </c>
      <c r="U8192" s="16"/>
      <c r="V8192" s="16"/>
      <c r="W8192" s="16" t="s">
        <v>40</v>
      </c>
      <c r="X8192" s="19">
        <v>0.69</v>
      </c>
      <c r="Y8192" s="20">
        <v>2.369E-3</v>
      </c>
      <c r="Z8192" s="21">
        <v>4601004036123</v>
      </c>
    </row>
    <row r="8193" spans="1:26" ht="12" customHeight="1" outlineLevel="3" x14ac:dyDescent="0.2">
      <c r="A8193" s="14" t="s">
        <v>15651</v>
      </c>
      <c r="B8193" s="26" t="s">
        <v>15652</v>
      </c>
      <c r="C8193" s="52"/>
      <c r="D8193" s="55">
        <f t="shared" si="127"/>
        <v>0</v>
      </c>
      <c r="E8193" s="63" t="str">
        <f>HYPERLINK("https://www.sds-group.ru/product/kronshteyn-efirnyy-70-130sm-teleskopicheskiy-rexant-34-0604/", "Инфо")</f>
        <v>Инфо</v>
      </c>
      <c r="F8193" s="16" t="s">
        <v>39</v>
      </c>
      <c r="G8193" s="15"/>
      <c r="H8193" s="15"/>
      <c r="I8193" s="15"/>
      <c r="J8193" s="17">
        <v>66</v>
      </c>
      <c r="K8193" s="15"/>
      <c r="L8193" s="17">
        <v>1</v>
      </c>
      <c r="M8193" s="17">
        <v>10</v>
      </c>
      <c r="N8193" s="17">
        <v>1</v>
      </c>
      <c r="O8193" s="18">
        <v>2086.16</v>
      </c>
      <c r="P8193" s="18">
        <v>1709.97</v>
      </c>
      <c r="Q8193" s="18">
        <v>1460.31</v>
      </c>
      <c r="R8193" s="18">
        <v>1196.98</v>
      </c>
      <c r="S8193" s="18">
        <v>1418.59</v>
      </c>
      <c r="T8193" s="18">
        <v>1162.78</v>
      </c>
      <c r="U8193" s="16"/>
      <c r="V8193" s="16"/>
      <c r="W8193" s="16"/>
      <c r="X8193" s="19">
        <v>2.7480000000000002</v>
      </c>
      <c r="Y8193" s="20">
        <v>1.7392000000000001E-2</v>
      </c>
      <c r="Z8193" s="21">
        <v>4601004282445</v>
      </c>
    </row>
    <row r="8194" spans="1:26" ht="12" customHeight="1" outlineLevel="3" x14ac:dyDescent="0.2">
      <c r="A8194" s="14" t="s">
        <v>15653</v>
      </c>
      <c r="B8194" s="26" t="s">
        <v>15654</v>
      </c>
      <c r="C8194" s="52"/>
      <c r="D8194" s="55">
        <f t="shared" si="127"/>
        <v>0</v>
      </c>
      <c r="E8194" s="63" t="str">
        <f>HYPERLINK("https://www.sds-group.ru/product/kronshteyn-efirnyy-soyuz-1-14-5h14-5sm-rexant-34-0862/", "Инфо")</f>
        <v>Инфо</v>
      </c>
      <c r="F8194" s="16" t="s">
        <v>39</v>
      </c>
      <c r="G8194" s="15"/>
      <c r="H8194" s="15"/>
      <c r="I8194" s="15"/>
      <c r="J8194" s="17">
        <v>1</v>
      </c>
      <c r="K8194" s="15"/>
      <c r="L8194" s="17">
        <v>1</v>
      </c>
      <c r="M8194" s="17">
        <v>50</v>
      </c>
      <c r="N8194" s="17">
        <v>1</v>
      </c>
      <c r="O8194" s="18">
        <v>527.99</v>
      </c>
      <c r="P8194" s="18">
        <v>432.78</v>
      </c>
      <c r="Q8194" s="18">
        <v>369.59</v>
      </c>
      <c r="R8194" s="18">
        <v>302.94</v>
      </c>
      <c r="S8194" s="18">
        <v>359.03</v>
      </c>
      <c r="T8194" s="18">
        <v>294.29000000000002</v>
      </c>
      <c r="U8194" s="16"/>
      <c r="V8194" s="16"/>
      <c r="W8194" s="16"/>
      <c r="X8194" s="19">
        <v>0.39600000000000002</v>
      </c>
      <c r="Y8194" s="20">
        <v>8.1099999999999998E-4</v>
      </c>
      <c r="Z8194" s="21">
        <v>4601004142916</v>
      </c>
    </row>
    <row r="8195" spans="1:26" ht="12" customHeight="1" outlineLevel="3" x14ac:dyDescent="0.2">
      <c r="A8195" s="14" t="s">
        <v>15655</v>
      </c>
      <c r="B8195" s="26" t="s">
        <v>15656</v>
      </c>
      <c r="C8195" s="52"/>
      <c r="D8195" s="55">
        <f t="shared" si="127"/>
        <v>0</v>
      </c>
      <c r="E8195" s="63" t="str">
        <f>HYPERLINK("https://www.sds-group.ru/product/kronshteyn-efirnyy-soyuz-2-30h14-5sm-rexant-34-0863/", "Инфо")</f>
        <v>Инфо</v>
      </c>
      <c r="F8195" s="16" t="s">
        <v>39</v>
      </c>
      <c r="G8195" s="15"/>
      <c r="H8195" s="15"/>
      <c r="I8195" s="15"/>
      <c r="J8195" s="16" t="s">
        <v>100</v>
      </c>
      <c r="K8195" s="15"/>
      <c r="L8195" s="17">
        <v>1</v>
      </c>
      <c r="M8195" s="17">
        <v>25</v>
      </c>
      <c r="N8195" s="17">
        <v>1</v>
      </c>
      <c r="O8195" s="18">
        <v>606.01</v>
      </c>
      <c r="P8195" s="18">
        <v>496.73</v>
      </c>
      <c r="Q8195" s="18">
        <v>484.81</v>
      </c>
      <c r="R8195" s="18">
        <v>397.39</v>
      </c>
      <c r="S8195" s="18">
        <v>412.09</v>
      </c>
      <c r="T8195" s="18">
        <v>337.78</v>
      </c>
      <c r="U8195" s="16"/>
      <c r="V8195" s="16"/>
      <c r="W8195" s="16" t="s">
        <v>40</v>
      </c>
      <c r="X8195" s="19">
        <v>0.504</v>
      </c>
      <c r="Y8195" s="20">
        <v>1.598E-3</v>
      </c>
      <c r="Z8195" s="21">
        <v>4601004142909</v>
      </c>
    </row>
    <row r="8196" spans="1:26" ht="12" customHeight="1" outlineLevel="3" x14ac:dyDescent="0.2">
      <c r="A8196" s="14" t="s">
        <v>15657</v>
      </c>
      <c r="B8196" s="26" t="s">
        <v>15658</v>
      </c>
      <c r="C8196" s="52"/>
      <c r="D8196" s="55">
        <f t="shared" si="127"/>
        <v>0</v>
      </c>
      <c r="E8196" s="63" t="str">
        <f>HYPERLINK("https://www.sds-group.ru/product/kronshteyn-efirnyy-soyuz-3-30h14-5sm-rexant-34-0864/", "Инфо")</f>
        <v>Инфо</v>
      </c>
      <c r="F8196" s="16" t="s">
        <v>39</v>
      </c>
      <c r="G8196" s="15"/>
      <c r="H8196" s="15"/>
      <c r="I8196" s="15"/>
      <c r="J8196" s="17">
        <v>179</v>
      </c>
      <c r="K8196" s="15" t="s">
        <v>1408</v>
      </c>
      <c r="L8196" s="17">
        <v>1</v>
      </c>
      <c r="M8196" s="17">
        <v>25</v>
      </c>
      <c r="N8196" s="17">
        <v>1</v>
      </c>
      <c r="O8196" s="18">
        <v>541.44000000000005</v>
      </c>
      <c r="P8196" s="18">
        <v>443.8</v>
      </c>
      <c r="Q8196" s="18">
        <v>379.01</v>
      </c>
      <c r="R8196" s="18">
        <v>310.66000000000003</v>
      </c>
      <c r="S8196" s="18">
        <v>368.18</v>
      </c>
      <c r="T8196" s="18">
        <v>301.79000000000002</v>
      </c>
      <c r="U8196" s="16"/>
      <c r="V8196" s="16"/>
      <c r="W8196" s="16"/>
      <c r="X8196" s="19">
        <v>0.5</v>
      </c>
      <c r="Y8196" s="20">
        <v>1.6329999999999999E-3</v>
      </c>
      <c r="Z8196" s="21">
        <v>4601004142923</v>
      </c>
    </row>
    <row r="8197" spans="1:26" ht="12" customHeight="1" outlineLevel="3" x14ac:dyDescent="0.2">
      <c r="A8197" s="14" t="s">
        <v>15659</v>
      </c>
      <c r="B8197" s="26" t="s">
        <v>15660</v>
      </c>
      <c r="C8197" s="52"/>
      <c r="D8197" s="55">
        <f t="shared" si="127"/>
        <v>0</v>
      </c>
      <c r="E8197" s="63" t="str">
        <f>HYPERLINK("https://www.sds-group.ru/product/kronshteyn-efirnyy-soyuz-4-20sm-rexant-34-0866/", "Инфо")</f>
        <v>Инфо</v>
      </c>
      <c r="F8197" s="16" t="s">
        <v>39</v>
      </c>
      <c r="G8197" s="15"/>
      <c r="H8197" s="15"/>
      <c r="I8197" s="15"/>
      <c r="J8197" s="17">
        <v>215</v>
      </c>
      <c r="K8197" s="15"/>
      <c r="L8197" s="17">
        <v>1</v>
      </c>
      <c r="M8197" s="17">
        <v>50</v>
      </c>
      <c r="N8197" s="17">
        <v>1</v>
      </c>
      <c r="O8197" s="18">
        <v>502.84</v>
      </c>
      <c r="P8197" s="18">
        <v>412.16</v>
      </c>
      <c r="Q8197" s="18">
        <v>402.27</v>
      </c>
      <c r="R8197" s="18">
        <v>329.73</v>
      </c>
      <c r="S8197" s="18">
        <v>341.93</v>
      </c>
      <c r="T8197" s="18">
        <v>280.27</v>
      </c>
      <c r="U8197" s="16"/>
      <c r="V8197" s="16"/>
      <c r="W8197" s="16" t="s">
        <v>40</v>
      </c>
      <c r="X8197" s="19">
        <v>0.36399999999999999</v>
      </c>
      <c r="Y8197" s="20">
        <v>8.0999999999999996E-4</v>
      </c>
      <c r="Z8197" s="21">
        <v>4601004142930</v>
      </c>
    </row>
    <row r="8198" spans="1:26" ht="12" customHeight="1" outlineLevel="3" x14ac:dyDescent="0.2">
      <c r="A8198" s="14" t="s">
        <v>15661</v>
      </c>
      <c r="B8198" s="26" t="s">
        <v>15662</v>
      </c>
      <c r="C8198" s="52"/>
      <c r="D8198" s="55">
        <f t="shared" si="127"/>
        <v>0</v>
      </c>
      <c r="E8198" s="63" t="str">
        <f>HYPERLINK("https://www.sds-group.ru/product/machta-dlya-antenn-teleskopicheskaya-1000sm-rexant-34-0579/", "Инфо")</f>
        <v>Инфо</v>
      </c>
      <c r="F8198" s="16" t="s">
        <v>39</v>
      </c>
      <c r="G8198" s="15"/>
      <c r="H8198" s="15"/>
      <c r="I8198" s="15"/>
      <c r="J8198" s="16" t="s">
        <v>100</v>
      </c>
      <c r="K8198" s="15" t="s">
        <v>1408</v>
      </c>
      <c r="L8198" s="17">
        <v>1</v>
      </c>
      <c r="M8198" s="17">
        <v>1</v>
      </c>
      <c r="N8198" s="17">
        <v>1</v>
      </c>
      <c r="O8198" s="18">
        <v>12900.13</v>
      </c>
      <c r="P8198" s="18">
        <v>10573.88</v>
      </c>
      <c r="Q8198" s="18">
        <v>9417.09</v>
      </c>
      <c r="R8198" s="18">
        <v>7718.93</v>
      </c>
      <c r="S8198" s="18">
        <v>8772.09</v>
      </c>
      <c r="T8198" s="18">
        <v>7190.24</v>
      </c>
      <c r="U8198" s="16"/>
      <c r="V8198" s="16"/>
      <c r="W8198" s="16" t="s">
        <v>40</v>
      </c>
      <c r="X8198" s="19">
        <v>15.03</v>
      </c>
      <c r="Y8198" s="20">
        <v>1.052E-2</v>
      </c>
      <c r="Z8198" s="21">
        <v>4601004088306</v>
      </c>
    </row>
    <row r="8199" spans="1:26" ht="12" customHeight="1" outlineLevel="3" x14ac:dyDescent="0.2">
      <c r="A8199" s="14" t="s">
        <v>15663</v>
      </c>
      <c r="B8199" s="26" t="s">
        <v>15664</v>
      </c>
      <c r="C8199" s="52"/>
      <c r="D8199" s="55">
        <f t="shared" si="127"/>
        <v>0</v>
      </c>
      <c r="E8199" s="63" t="str">
        <f>HYPERLINK("https://www.sds-group.ru/product/machta-dlya-antenn-teleskopicheskaya-600sm-rexant-34-0577/", "Инфо")</f>
        <v>Инфо</v>
      </c>
      <c r="F8199" s="16" t="s">
        <v>39</v>
      </c>
      <c r="G8199" s="15"/>
      <c r="H8199" s="15"/>
      <c r="I8199" s="15"/>
      <c r="J8199" s="17">
        <v>29</v>
      </c>
      <c r="K8199" s="15" t="s">
        <v>1408</v>
      </c>
      <c r="L8199" s="17">
        <v>1</v>
      </c>
      <c r="M8199" s="17">
        <v>1</v>
      </c>
      <c r="N8199" s="17">
        <v>1</v>
      </c>
      <c r="O8199" s="18">
        <v>6410.49</v>
      </c>
      <c r="P8199" s="18">
        <v>5254.5</v>
      </c>
      <c r="Q8199" s="18">
        <v>4679.66</v>
      </c>
      <c r="R8199" s="18">
        <v>3835.79</v>
      </c>
      <c r="S8199" s="18">
        <v>4359.13</v>
      </c>
      <c r="T8199" s="18">
        <v>3573.06</v>
      </c>
      <c r="U8199" s="16"/>
      <c r="V8199" s="16"/>
      <c r="W8199" s="16" t="s">
        <v>40</v>
      </c>
      <c r="X8199" s="19">
        <v>7.66</v>
      </c>
      <c r="Y8199" s="20">
        <v>7.6829999999999997E-3</v>
      </c>
      <c r="Z8199" s="21">
        <v>4601004088283</v>
      </c>
    </row>
    <row r="8200" spans="1:26" ht="12" customHeight="1" outlineLevel="3" x14ac:dyDescent="0.2">
      <c r="A8200" s="14" t="s">
        <v>15665</v>
      </c>
      <c r="B8200" s="26" t="s">
        <v>15666</v>
      </c>
      <c r="C8200" s="52"/>
      <c r="D8200" s="55">
        <f t="shared" si="127"/>
        <v>0</v>
      </c>
      <c r="E8200" s="63" t="str">
        <f>HYPERLINK("https://www.sds-group.ru/product/machta-dlya-antenn-teleskopicheskaya-800sm-rexant-34-0578/", "Инфо")</f>
        <v>Инфо</v>
      </c>
      <c r="F8200" s="16" t="s">
        <v>39</v>
      </c>
      <c r="G8200" s="15"/>
      <c r="H8200" s="15"/>
      <c r="I8200" s="15"/>
      <c r="J8200" s="17">
        <v>12</v>
      </c>
      <c r="K8200" s="15"/>
      <c r="L8200" s="17">
        <v>1</v>
      </c>
      <c r="M8200" s="17">
        <v>1</v>
      </c>
      <c r="N8200" s="17">
        <v>1</v>
      </c>
      <c r="O8200" s="18">
        <v>11066.95</v>
      </c>
      <c r="P8200" s="18">
        <v>9071.27</v>
      </c>
      <c r="Q8200" s="18">
        <v>8078.87</v>
      </c>
      <c r="R8200" s="18">
        <v>6622.02</v>
      </c>
      <c r="S8200" s="18">
        <v>7525.53</v>
      </c>
      <c r="T8200" s="18">
        <v>6168.47</v>
      </c>
      <c r="U8200" s="16"/>
      <c r="V8200" s="16"/>
      <c r="W8200" s="16" t="s">
        <v>40</v>
      </c>
      <c r="X8200" s="19">
        <v>13</v>
      </c>
      <c r="Y8200" s="20">
        <v>7.0000000000000001E-3</v>
      </c>
      <c r="Z8200" s="21">
        <v>4601004088351</v>
      </c>
    </row>
    <row r="8201" spans="1:26" ht="12" customHeight="1" outlineLevel="3" x14ac:dyDescent="0.2">
      <c r="A8201" s="14" t="s">
        <v>15667</v>
      </c>
      <c r="B8201" s="26" t="s">
        <v>15668</v>
      </c>
      <c r="C8201" s="52"/>
      <c r="D8201" s="55">
        <f t="shared" ref="D8201:D8264" si="128">C8201*(O8201-O8201*$G$3)</f>
        <v>0</v>
      </c>
      <c r="E8201" s="63" t="str">
        <f>HYPERLINK("https://www.sds-group.ru/product/machta-dlya-antenn-alyuminievaya-300sm-rexant-34-0485-1/", "Инфо")</f>
        <v>Инфо</v>
      </c>
      <c r="F8201" s="16" t="s">
        <v>39</v>
      </c>
      <c r="G8201" s="15"/>
      <c r="H8201" s="15"/>
      <c r="I8201" s="15"/>
      <c r="J8201" s="17">
        <v>25</v>
      </c>
      <c r="K8201" s="15"/>
      <c r="L8201" s="17">
        <v>1</v>
      </c>
      <c r="M8201" s="17">
        <v>1</v>
      </c>
      <c r="N8201" s="17">
        <v>1</v>
      </c>
      <c r="O8201" s="18">
        <v>6037.52</v>
      </c>
      <c r="P8201" s="18">
        <v>4948.79</v>
      </c>
      <c r="Q8201" s="18">
        <v>4407.3900000000003</v>
      </c>
      <c r="R8201" s="18">
        <v>3612.61</v>
      </c>
      <c r="S8201" s="18">
        <v>4105.51</v>
      </c>
      <c r="T8201" s="18">
        <v>3365.17</v>
      </c>
      <c r="U8201" s="16"/>
      <c r="V8201" s="16"/>
      <c r="W8201" s="16" t="s">
        <v>40</v>
      </c>
      <c r="X8201" s="19">
        <v>2.2000000000000002</v>
      </c>
      <c r="Y8201" s="20">
        <v>3.6749999999999999E-3</v>
      </c>
      <c r="Z8201" s="21">
        <v>4601004097667</v>
      </c>
    </row>
    <row r="8202" spans="1:26" ht="12" customHeight="1" outlineLevel="3" x14ac:dyDescent="0.2">
      <c r="A8202" s="14" t="s">
        <v>15669</v>
      </c>
      <c r="B8202" s="26" t="s">
        <v>15670</v>
      </c>
      <c r="C8202" s="52"/>
      <c r="D8202" s="55">
        <f t="shared" si="128"/>
        <v>0</v>
      </c>
      <c r="E8202" s="63" t="str">
        <f>HYPERLINK("https://www.sds-group.ru/product/machta-dlya-antenn-alyuminievaya-450sm-rexant-34-0487-1/", "Инфо")</f>
        <v>Инфо</v>
      </c>
      <c r="F8202" s="16" t="s">
        <v>39</v>
      </c>
      <c r="G8202" s="15"/>
      <c r="H8202" s="15"/>
      <c r="I8202" s="15"/>
      <c r="J8202" s="16" t="s">
        <v>100</v>
      </c>
      <c r="K8202" s="15"/>
      <c r="L8202" s="17">
        <v>1</v>
      </c>
      <c r="M8202" s="17">
        <v>1</v>
      </c>
      <c r="N8202" s="17">
        <v>1</v>
      </c>
      <c r="O8202" s="18">
        <v>8645.11</v>
      </c>
      <c r="P8202" s="18">
        <v>7086.16</v>
      </c>
      <c r="Q8202" s="18">
        <v>6310.93</v>
      </c>
      <c r="R8202" s="18">
        <v>5172.8900000000003</v>
      </c>
      <c r="S8202" s="18">
        <v>5878.67</v>
      </c>
      <c r="T8202" s="18">
        <v>4818.58</v>
      </c>
      <c r="U8202" s="16"/>
      <c r="V8202" s="16"/>
      <c r="W8202" s="16" t="s">
        <v>40</v>
      </c>
      <c r="X8202" s="19">
        <v>3.3</v>
      </c>
      <c r="Y8202" s="20">
        <v>5.5129999999999997E-3</v>
      </c>
      <c r="Z8202" s="21">
        <v>4601004097674</v>
      </c>
    </row>
    <row r="8203" spans="1:26" ht="12" customHeight="1" outlineLevel="3" x14ac:dyDescent="0.2">
      <c r="A8203" s="14" t="s">
        <v>15671</v>
      </c>
      <c r="B8203" s="26" t="s">
        <v>15672</v>
      </c>
      <c r="C8203" s="52"/>
      <c r="D8203" s="55">
        <f t="shared" si="128"/>
        <v>0</v>
      </c>
      <c r="E8203" s="63" t="str">
        <f>HYPERLINK("https://www.sds-group.ru/product/machta-dlya-antenn-alyuminievaya-600sm-3-sektsii-rexant-34-0566/", "Инфо")</f>
        <v>Инфо</v>
      </c>
      <c r="F8203" s="16" t="s">
        <v>39</v>
      </c>
      <c r="G8203" s="15"/>
      <c r="H8203" s="15"/>
      <c r="I8203" s="15"/>
      <c r="J8203" s="17">
        <v>16</v>
      </c>
      <c r="K8203" s="15"/>
      <c r="L8203" s="17">
        <v>1</v>
      </c>
      <c r="M8203" s="17">
        <v>1</v>
      </c>
      <c r="N8203" s="17">
        <v>1</v>
      </c>
      <c r="O8203" s="18">
        <v>14970.25</v>
      </c>
      <c r="P8203" s="18">
        <v>12270.7</v>
      </c>
      <c r="Q8203" s="18">
        <v>10928.28</v>
      </c>
      <c r="R8203" s="18">
        <v>8957.61</v>
      </c>
      <c r="S8203" s="18">
        <v>10179.77</v>
      </c>
      <c r="T8203" s="18">
        <v>8344.07</v>
      </c>
      <c r="U8203" s="16"/>
      <c r="V8203" s="16"/>
      <c r="W8203" s="16" t="s">
        <v>40</v>
      </c>
      <c r="X8203" s="19">
        <v>6.1</v>
      </c>
      <c r="Y8203" s="20">
        <v>1.4999999999999999E-2</v>
      </c>
      <c r="Z8203" s="21">
        <v>4601004097735</v>
      </c>
    </row>
    <row r="8204" spans="1:26" ht="12" customHeight="1" outlineLevel="3" x14ac:dyDescent="0.2">
      <c r="A8204" s="14" t="s">
        <v>15673</v>
      </c>
      <c r="B8204" s="26" t="s">
        <v>15674</v>
      </c>
      <c r="C8204" s="52"/>
      <c r="D8204" s="55">
        <f t="shared" si="128"/>
        <v>0</v>
      </c>
      <c r="E8204" s="63" t="str">
        <f>HYPERLINK("https://www.sds-group.ru/product/machta-dlya-antenn-krym-1-150sm-rexant-34-0483/", "Инфо")</f>
        <v>Инфо</v>
      </c>
      <c r="F8204" s="16" t="s">
        <v>39</v>
      </c>
      <c r="G8204" s="15"/>
      <c r="H8204" s="15"/>
      <c r="I8204" s="15"/>
      <c r="J8204" s="17">
        <v>131</v>
      </c>
      <c r="K8204" s="15"/>
      <c r="L8204" s="17">
        <v>1</v>
      </c>
      <c r="M8204" s="17">
        <v>1</v>
      </c>
      <c r="N8204" s="17">
        <v>1</v>
      </c>
      <c r="O8204" s="18">
        <v>1719.88</v>
      </c>
      <c r="P8204" s="18">
        <v>1409.74</v>
      </c>
      <c r="Q8204" s="18">
        <v>1358.71</v>
      </c>
      <c r="R8204" s="18">
        <v>1113.7</v>
      </c>
      <c r="S8204" s="18">
        <v>1169.52</v>
      </c>
      <c r="T8204" s="18">
        <v>958.62</v>
      </c>
      <c r="U8204" s="16"/>
      <c r="V8204" s="16"/>
      <c r="W8204" s="16" t="s">
        <v>40</v>
      </c>
      <c r="X8204" s="19">
        <v>1.6</v>
      </c>
      <c r="Y8204" s="20">
        <v>2.4160000000000002E-3</v>
      </c>
      <c r="Z8204" s="21">
        <v>4601004036147</v>
      </c>
    </row>
    <row r="8205" spans="1:26" ht="12" customHeight="1" outlineLevel="3" x14ac:dyDescent="0.2">
      <c r="A8205" s="14" t="s">
        <v>15675</v>
      </c>
      <c r="B8205" s="26" t="s">
        <v>15676</v>
      </c>
      <c r="C8205" s="52"/>
      <c r="D8205" s="55">
        <f t="shared" si="128"/>
        <v>0</v>
      </c>
      <c r="E8205" s="63" t="str">
        <f>HYPERLINK("https://www.sds-group.ru/product/machta-dlya-antenn-krym-3-teleskopicheskaya-300sm-rexant-34-0485/", "Инфо")</f>
        <v>Инфо</v>
      </c>
      <c r="F8205" s="16" t="s">
        <v>39</v>
      </c>
      <c r="G8205" s="15"/>
      <c r="H8205" s="15"/>
      <c r="I8205" s="15"/>
      <c r="J8205" s="16" t="s">
        <v>100</v>
      </c>
      <c r="K8205" s="15" t="s">
        <v>1408</v>
      </c>
      <c r="L8205" s="17">
        <v>1</v>
      </c>
      <c r="M8205" s="17">
        <v>1</v>
      </c>
      <c r="N8205" s="17">
        <v>1</v>
      </c>
      <c r="O8205" s="18">
        <v>3074.18</v>
      </c>
      <c r="P8205" s="18">
        <v>2519.8200000000002</v>
      </c>
      <c r="Q8205" s="18">
        <v>2367.12</v>
      </c>
      <c r="R8205" s="18">
        <v>1940.26</v>
      </c>
      <c r="S8205" s="18">
        <v>2090.44</v>
      </c>
      <c r="T8205" s="18">
        <v>1713.48</v>
      </c>
      <c r="U8205" s="16"/>
      <c r="V8205" s="16"/>
      <c r="W8205" s="16" t="s">
        <v>40</v>
      </c>
      <c r="X8205" s="19">
        <v>3.9</v>
      </c>
      <c r="Y8205" s="20">
        <v>4.1599999999999996E-3</v>
      </c>
      <c r="Z8205" s="21">
        <v>4601004038752</v>
      </c>
    </row>
    <row r="8206" spans="1:26" ht="12" customHeight="1" outlineLevel="3" x14ac:dyDescent="0.2">
      <c r="A8206" s="14" t="s">
        <v>15677</v>
      </c>
      <c r="B8206" s="26" t="s">
        <v>15678</v>
      </c>
      <c r="C8206" s="52"/>
      <c r="D8206" s="55">
        <f t="shared" si="128"/>
        <v>0</v>
      </c>
      <c r="E8206" s="63" t="str">
        <f>HYPERLINK("https://www.sds-group.ru/product/machta-dlya-antenn-krym-5-teleskopicheskaya-450sm-rexant-34-0487/", "Инфо")</f>
        <v>Инфо</v>
      </c>
      <c r="F8206" s="16" t="s">
        <v>39</v>
      </c>
      <c r="G8206" s="15"/>
      <c r="H8206" s="15"/>
      <c r="I8206" s="15"/>
      <c r="J8206" s="16" t="s">
        <v>100</v>
      </c>
      <c r="K8206" s="15" t="s">
        <v>1408</v>
      </c>
      <c r="L8206" s="17">
        <v>1</v>
      </c>
      <c r="M8206" s="17">
        <v>1</v>
      </c>
      <c r="N8206" s="17">
        <v>1</v>
      </c>
      <c r="O8206" s="18">
        <v>4997.0200000000004</v>
      </c>
      <c r="P8206" s="18">
        <v>4095.92</v>
      </c>
      <c r="Q8206" s="18">
        <v>3647.82</v>
      </c>
      <c r="R8206" s="18">
        <v>2990.02</v>
      </c>
      <c r="S8206" s="18">
        <v>3397.97</v>
      </c>
      <c r="T8206" s="18">
        <v>2785.22</v>
      </c>
      <c r="U8206" s="16"/>
      <c r="V8206" s="16"/>
      <c r="W8206" s="16" t="s">
        <v>40</v>
      </c>
      <c r="X8206" s="19">
        <v>5.7679999999999998</v>
      </c>
      <c r="Y8206" s="20">
        <v>5.8799999999999998E-3</v>
      </c>
      <c r="Z8206" s="21">
        <v>4601004041844</v>
      </c>
    </row>
    <row r="8207" spans="1:26" ht="12" customHeight="1" outlineLevel="3" x14ac:dyDescent="0.2">
      <c r="A8207" s="32" t="s">
        <v>15679</v>
      </c>
      <c r="B8207" s="74" t="s">
        <v>15680</v>
      </c>
      <c r="C8207" s="50"/>
      <c r="D8207" s="53">
        <f t="shared" si="128"/>
        <v>0</v>
      </c>
      <c r="E8207" s="60" t="str">
        <f>HYPERLINK("https://www.sds-group.ru/product/machta-dlya-antenn-teleskopicheskaya-oblegchennaya-300sm-2-kolena-rexant-34-0609/", "Инфо")</f>
        <v>Инфо</v>
      </c>
      <c r="F8207" s="34" t="s">
        <v>39</v>
      </c>
      <c r="G8207" s="33"/>
      <c r="H8207" s="33" t="s">
        <v>40</v>
      </c>
      <c r="I8207" s="33"/>
      <c r="J8207" s="34" t="s">
        <v>100</v>
      </c>
      <c r="K8207" s="33"/>
      <c r="L8207" s="35">
        <v>1</v>
      </c>
      <c r="M8207" s="35">
        <v>1</v>
      </c>
      <c r="N8207" s="35">
        <v>1</v>
      </c>
      <c r="O8207" s="36">
        <v>2795.78</v>
      </c>
      <c r="P8207" s="36">
        <v>2291.62</v>
      </c>
      <c r="Q8207" s="36">
        <v>2152.75</v>
      </c>
      <c r="R8207" s="36">
        <v>1764.55</v>
      </c>
      <c r="S8207" s="36">
        <v>1901.13</v>
      </c>
      <c r="T8207" s="36">
        <v>1558.3</v>
      </c>
      <c r="U8207" s="34"/>
      <c r="V8207" s="34"/>
      <c r="W8207" s="34" t="s">
        <v>40</v>
      </c>
      <c r="X8207" s="37">
        <v>2.75</v>
      </c>
      <c r="Y8207" s="38">
        <v>1.8619999999999999E-3</v>
      </c>
      <c r="Z8207" s="21">
        <v>4601004282582</v>
      </c>
    </row>
    <row r="8208" spans="1:26" ht="12" customHeight="1" outlineLevel="3" x14ac:dyDescent="0.2">
      <c r="A8208" s="14" t="s">
        <v>15681</v>
      </c>
      <c r="B8208" s="26" t="s">
        <v>15682</v>
      </c>
      <c r="C8208" s="52"/>
      <c r="D8208" s="55">
        <f t="shared" si="128"/>
        <v>0</v>
      </c>
      <c r="E8208" s="63" t="str">
        <f>HYPERLINK("https://www.sds-group.ru/product/machta-dlya-antenn-teleskopicheskaya-oblegchennaya-450sm-3-kolena-rexant-34-0610/", "Инфо")</f>
        <v>Инфо</v>
      </c>
      <c r="F8208" s="16" t="s">
        <v>39</v>
      </c>
      <c r="G8208" s="15"/>
      <c r="H8208" s="15"/>
      <c r="I8208" s="15"/>
      <c r="J8208" s="17">
        <v>4</v>
      </c>
      <c r="K8208" s="15" t="s">
        <v>1408</v>
      </c>
      <c r="L8208" s="17">
        <v>1</v>
      </c>
      <c r="M8208" s="17">
        <v>1</v>
      </c>
      <c r="N8208" s="17">
        <v>1</v>
      </c>
      <c r="O8208" s="18">
        <v>4320.74</v>
      </c>
      <c r="P8208" s="18">
        <v>3541.59</v>
      </c>
      <c r="Q8208" s="18">
        <v>3154.14</v>
      </c>
      <c r="R8208" s="18">
        <v>2585.36</v>
      </c>
      <c r="S8208" s="18">
        <v>2938.1</v>
      </c>
      <c r="T8208" s="18">
        <v>2408.2800000000002</v>
      </c>
      <c r="U8208" s="16"/>
      <c r="V8208" s="16"/>
      <c r="W8208" s="16" t="s">
        <v>40</v>
      </c>
      <c r="X8208" s="19">
        <v>4.8</v>
      </c>
      <c r="Y8208" s="20">
        <v>2.0579999999999999E-3</v>
      </c>
      <c r="Z8208" s="21">
        <v>4601004282599</v>
      </c>
    </row>
    <row r="8209" spans="1:26" ht="12" customHeight="1" outlineLevel="3" x14ac:dyDescent="0.2">
      <c r="A8209" s="14" t="s">
        <v>15683</v>
      </c>
      <c r="B8209" s="26" t="s">
        <v>15684</v>
      </c>
      <c r="C8209" s="52"/>
      <c r="D8209" s="55">
        <f t="shared" si="128"/>
        <v>0</v>
      </c>
      <c r="E8209" s="63" t="str">
        <f>HYPERLINK("https://www.sds-group.ru/product/machta-dlya-antenn-teleskopicheskaya-600sm-3-kolena-rexant-34-0613/", "Инфо")</f>
        <v>Инфо</v>
      </c>
      <c r="F8209" s="16" t="s">
        <v>39</v>
      </c>
      <c r="G8209" s="15"/>
      <c r="H8209" s="15"/>
      <c r="I8209" s="15"/>
      <c r="J8209" s="17">
        <v>11</v>
      </c>
      <c r="K8209" s="15" t="s">
        <v>1094</v>
      </c>
      <c r="L8209" s="17">
        <v>1</v>
      </c>
      <c r="M8209" s="17">
        <v>1</v>
      </c>
      <c r="N8209" s="17">
        <v>1</v>
      </c>
      <c r="O8209" s="18">
        <v>5591.55</v>
      </c>
      <c r="P8209" s="18">
        <v>4583.24</v>
      </c>
      <c r="Q8209" s="18">
        <v>4081.83</v>
      </c>
      <c r="R8209" s="18">
        <v>3345.76</v>
      </c>
      <c r="S8209" s="18">
        <v>3802.25</v>
      </c>
      <c r="T8209" s="18">
        <v>3116.6</v>
      </c>
      <c r="U8209" s="16"/>
      <c r="V8209" s="16"/>
      <c r="W8209" s="16" t="s">
        <v>40</v>
      </c>
      <c r="X8209" s="19">
        <v>6.3</v>
      </c>
      <c r="Y8209" s="20">
        <v>2.6580000000000002E-3</v>
      </c>
      <c r="Z8209" s="21">
        <v>4601004282483</v>
      </c>
    </row>
    <row r="8210" spans="1:26" ht="12" customHeight="1" outlineLevel="3" x14ac:dyDescent="0.2">
      <c r="A8210" s="14" t="s">
        <v>15685</v>
      </c>
      <c r="B8210" s="26" t="s">
        <v>15686</v>
      </c>
      <c r="C8210" s="52"/>
      <c r="D8210" s="55">
        <f t="shared" si="128"/>
        <v>0</v>
      </c>
      <c r="E8210" s="63" t="str">
        <f>HYPERLINK("https://www.sds-group.ru/product/machta-dlya-antenn-teleskopicheskaya-oblegchennaya-600sm-4-kolena-rexant-34-0611/", "Инфо")</f>
        <v>Инфо</v>
      </c>
      <c r="F8210" s="16" t="s">
        <v>39</v>
      </c>
      <c r="G8210" s="15"/>
      <c r="H8210" s="15"/>
      <c r="I8210" s="15"/>
      <c r="J8210" s="17">
        <v>10</v>
      </c>
      <c r="K8210" s="15"/>
      <c r="L8210" s="17">
        <v>1</v>
      </c>
      <c r="M8210" s="17">
        <v>1</v>
      </c>
      <c r="N8210" s="17">
        <v>1</v>
      </c>
      <c r="O8210" s="18">
        <v>6608.2</v>
      </c>
      <c r="P8210" s="18">
        <v>5416.56</v>
      </c>
      <c r="Q8210" s="18">
        <v>4625.74</v>
      </c>
      <c r="R8210" s="18">
        <v>3791.59</v>
      </c>
      <c r="S8210" s="18">
        <v>4493.58</v>
      </c>
      <c r="T8210" s="18">
        <v>3683.26</v>
      </c>
      <c r="U8210" s="16"/>
      <c r="V8210" s="16"/>
      <c r="W8210" s="16"/>
      <c r="X8210" s="19">
        <v>6.9</v>
      </c>
      <c r="Y8210" s="20">
        <v>4.4359999999999998E-3</v>
      </c>
      <c r="Z8210" s="21">
        <v>4601004282506</v>
      </c>
    </row>
    <row r="8211" spans="1:26" ht="12" customHeight="1" outlineLevel="3" x14ac:dyDescent="0.2">
      <c r="A8211" s="14" t="s">
        <v>15687</v>
      </c>
      <c r="B8211" s="26" t="s">
        <v>15688</v>
      </c>
      <c r="C8211" s="52"/>
      <c r="D8211" s="55">
        <f t="shared" si="128"/>
        <v>0</v>
      </c>
      <c r="E8211" s="63" t="str">
        <f>HYPERLINK("https://www.sds-group.ru/product/pyatka-dlya-macht-malaya-rexant-34-0489/", "Инфо")</f>
        <v>Инфо</v>
      </c>
      <c r="F8211" s="16" t="s">
        <v>39</v>
      </c>
      <c r="G8211" s="15"/>
      <c r="H8211" s="15"/>
      <c r="I8211" s="15"/>
      <c r="J8211" s="17">
        <v>52</v>
      </c>
      <c r="K8211" s="15" t="s">
        <v>1094</v>
      </c>
      <c r="L8211" s="17">
        <v>1</v>
      </c>
      <c r="M8211" s="17">
        <v>25</v>
      </c>
      <c r="N8211" s="17">
        <v>1</v>
      </c>
      <c r="O8211" s="18">
        <v>470.63</v>
      </c>
      <c r="P8211" s="18">
        <v>385.76</v>
      </c>
      <c r="Q8211" s="18">
        <v>376.5</v>
      </c>
      <c r="R8211" s="18">
        <v>308.61</v>
      </c>
      <c r="S8211" s="18">
        <v>320.02999999999997</v>
      </c>
      <c r="T8211" s="18">
        <v>262.32</v>
      </c>
      <c r="U8211" s="16"/>
      <c r="V8211" s="16"/>
      <c r="W8211" s="16" t="s">
        <v>40</v>
      </c>
      <c r="X8211" s="19">
        <v>0.51400000000000001</v>
      </c>
      <c r="Y8211" s="20">
        <v>1.603E-3</v>
      </c>
      <c r="Z8211" s="21">
        <v>4601004042186</v>
      </c>
    </row>
    <row r="8212" spans="1:26" ht="12.95" customHeight="1" outlineLevel="2" x14ac:dyDescent="0.2">
      <c r="A8212" s="76" t="s">
        <v>15689</v>
      </c>
      <c r="B8212" s="76"/>
      <c r="C8212" s="77"/>
      <c r="D8212" s="58"/>
      <c r="E8212" s="68"/>
      <c r="F8212" s="13"/>
      <c r="G8212" s="13"/>
      <c r="H8212" s="13"/>
      <c r="I8212" s="13"/>
      <c r="J8212" s="13"/>
      <c r="K8212" s="13"/>
      <c r="L8212" s="13"/>
      <c r="M8212" s="13"/>
      <c r="N8212" s="13"/>
      <c r="O8212" s="13"/>
      <c r="P8212" s="13"/>
      <c r="Q8212" s="13"/>
      <c r="R8212" s="13"/>
      <c r="S8212" s="13"/>
      <c r="T8212" s="13"/>
      <c r="U8212" s="13"/>
      <c r="V8212" s="13"/>
      <c r="W8212" s="13"/>
      <c r="X8212" s="13"/>
      <c r="Y8212" s="13"/>
      <c r="Z8212" s="13"/>
    </row>
    <row r="8213" spans="1:26" ht="12" customHeight="1" outlineLevel="3" x14ac:dyDescent="0.2">
      <c r="A8213" s="14" t="s">
        <v>15690</v>
      </c>
      <c r="B8213" s="26" t="s">
        <v>15691</v>
      </c>
      <c r="C8213" s="52"/>
      <c r="D8213" s="55">
        <f t="shared" si="128"/>
        <v>0</v>
      </c>
      <c r="E8213" s="63" t="str">
        <f>HYPERLINK("https://www.sds-group.ru/product/antennyy-usilitel-tv-signala-na-2-vyhoda-rx-200-rexant-34-0772/", "Инфо")</f>
        <v>Инфо</v>
      </c>
      <c r="F8213" s="16" t="s">
        <v>39</v>
      </c>
      <c r="G8213" s="15"/>
      <c r="H8213" s="15"/>
      <c r="I8213" s="15"/>
      <c r="J8213" s="16" t="s">
        <v>100</v>
      </c>
      <c r="K8213" s="15" t="s">
        <v>5369</v>
      </c>
      <c r="L8213" s="17">
        <v>1</v>
      </c>
      <c r="M8213" s="17">
        <v>60</v>
      </c>
      <c r="N8213" s="17">
        <v>1</v>
      </c>
      <c r="O8213" s="18">
        <v>3018.69</v>
      </c>
      <c r="P8213" s="18">
        <v>2474.34</v>
      </c>
      <c r="Q8213" s="18">
        <v>2324.39</v>
      </c>
      <c r="R8213" s="18">
        <v>1905.24</v>
      </c>
      <c r="S8213" s="18">
        <v>2052.71</v>
      </c>
      <c r="T8213" s="18">
        <v>1682.55</v>
      </c>
      <c r="U8213" s="16"/>
      <c r="V8213" s="16"/>
      <c r="W8213" s="16" t="s">
        <v>40</v>
      </c>
      <c r="X8213" s="19">
        <v>0.32700000000000001</v>
      </c>
      <c r="Y8213" s="20">
        <v>8.4400000000000002E-4</v>
      </c>
      <c r="Z8213" s="21">
        <v>4601004292840</v>
      </c>
    </row>
    <row r="8214" spans="1:26" ht="12" customHeight="1" outlineLevel="3" x14ac:dyDescent="0.2">
      <c r="A8214" s="14" t="s">
        <v>15692</v>
      </c>
      <c r="B8214" s="26" t="s">
        <v>15693</v>
      </c>
      <c r="C8214" s="52"/>
      <c r="D8214" s="55">
        <f t="shared" si="128"/>
        <v>0</v>
      </c>
      <c r="E8214" s="63" t="str">
        <f>HYPERLINK("https://www.sds-group.ru/product/usb-inzhektor-pitaniya-dlya-aktivnyh-antenn-rx-455-rexant-34-0455/", "Инфо")</f>
        <v>Инфо</v>
      </c>
      <c r="F8214" s="16" t="s">
        <v>39</v>
      </c>
      <c r="G8214" s="15"/>
      <c r="H8214" s="15"/>
      <c r="I8214" s="15"/>
      <c r="J8214" s="17">
        <v>701</v>
      </c>
      <c r="K8214" s="15" t="s">
        <v>1408</v>
      </c>
      <c r="L8214" s="17">
        <v>1</v>
      </c>
      <c r="M8214" s="17">
        <v>100</v>
      </c>
      <c r="N8214" s="17">
        <v>1</v>
      </c>
      <c r="O8214" s="18">
        <v>615.75</v>
      </c>
      <c r="P8214" s="18">
        <v>504.71</v>
      </c>
      <c r="Q8214" s="18">
        <v>431.03</v>
      </c>
      <c r="R8214" s="18">
        <v>353.3</v>
      </c>
      <c r="S8214" s="18">
        <v>418.71</v>
      </c>
      <c r="T8214" s="18">
        <v>343.2</v>
      </c>
      <c r="U8214" s="16"/>
      <c r="V8214" s="16"/>
      <c r="W8214" s="16"/>
      <c r="X8214" s="19">
        <v>3.2000000000000001E-2</v>
      </c>
      <c r="Y8214" s="20">
        <v>1.35E-4</v>
      </c>
      <c r="Z8214" s="21">
        <v>4601004057821</v>
      </c>
    </row>
    <row r="8215" spans="1:26" ht="12" customHeight="1" outlineLevel="3" x14ac:dyDescent="0.2">
      <c r="A8215" s="14" t="s">
        <v>15694</v>
      </c>
      <c r="B8215" s="26" t="s">
        <v>15695</v>
      </c>
      <c r="C8215" s="52"/>
      <c r="D8215" s="55">
        <f t="shared" si="128"/>
        <v>0</v>
      </c>
      <c r="E8215" s="63" t="str">
        <f>HYPERLINK("https://www.sds-group.ru/product/usilitel-tv-signala-s-pitaniem-ot-usb-rx-450-rexant-34-0450/", "Инфо")</f>
        <v>Инфо</v>
      </c>
      <c r="F8215" s="16" t="s">
        <v>39</v>
      </c>
      <c r="G8215" s="15"/>
      <c r="H8215" s="15"/>
      <c r="I8215" s="15"/>
      <c r="J8215" s="17">
        <v>385</v>
      </c>
      <c r="K8215" s="15"/>
      <c r="L8215" s="17">
        <v>1</v>
      </c>
      <c r="M8215" s="17">
        <v>100</v>
      </c>
      <c r="N8215" s="17">
        <v>1</v>
      </c>
      <c r="O8215" s="18">
        <v>615.75</v>
      </c>
      <c r="P8215" s="18">
        <v>504.71</v>
      </c>
      <c r="Q8215" s="18">
        <v>523.39</v>
      </c>
      <c r="R8215" s="18">
        <v>429.01</v>
      </c>
      <c r="S8215" s="18">
        <v>418.71</v>
      </c>
      <c r="T8215" s="18">
        <v>343.2</v>
      </c>
      <c r="U8215" s="16"/>
      <c r="V8215" s="16"/>
      <c r="W8215" s="16" t="s">
        <v>40</v>
      </c>
      <c r="X8215" s="19">
        <v>3.2000000000000001E-2</v>
      </c>
      <c r="Y8215" s="20">
        <v>1.3799999999999999E-4</v>
      </c>
      <c r="Z8215" s="21">
        <v>4601004057814</v>
      </c>
    </row>
    <row r="8216" spans="1:26" ht="12.95" customHeight="1" outlineLevel="2" x14ac:dyDescent="0.2">
      <c r="A8216" s="76" t="s">
        <v>15696</v>
      </c>
      <c r="B8216" s="76"/>
      <c r="C8216" s="77"/>
      <c r="D8216" s="58"/>
      <c r="E8216" s="68"/>
      <c r="F8216" s="13"/>
      <c r="G8216" s="13"/>
      <c r="H8216" s="13"/>
      <c r="I8216" s="13"/>
      <c r="J8216" s="13"/>
      <c r="K8216" s="13"/>
      <c r="L8216" s="13"/>
      <c r="M8216" s="13"/>
      <c r="N8216" s="13"/>
      <c r="O8216" s="13"/>
      <c r="P8216" s="13"/>
      <c r="Q8216" s="13"/>
      <c r="R8216" s="13"/>
      <c r="S8216" s="13"/>
      <c r="T8216" s="13"/>
      <c r="U8216" s="13"/>
      <c r="V8216" s="13"/>
      <c r="W8216" s="13"/>
      <c r="X8216" s="13"/>
      <c r="Y8216" s="13"/>
      <c r="Z8216" s="13"/>
    </row>
    <row r="8217" spans="1:26" ht="12" customHeight="1" outlineLevel="3" x14ac:dyDescent="0.2">
      <c r="A8217" s="14" t="s">
        <v>15697</v>
      </c>
      <c r="B8217" s="26" t="s">
        <v>15698</v>
      </c>
      <c r="C8217" s="52"/>
      <c r="D8217" s="55">
        <f t="shared" si="128"/>
        <v>0</v>
      </c>
      <c r="E8217" s="63" t="str">
        <f>HYPERLINK("https://www.sds-group.ru/product/antenna-4g-mimo-altair-rexant-34-0901/", "Инфо")</f>
        <v>Инфо</v>
      </c>
      <c r="F8217" s="16" t="s">
        <v>39</v>
      </c>
      <c r="G8217" s="15"/>
      <c r="H8217" s="15"/>
      <c r="I8217" s="15"/>
      <c r="J8217" s="17">
        <v>13</v>
      </c>
      <c r="K8217" s="15" t="s">
        <v>1408</v>
      </c>
      <c r="L8217" s="17">
        <v>1</v>
      </c>
      <c r="M8217" s="17">
        <v>5</v>
      </c>
      <c r="N8217" s="17">
        <v>1</v>
      </c>
      <c r="O8217" s="18">
        <v>4433.3500000000004</v>
      </c>
      <c r="P8217" s="18">
        <v>3633.89</v>
      </c>
      <c r="Q8217" s="18">
        <v>3103.35</v>
      </c>
      <c r="R8217" s="18">
        <v>2543.73</v>
      </c>
      <c r="S8217" s="18">
        <v>3014.68</v>
      </c>
      <c r="T8217" s="18">
        <v>2471.0500000000002</v>
      </c>
      <c r="U8217" s="16"/>
      <c r="V8217" s="16"/>
      <c r="W8217" s="16"/>
      <c r="X8217" s="19">
        <v>1.532</v>
      </c>
      <c r="Y8217" s="20">
        <v>6.5979999999999997E-3</v>
      </c>
      <c r="Z8217" s="21">
        <v>4601004200678</v>
      </c>
    </row>
    <row r="8218" spans="1:26" ht="12" customHeight="1" outlineLevel="3" x14ac:dyDescent="0.2">
      <c r="A8218" s="14" t="s">
        <v>15699</v>
      </c>
      <c r="B8218" s="26" t="s">
        <v>15700</v>
      </c>
      <c r="C8218" s="52"/>
      <c r="D8218" s="55">
        <f t="shared" si="128"/>
        <v>0</v>
      </c>
      <c r="E8218" s="63" t="str">
        <f>HYPERLINK("https://www.sds-group.ru/product/antenna-4g-mimo-andromeda-rexant-34-0904/", "Инфо")</f>
        <v>Инфо</v>
      </c>
      <c r="F8218" s="16" t="s">
        <v>39</v>
      </c>
      <c r="G8218" s="15"/>
      <c r="H8218" s="15"/>
      <c r="I8218" s="15"/>
      <c r="J8218" s="17">
        <v>9</v>
      </c>
      <c r="K8218" s="15"/>
      <c r="L8218" s="17">
        <v>1</v>
      </c>
      <c r="M8218" s="17">
        <v>5</v>
      </c>
      <c r="N8218" s="17">
        <v>1</v>
      </c>
      <c r="O8218" s="18">
        <v>7685</v>
      </c>
      <c r="P8218" s="18">
        <v>6299.18</v>
      </c>
      <c r="Q8218" s="18">
        <v>6148</v>
      </c>
      <c r="R8218" s="18">
        <v>5039.34</v>
      </c>
      <c r="S8218" s="18">
        <v>5225.8</v>
      </c>
      <c r="T8218" s="18">
        <v>4283.4399999999996</v>
      </c>
      <c r="U8218" s="16"/>
      <c r="V8218" s="16"/>
      <c r="W8218" s="16" t="s">
        <v>40</v>
      </c>
      <c r="X8218" s="19">
        <v>2.444</v>
      </c>
      <c r="Y8218" s="20">
        <v>8.7069999999999995E-3</v>
      </c>
      <c r="Z8218" s="21">
        <v>4601004200647</v>
      </c>
    </row>
    <row r="8219" spans="1:26" ht="12" customHeight="1" outlineLevel="3" x14ac:dyDescent="0.2">
      <c r="A8219" s="14" t="s">
        <v>15701</v>
      </c>
      <c r="B8219" s="26" t="s">
        <v>15702</v>
      </c>
      <c r="C8219" s="52"/>
      <c r="D8219" s="55">
        <f t="shared" si="128"/>
        <v>0</v>
      </c>
      <c r="E8219" s="63" t="str">
        <f>HYPERLINK("https://www.sds-group.ru/product/antenna-4g-mimo-vega-rexant-34-0902/", "Инфо")</f>
        <v>Инфо</v>
      </c>
      <c r="F8219" s="16" t="s">
        <v>39</v>
      </c>
      <c r="G8219" s="15"/>
      <c r="H8219" s="15"/>
      <c r="I8219" s="15"/>
      <c r="J8219" s="17">
        <v>73</v>
      </c>
      <c r="K8219" s="15"/>
      <c r="L8219" s="17">
        <v>1</v>
      </c>
      <c r="M8219" s="17">
        <v>10</v>
      </c>
      <c r="N8219" s="17">
        <v>1</v>
      </c>
      <c r="O8219" s="18">
        <v>3666.54</v>
      </c>
      <c r="P8219" s="18">
        <v>3005.36</v>
      </c>
      <c r="Q8219" s="18">
        <v>2933.23</v>
      </c>
      <c r="R8219" s="18">
        <v>2404.29</v>
      </c>
      <c r="S8219" s="18">
        <v>2493.25</v>
      </c>
      <c r="T8219" s="18">
        <v>2043.65</v>
      </c>
      <c r="U8219" s="16"/>
      <c r="V8219" s="16"/>
      <c r="W8219" s="16" t="s">
        <v>40</v>
      </c>
      <c r="X8219" s="19">
        <v>1.0960000000000001</v>
      </c>
      <c r="Y8219" s="20">
        <v>3.7910000000000001E-3</v>
      </c>
      <c r="Z8219" s="21">
        <v>4601004200623</v>
      </c>
    </row>
    <row r="8220" spans="1:26" ht="12" customHeight="1" outlineLevel="3" x14ac:dyDescent="0.2">
      <c r="A8220" s="14" t="s">
        <v>15703</v>
      </c>
      <c r="B8220" s="26" t="s">
        <v>15704</v>
      </c>
      <c r="C8220" s="52"/>
      <c r="D8220" s="55">
        <f t="shared" si="128"/>
        <v>0</v>
      </c>
      <c r="E8220" s="63" t="str">
        <f>HYPERLINK("https://www.sds-group.ru/product/antenna-4g-mimo-sirius-rexant-34-0903/", "Инфо")</f>
        <v>Инфо</v>
      </c>
      <c r="F8220" s="16" t="s">
        <v>39</v>
      </c>
      <c r="G8220" s="15"/>
      <c r="H8220" s="15"/>
      <c r="I8220" s="15"/>
      <c r="J8220" s="17">
        <v>66</v>
      </c>
      <c r="K8220" s="15" t="s">
        <v>1408</v>
      </c>
      <c r="L8220" s="17">
        <v>1</v>
      </c>
      <c r="M8220" s="17">
        <v>5</v>
      </c>
      <c r="N8220" s="17">
        <v>1</v>
      </c>
      <c r="O8220" s="18">
        <v>6017.64</v>
      </c>
      <c r="P8220" s="18">
        <v>4932.49</v>
      </c>
      <c r="Q8220" s="18">
        <v>4753.9399999999996</v>
      </c>
      <c r="R8220" s="18">
        <v>3896.67</v>
      </c>
      <c r="S8220" s="18">
        <v>4092</v>
      </c>
      <c r="T8220" s="18">
        <v>3354.1</v>
      </c>
      <c r="U8220" s="16"/>
      <c r="V8220" s="16"/>
      <c r="W8220" s="16" t="s">
        <v>40</v>
      </c>
      <c r="X8220" s="19">
        <v>1.613</v>
      </c>
      <c r="Y8220" s="20">
        <v>8.7229999999999999E-3</v>
      </c>
      <c r="Z8220" s="21">
        <v>4601004200630</v>
      </c>
    </row>
    <row r="8221" spans="1:26" ht="12" customHeight="1" outlineLevel="3" x14ac:dyDescent="0.2">
      <c r="A8221" s="14" t="s">
        <v>15705</v>
      </c>
      <c r="B8221" s="26" t="s">
        <v>15706</v>
      </c>
      <c r="C8221" s="52"/>
      <c r="D8221" s="55">
        <f t="shared" si="128"/>
        <v>0</v>
      </c>
      <c r="E8221" s="63" t="str">
        <f>HYPERLINK("https://www.sds-group.ru/product/antenna-komnatnaya-dlya-usileniya-internet-signala-4g-lte-rexant-34-0431/", "Инфо")</f>
        <v>Инфо</v>
      </c>
      <c r="F8221" s="16" t="s">
        <v>39</v>
      </c>
      <c r="G8221" s="15"/>
      <c r="H8221" s="15"/>
      <c r="I8221" s="15"/>
      <c r="J8221" s="17">
        <v>13</v>
      </c>
      <c r="K8221" s="15"/>
      <c r="L8221" s="17">
        <v>1</v>
      </c>
      <c r="M8221" s="17">
        <v>10</v>
      </c>
      <c r="N8221" s="17">
        <v>1</v>
      </c>
      <c r="O8221" s="18">
        <v>3796.92</v>
      </c>
      <c r="P8221" s="18">
        <v>3112.23</v>
      </c>
      <c r="Q8221" s="18">
        <v>2657.84</v>
      </c>
      <c r="R8221" s="18">
        <v>2178.56</v>
      </c>
      <c r="S8221" s="18">
        <v>2581.91</v>
      </c>
      <c r="T8221" s="18">
        <v>2116.3200000000002</v>
      </c>
      <c r="U8221" s="16"/>
      <c r="V8221" s="16"/>
      <c r="W8221" s="16"/>
      <c r="X8221" s="19">
        <v>0.52900000000000003</v>
      </c>
      <c r="Y8221" s="20">
        <v>6.744E-3</v>
      </c>
      <c r="Z8221" s="21">
        <v>4601004022850</v>
      </c>
    </row>
    <row r="8222" spans="1:26" ht="12.95" customHeight="1" outlineLevel="1" x14ac:dyDescent="0.2">
      <c r="A8222" s="78" t="s">
        <v>15707</v>
      </c>
      <c r="B8222" s="78"/>
      <c r="C8222" s="79"/>
      <c r="D8222" s="57"/>
      <c r="E8222" s="67"/>
      <c r="F8222" s="12"/>
      <c r="G8222" s="12"/>
      <c r="H8222" s="12"/>
      <c r="I8222" s="12"/>
      <c r="J8222" s="12"/>
      <c r="K8222" s="12"/>
      <c r="L8222" s="12"/>
      <c r="M8222" s="12"/>
      <c r="N8222" s="12"/>
      <c r="O8222" s="12"/>
      <c r="P8222" s="12"/>
      <c r="Q8222" s="12"/>
      <c r="R8222" s="12"/>
      <c r="S8222" s="12"/>
      <c r="T8222" s="12"/>
      <c r="U8222" s="12"/>
      <c r="V8222" s="12"/>
      <c r="W8222" s="12"/>
      <c r="X8222" s="12"/>
      <c r="Y8222" s="12"/>
      <c r="Z8222" s="12"/>
    </row>
    <row r="8223" spans="1:26" ht="12.95" customHeight="1" outlineLevel="2" x14ac:dyDescent="0.2">
      <c r="A8223" s="76" t="s">
        <v>15708</v>
      </c>
      <c r="B8223" s="76"/>
      <c r="C8223" s="77"/>
      <c r="D8223" s="58"/>
      <c r="E8223" s="68"/>
      <c r="F8223" s="13"/>
      <c r="G8223" s="13"/>
      <c r="H8223" s="13"/>
      <c r="I8223" s="13"/>
      <c r="J8223" s="13"/>
      <c r="K8223" s="13"/>
      <c r="L8223" s="13"/>
      <c r="M8223" s="13"/>
      <c r="N8223" s="13"/>
      <c r="O8223" s="13"/>
      <c r="P8223" s="13"/>
      <c r="Q8223" s="13"/>
      <c r="R8223" s="13"/>
      <c r="S8223" s="13"/>
      <c r="T8223" s="13"/>
      <c r="U8223" s="13"/>
      <c r="V8223" s="13"/>
      <c r="W8223" s="13"/>
      <c r="X8223" s="13"/>
      <c r="Y8223" s="13"/>
      <c r="Z8223" s="13"/>
    </row>
    <row r="8224" spans="1:26" ht="12" customHeight="1" outlineLevel="3" x14ac:dyDescent="0.2">
      <c r="A8224" s="14" t="s">
        <v>15709</v>
      </c>
      <c r="B8224" s="26" t="s">
        <v>15710</v>
      </c>
      <c r="C8224" s="52"/>
      <c r="D8224" s="55">
        <f t="shared" si="128"/>
        <v>0</v>
      </c>
      <c r="E8224" s="63" t="str">
        <f>HYPERLINK("https://www.sds-group.ru/product/kronshteyn-dlya-krepleniya-saundbara-maks-10-kg-seriya-profi-rexant-38-0401-1/", "Инфо")</f>
        <v>Инфо</v>
      </c>
      <c r="F8224" s="16" t="s">
        <v>39</v>
      </c>
      <c r="G8224" s="15"/>
      <c r="H8224" s="15"/>
      <c r="I8224" s="15"/>
      <c r="J8224" s="17">
        <v>204</v>
      </c>
      <c r="K8224" s="15"/>
      <c r="L8224" s="17">
        <v>1</v>
      </c>
      <c r="M8224" s="17">
        <v>18</v>
      </c>
      <c r="N8224" s="17">
        <v>1</v>
      </c>
      <c r="O8224" s="18">
        <v>1724.83</v>
      </c>
      <c r="P8224" s="18">
        <v>1413.8</v>
      </c>
      <c r="Q8224" s="18">
        <v>1466.11</v>
      </c>
      <c r="R8224" s="18">
        <v>1201.73</v>
      </c>
      <c r="S8224" s="18">
        <v>1172.8800000000001</v>
      </c>
      <c r="T8224" s="18">
        <v>961.38</v>
      </c>
      <c r="U8224" s="16"/>
      <c r="V8224" s="16"/>
      <c r="W8224" s="16" t="s">
        <v>40</v>
      </c>
      <c r="X8224" s="19">
        <v>1.0169999999999999</v>
      </c>
      <c r="Y8224" s="20">
        <v>1.6299999999999999E-3</v>
      </c>
      <c r="Z8224" s="21">
        <v>4601004295070</v>
      </c>
    </row>
    <row r="8225" spans="1:26" ht="12" customHeight="1" outlineLevel="3" x14ac:dyDescent="0.2">
      <c r="A8225" s="14" t="s">
        <v>15711</v>
      </c>
      <c r="B8225" s="26" t="s">
        <v>15712</v>
      </c>
      <c r="C8225" s="52"/>
      <c r="D8225" s="55">
        <f t="shared" si="128"/>
        <v>0</v>
      </c>
      <c r="E8225" s="63" t="str">
        <f>HYPERLINK("https://www.sds-group.ru/product/kronshteyn-dlya-krepleniya-saundbara-seriya-profi-rexant-38-0401/", "Инфо")</f>
        <v>Инфо</v>
      </c>
      <c r="F8225" s="16" t="s">
        <v>39</v>
      </c>
      <c r="G8225" s="15"/>
      <c r="H8225" s="15"/>
      <c r="I8225" s="15"/>
      <c r="J8225" s="22">
        <v>1193</v>
      </c>
      <c r="K8225" s="15" t="s">
        <v>9986</v>
      </c>
      <c r="L8225" s="17">
        <v>1</v>
      </c>
      <c r="M8225" s="17">
        <v>10</v>
      </c>
      <c r="N8225" s="17">
        <v>1</v>
      </c>
      <c r="O8225" s="18">
        <v>1571.13</v>
      </c>
      <c r="P8225" s="18">
        <v>1287.81</v>
      </c>
      <c r="Q8225" s="18">
        <v>1099.79</v>
      </c>
      <c r="R8225" s="18">
        <v>901.47</v>
      </c>
      <c r="S8225" s="18">
        <v>1068.3699999999999</v>
      </c>
      <c r="T8225" s="18">
        <v>875.71</v>
      </c>
      <c r="U8225" s="16"/>
      <c r="V8225" s="16"/>
      <c r="W8225" s="16"/>
      <c r="X8225" s="19">
        <v>1.1040000000000001</v>
      </c>
      <c r="Y8225" s="20">
        <v>2.068E-3</v>
      </c>
      <c r="Z8225" s="21">
        <v>4601004230279</v>
      </c>
    </row>
    <row r="8226" spans="1:26" ht="12" customHeight="1" outlineLevel="3" x14ac:dyDescent="0.2">
      <c r="A8226" s="14" t="s">
        <v>15713</v>
      </c>
      <c r="B8226" s="26" t="s">
        <v>15714</v>
      </c>
      <c r="C8226" s="52"/>
      <c r="D8226" s="55">
        <f t="shared" si="128"/>
        <v>0</v>
      </c>
      <c r="E8226" s="63" t="str">
        <f>HYPERLINK("https://www.sds-group.ru/product/kronshteyn-dlya-televizora-10-27-fiksirovannyy-rexant-38-0300/", "Инфо")</f>
        <v>Инфо</v>
      </c>
      <c r="F8226" s="16" t="s">
        <v>39</v>
      </c>
      <c r="G8226" s="15"/>
      <c r="H8226" s="15"/>
      <c r="I8226" s="15"/>
      <c r="J8226" s="17">
        <v>179</v>
      </c>
      <c r="K8226" s="15" t="s">
        <v>11098</v>
      </c>
      <c r="L8226" s="17">
        <v>1</v>
      </c>
      <c r="M8226" s="17">
        <v>20</v>
      </c>
      <c r="N8226" s="17">
        <v>1</v>
      </c>
      <c r="O8226" s="18">
        <v>540.02</v>
      </c>
      <c r="P8226" s="18">
        <v>442.64</v>
      </c>
      <c r="Q8226" s="18">
        <v>459.02</v>
      </c>
      <c r="R8226" s="18">
        <v>376.25</v>
      </c>
      <c r="S8226" s="18">
        <v>367.21</v>
      </c>
      <c r="T8226" s="18">
        <v>300.99</v>
      </c>
      <c r="U8226" s="16"/>
      <c r="V8226" s="16"/>
      <c r="W8226" s="16" t="s">
        <v>40</v>
      </c>
      <c r="X8226" s="19">
        <v>0.34</v>
      </c>
      <c r="Y8226" s="20">
        <v>7.5799999999999999E-4</v>
      </c>
      <c r="Z8226" s="21">
        <v>4601004062665</v>
      </c>
    </row>
    <row r="8227" spans="1:26" ht="12" customHeight="1" outlineLevel="3" x14ac:dyDescent="0.2">
      <c r="A8227" s="14" t="s">
        <v>15715</v>
      </c>
      <c r="B8227" s="26" t="s">
        <v>15716</v>
      </c>
      <c r="C8227" s="52"/>
      <c r="D8227" s="55">
        <f t="shared" si="128"/>
        <v>0</v>
      </c>
      <c r="E8227" s="63" t="str">
        <f>HYPERLINK("https://www.sds-group.ru/product/kronshteyn-dlya-televizora-13-37-naklonno-povorotnyy-rexant-38-0050/", "Инфо")</f>
        <v>Инфо</v>
      </c>
      <c r="F8227" s="16" t="s">
        <v>39</v>
      </c>
      <c r="G8227" s="15"/>
      <c r="H8227" s="15"/>
      <c r="I8227" s="15"/>
      <c r="J8227" s="22">
        <v>7408</v>
      </c>
      <c r="K8227" s="15" t="s">
        <v>1650</v>
      </c>
      <c r="L8227" s="17">
        <v>1</v>
      </c>
      <c r="M8227" s="17">
        <v>12</v>
      </c>
      <c r="N8227" s="17">
        <v>1</v>
      </c>
      <c r="O8227" s="18">
        <v>786.95</v>
      </c>
      <c r="P8227" s="18">
        <v>645.04</v>
      </c>
      <c r="Q8227" s="18">
        <v>550.87</v>
      </c>
      <c r="R8227" s="18">
        <v>451.53</v>
      </c>
      <c r="S8227" s="18">
        <v>535.13</v>
      </c>
      <c r="T8227" s="18">
        <v>438.63</v>
      </c>
      <c r="U8227" s="16"/>
      <c r="V8227" s="16"/>
      <c r="W8227" s="16"/>
      <c r="X8227" s="19">
        <v>0.42899999999999999</v>
      </c>
      <c r="Y8227" s="20">
        <v>1.343E-3</v>
      </c>
      <c r="Z8227" s="21">
        <v>4601004075191</v>
      </c>
    </row>
    <row r="8228" spans="1:26" ht="12" customHeight="1" outlineLevel="3" x14ac:dyDescent="0.2">
      <c r="A8228" s="14" t="s">
        <v>15717</v>
      </c>
      <c r="B8228" s="26" t="s">
        <v>15718</v>
      </c>
      <c r="C8228" s="52"/>
      <c r="D8228" s="55">
        <f t="shared" si="128"/>
        <v>0</v>
      </c>
      <c r="E8228" s="63" t="str">
        <f>HYPERLINK("https://www.sds-group.ru/product/kronshteyn-dlya-televizora-13-37-naklonno-povorotnyy-odno-koleno-rexant-38-0053-1/", "Инфо")</f>
        <v>Инфо</v>
      </c>
      <c r="F8228" s="16" t="s">
        <v>39</v>
      </c>
      <c r="G8228" s="15"/>
      <c r="H8228" s="15"/>
      <c r="I8228" s="15"/>
      <c r="J8228" s="22">
        <v>3260</v>
      </c>
      <c r="K8228" s="15"/>
      <c r="L8228" s="17">
        <v>1</v>
      </c>
      <c r="M8228" s="17">
        <v>20</v>
      </c>
      <c r="N8228" s="17">
        <v>1</v>
      </c>
      <c r="O8228" s="18">
        <v>1228.94</v>
      </c>
      <c r="P8228" s="18">
        <v>1007.33</v>
      </c>
      <c r="Q8228" s="18">
        <v>1044.5999999999999</v>
      </c>
      <c r="R8228" s="18">
        <v>856.23</v>
      </c>
      <c r="S8228" s="18">
        <v>835.68</v>
      </c>
      <c r="T8228" s="18">
        <v>684.98</v>
      </c>
      <c r="U8228" s="16"/>
      <c r="V8228" s="16"/>
      <c r="W8228" s="16" t="s">
        <v>40</v>
      </c>
      <c r="X8228" s="19">
        <v>0.71899999999999997</v>
      </c>
      <c r="Y8228" s="20">
        <v>1.6969999999999999E-3</v>
      </c>
      <c r="Z8228" s="21">
        <v>4601004259874</v>
      </c>
    </row>
    <row r="8229" spans="1:26" ht="12" customHeight="1" outlineLevel="3" x14ac:dyDescent="0.2">
      <c r="A8229" s="14" t="s">
        <v>15719</v>
      </c>
      <c r="B8229" s="26" t="s">
        <v>15720</v>
      </c>
      <c r="C8229" s="52"/>
      <c r="D8229" s="55">
        <f t="shared" si="128"/>
        <v>0</v>
      </c>
      <c r="E8229" s="63" t="str">
        <f>HYPERLINK("https://www.sds-group.ru/product/kronshteyn-dlya-televizora-13-37-naklonno-povorotnyy-odno-koleno-rexant-38-0053/", "Инфо")</f>
        <v>Инфо</v>
      </c>
      <c r="F8229" s="16" t="s">
        <v>39</v>
      </c>
      <c r="G8229" s="15"/>
      <c r="H8229" s="15"/>
      <c r="I8229" s="15"/>
      <c r="J8229" s="22">
        <v>11603</v>
      </c>
      <c r="K8229" s="15" t="s">
        <v>11098</v>
      </c>
      <c r="L8229" s="17">
        <v>1</v>
      </c>
      <c r="M8229" s="17">
        <v>10</v>
      </c>
      <c r="N8229" s="17">
        <v>1</v>
      </c>
      <c r="O8229" s="18">
        <v>1053.23</v>
      </c>
      <c r="P8229" s="18">
        <v>863.3</v>
      </c>
      <c r="Q8229" s="18">
        <v>737.26</v>
      </c>
      <c r="R8229" s="18">
        <v>604.30999999999995</v>
      </c>
      <c r="S8229" s="18">
        <v>716.2</v>
      </c>
      <c r="T8229" s="18">
        <v>587.04999999999995</v>
      </c>
      <c r="U8229" s="16"/>
      <c r="V8229" s="16"/>
      <c r="W8229" s="16"/>
      <c r="X8229" s="19">
        <v>0.63900000000000001</v>
      </c>
      <c r="Y8229" s="20">
        <v>1.8109999999999999E-3</v>
      </c>
      <c r="Z8229" s="21">
        <v>4601004230309</v>
      </c>
    </row>
    <row r="8230" spans="1:26" ht="12" customHeight="1" outlineLevel="3" x14ac:dyDescent="0.2">
      <c r="A8230" s="14" t="s">
        <v>15721</v>
      </c>
      <c r="B8230" s="26" t="s">
        <v>15722</v>
      </c>
      <c r="C8230" s="52"/>
      <c r="D8230" s="55">
        <f t="shared" si="128"/>
        <v>0</v>
      </c>
      <c r="E8230" s="63" t="str">
        <f>HYPERLINK("https://www.sds-group.ru/product/kronshteyn-dlya-televizora-13-37-naklonno-povorotnyy-2-kolena-rexant-38-0051/", "Инфо")</f>
        <v>Инфо</v>
      </c>
      <c r="F8230" s="16" t="s">
        <v>39</v>
      </c>
      <c r="G8230" s="15"/>
      <c r="H8230" s="15"/>
      <c r="I8230" s="15"/>
      <c r="J8230" s="22">
        <v>9662</v>
      </c>
      <c r="K8230" s="15" t="s">
        <v>11098</v>
      </c>
      <c r="L8230" s="17">
        <v>1</v>
      </c>
      <c r="M8230" s="17">
        <v>10</v>
      </c>
      <c r="N8230" s="17">
        <v>1</v>
      </c>
      <c r="O8230" s="18">
        <v>1283.5999999999999</v>
      </c>
      <c r="P8230" s="18">
        <v>1052.1300000000001</v>
      </c>
      <c r="Q8230" s="18">
        <v>898.52</v>
      </c>
      <c r="R8230" s="18">
        <v>736.49</v>
      </c>
      <c r="S8230" s="18">
        <v>872.85</v>
      </c>
      <c r="T8230" s="18">
        <v>715.45</v>
      </c>
      <c r="U8230" s="16"/>
      <c r="V8230" s="16"/>
      <c r="W8230" s="16"/>
      <c r="X8230" s="19">
        <v>0.81899999999999995</v>
      </c>
      <c r="Y8230" s="20">
        <v>1.7060000000000001E-3</v>
      </c>
      <c r="Z8230" s="21">
        <v>4601004148161</v>
      </c>
    </row>
    <row r="8231" spans="1:26" ht="12" customHeight="1" outlineLevel="3" x14ac:dyDescent="0.2">
      <c r="A8231" s="14" t="s">
        <v>15723</v>
      </c>
      <c r="B8231" s="26" t="s">
        <v>15724</v>
      </c>
      <c r="C8231" s="52"/>
      <c r="D8231" s="55">
        <f t="shared" si="128"/>
        <v>0</v>
      </c>
      <c r="E8231" s="63" t="str">
        <f>HYPERLINK("https://www.sds-group.ru/product/kronshteyn-dlya-televizora-13-37-naklonnyy-rexant-38-0305/", "Инфо")</f>
        <v>Инфо</v>
      </c>
      <c r="F8231" s="16" t="s">
        <v>39</v>
      </c>
      <c r="G8231" s="15"/>
      <c r="H8231" s="15"/>
      <c r="I8231" s="15"/>
      <c r="J8231" s="22">
        <v>3907</v>
      </c>
      <c r="K8231" s="15" t="s">
        <v>11098</v>
      </c>
      <c r="L8231" s="17">
        <v>1</v>
      </c>
      <c r="M8231" s="17">
        <v>20</v>
      </c>
      <c r="N8231" s="17">
        <v>1</v>
      </c>
      <c r="O8231" s="18">
        <v>571.35</v>
      </c>
      <c r="P8231" s="18">
        <v>468.32</v>
      </c>
      <c r="Q8231" s="18">
        <v>399.95</v>
      </c>
      <c r="R8231" s="18">
        <v>327.83</v>
      </c>
      <c r="S8231" s="18">
        <v>388.52</v>
      </c>
      <c r="T8231" s="18">
        <v>318.45999999999998</v>
      </c>
      <c r="U8231" s="16"/>
      <c r="V8231" s="16"/>
      <c r="W8231" s="16"/>
      <c r="X8231" s="19">
        <v>0.27400000000000002</v>
      </c>
      <c r="Y8231" s="20">
        <v>6.8400000000000004E-4</v>
      </c>
      <c r="Z8231" s="21">
        <v>4601004148260</v>
      </c>
    </row>
    <row r="8232" spans="1:26" ht="12" customHeight="1" outlineLevel="3" x14ac:dyDescent="0.2">
      <c r="A8232" s="14" t="s">
        <v>15725</v>
      </c>
      <c r="B8232" s="26" t="s">
        <v>15726</v>
      </c>
      <c r="C8232" s="52"/>
      <c r="D8232" s="55">
        <f t="shared" si="128"/>
        <v>0</v>
      </c>
      <c r="E8232" s="63" t="str">
        <f>HYPERLINK("https://www.sds-group.ru/product/kronshteyn-dlya-televizora-13-43-naklonno-povorotnyy-rexant-38-0061/", "Инфо")</f>
        <v>Инфо</v>
      </c>
      <c r="F8232" s="16" t="s">
        <v>39</v>
      </c>
      <c r="G8232" s="15"/>
      <c r="H8232" s="15"/>
      <c r="I8232" s="15"/>
      <c r="J8232" s="17">
        <v>138</v>
      </c>
      <c r="K8232" s="15"/>
      <c r="L8232" s="17">
        <v>1</v>
      </c>
      <c r="M8232" s="17">
        <v>6</v>
      </c>
      <c r="N8232" s="17">
        <v>1</v>
      </c>
      <c r="O8232" s="18">
        <v>1388.66</v>
      </c>
      <c r="P8232" s="18">
        <v>1138.25</v>
      </c>
      <c r="Q8232" s="18">
        <v>1180.3599999999999</v>
      </c>
      <c r="R8232" s="18">
        <v>967.51</v>
      </c>
      <c r="S8232" s="18">
        <v>944.29</v>
      </c>
      <c r="T8232" s="18">
        <v>774.01</v>
      </c>
      <c r="U8232" s="16"/>
      <c r="V8232" s="16"/>
      <c r="W8232" s="16" t="s">
        <v>40</v>
      </c>
      <c r="X8232" s="19">
        <v>0.73399999999999999</v>
      </c>
      <c r="Y8232" s="20">
        <v>4.0369999999999998E-3</v>
      </c>
      <c r="Z8232" s="21">
        <v>4601004249509</v>
      </c>
    </row>
    <row r="8233" spans="1:26" ht="12" customHeight="1" outlineLevel="3" x14ac:dyDescent="0.2">
      <c r="A8233" s="14" t="s">
        <v>15727</v>
      </c>
      <c r="B8233" s="26" t="s">
        <v>15728</v>
      </c>
      <c r="C8233" s="52"/>
      <c r="D8233" s="55">
        <f t="shared" si="128"/>
        <v>0</v>
      </c>
      <c r="E8233" s="63" t="str">
        <f>HYPERLINK("https://www.sds-group.ru/product/kronshteyn-dlya-televizora-13-43-naklonno-povorotnyy-2-kolena-rexant-38-0070/", "Инфо")</f>
        <v>Инфо</v>
      </c>
      <c r="F8233" s="16" t="s">
        <v>39</v>
      </c>
      <c r="G8233" s="15"/>
      <c r="H8233" s="15"/>
      <c r="I8233" s="15"/>
      <c r="J8233" s="16" t="s">
        <v>100</v>
      </c>
      <c r="K8233" s="15" t="s">
        <v>11098</v>
      </c>
      <c r="L8233" s="17">
        <v>1</v>
      </c>
      <c r="M8233" s="17">
        <v>6</v>
      </c>
      <c r="N8233" s="17">
        <v>1</v>
      </c>
      <c r="O8233" s="18">
        <v>1940.81</v>
      </c>
      <c r="P8233" s="18">
        <v>1590.83</v>
      </c>
      <c r="Q8233" s="18">
        <v>1358.57</v>
      </c>
      <c r="R8233" s="18">
        <v>1113.58</v>
      </c>
      <c r="S8233" s="18">
        <v>1319.75</v>
      </c>
      <c r="T8233" s="18">
        <v>1081.76</v>
      </c>
      <c r="U8233" s="16"/>
      <c r="V8233" s="16"/>
      <c r="W8233" s="16"/>
      <c r="X8233" s="19">
        <v>1.35</v>
      </c>
      <c r="Y8233" s="20">
        <v>3.3670000000000002E-3</v>
      </c>
      <c r="Z8233" s="21">
        <v>4601004075153</v>
      </c>
    </row>
    <row r="8234" spans="1:26" ht="12" customHeight="1" outlineLevel="3" x14ac:dyDescent="0.2">
      <c r="A8234" s="14" t="s">
        <v>15729</v>
      </c>
      <c r="B8234" s="26" t="s">
        <v>15730</v>
      </c>
      <c r="C8234" s="52"/>
      <c r="D8234" s="55">
        <f t="shared" si="128"/>
        <v>0</v>
      </c>
      <c r="E8234" s="63" t="str">
        <f>HYPERLINK("https://www.sds-group.ru/product/kronshteyn-dlya-televizora-13-43-naklonnyy-rexant-38-0320/", "Инфо")</f>
        <v>Инфо</v>
      </c>
      <c r="F8234" s="16" t="s">
        <v>39</v>
      </c>
      <c r="G8234" s="15"/>
      <c r="H8234" s="15"/>
      <c r="I8234" s="15"/>
      <c r="J8234" s="22">
        <v>3479</v>
      </c>
      <c r="K8234" s="15" t="s">
        <v>11098</v>
      </c>
      <c r="L8234" s="17">
        <v>1</v>
      </c>
      <c r="M8234" s="17">
        <v>10</v>
      </c>
      <c r="N8234" s="17">
        <v>1</v>
      </c>
      <c r="O8234" s="18">
        <v>770.16</v>
      </c>
      <c r="P8234" s="18">
        <v>631.28</v>
      </c>
      <c r="Q8234" s="18">
        <v>539.11</v>
      </c>
      <c r="R8234" s="18">
        <v>441.89</v>
      </c>
      <c r="S8234" s="18">
        <v>523.71</v>
      </c>
      <c r="T8234" s="18">
        <v>429.27</v>
      </c>
      <c r="U8234" s="16"/>
      <c r="V8234" s="16"/>
      <c r="W8234" s="16"/>
      <c r="X8234" s="19">
        <v>0.55200000000000005</v>
      </c>
      <c r="Y8234" s="20">
        <v>1.665E-3</v>
      </c>
      <c r="Z8234" s="21">
        <v>4601004062634</v>
      </c>
    </row>
    <row r="8235" spans="1:26" ht="12" customHeight="1" outlineLevel="3" x14ac:dyDescent="0.2">
      <c r="A8235" s="14" t="s">
        <v>15731</v>
      </c>
      <c r="B8235" s="26" t="s">
        <v>15732</v>
      </c>
      <c r="C8235" s="52"/>
      <c r="D8235" s="55">
        <f t="shared" si="128"/>
        <v>0</v>
      </c>
      <c r="E8235" s="63" t="str">
        <f>HYPERLINK("https://www.sds-group.ru/product/kronshteyn-dlya-televizora-13-43-potolochnyy-podvesnoy-seriya-profi-rexant-38-0309/", "Инфо")</f>
        <v>Инфо</v>
      </c>
      <c r="F8235" s="16" t="s">
        <v>39</v>
      </c>
      <c r="G8235" s="15"/>
      <c r="H8235" s="15"/>
      <c r="I8235" s="15"/>
      <c r="J8235" s="22">
        <v>1056</v>
      </c>
      <c r="K8235" s="15" t="s">
        <v>11098</v>
      </c>
      <c r="L8235" s="17">
        <v>1</v>
      </c>
      <c r="M8235" s="17">
        <v>4</v>
      </c>
      <c r="N8235" s="17">
        <v>1</v>
      </c>
      <c r="O8235" s="18">
        <v>3773.07</v>
      </c>
      <c r="P8235" s="18">
        <v>3092.68</v>
      </c>
      <c r="Q8235" s="18">
        <v>2641.15</v>
      </c>
      <c r="R8235" s="18">
        <v>2164.88</v>
      </c>
      <c r="S8235" s="18">
        <v>2565.69</v>
      </c>
      <c r="T8235" s="18">
        <v>2103.02</v>
      </c>
      <c r="U8235" s="16"/>
      <c r="V8235" s="16"/>
      <c r="W8235" s="16"/>
      <c r="X8235" s="19">
        <v>2.8679999999999999</v>
      </c>
      <c r="Y8235" s="20">
        <v>1.1128000000000001E-2</v>
      </c>
      <c r="Z8235" s="21">
        <v>4601004230316</v>
      </c>
    </row>
    <row r="8236" spans="1:26" ht="12" customHeight="1" outlineLevel="3" x14ac:dyDescent="0.2">
      <c r="A8236" s="14" t="s">
        <v>15733</v>
      </c>
      <c r="B8236" s="26" t="s">
        <v>15732</v>
      </c>
      <c r="C8236" s="52"/>
      <c r="D8236" s="55">
        <f t="shared" si="128"/>
        <v>0</v>
      </c>
      <c r="E8236" s="63" t="str">
        <f>HYPERLINK("https://www.sds-group.ru/product/kronshteyn-dlya-televizora-13-43-potolochnyy-podvesnoy-rexant-38-0301/", "Инфо")</f>
        <v>Инфо</v>
      </c>
      <c r="F8236" s="16" t="s">
        <v>39</v>
      </c>
      <c r="G8236" s="15"/>
      <c r="H8236" s="15"/>
      <c r="I8236" s="15"/>
      <c r="J8236" s="17">
        <v>224</v>
      </c>
      <c r="K8236" s="15" t="s">
        <v>1650</v>
      </c>
      <c r="L8236" s="17">
        <v>1</v>
      </c>
      <c r="M8236" s="17">
        <v>5</v>
      </c>
      <c r="N8236" s="17">
        <v>1</v>
      </c>
      <c r="O8236" s="18">
        <v>3287.96</v>
      </c>
      <c r="P8236" s="18">
        <v>2695.05</v>
      </c>
      <c r="Q8236" s="18">
        <v>2301.5700000000002</v>
      </c>
      <c r="R8236" s="18">
        <v>1886.53</v>
      </c>
      <c r="S8236" s="18">
        <v>2235.81</v>
      </c>
      <c r="T8236" s="18">
        <v>1832.63</v>
      </c>
      <c r="U8236" s="16"/>
      <c r="V8236" s="16"/>
      <c r="W8236" s="16"/>
      <c r="X8236" s="19">
        <v>1.9750000000000001</v>
      </c>
      <c r="Y8236" s="20">
        <v>6.79E-3</v>
      </c>
      <c r="Z8236" s="21">
        <v>4601004148246</v>
      </c>
    </row>
    <row r="8237" spans="1:26" ht="12" customHeight="1" outlineLevel="3" x14ac:dyDescent="0.2">
      <c r="A8237" s="40" t="s">
        <v>15734</v>
      </c>
      <c r="B8237" s="75" t="s">
        <v>15732</v>
      </c>
      <c r="C8237" s="51"/>
      <c r="D8237" s="54">
        <f t="shared" si="128"/>
        <v>0</v>
      </c>
      <c r="E8237" s="61" t="str">
        <f>HYPERLINK("https://www.sds-group.ru/product/kronshteyn-dlya-televizora-13-43-potolochnyy-podvesnoy-rexant-38-0309-1/", "Инфо")</f>
        <v>Инфо</v>
      </c>
      <c r="F8237" s="42" t="s">
        <v>39</v>
      </c>
      <c r="G8237" s="41" t="s">
        <v>40</v>
      </c>
      <c r="H8237" s="41"/>
      <c r="I8237" s="41"/>
      <c r="J8237" s="43">
        <v>72</v>
      </c>
      <c r="K8237" s="41"/>
      <c r="L8237" s="43">
        <v>1</v>
      </c>
      <c r="M8237" s="43">
        <v>10</v>
      </c>
      <c r="N8237" s="43">
        <v>1</v>
      </c>
      <c r="O8237" s="44">
        <v>2342.64</v>
      </c>
      <c r="P8237" s="44">
        <v>1920.2</v>
      </c>
      <c r="Q8237" s="44">
        <v>1850.69</v>
      </c>
      <c r="R8237" s="44">
        <v>1516.96</v>
      </c>
      <c r="S8237" s="44">
        <v>1593</v>
      </c>
      <c r="T8237" s="44">
        <v>1305.74</v>
      </c>
      <c r="U8237" s="42"/>
      <c r="V8237" s="42"/>
      <c r="W8237" s="42" t="s">
        <v>40</v>
      </c>
      <c r="X8237" s="45">
        <v>2.0289999999999999</v>
      </c>
      <c r="Y8237" s="46">
        <v>9.6970000000000008E-3</v>
      </c>
      <c r="Z8237" s="21">
        <v>4601004310537</v>
      </c>
    </row>
    <row r="8238" spans="1:26" ht="12" customHeight="1" outlineLevel="3" x14ac:dyDescent="0.2">
      <c r="A8238" s="14" t="s">
        <v>15735</v>
      </c>
      <c r="B8238" s="26" t="s">
        <v>15736</v>
      </c>
      <c r="C8238" s="52"/>
      <c r="D8238" s="55">
        <f t="shared" si="128"/>
        <v>0</v>
      </c>
      <c r="E8238" s="63" t="str">
        <f>HYPERLINK("https://www.sds-group.ru/product/kronshteyn-dlya-televizora-13-43-fiksirovannyy-rexant-38-0310/", "Инфо")</f>
        <v>Инфо</v>
      </c>
      <c r="F8238" s="16" t="s">
        <v>39</v>
      </c>
      <c r="G8238" s="15"/>
      <c r="H8238" s="15"/>
      <c r="I8238" s="15"/>
      <c r="J8238" s="22">
        <v>7159</v>
      </c>
      <c r="K8238" s="15" t="s">
        <v>1650</v>
      </c>
      <c r="L8238" s="17">
        <v>1</v>
      </c>
      <c r="M8238" s="17">
        <v>10</v>
      </c>
      <c r="N8238" s="17">
        <v>1</v>
      </c>
      <c r="O8238" s="18">
        <v>636.03</v>
      </c>
      <c r="P8238" s="18">
        <v>521.34</v>
      </c>
      <c r="Q8238" s="18">
        <v>445.22</v>
      </c>
      <c r="R8238" s="18">
        <v>364.93</v>
      </c>
      <c r="S8238" s="18">
        <v>432.5</v>
      </c>
      <c r="T8238" s="18">
        <v>354.51</v>
      </c>
      <c r="U8238" s="16"/>
      <c r="V8238" s="16"/>
      <c r="W8238" s="16"/>
      <c r="X8238" s="19">
        <v>0.47699999999999998</v>
      </c>
      <c r="Y8238" s="20">
        <v>1.5820000000000001E-3</v>
      </c>
      <c r="Z8238" s="21">
        <v>4601004062627</v>
      </c>
    </row>
    <row r="8239" spans="1:26" ht="12" customHeight="1" outlineLevel="3" x14ac:dyDescent="0.2">
      <c r="A8239" s="14" t="s">
        <v>15737</v>
      </c>
      <c r="B8239" s="26" t="s">
        <v>15738</v>
      </c>
      <c r="C8239" s="52"/>
      <c r="D8239" s="55">
        <f t="shared" si="128"/>
        <v>0</v>
      </c>
      <c r="E8239" s="63" t="str">
        <f>HYPERLINK("https://www.sds-group.ru/product/kronshteyn-dlya-televizora-13-65-naklonno-povorotnyy-rexant-38-0332/", "Инфо")</f>
        <v>Инфо</v>
      </c>
      <c r="F8239" s="16" t="s">
        <v>39</v>
      </c>
      <c r="G8239" s="15"/>
      <c r="H8239" s="15"/>
      <c r="I8239" s="15"/>
      <c r="J8239" s="22">
        <v>1750</v>
      </c>
      <c r="K8239" s="15" t="s">
        <v>11098</v>
      </c>
      <c r="L8239" s="17">
        <v>1</v>
      </c>
      <c r="M8239" s="17">
        <v>6</v>
      </c>
      <c r="N8239" s="17">
        <v>1</v>
      </c>
      <c r="O8239" s="18">
        <v>2580.3200000000002</v>
      </c>
      <c r="P8239" s="18">
        <v>2115.02</v>
      </c>
      <c r="Q8239" s="18">
        <v>2193.27</v>
      </c>
      <c r="R8239" s="18">
        <v>1797.76</v>
      </c>
      <c r="S8239" s="18">
        <v>1754.62</v>
      </c>
      <c r="T8239" s="18">
        <v>1438.21</v>
      </c>
      <c r="U8239" s="16"/>
      <c r="V8239" s="16"/>
      <c r="W8239" s="16" t="s">
        <v>40</v>
      </c>
      <c r="X8239" s="19">
        <v>1.589</v>
      </c>
      <c r="Y8239" s="20">
        <v>3.8170000000000001E-3</v>
      </c>
      <c r="Z8239" s="21">
        <v>4601004148178</v>
      </c>
    </row>
    <row r="8240" spans="1:26" ht="12" customHeight="1" outlineLevel="3" x14ac:dyDescent="0.2">
      <c r="A8240" s="14" t="s">
        <v>15739</v>
      </c>
      <c r="B8240" s="26" t="s">
        <v>15740</v>
      </c>
      <c r="C8240" s="52"/>
      <c r="D8240" s="55">
        <f t="shared" si="128"/>
        <v>0</v>
      </c>
      <c r="E8240" s="63" t="str">
        <f>HYPERLINK("https://www.sds-group.ru/product/kronshteyn-dlya-televizora-13-65-naklonno-povorotnyy-2-kolena-rexant-38-0080/", "Инфо")</f>
        <v>Инфо</v>
      </c>
      <c r="F8240" s="16" t="s">
        <v>39</v>
      </c>
      <c r="G8240" s="15"/>
      <c r="H8240" s="15"/>
      <c r="I8240" s="15"/>
      <c r="J8240" s="22">
        <v>2083</v>
      </c>
      <c r="K8240" s="15" t="s">
        <v>11098</v>
      </c>
      <c r="L8240" s="17">
        <v>1</v>
      </c>
      <c r="M8240" s="17">
        <v>6</v>
      </c>
      <c r="N8240" s="17">
        <v>1</v>
      </c>
      <c r="O8240" s="18">
        <v>1940.44</v>
      </c>
      <c r="P8240" s="18">
        <v>1590.52</v>
      </c>
      <c r="Q8240" s="18">
        <v>1358.31</v>
      </c>
      <c r="R8240" s="18">
        <v>1113.3699999999999</v>
      </c>
      <c r="S8240" s="18">
        <v>1319.5</v>
      </c>
      <c r="T8240" s="18">
        <v>1081.56</v>
      </c>
      <c r="U8240" s="16"/>
      <c r="V8240" s="16"/>
      <c r="W8240" s="16"/>
      <c r="X8240" s="19">
        <v>1.5669999999999999</v>
      </c>
      <c r="Y8240" s="20">
        <v>3.4030000000000002E-3</v>
      </c>
      <c r="Z8240" s="21">
        <v>4601004075160</v>
      </c>
    </row>
    <row r="8241" spans="1:26" ht="12" customHeight="1" outlineLevel="3" x14ac:dyDescent="0.2">
      <c r="A8241" s="14" t="s">
        <v>15741</v>
      </c>
      <c r="B8241" s="26" t="s">
        <v>15742</v>
      </c>
      <c r="C8241" s="52"/>
      <c r="D8241" s="55">
        <f t="shared" si="128"/>
        <v>0</v>
      </c>
      <c r="E8241" s="63" t="str">
        <f>HYPERLINK("https://www.sds-group.ru/product/kronshteyn-dlya-televizora-17-43-naklonno-povorotnyy-1-koleno-rexant-38-0060/", "Инфо")</f>
        <v>Инфо</v>
      </c>
      <c r="F8241" s="16" t="s">
        <v>39</v>
      </c>
      <c r="G8241" s="15"/>
      <c r="H8241" s="15"/>
      <c r="I8241" s="15"/>
      <c r="J8241" s="22">
        <v>19942</v>
      </c>
      <c r="K8241" s="15" t="s">
        <v>11098</v>
      </c>
      <c r="L8241" s="17">
        <v>1</v>
      </c>
      <c r="M8241" s="17">
        <v>6</v>
      </c>
      <c r="N8241" s="17">
        <v>1</v>
      </c>
      <c r="O8241" s="18">
        <v>1498.45</v>
      </c>
      <c r="P8241" s="18">
        <v>1228.24</v>
      </c>
      <c r="Q8241" s="18">
        <v>1048.92</v>
      </c>
      <c r="R8241" s="18">
        <v>859.77</v>
      </c>
      <c r="S8241" s="18">
        <v>1018.95</v>
      </c>
      <c r="T8241" s="18">
        <v>835.2</v>
      </c>
      <c r="U8241" s="16"/>
      <c r="V8241" s="16"/>
      <c r="W8241" s="16"/>
      <c r="X8241" s="19">
        <v>1.0329999999999999</v>
      </c>
      <c r="Y8241" s="20">
        <v>3.7780000000000001E-3</v>
      </c>
      <c r="Z8241" s="21">
        <v>4601004075146</v>
      </c>
    </row>
    <row r="8242" spans="1:26" ht="12" customHeight="1" outlineLevel="3" x14ac:dyDescent="0.2">
      <c r="A8242" s="14" t="s">
        <v>15743</v>
      </c>
      <c r="B8242" s="26" t="s">
        <v>15744</v>
      </c>
      <c r="C8242" s="52"/>
      <c r="D8242" s="55">
        <f t="shared" si="128"/>
        <v>0</v>
      </c>
      <c r="E8242" s="63" t="str">
        <f>HYPERLINK("https://www.sds-group.ru/product/kronshteyn-dlya-televizora-17-43-fiksirovannyy-s-bystroy-fiksatsiey-rexant-38-0310-1/", "Инфо")</f>
        <v>Инфо</v>
      </c>
      <c r="F8242" s="16" t="s">
        <v>39</v>
      </c>
      <c r="G8242" s="15"/>
      <c r="H8242" s="15"/>
      <c r="I8242" s="15"/>
      <c r="J8242" s="22">
        <v>4342</v>
      </c>
      <c r="K8242" s="15"/>
      <c r="L8242" s="17">
        <v>1</v>
      </c>
      <c r="M8242" s="17">
        <v>10</v>
      </c>
      <c r="N8242" s="17">
        <v>1</v>
      </c>
      <c r="O8242" s="18">
        <v>1147.23</v>
      </c>
      <c r="P8242" s="18">
        <v>940.35</v>
      </c>
      <c r="Q8242" s="18">
        <v>975.15</v>
      </c>
      <c r="R8242" s="18">
        <v>799.3</v>
      </c>
      <c r="S8242" s="18">
        <v>780.12</v>
      </c>
      <c r="T8242" s="18">
        <v>639.44000000000005</v>
      </c>
      <c r="U8242" s="16"/>
      <c r="V8242" s="16"/>
      <c r="W8242" s="16" t="s">
        <v>40</v>
      </c>
      <c r="X8242" s="19">
        <v>0.84699999999999998</v>
      </c>
      <c r="Y8242" s="20">
        <v>1.5560000000000001E-3</v>
      </c>
      <c r="Z8242" s="21">
        <v>4601004267213</v>
      </c>
    </row>
    <row r="8243" spans="1:26" ht="12" customHeight="1" outlineLevel="3" x14ac:dyDescent="0.2">
      <c r="A8243" s="14" t="s">
        <v>15745</v>
      </c>
      <c r="B8243" s="26" t="s">
        <v>15746</v>
      </c>
      <c r="C8243" s="52"/>
      <c r="D8243" s="55">
        <f t="shared" si="128"/>
        <v>0</v>
      </c>
      <c r="E8243" s="63" t="str">
        <f>HYPERLINK("https://www.sds-group.ru/product/kronshteyn-dlya-televizora-19-42-naklonno-povorotnyy-seriya-home-rexant-38-0062/", "Инфо")</f>
        <v>Инфо</v>
      </c>
      <c r="F8243" s="16" t="s">
        <v>39</v>
      </c>
      <c r="G8243" s="15"/>
      <c r="H8243" s="15"/>
      <c r="I8243" s="15"/>
      <c r="J8243" s="17">
        <v>302</v>
      </c>
      <c r="K8243" s="15" t="s">
        <v>4008</v>
      </c>
      <c r="L8243" s="17">
        <v>1</v>
      </c>
      <c r="M8243" s="17">
        <v>48</v>
      </c>
      <c r="N8243" s="17">
        <v>1</v>
      </c>
      <c r="O8243" s="18">
        <v>1455.33</v>
      </c>
      <c r="P8243" s="18">
        <v>1192.8900000000001</v>
      </c>
      <c r="Q8243" s="18">
        <v>1018.73</v>
      </c>
      <c r="R8243" s="18">
        <v>835.02</v>
      </c>
      <c r="S8243" s="18">
        <v>989.62</v>
      </c>
      <c r="T8243" s="18">
        <v>811.16</v>
      </c>
      <c r="U8243" s="16"/>
      <c r="V8243" s="16"/>
      <c r="W8243" s="16"/>
      <c r="X8243" s="19">
        <v>0.61799999999999999</v>
      </c>
      <c r="Y8243" s="20">
        <v>1.214E-3</v>
      </c>
      <c r="Z8243" s="21">
        <v>4601004290426</v>
      </c>
    </row>
    <row r="8244" spans="1:26" ht="12" customHeight="1" outlineLevel="3" x14ac:dyDescent="0.2">
      <c r="A8244" s="14" t="s">
        <v>15747</v>
      </c>
      <c r="B8244" s="26" t="s">
        <v>15748</v>
      </c>
      <c r="C8244" s="52"/>
      <c r="D8244" s="55">
        <f t="shared" si="128"/>
        <v>0</v>
      </c>
      <c r="E8244" s="63" t="str">
        <f>HYPERLINK("https://www.sds-group.ru/product/kronshteyn-dlya-televizora-23-43-naklonno-povorotnyy-seriya-home-rexant-38-0070-1/", "Инфо")</f>
        <v>Инфо</v>
      </c>
      <c r="F8244" s="16" t="s">
        <v>39</v>
      </c>
      <c r="G8244" s="15"/>
      <c r="H8244" s="15"/>
      <c r="I8244" s="15"/>
      <c r="J8244" s="22">
        <v>2348</v>
      </c>
      <c r="K8244" s="15" t="s">
        <v>5837</v>
      </c>
      <c r="L8244" s="17">
        <v>1</v>
      </c>
      <c r="M8244" s="17">
        <v>8</v>
      </c>
      <c r="N8244" s="17">
        <v>1</v>
      </c>
      <c r="O8244" s="18">
        <v>1918.88</v>
      </c>
      <c r="P8244" s="18">
        <v>1572.85</v>
      </c>
      <c r="Q8244" s="18">
        <v>1631.05</v>
      </c>
      <c r="R8244" s="18">
        <v>1336.93</v>
      </c>
      <c r="S8244" s="18">
        <v>1304.8399999999999</v>
      </c>
      <c r="T8244" s="18">
        <v>1069.54</v>
      </c>
      <c r="U8244" s="16"/>
      <c r="V8244" s="16"/>
      <c r="W8244" s="16" t="s">
        <v>40</v>
      </c>
      <c r="X8244" s="19">
        <v>1.956</v>
      </c>
      <c r="Y8244" s="20">
        <v>5.7739999999999996E-3</v>
      </c>
      <c r="Z8244" s="21">
        <v>4601004267206</v>
      </c>
    </row>
    <row r="8245" spans="1:26" ht="12" customHeight="1" outlineLevel="3" x14ac:dyDescent="0.2">
      <c r="A8245" s="14" t="s">
        <v>15749</v>
      </c>
      <c r="B8245" s="26" t="s">
        <v>15750</v>
      </c>
      <c r="C8245" s="52"/>
      <c r="D8245" s="55">
        <f t="shared" si="128"/>
        <v>0</v>
      </c>
      <c r="E8245" s="63" t="str">
        <f>HYPERLINK("https://www.sds-group.ru/product/kronshteyn-dlya-televizora-23-43-naklonno-povorotnyy-1-koleno-seriya-home-rexant-38-0060-1/", "Инфо")</f>
        <v>Инфо</v>
      </c>
      <c r="F8245" s="16" t="s">
        <v>39</v>
      </c>
      <c r="G8245" s="15"/>
      <c r="H8245" s="15"/>
      <c r="I8245" s="15"/>
      <c r="J8245" s="22">
        <v>15655</v>
      </c>
      <c r="K8245" s="15" t="s">
        <v>9986</v>
      </c>
      <c r="L8245" s="17">
        <v>1</v>
      </c>
      <c r="M8245" s="17">
        <v>10</v>
      </c>
      <c r="N8245" s="17">
        <v>1</v>
      </c>
      <c r="O8245" s="18">
        <v>1498.45</v>
      </c>
      <c r="P8245" s="18">
        <v>1228.24</v>
      </c>
      <c r="Q8245" s="18">
        <v>1048.92</v>
      </c>
      <c r="R8245" s="18">
        <v>859.77</v>
      </c>
      <c r="S8245" s="18">
        <v>1018.95</v>
      </c>
      <c r="T8245" s="18">
        <v>835.2</v>
      </c>
      <c r="U8245" s="16"/>
      <c r="V8245" s="16"/>
      <c r="W8245" s="16"/>
      <c r="X8245" s="19">
        <v>1.3380000000000001</v>
      </c>
      <c r="Y8245" s="20">
        <v>5.195E-3</v>
      </c>
      <c r="Z8245" s="21">
        <v>4601004266070</v>
      </c>
    </row>
    <row r="8246" spans="1:26" ht="12" customHeight="1" outlineLevel="3" x14ac:dyDescent="0.2">
      <c r="A8246" s="14" t="s">
        <v>15751</v>
      </c>
      <c r="B8246" s="26" t="s">
        <v>15752</v>
      </c>
      <c r="C8246" s="52"/>
      <c r="D8246" s="55">
        <f t="shared" si="128"/>
        <v>0</v>
      </c>
      <c r="E8246" s="63" t="str">
        <f>HYPERLINK("https://www.sds-group.ru/product/kronshteyn-dlya-televizora-26-55-naklonno-povorotnyy-seriya-home-rexant-38-0063/", "Инфо")</f>
        <v>Инфо</v>
      </c>
      <c r="F8246" s="16" t="s">
        <v>39</v>
      </c>
      <c r="G8246" s="15"/>
      <c r="H8246" s="15"/>
      <c r="I8246" s="15"/>
      <c r="J8246" s="17">
        <v>354</v>
      </c>
      <c r="K8246" s="15" t="s">
        <v>4008</v>
      </c>
      <c r="L8246" s="17">
        <v>1</v>
      </c>
      <c r="M8246" s="17">
        <v>6</v>
      </c>
      <c r="N8246" s="17">
        <v>1</v>
      </c>
      <c r="O8246" s="18">
        <v>1886.54</v>
      </c>
      <c r="P8246" s="18">
        <v>1546.34</v>
      </c>
      <c r="Q8246" s="18">
        <v>1320.58</v>
      </c>
      <c r="R8246" s="18">
        <v>1082.44</v>
      </c>
      <c r="S8246" s="18">
        <v>1282.8499999999999</v>
      </c>
      <c r="T8246" s="18">
        <v>1051.52</v>
      </c>
      <c r="U8246" s="16"/>
      <c r="V8246" s="16"/>
      <c r="W8246" s="16"/>
      <c r="X8246" s="19">
        <v>1.5289999999999999</v>
      </c>
      <c r="Y8246" s="20">
        <v>4.1050000000000001E-3</v>
      </c>
      <c r="Z8246" s="21">
        <v>4601004290488</v>
      </c>
    </row>
    <row r="8247" spans="1:26" ht="12" customHeight="1" outlineLevel="3" x14ac:dyDescent="0.2">
      <c r="A8247" s="14" t="s">
        <v>15753</v>
      </c>
      <c r="B8247" s="26" t="s">
        <v>15754</v>
      </c>
      <c r="C8247" s="52"/>
      <c r="D8247" s="55">
        <f t="shared" si="128"/>
        <v>0</v>
      </c>
      <c r="E8247" s="63" t="str">
        <f>HYPERLINK("https://www.sds-group.ru/product/kronshteyn-naklonnyy-dlya-televizora-i-monitora-26-55-rexant-38-0330/", "Инфо")</f>
        <v>Инфо</v>
      </c>
      <c r="F8247" s="16" t="s">
        <v>39</v>
      </c>
      <c r="G8247" s="15"/>
      <c r="H8247" s="15"/>
      <c r="I8247" s="15"/>
      <c r="J8247" s="22">
        <v>17446</v>
      </c>
      <c r="K8247" s="15" t="s">
        <v>11098</v>
      </c>
      <c r="L8247" s="17">
        <v>1</v>
      </c>
      <c r="M8247" s="17">
        <v>10</v>
      </c>
      <c r="N8247" s="17">
        <v>1</v>
      </c>
      <c r="O8247" s="18">
        <v>1300.03</v>
      </c>
      <c r="P8247" s="18">
        <v>1065.5999999999999</v>
      </c>
      <c r="Q8247" s="18">
        <v>910.02</v>
      </c>
      <c r="R8247" s="18">
        <v>745.92</v>
      </c>
      <c r="S8247" s="18">
        <v>884.02</v>
      </c>
      <c r="T8247" s="18">
        <v>724.61</v>
      </c>
      <c r="U8247" s="16"/>
      <c r="V8247" s="16"/>
      <c r="W8247" s="16"/>
      <c r="X8247" s="19">
        <v>0.84</v>
      </c>
      <c r="Y8247" s="20">
        <v>2.6749999999999999E-3</v>
      </c>
      <c r="Z8247" s="21">
        <v>4601004062641</v>
      </c>
    </row>
    <row r="8248" spans="1:26" ht="12" customHeight="1" outlineLevel="3" x14ac:dyDescent="0.2">
      <c r="A8248" s="14" t="s">
        <v>15755</v>
      </c>
      <c r="B8248" s="26" t="s">
        <v>15756</v>
      </c>
      <c r="C8248" s="52"/>
      <c r="D8248" s="55">
        <f t="shared" si="128"/>
        <v>0</v>
      </c>
      <c r="E8248" s="63" t="str">
        <f>HYPERLINK("https://www.sds-group.ru/product/kronshteyn-dlya-televizora-30-65-naklonno-povorotnyy-2-kolena-seriya-home-rexant-38-0095/", "Инфо")</f>
        <v>Инфо</v>
      </c>
      <c r="F8248" s="16" t="s">
        <v>39</v>
      </c>
      <c r="G8248" s="15"/>
      <c r="H8248" s="15"/>
      <c r="I8248" s="15"/>
      <c r="J8248" s="22">
        <v>2640</v>
      </c>
      <c r="K8248" s="15" t="s">
        <v>11098</v>
      </c>
      <c r="L8248" s="17">
        <v>1</v>
      </c>
      <c r="M8248" s="17">
        <v>3</v>
      </c>
      <c r="N8248" s="17">
        <v>1</v>
      </c>
      <c r="O8248" s="18">
        <v>4458.6899999999996</v>
      </c>
      <c r="P8248" s="18">
        <v>3654.66</v>
      </c>
      <c r="Q8248" s="18">
        <v>3789.89</v>
      </c>
      <c r="R8248" s="18">
        <v>3106.47</v>
      </c>
      <c r="S8248" s="18">
        <v>3031.91</v>
      </c>
      <c r="T8248" s="18">
        <v>2485.17</v>
      </c>
      <c r="U8248" s="16"/>
      <c r="V8248" s="16"/>
      <c r="W8248" s="16" t="s">
        <v>40</v>
      </c>
      <c r="X8248" s="19">
        <v>3.43</v>
      </c>
      <c r="Y8248" s="20">
        <v>1.242E-2</v>
      </c>
      <c r="Z8248" s="21">
        <v>4601004148239</v>
      </c>
    </row>
    <row r="8249" spans="1:26" ht="12" customHeight="1" outlineLevel="3" x14ac:dyDescent="0.2">
      <c r="A8249" s="14" t="s">
        <v>15757</v>
      </c>
      <c r="B8249" s="26" t="s">
        <v>15758</v>
      </c>
      <c r="C8249" s="52"/>
      <c r="D8249" s="55">
        <f t="shared" si="128"/>
        <v>0</v>
      </c>
      <c r="E8249" s="63" t="str">
        <f>HYPERLINK("https://www.sds-group.ru/product/kronshteyn-dlya-televizora-30-70-naklonnyy-rexant-38-0090/", "Инфо")</f>
        <v>Инфо</v>
      </c>
      <c r="F8249" s="16" t="s">
        <v>39</v>
      </c>
      <c r="G8249" s="15"/>
      <c r="H8249" s="15"/>
      <c r="I8249" s="15"/>
      <c r="J8249" s="22">
        <v>9233</v>
      </c>
      <c r="K8249" s="15" t="s">
        <v>11098</v>
      </c>
      <c r="L8249" s="17">
        <v>1</v>
      </c>
      <c r="M8249" s="17">
        <v>10</v>
      </c>
      <c r="N8249" s="17">
        <v>1</v>
      </c>
      <c r="O8249" s="18">
        <v>1778.73</v>
      </c>
      <c r="P8249" s="18">
        <v>1457.98</v>
      </c>
      <c r="Q8249" s="18">
        <v>1511.92</v>
      </c>
      <c r="R8249" s="18">
        <v>1239.28</v>
      </c>
      <c r="S8249" s="18">
        <v>1209.54</v>
      </c>
      <c r="T8249" s="18">
        <v>991.43</v>
      </c>
      <c r="U8249" s="16"/>
      <c r="V8249" s="16"/>
      <c r="W8249" s="16" t="s">
        <v>40</v>
      </c>
      <c r="X8249" s="19">
        <v>1.2609999999999999</v>
      </c>
      <c r="Y8249" s="20">
        <v>2.4199999999999998E-3</v>
      </c>
      <c r="Z8249" s="21">
        <v>4601004075177</v>
      </c>
    </row>
    <row r="8250" spans="1:26" ht="12" customHeight="1" outlineLevel="3" x14ac:dyDescent="0.2">
      <c r="A8250" s="14" t="s">
        <v>15759</v>
      </c>
      <c r="B8250" s="26" t="s">
        <v>15760</v>
      </c>
      <c r="C8250" s="52"/>
      <c r="D8250" s="55">
        <f t="shared" si="128"/>
        <v>0</v>
      </c>
      <c r="E8250" s="63" t="str">
        <f>HYPERLINK("https://www.sds-group.ru/product/kronshteyn-dlya-televizora-32-65-naklonnyy-s-bystroy-fiksatsiey-rexant-38-0312/", "Инфо")</f>
        <v>Инфо</v>
      </c>
      <c r="F8250" s="16" t="s">
        <v>39</v>
      </c>
      <c r="G8250" s="15"/>
      <c r="H8250" s="15"/>
      <c r="I8250" s="15"/>
      <c r="J8250" s="17">
        <v>748</v>
      </c>
      <c r="K8250" s="15"/>
      <c r="L8250" s="17">
        <v>1</v>
      </c>
      <c r="M8250" s="17">
        <v>10</v>
      </c>
      <c r="N8250" s="17">
        <v>1</v>
      </c>
      <c r="O8250" s="18">
        <v>1325.96</v>
      </c>
      <c r="P8250" s="18">
        <v>1086.8499999999999</v>
      </c>
      <c r="Q8250" s="18">
        <v>1127.07</v>
      </c>
      <c r="R8250" s="18">
        <v>923.83</v>
      </c>
      <c r="S8250" s="18">
        <v>901.65</v>
      </c>
      <c r="T8250" s="18">
        <v>739.06</v>
      </c>
      <c r="U8250" s="16"/>
      <c r="V8250" s="16"/>
      <c r="W8250" s="16" t="s">
        <v>40</v>
      </c>
      <c r="X8250" s="19">
        <v>0.99199999999999999</v>
      </c>
      <c r="Y8250" s="20">
        <v>2.7529999999999998E-3</v>
      </c>
      <c r="Z8250" s="21">
        <v>4601004277793</v>
      </c>
    </row>
    <row r="8251" spans="1:26" ht="12" customHeight="1" outlineLevel="3" x14ac:dyDescent="0.2">
      <c r="A8251" s="14" t="s">
        <v>15761</v>
      </c>
      <c r="B8251" s="26" t="s">
        <v>15762</v>
      </c>
      <c r="C8251" s="52"/>
      <c r="D8251" s="55">
        <f t="shared" si="128"/>
        <v>0</v>
      </c>
      <c r="E8251" s="63" t="str">
        <f>HYPERLINK("https://www.sds-group.ru/product/kronshteyn-dlya-televizora-32-55-naklonnyy-s-bystroy-fiksatsiey-seriya-home-rexant-38-0330-1/", "Инфо")</f>
        <v>Инфо</v>
      </c>
      <c r="F8251" s="16" t="s">
        <v>39</v>
      </c>
      <c r="G8251" s="15"/>
      <c r="H8251" s="15"/>
      <c r="I8251" s="15"/>
      <c r="J8251" s="22">
        <v>4527</v>
      </c>
      <c r="K8251" s="15" t="s">
        <v>9986</v>
      </c>
      <c r="L8251" s="17">
        <v>1</v>
      </c>
      <c r="M8251" s="17">
        <v>18</v>
      </c>
      <c r="N8251" s="17">
        <v>1</v>
      </c>
      <c r="O8251" s="18">
        <v>1394.96</v>
      </c>
      <c r="P8251" s="18">
        <v>1143.4100000000001</v>
      </c>
      <c r="Q8251" s="18">
        <v>1185.72</v>
      </c>
      <c r="R8251" s="18">
        <v>971.9</v>
      </c>
      <c r="S8251" s="18">
        <v>948.57</v>
      </c>
      <c r="T8251" s="18">
        <v>777.52</v>
      </c>
      <c r="U8251" s="16"/>
      <c r="V8251" s="16"/>
      <c r="W8251" s="16" t="s">
        <v>40</v>
      </c>
      <c r="X8251" s="19">
        <v>1.0840000000000001</v>
      </c>
      <c r="Y8251" s="20">
        <v>2.7079999999999999E-3</v>
      </c>
      <c r="Z8251" s="21">
        <v>4601004267190</v>
      </c>
    </row>
    <row r="8252" spans="1:26" ht="12" customHeight="1" outlineLevel="3" x14ac:dyDescent="0.2">
      <c r="A8252" s="14" t="s">
        <v>15763</v>
      </c>
      <c r="B8252" s="26" t="s">
        <v>15764</v>
      </c>
      <c r="C8252" s="52"/>
      <c r="D8252" s="55">
        <f t="shared" si="128"/>
        <v>0</v>
      </c>
      <c r="E8252" s="63" t="str">
        <f>HYPERLINK("https://www.sds-group.ru/product/kronshteyn-dlya-televizora-32-55-fiksirovannyy-seriya-home-rexant-38-0333/", "Инфо")</f>
        <v>Инфо</v>
      </c>
      <c r="F8252" s="16" t="s">
        <v>39</v>
      </c>
      <c r="G8252" s="15"/>
      <c r="H8252" s="15"/>
      <c r="I8252" s="15"/>
      <c r="J8252" s="17">
        <v>734</v>
      </c>
      <c r="K8252" s="15" t="s">
        <v>11098</v>
      </c>
      <c r="L8252" s="17">
        <v>1</v>
      </c>
      <c r="M8252" s="17">
        <v>10</v>
      </c>
      <c r="N8252" s="17">
        <v>1</v>
      </c>
      <c r="O8252" s="18">
        <v>1078.02</v>
      </c>
      <c r="P8252" s="18">
        <v>883.62</v>
      </c>
      <c r="Q8252" s="18">
        <v>754.61</v>
      </c>
      <c r="R8252" s="18">
        <v>618.53</v>
      </c>
      <c r="S8252" s="18">
        <v>733.05</v>
      </c>
      <c r="T8252" s="18">
        <v>600.86</v>
      </c>
      <c r="U8252" s="16"/>
      <c r="V8252" s="16"/>
      <c r="W8252" s="16"/>
      <c r="X8252" s="19">
        <v>0.96</v>
      </c>
      <c r="Y8252" s="20">
        <v>2.0669999999999998E-3</v>
      </c>
      <c r="Z8252" s="21">
        <v>4601004230347</v>
      </c>
    </row>
    <row r="8253" spans="1:26" ht="12" customHeight="1" outlineLevel="3" x14ac:dyDescent="0.2">
      <c r="A8253" s="14" t="s">
        <v>15765</v>
      </c>
      <c r="B8253" s="26" t="s">
        <v>15766</v>
      </c>
      <c r="C8253" s="52"/>
      <c r="D8253" s="55">
        <f t="shared" si="128"/>
        <v>0</v>
      </c>
      <c r="E8253" s="63" t="str">
        <f>HYPERLINK("https://www.sds-group.ru/product/kronshteyn-dlya-televizora-32-60-potolochnyy-podvesnoy-seriya-profi-rexant-38-0311/", "Инфо")</f>
        <v>Инфо</v>
      </c>
      <c r="F8253" s="16" t="s">
        <v>39</v>
      </c>
      <c r="G8253" s="15"/>
      <c r="H8253" s="15"/>
      <c r="I8253" s="15"/>
      <c r="J8253" s="17">
        <v>880</v>
      </c>
      <c r="K8253" s="15" t="s">
        <v>11098</v>
      </c>
      <c r="L8253" s="17">
        <v>1</v>
      </c>
      <c r="M8253" s="17">
        <v>3</v>
      </c>
      <c r="N8253" s="17">
        <v>1</v>
      </c>
      <c r="O8253" s="18">
        <v>4581.59</v>
      </c>
      <c r="P8253" s="18">
        <v>3755.4</v>
      </c>
      <c r="Q8253" s="18">
        <v>3207.11</v>
      </c>
      <c r="R8253" s="18">
        <v>2628.78</v>
      </c>
      <c r="S8253" s="18">
        <v>3115.48</v>
      </c>
      <c r="T8253" s="18">
        <v>2553.67</v>
      </c>
      <c r="U8253" s="16"/>
      <c r="V8253" s="16"/>
      <c r="W8253" s="16"/>
      <c r="X8253" s="19">
        <v>3.4249999999999998</v>
      </c>
      <c r="Y8253" s="20">
        <v>7.9609999999999993E-3</v>
      </c>
      <c r="Z8253" s="21">
        <v>4601004230323</v>
      </c>
    </row>
    <row r="8254" spans="1:26" ht="12" customHeight="1" outlineLevel="3" x14ac:dyDescent="0.2">
      <c r="A8254" s="14" t="s">
        <v>15767</v>
      </c>
      <c r="B8254" s="26" t="s">
        <v>15768</v>
      </c>
      <c r="C8254" s="52"/>
      <c r="D8254" s="55">
        <f t="shared" si="128"/>
        <v>0</v>
      </c>
      <c r="E8254" s="63" t="str">
        <f>HYPERLINK("https://www.sds-group.ru/product/kronshteyn-dlya-televizora-32-60-fiksirovannyy-rexant-38-0331/", "Инфо")</f>
        <v>Инфо</v>
      </c>
      <c r="F8254" s="16" t="s">
        <v>39</v>
      </c>
      <c r="G8254" s="15"/>
      <c r="H8254" s="15"/>
      <c r="I8254" s="15"/>
      <c r="J8254" s="17">
        <v>93</v>
      </c>
      <c r="K8254" s="15" t="s">
        <v>11098</v>
      </c>
      <c r="L8254" s="17">
        <v>1</v>
      </c>
      <c r="M8254" s="17">
        <v>10</v>
      </c>
      <c r="N8254" s="17">
        <v>1</v>
      </c>
      <c r="O8254" s="18">
        <v>1147.23</v>
      </c>
      <c r="P8254" s="18">
        <v>940.35</v>
      </c>
      <c r="Q8254" s="18">
        <v>803.06</v>
      </c>
      <c r="R8254" s="18">
        <v>658.25</v>
      </c>
      <c r="S8254" s="18">
        <v>780.12</v>
      </c>
      <c r="T8254" s="18">
        <v>639.44000000000005</v>
      </c>
      <c r="U8254" s="16"/>
      <c r="V8254" s="16"/>
      <c r="W8254" s="16"/>
      <c r="X8254" s="19">
        <v>0.751</v>
      </c>
      <c r="Y8254" s="20">
        <v>2.7550000000000001E-3</v>
      </c>
      <c r="Z8254" s="21">
        <v>4601004148185</v>
      </c>
    </row>
    <row r="8255" spans="1:26" ht="12" customHeight="1" outlineLevel="3" x14ac:dyDescent="0.2">
      <c r="A8255" s="14" t="s">
        <v>15769</v>
      </c>
      <c r="B8255" s="26" t="s">
        <v>15770</v>
      </c>
      <c r="C8255" s="52"/>
      <c r="D8255" s="55">
        <f t="shared" si="128"/>
        <v>0</v>
      </c>
      <c r="E8255" s="63" t="str">
        <f>HYPERLINK("https://www.sds-group.ru/product/kronshteyn-dlya-televizora-32-65-naklonno-povorotnyy-2-kolena-rexant-38-0081/", "Инфо")</f>
        <v>Инфо</v>
      </c>
      <c r="F8255" s="16" t="s">
        <v>39</v>
      </c>
      <c r="G8255" s="15"/>
      <c r="H8255" s="15"/>
      <c r="I8255" s="15"/>
      <c r="J8255" s="17">
        <v>113</v>
      </c>
      <c r="K8255" s="15"/>
      <c r="L8255" s="17">
        <v>1</v>
      </c>
      <c r="M8255" s="17">
        <v>6</v>
      </c>
      <c r="N8255" s="17">
        <v>1</v>
      </c>
      <c r="O8255" s="18">
        <v>3773.78</v>
      </c>
      <c r="P8255" s="18">
        <v>3093.26</v>
      </c>
      <c r="Q8255" s="18">
        <v>3207.71</v>
      </c>
      <c r="R8255" s="18">
        <v>2629.27</v>
      </c>
      <c r="S8255" s="18">
        <v>2566.17</v>
      </c>
      <c r="T8255" s="18">
        <v>2103.42</v>
      </c>
      <c r="U8255" s="16"/>
      <c r="V8255" s="16"/>
      <c r="W8255" s="16" t="s">
        <v>40</v>
      </c>
      <c r="X8255" s="19">
        <v>2.117</v>
      </c>
      <c r="Y8255" s="20">
        <v>8.0280000000000004E-3</v>
      </c>
      <c r="Z8255" s="21">
        <v>4601004249530</v>
      </c>
    </row>
    <row r="8256" spans="1:26" ht="12" customHeight="1" outlineLevel="3" x14ac:dyDescent="0.2">
      <c r="A8256" s="14" t="s">
        <v>15771</v>
      </c>
      <c r="B8256" s="26" t="s">
        <v>15772</v>
      </c>
      <c r="C8256" s="52"/>
      <c r="D8256" s="55">
        <f t="shared" si="128"/>
        <v>0</v>
      </c>
      <c r="E8256" s="63" t="str">
        <f>HYPERLINK("https://www.sds-group.ru/product/kronshteyn-dlya-televizora-32-65-naklonno-povorotnyy-dvoynoe-koleno-rexant-38-0334/", "Инфо")</f>
        <v>Инфо</v>
      </c>
      <c r="F8256" s="16" t="s">
        <v>39</v>
      </c>
      <c r="G8256" s="15"/>
      <c r="H8256" s="15"/>
      <c r="I8256" s="15"/>
      <c r="J8256" s="17">
        <v>720</v>
      </c>
      <c r="K8256" s="15" t="s">
        <v>11098</v>
      </c>
      <c r="L8256" s="17">
        <v>1</v>
      </c>
      <c r="M8256" s="17">
        <v>4</v>
      </c>
      <c r="N8256" s="17">
        <v>1</v>
      </c>
      <c r="O8256" s="18">
        <v>4826.34</v>
      </c>
      <c r="P8256" s="18">
        <v>3956.02</v>
      </c>
      <c r="Q8256" s="18">
        <v>3378.44</v>
      </c>
      <c r="R8256" s="18">
        <v>2769.21</v>
      </c>
      <c r="S8256" s="18">
        <v>3281.91</v>
      </c>
      <c r="T8256" s="18">
        <v>2690.09</v>
      </c>
      <c r="U8256" s="16"/>
      <c r="V8256" s="16"/>
      <c r="W8256" s="16"/>
      <c r="X8256" s="19">
        <v>3.069</v>
      </c>
      <c r="Y8256" s="20">
        <v>6.3810000000000004E-3</v>
      </c>
      <c r="Z8256" s="21">
        <v>4601004230354</v>
      </c>
    </row>
    <row r="8257" spans="1:26" ht="12" customHeight="1" outlineLevel="3" x14ac:dyDescent="0.2">
      <c r="A8257" s="40" t="s">
        <v>15773</v>
      </c>
      <c r="B8257" s="75" t="s">
        <v>15774</v>
      </c>
      <c r="C8257" s="51"/>
      <c r="D8257" s="54">
        <f t="shared" si="128"/>
        <v>0</v>
      </c>
      <c r="E8257" s="61" t="str">
        <f>HYPERLINK("https://www.sds-group.ru/product/kronshteyn-dlya-televizora-32-65-naklonnyy-s-bystroy-fiksatsiey-rexant-38-0339-1/", "Инфо")</f>
        <v>Инфо</v>
      </c>
      <c r="F8257" s="42" t="s">
        <v>39</v>
      </c>
      <c r="G8257" s="41" t="s">
        <v>40</v>
      </c>
      <c r="H8257" s="41"/>
      <c r="I8257" s="41"/>
      <c r="J8257" s="43">
        <v>858</v>
      </c>
      <c r="K8257" s="41"/>
      <c r="L8257" s="43">
        <v>1</v>
      </c>
      <c r="M8257" s="43">
        <v>10</v>
      </c>
      <c r="N8257" s="43">
        <v>1</v>
      </c>
      <c r="O8257" s="44">
        <v>2444.38</v>
      </c>
      <c r="P8257" s="44">
        <v>2003.59</v>
      </c>
      <c r="Q8257" s="44">
        <v>1711.07</v>
      </c>
      <c r="R8257" s="44">
        <v>1402.52</v>
      </c>
      <c r="S8257" s="44">
        <v>1662.18</v>
      </c>
      <c r="T8257" s="44">
        <v>1362.44</v>
      </c>
      <c r="U8257" s="42"/>
      <c r="V8257" s="42"/>
      <c r="W8257" s="42" t="s">
        <v>40</v>
      </c>
      <c r="X8257" s="45">
        <v>1.89</v>
      </c>
      <c r="Y8257" s="46">
        <v>3.8739999999999998E-3</v>
      </c>
      <c r="Z8257" s="21">
        <v>4601004308879</v>
      </c>
    </row>
    <row r="8258" spans="1:26" ht="12" customHeight="1" outlineLevel="3" x14ac:dyDescent="0.2">
      <c r="A8258" s="40" t="s">
        <v>15775</v>
      </c>
      <c r="B8258" s="75" t="s">
        <v>15776</v>
      </c>
      <c r="C8258" s="51"/>
      <c r="D8258" s="54">
        <f t="shared" si="128"/>
        <v>0</v>
      </c>
      <c r="E8258" s="61" t="str">
        <f>HYPERLINK("https://www.sds-group.ru/product/kronshteyn-dlya-televizora-32-65-potolochnyy-podvesnoy-rexant-38-0311-1/", "Инфо")</f>
        <v>Инфо</v>
      </c>
      <c r="F8258" s="42" t="s">
        <v>39</v>
      </c>
      <c r="G8258" s="41" t="s">
        <v>40</v>
      </c>
      <c r="H8258" s="41"/>
      <c r="I8258" s="41"/>
      <c r="J8258" s="43">
        <v>160</v>
      </c>
      <c r="K8258" s="41"/>
      <c r="L8258" s="43">
        <v>1</v>
      </c>
      <c r="M8258" s="43">
        <v>10</v>
      </c>
      <c r="N8258" s="43">
        <v>1</v>
      </c>
      <c r="O8258" s="44">
        <v>3002.98</v>
      </c>
      <c r="P8258" s="44">
        <v>2461.46</v>
      </c>
      <c r="Q8258" s="44">
        <v>2312.29</v>
      </c>
      <c r="R8258" s="44">
        <v>1895.32</v>
      </c>
      <c r="S8258" s="44">
        <v>2042.03</v>
      </c>
      <c r="T8258" s="44">
        <v>1673.8</v>
      </c>
      <c r="U8258" s="42"/>
      <c r="V8258" s="42"/>
      <c r="W8258" s="42" t="s">
        <v>40</v>
      </c>
      <c r="X8258" s="45">
        <v>2.5649999999999999</v>
      </c>
      <c r="Y8258" s="46">
        <v>7.0609999999999996E-3</v>
      </c>
      <c r="Z8258" s="21">
        <v>4601004308848</v>
      </c>
    </row>
    <row r="8259" spans="1:26" ht="12" customHeight="1" outlineLevel="3" x14ac:dyDescent="0.2">
      <c r="A8259" s="14" t="s">
        <v>15777</v>
      </c>
      <c r="B8259" s="26" t="s">
        <v>15778</v>
      </c>
      <c r="C8259" s="52"/>
      <c r="D8259" s="55">
        <f t="shared" si="128"/>
        <v>0</v>
      </c>
      <c r="E8259" s="63" t="str">
        <f>HYPERLINK("https://www.sds-group.ru/product/kronshteyn-dlya-televizora-32-65-fiksirovannyy-seriya-home-rexant-38-0335/", "Инфо")</f>
        <v>Инфо</v>
      </c>
      <c r="F8259" s="16" t="s">
        <v>39</v>
      </c>
      <c r="G8259" s="15"/>
      <c r="H8259" s="15"/>
      <c r="I8259" s="15"/>
      <c r="J8259" s="17">
        <v>430</v>
      </c>
      <c r="K8259" s="15" t="s">
        <v>11098</v>
      </c>
      <c r="L8259" s="17">
        <v>1</v>
      </c>
      <c r="M8259" s="17">
        <v>10</v>
      </c>
      <c r="N8259" s="17">
        <v>1</v>
      </c>
      <c r="O8259" s="18">
        <v>1267.75</v>
      </c>
      <c r="P8259" s="18">
        <v>1039.1400000000001</v>
      </c>
      <c r="Q8259" s="18">
        <v>1077.5899999999999</v>
      </c>
      <c r="R8259" s="18">
        <v>883.27</v>
      </c>
      <c r="S8259" s="18">
        <v>862.07</v>
      </c>
      <c r="T8259" s="18">
        <v>706.61</v>
      </c>
      <c r="U8259" s="16"/>
      <c r="V8259" s="16"/>
      <c r="W8259" s="16" t="s">
        <v>40</v>
      </c>
      <c r="X8259" s="19">
        <v>1.1930000000000001</v>
      </c>
      <c r="Y8259" s="20">
        <v>2.2079999999999999E-3</v>
      </c>
      <c r="Z8259" s="21">
        <v>4601004230361</v>
      </c>
    </row>
    <row r="8260" spans="1:26" ht="12" customHeight="1" outlineLevel="3" x14ac:dyDescent="0.2">
      <c r="A8260" s="40" t="s">
        <v>15779</v>
      </c>
      <c r="B8260" s="75" t="s">
        <v>15780</v>
      </c>
      <c r="C8260" s="51"/>
      <c r="D8260" s="54">
        <f t="shared" si="128"/>
        <v>0</v>
      </c>
      <c r="E8260" s="61" t="str">
        <f>HYPERLINK("https://www.sds-group.ru/product/kronshteyn-dlya-televizora-32-70-naklonno-povorotnyy-2-kolena-rexant-38-0081-1/", "Инфо")</f>
        <v>Инфо</v>
      </c>
      <c r="F8260" s="42" t="s">
        <v>39</v>
      </c>
      <c r="G8260" s="41" t="s">
        <v>40</v>
      </c>
      <c r="H8260" s="41"/>
      <c r="I8260" s="41"/>
      <c r="J8260" s="43">
        <v>63</v>
      </c>
      <c r="K8260" s="41"/>
      <c r="L8260" s="43">
        <v>1</v>
      </c>
      <c r="M8260" s="43">
        <v>10</v>
      </c>
      <c r="N8260" s="43">
        <v>1</v>
      </c>
      <c r="O8260" s="44">
        <v>1989.62</v>
      </c>
      <c r="P8260" s="44">
        <v>1630.84</v>
      </c>
      <c r="Q8260" s="44">
        <v>1532.01</v>
      </c>
      <c r="R8260" s="44">
        <v>1255.75</v>
      </c>
      <c r="S8260" s="44">
        <v>1352.94</v>
      </c>
      <c r="T8260" s="44">
        <v>1108.97</v>
      </c>
      <c r="U8260" s="42"/>
      <c r="V8260" s="42"/>
      <c r="W8260" s="42" t="s">
        <v>40</v>
      </c>
      <c r="X8260" s="45">
        <v>1.7969999999999999</v>
      </c>
      <c r="Y8260" s="46">
        <v>5.9820000000000003E-3</v>
      </c>
      <c r="Z8260" s="21">
        <v>4601004310469</v>
      </c>
    </row>
    <row r="8261" spans="1:26" ht="12" customHeight="1" outlineLevel="3" x14ac:dyDescent="0.2">
      <c r="A8261" s="14" t="s">
        <v>15781</v>
      </c>
      <c r="B8261" s="26" t="s">
        <v>15782</v>
      </c>
      <c r="C8261" s="52"/>
      <c r="D8261" s="55">
        <f t="shared" si="128"/>
        <v>0</v>
      </c>
      <c r="E8261" s="63" t="str">
        <f>HYPERLINK("https://www.sds-group.ru/product/kronshteyn-dlya-televizora-32-70-naklonno-povorotnyy-dvoynoe-koleno-rexant-38-0096/", "Инфо")</f>
        <v>Инфо</v>
      </c>
      <c r="F8261" s="16" t="s">
        <v>39</v>
      </c>
      <c r="G8261" s="15"/>
      <c r="H8261" s="15"/>
      <c r="I8261" s="15"/>
      <c r="J8261" s="17">
        <v>141</v>
      </c>
      <c r="K8261" s="15" t="s">
        <v>7336</v>
      </c>
      <c r="L8261" s="17">
        <v>1</v>
      </c>
      <c r="M8261" s="17">
        <v>3</v>
      </c>
      <c r="N8261" s="17">
        <v>1</v>
      </c>
      <c r="O8261" s="18">
        <v>4635.49</v>
      </c>
      <c r="P8261" s="18">
        <v>3799.58</v>
      </c>
      <c r="Q8261" s="18">
        <v>3244.84</v>
      </c>
      <c r="R8261" s="18">
        <v>2659.7</v>
      </c>
      <c r="S8261" s="18">
        <v>3152.13</v>
      </c>
      <c r="T8261" s="18">
        <v>2583.71</v>
      </c>
      <c r="U8261" s="16"/>
      <c r="V8261" s="16"/>
      <c r="W8261" s="16"/>
      <c r="X8261" s="19">
        <v>4.25</v>
      </c>
      <c r="Y8261" s="20">
        <v>1.0576E-2</v>
      </c>
      <c r="Z8261" s="21">
        <v>4601004230385</v>
      </c>
    </row>
    <row r="8262" spans="1:26" ht="12" customHeight="1" outlineLevel="3" x14ac:dyDescent="0.2">
      <c r="A8262" s="40" t="s">
        <v>15783</v>
      </c>
      <c r="B8262" s="75" t="s">
        <v>15782</v>
      </c>
      <c r="C8262" s="51"/>
      <c r="D8262" s="54">
        <f t="shared" si="128"/>
        <v>0</v>
      </c>
      <c r="E8262" s="61" t="str">
        <f>HYPERLINK("https://www.sds-group.ru/product/kronshteyn-dlya-televizora-32-70-naklonno-povorotnyy-dvoynoe-koleno-rexant-38-0334-1/", "Инфо")</f>
        <v>Инфо</v>
      </c>
      <c r="F8262" s="42" t="s">
        <v>39</v>
      </c>
      <c r="G8262" s="41" t="s">
        <v>40</v>
      </c>
      <c r="H8262" s="41"/>
      <c r="I8262" s="41"/>
      <c r="J8262" s="43">
        <v>362</v>
      </c>
      <c r="K8262" s="41"/>
      <c r="L8262" s="43">
        <v>1</v>
      </c>
      <c r="M8262" s="43">
        <v>5</v>
      </c>
      <c r="N8262" s="43">
        <v>1</v>
      </c>
      <c r="O8262" s="44">
        <v>3995.14</v>
      </c>
      <c r="P8262" s="44">
        <v>3274.7</v>
      </c>
      <c r="Q8262" s="44">
        <v>2916.45</v>
      </c>
      <c r="R8262" s="44">
        <v>2390.5300000000002</v>
      </c>
      <c r="S8262" s="44">
        <v>2716.7</v>
      </c>
      <c r="T8262" s="44">
        <v>2226.8000000000002</v>
      </c>
      <c r="U8262" s="42"/>
      <c r="V8262" s="42"/>
      <c r="W8262" s="42" t="s">
        <v>40</v>
      </c>
      <c r="X8262" s="45">
        <v>4.024</v>
      </c>
      <c r="Y8262" s="46">
        <v>9.3659999999999993E-3</v>
      </c>
      <c r="Z8262" s="21">
        <v>4601004310476</v>
      </c>
    </row>
    <row r="8263" spans="1:26" ht="12" customHeight="1" outlineLevel="3" x14ac:dyDescent="0.2">
      <c r="A8263" s="14" t="s">
        <v>15784</v>
      </c>
      <c r="B8263" s="26" t="s">
        <v>15785</v>
      </c>
      <c r="C8263" s="52"/>
      <c r="D8263" s="55">
        <f t="shared" si="128"/>
        <v>0</v>
      </c>
      <c r="E8263" s="63" t="str">
        <f>HYPERLINK("https://www.sds-group.ru/product/kronshteyn-dlya-televizora-32-70-naklonnyy-rexant-38-0336/", "Инфо")</f>
        <v>Инфо</v>
      </c>
      <c r="F8263" s="16" t="s">
        <v>39</v>
      </c>
      <c r="G8263" s="15"/>
      <c r="H8263" s="15"/>
      <c r="I8263" s="15"/>
      <c r="J8263" s="17">
        <v>932</v>
      </c>
      <c r="K8263" s="15" t="s">
        <v>11098</v>
      </c>
      <c r="L8263" s="17">
        <v>1</v>
      </c>
      <c r="M8263" s="17">
        <v>10</v>
      </c>
      <c r="N8263" s="17">
        <v>1</v>
      </c>
      <c r="O8263" s="18">
        <v>1832.63</v>
      </c>
      <c r="P8263" s="18">
        <v>1502.16</v>
      </c>
      <c r="Q8263" s="18">
        <v>1282.8399999999999</v>
      </c>
      <c r="R8263" s="18">
        <v>1051.51</v>
      </c>
      <c r="S8263" s="18">
        <v>1246.19</v>
      </c>
      <c r="T8263" s="18">
        <v>1021.47</v>
      </c>
      <c r="U8263" s="16"/>
      <c r="V8263" s="16"/>
      <c r="W8263" s="16"/>
      <c r="X8263" s="19">
        <v>1.1890000000000001</v>
      </c>
      <c r="Y8263" s="20">
        <v>4.0299999999999997E-3</v>
      </c>
      <c r="Z8263" s="21">
        <v>4601004230378</v>
      </c>
    </row>
    <row r="8264" spans="1:26" ht="12" customHeight="1" outlineLevel="3" x14ac:dyDescent="0.2">
      <c r="A8264" s="40" t="s">
        <v>15786</v>
      </c>
      <c r="B8264" s="75" t="s">
        <v>15785</v>
      </c>
      <c r="C8264" s="51"/>
      <c r="D8264" s="54">
        <f t="shared" si="128"/>
        <v>0</v>
      </c>
      <c r="E8264" s="61" t="str">
        <f>HYPERLINK("https://www.sds-group.ru/product/kronshteyn-dlya-televizora-32-70-naklonnyy-rexant-38-0336-1/", "Инфо")</f>
        <v>Инфо</v>
      </c>
      <c r="F8264" s="42" t="s">
        <v>39</v>
      </c>
      <c r="G8264" s="41" t="s">
        <v>40</v>
      </c>
      <c r="H8264" s="41"/>
      <c r="I8264" s="41"/>
      <c r="J8264" s="42" t="s">
        <v>100</v>
      </c>
      <c r="K8264" s="41"/>
      <c r="L8264" s="43">
        <v>1</v>
      </c>
      <c r="M8264" s="43">
        <v>10</v>
      </c>
      <c r="N8264" s="43">
        <v>1</v>
      </c>
      <c r="O8264" s="44">
        <v>1487.18</v>
      </c>
      <c r="P8264" s="44">
        <v>1219</v>
      </c>
      <c r="Q8264" s="44">
        <v>1174.8699999999999</v>
      </c>
      <c r="R8264" s="44">
        <v>963.01</v>
      </c>
      <c r="S8264" s="44">
        <v>1011.28</v>
      </c>
      <c r="T8264" s="44">
        <v>828.92</v>
      </c>
      <c r="U8264" s="42"/>
      <c r="V8264" s="42"/>
      <c r="W8264" s="42" t="s">
        <v>40</v>
      </c>
      <c r="X8264" s="45">
        <v>1.526</v>
      </c>
      <c r="Y8264" s="46">
        <v>4.2929999999999999E-3</v>
      </c>
      <c r="Z8264" s="21">
        <v>4601004308794</v>
      </c>
    </row>
    <row r="8265" spans="1:26" ht="12" customHeight="1" outlineLevel="3" x14ac:dyDescent="0.2">
      <c r="A8265" s="14" t="s">
        <v>15787</v>
      </c>
      <c r="B8265" s="26" t="s">
        <v>15788</v>
      </c>
      <c r="C8265" s="52"/>
      <c r="D8265" s="55">
        <f t="shared" ref="D8265:D8328" si="129">C8265*(O8265-O8265*$G$3)</f>
        <v>0</v>
      </c>
      <c r="E8265" s="63" t="str">
        <f>HYPERLINK("https://www.sds-group.ru/product/kronshteyn-dlya-televizora-32-70-fiksirovannyy-rexant-38-0340/", "Инфо")</f>
        <v>Инфо</v>
      </c>
      <c r="F8265" s="16" t="s">
        <v>39</v>
      </c>
      <c r="G8265" s="15"/>
      <c r="H8265" s="15"/>
      <c r="I8265" s="15"/>
      <c r="J8265" s="17">
        <v>584</v>
      </c>
      <c r="K8265" s="15" t="s">
        <v>11098</v>
      </c>
      <c r="L8265" s="17">
        <v>1</v>
      </c>
      <c r="M8265" s="17">
        <v>10</v>
      </c>
      <c r="N8265" s="17">
        <v>1</v>
      </c>
      <c r="O8265" s="18">
        <v>1455.33</v>
      </c>
      <c r="P8265" s="18">
        <v>1192.8900000000001</v>
      </c>
      <c r="Q8265" s="18">
        <v>1018.73</v>
      </c>
      <c r="R8265" s="18">
        <v>835.02</v>
      </c>
      <c r="S8265" s="18">
        <v>989.62</v>
      </c>
      <c r="T8265" s="18">
        <v>811.16</v>
      </c>
      <c r="U8265" s="16"/>
      <c r="V8265" s="16"/>
      <c r="W8265" s="16"/>
      <c r="X8265" s="19">
        <v>1.111</v>
      </c>
      <c r="Y8265" s="20">
        <v>3.852E-3</v>
      </c>
      <c r="Z8265" s="21">
        <v>4601004062658</v>
      </c>
    </row>
    <row r="8266" spans="1:26" ht="12" customHeight="1" outlineLevel="3" x14ac:dyDescent="0.2">
      <c r="A8266" s="40" t="s">
        <v>15789</v>
      </c>
      <c r="B8266" s="75" t="s">
        <v>15790</v>
      </c>
      <c r="C8266" s="51"/>
      <c r="D8266" s="54">
        <f t="shared" si="129"/>
        <v>0</v>
      </c>
      <c r="E8266" s="61" t="str">
        <f>HYPERLINK("https://www.sds-group.ru/product/kronshteyn-dlya-televizora-32-70-fiksirovannyy-s-bystroy-fiksatsiey-rexant-38-0337-1/", "Инфо")</f>
        <v>Инфо</v>
      </c>
      <c r="F8266" s="42" t="s">
        <v>39</v>
      </c>
      <c r="G8266" s="41" t="s">
        <v>40</v>
      </c>
      <c r="H8266" s="41"/>
      <c r="I8266" s="41"/>
      <c r="J8266" s="42" t="s">
        <v>100</v>
      </c>
      <c r="K8266" s="41"/>
      <c r="L8266" s="43">
        <v>1</v>
      </c>
      <c r="M8266" s="43">
        <v>10</v>
      </c>
      <c r="N8266" s="43">
        <v>1</v>
      </c>
      <c r="O8266" s="44">
        <v>1615.44</v>
      </c>
      <c r="P8266" s="44">
        <v>1324.13</v>
      </c>
      <c r="Q8266" s="44">
        <v>1130.81</v>
      </c>
      <c r="R8266" s="44">
        <v>926.89</v>
      </c>
      <c r="S8266" s="44">
        <v>1098.5</v>
      </c>
      <c r="T8266" s="44">
        <v>900.41</v>
      </c>
      <c r="U8266" s="42"/>
      <c r="V8266" s="42"/>
      <c r="W8266" s="42" t="s">
        <v>40</v>
      </c>
      <c r="X8266" s="45">
        <v>1.421</v>
      </c>
      <c r="Y8266" s="46">
        <v>3.003E-3</v>
      </c>
      <c r="Z8266" s="21">
        <v>4601004308893</v>
      </c>
    </row>
    <row r="8267" spans="1:26" ht="12" customHeight="1" outlineLevel="3" x14ac:dyDescent="0.2">
      <c r="A8267" s="14" t="s">
        <v>15791</v>
      </c>
      <c r="B8267" s="26" t="s">
        <v>15792</v>
      </c>
      <c r="C8267" s="52"/>
      <c r="D8267" s="55">
        <f t="shared" si="129"/>
        <v>0</v>
      </c>
      <c r="E8267" s="63" t="str">
        <f>HYPERLINK("https://www.sds-group.ru/product/kronshteyn-dlya-televizora-32-75-motorizirovannyy-seriya-profi-rexant-38-0385/", "Инфо")</f>
        <v>Инфо</v>
      </c>
      <c r="F8267" s="16" t="s">
        <v>39</v>
      </c>
      <c r="G8267" s="15"/>
      <c r="H8267" s="15"/>
      <c r="I8267" s="15"/>
      <c r="J8267" s="17">
        <v>104</v>
      </c>
      <c r="K8267" s="15"/>
      <c r="L8267" s="17">
        <v>1</v>
      </c>
      <c r="M8267" s="17">
        <v>2</v>
      </c>
      <c r="N8267" s="17">
        <v>1</v>
      </c>
      <c r="O8267" s="18">
        <v>31747.69</v>
      </c>
      <c r="P8267" s="18">
        <v>26022.7</v>
      </c>
      <c r="Q8267" s="18">
        <v>22223.38</v>
      </c>
      <c r="R8267" s="18">
        <v>18215.89</v>
      </c>
      <c r="S8267" s="18">
        <v>21588.43</v>
      </c>
      <c r="T8267" s="18">
        <v>17695.43</v>
      </c>
      <c r="U8267" s="16"/>
      <c r="V8267" s="16"/>
      <c r="W8267" s="16"/>
      <c r="X8267" s="19">
        <v>8.9450000000000003</v>
      </c>
      <c r="Y8267" s="20">
        <v>3.4254E-2</v>
      </c>
      <c r="Z8267" s="21">
        <v>4601004277304</v>
      </c>
    </row>
    <row r="8268" spans="1:26" ht="12" customHeight="1" outlineLevel="3" x14ac:dyDescent="0.2">
      <c r="A8268" s="14" t="s">
        <v>15793</v>
      </c>
      <c r="B8268" s="26" t="s">
        <v>15794</v>
      </c>
      <c r="C8268" s="52"/>
      <c r="D8268" s="55">
        <f t="shared" si="129"/>
        <v>0</v>
      </c>
      <c r="E8268" s="63" t="str">
        <f>HYPERLINK("https://www.sds-group.ru/product/kronshteyn-dlya-televizora-32-75-naklonno-povorotnyy-dvoynoe-koleno-rexant-38-0370/", "Инфо")</f>
        <v>Инфо</v>
      </c>
      <c r="F8268" s="16" t="s">
        <v>39</v>
      </c>
      <c r="G8268" s="15"/>
      <c r="H8268" s="15"/>
      <c r="I8268" s="15"/>
      <c r="J8268" s="17">
        <v>526</v>
      </c>
      <c r="K8268" s="15" t="s">
        <v>11098</v>
      </c>
      <c r="L8268" s="17">
        <v>1</v>
      </c>
      <c r="M8268" s="17">
        <v>4</v>
      </c>
      <c r="N8268" s="17">
        <v>1</v>
      </c>
      <c r="O8268" s="18">
        <v>4657.05</v>
      </c>
      <c r="P8268" s="18">
        <v>3817.25</v>
      </c>
      <c r="Q8268" s="18">
        <v>3958.49</v>
      </c>
      <c r="R8268" s="18">
        <v>3244.66</v>
      </c>
      <c r="S8268" s="18">
        <v>3166.79</v>
      </c>
      <c r="T8268" s="18">
        <v>2595.73</v>
      </c>
      <c r="U8268" s="16"/>
      <c r="V8268" s="16"/>
      <c r="W8268" s="16" t="s">
        <v>40</v>
      </c>
      <c r="X8268" s="19">
        <v>3.6579999999999999</v>
      </c>
      <c r="Y8268" s="20">
        <v>9.1839999999999995E-3</v>
      </c>
      <c r="Z8268" s="21">
        <v>4601004230392</v>
      </c>
    </row>
    <row r="8269" spans="1:26" ht="12" customHeight="1" outlineLevel="3" x14ac:dyDescent="0.2">
      <c r="A8269" s="40" t="s">
        <v>15795</v>
      </c>
      <c r="B8269" s="75" t="s">
        <v>15796</v>
      </c>
      <c r="C8269" s="51"/>
      <c r="D8269" s="54">
        <f t="shared" si="129"/>
        <v>0</v>
      </c>
      <c r="E8269" s="61" t="str">
        <f>HYPERLINK("https://www.sds-group.ru/product/kronshteyn-dlya-televizora-32-75-naklonnyy-rexant-38-0090-1/", "Инфо")</f>
        <v>Инфо</v>
      </c>
      <c r="F8269" s="42" t="s">
        <v>39</v>
      </c>
      <c r="G8269" s="41" t="s">
        <v>40</v>
      </c>
      <c r="H8269" s="41"/>
      <c r="I8269" s="41"/>
      <c r="J8269" s="47">
        <v>1234</v>
      </c>
      <c r="K8269" s="41"/>
      <c r="L8269" s="43">
        <v>1</v>
      </c>
      <c r="M8269" s="43">
        <v>10</v>
      </c>
      <c r="N8269" s="43">
        <v>1</v>
      </c>
      <c r="O8269" s="44">
        <v>1496.72</v>
      </c>
      <c r="P8269" s="44">
        <v>1226.82</v>
      </c>
      <c r="Q8269" s="44">
        <v>1182.4100000000001</v>
      </c>
      <c r="R8269" s="44">
        <v>969.19</v>
      </c>
      <c r="S8269" s="44">
        <v>1017.77</v>
      </c>
      <c r="T8269" s="44">
        <v>834.24</v>
      </c>
      <c r="U8269" s="42"/>
      <c r="V8269" s="42"/>
      <c r="W8269" s="42" t="s">
        <v>40</v>
      </c>
      <c r="X8269" s="45">
        <v>1.393</v>
      </c>
      <c r="Y8269" s="46">
        <v>4.6759999999999996E-3</v>
      </c>
      <c r="Z8269" s="21">
        <v>4601004308787</v>
      </c>
    </row>
    <row r="8270" spans="1:26" ht="12" customHeight="1" outlineLevel="3" x14ac:dyDescent="0.2">
      <c r="A8270" s="14" t="s">
        <v>15797</v>
      </c>
      <c r="B8270" s="26" t="s">
        <v>15798</v>
      </c>
      <c r="C8270" s="52"/>
      <c r="D8270" s="55">
        <f t="shared" si="129"/>
        <v>0</v>
      </c>
      <c r="E8270" s="63" t="str">
        <f>HYPERLINK("https://www.sds-group.ru/product/kronshteyn-dlya-televizora-32-80-naklonno-povorotnyy-dvoynoe-koleno-rexant-38-0350/", "Инфо")</f>
        <v>Инфо</v>
      </c>
      <c r="F8270" s="16" t="s">
        <v>39</v>
      </c>
      <c r="G8270" s="15"/>
      <c r="H8270" s="15"/>
      <c r="I8270" s="15"/>
      <c r="J8270" s="17">
        <v>513</v>
      </c>
      <c r="K8270" s="15"/>
      <c r="L8270" s="17">
        <v>1</v>
      </c>
      <c r="M8270" s="17">
        <v>3</v>
      </c>
      <c r="N8270" s="17">
        <v>1</v>
      </c>
      <c r="O8270" s="18">
        <v>7632.38</v>
      </c>
      <c r="P8270" s="18">
        <v>6256.05</v>
      </c>
      <c r="Q8270" s="18">
        <v>5342.67</v>
      </c>
      <c r="R8270" s="18">
        <v>4379.24</v>
      </c>
      <c r="S8270" s="18">
        <v>5190.0200000000004</v>
      </c>
      <c r="T8270" s="18">
        <v>4254.1099999999997</v>
      </c>
      <c r="U8270" s="16"/>
      <c r="V8270" s="16"/>
      <c r="W8270" s="16"/>
      <c r="X8270" s="19">
        <v>6.2069999999999999</v>
      </c>
      <c r="Y8270" s="20">
        <v>7.8270000000000006E-3</v>
      </c>
      <c r="Z8270" s="21">
        <v>4601004290396</v>
      </c>
    </row>
    <row r="8271" spans="1:26" ht="12" customHeight="1" outlineLevel="3" x14ac:dyDescent="0.2">
      <c r="A8271" s="40" t="s">
        <v>15799</v>
      </c>
      <c r="B8271" s="75" t="s">
        <v>15800</v>
      </c>
      <c r="C8271" s="51"/>
      <c r="D8271" s="54">
        <f t="shared" si="129"/>
        <v>0</v>
      </c>
      <c r="E8271" s="61" t="str">
        <f>HYPERLINK("https://www.sds-group.ru/product/kronshteyn-dlya-televizora-32-85-naklonnyy-rexant-38-0344-1/", "Инфо")</f>
        <v>Инфо</v>
      </c>
      <c r="F8271" s="42" t="s">
        <v>39</v>
      </c>
      <c r="G8271" s="41" t="s">
        <v>40</v>
      </c>
      <c r="H8271" s="41"/>
      <c r="I8271" s="41"/>
      <c r="J8271" s="43">
        <v>377</v>
      </c>
      <c r="K8271" s="41"/>
      <c r="L8271" s="43">
        <v>1</v>
      </c>
      <c r="M8271" s="43">
        <v>10</v>
      </c>
      <c r="N8271" s="43">
        <v>1</v>
      </c>
      <c r="O8271" s="44">
        <v>2308.6799999999998</v>
      </c>
      <c r="P8271" s="44">
        <v>1892.36</v>
      </c>
      <c r="Q8271" s="44">
        <v>1777.68</v>
      </c>
      <c r="R8271" s="44">
        <v>1457.11</v>
      </c>
      <c r="S8271" s="44">
        <v>1569.9</v>
      </c>
      <c r="T8271" s="44">
        <v>1286.8</v>
      </c>
      <c r="U8271" s="42"/>
      <c r="V8271" s="42"/>
      <c r="W8271" s="42" t="s">
        <v>40</v>
      </c>
      <c r="X8271" s="45">
        <v>2.286</v>
      </c>
      <c r="Y8271" s="46">
        <v>5.8900000000000003E-3</v>
      </c>
      <c r="Z8271" s="21">
        <v>4601004310506</v>
      </c>
    </row>
    <row r="8272" spans="1:26" ht="12" customHeight="1" outlineLevel="3" x14ac:dyDescent="0.2">
      <c r="A8272" s="40" t="s">
        <v>15801</v>
      </c>
      <c r="B8272" s="75" t="s">
        <v>15802</v>
      </c>
      <c r="C8272" s="51"/>
      <c r="D8272" s="54">
        <f t="shared" si="129"/>
        <v>0</v>
      </c>
      <c r="E8272" s="61" t="str">
        <f>HYPERLINK("https://www.sds-group.ru/product/kronshteyn-dlya-televizora-32-85-potolochnyy-podvesnoy-rexant-38-0324/", "Инфо")</f>
        <v>Инфо</v>
      </c>
      <c r="F8272" s="42" t="s">
        <v>39</v>
      </c>
      <c r="G8272" s="41" t="s">
        <v>40</v>
      </c>
      <c r="H8272" s="41"/>
      <c r="I8272" s="41"/>
      <c r="J8272" s="43">
        <v>187</v>
      </c>
      <c r="K8272" s="41"/>
      <c r="L8272" s="43">
        <v>1</v>
      </c>
      <c r="M8272" s="43">
        <v>5</v>
      </c>
      <c r="N8272" s="43">
        <v>1</v>
      </c>
      <c r="O8272" s="44">
        <v>5521.54</v>
      </c>
      <c r="P8272" s="44">
        <v>4525.8500000000004</v>
      </c>
      <c r="Q8272" s="44">
        <v>3865.08</v>
      </c>
      <c r="R8272" s="44">
        <v>3168.1</v>
      </c>
      <c r="S8272" s="44">
        <v>3754.65</v>
      </c>
      <c r="T8272" s="44">
        <v>3077.58</v>
      </c>
      <c r="U8272" s="42"/>
      <c r="V8272" s="42"/>
      <c r="W8272" s="42" t="s">
        <v>40</v>
      </c>
      <c r="X8272" s="45">
        <v>4.2889999999999997</v>
      </c>
      <c r="Y8272" s="46">
        <v>1.7010000000000001E-2</v>
      </c>
      <c r="Z8272" s="21">
        <v>4601004308855</v>
      </c>
    </row>
    <row r="8273" spans="1:26" ht="12" customHeight="1" outlineLevel="3" x14ac:dyDescent="0.2">
      <c r="A8273" s="14" t="s">
        <v>15803</v>
      </c>
      <c r="B8273" s="26" t="s">
        <v>15804</v>
      </c>
      <c r="C8273" s="52"/>
      <c r="D8273" s="55">
        <f t="shared" si="129"/>
        <v>0</v>
      </c>
      <c r="E8273" s="63" t="str">
        <f>HYPERLINK("https://www.sds-group.ru/product/kronshteyn-dlya-televizora-37-75-naklonnyy-s-bystroy-fiksatsiey-seriya-home-rexant-38-0313/", "Инфо")</f>
        <v>Инфо</v>
      </c>
      <c r="F8273" s="16" t="s">
        <v>39</v>
      </c>
      <c r="G8273" s="15"/>
      <c r="H8273" s="15"/>
      <c r="I8273" s="15"/>
      <c r="J8273" s="22">
        <v>1613</v>
      </c>
      <c r="K8273" s="15" t="s">
        <v>11098</v>
      </c>
      <c r="L8273" s="17">
        <v>1</v>
      </c>
      <c r="M8273" s="17">
        <v>10</v>
      </c>
      <c r="N8273" s="17">
        <v>1</v>
      </c>
      <c r="O8273" s="18">
        <v>1715.57</v>
      </c>
      <c r="P8273" s="18">
        <v>1406.2</v>
      </c>
      <c r="Q8273" s="18">
        <v>1200.9000000000001</v>
      </c>
      <c r="R8273" s="18">
        <v>984.34</v>
      </c>
      <c r="S8273" s="18">
        <v>1166.5899999999999</v>
      </c>
      <c r="T8273" s="18">
        <v>956.22</v>
      </c>
      <c r="U8273" s="16"/>
      <c r="V8273" s="16"/>
      <c r="W8273" s="16"/>
      <c r="X8273" s="19">
        <v>1.2090000000000001</v>
      </c>
      <c r="Y8273" s="20">
        <v>3.9179999999999996E-3</v>
      </c>
      <c r="Z8273" s="21">
        <v>4601004277809</v>
      </c>
    </row>
    <row r="8274" spans="1:26" ht="12" customHeight="1" outlineLevel="3" x14ac:dyDescent="0.2">
      <c r="A8274" s="14" t="s">
        <v>15805</v>
      </c>
      <c r="B8274" s="26" t="s">
        <v>15806</v>
      </c>
      <c r="C8274" s="52"/>
      <c r="D8274" s="55">
        <f t="shared" si="129"/>
        <v>0</v>
      </c>
      <c r="E8274" s="63" t="str">
        <f>HYPERLINK("https://www.sds-group.ru/product/kronshteyn-dlya-televizora-37-70-naklonno-povorotnyy-2-kolena-seriya-home-rexant-38-0374/", "Инфо")</f>
        <v>Инфо</v>
      </c>
      <c r="F8274" s="16" t="s">
        <v>39</v>
      </c>
      <c r="G8274" s="15"/>
      <c r="H8274" s="15"/>
      <c r="I8274" s="15"/>
      <c r="J8274" s="16" t="s">
        <v>100</v>
      </c>
      <c r="K8274" s="15"/>
      <c r="L8274" s="17">
        <v>1</v>
      </c>
      <c r="M8274" s="17">
        <v>4</v>
      </c>
      <c r="N8274" s="17">
        <v>1</v>
      </c>
      <c r="O8274" s="18">
        <v>4333.6400000000003</v>
      </c>
      <c r="P8274" s="18">
        <v>3552.16</v>
      </c>
      <c r="Q8274" s="18">
        <v>3033.55</v>
      </c>
      <c r="R8274" s="18">
        <v>2486.52</v>
      </c>
      <c r="S8274" s="18">
        <v>2946.88</v>
      </c>
      <c r="T8274" s="18">
        <v>2415.48</v>
      </c>
      <c r="U8274" s="16"/>
      <c r="V8274" s="16"/>
      <c r="W8274" s="16"/>
      <c r="X8274" s="19">
        <v>3.4409999999999998</v>
      </c>
      <c r="Y8274" s="20">
        <v>1.3195E-2</v>
      </c>
      <c r="Z8274" s="21">
        <v>4601004249523</v>
      </c>
    </row>
    <row r="8275" spans="1:26" ht="12" customHeight="1" outlineLevel="3" x14ac:dyDescent="0.2">
      <c r="A8275" s="14" t="s">
        <v>15807</v>
      </c>
      <c r="B8275" s="26" t="s">
        <v>15808</v>
      </c>
      <c r="C8275" s="52"/>
      <c r="D8275" s="55">
        <f t="shared" si="129"/>
        <v>0</v>
      </c>
      <c r="E8275" s="63" t="str">
        <f>HYPERLINK("https://www.sds-group.ru/product/kronshteyn-dlya-televizora-37-70-naklonno-povorotnyy-dva-dvoynyh-kolena-razdelno-seriya-home-38-0371/", "Инфо")</f>
        <v>Инфо</v>
      </c>
      <c r="F8275" s="16" t="s">
        <v>39</v>
      </c>
      <c r="G8275" s="15"/>
      <c r="H8275" s="15"/>
      <c r="I8275" s="15"/>
      <c r="J8275" s="17">
        <v>152</v>
      </c>
      <c r="K8275" s="15"/>
      <c r="L8275" s="17">
        <v>1</v>
      </c>
      <c r="M8275" s="17">
        <v>3</v>
      </c>
      <c r="N8275" s="17">
        <v>1</v>
      </c>
      <c r="O8275" s="18">
        <v>7337.12</v>
      </c>
      <c r="P8275" s="18">
        <v>6014.03</v>
      </c>
      <c r="Q8275" s="18">
        <v>6236.55</v>
      </c>
      <c r="R8275" s="18">
        <v>5111.93</v>
      </c>
      <c r="S8275" s="18">
        <v>4989.24</v>
      </c>
      <c r="T8275" s="18">
        <v>4089.54</v>
      </c>
      <c r="U8275" s="16"/>
      <c r="V8275" s="16"/>
      <c r="W8275" s="16" t="s">
        <v>40</v>
      </c>
      <c r="X8275" s="19">
        <v>5.0670000000000002</v>
      </c>
      <c r="Y8275" s="20">
        <v>1.1375E-2</v>
      </c>
      <c r="Z8275" s="21">
        <v>4601004230408</v>
      </c>
    </row>
    <row r="8276" spans="1:26" ht="12" customHeight="1" outlineLevel="3" x14ac:dyDescent="0.2">
      <c r="A8276" s="14" t="s">
        <v>15809</v>
      </c>
      <c r="B8276" s="26" t="s">
        <v>15810</v>
      </c>
      <c r="C8276" s="52"/>
      <c r="D8276" s="55">
        <f t="shared" si="129"/>
        <v>0</v>
      </c>
      <c r="E8276" s="63" t="str">
        <f>HYPERLINK("https://www.sds-group.ru/product/kronshteyn-dlya-televizora-37-70-naklonnyy-s-bystroy-fiksatsiey-seriya-home-rexant-38-0373/", "Инфо")</f>
        <v>Инфо</v>
      </c>
      <c r="F8276" s="16" t="s">
        <v>39</v>
      </c>
      <c r="G8276" s="15"/>
      <c r="H8276" s="15"/>
      <c r="I8276" s="15"/>
      <c r="J8276" s="22">
        <v>6934</v>
      </c>
      <c r="K8276" s="15" t="s">
        <v>5837</v>
      </c>
      <c r="L8276" s="17">
        <v>1</v>
      </c>
      <c r="M8276" s="17">
        <v>16</v>
      </c>
      <c r="N8276" s="17">
        <v>1</v>
      </c>
      <c r="O8276" s="18">
        <v>1745.31</v>
      </c>
      <c r="P8276" s="18">
        <v>1430.58</v>
      </c>
      <c r="Q8276" s="18">
        <v>1221.72</v>
      </c>
      <c r="R8276" s="18">
        <v>1001.41</v>
      </c>
      <c r="S8276" s="18">
        <v>1186.81</v>
      </c>
      <c r="T8276" s="18">
        <v>972.8</v>
      </c>
      <c r="U8276" s="16"/>
      <c r="V8276" s="16"/>
      <c r="W8276" s="16"/>
      <c r="X8276" s="19">
        <v>1.335</v>
      </c>
      <c r="Y8276" s="20">
        <v>3.6849999999999999E-3</v>
      </c>
      <c r="Z8276" s="21">
        <v>4601004249455</v>
      </c>
    </row>
    <row r="8277" spans="1:26" ht="12" customHeight="1" outlineLevel="3" x14ac:dyDescent="0.2">
      <c r="A8277" s="14" t="s">
        <v>15811</v>
      </c>
      <c r="B8277" s="26" t="s">
        <v>15812</v>
      </c>
      <c r="C8277" s="52"/>
      <c r="D8277" s="55">
        <f t="shared" si="129"/>
        <v>0</v>
      </c>
      <c r="E8277" s="63" t="str">
        <f>HYPERLINK("https://www.sds-group.ru/product/kronshteyn-dlya-televizora-37-75-fiksirovannyy-s-bystroy-fiksatsiey-seriya-home-rexant-38-0372/", "Инфо")</f>
        <v>Инфо</v>
      </c>
      <c r="F8277" s="16" t="s">
        <v>39</v>
      </c>
      <c r="G8277" s="15"/>
      <c r="H8277" s="15"/>
      <c r="I8277" s="15"/>
      <c r="J8277" s="17">
        <v>214</v>
      </c>
      <c r="K8277" s="15" t="s">
        <v>1650</v>
      </c>
      <c r="L8277" s="17">
        <v>1</v>
      </c>
      <c r="M8277" s="17">
        <v>10</v>
      </c>
      <c r="N8277" s="17">
        <v>1</v>
      </c>
      <c r="O8277" s="18">
        <v>1546.96</v>
      </c>
      <c r="P8277" s="18">
        <v>1268</v>
      </c>
      <c r="Q8277" s="18">
        <v>1082.8699999999999</v>
      </c>
      <c r="R8277" s="18">
        <v>887.6</v>
      </c>
      <c r="S8277" s="18">
        <v>1051.93</v>
      </c>
      <c r="T8277" s="18">
        <v>862.24</v>
      </c>
      <c r="U8277" s="16"/>
      <c r="V8277" s="16"/>
      <c r="W8277" s="16"/>
      <c r="X8277" s="19">
        <v>1.1279999999999999</v>
      </c>
      <c r="Y8277" s="20">
        <v>3.967E-3</v>
      </c>
      <c r="Z8277" s="21">
        <v>4601004275195</v>
      </c>
    </row>
    <row r="8278" spans="1:26" ht="12" customHeight="1" outlineLevel="3" x14ac:dyDescent="0.2">
      <c r="A8278" s="14" t="s">
        <v>15813</v>
      </c>
      <c r="B8278" s="26" t="s">
        <v>15814</v>
      </c>
      <c r="C8278" s="52"/>
      <c r="D8278" s="55">
        <f t="shared" si="129"/>
        <v>0</v>
      </c>
      <c r="E8278" s="63" t="str">
        <f>HYPERLINK("https://www.sds-group.ru/product/kronshteyn-dlya-televizora-37-80-naklonnyy-s-bystroy-fiksatsiey-seriya-home-rexant-38-0344/", "Инфо")</f>
        <v>Инфо</v>
      </c>
      <c r="F8278" s="16" t="s">
        <v>39</v>
      </c>
      <c r="G8278" s="15"/>
      <c r="H8278" s="15"/>
      <c r="I8278" s="15"/>
      <c r="J8278" s="17">
        <v>581</v>
      </c>
      <c r="K8278" s="15" t="s">
        <v>9986</v>
      </c>
      <c r="L8278" s="17">
        <v>1</v>
      </c>
      <c r="M8278" s="17">
        <v>6</v>
      </c>
      <c r="N8278" s="17">
        <v>1</v>
      </c>
      <c r="O8278" s="18">
        <v>3816.19</v>
      </c>
      <c r="P8278" s="18">
        <v>3128.02</v>
      </c>
      <c r="Q8278" s="18">
        <v>2671.33</v>
      </c>
      <c r="R8278" s="18">
        <v>2189.61</v>
      </c>
      <c r="S8278" s="18">
        <v>2595.0100000000002</v>
      </c>
      <c r="T8278" s="18">
        <v>2127.06</v>
      </c>
      <c r="U8278" s="16"/>
      <c r="V8278" s="16"/>
      <c r="W8278" s="16"/>
      <c r="X8278" s="19">
        <v>2.7309999999999999</v>
      </c>
      <c r="Y8278" s="20">
        <v>6.4479999999999997E-3</v>
      </c>
      <c r="Z8278" s="21">
        <v>4601004237988</v>
      </c>
    </row>
    <row r="8279" spans="1:26" ht="12" customHeight="1" outlineLevel="3" x14ac:dyDescent="0.2">
      <c r="A8279" s="14" t="s">
        <v>15815</v>
      </c>
      <c r="B8279" s="26" t="s">
        <v>15816</v>
      </c>
      <c r="C8279" s="52"/>
      <c r="D8279" s="55">
        <f t="shared" si="129"/>
        <v>0</v>
      </c>
      <c r="E8279" s="63" t="str">
        <f>HYPERLINK("https://www.sds-group.ru/product/kronshteyn-dlya-televizora-37-80-fiksirovannyy-s-bystroy-fiksatsiey-seriya-home-rexant-38-0343/", "Инфо")</f>
        <v>Инфо</v>
      </c>
      <c r="F8279" s="16" t="s">
        <v>39</v>
      </c>
      <c r="G8279" s="15"/>
      <c r="H8279" s="15"/>
      <c r="I8279" s="15"/>
      <c r="J8279" s="22">
        <v>13451</v>
      </c>
      <c r="K8279" s="15"/>
      <c r="L8279" s="17">
        <v>1</v>
      </c>
      <c r="M8279" s="17">
        <v>8</v>
      </c>
      <c r="N8279" s="17">
        <v>1</v>
      </c>
      <c r="O8279" s="18">
        <v>2953.77</v>
      </c>
      <c r="P8279" s="18">
        <v>2421.12</v>
      </c>
      <c r="Q8279" s="18">
        <v>2067.64</v>
      </c>
      <c r="R8279" s="18">
        <v>1694.79</v>
      </c>
      <c r="S8279" s="18">
        <v>2008.56</v>
      </c>
      <c r="T8279" s="18">
        <v>1646.36</v>
      </c>
      <c r="U8279" s="16"/>
      <c r="V8279" s="16"/>
      <c r="W8279" s="16"/>
      <c r="X8279" s="19">
        <v>1.728</v>
      </c>
      <c r="Y8279" s="20">
        <v>3.81E-3</v>
      </c>
      <c r="Z8279" s="21">
        <v>4601004237971</v>
      </c>
    </row>
    <row r="8280" spans="1:26" ht="12" customHeight="1" outlineLevel="3" x14ac:dyDescent="0.2">
      <c r="A8280" s="14" t="s">
        <v>15817</v>
      </c>
      <c r="B8280" s="26" t="s">
        <v>15818</v>
      </c>
      <c r="C8280" s="52"/>
      <c r="D8280" s="55">
        <f t="shared" si="129"/>
        <v>0</v>
      </c>
      <c r="E8280" s="63" t="str">
        <f>HYPERLINK("https://www.sds-group.ru/product/kronshteyn-dlya-televizora-37-85-naklonno-povorotnyy-dvoynoe-koleno-seriya-home-rexant-38-0384/", "Инфо")</f>
        <v>Инфо</v>
      </c>
      <c r="F8280" s="16" t="s">
        <v>39</v>
      </c>
      <c r="G8280" s="15"/>
      <c r="H8280" s="15"/>
      <c r="I8280" s="15"/>
      <c r="J8280" s="17">
        <v>23</v>
      </c>
      <c r="K8280" s="15" t="s">
        <v>11098</v>
      </c>
      <c r="L8280" s="17">
        <v>1</v>
      </c>
      <c r="M8280" s="17">
        <v>2</v>
      </c>
      <c r="N8280" s="17">
        <v>1</v>
      </c>
      <c r="O8280" s="18">
        <v>8192.9500000000007</v>
      </c>
      <c r="P8280" s="18">
        <v>6715.53</v>
      </c>
      <c r="Q8280" s="18">
        <v>5735.07</v>
      </c>
      <c r="R8280" s="18">
        <v>4700.88</v>
      </c>
      <c r="S8280" s="18">
        <v>5571.21</v>
      </c>
      <c r="T8280" s="18">
        <v>4566.57</v>
      </c>
      <c r="U8280" s="16"/>
      <c r="V8280" s="16"/>
      <c r="W8280" s="16"/>
      <c r="X8280" s="19">
        <v>5.7389999999999999</v>
      </c>
      <c r="Y8280" s="20">
        <v>8.4620000000000008E-3</v>
      </c>
      <c r="Z8280" s="21">
        <v>4601004230415</v>
      </c>
    </row>
    <row r="8281" spans="1:26" ht="12" customHeight="1" outlineLevel="3" x14ac:dyDescent="0.2">
      <c r="A8281" s="14" t="s">
        <v>15819</v>
      </c>
      <c r="B8281" s="26" t="s">
        <v>15820</v>
      </c>
      <c r="C8281" s="52"/>
      <c r="D8281" s="55">
        <f t="shared" si="129"/>
        <v>0</v>
      </c>
      <c r="E8281" s="63" t="str">
        <f>HYPERLINK("https://www.sds-group.ru/product/kronshteyn-dlya-televizora-37-90-naklonno-povorotnyy-dvoynoe-koleno-seriya-profi-rexant-38-0347/", "Инфо")</f>
        <v>Инфо</v>
      </c>
      <c r="F8281" s="16" t="s">
        <v>39</v>
      </c>
      <c r="G8281" s="15"/>
      <c r="H8281" s="15"/>
      <c r="I8281" s="15"/>
      <c r="J8281" s="22">
        <v>1890</v>
      </c>
      <c r="K8281" s="15" t="s">
        <v>9986</v>
      </c>
      <c r="L8281" s="17">
        <v>1</v>
      </c>
      <c r="M8281" s="17">
        <v>2</v>
      </c>
      <c r="N8281" s="17">
        <v>1</v>
      </c>
      <c r="O8281" s="18">
        <v>17730.740000000002</v>
      </c>
      <c r="P8281" s="18">
        <v>14533.39</v>
      </c>
      <c r="Q8281" s="18">
        <v>12411.52</v>
      </c>
      <c r="R8281" s="18">
        <v>10173.379999999999</v>
      </c>
      <c r="S8281" s="18">
        <v>12056.9</v>
      </c>
      <c r="T8281" s="18">
        <v>9882.7000000000007</v>
      </c>
      <c r="U8281" s="16"/>
      <c r="V8281" s="16"/>
      <c r="W8281" s="16"/>
      <c r="X8281" s="19">
        <v>11.074999999999999</v>
      </c>
      <c r="Y8281" s="20">
        <v>2.3532000000000001E-2</v>
      </c>
      <c r="Z8281" s="21">
        <v>4601004249462</v>
      </c>
    </row>
    <row r="8282" spans="1:26" ht="12" customHeight="1" outlineLevel="3" x14ac:dyDescent="0.2">
      <c r="A8282" s="14" t="s">
        <v>15821</v>
      </c>
      <c r="B8282" s="26" t="s">
        <v>15820</v>
      </c>
      <c r="C8282" s="52"/>
      <c r="D8282" s="55">
        <f t="shared" si="129"/>
        <v>0</v>
      </c>
      <c r="E8282" s="63" t="str">
        <f>HYPERLINK("https://www.sds-group.ru/product/kronshteyn-dlya-televizora-37-90-naklonno-povorotnyy-dvoynoe-koleno-seriya-home-rexant-38-0351/", "Инфо")</f>
        <v>Инфо</v>
      </c>
      <c r="F8282" s="16" t="s">
        <v>39</v>
      </c>
      <c r="G8282" s="15"/>
      <c r="H8282" s="15"/>
      <c r="I8282" s="15"/>
      <c r="J8282" s="16" t="s">
        <v>100</v>
      </c>
      <c r="K8282" s="15" t="s">
        <v>4008</v>
      </c>
      <c r="L8282" s="17">
        <v>1</v>
      </c>
      <c r="M8282" s="17">
        <v>2</v>
      </c>
      <c r="N8282" s="17">
        <v>1</v>
      </c>
      <c r="O8282" s="18">
        <v>9454.24</v>
      </c>
      <c r="P8282" s="18">
        <v>7749.38</v>
      </c>
      <c r="Q8282" s="18">
        <v>6617.97</v>
      </c>
      <c r="R8282" s="18">
        <v>5424.57</v>
      </c>
      <c r="S8282" s="18">
        <v>6428.88</v>
      </c>
      <c r="T8282" s="18">
        <v>5269.57</v>
      </c>
      <c r="U8282" s="16"/>
      <c r="V8282" s="16"/>
      <c r="W8282" s="16"/>
      <c r="X8282" s="19">
        <v>7.7750000000000004</v>
      </c>
      <c r="Y8282" s="20">
        <v>2.4267E-2</v>
      </c>
      <c r="Z8282" s="21">
        <v>4601004290440</v>
      </c>
    </row>
    <row r="8283" spans="1:26" ht="12" customHeight="1" outlineLevel="3" x14ac:dyDescent="0.2">
      <c r="A8283" s="40" t="s">
        <v>15822</v>
      </c>
      <c r="B8283" s="75" t="s">
        <v>15823</v>
      </c>
      <c r="C8283" s="51"/>
      <c r="D8283" s="54">
        <f t="shared" si="129"/>
        <v>0</v>
      </c>
      <c r="E8283" s="61" t="str">
        <f>HYPERLINK("https://www.sds-group.ru/product/kronshteyn-dlya-televizora-40-100-naklonnyy-rexant-38-0346-1/", "Инфо")</f>
        <v>Инфо</v>
      </c>
      <c r="F8283" s="42" t="s">
        <v>39</v>
      </c>
      <c r="G8283" s="41" t="s">
        <v>40</v>
      </c>
      <c r="H8283" s="41"/>
      <c r="I8283" s="41"/>
      <c r="J8283" s="43">
        <v>53</v>
      </c>
      <c r="K8283" s="41"/>
      <c r="L8283" s="43">
        <v>1</v>
      </c>
      <c r="M8283" s="43">
        <v>10</v>
      </c>
      <c r="N8283" s="43">
        <v>1</v>
      </c>
      <c r="O8283" s="44">
        <v>2546.12</v>
      </c>
      <c r="P8283" s="44">
        <v>2086.98</v>
      </c>
      <c r="Q8283" s="44">
        <v>1960.51</v>
      </c>
      <c r="R8283" s="44">
        <v>1606.98</v>
      </c>
      <c r="S8283" s="44">
        <v>1731.36</v>
      </c>
      <c r="T8283" s="44">
        <v>1419.15</v>
      </c>
      <c r="U8283" s="42"/>
      <c r="V8283" s="42"/>
      <c r="W8283" s="42" t="s">
        <v>40</v>
      </c>
      <c r="X8283" s="45">
        <v>2.2490000000000001</v>
      </c>
      <c r="Y8283" s="46">
        <v>6.5900000000000004E-3</v>
      </c>
      <c r="Z8283" s="21">
        <v>4601004310520</v>
      </c>
    </row>
    <row r="8284" spans="1:26" ht="12" customHeight="1" outlineLevel="3" x14ac:dyDescent="0.2">
      <c r="A8284" s="40" t="s">
        <v>15824</v>
      </c>
      <c r="B8284" s="75" t="s">
        <v>15825</v>
      </c>
      <c r="C8284" s="51"/>
      <c r="D8284" s="54">
        <f t="shared" si="129"/>
        <v>0</v>
      </c>
      <c r="E8284" s="61" t="str">
        <f>HYPERLINK("https://www.sds-group.ru/product/kronshteyn-dlya-televizora-40-75-naklonnyy-s-bystroy-fiksatsiey-rexant-38-0341-1/", "Инфо")</f>
        <v>Инфо</v>
      </c>
      <c r="F8284" s="42" t="s">
        <v>39</v>
      </c>
      <c r="G8284" s="41" t="s">
        <v>40</v>
      </c>
      <c r="H8284" s="41"/>
      <c r="I8284" s="41"/>
      <c r="J8284" s="43">
        <v>907</v>
      </c>
      <c r="K8284" s="41"/>
      <c r="L8284" s="43">
        <v>1</v>
      </c>
      <c r="M8284" s="43">
        <v>10</v>
      </c>
      <c r="N8284" s="43">
        <v>1</v>
      </c>
      <c r="O8284" s="44">
        <v>3001.69</v>
      </c>
      <c r="P8284" s="44">
        <v>2460.4</v>
      </c>
      <c r="Q8284" s="44">
        <v>2311.3000000000002</v>
      </c>
      <c r="R8284" s="44">
        <v>1894.51</v>
      </c>
      <c r="S8284" s="44">
        <v>2041.15</v>
      </c>
      <c r="T8284" s="44">
        <v>1673.07</v>
      </c>
      <c r="U8284" s="42"/>
      <c r="V8284" s="42"/>
      <c r="W8284" s="42" t="s">
        <v>40</v>
      </c>
      <c r="X8284" s="45">
        <v>2.1389999999999998</v>
      </c>
      <c r="Y8284" s="46">
        <v>5.3299999999999997E-3</v>
      </c>
      <c r="Z8284" s="21">
        <v>4601004308763</v>
      </c>
    </row>
    <row r="8285" spans="1:26" ht="12" customHeight="1" outlineLevel="3" x14ac:dyDescent="0.2">
      <c r="A8285" s="40" t="s">
        <v>15826</v>
      </c>
      <c r="B8285" s="75" t="s">
        <v>15827</v>
      </c>
      <c r="C8285" s="51"/>
      <c r="D8285" s="54">
        <f t="shared" si="129"/>
        <v>0</v>
      </c>
      <c r="E8285" s="61" t="str">
        <f>HYPERLINK("https://www.sds-group.ru/product/kronshteyn-dlya-televizora-40-80-fiksirovannyy-s-bystroy-fiksatsiey-rexant-38-0338-1/", "Инфо")</f>
        <v>Инфо</v>
      </c>
      <c r="F8285" s="42" t="s">
        <v>39</v>
      </c>
      <c r="G8285" s="41" t="s">
        <v>40</v>
      </c>
      <c r="H8285" s="41"/>
      <c r="I8285" s="41"/>
      <c r="J8285" s="43">
        <v>909</v>
      </c>
      <c r="K8285" s="41"/>
      <c r="L8285" s="43">
        <v>1</v>
      </c>
      <c r="M8285" s="43">
        <v>10</v>
      </c>
      <c r="N8285" s="43">
        <v>1</v>
      </c>
      <c r="O8285" s="44">
        <v>1848.39</v>
      </c>
      <c r="P8285" s="44">
        <v>1515.07</v>
      </c>
      <c r="Q8285" s="44">
        <v>1293.8699999999999</v>
      </c>
      <c r="R8285" s="44">
        <v>1060.55</v>
      </c>
      <c r="S8285" s="44">
        <v>1256.9100000000001</v>
      </c>
      <c r="T8285" s="44">
        <v>1030.25</v>
      </c>
      <c r="U8285" s="42"/>
      <c r="V8285" s="42"/>
      <c r="W8285" s="42" t="s">
        <v>40</v>
      </c>
      <c r="X8285" s="45">
        <v>1.645</v>
      </c>
      <c r="Y8285" s="46">
        <v>4.0429999999999997E-3</v>
      </c>
      <c r="Z8285" s="21">
        <v>4601004308886</v>
      </c>
    </row>
    <row r="8286" spans="1:26" ht="12" customHeight="1" outlineLevel="3" x14ac:dyDescent="0.2">
      <c r="A8286" s="14" t="s">
        <v>15828</v>
      </c>
      <c r="B8286" s="26" t="s">
        <v>15829</v>
      </c>
      <c r="C8286" s="52"/>
      <c r="D8286" s="55">
        <f t="shared" si="129"/>
        <v>0</v>
      </c>
      <c r="E8286" s="63" t="str">
        <f>HYPERLINK("https://www.sds-group.ru/product/kronshteyn-dlya-televizora-42-100-fiksirovannyy-s-bystroy-fiksatsiey-rexant-38-0342/", "Инфо")</f>
        <v>Инфо</v>
      </c>
      <c r="F8286" s="16" t="s">
        <v>39</v>
      </c>
      <c r="G8286" s="15"/>
      <c r="H8286" s="15"/>
      <c r="I8286" s="15"/>
      <c r="J8286" s="17">
        <v>651</v>
      </c>
      <c r="K8286" s="15"/>
      <c r="L8286" s="17">
        <v>1</v>
      </c>
      <c r="M8286" s="17">
        <v>5</v>
      </c>
      <c r="N8286" s="17">
        <v>1</v>
      </c>
      <c r="O8286" s="18">
        <v>3930.96</v>
      </c>
      <c r="P8286" s="18">
        <v>3222.1</v>
      </c>
      <c r="Q8286" s="18">
        <v>2751.67</v>
      </c>
      <c r="R8286" s="18">
        <v>2255.4699999999998</v>
      </c>
      <c r="S8286" s="18">
        <v>2673.05</v>
      </c>
      <c r="T8286" s="18">
        <v>2191.02</v>
      </c>
      <c r="U8286" s="16"/>
      <c r="V8286" s="16"/>
      <c r="W8286" s="16"/>
      <c r="X8286" s="19">
        <v>3.28</v>
      </c>
      <c r="Y8286" s="20">
        <v>6.2599999999999999E-3</v>
      </c>
      <c r="Z8286" s="21">
        <v>4601004275201</v>
      </c>
    </row>
    <row r="8287" spans="1:26" ht="12" customHeight="1" outlineLevel="3" x14ac:dyDescent="0.2">
      <c r="A8287" s="14" t="s">
        <v>15830</v>
      </c>
      <c r="B8287" s="26" t="s">
        <v>15831</v>
      </c>
      <c r="C8287" s="52"/>
      <c r="D8287" s="55">
        <f t="shared" si="129"/>
        <v>0</v>
      </c>
      <c r="E8287" s="63" t="str">
        <f>HYPERLINK("https://www.sds-group.ru/product/kronshteyn-dlya-televizora-43-90-naklonnyy-s-bystroy-fiksatsiey-seriya-home-rexant-38-0346/", "Инфо")</f>
        <v>Инфо</v>
      </c>
      <c r="F8287" s="16" t="s">
        <v>39</v>
      </c>
      <c r="G8287" s="15"/>
      <c r="H8287" s="15"/>
      <c r="I8287" s="15"/>
      <c r="J8287" s="22">
        <v>5026</v>
      </c>
      <c r="K8287" s="15"/>
      <c r="L8287" s="17">
        <v>1</v>
      </c>
      <c r="M8287" s="17">
        <v>6</v>
      </c>
      <c r="N8287" s="17">
        <v>1</v>
      </c>
      <c r="O8287" s="18">
        <v>4419.88</v>
      </c>
      <c r="P8287" s="18">
        <v>3622.85</v>
      </c>
      <c r="Q8287" s="18">
        <v>3093.92</v>
      </c>
      <c r="R8287" s="18">
        <v>2536</v>
      </c>
      <c r="S8287" s="18">
        <v>3005.52</v>
      </c>
      <c r="T8287" s="18">
        <v>2463.54</v>
      </c>
      <c r="U8287" s="16"/>
      <c r="V8287" s="16"/>
      <c r="W8287" s="16"/>
      <c r="X8287" s="19">
        <v>3.0550000000000002</v>
      </c>
      <c r="Y8287" s="20">
        <v>5.496E-3</v>
      </c>
      <c r="Z8287" s="21">
        <v>4601004238008</v>
      </c>
    </row>
    <row r="8288" spans="1:26" ht="12" customHeight="1" outlineLevel="3" x14ac:dyDescent="0.2">
      <c r="A8288" s="14" t="s">
        <v>15832</v>
      </c>
      <c r="B8288" s="26" t="s">
        <v>15833</v>
      </c>
      <c r="C8288" s="52"/>
      <c r="D8288" s="55">
        <f t="shared" si="129"/>
        <v>0</v>
      </c>
      <c r="E8288" s="63" t="str">
        <f>HYPERLINK("https://www.sds-group.ru/product/kronshteyn-dlya-televizora-43-90-fiksirovannyy-s-bystroy-fiksatsiey-seriya-home-rexant-38-0345/", "Инфо")</f>
        <v>Инфо</v>
      </c>
      <c r="F8288" s="16" t="s">
        <v>39</v>
      </c>
      <c r="G8288" s="15"/>
      <c r="H8288" s="15"/>
      <c r="I8288" s="15"/>
      <c r="J8288" s="22">
        <v>5057</v>
      </c>
      <c r="K8288" s="15" t="s">
        <v>9986</v>
      </c>
      <c r="L8288" s="17">
        <v>1</v>
      </c>
      <c r="M8288" s="17">
        <v>6</v>
      </c>
      <c r="N8288" s="17">
        <v>1</v>
      </c>
      <c r="O8288" s="18">
        <v>3449.66</v>
      </c>
      <c r="P8288" s="18">
        <v>2827.59</v>
      </c>
      <c r="Q8288" s="18">
        <v>2414.7600000000002</v>
      </c>
      <c r="R8288" s="18">
        <v>1979.31</v>
      </c>
      <c r="S8288" s="18">
        <v>2345.77</v>
      </c>
      <c r="T8288" s="18">
        <v>1922.76</v>
      </c>
      <c r="U8288" s="16"/>
      <c r="V8288" s="16"/>
      <c r="W8288" s="16"/>
      <c r="X8288" s="19">
        <v>2.5390000000000001</v>
      </c>
      <c r="Y8288" s="20">
        <v>3.7260000000000001E-3</v>
      </c>
      <c r="Z8288" s="21">
        <v>4601004237995</v>
      </c>
    </row>
    <row r="8289" spans="1:26" ht="12" customHeight="1" outlineLevel="3" x14ac:dyDescent="0.2">
      <c r="A8289" s="40" t="s">
        <v>15834</v>
      </c>
      <c r="B8289" s="75" t="s">
        <v>15835</v>
      </c>
      <c r="C8289" s="51"/>
      <c r="D8289" s="54">
        <f t="shared" si="129"/>
        <v>0</v>
      </c>
      <c r="E8289" s="61" t="str">
        <f>HYPERLINK("https://www.sds-group.ru/product/kronshteyn-dlya-televizora-55-120-naklonnyy-rexant-38-0352/", "Инфо")</f>
        <v>Инфо</v>
      </c>
      <c r="F8289" s="42" t="s">
        <v>39</v>
      </c>
      <c r="G8289" s="41" t="s">
        <v>40</v>
      </c>
      <c r="H8289" s="41"/>
      <c r="I8289" s="41"/>
      <c r="J8289" s="43">
        <v>159</v>
      </c>
      <c r="K8289" s="41"/>
      <c r="L8289" s="43">
        <v>1</v>
      </c>
      <c r="M8289" s="43">
        <v>5</v>
      </c>
      <c r="N8289" s="43">
        <v>1</v>
      </c>
      <c r="O8289" s="44">
        <v>3990.9</v>
      </c>
      <c r="P8289" s="44">
        <v>3271.23</v>
      </c>
      <c r="Q8289" s="44">
        <v>2913.36</v>
      </c>
      <c r="R8289" s="44">
        <v>2388</v>
      </c>
      <c r="S8289" s="44">
        <v>2713.81</v>
      </c>
      <c r="T8289" s="44">
        <v>2224.4299999999998</v>
      </c>
      <c r="U8289" s="42"/>
      <c r="V8289" s="42"/>
      <c r="W8289" s="42" t="s">
        <v>40</v>
      </c>
      <c r="X8289" s="45">
        <v>3.1859999999999999</v>
      </c>
      <c r="Y8289" s="46">
        <v>7.7499999999999999E-3</v>
      </c>
      <c r="Z8289" s="21">
        <v>4601004310490</v>
      </c>
    </row>
    <row r="8290" spans="1:26" ht="12" customHeight="1" outlineLevel="3" x14ac:dyDescent="0.2">
      <c r="A8290" s="14" t="s">
        <v>15836</v>
      </c>
      <c r="B8290" s="26" t="s">
        <v>15837</v>
      </c>
      <c r="C8290" s="52"/>
      <c r="D8290" s="55">
        <f t="shared" si="129"/>
        <v>0</v>
      </c>
      <c r="E8290" s="63" t="str">
        <f>HYPERLINK("https://www.sds-group.ru/product/kronshteyn-dlya-televizora-60-100-naklonno-povorotnyy-dvoynoe-koleno-seriya-profi-rexant-38-0348/", "Инфо")</f>
        <v>Инфо</v>
      </c>
      <c r="F8290" s="16" t="s">
        <v>39</v>
      </c>
      <c r="G8290" s="15"/>
      <c r="H8290" s="15"/>
      <c r="I8290" s="15"/>
      <c r="J8290" s="17">
        <v>232</v>
      </c>
      <c r="K8290" s="15"/>
      <c r="L8290" s="17">
        <v>1</v>
      </c>
      <c r="M8290" s="17">
        <v>1</v>
      </c>
      <c r="N8290" s="17">
        <v>1</v>
      </c>
      <c r="O8290" s="18">
        <v>19404.36</v>
      </c>
      <c r="P8290" s="18">
        <v>15905.21</v>
      </c>
      <c r="Q8290" s="18">
        <v>13583.05</v>
      </c>
      <c r="R8290" s="18">
        <v>11133.65</v>
      </c>
      <c r="S8290" s="18">
        <v>13194.96</v>
      </c>
      <c r="T8290" s="18">
        <v>10815.54</v>
      </c>
      <c r="U8290" s="16"/>
      <c r="V8290" s="16"/>
      <c r="W8290" s="16"/>
      <c r="X8290" s="19">
        <v>16.84</v>
      </c>
      <c r="Y8290" s="20">
        <v>6.5000000000000002E-2</v>
      </c>
      <c r="Z8290" s="21">
        <v>4601004249479</v>
      </c>
    </row>
    <row r="8291" spans="1:26" ht="12" customHeight="1" outlineLevel="3" x14ac:dyDescent="0.2">
      <c r="A8291" s="14" t="s">
        <v>15838</v>
      </c>
      <c r="B8291" s="26" t="s">
        <v>15839</v>
      </c>
      <c r="C8291" s="52"/>
      <c r="D8291" s="55">
        <f t="shared" si="129"/>
        <v>0</v>
      </c>
      <c r="E8291" s="63" t="str">
        <f>HYPERLINK("https://www.sds-group.ru/product/kronshteyn-dlya-televizora-60-100-naklonnyy-s-bystroy-fiksatsiey-seriya-profi-rexant-38-0349/", "Инфо")</f>
        <v>Инфо</v>
      </c>
      <c r="F8291" s="16" t="s">
        <v>39</v>
      </c>
      <c r="G8291" s="15"/>
      <c r="H8291" s="15"/>
      <c r="I8291" s="15"/>
      <c r="J8291" s="17">
        <v>577</v>
      </c>
      <c r="K8291" s="15" t="s">
        <v>9986</v>
      </c>
      <c r="L8291" s="17">
        <v>1</v>
      </c>
      <c r="M8291" s="17">
        <v>4</v>
      </c>
      <c r="N8291" s="17">
        <v>1</v>
      </c>
      <c r="O8291" s="18">
        <v>6317.2</v>
      </c>
      <c r="P8291" s="18">
        <v>5178.03</v>
      </c>
      <c r="Q8291" s="18">
        <v>4422.04</v>
      </c>
      <c r="R8291" s="18">
        <v>3624.62</v>
      </c>
      <c r="S8291" s="18">
        <v>4295.7</v>
      </c>
      <c r="T8291" s="18">
        <v>3521.07</v>
      </c>
      <c r="U8291" s="16"/>
      <c r="V8291" s="16"/>
      <c r="W8291" s="16"/>
      <c r="X8291" s="19">
        <v>5.15</v>
      </c>
      <c r="Y8291" s="20">
        <v>1.3396999999999999E-2</v>
      </c>
      <c r="Z8291" s="21">
        <v>4601004249493</v>
      </c>
    </row>
    <row r="8292" spans="1:26" ht="12" customHeight="1" outlineLevel="3" x14ac:dyDescent="0.2">
      <c r="A8292" s="14" t="s">
        <v>15840</v>
      </c>
      <c r="B8292" s="26" t="s">
        <v>15841</v>
      </c>
      <c r="C8292" s="52"/>
      <c r="D8292" s="55">
        <f t="shared" si="129"/>
        <v>0</v>
      </c>
      <c r="E8292" s="63" t="str">
        <f>HYPERLINK("https://www.sds-group.ru/product/napolnaya-stoyka-s-kronshteynom-dlya-televizora-19-42-na-kolesah-seriya-profi-rexant-38-0319/", "Инфо")</f>
        <v>Инфо</v>
      </c>
      <c r="F8292" s="16" t="s">
        <v>39</v>
      </c>
      <c r="G8292" s="15"/>
      <c r="H8292" s="15"/>
      <c r="I8292" s="15"/>
      <c r="J8292" s="16" t="s">
        <v>100</v>
      </c>
      <c r="K8292" s="15"/>
      <c r="L8292" s="17">
        <v>1</v>
      </c>
      <c r="M8292" s="17">
        <v>2</v>
      </c>
      <c r="N8292" s="17">
        <v>1</v>
      </c>
      <c r="O8292" s="18">
        <v>10241.19</v>
      </c>
      <c r="P8292" s="18">
        <v>8394.42</v>
      </c>
      <c r="Q8292" s="18">
        <v>7168.83</v>
      </c>
      <c r="R8292" s="18">
        <v>5876.09</v>
      </c>
      <c r="S8292" s="18">
        <v>6964.01</v>
      </c>
      <c r="T8292" s="18">
        <v>5708.2</v>
      </c>
      <c r="U8292" s="16"/>
      <c r="V8292" s="16"/>
      <c r="W8292" s="16"/>
      <c r="X8292" s="19">
        <v>8.3550000000000004</v>
      </c>
      <c r="Y8292" s="20">
        <v>1.932E-2</v>
      </c>
      <c r="Z8292" s="21">
        <v>4601004290419</v>
      </c>
    </row>
    <row r="8293" spans="1:26" ht="12" customHeight="1" outlineLevel="3" x14ac:dyDescent="0.2">
      <c r="A8293" s="14" t="s">
        <v>15842</v>
      </c>
      <c r="B8293" s="26" t="s">
        <v>15843</v>
      </c>
      <c r="C8293" s="52"/>
      <c r="D8293" s="55">
        <f t="shared" si="129"/>
        <v>0</v>
      </c>
      <c r="E8293" s="63" t="str">
        <f>HYPERLINK("https://www.sds-group.ru/product/napolnaya-stoyka-s-kronshteynom-dlya-televizora-32-55-s-dopolnitelnoy-polkoy-dlya-mediaoboru-38-0317/", "Инфо")</f>
        <v>Инфо</v>
      </c>
      <c r="F8293" s="16" t="s">
        <v>39</v>
      </c>
      <c r="G8293" s="15"/>
      <c r="H8293" s="15"/>
      <c r="I8293" s="15"/>
      <c r="J8293" s="17">
        <v>20</v>
      </c>
      <c r="K8293" s="15"/>
      <c r="L8293" s="17">
        <v>1</v>
      </c>
      <c r="M8293" s="17">
        <v>1</v>
      </c>
      <c r="N8293" s="17">
        <v>1</v>
      </c>
      <c r="O8293" s="18">
        <v>15361.79</v>
      </c>
      <c r="P8293" s="18">
        <v>12591.63</v>
      </c>
      <c r="Q8293" s="18">
        <v>10753.25</v>
      </c>
      <c r="R8293" s="18">
        <v>8814.14</v>
      </c>
      <c r="S8293" s="18">
        <v>10446.02</v>
      </c>
      <c r="T8293" s="18">
        <v>8562.31</v>
      </c>
      <c r="U8293" s="16"/>
      <c r="V8293" s="16"/>
      <c r="W8293" s="16"/>
      <c r="X8293" s="19">
        <v>16.094000000000001</v>
      </c>
      <c r="Y8293" s="20">
        <v>4.6427999999999997E-2</v>
      </c>
      <c r="Z8293" s="21">
        <v>4601004238022</v>
      </c>
    </row>
    <row r="8294" spans="1:26" ht="12" customHeight="1" outlineLevel="3" x14ac:dyDescent="0.2">
      <c r="A8294" s="14" t="s">
        <v>15844</v>
      </c>
      <c r="B8294" s="26" t="s">
        <v>15845</v>
      </c>
      <c r="C8294" s="52"/>
      <c r="D8294" s="55">
        <f t="shared" si="129"/>
        <v>0</v>
      </c>
      <c r="E8294" s="63" t="str">
        <f>HYPERLINK("https://www.sds-group.ru/product/napolnaya-stoyka-s-kronshteynom-dlya-televizora-37-70-s-dopolnitelnoy-polkoy-dlya-mediaoboru-38-0318/", "Инфо")</f>
        <v>Инфо</v>
      </c>
      <c r="F8294" s="16" t="s">
        <v>39</v>
      </c>
      <c r="G8294" s="15"/>
      <c r="H8294" s="15"/>
      <c r="I8294" s="15"/>
      <c r="J8294" s="16" t="s">
        <v>100</v>
      </c>
      <c r="K8294" s="15"/>
      <c r="L8294" s="17">
        <v>1</v>
      </c>
      <c r="M8294" s="17">
        <v>1</v>
      </c>
      <c r="N8294" s="17">
        <v>1</v>
      </c>
      <c r="O8294" s="18">
        <v>16245.76</v>
      </c>
      <c r="P8294" s="18">
        <v>13316.2</v>
      </c>
      <c r="Q8294" s="18">
        <v>11372.03</v>
      </c>
      <c r="R8294" s="18">
        <v>9321.34</v>
      </c>
      <c r="S8294" s="18">
        <v>11047.12</v>
      </c>
      <c r="T8294" s="18">
        <v>9055.02</v>
      </c>
      <c r="U8294" s="16"/>
      <c r="V8294" s="16"/>
      <c r="W8294" s="16"/>
      <c r="X8294" s="19">
        <v>16.196999999999999</v>
      </c>
      <c r="Y8294" s="20">
        <v>4.5643999999999997E-2</v>
      </c>
      <c r="Z8294" s="21">
        <v>4601004238015</v>
      </c>
    </row>
    <row r="8295" spans="1:26" ht="12" customHeight="1" outlineLevel="3" x14ac:dyDescent="0.2">
      <c r="A8295" s="14" t="s">
        <v>15846</v>
      </c>
      <c r="B8295" s="26" t="s">
        <v>15847</v>
      </c>
      <c r="C8295" s="52"/>
      <c r="D8295" s="55">
        <f t="shared" si="129"/>
        <v>0</v>
      </c>
      <c r="E8295" s="63" t="str">
        <f>HYPERLINK("https://www.sds-group.ru/product/polka-dlya-audio-i-videoapparatury-200h175mm-rexant-34-0589/", "Инфо")</f>
        <v>Инфо</v>
      </c>
      <c r="F8295" s="16" t="s">
        <v>39</v>
      </c>
      <c r="G8295" s="15"/>
      <c r="H8295" s="15"/>
      <c r="I8295" s="15"/>
      <c r="J8295" s="17">
        <v>158</v>
      </c>
      <c r="K8295" s="15" t="s">
        <v>1408</v>
      </c>
      <c r="L8295" s="17">
        <v>1</v>
      </c>
      <c r="M8295" s="17">
        <v>50</v>
      </c>
      <c r="N8295" s="17">
        <v>1</v>
      </c>
      <c r="O8295" s="18">
        <v>550.86</v>
      </c>
      <c r="P8295" s="18">
        <v>451.52</v>
      </c>
      <c r="Q8295" s="18">
        <v>468.23</v>
      </c>
      <c r="R8295" s="18">
        <v>383.8</v>
      </c>
      <c r="S8295" s="18">
        <v>374.58</v>
      </c>
      <c r="T8295" s="18">
        <v>307.02999999999997</v>
      </c>
      <c r="U8295" s="16"/>
      <c r="V8295" s="16"/>
      <c r="W8295" s="16" t="s">
        <v>40</v>
      </c>
      <c r="X8295" s="19">
        <v>0.255</v>
      </c>
      <c r="Y8295" s="20">
        <v>8.2999999999999998E-5</v>
      </c>
      <c r="Z8295" s="21">
        <v>4601004283107</v>
      </c>
    </row>
    <row r="8296" spans="1:26" ht="12.95" customHeight="1" outlineLevel="2" x14ac:dyDescent="0.2">
      <c r="A8296" s="76" t="s">
        <v>15848</v>
      </c>
      <c r="B8296" s="76"/>
      <c r="C8296" s="77"/>
      <c r="D8296" s="58"/>
      <c r="E8296" s="68"/>
      <c r="F8296" s="13"/>
      <c r="G8296" s="13"/>
      <c r="H8296" s="13"/>
      <c r="I8296" s="13"/>
      <c r="J8296" s="13"/>
      <c r="K8296" s="13"/>
      <c r="L8296" s="13"/>
      <c r="M8296" s="13"/>
      <c r="N8296" s="13"/>
      <c r="O8296" s="13"/>
      <c r="P8296" s="13"/>
      <c r="Q8296" s="13"/>
      <c r="R8296" s="13"/>
      <c r="S8296" s="13"/>
      <c r="T8296" s="13"/>
      <c r="U8296" s="13"/>
      <c r="V8296" s="13"/>
      <c r="W8296" s="13"/>
      <c r="X8296" s="13"/>
      <c r="Y8296" s="13"/>
      <c r="Z8296" s="13"/>
    </row>
    <row r="8297" spans="1:26" ht="12" customHeight="1" outlineLevel="3" x14ac:dyDescent="0.2">
      <c r="A8297" s="14" t="s">
        <v>15849</v>
      </c>
      <c r="B8297" s="26" t="s">
        <v>15850</v>
      </c>
      <c r="C8297" s="52"/>
      <c r="D8297" s="55">
        <f t="shared" si="129"/>
        <v>0</v>
      </c>
      <c r="E8297" s="63" t="str">
        <f>HYPERLINK("https://www.sds-group.ru/product/kronshteyn-dlya-pos-terminala-rexant-38-0360/", "Инфо")</f>
        <v>Инфо</v>
      </c>
      <c r="F8297" s="16" t="s">
        <v>39</v>
      </c>
      <c r="G8297" s="15"/>
      <c r="H8297" s="15"/>
      <c r="I8297" s="15"/>
      <c r="J8297" s="17">
        <v>603</v>
      </c>
      <c r="K8297" s="15"/>
      <c r="L8297" s="17">
        <v>1</v>
      </c>
      <c r="M8297" s="17">
        <v>15</v>
      </c>
      <c r="N8297" s="17">
        <v>1</v>
      </c>
      <c r="O8297" s="18">
        <v>3632.93</v>
      </c>
      <c r="P8297" s="18">
        <v>2977.81</v>
      </c>
      <c r="Q8297" s="18">
        <v>2543.0500000000002</v>
      </c>
      <c r="R8297" s="18">
        <v>2084.4699999999998</v>
      </c>
      <c r="S8297" s="18">
        <v>2470.39</v>
      </c>
      <c r="T8297" s="18">
        <v>2024.91</v>
      </c>
      <c r="U8297" s="16"/>
      <c r="V8297" s="16"/>
      <c r="W8297" s="16"/>
      <c r="X8297" s="19">
        <v>1.089</v>
      </c>
      <c r="Y8297" s="20">
        <v>3.1129999999999999E-3</v>
      </c>
      <c r="Z8297" s="21">
        <v>4601004281967</v>
      </c>
    </row>
    <row r="8298" spans="1:26" ht="12" customHeight="1" outlineLevel="3" x14ac:dyDescent="0.2">
      <c r="A8298" s="14" t="s">
        <v>15851</v>
      </c>
      <c r="B8298" s="26" t="s">
        <v>15852</v>
      </c>
      <c r="C8298" s="52"/>
      <c r="D8298" s="55">
        <f t="shared" si="129"/>
        <v>0</v>
      </c>
      <c r="E8298" s="63" t="str">
        <f>HYPERLINK("https://www.sds-group.ru/product/kronshteyn-dlya-dvuh-monitorov-13-32-nastolnyy-s-gazliftom-rexant-38-0357/", "Инфо")</f>
        <v>Инфо</v>
      </c>
      <c r="F8298" s="16" t="s">
        <v>39</v>
      </c>
      <c r="G8298" s="15"/>
      <c r="H8298" s="15"/>
      <c r="I8298" s="15"/>
      <c r="J8298" s="17">
        <v>604</v>
      </c>
      <c r="K8298" s="15"/>
      <c r="L8298" s="17">
        <v>1</v>
      </c>
      <c r="M8298" s="17">
        <v>3</v>
      </c>
      <c r="N8298" s="17">
        <v>1</v>
      </c>
      <c r="O8298" s="18">
        <v>7147.27</v>
      </c>
      <c r="P8298" s="18">
        <v>5858.42</v>
      </c>
      <c r="Q8298" s="18">
        <v>5003.09</v>
      </c>
      <c r="R8298" s="18">
        <v>4100.8900000000003</v>
      </c>
      <c r="S8298" s="18">
        <v>4860.1400000000003</v>
      </c>
      <c r="T8298" s="18">
        <v>3983.72</v>
      </c>
      <c r="U8298" s="16"/>
      <c r="V8298" s="16"/>
      <c r="W8298" s="16"/>
      <c r="X8298" s="19">
        <v>3.9889999999999999</v>
      </c>
      <c r="Y8298" s="20">
        <v>9.2910000000000006E-3</v>
      </c>
      <c r="Z8298" s="21">
        <v>4601004269811</v>
      </c>
    </row>
    <row r="8299" spans="1:26" ht="12" customHeight="1" outlineLevel="3" x14ac:dyDescent="0.2">
      <c r="A8299" s="14" t="s">
        <v>15853</v>
      </c>
      <c r="B8299" s="26" t="s">
        <v>15854</v>
      </c>
      <c r="C8299" s="52"/>
      <c r="D8299" s="55">
        <f t="shared" si="129"/>
        <v>0</v>
      </c>
      <c r="E8299" s="63" t="str">
        <f>HYPERLINK("https://www.sds-group.ru/product/kronshteyn-dlya-dvuh-monitorov-13-32-odno-koleno-nastolnyy-rexant-38-0356/", "Инфо")</f>
        <v>Инфо</v>
      </c>
      <c r="F8299" s="16" t="s">
        <v>39</v>
      </c>
      <c r="G8299" s="15"/>
      <c r="H8299" s="15"/>
      <c r="I8299" s="15"/>
      <c r="J8299" s="17">
        <v>580</v>
      </c>
      <c r="K8299" s="15" t="s">
        <v>1272</v>
      </c>
      <c r="L8299" s="17">
        <v>1</v>
      </c>
      <c r="M8299" s="17">
        <v>5</v>
      </c>
      <c r="N8299" s="17">
        <v>1</v>
      </c>
      <c r="O8299" s="18">
        <v>3934.77</v>
      </c>
      <c r="P8299" s="18">
        <v>3225.22</v>
      </c>
      <c r="Q8299" s="18">
        <v>2754.34</v>
      </c>
      <c r="R8299" s="18">
        <v>2257.66</v>
      </c>
      <c r="S8299" s="18">
        <v>2675.64</v>
      </c>
      <c r="T8299" s="18">
        <v>2193.15</v>
      </c>
      <c r="U8299" s="16"/>
      <c r="V8299" s="16"/>
      <c r="W8299" s="16"/>
      <c r="X8299" s="19">
        <v>3.0030000000000001</v>
      </c>
      <c r="Y8299" s="20">
        <v>8.7550000000000006E-3</v>
      </c>
      <c r="Z8299" s="21">
        <v>4601004269804</v>
      </c>
    </row>
    <row r="8300" spans="1:26" ht="12" customHeight="1" outlineLevel="3" x14ac:dyDescent="0.2">
      <c r="A8300" s="14" t="s">
        <v>15855</v>
      </c>
      <c r="B8300" s="26" t="s">
        <v>15856</v>
      </c>
      <c r="C8300" s="52"/>
      <c r="D8300" s="55">
        <f t="shared" si="129"/>
        <v>0</v>
      </c>
      <c r="E8300" s="63" t="str">
        <f>HYPERLINK("https://www.sds-group.ru/product/kronshteyn-dlya-kassovogo-oborudovaniya-rexant-38-0361/", "Инфо")</f>
        <v>Инфо</v>
      </c>
      <c r="F8300" s="16" t="s">
        <v>39</v>
      </c>
      <c r="G8300" s="15"/>
      <c r="H8300" s="15"/>
      <c r="I8300" s="15"/>
      <c r="J8300" s="17">
        <v>292</v>
      </c>
      <c r="K8300" s="15" t="s">
        <v>5837</v>
      </c>
      <c r="L8300" s="17">
        <v>1</v>
      </c>
      <c r="M8300" s="17">
        <v>1</v>
      </c>
      <c r="N8300" s="17">
        <v>1</v>
      </c>
      <c r="O8300" s="18">
        <v>9310.36</v>
      </c>
      <c r="P8300" s="18">
        <v>7631.44</v>
      </c>
      <c r="Q8300" s="18">
        <v>6517.25</v>
      </c>
      <c r="R8300" s="18">
        <v>5342.01</v>
      </c>
      <c r="S8300" s="18">
        <v>6331.04</v>
      </c>
      <c r="T8300" s="18">
        <v>5189.38</v>
      </c>
      <c r="U8300" s="16"/>
      <c r="V8300" s="16"/>
      <c r="W8300" s="16"/>
      <c r="X8300" s="19">
        <v>4.3049999999999997</v>
      </c>
      <c r="Y8300" s="20">
        <v>1.5706999999999999E-2</v>
      </c>
      <c r="Z8300" s="21">
        <v>4601004281974</v>
      </c>
    </row>
    <row r="8301" spans="1:26" ht="12" customHeight="1" outlineLevel="3" x14ac:dyDescent="0.2">
      <c r="A8301" s="14" t="s">
        <v>15857</v>
      </c>
      <c r="B8301" s="26" t="s">
        <v>15858</v>
      </c>
      <c r="C8301" s="52"/>
      <c r="D8301" s="55">
        <f t="shared" si="129"/>
        <v>0</v>
      </c>
      <c r="E8301" s="63" t="str">
        <f>HYPERLINK("https://www.sds-group.ru/product/kronshteyn-dlya-monitora-13-32-nastolnyy-rexant-38-0303/", "Инфо")</f>
        <v>Инфо</v>
      </c>
      <c r="F8301" s="16" t="s">
        <v>39</v>
      </c>
      <c r="G8301" s="15"/>
      <c r="H8301" s="15"/>
      <c r="I8301" s="15"/>
      <c r="J8301" s="17">
        <v>999</v>
      </c>
      <c r="K8301" s="15" t="s">
        <v>11098</v>
      </c>
      <c r="L8301" s="17">
        <v>1</v>
      </c>
      <c r="M8301" s="17">
        <v>5</v>
      </c>
      <c r="N8301" s="17">
        <v>1</v>
      </c>
      <c r="O8301" s="18">
        <v>2695.05</v>
      </c>
      <c r="P8301" s="18">
        <v>2209.06</v>
      </c>
      <c r="Q8301" s="18">
        <v>1886.54</v>
      </c>
      <c r="R8301" s="18">
        <v>1546.34</v>
      </c>
      <c r="S8301" s="18">
        <v>1832.63</v>
      </c>
      <c r="T8301" s="18">
        <v>1502.16</v>
      </c>
      <c r="U8301" s="16"/>
      <c r="V8301" s="16"/>
      <c r="W8301" s="16"/>
      <c r="X8301" s="19">
        <v>1.81</v>
      </c>
      <c r="Y8301" s="20">
        <v>6.2100000000000002E-3</v>
      </c>
      <c r="Z8301" s="21">
        <v>4601004148253</v>
      </c>
    </row>
    <row r="8302" spans="1:26" ht="12" customHeight="1" outlineLevel="3" x14ac:dyDescent="0.2">
      <c r="A8302" s="14" t="s">
        <v>15859</v>
      </c>
      <c r="B8302" s="26" t="s">
        <v>15860</v>
      </c>
      <c r="C8302" s="52"/>
      <c r="D8302" s="55">
        <f t="shared" si="129"/>
        <v>0</v>
      </c>
      <c r="E8302" s="63" t="str">
        <f>HYPERLINK("https://www.sds-group.ru/product/kronshteyn-dlya-monitora-13-32-nastolnyy-s-gazliftom-rexant-38-0307/", "Инфо")</f>
        <v>Инфо</v>
      </c>
      <c r="F8302" s="16" t="s">
        <v>39</v>
      </c>
      <c r="G8302" s="15"/>
      <c r="H8302" s="15"/>
      <c r="I8302" s="15"/>
      <c r="J8302" s="22">
        <v>2609</v>
      </c>
      <c r="K8302" s="15" t="s">
        <v>11098</v>
      </c>
      <c r="L8302" s="17">
        <v>1</v>
      </c>
      <c r="M8302" s="17">
        <v>4</v>
      </c>
      <c r="N8302" s="17">
        <v>1</v>
      </c>
      <c r="O8302" s="18">
        <v>4527.68</v>
      </c>
      <c r="P8302" s="18">
        <v>3711.21</v>
      </c>
      <c r="Q8302" s="18">
        <v>3169.38</v>
      </c>
      <c r="R8302" s="18">
        <v>2597.85</v>
      </c>
      <c r="S8302" s="18">
        <v>3078.82</v>
      </c>
      <c r="T8302" s="18">
        <v>2523.62</v>
      </c>
      <c r="U8302" s="16"/>
      <c r="V8302" s="16"/>
      <c r="W8302" s="16"/>
      <c r="X8302" s="19">
        <v>2.2240000000000002</v>
      </c>
      <c r="Y8302" s="20">
        <v>6.3639999999999999E-3</v>
      </c>
      <c r="Z8302" s="21">
        <v>4601004230286</v>
      </c>
    </row>
    <row r="8303" spans="1:26" ht="12" customHeight="1" outlineLevel="3" x14ac:dyDescent="0.2">
      <c r="A8303" s="14" t="s">
        <v>15861</v>
      </c>
      <c r="B8303" s="26" t="s">
        <v>15862</v>
      </c>
      <c r="C8303" s="52"/>
      <c r="D8303" s="55">
        <f t="shared" si="129"/>
        <v>0</v>
      </c>
      <c r="E8303" s="63" t="str">
        <f>HYPERLINK("https://www.sds-group.ru/product/kronshteyn-dlya-monitora-13-32-nastolnyy-s-podstavkoy-rexant-38-0308/", "Инфо")</f>
        <v>Инфо</v>
      </c>
      <c r="F8303" s="16" t="s">
        <v>39</v>
      </c>
      <c r="G8303" s="15"/>
      <c r="H8303" s="15"/>
      <c r="I8303" s="15"/>
      <c r="J8303" s="22">
        <v>1477</v>
      </c>
      <c r="K8303" s="15" t="s">
        <v>11098</v>
      </c>
      <c r="L8303" s="17">
        <v>1</v>
      </c>
      <c r="M8303" s="17">
        <v>5</v>
      </c>
      <c r="N8303" s="17">
        <v>1</v>
      </c>
      <c r="O8303" s="18">
        <v>4586.7299999999996</v>
      </c>
      <c r="P8303" s="18">
        <v>3759.61</v>
      </c>
      <c r="Q8303" s="18">
        <v>3210.71</v>
      </c>
      <c r="R8303" s="18">
        <v>2631.73</v>
      </c>
      <c r="S8303" s="18">
        <v>3118.98</v>
      </c>
      <c r="T8303" s="18">
        <v>2556.54</v>
      </c>
      <c r="U8303" s="16"/>
      <c r="V8303" s="16"/>
      <c r="W8303" s="16"/>
      <c r="X8303" s="19">
        <v>2.4279999999999999</v>
      </c>
      <c r="Y8303" s="20">
        <v>8.8699999999999994E-3</v>
      </c>
      <c r="Z8303" s="21">
        <v>4601004230293</v>
      </c>
    </row>
    <row r="8304" spans="1:26" ht="12" customHeight="1" outlineLevel="3" x14ac:dyDescent="0.2">
      <c r="A8304" s="14" t="s">
        <v>15863</v>
      </c>
      <c r="B8304" s="26" t="s">
        <v>15864</v>
      </c>
      <c r="C8304" s="52"/>
      <c r="D8304" s="55">
        <f t="shared" si="129"/>
        <v>0</v>
      </c>
      <c r="E8304" s="63" t="str">
        <f>HYPERLINK("https://www.sds-group.ru/product/kronshteyn-dlya-monitora-13-32-odno-koleno-nastolnyy-rexant-38-0306/", "Инфо")</f>
        <v>Инфо</v>
      </c>
      <c r="F8304" s="16" t="s">
        <v>39</v>
      </c>
      <c r="G8304" s="15"/>
      <c r="H8304" s="15"/>
      <c r="I8304" s="15"/>
      <c r="J8304" s="22">
        <v>1464</v>
      </c>
      <c r="K8304" s="15" t="s">
        <v>1650</v>
      </c>
      <c r="L8304" s="17">
        <v>1</v>
      </c>
      <c r="M8304" s="17">
        <v>5</v>
      </c>
      <c r="N8304" s="17">
        <v>1</v>
      </c>
      <c r="O8304" s="18">
        <v>3284.73</v>
      </c>
      <c r="P8304" s="18">
        <v>2692.4</v>
      </c>
      <c r="Q8304" s="18">
        <v>2299.31</v>
      </c>
      <c r="R8304" s="18">
        <v>1884.68</v>
      </c>
      <c r="S8304" s="18">
        <v>2233.62</v>
      </c>
      <c r="T8304" s="18">
        <v>1830.84</v>
      </c>
      <c r="U8304" s="16"/>
      <c r="V8304" s="16"/>
      <c r="W8304" s="16"/>
      <c r="X8304" s="19">
        <v>2.2360000000000002</v>
      </c>
      <c r="Y8304" s="20">
        <v>7.5110000000000003E-3</v>
      </c>
      <c r="Z8304" s="21">
        <v>4601004148208</v>
      </c>
    </row>
    <row r="8305" spans="1:26" ht="12.95" customHeight="1" outlineLevel="2" x14ac:dyDescent="0.2">
      <c r="A8305" s="76" t="s">
        <v>15865</v>
      </c>
      <c r="B8305" s="76"/>
      <c r="C8305" s="77"/>
      <c r="D8305" s="58"/>
      <c r="E8305" s="68"/>
      <c r="F8305" s="13"/>
      <c r="G8305" s="13"/>
      <c r="H8305" s="13"/>
      <c r="I8305" s="13"/>
      <c r="J8305" s="13"/>
      <c r="K8305" s="13"/>
      <c r="L8305" s="13"/>
      <c r="M8305" s="13"/>
      <c r="N8305" s="13"/>
      <c r="O8305" s="13"/>
      <c r="P8305" s="13"/>
      <c r="Q8305" s="13"/>
      <c r="R8305" s="13"/>
      <c r="S8305" s="13"/>
      <c r="T8305" s="13"/>
      <c r="U8305" s="13"/>
      <c r="V8305" s="13"/>
      <c r="W8305" s="13"/>
      <c r="X8305" s="13"/>
      <c r="Y8305" s="13"/>
      <c r="Z8305" s="13"/>
    </row>
    <row r="8306" spans="1:26" ht="12" customHeight="1" outlineLevel="3" x14ac:dyDescent="0.2">
      <c r="A8306" s="14" t="s">
        <v>15866</v>
      </c>
      <c r="B8306" s="26" t="s">
        <v>15867</v>
      </c>
      <c r="C8306" s="52"/>
      <c r="D8306" s="55">
        <f t="shared" si="129"/>
        <v>0</v>
      </c>
      <c r="E8306" s="63" t="str">
        <f>HYPERLINK("https://www.sds-group.ru/product/kronshteyn-dlya-proektora-nastenno-potolochnyy-s-regulirovkoy-rasstoyaniya-350-650mm-maks-20-38-0322/", "Инфо")</f>
        <v>Инфо</v>
      </c>
      <c r="F8306" s="16" t="s">
        <v>39</v>
      </c>
      <c r="G8306" s="15"/>
      <c r="H8306" s="15"/>
      <c r="I8306" s="15"/>
      <c r="J8306" s="17">
        <v>274</v>
      </c>
      <c r="K8306" s="15"/>
      <c r="L8306" s="17">
        <v>1</v>
      </c>
      <c r="M8306" s="17">
        <v>10</v>
      </c>
      <c r="N8306" s="17">
        <v>1</v>
      </c>
      <c r="O8306" s="18">
        <v>2606.66</v>
      </c>
      <c r="P8306" s="18">
        <v>2136.61</v>
      </c>
      <c r="Q8306" s="18">
        <v>2215.66</v>
      </c>
      <c r="R8306" s="18">
        <v>1816.11</v>
      </c>
      <c r="S8306" s="18">
        <v>1772.53</v>
      </c>
      <c r="T8306" s="18">
        <v>1452.89</v>
      </c>
      <c r="U8306" s="16"/>
      <c r="V8306" s="16"/>
      <c r="W8306" s="16" t="s">
        <v>40</v>
      </c>
      <c r="X8306" s="19">
        <v>1.627</v>
      </c>
      <c r="Y8306" s="20">
        <v>2.0539999999999998E-3</v>
      </c>
      <c r="Z8306" s="21">
        <v>4601004277113</v>
      </c>
    </row>
    <row r="8307" spans="1:26" ht="12" customHeight="1" outlineLevel="3" x14ac:dyDescent="0.2">
      <c r="A8307" s="14" t="s">
        <v>15868</v>
      </c>
      <c r="B8307" s="26" t="s">
        <v>15869</v>
      </c>
      <c r="C8307" s="52"/>
      <c r="D8307" s="55">
        <f t="shared" si="129"/>
        <v>0</v>
      </c>
      <c r="E8307" s="63" t="str">
        <f>HYPERLINK("https://www.sds-group.ru/product/kronshteyn-dlya-proektora-potolochnyy-s-regulirovkoy-rasstoyaniya-380-580-mm-maks-13-5-kg-se-38-0321/", "Инфо")</f>
        <v>Инфо</v>
      </c>
      <c r="F8307" s="16" t="s">
        <v>39</v>
      </c>
      <c r="G8307" s="15"/>
      <c r="H8307" s="15"/>
      <c r="I8307" s="15"/>
      <c r="J8307" s="17">
        <v>331</v>
      </c>
      <c r="K8307" s="15"/>
      <c r="L8307" s="17">
        <v>1</v>
      </c>
      <c r="M8307" s="17">
        <v>10</v>
      </c>
      <c r="N8307" s="17">
        <v>1</v>
      </c>
      <c r="O8307" s="18">
        <v>2639.94</v>
      </c>
      <c r="P8307" s="18">
        <v>2163.89</v>
      </c>
      <c r="Q8307" s="18">
        <v>2032.75</v>
      </c>
      <c r="R8307" s="18">
        <v>1666.19</v>
      </c>
      <c r="S8307" s="18">
        <v>1795.16</v>
      </c>
      <c r="T8307" s="18">
        <v>1471.44</v>
      </c>
      <c r="U8307" s="16"/>
      <c r="V8307" s="16"/>
      <c r="W8307" s="16" t="s">
        <v>40</v>
      </c>
      <c r="X8307" s="19">
        <v>1.413</v>
      </c>
      <c r="Y8307" s="20">
        <v>5.1859999999999996E-3</v>
      </c>
      <c r="Z8307" s="21">
        <v>4601004259867</v>
      </c>
    </row>
    <row r="8308" spans="1:26" ht="12" customHeight="1" outlineLevel="3" x14ac:dyDescent="0.2">
      <c r="A8308" s="14" t="s">
        <v>15870</v>
      </c>
      <c r="B8308" s="26" t="s">
        <v>15871</v>
      </c>
      <c r="C8308" s="52"/>
      <c r="D8308" s="55">
        <f t="shared" si="129"/>
        <v>0</v>
      </c>
      <c r="E8308" s="63" t="str">
        <f>HYPERLINK("https://www.sds-group.ru/product/kronshteyn-dlya-proektora-potolochnyy-s-regulirovkoy-rasstoyaniya-428-683mm-seriya-profi-rex-38-0302/", "Инфо")</f>
        <v>Инфо</v>
      </c>
      <c r="F8308" s="16" t="s">
        <v>39</v>
      </c>
      <c r="G8308" s="15"/>
      <c r="H8308" s="15"/>
      <c r="I8308" s="15"/>
      <c r="J8308" s="17">
        <v>271</v>
      </c>
      <c r="K8308" s="15" t="s">
        <v>11098</v>
      </c>
      <c r="L8308" s="17">
        <v>1</v>
      </c>
      <c r="M8308" s="17">
        <v>10</v>
      </c>
      <c r="N8308" s="17">
        <v>1</v>
      </c>
      <c r="O8308" s="18">
        <v>2587.25</v>
      </c>
      <c r="P8308" s="18">
        <v>2120.6999999999998</v>
      </c>
      <c r="Q8308" s="18">
        <v>1811.08</v>
      </c>
      <c r="R8308" s="18">
        <v>1484.49</v>
      </c>
      <c r="S8308" s="18">
        <v>1759.33</v>
      </c>
      <c r="T8308" s="18">
        <v>1442.07</v>
      </c>
      <c r="U8308" s="16"/>
      <c r="V8308" s="16"/>
      <c r="W8308" s="16"/>
      <c r="X8308" s="19">
        <v>1.1930000000000001</v>
      </c>
      <c r="Y8308" s="20">
        <v>3.0959999999999998E-3</v>
      </c>
      <c r="Z8308" s="21">
        <v>4601004230422</v>
      </c>
    </row>
    <row r="8309" spans="1:26" ht="12" customHeight="1" outlineLevel="3" x14ac:dyDescent="0.2">
      <c r="A8309" s="14" t="s">
        <v>15872</v>
      </c>
      <c r="B8309" s="26" t="s">
        <v>15873</v>
      </c>
      <c r="C8309" s="52"/>
      <c r="D8309" s="55">
        <f t="shared" si="129"/>
        <v>0</v>
      </c>
      <c r="E8309" s="63" t="str">
        <f>HYPERLINK("https://www.sds-group.ru/product/kronshteyn-dlya-proektora-potolochnyy-s-regulirovkoy-rasstoyaniya-430-650-mm-maks-15kg-belyy-38-0323/", "Инфо")</f>
        <v>Инфо</v>
      </c>
      <c r="F8309" s="16" t="s">
        <v>39</v>
      </c>
      <c r="G8309" s="15"/>
      <c r="H8309" s="15"/>
      <c r="I8309" s="15"/>
      <c r="J8309" s="17">
        <v>159</v>
      </c>
      <c r="K8309" s="15"/>
      <c r="L8309" s="17">
        <v>1</v>
      </c>
      <c r="M8309" s="17">
        <v>20</v>
      </c>
      <c r="N8309" s="17">
        <v>1</v>
      </c>
      <c r="O8309" s="18">
        <v>1993.26</v>
      </c>
      <c r="P8309" s="18">
        <v>1633.82</v>
      </c>
      <c r="Q8309" s="18">
        <v>1694.27</v>
      </c>
      <c r="R8309" s="18">
        <v>1388.75</v>
      </c>
      <c r="S8309" s="18">
        <v>1355.42</v>
      </c>
      <c r="T8309" s="18">
        <v>1111</v>
      </c>
      <c r="U8309" s="16"/>
      <c r="V8309" s="16"/>
      <c r="W8309" s="16" t="s">
        <v>40</v>
      </c>
      <c r="X8309" s="19">
        <v>1.2789999999999999</v>
      </c>
      <c r="Y8309" s="20">
        <v>1.867E-3</v>
      </c>
      <c r="Z8309" s="21">
        <v>4601004290433</v>
      </c>
    </row>
    <row r="8310" spans="1:26" ht="12.95" customHeight="1" outlineLevel="1" x14ac:dyDescent="0.2">
      <c r="A8310" s="78" t="s">
        <v>15874</v>
      </c>
      <c r="B8310" s="78"/>
      <c r="C8310" s="79"/>
      <c r="D8310" s="57"/>
      <c r="E8310" s="67"/>
      <c r="F8310" s="12"/>
      <c r="G8310" s="12"/>
      <c r="H8310" s="12"/>
      <c r="I8310" s="12"/>
      <c r="J8310" s="12"/>
      <c r="K8310" s="12"/>
      <c r="L8310" s="12"/>
      <c r="M8310" s="12"/>
      <c r="N8310" s="12"/>
      <c r="O8310" s="12"/>
      <c r="P8310" s="12"/>
      <c r="Q8310" s="12"/>
      <c r="R8310" s="12"/>
      <c r="S8310" s="12"/>
      <c r="T8310" s="12"/>
      <c r="U8310" s="12"/>
      <c r="V8310" s="12"/>
      <c r="W8310" s="12"/>
      <c r="X8310" s="12"/>
      <c r="Y8310" s="12"/>
      <c r="Z8310" s="12"/>
    </row>
    <row r="8311" spans="1:26" ht="12.95" customHeight="1" outlineLevel="2" x14ac:dyDescent="0.2">
      <c r="A8311" s="76" t="s">
        <v>15875</v>
      </c>
      <c r="B8311" s="76"/>
      <c r="C8311" s="77"/>
      <c r="D8311" s="58"/>
      <c r="E8311" s="68"/>
      <c r="F8311" s="13"/>
      <c r="G8311" s="13"/>
      <c r="H8311" s="13"/>
      <c r="I8311" s="13"/>
      <c r="J8311" s="13"/>
      <c r="K8311" s="13"/>
      <c r="L8311" s="13"/>
      <c r="M8311" s="13"/>
      <c r="N8311" s="13"/>
      <c r="O8311" s="13"/>
      <c r="P8311" s="13"/>
      <c r="Q8311" s="13"/>
      <c r="R8311" s="13"/>
      <c r="S8311" s="13"/>
      <c r="T8311" s="13"/>
      <c r="U8311" s="13"/>
      <c r="V8311" s="13"/>
      <c r="W8311" s="13"/>
      <c r="X8311" s="13"/>
      <c r="Y8311" s="13"/>
      <c r="Z8311" s="13"/>
    </row>
    <row r="8312" spans="1:26" ht="12" customHeight="1" outlineLevel="3" x14ac:dyDescent="0.2">
      <c r="A8312" s="14" t="s">
        <v>15876</v>
      </c>
      <c r="B8312" s="26" t="s">
        <v>15877</v>
      </c>
      <c r="C8312" s="52"/>
      <c r="D8312" s="55">
        <f t="shared" si="129"/>
        <v>0</v>
      </c>
      <c r="E8312" s="63" t="str">
        <f>HYPERLINK("https://www.sds-group.ru/product/pult-universalnyy-dlya-televizora-haier-rexant-38-0104/", "Инфо")</f>
        <v>Инфо</v>
      </c>
      <c r="F8312" s="16" t="s">
        <v>39</v>
      </c>
      <c r="G8312" s="15"/>
      <c r="H8312" s="15"/>
      <c r="I8312" s="15"/>
      <c r="J8312" s="17">
        <v>726</v>
      </c>
      <c r="K8312" s="15" t="s">
        <v>1519</v>
      </c>
      <c r="L8312" s="17">
        <v>1</v>
      </c>
      <c r="M8312" s="17">
        <v>200</v>
      </c>
      <c r="N8312" s="17">
        <v>1</v>
      </c>
      <c r="O8312" s="18">
        <v>479.22</v>
      </c>
      <c r="P8312" s="18">
        <v>392.8</v>
      </c>
      <c r="Q8312" s="18">
        <v>335.45</v>
      </c>
      <c r="R8312" s="18">
        <v>274.95999999999998</v>
      </c>
      <c r="S8312" s="18">
        <v>325.87</v>
      </c>
      <c r="T8312" s="18">
        <v>267.11</v>
      </c>
      <c r="U8312" s="16"/>
      <c r="V8312" s="16"/>
      <c r="W8312" s="16"/>
      <c r="X8312" s="19">
        <v>8.2000000000000003E-2</v>
      </c>
      <c r="Y8312" s="20">
        <v>2.92E-4</v>
      </c>
      <c r="Z8312" s="21">
        <v>4601004283688</v>
      </c>
    </row>
    <row r="8313" spans="1:26" ht="12" customHeight="1" outlineLevel="3" x14ac:dyDescent="0.2">
      <c r="A8313" s="14" t="s">
        <v>15878</v>
      </c>
      <c r="B8313" s="26" t="s">
        <v>15879</v>
      </c>
      <c r="C8313" s="52"/>
      <c r="D8313" s="55">
        <f t="shared" si="129"/>
        <v>0</v>
      </c>
      <c r="E8313" s="63" t="str">
        <f>HYPERLINK("https://www.sds-group.ru/product/pult-universalnyy-dlya-televizora-lg-s-funktsiey-smart-tv-st-03-rexant-38-0002/", "Инфо")</f>
        <v>Инфо</v>
      </c>
      <c r="F8313" s="16" t="s">
        <v>39</v>
      </c>
      <c r="G8313" s="15"/>
      <c r="H8313" s="15"/>
      <c r="I8313" s="15"/>
      <c r="J8313" s="17">
        <v>132</v>
      </c>
      <c r="K8313" s="15" t="s">
        <v>1519</v>
      </c>
      <c r="L8313" s="17">
        <v>1</v>
      </c>
      <c r="M8313" s="17">
        <v>200</v>
      </c>
      <c r="N8313" s="17">
        <v>1</v>
      </c>
      <c r="O8313" s="18">
        <v>451.84</v>
      </c>
      <c r="P8313" s="18">
        <v>370.36</v>
      </c>
      <c r="Q8313" s="18">
        <v>384.06</v>
      </c>
      <c r="R8313" s="18">
        <v>314.8</v>
      </c>
      <c r="S8313" s="18">
        <v>307.25</v>
      </c>
      <c r="T8313" s="18">
        <v>251.84</v>
      </c>
      <c r="U8313" s="16"/>
      <c r="V8313" s="16"/>
      <c r="W8313" s="16" t="s">
        <v>40</v>
      </c>
      <c r="X8313" s="19">
        <v>0.115</v>
      </c>
      <c r="Y8313" s="20">
        <v>4.2900000000000002E-4</v>
      </c>
      <c r="Z8313" s="21">
        <v>4601004278714</v>
      </c>
    </row>
    <row r="8314" spans="1:26" ht="12" customHeight="1" outlineLevel="3" x14ac:dyDescent="0.2">
      <c r="A8314" s="14" t="s">
        <v>15880</v>
      </c>
      <c r="B8314" s="26" t="s">
        <v>15881</v>
      </c>
      <c r="C8314" s="52"/>
      <c r="D8314" s="55">
        <f t="shared" si="129"/>
        <v>0</v>
      </c>
      <c r="E8314" s="63" t="str">
        <f>HYPERLINK("https://www.sds-group.ru/product/pult-universalnyy-dlya-televizora-lg-s-funktsiey-smart-tv-st-04-rexant-38-0004/", "Инфо")</f>
        <v>Инфо</v>
      </c>
      <c r="F8314" s="16" t="s">
        <v>39</v>
      </c>
      <c r="G8314" s="15"/>
      <c r="H8314" s="15"/>
      <c r="I8314" s="15"/>
      <c r="J8314" s="16" t="s">
        <v>100</v>
      </c>
      <c r="K8314" s="15" t="s">
        <v>925</v>
      </c>
      <c r="L8314" s="17">
        <v>1</v>
      </c>
      <c r="M8314" s="17">
        <v>150</v>
      </c>
      <c r="N8314" s="17">
        <v>1</v>
      </c>
      <c r="O8314" s="18">
        <v>1054.27</v>
      </c>
      <c r="P8314" s="18">
        <v>864.16</v>
      </c>
      <c r="Q8314" s="18">
        <v>737.99</v>
      </c>
      <c r="R8314" s="18">
        <v>604.91</v>
      </c>
      <c r="S8314" s="18">
        <v>716.9</v>
      </c>
      <c r="T8314" s="18">
        <v>587.62</v>
      </c>
      <c r="U8314" s="16"/>
      <c r="V8314" s="16"/>
      <c r="W8314" s="16"/>
      <c r="X8314" s="19">
        <v>0.114</v>
      </c>
      <c r="Y8314" s="20">
        <v>5.0100000000000003E-4</v>
      </c>
      <c r="Z8314" s="21">
        <v>4601004278691</v>
      </c>
    </row>
    <row r="8315" spans="1:26" ht="12" customHeight="1" outlineLevel="3" x14ac:dyDescent="0.2">
      <c r="A8315" s="14" t="s">
        <v>15882</v>
      </c>
      <c r="B8315" s="26" t="s">
        <v>15883</v>
      </c>
      <c r="C8315" s="52"/>
      <c r="D8315" s="55">
        <f t="shared" si="129"/>
        <v>0</v>
      </c>
      <c r="E8315" s="63" t="str">
        <f>HYPERLINK("https://www.sds-group.ru/product/pult-universalnyy-dlya-televizora-panasonic-rexant-38-0008/", "Инфо")</f>
        <v>Инфо</v>
      </c>
      <c r="F8315" s="16" t="s">
        <v>39</v>
      </c>
      <c r="G8315" s="15"/>
      <c r="H8315" s="15"/>
      <c r="I8315" s="15"/>
      <c r="J8315" s="17">
        <v>75</v>
      </c>
      <c r="K8315" s="15"/>
      <c r="L8315" s="17">
        <v>1</v>
      </c>
      <c r="M8315" s="17">
        <v>200</v>
      </c>
      <c r="N8315" s="17">
        <v>1</v>
      </c>
      <c r="O8315" s="18">
        <v>456.39</v>
      </c>
      <c r="P8315" s="18">
        <v>374.09</v>
      </c>
      <c r="Q8315" s="18">
        <v>319.47000000000003</v>
      </c>
      <c r="R8315" s="18">
        <v>261.86</v>
      </c>
      <c r="S8315" s="18">
        <v>310.35000000000002</v>
      </c>
      <c r="T8315" s="18">
        <v>254.39</v>
      </c>
      <c r="U8315" s="16"/>
      <c r="V8315" s="16"/>
      <c r="W8315" s="16"/>
      <c r="X8315" s="19">
        <v>0.104</v>
      </c>
      <c r="Y8315" s="20">
        <v>4.3100000000000001E-4</v>
      </c>
      <c r="Z8315" s="21">
        <v>4601004278622</v>
      </c>
    </row>
    <row r="8316" spans="1:26" ht="12" customHeight="1" outlineLevel="3" x14ac:dyDescent="0.2">
      <c r="A8316" s="14" t="s">
        <v>15884</v>
      </c>
      <c r="B8316" s="26" t="s">
        <v>15885</v>
      </c>
      <c r="C8316" s="52"/>
      <c r="D8316" s="55">
        <f t="shared" si="129"/>
        <v>0</v>
      </c>
      <c r="E8316" s="63" t="str">
        <f>HYPERLINK("https://www.sds-group.ru/product/pult-universalnyy-dlya-televizora-rx-188-rexant-38-0025/", "Инфо")</f>
        <v>Инфо</v>
      </c>
      <c r="F8316" s="16" t="s">
        <v>39</v>
      </c>
      <c r="G8316" s="15"/>
      <c r="H8316" s="15"/>
      <c r="I8316" s="15"/>
      <c r="J8316" s="22">
        <v>2992</v>
      </c>
      <c r="K8316" s="15"/>
      <c r="L8316" s="17">
        <v>5</v>
      </c>
      <c r="M8316" s="17">
        <v>400</v>
      </c>
      <c r="N8316" s="17">
        <v>5</v>
      </c>
      <c r="O8316" s="18">
        <v>286.75</v>
      </c>
      <c r="P8316" s="18">
        <v>235.04</v>
      </c>
      <c r="Q8316" s="18">
        <v>200.73</v>
      </c>
      <c r="R8316" s="18">
        <v>164.53</v>
      </c>
      <c r="S8316" s="18">
        <v>194.99</v>
      </c>
      <c r="T8316" s="18">
        <v>159.83000000000001</v>
      </c>
      <c r="U8316" s="16"/>
      <c r="V8316" s="16"/>
      <c r="W8316" s="16"/>
      <c r="X8316" s="19">
        <v>0.04</v>
      </c>
      <c r="Y8316" s="20">
        <v>1.8200000000000001E-4</v>
      </c>
      <c r="Z8316" s="21">
        <v>4601004041837</v>
      </c>
    </row>
    <row r="8317" spans="1:26" ht="12" customHeight="1" outlineLevel="3" x14ac:dyDescent="0.2">
      <c r="A8317" s="14" t="s">
        <v>15886</v>
      </c>
      <c r="B8317" s="26" t="s">
        <v>15887</v>
      </c>
      <c r="C8317" s="52"/>
      <c r="D8317" s="55">
        <f t="shared" si="129"/>
        <v>0</v>
      </c>
      <c r="E8317" s="63" t="str">
        <f>HYPERLINK("https://www.sds-group.ru/product/pult-universalnyy-dlya-televizora-rx-707e-rexant-38-0011/", "Инфо")</f>
        <v>Инфо</v>
      </c>
      <c r="F8317" s="16" t="s">
        <v>39</v>
      </c>
      <c r="G8317" s="15"/>
      <c r="H8317" s="15"/>
      <c r="I8317" s="15"/>
      <c r="J8317" s="22">
        <v>4567</v>
      </c>
      <c r="K8317" s="15" t="s">
        <v>995</v>
      </c>
      <c r="L8317" s="17">
        <v>5</v>
      </c>
      <c r="M8317" s="17">
        <v>250</v>
      </c>
      <c r="N8317" s="17">
        <v>5</v>
      </c>
      <c r="O8317" s="18">
        <v>371.92</v>
      </c>
      <c r="P8317" s="18">
        <v>304.85000000000002</v>
      </c>
      <c r="Q8317" s="18">
        <v>260.33999999999997</v>
      </c>
      <c r="R8317" s="18">
        <v>213.39</v>
      </c>
      <c r="S8317" s="18">
        <v>252.91</v>
      </c>
      <c r="T8317" s="18">
        <v>207.3</v>
      </c>
      <c r="U8317" s="16"/>
      <c r="V8317" s="16"/>
      <c r="W8317" s="16"/>
      <c r="X8317" s="19">
        <v>6.7000000000000004E-2</v>
      </c>
      <c r="Y8317" s="20">
        <v>2.3699999999999999E-4</v>
      </c>
      <c r="Z8317" s="21">
        <v>4601004041783</v>
      </c>
    </row>
    <row r="8318" spans="1:26" ht="12" customHeight="1" outlineLevel="3" x14ac:dyDescent="0.2">
      <c r="A8318" s="32" t="s">
        <v>15888</v>
      </c>
      <c r="B8318" s="74" t="s">
        <v>15889</v>
      </c>
      <c r="C8318" s="50"/>
      <c r="D8318" s="53">
        <f t="shared" si="129"/>
        <v>0</v>
      </c>
      <c r="E8318" s="60" t="str">
        <f>HYPERLINK("https://www.sds-group.ru/product/pult-universalnyy-dlya-televizora-rx-951-rexant-38-0001/", "Инфо")</f>
        <v>Инфо</v>
      </c>
      <c r="F8318" s="34" t="s">
        <v>39</v>
      </c>
      <c r="G8318" s="33"/>
      <c r="H8318" s="33" t="s">
        <v>40</v>
      </c>
      <c r="I8318" s="33"/>
      <c r="J8318" s="35">
        <v>440</v>
      </c>
      <c r="K8318" s="33"/>
      <c r="L8318" s="35">
        <v>1</v>
      </c>
      <c r="M8318" s="35">
        <v>100</v>
      </c>
      <c r="N8318" s="35">
        <v>1</v>
      </c>
      <c r="O8318" s="36">
        <v>238.3</v>
      </c>
      <c r="P8318" s="36">
        <v>195.33</v>
      </c>
      <c r="Q8318" s="36">
        <v>166.81</v>
      </c>
      <c r="R8318" s="36">
        <v>136.72999999999999</v>
      </c>
      <c r="S8318" s="36">
        <v>162.04</v>
      </c>
      <c r="T8318" s="36">
        <v>132.82</v>
      </c>
      <c r="U8318" s="34"/>
      <c r="V8318" s="34"/>
      <c r="W8318" s="34"/>
      <c r="X8318" s="37">
        <v>8.6999999999999994E-2</v>
      </c>
      <c r="Y8318" s="38">
        <v>7.6300000000000001E-4</v>
      </c>
      <c r="Z8318" s="21">
        <v>4601004041820</v>
      </c>
    </row>
    <row r="8319" spans="1:26" ht="12" customHeight="1" outlineLevel="3" x14ac:dyDescent="0.2">
      <c r="A8319" s="32" t="s">
        <v>15890</v>
      </c>
      <c r="B8319" s="74" t="s">
        <v>15891</v>
      </c>
      <c r="C8319" s="50"/>
      <c r="D8319" s="53">
        <f t="shared" si="129"/>
        <v>0</v>
      </c>
      <c r="E8319" s="60" t="str">
        <f>HYPERLINK("https://www.sds-group.ru/product/pult-universalnyy-dlya-televizora-rx-952-rexant-38-0005/", "Инфо")</f>
        <v>Инфо</v>
      </c>
      <c r="F8319" s="34" t="s">
        <v>39</v>
      </c>
      <c r="G8319" s="33"/>
      <c r="H8319" s="33" t="s">
        <v>40</v>
      </c>
      <c r="I8319" s="33"/>
      <c r="J8319" s="35">
        <v>51</v>
      </c>
      <c r="K8319" s="33"/>
      <c r="L8319" s="35">
        <v>1</v>
      </c>
      <c r="M8319" s="35">
        <v>100</v>
      </c>
      <c r="N8319" s="35">
        <v>1</v>
      </c>
      <c r="O8319" s="36">
        <v>328.6</v>
      </c>
      <c r="P8319" s="36">
        <v>269.33999999999997</v>
      </c>
      <c r="Q8319" s="36">
        <v>230.02</v>
      </c>
      <c r="R8319" s="36">
        <v>188.54</v>
      </c>
      <c r="S8319" s="36">
        <v>223.45</v>
      </c>
      <c r="T8319" s="36">
        <v>183.16</v>
      </c>
      <c r="U8319" s="34"/>
      <c r="V8319" s="34"/>
      <c r="W8319" s="34"/>
      <c r="X8319" s="37">
        <v>9.6000000000000002E-2</v>
      </c>
      <c r="Y8319" s="38">
        <v>7.7300000000000003E-4</v>
      </c>
      <c r="Z8319" s="21">
        <v>4601004041790</v>
      </c>
    </row>
    <row r="8320" spans="1:26" ht="12" customHeight="1" outlineLevel="3" x14ac:dyDescent="0.2">
      <c r="A8320" s="14" t="s">
        <v>15892</v>
      </c>
      <c r="B8320" s="26" t="s">
        <v>15893</v>
      </c>
      <c r="C8320" s="52"/>
      <c r="D8320" s="55">
        <f t="shared" si="129"/>
        <v>0</v>
      </c>
      <c r="E8320" s="63" t="str">
        <f>HYPERLINK("https://www.sds-group.ru/product/pult-universalnyy-dlya-televizora-rx-e877-rexant-38-0015/", "Инфо")</f>
        <v>Инфо</v>
      </c>
      <c r="F8320" s="16" t="s">
        <v>39</v>
      </c>
      <c r="G8320" s="15"/>
      <c r="H8320" s="15"/>
      <c r="I8320" s="15"/>
      <c r="J8320" s="22">
        <v>1512</v>
      </c>
      <c r="K8320" s="15"/>
      <c r="L8320" s="17">
        <v>5</v>
      </c>
      <c r="M8320" s="17">
        <v>100</v>
      </c>
      <c r="N8320" s="17">
        <v>5</v>
      </c>
      <c r="O8320" s="18">
        <v>348.2</v>
      </c>
      <c r="P8320" s="18">
        <v>285.41000000000003</v>
      </c>
      <c r="Q8320" s="18">
        <v>295.97000000000003</v>
      </c>
      <c r="R8320" s="18">
        <v>242.6</v>
      </c>
      <c r="S8320" s="18">
        <v>236.78</v>
      </c>
      <c r="T8320" s="18">
        <v>194.08</v>
      </c>
      <c r="U8320" s="16"/>
      <c r="V8320" s="16"/>
      <c r="W8320" s="16" t="s">
        <v>40</v>
      </c>
      <c r="X8320" s="19">
        <v>8.8999999999999996E-2</v>
      </c>
      <c r="Y8320" s="20">
        <v>6.2699999999999995E-4</v>
      </c>
      <c r="Z8320" s="21">
        <v>4601004041806</v>
      </c>
    </row>
    <row r="8321" spans="1:26" ht="12" customHeight="1" outlineLevel="3" x14ac:dyDescent="0.2">
      <c r="A8321" s="14" t="s">
        <v>15894</v>
      </c>
      <c r="B8321" s="26" t="s">
        <v>15895</v>
      </c>
      <c r="C8321" s="52"/>
      <c r="D8321" s="55">
        <f t="shared" si="129"/>
        <v>0</v>
      </c>
      <c r="E8321" s="63" t="str">
        <f>HYPERLINK("https://www.sds-group.ru/product/pult-universalnyy-dlya-televizora-samsung-s-funktsiey-smart-tv-st-02-rexant-38-0200/", "Инфо")</f>
        <v>Инфо</v>
      </c>
      <c r="F8321" s="16" t="s">
        <v>39</v>
      </c>
      <c r="G8321" s="15"/>
      <c r="H8321" s="15"/>
      <c r="I8321" s="15"/>
      <c r="J8321" s="22">
        <v>2376</v>
      </c>
      <c r="K8321" s="15"/>
      <c r="L8321" s="17">
        <v>1</v>
      </c>
      <c r="M8321" s="17">
        <v>200</v>
      </c>
      <c r="N8321" s="17">
        <v>1</v>
      </c>
      <c r="O8321" s="18">
        <v>415.04</v>
      </c>
      <c r="P8321" s="18">
        <v>340.2</v>
      </c>
      <c r="Q8321" s="18">
        <v>290.52999999999997</v>
      </c>
      <c r="R8321" s="18">
        <v>238.14</v>
      </c>
      <c r="S8321" s="18">
        <v>282.23</v>
      </c>
      <c r="T8321" s="18">
        <v>231.34</v>
      </c>
      <c r="U8321" s="16"/>
      <c r="V8321" s="16"/>
      <c r="W8321" s="16"/>
      <c r="X8321" s="19">
        <v>0.104</v>
      </c>
      <c r="Y8321" s="20">
        <v>3.6400000000000001E-4</v>
      </c>
      <c r="Z8321" s="21">
        <v>4601004278677</v>
      </c>
    </row>
    <row r="8322" spans="1:26" ht="12" customHeight="1" outlineLevel="3" x14ac:dyDescent="0.2">
      <c r="A8322" s="14" t="s">
        <v>15896</v>
      </c>
      <c r="B8322" s="26" t="s">
        <v>15897</v>
      </c>
      <c r="C8322" s="52"/>
      <c r="D8322" s="55">
        <f t="shared" si="129"/>
        <v>0</v>
      </c>
      <c r="E8322" s="63" t="str">
        <f>HYPERLINK("https://www.sds-group.ru/product/pult-universalnyy-dlya-televizora-samsung-s-funktsiey-smart-tv-st-05-rexant-38-0006/", "Инфо")</f>
        <v>Инфо</v>
      </c>
      <c r="F8322" s="16" t="s">
        <v>39</v>
      </c>
      <c r="G8322" s="15"/>
      <c r="H8322" s="15"/>
      <c r="I8322" s="15"/>
      <c r="J8322" s="22">
        <v>2190</v>
      </c>
      <c r="K8322" s="15"/>
      <c r="L8322" s="17">
        <v>1</v>
      </c>
      <c r="M8322" s="17">
        <v>250</v>
      </c>
      <c r="N8322" s="17">
        <v>1</v>
      </c>
      <c r="O8322" s="18">
        <v>367.82</v>
      </c>
      <c r="P8322" s="18">
        <v>301.49</v>
      </c>
      <c r="Q8322" s="18">
        <v>257.47000000000003</v>
      </c>
      <c r="R8322" s="18">
        <v>211.04</v>
      </c>
      <c r="S8322" s="18">
        <v>250.12</v>
      </c>
      <c r="T8322" s="18">
        <v>205.02</v>
      </c>
      <c r="U8322" s="16"/>
      <c r="V8322" s="16"/>
      <c r="W8322" s="16"/>
      <c r="X8322" s="19">
        <v>6.0999999999999999E-2</v>
      </c>
      <c r="Y8322" s="20">
        <v>2.4899999999999998E-4</v>
      </c>
      <c r="Z8322" s="21">
        <v>4601004278646</v>
      </c>
    </row>
    <row r="8323" spans="1:26" ht="12" customHeight="1" outlineLevel="3" x14ac:dyDescent="0.2">
      <c r="A8323" s="14" t="s">
        <v>15898</v>
      </c>
      <c r="B8323" s="26" t="s">
        <v>15899</v>
      </c>
      <c r="C8323" s="52"/>
      <c r="D8323" s="55">
        <f t="shared" si="129"/>
        <v>0</v>
      </c>
      <c r="E8323" s="63" t="str">
        <f>HYPERLINK("https://www.sds-group.ru/product/pult-universalnyy-dlya-televizora-sony-rexant-38-0007/", "Инфо")</f>
        <v>Инфо</v>
      </c>
      <c r="F8323" s="16" t="s">
        <v>39</v>
      </c>
      <c r="G8323" s="15"/>
      <c r="H8323" s="15"/>
      <c r="I8323" s="15"/>
      <c r="J8323" s="17">
        <v>667</v>
      </c>
      <c r="K8323" s="15" t="s">
        <v>925</v>
      </c>
      <c r="L8323" s="17">
        <v>1</v>
      </c>
      <c r="M8323" s="17">
        <v>200</v>
      </c>
      <c r="N8323" s="17">
        <v>1</v>
      </c>
      <c r="O8323" s="18">
        <v>443.07</v>
      </c>
      <c r="P8323" s="18">
        <v>363.17</v>
      </c>
      <c r="Q8323" s="18">
        <v>310.14999999999998</v>
      </c>
      <c r="R8323" s="18">
        <v>254.22</v>
      </c>
      <c r="S8323" s="18">
        <v>301.29000000000002</v>
      </c>
      <c r="T8323" s="18">
        <v>246.96</v>
      </c>
      <c r="U8323" s="16"/>
      <c r="V8323" s="16"/>
      <c r="W8323" s="16"/>
      <c r="X8323" s="19">
        <v>9.7000000000000003E-2</v>
      </c>
      <c r="Y8323" s="20">
        <v>2.9999999999999997E-4</v>
      </c>
      <c r="Z8323" s="21">
        <v>4601004278639</v>
      </c>
    </row>
    <row r="8324" spans="1:26" ht="12" customHeight="1" outlineLevel="3" x14ac:dyDescent="0.2">
      <c r="A8324" s="14" t="s">
        <v>15900</v>
      </c>
      <c r="B8324" s="26" t="s">
        <v>15901</v>
      </c>
      <c r="C8324" s="52"/>
      <c r="D8324" s="55">
        <f t="shared" si="129"/>
        <v>0</v>
      </c>
      <c r="E8324" s="63" t="str">
        <f>HYPERLINK("https://www.sds-group.ru/product/pult-universalnyy-dlya-televizora-s-funktsiey-smart-tv-st-01-rexant-38-0030/", "Инфо")</f>
        <v>Инфо</v>
      </c>
      <c r="F8324" s="16" t="s">
        <v>39</v>
      </c>
      <c r="G8324" s="15"/>
      <c r="H8324" s="15"/>
      <c r="I8324" s="15"/>
      <c r="J8324" s="17">
        <v>957</v>
      </c>
      <c r="K8324" s="15" t="s">
        <v>1519</v>
      </c>
      <c r="L8324" s="17">
        <v>5</v>
      </c>
      <c r="M8324" s="17">
        <v>200</v>
      </c>
      <c r="N8324" s="17">
        <v>5</v>
      </c>
      <c r="O8324" s="18">
        <v>427.98</v>
      </c>
      <c r="P8324" s="18">
        <v>350.8</v>
      </c>
      <c r="Q8324" s="18">
        <v>299.58999999999997</v>
      </c>
      <c r="R8324" s="18">
        <v>245.57</v>
      </c>
      <c r="S8324" s="18">
        <v>291.02999999999997</v>
      </c>
      <c r="T8324" s="18">
        <v>238.55</v>
      </c>
      <c r="U8324" s="16"/>
      <c r="V8324" s="16"/>
      <c r="W8324" s="16"/>
      <c r="X8324" s="19">
        <v>0.11</v>
      </c>
      <c r="Y8324" s="20">
        <v>4.2400000000000001E-4</v>
      </c>
      <c r="Z8324" s="21">
        <v>4601004060296</v>
      </c>
    </row>
    <row r="8325" spans="1:26" ht="12" customHeight="1" outlineLevel="3" x14ac:dyDescent="0.2">
      <c r="A8325" s="32" t="s">
        <v>15902</v>
      </c>
      <c r="B8325" s="74" t="s">
        <v>15903</v>
      </c>
      <c r="C8325" s="50"/>
      <c r="D8325" s="53">
        <f t="shared" si="129"/>
        <v>0</v>
      </c>
      <c r="E8325" s="60" t="str">
        <f>HYPERLINK("https://www.sds-group.ru/product/pult-universalnyy-dlya-televizorov-telefunken-vestel-beko-rexant-38-0013/", "Инфо")</f>
        <v>Инфо</v>
      </c>
      <c r="F8325" s="34" t="s">
        <v>39</v>
      </c>
      <c r="G8325" s="33"/>
      <c r="H8325" s="33" t="s">
        <v>40</v>
      </c>
      <c r="I8325" s="33"/>
      <c r="J8325" s="39">
        <v>1340</v>
      </c>
      <c r="K8325" s="33"/>
      <c r="L8325" s="35">
        <v>1</v>
      </c>
      <c r="M8325" s="35">
        <v>180</v>
      </c>
      <c r="N8325" s="35">
        <v>1</v>
      </c>
      <c r="O8325" s="36">
        <v>573.75</v>
      </c>
      <c r="P8325" s="36">
        <v>470.29</v>
      </c>
      <c r="Q8325" s="36">
        <v>401.63</v>
      </c>
      <c r="R8325" s="36">
        <v>329.2</v>
      </c>
      <c r="S8325" s="36">
        <v>390.15</v>
      </c>
      <c r="T8325" s="36">
        <v>319.8</v>
      </c>
      <c r="U8325" s="34"/>
      <c r="V8325" s="34"/>
      <c r="W8325" s="34"/>
      <c r="X8325" s="37">
        <v>0.09</v>
      </c>
      <c r="Y8325" s="38">
        <v>2.7599999999999999E-4</v>
      </c>
      <c r="Z8325" s="21">
        <v>4601004278660</v>
      </c>
    </row>
    <row r="8326" spans="1:26" ht="12" customHeight="1" outlineLevel="3" x14ac:dyDescent="0.2">
      <c r="A8326" s="32" t="s">
        <v>15904</v>
      </c>
      <c r="B8326" s="74" t="s">
        <v>15905</v>
      </c>
      <c r="C8326" s="50"/>
      <c r="D8326" s="53">
        <f t="shared" si="129"/>
        <v>0</v>
      </c>
      <c r="E8326" s="60" t="str">
        <f>HYPERLINK("https://www.sds-group.ru/product/pult-universalnyy-na-8-ustroystv-rexant-38-0102/", "Инфо")</f>
        <v>Инфо</v>
      </c>
      <c r="F8326" s="34" t="s">
        <v>39</v>
      </c>
      <c r="G8326" s="33"/>
      <c r="H8326" s="33" t="s">
        <v>40</v>
      </c>
      <c r="I8326" s="33"/>
      <c r="J8326" s="39">
        <v>2698</v>
      </c>
      <c r="K8326" s="33"/>
      <c r="L8326" s="35">
        <v>1</v>
      </c>
      <c r="M8326" s="35">
        <v>100</v>
      </c>
      <c r="N8326" s="35">
        <v>1</v>
      </c>
      <c r="O8326" s="36">
        <v>269.49</v>
      </c>
      <c r="P8326" s="36">
        <v>220.89</v>
      </c>
      <c r="Q8326" s="36">
        <v>188.64</v>
      </c>
      <c r="R8326" s="36">
        <v>154.62</v>
      </c>
      <c r="S8326" s="36">
        <v>183.25</v>
      </c>
      <c r="T8326" s="36">
        <v>150.19999999999999</v>
      </c>
      <c r="U8326" s="34"/>
      <c r="V8326" s="34"/>
      <c r="W8326" s="34"/>
      <c r="X8326" s="37">
        <v>0.14799999999999999</v>
      </c>
      <c r="Y8326" s="38">
        <v>7.94E-4</v>
      </c>
      <c r="Z8326" s="21">
        <v>4601004198838</v>
      </c>
    </row>
    <row r="8327" spans="1:26" ht="12" customHeight="1" outlineLevel="3" x14ac:dyDescent="0.2">
      <c r="A8327" s="14" t="s">
        <v>15906</v>
      </c>
      <c r="B8327" s="26" t="s">
        <v>15907</v>
      </c>
      <c r="C8327" s="52"/>
      <c r="D8327" s="55">
        <f t="shared" si="129"/>
        <v>0</v>
      </c>
      <c r="E8327" s="63" t="str">
        <f>HYPERLINK("https://www.sds-group.ru/product/pult-universalnyy-dlya-televizora-lg-rexant-38-0018/", "Инфо")</f>
        <v>Инфо</v>
      </c>
      <c r="F8327" s="16" t="s">
        <v>39</v>
      </c>
      <c r="G8327" s="15"/>
      <c r="H8327" s="15"/>
      <c r="I8327" s="15"/>
      <c r="J8327" s="17">
        <v>488</v>
      </c>
      <c r="K8327" s="15" t="s">
        <v>925</v>
      </c>
      <c r="L8327" s="17">
        <v>5</v>
      </c>
      <c r="M8327" s="17">
        <v>250</v>
      </c>
      <c r="N8327" s="17">
        <v>5</v>
      </c>
      <c r="O8327" s="18">
        <v>323.41000000000003</v>
      </c>
      <c r="P8327" s="18">
        <v>265.08999999999997</v>
      </c>
      <c r="Q8327" s="18">
        <v>226.39</v>
      </c>
      <c r="R8327" s="18">
        <v>185.57</v>
      </c>
      <c r="S8327" s="18">
        <v>219.92</v>
      </c>
      <c r="T8327" s="18">
        <v>180.26</v>
      </c>
      <c r="U8327" s="16"/>
      <c r="V8327" s="16"/>
      <c r="W8327" s="16"/>
      <c r="X8327" s="19">
        <v>7.2999999999999995E-2</v>
      </c>
      <c r="Y8327" s="20">
        <v>3.0299999999999999E-4</v>
      </c>
      <c r="Z8327" s="21">
        <v>4601004198869</v>
      </c>
    </row>
    <row r="8328" spans="1:26" ht="12" customHeight="1" outlineLevel="3" x14ac:dyDescent="0.2">
      <c r="A8328" s="14" t="s">
        <v>15908</v>
      </c>
      <c r="B8328" s="26" t="s">
        <v>15909</v>
      </c>
      <c r="C8328" s="52"/>
      <c r="D8328" s="55">
        <f t="shared" si="129"/>
        <v>0</v>
      </c>
      <c r="E8328" s="63" t="str">
        <f>HYPERLINK("https://www.sds-group.ru/product/pult-universalnyy-dlya-televizora-philips-rexant-38-0019/", "Инфо")</f>
        <v>Инфо</v>
      </c>
      <c r="F8328" s="16" t="s">
        <v>39</v>
      </c>
      <c r="G8328" s="15"/>
      <c r="H8328" s="15"/>
      <c r="I8328" s="15"/>
      <c r="J8328" s="22">
        <v>1901</v>
      </c>
      <c r="K8328" s="15" t="s">
        <v>995</v>
      </c>
      <c r="L8328" s="17">
        <v>5</v>
      </c>
      <c r="M8328" s="17">
        <v>100</v>
      </c>
      <c r="N8328" s="17">
        <v>5</v>
      </c>
      <c r="O8328" s="18">
        <v>325.99</v>
      </c>
      <c r="P8328" s="18">
        <v>267.2</v>
      </c>
      <c r="Q8328" s="18">
        <v>277.08999999999997</v>
      </c>
      <c r="R8328" s="18">
        <v>227.12</v>
      </c>
      <c r="S8328" s="18">
        <v>221.67</v>
      </c>
      <c r="T8328" s="18">
        <v>181.7</v>
      </c>
      <c r="U8328" s="16"/>
      <c r="V8328" s="16"/>
      <c r="W8328" s="16" t="s">
        <v>40</v>
      </c>
      <c r="X8328" s="19">
        <v>0.10199999999999999</v>
      </c>
      <c r="Y8328" s="20">
        <v>7.0399999999999998E-4</v>
      </c>
      <c r="Z8328" s="21">
        <v>4601004198845</v>
      </c>
    </row>
    <row r="8329" spans="1:26" ht="12" customHeight="1" outlineLevel="3" x14ac:dyDescent="0.2">
      <c r="A8329" s="14" t="s">
        <v>15910</v>
      </c>
      <c r="B8329" s="26" t="s">
        <v>15911</v>
      </c>
      <c r="C8329" s="52"/>
      <c r="D8329" s="55">
        <f t="shared" ref="D8329:D8392" si="130">C8329*(O8329-O8329*$G$3)</f>
        <v>0</v>
      </c>
      <c r="E8329" s="63" t="str">
        <f>HYPERLINK("https://www.sds-group.ru/product/pult-universalnyy-dlya-televizora-samsung-rexant-38-0020/", "Инфо")</f>
        <v>Инфо</v>
      </c>
      <c r="F8329" s="16" t="s">
        <v>39</v>
      </c>
      <c r="G8329" s="15"/>
      <c r="H8329" s="15"/>
      <c r="I8329" s="15"/>
      <c r="J8329" s="22">
        <v>5804</v>
      </c>
      <c r="K8329" s="15" t="s">
        <v>925</v>
      </c>
      <c r="L8329" s="17">
        <v>5</v>
      </c>
      <c r="M8329" s="17">
        <v>250</v>
      </c>
      <c r="N8329" s="17">
        <v>5</v>
      </c>
      <c r="O8329" s="18">
        <v>234.26</v>
      </c>
      <c r="P8329" s="18">
        <v>192.02</v>
      </c>
      <c r="Q8329" s="18">
        <v>163.98</v>
      </c>
      <c r="R8329" s="18">
        <v>134.41</v>
      </c>
      <c r="S8329" s="18">
        <v>159.30000000000001</v>
      </c>
      <c r="T8329" s="18">
        <v>130.57</v>
      </c>
      <c r="U8329" s="16"/>
      <c r="V8329" s="16"/>
      <c r="W8329" s="16"/>
      <c r="X8329" s="19">
        <v>7.4999999999999997E-2</v>
      </c>
      <c r="Y8329" s="20">
        <v>2.9700000000000001E-4</v>
      </c>
      <c r="Z8329" s="21">
        <v>4601004198852</v>
      </c>
    </row>
    <row r="8330" spans="1:26" ht="12.95" customHeight="1" outlineLevel="2" x14ac:dyDescent="0.2">
      <c r="A8330" s="76" t="s">
        <v>15912</v>
      </c>
      <c r="B8330" s="76"/>
      <c r="C8330" s="77"/>
      <c r="D8330" s="58"/>
      <c r="E8330" s="68"/>
      <c r="F8330" s="13"/>
      <c r="G8330" s="13"/>
      <c r="H8330" s="13"/>
      <c r="I8330" s="13"/>
      <c r="J8330" s="13"/>
      <c r="K8330" s="13"/>
      <c r="L8330" s="13"/>
      <c r="M8330" s="13"/>
      <c r="N8330" s="13"/>
      <c r="O8330" s="13"/>
      <c r="P8330" s="13"/>
      <c r="Q8330" s="13"/>
      <c r="R8330" s="13"/>
      <c r="S8330" s="13"/>
      <c r="T8330" s="13"/>
      <c r="U8330" s="13"/>
      <c r="V8330" s="13"/>
      <c r="W8330" s="13"/>
      <c r="X8330" s="13"/>
      <c r="Y8330" s="13"/>
      <c r="Z8330" s="13"/>
    </row>
    <row r="8331" spans="1:26" ht="12" customHeight="1" outlineLevel="3" x14ac:dyDescent="0.2">
      <c r="A8331" s="14" t="s">
        <v>15913</v>
      </c>
      <c r="B8331" s="26" t="s">
        <v>15914</v>
      </c>
      <c r="C8331" s="52"/>
      <c r="D8331" s="55">
        <f t="shared" si="130"/>
        <v>0</v>
      </c>
      <c r="E8331" s="63" t="str">
        <f>HYPERLINK("https://www.sds-group.ru/product/pult-universalnyy-dlya-konditsionerov-rx-100aii-rexant-38-0101/", "Инфо")</f>
        <v>Инфо</v>
      </c>
      <c r="F8331" s="16" t="s">
        <v>39</v>
      </c>
      <c r="G8331" s="15"/>
      <c r="H8331" s="15"/>
      <c r="I8331" s="15"/>
      <c r="J8331" s="17">
        <v>511</v>
      </c>
      <c r="K8331" s="15"/>
      <c r="L8331" s="17">
        <v>1</v>
      </c>
      <c r="M8331" s="17">
        <v>100</v>
      </c>
      <c r="N8331" s="17">
        <v>1</v>
      </c>
      <c r="O8331" s="18">
        <v>650.36</v>
      </c>
      <c r="P8331" s="18">
        <v>533.08000000000004</v>
      </c>
      <c r="Q8331" s="18">
        <v>455.25</v>
      </c>
      <c r="R8331" s="18">
        <v>373.16</v>
      </c>
      <c r="S8331" s="18">
        <v>442.24</v>
      </c>
      <c r="T8331" s="18">
        <v>362.49</v>
      </c>
      <c r="U8331" s="16"/>
      <c r="V8331" s="16"/>
      <c r="W8331" s="16"/>
      <c r="X8331" s="19">
        <v>0.11</v>
      </c>
      <c r="Y8331" s="20">
        <v>6.6699999999999995E-4</v>
      </c>
      <c r="Z8331" s="21">
        <v>4601004041813</v>
      </c>
    </row>
    <row r="8332" spans="1:26" ht="12" customHeight="1" outlineLevel="3" x14ac:dyDescent="0.2">
      <c r="A8332" s="14" t="s">
        <v>15915</v>
      </c>
      <c r="B8332" s="26" t="s">
        <v>15916</v>
      </c>
      <c r="C8332" s="52"/>
      <c r="D8332" s="55">
        <f t="shared" si="130"/>
        <v>0</v>
      </c>
      <c r="E8332" s="63" t="str">
        <f>HYPERLINK("https://www.sds-group.ru/product/pult-universalnyy-dlya-konditsionerov-rx-101aii-rexant-38-0103/", "Инфо")</f>
        <v>Инфо</v>
      </c>
      <c r="F8332" s="16" t="s">
        <v>39</v>
      </c>
      <c r="G8332" s="15"/>
      <c r="H8332" s="15"/>
      <c r="I8332" s="15"/>
      <c r="J8332" s="16" t="s">
        <v>100</v>
      </c>
      <c r="K8332" s="15" t="s">
        <v>925</v>
      </c>
      <c r="L8332" s="17">
        <v>1</v>
      </c>
      <c r="M8332" s="17">
        <v>300</v>
      </c>
      <c r="N8332" s="17">
        <v>1</v>
      </c>
      <c r="O8332" s="18">
        <v>684.59</v>
      </c>
      <c r="P8332" s="18">
        <v>561.14</v>
      </c>
      <c r="Q8332" s="18">
        <v>479.21</v>
      </c>
      <c r="R8332" s="18">
        <v>392.8</v>
      </c>
      <c r="S8332" s="18">
        <v>465.52</v>
      </c>
      <c r="T8332" s="18">
        <v>381.57</v>
      </c>
      <c r="U8332" s="16"/>
      <c r="V8332" s="16"/>
      <c r="W8332" s="16"/>
      <c r="X8332" s="19">
        <v>0.06</v>
      </c>
      <c r="Y8332" s="20">
        <v>1.9900000000000001E-4</v>
      </c>
      <c r="Z8332" s="21">
        <v>4601004278684</v>
      </c>
    </row>
    <row r="8333" spans="1:26" ht="12.95" customHeight="1" outlineLevel="2" x14ac:dyDescent="0.2">
      <c r="A8333" s="76" t="s">
        <v>15917</v>
      </c>
      <c r="B8333" s="76"/>
      <c r="C8333" s="77"/>
      <c r="D8333" s="58"/>
      <c r="E8333" s="68"/>
      <c r="F8333" s="13"/>
      <c r="G8333" s="13"/>
      <c r="H8333" s="13"/>
      <c r="I8333" s="13"/>
      <c r="J8333" s="13"/>
      <c r="K8333" s="13"/>
      <c r="L8333" s="13"/>
      <c r="M8333" s="13"/>
      <c r="N8333" s="13"/>
      <c r="O8333" s="13"/>
      <c r="P8333" s="13"/>
      <c r="Q8333" s="13"/>
      <c r="R8333" s="13"/>
      <c r="S8333" s="13"/>
      <c r="T8333" s="13"/>
      <c r="U8333" s="13"/>
      <c r="V8333" s="13"/>
      <c r="W8333" s="13"/>
      <c r="X8333" s="13"/>
      <c r="Y8333" s="13"/>
      <c r="Z8333" s="13"/>
    </row>
    <row r="8334" spans="1:26" ht="12" customHeight="1" outlineLevel="3" x14ac:dyDescent="0.2">
      <c r="A8334" s="14" t="s">
        <v>15918</v>
      </c>
      <c r="B8334" s="26" t="s">
        <v>15919</v>
      </c>
      <c r="C8334" s="52"/>
      <c r="D8334" s="55">
        <f t="shared" si="130"/>
        <v>0</v>
      </c>
      <c r="E8334" s="63" t="str">
        <f>HYPERLINK("https://www.sds-group.ru/product/pult-universalnyy-dlya-pristavki-dvb-t2-rexant-38-0012/", "Инфо")</f>
        <v>Инфо</v>
      </c>
      <c r="F8334" s="16" t="s">
        <v>39</v>
      </c>
      <c r="G8334" s="15"/>
      <c r="H8334" s="15"/>
      <c r="I8334" s="15"/>
      <c r="J8334" s="22">
        <v>2640</v>
      </c>
      <c r="K8334" s="15" t="s">
        <v>925</v>
      </c>
      <c r="L8334" s="17">
        <v>1</v>
      </c>
      <c r="M8334" s="17">
        <v>250</v>
      </c>
      <c r="N8334" s="17">
        <v>1</v>
      </c>
      <c r="O8334" s="18">
        <v>455.94</v>
      </c>
      <c r="P8334" s="18">
        <v>373.72</v>
      </c>
      <c r="Q8334" s="18">
        <v>319.16000000000003</v>
      </c>
      <c r="R8334" s="18">
        <v>261.61</v>
      </c>
      <c r="S8334" s="18">
        <v>310.04000000000002</v>
      </c>
      <c r="T8334" s="18">
        <v>254.13</v>
      </c>
      <c r="U8334" s="16"/>
      <c r="V8334" s="16"/>
      <c r="W8334" s="16"/>
      <c r="X8334" s="19">
        <v>6.6000000000000003E-2</v>
      </c>
      <c r="Y8334" s="20">
        <v>2.9700000000000001E-4</v>
      </c>
      <c r="Z8334" s="21">
        <v>4601004198807</v>
      </c>
    </row>
    <row r="8335" spans="1:26" ht="12" customHeight="1" outlineLevel="3" x14ac:dyDescent="0.2">
      <c r="A8335" s="14" t="s">
        <v>15920</v>
      </c>
      <c r="B8335" s="26" t="s">
        <v>15921</v>
      </c>
      <c r="C8335" s="52"/>
      <c r="D8335" s="55">
        <f t="shared" si="130"/>
        <v>0</v>
      </c>
      <c r="E8335" s="63" t="str">
        <f>HYPERLINK("https://www.sds-group.ru/product/pult-universalnyy-dlya-pristavki-dvb-t2-s-funktsiey-upravleniya-televizorom-rexant-38-0014/", "Инфо")</f>
        <v>Инфо</v>
      </c>
      <c r="F8335" s="16" t="s">
        <v>39</v>
      </c>
      <c r="G8335" s="15"/>
      <c r="H8335" s="15"/>
      <c r="I8335" s="15"/>
      <c r="J8335" s="22">
        <v>1352</v>
      </c>
      <c r="K8335" s="15" t="s">
        <v>1519</v>
      </c>
      <c r="L8335" s="17">
        <v>5</v>
      </c>
      <c r="M8335" s="17">
        <v>250</v>
      </c>
      <c r="N8335" s="17">
        <v>5</v>
      </c>
      <c r="O8335" s="18">
        <v>328.6</v>
      </c>
      <c r="P8335" s="18">
        <v>269.33999999999997</v>
      </c>
      <c r="Q8335" s="18">
        <v>230.02</v>
      </c>
      <c r="R8335" s="18">
        <v>188.54</v>
      </c>
      <c r="S8335" s="18">
        <v>223.45</v>
      </c>
      <c r="T8335" s="18">
        <v>183.16</v>
      </c>
      <c r="U8335" s="16"/>
      <c r="V8335" s="16"/>
      <c r="W8335" s="16"/>
      <c r="X8335" s="19">
        <v>6.7000000000000004E-2</v>
      </c>
      <c r="Y8335" s="20">
        <v>2.9999999999999997E-4</v>
      </c>
      <c r="Z8335" s="21">
        <v>4601004103269</v>
      </c>
    </row>
    <row r="8336" spans="1:26" ht="12.95" customHeight="1" outlineLevel="2" x14ac:dyDescent="0.2">
      <c r="A8336" s="76" t="s">
        <v>15922</v>
      </c>
      <c r="B8336" s="76"/>
      <c r="C8336" s="77"/>
      <c r="D8336" s="58"/>
      <c r="E8336" s="68"/>
      <c r="F8336" s="13"/>
      <c r="G8336" s="13"/>
      <c r="H8336" s="13"/>
      <c r="I8336" s="13"/>
      <c r="J8336" s="13"/>
      <c r="K8336" s="13"/>
      <c r="L8336" s="13"/>
      <c r="M8336" s="13"/>
      <c r="N8336" s="13"/>
      <c r="O8336" s="13"/>
      <c r="P8336" s="13"/>
      <c r="Q8336" s="13"/>
      <c r="R8336" s="13"/>
      <c r="S8336" s="13"/>
      <c r="T8336" s="13"/>
      <c r="U8336" s="13"/>
      <c r="V8336" s="13"/>
      <c r="W8336" s="13"/>
      <c r="X8336" s="13"/>
      <c r="Y8336" s="13"/>
      <c r="Z8336" s="13"/>
    </row>
    <row r="8337" spans="1:26" ht="12" customHeight="1" outlineLevel="3" x14ac:dyDescent="0.2">
      <c r="A8337" s="14" t="s">
        <v>15923</v>
      </c>
      <c r="B8337" s="26" t="s">
        <v>15924</v>
      </c>
      <c r="C8337" s="52"/>
      <c r="D8337" s="55">
        <f t="shared" si="130"/>
        <v>0</v>
      </c>
      <c r="E8337" s="63" t="str">
        <f>HYPERLINK("https://www.sds-group.ru/product/pult-universalnyy-dlya-resivera-rexant-38-0009/", "Инфо")</f>
        <v>Инфо</v>
      </c>
      <c r="F8337" s="16" t="s">
        <v>39</v>
      </c>
      <c r="G8337" s="15"/>
      <c r="H8337" s="15"/>
      <c r="I8337" s="15"/>
      <c r="J8337" s="22">
        <v>1907</v>
      </c>
      <c r="K8337" s="15"/>
      <c r="L8337" s="17">
        <v>5</v>
      </c>
      <c r="M8337" s="17">
        <v>100</v>
      </c>
      <c r="N8337" s="17">
        <v>5</v>
      </c>
      <c r="O8337" s="18">
        <v>328.11</v>
      </c>
      <c r="P8337" s="18">
        <v>268.94</v>
      </c>
      <c r="Q8337" s="18">
        <v>229.68</v>
      </c>
      <c r="R8337" s="18">
        <v>188.26</v>
      </c>
      <c r="S8337" s="18">
        <v>223.11</v>
      </c>
      <c r="T8337" s="18">
        <v>182.88</v>
      </c>
      <c r="U8337" s="16"/>
      <c r="V8337" s="16"/>
      <c r="W8337" s="16"/>
      <c r="X8337" s="19">
        <v>8.5000000000000006E-2</v>
      </c>
      <c r="Y8337" s="20">
        <v>3.8400000000000001E-4</v>
      </c>
      <c r="Z8337" s="21">
        <v>4601004198791</v>
      </c>
    </row>
    <row r="8338" spans="1:26" ht="12" customHeight="1" outlineLevel="3" x14ac:dyDescent="0.2">
      <c r="A8338" s="14" t="s">
        <v>15925</v>
      </c>
      <c r="B8338" s="26" t="s">
        <v>15926</v>
      </c>
      <c r="C8338" s="52"/>
      <c r="D8338" s="55">
        <f t="shared" si="130"/>
        <v>0</v>
      </c>
      <c r="E8338" s="63" t="str">
        <f>HYPERLINK("https://www.sds-group.ru/product/pult-universalnyy-dlya-resivera-trikolor-tv-rexant-38-0035/", "Инфо")</f>
        <v>Инфо</v>
      </c>
      <c r="F8338" s="16" t="s">
        <v>39</v>
      </c>
      <c r="G8338" s="15"/>
      <c r="H8338" s="15"/>
      <c r="I8338" s="15"/>
      <c r="J8338" s="22">
        <v>7308</v>
      </c>
      <c r="K8338" s="15" t="s">
        <v>925</v>
      </c>
      <c r="L8338" s="17">
        <v>5</v>
      </c>
      <c r="M8338" s="17">
        <v>200</v>
      </c>
      <c r="N8338" s="17">
        <v>5</v>
      </c>
      <c r="O8338" s="18">
        <v>344.97</v>
      </c>
      <c r="P8338" s="18">
        <v>282.76</v>
      </c>
      <c r="Q8338" s="18">
        <v>241.48</v>
      </c>
      <c r="R8338" s="18">
        <v>197.93</v>
      </c>
      <c r="S8338" s="18">
        <v>234.58</v>
      </c>
      <c r="T8338" s="18">
        <v>192.28</v>
      </c>
      <c r="U8338" s="16"/>
      <c r="V8338" s="16"/>
      <c r="W8338" s="16"/>
      <c r="X8338" s="19">
        <v>9.8000000000000004E-2</v>
      </c>
      <c r="Y8338" s="20">
        <v>3.59E-4</v>
      </c>
      <c r="Z8338" s="21">
        <v>4601004060937</v>
      </c>
    </row>
    <row r="8339" spans="1:26" ht="12.95" customHeight="1" outlineLevel="1" x14ac:dyDescent="0.2">
      <c r="A8339" s="78" t="s">
        <v>15927</v>
      </c>
      <c r="B8339" s="78"/>
      <c r="C8339" s="79"/>
      <c r="D8339" s="57"/>
      <c r="E8339" s="67"/>
      <c r="F8339" s="12"/>
      <c r="G8339" s="12"/>
      <c r="H8339" s="12"/>
      <c r="I8339" s="12"/>
      <c r="J8339" s="12"/>
      <c r="K8339" s="12"/>
      <c r="L8339" s="12"/>
      <c r="M8339" s="12"/>
      <c r="N8339" s="12"/>
      <c r="O8339" s="12"/>
      <c r="P8339" s="12"/>
      <c r="Q8339" s="12"/>
      <c r="R8339" s="12"/>
      <c r="S8339" s="12"/>
      <c r="T8339" s="12"/>
      <c r="U8339" s="12"/>
      <c r="V8339" s="12"/>
      <c r="W8339" s="12"/>
      <c r="X8339" s="12"/>
      <c r="Y8339" s="12"/>
      <c r="Z8339" s="12"/>
    </row>
    <row r="8340" spans="1:26" ht="12.95" customHeight="1" outlineLevel="2" x14ac:dyDescent="0.2">
      <c r="A8340" s="76" t="s">
        <v>15928</v>
      </c>
      <c r="B8340" s="76"/>
      <c r="C8340" s="77"/>
      <c r="D8340" s="58"/>
      <c r="E8340" s="68"/>
      <c r="F8340" s="13"/>
      <c r="G8340" s="13"/>
      <c r="H8340" s="13"/>
      <c r="I8340" s="13"/>
      <c r="J8340" s="13"/>
      <c r="K8340" s="13"/>
      <c r="L8340" s="13"/>
      <c r="M8340" s="13"/>
      <c r="N8340" s="13"/>
      <c r="O8340" s="13"/>
      <c r="P8340" s="13"/>
      <c r="Q8340" s="13"/>
      <c r="R8340" s="13"/>
      <c r="S8340" s="13"/>
      <c r="T8340" s="13"/>
      <c r="U8340" s="13"/>
      <c r="V8340" s="13"/>
      <c r="W8340" s="13"/>
      <c r="X8340" s="13"/>
      <c r="Y8340" s="13"/>
      <c r="Z8340" s="13"/>
    </row>
    <row r="8341" spans="1:26" ht="12" customHeight="1" outlineLevel="3" x14ac:dyDescent="0.2">
      <c r="A8341" s="14" t="s">
        <v>15929</v>
      </c>
      <c r="B8341" s="26" t="s">
        <v>15930</v>
      </c>
      <c r="C8341" s="52"/>
      <c r="D8341" s="55">
        <f t="shared" si="130"/>
        <v>0</v>
      </c>
      <c r="E8341" s="63" t="str">
        <f>HYPERLINK("https://www.sds-group.ru/product/delitel-antennyy-3-tv-5-1000-mgts-rexant-06-0041-C/", "Инфо")</f>
        <v>Инфо</v>
      </c>
      <c r="F8341" s="16" t="s">
        <v>39</v>
      </c>
      <c r="G8341" s="15"/>
      <c r="H8341" s="15"/>
      <c r="I8341" s="15"/>
      <c r="J8341" s="17">
        <v>49</v>
      </c>
      <c r="K8341" s="15"/>
      <c r="L8341" s="17">
        <v>5</v>
      </c>
      <c r="M8341" s="17">
        <v>10</v>
      </c>
      <c r="N8341" s="17">
        <v>5</v>
      </c>
      <c r="O8341" s="18">
        <v>551.20000000000005</v>
      </c>
      <c r="P8341" s="18">
        <v>451.8</v>
      </c>
      <c r="Q8341" s="18">
        <v>440.96</v>
      </c>
      <c r="R8341" s="18">
        <v>361.44</v>
      </c>
      <c r="S8341" s="18">
        <v>374.82</v>
      </c>
      <c r="T8341" s="18">
        <v>307.23</v>
      </c>
      <c r="U8341" s="16"/>
      <c r="V8341" s="16"/>
      <c r="W8341" s="16" t="s">
        <v>40</v>
      </c>
      <c r="X8341" s="19">
        <v>5.0999999999999997E-2</v>
      </c>
      <c r="Y8341" s="20">
        <v>3.0600000000000001E-4</v>
      </c>
      <c r="Z8341" s="21">
        <v>4601004122055</v>
      </c>
    </row>
    <row r="8342" spans="1:26" ht="12.95" customHeight="1" outlineLevel="2" x14ac:dyDescent="0.2">
      <c r="A8342" s="76" t="s">
        <v>15931</v>
      </c>
      <c r="B8342" s="76"/>
      <c r="C8342" s="77"/>
      <c r="D8342" s="58"/>
      <c r="E8342" s="68"/>
      <c r="F8342" s="13"/>
      <c r="G8342" s="13"/>
      <c r="H8342" s="13"/>
      <c r="I8342" s="13"/>
      <c r="J8342" s="13"/>
      <c r="K8342" s="13"/>
      <c r="L8342" s="13"/>
      <c r="M8342" s="13"/>
      <c r="N8342" s="13"/>
      <c r="O8342" s="13"/>
      <c r="P8342" s="13"/>
      <c r="Q8342" s="13"/>
      <c r="R8342" s="13"/>
      <c r="S8342" s="13"/>
      <c r="T8342" s="13"/>
      <c r="U8342" s="13"/>
      <c r="V8342" s="13"/>
      <c r="W8342" s="13"/>
      <c r="X8342" s="13"/>
      <c r="Y8342" s="13"/>
      <c r="Z8342" s="13"/>
    </row>
    <row r="8343" spans="1:26" ht="12" customHeight="1" outlineLevel="3" x14ac:dyDescent="0.2">
      <c r="A8343" s="14" t="s">
        <v>15932</v>
      </c>
      <c r="B8343" s="26" t="s">
        <v>15933</v>
      </c>
      <c r="C8343" s="52"/>
      <c r="D8343" s="55">
        <f t="shared" si="130"/>
        <v>0</v>
      </c>
      <c r="E8343" s="63" t="str">
        <f>HYPERLINK("https://www.sds-group.ru/product/perehodnik-antennyy-3-gnezda-f-troynik-1-sht-rexant-06-0022-A/", "Инфо")</f>
        <v>Инфо</v>
      </c>
      <c r="F8343" s="16" t="s">
        <v>39</v>
      </c>
      <c r="G8343" s="15"/>
      <c r="H8343" s="15"/>
      <c r="I8343" s="15"/>
      <c r="J8343" s="22">
        <v>3723</v>
      </c>
      <c r="K8343" s="15" t="s">
        <v>662</v>
      </c>
      <c r="L8343" s="17">
        <v>10</v>
      </c>
      <c r="M8343" s="17">
        <v>10</v>
      </c>
      <c r="N8343" s="17">
        <v>10</v>
      </c>
      <c r="O8343" s="18">
        <v>83.18</v>
      </c>
      <c r="P8343" s="18">
        <v>68.180000000000007</v>
      </c>
      <c r="Q8343" s="18">
        <v>70.7</v>
      </c>
      <c r="R8343" s="18">
        <v>57.95</v>
      </c>
      <c r="S8343" s="18">
        <v>56.56</v>
      </c>
      <c r="T8343" s="18">
        <v>46.36</v>
      </c>
      <c r="U8343" s="16"/>
      <c r="V8343" s="16"/>
      <c r="W8343" s="16" t="s">
        <v>40</v>
      </c>
      <c r="X8343" s="19">
        <v>1.2999999999999999E-2</v>
      </c>
      <c r="Y8343" s="20">
        <v>1.5699999999999999E-4</v>
      </c>
      <c r="Z8343" s="21">
        <v>4601004121959</v>
      </c>
    </row>
    <row r="8344" spans="1:26" ht="12" customHeight="1" outlineLevel="3" x14ac:dyDescent="0.2">
      <c r="A8344" s="14" t="s">
        <v>15934</v>
      </c>
      <c r="B8344" s="26" t="s">
        <v>15935</v>
      </c>
      <c r="C8344" s="52"/>
      <c r="D8344" s="55">
        <f t="shared" si="130"/>
        <v>0</v>
      </c>
      <c r="E8344" s="63" t="str">
        <f>HYPERLINK("https://www.sds-group.ru/product/perehodnik-antennyy-gnezdo-f-gnezdo-f-bochka-1-sht-rexant-06-0020-A/", "Инфо")</f>
        <v>Инфо</v>
      </c>
      <c r="F8344" s="16" t="s">
        <v>39</v>
      </c>
      <c r="G8344" s="15"/>
      <c r="H8344" s="15"/>
      <c r="I8344" s="15"/>
      <c r="J8344" s="22">
        <v>1111</v>
      </c>
      <c r="K8344" s="15" t="s">
        <v>662</v>
      </c>
      <c r="L8344" s="17">
        <v>10</v>
      </c>
      <c r="M8344" s="17">
        <v>10</v>
      </c>
      <c r="N8344" s="17">
        <v>10</v>
      </c>
      <c r="O8344" s="18">
        <v>112.63</v>
      </c>
      <c r="P8344" s="18">
        <v>92.32</v>
      </c>
      <c r="Q8344" s="18">
        <v>95.74</v>
      </c>
      <c r="R8344" s="18">
        <v>78.48</v>
      </c>
      <c r="S8344" s="18">
        <v>76.59</v>
      </c>
      <c r="T8344" s="18">
        <v>62.78</v>
      </c>
      <c r="U8344" s="16"/>
      <c r="V8344" s="16"/>
      <c r="W8344" s="16" t="s">
        <v>40</v>
      </c>
      <c r="X8344" s="19">
        <v>1.2E-2</v>
      </c>
      <c r="Y8344" s="20">
        <v>1.65E-4</v>
      </c>
      <c r="Z8344" s="21">
        <v>4601004121935</v>
      </c>
    </row>
    <row r="8345" spans="1:26" ht="12" customHeight="1" outlineLevel="3" x14ac:dyDescent="0.2">
      <c r="A8345" s="14" t="s">
        <v>15936</v>
      </c>
      <c r="B8345" s="26" t="s">
        <v>15937</v>
      </c>
      <c r="C8345" s="52"/>
      <c r="D8345" s="55">
        <f t="shared" si="130"/>
        <v>0</v>
      </c>
      <c r="E8345" s="63" t="str">
        <f>HYPERLINK("https://www.sds-group.ru/product/perehodnik-antennyy-gnezdo-f-gnezdo-f-bochka-1-sht-proconnect-05-4201-6-7/", "Инфо")</f>
        <v>Инфо</v>
      </c>
      <c r="F8345" s="16" t="s">
        <v>39</v>
      </c>
      <c r="G8345" s="15"/>
      <c r="H8345" s="15"/>
      <c r="I8345" s="15"/>
      <c r="J8345" s="17">
        <v>182</v>
      </c>
      <c r="K8345" s="15"/>
      <c r="L8345" s="17">
        <v>10</v>
      </c>
      <c r="M8345" s="17">
        <v>100</v>
      </c>
      <c r="N8345" s="17">
        <v>10</v>
      </c>
      <c r="O8345" s="18">
        <v>45.68</v>
      </c>
      <c r="P8345" s="18">
        <v>37.44</v>
      </c>
      <c r="Q8345" s="18">
        <v>38.83</v>
      </c>
      <c r="R8345" s="18">
        <v>31.83</v>
      </c>
      <c r="S8345" s="18">
        <v>31.06</v>
      </c>
      <c r="T8345" s="18">
        <v>25.46</v>
      </c>
      <c r="U8345" s="16"/>
      <c r="V8345" s="16"/>
      <c r="W8345" s="16" t="s">
        <v>40</v>
      </c>
      <c r="X8345" s="19">
        <v>1.9E-2</v>
      </c>
      <c r="Y8345" s="20">
        <v>1.8799999999999999E-4</v>
      </c>
      <c r="Z8345" s="21">
        <v>4601004056367</v>
      </c>
    </row>
    <row r="8346" spans="1:26" ht="12" customHeight="1" outlineLevel="3" x14ac:dyDescent="0.2">
      <c r="A8346" s="32" t="s">
        <v>15938</v>
      </c>
      <c r="B8346" s="74" t="s">
        <v>15939</v>
      </c>
      <c r="C8346" s="50"/>
      <c r="D8346" s="53">
        <f t="shared" si="130"/>
        <v>0</v>
      </c>
      <c r="E8346" s="60" t="str">
        <f>HYPERLINK("https://www.sds-group.ru/product/perehodnik-antennyy-gnezdo-f-shteker-f-uglovoy-1-sht-rexant-06-0021-A/", "Инфо")</f>
        <v>Инфо</v>
      </c>
      <c r="F8346" s="34" t="s">
        <v>39</v>
      </c>
      <c r="G8346" s="33"/>
      <c r="H8346" s="33" t="s">
        <v>40</v>
      </c>
      <c r="I8346" s="33"/>
      <c r="J8346" s="34" t="s">
        <v>100</v>
      </c>
      <c r="K8346" s="33" t="s">
        <v>662</v>
      </c>
      <c r="L8346" s="35">
        <v>1</v>
      </c>
      <c r="M8346" s="35">
        <v>10</v>
      </c>
      <c r="N8346" s="35">
        <v>1</v>
      </c>
      <c r="O8346" s="36">
        <v>129.93</v>
      </c>
      <c r="P8346" s="36">
        <v>106.5</v>
      </c>
      <c r="Q8346" s="36">
        <v>90.95</v>
      </c>
      <c r="R8346" s="36">
        <v>74.55</v>
      </c>
      <c r="S8346" s="36">
        <v>88.35</v>
      </c>
      <c r="T8346" s="36">
        <v>72.42</v>
      </c>
      <c r="U8346" s="34"/>
      <c r="V8346" s="34"/>
      <c r="W8346" s="34"/>
      <c r="X8346" s="37">
        <v>1.4E-2</v>
      </c>
      <c r="Y8346" s="38">
        <v>1.07E-4</v>
      </c>
      <c r="Z8346" s="21">
        <v>4601004121942</v>
      </c>
    </row>
    <row r="8347" spans="1:26" ht="12" customHeight="1" outlineLevel="3" x14ac:dyDescent="0.2">
      <c r="A8347" s="14" t="s">
        <v>15940</v>
      </c>
      <c r="B8347" s="26" t="s">
        <v>15941</v>
      </c>
      <c r="C8347" s="52"/>
      <c r="D8347" s="55">
        <f t="shared" si="130"/>
        <v>0</v>
      </c>
      <c r="E8347" s="63" t="str">
        <f>HYPERLINK("https://www.sds-group.ru/product/perehodnik-antennyy-gnezdo-f-gnezdo-tv-1-sht-rexant-06-0024-A/", "Инфо")</f>
        <v>Инфо</v>
      </c>
      <c r="F8347" s="16" t="s">
        <v>39</v>
      </c>
      <c r="G8347" s="15"/>
      <c r="H8347" s="15"/>
      <c r="I8347" s="15"/>
      <c r="J8347" s="22">
        <v>2592</v>
      </c>
      <c r="K8347" s="15" t="s">
        <v>662</v>
      </c>
      <c r="L8347" s="17">
        <v>10</v>
      </c>
      <c r="M8347" s="17">
        <v>10</v>
      </c>
      <c r="N8347" s="17">
        <v>10</v>
      </c>
      <c r="O8347" s="18">
        <v>99.49</v>
      </c>
      <c r="P8347" s="18">
        <v>81.55</v>
      </c>
      <c r="Q8347" s="18">
        <v>84.57</v>
      </c>
      <c r="R8347" s="18">
        <v>69.319999999999993</v>
      </c>
      <c r="S8347" s="18">
        <v>67.650000000000006</v>
      </c>
      <c r="T8347" s="18">
        <v>55.45</v>
      </c>
      <c r="U8347" s="16"/>
      <c r="V8347" s="16"/>
      <c r="W8347" s="16" t="s">
        <v>40</v>
      </c>
      <c r="X8347" s="19">
        <v>1.6E-2</v>
      </c>
      <c r="Y8347" s="20">
        <v>1.66E-4</v>
      </c>
      <c r="Z8347" s="21">
        <v>4601004121973</v>
      </c>
    </row>
    <row r="8348" spans="1:26" ht="12" customHeight="1" outlineLevel="3" x14ac:dyDescent="0.2">
      <c r="A8348" s="14" t="s">
        <v>15942</v>
      </c>
      <c r="B8348" s="26" t="s">
        <v>15943</v>
      </c>
      <c r="C8348" s="52"/>
      <c r="D8348" s="55">
        <f t="shared" si="130"/>
        <v>0</v>
      </c>
      <c r="E8348" s="63" t="str">
        <f>HYPERLINK("https://www.sds-group.ru/product/perehodnik-antennyy-gnezdo-f-gnezdo-tv-uglovoy-1-sht-rexant-06-0026-A/", "Инфо")</f>
        <v>Инфо</v>
      </c>
      <c r="F8348" s="16" t="s">
        <v>39</v>
      </c>
      <c r="G8348" s="15"/>
      <c r="H8348" s="15"/>
      <c r="I8348" s="15"/>
      <c r="J8348" s="22">
        <v>1359</v>
      </c>
      <c r="K8348" s="15" t="s">
        <v>662</v>
      </c>
      <c r="L8348" s="17">
        <v>10</v>
      </c>
      <c r="M8348" s="17">
        <v>10</v>
      </c>
      <c r="N8348" s="17">
        <v>10</v>
      </c>
      <c r="O8348" s="18">
        <v>197.22</v>
      </c>
      <c r="P8348" s="18">
        <v>161.66</v>
      </c>
      <c r="Q8348" s="18">
        <v>167.64</v>
      </c>
      <c r="R8348" s="18">
        <v>137.41</v>
      </c>
      <c r="S8348" s="18">
        <v>134.11000000000001</v>
      </c>
      <c r="T8348" s="18">
        <v>109.93</v>
      </c>
      <c r="U8348" s="16"/>
      <c r="V8348" s="16"/>
      <c r="W8348" s="16" t="s">
        <v>40</v>
      </c>
      <c r="X8348" s="19">
        <v>2.1000000000000001E-2</v>
      </c>
      <c r="Y8348" s="20">
        <v>1.5300000000000001E-4</v>
      </c>
      <c r="Z8348" s="21">
        <v>4601004121980</v>
      </c>
    </row>
    <row r="8349" spans="1:26" ht="12" customHeight="1" outlineLevel="3" x14ac:dyDescent="0.2">
      <c r="A8349" s="14" t="s">
        <v>15944</v>
      </c>
      <c r="B8349" s="26" t="s">
        <v>15945</v>
      </c>
      <c r="C8349" s="52"/>
      <c r="D8349" s="55">
        <f t="shared" si="130"/>
        <v>0</v>
      </c>
      <c r="E8349" s="63" t="str">
        <f>HYPERLINK("https://www.sds-group.ru/product/perehodnik-antennyy-gnezdo-f-shteker-tv-1-sht-rexant-06-0025-A/", "Инфо")</f>
        <v>Инфо</v>
      </c>
      <c r="F8349" s="16" t="s">
        <v>39</v>
      </c>
      <c r="G8349" s="15"/>
      <c r="H8349" s="15"/>
      <c r="I8349" s="15"/>
      <c r="J8349" s="22">
        <v>1061</v>
      </c>
      <c r="K8349" s="15" t="s">
        <v>662</v>
      </c>
      <c r="L8349" s="17">
        <v>10</v>
      </c>
      <c r="M8349" s="17">
        <v>10</v>
      </c>
      <c r="N8349" s="17">
        <v>10</v>
      </c>
      <c r="O8349" s="18">
        <v>103.14</v>
      </c>
      <c r="P8349" s="18">
        <v>84.54</v>
      </c>
      <c r="Q8349" s="18">
        <v>87.67</v>
      </c>
      <c r="R8349" s="18">
        <v>71.86</v>
      </c>
      <c r="S8349" s="18">
        <v>70.14</v>
      </c>
      <c r="T8349" s="18">
        <v>57.49</v>
      </c>
      <c r="U8349" s="16"/>
      <c r="V8349" s="16"/>
      <c r="W8349" s="16" t="s">
        <v>40</v>
      </c>
      <c r="X8349" s="19">
        <v>1.2E-2</v>
      </c>
      <c r="Y8349" s="20">
        <v>1.64E-4</v>
      </c>
      <c r="Z8349" s="21">
        <v>4601004122833</v>
      </c>
    </row>
    <row r="8350" spans="1:26" ht="12" customHeight="1" outlineLevel="3" x14ac:dyDescent="0.2">
      <c r="A8350" s="14" t="s">
        <v>15946</v>
      </c>
      <c r="B8350" s="26" t="s">
        <v>15947</v>
      </c>
      <c r="C8350" s="52"/>
      <c r="D8350" s="55">
        <f t="shared" si="130"/>
        <v>0</v>
      </c>
      <c r="E8350" s="63" t="str">
        <f>HYPERLINK("https://www.sds-group.ru/product/perehodnik-antennyy-gnezdo-f-shteker-tv-1-sht-proconnect-05-4303-4-7/", "Инфо")</f>
        <v>Инфо</v>
      </c>
      <c r="F8350" s="16" t="s">
        <v>39</v>
      </c>
      <c r="G8350" s="15"/>
      <c r="H8350" s="15"/>
      <c r="I8350" s="15"/>
      <c r="J8350" s="17">
        <v>797</v>
      </c>
      <c r="K8350" s="15"/>
      <c r="L8350" s="17">
        <v>10</v>
      </c>
      <c r="M8350" s="17">
        <v>100</v>
      </c>
      <c r="N8350" s="17">
        <v>10</v>
      </c>
      <c r="O8350" s="18">
        <v>51.02</v>
      </c>
      <c r="P8350" s="18">
        <v>41.82</v>
      </c>
      <c r="Q8350" s="18">
        <v>43.37</v>
      </c>
      <c r="R8350" s="18">
        <v>35.549999999999997</v>
      </c>
      <c r="S8350" s="18">
        <v>34.69</v>
      </c>
      <c r="T8350" s="18">
        <v>28.43</v>
      </c>
      <c r="U8350" s="16"/>
      <c r="V8350" s="16"/>
      <c r="W8350" s="16" t="s">
        <v>40</v>
      </c>
      <c r="X8350" s="19">
        <v>1.2E-2</v>
      </c>
      <c r="Y8350" s="20">
        <v>2.0100000000000001E-4</v>
      </c>
      <c r="Z8350" s="21">
        <v>4601004056428</v>
      </c>
    </row>
    <row r="8351" spans="1:26" ht="12" customHeight="1" outlineLevel="3" x14ac:dyDescent="0.2">
      <c r="A8351" s="14" t="s">
        <v>15948</v>
      </c>
      <c r="B8351" s="26" t="s">
        <v>15949</v>
      </c>
      <c r="C8351" s="52"/>
      <c r="D8351" s="55">
        <f t="shared" si="130"/>
        <v>0</v>
      </c>
      <c r="E8351" s="63" t="str">
        <f>HYPERLINK("https://www.sds-group.ru/product/perehodnik-antennyy-gnezdo-f-shteker-tv-uglovoy-1-sht-rexant-06-0027-A/", "Инфо")</f>
        <v>Инфо</v>
      </c>
      <c r="F8351" s="16" t="s">
        <v>39</v>
      </c>
      <c r="G8351" s="15"/>
      <c r="H8351" s="15"/>
      <c r="I8351" s="15"/>
      <c r="J8351" s="17">
        <v>1</v>
      </c>
      <c r="K8351" s="15" t="s">
        <v>662</v>
      </c>
      <c r="L8351" s="17">
        <v>10</v>
      </c>
      <c r="M8351" s="17">
        <v>10</v>
      </c>
      <c r="N8351" s="17">
        <v>10</v>
      </c>
      <c r="O8351" s="18">
        <v>200.27</v>
      </c>
      <c r="P8351" s="18">
        <v>164.16</v>
      </c>
      <c r="Q8351" s="18">
        <v>170.23</v>
      </c>
      <c r="R8351" s="18">
        <v>139.53</v>
      </c>
      <c r="S8351" s="18">
        <v>136.18</v>
      </c>
      <c r="T8351" s="18">
        <v>111.62</v>
      </c>
      <c r="U8351" s="16"/>
      <c r="V8351" s="16"/>
      <c r="W8351" s="16" t="s">
        <v>40</v>
      </c>
      <c r="X8351" s="19">
        <v>0.02</v>
      </c>
      <c r="Y8351" s="20">
        <v>1.55E-4</v>
      </c>
      <c r="Z8351" s="21">
        <v>4601004121997</v>
      </c>
    </row>
    <row r="8352" spans="1:26" ht="12" customHeight="1" outlineLevel="3" x14ac:dyDescent="0.2">
      <c r="A8352" s="14" t="s">
        <v>15950</v>
      </c>
      <c r="B8352" s="26" t="s">
        <v>15951</v>
      </c>
      <c r="C8352" s="52"/>
      <c r="D8352" s="55">
        <f t="shared" si="130"/>
        <v>0</v>
      </c>
      <c r="E8352" s="63" t="str">
        <f>HYPERLINK("https://www.sds-group.ru/product/perehodnik-antennyy-gnezdo-f-shteker-tv-uglovoy-1-sht-proconnect-05-4311-4-7/", "Инфо")</f>
        <v>Инфо</v>
      </c>
      <c r="F8352" s="16" t="s">
        <v>39</v>
      </c>
      <c r="G8352" s="15"/>
      <c r="H8352" s="15"/>
      <c r="I8352" s="15"/>
      <c r="J8352" s="17">
        <v>727</v>
      </c>
      <c r="K8352" s="15"/>
      <c r="L8352" s="17">
        <v>10</v>
      </c>
      <c r="M8352" s="17">
        <v>100</v>
      </c>
      <c r="N8352" s="17">
        <v>10</v>
      </c>
      <c r="O8352" s="18">
        <v>93.11</v>
      </c>
      <c r="P8352" s="18">
        <v>76.319999999999993</v>
      </c>
      <c r="Q8352" s="18">
        <v>79.14</v>
      </c>
      <c r="R8352" s="18">
        <v>64.87</v>
      </c>
      <c r="S8352" s="18">
        <v>63.31</v>
      </c>
      <c r="T8352" s="18">
        <v>51.89</v>
      </c>
      <c r="U8352" s="16"/>
      <c r="V8352" s="16"/>
      <c r="W8352" s="16" t="s">
        <v>40</v>
      </c>
      <c r="X8352" s="19">
        <v>1.2E-2</v>
      </c>
      <c r="Y8352" s="20">
        <v>1.46E-4</v>
      </c>
      <c r="Z8352" s="21">
        <v>4601004056435</v>
      </c>
    </row>
    <row r="8353" spans="1:26" ht="12" customHeight="1" outlineLevel="3" x14ac:dyDescent="0.2">
      <c r="A8353" s="14" t="s">
        <v>15952</v>
      </c>
      <c r="B8353" s="26" t="s">
        <v>15953</v>
      </c>
      <c r="C8353" s="52"/>
      <c r="D8353" s="55">
        <f t="shared" si="130"/>
        <v>0</v>
      </c>
      <c r="E8353" s="63" t="str">
        <f>HYPERLINK("https://www.sds-group.ru/product/perehodnik-antennyy-gnezdo-tv-shteker-f-1-sht-rexant-06-0028-A/", "Инфо")</f>
        <v>Инфо</v>
      </c>
      <c r="F8353" s="16" t="s">
        <v>39</v>
      </c>
      <c r="G8353" s="15"/>
      <c r="H8353" s="15"/>
      <c r="I8353" s="15"/>
      <c r="J8353" s="17">
        <v>180</v>
      </c>
      <c r="K8353" s="15" t="s">
        <v>662</v>
      </c>
      <c r="L8353" s="17">
        <v>10</v>
      </c>
      <c r="M8353" s="17">
        <v>10</v>
      </c>
      <c r="N8353" s="17">
        <v>10</v>
      </c>
      <c r="O8353" s="18">
        <v>150.77000000000001</v>
      </c>
      <c r="P8353" s="18">
        <v>123.58</v>
      </c>
      <c r="Q8353" s="18">
        <v>128.15</v>
      </c>
      <c r="R8353" s="18">
        <v>105.04</v>
      </c>
      <c r="S8353" s="18">
        <v>102.52</v>
      </c>
      <c r="T8353" s="18">
        <v>84.03</v>
      </c>
      <c r="U8353" s="16"/>
      <c r="V8353" s="16"/>
      <c r="W8353" s="16" t="s">
        <v>40</v>
      </c>
      <c r="X8353" s="19">
        <v>1.4E-2</v>
      </c>
      <c r="Y8353" s="20">
        <v>1.5899999999999999E-4</v>
      </c>
      <c r="Z8353" s="21">
        <v>4601004122000</v>
      </c>
    </row>
    <row r="8354" spans="1:26" ht="12.95" customHeight="1" outlineLevel="2" x14ac:dyDescent="0.2">
      <c r="A8354" s="76" t="s">
        <v>15954</v>
      </c>
      <c r="B8354" s="76"/>
      <c r="C8354" s="77"/>
      <c r="D8354" s="58"/>
      <c r="E8354" s="68"/>
      <c r="F8354" s="13"/>
      <c r="G8354" s="13"/>
      <c r="H8354" s="13"/>
      <c r="I8354" s="13"/>
      <c r="J8354" s="13"/>
      <c r="K8354" s="13"/>
      <c r="L8354" s="13"/>
      <c r="M8354" s="13"/>
      <c r="N8354" s="13"/>
      <c r="O8354" s="13"/>
      <c r="P8354" s="13"/>
      <c r="Q8354" s="13"/>
      <c r="R8354" s="13"/>
      <c r="S8354" s="13"/>
      <c r="T8354" s="13"/>
      <c r="U8354" s="13"/>
      <c r="V8354" s="13"/>
      <c r="W8354" s="13"/>
      <c r="X8354" s="13"/>
      <c r="Y8354" s="13"/>
      <c r="Z8354" s="13"/>
    </row>
    <row r="8355" spans="1:26" ht="12" customHeight="1" outlineLevel="3" x14ac:dyDescent="0.2">
      <c r="A8355" s="14" t="s">
        <v>15955</v>
      </c>
      <c r="B8355" s="26" t="s">
        <v>15956</v>
      </c>
      <c r="C8355" s="52"/>
      <c r="D8355" s="55">
        <f t="shared" si="130"/>
        <v>0</v>
      </c>
      <c r="E8355" s="63" t="str">
        <f>HYPERLINK("https://www.sds-group.ru/product/razem-antennyy-shteker-f-rg-6-1-sht-proconnect-05-4003-4-7/", "Инфо")</f>
        <v>Инфо</v>
      </c>
      <c r="F8355" s="16" t="s">
        <v>39</v>
      </c>
      <c r="G8355" s="15"/>
      <c r="H8355" s="15"/>
      <c r="I8355" s="15"/>
      <c r="J8355" s="22">
        <v>2779</v>
      </c>
      <c r="K8355" s="15"/>
      <c r="L8355" s="17">
        <v>10</v>
      </c>
      <c r="M8355" s="17">
        <v>100</v>
      </c>
      <c r="N8355" s="17">
        <v>10</v>
      </c>
      <c r="O8355" s="18">
        <v>42.22</v>
      </c>
      <c r="P8355" s="18">
        <v>34.61</v>
      </c>
      <c r="Q8355" s="18">
        <v>35.89</v>
      </c>
      <c r="R8355" s="18">
        <v>29.42</v>
      </c>
      <c r="S8355" s="18">
        <v>28.71</v>
      </c>
      <c r="T8355" s="18">
        <v>23.53</v>
      </c>
      <c r="U8355" s="16"/>
      <c r="V8355" s="16"/>
      <c r="W8355" s="16" t="s">
        <v>40</v>
      </c>
      <c r="X8355" s="19">
        <v>1.2E-2</v>
      </c>
      <c r="Y8355" s="20">
        <v>1.26E-4</v>
      </c>
      <c r="Z8355" s="21">
        <v>4601004056329</v>
      </c>
    </row>
    <row r="8356" spans="1:26" ht="12" customHeight="1" outlineLevel="3" x14ac:dyDescent="0.2">
      <c r="A8356" s="14" t="s">
        <v>15957</v>
      </c>
      <c r="B8356" s="26" t="s">
        <v>15956</v>
      </c>
      <c r="C8356" s="52"/>
      <c r="D8356" s="55">
        <f t="shared" si="130"/>
        <v>0</v>
      </c>
      <c r="E8356" s="63" t="str">
        <f>HYPERLINK("https://www.sds-group.ru/product/razem-antennyy-shteker-f-rg-6-1-sht-proconnect-05-4003-6-7/", "Инфо")</f>
        <v>Инфо</v>
      </c>
      <c r="F8356" s="16" t="s">
        <v>39</v>
      </c>
      <c r="G8356" s="15"/>
      <c r="H8356" s="15"/>
      <c r="I8356" s="15"/>
      <c r="J8356" s="17">
        <v>347</v>
      </c>
      <c r="K8356" s="15"/>
      <c r="L8356" s="17">
        <v>10</v>
      </c>
      <c r="M8356" s="17">
        <v>100</v>
      </c>
      <c r="N8356" s="17">
        <v>10</v>
      </c>
      <c r="O8356" s="18">
        <v>37.299999999999997</v>
      </c>
      <c r="P8356" s="18">
        <v>30.57</v>
      </c>
      <c r="Q8356" s="18">
        <v>31.71</v>
      </c>
      <c r="R8356" s="18">
        <v>25.99</v>
      </c>
      <c r="S8356" s="18">
        <v>25.36</v>
      </c>
      <c r="T8356" s="18">
        <v>20.79</v>
      </c>
      <c r="U8356" s="16"/>
      <c r="V8356" s="16"/>
      <c r="W8356" s="16" t="s">
        <v>40</v>
      </c>
      <c r="X8356" s="19">
        <v>1.0999999999999999E-2</v>
      </c>
      <c r="Y8356" s="20">
        <v>1.6699999999999999E-4</v>
      </c>
      <c r="Z8356" s="21">
        <v>4601004056343</v>
      </c>
    </row>
    <row r="8357" spans="1:26" ht="12" customHeight="1" outlineLevel="3" x14ac:dyDescent="0.2">
      <c r="A8357" s="14" t="s">
        <v>15958</v>
      </c>
      <c r="B8357" s="26" t="s">
        <v>15959</v>
      </c>
      <c r="C8357" s="52"/>
      <c r="D8357" s="55">
        <f t="shared" si="130"/>
        <v>0</v>
      </c>
      <c r="E8357" s="63" t="str">
        <f>HYPERLINK("https://www.sds-group.ru/product/razem-antennyy-shteker-f-rg-6-2-sht-rexant-06-0004-A2/", "Инфо")</f>
        <v>Инфо</v>
      </c>
      <c r="F8357" s="16" t="s">
        <v>39</v>
      </c>
      <c r="G8357" s="15"/>
      <c r="H8357" s="15"/>
      <c r="I8357" s="15"/>
      <c r="J8357" s="17">
        <v>62</v>
      </c>
      <c r="K8357" s="15" t="s">
        <v>662</v>
      </c>
      <c r="L8357" s="17">
        <v>10</v>
      </c>
      <c r="M8357" s="17">
        <v>10</v>
      </c>
      <c r="N8357" s="17">
        <v>10</v>
      </c>
      <c r="O8357" s="18">
        <v>83.91</v>
      </c>
      <c r="P8357" s="18">
        <v>68.78</v>
      </c>
      <c r="Q8357" s="18">
        <v>71.319999999999993</v>
      </c>
      <c r="R8357" s="18">
        <v>58.46</v>
      </c>
      <c r="S8357" s="18">
        <v>57.06</v>
      </c>
      <c r="T8357" s="18">
        <v>46.77</v>
      </c>
      <c r="U8357" s="16"/>
      <c r="V8357" s="16"/>
      <c r="W8357" s="16" t="s">
        <v>40</v>
      </c>
      <c r="X8357" s="19">
        <v>1.2999999999999999E-2</v>
      </c>
      <c r="Y8357" s="20">
        <v>1.5699999999999999E-4</v>
      </c>
      <c r="Z8357" s="21">
        <v>4601004121836</v>
      </c>
    </row>
    <row r="8358" spans="1:26" ht="12" customHeight="1" outlineLevel="3" x14ac:dyDescent="0.2">
      <c r="A8358" s="14" t="s">
        <v>15960</v>
      </c>
      <c r="B8358" s="26" t="s">
        <v>15961</v>
      </c>
      <c r="C8358" s="52"/>
      <c r="D8358" s="55">
        <f t="shared" si="130"/>
        <v>0</v>
      </c>
      <c r="E8358" s="63" t="str">
        <f>HYPERLINK("https://www.sds-group.ru/product/razem-antennyy-shteker-f-rg-6-5-sht-rexant-06-0004-A5/", "Инфо")</f>
        <v>Инфо</v>
      </c>
      <c r="F8358" s="16" t="s">
        <v>39</v>
      </c>
      <c r="G8358" s="15"/>
      <c r="H8358" s="15"/>
      <c r="I8358" s="15"/>
      <c r="J8358" s="17">
        <v>364</v>
      </c>
      <c r="K8358" s="15"/>
      <c r="L8358" s="17">
        <v>10</v>
      </c>
      <c r="M8358" s="17">
        <v>10</v>
      </c>
      <c r="N8358" s="17">
        <v>10</v>
      </c>
      <c r="O8358" s="18">
        <v>114.63</v>
      </c>
      <c r="P8358" s="18">
        <v>93.96</v>
      </c>
      <c r="Q8358" s="18">
        <v>97.44</v>
      </c>
      <c r="R8358" s="18">
        <v>79.87</v>
      </c>
      <c r="S8358" s="18">
        <v>77.95</v>
      </c>
      <c r="T8358" s="18">
        <v>63.89</v>
      </c>
      <c r="U8358" s="16"/>
      <c r="V8358" s="16"/>
      <c r="W8358" s="16" t="s">
        <v>40</v>
      </c>
      <c r="X8358" s="19">
        <v>1.2E-2</v>
      </c>
      <c r="Y8358" s="20">
        <v>1.25E-4</v>
      </c>
      <c r="Z8358" s="21">
        <v>4601004121843</v>
      </c>
    </row>
    <row r="8359" spans="1:26" ht="12" customHeight="1" outlineLevel="3" x14ac:dyDescent="0.2">
      <c r="A8359" s="14" t="s">
        <v>15962</v>
      </c>
      <c r="B8359" s="26" t="s">
        <v>15963</v>
      </c>
      <c r="C8359" s="52"/>
      <c r="D8359" s="55">
        <f t="shared" si="130"/>
        <v>0</v>
      </c>
      <c r="E8359" s="63" t="str">
        <f>HYPERLINK("https://www.sds-group.ru/product/razem-antennyy-shteker-f-rg-6-5-sht-proconnect-05-4003-4-9/", "Инфо")</f>
        <v>Инфо</v>
      </c>
      <c r="F8359" s="16" t="s">
        <v>1001</v>
      </c>
      <c r="G8359" s="15"/>
      <c r="H8359" s="15"/>
      <c r="I8359" s="15"/>
      <c r="J8359" s="17">
        <v>352</v>
      </c>
      <c r="K8359" s="15"/>
      <c r="L8359" s="17">
        <v>10</v>
      </c>
      <c r="M8359" s="17">
        <v>50</v>
      </c>
      <c r="N8359" s="17">
        <v>10</v>
      </c>
      <c r="O8359" s="18">
        <v>119.49</v>
      </c>
      <c r="P8359" s="18">
        <v>97.94</v>
      </c>
      <c r="Q8359" s="18">
        <v>101.57</v>
      </c>
      <c r="R8359" s="18">
        <v>83.25</v>
      </c>
      <c r="S8359" s="18">
        <v>81.25</v>
      </c>
      <c r="T8359" s="18">
        <v>66.599999999999994</v>
      </c>
      <c r="U8359" s="16"/>
      <c r="V8359" s="16"/>
      <c r="W8359" s="16" t="s">
        <v>40</v>
      </c>
      <c r="X8359" s="19">
        <v>1.7000000000000001E-2</v>
      </c>
      <c r="Y8359" s="20">
        <v>6.7000000000000002E-5</v>
      </c>
      <c r="Z8359" s="21">
        <v>4601004049239</v>
      </c>
    </row>
    <row r="8360" spans="1:26" ht="12" customHeight="1" outlineLevel="3" x14ac:dyDescent="0.2">
      <c r="A8360" s="14" t="s">
        <v>15964</v>
      </c>
      <c r="B8360" s="26" t="s">
        <v>15965</v>
      </c>
      <c r="C8360" s="52"/>
      <c r="D8360" s="55">
        <f t="shared" si="130"/>
        <v>0</v>
      </c>
      <c r="E8360" s="63" t="str">
        <f>HYPERLINK("https://www.sds-group.ru/product/razem-antennyy-shteker-f-sat-s-rezinovym-uplotnitelem-2-sht-rexant-06-0005-A2/", "Инфо")</f>
        <v>Инфо</v>
      </c>
      <c r="F8360" s="16" t="s">
        <v>39</v>
      </c>
      <c r="G8360" s="15"/>
      <c r="H8360" s="15"/>
      <c r="I8360" s="15"/>
      <c r="J8360" s="17">
        <v>34</v>
      </c>
      <c r="K8360" s="15" t="s">
        <v>662</v>
      </c>
      <c r="L8360" s="17">
        <v>10</v>
      </c>
      <c r="M8360" s="17">
        <v>10</v>
      </c>
      <c r="N8360" s="17">
        <v>10</v>
      </c>
      <c r="O8360" s="18">
        <v>93.32</v>
      </c>
      <c r="P8360" s="18">
        <v>76.489999999999995</v>
      </c>
      <c r="Q8360" s="18">
        <v>79.319999999999993</v>
      </c>
      <c r="R8360" s="18">
        <v>65.02</v>
      </c>
      <c r="S8360" s="18">
        <v>63.46</v>
      </c>
      <c r="T8360" s="18">
        <v>52.02</v>
      </c>
      <c r="U8360" s="16"/>
      <c r="V8360" s="16"/>
      <c r="W8360" s="16" t="s">
        <v>40</v>
      </c>
      <c r="X8360" s="19">
        <v>1.6E-2</v>
      </c>
      <c r="Y8360" s="20">
        <v>1.6000000000000001E-4</v>
      </c>
      <c r="Z8360" s="21">
        <v>4601004121850</v>
      </c>
    </row>
    <row r="8361" spans="1:26" ht="12.95" customHeight="1" outlineLevel="2" x14ac:dyDescent="0.2">
      <c r="A8361" s="76" t="s">
        <v>15966</v>
      </c>
      <c r="B8361" s="76"/>
      <c r="C8361" s="77"/>
      <c r="D8361" s="58"/>
      <c r="E8361" s="68"/>
      <c r="F8361" s="13"/>
      <c r="G8361" s="13"/>
      <c r="H8361" s="13"/>
      <c r="I8361" s="13"/>
      <c r="J8361" s="13"/>
      <c r="K8361" s="13"/>
      <c r="L8361" s="13"/>
      <c r="M8361" s="13"/>
      <c r="N8361" s="13"/>
      <c r="O8361" s="13"/>
      <c r="P8361" s="13"/>
      <c r="Q8361" s="13"/>
      <c r="R8361" s="13"/>
      <c r="S8361" s="13"/>
      <c r="T8361" s="13"/>
      <c r="U8361" s="13"/>
      <c r="V8361" s="13"/>
      <c r="W8361" s="13"/>
      <c r="X8361" s="13"/>
      <c r="Y8361" s="13"/>
      <c r="Z8361" s="13"/>
    </row>
    <row r="8362" spans="1:26" ht="12" customHeight="1" outlineLevel="3" x14ac:dyDescent="0.2">
      <c r="A8362" s="14" t="s">
        <v>15967</v>
      </c>
      <c r="B8362" s="26" t="s">
        <v>15968</v>
      </c>
      <c r="C8362" s="52"/>
      <c r="D8362" s="55">
        <f t="shared" si="130"/>
        <v>0</v>
      </c>
      <c r="E8362" s="63" t="str">
        <f>HYPERLINK("https://www.sds-group.ru/product/nabor-antennyy-11-kabel-rg-6u-10m-shteker-f-4sht-bochka-1sht-perehodnik-gn-f-sht-tv-2sht-per-06-3090/", "Инфо")</f>
        <v>Инфо</v>
      </c>
      <c r="F8362" s="16" t="s">
        <v>1001</v>
      </c>
      <c r="G8362" s="15"/>
      <c r="H8362" s="15"/>
      <c r="I8362" s="15"/>
      <c r="J8362" s="16" t="s">
        <v>100</v>
      </c>
      <c r="K8362" s="15"/>
      <c r="L8362" s="17">
        <v>1</v>
      </c>
      <c r="M8362" s="17">
        <v>10</v>
      </c>
      <c r="N8362" s="17">
        <v>1</v>
      </c>
      <c r="O8362" s="18">
        <v>1090.69</v>
      </c>
      <c r="P8362" s="18">
        <v>894.01</v>
      </c>
      <c r="Q8362" s="18">
        <v>763.48</v>
      </c>
      <c r="R8362" s="18">
        <v>625.79999999999995</v>
      </c>
      <c r="S8362" s="18">
        <v>741.67</v>
      </c>
      <c r="T8362" s="18">
        <v>607.92999999999995</v>
      </c>
      <c r="U8362" s="16"/>
      <c r="V8362" s="16"/>
      <c r="W8362" s="16"/>
      <c r="X8362" s="19">
        <v>0.42599999999999999</v>
      </c>
      <c r="Y8362" s="20">
        <v>2.2200000000000002E-3</v>
      </c>
      <c r="Z8362" s="21">
        <v>4601004241961</v>
      </c>
    </row>
    <row r="8363" spans="1:26" ht="12" customHeight="1" outlineLevel="3" x14ac:dyDescent="0.2">
      <c r="A8363" s="14" t="s">
        <v>15969</v>
      </c>
      <c r="B8363" s="26" t="s">
        <v>15970</v>
      </c>
      <c r="C8363" s="52"/>
      <c r="D8363" s="55">
        <f t="shared" si="130"/>
        <v>0</v>
      </c>
      <c r="E8363" s="63" t="str">
        <f>HYPERLINK("https://www.sds-group.ru/product/nabor-antennyy-13-kabel-rg-6u-20m-shteker-f-4sht-bochka-1sht-perehodnik-gn-f-sht-tv-2sht-per-06-3092/", "Инфо")</f>
        <v>Инфо</v>
      </c>
      <c r="F8363" s="16" t="s">
        <v>1001</v>
      </c>
      <c r="G8363" s="15"/>
      <c r="H8363" s="15"/>
      <c r="I8363" s="15"/>
      <c r="J8363" s="16" t="s">
        <v>100</v>
      </c>
      <c r="K8363" s="15"/>
      <c r="L8363" s="17">
        <v>1</v>
      </c>
      <c r="M8363" s="17">
        <v>8</v>
      </c>
      <c r="N8363" s="17">
        <v>1</v>
      </c>
      <c r="O8363" s="18">
        <v>1525.44</v>
      </c>
      <c r="P8363" s="18">
        <v>1250.3599999999999</v>
      </c>
      <c r="Q8363" s="18">
        <v>1067.81</v>
      </c>
      <c r="R8363" s="18">
        <v>875.25</v>
      </c>
      <c r="S8363" s="18">
        <v>1037.3</v>
      </c>
      <c r="T8363" s="18">
        <v>850.25</v>
      </c>
      <c r="U8363" s="16"/>
      <c r="V8363" s="16"/>
      <c r="W8363" s="16"/>
      <c r="X8363" s="19">
        <v>0.85499999999999998</v>
      </c>
      <c r="Y8363" s="20">
        <v>2.9250000000000001E-3</v>
      </c>
      <c r="Z8363" s="21">
        <v>4601004241947</v>
      </c>
    </row>
    <row r="8364" spans="1:26" ht="12" customHeight="1" outlineLevel="3" x14ac:dyDescent="0.2">
      <c r="A8364" s="14" t="s">
        <v>15971</v>
      </c>
      <c r="B8364" s="26" t="s">
        <v>15972</v>
      </c>
      <c r="C8364" s="52"/>
      <c r="D8364" s="55">
        <f t="shared" si="130"/>
        <v>0</v>
      </c>
      <c r="E8364" s="63" t="str">
        <f>HYPERLINK("https://www.sds-group.ru/product/nabor-antennyy-14-kabel-rg-6u-30m-shteker-f-4sht-bochka-1sht-perehodnik-gn-f-sht-tv-2sht-per-06-3093/", "Инфо")</f>
        <v>Инфо</v>
      </c>
      <c r="F8364" s="16" t="s">
        <v>1001</v>
      </c>
      <c r="G8364" s="15"/>
      <c r="H8364" s="15"/>
      <c r="I8364" s="15"/>
      <c r="J8364" s="17">
        <v>28</v>
      </c>
      <c r="K8364" s="15"/>
      <c r="L8364" s="17">
        <v>1</v>
      </c>
      <c r="M8364" s="17">
        <v>6</v>
      </c>
      <c r="N8364" s="17">
        <v>1</v>
      </c>
      <c r="O8364" s="18">
        <v>2451.2199999999998</v>
      </c>
      <c r="P8364" s="18">
        <v>2009.2</v>
      </c>
      <c r="Q8364" s="18">
        <v>1715.85</v>
      </c>
      <c r="R8364" s="18">
        <v>1406.43</v>
      </c>
      <c r="S8364" s="18">
        <v>1666.83</v>
      </c>
      <c r="T8364" s="18">
        <v>1366.25</v>
      </c>
      <c r="U8364" s="16"/>
      <c r="V8364" s="16"/>
      <c r="W8364" s="16"/>
      <c r="X8364" s="19">
        <v>1.133</v>
      </c>
      <c r="Y8364" s="20">
        <v>2.075E-3</v>
      </c>
      <c r="Z8364" s="21">
        <v>4601004241954</v>
      </c>
    </row>
    <row r="8365" spans="1:26" ht="12.95" customHeight="1" x14ac:dyDescent="0.2">
      <c r="A8365" s="80" t="s">
        <v>15973</v>
      </c>
      <c r="B8365" s="80"/>
      <c r="C8365" s="81"/>
      <c r="D8365" s="56"/>
      <c r="E8365" s="66"/>
      <c r="F8365" s="11"/>
      <c r="G8365" s="11"/>
      <c r="H8365" s="11"/>
      <c r="I8365" s="11"/>
      <c r="J8365" s="11"/>
      <c r="K8365" s="11"/>
      <c r="L8365" s="11"/>
      <c r="M8365" s="11"/>
      <c r="N8365" s="11"/>
      <c r="O8365" s="11"/>
      <c r="P8365" s="11"/>
      <c r="Q8365" s="11"/>
      <c r="R8365" s="11"/>
      <c r="S8365" s="11"/>
      <c r="T8365" s="11"/>
      <c r="U8365" s="11"/>
      <c r="V8365" s="11"/>
      <c r="W8365" s="11"/>
      <c r="X8365" s="11"/>
      <c r="Y8365" s="11"/>
      <c r="Z8365" s="11"/>
    </row>
    <row r="8366" spans="1:26" ht="12.95" customHeight="1" outlineLevel="1" x14ac:dyDescent="0.2">
      <c r="A8366" s="78" t="s">
        <v>15974</v>
      </c>
      <c r="B8366" s="78"/>
      <c r="C8366" s="79"/>
      <c r="D8366" s="57"/>
      <c r="E8366" s="67"/>
      <c r="F8366" s="12"/>
      <c r="G8366" s="12"/>
      <c r="H8366" s="12"/>
      <c r="I8366" s="12"/>
      <c r="J8366" s="12"/>
      <c r="K8366" s="12"/>
      <c r="L8366" s="12"/>
      <c r="M8366" s="12"/>
      <c r="N8366" s="12"/>
      <c r="O8366" s="12"/>
      <c r="P8366" s="12"/>
      <c r="Q8366" s="12"/>
      <c r="R8366" s="12"/>
      <c r="S8366" s="12"/>
      <c r="T8366" s="12"/>
      <c r="U8366" s="12"/>
      <c r="V8366" s="12"/>
      <c r="W8366" s="12"/>
      <c r="X8366" s="12"/>
      <c r="Y8366" s="12"/>
      <c r="Z8366" s="12"/>
    </row>
    <row r="8367" spans="1:26" ht="12.95" customHeight="1" outlineLevel="2" x14ac:dyDescent="0.2">
      <c r="A8367" s="76" t="s">
        <v>15975</v>
      </c>
      <c r="B8367" s="76"/>
      <c r="C8367" s="77"/>
      <c r="D8367" s="58"/>
      <c r="E8367" s="68"/>
      <c r="F8367" s="13"/>
      <c r="G8367" s="13"/>
      <c r="H8367" s="13"/>
      <c r="I8367" s="13"/>
      <c r="J8367" s="13"/>
      <c r="K8367" s="13"/>
      <c r="L8367" s="13"/>
      <c r="M8367" s="13"/>
      <c r="N8367" s="13"/>
      <c r="O8367" s="13"/>
      <c r="P8367" s="13"/>
      <c r="Q8367" s="13"/>
      <c r="R8367" s="13"/>
      <c r="S8367" s="13"/>
      <c r="T8367" s="13"/>
      <c r="U8367" s="13"/>
      <c r="V8367" s="13"/>
      <c r="W8367" s="13"/>
      <c r="X8367" s="13"/>
      <c r="Y8367" s="13"/>
      <c r="Z8367" s="13"/>
    </row>
    <row r="8368" spans="1:26" ht="12.95" customHeight="1" outlineLevel="3" x14ac:dyDescent="0.2">
      <c r="A8368" s="76" t="s">
        <v>15976</v>
      </c>
      <c r="B8368" s="76"/>
      <c r="C8368" s="77"/>
      <c r="D8368" s="58"/>
      <c r="E8368" s="68"/>
      <c r="F8368" s="13"/>
      <c r="G8368" s="13"/>
      <c r="H8368" s="13"/>
      <c r="I8368" s="13"/>
      <c r="J8368" s="13"/>
      <c r="K8368" s="13"/>
      <c r="L8368" s="13"/>
      <c r="M8368" s="13"/>
      <c r="N8368" s="13"/>
      <c r="O8368" s="13"/>
      <c r="P8368" s="13"/>
      <c r="Q8368" s="13"/>
      <c r="R8368" s="13"/>
      <c r="S8368" s="13"/>
      <c r="T8368" s="13"/>
      <c r="U8368" s="13"/>
      <c r="V8368" s="13"/>
      <c r="W8368" s="13"/>
      <c r="X8368" s="13"/>
      <c r="Y8368" s="13"/>
      <c r="Z8368" s="13"/>
    </row>
    <row r="8369" spans="1:26" ht="12.95" customHeight="1" outlineLevel="4" x14ac:dyDescent="0.2">
      <c r="A8369" s="76" t="s">
        <v>15977</v>
      </c>
      <c r="B8369" s="76"/>
      <c r="C8369" s="77"/>
      <c r="D8369" s="58"/>
      <c r="E8369" s="68"/>
      <c r="F8369" s="13"/>
      <c r="G8369" s="13"/>
      <c r="H8369" s="13"/>
      <c r="I8369" s="13"/>
      <c r="J8369" s="13"/>
      <c r="K8369" s="13"/>
      <c r="L8369" s="13"/>
      <c r="M8369" s="13"/>
      <c r="N8369" s="13"/>
      <c r="O8369" s="13"/>
      <c r="P8369" s="13"/>
      <c r="Q8369" s="13"/>
      <c r="R8369" s="13"/>
      <c r="S8369" s="13"/>
      <c r="T8369" s="13"/>
      <c r="U8369" s="13"/>
      <c r="V8369" s="13"/>
      <c r="W8369" s="13"/>
      <c r="X8369" s="13"/>
      <c r="Y8369" s="13"/>
      <c r="Z8369" s="13"/>
    </row>
    <row r="8370" spans="1:26" ht="12" customHeight="1" outlineLevel="5" x14ac:dyDescent="0.2">
      <c r="A8370" s="14" t="s">
        <v>15978</v>
      </c>
      <c r="B8370" s="26" t="s">
        <v>15979</v>
      </c>
      <c r="C8370" s="52"/>
      <c r="D8370" s="55">
        <f t="shared" si="130"/>
        <v>0</v>
      </c>
      <c r="E8370" s="63" t="str">
        <f>HYPERLINK("https://www.sds-group.ru/product/provod-pgva-1h0-50mm-belyy-buhta-100m-rexant-01-6511/", "Инфо")</f>
        <v>Инфо</v>
      </c>
      <c r="F8370" s="16" t="s">
        <v>1887</v>
      </c>
      <c r="G8370" s="15"/>
      <c r="H8370" s="15"/>
      <c r="I8370" s="15"/>
      <c r="J8370" s="17">
        <v>231</v>
      </c>
      <c r="K8370" s="15" t="s">
        <v>14912</v>
      </c>
      <c r="L8370" s="17">
        <v>1</v>
      </c>
      <c r="M8370" s="17">
        <v>10</v>
      </c>
      <c r="N8370" s="17">
        <v>1</v>
      </c>
      <c r="O8370" s="18">
        <v>863.9</v>
      </c>
      <c r="P8370" s="18">
        <v>708.11</v>
      </c>
      <c r="Q8370" s="18">
        <v>691.12</v>
      </c>
      <c r="R8370" s="18">
        <v>566.49</v>
      </c>
      <c r="S8370" s="18">
        <v>587.45000000000005</v>
      </c>
      <c r="T8370" s="18">
        <v>481.52</v>
      </c>
      <c r="U8370" s="16"/>
      <c r="V8370" s="16"/>
      <c r="W8370" s="16" t="s">
        <v>40</v>
      </c>
      <c r="X8370" s="19">
        <v>0.66500000000000004</v>
      </c>
      <c r="Y8370" s="20">
        <v>9.3300000000000002E-4</v>
      </c>
      <c r="Z8370" s="21">
        <v>4660008013196</v>
      </c>
    </row>
    <row r="8371" spans="1:26" ht="12" customHeight="1" outlineLevel="5" x14ac:dyDescent="0.2">
      <c r="A8371" s="14" t="s">
        <v>15980</v>
      </c>
      <c r="B8371" s="26" t="s">
        <v>15981</v>
      </c>
      <c r="C8371" s="52"/>
      <c r="D8371" s="55">
        <f t="shared" si="130"/>
        <v>0</v>
      </c>
      <c r="E8371" s="63" t="str">
        <f>HYPERLINK("https://www.sds-group.ru/product/provod-pgva-1h0-50mm-zheltyy-buhta-100m-rexant-01-6512/", "Инфо")</f>
        <v>Инфо</v>
      </c>
      <c r="F8371" s="16" t="s">
        <v>1887</v>
      </c>
      <c r="G8371" s="15"/>
      <c r="H8371" s="15"/>
      <c r="I8371" s="15"/>
      <c r="J8371" s="16" t="s">
        <v>100</v>
      </c>
      <c r="K8371" s="15" t="s">
        <v>6174</v>
      </c>
      <c r="L8371" s="17">
        <v>1</v>
      </c>
      <c r="M8371" s="17">
        <v>10</v>
      </c>
      <c r="N8371" s="17">
        <v>1</v>
      </c>
      <c r="O8371" s="18">
        <v>863.9</v>
      </c>
      <c r="P8371" s="18">
        <v>708.11</v>
      </c>
      <c r="Q8371" s="18">
        <v>691.12</v>
      </c>
      <c r="R8371" s="18">
        <v>566.49</v>
      </c>
      <c r="S8371" s="18">
        <v>587.45000000000005</v>
      </c>
      <c r="T8371" s="18">
        <v>481.52</v>
      </c>
      <c r="U8371" s="16"/>
      <c r="V8371" s="16"/>
      <c r="W8371" s="16" t="s">
        <v>40</v>
      </c>
      <c r="X8371" s="19">
        <v>0.628</v>
      </c>
      <c r="Y8371" s="20">
        <v>1.011E-3</v>
      </c>
      <c r="Z8371" s="21">
        <v>4660008013202</v>
      </c>
    </row>
    <row r="8372" spans="1:26" ht="12" customHeight="1" outlineLevel="5" x14ac:dyDescent="0.2">
      <c r="A8372" s="14" t="s">
        <v>15982</v>
      </c>
      <c r="B8372" s="26" t="s">
        <v>15983</v>
      </c>
      <c r="C8372" s="52"/>
      <c r="D8372" s="55">
        <f t="shared" si="130"/>
        <v>0</v>
      </c>
      <c r="E8372" s="63" t="str">
        <f>HYPERLINK("https://www.sds-group.ru/product/provod-pgva-1h0-50mm-zelenyy-buhta-100m-rexant-01-6513/", "Инфо")</f>
        <v>Инфо</v>
      </c>
      <c r="F8372" s="16" t="s">
        <v>1887</v>
      </c>
      <c r="G8372" s="15"/>
      <c r="H8372" s="15"/>
      <c r="I8372" s="15"/>
      <c r="J8372" s="17">
        <v>128</v>
      </c>
      <c r="K8372" s="15" t="s">
        <v>14912</v>
      </c>
      <c r="L8372" s="17">
        <v>1</v>
      </c>
      <c r="M8372" s="17">
        <v>10</v>
      </c>
      <c r="N8372" s="17">
        <v>1</v>
      </c>
      <c r="O8372" s="18">
        <v>863.9</v>
      </c>
      <c r="P8372" s="18">
        <v>708.11</v>
      </c>
      <c r="Q8372" s="18">
        <v>691.12</v>
      </c>
      <c r="R8372" s="18">
        <v>566.49</v>
      </c>
      <c r="S8372" s="18">
        <v>587.45000000000005</v>
      </c>
      <c r="T8372" s="18">
        <v>481.52</v>
      </c>
      <c r="U8372" s="16"/>
      <c r="V8372" s="16"/>
      <c r="W8372" s="16" t="s">
        <v>40</v>
      </c>
      <c r="X8372" s="19">
        <v>0.624</v>
      </c>
      <c r="Y8372" s="20">
        <v>9.9299999999999996E-4</v>
      </c>
      <c r="Z8372" s="21">
        <v>4660008013219</v>
      </c>
    </row>
    <row r="8373" spans="1:26" ht="12" customHeight="1" outlineLevel="5" x14ac:dyDescent="0.2">
      <c r="A8373" s="14" t="s">
        <v>15984</v>
      </c>
      <c r="B8373" s="26" t="s">
        <v>15985</v>
      </c>
      <c r="C8373" s="52"/>
      <c r="D8373" s="55">
        <f t="shared" si="130"/>
        <v>0</v>
      </c>
      <c r="E8373" s="63" t="str">
        <f>HYPERLINK("https://www.sds-group.ru/product/provod-pgva-1h0-50mm-krasnyy-buhta-100m-rexant-01-6514/", "Инфо")</f>
        <v>Инфо</v>
      </c>
      <c r="F8373" s="16" t="s">
        <v>1887</v>
      </c>
      <c r="G8373" s="15"/>
      <c r="H8373" s="15"/>
      <c r="I8373" s="15"/>
      <c r="J8373" s="17">
        <v>4</v>
      </c>
      <c r="K8373" s="15" t="s">
        <v>6174</v>
      </c>
      <c r="L8373" s="17">
        <v>1</v>
      </c>
      <c r="M8373" s="17">
        <v>10</v>
      </c>
      <c r="N8373" s="17">
        <v>1</v>
      </c>
      <c r="O8373" s="18">
        <v>863.9</v>
      </c>
      <c r="P8373" s="18">
        <v>708.11</v>
      </c>
      <c r="Q8373" s="18">
        <v>691.12</v>
      </c>
      <c r="R8373" s="18">
        <v>566.49</v>
      </c>
      <c r="S8373" s="18">
        <v>587.45000000000005</v>
      </c>
      <c r="T8373" s="18">
        <v>481.52</v>
      </c>
      <c r="U8373" s="16"/>
      <c r="V8373" s="16"/>
      <c r="W8373" s="16" t="s">
        <v>40</v>
      </c>
      <c r="X8373" s="19">
        <v>0.627</v>
      </c>
      <c r="Y8373" s="20">
        <v>1.0169999999999999E-3</v>
      </c>
      <c r="Z8373" s="21">
        <v>4660008013226</v>
      </c>
    </row>
    <row r="8374" spans="1:26" ht="12" customHeight="1" outlineLevel="5" x14ac:dyDescent="0.2">
      <c r="A8374" s="14" t="s">
        <v>15986</v>
      </c>
      <c r="B8374" s="26" t="s">
        <v>15987</v>
      </c>
      <c r="C8374" s="52"/>
      <c r="D8374" s="55">
        <f t="shared" si="130"/>
        <v>0</v>
      </c>
      <c r="E8374" s="63" t="str">
        <f>HYPERLINK("https://www.sds-group.ru/product/provod-pgva-1h0-50mm-siniy-buhta-100m-rexant-01-6515/", "Инфо")</f>
        <v>Инфо</v>
      </c>
      <c r="F8374" s="16" t="s">
        <v>1887</v>
      </c>
      <c r="G8374" s="15"/>
      <c r="H8374" s="15"/>
      <c r="I8374" s="15"/>
      <c r="J8374" s="16" t="s">
        <v>100</v>
      </c>
      <c r="K8374" s="15" t="s">
        <v>6174</v>
      </c>
      <c r="L8374" s="17">
        <v>1</v>
      </c>
      <c r="M8374" s="17">
        <v>10</v>
      </c>
      <c r="N8374" s="17">
        <v>1</v>
      </c>
      <c r="O8374" s="18">
        <v>863.9</v>
      </c>
      <c r="P8374" s="18">
        <v>708.11</v>
      </c>
      <c r="Q8374" s="18">
        <v>691.12</v>
      </c>
      <c r="R8374" s="18">
        <v>566.49</v>
      </c>
      <c r="S8374" s="18">
        <v>587.45000000000005</v>
      </c>
      <c r="T8374" s="18">
        <v>481.52</v>
      </c>
      <c r="U8374" s="16"/>
      <c r="V8374" s="16"/>
      <c r="W8374" s="16" t="s">
        <v>40</v>
      </c>
      <c r="X8374" s="19">
        <v>0.621</v>
      </c>
      <c r="Y8374" s="20">
        <v>9.9099999999999991E-4</v>
      </c>
      <c r="Z8374" s="21">
        <v>4660008013233</v>
      </c>
    </row>
    <row r="8375" spans="1:26" ht="12" customHeight="1" outlineLevel="5" x14ac:dyDescent="0.2">
      <c r="A8375" s="14" t="s">
        <v>15988</v>
      </c>
      <c r="B8375" s="26" t="s">
        <v>15989</v>
      </c>
      <c r="C8375" s="52"/>
      <c r="D8375" s="55">
        <f t="shared" si="130"/>
        <v>0</v>
      </c>
      <c r="E8375" s="63" t="str">
        <f>HYPERLINK("https://www.sds-group.ru/product/provod-pgva-1h0-50mm-chernyy-buhta-100m-rexant-01-6516/", "Инфо")</f>
        <v>Инфо</v>
      </c>
      <c r="F8375" s="16" t="s">
        <v>1887</v>
      </c>
      <c r="G8375" s="15"/>
      <c r="H8375" s="15"/>
      <c r="I8375" s="15"/>
      <c r="J8375" s="16" t="s">
        <v>100</v>
      </c>
      <c r="K8375" s="15" t="s">
        <v>6174</v>
      </c>
      <c r="L8375" s="17">
        <v>1</v>
      </c>
      <c r="M8375" s="17">
        <v>10</v>
      </c>
      <c r="N8375" s="17">
        <v>1</v>
      </c>
      <c r="O8375" s="18">
        <v>863.9</v>
      </c>
      <c r="P8375" s="18">
        <v>708.11</v>
      </c>
      <c r="Q8375" s="18">
        <v>691.12</v>
      </c>
      <c r="R8375" s="18">
        <v>566.49</v>
      </c>
      <c r="S8375" s="18">
        <v>587.45000000000005</v>
      </c>
      <c r="T8375" s="18">
        <v>481.52</v>
      </c>
      <c r="U8375" s="16"/>
      <c r="V8375" s="16"/>
      <c r="W8375" s="16" t="s">
        <v>40</v>
      </c>
      <c r="X8375" s="19">
        <v>0.59199999999999997</v>
      </c>
      <c r="Y8375" s="20">
        <v>9.9500000000000001E-4</v>
      </c>
      <c r="Z8375" s="21">
        <v>4660008013240</v>
      </c>
    </row>
    <row r="8376" spans="1:26" ht="12" customHeight="1" outlineLevel="5" x14ac:dyDescent="0.2">
      <c r="A8376" s="14" t="s">
        <v>15990</v>
      </c>
      <c r="B8376" s="26" t="s">
        <v>15991</v>
      </c>
      <c r="C8376" s="52"/>
      <c r="D8376" s="55">
        <f t="shared" si="130"/>
        <v>0</v>
      </c>
      <c r="E8376" s="63" t="str">
        <f>HYPERLINK("https://www.sds-group.ru/product/provod-pgva-1h0-75mm-belyy-buhta-100m-rexant-01-6501/", "Инфо")</f>
        <v>Инфо</v>
      </c>
      <c r="F8376" s="16" t="s">
        <v>1887</v>
      </c>
      <c r="G8376" s="15"/>
      <c r="H8376" s="15"/>
      <c r="I8376" s="15"/>
      <c r="J8376" s="17">
        <v>274</v>
      </c>
      <c r="K8376" s="15" t="s">
        <v>7336</v>
      </c>
      <c r="L8376" s="17">
        <v>1</v>
      </c>
      <c r="M8376" s="17">
        <v>10</v>
      </c>
      <c r="N8376" s="17">
        <v>1</v>
      </c>
      <c r="O8376" s="18">
        <v>1261.4000000000001</v>
      </c>
      <c r="P8376" s="18">
        <v>1033.93</v>
      </c>
      <c r="Q8376" s="18">
        <v>996.51</v>
      </c>
      <c r="R8376" s="18">
        <v>816.81</v>
      </c>
      <c r="S8376" s="18">
        <v>857.75</v>
      </c>
      <c r="T8376" s="18">
        <v>703.07</v>
      </c>
      <c r="U8376" s="16"/>
      <c r="V8376" s="16"/>
      <c r="W8376" s="16" t="s">
        <v>40</v>
      </c>
      <c r="X8376" s="19">
        <v>0.95299999999999996</v>
      </c>
      <c r="Y8376" s="20">
        <v>1.315E-3</v>
      </c>
      <c r="Z8376" s="21">
        <v>4660008013134</v>
      </c>
    </row>
    <row r="8377" spans="1:26" ht="12" customHeight="1" outlineLevel="5" x14ac:dyDescent="0.2">
      <c r="A8377" s="14" t="s">
        <v>15992</v>
      </c>
      <c r="B8377" s="26" t="s">
        <v>15993</v>
      </c>
      <c r="C8377" s="52"/>
      <c r="D8377" s="55">
        <f t="shared" si="130"/>
        <v>0</v>
      </c>
      <c r="E8377" s="63" t="str">
        <f>HYPERLINK("https://www.sds-group.ru/product/provod-pgva-1h0-75mm-zheltyy-buhta-100m-rexant-01-6502/", "Инфо")</f>
        <v>Инфо</v>
      </c>
      <c r="F8377" s="16" t="s">
        <v>1887</v>
      </c>
      <c r="G8377" s="15"/>
      <c r="H8377" s="15"/>
      <c r="I8377" s="15"/>
      <c r="J8377" s="17">
        <v>404</v>
      </c>
      <c r="K8377" s="15" t="s">
        <v>6174</v>
      </c>
      <c r="L8377" s="17">
        <v>1</v>
      </c>
      <c r="M8377" s="17">
        <v>10</v>
      </c>
      <c r="N8377" s="17">
        <v>1</v>
      </c>
      <c r="O8377" s="18">
        <v>1261.4000000000001</v>
      </c>
      <c r="P8377" s="18">
        <v>1033.93</v>
      </c>
      <c r="Q8377" s="18">
        <v>996.51</v>
      </c>
      <c r="R8377" s="18">
        <v>816.81</v>
      </c>
      <c r="S8377" s="18">
        <v>857.75</v>
      </c>
      <c r="T8377" s="18">
        <v>703.07</v>
      </c>
      <c r="U8377" s="16"/>
      <c r="V8377" s="16"/>
      <c r="W8377" s="16" t="s">
        <v>40</v>
      </c>
      <c r="X8377" s="19">
        <v>0.94599999999999995</v>
      </c>
      <c r="Y8377" s="20">
        <v>1.3519999999999999E-3</v>
      </c>
      <c r="Z8377" s="21">
        <v>4660008013141</v>
      </c>
    </row>
    <row r="8378" spans="1:26" ht="12" customHeight="1" outlineLevel="5" x14ac:dyDescent="0.2">
      <c r="A8378" s="14" t="s">
        <v>15994</v>
      </c>
      <c r="B8378" s="26" t="s">
        <v>15995</v>
      </c>
      <c r="C8378" s="52"/>
      <c r="D8378" s="55">
        <f t="shared" si="130"/>
        <v>0</v>
      </c>
      <c r="E8378" s="63" t="str">
        <f>HYPERLINK("https://www.sds-group.ru/product/provod-pgva-1h0-75mm-zelenyy-buhta-100m-rexant-01-6503/", "Инфо")</f>
        <v>Инфо</v>
      </c>
      <c r="F8378" s="16" t="s">
        <v>1887</v>
      </c>
      <c r="G8378" s="15"/>
      <c r="H8378" s="15"/>
      <c r="I8378" s="15"/>
      <c r="J8378" s="17">
        <v>84</v>
      </c>
      <c r="K8378" s="15" t="s">
        <v>7336</v>
      </c>
      <c r="L8378" s="17">
        <v>1</v>
      </c>
      <c r="M8378" s="17">
        <v>10</v>
      </c>
      <c r="N8378" s="17">
        <v>1</v>
      </c>
      <c r="O8378" s="18">
        <v>1261.4000000000001</v>
      </c>
      <c r="P8378" s="18">
        <v>1033.93</v>
      </c>
      <c r="Q8378" s="18">
        <v>996.51</v>
      </c>
      <c r="R8378" s="18">
        <v>816.81</v>
      </c>
      <c r="S8378" s="18">
        <v>857.75</v>
      </c>
      <c r="T8378" s="18">
        <v>703.07</v>
      </c>
      <c r="U8378" s="16"/>
      <c r="V8378" s="16"/>
      <c r="W8378" s="16" t="s">
        <v>40</v>
      </c>
      <c r="X8378" s="19">
        <v>0.94</v>
      </c>
      <c r="Y8378" s="20">
        <v>1.3979999999999999E-3</v>
      </c>
      <c r="Z8378" s="21">
        <v>4660008013158</v>
      </c>
    </row>
    <row r="8379" spans="1:26" ht="12" customHeight="1" outlineLevel="5" x14ac:dyDescent="0.2">
      <c r="A8379" s="14" t="s">
        <v>15996</v>
      </c>
      <c r="B8379" s="26" t="s">
        <v>15997</v>
      </c>
      <c r="C8379" s="52"/>
      <c r="D8379" s="55">
        <f t="shared" si="130"/>
        <v>0</v>
      </c>
      <c r="E8379" s="63" t="str">
        <f>HYPERLINK("https://www.sds-group.ru/product/provod-pgva-1h0-75mm-krasnyy-buhta-100m-rexant-01-6504/", "Инфо")</f>
        <v>Инфо</v>
      </c>
      <c r="F8379" s="16" t="s">
        <v>1887</v>
      </c>
      <c r="G8379" s="15"/>
      <c r="H8379" s="15"/>
      <c r="I8379" s="15"/>
      <c r="J8379" s="17">
        <v>207</v>
      </c>
      <c r="K8379" s="15" t="s">
        <v>6174</v>
      </c>
      <c r="L8379" s="17">
        <v>1</v>
      </c>
      <c r="M8379" s="17">
        <v>10</v>
      </c>
      <c r="N8379" s="17">
        <v>1</v>
      </c>
      <c r="O8379" s="18">
        <v>1261.4000000000001</v>
      </c>
      <c r="P8379" s="18">
        <v>1033.93</v>
      </c>
      <c r="Q8379" s="18">
        <v>996.51</v>
      </c>
      <c r="R8379" s="18">
        <v>816.81</v>
      </c>
      <c r="S8379" s="18">
        <v>857.75</v>
      </c>
      <c r="T8379" s="18">
        <v>703.07</v>
      </c>
      <c r="U8379" s="16"/>
      <c r="V8379" s="16"/>
      <c r="W8379" s="16" t="s">
        <v>40</v>
      </c>
      <c r="X8379" s="19">
        <v>0.89600000000000002</v>
      </c>
      <c r="Y8379" s="20">
        <v>9.2699999999999998E-4</v>
      </c>
      <c r="Z8379" s="21">
        <v>4660008013165</v>
      </c>
    </row>
    <row r="8380" spans="1:26" ht="12" customHeight="1" outlineLevel="5" x14ac:dyDescent="0.2">
      <c r="A8380" s="14" t="s">
        <v>15998</v>
      </c>
      <c r="B8380" s="26" t="s">
        <v>15999</v>
      </c>
      <c r="C8380" s="52"/>
      <c r="D8380" s="55">
        <f t="shared" si="130"/>
        <v>0</v>
      </c>
      <c r="E8380" s="63" t="str">
        <f>HYPERLINK("https://www.sds-group.ru/product/provod-pgva-1h0-75mm-siniy-buhta-100m-rexant-01-6505/", "Инфо")</f>
        <v>Инфо</v>
      </c>
      <c r="F8380" s="16" t="s">
        <v>1887</v>
      </c>
      <c r="G8380" s="15"/>
      <c r="H8380" s="15"/>
      <c r="I8380" s="15"/>
      <c r="J8380" s="17">
        <v>346</v>
      </c>
      <c r="K8380" s="15" t="s">
        <v>6174</v>
      </c>
      <c r="L8380" s="17">
        <v>1</v>
      </c>
      <c r="M8380" s="17">
        <v>10</v>
      </c>
      <c r="N8380" s="17">
        <v>1</v>
      </c>
      <c r="O8380" s="18">
        <v>1261.4000000000001</v>
      </c>
      <c r="P8380" s="18">
        <v>1033.93</v>
      </c>
      <c r="Q8380" s="18">
        <v>996.51</v>
      </c>
      <c r="R8380" s="18">
        <v>816.81</v>
      </c>
      <c r="S8380" s="18">
        <v>857.75</v>
      </c>
      <c r="T8380" s="18">
        <v>703.07</v>
      </c>
      <c r="U8380" s="16"/>
      <c r="V8380" s="16"/>
      <c r="W8380" s="16" t="s">
        <v>40</v>
      </c>
      <c r="X8380" s="19">
        <v>0.93600000000000005</v>
      </c>
      <c r="Y8380" s="20">
        <v>1.439E-3</v>
      </c>
      <c r="Z8380" s="21">
        <v>4660008013172</v>
      </c>
    </row>
    <row r="8381" spans="1:26" ht="12" customHeight="1" outlineLevel="5" x14ac:dyDescent="0.2">
      <c r="A8381" s="14" t="s">
        <v>16000</v>
      </c>
      <c r="B8381" s="26" t="s">
        <v>16001</v>
      </c>
      <c r="C8381" s="52"/>
      <c r="D8381" s="55">
        <f t="shared" si="130"/>
        <v>0</v>
      </c>
      <c r="E8381" s="63" t="str">
        <f>HYPERLINK("https://www.sds-group.ru/product/provod-pgva-1h0-75mm-chernyy-buhta-100m-rexant-01-6506/", "Инфо")</f>
        <v>Инфо</v>
      </c>
      <c r="F8381" s="16" t="s">
        <v>1887</v>
      </c>
      <c r="G8381" s="15"/>
      <c r="H8381" s="15"/>
      <c r="I8381" s="15"/>
      <c r="J8381" s="17">
        <v>69</v>
      </c>
      <c r="K8381" s="15" t="s">
        <v>6174</v>
      </c>
      <c r="L8381" s="17">
        <v>1</v>
      </c>
      <c r="M8381" s="17">
        <v>10</v>
      </c>
      <c r="N8381" s="17">
        <v>1</v>
      </c>
      <c r="O8381" s="18">
        <v>1261.4000000000001</v>
      </c>
      <c r="P8381" s="18">
        <v>1033.93</v>
      </c>
      <c r="Q8381" s="18">
        <v>996.51</v>
      </c>
      <c r="R8381" s="18">
        <v>816.81</v>
      </c>
      <c r="S8381" s="18">
        <v>857.75</v>
      </c>
      <c r="T8381" s="18">
        <v>703.07</v>
      </c>
      <c r="U8381" s="16"/>
      <c r="V8381" s="16"/>
      <c r="W8381" s="16" t="s">
        <v>40</v>
      </c>
      <c r="X8381" s="19">
        <v>0.89600000000000002</v>
      </c>
      <c r="Y8381" s="20">
        <v>1.4059999999999999E-3</v>
      </c>
      <c r="Z8381" s="21">
        <v>4660008013189</v>
      </c>
    </row>
    <row r="8382" spans="1:26" ht="12" customHeight="1" outlineLevel="5" x14ac:dyDescent="0.2">
      <c r="A8382" s="14" t="s">
        <v>16002</v>
      </c>
      <c r="B8382" s="26" t="s">
        <v>16003</v>
      </c>
      <c r="C8382" s="52"/>
      <c r="D8382" s="55">
        <f t="shared" si="130"/>
        <v>0</v>
      </c>
      <c r="E8382" s="63" t="str">
        <f>HYPERLINK("https://www.sds-group.ru/product/provod-pgva-1h1-00mm-belyy-buhta-100m-rexant-01-6521/", "Инфо")</f>
        <v>Инфо</v>
      </c>
      <c r="F8382" s="16" t="s">
        <v>1887</v>
      </c>
      <c r="G8382" s="15"/>
      <c r="H8382" s="15"/>
      <c r="I8382" s="15"/>
      <c r="J8382" s="17">
        <v>50</v>
      </c>
      <c r="K8382" s="15" t="s">
        <v>6174</v>
      </c>
      <c r="L8382" s="17">
        <v>1</v>
      </c>
      <c r="M8382" s="17">
        <v>8</v>
      </c>
      <c r="N8382" s="17">
        <v>1</v>
      </c>
      <c r="O8382" s="18">
        <v>1547.6</v>
      </c>
      <c r="P8382" s="18">
        <v>1268.52</v>
      </c>
      <c r="Q8382" s="18">
        <v>1222.5999999999999</v>
      </c>
      <c r="R8382" s="18">
        <v>1002.13</v>
      </c>
      <c r="S8382" s="18">
        <v>1052.3699999999999</v>
      </c>
      <c r="T8382" s="18">
        <v>862.6</v>
      </c>
      <c r="U8382" s="16"/>
      <c r="V8382" s="16"/>
      <c r="W8382" s="16" t="s">
        <v>40</v>
      </c>
      <c r="X8382" s="19">
        <v>1.0189999999999999</v>
      </c>
      <c r="Y8382" s="20">
        <v>1.413E-3</v>
      </c>
      <c r="Z8382" s="21">
        <v>4660008013257</v>
      </c>
    </row>
    <row r="8383" spans="1:26" ht="12" customHeight="1" outlineLevel="5" x14ac:dyDescent="0.2">
      <c r="A8383" s="14" t="s">
        <v>16004</v>
      </c>
      <c r="B8383" s="26" t="s">
        <v>16005</v>
      </c>
      <c r="C8383" s="52"/>
      <c r="D8383" s="55">
        <f t="shared" si="130"/>
        <v>0</v>
      </c>
      <c r="E8383" s="63" t="str">
        <f>HYPERLINK("https://www.sds-group.ru/product/provod-pgva-1h1-00mm-zheltyy-buhta-100m-rexant-01-6522/", "Инфо")</f>
        <v>Инфо</v>
      </c>
      <c r="F8383" s="16" t="s">
        <v>1887</v>
      </c>
      <c r="G8383" s="15"/>
      <c r="H8383" s="15"/>
      <c r="I8383" s="15"/>
      <c r="J8383" s="17">
        <v>59</v>
      </c>
      <c r="K8383" s="15" t="s">
        <v>6174</v>
      </c>
      <c r="L8383" s="17">
        <v>1</v>
      </c>
      <c r="M8383" s="17">
        <v>8</v>
      </c>
      <c r="N8383" s="17">
        <v>1</v>
      </c>
      <c r="O8383" s="18">
        <v>1547.6</v>
      </c>
      <c r="P8383" s="18">
        <v>1268.52</v>
      </c>
      <c r="Q8383" s="18">
        <v>1222.5999999999999</v>
      </c>
      <c r="R8383" s="18">
        <v>1002.13</v>
      </c>
      <c r="S8383" s="18">
        <v>1052.3699999999999</v>
      </c>
      <c r="T8383" s="18">
        <v>862.6</v>
      </c>
      <c r="U8383" s="16"/>
      <c r="V8383" s="16"/>
      <c r="W8383" s="16" t="s">
        <v>40</v>
      </c>
      <c r="X8383" s="19">
        <v>1.0049999999999999</v>
      </c>
      <c r="Y8383" s="20">
        <v>1.456E-3</v>
      </c>
      <c r="Z8383" s="21">
        <v>4660008013264</v>
      </c>
    </row>
    <row r="8384" spans="1:26" ht="12" customHeight="1" outlineLevel="5" x14ac:dyDescent="0.2">
      <c r="A8384" s="14" t="s">
        <v>16006</v>
      </c>
      <c r="B8384" s="26" t="s">
        <v>16007</v>
      </c>
      <c r="C8384" s="52"/>
      <c r="D8384" s="55">
        <f t="shared" si="130"/>
        <v>0</v>
      </c>
      <c r="E8384" s="63" t="str">
        <f>HYPERLINK("https://www.sds-group.ru/product/provod-pgva-1h1-00mm-zelenyy-buhta-100m-rexant-01-6523/", "Инфо")</f>
        <v>Инфо</v>
      </c>
      <c r="F8384" s="16" t="s">
        <v>1887</v>
      </c>
      <c r="G8384" s="15"/>
      <c r="H8384" s="15"/>
      <c r="I8384" s="15"/>
      <c r="J8384" s="16" t="s">
        <v>100</v>
      </c>
      <c r="K8384" s="15" t="s">
        <v>6174</v>
      </c>
      <c r="L8384" s="17">
        <v>1</v>
      </c>
      <c r="M8384" s="17">
        <v>8</v>
      </c>
      <c r="N8384" s="17">
        <v>1</v>
      </c>
      <c r="O8384" s="18">
        <v>1547.6</v>
      </c>
      <c r="P8384" s="18">
        <v>1268.52</v>
      </c>
      <c r="Q8384" s="18">
        <v>1222.5999999999999</v>
      </c>
      <c r="R8384" s="18">
        <v>1002.13</v>
      </c>
      <c r="S8384" s="18">
        <v>1052.3699999999999</v>
      </c>
      <c r="T8384" s="18">
        <v>862.6</v>
      </c>
      <c r="U8384" s="16"/>
      <c r="V8384" s="16"/>
      <c r="W8384" s="16" t="s">
        <v>40</v>
      </c>
      <c r="X8384" s="19">
        <v>1.0049999999999999</v>
      </c>
      <c r="Y8384" s="20">
        <v>1.488E-3</v>
      </c>
      <c r="Z8384" s="21">
        <v>4660008013271</v>
      </c>
    </row>
    <row r="8385" spans="1:26" ht="12" customHeight="1" outlineLevel="5" x14ac:dyDescent="0.2">
      <c r="A8385" s="14" t="s">
        <v>16008</v>
      </c>
      <c r="B8385" s="26" t="s">
        <v>16009</v>
      </c>
      <c r="C8385" s="52"/>
      <c r="D8385" s="55">
        <f t="shared" si="130"/>
        <v>0</v>
      </c>
      <c r="E8385" s="63" t="str">
        <f>HYPERLINK("https://www.sds-group.ru/product/provod-pgva-1h1-00mm-krasnyy-buhta-100m-rexant-01-6524/", "Инфо")</f>
        <v>Инфо</v>
      </c>
      <c r="F8385" s="16" t="s">
        <v>1887</v>
      </c>
      <c r="G8385" s="15"/>
      <c r="H8385" s="15"/>
      <c r="I8385" s="15"/>
      <c r="J8385" s="17">
        <v>140</v>
      </c>
      <c r="K8385" s="15" t="s">
        <v>6174</v>
      </c>
      <c r="L8385" s="17">
        <v>1</v>
      </c>
      <c r="M8385" s="17">
        <v>8</v>
      </c>
      <c r="N8385" s="17">
        <v>1</v>
      </c>
      <c r="O8385" s="18">
        <v>1547.6</v>
      </c>
      <c r="P8385" s="18">
        <v>1268.52</v>
      </c>
      <c r="Q8385" s="18">
        <v>1222.5999999999999</v>
      </c>
      <c r="R8385" s="18">
        <v>1002.13</v>
      </c>
      <c r="S8385" s="18">
        <v>1052.3699999999999</v>
      </c>
      <c r="T8385" s="18">
        <v>862.6</v>
      </c>
      <c r="U8385" s="16"/>
      <c r="V8385" s="16"/>
      <c r="W8385" s="16" t="s">
        <v>40</v>
      </c>
      <c r="X8385" s="19">
        <v>0.97299999999999998</v>
      </c>
      <c r="Y8385" s="20">
        <v>1.5089999999999999E-3</v>
      </c>
      <c r="Z8385" s="21">
        <v>4660008013288</v>
      </c>
    </row>
    <row r="8386" spans="1:26" ht="12" customHeight="1" outlineLevel="5" x14ac:dyDescent="0.2">
      <c r="A8386" s="14" t="s">
        <v>16010</v>
      </c>
      <c r="B8386" s="26" t="s">
        <v>16011</v>
      </c>
      <c r="C8386" s="52"/>
      <c r="D8386" s="55">
        <f t="shared" si="130"/>
        <v>0</v>
      </c>
      <c r="E8386" s="63" t="str">
        <f>HYPERLINK("https://www.sds-group.ru/product/provod-pgva-1h1-00mm-siniy-buhta-100m-rexant-01-6525/", "Инфо")</f>
        <v>Инфо</v>
      </c>
      <c r="F8386" s="16" t="s">
        <v>1887</v>
      </c>
      <c r="G8386" s="15"/>
      <c r="H8386" s="15"/>
      <c r="I8386" s="15"/>
      <c r="J8386" s="17">
        <v>24</v>
      </c>
      <c r="K8386" s="15" t="s">
        <v>6174</v>
      </c>
      <c r="L8386" s="17">
        <v>1</v>
      </c>
      <c r="M8386" s="17">
        <v>8</v>
      </c>
      <c r="N8386" s="17">
        <v>1</v>
      </c>
      <c r="O8386" s="18">
        <v>1547.6</v>
      </c>
      <c r="P8386" s="18">
        <v>1268.52</v>
      </c>
      <c r="Q8386" s="18">
        <v>1222.5999999999999</v>
      </c>
      <c r="R8386" s="18">
        <v>1002.13</v>
      </c>
      <c r="S8386" s="18">
        <v>1052.3699999999999</v>
      </c>
      <c r="T8386" s="18">
        <v>862.6</v>
      </c>
      <c r="U8386" s="16"/>
      <c r="V8386" s="16"/>
      <c r="W8386" s="16" t="s">
        <v>40</v>
      </c>
      <c r="X8386" s="19">
        <v>0.98699999999999999</v>
      </c>
      <c r="Y8386" s="20">
        <v>1.4519999999999999E-3</v>
      </c>
      <c r="Z8386" s="21">
        <v>4660008013295</v>
      </c>
    </row>
    <row r="8387" spans="1:26" ht="12" customHeight="1" outlineLevel="5" x14ac:dyDescent="0.2">
      <c r="A8387" s="14" t="s">
        <v>16012</v>
      </c>
      <c r="B8387" s="26" t="s">
        <v>16013</v>
      </c>
      <c r="C8387" s="52"/>
      <c r="D8387" s="55">
        <f t="shared" si="130"/>
        <v>0</v>
      </c>
      <c r="E8387" s="63" t="str">
        <f>HYPERLINK("https://www.sds-group.ru/product/provod-pgva-1h1-00mm-chernyy-buhta-100m-rexant-01-6526/", "Инфо")</f>
        <v>Инфо</v>
      </c>
      <c r="F8387" s="16" t="s">
        <v>1887</v>
      </c>
      <c r="G8387" s="15"/>
      <c r="H8387" s="15"/>
      <c r="I8387" s="15"/>
      <c r="J8387" s="17">
        <v>192</v>
      </c>
      <c r="K8387" s="15" t="s">
        <v>6174</v>
      </c>
      <c r="L8387" s="17">
        <v>1</v>
      </c>
      <c r="M8387" s="17">
        <v>8</v>
      </c>
      <c r="N8387" s="17">
        <v>1</v>
      </c>
      <c r="O8387" s="18">
        <v>1547.6</v>
      </c>
      <c r="P8387" s="18">
        <v>1268.52</v>
      </c>
      <c r="Q8387" s="18">
        <v>1222.5999999999999</v>
      </c>
      <c r="R8387" s="18">
        <v>1002.13</v>
      </c>
      <c r="S8387" s="18">
        <v>1052.3699999999999</v>
      </c>
      <c r="T8387" s="18">
        <v>862.6</v>
      </c>
      <c r="U8387" s="16"/>
      <c r="V8387" s="16"/>
      <c r="W8387" s="16" t="s">
        <v>40</v>
      </c>
      <c r="X8387" s="19">
        <v>1.018</v>
      </c>
      <c r="Y8387" s="20">
        <v>1.493E-3</v>
      </c>
      <c r="Z8387" s="21">
        <v>4660008013301</v>
      </c>
    </row>
    <row r="8388" spans="1:26" ht="12" customHeight="1" outlineLevel="5" x14ac:dyDescent="0.2">
      <c r="A8388" s="14" t="s">
        <v>16014</v>
      </c>
      <c r="B8388" s="26" t="s">
        <v>16015</v>
      </c>
      <c r="C8388" s="52"/>
      <c r="D8388" s="55">
        <f t="shared" si="130"/>
        <v>0</v>
      </c>
      <c r="E8388" s="63" t="str">
        <f>HYPERLINK("https://www.sds-group.ru/product/provod-pgva-1h1-50mm-belyy-buhta-100m-rexant-01-6531/", "Инфо")</f>
        <v>Инфо</v>
      </c>
      <c r="F8388" s="16" t="s">
        <v>1887</v>
      </c>
      <c r="G8388" s="15"/>
      <c r="H8388" s="15"/>
      <c r="I8388" s="15"/>
      <c r="J8388" s="17">
        <v>50</v>
      </c>
      <c r="K8388" s="15" t="s">
        <v>6174</v>
      </c>
      <c r="L8388" s="17">
        <v>1</v>
      </c>
      <c r="M8388" s="17">
        <v>6</v>
      </c>
      <c r="N8388" s="17">
        <v>1</v>
      </c>
      <c r="O8388" s="18">
        <v>1961</v>
      </c>
      <c r="P8388" s="18">
        <v>1607.38</v>
      </c>
      <c r="Q8388" s="18">
        <v>1509.97</v>
      </c>
      <c r="R8388" s="18">
        <v>1237.68</v>
      </c>
      <c r="S8388" s="18">
        <v>1333.48</v>
      </c>
      <c r="T8388" s="18">
        <v>1093.02</v>
      </c>
      <c r="U8388" s="16"/>
      <c r="V8388" s="16"/>
      <c r="W8388" s="16" t="s">
        <v>40</v>
      </c>
      <c r="X8388" s="19">
        <v>1.194</v>
      </c>
      <c r="Y8388" s="20">
        <v>1.5969999999999999E-3</v>
      </c>
      <c r="Z8388" s="21">
        <v>4660008013318</v>
      </c>
    </row>
    <row r="8389" spans="1:26" ht="12" customHeight="1" outlineLevel="5" x14ac:dyDescent="0.2">
      <c r="A8389" s="14" t="s">
        <v>16016</v>
      </c>
      <c r="B8389" s="26" t="s">
        <v>16017</v>
      </c>
      <c r="C8389" s="52"/>
      <c r="D8389" s="55">
        <f t="shared" si="130"/>
        <v>0</v>
      </c>
      <c r="E8389" s="63" t="str">
        <f>HYPERLINK("https://www.sds-group.ru/product/provod-pgva-1h1-50mm-zheltyy-buhta-100m-rexant-01-6532/", "Инфо")</f>
        <v>Инфо</v>
      </c>
      <c r="F8389" s="16" t="s">
        <v>1887</v>
      </c>
      <c r="G8389" s="15"/>
      <c r="H8389" s="15"/>
      <c r="I8389" s="15"/>
      <c r="J8389" s="17">
        <v>31</v>
      </c>
      <c r="K8389" s="15" t="s">
        <v>6174</v>
      </c>
      <c r="L8389" s="17">
        <v>1</v>
      </c>
      <c r="M8389" s="17">
        <v>6</v>
      </c>
      <c r="N8389" s="17">
        <v>1</v>
      </c>
      <c r="O8389" s="18">
        <v>1961</v>
      </c>
      <c r="P8389" s="18">
        <v>1607.38</v>
      </c>
      <c r="Q8389" s="18">
        <v>1509.97</v>
      </c>
      <c r="R8389" s="18">
        <v>1237.68</v>
      </c>
      <c r="S8389" s="18">
        <v>1333.48</v>
      </c>
      <c r="T8389" s="18">
        <v>1093.02</v>
      </c>
      <c r="U8389" s="16"/>
      <c r="V8389" s="16"/>
      <c r="W8389" s="16" t="s">
        <v>40</v>
      </c>
      <c r="X8389" s="19">
        <v>1.147</v>
      </c>
      <c r="Y8389" s="20">
        <v>1.6329999999999999E-3</v>
      </c>
      <c r="Z8389" s="21">
        <v>4660008013325</v>
      </c>
    </row>
    <row r="8390" spans="1:26" ht="12" customHeight="1" outlineLevel="5" x14ac:dyDescent="0.2">
      <c r="A8390" s="14" t="s">
        <v>16018</v>
      </c>
      <c r="B8390" s="26" t="s">
        <v>16019</v>
      </c>
      <c r="C8390" s="52"/>
      <c r="D8390" s="55">
        <f t="shared" si="130"/>
        <v>0</v>
      </c>
      <c r="E8390" s="63" t="str">
        <f>HYPERLINK("https://www.sds-group.ru/product/provod-pgva-1h1-50mm-zelenyy-buhta-100m-rexant-01-6533/", "Инфо")</f>
        <v>Инфо</v>
      </c>
      <c r="F8390" s="16" t="s">
        <v>1887</v>
      </c>
      <c r="G8390" s="15"/>
      <c r="H8390" s="15"/>
      <c r="I8390" s="15"/>
      <c r="J8390" s="17">
        <v>105</v>
      </c>
      <c r="K8390" s="15" t="s">
        <v>6174</v>
      </c>
      <c r="L8390" s="17">
        <v>1</v>
      </c>
      <c r="M8390" s="17">
        <v>6</v>
      </c>
      <c r="N8390" s="17">
        <v>1</v>
      </c>
      <c r="O8390" s="18">
        <v>1961</v>
      </c>
      <c r="P8390" s="18">
        <v>1607.38</v>
      </c>
      <c r="Q8390" s="18">
        <v>1509.97</v>
      </c>
      <c r="R8390" s="18">
        <v>1237.68</v>
      </c>
      <c r="S8390" s="18">
        <v>1333.48</v>
      </c>
      <c r="T8390" s="18">
        <v>1093.02</v>
      </c>
      <c r="U8390" s="16"/>
      <c r="V8390" s="16"/>
      <c r="W8390" s="16" t="s">
        <v>40</v>
      </c>
      <c r="X8390" s="19">
        <v>1.167</v>
      </c>
      <c r="Y8390" s="20">
        <v>1.681E-3</v>
      </c>
      <c r="Z8390" s="21">
        <v>4660008013332</v>
      </c>
    </row>
    <row r="8391" spans="1:26" ht="12" customHeight="1" outlineLevel="5" x14ac:dyDescent="0.2">
      <c r="A8391" s="14" t="s">
        <v>16020</v>
      </c>
      <c r="B8391" s="26" t="s">
        <v>16021</v>
      </c>
      <c r="C8391" s="52"/>
      <c r="D8391" s="55">
        <f t="shared" si="130"/>
        <v>0</v>
      </c>
      <c r="E8391" s="63" t="str">
        <f>HYPERLINK("https://www.sds-group.ru/product/provod-pgva-1h1-50mm-krasnyy-buhta-100m-rexant-01-6534/", "Инфо")</f>
        <v>Инфо</v>
      </c>
      <c r="F8391" s="16" t="s">
        <v>1887</v>
      </c>
      <c r="G8391" s="15"/>
      <c r="H8391" s="15"/>
      <c r="I8391" s="15"/>
      <c r="J8391" s="17">
        <v>404</v>
      </c>
      <c r="K8391" s="15" t="s">
        <v>6174</v>
      </c>
      <c r="L8391" s="17">
        <v>1</v>
      </c>
      <c r="M8391" s="17">
        <v>6</v>
      </c>
      <c r="N8391" s="17">
        <v>1</v>
      </c>
      <c r="O8391" s="18">
        <v>1961</v>
      </c>
      <c r="P8391" s="18">
        <v>1607.38</v>
      </c>
      <c r="Q8391" s="18">
        <v>1509.97</v>
      </c>
      <c r="R8391" s="18">
        <v>1237.68</v>
      </c>
      <c r="S8391" s="18">
        <v>1333.48</v>
      </c>
      <c r="T8391" s="18">
        <v>1093.02</v>
      </c>
      <c r="U8391" s="16"/>
      <c r="V8391" s="16"/>
      <c r="W8391" s="16" t="s">
        <v>40</v>
      </c>
      <c r="X8391" s="19">
        <v>1.149</v>
      </c>
      <c r="Y8391" s="20">
        <v>1.7060000000000001E-3</v>
      </c>
      <c r="Z8391" s="21">
        <v>4660008013349</v>
      </c>
    </row>
    <row r="8392" spans="1:26" ht="12" customHeight="1" outlineLevel="5" x14ac:dyDescent="0.2">
      <c r="A8392" s="14" t="s">
        <v>16022</v>
      </c>
      <c r="B8392" s="26" t="s">
        <v>16023</v>
      </c>
      <c r="C8392" s="52"/>
      <c r="D8392" s="55">
        <f t="shared" si="130"/>
        <v>0</v>
      </c>
      <c r="E8392" s="63" t="str">
        <f>HYPERLINK("https://www.sds-group.ru/product/provod-pgva-1h1-50mm-siniy-buhta-100m-rexant-01-6535/", "Инфо")</f>
        <v>Инфо</v>
      </c>
      <c r="F8392" s="16" t="s">
        <v>1887</v>
      </c>
      <c r="G8392" s="15"/>
      <c r="H8392" s="15"/>
      <c r="I8392" s="15"/>
      <c r="J8392" s="17">
        <v>77</v>
      </c>
      <c r="K8392" s="15" t="s">
        <v>6174</v>
      </c>
      <c r="L8392" s="17">
        <v>1</v>
      </c>
      <c r="M8392" s="17">
        <v>6</v>
      </c>
      <c r="N8392" s="17">
        <v>1</v>
      </c>
      <c r="O8392" s="18">
        <v>1961</v>
      </c>
      <c r="P8392" s="18">
        <v>1607.38</v>
      </c>
      <c r="Q8392" s="18">
        <v>1509.97</v>
      </c>
      <c r="R8392" s="18">
        <v>1237.68</v>
      </c>
      <c r="S8392" s="18">
        <v>1333.48</v>
      </c>
      <c r="T8392" s="18">
        <v>1093.02</v>
      </c>
      <c r="U8392" s="16"/>
      <c r="V8392" s="16"/>
      <c r="W8392" s="16" t="s">
        <v>40</v>
      </c>
      <c r="X8392" s="19">
        <v>1.169</v>
      </c>
      <c r="Y8392" s="20">
        <v>1.688E-3</v>
      </c>
      <c r="Z8392" s="21">
        <v>4660008013356</v>
      </c>
    </row>
    <row r="8393" spans="1:26" ht="12" customHeight="1" outlineLevel="5" x14ac:dyDescent="0.2">
      <c r="A8393" s="14" t="s">
        <v>16024</v>
      </c>
      <c r="B8393" s="26" t="s">
        <v>16025</v>
      </c>
      <c r="C8393" s="52"/>
      <c r="D8393" s="55">
        <f t="shared" ref="D8393:D8456" si="131">C8393*(O8393-O8393*$G$3)</f>
        <v>0</v>
      </c>
      <c r="E8393" s="63" t="str">
        <f>HYPERLINK("https://www.sds-group.ru/product/provod-pgva-1h1-50mm-chernyy-buhta-100m-rexant-01-6536/", "Инфо")</f>
        <v>Инфо</v>
      </c>
      <c r="F8393" s="16" t="s">
        <v>1887</v>
      </c>
      <c r="G8393" s="15"/>
      <c r="H8393" s="15"/>
      <c r="I8393" s="15"/>
      <c r="J8393" s="17">
        <v>235</v>
      </c>
      <c r="K8393" s="15" t="s">
        <v>6174</v>
      </c>
      <c r="L8393" s="17">
        <v>1</v>
      </c>
      <c r="M8393" s="17">
        <v>6</v>
      </c>
      <c r="N8393" s="17">
        <v>1</v>
      </c>
      <c r="O8393" s="18">
        <v>1961</v>
      </c>
      <c r="P8393" s="18">
        <v>1607.38</v>
      </c>
      <c r="Q8393" s="18">
        <v>1509.97</v>
      </c>
      <c r="R8393" s="18">
        <v>1237.68</v>
      </c>
      <c r="S8393" s="18">
        <v>1333.48</v>
      </c>
      <c r="T8393" s="18">
        <v>1093.02</v>
      </c>
      <c r="U8393" s="16"/>
      <c r="V8393" s="16"/>
      <c r="W8393" s="16" t="s">
        <v>40</v>
      </c>
      <c r="X8393" s="19">
        <v>1.1499999999999999</v>
      </c>
      <c r="Y8393" s="20">
        <v>1.6689999999999999E-3</v>
      </c>
      <c r="Z8393" s="21">
        <v>4660008013363</v>
      </c>
    </row>
    <row r="8394" spans="1:26" ht="12" customHeight="1" outlineLevel="5" x14ac:dyDescent="0.2">
      <c r="A8394" s="14" t="s">
        <v>16026</v>
      </c>
      <c r="B8394" s="26" t="s">
        <v>16027</v>
      </c>
      <c r="C8394" s="52"/>
      <c r="D8394" s="55">
        <f t="shared" si="131"/>
        <v>0</v>
      </c>
      <c r="E8394" s="63" t="str">
        <f>HYPERLINK("https://www.sds-group.ru/product/provod-pgva-1h2-50mm-belyy-buhta-100m-rexant-01-6541/", "Инфо")</f>
        <v>Инфо</v>
      </c>
      <c r="F8394" s="16" t="s">
        <v>1887</v>
      </c>
      <c r="G8394" s="15"/>
      <c r="H8394" s="15"/>
      <c r="I8394" s="15"/>
      <c r="J8394" s="17">
        <v>72</v>
      </c>
      <c r="K8394" s="15" t="s">
        <v>6174</v>
      </c>
      <c r="L8394" s="17">
        <v>1</v>
      </c>
      <c r="M8394" s="17">
        <v>4</v>
      </c>
      <c r="N8394" s="17">
        <v>1</v>
      </c>
      <c r="O8394" s="18">
        <v>3233</v>
      </c>
      <c r="P8394" s="18">
        <v>2650</v>
      </c>
      <c r="Q8394" s="18">
        <v>2360.09</v>
      </c>
      <c r="R8394" s="18">
        <v>1934.5</v>
      </c>
      <c r="S8394" s="18">
        <v>2198.44</v>
      </c>
      <c r="T8394" s="18">
        <v>1802</v>
      </c>
      <c r="U8394" s="16"/>
      <c r="V8394" s="16"/>
      <c r="W8394" s="16" t="s">
        <v>40</v>
      </c>
      <c r="X8394" s="19">
        <v>1.97</v>
      </c>
      <c r="Y8394" s="20">
        <v>2.6559999999999999E-3</v>
      </c>
      <c r="Z8394" s="21">
        <v>4660008013370</v>
      </c>
    </row>
    <row r="8395" spans="1:26" ht="12" customHeight="1" outlineLevel="5" x14ac:dyDescent="0.2">
      <c r="A8395" s="14" t="s">
        <v>16028</v>
      </c>
      <c r="B8395" s="26" t="s">
        <v>16029</v>
      </c>
      <c r="C8395" s="52"/>
      <c r="D8395" s="55">
        <f t="shared" si="131"/>
        <v>0</v>
      </c>
      <c r="E8395" s="63" t="str">
        <f>HYPERLINK("https://www.sds-group.ru/product/provod-pgva-1h2-50mm-zheltyy-buhta-100m-rexant-01-6542/", "Инфо")</f>
        <v>Инфо</v>
      </c>
      <c r="F8395" s="16" t="s">
        <v>1887</v>
      </c>
      <c r="G8395" s="15"/>
      <c r="H8395" s="15"/>
      <c r="I8395" s="15"/>
      <c r="J8395" s="17">
        <v>19</v>
      </c>
      <c r="K8395" s="15" t="s">
        <v>7336</v>
      </c>
      <c r="L8395" s="17">
        <v>1</v>
      </c>
      <c r="M8395" s="17">
        <v>4</v>
      </c>
      <c r="N8395" s="17">
        <v>1</v>
      </c>
      <c r="O8395" s="18">
        <v>3233</v>
      </c>
      <c r="P8395" s="18">
        <v>2650</v>
      </c>
      <c r="Q8395" s="18">
        <v>2360.09</v>
      </c>
      <c r="R8395" s="18">
        <v>1934.5</v>
      </c>
      <c r="S8395" s="18">
        <v>2198.44</v>
      </c>
      <c r="T8395" s="18">
        <v>1802</v>
      </c>
      <c r="U8395" s="16"/>
      <c r="V8395" s="16"/>
      <c r="W8395" s="16" t="s">
        <v>40</v>
      </c>
      <c r="X8395" s="19">
        <v>1.9410000000000001</v>
      </c>
      <c r="Y8395" s="20">
        <v>2.5699999999999998E-3</v>
      </c>
      <c r="Z8395" s="21">
        <v>4660008013387</v>
      </c>
    </row>
    <row r="8396" spans="1:26" ht="12" customHeight="1" outlineLevel="5" x14ac:dyDescent="0.2">
      <c r="A8396" s="14" t="s">
        <v>16030</v>
      </c>
      <c r="B8396" s="26" t="s">
        <v>16031</v>
      </c>
      <c r="C8396" s="52"/>
      <c r="D8396" s="55">
        <f t="shared" si="131"/>
        <v>0</v>
      </c>
      <c r="E8396" s="63" t="str">
        <f>HYPERLINK("https://www.sds-group.ru/product/provod-pgva-1h2-50mm-zelenyy-buhta-100m-rexant-01-6543/", "Инфо")</f>
        <v>Инфо</v>
      </c>
      <c r="F8396" s="16" t="s">
        <v>1887</v>
      </c>
      <c r="G8396" s="15"/>
      <c r="H8396" s="15"/>
      <c r="I8396" s="15"/>
      <c r="J8396" s="17">
        <v>65</v>
      </c>
      <c r="K8396" s="15" t="s">
        <v>7336</v>
      </c>
      <c r="L8396" s="17">
        <v>1</v>
      </c>
      <c r="M8396" s="17">
        <v>4</v>
      </c>
      <c r="N8396" s="17">
        <v>1</v>
      </c>
      <c r="O8396" s="18">
        <v>3233</v>
      </c>
      <c r="P8396" s="18">
        <v>2650</v>
      </c>
      <c r="Q8396" s="18">
        <v>2360.09</v>
      </c>
      <c r="R8396" s="18">
        <v>1934.5</v>
      </c>
      <c r="S8396" s="18">
        <v>2198.44</v>
      </c>
      <c r="T8396" s="18">
        <v>1802</v>
      </c>
      <c r="U8396" s="16"/>
      <c r="V8396" s="16"/>
      <c r="W8396" s="16" t="s">
        <v>40</v>
      </c>
      <c r="X8396" s="19">
        <v>1.931</v>
      </c>
      <c r="Y8396" s="20">
        <v>2.6229999999999999E-3</v>
      </c>
      <c r="Z8396" s="21">
        <v>4660008013394</v>
      </c>
    </row>
    <row r="8397" spans="1:26" ht="12" customHeight="1" outlineLevel="5" x14ac:dyDescent="0.2">
      <c r="A8397" s="14" t="s">
        <v>16032</v>
      </c>
      <c r="B8397" s="26" t="s">
        <v>16033</v>
      </c>
      <c r="C8397" s="52"/>
      <c r="D8397" s="55">
        <f t="shared" si="131"/>
        <v>0</v>
      </c>
      <c r="E8397" s="63" t="str">
        <f>HYPERLINK("https://www.sds-group.ru/product/provod-pgva-1h2-50mm-krasnyy-buhta-100m-rexant-01-6544/", "Инфо")</f>
        <v>Инфо</v>
      </c>
      <c r="F8397" s="16" t="s">
        <v>1887</v>
      </c>
      <c r="G8397" s="15"/>
      <c r="H8397" s="15"/>
      <c r="I8397" s="15"/>
      <c r="J8397" s="16" t="s">
        <v>100</v>
      </c>
      <c r="K8397" s="15" t="s">
        <v>6174</v>
      </c>
      <c r="L8397" s="17">
        <v>1</v>
      </c>
      <c r="M8397" s="17">
        <v>4</v>
      </c>
      <c r="N8397" s="17">
        <v>1</v>
      </c>
      <c r="O8397" s="18">
        <v>3233</v>
      </c>
      <c r="P8397" s="18">
        <v>2650</v>
      </c>
      <c r="Q8397" s="18">
        <v>2360.09</v>
      </c>
      <c r="R8397" s="18">
        <v>1934.5</v>
      </c>
      <c r="S8397" s="18">
        <v>2198.44</v>
      </c>
      <c r="T8397" s="18">
        <v>1802</v>
      </c>
      <c r="U8397" s="16"/>
      <c r="V8397" s="16"/>
      <c r="W8397" s="16" t="s">
        <v>40</v>
      </c>
      <c r="X8397" s="19">
        <v>1.9850000000000001</v>
      </c>
      <c r="Y8397" s="20">
        <v>2.6940000000000002E-3</v>
      </c>
      <c r="Z8397" s="21">
        <v>4660008013400</v>
      </c>
    </row>
    <row r="8398" spans="1:26" ht="12" customHeight="1" outlineLevel="5" x14ac:dyDescent="0.2">
      <c r="A8398" s="14" t="s">
        <v>16034</v>
      </c>
      <c r="B8398" s="26" t="s">
        <v>16035</v>
      </c>
      <c r="C8398" s="52"/>
      <c r="D8398" s="55">
        <f t="shared" si="131"/>
        <v>0</v>
      </c>
      <c r="E8398" s="63" t="str">
        <f>HYPERLINK("https://www.sds-group.ru/product/provod-pgva-1h2-50mm-siniy-buhta-100m-rexant-01-6545/", "Инфо")</f>
        <v>Инфо</v>
      </c>
      <c r="F8398" s="16" t="s">
        <v>1887</v>
      </c>
      <c r="G8398" s="15"/>
      <c r="H8398" s="15"/>
      <c r="I8398" s="15"/>
      <c r="J8398" s="17">
        <v>109</v>
      </c>
      <c r="K8398" s="15" t="s">
        <v>6174</v>
      </c>
      <c r="L8398" s="17">
        <v>1</v>
      </c>
      <c r="M8398" s="17">
        <v>4</v>
      </c>
      <c r="N8398" s="17">
        <v>1</v>
      </c>
      <c r="O8398" s="18">
        <v>3233</v>
      </c>
      <c r="P8398" s="18">
        <v>2650</v>
      </c>
      <c r="Q8398" s="18">
        <v>2360.09</v>
      </c>
      <c r="R8398" s="18">
        <v>1934.5</v>
      </c>
      <c r="S8398" s="18">
        <v>2198.44</v>
      </c>
      <c r="T8398" s="18">
        <v>1802</v>
      </c>
      <c r="U8398" s="16"/>
      <c r="V8398" s="16"/>
      <c r="W8398" s="16" t="s">
        <v>40</v>
      </c>
      <c r="X8398" s="19">
        <v>1.9059999999999999</v>
      </c>
      <c r="Y8398" s="20">
        <v>2.7320000000000001E-3</v>
      </c>
      <c r="Z8398" s="21">
        <v>4660008013417</v>
      </c>
    </row>
    <row r="8399" spans="1:26" ht="12" customHeight="1" outlineLevel="5" x14ac:dyDescent="0.2">
      <c r="A8399" s="14" t="s">
        <v>16036</v>
      </c>
      <c r="B8399" s="26" t="s">
        <v>16037</v>
      </c>
      <c r="C8399" s="52"/>
      <c r="D8399" s="55">
        <f t="shared" si="131"/>
        <v>0</v>
      </c>
      <c r="E8399" s="63" t="str">
        <f>HYPERLINK("https://www.sds-group.ru/product/provod-pgva-1h2-50mm-chernyy-buhta-100m-rexant-01-6546/", "Инфо")</f>
        <v>Инфо</v>
      </c>
      <c r="F8399" s="16" t="s">
        <v>1887</v>
      </c>
      <c r="G8399" s="15"/>
      <c r="H8399" s="15"/>
      <c r="I8399" s="15"/>
      <c r="J8399" s="17">
        <v>198</v>
      </c>
      <c r="K8399" s="15" t="s">
        <v>6174</v>
      </c>
      <c r="L8399" s="17">
        <v>1</v>
      </c>
      <c r="M8399" s="17">
        <v>4</v>
      </c>
      <c r="N8399" s="17">
        <v>1</v>
      </c>
      <c r="O8399" s="18">
        <v>3233</v>
      </c>
      <c r="P8399" s="18">
        <v>2650</v>
      </c>
      <c r="Q8399" s="18">
        <v>2360.09</v>
      </c>
      <c r="R8399" s="18">
        <v>1934.5</v>
      </c>
      <c r="S8399" s="18">
        <v>2198.44</v>
      </c>
      <c r="T8399" s="18">
        <v>1802</v>
      </c>
      <c r="U8399" s="16"/>
      <c r="V8399" s="16"/>
      <c r="W8399" s="16" t="s">
        <v>40</v>
      </c>
      <c r="X8399" s="19">
        <v>1.9410000000000001</v>
      </c>
      <c r="Y8399" s="20">
        <v>2.6589999999999999E-3</v>
      </c>
      <c r="Z8399" s="21">
        <v>4660008013424</v>
      </c>
    </row>
    <row r="8400" spans="1:26" ht="12.95" customHeight="1" outlineLevel="4" x14ac:dyDescent="0.2">
      <c r="A8400" s="82" t="s">
        <v>16038</v>
      </c>
      <c r="B8400" s="82"/>
      <c r="C8400" s="83"/>
      <c r="D8400" s="59"/>
      <c r="E8400" s="69"/>
      <c r="F8400" s="23"/>
      <c r="G8400" s="23"/>
      <c r="H8400" s="23"/>
      <c r="I8400" s="23"/>
      <c r="J8400" s="23"/>
      <c r="K8400" s="23"/>
      <c r="L8400" s="23"/>
      <c r="M8400" s="23"/>
      <c r="N8400" s="23"/>
      <c r="O8400" s="23"/>
      <c r="P8400" s="23"/>
      <c r="Q8400" s="23"/>
      <c r="R8400" s="23"/>
      <c r="S8400" s="23"/>
      <c r="T8400" s="23"/>
      <c r="U8400" s="23"/>
      <c r="V8400" s="23"/>
      <c r="W8400" s="23"/>
      <c r="X8400" s="23"/>
      <c r="Y8400" s="23"/>
      <c r="Z8400" s="23"/>
    </row>
    <row r="8401" spans="1:26" ht="12" customHeight="1" outlineLevel="5" x14ac:dyDescent="0.2">
      <c r="A8401" s="32" t="s">
        <v>16039</v>
      </c>
      <c r="B8401" s="74" t="s">
        <v>16040</v>
      </c>
      <c r="C8401" s="50"/>
      <c r="D8401" s="53">
        <f t="shared" si="131"/>
        <v>0</v>
      </c>
      <c r="E8401" s="60" t="str">
        <f>HYPERLINK("https://www.sds-group.ru/product/provod-pgva-1h0-50mm-cu-belyy-buhta-500m-rexant-01-6511-1/", "Инфо")</f>
        <v>Инфо</v>
      </c>
      <c r="F8401" s="34" t="s">
        <v>1767</v>
      </c>
      <c r="G8401" s="33"/>
      <c r="H8401" s="33" t="s">
        <v>40</v>
      </c>
      <c r="I8401" s="33"/>
      <c r="J8401" s="35">
        <v>500</v>
      </c>
      <c r="K8401" s="33"/>
      <c r="L8401" s="35">
        <v>500</v>
      </c>
      <c r="M8401" s="35">
        <v>500</v>
      </c>
      <c r="N8401" s="35">
        <v>500</v>
      </c>
      <c r="O8401" s="36">
        <v>22.26</v>
      </c>
      <c r="P8401" s="36">
        <v>18.25</v>
      </c>
      <c r="Q8401" s="36">
        <v>18.920000000000002</v>
      </c>
      <c r="R8401" s="36">
        <v>15.51</v>
      </c>
      <c r="S8401" s="36">
        <v>15.14</v>
      </c>
      <c r="T8401" s="36">
        <v>12.41</v>
      </c>
      <c r="U8401" s="34"/>
      <c r="V8401" s="34"/>
      <c r="W8401" s="34" t="s">
        <v>40</v>
      </c>
      <c r="X8401" s="37">
        <v>8.0000000000000002E-3</v>
      </c>
      <c r="Y8401" s="38">
        <v>7.9999999999999996E-6</v>
      </c>
      <c r="Z8401" s="21">
        <v>4601004137707</v>
      </c>
    </row>
    <row r="8402" spans="1:26" ht="12" customHeight="1" outlineLevel="5" x14ac:dyDescent="0.2">
      <c r="A8402" s="32" t="s">
        <v>16041</v>
      </c>
      <c r="B8402" s="74" t="s">
        <v>16042</v>
      </c>
      <c r="C8402" s="50"/>
      <c r="D8402" s="53">
        <f t="shared" si="131"/>
        <v>0</v>
      </c>
      <c r="E8402" s="60" t="str">
        <f>HYPERLINK("https://www.sds-group.ru/product/provod-pgva-1h0-50mm-cu-zheltyy-buhta-500m-rexant-01-6512-1/", "Инфо")</f>
        <v>Инфо</v>
      </c>
      <c r="F8402" s="34" t="s">
        <v>1767</v>
      </c>
      <c r="G8402" s="33"/>
      <c r="H8402" s="33" t="s">
        <v>40</v>
      </c>
      <c r="I8402" s="33"/>
      <c r="J8402" s="35">
        <v>500</v>
      </c>
      <c r="K8402" s="33"/>
      <c r="L8402" s="35">
        <v>500</v>
      </c>
      <c r="M8402" s="35">
        <v>500</v>
      </c>
      <c r="N8402" s="35">
        <v>500</v>
      </c>
      <c r="O8402" s="36">
        <v>20.48</v>
      </c>
      <c r="P8402" s="36">
        <v>16.79</v>
      </c>
      <c r="Q8402" s="36">
        <v>14.34</v>
      </c>
      <c r="R8402" s="36">
        <v>11.75</v>
      </c>
      <c r="S8402" s="36">
        <v>13.93</v>
      </c>
      <c r="T8402" s="36">
        <v>11.42</v>
      </c>
      <c r="U8402" s="34"/>
      <c r="V8402" s="34"/>
      <c r="W8402" s="34"/>
      <c r="X8402" s="37">
        <v>7.0000000000000001E-3</v>
      </c>
      <c r="Y8402" s="38">
        <v>7.9999999999999996E-6</v>
      </c>
      <c r="Z8402" s="21">
        <v>4601004137691</v>
      </c>
    </row>
    <row r="8403" spans="1:26" ht="12" customHeight="1" outlineLevel="5" x14ac:dyDescent="0.2">
      <c r="A8403" s="32" t="s">
        <v>16043</v>
      </c>
      <c r="B8403" s="74" t="s">
        <v>16044</v>
      </c>
      <c r="C8403" s="50"/>
      <c r="D8403" s="53">
        <f t="shared" si="131"/>
        <v>0</v>
      </c>
      <c r="E8403" s="60" t="str">
        <f>HYPERLINK("https://www.sds-group.ru/product/provod-pgva-1h0-50mm-cu-zelenyy-buhta-500m-rexant-01-6513-1/", "Инфо")</f>
        <v>Инфо</v>
      </c>
      <c r="F8403" s="34" t="s">
        <v>1767</v>
      </c>
      <c r="G8403" s="33"/>
      <c r="H8403" s="33" t="s">
        <v>40</v>
      </c>
      <c r="I8403" s="33"/>
      <c r="J8403" s="39">
        <v>1000</v>
      </c>
      <c r="K8403" s="33"/>
      <c r="L8403" s="35">
        <v>500</v>
      </c>
      <c r="M8403" s="35">
        <v>500</v>
      </c>
      <c r="N8403" s="35">
        <v>500</v>
      </c>
      <c r="O8403" s="36">
        <v>20.48</v>
      </c>
      <c r="P8403" s="36">
        <v>16.79</v>
      </c>
      <c r="Q8403" s="36">
        <v>14.34</v>
      </c>
      <c r="R8403" s="36">
        <v>11.75</v>
      </c>
      <c r="S8403" s="36">
        <v>13.93</v>
      </c>
      <c r="T8403" s="36">
        <v>11.42</v>
      </c>
      <c r="U8403" s="34"/>
      <c r="V8403" s="34"/>
      <c r="W8403" s="34"/>
      <c r="X8403" s="37">
        <v>8.0000000000000002E-3</v>
      </c>
      <c r="Y8403" s="38">
        <v>7.9999999999999996E-6</v>
      </c>
      <c r="Z8403" s="21">
        <v>4601004137684</v>
      </c>
    </row>
    <row r="8404" spans="1:26" ht="12" customHeight="1" outlineLevel="5" x14ac:dyDescent="0.2">
      <c r="A8404" s="32" t="s">
        <v>16045</v>
      </c>
      <c r="B8404" s="74" t="s">
        <v>16046</v>
      </c>
      <c r="C8404" s="50"/>
      <c r="D8404" s="53">
        <f t="shared" si="131"/>
        <v>0</v>
      </c>
      <c r="E8404" s="60" t="str">
        <f>HYPERLINK("https://www.sds-group.ru/product/provod-pgva-1h0-50mm-cu-krasnyy-buhta-500m-rexant-01-6514-1/", "Инфо")</f>
        <v>Инфо</v>
      </c>
      <c r="F8404" s="34" t="s">
        <v>1767</v>
      </c>
      <c r="G8404" s="33"/>
      <c r="H8404" s="33" t="s">
        <v>40</v>
      </c>
      <c r="I8404" s="33"/>
      <c r="J8404" s="39">
        <v>1000</v>
      </c>
      <c r="K8404" s="33"/>
      <c r="L8404" s="35">
        <v>500</v>
      </c>
      <c r="M8404" s="35">
        <v>500</v>
      </c>
      <c r="N8404" s="35">
        <v>500</v>
      </c>
      <c r="O8404" s="36">
        <v>20.48</v>
      </c>
      <c r="P8404" s="36">
        <v>16.79</v>
      </c>
      <c r="Q8404" s="36">
        <v>14.34</v>
      </c>
      <c r="R8404" s="36">
        <v>11.75</v>
      </c>
      <c r="S8404" s="36">
        <v>13.93</v>
      </c>
      <c r="T8404" s="36">
        <v>11.42</v>
      </c>
      <c r="U8404" s="34"/>
      <c r="V8404" s="34"/>
      <c r="W8404" s="34"/>
      <c r="X8404" s="37">
        <v>7.0000000000000001E-3</v>
      </c>
      <c r="Y8404" s="38">
        <v>9.0000000000000002E-6</v>
      </c>
      <c r="Z8404" s="21">
        <v>4601004137738</v>
      </c>
    </row>
    <row r="8405" spans="1:26" ht="12" customHeight="1" outlineLevel="5" x14ac:dyDescent="0.2">
      <c r="A8405" s="14" t="s">
        <v>16047</v>
      </c>
      <c r="B8405" s="26" t="s">
        <v>16048</v>
      </c>
      <c r="C8405" s="52"/>
      <c r="D8405" s="55">
        <f t="shared" si="131"/>
        <v>0</v>
      </c>
      <c r="E8405" s="63" t="str">
        <f>HYPERLINK("https://www.sds-group.ru/product/provod-pgva-1h0-50mm-cu-chernyy-buhta-500m-rexant-01-6516-1/", "Инфо")</f>
        <v>Инфо</v>
      </c>
      <c r="F8405" s="16" t="s">
        <v>1767</v>
      </c>
      <c r="G8405" s="15"/>
      <c r="H8405" s="15"/>
      <c r="I8405" s="15"/>
      <c r="J8405" s="22">
        <v>1000</v>
      </c>
      <c r="K8405" s="15" t="s">
        <v>1381</v>
      </c>
      <c r="L8405" s="17">
        <v>500</v>
      </c>
      <c r="M8405" s="17">
        <v>500</v>
      </c>
      <c r="N8405" s="17">
        <v>500</v>
      </c>
      <c r="O8405" s="18">
        <v>22.26</v>
      </c>
      <c r="P8405" s="18">
        <v>18.25</v>
      </c>
      <c r="Q8405" s="18">
        <v>18.920000000000002</v>
      </c>
      <c r="R8405" s="18">
        <v>15.51</v>
      </c>
      <c r="S8405" s="18">
        <v>15.14</v>
      </c>
      <c r="T8405" s="18">
        <v>12.41</v>
      </c>
      <c r="U8405" s="16"/>
      <c r="V8405" s="16"/>
      <c r="W8405" s="16" t="s">
        <v>40</v>
      </c>
      <c r="X8405" s="19">
        <v>7.0000000000000001E-3</v>
      </c>
      <c r="Y8405" s="20">
        <v>7.9999999999999996E-6</v>
      </c>
      <c r="Z8405" s="21">
        <v>4601004137714</v>
      </c>
    </row>
    <row r="8406" spans="1:26" ht="12" customHeight="1" outlineLevel="5" x14ac:dyDescent="0.2">
      <c r="A8406" s="14" t="s">
        <v>16049</v>
      </c>
      <c r="B8406" s="26" t="s">
        <v>16050</v>
      </c>
      <c r="C8406" s="52"/>
      <c r="D8406" s="55">
        <f t="shared" si="131"/>
        <v>0</v>
      </c>
      <c r="E8406" s="63" t="str">
        <f>HYPERLINK("https://www.sds-group.ru/product/provod-pgva-1h0-75mm-cu-belyy-buhta-200m-rexant-01-6501-1/", "Инфо")</f>
        <v>Инфо</v>
      </c>
      <c r="F8406" s="16" t="s">
        <v>1767</v>
      </c>
      <c r="G8406" s="15"/>
      <c r="H8406" s="15"/>
      <c r="I8406" s="15"/>
      <c r="J8406" s="22">
        <v>1800</v>
      </c>
      <c r="K8406" s="15"/>
      <c r="L8406" s="17">
        <v>200</v>
      </c>
      <c r="M8406" s="17">
        <v>200</v>
      </c>
      <c r="N8406" s="17">
        <v>200</v>
      </c>
      <c r="O8406" s="18">
        <v>27.94</v>
      </c>
      <c r="P8406" s="18">
        <v>22.9</v>
      </c>
      <c r="Q8406" s="18">
        <v>23.75</v>
      </c>
      <c r="R8406" s="18">
        <v>19.47</v>
      </c>
      <c r="S8406" s="18">
        <v>19</v>
      </c>
      <c r="T8406" s="18">
        <v>15.57</v>
      </c>
      <c r="U8406" s="16"/>
      <c r="V8406" s="16"/>
      <c r="W8406" s="16" t="s">
        <v>40</v>
      </c>
      <c r="X8406" s="19">
        <v>0.01</v>
      </c>
      <c r="Y8406" s="20">
        <v>1.4E-5</v>
      </c>
      <c r="Z8406" s="21">
        <v>4601004137943</v>
      </c>
    </row>
    <row r="8407" spans="1:26" ht="12" customHeight="1" outlineLevel="5" x14ac:dyDescent="0.2">
      <c r="A8407" s="14" t="s">
        <v>16051</v>
      </c>
      <c r="B8407" s="26" t="s">
        <v>16052</v>
      </c>
      <c r="C8407" s="52"/>
      <c r="D8407" s="55">
        <f t="shared" si="131"/>
        <v>0</v>
      </c>
      <c r="E8407" s="63" t="str">
        <f>HYPERLINK("https://www.sds-group.ru/product/provod-pgva-1h0-75mm-cu-krasnyy-buhta-200m-rexant-01-6504-1/", "Инфо")</f>
        <v>Инфо</v>
      </c>
      <c r="F8407" s="16" t="s">
        <v>1767</v>
      </c>
      <c r="G8407" s="15"/>
      <c r="H8407" s="15"/>
      <c r="I8407" s="15"/>
      <c r="J8407" s="22">
        <v>2800</v>
      </c>
      <c r="K8407" s="15" t="s">
        <v>1381</v>
      </c>
      <c r="L8407" s="17">
        <v>200</v>
      </c>
      <c r="M8407" s="17">
        <v>200</v>
      </c>
      <c r="N8407" s="17">
        <v>200</v>
      </c>
      <c r="O8407" s="18">
        <v>31.8</v>
      </c>
      <c r="P8407" s="18">
        <v>26.07</v>
      </c>
      <c r="Q8407" s="18">
        <v>27.03</v>
      </c>
      <c r="R8407" s="18">
        <v>22.16</v>
      </c>
      <c r="S8407" s="18">
        <v>21.62</v>
      </c>
      <c r="T8407" s="18">
        <v>17.72</v>
      </c>
      <c r="U8407" s="16"/>
      <c r="V8407" s="16"/>
      <c r="W8407" s="16" t="s">
        <v>40</v>
      </c>
      <c r="X8407" s="19">
        <v>0.01</v>
      </c>
      <c r="Y8407" s="20">
        <v>1.4E-5</v>
      </c>
      <c r="Z8407" s="21">
        <v>4601004137745</v>
      </c>
    </row>
    <row r="8408" spans="1:26" ht="12" customHeight="1" outlineLevel="5" x14ac:dyDescent="0.2">
      <c r="A8408" s="14" t="s">
        <v>16053</v>
      </c>
      <c r="B8408" s="26" t="s">
        <v>16054</v>
      </c>
      <c r="C8408" s="52"/>
      <c r="D8408" s="55">
        <f t="shared" si="131"/>
        <v>0</v>
      </c>
      <c r="E8408" s="63" t="str">
        <f>HYPERLINK("https://www.sds-group.ru/product/provod-pgva-1h0-75mm-cu-siniy-buhta-200m-rexant-01-6505-1/", "Инфо")</f>
        <v>Инфо</v>
      </c>
      <c r="F8408" s="16" t="s">
        <v>1767</v>
      </c>
      <c r="G8408" s="15"/>
      <c r="H8408" s="15"/>
      <c r="I8408" s="15"/>
      <c r="J8408" s="22">
        <v>3400</v>
      </c>
      <c r="K8408" s="15" t="s">
        <v>1381</v>
      </c>
      <c r="L8408" s="17">
        <v>200</v>
      </c>
      <c r="M8408" s="17">
        <v>200</v>
      </c>
      <c r="N8408" s="17">
        <v>200</v>
      </c>
      <c r="O8408" s="18">
        <v>27.94</v>
      </c>
      <c r="P8408" s="18">
        <v>22.9</v>
      </c>
      <c r="Q8408" s="18">
        <v>23.75</v>
      </c>
      <c r="R8408" s="18">
        <v>19.47</v>
      </c>
      <c r="S8408" s="18">
        <v>19</v>
      </c>
      <c r="T8408" s="18">
        <v>15.57</v>
      </c>
      <c r="U8408" s="16"/>
      <c r="V8408" s="16"/>
      <c r="W8408" s="16" t="s">
        <v>40</v>
      </c>
      <c r="X8408" s="19">
        <v>1.0999999999999999E-2</v>
      </c>
      <c r="Y8408" s="20">
        <v>1.5E-5</v>
      </c>
      <c r="Z8408" s="21">
        <v>4601004137752</v>
      </c>
    </row>
    <row r="8409" spans="1:26" ht="12" customHeight="1" outlineLevel="5" x14ac:dyDescent="0.2">
      <c r="A8409" s="14" t="s">
        <v>16055</v>
      </c>
      <c r="B8409" s="26" t="s">
        <v>16056</v>
      </c>
      <c r="C8409" s="52"/>
      <c r="D8409" s="55">
        <f t="shared" si="131"/>
        <v>0</v>
      </c>
      <c r="E8409" s="63" t="str">
        <f>HYPERLINK("https://www.sds-group.ru/product/provod-pgva-1h0-75mm-cu-chernyy-buhta-200m-rexant-01-6506-1/", "Инфо")</f>
        <v>Инфо</v>
      </c>
      <c r="F8409" s="16" t="s">
        <v>1767</v>
      </c>
      <c r="G8409" s="15"/>
      <c r="H8409" s="15"/>
      <c r="I8409" s="15"/>
      <c r="J8409" s="22">
        <v>2400</v>
      </c>
      <c r="K8409" s="15" t="s">
        <v>1381</v>
      </c>
      <c r="L8409" s="17">
        <v>200</v>
      </c>
      <c r="M8409" s="17">
        <v>200</v>
      </c>
      <c r="N8409" s="17">
        <v>200</v>
      </c>
      <c r="O8409" s="18">
        <v>31.8</v>
      </c>
      <c r="P8409" s="18">
        <v>26.07</v>
      </c>
      <c r="Q8409" s="18">
        <v>27.03</v>
      </c>
      <c r="R8409" s="18">
        <v>22.16</v>
      </c>
      <c r="S8409" s="18">
        <v>21.62</v>
      </c>
      <c r="T8409" s="18">
        <v>17.72</v>
      </c>
      <c r="U8409" s="16"/>
      <c r="V8409" s="16"/>
      <c r="W8409" s="16" t="s">
        <v>40</v>
      </c>
      <c r="X8409" s="19">
        <v>1.2E-2</v>
      </c>
      <c r="Y8409" s="20">
        <v>1.5999999999999999E-5</v>
      </c>
      <c r="Z8409" s="21">
        <v>4601004137769</v>
      </c>
    </row>
    <row r="8410" spans="1:26" ht="12" customHeight="1" outlineLevel="5" x14ac:dyDescent="0.2">
      <c r="A8410" s="14" t="s">
        <v>16057</v>
      </c>
      <c r="B8410" s="26" t="s">
        <v>16058</v>
      </c>
      <c r="C8410" s="52"/>
      <c r="D8410" s="55">
        <f t="shared" si="131"/>
        <v>0</v>
      </c>
      <c r="E8410" s="63" t="str">
        <f>HYPERLINK("https://www.sds-group.ru/product/provod-pgva-1h1-00mm-cu-krasnyy-buhta-200m-rexant-01-6524-1/", "Инфо")</f>
        <v>Инфо</v>
      </c>
      <c r="F8410" s="16" t="s">
        <v>1767</v>
      </c>
      <c r="G8410" s="15"/>
      <c r="H8410" s="15"/>
      <c r="I8410" s="15"/>
      <c r="J8410" s="22">
        <v>2800</v>
      </c>
      <c r="K8410" s="15"/>
      <c r="L8410" s="17">
        <v>200</v>
      </c>
      <c r="M8410" s="17">
        <v>200</v>
      </c>
      <c r="N8410" s="17">
        <v>200</v>
      </c>
      <c r="O8410" s="18">
        <v>43.46</v>
      </c>
      <c r="P8410" s="18">
        <v>35.619999999999997</v>
      </c>
      <c r="Q8410" s="18">
        <v>36.94</v>
      </c>
      <c r="R8410" s="18">
        <v>30.28</v>
      </c>
      <c r="S8410" s="18">
        <v>29.55</v>
      </c>
      <c r="T8410" s="18">
        <v>24.22</v>
      </c>
      <c r="U8410" s="16"/>
      <c r="V8410" s="16"/>
      <c r="W8410" s="16" t="s">
        <v>40</v>
      </c>
      <c r="X8410" s="19">
        <v>1.2E-2</v>
      </c>
      <c r="Y8410" s="20">
        <v>1.5999999999999999E-5</v>
      </c>
      <c r="Z8410" s="21">
        <v>4601004137806</v>
      </c>
    </row>
    <row r="8411" spans="1:26" ht="12" customHeight="1" outlineLevel="5" x14ac:dyDescent="0.2">
      <c r="A8411" s="14" t="s">
        <v>16059</v>
      </c>
      <c r="B8411" s="26" t="s">
        <v>16060</v>
      </c>
      <c r="C8411" s="52"/>
      <c r="D8411" s="55">
        <f t="shared" si="131"/>
        <v>0</v>
      </c>
      <c r="E8411" s="63" t="str">
        <f>HYPERLINK("https://www.sds-group.ru/product/provod-pgva-1h1-00mm-cu-siniy-buhta-200m-rexant-01-6525-1/", "Инфо")</f>
        <v>Инфо</v>
      </c>
      <c r="F8411" s="16" t="s">
        <v>1767</v>
      </c>
      <c r="G8411" s="15"/>
      <c r="H8411" s="15"/>
      <c r="I8411" s="15"/>
      <c r="J8411" s="22">
        <v>2800</v>
      </c>
      <c r="K8411" s="15"/>
      <c r="L8411" s="17">
        <v>200</v>
      </c>
      <c r="M8411" s="17">
        <v>200</v>
      </c>
      <c r="N8411" s="17">
        <v>200</v>
      </c>
      <c r="O8411" s="18">
        <v>43.46</v>
      </c>
      <c r="P8411" s="18">
        <v>35.619999999999997</v>
      </c>
      <c r="Q8411" s="18">
        <v>36.94</v>
      </c>
      <c r="R8411" s="18">
        <v>30.28</v>
      </c>
      <c r="S8411" s="18">
        <v>29.55</v>
      </c>
      <c r="T8411" s="18">
        <v>24.22</v>
      </c>
      <c r="U8411" s="16"/>
      <c r="V8411" s="16"/>
      <c r="W8411" s="16" t="s">
        <v>40</v>
      </c>
      <c r="X8411" s="19">
        <v>1.2999999999999999E-2</v>
      </c>
      <c r="Y8411" s="20">
        <v>1.5999999999999999E-5</v>
      </c>
      <c r="Z8411" s="21">
        <v>4601004137875</v>
      </c>
    </row>
    <row r="8412" spans="1:26" ht="12" customHeight="1" outlineLevel="5" x14ac:dyDescent="0.2">
      <c r="A8412" s="14" t="s">
        <v>16061</v>
      </c>
      <c r="B8412" s="26" t="s">
        <v>16062</v>
      </c>
      <c r="C8412" s="52"/>
      <c r="D8412" s="55">
        <f t="shared" si="131"/>
        <v>0</v>
      </c>
      <c r="E8412" s="63" t="str">
        <f>HYPERLINK("https://www.sds-group.ru/product/provod-pgva-1h1-00mm-cu-chernyy-buhta-200m-rexant-01-6526-1/", "Инфо")</f>
        <v>Инфо</v>
      </c>
      <c r="F8412" s="16" t="s">
        <v>1767</v>
      </c>
      <c r="G8412" s="15"/>
      <c r="H8412" s="15"/>
      <c r="I8412" s="15"/>
      <c r="J8412" s="22">
        <v>3000</v>
      </c>
      <c r="K8412" s="15" t="s">
        <v>1381</v>
      </c>
      <c r="L8412" s="17">
        <v>200</v>
      </c>
      <c r="M8412" s="17">
        <v>200</v>
      </c>
      <c r="N8412" s="17">
        <v>200</v>
      </c>
      <c r="O8412" s="18">
        <v>43.46</v>
      </c>
      <c r="P8412" s="18">
        <v>35.619999999999997</v>
      </c>
      <c r="Q8412" s="18">
        <v>36.94</v>
      </c>
      <c r="R8412" s="18">
        <v>30.28</v>
      </c>
      <c r="S8412" s="18">
        <v>29.55</v>
      </c>
      <c r="T8412" s="18">
        <v>24.22</v>
      </c>
      <c r="U8412" s="16"/>
      <c r="V8412" s="16"/>
      <c r="W8412" s="16" t="s">
        <v>40</v>
      </c>
      <c r="X8412" s="19">
        <v>1.4E-2</v>
      </c>
      <c r="Y8412" s="20">
        <v>1.7E-5</v>
      </c>
      <c r="Z8412" s="21">
        <v>4601004137882</v>
      </c>
    </row>
    <row r="8413" spans="1:26" ht="12.95" customHeight="1" outlineLevel="4" x14ac:dyDescent="0.2">
      <c r="A8413" s="76" t="s">
        <v>16063</v>
      </c>
      <c r="B8413" s="76"/>
      <c r="C8413" s="77"/>
      <c r="D8413" s="58"/>
      <c r="E8413" s="68"/>
      <c r="F8413" s="13"/>
      <c r="G8413" s="13"/>
      <c r="H8413" s="13"/>
      <c r="I8413" s="13"/>
      <c r="J8413" s="13"/>
      <c r="K8413" s="13"/>
      <c r="L8413" s="13"/>
      <c r="M8413" s="13"/>
      <c r="N8413" s="13"/>
      <c r="O8413" s="13"/>
      <c r="P8413" s="13"/>
      <c r="Q8413" s="13"/>
      <c r="R8413" s="13"/>
      <c r="S8413" s="13"/>
      <c r="T8413" s="13"/>
      <c r="U8413" s="13"/>
      <c r="V8413" s="13"/>
      <c r="W8413" s="13"/>
      <c r="X8413" s="13"/>
      <c r="Y8413" s="13"/>
      <c r="Z8413" s="13"/>
    </row>
    <row r="8414" spans="1:26" ht="12" customHeight="1" outlineLevel="5" x14ac:dyDescent="0.2">
      <c r="A8414" s="14" t="s">
        <v>16064</v>
      </c>
      <c r="B8414" s="26" t="s">
        <v>16065</v>
      </c>
      <c r="C8414" s="52"/>
      <c r="D8414" s="55">
        <f t="shared" si="131"/>
        <v>0</v>
      </c>
      <c r="E8414" s="63" t="str">
        <f>HYPERLINK("https://www.sds-group.ru/product/nabor-avtoprovoda-raduga-1h0-50mm-6-tsvetov-belyy-zheltyy-zelenyy-krasnyy-siniy-chernyy-po-3-01-6547/", "Инфо")</f>
        <v>Инфо</v>
      </c>
      <c r="F8414" s="16" t="s">
        <v>4698</v>
      </c>
      <c r="G8414" s="15"/>
      <c r="H8414" s="15"/>
      <c r="I8414" s="15"/>
      <c r="J8414" s="17">
        <v>585</v>
      </c>
      <c r="K8414" s="15"/>
      <c r="L8414" s="17">
        <v>1</v>
      </c>
      <c r="M8414" s="17">
        <v>50</v>
      </c>
      <c r="N8414" s="17">
        <v>1</v>
      </c>
      <c r="O8414" s="18">
        <v>481.75</v>
      </c>
      <c r="P8414" s="18">
        <v>394.88</v>
      </c>
      <c r="Q8414" s="18">
        <v>337.23</v>
      </c>
      <c r="R8414" s="18">
        <v>276.42</v>
      </c>
      <c r="S8414" s="18">
        <v>327.58999999999997</v>
      </c>
      <c r="T8414" s="18">
        <v>268.52</v>
      </c>
      <c r="U8414" s="16"/>
      <c r="V8414" s="16"/>
      <c r="W8414" s="16"/>
      <c r="X8414" s="19">
        <v>0.109</v>
      </c>
      <c r="Y8414" s="20">
        <v>6.4300000000000002E-4</v>
      </c>
      <c r="Z8414" s="21">
        <v>4601004243224</v>
      </c>
    </row>
    <row r="8415" spans="1:26" ht="12" customHeight="1" outlineLevel="5" x14ac:dyDescent="0.2">
      <c r="A8415" s="14" t="s">
        <v>16066</v>
      </c>
      <c r="B8415" s="26" t="s">
        <v>16067</v>
      </c>
      <c r="C8415" s="52"/>
      <c r="D8415" s="55">
        <f t="shared" si="131"/>
        <v>0</v>
      </c>
      <c r="E8415" s="63" t="str">
        <f>HYPERLINK("https://www.sds-group.ru/product/nabor-avtoprovoda-raduga-1h0-75mm-6-tsvetov-belyy-zheltyy-zelenyy-krasnyy-siniy-chernyy-po-3-01-6548/", "Инфо")</f>
        <v>Инфо</v>
      </c>
      <c r="F8415" s="16" t="s">
        <v>4698</v>
      </c>
      <c r="G8415" s="15"/>
      <c r="H8415" s="15"/>
      <c r="I8415" s="15"/>
      <c r="J8415" s="17">
        <v>10</v>
      </c>
      <c r="K8415" s="15"/>
      <c r="L8415" s="17">
        <v>1</v>
      </c>
      <c r="M8415" s="17">
        <v>50</v>
      </c>
      <c r="N8415" s="17">
        <v>1</v>
      </c>
      <c r="O8415" s="18">
        <v>517.45000000000005</v>
      </c>
      <c r="P8415" s="18">
        <v>424.14</v>
      </c>
      <c r="Q8415" s="18">
        <v>362.22</v>
      </c>
      <c r="R8415" s="18">
        <v>296.89999999999998</v>
      </c>
      <c r="S8415" s="18">
        <v>351.87</v>
      </c>
      <c r="T8415" s="18">
        <v>288.42</v>
      </c>
      <c r="U8415" s="16"/>
      <c r="V8415" s="16"/>
      <c r="W8415" s="16"/>
      <c r="X8415" s="19">
        <v>0.17399999999999999</v>
      </c>
      <c r="Y8415" s="20">
        <v>1.4189999999999999E-3</v>
      </c>
      <c r="Z8415" s="21">
        <v>4601004243286</v>
      </c>
    </row>
    <row r="8416" spans="1:26" ht="12" customHeight="1" outlineLevel="5" x14ac:dyDescent="0.2">
      <c r="A8416" s="14" t="s">
        <v>16068</v>
      </c>
      <c r="B8416" s="26" t="s">
        <v>16069</v>
      </c>
      <c r="C8416" s="52"/>
      <c r="D8416" s="55">
        <f t="shared" si="131"/>
        <v>0</v>
      </c>
      <c r="E8416" s="63" t="str">
        <f>HYPERLINK("https://www.sds-group.ru/product/nabor-avtoprovoda-raduga-1h1-00mm-6-tsvetov-belyy-zheltyy-zelenyy-krasnyy-siniy-chernyy-po-3-01-6549/", "Инфо")</f>
        <v>Инфо</v>
      </c>
      <c r="F8416" s="16" t="s">
        <v>4698</v>
      </c>
      <c r="G8416" s="15"/>
      <c r="H8416" s="15"/>
      <c r="I8416" s="15"/>
      <c r="J8416" s="17">
        <v>299</v>
      </c>
      <c r="K8416" s="15"/>
      <c r="L8416" s="17">
        <v>1</v>
      </c>
      <c r="M8416" s="17">
        <v>25</v>
      </c>
      <c r="N8416" s="17">
        <v>1</v>
      </c>
      <c r="O8416" s="18">
        <v>592.91</v>
      </c>
      <c r="P8416" s="18">
        <v>485.99</v>
      </c>
      <c r="Q8416" s="18">
        <v>415.04</v>
      </c>
      <c r="R8416" s="18">
        <v>340.2</v>
      </c>
      <c r="S8416" s="18">
        <v>403.18</v>
      </c>
      <c r="T8416" s="18">
        <v>330.48</v>
      </c>
      <c r="U8416" s="16"/>
      <c r="V8416" s="16"/>
      <c r="W8416" s="16"/>
      <c r="X8416" s="19">
        <v>0.192</v>
      </c>
      <c r="Y8416" s="20">
        <v>1.469E-3</v>
      </c>
      <c r="Z8416" s="21">
        <v>4601004243279</v>
      </c>
    </row>
    <row r="8417" spans="1:26" ht="12" customHeight="1" outlineLevel="5" x14ac:dyDescent="0.2">
      <c r="A8417" s="14" t="s">
        <v>16070</v>
      </c>
      <c r="B8417" s="26" t="s">
        <v>16071</v>
      </c>
      <c r="C8417" s="52"/>
      <c r="D8417" s="55">
        <f t="shared" si="131"/>
        <v>0</v>
      </c>
      <c r="E8417" s="63" t="str">
        <f>HYPERLINK("https://www.sds-group.ru/product/nabor-avtoprovoda-raduga-1h1-50mm-6-tsvetov-belyy-zheltyy-zelenyy-krasnyy-siniy-chernyy-po-3-01-6550/", "Инфо")</f>
        <v>Инфо</v>
      </c>
      <c r="F8417" s="16" t="s">
        <v>4698</v>
      </c>
      <c r="G8417" s="15"/>
      <c r="H8417" s="15"/>
      <c r="I8417" s="15"/>
      <c r="J8417" s="16" t="s">
        <v>100</v>
      </c>
      <c r="K8417" s="15"/>
      <c r="L8417" s="17">
        <v>1</v>
      </c>
      <c r="M8417" s="17">
        <v>25</v>
      </c>
      <c r="N8417" s="17">
        <v>1</v>
      </c>
      <c r="O8417" s="18">
        <v>910.92</v>
      </c>
      <c r="P8417" s="18">
        <v>746.66</v>
      </c>
      <c r="Q8417" s="18">
        <v>637.64</v>
      </c>
      <c r="R8417" s="18">
        <v>522.66</v>
      </c>
      <c r="S8417" s="18">
        <v>619.42999999999995</v>
      </c>
      <c r="T8417" s="18">
        <v>507.73</v>
      </c>
      <c r="U8417" s="16"/>
      <c r="V8417" s="16"/>
      <c r="W8417" s="16"/>
      <c r="X8417" s="19">
        <v>0.219</v>
      </c>
      <c r="Y8417" s="20">
        <v>1.3029999999999999E-3</v>
      </c>
      <c r="Z8417" s="21">
        <v>4601004243262</v>
      </c>
    </row>
    <row r="8418" spans="1:26" ht="12" customHeight="1" outlineLevel="5" x14ac:dyDescent="0.2">
      <c r="A8418" s="14" t="s">
        <v>16072</v>
      </c>
      <c r="B8418" s="26" t="s">
        <v>16073</v>
      </c>
      <c r="C8418" s="52"/>
      <c r="D8418" s="55">
        <f t="shared" si="131"/>
        <v>0</v>
      </c>
      <c r="E8418" s="63" t="str">
        <f>HYPERLINK("https://www.sds-group.ru/product/nabor-avtoprovoda-raduga-1h2-50mm-6-tsvetov-belyy-zheltyy-zelenyy-krasnyy-siniy-chernyy-po-3-01-6551/", "Инфо")</f>
        <v>Инфо</v>
      </c>
      <c r="F8418" s="16" t="s">
        <v>4698</v>
      </c>
      <c r="G8418" s="15"/>
      <c r="H8418" s="15"/>
      <c r="I8418" s="15"/>
      <c r="J8418" s="17">
        <v>153</v>
      </c>
      <c r="K8418" s="15"/>
      <c r="L8418" s="17">
        <v>1</v>
      </c>
      <c r="M8418" s="17">
        <v>25</v>
      </c>
      <c r="N8418" s="17">
        <v>1</v>
      </c>
      <c r="O8418" s="18">
        <v>1239.72</v>
      </c>
      <c r="P8418" s="18">
        <v>1016.16</v>
      </c>
      <c r="Q8418" s="18">
        <v>867.8</v>
      </c>
      <c r="R8418" s="18">
        <v>711.31</v>
      </c>
      <c r="S8418" s="18">
        <v>843.01</v>
      </c>
      <c r="T8418" s="18">
        <v>690.99</v>
      </c>
      <c r="U8418" s="16"/>
      <c r="V8418" s="16"/>
      <c r="W8418" s="16"/>
      <c r="X8418" s="19">
        <v>0.36099999999999999</v>
      </c>
      <c r="Y8418" s="20">
        <v>1.815E-3</v>
      </c>
      <c r="Z8418" s="21">
        <v>4601004243255</v>
      </c>
    </row>
    <row r="8419" spans="1:26" ht="12.95" customHeight="1" outlineLevel="4" x14ac:dyDescent="0.2">
      <c r="A8419" s="76" t="s">
        <v>16074</v>
      </c>
      <c r="B8419" s="76"/>
      <c r="C8419" s="77"/>
      <c r="D8419" s="58"/>
      <c r="E8419" s="68"/>
      <c r="F8419" s="13"/>
      <c r="G8419" s="13"/>
      <c r="H8419" s="13"/>
      <c r="I8419" s="13"/>
      <c r="J8419" s="13"/>
      <c r="K8419" s="13"/>
      <c r="L8419" s="13"/>
      <c r="M8419" s="13"/>
      <c r="N8419" s="13"/>
      <c r="O8419" s="13"/>
      <c r="P8419" s="13"/>
      <c r="Q8419" s="13"/>
      <c r="R8419" s="13"/>
      <c r="S8419" s="13"/>
      <c r="T8419" s="13"/>
      <c r="U8419" s="13"/>
      <c r="V8419" s="13"/>
      <c r="W8419" s="13"/>
      <c r="X8419" s="13"/>
      <c r="Y8419" s="13"/>
      <c r="Z8419" s="13"/>
    </row>
    <row r="8420" spans="1:26" ht="12" customHeight="1" outlineLevel="5" x14ac:dyDescent="0.2">
      <c r="A8420" s="14" t="s">
        <v>16075</v>
      </c>
      <c r="B8420" s="26" t="s">
        <v>16076</v>
      </c>
      <c r="C8420" s="52"/>
      <c r="D8420" s="55">
        <f t="shared" si="131"/>
        <v>0</v>
      </c>
      <c r="E8420" s="63" t="str">
        <f>HYPERLINK("https://www.sds-group.ru/product/provod-avtomobilnyy-pgva-pvam-1h1-50mm-krasnyy-mini-buhta-10m-rexant-01-6534-2-10/", "Инфо")</f>
        <v>Инфо</v>
      </c>
      <c r="F8420" s="16" t="s">
        <v>1887</v>
      </c>
      <c r="G8420" s="15"/>
      <c r="H8420" s="15"/>
      <c r="I8420" s="15"/>
      <c r="J8420" s="17">
        <v>53</v>
      </c>
      <c r="K8420" s="15"/>
      <c r="L8420" s="17">
        <v>1</v>
      </c>
      <c r="M8420" s="17">
        <v>25</v>
      </c>
      <c r="N8420" s="17">
        <v>1</v>
      </c>
      <c r="O8420" s="18">
        <v>424</v>
      </c>
      <c r="P8420" s="18">
        <v>347.54</v>
      </c>
      <c r="Q8420" s="18">
        <v>339.2</v>
      </c>
      <c r="R8420" s="18">
        <v>278.02999999999997</v>
      </c>
      <c r="S8420" s="18">
        <v>288.32</v>
      </c>
      <c r="T8420" s="18">
        <v>236.33</v>
      </c>
      <c r="U8420" s="16"/>
      <c r="V8420" s="16"/>
      <c r="W8420" s="16" t="s">
        <v>40</v>
      </c>
      <c r="X8420" s="19">
        <v>0.121</v>
      </c>
      <c r="Y8420" s="20">
        <v>3.97E-4</v>
      </c>
      <c r="Z8420" s="21">
        <v>4601004243361</v>
      </c>
    </row>
    <row r="8421" spans="1:26" ht="12" customHeight="1" outlineLevel="5" x14ac:dyDescent="0.2">
      <c r="A8421" s="14" t="s">
        <v>16077</v>
      </c>
      <c r="B8421" s="26" t="s">
        <v>16078</v>
      </c>
      <c r="C8421" s="52"/>
      <c r="D8421" s="55">
        <f t="shared" si="131"/>
        <v>0</v>
      </c>
      <c r="E8421" s="63" t="str">
        <f>HYPERLINK("https://www.sds-group.ru/product/provod-avtomobilnyy-pgva-pvam-1h1-50mm-krasnyy-mini-buhta-5m-rexant-01-6534-2-5/", "Инфо")</f>
        <v>Инфо</v>
      </c>
      <c r="F8421" s="16" t="s">
        <v>1887</v>
      </c>
      <c r="G8421" s="15"/>
      <c r="H8421" s="15"/>
      <c r="I8421" s="15"/>
      <c r="J8421" s="17">
        <v>138</v>
      </c>
      <c r="K8421" s="15"/>
      <c r="L8421" s="17">
        <v>5</v>
      </c>
      <c r="M8421" s="17">
        <v>25</v>
      </c>
      <c r="N8421" s="17">
        <v>5</v>
      </c>
      <c r="O8421" s="18">
        <v>240.87</v>
      </c>
      <c r="P8421" s="18">
        <v>197.43</v>
      </c>
      <c r="Q8421" s="18">
        <v>204.74</v>
      </c>
      <c r="R8421" s="18">
        <v>167.82</v>
      </c>
      <c r="S8421" s="18">
        <v>163.79</v>
      </c>
      <c r="T8421" s="18">
        <v>134.25</v>
      </c>
      <c r="U8421" s="16"/>
      <c r="V8421" s="16"/>
      <c r="W8421" s="16" t="s">
        <v>40</v>
      </c>
      <c r="X8421" s="19">
        <v>6.4000000000000001E-2</v>
      </c>
      <c r="Y8421" s="20">
        <v>3.79E-4</v>
      </c>
      <c r="Z8421" s="21">
        <v>4601004243378</v>
      </c>
    </row>
    <row r="8422" spans="1:26" ht="12" customHeight="1" outlineLevel="5" x14ac:dyDescent="0.2">
      <c r="A8422" s="14" t="s">
        <v>16079</v>
      </c>
      <c r="B8422" s="26" t="s">
        <v>16080</v>
      </c>
      <c r="C8422" s="52"/>
      <c r="D8422" s="55">
        <f t="shared" si="131"/>
        <v>0</v>
      </c>
      <c r="E8422" s="63" t="str">
        <f>HYPERLINK("https://www.sds-group.ru/product/provod-avtomobilnyy-pgva-pvam-1h1-50mm-chernyy-mini-buhta-10m-rexant-01-6536-2-10/", "Инфо")</f>
        <v>Инфо</v>
      </c>
      <c r="F8422" s="16" t="s">
        <v>1887</v>
      </c>
      <c r="G8422" s="15"/>
      <c r="H8422" s="15"/>
      <c r="I8422" s="15"/>
      <c r="J8422" s="16" t="s">
        <v>100</v>
      </c>
      <c r="K8422" s="15"/>
      <c r="L8422" s="17">
        <v>1</v>
      </c>
      <c r="M8422" s="17">
        <v>25</v>
      </c>
      <c r="N8422" s="17">
        <v>1</v>
      </c>
      <c r="O8422" s="18">
        <v>424</v>
      </c>
      <c r="P8422" s="18">
        <v>347.54</v>
      </c>
      <c r="Q8422" s="18">
        <v>339.2</v>
      </c>
      <c r="R8422" s="18">
        <v>278.02999999999997</v>
      </c>
      <c r="S8422" s="18">
        <v>288.32</v>
      </c>
      <c r="T8422" s="18">
        <v>236.33</v>
      </c>
      <c r="U8422" s="16"/>
      <c r="V8422" s="16"/>
      <c r="W8422" s="16" t="s">
        <v>40</v>
      </c>
      <c r="X8422" s="19">
        <v>0.11899999999999999</v>
      </c>
      <c r="Y8422" s="20">
        <v>3.8999999999999999E-4</v>
      </c>
      <c r="Z8422" s="21">
        <v>4601004243347</v>
      </c>
    </row>
    <row r="8423" spans="1:26" ht="12" customHeight="1" outlineLevel="5" x14ac:dyDescent="0.2">
      <c r="A8423" s="14" t="s">
        <v>16081</v>
      </c>
      <c r="B8423" s="26" t="s">
        <v>16082</v>
      </c>
      <c r="C8423" s="52"/>
      <c r="D8423" s="55">
        <f t="shared" si="131"/>
        <v>0</v>
      </c>
      <c r="E8423" s="63" t="str">
        <f>HYPERLINK("https://www.sds-group.ru/product/provod-avtomobilnyy-pgva-pvam-1h1-50mm-chernyy-mini-buhta-5m-rexant-01-6536-2-5/", "Инфо")</f>
        <v>Инфо</v>
      </c>
      <c r="F8423" s="16" t="s">
        <v>1887</v>
      </c>
      <c r="G8423" s="15"/>
      <c r="H8423" s="15"/>
      <c r="I8423" s="15"/>
      <c r="J8423" s="17">
        <v>117</v>
      </c>
      <c r="K8423" s="15"/>
      <c r="L8423" s="17">
        <v>5</v>
      </c>
      <c r="M8423" s="17">
        <v>25</v>
      </c>
      <c r="N8423" s="17">
        <v>5</v>
      </c>
      <c r="O8423" s="18">
        <v>240.87</v>
      </c>
      <c r="P8423" s="18">
        <v>197.43</v>
      </c>
      <c r="Q8423" s="18">
        <v>204.74</v>
      </c>
      <c r="R8423" s="18">
        <v>167.82</v>
      </c>
      <c r="S8423" s="18">
        <v>163.79</v>
      </c>
      <c r="T8423" s="18">
        <v>134.25</v>
      </c>
      <c r="U8423" s="16"/>
      <c r="V8423" s="16"/>
      <c r="W8423" s="16" t="s">
        <v>40</v>
      </c>
      <c r="X8423" s="19">
        <v>6.5000000000000002E-2</v>
      </c>
      <c r="Y8423" s="20">
        <v>3.88E-4</v>
      </c>
      <c r="Z8423" s="21">
        <v>4601004243354</v>
      </c>
    </row>
    <row r="8424" spans="1:26" ht="12" customHeight="1" outlineLevel="5" x14ac:dyDescent="0.2">
      <c r="A8424" s="14" t="s">
        <v>16083</v>
      </c>
      <c r="B8424" s="26" t="s">
        <v>16084</v>
      </c>
      <c r="C8424" s="52"/>
      <c r="D8424" s="55">
        <f t="shared" si="131"/>
        <v>0</v>
      </c>
      <c r="E8424" s="63" t="str">
        <f>HYPERLINK("https://www.sds-group.ru/product/provod-avtomobilniy-pgva-pvam-rexant-1h2-50-mm-krasniy-mini-buhta-5-metrov-28436/", "Инфо")</f>
        <v>Инфо</v>
      </c>
      <c r="F8424" s="16" t="s">
        <v>1887</v>
      </c>
      <c r="G8424" s="15"/>
      <c r="H8424" s="15"/>
      <c r="I8424" s="15"/>
      <c r="J8424" s="17">
        <v>85</v>
      </c>
      <c r="K8424" s="15"/>
      <c r="L8424" s="17">
        <v>5</v>
      </c>
      <c r="M8424" s="17">
        <v>25</v>
      </c>
      <c r="N8424" s="17">
        <v>5</v>
      </c>
      <c r="O8424" s="18">
        <v>367.65</v>
      </c>
      <c r="P8424" s="18">
        <v>301.35000000000002</v>
      </c>
      <c r="Q8424" s="18">
        <v>312.5</v>
      </c>
      <c r="R8424" s="18">
        <v>256.14999999999998</v>
      </c>
      <c r="S8424" s="18">
        <v>250</v>
      </c>
      <c r="T8424" s="18">
        <v>204.92</v>
      </c>
      <c r="U8424" s="16"/>
      <c r="V8424" s="16"/>
      <c r="W8424" s="16" t="s">
        <v>40</v>
      </c>
      <c r="X8424" s="19">
        <v>0.10100000000000001</v>
      </c>
      <c r="Y8424" s="20">
        <v>3.7500000000000001E-4</v>
      </c>
      <c r="Z8424" s="21">
        <v>4601004243330</v>
      </c>
    </row>
    <row r="8425" spans="1:26" ht="12" customHeight="1" outlineLevel="5" x14ac:dyDescent="0.2">
      <c r="A8425" s="14" t="s">
        <v>16085</v>
      </c>
      <c r="B8425" s="26" t="s">
        <v>16086</v>
      </c>
      <c r="C8425" s="52"/>
      <c r="D8425" s="55">
        <f t="shared" si="131"/>
        <v>0</v>
      </c>
      <c r="E8425" s="63" t="str">
        <f>HYPERLINK("https://www.sds-group.ru/product/provod-avtomobilnyy-pgva-pvam-1h2-50mm-chernyy-mini-buhta-5m-rexant-01-6546-2-5/", "Инфо")</f>
        <v>Инфо</v>
      </c>
      <c r="F8425" s="16" t="s">
        <v>1887</v>
      </c>
      <c r="G8425" s="15"/>
      <c r="H8425" s="15"/>
      <c r="I8425" s="15"/>
      <c r="J8425" s="17">
        <v>81</v>
      </c>
      <c r="K8425" s="15"/>
      <c r="L8425" s="17">
        <v>5</v>
      </c>
      <c r="M8425" s="17">
        <v>25</v>
      </c>
      <c r="N8425" s="17">
        <v>5</v>
      </c>
      <c r="O8425" s="18">
        <v>367.65</v>
      </c>
      <c r="P8425" s="18">
        <v>301.35000000000002</v>
      </c>
      <c r="Q8425" s="18">
        <v>312.5</v>
      </c>
      <c r="R8425" s="18">
        <v>256.14999999999998</v>
      </c>
      <c r="S8425" s="18">
        <v>250</v>
      </c>
      <c r="T8425" s="18">
        <v>204.92</v>
      </c>
      <c r="U8425" s="16"/>
      <c r="V8425" s="16"/>
      <c r="W8425" s="16" t="s">
        <v>40</v>
      </c>
      <c r="X8425" s="19">
        <v>0.10199999999999999</v>
      </c>
      <c r="Y8425" s="20">
        <v>3.9500000000000001E-4</v>
      </c>
      <c r="Z8425" s="21">
        <v>4601004243316</v>
      </c>
    </row>
    <row r="8426" spans="1:26" ht="12.95" customHeight="1" outlineLevel="3" x14ac:dyDescent="0.2">
      <c r="A8426" s="76" t="s">
        <v>16087</v>
      </c>
      <c r="B8426" s="76"/>
      <c r="C8426" s="77"/>
      <c r="D8426" s="58"/>
      <c r="E8426" s="68"/>
      <c r="F8426" s="13"/>
      <c r="G8426" s="13"/>
      <c r="H8426" s="13"/>
      <c r="I8426" s="13"/>
      <c r="J8426" s="13"/>
      <c r="K8426" s="13"/>
      <c r="L8426" s="13"/>
      <c r="M8426" s="13"/>
      <c r="N8426" s="13"/>
      <c r="O8426" s="13"/>
      <c r="P8426" s="13"/>
      <c r="Q8426" s="13"/>
      <c r="R8426" s="13"/>
      <c r="S8426" s="13"/>
      <c r="T8426" s="13"/>
      <c r="U8426" s="13"/>
      <c r="V8426" s="13"/>
      <c r="W8426" s="13"/>
      <c r="X8426" s="13"/>
      <c r="Y8426" s="13"/>
      <c r="Z8426" s="13"/>
    </row>
    <row r="8427" spans="1:26" ht="12" customHeight="1" outlineLevel="4" x14ac:dyDescent="0.2">
      <c r="A8427" s="14" t="s">
        <v>16088</v>
      </c>
      <c r="B8427" s="26" t="s">
        <v>16089</v>
      </c>
      <c r="C8427" s="52"/>
      <c r="D8427" s="55">
        <f t="shared" si="131"/>
        <v>0</v>
      </c>
      <c r="E8427" s="63" t="str">
        <f>HYPERLINK("https://www.sds-group.ru/product/dj7021-1-5-11-avtomobilnyy-razem-shteker-s-provodom-20sm-16-0302-9/", "Инфо")</f>
        <v>Инфо</v>
      </c>
      <c r="F8427" s="16" t="s">
        <v>39</v>
      </c>
      <c r="G8427" s="15"/>
      <c r="H8427" s="15"/>
      <c r="I8427" s="15"/>
      <c r="J8427" s="17">
        <v>350</v>
      </c>
      <c r="K8427" s="15"/>
      <c r="L8427" s="17">
        <v>10</v>
      </c>
      <c r="M8427" s="17">
        <v>250</v>
      </c>
      <c r="N8427" s="17">
        <v>10</v>
      </c>
      <c r="O8427" s="18">
        <v>192.14</v>
      </c>
      <c r="P8427" s="18">
        <v>157.49</v>
      </c>
      <c r="Q8427" s="18">
        <v>163.32</v>
      </c>
      <c r="R8427" s="18">
        <v>133.87</v>
      </c>
      <c r="S8427" s="18">
        <v>130.66</v>
      </c>
      <c r="T8427" s="18">
        <v>107.1</v>
      </c>
      <c r="U8427" s="16"/>
      <c r="V8427" s="16"/>
      <c r="W8427" s="16" t="s">
        <v>40</v>
      </c>
      <c r="X8427" s="19">
        <v>8.0000000000000002E-3</v>
      </c>
      <c r="Y8427" s="20">
        <v>4.1E-5</v>
      </c>
      <c r="Z8427" s="21">
        <v>4601004081840</v>
      </c>
    </row>
    <row r="8428" spans="1:26" ht="12" customHeight="1" outlineLevel="4" x14ac:dyDescent="0.2">
      <c r="A8428" s="14" t="s">
        <v>16090</v>
      </c>
      <c r="B8428" s="26" t="s">
        <v>16091</v>
      </c>
      <c r="C8428" s="52"/>
      <c r="D8428" s="55">
        <f t="shared" si="131"/>
        <v>0</v>
      </c>
      <c r="E8428" s="63" t="str">
        <f>HYPERLINK("https://www.sds-group.ru/product/dj7021-1-5-21-avtomobilnyy-razem-gnezdo-s-provodom-20sm-16-0312-9/", "Инфо")</f>
        <v>Инфо</v>
      </c>
      <c r="F8428" s="16" t="s">
        <v>39</v>
      </c>
      <c r="G8428" s="15"/>
      <c r="H8428" s="15"/>
      <c r="I8428" s="15"/>
      <c r="J8428" s="17">
        <v>260</v>
      </c>
      <c r="K8428" s="15"/>
      <c r="L8428" s="17">
        <v>10</v>
      </c>
      <c r="M8428" s="17">
        <v>250</v>
      </c>
      <c r="N8428" s="17">
        <v>10</v>
      </c>
      <c r="O8428" s="18">
        <v>191.89</v>
      </c>
      <c r="P8428" s="18">
        <v>157.29</v>
      </c>
      <c r="Q8428" s="18">
        <v>163.11000000000001</v>
      </c>
      <c r="R8428" s="18">
        <v>133.69999999999999</v>
      </c>
      <c r="S8428" s="18">
        <v>130.49</v>
      </c>
      <c r="T8428" s="18">
        <v>106.96</v>
      </c>
      <c r="U8428" s="16"/>
      <c r="V8428" s="16"/>
      <c r="W8428" s="16" t="s">
        <v>40</v>
      </c>
      <c r="X8428" s="19">
        <v>7.0000000000000001E-3</v>
      </c>
      <c r="Y8428" s="20">
        <v>3.0000000000000001E-5</v>
      </c>
      <c r="Z8428" s="21">
        <v>4601004081826</v>
      </c>
    </row>
    <row r="8429" spans="1:26" ht="12" customHeight="1" outlineLevel="4" x14ac:dyDescent="0.2">
      <c r="A8429" s="14" t="s">
        <v>16092</v>
      </c>
      <c r="B8429" s="26" t="s">
        <v>16093</v>
      </c>
      <c r="C8429" s="52"/>
      <c r="D8429" s="55">
        <f t="shared" si="131"/>
        <v>0</v>
      </c>
      <c r="E8429" s="63" t="str">
        <f>HYPERLINK("https://www.sds-group.ru/product/dj7031-1-5-11-avtomobilnyy-razem-shteker-s-provodom-20sm-3-h-kontaktnyy-16-0303-9/", "Инфо")</f>
        <v>Инфо</v>
      </c>
      <c r="F8429" s="16" t="s">
        <v>39</v>
      </c>
      <c r="G8429" s="15"/>
      <c r="H8429" s="15"/>
      <c r="I8429" s="15"/>
      <c r="J8429" s="17">
        <v>100</v>
      </c>
      <c r="K8429" s="15"/>
      <c r="L8429" s="17">
        <v>10</v>
      </c>
      <c r="M8429" s="17">
        <v>100</v>
      </c>
      <c r="N8429" s="17">
        <v>10</v>
      </c>
      <c r="O8429" s="18">
        <v>245.79</v>
      </c>
      <c r="P8429" s="18">
        <v>201.47</v>
      </c>
      <c r="Q8429" s="18">
        <v>208.92</v>
      </c>
      <c r="R8429" s="18">
        <v>171.25</v>
      </c>
      <c r="S8429" s="18">
        <v>167.14</v>
      </c>
      <c r="T8429" s="18">
        <v>137</v>
      </c>
      <c r="U8429" s="16"/>
      <c r="V8429" s="16"/>
      <c r="W8429" s="16" t="s">
        <v>40</v>
      </c>
      <c r="X8429" s="19">
        <v>1.0999999999999999E-2</v>
      </c>
      <c r="Y8429" s="20">
        <v>4.6999999999999997E-5</v>
      </c>
      <c r="Z8429" s="21">
        <v>4601004091757</v>
      </c>
    </row>
    <row r="8430" spans="1:26" ht="12" customHeight="1" outlineLevel="4" x14ac:dyDescent="0.2">
      <c r="A8430" s="14" t="s">
        <v>16094</v>
      </c>
      <c r="B8430" s="26" t="s">
        <v>16095</v>
      </c>
      <c r="C8430" s="52"/>
      <c r="D8430" s="55">
        <f t="shared" si="131"/>
        <v>0</v>
      </c>
      <c r="E8430" s="63" t="str">
        <f>HYPERLINK("https://www.sds-group.ru/product/dj7031-1-5-21-avtomobilnyy-razem-gnezdo-s-provodom-20sm-3-h-kontaktnyy-16-0313-9/", "Инфо")</f>
        <v>Инфо</v>
      </c>
      <c r="F8430" s="16" t="s">
        <v>39</v>
      </c>
      <c r="G8430" s="15"/>
      <c r="H8430" s="15"/>
      <c r="I8430" s="15"/>
      <c r="J8430" s="17">
        <v>60</v>
      </c>
      <c r="K8430" s="15"/>
      <c r="L8430" s="17">
        <v>10</v>
      </c>
      <c r="M8430" s="17">
        <v>250</v>
      </c>
      <c r="N8430" s="17">
        <v>10</v>
      </c>
      <c r="O8430" s="18">
        <v>253.34</v>
      </c>
      <c r="P8430" s="18">
        <v>207.66</v>
      </c>
      <c r="Q8430" s="18">
        <v>215.34</v>
      </c>
      <c r="R8430" s="18">
        <v>176.51</v>
      </c>
      <c r="S8430" s="18">
        <v>172.27</v>
      </c>
      <c r="T8430" s="18">
        <v>141.19999999999999</v>
      </c>
      <c r="U8430" s="16"/>
      <c r="V8430" s="16"/>
      <c r="W8430" s="16" t="s">
        <v>40</v>
      </c>
      <c r="X8430" s="19">
        <v>1.4999999999999999E-2</v>
      </c>
      <c r="Y8430" s="20">
        <v>5.5000000000000002E-5</v>
      </c>
      <c r="Z8430" s="21">
        <v>4601004091733</v>
      </c>
    </row>
    <row r="8431" spans="1:26" ht="12" customHeight="1" outlineLevel="4" x14ac:dyDescent="0.2">
      <c r="A8431" s="14" t="s">
        <v>16096</v>
      </c>
      <c r="B8431" s="26" t="s">
        <v>16097</v>
      </c>
      <c r="C8431" s="52"/>
      <c r="D8431" s="55">
        <f t="shared" si="131"/>
        <v>0</v>
      </c>
      <c r="E8431" s="63" t="str">
        <f>HYPERLINK("https://www.sds-group.ru/product/vilka-pritsepa-12v-7-kontaktov-metall-rexant-16-0322/", "Инфо")</f>
        <v>Инфо</v>
      </c>
      <c r="F8431" s="16" t="s">
        <v>39</v>
      </c>
      <c r="G8431" s="15"/>
      <c r="H8431" s="15"/>
      <c r="I8431" s="15"/>
      <c r="J8431" s="16" t="s">
        <v>100</v>
      </c>
      <c r="K8431" s="15" t="s">
        <v>16098</v>
      </c>
      <c r="L8431" s="17">
        <v>5</v>
      </c>
      <c r="M8431" s="17">
        <v>100</v>
      </c>
      <c r="N8431" s="17">
        <v>5</v>
      </c>
      <c r="O8431" s="18">
        <v>349.8</v>
      </c>
      <c r="P8431" s="18">
        <v>286.72000000000003</v>
      </c>
      <c r="Q8431" s="18">
        <v>244.86</v>
      </c>
      <c r="R8431" s="18">
        <v>200.7</v>
      </c>
      <c r="S8431" s="18">
        <v>237.86</v>
      </c>
      <c r="T8431" s="18">
        <v>194.97</v>
      </c>
      <c r="U8431" s="16"/>
      <c r="V8431" s="16"/>
      <c r="W8431" s="16"/>
      <c r="X8431" s="19">
        <v>0.111</v>
      </c>
      <c r="Y8431" s="20">
        <v>4.9700000000000005E-4</v>
      </c>
      <c r="Z8431" s="21">
        <v>4601004315730</v>
      </c>
    </row>
    <row r="8432" spans="1:26" ht="12" customHeight="1" outlineLevel="4" x14ac:dyDescent="0.2">
      <c r="A8432" s="14" t="s">
        <v>16099</v>
      </c>
      <c r="B8432" s="26" t="s">
        <v>16100</v>
      </c>
      <c r="C8432" s="52"/>
      <c r="D8432" s="55">
        <f t="shared" si="131"/>
        <v>0</v>
      </c>
      <c r="E8432" s="63" t="str">
        <f>HYPERLINK("https://www.sds-group.ru/product/vilka-pritsepa-12v-7-kontaktov-plastik-rexant-16-0323/", "Инфо")</f>
        <v>Инфо</v>
      </c>
      <c r="F8432" s="16" t="s">
        <v>39</v>
      </c>
      <c r="G8432" s="15"/>
      <c r="H8432" s="15"/>
      <c r="I8432" s="15"/>
      <c r="J8432" s="17">
        <v>129</v>
      </c>
      <c r="K8432" s="15" t="s">
        <v>16098</v>
      </c>
      <c r="L8432" s="17">
        <v>5</v>
      </c>
      <c r="M8432" s="17">
        <v>100</v>
      </c>
      <c r="N8432" s="17">
        <v>5</v>
      </c>
      <c r="O8432" s="18">
        <v>275.60000000000002</v>
      </c>
      <c r="P8432" s="18">
        <v>225.9</v>
      </c>
      <c r="Q8432" s="18">
        <v>192.92</v>
      </c>
      <c r="R8432" s="18">
        <v>158.13</v>
      </c>
      <c r="S8432" s="18">
        <v>187.41</v>
      </c>
      <c r="T8432" s="18">
        <v>153.61000000000001</v>
      </c>
      <c r="U8432" s="16"/>
      <c r="V8432" s="16"/>
      <c r="W8432" s="16"/>
      <c r="X8432" s="19">
        <v>8.2000000000000003E-2</v>
      </c>
      <c r="Y8432" s="20">
        <v>5.1000000000000004E-4</v>
      </c>
      <c r="Z8432" s="21">
        <v>4601004315754</v>
      </c>
    </row>
    <row r="8433" spans="1:26" ht="12" customHeight="1" outlineLevel="4" x14ac:dyDescent="0.2">
      <c r="A8433" s="14" t="s">
        <v>16101</v>
      </c>
      <c r="B8433" s="26" t="s">
        <v>16102</v>
      </c>
      <c r="C8433" s="52"/>
      <c r="D8433" s="55">
        <f t="shared" si="131"/>
        <v>0</v>
      </c>
      <c r="E8433" s="63" t="str">
        <f>HYPERLINK("https://www.sds-group.ru/product/nabor-podklyucheniya-farkopa-universalnyy-7-kontaktov-rexant-16-0324/", "Инфо")</f>
        <v>Инфо</v>
      </c>
      <c r="F8433" s="16" t="s">
        <v>39</v>
      </c>
      <c r="G8433" s="15"/>
      <c r="H8433" s="15"/>
      <c r="I8433" s="15"/>
      <c r="J8433" s="16" t="s">
        <v>100</v>
      </c>
      <c r="K8433" s="15" t="s">
        <v>16098</v>
      </c>
      <c r="L8433" s="17">
        <v>1</v>
      </c>
      <c r="M8433" s="17">
        <v>50</v>
      </c>
      <c r="N8433" s="17">
        <v>1</v>
      </c>
      <c r="O8433" s="18">
        <v>1245.1199999999999</v>
      </c>
      <c r="P8433" s="18">
        <v>1020.59</v>
      </c>
      <c r="Q8433" s="18">
        <v>871.58</v>
      </c>
      <c r="R8433" s="18">
        <v>714.41</v>
      </c>
      <c r="S8433" s="18">
        <v>846.68</v>
      </c>
      <c r="T8433" s="18">
        <v>694</v>
      </c>
      <c r="U8433" s="16"/>
      <c r="V8433" s="16"/>
      <c r="W8433" s="16"/>
      <c r="X8433" s="19">
        <v>0.33900000000000002</v>
      </c>
      <c r="Y8433" s="20">
        <v>1.0970000000000001E-3</v>
      </c>
      <c r="Z8433" s="21">
        <v>4601004315761</v>
      </c>
    </row>
    <row r="8434" spans="1:26" ht="12" customHeight="1" outlineLevel="4" x14ac:dyDescent="0.2">
      <c r="A8434" s="32" t="s">
        <v>16103</v>
      </c>
      <c r="B8434" s="74" t="s">
        <v>16104</v>
      </c>
      <c r="C8434" s="50"/>
      <c r="D8434" s="53">
        <f t="shared" si="131"/>
        <v>0</v>
      </c>
      <c r="E8434" s="60" t="str">
        <f>HYPERLINK("https://www.sds-group.ru/product/razem-gnezdo-antenny-dlya-avtomagnitoly-na-shnur-rexant-16-0412/", "Инфо")</f>
        <v>Инфо</v>
      </c>
      <c r="F8434" s="34" t="s">
        <v>39</v>
      </c>
      <c r="G8434" s="33"/>
      <c r="H8434" s="33" t="s">
        <v>40</v>
      </c>
      <c r="I8434" s="33"/>
      <c r="J8434" s="39">
        <v>15400</v>
      </c>
      <c r="K8434" s="33"/>
      <c r="L8434" s="35">
        <v>50</v>
      </c>
      <c r="M8434" s="39">
        <v>2500</v>
      </c>
      <c r="N8434" s="35">
        <v>50</v>
      </c>
      <c r="O8434" s="36">
        <v>22.69</v>
      </c>
      <c r="P8434" s="36">
        <v>18.600000000000001</v>
      </c>
      <c r="Q8434" s="36">
        <v>15.88</v>
      </c>
      <c r="R8434" s="36">
        <v>13.02</v>
      </c>
      <c r="S8434" s="36">
        <v>15.43</v>
      </c>
      <c r="T8434" s="36">
        <v>12.65</v>
      </c>
      <c r="U8434" s="34"/>
      <c r="V8434" s="34"/>
      <c r="W8434" s="34"/>
      <c r="X8434" s="37">
        <v>7.0000000000000001E-3</v>
      </c>
      <c r="Y8434" s="38">
        <v>1.9000000000000001E-5</v>
      </c>
      <c r="Z8434" s="21">
        <v>4601004053991</v>
      </c>
    </row>
    <row r="8435" spans="1:26" ht="12" customHeight="1" outlineLevel="4" x14ac:dyDescent="0.2">
      <c r="A8435" s="14" t="s">
        <v>16105</v>
      </c>
      <c r="B8435" s="26" t="s">
        <v>16106</v>
      </c>
      <c r="C8435" s="52"/>
      <c r="D8435" s="55">
        <f t="shared" si="131"/>
        <v>0</v>
      </c>
      <c r="E8435" s="63" t="str">
        <f>HYPERLINK("https://www.sds-group.ru/product/razem-shteker-antenny-dlya-avtomagnitoly-tip-1-rexant-16-0401/", "Инфо")</f>
        <v>Инфо</v>
      </c>
      <c r="F8435" s="16" t="s">
        <v>39</v>
      </c>
      <c r="G8435" s="15"/>
      <c r="H8435" s="15"/>
      <c r="I8435" s="15"/>
      <c r="J8435" s="22">
        <v>13350</v>
      </c>
      <c r="K8435" s="15" t="s">
        <v>995</v>
      </c>
      <c r="L8435" s="17">
        <v>50</v>
      </c>
      <c r="M8435" s="22">
        <v>5000</v>
      </c>
      <c r="N8435" s="17">
        <v>50</v>
      </c>
      <c r="O8435" s="18">
        <v>21.56</v>
      </c>
      <c r="P8435" s="18">
        <v>17.670000000000002</v>
      </c>
      <c r="Q8435" s="18">
        <v>18.329999999999998</v>
      </c>
      <c r="R8435" s="18">
        <v>15.02</v>
      </c>
      <c r="S8435" s="18">
        <v>14.66</v>
      </c>
      <c r="T8435" s="18">
        <v>12.02</v>
      </c>
      <c r="U8435" s="16"/>
      <c r="V8435" s="16"/>
      <c r="W8435" s="16" t="s">
        <v>40</v>
      </c>
      <c r="X8435" s="19">
        <v>3.0000000000000001E-3</v>
      </c>
      <c r="Y8435" s="20">
        <v>7.9999999999999996E-6</v>
      </c>
      <c r="Z8435" s="21">
        <v>4601004053953</v>
      </c>
    </row>
    <row r="8436" spans="1:26" ht="12" customHeight="1" outlineLevel="4" x14ac:dyDescent="0.2">
      <c r="A8436" s="32" t="s">
        <v>16107</v>
      </c>
      <c r="B8436" s="74" t="s">
        <v>16108</v>
      </c>
      <c r="C8436" s="50"/>
      <c r="D8436" s="53">
        <f t="shared" si="131"/>
        <v>0</v>
      </c>
      <c r="E8436" s="60" t="str">
        <f>HYPERLINK("https://www.sds-group.ru/product/razem-shteker-antenny-dlya-avtomagnitoly-tip-3-rexant-16-0403/", "Инфо")</f>
        <v>Инфо</v>
      </c>
      <c r="F8436" s="34" t="s">
        <v>39</v>
      </c>
      <c r="G8436" s="33"/>
      <c r="H8436" s="33" t="s">
        <v>40</v>
      </c>
      <c r="I8436" s="33"/>
      <c r="J8436" s="39">
        <v>15900</v>
      </c>
      <c r="K8436" s="33"/>
      <c r="L8436" s="35">
        <v>50</v>
      </c>
      <c r="M8436" s="39">
        <v>5000</v>
      </c>
      <c r="N8436" s="35">
        <v>50</v>
      </c>
      <c r="O8436" s="36">
        <v>7.43</v>
      </c>
      <c r="P8436" s="36">
        <v>6.09</v>
      </c>
      <c r="Q8436" s="36">
        <v>5.2</v>
      </c>
      <c r="R8436" s="36">
        <v>4.26</v>
      </c>
      <c r="S8436" s="36">
        <v>5.05</v>
      </c>
      <c r="T8436" s="36">
        <v>4.1399999999999997</v>
      </c>
      <c r="U8436" s="34"/>
      <c r="V8436" s="34"/>
      <c r="W8436" s="34"/>
      <c r="X8436" s="37">
        <v>3.0000000000000001E-3</v>
      </c>
      <c r="Y8436" s="38">
        <v>6.0000000000000002E-6</v>
      </c>
      <c r="Z8436" s="21">
        <v>4601004053977</v>
      </c>
    </row>
    <row r="8437" spans="1:26" ht="12" customHeight="1" outlineLevel="4" x14ac:dyDescent="0.2">
      <c r="A8437" s="14" t="s">
        <v>16109</v>
      </c>
      <c r="B8437" s="26" t="s">
        <v>16110</v>
      </c>
      <c r="C8437" s="52"/>
      <c r="D8437" s="55">
        <f t="shared" si="131"/>
        <v>0</v>
      </c>
      <c r="E8437" s="63" t="str">
        <f>HYPERLINK("https://www.sds-group.ru/product/razemy-dlya-avtomagnitol-evro-iso-2-gnezda-akustika-pitanie-rexant-16-0501/", "Инфо")</f>
        <v>Инфо</v>
      </c>
      <c r="F8437" s="16" t="s">
        <v>39</v>
      </c>
      <c r="G8437" s="15"/>
      <c r="H8437" s="15"/>
      <c r="I8437" s="15"/>
      <c r="J8437" s="22">
        <v>7040</v>
      </c>
      <c r="K8437" s="15" t="s">
        <v>1004</v>
      </c>
      <c r="L8437" s="17">
        <v>10</v>
      </c>
      <c r="M8437" s="17">
        <v>250</v>
      </c>
      <c r="N8437" s="17">
        <v>10</v>
      </c>
      <c r="O8437" s="18">
        <v>161.69999999999999</v>
      </c>
      <c r="P8437" s="18">
        <v>132.54</v>
      </c>
      <c r="Q8437" s="18">
        <v>137.44999999999999</v>
      </c>
      <c r="R8437" s="18">
        <v>112.66</v>
      </c>
      <c r="S8437" s="18">
        <v>109.96</v>
      </c>
      <c r="T8437" s="18">
        <v>90.13</v>
      </c>
      <c r="U8437" s="16"/>
      <c r="V8437" s="16"/>
      <c r="W8437" s="16" t="s">
        <v>40</v>
      </c>
      <c r="X8437" s="19">
        <v>0.03</v>
      </c>
      <c r="Y8437" s="20">
        <v>9.1000000000000003E-5</v>
      </c>
      <c r="Z8437" s="21">
        <v>4601004053663</v>
      </c>
    </row>
    <row r="8438" spans="1:26" ht="12" customHeight="1" outlineLevel="4" x14ac:dyDescent="0.2">
      <c r="A8438" s="14" t="s">
        <v>16111</v>
      </c>
      <c r="B8438" s="26" t="s">
        <v>16112</v>
      </c>
      <c r="C8438" s="52"/>
      <c r="D8438" s="55">
        <f t="shared" si="131"/>
        <v>0</v>
      </c>
      <c r="E8438" s="63" t="str">
        <f>HYPERLINK("https://www.sds-group.ru/product/razemy-dlya-avtomagnitol-evro-iso-sdvoennoe-gnezdo-akustika-pitanie-rexant-16-0502/", "Инфо")</f>
        <v>Инфо</v>
      </c>
      <c r="F8438" s="16" t="s">
        <v>39</v>
      </c>
      <c r="G8438" s="15"/>
      <c r="H8438" s="15"/>
      <c r="I8438" s="15"/>
      <c r="J8438" s="22">
        <v>1990</v>
      </c>
      <c r="K8438" s="15" t="s">
        <v>1004</v>
      </c>
      <c r="L8438" s="17">
        <v>10</v>
      </c>
      <c r="M8438" s="17">
        <v>250</v>
      </c>
      <c r="N8438" s="17">
        <v>10</v>
      </c>
      <c r="O8438" s="18">
        <v>167.1</v>
      </c>
      <c r="P8438" s="18">
        <v>136.97</v>
      </c>
      <c r="Q8438" s="18">
        <v>142.04</v>
      </c>
      <c r="R8438" s="18">
        <v>116.43</v>
      </c>
      <c r="S8438" s="18">
        <v>113.63</v>
      </c>
      <c r="T8438" s="18">
        <v>93.14</v>
      </c>
      <c r="U8438" s="16"/>
      <c r="V8438" s="16"/>
      <c r="W8438" s="16" t="s">
        <v>40</v>
      </c>
      <c r="X8438" s="19">
        <v>0.03</v>
      </c>
      <c r="Y8438" s="20">
        <v>1.02E-4</v>
      </c>
      <c r="Z8438" s="21">
        <v>4601004053625</v>
      </c>
    </row>
    <row r="8439" spans="1:26" ht="12" customHeight="1" outlineLevel="4" x14ac:dyDescent="0.2">
      <c r="A8439" s="14" t="s">
        <v>16113</v>
      </c>
      <c r="B8439" s="26" t="s">
        <v>16114</v>
      </c>
      <c r="C8439" s="52"/>
      <c r="D8439" s="55">
        <f t="shared" si="131"/>
        <v>0</v>
      </c>
      <c r="E8439" s="63" t="str">
        <f>HYPERLINK("https://www.sds-group.ru/product/razemy-dlya-avtomagnitol-evro-iso-sdvoennyy-shteker-akustika-pitanie-rexant-16-0503/", "Инфо")</f>
        <v>Инфо</v>
      </c>
      <c r="F8439" s="16" t="s">
        <v>39</v>
      </c>
      <c r="G8439" s="15"/>
      <c r="H8439" s="15"/>
      <c r="I8439" s="15"/>
      <c r="J8439" s="22">
        <v>5049</v>
      </c>
      <c r="K8439" s="15" t="s">
        <v>1004</v>
      </c>
      <c r="L8439" s="17">
        <v>10</v>
      </c>
      <c r="M8439" s="17">
        <v>250</v>
      </c>
      <c r="N8439" s="17">
        <v>10</v>
      </c>
      <c r="O8439" s="18">
        <v>167.1</v>
      </c>
      <c r="P8439" s="18">
        <v>136.97</v>
      </c>
      <c r="Q8439" s="18">
        <v>142.04</v>
      </c>
      <c r="R8439" s="18">
        <v>116.43</v>
      </c>
      <c r="S8439" s="18">
        <v>113.63</v>
      </c>
      <c r="T8439" s="18">
        <v>93.14</v>
      </c>
      <c r="U8439" s="16"/>
      <c r="V8439" s="16"/>
      <c r="W8439" s="16" t="s">
        <v>40</v>
      </c>
      <c r="X8439" s="19">
        <v>3.2000000000000001E-2</v>
      </c>
      <c r="Y8439" s="20">
        <v>1.2799999999999999E-4</v>
      </c>
      <c r="Z8439" s="21">
        <v>4660008015619</v>
      </c>
    </row>
    <row r="8440" spans="1:26" ht="12" customHeight="1" outlineLevel="4" x14ac:dyDescent="0.2">
      <c r="A8440" s="14" t="s">
        <v>16115</v>
      </c>
      <c r="B8440" s="26" t="s">
        <v>16116</v>
      </c>
      <c r="C8440" s="52"/>
      <c r="D8440" s="55">
        <f t="shared" si="131"/>
        <v>0</v>
      </c>
      <c r="E8440" s="63" t="str">
        <f>HYPERLINK("https://www.sds-group.ru/product/rozetka-farkopa-12v-7-kontaktov-metall-rexant-16-0320/", "Инфо")</f>
        <v>Инфо</v>
      </c>
      <c r="F8440" s="16" t="s">
        <v>39</v>
      </c>
      <c r="G8440" s="15"/>
      <c r="H8440" s="15"/>
      <c r="I8440" s="15"/>
      <c r="J8440" s="16" t="s">
        <v>100</v>
      </c>
      <c r="K8440" s="15" t="s">
        <v>16098</v>
      </c>
      <c r="L8440" s="17">
        <v>1</v>
      </c>
      <c r="M8440" s="17">
        <v>100</v>
      </c>
      <c r="N8440" s="17">
        <v>1</v>
      </c>
      <c r="O8440" s="18">
        <v>540.6</v>
      </c>
      <c r="P8440" s="18">
        <v>443.11</v>
      </c>
      <c r="Q8440" s="18">
        <v>378.42</v>
      </c>
      <c r="R8440" s="18">
        <v>310.18</v>
      </c>
      <c r="S8440" s="18">
        <v>367.61</v>
      </c>
      <c r="T8440" s="18">
        <v>301.32</v>
      </c>
      <c r="U8440" s="16"/>
      <c r="V8440" s="16"/>
      <c r="W8440" s="16"/>
      <c r="X8440" s="19">
        <v>0.18099999999999999</v>
      </c>
      <c r="Y8440" s="20">
        <v>6.6699999999999995E-4</v>
      </c>
      <c r="Z8440" s="21">
        <v>4601004315723</v>
      </c>
    </row>
    <row r="8441" spans="1:26" ht="12" customHeight="1" outlineLevel="4" x14ac:dyDescent="0.2">
      <c r="A8441" s="14" t="s">
        <v>16117</v>
      </c>
      <c r="B8441" s="26" t="s">
        <v>16118</v>
      </c>
      <c r="C8441" s="52"/>
      <c r="D8441" s="55">
        <f t="shared" si="131"/>
        <v>0</v>
      </c>
      <c r="E8441" s="63" t="str">
        <f>HYPERLINK("https://www.sds-group.ru/product/rozetka-farkopa-12v-7-kontaktov-plastik-rexant-16-0321/", "Инфо")</f>
        <v>Инфо</v>
      </c>
      <c r="F8441" s="16" t="s">
        <v>39</v>
      </c>
      <c r="G8441" s="15"/>
      <c r="H8441" s="15"/>
      <c r="I8441" s="15"/>
      <c r="J8441" s="22">
        <v>1474</v>
      </c>
      <c r="K8441" s="15" t="s">
        <v>16098</v>
      </c>
      <c r="L8441" s="17">
        <v>5</v>
      </c>
      <c r="M8441" s="17">
        <v>100</v>
      </c>
      <c r="N8441" s="17">
        <v>5</v>
      </c>
      <c r="O8441" s="18">
        <v>307.39999999999998</v>
      </c>
      <c r="P8441" s="18">
        <v>251.97</v>
      </c>
      <c r="Q8441" s="18">
        <v>215.18</v>
      </c>
      <c r="R8441" s="18">
        <v>176.38</v>
      </c>
      <c r="S8441" s="18">
        <v>209.03</v>
      </c>
      <c r="T8441" s="18">
        <v>171.34</v>
      </c>
      <c r="U8441" s="16"/>
      <c r="V8441" s="16"/>
      <c r="W8441" s="16"/>
      <c r="X8441" s="19">
        <v>0.13500000000000001</v>
      </c>
      <c r="Y8441" s="20">
        <v>6.78E-4</v>
      </c>
      <c r="Z8441" s="21">
        <v>4601004315747</v>
      </c>
    </row>
    <row r="8442" spans="1:26" ht="12.95" customHeight="1" outlineLevel="3" x14ac:dyDescent="0.2">
      <c r="A8442" s="76" t="s">
        <v>16119</v>
      </c>
      <c r="B8442" s="76"/>
      <c r="C8442" s="77"/>
      <c r="D8442" s="58"/>
      <c r="E8442" s="68"/>
      <c r="F8442" s="13"/>
      <c r="G8442" s="13"/>
      <c r="H8442" s="13"/>
      <c r="I8442" s="13"/>
      <c r="J8442" s="13"/>
      <c r="K8442" s="13"/>
      <c r="L8442" s="13"/>
      <c r="M8442" s="13"/>
      <c r="N8442" s="13"/>
      <c r="O8442" s="13"/>
      <c r="P8442" s="13"/>
      <c r="Q8442" s="13"/>
      <c r="R8442" s="13"/>
      <c r="S8442" s="13"/>
      <c r="T8442" s="13"/>
      <c r="U8442" s="13"/>
      <c r="V8442" s="13"/>
      <c r="W8442" s="13"/>
      <c r="X8442" s="13"/>
      <c r="Y8442" s="13"/>
      <c r="Z8442" s="13"/>
    </row>
    <row r="8443" spans="1:26" ht="12" customHeight="1" outlineLevel="4" x14ac:dyDescent="0.2">
      <c r="A8443" s="14" t="s">
        <v>16120</v>
      </c>
      <c r="B8443" s="26" t="s">
        <v>16121</v>
      </c>
      <c r="C8443" s="52"/>
      <c r="D8443" s="55">
        <f t="shared" si="131"/>
        <v>0</v>
      </c>
      <c r="E8443" s="63" t="str">
        <f>HYPERLINK("https://www.sds-group.ru/product/derzhatel-predohranitelya-tip-mini-na-provode-rexant-16-0423/", "Инфо")</f>
        <v>Инфо</v>
      </c>
      <c r="F8443" s="16" t="s">
        <v>39</v>
      </c>
      <c r="G8443" s="15"/>
      <c r="H8443" s="15"/>
      <c r="I8443" s="15"/>
      <c r="J8443" s="22">
        <v>13610</v>
      </c>
      <c r="K8443" s="15" t="s">
        <v>1055</v>
      </c>
      <c r="L8443" s="17">
        <v>10</v>
      </c>
      <c r="M8443" s="17">
        <v>500</v>
      </c>
      <c r="N8443" s="17">
        <v>10</v>
      </c>
      <c r="O8443" s="18">
        <v>86.24</v>
      </c>
      <c r="P8443" s="18">
        <v>70.69</v>
      </c>
      <c r="Q8443" s="18">
        <v>73.3</v>
      </c>
      <c r="R8443" s="18">
        <v>60.08</v>
      </c>
      <c r="S8443" s="18">
        <v>58.64</v>
      </c>
      <c r="T8443" s="18">
        <v>48.07</v>
      </c>
      <c r="U8443" s="16"/>
      <c r="V8443" s="16"/>
      <c r="W8443" s="16" t="s">
        <v>40</v>
      </c>
      <c r="X8443" s="19">
        <v>1.9E-2</v>
      </c>
      <c r="Y8443" s="20">
        <v>5.8999999999999998E-5</v>
      </c>
      <c r="Z8443" s="21">
        <v>4601004089914</v>
      </c>
    </row>
    <row r="8444" spans="1:26" ht="12" customHeight="1" outlineLevel="4" x14ac:dyDescent="0.2">
      <c r="A8444" s="14" t="s">
        <v>16122</v>
      </c>
      <c r="B8444" s="26" t="s">
        <v>16123</v>
      </c>
      <c r="C8444" s="52"/>
      <c r="D8444" s="55">
        <f t="shared" si="131"/>
        <v>0</v>
      </c>
      <c r="E8444" s="63" t="str">
        <f>HYPERLINK("https://www.sds-group.ru/product/derzhatel-predohranitelya-tipa-agu-kolba-rexant-16-0425/", "Инфо")</f>
        <v>Инфо</v>
      </c>
      <c r="F8444" s="16" t="s">
        <v>39</v>
      </c>
      <c r="G8444" s="15"/>
      <c r="H8444" s="15"/>
      <c r="I8444" s="15"/>
      <c r="J8444" s="17">
        <v>912</v>
      </c>
      <c r="K8444" s="15" t="s">
        <v>1277</v>
      </c>
      <c r="L8444" s="17">
        <v>5</v>
      </c>
      <c r="M8444" s="17">
        <v>200</v>
      </c>
      <c r="N8444" s="17">
        <v>5</v>
      </c>
      <c r="O8444" s="18">
        <v>264.12</v>
      </c>
      <c r="P8444" s="18">
        <v>216.49</v>
      </c>
      <c r="Q8444" s="18">
        <v>224.5</v>
      </c>
      <c r="R8444" s="18">
        <v>184.02</v>
      </c>
      <c r="S8444" s="18">
        <v>179.6</v>
      </c>
      <c r="T8444" s="18">
        <v>147.21</v>
      </c>
      <c r="U8444" s="16"/>
      <c r="V8444" s="16"/>
      <c r="W8444" s="16" t="s">
        <v>40</v>
      </c>
      <c r="X8444" s="19">
        <v>4.8000000000000001E-2</v>
      </c>
      <c r="Y8444" s="20">
        <v>9.6000000000000002E-5</v>
      </c>
      <c r="Z8444" s="21">
        <v>4601004092181</v>
      </c>
    </row>
    <row r="8445" spans="1:26" ht="12" customHeight="1" outlineLevel="4" x14ac:dyDescent="0.2">
      <c r="A8445" s="14" t="s">
        <v>16124</v>
      </c>
      <c r="B8445" s="26" t="s">
        <v>16125</v>
      </c>
      <c r="C8445" s="52"/>
      <c r="D8445" s="55">
        <f t="shared" si="131"/>
        <v>0</v>
      </c>
      <c r="E8445" s="63" t="str">
        <f>HYPERLINK("https://www.sds-group.ru/product/derzhatel-predohranitelya-tipa-mini-vlagozaschischennyy-na-provode-rexant-16-0424/", "Инфо")</f>
        <v>Инфо</v>
      </c>
      <c r="F8445" s="16" t="s">
        <v>39</v>
      </c>
      <c r="G8445" s="15"/>
      <c r="H8445" s="15"/>
      <c r="I8445" s="15"/>
      <c r="J8445" s="22">
        <v>2771</v>
      </c>
      <c r="K8445" s="15" t="s">
        <v>1055</v>
      </c>
      <c r="L8445" s="17">
        <v>10</v>
      </c>
      <c r="M8445" s="17">
        <v>500</v>
      </c>
      <c r="N8445" s="17">
        <v>10</v>
      </c>
      <c r="O8445" s="18">
        <v>156.32</v>
      </c>
      <c r="P8445" s="18">
        <v>128.13</v>
      </c>
      <c r="Q8445" s="18">
        <v>132.87</v>
      </c>
      <c r="R8445" s="18">
        <v>108.91</v>
      </c>
      <c r="S8445" s="18">
        <v>106.3</v>
      </c>
      <c r="T8445" s="18">
        <v>87.13</v>
      </c>
      <c r="U8445" s="16"/>
      <c r="V8445" s="16"/>
      <c r="W8445" s="16" t="s">
        <v>40</v>
      </c>
      <c r="X8445" s="19">
        <v>2.7E-2</v>
      </c>
      <c r="Y8445" s="20">
        <v>8.2000000000000001E-5</v>
      </c>
      <c r="Z8445" s="21">
        <v>4601004089907</v>
      </c>
    </row>
    <row r="8446" spans="1:26" ht="12" customHeight="1" outlineLevel="4" x14ac:dyDescent="0.2">
      <c r="A8446" s="14" t="s">
        <v>16126</v>
      </c>
      <c r="B8446" s="26" t="s">
        <v>16127</v>
      </c>
      <c r="C8446" s="52"/>
      <c r="D8446" s="55">
        <f t="shared" si="131"/>
        <v>0</v>
      </c>
      <c r="E8446" s="63" t="str">
        <f>HYPERLINK("https://www.sds-group.ru/product/derzhatel-predohranitelya-tipa-standart-pryamougolnyy-krasnyy-rexant-16-0421-4/", "Инфо")</f>
        <v>Инфо</v>
      </c>
      <c r="F8446" s="16" t="s">
        <v>39</v>
      </c>
      <c r="G8446" s="15"/>
      <c r="H8446" s="15"/>
      <c r="I8446" s="15"/>
      <c r="J8446" s="22">
        <v>12200</v>
      </c>
      <c r="K8446" s="15" t="s">
        <v>1004</v>
      </c>
      <c r="L8446" s="17">
        <v>50</v>
      </c>
      <c r="M8446" s="17">
        <v>500</v>
      </c>
      <c r="N8446" s="17">
        <v>50</v>
      </c>
      <c r="O8446" s="18">
        <v>77.61</v>
      </c>
      <c r="P8446" s="18">
        <v>63.61</v>
      </c>
      <c r="Q8446" s="18">
        <v>65.97</v>
      </c>
      <c r="R8446" s="18">
        <v>54.07</v>
      </c>
      <c r="S8446" s="18">
        <v>52.77</v>
      </c>
      <c r="T8446" s="18">
        <v>43.25</v>
      </c>
      <c r="U8446" s="16"/>
      <c r="V8446" s="16"/>
      <c r="W8446" s="16" t="s">
        <v>40</v>
      </c>
      <c r="X8446" s="19">
        <v>2.5000000000000001E-2</v>
      </c>
      <c r="Y8446" s="20">
        <v>6.3999999999999997E-5</v>
      </c>
      <c r="Z8446" s="21">
        <v>4601004054219</v>
      </c>
    </row>
    <row r="8447" spans="1:26" ht="12" customHeight="1" outlineLevel="4" x14ac:dyDescent="0.2">
      <c r="A8447" s="14" t="s">
        <v>16128</v>
      </c>
      <c r="B8447" s="26" t="s">
        <v>16129</v>
      </c>
      <c r="C8447" s="52"/>
      <c r="D8447" s="55">
        <f t="shared" si="131"/>
        <v>0</v>
      </c>
      <c r="E8447" s="63" t="str">
        <f>HYPERLINK("https://www.sds-group.ru/product/derzhatel-predohranitelya-tipa-standart-pryamougolnyy-chernyy-rexant-16-0421/", "Инфо")</f>
        <v>Инфо</v>
      </c>
      <c r="F8447" s="16" t="s">
        <v>39</v>
      </c>
      <c r="G8447" s="15"/>
      <c r="H8447" s="15"/>
      <c r="I8447" s="15"/>
      <c r="J8447" s="22">
        <v>21514</v>
      </c>
      <c r="K8447" s="15" t="s">
        <v>1004</v>
      </c>
      <c r="L8447" s="17">
        <v>50</v>
      </c>
      <c r="M8447" s="17">
        <v>500</v>
      </c>
      <c r="N8447" s="17">
        <v>50</v>
      </c>
      <c r="O8447" s="18">
        <v>77.61</v>
      </c>
      <c r="P8447" s="18">
        <v>63.61</v>
      </c>
      <c r="Q8447" s="18">
        <v>65.97</v>
      </c>
      <c r="R8447" s="18">
        <v>54.07</v>
      </c>
      <c r="S8447" s="18">
        <v>52.77</v>
      </c>
      <c r="T8447" s="18">
        <v>43.25</v>
      </c>
      <c r="U8447" s="16"/>
      <c r="V8447" s="16"/>
      <c r="W8447" s="16" t="s">
        <v>40</v>
      </c>
      <c r="X8447" s="19">
        <v>2.4E-2</v>
      </c>
      <c r="Y8447" s="20">
        <v>6.4999999999999994E-5</v>
      </c>
      <c r="Z8447" s="21">
        <v>4601004054202</v>
      </c>
    </row>
    <row r="8448" spans="1:26" ht="12" customHeight="1" outlineLevel="4" x14ac:dyDescent="0.2">
      <c r="A8448" s="14" t="s">
        <v>16130</v>
      </c>
      <c r="B8448" s="26" t="s">
        <v>16131</v>
      </c>
      <c r="C8448" s="52"/>
      <c r="D8448" s="55">
        <f t="shared" si="131"/>
        <v>0</v>
      </c>
      <c r="E8448" s="63" t="str">
        <f>HYPERLINK("https://www.sds-group.ru/product/derzhatel-predohranitelya-kruglyy-rexant-16-0422/", "Инфо")</f>
        <v>Инфо</v>
      </c>
      <c r="F8448" s="16" t="s">
        <v>39</v>
      </c>
      <c r="G8448" s="15"/>
      <c r="H8448" s="15"/>
      <c r="I8448" s="15"/>
      <c r="J8448" s="22">
        <v>12100</v>
      </c>
      <c r="K8448" s="15"/>
      <c r="L8448" s="17">
        <v>50</v>
      </c>
      <c r="M8448" s="22">
        <v>1200</v>
      </c>
      <c r="N8448" s="17">
        <v>50</v>
      </c>
      <c r="O8448" s="18">
        <v>32.29</v>
      </c>
      <c r="P8448" s="18">
        <v>26.47</v>
      </c>
      <c r="Q8448" s="18">
        <v>27.45</v>
      </c>
      <c r="R8448" s="18">
        <v>22.5</v>
      </c>
      <c r="S8448" s="18">
        <v>21.96</v>
      </c>
      <c r="T8448" s="18">
        <v>18</v>
      </c>
      <c r="U8448" s="16"/>
      <c r="V8448" s="16"/>
      <c r="W8448" s="16" t="s">
        <v>40</v>
      </c>
      <c r="X8448" s="19">
        <v>5.0000000000000001E-3</v>
      </c>
      <c r="Y8448" s="20">
        <v>1.5999999999999999E-5</v>
      </c>
      <c r="Z8448" s="21">
        <v>4601004054226</v>
      </c>
    </row>
    <row r="8449" spans="1:26" ht="12" customHeight="1" outlineLevel="4" x14ac:dyDescent="0.2">
      <c r="A8449" s="14" t="s">
        <v>16132</v>
      </c>
      <c r="B8449" s="26" t="s">
        <v>16133</v>
      </c>
      <c r="C8449" s="52"/>
      <c r="D8449" s="55">
        <f t="shared" si="131"/>
        <v>0</v>
      </c>
      <c r="E8449" s="63" t="str">
        <f>HYPERLINK("https://www.sds-group.ru/product/nabor-avtomobilnyh-predohraniteley-mikro-korea-rexant-80-7125/", "Инфо")</f>
        <v>Инфо</v>
      </c>
      <c r="F8449" s="16" t="s">
        <v>4698</v>
      </c>
      <c r="G8449" s="15"/>
      <c r="H8449" s="15"/>
      <c r="I8449" s="15"/>
      <c r="J8449" s="16" t="s">
        <v>100</v>
      </c>
      <c r="K8449" s="15" t="s">
        <v>1058</v>
      </c>
      <c r="L8449" s="17">
        <v>10</v>
      </c>
      <c r="M8449" s="17">
        <v>300</v>
      </c>
      <c r="N8449" s="17">
        <v>10</v>
      </c>
      <c r="O8449" s="18">
        <v>94.87</v>
      </c>
      <c r="P8449" s="18">
        <v>77.760000000000005</v>
      </c>
      <c r="Q8449" s="18">
        <v>80.64</v>
      </c>
      <c r="R8449" s="18">
        <v>66.099999999999994</v>
      </c>
      <c r="S8449" s="18">
        <v>64.510000000000005</v>
      </c>
      <c r="T8449" s="18">
        <v>52.88</v>
      </c>
      <c r="U8449" s="16"/>
      <c r="V8449" s="16"/>
      <c r="W8449" s="16" t="s">
        <v>40</v>
      </c>
      <c r="X8449" s="19">
        <v>1.7000000000000001E-2</v>
      </c>
      <c r="Y8449" s="20">
        <v>1.66E-4</v>
      </c>
      <c r="Z8449" s="21">
        <v>4601004097872</v>
      </c>
    </row>
    <row r="8450" spans="1:26" ht="12" customHeight="1" outlineLevel="4" x14ac:dyDescent="0.2">
      <c r="A8450" s="14" t="s">
        <v>16134</v>
      </c>
      <c r="B8450" s="26" t="s">
        <v>16135</v>
      </c>
      <c r="C8450" s="52"/>
      <c r="D8450" s="55">
        <f t="shared" si="131"/>
        <v>0</v>
      </c>
      <c r="E8450" s="63" t="str">
        <f>HYPERLINK("https://www.sds-group.ru/product/nabor-avtomobilnyh-predohraniteley-mini-v-blistere-rexant-80-7021/", "Инфо")</f>
        <v>Инфо</v>
      </c>
      <c r="F8450" s="16" t="s">
        <v>4698</v>
      </c>
      <c r="G8450" s="15"/>
      <c r="H8450" s="15"/>
      <c r="I8450" s="15"/>
      <c r="J8450" s="16" t="s">
        <v>100</v>
      </c>
      <c r="K8450" s="15" t="s">
        <v>1277</v>
      </c>
      <c r="L8450" s="17">
        <v>10</v>
      </c>
      <c r="M8450" s="17">
        <v>500</v>
      </c>
      <c r="N8450" s="17">
        <v>10</v>
      </c>
      <c r="O8450" s="18">
        <v>78.69</v>
      </c>
      <c r="P8450" s="18">
        <v>64.5</v>
      </c>
      <c r="Q8450" s="18">
        <v>66.89</v>
      </c>
      <c r="R8450" s="18">
        <v>54.83</v>
      </c>
      <c r="S8450" s="18">
        <v>53.51</v>
      </c>
      <c r="T8450" s="18">
        <v>43.86</v>
      </c>
      <c r="U8450" s="16"/>
      <c r="V8450" s="16"/>
      <c r="W8450" s="16" t="s">
        <v>40</v>
      </c>
      <c r="X8450" s="19">
        <v>1.6E-2</v>
      </c>
      <c r="Y8450" s="20">
        <v>1.27E-4</v>
      </c>
      <c r="Z8450" s="21">
        <v>4601004031913</v>
      </c>
    </row>
    <row r="8451" spans="1:26" ht="12" customHeight="1" outlineLevel="4" x14ac:dyDescent="0.2">
      <c r="A8451" s="14" t="s">
        <v>16136</v>
      </c>
      <c r="B8451" s="26" t="s">
        <v>16137</v>
      </c>
      <c r="C8451" s="52"/>
      <c r="D8451" s="55">
        <f t="shared" si="131"/>
        <v>0</v>
      </c>
      <c r="E8451" s="63" t="str">
        <f>HYPERLINK("https://www.sds-group.ru/product/nabor-avtomobilnyh-predohraniteley-mini-v-plastikovoy-korobke-100-sht-rexant-80-7023/", "Инфо")</f>
        <v>Инфо</v>
      </c>
      <c r="F8451" s="16" t="s">
        <v>4698</v>
      </c>
      <c r="G8451" s="15"/>
      <c r="H8451" s="15"/>
      <c r="I8451" s="15"/>
      <c r="J8451" s="17">
        <v>88</v>
      </c>
      <c r="K8451" s="15" t="s">
        <v>6434</v>
      </c>
      <c r="L8451" s="17">
        <v>1</v>
      </c>
      <c r="M8451" s="17">
        <v>100</v>
      </c>
      <c r="N8451" s="17">
        <v>1</v>
      </c>
      <c r="O8451" s="18">
        <v>592.91</v>
      </c>
      <c r="P8451" s="18">
        <v>485.99</v>
      </c>
      <c r="Q8451" s="18">
        <v>474.33</v>
      </c>
      <c r="R8451" s="18">
        <v>388.8</v>
      </c>
      <c r="S8451" s="18">
        <v>403.18</v>
      </c>
      <c r="T8451" s="18">
        <v>330.48</v>
      </c>
      <c r="U8451" s="16"/>
      <c r="V8451" s="16"/>
      <c r="W8451" s="16" t="s">
        <v>40</v>
      </c>
      <c r="X8451" s="19">
        <v>0.187</v>
      </c>
      <c r="Y8451" s="20">
        <v>6.8000000000000005E-4</v>
      </c>
      <c r="Z8451" s="21">
        <v>4601004031906</v>
      </c>
    </row>
    <row r="8452" spans="1:26" ht="12" customHeight="1" outlineLevel="4" x14ac:dyDescent="0.2">
      <c r="A8452" s="14" t="s">
        <v>16138</v>
      </c>
      <c r="B8452" s="26" t="s">
        <v>16139</v>
      </c>
      <c r="C8452" s="52"/>
      <c r="D8452" s="55">
        <f t="shared" si="131"/>
        <v>0</v>
      </c>
      <c r="E8452" s="63" t="str">
        <f>HYPERLINK("https://www.sds-group.ru/product/nabor-avtomobilnyh-predohraniteley-standart-v-blistere-rexant-80-7022/", "Инфо")</f>
        <v>Инфо</v>
      </c>
      <c r="F8452" s="16" t="s">
        <v>4698</v>
      </c>
      <c r="G8452" s="15"/>
      <c r="H8452" s="15"/>
      <c r="I8452" s="15"/>
      <c r="J8452" s="22">
        <v>5553</v>
      </c>
      <c r="K8452" s="15" t="s">
        <v>1277</v>
      </c>
      <c r="L8452" s="17">
        <v>10</v>
      </c>
      <c r="M8452" s="17">
        <v>500</v>
      </c>
      <c r="N8452" s="17">
        <v>10</v>
      </c>
      <c r="O8452" s="18">
        <v>77.61</v>
      </c>
      <c r="P8452" s="18">
        <v>63.61</v>
      </c>
      <c r="Q8452" s="18">
        <v>65.97</v>
      </c>
      <c r="R8452" s="18">
        <v>54.07</v>
      </c>
      <c r="S8452" s="18">
        <v>52.77</v>
      </c>
      <c r="T8452" s="18">
        <v>43.25</v>
      </c>
      <c r="U8452" s="16"/>
      <c r="V8452" s="16"/>
      <c r="W8452" s="16" t="s">
        <v>40</v>
      </c>
      <c r="X8452" s="19">
        <v>2.5000000000000001E-2</v>
      </c>
      <c r="Y8452" s="20">
        <v>2.2100000000000001E-4</v>
      </c>
      <c r="Z8452" s="21">
        <v>4601004031890</v>
      </c>
    </row>
    <row r="8453" spans="1:26" ht="12" customHeight="1" outlineLevel="4" x14ac:dyDescent="0.2">
      <c r="A8453" s="14" t="s">
        <v>16140</v>
      </c>
      <c r="B8453" s="26" t="s">
        <v>16141</v>
      </c>
      <c r="C8453" s="52"/>
      <c r="D8453" s="55">
        <f t="shared" si="131"/>
        <v>0</v>
      </c>
      <c r="E8453" s="63" t="str">
        <f>HYPERLINK("https://www.sds-group.ru/product/nabor-avtomobilnyh-predohraniteley-standart-v-plastikovoy-korobke-100-sht-rexant-80-7024/", "Инфо")</f>
        <v>Инфо</v>
      </c>
      <c r="F8453" s="16" t="s">
        <v>4698</v>
      </c>
      <c r="G8453" s="15"/>
      <c r="H8453" s="15"/>
      <c r="I8453" s="15"/>
      <c r="J8453" s="16" t="s">
        <v>100</v>
      </c>
      <c r="K8453" s="15" t="s">
        <v>1277</v>
      </c>
      <c r="L8453" s="17">
        <v>1</v>
      </c>
      <c r="M8453" s="17">
        <v>100</v>
      </c>
      <c r="N8453" s="17">
        <v>1</v>
      </c>
      <c r="O8453" s="18">
        <v>625.25</v>
      </c>
      <c r="P8453" s="18">
        <v>512.5</v>
      </c>
      <c r="Q8453" s="18">
        <v>437.68</v>
      </c>
      <c r="R8453" s="18">
        <v>358.75</v>
      </c>
      <c r="S8453" s="18">
        <v>425.17</v>
      </c>
      <c r="T8453" s="18">
        <v>348.5</v>
      </c>
      <c r="U8453" s="16"/>
      <c r="V8453" s="16"/>
      <c r="W8453" s="16"/>
      <c r="X8453" s="19">
        <v>0.24199999999999999</v>
      </c>
      <c r="Y8453" s="20">
        <v>6.8400000000000004E-4</v>
      </c>
      <c r="Z8453" s="21">
        <v>4601004031920</v>
      </c>
    </row>
    <row r="8454" spans="1:26" ht="12" customHeight="1" outlineLevel="4" x14ac:dyDescent="0.2">
      <c r="A8454" s="32" t="s">
        <v>16142</v>
      </c>
      <c r="B8454" s="74" t="s">
        <v>16143</v>
      </c>
      <c r="C8454" s="50"/>
      <c r="D8454" s="53">
        <f t="shared" si="131"/>
        <v>0</v>
      </c>
      <c r="E8454" s="60" t="str">
        <f>HYPERLINK("https://www.sds-group.ru/product/nabor-plavkih-predohraniteley-tipa-agu-40a-rexant-80-7132/", "Инфо")</f>
        <v>Инфо</v>
      </c>
      <c r="F8454" s="34" t="s">
        <v>4698</v>
      </c>
      <c r="G8454" s="33"/>
      <c r="H8454" s="33" t="s">
        <v>40</v>
      </c>
      <c r="I8454" s="33"/>
      <c r="J8454" s="35">
        <v>603</v>
      </c>
      <c r="K8454" s="33"/>
      <c r="L8454" s="35">
        <v>1</v>
      </c>
      <c r="M8454" s="39">
        <v>5000</v>
      </c>
      <c r="N8454" s="35">
        <v>1</v>
      </c>
      <c r="O8454" s="36">
        <v>196.1</v>
      </c>
      <c r="P8454" s="36">
        <v>160.74</v>
      </c>
      <c r="Q8454" s="36">
        <v>137.27000000000001</v>
      </c>
      <c r="R8454" s="36">
        <v>112.52</v>
      </c>
      <c r="S8454" s="36">
        <v>133.35</v>
      </c>
      <c r="T8454" s="36">
        <v>109.3</v>
      </c>
      <c r="U8454" s="34"/>
      <c r="V8454" s="34"/>
      <c r="W8454" s="34"/>
      <c r="X8454" s="37">
        <v>3.4000000000000002E-2</v>
      </c>
      <c r="Y8454" s="38">
        <v>6.9999999999999994E-5</v>
      </c>
      <c r="Z8454" s="21">
        <v>4601004097896</v>
      </c>
    </row>
    <row r="8455" spans="1:26" ht="12" customHeight="1" outlineLevel="4" x14ac:dyDescent="0.2">
      <c r="A8455" s="32" t="s">
        <v>16144</v>
      </c>
      <c r="B8455" s="74" t="s">
        <v>16145</v>
      </c>
      <c r="C8455" s="50"/>
      <c r="D8455" s="53">
        <f t="shared" si="131"/>
        <v>0</v>
      </c>
      <c r="E8455" s="60" t="str">
        <f>HYPERLINK("https://www.sds-group.ru/product/nabor-plavkih-predohraniteley-tipa-agu-80a-rexant-80-7135/", "Инфо")</f>
        <v>Инфо</v>
      </c>
      <c r="F8455" s="34" t="s">
        <v>4698</v>
      </c>
      <c r="G8455" s="33"/>
      <c r="H8455" s="33" t="s">
        <v>40</v>
      </c>
      <c r="I8455" s="33"/>
      <c r="J8455" s="34" t="s">
        <v>100</v>
      </c>
      <c r="K8455" s="33"/>
      <c r="L8455" s="35">
        <v>1</v>
      </c>
      <c r="M8455" s="39">
        <v>5000</v>
      </c>
      <c r="N8455" s="35">
        <v>1</v>
      </c>
      <c r="O8455" s="36">
        <v>221</v>
      </c>
      <c r="P8455" s="36">
        <v>181.15</v>
      </c>
      <c r="Q8455" s="36">
        <v>187.85</v>
      </c>
      <c r="R8455" s="36">
        <v>153.97999999999999</v>
      </c>
      <c r="S8455" s="36">
        <v>150.28</v>
      </c>
      <c r="T8455" s="36">
        <v>123.18</v>
      </c>
      <c r="U8455" s="34"/>
      <c r="V8455" s="34"/>
      <c r="W8455" s="34" t="s">
        <v>40</v>
      </c>
      <c r="X8455" s="37">
        <v>0.04</v>
      </c>
      <c r="Y8455" s="38">
        <v>3.4999999999999997E-5</v>
      </c>
      <c r="Z8455" s="21">
        <v>4601004097810</v>
      </c>
    </row>
    <row r="8456" spans="1:26" ht="12" customHeight="1" outlineLevel="4" x14ac:dyDescent="0.2">
      <c r="A8456" s="14" t="s">
        <v>16146</v>
      </c>
      <c r="B8456" s="26" t="s">
        <v>16147</v>
      </c>
      <c r="C8456" s="52"/>
      <c r="D8456" s="55">
        <f t="shared" si="131"/>
        <v>0</v>
      </c>
      <c r="E8456" s="63" t="str">
        <f>HYPERLINK("https://www.sds-group.ru/product/predohranitel-avtomobilnyy-mini-10a-rexant-80-7110/", "Инфо")</f>
        <v>Инфо</v>
      </c>
      <c r="F8456" s="16" t="s">
        <v>39</v>
      </c>
      <c r="G8456" s="15"/>
      <c r="H8456" s="15"/>
      <c r="I8456" s="15"/>
      <c r="J8456" s="16" t="s">
        <v>100</v>
      </c>
      <c r="K8456" s="15" t="s">
        <v>1277</v>
      </c>
      <c r="L8456" s="17">
        <v>50</v>
      </c>
      <c r="M8456" s="22">
        <v>12000</v>
      </c>
      <c r="N8456" s="17">
        <v>50</v>
      </c>
      <c r="O8456" s="18">
        <v>4.2699999999999996</v>
      </c>
      <c r="P8456" s="18">
        <v>3.5</v>
      </c>
      <c r="Q8456" s="18">
        <v>3.63</v>
      </c>
      <c r="R8456" s="18">
        <v>2.98</v>
      </c>
      <c r="S8456" s="18">
        <v>2.9</v>
      </c>
      <c r="T8456" s="18">
        <v>2.38</v>
      </c>
      <c r="U8456" s="16"/>
      <c r="V8456" s="16"/>
      <c r="W8456" s="16" t="s">
        <v>40</v>
      </c>
      <c r="X8456" s="19">
        <v>1E-3</v>
      </c>
      <c r="Y8456" s="20">
        <v>1.9999999999999999E-6</v>
      </c>
      <c r="Z8456" s="21">
        <v>4601004091313</v>
      </c>
    </row>
    <row r="8457" spans="1:26" ht="12" customHeight="1" outlineLevel="4" x14ac:dyDescent="0.2">
      <c r="A8457" s="14" t="s">
        <v>16148</v>
      </c>
      <c r="B8457" s="26" t="s">
        <v>16149</v>
      </c>
      <c r="C8457" s="52"/>
      <c r="D8457" s="55">
        <f t="shared" ref="D8457:D8520" si="132">C8457*(O8457-O8457*$G$3)</f>
        <v>0</v>
      </c>
      <c r="E8457" s="63" t="str">
        <f>HYPERLINK("https://www.sds-group.ru/product/predohranitel-avtomobilnyy-mini-15a-rexant-80-7111/", "Инфо")</f>
        <v>Инфо</v>
      </c>
      <c r="F8457" s="16" t="s">
        <v>39</v>
      </c>
      <c r="G8457" s="15"/>
      <c r="H8457" s="15"/>
      <c r="I8457" s="15"/>
      <c r="J8457" s="22">
        <v>8400</v>
      </c>
      <c r="K8457" s="15" t="s">
        <v>1277</v>
      </c>
      <c r="L8457" s="17">
        <v>50</v>
      </c>
      <c r="M8457" s="22">
        <v>10000</v>
      </c>
      <c r="N8457" s="17">
        <v>50</v>
      </c>
      <c r="O8457" s="18">
        <v>4.2699999999999996</v>
      </c>
      <c r="P8457" s="18">
        <v>3.5</v>
      </c>
      <c r="Q8457" s="18">
        <v>3.63</v>
      </c>
      <c r="R8457" s="18">
        <v>2.98</v>
      </c>
      <c r="S8457" s="18">
        <v>2.9</v>
      </c>
      <c r="T8457" s="18">
        <v>2.38</v>
      </c>
      <c r="U8457" s="16"/>
      <c r="V8457" s="16"/>
      <c r="W8457" s="16" t="s">
        <v>40</v>
      </c>
      <c r="X8457" s="19">
        <v>1E-3</v>
      </c>
      <c r="Y8457" s="20">
        <v>9.9999999999999995E-7</v>
      </c>
      <c r="Z8457" s="21">
        <v>4601004091221</v>
      </c>
    </row>
    <row r="8458" spans="1:26" ht="12" customHeight="1" outlineLevel="4" x14ac:dyDescent="0.2">
      <c r="A8458" s="14" t="s">
        <v>16150</v>
      </c>
      <c r="B8458" s="26" t="s">
        <v>16151</v>
      </c>
      <c r="C8458" s="52"/>
      <c r="D8458" s="55">
        <f t="shared" si="132"/>
        <v>0</v>
      </c>
      <c r="E8458" s="63" t="str">
        <f>HYPERLINK("https://www.sds-group.ru/product/predohranitel-avtomobilnyy-mini-20a-rexant-80-7112/", "Инфо")</f>
        <v>Инфо</v>
      </c>
      <c r="F8458" s="16" t="s">
        <v>39</v>
      </c>
      <c r="G8458" s="15"/>
      <c r="H8458" s="15"/>
      <c r="I8458" s="15"/>
      <c r="J8458" s="22">
        <v>14700</v>
      </c>
      <c r="K8458" s="15" t="s">
        <v>16152</v>
      </c>
      <c r="L8458" s="17">
        <v>50</v>
      </c>
      <c r="M8458" s="22">
        <v>10000</v>
      </c>
      <c r="N8458" s="17">
        <v>50</v>
      </c>
      <c r="O8458" s="18">
        <v>4.2699999999999996</v>
      </c>
      <c r="P8458" s="18">
        <v>3.5</v>
      </c>
      <c r="Q8458" s="18">
        <v>3.63</v>
      </c>
      <c r="R8458" s="18">
        <v>2.98</v>
      </c>
      <c r="S8458" s="18">
        <v>2.9</v>
      </c>
      <c r="T8458" s="18">
        <v>2.38</v>
      </c>
      <c r="U8458" s="16"/>
      <c r="V8458" s="16"/>
      <c r="W8458" s="16" t="s">
        <v>40</v>
      </c>
      <c r="X8458" s="19">
        <v>1E-3</v>
      </c>
      <c r="Y8458" s="20">
        <v>1.9999999999999999E-6</v>
      </c>
      <c r="Z8458" s="21">
        <v>4601004091238</v>
      </c>
    </row>
    <row r="8459" spans="1:26" ht="12" customHeight="1" outlineLevel="4" x14ac:dyDescent="0.2">
      <c r="A8459" s="32" t="s">
        <v>16153</v>
      </c>
      <c r="B8459" s="74" t="s">
        <v>16154</v>
      </c>
      <c r="C8459" s="50"/>
      <c r="D8459" s="53">
        <f t="shared" si="132"/>
        <v>0</v>
      </c>
      <c r="E8459" s="60" t="str">
        <f>HYPERLINK("https://www.sds-group.ru/product/predohranitel-avtomobilnyy-mini-25a-rexant-80-7113/", "Инфо")</f>
        <v>Инфо</v>
      </c>
      <c r="F8459" s="34" t="s">
        <v>39</v>
      </c>
      <c r="G8459" s="33"/>
      <c r="H8459" s="33" t="s">
        <v>40</v>
      </c>
      <c r="I8459" s="33"/>
      <c r="J8459" s="39">
        <v>27950</v>
      </c>
      <c r="K8459" s="33"/>
      <c r="L8459" s="35">
        <v>50</v>
      </c>
      <c r="M8459" s="39">
        <v>10000</v>
      </c>
      <c r="N8459" s="35">
        <v>50</v>
      </c>
      <c r="O8459" s="36">
        <v>2.15</v>
      </c>
      <c r="P8459" s="36">
        <v>1.76</v>
      </c>
      <c r="Q8459" s="36">
        <v>1.51</v>
      </c>
      <c r="R8459" s="36">
        <v>1.24</v>
      </c>
      <c r="S8459" s="36">
        <v>1.46</v>
      </c>
      <c r="T8459" s="36">
        <v>1.2</v>
      </c>
      <c r="U8459" s="34"/>
      <c r="V8459" s="34"/>
      <c r="W8459" s="34"/>
      <c r="X8459" s="37">
        <v>1E-3</v>
      </c>
      <c r="Y8459" s="38">
        <v>9.9999999999999995E-7</v>
      </c>
      <c r="Z8459" s="21">
        <v>4601004091245</v>
      </c>
    </row>
    <row r="8460" spans="1:26" ht="12" customHeight="1" outlineLevel="4" x14ac:dyDescent="0.2">
      <c r="A8460" s="14" t="s">
        <v>16155</v>
      </c>
      <c r="B8460" s="26" t="s">
        <v>16156</v>
      </c>
      <c r="C8460" s="52"/>
      <c r="D8460" s="55">
        <f t="shared" si="132"/>
        <v>0</v>
      </c>
      <c r="E8460" s="63" t="str">
        <f>HYPERLINK("https://www.sds-group.ru/product/predohranitel-avtomobilnyy-standart-10a-rexant-80-7100/", "Инфо")</f>
        <v>Инфо</v>
      </c>
      <c r="F8460" s="16" t="s">
        <v>39</v>
      </c>
      <c r="G8460" s="15"/>
      <c r="H8460" s="15"/>
      <c r="I8460" s="15"/>
      <c r="J8460" s="22">
        <v>39400</v>
      </c>
      <c r="K8460" s="15" t="s">
        <v>1277</v>
      </c>
      <c r="L8460" s="17">
        <v>50</v>
      </c>
      <c r="M8460" s="22">
        <v>10000</v>
      </c>
      <c r="N8460" s="17">
        <v>50</v>
      </c>
      <c r="O8460" s="18">
        <v>4.6500000000000004</v>
      </c>
      <c r="P8460" s="18">
        <v>3.81</v>
      </c>
      <c r="Q8460" s="18">
        <v>3.95</v>
      </c>
      <c r="R8460" s="18">
        <v>3.24</v>
      </c>
      <c r="S8460" s="18">
        <v>3.16</v>
      </c>
      <c r="T8460" s="18">
        <v>2.59</v>
      </c>
      <c r="U8460" s="16"/>
      <c r="V8460" s="16"/>
      <c r="W8460" s="16" t="s">
        <v>40</v>
      </c>
      <c r="X8460" s="19">
        <v>1E-3</v>
      </c>
      <c r="Y8460" s="20">
        <v>1.9999999999999999E-6</v>
      </c>
      <c r="Z8460" s="21">
        <v>4601004091269</v>
      </c>
    </row>
    <row r="8461" spans="1:26" ht="12" customHeight="1" outlineLevel="4" x14ac:dyDescent="0.2">
      <c r="A8461" s="14" t="s">
        <v>16157</v>
      </c>
      <c r="B8461" s="26" t="s">
        <v>16158</v>
      </c>
      <c r="C8461" s="52"/>
      <c r="D8461" s="55">
        <f t="shared" si="132"/>
        <v>0</v>
      </c>
      <c r="E8461" s="63" t="str">
        <f>HYPERLINK("https://www.sds-group.ru/product/predohranitel-avtomobilnyy-standart-15a-rexant-80-7101/", "Инфо")</f>
        <v>Инфо</v>
      </c>
      <c r="F8461" s="16" t="s">
        <v>39</v>
      </c>
      <c r="G8461" s="15"/>
      <c r="H8461" s="15"/>
      <c r="I8461" s="15"/>
      <c r="J8461" s="22">
        <v>68888</v>
      </c>
      <c r="K8461" s="15" t="s">
        <v>1277</v>
      </c>
      <c r="L8461" s="17">
        <v>50</v>
      </c>
      <c r="M8461" s="22">
        <v>10000</v>
      </c>
      <c r="N8461" s="17">
        <v>50</v>
      </c>
      <c r="O8461" s="18">
        <v>4.6500000000000004</v>
      </c>
      <c r="P8461" s="18">
        <v>3.81</v>
      </c>
      <c r="Q8461" s="18">
        <v>3.95</v>
      </c>
      <c r="R8461" s="18">
        <v>3.24</v>
      </c>
      <c r="S8461" s="18">
        <v>3.16</v>
      </c>
      <c r="T8461" s="18">
        <v>2.59</v>
      </c>
      <c r="U8461" s="16"/>
      <c r="V8461" s="16"/>
      <c r="W8461" s="16" t="s">
        <v>40</v>
      </c>
      <c r="X8461" s="19">
        <v>1E-3</v>
      </c>
      <c r="Y8461" s="20">
        <v>1.9999999999999999E-6</v>
      </c>
      <c r="Z8461" s="21">
        <v>4601004091276</v>
      </c>
    </row>
    <row r="8462" spans="1:26" ht="12" customHeight="1" outlineLevel="4" x14ac:dyDescent="0.2">
      <c r="A8462" s="14" t="s">
        <v>16159</v>
      </c>
      <c r="B8462" s="26" t="s">
        <v>16160</v>
      </c>
      <c r="C8462" s="52"/>
      <c r="D8462" s="55">
        <f t="shared" si="132"/>
        <v>0</v>
      </c>
      <c r="E8462" s="63" t="str">
        <f>HYPERLINK("https://www.sds-group.ru/product/predohranitel-avtomobilnyy-standart-20a-rexant-80-7102/", "Инфо")</f>
        <v>Инфо</v>
      </c>
      <c r="F8462" s="16" t="s">
        <v>39</v>
      </c>
      <c r="G8462" s="15"/>
      <c r="H8462" s="15"/>
      <c r="I8462" s="15"/>
      <c r="J8462" s="22">
        <v>40450</v>
      </c>
      <c r="K8462" s="15" t="s">
        <v>1277</v>
      </c>
      <c r="L8462" s="17">
        <v>50</v>
      </c>
      <c r="M8462" s="22">
        <v>10000</v>
      </c>
      <c r="N8462" s="17">
        <v>50</v>
      </c>
      <c r="O8462" s="18">
        <v>4.6500000000000004</v>
      </c>
      <c r="P8462" s="18">
        <v>3.81</v>
      </c>
      <c r="Q8462" s="18">
        <v>3.95</v>
      </c>
      <c r="R8462" s="18">
        <v>3.24</v>
      </c>
      <c r="S8462" s="18">
        <v>3.16</v>
      </c>
      <c r="T8462" s="18">
        <v>2.59</v>
      </c>
      <c r="U8462" s="16"/>
      <c r="V8462" s="16"/>
      <c r="W8462" s="16" t="s">
        <v>40</v>
      </c>
      <c r="X8462" s="19">
        <v>1E-3</v>
      </c>
      <c r="Y8462" s="20">
        <v>1.9999999999999999E-6</v>
      </c>
      <c r="Z8462" s="21">
        <v>4601004091283</v>
      </c>
    </row>
    <row r="8463" spans="1:26" ht="12" customHeight="1" outlineLevel="4" x14ac:dyDescent="0.2">
      <c r="A8463" s="14" t="s">
        <v>16161</v>
      </c>
      <c r="B8463" s="26" t="s">
        <v>16162</v>
      </c>
      <c r="C8463" s="52"/>
      <c r="D8463" s="55">
        <f t="shared" si="132"/>
        <v>0</v>
      </c>
      <c r="E8463" s="63" t="str">
        <f>HYPERLINK("https://www.sds-group.ru/product/predohranitel-avtomobilnyy-standart-25a-rexant-80-7103/", "Инфо")</f>
        <v>Инфо</v>
      </c>
      <c r="F8463" s="16" t="s">
        <v>39</v>
      </c>
      <c r="G8463" s="15"/>
      <c r="H8463" s="15"/>
      <c r="I8463" s="15"/>
      <c r="J8463" s="22">
        <v>8650</v>
      </c>
      <c r="K8463" s="15" t="s">
        <v>16163</v>
      </c>
      <c r="L8463" s="17">
        <v>50</v>
      </c>
      <c r="M8463" s="22">
        <v>10000</v>
      </c>
      <c r="N8463" s="17">
        <v>50</v>
      </c>
      <c r="O8463" s="18">
        <v>4.6500000000000004</v>
      </c>
      <c r="P8463" s="18">
        <v>3.81</v>
      </c>
      <c r="Q8463" s="18">
        <v>3.95</v>
      </c>
      <c r="R8463" s="18">
        <v>3.24</v>
      </c>
      <c r="S8463" s="18">
        <v>3.16</v>
      </c>
      <c r="T8463" s="18">
        <v>2.59</v>
      </c>
      <c r="U8463" s="16"/>
      <c r="V8463" s="16"/>
      <c r="W8463" s="16" t="s">
        <v>40</v>
      </c>
      <c r="X8463" s="19">
        <v>1E-3</v>
      </c>
      <c r="Y8463" s="20">
        <v>1.9999999999999999E-6</v>
      </c>
      <c r="Z8463" s="21">
        <v>4601004091290</v>
      </c>
    </row>
    <row r="8464" spans="1:26" ht="12" customHeight="1" outlineLevel="4" x14ac:dyDescent="0.2">
      <c r="A8464" s="14" t="s">
        <v>16164</v>
      </c>
      <c r="B8464" s="26" t="s">
        <v>16165</v>
      </c>
      <c r="C8464" s="52"/>
      <c r="D8464" s="55">
        <f t="shared" si="132"/>
        <v>0</v>
      </c>
      <c r="E8464" s="63" t="str">
        <f>HYPERLINK("https://www.sds-group.ru/product/predohranitel-avtomobilnyy-standart-30a-rexant-80-7104/", "Инфо")</f>
        <v>Инфо</v>
      </c>
      <c r="F8464" s="16" t="s">
        <v>39</v>
      </c>
      <c r="G8464" s="15"/>
      <c r="H8464" s="15"/>
      <c r="I8464" s="15"/>
      <c r="J8464" s="16" t="s">
        <v>100</v>
      </c>
      <c r="K8464" s="15" t="s">
        <v>1277</v>
      </c>
      <c r="L8464" s="17">
        <v>50</v>
      </c>
      <c r="M8464" s="22">
        <v>10000</v>
      </c>
      <c r="N8464" s="17">
        <v>50</v>
      </c>
      <c r="O8464" s="18">
        <v>4.6500000000000004</v>
      </c>
      <c r="P8464" s="18">
        <v>3.81</v>
      </c>
      <c r="Q8464" s="18">
        <v>3.95</v>
      </c>
      <c r="R8464" s="18">
        <v>3.24</v>
      </c>
      <c r="S8464" s="18">
        <v>3.16</v>
      </c>
      <c r="T8464" s="18">
        <v>2.59</v>
      </c>
      <c r="U8464" s="16"/>
      <c r="V8464" s="16"/>
      <c r="W8464" s="16" t="s">
        <v>40</v>
      </c>
      <c r="X8464" s="19">
        <v>1E-3</v>
      </c>
      <c r="Y8464" s="20">
        <v>1.9999999999999999E-6</v>
      </c>
      <c r="Z8464" s="21">
        <v>4601004091306</v>
      </c>
    </row>
    <row r="8465" spans="1:26" ht="12.95" customHeight="1" outlineLevel="3" x14ac:dyDescent="0.2">
      <c r="A8465" s="76" t="s">
        <v>16166</v>
      </c>
      <c r="B8465" s="76"/>
      <c r="C8465" s="77"/>
      <c r="D8465" s="58"/>
      <c r="E8465" s="68"/>
      <c r="F8465" s="13"/>
      <c r="G8465" s="13"/>
      <c r="H8465" s="13"/>
      <c r="I8465" s="13"/>
      <c r="J8465" s="13"/>
      <c r="K8465" s="13"/>
      <c r="L8465" s="13"/>
      <c r="M8465" s="13"/>
      <c r="N8465" s="13"/>
      <c r="O8465" s="13"/>
      <c r="P8465" s="13"/>
      <c r="Q8465" s="13"/>
      <c r="R8465" s="13"/>
      <c r="S8465" s="13"/>
      <c r="T8465" s="13"/>
      <c r="U8465" s="13"/>
      <c r="V8465" s="13"/>
      <c r="W8465" s="13"/>
      <c r="X8465" s="13"/>
      <c r="Y8465" s="13"/>
      <c r="Z8465" s="13"/>
    </row>
    <row r="8466" spans="1:26" ht="12" customHeight="1" outlineLevel="4" x14ac:dyDescent="0.2">
      <c r="A8466" s="14" t="s">
        <v>16167</v>
      </c>
      <c r="B8466" s="26" t="s">
        <v>16168</v>
      </c>
      <c r="C8466" s="52"/>
      <c r="D8466" s="55">
        <f t="shared" si="132"/>
        <v>0</v>
      </c>
      <c r="E8466" s="63" t="str">
        <f>HYPERLINK("https://www.sds-group.ru/product/zazhim-krokodil-5a-40mm-v-izolyatore-rexant-16-0001/", "Инфо")</f>
        <v>Инфо</v>
      </c>
      <c r="F8466" s="16" t="s">
        <v>39</v>
      </c>
      <c r="G8466" s="15"/>
      <c r="H8466" s="15"/>
      <c r="I8466" s="15"/>
      <c r="J8466" s="22">
        <v>24400</v>
      </c>
      <c r="K8466" s="15" t="s">
        <v>1004</v>
      </c>
      <c r="L8466" s="17">
        <v>200</v>
      </c>
      <c r="M8466" s="22">
        <v>5000</v>
      </c>
      <c r="N8466" s="17">
        <v>200</v>
      </c>
      <c r="O8466" s="18">
        <v>5.38</v>
      </c>
      <c r="P8466" s="18">
        <v>4.41</v>
      </c>
      <c r="Q8466" s="18">
        <v>4.57</v>
      </c>
      <c r="R8466" s="18">
        <v>3.75</v>
      </c>
      <c r="S8466" s="18">
        <v>3.66</v>
      </c>
      <c r="T8466" s="18">
        <v>3</v>
      </c>
      <c r="U8466" s="16"/>
      <c r="V8466" s="16"/>
      <c r="W8466" s="16" t="s">
        <v>40</v>
      </c>
      <c r="X8466" s="19">
        <v>2E-3</v>
      </c>
      <c r="Y8466" s="20">
        <v>3.9999999999999998E-6</v>
      </c>
      <c r="Z8466" s="21">
        <v>4660008011864</v>
      </c>
    </row>
    <row r="8467" spans="1:26" ht="12" customHeight="1" outlineLevel="4" x14ac:dyDescent="0.2">
      <c r="A8467" s="14" t="s">
        <v>16169</v>
      </c>
      <c r="B8467" s="26" t="s">
        <v>16170</v>
      </c>
      <c r="C8467" s="52"/>
      <c r="D8467" s="55">
        <f t="shared" si="132"/>
        <v>0</v>
      </c>
      <c r="E8467" s="63" t="str">
        <f>HYPERLINK("https://www.sds-group.ru/product/zazhim-krokodil-5a-46mm-v-izolyatore-rexant-16-0002/", "Инфо")</f>
        <v>Инфо</v>
      </c>
      <c r="F8467" s="16" t="s">
        <v>39</v>
      </c>
      <c r="G8467" s="15"/>
      <c r="H8467" s="15"/>
      <c r="I8467" s="15"/>
      <c r="J8467" s="22">
        <v>17000</v>
      </c>
      <c r="K8467" s="15"/>
      <c r="L8467" s="17">
        <v>200</v>
      </c>
      <c r="M8467" s="22">
        <v>5000</v>
      </c>
      <c r="N8467" s="17">
        <v>200</v>
      </c>
      <c r="O8467" s="18">
        <v>5.71</v>
      </c>
      <c r="P8467" s="18">
        <v>4.68</v>
      </c>
      <c r="Q8467" s="18">
        <v>4.8499999999999996</v>
      </c>
      <c r="R8467" s="18">
        <v>3.98</v>
      </c>
      <c r="S8467" s="18">
        <v>3.88</v>
      </c>
      <c r="T8467" s="18">
        <v>3.18</v>
      </c>
      <c r="U8467" s="16"/>
      <c r="V8467" s="16"/>
      <c r="W8467" s="16" t="s">
        <v>40</v>
      </c>
      <c r="X8467" s="19">
        <v>2E-3</v>
      </c>
      <c r="Y8467" s="20">
        <v>5.0000000000000004E-6</v>
      </c>
      <c r="Z8467" s="21">
        <v>4601004053366</v>
      </c>
    </row>
    <row r="8468" spans="1:26" ht="12" customHeight="1" outlineLevel="4" x14ac:dyDescent="0.2">
      <c r="A8468" s="14" t="s">
        <v>16171</v>
      </c>
      <c r="B8468" s="26" t="s">
        <v>16172</v>
      </c>
      <c r="C8468" s="52"/>
      <c r="D8468" s="55">
        <f t="shared" si="132"/>
        <v>0</v>
      </c>
      <c r="E8468" s="63" t="str">
        <f>HYPERLINK("https://www.sds-group.ru/product/zazhim-krokodil-5a-56mm-v-izolyatore-rexant-16-0003/", "Инфо")</f>
        <v>Инфо</v>
      </c>
      <c r="F8468" s="16" t="s">
        <v>39</v>
      </c>
      <c r="G8468" s="15"/>
      <c r="H8468" s="15"/>
      <c r="I8468" s="15"/>
      <c r="J8468" s="22">
        <v>20580</v>
      </c>
      <c r="K8468" s="15"/>
      <c r="L8468" s="17">
        <v>200</v>
      </c>
      <c r="M8468" s="22">
        <v>5000</v>
      </c>
      <c r="N8468" s="17">
        <v>200</v>
      </c>
      <c r="O8468" s="18">
        <v>8.19</v>
      </c>
      <c r="P8468" s="18">
        <v>6.71</v>
      </c>
      <c r="Q8468" s="18">
        <v>6.96</v>
      </c>
      <c r="R8468" s="18">
        <v>5.7</v>
      </c>
      <c r="S8468" s="18">
        <v>5.57</v>
      </c>
      <c r="T8468" s="18">
        <v>4.57</v>
      </c>
      <c r="U8468" s="16"/>
      <c r="V8468" s="16"/>
      <c r="W8468" s="16" t="s">
        <v>40</v>
      </c>
      <c r="X8468" s="19">
        <v>3.0000000000000001E-3</v>
      </c>
      <c r="Y8468" s="20">
        <v>7.9999999999999996E-6</v>
      </c>
      <c r="Z8468" s="21">
        <v>4660008011857</v>
      </c>
    </row>
    <row r="8469" spans="1:26" ht="12" customHeight="1" outlineLevel="4" x14ac:dyDescent="0.2">
      <c r="A8469" s="14" t="s">
        <v>16173</v>
      </c>
      <c r="B8469" s="26" t="s">
        <v>16174</v>
      </c>
      <c r="C8469" s="52"/>
      <c r="D8469" s="55">
        <f t="shared" si="132"/>
        <v>0</v>
      </c>
      <c r="E8469" s="63" t="str">
        <f>HYPERLINK("https://www.sds-group.ru/product/zazhim-krokodil-5a-52mm-rexant-16-0004/", "Инфо")</f>
        <v>Инфо</v>
      </c>
      <c r="F8469" s="16" t="s">
        <v>39</v>
      </c>
      <c r="G8469" s="15"/>
      <c r="H8469" s="15"/>
      <c r="I8469" s="15"/>
      <c r="J8469" s="22">
        <v>34100</v>
      </c>
      <c r="K8469" s="15" t="s">
        <v>1094</v>
      </c>
      <c r="L8469" s="17">
        <v>200</v>
      </c>
      <c r="M8469" s="22">
        <v>5000</v>
      </c>
      <c r="N8469" s="17">
        <v>200</v>
      </c>
      <c r="O8469" s="18">
        <v>7.76</v>
      </c>
      <c r="P8469" s="18">
        <v>6.36</v>
      </c>
      <c r="Q8469" s="18">
        <v>6.6</v>
      </c>
      <c r="R8469" s="18">
        <v>5.41</v>
      </c>
      <c r="S8469" s="18">
        <v>5.28</v>
      </c>
      <c r="T8469" s="18">
        <v>4.33</v>
      </c>
      <c r="U8469" s="16"/>
      <c r="V8469" s="16"/>
      <c r="W8469" s="16" t="s">
        <v>40</v>
      </c>
      <c r="X8469" s="19">
        <v>2E-3</v>
      </c>
      <c r="Y8469" s="20">
        <v>6.9999999999999999E-6</v>
      </c>
      <c r="Z8469" s="21">
        <v>4660008012977</v>
      </c>
    </row>
    <row r="8470" spans="1:26" ht="12" customHeight="1" outlineLevel="4" x14ac:dyDescent="0.2">
      <c r="A8470" s="14" t="s">
        <v>16175</v>
      </c>
      <c r="B8470" s="26" t="s">
        <v>16176</v>
      </c>
      <c r="C8470" s="52"/>
      <c r="D8470" s="55">
        <f t="shared" si="132"/>
        <v>0</v>
      </c>
      <c r="E8470" s="63" t="str">
        <f>HYPERLINK("https://www.sds-group.ru/product/zazhim-krokodil-5a-55mm-rexant-16-0006/", "Инфо")</f>
        <v>Инфо</v>
      </c>
      <c r="F8470" s="16" t="s">
        <v>39</v>
      </c>
      <c r="G8470" s="15"/>
      <c r="H8470" s="15"/>
      <c r="I8470" s="15"/>
      <c r="J8470" s="16" t="s">
        <v>100</v>
      </c>
      <c r="K8470" s="15" t="s">
        <v>1094</v>
      </c>
      <c r="L8470" s="17">
        <v>200</v>
      </c>
      <c r="M8470" s="22">
        <v>5000</v>
      </c>
      <c r="N8470" s="17">
        <v>200</v>
      </c>
      <c r="O8470" s="18">
        <v>9.92</v>
      </c>
      <c r="P8470" s="18">
        <v>8.1300000000000008</v>
      </c>
      <c r="Q8470" s="18">
        <v>8.43</v>
      </c>
      <c r="R8470" s="18">
        <v>6.91</v>
      </c>
      <c r="S8470" s="18">
        <v>6.75</v>
      </c>
      <c r="T8470" s="18">
        <v>5.53</v>
      </c>
      <c r="U8470" s="16"/>
      <c r="V8470" s="16"/>
      <c r="W8470" s="16" t="s">
        <v>40</v>
      </c>
      <c r="X8470" s="19">
        <v>4.0000000000000001E-3</v>
      </c>
      <c r="Y8470" s="20">
        <v>7.9999999999999996E-6</v>
      </c>
      <c r="Z8470" s="21">
        <v>4610003608354</v>
      </c>
    </row>
    <row r="8471" spans="1:26" ht="12" customHeight="1" outlineLevel="4" x14ac:dyDescent="0.2">
      <c r="A8471" s="14" t="s">
        <v>16177</v>
      </c>
      <c r="B8471" s="26" t="s">
        <v>16178</v>
      </c>
      <c r="C8471" s="52"/>
      <c r="D8471" s="55">
        <f t="shared" si="132"/>
        <v>0</v>
      </c>
      <c r="E8471" s="63" t="str">
        <f>HYPERLINK("https://www.sds-group.ru/product/zazhim-krokodil-15a-53mm-rexant-16-0009/", "Инфо")</f>
        <v>Инфо</v>
      </c>
      <c r="F8471" s="16" t="s">
        <v>39</v>
      </c>
      <c r="G8471" s="15"/>
      <c r="H8471" s="15"/>
      <c r="I8471" s="15"/>
      <c r="J8471" s="22">
        <v>24298</v>
      </c>
      <c r="K8471" s="15" t="s">
        <v>1094</v>
      </c>
      <c r="L8471" s="17">
        <v>200</v>
      </c>
      <c r="M8471" s="22">
        <v>5000</v>
      </c>
      <c r="N8471" s="17">
        <v>200</v>
      </c>
      <c r="O8471" s="18">
        <v>9.16</v>
      </c>
      <c r="P8471" s="18">
        <v>7.51</v>
      </c>
      <c r="Q8471" s="18">
        <v>7.79</v>
      </c>
      <c r="R8471" s="18">
        <v>6.39</v>
      </c>
      <c r="S8471" s="18">
        <v>6.23</v>
      </c>
      <c r="T8471" s="18">
        <v>5.1100000000000003</v>
      </c>
      <c r="U8471" s="16"/>
      <c r="V8471" s="16"/>
      <c r="W8471" s="16" t="s">
        <v>40</v>
      </c>
      <c r="X8471" s="19">
        <v>3.0000000000000001E-3</v>
      </c>
      <c r="Y8471" s="20">
        <v>6.0000000000000002E-6</v>
      </c>
      <c r="Z8471" s="21">
        <v>4601004053373</v>
      </c>
    </row>
    <row r="8472" spans="1:26" ht="12" customHeight="1" outlineLevel="4" x14ac:dyDescent="0.2">
      <c r="A8472" s="14" t="s">
        <v>16179</v>
      </c>
      <c r="B8472" s="26" t="s">
        <v>16180</v>
      </c>
      <c r="C8472" s="52"/>
      <c r="D8472" s="55">
        <f t="shared" si="132"/>
        <v>0</v>
      </c>
      <c r="E8472" s="63" t="str">
        <f>HYPERLINK("https://www.sds-group.ru/product/zazhim-krokodil-10a-50mm-rexant-16-0012/", "Инфо")</f>
        <v>Инфо</v>
      </c>
      <c r="F8472" s="16" t="s">
        <v>39</v>
      </c>
      <c r="G8472" s="15"/>
      <c r="H8472" s="15"/>
      <c r="I8472" s="15"/>
      <c r="J8472" s="16" t="s">
        <v>100</v>
      </c>
      <c r="K8472" s="15" t="s">
        <v>1094</v>
      </c>
      <c r="L8472" s="17">
        <v>100</v>
      </c>
      <c r="M8472" s="22">
        <v>2000</v>
      </c>
      <c r="N8472" s="17">
        <v>100</v>
      </c>
      <c r="O8472" s="18">
        <v>12.07</v>
      </c>
      <c r="P8472" s="18">
        <v>9.89</v>
      </c>
      <c r="Q8472" s="18">
        <v>10.26</v>
      </c>
      <c r="R8472" s="18">
        <v>8.41</v>
      </c>
      <c r="S8472" s="18">
        <v>8.2100000000000009</v>
      </c>
      <c r="T8472" s="18">
        <v>6.73</v>
      </c>
      <c r="U8472" s="16"/>
      <c r="V8472" s="16"/>
      <c r="W8472" s="16" t="s">
        <v>40</v>
      </c>
      <c r="X8472" s="19">
        <v>5.0000000000000001E-3</v>
      </c>
      <c r="Y8472" s="20">
        <v>1.7E-5</v>
      </c>
      <c r="Z8472" s="21">
        <v>4660008012984</v>
      </c>
    </row>
    <row r="8473" spans="1:26" ht="12" customHeight="1" outlineLevel="4" x14ac:dyDescent="0.2">
      <c r="A8473" s="14" t="s">
        <v>16181</v>
      </c>
      <c r="B8473" s="26" t="s">
        <v>16182</v>
      </c>
      <c r="C8473" s="52"/>
      <c r="D8473" s="55">
        <f t="shared" si="132"/>
        <v>0</v>
      </c>
      <c r="E8473" s="63" t="str">
        <f>HYPERLINK("https://www.sds-group.ru/product/zazhim-krokodil-15a-75mm-rexant-16-0013/", "Инфо")</f>
        <v>Инфо</v>
      </c>
      <c r="F8473" s="16" t="s">
        <v>39</v>
      </c>
      <c r="G8473" s="15"/>
      <c r="H8473" s="15"/>
      <c r="I8473" s="15"/>
      <c r="J8473" s="22">
        <v>78880</v>
      </c>
      <c r="K8473" s="15" t="s">
        <v>5329</v>
      </c>
      <c r="L8473" s="17">
        <v>100</v>
      </c>
      <c r="M8473" s="22">
        <v>2000</v>
      </c>
      <c r="N8473" s="17">
        <v>100</v>
      </c>
      <c r="O8473" s="18">
        <v>13.05</v>
      </c>
      <c r="P8473" s="18">
        <v>10.7</v>
      </c>
      <c r="Q8473" s="18">
        <v>11.09</v>
      </c>
      <c r="R8473" s="18">
        <v>9.09</v>
      </c>
      <c r="S8473" s="18">
        <v>8.8699999999999992</v>
      </c>
      <c r="T8473" s="18">
        <v>7.27</v>
      </c>
      <c r="U8473" s="16"/>
      <c r="V8473" s="16"/>
      <c r="W8473" s="16" t="s">
        <v>40</v>
      </c>
      <c r="X8473" s="19">
        <v>6.0000000000000001E-3</v>
      </c>
      <c r="Y8473" s="20">
        <v>2.3E-5</v>
      </c>
      <c r="Z8473" s="21">
        <v>4660008011840</v>
      </c>
    </row>
    <row r="8474" spans="1:26" ht="12" customHeight="1" outlineLevel="4" x14ac:dyDescent="0.2">
      <c r="A8474" s="14" t="s">
        <v>16183</v>
      </c>
      <c r="B8474" s="26" t="s">
        <v>16184</v>
      </c>
      <c r="C8474" s="52"/>
      <c r="D8474" s="55">
        <f t="shared" si="132"/>
        <v>0</v>
      </c>
      <c r="E8474" s="63" t="str">
        <f>HYPERLINK("https://www.sds-group.ru/product/zazhim-krokodil-30a-75mm-rexant-16-0015/", "Инфо")</f>
        <v>Инфо</v>
      </c>
      <c r="F8474" s="16" t="s">
        <v>39</v>
      </c>
      <c r="G8474" s="15"/>
      <c r="H8474" s="15"/>
      <c r="I8474" s="15"/>
      <c r="J8474" s="22">
        <v>71300</v>
      </c>
      <c r="K8474" s="15" t="s">
        <v>1094</v>
      </c>
      <c r="L8474" s="17">
        <v>100</v>
      </c>
      <c r="M8474" s="22">
        <v>1000</v>
      </c>
      <c r="N8474" s="17">
        <v>100</v>
      </c>
      <c r="O8474" s="18">
        <v>15.52</v>
      </c>
      <c r="P8474" s="18">
        <v>12.72</v>
      </c>
      <c r="Q8474" s="18">
        <v>13.19</v>
      </c>
      <c r="R8474" s="18">
        <v>10.81</v>
      </c>
      <c r="S8474" s="18">
        <v>10.55</v>
      </c>
      <c r="T8474" s="18">
        <v>8.65</v>
      </c>
      <c r="U8474" s="16"/>
      <c r="V8474" s="16"/>
      <c r="W8474" s="16" t="s">
        <v>40</v>
      </c>
      <c r="X8474" s="19">
        <v>8.0000000000000002E-3</v>
      </c>
      <c r="Y8474" s="20">
        <v>3.4E-5</v>
      </c>
      <c r="Z8474" s="21">
        <v>4601004360341</v>
      </c>
    </row>
    <row r="8475" spans="1:26" ht="12" customHeight="1" outlineLevel="4" x14ac:dyDescent="0.2">
      <c r="A8475" s="14" t="s">
        <v>16185</v>
      </c>
      <c r="B8475" s="26" t="s">
        <v>16186</v>
      </c>
      <c r="C8475" s="52"/>
      <c r="D8475" s="55">
        <f t="shared" si="132"/>
        <v>0</v>
      </c>
      <c r="E8475" s="63" t="str">
        <f>HYPERLINK("https://www.sds-group.ru/product/zazhim-krokodil-30a-75mm-v-izolyatore-rexant-16-0016/", "Инфо")</f>
        <v>Инфо</v>
      </c>
      <c r="F8475" s="16" t="s">
        <v>39</v>
      </c>
      <c r="G8475" s="15"/>
      <c r="H8475" s="15"/>
      <c r="I8475" s="15"/>
      <c r="J8475" s="22">
        <v>15048</v>
      </c>
      <c r="K8475" s="15" t="s">
        <v>1004</v>
      </c>
      <c r="L8475" s="17">
        <v>50</v>
      </c>
      <c r="M8475" s="22">
        <v>1000</v>
      </c>
      <c r="N8475" s="17">
        <v>50</v>
      </c>
      <c r="O8475" s="18">
        <v>33.96</v>
      </c>
      <c r="P8475" s="18">
        <v>27.84</v>
      </c>
      <c r="Q8475" s="18">
        <v>28.87</v>
      </c>
      <c r="R8475" s="18">
        <v>23.66</v>
      </c>
      <c r="S8475" s="18">
        <v>23.09</v>
      </c>
      <c r="T8475" s="18">
        <v>18.93</v>
      </c>
      <c r="U8475" s="16"/>
      <c r="V8475" s="16"/>
      <c r="W8475" s="16" t="s">
        <v>40</v>
      </c>
      <c r="X8475" s="19">
        <v>1.6E-2</v>
      </c>
      <c r="Y8475" s="20">
        <v>5.8999999999999998E-5</v>
      </c>
      <c r="Z8475" s="21">
        <v>4601004054332</v>
      </c>
    </row>
    <row r="8476" spans="1:26" ht="12" customHeight="1" outlineLevel="4" x14ac:dyDescent="0.2">
      <c r="A8476" s="14" t="s">
        <v>16187</v>
      </c>
      <c r="B8476" s="26" t="s">
        <v>16188</v>
      </c>
      <c r="C8476" s="52"/>
      <c r="D8476" s="55">
        <f t="shared" si="132"/>
        <v>0</v>
      </c>
      <c r="E8476" s="63" t="str">
        <f>HYPERLINK("https://www.sds-group.ru/product/zazhim-krokodil-50a-98mm-rexant-16-0018/", "Инфо")</f>
        <v>Инфо</v>
      </c>
      <c r="F8476" s="16" t="s">
        <v>39</v>
      </c>
      <c r="G8476" s="15"/>
      <c r="H8476" s="15"/>
      <c r="I8476" s="15"/>
      <c r="J8476" s="16" t="s">
        <v>100</v>
      </c>
      <c r="K8476" s="15" t="s">
        <v>5329</v>
      </c>
      <c r="L8476" s="17">
        <v>50</v>
      </c>
      <c r="M8476" s="17">
        <v>500</v>
      </c>
      <c r="N8476" s="17">
        <v>50</v>
      </c>
      <c r="O8476" s="18">
        <v>34.49</v>
      </c>
      <c r="P8476" s="18">
        <v>28.27</v>
      </c>
      <c r="Q8476" s="18">
        <v>29.32</v>
      </c>
      <c r="R8476" s="18">
        <v>24.03</v>
      </c>
      <c r="S8476" s="18">
        <v>23.45</v>
      </c>
      <c r="T8476" s="18">
        <v>19.22</v>
      </c>
      <c r="U8476" s="16"/>
      <c r="V8476" s="16"/>
      <c r="W8476" s="16" t="s">
        <v>40</v>
      </c>
      <c r="X8476" s="19">
        <v>0.02</v>
      </c>
      <c r="Y8476" s="20">
        <v>8.0000000000000007E-5</v>
      </c>
      <c r="Z8476" s="21">
        <v>4660008011871</v>
      </c>
    </row>
    <row r="8477" spans="1:26" ht="12" customHeight="1" outlineLevel="4" x14ac:dyDescent="0.2">
      <c r="A8477" s="14" t="s">
        <v>16189</v>
      </c>
      <c r="B8477" s="26" t="s">
        <v>16190</v>
      </c>
      <c r="C8477" s="52"/>
      <c r="D8477" s="55">
        <f t="shared" si="132"/>
        <v>0</v>
      </c>
      <c r="E8477" s="63" t="str">
        <f>HYPERLINK("https://www.sds-group.ru/product/zazhim-krokodil-100a-105mm-rexant-16-0019-1/", "Инфо")</f>
        <v>Инфо</v>
      </c>
      <c r="F8477" s="16" t="s">
        <v>39</v>
      </c>
      <c r="G8477" s="15"/>
      <c r="H8477" s="15"/>
      <c r="I8477" s="15"/>
      <c r="J8477" s="22">
        <v>24583</v>
      </c>
      <c r="K8477" s="15" t="s">
        <v>1094</v>
      </c>
      <c r="L8477" s="17">
        <v>50</v>
      </c>
      <c r="M8477" s="17">
        <v>500</v>
      </c>
      <c r="N8477" s="17">
        <v>50</v>
      </c>
      <c r="O8477" s="18">
        <v>59.3</v>
      </c>
      <c r="P8477" s="18">
        <v>48.61</v>
      </c>
      <c r="Q8477" s="18">
        <v>50.41</v>
      </c>
      <c r="R8477" s="18">
        <v>41.32</v>
      </c>
      <c r="S8477" s="18">
        <v>40.32</v>
      </c>
      <c r="T8477" s="18">
        <v>33.049999999999997</v>
      </c>
      <c r="U8477" s="16"/>
      <c r="V8477" s="16"/>
      <c r="W8477" s="16" t="s">
        <v>40</v>
      </c>
      <c r="X8477" s="19">
        <v>3.4000000000000002E-2</v>
      </c>
      <c r="Y8477" s="20">
        <v>1.35E-4</v>
      </c>
      <c r="Z8477" s="21">
        <v>4660008011895</v>
      </c>
    </row>
    <row r="8478" spans="1:26" ht="12" customHeight="1" outlineLevel="4" x14ac:dyDescent="0.2">
      <c r="A8478" s="14" t="s">
        <v>16191</v>
      </c>
      <c r="B8478" s="26" t="s">
        <v>16192</v>
      </c>
      <c r="C8478" s="52"/>
      <c r="D8478" s="55">
        <f t="shared" si="132"/>
        <v>0</v>
      </c>
      <c r="E8478" s="63" t="str">
        <f>HYPERLINK("https://www.sds-group.ru/product/zazhim-krokodil-250a-150mm-rexant-16-0020/", "Инфо")</f>
        <v>Инфо</v>
      </c>
      <c r="F8478" s="16" t="s">
        <v>39</v>
      </c>
      <c r="G8478" s="15"/>
      <c r="H8478" s="15"/>
      <c r="I8478" s="15"/>
      <c r="J8478" s="16" t="s">
        <v>100</v>
      </c>
      <c r="K8478" s="15" t="s">
        <v>1094</v>
      </c>
      <c r="L8478" s="17">
        <v>20</v>
      </c>
      <c r="M8478" s="17">
        <v>200</v>
      </c>
      <c r="N8478" s="17">
        <v>20</v>
      </c>
      <c r="O8478" s="18">
        <v>113.2</v>
      </c>
      <c r="P8478" s="18">
        <v>92.79</v>
      </c>
      <c r="Q8478" s="18">
        <v>96.22</v>
      </c>
      <c r="R8478" s="18">
        <v>78.87</v>
      </c>
      <c r="S8478" s="18">
        <v>76.98</v>
      </c>
      <c r="T8478" s="18">
        <v>63.1</v>
      </c>
      <c r="U8478" s="16"/>
      <c r="V8478" s="16"/>
      <c r="W8478" s="16" t="s">
        <v>40</v>
      </c>
      <c r="X8478" s="19">
        <v>7.3999999999999996E-2</v>
      </c>
      <c r="Y8478" s="20">
        <v>2.12E-4</v>
      </c>
      <c r="Z8478" s="21">
        <v>4660008012991</v>
      </c>
    </row>
    <row r="8479" spans="1:26" ht="12" customHeight="1" outlineLevel="4" x14ac:dyDescent="0.2">
      <c r="A8479" s="14" t="s">
        <v>16193</v>
      </c>
      <c r="B8479" s="26" t="s">
        <v>16194</v>
      </c>
      <c r="C8479" s="52"/>
      <c r="D8479" s="55">
        <f t="shared" si="132"/>
        <v>0</v>
      </c>
      <c r="E8479" s="63" t="str">
        <f>HYPERLINK("https://www.sds-group.ru/product/zazhimy-krokodil-5a-40mm-s-provodom-10-par-rexant-16-0036/", "Инфо")</f>
        <v>Инфо</v>
      </c>
      <c r="F8479" s="16" t="s">
        <v>39</v>
      </c>
      <c r="G8479" s="15"/>
      <c r="H8479" s="15"/>
      <c r="I8479" s="15"/>
      <c r="J8479" s="22">
        <v>12380</v>
      </c>
      <c r="K8479" s="15"/>
      <c r="L8479" s="17">
        <v>10</v>
      </c>
      <c r="M8479" s="17">
        <v>250</v>
      </c>
      <c r="N8479" s="17">
        <v>10</v>
      </c>
      <c r="O8479" s="18">
        <v>247.94</v>
      </c>
      <c r="P8479" s="18">
        <v>203.23</v>
      </c>
      <c r="Q8479" s="18">
        <v>210.75</v>
      </c>
      <c r="R8479" s="18">
        <v>172.75</v>
      </c>
      <c r="S8479" s="18">
        <v>168.6</v>
      </c>
      <c r="T8479" s="18">
        <v>138.19999999999999</v>
      </c>
      <c r="U8479" s="16"/>
      <c r="V8479" s="16"/>
      <c r="W8479" s="16" t="s">
        <v>40</v>
      </c>
      <c r="X8479" s="19">
        <v>5.1999999999999998E-2</v>
      </c>
      <c r="Y8479" s="20">
        <v>1.1400000000000001E-4</v>
      </c>
      <c r="Z8479" s="21">
        <v>4601004056749</v>
      </c>
    </row>
    <row r="8480" spans="1:26" ht="12" customHeight="1" outlineLevel="4" x14ac:dyDescent="0.2">
      <c r="A8480" s="14" t="s">
        <v>16195</v>
      </c>
      <c r="B8480" s="26" t="s">
        <v>16196</v>
      </c>
      <c r="C8480" s="52"/>
      <c r="D8480" s="55">
        <f t="shared" si="132"/>
        <v>0</v>
      </c>
      <c r="E8480" s="63" t="str">
        <f>HYPERLINK("https://www.sds-group.ru/product/avtomaticheskoe-zaryadnoe-ustroystvo-0-4-7a-pws-265-rexant-80-2036/", "Инфо")</f>
        <v>Инфо</v>
      </c>
      <c r="F8480" s="16" t="s">
        <v>39</v>
      </c>
      <c r="G8480" s="15"/>
      <c r="H8480" s="15"/>
      <c r="I8480" s="15"/>
      <c r="J8480" s="17">
        <v>36</v>
      </c>
      <c r="K8480" s="15"/>
      <c r="L8480" s="17">
        <v>1</v>
      </c>
      <c r="M8480" s="17">
        <v>20</v>
      </c>
      <c r="N8480" s="17">
        <v>1</v>
      </c>
      <c r="O8480" s="18">
        <v>5724</v>
      </c>
      <c r="P8480" s="18">
        <v>4691.8</v>
      </c>
      <c r="Q8480" s="18">
        <v>4178.5200000000004</v>
      </c>
      <c r="R8480" s="18">
        <v>3425.02</v>
      </c>
      <c r="S8480" s="18">
        <v>3892.32</v>
      </c>
      <c r="T8480" s="18">
        <v>3190.43</v>
      </c>
      <c r="U8480" s="16"/>
      <c r="V8480" s="16"/>
      <c r="W8480" s="16" t="s">
        <v>40</v>
      </c>
      <c r="X8480" s="19">
        <v>0.53600000000000003</v>
      </c>
      <c r="Y8480" s="20">
        <v>2.0760000000000002E-3</v>
      </c>
      <c r="Z8480" s="21">
        <v>4601004099982</v>
      </c>
    </row>
    <row r="8481" spans="1:26" ht="12" customHeight="1" outlineLevel="4" x14ac:dyDescent="0.2">
      <c r="A8481" s="14" t="s">
        <v>16197</v>
      </c>
      <c r="B8481" s="26" t="s">
        <v>16198</v>
      </c>
      <c r="C8481" s="52"/>
      <c r="D8481" s="55">
        <f t="shared" si="132"/>
        <v>0</v>
      </c>
      <c r="E8481" s="63" t="str">
        <f>HYPERLINK("https://www.sds-group.ru/product/avtomaticheskoe-zaryadnoe-ustroystvo-7a-pws-150-rexant-80-2035/", "Инфо")</f>
        <v>Инфо</v>
      </c>
      <c r="F8481" s="16" t="s">
        <v>39</v>
      </c>
      <c r="G8481" s="15"/>
      <c r="H8481" s="15"/>
      <c r="I8481" s="15"/>
      <c r="J8481" s="17">
        <v>20</v>
      </c>
      <c r="K8481" s="15"/>
      <c r="L8481" s="17">
        <v>1</v>
      </c>
      <c r="M8481" s="17">
        <v>20</v>
      </c>
      <c r="N8481" s="17">
        <v>1</v>
      </c>
      <c r="O8481" s="18">
        <v>4028</v>
      </c>
      <c r="P8481" s="18">
        <v>3301.64</v>
      </c>
      <c r="Q8481" s="18">
        <v>2940.44</v>
      </c>
      <c r="R8481" s="18">
        <v>2410.1999999999998</v>
      </c>
      <c r="S8481" s="18">
        <v>2739.04</v>
      </c>
      <c r="T8481" s="18">
        <v>2245.11</v>
      </c>
      <c r="U8481" s="16"/>
      <c r="V8481" s="16"/>
      <c r="W8481" s="16" t="s">
        <v>40</v>
      </c>
      <c r="X8481" s="19">
        <v>0.505</v>
      </c>
      <c r="Y8481" s="20">
        <v>2.1549999999999998E-3</v>
      </c>
      <c r="Z8481" s="21">
        <v>4601004099999</v>
      </c>
    </row>
    <row r="8482" spans="1:26" ht="12" customHeight="1" outlineLevel="4" x14ac:dyDescent="0.2">
      <c r="A8482" s="14" t="s">
        <v>16199</v>
      </c>
      <c r="B8482" s="26" t="s">
        <v>16200</v>
      </c>
      <c r="C8482" s="52"/>
      <c r="D8482" s="55">
        <f t="shared" si="132"/>
        <v>0</v>
      </c>
      <c r="E8482" s="63" t="str">
        <f>HYPERLINK("https://www.sds-group.ru/product/zazhim-krokodil-500a-200mm-rexant-16-0025/", "Инфо")</f>
        <v>Инфо</v>
      </c>
      <c r="F8482" s="16" t="s">
        <v>39</v>
      </c>
      <c r="G8482" s="15"/>
      <c r="H8482" s="15"/>
      <c r="I8482" s="15"/>
      <c r="J8482" s="22">
        <v>2376</v>
      </c>
      <c r="K8482" s="15" t="s">
        <v>1004</v>
      </c>
      <c r="L8482" s="17">
        <v>2</v>
      </c>
      <c r="M8482" s="17">
        <v>100</v>
      </c>
      <c r="N8482" s="17">
        <v>2</v>
      </c>
      <c r="O8482" s="18">
        <v>328.8</v>
      </c>
      <c r="P8482" s="18">
        <v>269.51</v>
      </c>
      <c r="Q8482" s="18">
        <v>263.04000000000002</v>
      </c>
      <c r="R8482" s="18">
        <v>215.61</v>
      </c>
      <c r="S8482" s="18">
        <v>223.58</v>
      </c>
      <c r="T8482" s="18">
        <v>183.26</v>
      </c>
      <c r="U8482" s="16"/>
      <c r="V8482" s="16"/>
      <c r="W8482" s="16" t="s">
        <v>40</v>
      </c>
      <c r="X8482" s="19">
        <v>0.25700000000000001</v>
      </c>
      <c r="Y8482" s="20">
        <v>5.0299999999999997E-4</v>
      </c>
      <c r="Z8482" s="21">
        <v>4601004089952</v>
      </c>
    </row>
    <row r="8483" spans="1:26" ht="12" customHeight="1" outlineLevel="4" x14ac:dyDescent="0.2">
      <c r="A8483" s="14" t="s">
        <v>16201</v>
      </c>
      <c r="B8483" s="26" t="s">
        <v>16202</v>
      </c>
      <c r="C8483" s="52"/>
      <c r="D8483" s="55">
        <f t="shared" si="132"/>
        <v>0</v>
      </c>
      <c r="E8483" s="63" t="str">
        <f>HYPERLINK("https://www.sds-group.ru/product/zazhim-krokodil-dlya-testera-15a-53mm-gnezdo-banana-rexant-16-0033/", "Инфо")</f>
        <v>Инфо</v>
      </c>
      <c r="F8483" s="16" t="s">
        <v>39</v>
      </c>
      <c r="G8483" s="15"/>
      <c r="H8483" s="15"/>
      <c r="I8483" s="15"/>
      <c r="J8483" s="22">
        <v>7350</v>
      </c>
      <c r="K8483" s="15"/>
      <c r="L8483" s="17">
        <v>20</v>
      </c>
      <c r="M8483" s="22">
        <v>2000</v>
      </c>
      <c r="N8483" s="17">
        <v>20</v>
      </c>
      <c r="O8483" s="18">
        <v>116.43</v>
      </c>
      <c r="P8483" s="18">
        <v>95.43</v>
      </c>
      <c r="Q8483" s="18">
        <v>98.97</v>
      </c>
      <c r="R8483" s="18">
        <v>81.12</v>
      </c>
      <c r="S8483" s="18">
        <v>79.17</v>
      </c>
      <c r="T8483" s="18">
        <v>64.89</v>
      </c>
      <c r="U8483" s="16"/>
      <c r="V8483" s="16"/>
      <c r="W8483" s="16" t="s">
        <v>40</v>
      </c>
      <c r="X8483" s="19">
        <v>8.0000000000000002E-3</v>
      </c>
      <c r="Y8483" s="20">
        <v>2.9E-5</v>
      </c>
      <c r="Z8483" s="21">
        <v>4601004118478</v>
      </c>
    </row>
    <row r="8484" spans="1:26" ht="12" customHeight="1" outlineLevel="4" x14ac:dyDescent="0.2">
      <c r="A8484" s="14" t="s">
        <v>16203</v>
      </c>
      <c r="B8484" s="26" t="s">
        <v>16204</v>
      </c>
      <c r="C8484" s="52"/>
      <c r="D8484" s="55">
        <f t="shared" si="132"/>
        <v>0</v>
      </c>
      <c r="E8484" s="63" t="str">
        <f>HYPERLINK("https://www.sds-group.ru/product/zazhim-dlya-testera-kryuchok-40mm-rexant-16-0031/", "Инфо")</f>
        <v>Инфо</v>
      </c>
      <c r="F8484" s="16" t="s">
        <v>39</v>
      </c>
      <c r="G8484" s="15"/>
      <c r="H8484" s="15"/>
      <c r="I8484" s="15"/>
      <c r="J8484" s="22">
        <v>3592</v>
      </c>
      <c r="K8484" s="15" t="s">
        <v>1055</v>
      </c>
      <c r="L8484" s="17">
        <v>20</v>
      </c>
      <c r="M8484" s="22">
        <v>2000</v>
      </c>
      <c r="N8484" s="17">
        <v>20</v>
      </c>
      <c r="O8484" s="18">
        <v>49.05</v>
      </c>
      <c r="P8484" s="18">
        <v>40.200000000000003</v>
      </c>
      <c r="Q8484" s="18">
        <v>41.69</v>
      </c>
      <c r="R8484" s="18">
        <v>34.17</v>
      </c>
      <c r="S8484" s="18">
        <v>33.35</v>
      </c>
      <c r="T8484" s="18">
        <v>27.34</v>
      </c>
      <c r="U8484" s="16"/>
      <c r="V8484" s="16"/>
      <c r="W8484" s="16" t="s">
        <v>40</v>
      </c>
      <c r="X8484" s="19">
        <v>3.0000000000000001E-3</v>
      </c>
      <c r="Y8484" s="20">
        <v>1.9000000000000001E-5</v>
      </c>
      <c r="Z8484" s="21">
        <v>4601004118461</v>
      </c>
    </row>
    <row r="8485" spans="1:26" ht="12" customHeight="1" outlineLevel="4" x14ac:dyDescent="0.2">
      <c r="A8485" s="14" t="s">
        <v>16205</v>
      </c>
      <c r="B8485" s="26" t="s">
        <v>16206</v>
      </c>
      <c r="C8485" s="52"/>
      <c r="D8485" s="55">
        <f t="shared" si="132"/>
        <v>0</v>
      </c>
      <c r="E8485" s="63" t="str">
        <f>HYPERLINK("https://www.sds-group.ru/product/provoda-prikurivaniya-100a-v-chehle-na-molnii-rexant-80-2026/", "Инфо")</f>
        <v>Инфо</v>
      </c>
      <c r="F8485" s="16" t="s">
        <v>974</v>
      </c>
      <c r="G8485" s="15"/>
      <c r="H8485" s="15"/>
      <c r="I8485" s="15"/>
      <c r="J8485" s="17">
        <v>846</v>
      </c>
      <c r="K8485" s="15"/>
      <c r="L8485" s="17">
        <v>1</v>
      </c>
      <c r="M8485" s="17">
        <v>20</v>
      </c>
      <c r="N8485" s="17">
        <v>1</v>
      </c>
      <c r="O8485" s="18">
        <v>862.42</v>
      </c>
      <c r="P8485" s="18">
        <v>706.9</v>
      </c>
      <c r="Q8485" s="18">
        <v>689.94</v>
      </c>
      <c r="R8485" s="18">
        <v>565.52</v>
      </c>
      <c r="S8485" s="18">
        <v>586.45000000000005</v>
      </c>
      <c r="T8485" s="18">
        <v>480.7</v>
      </c>
      <c r="U8485" s="16"/>
      <c r="V8485" s="16"/>
      <c r="W8485" s="16" t="s">
        <v>40</v>
      </c>
      <c r="X8485" s="19">
        <v>0.60499999999999998</v>
      </c>
      <c r="Y8485" s="20">
        <v>1.7390000000000001E-3</v>
      </c>
      <c r="Z8485" s="21">
        <v>4601004033122</v>
      </c>
    </row>
    <row r="8486" spans="1:26" ht="12" customHeight="1" outlineLevel="4" x14ac:dyDescent="0.2">
      <c r="A8486" s="14" t="s">
        <v>16207</v>
      </c>
      <c r="B8486" s="26" t="s">
        <v>16208</v>
      </c>
      <c r="C8486" s="52"/>
      <c r="D8486" s="55">
        <f t="shared" si="132"/>
        <v>0</v>
      </c>
      <c r="E8486" s="63" t="str">
        <f>HYPERLINK("https://www.sds-group.ru/product/provoda-prikurivaniya-200a-v-chehle-na-molnii-rexant-80-2027/", "Инфо")</f>
        <v>Инфо</v>
      </c>
      <c r="F8486" s="16" t="s">
        <v>974</v>
      </c>
      <c r="G8486" s="15"/>
      <c r="H8486" s="15"/>
      <c r="I8486" s="15"/>
      <c r="J8486" s="17">
        <v>489</v>
      </c>
      <c r="K8486" s="15"/>
      <c r="L8486" s="17">
        <v>1</v>
      </c>
      <c r="M8486" s="17">
        <v>20</v>
      </c>
      <c r="N8486" s="17">
        <v>1</v>
      </c>
      <c r="O8486" s="18">
        <v>1099.58</v>
      </c>
      <c r="P8486" s="18">
        <v>901.3</v>
      </c>
      <c r="Q8486" s="18">
        <v>879.66</v>
      </c>
      <c r="R8486" s="18">
        <v>721.03</v>
      </c>
      <c r="S8486" s="18">
        <v>747.71</v>
      </c>
      <c r="T8486" s="18">
        <v>612.88</v>
      </c>
      <c r="U8486" s="16"/>
      <c r="V8486" s="16"/>
      <c r="W8486" s="16" t="s">
        <v>40</v>
      </c>
      <c r="X8486" s="19">
        <v>0.69299999999999995</v>
      </c>
      <c r="Y8486" s="20">
        <v>2.3830000000000001E-3</v>
      </c>
      <c r="Z8486" s="21">
        <v>4601004033108</v>
      </c>
    </row>
    <row r="8487" spans="1:26" ht="12" customHeight="1" outlineLevel="4" x14ac:dyDescent="0.2">
      <c r="A8487" s="14" t="s">
        <v>16209</v>
      </c>
      <c r="B8487" s="26" t="s">
        <v>16210</v>
      </c>
      <c r="C8487" s="52"/>
      <c r="D8487" s="55">
        <f t="shared" si="132"/>
        <v>0</v>
      </c>
      <c r="E8487" s="63" t="str">
        <f>HYPERLINK("https://www.sds-group.ru/product/provoda-prikurivaniya-500a-v-chehle-na-molnii-rexant-80-2028/", "Инфо")</f>
        <v>Инфо</v>
      </c>
      <c r="F8487" s="16" t="s">
        <v>974</v>
      </c>
      <c r="G8487" s="15"/>
      <c r="H8487" s="15"/>
      <c r="I8487" s="15"/>
      <c r="J8487" s="17">
        <v>612</v>
      </c>
      <c r="K8487" s="15"/>
      <c r="L8487" s="17">
        <v>1</v>
      </c>
      <c r="M8487" s="17">
        <v>10</v>
      </c>
      <c r="N8487" s="17">
        <v>1</v>
      </c>
      <c r="O8487" s="18">
        <v>1767.95</v>
      </c>
      <c r="P8487" s="18">
        <v>1449.14</v>
      </c>
      <c r="Q8487" s="18">
        <v>1361.32</v>
      </c>
      <c r="R8487" s="18">
        <v>1115.8399999999999</v>
      </c>
      <c r="S8487" s="18">
        <v>1202.21</v>
      </c>
      <c r="T8487" s="18">
        <v>985.42</v>
      </c>
      <c r="U8487" s="16"/>
      <c r="V8487" s="16"/>
      <c r="W8487" s="16" t="s">
        <v>40</v>
      </c>
      <c r="X8487" s="19">
        <v>1.202</v>
      </c>
      <c r="Y8487" s="20">
        <v>3.467E-3</v>
      </c>
      <c r="Z8487" s="21">
        <v>4601004033092</v>
      </c>
    </row>
    <row r="8488" spans="1:26" ht="12" customHeight="1" outlineLevel="4" x14ac:dyDescent="0.2">
      <c r="A8488" s="14" t="s">
        <v>16211</v>
      </c>
      <c r="B8488" s="26" t="s">
        <v>16212</v>
      </c>
      <c r="C8488" s="52"/>
      <c r="D8488" s="55">
        <f t="shared" si="132"/>
        <v>0</v>
      </c>
      <c r="E8488" s="63" t="str">
        <f>HYPERLINK("https://www.sds-group.ru/product/provoda-prikurivaniya-700a-v-chehle-na-molnii-rexant-80-2029/", "Инфо")</f>
        <v>Инфо</v>
      </c>
      <c r="F8488" s="16" t="s">
        <v>974</v>
      </c>
      <c r="G8488" s="15"/>
      <c r="H8488" s="15"/>
      <c r="I8488" s="15"/>
      <c r="J8488" s="17">
        <v>646</v>
      </c>
      <c r="K8488" s="15"/>
      <c r="L8488" s="17">
        <v>1</v>
      </c>
      <c r="M8488" s="17">
        <v>10</v>
      </c>
      <c r="N8488" s="17">
        <v>1</v>
      </c>
      <c r="O8488" s="18">
        <v>2156.04</v>
      </c>
      <c r="P8488" s="18">
        <v>1767.25</v>
      </c>
      <c r="Q8488" s="18">
        <v>1660.15</v>
      </c>
      <c r="R8488" s="18">
        <v>1360.78</v>
      </c>
      <c r="S8488" s="18">
        <v>1466.11</v>
      </c>
      <c r="T8488" s="18">
        <v>1201.73</v>
      </c>
      <c r="U8488" s="16"/>
      <c r="V8488" s="16"/>
      <c r="W8488" s="16" t="s">
        <v>40</v>
      </c>
      <c r="X8488" s="19">
        <v>1.2949999999999999</v>
      </c>
      <c r="Y8488" s="20">
        <v>4.2750000000000002E-3</v>
      </c>
      <c r="Z8488" s="21">
        <v>4601004033115</v>
      </c>
    </row>
    <row r="8489" spans="1:26" ht="12.95" customHeight="1" outlineLevel="2" x14ac:dyDescent="0.2">
      <c r="A8489" s="76" t="s">
        <v>16213</v>
      </c>
      <c r="B8489" s="76"/>
      <c r="C8489" s="77"/>
      <c r="D8489" s="58"/>
      <c r="E8489" s="68"/>
      <c r="F8489" s="13"/>
      <c r="G8489" s="13"/>
      <c r="H8489" s="13"/>
      <c r="I8489" s="13"/>
      <c r="J8489" s="13"/>
      <c r="K8489" s="13"/>
      <c r="L8489" s="13"/>
      <c r="M8489" s="13"/>
      <c r="N8489" s="13"/>
      <c r="O8489" s="13"/>
      <c r="P8489" s="13"/>
      <c r="Q8489" s="13"/>
      <c r="R8489" s="13"/>
      <c r="S8489" s="13"/>
      <c r="T8489" s="13"/>
      <c r="U8489" s="13"/>
      <c r="V8489" s="13"/>
      <c r="W8489" s="13"/>
      <c r="X8489" s="13"/>
      <c r="Y8489" s="13"/>
      <c r="Z8489" s="13"/>
    </row>
    <row r="8490" spans="1:26" ht="12.95" customHeight="1" outlineLevel="3" x14ac:dyDescent="0.2">
      <c r="A8490" s="76" t="s">
        <v>16214</v>
      </c>
      <c r="B8490" s="76"/>
      <c r="C8490" s="77"/>
      <c r="D8490" s="58"/>
      <c r="E8490" s="68"/>
      <c r="F8490" s="13"/>
      <c r="G8490" s="13"/>
      <c r="H8490" s="13"/>
      <c r="I8490" s="13"/>
      <c r="J8490" s="13"/>
      <c r="K8490" s="13"/>
      <c r="L8490" s="13"/>
      <c r="M8490" s="13"/>
      <c r="N8490" s="13"/>
      <c r="O8490" s="13"/>
      <c r="P8490" s="13"/>
      <c r="Q8490" s="13"/>
      <c r="R8490" s="13"/>
      <c r="S8490" s="13"/>
      <c r="T8490" s="13"/>
      <c r="U8490" s="13"/>
      <c r="V8490" s="13"/>
      <c r="W8490" s="13"/>
      <c r="X8490" s="13"/>
      <c r="Y8490" s="13"/>
      <c r="Z8490" s="13"/>
    </row>
    <row r="8491" spans="1:26" ht="12" customHeight="1" outlineLevel="4" x14ac:dyDescent="0.2">
      <c r="A8491" s="14" t="s">
        <v>16215</v>
      </c>
      <c r="B8491" s="26" t="s">
        <v>16216</v>
      </c>
      <c r="C8491" s="52"/>
      <c r="D8491" s="55">
        <f t="shared" si="132"/>
        <v>0</v>
      </c>
      <c r="E8491" s="63" t="str">
        <f>HYPERLINK("https://www.sds-group.ru/product/gnezdo-avtoprikurivatelya-rexant-16-0211/", "Инфо")</f>
        <v>Инфо</v>
      </c>
      <c r="F8491" s="16" t="s">
        <v>39</v>
      </c>
      <c r="G8491" s="15"/>
      <c r="H8491" s="15"/>
      <c r="I8491" s="15"/>
      <c r="J8491" s="22">
        <v>10840</v>
      </c>
      <c r="K8491" s="15" t="s">
        <v>1277</v>
      </c>
      <c r="L8491" s="17">
        <v>50</v>
      </c>
      <c r="M8491" s="22">
        <v>1000</v>
      </c>
      <c r="N8491" s="17">
        <v>50</v>
      </c>
      <c r="O8491" s="18">
        <v>42.58</v>
      </c>
      <c r="P8491" s="18">
        <v>34.9</v>
      </c>
      <c r="Q8491" s="18">
        <v>36.19</v>
      </c>
      <c r="R8491" s="18">
        <v>29.66</v>
      </c>
      <c r="S8491" s="18">
        <v>28.95</v>
      </c>
      <c r="T8491" s="18">
        <v>23.73</v>
      </c>
      <c r="U8491" s="16"/>
      <c r="V8491" s="16"/>
      <c r="W8491" s="16" t="s">
        <v>40</v>
      </c>
      <c r="X8491" s="19">
        <v>1.2999999999999999E-2</v>
      </c>
      <c r="Y8491" s="20">
        <v>6.4999999999999994E-5</v>
      </c>
      <c r="Z8491" s="21">
        <v>4601004054196</v>
      </c>
    </row>
    <row r="8492" spans="1:26" ht="12" customHeight="1" outlineLevel="4" x14ac:dyDescent="0.2">
      <c r="A8492" s="14" t="s">
        <v>16217</v>
      </c>
      <c r="B8492" s="26" t="s">
        <v>16218</v>
      </c>
      <c r="C8492" s="52"/>
      <c r="D8492" s="55">
        <f t="shared" si="132"/>
        <v>0</v>
      </c>
      <c r="E8492" s="63" t="str">
        <f>HYPERLINK("https://www.sds-group.ru/product/razvetvitel-avtoprikurivatelya-2-gnezda-1husb-5v-1000ma-rexant-16-0238/", "Инфо")</f>
        <v>Инфо</v>
      </c>
      <c r="F8492" s="16" t="s">
        <v>39</v>
      </c>
      <c r="G8492" s="15"/>
      <c r="H8492" s="15"/>
      <c r="I8492" s="15"/>
      <c r="J8492" s="17">
        <v>317</v>
      </c>
      <c r="K8492" s="15" t="s">
        <v>1519</v>
      </c>
      <c r="L8492" s="17">
        <v>10</v>
      </c>
      <c r="M8492" s="17">
        <v>200</v>
      </c>
      <c r="N8492" s="17">
        <v>10</v>
      </c>
      <c r="O8492" s="18">
        <v>582.13</v>
      </c>
      <c r="P8492" s="18">
        <v>477.16</v>
      </c>
      <c r="Q8492" s="18">
        <v>465.7</v>
      </c>
      <c r="R8492" s="18">
        <v>381.72</v>
      </c>
      <c r="S8492" s="18">
        <v>395.85</v>
      </c>
      <c r="T8492" s="18">
        <v>324.47000000000003</v>
      </c>
      <c r="U8492" s="16"/>
      <c r="V8492" s="16"/>
      <c r="W8492" s="16" t="s">
        <v>40</v>
      </c>
      <c r="X8492" s="19">
        <v>7.1999999999999995E-2</v>
      </c>
      <c r="Y8492" s="20">
        <v>3.4400000000000001E-4</v>
      </c>
      <c r="Z8492" s="21">
        <v>4660008015879</v>
      </c>
    </row>
    <row r="8493" spans="1:26" ht="12" customHeight="1" outlineLevel="4" x14ac:dyDescent="0.2">
      <c r="A8493" s="14" t="s">
        <v>16219</v>
      </c>
      <c r="B8493" s="26" t="s">
        <v>16220</v>
      </c>
      <c r="C8493" s="52"/>
      <c r="D8493" s="55">
        <f t="shared" si="132"/>
        <v>0</v>
      </c>
      <c r="E8493" s="63" t="str">
        <f>HYPERLINK("https://www.sds-group.ru/product/razvetvitel-avtoprikurivatelya-2-gnezda-shnur-rexant-16-0222/", "Инфо")</f>
        <v>Инфо</v>
      </c>
      <c r="F8493" s="16" t="s">
        <v>39</v>
      </c>
      <c r="G8493" s="15"/>
      <c r="H8493" s="15"/>
      <c r="I8493" s="15"/>
      <c r="J8493" s="17">
        <v>140</v>
      </c>
      <c r="K8493" s="15" t="s">
        <v>1004</v>
      </c>
      <c r="L8493" s="17">
        <v>10</v>
      </c>
      <c r="M8493" s="17">
        <v>100</v>
      </c>
      <c r="N8493" s="17">
        <v>10</v>
      </c>
      <c r="O8493" s="18">
        <v>237.16</v>
      </c>
      <c r="P8493" s="18">
        <v>194.39</v>
      </c>
      <c r="Q8493" s="18">
        <v>201.59</v>
      </c>
      <c r="R8493" s="18">
        <v>165.24</v>
      </c>
      <c r="S8493" s="18">
        <v>161.27000000000001</v>
      </c>
      <c r="T8493" s="18">
        <v>132.19</v>
      </c>
      <c r="U8493" s="16"/>
      <c r="V8493" s="16"/>
      <c r="W8493" s="16" t="s">
        <v>40</v>
      </c>
      <c r="X8493" s="19">
        <v>6.8000000000000005E-2</v>
      </c>
      <c r="Y8493" s="20">
        <v>3.0800000000000001E-4</v>
      </c>
      <c r="Z8493" s="21">
        <v>4601004002876</v>
      </c>
    </row>
    <row r="8494" spans="1:26" ht="12" customHeight="1" outlineLevel="4" x14ac:dyDescent="0.2">
      <c r="A8494" s="14" t="s">
        <v>16221</v>
      </c>
      <c r="B8494" s="26" t="s">
        <v>16222</v>
      </c>
      <c r="C8494" s="52"/>
      <c r="D8494" s="55">
        <f t="shared" si="132"/>
        <v>0</v>
      </c>
      <c r="E8494" s="63" t="str">
        <f>HYPERLINK("https://www.sds-group.ru/product/razvetvitel-avtoprikurivatelya-3-gnezda-shnur-rexant-16-0221/", "Инфо")</f>
        <v>Инфо</v>
      </c>
      <c r="F8494" s="16" t="s">
        <v>39</v>
      </c>
      <c r="G8494" s="15"/>
      <c r="H8494" s="15"/>
      <c r="I8494" s="15"/>
      <c r="J8494" s="16" t="s">
        <v>100</v>
      </c>
      <c r="K8494" s="15" t="s">
        <v>998</v>
      </c>
      <c r="L8494" s="17">
        <v>10</v>
      </c>
      <c r="M8494" s="17">
        <v>100</v>
      </c>
      <c r="N8494" s="17">
        <v>10</v>
      </c>
      <c r="O8494" s="18">
        <v>312.63</v>
      </c>
      <c r="P8494" s="18">
        <v>256.25</v>
      </c>
      <c r="Q8494" s="18">
        <v>218.84</v>
      </c>
      <c r="R8494" s="18">
        <v>179.38</v>
      </c>
      <c r="S8494" s="18">
        <v>212.59</v>
      </c>
      <c r="T8494" s="18">
        <v>174.25</v>
      </c>
      <c r="U8494" s="16"/>
      <c r="V8494" s="16"/>
      <c r="W8494" s="16"/>
      <c r="X8494" s="19">
        <v>8.8999999999999996E-2</v>
      </c>
      <c r="Y8494" s="20">
        <v>3.77E-4</v>
      </c>
      <c r="Z8494" s="21">
        <v>4601004005105</v>
      </c>
    </row>
    <row r="8495" spans="1:26" ht="12" customHeight="1" outlineLevel="4" x14ac:dyDescent="0.2">
      <c r="A8495" s="14" t="s">
        <v>16223</v>
      </c>
      <c r="B8495" s="26" t="s">
        <v>16224</v>
      </c>
      <c r="C8495" s="52"/>
      <c r="D8495" s="55">
        <f t="shared" si="132"/>
        <v>0</v>
      </c>
      <c r="E8495" s="63" t="str">
        <f>HYPERLINK("https://www.sds-group.ru/product/udlinitel-avtoprikurivatelya-ot-akkumulyatora-1-5m-rexant-16-0215/", "Инфо")</f>
        <v>Инфо</v>
      </c>
      <c r="F8495" s="16" t="s">
        <v>39</v>
      </c>
      <c r="G8495" s="15"/>
      <c r="H8495" s="15"/>
      <c r="I8495" s="15"/>
      <c r="J8495" s="16" t="s">
        <v>100</v>
      </c>
      <c r="K8495" s="15" t="s">
        <v>1004</v>
      </c>
      <c r="L8495" s="17">
        <v>5</v>
      </c>
      <c r="M8495" s="17">
        <v>100</v>
      </c>
      <c r="N8495" s="17">
        <v>5</v>
      </c>
      <c r="O8495" s="18">
        <v>269.51</v>
      </c>
      <c r="P8495" s="18">
        <v>220.91</v>
      </c>
      <c r="Q8495" s="18">
        <v>229.08</v>
      </c>
      <c r="R8495" s="18">
        <v>187.77</v>
      </c>
      <c r="S8495" s="18">
        <v>183.27</v>
      </c>
      <c r="T8495" s="18">
        <v>150.22</v>
      </c>
      <c r="U8495" s="16"/>
      <c r="V8495" s="16"/>
      <c r="W8495" s="16" t="s">
        <v>40</v>
      </c>
      <c r="X8495" s="19">
        <v>6.0999999999999999E-2</v>
      </c>
      <c r="Y8495" s="20">
        <v>2.99E-4</v>
      </c>
      <c r="Z8495" s="21">
        <v>4601004028128</v>
      </c>
    </row>
    <row r="8496" spans="1:26" ht="12" customHeight="1" outlineLevel="4" x14ac:dyDescent="0.2">
      <c r="A8496" s="14" t="s">
        <v>16225</v>
      </c>
      <c r="B8496" s="26" t="s">
        <v>16226</v>
      </c>
      <c r="C8496" s="52"/>
      <c r="D8496" s="55">
        <f t="shared" si="132"/>
        <v>0</v>
      </c>
      <c r="E8496" s="63" t="str">
        <f>HYPERLINK("https://www.sds-group.ru/product/udlinitel-avtoprikurivatelya-ot-akkumulyatora-3m-rexant-16-0216/", "Инфо")</f>
        <v>Инфо</v>
      </c>
      <c r="F8496" s="16" t="s">
        <v>39</v>
      </c>
      <c r="G8496" s="15"/>
      <c r="H8496" s="15"/>
      <c r="I8496" s="15"/>
      <c r="J8496" s="16" t="s">
        <v>100</v>
      </c>
      <c r="K8496" s="15" t="s">
        <v>1004</v>
      </c>
      <c r="L8496" s="17">
        <v>5</v>
      </c>
      <c r="M8496" s="17">
        <v>100</v>
      </c>
      <c r="N8496" s="17">
        <v>5</v>
      </c>
      <c r="O8496" s="18">
        <v>388.09</v>
      </c>
      <c r="P8496" s="18">
        <v>318.11</v>
      </c>
      <c r="Q8496" s="18">
        <v>329.88</v>
      </c>
      <c r="R8496" s="18">
        <v>270.39</v>
      </c>
      <c r="S8496" s="18">
        <v>263.89999999999998</v>
      </c>
      <c r="T8496" s="18">
        <v>216.31</v>
      </c>
      <c r="U8496" s="16"/>
      <c r="V8496" s="16"/>
      <c r="W8496" s="16" t="s">
        <v>40</v>
      </c>
      <c r="X8496" s="19">
        <v>8.4000000000000005E-2</v>
      </c>
      <c r="Y8496" s="20">
        <v>3.3500000000000001E-4</v>
      </c>
      <c r="Z8496" s="21">
        <v>4601004028135</v>
      </c>
    </row>
    <row r="8497" spans="1:26" ht="12" customHeight="1" outlineLevel="4" x14ac:dyDescent="0.2">
      <c r="A8497" s="14" t="s">
        <v>16227</v>
      </c>
      <c r="B8497" s="26" t="s">
        <v>16228</v>
      </c>
      <c r="C8497" s="52"/>
      <c r="D8497" s="55">
        <f t="shared" si="132"/>
        <v>0</v>
      </c>
      <c r="E8497" s="63" t="str">
        <f>HYPERLINK("https://www.sds-group.ru/product/udlinitel-avtoprikurivatelya-ot-akkumulyatora-5m-rexant-16-0217/", "Инфо")</f>
        <v>Инфо</v>
      </c>
      <c r="F8497" s="16" t="s">
        <v>39</v>
      </c>
      <c r="G8497" s="15"/>
      <c r="H8497" s="15"/>
      <c r="I8497" s="15"/>
      <c r="J8497" s="16" t="s">
        <v>100</v>
      </c>
      <c r="K8497" s="15" t="s">
        <v>998</v>
      </c>
      <c r="L8497" s="17">
        <v>1</v>
      </c>
      <c r="M8497" s="17">
        <v>100</v>
      </c>
      <c r="N8497" s="17">
        <v>1</v>
      </c>
      <c r="O8497" s="18">
        <v>528.23</v>
      </c>
      <c r="P8497" s="18">
        <v>432.98</v>
      </c>
      <c r="Q8497" s="18">
        <v>422.58</v>
      </c>
      <c r="R8497" s="18">
        <v>346.38</v>
      </c>
      <c r="S8497" s="18">
        <v>359.2</v>
      </c>
      <c r="T8497" s="18">
        <v>294.43</v>
      </c>
      <c r="U8497" s="16"/>
      <c r="V8497" s="16"/>
      <c r="W8497" s="16" t="s">
        <v>40</v>
      </c>
      <c r="X8497" s="19">
        <v>0.12</v>
      </c>
      <c r="Y8497" s="20">
        <v>3.6000000000000002E-4</v>
      </c>
      <c r="Z8497" s="21">
        <v>4601004028142</v>
      </c>
    </row>
    <row r="8498" spans="1:26" ht="12" customHeight="1" outlineLevel="4" x14ac:dyDescent="0.2">
      <c r="A8498" s="14" t="s">
        <v>16229</v>
      </c>
      <c r="B8498" s="26" t="s">
        <v>16230</v>
      </c>
      <c r="C8498" s="52"/>
      <c r="D8498" s="55">
        <f t="shared" si="132"/>
        <v>0</v>
      </c>
      <c r="E8498" s="63" t="str">
        <f>HYPERLINK("https://www.sds-group.ru/product/udlinitel-avtoprikurivatelya-shteker-gnezdo-1-5m-rexant-16-0218/", "Инфо")</f>
        <v>Инфо</v>
      </c>
      <c r="F8498" s="16" t="s">
        <v>39</v>
      </c>
      <c r="G8498" s="15"/>
      <c r="H8498" s="15"/>
      <c r="I8498" s="15"/>
      <c r="J8498" s="22">
        <v>1134</v>
      </c>
      <c r="K8498" s="15" t="s">
        <v>995</v>
      </c>
      <c r="L8498" s="17">
        <v>5</v>
      </c>
      <c r="M8498" s="17">
        <v>100</v>
      </c>
      <c r="N8498" s="17">
        <v>5</v>
      </c>
      <c r="O8498" s="18">
        <v>258.72000000000003</v>
      </c>
      <c r="P8498" s="18">
        <v>212.07</v>
      </c>
      <c r="Q8498" s="18">
        <v>219.91</v>
      </c>
      <c r="R8498" s="18">
        <v>180.25</v>
      </c>
      <c r="S8498" s="18">
        <v>175.93</v>
      </c>
      <c r="T8498" s="18">
        <v>144.19999999999999</v>
      </c>
      <c r="U8498" s="16"/>
      <c r="V8498" s="16"/>
      <c r="W8498" s="16" t="s">
        <v>40</v>
      </c>
      <c r="X8498" s="19">
        <v>6.0999999999999999E-2</v>
      </c>
      <c r="Y8498" s="20">
        <v>3.19E-4</v>
      </c>
      <c r="Z8498" s="21">
        <v>4601004028159</v>
      </c>
    </row>
    <row r="8499" spans="1:26" ht="12" customHeight="1" outlineLevel="4" x14ac:dyDescent="0.2">
      <c r="A8499" s="14" t="s">
        <v>16231</v>
      </c>
      <c r="B8499" s="26" t="s">
        <v>16232</v>
      </c>
      <c r="C8499" s="52"/>
      <c r="D8499" s="55">
        <f t="shared" si="132"/>
        <v>0</v>
      </c>
      <c r="E8499" s="63" t="str">
        <f>HYPERLINK("https://www.sds-group.ru/product/udlinitel-avtoprikurivatelya-shteker-gnezdo-3m-rexant-16-0219/", "Инфо")</f>
        <v>Инфо</v>
      </c>
      <c r="F8499" s="16" t="s">
        <v>39</v>
      </c>
      <c r="G8499" s="15"/>
      <c r="H8499" s="15"/>
      <c r="I8499" s="15"/>
      <c r="J8499" s="16" t="s">
        <v>100</v>
      </c>
      <c r="K8499" s="15" t="s">
        <v>995</v>
      </c>
      <c r="L8499" s="17">
        <v>5</v>
      </c>
      <c r="M8499" s="17">
        <v>100</v>
      </c>
      <c r="N8499" s="17">
        <v>5</v>
      </c>
      <c r="O8499" s="18">
        <v>355.75</v>
      </c>
      <c r="P8499" s="18">
        <v>291.60000000000002</v>
      </c>
      <c r="Q8499" s="18">
        <v>302.39</v>
      </c>
      <c r="R8499" s="18">
        <v>247.86</v>
      </c>
      <c r="S8499" s="18">
        <v>241.91</v>
      </c>
      <c r="T8499" s="18">
        <v>198.29</v>
      </c>
      <c r="U8499" s="16"/>
      <c r="V8499" s="16"/>
      <c r="W8499" s="16" t="s">
        <v>40</v>
      </c>
      <c r="X8499" s="19">
        <v>8.4000000000000005E-2</v>
      </c>
      <c r="Y8499" s="20">
        <v>3.4299999999999999E-4</v>
      </c>
      <c r="Z8499" s="21">
        <v>4601004028104</v>
      </c>
    </row>
    <row r="8500" spans="1:26" ht="12" customHeight="1" outlineLevel="4" x14ac:dyDescent="0.2">
      <c r="A8500" s="14" t="s">
        <v>16233</v>
      </c>
      <c r="B8500" s="26" t="s">
        <v>16234</v>
      </c>
      <c r="C8500" s="52"/>
      <c r="D8500" s="55">
        <f t="shared" si="132"/>
        <v>0</v>
      </c>
      <c r="E8500" s="63" t="str">
        <f>HYPERLINK("https://www.sds-group.ru/product/udlinitel-avtoprikurivatelya-shteker-gnezdo-5m-rexant-16-0220/", "Инфо")</f>
        <v>Инфо</v>
      </c>
      <c r="F8500" s="16" t="s">
        <v>39</v>
      </c>
      <c r="G8500" s="15"/>
      <c r="H8500" s="15"/>
      <c r="I8500" s="15"/>
      <c r="J8500" s="17">
        <v>879</v>
      </c>
      <c r="K8500" s="15" t="s">
        <v>1004</v>
      </c>
      <c r="L8500" s="17">
        <v>1</v>
      </c>
      <c r="M8500" s="17">
        <v>100</v>
      </c>
      <c r="N8500" s="17">
        <v>1</v>
      </c>
      <c r="O8500" s="18">
        <v>528.23</v>
      </c>
      <c r="P8500" s="18">
        <v>432.98</v>
      </c>
      <c r="Q8500" s="18">
        <v>422.58</v>
      </c>
      <c r="R8500" s="18">
        <v>346.38</v>
      </c>
      <c r="S8500" s="18">
        <v>359.2</v>
      </c>
      <c r="T8500" s="18">
        <v>294.43</v>
      </c>
      <c r="U8500" s="16"/>
      <c r="V8500" s="16"/>
      <c r="W8500" s="16" t="s">
        <v>40</v>
      </c>
      <c r="X8500" s="19">
        <v>0.11600000000000001</v>
      </c>
      <c r="Y8500" s="20">
        <v>3.8000000000000002E-4</v>
      </c>
      <c r="Z8500" s="21">
        <v>4601004028111</v>
      </c>
    </row>
    <row r="8501" spans="1:26" ht="12" customHeight="1" outlineLevel="4" x14ac:dyDescent="0.2">
      <c r="A8501" s="14" t="s">
        <v>16235</v>
      </c>
      <c r="B8501" s="26" t="s">
        <v>16236</v>
      </c>
      <c r="C8501" s="52"/>
      <c r="D8501" s="55">
        <f t="shared" si="132"/>
        <v>0</v>
      </c>
      <c r="E8501" s="63" t="str">
        <f>HYPERLINK("https://www.sds-group.ru/product/shteker-avtoprikurivatelya-rexant-16-0201/", "Инфо")</f>
        <v>Инфо</v>
      </c>
      <c r="F8501" s="16" t="s">
        <v>39</v>
      </c>
      <c r="G8501" s="15"/>
      <c r="H8501" s="15"/>
      <c r="I8501" s="15"/>
      <c r="J8501" s="22">
        <v>11250</v>
      </c>
      <c r="K8501" s="15" t="s">
        <v>998</v>
      </c>
      <c r="L8501" s="17">
        <v>50</v>
      </c>
      <c r="M8501" s="22">
        <v>1000</v>
      </c>
      <c r="N8501" s="17">
        <v>50</v>
      </c>
      <c r="O8501" s="18">
        <v>34.49</v>
      </c>
      <c r="P8501" s="18">
        <v>28.27</v>
      </c>
      <c r="Q8501" s="18">
        <v>29.32</v>
      </c>
      <c r="R8501" s="18">
        <v>24.03</v>
      </c>
      <c r="S8501" s="18">
        <v>23.45</v>
      </c>
      <c r="T8501" s="18">
        <v>19.22</v>
      </c>
      <c r="U8501" s="16"/>
      <c r="V8501" s="16"/>
      <c r="W8501" s="16" t="s">
        <v>40</v>
      </c>
      <c r="X8501" s="19">
        <v>1.2999999999999999E-2</v>
      </c>
      <c r="Y8501" s="20">
        <v>3.4999999999999997E-5</v>
      </c>
      <c r="Z8501" s="21">
        <v>4601004054356</v>
      </c>
    </row>
    <row r="8502" spans="1:26" ht="12" customHeight="1" outlineLevel="4" x14ac:dyDescent="0.2">
      <c r="A8502" s="14" t="s">
        <v>16237</v>
      </c>
      <c r="B8502" s="26" t="s">
        <v>16238</v>
      </c>
      <c r="C8502" s="52"/>
      <c r="D8502" s="55">
        <f t="shared" si="132"/>
        <v>0</v>
      </c>
      <c r="E8502" s="63" t="str">
        <f>HYPERLINK("https://www.sds-group.ru/product/shteker-avtoprikurivatelya-s-indikatorom-rexant-16-0203/", "Инфо")</f>
        <v>Инфо</v>
      </c>
      <c r="F8502" s="16" t="s">
        <v>39</v>
      </c>
      <c r="G8502" s="15"/>
      <c r="H8502" s="15"/>
      <c r="I8502" s="15"/>
      <c r="J8502" s="22">
        <v>15856</v>
      </c>
      <c r="K8502" s="15" t="s">
        <v>1004</v>
      </c>
      <c r="L8502" s="17">
        <v>50</v>
      </c>
      <c r="M8502" s="17">
        <v>500</v>
      </c>
      <c r="N8502" s="17">
        <v>50</v>
      </c>
      <c r="O8502" s="18">
        <v>62.53</v>
      </c>
      <c r="P8502" s="18">
        <v>51.25</v>
      </c>
      <c r="Q8502" s="18">
        <v>53.15</v>
      </c>
      <c r="R8502" s="18">
        <v>43.57</v>
      </c>
      <c r="S8502" s="18">
        <v>42.52</v>
      </c>
      <c r="T8502" s="18">
        <v>34.85</v>
      </c>
      <c r="U8502" s="16"/>
      <c r="V8502" s="16"/>
      <c r="W8502" s="16" t="s">
        <v>40</v>
      </c>
      <c r="X8502" s="19">
        <v>1.9E-2</v>
      </c>
      <c r="Y8502" s="20">
        <v>4.8999999999999998E-5</v>
      </c>
      <c r="Z8502" s="21">
        <v>4601004131019</v>
      </c>
    </row>
    <row r="8503" spans="1:26" ht="12" customHeight="1" outlineLevel="4" x14ac:dyDescent="0.2">
      <c r="A8503" s="14" t="s">
        <v>16239</v>
      </c>
      <c r="B8503" s="26" t="s">
        <v>16240</v>
      </c>
      <c r="C8503" s="52"/>
      <c r="D8503" s="55">
        <f t="shared" si="132"/>
        <v>0</v>
      </c>
      <c r="E8503" s="63" t="str">
        <f>HYPERLINK("https://www.sds-group.ru/product/shteker-avtoprikurivatelya-s-knopkoy-rexant-16-0205/", "Инфо")</f>
        <v>Инфо</v>
      </c>
      <c r="F8503" s="16" t="s">
        <v>39</v>
      </c>
      <c r="G8503" s="15"/>
      <c r="H8503" s="15"/>
      <c r="I8503" s="15"/>
      <c r="J8503" s="22">
        <v>2968</v>
      </c>
      <c r="K8503" s="15" t="s">
        <v>1126</v>
      </c>
      <c r="L8503" s="17">
        <v>10</v>
      </c>
      <c r="M8503" s="17">
        <v>240</v>
      </c>
      <c r="N8503" s="17">
        <v>10</v>
      </c>
      <c r="O8503" s="18">
        <v>153.07</v>
      </c>
      <c r="P8503" s="18">
        <v>125.47</v>
      </c>
      <c r="Q8503" s="18">
        <v>130.11000000000001</v>
      </c>
      <c r="R8503" s="18">
        <v>106.65</v>
      </c>
      <c r="S8503" s="18">
        <v>104.09</v>
      </c>
      <c r="T8503" s="18">
        <v>85.32</v>
      </c>
      <c r="U8503" s="16"/>
      <c r="V8503" s="16"/>
      <c r="W8503" s="16" t="s">
        <v>40</v>
      </c>
      <c r="X8503" s="19">
        <v>2.5999999999999999E-2</v>
      </c>
      <c r="Y8503" s="20">
        <v>1.16E-4</v>
      </c>
      <c r="Z8503" s="21">
        <v>4601004004764</v>
      </c>
    </row>
    <row r="8504" spans="1:26" ht="12" customHeight="1" outlineLevel="4" x14ac:dyDescent="0.2">
      <c r="A8504" s="14" t="s">
        <v>16241</v>
      </c>
      <c r="B8504" s="26" t="s">
        <v>16236</v>
      </c>
      <c r="C8504" s="52"/>
      <c r="D8504" s="55">
        <f t="shared" si="132"/>
        <v>0</v>
      </c>
      <c r="E8504" s="63" t="str">
        <f>HYPERLINK("https://www.sds-group.ru/product/shteker-avtoprikurivatelya-rexant-16-0202/", "Инфо")</f>
        <v>Инфо</v>
      </c>
      <c r="F8504" s="16" t="s">
        <v>39</v>
      </c>
      <c r="G8504" s="15"/>
      <c r="H8504" s="15"/>
      <c r="I8504" s="15"/>
      <c r="J8504" s="22">
        <v>15848</v>
      </c>
      <c r="K8504" s="15" t="s">
        <v>1004</v>
      </c>
      <c r="L8504" s="17">
        <v>50</v>
      </c>
      <c r="M8504" s="17">
        <v>500</v>
      </c>
      <c r="N8504" s="17">
        <v>50</v>
      </c>
      <c r="O8504" s="18">
        <v>53.9</v>
      </c>
      <c r="P8504" s="18">
        <v>44.18</v>
      </c>
      <c r="Q8504" s="18">
        <v>45.82</v>
      </c>
      <c r="R8504" s="18">
        <v>37.56</v>
      </c>
      <c r="S8504" s="18">
        <v>36.65</v>
      </c>
      <c r="T8504" s="18">
        <v>30.04</v>
      </c>
      <c r="U8504" s="16"/>
      <c r="V8504" s="16"/>
      <c r="W8504" s="16" t="s">
        <v>40</v>
      </c>
      <c r="X8504" s="19">
        <v>1.9E-2</v>
      </c>
      <c r="Y8504" s="20">
        <v>5.3999999999999998E-5</v>
      </c>
      <c r="Z8504" s="21">
        <v>4601546045317</v>
      </c>
    </row>
    <row r="8505" spans="1:26" ht="12" customHeight="1" outlineLevel="4" x14ac:dyDescent="0.2">
      <c r="A8505" s="14" t="s">
        <v>16242</v>
      </c>
      <c r="B8505" s="26" t="s">
        <v>16243</v>
      </c>
      <c r="C8505" s="52"/>
      <c r="D8505" s="55">
        <f t="shared" si="132"/>
        <v>0</v>
      </c>
      <c r="E8505" s="63" t="str">
        <f>HYPERLINK("https://www.sds-group.ru/product/shteker-avtoprikurivatelya-pod-vint-rexant-16-0204/", "Инфо")</f>
        <v>Инфо</v>
      </c>
      <c r="F8505" s="16" t="s">
        <v>39</v>
      </c>
      <c r="G8505" s="15"/>
      <c r="H8505" s="15"/>
      <c r="I8505" s="15"/>
      <c r="J8505" s="17">
        <v>200</v>
      </c>
      <c r="K8505" s="15" t="s">
        <v>995</v>
      </c>
      <c r="L8505" s="17">
        <v>50</v>
      </c>
      <c r="M8505" s="17">
        <v>500</v>
      </c>
      <c r="N8505" s="17">
        <v>50</v>
      </c>
      <c r="O8505" s="18">
        <v>118.58</v>
      </c>
      <c r="P8505" s="18">
        <v>97.2</v>
      </c>
      <c r="Q8505" s="18">
        <v>100.79</v>
      </c>
      <c r="R8505" s="18">
        <v>82.61</v>
      </c>
      <c r="S8505" s="18">
        <v>80.63</v>
      </c>
      <c r="T8505" s="18">
        <v>66.09</v>
      </c>
      <c r="U8505" s="16"/>
      <c r="V8505" s="16"/>
      <c r="W8505" s="16" t="s">
        <v>40</v>
      </c>
      <c r="X8505" s="19">
        <v>2.1000000000000001E-2</v>
      </c>
      <c r="Y8505" s="20">
        <v>6.3E-5</v>
      </c>
      <c r="Z8505" s="21">
        <v>4601004054189</v>
      </c>
    </row>
    <row r="8506" spans="1:26" ht="12" customHeight="1" outlineLevel="4" x14ac:dyDescent="0.2">
      <c r="A8506" s="14" t="s">
        <v>16244</v>
      </c>
      <c r="B8506" s="26" t="s">
        <v>16245</v>
      </c>
      <c r="C8506" s="52"/>
      <c r="D8506" s="55">
        <f t="shared" si="132"/>
        <v>0</v>
      </c>
      <c r="E8506" s="63" t="str">
        <f>HYPERLINK("https://www.sds-group.ru/product/shteker-avtoprikurivatelya-s-indikatorom-1-sht-paket-proconnect-16-0203-9/", "Инфо")</f>
        <v>Инфо</v>
      </c>
      <c r="F8506" s="16" t="s">
        <v>1001</v>
      </c>
      <c r="G8506" s="15"/>
      <c r="H8506" s="15"/>
      <c r="I8506" s="15"/>
      <c r="J8506" s="17">
        <v>782</v>
      </c>
      <c r="K8506" s="15"/>
      <c r="L8506" s="17">
        <v>10</v>
      </c>
      <c r="M8506" s="17">
        <v>50</v>
      </c>
      <c r="N8506" s="17">
        <v>10</v>
      </c>
      <c r="O8506" s="18">
        <v>94.87</v>
      </c>
      <c r="P8506" s="18">
        <v>77.760000000000005</v>
      </c>
      <c r="Q8506" s="18">
        <v>80.64</v>
      </c>
      <c r="R8506" s="18">
        <v>66.099999999999994</v>
      </c>
      <c r="S8506" s="18">
        <v>64.510000000000005</v>
      </c>
      <c r="T8506" s="18">
        <v>52.88</v>
      </c>
      <c r="U8506" s="16"/>
      <c r="V8506" s="16"/>
      <c r="W8506" s="16" t="s">
        <v>40</v>
      </c>
      <c r="X8506" s="19">
        <v>1.4999999999999999E-2</v>
      </c>
      <c r="Y8506" s="20">
        <v>1.84E-4</v>
      </c>
      <c r="Z8506" s="21">
        <v>4601004050976</v>
      </c>
    </row>
    <row r="8507" spans="1:26" ht="12.95" customHeight="1" outlineLevel="3" x14ac:dyDescent="0.2">
      <c r="A8507" s="76" t="s">
        <v>16246</v>
      </c>
      <c r="B8507" s="76"/>
      <c r="C8507" s="77"/>
      <c r="D8507" s="58"/>
      <c r="E8507" s="68"/>
      <c r="F8507" s="13"/>
      <c r="G8507" s="13"/>
      <c r="H8507" s="13"/>
      <c r="I8507" s="13"/>
      <c r="J8507" s="13"/>
      <c r="K8507" s="13"/>
      <c r="L8507" s="13"/>
      <c r="M8507" s="13"/>
      <c r="N8507" s="13"/>
      <c r="O8507" s="13"/>
      <c r="P8507" s="13"/>
      <c r="Q8507" s="13"/>
      <c r="R8507" s="13"/>
      <c r="S8507" s="13"/>
      <c r="T8507" s="13"/>
      <c r="U8507" s="13"/>
      <c r="V8507" s="13"/>
      <c r="W8507" s="13"/>
      <c r="X8507" s="13"/>
      <c r="Y8507" s="13"/>
      <c r="Z8507" s="13"/>
    </row>
    <row r="8508" spans="1:26" ht="12" customHeight="1" outlineLevel="4" x14ac:dyDescent="0.2">
      <c r="A8508" s="14" t="s">
        <v>16247</v>
      </c>
      <c r="B8508" s="26" t="s">
        <v>16248</v>
      </c>
      <c r="C8508" s="52"/>
      <c r="D8508" s="55">
        <f t="shared" si="132"/>
        <v>0</v>
      </c>
      <c r="E8508" s="63" t="str">
        <f>HYPERLINK("https://www.sds-group.ru/product/antenna-avtomobilnaya-vnutrisalonnaya-radio-tv-aktivnaya-model-rx-502-rexant-34-0502/", "Инфо")</f>
        <v>Инфо</v>
      </c>
      <c r="F8508" s="16" t="s">
        <v>39</v>
      </c>
      <c r="G8508" s="15"/>
      <c r="H8508" s="15"/>
      <c r="I8508" s="15"/>
      <c r="J8508" s="17">
        <v>574</v>
      </c>
      <c r="K8508" s="15"/>
      <c r="L8508" s="17">
        <v>1</v>
      </c>
      <c r="M8508" s="17">
        <v>25</v>
      </c>
      <c r="N8508" s="17">
        <v>1</v>
      </c>
      <c r="O8508" s="18">
        <v>975.19</v>
      </c>
      <c r="P8508" s="18">
        <v>799.34</v>
      </c>
      <c r="Q8508" s="18">
        <v>682.63</v>
      </c>
      <c r="R8508" s="18">
        <v>559.53</v>
      </c>
      <c r="S8508" s="18">
        <v>663.13</v>
      </c>
      <c r="T8508" s="18">
        <v>543.54999999999995</v>
      </c>
      <c r="U8508" s="16"/>
      <c r="V8508" s="16"/>
      <c r="W8508" s="16"/>
      <c r="X8508" s="19">
        <v>9.9000000000000005E-2</v>
      </c>
      <c r="Y8508" s="20">
        <v>8.0900000000000004E-4</v>
      </c>
      <c r="Z8508" s="21">
        <v>4601004084551</v>
      </c>
    </row>
    <row r="8509" spans="1:26" ht="12" customHeight="1" outlineLevel="4" x14ac:dyDescent="0.2">
      <c r="A8509" s="14" t="s">
        <v>16249</v>
      </c>
      <c r="B8509" s="26" t="s">
        <v>16250</v>
      </c>
      <c r="C8509" s="52"/>
      <c r="D8509" s="55">
        <f t="shared" si="132"/>
        <v>0</v>
      </c>
      <c r="E8509" s="63" t="str">
        <f>HYPERLINK("https://www.sds-group.ru/product/antenna-avtomobilnaya-vnutrisalonnaya-radio-tv-aktivnaya-model-rx-504-rexant-34-0504/", "Инфо")</f>
        <v>Инфо</v>
      </c>
      <c r="F8509" s="16" t="s">
        <v>39</v>
      </c>
      <c r="G8509" s="15"/>
      <c r="H8509" s="15"/>
      <c r="I8509" s="15"/>
      <c r="J8509" s="17">
        <v>106</v>
      </c>
      <c r="K8509" s="15"/>
      <c r="L8509" s="17">
        <v>1</v>
      </c>
      <c r="M8509" s="17">
        <v>25</v>
      </c>
      <c r="N8509" s="17">
        <v>1</v>
      </c>
      <c r="O8509" s="18">
        <v>2035.04</v>
      </c>
      <c r="P8509" s="18">
        <v>1668.07</v>
      </c>
      <c r="Q8509" s="18">
        <v>1424.53</v>
      </c>
      <c r="R8509" s="18">
        <v>1167.6500000000001</v>
      </c>
      <c r="S8509" s="18">
        <v>1383.83</v>
      </c>
      <c r="T8509" s="18">
        <v>1134.29</v>
      </c>
      <c r="U8509" s="16"/>
      <c r="V8509" s="16"/>
      <c r="W8509" s="16"/>
      <c r="X8509" s="19">
        <v>0.107</v>
      </c>
      <c r="Y8509" s="20">
        <v>8.1599999999999999E-4</v>
      </c>
      <c r="Z8509" s="21">
        <v>4601004084544</v>
      </c>
    </row>
    <row r="8510" spans="1:26" ht="12" customHeight="1" outlineLevel="4" x14ac:dyDescent="0.2">
      <c r="A8510" s="14" t="s">
        <v>16251</v>
      </c>
      <c r="B8510" s="26" t="s">
        <v>16252</v>
      </c>
      <c r="C8510" s="52"/>
      <c r="D8510" s="55">
        <f t="shared" si="132"/>
        <v>0</v>
      </c>
      <c r="E8510" s="63" t="str">
        <f>HYPERLINK("https://www.sds-group.ru/product/antenna-avtomobilnaya-vnutrisalonnaya-radio-passivnaya-model-rx-501-rexant-34-0501/", "Инфо")</f>
        <v>Инфо</v>
      </c>
      <c r="F8510" s="16" t="s">
        <v>39</v>
      </c>
      <c r="G8510" s="15"/>
      <c r="H8510" s="15"/>
      <c r="I8510" s="15"/>
      <c r="J8510" s="22">
        <v>4786</v>
      </c>
      <c r="K8510" s="15"/>
      <c r="L8510" s="17">
        <v>1</v>
      </c>
      <c r="M8510" s="17">
        <v>50</v>
      </c>
      <c r="N8510" s="17">
        <v>1</v>
      </c>
      <c r="O8510" s="18">
        <v>487.6</v>
      </c>
      <c r="P8510" s="18">
        <v>399.67</v>
      </c>
      <c r="Q8510" s="18">
        <v>341.32</v>
      </c>
      <c r="R8510" s="18">
        <v>279.77</v>
      </c>
      <c r="S8510" s="18">
        <v>331.57</v>
      </c>
      <c r="T8510" s="18">
        <v>271.77999999999997</v>
      </c>
      <c r="U8510" s="16"/>
      <c r="V8510" s="16"/>
      <c r="W8510" s="16"/>
      <c r="X8510" s="19">
        <v>4.2000000000000003E-2</v>
      </c>
      <c r="Y8510" s="20">
        <v>2.6499999999999999E-4</v>
      </c>
      <c r="Z8510" s="21">
        <v>4601004084568</v>
      </c>
    </row>
    <row r="8511" spans="1:26" ht="12.95" customHeight="1" outlineLevel="2" x14ac:dyDescent="0.2">
      <c r="A8511" s="76" t="s">
        <v>16253</v>
      </c>
      <c r="B8511" s="76"/>
      <c r="C8511" s="77"/>
      <c r="D8511" s="58"/>
      <c r="E8511" s="68"/>
      <c r="F8511" s="13"/>
      <c r="G8511" s="13"/>
      <c r="H8511" s="13"/>
      <c r="I8511" s="13"/>
      <c r="J8511" s="13"/>
      <c r="K8511" s="13"/>
      <c r="L8511" s="13"/>
      <c r="M8511" s="13"/>
      <c r="N8511" s="13"/>
      <c r="O8511" s="13"/>
      <c r="P8511" s="13"/>
      <c r="Q8511" s="13"/>
      <c r="R8511" s="13"/>
      <c r="S8511" s="13"/>
      <c r="T8511" s="13"/>
      <c r="U8511" s="13"/>
      <c r="V8511" s="13"/>
      <c r="W8511" s="13"/>
      <c r="X8511" s="13"/>
      <c r="Y8511" s="13"/>
      <c r="Z8511" s="13"/>
    </row>
    <row r="8512" spans="1:26" ht="12.95" customHeight="1" outlineLevel="3" x14ac:dyDescent="0.2">
      <c r="A8512" s="76" t="s">
        <v>16254</v>
      </c>
      <c r="B8512" s="76"/>
      <c r="C8512" s="77"/>
      <c r="D8512" s="58"/>
      <c r="E8512" s="68"/>
      <c r="F8512" s="13"/>
      <c r="G8512" s="13"/>
      <c r="H8512" s="13"/>
      <c r="I8512" s="13"/>
      <c r="J8512" s="13"/>
      <c r="K8512" s="13"/>
      <c r="L8512" s="13"/>
      <c r="M8512" s="13"/>
      <c r="N8512" s="13"/>
      <c r="O8512" s="13"/>
      <c r="P8512" s="13"/>
      <c r="Q8512" s="13"/>
      <c r="R8512" s="13"/>
      <c r="S8512" s="13"/>
      <c r="T8512" s="13"/>
      <c r="U8512" s="13"/>
      <c r="V8512" s="13"/>
      <c r="W8512" s="13"/>
      <c r="X8512" s="13"/>
      <c r="Y8512" s="13"/>
      <c r="Z8512" s="13"/>
    </row>
    <row r="8513" spans="1:26" ht="12" customHeight="1" outlineLevel="4" x14ac:dyDescent="0.2">
      <c r="A8513" s="14" t="s">
        <v>16255</v>
      </c>
      <c r="B8513" s="26" t="s">
        <v>16256</v>
      </c>
      <c r="C8513" s="52"/>
      <c r="D8513" s="55">
        <f t="shared" si="132"/>
        <v>0</v>
      </c>
      <c r="E8513" s="63" t="str">
        <f>HYPERLINK("https://www.sds-group.ru/product/kontsevik-auto-1-plastik-rexant-16-0511/", "Инфо")</f>
        <v>Инфо</v>
      </c>
      <c r="F8513" s="16" t="s">
        <v>39</v>
      </c>
      <c r="G8513" s="15"/>
      <c r="H8513" s="15"/>
      <c r="I8513" s="15"/>
      <c r="J8513" s="22">
        <v>10576</v>
      </c>
      <c r="K8513" s="15"/>
      <c r="L8513" s="17">
        <v>50</v>
      </c>
      <c r="M8513" s="22">
        <v>1000</v>
      </c>
      <c r="N8513" s="17">
        <v>50</v>
      </c>
      <c r="O8513" s="18">
        <v>75.459999999999994</v>
      </c>
      <c r="P8513" s="18">
        <v>61.85</v>
      </c>
      <c r="Q8513" s="18">
        <v>64.14</v>
      </c>
      <c r="R8513" s="18">
        <v>52.57</v>
      </c>
      <c r="S8513" s="18">
        <v>51.31</v>
      </c>
      <c r="T8513" s="18">
        <v>42.06</v>
      </c>
      <c r="U8513" s="16"/>
      <c r="V8513" s="16"/>
      <c r="W8513" s="16" t="s">
        <v>40</v>
      </c>
      <c r="X8513" s="19">
        <v>1.7999999999999999E-2</v>
      </c>
      <c r="Y8513" s="20">
        <v>1.4E-5</v>
      </c>
      <c r="Z8513" s="21">
        <v>4660008015169</v>
      </c>
    </row>
    <row r="8514" spans="1:26" ht="12" customHeight="1" outlineLevel="4" x14ac:dyDescent="0.2">
      <c r="A8514" s="14" t="s">
        <v>16257</v>
      </c>
      <c r="B8514" s="26" t="s">
        <v>16258</v>
      </c>
      <c r="C8514" s="52"/>
      <c r="D8514" s="55">
        <f t="shared" si="132"/>
        <v>0</v>
      </c>
      <c r="E8514" s="63" t="str">
        <f>HYPERLINK("https://www.sds-group.ru/product/kontsevik-auto-2-metall-rexant-16-0512/", "Инфо")</f>
        <v>Инфо</v>
      </c>
      <c r="F8514" s="16" t="s">
        <v>39</v>
      </c>
      <c r="G8514" s="15"/>
      <c r="H8514" s="15"/>
      <c r="I8514" s="15"/>
      <c r="J8514" s="22">
        <v>1900</v>
      </c>
      <c r="K8514" s="15" t="s">
        <v>1004</v>
      </c>
      <c r="L8514" s="17">
        <v>50</v>
      </c>
      <c r="M8514" s="22">
        <v>2000</v>
      </c>
      <c r="N8514" s="17">
        <v>50</v>
      </c>
      <c r="O8514" s="18">
        <v>70.069999999999993</v>
      </c>
      <c r="P8514" s="18">
        <v>57.43</v>
      </c>
      <c r="Q8514" s="18">
        <v>59.56</v>
      </c>
      <c r="R8514" s="18">
        <v>48.82</v>
      </c>
      <c r="S8514" s="18">
        <v>47.65</v>
      </c>
      <c r="T8514" s="18">
        <v>39.06</v>
      </c>
      <c r="U8514" s="16"/>
      <c r="V8514" s="16"/>
      <c r="W8514" s="16" t="s">
        <v>40</v>
      </c>
      <c r="X8514" s="19">
        <v>1.2E-2</v>
      </c>
      <c r="Y8514" s="20">
        <v>1.0000000000000001E-5</v>
      </c>
      <c r="Z8514" s="21">
        <v>4660008015176</v>
      </c>
    </row>
    <row r="8515" spans="1:26" ht="12" customHeight="1" outlineLevel="4" x14ac:dyDescent="0.2">
      <c r="A8515" s="14" t="s">
        <v>16259</v>
      </c>
      <c r="B8515" s="26" t="s">
        <v>16260</v>
      </c>
      <c r="C8515" s="52"/>
      <c r="D8515" s="55">
        <f t="shared" si="132"/>
        <v>0</v>
      </c>
      <c r="E8515" s="63" t="str">
        <f>HYPERLINK("https://www.sds-group.ru/product/kontsevik-auto-3-uglovoy-rexant-16-0513/", "Инфо")</f>
        <v>Инфо</v>
      </c>
      <c r="F8515" s="16" t="s">
        <v>39</v>
      </c>
      <c r="G8515" s="15"/>
      <c r="H8515" s="15"/>
      <c r="I8515" s="15"/>
      <c r="J8515" s="22">
        <v>2900</v>
      </c>
      <c r="K8515" s="15"/>
      <c r="L8515" s="17">
        <v>50</v>
      </c>
      <c r="M8515" s="17">
        <v>500</v>
      </c>
      <c r="N8515" s="17">
        <v>50</v>
      </c>
      <c r="O8515" s="18">
        <v>78.69</v>
      </c>
      <c r="P8515" s="18">
        <v>64.5</v>
      </c>
      <c r="Q8515" s="18">
        <v>66.89</v>
      </c>
      <c r="R8515" s="18">
        <v>54.83</v>
      </c>
      <c r="S8515" s="18">
        <v>53.51</v>
      </c>
      <c r="T8515" s="18">
        <v>43.86</v>
      </c>
      <c r="U8515" s="16"/>
      <c r="V8515" s="16"/>
      <c r="W8515" s="16" t="s">
        <v>40</v>
      </c>
      <c r="X8515" s="19">
        <v>8.9999999999999993E-3</v>
      </c>
      <c r="Y8515" s="20">
        <v>2.6999999999999999E-5</v>
      </c>
      <c r="Z8515" s="21">
        <v>4660008015183</v>
      </c>
    </row>
    <row r="8516" spans="1:26" ht="12.95" customHeight="1" outlineLevel="3" x14ac:dyDescent="0.2">
      <c r="A8516" s="82" t="s">
        <v>16261</v>
      </c>
      <c r="B8516" s="82"/>
      <c r="C8516" s="83"/>
      <c r="D8516" s="59"/>
      <c r="E8516" s="69"/>
      <c r="F8516" s="23"/>
      <c r="G8516" s="23"/>
      <c r="H8516" s="23"/>
      <c r="I8516" s="23"/>
      <c r="J8516" s="23"/>
      <c r="K8516" s="23"/>
      <c r="L8516" s="23"/>
      <c r="M8516" s="23"/>
      <c r="N8516" s="23"/>
      <c r="O8516" s="23"/>
      <c r="P8516" s="23"/>
      <c r="Q8516" s="23"/>
      <c r="R8516" s="23"/>
      <c r="S8516" s="23"/>
      <c r="T8516" s="23"/>
      <c r="U8516" s="23"/>
      <c r="V8516" s="23"/>
      <c r="W8516" s="23"/>
      <c r="X8516" s="23"/>
      <c r="Y8516" s="23"/>
      <c r="Z8516" s="23"/>
    </row>
    <row r="8517" spans="1:26" ht="12" customHeight="1" outlineLevel="4" x14ac:dyDescent="0.2">
      <c r="A8517" s="14" t="s">
        <v>16262</v>
      </c>
      <c r="B8517" s="26" t="s">
        <v>16263</v>
      </c>
      <c r="C8517" s="52"/>
      <c r="D8517" s="55">
        <f t="shared" si="132"/>
        <v>0</v>
      </c>
      <c r="E8517" s="63" t="str">
        <f>HYPERLINK("https://www.sds-group.ru/product/tsepi-braslety-protivoskolzheniya-dlya-vnedorozhnikov-kolesa-235-285-mm-usilennye-4-sht-rexa-07-7023/", "Инфо")</f>
        <v>Инфо</v>
      </c>
      <c r="F8517" s="16" t="s">
        <v>1001</v>
      </c>
      <c r="G8517" s="15"/>
      <c r="H8517" s="15"/>
      <c r="I8517" s="15"/>
      <c r="J8517" s="17">
        <v>3</v>
      </c>
      <c r="K8517" s="15" t="s">
        <v>1055</v>
      </c>
      <c r="L8517" s="17">
        <v>1</v>
      </c>
      <c r="M8517" s="17">
        <v>6</v>
      </c>
      <c r="N8517" s="17">
        <v>1</v>
      </c>
      <c r="O8517" s="18">
        <v>4958.8900000000003</v>
      </c>
      <c r="P8517" s="18">
        <v>4064.66</v>
      </c>
      <c r="Q8517" s="18">
        <v>3471.22</v>
      </c>
      <c r="R8517" s="18">
        <v>2845.26</v>
      </c>
      <c r="S8517" s="18">
        <v>3372.05</v>
      </c>
      <c r="T8517" s="18">
        <v>2763.98</v>
      </c>
      <c r="U8517" s="16"/>
      <c r="V8517" s="16"/>
      <c r="W8517" s="16"/>
      <c r="X8517" s="19">
        <v>3.12</v>
      </c>
      <c r="Y8517" s="20">
        <v>3.284E-3</v>
      </c>
      <c r="Z8517" s="21">
        <v>4601004247994</v>
      </c>
    </row>
    <row r="8518" spans="1:26" ht="12" customHeight="1" outlineLevel="4" x14ac:dyDescent="0.2">
      <c r="A8518" s="14" t="s">
        <v>16264</v>
      </c>
      <c r="B8518" s="26" t="s">
        <v>16265</v>
      </c>
      <c r="C8518" s="52"/>
      <c r="D8518" s="55">
        <f t="shared" si="132"/>
        <v>0</v>
      </c>
      <c r="E8518" s="63" t="str">
        <f>HYPERLINK("https://www.sds-group.ru/product/tsepi-braslety-protivoskolzheniya-dlya-vnedorozhnikov-kolesa-235-285-mm-usilennye-6-sht-re-07-7023-1/", "Инфо")</f>
        <v>Инфо</v>
      </c>
      <c r="F8518" s="16" t="s">
        <v>1001</v>
      </c>
      <c r="G8518" s="15"/>
      <c r="H8518" s="15"/>
      <c r="I8518" s="15"/>
      <c r="J8518" s="16" t="s">
        <v>100</v>
      </c>
      <c r="K8518" s="15" t="s">
        <v>1055</v>
      </c>
      <c r="L8518" s="17">
        <v>1</v>
      </c>
      <c r="M8518" s="17">
        <v>4</v>
      </c>
      <c r="N8518" s="17">
        <v>1</v>
      </c>
      <c r="O8518" s="18">
        <v>7438.34</v>
      </c>
      <c r="P8518" s="18">
        <v>6097</v>
      </c>
      <c r="Q8518" s="18">
        <v>5206.84</v>
      </c>
      <c r="R8518" s="18">
        <v>4267.8999999999996</v>
      </c>
      <c r="S8518" s="18">
        <v>5058.07</v>
      </c>
      <c r="T8518" s="18">
        <v>4145.96</v>
      </c>
      <c r="U8518" s="16"/>
      <c r="V8518" s="16"/>
      <c r="W8518" s="16"/>
      <c r="X8518" s="19">
        <v>3.83</v>
      </c>
      <c r="Y8518" s="20">
        <v>4.9610000000000001E-3</v>
      </c>
      <c r="Z8518" s="21">
        <v>4601004248007</v>
      </c>
    </row>
    <row r="8519" spans="1:26" ht="12" customHeight="1" outlineLevel="4" x14ac:dyDescent="0.2">
      <c r="A8519" s="14" t="s">
        <v>16266</v>
      </c>
      <c r="B8519" s="26" t="s">
        <v>16267</v>
      </c>
      <c r="C8519" s="52"/>
      <c r="D8519" s="55">
        <f t="shared" si="132"/>
        <v>0</v>
      </c>
      <c r="E8519" s="63" t="str">
        <f>HYPERLINK("https://www.sds-group.ru/product/tsepi-braslety-protivoskolzheniya-dlya-krossoverov-kolesa-205-225-mm-4-sht-rexant-07-7022/", "Инфо")</f>
        <v>Инфо</v>
      </c>
      <c r="F8519" s="16" t="s">
        <v>1001</v>
      </c>
      <c r="G8519" s="15"/>
      <c r="H8519" s="15"/>
      <c r="I8519" s="15"/>
      <c r="J8519" s="17">
        <v>1</v>
      </c>
      <c r="K8519" s="15" t="s">
        <v>1055</v>
      </c>
      <c r="L8519" s="17">
        <v>1</v>
      </c>
      <c r="M8519" s="17">
        <v>8</v>
      </c>
      <c r="N8519" s="17">
        <v>1</v>
      </c>
      <c r="O8519" s="18">
        <v>2975.34</v>
      </c>
      <c r="P8519" s="18">
        <v>2438.8000000000002</v>
      </c>
      <c r="Q8519" s="18">
        <v>2082.7399999999998</v>
      </c>
      <c r="R8519" s="18">
        <v>1707.16</v>
      </c>
      <c r="S8519" s="18">
        <v>2023.23</v>
      </c>
      <c r="T8519" s="18">
        <v>1658.39</v>
      </c>
      <c r="U8519" s="16"/>
      <c r="V8519" s="16"/>
      <c r="W8519" s="16"/>
      <c r="X8519" s="19">
        <v>1.621</v>
      </c>
      <c r="Y8519" s="20">
        <v>2.0969999999999999E-3</v>
      </c>
      <c r="Z8519" s="21">
        <v>4601004247550</v>
      </c>
    </row>
    <row r="8520" spans="1:26" ht="12" customHeight="1" outlineLevel="4" x14ac:dyDescent="0.2">
      <c r="A8520" s="14" t="s">
        <v>16268</v>
      </c>
      <c r="B8520" s="26" t="s">
        <v>16269</v>
      </c>
      <c r="C8520" s="52"/>
      <c r="D8520" s="55">
        <f t="shared" si="132"/>
        <v>0</v>
      </c>
      <c r="E8520" s="63" t="str">
        <f>HYPERLINK("https://www.sds-group.ru/product/tsepi-brasleti-protivoskoljeniya-rexant-dlya-krossoverov-kolesa-205-225-mm-k-t-6-sht-28097/", "Инфо")</f>
        <v>Инфо</v>
      </c>
      <c r="F8520" s="16" t="s">
        <v>1001</v>
      </c>
      <c r="G8520" s="15"/>
      <c r="H8520" s="15"/>
      <c r="I8520" s="15"/>
      <c r="J8520" s="16" t="s">
        <v>100</v>
      </c>
      <c r="K8520" s="15" t="s">
        <v>1055</v>
      </c>
      <c r="L8520" s="17">
        <v>1</v>
      </c>
      <c r="M8520" s="17">
        <v>8</v>
      </c>
      <c r="N8520" s="17">
        <v>1</v>
      </c>
      <c r="O8520" s="18">
        <v>3977.89</v>
      </c>
      <c r="P8520" s="18">
        <v>3260.57</v>
      </c>
      <c r="Q8520" s="18">
        <v>2784.52</v>
      </c>
      <c r="R8520" s="18">
        <v>2282.39</v>
      </c>
      <c r="S8520" s="18">
        <v>2704.97</v>
      </c>
      <c r="T8520" s="18">
        <v>2217.19</v>
      </c>
      <c r="U8520" s="16"/>
      <c r="V8520" s="16"/>
      <c r="W8520" s="16"/>
      <c r="X8520" s="19">
        <v>2.419</v>
      </c>
      <c r="Y8520" s="20">
        <v>2.1099999999999999E-3</v>
      </c>
      <c r="Z8520" s="21">
        <v>4601004247468</v>
      </c>
    </row>
    <row r="8521" spans="1:26" ht="12" customHeight="1" outlineLevel="4" x14ac:dyDescent="0.2">
      <c r="A8521" s="14" t="s">
        <v>16270</v>
      </c>
      <c r="B8521" s="26" t="s">
        <v>16271</v>
      </c>
      <c r="C8521" s="52"/>
      <c r="D8521" s="55">
        <f t="shared" ref="D8521:D8584" si="133">C8521*(O8521-O8521*$G$3)</f>
        <v>0</v>
      </c>
      <c r="E8521" s="63" t="str">
        <f>HYPERLINK("https://www.sds-group.ru/product/tsepi-braslety-protivoskolzheniya-dlya-krossoverov-odnoryadnye-4-sht-rexant-07-7025/", "Инфо")</f>
        <v>Инфо</v>
      </c>
      <c r="F8521" s="16" t="s">
        <v>1001</v>
      </c>
      <c r="G8521" s="15"/>
      <c r="H8521" s="15"/>
      <c r="I8521" s="15"/>
      <c r="J8521" s="17">
        <v>50</v>
      </c>
      <c r="K8521" s="15"/>
      <c r="L8521" s="17">
        <v>1</v>
      </c>
      <c r="M8521" s="17">
        <v>18</v>
      </c>
      <c r="N8521" s="17">
        <v>1</v>
      </c>
      <c r="O8521" s="18">
        <v>2533.35</v>
      </c>
      <c r="P8521" s="18">
        <v>2076.52</v>
      </c>
      <c r="Q8521" s="18">
        <v>1773.35</v>
      </c>
      <c r="R8521" s="18">
        <v>1453.57</v>
      </c>
      <c r="S8521" s="18">
        <v>1722.68</v>
      </c>
      <c r="T8521" s="18">
        <v>1412.03</v>
      </c>
      <c r="U8521" s="16"/>
      <c r="V8521" s="16"/>
      <c r="W8521" s="16"/>
      <c r="X8521" s="19">
        <v>0.80100000000000005</v>
      </c>
      <c r="Y8521" s="20">
        <v>1.1180000000000001E-3</v>
      </c>
      <c r="Z8521" s="21">
        <v>4601004247536</v>
      </c>
    </row>
    <row r="8522" spans="1:26" ht="12" customHeight="1" outlineLevel="4" x14ac:dyDescent="0.2">
      <c r="A8522" s="32" t="s">
        <v>16272</v>
      </c>
      <c r="B8522" s="74" t="s">
        <v>16273</v>
      </c>
      <c r="C8522" s="50"/>
      <c r="D8522" s="53">
        <f t="shared" si="133"/>
        <v>0</v>
      </c>
      <c r="E8522" s="60" t="str">
        <f>HYPERLINK("https://www.sds-group.ru/product/tsepi-braslety-protivoskolzheniya-dlya-krossoverov-odnoryadnye-6-sht-rexant-07-7025-1/", "Инфо")</f>
        <v>Инфо</v>
      </c>
      <c r="F8522" s="34" t="s">
        <v>1001</v>
      </c>
      <c r="G8522" s="33"/>
      <c r="H8522" s="33" t="s">
        <v>40</v>
      </c>
      <c r="I8522" s="33"/>
      <c r="J8522" s="35">
        <v>472</v>
      </c>
      <c r="K8522" s="33"/>
      <c r="L8522" s="35">
        <v>1</v>
      </c>
      <c r="M8522" s="35">
        <v>14</v>
      </c>
      <c r="N8522" s="35">
        <v>1</v>
      </c>
      <c r="O8522" s="36">
        <v>3176.09</v>
      </c>
      <c r="P8522" s="36">
        <v>2603.35</v>
      </c>
      <c r="Q8522" s="36">
        <v>2223.2600000000002</v>
      </c>
      <c r="R8522" s="36">
        <v>1822.34</v>
      </c>
      <c r="S8522" s="36">
        <v>2159.7399999999998</v>
      </c>
      <c r="T8522" s="36">
        <v>1770.28</v>
      </c>
      <c r="U8522" s="34"/>
      <c r="V8522" s="34"/>
      <c r="W8522" s="34"/>
      <c r="X8522" s="37">
        <v>1.167</v>
      </c>
      <c r="Y8522" s="38">
        <v>1.748E-3</v>
      </c>
      <c r="Z8522" s="21">
        <v>4601004247543</v>
      </c>
    </row>
    <row r="8523" spans="1:26" ht="12" customHeight="1" outlineLevel="4" x14ac:dyDescent="0.2">
      <c r="A8523" s="14" t="s">
        <v>16274</v>
      </c>
      <c r="B8523" s="26" t="s">
        <v>16275</v>
      </c>
      <c r="C8523" s="52"/>
      <c r="D8523" s="55">
        <f t="shared" si="133"/>
        <v>0</v>
      </c>
      <c r="E8523" s="63" t="str">
        <f>HYPERLINK("https://www.sds-group.ru/product/tsepi-braslety-protivoskolzheniya-dlya-legkovyh-avtomobiley-kolesa-165-205-mm-2-sht-rexant-07-7021/", "Инфо")</f>
        <v>Инфо</v>
      </c>
      <c r="F8523" s="16" t="s">
        <v>1001</v>
      </c>
      <c r="G8523" s="15"/>
      <c r="H8523" s="15"/>
      <c r="I8523" s="15"/>
      <c r="J8523" s="17">
        <v>107</v>
      </c>
      <c r="K8523" s="15" t="s">
        <v>1055</v>
      </c>
      <c r="L8523" s="17">
        <v>1</v>
      </c>
      <c r="M8523" s="17">
        <v>28</v>
      </c>
      <c r="N8523" s="17">
        <v>1</v>
      </c>
      <c r="O8523" s="18">
        <v>1550.73</v>
      </c>
      <c r="P8523" s="18">
        <v>1271.0899999999999</v>
      </c>
      <c r="Q8523" s="18">
        <v>1085.51</v>
      </c>
      <c r="R8523" s="18">
        <v>889.76</v>
      </c>
      <c r="S8523" s="18">
        <v>1054.5</v>
      </c>
      <c r="T8523" s="18">
        <v>864.34</v>
      </c>
      <c r="U8523" s="16"/>
      <c r="V8523" s="16"/>
      <c r="W8523" s="16"/>
      <c r="X8523" s="19">
        <v>0.47299999999999998</v>
      </c>
      <c r="Y8523" s="20">
        <v>1.098E-3</v>
      </c>
      <c r="Z8523" s="21">
        <v>4601004247475</v>
      </c>
    </row>
    <row r="8524" spans="1:26" ht="12" customHeight="1" outlineLevel="4" x14ac:dyDescent="0.2">
      <c r="A8524" s="14" t="s">
        <v>16276</v>
      </c>
      <c r="B8524" s="26" t="s">
        <v>16277</v>
      </c>
      <c r="C8524" s="52"/>
      <c r="D8524" s="55">
        <f t="shared" si="133"/>
        <v>0</v>
      </c>
      <c r="E8524" s="63" t="str">
        <f>HYPERLINK("https://www.sds-group.ru/product/tsepi-brasleti-protivoskoljeniya-rexant-dlya-legkovih-avto-kolesa-165-205-mm-k-t-4-sht-28099/", "Инфо")</f>
        <v>Инфо</v>
      </c>
      <c r="F8524" s="16" t="s">
        <v>1001</v>
      </c>
      <c r="G8524" s="15"/>
      <c r="H8524" s="15"/>
      <c r="I8524" s="15"/>
      <c r="J8524" s="16" t="s">
        <v>100</v>
      </c>
      <c r="K8524" s="15" t="s">
        <v>1055</v>
      </c>
      <c r="L8524" s="17">
        <v>1</v>
      </c>
      <c r="M8524" s="17">
        <v>16</v>
      </c>
      <c r="N8524" s="17">
        <v>1</v>
      </c>
      <c r="O8524" s="18">
        <v>2682.65</v>
      </c>
      <c r="P8524" s="18">
        <v>2198.89</v>
      </c>
      <c r="Q8524" s="18">
        <v>1877.86</v>
      </c>
      <c r="R8524" s="18">
        <v>1539.23</v>
      </c>
      <c r="S8524" s="18">
        <v>1824.2</v>
      </c>
      <c r="T8524" s="18">
        <v>1495.25</v>
      </c>
      <c r="U8524" s="16"/>
      <c r="V8524" s="16"/>
      <c r="W8524" s="16"/>
      <c r="X8524" s="19">
        <v>0.92200000000000004</v>
      </c>
      <c r="Y8524" s="20">
        <v>1.771E-3</v>
      </c>
      <c r="Z8524" s="21">
        <v>4601004247482</v>
      </c>
    </row>
    <row r="8525" spans="1:26" ht="12" customHeight="1" outlineLevel="4" x14ac:dyDescent="0.2">
      <c r="A8525" s="14" t="s">
        <v>16278</v>
      </c>
      <c r="B8525" s="26" t="s">
        <v>16279</v>
      </c>
      <c r="C8525" s="52"/>
      <c r="D8525" s="55">
        <f t="shared" si="133"/>
        <v>0</v>
      </c>
      <c r="E8525" s="63" t="str">
        <f>HYPERLINK("https://www.sds-group.ru/product/tsepi-brasleti-protivoskoljeniya-rexant-dlya-legkovih-avto-kolesa-165-205-mm-k-t-6-sht-28100/", "Инфо")</f>
        <v>Инфо</v>
      </c>
      <c r="F8525" s="16" t="s">
        <v>1001</v>
      </c>
      <c r="G8525" s="15"/>
      <c r="H8525" s="15"/>
      <c r="I8525" s="15"/>
      <c r="J8525" s="16" t="s">
        <v>100</v>
      </c>
      <c r="K8525" s="15" t="s">
        <v>1055</v>
      </c>
      <c r="L8525" s="17">
        <v>1</v>
      </c>
      <c r="M8525" s="17">
        <v>12</v>
      </c>
      <c r="N8525" s="17">
        <v>1</v>
      </c>
      <c r="O8525" s="18">
        <v>3531.59</v>
      </c>
      <c r="P8525" s="18">
        <v>2894.75</v>
      </c>
      <c r="Q8525" s="18">
        <v>2472.11</v>
      </c>
      <c r="R8525" s="18">
        <v>2026.32</v>
      </c>
      <c r="S8525" s="18">
        <v>2401.48</v>
      </c>
      <c r="T8525" s="18">
        <v>1968.43</v>
      </c>
      <c r="U8525" s="16"/>
      <c r="V8525" s="16"/>
      <c r="W8525" s="16"/>
      <c r="X8525" s="19">
        <v>1.4059999999999999</v>
      </c>
      <c r="Y8525" s="20">
        <v>2.2759999999999998E-3</v>
      </c>
      <c r="Z8525" s="21">
        <v>4601004247499</v>
      </c>
    </row>
    <row r="8526" spans="1:26" ht="12" customHeight="1" outlineLevel="4" x14ac:dyDescent="0.2">
      <c r="A8526" s="14" t="s">
        <v>16280</v>
      </c>
      <c r="B8526" s="26" t="s">
        <v>16281</v>
      </c>
      <c r="C8526" s="52"/>
      <c r="D8526" s="55">
        <f t="shared" si="133"/>
        <v>0</v>
      </c>
      <c r="E8526" s="63" t="str">
        <f>HYPERLINK("https://www.sds-group.ru/product/tsepi-brasleti-protivoskoljeniya-rexant-dlya-legkovih-avtomobiley-odnoryadnie-k-t-2-sht-28101/", "Инфо")</f>
        <v>Инфо</v>
      </c>
      <c r="F8526" s="16" t="s">
        <v>1001</v>
      </c>
      <c r="G8526" s="15"/>
      <c r="H8526" s="15"/>
      <c r="I8526" s="15"/>
      <c r="J8526" s="16" t="s">
        <v>100</v>
      </c>
      <c r="K8526" s="15" t="s">
        <v>1055</v>
      </c>
      <c r="L8526" s="17">
        <v>1</v>
      </c>
      <c r="M8526" s="17">
        <v>42</v>
      </c>
      <c r="N8526" s="17">
        <v>1</v>
      </c>
      <c r="O8526" s="18">
        <v>1131.92</v>
      </c>
      <c r="P8526" s="18">
        <v>927.8</v>
      </c>
      <c r="Q8526" s="18">
        <v>792.34</v>
      </c>
      <c r="R8526" s="18">
        <v>649.46</v>
      </c>
      <c r="S8526" s="18">
        <v>769.71</v>
      </c>
      <c r="T8526" s="18">
        <v>630.91</v>
      </c>
      <c r="U8526" s="16"/>
      <c r="V8526" s="16"/>
      <c r="W8526" s="16"/>
      <c r="X8526" s="19">
        <v>0.247</v>
      </c>
      <c r="Y8526" s="20">
        <v>1.354E-3</v>
      </c>
      <c r="Z8526" s="21">
        <v>4601004247505</v>
      </c>
    </row>
    <row r="8527" spans="1:26" ht="12" customHeight="1" outlineLevel="4" x14ac:dyDescent="0.2">
      <c r="A8527" s="14" t="s">
        <v>16282</v>
      </c>
      <c r="B8527" s="26" t="s">
        <v>16283</v>
      </c>
      <c r="C8527" s="52"/>
      <c r="D8527" s="55">
        <f t="shared" si="133"/>
        <v>0</v>
      </c>
      <c r="E8527" s="63" t="str">
        <f>HYPERLINK("https://www.sds-group.ru/product/tsepi-brasleti-protivoskoljeniya-rexant-dlya-legkovih-avtomobiley-odnoryadnie-k-t-4-sht-28102/", "Инфо")</f>
        <v>Инфо</v>
      </c>
      <c r="F8527" s="16" t="s">
        <v>1001</v>
      </c>
      <c r="G8527" s="15"/>
      <c r="H8527" s="15"/>
      <c r="I8527" s="15"/>
      <c r="J8527" s="16" t="s">
        <v>100</v>
      </c>
      <c r="K8527" s="15" t="s">
        <v>1055</v>
      </c>
      <c r="L8527" s="17">
        <v>1</v>
      </c>
      <c r="M8527" s="17">
        <v>30</v>
      </c>
      <c r="N8527" s="17">
        <v>1</v>
      </c>
      <c r="O8527" s="18">
        <v>1935.05</v>
      </c>
      <c r="P8527" s="18">
        <v>1586.11</v>
      </c>
      <c r="Q8527" s="18">
        <v>1354.54</v>
      </c>
      <c r="R8527" s="18">
        <v>1110.28</v>
      </c>
      <c r="S8527" s="18">
        <v>1315.83</v>
      </c>
      <c r="T8527" s="18">
        <v>1078.55</v>
      </c>
      <c r="U8527" s="16"/>
      <c r="V8527" s="16"/>
      <c r="W8527" s="16"/>
      <c r="X8527" s="19">
        <v>0.46800000000000003</v>
      </c>
      <c r="Y8527" s="20">
        <v>7.3700000000000002E-4</v>
      </c>
      <c r="Z8527" s="21">
        <v>4601004247512</v>
      </c>
    </row>
    <row r="8528" spans="1:26" ht="12" customHeight="1" outlineLevel="4" x14ac:dyDescent="0.2">
      <c r="A8528" s="14" t="s">
        <v>16284</v>
      </c>
      <c r="B8528" s="26" t="s">
        <v>16285</v>
      </c>
      <c r="C8528" s="52"/>
      <c r="D8528" s="55">
        <f t="shared" si="133"/>
        <v>0</v>
      </c>
      <c r="E8528" s="63" t="str">
        <f>HYPERLINK("https://www.sds-group.ru/product/tsepi-braslety-protivoskolzheniya-dlya-legkovyh-avtomobiley-odnoryadnye-6-sht-rexant-07-7024-2/", "Инфо")</f>
        <v>Инфо</v>
      </c>
      <c r="F8528" s="16" t="s">
        <v>1001</v>
      </c>
      <c r="G8528" s="15"/>
      <c r="H8528" s="15"/>
      <c r="I8528" s="15"/>
      <c r="J8528" s="17">
        <v>472</v>
      </c>
      <c r="K8528" s="15"/>
      <c r="L8528" s="17">
        <v>1</v>
      </c>
      <c r="M8528" s="17">
        <v>24</v>
      </c>
      <c r="N8528" s="17">
        <v>1</v>
      </c>
      <c r="O8528" s="18">
        <v>2770.51</v>
      </c>
      <c r="P8528" s="18">
        <v>2270.91</v>
      </c>
      <c r="Q8528" s="18">
        <v>1939.36</v>
      </c>
      <c r="R8528" s="18">
        <v>1589.64</v>
      </c>
      <c r="S8528" s="18">
        <v>1883.95</v>
      </c>
      <c r="T8528" s="18">
        <v>1544.22</v>
      </c>
      <c r="U8528" s="16"/>
      <c r="V8528" s="16"/>
      <c r="W8528" s="16"/>
      <c r="X8528" s="19">
        <v>0.66700000000000004</v>
      </c>
      <c r="Y8528" s="20">
        <v>1.124E-3</v>
      </c>
      <c r="Z8528" s="21">
        <v>4601004247529</v>
      </c>
    </row>
    <row r="8529" spans="1:26" ht="12.95" customHeight="1" outlineLevel="3" x14ac:dyDescent="0.2">
      <c r="A8529" s="76" t="s">
        <v>16286</v>
      </c>
      <c r="B8529" s="76"/>
      <c r="C8529" s="77"/>
      <c r="D8529" s="58"/>
      <c r="E8529" s="68"/>
      <c r="F8529" s="13"/>
      <c r="G8529" s="13"/>
      <c r="H8529" s="13"/>
      <c r="I8529" s="13"/>
      <c r="J8529" s="13"/>
      <c r="K8529" s="13"/>
      <c r="L8529" s="13"/>
      <c r="M8529" s="13"/>
      <c r="N8529" s="13"/>
      <c r="O8529" s="13"/>
      <c r="P8529" s="13"/>
      <c r="Q8529" s="13"/>
      <c r="R8529" s="13"/>
      <c r="S8529" s="13"/>
      <c r="T8529" s="13"/>
      <c r="U8529" s="13"/>
      <c r="V8529" s="13"/>
      <c r="W8529" s="13"/>
      <c r="X8529" s="13"/>
      <c r="Y8529" s="13"/>
      <c r="Z8529" s="13"/>
    </row>
    <row r="8530" spans="1:26" ht="12" customHeight="1" outlineLevel="4" x14ac:dyDescent="0.2">
      <c r="A8530" s="14" t="s">
        <v>16287</v>
      </c>
      <c r="B8530" s="26" t="s">
        <v>16288</v>
      </c>
      <c r="C8530" s="52"/>
      <c r="D8530" s="55">
        <f t="shared" si="133"/>
        <v>0</v>
      </c>
      <c r="E8530" s="63" t="str">
        <f>HYPERLINK("https://www.sds-group.ru/product/tros-buksirovochnyy-10t-5m-s-dvumya-kryukami-rexant-80-0225/", "Инфо")</f>
        <v>Инфо</v>
      </c>
      <c r="F8530" s="16" t="s">
        <v>39</v>
      </c>
      <c r="G8530" s="15"/>
      <c r="H8530" s="15"/>
      <c r="I8530" s="15"/>
      <c r="J8530" s="17">
        <v>102</v>
      </c>
      <c r="K8530" s="15"/>
      <c r="L8530" s="17">
        <v>1</v>
      </c>
      <c r="M8530" s="17">
        <v>20</v>
      </c>
      <c r="N8530" s="17">
        <v>1</v>
      </c>
      <c r="O8530" s="18">
        <v>847.81</v>
      </c>
      <c r="P8530" s="18">
        <v>694.93</v>
      </c>
      <c r="Q8530" s="18">
        <v>678.25</v>
      </c>
      <c r="R8530" s="18">
        <v>555.94000000000005</v>
      </c>
      <c r="S8530" s="18">
        <v>576.51</v>
      </c>
      <c r="T8530" s="18">
        <v>472.55</v>
      </c>
      <c r="U8530" s="16"/>
      <c r="V8530" s="16"/>
      <c r="W8530" s="16" t="s">
        <v>40</v>
      </c>
      <c r="X8530" s="19">
        <v>0.54200000000000004</v>
      </c>
      <c r="Y8530" s="20">
        <v>1.1919999999999999E-3</v>
      </c>
      <c r="Z8530" s="21">
        <v>4601004208933</v>
      </c>
    </row>
    <row r="8531" spans="1:26" ht="12" customHeight="1" outlineLevel="4" x14ac:dyDescent="0.2">
      <c r="A8531" s="14" t="s">
        <v>16289</v>
      </c>
      <c r="B8531" s="26" t="s">
        <v>16290</v>
      </c>
      <c r="C8531" s="52"/>
      <c r="D8531" s="55">
        <f t="shared" si="133"/>
        <v>0</v>
      </c>
      <c r="E8531" s="63" t="str">
        <f>HYPERLINK("https://www.sds-group.ru/product/tros-buksirovochnyy-10t-5m-s-dvumya-kryukami-v-chehle-rexant-80-0230/", "Инфо")</f>
        <v>Инфо</v>
      </c>
      <c r="F8531" s="16" t="s">
        <v>39</v>
      </c>
      <c r="G8531" s="15"/>
      <c r="H8531" s="15"/>
      <c r="I8531" s="15"/>
      <c r="J8531" s="17">
        <v>36</v>
      </c>
      <c r="K8531" s="15"/>
      <c r="L8531" s="17">
        <v>1</v>
      </c>
      <c r="M8531" s="17">
        <v>15</v>
      </c>
      <c r="N8531" s="17">
        <v>1</v>
      </c>
      <c r="O8531" s="18">
        <v>912.33</v>
      </c>
      <c r="P8531" s="18">
        <v>747.81</v>
      </c>
      <c r="Q8531" s="18">
        <v>729.86</v>
      </c>
      <c r="R8531" s="18">
        <v>598.25</v>
      </c>
      <c r="S8531" s="18">
        <v>620.38</v>
      </c>
      <c r="T8531" s="18">
        <v>508.51</v>
      </c>
      <c r="U8531" s="16"/>
      <c r="V8531" s="16"/>
      <c r="W8531" s="16" t="s">
        <v>40</v>
      </c>
      <c r="X8531" s="19">
        <v>0.58399999999999996</v>
      </c>
      <c r="Y8531" s="20">
        <v>2.3240000000000001E-3</v>
      </c>
      <c r="Z8531" s="21">
        <v>4601004208988</v>
      </c>
    </row>
    <row r="8532" spans="1:26" ht="12" customHeight="1" outlineLevel="4" x14ac:dyDescent="0.2">
      <c r="A8532" s="14" t="s">
        <v>16291</v>
      </c>
      <c r="B8532" s="26" t="s">
        <v>16292</v>
      </c>
      <c r="C8532" s="52"/>
      <c r="D8532" s="55">
        <f t="shared" si="133"/>
        <v>0</v>
      </c>
      <c r="E8532" s="63" t="str">
        <f>HYPERLINK("https://www.sds-group.ru/product/tros-buksirovochnyy-2-5t-5m-s-dvumya-kryukami-v-chehle-rexant-80-0226/", "Инфо")</f>
        <v>Инфо</v>
      </c>
      <c r="F8532" s="16" t="s">
        <v>39</v>
      </c>
      <c r="G8532" s="15"/>
      <c r="H8532" s="15"/>
      <c r="I8532" s="15"/>
      <c r="J8532" s="17">
        <v>174</v>
      </c>
      <c r="K8532" s="15"/>
      <c r="L8532" s="17">
        <v>1</v>
      </c>
      <c r="M8532" s="17">
        <v>40</v>
      </c>
      <c r="N8532" s="17">
        <v>1</v>
      </c>
      <c r="O8532" s="18">
        <v>551.20000000000005</v>
      </c>
      <c r="P8532" s="18">
        <v>451.8</v>
      </c>
      <c r="Q8532" s="18">
        <v>385.84</v>
      </c>
      <c r="R8532" s="18">
        <v>316.26</v>
      </c>
      <c r="S8532" s="18">
        <v>374.82</v>
      </c>
      <c r="T8532" s="18">
        <v>307.23</v>
      </c>
      <c r="U8532" s="16"/>
      <c r="V8532" s="16"/>
      <c r="W8532" s="16"/>
      <c r="X8532" s="19">
        <v>0.34699999999999998</v>
      </c>
      <c r="Y8532" s="20">
        <v>8.8099999999999995E-4</v>
      </c>
      <c r="Z8532" s="21">
        <v>4601004208940</v>
      </c>
    </row>
    <row r="8533" spans="1:26" ht="12" customHeight="1" outlineLevel="4" x14ac:dyDescent="0.2">
      <c r="A8533" s="14" t="s">
        <v>16293</v>
      </c>
      <c r="B8533" s="26" t="s">
        <v>16294</v>
      </c>
      <c r="C8533" s="52"/>
      <c r="D8533" s="55">
        <f t="shared" si="133"/>
        <v>0</v>
      </c>
      <c r="E8533" s="63" t="str">
        <f>HYPERLINK("https://www.sds-group.ru/product/tros-buksirovochnyy-2-5t-5m-s-dvumya-petlyami-rexant-80-0221/", "Инфо")</f>
        <v>Инфо</v>
      </c>
      <c r="F8533" s="16" t="s">
        <v>39</v>
      </c>
      <c r="G8533" s="15"/>
      <c r="H8533" s="15"/>
      <c r="I8533" s="15"/>
      <c r="J8533" s="22">
        <v>2080</v>
      </c>
      <c r="K8533" s="15" t="s">
        <v>1888</v>
      </c>
      <c r="L8533" s="17">
        <v>10</v>
      </c>
      <c r="M8533" s="17">
        <v>50</v>
      </c>
      <c r="N8533" s="17">
        <v>10</v>
      </c>
      <c r="O8533" s="18">
        <v>203.52</v>
      </c>
      <c r="P8533" s="18">
        <v>166.82</v>
      </c>
      <c r="Q8533" s="18">
        <v>142.46</v>
      </c>
      <c r="R8533" s="18">
        <v>116.77</v>
      </c>
      <c r="S8533" s="18">
        <v>138.38999999999999</v>
      </c>
      <c r="T8533" s="18">
        <v>113.43</v>
      </c>
      <c r="U8533" s="16"/>
      <c r="V8533" s="16"/>
      <c r="W8533" s="16"/>
      <c r="X8533" s="19">
        <v>0.123</v>
      </c>
      <c r="Y8533" s="20">
        <v>6.4999999999999997E-4</v>
      </c>
      <c r="Z8533" s="21">
        <v>4601004208896</v>
      </c>
    </row>
    <row r="8534" spans="1:26" ht="12" customHeight="1" outlineLevel="4" x14ac:dyDescent="0.2">
      <c r="A8534" s="14" t="s">
        <v>16295</v>
      </c>
      <c r="B8534" s="26" t="s">
        <v>16296</v>
      </c>
      <c r="C8534" s="52"/>
      <c r="D8534" s="55">
        <f t="shared" si="133"/>
        <v>0</v>
      </c>
      <c r="E8534" s="63" t="str">
        <f>HYPERLINK("https://www.sds-group.ru/product/tros-buksirovochnyy-3-5t-5m-s-dvumya-kryukami-rexant-80-0223/", "Инфо")</f>
        <v>Инфо</v>
      </c>
      <c r="F8534" s="16" t="s">
        <v>39</v>
      </c>
      <c r="G8534" s="15"/>
      <c r="H8534" s="15"/>
      <c r="I8534" s="15"/>
      <c r="J8534" s="17">
        <v>121</v>
      </c>
      <c r="K8534" s="15"/>
      <c r="L8534" s="17">
        <v>1</v>
      </c>
      <c r="M8534" s="17">
        <v>50</v>
      </c>
      <c r="N8534" s="17">
        <v>1</v>
      </c>
      <c r="O8534" s="18">
        <v>520.67999999999995</v>
      </c>
      <c r="P8534" s="18">
        <v>426.79</v>
      </c>
      <c r="Q8534" s="18">
        <v>416.54</v>
      </c>
      <c r="R8534" s="18">
        <v>341.43</v>
      </c>
      <c r="S8534" s="18">
        <v>354.06</v>
      </c>
      <c r="T8534" s="18">
        <v>290.20999999999998</v>
      </c>
      <c r="U8534" s="16"/>
      <c r="V8534" s="16"/>
      <c r="W8534" s="16" t="s">
        <v>40</v>
      </c>
      <c r="X8534" s="19">
        <v>0.34499999999999997</v>
      </c>
      <c r="Y8534" s="20">
        <v>6.2600000000000004E-4</v>
      </c>
      <c r="Z8534" s="21">
        <v>4601004208919</v>
      </c>
    </row>
    <row r="8535" spans="1:26" ht="12" customHeight="1" outlineLevel="4" x14ac:dyDescent="0.2">
      <c r="A8535" s="14" t="s">
        <v>16297</v>
      </c>
      <c r="B8535" s="26" t="s">
        <v>16298</v>
      </c>
      <c r="C8535" s="52"/>
      <c r="D8535" s="55">
        <f t="shared" si="133"/>
        <v>0</v>
      </c>
      <c r="E8535" s="63" t="str">
        <f>HYPERLINK("https://www.sds-group.ru/product/tros-buksirovochnyy-7t-5m-s-dvumya-kryukami-v-chehle-rexant-80-0229/", "Инфо")</f>
        <v>Инфо</v>
      </c>
      <c r="F8535" s="16" t="s">
        <v>39</v>
      </c>
      <c r="G8535" s="15"/>
      <c r="H8535" s="15"/>
      <c r="I8535" s="15"/>
      <c r="J8535" s="16" t="s">
        <v>100</v>
      </c>
      <c r="K8535" s="15" t="s">
        <v>1888</v>
      </c>
      <c r="L8535" s="17">
        <v>1</v>
      </c>
      <c r="M8535" s="17">
        <v>25</v>
      </c>
      <c r="N8535" s="17">
        <v>1</v>
      </c>
      <c r="O8535" s="18">
        <v>740.94</v>
      </c>
      <c r="P8535" s="18">
        <v>607.33000000000004</v>
      </c>
      <c r="Q8535" s="18">
        <v>592.75</v>
      </c>
      <c r="R8535" s="18">
        <v>485.86</v>
      </c>
      <c r="S8535" s="18">
        <v>503.84</v>
      </c>
      <c r="T8535" s="18">
        <v>412.98</v>
      </c>
      <c r="U8535" s="16"/>
      <c r="V8535" s="16"/>
      <c r="W8535" s="16" t="s">
        <v>40</v>
      </c>
      <c r="X8535" s="19">
        <v>0.434</v>
      </c>
      <c r="Y8535" s="20">
        <v>1.6639999999999999E-3</v>
      </c>
      <c r="Z8535" s="21">
        <v>4601004208971</v>
      </c>
    </row>
    <row r="8536" spans="1:26" ht="12" customHeight="1" outlineLevel="4" x14ac:dyDescent="0.2">
      <c r="A8536" s="14" t="s">
        <v>16299</v>
      </c>
      <c r="B8536" s="26" t="s">
        <v>16300</v>
      </c>
      <c r="C8536" s="52"/>
      <c r="D8536" s="55">
        <f t="shared" si="133"/>
        <v>0</v>
      </c>
      <c r="E8536" s="63" t="str">
        <f>HYPERLINK("https://www.sds-group.ru/product/tros-buksirovochnyy-so-svetootrazhayuschey-lentoy-5t-4m-s-dvumya-kryukami-v-chehle-rexant-80-0228/", "Инфо")</f>
        <v>Инфо</v>
      </c>
      <c r="F8536" s="16" t="s">
        <v>39</v>
      </c>
      <c r="G8536" s="15"/>
      <c r="H8536" s="15"/>
      <c r="I8536" s="15"/>
      <c r="J8536" s="17">
        <v>63</v>
      </c>
      <c r="K8536" s="15"/>
      <c r="L8536" s="17">
        <v>1</v>
      </c>
      <c r="M8536" s="17">
        <v>25</v>
      </c>
      <c r="N8536" s="17">
        <v>1</v>
      </c>
      <c r="O8536" s="18">
        <v>792.34</v>
      </c>
      <c r="P8536" s="18">
        <v>649.46</v>
      </c>
      <c r="Q8536" s="18">
        <v>633.87</v>
      </c>
      <c r="R8536" s="18">
        <v>519.57000000000005</v>
      </c>
      <c r="S8536" s="18">
        <v>538.79</v>
      </c>
      <c r="T8536" s="18">
        <v>441.63</v>
      </c>
      <c r="U8536" s="16"/>
      <c r="V8536" s="16"/>
      <c r="W8536" s="16" t="s">
        <v>40</v>
      </c>
      <c r="X8536" s="19">
        <v>0.47499999999999998</v>
      </c>
      <c r="Y8536" s="20">
        <v>1.15E-3</v>
      </c>
      <c r="Z8536" s="21">
        <v>4601004208964</v>
      </c>
    </row>
    <row r="8537" spans="1:26" ht="12" customHeight="1" outlineLevel="4" x14ac:dyDescent="0.2">
      <c r="A8537" s="14" t="s">
        <v>16301</v>
      </c>
      <c r="B8537" s="26" t="s">
        <v>16302</v>
      </c>
      <c r="C8537" s="52"/>
      <c r="D8537" s="55">
        <f t="shared" si="133"/>
        <v>0</v>
      </c>
      <c r="E8537" s="63" t="str">
        <f>HYPERLINK("https://www.sds-group.ru/product/tros-dinamicheskiy-stropa-10t-9m-v-chehle-rexant-80-0240/", "Инфо")</f>
        <v>Инфо</v>
      </c>
      <c r="F8537" s="16" t="s">
        <v>39</v>
      </c>
      <c r="G8537" s="15"/>
      <c r="H8537" s="15"/>
      <c r="I8537" s="15"/>
      <c r="J8537" s="17">
        <v>18</v>
      </c>
      <c r="K8537" s="15"/>
      <c r="L8537" s="17">
        <v>1</v>
      </c>
      <c r="M8537" s="17">
        <v>6</v>
      </c>
      <c r="N8537" s="17">
        <v>1</v>
      </c>
      <c r="O8537" s="18">
        <v>4851.09</v>
      </c>
      <c r="P8537" s="18">
        <v>3976.3</v>
      </c>
      <c r="Q8537" s="18">
        <v>3395.76</v>
      </c>
      <c r="R8537" s="18">
        <v>2783.41</v>
      </c>
      <c r="S8537" s="18">
        <v>3298.74</v>
      </c>
      <c r="T8537" s="18">
        <v>2703.89</v>
      </c>
      <c r="U8537" s="16"/>
      <c r="V8537" s="16"/>
      <c r="W8537" s="16"/>
      <c r="X8537" s="19">
        <v>2.1869999999999998</v>
      </c>
      <c r="Y8537" s="20">
        <v>5.7080000000000004E-3</v>
      </c>
      <c r="Z8537" s="21">
        <v>4601004323100</v>
      </c>
    </row>
    <row r="8538" spans="1:26" ht="12" customHeight="1" outlineLevel="4" x14ac:dyDescent="0.2">
      <c r="A8538" s="14" t="s">
        <v>16303</v>
      </c>
      <c r="B8538" s="26" t="s">
        <v>16304</v>
      </c>
      <c r="C8538" s="52"/>
      <c r="D8538" s="55">
        <f t="shared" si="133"/>
        <v>0</v>
      </c>
      <c r="E8538" s="63" t="str">
        <f>HYPERLINK("https://www.sds-group.ru/product/tros-dinamicheskiy-stropa-5t-6m-v-chehle-rexant-80-0238/", "Инфо")</f>
        <v>Инфо</v>
      </c>
      <c r="F8538" s="16" t="s">
        <v>39</v>
      </c>
      <c r="G8538" s="15"/>
      <c r="H8538" s="15"/>
      <c r="I8538" s="15"/>
      <c r="J8538" s="16" t="s">
        <v>100</v>
      </c>
      <c r="K8538" s="15"/>
      <c r="L8538" s="17">
        <v>1</v>
      </c>
      <c r="M8538" s="17">
        <v>6</v>
      </c>
      <c r="N8538" s="17">
        <v>1</v>
      </c>
      <c r="O8538" s="18">
        <v>2156.04</v>
      </c>
      <c r="P8538" s="18">
        <v>1767.25</v>
      </c>
      <c r="Q8538" s="18">
        <v>1509.23</v>
      </c>
      <c r="R8538" s="18">
        <v>1237.07</v>
      </c>
      <c r="S8538" s="18">
        <v>1466.11</v>
      </c>
      <c r="T8538" s="18">
        <v>1201.73</v>
      </c>
      <c r="U8538" s="16"/>
      <c r="V8538" s="16"/>
      <c r="W8538" s="16"/>
      <c r="X8538" s="19">
        <v>0.95099999999999996</v>
      </c>
      <c r="Y8538" s="20">
        <v>5.7530000000000003E-3</v>
      </c>
      <c r="Z8538" s="21">
        <v>4601004323087</v>
      </c>
    </row>
    <row r="8539" spans="1:26" ht="12.95" customHeight="1" outlineLevel="3" x14ac:dyDescent="0.2">
      <c r="A8539" s="76" t="s">
        <v>16305</v>
      </c>
      <c r="B8539" s="76"/>
      <c r="C8539" s="77"/>
      <c r="D8539" s="58"/>
      <c r="E8539" s="68"/>
      <c r="F8539" s="13"/>
      <c r="G8539" s="13"/>
      <c r="H8539" s="13"/>
      <c r="I8539" s="13"/>
      <c r="J8539" s="13"/>
      <c r="K8539" s="13"/>
      <c r="L8539" s="13"/>
      <c r="M8539" s="13"/>
      <c r="N8539" s="13"/>
      <c r="O8539" s="13"/>
      <c r="P8539" s="13"/>
      <c r="Q8539" s="13"/>
      <c r="R8539" s="13"/>
      <c r="S8539" s="13"/>
      <c r="T8539" s="13"/>
      <c r="U8539" s="13"/>
      <c r="V8539" s="13"/>
      <c r="W8539" s="13"/>
      <c r="X8539" s="13"/>
      <c r="Y8539" s="13"/>
      <c r="Z8539" s="13"/>
    </row>
    <row r="8540" spans="1:26" ht="12" customHeight="1" outlineLevel="4" x14ac:dyDescent="0.2">
      <c r="A8540" s="14" t="s">
        <v>16306</v>
      </c>
      <c r="B8540" s="26" t="s">
        <v>16307</v>
      </c>
      <c r="C8540" s="52"/>
      <c r="D8540" s="55">
        <f t="shared" si="133"/>
        <v>0</v>
      </c>
      <c r="E8540" s="63" t="str">
        <f>HYPERLINK("https://www.sds-group.ru/product/voronka-tehnicheskaya-dlya-gsm-135mm-rexant-80-0210/", "Инфо")</f>
        <v>Инфо</v>
      </c>
      <c r="F8540" s="16" t="s">
        <v>39</v>
      </c>
      <c r="G8540" s="15"/>
      <c r="H8540" s="15"/>
      <c r="I8540" s="15"/>
      <c r="J8540" s="16" t="s">
        <v>100</v>
      </c>
      <c r="K8540" s="15" t="s">
        <v>1888</v>
      </c>
      <c r="L8540" s="17">
        <v>5</v>
      </c>
      <c r="M8540" s="17">
        <v>32</v>
      </c>
      <c r="N8540" s="17">
        <v>5</v>
      </c>
      <c r="O8540" s="18">
        <v>222.6</v>
      </c>
      <c r="P8540" s="18">
        <v>182.46</v>
      </c>
      <c r="Q8540" s="18">
        <v>189.21</v>
      </c>
      <c r="R8540" s="18">
        <v>155.09</v>
      </c>
      <c r="S8540" s="18">
        <v>151.37</v>
      </c>
      <c r="T8540" s="18">
        <v>124.07</v>
      </c>
      <c r="U8540" s="16"/>
      <c r="V8540" s="16"/>
      <c r="W8540" s="16" t="s">
        <v>40</v>
      </c>
      <c r="X8540" s="19">
        <v>0.1</v>
      </c>
      <c r="Y8540" s="20">
        <v>2.1440000000000001E-3</v>
      </c>
      <c r="Z8540" s="21">
        <v>4601004208810</v>
      </c>
    </row>
    <row r="8541" spans="1:26" ht="12" customHeight="1" outlineLevel="4" x14ac:dyDescent="0.2">
      <c r="A8541" s="14" t="s">
        <v>16308</v>
      </c>
      <c r="B8541" s="26" t="s">
        <v>16309</v>
      </c>
      <c r="C8541" s="52"/>
      <c r="D8541" s="55">
        <f t="shared" si="133"/>
        <v>0</v>
      </c>
      <c r="E8541" s="63" t="str">
        <f>HYPERLINK("https://www.sds-group.ru/product/kanistra-dlya-topliva-metallicheskaya-10l-rexant-80-0217/", "Инфо")</f>
        <v>Инфо</v>
      </c>
      <c r="F8541" s="16" t="s">
        <v>39</v>
      </c>
      <c r="G8541" s="15"/>
      <c r="H8541" s="15"/>
      <c r="I8541" s="15"/>
      <c r="J8541" s="16" t="s">
        <v>100</v>
      </c>
      <c r="K8541" s="15" t="s">
        <v>1055</v>
      </c>
      <c r="L8541" s="17">
        <v>1</v>
      </c>
      <c r="M8541" s="17">
        <v>5</v>
      </c>
      <c r="N8541" s="17">
        <v>1</v>
      </c>
      <c r="O8541" s="18">
        <v>2491</v>
      </c>
      <c r="P8541" s="18">
        <v>2041.8</v>
      </c>
      <c r="Q8541" s="18">
        <v>1918.07</v>
      </c>
      <c r="R8541" s="18">
        <v>1572.19</v>
      </c>
      <c r="S8541" s="18">
        <v>1693.88</v>
      </c>
      <c r="T8541" s="18">
        <v>1388.43</v>
      </c>
      <c r="U8541" s="16"/>
      <c r="V8541" s="16"/>
      <c r="W8541" s="16" t="s">
        <v>40</v>
      </c>
      <c r="X8541" s="19">
        <v>2.1160000000000001</v>
      </c>
      <c r="Y8541" s="20">
        <v>1.5713999999999999E-2</v>
      </c>
      <c r="Z8541" s="21">
        <v>4601004288089</v>
      </c>
    </row>
    <row r="8542" spans="1:26" ht="12" customHeight="1" outlineLevel="4" x14ac:dyDescent="0.2">
      <c r="A8542" s="14" t="s">
        <v>16310</v>
      </c>
      <c r="B8542" s="26" t="s">
        <v>16311</v>
      </c>
      <c r="C8542" s="52"/>
      <c r="D8542" s="55">
        <f t="shared" si="133"/>
        <v>0</v>
      </c>
      <c r="E8542" s="63" t="str">
        <f>HYPERLINK("https://www.sds-group.ru/product/kanistra-dlya-topliva-metallicheskaya-20l-rexant-80-0218/", "Инфо")</f>
        <v>Инфо</v>
      </c>
      <c r="F8542" s="16" t="s">
        <v>39</v>
      </c>
      <c r="G8542" s="15"/>
      <c r="H8542" s="15"/>
      <c r="I8542" s="15"/>
      <c r="J8542" s="16" t="s">
        <v>100</v>
      </c>
      <c r="K8542" s="15" t="s">
        <v>6043</v>
      </c>
      <c r="L8542" s="17">
        <v>1</v>
      </c>
      <c r="M8542" s="17">
        <v>4</v>
      </c>
      <c r="N8542" s="17">
        <v>1</v>
      </c>
      <c r="O8542" s="18">
        <v>3665.27</v>
      </c>
      <c r="P8542" s="18">
        <v>3004.32</v>
      </c>
      <c r="Q8542" s="18">
        <v>2675.65</v>
      </c>
      <c r="R8542" s="18">
        <v>2193.16</v>
      </c>
      <c r="S8542" s="18">
        <v>2492.38</v>
      </c>
      <c r="T8542" s="18">
        <v>2042.93</v>
      </c>
      <c r="U8542" s="16"/>
      <c r="V8542" s="16"/>
      <c r="W8542" s="16" t="s">
        <v>40</v>
      </c>
      <c r="X8542" s="19">
        <v>3.3159999999999998</v>
      </c>
      <c r="Y8542" s="20">
        <v>2.2044000000000001E-2</v>
      </c>
      <c r="Z8542" s="21">
        <v>4601004288065</v>
      </c>
    </row>
    <row r="8543" spans="1:26" ht="12" customHeight="1" outlineLevel="4" x14ac:dyDescent="0.2">
      <c r="A8543" s="14" t="s">
        <v>16312</v>
      </c>
      <c r="B8543" s="26" t="s">
        <v>16313</v>
      </c>
      <c r="C8543" s="52"/>
      <c r="D8543" s="55">
        <f t="shared" si="133"/>
        <v>0</v>
      </c>
      <c r="E8543" s="63" t="str">
        <f>HYPERLINK("https://www.sds-group.ru/product/kanistra-dlya-topliva-metallicheskaya-5l-rexant-80-0216/", "Инфо")</f>
        <v>Инфо</v>
      </c>
      <c r="F8543" s="16" t="s">
        <v>39</v>
      </c>
      <c r="G8543" s="15"/>
      <c r="H8543" s="15"/>
      <c r="I8543" s="15"/>
      <c r="J8543" s="16" t="s">
        <v>100</v>
      </c>
      <c r="K8543" s="15" t="s">
        <v>1055</v>
      </c>
      <c r="L8543" s="17">
        <v>1</v>
      </c>
      <c r="M8543" s="17">
        <v>8</v>
      </c>
      <c r="N8543" s="17">
        <v>1</v>
      </c>
      <c r="O8543" s="18">
        <v>1823.2</v>
      </c>
      <c r="P8543" s="18">
        <v>1494.43</v>
      </c>
      <c r="Q8543" s="18">
        <v>1440.33</v>
      </c>
      <c r="R8543" s="18">
        <v>1180.5999999999999</v>
      </c>
      <c r="S8543" s="18">
        <v>1239.78</v>
      </c>
      <c r="T8543" s="18">
        <v>1016.21</v>
      </c>
      <c r="U8543" s="16"/>
      <c r="V8543" s="16"/>
      <c r="W8543" s="16" t="s">
        <v>40</v>
      </c>
      <c r="X8543" s="19">
        <v>1.45</v>
      </c>
      <c r="Y8543" s="20">
        <v>9.8239999999999994E-3</v>
      </c>
      <c r="Z8543" s="21">
        <v>4601004288072</v>
      </c>
    </row>
    <row r="8544" spans="1:26" ht="12" customHeight="1" outlineLevel="4" x14ac:dyDescent="0.2">
      <c r="A8544" s="14" t="s">
        <v>16314</v>
      </c>
      <c r="B8544" s="26" t="s">
        <v>16315</v>
      </c>
      <c r="C8544" s="52"/>
      <c r="D8544" s="55">
        <f t="shared" si="133"/>
        <v>0</v>
      </c>
      <c r="E8544" s="63" t="str">
        <f>HYPERLINK("https://www.sds-group.ru/product/kanistra-classic-dlya-gsm-i-tehnicheskih-zhidkostey-plastikovaya-5l-rexant-80-0201/", "Инфо")</f>
        <v>Инфо</v>
      </c>
      <c r="F8544" s="16" t="s">
        <v>39</v>
      </c>
      <c r="G8544" s="15"/>
      <c r="H8544" s="15"/>
      <c r="I8544" s="15"/>
      <c r="J8544" s="16" t="s">
        <v>100</v>
      </c>
      <c r="K8544" s="15"/>
      <c r="L8544" s="17">
        <v>1</v>
      </c>
      <c r="M8544" s="17">
        <v>12</v>
      </c>
      <c r="N8544" s="17">
        <v>1</v>
      </c>
      <c r="O8544" s="18">
        <v>689</v>
      </c>
      <c r="P8544" s="18">
        <v>564.75</v>
      </c>
      <c r="Q8544" s="18">
        <v>551.20000000000005</v>
      </c>
      <c r="R8544" s="18">
        <v>451.8</v>
      </c>
      <c r="S8544" s="18">
        <v>468.52</v>
      </c>
      <c r="T8544" s="18">
        <v>384.03</v>
      </c>
      <c r="U8544" s="16"/>
      <c r="V8544" s="16"/>
      <c r="W8544" s="16" t="s">
        <v>40</v>
      </c>
      <c r="X8544" s="19">
        <v>0.33500000000000002</v>
      </c>
      <c r="Y8544" s="20">
        <v>1.15E-2</v>
      </c>
      <c r="Z8544" s="21">
        <v>4601004208735</v>
      </c>
    </row>
    <row r="8545" spans="1:26" ht="12" customHeight="1" outlineLevel="4" x14ac:dyDescent="0.2">
      <c r="A8545" s="14" t="s">
        <v>16316</v>
      </c>
      <c r="B8545" s="26" t="s">
        <v>16317</v>
      </c>
      <c r="C8545" s="52"/>
      <c r="D8545" s="55">
        <f t="shared" si="133"/>
        <v>0</v>
      </c>
      <c r="E8545" s="63" t="str">
        <f>HYPERLINK("https://www.sds-group.ru/product/kanistra-metallicheskaya-gorizontalnaya-10l-rexant-80-0199/", "Инфо")</f>
        <v>Инфо</v>
      </c>
      <c r="F8545" s="16" t="s">
        <v>39</v>
      </c>
      <c r="G8545" s="15"/>
      <c r="H8545" s="15"/>
      <c r="I8545" s="15"/>
      <c r="J8545" s="16" t="s">
        <v>100</v>
      </c>
      <c r="K8545" s="15" t="s">
        <v>1055</v>
      </c>
      <c r="L8545" s="17">
        <v>1</v>
      </c>
      <c r="M8545" s="17">
        <v>6</v>
      </c>
      <c r="N8545" s="17">
        <v>1</v>
      </c>
      <c r="O8545" s="18">
        <v>2968</v>
      </c>
      <c r="P8545" s="18">
        <v>2432.79</v>
      </c>
      <c r="Q8545" s="18">
        <v>2077.6</v>
      </c>
      <c r="R8545" s="18">
        <v>1702.95</v>
      </c>
      <c r="S8545" s="18">
        <v>2018.24</v>
      </c>
      <c r="T8545" s="18">
        <v>1654.3</v>
      </c>
      <c r="U8545" s="16"/>
      <c r="V8545" s="16"/>
      <c r="W8545" s="16"/>
      <c r="X8545" s="19">
        <v>2.266</v>
      </c>
      <c r="Y8545" s="20">
        <v>2.0846E-2</v>
      </c>
      <c r="Z8545" s="21">
        <v>4601004310940</v>
      </c>
    </row>
    <row r="8546" spans="1:26" ht="12" customHeight="1" outlineLevel="4" x14ac:dyDescent="0.2">
      <c r="A8546" s="14" t="s">
        <v>16318</v>
      </c>
      <c r="B8546" s="26" t="s">
        <v>16319</v>
      </c>
      <c r="C8546" s="52"/>
      <c r="D8546" s="55">
        <f t="shared" si="133"/>
        <v>0</v>
      </c>
      <c r="E8546" s="63" t="str">
        <f>HYPERLINK("https://www.sds-group.ru/product/kanistra-metallicheskaya-gorizontalnaya-20l-rexant-80-0200/", "Инфо")</f>
        <v>Инфо</v>
      </c>
      <c r="F8546" s="16" t="s">
        <v>39</v>
      </c>
      <c r="G8546" s="15"/>
      <c r="H8546" s="15"/>
      <c r="I8546" s="15"/>
      <c r="J8546" s="16" t="s">
        <v>100</v>
      </c>
      <c r="K8546" s="15" t="s">
        <v>6043</v>
      </c>
      <c r="L8546" s="17">
        <v>1</v>
      </c>
      <c r="M8546" s="17">
        <v>4</v>
      </c>
      <c r="N8546" s="17">
        <v>1</v>
      </c>
      <c r="O8546" s="18">
        <v>3604</v>
      </c>
      <c r="P8546" s="18">
        <v>2954.1</v>
      </c>
      <c r="Q8546" s="18">
        <v>2522.8000000000002</v>
      </c>
      <c r="R8546" s="18">
        <v>2067.87</v>
      </c>
      <c r="S8546" s="18">
        <v>2450.7199999999998</v>
      </c>
      <c r="T8546" s="18">
        <v>2008.79</v>
      </c>
      <c r="U8546" s="16"/>
      <c r="V8546" s="16"/>
      <c r="W8546" s="16"/>
      <c r="X8546" s="19">
        <v>2.9079999999999999</v>
      </c>
      <c r="Y8546" s="20">
        <v>3.4151000000000001E-2</v>
      </c>
      <c r="Z8546" s="21">
        <v>4601004310957</v>
      </c>
    </row>
    <row r="8547" spans="1:26" ht="12" customHeight="1" outlineLevel="4" x14ac:dyDescent="0.2">
      <c r="A8547" s="14" t="s">
        <v>16320</v>
      </c>
      <c r="B8547" s="26" t="s">
        <v>16321</v>
      </c>
      <c r="C8547" s="52"/>
      <c r="D8547" s="55">
        <f t="shared" si="133"/>
        <v>0</v>
      </c>
      <c r="E8547" s="63" t="str">
        <f>HYPERLINK("https://www.sds-group.ru/product/kanistra-metallicheskaya-gorizontalnaya-5l-rexant-80-0198/", "Инфо")</f>
        <v>Инфо</v>
      </c>
      <c r="F8547" s="16" t="s">
        <v>39</v>
      </c>
      <c r="G8547" s="15"/>
      <c r="H8547" s="15"/>
      <c r="I8547" s="15"/>
      <c r="J8547" s="16" t="s">
        <v>100</v>
      </c>
      <c r="K8547" s="15" t="s">
        <v>6837</v>
      </c>
      <c r="L8547" s="17">
        <v>1</v>
      </c>
      <c r="M8547" s="17">
        <v>8</v>
      </c>
      <c r="N8547" s="17">
        <v>1</v>
      </c>
      <c r="O8547" s="18">
        <v>2862</v>
      </c>
      <c r="P8547" s="18">
        <v>2345.9</v>
      </c>
      <c r="Q8547" s="18">
        <v>2003.4</v>
      </c>
      <c r="R8547" s="18">
        <v>1642.13</v>
      </c>
      <c r="S8547" s="18">
        <v>1946.16</v>
      </c>
      <c r="T8547" s="18">
        <v>1595.21</v>
      </c>
      <c r="U8547" s="16"/>
      <c r="V8547" s="16"/>
      <c r="W8547" s="16"/>
      <c r="X8547" s="19">
        <v>1.873</v>
      </c>
      <c r="Y8547" s="20">
        <v>1.5018E-2</v>
      </c>
      <c r="Z8547" s="21">
        <v>4601004310964</v>
      </c>
    </row>
    <row r="8548" spans="1:26" ht="12" customHeight="1" outlineLevel="4" x14ac:dyDescent="0.2">
      <c r="A8548" s="14" t="s">
        <v>16322</v>
      </c>
      <c r="B8548" s="26" t="s">
        <v>16323</v>
      </c>
      <c r="C8548" s="52"/>
      <c r="D8548" s="55">
        <f t="shared" si="133"/>
        <v>0</v>
      </c>
      <c r="E8548" s="63" t="str">
        <f>HYPERLINK("https://www.sds-group.ru/product/nasos-perekachki-topliva-pogruzhnoy-12v-12-5l-min-bez-filtra-38mm-rexant-80-0213/", "Инфо")</f>
        <v>Инфо</v>
      </c>
      <c r="F8548" s="16" t="s">
        <v>39</v>
      </c>
      <c r="G8548" s="15"/>
      <c r="H8548" s="15"/>
      <c r="I8548" s="15"/>
      <c r="J8548" s="16" t="s">
        <v>100</v>
      </c>
      <c r="K8548" s="15" t="s">
        <v>1055</v>
      </c>
      <c r="L8548" s="17">
        <v>1</v>
      </c>
      <c r="M8548" s="17">
        <v>50</v>
      </c>
      <c r="N8548" s="17">
        <v>1</v>
      </c>
      <c r="O8548" s="18">
        <v>927.1</v>
      </c>
      <c r="P8548" s="18">
        <v>759.92</v>
      </c>
      <c r="Q8548" s="18">
        <v>648.97</v>
      </c>
      <c r="R8548" s="18">
        <v>531.94000000000005</v>
      </c>
      <c r="S8548" s="18">
        <v>630.42999999999995</v>
      </c>
      <c r="T8548" s="18">
        <v>516.75</v>
      </c>
      <c r="U8548" s="16"/>
      <c r="V8548" s="16"/>
      <c r="W8548" s="16"/>
      <c r="X8548" s="19">
        <v>0.32500000000000001</v>
      </c>
      <c r="Y8548" s="20">
        <v>1.0189999999999999E-3</v>
      </c>
      <c r="Z8548" s="21">
        <v>4601004284074</v>
      </c>
    </row>
    <row r="8549" spans="1:26" ht="12" customHeight="1" outlineLevel="4" x14ac:dyDescent="0.2">
      <c r="A8549" s="14" t="s">
        <v>16324</v>
      </c>
      <c r="B8549" s="26" t="s">
        <v>16325</v>
      </c>
      <c r="C8549" s="52"/>
      <c r="D8549" s="55">
        <f t="shared" si="133"/>
        <v>0</v>
      </c>
      <c r="E8549" s="63" t="str">
        <f>HYPERLINK("https://www.sds-group.ru/product/nasos-perekachki-topliva-pogruzhnoy-12v-35l-min-bez-filtra-51mm-rexant-80-0215/", "Инфо")</f>
        <v>Инфо</v>
      </c>
      <c r="F8549" s="16" t="s">
        <v>39</v>
      </c>
      <c r="G8549" s="15"/>
      <c r="H8549" s="15"/>
      <c r="I8549" s="15"/>
      <c r="J8549" s="16" t="s">
        <v>100</v>
      </c>
      <c r="K8549" s="15" t="s">
        <v>210</v>
      </c>
      <c r="L8549" s="17">
        <v>1</v>
      </c>
      <c r="M8549" s="17">
        <v>50</v>
      </c>
      <c r="N8549" s="17">
        <v>1</v>
      </c>
      <c r="O8549" s="18">
        <v>1185.82</v>
      </c>
      <c r="P8549" s="18">
        <v>971.98</v>
      </c>
      <c r="Q8549" s="18">
        <v>830.07</v>
      </c>
      <c r="R8549" s="18">
        <v>680.39</v>
      </c>
      <c r="S8549" s="18">
        <v>806.36</v>
      </c>
      <c r="T8549" s="18">
        <v>660.95</v>
      </c>
      <c r="U8549" s="16"/>
      <c r="V8549" s="16"/>
      <c r="W8549" s="16"/>
      <c r="X8549" s="19">
        <v>0.51400000000000001</v>
      </c>
      <c r="Y8549" s="20">
        <v>1.5280000000000001E-3</v>
      </c>
      <c r="Z8549" s="21">
        <v>4601004284081</v>
      </c>
    </row>
    <row r="8550" spans="1:26" ht="12" customHeight="1" outlineLevel="4" x14ac:dyDescent="0.2">
      <c r="A8550" s="14" t="s">
        <v>16326</v>
      </c>
      <c r="B8550" s="26" t="s">
        <v>16327</v>
      </c>
      <c r="C8550" s="52"/>
      <c r="D8550" s="55">
        <f t="shared" si="133"/>
        <v>0</v>
      </c>
      <c r="E8550" s="63" t="str">
        <f>HYPERLINK("https://www.sds-group.ru/product/nasos-perekachki-topliva-pogruzhnoy-12v-35l-min-s-filtrom-51mm-rexant-80-0214/", "Инфо")</f>
        <v>Инфо</v>
      </c>
      <c r="F8550" s="16" t="s">
        <v>39</v>
      </c>
      <c r="G8550" s="15"/>
      <c r="H8550" s="15"/>
      <c r="I8550" s="15"/>
      <c r="J8550" s="16" t="s">
        <v>100</v>
      </c>
      <c r="K8550" s="15" t="s">
        <v>210</v>
      </c>
      <c r="L8550" s="17">
        <v>1</v>
      </c>
      <c r="M8550" s="17">
        <v>50</v>
      </c>
      <c r="N8550" s="17">
        <v>1</v>
      </c>
      <c r="O8550" s="18">
        <v>1336.84</v>
      </c>
      <c r="P8550" s="18">
        <v>1095.77</v>
      </c>
      <c r="Q8550" s="18">
        <v>935.79</v>
      </c>
      <c r="R8550" s="18">
        <v>767.04</v>
      </c>
      <c r="S8550" s="18">
        <v>909.05</v>
      </c>
      <c r="T8550" s="18">
        <v>745.12</v>
      </c>
      <c r="U8550" s="16"/>
      <c r="V8550" s="16"/>
      <c r="W8550" s="16"/>
      <c r="X8550" s="19">
        <v>0.52400000000000002</v>
      </c>
      <c r="Y8550" s="20">
        <v>1.609E-3</v>
      </c>
      <c r="Z8550" s="21">
        <v>4601004284098</v>
      </c>
    </row>
    <row r="8551" spans="1:26" ht="12.95" customHeight="1" outlineLevel="3" x14ac:dyDescent="0.2">
      <c r="A8551" s="76" t="s">
        <v>16328</v>
      </c>
      <c r="B8551" s="76"/>
      <c r="C8551" s="77"/>
      <c r="D8551" s="58"/>
      <c r="E8551" s="68"/>
      <c r="F8551" s="13"/>
      <c r="G8551" s="13"/>
      <c r="H8551" s="13"/>
      <c r="I8551" s="13"/>
      <c r="J8551" s="13"/>
      <c r="K8551" s="13"/>
      <c r="L8551" s="13"/>
      <c r="M8551" s="13"/>
      <c r="N8551" s="13"/>
      <c r="O8551" s="13"/>
      <c r="P8551" s="13"/>
      <c r="Q8551" s="13"/>
      <c r="R8551" s="13"/>
      <c r="S8551" s="13"/>
      <c r="T8551" s="13"/>
      <c r="U8551" s="13"/>
      <c r="V8551" s="13"/>
      <c r="W8551" s="13"/>
      <c r="X8551" s="13"/>
      <c r="Y8551" s="13"/>
      <c r="Z8551" s="13"/>
    </row>
    <row r="8552" spans="1:26" ht="12" customHeight="1" outlineLevel="4" x14ac:dyDescent="0.2">
      <c r="A8552" s="14" t="s">
        <v>16329</v>
      </c>
      <c r="B8552" s="26" t="s">
        <v>16330</v>
      </c>
      <c r="C8552" s="52"/>
      <c r="D8552" s="55">
        <f t="shared" si="133"/>
        <v>0</v>
      </c>
      <c r="E8552" s="63" t="str">
        <f>HYPERLINK("https://www.sds-group.ru/product/remen-dlya-krepleniya-gruza-s-fiksatorom-2-5m-rexant-80-0244/", "Инфо")</f>
        <v>Инфо</v>
      </c>
      <c r="F8552" s="16" t="s">
        <v>39</v>
      </c>
      <c r="G8552" s="15"/>
      <c r="H8552" s="15"/>
      <c r="I8552" s="15"/>
      <c r="J8552" s="17">
        <v>366</v>
      </c>
      <c r="K8552" s="15"/>
      <c r="L8552" s="17">
        <v>5</v>
      </c>
      <c r="M8552" s="17">
        <v>100</v>
      </c>
      <c r="N8552" s="17">
        <v>5</v>
      </c>
      <c r="O8552" s="18">
        <v>242.23</v>
      </c>
      <c r="P8552" s="18">
        <v>198.55</v>
      </c>
      <c r="Q8552" s="18">
        <v>205.9</v>
      </c>
      <c r="R8552" s="18">
        <v>168.77</v>
      </c>
      <c r="S8552" s="18">
        <v>164.72</v>
      </c>
      <c r="T8552" s="18">
        <v>135.02000000000001</v>
      </c>
      <c r="U8552" s="16"/>
      <c r="V8552" s="16"/>
      <c r="W8552" s="16" t="s">
        <v>40</v>
      </c>
      <c r="X8552" s="19">
        <v>7.0999999999999994E-2</v>
      </c>
      <c r="Y8552" s="20">
        <v>6.7599999999999995E-4</v>
      </c>
      <c r="Z8552" s="21">
        <v>4601004208841</v>
      </c>
    </row>
    <row r="8553" spans="1:26" ht="12" customHeight="1" outlineLevel="4" x14ac:dyDescent="0.2">
      <c r="A8553" s="14" t="s">
        <v>16331</v>
      </c>
      <c r="B8553" s="26" t="s">
        <v>16332</v>
      </c>
      <c r="C8553" s="52"/>
      <c r="D8553" s="55">
        <f t="shared" si="133"/>
        <v>0</v>
      </c>
      <c r="E8553" s="63" t="str">
        <f>HYPERLINK("https://www.sds-group.ru/product/remen-dlya-krepleniya-gruza-s-fiksatorom-3-5m-rexant-80-0245/", "Инфо")</f>
        <v>Инфо</v>
      </c>
      <c r="F8553" s="16" t="s">
        <v>39</v>
      </c>
      <c r="G8553" s="15"/>
      <c r="H8553" s="15"/>
      <c r="I8553" s="15"/>
      <c r="J8553" s="17">
        <v>281</v>
      </c>
      <c r="K8553" s="15"/>
      <c r="L8553" s="17">
        <v>5</v>
      </c>
      <c r="M8553" s="17">
        <v>100</v>
      </c>
      <c r="N8553" s="17">
        <v>5</v>
      </c>
      <c r="O8553" s="18">
        <v>279.58999999999997</v>
      </c>
      <c r="P8553" s="18">
        <v>229.17</v>
      </c>
      <c r="Q8553" s="18">
        <v>237.65</v>
      </c>
      <c r="R8553" s="18">
        <v>194.8</v>
      </c>
      <c r="S8553" s="18">
        <v>190.12</v>
      </c>
      <c r="T8553" s="18">
        <v>155.84</v>
      </c>
      <c r="U8553" s="16"/>
      <c r="V8553" s="16"/>
      <c r="W8553" s="16" t="s">
        <v>40</v>
      </c>
      <c r="X8553" s="19">
        <v>8.3000000000000004E-2</v>
      </c>
      <c r="Y8553" s="20">
        <v>6.0400000000000004E-4</v>
      </c>
      <c r="Z8553" s="21">
        <v>4601004208858</v>
      </c>
    </row>
    <row r="8554" spans="1:26" ht="12" customHeight="1" outlineLevel="4" x14ac:dyDescent="0.2">
      <c r="A8554" s="14" t="s">
        <v>16333</v>
      </c>
      <c r="B8554" s="26" t="s">
        <v>16334</v>
      </c>
      <c r="C8554" s="52"/>
      <c r="D8554" s="55">
        <f t="shared" si="133"/>
        <v>0</v>
      </c>
      <c r="E8554" s="63" t="str">
        <f>HYPERLINK("https://www.sds-group.ru/product/remen-dlya-krepleniya-gruza-s-fiksatorom-5m-rexant-80-0246/", "Инфо")</f>
        <v>Инфо</v>
      </c>
      <c r="F8554" s="16" t="s">
        <v>39</v>
      </c>
      <c r="G8554" s="15"/>
      <c r="H8554" s="15"/>
      <c r="I8554" s="15"/>
      <c r="J8554" s="16" t="s">
        <v>100</v>
      </c>
      <c r="K8554" s="15"/>
      <c r="L8554" s="17">
        <v>5</v>
      </c>
      <c r="M8554" s="17">
        <v>100</v>
      </c>
      <c r="N8554" s="17">
        <v>5</v>
      </c>
      <c r="O8554" s="18">
        <v>325.99</v>
      </c>
      <c r="P8554" s="18">
        <v>267.2</v>
      </c>
      <c r="Q8554" s="18">
        <v>277.08999999999997</v>
      </c>
      <c r="R8554" s="18">
        <v>227.12</v>
      </c>
      <c r="S8554" s="18">
        <v>221.67</v>
      </c>
      <c r="T8554" s="18">
        <v>181.7</v>
      </c>
      <c r="U8554" s="16"/>
      <c r="V8554" s="16"/>
      <c r="W8554" s="16" t="s">
        <v>40</v>
      </c>
      <c r="X8554" s="19">
        <v>0.3</v>
      </c>
      <c r="Y8554" s="20">
        <v>1.4999999999999999E-4</v>
      </c>
      <c r="Z8554" s="21">
        <v>4601004208865</v>
      </c>
    </row>
    <row r="8555" spans="1:26" ht="12" customHeight="1" outlineLevel="4" x14ac:dyDescent="0.2">
      <c r="A8555" s="14" t="s">
        <v>16335</v>
      </c>
      <c r="B8555" s="26" t="s">
        <v>16336</v>
      </c>
      <c r="C8555" s="52"/>
      <c r="D8555" s="55">
        <f t="shared" si="133"/>
        <v>0</v>
      </c>
      <c r="E8555" s="63" t="str">
        <f>HYPERLINK("https://www.sds-group.ru/product/remen-styazhnoy-dlya-gruza-bagazhnyy-s-kryukami-i-hrapovym-mehanizmom-10h0-038m-rexant-80-0243/", "Инфо")</f>
        <v>Инфо</v>
      </c>
      <c r="F8555" s="16" t="s">
        <v>39</v>
      </c>
      <c r="G8555" s="15"/>
      <c r="H8555" s="15"/>
      <c r="I8555" s="15"/>
      <c r="J8555" s="16" t="s">
        <v>100</v>
      </c>
      <c r="K8555" s="15" t="s">
        <v>1094</v>
      </c>
      <c r="L8555" s="17">
        <v>1</v>
      </c>
      <c r="M8555" s="17">
        <v>20</v>
      </c>
      <c r="N8555" s="17">
        <v>1</v>
      </c>
      <c r="O8555" s="18">
        <v>1216.82</v>
      </c>
      <c r="P8555" s="18">
        <v>997.39</v>
      </c>
      <c r="Q8555" s="18">
        <v>961.29</v>
      </c>
      <c r="R8555" s="18">
        <v>787.94</v>
      </c>
      <c r="S8555" s="18">
        <v>827.44</v>
      </c>
      <c r="T8555" s="18">
        <v>678.23</v>
      </c>
      <c r="U8555" s="16"/>
      <c r="V8555" s="16"/>
      <c r="W8555" s="16" t="s">
        <v>40</v>
      </c>
      <c r="X8555" s="19">
        <v>0.80700000000000005</v>
      </c>
      <c r="Y8555" s="20">
        <v>1.3090000000000001E-3</v>
      </c>
      <c r="Z8555" s="21">
        <v>4601004208834</v>
      </c>
    </row>
    <row r="8556" spans="1:26" ht="12" customHeight="1" outlineLevel="4" x14ac:dyDescent="0.2">
      <c r="A8556" s="14" t="s">
        <v>16337</v>
      </c>
      <c r="B8556" s="26" t="s">
        <v>16338</v>
      </c>
      <c r="C8556" s="52"/>
      <c r="D8556" s="55">
        <f t="shared" si="133"/>
        <v>0</v>
      </c>
      <c r="E8556" s="63" t="str">
        <f>HYPERLINK("https://www.sds-group.ru/product/remen-styazhnoy-dlya-gruza-bagazhnyy-s-kryukami-i-hrapovym-mehanizmom-5h0-038m-rexant-80-0241/", "Инфо")</f>
        <v>Инфо</v>
      </c>
      <c r="F8556" s="16" t="s">
        <v>39</v>
      </c>
      <c r="G8556" s="15"/>
      <c r="H8556" s="15"/>
      <c r="I8556" s="15"/>
      <c r="J8556" s="16" t="s">
        <v>100</v>
      </c>
      <c r="K8556" s="15" t="s">
        <v>1381</v>
      </c>
      <c r="L8556" s="17">
        <v>1</v>
      </c>
      <c r="M8556" s="17">
        <v>25</v>
      </c>
      <c r="N8556" s="17">
        <v>1</v>
      </c>
      <c r="O8556" s="18">
        <v>1018.72</v>
      </c>
      <c r="P8556" s="18">
        <v>835.02</v>
      </c>
      <c r="Q8556" s="18">
        <v>814.98</v>
      </c>
      <c r="R8556" s="18">
        <v>668.02</v>
      </c>
      <c r="S8556" s="18">
        <v>692.73</v>
      </c>
      <c r="T8556" s="18">
        <v>567.80999999999995</v>
      </c>
      <c r="U8556" s="16"/>
      <c r="V8556" s="16"/>
      <c r="W8556" s="16" t="s">
        <v>40</v>
      </c>
      <c r="X8556" s="19">
        <v>0.3</v>
      </c>
      <c r="Y8556" s="20">
        <v>1.2999999999999999E-3</v>
      </c>
      <c r="Z8556" s="21">
        <v>4601004208995</v>
      </c>
    </row>
    <row r="8557" spans="1:26" ht="12" customHeight="1" outlineLevel="4" x14ac:dyDescent="0.2">
      <c r="A8557" s="14" t="s">
        <v>16339</v>
      </c>
      <c r="B8557" s="26" t="s">
        <v>16340</v>
      </c>
      <c r="C8557" s="52"/>
      <c r="D8557" s="55">
        <f t="shared" si="133"/>
        <v>0</v>
      </c>
      <c r="E8557" s="63" t="str">
        <f>HYPERLINK("https://www.sds-group.ru/product/remen-styazhnoy-dlya-gruza-bagazhnyy-s-kryukami-i-hrapovym-mehanizmom-8h0-038m-rexant-80-0242/", "Инфо")</f>
        <v>Инфо</v>
      </c>
      <c r="F8557" s="16" t="s">
        <v>39</v>
      </c>
      <c r="G8557" s="15"/>
      <c r="H8557" s="15"/>
      <c r="I8557" s="15"/>
      <c r="J8557" s="17">
        <v>109</v>
      </c>
      <c r="K8557" s="15"/>
      <c r="L8557" s="17">
        <v>1</v>
      </c>
      <c r="M8557" s="17">
        <v>20</v>
      </c>
      <c r="N8557" s="17">
        <v>1</v>
      </c>
      <c r="O8557" s="18">
        <v>1131.92</v>
      </c>
      <c r="P8557" s="18">
        <v>927.8</v>
      </c>
      <c r="Q8557" s="18">
        <v>905.54</v>
      </c>
      <c r="R8557" s="18">
        <v>742.25</v>
      </c>
      <c r="S8557" s="18">
        <v>769.71</v>
      </c>
      <c r="T8557" s="18">
        <v>630.91</v>
      </c>
      <c r="U8557" s="16"/>
      <c r="V8557" s="16"/>
      <c r="W8557" s="16" t="s">
        <v>40</v>
      </c>
      <c r="X8557" s="19">
        <v>0.77700000000000002</v>
      </c>
      <c r="Y8557" s="20">
        <v>1.2080000000000001E-3</v>
      </c>
      <c r="Z8557" s="21">
        <v>4601004208827</v>
      </c>
    </row>
    <row r="8558" spans="1:26" ht="12.95" customHeight="1" outlineLevel="3" x14ac:dyDescent="0.2">
      <c r="A8558" s="76" t="s">
        <v>16341</v>
      </c>
      <c r="B8558" s="76"/>
      <c r="C8558" s="77"/>
      <c r="D8558" s="58"/>
      <c r="E8558" s="68"/>
      <c r="F8558" s="13"/>
      <c r="G8558" s="13"/>
      <c r="H8558" s="13"/>
      <c r="I8558" s="13"/>
      <c r="J8558" s="13"/>
      <c r="K8558" s="13"/>
      <c r="L8558" s="13"/>
      <c r="M8558" s="13"/>
      <c r="N8558" s="13"/>
      <c r="O8558" s="13"/>
      <c r="P8558" s="13"/>
      <c r="Q8558" s="13"/>
      <c r="R8558" s="13"/>
      <c r="S8558" s="13"/>
      <c r="T8558" s="13"/>
      <c r="U8558" s="13"/>
      <c r="V8558" s="13"/>
      <c r="W8558" s="13"/>
      <c r="X8558" s="13"/>
      <c r="Y8558" s="13"/>
      <c r="Z8558" s="13"/>
    </row>
    <row r="8559" spans="1:26" ht="12" customHeight="1" outlineLevel="4" x14ac:dyDescent="0.2">
      <c r="A8559" s="32" t="s">
        <v>16342</v>
      </c>
      <c r="B8559" s="74" t="s">
        <v>16343</v>
      </c>
      <c r="C8559" s="50"/>
      <c r="D8559" s="53">
        <f t="shared" si="133"/>
        <v>0</v>
      </c>
      <c r="E8559" s="60" t="str">
        <f>HYPERLINK("https://www.sds-group.ru/product/karman-v-bagazhnik-na-lipuchke-universalnyy-25h20sm-rexant-80-0264/", "Инфо")</f>
        <v>Инфо</v>
      </c>
      <c r="F8559" s="34" t="s">
        <v>39</v>
      </c>
      <c r="G8559" s="33"/>
      <c r="H8559" s="33" t="s">
        <v>40</v>
      </c>
      <c r="I8559" s="33"/>
      <c r="J8559" s="35">
        <v>48</v>
      </c>
      <c r="K8559" s="33"/>
      <c r="L8559" s="35">
        <v>1</v>
      </c>
      <c r="M8559" s="35">
        <v>1</v>
      </c>
      <c r="N8559" s="35">
        <v>1</v>
      </c>
      <c r="O8559" s="36">
        <v>254.4</v>
      </c>
      <c r="P8559" s="36">
        <v>208.52</v>
      </c>
      <c r="Q8559" s="36">
        <v>178.08</v>
      </c>
      <c r="R8559" s="36">
        <v>145.97</v>
      </c>
      <c r="S8559" s="36">
        <v>172.99</v>
      </c>
      <c r="T8559" s="36">
        <v>141.80000000000001</v>
      </c>
      <c r="U8559" s="34"/>
      <c r="V8559" s="34"/>
      <c r="W8559" s="34"/>
      <c r="X8559" s="37">
        <v>2.1000000000000001E-2</v>
      </c>
      <c r="Y8559" s="38">
        <v>2.4899999999999998E-4</v>
      </c>
      <c r="Z8559" s="21">
        <v>4601004255593</v>
      </c>
    </row>
    <row r="8560" spans="1:26" ht="12" customHeight="1" outlineLevel="4" x14ac:dyDescent="0.2">
      <c r="A8560" s="32" t="s">
        <v>16344</v>
      </c>
      <c r="B8560" s="74" t="s">
        <v>16345</v>
      </c>
      <c r="C8560" s="50"/>
      <c r="D8560" s="53">
        <f t="shared" si="133"/>
        <v>0</v>
      </c>
      <c r="E8560" s="60" t="str">
        <f>HYPERLINK("https://www.sds-group.ru/product/nakidka-zaschitnaya-na-bamper-100h75sm-rexant-80-0270/", "Инфо")</f>
        <v>Инфо</v>
      </c>
      <c r="F8560" s="34" t="s">
        <v>39</v>
      </c>
      <c r="G8560" s="33"/>
      <c r="H8560" s="33" t="s">
        <v>40</v>
      </c>
      <c r="I8560" s="33"/>
      <c r="J8560" s="35">
        <v>33</v>
      </c>
      <c r="K8560" s="33"/>
      <c r="L8560" s="35">
        <v>1</v>
      </c>
      <c r="M8560" s="35">
        <v>1</v>
      </c>
      <c r="N8560" s="35">
        <v>1</v>
      </c>
      <c r="O8560" s="36">
        <v>1060</v>
      </c>
      <c r="P8560" s="36">
        <v>868.85</v>
      </c>
      <c r="Q8560" s="36">
        <v>742</v>
      </c>
      <c r="R8560" s="36">
        <v>608.20000000000005</v>
      </c>
      <c r="S8560" s="36">
        <v>720.8</v>
      </c>
      <c r="T8560" s="36">
        <v>590.82000000000005</v>
      </c>
      <c r="U8560" s="34"/>
      <c r="V8560" s="34"/>
      <c r="W8560" s="34"/>
      <c r="X8560" s="37">
        <v>0.20699999999999999</v>
      </c>
      <c r="Y8560" s="38">
        <v>4.3870000000000003E-3</v>
      </c>
      <c r="Z8560" s="21">
        <v>4601004255654</v>
      </c>
    </row>
    <row r="8561" spans="1:26" ht="12" customHeight="1" outlineLevel="4" x14ac:dyDescent="0.2">
      <c r="A8561" s="32" t="s">
        <v>16346</v>
      </c>
      <c r="B8561" s="74" t="s">
        <v>16347</v>
      </c>
      <c r="C8561" s="50"/>
      <c r="D8561" s="53">
        <f t="shared" si="133"/>
        <v>0</v>
      </c>
      <c r="E8561" s="60" t="str">
        <f>HYPERLINK("https://www.sds-group.ru/product/nakidka-zaschitnaya-na-spinku-perednego-sidenya-60h50sm-pvh-prozrachnaya-rexant-80-0268/", "Инфо")</f>
        <v>Инфо</v>
      </c>
      <c r="F8561" s="34" t="s">
        <v>39</v>
      </c>
      <c r="G8561" s="33"/>
      <c r="H8561" s="33" t="s">
        <v>40</v>
      </c>
      <c r="I8561" s="33"/>
      <c r="J8561" s="35">
        <v>20</v>
      </c>
      <c r="K8561" s="33"/>
      <c r="L8561" s="35">
        <v>1</v>
      </c>
      <c r="M8561" s="35">
        <v>1</v>
      </c>
      <c r="N8561" s="35">
        <v>1</v>
      </c>
      <c r="O8561" s="36">
        <v>464.09</v>
      </c>
      <c r="P8561" s="36">
        <v>380.4</v>
      </c>
      <c r="Q8561" s="36">
        <v>324.86</v>
      </c>
      <c r="R8561" s="36">
        <v>266.27999999999997</v>
      </c>
      <c r="S8561" s="36">
        <v>315.58</v>
      </c>
      <c r="T8561" s="36">
        <v>258.67</v>
      </c>
      <c r="U8561" s="34"/>
      <c r="V8561" s="34"/>
      <c r="W8561" s="34"/>
      <c r="X8561" s="37">
        <v>6.8000000000000005E-2</v>
      </c>
      <c r="Y8561" s="38">
        <v>3.97E-4</v>
      </c>
      <c r="Z8561" s="21">
        <v>4601004255630</v>
      </c>
    </row>
    <row r="8562" spans="1:26" ht="12" customHeight="1" outlineLevel="4" x14ac:dyDescent="0.2">
      <c r="A8562" s="32" t="s">
        <v>16348</v>
      </c>
      <c r="B8562" s="74" t="s">
        <v>16349</v>
      </c>
      <c r="C8562" s="50"/>
      <c r="D8562" s="53">
        <f t="shared" si="133"/>
        <v>0</v>
      </c>
      <c r="E8562" s="60" t="str">
        <f>HYPERLINK("https://www.sds-group.ru/product/nakidka-zaschitnaya-na-spinku-perednego-sidenya-60h50sm-tkan-oksford-chernaya-rexant-80-0269/", "Инфо")</f>
        <v>Инфо</v>
      </c>
      <c r="F8562" s="34" t="s">
        <v>39</v>
      </c>
      <c r="G8562" s="33"/>
      <c r="H8562" s="33" t="s">
        <v>40</v>
      </c>
      <c r="I8562" s="33"/>
      <c r="J8562" s="35">
        <v>36</v>
      </c>
      <c r="K8562" s="33"/>
      <c r="L8562" s="35">
        <v>1</v>
      </c>
      <c r="M8562" s="35">
        <v>1</v>
      </c>
      <c r="N8562" s="35">
        <v>1</v>
      </c>
      <c r="O8562" s="36">
        <v>486.73</v>
      </c>
      <c r="P8562" s="36">
        <v>398.96</v>
      </c>
      <c r="Q8562" s="36">
        <v>340.71</v>
      </c>
      <c r="R8562" s="36">
        <v>279.27</v>
      </c>
      <c r="S8562" s="36">
        <v>330.98</v>
      </c>
      <c r="T8562" s="36">
        <v>271.3</v>
      </c>
      <c r="U8562" s="34"/>
      <c r="V8562" s="34"/>
      <c r="W8562" s="34"/>
      <c r="X8562" s="37">
        <v>0.108</v>
      </c>
      <c r="Y8562" s="38">
        <v>6.9800000000000005E-4</v>
      </c>
      <c r="Z8562" s="21">
        <v>4601004255647</v>
      </c>
    </row>
    <row r="8563" spans="1:26" ht="12" customHeight="1" outlineLevel="4" x14ac:dyDescent="0.2">
      <c r="A8563" s="32" t="s">
        <v>16350</v>
      </c>
      <c r="B8563" s="74" t="s">
        <v>16351</v>
      </c>
      <c r="C8563" s="50"/>
      <c r="D8563" s="53">
        <f t="shared" si="133"/>
        <v>0</v>
      </c>
      <c r="E8563" s="60" t="str">
        <f>HYPERLINK("https://www.sds-group.ru/product/nakidka-zaschitnaya-pod-detskoe-avtokreslo-s-karmanom-rexant-80-0267/", "Инфо")</f>
        <v>Инфо</v>
      </c>
      <c r="F8563" s="34" t="s">
        <v>39</v>
      </c>
      <c r="G8563" s="33"/>
      <c r="H8563" s="33" t="s">
        <v>40</v>
      </c>
      <c r="I8563" s="33"/>
      <c r="J8563" s="35">
        <v>42</v>
      </c>
      <c r="K8563" s="33"/>
      <c r="L8563" s="35">
        <v>1</v>
      </c>
      <c r="M8563" s="35">
        <v>1</v>
      </c>
      <c r="N8563" s="35">
        <v>1</v>
      </c>
      <c r="O8563" s="36">
        <v>855.73</v>
      </c>
      <c r="P8563" s="36">
        <v>701.42</v>
      </c>
      <c r="Q8563" s="36">
        <v>599.01</v>
      </c>
      <c r="R8563" s="36">
        <v>490.99</v>
      </c>
      <c r="S8563" s="36">
        <v>581.9</v>
      </c>
      <c r="T8563" s="36">
        <v>476.97</v>
      </c>
      <c r="U8563" s="34"/>
      <c r="V8563" s="34"/>
      <c r="W8563" s="34"/>
      <c r="X8563" s="37">
        <v>0.23400000000000001</v>
      </c>
      <c r="Y8563" s="38">
        <v>3.251E-3</v>
      </c>
      <c r="Z8563" s="21">
        <v>4601004255623</v>
      </c>
    </row>
    <row r="8564" spans="1:26" ht="12" customHeight="1" outlineLevel="4" x14ac:dyDescent="0.2">
      <c r="A8564" s="32" t="s">
        <v>16352</v>
      </c>
      <c r="B8564" s="74" t="s">
        <v>16353</v>
      </c>
      <c r="C8564" s="50"/>
      <c r="D8564" s="53">
        <f t="shared" si="133"/>
        <v>0</v>
      </c>
      <c r="E8564" s="60" t="str">
        <f>HYPERLINK("https://www.sds-group.ru/product/nakidka-zaschitnaya-pod-detskoe-avtokreslo-so-spinkoy-i-karmanom-rexant-80-0266/", "Инфо")</f>
        <v>Инфо</v>
      </c>
      <c r="F8564" s="34" t="s">
        <v>39</v>
      </c>
      <c r="G8564" s="33"/>
      <c r="H8564" s="33" t="s">
        <v>40</v>
      </c>
      <c r="I8564" s="33"/>
      <c r="J8564" s="35">
        <v>77</v>
      </c>
      <c r="K8564" s="33"/>
      <c r="L8564" s="35">
        <v>1</v>
      </c>
      <c r="M8564" s="35">
        <v>1</v>
      </c>
      <c r="N8564" s="35">
        <v>1</v>
      </c>
      <c r="O8564" s="36">
        <v>1219</v>
      </c>
      <c r="P8564" s="36">
        <v>999.18</v>
      </c>
      <c r="Q8564" s="36">
        <v>853.3</v>
      </c>
      <c r="R8564" s="36">
        <v>699.43</v>
      </c>
      <c r="S8564" s="36">
        <v>828.92</v>
      </c>
      <c r="T8564" s="36">
        <v>679.44</v>
      </c>
      <c r="U8564" s="34"/>
      <c r="V8564" s="34"/>
      <c r="W8564" s="34"/>
      <c r="X8564" s="37">
        <v>0.41399999999999998</v>
      </c>
      <c r="Y8564" s="38">
        <v>6.4720000000000003E-3</v>
      </c>
      <c r="Z8564" s="21">
        <v>4601004255616</v>
      </c>
    </row>
    <row r="8565" spans="1:26" ht="12" customHeight="1" outlineLevel="4" x14ac:dyDescent="0.2">
      <c r="A8565" s="14" t="s">
        <v>16354</v>
      </c>
      <c r="B8565" s="26" t="s">
        <v>16355</v>
      </c>
      <c r="C8565" s="52"/>
      <c r="D8565" s="55">
        <f t="shared" si="133"/>
        <v>0</v>
      </c>
      <c r="E8565" s="63" t="str">
        <f>HYPERLINK("https://www.sds-group.ru/product/organayzer-v-bagazhnik-1-otdelenie-23-litra-rexant-80-0261/", "Инфо")</f>
        <v>Инфо</v>
      </c>
      <c r="F8565" s="16" t="s">
        <v>39</v>
      </c>
      <c r="G8565" s="15"/>
      <c r="H8565" s="15"/>
      <c r="I8565" s="15"/>
      <c r="J8565" s="17">
        <v>143</v>
      </c>
      <c r="K8565" s="15"/>
      <c r="L8565" s="17">
        <v>1</v>
      </c>
      <c r="M8565" s="17">
        <v>1</v>
      </c>
      <c r="N8565" s="17">
        <v>1</v>
      </c>
      <c r="O8565" s="18">
        <v>1075.33</v>
      </c>
      <c r="P8565" s="18">
        <v>881.42</v>
      </c>
      <c r="Q8565" s="18">
        <v>860.26</v>
      </c>
      <c r="R8565" s="18">
        <v>705.13</v>
      </c>
      <c r="S8565" s="18">
        <v>731.22</v>
      </c>
      <c r="T8565" s="18">
        <v>599.36</v>
      </c>
      <c r="U8565" s="16"/>
      <c r="V8565" s="16"/>
      <c r="W8565" s="16" t="s">
        <v>40</v>
      </c>
      <c r="X8565" s="19">
        <v>0.28599999999999998</v>
      </c>
      <c r="Y8565" s="20">
        <v>2.2469999999999999E-3</v>
      </c>
      <c r="Z8565" s="21">
        <v>4601004255562</v>
      </c>
    </row>
    <row r="8566" spans="1:26" ht="12" customHeight="1" outlineLevel="4" x14ac:dyDescent="0.2">
      <c r="A8566" s="14" t="s">
        <v>16356</v>
      </c>
      <c r="B8566" s="26" t="s">
        <v>16357</v>
      </c>
      <c r="C8566" s="52"/>
      <c r="D8566" s="55">
        <f t="shared" si="133"/>
        <v>0</v>
      </c>
      <c r="E8566" s="63" t="str">
        <f>HYPERLINK("https://www.sds-group.ru/product/organayzer-v-bagazhnik-3-otdeleniya-65-litrov-rexant-80-0260/", "Инфо")</f>
        <v>Инфо</v>
      </c>
      <c r="F8566" s="16" t="s">
        <v>39</v>
      </c>
      <c r="G8566" s="15"/>
      <c r="H8566" s="15"/>
      <c r="I8566" s="15"/>
      <c r="J8566" s="17">
        <v>61</v>
      </c>
      <c r="K8566" s="15"/>
      <c r="L8566" s="17">
        <v>1</v>
      </c>
      <c r="M8566" s="17">
        <v>1</v>
      </c>
      <c r="N8566" s="17">
        <v>1</v>
      </c>
      <c r="O8566" s="18">
        <v>1924.27</v>
      </c>
      <c r="P8566" s="18">
        <v>1577.27</v>
      </c>
      <c r="Q8566" s="18">
        <v>1520.17</v>
      </c>
      <c r="R8566" s="18">
        <v>1246.04</v>
      </c>
      <c r="S8566" s="18">
        <v>1308.5</v>
      </c>
      <c r="T8566" s="18">
        <v>1072.54</v>
      </c>
      <c r="U8566" s="16"/>
      <c r="V8566" s="16"/>
      <c r="W8566" s="16" t="s">
        <v>40</v>
      </c>
      <c r="X8566" s="19">
        <v>0.88500000000000001</v>
      </c>
      <c r="Y8566" s="20">
        <v>7.3270000000000002E-3</v>
      </c>
      <c r="Z8566" s="21">
        <v>4601004255661</v>
      </c>
    </row>
    <row r="8567" spans="1:26" ht="12" customHeight="1" outlineLevel="4" x14ac:dyDescent="0.2">
      <c r="A8567" s="32" t="s">
        <v>16358</v>
      </c>
      <c r="B8567" s="74" t="s">
        <v>16359</v>
      </c>
      <c r="C8567" s="50"/>
      <c r="D8567" s="53">
        <f t="shared" si="133"/>
        <v>0</v>
      </c>
      <c r="E8567" s="60" t="str">
        <f>HYPERLINK("https://www.sds-group.ru/product/organayzer-na-spinku-zadnego-sidenya-bolshoy-rexant-80-0262/", "Инфо")</f>
        <v>Инфо</v>
      </c>
      <c r="F8567" s="34" t="s">
        <v>39</v>
      </c>
      <c r="G8567" s="33"/>
      <c r="H8567" s="33" t="s">
        <v>40</v>
      </c>
      <c r="I8567" s="33"/>
      <c r="J8567" s="35">
        <v>23</v>
      </c>
      <c r="K8567" s="33"/>
      <c r="L8567" s="35">
        <v>1</v>
      </c>
      <c r="M8567" s="35">
        <v>1</v>
      </c>
      <c r="N8567" s="35">
        <v>1</v>
      </c>
      <c r="O8567" s="36">
        <v>1771.46</v>
      </c>
      <c r="P8567" s="36">
        <v>1452.02</v>
      </c>
      <c r="Q8567" s="36">
        <v>1240.02</v>
      </c>
      <c r="R8567" s="36">
        <v>1016.41</v>
      </c>
      <c r="S8567" s="36">
        <v>1204.5899999999999</v>
      </c>
      <c r="T8567" s="36">
        <v>987.37</v>
      </c>
      <c r="U8567" s="34"/>
      <c r="V8567" s="34"/>
      <c r="W8567" s="34"/>
      <c r="X8567" s="37">
        <v>0.505</v>
      </c>
      <c r="Y8567" s="38">
        <v>3.8349999999999999E-3</v>
      </c>
      <c r="Z8567" s="21">
        <v>4601004255579</v>
      </c>
    </row>
    <row r="8568" spans="1:26" ht="12" customHeight="1" outlineLevel="4" x14ac:dyDescent="0.2">
      <c r="A8568" s="32" t="s">
        <v>16360</v>
      </c>
      <c r="B8568" s="74" t="s">
        <v>16361</v>
      </c>
      <c r="C8568" s="50"/>
      <c r="D8568" s="53">
        <f t="shared" si="133"/>
        <v>0</v>
      </c>
      <c r="E8568" s="60" t="str">
        <f>HYPERLINK("https://www.sds-group.ru/product/organayzer-na-spinku-zadnego-sidenya-malyy-rexant-80-0263/", "Инфо")</f>
        <v>Инфо</v>
      </c>
      <c r="F8568" s="34" t="s">
        <v>39</v>
      </c>
      <c r="G8568" s="33"/>
      <c r="H8568" s="33" t="s">
        <v>40</v>
      </c>
      <c r="I8568" s="33"/>
      <c r="J8568" s="35">
        <v>42</v>
      </c>
      <c r="K8568" s="33"/>
      <c r="L8568" s="35">
        <v>1</v>
      </c>
      <c r="M8568" s="35">
        <v>1</v>
      </c>
      <c r="N8568" s="35">
        <v>1</v>
      </c>
      <c r="O8568" s="36">
        <v>1250.8</v>
      </c>
      <c r="P8568" s="36">
        <v>1025.25</v>
      </c>
      <c r="Q8568" s="36">
        <v>875.56</v>
      </c>
      <c r="R8568" s="36">
        <v>717.67</v>
      </c>
      <c r="S8568" s="36">
        <v>850.54</v>
      </c>
      <c r="T8568" s="36">
        <v>697.16</v>
      </c>
      <c r="U8568" s="34"/>
      <c r="V8568" s="34"/>
      <c r="W8568" s="34"/>
      <c r="X8568" s="37">
        <v>0.33800000000000002</v>
      </c>
      <c r="Y8568" s="38">
        <v>2.725E-3</v>
      </c>
      <c r="Z8568" s="21">
        <v>4601004255586</v>
      </c>
    </row>
    <row r="8569" spans="1:26" ht="12.95" customHeight="1" outlineLevel="3" x14ac:dyDescent="0.2">
      <c r="A8569" s="76" t="s">
        <v>16362</v>
      </c>
      <c r="B8569" s="76"/>
      <c r="C8569" s="77"/>
      <c r="D8569" s="58"/>
      <c r="E8569" s="68"/>
      <c r="F8569" s="13"/>
      <c r="G8569" s="13"/>
      <c r="H8569" s="13"/>
      <c r="I8569" s="13"/>
      <c r="J8569" s="13"/>
      <c r="K8569" s="13"/>
      <c r="L8569" s="13"/>
      <c r="M8569" s="13"/>
      <c r="N8569" s="13"/>
      <c r="O8569" s="13"/>
      <c r="P8569" s="13"/>
      <c r="Q8569" s="13"/>
      <c r="R8569" s="13"/>
      <c r="S8569" s="13"/>
      <c r="T8569" s="13"/>
      <c r="U8569" s="13"/>
      <c r="V8569" s="13"/>
      <c r="W8569" s="13"/>
      <c r="X8569" s="13"/>
      <c r="Y8569" s="13"/>
      <c r="Z8569" s="13"/>
    </row>
    <row r="8570" spans="1:26" ht="12" customHeight="1" outlineLevel="4" x14ac:dyDescent="0.2">
      <c r="A8570" s="32" t="s">
        <v>16363</v>
      </c>
      <c r="B8570" s="74" t="s">
        <v>16364</v>
      </c>
      <c r="C8570" s="50"/>
      <c r="D8570" s="53">
        <f t="shared" si="133"/>
        <v>0</v>
      </c>
      <c r="E8570" s="60" t="str">
        <f>HYPERLINK("https://www.sds-group.ru/product/sumka-holodilnik-termosumka-10l-2-sloya-utepleniya-s-karmanami-chetyre-sezona-80-0282/", "Инфо")</f>
        <v>Инфо</v>
      </c>
      <c r="F8570" s="34" t="s">
        <v>39</v>
      </c>
      <c r="G8570" s="33"/>
      <c r="H8570" s="33" t="s">
        <v>40</v>
      </c>
      <c r="I8570" s="33"/>
      <c r="J8570" s="35">
        <v>18</v>
      </c>
      <c r="K8570" s="33"/>
      <c r="L8570" s="35">
        <v>1</v>
      </c>
      <c r="M8570" s="35">
        <v>20</v>
      </c>
      <c r="N8570" s="35">
        <v>1</v>
      </c>
      <c r="O8570" s="36">
        <v>2150.66</v>
      </c>
      <c r="P8570" s="36">
        <v>1762.84</v>
      </c>
      <c r="Q8570" s="36">
        <v>1656.01</v>
      </c>
      <c r="R8570" s="36">
        <v>1357.39</v>
      </c>
      <c r="S8570" s="36">
        <v>1462.45</v>
      </c>
      <c r="T8570" s="36">
        <v>1198.73</v>
      </c>
      <c r="U8570" s="34"/>
      <c r="V8570" s="34"/>
      <c r="W8570" s="34" t="s">
        <v>40</v>
      </c>
      <c r="X8570" s="37">
        <v>0.29299999999999998</v>
      </c>
      <c r="Y8570" s="38">
        <v>4.3969999999999999E-3</v>
      </c>
      <c r="Z8570" s="21">
        <v>4601004260238</v>
      </c>
    </row>
    <row r="8571" spans="1:26" ht="12" customHeight="1" outlineLevel="4" x14ac:dyDescent="0.2">
      <c r="A8571" s="32" t="s">
        <v>16365</v>
      </c>
      <c r="B8571" s="74" t="s">
        <v>16366</v>
      </c>
      <c r="C8571" s="50"/>
      <c r="D8571" s="53">
        <f t="shared" si="133"/>
        <v>0</v>
      </c>
      <c r="E8571" s="60" t="str">
        <f>HYPERLINK("https://www.sds-group.ru/product/sumka-holodilnik-termosumka-15l-chetyre-sezona-80-0286/", "Инфо")</f>
        <v>Инфо</v>
      </c>
      <c r="F8571" s="34" t="s">
        <v>39</v>
      </c>
      <c r="G8571" s="33"/>
      <c r="H8571" s="33" t="s">
        <v>40</v>
      </c>
      <c r="I8571" s="33"/>
      <c r="J8571" s="35">
        <v>22</v>
      </c>
      <c r="K8571" s="33"/>
      <c r="L8571" s="35">
        <v>1</v>
      </c>
      <c r="M8571" s="35">
        <v>26</v>
      </c>
      <c r="N8571" s="35">
        <v>1</v>
      </c>
      <c r="O8571" s="36">
        <v>1697.89</v>
      </c>
      <c r="P8571" s="36">
        <v>1391.71</v>
      </c>
      <c r="Q8571" s="36">
        <v>1341.33</v>
      </c>
      <c r="R8571" s="36">
        <v>1099.45</v>
      </c>
      <c r="S8571" s="36">
        <v>1154.57</v>
      </c>
      <c r="T8571" s="36">
        <v>946.37</v>
      </c>
      <c r="U8571" s="34"/>
      <c r="V8571" s="34"/>
      <c r="W8571" s="34" t="s">
        <v>40</v>
      </c>
      <c r="X8571" s="37">
        <v>0.217</v>
      </c>
      <c r="Y8571" s="38">
        <v>4.7759999999999999E-3</v>
      </c>
      <c r="Z8571" s="21">
        <v>4601004260276</v>
      </c>
    </row>
    <row r="8572" spans="1:26" ht="12" customHeight="1" outlineLevel="4" x14ac:dyDescent="0.2">
      <c r="A8572" s="14" t="s">
        <v>16367</v>
      </c>
      <c r="B8572" s="26" t="s">
        <v>16368</v>
      </c>
      <c r="C8572" s="52"/>
      <c r="D8572" s="55">
        <f t="shared" si="133"/>
        <v>0</v>
      </c>
      <c r="E8572" s="63" t="str">
        <f>HYPERLINK("https://www.sds-group.ru/product/sumka-holodilnik-termosumka-15l-2-sloya-utepleniya-chetyre-sezona-80-0283/", "Инфо")</f>
        <v>Инфо</v>
      </c>
      <c r="F8572" s="16" t="s">
        <v>39</v>
      </c>
      <c r="G8572" s="15"/>
      <c r="H8572" s="15"/>
      <c r="I8572" s="15"/>
      <c r="J8572" s="17">
        <v>55</v>
      </c>
      <c r="K8572" s="15"/>
      <c r="L8572" s="17">
        <v>1</v>
      </c>
      <c r="M8572" s="17">
        <v>15</v>
      </c>
      <c r="N8572" s="17">
        <v>1</v>
      </c>
      <c r="O8572" s="18">
        <v>1923.14</v>
      </c>
      <c r="P8572" s="18">
        <v>1576.34</v>
      </c>
      <c r="Q8572" s="18">
        <v>1519.28</v>
      </c>
      <c r="R8572" s="18">
        <v>1245.31</v>
      </c>
      <c r="S8572" s="18">
        <v>1307.74</v>
      </c>
      <c r="T8572" s="18">
        <v>1071.92</v>
      </c>
      <c r="U8572" s="16"/>
      <c r="V8572" s="16"/>
      <c r="W8572" s="16" t="s">
        <v>40</v>
      </c>
      <c r="X8572" s="19">
        <v>0.379</v>
      </c>
      <c r="Y8572" s="20">
        <v>7.6309999999999998E-3</v>
      </c>
      <c r="Z8572" s="21">
        <v>4601004260245</v>
      </c>
    </row>
    <row r="8573" spans="1:26" ht="12" customHeight="1" outlineLevel="4" x14ac:dyDescent="0.2">
      <c r="A8573" s="14" t="s">
        <v>16369</v>
      </c>
      <c r="B8573" s="26" t="s">
        <v>16370</v>
      </c>
      <c r="C8573" s="52"/>
      <c r="D8573" s="55">
        <f t="shared" si="133"/>
        <v>0</v>
      </c>
      <c r="E8573" s="63" t="str">
        <f>HYPERLINK("https://www.sds-group.ru/product/sumka-holodilnik-termosumka-20l-chetyre-sezona-80-0287/", "Инфо")</f>
        <v>Инфо</v>
      </c>
      <c r="F8573" s="16" t="s">
        <v>39</v>
      </c>
      <c r="G8573" s="15"/>
      <c r="H8573" s="15"/>
      <c r="I8573" s="15"/>
      <c r="J8573" s="17">
        <v>79</v>
      </c>
      <c r="K8573" s="15"/>
      <c r="L8573" s="17">
        <v>1</v>
      </c>
      <c r="M8573" s="17">
        <v>18</v>
      </c>
      <c r="N8573" s="17">
        <v>1</v>
      </c>
      <c r="O8573" s="18">
        <v>1923.14</v>
      </c>
      <c r="P8573" s="18">
        <v>1576.34</v>
      </c>
      <c r="Q8573" s="18">
        <v>1519.28</v>
      </c>
      <c r="R8573" s="18">
        <v>1245.31</v>
      </c>
      <c r="S8573" s="18">
        <v>1307.74</v>
      </c>
      <c r="T8573" s="18">
        <v>1071.92</v>
      </c>
      <c r="U8573" s="16"/>
      <c r="V8573" s="16"/>
      <c r="W8573" s="16" t="s">
        <v>40</v>
      </c>
      <c r="X8573" s="19">
        <v>0.35699999999999998</v>
      </c>
      <c r="Y8573" s="20">
        <v>5.4270000000000004E-3</v>
      </c>
      <c r="Z8573" s="21">
        <v>4601004260283</v>
      </c>
    </row>
    <row r="8574" spans="1:26" ht="12" customHeight="1" outlineLevel="4" x14ac:dyDescent="0.2">
      <c r="A8574" s="14" t="s">
        <v>16371</v>
      </c>
      <c r="B8574" s="26" t="s">
        <v>16372</v>
      </c>
      <c r="C8574" s="52"/>
      <c r="D8574" s="55">
        <f t="shared" si="133"/>
        <v>0</v>
      </c>
      <c r="E8574" s="63" t="str">
        <f>HYPERLINK("https://www.sds-group.ru/product/sumka-holodilnik-termosumka-20l-2-sloya-utepleniya-chetyre-sezona-80-0284/", "Инфо")</f>
        <v>Инфо</v>
      </c>
      <c r="F8574" s="16" t="s">
        <v>39</v>
      </c>
      <c r="G8574" s="15"/>
      <c r="H8574" s="15"/>
      <c r="I8574" s="15"/>
      <c r="J8574" s="17">
        <v>67</v>
      </c>
      <c r="K8574" s="15"/>
      <c r="L8574" s="17">
        <v>1</v>
      </c>
      <c r="M8574" s="17">
        <v>14</v>
      </c>
      <c r="N8574" s="17">
        <v>1</v>
      </c>
      <c r="O8574" s="18">
        <v>2602.29</v>
      </c>
      <c r="P8574" s="18">
        <v>2133.02</v>
      </c>
      <c r="Q8574" s="18">
        <v>2003.76</v>
      </c>
      <c r="R8574" s="18">
        <v>1642.43</v>
      </c>
      <c r="S8574" s="18">
        <v>1769.56</v>
      </c>
      <c r="T8574" s="18">
        <v>1450.46</v>
      </c>
      <c r="U8574" s="16"/>
      <c r="V8574" s="16"/>
      <c r="W8574" s="16" t="s">
        <v>40</v>
      </c>
      <c r="X8574" s="19">
        <v>0.50600000000000001</v>
      </c>
      <c r="Y8574" s="20">
        <v>9.8980000000000005E-3</v>
      </c>
      <c r="Z8574" s="21">
        <v>4601004260252</v>
      </c>
    </row>
    <row r="8575" spans="1:26" ht="12" customHeight="1" outlineLevel="4" x14ac:dyDescent="0.2">
      <c r="A8575" s="14" t="s">
        <v>16373</v>
      </c>
      <c r="B8575" s="26" t="s">
        <v>16374</v>
      </c>
      <c r="C8575" s="52"/>
      <c r="D8575" s="55">
        <f t="shared" si="133"/>
        <v>0</v>
      </c>
      <c r="E8575" s="63" t="str">
        <f>HYPERLINK("https://www.sds-group.ru/product/sumka-holodilnik-termosumka-40l-chetyre-sezona-80-0288/", "Инфо")</f>
        <v>Инфо</v>
      </c>
      <c r="F8575" s="16" t="s">
        <v>39</v>
      </c>
      <c r="G8575" s="15"/>
      <c r="H8575" s="15"/>
      <c r="I8575" s="15"/>
      <c r="J8575" s="17">
        <v>30</v>
      </c>
      <c r="K8575" s="15"/>
      <c r="L8575" s="17">
        <v>1</v>
      </c>
      <c r="M8575" s="17">
        <v>12</v>
      </c>
      <c r="N8575" s="17">
        <v>1</v>
      </c>
      <c r="O8575" s="18">
        <v>2263.84</v>
      </c>
      <c r="P8575" s="18">
        <v>1855.61</v>
      </c>
      <c r="Q8575" s="18">
        <v>1743.16</v>
      </c>
      <c r="R8575" s="18">
        <v>1428.82</v>
      </c>
      <c r="S8575" s="18">
        <v>1539.41</v>
      </c>
      <c r="T8575" s="18">
        <v>1261.81</v>
      </c>
      <c r="U8575" s="16"/>
      <c r="V8575" s="16"/>
      <c r="W8575" s="16" t="s">
        <v>40</v>
      </c>
      <c r="X8575" s="19">
        <v>0.57399999999999995</v>
      </c>
      <c r="Y8575" s="20">
        <v>1.1612000000000001E-2</v>
      </c>
      <c r="Z8575" s="21">
        <v>4601004260290</v>
      </c>
    </row>
    <row r="8576" spans="1:26" ht="12" customHeight="1" outlineLevel="4" x14ac:dyDescent="0.2">
      <c r="A8576" s="14" t="s">
        <v>16375</v>
      </c>
      <c r="B8576" s="26" t="s">
        <v>16376</v>
      </c>
      <c r="C8576" s="52"/>
      <c r="D8576" s="55">
        <f t="shared" si="133"/>
        <v>0</v>
      </c>
      <c r="E8576" s="63" t="str">
        <f>HYPERLINK("https://www.sds-group.ru/product/sumka-holodilnik-termosumka-45l-2-sloya-utepleniya-chetyre-sezona-80-0285/", "Инфо")</f>
        <v>Инфо</v>
      </c>
      <c r="F8576" s="16" t="s">
        <v>39</v>
      </c>
      <c r="G8576" s="15"/>
      <c r="H8576" s="15"/>
      <c r="I8576" s="15"/>
      <c r="J8576" s="17">
        <v>77</v>
      </c>
      <c r="K8576" s="15"/>
      <c r="L8576" s="17">
        <v>1</v>
      </c>
      <c r="M8576" s="17">
        <v>12</v>
      </c>
      <c r="N8576" s="17">
        <v>1</v>
      </c>
      <c r="O8576" s="18">
        <v>4640.88</v>
      </c>
      <c r="P8576" s="18">
        <v>3804</v>
      </c>
      <c r="Q8576" s="18">
        <v>3387.84</v>
      </c>
      <c r="R8576" s="18">
        <v>2776.92</v>
      </c>
      <c r="S8576" s="18">
        <v>3155.8</v>
      </c>
      <c r="T8576" s="18">
        <v>2586.7199999999998</v>
      </c>
      <c r="U8576" s="16"/>
      <c r="V8576" s="16"/>
      <c r="W8576" s="16" t="s">
        <v>40</v>
      </c>
      <c r="X8576" s="19">
        <v>0.91700000000000004</v>
      </c>
      <c r="Y8576" s="20">
        <v>1.8075999999999998E-2</v>
      </c>
      <c r="Z8576" s="21">
        <v>4601004260269</v>
      </c>
    </row>
    <row r="8577" spans="1:26" ht="12" customHeight="1" outlineLevel="4" x14ac:dyDescent="0.2">
      <c r="A8577" s="32" t="s">
        <v>16377</v>
      </c>
      <c r="B8577" s="74" t="s">
        <v>16378</v>
      </c>
      <c r="C8577" s="50"/>
      <c r="D8577" s="53">
        <f t="shared" si="133"/>
        <v>0</v>
      </c>
      <c r="E8577" s="60" t="str">
        <f>HYPERLINK("https://www.sds-group.ru/product/sumka-holodilnik-termosumka-6l-2-sloya-utepleniya-chetyre-sezona-80-0281/", "Инфо")</f>
        <v>Инфо</v>
      </c>
      <c r="F8577" s="34" t="s">
        <v>39</v>
      </c>
      <c r="G8577" s="33"/>
      <c r="H8577" s="33" t="s">
        <v>40</v>
      </c>
      <c r="I8577" s="33"/>
      <c r="J8577" s="35">
        <v>31</v>
      </c>
      <c r="K8577" s="33"/>
      <c r="L8577" s="35">
        <v>1</v>
      </c>
      <c r="M8577" s="35">
        <v>30</v>
      </c>
      <c r="N8577" s="35">
        <v>1</v>
      </c>
      <c r="O8577" s="36">
        <v>1583.56</v>
      </c>
      <c r="P8577" s="36">
        <v>1298</v>
      </c>
      <c r="Q8577" s="36">
        <v>1251.01</v>
      </c>
      <c r="R8577" s="36">
        <v>1025.42</v>
      </c>
      <c r="S8577" s="36">
        <v>1076.82</v>
      </c>
      <c r="T8577" s="36">
        <v>882.64</v>
      </c>
      <c r="U8577" s="34"/>
      <c r="V8577" s="34"/>
      <c r="W8577" s="34" t="s">
        <v>40</v>
      </c>
      <c r="X8577" s="37">
        <v>0.18099999999999999</v>
      </c>
      <c r="Y8577" s="38">
        <v>3.5750000000000001E-3</v>
      </c>
      <c r="Z8577" s="21">
        <v>4601004260306</v>
      </c>
    </row>
    <row r="8578" spans="1:26" ht="12.95" customHeight="1" outlineLevel="3" x14ac:dyDescent="0.2">
      <c r="A8578" s="76" t="s">
        <v>16379</v>
      </c>
      <c r="B8578" s="76"/>
      <c r="C8578" s="77"/>
      <c r="D8578" s="58"/>
      <c r="E8578" s="68"/>
      <c r="F8578" s="13"/>
      <c r="G8578" s="13"/>
      <c r="H8578" s="13"/>
      <c r="I8578" s="13"/>
      <c r="J8578" s="13"/>
      <c r="K8578" s="13"/>
      <c r="L8578" s="13"/>
      <c r="M8578" s="13"/>
      <c r="N8578" s="13"/>
      <c r="O8578" s="13"/>
      <c r="P8578" s="13"/>
      <c r="Q8578" s="13"/>
      <c r="R8578" s="13"/>
      <c r="S8578" s="13"/>
      <c r="T8578" s="13"/>
      <c r="U8578" s="13"/>
      <c r="V8578" s="13"/>
      <c r="W8578" s="13"/>
      <c r="X8578" s="13"/>
      <c r="Y8578" s="13"/>
      <c r="Z8578" s="13"/>
    </row>
    <row r="8579" spans="1:26" ht="12" customHeight="1" outlineLevel="4" x14ac:dyDescent="0.2">
      <c r="A8579" s="14" t="s">
        <v>16380</v>
      </c>
      <c r="B8579" s="26" t="s">
        <v>16381</v>
      </c>
      <c r="C8579" s="52"/>
      <c r="D8579" s="55">
        <f t="shared" si="133"/>
        <v>0</v>
      </c>
      <c r="E8579" s="63" t="str">
        <f>HYPERLINK("https://www.sds-group.ru/product/vodosgon-270mm-rexant-80-0299/", "Инфо")</f>
        <v>Инфо</v>
      </c>
      <c r="F8579" s="16" t="s">
        <v>39</v>
      </c>
      <c r="G8579" s="15"/>
      <c r="H8579" s="15"/>
      <c r="I8579" s="15"/>
      <c r="J8579" s="17">
        <v>112</v>
      </c>
      <c r="K8579" s="15" t="s">
        <v>1888</v>
      </c>
      <c r="L8579" s="17">
        <v>10</v>
      </c>
      <c r="M8579" s="17">
        <v>100</v>
      </c>
      <c r="N8579" s="17">
        <v>10</v>
      </c>
      <c r="O8579" s="18">
        <v>172.48</v>
      </c>
      <c r="P8579" s="18">
        <v>141.38</v>
      </c>
      <c r="Q8579" s="18">
        <v>146.61000000000001</v>
      </c>
      <c r="R8579" s="18">
        <v>120.17</v>
      </c>
      <c r="S8579" s="18">
        <v>117.29</v>
      </c>
      <c r="T8579" s="18">
        <v>96.14</v>
      </c>
      <c r="U8579" s="16"/>
      <c r="V8579" s="16"/>
      <c r="W8579" s="16" t="s">
        <v>40</v>
      </c>
      <c r="X8579" s="19">
        <v>9.9000000000000005E-2</v>
      </c>
      <c r="Y8579" s="20">
        <v>3.4499999999999998E-4</v>
      </c>
      <c r="Z8579" s="21">
        <v>4601004261693</v>
      </c>
    </row>
    <row r="8580" spans="1:26" ht="12" customHeight="1" outlineLevel="4" x14ac:dyDescent="0.2">
      <c r="A8580" s="14" t="s">
        <v>16382</v>
      </c>
      <c r="B8580" s="26" t="s">
        <v>16383</v>
      </c>
      <c r="C8580" s="52"/>
      <c r="D8580" s="55">
        <f t="shared" si="133"/>
        <v>0</v>
      </c>
      <c r="E8580" s="63" t="str">
        <f>HYPERLINK("https://www.sds-group.ru/product/zamsha-iskusstvennaya-v-tube-43h32sm-rexant-80-0809/", "Инфо")</f>
        <v>Инфо</v>
      </c>
      <c r="F8580" s="16" t="s">
        <v>39</v>
      </c>
      <c r="G8580" s="15"/>
      <c r="H8580" s="15"/>
      <c r="I8580" s="15"/>
      <c r="J8580" s="16" t="s">
        <v>100</v>
      </c>
      <c r="K8580" s="15" t="s">
        <v>925</v>
      </c>
      <c r="L8580" s="17">
        <v>10</v>
      </c>
      <c r="M8580" s="17">
        <v>100</v>
      </c>
      <c r="N8580" s="17">
        <v>10</v>
      </c>
      <c r="O8580" s="18">
        <v>159</v>
      </c>
      <c r="P8580" s="18">
        <v>130.33000000000001</v>
      </c>
      <c r="Q8580" s="18">
        <v>159</v>
      </c>
      <c r="R8580" s="18">
        <v>130.33000000000001</v>
      </c>
      <c r="S8580" s="18">
        <v>108.12</v>
      </c>
      <c r="T8580" s="18">
        <v>88.62</v>
      </c>
      <c r="U8580" s="16"/>
      <c r="V8580" s="16"/>
      <c r="W8580" s="16" t="s">
        <v>40</v>
      </c>
      <c r="X8580" s="19">
        <v>9.7000000000000003E-2</v>
      </c>
      <c r="Y8580" s="20">
        <v>7.5000000000000002E-4</v>
      </c>
      <c r="Z8580" s="21">
        <v>4601004309562</v>
      </c>
    </row>
    <row r="8581" spans="1:26" ht="12" customHeight="1" outlineLevel="4" x14ac:dyDescent="0.2">
      <c r="A8581" s="14" t="s">
        <v>16384</v>
      </c>
      <c r="B8581" s="26" t="s">
        <v>16385</v>
      </c>
      <c r="C8581" s="52"/>
      <c r="D8581" s="55">
        <f t="shared" si="133"/>
        <v>0</v>
      </c>
      <c r="E8581" s="63" t="str">
        <f>HYPERLINK("https://www.sds-group.ru/product/zamsha-iskusstvennaya-v-tube-64h43sm-rexant-80-0810/", "Инфо")</f>
        <v>Инфо</v>
      </c>
      <c r="F8581" s="16" t="s">
        <v>39</v>
      </c>
      <c r="G8581" s="15"/>
      <c r="H8581" s="15"/>
      <c r="I8581" s="15"/>
      <c r="J8581" s="22">
        <v>1150</v>
      </c>
      <c r="K8581" s="15" t="s">
        <v>925</v>
      </c>
      <c r="L8581" s="17">
        <v>5</v>
      </c>
      <c r="M8581" s="17">
        <v>100</v>
      </c>
      <c r="N8581" s="17">
        <v>5</v>
      </c>
      <c r="O8581" s="18">
        <v>280.89999999999998</v>
      </c>
      <c r="P8581" s="18">
        <v>230.25</v>
      </c>
      <c r="Q8581" s="18">
        <v>280.89999999999998</v>
      </c>
      <c r="R8581" s="18">
        <v>230.25</v>
      </c>
      <c r="S8581" s="18">
        <v>191.01</v>
      </c>
      <c r="T8581" s="18">
        <v>156.57</v>
      </c>
      <c r="U8581" s="16"/>
      <c r="V8581" s="16"/>
      <c r="W8581" s="16" t="s">
        <v>40</v>
      </c>
      <c r="X8581" s="19">
        <v>0.193</v>
      </c>
      <c r="Y8581" s="20">
        <v>1.3370000000000001E-3</v>
      </c>
      <c r="Z8581" s="21">
        <v>4601004309579</v>
      </c>
    </row>
    <row r="8582" spans="1:26" ht="12" customHeight="1" outlineLevel="4" x14ac:dyDescent="0.2">
      <c r="A8582" s="14" t="s">
        <v>16386</v>
      </c>
      <c r="B8582" s="26" t="s">
        <v>16387</v>
      </c>
      <c r="C8582" s="52"/>
      <c r="D8582" s="55">
        <f t="shared" si="133"/>
        <v>0</v>
      </c>
      <c r="E8582" s="63" t="str">
        <f>HYPERLINK("https://www.sds-group.ru/product/lopata-avtomobilnaya-rexant-80-0402/", "Инфо")</f>
        <v>Инфо</v>
      </c>
      <c r="F8582" s="16" t="s">
        <v>39</v>
      </c>
      <c r="G8582" s="15"/>
      <c r="H8582" s="15"/>
      <c r="I8582" s="15"/>
      <c r="J8582" s="17">
        <v>597</v>
      </c>
      <c r="K8582" s="15"/>
      <c r="L8582" s="17">
        <v>1</v>
      </c>
      <c r="M8582" s="17">
        <v>16</v>
      </c>
      <c r="N8582" s="17">
        <v>1</v>
      </c>
      <c r="O8582" s="18">
        <v>1800.29</v>
      </c>
      <c r="P8582" s="18">
        <v>1475.65</v>
      </c>
      <c r="Q8582" s="18">
        <v>1422.23</v>
      </c>
      <c r="R8582" s="18">
        <v>1165.76</v>
      </c>
      <c r="S8582" s="18">
        <v>1224.2</v>
      </c>
      <c r="T8582" s="18">
        <v>1003.44</v>
      </c>
      <c r="U8582" s="16"/>
      <c r="V8582" s="16"/>
      <c r="W8582" s="16" t="s">
        <v>40</v>
      </c>
      <c r="X8582" s="19">
        <v>0.55800000000000005</v>
      </c>
      <c r="Y8582" s="20">
        <v>7.574E-3</v>
      </c>
      <c r="Z8582" s="21">
        <v>4601004270749</v>
      </c>
    </row>
    <row r="8583" spans="1:26" ht="12" customHeight="1" outlineLevel="4" x14ac:dyDescent="0.2">
      <c r="A8583" s="14" t="s">
        <v>16388</v>
      </c>
      <c r="B8583" s="26" t="s">
        <v>16389</v>
      </c>
      <c r="C8583" s="52"/>
      <c r="D8583" s="55">
        <f t="shared" si="133"/>
        <v>0</v>
      </c>
      <c r="E8583" s="63" t="str">
        <f>HYPERLINK("https://www.sds-group.ru/product/mikrofibra-avtomobilnaya-30h30sm-200-gr-m2-10-sht-rexant-80-0801/", "Инфо")</f>
        <v>Инфо</v>
      </c>
      <c r="F8583" s="16" t="s">
        <v>4698</v>
      </c>
      <c r="G8583" s="15"/>
      <c r="H8583" s="15"/>
      <c r="I8583" s="15"/>
      <c r="J8583" s="17">
        <v>477</v>
      </c>
      <c r="K8583" s="15"/>
      <c r="L8583" s="17">
        <v>1</v>
      </c>
      <c r="M8583" s="17">
        <v>36</v>
      </c>
      <c r="N8583" s="17">
        <v>1</v>
      </c>
      <c r="O8583" s="18">
        <v>547.66999999999996</v>
      </c>
      <c r="P8583" s="18">
        <v>448.91</v>
      </c>
      <c r="Q8583" s="18">
        <v>547.66999999999996</v>
      </c>
      <c r="R8583" s="18">
        <v>448.91</v>
      </c>
      <c r="S8583" s="18">
        <v>372.42</v>
      </c>
      <c r="T8583" s="18">
        <v>305.26</v>
      </c>
      <c r="U8583" s="16"/>
      <c r="V8583" s="16"/>
      <c r="W8583" s="16" t="s">
        <v>40</v>
      </c>
      <c r="X8583" s="19">
        <v>0.19900000000000001</v>
      </c>
      <c r="Y8583" s="20">
        <v>2.1280000000000001E-3</v>
      </c>
      <c r="Z8583" s="21">
        <v>4601004309487</v>
      </c>
    </row>
    <row r="8584" spans="1:26" ht="12" customHeight="1" outlineLevel="4" x14ac:dyDescent="0.2">
      <c r="A8584" s="14" t="s">
        <v>16390</v>
      </c>
      <c r="B8584" s="26" t="s">
        <v>16391</v>
      </c>
      <c r="C8584" s="52"/>
      <c r="D8584" s="55">
        <f t="shared" si="133"/>
        <v>0</v>
      </c>
      <c r="E8584" s="63" t="str">
        <f>HYPERLINK("https://www.sds-group.ru/product/mikrofibra-avtomobilnaya-30h30sm-250-gr-m2-2-sht-rexant-80-0802/", "Инфо")</f>
        <v>Инфо</v>
      </c>
      <c r="F8584" s="16" t="s">
        <v>4698</v>
      </c>
      <c r="G8584" s="15"/>
      <c r="H8584" s="15"/>
      <c r="I8584" s="15"/>
      <c r="J8584" s="16" t="s">
        <v>100</v>
      </c>
      <c r="K8584" s="15" t="s">
        <v>1519</v>
      </c>
      <c r="L8584" s="17">
        <v>10</v>
      </c>
      <c r="M8584" s="17">
        <v>320</v>
      </c>
      <c r="N8584" s="17">
        <v>10</v>
      </c>
      <c r="O8584" s="18">
        <v>116.6</v>
      </c>
      <c r="P8584" s="18">
        <v>95.57</v>
      </c>
      <c r="Q8584" s="18">
        <v>116.6</v>
      </c>
      <c r="R8584" s="18">
        <v>95.57</v>
      </c>
      <c r="S8584" s="18">
        <v>79.290000000000006</v>
      </c>
      <c r="T8584" s="18">
        <v>64.989999999999995</v>
      </c>
      <c r="U8584" s="16"/>
      <c r="V8584" s="16"/>
      <c r="W8584" s="16" t="s">
        <v>40</v>
      </c>
      <c r="X8584" s="19">
        <v>4.8000000000000001E-2</v>
      </c>
      <c r="Y8584" s="20">
        <v>7.1199999999999996E-4</v>
      </c>
      <c r="Z8584" s="21">
        <v>4601004309494</v>
      </c>
    </row>
    <row r="8585" spans="1:26" ht="12" customHeight="1" outlineLevel="4" x14ac:dyDescent="0.2">
      <c r="A8585" s="14" t="s">
        <v>16392</v>
      </c>
      <c r="B8585" s="26" t="s">
        <v>16393</v>
      </c>
      <c r="C8585" s="52"/>
      <c r="D8585" s="55">
        <f t="shared" ref="D8585:D8648" si="134">C8585*(O8585-O8585*$G$3)</f>
        <v>0</v>
      </c>
      <c r="E8585" s="63" t="str">
        <f>HYPERLINK("https://www.sds-group.ru/product/mikrofibra-avtomobilnaya-35h40-sm-250gr-m2-1-sht-rexant-80-0803/", "Инфо")</f>
        <v>Инфо</v>
      </c>
      <c r="F8585" s="16" t="s">
        <v>39</v>
      </c>
      <c r="G8585" s="15"/>
      <c r="H8585" s="15"/>
      <c r="I8585" s="15"/>
      <c r="J8585" s="17">
        <v>350</v>
      </c>
      <c r="K8585" s="15"/>
      <c r="L8585" s="17">
        <v>10</v>
      </c>
      <c r="M8585" s="17">
        <v>300</v>
      </c>
      <c r="N8585" s="17">
        <v>10</v>
      </c>
      <c r="O8585" s="18">
        <v>106.72</v>
      </c>
      <c r="P8585" s="18">
        <v>87.48</v>
      </c>
      <c r="Q8585" s="18">
        <v>106.72</v>
      </c>
      <c r="R8585" s="18">
        <v>87.48</v>
      </c>
      <c r="S8585" s="18">
        <v>72.569999999999993</v>
      </c>
      <c r="T8585" s="18">
        <v>59.48</v>
      </c>
      <c r="U8585" s="16"/>
      <c r="V8585" s="16"/>
      <c r="W8585" s="16" t="s">
        <v>40</v>
      </c>
      <c r="X8585" s="19">
        <v>4.2000000000000003E-2</v>
      </c>
      <c r="Y8585" s="20">
        <v>1.029E-3</v>
      </c>
      <c r="Z8585" s="21">
        <v>4601004309500</v>
      </c>
    </row>
    <row r="8586" spans="1:26" ht="12" customHeight="1" outlineLevel="4" x14ac:dyDescent="0.2">
      <c r="A8586" s="14" t="s">
        <v>16394</v>
      </c>
      <c r="B8586" s="26" t="s">
        <v>16395</v>
      </c>
      <c r="C8586" s="52"/>
      <c r="D8586" s="55">
        <f t="shared" si="134"/>
        <v>0</v>
      </c>
      <c r="E8586" s="63" t="str">
        <f>HYPERLINK("https://www.sds-group.ru/product/mikrofibra-avtomobilnaya-35h40sm-300-gr-m2-1-sht-rexant-80-0804/", "Инфо")</f>
        <v>Инфо</v>
      </c>
      <c r="F8586" s="16" t="s">
        <v>39</v>
      </c>
      <c r="G8586" s="15"/>
      <c r="H8586" s="15"/>
      <c r="I8586" s="15"/>
      <c r="J8586" s="17">
        <v>10</v>
      </c>
      <c r="K8586" s="15"/>
      <c r="L8586" s="17">
        <v>10</v>
      </c>
      <c r="M8586" s="17">
        <v>300</v>
      </c>
      <c r="N8586" s="17">
        <v>10</v>
      </c>
      <c r="O8586" s="18">
        <v>123.98</v>
      </c>
      <c r="P8586" s="18">
        <v>101.62</v>
      </c>
      <c r="Q8586" s="18">
        <v>123.98</v>
      </c>
      <c r="R8586" s="18">
        <v>101.62</v>
      </c>
      <c r="S8586" s="18">
        <v>84.31</v>
      </c>
      <c r="T8586" s="18">
        <v>69.11</v>
      </c>
      <c r="U8586" s="16"/>
      <c r="V8586" s="16"/>
      <c r="W8586" s="16" t="s">
        <v>40</v>
      </c>
      <c r="X8586" s="19">
        <v>4.2000000000000003E-2</v>
      </c>
      <c r="Y8586" s="20">
        <v>7.9699999999999997E-4</v>
      </c>
      <c r="Z8586" s="21">
        <v>4601004309524</v>
      </c>
    </row>
    <row r="8587" spans="1:26" ht="12" customHeight="1" outlineLevel="4" x14ac:dyDescent="0.2">
      <c r="A8587" s="14" t="s">
        <v>16396</v>
      </c>
      <c r="B8587" s="26" t="s">
        <v>16397</v>
      </c>
      <c r="C8587" s="52"/>
      <c r="D8587" s="55">
        <f t="shared" si="134"/>
        <v>0</v>
      </c>
      <c r="E8587" s="63" t="str">
        <f>HYPERLINK("https://www.sds-group.ru/product/mikrofibra-avtomobilnaya-40h40sm-600-gr-m2-1-sht-rexant-80-0805/", "Инфо")</f>
        <v>Инфо</v>
      </c>
      <c r="F8587" s="16" t="s">
        <v>39</v>
      </c>
      <c r="G8587" s="15"/>
      <c r="H8587" s="15"/>
      <c r="I8587" s="15"/>
      <c r="J8587" s="16" t="s">
        <v>100</v>
      </c>
      <c r="K8587" s="15"/>
      <c r="L8587" s="17">
        <v>5</v>
      </c>
      <c r="M8587" s="17">
        <v>160</v>
      </c>
      <c r="N8587" s="17">
        <v>5</v>
      </c>
      <c r="O8587" s="18">
        <v>344.97</v>
      </c>
      <c r="P8587" s="18">
        <v>282.76</v>
      </c>
      <c r="Q8587" s="18">
        <v>344.97</v>
      </c>
      <c r="R8587" s="18">
        <v>282.76</v>
      </c>
      <c r="S8587" s="18">
        <v>234.58</v>
      </c>
      <c r="T8587" s="18">
        <v>192.28</v>
      </c>
      <c r="U8587" s="16"/>
      <c r="V8587" s="16"/>
      <c r="W8587" s="16" t="s">
        <v>40</v>
      </c>
      <c r="X8587" s="19">
        <v>0.12</v>
      </c>
      <c r="Y8587" s="20">
        <v>8.0599999999999997E-4</v>
      </c>
      <c r="Z8587" s="21">
        <v>4601004309531</v>
      </c>
    </row>
    <row r="8588" spans="1:26" ht="12" customHeight="1" outlineLevel="4" x14ac:dyDescent="0.2">
      <c r="A8588" s="14" t="s">
        <v>16398</v>
      </c>
      <c r="B8588" s="26" t="s">
        <v>16399</v>
      </c>
      <c r="C8588" s="52"/>
      <c r="D8588" s="55">
        <f t="shared" si="134"/>
        <v>0</v>
      </c>
      <c r="E8588" s="63" t="str">
        <f>HYPERLINK("https://www.sds-group.ru/product/mikrofibra-avtomobilnaya-40h60sm-600-gr-m2-1-sht-rexant-80-0806/", "Инфо")</f>
        <v>Инфо</v>
      </c>
      <c r="F8588" s="16" t="s">
        <v>39</v>
      </c>
      <c r="G8588" s="15"/>
      <c r="H8588" s="15"/>
      <c r="I8588" s="15"/>
      <c r="J8588" s="17">
        <v>458</v>
      </c>
      <c r="K8588" s="15" t="s">
        <v>1519</v>
      </c>
      <c r="L8588" s="17">
        <v>1</v>
      </c>
      <c r="M8588" s="17">
        <v>100</v>
      </c>
      <c r="N8588" s="17">
        <v>1</v>
      </c>
      <c r="O8588" s="18">
        <v>471.7</v>
      </c>
      <c r="P8588" s="18">
        <v>386.64</v>
      </c>
      <c r="Q8588" s="18">
        <v>471.7</v>
      </c>
      <c r="R8588" s="18">
        <v>386.64</v>
      </c>
      <c r="S8588" s="18">
        <v>320.76</v>
      </c>
      <c r="T8588" s="18">
        <v>262.92</v>
      </c>
      <c r="U8588" s="16"/>
      <c r="V8588" s="16"/>
      <c r="W8588" s="16" t="s">
        <v>40</v>
      </c>
      <c r="X8588" s="19">
        <v>0.17299999999999999</v>
      </c>
      <c r="Y8588" s="20">
        <v>1.0920000000000001E-3</v>
      </c>
      <c r="Z8588" s="21">
        <v>4601004309517</v>
      </c>
    </row>
    <row r="8589" spans="1:26" ht="12" customHeight="1" outlineLevel="4" x14ac:dyDescent="0.2">
      <c r="A8589" s="14" t="s">
        <v>16400</v>
      </c>
      <c r="B8589" s="26" t="s">
        <v>16401</v>
      </c>
      <c r="C8589" s="52"/>
      <c r="D8589" s="55">
        <f t="shared" si="134"/>
        <v>0</v>
      </c>
      <c r="E8589" s="63" t="str">
        <f>HYPERLINK("https://www.sds-group.ru/product/mikrofibra-avtomobilnaya-plotnost-25h25sm-200-gr-m2-6-sht-rexant-80-0800/", "Инфо")</f>
        <v>Инфо</v>
      </c>
      <c r="F8589" s="16" t="s">
        <v>4698</v>
      </c>
      <c r="G8589" s="15"/>
      <c r="H8589" s="15"/>
      <c r="I8589" s="15"/>
      <c r="J8589" s="22">
        <v>3389</v>
      </c>
      <c r="K8589" s="15"/>
      <c r="L8589" s="17">
        <v>5</v>
      </c>
      <c r="M8589" s="17">
        <v>80</v>
      </c>
      <c r="N8589" s="17">
        <v>5</v>
      </c>
      <c r="O8589" s="18">
        <v>238.5</v>
      </c>
      <c r="P8589" s="18">
        <v>195.49</v>
      </c>
      <c r="Q8589" s="18">
        <v>238.5</v>
      </c>
      <c r="R8589" s="18">
        <v>195.49</v>
      </c>
      <c r="S8589" s="18">
        <v>162.18</v>
      </c>
      <c r="T8589" s="18">
        <v>132.93</v>
      </c>
      <c r="U8589" s="16"/>
      <c r="V8589" s="16"/>
      <c r="W8589" s="16" t="s">
        <v>40</v>
      </c>
      <c r="X8589" s="19">
        <v>8.7999999999999995E-2</v>
      </c>
      <c r="Y8589" s="20">
        <v>9.6100000000000005E-4</v>
      </c>
      <c r="Z8589" s="21">
        <v>4601004309470</v>
      </c>
    </row>
    <row r="8590" spans="1:26" ht="12" customHeight="1" outlineLevel="4" x14ac:dyDescent="0.2">
      <c r="A8590" s="14" t="s">
        <v>16402</v>
      </c>
      <c r="B8590" s="26" t="s">
        <v>16403</v>
      </c>
      <c r="C8590" s="52"/>
      <c r="D8590" s="55">
        <f t="shared" si="134"/>
        <v>0</v>
      </c>
      <c r="E8590" s="63" t="str">
        <f>HYPERLINK("https://www.sds-group.ru/product/mikrofibra-v-kartonnoy-korobke-25h25sm-200-gr-m2-30-sht-v-korobke-rexant-80-0808/", "Инфо")</f>
        <v>Инфо</v>
      </c>
      <c r="F8590" s="16" t="s">
        <v>1001</v>
      </c>
      <c r="G8590" s="15"/>
      <c r="H8590" s="15"/>
      <c r="I8590" s="15"/>
      <c r="J8590" s="22">
        <v>1196</v>
      </c>
      <c r="K8590" s="15"/>
      <c r="L8590" s="17">
        <v>1</v>
      </c>
      <c r="M8590" s="17">
        <v>30</v>
      </c>
      <c r="N8590" s="17">
        <v>1</v>
      </c>
      <c r="O8590" s="18">
        <v>916.32</v>
      </c>
      <c r="P8590" s="18">
        <v>751.08</v>
      </c>
      <c r="Q8590" s="18">
        <v>641.41999999999996</v>
      </c>
      <c r="R8590" s="18">
        <v>525.75</v>
      </c>
      <c r="S8590" s="18">
        <v>623.1</v>
      </c>
      <c r="T8590" s="18">
        <v>510.74</v>
      </c>
      <c r="U8590" s="16"/>
      <c r="V8590" s="16"/>
      <c r="W8590" s="16"/>
      <c r="X8590" s="19">
        <v>0.53200000000000003</v>
      </c>
      <c r="Y8590" s="20">
        <v>5.3829999999999998E-3</v>
      </c>
      <c r="Z8590" s="21">
        <v>4601004309555</v>
      </c>
    </row>
    <row r="8591" spans="1:26" ht="12" customHeight="1" outlineLevel="4" x14ac:dyDescent="0.2">
      <c r="A8591" s="14" t="s">
        <v>16404</v>
      </c>
      <c r="B8591" s="26" t="s">
        <v>16405</v>
      </c>
      <c r="C8591" s="52"/>
      <c r="D8591" s="55">
        <f t="shared" si="134"/>
        <v>0</v>
      </c>
      <c r="E8591" s="63" t="str">
        <f>HYPERLINK("https://www.sds-group.ru/product/mikrofibra-otryvnaya-25h25sm-200-gr-m2-30-sht-v-rulone-rexant-80-0807/", "Инфо")</f>
        <v>Инфо</v>
      </c>
      <c r="F8591" s="16" t="s">
        <v>1001</v>
      </c>
      <c r="G8591" s="15"/>
      <c r="H8591" s="15"/>
      <c r="I8591" s="15"/>
      <c r="J8591" s="17">
        <v>231</v>
      </c>
      <c r="K8591" s="15" t="s">
        <v>1519</v>
      </c>
      <c r="L8591" s="17">
        <v>1</v>
      </c>
      <c r="M8591" s="17">
        <v>36</v>
      </c>
      <c r="N8591" s="17">
        <v>1</v>
      </c>
      <c r="O8591" s="18">
        <v>1026.8800000000001</v>
      </c>
      <c r="P8591" s="18">
        <v>841.7</v>
      </c>
      <c r="Q8591" s="18">
        <v>718.82</v>
      </c>
      <c r="R8591" s="18">
        <v>589.20000000000005</v>
      </c>
      <c r="S8591" s="18">
        <v>698.28</v>
      </c>
      <c r="T8591" s="18">
        <v>572.36</v>
      </c>
      <c r="U8591" s="16"/>
      <c r="V8591" s="16"/>
      <c r="W8591" s="16"/>
      <c r="X8591" s="19">
        <v>0.45500000000000002</v>
      </c>
      <c r="Y8591" s="20">
        <v>3.0149999999999999E-3</v>
      </c>
      <c r="Z8591" s="21">
        <v>4601004309548</v>
      </c>
    </row>
    <row r="8592" spans="1:26" ht="12" customHeight="1" outlineLevel="4" x14ac:dyDescent="0.2">
      <c r="A8592" s="14" t="s">
        <v>16406</v>
      </c>
      <c r="B8592" s="26" t="s">
        <v>16407</v>
      </c>
      <c r="C8592" s="52"/>
      <c r="D8592" s="55">
        <f t="shared" si="134"/>
        <v>0</v>
      </c>
      <c r="E8592" s="63" t="str">
        <f>HYPERLINK("https://www.sds-group.ru/product/razbornaya-avtomobilnaya-lopata-oranzhevaya-rexant-80-0400/", "Инфо")</f>
        <v>Инфо</v>
      </c>
      <c r="F8592" s="16" t="s">
        <v>39</v>
      </c>
      <c r="G8592" s="15"/>
      <c r="H8592" s="15"/>
      <c r="I8592" s="15"/>
      <c r="J8592" s="22">
        <v>1021</v>
      </c>
      <c r="K8592" s="15"/>
      <c r="L8592" s="17">
        <v>1</v>
      </c>
      <c r="M8592" s="17">
        <v>1</v>
      </c>
      <c r="N8592" s="17">
        <v>1</v>
      </c>
      <c r="O8592" s="18">
        <v>802.05</v>
      </c>
      <c r="P8592" s="18">
        <v>657.42</v>
      </c>
      <c r="Q8592" s="18">
        <v>641.64</v>
      </c>
      <c r="R8592" s="18">
        <v>525.92999999999995</v>
      </c>
      <c r="S8592" s="18">
        <v>545.39</v>
      </c>
      <c r="T8592" s="18">
        <v>447.04</v>
      </c>
      <c r="U8592" s="16"/>
      <c r="V8592" s="16"/>
      <c r="W8592" s="16" t="s">
        <v>40</v>
      </c>
      <c r="X8592" s="19">
        <v>0.59</v>
      </c>
      <c r="Y8592" s="20">
        <v>1.7578E-2</v>
      </c>
      <c r="Z8592" s="21">
        <v>4601004268029</v>
      </c>
    </row>
    <row r="8593" spans="1:26" ht="12" customHeight="1" outlineLevel="4" x14ac:dyDescent="0.2">
      <c r="A8593" s="14" t="s">
        <v>16408</v>
      </c>
      <c r="B8593" s="26" t="s">
        <v>16409</v>
      </c>
      <c r="C8593" s="52"/>
      <c r="D8593" s="55">
        <f t="shared" si="134"/>
        <v>0</v>
      </c>
      <c r="E8593" s="63" t="str">
        <f>HYPERLINK("https://www.sds-group.ru/product/raspylitel-opryskivatel-1-5l-rexant-80-0297/", "Инфо")</f>
        <v>Инфо</v>
      </c>
      <c r="F8593" s="16" t="s">
        <v>39</v>
      </c>
      <c r="G8593" s="15"/>
      <c r="H8593" s="15"/>
      <c r="I8593" s="15"/>
      <c r="J8593" s="16" t="s">
        <v>100</v>
      </c>
      <c r="K8593" s="15" t="s">
        <v>1888</v>
      </c>
      <c r="L8593" s="17">
        <v>1</v>
      </c>
      <c r="M8593" s="17">
        <v>12</v>
      </c>
      <c r="N8593" s="17">
        <v>1</v>
      </c>
      <c r="O8593" s="18">
        <v>463.55</v>
      </c>
      <c r="P8593" s="18">
        <v>379.96</v>
      </c>
      <c r="Q8593" s="18">
        <v>324.49</v>
      </c>
      <c r="R8593" s="18">
        <v>265.98</v>
      </c>
      <c r="S8593" s="18">
        <v>315.20999999999998</v>
      </c>
      <c r="T8593" s="18">
        <v>258.37</v>
      </c>
      <c r="U8593" s="16"/>
      <c r="V8593" s="16"/>
      <c r="W8593" s="16"/>
      <c r="X8593" s="19">
        <v>0.26500000000000001</v>
      </c>
      <c r="Y8593" s="20">
        <v>5.6169999999999996E-3</v>
      </c>
      <c r="Z8593" s="21">
        <v>4601004266087</v>
      </c>
    </row>
    <row r="8594" spans="1:26" ht="12" customHeight="1" outlineLevel="4" x14ac:dyDescent="0.2">
      <c r="A8594" s="14" t="s">
        <v>16410</v>
      </c>
      <c r="B8594" s="26" t="s">
        <v>16411</v>
      </c>
      <c r="C8594" s="52"/>
      <c r="D8594" s="55">
        <f t="shared" si="134"/>
        <v>0</v>
      </c>
      <c r="E8594" s="63" t="str">
        <f>HYPERLINK("https://www.sds-group.ru/product/raspylitel-opryskivatel-2l-rexant-80-0298/", "Инфо")</f>
        <v>Инфо</v>
      </c>
      <c r="F8594" s="16" t="s">
        <v>39</v>
      </c>
      <c r="G8594" s="15"/>
      <c r="H8594" s="15"/>
      <c r="I8594" s="15"/>
      <c r="J8594" s="22">
        <v>1710</v>
      </c>
      <c r="K8594" s="15" t="s">
        <v>1888</v>
      </c>
      <c r="L8594" s="17">
        <v>1</v>
      </c>
      <c r="M8594" s="17">
        <v>27</v>
      </c>
      <c r="N8594" s="17">
        <v>1</v>
      </c>
      <c r="O8594" s="18">
        <v>490.5</v>
      </c>
      <c r="P8594" s="18">
        <v>402.05</v>
      </c>
      <c r="Q8594" s="18">
        <v>392.4</v>
      </c>
      <c r="R8594" s="18">
        <v>321.64</v>
      </c>
      <c r="S8594" s="18">
        <v>333.54</v>
      </c>
      <c r="T8594" s="18">
        <v>273.39</v>
      </c>
      <c r="U8594" s="16"/>
      <c r="V8594" s="16"/>
      <c r="W8594" s="16" t="s">
        <v>40</v>
      </c>
      <c r="X8594" s="19">
        <v>0.21099999999999999</v>
      </c>
      <c r="Y8594" s="20">
        <v>6.4159999999999998E-3</v>
      </c>
      <c r="Z8594" s="21">
        <v>4601004266094</v>
      </c>
    </row>
    <row r="8595" spans="1:26" ht="12" customHeight="1" outlineLevel="4" x14ac:dyDescent="0.2">
      <c r="A8595" s="14" t="s">
        <v>16412</v>
      </c>
      <c r="B8595" s="26" t="s">
        <v>16413</v>
      </c>
      <c r="C8595" s="52"/>
      <c r="D8595" s="55">
        <f t="shared" si="134"/>
        <v>0</v>
      </c>
      <c r="E8595" s="63" t="str">
        <f>HYPERLINK("https://www.sds-group.ru/product/schetka-so-skrebkom-500mm-rexant-80-0290/", "Инфо")</f>
        <v>Инфо</v>
      </c>
      <c r="F8595" s="16" t="s">
        <v>39</v>
      </c>
      <c r="G8595" s="15"/>
      <c r="H8595" s="15"/>
      <c r="I8595" s="15"/>
      <c r="J8595" s="22">
        <v>1151</v>
      </c>
      <c r="K8595" s="15"/>
      <c r="L8595" s="17">
        <v>10</v>
      </c>
      <c r="M8595" s="17">
        <v>40</v>
      </c>
      <c r="N8595" s="17">
        <v>10</v>
      </c>
      <c r="O8595" s="18">
        <v>212</v>
      </c>
      <c r="P8595" s="18">
        <v>173.77</v>
      </c>
      <c r="Q8595" s="18">
        <v>180.2</v>
      </c>
      <c r="R8595" s="18">
        <v>147.69999999999999</v>
      </c>
      <c r="S8595" s="18">
        <v>144.16</v>
      </c>
      <c r="T8595" s="18">
        <v>118.16</v>
      </c>
      <c r="U8595" s="16"/>
      <c r="V8595" s="16"/>
      <c r="W8595" s="16" t="s">
        <v>40</v>
      </c>
      <c r="X8595" s="19">
        <v>0.127</v>
      </c>
      <c r="Y8595" s="20">
        <v>1.09E-3</v>
      </c>
      <c r="Z8595" s="21">
        <v>4601004261709</v>
      </c>
    </row>
    <row r="8596" spans="1:26" ht="12" customHeight="1" outlineLevel="4" x14ac:dyDescent="0.2">
      <c r="A8596" s="14" t="s">
        <v>16414</v>
      </c>
      <c r="B8596" s="26" t="s">
        <v>16415</v>
      </c>
      <c r="C8596" s="52"/>
      <c r="D8596" s="55">
        <f t="shared" si="134"/>
        <v>0</v>
      </c>
      <c r="E8596" s="63" t="str">
        <f>HYPERLINK("https://www.sds-group.ru/product/schetka-so-skrebkom-540mm-myagkaya-ruchka-rexant-80-0291/", "Инфо")</f>
        <v>Инфо</v>
      </c>
      <c r="F8596" s="16" t="s">
        <v>39</v>
      </c>
      <c r="G8596" s="15"/>
      <c r="H8596" s="15"/>
      <c r="I8596" s="15"/>
      <c r="J8596" s="22">
        <v>1489</v>
      </c>
      <c r="K8596" s="15"/>
      <c r="L8596" s="17">
        <v>5</v>
      </c>
      <c r="M8596" s="17">
        <v>25</v>
      </c>
      <c r="N8596" s="17">
        <v>5</v>
      </c>
      <c r="O8596" s="18">
        <v>426.12</v>
      </c>
      <c r="P8596" s="18">
        <v>349.28</v>
      </c>
      <c r="Q8596" s="18">
        <v>340.9</v>
      </c>
      <c r="R8596" s="18">
        <v>279.43</v>
      </c>
      <c r="S8596" s="18">
        <v>289.76</v>
      </c>
      <c r="T8596" s="18">
        <v>237.51</v>
      </c>
      <c r="U8596" s="16"/>
      <c r="V8596" s="16"/>
      <c r="W8596" s="16" t="s">
        <v>40</v>
      </c>
      <c r="X8596" s="19">
        <v>0.252</v>
      </c>
      <c r="Y8596" s="20">
        <v>1.7240000000000001E-3</v>
      </c>
      <c r="Z8596" s="21">
        <v>4601004261686</v>
      </c>
    </row>
    <row r="8597" spans="1:26" ht="12" customHeight="1" outlineLevel="4" x14ac:dyDescent="0.2">
      <c r="A8597" s="14" t="s">
        <v>16416</v>
      </c>
      <c r="B8597" s="26" t="s">
        <v>16417</v>
      </c>
      <c r="C8597" s="52"/>
      <c r="D8597" s="55">
        <f t="shared" si="134"/>
        <v>0</v>
      </c>
      <c r="E8597" s="63" t="str">
        <f>HYPERLINK("https://www.sds-group.ru/product/schetka-so-skrebkom-635mm-myagkaya-ruchka-rexant-80-0292/", "Инфо")</f>
        <v>Инфо</v>
      </c>
      <c r="F8597" s="16" t="s">
        <v>39</v>
      </c>
      <c r="G8597" s="15"/>
      <c r="H8597" s="15"/>
      <c r="I8597" s="15"/>
      <c r="J8597" s="22">
        <v>1671</v>
      </c>
      <c r="K8597" s="15"/>
      <c r="L8597" s="17">
        <v>1</v>
      </c>
      <c r="M8597" s="17">
        <v>30</v>
      </c>
      <c r="N8597" s="17">
        <v>1</v>
      </c>
      <c r="O8597" s="18">
        <v>537.41999999999996</v>
      </c>
      <c r="P8597" s="18">
        <v>440.51</v>
      </c>
      <c r="Q8597" s="18">
        <v>429.94</v>
      </c>
      <c r="R8597" s="18">
        <v>352.41</v>
      </c>
      <c r="S8597" s="18">
        <v>365.45</v>
      </c>
      <c r="T8597" s="18">
        <v>299.55</v>
      </c>
      <c r="U8597" s="16"/>
      <c r="V8597" s="16"/>
      <c r="W8597" s="16" t="s">
        <v>40</v>
      </c>
      <c r="X8597" s="19">
        <v>0.28899999999999998</v>
      </c>
      <c r="Y8597" s="20">
        <v>1.5150000000000001E-3</v>
      </c>
      <c r="Z8597" s="21">
        <v>4601004261679</v>
      </c>
    </row>
    <row r="8598" spans="1:26" ht="12.95" customHeight="1" outlineLevel="3" x14ac:dyDescent="0.2">
      <c r="A8598" s="76" t="s">
        <v>16418</v>
      </c>
      <c r="B8598" s="76"/>
      <c r="C8598" s="77"/>
      <c r="D8598" s="58"/>
      <c r="E8598" s="68"/>
      <c r="F8598" s="13"/>
      <c r="G8598" s="13"/>
      <c r="H8598" s="13"/>
      <c r="I8598" s="13"/>
      <c r="J8598" s="13"/>
      <c r="K8598" s="13"/>
      <c r="L8598" s="13"/>
      <c r="M8598" s="13"/>
      <c r="N8598" s="13"/>
      <c r="O8598" s="13"/>
      <c r="P8598" s="13"/>
      <c r="Q8598" s="13"/>
      <c r="R8598" s="13"/>
      <c r="S8598" s="13"/>
      <c r="T8598" s="13"/>
      <c r="U8598" s="13"/>
      <c r="V8598" s="13"/>
      <c r="W8598" s="13"/>
      <c r="X8598" s="13"/>
      <c r="Y8598" s="13"/>
      <c r="Z8598" s="13"/>
    </row>
    <row r="8599" spans="1:26" ht="12" customHeight="1" outlineLevel="4" x14ac:dyDescent="0.2">
      <c r="A8599" s="14" t="s">
        <v>16419</v>
      </c>
      <c r="B8599" s="26" t="s">
        <v>16420</v>
      </c>
      <c r="C8599" s="52"/>
      <c r="D8599" s="55">
        <f t="shared" si="134"/>
        <v>0</v>
      </c>
      <c r="E8599" s="63" t="str">
        <f>HYPERLINK("https://www.sds-group.ru/product/chehol-tent-na-avtomobil-razmer-l-rexant-80-0317/", "Инфо")</f>
        <v>Инфо</v>
      </c>
      <c r="F8599" s="16" t="s">
        <v>39</v>
      </c>
      <c r="G8599" s="15"/>
      <c r="H8599" s="15"/>
      <c r="I8599" s="15"/>
      <c r="J8599" s="17">
        <v>39</v>
      </c>
      <c r="K8599" s="15" t="s">
        <v>1272</v>
      </c>
      <c r="L8599" s="17">
        <v>1</v>
      </c>
      <c r="M8599" s="17">
        <v>12</v>
      </c>
      <c r="N8599" s="17">
        <v>1</v>
      </c>
      <c r="O8599" s="18">
        <v>3988.67</v>
      </c>
      <c r="P8599" s="18">
        <v>3269.4</v>
      </c>
      <c r="Q8599" s="18">
        <v>2792.07</v>
      </c>
      <c r="R8599" s="18">
        <v>2288.58</v>
      </c>
      <c r="S8599" s="18">
        <v>2712.3</v>
      </c>
      <c r="T8599" s="18">
        <v>2223.1999999999998</v>
      </c>
      <c r="U8599" s="16"/>
      <c r="V8599" s="16"/>
      <c r="W8599" s="16"/>
      <c r="X8599" s="19">
        <v>1.2150000000000001</v>
      </c>
      <c r="Y8599" s="20">
        <v>7.2269999999999999E-3</v>
      </c>
      <c r="Z8599" s="21">
        <v>4601004288140</v>
      </c>
    </row>
    <row r="8600" spans="1:26" ht="12" customHeight="1" outlineLevel="4" x14ac:dyDescent="0.2">
      <c r="A8600" s="14" t="s">
        <v>16421</v>
      </c>
      <c r="B8600" s="26" t="s">
        <v>16422</v>
      </c>
      <c r="C8600" s="52"/>
      <c r="D8600" s="55">
        <f t="shared" si="134"/>
        <v>0</v>
      </c>
      <c r="E8600" s="63" t="str">
        <f>HYPERLINK("https://www.sds-group.ru/product/chehol-tent-na-avtomobil-razmer-m-rexant-80-0316/", "Инфо")</f>
        <v>Инфо</v>
      </c>
      <c r="F8600" s="16" t="s">
        <v>39</v>
      </c>
      <c r="G8600" s="15"/>
      <c r="H8600" s="15"/>
      <c r="I8600" s="15"/>
      <c r="J8600" s="16" t="s">
        <v>100</v>
      </c>
      <c r="K8600" s="15" t="s">
        <v>1272</v>
      </c>
      <c r="L8600" s="17">
        <v>1</v>
      </c>
      <c r="M8600" s="17">
        <v>12</v>
      </c>
      <c r="N8600" s="17">
        <v>1</v>
      </c>
      <c r="O8600" s="18">
        <v>3773.07</v>
      </c>
      <c r="P8600" s="18">
        <v>3092.68</v>
      </c>
      <c r="Q8600" s="18">
        <v>2641.15</v>
      </c>
      <c r="R8600" s="18">
        <v>2164.88</v>
      </c>
      <c r="S8600" s="18">
        <v>2565.69</v>
      </c>
      <c r="T8600" s="18">
        <v>2103.02</v>
      </c>
      <c r="U8600" s="16"/>
      <c r="V8600" s="16"/>
      <c r="W8600" s="16"/>
      <c r="X8600" s="19">
        <v>1.0389999999999999</v>
      </c>
      <c r="Y8600" s="20">
        <v>6.7000000000000002E-3</v>
      </c>
      <c r="Z8600" s="21">
        <v>4601004288157</v>
      </c>
    </row>
    <row r="8601" spans="1:26" ht="12" customHeight="1" outlineLevel="4" x14ac:dyDescent="0.2">
      <c r="A8601" s="14" t="s">
        <v>16423</v>
      </c>
      <c r="B8601" s="26" t="s">
        <v>16424</v>
      </c>
      <c r="C8601" s="52"/>
      <c r="D8601" s="55">
        <f t="shared" si="134"/>
        <v>0</v>
      </c>
      <c r="E8601" s="63" t="str">
        <f>HYPERLINK("https://www.sds-group.ru/product/chehol-tent-na-avtomobil-razmer-xl-rexant-80-0318/", "Инфо")</f>
        <v>Инфо</v>
      </c>
      <c r="F8601" s="16" t="s">
        <v>39</v>
      </c>
      <c r="G8601" s="15"/>
      <c r="H8601" s="15"/>
      <c r="I8601" s="15"/>
      <c r="J8601" s="16" t="s">
        <v>100</v>
      </c>
      <c r="K8601" s="15" t="s">
        <v>1272</v>
      </c>
      <c r="L8601" s="17">
        <v>1</v>
      </c>
      <c r="M8601" s="17">
        <v>12</v>
      </c>
      <c r="N8601" s="17">
        <v>1</v>
      </c>
      <c r="O8601" s="18">
        <v>4193.5</v>
      </c>
      <c r="P8601" s="18">
        <v>3437.3</v>
      </c>
      <c r="Q8601" s="18">
        <v>2935.45</v>
      </c>
      <c r="R8601" s="18">
        <v>2406.11</v>
      </c>
      <c r="S8601" s="18">
        <v>2851.58</v>
      </c>
      <c r="T8601" s="18">
        <v>2337.36</v>
      </c>
      <c r="U8601" s="16"/>
      <c r="V8601" s="16"/>
      <c r="W8601" s="16"/>
      <c r="X8601" s="19">
        <v>1.2989999999999999</v>
      </c>
      <c r="Y8601" s="20">
        <v>7.6249999999999998E-3</v>
      </c>
      <c r="Z8601" s="21">
        <v>4601004288126</v>
      </c>
    </row>
    <row r="8602" spans="1:26" ht="12" customHeight="1" outlineLevel="4" x14ac:dyDescent="0.2">
      <c r="A8602" s="14" t="s">
        <v>16425</v>
      </c>
      <c r="B8602" s="26" t="s">
        <v>16426</v>
      </c>
      <c r="C8602" s="52"/>
      <c r="D8602" s="55">
        <f t="shared" si="134"/>
        <v>0</v>
      </c>
      <c r="E8602" s="63" t="str">
        <f>HYPERLINK("https://www.sds-group.ru/product/chehol-tent-na-kvadrotsikl-razmer-l-rexant-80-0314/", "Инфо")</f>
        <v>Инфо</v>
      </c>
      <c r="F8602" s="16" t="s">
        <v>39</v>
      </c>
      <c r="G8602" s="15"/>
      <c r="H8602" s="15"/>
      <c r="I8602" s="15"/>
      <c r="J8602" s="17">
        <v>75</v>
      </c>
      <c r="K8602" s="15" t="s">
        <v>1272</v>
      </c>
      <c r="L8602" s="17">
        <v>1</v>
      </c>
      <c r="M8602" s="17">
        <v>20</v>
      </c>
      <c r="N8602" s="17">
        <v>1</v>
      </c>
      <c r="O8602" s="18">
        <v>2587.25</v>
      </c>
      <c r="P8602" s="18">
        <v>2120.6999999999998</v>
      </c>
      <c r="Q8602" s="18">
        <v>1811.08</v>
      </c>
      <c r="R8602" s="18">
        <v>1484.49</v>
      </c>
      <c r="S8602" s="18">
        <v>1759.33</v>
      </c>
      <c r="T8602" s="18">
        <v>1442.07</v>
      </c>
      <c r="U8602" s="16"/>
      <c r="V8602" s="16"/>
      <c r="W8602" s="16"/>
      <c r="X8602" s="19">
        <v>0.58799999999999997</v>
      </c>
      <c r="Y8602" s="20">
        <v>4.7990000000000003E-3</v>
      </c>
      <c r="Z8602" s="21">
        <v>4601004288133</v>
      </c>
    </row>
    <row r="8603" spans="1:26" ht="12" customHeight="1" outlineLevel="4" x14ac:dyDescent="0.2">
      <c r="A8603" s="14" t="s">
        <v>16427</v>
      </c>
      <c r="B8603" s="26" t="s">
        <v>16428</v>
      </c>
      <c r="C8603" s="52"/>
      <c r="D8603" s="55">
        <f t="shared" si="134"/>
        <v>0</v>
      </c>
      <c r="E8603" s="63" t="str">
        <f>HYPERLINK("https://www.sds-group.ru/product/chehol-tent-na-kvadrotsikl-razmer-m-rexant-80-0313/", "Инфо")</f>
        <v>Инфо</v>
      </c>
      <c r="F8603" s="16" t="s">
        <v>39</v>
      </c>
      <c r="G8603" s="15"/>
      <c r="H8603" s="15"/>
      <c r="I8603" s="15"/>
      <c r="J8603" s="17">
        <v>28</v>
      </c>
      <c r="K8603" s="15" t="s">
        <v>1272</v>
      </c>
      <c r="L8603" s="17">
        <v>1</v>
      </c>
      <c r="M8603" s="17">
        <v>20</v>
      </c>
      <c r="N8603" s="17">
        <v>1</v>
      </c>
      <c r="O8603" s="18">
        <v>2587.25</v>
      </c>
      <c r="P8603" s="18">
        <v>2120.6999999999998</v>
      </c>
      <c r="Q8603" s="18">
        <v>1811.08</v>
      </c>
      <c r="R8603" s="18">
        <v>1484.49</v>
      </c>
      <c r="S8603" s="18">
        <v>1759.33</v>
      </c>
      <c r="T8603" s="18">
        <v>1442.07</v>
      </c>
      <c r="U8603" s="16"/>
      <c r="V8603" s="16"/>
      <c r="W8603" s="16"/>
      <c r="X8603" s="19">
        <v>0.54</v>
      </c>
      <c r="Y8603" s="20">
        <v>4.5719999999999997E-3</v>
      </c>
      <c r="Z8603" s="21">
        <v>4601004288096</v>
      </c>
    </row>
    <row r="8604" spans="1:26" ht="12" customHeight="1" outlineLevel="4" x14ac:dyDescent="0.2">
      <c r="A8604" s="14" t="s">
        <v>16429</v>
      </c>
      <c r="B8604" s="26" t="s">
        <v>16430</v>
      </c>
      <c r="C8604" s="52"/>
      <c r="D8604" s="55">
        <f t="shared" si="134"/>
        <v>0</v>
      </c>
      <c r="E8604" s="63" t="str">
        <f>HYPERLINK("https://www.sds-group.ru/product/chehol-tent-na-kvadrotsikl-razmer-xl-rexant-80-0315/", "Инфо")</f>
        <v>Инфо</v>
      </c>
      <c r="F8604" s="16" t="s">
        <v>39</v>
      </c>
      <c r="G8604" s="15"/>
      <c r="H8604" s="15"/>
      <c r="I8604" s="15"/>
      <c r="J8604" s="16" t="s">
        <v>100</v>
      </c>
      <c r="K8604" s="15" t="s">
        <v>1272</v>
      </c>
      <c r="L8604" s="17">
        <v>1</v>
      </c>
      <c r="M8604" s="17">
        <v>20</v>
      </c>
      <c r="N8604" s="17">
        <v>1</v>
      </c>
      <c r="O8604" s="18">
        <v>2587.25</v>
      </c>
      <c r="P8604" s="18">
        <v>2120.6999999999998</v>
      </c>
      <c r="Q8604" s="18">
        <v>1811.08</v>
      </c>
      <c r="R8604" s="18">
        <v>1484.49</v>
      </c>
      <c r="S8604" s="18">
        <v>1759.33</v>
      </c>
      <c r="T8604" s="18">
        <v>1442.07</v>
      </c>
      <c r="U8604" s="16"/>
      <c r="V8604" s="16"/>
      <c r="W8604" s="16"/>
      <c r="X8604" s="19">
        <v>0.59</v>
      </c>
      <c r="Y8604" s="20">
        <v>4.4520000000000002E-3</v>
      </c>
      <c r="Z8604" s="21">
        <v>4601004288171</v>
      </c>
    </row>
    <row r="8605" spans="1:26" ht="12" customHeight="1" outlineLevel="4" x14ac:dyDescent="0.2">
      <c r="A8605" s="14" t="s">
        <v>16431</v>
      </c>
      <c r="B8605" s="26" t="s">
        <v>16432</v>
      </c>
      <c r="C8605" s="52"/>
      <c r="D8605" s="55">
        <f t="shared" si="134"/>
        <v>0</v>
      </c>
      <c r="E8605" s="63" t="str">
        <f>HYPERLINK("https://www.sds-group.ru/product/chehol-tent-na-mototsikl-razmer-l-rexant-80-0311/", "Инфо")</f>
        <v>Инфо</v>
      </c>
      <c r="F8605" s="16" t="s">
        <v>39</v>
      </c>
      <c r="G8605" s="15"/>
      <c r="H8605" s="15"/>
      <c r="I8605" s="15"/>
      <c r="J8605" s="17">
        <v>84</v>
      </c>
      <c r="K8605" s="15" t="s">
        <v>1272</v>
      </c>
      <c r="L8605" s="17">
        <v>1</v>
      </c>
      <c r="M8605" s="17">
        <v>20</v>
      </c>
      <c r="N8605" s="17">
        <v>1</v>
      </c>
      <c r="O8605" s="18">
        <v>1832.63</v>
      </c>
      <c r="P8605" s="18">
        <v>1502.16</v>
      </c>
      <c r="Q8605" s="18">
        <v>1282.8399999999999</v>
      </c>
      <c r="R8605" s="18">
        <v>1051.51</v>
      </c>
      <c r="S8605" s="18">
        <v>1246.19</v>
      </c>
      <c r="T8605" s="18">
        <v>1021.47</v>
      </c>
      <c r="U8605" s="16"/>
      <c r="V8605" s="16"/>
      <c r="W8605" s="16"/>
      <c r="X8605" s="19">
        <v>0.44400000000000001</v>
      </c>
      <c r="Y8605" s="20">
        <v>3.1359999999999999E-3</v>
      </c>
      <c r="Z8605" s="21">
        <v>4601004288164</v>
      </c>
    </row>
    <row r="8606" spans="1:26" ht="12" customHeight="1" outlineLevel="4" x14ac:dyDescent="0.2">
      <c r="A8606" s="14" t="s">
        <v>16433</v>
      </c>
      <c r="B8606" s="26" t="s">
        <v>16434</v>
      </c>
      <c r="C8606" s="52"/>
      <c r="D8606" s="55">
        <f t="shared" si="134"/>
        <v>0</v>
      </c>
      <c r="E8606" s="63" t="str">
        <f>HYPERLINK("https://www.sds-group.ru/product/chehol-tent-na-mototsikl-razmer-m-rexant-80-0310/", "Инфо")</f>
        <v>Инфо</v>
      </c>
      <c r="F8606" s="16" t="s">
        <v>39</v>
      </c>
      <c r="G8606" s="15"/>
      <c r="H8606" s="15"/>
      <c r="I8606" s="15"/>
      <c r="J8606" s="17">
        <v>89</v>
      </c>
      <c r="K8606" s="15"/>
      <c r="L8606" s="17">
        <v>1</v>
      </c>
      <c r="M8606" s="17">
        <v>20</v>
      </c>
      <c r="N8606" s="17">
        <v>1</v>
      </c>
      <c r="O8606" s="18">
        <v>1897.32</v>
      </c>
      <c r="P8606" s="18">
        <v>1555.18</v>
      </c>
      <c r="Q8606" s="18">
        <v>1328.12</v>
      </c>
      <c r="R8606" s="18">
        <v>1088.6199999999999</v>
      </c>
      <c r="S8606" s="18">
        <v>1290.18</v>
      </c>
      <c r="T8606" s="18">
        <v>1057.52</v>
      </c>
      <c r="U8606" s="16"/>
      <c r="V8606" s="16"/>
      <c r="W8606" s="16"/>
      <c r="X8606" s="19">
        <v>0.39400000000000002</v>
      </c>
      <c r="Y8606" s="20">
        <v>3.261E-3</v>
      </c>
      <c r="Z8606" s="21">
        <v>4601004288119</v>
      </c>
    </row>
    <row r="8607" spans="1:26" ht="12" customHeight="1" outlineLevel="4" x14ac:dyDescent="0.2">
      <c r="A8607" s="14" t="s">
        <v>16435</v>
      </c>
      <c r="B8607" s="26" t="s">
        <v>16436</v>
      </c>
      <c r="C8607" s="52"/>
      <c r="D8607" s="55">
        <f t="shared" si="134"/>
        <v>0</v>
      </c>
      <c r="E8607" s="63" t="str">
        <f>HYPERLINK("https://www.sds-group.ru/product/chehol-tent-na-mototsikl-razmer-xl-rexant-80-0312/", "Инфо")</f>
        <v>Инфо</v>
      </c>
      <c r="F8607" s="16" t="s">
        <v>39</v>
      </c>
      <c r="G8607" s="15"/>
      <c r="H8607" s="15"/>
      <c r="I8607" s="15"/>
      <c r="J8607" s="17">
        <v>97</v>
      </c>
      <c r="K8607" s="15" t="s">
        <v>1272</v>
      </c>
      <c r="L8607" s="17">
        <v>1</v>
      </c>
      <c r="M8607" s="17">
        <v>20</v>
      </c>
      <c r="N8607" s="17">
        <v>1</v>
      </c>
      <c r="O8607" s="18">
        <v>2048.2399999999998</v>
      </c>
      <c r="P8607" s="18">
        <v>1678.89</v>
      </c>
      <c r="Q8607" s="18">
        <v>1433.77</v>
      </c>
      <c r="R8607" s="18">
        <v>1175.22</v>
      </c>
      <c r="S8607" s="18">
        <v>1392.8</v>
      </c>
      <c r="T8607" s="18">
        <v>1141.6400000000001</v>
      </c>
      <c r="U8607" s="16"/>
      <c r="V8607" s="16"/>
      <c r="W8607" s="16"/>
      <c r="X8607" s="19">
        <v>0.47199999999999998</v>
      </c>
      <c r="Y8607" s="20">
        <v>3.2209999999999999E-3</v>
      </c>
      <c r="Z8607" s="21">
        <v>4601004288102</v>
      </c>
    </row>
    <row r="8608" spans="1:26" ht="12.95" customHeight="1" outlineLevel="3" x14ac:dyDescent="0.2">
      <c r="A8608" s="76" t="s">
        <v>16437</v>
      </c>
      <c r="B8608" s="76"/>
      <c r="C8608" s="77"/>
      <c r="D8608" s="58"/>
      <c r="E8608" s="68"/>
      <c r="F8608" s="13"/>
      <c r="G8608" s="13"/>
      <c r="H8608" s="13"/>
      <c r="I8608" s="13"/>
      <c r="J8608" s="13"/>
      <c r="K8608" s="13"/>
      <c r="L8608" s="13"/>
      <c r="M8608" s="13"/>
      <c r="N8608" s="13"/>
      <c r="O8608" s="13"/>
      <c r="P8608" s="13"/>
      <c r="Q8608" s="13"/>
      <c r="R8608" s="13"/>
      <c r="S8608" s="13"/>
      <c r="T8608" s="13"/>
      <c r="U8608" s="13"/>
      <c r="V8608" s="13"/>
      <c r="W8608" s="13"/>
      <c r="X8608" s="13"/>
      <c r="Y8608" s="13"/>
      <c r="Z8608" s="13"/>
    </row>
    <row r="8609" spans="1:26" ht="12" customHeight="1" outlineLevel="4" x14ac:dyDescent="0.2">
      <c r="A8609" s="14" t="s">
        <v>16438</v>
      </c>
      <c r="B8609" s="26" t="s">
        <v>16439</v>
      </c>
      <c r="C8609" s="52"/>
      <c r="D8609" s="55">
        <f t="shared" si="134"/>
        <v>0</v>
      </c>
      <c r="E8609" s="63" t="str">
        <f>HYPERLINK("https://www.sds-group.ru/product/uteplitel-dvigatelya-vlack-premium-dvoynoy-sloy-razmer-l-160h90sm-rexant-80-0331/", "Инфо")</f>
        <v>Инфо</v>
      </c>
      <c r="F8609" s="16" t="s">
        <v>39</v>
      </c>
      <c r="G8609" s="15"/>
      <c r="H8609" s="15"/>
      <c r="I8609" s="15"/>
      <c r="J8609" s="16" t="s">
        <v>100</v>
      </c>
      <c r="K8609" s="15"/>
      <c r="L8609" s="17">
        <v>1</v>
      </c>
      <c r="M8609" s="17">
        <v>5</v>
      </c>
      <c r="N8609" s="17">
        <v>1</v>
      </c>
      <c r="O8609" s="18">
        <v>4108.34</v>
      </c>
      <c r="P8609" s="18">
        <v>3367.49</v>
      </c>
      <c r="Q8609" s="18">
        <v>2875.84</v>
      </c>
      <c r="R8609" s="18">
        <v>2357.25</v>
      </c>
      <c r="S8609" s="18">
        <v>2793.67</v>
      </c>
      <c r="T8609" s="18">
        <v>2289.89</v>
      </c>
      <c r="U8609" s="16"/>
      <c r="V8609" s="16"/>
      <c r="W8609" s="16"/>
      <c r="X8609" s="19">
        <v>3.3639999999999999</v>
      </c>
      <c r="Y8609" s="20">
        <v>2.3302E-2</v>
      </c>
      <c r="Z8609" s="21">
        <v>4601004323131</v>
      </c>
    </row>
    <row r="8610" spans="1:26" ht="12" customHeight="1" outlineLevel="4" x14ac:dyDescent="0.2">
      <c r="A8610" s="14" t="s">
        <v>16440</v>
      </c>
      <c r="B8610" s="26" t="s">
        <v>16441</v>
      </c>
      <c r="C8610" s="52"/>
      <c r="D8610" s="55">
        <f t="shared" si="134"/>
        <v>0</v>
      </c>
      <c r="E8610" s="63" t="str">
        <f>HYPERLINK("https://www.sds-group.ru/product/uteplitel-dvigatelya-black-premium-dvoynoy-sloy-razmer-m-140h90sm-rexant-80-0330/", "Инфо")</f>
        <v>Инфо</v>
      </c>
      <c r="F8610" s="16" t="s">
        <v>39</v>
      </c>
      <c r="G8610" s="15"/>
      <c r="H8610" s="15"/>
      <c r="I8610" s="15"/>
      <c r="J8610" s="17">
        <v>25</v>
      </c>
      <c r="K8610" s="15"/>
      <c r="L8610" s="17">
        <v>1</v>
      </c>
      <c r="M8610" s="17">
        <v>5</v>
      </c>
      <c r="N8610" s="17">
        <v>1</v>
      </c>
      <c r="O8610" s="18">
        <v>3664.19</v>
      </c>
      <c r="P8610" s="18">
        <v>3003.43</v>
      </c>
      <c r="Q8610" s="18">
        <v>2564.9299999999998</v>
      </c>
      <c r="R8610" s="18">
        <v>2102.4</v>
      </c>
      <c r="S8610" s="18">
        <v>2491.65</v>
      </c>
      <c r="T8610" s="18">
        <v>2042.34</v>
      </c>
      <c r="U8610" s="16"/>
      <c r="V8610" s="16"/>
      <c r="W8610" s="16"/>
      <c r="X8610" s="19">
        <v>2.3340000000000001</v>
      </c>
      <c r="Y8610" s="20">
        <v>2.2192E-2</v>
      </c>
      <c r="Z8610" s="21">
        <v>4601004323124</v>
      </c>
    </row>
    <row r="8611" spans="1:26" ht="12.95" customHeight="1" outlineLevel="2" x14ac:dyDescent="0.2">
      <c r="A8611" s="76" t="s">
        <v>16442</v>
      </c>
      <c r="B8611" s="76"/>
      <c r="C8611" s="77"/>
      <c r="D8611" s="58"/>
      <c r="E8611" s="68"/>
      <c r="F8611" s="13"/>
      <c r="G8611" s="13"/>
      <c r="H8611" s="13"/>
      <c r="I8611" s="13"/>
      <c r="J8611" s="13"/>
      <c r="K8611" s="13"/>
      <c r="L8611" s="13"/>
      <c r="M8611" s="13"/>
      <c r="N8611" s="13"/>
      <c r="O8611" s="13"/>
      <c r="P8611" s="13"/>
      <c r="Q8611" s="13"/>
      <c r="R8611" s="13"/>
      <c r="S8611" s="13"/>
      <c r="T8611" s="13"/>
      <c r="U8611" s="13"/>
      <c r="V8611" s="13"/>
      <c r="W8611" s="13"/>
      <c r="X8611" s="13"/>
      <c r="Y8611" s="13"/>
      <c r="Z8611" s="13"/>
    </row>
    <row r="8612" spans="1:26" ht="12.95" customHeight="1" outlineLevel="3" x14ac:dyDescent="0.2">
      <c r="A8612" s="76" t="s">
        <v>16443</v>
      </c>
      <c r="B8612" s="76"/>
      <c r="C8612" s="77"/>
      <c r="D8612" s="58"/>
      <c r="E8612" s="68"/>
      <c r="F8612" s="13"/>
      <c r="G8612" s="13"/>
      <c r="H8612" s="13"/>
      <c r="I8612" s="13"/>
      <c r="J8612" s="13"/>
      <c r="K8612" s="13"/>
      <c r="L8612" s="13"/>
      <c r="M8612" s="13"/>
      <c r="N8612" s="13"/>
      <c r="O8612" s="13"/>
      <c r="P8612" s="13"/>
      <c r="Q8612" s="13"/>
      <c r="R8612" s="13"/>
      <c r="S8612" s="13"/>
      <c r="T8612" s="13"/>
      <c r="U8612" s="13"/>
      <c r="V8612" s="13"/>
      <c r="W8612" s="13"/>
      <c r="X8612" s="13"/>
      <c r="Y8612" s="13"/>
      <c r="Z8612" s="13"/>
    </row>
    <row r="8613" spans="1:26" ht="12" customHeight="1" outlineLevel="4" x14ac:dyDescent="0.2">
      <c r="A8613" s="14" t="s">
        <v>16444</v>
      </c>
      <c r="B8613" s="26" t="s">
        <v>16445</v>
      </c>
      <c r="C8613" s="52"/>
      <c r="D8613" s="55">
        <f t="shared" si="134"/>
        <v>0</v>
      </c>
      <c r="E8613" s="63" t="str">
        <f>HYPERLINK("https://www.sds-group.ru/product/himchistka-salona-avtomobilya-650ml-nanoprotech-NPXS0035/", "Инфо")</f>
        <v>Инфо</v>
      </c>
      <c r="F8613" s="16" t="s">
        <v>39</v>
      </c>
      <c r="G8613" s="15"/>
      <c r="H8613" s="15"/>
      <c r="I8613" s="15"/>
      <c r="J8613" s="17">
        <v>67</v>
      </c>
      <c r="K8613" s="15"/>
      <c r="L8613" s="17">
        <v>1</v>
      </c>
      <c r="M8613" s="17">
        <v>12</v>
      </c>
      <c r="N8613" s="17">
        <v>1</v>
      </c>
      <c r="O8613" s="18">
        <v>868.82</v>
      </c>
      <c r="P8613" s="18">
        <v>712.15</v>
      </c>
      <c r="Q8613" s="18">
        <v>695.06</v>
      </c>
      <c r="R8613" s="18">
        <v>569.72</v>
      </c>
      <c r="S8613" s="18">
        <v>590.79999999999995</v>
      </c>
      <c r="T8613" s="18">
        <v>484.26</v>
      </c>
      <c r="U8613" s="16"/>
      <c r="V8613" s="16"/>
      <c r="W8613" s="16" t="s">
        <v>40</v>
      </c>
      <c r="X8613" s="19">
        <v>0.55000000000000004</v>
      </c>
      <c r="Y8613" s="20">
        <v>9.4499999999999998E-4</v>
      </c>
      <c r="Z8613" s="21">
        <v>4612751620855</v>
      </c>
    </row>
    <row r="8614" spans="1:26" ht="12.95" customHeight="1" outlineLevel="3" x14ac:dyDescent="0.2">
      <c r="A8614" s="76" t="s">
        <v>16446</v>
      </c>
      <c r="B8614" s="76"/>
      <c r="C8614" s="77"/>
      <c r="D8614" s="58"/>
      <c r="E8614" s="68"/>
      <c r="F8614" s="13"/>
      <c r="G8614" s="13"/>
      <c r="H8614" s="13"/>
      <c r="I8614" s="13"/>
      <c r="J8614" s="13"/>
      <c r="K8614" s="13"/>
      <c r="L8614" s="13"/>
      <c r="M8614" s="13"/>
      <c r="N8614" s="13"/>
      <c r="O8614" s="13"/>
      <c r="P8614" s="13"/>
      <c r="Q8614" s="13"/>
      <c r="R8614" s="13"/>
      <c r="S8614" s="13"/>
      <c r="T8614" s="13"/>
      <c r="U8614" s="13"/>
      <c r="V8614" s="13"/>
      <c r="W8614" s="13"/>
      <c r="X8614" s="13"/>
      <c r="Y8614" s="13"/>
      <c r="Z8614" s="13"/>
    </row>
    <row r="8615" spans="1:26" ht="12" customHeight="1" outlineLevel="4" x14ac:dyDescent="0.2">
      <c r="A8615" s="14" t="s">
        <v>16447</v>
      </c>
      <c r="B8615" s="26" t="s">
        <v>16448</v>
      </c>
      <c r="C8615" s="52"/>
      <c r="D8615" s="55">
        <f t="shared" si="134"/>
        <v>0</v>
      </c>
      <c r="E8615" s="63" t="str">
        <f>HYPERLINK("https://www.sds-group.ru/product/ochistitel-elektrokontaktov-210ml-nanoprotech-NPOE0031/", "Инфо")</f>
        <v>Инфо</v>
      </c>
      <c r="F8615" s="16" t="s">
        <v>39</v>
      </c>
      <c r="G8615" s="15"/>
      <c r="H8615" s="15"/>
      <c r="I8615" s="15"/>
      <c r="J8615" s="17">
        <v>237</v>
      </c>
      <c r="K8615" s="15"/>
      <c r="L8615" s="17">
        <v>1</v>
      </c>
      <c r="M8615" s="17">
        <v>12</v>
      </c>
      <c r="N8615" s="17">
        <v>1</v>
      </c>
      <c r="O8615" s="18">
        <v>541.44000000000005</v>
      </c>
      <c r="P8615" s="18">
        <v>443.8</v>
      </c>
      <c r="Q8615" s="18">
        <v>433.15</v>
      </c>
      <c r="R8615" s="18">
        <v>355.04</v>
      </c>
      <c r="S8615" s="18">
        <v>368.18</v>
      </c>
      <c r="T8615" s="18">
        <v>301.79000000000002</v>
      </c>
      <c r="U8615" s="16"/>
      <c r="V8615" s="16"/>
      <c r="W8615" s="16" t="s">
        <v>40</v>
      </c>
      <c r="X8615" s="19">
        <v>0.17799999999999999</v>
      </c>
      <c r="Y8615" s="20">
        <v>9.3000000000000005E-4</v>
      </c>
      <c r="Z8615" s="21">
        <v>4610046771831</v>
      </c>
    </row>
    <row r="8616" spans="1:26" ht="12" customHeight="1" outlineLevel="4" x14ac:dyDescent="0.2">
      <c r="A8616" s="14" t="s">
        <v>16449</v>
      </c>
      <c r="B8616" s="26" t="s">
        <v>16450</v>
      </c>
      <c r="C8616" s="52"/>
      <c r="D8616" s="55">
        <f t="shared" si="134"/>
        <v>0</v>
      </c>
      <c r="E8616" s="63" t="str">
        <f>HYPERLINK("https://www.sds-group.ru/product/smazka-podvizhnyh-detaley-dlya-velosipeda-210ml-nanoprotech-NPVS0010/", "Инфо")</f>
        <v>Инфо</v>
      </c>
      <c r="F8616" s="16" t="s">
        <v>39</v>
      </c>
      <c r="G8616" s="15"/>
      <c r="H8616" s="15"/>
      <c r="I8616" s="15"/>
      <c r="J8616" s="17">
        <v>121</v>
      </c>
      <c r="K8616" s="15"/>
      <c r="L8616" s="17">
        <v>1</v>
      </c>
      <c r="M8616" s="17">
        <v>12</v>
      </c>
      <c r="N8616" s="17">
        <v>1</v>
      </c>
      <c r="O8616" s="18">
        <v>589.57000000000005</v>
      </c>
      <c r="P8616" s="18">
        <v>483.25</v>
      </c>
      <c r="Q8616" s="18">
        <v>471.66</v>
      </c>
      <c r="R8616" s="18">
        <v>386.61</v>
      </c>
      <c r="S8616" s="18">
        <v>400.91</v>
      </c>
      <c r="T8616" s="18">
        <v>328.61</v>
      </c>
      <c r="U8616" s="16"/>
      <c r="V8616" s="16"/>
      <c r="W8616" s="16" t="s">
        <v>40</v>
      </c>
      <c r="X8616" s="19">
        <v>0.17899999999999999</v>
      </c>
      <c r="Y8616" s="20">
        <v>9.3099999999999997E-4</v>
      </c>
      <c r="Z8616" s="21">
        <v>4610046771756</v>
      </c>
    </row>
    <row r="8617" spans="1:26" ht="12" customHeight="1" outlineLevel="4" x14ac:dyDescent="0.2">
      <c r="A8617" s="14" t="s">
        <v>16451</v>
      </c>
      <c r="B8617" s="26" t="s">
        <v>16452</v>
      </c>
      <c r="C8617" s="52"/>
      <c r="D8617" s="55">
        <f t="shared" si="134"/>
        <v>0</v>
      </c>
      <c r="E8617" s="63" t="str">
        <f>HYPERLINK("https://www.sds-group.ru/product/super-smazka-210ml-nanoprotech-NPSS0001/", "Инфо")</f>
        <v>Инфо</v>
      </c>
      <c r="F8617" s="16" t="s">
        <v>39</v>
      </c>
      <c r="G8617" s="15"/>
      <c r="H8617" s="15"/>
      <c r="I8617" s="15"/>
      <c r="J8617" s="17">
        <v>119</v>
      </c>
      <c r="K8617" s="15" t="s">
        <v>1888</v>
      </c>
      <c r="L8617" s="17">
        <v>1</v>
      </c>
      <c r="M8617" s="17">
        <v>12</v>
      </c>
      <c r="N8617" s="17">
        <v>1</v>
      </c>
      <c r="O8617" s="18">
        <v>549.79</v>
      </c>
      <c r="P8617" s="18">
        <v>450.65</v>
      </c>
      <c r="Q8617" s="18">
        <v>439.83</v>
      </c>
      <c r="R8617" s="18">
        <v>360.52</v>
      </c>
      <c r="S8617" s="18">
        <v>373.86</v>
      </c>
      <c r="T8617" s="18">
        <v>306.44</v>
      </c>
      <c r="U8617" s="16"/>
      <c r="V8617" s="16"/>
      <c r="W8617" s="16" t="s">
        <v>40</v>
      </c>
      <c r="X8617" s="19">
        <v>0.13800000000000001</v>
      </c>
      <c r="Y8617" s="20">
        <v>4.1300000000000001E-4</v>
      </c>
      <c r="Z8617" s="21">
        <v>4610046771732</v>
      </c>
    </row>
    <row r="8618" spans="1:26" ht="12.95" customHeight="1" outlineLevel="3" x14ac:dyDescent="0.2">
      <c r="A8618" s="76" t="s">
        <v>16453</v>
      </c>
      <c r="B8618" s="76"/>
      <c r="C8618" s="77"/>
      <c r="D8618" s="58"/>
      <c r="E8618" s="68"/>
      <c r="F8618" s="13"/>
      <c r="G8618" s="13"/>
      <c r="H8618" s="13"/>
      <c r="I8618" s="13"/>
      <c r="J8618" s="13"/>
      <c r="K8618" s="13"/>
      <c r="L8618" s="13"/>
      <c r="M8618" s="13"/>
      <c r="N8618" s="13"/>
      <c r="O8618" s="13"/>
      <c r="P8618" s="13"/>
      <c r="Q8618" s="13"/>
      <c r="R8618" s="13"/>
      <c r="S8618" s="13"/>
      <c r="T8618" s="13"/>
      <c r="U8618" s="13"/>
      <c r="V8618" s="13"/>
      <c r="W8618" s="13"/>
      <c r="X8618" s="13"/>
      <c r="Y8618" s="13"/>
      <c r="Z8618" s="13"/>
    </row>
    <row r="8619" spans="1:26" ht="12" customHeight="1" outlineLevel="4" x14ac:dyDescent="0.2">
      <c r="A8619" s="14" t="s">
        <v>16454</v>
      </c>
      <c r="B8619" s="26" t="s">
        <v>16455</v>
      </c>
      <c r="C8619" s="52"/>
      <c r="D8619" s="55">
        <f t="shared" si="134"/>
        <v>0</v>
      </c>
      <c r="E8619" s="63" t="str">
        <f>HYPERLINK("https://www.sds-group.ru/product/antidozhd-250ml-trigger-rexant-85-0064/", "Инфо")</f>
        <v>Инфо</v>
      </c>
      <c r="F8619" s="16" t="s">
        <v>39</v>
      </c>
      <c r="G8619" s="15"/>
      <c r="H8619" s="15"/>
      <c r="I8619" s="15"/>
      <c r="J8619" s="17">
        <v>2</v>
      </c>
      <c r="K8619" s="15"/>
      <c r="L8619" s="17">
        <v>5</v>
      </c>
      <c r="M8619" s="17">
        <v>15</v>
      </c>
      <c r="N8619" s="17">
        <v>5</v>
      </c>
      <c r="O8619" s="18">
        <v>266.27</v>
      </c>
      <c r="P8619" s="18">
        <v>218.25</v>
      </c>
      <c r="Q8619" s="18">
        <v>226.33</v>
      </c>
      <c r="R8619" s="18">
        <v>185.52</v>
      </c>
      <c r="S8619" s="18">
        <v>181.06</v>
      </c>
      <c r="T8619" s="18">
        <v>148.41</v>
      </c>
      <c r="U8619" s="16"/>
      <c r="V8619" s="16"/>
      <c r="W8619" s="16" t="s">
        <v>40</v>
      </c>
      <c r="X8619" s="19">
        <v>0.248</v>
      </c>
      <c r="Y8619" s="20">
        <v>1.139E-3</v>
      </c>
      <c r="Z8619" s="21">
        <v>4601004282797</v>
      </c>
    </row>
    <row r="8620" spans="1:26" ht="12" customHeight="1" outlineLevel="4" x14ac:dyDescent="0.2">
      <c r="A8620" s="14" t="s">
        <v>16456</v>
      </c>
      <c r="B8620" s="26" t="s">
        <v>16457</v>
      </c>
      <c r="C8620" s="52"/>
      <c r="D8620" s="55">
        <f t="shared" si="134"/>
        <v>0</v>
      </c>
      <c r="E8620" s="63" t="str">
        <f>HYPERLINK("https://www.sds-group.ru/product/antidozhd-500ml-trigger-rexant-85-0064-1/", "Инфо")</f>
        <v>Инфо</v>
      </c>
      <c r="F8620" s="16" t="s">
        <v>39</v>
      </c>
      <c r="G8620" s="15"/>
      <c r="H8620" s="15"/>
      <c r="I8620" s="15"/>
      <c r="J8620" s="17">
        <v>654</v>
      </c>
      <c r="K8620" s="15"/>
      <c r="L8620" s="17">
        <v>1</v>
      </c>
      <c r="M8620" s="17">
        <v>6</v>
      </c>
      <c r="N8620" s="17">
        <v>1</v>
      </c>
      <c r="O8620" s="18">
        <v>431.21</v>
      </c>
      <c r="P8620" s="18">
        <v>353.45</v>
      </c>
      <c r="Q8620" s="18">
        <v>344.97</v>
      </c>
      <c r="R8620" s="18">
        <v>282.76</v>
      </c>
      <c r="S8620" s="18">
        <v>293.22000000000003</v>
      </c>
      <c r="T8620" s="18">
        <v>240.34</v>
      </c>
      <c r="U8620" s="16"/>
      <c r="V8620" s="16"/>
      <c r="W8620" s="16" t="s">
        <v>40</v>
      </c>
      <c r="X8620" s="19">
        <v>0.443</v>
      </c>
      <c r="Y8620" s="20">
        <v>1.0950000000000001E-3</v>
      </c>
      <c r="Z8620" s="21">
        <v>4601004282773</v>
      </c>
    </row>
    <row r="8621" spans="1:26" ht="12" customHeight="1" outlineLevel="4" x14ac:dyDescent="0.2">
      <c r="A8621" s="14" t="s">
        <v>16458</v>
      </c>
      <c r="B8621" s="26" t="s">
        <v>16459</v>
      </c>
      <c r="C8621" s="52"/>
      <c r="D8621" s="55">
        <f t="shared" si="134"/>
        <v>0</v>
      </c>
      <c r="E8621" s="63" t="str">
        <f>HYPERLINK("https://www.sds-group.ru/product/antizapotevatel-250ml-trigger-rexant-85-0065/", "Инфо")</f>
        <v>Инфо</v>
      </c>
      <c r="F8621" s="16" t="s">
        <v>39</v>
      </c>
      <c r="G8621" s="15"/>
      <c r="H8621" s="15"/>
      <c r="I8621" s="15"/>
      <c r="J8621" s="16" t="s">
        <v>100</v>
      </c>
      <c r="K8621" s="15"/>
      <c r="L8621" s="17">
        <v>5</v>
      </c>
      <c r="M8621" s="17">
        <v>15</v>
      </c>
      <c r="N8621" s="17">
        <v>5</v>
      </c>
      <c r="O8621" s="18">
        <v>254.4</v>
      </c>
      <c r="P8621" s="18">
        <v>208.52</v>
      </c>
      <c r="Q8621" s="18">
        <v>216.24</v>
      </c>
      <c r="R8621" s="18">
        <v>177.25</v>
      </c>
      <c r="S8621" s="18">
        <v>172.99</v>
      </c>
      <c r="T8621" s="18">
        <v>141.80000000000001</v>
      </c>
      <c r="U8621" s="16"/>
      <c r="V8621" s="16"/>
      <c r="W8621" s="16" t="s">
        <v>40</v>
      </c>
      <c r="X8621" s="19">
        <v>0.26400000000000001</v>
      </c>
      <c r="Y8621" s="20">
        <v>6.2200000000000005E-4</v>
      </c>
      <c r="Z8621" s="21">
        <v>4601004282780</v>
      </c>
    </row>
    <row r="8622" spans="1:26" ht="12" customHeight="1" outlineLevel="4" x14ac:dyDescent="0.2">
      <c r="A8622" s="14" t="s">
        <v>16460</v>
      </c>
      <c r="B8622" s="26" t="s">
        <v>16461</v>
      </c>
      <c r="C8622" s="52"/>
      <c r="D8622" s="55">
        <f t="shared" si="134"/>
        <v>0</v>
      </c>
      <c r="E8622" s="63" t="str">
        <f>HYPERLINK("https://www.sds-group.ru/product/antiskotch-210ml-rexant-85-0052/", "Инфо")</f>
        <v>Инфо</v>
      </c>
      <c r="F8622" s="16" t="s">
        <v>39</v>
      </c>
      <c r="G8622" s="15"/>
      <c r="H8622" s="15"/>
      <c r="I8622" s="15"/>
      <c r="J8622" s="22">
        <v>5319</v>
      </c>
      <c r="K8622" s="15"/>
      <c r="L8622" s="17">
        <v>5</v>
      </c>
      <c r="M8622" s="17">
        <v>12</v>
      </c>
      <c r="N8622" s="17">
        <v>5</v>
      </c>
      <c r="O8622" s="18">
        <v>286.2</v>
      </c>
      <c r="P8622" s="18">
        <v>234.59</v>
      </c>
      <c r="Q8622" s="18">
        <v>243.27</v>
      </c>
      <c r="R8622" s="18">
        <v>199.4</v>
      </c>
      <c r="S8622" s="18">
        <v>194.62</v>
      </c>
      <c r="T8622" s="18">
        <v>159.52000000000001</v>
      </c>
      <c r="U8622" s="16"/>
      <c r="V8622" s="16"/>
      <c r="W8622" s="16" t="s">
        <v>40</v>
      </c>
      <c r="X8622" s="19">
        <v>0.16900000000000001</v>
      </c>
      <c r="Y8622" s="20">
        <v>4.4799999999999999E-4</v>
      </c>
      <c r="Z8622" s="21">
        <v>4601004243682</v>
      </c>
    </row>
    <row r="8623" spans="1:26" ht="12" customHeight="1" outlineLevel="4" x14ac:dyDescent="0.2">
      <c r="A8623" s="14" t="s">
        <v>16462</v>
      </c>
      <c r="B8623" s="26" t="s">
        <v>16463</v>
      </c>
      <c r="C8623" s="52"/>
      <c r="D8623" s="55">
        <f t="shared" si="134"/>
        <v>0</v>
      </c>
      <c r="E8623" s="63" t="str">
        <f>HYPERLINK("https://www.sds-group.ru/product/bystryy-start-520ml-rexant-85-0057/", "Инфо")</f>
        <v>Инфо</v>
      </c>
      <c r="F8623" s="16" t="s">
        <v>39</v>
      </c>
      <c r="G8623" s="15"/>
      <c r="H8623" s="15"/>
      <c r="I8623" s="15"/>
      <c r="J8623" s="22">
        <v>1391</v>
      </c>
      <c r="K8623" s="15"/>
      <c r="L8623" s="17">
        <v>1</v>
      </c>
      <c r="M8623" s="17">
        <v>12</v>
      </c>
      <c r="N8623" s="17">
        <v>1</v>
      </c>
      <c r="O8623" s="18">
        <v>582.13</v>
      </c>
      <c r="P8623" s="18">
        <v>477.16</v>
      </c>
      <c r="Q8623" s="18">
        <v>465.7</v>
      </c>
      <c r="R8623" s="18">
        <v>381.72</v>
      </c>
      <c r="S8623" s="18">
        <v>395.85</v>
      </c>
      <c r="T8623" s="18">
        <v>324.47000000000003</v>
      </c>
      <c r="U8623" s="16"/>
      <c r="V8623" s="16"/>
      <c r="W8623" s="16" t="s">
        <v>40</v>
      </c>
      <c r="X8623" s="19">
        <v>0.41299999999999998</v>
      </c>
      <c r="Y8623" s="20">
        <v>1.0250000000000001E-3</v>
      </c>
      <c r="Z8623" s="21">
        <v>4601004243750</v>
      </c>
    </row>
    <row r="8624" spans="1:26" ht="12" customHeight="1" outlineLevel="4" x14ac:dyDescent="0.2">
      <c r="A8624" s="14" t="s">
        <v>16464</v>
      </c>
      <c r="B8624" s="26" t="s">
        <v>16465</v>
      </c>
      <c r="C8624" s="52"/>
      <c r="D8624" s="55">
        <f t="shared" si="134"/>
        <v>0</v>
      </c>
      <c r="E8624" s="63" t="str">
        <f>HYPERLINK("https://www.sds-group.ru/product/master-klyuch-210ml-rexant-85-0053/", "Инфо")</f>
        <v>Инфо</v>
      </c>
      <c r="F8624" s="16" t="s">
        <v>39</v>
      </c>
      <c r="G8624" s="15"/>
      <c r="H8624" s="15"/>
      <c r="I8624" s="15"/>
      <c r="J8624" s="22">
        <v>2589</v>
      </c>
      <c r="K8624" s="15"/>
      <c r="L8624" s="17">
        <v>5</v>
      </c>
      <c r="M8624" s="17">
        <v>12</v>
      </c>
      <c r="N8624" s="17">
        <v>5</v>
      </c>
      <c r="O8624" s="18">
        <v>296.8</v>
      </c>
      <c r="P8624" s="18">
        <v>243.28</v>
      </c>
      <c r="Q8624" s="18">
        <v>252.28</v>
      </c>
      <c r="R8624" s="18">
        <v>206.79</v>
      </c>
      <c r="S8624" s="18">
        <v>201.82</v>
      </c>
      <c r="T8624" s="18">
        <v>165.43</v>
      </c>
      <c r="U8624" s="16"/>
      <c r="V8624" s="16"/>
      <c r="W8624" s="16" t="s">
        <v>40</v>
      </c>
      <c r="X8624" s="19">
        <v>0.16600000000000001</v>
      </c>
      <c r="Y8624" s="20">
        <v>4.4200000000000001E-4</v>
      </c>
      <c r="Z8624" s="21">
        <v>4601004243699</v>
      </c>
    </row>
    <row r="8625" spans="1:26" ht="12" customHeight="1" outlineLevel="4" x14ac:dyDescent="0.2">
      <c r="A8625" s="14" t="s">
        <v>16466</v>
      </c>
      <c r="B8625" s="26" t="s">
        <v>16467</v>
      </c>
      <c r="C8625" s="52"/>
      <c r="D8625" s="55">
        <f t="shared" si="134"/>
        <v>0</v>
      </c>
      <c r="E8625" s="63" t="str">
        <f>HYPERLINK("https://www.sds-group.ru/product/master-klyuch-335ml-aerozol-rexant-85-0053-2/", "Инфо")</f>
        <v>Инфо</v>
      </c>
      <c r="F8625" s="16" t="s">
        <v>39</v>
      </c>
      <c r="G8625" s="15"/>
      <c r="H8625" s="15"/>
      <c r="I8625" s="15"/>
      <c r="J8625" s="17">
        <v>969</v>
      </c>
      <c r="K8625" s="15"/>
      <c r="L8625" s="17">
        <v>5</v>
      </c>
      <c r="M8625" s="17">
        <v>12</v>
      </c>
      <c r="N8625" s="17">
        <v>5</v>
      </c>
      <c r="O8625" s="18">
        <v>344.97</v>
      </c>
      <c r="P8625" s="18">
        <v>282.76</v>
      </c>
      <c r="Q8625" s="18">
        <v>293.22000000000003</v>
      </c>
      <c r="R8625" s="18">
        <v>240.34</v>
      </c>
      <c r="S8625" s="18">
        <v>234.58</v>
      </c>
      <c r="T8625" s="18">
        <v>192.28</v>
      </c>
      <c r="U8625" s="16"/>
      <c r="V8625" s="16"/>
      <c r="W8625" s="16" t="s">
        <v>40</v>
      </c>
      <c r="X8625" s="19">
        <v>0.23300000000000001</v>
      </c>
      <c r="Y8625" s="20">
        <v>6.1899999999999998E-4</v>
      </c>
      <c r="Z8625" s="21">
        <v>4601004282858</v>
      </c>
    </row>
    <row r="8626" spans="1:26" ht="12" customHeight="1" outlineLevel="4" x14ac:dyDescent="0.2">
      <c r="A8626" s="14" t="s">
        <v>16468</v>
      </c>
      <c r="B8626" s="26" t="s">
        <v>16469</v>
      </c>
      <c r="C8626" s="52"/>
      <c r="D8626" s="55">
        <f t="shared" si="134"/>
        <v>0</v>
      </c>
      <c r="E8626" s="63" t="str">
        <f>HYPERLINK("https://www.sds-group.ru/product/master-klyuch-520ml-rexant-85-0053-1/", "Инфо")</f>
        <v>Инфо</v>
      </c>
      <c r="F8626" s="16" t="s">
        <v>39</v>
      </c>
      <c r="G8626" s="15"/>
      <c r="H8626" s="15"/>
      <c r="I8626" s="15"/>
      <c r="J8626" s="22">
        <v>1884</v>
      </c>
      <c r="K8626" s="15"/>
      <c r="L8626" s="17">
        <v>1</v>
      </c>
      <c r="M8626" s="17">
        <v>12</v>
      </c>
      <c r="N8626" s="17">
        <v>1</v>
      </c>
      <c r="O8626" s="18">
        <v>415.04</v>
      </c>
      <c r="P8626" s="18">
        <v>340.2</v>
      </c>
      <c r="Q8626" s="18">
        <v>332.03</v>
      </c>
      <c r="R8626" s="18">
        <v>272.16000000000003</v>
      </c>
      <c r="S8626" s="18">
        <v>282.23</v>
      </c>
      <c r="T8626" s="18">
        <v>231.34</v>
      </c>
      <c r="U8626" s="16"/>
      <c r="V8626" s="16"/>
      <c r="W8626" s="16" t="s">
        <v>40</v>
      </c>
      <c r="X8626" s="19">
        <v>0.39100000000000001</v>
      </c>
      <c r="Y8626" s="20">
        <v>1.034E-3</v>
      </c>
      <c r="Z8626" s="21">
        <v>4601004243705</v>
      </c>
    </row>
    <row r="8627" spans="1:26" ht="12" customHeight="1" outlineLevel="4" x14ac:dyDescent="0.2">
      <c r="A8627" s="14" t="s">
        <v>16470</v>
      </c>
      <c r="B8627" s="26" t="s">
        <v>16471</v>
      </c>
      <c r="C8627" s="52"/>
      <c r="D8627" s="55">
        <f t="shared" si="134"/>
        <v>0</v>
      </c>
      <c r="E8627" s="63" t="str">
        <f>HYPERLINK("https://www.sds-group.ru/product/mednaya-smazka-520ml-rexant-85-0060/", "Инфо")</f>
        <v>Инфо</v>
      </c>
      <c r="F8627" s="16" t="s">
        <v>39</v>
      </c>
      <c r="G8627" s="15"/>
      <c r="H8627" s="15"/>
      <c r="I8627" s="15"/>
      <c r="J8627" s="17">
        <v>502</v>
      </c>
      <c r="K8627" s="15"/>
      <c r="L8627" s="17">
        <v>1</v>
      </c>
      <c r="M8627" s="17">
        <v>12</v>
      </c>
      <c r="N8627" s="17">
        <v>1</v>
      </c>
      <c r="O8627" s="18">
        <v>494.81</v>
      </c>
      <c r="P8627" s="18">
        <v>405.58</v>
      </c>
      <c r="Q8627" s="18">
        <v>395.85</v>
      </c>
      <c r="R8627" s="18">
        <v>324.47000000000003</v>
      </c>
      <c r="S8627" s="18">
        <v>336.47</v>
      </c>
      <c r="T8627" s="18">
        <v>275.8</v>
      </c>
      <c r="U8627" s="16"/>
      <c r="V8627" s="16"/>
      <c r="W8627" s="16" t="s">
        <v>40</v>
      </c>
      <c r="X8627" s="19">
        <v>0.38100000000000001</v>
      </c>
      <c r="Y8627" s="20">
        <v>9.7499999999999996E-4</v>
      </c>
      <c r="Z8627" s="21">
        <v>4601004243781</v>
      </c>
    </row>
    <row r="8628" spans="1:26" ht="12" customHeight="1" outlineLevel="4" x14ac:dyDescent="0.2">
      <c r="A8628" s="14" t="s">
        <v>16472</v>
      </c>
      <c r="B8628" s="26" t="s">
        <v>16473</v>
      </c>
      <c r="C8628" s="52"/>
      <c r="D8628" s="55">
        <f t="shared" si="134"/>
        <v>0</v>
      </c>
      <c r="E8628" s="63" t="str">
        <f>HYPERLINK("https://www.sds-group.ru/product/movil-avtokonservant-520-ml-rexant-85-0063/", "Инфо")</f>
        <v>Инфо</v>
      </c>
      <c r="F8628" s="16" t="s">
        <v>39</v>
      </c>
      <c r="G8628" s="15"/>
      <c r="H8628" s="15"/>
      <c r="I8628" s="15"/>
      <c r="J8628" s="16" t="s">
        <v>100</v>
      </c>
      <c r="K8628" s="15" t="s">
        <v>1408</v>
      </c>
      <c r="L8628" s="17">
        <v>1</v>
      </c>
      <c r="M8628" s="17">
        <v>12</v>
      </c>
      <c r="N8628" s="17">
        <v>1</v>
      </c>
      <c r="O8628" s="18">
        <v>506.67</v>
      </c>
      <c r="P8628" s="18">
        <v>415.3</v>
      </c>
      <c r="Q8628" s="18">
        <v>405.34</v>
      </c>
      <c r="R8628" s="18">
        <v>332.25</v>
      </c>
      <c r="S8628" s="18">
        <v>344.54</v>
      </c>
      <c r="T8628" s="18">
        <v>282.41000000000003</v>
      </c>
      <c r="U8628" s="16"/>
      <c r="V8628" s="16"/>
      <c r="W8628" s="16" t="s">
        <v>40</v>
      </c>
      <c r="X8628" s="19">
        <v>0.40400000000000003</v>
      </c>
      <c r="Y8628" s="20">
        <v>9.7799999999999992E-4</v>
      </c>
      <c r="Z8628" s="21">
        <v>4601004265837</v>
      </c>
    </row>
    <row r="8629" spans="1:26" ht="12" customHeight="1" outlineLevel="4" x14ac:dyDescent="0.2">
      <c r="A8629" s="14" t="s">
        <v>16474</v>
      </c>
      <c r="B8629" s="26" t="s">
        <v>16475</v>
      </c>
      <c r="C8629" s="52"/>
      <c r="D8629" s="55">
        <f t="shared" si="134"/>
        <v>0</v>
      </c>
      <c r="E8629" s="63" t="str">
        <f>HYPERLINK("https://www.sds-group.ru/product/ochistitel-bitumnyh-pyaten-i-sledov-nasekomyh-520ml-rexant-85-0062/", "Инфо")</f>
        <v>Инфо</v>
      </c>
      <c r="F8629" s="16" t="s">
        <v>39</v>
      </c>
      <c r="G8629" s="15"/>
      <c r="H8629" s="15"/>
      <c r="I8629" s="15"/>
      <c r="J8629" s="17">
        <v>294</v>
      </c>
      <c r="K8629" s="15"/>
      <c r="L8629" s="17">
        <v>5</v>
      </c>
      <c r="M8629" s="17">
        <v>12</v>
      </c>
      <c r="N8629" s="17">
        <v>5</v>
      </c>
      <c r="O8629" s="18">
        <v>398.87</v>
      </c>
      <c r="P8629" s="18">
        <v>326.94</v>
      </c>
      <c r="Q8629" s="18">
        <v>339.04</v>
      </c>
      <c r="R8629" s="18">
        <v>277.89999999999998</v>
      </c>
      <c r="S8629" s="18">
        <v>271.23</v>
      </c>
      <c r="T8629" s="18">
        <v>222.32</v>
      </c>
      <c r="U8629" s="16"/>
      <c r="V8629" s="16"/>
      <c r="W8629" s="16" t="s">
        <v>40</v>
      </c>
      <c r="X8629" s="19">
        <v>0.378</v>
      </c>
      <c r="Y8629" s="20">
        <v>9.7099999999999997E-4</v>
      </c>
      <c r="Z8629" s="21">
        <v>4601004265820</v>
      </c>
    </row>
    <row r="8630" spans="1:26" ht="12" customHeight="1" outlineLevel="4" x14ac:dyDescent="0.2">
      <c r="A8630" s="14" t="s">
        <v>16476</v>
      </c>
      <c r="B8630" s="26" t="s">
        <v>16477</v>
      </c>
      <c r="C8630" s="52"/>
      <c r="D8630" s="55">
        <f t="shared" si="134"/>
        <v>0</v>
      </c>
      <c r="E8630" s="63" t="str">
        <f>HYPERLINK("https://www.sds-group.ru/product/ochistitel-karbyuratora-aero-520ml-rexant-85-0051/", "Инфо")</f>
        <v>Инфо</v>
      </c>
      <c r="F8630" s="16" t="s">
        <v>39</v>
      </c>
      <c r="G8630" s="15"/>
      <c r="H8630" s="15"/>
      <c r="I8630" s="15"/>
      <c r="J8630" s="22">
        <v>1594</v>
      </c>
      <c r="K8630" s="15"/>
      <c r="L8630" s="17">
        <v>5</v>
      </c>
      <c r="M8630" s="17">
        <v>12</v>
      </c>
      <c r="N8630" s="17">
        <v>5</v>
      </c>
      <c r="O8630" s="18">
        <v>404.25</v>
      </c>
      <c r="P8630" s="18">
        <v>331.35</v>
      </c>
      <c r="Q8630" s="18">
        <v>343.61</v>
      </c>
      <c r="R8630" s="18">
        <v>281.64999999999998</v>
      </c>
      <c r="S8630" s="18">
        <v>274.89</v>
      </c>
      <c r="T8630" s="18">
        <v>225.32</v>
      </c>
      <c r="U8630" s="16"/>
      <c r="V8630" s="16"/>
      <c r="W8630" s="16" t="s">
        <v>40</v>
      </c>
      <c r="X8630" s="19">
        <v>0.40500000000000003</v>
      </c>
      <c r="Y8630" s="20">
        <v>9.7799999999999992E-4</v>
      </c>
      <c r="Z8630" s="21">
        <v>4601004243675</v>
      </c>
    </row>
    <row r="8631" spans="1:26" ht="12" customHeight="1" outlineLevel="4" x14ac:dyDescent="0.2">
      <c r="A8631" s="14" t="s">
        <v>16478</v>
      </c>
      <c r="B8631" s="26" t="s">
        <v>16479</v>
      </c>
      <c r="C8631" s="52"/>
      <c r="D8631" s="55">
        <f t="shared" si="134"/>
        <v>0</v>
      </c>
      <c r="E8631" s="63" t="str">
        <f>HYPERLINK("https://www.sds-group.ru/product/ochistitel-kontaktov-520ml-rexant-85-0059/", "Инфо")</f>
        <v>Инфо</v>
      </c>
      <c r="F8631" s="16" t="s">
        <v>39</v>
      </c>
      <c r="G8631" s="15"/>
      <c r="H8631" s="15"/>
      <c r="I8631" s="15"/>
      <c r="J8631" s="22">
        <v>3042</v>
      </c>
      <c r="K8631" s="15"/>
      <c r="L8631" s="17">
        <v>1</v>
      </c>
      <c r="M8631" s="17">
        <v>12</v>
      </c>
      <c r="N8631" s="17">
        <v>1</v>
      </c>
      <c r="O8631" s="18">
        <v>420.43</v>
      </c>
      <c r="P8631" s="18">
        <v>344.61</v>
      </c>
      <c r="Q8631" s="18">
        <v>336.34</v>
      </c>
      <c r="R8631" s="18">
        <v>275.69</v>
      </c>
      <c r="S8631" s="18">
        <v>285.89</v>
      </c>
      <c r="T8631" s="18">
        <v>234.34</v>
      </c>
      <c r="U8631" s="16"/>
      <c r="V8631" s="16"/>
      <c r="W8631" s="16" t="s">
        <v>40</v>
      </c>
      <c r="X8631" s="19">
        <v>0.379</v>
      </c>
      <c r="Y8631" s="20">
        <v>1.0139999999999999E-3</v>
      </c>
      <c r="Z8631" s="21">
        <v>4601004243774</v>
      </c>
    </row>
    <row r="8632" spans="1:26" ht="12" customHeight="1" outlineLevel="4" x14ac:dyDescent="0.2">
      <c r="A8632" s="14" t="s">
        <v>16480</v>
      </c>
      <c r="B8632" s="26" t="s">
        <v>16481</v>
      </c>
      <c r="C8632" s="52"/>
      <c r="D8632" s="55">
        <f t="shared" si="134"/>
        <v>0</v>
      </c>
      <c r="E8632" s="63" t="str">
        <f>HYPERLINK("https://www.sds-group.ru/product/ochistitel-stekol-universalnyy-500ml-trigger-rexant-85-0068/", "Инфо")</f>
        <v>Инфо</v>
      </c>
      <c r="F8632" s="16" t="s">
        <v>39</v>
      </c>
      <c r="G8632" s="15"/>
      <c r="H8632" s="15"/>
      <c r="I8632" s="15"/>
      <c r="J8632" s="17">
        <v>291</v>
      </c>
      <c r="K8632" s="15"/>
      <c r="L8632" s="17">
        <v>10</v>
      </c>
      <c r="M8632" s="17">
        <v>6</v>
      </c>
      <c r="N8632" s="17">
        <v>10</v>
      </c>
      <c r="O8632" s="18">
        <v>172.48</v>
      </c>
      <c r="P8632" s="18">
        <v>141.38</v>
      </c>
      <c r="Q8632" s="18">
        <v>146.61000000000001</v>
      </c>
      <c r="R8632" s="18">
        <v>120.17</v>
      </c>
      <c r="S8632" s="18">
        <v>117.29</v>
      </c>
      <c r="T8632" s="18">
        <v>96.14</v>
      </c>
      <c r="U8632" s="16"/>
      <c r="V8632" s="16"/>
      <c r="W8632" s="16" t="s">
        <v>40</v>
      </c>
      <c r="X8632" s="19">
        <v>0.57199999999999995</v>
      </c>
      <c r="Y8632" s="20">
        <v>1.7700000000000001E-3</v>
      </c>
      <c r="Z8632" s="21">
        <v>4601004282766</v>
      </c>
    </row>
    <row r="8633" spans="1:26" ht="12" customHeight="1" outlineLevel="4" x14ac:dyDescent="0.2">
      <c r="A8633" s="14" t="s">
        <v>16482</v>
      </c>
      <c r="B8633" s="26" t="s">
        <v>16483</v>
      </c>
      <c r="C8633" s="52"/>
      <c r="D8633" s="55">
        <f t="shared" si="134"/>
        <v>0</v>
      </c>
      <c r="E8633" s="63" t="str">
        <f>HYPERLINK("https://www.sds-group.ru/product/ochistitel-tormozov-520ml-rexant-85-0050/", "Инфо")</f>
        <v>Инфо</v>
      </c>
      <c r="F8633" s="16" t="s">
        <v>39</v>
      </c>
      <c r="G8633" s="15"/>
      <c r="H8633" s="15"/>
      <c r="I8633" s="15"/>
      <c r="J8633" s="22">
        <v>1178</v>
      </c>
      <c r="K8633" s="15"/>
      <c r="L8633" s="17">
        <v>5</v>
      </c>
      <c r="M8633" s="17">
        <v>12</v>
      </c>
      <c r="N8633" s="17">
        <v>5</v>
      </c>
      <c r="O8633" s="18">
        <v>371.92</v>
      </c>
      <c r="P8633" s="18">
        <v>304.85000000000002</v>
      </c>
      <c r="Q8633" s="18">
        <v>316.13</v>
      </c>
      <c r="R8633" s="18">
        <v>259.12</v>
      </c>
      <c r="S8633" s="18">
        <v>252.91</v>
      </c>
      <c r="T8633" s="18">
        <v>207.3</v>
      </c>
      <c r="U8633" s="16"/>
      <c r="V8633" s="16"/>
      <c r="W8633" s="16" t="s">
        <v>40</v>
      </c>
      <c r="X8633" s="19">
        <v>0.375</v>
      </c>
      <c r="Y8633" s="20">
        <v>9.8200000000000002E-4</v>
      </c>
      <c r="Z8633" s="21">
        <v>4601004243798</v>
      </c>
    </row>
    <row r="8634" spans="1:26" ht="12" customHeight="1" outlineLevel="4" x14ac:dyDescent="0.2">
      <c r="A8634" s="14" t="s">
        <v>16484</v>
      </c>
      <c r="B8634" s="26" t="s">
        <v>16485</v>
      </c>
      <c r="C8634" s="52"/>
      <c r="D8634" s="55">
        <f t="shared" si="134"/>
        <v>0</v>
      </c>
      <c r="E8634" s="63" t="str">
        <f>HYPERLINK("https://www.sds-group.ru/product/pasta-dlya-ruk-ochischayuschaya-550ml-rexant-85-0072/", "Инфо")</f>
        <v>Инфо</v>
      </c>
      <c r="F8634" s="16" t="s">
        <v>39</v>
      </c>
      <c r="G8634" s="15"/>
      <c r="H8634" s="15"/>
      <c r="I8634" s="15"/>
      <c r="J8634" s="22">
        <v>1913</v>
      </c>
      <c r="K8634" s="15"/>
      <c r="L8634" s="17">
        <v>5</v>
      </c>
      <c r="M8634" s="17">
        <v>12</v>
      </c>
      <c r="N8634" s="17">
        <v>5</v>
      </c>
      <c r="O8634" s="18">
        <v>243.8</v>
      </c>
      <c r="P8634" s="18">
        <v>199.84</v>
      </c>
      <c r="Q8634" s="18">
        <v>207.23</v>
      </c>
      <c r="R8634" s="18">
        <v>169.86</v>
      </c>
      <c r="S8634" s="18">
        <v>165.78</v>
      </c>
      <c r="T8634" s="18">
        <v>135.88999999999999</v>
      </c>
      <c r="U8634" s="16"/>
      <c r="V8634" s="16"/>
      <c r="W8634" s="16" t="s">
        <v>40</v>
      </c>
      <c r="X8634" s="19">
        <v>0.40200000000000002</v>
      </c>
      <c r="Y8634" s="20">
        <v>9.8999999999999999E-4</v>
      </c>
      <c r="Z8634" s="21">
        <v>4601004282889</v>
      </c>
    </row>
    <row r="8635" spans="1:26" ht="12" customHeight="1" outlineLevel="4" x14ac:dyDescent="0.2">
      <c r="A8635" s="14" t="s">
        <v>16486</v>
      </c>
      <c r="B8635" s="26" t="s">
        <v>16487</v>
      </c>
      <c r="C8635" s="52"/>
      <c r="D8635" s="55">
        <f t="shared" si="134"/>
        <v>0</v>
      </c>
      <c r="E8635" s="63" t="str">
        <f>HYPERLINK("https://www.sds-group.ru/product/pasta-dlya-udaleniya-tsarapin-antitsarapin-100ml-tuba-rexant-85-0070/", "Инфо")</f>
        <v>Инфо</v>
      </c>
      <c r="F8635" s="16" t="s">
        <v>39</v>
      </c>
      <c r="G8635" s="15"/>
      <c r="H8635" s="15"/>
      <c r="I8635" s="15"/>
      <c r="J8635" s="17">
        <v>104</v>
      </c>
      <c r="K8635" s="15"/>
      <c r="L8635" s="17">
        <v>5</v>
      </c>
      <c r="M8635" s="17">
        <v>18</v>
      </c>
      <c r="N8635" s="17">
        <v>5</v>
      </c>
      <c r="O8635" s="18">
        <v>372.57</v>
      </c>
      <c r="P8635" s="18">
        <v>305.39</v>
      </c>
      <c r="Q8635" s="18">
        <v>316.68</v>
      </c>
      <c r="R8635" s="18">
        <v>259.57</v>
      </c>
      <c r="S8635" s="18">
        <v>253.35</v>
      </c>
      <c r="T8635" s="18">
        <v>207.66</v>
      </c>
      <c r="U8635" s="16"/>
      <c r="V8635" s="16"/>
      <c r="W8635" s="16" t="s">
        <v>40</v>
      </c>
      <c r="X8635" s="19">
        <v>0.112</v>
      </c>
      <c r="Y8635" s="20">
        <v>2.5399999999999999E-4</v>
      </c>
      <c r="Z8635" s="21">
        <v>4601004282827</v>
      </c>
    </row>
    <row r="8636" spans="1:26" ht="12" customHeight="1" outlineLevel="4" x14ac:dyDescent="0.2">
      <c r="A8636" s="14" t="s">
        <v>16488</v>
      </c>
      <c r="B8636" s="26" t="s">
        <v>16489</v>
      </c>
      <c r="C8636" s="52"/>
      <c r="D8636" s="55">
        <f t="shared" si="134"/>
        <v>0</v>
      </c>
      <c r="E8636" s="63" t="str">
        <f>HYPERLINK("https://www.sds-group.ru/product/polirol-far-100ml-tuba-rexant-85-0071/", "Инфо")</f>
        <v>Инфо</v>
      </c>
      <c r="F8636" s="16" t="s">
        <v>39</v>
      </c>
      <c r="G8636" s="15"/>
      <c r="H8636" s="15"/>
      <c r="I8636" s="15"/>
      <c r="J8636" s="17">
        <v>392</v>
      </c>
      <c r="K8636" s="15"/>
      <c r="L8636" s="17">
        <v>5</v>
      </c>
      <c r="M8636" s="17">
        <v>18</v>
      </c>
      <c r="N8636" s="17">
        <v>5</v>
      </c>
      <c r="O8636" s="18">
        <v>372.57</v>
      </c>
      <c r="P8636" s="18">
        <v>305.39</v>
      </c>
      <c r="Q8636" s="18">
        <v>316.68</v>
      </c>
      <c r="R8636" s="18">
        <v>259.57</v>
      </c>
      <c r="S8636" s="18">
        <v>253.35</v>
      </c>
      <c r="T8636" s="18">
        <v>207.66</v>
      </c>
      <c r="U8636" s="16"/>
      <c r="V8636" s="16"/>
      <c r="W8636" s="16" t="s">
        <v>40</v>
      </c>
      <c r="X8636" s="19">
        <v>0.111</v>
      </c>
      <c r="Y8636" s="20">
        <v>2.5900000000000001E-4</v>
      </c>
      <c r="Z8636" s="21">
        <v>4601004282810</v>
      </c>
    </row>
    <row r="8637" spans="1:26" ht="12" customHeight="1" outlineLevel="4" x14ac:dyDescent="0.2">
      <c r="A8637" s="14" t="s">
        <v>16490</v>
      </c>
      <c r="B8637" s="26" t="s">
        <v>16491</v>
      </c>
      <c r="C8637" s="52"/>
      <c r="D8637" s="55">
        <f t="shared" si="134"/>
        <v>0</v>
      </c>
      <c r="E8637" s="63" t="str">
        <f>HYPERLINK("https://www.sds-group.ru/product/preobrazovatel-rzhavchiny-500ml-s-triggerom-rexant-85-0056/", "Инфо")</f>
        <v>Инфо</v>
      </c>
      <c r="F8637" s="16" t="s">
        <v>39</v>
      </c>
      <c r="G8637" s="15"/>
      <c r="H8637" s="15"/>
      <c r="I8637" s="15"/>
      <c r="J8637" s="17">
        <v>643</v>
      </c>
      <c r="K8637" s="15"/>
      <c r="L8637" s="17">
        <v>5</v>
      </c>
      <c r="M8637" s="17">
        <v>12</v>
      </c>
      <c r="N8637" s="17">
        <v>5</v>
      </c>
      <c r="O8637" s="18">
        <v>271.66000000000003</v>
      </c>
      <c r="P8637" s="18">
        <v>222.67</v>
      </c>
      <c r="Q8637" s="18">
        <v>230.91</v>
      </c>
      <c r="R8637" s="18">
        <v>189.27</v>
      </c>
      <c r="S8637" s="18">
        <v>184.73</v>
      </c>
      <c r="T8637" s="18">
        <v>151.41999999999999</v>
      </c>
      <c r="U8637" s="16"/>
      <c r="V8637" s="16"/>
      <c r="W8637" s="16" t="s">
        <v>40</v>
      </c>
      <c r="X8637" s="19">
        <v>0.7</v>
      </c>
      <c r="Y8637" s="20">
        <v>1.403E-3</v>
      </c>
      <c r="Z8637" s="21">
        <v>4601004243743</v>
      </c>
    </row>
    <row r="8638" spans="1:26" ht="12" customHeight="1" outlineLevel="4" x14ac:dyDescent="0.2">
      <c r="A8638" s="14" t="s">
        <v>16492</v>
      </c>
      <c r="B8638" s="26" t="s">
        <v>16493</v>
      </c>
      <c r="C8638" s="52"/>
      <c r="D8638" s="55">
        <f t="shared" si="134"/>
        <v>0</v>
      </c>
      <c r="E8638" s="63" t="str">
        <f>HYPERLINK("https://www.sds-group.ru/product/silikonovaya-smazka-210ml-rexant-85-0054/", "Инфо")</f>
        <v>Инфо</v>
      </c>
      <c r="F8638" s="16" t="s">
        <v>39</v>
      </c>
      <c r="G8638" s="15"/>
      <c r="H8638" s="15"/>
      <c r="I8638" s="15"/>
      <c r="J8638" s="22">
        <v>2050</v>
      </c>
      <c r="K8638" s="15"/>
      <c r="L8638" s="17">
        <v>5</v>
      </c>
      <c r="M8638" s="17">
        <v>12</v>
      </c>
      <c r="N8638" s="17">
        <v>5</v>
      </c>
      <c r="O8638" s="18">
        <v>339.2</v>
      </c>
      <c r="P8638" s="18">
        <v>278.02999999999997</v>
      </c>
      <c r="Q8638" s="18">
        <v>288.32</v>
      </c>
      <c r="R8638" s="18">
        <v>236.33</v>
      </c>
      <c r="S8638" s="18">
        <v>230.66</v>
      </c>
      <c r="T8638" s="18">
        <v>189.07</v>
      </c>
      <c r="U8638" s="16"/>
      <c r="V8638" s="16"/>
      <c r="W8638" s="16" t="s">
        <v>40</v>
      </c>
      <c r="X8638" s="19">
        <v>0.16400000000000001</v>
      </c>
      <c r="Y8638" s="20">
        <v>4.64E-4</v>
      </c>
      <c r="Z8638" s="21">
        <v>4601004243712</v>
      </c>
    </row>
    <row r="8639" spans="1:26" ht="12" customHeight="1" outlineLevel="4" x14ac:dyDescent="0.2">
      <c r="A8639" s="14" t="s">
        <v>16494</v>
      </c>
      <c r="B8639" s="26" t="s">
        <v>16495</v>
      </c>
      <c r="C8639" s="52"/>
      <c r="D8639" s="55">
        <f t="shared" si="134"/>
        <v>0</v>
      </c>
      <c r="E8639" s="63" t="str">
        <f>HYPERLINK("https://www.sds-group.ru/product/silikonovaya-smazka-520ml-rexant-85-0054-1/", "Инфо")</f>
        <v>Инфо</v>
      </c>
      <c r="F8639" s="16" t="s">
        <v>39</v>
      </c>
      <c r="G8639" s="15"/>
      <c r="H8639" s="15"/>
      <c r="I8639" s="15"/>
      <c r="J8639" s="22">
        <v>1394</v>
      </c>
      <c r="K8639" s="15"/>
      <c r="L8639" s="17">
        <v>1</v>
      </c>
      <c r="M8639" s="17">
        <v>12</v>
      </c>
      <c r="N8639" s="17">
        <v>1</v>
      </c>
      <c r="O8639" s="18">
        <v>447.38</v>
      </c>
      <c r="P8639" s="18">
        <v>366.7</v>
      </c>
      <c r="Q8639" s="18">
        <v>357.9</v>
      </c>
      <c r="R8639" s="18">
        <v>293.36</v>
      </c>
      <c r="S8639" s="18">
        <v>304.22000000000003</v>
      </c>
      <c r="T8639" s="18">
        <v>249.36</v>
      </c>
      <c r="U8639" s="16"/>
      <c r="V8639" s="16"/>
      <c r="W8639" s="16" t="s">
        <v>40</v>
      </c>
      <c r="X8639" s="19">
        <v>0.38600000000000001</v>
      </c>
      <c r="Y8639" s="20">
        <v>9.9299999999999996E-4</v>
      </c>
      <c r="Z8639" s="21">
        <v>4601004243729</v>
      </c>
    </row>
    <row r="8640" spans="1:26" ht="12" customHeight="1" outlineLevel="4" x14ac:dyDescent="0.2">
      <c r="A8640" s="14" t="s">
        <v>16496</v>
      </c>
      <c r="B8640" s="26" t="s">
        <v>16497</v>
      </c>
      <c r="C8640" s="52"/>
      <c r="D8640" s="55">
        <f t="shared" si="134"/>
        <v>0</v>
      </c>
      <c r="E8640" s="63" t="str">
        <f>HYPERLINK("https://www.sds-group.ru/product/smazka-alyuminievaya-210ml-aerozol-rexant-85-0075/", "Инфо")</f>
        <v>Инфо</v>
      </c>
      <c r="F8640" s="16" t="s">
        <v>39</v>
      </c>
      <c r="G8640" s="15"/>
      <c r="H8640" s="15"/>
      <c r="I8640" s="15"/>
      <c r="J8640" s="17">
        <v>223</v>
      </c>
      <c r="K8640" s="15"/>
      <c r="L8640" s="17">
        <v>5</v>
      </c>
      <c r="M8640" s="17">
        <v>20</v>
      </c>
      <c r="N8640" s="17">
        <v>5</v>
      </c>
      <c r="O8640" s="18">
        <v>323.41000000000003</v>
      </c>
      <c r="P8640" s="18">
        <v>265.08999999999997</v>
      </c>
      <c r="Q8640" s="18">
        <v>274.89999999999998</v>
      </c>
      <c r="R8640" s="18">
        <v>225.33</v>
      </c>
      <c r="S8640" s="18">
        <v>219.92</v>
      </c>
      <c r="T8640" s="18">
        <v>180.26</v>
      </c>
      <c r="U8640" s="16"/>
      <c r="V8640" s="16"/>
      <c r="W8640" s="16" t="s">
        <v>40</v>
      </c>
      <c r="X8640" s="19">
        <v>0.17599999999999999</v>
      </c>
      <c r="Y8640" s="20">
        <v>4.64E-4</v>
      </c>
      <c r="Z8640" s="21">
        <v>4601004282896</v>
      </c>
    </row>
    <row r="8641" spans="1:26" ht="12" customHeight="1" outlineLevel="4" x14ac:dyDescent="0.2">
      <c r="A8641" s="14" t="s">
        <v>16498</v>
      </c>
      <c r="B8641" s="26" t="s">
        <v>16499</v>
      </c>
      <c r="C8641" s="52"/>
      <c r="D8641" s="55">
        <f t="shared" si="134"/>
        <v>0</v>
      </c>
      <c r="E8641" s="63" t="str">
        <f>HYPERLINK("https://www.sds-group.ru/product/smazka-vysokotemperaturnaya-mednaya-335ml-aerozol-rexant-85-0060-1/", "Инфо")</f>
        <v>Инфо</v>
      </c>
      <c r="F8641" s="16" t="s">
        <v>39</v>
      </c>
      <c r="G8641" s="15"/>
      <c r="H8641" s="15"/>
      <c r="I8641" s="15"/>
      <c r="J8641" s="17">
        <v>361</v>
      </c>
      <c r="K8641" s="15"/>
      <c r="L8641" s="17">
        <v>1</v>
      </c>
      <c r="M8641" s="17">
        <v>12</v>
      </c>
      <c r="N8641" s="17">
        <v>1</v>
      </c>
      <c r="O8641" s="18">
        <v>452.77</v>
      </c>
      <c r="P8641" s="18">
        <v>371.12</v>
      </c>
      <c r="Q8641" s="18">
        <v>362.22</v>
      </c>
      <c r="R8641" s="18">
        <v>296.89999999999998</v>
      </c>
      <c r="S8641" s="18">
        <v>307.88</v>
      </c>
      <c r="T8641" s="18">
        <v>252.36</v>
      </c>
      <c r="U8641" s="16"/>
      <c r="V8641" s="16"/>
      <c r="W8641" s="16" t="s">
        <v>40</v>
      </c>
      <c r="X8641" s="19">
        <v>0.24099999999999999</v>
      </c>
      <c r="Y8641" s="20">
        <v>6.3900000000000003E-4</v>
      </c>
      <c r="Z8641" s="21">
        <v>4601004282926</v>
      </c>
    </row>
    <row r="8642" spans="1:26" ht="12" customHeight="1" outlineLevel="4" x14ac:dyDescent="0.2">
      <c r="A8642" s="14" t="s">
        <v>16500</v>
      </c>
      <c r="B8642" s="26" t="s">
        <v>16501</v>
      </c>
      <c r="C8642" s="52"/>
      <c r="D8642" s="55">
        <f t="shared" si="134"/>
        <v>0</v>
      </c>
      <c r="E8642" s="63" t="str">
        <f>HYPERLINK("https://www.sds-group.ru/product/smazka-dlya-kontaktov-210ml-rexant-85-0058/", "Инфо")</f>
        <v>Инфо</v>
      </c>
      <c r="F8642" s="16" t="s">
        <v>39</v>
      </c>
      <c r="G8642" s="15"/>
      <c r="H8642" s="15"/>
      <c r="I8642" s="15"/>
      <c r="J8642" s="22">
        <v>2940</v>
      </c>
      <c r="K8642" s="15" t="s">
        <v>1888</v>
      </c>
      <c r="L8642" s="17">
        <v>5</v>
      </c>
      <c r="M8642" s="17">
        <v>12</v>
      </c>
      <c r="N8642" s="17">
        <v>5</v>
      </c>
      <c r="O8642" s="18">
        <v>269.51</v>
      </c>
      <c r="P8642" s="18">
        <v>220.91</v>
      </c>
      <c r="Q8642" s="18">
        <v>229.08</v>
      </c>
      <c r="R8642" s="18">
        <v>187.77</v>
      </c>
      <c r="S8642" s="18">
        <v>183.27</v>
      </c>
      <c r="T8642" s="18">
        <v>150.22</v>
      </c>
      <c r="U8642" s="16"/>
      <c r="V8642" s="16"/>
      <c r="W8642" s="16" t="s">
        <v>40</v>
      </c>
      <c r="X8642" s="19">
        <v>0.16700000000000001</v>
      </c>
      <c r="Y8642" s="20">
        <v>4.9700000000000005E-4</v>
      </c>
      <c r="Z8642" s="21">
        <v>4601004243767</v>
      </c>
    </row>
    <row r="8643" spans="1:26" ht="12" customHeight="1" outlineLevel="4" x14ac:dyDescent="0.2">
      <c r="A8643" s="14" t="s">
        <v>16502</v>
      </c>
      <c r="B8643" s="26" t="s">
        <v>16503</v>
      </c>
      <c r="C8643" s="52"/>
      <c r="D8643" s="55">
        <f t="shared" si="134"/>
        <v>0</v>
      </c>
      <c r="E8643" s="63" t="str">
        <f>HYPERLINK("https://www.sds-group.ru/product/smazka-silikonovaya-50ml-flakon-roll-on-rexant-85-0073/", "Инфо")</f>
        <v>Инфо</v>
      </c>
      <c r="F8643" s="16" t="s">
        <v>39</v>
      </c>
      <c r="G8643" s="15"/>
      <c r="H8643" s="15"/>
      <c r="I8643" s="15"/>
      <c r="J8643" s="22">
        <v>1513</v>
      </c>
      <c r="K8643" s="15"/>
      <c r="L8643" s="17">
        <v>5</v>
      </c>
      <c r="M8643" s="17">
        <v>24</v>
      </c>
      <c r="N8643" s="17">
        <v>5</v>
      </c>
      <c r="O8643" s="18">
        <v>286.2</v>
      </c>
      <c r="P8643" s="18">
        <v>234.59</v>
      </c>
      <c r="Q8643" s="18">
        <v>243.27</v>
      </c>
      <c r="R8643" s="18">
        <v>199.4</v>
      </c>
      <c r="S8643" s="18">
        <v>194.62</v>
      </c>
      <c r="T8643" s="18">
        <v>159.52000000000001</v>
      </c>
      <c r="U8643" s="16"/>
      <c r="V8643" s="16"/>
      <c r="W8643" s="16" t="s">
        <v>40</v>
      </c>
      <c r="X8643" s="19">
        <v>7.3999999999999996E-2</v>
      </c>
      <c r="Y8643" s="20">
        <v>1.7100000000000001E-4</v>
      </c>
      <c r="Z8643" s="21">
        <v>4601004282933</v>
      </c>
    </row>
    <row r="8644" spans="1:26" ht="12" customHeight="1" outlineLevel="4" x14ac:dyDescent="0.2">
      <c r="A8644" s="14" t="s">
        <v>16504</v>
      </c>
      <c r="B8644" s="26" t="s">
        <v>16505</v>
      </c>
      <c r="C8644" s="52"/>
      <c r="D8644" s="55">
        <f t="shared" si="134"/>
        <v>0</v>
      </c>
      <c r="E8644" s="63" t="str">
        <f>HYPERLINK("https://www.sds-group.ru/product/smazka-universalnaya-litievaya-520ml-aerozol-rexant-85-0076/", "Инфо")</f>
        <v>Инфо</v>
      </c>
      <c r="F8644" s="16" t="s">
        <v>39</v>
      </c>
      <c r="G8644" s="15"/>
      <c r="H8644" s="15"/>
      <c r="I8644" s="15"/>
      <c r="J8644" s="17">
        <v>597</v>
      </c>
      <c r="K8644" s="15"/>
      <c r="L8644" s="17">
        <v>1</v>
      </c>
      <c r="M8644" s="17">
        <v>12</v>
      </c>
      <c r="N8644" s="17">
        <v>1</v>
      </c>
      <c r="O8644" s="18">
        <v>458.16</v>
      </c>
      <c r="P8644" s="18">
        <v>375.54</v>
      </c>
      <c r="Q8644" s="18">
        <v>366.53</v>
      </c>
      <c r="R8644" s="18">
        <v>300.43</v>
      </c>
      <c r="S8644" s="18">
        <v>311.55</v>
      </c>
      <c r="T8644" s="18">
        <v>255.37</v>
      </c>
      <c r="U8644" s="16"/>
      <c r="V8644" s="16"/>
      <c r="W8644" s="16" t="s">
        <v>40</v>
      </c>
      <c r="X8644" s="19">
        <v>0.36</v>
      </c>
      <c r="Y8644" s="20">
        <v>8.4000000000000003E-4</v>
      </c>
      <c r="Z8644" s="21">
        <v>4601004282902</v>
      </c>
    </row>
    <row r="8645" spans="1:26" ht="12" customHeight="1" outlineLevel="4" x14ac:dyDescent="0.2">
      <c r="A8645" s="14" t="s">
        <v>16506</v>
      </c>
      <c r="B8645" s="26" t="s">
        <v>16507</v>
      </c>
      <c r="C8645" s="52"/>
      <c r="D8645" s="55">
        <f t="shared" si="134"/>
        <v>0</v>
      </c>
      <c r="E8645" s="63" t="str">
        <f>HYPERLINK("https://www.sds-group.ru/product/smazka-universalnaya-silikonovaya-335ml-aerozol-rexant-85-0054-2/", "Инфо")</f>
        <v>Инфо</v>
      </c>
      <c r="F8645" s="16" t="s">
        <v>39</v>
      </c>
      <c r="G8645" s="15"/>
      <c r="H8645" s="15"/>
      <c r="I8645" s="15"/>
      <c r="J8645" s="16" t="s">
        <v>100</v>
      </c>
      <c r="K8645" s="15" t="s">
        <v>1888</v>
      </c>
      <c r="L8645" s="17">
        <v>5</v>
      </c>
      <c r="M8645" s="17">
        <v>12</v>
      </c>
      <c r="N8645" s="17">
        <v>5</v>
      </c>
      <c r="O8645" s="18">
        <v>408.1</v>
      </c>
      <c r="P8645" s="18">
        <v>334.51</v>
      </c>
      <c r="Q8645" s="18">
        <v>326.48</v>
      </c>
      <c r="R8645" s="18">
        <v>267.61</v>
      </c>
      <c r="S8645" s="18">
        <v>277.51</v>
      </c>
      <c r="T8645" s="18">
        <v>227.47</v>
      </c>
      <c r="U8645" s="16"/>
      <c r="V8645" s="16"/>
      <c r="W8645" s="16" t="s">
        <v>40</v>
      </c>
      <c r="X8645" s="19">
        <v>0.23300000000000001</v>
      </c>
      <c r="Y8645" s="20">
        <v>5.8399999999999999E-4</v>
      </c>
      <c r="Z8645" s="21">
        <v>4601004282919</v>
      </c>
    </row>
    <row r="8646" spans="1:26" ht="12" customHeight="1" outlineLevel="4" x14ac:dyDescent="0.2">
      <c r="A8646" s="14" t="s">
        <v>16508</v>
      </c>
      <c r="B8646" s="26" t="s">
        <v>16509</v>
      </c>
      <c r="C8646" s="52"/>
      <c r="D8646" s="55">
        <f t="shared" si="134"/>
        <v>0</v>
      </c>
      <c r="E8646" s="63" t="str">
        <f>HYPERLINK("https://www.sds-group.ru/product/smyvka-kraski-520ml-aerozol-rexant-85-0077/", "Инфо")</f>
        <v>Инфо</v>
      </c>
      <c r="F8646" s="16" t="s">
        <v>39</v>
      </c>
      <c r="G8646" s="15"/>
      <c r="H8646" s="15"/>
      <c r="I8646" s="15"/>
      <c r="J8646" s="16" t="s">
        <v>100</v>
      </c>
      <c r="K8646" s="15" t="s">
        <v>1888</v>
      </c>
      <c r="L8646" s="17">
        <v>1</v>
      </c>
      <c r="M8646" s="17">
        <v>12</v>
      </c>
      <c r="N8646" s="17">
        <v>1</v>
      </c>
      <c r="O8646" s="18">
        <v>441.99</v>
      </c>
      <c r="P8646" s="18">
        <v>362.29</v>
      </c>
      <c r="Q8646" s="18">
        <v>353.59</v>
      </c>
      <c r="R8646" s="18">
        <v>289.83</v>
      </c>
      <c r="S8646" s="18">
        <v>300.55</v>
      </c>
      <c r="T8646" s="18">
        <v>246.35</v>
      </c>
      <c r="U8646" s="16"/>
      <c r="V8646" s="16"/>
      <c r="W8646" s="16" t="s">
        <v>40</v>
      </c>
      <c r="X8646" s="19">
        <v>0.33900000000000002</v>
      </c>
      <c r="Y8646" s="20">
        <v>8.4800000000000001E-4</v>
      </c>
      <c r="Z8646" s="21">
        <v>4601004282865</v>
      </c>
    </row>
    <row r="8647" spans="1:26" ht="12" customHeight="1" outlineLevel="4" x14ac:dyDescent="0.2">
      <c r="A8647" s="14" t="s">
        <v>16510</v>
      </c>
      <c r="B8647" s="26" t="s">
        <v>16511</v>
      </c>
      <c r="C8647" s="52"/>
      <c r="D8647" s="55">
        <f t="shared" si="134"/>
        <v>0</v>
      </c>
      <c r="E8647" s="63" t="str">
        <f>HYPERLINK("https://www.sds-group.ru/product/termoklyuch-s-effektom-zamorozki-335ml-aerozol-rexant-85-0079/", "Инфо")</f>
        <v>Инфо</v>
      </c>
      <c r="F8647" s="16" t="s">
        <v>39</v>
      </c>
      <c r="G8647" s="15"/>
      <c r="H8647" s="15"/>
      <c r="I8647" s="15"/>
      <c r="J8647" s="17">
        <v>510</v>
      </c>
      <c r="K8647" s="15"/>
      <c r="L8647" s="17">
        <v>5</v>
      </c>
      <c r="M8647" s="17">
        <v>12</v>
      </c>
      <c r="N8647" s="17">
        <v>5</v>
      </c>
      <c r="O8647" s="18">
        <v>360.4</v>
      </c>
      <c r="P8647" s="18">
        <v>295.41000000000003</v>
      </c>
      <c r="Q8647" s="18">
        <v>306.33999999999997</v>
      </c>
      <c r="R8647" s="18">
        <v>251.1</v>
      </c>
      <c r="S8647" s="18">
        <v>245.07</v>
      </c>
      <c r="T8647" s="18">
        <v>200.88</v>
      </c>
      <c r="U8647" s="16"/>
      <c r="V8647" s="16"/>
      <c r="W8647" s="16" t="s">
        <v>40</v>
      </c>
      <c r="X8647" s="19">
        <v>0.24299999999999999</v>
      </c>
      <c r="Y8647" s="20">
        <v>6.11E-4</v>
      </c>
      <c r="Z8647" s="21">
        <v>4601004282841</v>
      </c>
    </row>
    <row r="8648" spans="1:26" ht="12" customHeight="1" outlineLevel="4" x14ac:dyDescent="0.2">
      <c r="A8648" s="14" t="s">
        <v>16512</v>
      </c>
      <c r="B8648" s="26" t="s">
        <v>16513</v>
      </c>
      <c r="C8648" s="52"/>
      <c r="D8648" s="55">
        <f t="shared" si="134"/>
        <v>0</v>
      </c>
      <c r="E8648" s="63" t="str">
        <f>HYPERLINK("https://www.sds-group.ru/product/udalitel-sledov-nakleek-i-tonirovochnoy-plenki-antiskotch-aerozol-335ml-rexant-85-0052-1/", "Инфо")</f>
        <v>Инфо</v>
      </c>
      <c r="F8648" s="16" t="s">
        <v>39</v>
      </c>
      <c r="G8648" s="15"/>
      <c r="H8648" s="15"/>
      <c r="I8648" s="15"/>
      <c r="J8648" s="17">
        <v>378</v>
      </c>
      <c r="K8648" s="15" t="s">
        <v>1888</v>
      </c>
      <c r="L8648" s="17">
        <v>1</v>
      </c>
      <c r="M8648" s="17">
        <v>12</v>
      </c>
      <c r="N8648" s="17">
        <v>1</v>
      </c>
      <c r="O8648" s="18">
        <v>471.7</v>
      </c>
      <c r="P8648" s="18">
        <v>386.64</v>
      </c>
      <c r="Q8648" s="18">
        <v>400.95</v>
      </c>
      <c r="R8648" s="18">
        <v>328.65</v>
      </c>
      <c r="S8648" s="18">
        <v>320.76</v>
      </c>
      <c r="T8648" s="18">
        <v>262.92</v>
      </c>
      <c r="U8648" s="16"/>
      <c r="V8648" s="16"/>
      <c r="W8648" s="16" t="s">
        <v>40</v>
      </c>
      <c r="X8648" s="19">
        <v>0.24</v>
      </c>
      <c r="Y8648" s="20">
        <v>5.4900000000000001E-4</v>
      </c>
      <c r="Z8648" s="21">
        <v>4601004282834</v>
      </c>
    </row>
    <row r="8649" spans="1:26" ht="12" customHeight="1" outlineLevel="4" x14ac:dyDescent="0.2">
      <c r="A8649" s="14" t="s">
        <v>16514</v>
      </c>
      <c r="B8649" s="26" t="s">
        <v>16515</v>
      </c>
      <c r="C8649" s="52"/>
      <c r="D8649" s="55">
        <f t="shared" ref="D8649:D8711" si="135">C8649*(O8649-O8649*$G$3)</f>
        <v>0</v>
      </c>
      <c r="E8649" s="63" t="str">
        <f>HYPERLINK("https://www.sds-group.ru/product/chernitel-shin-250ml-trigger-rexant-85-0066/", "Инфо")</f>
        <v>Инфо</v>
      </c>
      <c r="F8649" s="16" t="s">
        <v>39</v>
      </c>
      <c r="G8649" s="15"/>
      <c r="H8649" s="15"/>
      <c r="I8649" s="15"/>
      <c r="J8649" s="17">
        <v>269</v>
      </c>
      <c r="K8649" s="15"/>
      <c r="L8649" s="17">
        <v>10</v>
      </c>
      <c r="M8649" s="17">
        <v>15</v>
      </c>
      <c r="N8649" s="17">
        <v>10</v>
      </c>
      <c r="O8649" s="18">
        <v>194.04</v>
      </c>
      <c r="P8649" s="18">
        <v>159.05000000000001</v>
      </c>
      <c r="Q8649" s="18">
        <v>164.93</v>
      </c>
      <c r="R8649" s="18">
        <v>135.19</v>
      </c>
      <c r="S8649" s="18">
        <v>131.94999999999999</v>
      </c>
      <c r="T8649" s="18">
        <v>108.16</v>
      </c>
      <c r="U8649" s="16"/>
      <c r="V8649" s="16"/>
      <c r="W8649" s="16" t="s">
        <v>40</v>
      </c>
      <c r="X8649" s="19">
        <v>0.29199999999999998</v>
      </c>
      <c r="Y8649" s="20">
        <v>7.1100000000000004E-4</v>
      </c>
      <c r="Z8649" s="21">
        <v>4601004282803</v>
      </c>
    </row>
    <row r="8650" spans="1:26" ht="12" customHeight="1" outlineLevel="4" x14ac:dyDescent="0.2">
      <c r="A8650" s="14" t="s">
        <v>16516</v>
      </c>
      <c r="B8650" s="26" t="s">
        <v>16517</v>
      </c>
      <c r="C8650" s="52"/>
      <c r="D8650" s="55">
        <f t="shared" si="135"/>
        <v>0</v>
      </c>
      <c r="E8650" s="63" t="str">
        <f>HYPERLINK("https://www.sds-group.ru/product/chernitel-shin-520ml-rexant-85-0055/", "Инфо")</f>
        <v>Инфо</v>
      </c>
      <c r="F8650" s="16" t="s">
        <v>39</v>
      </c>
      <c r="G8650" s="15"/>
      <c r="H8650" s="15"/>
      <c r="I8650" s="15"/>
      <c r="J8650" s="17">
        <v>404</v>
      </c>
      <c r="K8650" s="15"/>
      <c r="L8650" s="17">
        <v>1</v>
      </c>
      <c r="M8650" s="17">
        <v>12</v>
      </c>
      <c r="N8650" s="17">
        <v>1</v>
      </c>
      <c r="O8650" s="18">
        <v>425.82</v>
      </c>
      <c r="P8650" s="18">
        <v>349.03</v>
      </c>
      <c r="Q8650" s="18">
        <v>340.66</v>
      </c>
      <c r="R8650" s="18">
        <v>279.23</v>
      </c>
      <c r="S8650" s="18">
        <v>289.56</v>
      </c>
      <c r="T8650" s="18">
        <v>237.34</v>
      </c>
      <c r="U8650" s="16"/>
      <c r="V8650" s="16"/>
      <c r="W8650" s="16" t="s">
        <v>40</v>
      </c>
      <c r="X8650" s="19">
        <v>0.35799999999999998</v>
      </c>
      <c r="Y8650" s="20">
        <v>8.7100000000000003E-4</v>
      </c>
      <c r="Z8650" s="21">
        <v>4601004243736</v>
      </c>
    </row>
    <row r="8651" spans="1:26" ht="12.95" customHeight="1" outlineLevel="3" x14ac:dyDescent="0.2">
      <c r="A8651" s="76" t="s">
        <v>16518</v>
      </c>
      <c r="B8651" s="76"/>
      <c r="C8651" s="77"/>
      <c r="D8651" s="58"/>
      <c r="E8651" s="68"/>
      <c r="F8651" s="13"/>
      <c r="G8651" s="13"/>
      <c r="H8651" s="13"/>
      <c r="I8651" s="13"/>
      <c r="J8651" s="13"/>
      <c r="K8651" s="13"/>
      <c r="L8651" s="13"/>
      <c r="M8651" s="13"/>
      <c r="N8651" s="13"/>
      <c r="O8651" s="13"/>
      <c r="P8651" s="13"/>
      <c r="Q8651" s="13"/>
      <c r="R8651" s="13"/>
      <c r="S8651" s="13"/>
      <c r="T8651" s="13"/>
      <c r="U8651" s="13"/>
      <c r="V8651" s="13"/>
      <c r="W8651" s="13"/>
      <c r="X8651" s="13"/>
      <c r="Y8651" s="13"/>
      <c r="Z8651" s="13"/>
    </row>
    <row r="8652" spans="1:26" ht="12" customHeight="1" outlineLevel="4" x14ac:dyDescent="0.2">
      <c r="A8652" s="40" t="s">
        <v>16519</v>
      </c>
      <c r="B8652" s="75" t="s">
        <v>16520</v>
      </c>
      <c r="C8652" s="51"/>
      <c r="D8652" s="54">
        <f t="shared" si="135"/>
        <v>0</v>
      </c>
      <c r="E8652" s="62"/>
      <c r="F8652" s="42" t="s">
        <v>39</v>
      </c>
      <c r="G8652" s="41" t="s">
        <v>40</v>
      </c>
      <c r="H8652" s="41"/>
      <c r="I8652" s="41"/>
      <c r="J8652" s="43">
        <v>773</v>
      </c>
      <c r="K8652" s="41"/>
      <c r="L8652" s="43">
        <v>1</v>
      </c>
      <c r="M8652" s="43">
        <v>32</v>
      </c>
      <c r="N8652" s="43">
        <v>1</v>
      </c>
      <c r="O8652" s="44">
        <v>742</v>
      </c>
      <c r="P8652" s="44">
        <v>608.20000000000005</v>
      </c>
      <c r="Q8652" s="44">
        <v>519.4</v>
      </c>
      <c r="R8652" s="44">
        <v>425.74</v>
      </c>
      <c r="S8652" s="44">
        <v>504.56</v>
      </c>
      <c r="T8652" s="44">
        <v>413.57</v>
      </c>
      <c r="U8652" s="42"/>
      <c r="V8652" s="42"/>
      <c r="W8652" s="42"/>
      <c r="X8652" s="45">
        <v>0.2</v>
      </c>
      <c r="Y8652" s="46">
        <v>7.2000000000000015E-4</v>
      </c>
      <c r="Z8652" s="21">
        <v>4601004342637</v>
      </c>
    </row>
    <row r="8653" spans="1:26" ht="12" customHeight="1" outlineLevel="4" x14ac:dyDescent="0.2">
      <c r="A8653" s="40" t="s">
        <v>16521</v>
      </c>
      <c r="B8653" s="75" t="s">
        <v>16522</v>
      </c>
      <c r="C8653" s="51"/>
      <c r="D8653" s="54">
        <f t="shared" si="135"/>
        <v>0</v>
      </c>
      <c r="E8653" s="62"/>
      <c r="F8653" s="42" t="s">
        <v>39</v>
      </c>
      <c r="G8653" s="41" t="s">
        <v>40</v>
      </c>
      <c r="H8653" s="41"/>
      <c r="I8653" s="41"/>
      <c r="J8653" s="43">
        <v>766</v>
      </c>
      <c r="K8653" s="41"/>
      <c r="L8653" s="43">
        <v>1</v>
      </c>
      <c r="M8653" s="43">
        <v>20</v>
      </c>
      <c r="N8653" s="43">
        <v>1</v>
      </c>
      <c r="O8653" s="44">
        <v>1325</v>
      </c>
      <c r="P8653" s="44">
        <v>1086.07</v>
      </c>
      <c r="Q8653" s="44">
        <v>927.5</v>
      </c>
      <c r="R8653" s="44">
        <v>760.25</v>
      </c>
      <c r="S8653" s="44">
        <v>901</v>
      </c>
      <c r="T8653" s="44">
        <v>738.52</v>
      </c>
      <c r="U8653" s="42"/>
      <c r="V8653" s="42"/>
      <c r="W8653" s="42"/>
      <c r="X8653" s="45">
        <v>0.375</v>
      </c>
      <c r="Y8653" s="46">
        <v>5.7499999999999999E-4</v>
      </c>
      <c r="Z8653" s="21">
        <v>4601004342644</v>
      </c>
    </row>
    <row r="8654" spans="1:26" ht="12" customHeight="1" outlineLevel="4" x14ac:dyDescent="0.2">
      <c r="A8654" s="40" t="s">
        <v>16523</v>
      </c>
      <c r="B8654" s="75" t="s">
        <v>16524</v>
      </c>
      <c r="C8654" s="51"/>
      <c r="D8654" s="54">
        <f t="shared" si="135"/>
        <v>0</v>
      </c>
      <c r="E8654" s="62"/>
      <c r="F8654" s="42" t="s">
        <v>39</v>
      </c>
      <c r="G8654" s="41" t="s">
        <v>40</v>
      </c>
      <c r="H8654" s="41"/>
      <c r="I8654" s="41"/>
      <c r="J8654" s="43">
        <v>234</v>
      </c>
      <c r="K8654" s="41" t="s">
        <v>1888</v>
      </c>
      <c r="L8654" s="43">
        <v>1</v>
      </c>
      <c r="M8654" s="43">
        <v>30</v>
      </c>
      <c r="N8654" s="43">
        <v>1</v>
      </c>
      <c r="O8654" s="44">
        <v>485.48</v>
      </c>
      <c r="P8654" s="44">
        <v>397.93</v>
      </c>
      <c r="Q8654" s="44">
        <v>339.84</v>
      </c>
      <c r="R8654" s="44">
        <v>278.56</v>
      </c>
      <c r="S8654" s="44">
        <v>330.13</v>
      </c>
      <c r="T8654" s="44">
        <v>270.60000000000002</v>
      </c>
      <c r="U8654" s="42"/>
      <c r="V8654" s="42"/>
      <c r="W8654" s="42"/>
      <c r="X8654" s="45">
        <v>5.3999999999999999E-2</v>
      </c>
      <c r="Y8654" s="46">
        <v>4.46E-4</v>
      </c>
      <c r="Z8654" s="21">
        <v>4601004330924</v>
      </c>
    </row>
    <row r="8655" spans="1:26" ht="12" customHeight="1" outlineLevel="4" x14ac:dyDescent="0.2">
      <c r="A8655" s="40" t="s">
        <v>16525</v>
      </c>
      <c r="B8655" s="75" t="s">
        <v>16526</v>
      </c>
      <c r="C8655" s="51"/>
      <c r="D8655" s="54">
        <f t="shared" si="135"/>
        <v>0</v>
      </c>
      <c r="E8655" s="62"/>
      <c r="F8655" s="42" t="s">
        <v>39</v>
      </c>
      <c r="G8655" s="41" t="s">
        <v>40</v>
      </c>
      <c r="H8655" s="41"/>
      <c r="I8655" s="41"/>
      <c r="J8655" s="43">
        <v>498</v>
      </c>
      <c r="K8655" s="41"/>
      <c r="L8655" s="43">
        <v>5</v>
      </c>
      <c r="M8655" s="43">
        <v>25</v>
      </c>
      <c r="N8655" s="43">
        <v>5</v>
      </c>
      <c r="O8655" s="44">
        <v>382.66</v>
      </c>
      <c r="P8655" s="44">
        <v>313.66000000000003</v>
      </c>
      <c r="Q8655" s="44">
        <v>267.86</v>
      </c>
      <c r="R8655" s="44">
        <v>219.56</v>
      </c>
      <c r="S8655" s="44">
        <v>260.20999999999998</v>
      </c>
      <c r="T8655" s="44">
        <v>213.29</v>
      </c>
      <c r="U8655" s="42"/>
      <c r="V8655" s="42"/>
      <c r="W8655" s="42"/>
      <c r="X8655" s="45">
        <v>1.6E-2</v>
      </c>
      <c r="Y8655" s="46">
        <v>5.8799999999999998E-4</v>
      </c>
      <c r="Z8655" s="21">
        <v>4601004330931</v>
      </c>
    </row>
    <row r="8656" spans="1:26" ht="12" customHeight="1" outlineLevel="4" x14ac:dyDescent="0.2">
      <c r="A8656" s="40" t="s">
        <v>16527</v>
      </c>
      <c r="B8656" s="75" t="s">
        <v>16528</v>
      </c>
      <c r="C8656" s="51"/>
      <c r="D8656" s="54">
        <f t="shared" si="135"/>
        <v>0</v>
      </c>
      <c r="E8656" s="62"/>
      <c r="F8656" s="42" t="s">
        <v>39</v>
      </c>
      <c r="G8656" s="41" t="s">
        <v>40</v>
      </c>
      <c r="H8656" s="41"/>
      <c r="I8656" s="41"/>
      <c r="J8656" s="43">
        <v>596</v>
      </c>
      <c r="K8656" s="41"/>
      <c r="L8656" s="43">
        <v>5</v>
      </c>
      <c r="M8656" s="43">
        <v>25</v>
      </c>
      <c r="N8656" s="43">
        <v>5</v>
      </c>
      <c r="O8656" s="44">
        <v>382.66</v>
      </c>
      <c r="P8656" s="44">
        <v>313.66000000000003</v>
      </c>
      <c r="Q8656" s="44">
        <v>267.86</v>
      </c>
      <c r="R8656" s="44">
        <v>219.56</v>
      </c>
      <c r="S8656" s="44">
        <v>260.20999999999998</v>
      </c>
      <c r="T8656" s="44">
        <v>213.29</v>
      </c>
      <c r="U8656" s="42"/>
      <c r="V8656" s="42"/>
      <c r="W8656" s="42"/>
      <c r="X8656" s="45">
        <v>1.6E-2</v>
      </c>
      <c r="Y8656" s="46">
        <v>5.8799999999999998E-4</v>
      </c>
      <c r="Z8656" s="21">
        <v>4601004330917</v>
      </c>
    </row>
    <row r="8657" spans="1:26" ht="12.95" customHeight="1" outlineLevel="2" x14ac:dyDescent="0.2">
      <c r="A8657" s="76" t="s">
        <v>16529</v>
      </c>
      <c r="B8657" s="76"/>
      <c r="C8657" s="77"/>
      <c r="D8657" s="58"/>
      <c r="E8657" s="68"/>
      <c r="F8657" s="13"/>
      <c r="G8657" s="13"/>
      <c r="H8657" s="13"/>
      <c r="I8657" s="13"/>
      <c r="J8657" s="13"/>
      <c r="K8657" s="13"/>
      <c r="L8657" s="13"/>
      <c r="M8657" s="13"/>
      <c r="N8657" s="13"/>
      <c r="O8657" s="13"/>
      <c r="P8657" s="13"/>
      <c r="Q8657" s="13"/>
      <c r="R8657" s="13"/>
      <c r="S8657" s="13"/>
      <c r="T8657" s="13"/>
      <c r="U8657" s="13"/>
      <c r="V8657" s="13"/>
      <c r="W8657" s="13"/>
      <c r="X8657" s="13"/>
      <c r="Y8657" s="13"/>
      <c r="Z8657" s="13"/>
    </row>
    <row r="8658" spans="1:26" ht="12.95" customHeight="1" outlineLevel="3" x14ac:dyDescent="0.2">
      <c r="A8658" s="76" t="s">
        <v>16530</v>
      </c>
      <c r="B8658" s="76"/>
      <c r="C8658" s="77"/>
      <c r="D8658" s="58"/>
      <c r="E8658" s="68"/>
      <c r="F8658" s="13"/>
      <c r="G8658" s="13"/>
      <c r="H8658" s="13"/>
      <c r="I8658" s="13"/>
      <c r="J8658" s="13"/>
      <c r="K8658" s="13"/>
      <c r="L8658" s="13"/>
      <c r="M8658" s="13"/>
      <c r="N8658" s="13"/>
      <c r="O8658" s="13"/>
      <c r="P8658" s="13"/>
      <c r="Q8658" s="13"/>
      <c r="R8658" s="13"/>
      <c r="S8658" s="13"/>
      <c r="T8658" s="13"/>
      <c r="U8658" s="13"/>
      <c r="V8658" s="13"/>
      <c r="W8658" s="13"/>
      <c r="X8658" s="13"/>
      <c r="Y8658" s="13"/>
      <c r="Z8658" s="13"/>
    </row>
    <row r="8659" spans="1:26" ht="12" customHeight="1" outlineLevel="4" x14ac:dyDescent="0.2">
      <c r="A8659" s="40" t="s">
        <v>16531</v>
      </c>
      <c r="B8659" s="75" t="s">
        <v>16532</v>
      </c>
      <c r="C8659" s="51"/>
      <c r="D8659" s="54">
        <f t="shared" si="135"/>
        <v>0</v>
      </c>
      <c r="E8659" s="61" t="str">
        <f>HYPERLINK("https://www.sds-group.ru/product/kompressor-avtomobilnyy-35-l-min-9-4-atm-220v-rexant-80-0525/", "Инфо")</f>
        <v>Инфо</v>
      </c>
      <c r="F8659" s="42" t="s">
        <v>39</v>
      </c>
      <c r="G8659" s="41" t="s">
        <v>40</v>
      </c>
      <c r="H8659" s="41"/>
      <c r="I8659" s="41"/>
      <c r="J8659" s="43">
        <v>365</v>
      </c>
      <c r="K8659" s="41" t="s">
        <v>6744</v>
      </c>
      <c r="L8659" s="43">
        <v>1</v>
      </c>
      <c r="M8659" s="43">
        <v>10</v>
      </c>
      <c r="N8659" s="43">
        <v>1</v>
      </c>
      <c r="O8659" s="44">
        <v>4527.68</v>
      </c>
      <c r="P8659" s="44">
        <v>3711.21</v>
      </c>
      <c r="Q8659" s="44">
        <v>3486.31</v>
      </c>
      <c r="R8659" s="44">
        <v>2857.63</v>
      </c>
      <c r="S8659" s="44">
        <v>3078.82</v>
      </c>
      <c r="T8659" s="44">
        <v>2523.62</v>
      </c>
      <c r="U8659" s="42"/>
      <c r="V8659" s="42"/>
      <c r="W8659" s="42" t="s">
        <v>40</v>
      </c>
      <c r="X8659" s="45">
        <v>2.0390000000000001</v>
      </c>
      <c r="Y8659" s="46">
        <v>4.7219999999999996E-3</v>
      </c>
      <c r="Z8659" s="21">
        <v>4601004338562</v>
      </c>
    </row>
    <row r="8660" spans="1:26" ht="12" customHeight="1" outlineLevel="4" x14ac:dyDescent="0.2">
      <c r="A8660" s="14" t="s">
        <v>16533</v>
      </c>
      <c r="B8660" s="26" t="s">
        <v>16534</v>
      </c>
      <c r="C8660" s="52"/>
      <c r="D8660" s="55">
        <f t="shared" si="135"/>
        <v>0</v>
      </c>
      <c r="E8660" s="63" t="str">
        <f>HYPERLINK("https://www.sds-group.ru/product/kompressor-avtomobilnyy-40-l-min-7-atm-rexant-80-0520/", "Инфо")</f>
        <v>Инфо</v>
      </c>
      <c r="F8660" s="16" t="s">
        <v>39</v>
      </c>
      <c r="G8660" s="15"/>
      <c r="H8660" s="15"/>
      <c r="I8660" s="15"/>
      <c r="J8660" s="16" t="s">
        <v>100</v>
      </c>
      <c r="K8660" s="15" t="s">
        <v>6744</v>
      </c>
      <c r="L8660" s="17">
        <v>1</v>
      </c>
      <c r="M8660" s="17">
        <v>10</v>
      </c>
      <c r="N8660" s="17">
        <v>1</v>
      </c>
      <c r="O8660" s="18">
        <v>1994.34</v>
      </c>
      <c r="P8660" s="18">
        <v>1634.7</v>
      </c>
      <c r="Q8660" s="18">
        <v>1535.64</v>
      </c>
      <c r="R8660" s="18">
        <v>1258.72</v>
      </c>
      <c r="S8660" s="18">
        <v>1356.15</v>
      </c>
      <c r="T8660" s="18">
        <v>1111.5999999999999</v>
      </c>
      <c r="U8660" s="16"/>
      <c r="V8660" s="16"/>
      <c r="W8660" s="16" t="s">
        <v>40</v>
      </c>
      <c r="X8660" s="19">
        <v>1.2230000000000001</v>
      </c>
      <c r="Y8660" s="20">
        <v>3.888E-3</v>
      </c>
      <c r="Z8660" s="21">
        <v>4601004269149</v>
      </c>
    </row>
    <row r="8661" spans="1:26" ht="12" customHeight="1" outlineLevel="4" x14ac:dyDescent="0.2">
      <c r="A8661" s="14" t="s">
        <v>16535</v>
      </c>
      <c r="B8661" s="26" t="s">
        <v>16536</v>
      </c>
      <c r="C8661" s="52"/>
      <c r="D8661" s="55">
        <f t="shared" si="135"/>
        <v>0</v>
      </c>
      <c r="E8661" s="63" t="str">
        <f>HYPERLINK("https://www.sds-group.ru/product/kompressor-avtomobilnyy-usilennyy-dvuhporshnevoy-v-keyse-s-naborom-instrumentov-60-l-min-10--80-0524/", "Инфо")</f>
        <v>Инфо</v>
      </c>
      <c r="F8661" s="16" t="s">
        <v>39</v>
      </c>
      <c r="G8661" s="15"/>
      <c r="H8661" s="15"/>
      <c r="I8661" s="15"/>
      <c r="J8661" s="17">
        <v>836</v>
      </c>
      <c r="K8661" s="15" t="s">
        <v>6744</v>
      </c>
      <c r="L8661" s="17">
        <v>1</v>
      </c>
      <c r="M8661" s="17">
        <v>6</v>
      </c>
      <c r="N8661" s="17">
        <v>1</v>
      </c>
      <c r="O8661" s="18">
        <v>4743.29</v>
      </c>
      <c r="P8661" s="18">
        <v>3887.94</v>
      </c>
      <c r="Q8661" s="18">
        <v>3462.6</v>
      </c>
      <c r="R8661" s="18">
        <v>2838.2</v>
      </c>
      <c r="S8661" s="18">
        <v>3225.44</v>
      </c>
      <c r="T8661" s="18">
        <v>2643.8</v>
      </c>
      <c r="U8661" s="16"/>
      <c r="V8661" s="16"/>
      <c r="W8661" s="16" t="s">
        <v>40</v>
      </c>
      <c r="X8661" s="19">
        <v>3.5150000000000001</v>
      </c>
      <c r="Y8661" s="20">
        <v>1.2520999999999999E-2</v>
      </c>
      <c r="Z8661" s="21">
        <v>4601004269132</v>
      </c>
    </row>
    <row r="8662" spans="1:26" ht="12" customHeight="1" outlineLevel="4" x14ac:dyDescent="0.2">
      <c r="A8662" s="14" t="s">
        <v>16537</v>
      </c>
      <c r="B8662" s="26" t="s">
        <v>16538</v>
      </c>
      <c r="C8662" s="52"/>
      <c r="D8662" s="55">
        <f t="shared" si="135"/>
        <v>0</v>
      </c>
      <c r="E8662" s="63" t="str">
        <f>HYPERLINK("https://www.sds-group.ru/product/kompressor-avtomobilnyy-usilennyy-dvuhporshnevoy-s-tsifrovym-manometrom-i-funktsiey-avtostop-80-0522/", "Инфо")</f>
        <v>Инфо</v>
      </c>
      <c r="F8662" s="16" t="s">
        <v>39</v>
      </c>
      <c r="G8662" s="15"/>
      <c r="H8662" s="15"/>
      <c r="I8662" s="15"/>
      <c r="J8662" s="17">
        <v>557</v>
      </c>
      <c r="K8662" s="15" t="s">
        <v>6744</v>
      </c>
      <c r="L8662" s="17">
        <v>1</v>
      </c>
      <c r="M8662" s="17">
        <v>6</v>
      </c>
      <c r="N8662" s="17">
        <v>1</v>
      </c>
      <c r="O8662" s="18">
        <v>4770</v>
      </c>
      <c r="P8662" s="18">
        <v>3909.84</v>
      </c>
      <c r="Q8662" s="18">
        <v>3482.1</v>
      </c>
      <c r="R8662" s="18">
        <v>2854.18</v>
      </c>
      <c r="S8662" s="18">
        <v>3243.6</v>
      </c>
      <c r="T8662" s="18">
        <v>2658.69</v>
      </c>
      <c r="U8662" s="16"/>
      <c r="V8662" s="16"/>
      <c r="W8662" s="16" t="s">
        <v>40</v>
      </c>
      <c r="X8662" s="19">
        <v>2.5880000000000001</v>
      </c>
      <c r="Y8662" s="20">
        <v>1.0846E-2</v>
      </c>
      <c r="Z8662" s="21">
        <v>4601004269118</v>
      </c>
    </row>
    <row r="8663" spans="1:26" ht="12" customHeight="1" outlineLevel="4" x14ac:dyDescent="0.2">
      <c r="A8663" s="14" t="s">
        <v>16539</v>
      </c>
      <c r="B8663" s="26" t="s">
        <v>16540</v>
      </c>
      <c r="C8663" s="52"/>
      <c r="D8663" s="55">
        <f t="shared" si="135"/>
        <v>0</v>
      </c>
      <c r="E8663" s="63" t="str">
        <f>HYPERLINK("https://www.sds-group.ru/product/kompressor-avtomobilnyy-usilennyy-dvuhporshnevoy-60-l-min-10-atm-rexant-80-0521/", "Инфо")</f>
        <v>Инфо</v>
      </c>
      <c r="F8663" s="16" t="s">
        <v>39</v>
      </c>
      <c r="G8663" s="15"/>
      <c r="H8663" s="15"/>
      <c r="I8663" s="15"/>
      <c r="J8663" s="22">
        <v>1235</v>
      </c>
      <c r="K8663" s="15" t="s">
        <v>6744</v>
      </c>
      <c r="L8663" s="17">
        <v>1</v>
      </c>
      <c r="M8663" s="17">
        <v>6</v>
      </c>
      <c r="N8663" s="17">
        <v>1</v>
      </c>
      <c r="O8663" s="18">
        <v>3988.67</v>
      </c>
      <c r="P8663" s="18">
        <v>3269.4</v>
      </c>
      <c r="Q8663" s="18">
        <v>2911.73</v>
      </c>
      <c r="R8663" s="18">
        <v>2386.66</v>
      </c>
      <c r="S8663" s="18">
        <v>2712.3</v>
      </c>
      <c r="T8663" s="18">
        <v>2223.1999999999998</v>
      </c>
      <c r="U8663" s="16"/>
      <c r="V8663" s="16"/>
      <c r="W8663" s="16" t="s">
        <v>40</v>
      </c>
      <c r="X8663" s="19">
        <v>2.6019999999999999</v>
      </c>
      <c r="Y8663" s="20">
        <v>1.0493000000000001E-2</v>
      </c>
      <c r="Z8663" s="21">
        <v>4601004269101</v>
      </c>
    </row>
    <row r="8664" spans="1:26" ht="12" customHeight="1" outlineLevel="4" x14ac:dyDescent="0.2">
      <c r="A8664" s="14" t="s">
        <v>16541</v>
      </c>
      <c r="B8664" s="26" t="s">
        <v>16542</v>
      </c>
      <c r="C8664" s="52"/>
      <c r="D8664" s="55">
        <f t="shared" si="135"/>
        <v>0</v>
      </c>
      <c r="E8664" s="63" t="str">
        <f>HYPERLINK("https://www.sds-group.ru/product/kompressor-avtomobilnyy-usilennyy-dvuhporshnevoy-75-l-min-10-atm-rexant-80-0523/", "Инфо")</f>
        <v>Инфо</v>
      </c>
      <c r="F8664" s="16" t="s">
        <v>39</v>
      </c>
      <c r="G8664" s="15"/>
      <c r="H8664" s="15"/>
      <c r="I8664" s="15"/>
      <c r="J8664" s="17">
        <v>702</v>
      </c>
      <c r="K8664" s="15" t="s">
        <v>14912</v>
      </c>
      <c r="L8664" s="17">
        <v>1</v>
      </c>
      <c r="M8664" s="17">
        <v>6</v>
      </c>
      <c r="N8664" s="17">
        <v>1</v>
      </c>
      <c r="O8664" s="18">
        <v>4527.68</v>
      </c>
      <c r="P8664" s="18">
        <v>3711.21</v>
      </c>
      <c r="Q8664" s="18">
        <v>3305.21</v>
      </c>
      <c r="R8664" s="18">
        <v>2709.19</v>
      </c>
      <c r="S8664" s="18">
        <v>3078.82</v>
      </c>
      <c r="T8664" s="18">
        <v>2523.62</v>
      </c>
      <c r="U8664" s="16"/>
      <c r="V8664" s="16"/>
      <c r="W8664" s="16" t="s">
        <v>40</v>
      </c>
      <c r="X8664" s="19">
        <v>2.8319999999999999</v>
      </c>
      <c r="Y8664" s="20">
        <v>1.0205000000000001E-2</v>
      </c>
      <c r="Z8664" s="21">
        <v>4601004269125</v>
      </c>
    </row>
    <row r="8665" spans="1:26" ht="12.95" customHeight="1" outlineLevel="2" x14ac:dyDescent="0.2">
      <c r="A8665" s="76" t="s">
        <v>16543</v>
      </c>
      <c r="B8665" s="76"/>
      <c r="C8665" s="77"/>
      <c r="D8665" s="58"/>
      <c r="E8665" s="68"/>
      <c r="F8665" s="13"/>
      <c r="G8665" s="13"/>
      <c r="H8665" s="13"/>
      <c r="I8665" s="13"/>
      <c r="J8665" s="13"/>
      <c r="K8665" s="13"/>
      <c r="L8665" s="13"/>
      <c r="M8665" s="13"/>
      <c r="N8665" s="13"/>
      <c r="O8665" s="13"/>
      <c r="P8665" s="13"/>
      <c r="Q8665" s="13"/>
      <c r="R8665" s="13"/>
      <c r="S8665" s="13"/>
      <c r="T8665" s="13"/>
      <c r="U8665" s="13"/>
      <c r="V8665" s="13"/>
      <c r="W8665" s="13"/>
      <c r="X8665" s="13"/>
      <c r="Y8665" s="13"/>
      <c r="Z8665" s="13"/>
    </row>
    <row r="8666" spans="1:26" ht="12.95" customHeight="1" outlineLevel="3" x14ac:dyDescent="0.2">
      <c r="A8666" s="76" t="s">
        <v>16544</v>
      </c>
      <c r="B8666" s="76"/>
      <c r="C8666" s="77"/>
      <c r="D8666" s="58"/>
      <c r="E8666" s="68"/>
      <c r="F8666" s="13"/>
      <c r="G8666" s="13"/>
      <c r="H8666" s="13"/>
      <c r="I8666" s="13"/>
      <c r="J8666" s="13"/>
      <c r="K8666" s="13"/>
      <c r="L8666" s="13"/>
      <c r="M8666" s="13"/>
      <c r="N8666" s="13"/>
      <c r="O8666" s="13"/>
      <c r="P8666" s="13"/>
      <c r="Q8666" s="13"/>
      <c r="R8666" s="13"/>
      <c r="S8666" s="13"/>
      <c r="T8666" s="13"/>
      <c r="U8666" s="13"/>
      <c r="V8666" s="13"/>
      <c r="W8666" s="13"/>
      <c r="X8666" s="13"/>
      <c r="Y8666" s="13"/>
      <c r="Z8666" s="13"/>
    </row>
    <row r="8667" spans="1:26" ht="12" customHeight="1" outlineLevel="4" x14ac:dyDescent="0.2">
      <c r="A8667" s="14" t="s">
        <v>16545</v>
      </c>
      <c r="B8667" s="26" t="s">
        <v>16546</v>
      </c>
      <c r="C8667" s="52"/>
      <c r="D8667" s="55">
        <f t="shared" si="135"/>
        <v>0</v>
      </c>
      <c r="E8667" s="63" t="str">
        <f>HYPERLINK("https://www.sds-group.ru/product/domkrat-rombicheskiy-1-5t-rexant-29817/", "Инфо")</f>
        <v>Инфо</v>
      </c>
      <c r="F8667" s="16" t="s">
        <v>39</v>
      </c>
      <c r="G8667" s="15"/>
      <c r="H8667" s="15"/>
      <c r="I8667" s="15"/>
      <c r="J8667" s="16" t="s">
        <v>100</v>
      </c>
      <c r="K8667" s="15" t="s">
        <v>1266</v>
      </c>
      <c r="L8667" s="17">
        <v>1</v>
      </c>
      <c r="M8667" s="17">
        <v>8</v>
      </c>
      <c r="N8667" s="17">
        <v>1</v>
      </c>
      <c r="O8667" s="18">
        <v>2069.8000000000002</v>
      </c>
      <c r="P8667" s="18">
        <v>1696.56</v>
      </c>
      <c r="Q8667" s="18">
        <v>1593.75</v>
      </c>
      <c r="R8667" s="18">
        <v>1306.3499999999999</v>
      </c>
      <c r="S8667" s="18">
        <v>1407.46</v>
      </c>
      <c r="T8667" s="18">
        <v>1153.6600000000001</v>
      </c>
      <c r="U8667" s="16"/>
      <c r="V8667" s="16"/>
      <c r="W8667" s="16" t="s">
        <v>40</v>
      </c>
      <c r="X8667" s="19">
        <v>2.5750000000000002</v>
      </c>
      <c r="Y8667" s="20">
        <v>5.2589999999999998E-3</v>
      </c>
      <c r="Z8667" s="21">
        <v>4601004271678</v>
      </c>
    </row>
    <row r="8668" spans="1:26" ht="12" customHeight="1" outlineLevel="4" x14ac:dyDescent="0.2">
      <c r="A8668" s="14" t="s">
        <v>16547</v>
      </c>
      <c r="B8668" s="26" t="s">
        <v>16548</v>
      </c>
      <c r="C8668" s="52"/>
      <c r="D8668" s="55">
        <f t="shared" si="135"/>
        <v>0</v>
      </c>
      <c r="E8668" s="63" t="str">
        <f>HYPERLINK("https://www.sds-group.ru/product/domkrat-rombicheskiy-1t-rexant-29816/", "Инфо")</f>
        <v>Инфо</v>
      </c>
      <c r="F8668" s="16" t="s">
        <v>39</v>
      </c>
      <c r="G8668" s="15"/>
      <c r="H8668" s="15"/>
      <c r="I8668" s="15"/>
      <c r="J8668" s="16" t="s">
        <v>100</v>
      </c>
      <c r="K8668" s="15" t="s">
        <v>1266</v>
      </c>
      <c r="L8668" s="17">
        <v>1</v>
      </c>
      <c r="M8668" s="17">
        <v>10</v>
      </c>
      <c r="N8668" s="17">
        <v>1</v>
      </c>
      <c r="O8668" s="18">
        <v>1724.83</v>
      </c>
      <c r="P8668" s="18">
        <v>1413.8</v>
      </c>
      <c r="Q8668" s="18">
        <v>1362.62</v>
      </c>
      <c r="R8668" s="18">
        <v>1116.9000000000001</v>
      </c>
      <c r="S8668" s="18">
        <v>1172.8800000000001</v>
      </c>
      <c r="T8668" s="18">
        <v>961.38</v>
      </c>
      <c r="U8668" s="16"/>
      <c r="V8668" s="16"/>
      <c r="W8668" s="16" t="s">
        <v>40</v>
      </c>
      <c r="X8668" s="19">
        <v>2.0710000000000002</v>
      </c>
      <c r="Y8668" s="20">
        <v>4.4869999999999997E-3</v>
      </c>
      <c r="Z8668" s="21">
        <v>4601004271821</v>
      </c>
    </row>
    <row r="8669" spans="1:26" ht="12" customHeight="1" outlineLevel="4" x14ac:dyDescent="0.2">
      <c r="A8669" s="14" t="s">
        <v>16549</v>
      </c>
      <c r="B8669" s="26" t="s">
        <v>16550</v>
      </c>
      <c r="C8669" s="52"/>
      <c r="D8669" s="55">
        <f t="shared" si="135"/>
        <v>0</v>
      </c>
      <c r="E8669" s="63" t="str">
        <f>HYPERLINK("https://www.sds-group.ru/product/domkrat-rombicheskiy-2t-rexant-80-0603/", "Инфо")</f>
        <v>Инфо</v>
      </c>
      <c r="F8669" s="16" t="s">
        <v>39</v>
      </c>
      <c r="G8669" s="15"/>
      <c r="H8669" s="15"/>
      <c r="I8669" s="15"/>
      <c r="J8669" s="16" t="s">
        <v>100</v>
      </c>
      <c r="K8669" s="15" t="s">
        <v>1266</v>
      </c>
      <c r="L8669" s="17">
        <v>1</v>
      </c>
      <c r="M8669" s="17">
        <v>6</v>
      </c>
      <c r="N8669" s="17">
        <v>1</v>
      </c>
      <c r="O8669" s="18">
        <v>2802.85</v>
      </c>
      <c r="P8669" s="18">
        <v>2297.42</v>
      </c>
      <c r="Q8669" s="18">
        <v>1962</v>
      </c>
      <c r="R8669" s="18">
        <v>1608.2</v>
      </c>
      <c r="S8669" s="18">
        <v>1905.94</v>
      </c>
      <c r="T8669" s="18">
        <v>1562.25</v>
      </c>
      <c r="U8669" s="16"/>
      <c r="V8669" s="16"/>
      <c r="W8669" s="16"/>
      <c r="X8669" s="19">
        <v>3.129</v>
      </c>
      <c r="Y8669" s="20">
        <v>8.1180000000000002E-3</v>
      </c>
      <c r="Z8669" s="21">
        <v>4601004271685</v>
      </c>
    </row>
    <row r="8670" spans="1:26" ht="12.95" customHeight="1" outlineLevel="3" x14ac:dyDescent="0.2">
      <c r="A8670" s="76" t="s">
        <v>16551</v>
      </c>
      <c r="B8670" s="76"/>
      <c r="C8670" s="77"/>
      <c r="D8670" s="58"/>
      <c r="E8670" s="68"/>
      <c r="F8670" s="13"/>
      <c r="G8670" s="13"/>
      <c r="H8670" s="13"/>
      <c r="I8670" s="13"/>
      <c r="J8670" s="13"/>
      <c r="K8670" s="13"/>
      <c r="L8670" s="13"/>
      <c r="M8670" s="13"/>
      <c r="N8670" s="13"/>
      <c r="O8670" s="13"/>
      <c r="P8670" s="13"/>
      <c r="Q8670" s="13"/>
      <c r="R8670" s="13"/>
      <c r="S8670" s="13"/>
      <c r="T8670" s="13"/>
      <c r="U8670" s="13"/>
      <c r="V8670" s="13"/>
      <c r="W8670" s="13"/>
      <c r="X8670" s="13"/>
      <c r="Y8670" s="13"/>
      <c r="Z8670" s="13"/>
    </row>
    <row r="8671" spans="1:26" ht="12" customHeight="1" outlineLevel="4" x14ac:dyDescent="0.2">
      <c r="A8671" s="14" t="s">
        <v>16552</v>
      </c>
      <c r="B8671" s="26" t="s">
        <v>16553</v>
      </c>
      <c r="C8671" s="52"/>
      <c r="D8671" s="55">
        <f t="shared" si="135"/>
        <v>0</v>
      </c>
      <c r="E8671" s="63" t="str">
        <f>HYPERLINK("https://www.sds-group.ru/product/domkrat-gidravlicheskiy-podkatnoy-2-5t-s-fiksatorom-rexant-80-0605/", "Инфо")</f>
        <v>Инфо</v>
      </c>
      <c r="F8671" s="16" t="s">
        <v>39</v>
      </c>
      <c r="G8671" s="15"/>
      <c r="H8671" s="15"/>
      <c r="I8671" s="15"/>
      <c r="J8671" s="17">
        <v>740</v>
      </c>
      <c r="K8671" s="15" t="s">
        <v>1650</v>
      </c>
      <c r="L8671" s="17">
        <v>1</v>
      </c>
      <c r="M8671" s="17">
        <v>1</v>
      </c>
      <c r="N8671" s="17">
        <v>1</v>
      </c>
      <c r="O8671" s="18">
        <v>9378.77</v>
      </c>
      <c r="P8671" s="18">
        <v>7687.52</v>
      </c>
      <c r="Q8671" s="18">
        <v>6565.14</v>
      </c>
      <c r="R8671" s="18">
        <v>5381.26</v>
      </c>
      <c r="S8671" s="18">
        <v>6377.56</v>
      </c>
      <c r="T8671" s="18">
        <v>5227.51</v>
      </c>
      <c r="U8671" s="16"/>
      <c r="V8671" s="16"/>
      <c r="W8671" s="16"/>
      <c r="X8671" s="19">
        <v>14.125999999999999</v>
      </c>
      <c r="Y8671" s="20">
        <v>2.2325000000000001E-2</v>
      </c>
      <c r="Z8671" s="21">
        <v>4601004271708</v>
      </c>
    </row>
    <row r="8672" spans="1:26" ht="12" customHeight="1" outlineLevel="4" x14ac:dyDescent="0.2">
      <c r="A8672" s="14" t="s">
        <v>16554</v>
      </c>
      <c r="B8672" s="26" t="s">
        <v>16555</v>
      </c>
      <c r="C8672" s="52"/>
      <c r="D8672" s="55">
        <f t="shared" si="135"/>
        <v>0</v>
      </c>
      <c r="E8672" s="63" t="str">
        <f>HYPERLINK("https://www.sds-group.ru/product/domkrat-gidravlicheskiy-podkatnoy-2t-v-keyse-rexant-80-0604/", "Инфо")</f>
        <v>Инфо</v>
      </c>
      <c r="F8672" s="16" t="s">
        <v>39</v>
      </c>
      <c r="G8672" s="15"/>
      <c r="H8672" s="15"/>
      <c r="I8672" s="15"/>
      <c r="J8672" s="16" t="s">
        <v>100</v>
      </c>
      <c r="K8672" s="15" t="s">
        <v>1650</v>
      </c>
      <c r="L8672" s="17">
        <v>1</v>
      </c>
      <c r="M8672" s="17">
        <v>1</v>
      </c>
      <c r="N8672" s="17">
        <v>1</v>
      </c>
      <c r="O8672" s="18">
        <v>5929.11</v>
      </c>
      <c r="P8672" s="18">
        <v>4859.93</v>
      </c>
      <c r="Q8672" s="18">
        <v>4150.38</v>
      </c>
      <c r="R8672" s="18">
        <v>3401.95</v>
      </c>
      <c r="S8672" s="18">
        <v>4031.79</v>
      </c>
      <c r="T8672" s="18">
        <v>3304.75</v>
      </c>
      <c r="U8672" s="16"/>
      <c r="V8672" s="16"/>
      <c r="W8672" s="16"/>
      <c r="X8672" s="19">
        <v>20.844999999999999</v>
      </c>
      <c r="Y8672" s="20">
        <v>3.8218000000000002E-2</v>
      </c>
      <c r="Z8672" s="21">
        <v>4601004271692</v>
      </c>
    </row>
    <row r="8673" spans="1:26" ht="12" customHeight="1" outlineLevel="4" x14ac:dyDescent="0.2">
      <c r="A8673" s="14" t="s">
        <v>16556</v>
      </c>
      <c r="B8673" s="26" t="s">
        <v>16557</v>
      </c>
      <c r="C8673" s="52"/>
      <c r="D8673" s="55">
        <f t="shared" si="135"/>
        <v>0</v>
      </c>
      <c r="E8673" s="63" t="str">
        <f>HYPERLINK("https://www.sds-group.ru/product/domkrat-gidravlicheskiy-podkatnoy-3t-professionalnyy-rexant-80-0608/", "Инфо")</f>
        <v>Инфо</v>
      </c>
      <c r="F8673" s="16" t="s">
        <v>39</v>
      </c>
      <c r="G8673" s="15"/>
      <c r="H8673" s="15"/>
      <c r="I8673" s="15"/>
      <c r="J8673" s="17">
        <v>110</v>
      </c>
      <c r="K8673" s="15" t="s">
        <v>1035</v>
      </c>
      <c r="L8673" s="17">
        <v>1</v>
      </c>
      <c r="M8673" s="17">
        <v>1</v>
      </c>
      <c r="N8673" s="17">
        <v>1</v>
      </c>
      <c r="O8673" s="18">
        <v>18434.14</v>
      </c>
      <c r="P8673" s="18">
        <v>15109.95</v>
      </c>
      <c r="Q8673" s="18">
        <v>12903.9</v>
      </c>
      <c r="R8673" s="18">
        <v>10576.97</v>
      </c>
      <c r="S8673" s="18">
        <v>12535.22</v>
      </c>
      <c r="T8673" s="18">
        <v>10274.77</v>
      </c>
      <c r="U8673" s="16"/>
      <c r="V8673" s="16"/>
      <c r="W8673" s="16"/>
      <c r="X8673" s="19">
        <v>32.514000000000003</v>
      </c>
      <c r="Y8673" s="20">
        <v>2.8111000000000001E-2</v>
      </c>
      <c r="Z8673" s="21">
        <v>4601004271753</v>
      </c>
    </row>
    <row r="8674" spans="1:26" ht="12" customHeight="1" outlineLevel="4" x14ac:dyDescent="0.2">
      <c r="A8674" s="14" t="s">
        <v>16558</v>
      </c>
      <c r="B8674" s="26" t="s">
        <v>16559</v>
      </c>
      <c r="C8674" s="52"/>
      <c r="D8674" s="55">
        <f t="shared" si="135"/>
        <v>0</v>
      </c>
      <c r="E8674" s="63" t="str">
        <f>HYPERLINK("https://www.sds-group.ru/product/domkrat-gidravlicheskiy-podkatnoy-3t-s-vysokim-podemom-suv-rexant-80-0606/", "Инфо")</f>
        <v>Инфо</v>
      </c>
      <c r="F8674" s="16" t="s">
        <v>39</v>
      </c>
      <c r="G8674" s="15"/>
      <c r="H8674" s="15"/>
      <c r="I8674" s="15"/>
      <c r="J8674" s="17">
        <v>49</v>
      </c>
      <c r="K8674" s="15" t="s">
        <v>1650</v>
      </c>
      <c r="L8674" s="17">
        <v>1</v>
      </c>
      <c r="M8674" s="17">
        <v>1</v>
      </c>
      <c r="N8674" s="17">
        <v>1</v>
      </c>
      <c r="O8674" s="18">
        <v>11978</v>
      </c>
      <c r="P8674" s="18">
        <v>9818.0300000000007</v>
      </c>
      <c r="Q8674" s="18">
        <v>8384.6</v>
      </c>
      <c r="R8674" s="18">
        <v>6872.62</v>
      </c>
      <c r="S8674" s="18">
        <v>8145.04</v>
      </c>
      <c r="T8674" s="18">
        <v>6676.26</v>
      </c>
      <c r="U8674" s="16"/>
      <c r="V8674" s="16"/>
      <c r="W8674" s="16"/>
      <c r="X8674" s="19">
        <v>19.917000000000002</v>
      </c>
      <c r="Y8674" s="20">
        <v>3.8643999999999998E-2</v>
      </c>
      <c r="Z8674" s="21">
        <v>4601004271715</v>
      </c>
    </row>
    <row r="8675" spans="1:26" ht="12" customHeight="1" outlineLevel="4" x14ac:dyDescent="0.2">
      <c r="A8675" s="14" t="s">
        <v>16560</v>
      </c>
      <c r="B8675" s="26" t="s">
        <v>16561</v>
      </c>
      <c r="C8675" s="52"/>
      <c r="D8675" s="55">
        <f t="shared" si="135"/>
        <v>0</v>
      </c>
      <c r="E8675" s="63" t="str">
        <f>HYPERLINK("https://www.sds-group.ru/product/domkrat-gidravlicheskiy-podkatnoy-3t-shinomontazhnyy-rexant-80-0607/", "Инфо")</f>
        <v>Инфо</v>
      </c>
      <c r="F8675" s="16" t="s">
        <v>39</v>
      </c>
      <c r="G8675" s="15"/>
      <c r="H8675" s="15"/>
      <c r="I8675" s="15"/>
      <c r="J8675" s="17">
        <v>294</v>
      </c>
      <c r="K8675" s="15" t="s">
        <v>1650</v>
      </c>
      <c r="L8675" s="17">
        <v>1</v>
      </c>
      <c r="M8675" s="17">
        <v>1</v>
      </c>
      <c r="N8675" s="17">
        <v>1</v>
      </c>
      <c r="O8675" s="18">
        <v>21776</v>
      </c>
      <c r="P8675" s="18">
        <v>17849.18</v>
      </c>
      <c r="Q8675" s="18">
        <v>15243.2</v>
      </c>
      <c r="R8675" s="18">
        <v>12494.43</v>
      </c>
      <c r="S8675" s="18">
        <v>14807.68</v>
      </c>
      <c r="T8675" s="18">
        <v>12137.44</v>
      </c>
      <c r="U8675" s="16"/>
      <c r="V8675" s="16"/>
      <c r="W8675" s="16"/>
      <c r="X8675" s="19">
        <v>36.5</v>
      </c>
      <c r="Y8675" s="20">
        <v>6.105E-2</v>
      </c>
      <c r="Z8675" s="21">
        <v>4601004271760</v>
      </c>
    </row>
    <row r="8676" spans="1:26" ht="12.95" customHeight="1" outlineLevel="3" x14ac:dyDescent="0.2">
      <c r="A8676" s="76" t="s">
        <v>16562</v>
      </c>
      <c r="B8676" s="76"/>
      <c r="C8676" s="77"/>
      <c r="D8676" s="58"/>
      <c r="E8676" s="68"/>
      <c r="F8676" s="13"/>
      <c r="G8676" s="13"/>
      <c r="H8676" s="13"/>
      <c r="I8676" s="13"/>
      <c r="J8676" s="13"/>
      <c r="K8676" s="13"/>
      <c r="L8676" s="13"/>
      <c r="M8676" s="13"/>
      <c r="N8676" s="13"/>
      <c r="O8676" s="13"/>
      <c r="P8676" s="13"/>
      <c r="Q8676" s="13"/>
      <c r="R8676" s="13"/>
      <c r="S8676" s="13"/>
      <c r="T8676" s="13"/>
      <c r="U8676" s="13"/>
      <c r="V8676" s="13"/>
      <c r="W8676" s="13"/>
      <c r="X8676" s="13"/>
      <c r="Y8676" s="13"/>
      <c r="Z8676" s="13"/>
    </row>
    <row r="8677" spans="1:26" ht="12" customHeight="1" outlineLevel="4" x14ac:dyDescent="0.2">
      <c r="A8677" s="14" t="s">
        <v>16563</v>
      </c>
      <c r="B8677" s="26" t="s">
        <v>16564</v>
      </c>
      <c r="C8677" s="52"/>
      <c r="D8677" s="55">
        <f t="shared" si="135"/>
        <v>0</v>
      </c>
      <c r="E8677" s="63" t="str">
        <f>HYPERLINK("https://www.sds-group.ru/product/domkrat-gidravlicheskiy-butylochnyy-10t-rexant-80-0613/", "Инфо")</f>
        <v>Инфо</v>
      </c>
      <c r="F8677" s="16" t="s">
        <v>39</v>
      </c>
      <c r="G8677" s="15"/>
      <c r="H8677" s="15"/>
      <c r="I8677" s="15"/>
      <c r="J8677" s="17">
        <v>60</v>
      </c>
      <c r="K8677" s="15" t="s">
        <v>1266</v>
      </c>
      <c r="L8677" s="17">
        <v>1</v>
      </c>
      <c r="M8677" s="17">
        <v>4</v>
      </c>
      <c r="N8677" s="17">
        <v>1</v>
      </c>
      <c r="O8677" s="18">
        <v>3762.29</v>
      </c>
      <c r="P8677" s="18">
        <v>3083.84</v>
      </c>
      <c r="Q8677" s="18">
        <v>2633.6</v>
      </c>
      <c r="R8677" s="18">
        <v>2158.69</v>
      </c>
      <c r="S8677" s="18">
        <v>2558.36</v>
      </c>
      <c r="T8677" s="18">
        <v>2097.02</v>
      </c>
      <c r="U8677" s="16"/>
      <c r="V8677" s="16"/>
      <c r="W8677" s="16"/>
      <c r="X8677" s="19">
        <v>5.5860000000000003</v>
      </c>
      <c r="Y8677" s="20">
        <v>5.9329999999999999E-3</v>
      </c>
      <c r="Z8677" s="21">
        <v>4601004271777</v>
      </c>
    </row>
    <row r="8678" spans="1:26" ht="12" customHeight="1" outlineLevel="4" x14ac:dyDescent="0.2">
      <c r="A8678" s="14" t="s">
        <v>16565</v>
      </c>
      <c r="B8678" s="26" t="s">
        <v>16566</v>
      </c>
      <c r="C8678" s="52"/>
      <c r="D8678" s="55">
        <f t="shared" si="135"/>
        <v>0</v>
      </c>
      <c r="E8678" s="63" t="str">
        <f>HYPERLINK("https://www.sds-group.ru/product/domkrat-gidravlicheskiy-butylochnyy-12t-rexant-80-0614/", "Инфо")</f>
        <v>Инфо</v>
      </c>
      <c r="F8678" s="16" t="s">
        <v>39</v>
      </c>
      <c r="G8678" s="15"/>
      <c r="H8678" s="15"/>
      <c r="I8678" s="15"/>
      <c r="J8678" s="16" t="s">
        <v>100</v>
      </c>
      <c r="K8678" s="15" t="s">
        <v>1266</v>
      </c>
      <c r="L8678" s="17">
        <v>1</v>
      </c>
      <c r="M8678" s="17">
        <v>4</v>
      </c>
      <c r="N8678" s="17">
        <v>1</v>
      </c>
      <c r="O8678" s="18">
        <v>4664</v>
      </c>
      <c r="P8678" s="18">
        <v>3822.95</v>
      </c>
      <c r="Q8678" s="18">
        <v>3264.8</v>
      </c>
      <c r="R8678" s="18">
        <v>2676.07</v>
      </c>
      <c r="S8678" s="18">
        <v>3171.52</v>
      </c>
      <c r="T8678" s="18">
        <v>2599.61</v>
      </c>
      <c r="U8678" s="16"/>
      <c r="V8678" s="16"/>
      <c r="W8678" s="16"/>
      <c r="X8678" s="19">
        <v>6.6449999999999996</v>
      </c>
      <c r="Y8678" s="20">
        <v>6.1879999999999999E-3</v>
      </c>
      <c r="Z8678" s="21">
        <v>4601004271814</v>
      </c>
    </row>
    <row r="8679" spans="1:26" ht="12" customHeight="1" outlineLevel="4" x14ac:dyDescent="0.2">
      <c r="A8679" s="14" t="s">
        <v>16567</v>
      </c>
      <c r="B8679" s="26" t="s">
        <v>16568</v>
      </c>
      <c r="C8679" s="52"/>
      <c r="D8679" s="55">
        <f t="shared" si="135"/>
        <v>0</v>
      </c>
      <c r="E8679" s="63" t="str">
        <f>HYPERLINK("https://www.sds-group.ru/product/domkrat-gidravlicheskiy-butylochnyy-15t-rexant-80-0615/", "Инфо")</f>
        <v>Инфо</v>
      </c>
      <c r="F8679" s="16" t="s">
        <v>39</v>
      </c>
      <c r="G8679" s="15"/>
      <c r="H8679" s="15"/>
      <c r="I8679" s="15"/>
      <c r="J8679" s="17">
        <v>278</v>
      </c>
      <c r="K8679" s="15" t="s">
        <v>1266</v>
      </c>
      <c r="L8679" s="17">
        <v>1</v>
      </c>
      <c r="M8679" s="17">
        <v>2</v>
      </c>
      <c r="N8679" s="17">
        <v>1</v>
      </c>
      <c r="O8679" s="18">
        <v>4743.29</v>
      </c>
      <c r="P8679" s="18">
        <v>3887.94</v>
      </c>
      <c r="Q8679" s="18">
        <v>3320.3</v>
      </c>
      <c r="R8679" s="18">
        <v>2721.56</v>
      </c>
      <c r="S8679" s="18">
        <v>3225.44</v>
      </c>
      <c r="T8679" s="18">
        <v>2643.8</v>
      </c>
      <c r="U8679" s="16"/>
      <c r="V8679" s="16"/>
      <c r="W8679" s="16"/>
      <c r="X8679" s="19">
        <v>7.5250000000000004</v>
      </c>
      <c r="Y8679" s="20">
        <v>6.3639999999999999E-3</v>
      </c>
      <c r="Z8679" s="21">
        <v>4601004271722</v>
      </c>
    </row>
    <row r="8680" spans="1:26" ht="12" customHeight="1" outlineLevel="4" x14ac:dyDescent="0.2">
      <c r="A8680" s="14" t="s">
        <v>16569</v>
      </c>
      <c r="B8680" s="26" t="s">
        <v>16570</v>
      </c>
      <c r="C8680" s="52"/>
      <c r="D8680" s="55">
        <f t="shared" si="135"/>
        <v>0</v>
      </c>
      <c r="E8680" s="63" t="str">
        <f>HYPERLINK("https://www.sds-group.ru/product/domkrat-gidravlicheskiy-butylochnyy-20t-rexant-80-0616/", "Инфо")</f>
        <v>Инфо</v>
      </c>
      <c r="F8680" s="16" t="s">
        <v>39</v>
      </c>
      <c r="G8680" s="15"/>
      <c r="H8680" s="15"/>
      <c r="I8680" s="15"/>
      <c r="J8680" s="17">
        <v>274</v>
      </c>
      <c r="K8680" s="15" t="s">
        <v>1266</v>
      </c>
      <c r="L8680" s="17">
        <v>1</v>
      </c>
      <c r="M8680" s="17">
        <v>2</v>
      </c>
      <c r="N8680" s="17">
        <v>1</v>
      </c>
      <c r="O8680" s="18">
        <v>6519</v>
      </c>
      <c r="P8680" s="18">
        <v>5343.44</v>
      </c>
      <c r="Q8680" s="18">
        <v>4563.3</v>
      </c>
      <c r="R8680" s="18">
        <v>3740.41</v>
      </c>
      <c r="S8680" s="18">
        <v>4432.92</v>
      </c>
      <c r="T8680" s="18">
        <v>3633.54</v>
      </c>
      <c r="U8680" s="16"/>
      <c r="V8680" s="16"/>
      <c r="W8680" s="16"/>
      <c r="X8680" s="19">
        <v>10.103999999999999</v>
      </c>
      <c r="Y8680" s="20">
        <v>8.6899999999999998E-3</v>
      </c>
      <c r="Z8680" s="21">
        <v>4601004271807</v>
      </c>
    </row>
    <row r="8681" spans="1:26" ht="12" customHeight="1" outlineLevel="4" x14ac:dyDescent="0.2">
      <c r="A8681" s="14" t="s">
        <v>16571</v>
      </c>
      <c r="B8681" s="26" t="s">
        <v>16572</v>
      </c>
      <c r="C8681" s="52"/>
      <c r="D8681" s="55">
        <f t="shared" si="135"/>
        <v>0</v>
      </c>
      <c r="E8681" s="63" t="str">
        <f>HYPERLINK("https://www.sds-group.ru/product/domkrat-gidravlicheskiy-butylochnyy-25t-rexant-80-0617/", "Инфо")</f>
        <v>Инфо</v>
      </c>
      <c r="F8681" s="16" t="s">
        <v>39</v>
      </c>
      <c r="G8681" s="15"/>
      <c r="H8681" s="15"/>
      <c r="I8681" s="15"/>
      <c r="J8681" s="17">
        <v>18</v>
      </c>
      <c r="K8681" s="15" t="s">
        <v>6434</v>
      </c>
      <c r="L8681" s="17">
        <v>1</v>
      </c>
      <c r="M8681" s="17">
        <v>1</v>
      </c>
      <c r="N8681" s="17">
        <v>1</v>
      </c>
      <c r="O8681" s="18">
        <v>8268</v>
      </c>
      <c r="P8681" s="18">
        <v>6777.05</v>
      </c>
      <c r="Q8681" s="18">
        <v>5787.6</v>
      </c>
      <c r="R8681" s="18">
        <v>4743.93</v>
      </c>
      <c r="S8681" s="18">
        <v>5622.24</v>
      </c>
      <c r="T8681" s="18">
        <v>4608.3900000000003</v>
      </c>
      <c r="U8681" s="16"/>
      <c r="V8681" s="16"/>
      <c r="W8681" s="16"/>
      <c r="X8681" s="19">
        <v>12.565</v>
      </c>
      <c r="Y8681" s="20">
        <v>1.1812E-2</v>
      </c>
      <c r="Z8681" s="21">
        <v>4601004271784</v>
      </c>
    </row>
    <row r="8682" spans="1:26" ht="12" customHeight="1" outlineLevel="4" x14ac:dyDescent="0.2">
      <c r="A8682" s="14" t="s">
        <v>16573</v>
      </c>
      <c r="B8682" s="26" t="s">
        <v>16574</v>
      </c>
      <c r="C8682" s="52"/>
      <c r="D8682" s="55">
        <f t="shared" si="135"/>
        <v>0</v>
      </c>
      <c r="E8682" s="63" t="str">
        <f>HYPERLINK("https://www.sds-group.ru/product/domkrat-gidravlicheskiy-butylochnyy-3t-rexant-80-0609/", "Инфо")</f>
        <v>Инфо</v>
      </c>
      <c r="F8682" s="16" t="s">
        <v>39</v>
      </c>
      <c r="G8682" s="15"/>
      <c r="H8682" s="15"/>
      <c r="I8682" s="15"/>
      <c r="J8682" s="17">
        <v>141</v>
      </c>
      <c r="K8682" s="15" t="s">
        <v>6434</v>
      </c>
      <c r="L8682" s="17">
        <v>1</v>
      </c>
      <c r="M8682" s="17">
        <v>5</v>
      </c>
      <c r="N8682" s="17">
        <v>1</v>
      </c>
      <c r="O8682" s="18">
        <v>2242.2800000000002</v>
      </c>
      <c r="P8682" s="18">
        <v>1837.93</v>
      </c>
      <c r="Q8682" s="18">
        <v>1569.6</v>
      </c>
      <c r="R8682" s="18">
        <v>1286.56</v>
      </c>
      <c r="S8682" s="18">
        <v>1524.75</v>
      </c>
      <c r="T8682" s="18">
        <v>1249.8</v>
      </c>
      <c r="U8682" s="16"/>
      <c r="V8682" s="16"/>
      <c r="W8682" s="16"/>
      <c r="X8682" s="19">
        <v>3.1230000000000002</v>
      </c>
      <c r="Y8682" s="20">
        <v>3.3830000000000002E-3</v>
      </c>
      <c r="Z8682" s="21">
        <v>4601004271746</v>
      </c>
    </row>
    <row r="8683" spans="1:26" ht="12" customHeight="1" outlineLevel="4" x14ac:dyDescent="0.2">
      <c r="A8683" s="14" t="s">
        <v>16575</v>
      </c>
      <c r="B8683" s="26" t="s">
        <v>16576</v>
      </c>
      <c r="C8683" s="52"/>
      <c r="D8683" s="55">
        <f t="shared" si="135"/>
        <v>0</v>
      </c>
      <c r="E8683" s="63" t="str">
        <f>HYPERLINK("https://www.sds-group.ru/product/domkrat-gidravlicheskiy-butylochnyy-50t-rexant-80-0618/", "Инфо")</f>
        <v>Инфо</v>
      </c>
      <c r="F8683" s="16" t="s">
        <v>39</v>
      </c>
      <c r="G8683" s="15"/>
      <c r="H8683" s="15"/>
      <c r="I8683" s="15"/>
      <c r="J8683" s="16" t="s">
        <v>100</v>
      </c>
      <c r="K8683" s="15" t="s">
        <v>1266</v>
      </c>
      <c r="L8683" s="17">
        <v>1</v>
      </c>
      <c r="M8683" s="17">
        <v>1</v>
      </c>
      <c r="N8683" s="17">
        <v>1</v>
      </c>
      <c r="O8683" s="18">
        <v>13356</v>
      </c>
      <c r="P8683" s="18">
        <v>10947.54</v>
      </c>
      <c r="Q8683" s="18">
        <v>9749.8799999999992</v>
      </c>
      <c r="R8683" s="18">
        <v>7991.7</v>
      </c>
      <c r="S8683" s="18">
        <v>9082.08</v>
      </c>
      <c r="T8683" s="18">
        <v>7444.33</v>
      </c>
      <c r="U8683" s="16"/>
      <c r="V8683" s="16"/>
      <c r="W8683" s="16" t="s">
        <v>40</v>
      </c>
      <c r="X8683" s="19">
        <v>18.689</v>
      </c>
      <c r="Y8683" s="20">
        <v>1.4808999999999999E-2</v>
      </c>
      <c r="Z8683" s="21">
        <v>4601004271739</v>
      </c>
    </row>
    <row r="8684" spans="1:26" ht="12" customHeight="1" outlineLevel="4" x14ac:dyDescent="0.2">
      <c r="A8684" s="14" t="s">
        <v>16577</v>
      </c>
      <c r="B8684" s="26" t="s">
        <v>16578</v>
      </c>
      <c r="C8684" s="52"/>
      <c r="D8684" s="55">
        <f t="shared" si="135"/>
        <v>0</v>
      </c>
      <c r="E8684" s="63" t="str">
        <f>HYPERLINK("https://www.sds-group.ru/product/domkrat-gidravlicheskiy-butylochnyy-5t-v-plastikovom-keyse-rexant-80-0611/", "Инфо")</f>
        <v>Инфо</v>
      </c>
      <c r="F8684" s="16" t="s">
        <v>39</v>
      </c>
      <c r="G8684" s="15"/>
      <c r="H8684" s="15"/>
      <c r="I8684" s="15"/>
      <c r="J8684" s="17">
        <v>204</v>
      </c>
      <c r="K8684" s="15" t="s">
        <v>1266</v>
      </c>
      <c r="L8684" s="17">
        <v>1</v>
      </c>
      <c r="M8684" s="17">
        <v>5</v>
      </c>
      <c r="N8684" s="17">
        <v>1</v>
      </c>
      <c r="O8684" s="18">
        <v>2957.4</v>
      </c>
      <c r="P8684" s="18">
        <v>2424.1</v>
      </c>
      <c r="Q8684" s="18">
        <v>2070.1799999999998</v>
      </c>
      <c r="R8684" s="18">
        <v>1696.87</v>
      </c>
      <c r="S8684" s="18">
        <v>2011.03</v>
      </c>
      <c r="T8684" s="18">
        <v>1648.39</v>
      </c>
      <c r="U8684" s="16"/>
      <c r="V8684" s="16"/>
      <c r="W8684" s="16"/>
      <c r="X8684" s="19">
        <v>4.7149999999999999</v>
      </c>
      <c r="Y8684" s="20">
        <v>8.8509999999999995E-3</v>
      </c>
      <c r="Z8684" s="21">
        <v>4601004271791</v>
      </c>
    </row>
    <row r="8685" spans="1:26" ht="12" customHeight="1" outlineLevel="4" x14ac:dyDescent="0.2">
      <c r="A8685" s="14" t="s">
        <v>16579</v>
      </c>
      <c r="B8685" s="26" t="s">
        <v>16580</v>
      </c>
      <c r="C8685" s="52"/>
      <c r="D8685" s="55">
        <f t="shared" si="135"/>
        <v>0</v>
      </c>
      <c r="E8685" s="63" t="str">
        <f>HYPERLINK("https://www.sds-group.ru/product/domkrat-gidravlicheskiy-butylochnyy-8t-rexant-80-0612/", "Инфо")</f>
        <v>Инфо</v>
      </c>
      <c r="F8685" s="16" t="s">
        <v>39</v>
      </c>
      <c r="G8685" s="15"/>
      <c r="H8685" s="15"/>
      <c r="I8685" s="15"/>
      <c r="J8685" s="16" t="s">
        <v>100</v>
      </c>
      <c r="K8685" s="15" t="s">
        <v>1266</v>
      </c>
      <c r="L8685" s="17">
        <v>1</v>
      </c>
      <c r="M8685" s="17">
        <v>4</v>
      </c>
      <c r="N8685" s="17">
        <v>1</v>
      </c>
      <c r="O8685" s="18">
        <v>3529.8</v>
      </c>
      <c r="P8685" s="18">
        <v>2893.28</v>
      </c>
      <c r="Q8685" s="18">
        <v>2470.86</v>
      </c>
      <c r="R8685" s="18">
        <v>2025.3</v>
      </c>
      <c r="S8685" s="18">
        <v>2400.2600000000002</v>
      </c>
      <c r="T8685" s="18">
        <v>1967.43</v>
      </c>
      <c r="U8685" s="16"/>
      <c r="V8685" s="16"/>
      <c r="W8685" s="16"/>
      <c r="X8685" s="19">
        <v>5.173</v>
      </c>
      <c r="Y8685" s="20">
        <v>6.8859999999999998E-3</v>
      </c>
      <c r="Z8685" s="21">
        <v>4601004271845</v>
      </c>
    </row>
    <row r="8686" spans="1:26" ht="12.95" customHeight="1" outlineLevel="3" x14ac:dyDescent="0.2">
      <c r="A8686" s="76" t="s">
        <v>16581</v>
      </c>
      <c r="B8686" s="76"/>
      <c r="C8686" s="77"/>
      <c r="D8686" s="58"/>
      <c r="E8686" s="68"/>
      <c r="F8686" s="13"/>
      <c r="G8686" s="13"/>
      <c r="H8686" s="13"/>
      <c r="I8686" s="13"/>
      <c r="J8686" s="13"/>
      <c r="K8686" s="13"/>
      <c r="L8686" s="13"/>
      <c r="M8686" s="13"/>
      <c r="N8686" s="13"/>
      <c r="O8686" s="13"/>
      <c r="P8686" s="13"/>
      <c r="Q8686" s="13"/>
      <c r="R8686" s="13"/>
      <c r="S8686" s="13"/>
      <c r="T8686" s="13"/>
      <c r="U8686" s="13"/>
      <c r="V8686" s="13"/>
      <c r="W8686" s="13"/>
      <c r="X8686" s="13"/>
      <c r="Y8686" s="13"/>
      <c r="Z8686" s="13"/>
    </row>
    <row r="8687" spans="1:26" ht="12" customHeight="1" outlineLevel="4" x14ac:dyDescent="0.2">
      <c r="A8687" s="14" t="s">
        <v>16582</v>
      </c>
      <c r="B8687" s="26" t="s">
        <v>16583</v>
      </c>
      <c r="C8687" s="52"/>
      <c r="D8687" s="55">
        <f t="shared" si="135"/>
        <v>0</v>
      </c>
      <c r="E8687" s="63" t="str">
        <f>HYPERLINK("https://www.sds-group.ru/product/podstavki-pod-mashinu-reguliruemye-2t-2-sht-rexant-80-0619/", "Инфо")</f>
        <v>Инфо</v>
      </c>
      <c r="F8687" s="16" t="s">
        <v>974</v>
      </c>
      <c r="G8687" s="15"/>
      <c r="H8687" s="15"/>
      <c r="I8687" s="15"/>
      <c r="J8687" s="22">
        <v>1240</v>
      </c>
      <c r="K8687" s="15" t="s">
        <v>1650</v>
      </c>
      <c r="L8687" s="17">
        <v>1</v>
      </c>
      <c r="M8687" s="17">
        <v>2</v>
      </c>
      <c r="N8687" s="17">
        <v>1</v>
      </c>
      <c r="O8687" s="18">
        <v>3582.8</v>
      </c>
      <c r="P8687" s="18">
        <v>2936.72</v>
      </c>
      <c r="Q8687" s="18">
        <v>2507.96</v>
      </c>
      <c r="R8687" s="18">
        <v>2055.6999999999998</v>
      </c>
      <c r="S8687" s="18">
        <v>2436.3000000000002</v>
      </c>
      <c r="T8687" s="18">
        <v>1996.97</v>
      </c>
      <c r="U8687" s="16"/>
      <c r="V8687" s="16"/>
      <c r="W8687" s="16"/>
      <c r="X8687" s="19">
        <v>5.585</v>
      </c>
      <c r="Y8687" s="20">
        <v>1.5658999999999999E-2</v>
      </c>
      <c r="Z8687" s="21">
        <v>4601004271838</v>
      </c>
    </row>
    <row r="8688" spans="1:26" ht="12" customHeight="1" outlineLevel="4" x14ac:dyDescent="0.2">
      <c r="A8688" s="14" t="s">
        <v>16584</v>
      </c>
      <c r="B8688" s="26" t="s">
        <v>16585</v>
      </c>
      <c r="C8688" s="52"/>
      <c r="D8688" s="55">
        <f t="shared" si="135"/>
        <v>0</v>
      </c>
      <c r="E8688" s="63" t="str">
        <f>HYPERLINK("https://www.sds-group.ru/product/podstavki-pod-mashinu-reguliruemye-3t-2-sht-rexant-80-0620/", "Инфо")</f>
        <v>Инфо</v>
      </c>
      <c r="F8688" s="16" t="s">
        <v>974</v>
      </c>
      <c r="G8688" s="15"/>
      <c r="H8688" s="15"/>
      <c r="I8688" s="15"/>
      <c r="J8688" s="17">
        <v>680</v>
      </c>
      <c r="K8688" s="15"/>
      <c r="L8688" s="17">
        <v>1</v>
      </c>
      <c r="M8688" s="17">
        <v>2</v>
      </c>
      <c r="N8688" s="17">
        <v>1</v>
      </c>
      <c r="O8688" s="18">
        <v>4505</v>
      </c>
      <c r="P8688" s="18">
        <v>3692.62</v>
      </c>
      <c r="Q8688" s="18">
        <v>3153.5</v>
      </c>
      <c r="R8688" s="18">
        <v>2584.84</v>
      </c>
      <c r="S8688" s="18">
        <v>3063.4</v>
      </c>
      <c r="T8688" s="18">
        <v>2510.98</v>
      </c>
      <c r="U8688" s="16"/>
      <c r="V8688" s="16"/>
      <c r="W8688" s="16"/>
      <c r="X8688" s="19">
        <v>7.2050000000000001</v>
      </c>
      <c r="Y8688" s="20">
        <v>1.7316999999999999E-2</v>
      </c>
      <c r="Z8688" s="21">
        <v>4601004271852</v>
      </c>
    </row>
    <row r="8689" spans="1:26" ht="12.95" customHeight="1" outlineLevel="2" x14ac:dyDescent="0.2">
      <c r="A8689" s="76" t="s">
        <v>16586</v>
      </c>
      <c r="B8689" s="76"/>
      <c r="C8689" s="77"/>
      <c r="D8689" s="58"/>
      <c r="E8689" s="68"/>
      <c r="F8689" s="13"/>
      <c r="G8689" s="13"/>
      <c r="H8689" s="13"/>
      <c r="I8689" s="13"/>
      <c r="J8689" s="13"/>
      <c r="K8689" s="13"/>
      <c r="L8689" s="13"/>
      <c r="M8689" s="13"/>
      <c r="N8689" s="13"/>
      <c r="O8689" s="13"/>
      <c r="P8689" s="13"/>
      <c r="Q8689" s="13"/>
      <c r="R8689" s="13"/>
      <c r="S8689" s="13"/>
      <c r="T8689" s="13"/>
      <c r="U8689" s="13"/>
      <c r="V8689" s="13"/>
      <c r="W8689" s="13"/>
      <c r="X8689" s="13"/>
      <c r="Y8689" s="13"/>
      <c r="Z8689" s="13"/>
    </row>
    <row r="8690" spans="1:26" ht="12.95" customHeight="1" outlineLevel="3" x14ac:dyDescent="0.2">
      <c r="A8690" s="76" t="s">
        <v>16587</v>
      </c>
      <c r="B8690" s="76"/>
      <c r="C8690" s="77"/>
      <c r="D8690" s="58"/>
      <c r="E8690" s="68"/>
      <c r="F8690" s="13"/>
      <c r="G8690" s="13"/>
      <c r="H8690" s="13"/>
      <c r="I8690" s="13"/>
      <c r="J8690" s="13"/>
      <c r="K8690" s="13"/>
      <c r="L8690" s="13"/>
      <c r="M8690" s="13"/>
      <c r="N8690" s="13"/>
      <c r="O8690" s="13"/>
      <c r="P8690" s="13"/>
      <c r="Q8690" s="13"/>
      <c r="R8690" s="13"/>
      <c r="S8690" s="13"/>
      <c r="T8690" s="13"/>
      <c r="U8690" s="13"/>
      <c r="V8690" s="13"/>
      <c r="W8690" s="13"/>
      <c r="X8690" s="13"/>
      <c r="Y8690" s="13"/>
      <c r="Z8690" s="13"/>
    </row>
    <row r="8691" spans="1:26" ht="12" customHeight="1" outlineLevel="4" x14ac:dyDescent="0.2">
      <c r="A8691" s="14" t="s">
        <v>16588</v>
      </c>
      <c r="B8691" s="26" t="s">
        <v>16589</v>
      </c>
      <c r="C8691" s="52"/>
      <c r="D8691" s="55">
        <f t="shared" si="135"/>
        <v>0</v>
      </c>
      <c r="E8691" s="63" t="str">
        <f>HYPERLINK("https://www.sds-group.ru/product/derzhatel-predohranitelya-tip-vilochnyy-krasnyy-1-sht-paket-bopp-proconnect-16-0421-4-9/", "Инфо")</f>
        <v>Инфо</v>
      </c>
      <c r="F8691" s="16" t="s">
        <v>39</v>
      </c>
      <c r="G8691" s="15"/>
      <c r="H8691" s="15"/>
      <c r="I8691" s="15"/>
      <c r="J8691" s="17">
        <v>896</v>
      </c>
      <c r="K8691" s="15"/>
      <c r="L8691" s="17">
        <v>10</v>
      </c>
      <c r="M8691" s="17">
        <v>100</v>
      </c>
      <c r="N8691" s="17">
        <v>10</v>
      </c>
      <c r="O8691" s="18">
        <v>94.87</v>
      </c>
      <c r="P8691" s="18">
        <v>77.760000000000005</v>
      </c>
      <c r="Q8691" s="18">
        <v>80.64</v>
      </c>
      <c r="R8691" s="18">
        <v>66.099999999999994</v>
      </c>
      <c r="S8691" s="18">
        <v>64.510000000000005</v>
      </c>
      <c r="T8691" s="18">
        <v>52.88</v>
      </c>
      <c r="U8691" s="16"/>
      <c r="V8691" s="16"/>
      <c r="W8691" s="16" t="s">
        <v>40</v>
      </c>
      <c r="X8691" s="19">
        <v>2.5000000000000001E-2</v>
      </c>
      <c r="Y8691" s="20">
        <v>1.9100000000000001E-4</v>
      </c>
      <c r="Z8691" s="21">
        <v>4601004103177</v>
      </c>
    </row>
    <row r="8692" spans="1:26" ht="12.95" customHeight="1" outlineLevel="3" x14ac:dyDescent="0.2">
      <c r="A8692" s="76" t="s">
        <v>16590</v>
      </c>
      <c r="B8692" s="76"/>
      <c r="C8692" s="77"/>
      <c r="D8692" s="58"/>
      <c r="E8692" s="68"/>
      <c r="F8692" s="13"/>
      <c r="G8692" s="13"/>
      <c r="H8692" s="13"/>
      <c r="I8692" s="13"/>
      <c r="J8692" s="13"/>
      <c r="K8692" s="13"/>
      <c r="L8692" s="13"/>
      <c r="M8692" s="13"/>
      <c r="N8692" s="13"/>
      <c r="O8692" s="13"/>
      <c r="P8692" s="13"/>
      <c r="Q8692" s="13"/>
      <c r="R8692" s="13"/>
      <c r="S8692" s="13"/>
      <c r="T8692" s="13"/>
      <c r="U8692" s="13"/>
      <c r="V8692" s="13"/>
      <c r="W8692" s="13"/>
      <c r="X8692" s="13"/>
      <c r="Y8692" s="13"/>
      <c r="Z8692" s="13"/>
    </row>
    <row r="8693" spans="1:26" ht="12" customHeight="1" outlineLevel="4" x14ac:dyDescent="0.2">
      <c r="A8693" s="32" t="s">
        <v>16591</v>
      </c>
      <c r="B8693" s="74" t="s">
        <v>16592</v>
      </c>
      <c r="C8693" s="50"/>
      <c r="D8693" s="53">
        <f t="shared" si="135"/>
        <v>0</v>
      </c>
      <c r="E8693" s="60" t="str">
        <f>HYPERLINK("https://www.sds-group.ru/product/zazhim-krokodil-v-izolyatore-dlina-40mm-tok-5a-2-sht-paket-bopp-rexant-16-0001-9/", "Инфо")</f>
        <v>Инфо</v>
      </c>
      <c r="F8693" s="34" t="s">
        <v>1001</v>
      </c>
      <c r="G8693" s="33"/>
      <c r="H8693" s="33" t="s">
        <v>40</v>
      </c>
      <c r="I8693" s="33"/>
      <c r="J8693" s="39">
        <v>1148</v>
      </c>
      <c r="K8693" s="33"/>
      <c r="L8693" s="35">
        <v>1</v>
      </c>
      <c r="M8693" s="39">
        <v>1250</v>
      </c>
      <c r="N8693" s="35">
        <v>1</v>
      </c>
      <c r="O8693" s="36">
        <v>18.329999999999998</v>
      </c>
      <c r="P8693" s="36">
        <v>15.02</v>
      </c>
      <c r="Q8693" s="36">
        <v>15.58</v>
      </c>
      <c r="R8693" s="36">
        <v>12.77</v>
      </c>
      <c r="S8693" s="36">
        <v>12.46</v>
      </c>
      <c r="T8693" s="36">
        <v>10.210000000000001</v>
      </c>
      <c r="U8693" s="34"/>
      <c r="V8693" s="34"/>
      <c r="W8693" s="34" t="s">
        <v>40</v>
      </c>
      <c r="X8693" s="37">
        <v>4.0000000000000001E-3</v>
      </c>
      <c r="Y8693" s="38">
        <v>2.8E-5</v>
      </c>
      <c r="Z8693" s="21">
        <v>4601004048522</v>
      </c>
    </row>
    <row r="8694" spans="1:26" ht="12" customHeight="1" outlineLevel="4" x14ac:dyDescent="0.2">
      <c r="A8694" s="32" t="s">
        <v>16593</v>
      </c>
      <c r="B8694" s="74" t="s">
        <v>16594</v>
      </c>
      <c r="C8694" s="50"/>
      <c r="D8694" s="53">
        <f t="shared" si="135"/>
        <v>0</v>
      </c>
      <c r="E8694" s="60" t="str">
        <f>HYPERLINK("https://www.sds-group.ru/product/zazhim-krokodil-v-izolyatore-dlina-46mm-tok-5a-2-sht-paket-bopp-rexant-16-0002-9/", "Инфо")</f>
        <v>Инфо</v>
      </c>
      <c r="F8694" s="34" t="s">
        <v>1001</v>
      </c>
      <c r="G8694" s="33"/>
      <c r="H8694" s="33" t="s">
        <v>40</v>
      </c>
      <c r="I8694" s="33"/>
      <c r="J8694" s="34" t="s">
        <v>100</v>
      </c>
      <c r="K8694" s="33"/>
      <c r="L8694" s="35">
        <v>1</v>
      </c>
      <c r="M8694" s="39">
        <v>1250</v>
      </c>
      <c r="N8694" s="35">
        <v>1</v>
      </c>
      <c r="O8694" s="36">
        <v>15.9</v>
      </c>
      <c r="P8694" s="36">
        <v>13.03</v>
      </c>
      <c r="Q8694" s="36">
        <v>11.13</v>
      </c>
      <c r="R8694" s="36">
        <v>9.1199999999999992</v>
      </c>
      <c r="S8694" s="36">
        <v>10.81</v>
      </c>
      <c r="T8694" s="36">
        <v>8.86</v>
      </c>
      <c r="U8694" s="34"/>
      <c r="V8694" s="34"/>
      <c r="W8694" s="34"/>
      <c r="X8694" s="37">
        <v>5.0000000000000001E-3</v>
      </c>
      <c r="Y8694" s="38">
        <v>2.8E-5</v>
      </c>
      <c r="Z8694" s="21">
        <v>4601004048652</v>
      </c>
    </row>
    <row r="8695" spans="1:26" ht="12" customHeight="1" outlineLevel="4" x14ac:dyDescent="0.2">
      <c r="A8695" s="14" t="s">
        <v>16595</v>
      </c>
      <c r="B8695" s="26" t="s">
        <v>16596</v>
      </c>
      <c r="C8695" s="52"/>
      <c r="D8695" s="55">
        <f t="shared" si="135"/>
        <v>0</v>
      </c>
      <c r="E8695" s="63" t="str">
        <f>HYPERLINK("https://www.sds-group.ru/product/zazhim-krokodil-v-izolyatore-dlina-75mm-tok-30a-2-sht-paket-bopp-rexant-16-0016-9/", "Инфо")</f>
        <v>Инфо</v>
      </c>
      <c r="F8695" s="16" t="s">
        <v>1001</v>
      </c>
      <c r="G8695" s="15"/>
      <c r="H8695" s="15"/>
      <c r="I8695" s="15"/>
      <c r="J8695" s="17">
        <v>40</v>
      </c>
      <c r="K8695" s="15" t="s">
        <v>1094</v>
      </c>
      <c r="L8695" s="17">
        <v>10</v>
      </c>
      <c r="M8695" s="17">
        <v>500</v>
      </c>
      <c r="N8695" s="17">
        <v>10</v>
      </c>
      <c r="O8695" s="18">
        <v>80.849999999999994</v>
      </c>
      <c r="P8695" s="18">
        <v>66.27</v>
      </c>
      <c r="Q8695" s="18">
        <v>68.72</v>
      </c>
      <c r="R8695" s="18">
        <v>56.33</v>
      </c>
      <c r="S8695" s="18">
        <v>54.98</v>
      </c>
      <c r="T8695" s="18">
        <v>45.07</v>
      </c>
      <c r="U8695" s="16"/>
      <c r="V8695" s="16"/>
      <c r="W8695" s="16" t="s">
        <v>40</v>
      </c>
      <c r="X8695" s="19">
        <v>3.9E-2</v>
      </c>
      <c r="Y8695" s="20">
        <v>1.2300000000000001E-4</v>
      </c>
      <c r="Z8695" s="21">
        <v>4601004073517</v>
      </c>
    </row>
    <row r="8696" spans="1:26" ht="12" customHeight="1" outlineLevel="4" x14ac:dyDescent="0.2">
      <c r="A8696" s="14" t="s">
        <v>16597</v>
      </c>
      <c r="B8696" s="26" t="s">
        <v>16598</v>
      </c>
      <c r="C8696" s="52"/>
      <c r="D8696" s="55">
        <f t="shared" si="135"/>
        <v>0</v>
      </c>
      <c r="E8696" s="63" t="str">
        <f>HYPERLINK("https://www.sds-group.ru/product/zazhim-krokodil-dlina-75mm-tok-30a-2-sht-paket-bopp-rexant-16-0015-9/", "Инфо")</f>
        <v>Инфо</v>
      </c>
      <c r="F8696" s="16" t="s">
        <v>1001</v>
      </c>
      <c r="G8696" s="15"/>
      <c r="H8696" s="15"/>
      <c r="I8696" s="15"/>
      <c r="J8696" s="16" t="s">
        <v>100</v>
      </c>
      <c r="K8696" s="15" t="s">
        <v>925</v>
      </c>
      <c r="L8696" s="17">
        <v>10</v>
      </c>
      <c r="M8696" s="17">
        <v>700</v>
      </c>
      <c r="N8696" s="17">
        <v>10</v>
      </c>
      <c r="O8696" s="18">
        <v>73.31</v>
      </c>
      <c r="P8696" s="18">
        <v>60.09</v>
      </c>
      <c r="Q8696" s="18">
        <v>62.31</v>
      </c>
      <c r="R8696" s="18">
        <v>51.07</v>
      </c>
      <c r="S8696" s="18">
        <v>49.85</v>
      </c>
      <c r="T8696" s="18">
        <v>40.86</v>
      </c>
      <c r="U8696" s="16"/>
      <c r="V8696" s="16"/>
      <c r="W8696" s="16" t="s">
        <v>40</v>
      </c>
      <c r="X8696" s="19">
        <v>1.6E-2</v>
      </c>
      <c r="Y8696" s="20">
        <v>8.2000000000000001E-5</v>
      </c>
      <c r="Z8696" s="21">
        <v>4601004050969</v>
      </c>
    </row>
    <row r="8697" spans="1:26" ht="12" customHeight="1" outlineLevel="4" x14ac:dyDescent="0.2">
      <c r="A8697" s="14" t="s">
        <v>16599</v>
      </c>
      <c r="B8697" s="26" t="s">
        <v>16600</v>
      </c>
      <c r="C8697" s="52"/>
      <c r="D8697" s="55">
        <f t="shared" si="135"/>
        <v>0</v>
      </c>
      <c r="E8697" s="63" t="str">
        <f>HYPERLINK("https://www.sds-group.ru/product/zazhim-krokodil-dlina-98mm-tok-50a-2-sht-paket-bopp-rexant-16-0018-9/", "Инфо")</f>
        <v>Инфо</v>
      </c>
      <c r="F8697" s="16" t="s">
        <v>1001</v>
      </c>
      <c r="G8697" s="15"/>
      <c r="H8697" s="15"/>
      <c r="I8697" s="15"/>
      <c r="J8697" s="22">
        <v>5854</v>
      </c>
      <c r="K8697" s="15" t="s">
        <v>1094</v>
      </c>
      <c r="L8697" s="17">
        <v>10</v>
      </c>
      <c r="M8697" s="17">
        <v>200</v>
      </c>
      <c r="N8697" s="17">
        <v>10</v>
      </c>
      <c r="O8697" s="18">
        <v>79.78</v>
      </c>
      <c r="P8697" s="18">
        <v>65.39</v>
      </c>
      <c r="Q8697" s="18">
        <v>67.81</v>
      </c>
      <c r="R8697" s="18">
        <v>55.58</v>
      </c>
      <c r="S8697" s="18">
        <v>54.25</v>
      </c>
      <c r="T8697" s="18">
        <v>44.47</v>
      </c>
      <c r="U8697" s="16"/>
      <c r="V8697" s="16"/>
      <c r="W8697" s="16" t="s">
        <v>40</v>
      </c>
      <c r="X8697" s="19">
        <v>4.1000000000000002E-2</v>
      </c>
      <c r="Y8697" s="20">
        <v>1.73E-4</v>
      </c>
      <c r="Z8697" s="21">
        <v>4601004073524</v>
      </c>
    </row>
    <row r="8698" spans="1:26" ht="12" customHeight="1" outlineLevel="4" x14ac:dyDescent="0.2">
      <c r="A8698" s="14" t="s">
        <v>16601</v>
      </c>
      <c r="B8698" s="26" t="s">
        <v>16602</v>
      </c>
      <c r="C8698" s="52"/>
      <c r="D8698" s="55">
        <f t="shared" si="135"/>
        <v>0</v>
      </c>
      <c r="E8698" s="63" t="str">
        <f>HYPERLINK("https://www.sds-group.ru/product/zazhim-krokodil-dlina-105mm-tok-100a-2-sht-paket-bopp-rexant-16-0019-1-9/", "Инфо")</f>
        <v>Инфо</v>
      </c>
      <c r="F8698" s="16" t="s">
        <v>1001</v>
      </c>
      <c r="G8698" s="15"/>
      <c r="H8698" s="15"/>
      <c r="I8698" s="15"/>
      <c r="J8698" s="16" t="s">
        <v>100</v>
      </c>
      <c r="K8698" s="15" t="s">
        <v>1277</v>
      </c>
      <c r="L8698" s="17">
        <v>10</v>
      </c>
      <c r="M8698" s="17">
        <v>100</v>
      </c>
      <c r="N8698" s="17">
        <v>10</v>
      </c>
      <c r="O8698" s="18">
        <v>140.13999999999999</v>
      </c>
      <c r="P8698" s="18">
        <v>114.87</v>
      </c>
      <c r="Q8698" s="18">
        <v>119.12</v>
      </c>
      <c r="R8698" s="18">
        <v>97.64</v>
      </c>
      <c r="S8698" s="18">
        <v>95.3</v>
      </c>
      <c r="T8698" s="18">
        <v>78.11</v>
      </c>
      <c r="U8698" s="16"/>
      <c r="V8698" s="16"/>
      <c r="W8698" s="16" t="s">
        <v>40</v>
      </c>
      <c r="X8698" s="19">
        <v>6.6000000000000003E-2</v>
      </c>
      <c r="Y8698" s="20">
        <v>3.6200000000000002E-4</v>
      </c>
      <c r="Z8698" s="21">
        <v>4601004073531</v>
      </c>
    </row>
    <row r="8699" spans="1:26" ht="12" customHeight="1" outlineLevel="4" x14ac:dyDescent="0.2">
      <c r="A8699" s="14" t="s">
        <v>16603</v>
      </c>
      <c r="B8699" s="26" t="s">
        <v>16604</v>
      </c>
      <c r="C8699" s="52"/>
      <c r="D8699" s="55">
        <f t="shared" si="135"/>
        <v>0</v>
      </c>
      <c r="E8699" s="63" t="str">
        <f>HYPERLINK("https://www.sds-group.ru/product/zazhim-krokodil-dlina-150mm-tok-250a-2-sht-paket-bopp-rexant-16-0020-9/", "Инфо")</f>
        <v>Инфо</v>
      </c>
      <c r="F8699" s="16" t="s">
        <v>1001</v>
      </c>
      <c r="G8699" s="15"/>
      <c r="H8699" s="15"/>
      <c r="I8699" s="15"/>
      <c r="J8699" s="16" t="s">
        <v>100</v>
      </c>
      <c r="K8699" s="15" t="s">
        <v>925</v>
      </c>
      <c r="L8699" s="17">
        <v>5</v>
      </c>
      <c r="M8699" s="17">
        <v>100</v>
      </c>
      <c r="N8699" s="17">
        <v>5</v>
      </c>
      <c r="O8699" s="18">
        <v>301.85000000000002</v>
      </c>
      <c r="P8699" s="18">
        <v>247.42</v>
      </c>
      <c r="Q8699" s="18">
        <v>256.57</v>
      </c>
      <c r="R8699" s="18">
        <v>210.3</v>
      </c>
      <c r="S8699" s="18">
        <v>205.26</v>
      </c>
      <c r="T8699" s="18">
        <v>168.25</v>
      </c>
      <c r="U8699" s="16"/>
      <c r="V8699" s="16"/>
      <c r="W8699" s="16" t="s">
        <v>40</v>
      </c>
      <c r="X8699" s="19">
        <v>0.17499999999999999</v>
      </c>
      <c r="Y8699" s="20">
        <v>5.8699999999999996E-4</v>
      </c>
      <c r="Z8699" s="21">
        <v>4601004073548</v>
      </c>
    </row>
    <row r="8700" spans="1:26" ht="12" customHeight="1" outlineLevel="4" x14ac:dyDescent="0.2">
      <c r="A8700" s="14" t="s">
        <v>16605</v>
      </c>
      <c r="B8700" s="26" t="s">
        <v>16606</v>
      </c>
      <c r="C8700" s="52"/>
      <c r="D8700" s="55">
        <f t="shared" si="135"/>
        <v>0</v>
      </c>
      <c r="E8700" s="63" t="str">
        <f>HYPERLINK("https://www.sds-group.ru/product/zazhim-krokodil-dlina-50mm-tok-10a-2-sht-rexant-06-0145-B2/", "Инфо")</f>
        <v>Инфо</v>
      </c>
      <c r="F8700" s="16" t="s">
        <v>2709</v>
      </c>
      <c r="G8700" s="15"/>
      <c r="H8700" s="15"/>
      <c r="I8700" s="15"/>
      <c r="J8700" s="17">
        <v>980</v>
      </c>
      <c r="K8700" s="15"/>
      <c r="L8700" s="17">
        <v>10</v>
      </c>
      <c r="M8700" s="17">
        <v>10</v>
      </c>
      <c r="N8700" s="17">
        <v>10</v>
      </c>
      <c r="O8700" s="18">
        <v>84.09</v>
      </c>
      <c r="P8700" s="18">
        <v>68.930000000000007</v>
      </c>
      <c r="Q8700" s="18">
        <v>71.48</v>
      </c>
      <c r="R8700" s="18">
        <v>58.59</v>
      </c>
      <c r="S8700" s="18">
        <v>57.18</v>
      </c>
      <c r="T8700" s="18">
        <v>46.87</v>
      </c>
      <c r="U8700" s="16"/>
      <c r="V8700" s="16"/>
      <c r="W8700" s="16" t="s">
        <v>40</v>
      </c>
      <c r="X8700" s="19">
        <v>1.9E-2</v>
      </c>
      <c r="Y8700" s="20">
        <v>2.9500000000000001E-4</v>
      </c>
      <c r="Z8700" s="21">
        <v>4601004122680</v>
      </c>
    </row>
    <row r="8701" spans="1:26" ht="12" customHeight="1" outlineLevel="4" x14ac:dyDescent="0.2">
      <c r="A8701" s="14" t="s">
        <v>16607</v>
      </c>
      <c r="B8701" s="26" t="s">
        <v>16606</v>
      </c>
      <c r="C8701" s="52"/>
      <c r="D8701" s="55">
        <f t="shared" si="135"/>
        <v>0</v>
      </c>
      <c r="E8701" s="63" t="str">
        <f>HYPERLINK("https://www.sds-group.ru/product/zazhim-krokodil-dlina-50mm-tok-10a-2-sht-paket-bopp-rexant-16-0012-9/", "Инфо")</f>
        <v>Инфо</v>
      </c>
      <c r="F8701" s="16" t="s">
        <v>1001</v>
      </c>
      <c r="G8701" s="15"/>
      <c r="H8701" s="15"/>
      <c r="I8701" s="15"/>
      <c r="J8701" s="17">
        <v>10</v>
      </c>
      <c r="K8701" s="15" t="s">
        <v>1094</v>
      </c>
      <c r="L8701" s="17">
        <v>10</v>
      </c>
      <c r="M8701" s="22">
        <v>1000</v>
      </c>
      <c r="N8701" s="17">
        <v>10</v>
      </c>
      <c r="O8701" s="18">
        <v>42.04</v>
      </c>
      <c r="P8701" s="18">
        <v>34.46</v>
      </c>
      <c r="Q8701" s="18">
        <v>35.729999999999997</v>
      </c>
      <c r="R8701" s="18">
        <v>29.29</v>
      </c>
      <c r="S8701" s="18">
        <v>28.59</v>
      </c>
      <c r="T8701" s="18">
        <v>23.43</v>
      </c>
      <c r="U8701" s="16"/>
      <c r="V8701" s="16"/>
      <c r="W8701" s="16" t="s">
        <v>40</v>
      </c>
      <c r="X8701" s="19">
        <v>1.2E-2</v>
      </c>
      <c r="Y8701" s="20">
        <v>6.0999999999999999E-5</v>
      </c>
      <c r="Z8701" s="21">
        <v>4601004048553</v>
      </c>
    </row>
    <row r="8702" spans="1:26" ht="12" customHeight="1" outlineLevel="4" x14ac:dyDescent="0.2">
      <c r="A8702" s="14" t="s">
        <v>16608</v>
      </c>
      <c r="B8702" s="26" t="s">
        <v>16609</v>
      </c>
      <c r="C8702" s="52"/>
      <c r="D8702" s="55">
        <f t="shared" si="135"/>
        <v>0</v>
      </c>
      <c r="E8702" s="63" t="str">
        <f>HYPERLINK("https://www.sds-group.ru/product/zazhim-krokodil-dlina-52mm-tok-5a-2-sht-rexant-06-0142-A2/", "Инфо")</f>
        <v>Инфо</v>
      </c>
      <c r="F8702" s="16" t="s">
        <v>2709</v>
      </c>
      <c r="G8702" s="15"/>
      <c r="H8702" s="15"/>
      <c r="I8702" s="15"/>
      <c r="J8702" s="16" t="s">
        <v>100</v>
      </c>
      <c r="K8702" s="15"/>
      <c r="L8702" s="17">
        <v>10</v>
      </c>
      <c r="M8702" s="17">
        <v>10</v>
      </c>
      <c r="N8702" s="17">
        <v>10</v>
      </c>
      <c r="O8702" s="18">
        <v>53.36</v>
      </c>
      <c r="P8702" s="18">
        <v>43.74</v>
      </c>
      <c r="Q8702" s="18">
        <v>37.35</v>
      </c>
      <c r="R8702" s="18">
        <v>30.61</v>
      </c>
      <c r="S8702" s="18">
        <v>36.28</v>
      </c>
      <c r="T8702" s="18">
        <v>29.74</v>
      </c>
      <c r="U8702" s="16"/>
      <c r="V8702" s="16"/>
      <c r="W8702" s="16"/>
      <c r="X8702" s="19">
        <v>1.2E-2</v>
      </c>
      <c r="Y8702" s="20">
        <v>1.4300000000000001E-4</v>
      </c>
      <c r="Z8702" s="21">
        <v>4601004122659</v>
      </c>
    </row>
    <row r="8703" spans="1:26" ht="12" customHeight="1" outlineLevel="4" x14ac:dyDescent="0.2">
      <c r="A8703" s="14" t="s">
        <v>16610</v>
      </c>
      <c r="B8703" s="26" t="s">
        <v>16611</v>
      </c>
      <c r="C8703" s="52"/>
      <c r="D8703" s="55">
        <f t="shared" si="135"/>
        <v>0</v>
      </c>
      <c r="E8703" s="63" t="str">
        <f>HYPERLINK("https://www.sds-group.ru/product/zazhim-krokodil-dlina-53mm-tok-15a-2-sht-rexant-06-0144-A2/", "Инфо")</f>
        <v>Инфо</v>
      </c>
      <c r="F8703" s="16" t="s">
        <v>2709</v>
      </c>
      <c r="G8703" s="15"/>
      <c r="H8703" s="15"/>
      <c r="I8703" s="15"/>
      <c r="J8703" s="22">
        <v>3215</v>
      </c>
      <c r="K8703" s="15"/>
      <c r="L8703" s="17">
        <v>10</v>
      </c>
      <c r="M8703" s="17">
        <v>10</v>
      </c>
      <c r="N8703" s="17">
        <v>10</v>
      </c>
      <c r="O8703" s="18">
        <v>54.05</v>
      </c>
      <c r="P8703" s="18">
        <v>44.3</v>
      </c>
      <c r="Q8703" s="18">
        <v>37.840000000000003</v>
      </c>
      <c r="R8703" s="18">
        <v>31.02</v>
      </c>
      <c r="S8703" s="18">
        <v>36.75</v>
      </c>
      <c r="T8703" s="18">
        <v>30.12</v>
      </c>
      <c r="U8703" s="16"/>
      <c r="V8703" s="16"/>
      <c r="W8703" s="16"/>
      <c r="X8703" s="19">
        <v>3.0000000000000001E-3</v>
      </c>
      <c r="Y8703" s="20">
        <v>1.5899999999999999E-4</v>
      </c>
      <c r="Z8703" s="21">
        <v>4601004122673</v>
      </c>
    </row>
    <row r="8704" spans="1:26" ht="12" customHeight="1" outlineLevel="4" x14ac:dyDescent="0.2">
      <c r="A8704" s="14" t="s">
        <v>16612</v>
      </c>
      <c r="B8704" s="26" t="s">
        <v>16611</v>
      </c>
      <c r="C8704" s="52"/>
      <c r="D8704" s="55">
        <f t="shared" si="135"/>
        <v>0</v>
      </c>
      <c r="E8704" s="63" t="str">
        <f>HYPERLINK("https://www.sds-group.ru/product/zazhim-krokodil-dlina-53mm-tok-15a-2-sht-paket-bopp-rexant-16-0009-9/", "Инфо")</f>
        <v>Инфо</v>
      </c>
      <c r="F8704" s="16" t="s">
        <v>1001</v>
      </c>
      <c r="G8704" s="15"/>
      <c r="H8704" s="15"/>
      <c r="I8704" s="15"/>
      <c r="J8704" s="17">
        <v>550</v>
      </c>
      <c r="K8704" s="15" t="s">
        <v>1094</v>
      </c>
      <c r="L8704" s="17">
        <v>10</v>
      </c>
      <c r="M8704" s="22">
        <v>1250</v>
      </c>
      <c r="N8704" s="17">
        <v>10</v>
      </c>
      <c r="O8704" s="18">
        <v>32.340000000000003</v>
      </c>
      <c r="P8704" s="18">
        <v>26.51</v>
      </c>
      <c r="Q8704" s="18">
        <v>27.49</v>
      </c>
      <c r="R8704" s="18">
        <v>22.53</v>
      </c>
      <c r="S8704" s="18">
        <v>21.99</v>
      </c>
      <c r="T8704" s="18">
        <v>18.02</v>
      </c>
      <c r="U8704" s="16"/>
      <c r="V8704" s="16"/>
      <c r="W8704" s="16" t="s">
        <v>40</v>
      </c>
      <c r="X8704" s="19">
        <v>7.0000000000000001E-3</v>
      </c>
      <c r="Y8704" s="20">
        <v>3.1000000000000001E-5</v>
      </c>
      <c r="Z8704" s="21">
        <v>4601004048638</v>
      </c>
    </row>
    <row r="8705" spans="1:26" ht="12.95" customHeight="1" outlineLevel="3" x14ac:dyDescent="0.2">
      <c r="A8705" s="76" t="s">
        <v>16613</v>
      </c>
      <c r="B8705" s="76"/>
      <c r="C8705" s="77"/>
      <c r="D8705" s="58"/>
      <c r="E8705" s="68"/>
      <c r="F8705" s="13"/>
      <c r="G8705" s="13"/>
      <c r="H8705" s="13"/>
      <c r="I8705" s="13"/>
      <c r="J8705" s="13"/>
      <c r="K8705" s="13"/>
      <c r="L8705" s="13"/>
      <c r="M8705" s="13"/>
      <c r="N8705" s="13"/>
      <c r="O8705" s="13"/>
      <c r="P8705" s="13"/>
      <c r="Q8705" s="13"/>
      <c r="R8705" s="13"/>
      <c r="S8705" s="13"/>
      <c r="T8705" s="13"/>
      <c r="U8705" s="13"/>
      <c r="V8705" s="13"/>
      <c r="W8705" s="13"/>
      <c r="X8705" s="13"/>
      <c r="Y8705" s="13"/>
      <c r="Z8705" s="13"/>
    </row>
    <row r="8706" spans="1:26" ht="12" customHeight="1" outlineLevel="4" x14ac:dyDescent="0.2">
      <c r="A8706" s="14" t="s">
        <v>16614</v>
      </c>
      <c r="B8706" s="26" t="s">
        <v>16615</v>
      </c>
      <c r="C8706" s="52"/>
      <c r="D8706" s="55">
        <f t="shared" si="135"/>
        <v>0</v>
      </c>
      <c r="E8706" s="63" t="str">
        <f>HYPERLINK("https://www.sds-group.ru/product/razem-dlya-avtomagnitoly-evro-iso-2-gnezda-1sht-rexant-06-0127-C/", "Инфо")</f>
        <v>Инфо</v>
      </c>
      <c r="F8706" s="16" t="s">
        <v>39</v>
      </c>
      <c r="G8706" s="15"/>
      <c r="H8706" s="15"/>
      <c r="I8706" s="15"/>
      <c r="J8706" s="17">
        <v>75</v>
      </c>
      <c r="K8706" s="15"/>
      <c r="L8706" s="17">
        <v>5</v>
      </c>
      <c r="M8706" s="17">
        <v>10</v>
      </c>
      <c r="N8706" s="17">
        <v>5</v>
      </c>
      <c r="O8706" s="18">
        <v>244.5</v>
      </c>
      <c r="P8706" s="18">
        <v>200.41</v>
      </c>
      <c r="Q8706" s="18">
        <v>207.83</v>
      </c>
      <c r="R8706" s="18">
        <v>170.35</v>
      </c>
      <c r="S8706" s="18">
        <v>166.26</v>
      </c>
      <c r="T8706" s="18">
        <v>136.28</v>
      </c>
      <c r="U8706" s="16"/>
      <c r="V8706" s="16"/>
      <c r="W8706" s="16" t="s">
        <v>40</v>
      </c>
      <c r="X8706" s="19">
        <v>0.04</v>
      </c>
      <c r="Y8706" s="20">
        <v>3.6699999999999998E-4</v>
      </c>
      <c r="Z8706" s="21">
        <v>4601004122567</v>
      </c>
    </row>
    <row r="8707" spans="1:26" ht="12" customHeight="1" outlineLevel="4" x14ac:dyDescent="0.2">
      <c r="A8707" s="14" t="s">
        <v>16616</v>
      </c>
      <c r="B8707" s="26" t="s">
        <v>16617</v>
      </c>
      <c r="C8707" s="52"/>
      <c r="D8707" s="55">
        <f t="shared" si="135"/>
        <v>0</v>
      </c>
      <c r="E8707" s="63" t="str">
        <f>HYPERLINK("https://www.sds-group.ru/product/razem-dlya-avtomagnitoly-evro-iso-gnezdo-sdvoennoe-1sht-rexant-06-0126-C/", "Инфо")</f>
        <v>Инфо</v>
      </c>
      <c r="F8707" s="16" t="s">
        <v>39</v>
      </c>
      <c r="G8707" s="15"/>
      <c r="H8707" s="15"/>
      <c r="I8707" s="15"/>
      <c r="J8707" s="17">
        <v>564</v>
      </c>
      <c r="K8707" s="15"/>
      <c r="L8707" s="17">
        <v>5</v>
      </c>
      <c r="M8707" s="17">
        <v>10</v>
      </c>
      <c r="N8707" s="17">
        <v>5</v>
      </c>
      <c r="O8707" s="18">
        <v>220.05</v>
      </c>
      <c r="P8707" s="18">
        <v>180.37</v>
      </c>
      <c r="Q8707" s="18">
        <v>154.04</v>
      </c>
      <c r="R8707" s="18">
        <v>126.26</v>
      </c>
      <c r="S8707" s="18">
        <v>149.63</v>
      </c>
      <c r="T8707" s="18">
        <v>122.65</v>
      </c>
      <c r="U8707" s="16"/>
      <c r="V8707" s="16"/>
      <c r="W8707" s="16"/>
      <c r="X8707" s="19">
        <v>4.1000000000000002E-2</v>
      </c>
      <c r="Y8707" s="20">
        <v>3.3700000000000001E-4</v>
      </c>
      <c r="Z8707" s="21">
        <v>4601004122550</v>
      </c>
    </row>
    <row r="8708" spans="1:26" ht="12.95" customHeight="1" outlineLevel="2" x14ac:dyDescent="0.2">
      <c r="A8708" s="76" t="s">
        <v>16618</v>
      </c>
      <c r="B8708" s="76"/>
      <c r="C8708" s="77"/>
      <c r="D8708" s="58"/>
      <c r="E8708" s="68"/>
      <c r="F8708" s="13"/>
      <c r="G8708" s="13"/>
      <c r="H8708" s="13"/>
      <c r="I8708" s="13"/>
      <c r="J8708" s="13"/>
      <c r="K8708" s="13"/>
      <c r="L8708" s="13"/>
      <c r="M8708" s="13"/>
      <c r="N8708" s="13"/>
      <c r="O8708" s="13"/>
      <c r="P8708" s="13"/>
      <c r="Q8708" s="13"/>
      <c r="R8708" s="13"/>
      <c r="S8708" s="13"/>
      <c r="T8708" s="13"/>
      <c r="U8708" s="13"/>
      <c r="V8708" s="13"/>
      <c r="W8708" s="13"/>
      <c r="X8708" s="13"/>
      <c r="Y8708" s="13"/>
      <c r="Z8708" s="13"/>
    </row>
    <row r="8709" spans="1:26" ht="12.95" customHeight="1" outlineLevel="3" x14ac:dyDescent="0.2">
      <c r="A8709" s="76" t="s">
        <v>16619</v>
      </c>
      <c r="B8709" s="76"/>
      <c r="C8709" s="77"/>
      <c r="D8709" s="58"/>
      <c r="E8709" s="68"/>
      <c r="F8709" s="13"/>
      <c r="G8709" s="13"/>
      <c r="H8709" s="13"/>
      <c r="I8709" s="13"/>
      <c r="J8709" s="13"/>
      <c r="K8709" s="13"/>
      <c r="L8709" s="13"/>
      <c r="M8709" s="13"/>
      <c r="N8709" s="13"/>
      <c r="O8709" s="13"/>
      <c r="P8709" s="13"/>
      <c r="Q8709" s="13"/>
      <c r="R8709" s="13"/>
      <c r="S8709" s="13"/>
      <c r="T8709" s="13"/>
      <c r="U8709" s="13"/>
      <c r="V8709" s="13"/>
      <c r="W8709" s="13"/>
      <c r="X8709" s="13"/>
      <c r="Y8709" s="13"/>
      <c r="Z8709" s="13"/>
    </row>
    <row r="8710" spans="1:26" ht="12" customHeight="1" outlineLevel="4" x14ac:dyDescent="0.2">
      <c r="A8710" s="14" t="s">
        <v>16620</v>
      </c>
      <c r="B8710" s="26" t="s">
        <v>16621</v>
      </c>
      <c r="C8710" s="52"/>
      <c r="D8710" s="55">
        <f t="shared" si="135"/>
        <v>0</v>
      </c>
      <c r="E8710" s="63" t="str">
        <f>HYPERLINK("https://www.sds-group.ru/product/lezhak-podkatnoy-remontnyy-rexant-80-0660/", "Инфо")</f>
        <v>Инфо</v>
      </c>
      <c r="F8710" s="16" t="s">
        <v>39</v>
      </c>
      <c r="G8710" s="15"/>
      <c r="H8710" s="15"/>
      <c r="I8710" s="15"/>
      <c r="J8710" s="17">
        <v>274</v>
      </c>
      <c r="K8710" s="15" t="s">
        <v>1650</v>
      </c>
      <c r="L8710" s="17">
        <v>1</v>
      </c>
      <c r="M8710" s="17">
        <v>1</v>
      </c>
      <c r="N8710" s="17">
        <v>1</v>
      </c>
      <c r="O8710" s="18">
        <v>3922</v>
      </c>
      <c r="P8710" s="18">
        <v>3214.75</v>
      </c>
      <c r="Q8710" s="18">
        <v>2745.4</v>
      </c>
      <c r="R8710" s="18">
        <v>2250.33</v>
      </c>
      <c r="S8710" s="18">
        <v>2666.96</v>
      </c>
      <c r="T8710" s="18">
        <v>2186.0300000000002</v>
      </c>
      <c r="U8710" s="16"/>
      <c r="V8710" s="16"/>
      <c r="W8710" s="16"/>
      <c r="X8710" s="19">
        <v>5</v>
      </c>
      <c r="Y8710" s="20">
        <v>4.6332999999999999E-2</v>
      </c>
      <c r="Z8710" s="21">
        <v>4601004290600</v>
      </c>
    </row>
    <row r="8711" spans="1:26" ht="12" customHeight="1" outlineLevel="4" x14ac:dyDescent="0.2">
      <c r="A8711" s="40" t="s">
        <v>16622</v>
      </c>
      <c r="B8711" s="75" t="s">
        <v>16623</v>
      </c>
      <c r="C8711" s="51"/>
      <c r="D8711" s="54">
        <f t="shared" si="135"/>
        <v>0</v>
      </c>
      <c r="E8711" s="61" t="str">
        <f>HYPERLINK("https://www.sds-group.ru/product/sidene-mehanika-rexant-80-0661/", "Инфо")</f>
        <v>Инфо</v>
      </c>
      <c r="F8711" s="42" t="s">
        <v>39</v>
      </c>
      <c r="G8711" s="41" t="s">
        <v>40</v>
      </c>
      <c r="H8711" s="41"/>
      <c r="I8711" s="41"/>
      <c r="J8711" s="43">
        <v>248</v>
      </c>
      <c r="K8711" s="41"/>
      <c r="L8711" s="43">
        <v>1</v>
      </c>
      <c r="M8711" s="43">
        <v>1</v>
      </c>
      <c r="N8711" s="43">
        <v>1</v>
      </c>
      <c r="O8711" s="44">
        <v>4240</v>
      </c>
      <c r="P8711" s="44">
        <v>3475.41</v>
      </c>
      <c r="Q8711" s="44">
        <v>2968</v>
      </c>
      <c r="R8711" s="44">
        <v>2432.79</v>
      </c>
      <c r="S8711" s="44">
        <v>2883.2</v>
      </c>
      <c r="T8711" s="44">
        <v>2363.2800000000002</v>
      </c>
      <c r="U8711" s="42"/>
      <c r="V8711" s="42"/>
      <c r="W8711" s="42"/>
      <c r="X8711" s="45">
        <v>3.5369999999999999</v>
      </c>
      <c r="Y8711" s="46">
        <v>1.3487000000000001E-2</v>
      </c>
      <c r="Z8711" s="21">
        <v>4601004290563</v>
      </c>
    </row>
    <row r="8712" spans="1:26" ht="12.95" customHeight="1" outlineLevel="3" x14ac:dyDescent="0.2">
      <c r="A8712" s="76" t="s">
        <v>16624</v>
      </c>
      <c r="B8712" s="76"/>
      <c r="C8712" s="77"/>
      <c r="D8712" s="58"/>
      <c r="E8712" s="68"/>
      <c r="F8712" s="13"/>
      <c r="G8712" s="13"/>
      <c r="H8712" s="13"/>
      <c r="I8712" s="13"/>
      <c r="J8712" s="13"/>
      <c r="K8712" s="13"/>
      <c r="L8712" s="13"/>
      <c r="M8712" s="13"/>
      <c r="N8712" s="13"/>
      <c r="O8712" s="13"/>
      <c r="P8712" s="13"/>
      <c r="Q8712" s="13"/>
      <c r="R8712" s="13"/>
      <c r="S8712" s="13"/>
      <c r="T8712" s="13"/>
      <c r="U8712" s="13"/>
      <c r="V8712" s="13"/>
      <c r="W8712" s="13"/>
      <c r="X8712" s="13"/>
      <c r="Y8712" s="13"/>
      <c r="Z8712" s="13"/>
    </row>
    <row r="8713" spans="1:26" ht="12" customHeight="1" outlineLevel="4" x14ac:dyDescent="0.2">
      <c r="A8713" s="14" t="s">
        <v>16625</v>
      </c>
      <c r="B8713" s="26" t="s">
        <v>16626</v>
      </c>
      <c r="C8713" s="52"/>
      <c r="D8713" s="55">
        <f t="shared" ref="D8713:D8776" si="136">C8713*(O8713-O8713*$G$3)</f>
        <v>0</v>
      </c>
      <c r="E8713" s="63" t="str">
        <f>HYPERLINK("https://www.sds-group.ru/product/klyuch-dinamometricheskiy-1-2-28-210-nm-rexant-80-0731/", "Инфо")</f>
        <v>Инфо</v>
      </c>
      <c r="F8713" s="16" t="s">
        <v>39</v>
      </c>
      <c r="G8713" s="15"/>
      <c r="H8713" s="15"/>
      <c r="I8713" s="15"/>
      <c r="J8713" s="16" t="s">
        <v>100</v>
      </c>
      <c r="K8713" s="15" t="s">
        <v>4029</v>
      </c>
      <c r="L8713" s="17">
        <v>1</v>
      </c>
      <c r="M8713" s="17">
        <v>10</v>
      </c>
      <c r="N8713" s="17">
        <v>1</v>
      </c>
      <c r="O8713" s="18">
        <v>2942.99</v>
      </c>
      <c r="P8713" s="18">
        <v>2412.29</v>
      </c>
      <c r="Q8713" s="18">
        <v>2148.38</v>
      </c>
      <c r="R8713" s="18">
        <v>1760.97</v>
      </c>
      <c r="S8713" s="18">
        <v>2001.23</v>
      </c>
      <c r="T8713" s="18">
        <v>1640.35</v>
      </c>
      <c r="U8713" s="16"/>
      <c r="V8713" s="16"/>
      <c r="W8713" s="16" t="s">
        <v>40</v>
      </c>
      <c r="X8713" s="19">
        <v>1.738</v>
      </c>
      <c r="Y8713" s="20">
        <v>3.3869999999999998E-3</v>
      </c>
      <c r="Z8713" s="21">
        <v>4601004290761</v>
      </c>
    </row>
    <row r="8714" spans="1:26" ht="12" customHeight="1" outlineLevel="4" x14ac:dyDescent="0.2">
      <c r="A8714" s="14" t="s">
        <v>16627</v>
      </c>
      <c r="B8714" s="26" t="s">
        <v>16628</v>
      </c>
      <c r="C8714" s="52"/>
      <c r="D8714" s="55">
        <f t="shared" si="136"/>
        <v>0</v>
      </c>
      <c r="E8714" s="63" t="str">
        <f>HYPERLINK("https://www.sds-group.ru/product/klyuch-dinamometricheskiy-1-4-2-24-nm-rexant-80-0730/", "Инфо")</f>
        <v>Инфо</v>
      </c>
      <c r="F8714" s="16" t="s">
        <v>39</v>
      </c>
      <c r="G8714" s="15"/>
      <c r="H8714" s="15"/>
      <c r="I8714" s="15"/>
      <c r="J8714" s="17">
        <v>105</v>
      </c>
      <c r="K8714" s="15"/>
      <c r="L8714" s="17">
        <v>1</v>
      </c>
      <c r="M8714" s="17">
        <v>10</v>
      </c>
      <c r="N8714" s="17">
        <v>1</v>
      </c>
      <c r="O8714" s="18">
        <v>2382.42</v>
      </c>
      <c r="P8714" s="18">
        <v>1952.8</v>
      </c>
      <c r="Q8714" s="18">
        <v>1834.46</v>
      </c>
      <c r="R8714" s="18">
        <v>1503.66</v>
      </c>
      <c r="S8714" s="18">
        <v>1620.05</v>
      </c>
      <c r="T8714" s="18">
        <v>1327.91</v>
      </c>
      <c r="U8714" s="16"/>
      <c r="V8714" s="16"/>
      <c r="W8714" s="16" t="s">
        <v>40</v>
      </c>
      <c r="X8714" s="19">
        <v>0.86899999999999999</v>
      </c>
      <c r="Y8714" s="20">
        <v>1.751E-3</v>
      </c>
      <c r="Z8714" s="21">
        <v>4601004290624</v>
      </c>
    </row>
    <row r="8715" spans="1:26" ht="12" customHeight="1" outlineLevel="4" x14ac:dyDescent="0.2">
      <c r="A8715" s="14" t="s">
        <v>16629</v>
      </c>
      <c r="B8715" s="26" t="s">
        <v>16630</v>
      </c>
      <c r="C8715" s="52"/>
      <c r="D8715" s="55">
        <f t="shared" si="136"/>
        <v>0</v>
      </c>
      <c r="E8715" s="63" t="str">
        <f>HYPERLINK("https://www.sds-group.ru/product/klyuch-svechnoy-t-obraznyy-s-kardannym-sharnirom-16h250mm-rexant-80-0726/", "Инфо")</f>
        <v>Инфо</v>
      </c>
      <c r="F8715" s="16" t="s">
        <v>39</v>
      </c>
      <c r="G8715" s="15"/>
      <c r="H8715" s="15"/>
      <c r="I8715" s="15"/>
      <c r="J8715" s="17">
        <v>1</v>
      </c>
      <c r="K8715" s="15" t="s">
        <v>1650</v>
      </c>
      <c r="L8715" s="17">
        <v>5</v>
      </c>
      <c r="M8715" s="17">
        <v>50</v>
      </c>
      <c r="N8715" s="17">
        <v>5</v>
      </c>
      <c r="O8715" s="18">
        <v>249.1</v>
      </c>
      <c r="P8715" s="18">
        <v>204.18</v>
      </c>
      <c r="Q8715" s="18">
        <v>249.1</v>
      </c>
      <c r="R8715" s="18">
        <v>204.18</v>
      </c>
      <c r="S8715" s="18">
        <v>169.39</v>
      </c>
      <c r="T8715" s="18">
        <v>138.84</v>
      </c>
      <c r="U8715" s="16"/>
      <c r="V8715" s="16"/>
      <c r="W8715" s="16" t="s">
        <v>40</v>
      </c>
      <c r="X8715" s="19">
        <v>0.28699999999999998</v>
      </c>
      <c r="Y8715" s="20">
        <v>7.2000000000000015E-4</v>
      </c>
      <c r="Z8715" s="21">
        <v>4601004290747</v>
      </c>
    </row>
    <row r="8716" spans="1:26" ht="12" customHeight="1" outlineLevel="4" x14ac:dyDescent="0.2">
      <c r="A8716" s="14" t="s">
        <v>16631</v>
      </c>
      <c r="B8716" s="26" t="s">
        <v>16632</v>
      </c>
      <c r="C8716" s="52"/>
      <c r="D8716" s="55">
        <f t="shared" si="136"/>
        <v>0</v>
      </c>
      <c r="E8716" s="63" t="str">
        <f>HYPERLINK("https://www.sds-group.ru/product/klyuch-svechnoy-t-obraznyy-s-kardannym-sharnirom-21h250mm-rexant-80-0727/", "Инфо")</f>
        <v>Инфо</v>
      </c>
      <c r="F8716" s="16" t="s">
        <v>39</v>
      </c>
      <c r="G8716" s="15"/>
      <c r="H8716" s="15"/>
      <c r="I8716" s="15"/>
      <c r="J8716" s="17">
        <v>152</v>
      </c>
      <c r="K8716" s="15" t="s">
        <v>1650</v>
      </c>
      <c r="L8716" s="17">
        <v>5</v>
      </c>
      <c r="M8716" s="17">
        <v>50</v>
      </c>
      <c r="N8716" s="17">
        <v>5</v>
      </c>
      <c r="O8716" s="18">
        <v>254.4</v>
      </c>
      <c r="P8716" s="18">
        <v>208.52</v>
      </c>
      <c r="Q8716" s="18">
        <v>254.4</v>
      </c>
      <c r="R8716" s="18">
        <v>208.52</v>
      </c>
      <c r="S8716" s="18">
        <v>172.99</v>
      </c>
      <c r="T8716" s="18">
        <v>141.80000000000001</v>
      </c>
      <c r="U8716" s="16"/>
      <c r="V8716" s="16"/>
      <c r="W8716" s="16" t="s">
        <v>40</v>
      </c>
      <c r="X8716" s="19">
        <v>0.308</v>
      </c>
      <c r="Y8716" s="20">
        <v>7.3800000000000005E-4</v>
      </c>
      <c r="Z8716" s="21">
        <v>4601004290594</v>
      </c>
    </row>
    <row r="8717" spans="1:26" ht="12" customHeight="1" outlineLevel="4" x14ac:dyDescent="0.2">
      <c r="A8717" s="14" t="s">
        <v>16633</v>
      </c>
      <c r="B8717" s="26" t="s">
        <v>16634</v>
      </c>
      <c r="C8717" s="52"/>
      <c r="D8717" s="55">
        <f t="shared" si="136"/>
        <v>0</v>
      </c>
      <c r="E8717" s="63" t="str">
        <f>HYPERLINK("https://www.sds-group.ru/product/klyuch-svechnoy-t-obraznyy-250mm-s-golovkami-16mm-i-21mm-rexant-80-0725/", "Инфо")</f>
        <v>Инфо</v>
      </c>
      <c r="F8717" s="16" t="s">
        <v>39</v>
      </c>
      <c r="G8717" s="15"/>
      <c r="H8717" s="15"/>
      <c r="I8717" s="15"/>
      <c r="J8717" s="16" t="s">
        <v>100</v>
      </c>
      <c r="K8717" s="15" t="s">
        <v>5329</v>
      </c>
      <c r="L8717" s="17">
        <v>1</v>
      </c>
      <c r="M8717" s="17">
        <v>50</v>
      </c>
      <c r="N8717" s="17">
        <v>1</v>
      </c>
      <c r="O8717" s="18">
        <v>434.6</v>
      </c>
      <c r="P8717" s="18">
        <v>356.23</v>
      </c>
      <c r="Q8717" s="18">
        <v>434.6</v>
      </c>
      <c r="R8717" s="18">
        <v>356.23</v>
      </c>
      <c r="S8717" s="18">
        <v>295.52999999999997</v>
      </c>
      <c r="T8717" s="18">
        <v>242.24</v>
      </c>
      <c r="U8717" s="16"/>
      <c r="V8717" s="16"/>
      <c r="W8717" s="16" t="s">
        <v>40</v>
      </c>
      <c r="X8717" s="19">
        <v>0.40200000000000002</v>
      </c>
      <c r="Y8717" s="20">
        <v>6.7699999999999998E-4</v>
      </c>
      <c r="Z8717" s="21">
        <v>4601004290655</v>
      </c>
    </row>
    <row r="8718" spans="1:26" ht="12" customHeight="1" outlineLevel="4" x14ac:dyDescent="0.2">
      <c r="A8718" s="14" t="s">
        <v>16635</v>
      </c>
      <c r="B8718" s="26" t="s">
        <v>16636</v>
      </c>
      <c r="C8718" s="52"/>
      <c r="D8718" s="55">
        <f t="shared" si="136"/>
        <v>0</v>
      </c>
      <c r="E8718" s="63" t="str">
        <f>HYPERLINK("https://www.sds-group.ru/product/nabor-plastikovyh-semnikov-11-predmetov-rexant-80-0710/", "Инфо")</f>
        <v>Инфо</v>
      </c>
      <c r="F8718" s="16" t="s">
        <v>39</v>
      </c>
      <c r="G8718" s="15"/>
      <c r="H8718" s="15"/>
      <c r="I8718" s="15"/>
      <c r="J8718" s="17">
        <v>117</v>
      </c>
      <c r="K8718" s="15" t="s">
        <v>5329</v>
      </c>
      <c r="L8718" s="17">
        <v>1</v>
      </c>
      <c r="M8718" s="17">
        <v>20</v>
      </c>
      <c r="N8718" s="17">
        <v>1</v>
      </c>
      <c r="O8718" s="18">
        <v>1185.82</v>
      </c>
      <c r="P8718" s="18">
        <v>971.98</v>
      </c>
      <c r="Q8718" s="18">
        <v>830.07</v>
      </c>
      <c r="R8718" s="18">
        <v>680.39</v>
      </c>
      <c r="S8718" s="18">
        <v>806.36</v>
      </c>
      <c r="T8718" s="18">
        <v>660.95</v>
      </c>
      <c r="U8718" s="16"/>
      <c r="V8718" s="16"/>
      <c r="W8718" s="16"/>
      <c r="X8718" s="19">
        <v>0.193</v>
      </c>
      <c r="Y8718" s="20">
        <v>1.786E-3</v>
      </c>
      <c r="Z8718" s="21">
        <v>4601004290716</v>
      </c>
    </row>
    <row r="8719" spans="1:26" ht="12" customHeight="1" outlineLevel="4" x14ac:dyDescent="0.2">
      <c r="A8719" s="14" t="s">
        <v>16637</v>
      </c>
      <c r="B8719" s="26" t="s">
        <v>16638</v>
      </c>
      <c r="C8719" s="52"/>
      <c r="D8719" s="55">
        <f t="shared" si="136"/>
        <v>0</v>
      </c>
      <c r="E8719" s="63" t="str">
        <f>HYPERLINK("https://www.sds-group.ru/product/prisposoblenie-dlya-utaplivaniya-tormoznyh-tsilindrov-audi-vw-skoda-rexant-80-0716/", "Инфо")</f>
        <v>Инфо</v>
      </c>
      <c r="F8719" s="16" t="s">
        <v>39</v>
      </c>
      <c r="G8719" s="15"/>
      <c r="H8719" s="15"/>
      <c r="I8719" s="15"/>
      <c r="J8719" s="16" t="s">
        <v>100</v>
      </c>
      <c r="K8719" s="15" t="s">
        <v>5329</v>
      </c>
      <c r="L8719" s="17">
        <v>1</v>
      </c>
      <c r="M8719" s="17">
        <v>40</v>
      </c>
      <c r="N8719" s="17">
        <v>1</v>
      </c>
      <c r="O8719" s="18">
        <v>848</v>
      </c>
      <c r="P8719" s="18">
        <v>695.08</v>
      </c>
      <c r="Q8719" s="18">
        <v>593.6</v>
      </c>
      <c r="R8719" s="18">
        <v>486.56</v>
      </c>
      <c r="S8719" s="18">
        <v>576.64</v>
      </c>
      <c r="T8719" s="18">
        <v>472.66</v>
      </c>
      <c r="U8719" s="16"/>
      <c r="V8719" s="16"/>
      <c r="W8719" s="16"/>
      <c r="X8719" s="19">
        <v>0.52600000000000002</v>
      </c>
      <c r="Y8719" s="20">
        <v>8.8000000000000003E-4</v>
      </c>
      <c r="Z8719" s="21">
        <v>4601004290778</v>
      </c>
    </row>
    <row r="8720" spans="1:26" ht="12" customHeight="1" outlineLevel="4" x14ac:dyDescent="0.2">
      <c r="A8720" s="14" t="s">
        <v>16639</v>
      </c>
      <c r="B8720" s="26" t="s">
        <v>16640</v>
      </c>
      <c r="C8720" s="52"/>
      <c r="D8720" s="55">
        <f t="shared" si="136"/>
        <v>0</v>
      </c>
      <c r="E8720" s="63" t="str">
        <f>HYPERLINK("https://www.sds-group.ru/product/prisposoblenie-dlya-utaplivaniya-tormoznyh-tsilindrov-rexant-80-0715/", "Инфо")</f>
        <v>Инфо</v>
      </c>
      <c r="F8720" s="16" t="s">
        <v>39</v>
      </c>
      <c r="G8720" s="15"/>
      <c r="H8720" s="15"/>
      <c r="I8720" s="15"/>
      <c r="J8720" s="22">
        <v>1236</v>
      </c>
      <c r="K8720" s="15"/>
      <c r="L8720" s="17">
        <v>1</v>
      </c>
      <c r="M8720" s="17">
        <v>30</v>
      </c>
      <c r="N8720" s="17">
        <v>1</v>
      </c>
      <c r="O8720" s="18">
        <v>1056.46</v>
      </c>
      <c r="P8720" s="18">
        <v>865.95</v>
      </c>
      <c r="Q8720" s="18">
        <v>739.52</v>
      </c>
      <c r="R8720" s="18">
        <v>606.16</v>
      </c>
      <c r="S8720" s="18">
        <v>718.39</v>
      </c>
      <c r="T8720" s="18">
        <v>588.84</v>
      </c>
      <c r="U8720" s="16"/>
      <c r="V8720" s="16"/>
      <c r="W8720" s="16"/>
      <c r="X8720" s="19">
        <v>0.69199999999999995</v>
      </c>
      <c r="Y8720" s="20">
        <v>1.2750000000000001E-3</v>
      </c>
      <c r="Z8720" s="21">
        <v>4601004290709</v>
      </c>
    </row>
    <row r="8721" spans="1:26" ht="12" customHeight="1" outlineLevel="4" x14ac:dyDescent="0.2">
      <c r="A8721" s="14" t="s">
        <v>16641</v>
      </c>
      <c r="B8721" s="26" t="s">
        <v>16642</v>
      </c>
      <c r="C8721" s="52"/>
      <c r="D8721" s="55">
        <f t="shared" si="136"/>
        <v>0</v>
      </c>
      <c r="E8721" s="63" t="str">
        <f>HYPERLINK("https://www.sds-group.ru/product/styazhki-pruzhin-270-mm-2-sht-rexant-80-0719/", "Инфо")</f>
        <v>Инфо</v>
      </c>
      <c r="F8721" s="16" t="s">
        <v>39</v>
      </c>
      <c r="G8721" s="15"/>
      <c r="H8721" s="15"/>
      <c r="I8721" s="15"/>
      <c r="J8721" s="17">
        <v>752</v>
      </c>
      <c r="K8721" s="15"/>
      <c r="L8721" s="17">
        <v>1</v>
      </c>
      <c r="M8721" s="17">
        <v>20</v>
      </c>
      <c r="N8721" s="17">
        <v>1</v>
      </c>
      <c r="O8721" s="18">
        <v>1484</v>
      </c>
      <c r="P8721" s="18">
        <v>1216.3900000000001</v>
      </c>
      <c r="Q8721" s="18">
        <v>1038.8</v>
      </c>
      <c r="R8721" s="18">
        <v>851.48</v>
      </c>
      <c r="S8721" s="18">
        <v>1009.12</v>
      </c>
      <c r="T8721" s="18">
        <v>827.15</v>
      </c>
      <c r="U8721" s="16"/>
      <c r="V8721" s="16"/>
      <c r="W8721" s="16"/>
      <c r="X8721" s="19">
        <v>1.56</v>
      </c>
      <c r="Y8721" s="20">
        <v>1.869E-3</v>
      </c>
      <c r="Z8721" s="21">
        <v>4601004290686</v>
      </c>
    </row>
    <row r="8722" spans="1:26" ht="12" customHeight="1" outlineLevel="4" x14ac:dyDescent="0.2">
      <c r="A8722" s="14" t="s">
        <v>16643</v>
      </c>
      <c r="B8722" s="26" t="s">
        <v>16644</v>
      </c>
      <c r="C8722" s="52"/>
      <c r="D8722" s="55">
        <f t="shared" si="136"/>
        <v>0</v>
      </c>
      <c r="E8722" s="63" t="str">
        <f>HYPERLINK("https://www.sds-group.ru/product/styazhki-pruzhin-380-mm-2-sht-rexant-80-0720/", "Инфо")</f>
        <v>Инфо</v>
      </c>
      <c r="F8722" s="16" t="s">
        <v>39</v>
      </c>
      <c r="G8722" s="15"/>
      <c r="H8722" s="15"/>
      <c r="I8722" s="15"/>
      <c r="J8722" s="17">
        <v>845</v>
      </c>
      <c r="K8722" s="15"/>
      <c r="L8722" s="17">
        <v>1</v>
      </c>
      <c r="M8722" s="17">
        <v>20</v>
      </c>
      <c r="N8722" s="17">
        <v>1</v>
      </c>
      <c r="O8722" s="18">
        <v>1590</v>
      </c>
      <c r="P8722" s="18">
        <v>1303.28</v>
      </c>
      <c r="Q8722" s="18">
        <v>1113</v>
      </c>
      <c r="R8722" s="18">
        <v>912.3</v>
      </c>
      <c r="S8722" s="18">
        <v>1081.2</v>
      </c>
      <c r="T8722" s="18">
        <v>886.23</v>
      </c>
      <c r="U8722" s="16"/>
      <c r="V8722" s="16"/>
      <c r="W8722" s="16"/>
      <c r="X8722" s="19">
        <v>1.802</v>
      </c>
      <c r="Y8722" s="20">
        <v>2.431E-3</v>
      </c>
      <c r="Z8722" s="21">
        <v>4601004290754</v>
      </c>
    </row>
    <row r="8723" spans="1:26" ht="12" customHeight="1" outlineLevel="4" x14ac:dyDescent="0.2">
      <c r="A8723" s="14" t="s">
        <v>16645</v>
      </c>
      <c r="B8723" s="26" t="s">
        <v>16646</v>
      </c>
      <c r="C8723" s="52"/>
      <c r="D8723" s="55">
        <f t="shared" si="136"/>
        <v>0</v>
      </c>
      <c r="E8723" s="63" t="str">
        <f>HYPERLINK("https://www.sds-group.ru/product/semnik-maslyanogo-filtra-krab-43-102mm-izognutye-zahvaty-rexant-80-0702/", "Инфо")</f>
        <v>Инфо</v>
      </c>
      <c r="F8723" s="16" t="s">
        <v>39</v>
      </c>
      <c r="G8723" s="15"/>
      <c r="H8723" s="15"/>
      <c r="I8723" s="15"/>
      <c r="J8723" s="17">
        <v>373</v>
      </c>
      <c r="K8723" s="15" t="s">
        <v>5329</v>
      </c>
      <c r="L8723" s="17">
        <v>1</v>
      </c>
      <c r="M8723" s="17">
        <v>50</v>
      </c>
      <c r="N8723" s="17">
        <v>1</v>
      </c>
      <c r="O8723" s="18">
        <v>797.73</v>
      </c>
      <c r="P8723" s="18">
        <v>653.88</v>
      </c>
      <c r="Q8723" s="18">
        <v>558.41</v>
      </c>
      <c r="R8723" s="18">
        <v>457.71</v>
      </c>
      <c r="S8723" s="18">
        <v>542.46</v>
      </c>
      <c r="T8723" s="18">
        <v>444.64</v>
      </c>
      <c r="U8723" s="16"/>
      <c r="V8723" s="16"/>
      <c r="W8723" s="16"/>
      <c r="X8723" s="19">
        <v>0.56200000000000006</v>
      </c>
      <c r="Y8723" s="20">
        <v>7.7099999999999998E-4</v>
      </c>
      <c r="Z8723" s="21">
        <v>4601004290556</v>
      </c>
    </row>
    <row r="8724" spans="1:26" ht="12" customHeight="1" outlineLevel="4" x14ac:dyDescent="0.2">
      <c r="A8724" s="14" t="s">
        <v>16647</v>
      </c>
      <c r="B8724" s="26" t="s">
        <v>16648</v>
      </c>
      <c r="C8724" s="52"/>
      <c r="D8724" s="55">
        <f t="shared" si="136"/>
        <v>0</v>
      </c>
      <c r="E8724" s="63" t="str">
        <f>HYPERLINK("https://www.sds-group.ru/product/semnik-maslyanogo-filtra-krab-56-110mm-ploskie-zahvaty-rexant-80-0700/", "Инфо")</f>
        <v>Инфо</v>
      </c>
      <c r="F8724" s="16" t="s">
        <v>39</v>
      </c>
      <c r="G8724" s="15"/>
      <c r="H8724" s="15"/>
      <c r="I8724" s="15"/>
      <c r="J8724" s="22">
        <v>1093</v>
      </c>
      <c r="K8724" s="15"/>
      <c r="L8724" s="17">
        <v>1</v>
      </c>
      <c r="M8724" s="17">
        <v>60</v>
      </c>
      <c r="N8724" s="17">
        <v>1</v>
      </c>
      <c r="O8724" s="18">
        <v>727.66</v>
      </c>
      <c r="P8724" s="18">
        <v>596.44000000000005</v>
      </c>
      <c r="Q8724" s="18">
        <v>509.36</v>
      </c>
      <c r="R8724" s="18">
        <v>417.51</v>
      </c>
      <c r="S8724" s="18">
        <v>494.81</v>
      </c>
      <c r="T8724" s="18">
        <v>405.58</v>
      </c>
      <c r="U8724" s="16"/>
      <c r="V8724" s="16"/>
      <c r="W8724" s="16"/>
      <c r="X8724" s="19">
        <v>0.38500000000000001</v>
      </c>
      <c r="Y8724" s="20">
        <v>5.5099999999999995E-4</v>
      </c>
      <c r="Z8724" s="21">
        <v>4601004290570</v>
      </c>
    </row>
    <row r="8725" spans="1:26" ht="12" customHeight="1" outlineLevel="4" x14ac:dyDescent="0.2">
      <c r="A8725" s="14" t="s">
        <v>16649</v>
      </c>
      <c r="B8725" s="26" t="s">
        <v>16650</v>
      </c>
      <c r="C8725" s="52"/>
      <c r="D8725" s="55">
        <f t="shared" si="136"/>
        <v>0</v>
      </c>
      <c r="E8725" s="63" t="str">
        <f>HYPERLINK("https://www.sds-group.ru/product/semnik-maslyanogo-filtra-krab-65-110mm-pryamye-zahvaty-rexant-80-0701/", "Инфо")</f>
        <v>Инфо</v>
      </c>
      <c r="F8725" s="16" t="s">
        <v>39</v>
      </c>
      <c r="G8725" s="15"/>
      <c r="H8725" s="15"/>
      <c r="I8725" s="15"/>
      <c r="J8725" s="17">
        <v>406</v>
      </c>
      <c r="K8725" s="15"/>
      <c r="L8725" s="17">
        <v>1</v>
      </c>
      <c r="M8725" s="17">
        <v>50</v>
      </c>
      <c r="N8725" s="17">
        <v>1</v>
      </c>
      <c r="O8725" s="18">
        <v>784.4</v>
      </c>
      <c r="P8725" s="18">
        <v>642.95000000000005</v>
      </c>
      <c r="Q8725" s="18">
        <v>549.08000000000004</v>
      </c>
      <c r="R8725" s="18">
        <v>450.07</v>
      </c>
      <c r="S8725" s="18">
        <v>533.39</v>
      </c>
      <c r="T8725" s="18">
        <v>437.2</v>
      </c>
      <c r="U8725" s="16"/>
      <c r="V8725" s="16"/>
      <c r="W8725" s="16"/>
      <c r="X8725" s="19">
        <v>0.55800000000000005</v>
      </c>
      <c r="Y8725" s="20">
        <v>7.6199999999999998E-4</v>
      </c>
      <c r="Z8725" s="21">
        <v>4601004290587</v>
      </c>
    </row>
    <row r="8726" spans="1:26" ht="12" customHeight="1" outlineLevel="4" x14ac:dyDescent="0.2">
      <c r="A8726" s="14" t="s">
        <v>16651</v>
      </c>
      <c r="B8726" s="26" t="s">
        <v>16652</v>
      </c>
      <c r="C8726" s="52"/>
      <c r="D8726" s="55">
        <f t="shared" si="136"/>
        <v>0</v>
      </c>
      <c r="E8726" s="63" t="str">
        <f>HYPERLINK("https://www.sds-group.ru/product/semnik-maslyanogo-filtra-lentochnyy-55-110mm-rexant-80-0705/", "Инфо")</f>
        <v>Инфо</v>
      </c>
      <c r="F8726" s="16" t="s">
        <v>39</v>
      </c>
      <c r="G8726" s="15"/>
      <c r="H8726" s="15"/>
      <c r="I8726" s="15"/>
      <c r="J8726" s="17">
        <v>96</v>
      </c>
      <c r="K8726" s="15" t="s">
        <v>1650</v>
      </c>
      <c r="L8726" s="17">
        <v>1</v>
      </c>
      <c r="M8726" s="17">
        <v>50</v>
      </c>
      <c r="N8726" s="17">
        <v>1</v>
      </c>
      <c r="O8726" s="18">
        <v>431.21</v>
      </c>
      <c r="P8726" s="18">
        <v>353.45</v>
      </c>
      <c r="Q8726" s="18">
        <v>301.85000000000002</v>
      </c>
      <c r="R8726" s="18">
        <v>247.42</v>
      </c>
      <c r="S8726" s="18">
        <v>293.22000000000003</v>
      </c>
      <c r="T8726" s="18">
        <v>240.34</v>
      </c>
      <c r="U8726" s="16"/>
      <c r="V8726" s="16"/>
      <c r="W8726" s="16"/>
      <c r="X8726" s="19">
        <v>0.189</v>
      </c>
      <c r="Y8726" s="20">
        <v>5.0900000000000001E-4</v>
      </c>
      <c r="Z8726" s="21">
        <v>4601004290723</v>
      </c>
    </row>
    <row r="8727" spans="1:26" ht="12" customHeight="1" outlineLevel="4" x14ac:dyDescent="0.2">
      <c r="A8727" s="40" t="s">
        <v>16653</v>
      </c>
      <c r="B8727" s="75" t="s">
        <v>16654</v>
      </c>
      <c r="C8727" s="51"/>
      <c r="D8727" s="54">
        <f t="shared" si="136"/>
        <v>0</v>
      </c>
      <c r="E8727" s="62"/>
      <c r="F8727" s="42" t="s">
        <v>39</v>
      </c>
      <c r="G8727" s="41" t="s">
        <v>40</v>
      </c>
      <c r="H8727" s="41"/>
      <c r="I8727" s="41"/>
      <c r="J8727" s="42" t="s">
        <v>100</v>
      </c>
      <c r="K8727" s="41" t="s">
        <v>1650</v>
      </c>
      <c r="L8727" s="43">
        <v>1</v>
      </c>
      <c r="M8727" s="43">
        <v>50</v>
      </c>
      <c r="N8727" s="43">
        <v>1</v>
      </c>
      <c r="O8727" s="44">
        <v>444.14</v>
      </c>
      <c r="P8727" s="44">
        <v>364.05</v>
      </c>
      <c r="Q8727" s="44">
        <v>310.89999999999998</v>
      </c>
      <c r="R8727" s="44">
        <v>254.84</v>
      </c>
      <c r="S8727" s="44">
        <v>302.02</v>
      </c>
      <c r="T8727" s="44">
        <v>247.56</v>
      </c>
      <c r="U8727" s="42"/>
      <c r="V8727" s="42"/>
      <c r="W8727" s="42"/>
      <c r="X8727" s="45">
        <v>0.33300000000000002</v>
      </c>
      <c r="Y8727" s="46">
        <v>6.38E-4</v>
      </c>
      <c r="Z8727" s="21">
        <v>4601004290648</v>
      </c>
    </row>
    <row r="8728" spans="1:26" ht="12" customHeight="1" outlineLevel="4" x14ac:dyDescent="0.2">
      <c r="A8728" s="14" t="s">
        <v>16655</v>
      </c>
      <c r="B8728" s="26" t="s">
        <v>16656</v>
      </c>
      <c r="C8728" s="52"/>
      <c r="D8728" s="55">
        <f t="shared" si="136"/>
        <v>0</v>
      </c>
      <c r="E8728" s="63" t="str">
        <f>HYPERLINK("https://www.sds-group.ru/product/semnik-maslyanogo-filtra-tsepnoy-120mm-rexant-80-0704/", "Инфо")</f>
        <v>Инфо</v>
      </c>
      <c r="F8728" s="16" t="s">
        <v>39</v>
      </c>
      <c r="G8728" s="15"/>
      <c r="H8728" s="15"/>
      <c r="I8728" s="15"/>
      <c r="J8728" s="17">
        <v>638</v>
      </c>
      <c r="K8728" s="15"/>
      <c r="L8728" s="17">
        <v>1</v>
      </c>
      <c r="M8728" s="17">
        <v>50</v>
      </c>
      <c r="N8728" s="17">
        <v>1</v>
      </c>
      <c r="O8728" s="18">
        <v>592.91</v>
      </c>
      <c r="P8728" s="18">
        <v>485.99</v>
      </c>
      <c r="Q8728" s="18">
        <v>474.33</v>
      </c>
      <c r="R8728" s="18">
        <v>388.8</v>
      </c>
      <c r="S8728" s="18">
        <v>403.18</v>
      </c>
      <c r="T8728" s="18">
        <v>330.48</v>
      </c>
      <c r="U8728" s="16"/>
      <c r="V8728" s="16"/>
      <c r="W8728" s="16" t="s">
        <v>40</v>
      </c>
      <c r="X8728" s="19">
        <v>0.53</v>
      </c>
      <c r="Y8728" s="20">
        <v>6.8099999999999996E-4</v>
      </c>
      <c r="Z8728" s="21">
        <v>4601004290730</v>
      </c>
    </row>
    <row r="8729" spans="1:26" ht="12" customHeight="1" outlineLevel="4" x14ac:dyDescent="0.2">
      <c r="A8729" s="14" t="s">
        <v>16657</v>
      </c>
      <c r="B8729" s="26" t="s">
        <v>16658</v>
      </c>
      <c r="C8729" s="52"/>
      <c r="D8729" s="55">
        <f t="shared" si="136"/>
        <v>0</v>
      </c>
      <c r="E8729" s="63" t="str">
        <f>HYPERLINK("https://www.sds-group.ru/product/semnik-pistonov-9mm-rexant-80-0711/", "Инфо")</f>
        <v>Инфо</v>
      </c>
      <c r="F8729" s="16" t="s">
        <v>39</v>
      </c>
      <c r="G8729" s="15"/>
      <c r="H8729" s="15"/>
      <c r="I8729" s="15"/>
      <c r="J8729" s="17">
        <v>229</v>
      </c>
      <c r="K8729" s="15" t="s">
        <v>5329</v>
      </c>
      <c r="L8729" s="17">
        <v>10</v>
      </c>
      <c r="M8729" s="17">
        <v>100</v>
      </c>
      <c r="N8729" s="17">
        <v>10</v>
      </c>
      <c r="O8729" s="18">
        <v>183.26</v>
      </c>
      <c r="P8729" s="18">
        <v>150.21</v>
      </c>
      <c r="Q8729" s="18">
        <v>183.26</v>
      </c>
      <c r="R8729" s="18">
        <v>150.21</v>
      </c>
      <c r="S8729" s="18">
        <v>124.62</v>
      </c>
      <c r="T8729" s="18">
        <v>102.15</v>
      </c>
      <c r="U8729" s="16"/>
      <c r="V8729" s="16"/>
      <c r="W8729" s="16" t="s">
        <v>40</v>
      </c>
      <c r="X8729" s="19">
        <v>8.8999999999999996E-2</v>
      </c>
      <c r="Y8729" s="20">
        <v>3.48E-4</v>
      </c>
      <c r="Z8729" s="21">
        <v>4601004290679</v>
      </c>
    </row>
    <row r="8730" spans="1:26" ht="12.95" customHeight="1" outlineLevel="3" x14ac:dyDescent="0.2">
      <c r="A8730" s="76" t="s">
        <v>16659</v>
      </c>
      <c r="B8730" s="76"/>
      <c r="C8730" s="77"/>
      <c r="D8730" s="58"/>
      <c r="E8730" s="68"/>
      <c r="F8730" s="13"/>
      <c r="G8730" s="13"/>
      <c r="H8730" s="13"/>
      <c r="I8730" s="13"/>
      <c r="J8730" s="13"/>
      <c r="K8730" s="13"/>
      <c r="L8730" s="13"/>
      <c r="M8730" s="13"/>
      <c r="N8730" s="13"/>
      <c r="O8730" s="13"/>
      <c r="P8730" s="13"/>
      <c r="Q8730" s="13"/>
      <c r="R8730" s="13"/>
      <c r="S8730" s="13"/>
      <c r="T8730" s="13"/>
      <c r="U8730" s="13"/>
      <c r="V8730" s="13"/>
      <c r="W8730" s="13"/>
      <c r="X8730" s="13"/>
      <c r="Y8730" s="13"/>
      <c r="Z8730" s="13"/>
    </row>
    <row r="8731" spans="1:26" ht="12" customHeight="1" outlineLevel="4" x14ac:dyDescent="0.2">
      <c r="A8731" s="14" t="s">
        <v>16660</v>
      </c>
      <c r="B8731" s="26" t="s">
        <v>16661</v>
      </c>
      <c r="C8731" s="52"/>
      <c r="D8731" s="55">
        <f t="shared" si="136"/>
        <v>0</v>
      </c>
      <c r="E8731" s="63" t="str">
        <f>HYPERLINK("https://www.sds-group.ru/product/lebedka-ruchnaya-2t-rexant-80-0740/", "Инфо")</f>
        <v>Инфо</v>
      </c>
      <c r="F8731" s="16" t="s">
        <v>39</v>
      </c>
      <c r="G8731" s="15"/>
      <c r="H8731" s="15"/>
      <c r="I8731" s="15"/>
      <c r="J8731" s="17">
        <v>46</v>
      </c>
      <c r="K8731" s="15"/>
      <c r="L8731" s="17">
        <v>1</v>
      </c>
      <c r="M8731" s="17">
        <v>10</v>
      </c>
      <c r="N8731" s="17">
        <v>1</v>
      </c>
      <c r="O8731" s="18">
        <v>1617.03</v>
      </c>
      <c r="P8731" s="18">
        <v>1325.43</v>
      </c>
      <c r="Q8731" s="18">
        <v>1245.1099999999999</v>
      </c>
      <c r="R8731" s="18">
        <v>1020.58</v>
      </c>
      <c r="S8731" s="18">
        <v>1099.58</v>
      </c>
      <c r="T8731" s="18">
        <v>901.3</v>
      </c>
      <c r="U8731" s="16"/>
      <c r="V8731" s="16"/>
      <c r="W8731" s="16" t="s">
        <v>40</v>
      </c>
      <c r="X8731" s="19">
        <v>2.423</v>
      </c>
      <c r="Y8731" s="20">
        <v>4.7999999999999996E-3</v>
      </c>
      <c r="Z8731" s="21">
        <v>4601004290693</v>
      </c>
    </row>
    <row r="8732" spans="1:26" ht="12" customHeight="1" outlineLevel="4" x14ac:dyDescent="0.2">
      <c r="A8732" s="14" t="s">
        <v>16662</v>
      </c>
      <c r="B8732" s="26" t="s">
        <v>16663</v>
      </c>
      <c r="C8732" s="52"/>
      <c r="D8732" s="55">
        <f t="shared" si="136"/>
        <v>0</v>
      </c>
      <c r="E8732" s="63" t="str">
        <f>HYPERLINK("https://www.sds-group.ru/product/lebedka-ruchnaya-4t-rexant-80-0741/", "Инфо")</f>
        <v>Инфо</v>
      </c>
      <c r="F8732" s="16" t="s">
        <v>39</v>
      </c>
      <c r="G8732" s="15"/>
      <c r="H8732" s="15"/>
      <c r="I8732" s="15"/>
      <c r="J8732" s="16" t="s">
        <v>100</v>
      </c>
      <c r="K8732" s="15" t="s">
        <v>4899</v>
      </c>
      <c r="L8732" s="17">
        <v>1</v>
      </c>
      <c r="M8732" s="17">
        <v>6</v>
      </c>
      <c r="N8732" s="17">
        <v>1</v>
      </c>
      <c r="O8732" s="18">
        <v>2910.65</v>
      </c>
      <c r="P8732" s="18">
        <v>2385.7800000000002</v>
      </c>
      <c r="Q8732" s="18">
        <v>2124.77</v>
      </c>
      <c r="R8732" s="18">
        <v>1741.61</v>
      </c>
      <c r="S8732" s="18">
        <v>1979.24</v>
      </c>
      <c r="T8732" s="18">
        <v>1622.33</v>
      </c>
      <c r="U8732" s="16"/>
      <c r="V8732" s="16"/>
      <c r="W8732" s="16" t="s">
        <v>40</v>
      </c>
      <c r="X8732" s="19">
        <v>3.6930000000000001</v>
      </c>
      <c r="Y8732" s="20">
        <v>8.6990000000000001E-3</v>
      </c>
      <c r="Z8732" s="21">
        <v>4601004290662</v>
      </c>
    </row>
    <row r="8733" spans="1:26" ht="12.95" customHeight="1" outlineLevel="3" x14ac:dyDescent="0.2">
      <c r="A8733" s="76" t="s">
        <v>16664</v>
      </c>
      <c r="B8733" s="76"/>
      <c r="C8733" s="77"/>
      <c r="D8733" s="58"/>
      <c r="E8733" s="68"/>
      <c r="F8733" s="13"/>
      <c r="G8733" s="13"/>
      <c r="H8733" s="13"/>
      <c r="I8733" s="13"/>
      <c r="J8733" s="13"/>
      <c r="K8733" s="13"/>
      <c r="L8733" s="13"/>
      <c r="M8733" s="13"/>
      <c r="N8733" s="13"/>
      <c r="O8733" s="13"/>
      <c r="P8733" s="13"/>
      <c r="Q8733" s="13"/>
      <c r="R8733" s="13"/>
      <c r="S8733" s="13"/>
      <c r="T8733" s="13"/>
      <c r="U8733" s="13"/>
      <c r="V8733" s="13"/>
      <c r="W8733" s="13"/>
      <c r="X8733" s="13"/>
      <c r="Y8733" s="13"/>
      <c r="Z8733" s="13"/>
    </row>
    <row r="8734" spans="1:26" ht="12" customHeight="1" outlineLevel="4" x14ac:dyDescent="0.2">
      <c r="A8734" s="14" t="s">
        <v>16665</v>
      </c>
      <c r="B8734" s="26" t="s">
        <v>16666</v>
      </c>
      <c r="C8734" s="52"/>
      <c r="D8734" s="55">
        <f t="shared" si="136"/>
        <v>0</v>
      </c>
      <c r="E8734" s="63" t="str">
        <f>HYPERLINK("https://www.sds-group.ru/product/nabor-rezinovyh-kolets-419-predmetov-rexant-80-0780/", "Инфо")</f>
        <v>Инфо</v>
      </c>
      <c r="F8734" s="16" t="s">
        <v>39</v>
      </c>
      <c r="G8734" s="15"/>
      <c r="H8734" s="15"/>
      <c r="I8734" s="15"/>
      <c r="J8734" s="17">
        <v>638</v>
      </c>
      <c r="K8734" s="15"/>
      <c r="L8734" s="17">
        <v>1</v>
      </c>
      <c r="M8734" s="17">
        <v>20</v>
      </c>
      <c r="N8734" s="17">
        <v>1</v>
      </c>
      <c r="O8734" s="18">
        <v>1131.92</v>
      </c>
      <c r="P8734" s="18">
        <v>927.8</v>
      </c>
      <c r="Q8734" s="18">
        <v>894.22</v>
      </c>
      <c r="R8734" s="18">
        <v>732.97</v>
      </c>
      <c r="S8734" s="18">
        <v>769.71</v>
      </c>
      <c r="T8734" s="18">
        <v>630.91</v>
      </c>
      <c r="U8734" s="16"/>
      <c r="V8734" s="16"/>
      <c r="W8734" s="16" t="s">
        <v>40</v>
      </c>
      <c r="X8734" s="19">
        <v>0.629</v>
      </c>
      <c r="Y8734" s="20">
        <v>1.926E-3</v>
      </c>
      <c r="Z8734" s="21">
        <v>4601004290631</v>
      </c>
    </row>
    <row r="8735" spans="1:26" ht="12.95" customHeight="1" outlineLevel="2" x14ac:dyDescent="0.2">
      <c r="A8735" s="76" t="s">
        <v>16667</v>
      </c>
      <c r="B8735" s="76"/>
      <c r="C8735" s="77"/>
      <c r="D8735" s="58"/>
      <c r="E8735" s="68"/>
      <c r="F8735" s="13"/>
      <c r="G8735" s="13"/>
      <c r="H8735" s="13"/>
      <c r="I8735" s="13"/>
      <c r="J8735" s="13"/>
      <c r="K8735" s="13"/>
      <c r="L8735" s="13"/>
      <c r="M8735" s="13"/>
      <c r="N8735" s="13"/>
      <c r="O8735" s="13"/>
      <c r="P8735" s="13"/>
      <c r="Q8735" s="13"/>
      <c r="R8735" s="13"/>
      <c r="S8735" s="13"/>
      <c r="T8735" s="13"/>
      <c r="U8735" s="13"/>
      <c r="V8735" s="13"/>
      <c r="W8735" s="13"/>
      <c r="X8735" s="13"/>
      <c r="Y8735" s="13"/>
      <c r="Z8735" s="13"/>
    </row>
    <row r="8736" spans="1:26" ht="12.95" customHeight="1" outlineLevel="3" x14ac:dyDescent="0.2">
      <c r="A8736" s="76" t="s">
        <v>16668</v>
      </c>
      <c r="B8736" s="76"/>
      <c r="C8736" s="77"/>
      <c r="D8736" s="58"/>
      <c r="E8736" s="68"/>
      <c r="F8736" s="13"/>
      <c r="G8736" s="13"/>
      <c r="H8736" s="13"/>
      <c r="I8736" s="13"/>
      <c r="J8736" s="13"/>
      <c r="K8736" s="13"/>
      <c r="L8736" s="13"/>
      <c r="M8736" s="13"/>
      <c r="N8736" s="13"/>
      <c r="O8736" s="13"/>
      <c r="P8736" s="13"/>
      <c r="Q8736" s="13"/>
      <c r="R8736" s="13"/>
      <c r="S8736" s="13"/>
      <c r="T8736" s="13"/>
      <c r="U8736" s="13"/>
      <c r="V8736" s="13"/>
      <c r="W8736" s="13"/>
      <c r="X8736" s="13"/>
      <c r="Y8736" s="13"/>
      <c r="Z8736" s="13"/>
    </row>
    <row r="8737" spans="1:26" ht="12" customHeight="1" outlineLevel="4" x14ac:dyDescent="0.2">
      <c r="A8737" s="14" t="s">
        <v>16669</v>
      </c>
      <c r="B8737" s="26" t="s">
        <v>16670</v>
      </c>
      <c r="C8737" s="52"/>
      <c r="D8737" s="55">
        <f t="shared" si="136"/>
        <v>0</v>
      </c>
      <c r="E8737" s="63" t="str">
        <f>HYPERLINK("https://www.sds-group.ru/product/schetka-stekloochistitelya-karkasnaya-classic-330mm-rexant-80-0900/", "Инфо")</f>
        <v>Инфо</v>
      </c>
      <c r="F8737" s="16" t="s">
        <v>39</v>
      </c>
      <c r="G8737" s="15"/>
      <c r="H8737" s="15"/>
      <c r="I8737" s="15"/>
      <c r="J8737" s="22">
        <v>1203</v>
      </c>
      <c r="K8737" s="15" t="s">
        <v>979</v>
      </c>
      <c r="L8737" s="17">
        <v>5</v>
      </c>
      <c r="M8737" s="17">
        <v>50</v>
      </c>
      <c r="N8737" s="17">
        <v>5</v>
      </c>
      <c r="O8737" s="18">
        <v>210.22</v>
      </c>
      <c r="P8737" s="18">
        <v>172.31</v>
      </c>
      <c r="Q8737" s="18">
        <v>178.69</v>
      </c>
      <c r="R8737" s="18">
        <v>146.47</v>
      </c>
      <c r="S8737" s="18">
        <v>142.94999999999999</v>
      </c>
      <c r="T8737" s="18">
        <v>117.17</v>
      </c>
      <c r="U8737" s="16"/>
      <c r="V8737" s="16"/>
      <c r="W8737" s="16" t="s">
        <v>40</v>
      </c>
      <c r="X8737" s="19">
        <v>9.4E-2</v>
      </c>
      <c r="Y8737" s="20">
        <v>4.46E-4</v>
      </c>
      <c r="Z8737" s="21">
        <v>4601004290846</v>
      </c>
    </row>
    <row r="8738" spans="1:26" ht="12" customHeight="1" outlineLevel="4" x14ac:dyDescent="0.2">
      <c r="A8738" s="14" t="s">
        <v>16671</v>
      </c>
      <c r="B8738" s="26" t="s">
        <v>16672</v>
      </c>
      <c r="C8738" s="52"/>
      <c r="D8738" s="55">
        <f t="shared" si="136"/>
        <v>0</v>
      </c>
      <c r="E8738" s="63" t="str">
        <f>HYPERLINK("https://www.sds-group.ru/product/schetka-stekloochistitelya-karkasnaya-classic-350mm-rexant-80-0901/", "Инфо")</f>
        <v>Инфо</v>
      </c>
      <c r="F8738" s="16" t="s">
        <v>39</v>
      </c>
      <c r="G8738" s="15"/>
      <c r="H8738" s="15"/>
      <c r="I8738" s="15"/>
      <c r="J8738" s="22">
        <v>1759</v>
      </c>
      <c r="K8738" s="15" t="s">
        <v>6043</v>
      </c>
      <c r="L8738" s="17">
        <v>5</v>
      </c>
      <c r="M8738" s="17">
        <v>50</v>
      </c>
      <c r="N8738" s="17">
        <v>5</v>
      </c>
      <c r="O8738" s="18">
        <v>210.22</v>
      </c>
      <c r="P8738" s="18">
        <v>172.31</v>
      </c>
      <c r="Q8738" s="18">
        <v>178.69</v>
      </c>
      <c r="R8738" s="18">
        <v>146.47</v>
      </c>
      <c r="S8738" s="18">
        <v>142.94999999999999</v>
      </c>
      <c r="T8738" s="18">
        <v>117.17</v>
      </c>
      <c r="U8738" s="16"/>
      <c r="V8738" s="16"/>
      <c r="W8738" s="16" t="s">
        <v>40</v>
      </c>
      <c r="X8738" s="19">
        <v>9.8000000000000004E-2</v>
      </c>
      <c r="Y8738" s="20">
        <v>4.8200000000000001E-4</v>
      </c>
      <c r="Z8738" s="21">
        <v>4601004290792</v>
      </c>
    </row>
    <row r="8739" spans="1:26" ht="12" customHeight="1" outlineLevel="4" x14ac:dyDescent="0.2">
      <c r="A8739" s="14" t="s">
        <v>16673</v>
      </c>
      <c r="B8739" s="26" t="s">
        <v>16674</v>
      </c>
      <c r="C8739" s="52"/>
      <c r="D8739" s="55">
        <f t="shared" si="136"/>
        <v>0</v>
      </c>
      <c r="E8739" s="63" t="str">
        <f>HYPERLINK("https://www.sds-group.ru/product/schetka-stekloochistitelya-karkasnaya-classic-400mm-rexant-80-0902/", "Инфо")</f>
        <v>Инфо</v>
      </c>
      <c r="F8739" s="16" t="s">
        <v>39</v>
      </c>
      <c r="G8739" s="15"/>
      <c r="H8739" s="15"/>
      <c r="I8739" s="15"/>
      <c r="J8739" s="22">
        <v>3941</v>
      </c>
      <c r="K8739" s="15" t="s">
        <v>6043</v>
      </c>
      <c r="L8739" s="17">
        <v>5</v>
      </c>
      <c r="M8739" s="17">
        <v>50</v>
      </c>
      <c r="N8739" s="17">
        <v>5</v>
      </c>
      <c r="O8739" s="18">
        <v>210.22</v>
      </c>
      <c r="P8739" s="18">
        <v>172.31</v>
      </c>
      <c r="Q8739" s="18">
        <v>178.69</v>
      </c>
      <c r="R8739" s="18">
        <v>146.47</v>
      </c>
      <c r="S8739" s="18">
        <v>142.94999999999999</v>
      </c>
      <c r="T8739" s="18">
        <v>117.17</v>
      </c>
      <c r="U8739" s="16"/>
      <c r="V8739" s="16"/>
      <c r="W8739" s="16" t="s">
        <v>40</v>
      </c>
      <c r="X8739" s="19">
        <v>0.111</v>
      </c>
      <c r="Y8739" s="20">
        <v>5.2899999999999996E-4</v>
      </c>
      <c r="Z8739" s="21">
        <v>4601004290808</v>
      </c>
    </row>
    <row r="8740" spans="1:26" ht="12" customHeight="1" outlineLevel="4" x14ac:dyDescent="0.2">
      <c r="A8740" s="14" t="s">
        <v>16675</v>
      </c>
      <c r="B8740" s="26" t="s">
        <v>16676</v>
      </c>
      <c r="C8740" s="52"/>
      <c r="D8740" s="55">
        <f t="shared" si="136"/>
        <v>0</v>
      </c>
      <c r="E8740" s="63" t="str">
        <f>HYPERLINK("https://www.sds-group.ru/product/schetka-stekloochistitelya-karkasnaya-classic-450mm-rexant-80-0903/", "Инфо")</f>
        <v>Инфо</v>
      </c>
      <c r="F8740" s="16" t="s">
        <v>39</v>
      </c>
      <c r="G8740" s="15"/>
      <c r="H8740" s="15"/>
      <c r="I8740" s="15"/>
      <c r="J8740" s="22">
        <v>1826</v>
      </c>
      <c r="K8740" s="15" t="s">
        <v>979</v>
      </c>
      <c r="L8740" s="17">
        <v>5</v>
      </c>
      <c r="M8740" s="17">
        <v>50</v>
      </c>
      <c r="N8740" s="17">
        <v>5</v>
      </c>
      <c r="O8740" s="18">
        <v>235.54</v>
      </c>
      <c r="P8740" s="18">
        <v>193.07</v>
      </c>
      <c r="Q8740" s="18">
        <v>200.21</v>
      </c>
      <c r="R8740" s="18">
        <v>164.11</v>
      </c>
      <c r="S8740" s="18">
        <v>160.16999999999999</v>
      </c>
      <c r="T8740" s="18">
        <v>131.29</v>
      </c>
      <c r="U8740" s="16"/>
      <c r="V8740" s="16"/>
      <c r="W8740" s="16" t="s">
        <v>40</v>
      </c>
      <c r="X8740" s="19">
        <v>0.13100000000000001</v>
      </c>
      <c r="Y8740" s="20">
        <v>6.02E-4</v>
      </c>
      <c r="Z8740" s="21">
        <v>4601004290815</v>
      </c>
    </row>
    <row r="8741" spans="1:26" ht="12" customHeight="1" outlineLevel="4" x14ac:dyDescent="0.2">
      <c r="A8741" s="14" t="s">
        <v>16677</v>
      </c>
      <c r="B8741" s="26" t="s">
        <v>16678</v>
      </c>
      <c r="C8741" s="52"/>
      <c r="D8741" s="55">
        <f t="shared" si="136"/>
        <v>0</v>
      </c>
      <c r="E8741" s="63" t="str">
        <f>HYPERLINK("https://www.sds-group.ru/product/schetka-stekloochistitelya-karkasnaya-classic-500mm-rexant-80-0904/", "Инфо")</f>
        <v>Инфо</v>
      </c>
      <c r="F8741" s="16" t="s">
        <v>39</v>
      </c>
      <c r="G8741" s="15"/>
      <c r="H8741" s="15"/>
      <c r="I8741" s="15"/>
      <c r="J8741" s="22">
        <v>1261</v>
      </c>
      <c r="K8741" s="15" t="s">
        <v>6043</v>
      </c>
      <c r="L8741" s="17">
        <v>5</v>
      </c>
      <c r="M8741" s="17">
        <v>50</v>
      </c>
      <c r="N8741" s="17">
        <v>5</v>
      </c>
      <c r="O8741" s="18">
        <v>247.94</v>
      </c>
      <c r="P8741" s="18">
        <v>203.23</v>
      </c>
      <c r="Q8741" s="18">
        <v>210.75</v>
      </c>
      <c r="R8741" s="18">
        <v>172.75</v>
      </c>
      <c r="S8741" s="18">
        <v>168.6</v>
      </c>
      <c r="T8741" s="18">
        <v>138.19999999999999</v>
      </c>
      <c r="U8741" s="16"/>
      <c r="V8741" s="16"/>
      <c r="W8741" s="16" t="s">
        <v>40</v>
      </c>
      <c r="X8741" s="19">
        <v>0.14399999999999999</v>
      </c>
      <c r="Y8741" s="20">
        <v>6.5399999999999996E-4</v>
      </c>
      <c r="Z8741" s="21">
        <v>4601004290839</v>
      </c>
    </row>
    <row r="8742" spans="1:26" ht="12" customHeight="1" outlineLevel="4" x14ac:dyDescent="0.2">
      <c r="A8742" s="14" t="s">
        <v>16679</v>
      </c>
      <c r="B8742" s="26" t="s">
        <v>16680</v>
      </c>
      <c r="C8742" s="52"/>
      <c r="D8742" s="55">
        <f t="shared" si="136"/>
        <v>0</v>
      </c>
      <c r="E8742" s="63" t="str">
        <f>HYPERLINK("https://www.sds-group.ru/product/schetka-stekloochistitelya-karkasnaya-classic-530mm-rexant-80-0905/", "Инфо")</f>
        <v>Инфо</v>
      </c>
      <c r="F8742" s="16" t="s">
        <v>39</v>
      </c>
      <c r="G8742" s="15"/>
      <c r="H8742" s="15"/>
      <c r="I8742" s="15"/>
      <c r="J8742" s="16" t="s">
        <v>100</v>
      </c>
      <c r="K8742" s="15" t="s">
        <v>6043</v>
      </c>
      <c r="L8742" s="17">
        <v>5</v>
      </c>
      <c r="M8742" s="17">
        <v>50</v>
      </c>
      <c r="N8742" s="17">
        <v>5</v>
      </c>
      <c r="O8742" s="18">
        <v>264.12</v>
      </c>
      <c r="P8742" s="18">
        <v>216.49</v>
      </c>
      <c r="Q8742" s="18">
        <v>224.5</v>
      </c>
      <c r="R8742" s="18">
        <v>184.02</v>
      </c>
      <c r="S8742" s="18">
        <v>179.6</v>
      </c>
      <c r="T8742" s="18">
        <v>147.21</v>
      </c>
      <c r="U8742" s="16"/>
      <c r="V8742" s="16"/>
      <c r="W8742" s="16" t="s">
        <v>40</v>
      </c>
      <c r="X8742" s="19">
        <v>0.156</v>
      </c>
      <c r="Y8742" s="20">
        <v>6.7400000000000001E-4</v>
      </c>
      <c r="Z8742" s="21">
        <v>4601004290921</v>
      </c>
    </row>
    <row r="8743" spans="1:26" ht="12" customHeight="1" outlineLevel="4" x14ac:dyDescent="0.2">
      <c r="A8743" s="14" t="s">
        <v>16681</v>
      </c>
      <c r="B8743" s="26" t="s">
        <v>16682</v>
      </c>
      <c r="C8743" s="52"/>
      <c r="D8743" s="55">
        <f t="shared" si="136"/>
        <v>0</v>
      </c>
      <c r="E8743" s="63" t="str">
        <f>HYPERLINK("https://www.sds-group.ru/product/schetka-stekloochistitelya-karkasnaya-classic-550mm-rexant-80-0906/", "Инфо")</f>
        <v>Инфо</v>
      </c>
      <c r="F8743" s="16" t="s">
        <v>39</v>
      </c>
      <c r="G8743" s="15"/>
      <c r="H8743" s="15"/>
      <c r="I8743" s="15"/>
      <c r="J8743" s="22">
        <v>1042</v>
      </c>
      <c r="K8743" s="15" t="s">
        <v>6043</v>
      </c>
      <c r="L8743" s="17">
        <v>5</v>
      </c>
      <c r="M8743" s="17">
        <v>50</v>
      </c>
      <c r="N8743" s="17">
        <v>5</v>
      </c>
      <c r="O8743" s="18">
        <v>264.12</v>
      </c>
      <c r="P8743" s="18">
        <v>216.49</v>
      </c>
      <c r="Q8743" s="18">
        <v>224.5</v>
      </c>
      <c r="R8743" s="18">
        <v>184.02</v>
      </c>
      <c r="S8743" s="18">
        <v>179.6</v>
      </c>
      <c r="T8743" s="18">
        <v>147.21</v>
      </c>
      <c r="U8743" s="16"/>
      <c r="V8743" s="16"/>
      <c r="W8743" s="16" t="s">
        <v>40</v>
      </c>
      <c r="X8743" s="19">
        <v>0.161</v>
      </c>
      <c r="Y8743" s="20">
        <v>7.2199999999999999E-4</v>
      </c>
      <c r="Z8743" s="21">
        <v>4601004290938</v>
      </c>
    </row>
    <row r="8744" spans="1:26" ht="12" customHeight="1" outlineLevel="4" x14ac:dyDescent="0.2">
      <c r="A8744" s="14" t="s">
        <v>16683</v>
      </c>
      <c r="B8744" s="26" t="s">
        <v>16684</v>
      </c>
      <c r="C8744" s="52"/>
      <c r="D8744" s="55">
        <f t="shared" si="136"/>
        <v>0</v>
      </c>
      <c r="E8744" s="63" t="str">
        <f>HYPERLINK("https://www.sds-group.ru/product/schetka-stekloochistitelya-karkasnaya-classic-600mm-rexant-80-0907/", "Инфо")</f>
        <v>Инфо</v>
      </c>
      <c r="F8744" s="16" t="s">
        <v>39</v>
      </c>
      <c r="G8744" s="15"/>
      <c r="H8744" s="15"/>
      <c r="I8744" s="15"/>
      <c r="J8744" s="17">
        <v>704</v>
      </c>
      <c r="K8744" s="15" t="s">
        <v>6043</v>
      </c>
      <c r="L8744" s="17">
        <v>5</v>
      </c>
      <c r="M8744" s="17">
        <v>50</v>
      </c>
      <c r="N8744" s="17">
        <v>5</v>
      </c>
      <c r="O8744" s="18">
        <v>269.51</v>
      </c>
      <c r="P8744" s="18">
        <v>220.91</v>
      </c>
      <c r="Q8744" s="18">
        <v>229.08</v>
      </c>
      <c r="R8744" s="18">
        <v>187.77</v>
      </c>
      <c r="S8744" s="18">
        <v>183.27</v>
      </c>
      <c r="T8744" s="18">
        <v>150.22</v>
      </c>
      <c r="U8744" s="16"/>
      <c r="V8744" s="16"/>
      <c r="W8744" s="16" t="s">
        <v>40</v>
      </c>
      <c r="X8744" s="19">
        <v>0.17</v>
      </c>
      <c r="Y8744" s="20">
        <v>7.7099999999999998E-4</v>
      </c>
      <c r="Z8744" s="21">
        <v>4601004290884</v>
      </c>
    </row>
    <row r="8745" spans="1:26" ht="12" customHeight="1" outlineLevel="4" x14ac:dyDescent="0.2">
      <c r="A8745" s="14" t="s">
        <v>16685</v>
      </c>
      <c r="B8745" s="26" t="s">
        <v>16686</v>
      </c>
      <c r="C8745" s="52"/>
      <c r="D8745" s="55">
        <f t="shared" si="136"/>
        <v>0</v>
      </c>
      <c r="E8745" s="63" t="str">
        <f>HYPERLINK("https://www.sds-group.ru/product/schetka-stekloochistitelya-karkasnaya-classic-650mm-rexant-80-0908/", "Инфо")</f>
        <v>Инфо</v>
      </c>
      <c r="F8745" s="16" t="s">
        <v>39</v>
      </c>
      <c r="G8745" s="15"/>
      <c r="H8745" s="15"/>
      <c r="I8745" s="15"/>
      <c r="J8745" s="17">
        <v>608</v>
      </c>
      <c r="K8745" s="15" t="s">
        <v>6043</v>
      </c>
      <c r="L8745" s="17">
        <v>5</v>
      </c>
      <c r="M8745" s="17">
        <v>50</v>
      </c>
      <c r="N8745" s="17">
        <v>5</v>
      </c>
      <c r="O8745" s="18">
        <v>300.76</v>
      </c>
      <c r="P8745" s="18">
        <v>246.52</v>
      </c>
      <c r="Q8745" s="18">
        <v>255.65</v>
      </c>
      <c r="R8745" s="18">
        <v>209.55</v>
      </c>
      <c r="S8745" s="18">
        <v>204.52</v>
      </c>
      <c r="T8745" s="18">
        <v>167.64</v>
      </c>
      <c r="U8745" s="16"/>
      <c r="V8745" s="16"/>
      <c r="W8745" s="16" t="s">
        <v>40</v>
      </c>
      <c r="X8745" s="19">
        <v>0.186</v>
      </c>
      <c r="Y8745" s="20">
        <v>8.2399999999999997E-4</v>
      </c>
      <c r="Z8745" s="21">
        <v>4601004290822</v>
      </c>
    </row>
    <row r="8746" spans="1:26" ht="12.95" customHeight="1" outlineLevel="3" x14ac:dyDescent="0.2">
      <c r="A8746" s="76" t="s">
        <v>16687</v>
      </c>
      <c r="B8746" s="76"/>
      <c r="C8746" s="77"/>
      <c r="D8746" s="58"/>
      <c r="E8746" s="68"/>
      <c r="F8746" s="13"/>
      <c r="G8746" s="13"/>
      <c r="H8746" s="13"/>
      <c r="I8746" s="13"/>
      <c r="J8746" s="13"/>
      <c r="K8746" s="13"/>
      <c r="L8746" s="13"/>
      <c r="M8746" s="13"/>
      <c r="N8746" s="13"/>
      <c r="O8746" s="13"/>
      <c r="P8746" s="13"/>
      <c r="Q8746" s="13"/>
      <c r="R8746" s="13"/>
      <c r="S8746" s="13"/>
      <c r="T8746" s="13"/>
      <c r="U8746" s="13"/>
      <c r="V8746" s="13"/>
      <c r="W8746" s="13"/>
      <c r="X8746" s="13"/>
      <c r="Y8746" s="13"/>
      <c r="Z8746" s="13"/>
    </row>
    <row r="8747" spans="1:26" ht="12" customHeight="1" outlineLevel="4" x14ac:dyDescent="0.2">
      <c r="A8747" s="14" t="s">
        <v>16688</v>
      </c>
      <c r="B8747" s="26" t="s">
        <v>16689</v>
      </c>
      <c r="C8747" s="52"/>
      <c r="D8747" s="55">
        <f t="shared" si="136"/>
        <v>0</v>
      </c>
      <c r="E8747" s="63" t="str">
        <f>HYPERLINK("https://www.sds-group.ru/product/schetka-stekloochistitelya-beskarkasnaya-optimal-330mm-rexant-80-0910/", "Инфо")</f>
        <v>Инфо</v>
      </c>
      <c r="F8747" s="16" t="s">
        <v>39</v>
      </c>
      <c r="G8747" s="15"/>
      <c r="H8747" s="15"/>
      <c r="I8747" s="15"/>
      <c r="J8747" s="22">
        <v>1037</v>
      </c>
      <c r="K8747" s="15" t="s">
        <v>979</v>
      </c>
      <c r="L8747" s="17">
        <v>5</v>
      </c>
      <c r="M8747" s="17">
        <v>50</v>
      </c>
      <c r="N8747" s="17">
        <v>5</v>
      </c>
      <c r="O8747" s="18">
        <v>229.62</v>
      </c>
      <c r="P8747" s="18">
        <v>188.21</v>
      </c>
      <c r="Q8747" s="18">
        <v>195.18</v>
      </c>
      <c r="R8747" s="18">
        <v>159.97999999999999</v>
      </c>
      <c r="S8747" s="18">
        <v>156.13999999999999</v>
      </c>
      <c r="T8747" s="18">
        <v>127.98</v>
      </c>
      <c r="U8747" s="16"/>
      <c r="V8747" s="16"/>
      <c r="W8747" s="16" t="s">
        <v>40</v>
      </c>
      <c r="X8747" s="19">
        <v>9.2999999999999999E-2</v>
      </c>
      <c r="Y8747" s="20">
        <v>5.2499999999999997E-4</v>
      </c>
      <c r="Z8747" s="21">
        <v>4601004290785</v>
      </c>
    </row>
    <row r="8748" spans="1:26" ht="12" customHeight="1" outlineLevel="4" x14ac:dyDescent="0.2">
      <c r="A8748" s="14" t="s">
        <v>16690</v>
      </c>
      <c r="B8748" s="26" t="s">
        <v>16691</v>
      </c>
      <c r="C8748" s="52"/>
      <c r="D8748" s="55">
        <f t="shared" si="136"/>
        <v>0</v>
      </c>
      <c r="E8748" s="63" t="str">
        <f>HYPERLINK("https://www.sds-group.ru/product/schetka-stekloochistitelya-beskarkasnaya-optimal-350mm-rexant-80-0911/", "Инфо")</f>
        <v>Инфо</v>
      </c>
      <c r="F8748" s="16" t="s">
        <v>39</v>
      </c>
      <c r="G8748" s="15"/>
      <c r="H8748" s="15"/>
      <c r="I8748" s="15"/>
      <c r="J8748" s="17">
        <v>369</v>
      </c>
      <c r="K8748" s="15" t="s">
        <v>6043</v>
      </c>
      <c r="L8748" s="17">
        <v>5</v>
      </c>
      <c r="M8748" s="17">
        <v>50</v>
      </c>
      <c r="N8748" s="17">
        <v>5</v>
      </c>
      <c r="O8748" s="18">
        <v>229.62</v>
      </c>
      <c r="P8748" s="18">
        <v>188.21</v>
      </c>
      <c r="Q8748" s="18">
        <v>195.18</v>
      </c>
      <c r="R8748" s="18">
        <v>159.97999999999999</v>
      </c>
      <c r="S8748" s="18">
        <v>156.13999999999999</v>
      </c>
      <c r="T8748" s="18">
        <v>127.98</v>
      </c>
      <c r="U8748" s="16"/>
      <c r="V8748" s="16"/>
      <c r="W8748" s="16" t="s">
        <v>40</v>
      </c>
      <c r="X8748" s="19">
        <v>9.9000000000000005E-2</v>
      </c>
      <c r="Y8748" s="20">
        <v>5.5900000000000004E-4</v>
      </c>
      <c r="Z8748" s="21">
        <v>4601004290907</v>
      </c>
    </row>
    <row r="8749" spans="1:26" ht="12" customHeight="1" outlineLevel="4" x14ac:dyDescent="0.2">
      <c r="A8749" s="14" t="s">
        <v>16692</v>
      </c>
      <c r="B8749" s="26" t="s">
        <v>16693</v>
      </c>
      <c r="C8749" s="52"/>
      <c r="D8749" s="55">
        <f t="shared" si="136"/>
        <v>0</v>
      </c>
      <c r="E8749" s="63" t="str">
        <f>HYPERLINK("https://www.sds-group.ru/product/schetka-stekloochistitelya-beskarkasnaya-optimal-400mm-rexant-80-0912/", "Инфо")</f>
        <v>Инфо</v>
      </c>
      <c r="F8749" s="16" t="s">
        <v>39</v>
      </c>
      <c r="G8749" s="15"/>
      <c r="H8749" s="15"/>
      <c r="I8749" s="15"/>
      <c r="J8749" s="22">
        <v>2960</v>
      </c>
      <c r="K8749" s="15" t="s">
        <v>6043</v>
      </c>
      <c r="L8749" s="17">
        <v>5</v>
      </c>
      <c r="M8749" s="17">
        <v>50</v>
      </c>
      <c r="N8749" s="17">
        <v>5</v>
      </c>
      <c r="O8749" s="18">
        <v>229.62</v>
      </c>
      <c r="P8749" s="18">
        <v>188.21</v>
      </c>
      <c r="Q8749" s="18">
        <v>195.18</v>
      </c>
      <c r="R8749" s="18">
        <v>159.97999999999999</v>
      </c>
      <c r="S8749" s="18">
        <v>156.13999999999999</v>
      </c>
      <c r="T8749" s="18">
        <v>127.98</v>
      </c>
      <c r="U8749" s="16"/>
      <c r="V8749" s="16"/>
      <c r="W8749" s="16" t="s">
        <v>40</v>
      </c>
      <c r="X8749" s="19">
        <v>0.112</v>
      </c>
      <c r="Y8749" s="20">
        <v>6.2399999999999999E-4</v>
      </c>
      <c r="Z8749" s="21">
        <v>4601004290969</v>
      </c>
    </row>
    <row r="8750" spans="1:26" ht="12" customHeight="1" outlineLevel="4" x14ac:dyDescent="0.2">
      <c r="A8750" s="14" t="s">
        <v>16694</v>
      </c>
      <c r="B8750" s="26" t="s">
        <v>16695</v>
      </c>
      <c r="C8750" s="52"/>
      <c r="D8750" s="55">
        <f t="shared" si="136"/>
        <v>0</v>
      </c>
      <c r="E8750" s="63" t="str">
        <f>HYPERLINK("https://www.sds-group.ru/product/schetka-stekloochistitelya-beskarkasnaya-optimal-450mm-rexant-80-0913/", "Инфо")</f>
        <v>Инфо</v>
      </c>
      <c r="F8750" s="16" t="s">
        <v>39</v>
      </c>
      <c r="G8750" s="15"/>
      <c r="H8750" s="15"/>
      <c r="I8750" s="15"/>
      <c r="J8750" s="22">
        <v>2033</v>
      </c>
      <c r="K8750" s="15" t="s">
        <v>6043</v>
      </c>
      <c r="L8750" s="17">
        <v>5</v>
      </c>
      <c r="M8750" s="17">
        <v>50</v>
      </c>
      <c r="N8750" s="17">
        <v>5</v>
      </c>
      <c r="O8750" s="18">
        <v>255.49</v>
      </c>
      <c r="P8750" s="18">
        <v>209.42</v>
      </c>
      <c r="Q8750" s="18">
        <v>217.17</v>
      </c>
      <c r="R8750" s="18">
        <v>178.01</v>
      </c>
      <c r="S8750" s="18">
        <v>173.73</v>
      </c>
      <c r="T8750" s="18">
        <v>142.4</v>
      </c>
      <c r="U8750" s="16"/>
      <c r="V8750" s="16"/>
      <c r="W8750" s="16" t="s">
        <v>40</v>
      </c>
      <c r="X8750" s="19">
        <v>0.126</v>
      </c>
      <c r="Y8750" s="20">
        <v>7.0399999999999998E-4</v>
      </c>
      <c r="Z8750" s="21">
        <v>4601004290976</v>
      </c>
    </row>
    <row r="8751" spans="1:26" ht="12" customHeight="1" outlineLevel="4" x14ac:dyDescent="0.2">
      <c r="A8751" s="14" t="s">
        <v>16696</v>
      </c>
      <c r="B8751" s="26" t="s">
        <v>16697</v>
      </c>
      <c r="C8751" s="52"/>
      <c r="D8751" s="55">
        <f t="shared" si="136"/>
        <v>0</v>
      </c>
      <c r="E8751" s="63" t="str">
        <f>HYPERLINK("https://www.sds-group.ru/product/schetka-stekloochistitelya-beskarkasnaya-optimal-500mm-rexant-80-0914/", "Инфо")</f>
        <v>Инфо</v>
      </c>
      <c r="F8751" s="16" t="s">
        <v>39</v>
      </c>
      <c r="G8751" s="15"/>
      <c r="H8751" s="15"/>
      <c r="I8751" s="15"/>
      <c r="J8751" s="22">
        <v>6506</v>
      </c>
      <c r="K8751" s="15" t="s">
        <v>6043</v>
      </c>
      <c r="L8751" s="17">
        <v>5</v>
      </c>
      <c r="M8751" s="17">
        <v>50</v>
      </c>
      <c r="N8751" s="17">
        <v>5</v>
      </c>
      <c r="O8751" s="18">
        <v>255.49</v>
      </c>
      <c r="P8751" s="18">
        <v>209.42</v>
      </c>
      <c r="Q8751" s="18">
        <v>217.17</v>
      </c>
      <c r="R8751" s="18">
        <v>178.01</v>
      </c>
      <c r="S8751" s="18">
        <v>173.73</v>
      </c>
      <c r="T8751" s="18">
        <v>142.4</v>
      </c>
      <c r="U8751" s="16"/>
      <c r="V8751" s="16"/>
      <c r="W8751" s="16" t="s">
        <v>40</v>
      </c>
      <c r="X8751" s="19">
        <v>0.14099999999999999</v>
      </c>
      <c r="Y8751" s="20">
        <v>7.4799999999999997E-4</v>
      </c>
      <c r="Z8751" s="21">
        <v>4601004290860</v>
      </c>
    </row>
    <row r="8752" spans="1:26" ht="12" customHeight="1" outlineLevel="4" x14ac:dyDescent="0.2">
      <c r="A8752" s="14" t="s">
        <v>16698</v>
      </c>
      <c r="B8752" s="26" t="s">
        <v>16699</v>
      </c>
      <c r="C8752" s="52"/>
      <c r="D8752" s="55">
        <f t="shared" si="136"/>
        <v>0</v>
      </c>
      <c r="E8752" s="63" t="str">
        <f>HYPERLINK("https://www.sds-group.ru/product/schetka-stekloochistitelya-beskarkasnaya-optimal-530mm-rexant-80-0915/", "Инфо")</f>
        <v>Инфо</v>
      </c>
      <c r="F8752" s="16" t="s">
        <v>39</v>
      </c>
      <c r="G8752" s="15"/>
      <c r="H8752" s="15"/>
      <c r="I8752" s="15"/>
      <c r="J8752" s="22">
        <v>1627</v>
      </c>
      <c r="K8752" s="15" t="s">
        <v>6043</v>
      </c>
      <c r="L8752" s="17">
        <v>5</v>
      </c>
      <c r="M8752" s="17">
        <v>50</v>
      </c>
      <c r="N8752" s="17">
        <v>5</v>
      </c>
      <c r="O8752" s="18">
        <v>255.49</v>
      </c>
      <c r="P8752" s="18">
        <v>209.42</v>
      </c>
      <c r="Q8752" s="18">
        <v>217.17</v>
      </c>
      <c r="R8752" s="18">
        <v>178.01</v>
      </c>
      <c r="S8752" s="18">
        <v>173.73</v>
      </c>
      <c r="T8752" s="18">
        <v>142.4</v>
      </c>
      <c r="U8752" s="16"/>
      <c r="V8752" s="16"/>
      <c r="W8752" s="16" t="s">
        <v>40</v>
      </c>
      <c r="X8752" s="19">
        <v>0.14499999999999999</v>
      </c>
      <c r="Y8752" s="20">
        <v>7.8700000000000005E-4</v>
      </c>
      <c r="Z8752" s="21">
        <v>4601004290945</v>
      </c>
    </row>
    <row r="8753" spans="1:26" ht="12" customHeight="1" outlineLevel="4" x14ac:dyDescent="0.2">
      <c r="A8753" s="14" t="s">
        <v>16700</v>
      </c>
      <c r="B8753" s="26" t="s">
        <v>16701</v>
      </c>
      <c r="C8753" s="52"/>
      <c r="D8753" s="55">
        <f t="shared" si="136"/>
        <v>0</v>
      </c>
      <c r="E8753" s="63" t="str">
        <f>HYPERLINK("https://www.sds-group.ru/product/schetka-stekloochistitelya-beskarkasnaya-optimal-550mm-rexant-80-0916/", "Инфо")</f>
        <v>Инфо</v>
      </c>
      <c r="F8753" s="16" t="s">
        <v>39</v>
      </c>
      <c r="G8753" s="15"/>
      <c r="H8753" s="15"/>
      <c r="I8753" s="15"/>
      <c r="J8753" s="22">
        <v>3429</v>
      </c>
      <c r="K8753" s="15" t="s">
        <v>979</v>
      </c>
      <c r="L8753" s="17">
        <v>5</v>
      </c>
      <c r="M8753" s="17">
        <v>50</v>
      </c>
      <c r="N8753" s="17">
        <v>5</v>
      </c>
      <c r="O8753" s="18">
        <v>266.27</v>
      </c>
      <c r="P8753" s="18">
        <v>218.25</v>
      </c>
      <c r="Q8753" s="18">
        <v>226.33</v>
      </c>
      <c r="R8753" s="18">
        <v>185.52</v>
      </c>
      <c r="S8753" s="18">
        <v>181.06</v>
      </c>
      <c r="T8753" s="18">
        <v>148.41</v>
      </c>
      <c r="U8753" s="16"/>
      <c r="V8753" s="16"/>
      <c r="W8753" s="16" t="s">
        <v>40</v>
      </c>
      <c r="X8753" s="19">
        <v>0.158</v>
      </c>
      <c r="Y8753" s="20">
        <v>8.6700000000000004E-4</v>
      </c>
      <c r="Z8753" s="21">
        <v>4601004291034</v>
      </c>
    </row>
    <row r="8754" spans="1:26" ht="12" customHeight="1" outlineLevel="4" x14ac:dyDescent="0.2">
      <c r="A8754" s="14" t="s">
        <v>16702</v>
      </c>
      <c r="B8754" s="26" t="s">
        <v>16703</v>
      </c>
      <c r="C8754" s="52"/>
      <c r="D8754" s="55">
        <f t="shared" si="136"/>
        <v>0</v>
      </c>
      <c r="E8754" s="63" t="str">
        <f>HYPERLINK("https://www.sds-group.ru/product/schetka-stekloochistitelya-beskarkasnaya-optimal-600mm-rexant-80-0917/", "Инфо")</f>
        <v>Инфо</v>
      </c>
      <c r="F8754" s="16" t="s">
        <v>39</v>
      </c>
      <c r="G8754" s="15"/>
      <c r="H8754" s="15"/>
      <c r="I8754" s="15"/>
      <c r="J8754" s="22">
        <v>3841</v>
      </c>
      <c r="K8754" s="15" t="s">
        <v>1272</v>
      </c>
      <c r="L8754" s="17">
        <v>5</v>
      </c>
      <c r="M8754" s="17">
        <v>50</v>
      </c>
      <c r="N8754" s="17">
        <v>5</v>
      </c>
      <c r="O8754" s="18">
        <v>275.97000000000003</v>
      </c>
      <c r="P8754" s="18">
        <v>226.2</v>
      </c>
      <c r="Q8754" s="18">
        <v>234.57</v>
      </c>
      <c r="R8754" s="18">
        <v>192.27</v>
      </c>
      <c r="S8754" s="18">
        <v>187.66</v>
      </c>
      <c r="T8754" s="18">
        <v>153.82</v>
      </c>
      <c r="U8754" s="16"/>
      <c r="V8754" s="16"/>
      <c r="W8754" s="16" t="s">
        <v>40</v>
      </c>
      <c r="X8754" s="19">
        <v>0.16800000000000001</v>
      </c>
      <c r="Y8754" s="20">
        <v>8.9099999999999997E-4</v>
      </c>
      <c r="Z8754" s="21">
        <v>4601004291010</v>
      </c>
    </row>
    <row r="8755" spans="1:26" ht="12" customHeight="1" outlineLevel="4" x14ac:dyDescent="0.2">
      <c r="A8755" s="14" t="s">
        <v>16704</v>
      </c>
      <c r="B8755" s="26" t="s">
        <v>16705</v>
      </c>
      <c r="C8755" s="52"/>
      <c r="D8755" s="55">
        <f t="shared" si="136"/>
        <v>0</v>
      </c>
      <c r="E8755" s="63" t="str">
        <f>HYPERLINK("https://www.sds-group.ru/product/schetka-stekloochistitelya-beskarkasnaya-optimal-650mm-rexant-80-0918/", "Инфо")</f>
        <v>Инфо</v>
      </c>
      <c r="F8755" s="16" t="s">
        <v>39</v>
      </c>
      <c r="G8755" s="15"/>
      <c r="H8755" s="15"/>
      <c r="I8755" s="15"/>
      <c r="J8755" s="17">
        <v>278</v>
      </c>
      <c r="K8755" s="15" t="s">
        <v>6043</v>
      </c>
      <c r="L8755" s="17">
        <v>5</v>
      </c>
      <c r="M8755" s="17">
        <v>50</v>
      </c>
      <c r="N8755" s="17">
        <v>5</v>
      </c>
      <c r="O8755" s="18">
        <v>301.85000000000002</v>
      </c>
      <c r="P8755" s="18">
        <v>247.42</v>
      </c>
      <c r="Q8755" s="18">
        <v>256.57</v>
      </c>
      <c r="R8755" s="18">
        <v>210.3</v>
      </c>
      <c r="S8755" s="18">
        <v>205.26</v>
      </c>
      <c r="T8755" s="18">
        <v>168.25</v>
      </c>
      <c r="U8755" s="16"/>
      <c r="V8755" s="16"/>
      <c r="W8755" s="16" t="s">
        <v>40</v>
      </c>
      <c r="X8755" s="19">
        <v>0.182</v>
      </c>
      <c r="Y8755" s="20">
        <v>9.6000000000000002E-4</v>
      </c>
      <c r="Z8755" s="21">
        <v>4601004291041</v>
      </c>
    </row>
    <row r="8756" spans="1:26" ht="12.95" customHeight="1" outlineLevel="3" x14ac:dyDescent="0.2">
      <c r="A8756" s="76" t="s">
        <v>16706</v>
      </c>
      <c r="B8756" s="76"/>
      <c r="C8756" s="77"/>
      <c r="D8756" s="58"/>
      <c r="E8756" s="68"/>
      <c r="F8756" s="13"/>
      <c r="G8756" s="13"/>
      <c r="H8756" s="13"/>
      <c r="I8756" s="13"/>
      <c r="J8756" s="13"/>
      <c r="K8756" s="13"/>
      <c r="L8756" s="13"/>
      <c r="M8756" s="13"/>
      <c r="N8756" s="13"/>
      <c r="O8756" s="13"/>
      <c r="P8756" s="13"/>
      <c r="Q8756" s="13"/>
      <c r="R8756" s="13"/>
      <c r="S8756" s="13"/>
      <c r="T8756" s="13"/>
      <c r="U8756" s="13"/>
      <c r="V8756" s="13"/>
      <c r="W8756" s="13"/>
      <c r="X8756" s="13"/>
      <c r="Y8756" s="13"/>
      <c r="Z8756" s="13"/>
    </row>
    <row r="8757" spans="1:26" ht="12" customHeight="1" outlineLevel="4" x14ac:dyDescent="0.2">
      <c r="A8757" s="14" t="s">
        <v>16707</v>
      </c>
      <c r="B8757" s="26" t="s">
        <v>16708</v>
      </c>
      <c r="C8757" s="52"/>
      <c r="D8757" s="55">
        <f t="shared" si="136"/>
        <v>0</v>
      </c>
      <c r="E8757" s="63" t="str">
        <f>HYPERLINK("https://www.sds-group.ru/product/schetka-stekloochistitelya-beskarkasnaya-multi-clamp-330mm-rexant-80-0920/", "Инфо")</f>
        <v>Инфо</v>
      </c>
      <c r="F8757" s="16" t="s">
        <v>39</v>
      </c>
      <c r="G8757" s="15"/>
      <c r="H8757" s="15"/>
      <c r="I8757" s="15"/>
      <c r="J8757" s="17">
        <v>143</v>
      </c>
      <c r="K8757" s="15"/>
      <c r="L8757" s="17">
        <v>5</v>
      </c>
      <c r="M8757" s="17">
        <v>50</v>
      </c>
      <c r="N8757" s="17">
        <v>5</v>
      </c>
      <c r="O8757" s="18">
        <v>431.21</v>
      </c>
      <c r="P8757" s="18">
        <v>353.45</v>
      </c>
      <c r="Q8757" s="18">
        <v>344.97</v>
      </c>
      <c r="R8757" s="18">
        <v>282.76</v>
      </c>
      <c r="S8757" s="18">
        <v>293.22000000000003</v>
      </c>
      <c r="T8757" s="18">
        <v>240.34</v>
      </c>
      <c r="U8757" s="16"/>
      <c r="V8757" s="16"/>
      <c r="W8757" s="16" t="s">
        <v>40</v>
      </c>
      <c r="X8757" s="19">
        <v>0.214</v>
      </c>
      <c r="Y8757" s="20">
        <v>1.005E-3</v>
      </c>
      <c r="Z8757" s="21">
        <v>4601004291027</v>
      </c>
    </row>
    <row r="8758" spans="1:26" ht="12" customHeight="1" outlineLevel="4" x14ac:dyDescent="0.2">
      <c r="A8758" s="14" t="s">
        <v>16709</v>
      </c>
      <c r="B8758" s="26" t="s">
        <v>16710</v>
      </c>
      <c r="C8758" s="52"/>
      <c r="D8758" s="55">
        <f t="shared" si="136"/>
        <v>0</v>
      </c>
      <c r="E8758" s="63" t="str">
        <f>HYPERLINK("https://www.sds-group.ru/product/schetka-stekloochistitelya-beskarkasnaya-multi-clamp-350mm-rexant-80-0921/", "Инфо")</f>
        <v>Инфо</v>
      </c>
      <c r="F8758" s="16" t="s">
        <v>39</v>
      </c>
      <c r="G8758" s="15"/>
      <c r="H8758" s="15"/>
      <c r="I8758" s="15"/>
      <c r="J8758" s="17">
        <v>1</v>
      </c>
      <c r="K8758" s="15" t="s">
        <v>6043</v>
      </c>
      <c r="L8758" s="17">
        <v>1</v>
      </c>
      <c r="M8758" s="17">
        <v>50</v>
      </c>
      <c r="N8758" s="17">
        <v>1</v>
      </c>
      <c r="O8758" s="18">
        <v>431.21</v>
      </c>
      <c r="P8758" s="18">
        <v>353.45</v>
      </c>
      <c r="Q8758" s="18">
        <v>344.97</v>
      </c>
      <c r="R8758" s="18">
        <v>282.76</v>
      </c>
      <c r="S8758" s="18">
        <v>293.22000000000003</v>
      </c>
      <c r="T8758" s="18">
        <v>240.34</v>
      </c>
      <c r="U8758" s="16"/>
      <c r="V8758" s="16"/>
      <c r="W8758" s="16" t="s">
        <v>40</v>
      </c>
      <c r="X8758" s="19">
        <v>0.218</v>
      </c>
      <c r="Y8758" s="20">
        <v>9.9599999999999992E-4</v>
      </c>
      <c r="Z8758" s="21">
        <v>4601004291003</v>
      </c>
    </row>
    <row r="8759" spans="1:26" ht="12" customHeight="1" outlineLevel="4" x14ac:dyDescent="0.2">
      <c r="A8759" s="14" t="s">
        <v>16711</v>
      </c>
      <c r="B8759" s="26" t="s">
        <v>16712</v>
      </c>
      <c r="C8759" s="52"/>
      <c r="D8759" s="55">
        <f t="shared" si="136"/>
        <v>0</v>
      </c>
      <c r="E8759" s="63" t="str">
        <f>HYPERLINK("https://www.sds-group.ru/product/schetka-stekloochistitelya-beskarkasnaya-multi-clamp-400mm-rexant-80-0922/", "Инфо")</f>
        <v>Инфо</v>
      </c>
      <c r="F8759" s="16" t="s">
        <v>39</v>
      </c>
      <c r="G8759" s="15"/>
      <c r="H8759" s="15"/>
      <c r="I8759" s="15"/>
      <c r="J8759" s="17">
        <v>795</v>
      </c>
      <c r="K8759" s="15" t="s">
        <v>979</v>
      </c>
      <c r="L8759" s="17">
        <v>1</v>
      </c>
      <c r="M8759" s="17">
        <v>50</v>
      </c>
      <c r="N8759" s="17">
        <v>1</v>
      </c>
      <c r="O8759" s="18">
        <v>431.21</v>
      </c>
      <c r="P8759" s="18">
        <v>353.45</v>
      </c>
      <c r="Q8759" s="18">
        <v>344.97</v>
      </c>
      <c r="R8759" s="18">
        <v>282.76</v>
      </c>
      <c r="S8759" s="18">
        <v>293.22000000000003</v>
      </c>
      <c r="T8759" s="18">
        <v>240.34</v>
      </c>
      <c r="U8759" s="16"/>
      <c r="V8759" s="16"/>
      <c r="W8759" s="16" t="s">
        <v>40</v>
      </c>
      <c r="X8759" s="19">
        <v>0.22900000000000001</v>
      </c>
      <c r="Y8759" s="20">
        <v>1.0330000000000001E-3</v>
      </c>
      <c r="Z8759" s="21">
        <v>4601004290990</v>
      </c>
    </row>
    <row r="8760" spans="1:26" ht="12" customHeight="1" outlineLevel="4" x14ac:dyDescent="0.2">
      <c r="A8760" s="14" t="s">
        <v>16713</v>
      </c>
      <c r="B8760" s="26" t="s">
        <v>16714</v>
      </c>
      <c r="C8760" s="52"/>
      <c r="D8760" s="55">
        <f t="shared" si="136"/>
        <v>0</v>
      </c>
      <c r="E8760" s="63" t="str">
        <f>HYPERLINK("https://www.sds-group.ru/product/schetka-stekloochistitelya-beskarkasnaya-multi-clamp-450mm-rexant-80-0923/", "Инфо")</f>
        <v>Инфо</v>
      </c>
      <c r="F8760" s="16" t="s">
        <v>39</v>
      </c>
      <c r="G8760" s="15"/>
      <c r="H8760" s="15"/>
      <c r="I8760" s="15"/>
      <c r="J8760" s="17">
        <v>373</v>
      </c>
      <c r="K8760" s="15" t="s">
        <v>6043</v>
      </c>
      <c r="L8760" s="17">
        <v>1</v>
      </c>
      <c r="M8760" s="17">
        <v>50</v>
      </c>
      <c r="N8760" s="17">
        <v>1</v>
      </c>
      <c r="O8760" s="18">
        <v>485.11</v>
      </c>
      <c r="P8760" s="18">
        <v>397.63</v>
      </c>
      <c r="Q8760" s="18">
        <v>388.09</v>
      </c>
      <c r="R8760" s="18">
        <v>318.11</v>
      </c>
      <c r="S8760" s="18">
        <v>329.87</v>
      </c>
      <c r="T8760" s="18">
        <v>270.39</v>
      </c>
      <c r="U8760" s="16"/>
      <c r="V8760" s="16"/>
      <c r="W8760" s="16" t="s">
        <v>40</v>
      </c>
      <c r="X8760" s="19">
        <v>0.24099999999999999</v>
      </c>
      <c r="Y8760" s="20">
        <v>1.0449999999999999E-3</v>
      </c>
      <c r="Z8760" s="21">
        <v>4601004290983</v>
      </c>
    </row>
    <row r="8761" spans="1:26" ht="12" customHeight="1" outlineLevel="4" x14ac:dyDescent="0.2">
      <c r="A8761" s="14" t="s">
        <v>16715</v>
      </c>
      <c r="B8761" s="26" t="s">
        <v>16716</v>
      </c>
      <c r="C8761" s="52"/>
      <c r="D8761" s="55">
        <f t="shared" si="136"/>
        <v>0</v>
      </c>
      <c r="E8761" s="63" t="str">
        <f>HYPERLINK("https://www.sds-group.ru/product/schetka-stekloochistitelya-beskarkasnaya-multi-clamp-500mm-rexant-80-0924/", "Инфо")</f>
        <v>Инфо</v>
      </c>
      <c r="F8761" s="16" t="s">
        <v>39</v>
      </c>
      <c r="G8761" s="15"/>
      <c r="H8761" s="15"/>
      <c r="I8761" s="15"/>
      <c r="J8761" s="17">
        <v>1</v>
      </c>
      <c r="K8761" s="15" t="s">
        <v>6043</v>
      </c>
      <c r="L8761" s="17">
        <v>1</v>
      </c>
      <c r="M8761" s="17">
        <v>50</v>
      </c>
      <c r="N8761" s="17">
        <v>1</v>
      </c>
      <c r="O8761" s="18">
        <v>485.11</v>
      </c>
      <c r="P8761" s="18">
        <v>397.63</v>
      </c>
      <c r="Q8761" s="18">
        <v>388.09</v>
      </c>
      <c r="R8761" s="18">
        <v>318.11</v>
      </c>
      <c r="S8761" s="18">
        <v>329.87</v>
      </c>
      <c r="T8761" s="18">
        <v>270.39</v>
      </c>
      <c r="U8761" s="16"/>
      <c r="V8761" s="16"/>
      <c r="W8761" s="16" t="s">
        <v>40</v>
      </c>
      <c r="X8761" s="19">
        <v>0.254</v>
      </c>
      <c r="Y8761" s="20">
        <v>1.0449999999999999E-3</v>
      </c>
      <c r="Z8761" s="21">
        <v>4601004290952</v>
      </c>
    </row>
    <row r="8762" spans="1:26" ht="12" customHeight="1" outlineLevel="4" x14ac:dyDescent="0.2">
      <c r="A8762" s="14" t="s">
        <v>16717</v>
      </c>
      <c r="B8762" s="26" t="s">
        <v>16718</v>
      </c>
      <c r="C8762" s="52"/>
      <c r="D8762" s="55">
        <f t="shared" si="136"/>
        <v>0</v>
      </c>
      <c r="E8762" s="63" t="str">
        <f>HYPERLINK("https://www.sds-group.ru/product/schetka-stekloochistitelya-beskarkasnaya-multi-clamp-530mm-rexant-80-0925/", "Инфо")</f>
        <v>Инфо</v>
      </c>
      <c r="F8762" s="16" t="s">
        <v>39</v>
      </c>
      <c r="G8762" s="15"/>
      <c r="H8762" s="15"/>
      <c r="I8762" s="15"/>
      <c r="J8762" s="17">
        <v>603</v>
      </c>
      <c r="K8762" s="15" t="s">
        <v>979</v>
      </c>
      <c r="L8762" s="17">
        <v>1</v>
      </c>
      <c r="M8762" s="17">
        <v>50</v>
      </c>
      <c r="N8762" s="17">
        <v>1</v>
      </c>
      <c r="O8762" s="18">
        <v>490.5</v>
      </c>
      <c r="P8762" s="18">
        <v>402.05</v>
      </c>
      <c r="Q8762" s="18">
        <v>392.4</v>
      </c>
      <c r="R8762" s="18">
        <v>321.64</v>
      </c>
      <c r="S8762" s="18">
        <v>333.54</v>
      </c>
      <c r="T8762" s="18">
        <v>273.39</v>
      </c>
      <c r="U8762" s="16"/>
      <c r="V8762" s="16"/>
      <c r="W8762" s="16" t="s">
        <v>40</v>
      </c>
      <c r="X8762" s="19">
        <v>0.26300000000000001</v>
      </c>
      <c r="Y8762" s="20">
        <v>1.1329999999999999E-3</v>
      </c>
      <c r="Z8762" s="21">
        <v>4601004290914</v>
      </c>
    </row>
    <row r="8763" spans="1:26" ht="12" customHeight="1" outlineLevel="4" x14ac:dyDescent="0.2">
      <c r="A8763" s="14" t="s">
        <v>16719</v>
      </c>
      <c r="B8763" s="26" t="s">
        <v>16720</v>
      </c>
      <c r="C8763" s="52"/>
      <c r="D8763" s="55">
        <f t="shared" si="136"/>
        <v>0</v>
      </c>
      <c r="E8763" s="63" t="str">
        <f>HYPERLINK("https://www.sds-group.ru/product/schetka-stekloochistitelya-beskarkasnaya-multi-clamp-550mm-rexant-80-0926/", "Инфо")</f>
        <v>Инфо</v>
      </c>
      <c r="F8763" s="16" t="s">
        <v>39</v>
      </c>
      <c r="G8763" s="15"/>
      <c r="H8763" s="15"/>
      <c r="I8763" s="15"/>
      <c r="J8763" s="17">
        <v>327</v>
      </c>
      <c r="K8763" s="15" t="s">
        <v>979</v>
      </c>
      <c r="L8763" s="17">
        <v>1</v>
      </c>
      <c r="M8763" s="17">
        <v>50</v>
      </c>
      <c r="N8763" s="17">
        <v>1</v>
      </c>
      <c r="O8763" s="18">
        <v>490.5</v>
      </c>
      <c r="P8763" s="18">
        <v>402.05</v>
      </c>
      <c r="Q8763" s="18">
        <v>392.4</v>
      </c>
      <c r="R8763" s="18">
        <v>321.64</v>
      </c>
      <c r="S8763" s="18">
        <v>333.54</v>
      </c>
      <c r="T8763" s="18">
        <v>273.39</v>
      </c>
      <c r="U8763" s="16"/>
      <c r="V8763" s="16"/>
      <c r="W8763" s="16" t="s">
        <v>40</v>
      </c>
      <c r="X8763" s="19">
        <v>0.26900000000000002</v>
      </c>
      <c r="Y8763" s="20">
        <v>1.1230000000000001E-3</v>
      </c>
      <c r="Z8763" s="21">
        <v>4601004290891</v>
      </c>
    </row>
    <row r="8764" spans="1:26" ht="12" customHeight="1" outlineLevel="4" x14ac:dyDescent="0.2">
      <c r="A8764" s="14" t="s">
        <v>16721</v>
      </c>
      <c r="B8764" s="26" t="s">
        <v>16722</v>
      </c>
      <c r="C8764" s="52"/>
      <c r="D8764" s="55">
        <f t="shared" si="136"/>
        <v>0</v>
      </c>
      <c r="E8764" s="63" t="str">
        <f>HYPERLINK("https://www.sds-group.ru/product/schetka-stekloochistitelya-beskarkasnaya-multi-clamp-600mm-rexant-80-0927/", "Инфо")</f>
        <v>Инфо</v>
      </c>
      <c r="F8764" s="16" t="s">
        <v>39</v>
      </c>
      <c r="G8764" s="15"/>
      <c r="H8764" s="15"/>
      <c r="I8764" s="15"/>
      <c r="J8764" s="17">
        <v>611</v>
      </c>
      <c r="K8764" s="15" t="s">
        <v>6043</v>
      </c>
      <c r="L8764" s="17">
        <v>1</v>
      </c>
      <c r="M8764" s="17">
        <v>50</v>
      </c>
      <c r="N8764" s="17">
        <v>1</v>
      </c>
      <c r="O8764" s="18">
        <v>498.04</v>
      </c>
      <c r="P8764" s="18">
        <v>408.23</v>
      </c>
      <c r="Q8764" s="18">
        <v>398.43</v>
      </c>
      <c r="R8764" s="18">
        <v>326.58</v>
      </c>
      <c r="S8764" s="18">
        <v>338.67</v>
      </c>
      <c r="T8764" s="18">
        <v>277.60000000000002</v>
      </c>
      <c r="U8764" s="16"/>
      <c r="V8764" s="16"/>
      <c r="W8764" s="16" t="s">
        <v>40</v>
      </c>
      <c r="X8764" s="19">
        <v>0.28799999999999998</v>
      </c>
      <c r="Y8764" s="20">
        <v>1.2149999999999999E-3</v>
      </c>
      <c r="Z8764" s="21">
        <v>4601004290877</v>
      </c>
    </row>
    <row r="8765" spans="1:26" ht="12" customHeight="1" outlineLevel="4" x14ac:dyDescent="0.2">
      <c r="A8765" s="14" t="s">
        <v>16723</v>
      </c>
      <c r="B8765" s="26" t="s">
        <v>16724</v>
      </c>
      <c r="C8765" s="52"/>
      <c r="D8765" s="55">
        <f t="shared" si="136"/>
        <v>0</v>
      </c>
      <c r="E8765" s="63" t="str">
        <f>HYPERLINK("https://www.sds-group.ru/product/schetka-stekloochistitelya-beskarkasnaya-multi-clamp-650mm-rexant-80-0928/", "Инфо")</f>
        <v>Инфо</v>
      </c>
      <c r="F8765" s="16" t="s">
        <v>39</v>
      </c>
      <c r="G8765" s="15"/>
      <c r="H8765" s="15"/>
      <c r="I8765" s="15"/>
      <c r="J8765" s="17">
        <v>107</v>
      </c>
      <c r="K8765" s="15" t="s">
        <v>6043</v>
      </c>
      <c r="L8765" s="17">
        <v>1</v>
      </c>
      <c r="M8765" s="17">
        <v>50</v>
      </c>
      <c r="N8765" s="17">
        <v>1</v>
      </c>
      <c r="O8765" s="18">
        <v>522.85</v>
      </c>
      <c r="P8765" s="18">
        <v>428.57</v>
      </c>
      <c r="Q8765" s="18">
        <v>418.28</v>
      </c>
      <c r="R8765" s="18">
        <v>342.85</v>
      </c>
      <c r="S8765" s="18">
        <v>355.54</v>
      </c>
      <c r="T8765" s="18">
        <v>291.43</v>
      </c>
      <c r="U8765" s="16"/>
      <c r="V8765" s="16"/>
      <c r="W8765" s="16" t="s">
        <v>40</v>
      </c>
      <c r="X8765" s="19">
        <v>0.30399999999999999</v>
      </c>
      <c r="Y8765" s="20">
        <v>1.325E-3</v>
      </c>
      <c r="Z8765" s="21">
        <v>4601004290853</v>
      </c>
    </row>
    <row r="8766" spans="1:26" ht="12.95" customHeight="1" outlineLevel="2" x14ac:dyDescent="0.2">
      <c r="A8766" s="76" t="s">
        <v>16725</v>
      </c>
      <c r="B8766" s="76"/>
      <c r="C8766" s="77"/>
      <c r="D8766" s="58"/>
      <c r="E8766" s="68"/>
      <c r="F8766" s="13"/>
      <c r="G8766" s="13"/>
      <c r="H8766" s="13"/>
      <c r="I8766" s="13"/>
      <c r="J8766" s="13"/>
      <c r="K8766" s="13"/>
      <c r="L8766" s="13"/>
      <c r="M8766" s="13"/>
      <c r="N8766" s="13"/>
      <c r="O8766" s="13"/>
      <c r="P8766" s="13"/>
      <c r="Q8766" s="13"/>
      <c r="R8766" s="13"/>
      <c r="S8766" s="13"/>
      <c r="T8766" s="13"/>
      <c r="U8766" s="13"/>
      <c r="V8766" s="13"/>
      <c r="W8766" s="13"/>
      <c r="X8766" s="13"/>
      <c r="Y8766" s="13"/>
      <c r="Z8766" s="13"/>
    </row>
    <row r="8767" spans="1:26" ht="12" customHeight="1" outlineLevel="3" x14ac:dyDescent="0.2">
      <c r="A8767" s="14" t="s">
        <v>16726</v>
      </c>
      <c r="B8767" s="26" t="s">
        <v>16727</v>
      </c>
      <c r="C8767" s="52"/>
      <c r="D8767" s="55">
        <f t="shared" si="136"/>
        <v>0</v>
      </c>
      <c r="E8767" s="63" t="str">
        <f>HYPERLINK("https://www.sds-group.ru/product/avtovizitka-parkovochnaya-s-nomerom-telefona-rexant-80-1001/", "Инфо")</f>
        <v>Инфо</v>
      </c>
      <c r="F8767" s="16" t="s">
        <v>39</v>
      </c>
      <c r="G8767" s="15"/>
      <c r="H8767" s="15"/>
      <c r="I8767" s="15"/>
      <c r="J8767" s="17">
        <v>416</v>
      </c>
      <c r="K8767" s="15" t="s">
        <v>1004</v>
      </c>
      <c r="L8767" s="17">
        <v>10</v>
      </c>
      <c r="M8767" s="17">
        <v>500</v>
      </c>
      <c r="N8767" s="17">
        <v>10</v>
      </c>
      <c r="O8767" s="18">
        <v>150.91999999999999</v>
      </c>
      <c r="P8767" s="18">
        <v>123.7</v>
      </c>
      <c r="Q8767" s="18">
        <v>105.64</v>
      </c>
      <c r="R8767" s="18">
        <v>86.59</v>
      </c>
      <c r="S8767" s="18">
        <v>102.63</v>
      </c>
      <c r="T8767" s="18">
        <v>84.12</v>
      </c>
      <c r="U8767" s="16"/>
      <c r="V8767" s="16"/>
      <c r="W8767" s="16"/>
      <c r="X8767" s="19">
        <v>3.9E-2</v>
      </c>
      <c r="Y8767" s="20">
        <v>1.3300000000000001E-4</v>
      </c>
      <c r="Z8767" s="21">
        <v>4601004310858</v>
      </c>
    </row>
    <row r="8768" spans="1:26" ht="12.95" customHeight="1" outlineLevel="1" x14ac:dyDescent="0.2">
      <c r="A8768" s="78" t="s">
        <v>16728</v>
      </c>
      <c r="B8768" s="78"/>
      <c r="C8768" s="79"/>
      <c r="D8768" s="57"/>
      <c r="E8768" s="67"/>
      <c r="F8768" s="12"/>
      <c r="G8768" s="12"/>
      <c r="H8768" s="12"/>
      <c r="I8768" s="12"/>
      <c r="J8768" s="12"/>
      <c r="K8768" s="12"/>
      <c r="L8768" s="12"/>
      <c r="M8768" s="12"/>
      <c r="N8768" s="12"/>
      <c r="O8768" s="12"/>
      <c r="P8768" s="12"/>
      <c r="Q8768" s="12"/>
      <c r="R8768" s="12"/>
      <c r="S8768" s="12"/>
      <c r="T8768" s="12"/>
      <c r="U8768" s="12"/>
      <c r="V8768" s="12"/>
      <c r="W8768" s="12"/>
      <c r="X8768" s="12"/>
      <c r="Y8768" s="12"/>
      <c r="Z8768" s="12"/>
    </row>
    <row r="8769" spans="1:26" ht="12.95" customHeight="1" outlineLevel="2" x14ac:dyDescent="0.2">
      <c r="A8769" s="76" t="s">
        <v>16729</v>
      </c>
      <c r="B8769" s="76"/>
      <c r="C8769" s="77"/>
      <c r="D8769" s="58"/>
      <c r="E8769" s="68"/>
      <c r="F8769" s="13"/>
      <c r="G8769" s="13"/>
      <c r="H8769" s="13"/>
      <c r="I8769" s="13"/>
      <c r="J8769" s="13"/>
      <c r="K8769" s="13"/>
      <c r="L8769" s="13"/>
      <c r="M8769" s="13"/>
      <c r="N8769" s="13"/>
      <c r="O8769" s="13"/>
      <c r="P8769" s="13"/>
      <c r="Q8769" s="13"/>
      <c r="R8769" s="13"/>
      <c r="S8769" s="13"/>
      <c r="T8769" s="13"/>
      <c r="U8769" s="13"/>
      <c r="V8769" s="13"/>
      <c r="W8769" s="13"/>
      <c r="X8769" s="13"/>
      <c r="Y8769" s="13"/>
      <c r="Z8769" s="13"/>
    </row>
    <row r="8770" spans="1:26" ht="12.95" customHeight="1" outlineLevel="3" x14ac:dyDescent="0.2">
      <c r="A8770" s="76" t="s">
        <v>16730</v>
      </c>
      <c r="B8770" s="76"/>
      <c r="C8770" s="77"/>
      <c r="D8770" s="58"/>
      <c r="E8770" s="68"/>
      <c r="F8770" s="13"/>
      <c r="G8770" s="13"/>
      <c r="H8770" s="13"/>
      <c r="I8770" s="13"/>
      <c r="J8770" s="13"/>
      <c r="K8770" s="13"/>
      <c r="L8770" s="13"/>
      <c r="M8770" s="13"/>
      <c r="N8770" s="13"/>
      <c r="O8770" s="13"/>
      <c r="P8770" s="13"/>
      <c r="Q8770" s="13"/>
      <c r="R8770" s="13"/>
      <c r="S8770" s="13"/>
      <c r="T8770" s="13"/>
      <c r="U8770" s="13"/>
      <c r="V8770" s="13"/>
      <c r="W8770" s="13"/>
      <c r="X8770" s="13"/>
      <c r="Y8770" s="13"/>
      <c r="Z8770" s="13"/>
    </row>
    <row r="8771" spans="1:26" ht="12" customHeight="1" outlineLevel="4" x14ac:dyDescent="0.2">
      <c r="A8771" s="14" t="s">
        <v>16731</v>
      </c>
      <c r="B8771" s="26" t="s">
        <v>16732</v>
      </c>
      <c r="C8771" s="52"/>
      <c r="D8771" s="55">
        <f t="shared" si="136"/>
        <v>0</v>
      </c>
      <c r="E8771" s="63" t="str">
        <f>HYPERLINK("https://www.sds-group.ru/product/kabel-4v1-usb-a-type-c-lightning-type-c-60vt-1m-v-chernoy-opletke-rexant-18-1128/", "Инфо")</f>
        <v>Инфо</v>
      </c>
      <c r="F8771" s="16" t="s">
        <v>39</v>
      </c>
      <c r="G8771" s="15"/>
      <c r="H8771" s="15"/>
      <c r="I8771" s="15"/>
      <c r="J8771" s="17">
        <v>835</v>
      </c>
      <c r="K8771" s="15" t="s">
        <v>979</v>
      </c>
      <c r="L8771" s="17">
        <v>5</v>
      </c>
      <c r="M8771" s="17">
        <v>200</v>
      </c>
      <c r="N8771" s="17">
        <v>5</v>
      </c>
      <c r="O8771" s="18">
        <v>344.97</v>
      </c>
      <c r="P8771" s="18">
        <v>282.76</v>
      </c>
      <c r="Q8771" s="18">
        <v>275.98</v>
      </c>
      <c r="R8771" s="18">
        <v>226.21</v>
      </c>
      <c r="S8771" s="18">
        <v>234.58</v>
      </c>
      <c r="T8771" s="18">
        <v>192.28</v>
      </c>
      <c r="U8771" s="16"/>
      <c r="V8771" s="16"/>
      <c r="W8771" s="16" t="s">
        <v>40</v>
      </c>
      <c r="X8771" s="19">
        <v>0.06</v>
      </c>
      <c r="Y8771" s="20">
        <v>2.7700000000000001E-4</v>
      </c>
      <c r="Z8771" s="21">
        <v>4601004310810</v>
      </c>
    </row>
    <row r="8772" spans="1:26" ht="12" customHeight="1" outlineLevel="4" x14ac:dyDescent="0.2">
      <c r="A8772" s="14" t="s">
        <v>16733</v>
      </c>
      <c r="B8772" s="26" t="s">
        <v>16734</v>
      </c>
      <c r="C8772" s="52"/>
      <c r="D8772" s="55">
        <f t="shared" si="136"/>
        <v>0</v>
      </c>
      <c r="E8772" s="63" t="str">
        <f>HYPERLINK("https://www.sds-group.ru/product/kabel-lightning-type-c-3a-1m-pvh-belyy-rexant-18-1129/", "Инфо")</f>
        <v>Инфо</v>
      </c>
      <c r="F8772" s="16" t="s">
        <v>39</v>
      </c>
      <c r="G8772" s="15"/>
      <c r="H8772" s="15"/>
      <c r="I8772" s="15"/>
      <c r="J8772" s="22">
        <v>1221</v>
      </c>
      <c r="K8772" s="15"/>
      <c r="L8772" s="17">
        <v>5</v>
      </c>
      <c r="M8772" s="17">
        <v>200</v>
      </c>
      <c r="N8772" s="17">
        <v>5</v>
      </c>
      <c r="O8772" s="18">
        <v>226.38</v>
      </c>
      <c r="P8772" s="18">
        <v>185.56</v>
      </c>
      <c r="Q8772" s="18">
        <v>181.1</v>
      </c>
      <c r="R8772" s="18">
        <v>148.44</v>
      </c>
      <c r="S8772" s="18">
        <v>153.94</v>
      </c>
      <c r="T8772" s="18">
        <v>126.18</v>
      </c>
      <c r="U8772" s="16"/>
      <c r="V8772" s="16"/>
      <c r="W8772" s="16" t="s">
        <v>40</v>
      </c>
      <c r="X8772" s="19">
        <v>3.9E-2</v>
      </c>
      <c r="Y8772" s="20">
        <v>2.8299999999999999E-4</v>
      </c>
      <c r="Z8772" s="21">
        <v>4601004310834</v>
      </c>
    </row>
    <row r="8773" spans="1:26" ht="12" customHeight="1" outlineLevel="4" x14ac:dyDescent="0.2">
      <c r="A8773" s="14" t="s">
        <v>16735</v>
      </c>
      <c r="B8773" s="26" t="s">
        <v>16736</v>
      </c>
      <c r="C8773" s="52"/>
      <c r="D8773" s="55">
        <f t="shared" si="136"/>
        <v>0</v>
      </c>
      <c r="E8773" s="63" t="str">
        <f>HYPERLINK("https://www.sds-group.ru/product/kabel-type-c-lightning-2-4a-1m-v-neylonovoy-grafitovoy-opletke-power-delivery-rexant-18-7054/", "Инфо")</f>
        <v>Инфо</v>
      </c>
      <c r="F8773" s="16" t="s">
        <v>39</v>
      </c>
      <c r="G8773" s="15"/>
      <c r="H8773" s="15"/>
      <c r="I8773" s="15"/>
      <c r="J8773" s="22">
        <v>1560</v>
      </c>
      <c r="K8773" s="15"/>
      <c r="L8773" s="17">
        <v>5</v>
      </c>
      <c r="M8773" s="17">
        <v>200</v>
      </c>
      <c r="N8773" s="17">
        <v>5</v>
      </c>
      <c r="O8773" s="18">
        <v>264.12</v>
      </c>
      <c r="P8773" s="18">
        <v>216.49</v>
      </c>
      <c r="Q8773" s="18">
        <v>211.3</v>
      </c>
      <c r="R8773" s="18">
        <v>173.2</v>
      </c>
      <c r="S8773" s="18">
        <v>179.6</v>
      </c>
      <c r="T8773" s="18">
        <v>147.21</v>
      </c>
      <c r="U8773" s="16"/>
      <c r="V8773" s="16"/>
      <c r="W8773" s="16" t="s">
        <v>40</v>
      </c>
      <c r="X8773" s="19">
        <v>4.2000000000000003E-2</v>
      </c>
      <c r="Y8773" s="20">
        <v>3.2600000000000001E-4</v>
      </c>
      <c r="Z8773" s="21">
        <v>4601004181977</v>
      </c>
    </row>
    <row r="8774" spans="1:26" ht="12" customHeight="1" outlineLevel="4" x14ac:dyDescent="0.2">
      <c r="A8774" s="32" t="s">
        <v>16737</v>
      </c>
      <c r="B8774" s="74" t="s">
        <v>16738</v>
      </c>
      <c r="C8774" s="50"/>
      <c r="D8774" s="53">
        <f t="shared" si="136"/>
        <v>0</v>
      </c>
      <c r="E8774" s="60" t="str">
        <f>HYPERLINK("https://www.sds-group.ru/product/kabel-type-c-lightning-2-4a-1m-pvh-belyy-rexant-18-1898/", "Инфо")</f>
        <v>Инфо</v>
      </c>
      <c r="F8774" s="34" t="s">
        <v>39</v>
      </c>
      <c r="G8774" s="33"/>
      <c r="H8774" s="33" t="s">
        <v>40</v>
      </c>
      <c r="I8774" s="33"/>
      <c r="J8774" s="34" t="s">
        <v>100</v>
      </c>
      <c r="K8774" s="33"/>
      <c r="L8774" s="35">
        <v>1</v>
      </c>
      <c r="M8774" s="35">
        <v>100</v>
      </c>
      <c r="N8774" s="35">
        <v>1</v>
      </c>
      <c r="O8774" s="36">
        <v>268.42</v>
      </c>
      <c r="P8774" s="36">
        <v>220.02</v>
      </c>
      <c r="Q8774" s="36">
        <v>187.89</v>
      </c>
      <c r="R8774" s="36">
        <v>154.01</v>
      </c>
      <c r="S8774" s="36">
        <v>182.53</v>
      </c>
      <c r="T8774" s="36">
        <v>149.61000000000001</v>
      </c>
      <c r="U8774" s="34"/>
      <c r="V8774" s="34"/>
      <c r="W8774" s="34"/>
      <c r="X8774" s="37">
        <v>4.1000000000000002E-2</v>
      </c>
      <c r="Y8774" s="38">
        <v>3.57E-4</v>
      </c>
      <c r="Z8774" s="21">
        <v>4601004183988</v>
      </c>
    </row>
    <row r="8775" spans="1:26" ht="12" customHeight="1" outlineLevel="4" x14ac:dyDescent="0.2">
      <c r="A8775" s="32" t="s">
        <v>16739</v>
      </c>
      <c r="B8775" s="74" t="s">
        <v>16740</v>
      </c>
      <c r="C8775" s="50"/>
      <c r="D8775" s="53">
        <f t="shared" si="136"/>
        <v>0</v>
      </c>
      <c r="E8775" s="60" t="str">
        <f>HYPERLINK("https://www.sds-group.ru/product/kabel-type-c-lightning-3a-1m-pvh-chernyy-rexant-18-1827/", "Инфо")</f>
        <v>Инфо</v>
      </c>
      <c r="F8775" s="34" t="s">
        <v>39</v>
      </c>
      <c r="G8775" s="33"/>
      <c r="H8775" s="33" t="s">
        <v>40</v>
      </c>
      <c r="I8775" s="33"/>
      <c r="J8775" s="35">
        <v>535</v>
      </c>
      <c r="K8775" s="33"/>
      <c r="L8775" s="35">
        <v>1</v>
      </c>
      <c r="M8775" s="35">
        <v>200</v>
      </c>
      <c r="N8775" s="35">
        <v>1</v>
      </c>
      <c r="O8775" s="36">
        <v>215.06</v>
      </c>
      <c r="P8775" s="36">
        <v>176.28</v>
      </c>
      <c r="Q8775" s="36">
        <v>150.54</v>
      </c>
      <c r="R8775" s="36">
        <v>123.39</v>
      </c>
      <c r="S8775" s="36">
        <v>146.24</v>
      </c>
      <c r="T8775" s="36">
        <v>119.87</v>
      </c>
      <c r="U8775" s="34"/>
      <c r="V8775" s="34"/>
      <c r="W8775" s="34"/>
      <c r="X8775" s="37">
        <v>3.1E-2</v>
      </c>
      <c r="Y8775" s="38">
        <v>2.81E-4</v>
      </c>
      <c r="Z8775" s="21">
        <v>4601004243590</v>
      </c>
    </row>
    <row r="8776" spans="1:26" ht="12" customHeight="1" outlineLevel="4" x14ac:dyDescent="0.2">
      <c r="A8776" s="32" t="s">
        <v>16741</v>
      </c>
      <c r="B8776" s="74" t="s">
        <v>16742</v>
      </c>
      <c r="C8776" s="50"/>
      <c r="D8776" s="53">
        <f t="shared" si="136"/>
        <v>0</v>
      </c>
      <c r="E8776" s="60" t="str">
        <f>HYPERLINK("https://www.sds-group.ru/product/kabel-type-c-lightning-3a-1m-v-neylonovoy-seroy-opletke-power-delivery-rexant-18-1826/", "Инфо")</f>
        <v>Инфо</v>
      </c>
      <c r="F8776" s="34" t="s">
        <v>39</v>
      </c>
      <c r="G8776" s="33"/>
      <c r="H8776" s="33" t="s">
        <v>40</v>
      </c>
      <c r="I8776" s="33"/>
      <c r="J8776" s="39">
        <v>1050</v>
      </c>
      <c r="K8776" s="33"/>
      <c r="L8776" s="35">
        <v>1</v>
      </c>
      <c r="M8776" s="35">
        <v>100</v>
      </c>
      <c r="N8776" s="35">
        <v>1</v>
      </c>
      <c r="O8776" s="36">
        <v>326.11</v>
      </c>
      <c r="P8776" s="36">
        <v>267.3</v>
      </c>
      <c r="Q8776" s="36">
        <v>228.28</v>
      </c>
      <c r="R8776" s="36">
        <v>187.11</v>
      </c>
      <c r="S8776" s="36">
        <v>221.75</v>
      </c>
      <c r="T8776" s="36">
        <v>181.76</v>
      </c>
      <c r="U8776" s="34"/>
      <c r="V8776" s="34"/>
      <c r="W8776" s="34"/>
      <c r="X8776" s="37">
        <v>0.02</v>
      </c>
      <c r="Y8776" s="38">
        <v>1.8900000000000001E-4</v>
      </c>
      <c r="Z8776" s="21">
        <v>4601004243606</v>
      </c>
    </row>
    <row r="8777" spans="1:26" ht="12" customHeight="1" outlineLevel="4" x14ac:dyDescent="0.2">
      <c r="A8777" s="14" t="s">
        <v>16743</v>
      </c>
      <c r="B8777" s="26" t="s">
        <v>16744</v>
      </c>
      <c r="C8777" s="52"/>
      <c r="D8777" s="55">
        <f t="shared" ref="D8777:D8840" si="137">C8777*(O8777-O8777*$G$3)</f>
        <v>0</v>
      </c>
      <c r="E8777" s="63" t="str">
        <f>HYPERLINK("https://www.sds-group.ru/product/kabel-type-c-lightning-3a-1m-v-chernoy-neylonovoy-opletke-s-led-displeem-rexant-18-7068/", "Инфо")</f>
        <v>Инфо</v>
      </c>
      <c r="F8777" s="16" t="s">
        <v>39</v>
      </c>
      <c r="G8777" s="15"/>
      <c r="H8777" s="15"/>
      <c r="I8777" s="15"/>
      <c r="J8777" s="17">
        <v>674</v>
      </c>
      <c r="K8777" s="15" t="s">
        <v>4013</v>
      </c>
      <c r="L8777" s="17">
        <v>1</v>
      </c>
      <c r="M8777" s="17">
        <v>171</v>
      </c>
      <c r="N8777" s="17">
        <v>1</v>
      </c>
      <c r="O8777" s="18">
        <v>753.53</v>
      </c>
      <c r="P8777" s="18">
        <v>617.65</v>
      </c>
      <c r="Q8777" s="18">
        <v>527.47</v>
      </c>
      <c r="R8777" s="18">
        <v>432.35</v>
      </c>
      <c r="S8777" s="18">
        <v>512.4</v>
      </c>
      <c r="T8777" s="18">
        <v>420</v>
      </c>
      <c r="U8777" s="16"/>
      <c r="V8777" s="16"/>
      <c r="W8777" s="16"/>
      <c r="X8777" s="19">
        <v>5.6000000000000001E-2</v>
      </c>
      <c r="Y8777" s="20">
        <v>2.8499999999999999E-4</v>
      </c>
      <c r="Z8777" s="21">
        <v>4601004285507</v>
      </c>
    </row>
    <row r="8778" spans="1:26" ht="12" customHeight="1" outlineLevel="4" x14ac:dyDescent="0.2">
      <c r="A8778" s="14" t="s">
        <v>16745</v>
      </c>
      <c r="B8778" s="26" t="s">
        <v>16746</v>
      </c>
      <c r="C8778" s="52"/>
      <c r="D8778" s="55">
        <f t="shared" si="137"/>
        <v>0</v>
      </c>
      <c r="E8778" s="63" t="str">
        <f>HYPERLINK("https://www.sds-group.ru/product/kabel-type-c-lightning-3a-1m-v-chernoy-neylonovoy-opletke-so-svetovoy-indikatsiey-rexant-18-7069/", "Инфо")</f>
        <v>Инфо</v>
      </c>
      <c r="F8778" s="16" t="s">
        <v>39</v>
      </c>
      <c r="G8778" s="15"/>
      <c r="H8778" s="15"/>
      <c r="I8778" s="15"/>
      <c r="J8778" s="22">
        <v>1066</v>
      </c>
      <c r="K8778" s="15"/>
      <c r="L8778" s="17">
        <v>5</v>
      </c>
      <c r="M8778" s="17">
        <v>171</v>
      </c>
      <c r="N8778" s="17">
        <v>5</v>
      </c>
      <c r="O8778" s="18">
        <v>591.83000000000004</v>
      </c>
      <c r="P8778" s="18">
        <v>485.11</v>
      </c>
      <c r="Q8778" s="18">
        <v>414.28</v>
      </c>
      <c r="R8778" s="18">
        <v>339.57</v>
      </c>
      <c r="S8778" s="18">
        <v>402.44</v>
      </c>
      <c r="T8778" s="18">
        <v>329.87</v>
      </c>
      <c r="U8778" s="16"/>
      <c r="V8778" s="16"/>
      <c r="W8778" s="16"/>
      <c r="X8778" s="19">
        <v>4.5999999999999999E-2</v>
      </c>
      <c r="Y8778" s="20">
        <v>1.9900000000000001E-4</v>
      </c>
      <c r="Z8778" s="21">
        <v>4601004285453</v>
      </c>
    </row>
    <row r="8779" spans="1:26" ht="12" customHeight="1" outlineLevel="4" x14ac:dyDescent="0.2">
      <c r="A8779" s="14" t="s">
        <v>16747</v>
      </c>
      <c r="B8779" s="26" t="s">
        <v>16748</v>
      </c>
      <c r="C8779" s="52"/>
      <c r="D8779" s="55">
        <f t="shared" si="137"/>
        <v>0</v>
      </c>
      <c r="E8779" s="63" t="str">
        <f>HYPERLINK("https://www.sds-group.ru/product/kabel-usb-3v1-type-s-3a-lightning-2-4a-micro-usb-2a-1-2m-pvh-rexant-18-1127/", "Инфо")</f>
        <v>Инфо</v>
      </c>
      <c r="F8779" s="16" t="s">
        <v>39</v>
      </c>
      <c r="G8779" s="15"/>
      <c r="H8779" s="15"/>
      <c r="I8779" s="15"/>
      <c r="J8779" s="17">
        <v>476</v>
      </c>
      <c r="K8779" s="15" t="s">
        <v>979</v>
      </c>
      <c r="L8779" s="17">
        <v>5</v>
      </c>
      <c r="M8779" s="17">
        <v>200</v>
      </c>
      <c r="N8779" s="17">
        <v>5</v>
      </c>
      <c r="O8779" s="18">
        <v>268.42</v>
      </c>
      <c r="P8779" s="18">
        <v>220.02</v>
      </c>
      <c r="Q8779" s="18">
        <v>214.74</v>
      </c>
      <c r="R8779" s="18">
        <v>176.02</v>
      </c>
      <c r="S8779" s="18">
        <v>182.53</v>
      </c>
      <c r="T8779" s="18">
        <v>149.61000000000001</v>
      </c>
      <c r="U8779" s="16"/>
      <c r="V8779" s="16"/>
      <c r="W8779" s="16" t="s">
        <v>40</v>
      </c>
      <c r="X8779" s="19">
        <v>0.05</v>
      </c>
      <c r="Y8779" s="20">
        <v>2.81E-4</v>
      </c>
      <c r="Z8779" s="21">
        <v>4601004316188</v>
      </c>
    </row>
    <row r="8780" spans="1:26" ht="12" customHeight="1" outlineLevel="4" x14ac:dyDescent="0.2">
      <c r="A8780" s="14" t="s">
        <v>16749</v>
      </c>
      <c r="B8780" s="26" t="s">
        <v>16750</v>
      </c>
      <c r="C8780" s="52"/>
      <c r="D8780" s="55">
        <f t="shared" si="137"/>
        <v>0</v>
      </c>
      <c r="E8780" s="63" t="str">
        <f>HYPERLINK("https://www.sds-group.ru/product/kabel-usb-3v1-type-s-6a-lightning-2-4a-micro-usb-3a-1-2m-v-chernoy-opletke-rexant-18-7075/", "Инфо")</f>
        <v>Инфо</v>
      </c>
      <c r="F8780" s="16" t="s">
        <v>39</v>
      </c>
      <c r="G8780" s="15"/>
      <c r="H8780" s="15"/>
      <c r="I8780" s="15"/>
      <c r="J8780" s="17">
        <v>606</v>
      </c>
      <c r="K8780" s="15"/>
      <c r="L8780" s="17">
        <v>1</v>
      </c>
      <c r="M8780" s="17">
        <v>110</v>
      </c>
      <c r="N8780" s="17">
        <v>1</v>
      </c>
      <c r="O8780" s="18">
        <v>969.14</v>
      </c>
      <c r="P8780" s="18">
        <v>794.38</v>
      </c>
      <c r="Q8780" s="18">
        <v>678.4</v>
      </c>
      <c r="R8780" s="18">
        <v>556.07000000000005</v>
      </c>
      <c r="S8780" s="18">
        <v>659.02</v>
      </c>
      <c r="T8780" s="18">
        <v>540.17999999999995</v>
      </c>
      <c r="U8780" s="16"/>
      <c r="V8780" s="16"/>
      <c r="W8780" s="16"/>
      <c r="X8780" s="19">
        <v>9.4E-2</v>
      </c>
      <c r="Y8780" s="20">
        <v>4.37E-4</v>
      </c>
      <c r="Z8780" s="21">
        <v>4601004285545</v>
      </c>
    </row>
    <row r="8781" spans="1:26" ht="12" customHeight="1" outlineLevel="4" x14ac:dyDescent="0.2">
      <c r="A8781" s="14" t="s">
        <v>16751</v>
      </c>
      <c r="B8781" s="26" t="s">
        <v>16752</v>
      </c>
      <c r="C8781" s="52"/>
      <c r="D8781" s="55">
        <f t="shared" si="137"/>
        <v>0</v>
      </c>
      <c r="E8781" s="63" t="str">
        <f>HYPERLINK("https://www.sds-group.ru/product/kabel-usb-3v1-so-semnymi-magnitnymi-portami-type-s-2a-lightning-2-4a-micro-usb-2a-1-2m-v-che-18-7076/", "Инфо")</f>
        <v>Инфо</v>
      </c>
      <c r="F8781" s="16" t="s">
        <v>39</v>
      </c>
      <c r="G8781" s="15"/>
      <c r="H8781" s="15"/>
      <c r="I8781" s="15"/>
      <c r="J8781" s="17">
        <v>379</v>
      </c>
      <c r="K8781" s="15" t="s">
        <v>1587</v>
      </c>
      <c r="L8781" s="17">
        <v>5</v>
      </c>
      <c r="M8781" s="17">
        <v>112</v>
      </c>
      <c r="N8781" s="17">
        <v>5</v>
      </c>
      <c r="O8781" s="18">
        <v>591.83000000000004</v>
      </c>
      <c r="P8781" s="18">
        <v>485.11</v>
      </c>
      <c r="Q8781" s="18">
        <v>414.28</v>
      </c>
      <c r="R8781" s="18">
        <v>339.57</v>
      </c>
      <c r="S8781" s="18">
        <v>402.44</v>
      </c>
      <c r="T8781" s="18">
        <v>329.87</v>
      </c>
      <c r="U8781" s="16"/>
      <c r="V8781" s="16"/>
      <c r="W8781" s="16"/>
      <c r="X8781" s="19">
        <v>5.6000000000000001E-2</v>
      </c>
      <c r="Y8781" s="20">
        <v>4.28E-4</v>
      </c>
      <c r="Z8781" s="21">
        <v>4601004285538</v>
      </c>
    </row>
    <row r="8782" spans="1:26" ht="12" customHeight="1" outlineLevel="4" x14ac:dyDescent="0.2">
      <c r="A8782" s="14" t="s">
        <v>16753</v>
      </c>
      <c r="B8782" s="26" t="s">
        <v>16754</v>
      </c>
      <c r="C8782" s="52"/>
      <c r="D8782" s="55">
        <f t="shared" si="137"/>
        <v>0</v>
      </c>
      <c r="E8782" s="63" t="str">
        <f>HYPERLINK("https://www.sds-group.ru/product/kabel-usb-a-lightning-2-4a-1m-v-beloy-neylonovoy-opletke-ploskiy-rexant-18-7056/", "Инфо")</f>
        <v>Инфо</v>
      </c>
      <c r="F8782" s="16" t="s">
        <v>39</v>
      </c>
      <c r="G8782" s="15"/>
      <c r="H8782" s="15"/>
      <c r="I8782" s="15"/>
      <c r="J8782" s="17">
        <v>340</v>
      </c>
      <c r="K8782" s="15" t="s">
        <v>995</v>
      </c>
      <c r="L8782" s="17">
        <v>5</v>
      </c>
      <c r="M8782" s="17">
        <v>100</v>
      </c>
      <c r="N8782" s="17">
        <v>5</v>
      </c>
      <c r="O8782" s="18">
        <v>247.94</v>
      </c>
      <c r="P8782" s="18">
        <v>203.23</v>
      </c>
      <c r="Q8782" s="18">
        <v>210.75</v>
      </c>
      <c r="R8782" s="18">
        <v>172.75</v>
      </c>
      <c r="S8782" s="18">
        <v>168.6</v>
      </c>
      <c r="T8782" s="18">
        <v>138.19999999999999</v>
      </c>
      <c r="U8782" s="16"/>
      <c r="V8782" s="16"/>
      <c r="W8782" s="16" t="s">
        <v>40</v>
      </c>
      <c r="X8782" s="19">
        <v>4.1000000000000002E-2</v>
      </c>
      <c r="Y8782" s="20">
        <v>3.5300000000000002E-4</v>
      </c>
      <c r="Z8782" s="21">
        <v>4601004187764</v>
      </c>
    </row>
    <row r="8783" spans="1:26" ht="12" customHeight="1" outlineLevel="4" x14ac:dyDescent="0.2">
      <c r="A8783" s="32" t="s">
        <v>16755</v>
      </c>
      <c r="B8783" s="74" t="s">
        <v>16756</v>
      </c>
      <c r="C8783" s="50"/>
      <c r="D8783" s="53">
        <f t="shared" si="137"/>
        <v>0</v>
      </c>
      <c r="E8783" s="60" t="str">
        <f>HYPERLINK("https://www.sds-group.ru/product/kabel-usb-a-lightning-2-4a-1m-v-siney-neylonovoy-opletke-ploskiy-rexant-18-7053/", "Инфо")</f>
        <v>Инфо</v>
      </c>
      <c r="F8783" s="34" t="s">
        <v>39</v>
      </c>
      <c r="G8783" s="33"/>
      <c r="H8783" s="33" t="s">
        <v>40</v>
      </c>
      <c r="I8783" s="33"/>
      <c r="J8783" s="39">
        <v>1236</v>
      </c>
      <c r="K8783" s="33"/>
      <c r="L8783" s="35">
        <v>1</v>
      </c>
      <c r="M8783" s="35">
        <v>100</v>
      </c>
      <c r="N8783" s="35">
        <v>1</v>
      </c>
      <c r="O8783" s="36">
        <v>237.25</v>
      </c>
      <c r="P8783" s="36">
        <v>194.47</v>
      </c>
      <c r="Q8783" s="36">
        <v>166.08</v>
      </c>
      <c r="R8783" s="36">
        <v>136.13</v>
      </c>
      <c r="S8783" s="36">
        <v>161.33000000000001</v>
      </c>
      <c r="T8783" s="36">
        <v>132.24</v>
      </c>
      <c r="U8783" s="34"/>
      <c r="V8783" s="34"/>
      <c r="W8783" s="34"/>
      <c r="X8783" s="37">
        <v>3.6999999999999998E-2</v>
      </c>
      <c r="Y8783" s="38">
        <v>2.3000000000000001E-4</v>
      </c>
      <c r="Z8783" s="21">
        <v>4601004181984</v>
      </c>
    </row>
    <row r="8784" spans="1:26" ht="12" customHeight="1" outlineLevel="4" x14ac:dyDescent="0.2">
      <c r="A8784" s="14" t="s">
        <v>16757</v>
      </c>
      <c r="B8784" s="26" t="s">
        <v>16758</v>
      </c>
      <c r="C8784" s="52"/>
      <c r="D8784" s="55">
        <f t="shared" si="137"/>
        <v>0</v>
      </c>
      <c r="E8784" s="63" t="str">
        <f>HYPERLINK("https://www.sds-group.ru/product/kabel-usb-a-lightning-2-4a-1m-v-beloy-neylonovoy-opletke-rexant-18-7061/", "Инфо")</f>
        <v>Инфо</v>
      </c>
      <c r="F8784" s="16" t="s">
        <v>39</v>
      </c>
      <c r="G8784" s="15"/>
      <c r="H8784" s="15"/>
      <c r="I8784" s="15"/>
      <c r="J8784" s="22">
        <v>2200</v>
      </c>
      <c r="K8784" s="15"/>
      <c r="L8784" s="17">
        <v>5</v>
      </c>
      <c r="M8784" s="17">
        <v>171</v>
      </c>
      <c r="N8784" s="17">
        <v>5</v>
      </c>
      <c r="O8784" s="18">
        <v>413.96</v>
      </c>
      <c r="P8784" s="18">
        <v>339.31</v>
      </c>
      <c r="Q8784" s="18">
        <v>289.77</v>
      </c>
      <c r="R8784" s="18">
        <v>237.52</v>
      </c>
      <c r="S8784" s="18">
        <v>281.49</v>
      </c>
      <c r="T8784" s="18">
        <v>230.73</v>
      </c>
      <c r="U8784" s="16"/>
      <c r="V8784" s="16"/>
      <c r="W8784" s="16"/>
      <c r="X8784" s="19">
        <v>5.6000000000000001E-2</v>
      </c>
      <c r="Y8784" s="20">
        <v>2.7399999999999999E-4</v>
      </c>
      <c r="Z8784" s="21">
        <v>4601004285415</v>
      </c>
    </row>
    <row r="8785" spans="1:26" ht="12" customHeight="1" outlineLevel="4" x14ac:dyDescent="0.2">
      <c r="A8785" s="32" t="s">
        <v>16759</v>
      </c>
      <c r="B8785" s="74" t="s">
        <v>16760</v>
      </c>
      <c r="C8785" s="50"/>
      <c r="D8785" s="53">
        <f t="shared" si="137"/>
        <v>0</v>
      </c>
      <c r="E8785" s="60" t="str">
        <f>HYPERLINK("https://www.sds-group.ru/product/kabel-usb-a-lightning-2-4a-1m-v-zolotoy-metallicheskoy-opletke-rexant-18-4252/", "Инфо")</f>
        <v>Инфо</v>
      </c>
      <c r="F8785" s="34" t="s">
        <v>39</v>
      </c>
      <c r="G8785" s="33"/>
      <c r="H8785" s="33" t="s">
        <v>40</v>
      </c>
      <c r="I8785" s="33"/>
      <c r="J8785" s="35">
        <v>721</v>
      </c>
      <c r="K8785" s="33"/>
      <c r="L8785" s="35">
        <v>1</v>
      </c>
      <c r="M8785" s="35">
        <v>100</v>
      </c>
      <c r="N8785" s="35">
        <v>1</v>
      </c>
      <c r="O8785" s="36">
        <v>273.58</v>
      </c>
      <c r="P8785" s="36">
        <v>224.25</v>
      </c>
      <c r="Q8785" s="36">
        <v>191.51</v>
      </c>
      <c r="R8785" s="36">
        <v>156.97999999999999</v>
      </c>
      <c r="S8785" s="36">
        <v>186.03</v>
      </c>
      <c r="T8785" s="36">
        <v>152.47999999999999</v>
      </c>
      <c r="U8785" s="34"/>
      <c r="V8785" s="34"/>
      <c r="W8785" s="34"/>
      <c r="X8785" s="37">
        <v>0.05</v>
      </c>
      <c r="Y8785" s="38">
        <v>1.46E-4</v>
      </c>
      <c r="Z8785" s="21">
        <v>4601004299276</v>
      </c>
    </row>
    <row r="8786" spans="1:26" ht="12" customHeight="1" outlineLevel="4" x14ac:dyDescent="0.2">
      <c r="A8786" s="14" t="s">
        <v>16761</v>
      </c>
      <c r="B8786" s="26" t="s">
        <v>16762</v>
      </c>
      <c r="C8786" s="52"/>
      <c r="D8786" s="55">
        <f t="shared" si="137"/>
        <v>0</v>
      </c>
      <c r="E8786" s="63" t="str">
        <f>HYPERLINK("https://www.sds-group.ru/product/kabel-usb-a-lightning-2-4a-1m-v-metallicheskoy-opletke-rexant-18-4247/", "Инфо")</f>
        <v>Инфо</v>
      </c>
      <c r="F8786" s="16" t="s">
        <v>39</v>
      </c>
      <c r="G8786" s="15"/>
      <c r="H8786" s="15"/>
      <c r="I8786" s="15"/>
      <c r="J8786" s="22">
        <v>1089</v>
      </c>
      <c r="K8786" s="15"/>
      <c r="L8786" s="17">
        <v>5</v>
      </c>
      <c r="M8786" s="17">
        <v>100</v>
      </c>
      <c r="N8786" s="17">
        <v>5</v>
      </c>
      <c r="O8786" s="18">
        <v>397.79</v>
      </c>
      <c r="P8786" s="18">
        <v>326.06</v>
      </c>
      <c r="Q8786" s="18">
        <v>338.12</v>
      </c>
      <c r="R8786" s="18">
        <v>277.14999999999998</v>
      </c>
      <c r="S8786" s="18">
        <v>270.5</v>
      </c>
      <c r="T8786" s="18">
        <v>221.72</v>
      </c>
      <c r="U8786" s="16"/>
      <c r="V8786" s="16"/>
      <c r="W8786" s="16" t="s">
        <v>40</v>
      </c>
      <c r="X8786" s="19">
        <v>5.0999999999999997E-2</v>
      </c>
      <c r="Y8786" s="20">
        <v>2.8400000000000002E-4</v>
      </c>
      <c r="Z8786" s="21">
        <v>4601004090033</v>
      </c>
    </row>
    <row r="8787" spans="1:26" ht="12" customHeight="1" outlineLevel="4" x14ac:dyDescent="0.2">
      <c r="A8787" s="14" t="s">
        <v>16763</v>
      </c>
      <c r="B8787" s="26" t="s">
        <v>16764</v>
      </c>
      <c r="C8787" s="52"/>
      <c r="D8787" s="55">
        <f t="shared" si="137"/>
        <v>0</v>
      </c>
      <c r="E8787" s="63" t="str">
        <f>HYPERLINK("https://www.sds-group.ru/product/kabel-usb-a-lightning-2-4a-1m-v-serebristoy-neylonovoy-opletke-rexant-18-7051/", "Инфо")</f>
        <v>Инфо</v>
      </c>
      <c r="F8787" s="16" t="s">
        <v>39</v>
      </c>
      <c r="G8787" s="15"/>
      <c r="H8787" s="15"/>
      <c r="I8787" s="15"/>
      <c r="J8787" s="22">
        <v>1395</v>
      </c>
      <c r="K8787" s="15"/>
      <c r="L8787" s="17">
        <v>5</v>
      </c>
      <c r="M8787" s="17">
        <v>100</v>
      </c>
      <c r="N8787" s="17">
        <v>5</v>
      </c>
      <c r="O8787" s="18">
        <v>397.79</v>
      </c>
      <c r="P8787" s="18">
        <v>326.06</v>
      </c>
      <c r="Q8787" s="18">
        <v>338.12</v>
      </c>
      <c r="R8787" s="18">
        <v>277.14999999999998</v>
      </c>
      <c r="S8787" s="18">
        <v>270.5</v>
      </c>
      <c r="T8787" s="18">
        <v>221.72</v>
      </c>
      <c r="U8787" s="16"/>
      <c r="V8787" s="16"/>
      <c r="W8787" s="16" t="s">
        <v>40</v>
      </c>
      <c r="X8787" s="19">
        <v>4.1000000000000002E-2</v>
      </c>
      <c r="Y8787" s="20">
        <v>3.4699999999999998E-4</v>
      </c>
      <c r="Z8787" s="21">
        <v>4601004181908</v>
      </c>
    </row>
    <row r="8788" spans="1:26" ht="12" customHeight="1" outlineLevel="4" x14ac:dyDescent="0.2">
      <c r="A8788" s="14" t="s">
        <v>16765</v>
      </c>
      <c r="B8788" s="26" t="s">
        <v>16766</v>
      </c>
      <c r="C8788" s="52"/>
      <c r="D8788" s="55">
        <f t="shared" si="137"/>
        <v>0</v>
      </c>
      <c r="E8788" s="63" t="str">
        <f>HYPERLINK("https://www.sds-group.ru/product/kabel-usb-a-lightning-2-4a-1m-v-chernoy-neylonovoy-opletke-rexant-18-7060/", "Инфо")</f>
        <v>Инфо</v>
      </c>
      <c r="F8788" s="16" t="s">
        <v>39</v>
      </c>
      <c r="G8788" s="15"/>
      <c r="H8788" s="15"/>
      <c r="I8788" s="15"/>
      <c r="J8788" s="16" t="s">
        <v>100</v>
      </c>
      <c r="K8788" s="15" t="s">
        <v>4013</v>
      </c>
      <c r="L8788" s="17">
        <v>5</v>
      </c>
      <c r="M8788" s="17">
        <v>171</v>
      </c>
      <c r="N8788" s="17">
        <v>5</v>
      </c>
      <c r="O8788" s="18">
        <v>484.03</v>
      </c>
      <c r="P8788" s="18">
        <v>396.75</v>
      </c>
      <c r="Q8788" s="18">
        <v>338.82</v>
      </c>
      <c r="R8788" s="18">
        <v>277.72000000000003</v>
      </c>
      <c r="S8788" s="18">
        <v>329.14</v>
      </c>
      <c r="T8788" s="18">
        <v>269.79000000000002</v>
      </c>
      <c r="U8788" s="16"/>
      <c r="V8788" s="16"/>
      <c r="W8788" s="16"/>
      <c r="X8788" s="19">
        <v>5.5E-2</v>
      </c>
      <c r="Y8788" s="20">
        <v>2.7599999999999999E-4</v>
      </c>
      <c r="Z8788" s="21">
        <v>4601004285408</v>
      </c>
    </row>
    <row r="8789" spans="1:26" ht="12" customHeight="1" outlineLevel="4" x14ac:dyDescent="0.2">
      <c r="A8789" s="14" t="s">
        <v>16767</v>
      </c>
      <c r="B8789" s="26" t="s">
        <v>16768</v>
      </c>
      <c r="C8789" s="52"/>
      <c r="D8789" s="55">
        <f t="shared" si="137"/>
        <v>0</v>
      </c>
      <c r="E8789" s="63" t="str">
        <f>HYPERLINK("https://www.sds-group.ru/product/kabel-usb-a-lightning-2-4a-1m-v-chernoy-neylonovoy-opletke-c-led-displeem-rexant-18-7062/", "Инфо")</f>
        <v>Инфо</v>
      </c>
      <c r="F8789" s="16" t="s">
        <v>39</v>
      </c>
      <c r="G8789" s="15"/>
      <c r="H8789" s="15"/>
      <c r="I8789" s="15"/>
      <c r="J8789" s="17">
        <v>556</v>
      </c>
      <c r="K8789" s="15"/>
      <c r="L8789" s="17">
        <v>1</v>
      </c>
      <c r="M8789" s="17">
        <v>171</v>
      </c>
      <c r="N8789" s="17">
        <v>1</v>
      </c>
      <c r="O8789" s="18">
        <v>625.25</v>
      </c>
      <c r="P8789" s="18">
        <v>512.5</v>
      </c>
      <c r="Q8789" s="18">
        <v>437.68</v>
      </c>
      <c r="R8789" s="18">
        <v>358.75</v>
      </c>
      <c r="S8789" s="18">
        <v>425.17</v>
      </c>
      <c r="T8789" s="18">
        <v>348.5</v>
      </c>
      <c r="U8789" s="16"/>
      <c r="V8789" s="16"/>
      <c r="W8789" s="16"/>
      <c r="X8789" s="19">
        <v>5.7000000000000002E-2</v>
      </c>
      <c r="Y8789" s="20">
        <v>2.7799999999999998E-4</v>
      </c>
      <c r="Z8789" s="21">
        <v>4601004285514</v>
      </c>
    </row>
    <row r="8790" spans="1:26" ht="12" customHeight="1" outlineLevel="4" x14ac:dyDescent="0.2">
      <c r="A8790" s="14" t="s">
        <v>16769</v>
      </c>
      <c r="B8790" s="26" t="s">
        <v>16770</v>
      </c>
      <c r="C8790" s="52"/>
      <c r="D8790" s="55">
        <f t="shared" si="137"/>
        <v>0</v>
      </c>
      <c r="E8790" s="63" t="str">
        <f>HYPERLINK("https://www.sds-group.ru/product/kabel-usb-a-lightning-2-4a-1m-v-chernoy-neylonovoy-opletke-s-led-podsvetkoy-rexant-18-7059/", "Инфо")</f>
        <v>Инфо</v>
      </c>
      <c r="F8790" s="16" t="s">
        <v>39</v>
      </c>
      <c r="G8790" s="15"/>
      <c r="H8790" s="15"/>
      <c r="I8790" s="15"/>
      <c r="J8790" s="17">
        <v>669</v>
      </c>
      <c r="K8790" s="15" t="s">
        <v>1277</v>
      </c>
      <c r="L8790" s="17">
        <v>5</v>
      </c>
      <c r="M8790" s="17">
        <v>171</v>
      </c>
      <c r="N8790" s="17">
        <v>5</v>
      </c>
      <c r="O8790" s="18">
        <v>484.03</v>
      </c>
      <c r="P8790" s="18">
        <v>396.75</v>
      </c>
      <c r="Q8790" s="18">
        <v>338.82</v>
      </c>
      <c r="R8790" s="18">
        <v>277.72000000000003</v>
      </c>
      <c r="S8790" s="18">
        <v>329.14</v>
      </c>
      <c r="T8790" s="18">
        <v>269.79000000000002</v>
      </c>
      <c r="U8790" s="16"/>
      <c r="V8790" s="16"/>
      <c r="W8790" s="16"/>
      <c r="X8790" s="19">
        <v>4.7E-2</v>
      </c>
      <c r="Y8790" s="20">
        <v>2.1800000000000001E-4</v>
      </c>
      <c r="Z8790" s="21">
        <v>4601004285392</v>
      </c>
    </row>
    <row r="8791" spans="1:26" ht="12" customHeight="1" outlineLevel="4" x14ac:dyDescent="0.2">
      <c r="A8791" s="14" t="s">
        <v>16771</v>
      </c>
      <c r="B8791" s="26" t="s">
        <v>16772</v>
      </c>
      <c r="C8791" s="52"/>
      <c r="D8791" s="55">
        <f t="shared" si="137"/>
        <v>0</v>
      </c>
      <c r="E8791" s="63" t="str">
        <f>HYPERLINK("https://www.sds-group.ru/product/kabel-usb-a-lightning-2-4a-1m-v-chernoy-neylonovoy-opletke-so-svetovoy-indikatsiey-rexant-18-7058/", "Инфо")</f>
        <v>Инфо</v>
      </c>
      <c r="F8791" s="16" t="s">
        <v>39</v>
      </c>
      <c r="G8791" s="15"/>
      <c r="H8791" s="15"/>
      <c r="I8791" s="15"/>
      <c r="J8791" s="22">
        <v>4029</v>
      </c>
      <c r="K8791" s="15"/>
      <c r="L8791" s="17">
        <v>5</v>
      </c>
      <c r="M8791" s="17">
        <v>171</v>
      </c>
      <c r="N8791" s="17">
        <v>5</v>
      </c>
      <c r="O8791" s="18">
        <v>413.96</v>
      </c>
      <c r="P8791" s="18">
        <v>339.31</v>
      </c>
      <c r="Q8791" s="18">
        <v>289.77</v>
      </c>
      <c r="R8791" s="18">
        <v>237.52</v>
      </c>
      <c r="S8791" s="18">
        <v>281.49</v>
      </c>
      <c r="T8791" s="18">
        <v>230.73</v>
      </c>
      <c r="U8791" s="16"/>
      <c r="V8791" s="16"/>
      <c r="W8791" s="16"/>
      <c r="X8791" s="19">
        <v>5.5E-2</v>
      </c>
      <c r="Y8791" s="20">
        <v>2.7799999999999998E-4</v>
      </c>
      <c r="Z8791" s="21">
        <v>4601004285385</v>
      </c>
    </row>
    <row r="8792" spans="1:26" ht="12" customHeight="1" outlineLevel="4" x14ac:dyDescent="0.2">
      <c r="A8792" s="14" t="s">
        <v>16773</v>
      </c>
      <c r="B8792" s="26" t="s">
        <v>16774</v>
      </c>
      <c r="C8792" s="52"/>
      <c r="D8792" s="55">
        <f t="shared" si="137"/>
        <v>0</v>
      </c>
      <c r="E8792" s="63" t="str">
        <f>HYPERLINK("https://www.sds-group.ru/product/kabel-usb-a-lightning-2-4a-1m-pvh-belyy-rexant-18-1121/", "Инфо")</f>
        <v>Инфо</v>
      </c>
      <c r="F8792" s="16" t="s">
        <v>39</v>
      </c>
      <c r="G8792" s="15"/>
      <c r="H8792" s="15"/>
      <c r="I8792" s="15"/>
      <c r="J8792" s="22">
        <v>3483</v>
      </c>
      <c r="K8792" s="15" t="s">
        <v>979</v>
      </c>
      <c r="L8792" s="17">
        <v>5</v>
      </c>
      <c r="M8792" s="17">
        <v>200</v>
      </c>
      <c r="N8792" s="17">
        <v>5</v>
      </c>
      <c r="O8792" s="18">
        <v>226.38</v>
      </c>
      <c r="P8792" s="18">
        <v>185.56</v>
      </c>
      <c r="Q8792" s="18">
        <v>192.42</v>
      </c>
      <c r="R8792" s="18">
        <v>157.72</v>
      </c>
      <c r="S8792" s="18">
        <v>153.94</v>
      </c>
      <c r="T8792" s="18">
        <v>126.18</v>
      </c>
      <c r="U8792" s="16"/>
      <c r="V8792" s="16"/>
      <c r="W8792" s="16" t="s">
        <v>40</v>
      </c>
      <c r="X8792" s="19">
        <v>3.1E-2</v>
      </c>
      <c r="Y8792" s="20">
        <v>2.8400000000000002E-4</v>
      </c>
      <c r="Z8792" s="21">
        <v>4601004004801</v>
      </c>
    </row>
    <row r="8793" spans="1:26" ht="12" customHeight="1" outlineLevel="4" x14ac:dyDescent="0.2">
      <c r="A8793" s="32" t="s">
        <v>16775</v>
      </c>
      <c r="B8793" s="74" t="s">
        <v>16776</v>
      </c>
      <c r="C8793" s="50"/>
      <c r="D8793" s="53">
        <f t="shared" si="137"/>
        <v>0</v>
      </c>
      <c r="E8793" s="60" t="str">
        <f>HYPERLINK("https://www.sds-group.ru/product/kabel-usb-a-lightning-2-4a-1m-pvh-belyy-original-chip-mfi-rexant-18-0000/", "Инфо")</f>
        <v>Инфо</v>
      </c>
      <c r="F8793" s="34" t="s">
        <v>39</v>
      </c>
      <c r="G8793" s="33"/>
      <c r="H8793" s="33" t="s">
        <v>40</v>
      </c>
      <c r="I8793" s="33"/>
      <c r="J8793" s="39">
        <v>1325</v>
      </c>
      <c r="K8793" s="33"/>
      <c r="L8793" s="35">
        <v>1</v>
      </c>
      <c r="M8793" s="35">
        <v>200</v>
      </c>
      <c r="N8793" s="35">
        <v>1</v>
      </c>
      <c r="O8793" s="36">
        <v>914.84</v>
      </c>
      <c r="P8793" s="36">
        <v>749.87</v>
      </c>
      <c r="Q8793" s="36">
        <v>640.39</v>
      </c>
      <c r="R8793" s="36">
        <v>524.91</v>
      </c>
      <c r="S8793" s="36">
        <v>622.09</v>
      </c>
      <c r="T8793" s="36">
        <v>509.91</v>
      </c>
      <c r="U8793" s="34"/>
      <c r="V8793" s="34"/>
      <c r="W8793" s="34"/>
      <c r="X8793" s="37">
        <v>3.5000000000000003E-2</v>
      </c>
      <c r="Y8793" s="38">
        <v>2.13E-4</v>
      </c>
      <c r="Z8793" s="21">
        <v>4601004028227</v>
      </c>
    </row>
    <row r="8794" spans="1:26" ht="12" customHeight="1" outlineLevel="4" x14ac:dyDescent="0.2">
      <c r="A8794" s="32" t="s">
        <v>16777</v>
      </c>
      <c r="B8794" s="74" t="s">
        <v>16778</v>
      </c>
      <c r="C8794" s="50"/>
      <c r="D8794" s="53">
        <f t="shared" si="137"/>
        <v>0</v>
      </c>
      <c r="E8794" s="60" t="str">
        <f>HYPERLINK("https://www.sds-group.ru/product/kabel-usb-a-lightning-2-4a-1m-pvh-chernyy-rexant-18-7050/", "Инфо")</f>
        <v>Инфо</v>
      </c>
      <c r="F8794" s="34" t="s">
        <v>39</v>
      </c>
      <c r="G8794" s="33"/>
      <c r="H8794" s="33" t="s">
        <v>40</v>
      </c>
      <c r="I8794" s="33"/>
      <c r="J8794" s="39">
        <v>1251</v>
      </c>
      <c r="K8794" s="33"/>
      <c r="L8794" s="35">
        <v>1</v>
      </c>
      <c r="M8794" s="35">
        <v>100</v>
      </c>
      <c r="N8794" s="35">
        <v>1</v>
      </c>
      <c r="O8794" s="36">
        <v>173.48</v>
      </c>
      <c r="P8794" s="36">
        <v>142.19999999999999</v>
      </c>
      <c r="Q8794" s="36">
        <v>121.44</v>
      </c>
      <c r="R8794" s="36">
        <v>99.54</v>
      </c>
      <c r="S8794" s="36">
        <v>117.97</v>
      </c>
      <c r="T8794" s="36">
        <v>96.7</v>
      </c>
      <c r="U8794" s="34"/>
      <c r="V8794" s="34"/>
      <c r="W8794" s="34"/>
      <c r="X8794" s="37">
        <v>4.2999999999999997E-2</v>
      </c>
      <c r="Y8794" s="38">
        <v>3.5E-4</v>
      </c>
      <c r="Z8794" s="21">
        <v>4601004181946</v>
      </c>
    </row>
    <row r="8795" spans="1:26" ht="12" customHeight="1" outlineLevel="4" x14ac:dyDescent="0.2">
      <c r="A8795" s="14" t="s">
        <v>16779</v>
      </c>
      <c r="B8795" s="26" t="s">
        <v>16778</v>
      </c>
      <c r="C8795" s="52"/>
      <c r="D8795" s="55">
        <f t="shared" si="137"/>
        <v>0</v>
      </c>
      <c r="E8795" s="63" t="str">
        <f>HYPERLINK("https://www.sds-group.ru/product/kabel-usb-a-lightning-2-4a-1m-pvh-chernyy-rexant-18-1122/", "Инфо")</f>
        <v>Инфо</v>
      </c>
      <c r="F8795" s="16" t="s">
        <v>39</v>
      </c>
      <c r="G8795" s="15"/>
      <c r="H8795" s="15"/>
      <c r="I8795" s="15"/>
      <c r="J8795" s="22">
        <v>1321</v>
      </c>
      <c r="K8795" s="15"/>
      <c r="L8795" s="17">
        <v>5</v>
      </c>
      <c r="M8795" s="17">
        <v>500</v>
      </c>
      <c r="N8795" s="17">
        <v>5</v>
      </c>
      <c r="O8795" s="18">
        <v>226.38</v>
      </c>
      <c r="P8795" s="18">
        <v>185.56</v>
      </c>
      <c r="Q8795" s="18">
        <v>192.42</v>
      </c>
      <c r="R8795" s="18">
        <v>157.72</v>
      </c>
      <c r="S8795" s="18">
        <v>153.94</v>
      </c>
      <c r="T8795" s="18">
        <v>126.18</v>
      </c>
      <c r="U8795" s="16"/>
      <c r="V8795" s="16"/>
      <c r="W8795" s="16" t="s">
        <v>40</v>
      </c>
      <c r="X8795" s="19">
        <v>4.1000000000000002E-2</v>
      </c>
      <c r="Y8795" s="20">
        <v>2.7999999999999998E-4</v>
      </c>
      <c r="Z8795" s="21">
        <v>4601004004818</v>
      </c>
    </row>
    <row r="8796" spans="1:26" ht="12" customHeight="1" outlineLevel="4" x14ac:dyDescent="0.2">
      <c r="A8796" s="14" t="s">
        <v>16780</v>
      </c>
      <c r="B8796" s="26" t="s">
        <v>16781</v>
      </c>
      <c r="C8796" s="52"/>
      <c r="D8796" s="55">
        <f t="shared" si="137"/>
        <v>0</v>
      </c>
      <c r="E8796" s="63" t="str">
        <f>HYPERLINK("https://www.sds-group.ru/product/kabel-usb-a-lightning-2-4a-2m-pvh-belyy-rexant-18-1125/", "Инфо")</f>
        <v>Инфо</v>
      </c>
      <c r="F8796" s="16" t="s">
        <v>39</v>
      </c>
      <c r="G8796" s="15"/>
      <c r="H8796" s="15"/>
      <c r="I8796" s="15"/>
      <c r="J8796" s="17">
        <v>833</v>
      </c>
      <c r="K8796" s="15"/>
      <c r="L8796" s="17">
        <v>5</v>
      </c>
      <c r="M8796" s="17">
        <v>200</v>
      </c>
      <c r="N8796" s="17">
        <v>5</v>
      </c>
      <c r="O8796" s="18">
        <v>310.47000000000003</v>
      </c>
      <c r="P8796" s="18">
        <v>254.48</v>
      </c>
      <c r="Q8796" s="18">
        <v>248.38</v>
      </c>
      <c r="R8796" s="18">
        <v>203.59</v>
      </c>
      <c r="S8796" s="18">
        <v>211.12</v>
      </c>
      <c r="T8796" s="18">
        <v>173.05</v>
      </c>
      <c r="U8796" s="16"/>
      <c r="V8796" s="16"/>
      <c r="W8796" s="16" t="s">
        <v>40</v>
      </c>
      <c r="X8796" s="19">
        <v>6.0999999999999999E-2</v>
      </c>
      <c r="Y8796" s="20">
        <v>2.8299999999999999E-4</v>
      </c>
      <c r="Z8796" s="21">
        <v>4601004310841</v>
      </c>
    </row>
    <row r="8797" spans="1:26" ht="12.95" customHeight="1" outlineLevel="3" x14ac:dyDescent="0.2">
      <c r="A8797" s="76" t="s">
        <v>16782</v>
      </c>
      <c r="B8797" s="76"/>
      <c r="C8797" s="77"/>
      <c r="D8797" s="58"/>
      <c r="E8797" s="68"/>
      <c r="F8797" s="13"/>
      <c r="G8797" s="13"/>
      <c r="H8797" s="13"/>
      <c r="I8797" s="13"/>
      <c r="J8797" s="13"/>
      <c r="K8797" s="13"/>
      <c r="L8797" s="13"/>
      <c r="M8797" s="13"/>
      <c r="N8797" s="13"/>
      <c r="O8797" s="13"/>
      <c r="P8797" s="13"/>
      <c r="Q8797" s="13"/>
      <c r="R8797" s="13"/>
      <c r="S8797" s="13"/>
      <c r="T8797" s="13"/>
      <c r="U8797" s="13"/>
      <c r="V8797" s="13"/>
      <c r="W8797" s="13"/>
      <c r="X8797" s="13"/>
      <c r="Y8797" s="13"/>
      <c r="Z8797" s="13"/>
    </row>
    <row r="8798" spans="1:26" ht="12" customHeight="1" outlineLevel="4" x14ac:dyDescent="0.2">
      <c r="A8798" s="32" t="s">
        <v>16783</v>
      </c>
      <c r="B8798" s="74" t="s">
        <v>16784</v>
      </c>
      <c r="C8798" s="50"/>
      <c r="D8798" s="53">
        <f t="shared" si="137"/>
        <v>0</v>
      </c>
      <c r="E8798" s="60" t="str">
        <f>HYPERLINK("https://www.sds-group.ru/product/kabel-usb-a-micro-usb-1a-1-8m-pvh-belyy-rexant-18-1164/", "Инфо")</f>
        <v>Инфо</v>
      </c>
      <c r="F8798" s="34" t="s">
        <v>39</v>
      </c>
      <c r="G8798" s="33"/>
      <c r="H8798" s="33" t="s">
        <v>40</v>
      </c>
      <c r="I8798" s="33"/>
      <c r="J8798" s="39">
        <v>1422</v>
      </c>
      <c r="K8798" s="33"/>
      <c r="L8798" s="35">
        <v>10</v>
      </c>
      <c r="M8798" s="35">
        <v>100</v>
      </c>
      <c r="N8798" s="35">
        <v>10</v>
      </c>
      <c r="O8798" s="36">
        <v>306.20999999999998</v>
      </c>
      <c r="P8798" s="36">
        <v>250.99</v>
      </c>
      <c r="Q8798" s="36">
        <v>214.35</v>
      </c>
      <c r="R8798" s="36">
        <v>175.7</v>
      </c>
      <c r="S8798" s="36">
        <v>208.22</v>
      </c>
      <c r="T8798" s="36">
        <v>170.67</v>
      </c>
      <c r="U8798" s="34"/>
      <c r="V8798" s="34"/>
      <c r="W8798" s="34"/>
      <c r="X8798" s="37">
        <v>4.9000000000000002E-2</v>
      </c>
      <c r="Y8798" s="38">
        <v>2.4000000000000001E-4</v>
      </c>
      <c r="Z8798" s="21">
        <v>4660008015824</v>
      </c>
    </row>
    <row r="8799" spans="1:26" ht="12" customHeight="1" outlineLevel="4" x14ac:dyDescent="0.2">
      <c r="A8799" s="32" t="s">
        <v>16785</v>
      </c>
      <c r="B8799" s="74" t="s">
        <v>16786</v>
      </c>
      <c r="C8799" s="50"/>
      <c r="D8799" s="53">
        <f t="shared" si="137"/>
        <v>0</v>
      </c>
      <c r="E8799" s="60" t="str">
        <f>HYPERLINK("https://www.sds-group.ru/product/kabel-usb-a-micro-usb-1a-1-8m-pvh-chernyy-rexant-18-1164-2/", "Инфо")</f>
        <v>Инфо</v>
      </c>
      <c r="F8799" s="34" t="s">
        <v>39</v>
      </c>
      <c r="G8799" s="33"/>
      <c r="H8799" s="33" t="s">
        <v>40</v>
      </c>
      <c r="I8799" s="33"/>
      <c r="J8799" s="39">
        <v>2752</v>
      </c>
      <c r="K8799" s="33"/>
      <c r="L8799" s="35">
        <v>10</v>
      </c>
      <c r="M8799" s="35">
        <v>100</v>
      </c>
      <c r="N8799" s="35">
        <v>10</v>
      </c>
      <c r="O8799" s="36">
        <v>221.67</v>
      </c>
      <c r="P8799" s="36">
        <v>181.7</v>
      </c>
      <c r="Q8799" s="36">
        <v>155.16999999999999</v>
      </c>
      <c r="R8799" s="36">
        <v>127.19</v>
      </c>
      <c r="S8799" s="36">
        <v>150.74</v>
      </c>
      <c r="T8799" s="36">
        <v>123.56</v>
      </c>
      <c r="U8799" s="34"/>
      <c r="V8799" s="34"/>
      <c r="W8799" s="34"/>
      <c r="X8799" s="37">
        <v>5.1999999999999998E-2</v>
      </c>
      <c r="Y8799" s="38">
        <v>2.3800000000000001E-4</v>
      </c>
      <c r="Z8799" s="21">
        <v>4601004002449</v>
      </c>
    </row>
    <row r="8800" spans="1:26" ht="12" customHeight="1" outlineLevel="4" x14ac:dyDescent="0.2">
      <c r="A8800" s="32" t="s">
        <v>16787</v>
      </c>
      <c r="B8800" s="74" t="s">
        <v>16788</v>
      </c>
      <c r="C8800" s="50"/>
      <c r="D8800" s="53">
        <f t="shared" si="137"/>
        <v>0</v>
      </c>
      <c r="E8800" s="60" t="str">
        <f>HYPERLINK("https://www.sds-group.ru/product/kabel-usb-a-micro-usb-1a-1m-belyy-dlinnyy-shteker-rexant-18-4269-20/", "Инфо")</f>
        <v>Инфо</v>
      </c>
      <c r="F8800" s="34" t="s">
        <v>39</v>
      </c>
      <c r="G8800" s="33"/>
      <c r="H8800" s="33" t="s">
        <v>40</v>
      </c>
      <c r="I8800" s="33"/>
      <c r="J8800" s="35">
        <v>627</v>
      </c>
      <c r="K8800" s="33"/>
      <c r="L8800" s="35">
        <v>20</v>
      </c>
      <c r="M8800" s="39">
        <v>1000</v>
      </c>
      <c r="N8800" s="35">
        <v>20</v>
      </c>
      <c r="O8800" s="36">
        <v>164.93</v>
      </c>
      <c r="P8800" s="36">
        <v>135.19</v>
      </c>
      <c r="Q8800" s="36">
        <v>115.45</v>
      </c>
      <c r="R8800" s="36">
        <v>94.63</v>
      </c>
      <c r="S8800" s="36">
        <v>112.15</v>
      </c>
      <c r="T8800" s="36">
        <v>91.93</v>
      </c>
      <c r="U8800" s="34"/>
      <c r="V8800" s="34"/>
      <c r="W8800" s="34"/>
      <c r="X8800" s="37">
        <v>2.3E-2</v>
      </c>
      <c r="Y8800" s="38">
        <v>4.3999999999999999E-5</v>
      </c>
      <c r="Z8800" s="21">
        <v>4601004072824</v>
      </c>
    </row>
    <row r="8801" spans="1:26" ht="12" customHeight="1" outlineLevel="4" x14ac:dyDescent="0.2">
      <c r="A8801" s="14" t="s">
        <v>16789</v>
      </c>
      <c r="B8801" s="26" t="s">
        <v>16790</v>
      </c>
      <c r="C8801" s="52"/>
      <c r="D8801" s="55">
        <f t="shared" si="137"/>
        <v>0</v>
      </c>
      <c r="E8801" s="63" t="str">
        <f>HYPERLINK("https://www.sds-group.ru/product/kabel-usb-a-micro-usb-1a-1m-pvh-belyy-rexant-18-4269/", "Инфо")</f>
        <v>Инфо</v>
      </c>
      <c r="F8801" s="16" t="s">
        <v>39</v>
      </c>
      <c r="G8801" s="15"/>
      <c r="H8801" s="15"/>
      <c r="I8801" s="15"/>
      <c r="J8801" s="17">
        <v>623</v>
      </c>
      <c r="K8801" s="15" t="s">
        <v>1131</v>
      </c>
      <c r="L8801" s="17">
        <v>5</v>
      </c>
      <c r="M8801" s="17">
        <v>500</v>
      </c>
      <c r="N8801" s="17">
        <v>5</v>
      </c>
      <c r="O8801" s="18">
        <v>214.52</v>
      </c>
      <c r="P8801" s="18">
        <v>175.84</v>
      </c>
      <c r="Q8801" s="18">
        <v>182.34</v>
      </c>
      <c r="R8801" s="18">
        <v>149.46</v>
      </c>
      <c r="S8801" s="18">
        <v>145.87</v>
      </c>
      <c r="T8801" s="18">
        <v>119.57</v>
      </c>
      <c r="U8801" s="16"/>
      <c r="V8801" s="16"/>
      <c r="W8801" s="16" t="s">
        <v>40</v>
      </c>
      <c r="X8801" s="19">
        <v>2.5000000000000001E-2</v>
      </c>
      <c r="Y8801" s="20">
        <v>2.5700000000000001E-4</v>
      </c>
      <c r="Z8801" s="21">
        <v>4601004021945</v>
      </c>
    </row>
    <row r="8802" spans="1:26" ht="12" customHeight="1" outlineLevel="4" x14ac:dyDescent="0.2">
      <c r="A8802" s="14" t="s">
        <v>16791</v>
      </c>
      <c r="B8802" s="26" t="s">
        <v>16792</v>
      </c>
      <c r="C8802" s="52"/>
      <c r="D8802" s="55">
        <f t="shared" si="137"/>
        <v>0</v>
      </c>
      <c r="E8802" s="63" t="str">
        <f>HYPERLINK("https://www.sds-group.ru/product/kabel-usb-a-micro-usb-1a-1m-pvh-chernyy-rexant-18-4268/", "Инфо")</f>
        <v>Инфо</v>
      </c>
      <c r="F8802" s="16" t="s">
        <v>39</v>
      </c>
      <c r="G8802" s="15"/>
      <c r="H8802" s="15"/>
      <c r="I8802" s="15"/>
      <c r="J8802" s="22">
        <v>3106</v>
      </c>
      <c r="K8802" s="15" t="s">
        <v>979</v>
      </c>
      <c r="L8802" s="17">
        <v>10</v>
      </c>
      <c r="M8802" s="17">
        <v>100</v>
      </c>
      <c r="N8802" s="17">
        <v>10</v>
      </c>
      <c r="O8802" s="18">
        <v>140.13999999999999</v>
      </c>
      <c r="P8802" s="18">
        <v>114.87</v>
      </c>
      <c r="Q8802" s="18">
        <v>119.12</v>
      </c>
      <c r="R8802" s="18">
        <v>97.64</v>
      </c>
      <c r="S8802" s="18">
        <v>95.3</v>
      </c>
      <c r="T8802" s="18">
        <v>78.11</v>
      </c>
      <c r="U8802" s="16"/>
      <c r="V8802" s="16"/>
      <c r="W8802" s="16" t="s">
        <v>40</v>
      </c>
      <c r="X8802" s="19">
        <v>3.9E-2</v>
      </c>
      <c r="Y8802" s="20">
        <v>2.8400000000000002E-4</v>
      </c>
      <c r="Z8802" s="21">
        <v>4601004021938</v>
      </c>
    </row>
    <row r="8803" spans="1:26" ht="12" customHeight="1" outlineLevel="4" x14ac:dyDescent="0.2">
      <c r="A8803" s="14" t="s">
        <v>16793</v>
      </c>
      <c r="B8803" s="26" t="s">
        <v>16794</v>
      </c>
      <c r="C8803" s="52"/>
      <c r="D8803" s="55">
        <f t="shared" si="137"/>
        <v>0</v>
      </c>
      <c r="E8803" s="63" t="str">
        <f>HYPERLINK("https://www.sds-group.ru/product/kabel-usb-a-micro-usb-1a-1m-chernyy-dlinnyy-shteker-rexant-18-4268-20/", "Инфо")</f>
        <v>Инфо</v>
      </c>
      <c r="F8803" s="16" t="s">
        <v>39</v>
      </c>
      <c r="G8803" s="15"/>
      <c r="H8803" s="15"/>
      <c r="I8803" s="15"/>
      <c r="J8803" s="22">
        <v>2788</v>
      </c>
      <c r="K8803" s="15"/>
      <c r="L8803" s="17">
        <v>20</v>
      </c>
      <c r="M8803" s="17">
        <v>500</v>
      </c>
      <c r="N8803" s="17">
        <v>20</v>
      </c>
      <c r="O8803" s="18">
        <v>161.69999999999999</v>
      </c>
      <c r="P8803" s="18">
        <v>132.54</v>
      </c>
      <c r="Q8803" s="18">
        <v>137.44999999999999</v>
      </c>
      <c r="R8803" s="18">
        <v>112.66</v>
      </c>
      <c r="S8803" s="18">
        <v>109.96</v>
      </c>
      <c r="T8803" s="18">
        <v>90.13</v>
      </c>
      <c r="U8803" s="16"/>
      <c r="V8803" s="16"/>
      <c r="W8803" s="16" t="s">
        <v>40</v>
      </c>
      <c r="X8803" s="19">
        <v>1.7000000000000001E-2</v>
      </c>
      <c r="Y8803" s="20">
        <v>4.8999999999999998E-5</v>
      </c>
      <c r="Z8803" s="21">
        <v>4601004267176</v>
      </c>
    </row>
    <row r="8804" spans="1:26" ht="12" customHeight="1" outlineLevel="4" x14ac:dyDescent="0.2">
      <c r="A8804" s="32" t="s">
        <v>16795</v>
      </c>
      <c r="B8804" s="74" t="s">
        <v>16796</v>
      </c>
      <c r="C8804" s="50"/>
      <c r="D8804" s="53">
        <f t="shared" si="137"/>
        <v>0</v>
      </c>
      <c r="E8804" s="60" t="str">
        <f>HYPERLINK("https://www.sds-group.ru/product/kabel-usb-a-micro-usb-1a-3m-seryy-rexant-18-1166/", "Инфо")</f>
        <v>Инфо</v>
      </c>
      <c r="F8804" s="34" t="s">
        <v>39</v>
      </c>
      <c r="G8804" s="33"/>
      <c r="H8804" s="33" t="s">
        <v>40</v>
      </c>
      <c r="I8804" s="33"/>
      <c r="J8804" s="35">
        <v>398</v>
      </c>
      <c r="K8804" s="33"/>
      <c r="L8804" s="35">
        <v>10</v>
      </c>
      <c r="M8804" s="35">
        <v>200</v>
      </c>
      <c r="N8804" s="35">
        <v>10</v>
      </c>
      <c r="O8804" s="36">
        <v>451.69</v>
      </c>
      <c r="P8804" s="36">
        <v>370.24</v>
      </c>
      <c r="Q8804" s="36">
        <v>383.94</v>
      </c>
      <c r="R8804" s="36">
        <v>314.7</v>
      </c>
      <c r="S8804" s="36">
        <v>307.14999999999998</v>
      </c>
      <c r="T8804" s="36">
        <v>251.76</v>
      </c>
      <c r="U8804" s="34"/>
      <c r="V8804" s="34"/>
      <c r="W8804" s="34" t="s">
        <v>40</v>
      </c>
      <c r="X8804" s="37">
        <v>7.2999999999999995E-2</v>
      </c>
      <c r="Y8804" s="38">
        <v>1.7699999999999999E-4</v>
      </c>
      <c r="Z8804" s="21">
        <v>4660008015831</v>
      </c>
    </row>
    <row r="8805" spans="1:26" ht="12" customHeight="1" outlineLevel="4" x14ac:dyDescent="0.2">
      <c r="A8805" s="32" t="s">
        <v>16797</v>
      </c>
      <c r="B8805" s="74" t="s">
        <v>16798</v>
      </c>
      <c r="C8805" s="50"/>
      <c r="D8805" s="53">
        <f t="shared" si="137"/>
        <v>0</v>
      </c>
      <c r="E8805" s="60" t="str">
        <f>HYPERLINK("https://www.sds-group.ru/product/kabel-usb-a-micro-usb-2-4a-1m-belyy-vitoy-rexant-18-4301/", "Инфо")</f>
        <v>Инфо</v>
      </c>
      <c r="F8805" s="34" t="s">
        <v>39</v>
      </c>
      <c r="G8805" s="33"/>
      <c r="H8805" s="33" t="s">
        <v>40</v>
      </c>
      <c r="I8805" s="33"/>
      <c r="J8805" s="35">
        <v>54</v>
      </c>
      <c r="K8805" s="33"/>
      <c r="L8805" s="35">
        <v>10</v>
      </c>
      <c r="M8805" s="35">
        <v>200</v>
      </c>
      <c r="N8805" s="35">
        <v>10</v>
      </c>
      <c r="O8805" s="36">
        <v>456.33</v>
      </c>
      <c r="P8805" s="36">
        <v>374.04</v>
      </c>
      <c r="Q8805" s="36">
        <v>319.43</v>
      </c>
      <c r="R8805" s="36">
        <v>261.83</v>
      </c>
      <c r="S8805" s="36">
        <v>310.3</v>
      </c>
      <c r="T8805" s="36">
        <v>254.34</v>
      </c>
      <c r="U8805" s="34"/>
      <c r="V8805" s="34"/>
      <c r="W8805" s="34"/>
      <c r="X8805" s="37">
        <v>2.5000000000000001E-2</v>
      </c>
      <c r="Y8805" s="38">
        <v>9.2E-5</v>
      </c>
      <c r="Z8805" s="21">
        <v>4601004022430</v>
      </c>
    </row>
    <row r="8806" spans="1:26" ht="12" customHeight="1" outlineLevel="4" x14ac:dyDescent="0.2">
      <c r="A8806" s="32" t="s">
        <v>16799</v>
      </c>
      <c r="B8806" s="74" t="s">
        <v>16800</v>
      </c>
      <c r="C8806" s="50"/>
      <c r="D8806" s="53">
        <f t="shared" si="137"/>
        <v>0</v>
      </c>
      <c r="E8806" s="60" t="str">
        <f>HYPERLINK("https://www.sds-group.ru/product/kabel-usb-a-micro-usb-2-4a-0-2m-seryy-rexant-18-1162/", "Инфо")</f>
        <v>Инфо</v>
      </c>
      <c r="F8806" s="34" t="s">
        <v>39</v>
      </c>
      <c r="G8806" s="33"/>
      <c r="H8806" s="33" t="s">
        <v>40</v>
      </c>
      <c r="I8806" s="33"/>
      <c r="J8806" s="39">
        <v>2949</v>
      </c>
      <c r="K8806" s="33"/>
      <c r="L8806" s="35">
        <v>10</v>
      </c>
      <c r="M8806" s="39">
        <v>1000</v>
      </c>
      <c r="N8806" s="35">
        <v>10</v>
      </c>
      <c r="O8806" s="36">
        <v>119</v>
      </c>
      <c r="P8806" s="36">
        <v>97.54</v>
      </c>
      <c r="Q8806" s="36">
        <v>83.3</v>
      </c>
      <c r="R8806" s="36">
        <v>68.28</v>
      </c>
      <c r="S8806" s="36">
        <v>80.92</v>
      </c>
      <c r="T8806" s="36">
        <v>66.33</v>
      </c>
      <c r="U8806" s="34"/>
      <c r="V8806" s="34"/>
      <c r="W8806" s="34"/>
      <c r="X8806" s="37">
        <v>1.4E-2</v>
      </c>
      <c r="Y8806" s="38">
        <v>3.4E-5</v>
      </c>
      <c r="Z8806" s="21">
        <v>4660008015817</v>
      </c>
    </row>
    <row r="8807" spans="1:26" ht="12" customHeight="1" outlineLevel="4" x14ac:dyDescent="0.2">
      <c r="A8807" s="32" t="s">
        <v>16801</v>
      </c>
      <c r="B8807" s="74" t="s">
        <v>16802</v>
      </c>
      <c r="C8807" s="50"/>
      <c r="D8807" s="53">
        <f t="shared" si="137"/>
        <v>0</v>
      </c>
      <c r="E8807" s="60" t="str">
        <f>HYPERLINK("https://www.sds-group.ru/product/kabel-usb-a-micro-usb-2-4a-1m-v-dzhinsovoy-tkanevoy-opletke-rexant-18-4242/", "Инфо")</f>
        <v>Инфо</v>
      </c>
      <c r="F8807" s="34" t="s">
        <v>39</v>
      </c>
      <c r="G8807" s="33"/>
      <c r="H8807" s="33" t="s">
        <v>40</v>
      </c>
      <c r="I8807" s="33"/>
      <c r="J8807" s="39">
        <v>1509</v>
      </c>
      <c r="K8807" s="33"/>
      <c r="L8807" s="35">
        <v>10</v>
      </c>
      <c r="M8807" s="35">
        <v>100</v>
      </c>
      <c r="N8807" s="35">
        <v>10</v>
      </c>
      <c r="O8807" s="36">
        <v>329.39</v>
      </c>
      <c r="P8807" s="36">
        <v>269.99</v>
      </c>
      <c r="Q8807" s="36">
        <v>230.57</v>
      </c>
      <c r="R8807" s="36">
        <v>188.99</v>
      </c>
      <c r="S8807" s="36">
        <v>223.99</v>
      </c>
      <c r="T8807" s="36">
        <v>183.6</v>
      </c>
      <c r="U8807" s="34"/>
      <c r="V8807" s="34"/>
      <c r="W8807" s="34"/>
      <c r="X8807" s="37">
        <v>5.2999999999999999E-2</v>
      </c>
      <c r="Y8807" s="38">
        <v>3.9500000000000001E-4</v>
      </c>
      <c r="Z8807" s="21">
        <v>4601004097278</v>
      </c>
    </row>
    <row r="8808" spans="1:26" ht="12" customHeight="1" outlineLevel="4" x14ac:dyDescent="0.2">
      <c r="A8808" s="32" t="s">
        <v>16803</v>
      </c>
      <c r="B8808" s="74" t="s">
        <v>16804</v>
      </c>
      <c r="C8808" s="50"/>
      <c r="D8808" s="53">
        <f t="shared" si="137"/>
        <v>0</v>
      </c>
      <c r="E8808" s="60" t="str">
        <f>HYPERLINK("https://www.sds-group.ru/product/kabel-usb-a-micro-usb-2-4a-1m-pvh-chernyy-rexant-18-4270/", "Инфо")</f>
        <v>Инфо</v>
      </c>
      <c r="F8808" s="34" t="s">
        <v>39</v>
      </c>
      <c r="G8808" s="33"/>
      <c r="H8808" s="33" t="s">
        <v>40</v>
      </c>
      <c r="I8808" s="33"/>
      <c r="J8808" s="39">
        <v>1109</v>
      </c>
      <c r="K8808" s="33"/>
      <c r="L8808" s="35">
        <v>10</v>
      </c>
      <c r="M8808" s="35">
        <v>500</v>
      </c>
      <c r="N8808" s="35">
        <v>10</v>
      </c>
      <c r="O8808" s="36">
        <v>310.47000000000003</v>
      </c>
      <c r="P8808" s="36">
        <v>254.48</v>
      </c>
      <c r="Q8808" s="36">
        <v>263.89999999999998</v>
      </c>
      <c r="R8808" s="36">
        <v>216.31</v>
      </c>
      <c r="S8808" s="36">
        <v>211.12</v>
      </c>
      <c r="T8808" s="36">
        <v>173.05</v>
      </c>
      <c r="U8808" s="34"/>
      <c r="V8808" s="34"/>
      <c r="W8808" s="34" t="s">
        <v>40</v>
      </c>
      <c r="X8808" s="37">
        <v>4.3999999999999997E-2</v>
      </c>
      <c r="Y8808" s="38">
        <v>3.5399999999999999E-4</v>
      </c>
      <c r="Z8808" s="21">
        <v>4601004010093</v>
      </c>
    </row>
    <row r="8809" spans="1:26" ht="12" customHeight="1" outlineLevel="4" x14ac:dyDescent="0.2">
      <c r="A8809" s="32" t="s">
        <v>16805</v>
      </c>
      <c r="B8809" s="74" t="s">
        <v>16806</v>
      </c>
      <c r="C8809" s="50"/>
      <c r="D8809" s="53">
        <f t="shared" si="137"/>
        <v>0</v>
      </c>
      <c r="E8809" s="60" t="str">
        <f>HYPERLINK("https://www.sds-group.ru/product/kabel-usb-a-micro-usb-2a-1m-v-dzhinsovoy-tkanevoy-opletke-ploskiy-rexant-18-1163/", "Инфо")</f>
        <v>Инфо</v>
      </c>
      <c r="F8809" s="34" t="s">
        <v>39</v>
      </c>
      <c r="G8809" s="33"/>
      <c r="H8809" s="33" t="s">
        <v>40</v>
      </c>
      <c r="I8809" s="33"/>
      <c r="J8809" s="39">
        <v>1173</v>
      </c>
      <c r="K8809" s="33"/>
      <c r="L8809" s="35">
        <v>1</v>
      </c>
      <c r="M8809" s="35">
        <v>100</v>
      </c>
      <c r="N8809" s="35">
        <v>1</v>
      </c>
      <c r="O8809" s="36">
        <v>295.81</v>
      </c>
      <c r="P8809" s="36">
        <v>242.47</v>
      </c>
      <c r="Q8809" s="36">
        <v>207.07</v>
      </c>
      <c r="R8809" s="36">
        <v>169.73</v>
      </c>
      <c r="S8809" s="36">
        <v>201.15</v>
      </c>
      <c r="T8809" s="36">
        <v>164.88</v>
      </c>
      <c r="U8809" s="34"/>
      <c r="V8809" s="34"/>
      <c r="W8809" s="34"/>
      <c r="X8809" s="37">
        <v>4.1000000000000002E-2</v>
      </c>
      <c r="Y8809" s="38">
        <v>3.5300000000000002E-4</v>
      </c>
      <c r="Z8809" s="21">
        <v>4601004187788</v>
      </c>
    </row>
    <row r="8810" spans="1:26" ht="12.95" customHeight="1" outlineLevel="3" x14ac:dyDescent="0.2">
      <c r="A8810" s="76" t="s">
        <v>16807</v>
      </c>
      <c r="B8810" s="76"/>
      <c r="C8810" s="77"/>
      <c r="D8810" s="58"/>
      <c r="E8810" s="68"/>
      <c r="F8810" s="13"/>
      <c r="G8810" s="13"/>
      <c r="H8810" s="13"/>
      <c r="I8810" s="13"/>
      <c r="J8810" s="13"/>
      <c r="K8810" s="13"/>
      <c r="L8810" s="13"/>
      <c r="M8810" s="13"/>
      <c r="N8810" s="13"/>
      <c r="O8810" s="13"/>
      <c r="P8810" s="13"/>
      <c r="Q8810" s="13"/>
      <c r="R8810" s="13"/>
      <c r="S8810" s="13"/>
      <c r="T8810" s="13"/>
      <c r="U8810" s="13"/>
      <c r="V8810" s="13"/>
      <c r="W8810" s="13"/>
      <c r="X8810" s="13"/>
      <c r="Y8810" s="13"/>
      <c r="Z8810" s="13"/>
    </row>
    <row r="8811" spans="1:26" ht="12" customHeight="1" outlineLevel="4" x14ac:dyDescent="0.2">
      <c r="A8811" s="14" t="s">
        <v>16808</v>
      </c>
      <c r="B8811" s="26" t="s">
        <v>16809</v>
      </c>
      <c r="C8811" s="52"/>
      <c r="D8811" s="55">
        <f t="shared" si="137"/>
        <v>0</v>
      </c>
      <c r="E8811" s="63" t="str">
        <f>HYPERLINK("https://www.sds-group.ru/product/kabel-usb-a-mini-usb-1a-0-2m-pvh-chernyy-rexant-18-1131-2/", "Инфо")</f>
        <v>Инфо</v>
      </c>
      <c r="F8811" s="16" t="s">
        <v>39</v>
      </c>
      <c r="G8811" s="15"/>
      <c r="H8811" s="15"/>
      <c r="I8811" s="15"/>
      <c r="J8811" s="22">
        <v>6264</v>
      </c>
      <c r="K8811" s="15" t="s">
        <v>979</v>
      </c>
      <c r="L8811" s="17">
        <v>10</v>
      </c>
      <c r="M8811" s="22">
        <v>1000</v>
      </c>
      <c r="N8811" s="17">
        <v>10</v>
      </c>
      <c r="O8811" s="18">
        <v>140.52000000000001</v>
      </c>
      <c r="P8811" s="18">
        <v>115.18</v>
      </c>
      <c r="Q8811" s="18">
        <v>119.44</v>
      </c>
      <c r="R8811" s="18">
        <v>97.9</v>
      </c>
      <c r="S8811" s="18">
        <v>95.55</v>
      </c>
      <c r="T8811" s="18">
        <v>78.319999999999993</v>
      </c>
      <c r="U8811" s="16"/>
      <c r="V8811" s="16"/>
      <c r="W8811" s="16" t="s">
        <v>40</v>
      </c>
      <c r="X8811" s="19">
        <v>1.4E-2</v>
      </c>
      <c r="Y8811" s="20">
        <v>5.8999999999999998E-5</v>
      </c>
      <c r="Z8811" s="21">
        <v>4601004002401</v>
      </c>
    </row>
    <row r="8812" spans="1:26" ht="12" customHeight="1" outlineLevel="4" x14ac:dyDescent="0.2">
      <c r="A8812" s="14" t="s">
        <v>16810</v>
      </c>
      <c r="B8812" s="26" t="s">
        <v>16811</v>
      </c>
      <c r="C8812" s="52"/>
      <c r="D8812" s="55">
        <f t="shared" si="137"/>
        <v>0</v>
      </c>
      <c r="E8812" s="63" t="str">
        <f>HYPERLINK("https://www.sds-group.ru/product/kabel-usb-a-mini-usb-1a-1-8m-pvh-belyy-rexant-18-1134/", "Инфо")</f>
        <v>Инфо</v>
      </c>
      <c r="F8812" s="16" t="s">
        <v>39</v>
      </c>
      <c r="G8812" s="15"/>
      <c r="H8812" s="15"/>
      <c r="I8812" s="15"/>
      <c r="J8812" s="17">
        <v>408</v>
      </c>
      <c r="K8812" s="15"/>
      <c r="L8812" s="17">
        <v>10</v>
      </c>
      <c r="M8812" s="17">
        <v>250</v>
      </c>
      <c r="N8812" s="17">
        <v>10</v>
      </c>
      <c r="O8812" s="18">
        <v>311.54000000000002</v>
      </c>
      <c r="P8812" s="18">
        <v>255.36</v>
      </c>
      <c r="Q8812" s="18">
        <v>264.81</v>
      </c>
      <c r="R8812" s="18">
        <v>217.06</v>
      </c>
      <c r="S8812" s="18">
        <v>211.85</v>
      </c>
      <c r="T8812" s="18">
        <v>173.65</v>
      </c>
      <c r="U8812" s="16"/>
      <c r="V8812" s="16"/>
      <c r="W8812" s="16" t="s">
        <v>40</v>
      </c>
      <c r="X8812" s="19">
        <v>6.5000000000000002E-2</v>
      </c>
      <c r="Y8812" s="20">
        <v>2.8800000000000001E-4</v>
      </c>
      <c r="Z8812" s="21">
        <v>4610003601874</v>
      </c>
    </row>
    <row r="8813" spans="1:26" ht="12" customHeight="1" outlineLevel="4" x14ac:dyDescent="0.2">
      <c r="A8813" s="14" t="s">
        <v>16812</v>
      </c>
      <c r="B8813" s="26" t="s">
        <v>16813</v>
      </c>
      <c r="C8813" s="52"/>
      <c r="D8813" s="55">
        <f t="shared" si="137"/>
        <v>0</v>
      </c>
      <c r="E8813" s="63" t="str">
        <f>HYPERLINK("https://www.sds-group.ru/product/kabel-usb-a-mini-usb-1a-1m-pvh-chernyy-rexant-18-4402/", "Инфо")</f>
        <v>Инфо</v>
      </c>
      <c r="F8813" s="16" t="s">
        <v>39</v>
      </c>
      <c r="G8813" s="15"/>
      <c r="H8813" s="15"/>
      <c r="I8813" s="15"/>
      <c r="J8813" s="22">
        <v>1176</v>
      </c>
      <c r="K8813" s="15"/>
      <c r="L8813" s="17">
        <v>5</v>
      </c>
      <c r="M8813" s="17">
        <v>500</v>
      </c>
      <c r="N8813" s="17">
        <v>5</v>
      </c>
      <c r="O8813" s="18">
        <v>271.44</v>
      </c>
      <c r="P8813" s="18">
        <v>222.49</v>
      </c>
      <c r="Q8813" s="18">
        <v>230.72</v>
      </c>
      <c r="R8813" s="18">
        <v>189.11</v>
      </c>
      <c r="S8813" s="18">
        <v>184.58</v>
      </c>
      <c r="T8813" s="18">
        <v>151.30000000000001</v>
      </c>
      <c r="U8813" s="16"/>
      <c r="V8813" s="16"/>
      <c r="W8813" s="16" t="s">
        <v>40</v>
      </c>
      <c r="X8813" s="19">
        <v>3.1E-2</v>
      </c>
      <c r="Y8813" s="20">
        <v>2.5099999999999998E-4</v>
      </c>
      <c r="Z8813" s="21">
        <v>4601004034112</v>
      </c>
    </row>
    <row r="8814" spans="1:26" ht="12" customHeight="1" outlineLevel="4" x14ac:dyDescent="0.2">
      <c r="A8814" s="14" t="s">
        <v>16814</v>
      </c>
      <c r="B8814" s="26" t="s">
        <v>16815</v>
      </c>
      <c r="C8814" s="52"/>
      <c r="D8814" s="55">
        <f t="shared" si="137"/>
        <v>0</v>
      </c>
      <c r="E8814" s="63" t="str">
        <f>HYPERLINK("https://www.sds-group.ru/product/kabel-usb-a-mini-usb-2-4a-3m-pvh-seryy-rexant-18-1136/", "Инфо")</f>
        <v>Инфо</v>
      </c>
      <c r="F8814" s="16" t="s">
        <v>39</v>
      </c>
      <c r="G8814" s="15"/>
      <c r="H8814" s="15"/>
      <c r="I8814" s="15"/>
      <c r="J8814" s="22">
        <v>3790</v>
      </c>
      <c r="K8814" s="15"/>
      <c r="L8814" s="17">
        <v>10</v>
      </c>
      <c r="M8814" s="17">
        <v>200</v>
      </c>
      <c r="N8814" s="17">
        <v>10</v>
      </c>
      <c r="O8814" s="18">
        <v>301.11</v>
      </c>
      <c r="P8814" s="18">
        <v>246.81</v>
      </c>
      <c r="Q8814" s="18">
        <v>255.94</v>
      </c>
      <c r="R8814" s="18">
        <v>209.79</v>
      </c>
      <c r="S8814" s="18">
        <v>204.75</v>
      </c>
      <c r="T8814" s="18">
        <v>167.83</v>
      </c>
      <c r="U8814" s="16"/>
      <c r="V8814" s="16"/>
      <c r="W8814" s="16" t="s">
        <v>40</v>
      </c>
      <c r="X8814" s="19">
        <v>7.3999999999999996E-2</v>
      </c>
      <c r="Y8814" s="20">
        <v>1.56E-4</v>
      </c>
      <c r="Z8814" s="21">
        <v>4610003601881</v>
      </c>
    </row>
    <row r="8815" spans="1:26" ht="12.95" customHeight="1" outlineLevel="3" x14ac:dyDescent="0.2">
      <c r="A8815" s="76" t="s">
        <v>16816</v>
      </c>
      <c r="B8815" s="76"/>
      <c r="C8815" s="77"/>
      <c r="D8815" s="58"/>
      <c r="E8815" s="68"/>
      <c r="F8815" s="13"/>
      <c r="G8815" s="13"/>
      <c r="H8815" s="13"/>
      <c r="I8815" s="13"/>
      <c r="J8815" s="13"/>
      <c r="K8815" s="13"/>
      <c r="L8815" s="13"/>
      <c r="M8815" s="13"/>
      <c r="N8815" s="13"/>
      <c r="O8815" s="13"/>
      <c r="P8815" s="13"/>
      <c r="Q8815" s="13"/>
      <c r="R8815" s="13"/>
      <c r="S8815" s="13"/>
      <c r="T8815" s="13"/>
      <c r="U8815" s="13"/>
      <c r="V8815" s="13"/>
      <c r="W8815" s="13"/>
      <c r="X8815" s="13"/>
      <c r="Y8815" s="13"/>
      <c r="Z8815" s="13"/>
    </row>
    <row r="8816" spans="1:26" ht="12" customHeight="1" outlineLevel="4" x14ac:dyDescent="0.2">
      <c r="A8816" s="14" t="s">
        <v>16817</v>
      </c>
      <c r="B8816" s="26" t="s">
        <v>16818</v>
      </c>
      <c r="C8816" s="52"/>
      <c r="D8816" s="55">
        <f t="shared" si="137"/>
        <v>0</v>
      </c>
      <c r="E8816" s="63" t="str">
        <f>HYPERLINK("https://www.sds-group.ru/product/kabel-sht-usb-a-gn-usb-a-2-4a-1-8m-pvh-seryy-rexant-18-1114/", "Инфо")</f>
        <v>Инфо</v>
      </c>
      <c r="F8816" s="16" t="s">
        <v>39</v>
      </c>
      <c r="G8816" s="15"/>
      <c r="H8816" s="15"/>
      <c r="I8816" s="15"/>
      <c r="J8816" s="22">
        <v>6415</v>
      </c>
      <c r="K8816" s="15" t="s">
        <v>979</v>
      </c>
      <c r="L8816" s="17">
        <v>10</v>
      </c>
      <c r="M8816" s="17">
        <v>250</v>
      </c>
      <c r="N8816" s="17">
        <v>10</v>
      </c>
      <c r="O8816" s="18">
        <v>259.3</v>
      </c>
      <c r="P8816" s="18">
        <v>212.54</v>
      </c>
      <c r="Q8816" s="18">
        <v>220.41</v>
      </c>
      <c r="R8816" s="18">
        <v>180.66</v>
      </c>
      <c r="S8816" s="18">
        <v>176.32</v>
      </c>
      <c r="T8816" s="18">
        <v>144.52000000000001</v>
      </c>
      <c r="U8816" s="16"/>
      <c r="V8816" s="16"/>
      <c r="W8816" s="16" t="s">
        <v>40</v>
      </c>
      <c r="X8816" s="19">
        <v>4.4999999999999998E-2</v>
      </c>
      <c r="Y8816" s="20">
        <v>1.26E-4</v>
      </c>
      <c r="Z8816" s="21">
        <v>4610003601836</v>
      </c>
    </row>
    <row r="8817" spans="1:26" ht="12" customHeight="1" outlineLevel="4" x14ac:dyDescent="0.2">
      <c r="A8817" s="14" t="s">
        <v>16819</v>
      </c>
      <c r="B8817" s="26" t="s">
        <v>16820</v>
      </c>
      <c r="C8817" s="52"/>
      <c r="D8817" s="55">
        <f t="shared" si="137"/>
        <v>0</v>
      </c>
      <c r="E8817" s="63" t="str">
        <f>HYPERLINK("https://www.sds-group.ru/product/kabel-sht-usb-a-gn-usb-a-2-4a-3m-pvh-seryy-rexant-18-1116/", "Инфо")</f>
        <v>Инфо</v>
      </c>
      <c r="F8817" s="16" t="s">
        <v>39</v>
      </c>
      <c r="G8817" s="15"/>
      <c r="H8817" s="15"/>
      <c r="I8817" s="15"/>
      <c r="J8817" s="22">
        <v>2310</v>
      </c>
      <c r="K8817" s="15"/>
      <c r="L8817" s="17">
        <v>10</v>
      </c>
      <c r="M8817" s="17">
        <v>200</v>
      </c>
      <c r="N8817" s="17">
        <v>10</v>
      </c>
      <c r="O8817" s="18">
        <v>402.73</v>
      </c>
      <c r="P8817" s="18">
        <v>330.11</v>
      </c>
      <c r="Q8817" s="18">
        <v>342.32</v>
      </c>
      <c r="R8817" s="18">
        <v>280.58999999999997</v>
      </c>
      <c r="S8817" s="18">
        <v>273.86</v>
      </c>
      <c r="T8817" s="18">
        <v>224.48</v>
      </c>
      <c r="U8817" s="16"/>
      <c r="V8817" s="16"/>
      <c r="W8817" s="16" t="s">
        <v>40</v>
      </c>
      <c r="X8817" s="19">
        <v>6.4000000000000001E-2</v>
      </c>
      <c r="Y8817" s="20">
        <v>1.64E-4</v>
      </c>
      <c r="Z8817" s="21">
        <v>4610003601843</v>
      </c>
    </row>
    <row r="8818" spans="1:26" ht="12" customHeight="1" outlineLevel="4" x14ac:dyDescent="0.2">
      <c r="A8818" s="14" t="s">
        <v>16821</v>
      </c>
      <c r="B8818" s="26" t="s">
        <v>16822</v>
      </c>
      <c r="C8818" s="52"/>
      <c r="D8818" s="55">
        <f t="shared" si="137"/>
        <v>0</v>
      </c>
      <c r="E8818" s="63" t="str">
        <f>HYPERLINK("https://www.sds-group.ru/product/kabel-sht-usb-a-gn-usb-a-2-4a-5m-pvh-seryy-rexant-18-1117/", "Инфо")</f>
        <v>Инфо</v>
      </c>
      <c r="F8818" s="16" t="s">
        <v>39</v>
      </c>
      <c r="G8818" s="15"/>
      <c r="H8818" s="15"/>
      <c r="I8818" s="15"/>
      <c r="J8818" s="22">
        <v>4082</v>
      </c>
      <c r="K8818" s="15"/>
      <c r="L8818" s="17">
        <v>10</v>
      </c>
      <c r="M8818" s="17">
        <v>100</v>
      </c>
      <c r="N8818" s="17">
        <v>10</v>
      </c>
      <c r="O8818" s="18">
        <v>503.62</v>
      </c>
      <c r="P8818" s="18">
        <v>412.8</v>
      </c>
      <c r="Q8818" s="18">
        <v>402.9</v>
      </c>
      <c r="R8818" s="18">
        <v>330.25</v>
      </c>
      <c r="S8818" s="18">
        <v>342.46</v>
      </c>
      <c r="T8818" s="18">
        <v>280.7</v>
      </c>
      <c r="U8818" s="16"/>
      <c r="V8818" s="16"/>
      <c r="W8818" s="16" t="s">
        <v>40</v>
      </c>
      <c r="X8818" s="19">
        <v>9.9000000000000005E-2</v>
      </c>
      <c r="Y8818" s="20">
        <v>2.72E-4</v>
      </c>
      <c r="Z8818" s="21">
        <v>4610003609108</v>
      </c>
    </row>
    <row r="8819" spans="1:26" ht="12" customHeight="1" outlineLevel="4" x14ac:dyDescent="0.2">
      <c r="A8819" s="14" t="s">
        <v>16823</v>
      </c>
      <c r="B8819" s="26" t="s">
        <v>16824</v>
      </c>
      <c r="C8819" s="52"/>
      <c r="D8819" s="55">
        <f t="shared" si="137"/>
        <v>0</v>
      </c>
      <c r="E8819" s="63" t="str">
        <f>HYPERLINK("https://www.sds-group.ru/product/kabel-sht-usb-a-sht-usb-a-2-4a-1-8m-pvh-seryy-rexant-18-1144/", "Инфо")</f>
        <v>Инфо</v>
      </c>
      <c r="F8819" s="16" t="s">
        <v>39</v>
      </c>
      <c r="G8819" s="15"/>
      <c r="H8819" s="15"/>
      <c r="I8819" s="15"/>
      <c r="J8819" s="22">
        <v>4828</v>
      </c>
      <c r="K8819" s="15" t="s">
        <v>979</v>
      </c>
      <c r="L8819" s="17">
        <v>5</v>
      </c>
      <c r="M8819" s="17">
        <v>250</v>
      </c>
      <c r="N8819" s="17">
        <v>5</v>
      </c>
      <c r="O8819" s="18">
        <v>259.3</v>
      </c>
      <c r="P8819" s="18">
        <v>212.54</v>
      </c>
      <c r="Q8819" s="18">
        <v>220.41</v>
      </c>
      <c r="R8819" s="18">
        <v>180.66</v>
      </c>
      <c r="S8819" s="18">
        <v>176.32</v>
      </c>
      <c r="T8819" s="18">
        <v>144.52000000000001</v>
      </c>
      <c r="U8819" s="16"/>
      <c r="V8819" s="16"/>
      <c r="W8819" s="16" t="s">
        <v>40</v>
      </c>
      <c r="X8819" s="19">
        <v>4.2000000000000003E-2</v>
      </c>
      <c r="Y8819" s="20">
        <v>1.2799999999999999E-4</v>
      </c>
      <c r="Z8819" s="21">
        <v>4610003601898</v>
      </c>
    </row>
    <row r="8820" spans="1:26" ht="12" customHeight="1" outlineLevel="4" x14ac:dyDescent="0.2">
      <c r="A8820" s="14" t="s">
        <v>16825</v>
      </c>
      <c r="B8820" s="26" t="s">
        <v>16826</v>
      </c>
      <c r="C8820" s="52"/>
      <c r="D8820" s="55">
        <f t="shared" si="137"/>
        <v>0</v>
      </c>
      <c r="E8820" s="63" t="str">
        <f>HYPERLINK("https://www.sds-group.ru/product/kabel-sht-usb-a-sht-usb-a-2-4a-3m-pvh-seryy-rexant-18-1146/", "Инфо")</f>
        <v>Инфо</v>
      </c>
      <c r="F8820" s="16" t="s">
        <v>39</v>
      </c>
      <c r="G8820" s="15"/>
      <c r="H8820" s="15"/>
      <c r="I8820" s="15"/>
      <c r="J8820" s="22">
        <v>1789</v>
      </c>
      <c r="K8820" s="15"/>
      <c r="L8820" s="17">
        <v>10</v>
      </c>
      <c r="M8820" s="17">
        <v>200</v>
      </c>
      <c r="N8820" s="17">
        <v>10</v>
      </c>
      <c r="O8820" s="18">
        <v>285.51</v>
      </c>
      <c r="P8820" s="18">
        <v>234.02</v>
      </c>
      <c r="Q8820" s="18">
        <v>242.68</v>
      </c>
      <c r="R8820" s="18">
        <v>198.92</v>
      </c>
      <c r="S8820" s="18">
        <v>194.15</v>
      </c>
      <c r="T8820" s="18">
        <v>159.13999999999999</v>
      </c>
      <c r="U8820" s="16"/>
      <c r="V8820" s="16"/>
      <c r="W8820" s="16" t="s">
        <v>40</v>
      </c>
      <c r="X8820" s="19">
        <v>6.4000000000000001E-2</v>
      </c>
      <c r="Y8820" s="20">
        <v>1.6000000000000001E-4</v>
      </c>
      <c r="Z8820" s="21">
        <v>4610003601904</v>
      </c>
    </row>
    <row r="8821" spans="1:26" ht="12.95" customHeight="1" outlineLevel="3" x14ac:dyDescent="0.2">
      <c r="A8821" s="76" t="s">
        <v>16827</v>
      </c>
      <c r="B8821" s="76"/>
      <c r="C8821" s="77"/>
      <c r="D8821" s="58"/>
      <c r="E8821" s="68"/>
      <c r="F8821" s="13"/>
      <c r="G8821" s="13"/>
      <c r="H8821" s="13"/>
      <c r="I8821" s="13"/>
      <c r="J8821" s="13"/>
      <c r="K8821" s="13"/>
      <c r="L8821" s="13"/>
      <c r="M8821" s="13"/>
      <c r="N8821" s="13"/>
      <c r="O8821" s="13"/>
      <c r="P8821" s="13"/>
      <c r="Q8821" s="13"/>
      <c r="R8821" s="13"/>
      <c r="S8821" s="13"/>
      <c r="T8821" s="13"/>
      <c r="U8821" s="13"/>
      <c r="V8821" s="13"/>
      <c r="W8821" s="13"/>
      <c r="X8821" s="13"/>
      <c r="Y8821" s="13"/>
      <c r="Z8821" s="13"/>
    </row>
    <row r="8822" spans="1:26" ht="12" customHeight="1" outlineLevel="4" x14ac:dyDescent="0.2">
      <c r="A8822" s="14" t="s">
        <v>16828</v>
      </c>
      <c r="B8822" s="26" t="s">
        <v>16829</v>
      </c>
      <c r="C8822" s="52"/>
      <c r="D8822" s="55">
        <f t="shared" si="137"/>
        <v>0</v>
      </c>
      <c r="E8822" s="63" t="str">
        <f>HYPERLINK("https://www.sds-group.ru/product/kabel-2v1-type-c-type-c-lightning-65vt-1m-v-chernoy-neylonovoy-opletke-rexant-18-7095/", "Инфо")</f>
        <v>Инфо</v>
      </c>
      <c r="F8822" s="16" t="s">
        <v>39</v>
      </c>
      <c r="G8822" s="15"/>
      <c r="H8822" s="15"/>
      <c r="I8822" s="15"/>
      <c r="J8822" s="22">
        <v>2548</v>
      </c>
      <c r="K8822" s="15"/>
      <c r="L8822" s="17">
        <v>5</v>
      </c>
      <c r="M8822" s="17">
        <v>171</v>
      </c>
      <c r="N8822" s="17">
        <v>5</v>
      </c>
      <c r="O8822" s="18">
        <v>484.03</v>
      </c>
      <c r="P8822" s="18">
        <v>396.75</v>
      </c>
      <c r="Q8822" s="18">
        <v>338.82</v>
      </c>
      <c r="R8822" s="18">
        <v>277.72000000000003</v>
      </c>
      <c r="S8822" s="18">
        <v>329.14</v>
      </c>
      <c r="T8822" s="18">
        <v>269.79000000000002</v>
      </c>
      <c r="U8822" s="16"/>
      <c r="V8822" s="16"/>
      <c r="W8822" s="16"/>
      <c r="X8822" s="19">
        <v>5.8999999999999997E-2</v>
      </c>
      <c r="Y8822" s="20">
        <v>2.7900000000000001E-4</v>
      </c>
      <c r="Z8822" s="21">
        <v>4601004330375</v>
      </c>
    </row>
    <row r="8823" spans="1:26" ht="12" customHeight="1" outlineLevel="4" x14ac:dyDescent="0.2">
      <c r="A8823" s="14" t="s">
        <v>16830</v>
      </c>
      <c r="B8823" s="26" t="s">
        <v>16831</v>
      </c>
      <c r="C8823" s="52"/>
      <c r="D8823" s="55">
        <f t="shared" si="137"/>
        <v>0</v>
      </c>
      <c r="E8823" s="63" t="str">
        <f>HYPERLINK("https://www.sds-group.ru/product/kabel-4v1-usb-a-type-c-type-c-lightning-65vt-1m-v-chernoy-neylonovoy-opletke-rexant-18-7094/", "Инфо")</f>
        <v>Инфо</v>
      </c>
      <c r="F8823" s="16" t="s">
        <v>39</v>
      </c>
      <c r="G8823" s="15"/>
      <c r="H8823" s="15"/>
      <c r="I8823" s="15"/>
      <c r="J8823" s="22">
        <v>1705</v>
      </c>
      <c r="K8823" s="15"/>
      <c r="L8823" s="17">
        <v>1</v>
      </c>
      <c r="M8823" s="17">
        <v>171</v>
      </c>
      <c r="N8823" s="17">
        <v>1</v>
      </c>
      <c r="O8823" s="18">
        <v>699.63</v>
      </c>
      <c r="P8823" s="18">
        <v>573.47</v>
      </c>
      <c r="Q8823" s="18">
        <v>489.74</v>
      </c>
      <c r="R8823" s="18">
        <v>401.43</v>
      </c>
      <c r="S8823" s="18">
        <v>475.75</v>
      </c>
      <c r="T8823" s="18">
        <v>389.96</v>
      </c>
      <c r="U8823" s="16"/>
      <c r="V8823" s="16"/>
      <c r="W8823" s="16"/>
      <c r="X8823" s="19">
        <v>6.2E-2</v>
      </c>
      <c r="Y8823" s="20">
        <v>2.7399999999999999E-4</v>
      </c>
      <c r="Z8823" s="21">
        <v>4601004330405</v>
      </c>
    </row>
    <row r="8824" spans="1:26" ht="12.95" customHeight="1" outlineLevel="3" x14ac:dyDescent="0.2">
      <c r="A8824" s="76" t="s">
        <v>16832</v>
      </c>
      <c r="B8824" s="76"/>
      <c r="C8824" s="77"/>
      <c r="D8824" s="58"/>
      <c r="E8824" s="68"/>
      <c r="F8824" s="13"/>
      <c r="G8824" s="13"/>
      <c r="H8824" s="13"/>
      <c r="I8824" s="13"/>
      <c r="J8824" s="13"/>
      <c r="K8824" s="13"/>
      <c r="L8824" s="13"/>
      <c r="M8824" s="13"/>
      <c r="N8824" s="13"/>
      <c r="O8824" s="13"/>
      <c r="P8824" s="13"/>
      <c r="Q8824" s="13"/>
      <c r="R8824" s="13"/>
      <c r="S8824" s="13"/>
      <c r="T8824" s="13"/>
      <c r="U8824" s="13"/>
      <c r="V8824" s="13"/>
      <c r="W8824" s="13"/>
      <c r="X8824" s="13"/>
      <c r="Y8824" s="13"/>
      <c r="Z8824" s="13"/>
    </row>
    <row r="8825" spans="1:26" ht="12" customHeight="1" outlineLevel="4" x14ac:dyDescent="0.2">
      <c r="A8825" s="14" t="s">
        <v>16833</v>
      </c>
      <c r="B8825" s="26" t="s">
        <v>16834</v>
      </c>
      <c r="C8825" s="52"/>
      <c r="D8825" s="55">
        <f t="shared" si="137"/>
        <v>0</v>
      </c>
      <c r="E8825" s="63" t="str">
        <f>HYPERLINK("https://www.sds-group.ru/product/kabel-usb-a-usb-b-2-4a-1-8m-pvh-seryy-rexant-18-1104/", "Инфо")</f>
        <v>Инфо</v>
      </c>
      <c r="F8825" s="16" t="s">
        <v>39</v>
      </c>
      <c r="G8825" s="15"/>
      <c r="H8825" s="15"/>
      <c r="I8825" s="15"/>
      <c r="J8825" s="22">
        <v>5540</v>
      </c>
      <c r="K8825" s="15"/>
      <c r="L8825" s="17">
        <v>10</v>
      </c>
      <c r="M8825" s="17">
        <v>250</v>
      </c>
      <c r="N8825" s="17">
        <v>10</v>
      </c>
      <c r="O8825" s="18">
        <v>265.41000000000003</v>
      </c>
      <c r="P8825" s="18">
        <v>217.55</v>
      </c>
      <c r="Q8825" s="18">
        <v>225.6</v>
      </c>
      <c r="R8825" s="18">
        <v>184.92</v>
      </c>
      <c r="S8825" s="18">
        <v>180.48</v>
      </c>
      <c r="T8825" s="18">
        <v>147.93</v>
      </c>
      <c r="U8825" s="16"/>
      <c r="V8825" s="16"/>
      <c r="W8825" s="16" t="s">
        <v>40</v>
      </c>
      <c r="X8825" s="19">
        <v>4.4999999999999998E-2</v>
      </c>
      <c r="Y8825" s="20">
        <v>1.1900000000000001E-4</v>
      </c>
      <c r="Z8825" s="21">
        <v>4610003601812</v>
      </c>
    </row>
    <row r="8826" spans="1:26" ht="12" customHeight="1" outlineLevel="4" x14ac:dyDescent="0.2">
      <c r="A8826" s="32" t="s">
        <v>16835</v>
      </c>
      <c r="B8826" s="74" t="s">
        <v>16836</v>
      </c>
      <c r="C8826" s="50"/>
      <c r="D8826" s="53">
        <f t="shared" si="137"/>
        <v>0</v>
      </c>
      <c r="E8826" s="60" t="str">
        <f>HYPERLINK("https://www.sds-group.ru/product/kabel-usb-a-usb-b-2-4a-3m-pvh-seryy-rexant-18-1106/", "Инфо")</f>
        <v>Инфо</v>
      </c>
      <c r="F8826" s="34" t="s">
        <v>39</v>
      </c>
      <c r="G8826" s="33"/>
      <c r="H8826" s="33" t="s">
        <v>40</v>
      </c>
      <c r="I8826" s="33"/>
      <c r="J8826" s="39">
        <v>3010</v>
      </c>
      <c r="K8826" s="33"/>
      <c r="L8826" s="35">
        <v>10</v>
      </c>
      <c r="M8826" s="35">
        <v>200</v>
      </c>
      <c r="N8826" s="35">
        <v>10</v>
      </c>
      <c r="O8826" s="36">
        <v>280.06</v>
      </c>
      <c r="P8826" s="36">
        <v>229.56</v>
      </c>
      <c r="Q8826" s="36">
        <v>196.04</v>
      </c>
      <c r="R8826" s="36">
        <v>160.69</v>
      </c>
      <c r="S8826" s="36">
        <v>190.44</v>
      </c>
      <c r="T8826" s="36">
        <v>156.1</v>
      </c>
      <c r="U8826" s="34"/>
      <c r="V8826" s="34"/>
      <c r="W8826" s="34"/>
      <c r="X8826" s="37">
        <v>7.8E-2</v>
      </c>
      <c r="Y8826" s="38">
        <v>1.54E-4</v>
      </c>
      <c r="Z8826" s="21">
        <v>4610003601829</v>
      </c>
    </row>
    <row r="8827" spans="1:26" ht="12.95" customHeight="1" outlineLevel="3" x14ac:dyDescent="0.2">
      <c r="A8827" s="76" t="s">
        <v>16837</v>
      </c>
      <c r="B8827" s="76"/>
      <c r="C8827" s="77"/>
      <c r="D8827" s="58"/>
      <c r="E8827" s="68"/>
      <c r="F8827" s="13"/>
      <c r="G8827" s="13"/>
      <c r="H8827" s="13"/>
      <c r="I8827" s="13"/>
      <c r="J8827" s="13"/>
      <c r="K8827" s="13"/>
      <c r="L8827" s="13"/>
      <c r="M8827" s="13"/>
      <c r="N8827" s="13"/>
      <c r="O8827" s="13"/>
      <c r="P8827" s="13"/>
      <c r="Q8827" s="13"/>
      <c r="R8827" s="13"/>
      <c r="S8827" s="13"/>
      <c r="T8827" s="13"/>
      <c r="U8827" s="13"/>
      <c r="V8827" s="13"/>
      <c r="W8827" s="13"/>
      <c r="X8827" s="13"/>
      <c r="Y8827" s="13"/>
      <c r="Z8827" s="13"/>
    </row>
    <row r="8828" spans="1:26" ht="12" customHeight="1" outlineLevel="4" x14ac:dyDescent="0.2">
      <c r="A8828" s="32" t="s">
        <v>16838</v>
      </c>
      <c r="B8828" s="74" t="s">
        <v>16839</v>
      </c>
      <c r="C8828" s="50"/>
      <c r="D8828" s="53">
        <f t="shared" si="137"/>
        <v>0</v>
      </c>
      <c r="E8828" s="60" t="str">
        <f>HYPERLINK("https://www.sds-group.ru/product/kabel-type-c-type-c-2-4a-1m-neylon-belyy-rexant-18-1835/", "Инфо")</f>
        <v>Инфо</v>
      </c>
      <c r="F8828" s="34" t="s">
        <v>39</v>
      </c>
      <c r="G8828" s="33"/>
      <c r="H8828" s="33" t="s">
        <v>40</v>
      </c>
      <c r="I8828" s="33"/>
      <c r="J8828" s="39">
        <v>4286</v>
      </c>
      <c r="K8828" s="33"/>
      <c r="L8828" s="35">
        <v>1</v>
      </c>
      <c r="M8828" s="35">
        <v>200</v>
      </c>
      <c r="N8828" s="35">
        <v>1</v>
      </c>
      <c r="O8828" s="36">
        <v>184.61</v>
      </c>
      <c r="P8828" s="36">
        <v>151.32</v>
      </c>
      <c r="Q8828" s="36">
        <v>129.22999999999999</v>
      </c>
      <c r="R8828" s="36">
        <v>105.93</v>
      </c>
      <c r="S8828" s="36">
        <v>125.53</v>
      </c>
      <c r="T8828" s="36">
        <v>102.89</v>
      </c>
      <c r="U8828" s="34"/>
      <c r="V8828" s="34"/>
      <c r="W8828" s="34"/>
      <c r="X8828" s="37">
        <v>3.7999999999999999E-2</v>
      </c>
      <c r="Y8828" s="38">
        <v>2.41E-4</v>
      </c>
      <c r="Z8828" s="21">
        <v>4601004243583</v>
      </c>
    </row>
    <row r="8829" spans="1:26" ht="12" customHeight="1" outlineLevel="4" x14ac:dyDescent="0.2">
      <c r="A8829" s="32" t="s">
        <v>16840</v>
      </c>
      <c r="B8829" s="74" t="s">
        <v>16841</v>
      </c>
      <c r="C8829" s="50"/>
      <c r="D8829" s="53">
        <f t="shared" si="137"/>
        <v>0</v>
      </c>
      <c r="E8829" s="60" t="str">
        <f>HYPERLINK("https://www.sds-group.ru/product/kabel-type-c-type-c-2a-1m-pvh-belyy-rexant-18-1833/", "Инфо")</f>
        <v>Инфо</v>
      </c>
      <c r="F8829" s="34" t="s">
        <v>39</v>
      </c>
      <c r="G8829" s="33"/>
      <c r="H8829" s="33" t="s">
        <v>40</v>
      </c>
      <c r="I8829" s="33"/>
      <c r="J8829" s="39">
        <v>1138</v>
      </c>
      <c r="K8829" s="33"/>
      <c r="L8829" s="35">
        <v>1</v>
      </c>
      <c r="M8829" s="35">
        <v>200</v>
      </c>
      <c r="N8829" s="35">
        <v>1</v>
      </c>
      <c r="O8829" s="36">
        <v>185.82</v>
      </c>
      <c r="P8829" s="36">
        <v>152.31</v>
      </c>
      <c r="Q8829" s="36">
        <v>130.07</v>
      </c>
      <c r="R8829" s="36">
        <v>106.61</v>
      </c>
      <c r="S8829" s="36">
        <v>126.36</v>
      </c>
      <c r="T8829" s="36">
        <v>103.57</v>
      </c>
      <c r="U8829" s="34"/>
      <c r="V8829" s="34"/>
      <c r="W8829" s="34"/>
      <c r="X8829" s="37">
        <v>0.03</v>
      </c>
      <c r="Y8829" s="38">
        <v>2.8299999999999999E-4</v>
      </c>
      <c r="Z8829" s="21">
        <v>4601004243538</v>
      </c>
    </row>
    <row r="8830" spans="1:26" ht="12" customHeight="1" outlineLevel="4" x14ac:dyDescent="0.2">
      <c r="A8830" s="14" t="s">
        <v>16842</v>
      </c>
      <c r="B8830" s="26" t="s">
        <v>16843</v>
      </c>
      <c r="C8830" s="52"/>
      <c r="D8830" s="55">
        <f t="shared" si="137"/>
        <v>0</v>
      </c>
      <c r="E8830" s="63" t="str">
        <f>HYPERLINK("https://www.sds-group.ru/product/kabel-type-c-type-c-3a-1m-pvh-belyy-rexant-18-1828/", "Инфо")</f>
        <v>Инфо</v>
      </c>
      <c r="F8830" s="16" t="s">
        <v>39</v>
      </c>
      <c r="G8830" s="15"/>
      <c r="H8830" s="15"/>
      <c r="I8830" s="15"/>
      <c r="J8830" s="17">
        <v>796</v>
      </c>
      <c r="K8830" s="15" t="s">
        <v>476</v>
      </c>
      <c r="L8830" s="17">
        <v>5</v>
      </c>
      <c r="M8830" s="17">
        <v>100</v>
      </c>
      <c r="N8830" s="17">
        <v>5</v>
      </c>
      <c r="O8830" s="18">
        <v>226.38</v>
      </c>
      <c r="P8830" s="18">
        <v>185.56</v>
      </c>
      <c r="Q8830" s="18">
        <v>192.42</v>
      </c>
      <c r="R8830" s="18">
        <v>157.72</v>
      </c>
      <c r="S8830" s="18">
        <v>153.94</v>
      </c>
      <c r="T8830" s="18">
        <v>126.18</v>
      </c>
      <c r="U8830" s="16"/>
      <c r="V8830" s="16"/>
      <c r="W8830" s="16" t="s">
        <v>40</v>
      </c>
      <c r="X8830" s="19">
        <v>0.04</v>
      </c>
      <c r="Y8830" s="20">
        <v>3.4000000000000002E-4</v>
      </c>
      <c r="Z8830" s="21">
        <v>4601004243552</v>
      </c>
    </row>
    <row r="8831" spans="1:26" ht="12" customHeight="1" outlineLevel="4" x14ac:dyDescent="0.2">
      <c r="A8831" s="32" t="s">
        <v>16844</v>
      </c>
      <c r="B8831" s="74" t="s">
        <v>16845</v>
      </c>
      <c r="C8831" s="50"/>
      <c r="D8831" s="53">
        <f t="shared" si="137"/>
        <v>0</v>
      </c>
      <c r="E8831" s="60" t="str">
        <f>HYPERLINK("https://www.sds-group.ru/product/kabel-type-c-type-c-3a-100vt-1m-pvh-belyy-power-delivery-rexant-18-1832/", "Инфо")</f>
        <v>Инфо</v>
      </c>
      <c r="F8831" s="34" t="s">
        <v>39</v>
      </c>
      <c r="G8831" s="33"/>
      <c r="H8831" s="33" t="s">
        <v>40</v>
      </c>
      <c r="I8831" s="33"/>
      <c r="J8831" s="39">
        <v>2289</v>
      </c>
      <c r="K8831" s="33"/>
      <c r="L8831" s="35">
        <v>1</v>
      </c>
      <c r="M8831" s="35">
        <v>200</v>
      </c>
      <c r="N8831" s="35">
        <v>1</v>
      </c>
      <c r="O8831" s="36">
        <v>237.25</v>
      </c>
      <c r="P8831" s="36">
        <v>194.47</v>
      </c>
      <c r="Q8831" s="36">
        <v>166.08</v>
      </c>
      <c r="R8831" s="36">
        <v>136.13</v>
      </c>
      <c r="S8831" s="36">
        <v>161.33000000000001</v>
      </c>
      <c r="T8831" s="36">
        <v>132.24</v>
      </c>
      <c r="U8831" s="34"/>
      <c r="V8831" s="34"/>
      <c r="W8831" s="34"/>
      <c r="X8831" s="37">
        <v>4.2000000000000003E-2</v>
      </c>
      <c r="Y8831" s="38">
        <v>2.2900000000000001E-4</v>
      </c>
      <c r="Z8831" s="21">
        <v>4601004243576</v>
      </c>
    </row>
    <row r="8832" spans="1:26" ht="12" customHeight="1" outlineLevel="4" x14ac:dyDescent="0.2">
      <c r="A8832" s="32" t="s">
        <v>16846</v>
      </c>
      <c r="B8832" s="74" t="s">
        <v>16847</v>
      </c>
      <c r="C8832" s="50"/>
      <c r="D8832" s="53">
        <f t="shared" si="137"/>
        <v>0</v>
      </c>
      <c r="E8832" s="60" t="str">
        <f>HYPERLINK("https://www.sds-group.ru/product/kabel-type-c-type-c-3a-45vt-1m-pvh-belyy-power-delivery-rexant-18-1830/", "Инфо")</f>
        <v>Инфо</v>
      </c>
      <c r="F8832" s="34" t="s">
        <v>39</v>
      </c>
      <c r="G8832" s="33"/>
      <c r="H8832" s="33" t="s">
        <v>40</v>
      </c>
      <c r="I8832" s="33"/>
      <c r="J8832" s="35">
        <v>351</v>
      </c>
      <c r="K8832" s="33"/>
      <c r="L8832" s="35">
        <v>1</v>
      </c>
      <c r="M8832" s="35">
        <v>200</v>
      </c>
      <c r="N8832" s="35">
        <v>1</v>
      </c>
      <c r="O8832" s="36">
        <v>226.38</v>
      </c>
      <c r="P8832" s="36">
        <v>185.56</v>
      </c>
      <c r="Q8832" s="36">
        <v>192.42</v>
      </c>
      <c r="R8832" s="36">
        <v>157.72</v>
      </c>
      <c r="S8832" s="36">
        <v>153.94</v>
      </c>
      <c r="T8832" s="36">
        <v>126.18</v>
      </c>
      <c r="U8832" s="34"/>
      <c r="V8832" s="34"/>
      <c r="W8832" s="34" t="s">
        <v>40</v>
      </c>
      <c r="X8832" s="37">
        <v>0.03</v>
      </c>
      <c r="Y8832" s="38">
        <v>1.8200000000000001E-4</v>
      </c>
      <c r="Z8832" s="21">
        <v>4601004243521</v>
      </c>
    </row>
    <row r="8833" spans="1:26" ht="12" customHeight="1" outlineLevel="4" x14ac:dyDescent="0.2">
      <c r="A8833" s="32" t="s">
        <v>16848</v>
      </c>
      <c r="B8833" s="74" t="s">
        <v>16849</v>
      </c>
      <c r="C8833" s="50"/>
      <c r="D8833" s="53">
        <f t="shared" si="137"/>
        <v>0</v>
      </c>
      <c r="E8833" s="60" t="str">
        <f>HYPERLINK("https://www.sds-group.ru/product/kabel-type-c-type-c-3a-60vt-1m-pvh-belyy-power-delivery-rexant-18-1831/", "Инфо")</f>
        <v>Инфо</v>
      </c>
      <c r="F8833" s="34" t="s">
        <v>39</v>
      </c>
      <c r="G8833" s="33"/>
      <c r="H8833" s="33" t="s">
        <v>40</v>
      </c>
      <c r="I8833" s="33"/>
      <c r="J8833" s="35">
        <v>390</v>
      </c>
      <c r="K8833" s="33"/>
      <c r="L8833" s="35">
        <v>1</v>
      </c>
      <c r="M8833" s="35">
        <v>200</v>
      </c>
      <c r="N8833" s="35">
        <v>1</v>
      </c>
      <c r="O8833" s="36">
        <v>193.56</v>
      </c>
      <c r="P8833" s="36">
        <v>158.66</v>
      </c>
      <c r="Q8833" s="36">
        <v>135.49</v>
      </c>
      <c r="R8833" s="36">
        <v>111.06</v>
      </c>
      <c r="S8833" s="36">
        <v>131.62</v>
      </c>
      <c r="T8833" s="36">
        <v>107.89</v>
      </c>
      <c r="U8833" s="34"/>
      <c r="V8833" s="34"/>
      <c r="W8833" s="34"/>
      <c r="X8833" s="37">
        <v>3.9E-2</v>
      </c>
      <c r="Y8833" s="38">
        <v>2.6400000000000002E-4</v>
      </c>
      <c r="Z8833" s="21">
        <v>4601004243613</v>
      </c>
    </row>
    <row r="8834" spans="1:26" ht="12" customHeight="1" outlineLevel="4" x14ac:dyDescent="0.2">
      <c r="A8834" s="14" t="s">
        <v>16850</v>
      </c>
      <c r="B8834" s="26" t="s">
        <v>16851</v>
      </c>
      <c r="C8834" s="52"/>
      <c r="D8834" s="55">
        <f t="shared" si="137"/>
        <v>0</v>
      </c>
      <c r="E8834" s="63" t="str">
        <f>HYPERLINK("https://www.sds-group.ru/product/kabel-type-c-type-c-3a-60vt-1m-v-chernoy-neylonovoy-opletke-rexant-18-7071/", "Инфо")</f>
        <v>Инфо</v>
      </c>
      <c r="F8834" s="16" t="s">
        <v>39</v>
      </c>
      <c r="G8834" s="15"/>
      <c r="H8834" s="15"/>
      <c r="I8834" s="15"/>
      <c r="J8834" s="17">
        <v>319</v>
      </c>
      <c r="K8834" s="15" t="s">
        <v>1587</v>
      </c>
      <c r="L8834" s="17">
        <v>5</v>
      </c>
      <c r="M8834" s="17">
        <v>171</v>
      </c>
      <c r="N8834" s="17">
        <v>5</v>
      </c>
      <c r="O8834" s="18">
        <v>505.59</v>
      </c>
      <c r="P8834" s="18">
        <v>414.42</v>
      </c>
      <c r="Q8834" s="18">
        <v>353.91</v>
      </c>
      <c r="R8834" s="18">
        <v>290.08999999999997</v>
      </c>
      <c r="S8834" s="18">
        <v>343.8</v>
      </c>
      <c r="T8834" s="18">
        <v>281.8</v>
      </c>
      <c r="U8834" s="16"/>
      <c r="V8834" s="16"/>
      <c r="W8834" s="16"/>
      <c r="X8834" s="19">
        <v>4.7E-2</v>
      </c>
      <c r="Y8834" s="20">
        <v>1.9599999999999999E-4</v>
      </c>
      <c r="Z8834" s="21">
        <v>4601004285521</v>
      </c>
    </row>
    <row r="8835" spans="1:26" ht="12" customHeight="1" outlineLevel="4" x14ac:dyDescent="0.2">
      <c r="A8835" s="14" t="s">
        <v>16852</v>
      </c>
      <c r="B8835" s="26" t="s">
        <v>16853</v>
      </c>
      <c r="C8835" s="52"/>
      <c r="D8835" s="55">
        <f t="shared" si="137"/>
        <v>0</v>
      </c>
      <c r="E8835" s="63" t="str">
        <f>HYPERLINK("https://www.sds-group.ru/product/kabel-type-c-type-c-5a-100vt-1m-v-chernoy-neylonovoy-opletke-rexant-18-7072/", "Инфо")</f>
        <v>Инфо</v>
      </c>
      <c r="F8835" s="16" t="s">
        <v>39</v>
      </c>
      <c r="G8835" s="15"/>
      <c r="H8835" s="15"/>
      <c r="I8835" s="15"/>
      <c r="J8835" s="16" t="s">
        <v>100</v>
      </c>
      <c r="K8835" s="15" t="s">
        <v>1587</v>
      </c>
      <c r="L8835" s="17">
        <v>1</v>
      </c>
      <c r="M8835" s="17">
        <v>171</v>
      </c>
      <c r="N8835" s="17">
        <v>1</v>
      </c>
      <c r="O8835" s="18">
        <v>645.73</v>
      </c>
      <c r="P8835" s="18">
        <v>529.29</v>
      </c>
      <c r="Q8835" s="18">
        <v>452.01</v>
      </c>
      <c r="R8835" s="18">
        <v>370.5</v>
      </c>
      <c r="S8835" s="18">
        <v>439.1</v>
      </c>
      <c r="T8835" s="18">
        <v>359.92</v>
      </c>
      <c r="U8835" s="16"/>
      <c r="V8835" s="16"/>
      <c r="W8835" s="16"/>
      <c r="X8835" s="19">
        <v>4.9000000000000002E-2</v>
      </c>
      <c r="Y8835" s="20">
        <v>3.2499999999999999E-4</v>
      </c>
      <c r="Z8835" s="21">
        <v>4601004285552</v>
      </c>
    </row>
    <row r="8836" spans="1:26" ht="12" customHeight="1" outlineLevel="4" x14ac:dyDescent="0.2">
      <c r="A8836" s="14" t="s">
        <v>16854</v>
      </c>
      <c r="B8836" s="26" t="s">
        <v>16855</v>
      </c>
      <c r="C8836" s="52"/>
      <c r="D8836" s="55">
        <f t="shared" si="137"/>
        <v>0</v>
      </c>
      <c r="E8836" s="63" t="str">
        <f>HYPERLINK("https://www.sds-group.ru/product/kabel-type-c-type-c-5a-100vt-2m-v-chernoy-neylonovoy-opletke-rexant-18-7073/", "Инфо")</f>
        <v>Инфо</v>
      </c>
      <c r="F8836" s="16" t="s">
        <v>39</v>
      </c>
      <c r="G8836" s="15"/>
      <c r="H8836" s="15"/>
      <c r="I8836" s="15"/>
      <c r="J8836" s="16" t="s">
        <v>100</v>
      </c>
      <c r="K8836" s="15" t="s">
        <v>1277</v>
      </c>
      <c r="L8836" s="17">
        <v>1</v>
      </c>
      <c r="M8836" s="17">
        <v>171</v>
      </c>
      <c r="N8836" s="17">
        <v>1</v>
      </c>
      <c r="O8836" s="18">
        <v>915.24</v>
      </c>
      <c r="P8836" s="18">
        <v>750.2</v>
      </c>
      <c r="Q8836" s="18">
        <v>640.66999999999996</v>
      </c>
      <c r="R8836" s="18">
        <v>525.14</v>
      </c>
      <c r="S8836" s="18">
        <v>622.36</v>
      </c>
      <c r="T8836" s="18">
        <v>510.13</v>
      </c>
      <c r="U8836" s="16"/>
      <c r="V8836" s="16"/>
      <c r="W8836" s="16"/>
      <c r="X8836" s="19">
        <v>0.08</v>
      </c>
      <c r="Y8836" s="20">
        <v>2.8600000000000001E-4</v>
      </c>
      <c r="Z8836" s="21">
        <v>4601004285484</v>
      </c>
    </row>
    <row r="8837" spans="1:26" ht="12" customHeight="1" outlineLevel="4" x14ac:dyDescent="0.2">
      <c r="A8837" s="14" t="s">
        <v>16856</v>
      </c>
      <c r="B8837" s="26" t="s">
        <v>16857</v>
      </c>
      <c r="C8837" s="52"/>
      <c r="D8837" s="55">
        <f t="shared" si="137"/>
        <v>0</v>
      </c>
      <c r="E8837" s="63" t="str">
        <f>HYPERLINK("https://www.sds-group.ru/product/kabel-type-c-type-c-5a-100vt-1m-v-chernoy-neylonovoy-opletke-so-svetovoy-indikatsiey-rexant-18-7092/", "Инфо")</f>
        <v>Инфо</v>
      </c>
      <c r="F8837" s="16" t="s">
        <v>39</v>
      </c>
      <c r="G8837" s="15"/>
      <c r="H8837" s="15"/>
      <c r="I8837" s="15"/>
      <c r="J8837" s="22">
        <v>2262</v>
      </c>
      <c r="K8837" s="15"/>
      <c r="L8837" s="17">
        <v>5</v>
      </c>
      <c r="M8837" s="17">
        <v>171</v>
      </c>
      <c r="N8837" s="17">
        <v>5</v>
      </c>
      <c r="O8837" s="18">
        <v>507.75</v>
      </c>
      <c r="P8837" s="18">
        <v>416.19</v>
      </c>
      <c r="Q8837" s="18">
        <v>355.43</v>
      </c>
      <c r="R8837" s="18">
        <v>291.33999999999997</v>
      </c>
      <c r="S8837" s="18">
        <v>345.27</v>
      </c>
      <c r="T8837" s="18">
        <v>283.01</v>
      </c>
      <c r="U8837" s="16"/>
      <c r="V8837" s="16"/>
      <c r="W8837" s="16"/>
      <c r="X8837" s="19">
        <v>5.8999999999999997E-2</v>
      </c>
      <c r="Y8837" s="20">
        <v>2.7799999999999998E-4</v>
      </c>
      <c r="Z8837" s="21">
        <v>4601004330368</v>
      </c>
    </row>
    <row r="8838" spans="1:26" ht="12" customHeight="1" outlineLevel="4" x14ac:dyDescent="0.2">
      <c r="A8838" s="14" t="s">
        <v>16858</v>
      </c>
      <c r="B8838" s="26" t="s">
        <v>16859</v>
      </c>
      <c r="C8838" s="52"/>
      <c r="D8838" s="55">
        <f t="shared" si="137"/>
        <v>0</v>
      </c>
      <c r="E8838" s="63" t="str">
        <f>HYPERLINK("https://www.sds-group.ru/product/kabel-type-c-type-c-5a-100vt-1m-v-chernoy-neylonovoy-opletke-s-uglovym-shtekerom-i-svetovoy--18-7070/", "Инфо")</f>
        <v>Инфо</v>
      </c>
      <c r="F8838" s="16" t="s">
        <v>39</v>
      </c>
      <c r="G8838" s="15"/>
      <c r="H8838" s="15"/>
      <c r="I8838" s="15"/>
      <c r="J8838" s="22">
        <v>1676</v>
      </c>
      <c r="K8838" s="15" t="s">
        <v>4926</v>
      </c>
      <c r="L8838" s="17">
        <v>1</v>
      </c>
      <c r="M8838" s="17">
        <v>171</v>
      </c>
      <c r="N8838" s="17">
        <v>1</v>
      </c>
      <c r="O8838" s="18">
        <v>645.73</v>
      </c>
      <c r="P8838" s="18">
        <v>529.29</v>
      </c>
      <c r="Q8838" s="18">
        <v>452.01</v>
      </c>
      <c r="R8838" s="18">
        <v>370.5</v>
      </c>
      <c r="S8838" s="18">
        <v>439.1</v>
      </c>
      <c r="T8838" s="18">
        <v>359.92</v>
      </c>
      <c r="U8838" s="16"/>
      <c r="V8838" s="16"/>
      <c r="W8838" s="16"/>
      <c r="X8838" s="19">
        <v>5.7000000000000002E-2</v>
      </c>
      <c r="Y8838" s="20">
        <v>2.7399999999999999E-4</v>
      </c>
      <c r="Z8838" s="21">
        <v>4601004285491</v>
      </c>
    </row>
    <row r="8839" spans="1:26" ht="12" customHeight="1" outlineLevel="4" x14ac:dyDescent="0.2">
      <c r="A8839" s="14" t="s">
        <v>16860</v>
      </c>
      <c r="B8839" s="26" t="s">
        <v>16861</v>
      </c>
      <c r="C8839" s="52"/>
      <c r="D8839" s="55">
        <f t="shared" si="137"/>
        <v>0</v>
      </c>
      <c r="E8839" s="63" t="str">
        <f>HYPERLINK("https://www.sds-group.ru/product/kabel-type-c-type-s-5a-100vt-1m-v-chernoy-neylonovoy-opletke-s-led-displeem-rexant-18-7074/", "Инфо")</f>
        <v>Инфо</v>
      </c>
      <c r="F8839" s="16" t="s">
        <v>39</v>
      </c>
      <c r="G8839" s="15"/>
      <c r="H8839" s="15"/>
      <c r="I8839" s="15"/>
      <c r="J8839" s="17">
        <v>656</v>
      </c>
      <c r="K8839" s="15"/>
      <c r="L8839" s="17">
        <v>1</v>
      </c>
      <c r="M8839" s="17">
        <v>171</v>
      </c>
      <c r="N8839" s="17">
        <v>1</v>
      </c>
      <c r="O8839" s="18">
        <v>807.43</v>
      </c>
      <c r="P8839" s="18">
        <v>661.83</v>
      </c>
      <c r="Q8839" s="18">
        <v>565.20000000000005</v>
      </c>
      <c r="R8839" s="18">
        <v>463.28</v>
      </c>
      <c r="S8839" s="18">
        <v>549.04999999999995</v>
      </c>
      <c r="T8839" s="18">
        <v>450.04</v>
      </c>
      <c r="U8839" s="16"/>
      <c r="V8839" s="16"/>
      <c r="W8839" s="16"/>
      <c r="X8839" s="19">
        <v>5.5E-2</v>
      </c>
      <c r="Y8839" s="20">
        <v>2.8699999999999998E-4</v>
      </c>
      <c r="Z8839" s="21">
        <v>4601004285569</v>
      </c>
    </row>
    <row r="8840" spans="1:26" ht="12" customHeight="1" outlineLevel="4" x14ac:dyDescent="0.2">
      <c r="A8840" s="32" t="s">
        <v>16862</v>
      </c>
      <c r="B8840" s="74" t="s">
        <v>16863</v>
      </c>
      <c r="C8840" s="50"/>
      <c r="D8840" s="53">
        <f t="shared" si="137"/>
        <v>0</v>
      </c>
      <c r="E8840" s="60" t="str">
        <f>HYPERLINK("https://www.sds-group.ru/product/kabel-usb-a-type-c-2-1a-1m-eko-kozha-korichnevyy-rexant-18-1897/", "Инфо")</f>
        <v>Инфо</v>
      </c>
      <c r="F8840" s="34" t="s">
        <v>39</v>
      </c>
      <c r="G8840" s="33"/>
      <c r="H8840" s="33" t="s">
        <v>40</v>
      </c>
      <c r="I8840" s="33"/>
      <c r="J8840" s="35">
        <v>939</v>
      </c>
      <c r="K8840" s="33"/>
      <c r="L8840" s="35">
        <v>1</v>
      </c>
      <c r="M8840" s="35">
        <v>200</v>
      </c>
      <c r="N8840" s="35">
        <v>1</v>
      </c>
      <c r="O8840" s="36">
        <v>323.11</v>
      </c>
      <c r="P8840" s="36">
        <v>264.83999999999997</v>
      </c>
      <c r="Q8840" s="36">
        <v>226.18</v>
      </c>
      <c r="R8840" s="36">
        <v>185.39</v>
      </c>
      <c r="S8840" s="36">
        <v>219.71</v>
      </c>
      <c r="T8840" s="36">
        <v>180.09</v>
      </c>
      <c r="U8840" s="34"/>
      <c r="V8840" s="34"/>
      <c r="W8840" s="34"/>
      <c r="X8840" s="37">
        <v>3.7999999999999999E-2</v>
      </c>
      <c r="Y8840" s="38">
        <v>2.33E-4</v>
      </c>
      <c r="Z8840" s="21">
        <v>4601004181922</v>
      </c>
    </row>
    <row r="8841" spans="1:26" ht="12" customHeight="1" outlineLevel="4" x14ac:dyDescent="0.2">
      <c r="A8841" s="14" t="s">
        <v>16864</v>
      </c>
      <c r="B8841" s="26" t="s">
        <v>16865</v>
      </c>
      <c r="C8841" s="52"/>
      <c r="D8841" s="55">
        <f t="shared" ref="D8841:D8904" si="138">C8841*(O8841-O8841*$G$3)</f>
        <v>0</v>
      </c>
      <c r="E8841" s="63" t="str">
        <f>HYPERLINK("https://www.sds-group.ru/product/kabel-usb-a-type-c-2-4a-1m-v-serebryannoy-neylonovoy-opletke-rexant-18-1899/", "Инфо")</f>
        <v>Инфо</v>
      </c>
      <c r="F8841" s="16" t="s">
        <v>39</v>
      </c>
      <c r="G8841" s="15"/>
      <c r="H8841" s="15"/>
      <c r="I8841" s="15"/>
      <c r="J8841" s="16" t="s">
        <v>100</v>
      </c>
      <c r="K8841" s="15" t="s">
        <v>925</v>
      </c>
      <c r="L8841" s="17">
        <v>5</v>
      </c>
      <c r="M8841" s="17">
        <v>100</v>
      </c>
      <c r="N8841" s="17">
        <v>5</v>
      </c>
      <c r="O8841" s="18">
        <v>226.38</v>
      </c>
      <c r="P8841" s="18">
        <v>185.56</v>
      </c>
      <c r="Q8841" s="18">
        <v>192.42</v>
      </c>
      <c r="R8841" s="18">
        <v>157.72</v>
      </c>
      <c r="S8841" s="18">
        <v>153.94</v>
      </c>
      <c r="T8841" s="18">
        <v>126.18</v>
      </c>
      <c r="U8841" s="16"/>
      <c r="V8841" s="16"/>
      <c r="W8841" s="16" t="s">
        <v>40</v>
      </c>
      <c r="X8841" s="19">
        <v>3.9E-2</v>
      </c>
      <c r="Y8841" s="20">
        <v>3.48E-4</v>
      </c>
      <c r="Z8841" s="21">
        <v>4601004187801</v>
      </c>
    </row>
    <row r="8842" spans="1:26" ht="12" customHeight="1" outlineLevel="4" x14ac:dyDescent="0.2">
      <c r="A8842" s="14" t="s">
        <v>16866</v>
      </c>
      <c r="B8842" s="26" t="s">
        <v>16865</v>
      </c>
      <c r="C8842" s="52"/>
      <c r="D8842" s="55">
        <f t="shared" si="138"/>
        <v>0</v>
      </c>
      <c r="E8842" s="63" t="str">
        <f>HYPERLINK("https://www.sds-group.ru/product/kabel-usb-a-type-c-2-4a-1m-v-serebryannoy-neylonovoy-opletke-rexant-18-1884/", "Инфо")</f>
        <v>Инфо</v>
      </c>
      <c r="F8842" s="16" t="s">
        <v>39</v>
      </c>
      <c r="G8842" s="15"/>
      <c r="H8842" s="15"/>
      <c r="I8842" s="15"/>
      <c r="J8842" s="22">
        <v>1487</v>
      </c>
      <c r="K8842" s="15" t="s">
        <v>925</v>
      </c>
      <c r="L8842" s="17">
        <v>5</v>
      </c>
      <c r="M8842" s="17">
        <v>100</v>
      </c>
      <c r="N8842" s="17">
        <v>5</v>
      </c>
      <c r="O8842" s="18">
        <v>258.72000000000003</v>
      </c>
      <c r="P8842" s="18">
        <v>212.07</v>
      </c>
      <c r="Q8842" s="18">
        <v>219.91</v>
      </c>
      <c r="R8842" s="18">
        <v>180.25</v>
      </c>
      <c r="S8842" s="18">
        <v>175.93</v>
      </c>
      <c r="T8842" s="18">
        <v>144.19999999999999</v>
      </c>
      <c r="U8842" s="16"/>
      <c r="V8842" s="16"/>
      <c r="W8842" s="16" t="s">
        <v>40</v>
      </c>
      <c r="X8842" s="19">
        <v>4.3999999999999997E-2</v>
      </c>
      <c r="Y8842" s="20">
        <v>3.1399999999999999E-4</v>
      </c>
      <c r="Z8842" s="21">
        <v>4601004098633</v>
      </c>
    </row>
    <row r="8843" spans="1:26" ht="12" customHeight="1" outlineLevel="4" x14ac:dyDescent="0.2">
      <c r="A8843" s="14" t="s">
        <v>16867</v>
      </c>
      <c r="B8843" s="26" t="s">
        <v>16868</v>
      </c>
      <c r="C8843" s="52"/>
      <c r="D8843" s="55">
        <f t="shared" si="138"/>
        <v>0</v>
      </c>
      <c r="E8843" s="63" t="str">
        <f>HYPERLINK("https://www.sds-group.ru/product/kabel-usb-a-type-c-2-4a-1m-pvh-chernyy-ploskiy-rexant-18-1888/", "Инфо")</f>
        <v>Инфо</v>
      </c>
      <c r="F8843" s="16" t="s">
        <v>39</v>
      </c>
      <c r="G8843" s="15"/>
      <c r="H8843" s="15"/>
      <c r="I8843" s="15"/>
      <c r="J8843" s="17">
        <v>590</v>
      </c>
      <c r="K8843" s="15" t="s">
        <v>476</v>
      </c>
      <c r="L8843" s="17">
        <v>5</v>
      </c>
      <c r="M8843" s="17">
        <v>200</v>
      </c>
      <c r="N8843" s="17">
        <v>5</v>
      </c>
      <c r="O8843" s="18">
        <v>226.38</v>
      </c>
      <c r="P8843" s="18">
        <v>185.56</v>
      </c>
      <c r="Q8843" s="18">
        <v>192.42</v>
      </c>
      <c r="R8843" s="18">
        <v>157.72</v>
      </c>
      <c r="S8843" s="18">
        <v>153.94</v>
      </c>
      <c r="T8843" s="18">
        <v>126.18</v>
      </c>
      <c r="U8843" s="16"/>
      <c r="V8843" s="16"/>
      <c r="W8843" s="16" t="s">
        <v>40</v>
      </c>
      <c r="X8843" s="19">
        <v>3.9E-2</v>
      </c>
      <c r="Y8843" s="20">
        <v>2.8499999999999999E-4</v>
      </c>
      <c r="Z8843" s="21">
        <v>4601004148482</v>
      </c>
    </row>
    <row r="8844" spans="1:26" ht="12" customHeight="1" outlineLevel="4" x14ac:dyDescent="0.2">
      <c r="A8844" s="14" t="s">
        <v>16869</v>
      </c>
      <c r="B8844" s="26" t="s">
        <v>16870</v>
      </c>
      <c r="C8844" s="52"/>
      <c r="D8844" s="55">
        <f t="shared" si="138"/>
        <v>0</v>
      </c>
      <c r="E8844" s="63" t="str">
        <f>HYPERLINK("https://www.sds-group.ru/product/kabel-usb-a-type-c-2a-1m-pvh-chernyy-rexant-18-1881/", "Инфо")</f>
        <v>Инфо</v>
      </c>
      <c r="F8844" s="16" t="s">
        <v>39</v>
      </c>
      <c r="G8844" s="15"/>
      <c r="H8844" s="15"/>
      <c r="I8844" s="15"/>
      <c r="J8844" s="22">
        <v>4029</v>
      </c>
      <c r="K8844" s="15" t="s">
        <v>979</v>
      </c>
      <c r="L8844" s="17">
        <v>5</v>
      </c>
      <c r="M8844" s="17">
        <v>100</v>
      </c>
      <c r="N8844" s="17">
        <v>5</v>
      </c>
      <c r="O8844" s="18">
        <v>226.38</v>
      </c>
      <c r="P8844" s="18">
        <v>185.56</v>
      </c>
      <c r="Q8844" s="18">
        <v>192.42</v>
      </c>
      <c r="R8844" s="18">
        <v>157.72</v>
      </c>
      <c r="S8844" s="18">
        <v>153.94</v>
      </c>
      <c r="T8844" s="18">
        <v>126.18</v>
      </c>
      <c r="U8844" s="16"/>
      <c r="V8844" s="16"/>
      <c r="W8844" s="16" t="s">
        <v>40</v>
      </c>
      <c r="X8844" s="19">
        <v>4.2999999999999997E-2</v>
      </c>
      <c r="Y8844" s="20">
        <v>2.8200000000000002E-4</v>
      </c>
      <c r="Z8844" s="21">
        <v>4601004035683</v>
      </c>
    </row>
    <row r="8845" spans="1:26" ht="12" customHeight="1" outlineLevel="4" x14ac:dyDescent="0.2">
      <c r="A8845" s="14" t="s">
        <v>16871</v>
      </c>
      <c r="B8845" s="26" t="s">
        <v>16872</v>
      </c>
      <c r="C8845" s="52"/>
      <c r="D8845" s="55">
        <f t="shared" si="138"/>
        <v>0</v>
      </c>
      <c r="E8845" s="63" t="str">
        <f>HYPERLINK("https://www.sds-group.ru/product/kabel-usb-a-type-c-3-a-1m-pvh-belyy-rexant-18-1895/", "Инфо")</f>
        <v>Инфо</v>
      </c>
      <c r="F8845" s="16" t="s">
        <v>39</v>
      </c>
      <c r="G8845" s="15"/>
      <c r="H8845" s="15"/>
      <c r="I8845" s="15"/>
      <c r="J8845" s="17">
        <v>942</v>
      </c>
      <c r="K8845" s="15" t="s">
        <v>476</v>
      </c>
      <c r="L8845" s="17">
        <v>5</v>
      </c>
      <c r="M8845" s="17">
        <v>100</v>
      </c>
      <c r="N8845" s="17">
        <v>5</v>
      </c>
      <c r="O8845" s="18">
        <v>226.38</v>
      </c>
      <c r="P8845" s="18">
        <v>185.56</v>
      </c>
      <c r="Q8845" s="18">
        <v>192.42</v>
      </c>
      <c r="R8845" s="18">
        <v>157.72</v>
      </c>
      <c r="S8845" s="18">
        <v>153.94</v>
      </c>
      <c r="T8845" s="18">
        <v>126.18</v>
      </c>
      <c r="U8845" s="16"/>
      <c r="V8845" s="16"/>
      <c r="W8845" s="16" t="s">
        <v>40</v>
      </c>
      <c r="X8845" s="19">
        <v>4.1000000000000002E-2</v>
      </c>
      <c r="Y8845" s="20">
        <v>3.5799999999999997E-4</v>
      </c>
      <c r="Z8845" s="21">
        <v>4601004181960</v>
      </c>
    </row>
    <row r="8846" spans="1:26" ht="12" customHeight="1" outlineLevel="4" x14ac:dyDescent="0.2">
      <c r="A8846" s="14" t="s">
        <v>16873</v>
      </c>
      <c r="B8846" s="26" t="s">
        <v>16874</v>
      </c>
      <c r="C8846" s="52"/>
      <c r="D8846" s="55">
        <f t="shared" si="138"/>
        <v>0</v>
      </c>
      <c r="E8846" s="63" t="str">
        <f>HYPERLINK("https://www.sds-group.ru/product/kabel-usb-a-type-c-3a-1m-v-temno-seroy-neylonovoy-opletke-rexant-18-1896/", "Инфо")</f>
        <v>Инфо</v>
      </c>
      <c r="F8846" s="16" t="s">
        <v>39</v>
      </c>
      <c r="G8846" s="15"/>
      <c r="H8846" s="15"/>
      <c r="I8846" s="15"/>
      <c r="J8846" s="22">
        <v>1590</v>
      </c>
      <c r="K8846" s="15" t="s">
        <v>979</v>
      </c>
      <c r="L8846" s="17">
        <v>10</v>
      </c>
      <c r="M8846" s="17">
        <v>100</v>
      </c>
      <c r="N8846" s="17">
        <v>10</v>
      </c>
      <c r="O8846" s="18">
        <v>268.42</v>
      </c>
      <c r="P8846" s="18">
        <v>220.02</v>
      </c>
      <c r="Q8846" s="18">
        <v>228.16</v>
      </c>
      <c r="R8846" s="18">
        <v>187.02</v>
      </c>
      <c r="S8846" s="18">
        <v>182.53</v>
      </c>
      <c r="T8846" s="18">
        <v>149.61000000000001</v>
      </c>
      <c r="U8846" s="16"/>
      <c r="V8846" s="16"/>
      <c r="W8846" s="16" t="s">
        <v>40</v>
      </c>
      <c r="X8846" s="19">
        <v>3.5999999999999997E-2</v>
      </c>
      <c r="Y8846" s="20">
        <v>2.41E-4</v>
      </c>
      <c r="Z8846" s="21">
        <v>4601004181953</v>
      </c>
    </row>
    <row r="8847" spans="1:26" ht="12" customHeight="1" outlineLevel="4" x14ac:dyDescent="0.2">
      <c r="A8847" s="14" t="s">
        <v>16875</v>
      </c>
      <c r="B8847" s="26" t="s">
        <v>16876</v>
      </c>
      <c r="C8847" s="52"/>
      <c r="D8847" s="55">
        <f t="shared" si="138"/>
        <v>0</v>
      </c>
      <c r="E8847" s="63" t="str">
        <f>HYPERLINK("https://www.sds-group.ru/product/kabel-usb-a-type-c-3a-2m-pvh-belyy-rexant-18-1882/", "Инфо")</f>
        <v>Инфо</v>
      </c>
      <c r="F8847" s="16" t="s">
        <v>39</v>
      </c>
      <c r="G8847" s="15"/>
      <c r="H8847" s="15"/>
      <c r="I8847" s="15"/>
      <c r="J8847" s="17">
        <v>531</v>
      </c>
      <c r="K8847" s="15" t="s">
        <v>979</v>
      </c>
      <c r="L8847" s="17">
        <v>5</v>
      </c>
      <c r="M8847" s="17">
        <v>200</v>
      </c>
      <c r="N8847" s="17">
        <v>5</v>
      </c>
      <c r="O8847" s="18">
        <v>310.47000000000003</v>
      </c>
      <c r="P8847" s="18">
        <v>254.48</v>
      </c>
      <c r="Q8847" s="18">
        <v>310.47000000000003</v>
      </c>
      <c r="R8847" s="18">
        <v>254.48</v>
      </c>
      <c r="S8847" s="18">
        <v>211.12</v>
      </c>
      <c r="T8847" s="18">
        <v>173.05</v>
      </c>
      <c r="U8847" s="16"/>
      <c r="V8847" s="16"/>
      <c r="W8847" s="16" t="s">
        <v>40</v>
      </c>
      <c r="X8847" s="19">
        <v>6.7000000000000004E-2</v>
      </c>
      <c r="Y8847" s="20">
        <v>2.7900000000000001E-4</v>
      </c>
      <c r="Z8847" s="21">
        <v>4601004310827</v>
      </c>
    </row>
    <row r="8848" spans="1:26" ht="12" customHeight="1" outlineLevel="4" x14ac:dyDescent="0.2">
      <c r="A8848" s="14" t="s">
        <v>16877</v>
      </c>
      <c r="B8848" s="26" t="s">
        <v>16878</v>
      </c>
      <c r="C8848" s="52"/>
      <c r="D8848" s="55">
        <f t="shared" si="138"/>
        <v>0</v>
      </c>
      <c r="E8848" s="63" t="str">
        <f>HYPERLINK("https://www.sds-group.ru/product/kabel-usb-a-type-c-3a-18vt-1m-v-chernoy-neylonovoy-opletke-s-led-podsvetkoy-rexant-18-7065/", "Инфо")</f>
        <v>Инфо</v>
      </c>
      <c r="F8848" s="16" t="s">
        <v>39</v>
      </c>
      <c r="G8848" s="15"/>
      <c r="H8848" s="15"/>
      <c r="I8848" s="15"/>
      <c r="J8848" s="16" t="s">
        <v>100</v>
      </c>
      <c r="K8848" s="15" t="s">
        <v>1587</v>
      </c>
      <c r="L8848" s="17">
        <v>1</v>
      </c>
      <c r="M8848" s="17">
        <v>171</v>
      </c>
      <c r="N8848" s="17">
        <v>1</v>
      </c>
      <c r="O8848" s="18">
        <v>537.92999999999995</v>
      </c>
      <c r="P8848" s="18">
        <v>440.93</v>
      </c>
      <c r="Q8848" s="18">
        <v>376.55</v>
      </c>
      <c r="R8848" s="18">
        <v>308.64999999999998</v>
      </c>
      <c r="S8848" s="18">
        <v>365.79</v>
      </c>
      <c r="T8848" s="18">
        <v>299.83</v>
      </c>
      <c r="U8848" s="16"/>
      <c r="V8848" s="16"/>
      <c r="W8848" s="16"/>
      <c r="X8848" s="19">
        <v>5.7000000000000002E-2</v>
      </c>
      <c r="Y8848" s="20">
        <v>2.7900000000000001E-4</v>
      </c>
      <c r="Z8848" s="21">
        <v>4601004285439</v>
      </c>
    </row>
    <row r="8849" spans="1:26" ht="12" customHeight="1" outlineLevel="4" x14ac:dyDescent="0.2">
      <c r="A8849" s="14" t="s">
        <v>16879</v>
      </c>
      <c r="B8849" s="26" t="s">
        <v>16880</v>
      </c>
      <c r="C8849" s="52"/>
      <c r="D8849" s="55">
        <f t="shared" si="138"/>
        <v>0</v>
      </c>
      <c r="E8849" s="63" t="str">
        <f>HYPERLINK("https://www.sds-group.ru/product/kabel-usb-a-type-c-5a-100vt-1m-v-beloy-neylonovoy-opletke-rexant-18-7067/", "Инфо")</f>
        <v>Инфо</v>
      </c>
      <c r="F8849" s="16" t="s">
        <v>39</v>
      </c>
      <c r="G8849" s="15"/>
      <c r="H8849" s="15"/>
      <c r="I8849" s="15"/>
      <c r="J8849" s="16" t="s">
        <v>100</v>
      </c>
      <c r="K8849" s="15" t="s">
        <v>1587</v>
      </c>
      <c r="L8849" s="17">
        <v>5</v>
      </c>
      <c r="M8849" s="17">
        <v>171</v>
      </c>
      <c r="N8849" s="17">
        <v>5</v>
      </c>
      <c r="O8849" s="18">
        <v>537.92999999999995</v>
      </c>
      <c r="P8849" s="18">
        <v>440.93</v>
      </c>
      <c r="Q8849" s="18">
        <v>376.55</v>
      </c>
      <c r="R8849" s="18">
        <v>308.64999999999998</v>
      </c>
      <c r="S8849" s="18">
        <v>365.79</v>
      </c>
      <c r="T8849" s="18">
        <v>299.83</v>
      </c>
      <c r="U8849" s="16"/>
      <c r="V8849" s="16"/>
      <c r="W8849" s="16"/>
      <c r="X8849" s="19">
        <v>4.7E-2</v>
      </c>
      <c r="Y8849" s="20">
        <v>2.14E-4</v>
      </c>
      <c r="Z8849" s="21">
        <v>4601004285477</v>
      </c>
    </row>
    <row r="8850" spans="1:26" ht="12" customHeight="1" outlineLevel="4" x14ac:dyDescent="0.2">
      <c r="A8850" s="14" t="s">
        <v>16881</v>
      </c>
      <c r="B8850" s="26" t="s">
        <v>16882</v>
      </c>
      <c r="C8850" s="52"/>
      <c r="D8850" s="55">
        <f t="shared" si="138"/>
        <v>0</v>
      </c>
      <c r="E8850" s="63" t="str">
        <f>HYPERLINK("https://www.sds-group.ru/product/kabel-usb-a-type-c-5a-50vt-1m-v-chernoy-neylonovoy-opletke-rexant-18-7066/", "Инфо")</f>
        <v>Инфо</v>
      </c>
      <c r="F8850" s="16" t="s">
        <v>39</v>
      </c>
      <c r="G8850" s="15"/>
      <c r="H8850" s="15"/>
      <c r="I8850" s="15"/>
      <c r="J8850" s="17">
        <v>81</v>
      </c>
      <c r="K8850" s="15" t="s">
        <v>1277</v>
      </c>
      <c r="L8850" s="17">
        <v>5</v>
      </c>
      <c r="M8850" s="17">
        <v>171</v>
      </c>
      <c r="N8850" s="17">
        <v>5</v>
      </c>
      <c r="O8850" s="18">
        <v>484.03</v>
      </c>
      <c r="P8850" s="18">
        <v>396.75</v>
      </c>
      <c r="Q8850" s="18">
        <v>338.82</v>
      </c>
      <c r="R8850" s="18">
        <v>277.72000000000003</v>
      </c>
      <c r="S8850" s="18">
        <v>329.14</v>
      </c>
      <c r="T8850" s="18">
        <v>269.79000000000002</v>
      </c>
      <c r="U8850" s="16"/>
      <c r="V8850" s="16"/>
      <c r="W8850" s="16"/>
      <c r="X8850" s="19">
        <v>5.8999999999999997E-2</v>
      </c>
      <c r="Y8850" s="20">
        <v>2.7500000000000002E-4</v>
      </c>
      <c r="Z8850" s="21">
        <v>4601004285460</v>
      </c>
    </row>
    <row r="8851" spans="1:26" ht="12" customHeight="1" outlineLevel="4" x14ac:dyDescent="0.2">
      <c r="A8851" s="14" t="s">
        <v>16883</v>
      </c>
      <c r="B8851" s="26" t="s">
        <v>16884</v>
      </c>
      <c r="C8851" s="52"/>
      <c r="D8851" s="55">
        <f t="shared" si="138"/>
        <v>0</v>
      </c>
      <c r="E8851" s="63" t="str">
        <f>HYPERLINK("https://www.sds-group.ru/product/kabel-usb-a-type-c-6a-120vt-1m-v-chernoy-neylonovoy-opletke-rexant-18-7063/", "Инфо")</f>
        <v>Инфо</v>
      </c>
      <c r="F8851" s="16" t="s">
        <v>39</v>
      </c>
      <c r="G8851" s="15"/>
      <c r="H8851" s="15"/>
      <c r="I8851" s="15"/>
      <c r="J8851" s="17">
        <v>535</v>
      </c>
      <c r="K8851" s="15" t="s">
        <v>1587</v>
      </c>
      <c r="L8851" s="17">
        <v>5</v>
      </c>
      <c r="M8851" s="17">
        <v>171</v>
      </c>
      <c r="N8851" s="17">
        <v>5</v>
      </c>
      <c r="O8851" s="18">
        <v>537.92999999999995</v>
      </c>
      <c r="P8851" s="18">
        <v>440.93</v>
      </c>
      <c r="Q8851" s="18">
        <v>376.55</v>
      </c>
      <c r="R8851" s="18">
        <v>308.64999999999998</v>
      </c>
      <c r="S8851" s="18">
        <v>365.79</v>
      </c>
      <c r="T8851" s="18">
        <v>299.83</v>
      </c>
      <c r="U8851" s="16"/>
      <c r="V8851" s="16"/>
      <c r="W8851" s="16"/>
      <c r="X8851" s="19">
        <v>5.8000000000000003E-2</v>
      </c>
      <c r="Y8851" s="20">
        <v>2.7999999999999998E-4</v>
      </c>
      <c r="Z8851" s="21">
        <v>4601004285422</v>
      </c>
    </row>
    <row r="8852" spans="1:26" ht="12" customHeight="1" outlineLevel="4" x14ac:dyDescent="0.2">
      <c r="A8852" s="14" t="s">
        <v>16885</v>
      </c>
      <c r="B8852" s="26" t="s">
        <v>16886</v>
      </c>
      <c r="C8852" s="52"/>
      <c r="D8852" s="55">
        <f t="shared" si="138"/>
        <v>0</v>
      </c>
      <c r="E8852" s="63" t="str">
        <f>HYPERLINK("https://www.sds-group.ru/product/kabel-usb-a-type-c-6a-66vt-1m-v-chernoy-neylonovoy-opletke-so-svetovoy-indikatsiey-rexant-18-7064/", "Инфо")</f>
        <v>Инфо</v>
      </c>
      <c r="F8852" s="16" t="s">
        <v>39</v>
      </c>
      <c r="G8852" s="15"/>
      <c r="H8852" s="15"/>
      <c r="I8852" s="15"/>
      <c r="J8852" s="22">
        <v>1516</v>
      </c>
      <c r="K8852" s="15" t="s">
        <v>1587</v>
      </c>
      <c r="L8852" s="17">
        <v>5</v>
      </c>
      <c r="M8852" s="17">
        <v>171</v>
      </c>
      <c r="N8852" s="17">
        <v>5</v>
      </c>
      <c r="O8852" s="18">
        <v>516.37</v>
      </c>
      <c r="P8852" s="18">
        <v>423.25</v>
      </c>
      <c r="Q8852" s="18">
        <v>361.46</v>
      </c>
      <c r="R8852" s="18">
        <v>296.27999999999997</v>
      </c>
      <c r="S8852" s="18">
        <v>351.13</v>
      </c>
      <c r="T8852" s="18">
        <v>287.81</v>
      </c>
      <c r="U8852" s="16"/>
      <c r="V8852" s="16"/>
      <c r="W8852" s="16"/>
      <c r="X8852" s="19">
        <v>5.5E-2</v>
      </c>
      <c r="Y8852" s="20">
        <v>2.7900000000000001E-4</v>
      </c>
      <c r="Z8852" s="21">
        <v>4601004285446</v>
      </c>
    </row>
    <row r="8853" spans="1:26" ht="12" customHeight="1" outlineLevel="4" x14ac:dyDescent="0.2">
      <c r="A8853" s="14" t="s">
        <v>16887</v>
      </c>
      <c r="B8853" s="26" t="s">
        <v>16888</v>
      </c>
      <c r="C8853" s="52"/>
      <c r="D8853" s="55">
        <f t="shared" si="138"/>
        <v>0</v>
      </c>
      <c r="E8853" s="63" t="str">
        <f>HYPERLINK("https://www.sds-group.ru/product/kabel-usb-a-2-0-type-c-3-1-0-5a-1m-pvh-belyy-rexant-18-1881-1/", "Инфо")</f>
        <v>Инфо</v>
      </c>
      <c r="F8853" s="16" t="s">
        <v>39</v>
      </c>
      <c r="G8853" s="15"/>
      <c r="H8853" s="15"/>
      <c r="I8853" s="15"/>
      <c r="J8853" s="17">
        <v>622</v>
      </c>
      <c r="K8853" s="15" t="s">
        <v>979</v>
      </c>
      <c r="L8853" s="17">
        <v>5</v>
      </c>
      <c r="M8853" s="17">
        <v>200</v>
      </c>
      <c r="N8853" s="17">
        <v>5</v>
      </c>
      <c r="O8853" s="18">
        <v>226.38</v>
      </c>
      <c r="P8853" s="18">
        <v>185.56</v>
      </c>
      <c r="Q8853" s="18">
        <v>192.42</v>
      </c>
      <c r="R8853" s="18">
        <v>157.72</v>
      </c>
      <c r="S8853" s="18">
        <v>153.94</v>
      </c>
      <c r="T8853" s="18">
        <v>126.18</v>
      </c>
      <c r="U8853" s="16"/>
      <c r="V8853" s="16"/>
      <c r="W8853" s="16" t="s">
        <v>40</v>
      </c>
      <c r="X8853" s="19">
        <v>3.6999999999999998E-2</v>
      </c>
      <c r="Y8853" s="20">
        <v>2.7900000000000001E-4</v>
      </c>
      <c r="Z8853" s="21">
        <v>4601004098626</v>
      </c>
    </row>
    <row r="8854" spans="1:26" ht="12" customHeight="1" outlineLevel="4" x14ac:dyDescent="0.2">
      <c r="A8854" s="14" t="s">
        <v>16889</v>
      </c>
      <c r="B8854" s="26" t="s">
        <v>16890</v>
      </c>
      <c r="C8854" s="52"/>
      <c r="D8854" s="55">
        <f t="shared" si="138"/>
        <v>0</v>
      </c>
      <c r="E8854" s="63" t="str">
        <f>HYPERLINK("https://www.sds-group.ru/product/kabel-usb-a-3-0-type-c-3-1-3a-1m-pvh-chernyy-rexant-18-1880/", "Инфо")</f>
        <v>Инфо</v>
      </c>
      <c r="F8854" s="16" t="s">
        <v>39</v>
      </c>
      <c r="G8854" s="15"/>
      <c r="H8854" s="15"/>
      <c r="I8854" s="15"/>
      <c r="J8854" s="16" t="s">
        <v>100</v>
      </c>
      <c r="K8854" s="15"/>
      <c r="L8854" s="17">
        <v>5</v>
      </c>
      <c r="M8854" s="17">
        <v>200</v>
      </c>
      <c r="N8854" s="17">
        <v>5</v>
      </c>
      <c r="O8854" s="18">
        <v>397.79</v>
      </c>
      <c r="P8854" s="18">
        <v>326.06</v>
      </c>
      <c r="Q8854" s="18">
        <v>318.23</v>
      </c>
      <c r="R8854" s="18">
        <v>260.83999999999997</v>
      </c>
      <c r="S8854" s="18">
        <v>270.5</v>
      </c>
      <c r="T8854" s="18">
        <v>221.72</v>
      </c>
      <c r="U8854" s="16"/>
      <c r="V8854" s="16"/>
      <c r="W8854" s="16" t="s">
        <v>40</v>
      </c>
      <c r="X8854" s="19">
        <v>5.5E-2</v>
      </c>
      <c r="Y8854" s="20">
        <v>3.5199999999999999E-4</v>
      </c>
      <c r="Z8854" s="21">
        <v>4601004035676</v>
      </c>
    </row>
    <row r="8855" spans="1:26" ht="12.95" customHeight="1" outlineLevel="3" x14ac:dyDescent="0.2">
      <c r="A8855" s="76" t="s">
        <v>16891</v>
      </c>
      <c r="B8855" s="76"/>
      <c r="C8855" s="77"/>
      <c r="D8855" s="58"/>
      <c r="E8855" s="68"/>
      <c r="F8855" s="13"/>
      <c r="G8855" s="13"/>
      <c r="H8855" s="13"/>
      <c r="I8855" s="13"/>
      <c r="J8855" s="13"/>
      <c r="K8855" s="13"/>
      <c r="L8855" s="13"/>
      <c r="M8855" s="13"/>
      <c r="N8855" s="13"/>
      <c r="O8855" s="13"/>
      <c r="P8855" s="13"/>
      <c r="Q8855" s="13"/>
      <c r="R8855" s="13"/>
      <c r="S8855" s="13"/>
      <c r="T8855" s="13"/>
      <c r="U8855" s="13"/>
      <c r="V8855" s="13"/>
      <c r="W8855" s="13"/>
      <c r="X8855" s="13"/>
      <c r="Y8855" s="13"/>
      <c r="Z8855" s="13"/>
    </row>
    <row r="8856" spans="1:26" ht="12" customHeight="1" outlineLevel="4" x14ac:dyDescent="0.2">
      <c r="A8856" s="14" t="s">
        <v>16892</v>
      </c>
      <c r="B8856" s="26" t="s">
        <v>16893</v>
      </c>
      <c r="C8856" s="52"/>
      <c r="D8856" s="55">
        <f t="shared" si="138"/>
        <v>0</v>
      </c>
      <c r="E8856" s="63" t="str">
        <f>HYPERLINK("https://www.sds-group.ru/product/adapter-bluetooth-5-0-aux-3-5-mm-rexant-18-7078/", "Инфо")</f>
        <v>Инфо</v>
      </c>
      <c r="F8856" s="16" t="s">
        <v>39</v>
      </c>
      <c r="G8856" s="15"/>
      <c r="H8856" s="15"/>
      <c r="I8856" s="15"/>
      <c r="J8856" s="16" t="s">
        <v>100</v>
      </c>
      <c r="K8856" s="15" t="s">
        <v>1277</v>
      </c>
      <c r="L8856" s="17">
        <v>1</v>
      </c>
      <c r="M8856" s="17">
        <v>183</v>
      </c>
      <c r="N8856" s="17">
        <v>1</v>
      </c>
      <c r="O8856" s="18">
        <v>1185.82</v>
      </c>
      <c r="P8856" s="18">
        <v>971.98</v>
      </c>
      <c r="Q8856" s="18">
        <v>936.8</v>
      </c>
      <c r="R8856" s="18">
        <v>767.87</v>
      </c>
      <c r="S8856" s="18">
        <v>806.36</v>
      </c>
      <c r="T8856" s="18">
        <v>660.95</v>
      </c>
      <c r="U8856" s="16"/>
      <c r="V8856" s="16"/>
      <c r="W8856" s="16" t="s">
        <v>40</v>
      </c>
      <c r="X8856" s="19">
        <v>2.9000000000000001E-2</v>
      </c>
      <c r="Y8856" s="20">
        <v>1.4899999999999999E-4</v>
      </c>
      <c r="Z8856" s="21">
        <v>4601004291089</v>
      </c>
    </row>
    <row r="8857" spans="1:26" ht="12" customHeight="1" outlineLevel="4" x14ac:dyDescent="0.2">
      <c r="A8857" s="32" t="s">
        <v>16894</v>
      </c>
      <c r="B8857" s="74" t="s">
        <v>16895</v>
      </c>
      <c r="C8857" s="50"/>
      <c r="D8857" s="53">
        <f t="shared" si="138"/>
        <v>0</v>
      </c>
      <c r="E8857" s="60" t="str">
        <f>HYPERLINK("https://www.sds-group.ru/product/audiokabel-aux-3-5mm-0-5m-belyy-rexant-18-1105/", "Инфо")</f>
        <v>Инфо</v>
      </c>
      <c r="F8857" s="34" t="s">
        <v>39</v>
      </c>
      <c r="G8857" s="33"/>
      <c r="H8857" s="33" t="s">
        <v>40</v>
      </c>
      <c r="I8857" s="33"/>
      <c r="J8857" s="39">
        <v>2649</v>
      </c>
      <c r="K8857" s="33"/>
      <c r="L8857" s="35">
        <v>10</v>
      </c>
      <c r="M8857" s="35">
        <v>500</v>
      </c>
      <c r="N8857" s="35">
        <v>10</v>
      </c>
      <c r="O8857" s="36">
        <v>104.13</v>
      </c>
      <c r="P8857" s="36">
        <v>85.35</v>
      </c>
      <c r="Q8857" s="36">
        <v>72.89</v>
      </c>
      <c r="R8857" s="36">
        <v>59.75</v>
      </c>
      <c r="S8857" s="36">
        <v>70.81</v>
      </c>
      <c r="T8857" s="36">
        <v>58.04</v>
      </c>
      <c r="U8857" s="34"/>
      <c r="V8857" s="34"/>
      <c r="W8857" s="34"/>
      <c r="X8857" s="37">
        <v>1.4E-2</v>
      </c>
      <c r="Y8857" s="38">
        <v>7.2000000000000002E-5</v>
      </c>
      <c r="Z8857" s="21">
        <v>4601004008540</v>
      </c>
    </row>
    <row r="8858" spans="1:26" ht="12" customHeight="1" outlineLevel="4" x14ac:dyDescent="0.2">
      <c r="A8858" s="32" t="s">
        <v>16896</v>
      </c>
      <c r="B8858" s="74" t="s">
        <v>16897</v>
      </c>
      <c r="C8858" s="50"/>
      <c r="D8858" s="53">
        <f t="shared" si="138"/>
        <v>0</v>
      </c>
      <c r="E8858" s="60" t="str">
        <f>HYPERLINK("https://www.sds-group.ru/product/audiokabel-aux-3-5mm-1m-belyy-shnur-spiral-rexant-18-4014/", "Инфо")</f>
        <v>Инфо</v>
      </c>
      <c r="F8858" s="34" t="s">
        <v>39</v>
      </c>
      <c r="G8858" s="33"/>
      <c r="H8858" s="33" t="s">
        <v>40</v>
      </c>
      <c r="I8858" s="33"/>
      <c r="J8858" s="35">
        <v>762</v>
      </c>
      <c r="K8858" s="33"/>
      <c r="L8858" s="35">
        <v>10</v>
      </c>
      <c r="M8858" s="35">
        <v>500</v>
      </c>
      <c r="N8858" s="35">
        <v>10</v>
      </c>
      <c r="O8858" s="36">
        <v>161.69999999999999</v>
      </c>
      <c r="P8858" s="36">
        <v>132.54</v>
      </c>
      <c r="Q8858" s="36">
        <v>137.44999999999999</v>
      </c>
      <c r="R8858" s="36">
        <v>112.66</v>
      </c>
      <c r="S8858" s="36">
        <v>109.96</v>
      </c>
      <c r="T8858" s="36">
        <v>90.13</v>
      </c>
      <c r="U8858" s="34"/>
      <c r="V8858" s="34"/>
      <c r="W8858" s="34" t="s">
        <v>40</v>
      </c>
      <c r="X8858" s="37">
        <v>2.5000000000000001E-2</v>
      </c>
      <c r="Y8858" s="38">
        <v>8.2999999999999998E-5</v>
      </c>
      <c r="Z8858" s="21">
        <v>4601004010628</v>
      </c>
    </row>
    <row r="8859" spans="1:26" ht="12" customHeight="1" outlineLevel="4" x14ac:dyDescent="0.2">
      <c r="A8859" s="32" t="s">
        <v>16898</v>
      </c>
      <c r="B8859" s="74" t="s">
        <v>16899</v>
      </c>
      <c r="C8859" s="50"/>
      <c r="D8859" s="53">
        <f t="shared" si="138"/>
        <v>0</v>
      </c>
      <c r="E8859" s="60" t="str">
        <f>HYPERLINK("https://www.sds-group.ru/product/audiokabel-aux-3-5mm-1m-belyy-gelevyy-rexant-18-4083/", "Инфо")</f>
        <v>Инфо</v>
      </c>
      <c r="F8859" s="34" t="s">
        <v>39</v>
      </c>
      <c r="G8859" s="33"/>
      <c r="H8859" s="33" t="s">
        <v>40</v>
      </c>
      <c r="I8859" s="33"/>
      <c r="J8859" s="39">
        <v>1094</v>
      </c>
      <c r="K8859" s="33"/>
      <c r="L8859" s="35">
        <v>10</v>
      </c>
      <c r="M8859" s="35">
        <v>500</v>
      </c>
      <c r="N8859" s="35">
        <v>10</v>
      </c>
      <c r="O8859" s="36">
        <v>129.36000000000001</v>
      </c>
      <c r="P8859" s="36">
        <v>106.03</v>
      </c>
      <c r="Q8859" s="36">
        <v>109.96</v>
      </c>
      <c r="R8859" s="36">
        <v>90.13</v>
      </c>
      <c r="S8859" s="36">
        <v>87.96</v>
      </c>
      <c r="T8859" s="36">
        <v>72.099999999999994</v>
      </c>
      <c r="U8859" s="34"/>
      <c r="V8859" s="34"/>
      <c r="W8859" s="34" t="s">
        <v>40</v>
      </c>
      <c r="X8859" s="37">
        <v>1.6E-2</v>
      </c>
      <c r="Y8859" s="38">
        <v>6.8999999999999997E-5</v>
      </c>
      <c r="Z8859" s="21">
        <v>4601004097193</v>
      </c>
    </row>
    <row r="8860" spans="1:26" ht="12" customHeight="1" outlineLevel="4" x14ac:dyDescent="0.2">
      <c r="A8860" s="32" t="s">
        <v>16900</v>
      </c>
      <c r="B8860" s="74" t="s">
        <v>16901</v>
      </c>
      <c r="C8860" s="50"/>
      <c r="D8860" s="53">
        <f t="shared" si="138"/>
        <v>0</v>
      </c>
      <c r="E8860" s="60" t="str">
        <f>HYPERLINK("https://www.sds-group.ru/product/audiokabel-aux-3-5mm-1m-krasnyy-v-tkanevoy-opletke-rexant-18-4076/", "Инфо")</f>
        <v>Инфо</v>
      </c>
      <c r="F8860" s="34" t="s">
        <v>39</v>
      </c>
      <c r="G8860" s="33"/>
      <c r="H8860" s="33" t="s">
        <v>40</v>
      </c>
      <c r="I8860" s="33"/>
      <c r="J8860" s="39">
        <v>1213</v>
      </c>
      <c r="K8860" s="33"/>
      <c r="L8860" s="35">
        <v>10</v>
      </c>
      <c r="M8860" s="39">
        <v>1000</v>
      </c>
      <c r="N8860" s="35">
        <v>10</v>
      </c>
      <c r="O8860" s="36">
        <v>184.54</v>
      </c>
      <c r="P8860" s="36">
        <v>151.26</v>
      </c>
      <c r="Q8860" s="36">
        <v>129.18</v>
      </c>
      <c r="R8860" s="36">
        <v>105.89</v>
      </c>
      <c r="S8860" s="36">
        <v>125.49</v>
      </c>
      <c r="T8860" s="36">
        <v>102.86</v>
      </c>
      <c r="U8860" s="34"/>
      <c r="V8860" s="34"/>
      <c r="W8860" s="34"/>
      <c r="X8860" s="37">
        <v>1.7999999999999999E-2</v>
      </c>
      <c r="Y8860" s="38">
        <v>1.3999999999999999E-4</v>
      </c>
      <c r="Z8860" s="21">
        <v>4601004097179</v>
      </c>
    </row>
    <row r="8861" spans="1:26" ht="12" customHeight="1" outlineLevel="4" x14ac:dyDescent="0.2">
      <c r="A8861" s="32" t="s">
        <v>16902</v>
      </c>
      <c r="B8861" s="74" t="s">
        <v>16903</v>
      </c>
      <c r="C8861" s="50"/>
      <c r="D8861" s="53">
        <f t="shared" si="138"/>
        <v>0</v>
      </c>
      <c r="E8861" s="60" t="str">
        <f>HYPERLINK("https://www.sds-group.ru/product/audiokabel-aux-3-5mm-1m-siniy-v-tkanevoy-opletke-rexant-18-4072/", "Инфо")</f>
        <v>Инфо</v>
      </c>
      <c r="F8861" s="34" t="s">
        <v>39</v>
      </c>
      <c r="G8861" s="33"/>
      <c r="H8861" s="33" t="s">
        <v>40</v>
      </c>
      <c r="I8861" s="33"/>
      <c r="J8861" s="35">
        <v>582</v>
      </c>
      <c r="K8861" s="33"/>
      <c r="L8861" s="35">
        <v>10</v>
      </c>
      <c r="M8861" s="39">
        <v>1000</v>
      </c>
      <c r="N8861" s="35">
        <v>10</v>
      </c>
      <c r="O8861" s="36">
        <v>204.46</v>
      </c>
      <c r="P8861" s="36">
        <v>167.59</v>
      </c>
      <c r="Q8861" s="36">
        <v>143.12</v>
      </c>
      <c r="R8861" s="36">
        <v>117.31</v>
      </c>
      <c r="S8861" s="36">
        <v>139.03</v>
      </c>
      <c r="T8861" s="36">
        <v>113.96</v>
      </c>
      <c r="U8861" s="34"/>
      <c r="V8861" s="34"/>
      <c r="W8861" s="34"/>
      <c r="X8861" s="37">
        <v>1.9E-2</v>
      </c>
      <c r="Y8861" s="38">
        <v>7.6000000000000004E-5</v>
      </c>
      <c r="Z8861" s="21">
        <v>4601004097186</v>
      </c>
    </row>
    <row r="8862" spans="1:26" ht="12" customHeight="1" outlineLevel="4" x14ac:dyDescent="0.2">
      <c r="A8862" s="32" t="s">
        <v>16904</v>
      </c>
      <c r="B8862" s="74" t="s">
        <v>16905</v>
      </c>
      <c r="C8862" s="50"/>
      <c r="D8862" s="53">
        <f t="shared" si="138"/>
        <v>0</v>
      </c>
      <c r="E8862" s="60" t="str">
        <f>HYPERLINK("https://www.sds-group.ru/product/audiokabel-aux-3-5mm-1m-chernyy-rexant-18-4000/", "Инфо")</f>
        <v>Инфо</v>
      </c>
      <c r="F8862" s="34" t="s">
        <v>39</v>
      </c>
      <c r="G8862" s="33"/>
      <c r="H8862" s="33" t="s">
        <v>40</v>
      </c>
      <c r="I8862" s="33"/>
      <c r="J8862" s="35">
        <v>372</v>
      </c>
      <c r="K8862" s="33"/>
      <c r="L8862" s="35">
        <v>20</v>
      </c>
      <c r="M8862" s="35">
        <v>500</v>
      </c>
      <c r="N8862" s="35">
        <v>20</v>
      </c>
      <c r="O8862" s="36">
        <v>150.91999999999999</v>
      </c>
      <c r="P8862" s="36">
        <v>123.7</v>
      </c>
      <c r="Q8862" s="36">
        <v>128.28</v>
      </c>
      <c r="R8862" s="36">
        <v>105.15</v>
      </c>
      <c r="S8862" s="36">
        <v>102.63</v>
      </c>
      <c r="T8862" s="36">
        <v>84.12</v>
      </c>
      <c r="U8862" s="34"/>
      <c r="V8862" s="34"/>
      <c r="W8862" s="34" t="s">
        <v>40</v>
      </c>
      <c r="X8862" s="37">
        <v>1.4999999999999999E-2</v>
      </c>
      <c r="Y8862" s="38">
        <v>7.3999999999999996E-5</v>
      </c>
      <c r="Z8862" s="21">
        <v>4601004010475</v>
      </c>
    </row>
    <row r="8863" spans="1:26" ht="12" customHeight="1" outlineLevel="4" x14ac:dyDescent="0.2">
      <c r="A8863" s="14" t="s">
        <v>16906</v>
      </c>
      <c r="B8863" s="26" t="s">
        <v>16907</v>
      </c>
      <c r="C8863" s="52"/>
      <c r="D8863" s="55">
        <f t="shared" si="138"/>
        <v>0</v>
      </c>
      <c r="E8863" s="63" t="str">
        <f>HYPERLINK("https://www.sds-group.ru/product/audiokabel-aux-3-5mm-1m-chernyy-v-tkanevoy-opletke-rexant-18-4071/", "Инфо")</f>
        <v>Инфо</v>
      </c>
      <c r="F8863" s="16" t="s">
        <v>39</v>
      </c>
      <c r="G8863" s="15"/>
      <c r="H8863" s="15"/>
      <c r="I8863" s="15"/>
      <c r="J8863" s="22">
        <v>2142</v>
      </c>
      <c r="K8863" s="15"/>
      <c r="L8863" s="17">
        <v>10</v>
      </c>
      <c r="M8863" s="17">
        <v>500</v>
      </c>
      <c r="N8863" s="17">
        <v>10</v>
      </c>
      <c r="O8863" s="18">
        <v>204.46</v>
      </c>
      <c r="P8863" s="18">
        <v>167.59</v>
      </c>
      <c r="Q8863" s="18">
        <v>173.79</v>
      </c>
      <c r="R8863" s="18">
        <v>142.44999999999999</v>
      </c>
      <c r="S8863" s="18">
        <v>139.03</v>
      </c>
      <c r="T8863" s="18">
        <v>113.96</v>
      </c>
      <c r="U8863" s="16"/>
      <c r="V8863" s="16"/>
      <c r="W8863" s="16" t="s">
        <v>40</v>
      </c>
      <c r="X8863" s="19">
        <v>1.9E-2</v>
      </c>
      <c r="Y8863" s="20">
        <v>1.1E-4</v>
      </c>
      <c r="Z8863" s="21">
        <v>4601004097162</v>
      </c>
    </row>
    <row r="8864" spans="1:26" ht="12" customHeight="1" outlineLevel="4" x14ac:dyDescent="0.2">
      <c r="A8864" s="32" t="s">
        <v>16908</v>
      </c>
      <c r="B8864" s="74" t="s">
        <v>16909</v>
      </c>
      <c r="C8864" s="50"/>
      <c r="D8864" s="53">
        <f t="shared" si="138"/>
        <v>0</v>
      </c>
      <c r="E8864" s="60" t="str">
        <f>HYPERLINK("https://www.sds-group.ru/product/audiokabel-aux-3-5mm-1m-chernyy-gelevyy-rexant-18-4080/", "Инфо")</f>
        <v>Инфо</v>
      </c>
      <c r="F8864" s="34" t="s">
        <v>39</v>
      </c>
      <c r="G8864" s="33"/>
      <c r="H8864" s="33" t="s">
        <v>40</v>
      </c>
      <c r="I8864" s="33"/>
      <c r="J8864" s="39">
        <v>1072</v>
      </c>
      <c r="K8864" s="33"/>
      <c r="L8864" s="35">
        <v>10</v>
      </c>
      <c r="M8864" s="39">
        <v>1000</v>
      </c>
      <c r="N8864" s="35">
        <v>10</v>
      </c>
      <c r="O8864" s="36">
        <v>176.2</v>
      </c>
      <c r="P8864" s="36">
        <v>144.43</v>
      </c>
      <c r="Q8864" s="36">
        <v>149.77000000000001</v>
      </c>
      <c r="R8864" s="36">
        <v>122.76</v>
      </c>
      <c r="S8864" s="36">
        <v>119.82</v>
      </c>
      <c r="T8864" s="36">
        <v>98.21</v>
      </c>
      <c r="U8864" s="34"/>
      <c r="V8864" s="34"/>
      <c r="W8864" s="34" t="s">
        <v>40</v>
      </c>
      <c r="X8864" s="37">
        <v>2.1000000000000001E-2</v>
      </c>
      <c r="Y8864" s="38">
        <v>7.7999999999999999E-5</v>
      </c>
      <c r="Z8864" s="21">
        <v>4601004097209</v>
      </c>
    </row>
    <row r="8865" spans="1:26" ht="12" customHeight="1" outlineLevel="4" x14ac:dyDescent="0.2">
      <c r="A8865" s="32" t="s">
        <v>16910</v>
      </c>
      <c r="B8865" s="74" t="s">
        <v>16911</v>
      </c>
      <c r="C8865" s="50"/>
      <c r="D8865" s="53">
        <f t="shared" si="138"/>
        <v>0</v>
      </c>
      <c r="E8865" s="60" t="str">
        <f>HYPERLINK("https://www.sds-group.ru/product/audiokabel-aux-3-5mm-1m-chernyy-uglovoy-rexant-18-1120/", "Инфо")</f>
        <v>Инфо</v>
      </c>
      <c r="F8865" s="34" t="s">
        <v>39</v>
      </c>
      <c r="G8865" s="33"/>
      <c r="H8865" s="33" t="s">
        <v>40</v>
      </c>
      <c r="I8865" s="33"/>
      <c r="J8865" s="39">
        <v>1611</v>
      </c>
      <c r="K8865" s="33"/>
      <c r="L8865" s="35">
        <v>10</v>
      </c>
      <c r="M8865" s="35">
        <v>500</v>
      </c>
      <c r="N8865" s="35">
        <v>10</v>
      </c>
      <c r="O8865" s="36">
        <v>107.8</v>
      </c>
      <c r="P8865" s="36">
        <v>88.36</v>
      </c>
      <c r="Q8865" s="36">
        <v>91.63</v>
      </c>
      <c r="R8865" s="36">
        <v>75.11</v>
      </c>
      <c r="S8865" s="36">
        <v>73.3</v>
      </c>
      <c r="T8865" s="36">
        <v>60.08</v>
      </c>
      <c r="U8865" s="34"/>
      <c r="V8865" s="34"/>
      <c r="W8865" s="34" t="s">
        <v>40</v>
      </c>
      <c r="X8865" s="37">
        <v>2.5999999999999999E-2</v>
      </c>
      <c r="Y8865" s="38">
        <v>7.8999999999999996E-5</v>
      </c>
      <c r="Z8865" s="21">
        <v>4601004021815</v>
      </c>
    </row>
    <row r="8866" spans="1:26" ht="12" customHeight="1" outlineLevel="4" x14ac:dyDescent="0.2">
      <c r="A8866" s="32" t="s">
        <v>16912</v>
      </c>
      <c r="B8866" s="74" t="s">
        <v>16913</v>
      </c>
      <c r="C8866" s="50"/>
      <c r="D8866" s="53">
        <f t="shared" si="138"/>
        <v>0</v>
      </c>
      <c r="E8866" s="60" t="str">
        <f>HYPERLINK("https://www.sds-group.ru/product/audiokabel-aux-3-5mm-1m-chernyy-shnur-spiral-rexant-18-4010/", "Инфо")</f>
        <v>Инфо</v>
      </c>
      <c r="F8866" s="34" t="s">
        <v>39</v>
      </c>
      <c r="G8866" s="33"/>
      <c r="H8866" s="33" t="s">
        <v>40</v>
      </c>
      <c r="I8866" s="33"/>
      <c r="J8866" s="35">
        <v>773</v>
      </c>
      <c r="K8866" s="33"/>
      <c r="L8866" s="35">
        <v>10</v>
      </c>
      <c r="M8866" s="35">
        <v>500</v>
      </c>
      <c r="N8866" s="35">
        <v>10</v>
      </c>
      <c r="O8866" s="36">
        <v>327.64999999999998</v>
      </c>
      <c r="P8866" s="36">
        <v>268.57</v>
      </c>
      <c r="Q8866" s="36">
        <v>278.5</v>
      </c>
      <c r="R8866" s="36">
        <v>228.28</v>
      </c>
      <c r="S8866" s="36">
        <v>222.8</v>
      </c>
      <c r="T8866" s="36">
        <v>182.62</v>
      </c>
      <c r="U8866" s="34"/>
      <c r="V8866" s="34"/>
      <c r="W8866" s="34" t="s">
        <v>40</v>
      </c>
      <c r="X8866" s="37">
        <v>2.1999999999999999E-2</v>
      </c>
      <c r="Y8866" s="38">
        <v>8.7000000000000001E-5</v>
      </c>
      <c r="Z8866" s="21">
        <v>4601004010543</v>
      </c>
    </row>
    <row r="8867" spans="1:26" ht="12" customHeight="1" outlineLevel="4" x14ac:dyDescent="0.2">
      <c r="A8867" s="14" t="s">
        <v>16914</v>
      </c>
      <c r="B8867" s="26" t="s">
        <v>16915</v>
      </c>
      <c r="C8867" s="52"/>
      <c r="D8867" s="55">
        <f t="shared" si="138"/>
        <v>0</v>
      </c>
      <c r="E8867" s="63" t="str">
        <f>HYPERLINK("https://www.sds-group.ru/product/audiorazvetvitel-shteker-3-5mm-na-2-po-3-5mm-0-15m-belyy-rexant-18-1102/", "Инфо")</f>
        <v>Инфо</v>
      </c>
      <c r="F8867" s="16" t="s">
        <v>39</v>
      </c>
      <c r="G8867" s="15"/>
      <c r="H8867" s="15"/>
      <c r="I8867" s="15"/>
      <c r="J8867" s="17">
        <v>616</v>
      </c>
      <c r="K8867" s="15" t="s">
        <v>1519</v>
      </c>
      <c r="L8867" s="17">
        <v>10</v>
      </c>
      <c r="M8867" s="17">
        <v>500</v>
      </c>
      <c r="N8867" s="17">
        <v>10</v>
      </c>
      <c r="O8867" s="18">
        <v>227.07</v>
      </c>
      <c r="P8867" s="18">
        <v>186.12</v>
      </c>
      <c r="Q8867" s="18">
        <v>193.01</v>
      </c>
      <c r="R8867" s="18">
        <v>158.19999999999999</v>
      </c>
      <c r="S8867" s="18">
        <v>154.41</v>
      </c>
      <c r="T8867" s="18">
        <v>126.57</v>
      </c>
      <c r="U8867" s="16"/>
      <c r="V8867" s="16"/>
      <c r="W8867" s="16" t="s">
        <v>40</v>
      </c>
      <c r="X8867" s="19">
        <v>1.6E-2</v>
      </c>
      <c r="Y8867" s="20">
        <v>1.18E-4</v>
      </c>
      <c r="Z8867" s="21">
        <v>4601004008489</v>
      </c>
    </row>
    <row r="8868" spans="1:26" ht="12" customHeight="1" outlineLevel="4" x14ac:dyDescent="0.2">
      <c r="A8868" s="14" t="s">
        <v>16916</v>
      </c>
      <c r="B8868" s="26" t="s">
        <v>16917</v>
      </c>
      <c r="C8868" s="52"/>
      <c r="D8868" s="55">
        <f t="shared" si="138"/>
        <v>0</v>
      </c>
      <c r="E8868" s="63" t="str">
        <f>HYPERLINK("https://www.sds-group.ru/product/audiorazvetvitel-shteker-3-5mm-na-2-po-3-5mm-0-3m-belyy-rexant-18-1100/", "Инфо")</f>
        <v>Инфо</v>
      </c>
      <c r="F8868" s="16" t="s">
        <v>39</v>
      </c>
      <c r="G8868" s="15"/>
      <c r="H8868" s="15"/>
      <c r="I8868" s="15"/>
      <c r="J8868" s="17">
        <v>961</v>
      </c>
      <c r="K8868" s="15"/>
      <c r="L8868" s="17">
        <v>10</v>
      </c>
      <c r="M8868" s="17">
        <v>500</v>
      </c>
      <c r="N8868" s="17">
        <v>10</v>
      </c>
      <c r="O8868" s="18">
        <v>330.61</v>
      </c>
      <c r="P8868" s="18">
        <v>270.99</v>
      </c>
      <c r="Q8868" s="18">
        <v>231.43</v>
      </c>
      <c r="R8868" s="18">
        <v>189.7</v>
      </c>
      <c r="S8868" s="18">
        <v>224.81</v>
      </c>
      <c r="T8868" s="18">
        <v>184.27</v>
      </c>
      <c r="U8868" s="16"/>
      <c r="V8868" s="16"/>
      <c r="W8868" s="16"/>
      <c r="X8868" s="19">
        <v>1.4999999999999999E-2</v>
      </c>
      <c r="Y8868" s="20">
        <v>7.6000000000000004E-5</v>
      </c>
      <c r="Z8868" s="21">
        <v>4601004021792</v>
      </c>
    </row>
    <row r="8869" spans="1:26" ht="12.95" customHeight="1" outlineLevel="3" x14ac:dyDescent="0.2">
      <c r="A8869" s="76" t="s">
        <v>16918</v>
      </c>
      <c r="B8869" s="76"/>
      <c r="C8869" s="77"/>
      <c r="D8869" s="58"/>
      <c r="E8869" s="68"/>
      <c r="F8869" s="13"/>
      <c r="G8869" s="13"/>
      <c r="H8869" s="13"/>
      <c r="I8869" s="13"/>
      <c r="J8869" s="13"/>
      <c r="K8869" s="13"/>
      <c r="L8869" s="13"/>
      <c r="M8869" s="13"/>
      <c r="N8869" s="13"/>
      <c r="O8869" s="13"/>
      <c r="P8869" s="13"/>
      <c r="Q8869" s="13"/>
      <c r="R8869" s="13"/>
      <c r="S8869" s="13"/>
      <c r="T8869" s="13"/>
      <c r="U8869" s="13"/>
      <c r="V8869" s="13"/>
      <c r="W8869" s="13"/>
      <c r="X8869" s="13"/>
      <c r="Y8869" s="13"/>
      <c r="Z8869" s="13"/>
    </row>
    <row r="8870" spans="1:26" ht="12" customHeight="1" outlineLevel="4" x14ac:dyDescent="0.2">
      <c r="A8870" s="14" t="s">
        <v>16919</v>
      </c>
      <c r="B8870" s="26" t="s">
        <v>16920</v>
      </c>
      <c r="C8870" s="52"/>
      <c r="D8870" s="55">
        <f t="shared" si="138"/>
        <v>0</v>
      </c>
      <c r="E8870" s="63" t="str">
        <f>HYPERLINK("https://www.sds-group.ru/product/kabel-usb-otg-sht-mini-usb-gn-usb-a-2-4a-0-15m-pvh-chernyy-rexant-18-1181/", "Инфо")</f>
        <v>Инфо</v>
      </c>
      <c r="F8870" s="16" t="s">
        <v>39</v>
      </c>
      <c r="G8870" s="15"/>
      <c r="H8870" s="15"/>
      <c r="I8870" s="15"/>
      <c r="J8870" s="17">
        <v>416</v>
      </c>
      <c r="K8870" s="15" t="s">
        <v>883</v>
      </c>
      <c r="L8870" s="17">
        <v>10</v>
      </c>
      <c r="M8870" s="17">
        <v>500</v>
      </c>
      <c r="N8870" s="17">
        <v>10</v>
      </c>
      <c r="O8870" s="18">
        <v>156.22</v>
      </c>
      <c r="P8870" s="18">
        <v>128.05000000000001</v>
      </c>
      <c r="Q8870" s="18">
        <v>109.35</v>
      </c>
      <c r="R8870" s="18">
        <v>89.63</v>
      </c>
      <c r="S8870" s="18">
        <v>106.23</v>
      </c>
      <c r="T8870" s="18">
        <v>87.07</v>
      </c>
      <c r="U8870" s="16"/>
      <c r="V8870" s="16"/>
      <c r="W8870" s="16"/>
      <c r="X8870" s="19">
        <v>1.4999999999999999E-2</v>
      </c>
      <c r="Y8870" s="20">
        <v>4.6E-5</v>
      </c>
      <c r="Z8870" s="21">
        <v>4601004008458</v>
      </c>
    </row>
    <row r="8871" spans="1:26" ht="12" customHeight="1" outlineLevel="4" x14ac:dyDescent="0.2">
      <c r="A8871" s="14" t="s">
        <v>16921</v>
      </c>
      <c r="B8871" s="26" t="s">
        <v>16922</v>
      </c>
      <c r="C8871" s="52"/>
      <c r="D8871" s="55">
        <f t="shared" si="138"/>
        <v>0</v>
      </c>
      <c r="E8871" s="63" t="str">
        <f>HYPERLINK("https://www.sds-group.ru/product/kabel-usb-otg-sht-type-c-gn-usb-a-2-4a-0-15m-pvh-belyy-rexant-18-1180/", "Инфо")</f>
        <v>Инфо</v>
      </c>
      <c r="F8871" s="16" t="s">
        <v>39</v>
      </c>
      <c r="G8871" s="15"/>
      <c r="H8871" s="15"/>
      <c r="I8871" s="15"/>
      <c r="J8871" s="22">
        <v>1266</v>
      </c>
      <c r="K8871" s="15" t="s">
        <v>476</v>
      </c>
      <c r="L8871" s="17">
        <v>10</v>
      </c>
      <c r="M8871" s="17">
        <v>640</v>
      </c>
      <c r="N8871" s="17">
        <v>10</v>
      </c>
      <c r="O8871" s="18">
        <v>419.7</v>
      </c>
      <c r="P8871" s="18">
        <v>344.02</v>
      </c>
      <c r="Q8871" s="18">
        <v>293.79000000000002</v>
      </c>
      <c r="R8871" s="18">
        <v>240.81</v>
      </c>
      <c r="S8871" s="18">
        <v>285.39999999999998</v>
      </c>
      <c r="T8871" s="18">
        <v>233.93</v>
      </c>
      <c r="U8871" s="16"/>
      <c r="V8871" s="16"/>
      <c r="W8871" s="16"/>
      <c r="X8871" s="19">
        <v>0.01</v>
      </c>
      <c r="Y8871" s="20">
        <v>6.0000000000000002E-5</v>
      </c>
      <c r="Z8871" s="21">
        <v>4601004091825</v>
      </c>
    </row>
    <row r="8872" spans="1:26" ht="12.95" customHeight="1" outlineLevel="3" x14ac:dyDescent="0.2">
      <c r="A8872" s="76" t="s">
        <v>16923</v>
      </c>
      <c r="B8872" s="76"/>
      <c r="C8872" s="77"/>
      <c r="D8872" s="58"/>
      <c r="E8872" s="68"/>
      <c r="F8872" s="13"/>
      <c r="G8872" s="13"/>
      <c r="H8872" s="13"/>
      <c r="I8872" s="13"/>
      <c r="J8872" s="13"/>
      <c r="K8872" s="13"/>
      <c r="L8872" s="13"/>
      <c r="M8872" s="13"/>
      <c r="N8872" s="13"/>
      <c r="O8872" s="13"/>
      <c r="P8872" s="13"/>
      <c r="Q8872" s="13"/>
      <c r="R8872" s="13"/>
      <c r="S8872" s="13"/>
      <c r="T8872" s="13"/>
      <c r="U8872" s="13"/>
      <c r="V8872" s="13"/>
      <c r="W8872" s="13"/>
      <c r="X8872" s="13"/>
      <c r="Y8872" s="13"/>
      <c r="Z8872" s="13"/>
    </row>
    <row r="8873" spans="1:26" ht="12" customHeight="1" outlineLevel="4" x14ac:dyDescent="0.2">
      <c r="A8873" s="14" t="s">
        <v>16924</v>
      </c>
      <c r="B8873" s="26" t="s">
        <v>16925</v>
      </c>
      <c r="C8873" s="52"/>
      <c r="D8873" s="55">
        <f t="shared" si="138"/>
        <v>0</v>
      </c>
      <c r="E8873" s="63" t="str">
        <f>HYPERLINK("https://www.sds-group.ru/product/udlinitel-telefonnyy-ploskiy-rj-11-6p-4c-10m-belyy-rexant-18-3101/", "Инфо")</f>
        <v>Инфо</v>
      </c>
      <c r="F8873" s="16" t="s">
        <v>39</v>
      </c>
      <c r="G8873" s="15"/>
      <c r="H8873" s="15"/>
      <c r="I8873" s="15"/>
      <c r="J8873" s="17">
        <v>979</v>
      </c>
      <c r="K8873" s="15"/>
      <c r="L8873" s="17">
        <v>10</v>
      </c>
      <c r="M8873" s="17">
        <v>100</v>
      </c>
      <c r="N8873" s="17">
        <v>10</v>
      </c>
      <c r="O8873" s="18">
        <v>337.64</v>
      </c>
      <c r="P8873" s="18">
        <v>276.75</v>
      </c>
      <c r="Q8873" s="18">
        <v>286.99</v>
      </c>
      <c r="R8873" s="18">
        <v>235.24</v>
      </c>
      <c r="S8873" s="18">
        <v>229.6</v>
      </c>
      <c r="T8873" s="18">
        <v>188.2</v>
      </c>
      <c r="U8873" s="16"/>
      <c r="V8873" s="16"/>
      <c r="W8873" s="16" t="s">
        <v>40</v>
      </c>
      <c r="X8873" s="19">
        <v>0.13400000000000001</v>
      </c>
      <c r="Y8873" s="20">
        <v>2.43E-4</v>
      </c>
      <c r="Z8873" s="21">
        <v>4610003605438</v>
      </c>
    </row>
    <row r="8874" spans="1:26" ht="12" customHeight="1" outlineLevel="4" x14ac:dyDescent="0.2">
      <c r="A8874" s="14" t="s">
        <v>16926</v>
      </c>
      <c r="B8874" s="26" t="s">
        <v>16927</v>
      </c>
      <c r="C8874" s="52"/>
      <c r="D8874" s="55">
        <f t="shared" si="138"/>
        <v>0</v>
      </c>
      <c r="E8874" s="63" t="str">
        <f>HYPERLINK("https://www.sds-group.ru/product/udlinitel-telefonnyy-ploskiy-rj-11-6p-4c-15m-belyy-rexant-18-3151/", "Инфо")</f>
        <v>Инфо</v>
      </c>
      <c r="F8874" s="16" t="s">
        <v>39</v>
      </c>
      <c r="G8874" s="15"/>
      <c r="H8874" s="15"/>
      <c r="I8874" s="15"/>
      <c r="J8874" s="17">
        <v>497</v>
      </c>
      <c r="K8874" s="15" t="s">
        <v>998</v>
      </c>
      <c r="L8874" s="17">
        <v>10</v>
      </c>
      <c r="M8874" s="17">
        <v>100</v>
      </c>
      <c r="N8874" s="17">
        <v>10</v>
      </c>
      <c r="O8874" s="18">
        <v>423.78</v>
      </c>
      <c r="P8874" s="18">
        <v>347.36</v>
      </c>
      <c r="Q8874" s="18">
        <v>360.21</v>
      </c>
      <c r="R8874" s="18">
        <v>295.25</v>
      </c>
      <c r="S8874" s="18">
        <v>288.17</v>
      </c>
      <c r="T8874" s="18">
        <v>236.2</v>
      </c>
      <c r="U8874" s="16"/>
      <c r="V8874" s="16"/>
      <c r="W8874" s="16" t="s">
        <v>40</v>
      </c>
      <c r="X8874" s="19">
        <v>0.192</v>
      </c>
      <c r="Y8874" s="20">
        <v>4.1100000000000002E-4</v>
      </c>
      <c r="Z8874" s="21">
        <v>4610003605452</v>
      </c>
    </row>
    <row r="8875" spans="1:26" ht="12" customHeight="1" outlineLevel="4" x14ac:dyDescent="0.2">
      <c r="A8875" s="14" t="s">
        <v>16928</v>
      </c>
      <c r="B8875" s="26" t="s">
        <v>16929</v>
      </c>
      <c r="C8875" s="52"/>
      <c r="D8875" s="55">
        <f t="shared" si="138"/>
        <v>0</v>
      </c>
      <c r="E8875" s="63" t="str">
        <f>HYPERLINK("https://www.sds-group.ru/product/udlinitel-telefonnyy-ploskiy-rj-11-6p-4c-20m-belyy-rexant-18-3201/", "Инфо")</f>
        <v>Инфо</v>
      </c>
      <c r="F8875" s="16" t="s">
        <v>39</v>
      </c>
      <c r="G8875" s="15"/>
      <c r="H8875" s="15"/>
      <c r="I8875" s="15"/>
      <c r="J8875" s="17">
        <v>799</v>
      </c>
      <c r="K8875" s="15"/>
      <c r="L8875" s="17">
        <v>10</v>
      </c>
      <c r="M8875" s="17">
        <v>50</v>
      </c>
      <c r="N8875" s="17">
        <v>10</v>
      </c>
      <c r="O8875" s="18">
        <v>583.19000000000005</v>
      </c>
      <c r="P8875" s="18">
        <v>478.02</v>
      </c>
      <c r="Q8875" s="18">
        <v>466.55</v>
      </c>
      <c r="R8875" s="18">
        <v>382.42</v>
      </c>
      <c r="S8875" s="18">
        <v>396.57</v>
      </c>
      <c r="T8875" s="18">
        <v>325.06</v>
      </c>
      <c r="U8875" s="16"/>
      <c r="V8875" s="16"/>
      <c r="W8875" s="16" t="s">
        <v>40</v>
      </c>
      <c r="X8875" s="19">
        <v>0.27600000000000002</v>
      </c>
      <c r="Y8875" s="20">
        <v>6.5099999999999999E-4</v>
      </c>
      <c r="Z8875" s="21">
        <v>4610003605476</v>
      </c>
    </row>
    <row r="8876" spans="1:26" ht="12" customHeight="1" outlineLevel="4" x14ac:dyDescent="0.2">
      <c r="A8876" s="14" t="s">
        <v>16930</v>
      </c>
      <c r="B8876" s="26" t="s">
        <v>16931</v>
      </c>
      <c r="C8876" s="52"/>
      <c r="D8876" s="55">
        <f t="shared" si="138"/>
        <v>0</v>
      </c>
      <c r="E8876" s="63" t="str">
        <f>HYPERLINK("https://www.sds-group.ru/product/udlinitel-telefonnyy-ploskiy-rj-11-6p-4c-2m-belyy-rexant-18-3021/", "Инфо")</f>
        <v>Инфо</v>
      </c>
      <c r="F8876" s="16" t="s">
        <v>39</v>
      </c>
      <c r="G8876" s="15"/>
      <c r="H8876" s="15"/>
      <c r="I8876" s="15"/>
      <c r="J8876" s="22">
        <v>3848</v>
      </c>
      <c r="K8876" s="15" t="s">
        <v>998</v>
      </c>
      <c r="L8876" s="17">
        <v>10</v>
      </c>
      <c r="M8876" s="17">
        <v>400</v>
      </c>
      <c r="N8876" s="17">
        <v>10</v>
      </c>
      <c r="O8876" s="18">
        <v>75.959999999999994</v>
      </c>
      <c r="P8876" s="18">
        <v>62.26</v>
      </c>
      <c r="Q8876" s="18">
        <v>64.569999999999993</v>
      </c>
      <c r="R8876" s="18">
        <v>52.93</v>
      </c>
      <c r="S8876" s="18">
        <v>51.65</v>
      </c>
      <c r="T8876" s="18">
        <v>42.34</v>
      </c>
      <c r="U8876" s="16"/>
      <c r="V8876" s="16"/>
      <c r="W8876" s="16" t="s">
        <v>40</v>
      </c>
      <c r="X8876" s="19">
        <v>2.9000000000000001E-2</v>
      </c>
      <c r="Y8876" s="20">
        <v>1.0900000000000001E-4</v>
      </c>
      <c r="Z8876" s="21">
        <v>4610003605339</v>
      </c>
    </row>
    <row r="8877" spans="1:26" ht="12" customHeight="1" outlineLevel="4" x14ac:dyDescent="0.2">
      <c r="A8877" s="14" t="s">
        <v>16932</v>
      </c>
      <c r="B8877" s="26" t="s">
        <v>16933</v>
      </c>
      <c r="C8877" s="52"/>
      <c r="D8877" s="55">
        <f t="shared" si="138"/>
        <v>0</v>
      </c>
      <c r="E8877" s="63" t="str">
        <f>HYPERLINK("https://www.sds-group.ru/product/udlinitel-telefonnyy-ploskiy-rj-11-6p-4c-3m-belyy-rexant-18-3031/", "Инфо")</f>
        <v>Инфо</v>
      </c>
      <c r="F8877" s="16" t="s">
        <v>39</v>
      </c>
      <c r="G8877" s="15"/>
      <c r="H8877" s="15"/>
      <c r="I8877" s="15"/>
      <c r="J8877" s="22">
        <v>3951</v>
      </c>
      <c r="K8877" s="15" t="s">
        <v>1035</v>
      </c>
      <c r="L8877" s="17">
        <v>10</v>
      </c>
      <c r="M8877" s="17">
        <v>300</v>
      </c>
      <c r="N8877" s="17">
        <v>10</v>
      </c>
      <c r="O8877" s="18">
        <v>103.94</v>
      </c>
      <c r="P8877" s="18">
        <v>85.2</v>
      </c>
      <c r="Q8877" s="18">
        <v>88.35</v>
      </c>
      <c r="R8877" s="18">
        <v>72.42</v>
      </c>
      <c r="S8877" s="18">
        <v>70.680000000000007</v>
      </c>
      <c r="T8877" s="18">
        <v>57.93</v>
      </c>
      <c r="U8877" s="16"/>
      <c r="V8877" s="16"/>
      <c r="W8877" s="16" t="s">
        <v>40</v>
      </c>
      <c r="X8877" s="19">
        <v>4.2999999999999997E-2</v>
      </c>
      <c r="Y8877" s="20">
        <v>1.17E-4</v>
      </c>
      <c r="Z8877" s="21">
        <v>4610003605360</v>
      </c>
    </row>
    <row r="8878" spans="1:26" ht="12" customHeight="1" outlineLevel="4" x14ac:dyDescent="0.2">
      <c r="A8878" s="14" t="s">
        <v>16934</v>
      </c>
      <c r="B8878" s="26" t="s">
        <v>16935</v>
      </c>
      <c r="C8878" s="52"/>
      <c r="D8878" s="55">
        <f t="shared" si="138"/>
        <v>0</v>
      </c>
      <c r="E8878" s="63" t="str">
        <f>HYPERLINK("https://www.sds-group.ru/product/udlinitel-telefonnyy-ploskiy-rj-11-6p-4c-5m-belyy-rexant-18-3051/", "Инфо")</f>
        <v>Инфо</v>
      </c>
      <c r="F8878" s="16" t="s">
        <v>39</v>
      </c>
      <c r="G8878" s="15"/>
      <c r="H8878" s="15"/>
      <c r="I8878" s="15"/>
      <c r="J8878" s="17">
        <v>897</v>
      </c>
      <c r="K8878" s="15" t="s">
        <v>1004</v>
      </c>
      <c r="L8878" s="17">
        <v>10</v>
      </c>
      <c r="M8878" s="17">
        <v>200</v>
      </c>
      <c r="N8878" s="17">
        <v>10</v>
      </c>
      <c r="O8878" s="18">
        <v>159.37</v>
      </c>
      <c r="P8878" s="18">
        <v>130.63</v>
      </c>
      <c r="Q8878" s="18">
        <v>135.46</v>
      </c>
      <c r="R8878" s="18">
        <v>111.03</v>
      </c>
      <c r="S8878" s="18">
        <v>108.37</v>
      </c>
      <c r="T8878" s="18">
        <v>88.83</v>
      </c>
      <c r="U8878" s="16"/>
      <c r="V8878" s="16"/>
      <c r="W8878" s="16" t="s">
        <v>40</v>
      </c>
      <c r="X8878" s="19">
        <v>6.8000000000000005E-2</v>
      </c>
      <c r="Y8878" s="20">
        <v>1.92E-4</v>
      </c>
      <c r="Z8878" s="21">
        <v>4610003605391</v>
      </c>
    </row>
    <row r="8879" spans="1:26" ht="12" customHeight="1" outlineLevel="4" x14ac:dyDescent="0.2">
      <c r="A8879" s="14" t="s">
        <v>16936</v>
      </c>
      <c r="B8879" s="26" t="s">
        <v>16937</v>
      </c>
      <c r="C8879" s="52"/>
      <c r="D8879" s="55">
        <f t="shared" si="138"/>
        <v>0</v>
      </c>
      <c r="E8879" s="63" t="str">
        <f>HYPERLINK("https://www.sds-group.ru/product/udlinitel-telefonnyy-ploskiy-rj-11-6p-4c-7m-belyy-rexant-18-3071/", "Инфо")</f>
        <v>Инфо</v>
      </c>
      <c r="F8879" s="16" t="s">
        <v>39</v>
      </c>
      <c r="G8879" s="15"/>
      <c r="H8879" s="15"/>
      <c r="I8879" s="15"/>
      <c r="J8879" s="17">
        <v>840</v>
      </c>
      <c r="K8879" s="15" t="s">
        <v>1035</v>
      </c>
      <c r="L8879" s="17">
        <v>5</v>
      </c>
      <c r="M8879" s="17">
        <v>150</v>
      </c>
      <c r="N8879" s="17">
        <v>5</v>
      </c>
      <c r="O8879" s="18">
        <v>250.43</v>
      </c>
      <c r="P8879" s="18">
        <v>205.27</v>
      </c>
      <c r="Q8879" s="18">
        <v>212.87</v>
      </c>
      <c r="R8879" s="18">
        <v>174.48</v>
      </c>
      <c r="S8879" s="18">
        <v>170.29</v>
      </c>
      <c r="T8879" s="18">
        <v>139.58000000000001</v>
      </c>
      <c r="U8879" s="16"/>
      <c r="V8879" s="16"/>
      <c r="W8879" s="16" t="s">
        <v>40</v>
      </c>
      <c r="X8879" s="19">
        <v>0.1</v>
      </c>
      <c r="Y8879" s="20">
        <v>2.5099999999999998E-4</v>
      </c>
      <c r="Z8879" s="21">
        <v>4610003605414</v>
      </c>
    </row>
    <row r="8880" spans="1:26" ht="12" customHeight="1" outlineLevel="4" x14ac:dyDescent="0.2">
      <c r="A8880" s="14" t="s">
        <v>16938</v>
      </c>
      <c r="B8880" s="26" t="s">
        <v>16939</v>
      </c>
      <c r="C8880" s="52"/>
      <c r="D8880" s="55">
        <f t="shared" si="138"/>
        <v>0</v>
      </c>
      <c r="E8880" s="63" t="str">
        <f>HYPERLINK("https://www.sds-group.ru/product/shnur-dlya-telefonnoy-trubki-vitoy-rj-10-4p-4c-2m-belyy-rexant-18-2021/", "Инфо")</f>
        <v>Инфо</v>
      </c>
      <c r="F8880" s="16" t="s">
        <v>39</v>
      </c>
      <c r="G8880" s="15"/>
      <c r="H8880" s="15"/>
      <c r="I8880" s="15"/>
      <c r="J8880" s="22">
        <v>11286</v>
      </c>
      <c r="K8880" s="15"/>
      <c r="L8880" s="17">
        <v>10</v>
      </c>
      <c r="M8880" s="17">
        <v>300</v>
      </c>
      <c r="N8880" s="17">
        <v>10</v>
      </c>
      <c r="O8880" s="18">
        <v>100.69</v>
      </c>
      <c r="P8880" s="18">
        <v>82.53</v>
      </c>
      <c r="Q8880" s="18">
        <v>85.59</v>
      </c>
      <c r="R8880" s="18">
        <v>70.16</v>
      </c>
      <c r="S8880" s="18">
        <v>68.47</v>
      </c>
      <c r="T8880" s="18">
        <v>56.12</v>
      </c>
      <c r="U8880" s="16"/>
      <c r="V8880" s="16"/>
      <c r="W8880" s="16" t="s">
        <v>40</v>
      </c>
      <c r="X8880" s="19">
        <v>3.1E-2</v>
      </c>
      <c r="Y8880" s="20">
        <v>1.07E-4</v>
      </c>
      <c r="Z8880" s="21">
        <v>4610003605513</v>
      </c>
    </row>
    <row r="8881" spans="1:26" ht="12" customHeight="1" outlineLevel="4" x14ac:dyDescent="0.2">
      <c r="A8881" s="14" t="s">
        <v>16940</v>
      </c>
      <c r="B8881" s="26" t="s">
        <v>16941</v>
      </c>
      <c r="C8881" s="52"/>
      <c r="D8881" s="55">
        <f t="shared" si="138"/>
        <v>0</v>
      </c>
      <c r="E8881" s="63" t="str">
        <f>HYPERLINK("https://www.sds-group.ru/product/shnur-dlya-telefonnoy-trubki-vitoy-rj-10-4p-4c-2m-chernyy-rexant-18-2023/", "Инфо")</f>
        <v>Инфо</v>
      </c>
      <c r="F8881" s="16" t="s">
        <v>39</v>
      </c>
      <c r="G8881" s="15"/>
      <c r="H8881" s="15"/>
      <c r="I8881" s="15"/>
      <c r="J8881" s="22">
        <v>25694</v>
      </c>
      <c r="K8881" s="15" t="s">
        <v>998</v>
      </c>
      <c r="L8881" s="17">
        <v>10</v>
      </c>
      <c r="M8881" s="17">
        <v>300</v>
      </c>
      <c r="N8881" s="17">
        <v>10</v>
      </c>
      <c r="O8881" s="18">
        <v>100.59</v>
      </c>
      <c r="P8881" s="18">
        <v>82.45</v>
      </c>
      <c r="Q8881" s="18">
        <v>85.5</v>
      </c>
      <c r="R8881" s="18">
        <v>70.08</v>
      </c>
      <c r="S8881" s="18">
        <v>68.400000000000006</v>
      </c>
      <c r="T8881" s="18">
        <v>56.07</v>
      </c>
      <c r="U8881" s="16"/>
      <c r="V8881" s="16"/>
      <c r="W8881" s="16" t="s">
        <v>40</v>
      </c>
      <c r="X8881" s="19">
        <v>2.9000000000000001E-2</v>
      </c>
      <c r="Y8881" s="20">
        <v>1.06E-4</v>
      </c>
      <c r="Z8881" s="21">
        <v>4610003605537</v>
      </c>
    </row>
    <row r="8882" spans="1:26" ht="12" customHeight="1" outlineLevel="4" x14ac:dyDescent="0.2">
      <c r="A8882" s="14" t="s">
        <v>16942</v>
      </c>
      <c r="B8882" s="26" t="s">
        <v>16943</v>
      </c>
      <c r="C8882" s="52"/>
      <c r="D8882" s="55">
        <f t="shared" si="138"/>
        <v>0</v>
      </c>
      <c r="E8882" s="63" t="str">
        <f>HYPERLINK("https://www.sds-group.ru/product/shnur-dlya-telefonnoy-trubki-vitoy-rj-10-4p-4c-4m-belyy-rexant-18-2041/", "Инфо")</f>
        <v>Инфо</v>
      </c>
      <c r="F8882" s="16" t="s">
        <v>39</v>
      </c>
      <c r="G8882" s="15"/>
      <c r="H8882" s="15"/>
      <c r="I8882" s="15"/>
      <c r="J8882" s="22">
        <v>1287</v>
      </c>
      <c r="K8882" s="15" t="s">
        <v>995</v>
      </c>
      <c r="L8882" s="17">
        <v>10</v>
      </c>
      <c r="M8882" s="17">
        <v>100</v>
      </c>
      <c r="N8882" s="17">
        <v>10</v>
      </c>
      <c r="O8882" s="18">
        <v>165.57</v>
      </c>
      <c r="P8882" s="18">
        <v>135.71</v>
      </c>
      <c r="Q8882" s="18">
        <v>140.72999999999999</v>
      </c>
      <c r="R8882" s="18">
        <v>115.35</v>
      </c>
      <c r="S8882" s="18">
        <v>112.59</v>
      </c>
      <c r="T8882" s="18">
        <v>92.29</v>
      </c>
      <c r="U8882" s="16"/>
      <c r="V8882" s="16"/>
      <c r="W8882" s="16" t="s">
        <v>40</v>
      </c>
      <c r="X8882" s="19">
        <v>6.0999999999999999E-2</v>
      </c>
      <c r="Y8882" s="20">
        <v>2.43E-4</v>
      </c>
      <c r="Z8882" s="21">
        <v>4610003605544</v>
      </c>
    </row>
    <row r="8883" spans="1:26" ht="12" customHeight="1" outlineLevel="4" x14ac:dyDescent="0.2">
      <c r="A8883" s="14" t="s">
        <v>16944</v>
      </c>
      <c r="B8883" s="26" t="s">
        <v>16945</v>
      </c>
      <c r="C8883" s="52"/>
      <c r="D8883" s="55">
        <f t="shared" si="138"/>
        <v>0</v>
      </c>
      <c r="E8883" s="63" t="str">
        <f>HYPERLINK("https://www.sds-group.ru/product/shnur-dlya-telefonnoy-trubki-vitoy-rj-10-4p-4c-4m-chernyy-rexant-18-2043/", "Инфо")</f>
        <v>Инфо</v>
      </c>
      <c r="F8883" s="16" t="s">
        <v>39</v>
      </c>
      <c r="G8883" s="15"/>
      <c r="H8883" s="15"/>
      <c r="I8883" s="15"/>
      <c r="J8883" s="17">
        <v>925</v>
      </c>
      <c r="K8883" s="15" t="s">
        <v>1266</v>
      </c>
      <c r="L8883" s="17">
        <v>10</v>
      </c>
      <c r="M8883" s="17">
        <v>200</v>
      </c>
      <c r="N8883" s="17">
        <v>10</v>
      </c>
      <c r="O8883" s="18">
        <v>165.57</v>
      </c>
      <c r="P8883" s="18">
        <v>135.71</v>
      </c>
      <c r="Q8883" s="18">
        <v>140.72999999999999</v>
      </c>
      <c r="R8883" s="18">
        <v>115.35</v>
      </c>
      <c r="S8883" s="18">
        <v>112.59</v>
      </c>
      <c r="T8883" s="18">
        <v>92.29</v>
      </c>
      <c r="U8883" s="16"/>
      <c r="V8883" s="16"/>
      <c r="W8883" s="16" t="s">
        <v>40</v>
      </c>
      <c r="X8883" s="19">
        <v>6.0999999999999999E-2</v>
      </c>
      <c r="Y8883" s="20">
        <v>1.9100000000000001E-4</v>
      </c>
      <c r="Z8883" s="21">
        <v>4610003605568</v>
      </c>
    </row>
    <row r="8884" spans="1:26" ht="12" customHeight="1" outlineLevel="4" x14ac:dyDescent="0.2">
      <c r="A8884" s="14" t="s">
        <v>16946</v>
      </c>
      <c r="B8884" s="26" t="s">
        <v>16947</v>
      </c>
      <c r="C8884" s="52"/>
      <c r="D8884" s="55">
        <f t="shared" si="138"/>
        <v>0</v>
      </c>
      <c r="E8884" s="63" t="str">
        <f>HYPERLINK("https://www.sds-group.ru/product/shnur-dlya-telefonnoy-trubki-vitoy-rj-10-4p-4c-7m-belyy-rexant-18-2071/", "Инфо")</f>
        <v>Инфо</v>
      </c>
      <c r="F8884" s="16" t="s">
        <v>39</v>
      </c>
      <c r="G8884" s="15"/>
      <c r="H8884" s="15"/>
      <c r="I8884" s="15"/>
      <c r="J8884" s="22">
        <v>1005</v>
      </c>
      <c r="K8884" s="15"/>
      <c r="L8884" s="17">
        <v>10</v>
      </c>
      <c r="M8884" s="17">
        <v>100</v>
      </c>
      <c r="N8884" s="17">
        <v>10</v>
      </c>
      <c r="O8884" s="18">
        <v>347.7</v>
      </c>
      <c r="P8884" s="18">
        <v>285</v>
      </c>
      <c r="Q8884" s="18">
        <v>295.55</v>
      </c>
      <c r="R8884" s="18">
        <v>242.25</v>
      </c>
      <c r="S8884" s="18">
        <v>236.44</v>
      </c>
      <c r="T8884" s="18">
        <v>193.8</v>
      </c>
      <c r="U8884" s="16"/>
      <c r="V8884" s="16"/>
      <c r="W8884" s="16" t="s">
        <v>40</v>
      </c>
      <c r="X8884" s="19">
        <v>0.10100000000000001</v>
      </c>
      <c r="Y8884" s="20">
        <v>3.21E-4</v>
      </c>
      <c r="Z8884" s="21">
        <v>4610003605575</v>
      </c>
    </row>
    <row r="8885" spans="1:26" ht="12" customHeight="1" outlineLevel="4" x14ac:dyDescent="0.2">
      <c r="A8885" s="14" t="s">
        <v>16948</v>
      </c>
      <c r="B8885" s="26" t="s">
        <v>16949</v>
      </c>
      <c r="C8885" s="52"/>
      <c r="D8885" s="55">
        <f t="shared" si="138"/>
        <v>0</v>
      </c>
      <c r="E8885" s="63" t="str">
        <f>HYPERLINK("https://www.sds-group.ru/product/shnur-dlya-telefonnoy-trubki-vitoy-rj-10-4p-4c-7m-chernyy-rexant-18-2073/", "Инфо")</f>
        <v>Инфо</v>
      </c>
      <c r="F8885" s="16" t="s">
        <v>39</v>
      </c>
      <c r="G8885" s="15"/>
      <c r="H8885" s="15"/>
      <c r="I8885" s="15"/>
      <c r="J8885" s="22">
        <v>1669</v>
      </c>
      <c r="K8885" s="15" t="s">
        <v>1004</v>
      </c>
      <c r="L8885" s="17">
        <v>10</v>
      </c>
      <c r="M8885" s="17">
        <v>100</v>
      </c>
      <c r="N8885" s="17">
        <v>10</v>
      </c>
      <c r="O8885" s="18">
        <v>347.7</v>
      </c>
      <c r="P8885" s="18">
        <v>285</v>
      </c>
      <c r="Q8885" s="18">
        <v>295.55</v>
      </c>
      <c r="R8885" s="18">
        <v>242.25</v>
      </c>
      <c r="S8885" s="18">
        <v>236.44</v>
      </c>
      <c r="T8885" s="18">
        <v>193.8</v>
      </c>
      <c r="U8885" s="16"/>
      <c r="V8885" s="16"/>
      <c r="W8885" s="16" t="s">
        <v>40</v>
      </c>
      <c r="X8885" s="19">
        <v>9.8000000000000004E-2</v>
      </c>
      <c r="Y8885" s="20">
        <v>3.1300000000000002E-4</v>
      </c>
      <c r="Z8885" s="21">
        <v>4610003605605</v>
      </c>
    </row>
    <row r="8886" spans="1:26" ht="12.95" customHeight="1" outlineLevel="3" x14ac:dyDescent="0.2">
      <c r="A8886" s="76" t="s">
        <v>16950</v>
      </c>
      <c r="B8886" s="76"/>
      <c r="C8886" s="77"/>
      <c r="D8886" s="58"/>
      <c r="E8886" s="68"/>
      <c r="F8886" s="13"/>
      <c r="G8886" s="13"/>
      <c r="H8886" s="13"/>
      <c r="I8886" s="13"/>
      <c r="J8886" s="13"/>
      <c r="K8886" s="13"/>
      <c r="L8886" s="13"/>
      <c r="M8886" s="13"/>
      <c r="N8886" s="13"/>
      <c r="O8886" s="13"/>
      <c r="P8886" s="13"/>
      <c r="Q8886" s="13"/>
      <c r="R8886" s="13"/>
      <c r="S8886" s="13"/>
      <c r="T8886" s="13"/>
      <c r="U8886" s="13"/>
      <c r="V8886" s="13"/>
      <c r="W8886" s="13"/>
      <c r="X8886" s="13"/>
      <c r="Y8886" s="13"/>
      <c r="Z8886" s="13"/>
    </row>
    <row r="8887" spans="1:26" ht="12" customHeight="1" outlineLevel="4" x14ac:dyDescent="0.2">
      <c r="A8887" s="14" t="s">
        <v>16951</v>
      </c>
      <c r="B8887" s="26" t="s">
        <v>16952</v>
      </c>
      <c r="C8887" s="52"/>
      <c r="D8887" s="55">
        <f t="shared" si="138"/>
        <v>0</v>
      </c>
      <c r="E8887" s="63" t="str">
        <f>HYPERLINK("https://www.sds-group.ru/product/shnur-setevoy-vilka-see-7-7-schuko-razem-iec-320-c5-kabel-3x0-75mm-1-8m-dlya-pitaniya-noutbu-11-1151/", "Инфо")</f>
        <v>Инфо</v>
      </c>
      <c r="F8887" s="16" t="s">
        <v>39</v>
      </c>
      <c r="G8887" s="15"/>
      <c r="H8887" s="15"/>
      <c r="I8887" s="15"/>
      <c r="J8887" s="22">
        <v>2785</v>
      </c>
      <c r="K8887" s="15"/>
      <c r="L8887" s="17">
        <v>10</v>
      </c>
      <c r="M8887" s="17">
        <v>100</v>
      </c>
      <c r="N8887" s="17">
        <v>10</v>
      </c>
      <c r="O8887" s="18">
        <v>820.76</v>
      </c>
      <c r="P8887" s="18">
        <v>672.75</v>
      </c>
      <c r="Q8887" s="18">
        <v>656.61</v>
      </c>
      <c r="R8887" s="18">
        <v>538.20000000000005</v>
      </c>
      <c r="S8887" s="18">
        <v>558.12</v>
      </c>
      <c r="T8887" s="18">
        <v>457.48</v>
      </c>
      <c r="U8887" s="16"/>
      <c r="V8887" s="16"/>
      <c r="W8887" s="16" t="s">
        <v>40</v>
      </c>
      <c r="X8887" s="19">
        <v>0.19</v>
      </c>
      <c r="Y8887" s="20">
        <v>1.9999999999999999E-6</v>
      </c>
      <c r="Z8887" s="21">
        <v>4610003608750</v>
      </c>
    </row>
    <row r="8888" spans="1:26" ht="12" customHeight="1" outlineLevel="4" x14ac:dyDescent="0.2">
      <c r="A8888" s="32" t="s">
        <v>16953</v>
      </c>
      <c r="B8888" s="74" t="s">
        <v>16954</v>
      </c>
      <c r="C8888" s="50"/>
      <c r="D8888" s="53">
        <f t="shared" si="138"/>
        <v>0</v>
      </c>
      <c r="E8888" s="60" t="str">
        <f>HYPERLINK("https://www.sds-group.ru/product/shnur-setevoy-evrovilka-evrorazem-s5-kabel-3x0-5mm-0-75m-dlya-pitaniya-noutbuka-paket-pvh-re-11-1153/", "Инфо")</f>
        <v>Инфо</v>
      </c>
      <c r="F8888" s="34" t="s">
        <v>39</v>
      </c>
      <c r="G8888" s="33"/>
      <c r="H8888" s="33" t="s">
        <v>40</v>
      </c>
      <c r="I8888" s="33"/>
      <c r="J8888" s="35">
        <v>1</v>
      </c>
      <c r="K8888" s="33"/>
      <c r="L8888" s="35">
        <v>1</v>
      </c>
      <c r="M8888" s="35">
        <v>200</v>
      </c>
      <c r="N8888" s="35">
        <v>1</v>
      </c>
      <c r="O8888" s="36">
        <v>164.94</v>
      </c>
      <c r="P8888" s="36">
        <v>135.19999999999999</v>
      </c>
      <c r="Q8888" s="36">
        <v>115.46</v>
      </c>
      <c r="R8888" s="36">
        <v>94.64</v>
      </c>
      <c r="S8888" s="36">
        <v>112.16</v>
      </c>
      <c r="T8888" s="36">
        <v>91.93</v>
      </c>
      <c r="U8888" s="34"/>
      <c r="V8888" s="34"/>
      <c r="W8888" s="34"/>
      <c r="X8888" s="37">
        <v>0.11</v>
      </c>
      <c r="Y8888" s="38">
        <v>6.2299999999999996E-4</v>
      </c>
      <c r="Z8888" s="21">
        <v>4601004297906</v>
      </c>
    </row>
    <row r="8889" spans="1:26" ht="12" customHeight="1" outlineLevel="4" x14ac:dyDescent="0.2">
      <c r="A8889" s="32" t="s">
        <v>16955</v>
      </c>
      <c r="B8889" s="74" t="s">
        <v>16956</v>
      </c>
      <c r="C8889" s="50"/>
      <c r="D8889" s="53">
        <f t="shared" si="138"/>
        <v>0</v>
      </c>
      <c r="E8889" s="60" t="str">
        <f>HYPERLINK("https://www.sds-group.ru/product/shnur-setevoy-evrovilka-evrorazem-s5-kabel-3x0-5mm-1-8m-dlya-pitaniya-noutbuka-paket-pvh-rex-11-1154/", "Инфо")</f>
        <v>Инфо</v>
      </c>
      <c r="F8889" s="34" t="s">
        <v>39</v>
      </c>
      <c r="G8889" s="33"/>
      <c r="H8889" s="33" t="s">
        <v>40</v>
      </c>
      <c r="I8889" s="33"/>
      <c r="J8889" s="34" t="s">
        <v>100</v>
      </c>
      <c r="K8889" s="33"/>
      <c r="L8889" s="35">
        <v>1</v>
      </c>
      <c r="M8889" s="35">
        <v>100</v>
      </c>
      <c r="N8889" s="35">
        <v>1</v>
      </c>
      <c r="O8889" s="36">
        <v>228.83</v>
      </c>
      <c r="P8889" s="36">
        <v>187.57</v>
      </c>
      <c r="Q8889" s="36">
        <v>160.18</v>
      </c>
      <c r="R8889" s="36">
        <v>131.30000000000001</v>
      </c>
      <c r="S8889" s="36">
        <v>155.6</v>
      </c>
      <c r="T8889" s="36">
        <v>127.54</v>
      </c>
      <c r="U8889" s="34"/>
      <c r="V8889" s="34"/>
      <c r="W8889" s="34"/>
      <c r="X8889" s="37">
        <v>0.187</v>
      </c>
      <c r="Y8889" s="38">
        <v>4.08E-4</v>
      </c>
      <c r="Z8889" s="21">
        <v>4601004297913</v>
      </c>
    </row>
    <row r="8890" spans="1:26" ht="12" customHeight="1" outlineLevel="4" x14ac:dyDescent="0.2">
      <c r="A8890" s="32" t="s">
        <v>16957</v>
      </c>
      <c r="B8890" s="74" t="s">
        <v>16958</v>
      </c>
      <c r="C8890" s="50"/>
      <c r="D8890" s="53">
        <f t="shared" si="138"/>
        <v>0</v>
      </c>
      <c r="E8890" s="60" t="str">
        <f>HYPERLINK("https://www.sds-group.ru/product/shnur-setevoy-evrovilka-evrorazem-s5-kabel-3x0-5mm-3m-dlya-pitaniya-noutbuka-paket-pvh-rexan-11-1155/", "Инфо")</f>
        <v>Инфо</v>
      </c>
      <c r="F8890" s="34" t="s">
        <v>39</v>
      </c>
      <c r="G8890" s="33"/>
      <c r="H8890" s="33" t="s">
        <v>40</v>
      </c>
      <c r="I8890" s="33"/>
      <c r="J8890" s="35">
        <v>802</v>
      </c>
      <c r="K8890" s="33"/>
      <c r="L8890" s="35">
        <v>1</v>
      </c>
      <c r="M8890" s="35">
        <v>80</v>
      </c>
      <c r="N8890" s="35">
        <v>1</v>
      </c>
      <c r="O8890" s="36">
        <v>247.13</v>
      </c>
      <c r="P8890" s="36">
        <v>202.57</v>
      </c>
      <c r="Q8890" s="36">
        <v>172.99</v>
      </c>
      <c r="R8890" s="36">
        <v>141.80000000000001</v>
      </c>
      <c r="S8890" s="36">
        <v>168.05</v>
      </c>
      <c r="T8890" s="36">
        <v>137.75</v>
      </c>
      <c r="U8890" s="34"/>
      <c r="V8890" s="34"/>
      <c r="W8890" s="34"/>
      <c r="X8890" s="37">
        <v>0.26800000000000002</v>
      </c>
      <c r="Y8890" s="38">
        <v>4.8200000000000001E-4</v>
      </c>
      <c r="Z8890" s="21">
        <v>4601004297883</v>
      </c>
    </row>
    <row r="8891" spans="1:26" ht="12" customHeight="1" outlineLevel="4" x14ac:dyDescent="0.2">
      <c r="A8891" s="32" t="s">
        <v>16959</v>
      </c>
      <c r="B8891" s="74" t="s">
        <v>16960</v>
      </c>
      <c r="C8891" s="50"/>
      <c r="D8891" s="53">
        <f t="shared" si="138"/>
        <v>0</v>
      </c>
      <c r="E8891" s="60" t="str">
        <f>HYPERLINK("https://www.sds-group.ru/product/shnur-setevoy-evrovilka-evrorazem-s5-kabel-3x0-75mm-3m-dlya-pitaniya-noutbuka-paket-pvh-rexa-11-1152/", "Инфо")</f>
        <v>Инфо</v>
      </c>
      <c r="F8891" s="34" t="s">
        <v>39</v>
      </c>
      <c r="G8891" s="33"/>
      <c r="H8891" s="33" t="s">
        <v>40</v>
      </c>
      <c r="I8891" s="33"/>
      <c r="J8891" s="35">
        <v>514</v>
      </c>
      <c r="K8891" s="33"/>
      <c r="L8891" s="35">
        <v>1</v>
      </c>
      <c r="M8891" s="35">
        <v>80</v>
      </c>
      <c r="N8891" s="35">
        <v>1</v>
      </c>
      <c r="O8891" s="36">
        <v>312.63</v>
      </c>
      <c r="P8891" s="36">
        <v>256.25</v>
      </c>
      <c r="Q8891" s="36">
        <v>250.1</v>
      </c>
      <c r="R8891" s="36">
        <v>205</v>
      </c>
      <c r="S8891" s="36">
        <v>212.59</v>
      </c>
      <c r="T8891" s="36">
        <v>174.25</v>
      </c>
      <c r="U8891" s="34"/>
      <c r="V8891" s="34"/>
      <c r="W8891" s="34" t="s">
        <v>40</v>
      </c>
      <c r="X8891" s="37">
        <v>0.27400000000000002</v>
      </c>
      <c r="Y8891" s="38">
        <v>5.8799999999999998E-4</v>
      </c>
      <c r="Z8891" s="21">
        <v>4601004297876</v>
      </c>
    </row>
    <row r="8892" spans="1:26" ht="12.95" customHeight="1" outlineLevel="3" x14ac:dyDescent="0.2">
      <c r="A8892" s="76" t="s">
        <v>16961</v>
      </c>
      <c r="B8892" s="76"/>
      <c r="C8892" s="77"/>
      <c r="D8892" s="58"/>
      <c r="E8892" s="68"/>
      <c r="F8892" s="13"/>
      <c r="G8892" s="13"/>
      <c r="H8892" s="13"/>
      <c r="I8892" s="13"/>
      <c r="J8892" s="13"/>
      <c r="K8892" s="13"/>
      <c r="L8892" s="13"/>
      <c r="M8892" s="13"/>
      <c r="N8892" s="13"/>
      <c r="O8892" s="13"/>
      <c r="P8892" s="13"/>
      <c r="Q8892" s="13"/>
      <c r="R8892" s="13"/>
      <c r="S8892" s="13"/>
      <c r="T8892" s="13"/>
      <c r="U8892" s="13"/>
      <c r="V8892" s="13"/>
      <c r="W8892" s="13"/>
      <c r="X8892" s="13"/>
      <c r="Y8892" s="13"/>
      <c r="Z8892" s="13"/>
    </row>
    <row r="8893" spans="1:26" ht="12" customHeight="1" outlineLevel="4" x14ac:dyDescent="0.2">
      <c r="A8893" s="14" t="s">
        <v>16962</v>
      </c>
      <c r="B8893" s="26" t="s">
        <v>16963</v>
      </c>
      <c r="C8893" s="52"/>
      <c r="D8893" s="55">
        <f t="shared" si="138"/>
        <v>0</v>
      </c>
      <c r="E8893" s="63" t="str">
        <f>HYPERLINK("https://www.sds-group.ru/product/shnur-setevoy-vilka-see-7-16-razem-iec-320-c7-kabel-2x0-5-mm-dlina-1-5-metra-pe-paket-smar-11-1101-8/", "Инфо")</f>
        <v>Инфо</v>
      </c>
      <c r="F8893" s="16" t="s">
        <v>39</v>
      </c>
      <c r="G8893" s="15"/>
      <c r="H8893" s="15"/>
      <c r="I8893" s="15"/>
      <c r="J8893" s="22">
        <v>5591</v>
      </c>
      <c r="K8893" s="15"/>
      <c r="L8893" s="17">
        <v>10</v>
      </c>
      <c r="M8893" s="17">
        <v>250</v>
      </c>
      <c r="N8893" s="17">
        <v>10</v>
      </c>
      <c r="O8893" s="18">
        <v>127.72</v>
      </c>
      <c r="P8893" s="18">
        <v>104.69</v>
      </c>
      <c r="Q8893" s="18">
        <v>108.56</v>
      </c>
      <c r="R8893" s="18">
        <v>88.98</v>
      </c>
      <c r="S8893" s="18">
        <v>86.85</v>
      </c>
      <c r="T8893" s="18">
        <v>71.19</v>
      </c>
      <c r="U8893" s="16"/>
      <c r="V8893" s="16"/>
      <c r="W8893" s="16" t="s">
        <v>40</v>
      </c>
      <c r="X8893" s="19">
        <v>6.0999999999999999E-2</v>
      </c>
      <c r="Y8893" s="20">
        <v>1.46E-4</v>
      </c>
      <c r="Z8893" s="21">
        <v>4601004257627</v>
      </c>
    </row>
    <row r="8894" spans="1:26" ht="12" customHeight="1" outlineLevel="4" x14ac:dyDescent="0.2">
      <c r="A8894" s="14" t="s">
        <v>16964</v>
      </c>
      <c r="B8894" s="26" t="s">
        <v>16965</v>
      </c>
      <c r="C8894" s="52"/>
      <c r="D8894" s="55">
        <f t="shared" si="138"/>
        <v>0</v>
      </c>
      <c r="E8894" s="63" t="str">
        <f>HYPERLINK("https://www.sds-group.ru/product/shnur-setevoy-vilka-see-7-16-razem-iec-320-c7-kabel-2x0-5-mm-dlina-1-8-metra-pe-paket-rexant-11-1101/", "Инфо")</f>
        <v>Инфо</v>
      </c>
      <c r="F8894" s="16" t="s">
        <v>39</v>
      </c>
      <c r="G8894" s="15"/>
      <c r="H8894" s="15"/>
      <c r="I8894" s="15"/>
      <c r="J8894" s="22">
        <v>21442</v>
      </c>
      <c r="K8894" s="15" t="s">
        <v>3762</v>
      </c>
      <c r="L8894" s="17">
        <v>10</v>
      </c>
      <c r="M8894" s="17">
        <v>250</v>
      </c>
      <c r="N8894" s="17">
        <v>10</v>
      </c>
      <c r="O8894" s="18">
        <v>129.36000000000001</v>
      </c>
      <c r="P8894" s="18">
        <v>106.03</v>
      </c>
      <c r="Q8894" s="18">
        <v>90.55</v>
      </c>
      <c r="R8894" s="18">
        <v>74.22</v>
      </c>
      <c r="S8894" s="18">
        <v>87.96</v>
      </c>
      <c r="T8894" s="18">
        <v>72.099999999999994</v>
      </c>
      <c r="U8894" s="16"/>
      <c r="V8894" s="16"/>
      <c r="W8894" s="16"/>
      <c r="X8894" s="19">
        <v>8.3000000000000004E-2</v>
      </c>
      <c r="Y8894" s="20">
        <v>2.4399999999999999E-4</v>
      </c>
      <c r="Z8894" s="21">
        <v>4660008015626</v>
      </c>
    </row>
    <row r="8895" spans="1:26" ht="12" customHeight="1" outlineLevel="4" x14ac:dyDescent="0.2">
      <c r="A8895" s="14" t="s">
        <v>16966</v>
      </c>
      <c r="B8895" s="26" t="s">
        <v>16967</v>
      </c>
      <c r="C8895" s="52"/>
      <c r="D8895" s="55">
        <f t="shared" si="138"/>
        <v>0</v>
      </c>
      <c r="E8895" s="63" t="str">
        <f>HYPERLINK("https://www.sds-group.ru/product/shnur-setevoy-vilka-see-7-16-razem-iec-320-c7-kabel-2x0-5-mm-dlina-3-metra-pe-paket-rexant-11-1105/", "Инфо")</f>
        <v>Инфо</v>
      </c>
      <c r="F8895" s="16" t="s">
        <v>39</v>
      </c>
      <c r="G8895" s="15"/>
      <c r="H8895" s="15"/>
      <c r="I8895" s="15"/>
      <c r="J8895" s="22">
        <v>3300</v>
      </c>
      <c r="K8895" s="15" t="s">
        <v>3762</v>
      </c>
      <c r="L8895" s="17">
        <v>10</v>
      </c>
      <c r="M8895" s="17">
        <v>200</v>
      </c>
      <c r="N8895" s="17">
        <v>10</v>
      </c>
      <c r="O8895" s="18">
        <v>300.05</v>
      </c>
      <c r="P8895" s="18">
        <v>245.94</v>
      </c>
      <c r="Q8895" s="18">
        <v>255.04</v>
      </c>
      <c r="R8895" s="18">
        <v>209.05</v>
      </c>
      <c r="S8895" s="18">
        <v>204.03</v>
      </c>
      <c r="T8895" s="18">
        <v>167.24</v>
      </c>
      <c r="U8895" s="16"/>
      <c r="V8895" s="16"/>
      <c r="W8895" s="16" t="s">
        <v>40</v>
      </c>
      <c r="X8895" s="19">
        <v>0.11899999999999999</v>
      </c>
      <c r="Y8895" s="20">
        <v>2.7500000000000002E-4</v>
      </c>
      <c r="Z8895" s="21">
        <v>4660008018177</v>
      </c>
    </row>
    <row r="8896" spans="1:26" ht="12" customHeight="1" outlineLevel="4" x14ac:dyDescent="0.2">
      <c r="A8896" s="14" t="s">
        <v>16968</v>
      </c>
      <c r="B8896" s="26" t="s">
        <v>16969</v>
      </c>
      <c r="C8896" s="52"/>
      <c r="D8896" s="55">
        <f t="shared" si="138"/>
        <v>0</v>
      </c>
      <c r="E8896" s="63" t="str">
        <f>HYPERLINK("https://www.sds-group.ru/product/shnur-setevoy-vilka-see-7-16-razem-iec-320-c7-kabel-2x0-5-mm-dlina-5-metrov-pe-paket-rexant-11-1106/", "Инфо")</f>
        <v>Инфо</v>
      </c>
      <c r="F8896" s="16" t="s">
        <v>39</v>
      </c>
      <c r="G8896" s="15"/>
      <c r="H8896" s="15"/>
      <c r="I8896" s="15"/>
      <c r="J8896" s="17">
        <v>246</v>
      </c>
      <c r="K8896" s="15" t="s">
        <v>1277</v>
      </c>
      <c r="L8896" s="17">
        <v>10</v>
      </c>
      <c r="M8896" s="17">
        <v>100</v>
      </c>
      <c r="N8896" s="17">
        <v>10</v>
      </c>
      <c r="O8896" s="18">
        <v>345.69</v>
      </c>
      <c r="P8896" s="18">
        <v>283.35000000000002</v>
      </c>
      <c r="Q8896" s="18">
        <v>241.98</v>
      </c>
      <c r="R8896" s="18">
        <v>198.34</v>
      </c>
      <c r="S8896" s="18">
        <v>235.07</v>
      </c>
      <c r="T8896" s="18">
        <v>192.68</v>
      </c>
      <c r="U8896" s="16"/>
      <c r="V8896" s="16"/>
      <c r="W8896" s="16"/>
      <c r="X8896" s="19">
        <v>0.17599999999999999</v>
      </c>
      <c r="Y8896" s="20">
        <v>4.06E-4</v>
      </c>
      <c r="Z8896" s="21">
        <v>4660008018184</v>
      </c>
    </row>
    <row r="8897" spans="1:26" ht="12" customHeight="1" outlineLevel="4" x14ac:dyDescent="0.2">
      <c r="A8897" s="14" t="s">
        <v>16970</v>
      </c>
      <c r="B8897" s="26" t="s">
        <v>16971</v>
      </c>
      <c r="C8897" s="52"/>
      <c r="D8897" s="55">
        <f t="shared" si="138"/>
        <v>0</v>
      </c>
      <c r="E8897" s="63" t="str">
        <f>HYPERLINK("https://www.sds-group.ru/product/shnur-setevoy-vilka-see-7-16-razem-iec-320-c7-kabel-2x0-75-mm-dlina-1-8-metra-pe-paket-rexan-11-1102/", "Инфо")</f>
        <v>Инфо</v>
      </c>
      <c r="F8897" s="16" t="s">
        <v>39</v>
      </c>
      <c r="G8897" s="15"/>
      <c r="H8897" s="15"/>
      <c r="I8897" s="15"/>
      <c r="J8897" s="22">
        <v>6752</v>
      </c>
      <c r="K8897" s="15" t="s">
        <v>1277</v>
      </c>
      <c r="L8897" s="17">
        <v>10</v>
      </c>
      <c r="M8897" s="17">
        <v>200</v>
      </c>
      <c r="N8897" s="17">
        <v>10</v>
      </c>
      <c r="O8897" s="18">
        <v>238.18</v>
      </c>
      <c r="P8897" s="18">
        <v>195.23</v>
      </c>
      <c r="Q8897" s="18">
        <v>202.45</v>
      </c>
      <c r="R8897" s="18">
        <v>165.94</v>
      </c>
      <c r="S8897" s="18">
        <v>161.96</v>
      </c>
      <c r="T8897" s="18">
        <v>132.75</v>
      </c>
      <c r="U8897" s="16"/>
      <c r="V8897" s="16"/>
      <c r="W8897" s="16" t="s">
        <v>40</v>
      </c>
      <c r="X8897" s="19">
        <v>9.1999999999999998E-2</v>
      </c>
      <c r="Y8897" s="20">
        <v>2.9E-4</v>
      </c>
      <c r="Z8897" s="21">
        <v>4610003604042</v>
      </c>
    </row>
    <row r="8898" spans="1:26" ht="12" customHeight="1" outlineLevel="4" x14ac:dyDescent="0.2">
      <c r="A8898" s="14" t="s">
        <v>16972</v>
      </c>
      <c r="B8898" s="26" t="s">
        <v>16973</v>
      </c>
      <c r="C8898" s="52"/>
      <c r="D8898" s="55">
        <f t="shared" si="138"/>
        <v>0</v>
      </c>
      <c r="E8898" s="63" t="str">
        <f>HYPERLINK("https://www.sds-group.ru/product/shnur-setevoy-vilka-see-7-16-razem-iec-320-c7-kabel-2x0-75-mm-dlina-3-metra-pe-paket-rexant-11-1107/", "Инфо")</f>
        <v>Инфо</v>
      </c>
      <c r="F8898" s="16" t="s">
        <v>39</v>
      </c>
      <c r="G8898" s="15"/>
      <c r="H8898" s="15"/>
      <c r="I8898" s="15"/>
      <c r="J8898" s="22">
        <v>1536</v>
      </c>
      <c r="K8898" s="15" t="s">
        <v>1277</v>
      </c>
      <c r="L8898" s="17">
        <v>10</v>
      </c>
      <c r="M8898" s="17">
        <v>100</v>
      </c>
      <c r="N8898" s="17">
        <v>10</v>
      </c>
      <c r="O8898" s="18">
        <v>338.03</v>
      </c>
      <c r="P8898" s="18">
        <v>277.07</v>
      </c>
      <c r="Q8898" s="18">
        <v>287.33</v>
      </c>
      <c r="R8898" s="18">
        <v>235.52</v>
      </c>
      <c r="S8898" s="18">
        <v>229.86</v>
      </c>
      <c r="T8898" s="18">
        <v>188.41</v>
      </c>
      <c r="U8898" s="16"/>
      <c r="V8898" s="16"/>
      <c r="W8898" s="16" t="s">
        <v>40</v>
      </c>
      <c r="X8898" s="19">
        <v>0.14399999999999999</v>
      </c>
      <c r="Y8898" s="20">
        <v>3.6000000000000002E-4</v>
      </c>
      <c r="Z8898" s="21">
        <v>4660008018191</v>
      </c>
    </row>
    <row r="8899" spans="1:26" ht="12" customHeight="1" outlineLevel="4" x14ac:dyDescent="0.2">
      <c r="A8899" s="14" t="s">
        <v>16974</v>
      </c>
      <c r="B8899" s="26" t="s">
        <v>16975</v>
      </c>
      <c r="C8899" s="52"/>
      <c r="D8899" s="55">
        <f t="shared" si="138"/>
        <v>0</v>
      </c>
      <c r="E8899" s="63" t="str">
        <f>HYPERLINK("https://www.sds-group.ru/product/shnur-setevoy-vilka-see-7-16-razem-iec-320-c7-kabel-2x0-75-mm-dlina-5-metrov-pe-paket-rexant-11-1108/", "Инфо")</f>
        <v>Инфо</v>
      </c>
      <c r="F8899" s="16" t="s">
        <v>39</v>
      </c>
      <c r="G8899" s="15"/>
      <c r="H8899" s="15"/>
      <c r="I8899" s="15"/>
      <c r="J8899" s="17">
        <v>829</v>
      </c>
      <c r="K8899" s="15" t="s">
        <v>1277</v>
      </c>
      <c r="L8899" s="17">
        <v>10</v>
      </c>
      <c r="M8899" s="17">
        <v>50</v>
      </c>
      <c r="N8899" s="17">
        <v>10</v>
      </c>
      <c r="O8899" s="18">
        <v>386.14</v>
      </c>
      <c r="P8899" s="18">
        <v>316.51</v>
      </c>
      <c r="Q8899" s="18">
        <v>328.22</v>
      </c>
      <c r="R8899" s="18">
        <v>269.02999999999997</v>
      </c>
      <c r="S8899" s="18">
        <v>262.58</v>
      </c>
      <c r="T8899" s="18">
        <v>215.23</v>
      </c>
      <c r="U8899" s="16"/>
      <c r="V8899" s="16"/>
      <c r="W8899" s="16" t="s">
        <v>40</v>
      </c>
      <c r="X8899" s="19">
        <v>0.19500000000000001</v>
      </c>
      <c r="Y8899" s="20">
        <v>5.0699999999999996E-4</v>
      </c>
      <c r="Z8899" s="21">
        <v>4660008018207</v>
      </c>
    </row>
    <row r="8900" spans="1:26" ht="12" customHeight="1" outlineLevel="4" x14ac:dyDescent="0.2">
      <c r="A8900" s="14" t="s">
        <v>16976</v>
      </c>
      <c r="B8900" s="26" t="s">
        <v>16977</v>
      </c>
      <c r="C8900" s="52"/>
      <c r="D8900" s="55">
        <f t="shared" si="138"/>
        <v>0</v>
      </c>
      <c r="E8900" s="63" t="str">
        <f>HYPERLINK("https://www.sds-group.ru/product/shnur-setevoy-vilka-uglovaya-see-7-16-razem-iec-320-c7-kabel-2x0-5-mm-dlina-1-5-metra-pe-pak-11-1103/", "Инфо")</f>
        <v>Инфо</v>
      </c>
      <c r="F8900" s="16" t="s">
        <v>39</v>
      </c>
      <c r="G8900" s="15"/>
      <c r="H8900" s="15"/>
      <c r="I8900" s="15"/>
      <c r="J8900" s="22">
        <v>1084</v>
      </c>
      <c r="K8900" s="15" t="s">
        <v>1004</v>
      </c>
      <c r="L8900" s="17">
        <v>10</v>
      </c>
      <c r="M8900" s="17">
        <v>250</v>
      </c>
      <c r="N8900" s="17">
        <v>10</v>
      </c>
      <c r="O8900" s="18">
        <v>246.69</v>
      </c>
      <c r="P8900" s="18">
        <v>202.2</v>
      </c>
      <c r="Q8900" s="18">
        <v>209.69</v>
      </c>
      <c r="R8900" s="18">
        <v>171.88</v>
      </c>
      <c r="S8900" s="18">
        <v>167.75</v>
      </c>
      <c r="T8900" s="18">
        <v>137.5</v>
      </c>
      <c r="U8900" s="16"/>
      <c r="V8900" s="16"/>
      <c r="W8900" s="16" t="s">
        <v>40</v>
      </c>
      <c r="X8900" s="19">
        <v>6.7000000000000004E-2</v>
      </c>
      <c r="Y8900" s="20">
        <v>2.6899999999999998E-4</v>
      </c>
      <c r="Z8900" s="21">
        <v>4660008015893</v>
      </c>
    </row>
    <row r="8901" spans="1:26" ht="12" customHeight="1" outlineLevel="4" x14ac:dyDescent="0.2">
      <c r="A8901" s="14" t="s">
        <v>16978</v>
      </c>
      <c r="B8901" s="26" t="s">
        <v>16979</v>
      </c>
      <c r="C8901" s="52"/>
      <c r="D8901" s="55">
        <f t="shared" si="138"/>
        <v>0</v>
      </c>
      <c r="E8901" s="63" t="str">
        <f>HYPERLINK("https://www.sds-group.ru/product/shnur-setevoy-vilka-uglovaya-see-7-16-razem-iec-320-c7-kabel-2x0-75-mm-dlina-1-5-metra-pvc-p-11-1104/", "Инфо")</f>
        <v>Инфо</v>
      </c>
      <c r="F8901" s="16" t="s">
        <v>39</v>
      </c>
      <c r="G8901" s="15"/>
      <c r="H8901" s="15"/>
      <c r="I8901" s="15"/>
      <c r="J8901" s="17">
        <v>524</v>
      </c>
      <c r="K8901" s="15"/>
      <c r="L8901" s="17">
        <v>10</v>
      </c>
      <c r="M8901" s="17">
        <v>200</v>
      </c>
      <c r="N8901" s="17">
        <v>10</v>
      </c>
      <c r="O8901" s="18">
        <v>704.74</v>
      </c>
      <c r="P8901" s="18">
        <v>577.66</v>
      </c>
      <c r="Q8901" s="18">
        <v>563.79</v>
      </c>
      <c r="R8901" s="18">
        <v>462.12</v>
      </c>
      <c r="S8901" s="18">
        <v>479.22</v>
      </c>
      <c r="T8901" s="18">
        <v>392.8</v>
      </c>
      <c r="U8901" s="16"/>
      <c r="V8901" s="16"/>
      <c r="W8901" s="16" t="s">
        <v>40</v>
      </c>
      <c r="X8901" s="19">
        <v>8.3000000000000004E-2</v>
      </c>
      <c r="Y8901" s="20">
        <v>2.61E-4</v>
      </c>
      <c r="Z8901" s="21">
        <v>4660008015794</v>
      </c>
    </row>
    <row r="8902" spans="1:26" ht="12.95" customHeight="1" outlineLevel="3" x14ac:dyDescent="0.2">
      <c r="A8902" s="76" t="s">
        <v>16980</v>
      </c>
      <c r="B8902" s="76"/>
      <c r="C8902" s="77"/>
      <c r="D8902" s="58"/>
      <c r="E8902" s="68"/>
      <c r="F8902" s="13"/>
      <c r="G8902" s="13"/>
      <c r="H8902" s="13"/>
      <c r="I8902" s="13"/>
      <c r="J8902" s="13"/>
      <c r="K8902" s="13"/>
      <c r="L8902" s="13"/>
      <c r="M8902" s="13"/>
      <c r="N8902" s="13"/>
      <c r="O8902" s="13"/>
      <c r="P8902" s="13"/>
      <c r="Q8902" s="13"/>
      <c r="R8902" s="13"/>
      <c r="S8902" s="13"/>
      <c r="T8902" s="13"/>
      <c r="U8902" s="13"/>
      <c r="V8902" s="13"/>
      <c r="W8902" s="13"/>
      <c r="X8902" s="13"/>
      <c r="Y8902" s="13"/>
      <c r="Z8902" s="13"/>
    </row>
    <row r="8903" spans="1:26" ht="12" customHeight="1" outlineLevel="4" x14ac:dyDescent="0.2">
      <c r="A8903" s="14" t="s">
        <v>16981</v>
      </c>
      <c r="B8903" s="26" t="s">
        <v>16982</v>
      </c>
      <c r="C8903" s="52"/>
      <c r="D8903" s="55">
        <f t="shared" si="138"/>
        <v>0</v>
      </c>
      <c r="E8903" s="63" t="str">
        <f>HYPERLINK("https://www.sds-group.ru/product/shnur-setevoy-vilka-uglovaya-see-7-7-schuko-razem-iec-320-c13-kabel-3x0-75-mm-dlina-1-8-metr-11-1121/", "Инфо")</f>
        <v>Инфо</v>
      </c>
      <c r="F8903" s="16" t="s">
        <v>39</v>
      </c>
      <c r="G8903" s="15"/>
      <c r="H8903" s="15"/>
      <c r="I8903" s="15"/>
      <c r="J8903" s="22">
        <v>6682</v>
      </c>
      <c r="K8903" s="15" t="s">
        <v>1277</v>
      </c>
      <c r="L8903" s="17">
        <v>10</v>
      </c>
      <c r="M8903" s="17">
        <v>100</v>
      </c>
      <c r="N8903" s="17">
        <v>10</v>
      </c>
      <c r="O8903" s="18">
        <v>345.69</v>
      </c>
      <c r="P8903" s="18">
        <v>283.35000000000002</v>
      </c>
      <c r="Q8903" s="18">
        <v>293.83999999999997</v>
      </c>
      <c r="R8903" s="18">
        <v>240.85</v>
      </c>
      <c r="S8903" s="18">
        <v>235.07</v>
      </c>
      <c r="T8903" s="18">
        <v>192.68</v>
      </c>
      <c r="U8903" s="16"/>
      <c r="V8903" s="16"/>
      <c r="W8903" s="16" t="s">
        <v>40</v>
      </c>
      <c r="X8903" s="19">
        <v>0.189</v>
      </c>
      <c r="Y8903" s="20">
        <v>4.6000000000000001E-4</v>
      </c>
      <c r="Z8903" s="21">
        <v>4610003606282</v>
      </c>
    </row>
    <row r="8904" spans="1:26" ht="12" customHeight="1" outlineLevel="4" x14ac:dyDescent="0.2">
      <c r="A8904" s="14" t="s">
        <v>16983</v>
      </c>
      <c r="B8904" s="26" t="s">
        <v>16982</v>
      </c>
      <c r="C8904" s="52"/>
      <c r="D8904" s="55">
        <f t="shared" si="138"/>
        <v>0</v>
      </c>
      <c r="E8904" s="63" t="str">
        <f>HYPERLINK("https://www.sds-group.ru/product/shnur-setevoy-vilka-uglovaya-see-7-7-schuko-razem-iec-320-c13-kabel-3x0-75-mm-dlina-1-8-metr-11-1131/", "Инфо")</f>
        <v>Инфо</v>
      </c>
      <c r="F8904" s="16" t="s">
        <v>39</v>
      </c>
      <c r="G8904" s="15"/>
      <c r="H8904" s="15"/>
      <c r="I8904" s="15"/>
      <c r="J8904" s="22">
        <v>1868</v>
      </c>
      <c r="K8904" s="15"/>
      <c r="L8904" s="17">
        <v>10</v>
      </c>
      <c r="M8904" s="17">
        <v>100</v>
      </c>
      <c r="N8904" s="17">
        <v>10</v>
      </c>
      <c r="O8904" s="18">
        <v>803.7</v>
      </c>
      <c r="P8904" s="18">
        <v>658.77</v>
      </c>
      <c r="Q8904" s="18">
        <v>642.96</v>
      </c>
      <c r="R8904" s="18">
        <v>527.02</v>
      </c>
      <c r="S8904" s="18">
        <v>546.52</v>
      </c>
      <c r="T8904" s="18">
        <v>447.97</v>
      </c>
      <c r="U8904" s="16"/>
      <c r="V8904" s="16"/>
      <c r="W8904" s="16" t="s">
        <v>40</v>
      </c>
      <c r="X8904" s="19">
        <v>0.20200000000000001</v>
      </c>
      <c r="Y8904" s="20">
        <v>4.55E-4</v>
      </c>
      <c r="Z8904" s="21">
        <v>4610003606305</v>
      </c>
    </row>
    <row r="8905" spans="1:26" ht="12" customHeight="1" outlineLevel="4" x14ac:dyDescent="0.2">
      <c r="A8905" s="14" t="s">
        <v>16984</v>
      </c>
      <c r="B8905" s="26" t="s">
        <v>16985</v>
      </c>
      <c r="C8905" s="52"/>
      <c r="D8905" s="55">
        <f t="shared" ref="D8905:D8968" si="139">C8905*(O8905-O8905*$G$3)</f>
        <v>0</v>
      </c>
      <c r="E8905" s="63" t="str">
        <f>HYPERLINK("https://www.sds-group.ru/product/shnur-setevoy-vilka-uglovaya-see-7-7-schuko-razem-iec-320-c13-kabel-3x0-75-mm-dlina-3-metra--11-1122/", "Инфо")</f>
        <v>Инфо</v>
      </c>
      <c r="F8905" s="16" t="s">
        <v>39</v>
      </c>
      <c r="G8905" s="15"/>
      <c r="H8905" s="15"/>
      <c r="I8905" s="15"/>
      <c r="J8905" s="22">
        <v>3717</v>
      </c>
      <c r="K8905" s="15"/>
      <c r="L8905" s="17">
        <v>10</v>
      </c>
      <c r="M8905" s="17">
        <v>80</v>
      </c>
      <c r="N8905" s="17">
        <v>10</v>
      </c>
      <c r="O8905" s="18">
        <v>681.46</v>
      </c>
      <c r="P8905" s="18">
        <v>558.57000000000005</v>
      </c>
      <c r="Q8905" s="18">
        <v>545.16999999999996</v>
      </c>
      <c r="R8905" s="18">
        <v>446.86</v>
      </c>
      <c r="S8905" s="18">
        <v>463.39</v>
      </c>
      <c r="T8905" s="18">
        <v>379.83</v>
      </c>
      <c r="U8905" s="16"/>
      <c r="V8905" s="16"/>
      <c r="W8905" s="16" t="s">
        <v>40</v>
      </c>
      <c r="X8905" s="19">
        <v>0.27600000000000002</v>
      </c>
      <c r="Y8905" s="20">
        <v>7.3700000000000002E-4</v>
      </c>
      <c r="Z8905" s="21">
        <v>4610003606299</v>
      </c>
    </row>
    <row r="8906" spans="1:26" ht="12" customHeight="1" outlineLevel="4" x14ac:dyDescent="0.2">
      <c r="A8906" s="14" t="s">
        <v>16986</v>
      </c>
      <c r="B8906" s="26" t="s">
        <v>16985</v>
      </c>
      <c r="C8906" s="52"/>
      <c r="D8906" s="55">
        <f t="shared" si="139"/>
        <v>0</v>
      </c>
      <c r="E8906" s="63" t="str">
        <f>HYPERLINK("https://www.sds-group.ru/product/shnur-setevoy-vilka-uglovaya-see-7-7-schuko-razem-iec-320-c13-kabel-3x0-75-mm-dlina-3-metra--11-1132/", "Инфо")</f>
        <v>Инфо</v>
      </c>
      <c r="F8906" s="16" t="s">
        <v>39</v>
      </c>
      <c r="G8906" s="15"/>
      <c r="H8906" s="15"/>
      <c r="I8906" s="15"/>
      <c r="J8906" s="17">
        <v>168</v>
      </c>
      <c r="K8906" s="15" t="s">
        <v>979</v>
      </c>
      <c r="L8906" s="17">
        <v>10</v>
      </c>
      <c r="M8906" s="17">
        <v>50</v>
      </c>
      <c r="N8906" s="17">
        <v>10</v>
      </c>
      <c r="O8906" s="18">
        <v>1188.07</v>
      </c>
      <c r="P8906" s="18">
        <v>973.83</v>
      </c>
      <c r="Q8906" s="18">
        <v>950.46</v>
      </c>
      <c r="R8906" s="18">
        <v>779.07</v>
      </c>
      <c r="S8906" s="18">
        <v>807.89</v>
      </c>
      <c r="T8906" s="18">
        <v>662.2</v>
      </c>
      <c r="U8906" s="16"/>
      <c r="V8906" s="16"/>
      <c r="W8906" s="16" t="s">
        <v>40</v>
      </c>
      <c r="X8906" s="19">
        <v>0.29299999999999998</v>
      </c>
      <c r="Y8906" s="20">
        <v>7.0699999999999995E-4</v>
      </c>
      <c r="Z8906" s="21">
        <v>4610003606312</v>
      </c>
    </row>
    <row r="8907" spans="1:26" ht="12" customHeight="1" outlineLevel="4" x14ac:dyDescent="0.2">
      <c r="A8907" s="14" t="s">
        <v>16987</v>
      </c>
      <c r="B8907" s="26" t="s">
        <v>16988</v>
      </c>
      <c r="C8907" s="52"/>
      <c r="D8907" s="55">
        <f t="shared" si="139"/>
        <v>0</v>
      </c>
      <c r="E8907" s="63" t="str">
        <f>HYPERLINK("https://www.sds-group.ru/product/shnur-setevoy-vilka-uglovaya-see-7-7-schuko-razem-iec-320-c13-kabel-3x1-5-mm-dlina-0-5-metra-11-1136/", "Инфо")</f>
        <v>Инфо</v>
      </c>
      <c r="F8907" s="16" t="s">
        <v>39</v>
      </c>
      <c r="G8907" s="15"/>
      <c r="H8907" s="15"/>
      <c r="I8907" s="15"/>
      <c r="J8907" s="17">
        <v>420</v>
      </c>
      <c r="K8907" s="15" t="s">
        <v>3762</v>
      </c>
      <c r="L8907" s="17">
        <v>10</v>
      </c>
      <c r="M8907" s="17">
        <v>100</v>
      </c>
      <c r="N8907" s="17">
        <v>10</v>
      </c>
      <c r="O8907" s="18">
        <v>458.2</v>
      </c>
      <c r="P8907" s="18">
        <v>375.57</v>
      </c>
      <c r="Q8907" s="18">
        <v>389.47</v>
      </c>
      <c r="R8907" s="18">
        <v>319.24</v>
      </c>
      <c r="S8907" s="18">
        <v>311.58</v>
      </c>
      <c r="T8907" s="18">
        <v>255.39</v>
      </c>
      <c r="U8907" s="16"/>
      <c r="V8907" s="16"/>
      <c r="W8907" s="16" t="s">
        <v>40</v>
      </c>
      <c r="X8907" s="19">
        <v>0.13500000000000001</v>
      </c>
      <c r="Y8907" s="20">
        <v>3.6600000000000001E-4</v>
      </c>
      <c r="Z8907" s="21">
        <v>4601004135093</v>
      </c>
    </row>
    <row r="8908" spans="1:26" ht="12" customHeight="1" outlineLevel="4" x14ac:dyDescent="0.2">
      <c r="A8908" s="14" t="s">
        <v>16989</v>
      </c>
      <c r="B8908" s="26" t="s">
        <v>16990</v>
      </c>
      <c r="C8908" s="52"/>
      <c r="D8908" s="55">
        <f t="shared" si="139"/>
        <v>0</v>
      </c>
      <c r="E8908" s="63" t="str">
        <f>HYPERLINK("https://www.sds-group.ru/product/shnur-setevoy-vilka-uglovaya-see-7-7-schuko-razem-iec-320-c13-kabel-3x1-5-mm-dlina-1-5-metra-11-1138/", "Инфо")</f>
        <v>Инфо</v>
      </c>
      <c r="F8908" s="16" t="s">
        <v>39</v>
      </c>
      <c r="G8908" s="15"/>
      <c r="H8908" s="15"/>
      <c r="I8908" s="15"/>
      <c r="J8908" s="22">
        <v>1503</v>
      </c>
      <c r="K8908" s="15"/>
      <c r="L8908" s="17">
        <v>10</v>
      </c>
      <c r="M8908" s="17">
        <v>100</v>
      </c>
      <c r="N8908" s="17">
        <v>10</v>
      </c>
      <c r="O8908" s="18">
        <v>1219.04</v>
      </c>
      <c r="P8908" s="18">
        <v>999.21</v>
      </c>
      <c r="Q8908" s="18">
        <v>975.23</v>
      </c>
      <c r="R8908" s="18">
        <v>799.37</v>
      </c>
      <c r="S8908" s="18">
        <v>828.95</v>
      </c>
      <c r="T8908" s="18">
        <v>679.47</v>
      </c>
      <c r="U8908" s="16"/>
      <c r="V8908" s="16"/>
      <c r="W8908" s="16" t="s">
        <v>40</v>
      </c>
      <c r="X8908" s="19">
        <v>0.19900000000000001</v>
      </c>
      <c r="Y8908" s="20">
        <v>5.9599999999999996E-4</v>
      </c>
      <c r="Z8908" s="21">
        <v>4601004135109</v>
      </c>
    </row>
    <row r="8909" spans="1:26" ht="12" customHeight="1" outlineLevel="4" x14ac:dyDescent="0.2">
      <c r="A8909" s="32" t="s">
        <v>16991</v>
      </c>
      <c r="B8909" s="74" t="s">
        <v>16992</v>
      </c>
      <c r="C8909" s="50"/>
      <c r="D8909" s="53">
        <f t="shared" si="139"/>
        <v>0</v>
      </c>
      <c r="E8909" s="60" t="str">
        <f>HYPERLINK("https://www.sds-group.ru/product/shnur-setevoy-evrovilka-uglovaya-evrorazem-s13-kabel-3x0-75mm-0-5m-chernyy-paket-pvh-rexant-11-1156/", "Инфо")</f>
        <v>Инфо</v>
      </c>
      <c r="F8909" s="34" t="s">
        <v>39</v>
      </c>
      <c r="G8909" s="33"/>
      <c r="H8909" s="33" t="s">
        <v>40</v>
      </c>
      <c r="I8909" s="33"/>
      <c r="J8909" s="39">
        <v>1379</v>
      </c>
      <c r="K8909" s="33"/>
      <c r="L8909" s="35">
        <v>1</v>
      </c>
      <c r="M8909" s="35">
        <v>50</v>
      </c>
      <c r="N8909" s="35">
        <v>1</v>
      </c>
      <c r="O8909" s="36">
        <v>233.42</v>
      </c>
      <c r="P8909" s="36">
        <v>191.33</v>
      </c>
      <c r="Q8909" s="36">
        <v>163.38999999999999</v>
      </c>
      <c r="R8909" s="36">
        <v>133.93</v>
      </c>
      <c r="S8909" s="36">
        <v>158.72999999999999</v>
      </c>
      <c r="T8909" s="36">
        <v>130.11000000000001</v>
      </c>
      <c r="U8909" s="34"/>
      <c r="V8909" s="34"/>
      <c r="W8909" s="34"/>
      <c r="X8909" s="37">
        <v>0.114</v>
      </c>
      <c r="Y8909" s="38">
        <v>4.3899999999999999E-4</v>
      </c>
      <c r="Z8909" s="21">
        <v>4601004299979</v>
      </c>
    </row>
    <row r="8910" spans="1:26" ht="12" customHeight="1" outlineLevel="4" x14ac:dyDescent="0.2">
      <c r="A8910" s="14" t="s">
        <v>16993</v>
      </c>
      <c r="B8910" s="26" t="s">
        <v>16994</v>
      </c>
      <c r="C8910" s="52"/>
      <c r="D8910" s="55">
        <f t="shared" si="139"/>
        <v>0</v>
      </c>
      <c r="E8910" s="63" t="str">
        <f>HYPERLINK("https://www.sds-group.ru/product/shnur-setevoy-razem-iec-320-c13-razem-iec-320-c14-kabel-3x0-75-mm-dlina-1-5-metra-pe-paket-r-11-1161/", "Инфо")</f>
        <v>Инфо</v>
      </c>
      <c r="F8910" s="16" t="s">
        <v>39</v>
      </c>
      <c r="G8910" s="15"/>
      <c r="H8910" s="15"/>
      <c r="I8910" s="15"/>
      <c r="J8910" s="17">
        <v>537</v>
      </c>
      <c r="K8910" s="15" t="s">
        <v>1277</v>
      </c>
      <c r="L8910" s="17">
        <v>5</v>
      </c>
      <c r="M8910" s="17">
        <v>100</v>
      </c>
      <c r="N8910" s="17">
        <v>5</v>
      </c>
      <c r="O8910" s="18">
        <v>366.72</v>
      </c>
      <c r="P8910" s="18">
        <v>300.58999999999997</v>
      </c>
      <c r="Q8910" s="18">
        <v>311.70999999999998</v>
      </c>
      <c r="R8910" s="18">
        <v>255.5</v>
      </c>
      <c r="S8910" s="18">
        <v>249.37</v>
      </c>
      <c r="T8910" s="18">
        <v>204.4</v>
      </c>
      <c r="U8910" s="16"/>
      <c r="V8910" s="16"/>
      <c r="W8910" s="16" t="s">
        <v>40</v>
      </c>
      <c r="X8910" s="19">
        <v>0.16500000000000001</v>
      </c>
      <c r="Y8910" s="20">
        <v>4.1399999999999998E-4</v>
      </c>
      <c r="Z8910" s="21">
        <v>4601004028166</v>
      </c>
    </row>
    <row r="8911" spans="1:26" ht="12.95" customHeight="1" outlineLevel="3" x14ac:dyDescent="0.2">
      <c r="A8911" s="76" t="s">
        <v>16995</v>
      </c>
      <c r="B8911" s="76"/>
      <c r="C8911" s="77"/>
      <c r="D8911" s="58"/>
      <c r="E8911" s="68"/>
      <c r="F8911" s="13"/>
      <c r="G8911" s="13"/>
      <c r="H8911" s="13"/>
      <c r="I8911" s="13"/>
      <c r="J8911" s="13"/>
      <c r="K8911" s="13"/>
      <c r="L8911" s="13"/>
      <c r="M8911" s="13"/>
      <c r="N8911" s="13"/>
      <c r="O8911" s="13"/>
      <c r="P8911" s="13"/>
      <c r="Q8911" s="13"/>
      <c r="R8911" s="13"/>
      <c r="S8911" s="13"/>
      <c r="T8911" s="13"/>
      <c r="U8911" s="13"/>
      <c r="V8911" s="13"/>
      <c r="W8911" s="13"/>
      <c r="X8911" s="13"/>
      <c r="Y8911" s="13"/>
      <c r="Z8911" s="13"/>
    </row>
    <row r="8912" spans="1:26" ht="12" customHeight="1" outlineLevel="4" x14ac:dyDescent="0.2">
      <c r="A8912" s="14" t="s">
        <v>16996</v>
      </c>
      <c r="B8912" s="26" t="s">
        <v>16997</v>
      </c>
      <c r="C8912" s="52"/>
      <c r="D8912" s="55">
        <f t="shared" si="139"/>
        <v>0</v>
      </c>
      <c r="E8912" s="63" t="str">
        <f>HYPERLINK("https://www.sds-group.ru/product/kabel-usb-shteker-dc-razem-pitanie-1-4h3-4-mm-spiral-1-5-metra-rexant-18-0235/", "Инфо")</f>
        <v>Инфо</v>
      </c>
      <c r="F8912" s="16" t="s">
        <v>39</v>
      </c>
      <c r="G8912" s="15"/>
      <c r="H8912" s="15"/>
      <c r="I8912" s="15"/>
      <c r="J8912" s="22">
        <v>2647</v>
      </c>
      <c r="K8912" s="15"/>
      <c r="L8912" s="17">
        <v>10</v>
      </c>
      <c r="M8912" s="17">
        <v>250</v>
      </c>
      <c r="N8912" s="17">
        <v>10</v>
      </c>
      <c r="O8912" s="18">
        <v>231.5</v>
      </c>
      <c r="P8912" s="18">
        <v>189.75</v>
      </c>
      <c r="Q8912" s="18">
        <v>196.78</v>
      </c>
      <c r="R8912" s="18">
        <v>161.30000000000001</v>
      </c>
      <c r="S8912" s="18">
        <v>157.41999999999999</v>
      </c>
      <c r="T8912" s="18">
        <v>129.03</v>
      </c>
      <c r="U8912" s="16"/>
      <c r="V8912" s="16"/>
      <c r="W8912" s="16" t="s">
        <v>40</v>
      </c>
      <c r="X8912" s="19">
        <v>3.6999999999999998E-2</v>
      </c>
      <c r="Y8912" s="20">
        <v>1.0900000000000001E-4</v>
      </c>
      <c r="Z8912" s="21">
        <v>4601004142374</v>
      </c>
    </row>
    <row r="8913" spans="1:26" ht="12" customHeight="1" outlineLevel="4" x14ac:dyDescent="0.2">
      <c r="A8913" s="14" t="s">
        <v>16998</v>
      </c>
      <c r="B8913" s="26" t="s">
        <v>16999</v>
      </c>
      <c r="C8913" s="52"/>
      <c r="D8913" s="55">
        <f t="shared" si="139"/>
        <v>0</v>
      </c>
      <c r="E8913" s="63" t="str">
        <f>HYPERLINK("https://www.sds-group.ru/product/kabel-usb-shteker-dc-razem-pitanie-0-7h2-5-mm-dlina-1-metr-rexant-18-1155/", "Инфо")</f>
        <v>Инфо</v>
      </c>
      <c r="F8913" s="16" t="s">
        <v>39</v>
      </c>
      <c r="G8913" s="15"/>
      <c r="H8913" s="15"/>
      <c r="I8913" s="15"/>
      <c r="J8913" s="22">
        <v>1456</v>
      </c>
      <c r="K8913" s="15"/>
      <c r="L8913" s="17">
        <v>10</v>
      </c>
      <c r="M8913" s="17">
        <v>250</v>
      </c>
      <c r="N8913" s="17">
        <v>10</v>
      </c>
      <c r="O8913" s="18">
        <v>178.68</v>
      </c>
      <c r="P8913" s="18">
        <v>146.46</v>
      </c>
      <c r="Q8913" s="18">
        <v>125.08</v>
      </c>
      <c r="R8913" s="18">
        <v>102.52</v>
      </c>
      <c r="S8913" s="18">
        <v>121.5</v>
      </c>
      <c r="T8913" s="18">
        <v>99.59</v>
      </c>
      <c r="U8913" s="16"/>
      <c r="V8913" s="16"/>
      <c r="W8913" s="16"/>
      <c r="X8913" s="19">
        <v>3.2000000000000001E-2</v>
      </c>
      <c r="Y8913" s="20">
        <v>1.37E-4</v>
      </c>
      <c r="Z8913" s="21">
        <v>4601004024694</v>
      </c>
    </row>
    <row r="8914" spans="1:26" ht="12" customHeight="1" outlineLevel="4" x14ac:dyDescent="0.2">
      <c r="A8914" s="14" t="s">
        <v>17000</v>
      </c>
      <c r="B8914" s="26" t="s">
        <v>17001</v>
      </c>
      <c r="C8914" s="52"/>
      <c r="D8914" s="55">
        <f t="shared" si="139"/>
        <v>0</v>
      </c>
      <c r="E8914" s="63" t="str">
        <f>HYPERLINK("https://www.sds-group.ru/product/kabel-usb-shteker-dc-razem-pitanie-2-1h5-5-mm-dlina-1-5-metra-rexant-18-0231/", "Инфо")</f>
        <v>Инфо</v>
      </c>
      <c r="F8914" s="16" t="s">
        <v>39</v>
      </c>
      <c r="G8914" s="15"/>
      <c r="H8914" s="15"/>
      <c r="I8914" s="15"/>
      <c r="J8914" s="22">
        <v>3867</v>
      </c>
      <c r="K8914" s="15" t="s">
        <v>979</v>
      </c>
      <c r="L8914" s="17">
        <v>10</v>
      </c>
      <c r="M8914" s="17">
        <v>250</v>
      </c>
      <c r="N8914" s="17">
        <v>10</v>
      </c>
      <c r="O8914" s="18">
        <v>236.58</v>
      </c>
      <c r="P8914" s="18">
        <v>193.92</v>
      </c>
      <c r="Q8914" s="18">
        <v>201.09</v>
      </c>
      <c r="R8914" s="18">
        <v>164.83</v>
      </c>
      <c r="S8914" s="18">
        <v>160.87</v>
      </c>
      <c r="T8914" s="18">
        <v>131.86000000000001</v>
      </c>
      <c r="U8914" s="16"/>
      <c r="V8914" s="16"/>
      <c r="W8914" s="16" t="s">
        <v>40</v>
      </c>
      <c r="X8914" s="19">
        <v>4.1000000000000002E-2</v>
      </c>
      <c r="Y8914" s="20">
        <v>1.4999999999999999E-4</v>
      </c>
      <c r="Z8914" s="21">
        <v>4601004062177</v>
      </c>
    </row>
    <row r="8915" spans="1:26" ht="12.95" customHeight="1" outlineLevel="2" x14ac:dyDescent="0.2">
      <c r="A8915" s="76" t="s">
        <v>17002</v>
      </c>
      <c r="B8915" s="76"/>
      <c r="C8915" s="77"/>
      <c r="D8915" s="58"/>
      <c r="E8915" s="68"/>
      <c r="F8915" s="13"/>
      <c r="G8915" s="13"/>
      <c r="H8915" s="13"/>
      <c r="I8915" s="13"/>
      <c r="J8915" s="13"/>
      <c r="K8915" s="13"/>
      <c r="L8915" s="13"/>
      <c r="M8915" s="13"/>
      <c r="N8915" s="13"/>
      <c r="O8915" s="13"/>
      <c r="P8915" s="13"/>
      <c r="Q8915" s="13"/>
      <c r="R8915" s="13"/>
      <c r="S8915" s="13"/>
      <c r="T8915" s="13"/>
      <c r="U8915" s="13"/>
      <c r="V8915" s="13"/>
      <c r="W8915" s="13"/>
      <c r="X8915" s="13"/>
      <c r="Y8915" s="13"/>
      <c r="Z8915" s="13"/>
    </row>
    <row r="8916" spans="1:26" ht="12.95" customHeight="1" outlineLevel="3" x14ac:dyDescent="0.2">
      <c r="A8916" s="76" t="s">
        <v>17003</v>
      </c>
      <c r="B8916" s="76"/>
      <c r="C8916" s="77"/>
      <c r="D8916" s="58"/>
      <c r="E8916" s="68"/>
      <c r="F8916" s="13"/>
      <c r="G8916" s="13"/>
      <c r="H8916" s="13"/>
      <c r="I8916" s="13"/>
      <c r="J8916" s="13"/>
      <c r="K8916" s="13"/>
      <c r="L8916" s="13"/>
      <c r="M8916" s="13"/>
      <c r="N8916" s="13"/>
      <c r="O8916" s="13"/>
      <c r="P8916" s="13"/>
      <c r="Q8916" s="13"/>
      <c r="R8916" s="13"/>
      <c r="S8916" s="13"/>
      <c r="T8916" s="13"/>
      <c r="U8916" s="13"/>
      <c r="V8916" s="13"/>
      <c r="W8916" s="13"/>
      <c r="X8916" s="13"/>
      <c r="Y8916" s="13"/>
      <c r="Z8916" s="13"/>
    </row>
    <row r="8917" spans="1:26" ht="12" customHeight="1" outlineLevel="4" x14ac:dyDescent="0.2">
      <c r="A8917" s="32" t="s">
        <v>17004</v>
      </c>
      <c r="B8917" s="74" t="s">
        <v>17005</v>
      </c>
      <c r="C8917" s="50"/>
      <c r="D8917" s="53">
        <f t="shared" si="139"/>
        <v>0</v>
      </c>
      <c r="E8917" s="60" t="str">
        <f>HYPERLINK("https://www.sds-group.ru/product/razvetvitel-usb-2-0-na-4-porta-rexant-18-4105/", "Инфо")</f>
        <v>Инфо</v>
      </c>
      <c r="F8917" s="34" t="s">
        <v>39</v>
      </c>
      <c r="G8917" s="33"/>
      <c r="H8917" s="33" t="s">
        <v>40</v>
      </c>
      <c r="I8917" s="33"/>
      <c r="J8917" s="39">
        <v>7903</v>
      </c>
      <c r="K8917" s="33"/>
      <c r="L8917" s="35">
        <v>1</v>
      </c>
      <c r="M8917" s="35">
        <v>200</v>
      </c>
      <c r="N8917" s="35">
        <v>1</v>
      </c>
      <c r="O8917" s="36">
        <v>366.44</v>
      </c>
      <c r="P8917" s="36">
        <v>300.36</v>
      </c>
      <c r="Q8917" s="36">
        <v>256.51</v>
      </c>
      <c r="R8917" s="36">
        <v>210.25</v>
      </c>
      <c r="S8917" s="36">
        <v>249.18</v>
      </c>
      <c r="T8917" s="36">
        <v>204.25</v>
      </c>
      <c r="U8917" s="34"/>
      <c r="V8917" s="34"/>
      <c r="W8917" s="34"/>
      <c r="X8917" s="37">
        <v>6.2E-2</v>
      </c>
      <c r="Y8917" s="38">
        <v>4.86E-4</v>
      </c>
      <c r="Z8917" s="21">
        <v>4601004117235</v>
      </c>
    </row>
    <row r="8918" spans="1:26" ht="12" customHeight="1" outlineLevel="4" x14ac:dyDescent="0.2">
      <c r="A8918" s="32" t="s">
        <v>17006</v>
      </c>
      <c r="B8918" s="74" t="s">
        <v>17007</v>
      </c>
      <c r="C8918" s="50"/>
      <c r="D8918" s="53">
        <f t="shared" si="139"/>
        <v>0</v>
      </c>
      <c r="E8918" s="60" t="str">
        <f>HYPERLINK("https://www.sds-group.ru/product/razvetvitel-usb-2-0-na-4-porta-belyy-rexant-18-4105-1/", "Инфо")</f>
        <v>Инфо</v>
      </c>
      <c r="F8918" s="34" t="s">
        <v>39</v>
      </c>
      <c r="G8918" s="33"/>
      <c r="H8918" s="33" t="s">
        <v>40</v>
      </c>
      <c r="I8918" s="33"/>
      <c r="J8918" s="39">
        <v>1186</v>
      </c>
      <c r="K8918" s="33"/>
      <c r="L8918" s="35">
        <v>1</v>
      </c>
      <c r="M8918" s="35">
        <v>200</v>
      </c>
      <c r="N8918" s="35">
        <v>1</v>
      </c>
      <c r="O8918" s="36">
        <v>356.17</v>
      </c>
      <c r="P8918" s="36">
        <v>291.94</v>
      </c>
      <c r="Q8918" s="36">
        <v>249.32</v>
      </c>
      <c r="R8918" s="36">
        <v>204.36</v>
      </c>
      <c r="S8918" s="36">
        <v>242.2</v>
      </c>
      <c r="T8918" s="36">
        <v>198.52</v>
      </c>
      <c r="U8918" s="34"/>
      <c r="V8918" s="34"/>
      <c r="W8918" s="34"/>
      <c r="X8918" s="37">
        <v>6.3E-2</v>
      </c>
      <c r="Y8918" s="38">
        <v>4.8799999999999999E-4</v>
      </c>
      <c r="Z8918" s="21">
        <v>4601004120488</v>
      </c>
    </row>
    <row r="8919" spans="1:26" ht="12" customHeight="1" outlineLevel="4" x14ac:dyDescent="0.2">
      <c r="A8919" s="32" t="s">
        <v>17008</v>
      </c>
      <c r="B8919" s="74" t="s">
        <v>17009</v>
      </c>
      <c r="C8919" s="50"/>
      <c r="D8919" s="53">
        <f t="shared" si="139"/>
        <v>0</v>
      </c>
      <c r="E8919" s="60" t="str">
        <f>HYPERLINK("https://www.sds-group.ru/product/razvetvitel-usb-na-3-porta-kartrider-vse-v-odnom-chernyy-rexant-18-4121/", "Инфо")</f>
        <v>Инфо</v>
      </c>
      <c r="F8919" s="34" t="s">
        <v>39</v>
      </c>
      <c r="G8919" s="33"/>
      <c r="H8919" s="33" t="s">
        <v>40</v>
      </c>
      <c r="I8919" s="33"/>
      <c r="J8919" s="39">
        <v>2384</v>
      </c>
      <c r="K8919" s="33"/>
      <c r="L8919" s="35">
        <v>1</v>
      </c>
      <c r="M8919" s="35">
        <v>100</v>
      </c>
      <c r="N8919" s="35">
        <v>1</v>
      </c>
      <c r="O8919" s="36">
        <v>1075.31</v>
      </c>
      <c r="P8919" s="36">
        <v>881.4</v>
      </c>
      <c r="Q8919" s="36">
        <v>752.72</v>
      </c>
      <c r="R8919" s="36">
        <v>616.98</v>
      </c>
      <c r="S8919" s="36">
        <v>731.21</v>
      </c>
      <c r="T8919" s="36">
        <v>599.35</v>
      </c>
      <c r="U8919" s="34"/>
      <c r="V8919" s="34"/>
      <c r="W8919" s="34"/>
      <c r="X8919" s="37">
        <v>0.13300000000000001</v>
      </c>
      <c r="Y8919" s="38">
        <v>1.1800000000000001E-3</v>
      </c>
      <c r="Z8919" s="21">
        <v>4601004068353</v>
      </c>
    </row>
    <row r="8920" spans="1:26" ht="12" customHeight="1" outlineLevel="4" x14ac:dyDescent="0.2">
      <c r="A8920" s="14" t="s">
        <v>17010</v>
      </c>
      <c r="B8920" s="26" t="s">
        <v>17011</v>
      </c>
      <c r="C8920" s="52"/>
      <c r="D8920" s="55">
        <f t="shared" si="139"/>
        <v>0</v>
      </c>
      <c r="E8920" s="63" t="str">
        <f>HYPERLINK("https://www.sds-group.ru/product/razvetvitel-usb-na-4-porta-belyy-rexant-18-4103-1/", "Инфо")</f>
        <v>Инфо</v>
      </c>
      <c r="F8920" s="16" t="s">
        <v>39</v>
      </c>
      <c r="G8920" s="15"/>
      <c r="H8920" s="15"/>
      <c r="I8920" s="15"/>
      <c r="J8920" s="22">
        <v>2162</v>
      </c>
      <c r="K8920" s="15" t="s">
        <v>476</v>
      </c>
      <c r="L8920" s="17">
        <v>5</v>
      </c>
      <c r="M8920" s="17">
        <v>200</v>
      </c>
      <c r="N8920" s="17">
        <v>5</v>
      </c>
      <c r="O8920" s="18">
        <v>477.85</v>
      </c>
      <c r="P8920" s="18">
        <v>391.68</v>
      </c>
      <c r="Q8920" s="18">
        <v>334.5</v>
      </c>
      <c r="R8920" s="18">
        <v>274.18</v>
      </c>
      <c r="S8920" s="18">
        <v>324.94</v>
      </c>
      <c r="T8920" s="18">
        <v>266.33999999999997</v>
      </c>
      <c r="U8920" s="16"/>
      <c r="V8920" s="16"/>
      <c r="W8920" s="16"/>
      <c r="X8920" s="19">
        <v>4.9000000000000002E-2</v>
      </c>
      <c r="Y8920" s="20">
        <v>4.3399999999999998E-4</v>
      </c>
      <c r="Z8920" s="21">
        <v>4601004031722</v>
      </c>
    </row>
    <row r="8921" spans="1:26" ht="12" customHeight="1" outlineLevel="4" x14ac:dyDescent="0.2">
      <c r="A8921" s="32" t="s">
        <v>17012</v>
      </c>
      <c r="B8921" s="74" t="s">
        <v>17013</v>
      </c>
      <c r="C8921" s="50"/>
      <c r="D8921" s="53">
        <f t="shared" si="139"/>
        <v>0</v>
      </c>
      <c r="E8921" s="60" t="str">
        <f>HYPERLINK("https://www.sds-group.ru/product/razvetvitel-rexant-4-usb-port-serebristyy-18-4106/", "Инфо")</f>
        <v>Инфо</v>
      </c>
      <c r="F8921" s="34" t="s">
        <v>39</v>
      </c>
      <c r="G8921" s="33"/>
      <c r="H8921" s="33" t="s">
        <v>40</v>
      </c>
      <c r="I8921" s="33"/>
      <c r="J8921" s="35">
        <v>678</v>
      </c>
      <c r="K8921" s="33"/>
      <c r="L8921" s="35">
        <v>1</v>
      </c>
      <c r="M8921" s="35">
        <v>100</v>
      </c>
      <c r="N8921" s="35">
        <v>1</v>
      </c>
      <c r="O8921" s="36">
        <v>1017</v>
      </c>
      <c r="P8921" s="36">
        <v>833.61</v>
      </c>
      <c r="Q8921" s="36">
        <v>711.9</v>
      </c>
      <c r="R8921" s="36">
        <v>583.52</v>
      </c>
      <c r="S8921" s="36">
        <v>691.56</v>
      </c>
      <c r="T8921" s="36">
        <v>566.85</v>
      </c>
      <c r="U8921" s="34"/>
      <c r="V8921" s="34"/>
      <c r="W8921" s="34"/>
      <c r="X8921" s="37">
        <v>7.1999999999999995E-2</v>
      </c>
      <c r="Y8921" s="38">
        <v>5.0900000000000001E-4</v>
      </c>
      <c r="Z8921" s="21">
        <v>4601004223080</v>
      </c>
    </row>
    <row r="8922" spans="1:26" ht="12" customHeight="1" outlineLevel="4" x14ac:dyDescent="0.2">
      <c r="A8922" s="14" t="s">
        <v>17014</v>
      </c>
      <c r="B8922" s="26" t="s">
        <v>17015</v>
      </c>
      <c r="C8922" s="52"/>
      <c r="D8922" s="55">
        <f t="shared" si="139"/>
        <v>0</v>
      </c>
      <c r="E8922" s="63" t="str">
        <f>HYPERLINK("https://www.sds-group.ru/product/razvetvitel-usb-na-4-porta-chernyy-rexant-18-4103/", "Инфо")</f>
        <v>Инфо</v>
      </c>
      <c r="F8922" s="16" t="s">
        <v>39</v>
      </c>
      <c r="G8922" s="15"/>
      <c r="H8922" s="15"/>
      <c r="I8922" s="15"/>
      <c r="J8922" s="22">
        <v>1614</v>
      </c>
      <c r="K8922" s="15" t="s">
        <v>476</v>
      </c>
      <c r="L8922" s="17">
        <v>1</v>
      </c>
      <c r="M8922" s="17">
        <v>200</v>
      </c>
      <c r="N8922" s="17">
        <v>1</v>
      </c>
      <c r="O8922" s="18">
        <v>683.32</v>
      </c>
      <c r="P8922" s="18">
        <v>560.1</v>
      </c>
      <c r="Q8922" s="18">
        <v>580.82000000000005</v>
      </c>
      <c r="R8922" s="18">
        <v>476.08</v>
      </c>
      <c r="S8922" s="18">
        <v>464.66</v>
      </c>
      <c r="T8922" s="18">
        <v>380.87</v>
      </c>
      <c r="U8922" s="16"/>
      <c r="V8922" s="16"/>
      <c r="W8922" s="16" t="s">
        <v>40</v>
      </c>
      <c r="X8922" s="19">
        <v>0.05</v>
      </c>
      <c r="Y8922" s="20">
        <v>3.8900000000000002E-4</v>
      </c>
      <c r="Z8922" s="21">
        <v>4601004031708</v>
      </c>
    </row>
    <row r="8923" spans="1:26" ht="12.95" customHeight="1" outlineLevel="3" x14ac:dyDescent="0.2">
      <c r="A8923" s="76" t="s">
        <v>17016</v>
      </c>
      <c r="B8923" s="76"/>
      <c r="C8923" s="77"/>
      <c r="D8923" s="58"/>
      <c r="E8923" s="68"/>
      <c r="F8923" s="13"/>
      <c r="G8923" s="13"/>
      <c r="H8923" s="13"/>
      <c r="I8923" s="13"/>
      <c r="J8923" s="13"/>
      <c r="K8923" s="13"/>
      <c r="L8923" s="13"/>
      <c r="M8923" s="13"/>
      <c r="N8923" s="13"/>
      <c r="O8923" s="13"/>
      <c r="P8923" s="13"/>
      <c r="Q8923" s="13"/>
      <c r="R8923" s="13"/>
      <c r="S8923" s="13"/>
      <c r="T8923" s="13"/>
      <c r="U8923" s="13"/>
      <c r="V8923" s="13"/>
      <c r="W8923" s="13"/>
      <c r="X8923" s="13"/>
      <c r="Y8923" s="13"/>
      <c r="Z8923" s="13"/>
    </row>
    <row r="8924" spans="1:26" ht="12" customHeight="1" outlineLevel="4" x14ac:dyDescent="0.2">
      <c r="A8924" s="14" t="s">
        <v>17017</v>
      </c>
      <c r="B8924" s="26" t="s">
        <v>17018</v>
      </c>
      <c r="C8924" s="52"/>
      <c r="D8924" s="55">
        <f t="shared" si="139"/>
        <v>0</v>
      </c>
      <c r="E8924" s="63" t="str">
        <f>HYPERLINK("https://www.sds-group.ru/product/usb-udlinitel-po-vitoy-pare-8p8c-rexant-18-1176/", "Инфо")</f>
        <v>Инфо</v>
      </c>
      <c r="F8924" s="16" t="s">
        <v>1001</v>
      </c>
      <c r="G8924" s="15"/>
      <c r="H8924" s="15"/>
      <c r="I8924" s="15"/>
      <c r="J8924" s="17">
        <v>700</v>
      </c>
      <c r="K8924" s="15" t="s">
        <v>979</v>
      </c>
      <c r="L8924" s="17">
        <v>1</v>
      </c>
      <c r="M8924" s="17">
        <v>100</v>
      </c>
      <c r="N8924" s="17">
        <v>1</v>
      </c>
      <c r="O8924" s="18">
        <v>1112.98</v>
      </c>
      <c r="P8924" s="18">
        <v>912.28</v>
      </c>
      <c r="Q8924" s="18">
        <v>890.38</v>
      </c>
      <c r="R8924" s="18">
        <v>729.82</v>
      </c>
      <c r="S8924" s="18">
        <v>756.83</v>
      </c>
      <c r="T8924" s="18">
        <v>620.35</v>
      </c>
      <c r="U8924" s="16"/>
      <c r="V8924" s="16"/>
      <c r="W8924" s="16" t="s">
        <v>40</v>
      </c>
      <c r="X8924" s="19">
        <v>9.1999999999999998E-2</v>
      </c>
      <c r="Y8924" s="20">
        <v>7.2000000000000015E-4</v>
      </c>
      <c r="Z8924" s="21">
        <v>4601004049802</v>
      </c>
    </row>
    <row r="8925" spans="1:26" ht="12" customHeight="1" outlineLevel="4" x14ac:dyDescent="0.2">
      <c r="A8925" s="32" t="s">
        <v>17019</v>
      </c>
      <c r="B8925" s="74" t="s">
        <v>17020</v>
      </c>
      <c r="C8925" s="50"/>
      <c r="D8925" s="53">
        <f t="shared" si="139"/>
        <v>0</v>
      </c>
      <c r="E8925" s="60" t="str">
        <f>HYPERLINK("https://www.sds-group.ru/product/adapter-dc-12-v-gnezdo-usb-a-5-v-3-a-rexant-16-0601/", "Инфо")</f>
        <v>Инфо</v>
      </c>
      <c r="F8925" s="34" t="s">
        <v>39</v>
      </c>
      <c r="G8925" s="33"/>
      <c r="H8925" s="33" t="s">
        <v>40</v>
      </c>
      <c r="I8925" s="33"/>
      <c r="J8925" s="35">
        <v>990</v>
      </c>
      <c r="K8925" s="33"/>
      <c r="L8925" s="35">
        <v>10</v>
      </c>
      <c r="M8925" s="35">
        <v>500</v>
      </c>
      <c r="N8925" s="35">
        <v>10</v>
      </c>
      <c r="O8925" s="36">
        <v>547.02</v>
      </c>
      <c r="P8925" s="36">
        <v>448.38</v>
      </c>
      <c r="Q8925" s="36">
        <v>382.91</v>
      </c>
      <c r="R8925" s="36">
        <v>313.86</v>
      </c>
      <c r="S8925" s="36">
        <v>371.97</v>
      </c>
      <c r="T8925" s="36">
        <v>304.89</v>
      </c>
      <c r="U8925" s="34"/>
      <c r="V8925" s="34"/>
      <c r="W8925" s="34"/>
      <c r="X8925" s="37">
        <v>5.0999999999999997E-2</v>
      </c>
      <c r="Y8925" s="38">
        <v>1.44E-4</v>
      </c>
      <c r="Z8925" s="21">
        <v>4601004048232</v>
      </c>
    </row>
    <row r="8926" spans="1:26" ht="12" customHeight="1" outlineLevel="4" x14ac:dyDescent="0.2">
      <c r="A8926" s="32" t="s">
        <v>17021</v>
      </c>
      <c r="B8926" s="74" t="s">
        <v>17022</v>
      </c>
      <c r="C8926" s="50"/>
      <c r="D8926" s="53">
        <f t="shared" si="139"/>
        <v>0</v>
      </c>
      <c r="E8926" s="60" t="str">
        <f>HYPERLINK("https://www.sds-group.ru/product/kabel-perehodnik-c-usb-c-na-aux-3-5-mm-rexant-18-7080/", "Инфо")</f>
        <v>Инфо</v>
      </c>
      <c r="F8926" s="34" t="s">
        <v>39</v>
      </c>
      <c r="G8926" s="33"/>
      <c r="H8926" s="33" t="s">
        <v>40</v>
      </c>
      <c r="I8926" s="33"/>
      <c r="J8926" s="39">
        <v>2240</v>
      </c>
      <c r="K8926" s="33"/>
      <c r="L8926" s="35">
        <v>1</v>
      </c>
      <c r="M8926" s="35">
        <v>183</v>
      </c>
      <c r="N8926" s="35">
        <v>1</v>
      </c>
      <c r="O8926" s="36">
        <v>303.97000000000003</v>
      </c>
      <c r="P8926" s="36">
        <v>249.16</v>
      </c>
      <c r="Q8926" s="36">
        <v>212.78</v>
      </c>
      <c r="R8926" s="36">
        <v>174.41</v>
      </c>
      <c r="S8926" s="36">
        <v>206.7</v>
      </c>
      <c r="T8926" s="36">
        <v>169.43</v>
      </c>
      <c r="U8926" s="34"/>
      <c r="V8926" s="34"/>
      <c r="W8926" s="34"/>
      <c r="X8926" s="37">
        <v>2.8000000000000001E-2</v>
      </c>
      <c r="Y8926" s="38">
        <v>2.6200000000000003E-4</v>
      </c>
      <c r="Z8926" s="21">
        <v>4601004291102</v>
      </c>
    </row>
    <row r="8927" spans="1:26" ht="12" customHeight="1" outlineLevel="4" x14ac:dyDescent="0.2">
      <c r="A8927" s="32" t="s">
        <v>17023</v>
      </c>
      <c r="B8927" s="74" t="s">
        <v>17024</v>
      </c>
      <c r="C8927" s="50"/>
      <c r="D8927" s="53">
        <f t="shared" si="139"/>
        <v>0</v>
      </c>
      <c r="E8927" s="60" t="str">
        <f>HYPERLINK("https://www.sds-group.ru/product/kabel-perehodnik-lightning-na-aux-gn-3-5-mm-rexant-18-0175/", "Инфо")</f>
        <v>Инфо</v>
      </c>
      <c r="F8927" s="34" t="s">
        <v>39</v>
      </c>
      <c r="G8927" s="33"/>
      <c r="H8927" s="33" t="s">
        <v>40</v>
      </c>
      <c r="I8927" s="33"/>
      <c r="J8927" s="35">
        <v>278</v>
      </c>
      <c r="K8927" s="33"/>
      <c r="L8927" s="35">
        <v>10</v>
      </c>
      <c r="M8927" s="35">
        <v>500</v>
      </c>
      <c r="N8927" s="35">
        <v>10</v>
      </c>
      <c r="O8927" s="36">
        <v>431.97</v>
      </c>
      <c r="P8927" s="36">
        <v>354.07</v>
      </c>
      <c r="Q8927" s="36">
        <v>302.38</v>
      </c>
      <c r="R8927" s="36">
        <v>247.85</v>
      </c>
      <c r="S8927" s="36">
        <v>293.74</v>
      </c>
      <c r="T8927" s="36">
        <v>240.77</v>
      </c>
      <c r="U8927" s="34"/>
      <c r="V8927" s="34"/>
      <c r="W8927" s="34"/>
      <c r="X8927" s="37">
        <v>1.2999999999999999E-2</v>
      </c>
      <c r="Y8927" s="38">
        <v>1.17E-4</v>
      </c>
      <c r="Z8927" s="21">
        <v>4601004148598</v>
      </c>
    </row>
    <row r="8928" spans="1:26" ht="12" customHeight="1" outlineLevel="4" x14ac:dyDescent="0.2">
      <c r="A8928" s="32" t="s">
        <v>17025</v>
      </c>
      <c r="B8928" s="74" t="s">
        <v>17026</v>
      </c>
      <c r="C8928" s="50"/>
      <c r="D8928" s="53">
        <f t="shared" si="139"/>
        <v>0</v>
      </c>
      <c r="E8928" s="60" t="str">
        <f>HYPERLINK("https://www.sds-group.ru/product/perehodnik-usb-universalnyy-otg-type-c-rexant-18-7081/", "Инфо")</f>
        <v>Инфо</v>
      </c>
      <c r="F8928" s="34" t="s">
        <v>39</v>
      </c>
      <c r="G8928" s="33"/>
      <c r="H8928" s="33" t="s">
        <v>40</v>
      </c>
      <c r="I8928" s="33"/>
      <c r="J8928" s="39">
        <v>2860</v>
      </c>
      <c r="K8928" s="33"/>
      <c r="L8928" s="35">
        <v>1</v>
      </c>
      <c r="M8928" s="35">
        <v>183</v>
      </c>
      <c r="N8928" s="35">
        <v>1</v>
      </c>
      <c r="O8928" s="36">
        <v>330.77</v>
      </c>
      <c r="P8928" s="36">
        <v>271.12</v>
      </c>
      <c r="Q8928" s="36">
        <v>231.54</v>
      </c>
      <c r="R8928" s="36">
        <v>189.79</v>
      </c>
      <c r="S8928" s="36">
        <v>224.92</v>
      </c>
      <c r="T8928" s="36">
        <v>184.36</v>
      </c>
      <c r="U8928" s="34"/>
      <c r="V8928" s="34"/>
      <c r="W8928" s="34"/>
      <c r="X8928" s="37">
        <v>0.03</v>
      </c>
      <c r="Y8928" s="38">
        <v>2.63E-4</v>
      </c>
      <c r="Z8928" s="21">
        <v>4601004291096</v>
      </c>
    </row>
    <row r="8929" spans="1:26" ht="12" customHeight="1" outlineLevel="4" x14ac:dyDescent="0.2">
      <c r="A8929" s="32" t="s">
        <v>17027</v>
      </c>
      <c r="B8929" s="74" t="s">
        <v>17028</v>
      </c>
      <c r="C8929" s="50"/>
      <c r="D8929" s="53">
        <f t="shared" si="139"/>
        <v>0</v>
      </c>
      <c r="E8929" s="60" t="str">
        <f>HYPERLINK("https://www.sds-group.ru/product/perehodnik-lightning-male-hdmi-female-rexant-18-4152/", "Инфо")</f>
        <v>Инфо</v>
      </c>
      <c r="F8929" s="34" t="s">
        <v>39</v>
      </c>
      <c r="G8929" s="33"/>
      <c r="H8929" s="33" t="s">
        <v>40</v>
      </c>
      <c r="I8929" s="33"/>
      <c r="J8929" s="35">
        <v>980</v>
      </c>
      <c r="K8929" s="33"/>
      <c r="L8929" s="35">
        <v>1</v>
      </c>
      <c r="M8929" s="35">
        <v>200</v>
      </c>
      <c r="N8929" s="35">
        <v>1</v>
      </c>
      <c r="O8929" s="36">
        <v>1182.32</v>
      </c>
      <c r="P8929" s="36">
        <v>969.11</v>
      </c>
      <c r="Q8929" s="36">
        <v>827.62</v>
      </c>
      <c r="R8929" s="36">
        <v>678.38</v>
      </c>
      <c r="S8929" s="36">
        <v>803.98</v>
      </c>
      <c r="T8929" s="36">
        <v>659</v>
      </c>
      <c r="U8929" s="34"/>
      <c r="V8929" s="34"/>
      <c r="W8929" s="34"/>
      <c r="X8929" s="37">
        <v>3.4000000000000002E-2</v>
      </c>
      <c r="Y8929" s="38">
        <v>3.4299999999999999E-4</v>
      </c>
      <c r="Z8929" s="21">
        <v>4601004197060</v>
      </c>
    </row>
    <row r="8930" spans="1:26" ht="12" customHeight="1" outlineLevel="4" x14ac:dyDescent="0.2">
      <c r="A8930" s="32" t="s">
        <v>17029</v>
      </c>
      <c r="B8930" s="74" t="s">
        <v>17030</v>
      </c>
      <c r="C8930" s="50"/>
      <c r="D8930" s="53">
        <f t="shared" si="139"/>
        <v>0</v>
      </c>
      <c r="E8930" s="60" t="str">
        <f>HYPERLINK("https://www.sds-group.ru/product/perehodnik-type-c-male-hdmi-female-rexant-18-4150/", "Инфо")</f>
        <v>Инфо</v>
      </c>
      <c r="F8930" s="34" t="s">
        <v>39</v>
      </c>
      <c r="G8930" s="33"/>
      <c r="H8930" s="33" t="s">
        <v>40</v>
      </c>
      <c r="I8930" s="33"/>
      <c r="J8930" s="35">
        <v>565</v>
      </c>
      <c r="K8930" s="33"/>
      <c r="L8930" s="35">
        <v>1</v>
      </c>
      <c r="M8930" s="35">
        <v>200</v>
      </c>
      <c r="N8930" s="35">
        <v>1</v>
      </c>
      <c r="O8930" s="36">
        <v>911.47</v>
      </c>
      <c r="P8930" s="36">
        <v>747.11</v>
      </c>
      <c r="Q8930" s="36">
        <v>638.03</v>
      </c>
      <c r="R8930" s="36">
        <v>522.98</v>
      </c>
      <c r="S8930" s="36">
        <v>619.79999999999995</v>
      </c>
      <c r="T8930" s="36">
        <v>508.03</v>
      </c>
      <c r="U8930" s="34"/>
      <c r="V8930" s="34"/>
      <c r="W8930" s="34"/>
      <c r="X8930" s="37">
        <v>3.5999999999999997E-2</v>
      </c>
      <c r="Y8930" s="38">
        <v>3.5199999999999999E-4</v>
      </c>
      <c r="Z8930" s="21">
        <v>4601004197077</v>
      </c>
    </row>
    <row r="8931" spans="1:26" ht="12.95" customHeight="1" outlineLevel="3" x14ac:dyDescent="0.2">
      <c r="A8931" s="76" t="s">
        <v>17031</v>
      </c>
      <c r="B8931" s="76"/>
      <c r="C8931" s="77"/>
      <c r="D8931" s="58"/>
      <c r="E8931" s="68"/>
      <c r="F8931" s="13"/>
      <c r="G8931" s="13"/>
      <c r="H8931" s="13"/>
      <c r="I8931" s="13"/>
      <c r="J8931" s="13"/>
      <c r="K8931" s="13"/>
      <c r="L8931" s="13"/>
      <c r="M8931" s="13"/>
      <c r="N8931" s="13"/>
      <c r="O8931" s="13"/>
      <c r="P8931" s="13"/>
      <c r="Q8931" s="13"/>
      <c r="R8931" s="13"/>
      <c r="S8931" s="13"/>
      <c r="T8931" s="13"/>
      <c r="U8931" s="13"/>
      <c r="V8931" s="13"/>
      <c r="W8931" s="13"/>
      <c r="X8931" s="13"/>
      <c r="Y8931" s="13"/>
      <c r="Z8931" s="13"/>
    </row>
    <row r="8932" spans="1:26" ht="12" customHeight="1" outlineLevel="4" x14ac:dyDescent="0.2">
      <c r="A8932" s="32" t="s">
        <v>17032</v>
      </c>
      <c r="B8932" s="74" t="s">
        <v>17033</v>
      </c>
      <c r="C8932" s="50"/>
      <c r="D8932" s="53">
        <f t="shared" si="139"/>
        <v>0</v>
      </c>
      <c r="E8932" s="60" t="str">
        <f>HYPERLINK("https://www.sds-group.ru/product/kartrider-rexant-type-c-dlya-sdxc-sdhc-sd-mmc-18-4118/", "Инфо")</f>
        <v>Инфо</v>
      </c>
      <c r="F8932" s="34" t="s">
        <v>39</v>
      </c>
      <c r="G8932" s="33"/>
      <c r="H8932" s="33" t="s">
        <v>40</v>
      </c>
      <c r="I8932" s="33"/>
      <c r="J8932" s="35">
        <v>686</v>
      </c>
      <c r="K8932" s="33"/>
      <c r="L8932" s="35">
        <v>1</v>
      </c>
      <c r="M8932" s="35">
        <v>300</v>
      </c>
      <c r="N8932" s="35">
        <v>1</v>
      </c>
      <c r="O8932" s="36">
        <v>741.41</v>
      </c>
      <c r="P8932" s="36">
        <v>607.71</v>
      </c>
      <c r="Q8932" s="36">
        <v>518.99</v>
      </c>
      <c r="R8932" s="36">
        <v>425.4</v>
      </c>
      <c r="S8932" s="36">
        <v>504.16</v>
      </c>
      <c r="T8932" s="36">
        <v>413.25</v>
      </c>
      <c r="U8932" s="34"/>
      <c r="V8932" s="34"/>
      <c r="W8932" s="34"/>
      <c r="X8932" s="37">
        <v>5.5E-2</v>
      </c>
      <c r="Y8932" s="38">
        <v>2.4000000000000001E-4</v>
      </c>
      <c r="Z8932" s="21">
        <v>4601004223103</v>
      </c>
    </row>
    <row r="8933" spans="1:26" ht="12.95" customHeight="1" outlineLevel="2" x14ac:dyDescent="0.2">
      <c r="A8933" s="76" t="s">
        <v>17034</v>
      </c>
      <c r="B8933" s="76"/>
      <c r="C8933" s="77"/>
      <c r="D8933" s="58"/>
      <c r="E8933" s="68"/>
      <c r="F8933" s="13"/>
      <c r="G8933" s="13"/>
      <c r="H8933" s="13"/>
      <c r="I8933" s="13"/>
      <c r="J8933" s="13"/>
      <c r="K8933" s="13"/>
      <c r="L8933" s="13"/>
      <c r="M8933" s="13"/>
      <c r="N8933" s="13"/>
      <c r="O8933" s="13"/>
      <c r="P8933" s="13"/>
      <c r="Q8933" s="13"/>
      <c r="R8933" s="13"/>
      <c r="S8933" s="13"/>
      <c r="T8933" s="13"/>
      <c r="U8933" s="13"/>
      <c r="V8933" s="13"/>
      <c r="W8933" s="13"/>
      <c r="X8933" s="13"/>
      <c r="Y8933" s="13"/>
      <c r="Z8933" s="13"/>
    </row>
    <row r="8934" spans="1:26" ht="12.95" customHeight="1" outlineLevel="3" x14ac:dyDescent="0.2">
      <c r="A8934" s="76" t="s">
        <v>17035</v>
      </c>
      <c r="B8934" s="76"/>
      <c r="C8934" s="77"/>
      <c r="D8934" s="58"/>
      <c r="E8934" s="68"/>
      <c r="F8934" s="13"/>
      <c r="G8934" s="13"/>
      <c r="H8934" s="13"/>
      <c r="I8934" s="13"/>
      <c r="J8934" s="13"/>
      <c r="K8934" s="13"/>
      <c r="L8934" s="13"/>
      <c r="M8934" s="13"/>
      <c r="N8934" s="13"/>
      <c r="O8934" s="13"/>
      <c r="P8934" s="13"/>
      <c r="Q8934" s="13"/>
      <c r="R8934" s="13"/>
      <c r="S8934" s="13"/>
      <c r="T8934" s="13"/>
      <c r="U8934" s="13"/>
      <c r="V8934" s="13"/>
      <c r="W8934" s="13"/>
      <c r="X8934" s="13"/>
      <c r="Y8934" s="13"/>
      <c r="Z8934" s="13"/>
    </row>
    <row r="8935" spans="1:26" ht="12" customHeight="1" outlineLevel="4" x14ac:dyDescent="0.2">
      <c r="A8935" s="14" t="s">
        <v>17036</v>
      </c>
      <c r="B8935" s="26" t="s">
        <v>17037</v>
      </c>
      <c r="C8935" s="52"/>
      <c r="D8935" s="55">
        <f t="shared" si="139"/>
        <v>0</v>
      </c>
      <c r="E8935" s="63" t="str">
        <f>HYPERLINK("https://www.sds-group.ru/product/besprovodnoe-zaryadnoe-ustroystvo-fast-charge-qi-15vt-serebro-rexant-18-7079/", "Инфо")</f>
        <v>Инфо</v>
      </c>
      <c r="F8935" s="16" t="s">
        <v>39</v>
      </c>
      <c r="G8935" s="15"/>
      <c r="H8935" s="15"/>
      <c r="I8935" s="15"/>
      <c r="J8935" s="17">
        <v>262</v>
      </c>
      <c r="K8935" s="15"/>
      <c r="L8935" s="17">
        <v>1</v>
      </c>
      <c r="M8935" s="17">
        <v>183</v>
      </c>
      <c r="N8935" s="17">
        <v>1</v>
      </c>
      <c r="O8935" s="18">
        <v>1185.82</v>
      </c>
      <c r="P8935" s="18">
        <v>971.98</v>
      </c>
      <c r="Q8935" s="18">
        <v>830.07</v>
      </c>
      <c r="R8935" s="18">
        <v>680.39</v>
      </c>
      <c r="S8935" s="18">
        <v>806.36</v>
      </c>
      <c r="T8935" s="18">
        <v>660.95</v>
      </c>
      <c r="U8935" s="16"/>
      <c r="V8935" s="16"/>
      <c r="W8935" s="16"/>
      <c r="X8935" s="19">
        <v>4.8000000000000001E-2</v>
      </c>
      <c r="Y8935" s="20">
        <v>1.5200000000000001E-4</v>
      </c>
      <c r="Z8935" s="21">
        <v>4601004291072</v>
      </c>
    </row>
    <row r="8936" spans="1:26" ht="12" customHeight="1" outlineLevel="4" x14ac:dyDescent="0.2">
      <c r="A8936" s="14" t="s">
        <v>17038</v>
      </c>
      <c r="B8936" s="26" t="s">
        <v>17039</v>
      </c>
      <c r="C8936" s="52"/>
      <c r="D8936" s="55">
        <f t="shared" si="139"/>
        <v>0</v>
      </c>
      <c r="E8936" s="63" t="str">
        <f>HYPERLINK("https://www.sds-group.ru/product/setevoe-zaryadnoe-ustroystvo-rexant-2-x-usb-5v-2-4-a-chernoe-16-0283/", "Инфо")</f>
        <v>Инфо</v>
      </c>
      <c r="F8936" s="16" t="s">
        <v>39</v>
      </c>
      <c r="G8936" s="15"/>
      <c r="H8936" s="15"/>
      <c r="I8936" s="15"/>
      <c r="J8936" s="17">
        <v>787</v>
      </c>
      <c r="K8936" s="15" t="s">
        <v>476</v>
      </c>
      <c r="L8936" s="17">
        <v>5</v>
      </c>
      <c r="M8936" s="17">
        <v>100</v>
      </c>
      <c r="N8936" s="17">
        <v>5</v>
      </c>
      <c r="O8936" s="18">
        <v>269.51</v>
      </c>
      <c r="P8936" s="18">
        <v>220.91</v>
      </c>
      <c r="Q8936" s="18">
        <v>215.61</v>
      </c>
      <c r="R8936" s="18">
        <v>176.73</v>
      </c>
      <c r="S8936" s="18">
        <v>183.27</v>
      </c>
      <c r="T8936" s="18">
        <v>150.22</v>
      </c>
      <c r="U8936" s="16"/>
      <c r="V8936" s="16"/>
      <c r="W8936" s="16" t="s">
        <v>40</v>
      </c>
      <c r="X8936" s="19">
        <v>4.9000000000000002E-2</v>
      </c>
      <c r="Y8936" s="20">
        <v>1.4899999999999999E-4</v>
      </c>
      <c r="Z8936" s="21">
        <v>4601004200296</v>
      </c>
    </row>
    <row r="8937" spans="1:26" ht="12" customHeight="1" outlineLevel="4" x14ac:dyDescent="0.2">
      <c r="A8937" s="14" t="s">
        <v>17040</v>
      </c>
      <c r="B8937" s="26" t="s">
        <v>17041</v>
      </c>
      <c r="C8937" s="52"/>
      <c r="D8937" s="55">
        <f t="shared" si="139"/>
        <v>0</v>
      </c>
      <c r="E8937" s="63" t="str">
        <f>HYPERLINK("https://www.sds-group.ru/product/setevoe-zaryadnoe-ustroystvo-usb-beloe-szu-5-v-1000-ma-rexant-18-1194/", "Инфо")</f>
        <v>Инфо</v>
      </c>
      <c r="F8937" s="16" t="s">
        <v>39</v>
      </c>
      <c r="G8937" s="15"/>
      <c r="H8937" s="15"/>
      <c r="I8937" s="15"/>
      <c r="J8937" s="22">
        <v>5064</v>
      </c>
      <c r="K8937" s="15" t="s">
        <v>476</v>
      </c>
      <c r="L8937" s="17">
        <v>10</v>
      </c>
      <c r="M8937" s="17">
        <v>500</v>
      </c>
      <c r="N8937" s="17">
        <v>10</v>
      </c>
      <c r="O8937" s="18">
        <v>298.61</v>
      </c>
      <c r="P8937" s="18">
        <v>244.76</v>
      </c>
      <c r="Q8937" s="18">
        <v>253.82</v>
      </c>
      <c r="R8937" s="18">
        <v>208.05</v>
      </c>
      <c r="S8937" s="18">
        <v>203.05</v>
      </c>
      <c r="T8937" s="18">
        <v>166.43</v>
      </c>
      <c r="U8937" s="16"/>
      <c r="V8937" s="16"/>
      <c r="W8937" s="16" t="s">
        <v>40</v>
      </c>
      <c r="X8937" s="19">
        <v>2.4E-2</v>
      </c>
      <c r="Y8937" s="20">
        <v>7.3999999999999996E-5</v>
      </c>
      <c r="Z8937" s="21">
        <v>4601004001220</v>
      </c>
    </row>
    <row r="8938" spans="1:26" ht="12" customHeight="1" outlineLevel="4" x14ac:dyDescent="0.2">
      <c r="A8938" s="14" t="s">
        <v>17042</v>
      </c>
      <c r="B8938" s="26" t="s">
        <v>17043</v>
      </c>
      <c r="C8938" s="52"/>
      <c r="D8938" s="55">
        <f t="shared" si="139"/>
        <v>0</v>
      </c>
      <c r="E8938" s="63" t="str">
        <f>HYPERLINK("https://www.sds-group.ru/product/setevoe-zaryadnoe-ustroystvo-microusb-220-v-szu-5-v-max-1500-ma-shnur-1-2-m-chernoe-rexant-16-0260-1/", "Инфо")</f>
        <v>Инфо</v>
      </c>
      <c r="F8938" s="16" t="s">
        <v>39</v>
      </c>
      <c r="G8938" s="15"/>
      <c r="H8938" s="15"/>
      <c r="I8938" s="15"/>
      <c r="J8938" s="16" t="s">
        <v>100</v>
      </c>
      <c r="K8938" s="15"/>
      <c r="L8938" s="17">
        <v>5</v>
      </c>
      <c r="M8938" s="17">
        <v>100</v>
      </c>
      <c r="N8938" s="17">
        <v>5</v>
      </c>
      <c r="O8938" s="18">
        <v>247.94</v>
      </c>
      <c r="P8938" s="18">
        <v>203.23</v>
      </c>
      <c r="Q8938" s="18">
        <v>210.75</v>
      </c>
      <c r="R8938" s="18">
        <v>172.75</v>
      </c>
      <c r="S8938" s="18">
        <v>168.6</v>
      </c>
      <c r="T8938" s="18">
        <v>138.19999999999999</v>
      </c>
      <c r="U8938" s="16"/>
      <c r="V8938" s="16"/>
      <c r="W8938" s="16" t="s">
        <v>40</v>
      </c>
      <c r="X8938" s="19">
        <v>7.8E-2</v>
      </c>
      <c r="Y8938" s="20">
        <v>6.0999999999999997E-4</v>
      </c>
      <c r="Z8938" s="21">
        <v>4601004026520</v>
      </c>
    </row>
    <row r="8939" spans="1:26" ht="12" customHeight="1" outlineLevel="4" x14ac:dyDescent="0.2">
      <c r="A8939" s="32" t="s">
        <v>17044</v>
      </c>
      <c r="B8939" s="74" t="s">
        <v>17045</v>
      </c>
      <c r="C8939" s="50"/>
      <c r="D8939" s="53">
        <f t="shared" si="139"/>
        <v>0</v>
      </c>
      <c r="E8939" s="60" t="str">
        <f>HYPERLINK("https://www.sds-group.ru/product/setevoe-zaryadnoe-ustroystvo-rexant-usb-type-c-5v-2-4-a-chernoe-16-0297/", "Инфо")</f>
        <v>Инфо</v>
      </c>
      <c r="F8939" s="34" t="s">
        <v>39</v>
      </c>
      <c r="G8939" s="33"/>
      <c r="H8939" s="33" t="s">
        <v>40</v>
      </c>
      <c r="I8939" s="33"/>
      <c r="J8939" s="35">
        <v>423</v>
      </c>
      <c r="K8939" s="33"/>
      <c r="L8939" s="35">
        <v>1</v>
      </c>
      <c r="M8939" s="35">
        <v>100</v>
      </c>
      <c r="N8939" s="35">
        <v>1</v>
      </c>
      <c r="O8939" s="36">
        <v>367.66</v>
      </c>
      <c r="P8939" s="36">
        <v>301.36</v>
      </c>
      <c r="Q8939" s="36">
        <v>257.36</v>
      </c>
      <c r="R8939" s="36">
        <v>210.95</v>
      </c>
      <c r="S8939" s="36">
        <v>250.01</v>
      </c>
      <c r="T8939" s="36">
        <v>204.93</v>
      </c>
      <c r="U8939" s="34"/>
      <c r="V8939" s="34"/>
      <c r="W8939" s="34"/>
      <c r="X8939" s="37">
        <v>6.7000000000000004E-2</v>
      </c>
      <c r="Y8939" s="38">
        <v>5.8799999999999998E-4</v>
      </c>
      <c r="Z8939" s="21">
        <v>4601004200272</v>
      </c>
    </row>
    <row r="8940" spans="1:26" ht="12" customHeight="1" outlineLevel="4" x14ac:dyDescent="0.2">
      <c r="A8940" s="14" t="s">
        <v>17046</v>
      </c>
      <c r="B8940" s="26" t="s">
        <v>17047</v>
      </c>
      <c r="C8940" s="52"/>
      <c r="D8940" s="55">
        <f t="shared" si="139"/>
        <v>0</v>
      </c>
      <c r="E8940" s="63" t="str">
        <f>HYPERLINK("https://www.sds-group.ru/product/setevoe-zaryadnoe-ustroystvo-rexant-usb-5v-3-a-s-quick-charge-beloe-16-0285/", "Инфо")</f>
        <v>Инфо</v>
      </c>
      <c r="F8940" s="16" t="s">
        <v>39</v>
      </c>
      <c r="G8940" s="15"/>
      <c r="H8940" s="15"/>
      <c r="I8940" s="15"/>
      <c r="J8940" s="17">
        <v>384</v>
      </c>
      <c r="K8940" s="15" t="s">
        <v>476</v>
      </c>
      <c r="L8940" s="17">
        <v>5</v>
      </c>
      <c r="M8940" s="17">
        <v>100</v>
      </c>
      <c r="N8940" s="17">
        <v>5</v>
      </c>
      <c r="O8940" s="18">
        <v>591.83000000000004</v>
      </c>
      <c r="P8940" s="18">
        <v>485.11</v>
      </c>
      <c r="Q8940" s="18">
        <v>473.46</v>
      </c>
      <c r="R8940" s="18">
        <v>388.08</v>
      </c>
      <c r="S8940" s="18">
        <v>402.44</v>
      </c>
      <c r="T8940" s="18">
        <v>329.87</v>
      </c>
      <c r="U8940" s="16"/>
      <c r="V8940" s="16"/>
      <c r="W8940" s="16" t="s">
        <v>40</v>
      </c>
      <c r="X8940" s="19">
        <v>7.3999999999999996E-2</v>
      </c>
      <c r="Y8940" s="20">
        <v>8.1700000000000002E-4</v>
      </c>
      <c r="Z8940" s="21">
        <v>4601004200289</v>
      </c>
    </row>
    <row r="8941" spans="1:26" ht="12" customHeight="1" outlineLevel="4" x14ac:dyDescent="0.2">
      <c r="A8941" s="14" t="s">
        <v>17048</v>
      </c>
      <c r="B8941" s="26" t="s">
        <v>17049</v>
      </c>
      <c r="C8941" s="52"/>
      <c r="D8941" s="55">
        <f t="shared" si="139"/>
        <v>0</v>
      </c>
      <c r="E8941" s="63" t="str">
        <f>HYPERLINK("https://www.sds-group.ru/product/setevoe-zaryadnoe-ustroystvo-usb-a-i-2-usb-c-65vt-rexant-18-2209/", "Инфо")</f>
        <v>Инфо</v>
      </c>
      <c r="F8941" s="16" t="s">
        <v>39</v>
      </c>
      <c r="G8941" s="15"/>
      <c r="H8941" s="15"/>
      <c r="I8941" s="15"/>
      <c r="J8941" s="17">
        <v>786</v>
      </c>
      <c r="K8941" s="15"/>
      <c r="L8941" s="17">
        <v>1</v>
      </c>
      <c r="M8941" s="17">
        <v>84</v>
      </c>
      <c r="N8941" s="17">
        <v>1</v>
      </c>
      <c r="O8941" s="18">
        <v>3223.28</v>
      </c>
      <c r="P8941" s="18">
        <v>2642.03</v>
      </c>
      <c r="Q8941" s="18">
        <v>2256.3000000000002</v>
      </c>
      <c r="R8941" s="18">
        <v>1849.43</v>
      </c>
      <c r="S8941" s="18">
        <v>2191.83</v>
      </c>
      <c r="T8941" s="18">
        <v>1796.58</v>
      </c>
      <c r="U8941" s="16"/>
      <c r="V8941" s="16"/>
      <c r="W8941" s="16"/>
      <c r="X8941" s="19">
        <v>0.123</v>
      </c>
      <c r="Y8941" s="20">
        <v>4.8200000000000001E-4</v>
      </c>
      <c r="Z8941" s="21">
        <v>4601004297821</v>
      </c>
    </row>
    <row r="8942" spans="1:26" ht="12" customHeight="1" outlineLevel="4" x14ac:dyDescent="0.2">
      <c r="A8942" s="14" t="s">
        <v>17050</v>
      </c>
      <c r="B8942" s="26" t="s">
        <v>17051</v>
      </c>
      <c r="C8942" s="52"/>
      <c r="D8942" s="55">
        <f t="shared" si="139"/>
        <v>0</v>
      </c>
      <c r="E8942" s="63" t="str">
        <f>HYPERLINK("https://www.sds-group.ru/product/setevoe-zaryadnoe-ustroystvo-usb-c-20vt-v-komplekte-s-kabelem-usb-c-lightning-rexant-16-0234-4/", "Инфо")</f>
        <v>Инфо</v>
      </c>
      <c r="F8942" s="16" t="s">
        <v>39</v>
      </c>
      <c r="G8942" s="15"/>
      <c r="H8942" s="15"/>
      <c r="I8942" s="15"/>
      <c r="J8942" s="17">
        <v>940</v>
      </c>
      <c r="K8942" s="15"/>
      <c r="L8942" s="17">
        <v>1</v>
      </c>
      <c r="M8942" s="17">
        <v>200</v>
      </c>
      <c r="N8942" s="17">
        <v>1</v>
      </c>
      <c r="O8942" s="18">
        <v>916.32</v>
      </c>
      <c r="P8942" s="18">
        <v>751.08</v>
      </c>
      <c r="Q8942" s="18">
        <v>641.41999999999996</v>
      </c>
      <c r="R8942" s="18">
        <v>525.75</v>
      </c>
      <c r="S8942" s="18">
        <v>623.1</v>
      </c>
      <c r="T8942" s="18">
        <v>510.74</v>
      </c>
      <c r="U8942" s="16"/>
      <c r="V8942" s="16"/>
      <c r="W8942" s="16"/>
      <c r="X8942" s="19">
        <v>0.08</v>
      </c>
      <c r="Y8942" s="20">
        <v>1.83E-4</v>
      </c>
      <c r="Z8942" s="21">
        <v>4601004303775</v>
      </c>
    </row>
    <row r="8943" spans="1:26" ht="12" customHeight="1" outlineLevel="4" x14ac:dyDescent="0.2">
      <c r="A8943" s="14" t="s">
        <v>17052</v>
      </c>
      <c r="B8943" s="26" t="s">
        <v>17053</v>
      </c>
      <c r="C8943" s="52"/>
      <c r="D8943" s="55">
        <f t="shared" si="139"/>
        <v>0</v>
      </c>
      <c r="E8943" s="63" t="str">
        <f>HYPERLINK("https://www.sds-group.ru/product/setevoe-zaryadnoe-ustroystvo-usb-c-20vt-v-komplekte-s-kabelem-usb-c-usb-c-rexant-16-0233-4/", "Инфо")</f>
        <v>Инфо</v>
      </c>
      <c r="F8943" s="16" t="s">
        <v>39</v>
      </c>
      <c r="G8943" s="15"/>
      <c r="H8943" s="15"/>
      <c r="I8943" s="15"/>
      <c r="J8943" s="16" t="s">
        <v>100</v>
      </c>
      <c r="K8943" s="15" t="s">
        <v>883</v>
      </c>
      <c r="L8943" s="17">
        <v>1</v>
      </c>
      <c r="M8943" s="17">
        <v>200</v>
      </c>
      <c r="N8943" s="17">
        <v>1</v>
      </c>
      <c r="O8943" s="18">
        <v>862.42</v>
      </c>
      <c r="P8943" s="18">
        <v>706.9</v>
      </c>
      <c r="Q8943" s="18">
        <v>603.69000000000005</v>
      </c>
      <c r="R8943" s="18">
        <v>494.83</v>
      </c>
      <c r="S8943" s="18">
        <v>586.45000000000005</v>
      </c>
      <c r="T8943" s="18">
        <v>480.7</v>
      </c>
      <c r="U8943" s="16"/>
      <c r="V8943" s="16"/>
      <c r="W8943" s="16"/>
      <c r="X8943" s="19">
        <v>9.0999999999999998E-2</v>
      </c>
      <c r="Y8943" s="20">
        <v>2.1800000000000001E-4</v>
      </c>
      <c r="Z8943" s="21">
        <v>4601004303768</v>
      </c>
    </row>
    <row r="8944" spans="1:26" ht="12" customHeight="1" outlineLevel="4" x14ac:dyDescent="0.2">
      <c r="A8944" s="14" t="s">
        <v>17054</v>
      </c>
      <c r="B8944" s="26" t="s">
        <v>17055</v>
      </c>
      <c r="C8944" s="52"/>
      <c r="D8944" s="55">
        <f t="shared" si="139"/>
        <v>0</v>
      </c>
      <c r="E8944" s="63" t="str">
        <f>HYPERLINK("https://www.sds-group.ru/product/setevoe-zaryadnoe-ustroystvo-rexant-usb-5v-2-1-a-chernoe-16-0274/", "Инфо")</f>
        <v>Инфо</v>
      </c>
      <c r="F8944" s="16" t="s">
        <v>39</v>
      </c>
      <c r="G8944" s="15"/>
      <c r="H8944" s="15"/>
      <c r="I8944" s="15"/>
      <c r="J8944" s="22">
        <v>8619</v>
      </c>
      <c r="K8944" s="15"/>
      <c r="L8944" s="17">
        <v>5</v>
      </c>
      <c r="M8944" s="17">
        <v>250</v>
      </c>
      <c r="N8944" s="17">
        <v>5</v>
      </c>
      <c r="O8944" s="18">
        <v>298.61</v>
      </c>
      <c r="P8944" s="18">
        <v>244.76</v>
      </c>
      <c r="Q8944" s="18">
        <v>253.82</v>
      </c>
      <c r="R8944" s="18">
        <v>208.05</v>
      </c>
      <c r="S8944" s="18">
        <v>203.05</v>
      </c>
      <c r="T8944" s="18">
        <v>166.43</v>
      </c>
      <c r="U8944" s="16"/>
      <c r="V8944" s="16"/>
      <c r="W8944" s="16" t="s">
        <v>40</v>
      </c>
      <c r="X8944" s="19">
        <v>2.9000000000000001E-2</v>
      </c>
      <c r="Y8944" s="20">
        <v>9.7999999999999997E-5</v>
      </c>
      <c r="Z8944" s="21">
        <v>4601004200388</v>
      </c>
    </row>
    <row r="8945" spans="1:26" ht="12" customHeight="1" outlineLevel="4" x14ac:dyDescent="0.2">
      <c r="A8945" s="14" t="s">
        <v>17056</v>
      </c>
      <c r="B8945" s="26" t="s">
        <v>17057</v>
      </c>
      <c r="C8945" s="52"/>
      <c r="D8945" s="55">
        <f t="shared" si="139"/>
        <v>0</v>
      </c>
      <c r="E8945" s="63" t="str">
        <f>HYPERLINK("https://www.sds-group.ru/product/setevoe-zaryadnoe-ustroystvo-2-x-usb-5v-2-4-a-beloe-rexant-16-0276/", "Инфо")</f>
        <v>Инфо</v>
      </c>
      <c r="F8945" s="16" t="s">
        <v>39</v>
      </c>
      <c r="G8945" s="15"/>
      <c r="H8945" s="15"/>
      <c r="I8945" s="15"/>
      <c r="J8945" s="22">
        <v>2531</v>
      </c>
      <c r="K8945" s="15"/>
      <c r="L8945" s="17">
        <v>5</v>
      </c>
      <c r="M8945" s="17">
        <v>200</v>
      </c>
      <c r="N8945" s="17">
        <v>5</v>
      </c>
      <c r="O8945" s="18">
        <v>247.94</v>
      </c>
      <c r="P8945" s="18">
        <v>203.23</v>
      </c>
      <c r="Q8945" s="18">
        <v>210.75</v>
      </c>
      <c r="R8945" s="18">
        <v>172.75</v>
      </c>
      <c r="S8945" s="18">
        <v>168.6</v>
      </c>
      <c r="T8945" s="18">
        <v>138.19999999999999</v>
      </c>
      <c r="U8945" s="16"/>
      <c r="V8945" s="16"/>
      <c r="W8945" s="16" t="s">
        <v>40</v>
      </c>
      <c r="X8945" s="19">
        <v>4.3999999999999997E-2</v>
      </c>
      <c r="Y8945" s="20">
        <v>1.6799999999999999E-4</v>
      </c>
      <c r="Z8945" s="21">
        <v>4601004200401</v>
      </c>
    </row>
    <row r="8946" spans="1:26" ht="12" customHeight="1" outlineLevel="4" x14ac:dyDescent="0.2">
      <c r="A8946" s="14" t="s">
        <v>17058</v>
      </c>
      <c r="B8946" s="26" t="s">
        <v>17059</v>
      </c>
      <c r="C8946" s="52"/>
      <c r="D8946" s="55">
        <f t="shared" si="139"/>
        <v>0</v>
      </c>
      <c r="E8946" s="63" t="str">
        <f>HYPERLINK("https://www.sds-group.ru/product/setevoe-zaryadnoe-ustroystvo-3-x-usb-5v-3-a-1-a-1-a-beloe-rexant-16-0277/", "Инфо")</f>
        <v>Инфо</v>
      </c>
      <c r="F8946" s="16" t="s">
        <v>39</v>
      </c>
      <c r="G8946" s="15"/>
      <c r="H8946" s="15"/>
      <c r="I8946" s="15"/>
      <c r="J8946" s="17">
        <v>988</v>
      </c>
      <c r="K8946" s="15"/>
      <c r="L8946" s="17">
        <v>1</v>
      </c>
      <c r="M8946" s="17">
        <v>200</v>
      </c>
      <c r="N8946" s="17">
        <v>1</v>
      </c>
      <c r="O8946" s="18">
        <v>857.29</v>
      </c>
      <c r="P8946" s="18">
        <v>702.7</v>
      </c>
      <c r="Q8946" s="18">
        <v>685.83</v>
      </c>
      <c r="R8946" s="18">
        <v>562.16</v>
      </c>
      <c r="S8946" s="18">
        <v>582.96</v>
      </c>
      <c r="T8946" s="18">
        <v>477.84</v>
      </c>
      <c r="U8946" s="16"/>
      <c r="V8946" s="16"/>
      <c r="W8946" s="16" t="s">
        <v>40</v>
      </c>
      <c r="X8946" s="19">
        <v>6.0999999999999999E-2</v>
      </c>
      <c r="Y8946" s="20">
        <v>1.35E-4</v>
      </c>
      <c r="Z8946" s="21">
        <v>4601004200418</v>
      </c>
    </row>
    <row r="8947" spans="1:26" ht="12" customHeight="1" outlineLevel="4" x14ac:dyDescent="0.2">
      <c r="A8947" s="14" t="s">
        <v>17060</v>
      </c>
      <c r="B8947" s="26" t="s">
        <v>17061</v>
      </c>
      <c r="C8947" s="52"/>
      <c r="D8947" s="55">
        <f t="shared" si="139"/>
        <v>0</v>
      </c>
      <c r="E8947" s="63" t="str">
        <f>HYPERLINK("https://www.sds-group.ru/product/setevoe-zaryadnoe-ustroystvo-type-c-usb-3-0-s-quick-charge-beloe-rexant-16-0278/", "Инфо")</f>
        <v>Инфо</v>
      </c>
      <c r="F8947" s="16" t="s">
        <v>39</v>
      </c>
      <c r="G8947" s="15"/>
      <c r="H8947" s="15"/>
      <c r="I8947" s="15"/>
      <c r="J8947" s="22">
        <v>2299</v>
      </c>
      <c r="K8947" s="15"/>
      <c r="L8947" s="17">
        <v>5</v>
      </c>
      <c r="M8947" s="17">
        <v>200</v>
      </c>
      <c r="N8947" s="17">
        <v>5</v>
      </c>
      <c r="O8947" s="18">
        <v>371.92</v>
      </c>
      <c r="P8947" s="18">
        <v>304.85000000000002</v>
      </c>
      <c r="Q8947" s="18">
        <v>297.54000000000002</v>
      </c>
      <c r="R8947" s="18">
        <v>243.89</v>
      </c>
      <c r="S8947" s="18">
        <v>252.91</v>
      </c>
      <c r="T8947" s="18">
        <v>207.3</v>
      </c>
      <c r="U8947" s="16"/>
      <c r="V8947" s="16"/>
      <c r="W8947" s="16" t="s">
        <v>40</v>
      </c>
      <c r="X8947" s="19">
        <v>5.8999999999999997E-2</v>
      </c>
      <c r="Y8947" s="20">
        <v>1.6899999999999999E-4</v>
      </c>
      <c r="Z8947" s="21">
        <v>4601004200425</v>
      </c>
    </row>
    <row r="8948" spans="1:26" ht="12" customHeight="1" outlineLevel="4" x14ac:dyDescent="0.2">
      <c r="A8948" s="14" t="s">
        <v>17062</v>
      </c>
      <c r="B8948" s="26" t="s">
        <v>17063</v>
      </c>
      <c r="C8948" s="52"/>
      <c r="D8948" s="55">
        <f t="shared" si="139"/>
        <v>0</v>
      </c>
      <c r="E8948" s="63" t="str">
        <f>HYPERLINK("https://www.sds-group.ru/product/setevoe-zaryadnoe-ustroystvo-usb-5v-1-a-beloe-rexant-16-0273/", "Инфо")</f>
        <v>Инфо</v>
      </c>
      <c r="F8948" s="16" t="s">
        <v>39</v>
      </c>
      <c r="G8948" s="15"/>
      <c r="H8948" s="15"/>
      <c r="I8948" s="15"/>
      <c r="J8948" s="22">
        <v>10765</v>
      </c>
      <c r="K8948" s="15"/>
      <c r="L8948" s="17">
        <v>5</v>
      </c>
      <c r="M8948" s="17">
        <v>500</v>
      </c>
      <c r="N8948" s="17">
        <v>5</v>
      </c>
      <c r="O8948" s="18">
        <v>298.61</v>
      </c>
      <c r="P8948" s="18">
        <v>244.76</v>
      </c>
      <c r="Q8948" s="18">
        <v>253.82</v>
      </c>
      <c r="R8948" s="18">
        <v>208.05</v>
      </c>
      <c r="S8948" s="18">
        <v>203.05</v>
      </c>
      <c r="T8948" s="18">
        <v>166.43</v>
      </c>
      <c r="U8948" s="16"/>
      <c r="V8948" s="16"/>
      <c r="W8948" s="16" t="s">
        <v>40</v>
      </c>
      <c r="X8948" s="19">
        <v>1.9E-2</v>
      </c>
      <c r="Y8948" s="20">
        <v>5.8E-5</v>
      </c>
      <c r="Z8948" s="21">
        <v>4601004200371</v>
      </c>
    </row>
    <row r="8949" spans="1:26" ht="12" customHeight="1" outlineLevel="4" x14ac:dyDescent="0.2">
      <c r="A8949" s="14" t="s">
        <v>17064</v>
      </c>
      <c r="B8949" s="26" t="s">
        <v>17065</v>
      </c>
      <c r="C8949" s="52"/>
      <c r="D8949" s="55">
        <f t="shared" si="139"/>
        <v>0</v>
      </c>
      <c r="E8949" s="63" t="str">
        <f>HYPERLINK("https://www.sds-group.ru/product/setevoe-zaryadnoe-ustroystvo-usb-5v-1-a-chernoe-rexant-16-0272/", "Инфо")</f>
        <v>Инфо</v>
      </c>
      <c r="F8949" s="16" t="s">
        <v>39</v>
      </c>
      <c r="G8949" s="15"/>
      <c r="H8949" s="15"/>
      <c r="I8949" s="15"/>
      <c r="J8949" s="22">
        <v>11426</v>
      </c>
      <c r="K8949" s="15"/>
      <c r="L8949" s="17">
        <v>5</v>
      </c>
      <c r="M8949" s="17">
        <v>500</v>
      </c>
      <c r="N8949" s="17">
        <v>5</v>
      </c>
      <c r="O8949" s="18">
        <v>308.48</v>
      </c>
      <c r="P8949" s="18">
        <v>252.85</v>
      </c>
      <c r="Q8949" s="18">
        <v>215.94</v>
      </c>
      <c r="R8949" s="18">
        <v>177</v>
      </c>
      <c r="S8949" s="18">
        <v>209.77</v>
      </c>
      <c r="T8949" s="18">
        <v>171.94</v>
      </c>
      <c r="U8949" s="16"/>
      <c r="V8949" s="16"/>
      <c r="W8949" s="16"/>
      <c r="X8949" s="19">
        <v>1.9E-2</v>
      </c>
      <c r="Y8949" s="20">
        <v>6.3E-5</v>
      </c>
      <c r="Z8949" s="21">
        <v>4601004200364</v>
      </c>
    </row>
    <row r="8950" spans="1:26" ht="12" customHeight="1" outlineLevel="4" x14ac:dyDescent="0.2">
      <c r="A8950" s="14" t="s">
        <v>17066</v>
      </c>
      <c r="B8950" s="26" t="s">
        <v>17067</v>
      </c>
      <c r="C8950" s="52"/>
      <c r="D8950" s="55">
        <f t="shared" si="139"/>
        <v>0</v>
      </c>
      <c r="E8950" s="63" t="str">
        <f>HYPERLINK("https://www.sds-group.ru/product/setevoe-zaryadnoe-ustroystvo-s-dvumya-portami-usb-a-usb-c-20vt-rexant-18-2207/", "Инфо")</f>
        <v>Инфо</v>
      </c>
      <c r="F8950" s="16" t="s">
        <v>39</v>
      </c>
      <c r="G8950" s="15"/>
      <c r="H8950" s="15"/>
      <c r="I8950" s="15"/>
      <c r="J8950" s="16" t="s">
        <v>100</v>
      </c>
      <c r="K8950" s="15" t="s">
        <v>11098</v>
      </c>
      <c r="L8950" s="17">
        <v>5</v>
      </c>
      <c r="M8950" s="17">
        <v>100</v>
      </c>
      <c r="N8950" s="17">
        <v>5</v>
      </c>
      <c r="O8950" s="18">
        <v>517.45000000000005</v>
      </c>
      <c r="P8950" s="18">
        <v>424.14</v>
      </c>
      <c r="Q8950" s="18">
        <v>362.22</v>
      </c>
      <c r="R8950" s="18">
        <v>296.89999999999998</v>
      </c>
      <c r="S8950" s="18">
        <v>351.87</v>
      </c>
      <c r="T8950" s="18">
        <v>288.42</v>
      </c>
      <c r="U8950" s="16"/>
      <c r="V8950" s="16"/>
      <c r="W8950" s="16"/>
      <c r="X8950" s="19">
        <v>7.0000000000000007E-2</v>
      </c>
      <c r="Y8950" s="20">
        <v>3.79E-4</v>
      </c>
      <c r="Z8950" s="21">
        <v>4601004308107</v>
      </c>
    </row>
    <row r="8951" spans="1:26" ht="12" customHeight="1" outlineLevel="4" x14ac:dyDescent="0.2">
      <c r="A8951" s="32" t="s">
        <v>17068</v>
      </c>
      <c r="B8951" s="74" t="s">
        <v>17069</v>
      </c>
      <c r="C8951" s="50"/>
      <c r="D8951" s="53">
        <f t="shared" si="139"/>
        <v>0</v>
      </c>
      <c r="E8951" s="60" t="str">
        <f>HYPERLINK("https://www.sds-group.ru/product/setevoe-zaryadnoe-ustroystvo-s-dvumya-portami-usb-a-i-type-c-20vt-gan-rexant-18-2202/", "Инфо")</f>
        <v>Инфо</v>
      </c>
      <c r="F8951" s="34" t="s">
        <v>39</v>
      </c>
      <c r="G8951" s="33"/>
      <c r="H8951" s="33" t="s">
        <v>40</v>
      </c>
      <c r="I8951" s="33"/>
      <c r="J8951" s="35">
        <v>955</v>
      </c>
      <c r="K8951" s="33"/>
      <c r="L8951" s="35">
        <v>1</v>
      </c>
      <c r="M8951" s="35">
        <v>40</v>
      </c>
      <c r="N8951" s="35">
        <v>1</v>
      </c>
      <c r="O8951" s="36">
        <v>629.57000000000005</v>
      </c>
      <c r="P8951" s="36">
        <v>516.04</v>
      </c>
      <c r="Q8951" s="36">
        <v>440.7</v>
      </c>
      <c r="R8951" s="36">
        <v>361.23</v>
      </c>
      <c r="S8951" s="36">
        <v>428.11</v>
      </c>
      <c r="T8951" s="36">
        <v>350.91</v>
      </c>
      <c r="U8951" s="34"/>
      <c r="V8951" s="34"/>
      <c r="W8951" s="34"/>
      <c r="X8951" s="37">
        <v>6.9000000000000006E-2</v>
      </c>
      <c r="Y8951" s="38">
        <v>4.3199999999999998E-4</v>
      </c>
      <c r="Z8951" s="21">
        <v>4601004290532</v>
      </c>
    </row>
    <row r="8952" spans="1:26" ht="12" customHeight="1" outlineLevel="4" x14ac:dyDescent="0.2">
      <c r="A8952" s="32" t="s">
        <v>17070</v>
      </c>
      <c r="B8952" s="74" t="s">
        <v>17071</v>
      </c>
      <c r="C8952" s="50"/>
      <c r="D8952" s="53">
        <f t="shared" si="139"/>
        <v>0</v>
      </c>
      <c r="E8952" s="60" t="str">
        <f>HYPERLINK("https://www.sds-group.ru/product/setevoe-zaryadnoe-ustroystvo-s-dvumya-portami-usb-a-i-type-c-25vt-gan-rexant-18-2203/", "Инфо")</f>
        <v>Инфо</v>
      </c>
      <c r="F8952" s="34" t="s">
        <v>39</v>
      </c>
      <c r="G8952" s="33"/>
      <c r="H8952" s="33" t="s">
        <v>40</v>
      </c>
      <c r="I8952" s="33"/>
      <c r="J8952" s="39">
        <v>2118</v>
      </c>
      <c r="K8952" s="33"/>
      <c r="L8952" s="35">
        <v>1</v>
      </c>
      <c r="M8952" s="35">
        <v>40</v>
      </c>
      <c r="N8952" s="35">
        <v>1</v>
      </c>
      <c r="O8952" s="36">
        <v>742.63</v>
      </c>
      <c r="P8952" s="36">
        <v>608.71</v>
      </c>
      <c r="Q8952" s="36">
        <v>519.84</v>
      </c>
      <c r="R8952" s="36">
        <v>426.1</v>
      </c>
      <c r="S8952" s="36">
        <v>504.99</v>
      </c>
      <c r="T8952" s="36">
        <v>413.93</v>
      </c>
      <c r="U8952" s="34"/>
      <c r="V8952" s="34"/>
      <c r="W8952" s="34"/>
      <c r="X8952" s="37">
        <v>7.0999999999999994E-2</v>
      </c>
      <c r="Y8952" s="38">
        <v>4.2299999999999998E-4</v>
      </c>
      <c r="Z8952" s="21">
        <v>4601004290549</v>
      </c>
    </row>
    <row r="8953" spans="1:26" ht="12" customHeight="1" outlineLevel="4" x14ac:dyDescent="0.2">
      <c r="A8953" s="32" t="s">
        <v>17072</v>
      </c>
      <c r="B8953" s="74" t="s">
        <v>17073</v>
      </c>
      <c r="C8953" s="50"/>
      <c r="D8953" s="53">
        <f t="shared" si="139"/>
        <v>0</v>
      </c>
      <c r="E8953" s="60" t="str">
        <f>HYPERLINK("https://www.sds-group.ru/product/setevoe-zaryadnoe-ustroystvo-s-dvumya-portami-usb-a-i-type-c-30vt-gan-rexant-18-2204/", "Инфо")</f>
        <v>Инфо</v>
      </c>
      <c r="F8953" s="34" t="s">
        <v>39</v>
      </c>
      <c r="G8953" s="33"/>
      <c r="H8953" s="33" t="s">
        <v>40</v>
      </c>
      <c r="I8953" s="33"/>
      <c r="J8953" s="35">
        <v>715</v>
      </c>
      <c r="K8953" s="33"/>
      <c r="L8953" s="35">
        <v>1</v>
      </c>
      <c r="M8953" s="35">
        <v>40</v>
      </c>
      <c r="N8953" s="35">
        <v>1</v>
      </c>
      <c r="O8953" s="36">
        <v>891.63</v>
      </c>
      <c r="P8953" s="36">
        <v>730.84</v>
      </c>
      <c r="Q8953" s="36">
        <v>624.14</v>
      </c>
      <c r="R8953" s="36">
        <v>511.59</v>
      </c>
      <c r="S8953" s="36">
        <v>606.30999999999995</v>
      </c>
      <c r="T8953" s="36">
        <v>496.98</v>
      </c>
      <c r="U8953" s="34"/>
      <c r="V8953" s="34"/>
      <c r="W8953" s="34"/>
      <c r="X8953" s="37">
        <v>7.4999999999999997E-2</v>
      </c>
      <c r="Y8953" s="38">
        <v>4.2000000000000002E-4</v>
      </c>
      <c r="Z8953" s="21">
        <v>4601004290518</v>
      </c>
    </row>
    <row r="8954" spans="1:26" ht="12" customHeight="1" outlineLevel="4" x14ac:dyDescent="0.2">
      <c r="A8954" s="14" t="s">
        <v>17074</v>
      </c>
      <c r="B8954" s="26" t="s">
        <v>17075</v>
      </c>
      <c r="C8954" s="52"/>
      <c r="D8954" s="55">
        <f t="shared" si="139"/>
        <v>0</v>
      </c>
      <c r="E8954" s="63" t="str">
        <f>HYPERLINK("https://www.sds-group.ru/product/setevoe-zaryadnoe-ustroystvo-s-dvumya-portami-usb-a-i-usb-c-35vt-rexant-18-2208/", "Инфо")</f>
        <v>Инфо</v>
      </c>
      <c r="F8954" s="16" t="s">
        <v>39</v>
      </c>
      <c r="G8954" s="15"/>
      <c r="H8954" s="15"/>
      <c r="I8954" s="15"/>
      <c r="J8954" s="16" t="s">
        <v>100</v>
      </c>
      <c r="K8954" s="15" t="s">
        <v>979</v>
      </c>
      <c r="L8954" s="17">
        <v>1</v>
      </c>
      <c r="M8954" s="17">
        <v>100</v>
      </c>
      <c r="N8954" s="17">
        <v>1</v>
      </c>
      <c r="O8954" s="18">
        <v>1324.88</v>
      </c>
      <c r="P8954" s="18">
        <v>1085.97</v>
      </c>
      <c r="Q8954" s="18">
        <v>927.42</v>
      </c>
      <c r="R8954" s="18">
        <v>760.18</v>
      </c>
      <c r="S8954" s="18">
        <v>900.92</v>
      </c>
      <c r="T8954" s="18">
        <v>738.46</v>
      </c>
      <c r="U8954" s="16"/>
      <c r="V8954" s="16"/>
      <c r="W8954" s="16"/>
      <c r="X8954" s="19">
        <v>7.6999999999999999E-2</v>
      </c>
      <c r="Y8954" s="20">
        <v>2.9599999999999998E-4</v>
      </c>
      <c r="Z8954" s="21">
        <v>4601004297814</v>
      </c>
    </row>
    <row r="8955" spans="1:26" ht="12" customHeight="1" outlineLevel="4" x14ac:dyDescent="0.2">
      <c r="A8955" s="14" t="s">
        <v>17076</v>
      </c>
      <c r="B8955" s="26" t="s">
        <v>17077</v>
      </c>
      <c r="C8955" s="52"/>
      <c r="D8955" s="55">
        <f t="shared" si="139"/>
        <v>0</v>
      </c>
      <c r="E8955" s="63" t="str">
        <f>HYPERLINK("https://www.sds-group.ru/product/setevoe-zaryadnoe-ustroystvo-s-dvumya-portami-usb-a-i-odnim-portom-usb-c-10vt-rexant-18-2213/", "Инфо")</f>
        <v>Инфо</v>
      </c>
      <c r="F8955" s="16" t="s">
        <v>39</v>
      </c>
      <c r="G8955" s="15"/>
      <c r="H8955" s="15"/>
      <c r="I8955" s="15"/>
      <c r="J8955" s="22">
        <v>2056</v>
      </c>
      <c r="K8955" s="15"/>
      <c r="L8955" s="17">
        <v>5</v>
      </c>
      <c r="M8955" s="17">
        <v>100</v>
      </c>
      <c r="N8955" s="17">
        <v>5</v>
      </c>
      <c r="O8955" s="18">
        <v>451.84</v>
      </c>
      <c r="P8955" s="18">
        <v>370.36</v>
      </c>
      <c r="Q8955" s="18">
        <v>316.29000000000002</v>
      </c>
      <c r="R8955" s="18">
        <v>259.25</v>
      </c>
      <c r="S8955" s="18">
        <v>307.25</v>
      </c>
      <c r="T8955" s="18">
        <v>251.84</v>
      </c>
      <c r="U8955" s="16"/>
      <c r="V8955" s="16"/>
      <c r="W8955" s="16"/>
      <c r="X8955" s="19">
        <v>6.7000000000000004E-2</v>
      </c>
      <c r="Y8955" s="20">
        <v>4.2000000000000002E-4</v>
      </c>
      <c r="Z8955" s="21">
        <v>4601004310889</v>
      </c>
    </row>
    <row r="8956" spans="1:26" ht="12" customHeight="1" outlineLevel="4" x14ac:dyDescent="0.2">
      <c r="A8956" s="14" t="s">
        <v>17078</v>
      </c>
      <c r="B8956" s="26" t="s">
        <v>17079</v>
      </c>
      <c r="C8956" s="52"/>
      <c r="D8956" s="55">
        <f t="shared" si="139"/>
        <v>0</v>
      </c>
      <c r="E8956" s="63" t="str">
        <f>HYPERLINK("https://www.sds-group.ru/product/setevoe-zaryadnoe-ustroystvo-s-dvumya-portami-usb-c-usb-c-20vt-rexant-18-2210/", "Инфо")</f>
        <v>Инфо</v>
      </c>
      <c r="F8956" s="16" t="s">
        <v>39</v>
      </c>
      <c r="G8956" s="15"/>
      <c r="H8956" s="15"/>
      <c r="I8956" s="15"/>
      <c r="J8956" s="22">
        <v>1406</v>
      </c>
      <c r="K8956" s="15"/>
      <c r="L8956" s="17">
        <v>5</v>
      </c>
      <c r="M8956" s="17">
        <v>100</v>
      </c>
      <c r="N8956" s="17">
        <v>5</v>
      </c>
      <c r="O8956" s="18">
        <v>591.83000000000004</v>
      </c>
      <c r="P8956" s="18">
        <v>485.11</v>
      </c>
      <c r="Q8956" s="18">
        <v>414.28</v>
      </c>
      <c r="R8956" s="18">
        <v>339.57</v>
      </c>
      <c r="S8956" s="18">
        <v>402.44</v>
      </c>
      <c r="T8956" s="18">
        <v>329.87</v>
      </c>
      <c r="U8956" s="16"/>
      <c r="V8956" s="16"/>
      <c r="W8956" s="16"/>
      <c r="X8956" s="19">
        <v>7.0000000000000007E-2</v>
      </c>
      <c r="Y8956" s="20">
        <v>3.6600000000000001E-4</v>
      </c>
      <c r="Z8956" s="21">
        <v>4601004308091</v>
      </c>
    </row>
    <row r="8957" spans="1:26" ht="12" customHeight="1" outlineLevel="4" x14ac:dyDescent="0.2">
      <c r="A8957" s="32" t="s">
        <v>17080</v>
      </c>
      <c r="B8957" s="74" t="s">
        <v>17081</v>
      </c>
      <c r="C8957" s="50"/>
      <c r="D8957" s="53">
        <f t="shared" si="139"/>
        <v>0</v>
      </c>
      <c r="E8957" s="60" t="str">
        <f>HYPERLINK("https://www.sds-group.ru/product/setevoe-zaryadnoe-ustroystvo-s-odnim-portom-type-c-20vt-gan-rexant-18-2201/", "Инфо")</f>
        <v>Инфо</v>
      </c>
      <c r="F8957" s="34" t="s">
        <v>39</v>
      </c>
      <c r="G8957" s="33"/>
      <c r="H8957" s="33" t="s">
        <v>40</v>
      </c>
      <c r="I8957" s="33"/>
      <c r="J8957" s="39">
        <v>2484</v>
      </c>
      <c r="K8957" s="33"/>
      <c r="L8957" s="35">
        <v>1</v>
      </c>
      <c r="M8957" s="35">
        <v>40</v>
      </c>
      <c r="N8957" s="35">
        <v>1</v>
      </c>
      <c r="O8957" s="36">
        <v>473.75</v>
      </c>
      <c r="P8957" s="36">
        <v>388.32</v>
      </c>
      <c r="Q8957" s="36">
        <v>331.63</v>
      </c>
      <c r="R8957" s="36">
        <v>271.83</v>
      </c>
      <c r="S8957" s="36">
        <v>322.14999999999998</v>
      </c>
      <c r="T8957" s="36">
        <v>264.06</v>
      </c>
      <c r="U8957" s="34"/>
      <c r="V8957" s="34"/>
      <c r="W8957" s="34"/>
      <c r="X8957" s="37">
        <v>6.8000000000000005E-2</v>
      </c>
      <c r="Y8957" s="38">
        <v>4.1399999999999998E-4</v>
      </c>
      <c r="Z8957" s="21">
        <v>4601004290525</v>
      </c>
    </row>
    <row r="8958" spans="1:26" ht="12" customHeight="1" outlineLevel="4" x14ac:dyDescent="0.2">
      <c r="A8958" s="32" t="s">
        <v>17082</v>
      </c>
      <c r="B8958" s="74" t="s">
        <v>17083</v>
      </c>
      <c r="C8958" s="50"/>
      <c r="D8958" s="53">
        <f t="shared" si="139"/>
        <v>0</v>
      </c>
      <c r="E8958" s="60" t="str">
        <f>HYPERLINK("https://www.sds-group.ru/product/setevoe-zaryadnoe-ustroystvo-s-odnim-portom-type-c-30vt-gan-rexant-18-2205/", "Инфо")</f>
        <v>Инфо</v>
      </c>
      <c r="F8958" s="34" t="s">
        <v>39</v>
      </c>
      <c r="G8958" s="33"/>
      <c r="H8958" s="33" t="s">
        <v>40</v>
      </c>
      <c r="I8958" s="33"/>
      <c r="J8958" s="39">
        <v>1099</v>
      </c>
      <c r="K8958" s="33"/>
      <c r="L8958" s="35">
        <v>1</v>
      </c>
      <c r="M8958" s="35">
        <v>40</v>
      </c>
      <c r="N8958" s="35">
        <v>1</v>
      </c>
      <c r="O8958" s="36">
        <v>629.44000000000005</v>
      </c>
      <c r="P8958" s="36">
        <v>515.92999999999995</v>
      </c>
      <c r="Q8958" s="36">
        <v>440.61</v>
      </c>
      <c r="R8958" s="36">
        <v>361.16</v>
      </c>
      <c r="S8958" s="36">
        <v>428.02</v>
      </c>
      <c r="T8958" s="36">
        <v>350.84</v>
      </c>
      <c r="U8958" s="34"/>
      <c r="V8958" s="34"/>
      <c r="W8958" s="34"/>
      <c r="X8958" s="37">
        <v>6.9000000000000006E-2</v>
      </c>
      <c r="Y8958" s="38">
        <v>3.9399999999999998E-4</v>
      </c>
      <c r="Z8958" s="21">
        <v>4601004290501</v>
      </c>
    </row>
    <row r="8959" spans="1:26" ht="12" customHeight="1" outlineLevel="4" x14ac:dyDescent="0.2">
      <c r="A8959" s="14" t="s">
        <v>17084</v>
      </c>
      <c r="B8959" s="26" t="s">
        <v>17085</v>
      </c>
      <c r="C8959" s="52"/>
      <c r="D8959" s="55">
        <f t="shared" si="139"/>
        <v>0</v>
      </c>
      <c r="E8959" s="63" t="str">
        <f>HYPERLINK("https://www.sds-group.ru/product/setevoe-zaryadnoe-ustroystvo-s-odnim-portom-usb-a-18vt-rexant-18-2218/", "Инфо")</f>
        <v>Инфо</v>
      </c>
      <c r="F8959" s="16" t="s">
        <v>39</v>
      </c>
      <c r="G8959" s="15"/>
      <c r="H8959" s="15"/>
      <c r="I8959" s="15"/>
      <c r="J8959" s="16" t="s">
        <v>100</v>
      </c>
      <c r="K8959" s="15" t="s">
        <v>979</v>
      </c>
      <c r="L8959" s="17">
        <v>5</v>
      </c>
      <c r="M8959" s="17">
        <v>100</v>
      </c>
      <c r="N8959" s="17">
        <v>5</v>
      </c>
      <c r="O8959" s="18">
        <v>494.81</v>
      </c>
      <c r="P8959" s="18">
        <v>405.58</v>
      </c>
      <c r="Q8959" s="18">
        <v>346.37</v>
      </c>
      <c r="R8959" s="18">
        <v>283.91000000000003</v>
      </c>
      <c r="S8959" s="18">
        <v>336.47</v>
      </c>
      <c r="T8959" s="18">
        <v>275.8</v>
      </c>
      <c r="U8959" s="16"/>
      <c r="V8959" s="16"/>
      <c r="W8959" s="16"/>
      <c r="X8959" s="19">
        <v>6.7000000000000004E-2</v>
      </c>
      <c r="Y8959" s="20">
        <v>3.7800000000000003E-4</v>
      </c>
      <c r="Z8959" s="21">
        <v>4601004310919</v>
      </c>
    </row>
    <row r="8960" spans="1:26" ht="12" customHeight="1" outlineLevel="4" x14ac:dyDescent="0.2">
      <c r="A8960" s="14" t="s">
        <v>17086</v>
      </c>
      <c r="B8960" s="26" t="s">
        <v>17087</v>
      </c>
      <c r="C8960" s="52"/>
      <c r="D8960" s="55">
        <f t="shared" si="139"/>
        <v>0</v>
      </c>
      <c r="E8960" s="63" t="str">
        <f>HYPERLINK("https://www.sds-group.ru/product/setevoe-zaryadnoe-ustroystvo-s-odnim-portom-usb-c-20vt-rexant-18-2206/", "Инфо")</f>
        <v>Инфо</v>
      </c>
      <c r="F8960" s="16" t="s">
        <v>39</v>
      </c>
      <c r="G8960" s="15"/>
      <c r="H8960" s="15"/>
      <c r="I8960" s="15"/>
      <c r="J8960" s="17">
        <v>655</v>
      </c>
      <c r="K8960" s="15" t="s">
        <v>883</v>
      </c>
      <c r="L8960" s="17">
        <v>5</v>
      </c>
      <c r="M8960" s="17">
        <v>200</v>
      </c>
      <c r="N8960" s="17">
        <v>5</v>
      </c>
      <c r="O8960" s="18">
        <v>537.92999999999995</v>
      </c>
      <c r="P8960" s="18">
        <v>440.93</v>
      </c>
      <c r="Q8960" s="18">
        <v>376.55</v>
      </c>
      <c r="R8960" s="18">
        <v>308.64999999999998</v>
      </c>
      <c r="S8960" s="18">
        <v>365.79</v>
      </c>
      <c r="T8960" s="18">
        <v>299.83</v>
      </c>
      <c r="U8960" s="16"/>
      <c r="V8960" s="16"/>
      <c r="W8960" s="16"/>
      <c r="X8960" s="19">
        <v>6.6000000000000003E-2</v>
      </c>
      <c r="Y8960" s="20">
        <v>1.5799999999999999E-4</v>
      </c>
      <c r="Z8960" s="21">
        <v>4601004292604</v>
      </c>
    </row>
    <row r="8961" spans="1:26" ht="12" customHeight="1" outlineLevel="4" x14ac:dyDescent="0.2">
      <c r="A8961" s="14" t="s">
        <v>17088</v>
      </c>
      <c r="B8961" s="26" t="s">
        <v>17089</v>
      </c>
      <c r="C8961" s="52"/>
      <c r="D8961" s="55">
        <f t="shared" si="139"/>
        <v>0</v>
      </c>
      <c r="E8961" s="63" t="str">
        <f>HYPERLINK("https://www.sds-group.ru/product/setevoe-zaryadnoe-ustroystvo-s-portami-usb-a-i-usb-c-30vt-chernoe-rexant-18-2219/", "Инфо")</f>
        <v>Инфо</v>
      </c>
      <c r="F8961" s="16" t="s">
        <v>39</v>
      </c>
      <c r="G8961" s="15"/>
      <c r="H8961" s="15"/>
      <c r="I8961" s="15"/>
      <c r="J8961" s="22">
        <v>1414</v>
      </c>
      <c r="K8961" s="15"/>
      <c r="L8961" s="17">
        <v>1</v>
      </c>
      <c r="M8961" s="17">
        <v>100</v>
      </c>
      <c r="N8961" s="17">
        <v>1</v>
      </c>
      <c r="O8961" s="18">
        <v>828.99</v>
      </c>
      <c r="P8961" s="18">
        <v>679.5</v>
      </c>
      <c r="Q8961" s="18">
        <v>580.29</v>
      </c>
      <c r="R8961" s="18">
        <v>475.65</v>
      </c>
      <c r="S8961" s="18">
        <v>563.71</v>
      </c>
      <c r="T8961" s="18">
        <v>462.06</v>
      </c>
      <c r="U8961" s="16"/>
      <c r="V8961" s="16"/>
      <c r="W8961" s="16"/>
      <c r="X8961" s="19">
        <v>8.6999999999999994E-2</v>
      </c>
      <c r="Y8961" s="20">
        <v>4.17E-4</v>
      </c>
      <c r="Z8961" s="21">
        <v>4601004310902</v>
      </c>
    </row>
    <row r="8962" spans="1:26" ht="12" customHeight="1" outlineLevel="4" x14ac:dyDescent="0.2">
      <c r="A8962" s="14" t="s">
        <v>17090</v>
      </c>
      <c r="B8962" s="26" t="s">
        <v>17091</v>
      </c>
      <c r="C8962" s="52"/>
      <c r="D8962" s="55">
        <f t="shared" si="139"/>
        <v>0</v>
      </c>
      <c r="E8962" s="63" t="str">
        <f>HYPERLINK("https://www.sds-group.ru/product/setevoe-zaryadnoe-ustroystvo-perehodnik-rexant-3xusb-adapter-30w-chernoe-18-2215/", "Инфо")</f>
        <v>Инфо</v>
      </c>
      <c r="F8962" s="16" t="s">
        <v>39</v>
      </c>
      <c r="G8962" s="15"/>
      <c r="H8962" s="15"/>
      <c r="I8962" s="15"/>
      <c r="J8962" s="17">
        <v>944</v>
      </c>
      <c r="K8962" s="15"/>
      <c r="L8962" s="17">
        <v>5</v>
      </c>
      <c r="M8962" s="17">
        <v>100</v>
      </c>
      <c r="N8962" s="17">
        <v>5</v>
      </c>
      <c r="O8962" s="18">
        <v>431.21</v>
      </c>
      <c r="P8962" s="18">
        <v>353.45</v>
      </c>
      <c r="Q8962" s="18">
        <v>344.97</v>
      </c>
      <c r="R8962" s="18">
        <v>282.76</v>
      </c>
      <c r="S8962" s="18">
        <v>293.22000000000003</v>
      </c>
      <c r="T8962" s="18">
        <v>240.34</v>
      </c>
      <c r="U8962" s="16"/>
      <c r="V8962" s="16"/>
      <c r="W8962" s="16" t="s">
        <v>40</v>
      </c>
      <c r="X8962" s="19">
        <v>8.2000000000000003E-2</v>
      </c>
      <c r="Y8962" s="20">
        <v>5.7899999999999998E-4</v>
      </c>
      <c r="Z8962" s="21">
        <v>4601004235748</v>
      </c>
    </row>
    <row r="8963" spans="1:26" ht="12.95" customHeight="1" outlineLevel="3" x14ac:dyDescent="0.2">
      <c r="A8963" s="76" t="s">
        <v>17092</v>
      </c>
      <c r="B8963" s="76"/>
      <c r="C8963" s="77"/>
      <c r="D8963" s="58"/>
      <c r="E8963" s="68"/>
      <c r="F8963" s="13"/>
      <c r="G8963" s="13"/>
      <c r="H8963" s="13"/>
      <c r="I8963" s="13"/>
      <c r="J8963" s="13"/>
      <c r="K8963" s="13"/>
      <c r="L8963" s="13"/>
      <c r="M8963" s="13"/>
      <c r="N8963" s="13"/>
      <c r="O8963" s="13"/>
      <c r="P8963" s="13"/>
      <c r="Q8963" s="13"/>
      <c r="R8963" s="13"/>
      <c r="S8963" s="13"/>
      <c r="T8963" s="13"/>
      <c r="U8963" s="13"/>
      <c r="V8963" s="13"/>
      <c r="W8963" s="13"/>
      <c r="X8963" s="13"/>
      <c r="Y8963" s="13"/>
      <c r="Z8963" s="13"/>
    </row>
    <row r="8964" spans="1:26" ht="12" customHeight="1" outlineLevel="4" x14ac:dyDescent="0.2">
      <c r="A8964" s="14" t="s">
        <v>17093</v>
      </c>
      <c r="B8964" s="26" t="s">
        <v>17094</v>
      </c>
      <c r="C8964" s="52"/>
      <c r="D8964" s="55">
        <f t="shared" si="139"/>
        <v>0</v>
      </c>
      <c r="E8964" s="63" t="str">
        <f>HYPERLINK("https://www.sds-group.ru/product/avtozaryadka-v-prikurivatel-2husb-azu-1000-2100-ma-rexant-18-1199/", "Инфо")</f>
        <v>Инфо</v>
      </c>
      <c r="F8964" s="16" t="s">
        <v>39</v>
      </c>
      <c r="G8964" s="15"/>
      <c r="H8964" s="15"/>
      <c r="I8964" s="15"/>
      <c r="J8964" s="22">
        <v>1437</v>
      </c>
      <c r="K8964" s="15" t="s">
        <v>995</v>
      </c>
      <c r="L8964" s="17">
        <v>10</v>
      </c>
      <c r="M8964" s="17">
        <v>500</v>
      </c>
      <c r="N8964" s="17">
        <v>10</v>
      </c>
      <c r="O8964" s="18">
        <v>444.38</v>
      </c>
      <c r="P8964" s="18">
        <v>364.25</v>
      </c>
      <c r="Q8964" s="18">
        <v>377.72</v>
      </c>
      <c r="R8964" s="18">
        <v>309.61</v>
      </c>
      <c r="S8964" s="18">
        <v>302.18</v>
      </c>
      <c r="T8964" s="18">
        <v>247.69</v>
      </c>
      <c r="U8964" s="16"/>
      <c r="V8964" s="16"/>
      <c r="W8964" s="16" t="s">
        <v>40</v>
      </c>
      <c r="X8964" s="19">
        <v>2.5000000000000001E-2</v>
      </c>
      <c r="Y8964" s="20">
        <v>1.08E-4</v>
      </c>
      <c r="Z8964" s="21">
        <v>4601004089945</v>
      </c>
    </row>
    <row r="8965" spans="1:26" ht="12" customHeight="1" outlineLevel="4" x14ac:dyDescent="0.2">
      <c r="A8965" s="32" t="s">
        <v>17095</v>
      </c>
      <c r="B8965" s="74" t="s">
        <v>17096</v>
      </c>
      <c r="C8965" s="50"/>
      <c r="D8965" s="53">
        <f t="shared" si="139"/>
        <v>0</v>
      </c>
      <c r="E8965" s="60" t="str">
        <f>HYPERLINK("https://www.sds-group.ru/product/avtozaryadka-v-prikurivatel-microusb-azu-5-v-1000-ma-shnur-pryamoy-1-2-m-chernaya-rexant-16-0250/", "Инфо")</f>
        <v>Инфо</v>
      </c>
      <c r="F8965" s="34" t="s">
        <v>39</v>
      </c>
      <c r="G8965" s="33"/>
      <c r="H8965" s="33" t="s">
        <v>40</v>
      </c>
      <c r="I8965" s="33"/>
      <c r="J8965" s="35">
        <v>293</v>
      </c>
      <c r="K8965" s="33"/>
      <c r="L8965" s="35">
        <v>1</v>
      </c>
      <c r="M8965" s="35">
        <v>100</v>
      </c>
      <c r="N8965" s="35">
        <v>1</v>
      </c>
      <c r="O8965" s="36">
        <v>166.37</v>
      </c>
      <c r="P8965" s="36">
        <v>136.37</v>
      </c>
      <c r="Q8965" s="36">
        <v>116.46</v>
      </c>
      <c r="R8965" s="36">
        <v>95.46</v>
      </c>
      <c r="S8965" s="36">
        <v>113.13</v>
      </c>
      <c r="T8965" s="36">
        <v>92.73</v>
      </c>
      <c r="U8965" s="34"/>
      <c r="V8965" s="34"/>
      <c r="W8965" s="34"/>
      <c r="X8965" s="37">
        <v>4.3999999999999997E-2</v>
      </c>
      <c r="Y8965" s="38">
        <v>4.44E-4</v>
      </c>
      <c r="Z8965" s="21">
        <v>4601004026629</v>
      </c>
    </row>
    <row r="8966" spans="1:26" ht="12" customHeight="1" outlineLevel="4" x14ac:dyDescent="0.2">
      <c r="A8966" s="32" t="s">
        <v>17097</v>
      </c>
      <c r="B8966" s="74" t="s">
        <v>17098</v>
      </c>
      <c r="C8966" s="50"/>
      <c r="D8966" s="53">
        <f t="shared" si="139"/>
        <v>0</v>
      </c>
      <c r="E8966" s="60" t="str">
        <f>HYPERLINK("https://www.sds-group.ru/product/avtozaryadka-v-prikurivatel-usb-azu-5-v-1000-ma-rexant-16-0236/", "Инфо")</f>
        <v>Инфо</v>
      </c>
      <c r="F8966" s="34" t="s">
        <v>39</v>
      </c>
      <c r="G8966" s="33"/>
      <c r="H8966" s="33" t="s">
        <v>40</v>
      </c>
      <c r="I8966" s="33"/>
      <c r="J8966" s="35">
        <v>134</v>
      </c>
      <c r="K8966" s="33"/>
      <c r="L8966" s="35">
        <v>10</v>
      </c>
      <c r="M8966" s="35">
        <v>500</v>
      </c>
      <c r="N8966" s="35">
        <v>10</v>
      </c>
      <c r="O8966" s="36">
        <v>260.01</v>
      </c>
      <c r="P8966" s="36">
        <v>213.12</v>
      </c>
      <c r="Q8966" s="36">
        <v>221.01</v>
      </c>
      <c r="R8966" s="36">
        <v>181.16</v>
      </c>
      <c r="S8966" s="36">
        <v>176.81</v>
      </c>
      <c r="T8966" s="36">
        <v>144.93</v>
      </c>
      <c r="U8966" s="34"/>
      <c r="V8966" s="34"/>
      <c r="W8966" s="34" t="s">
        <v>40</v>
      </c>
      <c r="X8966" s="37">
        <v>2.1999999999999999E-2</v>
      </c>
      <c r="Y8966" s="38">
        <v>9.1000000000000003E-5</v>
      </c>
      <c r="Z8966" s="21">
        <v>4660008015855</v>
      </c>
    </row>
    <row r="8967" spans="1:26" ht="12" customHeight="1" outlineLevel="4" x14ac:dyDescent="0.2">
      <c r="A8967" s="32" t="s">
        <v>17099</v>
      </c>
      <c r="B8967" s="74" t="s">
        <v>17100</v>
      </c>
      <c r="C8967" s="50"/>
      <c r="D8967" s="53">
        <f t="shared" si="139"/>
        <v>0</v>
      </c>
      <c r="E8967" s="60" t="str">
        <f>HYPERLINK("https://www.sds-group.ru/product/avtozaryadka-v-prikurivatel-rexant-azu-2husb-gnezdo-12-24v-5v-1-000ma-16-0299/", "Инфо")</f>
        <v>Инфо</v>
      </c>
      <c r="F8967" s="34" t="s">
        <v>39</v>
      </c>
      <c r="G8967" s="33"/>
      <c r="H8967" s="33" t="s">
        <v>40</v>
      </c>
      <c r="I8967" s="33"/>
      <c r="J8967" s="39">
        <v>1624</v>
      </c>
      <c r="K8967" s="33"/>
      <c r="L8967" s="35">
        <v>1</v>
      </c>
      <c r="M8967" s="35">
        <v>25</v>
      </c>
      <c r="N8967" s="35">
        <v>1</v>
      </c>
      <c r="O8967" s="36">
        <v>258.75</v>
      </c>
      <c r="P8967" s="36">
        <v>212.09</v>
      </c>
      <c r="Q8967" s="36">
        <v>181.13</v>
      </c>
      <c r="R8967" s="36">
        <v>148.47</v>
      </c>
      <c r="S8967" s="36">
        <v>175.95</v>
      </c>
      <c r="T8967" s="36">
        <v>144.22</v>
      </c>
      <c r="U8967" s="34"/>
      <c r="V8967" s="34"/>
      <c r="W8967" s="34"/>
      <c r="X8967" s="37">
        <v>7.5999999999999998E-2</v>
      </c>
      <c r="Y8967" s="38">
        <v>6.1399999999999996E-4</v>
      </c>
      <c r="Z8967" s="21">
        <v>4601004235779</v>
      </c>
    </row>
    <row r="8968" spans="1:26" ht="12" customHeight="1" outlineLevel="4" x14ac:dyDescent="0.2">
      <c r="A8968" s="14" t="s">
        <v>17101</v>
      </c>
      <c r="B8968" s="26" t="s">
        <v>17102</v>
      </c>
      <c r="C8968" s="52"/>
      <c r="D8968" s="55">
        <f t="shared" si="139"/>
        <v>0</v>
      </c>
      <c r="E8968" s="63" t="str">
        <f>HYPERLINK("https://www.sds-group.ru/product/avtozaryadka-v-prikurivatel-azu-usb-a-qc-3-0-usb-c-pd-38vt-chernaya-rexant-18-1200/", "Инфо")</f>
        <v>Инфо</v>
      </c>
      <c r="F8968" s="16" t="s">
        <v>39</v>
      </c>
      <c r="G8968" s="15"/>
      <c r="H8968" s="15"/>
      <c r="I8968" s="15"/>
      <c r="J8968" s="17">
        <v>147</v>
      </c>
      <c r="K8968" s="15" t="s">
        <v>476</v>
      </c>
      <c r="L8968" s="17">
        <v>1</v>
      </c>
      <c r="M8968" s="17">
        <v>200</v>
      </c>
      <c r="N8968" s="17">
        <v>1</v>
      </c>
      <c r="O8968" s="18">
        <v>683.21</v>
      </c>
      <c r="P8968" s="18">
        <v>560.01</v>
      </c>
      <c r="Q8968" s="18">
        <v>478.25</v>
      </c>
      <c r="R8968" s="18">
        <v>392.01</v>
      </c>
      <c r="S8968" s="18">
        <v>464.58</v>
      </c>
      <c r="T8968" s="18">
        <v>380.8</v>
      </c>
      <c r="U8968" s="16"/>
      <c r="V8968" s="16"/>
      <c r="W8968" s="16"/>
      <c r="X8968" s="19">
        <v>2.5999999999999999E-2</v>
      </c>
      <c r="Y8968" s="20">
        <v>1.17E-4</v>
      </c>
      <c r="Z8968" s="21">
        <v>4601004284012</v>
      </c>
    </row>
    <row r="8969" spans="1:26" ht="12" customHeight="1" outlineLevel="4" x14ac:dyDescent="0.2">
      <c r="A8969" s="32" t="s">
        <v>17103</v>
      </c>
      <c r="B8969" s="74" t="s">
        <v>17104</v>
      </c>
      <c r="C8969" s="50"/>
      <c r="D8969" s="53">
        <f t="shared" ref="D8969:D9032" si="140">C8969*(O8969-O8969*$G$3)</f>
        <v>0</v>
      </c>
      <c r="E8969" s="60" t="str">
        <f>HYPERLINK("https://www.sds-group.ru/product/avtozaryadka-v-prikurivatel-rexant-azu-usb-a-usb-c-3-1-a-belaya-18-2227/", "Инфо")</f>
        <v>Инфо</v>
      </c>
      <c r="F8969" s="34" t="s">
        <v>39</v>
      </c>
      <c r="G8969" s="33"/>
      <c r="H8969" s="33" t="s">
        <v>40</v>
      </c>
      <c r="I8969" s="33"/>
      <c r="J8969" s="35">
        <v>853</v>
      </c>
      <c r="K8969" s="33"/>
      <c r="L8969" s="35">
        <v>1</v>
      </c>
      <c r="M8969" s="35">
        <v>30</v>
      </c>
      <c r="N8969" s="35">
        <v>1</v>
      </c>
      <c r="O8969" s="36">
        <v>522.64</v>
      </c>
      <c r="P8969" s="36">
        <v>428.39</v>
      </c>
      <c r="Q8969" s="36">
        <v>365.85</v>
      </c>
      <c r="R8969" s="36">
        <v>299.88</v>
      </c>
      <c r="S8969" s="36">
        <v>355.4</v>
      </c>
      <c r="T8969" s="36">
        <v>291.31</v>
      </c>
      <c r="U8969" s="34"/>
      <c r="V8969" s="34"/>
      <c r="W8969" s="34"/>
      <c r="X8969" s="37">
        <v>5.0999999999999997E-2</v>
      </c>
      <c r="Y8969" s="38">
        <v>5.4600000000000004E-4</v>
      </c>
      <c r="Z8969" s="21">
        <v>4601004235793</v>
      </c>
    </row>
    <row r="8970" spans="1:26" ht="12" customHeight="1" outlineLevel="4" x14ac:dyDescent="0.2">
      <c r="A8970" s="14" t="s">
        <v>17105</v>
      </c>
      <c r="B8970" s="26" t="s">
        <v>17106</v>
      </c>
      <c r="C8970" s="52"/>
      <c r="D8970" s="55">
        <f t="shared" si="140"/>
        <v>0</v>
      </c>
      <c r="E8970" s="63" t="str">
        <f>HYPERLINK("https://www.sds-group.ru/product/avtozaryadka-s-indikatorom-razem-1-4h3-4-azu-shnur-pryamoy-1-5-m-rexant-16-0235-4/", "Инфо")</f>
        <v>Инфо</v>
      </c>
      <c r="F8970" s="16" t="s">
        <v>39</v>
      </c>
      <c r="G8970" s="15"/>
      <c r="H8970" s="15"/>
      <c r="I8970" s="15"/>
      <c r="J8970" s="22">
        <v>2241</v>
      </c>
      <c r="K8970" s="15"/>
      <c r="L8970" s="17">
        <v>10</v>
      </c>
      <c r="M8970" s="17">
        <v>200</v>
      </c>
      <c r="N8970" s="17">
        <v>10</v>
      </c>
      <c r="O8970" s="18">
        <v>299.77999999999997</v>
      </c>
      <c r="P8970" s="18">
        <v>245.72</v>
      </c>
      <c r="Q8970" s="18">
        <v>254.81</v>
      </c>
      <c r="R8970" s="18">
        <v>208.86</v>
      </c>
      <c r="S8970" s="18">
        <v>203.85</v>
      </c>
      <c r="T8970" s="18">
        <v>167.09</v>
      </c>
      <c r="U8970" s="16"/>
      <c r="V8970" s="16"/>
      <c r="W8970" s="16" t="s">
        <v>40</v>
      </c>
      <c r="X8970" s="19">
        <v>5.8999999999999997E-2</v>
      </c>
      <c r="Y8970" s="20">
        <v>1.94E-4</v>
      </c>
      <c r="Z8970" s="21">
        <v>4601004080324</v>
      </c>
    </row>
    <row r="8971" spans="1:26" ht="12" customHeight="1" outlineLevel="4" x14ac:dyDescent="0.2">
      <c r="A8971" s="32" t="s">
        <v>17107</v>
      </c>
      <c r="B8971" s="74" t="s">
        <v>17108</v>
      </c>
      <c r="C8971" s="50"/>
      <c r="D8971" s="53">
        <f t="shared" si="140"/>
        <v>0</v>
      </c>
      <c r="E8971" s="60" t="str">
        <f>HYPERLINK("https://www.sds-group.ru/product/avtozaryadka-s-indikatorom-razem-1-4h3-4-azu-shnur-spiral-1-5-m-rexant-16-0235/", "Инфо")</f>
        <v>Инфо</v>
      </c>
      <c r="F8971" s="34" t="s">
        <v>39</v>
      </c>
      <c r="G8971" s="33"/>
      <c r="H8971" s="33" t="s">
        <v>40</v>
      </c>
      <c r="I8971" s="33"/>
      <c r="J8971" s="35">
        <v>725</v>
      </c>
      <c r="K8971" s="33"/>
      <c r="L8971" s="35">
        <v>10</v>
      </c>
      <c r="M8971" s="35">
        <v>200</v>
      </c>
      <c r="N8971" s="35">
        <v>10</v>
      </c>
      <c r="O8971" s="36">
        <v>336.16</v>
      </c>
      <c r="P8971" s="36">
        <v>275.54000000000002</v>
      </c>
      <c r="Q8971" s="36">
        <v>285.74</v>
      </c>
      <c r="R8971" s="36">
        <v>234.21</v>
      </c>
      <c r="S8971" s="36">
        <v>228.59</v>
      </c>
      <c r="T8971" s="36">
        <v>187.37</v>
      </c>
      <c r="U8971" s="34"/>
      <c r="V8971" s="34"/>
      <c r="W8971" s="34" t="s">
        <v>40</v>
      </c>
      <c r="X8971" s="37">
        <v>5.3999999999999999E-2</v>
      </c>
      <c r="Y8971" s="38">
        <v>1.6100000000000001E-4</v>
      </c>
      <c r="Z8971" s="21">
        <v>4660008015497</v>
      </c>
    </row>
    <row r="8972" spans="1:26" ht="12" customHeight="1" outlineLevel="4" x14ac:dyDescent="0.2">
      <c r="A8972" s="14" t="s">
        <v>17109</v>
      </c>
      <c r="B8972" s="26" t="s">
        <v>17110</v>
      </c>
      <c r="C8972" s="52"/>
      <c r="D8972" s="55">
        <f t="shared" si="140"/>
        <v>0</v>
      </c>
      <c r="E8972" s="63" t="str">
        <f>HYPERLINK("https://www.sds-group.ru/product/avtozaryadka-s-indikatorom-razem-2-1h5-5-azu-shnur-pryamoy-1-5-m-rexant-16-0231/", "Инфо")</f>
        <v>Инфо</v>
      </c>
      <c r="F8972" s="16" t="s">
        <v>39</v>
      </c>
      <c r="G8972" s="15"/>
      <c r="H8972" s="15"/>
      <c r="I8972" s="15"/>
      <c r="J8972" s="22">
        <v>1926</v>
      </c>
      <c r="K8972" s="15" t="s">
        <v>1035</v>
      </c>
      <c r="L8972" s="17">
        <v>10</v>
      </c>
      <c r="M8972" s="17">
        <v>200</v>
      </c>
      <c r="N8972" s="17">
        <v>10</v>
      </c>
      <c r="O8972" s="18">
        <v>241.23</v>
      </c>
      <c r="P8972" s="18">
        <v>197.73</v>
      </c>
      <c r="Q8972" s="18">
        <v>205.05</v>
      </c>
      <c r="R8972" s="18">
        <v>168.07</v>
      </c>
      <c r="S8972" s="18">
        <v>164.04</v>
      </c>
      <c r="T8972" s="18">
        <v>134.46</v>
      </c>
      <c r="U8972" s="16"/>
      <c r="V8972" s="16"/>
      <c r="W8972" s="16" t="s">
        <v>40</v>
      </c>
      <c r="X8972" s="19">
        <v>4.9000000000000002E-2</v>
      </c>
      <c r="Y8972" s="20">
        <v>1.5300000000000001E-4</v>
      </c>
      <c r="Z8972" s="21">
        <v>4601004018143</v>
      </c>
    </row>
    <row r="8973" spans="1:26" ht="12" customHeight="1" outlineLevel="4" x14ac:dyDescent="0.2">
      <c r="A8973" s="14" t="s">
        <v>17111</v>
      </c>
      <c r="B8973" s="26" t="s">
        <v>17112</v>
      </c>
      <c r="C8973" s="52"/>
      <c r="D8973" s="55">
        <f t="shared" si="140"/>
        <v>0</v>
      </c>
      <c r="E8973" s="63" t="str">
        <f>HYPERLINK("https://www.sds-group.ru/product/avtozaryadka-s-indikatorom-razem-2-1h5-5-azu-shnur-spiral-1-5-m-rexant-16-0233/", "Инфо")</f>
        <v>Инфо</v>
      </c>
      <c r="F8973" s="16" t="s">
        <v>39</v>
      </c>
      <c r="G8973" s="15"/>
      <c r="H8973" s="15"/>
      <c r="I8973" s="15"/>
      <c r="J8973" s="22">
        <v>1024</v>
      </c>
      <c r="K8973" s="15"/>
      <c r="L8973" s="17">
        <v>10</v>
      </c>
      <c r="M8973" s="17">
        <v>200</v>
      </c>
      <c r="N8973" s="17">
        <v>10</v>
      </c>
      <c r="O8973" s="18">
        <v>336.16</v>
      </c>
      <c r="P8973" s="18">
        <v>275.54000000000002</v>
      </c>
      <c r="Q8973" s="18">
        <v>285.74</v>
      </c>
      <c r="R8973" s="18">
        <v>234.21</v>
      </c>
      <c r="S8973" s="18">
        <v>228.59</v>
      </c>
      <c r="T8973" s="18">
        <v>187.37</v>
      </c>
      <c r="U8973" s="16"/>
      <c r="V8973" s="16"/>
      <c r="W8973" s="16" t="s">
        <v>40</v>
      </c>
      <c r="X8973" s="19">
        <v>4.4999999999999998E-2</v>
      </c>
      <c r="Y8973" s="20">
        <v>1.5300000000000001E-4</v>
      </c>
      <c r="Z8973" s="21">
        <v>4660008015473</v>
      </c>
    </row>
    <row r="8974" spans="1:26" ht="12" customHeight="1" outlineLevel="4" x14ac:dyDescent="0.2">
      <c r="A8974" s="14" t="s">
        <v>17113</v>
      </c>
      <c r="B8974" s="26" t="s">
        <v>17114</v>
      </c>
      <c r="C8974" s="52"/>
      <c r="D8974" s="55">
        <f t="shared" si="140"/>
        <v>0</v>
      </c>
      <c r="E8974" s="63" t="str">
        <f>HYPERLINK("https://www.sds-group.ru/product/avtozaryadka-s-indikatorom-razem-2-5h5-5-azu-shnur-spiral-1-5-m-rexant-16-0234/", "Инфо")</f>
        <v>Инфо</v>
      </c>
      <c r="F8974" s="16" t="s">
        <v>39</v>
      </c>
      <c r="G8974" s="15"/>
      <c r="H8974" s="15"/>
      <c r="I8974" s="15"/>
      <c r="J8974" s="16" t="s">
        <v>100</v>
      </c>
      <c r="K8974" s="15" t="s">
        <v>1004</v>
      </c>
      <c r="L8974" s="17">
        <v>10</v>
      </c>
      <c r="M8974" s="17">
        <v>200</v>
      </c>
      <c r="N8974" s="17">
        <v>10</v>
      </c>
      <c r="O8974" s="18">
        <v>336.16</v>
      </c>
      <c r="P8974" s="18">
        <v>275.54000000000002</v>
      </c>
      <c r="Q8974" s="18">
        <v>285.74</v>
      </c>
      <c r="R8974" s="18">
        <v>234.21</v>
      </c>
      <c r="S8974" s="18">
        <v>228.59</v>
      </c>
      <c r="T8974" s="18">
        <v>187.37</v>
      </c>
      <c r="U8974" s="16"/>
      <c r="V8974" s="16"/>
      <c r="W8974" s="16" t="s">
        <v>40</v>
      </c>
      <c r="X8974" s="19">
        <v>5.5E-2</v>
      </c>
      <c r="Y8974" s="20">
        <v>1.65E-4</v>
      </c>
      <c r="Z8974" s="21">
        <v>4660008015480</v>
      </c>
    </row>
    <row r="8975" spans="1:26" ht="12" customHeight="1" outlineLevel="4" x14ac:dyDescent="0.2">
      <c r="A8975" s="14" t="s">
        <v>17115</v>
      </c>
      <c r="B8975" s="26" t="s">
        <v>17116</v>
      </c>
      <c r="C8975" s="52"/>
      <c r="D8975" s="55">
        <f t="shared" si="140"/>
        <v>0</v>
      </c>
      <c r="E8975" s="63" t="str">
        <f>HYPERLINK("https://www.sds-group.ru/product/avtomobilnoe-zaryadnoe-ustroystvo-c-dvumya-portami-usb-a-usb-c-c-led-podsvetkoy-20vt-18-2243-5/", "Инфо")</f>
        <v>Инфо</v>
      </c>
      <c r="F8975" s="16" t="s">
        <v>39</v>
      </c>
      <c r="G8975" s="15"/>
      <c r="H8975" s="15"/>
      <c r="I8975" s="15"/>
      <c r="J8975" s="17">
        <v>69</v>
      </c>
      <c r="K8975" s="15"/>
      <c r="L8975" s="17">
        <v>5</v>
      </c>
      <c r="M8975" s="17">
        <v>200</v>
      </c>
      <c r="N8975" s="17">
        <v>5</v>
      </c>
      <c r="O8975" s="18">
        <v>518.53</v>
      </c>
      <c r="P8975" s="18">
        <v>425.02</v>
      </c>
      <c r="Q8975" s="18">
        <v>409.64</v>
      </c>
      <c r="R8975" s="18">
        <v>335.77</v>
      </c>
      <c r="S8975" s="18">
        <v>352.6</v>
      </c>
      <c r="T8975" s="18">
        <v>289.02</v>
      </c>
      <c r="U8975" s="16"/>
      <c r="V8975" s="16"/>
      <c r="W8975" s="16" t="s">
        <v>40</v>
      </c>
      <c r="X8975" s="19">
        <v>3.5999999999999997E-2</v>
      </c>
      <c r="Y8975" s="20">
        <v>3.4499999999999998E-4</v>
      </c>
      <c r="Z8975" s="21">
        <v>4601004295186</v>
      </c>
    </row>
    <row r="8976" spans="1:26" ht="12" customHeight="1" outlineLevel="4" x14ac:dyDescent="0.2">
      <c r="A8976" s="14" t="s">
        <v>17117</v>
      </c>
      <c r="B8976" s="26" t="s">
        <v>17118</v>
      </c>
      <c r="C8976" s="52"/>
      <c r="D8976" s="55">
        <f t="shared" si="140"/>
        <v>0</v>
      </c>
      <c r="E8976" s="63" t="str">
        <f>HYPERLINK("https://www.sds-group.ru/product/avtomobilnoe-zaryadnoe-ustroystvo-c-dvumya-portami-usb-a-qc-3-0-usb-a-3-1a-so-svetovoy-indik-16-0240/", "Инфо")</f>
        <v>Инфо</v>
      </c>
      <c r="F8976" s="16" t="s">
        <v>39</v>
      </c>
      <c r="G8976" s="15"/>
      <c r="H8976" s="15"/>
      <c r="I8976" s="15"/>
      <c r="J8976" s="22">
        <v>2627</v>
      </c>
      <c r="K8976" s="15"/>
      <c r="L8976" s="17">
        <v>5</v>
      </c>
      <c r="M8976" s="17">
        <v>120</v>
      </c>
      <c r="N8976" s="17">
        <v>5</v>
      </c>
      <c r="O8976" s="18">
        <v>398.87</v>
      </c>
      <c r="P8976" s="18">
        <v>326.94</v>
      </c>
      <c r="Q8976" s="18">
        <v>279.20999999999998</v>
      </c>
      <c r="R8976" s="18">
        <v>228.86</v>
      </c>
      <c r="S8976" s="18">
        <v>271.23</v>
      </c>
      <c r="T8976" s="18">
        <v>222.32</v>
      </c>
      <c r="U8976" s="16"/>
      <c r="V8976" s="16"/>
      <c r="W8976" s="16"/>
      <c r="X8976" s="19">
        <v>4.7E-2</v>
      </c>
      <c r="Y8976" s="20">
        <v>3.2899999999999997E-4</v>
      </c>
      <c r="Z8976" s="21">
        <v>4601004312104</v>
      </c>
    </row>
    <row r="8977" spans="1:26" ht="12" customHeight="1" outlineLevel="4" x14ac:dyDescent="0.2">
      <c r="A8977" s="14" t="s">
        <v>17119</v>
      </c>
      <c r="B8977" s="26" t="s">
        <v>17120</v>
      </c>
      <c r="C8977" s="52"/>
      <c r="D8977" s="55">
        <f t="shared" si="140"/>
        <v>0</v>
      </c>
      <c r="E8977" s="63" t="str">
        <f>HYPERLINK("https://www.sds-group.ru/product/avtomobilnoe-zaryadnoe-ustroystvo-c-dvumya-portami-usb-a-qc-3-0-usb-c-pd-co-svetovoy-indikat-16-0241/", "Инфо")</f>
        <v>Инфо</v>
      </c>
      <c r="F8977" s="16" t="s">
        <v>39</v>
      </c>
      <c r="G8977" s="15"/>
      <c r="H8977" s="15"/>
      <c r="I8977" s="15"/>
      <c r="J8977" s="22">
        <v>1366</v>
      </c>
      <c r="K8977" s="15"/>
      <c r="L8977" s="17">
        <v>1</v>
      </c>
      <c r="M8977" s="17">
        <v>120</v>
      </c>
      <c r="N8977" s="17">
        <v>1</v>
      </c>
      <c r="O8977" s="18">
        <v>614.76</v>
      </c>
      <c r="P8977" s="18">
        <v>503.9</v>
      </c>
      <c r="Q8977" s="18">
        <v>485.66</v>
      </c>
      <c r="R8977" s="18">
        <v>398.08</v>
      </c>
      <c r="S8977" s="18">
        <v>418.04</v>
      </c>
      <c r="T8977" s="18">
        <v>342.66</v>
      </c>
      <c r="U8977" s="16"/>
      <c r="V8977" s="16"/>
      <c r="W8977" s="16" t="s">
        <v>40</v>
      </c>
      <c r="X8977" s="19">
        <v>4.5999999999999999E-2</v>
      </c>
      <c r="Y8977" s="20">
        <v>3.3100000000000002E-4</v>
      </c>
      <c r="Z8977" s="21">
        <v>4601004312098</v>
      </c>
    </row>
    <row r="8978" spans="1:26" ht="12" customHeight="1" outlineLevel="4" x14ac:dyDescent="0.2">
      <c r="A8978" s="14" t="s">
        <v>17121</v>
      </c>
      <c r="B8978" s="26" t="s">
        <v>17122</v>
      </c>
      <c r="C8978" s="52"/>
      <c r="D8978" s="55">
        <f t="shared" si="140"/>
        <v>0</v>
      </c>
      <c r="E8978" s="63" t="str">
        <f>HYPERLINK("https://www.sds-group.ru/product/avtomobilnoe-zaryadnoe-ustroystvo-c-dvumya-portami-usb-c-usb-a-c-led-podsvetkoy-48vt-rexan-18-2230-5/", "Инфо")</f>
        <v>Инфо</v>
      </c>
      <c r="F8978" s="16" t="s">
        <v>39</v>
      </c>
      <c r="G8978" s="15"/>
      <c r="H8978" s="15"/>
      <c r="I8978" s="15"/>
      <c r="J8978" s="17">
        <v>659</v>
      </c>
      <c r="K8978" s="15" t="s">
        <v>1094</v>
      </c>
      <c r="L8978" s="17">
        <v>1</v>
      </c>
      <c r="M8978" s="17">
        <v>200</v>
      </c>
      <c r="N8978" s="17">
        <v>1</v>
      </c>
      <c r="O8978" s="18">
        <v>807.43</v>
      </c>
      <c r="P8978" s="18">
        <v>661.83</v>
      </c>
      <c r="Q8978" s="18">
        <v>565.20000000000005</v>
      </c>
      <c r="R8978" s="18">
        <v>463.28</v>
      </c>
      <c r="S8978" s="18">
        <v>549.04999999999995</v>
      </c>
      <c r="T8978" s="18">
        <v>450.04</v>
      </c>
      <c r="U8978" s="16"/>
      <c r="V8978" s="16"/>
      <c r="W8978" s="16"/>
      <c r="X8978" s="19">
        <v>4.9000000000000002E-2</v>
      </c>
      <c r="Y8978" s="20">
        <v>3.4299999999999999E-4</v>
      </c>
      <c r="Z8978" s="21">
        <v>4601004293953</v>
      </c>
    </row>
    <row r="8979" spans="1:26" ht="12" customHeight="1" outlineLevel="4" x14ac:dyDescent="0.2">
      <c r="A8979" s="14" t="s">
        <v>17123</v>
      </c>
      <c r="B8979" s="26" t="s">
        <v>17124</v>
      </c>
      <c r="C8979" s="52"/>
      <c r="D8979" s="55">
        <f t="shared" si="140"/>
        <v>0</v>
      </c>
      <c r="E8979" s="63" t="str">
        <f>HYPERLINK("https://www.sds-group.ru/product/avtomobilnoe-zaryadnoe-ustroystvo-c-dvumya-portami-usb-c-usb-a-c-led-podsvetkoy-68vt-rexan-18-2231-5/", "Инфо")</f>
        <v>Инфо</v>
      </c>
      <c r="F8979" s="16" t="s">
        <v>39</v>
      </c>
      <c r="G8979" s="15"/>
      <c r="H8979" s="15"/>
      <c r="I8979" s="15"/>
      <c r="J8979" s="22">
        <v>1229</v>
      </c>
      <c r="K8979" s="15"/>
      <c r="L8979" s="17">
        <v>1</v>
      </c>
      <c r="M8979" s="17">
        <v>200</v>
      </c>
      <c r="N8979" s="17">
        <v>1</v>
      </c>
      <c r="O8979" s="18">
        <v>861.33</v>
      </c>
      <c r="P8979" s="18">
        <v>706.01</v>
      </c>
      <c r="Q8979" s="18">
        <v>602.92999999999995</v>
      </c>
      <c r="R8979" s="18">
        <v>494.2</v>
      </c>
      <c r="S8979" s="18">
        <v>585.70000000000005</v>
      </c>
      <c r="T8979" s="18">
        <v>480.08</v>
      </c>
      <c r="U8979" s="16"/>
      <c r="V8979" s="16"/>
      <c r="W8979" s="16"/>
      <c r="X8979" s="19">
        <v>0.05</v>
      </c>
      <c r="Y8979" s="20">
        <v>3.39E-4</v>
      </c>
      <c r="Z8979" s="21">
        <v>4601004295087</v>
      </c>
    </row>
    <row r="8980" spans="1:26" ht="12" customHeight="1" outlineLevel="4" x14ac:dyDescent="0.2">
      <c r="A8980" s="14" t="s">
        <v>17125</v>
      </c>
      <c r="B8980" s="26" t="s">
        <v>17126</v>
      </c>
      <c r="C8980" s="52"/>
      <c r="D8980" s="55">
        <f t="shared" si="140"/>
        <v>0</v>
      </c>
      <c r="E8980" s="63" t="str">
        <f>HYPERLINK("https://www.sds-group.ru/product/avtomobilnoe-zaryadnoe-ustroystvo-c-dvumya-portami-usb-c-usb-s-c-led-podsvetkoy-75vt-rexan-18-2232-5/", "Инфо")</f>
        <v>Инфо</v>
      </c>
      <c r="F8980" s="16" t="s">
        <v>39</v>
      </c>
      <c r="G8980" s="15"/>
      <c r="H8980" s="15"/>
      <c r="I8980" s="15"/>
      <c r="J8980" s="16" t="s">
        <v>100</v>
      </c>
      <c r="K8980" s="15" t="s">
        <v>1094</v>
      </c>
      <c r="L8980" s="17">
        <v>1</v>
      </c>
      <c r="M8980" s="17">
        <v>200</v>
      </c>
      <c r="N8980" s="17">
        <v>1</v>
      </c>
      <c r="O8980" s="18">
        <v>1025.06</v>
      </c>
      <c r="P8980" s="18">
        <v>840.21</v>
      </c>
      <c r="Q8980" s="18">
        <v>717.54</v>
      </c>
      <c r="R8980" s="18">
        <v>588.15</v>
      </c>
      <c r="S8980" s="18">
        <v>697.04</v>
      </c>
      <c r="T8980" s="18">
        <v>571.34</v>
      </c>
      <c r="U8980" s="16"/>
      <c r="V8980" s="16"/>
      <c r="W8980" s="16"/>
      <c r="X8980" s="19">
        <v>4.9000000000000002E-2</v>
      </c>
      <c r="Y8980" s="20">
        <v>3.5E-4</v>
      </c>
      <c r="Z8980" s="21">
        <v>4601004293939</v>
      </c>
    </row>
    <row r="8981" spans="1:26" ht="12" customHeight="1" outlineLevel="4" x14ac:dyDescent="0.2">
      <c r="A8981" s="14" t="s">
        <v>17127</v>
      </c>
      <c r="B8981" s="26" t="s">
        <v>17128</v>
      </c>
      <c r="C8981" s="52"/>
      <c r="D8981" s="55">
        <f t="shared" si="140"/>
        <v>0</v>
      </c>
      <c r="E8981" s="63" t="str">
        <f>HYPERLINK("https://www.sds-group.ru/product/avtomobilnoe-zaryadnoe-ustroystvo-c-dvumya-portami-usb-a-usb-a-so-svetovoy-indikatsiey-12vt--18-2220/", "Инфо")</f>
        <v>Инфо</v>
      </c>
      <c r="F8981" s="16" t="s">
        <v>39</v>
      </c>
      <c r="G8981" s="15"/>
      <c r="H8981" s="15"/>
      <c r="I8981" s="15"/>
      <c r="J8981" s="22">
        <v>1495</v>
      </c>
      <c r="K8981" s="15"/>
      <c r="L8981" s="17">
        <v>5</v>
      </c>
      <c r="M8981" s="17">
        <v>120</v>
      </c>
      <c r="N8981" s="17">
        <v>5</v>
      </c>
      <c r="O8981" s="18">
        <v>291.07</v>
      </c>
      <c r="P8981" s="18">
        <v>238.58</v>
      </c>
      <c r="Q8981" s="18">
        <v>203.75</v>
      </c>
      <c r="R8981" s="18">
        <v>167.01</v>
      </c>
      <c r="S8981" s="18">
        <v>197.93</v>
      </c>
      <c r="T8981" s="18">
        <v>162.24</v>
      </c>
      <c r="U8981" s="16"/>
      <c r="V8981" s="16"/>
      <c r="W8981" s="16"/>
      <c r="X8981" s="19">
        <v>4.4999999999999998E-2</v>
      </c>
      <c r="Y8981" s="20">
        <v>3.2600000000000001E-4</v>
      </c>
      <c r="Z8981" s="21">
        <v>4601004312074</v>
      </c>
    </row>
    <row r="8982" spans="1:26" ht="12" customHeight="1" outlineLevel="4" x14ac:dyDescent="0.2">
      <c r="A8982" s="32" t="s">
        <v>17129</v>
      </c>
      <c r="B8982" s="74" t="s">
        <v>17130</v>
      </c>
      <c r="C8982" s="50"/>
      <c r="D8982" s="53">
        <f t="shared" si="140"/>
        <v>0</v>
      </c>
      <c r="E8982" s="60" t="str">
        <f>HYPERLINK("https://www.sds-group.ru/product/avtomobilnoe-zaryadnoe-ustroystvo-c-dvumya-portami-usb-a-type-s-12vt-rexant-18-2228/", "Инфо")</f>
        <v>Инфо</v>
      </c>
      <c r="F8982" s="34" t="s">
        <v>39</v>
      </c>
      <c r="G8982" s="33"/>
      <c r="H8982" s="33" t="s">
        <v>40</v>
      </c>
      <c r="I8982" s="33"/>
      <c r="J8982" s="35">
        <v>168</v>
      </c>
      <c r="K8982" s="33"/>
      <c r="L8982" s="35">
        <v>1</v>
      </c>
      <c r="M8982" s="35">
        <v>250</v>
      </c>
      <c r="N8982" s="35">
        <v>1</v>
      </c>
      <c r="O8982" s="36">
        <v>434.39</v>
      </c>
      <c r="P8982" s="36">
        <v>356.06</v>
      </c>
      <c r="Q8982" s="36">
        <v>304.07</v>
      </c>
      <c r="R8982" s="36">
        <v>249.24</v>
      </c>
      <c r="S8982" s="36">
        <v>295.39</v>
      </c>
      <c r="T8982" s="36">
        <v>242.12</v>
      </c>
      <c r="U8982" s="34"/>
      <c r="V8982" s="34"/>
      <c r="W8982" s="34"/>
      <c r="X8982" s="37">
        <v>4.2000000000000003E-2</v>
      </c>
      <c r="Y8982" s="38">
        <v>5.4299999999999997E-4</v>
      </c>
      <c r="Z8982" s="21">
        <v>4601004235809</v>
      </c>
    </row>
    <row r="8983" spans="1:26" ht="12" customHeight="1" outlineLevel="4" x14ac:dyDescent="0.2">
      <c r="A8983" s="14" t="s">
        <v>17131</v>
      </c>
      <c r="B8983" s="26" t="s">
        <v>17132</v>
      </c>
      <c r="C8983" s="52"/>
      <c r="D8983" s="55">
        <f t="shared" si="140"/>
        <v>0</v>
      </c>
      <c r="E8983" s="63" t="str">
        <f>HYPERLINK("https://www.sds-group.ru/product/avtomobilnoe-zaryadnoe-ustroystvo-s-dvumya-portami-usb-a-qc-3-0-usb-c-pd-so-svetovoy-indikat-16-0242/", "Инфо")</f>
        <v>Инфо</v>
      </c>
      <c r="F8983" s="16" t="s">
        <v>39</v>
      </c>
      <c r="G8983" s="15"/>
      <c r="H8983" s="15"/>
      <c r="I8983" s="15"/>
      <c r="J8983" s="22">
        <v>1124</v>
      </c>
      <c r="K8983" s="15"/>
      <c r="L8983" s="17">
        <v>5</v>
      </c>
      <c r="M8983" s="17">
        <v>120</v>
      </c>
      <c r="N8983" s="17">
        <v>5</v>
      </c>
      <c r="O8983" s="18">
        <v>431.21</v>
      </c>
      <c r="P8983" s="18">
        <v>353.45</v>
      </c>
      <c r="Q8983" s="18">
        <v>301.85000000000002</v>
      </c>
      <c r="R8983" s="18">
        <v>247.42</v>
      </c>
      <c r="S8983" s="18">
        <v>293.22000000000003</v>
      </c>
      <c r="T8983" s="18">
        <v>240.34</v>
      </c>
      <c r="U8983" s="16"/>
      <c r="V8983" s="16"/>
      <c r="W8983" s="16"/>
      <c r="X8983" s="19">
        <v>4.7E-2</v>
      </c>
      <c r="Y8983" s="20">
        <v>3.2600000000000001E-4</v>
      </c>
      <c r="Z8983" s="21">
        <v>4601004312128</v>
      </c>
    </row>
    <row r="8984" spans="1:26" ht="12" customHeight="1" outlineLevel="4" x14ac:dyDescent="0.2">
      <c r="A8984" s="14" t="s">
        <v>17133</v>
      </c>
      <c r="B8984" s="26" t="s">
        <v>17134</v>
      </c>
      <c r="C8984" s="52"/>
      <c r="D8984" s="55">
        <f t="shared" si="140"/>
        <v>0</v>
      </c>
      <c r="E8984" s="63" t="str">
        <f>HYPERLINK("https://www.sds-group.ru/product/avtomobilnoe-zaryadnoe-ustroystvo-s-dvumya-portami-usb-a-qc-3-0-usb-c-pd-so-svetovoy-indikat-16-0246/", "Инфо")</f>
        <v>Инфо</v>
      </c>
      <c r="F8984" s="16" t="s">
        <v>39</v>
      </c>
      <c r="G8984" s="15"/>
      <c r="H8984" s="15"/>
      <c r="I8984" s="15"/>
      <c r="J8984" s="17">
        <v>635</v>
      </c>
      <c r="K8984" s="15"/>
      <c r="L8984" s="17">
        <v>5</v>
      </c>
      <c r="M8984" s="17">
        <v>120</v>
      </c>
      <c r="N8984" s="17">
        <v>5</v>
      </c>
      <c r="O8984" s="18">
        <v>517.45000000000005</v>
      </c>
      <c r="P8984" s="18">
        <v>424.14</v>
      </c>
      <c r="Q8984" s="18">
        <v>362.22</v>
      </c>
      <c r="R8984" s="18">
        <v>296.89999999999998</v>
      </c>
      <c r="S8984" s="18">
        <v>351.87</v>
      </c>
      <c r="T8984" s="18">
        <v>288.42</v>
      </c>
      <c r="U8984" s="16"/>
      <c r="V8984" s="16"/>
      <c r="W8984" s="16"/>
      <c r="X8984" s="19">
        <v>4.9000000000000002E-2</v>
      </c>
      <c r="Y8984" s="20">
        <v>3.2899999999999997E-4</v>
      </c>
      <c r="Z8984" s="21">
        <v>4601004312111</v>
      </c>
    </row>
    <row r="8985" spans="1:26" ht="12" customHeight="1" outlineLevel="4" x14ac:dyDescent="0.2">
      <c r="A8985" s="14" t="s">
        <v>17135</v>
      </c>
      <c r="B8985" s="26" t="s">
        <v>17136</v>
      </c>
      <c r="C8985" s="52"/>
      <c r="D8985" s="55">
        <f t="shared" si="140"/>
        <v>0</v>
      </c>
      <c r="E8985" s="63" t="str">
        <f>HYPERLINK("https://www.sds-group.ru/product/avtomobilnoe-zaryadnoe-ustroystvo-s-dvumya-portami-usb-c-pd-usb-c-pd-so-svetovoy-indikatsiey-16-0244/", "Инфо")</f>
        <v>Инфо</v>
      </c>
      <c r="F8985" s="16" t="s">
        <v>39</v>
      </c>
      <c r="G8985" s="15"/>
      <c r="H8985" s="15"/>
      <c r="I8985" s="15"/>
      <c r="J8985" s="22">
        <v>1456</v>
      </c>
      <c r="K8985" s="15"/>
      <c r="L8985" s="17">
        <v>5</v>
      </c>
      <c r="M8985" s="17">
        <v>120</v>
      </c>
      <c r="N8985" s="17">
        <v>5</v>
      </c>
      <c r="O8985" s="18">
        <v>517.45000000000005</v>
      </c>
      <c r="P8985" s="18">
        <v>424.14</v>
      </c>
      <c r="Q8985" s="18">
        <v>362.22</v>
      </c>
      <c r="R8985" s="18">
        <v>296.89999999999998</v>
      </c>
      <c r="S8985" s="18">
        <v>351.87</v>
      </c>
      <c r="T8985" s="18">
        <v>288.42</v>
      </c>
      <c r="U8985" s="16"/>
      <c r="V8985" s="16"/>
      <c r="W8985" s="16"/>
      <c r="X8985" s="19">
        <v>4.9000000000000002E-2</v>
      </c>
      <c r="Y8985" s="20">
        <v>3.2600000000000001E-4</v>
      </c>
      <c r="Z8985" s="21">
        <v>4601004312081</v>
      </c>
    </row>
    <row r="8986" spans="1:26" ht="12" customHeight="1" outlineLevel="4" x14ac:dyDescent="0.2">
      <c r="A8986" s="32" t="s">
        <v>17137</v>
      </c>
      <c r="B8986" s="74" t="s">
        <v>17138</v>
      </c>
      <c r="C8986" s="50"/>
      <c r="D8986" s="53">
        <f t="shared" si="140"/>
        <v>0</v>
      </c>
      <c r="E8986" s="60" t="str">
        <f>HYPERLINK("https://www.sds-group.ru/product/besprovodnoe-zaryadnoe-ustroystvo-rexant-10w-chernoe-16-0293/", "Инфо")</f>
        <v>Инфо</v>
      </c>
      <c r="F8986" s="34" t="s">
        <v>39</v>
      </c>
      <c r="G8986" s="33"/>
      <c r="H8986" s="33" t="s">
        <v>40</v>
      </c>
      <c r="I8986" s="33"/>
      <c r="J8986" s="35">
        <v>80</v>
      </c>
      <c r="K8986" s="33"/>
      <c r="L8986" s="35">
        <v>1</v>
      </c>
      <c r="M8986" s="35">
        <v>4</v>
      </c>
      <c r="N8986" s="35">
        <v>1</v>
      </c>
      <c r="O8986" s="36">
        <v>616.14</v>
      </c>
      <c r="P8986" s="36">
        <v>505.03</v>
      </c>
      <c r="Q8986" s="36">
        <v>431.3</v>
      </c>
      <c r="R8986" s="36">
        <v>353.52</v>
      </c>
      <c r="S8986" s="36">
        <v>418.98</v>
      </c>
      <c r="T8986" s="36">
        <v>343.43</v>
      </c>
      <c r="U8986" s="34"/>
      <c r="V8986" s="34"/>
      <c r="W8986" s="34"/>
      <c r="X8986" s="37">
        <v>0.39700000000000002</v>
      </c>
      <c r="Y8986" s="38">
        <v>3.8649999999999999E-3</v>
      </c>
      <c r="Z8986" s="21">
        <v>4601004200357</v>
      </c>
    </row>
    <row r="8987" spans="1:26" ht="12" customHeight="1" outlineLevel="4" x14ac:dyDescent="0.2">
      <c r="A8987" s="32" t="s">
        <v>17139</v>
      </c>
      <c r="B8987" s="74" t="s">
        <v>17140</v>
      </c>
      <c r="C8987" s="50"/>
      <c r="D8987" s="53">
        <f t="shared" si="140"/>
        <v>0</v>
      </c>
      <c r="E8987" s="60" t="str">
        <f>HYPERLINK("https://www.sds-group.ru/product/zaryadnoe-ustroystvo-v-prikurivatel-rexant-3-x-usb-1000ma-chernoe-16-0291/", "Инфо")</f>
        <v>Инфо</v>
      </c>
      <c r="F8987" s="34" t="s">
        <v>39</v>
      </c>
      <c r="G8987" s="33"/>
      <c r="H8987" s="33" t="s">
        <v>40</v>
      </c>
      <c r="I8987" s="33"/>
      <c r="J8987" s="35">
        <v>244</v>
      </c>
      <c r="K8987" s="33"/>
      <c r="L8987" s="35">
        <v>1</v>
      </c>
      <c r="M8987" s="35">
        <v>250</v>
      </c>
      <c r="N8987" s="35">
        <v>1</v>
      </c>
      <c r="O8987" s="36">
        <v>226.15</v>
      </c>
      <c r="P8987" s="36">
        <v>185.37</v>
      </c>
      <c r="Q8987" s="36">
        <v>158.31</v>
      </c>
      <c r="R8987" s="36">
        <v>129.76</v>
      </c>
      <c r="S8987" s="36">
        <v>153.78</v>
      </c>
      <c r="T8987" s="36">
        <v>126.05</v>
      </c>
      <c r="U8987" s="34"/>
      <c r="V8987" s="34"/>
      <c r="W8987" s="34"/>
      <c r="X8987" s="37">
        <v>4.7E-2</v>
      </c>
      <c r="Y8987" s="38">
        <v>5.1900000000000004E-4</v>
      </c>
      <c r="Z8987" s="21">
        <v>4601004200333</v>
      </c>
    </row>
    <row r="8988" spans="1:26" ht="12" customHeight="1" outlineLevel="4" x14ac:dyDescent="0.2">
      <c r="A8988" s="32" t="s">
        <v>17141</v>
      </c>
      <c r="B8988" s="74" t="s">
        <v>17142</v>
      </c>
      <c r="C8988" s="50"/>
      <c r="D8988" s="53">
        <f t="shared" si="140"/>
        <v>0</v>
      </c>
      <c r="E8988" s="60" t="str">
        <f>HYPERLINK("https://www.sds-group.ru/product/zaryadnoe-ustroystvo-v-prikurivatel-rexant-usb-5v-2-4-a-chernoe-16-0282/", "Инфо")</f>
        <v>Инфо</v>
      </c>
      <c r="F8988" s="34" t="s">
        <v>39</v>
      </c>
      <c r="G8988" s="33"/>
      <c r="H8988" s="33" t="s">
        <v>40</v>
      </c>
      <c r="I8988" s="33"/>
      <c r="J8988" s="35">
        <v>159</v>
      </c>
      <c r="K8988" s="33"/>
      <c r="L8988" s="35">
        <v>1</v>
      </c>
      <c r="M8988" s="35">
        <v>500</v>
      </c>
      <c r="N8988" s="35">
        <v>1</v>
      </c>
      <c r="O8988" s="36">
        <v>323.87</v>
      </c>
      <c r="P8988" s="36">
        <v>265.47000000000003</v>
      </c>
      <c r="Q8988" s="36">
        <v>226.71</v>
      </c>
      <c r="R8988" s="36">
        <v>185.83</v>
      </c>
      <c r="S8988" s="36">
        <v>220.23</v>
      </c>
      <c r="T8988" s="36">
        <v>180.52</v>
      </c>
      <c r="U8988" s="34"/>
      <c r="V8988" s="34"/>
      <c r="W8988" s="34"/>
      <c r="X8988" s="37">
        <v>2.7E-2</v>
      </c>
      <c r="Y8988" s="38">
        <v>3.1999999999999999E-5</v>
      </c>
      <c r="Z8988" s="21">
        <v>4601004200463</v>
      </c>
    </row>
    <row r="8989" spans="1:26" ht="12.95" customHeight="1" outlineLevel="3" x14ac:dyDescent="0.2">
      <c r="A8989" s="76" t="s">
        <v>17143</v>
      </c>
      <c r="B8989" s="76"/>
      <c r="C8989" s="77"/>
      <c r="D8989" s="58"/>
      <c r="E8989" s="68"/>
      <c r="F8989" s="13"/>
      <c r="G8989" s="13"/>
      <c r="H8989" s="13"/>
      <c r="I8989" s="13"/>
      <c r="J8989" s="13"/>
      <c r="K8989" s="13"/>
      <c r="L8989" s="13"/>
      <c r="M8989" s="13"/>
      <c r="N8989" s="13"/>
      <c r="O8989" s="13"/>
      <c r="P8989" s="13"/>
      <c r="Q8989" s="13"/>
      <c r="R8989" s="13"/>
      <c r="S8989" s="13"/>
      <c r="T8989" s="13"/>
      <c r="U8989" s="13"/>
      <c r="V8989" s="13"/>
      <c r="W8989" s="13"/>
      <c r="X8989" s="13"/>
      <c r="Y8989" s="13"/>
      <c r="Z8989" s="13"/>
    </row>
    <row r="8990" spans="1:26" ht="12" customHeight="1" outlineLevel="4" x14ac:dyDescent="0.2">
      <c r="A8990" s="40" t="s">
        <v>17144</v>
      </c>
      <c r="B8990" s="75" t="s">
        <v>17145</v>
      </c>
      <c r="C8990" s="51"/>
      <c r="D8990" s="54">
        <f t="shared" si="140"/>
        <v>0</v>
      </c>
      <c r="E8990" s="62"/>
      <c r="F8990" s="42" t="s">
        <v>39</v>
      </c>
      <c r="G8990" s="41" t="s">
        <v>40</v>
      </c>
      <c r="H8990" s="41"/>
      <c r="I8990" s="41"/>
      <c r="J8990" s="43">
        <v>23</v>
      </c>
      <c r="K8990" s="41" t="s">
        <v>17146</v>
      </c>
      <c r="L8990" s="43">
        <v>1</v>
      </c>
      <c r="M8990" s="43">
        <v>50</v>
      </c>
      <c r="N8990" s="43">
        <v>1</v>
      </c>
      <c r="O8990" s="44">
        <v>2370.56</v>
      </c>
      <c r="P8990" s="44">
        <v>1943.08</v>
      </c>
      <c r="Q8990" s="44">
        <v>1872.74</v>
      </c>
      <c r="R8990" s="44">
        <v>1535.03</v>
      </c>
      <c r="S8990" s="44">
        <v>1611.98</v>
      </c>
      <c r="T8990" s="44">
        <v>1321.3</v>
      </c>
      <c r="U8990" s="42"/>
      <c r="V8990" s="42"/>
      <c r="W8990" s="42" t="s">
        <v>40</v>
      </c>
      <c r="X8990" s="45">
        <v>0.17699999999999999</v>
      </c>
      <c r="Y8990" s="46">
        <v>4.0299999999999998E-4</v>
      </c>
      <c r="Z8990" s="21">
        <v>4601004339743</v>
      </c>
    </row>
    <row r="8991" spans="1:26" ht="12" customHeight="1" outlineLevel="4" x14ac:dyDescent="0.2">
      <c r="A8991" s="40" t="s">
        <v>17147</v>
      </c>
      <c r="B8991" s="75" t="s">
        <v>17148</v>
      </c>
      <c r="C8991" s="51"/>
      <c r="D8991" s="54">
        <f t="shared" si="140"/>
        <v>0</v>
      </c>
      <c r="E8991" s="62"/>
      <c r="F8991" s="42" t="s">
        <v>39</v>
      </c>
      <c r="G8991" s="41" t="s">
        <v>40</v>
      </c>
      <c r="H8991" s="41"/>
      <c r="I8991" s="41"/>
      <c r="J8991" s="42" t="s">
        <v>100</v>
      </c>
      <c r="K8991" s="41" t="s">
        <v>17146</v>
      </c>
      <c r="L8991" s="43">
        <v>1</v>
      </c>
      <c r="M8991" s="43">
        <v>40</v>
      </c>
      <c r="N8991" s="43">
        <v>1</v>
      </c>
      <c r="O8991" s="44">
        <v>3394.68</v>
      </c>
      <c r="P8991" s="44">
        <v>2782.52</v>
      </c>
      <c r="Q8991" s="44">
        <v>2681.8</v>
      </c>
      <c r="R8991" s="44">
        <v>2198.1999999999998</v>
      </c>
      <c r="S8991" s="44">
        <v>2308.38</v>
      </c>
      <c r="T8991" s="44">
        <v>1892.11</v>
      </c>
      <c r="U8991" s="42"/>
      <c r="V8991" s="42"/>
      <c r="W8991" s="42" t="s">
        <v>40</v>
      </c>
      <c r="X8991" s="45">
        <v>0.27700000000000002</v>
      </c>
      <c r="Y8991" s="46">
        <v>5.6400000000000005E-4</v>
      </c>
      <c r="Z8991" s="21">
        <v>4601004339774</v>
      </c>
    </row>
    <row r="8992" spans="1:26" ht="12" customHeight="1" outlineLevel="4" x14ac:dyDescent="0.2">
      <c r="A8992" s="40" t="s">
        <v>17149</v>
      </c>
      <c r="B8992" s="75" t="s">
        <v>17150</v>
      </c>
      <c r="C8992" s="51"/>
      <c r="D8992" s="54">
        <f t="shared" si="140"/>
        <v>0</v>
      </c>
      <c r="E8992" s="62"/>
      <c r="F8992" s="42" t="s">
        <v>39</v>
      </c>
      <c r="G8992" s="41" t="s">
        <v>40</v>
      </c>
      <c r="H8992" s="41"/>
      <c r="I8992" s="41"/>
      <c r="J8992" s="42" t="s">
        <v>100</v>
      </c>
      <c r="K8992" s="41" t="s">
        <v>17146</v>
      </c>
      <c r="L8992" s="43">
        <v>1</v>
      </c>
      <c r="M8992" s="43">
        <v>40</v>
      </c>
      <c r="N8992" s="43">
        <v>1</v>
      </c>
      <c r="O8992" s="44">
        <v>1831.55</v>
      </c>
      <c r="P8992" s="44">
        <v>1501.27</v>
      </c>
      <c r="Q8992" s="44">
        <v>1446.92</v>
      </c>
      <c r="R8992" s="44">
        <v>1186</v>
      </c>
      <c r="S8992" s="44">
        <v>1245.45</v>
      </c>
      <c r="T8992" s="44">
        <v>1020.86</v>
      </c>
      <c r="U8992" s="42"/>
      <c r="V8992" s="42"/>
      <c r="W8992" s="42" t="s">
        <v>40</v>
      </c>
      <c r="X8992" s="45">
        <v>0.308</v>
      </c>
      <c r="Y8992" s="46">
        <v>6.7400000000000001E-4</v>
      </c>
      <c r="Z8992" s="21">
        <v>4601004339750</v>
      </c>
    </row>
    <row r="8993" spans="1:26" ht="12" customHeight="1" outlineLevel="4" x14ac:dyDescent="0.2">
      <c r="A8993" s="14" t="s">
        <v>17151</v>
      </c>
      <c r="B8993" s="26" t="s">
        <v>17150</v>
      </c>
      <c r="C8993" s="52"/>
      <c r="D8993" s="55">
        <f t="shared" si="140"/>
        <v>0</v>
      </c>
      <c r="E8993" s="63" t="str">
        <f>HYPERLINK("https://www.sds-group.ru/product/portativnoe-zaryadnoe-ustroystvo-power-bank-akkumulyatornaya-batareya-10000-mah-s-quick-char-30-2051/", "Инфо")</f>
        <v>Инфо</v>
      </c>
      <c r="F8993" s="16" t="s">
        <v>39</v>
      </c>
      <c r="G8993" s="15"/>
      <c r="H8993" s="15"/>
      <c r="I8993" s="15"/>
      <c r="J8993" s="16" t="s">
        <v>100</v>
      </c>
      <c r="K8993" s="15"/>
      <c r="L8993" s="17">
        <v>1</v>
      </c>
      <c r="M8993" s="17">
        <v>60</v>
      </c>
      <c r="N8993" s="17">
        <v>1</v>
      </c>
      <c r="O8993" s="18">
        <v>1915.48</v>
      </c>
      <c r="P8993" s="18">
        <v>1570.07</v>
      </c>
      <c r="Q8993" s="18">
        <v>1340.84</v>
      </c>
      <c r="R8993" s="18">
        <v>1099.05</v>
      </c>
      <c r="S8993" s="18">
        <v>1302.53</v>
      </c>
      <c r="T8993" s="18">
        <v>1067.6500000000001</v>
      </c>
      <c r="U8993" s="16"/>
      <c r="V8993" s="16"/>
      <c r="W8993" s="16" t="s">
        <v>40</v>
      </c>
      <c r="X8993" s="19">
        <v>0.27200000000000002</v>
      </c>
      <c r="Y8993" s="20">
        <v>5.0799999999999999E-4</v>
      </c>
      <c r="Z8993" s="21">
        <v>4601004300040</v>
      </c>
    </row>
    <row r="8994" spans="1:26" ht="12" customHeight="1" outlineLevel="4" x14ac:dyDescent="0.2">
      <c r="A8994" s="14" t="s">
        <v>17152</v>
      </c>
      <c r="B8994" s="26" t="s">
        <v>17153</v>
      </c>
      <c r="C8994" s="52"/>
      <c r="D8994" s="55">
        <f t="shared" si="140"/>
        <v>0</v>
      </c>
      <c r="E8994" s="63" t="str">
        <f>HYPERLINK("https://www.sds-group.ru/product/portativnoe-zaryadnoe-ustroystvo-power-bank-akkumulyatornaya-batareya-10000-mah-chernoe-rexa-30-2038/", "Инфо")</f>
        <v>Инфо</v>
      </c>
      <c r="F8994" s="16" t="s">
        <v>39</v>
      </c>
      <c r="G8994" s="15"/>
      <c r="H8994" s="15"/>
      <c r="I8994" s="15"/>
      <c r="J8994" s="22">
        <v>2823</v>
      </c>
      <c r="K8994" s="15"/>
      <c r="L8994" s="17">
        <v>1</v>
      </c>
      <c r="M8994" s="17">
        <v>60</v>
      </c>
      <c r="N8994" s="17">
        <v>1</v>
      </c>
      <c r="O8994" s="18">
        <v>1367.8</v>
      </c>
      <c r="P8994" s="18">
        <v>1121.1500000000001</v>
      </c>
      <c r="Q8994" s="18">
        <v>957.46</v>
      </c>
      <c r="R8994" s="18">
        <v>784.8</v>
      </c>
      <c r="S8994" s="18">
        <v>930.1</v>
      </c>
      <c r="T8994" s="18">
        <v>762.38</v>
      </c>
      <c r="U8994" s="16"/>
      <c r="V8994" s="16"/>
      <c r="W8994" s="16" t="s">
        <v>40</v>
      </c>
      <c r="X8994" s="19">
        <v>0.27800000000000002</v>
      </c>
      <c r="Y8994" s="20">
        <v>5.0100000000000003E-4</v>
      </c>
      <c r="Z8994" s="21">
        <v>4601004300019</v>
      </c>
    </row>
    <row r="8995" spans="1:26" ht="12" customHeight="1" outlineLevel="4" x14ac:dyDescent="0.2">
      <c r="A8995" s="40" t="s">
        <v>17154</v>
      </c>
      <c r="B8995" s="75" t="s">
        <v>17155</v>
      </c>
      <c r="C8995" s="51"/>
      <c r="D8995" s="54">
        <f t="shared" si="140"/>
        <v>0</v>
      </c>
      <c r="E8995" s="62"/>
      <c r="F8995" s="42" t="s">
        <v>39</v>
      </c>
      <c r="G8995" s="41" t="s">
        <v>40</v>
      </c>
      <c r="H8995" s="41"/>
      <c r="I8995" s="41"/>
      <c r="J8995" s="42" t="s">
        <v>100</v>
      </c>
      <c r="K8995" s="41" t="s">
        <v>17146</v>
      </c>
      <c r="L8995" s="43">
        <v>1</v>
      </c>
      <c r="M8995" s="43">
        <v>20</v>
      </c>
      <c r="N8995" s="43">
        <v>1</v>
      </c>
      <c r="O8995" s="44">
        <v>2693.97</v>
      </c>
      <c r="P8995" s="44">
        <v>2208.17</v>
      </c>
      <c r="Q8995" s="44">
        <v>2128.2399999999998</v>
      </c>
      <c r="R8995" s="44">
        <v>1744.46</v>
      </c>
      <c r="S8995" s="44">
        <v>1831.9</v>
      </c>
      <c r="T8995" s="44">
        <v>1501.56</v>
      </c>
      <c r="U8995" s="42"/>
      <c r="V8995" s="42"/>
      <c r="W8995" s="42" t="s">
        <v>40</v>
      </c>
      <c r="X8995" s="45">
        <v>0.499</v>
      </c>
      <c r="Y8995" s="46">
        <v>9.1799999999999998E-4</v>
      </c>
      <c r="Z8995" s="21">
        <v>4601004339767</v>
      </c>
    </row>
    <row r="8996" spans="1:26" ht="12" customHeight="1" outlineLevel="4" x14ac:dyDescent="0.2">
      <c r="A8996" s="14" t="s">
        <v>17156</v>
      </c>
      <c r="B8996" s="26" t="s">
        <v>17155</v>
      </c>
      <c r="C8996" s="52"/>
      <c r="D8996" s="55">
        <f t="shared" si="140"/>
        <v>0</v>
      </c>
      <c r="E8996" s="63" t="str">
        <f>HYPERLINK("https://www.sds-group.ru/product/portativnoe-zaryadnoe-ustroystvo-power-bank-akkumulyatornaya-batareya-20000-mah-s-quick-char-30-2052/", "Инфо")</f>
        <v>Инфо</v>
      </c>
      <c r="F8996" s="16" t="s">
        <v>39</v>
      </c>
      <c r="G8996" s="15"/>
      <c r="H8996" s="15"/>
      <c r="I8996" s="15"/>
      <c r="J8996" s="17">
        <v>225</v>
      </c>
      <c r="K8996" s="15"/>
      <c r="L8996" s="17">
        <v>1</v>
      </c>
      <c r="M8996" s="17">
        <v>40</v>
      </c>
      <c r="N8996" s="17">
        <v>1</v>
      </c>
      <c r="O8996" s="18">
        <v>2326.2199999999998</v>
      </c>
      <c r="P8996" s="18">
        <v>1906.74</v>
      </c>
      <c r="Q8996" s="18">
        <v>1628.35</v>
      </c>
      <c r="R8996" s="18">
        <v>1334.71</v>
      </c>
      <c r="S8996" s="18">
        <v>1581.83</v>
      </c>
      <c r="T8996" s="18">
        <v>1296.58</v>
      </c>
      <c r="U8996" s="16"/>
      <c r="V8996" s="16"/>
      <c r="W8996" s="16" t="s">
        <v>40</v>
      </c>
      <c r="X8996" s="19">
        <v>0.47099999999999997</v>
      </c>
      <c r="Y8996" s="20">
        <v>9.1200000000000005E-4</v>
      </c>
      <c r="Z8996" s="21">
        <v>4601004300057</v>
      </c>
    </row>
    <row r="8997" spans="1:26" ht="12" customHeight="1" outlineLevel="4" x14ac:dyDescent="0.2">
      <c r="A8997" s="14" t="s">
        <v>17157</v>
      </c>
      <c r="B8997" s="26" t="s">
        <v>17158</v>
      </c>
      <c r="C8997" s="52"/>
      <c r="D8997" s="55">
        <f t="shared" si="140"/>
        <v>0</v>
      </c>
      <c r="E8997" s="63" t="str">
        <f>HYPERLINK("https://www.sds-group.ru/product/portativnoe-zaryadnoe-ustroystvo-power-bank-akkumulyatornaya-batareya-20000-mah-chernoe-rexa-30-2039/", "Инфо")</f>
        <v>Инфо</v>
      </c>
      <c r="F8997" s="16" t="s">
        <v>39</v>
      </c>
      <c r="G8997" s="15"/>
      <c r="H8997" s="15"/>
      <c r="I8997" s="15"/>
      <c r="J8997" s="22">
        <v>1204</v>
      </c>
      <c r="K8997" s="15"/>
      <c r="L8997" s="17">
        <v>1</v>
      </c>
      <c r="M8997" s="17">
        <v>40</v>
      </c>
      <c r="N8997" s="17">
        <v>1</v>
      </c>
      <c r="O8997" s="18">
        <v>2326.2199999999998</v>
      </c>
      <c r="P8997" s="18">
        <v>1906.74</v>
      </c>
      <c r="Q8997" s="18">
        <v>1628.35</v>
      </c>
      <c r="R8997" s="18">
        <v>1334.71</v>
      </c>
      <c r="S8997" s="18">
        <v>1581.83</v>
      </c>
      <c r="T8997" s="18">
        <v>1296.58</v>
      </c>
      <c r="U8997" s="16"/>
      <c r="V8997" s="16"/>
      <c r="W8997" s="16" t="s">
        <v>40</v>
      </c>
      <c r="X8997" s="19">
        <v>0.47599999999999998</v>
      </c>
      <c r="Y8997" s="20">
        <v>9.0700000000000004E-4</v>
      </c>
      <c r="Z8997" s="21">
        <v>4601004300033</v>
      </c>
    </row>
    <row r="8998" spans="1:26" ht="12.95" customHeight="1" outlineLevel="2" x14ac:dyDescent="0.2">
      <c r="A8998" s="76" t="s">
        <v>17159</v>
      </c>
      <c r="B8998" s="76"/>
      <c r="C8998" s="77"/>
      <c r="D8998" s="58"/>
      <c r="E8998" s="68"/>
      <c r="F8998" s="13"/>
      <c r="G8998" s="13"/>
      <c r="H8998" s="13"/>
      <c r="I8998" s="13"/>
      <c r="J8998" s="13"/>
      <c r="K8998" s="13"/>
      <c r="L8998" s="13"/>
      <c r="M8998" s="13"/>
      <c r="N8998" s="13"/>
      <c r="O8998" s="13"/>
      <c r="P8998" s="13"/>
      <c r="Q8998" s="13"/>
      <c r="R8998" s="13"/>
      <c r="S8998" s="13"/>
      <c r="T8998" s="13"/>
      <c r="U8998" s="13"/>
      <c r="V8998" s="13"/>
      <c r="W8998" s="13"/>
      <c r="X8998" s="13"/>
      <c r="Y8998" s="13"/>
      <c r="Z8998" s="13"/>
    </row>
    <row r="8999" spans="1:26" ht="12.95" customHeight="1" outlineLevel="3" x14ac:dyDescent="0.2">
      <c r="A8999" s="76" t="s">
        <v>17160</v>
      </c>
      <c r="B8999" s="76"/>
      <c r="C8999" s="77"/>
      <c r="D8999" s="58"/>
      <c r="E8999" s="68"/>
      <c r="F8999" s="13"/>
      <c r="G8999" s="13"/>
      <c r="H8999" s="13"/>
      <c r="I8999" s="13"/>
      <c r="J8999" s="13"/>
      <c r="K8999" s="13"/>
      <c r="L8999" s="13"/>
      <c r="M8999" s="13"/>
      <c r="N8999" s="13"/>
      <c r="O8999" s="13"/>
      <c r="P8999" s="13"/>
      <c r="Q8999" s="13"/>
      <c r="R8999" s="13"/>
      <c r="S8999" s="13"/>
      <c r="T8999" s="13"/>
      <c r="U8999" s="13"/>
      <c r="V8999" s="13"/>
      <c r="W8999" s="13"/>
      <c r="X8999" s="13"/>
      <c r="Y8999" s="13"/>
      <c r="Z8999" s="13"/>
    </row>
    <row r="9000" spans="1:26" ht="12" customHeight="1" outlineLevel="4" x14ac:dyDescent="0.2">
      <c r="A9000" s="14" t="s">
        <v>17161</v>
      </c>
      <c r="B9000" s="26" t="s">
        <v>17162</v>
      </c>
      <c r="C9000" s="52"/>
      <c r="D9000" s="55">
        <f t="shared" si="140"/>
        <v>0</v>
      </c>
      <c r="E9000" s="63" t="str">
        <f>HYPERLINK("https://www.sds-group.ru/product/radiostantsiya-portativnaya-professionalnaya-r-1-rexant-46-0871/", "Инфо")</f>
        <v>Инфо</v>
      </c>
      <c r="F9000" s="16" t="s">
        <v>39</v>
      </c>
      <c r="G9000" s="15"/>
      <c r="H9000" s="15"/>
      <c r="I9000" s="15"/>
      <c r="J9000" s="17">
        <v>327</v>
      </c>
      <c r="K9000" s="15"/>
      <c r="L9000" s="17">
        <v>1</v>
      </c>
      <c r="M9000" s="17">
        <v>40</v>
      </c>
      <c r="N9000" s="17">
        <v>1</v>
      </c>
      <c r="O9000" s="18">
        <v>3305.11</v>
      </c>
      <c r="P9000" s="18">
        <v>2709.11</v>
      </c>
      <c r="Q9000" s="18">
        <v>2313.58</v>
      </c>
      <c r="R9000" s="18">
        <v>1896.38</v>
      </c>
      <c r="S9000" s="18">
        <v>2247.4699999999998</v>
      </c>
      <c r="T9000" s="18">
        <v>1842.19</v>
      </c>
      <c r="U9000" s="16"/>
      <c r="V9000" s="16"/>
      <c r="W9000" s="16"/>
      <c r="X9000" s="19">
        <v>0.22500000000000001</v>
      </c>
      <c r="Y9000" s="20">
        <v>9.0799999999999995E-4</v>
      </c>
      <c r="Z9000" s="21">
        <v>4601004099517</v>
      </c>
    </row>
    <row r="9001" spans="1:26" ht="12.95" customHeight="1" outlineLevel="2" x14ac:dyDescent="0.2">
      <c r="A9001" s="76" t="s">
        <v>17163</v>
      </c>
      <c r="B9001" s="76"/>
      <c r="C9001" s="77"/>
      <c r="D9001" s="58"/>
      <c r="E9001" s="68"/>
      <c r="F9001" s="13"/>
      <c r="G9001" s="13"/>
      <c r="H9001" s="13"/>
      <c r="I9001" s="13"/>
      <c r="J9001" s="13"/>
      <c r="K9001" s="13"/>
      <c r="L9001" s="13"/>
      <c r="M9001" s="13"/>
      <c r="N9001" s="13"/>
      <c r="O9001" s="13"/>
      <c r="P9001" s="13"/>
      <c r="Q9001" s="13"/>
      <c r="R9001" s="13"/>
      <c r="S9001" s="13"/>
      <c r="T9001" s="13"/>
      <c r="U9001" s="13"/>
      <c r="V9001" s="13"/>
      <c r="W9001" s="13"/>
      <c r="X9001" s="13"/>
      <c r="Y9001" s="13"/>
      <c r="Z9001" s="13"/>
    </row>
    <row r="9002" spans="1:26" ht="12.95" customHeight="1" outlineLevel="3" x14ac:dyDescent="0.2">
      <c r="A9002" s="76" t="s">
        <v>17164</v>
      </c>
      <c r="B9002" s="76"/>
      <c r="C9002" s="77"/>
      <c r="D9002" s="58"/>
      <c r="E9002" s="68"/>
      <c r="F9002" s="13"/>
      <c r="G9002" s="13"/>
      <c r="H9002" s="13"/>
      <c r="I9002" s="13"/>
      <c r="J9002" s="13"/>
      <c r="K9002" s="13"/>
      <c r="L9002" s="13"/>
      <c r="M9002" s="13"/>
      <c r="N9002" s="13"/>
      <c r="O9002" s="13"/>
      <c r="P9002" s="13"/>
      <c r="Q9002" s="13"/>
      <c r="R9002" s="13"/>
      <c r="S9002" s="13"/>
      <c r="T9002" s="13"/>
      <c r="U9002" s="13"/>
      <c r="V9002" s="13"/>
      <c r="W9002" s="13"/>
      <c r="X9002" s="13"/>
      <c r="Y9002" s="13"/>
      <c r="Z9002" s="13"/>
    </row>
    <row r="9003" spans="1:26" ht="12" customHeight="1" outlineLevel="4" x14ac:dyDescent="0.2">
      <c r="A9003" s="14" t="s">
        <v>17165</v>
      </c>
      <c r="B9003" s="26" t="s">
        <v>17166</v>
      </c>
      <c r="C9003" s="52"/>
      <c r="D9003" s="55">
        <f t="shared" si="140"/>
        <v>0</v>
      </c>
      <c r="E9003" s="63" t="str">
        <f>HYPERLINK("https://www.sds-group.ru/product/ventilyator-rqd-4020ms-dc-12v-rexant-72-5041/", "Инфо")</f>
        <v>Инфо</v>
      </c>
      <c r="F9003" s="16" t="s">
        <v>39</v>
      </c>
      <c r="G9003" s="15"/>
      <c r="H9003" s="15"/>
      <c r="I9003" s="15"/>
      <c r="J9003" s="22">
        <v>1288</v>
      </c>
      <c r="K9003" s="15"/>
      <c r="L9003" s="17">
        <v>5</v>
      </c>
      <c r="M9003" s="17">
        <v>556</v>
      </c>
      <c r="N9003" s="17">
        <v>5</v>
      </c>
      <c r="O9003" s="18">
        <v>323.41000000000003</v>
      </c>
      <c r="P9003" s="18">
        <v>265.08999999999997</v>
      </c>
      <c r="Q9003" s="18">
        <v>274.89999999999998</v>
      </c>
      <c r="R9003" s="18">
        <v>225.33</v>
      </c>
      <c r="S9003" s="18">
        <v>219.92</v>
      </c>
      <c r="T9003" s="18">
        <v>180.26</v>
      </c>
      <c r="U9003" s="16"/>
      <c r="V9003" s="16"/>
      <c r="W9003" s="16" t="s">
        <v>40</v>
      </c>
      <c r="X9003" s="19">
        <v>2.7E-2</v>
      </c>
      <c r="Y9003" s="20">
        <v>9.3999999999999994E-5</v>
      </c>
      <c r="Z9003" s="21">
        <v>4601004076198</v>
      </c>
    </row>
    <row r="9004" spans="1:26" ht="12" customHeight="1" outlineLevel="4" x14ac:dyDescent="0.2">
      <c r="A9004" s="32" t="s">
        <v>17167</v>
      </c>
      <c r="B9004" s="74" t="s">
        <v>17168</v>
      </c>
      <c r="C9004" s="50"/>
      <c r="D9004" s="53">
        <f t="shared" si="140"/>
        <v>0</v>
      </c>
      <c r="E9004" s="60" t="str">
        <f>HYPERLINK("https://www.sds-group.ru/product/ventilyator-rqd-8025ms-dc-12v-rexant-72-5080/", "Инфо")</f>
        <v>Инфо</v>
      </c>
      <c r="F9004" s="34" t="s">
        <v>39</v>
      </c>
      <c r="G9004" s="33"/>
      <c r="H9004" s="33" t="s">
        <v>40</v>
      </c>
      <c r="I9004" s="33"/>
      <c r="J9004" s="35">
        <v>935</v>
      </c>
      <c r="K9004" s="33"/>
      <c r="L9004" s="35">
        <v>5</v>
      </c>
      <c r="M9004" s="35">
        <v>200</v>
      </c>
      <c r="N9004" s="35">
        <v>5</v>
      </c>
      <c r="O9004" s="36">
        <v>344.97</v>
      </c>
      <c r="P9004" s="36">
        <v>282.76</v>
      </c>
      <c r="Q9004" s="36">
        <v>293.22000000000003</v>
      </c>
      <c r="R9004" s="36">
        <v>240.34</v>
      </c>
      <c r="S9004" s="36">
        <v>234.58</v>
      </c>
      <c r="T9004" s="36">
        <v>192.28</v>
      </c>
      <c r="U9004" s="34"/>
      <c r="V9004" s="34"/>
      <c r="W9004" s="34" t="s">
        <v>40</v>
      </c>
      <c r="X9004" s="37">
        <v>6.4000000000000001E-2</v>
      </c>
      <c r="Y9004" s="38">
        <v>1.3799999999999999E-4</v>
      </c>
      <c r="Z9004" s="21">
        <v>4601004076211</v>
      </c>
    </row>
    <row r="9005" spans="1:26" ht="12" customHeight="1" outlineLevel="4" x14ac:dyDescent="0.2">
      <c r="A9005" s="14" t="s">
        <v>17169</v>
      </c>
      <c r="B9005" s="26" t="s">
        <v>17170</v>
      </c>
      <c r="C9005" s="52"/>
      <c r="D9005" s="55">
        <f t="shared" si="140"/>
        <v>0</v>
      </c>
      <c r="E9005" s="63" t="str">
        <f>HYPERLINK("https://www.sds-group.ru/product/ventilyator-rqd-9225ms-dc-12v-rexant-72-5090/", "Инфо")</f>
        <v>Инфо</v>
      </c>
      <c r="F9005" s="16" t="s">
        <v>39</v>
      </c>
      <c r="G9005" s="15"/>
      <c r="H9005" s="15"/>
      <c r="I9005" s="15"/>
      <c r="J9005" s="22">
        <v>1667</v>
      </c>
      <c r="K9005" s="15"/>
      <c r="L9005" s="17">
        <v>5</v>
      </c>
      <c r="M9005" s="17">
        <v>140</v>
      </c>
      <c r="N9005" s="17">
        <v>5</v>
      </c>
      <c r="O9005" s="18">
        <v>323.41000000000003</v>
      </c>
      <c r="P9005" s="18">
        <v>265.08999999999997</v>
      </c>
      <c r="Q9005" s="18">
        <v>274.89999999999998</v>
      </c>
      <c r="R9005" s="18">
        <v>225.33</v>
      </c>
      <c r="S9005" s="18">
        <v>219.92</v>
      </c>
      <c r="T9005" s="18">
        <v>180.26</v>
      </c>
      <c r="U9005" s="16"/>
      <c r="V9005" s="16"/>
      <c r="W9005" s="16" t="s">
        <v>40</v>
      </c>
      <c r="X9005" s="19">
        <v>8.7999999999999995E-2</v>
      </c>
      <c r="Y9005" s="20">
        <v>3.4000000000000002E-4</v>
      </c>
      <c r="Z9005" s="21">
        <v>4601004076228</v>
      </c>
    </row>
    <row r="9006" spans="1:26" ht="12" customHeight="1" outlineLevel="4" x14ac:dyDescent="0.2">
      <c r="A9006" s="14" t="s">
        <v>17171</v>
      </c>
      <c r="B9006" s="26" t="s">
        <v>17172</v>
      </c>
      <c r="C9006" s="52"/>
      <c r="D9006" s="55">
        <f t="shared" si="140"/>
        <v>0</v>
      </c>
      <c r="E9006" s="63" t="str">
        <f>HYPERLINK("https://www.sds-group.ru/product/ventilyator-rx-5010ms-dc-12v-rexant-72-5051/", "Инфо")</f>
        <v>Инфо</v>
      </c>
      <c r="F9006" s="16" t="s">
        <v>39</v>
      </c>
      <c r="G9006" s="15"/>
      <c r="H9006" s="15"/>
      <c r="I9006" s="15"/>
      <c r="J9006" s="16" t="s">
        <v>100</v>
      </c>
      <c r="K9006" s="15" t="s">
        <v>1650</v>
      </c>
      <c r="L9006" s="17">
        <v>5</v>
      </c>
      <c r="M9006" s="17">
        <v>400</v>
      </c>
      <c r="N9006" s="17">
        <v>5</v>
      </c>
      <c r="O9006" s="18">
        <v>247.94</v>
      </c>
      <c r="P9006" s="18">
        <v>203.23</v>
      </c>
      <c r="Q9006" s="18">
        <v>210.75</v>
      </c>
      <c r="R9006" s="18">
        <v>172.75</v>
      </c>
      <c r="S9006" s="18">
        <v>168.6</v>
      </c>
      <c r="T9006" s="18">
        <v>138.19999999999999</v>
      </c>
      <c r="U9006" s="16"/>
      <c r="V9006" s="16"/>
      <c r="W9006" s="16" t="s">
        <v>40</v>
      </c>
      <c r="X9006" s="19">
        <v>2.4E-2</v>
      </c>
      <c r="Y9006" s="20">
        <v>8.0000000000000007E-5</v>
      </c>
      <c r="Z9006" s="21">
        <v>4601004096851</v>
      </c>
    </row>
    <row r="9007" spans="1:26" ht="12" customHeight="1" outlineLevel="4" x14ac:dyDescent="0.2">
      <c r="A9007" s="32" t="s">
        <v>17173</v>
      </c>
      <c r="B9007" s="74" t="s">
        <v>17174</v>
      </c>
      <c r="C9007" s="50"/>
      <c r="D9007" s="53">
        <f t="shared" si="140"/>
        <v>0</v>
      </c>
      <c r="E9007" s="60" t="str">
        <f>HYPERLINK("https://www.sds-group.ru/product/ventilyator-rx-6010ms-dc-12v-rexant-72-5060/", "Инфо")</f>
        <v>Инфо</v>
      </c>
      <c r="F9007" s="34" t="s">
        <v>39</v>
      </c>
      <c r="G9007" s="33"/>
      <c r="H9007" s="33" t="s">
        <v>40</v>
      </c>
      <c r="I9007" s="33"/>
      <c r="J9007" s="39">
        <v>1189</v>
      </c>
      <c r="K9007" s="33"/>
      <c r="L9007" s="35">
        <v>1</v>
      </c>
      <c r="M9007" s="35">
        <v>400</v>
      </c>
      <c r="N9007" s="35">
        <v>1</v>
      </c>
      <c r="O9007" s="36">
        <v>327.72</v>
      </c>
      <c r="P9007" s="36">
        <v>268.62</v>
      </c>
      <c r="Q9007" s="36">
        <v>229.4</v>
      </c>
      <c r="R9007" s="36">
        <v>188.03</v>
      </c>
      <c r="S9007" s="36">
        <v>222.85</v>
      </c>
      <c r="T9007" s="36">
        <v>182.66</v>
      </c>
      <c r="U9007" s="34"/>
      <c r="V9007" s="34"/>
      <c r="W9007" s="34"/>
      <c r="X9007" s="37">
        <v>2.9000000000000001E-2</v>
      </c>
      <c r="Y9007" s="38">
        <v>7.4999999999999993E-5</v>
      </c>
      <c r="Z9007" s="21">
        <v>4601004096868</v>
      </c>
    </row>
    <row r="9008" spans="1:26" ht="12" customHeight="1" outlineLevel="4" x14ac:dyDescent="0.2">
      <c r="A9008" s="14" t="s">
        <v>17175</v>
      </c>
      <c r="B9008" s="26" t="s">
        <v>17176</v>
      </c>
      <c r="C9008" s="52"/>
      <c r="D9008" s="55">
        <f t="shared" si="140"/>
        <v>0</v>
      </c>
      <c r="E9008" s="63" t="str">
        <f>HYPERLINK("https://www.sds-group.ru/product/ventilyator-rx-6020ms-dc-12v-rexant-72-5061/", "Инфо")</f>
        <v>Инфо</v>
      </c>
      <c r="F9008" s="16" t="s">
        <v>39</v>
      </c>
      <c r="G9008" s="15"/>
      <c r="H9008" s="15"/>
      <c r="I9008" s="15"/>
      <c r="J9008" s="16" t="s">
        <v>100</v>
      </c>
      <c r="K9008" s="15" t="s">
        <v>1055</v>
      </c>
      <c r="L9008" s="17">
        <v>10</v>
      </c>
      <c r="M9008" s="17">
        <v>250</v>
      </c>
      <c r="N9008" s="17">
        <v>10</v>
      </c>
      <c r="O9008" s="18">
        <v>194.04</v>
      </c>
      <c r="P9008" s="18">
        <v>159.05000000000001</v>
      </c>
      <c r="Q9008" s="18">
        <v>164.93</v>
      </c>
      <c r="R9008" s="18">
        <v>135.19</v>
      </c>
      <c r="S9008" s="18">
        <v>131.94999999999999</v>
      </c>
      <c r="T9008" s="18">
        <v>108.16</v>
      </c>
      <c r="U9008" s="16"/>
      <c r="V9008" s="16"/>
      <c r="W9008" s="16" t="s">
        <v>40</v>
      </c>
      <c r="X9008" s="19">
        <v>0.06</v>
      </c>
      <c r="Y9008" s="20">
        <v>2.22E-4</v>
      </c>
      <c r="Z9008" s="21">
        <v>4601004096875</v>
      </c>
    </row>
    <row r="9009" spans="1:26" ht="12" customHeight="1" outlineLevel="4" x14ac:dyDescent="0.2">
      <c r="A9009" s="14" t="s">
        <v>17177</v>
      </c>
      <c r="B9009" s="26" t="s">
        <v>17178</v>
      </c>
      <c r="C9009" s="52"/>
      <c r="D9009" s="55">
        <f t="shared" si="140"/>
        <v>0</v>
      </c>
      <c r="E9009" s="63" t="str">
        <f>HYPERLINK("https://www.sds-group.ru/product/ventilyator-rx-6025ms-dc-12v-rexant-72-5062/", "Инфо")</f>
        <v>Инфо</v>
      </c>
      <c r="F9009" s="16" t="s">
        <v>39</v>
      </c>
      <c r="G9009" s="15"/>
      <c r="H9009" s="15"/>
      <c r="I9009" s="15"/>
      <c r="J9009" s="17">
        <v>301</v>
      </c>
      <c r="K9009" s="15" t="s">
        <v>979</v>
      </c>
      <c r="L9009" s="17">
        <v>5</v>
      </c>
      <c r="M9009" s="17">
        <v>200</v>
      </c>
      <c r="N9009" s="17">
        <v>5</v>
      </c>
      <c r="O9009" s="18">
        <v>194.04</v>
      </c>
      <c r="P9009" s="18">
        <v>159.05000000000001</v>
      </c>
      <c r="Q9009" s="18">
        <v>164.93</v>
      </c>
      <c r="R9009" s="18">
        <v>135.19</v>
      </c>
      <c r="S9009" s="18">
        <v>131.94999999999999</v>
      </c>
      <c r="T9009" s="18">
        <v>108.16</v>
      </c>
      <c r="U9009" s="16"/>
      <c r="V9009" s="16"/>
      <c r="W9009" s="16" t="s">
        <v>40</v>
      </c>
      <c r="X9009" s="19">
        <v>6.5000000000000002E-2</v>
      </c>
      <c r="Y9009" s="20">
        <v>1.8799999999999999E-4</v>
      </c>
      <c r="Z9009" s="21">
        <v>4601004096882</v>
      </c>
    </row>
    <row r="9010" spans="1:26" ht="12" customHeight="1" outlineLevel="4" x14ac:dyDescent="0.2">
      <c r="A9010" s="14" t="s">
        <v>17179</v>
      </c>
      <c r="B9010" s="26" t="s">
        <v>17180</v>
      </c>
      <c r="C9010" s="52"/>
      <c r="D9010" s="55">
        <f t="shared" si="140"/>
        <v>0</v>
      </c>
      <c r="E9010" s="63" t="str">
        <f>HYPERLINK("https://www.sds-group.ru/product/ventilyator-rh-12025ms-dc-12v-rexant-72-5120/", "Инфо")</f>
        <v>Инфо</v>
      </c>
      <c r="F9010" s="16" t="s">
        <v>39</v>
      </c>
      <c r="G9010" s="15"/>
      <c r="H9010" s="15"/>
      <c r="I9010" s="15"/>
      <c r="J9010" s="17">
        <v>770</v>
      </c>
      <c r="K9010" s="15" t="s">
        <v>1055</v>
      </c>
      <c r="L9010" s="17">
        <v>5</v>
      </c>
      <c r="M9010" s="17">
        <v>100</v>
      </c>
      <c r="N9010" s="17">
        <v>5</v>
      </c>
      <c r="O9010" s="18">
        <v>452.77</v>
      </c>
      <c r="P9010" s="18">
        <v>371.12</v>
      </c>
      <c r="Q9010" s="18">
        <v>384.85</v>
      </c>
      <c r="R9010" s="18">
        <v>315.45</v>
      </c>
      <c r="S9010" s="18">
        <v>307.88</v>
      </c>
      <c r="T9010" s="18">
        <v>252.36</v>
      </c>
      <c r="U9010" s="16"/>
      <c r="V9010" s="16"/>
      <c r="W9010" s="16" t="s">
        <v>40</v>
      </c>
      <c r="X9010" s="19">
        <v>0.14299999999999999</v>
      </c>
      <c r="Y9010" s="20">
        <v>5.6499999999999996E-4</v>
      </c>
      <c r="Z9010" s="21">
        <v>4601004136595</v>
      </c>
    </row>
    <row r="9011" spans="1:26" ht="12" customHeight="1" outlineLevel="4" x14ac:dyDescent="0.2">
      <c r="A9011" s="32" t="s">
        <v>17181</v>
      </c>
      <c r="B9011" s="74" t="s">
        <v>17182</v>
      </c>
      <c r="C9011" s="50"/>
      <c r="D9011" s="53">
        <f t="shared" si="140"/>
        <v>0</v>
      </c>
      <c r="E9011" s="60" t="str">
        <f>HYPERLINK("https://www.sds-group.ru/product/ventilyator-rh-12038ms-dc-12v-rexant-72-5121/", "Инфо")</f>
        <v>Инфо</v>
      </c>
      <c r="F9011" s="34" t="s">
        <v>39</v>
      </c>
      <c r="G9011" s="33"/>
      <c r="H9011" s="33" t="s">
        <v>40</v>
      </c>
      <c r="I9011" s="33"/>
      <c r="J9011" s="39">
        <v>1051</v>
      </c>
      <c r="K9011" s="33"/>
      <c r="L9011" s="35">
        <v>1</v>
      </c>
      <c r="M9011" s="35">
        <v>40</v>
      </c>
      <c r="N9011" s="35">
        <v>1</v>
      </c>
      <c r="O9011" s="36">
        <v>594.94000000000005</v>
      </c>
      <c r="P9011" s="36">
        <v>487.66</v>
      </c>
      <c r="Q9011" s="36">
        <v>416.46</v>
      </c>
      <c r="R9011" s="36">
        <v>341.36</v>
      </c>
      <c r="S9011" s="36">
        <v>404.56</v>
      </c>
      <c r="T9011" s="36">
        <v>331.61</v>
      </c>
      <c r="U9011" s="34"/>
      <c r="V9011" s="34"/>
      <c r="W9011" s="34"/>
      <c r="X9011" s="37">
        <v>0.23799999999999999</v>
      </c>
      <c r="Y9011" s="38">
        <v>8.03E-4</v>
      </c>
      <c r="Z9011" s="21">
        <v>4601004136588</v>
      </c>
    </row>
    <row r="9012" spans="1:26" ht="12.95" customHeight="1" outlineLevel="3" x14ac:dyDescent="0.2">
      <c r="A9012" s="76" t="s">
        <v>17183</v>
      </c>
      <c r="B9012" s="76"/>
      <c r="C9012" s="77"/>
      <c r="D9012" s="58"/>
      <c r="E9012" s="68"/>
      <c r="F9012" s="13"/>
      <c r="G9012" s="13"/>
      <c r="H9012" s="13"/>
      <c r="I9012" s="13"/>
      <c r="J9012" s="13"/>
      <c r="K9012" s="13"/>
      <c r="L9012" s="13"/>
      <c r="M9012" s="13"/>
      <c r="N9012" s="13"/>
      <c r="O9012" s="13"/>
      <c r="P9012" s="13"/>
      <c r="Q9012" s="13"/>
      <c r="R9012" s="13"/>
      <c r="S9012" s="13"/>
      <c r="T9012" s="13"/>
      <c r="U9012" s="13"/>
      <c r="V9012" s="13"/>
      <c r="W9012" s="13"/>
      <c r="X9012" s="13"/>
      <c r="Y9012" s="13"/>
      <c r="Z9012" s="13"/>
    </row>
    <row r="9013" spans="1:26" ht="12" customHeight="1" outlineLevel="4" x14ac:dyDescent="0.2">
      <c r="A9013" s="14" t="s">
        <v>17184</v>
      </c>
      <c r="B9013" s="26" t="s">
        <v>17185</v>
      </c>
      <c r="C9013" s="52"/>
      <c r="D9013" s="55">
        <f t="shared" si="140"/>
        <v>0</v>
      </c>
      <c r="E9013" s="63" t="str">
        <f>HYPERLINK("https://www.sds-group.ru/product/ventilyator-rx-12025ms-dc-24v-rexant-72-4120/", "Инфо")</f>
        <v>Инфо</v>
      </c>
      <c r="F9013" s="16" t="s">
        <v>39</v>
      </c>
      <c r="G9013" s="15"/>
      <c r="H9013" s="15"/>
      <c r="I9013" s="15"/>
      <c r="J9013" s="17">
        <v>299</v>
      </c>
      <c r="K9013" s="15" t="s">
        <v>1055</v>
      </c>
      <c r="L9013" s="17">
        <v>5</v>
      </c>
      <c r="M9013" s="17">
        <v>100</v>
      </c>
      <c r="N9013" s="17">
        <v>5</v>
      </c>
      <c r="O9013" s="18">
        <v>452.77</v>
      </c>
      <c r="P9013" s="18">
        <v>371.12</v>
      </c>
      <c r="Q9013" s="18">
        <v>384.85</v>
      </c>
      <c r="R9013" s="18">
        <v>315.45</v>
      </c>
      <c r="S9013" s="18">
        <v>307.88</v>
      </c>
      <c r="T9013" s="18">
        <v>252.36</v>
      </c>
      <c r="U9013" s="16"/>
      <c r="V9013" s="16"/>
      <c r="W9013" s="16" t="s">
        <v>40</v>
      </c>
      <c r="X9013" s="19">
        <v>0.13300000000000001</v>
      </c>
      <c r="Y9013" s="20">
        <v>5.7300000000000005E-4</v>
      </c>
      <c r="Z9013" s="21">
        <v>4601004096844</v>
      </c>
    </row>
    <row r="9014" spans="1:26" ht="12" customHeight="1" outlineLevel="4" x14ac:dyDescent="0.2">
      <c r="A9014" s="14" t="s">
        <v>17186</v>
      </c>
      <c r="B9014" s="26" t="s">
        <v>17187</v>
      </c>
      <c r="C9014" s="52"/>
      <c r="D9014" s="55">
        <f t="shared" si="140"/>
        <v>0</v>
      </c>
      <c r="E9014" s="63" t="str">
        <f>HYPERLINK("https://www.sds-group.ru/product/ventilyator-rx-4010ms-dc-24v-rexant-72-4040/", "Инфо")</f>
        <v>Инфо</v>
      </c>
      <c r="F9014" s="16" t="s">
        <v>39</v>
      </c>
      <c r="G9014" s="15"/>
      <c r="H9014" s="15"/>
      <c r="I9014" s="15"/>
      <c r="J9014" s="17">
        <v>343</v>
      </c>
      <c r="K9014" s="15" t="s">
        <v>979</v>
      </c>
      <c r="L9014" s="17">
        <v>5</v>
      </c>
      <c r="M9014" s="17">
        <v>500</v>
      </c>
      <c r="N9014" s="17">
        <v>5</v>
      </c>
      <c r="O9014" s="18">
        <v>269.51</v>
      </c>
      <c r="P9014" s="18">
        <v>220.91</v>
      </c>
      <c r="Q9014" s="18">
        <v>229.08</v>
      </c>
      <c r="R9014" s="18">
        <v>187.77</v>
      </c>
      <c r="S9014" s="18">
        <v>183.27</v>
      </c>
      <c r="T9014" s="18">
        <v>150.22</v>
      </c>
      <c r="U9014" s="16"/>
      <c r="V9014" s="16"/>
      <c r="W9014" s="16" t="s">
        <v>40</v>
      </c>
      <c r="X9014" s="19">
        <v>0.02</v>
      </c>
      <c r="Y9014" s="20">
        <v>4.3999999999999999E-5</v>
      </c>
      <c r="Z9014" s="21">
        <v>4601004096929</v>
      </c>
    </row>
    <row r="9015" spans="1:26" ht="12" customHeight="1" outlineLevel="4" x14ac:dyDescent="0.2">
      <c r="A9015" s="14" t="s">
        <v>17188</v>
      </c>
      <c r="B9015" s="26" t="s">
        <v>17189</v>
      </c>
      <c r="C9015" s="52"/>
      <c r="D9015" s="55">
        <f t="shared" si="140"/>
        <v>0</v>
      </c>
      <c r="E9015" s="63" t="str">
        <f>HYPERLINK("https://www.sds-group.ru/product/ventilyator-rx-8025ms-dc-24v-rexant-72-4080/", "Инфо")</f>
        <v>Инфо</v>
      </c>
      <c r="F9015" s="16" t="s">
        <v>39</v>
      </c>
      <c r="G9015" s="15"/>
      <c r="H9015" s="15"/>
      <c r="I9015" s="15"/>
      <c r="J9015" s="16" t="s">
        <v>100</v>
      </c>
      <c r="K9015" s="15" t="s">
        <v>1055</v>
      </c>
      <c r="L9015" s="17">
        <v>5</v>
      </c>
      <c r="M9015" s="17">
        <v>180</v>
      </c>
      <c r="N9015" s="17">
        <v>5</v>
      </c>
      <c r="O9015" s="18">
        <v>344.97</v>
      </c>
      <c r="P9015" s="18">
        <v>282.76</v>
      </c>
      <c r="Q9015" s="18">
        <v>293.22000000000003</v>
      </c>
      <c r="R9015" s="18">
        <v>240.34</v>
      </c>
      <c r="S9015" s="18">
        <v>234.58</v>
      </c>
      <c r="T9015" s="18">
        <v>192.28</v>
      </c>
      <c r="U9015" s="16"/>
      <c r="V9015" s="16"/>
      <c r="W9015" s="16" t="s">
        <v>40</v>
      </c>
      <c r="X9015" s="19">
        <v>8.5000000000000006E-2</v>
      </c>
      <c r="Y9015" s="20">
        <v>2.7099999999999997E-4</v>
      </c>
      <c r="Z9015" s="21">
        <v>4601004096820</v>
      </c>
    </row>
    <row r="9016" spans="1:26" ht="12" customHeight="1" outlineLevel="4" x14ac:dyDescent="0.2">
      <c r="A9016" s="14" t="s">
        <v>17190</v>
      </c>
      <c r="B9016" s="26" t="s">
        <v>17191</v>
      </c>
      <c r="C9016" s="52"/>
      <c r="D9016" s="55">
        <f t="shared" si="140"/>
        <v>0</v>
      </c>
      <c r="E9016" s="63" t="str">
        <f>HYPERLINK("https://www.sds-group.ru/product/ventilyator-rx-9225ms-dc-24v-rexant-72-4090/", "Инфо")</f>
        <v>Инфо</v>
      </c>
      <c r="F9016" s="16" t="s">
        <v>39</v>
      </c>
      <c r="G9016" s="15"/>
      <c r="H9016" s="15"/>
      <c r="I9016" s="15"/>
      <c r="J9016" s="17">
        <v>306</v>
      </c>
      <c r="K9016" s="15" t="s">
        <v>1055</v>
      </c>
      <c r="L9016" s="17">
        <v>5</v>
      </c>
      <c r="M9016" s="17">
        <v>156</v>
      </c>
      <c r="N9016" s="17">
        <v>5</v>
      </c>
      <c r="O9016" s="18">
        <v>323.41000000000003</v>
      </c>
      <c r="P9016" s="18">
        <v>265.08999999999997</v>
      </c>
      <c r="Q9016" s="18">
        <v>274.89999999999998</v>
      </c>
      <c r="R9016" s="18">
        <v>225.33</v>
      </c>
      <c r="S9016" s="18">
        <v>219.92</v>
      </c>
      <c r="T9016" s="18">
        <v>180.26</v>
      </c>
      <c r="U9016" s="16"/>
      <c r="V9016" s="16"/>
      <c r="W9016" s="16" t="s">
        <v>40</v>
      </c>
      <c r="X9016" s="19">
        <v>8.7999999999999995E-2</v>
      </c>
      <c r="Y9016" s="20">
        <v>3.2299999999999999E-4</v>
      </c>
      <c r="Z9016" s="21">
        <v>4601004096837</v>
      </c>
    </row>
    <row r="9017" spans="1:26" ht="12" customHeight="1" outlineLevel="4" x14ac:dyDescent="0.2">
      <c r="A9017" s="14" t="s">
        <v>17192</v>
      </c>
      <c r="B9017" s="26" t="s">
        <v>17193</v>
      </c>
      <c r="C9017" s="52"/>
      <c r="D9017" s="55">
        <f t="shared" si="140"/>
        <v>0</v>
      </c>
      <c r="E9017" s="63" t="str">
        <f>HYPERLINK("https://www.sds-group.ru/product/ventilyator-rh-12038hs-dc-24v-rexant-72-4121/", "Инфо")</f>
        <v>Инфо</v>
      </c>
      <c r="F9017" s="16" t="s">
        <v>39</v>
      </c>
      <c r="G9017" s="15"/>
      <c r="H9017" s="15"/>
      <c r="I9017" s="15"/>
      <c r="J9017" s="16" t="s">
        <v>100</v>
      </c>
      <c r="K9017" s="15" t="s">
        <v>1055</v>
      </c>
      <c r="L9017" s="17">
        <v>1</v>
      </c>
      <c r="M9017" s="17">
        <v>44</v>
      </c>
      <c r="N9017" s="17">
        <v>1</v>
      </c>
      <c r="O9017" s="18">
        <v>700.71</v>
      </c>
      <c r="P9017" s="18">
        <v>574.35</v>
      </c>
      <c r="Q9017" s="18">
        <v>595.6</v>
      </c>
      <c r="R9017" s="18">
        <v>488.2</v>
      </c>
      <c r="S9017" s="18">
        <v>476.48</v>
      </c>
      <c r="T9017" s="18">
        <v>390.56</v>
      </c>
      <c r="U9017" s="16"/>
      <c r="V9017" s="16"/>
      <c r="W9017" s="16" t="s">
        <v>40</v>
      </c>
      <c r="X9017" s="19">
        <v>0.23300000000000001</v>
      </c>
      <c r="Y9017" s="20">
        <v>8.0800000000000002E-4</v>
      </c>
      <c r="Z9017" s="21">
        <v>4601004136571</v>
      </c>
    </row>
    <row r="9018" spans="1:26" ht="12.95" customHeight="1" outlineLevel="3" x14ac:dyDescent="0.2">
      <c r="A9018" s="76" t="s">
        <v>17194</v>
      </c>
      <c r="B9018" s="76"/>
      <c r="C9018" s="77"/>
      <c r="D9018" s="58"/>
      <c r="E9018" s="68"/>
      <c r="F9018" s="13"/>
      <c r="G9018" s="13"/>
      <c r="H9018" s="13"/>
      <c r="I9018" s="13"/>
      <c r="J9018" s="13"/>
      <c r="K9018" s="13"/>
      <c r="L9018" s="13"/>
      <c r="M9018" s="13"/>
      <c r="N9018" s="13"/>
      <c r="O9018" s="13"/>
      <c r="P9018" s="13"/>
      <c r="Q9018" s="13"/>
      <c r="R9018" s="13"/>
      <c r="S9018" s="13"/>
      <c r="T9018" s="13"/>
      <c r="U9018" s="13"/>
      <c r="V9018" s="13"/>
      <c r="W9018" s="13"/>
      <c r="X9018" s="13"/>
      <c r="Y9018" s="13"/>
      <c r="Z9018" s="13"/>
    </row>
    <row r="9019" spans="1:26" ht="12" customHeight="1" outlineLevel="4" x14ac:dyDescent="0.2">
      <c r="A9019" s="14" t="s">
        <v>17195</v>
      </c>
      <c r="B9019" s="26" t="s">
        <v>17196</v>
      </c>
      <c r="C9019" s="52"/>
      <c r="D9019" s="55">
        <f t="shared" si="140"/>
        <v>0</v>
      </c>
      <c r="E9019" s="63" t="str">
        <f>HYPERLINK("https://www.sds-group.ru/product/ventilyator-rqa-12025hsl-ac-220v-rexant-72-6120/", "Инфо")</f>
        <v>Инфо</v>
      </c>
      <c r="F9019" s="16" t="s">
        <v>39</v>
      </c>
      <c r="G9019" s="15"/>
      <c r="H9019" s="15"/>
      <c r="I9019" s="15"/>
      <c r="J9019" s="16" t="s">
        <v>100</v>
      </c>
      <c r="K9019" s="15" t="s">
        <v>1055</v>
      </c>
      <c r="L9019" s="17">
        <v>1</v>
      </c>
      <c r="M9019" s="17">
        <v>72</v>
      </c>
      <c r="N9019" s="17">
        <v>1</v>
      </c>
      <c r="O9019" s="18">
        <v>700.71</v>
      </c>
      <c r="P9019" s="18">
        <v>574.35</v>
      </c>
      <c r="Q9019" s="18">
        <v>595.6</v>
      </c>
      <c r="R9019" s="18">
        <v>488.2</v>
      </c>
      <c r="S9019" s="18">
        <v>476.48</v>
      </c>
      <c r="T9019" s="18">
        <v>390.56</v>
      </c>
      <c r="U9019" s="16"/>
      <c r="V9019" s="16"/>
      <c r="W9019" s="16" t="s">
        <v>40</v>
      </c>
      <c r="X9019" s="19">
        <v>0.28100000000000003</v>
      </c>
      <c r="Y9019" s="20">
        <v>5.6800000000000004E-4</v>
      </c>
      <c r="Z9019" s="21">
        <v>4601004076259</v>
      </c>
    </row>
    <row r="9020" spans="1:26" ht="12" customHeight="1" outlineLevel="4" x14ac:dyDescent="0.2">
      <c r="A9020" s="14" t="s">
        <v>17197</v>
      </c>
      <c r="B9020" s="26" t="s">
        <v>17198</v>
      </c>
      <c r="C9020" s="52"/>
      <c r="D9020" s="55">
        <f t="shared" si="140"/>
        <v>0</v>
      </c>
      <c r="E9020" s="63" t="str">
        <f>HYPERLINK("https://www.sds-group.ru/product/ventilyator-rqa-12038hsl-ac-220v-rexant-72-6122/", "Инфо")</f>
        <v>Инфо</v>
      </c>
      <c r="F9020" s="16" t="s">
        <v>39</v>
      </c>
      <c r="G9020" s="15"/>
      <c r="H9020" s="15"/>
      <c r="I9020" s="15"/>
      <c r="J9020" s="17">
        <v>369</v>
      </c>
      <c r="K9020" s="15" t="s">
        <v>1055</v>
      </c>
      <c r="L9020" s="17">
        <v>1</v>
      </c>
      <c r="M9020" s="17">
        <v>44</v>
      </c>
      <c r="N9020" s="17">
        <v>1</v>
      </c>
      <c r="O9020" s="18">
        <v>808.52</v>
      </c>
      <c r="P9020" s="18">
        <v>662.72</v>
      </c>
      <c r="Q9020" s="18">
        <v>687.24</v>
      </c>
      <c r="R9020" s="18">
        <v>563.30999999999995</v>
      </c>
      <c r="S9020" s="18">
        <v>549.79</v>
      </c>
      <c r="T9020" s="18">
        <v>450.65</v>
      </c>
      <c r="U9020" s="16"/>
      <c r="V9020" s="16"/>
      <c r="W9020" s="16" t="s">
        <v>40</v>
      </c>
      <c r="X9020" s="19">
        <v>0.46200000000000002</v>
      </c>
      <c r="Y9020" s="20">
        <v>8.3299999999999997E-4</v>
      </c>
      <c r="Z9020" s="21">
        <v>4601004076235</v>
      </c>
    </row>
    <row r="9021" spans="1:26" ht="12" customHeight="1" outlineLevel="4" x14ac:dyDescent="0.2">
      <c r="A9021" s="14" t="s">
        <v>17199</v>
      </c>
      <c r="B9021" s="26" t="s">
        <v>17200</v>
      </c>
      <c r="C9021" s="52"/>
      <c r="D9021" s="55">
        <f t="shared" si="140"/>
        <v>0</v>
      </c>
      <c r="E9021" s="63" t="str">
        <f>HYPERLINK("https://www.sds-group.ru/product/ventilyator-rqa-12038hst-ac-220v-rexant-72-6121/", "Инфо")</f>
        <v>Инфо</v>
      </c>
      <c r="F9021" s="16" t="s">
        <v>39</v>
      </c>
      <c r="G9021" s="15"/>
      <c r="H9021" s="15"/>
      <c r="I9021" s="15"/>
      <c r="J9021" s="16" t="s">
        <v>100</v>
      </c>
      <c r="K9021" s="15" t="s">
        <v>1055</v>
      </c>
      <c r="L9021" s="17">
        <v>1</v>
      </c>
      <c r="M9021" s="17">
        <v>44</v>
      </c>
      <c r="N9021" s="17">
        <v>1</v>
      </c>
      <c r="O9021" s="18">
        <v>808.52</v>
      </c>
      <c r="P9021" s="18">
        <v>662.72</v>
      </c>
      <c r="Q9021" s="18">
        <v>687.24</v>
      </c>
      <c r="R9021" s="18">
        <v>563.30999999999995</v>
      </c>
      <c r="S9021" s="18">
        <v>549.79</v>
      </c>
      <c r="T9021" s="18">
        <v>450.65</v>
      </c>
      <c r="U9021" s="16"/>
      <c r="V9021" s="16"/>
      <c r="W9021" s="16" t="s">
        <v>40</v>
      </c>
      <c r="X9021" s="19">
        <v>0.46500000000000002</v>
      </c>
      <c r="Y9021" s="20">
        <v>8.0900000000000004E-4</v>
      </c>
      <c r="Z9021" s="21">
        <v>4601004076242</v>
      </c>
    </row>
    <row r="9022" spans="1:26" ht="12" customHeight="1" outlineLevel="4" x14ac:dyDescent="0.2">
      <c r="A9022" s="14" t="s">
        <v>17201</v>
      </c>
      <c r="B9022" s="26" t="s">
        <v>17202</v>
      </c>
      <c r="C9022" s="52"/>
      <c r="D9022" s="55">
        <f t="shared" si="140"/>
        <v>0</v>
      </c>
      <c r="E9022" s="63" t="str">
        <f>HYPERLINK("https://www.sds-group.ru/product/ventilyator-rqa-172x163x51hbl-ac-220v-rexant-72-6170/", "Инфо")</f>
        <v>Инфо</v>
      </c>
      <c r="F9022" s="16" t="s">
        <v>39</v>
      </c>
      <c r="G9022" s="15"/>
      <c r="H9022" s="15"/>
      <c r="I9022" s="15"/>
      <c r="J9022" s="17">
        <v>205</v>
      </c>
      <c r="K9022" s="15" t="s">
        <v>16163</v>
      </c>
      <c r="L9022" s="17">
        <v>1</v>
      </c>
      <c r="M9022" s="17">
        <v>32</v>
      </c>
      <c r="N9022" s="17">
        <v>1</v>
      </c>
      <c r="O9022" s="18">
        <v>1724.83</v>
      </c>
      <c r="P9022" s="18">
        <v>1413.8</v>
      </c>
      <c r="Q9022" s="18">
        <v>1466.11</v>
      </c>
      <c r="R9022" s="18">
        <v>1201.73</v>
      </c>
      <c r="S9022" s="18">
        <v>1172.8800000000001</v>
      </c>
      <c r="T9022" s="18">
        <v>961.38</v>
      </c>
      <c r="U9022" s="16"/>
      <c r="V9022" s="16"/>
      <c r="W9022" s="16" t="s">
        <v>40</v>
      </c>
      <c r="X9022" s="19">
        <v>0.85599999999999998</v>
      </c>
      <c r="Y9022" s="20">
        <v>1.3810000000000001E-3</v>
      </c>
      <c r="Z9022" s="21">
        <v>4601004076266</v>
      </c>
    </row>
    <row r="9023" spans="1:26" ht="12" customHeight="1" outlineLevel="4" x14ac:dyDescent="0.2">
      <c r="A9023" s="14" t="s">
        <v>17203</v>
      </c>
      <c r="B9023" s="26" t="s">
        <v>17204</v>
      </c>
      <c r="C9023" s="52"/>
      <c r="D9023" s="55">
        <f t="shared" si="140"/>
        <v>0</v>
      </c>
      <c r="E9023" s="63" t="str">
        <f>HYPERLINK("https://www.sds-group.ru/product/ventilyator-rx-8025hs-ac-220v-rexant-72-6080/", "Инфо")</f>
        <v>Инфо</v>
      </c>
      <c r="F9023" s="16" t="s">
        <v>39</v>
      </c>
      <c r="G9023" s="15"/>
      <c r="H9023" s="15"/>
      <c r="I9023" s="15"/>
      <c r="J9023" s="17">
        <v>319</v>
      </c>
      <c r="K9023" s="15" t="s">
        <v>979</v>
      </c>
      <c r="L9023" s="17">
        <v>5</v>
      </c>
      <c r="M9023" s="17">
        <v>50</v>
      </c>
      <c r="N9023" s="17">
        <v>5</v>
      </c>
      <c r="O9023" s="18">
        <v>603.69000000000005</v>
      </c>
      <c r="P9023" s="18">
        <v>494.83</v>
      </c>
      <c r="Q9023" s="18">
        <v>513.14</v>
      </c>
      <c r="R9023" s="18">
        <v>420.61</v>
      </c>
      <c r="S9023" s="18">
        <v>410.51</v>
      </c>
      <c r="T9023" s="18">
        <v>336.48</v>
      </c>
      <c r="U9023" s="16"/>
      <c r="V9023" s="16"/>
      <c r="W9023" s="16" t="s">
        <v>40</v>
      </c>
      <c r="X9023" s="19">
        <v>0.23300000000000001</v>
      </c>
      <c r="Y9023" s="20">
        <v>6.6299999999999996E-4</v>
      </c>
      <c r="Z9023" s="21">
        <v>4601004096905</v>
      </c>
    </row>
    <row r="9024" spans="1:26" ht="12" customHeight="1" outlineLevel="4" x14ac:dyDescent="0.2">
      <c r="A9024" s="14" t="s">
        <v>17205</v>
      </c>
      <c r="B9024" s="26" t="s">
        <v>17206</v>
      </c>
      <c r="C9024" s="52"/>
      <c r="D9024" s="55">
        <f t="shared" si="140"/>
        <v>0</v>
      </c>
      <c r="E9024" s="63" t="str">
        <f>HYPERLINK("https://www.sds-group.ru/product/ventilyator-rx-9225hs-ac-220v-rexant-72-6090/", "Инфо")</f>
        <v>Инфо</v>
      </c>
      <c r="F9024" s="16" t="s">
        <v>39</v>
      </c>
      <c r="G9024" s="15"/>
      <c r="H9024" s="15"/>
      <c r="I9024" s="15"/>
      <c r="J9024" s="17">
        <v>295</v>
      </c>
      <c r="K9024" s="15" t="s">
        <v>1650</v>
      </c>
      <c r="L9024" s="17">
        <v>1</v>
      </c>
      <c r="M9024" s="17">
        <v>60</v>
      </c>
      <c r="N9024" s="17">
        <v>1</v>
      </c>
      <c r="O9024" s="18">
        <v>808.52</v>
      </c>
      <c r="P9024" s="18">
        <v>662.72</v>
      </c>
      <c r="Q9024" s="18">
        <v>687.24</v>
      </c>
      <c r="R9024" s="18">
        <v>563.30999999999995</v>
      </c>
      <c r="S9024" s="18">
        <v>549.79</v>
      </c>
      <c r="T9024" s="18">
        <v>450.65</v>
      </c>
      <c r="U9024" s="16"/>
      <c r="V9024" s="16"/>
      <c r="W9024" s="16" t="s">
        <v>40</v>
      </c>
      <c r="X9024" s="19">
        <v>0.248</v>
      </c>
      <c r="Y9024" s="20">
        <v>2.4399999999999999E-4</v>
      </c>
      <c r="Z9024" s="21">
        <v>4601004096899</v>
      </c>
    </row>
    <row r="9025" spans="1:26" ht="12.95" customHeight="1" outlineLevel="3" x14ac:dyDescent="0.2">
      <c r="A9025" s="76" t="s">
        <v>17207</v>
      </c>
      <c r="B9025" s="76"/>
      <c r="C9025" s="77"/>
      <c r="D9025" s="58"/>
      <c r="E9025" s="68"/>
      <c r="F9025" s="13"/>
      <c r="G9025" s="13"/>
      <c r="H9025" s="13"/>
      <c r="I9025" s="13"/>
      <c r="J9025" s="13"/>
      <c r="K9025" s="13"/>
      <c r="L9025" s="13"/>
      <c r="M9025" s="13"/>
      <c r="N9025" s="13"/>
      <c r="O9025" s="13"/>
      <c r="P9025" s="13"/>
      <c r="Q9025" s="13"/>
      <c r="R9025" s="13"/>
      <c r="S9025" s="13"/>
      <c r="T9025" s="13"/>
      <c r="U9025" s="13"/>
      <c r="V9025" s="13"/>
      <c r="W9025" s="13"/>
      <c r="X9025" s="13"/>
      <c r="Y9025" s="13"/>
      <c r="Z9025" s="13"/>
    </row>
    <row r="9026" spans="1:26" ht="12" customHeight="1" outlineLevel="4" x14ac:dyDescent="0.2">
      <c r="A9026" s="14" t="s">
        <v>17208</v>
      </c>
      <c r="B9026" s="26" t="s">
        <v>17209</v>
      </c>
      <c r="C9026" s="52"/>
      <c r="D9026" s="55">
        <f t="shared" si="140"/>
        <v>0</v>
      </c>
      <c r="E9026" s="63" t="str">
        <f>HYPERLINK("https://www.sds-group.ru/product/reshetka-dlya-ventilyatora-120mm-rexant-72-7120/", "Инфо")</f>
        <v>Инфо</v>
      </c>
      <c r="F9026" s="16" t="s">
        <v>39</v>
      </c>
      <c r="G9026" s="15"/>
      <c r="H9026" s="15"/>
      <c r="I9026" s="15"/>
      <c r="J9026" s="17">
        <v>700</v>
      </c>
      <c r="K9026" s="15" t="s">
        <v>1055</v>
      </c>
      <c r="L9026" s="17">
        <v>100</v>
      </c>
      <c r="M9026" s="22">
        <v>1000</v>
      </c>
      <c r="N9026" s="17">
        <v>100</v>
      </c>
      <c r="O9026" s="18">
        <v>118.58</v>
      </c>
      <c r="P9026" s="18">
        <v>97.2</v>
      </c>
      <c r="Q9026" s="18">
        <v>100.79</v>
      </c>
      <c r="R9026" s="18">
        <v>82.61</v>
      </c>
      <c r="S9026" s="18">
        <v>80.63</v>
      </c>
      <c r="T9026" s="18">
        <v>66.09</v>
      </c>
      <c r="U9026" s="16"/>
      <c r="V9026" s="16"/>
      <c r="W9026" s="16" t="s">
        <v>40</v>
      </c>
      <c r="X9026" s="19">
        <v>3.2000000000000001E-2</v>
      </c>
      <c r="Y9026" s="20">
        <v>5.5999999999999999E-5</v>
      </c>
      <c r="Z9026" s="21">
        <v>4601004076273</v>
      </c>
    </row>
    <row r="9027" spans="1:26" ht="12" customHeight="1" outlineLevel="4" x14ac:dyDescent="0.2">
      <c r="A9027" s="32" t="s">
        <v>17210</v>
      </c>
      <c r="B9027" s="74" t="s">
        <v>17211</v>
      </c>
      <c r="C9027" s="50"/>
      <c r="D9027" s="53">
        <f t="shared" si="140"/>
        <v>0</v>
      </c>
      <c r="E9027" s="60" t="str">
        <f>HYPERLINK("https://www.sds-group.ru/product/reshetka-dlya-ventilyatora-60mm-rexant-72-7060/", "Инфо")</f>
        <v>Инфо</v>
      </c>
      <c r="F9027" s="34" t="s">
        <v>39</v>
      </c>
      <c r="G9027" s="33"/>
      <c r="H9027" s="33" t="s">
        <v>40</v>
      </c>
      <c r="I9027" s="33"/>
      <c r="J9027" s="35">
        <v>149</v>
      </c>
      <c r="K9027" s="33"/>
      <c r="L9027" s="35">
        <v>1</v>
      </c>
      <c r="M9027" s="39">
        <v>1000</v>
      </c>
      <c r="N9027" s="35">
        <v>1</v>
      </c>
      <c r="O9027" s="36">
        <v>74.38</v>
      </c>
      <c r="P9027" s="36">
        <v>60.97</v>
      </c>
      <c r="Q9027" s="36">
        <v>63.22</v>
      </c>
      <c r="R9027" s="36">
        <v>51.82</v>
      </c>
      <c r="S9027" s="36">
        <v>50.58</v>
      </c>
      <c r="T9027" s="36">
        <v>41.46</v>
      </c>
      <c r="U9027" s="34"/>
      <c r="V9027" s="34"/>
      <c r="W9027" s="34" t="s">
        <v>40</v>
      </c>
      <c r="X9027" s="37">
        <v>0.01</v>
      </c>
      <c r="Y9027" s="38">
        <v>1.5999999999999999E-5</v>
      </c>
      <c r="Z9027" s="21">
        <v>4601004076297</v>
      </c>
    </row>
    <row r="9028" spans="1:26" ht="12.95" customHeight="1" outlineLevel="2" x14ac:dyDescent="0.2">
      <c r="A9028" s="76" t="s">
        <v>17212</v>
      </c>
      <c r="B9028" s="76"/>
      <c r="C9028" s="77"/>
      <c r="D9028" s="58"/>
      <c r="E9028" s="68"/>
      <c r="F9028" s="13"/>
      <c r="G9028" s="13"/>
      <c r="H9028" s="13"/>
      <c r="I9028" s="13"/>
      <c r="J9028" s="13"/>
      <c r="K9028" s="13"/>
      <c r="L9028" s="13"/>
      <c r="M9028" s="13"/>
      <c r="N9028" s="13"/>
      <c r="O9028" s="13"/>
      <c r="P9028" s="13"/>
      <c r="Q9028" s="13"/>
      <c r="R9028" s="13"/>
      <c r="S9028" s="13"/>
      <c r="T9028" s="13"/>
      <c r="U9028" s="13"/>
      <c r="V9028" s="13"/>
      <c r="W9028" s="13"/>
      <c r="X9028" s="13"/>
      <c r="Y9028" s="13"/>
      <c r="Z9028" s="13"/>
    </row>
    <row r="9029" spans="1:26" ht="12.95" customHeight="1" outlineLevel="3" x14ac:dyDescent="0.2">
      <c r="A9029" s="76" t="s">
        <v>17213</v>
      </c>
      <c r="B9029" s="76"/>
      <c r="C9029" s="77"/>
      <c r="D9029" s="58"/>
      <c r="E9029" s="68"/>
      <c r="F9029" s="13"/>
      <c r="G9029" s="13"/>
      <c r="H9029" s="13"/>
      <c r="I9029" s="13"/>
      <c r="J9029" s="13"/>
      <c r="K9029" s="13"/>
      <c r="L9029" s="13"/>
      <c r="M9029" s="13"/>
      <c r="N9029" s="13"/>
      <c r="O9029" s="13"/>
      <c r="P9029" s="13"/>
      <c r="Q9029" s="13"/>
      <c r="R9029" s="13"/>
      <c r="S9029" s="13"/>
      <c r="T9029" s="13"/>
      <c r="U9029" s="13"/>
      <c r="V9029" s="13"/>
      <c r="W9029" s="13"/>
      <c r="X9029" s="13"/>
      <c r="Y9029" s="13"/>
      <c r="Z9029" s="13"/>
    </row>
    <row r="9030" spans="1:26" ht="12" customHeight="1" outlineLevel="4" x14ac:dyDescent="0.2">
      <c r="A9030" s="14" t="s">
        <v>17214</v>
      </c>
      <c r="B9030" s="26" t="s">
        <v>17215</v>
      </c>
      <c r="C9030" s="52"/>
      <c r="D9030" s="55">
        <f t="shared" si="140"/>
        <v>0</v>
      </c>
      <c r="E9030" s="63" t="str">
        <f>HYPERLINK("https://www.sds-group.ru/product/avtomobilnyy-derzhatel-s-besprovodnoy-zaryadkoy-magsafe-15vt-rexant-40-0607/", "Инфо")</f>
        <v>Инфо</v>
      </c>
      <c r="F9030" s="16" t="s">
        <v>39</v>
      </c>
      <c r="G9030" s="15"/>
      <c r="H9030" s="15"/>
      <c r="I9030" s="15"/>
      <c r="J9030" s="17">
        <v>287</v>
      </c>
      <c r="K9030" s="15"/>
      <c r="L9030" s="17">
        <v>1</v>
      </c>
      <c r="M9030" s="17">
        <v>100</v>
      </c>
      <c r="N9030" s="17">
        <v>1</v>
      </c>
      <c r="O9030" s="18">
        <v>1076.94</v>
      </c>
      <c r="P9030" s="18">
        <v>882.74</v>
      </c>
      <c r="Q9030" s="18">
        <v>753.86</v>
      </c>
      <c r="R9030" s="18">
        <v>617.91999999999996</v>
      </c>
      <c r="S9030" s="18">
        <v>732.32</v>
      </c>
      <c r="T9030" s="18">
        <v>600.26</v>
      </c>
      <c r="U9030" s="16"/>
      <c r="V9030" s="16"/>
      <c r="W9030" s="16"/>
      <c r="X9030" s="19">
        <v>0.127</v>
      </c>
      <c r="Y9030" s="20">
        <v>6.1399999999999996E-4</v>
      </c>
      <c r="Z9030" s="21">
        <v>4601004310865</v>
      </c>
    </row>
    <row r="9031" spans="1:26" ht="12" customHeight="1" outlineLevel="4" x14ac:dyDescent="0.2">
      <c r="A9031" s="32" t="s">
        <v>17216</v>
      </c>
      <c r="B9031" s="74" t="s">
        <v>17217</v>
      </c>
      <c r="C9031" s="50"/>
      <c r="D9031" s="53">
        <f t="shared" si="140"/>
        <v>0</v>
      </c>
      <c r="E9031" s="60" t="str">
        <f>HYPERLINK("https://www.sds-group.ru/product/avtomobilnyy-derzhatel-telefona-v-deflektor-d1-razmer-64-86-mm-rexant-40-0609/", "Инфо")</f>
        <v>Инфо</v>
      </c>
      <c r="F9031" s="34" t="s">
        <v>39</v>
      </c>
      <c r="G9031" s="33"/>
      <c r="H9031" s="33" t="s">
        <v>40</v>
      </c>
      <c r="I9031" s="33"/>
      <c r="J9031" s="39">
        <v>1208</v>
      </c>
      <c r="K9031" s="33"/>
      <c r="L9031" s="35">
        <v>1</v>
      </c>
      <c r="M9031" s="35">
        <v>500</v>
      </c>
      <c r="N9031" s="35">
        <v>1</v>
      </c>
      <c r="O9031" s="36">
        <v>142.52000000000001</v>
      </c>
      <c r="P9031" s="36">
        <v>116.82</v>
      </c>
      <c r="Q9031" s="36">
        <v>99.76</v>
      </c>
      <c r="R9031" s="36">
        <v>81.77</v>
      </c>
      <c r="S9031" s="36">
        <v>96.91</v>
      </c>
      <c r="T9031" s="36">
        <v>79.430000000000007</v>
      </c>
      <c r="U9031" s="34"/>
      <c r="V9031" s="34"/>
      <c r="W9031" s="34"/>
      <c r="X9031" s="37">
        <v>3.3000000000000002E-2</v>
      </c>
      <c r="Y9031" s="38">
        <v>1.2400000000000001E-4</v>
      </c>
      <c r="Z9031" s="21">
        <v>4601004305243</v>
      </c>
    </row>
    <row r="9032" spans="1:26" ht="12" customHeight="1" outlineLevel="4" x14ac:dyDescent="0.2">
      <c r="A9032" s="14" t="s">
        <v>17218</v>
      </c>
      <c r="B9032" s="26" t="s">
        <v>17219</v>
      </c>
      <c r="C9032" s="52"/>
      <c r="D9032" s="55">
        <f t="shared" si="140"/>
        <v>0</v>
      </c>
      <c r="E9032" s="63" t="str">
        <f>HYPERLINK("https://www.sds-group.ru/product/derzhatel-avtomobilnyy-dlya-telefona-d-10-rexant-40-0622/", "Инфо")</f>
        <v>Инфо</v>
      </c>
      <c r="F9032" s="16" t="s">
        <v>39</v>
      </c>
      <c r="G9032" s="15"/>
      <c r="H9032" s="15"/>
      <c r="I9032" s="15"/>
      <c r="J9032" s="17">
        <v>54</v>
      </c>
      <c r="K9032" s="15"/>
      <c r="L9032" s="17">
        <v>1</v>
      </c>
      <c r="M9032" s="17">
        <v>200</v>
      </c>
      <c r="N9032" s="17">
        <v>1</v>
      </c>
      <c r="O9032" s="18">
        <v>591.83000000000004</v>
      </c>
      <c r="P9032" s="18">
        <v>485.11</v>
      </c>
      <c r="Q9032" s="18">
        <v>414.28</v>
      </c>
      <c r="R9032" s="18">
        <v>339.57</v>
      </c>
      <c r="S9032" s="18">
        <v>402.44</v>
      </c>
      <c r="T9032" s="18">
        <v>329.87</v>
      </c>
      <c r="U9032" s="16"/>
      <c r="V9032" s="16"/>
      <c r="W9032" s="16"/>
      <c r="X9032" s="19">
        <v>7.0999999999999994E-2</v>
      </c>
      <c r="Y9032" s="20">
        <v>3.0899999999999998E-4</v>
      </c>
      <c r="Z9032" s="21">
        <v>4601004317178</v>
      </c>
    </row>
    <row r="9033" spans="1:26" ht="12" customHeight="1" outlineLevel="4" x14ac:dyDescent="0.2">
      <c r="A9033" s="14" t="s">
        <v>17220</v>
      </c>
      <c r="B9033" s="26" t="s">
        <v>17221</v>
      </c>
      <c r="C9033" s="52"/>
      <c r="D9033" s="55">
        <f t="shared" ref="D9033:D9096" si="141">C9033*(O9033-O9033*$G$3)</f>
        <v>0</v>
      </c>
      <c r="E9033" s="63" t="str">
        <f>HYPERLINK("https://www.sds-group.ru/product/derzhatel-avtomobilnyy-dlya-telefona-d-4-chernyy-rexant-40-0615/", "Инфо")</f>
        <v>Инфо</v>
      </c>
      <c r="F9033" s="16" t="s">
        <v>39</v>
      </c>
      <c r="G9033" s="15"/>
      <c r="H9033" s="15"/>
      <c r="I9033" s="15"/>
      <c r="J9033" s="16" t="s">
        <v>100</v>
      </c>
      <c r="K9033" s="15" t="s">
        <v>6930</v>
      </c>
      <c r="L9033" s="17">
        <v>5</v>
      </c>
      <c r="M9033" s="17">
        <v>100</v>
      </c>
      <c r="N9033" s="17">
        <v>5</v>
      </c>
      <c r="O9033" s="18">
        <v>591.83000000000004</v>
      </c>
      <c r="P9033" s="18">
        <v>485.11</v>
      </c>
      <c r="Q9033" s="18">
        <v>503.06</v>
      </c>
      <c r="R9033" s="18">
        <v>412.34</v>
      </c>
      <c r="S9033" s="18">
        <v>402.44</v>
      </c>
      <c r="T9033" s="18">
        <v>329.87</v>
      </c>
      <c r="U9033" s="16"/>
      <c r="V9033" s="16"/>
      <c r="W9033" s="16" t="s">
        <v>40</v>
      </c>
      <c r="X9033" s="19">
        <v>0.218</v>
      </c>
      <c r="Y9033" s="20">
        <v>1.256E-3</v>
      </c>
      <c r="Z9033" s="21">
        <v>4601004317116</v>
      </c>
    </row>
    <row r="9034" spans="1:26" ht="12" customHeight="1" outlineLevel="4" x14ac:dyDescent="0.2">
      <c r="A9034" s="14" t="s">
        <v>17222</v>
      </c>
      <c r="B9034" s="26" t="s">
        <v>17223</v>
      </c>
      <c r="C9034" s="52"/>
      <c r="D9034" s="55">
        <f t="shared" si="141"/>
        <v>0</v>
      </c>
      <c r="E9034" s="63" t="str">
        <f>HYPERLINK("https://www.sds-group.ru/product/derzhatel-avtomobilnyy-dlya-telefona-d-5-chernyy-rexant-40-0616/", "Инфо")</f>
        <v>Инфо</v>
      </c>
      <c r="F9034" s="16" t="s">
        <v>39</v>
      </c>
      <c r="G9034" s="15"/>
      <c r="H9034" s="15"/>
      <c r="I9034" s="15"/>
      <c r="J9034" s="17">
        <v>602</v>
      </c>
      <c r="K9034" s="15"/>
      <c r="L9034" s="17">
        <v>1</v>
      </c>
      <c r="M9034" s="17">
        <v>100</v>
      </c>
      <c r="N9034" s="17">
        <v>1</v>
      </c>
      <c r="O9034" s="18">
        <v>591.83000000000004</v>
      </c>
      <c r="P9034" s="18">
        <v>485.11</v>
      </c>
      <c r="Q9034" s="18">
        <v>414.28</v>
      </c>
      <c r="R9034" s="18">
        <v>339.57</v>
      </c>
      <c r="S9034" s="18">
        <v>402.44</v>
      </c>
      <c r="T9034" s="18">
        <v>329.87</v>
      </c>
      <c r="U9034" s="16"/>
      <c r="V9034" s="16"/>
      <c r="W9034" s="16"/>
      <c r="X9034" s="19">
        <v>0.13800000000000001</v>
      </c>
      <c r="Y9034" s="20">
        <v>7.0100000000000002E-4</v>
      </c>
      <c r="Z9034" s="21">
        <v>4601004317147</v>
      </c>
    </row>
    <row r="9035" spans="1:26" ht="12" customHeight="1" outlineLevel="4" x14ac:dyDescent="0.2">
      <c r="A9035" s="14" t="s">
        <v>17224</v>
      </c>
      <c r="B9035" s="26" t="s">
        <v>17225</v>
      </c>
      <c r="C9035" s="52"/>
      <c r="D9035" s="55">
        <f t="shared" si="141"/>
        <v>0</v>
      </c>
      <c r="E9035" s="63" t="str">
        <f>HYPERLINK("https://www.sds-group.ru/product/derzhatel-avtomobilnyy-dlya-telefona-d-6-chernyy-rexant-40-0617/", "Инфо")</f>
        <v>Инфо</v>
      </c>
      <c r="F9035" s="16" t="s">
        <v>39</v>
      </c>
      <c r="G9035" s="15"/>
      <c r="H9035" s="15"/>
      <c r="I9035" s="15"/>
      <c r="J9035" s="16" t="s">
        <v>100</v>
      </c>
      <c r="K9035" s="15" t="s">
        <v>4029</v>
      </c>
      <c r="L9035" s="17">
        <v>5</v>
      </c>
      <c r="M9035" s="17">
        <v>100</v>
      </c>
      <c r="N9035" s="17">
        <v>5</v>
      </c>
      <c r="O9035" s="18">
        <v>591.83000000000004</v>
      </c>
      <c r="P9035" s="18">
        <v>485.11</v>
      </c>
      <c r="Q9035" s="18">
        <v>503.06</v>
      </c>
      <c r="R9035" s="18">
        <v>412.34</v>
      </c>
      <c r="S9035" s="18">
        <v>402.44</v>
      </c>
      <c r="T9035" s="18">
        <v>329.87</v>
      </c>
      <c r="U9035" s="16"/>
      <c r="V9035" s="16"/>
      <c r="W9035" s="16" t="s">
        <v>40</v>
      </c>
      <c r="X9035" s="19">
        <v>0.192</v>
      </c>
      <c r="Y9035" s="20">
        <v>1.248E-3</v>
      </c>
      <c r="Z9035" s="21">
        <v>4601004317161</v>
      </c>
    </row>
    <row r="9036" spans="1:26" ht="12" customHeight="1" outlineLevel="4" x14ac:dyDescent="0.2">
      <c r="A9036" s="14" t="s">
        <v>17226</v>
      </c>
      <c r="B9036" s="26" t="s">
        <v>17227</v>
      </c>
      <c r="C9036" s="52"/>
      <c r="D9036" s="55">
        <f t="shared" si="141"/>
        <v>0</v>
      </c>
      <c r="E9036" s="63" t="str">
        <f>HYPERLINK("https://www.sds-group.ru/product/derzhatel-avtomobilnyy-s-besprovodnoy-zaryadkoy-magsafe-strong-15vt-rexant-40-0611/", "Инфо")</f>
        <v>Инфо</v>
      </c>
      <c r="F9036" s="16" t="s">
        <v>39</v>
      </c>
      <c r="G9036" s="15"/>
      <c r="H9036" s="15"/>
      <c r="I9036" s="15"/>
      <c r="J9036" s="16" t="s">
        <v>100</v>
      </c>
      <c r="K9036" s="15" t="s">
        <v>6930</v>
      </c>
      <c r="L9036" s="17">
        <v>1</v>
      </c>
      <c r="M9036" s="17">
        <v>200</v>
      </c>
      <c r="N9036" s="17">
        <v>1</v>
      </c>
      <c r="O9036" s="18">
        <v>1508.15</v>
      </c>
      <c r="P9036" s="18">
        <v>1236.19</v>
      </c>
      <c r="Q9036" s="18">
        <v>1281.93</v>
      </c>
      <c r="R9036" s="18">
        <v>1050.76</v>
      </c>
      <c r="S9036" s="18">
        <v>1025.54</v>
      </c>
      <c r="T9036" s="18">
        <v>840.61</v>
      </c>
      <c r="U9036" s="16"/>
      <c r="V9036" s="16"/>
      <c r="W9036" s="16" t="s">
        <v>40</v>
      </c>
      <c r="X9036" s="19">
        <v>0.121</v>
      </c>
      <c r="Y9036" s="20">
        <v>3.4600000000000001E-4</v>
      </c>
      <c r="Z9036" s="21">
        <v>4601004317123</v>
      </c>
    </row>
    <row r="9037" spans="1:26" ht="12.95" customHeight="1" outlineLevel="3" x14ac:dyDescent="0.2">
      <c r="A9037" s="76" t="s">
        <v>17228</v>
      </c>
      <c r="B9037" s="76"/>
      <c r="C9037" s="77"/>
      <c r="D9037" s="58"/>
      <c r="E9037" s="68"/>
      <c r="F9037" s="13"/>
      <c r="G9037" s="13"/>
      <c r="H9037" s="13"/>
      <c r="I9037" s="13"/>
      <c r="J9037" s="13"/>
      <c r="K9037" s="13"/>
      <c r="L9037" s="13"/>
      <c r="M9037" s="13"/>
      <c r="N9037" s="13"/>
      <c r="O9037" s="13"/>
      <c r="P9037" s="13"/>
      <c r="Q9037" s="13"/>
      <c r="R9037" s="13"/>
      <c r="S9037" s="13"/>
      <c r="T9037" s="13"/>
      <c r="U9037" s="13"/>
      <c r="V9037" s="13"/>
      <c r="W9037" s="13"/>
      <c r="X9037" s="13"/>
      <c r="Y9037" s="13"/>
      <c r="Z9037" s="13"/>
    </row>
    <row r="9038" spans="1:26" ht="12" customHeight="1" outlineLevel="4" x14ac:dyDescent="0.2">
      <c r="A9038" s="32" t="s">
        <v>17229</v>
      </c>
      <c r="B9038" s="74" t="s">
        <v>17230</v>
      </c>
      <c r="C9038" s="50"/>
      <c r="D9038" s="53">
        <f t="shared" si="141"/>
        <v>0</v>
      </c>
      <c r="E9038" s="60" t="str">
        <f>HYPERLINK("https://www.sds-group.ru/product/naushniki-besprovodnye-air-r1-rexant-18-2005/", "Инфо")</f>
        <v>Инфо</v>
      </c>
      <c r="F9038" s="34" t="s">
        <v>39</v>
      </c>
      <c r="G9038" s="33"/>
      <c r="H9038" s="33" t="s">
        <v>40</v>
      </c>
      <c r="I9038" s="33"/>
      <c r="J9038" s="35">
        <v>119</v>
      </c>
      <c r="K9038" s="33"/>
      <c r="L9038" s="35">
        <v>1</v>
      </c>
      <c r="M9038" s="35">
        <v>100</v>
      </c>
      <c r="N9038" s="35">
        <v>1</v>
      </c>
      <c r="O9038" s="36">
        <v>1299.4100000000001</v>
      </c>
      <c r="P9038" s="36">
        <v>1065.0899999999999</v>
      </c>
      <c r="Q9038" s="36">
        <v>909.59</v>
      </c>
      <c r="R9038" s="36">
        <v>745.57</v>
      </c>
      <c r="S9038" s="36">
        <v>883.6</v>
      </c>
      <c r="T9038" s="36">
        <v>724.26</v>
      </c>
      <c r="U9038" s="34"/>
      <c r="V9038" s="34"/>
      <c r="W9038" s="34"/>
      <c r="X9038" s="37">
        <v>0.13</v>
      </c>
      <c r="Y9038" s="38">
        <v>5.6400000000000005E-4</v>
      </c>
      <c r="Z9038" s="21">
        <v>4601004301948</v>
      </c>
    </row>
    <row r="9039" spans="1:26" ht="12" customHeight="1" outlineLevel="4" x14ac:dyDescent="0.2">
      <c r="A9039" s="32" t="s">
        <v>17231</v>
      </c>
      <c r="B9039" s="74" t="s">
        <v>17232</v>
      </c>
      <c r="C9039" s="50"/>
      <c r="D9039" s="53">
        <f t="shared" si="141"/>
        <v>0</v>
      </c>
      <c r="E9039" s="60" t="str">
        <f>HYPERLINK("https://www.sds-group.ru/product/naushniki-s-mikrofonom-belye-18-0150/", "Инфо")</f>
        <v>Инфо</v>
      </c>
      <c r="F9039" s="34" t="s">
        <v>39</v>
      </c>
      <c r="G9039" s="33"/>
      <c r="H9039" s="33" t="s">
        <v>40</v>
      </c>
      <c r="I9039" s="33"/>
      <c r="J9039" s="39">
        <v>3500</v>
      </c>
      <c r="K9039" s="33"/>
      <c r="L9039" s="35">
        <v>10</v>
      </c>
      <c r="M9039" s="35">
        <v>200</v>
      </c>
      <c r="N9039" s="35">
        <v>10</v>
      </c>
      <c r="O9039" s="36">
        <v>234.54</v>
      </c>
      <c r="P9039" s="36">
        <v>192.25</v>
      </c>
      <c r="Q9039" s="36">
        <v>164.18</v>
      </c>
      <c r="R9039" s="36">
        <v>134.57</v>
      </c>
      <c r="S9039" s="36">
        <v>159.49</v>
      </c>
      <c r="T9039" s="36">
        <v>130.72999999999999</v>
      </c>
      <c r="U9039" s="34"/>
      <c r="V9039" s="34"/>
      <c r="W9039" s="34"/>
      <c r="X9039" s="37">
        <v>3.6999999999999998E-2</v>
      </c>
      <c r="Y9039" s="38">
        <v>3.0299999999999999E-4</v>
      </c>
      <c r="Z9039" s="21">
        <v>4601004004962</v>
      </c>
    </row>
    <row r="9040" spans="1:26" ht="12.95" customHeight="1" outlineLevel="1" x14ac:dyDescent="0.2">
      <c r="A9040" s="78" t="s">
        <v>17233</v>
      </c>
      <c r="B9040" s="78"/>
      <c r="C9040" s="79"/>
      <c r="D9040" s="57"/>
      <c r="E9040" s="67"/>
      <c r="F9040" s="12"/>
      <c r="G9040" s="12"/>
      <c r="H9040" s="12"/>
      <c r="I9040" s="12"/>
      <c r="J9040" s="12"/>
      <c r="K9040" s="12"/>
      <c r="L9040" s="12"/>
      <c r="M9040" s="12"/>
      <c r="N9040" s="12"/>
      <c r="O9040" s="12"/>
      <c r="P9040" s="12"/>
      <c r="Q9040" s="12"/>
      <c r="R9040" s="12"/>
      <c r="S9040" s="12"/>
      <c r="T9040" s="12"/>
      <c r="U9040" s="12"/>
      <c r="V9040" s="12"/>
      <c r="W9040" s="12"/>
      <c r="X9040" s="12"/>
      <c r="Y9040" s="12"/>
      <c r="Z9040" s="12"/>
    </row>
    <row r="9041" spans="1:26" ht="12.95" customHeight="1" outlineLevel="2" x14ac:dyDescent="0.2">
      <c r="A9041" s="76" t="s">
        <v>17234</v>
      </c>
      <c r="B9041" s="76"/>
      <c r="C9041" s="77"/>
      <c r="D9041" s="58"/>
      <c r="E9041" s="68"/>
      <c r="F9041" s="13"/>
      <c r="G9041" s="13"/>
      <c r="H9041" s="13"/>
      <c r="I9041" s="13"/>
      <c r="J9041" s="13"/>
      <c r="K9041" s="13"/>
      <c r="L9041" s="13"/>
      <c r="M9041" s="13"/>
      <c r="N9041" s="13"/>
      <c r="O9041" s="13"/>
      <c r="P9041" s="13"/>
      <c r="Q9041" s="13"/>
      <c r="R9041" s="13"/>
      <c r="S9041" s="13"/>
      <c r="T9041" s="13"/>
      <c r="U9041" s="13"/>
      <c r="V9041" s="13"/>
      <c r="W9041" s="13"/>
      <c r="X9041" s="13"/>
      <c r="Y9041" s="13"/>
      <c r="Z9041" s="13"/>
    </row>
    <row r="9042" spans="1:26" ht="12.95" customHeight="1" outlineLevel="3" x14ac:dyDescent="0.2">
      <c r="A9042" s="76" t="s">
        <v>17235</v>
      </c>
      <c r="B9042" s="76"/>
      <c r="C9042" s="77"/>
      <c r="D9042" s="58"/>
      <c r="E9042" s="68"/>
      <c r="F9042" s="13"/>
      <c r="G9042" s="13"/>
      <c r="H9042" s="13"/>
      <c r="I9042" s="13"/>
      <c r="J9042" s="13"/>
      <c r="K9042" s="13"/>
      <c r="L9042" s="13"/>
      <c r="M9042" s="13"/>
      <c r="N9042" s="13"/>
      <c r="O9042" s="13"/>
      <c r="P9042" s="13"/>
      <c r="Q9042" s="13"/>
      <c r="R9042" s="13"/>
      <c r="S9042" s="13"/>
      <c r="T9042" s="13"/>
      <c r="U9042" s="13"/>
      <c r="V9042" s="13"/>
      <c r="W9042" s="13"/>
      <c r="X9042" s="13"/>
      <c r="Y9042" s="13"/>
      <c r="Z9042" s="13"/>
    </row>
    <row r="9043" spans="1:26" ht="12" customHeight="1" outlineLevel="4" x14ac:dyDescent="0.2">
      <c r="A9043" s="40" t="s">
        <v>17236</v>
      </c>
      <c r="B9043" s="75" t="s">
        <v>17237</v>
      </c>
      <c r="C9043" s="51"/>
      <c r="D9043" s="54">
        <f t="shared" si="141"/>
        <v>0</v>
      </c>
      <c r="E9043" s="61" t="str">
        <f>HYPERLINK("https://www.sds-group.ru/product/batareyka-alkalinovaya-6lr61-krona-9v-blister-1-sht-rexant-39-1061/", "Инфо")</f>
        <v>Инфо</v>
      </c>
      <c r="F9043" s="42" t="s">
        <v>39</v>
      </c>
      <c r="G9043" s="41" t="s">
        <v>40</v>
      </c>
      <c r="H9043" s="41"/>
      <c r="I9043" s="41"/>
      <c r="J9043" s="47">
        <v>39764</v>
      </c>
      <c r="K9043" s="41"/>
      <c r="L9043" s="43">
        <v>12</v>
      </c>
      <c r="M9043" s="43">
        <v>240</v>
      </c>
      <c r="N9043" s="43">
        <v>12</v>
      </c>
      <c r="O9043" s="44">
        <v>197.28</v>
      </c>
      <c r="P9043" s="44">
        <v>161.69999999999999</v>
      </c>
      <c r="Q9043" s="44">
        <v>167.69</v>
      </c>
      <c r="R9043" s="44">
        <v>137.44999999999999</v>
      </c>
      <c r="S9043" s="44">
        <v>134.15</v>
      </c>
      <c r="T9043" s="44">
        <v>109.96</v>
      </c>
      <c r="U9043" s="42"/>
      <c r="V9043" s="42"/>
      <c r="W9043" s="42" t="s">
        <v>40</v>
      </c>
      <c r="X9043" s="45">
        <v>5.2999999999999999E-2</v>
      </c>
      <c r="Y9043" s="46">
        <v>1.36E-4</v>
      </c>
      <c r="Z9043" s="21">
        <v>4601004330108</v>
      </c>
    </row>
    <row r="9044" spans="1:26" ht="12" customHeight="1" outlineLevel="4" x14ac:dyDescent="0.2">
      <c r="A9044" s="14" t="s">
        <v>17238</v>
      </c>
      <c r="B9044" s="26" t="s">
        <v>17239</v>
      </c>
      <c r="C9044" s="52"/>
      <c r="D9044" s="55">
        <f t="shared" si="141"/>
        <v>0</v>
      </c>
      <c r="E9044" s="63" t="str">
        <f>HYPERLINK("https://www.sds-group.ru/product/batareyka-alkalinovaya-aa-lr6-palchikovaya-1-5v-blister-12-sht-rexant-39-1026/", "Инфо")</f>
        <v>Инфо</v>
      </c>
      <c r="F9044" s="16" t="s">
        <v>39</v>
      </c>
      <c r="G9044" s="15"/>
      <c r="H9044" s="15"/>
      <c r="I9044" s="15"/>
      <c r="J9044" s="22">
        <v>109520</v>
      </c>
      <c r="K9044" s="15" t="s">
        <v>1058</v>
      </c>
      <c r="L9044" s="17">
        <v>48</v>
      </c>
      <c r="M9044" s="17">
        <v>576</v>
      </c>
      <c r="N9044" s="17">
        <v>48</v>
      </c>
      <c r="O9044" s="18">
        <v>29.11</v>
      </c>
      <c r="P9044" s="18">
        <v>23.86</v>
      </c>
      <c r="Q9044" s="18">
        <v>26.2</v>
      </c>
      <c r="R9044" s="18">
        <v>21.48</v>
      </c>
      <c r="S9044" s="18">
        <v>19.79</v>
      </c>
      <c r="T9044" s="18">
        <v>16.22</v>
      </c>
      <c r="U9044" s="16"/>
      <c r="V9044" s="16"/>
      <c r="W9044" s="16" t="s">
        <v>40</v>
      </c>
      <c r="X9044" s="19">
        <v>2.3E-2</v>
      </c>
      <c r="Y9044" s="20">
        <v>1.9000000000000001E-5</v>
      </c>
      <c r="Z9044" s="21">
        <v>4601004330016</v>
      </c>
    </row>
    <row r="9045" spans="1:26" ht="12" customHeight="1" outlineLevel="4" x14ac:dyDescent="0.2">
      <c r="A9045" s="14" t="s">
        <v>17240</v>
      </c>
      <c r="B9045" s="26" t="s">
        <v>17241</v>
      </c>
      <c r="C9045" s="52"/>
      <c r="D9045" s="55">
        <f t="shared" si="141"/>
        <v>0</v>
      </c>
      <c r="E9045" s="63" t="str">
        <f>HYPERLINK("https://www.sds-group.ru/product/batareyka-alkalinovaya-aa-lr6-palchikovaya-1-5v-blister-2-sht-rexant-39-1050/", "Инфо")</f>
        <v>Инфо</v>
      </c>
      <c r="F9045" s="16" t="s">
        <v>39</v>
      </c>
      <c r="G9045" s="15"/>
      <c r="H9045" s="15"/>
      <c r="I9045" s="15"/>
      <c r="J9045" s="22">
        <v>12466</v>
      </c>
      <c r="K9045" s="15"/>
      <c r="L9045" s="17">
        <v>24</v>
      </c>
      <c r="M9045" s="17">
        <v>240</v>
      </c>
      <c r="N9045" s="17">
        <v>24</v>
      </c>
      <c r="O9045" s="18">
        <v>42.06</v>
      </c>
      <c r="P9045" s="18">
        <v>34.479999999999997</v>
      </c>
      <c r="Q9045" s="18">
        <v>37.85</v>
      </c>
      <c r="R9045" s="18">
        <v>31.02</v>
      </c>
      <c r="S9045" s="18">
        <v>28.6</v>
      </c>
      <c r="T9045" s="18">
        <v>23.44</v>
      </c>
      <c r="U9045" s="16"/>
      <c r="V9045" s="16"/>
      <c r="W9045" s="16" t="s">
        <v>40</v>
      </c>
      <c r="X9045" s="19">
        <v>2.7E-2</v>
      </c>
      <c r="Y9045" s="20">
        <v>6.0000000000000002E-5</v>
      </c>
      <c r="Z9045" s="21">
        <v>4601004330078</v>
      </c>
    </row>
    <row r="9046" spans="1:26" ht="12" customHeight="1" outlineLevel="4" x14ac:dyDescent="0.2">
      <c r="A9046" s="14" t="s">
        <v>17242</v>
      </c>
      <c r="B9046" s="26" t="s">
        <v>17243</v>
      </c>
      <c r="C9046" s="52"/>
      <c r="D9046" s="55">
        <f t="shared" si="141"/>
        <v>0</v>
      </c>
      <c r="E9046" s="63" t="str">
        <f>HYPERLINK("https://www.sds-group.ru/product/batareyka-alkalinovaya-aa-lr6-palchikovaya-1-5v-blister-24-sht-rexant-39-1024/", "Инфо")</f>
        <v>Инфо</v>
      </c>
      <c r="F9046" s="16" t="s">
        <v>39</v>
      </c>
      <c r="G9046" s="15"/>
      <c r="H9046" s="15"/>
      <c r="I9046" s="15"/>
      <c r="J9046" s="22">
        <v>77010</v>
      </c>
      <c r="K9046" s="15" t="s">
        <v>1058</v>
      </c>
      <c r="L9046" s="17">
        <v>24</v>
      </c>
      <c r="M9046" s="17">
        <v>576</v>
      </c>
      <c r="N9046" s="17">
        <v>24</v>
      </c>
      <c r="O9046" s="18">
        <v>27.71</v>
      </c>
      <c r="P9046" s="18">
        <v>22.71</v>
      </c>
      <c r="Q9046" s="18">
        <v>24.94</v>
      </c>
      <c r="R9046" s="18">
        <v>20.440000000000001</v>
      </c>
      <c r="S9046" s="18">
        <v>18.84</v>
      </c>
      <c r="T9046" s="18">
        <v>15.44</v>
      </c>
      <c r="U9046" s="16"/>
      <c r="V9046" s="16"/>
      <c r="W9046" s="16" t="s">
        <v>40</v>
      </c>
      <c r="X9046" s="19">
        <v>2.3E-2</v>
      </c>
      <c r="Y9046" s="20">
        <v>1.8E-5</v>
      </c>
      <c r="Z9046" s="21">
        <v>4601004329959</v>
      </c>
    </row>
    <row r="9047" spans="1:26" ht="12" customHeight="1" outlineLevel="4" x14ac:dyDescent="0.2">
      <c r="A9047" s="14" t="s">
        <v>17244</v>
      </c>
      <c r="B9047" s="26" t="s">
        <v>17245</v>
      </c>
      <c r="C9047" s="52"/>
      <c r="D9047" s="55">
        <f t="shared" si="141"/>
        <v>0</v>
      </c>
      <c r="E9047" s="63" t="str">
        <f>HYPERLINK("https://www.sds-group.ru/product/batareyka-alkalinovaya-aa-lr6-palchikovaya-1-5v-blister-4-sht-rexant-39-1027/", "Инфо")</f>
        <v>Инфо</v>
      </c>
      <c r="F9047" s="16" t="s">
        <v>39</v>
      </c>
      <c r="G9047" s="15"/>
      <c r="H9047" s="15"/>
      <c r="I9047" s="15"/>
      <c r="J9047" s="22">
        <v>138812</v>
      </c>
      <c r="K9047" s="15" t="s">
        <v>1058</v>
      </c>
      <c r="L9047" s="17">
        <v>48</v>
      </c>
      <c r="M9047" s="17">
        <v>480</v>
      </c>
      <c r="N9047" s="17">
        <v>48</v>
      </c>
      <c r="O9047" s="18">
        <v>37.74</v>
      </c>
      <c r="P9047" s="18">
        <v>30.93</v>
      </c>
      <c r="Q9047" s="18">
        <v>33.97</v>
      </c>
      <c r="R9047" s="18">
        <v>27.84</v>
      </c>
      <c r="S9047" s="18">
        <v>25.66</v>
      </c>
      <c r="T9047" s="18">
        <v>21.03</v>
      </c>
      <c r="U9047" s="16"/>
      <c r="V9047" s="16"/>
      <c r="W9047" s="16" t="s">
        <v>40</v>
      </c>
      <c r="X9047" s="19">
        <v>2.5000000000000001E-2</v>
      </c>
      <c r="Y9047" s="20">
        <v>2.9E-5</v>
      </c>
      <c r="Z9047" s="21">
        <v>4601004330023</v>
      </c>
    </row>
    <row r="9048" spans="1:26" ht="12" customHeight="1" outlineLevel="4" x14ac:dyDescent="0.2">
      <c r="A9048" s="14" t="s">
        <v>17246</v>
      </c>
      <c r="B9048" s="26" t="s">
        <v>17247</v>
      </c>
      <c r="C9048" s="52"/>
      <c r="D9048" s="55">
        <f t="shared" si="141"/>
        <v>0</v>
      </c>
      <c r="E9048" s="63" t="str">
        <f>HYPERLINK("https://www.sds-group.ru/product/batareyka-alkalinovaya-aaa-lr03-mizinchikovaya-1-5v-blister-2-sht-rexant-39-1052/", "Инфо")</f>
        <v>Инфо</v>
      </c>
      <c r="F9048" s="16" t="s">
        <v>39</v>
      </c>
      <c r="G9048" s="15"/>
      <c r="H9048" s="15"/>
      <c r="I9048" s="15"/>
      <c r="J9048" s="22">
        <v>22580</v>
      </c>
      <c r="K9048" s="15"/>
      <c r="L9048" s="17">
        <v>24</v>
      </c>
      <c r="M9048" s="17">
        <v>240</v>
      </c>
      <c r="N9048" s="17">
        <v>24</v>
      </c>
      <c r="O9048" s="18">
        <v>42.06</v>
      </c>
      <c r="P9048" s="18">
        <v>34.479999999999997</v>
      </c>
      <c r="Q9048" s="18">
        <v>37.85</v>
      </c>
      <c r="R9048" s="18">
        <v>31.02</v>
      </c>
      <c r="S9048" s="18">
        <v>28.6</v>
      </c>
      <c r="T9048" s="18">
        <v>23.44</v>
      </c>
      <c r="U9048" s="16"/>
      <c r="V9048" s="16"/>
      <c r="W9048" s="16" t="s">
        <v>40</v>
      </c>
      <c r="X9048" s="19">
        <v>1.6E-2</v>
      </c>
      <c r="Y9048" s="20">
        <v>4.8999999999999998E-5</v>
      </c>
      <c r="Z9048" s="21">
        <v>4601004330085</v>
      </c>
    </row>
    <row r="9049" spans="1:26" ht="12" customHeight="1" outlineLevel="4" x14ac:dyDescent="0.2">
      <c r="A9049" s="14" t="s">
        <v>17248</v>
      </c>
      <c r="B9049" s="26" t="s">
        <v>17249</v>
      </c>
      <c r="C9049" s="52"/>
      <c r="D9049" s="55">
        <f t="shared" si="141"/>
        <v>0</v>
      </c>
      <c r="E9049" s="63" t="str">
        <f>HYPERLINK("https://www.sds-group.ru/product/batareyka-alkalinovaya-aaa-lr03-mizinchikovaya-1-5v-blister-12-sht-rexant-39-1011/", "Инфо")</f>
        <v>Инфо</v>
      </c>
      <c r="F9049" s="16" t="s">
        <v>39</v>
      </c>
      <c r="G9049" s="15"/>
      <c r="H9049" s="15"/>
      <c r="I9049" s="15"/>
      <c r="J9049" s="22">
        <v>205800</v>
      </c>
      <c r="K9049" s="15" t="s">
        <v>1058</v>
      </c>
      <c r="L9049" s="17">
        <v>48</v>
      </c>
      <c r="M9049" s="17">
        <v>576</v>
      </c>
      <c r="N9049" s="17">
        <v>48</v>
      </c>
      <c r="O9049" s="18">
        <v>29.11</v>
      </c>
      <c r="P9049" s="18">
        <v>23.86</v>
      </c>
      <c r="Q9049" s="18">
        <v>26.2</v>
      </c>
      <c r="R9049" s="18">
        <v>21.48</v>
      </c>
      <c r="S9049" s="18">
        <v>19.79</v>
      </c>
      <c r="T9049" s="18">
        <v>16.22</v>
      </c>
      <c r="U9049" s="16"/>
      <c r="V9049" s="16"/>
      <c r="W9049" s="16" t="s">
        <v>40</v>
      </c>
      <c r="X9049" s="19">
        <v>1.0999999999999999E-2</v>
      </c>
      <c r="Y9049" s="20">
        <v>1.0000000000000001E-5</v>
      </c>
      <c r="Z9049" s="21">
        <v>4601004330047</v>
      </c>
    </row>
    <row r="9050" spans="1:26" ht="12" customHeight="1" outlineLevel="4" x14ac:dyDescent="0.2">
      <c r="A9050" s="14" t="s">
        <v>17250</v>
      </c>
      <c r="B9050" s="26" t="s">
        <v>17251</v>
      </c>
      <c r="C9050" s="52"/>
      <c r="D9050" s="55">
        <f t="shared" si="141"/>
        <v>0</v>
      </c>
      <c r="E9050" s="63" t="str">
        <f>HYPERLINK("https://www.sds-group.ru/product/batareyka-alkalinovaya-aaa-lr03-mizinchikovaya-1-5v-blister-24-sht-rexant-39-1013/", "Инфо")</f>
        <v>Инфо</v>
      </c>
      <c r="F9050" s="16" t="s">
        <v>39</v>
      </c>
      <c r="G9050" s="15"/>
      <c r="H9050" s="15"/>
      <c r="I9050" s="15"/>
      <c r="J9050" s="22">
        <v>99594</v>
      </c>
      <c r="K9050" s="15"/>
      <c r="L9050" s="17">
        <v>24</v>
      </c>
      <c r="M9050" s="17">
        <v>576</v>
      </c>
      <c r="N9050" s="17">
        <v>24</v>
      </c>
      <c r="O9050" s="18">
        <v>27.71</v>
      </c>
      <c r="P9050" s="18">
        <v>22.71</v>
      </c>
      <c r="Q9050" s="18">
        <v>24.94</v>
      </c>
      <c r="R9050" s="18">
        <v>20.440000000000001</v>
      </c>
      <c r="S9050" s="18">
        <v>18.84</v>
      </c>
      <c r="T9050" s="18">
        <v>15.44</v>
      </c>
      <c r="U9050" s="16"/>
      <c r="V9050" s="16"/>
      <c r="W9050" s="16" t="s">
        <v>40</v>
      </c>
      <c r="X9050" s="19">
        <v>1.0999999999999999E-2</v>
      </c>
      <c r="Y9050" s="20">
        <v>1.0000000000000001E-5</v>
      </c>
      <c r="Z9050" s="21">
        <v>4601004330054</v>
      </c>
    </row>
    <row r="9051" spans="1:26" ht="12" customHeight="1" outlineLevel="4" x14ac:dyDescent="0.2">
      <c r="A9051" s="14" t="s">
        <v>17252</v>
      </c>
      <c r="B9051" s="26" t="s">
        <v>17253</v>
      </c>
      <c r="C9051" s="52"/>
      <c r="D9051" s="55">
        <f t="shared" si="141"/>
        <v>0</v>
      </c>
      <c r="E9051" s="63" t="str">
        <f>HYPERLINK("https://www.sds-group.ru/product/batareyka-alkalinovaya-aaa-lr03-mizinchikovaya-1-5v-blister-4-sht-rexant-39-1012/", "Инфо")</f>
        <v>Инфо</v>
      </c>
      <c r="F9051" s="16" t="s">
        <v>39</v>
      </c>
      <c r="G9051" s="15"/>
      <c r="H9051" s="15"/>
      <c r="I9051" s="15"/>
      <c r="J9051" s="22">
        <v>171304</v>
      </c>
      <c r="K9051" s="15" t="s">
        <v>1058</v>
      </c>
      <c r="L9051" s="17">
        <v>48</v>
      </c>
      <c r="M9051" s="17">
        <v>480</v>
      </c>
      <c r="N9051" s="17">
        <v>48</v>
      </c>
      <c r="O9051" s="18">
        <v>38.81</v>
      </c>
      <c r="P9051" s="18">
        <v>31.81</v>
      </c>
      <c r="Q9051" s="18">
        <v>34.93</v>
      </c>
      <c r="R9051" s="18">
        <v>28.63</v>
      </c>
      <c r="S9051" s="18">
        <v>26.39</v>
      </c>
      <c r="T9051" s="18">
        <v>21.63</v>
      </c>
      <c r="U9051" s="16"/>
      <c r="V9051" s="16"/>
      <c r="W9051" s="16" t="s">
        <v>40</v>
      </c>
      <c r="X9051" s="19">
        <v>1.2999999999999999E-2</v>
      </c>
      <c r="Y9051" s="20">
        <v>2.1999999999999999E-5</v>
      </c>
      <c r="Z9051" s="21">
        <v>4601004330030</v>
      </c>
    </row>
    <row r="9052" spans="1:26" ht="12" customHeight="1" outlineLevel="4" x14ac:dyDescent="0.2">
      <c r="A9052" s="40" t="s">
        <v>17254</v>
      </c>
      <c r="B9052" s="75" t="s">
        <v>17255</v>
      </c>
      <c r="C9052" s="51"/>
      <c r="D9052" s="54">
        <f t="shared" si="141"/>
        <v>0</v>
      </c>
      <c r="E9052" s="61" t="str">
        <f>HYPERLINK("https://www.sds-group.ru/product/batareyka-alkalinovaya-d-lr20-1-5v-blister-2-sht-rexant-39-1020/", "Инфо")</f>
        <v>Инфо</v>
      </c>
      <c r="F9052" s="42" t="s">
        <v>39</v>
      </c>
      <c r="G9052" s="41" t="s">
        <v>40</v>
      </c>
      <c r="H9052" s="41"/>
      <c r="I9052" s="41"/>
      <c r="J9052" s="47">
        <v>17880</v>
      </c>
      <c r="K9052" s="41"/>
      <c r="L9052" s="43">
        <v>12</v>
      </c>
      <c r="M9052" s="43">
        <v>96</v>
      </c>
      <c r="N9052" s="43">
        <v>12</v>
      </c>
      <c r="O9052" s="44">
        <v>177.88</v>
      </c>
      <c r="P9052" s="44">
        <v>145.80000000000001</v>
      </c>
      <c r="Q9052" s="44">
        <v>151.19999999999999</v>
      </c>
      <c r="R9052" s="44">
        <v>123.93</v>
      </c>
      <c r="S9052" s="44">
        <v>120.96</v>
      </c>
      <c r="T9052" s="44">
        <v>99.15</v>
      </c>
      <c r="U9052" s="42"/>
      <c r="V9052" s="42"/>
      <c r="W9052" s="42" t="s">
        <v>40</v>
      </c>
      <c r="X9052" s="45">
        <v>0.14099999999999999</v>
      </c>
      <c r="Y9052" s="46">
        <v>1.63E-4</v>
      </c>
      <c r="Z9052" s="21">
        <v>4601004329973</v>
      </c>
    </row>
    <row r="9053" spans="1:26" ht="12" customHeight="1" outlineLevel="4" x14ac:dyDescent="0.2">
      <c r="A9053" s="40" t="s">
        <v>17256</v>
      </c>
      <c r="B9053" s="75" t="s">
        <v>17257</v>
      </c>
      <c r="C9053" s="51"/>
      <c r="D9053" s="54">
        <f t="shared" si="141"/>
        <v>0</v>
      </c>
      <c r="E9053" s="61" t="str">
        <f>HYPERLINK("https://www.sds-group.ru/product/batareyka-alkalinovaya-s-lr14-1-5v-blister-2-sht-rexant-39-1014/", "Инфо")</f>
        <v>Инфо</v>
      </c>
      <c r="F9053" s="42" t="s">
        <v>39</v>
      </c>
      <c r="G9053" s="41" t="s">
        <v>40</v>
      </c>
      <c r="H9053" s="41"/>
      <c r="I9053" s="41"/>
      <c r="J9053" s="47">
        <v>10766</v>
      </c>
      <c r="K9053" s="41"/>
      <c r="L9053" s="43">
        <v>12</v>
      </c>
      <c r="M9053" s="43">
        <v>192</v>
      </c>
      <c r="N9053" s="43">
        <v>12</v>
      </c>
      <c r="O9053" s="44">
        <v>113.2</v>
      </c>
      <c r="P9053" s="44">
        <v>92.79</v>
      </c>
      <c r="Q9053" s="44">
        <v>96.22</v>
      </c>
      <c r="R9053" s="44">
        <v>78.87</v>
      </c>
      <c r="S9053" s="44">
        <v>76.98</v>
      </c>
      <c r="T9053" s="44">
        <v>63.1</v>
      </c>
      <c r="U9053" s="42"/>
      <c r="V9053" s="42"/>
      <c r="W9053" s="42" t="s">
        <v>40</v>
      </c>
      <c r="X9053" s="45">
        <v>7.3999999999999996E-2</v>
      </c>
      <c r="Y9053" s="46">
        <v>1.18E-4</v>
      </c>
      <c r="Z9053" s="21">
        <v>4601004329980</v>
      </c>
    </row>
    <row r="9054" spans="1:26" ht="12" customHeight="1" outlineLevel="4" x14ac:dyDescent="0.2">
      <c r="A9054" s="14" t="s">
        <v>17258</v>
      </c>
      <c r="B9054" s="26" t="s">
        <v>17259</v>
      </c>
      <c r="C9054" s="52"/>
      <c r="D9054" s="55">
        <f t="shared" si="141"/>
        <v>0</v>
      </c>
      <c r="E9054" s="63" t="str">
        <f>HYPERLINK("https://www.sds-group.ru/product/batareyka-alkalinovaya-ultra-aa-lr6-palchikovaya-1-5v-blister-2-sht-rexant-39-1025/", "Инфо")</f>
        <v>Инфо</v>
      </c>
      <c r="F9054" s="16" t="s">
        <v>39</v>
      </c>
      <c r="G9054" s="15"/>
      <c r="H9054" s="15"/>
      <c r="I9054" s="15"/>
      <c r="J9054" s="22">
        <v>30502</v>
      </c>
      <c r="K9054" s="15"/>
      <c r="L9054" s="17">
        <v>24</v>
      </c>
      <c r="M9054" s="17">
        <v>240</v>
      </c>
      <c r="N9054" s="17">
        <v>24</v>
      </c>
      <c r="O9054" s="18">
        <v>48.51</v>
      </c>
      <c r="P9054" s="18">
        <v>39.76</v>
      </c>
      <c r="Q9054" s="18">
        <v>43.66</v>
      </c>
      <c r="R9054" s="18">
        <v>35.79</v>
      </c>
      <c r="S9054" s="18">
        <v>32.99</v>
      </c>
      <c r="T9054" s="18">
        <v>27.04</v>
      </c>
      <c r="U9054" s="16"/>
      <c r="V9054" s="16"/>
      <c r="W9054" s="16" t="s">
        <v>40</v>
      </c>
      <c r="X9054" s="19">
        <v>2.8000000000000001E-2</v>
      </c>
      <c r="Y9054" s="20">
        <v>6.0000000000000002E-5</v>
      </c>
      <c r="Z9054" s="21">
        <v>4601004330009</v>
      </c>
    </row>
    <row r="9055" spans="1:26" ht="12" customHeight="1" outlineLevel="4" x14ac:dyDescent="0.2">
      <c r="A9055" s="14" t="s">
        <v>17260</v>
      </c>
      <c r="B9055" s="26" t="s">
        <v>17261</v>
      </c>
      <c r="C9055" s="52"/>
      <c r="D9055" s="55">
        <f t="shared" si="141"/>
        <v>0</v>
      </c>
      <c r="E9055" s="63" t="str">
        <f>HYPERLINK("https://www.sds-group.ru/product/batareyka-alkalinovaya-ultra-aaa-lr03-mizinchikovaya-1-5v-blister-2-sht-rexant-39-1010/", "Инфо")</f>
        <v>Инфо</v>
      </c>
      <c r="F9055" s="16" t="s">
        <v>39</v>
      </c>
      <c r="G9055" s="15"/>
      <c r="H9055" s="15"/>
      <c r="I9055" s="15"/>
      <c r="J9055" s="22">
        <v>28834</v>
      </c>
      <c r="K9055" s="15"/>
      <c r="L9055" s="17">
        <v>24</v>
      </c>
      <c r="M9055" s="17">
        <v>240</v>
      </c>
      <c r="N9055" s="17">
        <v>24</v>
      </c>
      <c r="O9055" s="18">
        <v>48.51</v>
      </c>
      <c r="P9055" s="18">
        <v>39.76</v>
      </c>
      <c r="Q9055" s="18">
        <v>43.66</v>
      </c>
      <c r="R9055" s="18">
        <v>35.79</v>
      </c>
      <c r="S9055" s="18">
        <v>32.99</v>
      </c>
      <c r="T9055" s="18">
        <v>27.04</v>
      </c>
      <c r="U9055" s="16"/>
      <c r="V9055" s="16"/>
      <c r="W9055" s="16" t="s">
        <v>40</v>
      </c>
      <c r="X9055" s="19">
        <v>1.6E-2</v>
      </c>
      <c r="Y9055" s="20">
        <v>4.5000000000000003E-5</v>
      </c>
      <c r="Z9055" s="21">
        <v>4601004330245</v>
      </c>
    </row>
    <row r="9056" spans="1:26" ht="12" customHeight="1" outlineLevel="4" x14ac:dyDescent="0.2">
      <c r="A9056" s="40" t="s">
        <v>17262</v>
      </c>
      <c r="B9056" s="75" t="s">
        <v>17263</v>
      </c>
      <c r="C9056" s="51"/>
      <c r="D9056" s="54">
        <f t="shared" si="141"/>
        <v>0</v>
      </c>
      <c r="E9056" s="61" t="str">
        <f>HYPERLINK("https://www.sds-group.ru/product/batareyka-vysokovoltnaya-a23-12v-blister-1-sht-rexant-39-1240/", "Инфо")</f>
        <v>Инфо</v>
      </c>
      <c r="F9056" s="42" t="s">
        <v>39</v>
      </c>
      <c r="G9056" s="41" t="s">
        <v>40</v>
      </c>
      <c r="H9056" s="41"/>
      <c r="I9056" s="41"/>
      <c r="J9056" s="47">
        <v>7994</v>
      </c>
      <c r="K9056" s="41"/>
      <c r="L9056" s="43">
        <v>10</v>
      </c>
      <c r="M9056" s="43">
        <v>480</v>
      </c>
      <c r="N9056" s="43">
        <v>10</v>
      </c>
      <c r="O9056" s="44">
        <v>47.95</v>
      </c>
      <c r="P9056" s="44">
        <v>39.299999999999997</v>
      </c>
      <c r="Q9056" s="44">
        <v>40.76</v>
      </c>
      <c r="R9056" s="44">
        <v>33.409999999999997</v>
      </c>
      <c r="S9056" s="44">
        <v>32.61</v>
      </c>
      <c r="T9056" s="44">
        <v>26.73</v>
      </c>
      <c r="U9056" s="42"/>
      <c r="V9056" s="42"/>
      <c r="W9056" s="42" t="s">
        <v>40</v>
      </c>
      <c r="X9056" s="45">
        <v>1.0999999999999999E-2</v>
      </c>
      <c r="Y9056" s="46">
        <v>2.6999999999999999E-5</v>
      </c>
      <c r="Z9056" s="21">
        <v>4601004330856</v>
      </c>
    </row>
    <row r="9057" spans="1:26" ht="12" customHeight="1" outlineLevel="4" x14ac:dyDescent="0.2">
      <c r="A9057" s="40" t="s">
        <v>17264</v>
      </c>
      <c r="B9057" s="75" t="s">
        <v>17265</v>
      </c>
      <c r="C9057" s="51"/>
      <c r="D9057" s="54">
        <f t="shared" si="141"/>
        <v>0</v>
      </c>
      <c r="E9057" s="61" t="str">
        <f>HYPERLINK("https://www.sds-group.ru/product/batareyka-vysokovoltnaya-a23-12v-blister-5-sht-rexant-39-1241/", "Инфо")</f>
        <v>Инфо</v>
      </c>
      <c r="F9057" s="42" t="s">
        <v>39</v>
      </c>
      <c r="G9057" s="41" t="s">
        <v>40</v>
      </c>
      <c r="H9057" s="41"/>
      <c r="I9057" s="41"/>
      <c r="J9057" s="47">
        <v>10190</v>
      </c>
      <c r="K9057" s="41"/>
      <c r="L9057" s="43">
        <v>10</v>
      </c>
      <c r="M9057" s="43">
        <v>50</v>
      </c>
      <c r="N9057" s="43">
        <v>10</v>
      </c>
      <c r="O9057" s="44">
        <v>45.88</v>
      </c>
      <c r="P9057" s="44">
        <v>37.61</v>
      </c>
      <c r="Q9057" s="44">
        <v>39</v>
      </c>
      <c r="R9057" s="44">
        <v>31.97</v>
      </c>
      <c r="S9057" s="44">
        <v>31.2</v>
      </c>
      <c r="T9057" s="44">
        <v>25.57</v>
      </c>
      <c r="U9057" s="42"/>
      <c r="V9057" s="42"/>
      <c r="W9057" s="42" t="s">
        <v>40</v>
      </c>
      <c r="X9057" s="45">
        <v>0.01</v>
      </c>
      <c r="Y9057" s="46">
        <v>1.7E-5</v>
      </c>
      <c r="Z9057" s="21">
        <v>4601004330801</v>
      </c>
    </row>
    <row r="9058" spans="1:26" ht="12" customHeight="1" outlineLevel="4" x14ac:dyDescent="0.2">
      <c r="A9058" s="40" t="s">
        <v>17266</v>
      </c>
      <c r="B9058" s="75" t="s">
        <v>17267</v>
      </c>
      <c r="C9058" s="51"/>
      <c r="D9058" s="54">
        <f t="shared" si="141"/>
        <v>0</v>
      </c>
      <c r="E9058" s="61" t="str">
        <f>HYPERLINK("https://www.sds-group.ru/product/batareyka-vysokovoltnaya-a27-12v-blister-1-sht-rexant-39-1242/", "Инфо")</f>
        <v>Инфо</v>
      </c>
      <c r="F9058" s="42" t="s">
        <v>39</v>
      </c>
      <c r="G9058" s="41" t="s">
        <v>40</v>
      </c>
      <c r="H9058" s="41"/>
      <c r="I9058" s="41"/>
      <c r="J9058" s="47">
        <v>2630</v>
      </c>
      <c r="K9058" s="41"/>
      <c r="L9058" s="43">
        <v>10</v>
      </c>
      <c r="M9058" s="43">
        <v>50</v>
      </c>
      <c r="N9058" s="43">
        <v>10</v>
      </c>
      <c r="O9058" s="44">
        <v>47.95</v>
      </c>
      <c r="P9058" s="44">
        <v>39.299999999999997</v>
      </c>
      <c r="Q9058" s="44">
        <v>40.76</v>
      </c>
      <c r="R9058" s="44">
        <v>33.409999999999997</v>
      </c>
      <c r="S9058" s="44">
        <v>32.61</v>
      </c>
      <c r="T9058" s="44">
        <v>26.73</v>
      </c>
      <c r="U9058" s="42"/>
      <c r="V9058" s="42"/>
      <c r="W9058" s="42" t="s">
        <v>40</v>
      </c>
      <c r="X9058" s="45">
        <v>8.0000000000000002E-3</v>
      </c>
      <c r="Y9058" s="46">
        <v>3.1999999999999999E-5</v>
      </c>
      <c r="Z9058" s="21">
        <v>4601004330818</v>
      </c>
    </row>
    <row r="9059" spans="1:26" ht="12" customHeight="1" outlineLevel="4" x14ac:dyDescent="0.2">
      <c r="A9059" s="40" t="s">
        <v>17268</v>
      </c>
      <c r="B9059" s="75" t="s">
        <v>17269</v>
      </c>
      <c r="C9059" s="51"/>
      <c r="D9059" s="54">
        <f t="shared" si="141"/>
        <v>0</v>
      </c>
      <c r="E9059" s="62"/>
      <c r="F9059" s="42" t="s">
        <v>39</v>
      </c>
      <c r="G9059" s="41" t="s">
        <v>40</v>
      </c>
      <c r="H9059" s="41"/>
      <c r="I9059" s="41"/>
      <c r="J9059" s="47">
        <v>4980</v>
      </c>
      <c r="K9059" s="41"/>
      <c r="L9059" s="43">
        <v>20</v>
      </c>
      <c r="M9059" s="47">
        <v>1000</v>
      </c>
      <c r="N9059" s="43">
        <v>20</v>
      </c>
      <c r="O9059" s="44">
        <v>45.88</v>
      </c>
      <c r="P9059" s="44">
        <v>37.61</v>
      </c>
      <c r="Q9059" s="44">
        <v>39</v>
      </c>
      <c r="R9059" s="44">
        <v>31.97</v>
      </c>
      <c r="S9059" s="44">
        <v>31.2</v>
      </c>
      <c r="T9059" s="44">
        <v>25.57</v>
      </c>
      <c r="U9059" s="42"/>
      <c r="V9059" s="42"/>
      <c r="W9059" s="42" t="s">
        <v>40</v>
      </c>
      <c r="X9059" s="45">
        <v>7.0000000000000001E-3</v>
      </c>
      <c r="Y9059" s="46">
        <v>1.7E-5</v>
      </c>
      <c r="Z9059" s="21">
        <v>4601004330757</v>
      </c>
    </row>
    <row r="9060" spans="1:26" ht="12.95" customHeight="1" outlineLevel="3" x14ac:dyDescent="0.2">
      <c r="A9060" s="76" t="s">
        <v>17270</v>
      </c>
      <c r="B9060" s="76"/>
      <c r="C9060" s="77"/>
      <c r="D9060" s="58"/>
      <c r="E9060" s="68"/>
      <c r="F9060" s="13"/>
      <c r="G9060" s="13"/>
      <c r="H9060" s="13"/>
      <c r="I9060" s="13"/>
      <c r="J9060" s="13"/>
      <c r="K9060" s="13"/>
      <c r="L9060" s="13"/>
      <c r="M9060" s="13"/>
      <c r="N9060" s="13"/>
      <c r="O9060" s="13"/>
      <c r="P9060" s="13"/>
      <c r="Q9060" s="13"/>
      <c r="R9060" s="13"/>
      <c r="S9060" s="13"/>
      <c r="T9060" s="13"/>
      <c r="U9060" s="13"/>
      <c r="V9060" s="13"/>
      <c r="W9060" s="13"/>
      <c r="X9060" s="13"/>
      <c r="Y9060" s="13"/>
      <c r="Z9060" s="13"/>
    </row>
    <row r="9061" spans="1:26" ht="12" customHeight="1" outlineLevel="4" x14ac:dyDescent="0.2">
      <c r="A9061" s="14" t="s">
        <v>17271</v>
      </c>
      <c r="B9061" s="26" t="s">
        <v>17272</v>
      </c>
      <c r="C9061" s="52"/>
      <c r="D9061" s="55">
        <f t="shared" si="141"/>
        <v>0</v>
      </c>
      <c r="E9061" s="63" t="str">
        <f>HYPERLINK("https://www.sds-group.ru/product/batareyka-litievaya-cr1220-3v-blister-5-sht-rexant-39-1102/", "Инфо")</f>
        <v>Инфо</v>
      </c>
      <c r="F9061" s="16" t="s">
        <v>39</v>
      </c>
      <c r="G9061" s="15"/>
      <c r="H9061" s="15"/>
      <c r="I9061" s="15"/>
      <c r="J9061" s="22">
        <v>9735</v>
      </c>
      <c r="K9061" s="15"/>
      <c r="L9061" s="17">
        <v>50</v>
      </c>
      <c r="M9061" s="22">
        <v>5000</v>
      </c>
      <c r="N9061" s="17">
        <v>50</v>
      </c>
      <c r="O9061" s="18">
        <v>26.42</v>
      </c>
      <c r="P9061" s="18">
        <v>21.66</v>
      </c>
      <c r="Q9061" s="18">
        <v>23.78</v>
      </c>
      <c r="R9061" s="18">
        <v>19.489999999999998</v>
      </c>
      <c r="S9061" s="18">
        <v>17.97</v>
      </c>
      <c r="T9061" s="18">
        <v>14.73</v>
      </c>
      <c r="U9061" s="16"/>
      <c r="V9061" s="16"/>
      <c r="W9061" s="16" t="s">
        <v>40</v>
      </c>
      <c r="X9061" s="19">
        <v>2E-3</v>
      </c>
      <c r="Y9061" s="20">
        <v>7.9999999999999996E-6</v>
      </c>
      <c r="Z9061" s="21">
        <v>4601004329942</v>
      </c>
    </row>
    <row r="9062" spans="1:26" ht="12" customHeight="1" outlineLevel="4" x14ac:dyDescent="0.2">
      <c r="A9062" s="40" t="s">
        <v>17273</v>
      </c>
      <c r="B9062" s="75" t="s">
        <v>17274</v>
      </c>
      <c r="C9062" s="51"/>
      <c r="D9062" s="54">
        <f t="shared" si="141"/>
        <v>0</v>
      </c>
      <c r="E9062" s="61" t="str">
        <f>HYPERLINK("https://www.sds-group.ru/product/batareyka-litievaya-cr123-3v-blister-1-sht-rexant-39-1111/", "Инфо")</f>
        <v>Инфо</v>
      </c>
      <c r="F9062" s="42" t="s">
        <v>39</v>
      </c>
      <c r="G9062" s="41" t="s">
        <v>40</v>
      </c>
      <c r="H9062" s="41"/>
      <c r="I9062" s="41"/>
      <c r="J9062" s="47">
        <v>4041</v>
      </c>
      <c r="K9062" s="41" t="s">
        <v>995</v>
      </c>
      <c r="L9062" s="43">
        <v>5</v>
      </c>
      <c r="M9062" s="43">
        <v>100</v>
      </c>
      <c r="N9062" s="43">
        <v>5</v>
      </c>
      <c r="O9062" s="44">
        <v>243.93</v>
      </c>
      <c r="P9062" s="44">
        <v>199.94</v>
      </c>
      <c r="Q9062" s="44">
        <v>207.34</v>
      </c>
      <c r="R9062" s="44">
        <v>169.95</v>
      </c>
      <c r="S9062" s="44">
        <v>165.87</v>
      </c>
      <c r="T9062" s="44">
        <v>135.96</v>
      </c>
      <c r="U9062" s="42"/>
      <c r="V9062" s="42"/>
      <c r="W9062" s="42" t="s">
        <v>40</v>
      </c>
      <c r="X9062" s="45">
        <v>2.5000000000000001E-2</v>
      </c>
      <c r="Y9062" s="46">
        <v>1.05E-4</v>
      </c>
      <c r="Z9062" s="21">
        <v>4601004330658</v>
      </c>
    </row>
    <row r="9063" spans="1:26" ht="12" customHeight="1" outlineLevel="4" x14ac:dyDescent="0.2">
      <c r="A9063" s="40" t="s">
        <v>17275</v>
      </c>
      <c r="B9063" s="75" t="s">
        <v>17276</v>
      </c>
      <c r="C9063" s="51"/>
      <c r="D9063" s="54">
        <f t="shared" si="141"/>
        <v>0</v>
      </c>
      <c r="E9063" s="61" t="str">
        <f>HYPERLINK("https://www.sds-group.ru/product/batareyka-litievaya-cr2-3v-blister-1-sht-rexant-39-1112/", "Инфо")</f>
        <v>Инфо</v>
      </c>
      <c r="F9063" s="42" t="s">
        <v>39</v>
      </c>
      <c r="G9063" s="41" t="s">
        <v>40</v>
      </c>
      <c r="H9063" s="41"/>
      <c r="I9063" s="41"/>
      <c r="J9063" s="47">
        <v>4177</v>
      </c>
      <c r="K9063" s="41"/>
      <c r="L9063" s="43">
        <v>5</v>
      </c>
      <c r="M9063" s="43">
        <v>100</v>
      </c>
      <c r="N9063" s="43">
        <v>5</v>
      </c>
      <c r="O9063" s="44">
        <v>215.6</v>
      </c>
      <c r="P9063" s="44">
        <v>176.72</v>
      </c>
      <c r="Q9063" s="44">
        <v>183.26</v>
      </c>
      <c r="R9063" s="44">
        <v>150.21</v>
      </c>
      <c r="S9063" s="44">
        <v>146.61000000000001</v>
      </c>
      <c r="T9063" s="44">
        <v>120.17</v>
      </c>
      <c r="U9063" s="42"/>
      <c r="V9063" s="42"/>
      <c r="W9063" s="42" t="s">
        <v>40</v>
      </c>
      <c r="X9063" s="45">
        <v>0.02</v>
      </c>
      <c r="Y9063" s="46">
        <v>1.0399999999999999E-4</v>
      </c>
      <c r="Z9063" s="21">
        <v>4601004330672</v>
      </c>
    </row>
    <row r="9064" spans="1:26" ht="12" customHeight="1" outlineLevel="4" x14ac:dyDescent="0.2">
      <c r="A9064" s="14" t="s">
        <v>17277</v>
      </c>
      <c r="B9064" s="26" t="s">
        <v>17278</v>
      </c>
      <c r="C9064" s="52"/>
      <c r="D9064" s="55">
        <f t="shared" si="141"/>
        <v>0</v>
      </c>
      <c r="E9064" s="63" t="str">
        <f>HYPERLINK("https://www.sds-group.ru/product/batareyka-litievaya-cr2016-3v-blister-5-sht-rexant-39-1106/", "Инфо")</f>
        <v>Инфо</v>
      </c>
      <c r="F9064" s="16" t="s">
        <v>39</v>
      </c>
      <c r="G9064" s="15"/>
      <c r="H9064" s="15"/>
      <c r="I9064" s="15"/>
      <c r="J9064" s="22">
        <v>13245</v>
      </c>
      <c r="K9064" s="15"/>
      <c r="L9064" s="17">
        <v>50</v>
      </c>
      <c r="M9064" s="22">
        <v>5000</v>
      </c>
      <c r="N9064" s="17">
        <v>50</v>
      </c>
      <c r="O9064" s="18">
        <v>24.3</v>
      </c>
      <c r="P9064" s="18">
        <v>19.920000000000002</v>
      </c>
      <c r="Q9064" s="18">
        <v>21.87</v>
      </c>
      <c r="R9064" s="18">
        <v>17.93</v>
      </c>
      <c r="S9064" s="18">
        <v>16.52</v>
      </c>
      <c r="T9064" s="18">
        <v>13.54</v>
      </c>
      <c r="U9064" s="16"/>
      <c r="V9064" s="16"/>
      <c r="W9064" s="16" t="s">
        <v>40</v>
      </c>
      <c r="X9064" s="19">
        <v>3.0000000000000001E-3</v>
      </c>
      <c r="Y9064" s="20">
        <v>7.9999999999999996E-6</v>
      </c>
      <c r="Z9064" s="21">
        <v>4601004330139</v>
      </c>
    </row>
    <row r="9065" spans="1:26" ht="12" customHeight="1" outlineLevel="4" x14ac:dyDescent="0.2">
      <c r="A9065" s="14" t="s">
        <v>17279</v>
      </c>
      <c r="B9065" s="26" t="s">
        <v>17280</v>
      </c>
      <c r="C9065" s="52"/>
      <c r="D9065" s="55">
        <f t="shared" si="141"/>
        <v>0</v>
      </c>
      <c r="E9065" s="63" t="str">
        <f>HYPERLINK("https://www.sds-group.ru/product/batareyka-litievaya-cr2025-3v-blister-5-sht-rexant-39-1107/", "Инфо")</f>
        <v>Инфо</v>
      </c>
      <c r="F9065" s="16" t="s">
        <v>39</v>
      </c>
      <c r="G9065" s="15"/>
      <c r="H9065" s="15"/>
      <c r="I9065" s="15"/>
      <c r="J9065" s="22">
        <v>22265</v>
      </c>
      <c r="K9065" s="15"/>
      <c r="L9065" s="17">
        <v>50</v>
      </c>
      <c r="M9065" s="22">
        <v>5000</v>
      </c>
      <c r="N9065" s="17">
        <v>50</v>
      </c>
      <c r="O9065" s="18">
        <v>21.74</v>
      </c>
      <c r="P9065" s="18">
        <v>17.82</v>
      </c>
      <c r="Q9065" s="18">
        <v>19.57</v>
      </c>
      <c r="R9065" s="18">
        <v>16.04</v>
      </c>
      <c r="S9065" s="18">
        <v>14.78</v>
      </c>
      <c r="T9065" s="18">
        <v>12.11</v>
      </c>
      <c r="U9065" s="16"/>
      <c r="V9065" s="16"/>
      <c r="W9065" s="16" t="s">
        <v>40</v>
      </c>
      <c r="X9065" s="19">
        <v>4.0000000000000001E-3</v>
      </c>
      <c r="Y9065" s="20">
        <v>7.9999999999999996E-6</v>
      </c>
      <c r="Z9065" s="21">
        <v>4601004330115</v>
      </c>
    </row>
    <row r="9066" spans="1:26" ht="12" customHeight="1" outlineLevel="4" x14ac:dyDescent="0.2">
      <c r="A9066" s="14" t="s">
        <v>17281</v>
      </c>
      <c r="B9066" s="26" t="s">
        <v>17282</v>
      </c>
      <c r="C9066" s="52"/>
      <c r="D9066" s="55">
        <f t="shared" si="141"/>
        <v>0</v>
      </c>
      <c r="E9066" s="63" t="str">
        <f>HYPERLINK("https://www.sds-group.ru/product/batareyka-litievaya-cr2032-3v-blister-1-sht-rexant-39-1114/", "Инфо")</f>
        <v>Инфо</v>
      </c>
      <c r="F9066" s="16" t="s">
        <v>39</v>
      </c>
      <c r="G9066" s="15"/>
      <c r="H9066" s="15"/>
      <c r="I9066" s="15"/>
      <c r="J9066" s="22">
        <v>23329</v>
      </c>
      <c r="K9066" s="15"/>
      <c r="L9066" s="17">
        <v>20</v>
      </c>
      <c r="M9066" s="22">
        <v>1500</v>
      </c>
      <c r="N9066" s="17">
        <v>20</v>
      </c>
      <c r="O9066" s="18">
        <v>39.450000000000003</v>
      </c>
      <c r="P9066" s="18">
        <v>32.340000000000003</v>
      </c>
      <c r="Q9066" s="18">
        <v>35.51</v>
      </c>
      <c r="R9066" s="18">
        <v>29.11</v>
      </c>
      <c r="S9066" s="18">
        <v>26.83</v>
      </c>
      <c r="T9066" s="18">
        <v>21.99</v>
      </c>
      <c r="U9066" s="16"/>
      <c r="V9066" s="16"/>
      <c r="W9066" s="16" t="s">
        <v>40</v>
      </c>
      <c r="X9066" s="19">
        <v>5.0000000000000001E-3</v>
      </c>
      <c r="Y9066" s="20">
        <v>1.7E-5</v>
      </c>
      <c r="Z9066" s="21">
        <v>4601004329935</v>
      </c>
    </row>
    <row r="9067" spans="1:26" ht="12" customHeight="1" outlineLevel="4" x14ac:dyDescent="0.2">
      <c r="A9067" s="14" t="s">
        <v>17283</v>
      </c>
      <c r="B9067" s="26" t="s">
        <v>17284</v>
      </c>
      <c r="C9067" s="52"/>
      <c r="D9067" s="55">
        <f t="shared" si="141"/>
        <v>0</v>
      </c>
      <c r="E9067" s="63" t="str">
        <f>HYPERLINK("https://www.sds-group.ru/product/batareyka-litievaya-cr2032-3v-blister-5-sht-rexant-39-1108/", "Инфо")</f>
        <v>Инфо</v>
      </c>
      <c r="F9067" s="16" t="s">
        <v>39</v>
      </c>
      <c r="G9067" s="15"/>
      <c r="H9067" s="15"/>
      <c r="I9067" s="15"/>
      <c r="J9067" s="22">
        <v>40060</v>
      </c>
      <c r="K9067" s="15" t="s">
        <v>6559</v>
      </c>
      <c r="L9067" s="17">
        <v>25</v>
      </c>
      <c r="M9067" s="22">
        <v>5000</v>
      </c>
      <c r="N9067" s="17">
        <v>25</v>
      </c>
      <c r="O9067" s="18">
        <v>21.74</v>
      </c>
      <c r="P9067" s="18">
        <v>17.82</v>
      </c>
      <c r="Q9067" s="18">
        <v>19.57</v>
      </c>
      <c r="R9067" s="18">
        <v>16.04</v>
      </c>
      <c r="S9067" s="18">
        <v>14.78</v>
      </c>
      <c r="T9067" s="18">
        <v>12.11</v>
      </c>
      <c r="U9067" s="16"/>
      <c r="V9067" s="16"/>
      <c r="W9067" s="16" t="s">
        <v>40</v>
      </c>
      <c r="X9067" s="19">
        <v>4.0000000000000001E-3</v>
      </c>
      <c r="Y9067" s="20">
        <v>6.0000000000000002E-6</v>
      </c>
      <c r="Z9067" s="21">
        <v>4601004330061</v>
      </c>
    </row>
    <row r="9068" spans="1:26" ht="12" customHeight="1" outlineLevel="4" x14ac:dyDescent="0.2">
      <c r="A9068" s="14" t="s">
        <v>17285</v>
      </c>
      <c r="B9068" s="26" t="s">
        <v>17286</v>
      </c>
      <c r="C9068" s="52"/>
      <c r="D9068" s="55">
        <f t="shared" si="141"/>
        <v>0</v>
      </c>
      <c r="E9068" s="63" t="str">
        <f>HYPERLINK("https://www.sds-group.ru/product/batareyka-litievaya-cr2430-3v-blister-5-sht-rexant-39-1109/", "Инфо")</f>
        <v>Инфо</v>
      </c>
      <c r="F9068" s="16" t="s">
        <v>39</v>
      </c>
      <c r="G9068" s="15"/>
      <c r="H9068" s="15"/>
      <c r="I9068" s="15"/>
      <c r="J9068" s="22">
        <v>6310</v>
      </c>
      <c r="K9068" s="15"/>
      <c r="L9068" s="17">
        <v>50</v>
      </c>
      <c r="M9068" s="22">
        <v>2500</v>
      </c>
      <c r="N9068" s="17">
        <v>50</v>
      </c>
      <c r="O9068" s="18">
        <v>57.94</v>
      </c>
      <c r="P9068" s="18">
        <v>47.49</v>
      </c>
      <c r="Q9068" s="18">
        <v>52.15</v>
      </c>
      <c r="R9068" s="18">
        <v>42.75</v>
      </c>
      <c r="S9068" s="18">
        <v>39.4</v>
      </c>
      <c r="T9068" s="18">
        <v>32.299999999999997</v>
      </c>
      <c r="U9068" s="16"/>
      <c r="V9068" s="16"/>
      <c r="W9068" s="16" t="s">
        <v>40</v>
      </c>
      <c r="X9068" s="19">
        <v>6.0000000000000001E-3</v>
      </c>
      <c r="Y9068" s="20">
        <v>2.4000000000000001E-5</v>
      </c>
      <c r="Z9068" s="21">
        <v>4601004329966</v>
      </c>
    </row>
    <row r="9069" spans="1:26" ht="12" customHeight="1" outlineLevel="4" x14ac:dyDescent="0.2">
      <c r="A9069" s="14" t="s">
        <v>17287</v>
      </c>
      <c r="B9069" s="26" t="s">
        <v>17288</v>
      </c>
      <c r="C9069" s="52"/>
      <c r="D9069" s="55">
        <f t="shared" si="141"/>
        <v>0</v>
      </c>
      <c r="E9069" s="63" t="str">
        <f>HYPERLINK("https://www.sds-group.ru/product/batareyka-litievaya-cr2450-3v-blister-5-sht-rexant-39-1110/", "Инфо")</f>
        <v>Инфо</v>
      </c>
      <c r="F9069" s="16" t="s">
        <v>39</v>
      </c>
      <c r="G9069" s="15"/>
      <c r="H9069" s="15"/>
      <c r="I9069" s="15"/>
      <c r="J9069" s="22">
        <v>6625</v>
      </c>
      <c r="K9069" s="15"/>
      <c r="L9069" s="17">
        <v>25</v>
      </c>
      <c r="M9069" s="22">
        <v>2500</v>
      </c>
      <c r="N9069" s="17">
        <v>25</v>
      </c>
      <c r="O9069" s="18">
        <v>77.38</v>
      </c>
      <c r="P9069" s="18">
        <v>63.43</v>
      </c>
      <c r="Q9069" s="18">
        <v>69.64</v>
      </c>
      <c r="R9069" s="18">
        <v>57.08</v>
      </c>
      <c r="S9069" s="18">
        <v>52.62</v>
      </c>
      <c r="T9069" s="18">
        <v>43.13</v>
      </c>
      <c r="U9069" s="16"/>
      <c r="V9069" s="16"/>
      <c r="W9069" s="16" t="s">
        <v>40</v>
      </c>
      <c r="X9069" s="19">
        <v>8.0000000000000002E-3</v>
      </c>
      <c r="Y9069" s="20">
        <v>1.8E-5</v>
      </c>
      <c r="Z9069" s="21">
        <v>4601004329997</v>
      </c>
    </row>
    <row r="9070" spans="1:26" ht="12.95" customHeight="1" outlineLevel="3" x14ac:dyDescent="0.2">
      <c r="A9070" s="76" t="s">
        <v>17289</v>
      </c>
      <c r="B9070" s="76"/>
      <c r="C9070" s="77"/>
      <c r="D9070" s="58"/>
      <c r="E9070" s="68"/>
      <c r="F9070" s="13"/>
      <c r="G9070" s="13"/>
      <c r="H9070" s="13"/>
      <c r="I9070" s="13"/>
      <c r="J9070" s="13"/>
      <c r="K9070" s="13"/>
      <c r="L9070" s="13"/>
      <c r="M9070" s="13"/>
      <c r="N9070" s="13"/>
      <c r="O9070" s="13"/>
      <c r="P9070" s="13"/>
      <c r="Q9070" s="13"/>
      <c r="R9070" s="13"/>
      <c r="S9070" s="13"/>
      <c r="T9070" s="13"/>
      <c r="U9070" s="13"/>
      <c r="V9070" s="13"/>
      <c r="W9070" s="13"/>
      <c r="X9070" s="13"/>
      <c r="Y9070" s="13"/>
      <c r="Z9070" s="13"/>
    </row>
    <row r="9071" spans="1:26" ht="12" customHeight="1" outlineLevel="4" x14ac:dyDescent="0.2">
      <c r="A9071" s="32" t="s">
        <v>17290</v>
      </c>
      <c r="B9071" s="74" t="s">
        <v>17291</v>
      </c>
      <c r="C9071" s="50"/>
      <c r="D9071" s="53">
        <f t="shared" si="141"/>
        <v>0</v>
      </c>
      <c r="E9071" s="60" t="str">
        <f>HYPERLINK("https://www.sds-group.ru/product/batareyka-solevaya-aa-r6-1-5v-4-sht-proconnect-9320/", "Инфо")</f>
        <v>Инфо</v>
      </c>
      <c r="F9071" s="34" t="s">
        <v>39</v>
      </c>
      <c r="G9071" s="33"/>
      <c r="H9071" s="33" t="s">
        <v>40</v>
      </c>
      <c r="I9071" s="33"/>
      <c r="J9071" s="35">
        <v>12</v>
      </c>
      <c r="K9071" s="33"/>
      <c r="L9071" s="35">
        <v>4</v>
      </c>
      <c r="M9071" s="35">
        <v>960</v>
      </c>
      <c r="N9071" s="35">
        <v>4</v>
      </c>
      <c r="O9071" s="36">
        <v>8.82</v>
      </c>
      <c r="P9071" s="36">
        <v>7.23</v>
      </c>
      <c r="Q9071" s="36">
        <v>6.17</v>
      </c>
      <c r="R9071" s="36">
        <v>5.0599999999999996</v>
      </c>
      <c r="S9071" s="36">
        <v>6</v>
      </c>
      <c r="T9071" s="36">
        <v>4.92</v>
      </c>
      <c r="U9071" s="34"/>
      <c r="V9071" s="34"/>
      <c r="W9071" s="34"/>
      <c r="X9071" s="37">
        <v>1.4E-2</v>
      </c>
      <c r="Y9071" s="38">
        <v>1.4E-5</v>
      </c>
      <c r="Z9071" s="21">
        <v>4601004031791</v>
      </c>
    </row>
    <row r="9072" spans="1:26" ht="12.95" customHeight="1" outlineLevel="2" x14ac:dyDescent="0.2">
      <c r="A9072" s="76" t="s">
        <v>17292</v>
      </c>
      <c r="B9072" s="76"/>
      <c r="C9072" s="77"/>
      <c r="D9072" s="58"/>
      <c r="E9072" s="68"/>
      <c r="F9072" s="13"/>
      <c r="G9072" s="13"/>
      <c r="H9072" s="13"/>
      <c r="I9072" s="13"/>
      <c r="J9072" s="13"/>
      <c r="K9072" s="13"/>
      <c r="L9072" s="13"/>
      <c r="M9072" s="13"/>
      <c r="N9072" s="13"/>
      <c r="O9072" s="13"/>
      <c r="P9072" s="13"/>
      <c r="Q9072" s="13"/>
      <c r="R9072" s="13"/>
      <c r="S9072" s="13"/>
      <c r="T9072" s="13"/>
      <c r="U9072" s="13"/>
      <c r="V9072" s="13"/>
      <c r="W9072" s="13"/>
      <c r="X9072" s="13"/>
      <c r="Y9072" s="13"/>
      <c r="Z9072" s="13"/>
    </row>
    <row r="9073" spans="1:26" ht="12.95" customHeight="1" outlineLevel="3" x14ac:dyDescent="0.2">
      <c r="A9073" s="76" t="s">
        <v>17293</v>
      </c>
      <c r="B9073" s="76"/>
      <c r="C9073" s="77"/>
      <c r="D9073" s="58"/>
      <c r="E9073" s="68"/>
      <c r="F9073" s="13"/>
      <c r="G9073" s="13"/>
      <c r="H9073" s="13"/>
      <c r="I9073" s="13"/>
      <c r="J9073" s="13"/>
      <c r="K9073" s="13"/>
      <c r="L9073" s="13"/>
      <c r="M9073" s="13"/>
      <c r="N9073" s="13"/>
      <c r="O9073" s="13"/>
      <c r="P9073" s="13"/>
      <c r="Q9073" s="13"/>
      <c r="R9073" s="13"/>
      <c r="S9073" s="13"/>
      <c r="T9073" s="13"/>
      <c r="U9073" s="13"/>
      <c r="V9073" s="13"/>
      <c r="W9073" s="13"/>
      <c r="X9073" s="13"/>
      <c r="Y9073" s="13"/>
      <c r="Z9073" s="13"/>
    </row>
    <row r="9074" spans="1:26" ht="12" customHeight="1" outlineLevel="4" x14ac:dyDescent="0.2">
      <c r="A9074" s="32" t="s">
        <v>17294</v>
      </c>
      <c r="B9074" s="74" t="s">
        <v>17295</v>
      </c>
      <c r="C9074" s="50"/>
      <c r="D9074" s="53">
        <f t="shared" si="141"/>
        <v>0</v>
      </c>
      <c r="E9074" s="60" t="str">
        <f>HYPERLINK("https://www.sds-group.ru/product/akkumulyator-li-ion-litiy-ion-16340-3-7v-700mach-bez-platy-zaschity-4-sht-plastikovaya-upako-30-2036/", "Инфо")</f>
        <v>Инфо</v>
      </c>
      <c r="F9074" s="34" t="s">
        <v>39</v>
      </c>
      <c r="G9074" s="33"/>
      <c r="H9074" s="33" t="s">
        <v>40</v>
      </c>
      <c r="I9074" s="33"/>
      <c r="J9074" s="35">
        <v>816</v>
      </c>
      <c r="K9074" s="33"/>
      <c r="L9074" s="35">
        <v>4</v>
      </c>
      <c r="M9074" s="35">
        <v>500</v>
      </c>
      <c r="N9074" s="35">
        <v>4</v>
      </c>
      <c r="O9074" s="36">
        <v>267.3</v>
      </c>
      <c r="P9074" s="36">
        <v>219.1</v>
      </c>
      <c r="Q9074" s="36">
        <v>187.11</v>
      </c>
      <c r="R9074" s="36">
        <v>153.37</v>
      </c>
      <c r="S9074" s="36">
        <v>181.76</v>
      </c>
      <c r="T9074" s="36">
        <v>148.97999999999999</v>
      </c>
      <c r="U9074" s="34"/>
      <c r="V9074" s="34"/>
      <c r="W9074" s="34"/>
      <c r="X9074" s="37">
        <v>2.1000000000000001E-2</v>
      </c>
      <c r="Y9074" s="38">
        <v>3.4999999999999997E-5</v>
      </c>
      <c r="Z9074" s="21">
        <v>4601004291058</v>
      </c>
    </row>
    <row r="9075" spans="1:26" ht="12" customHeight="1" outlineLevel="4" x14ac:dyDescent="0.2">
      <c r="A9075" s="14" t="s">
        <v>17296</v>
      </c>
      <c r="B9075" s="26" t="s">
        <v>17297</v>
      </c>
      <c r="C9075" s="52"/>
      <c r="D9075" s="55">
        <f t="shared" si="141"/>
        <v>0</v>
      </c>
      <c r="E9075" s="63" t="str">
        <f>HYPERLINK("https://www.sds-group.ru/product/akkumulyator-li-ion-litiy-ion-18650-3-7v-2400mach-s-platoy-zaschity-2-sht-plastikovaya-upako-30-2034/", "Инфо")</f>
        <v>Инфо</v>
      </c>
      <c r="F9075" s="16" t="s">
        <v>39</v>
      </c>
      <c r="G9075" s="15"/>
      <c r="H9075" s="15"/>
      <c r="I9075" s="15"/>
      <c r="J9075" s="17">
        <v>476</v>
      </c>
      <c r="K9075" s="15" t="s">
        <v>995</v>
      </c>
      <c r="L9075" s="17">
        <v>2</v>
      </c>
      <c r="M9075" s="17">
        <v>200</v>
      </c>
      <c r="N9075" s="17">
        <v>2</v>
      </c>
      <c r="O9075" s="18">
        <v>453.85</v>
      </c>
      <c r="P9075" s="18">
        <v>372.01</v>
      </c>
      <c r="Q9075" s="18">
        <v>363.08</v>
      </c>
      <c r="R9075" s="18">
        <v>297.61</v>
      </c>
      <c r="S9075" s="18">
        <v>308.62</v>
      </c>
      <c r="T9075" s="18">
        <v>252.97</v>
      </c>
      <c r="U9075" s="16"/>
      <c r="V9075" s="16"/>
      <c r="W9075" s="16" t="s">
        <v>40</v>
      </c>
      <c r="X9075" s="19">
        <v>5.6000000000000001E-2</v>
      </c>
      <c r="Y9075" s="20">
        <v>6.4999999999999994E-5</v>
      </c>
      <c r="Z9075" s="21">
        <v>4601004291591</v>
      </c>
    </row>
    <row r="9076" spans="1:26" ht="12" customHeight="1" outlineLevel="4" x14ac:dyDescent="0.2">
      <c r="A9076" s="14" t="s">
        <v>17298</v>
      </c>
      <c r="B9076" s="26" t="s">
        <v>17299</v>
      </c>
      <c r="C9076" s="52"/>
      <c r="D9076" s="55">
        <f t="shared" si="141"/>
        <v>0</v>
      </c>
      <c r="E9076" s="63" t="str">
        <f>HYPERLINK("https://www.sds-group.ru/product/akkumulyator-li-ion-litiy-ion-18650-3-7v-3000mach-bez-platy-zaschity-2-sht-plastikovaya-upak-30-2037/", "Инфо")</f>
        <v>Инфо</v>
      </c>
      <c r="F9076" s="16" t="s">
        <v>39</v>
      </c>
      <c r="G9076" s="15"/>
      <c r="H9076" s="15"/>
      <c r="I9076" s="15"/>
      <c r="J9076" s="17">
        <v>774</v>
      </c>
      <c r="K9076" s="15" t="s">
        <v>995</v>
      </c>
      <c r="L9076" s="17">
        <v>2</v>
      </c>
      <c r="M9076" s="17">
        <v>200</v>
      </c>
      <c r="N9076" s="17">
        <v>2</v>
      </c>
      <c r="O9076" s="18">
        <v>762.26</v>
      </c>
      <c r="P9076" s="18">
        <v>624.79999999999995</v>
      </c>
      <c r="Q9076" s="18">
        <v>609.80999999999995</v>
      </c>
      <c r="R9076" s="18">
        <v>499.84</v>
      </c>
      <c r="S9076" s="18">
        <v>518.34</v>
      </c>
      <c r="T9076" s="18">
        <v>424.87</v>
      </c>
      <c r="U9076" s="16"/>
      <c r="V9076" s="16"/>
      <c r="W9076" s="16" t="s">
        <v>40</v>
      </c>
      <c r="X9076" s="19">
        <v>5.1999999999999998E-2</v>
      </c>
      <c r="Y9076" s="20">
        <v>6.7000000000000002E-5</v>
      </c>
      <c r="Z9076" s="21">
        <v>4601004277595</v>
      </c>
    </row>
    <row r="9077" spans="1:26" ht="12" customHeight="1" outlineLevel="4" x14ac:dyDescent="0.2">
      <c r="A9077" s="14" t="s">
        <v>17300</v>
      </c>
      <c r="B9077" s="26" t="s">
        <v>17301</v>
      </c>
      <c r="C9077" s="52"/>
      <c r="D9077" s="55">
        <f t="shared" si="141"/>
        <v>0</v>
      </c>
      <c r="E9077" s="63" t="str">
        <f>HYPERLINK("https://www.sds-group.ru/product/akkumulyator-li-ion-10440-3-7v-320mach-bez-platy-zaschity-ploskiy-kontakt-10-sht-korobka-rex-30-2065/", "Инфо")</f>
        <v>Инфо</v>
      </c>
      <c r="F9077" s="16" t="s">
        <v>39</v>
      </c>
      <c r="G9077" s="15"/>
      <c r="H9077" s="15"/>
      <c r="I9077" s="15"/>
      <c r="J9077" s="17">
        <v>470</v>
      </c>
      <c r="K9077" s="15" t="s">
        <v>995</v>
      </c>
      <c r="L9077" s="17">
        <v>10</v>
      </c>
      <c r="M9077" s="17">
        <v>200</v>
      </c>
      <c r="N9077" s="17">
        <v>10</v>
      </c>
      <c r="O9077" s="18">
        <v>301.85000000000002</v>
      </c>
      <c r="P9077" s="18">
        <v>247.42</v>
      </c>
      <c r="Q9077" s="18">
        <v>256.57</v>
      </c>
      <c r="R9077" s="18">
        <v>210.3</v>
      </c>
      <c r="S9077" s="18">
        <v>205.26</v>
      </c>
      <c r="T9077" s="18">
        <v>168.25</v>
      </c>
      <c r="U9077" s="16"/>
      <c r="V9077" s="16"/>
      <c r="W9077" s="16" t="s">
        <v>40</v>
      </c>
      <c r="X9077" s="19">
        <v>1.0999999999999999E-2</v>
      </c>
      <c r="Y9077" s="20">
        <v>1.9000000000000001E-5</v>
      </c>
      <c r="Z9077" s="21">
        <v>4601004170629</v>
      </c>
    </row>
    <row r="9078" spans="1:26" ht="12" customHeight="1" outlineLevel="4" x14ac:dyDescent="0.2">
      <c r="A9078" s="14" t="s">
        <v>17302</v>
      </c>
      <c r="B9078" s="26" t="s">
        <v>17303</v>
      </c>
      <c r="C9078" s="52"/>
      <c r="D9078" s="55">
        <f t="shared" si="141"/>
        <v>0</v>
      </c>
      <c r="E9078" s="63" t="str">
        <f>HYPERLINK("https://www.sds-group.ru/product/akkumulyator-li-ion-14500-3-7v-750mach-bez-platy-zaschity-vysokiy-kontakt-10-sht-korobka-rex-30-2050/", "Инфо")</f>
        <v>Инфо</v>
      </c>
      <c r="F9078" s="16" t="s">
        <v>39</v>
      </c>
      <c r="G9078" s="15"/>
      <c r="H9078" s="15"/>
      <c r="I9078" s="15"/>
      <c r="J9078" s="22">
        <v>1900</v>
      </c>
      <c r="K9078" s="15" t="s">
        <v>995</v>
      </c>
      <c r="L9078" s="17">
        <v>10</v>
      </c>
      <c r="M9078" s="17">
        <v>200</v>
      </c>
      <c r="N9078" s="17">
        <v>10</v>
      </c>
      <c r="O9078" s="18">
        <v>441.99</v>
      </c>
      <c r="P9078" s="18">
        <v>362.29</v>
      </c>
      <c r="Q9078" s="18">
        <v>353.59</v>
      </c>
      <c r="R9078" s="18">
        <v>289.83</v>
      </c>
      <c r="S9078" s="18">
        <v>300.55</v>
      </c>
      <c r="T9078" s="18">
        <v>246.35</v>
      </c>
      <c r="U9078" s="16"/>
      <c r="V9078" s="16"/>
      <c r="W9078" s="16" t="s">
        <v>40</v>
      </c>
      <c r="X9078" s="19">
        <v>2.1999999999999999E-2</v>
      </c>
      <c r="Y9078" s="20">
        <v>3.8000000000000002E-5</v>
      </c>
      <c r="Z9078" s="21">
        <v>4601004170636</v>
      </c>
    </row>
    <row r="9079" spans="1:26" ht="12" customHeight="1" outlineLevel="4" x14ac:dyDescent="0.2">
      <c r="A9079" s="32" t="s">
        <v>17304</v>
      </c>
      <c r="B9079" s="74" t="s">
        <v>17305</v>
      </c>
      <c r="C9079" s="50"/>
      <c r="D9079" s="53">
        <f t="shared" si="141"/>
        <v>0</v>
      </c>
      <c r="E9079" s="60" t="str">
        <f>HYPERLINK("https://www.sds-group.ru/product/akkumulyator-li-ion-16340-3-7v-700mach-bez-platy-zaschity-ploskiy-kontakt-10-sht-korobka-rex-30-2040/", "Инфо")</f>
        <v>Инфо</v>
      </c>
      <c r="F9079" s="34" t="s">
        <v>39</v>
      </c>
      <c r="G9079" s="33"/>
      <c r="H9079" s="33" t="s">
        <v>40</v>
      </c>
      <c r="I9079" s="33"/>
      <c r="J9079" s="39">
        <v>6170</v>
      </c>
      <c r="K9079" s="33"/>
      <c r="L9079" s="35">
        <v>10</v>
      </c>
      <c r="M9079" s="35">
        <v>200</v>
      </c>
      <c r="N9079" s="35">
        <v>10</v>
      </c>
      <c r="O9079" s="36">
        <v>221</v>
      </c>
      <c r="P9079" s="36">
        <v>181.15</v>
      </c>
      <c r="Q9079" s="36">
        <v>187.85</v>
      </c>
      <c r="R9079" s="36">
        <v>153.97999999999999</v>
      </c>
      <c r="S9079" s="36">
        <v>150.28</v>
      </c>
      <c r="T9079" s="36">
        <v>123.18</v>
      </c>
      <c r="U9079" s="34"/>
      <c r="V9079" s="34"/>
      <c r="W9079" s="34" t="s">
        <v>40</v>
      </c>
      <c r="X9079" s="37">
        <v>2.1000000000000001E-2</v>
      </c>
      <c r="Y9079" s="38">
        <v>5.7000000000000003E-5</v>
      </c>
      <c r="Z9079" s="21">
        <v>4601004170650</v>
      </c>
    </row>
    <row r="9080" spans="1:26" ht="12" customHeight="1" outlineLevel="4" x14ac:dyDescent="0.2">
      <c r="A9080" s="14" t="s">
        <v>17306</v>
      </c>
      <c r="B9080" s="26" t="s">
        <v>17307</v>
      </c>
      <c r="C9080" s="52"/>
      <c r="D9080" s="55">
        <f t="shared" si="141"/>
        <v>0</v>
      </c>
      <c r="E9080" s="63" t="str">
        <f>HYPERLINK("https://www.sds-group.ru/product/akkumulyator-li-ion-18350-3-7v-900mach-bez-platy-zaschity-ploskiy-kontakt-10-sht-korobka-rex-30-2085/", "Инфо")</f>
        <v>Инфо</v>
      </c>
      <c r="F9080" s="16" t="s">
        <v>39</v>
      </c>
      <c r="G9080" s="15"/>
      <c r="H9080" s="15"/>
      <c r="I9080" s="15"/>
      <c r="J9080" s="17">
        <v>60</v>
      </c>
      <c r="K9080" s="15" t="s">
        <v>995</v>
      </c>
      <c r="L9080" s="17">
        <v>10</v>
      </c>
      <c r="M9080" s="17">
        <v>200</v>
      </c>
      <c r="N9080" s="17">
        <v>10</v>
      </c>
      <c r="O9080" s="18">
        <v>377.31</v>
      </c>
      <c r="P9080" s="18">
        <v>309.27</v>
      </c>
      <c r="Q9080" s="18">
        <v>301.85000000000002</v>
      </c>
      <c r="R9080" s="18">
        <v>247.42</v>
      </c>
      <c r="S9080" s="18">
        <v>256.57</v>
      </c>
      <c r="T9080" s="18">
        <v>210.3</v>
      </c>
      <c r="U9080" s="16"/>
      <c r="V9080" s="16"/>
      <c r="W9080" s="16" t="s">
        <v>40</v>
      </c>
      <c r="X9080" s="19">
        <v>2.5999999999999999E-2</v>
      </c>
      <c r="Y9080" s="20">
        <v>5.5000000000000002E-5</v>
      </c>
      <c r="Z9080" s="21">
        <v>4601004170643</v>
      </c>
    </row>
    <row r="9081" spans="1:26" ht="12" customHeight="1" outlineLevel="4" x14ac:dyDescent="0.2">
      <c r="A9081" s="14" t="s">
        <v>17308</v>
      </c>
      <c r="B9081" s="26" t="s">
        <v>17309</v>
      </c>
      <c r="C9081" s="52"/>
      <c r="D9081" s="55">
        <f t="shared" si="141"/>
        <v>0</v>
      </c>
      <c r="E9081" s="63" t="str">
        <f>HYPERLINK("https://www.sds-group.ru/product/akkumulyator-li-ion-18500-3-7v-1400mach-bez-platy-zaschity-ploskiy-kontakt-10-sht-korobka-re-30-2060/", "Инфо")</f>
        <v>Инфо</v>
      </c>
      <c r="F9081" s="16" t="s">
        <v>39</v>
      </c>
      <c r="G9081" s="15"/>
      <c r="H9081" s="15"/>
      <c r="I9081" s="15"/>
      <c r="J9081" s="16" t="s">
        <v>100</v>
      </c>
      <c r="K9081" s="15" t="s">
        <v>995</v>
      </c>
      <c r="L9081" s="17">
        <v>10</v>
      </c>
      <c r="M9081" s="17">
        <v>200</v>
      </c>
      <c r="N9081" s="17">
        <v>10</v>
      </c>
      <c r="O9081" s="18">
        <v>420.43</v>
      </c>
      <c r="P9081" s="18">
        <v>344.61</v>
      </c>
      <c r="Q9081" s="18">
        <v>336.34</v>
      </c>
      <c r="R9081" s="18">
        <v>275.69</v>
      </c>
      <c r="S9081" s="18">
        <v>285.89</v>
      </c>
      <c r="T9081" s="18">
        <v>234.34</v>
      </c>
      <c r="U9081" s="16"/>
      <c r="V9081" s="16"/>
      <c r="W9081" s="16" t="s">
        <v>40</v>
      </c>
      <c r="X9081" s="19">
        <v>3.6999999999999998E-2</v>
      </c>
      <c r="Y9081" s="20">
        <v>5.3000000000000001E-5</v>
      </c>
      <c r="Z9081" s="21">
        <v>4601004170667</v>
      </c>
    </row>
    <row r="9082" spans="1:26" ht="12" customHeight="1" outlineLevel="4" x14ac:dyDescent="0.2">
      <c r="A9082" s="14" t="s">
        <v>17310</v>
      </c>
      <c r="B9082" s="26" t="s">
        <v>17311</v>
      </c>
      <c r="C9082" s="52"/>
      <c r="D9082" s="55">
        <f t="shared" si="141"/>
        <v>0</v>
      </c>
      <c r="E9082" s="63" t="str">
        <f>HYPERLINK("https://www.sds-group.ru/product/akkumulyator-li-ion-18650-3-7v-2000mach-bez-platy-zaschity-ploskiy-kontakt-1-sht-bopp-pak-30-2000-01/", "Инфо")</f>
        <v>Инфо</v>
      </c>
      <c r="F9082" s="16" t="s">
        <v>39</v>
      </c>
      <c r="G9082" s="15"/>
      <c r="H9082" s="15"/>
      <c r="I9082" s="15"/>
      <c r="J9082" s="22">
        <v>12658</v>
      </c>
      <c r="K9082" s="15" t="s">
        <v>995</v>
      </c>
      <c r="L9082" s="17">
        <v>5</v>
      </c>
      <c r="M9082" s="17">
        <v>200</v>
      </c>
      <c r="N9082" s="17">
        <v>5</v>
      </c>
      <c r="O9082" s="18">
        <v>269.72000000000003</v>
      </c>
      <c r="P9082" s="18">
        <v>221.08</v>
      </c>
      <c r="Q9082" s="18">
        <v>188.8</v>
      </c>
      <c r="R9082" s="18">
        <v>154.75</v>
      </c>
      <c r="S9082" s="18">
        <v>183.41</v>
      </c>
      <c r="T9082" s="18">
        <v>150.34</v>
      </c>
      <c r="U9082" s="16"/>
      <c r="V9082" s="16"/>
      <c r="W9082" s="16"/>
      <c r="X9082" s="19">
        <v>0.05</v>
      </c>
      <c r="Y9082" s="20">
        <v>6.7999999999999999E-5</v>
      </c>
      <c r="Z9082" s="21">
        <v>4601004062412</v>
      </c>
    </row>
    <row r="9083" spans="1:26" ht="12" customHeight="1" outlineLevel="4" x14ac:dyDescent="0.2">
      <c r="A9083" s="14" t="s">
        <v>17312</v>
      </c>
      <c r="B9083" s="26" t="s">
        <v>17313</v>
      </c>
      <c r="C9083" s="52"/>
      <c r="D9083" s="55">
        <f t="shared" si="141"/>
        <v>0</v>
      </c>
      <c r="E9083" s="63" t="str">
        <f>HYPERLINK("https://www.sds-group.ru/product/akkumulyator-li-ion-18650-3-7v-2000mach-bez-platy-zaschity-ploskiy-kontakt-10-sht-korobka-pr-30-2000/", "Инфо")</f>
        <v>Инфо</v>
      </c>
      <c r="F9083" s="16" t="s">
        <v>39</v>
      </c>
      <c r="G9083" s="15"/>
      <c r="H9083" s="15"/>
      <c r="I9083" s="15"/>
      <c r="J9083" s="22">
        <v>8520</v>
      </c>
      <c r="K9083" s="15" t="s">
        <v>995</v>
      </c>
      <c r="L9083" s="17">
        <v>10</v>
      </c>
      <c r="M9083" s="17">
        <v>200</v>
      </c>
      <c r="N9083" s="17">
        <v>10</v>
      </c>
      <c r="O9083" s="18">
        <v>257.99</v>
      </c>
      <c r="P9083" s="18">
        <v>211.47</v>
      </c>
      <c r="Q9083" s="18">
        <v>219.29</v>
      </c>
      <c r="R9083" s="18">
        <v>179.75</v>
      </c>
      <c r="S9083" s="18">
        <v>175.43</v>
      </c>
      <c r="T9083" s="18">
        <v>143.80000000000001</v>
      </c>
      <c r="U9083" s="16"/>
      <c r="V9083" s="16"/>
      <c r="W9083" s="16" t="s">
        <v>40</v>
      </c>
      <c r="X9083" s="19">
        <v>4.9000000000000002E-2</v>
      </c>
      <c r="Y9083" s="20">
        <v>6.6000000000000005E-5</v>
      </c>
      <c r="Z9083" s="21">
        <v>4601004098237</v>
      </c>
    </row>
    <row r="9084" spans="1:26" ht="12" customHeight="1" outlineLevel="4" x14ac:dyDescent="0.2">
      <c r="A9084" s="14" t="s">
        <v>17314</v>
      </c>
      <c r="B9084" s="26" t="s">
        <v>17315</v>
      </c>
      <c r="C9084" s="52"/>
      <c r="D9084" s="55">
        <f t="shared" si="141"/>
        <v>0</v>
      </c>
      <c r="E9084" s="63" t="str">
        <f>HYPERLINK("https://www.sds-group.ru/product/akkumulyator-li-ion-18650-3-7v-2400mach-bez-platy-zaschity-ploskiy-kontakt-10-sht-korobka-re-30-2010/", "Инфо")</f>
        <v>Инфо</v>
      </c>
      <c r="F9084" s="16" t="s">
        <v>39</v>
      </c>
      <c r="G9084" s="15"/>
      <c r="H9084" s="15"/>
      <c r="I9084" s="15"/>
      <c r="J9084" s="22">
        <v>3260</v>
      </c>
      <c r="K9084" s="15" t="s">
        <v>995</v>
      </c>
      <c r="L9084" s="17">
        <v>10</v>
      </c>
      <c r="M9084" s="17">
        <v>200</v>
      </c>
      <c r="N9084" s="17">
        <v>10</v>
      </c>
      <c r="O9084" s="18">
        <v>372.99</v>
      </c>
      <c r="P9084" s="18">
        <v>305.73</v>
      </c>
      <c r="Q9084" s="18">
        <v>298.39</v>
      </c>
      <c r="R9084" s="18">
        <v>244.58</v>
      </c>
      <c r="S9084" s="18">
        <v>253.63</v>
      </c>
      <c r="T9084" s="18">
        <v>207.89</v>
      </c>
      <c r="U9084" s="16"/>
      <c r="V9084" s="16"/>
      <c r="W9084" s="16" t="s">
        <v>40</v>
      </c>
      <c r="X9084" s="19">
        <v>4.7E-2</v>
      </c>
      <c r="Y9084" s="20">
        <v>7.1000000000000005E-5</v>
      </c>
      <c r="Z9084" s="21">
        <v>4601004170711</v>
      </c>
    </row>
    <row r="9085" spans="1:26" ht="12" customHeight="1" outlineLevel="4" x14ac:dyDescent="0.2">
      <c r="A9085" s="14" t="s">
        <v>17316</v>
      </c>
      <c r="B9085" s="26" t="s">
        <v>17317</v>
      </c>
      <c r="C9085" s="52"/>
      <c r="D9085" s="55">
        <f t="shared" si="141"/>
        <v>0</v>
      </c>
      <c r="E9085" s="63" t="str">
        <f>HYPERLINK("https://www.sds-group.ru/product/akkumulyator-li-ion-18650-3-7v-2400mach-bez-platy-zaschity-ploskiy-kontakt-2-sht-blister--30-2010-05/", "Инфо")</f>
        <v>Инфо</v>
      </c>
      <c r="F9085" s="16" t="s">
        <v>39</v>
      </c>
      <c r="G9085" s="15"/>
      <c r="H9085" s="15"/>
      <c r="I9085" s="15"/>
      <c r="J9085" s="22">
        <v>2070</v>
      </c>
      <c r="K9085" s="15" t="s">
        <v>995</v>
      </c>
      <c r="L9085" s="17">
        <v>2</v>
      </c>
      <c r="M9085" s="17">
        <v>160</v>
      </c>
      <c r="N9085" s="17">
        <v>2</v>
      </c>
      <c r="O9085" s="18">
        <v>431.21</v>
      </c>
      <c r="P9085" s="18">
        <v>353.45</v>
      </c>
      <c r="Q9085" s="18">
        <v>344.97</v>
      </c>
      <c r="R9085" s="18">
        <v>282.76</v>
      </c>
      <c r="S9085" s="18">
        <v>293.22000000000003</v>
      </c>
      <c r="T9085" s="18">
        <v>240.34</v>
      </c>
      <c r="U9085" s="16"/>
      <c r="V9085" s="16"/>
      <c r="W9085" s="16" t="s">
        <v>40</v>
      </c>
      <c r="X9085" s="19">
        <v>5.3999999999999999E-2</v>
      </c>
      <c r="Y9085" s="20">
        <v>1.5799999999999999E-4</v>
      </c>
      <c r="Z9085" s="21">
        <v>4601004098114</v>
      </c>
    </row>
    <row r="9086" spans="1:26" ht="12" customHeight="1" outlineLevel="4" x14ac:dyDescent="0.2">
      <c r="A9086" s="14" t="s">
        <v>17318</v>
      </c>
      <c r="B9086" s="26" t="s">
        <v>17319</v>
      </c>
      <c r="C9086" s="52"/>
      <c r="D9086" s="55">
        <f t="shared" si="141"/>
        <v>0</v>
      </c>
      <c r="E9086" s="63" t="str">
        <f>HYPERLINK("https://www.sds-group.ru/product/akkumulyator-li-ion-18650-3-7v-2600mach-bez-platy-zaschity-vysokiy-kontakt-10-sht-korobka-re-30-2020/", "Инфо")</f>
        <v>Инфо</v>
      </c>
      <c r="F9086" s="16" t="s">
        <v>39</v>
      </c>
      <c r="G9086" s="15"/>
      <c r="H9086" s="15"/>
      <c r="I9086" s="15"/>
      <c r="J9086" s="22">
        <v>5422</v>
      </c>
      <c r="K9086" s="15"/>
      <c r="L9086" s="17">
        <v>10</v>
      </c>
      <c r="M9086" s="17">
        <v>200</v>
      </c>
      <c r="N9086" s="17">
        <v>10</v>
      </c>
      <c r="O9086" s="18">
        <v>393.48</v>
      </c>
      <c r="P9086" s="18">
        <v>322.52</v>
      </c>
      <c r="Q9086" s="18">
        <v>314.77999999999997</v>
      </c>
      <c r="R9086" s="18">
        <v>258.02</v>
      </c>
      <c r="S9086" s="18">
        <v>267.57</v>
      </c>
      <c r="T9086" s="18">
        <v>219.32</v>
      </c>
      <c r="U9086" s="16"/>
      <c r="V9086" s="16"/>
      <c r="W9086" s="16" t="s">
        <v>40</v>
      </c>
      <c r="X9086" s="19">
        <v>4.9000000000000002E-2</v>
      </c>
      <c r="Y9086" s="20">
        <v>6.4999999999999994E-5</v>
      </c>
      <c r="Z9086" s="21">
        <v>4601004170698</v>
      </c>
    </row>
    <row r="9087" spans="1:26" ht="12" customHeight="1" outlineLevel="4" x14ac:dyDescent="0.2">
      <c r="A9087" s="14" t="s">
        <v>17320</v>
      </c>
      <c r="B9087" s="26" t="s">
        <v>17321</v>
      </c>
      <c r="C9087" s="52"/>
      <c r="D9087" s="55">
        <f t="shared" si="141"/>
        <v>0</v>
      </c>
      <c r="E9087" s="63" t="str">
        <f>HYPERLINK("https://www.sds-group.ru/product/akkumulyator-li-ion-18650-3-7v-2800mach-s-platoy-zaschity-vysokiy-kontakt-1-sht-blister-r-30-2030-05/", "Инфо")</f>
        <v>Инфо</v>
      </c>
      <c r="F9087" s="16" t="s">
        <v>39</v>
      </c>
      <c r="G9087" s="15"/>
      <c r="H9087" s="15"/>
      <c r="I9087" s="15"/>
      <c r="J9087" s="22">
        <v>2165</v>
      </c>
      <c r="K9087" s="15" t="s">
        <v>995</v>
      </c>
      <c r="L9087" s="17">
        <v>5</v>
      </c>
      <c r="M9087" s="17">
        <v>80</v>
      </c>
      <c r="N9087" s="17">
        <v>5</v>
      </c>
      <c r="O9087" s="18">
        <v>609.79999999999995</v>
      </c>
      <c r="P9087" s="18">
        <v>499.84</v>
      </c>
      <c r="Q9087" s="18">
        <v>487.84</v>
      </c>
      <c r="R9087" s="18">
        <v>399.87</v>
      </c>
      <c r="S9087" s="18">
        <v>414.66</v>
      </c>
      <c r="T9087" s="18">
        <v>339.89</v>
      </c>
      <c r="U9087" s="16"/>
      <c r="V9087" s="16"/>
      <c r="W9087" s="16" t="s">
        <v>40</v>
      </c>
      <c r="X9087" s="19">
        <v>6.7000000000000004E-2</v>
      </c>
      <c r="Y9087" s="20">
        <v>3.3E-4</v>
      </c>
      <c r="Z9087" s="21">
        <v>4601004119468</v>
      </c>
    </row>
    <row r="9088" spans="1:26" ht="12" customHeight="1" outlineLevel="4" x14ac:dyDescent="0.2">
      <c r="A9088" s="14" t="s">
        <v>17322</v>
      </c>
      <c r="B9088" s="26" t="s">
        <v>17323</v>
      </c>
      <c r="C9088" s="52"/>
      <c r="D9088" s="55">
        <f t="shared" si="141"/>
        <v>0</v>
      </c>
      <c r="E9088" s="63" t="str">
        <f>HYPERLINK("https://www.sds-group.ru/product/akkumulyator-li-ion-18650-3-7v-2800mach-s-platoy-zaschity-vysokiy-kontakt-10-sht-korobka-rex-30-2030/", "Инфо")</f>
        <v>Инфо</v>
      </c>
      <c r="F9088" s="16" t="s">
        <v>39</v>
      </c>
      <c r="G9088" s="15"/>
      <c r="H9088" s="15"/>
      <c r="I9088" s="15"/>
      <c r="J9088" s="22">
        <v>4880</v>
      </c>
      <c r="K9088" s="15"/>
      <c r="L9088" s="17">
        <v>10</v>
      </c>
      <c r="M9088" s="17">
        <v>200</v>
      </c>
      <c r="N9088" s="17">
        <v>10</v>
      </c>
      <c r="O9088" s="18">
        <v>586.33000000000004</v>
      </c>
      <c r="P9088" s="18">
        <v>480.6</v>
      </c>
      <c r="Q9088" s="18">
        <v>469.06</v>
      </c>
      <c r="R9088" s="18">
        <v>384.48</v>
      </c>
      <c r="S9088" s="18">
        <v>398.7</v>
      </c>
      <c r="T9088" s="18">
        <v>326.8</v>
      </c>
      <c r="U9088" s="16"/>
      <c r="V9088" s="16"/>
      <c r="W9088" s="16" t="s">
        <v>40</v>
      </c>
      <c r="X9088" s="19">
        <v>5.2999999999999999E-2</v>
      </c>
      <c r="Y9088" s="20">
        <v>5.7000000000000003E-5</v>
      </c>
      <c r="Z9088" s="21">
        <v>4601004170704</v>
      </c>
    </row>
    <row r="9089" spans="1:26" ht="12" customHeight="1" outlineLevel="4" x14ac:dyDescent="0.2">
      <c r="A9089" s="14" t="s">
        <v>17324</v>
      </c>
      <c r="B9089" s="26" t="s">
        <v>17325</v>
      </c>
      <c r="C9089" s="52"/>
      <c r="D9089" s="55">
        <f t="shared" si="141"/>
        <v>0</v>
      </c>
      <c r="E9089" s="63" t="str">
        <f>HYPERLINK("https://www.sds-group.ru/product/akkumulyator-li-ion-18650-3-7v-3000mach-bez-platy-zaschity-ploskiy-kontakt-10-sht-korobka-re-30-2035/", "Инфо")</f>
        <v>Инфо</v>
      </c>
      <c r="F9089" s="16" t="s">
        <v>39</v>
      </c>
      <c r="G9089" s="15"/>
      <c r="H9089" s="15"/>
      <c r="I9089" s="15"/>
      <c r="J9089" s="22">
        <v>1740</v>
      </c>
      <c r="K9089" s="15" t="s">
        <v>995</v>
      </c>
      <c r="L9089" s="17">
        <v>10</v>
      </c>
      <c r="M9089" s="17">
        <v>200</v>
      </c>
      <c r="N9089" s="17">
        <v>10</v>
      </c>
      <c r="O9089" s="18">
        <v>636.03</v>
      </c>
      <c r="P9089" s="18">
        <v>521.34</v>
      </c>
      <c r="Q9089" s="18">
        <v>508.82</v>
      </c>
      <c r="R9089" s="18">
        <v>417.07</v>
      </c>
      <c r="S9089" s="18">
        <v>432.5</v>
      </c>
      <c r="T9089" s="18">
        <v>354.51</v>
      </c>
      <c r="U9089" s="16"/>
      <c r="V9089" s="16"/>
      <c r="W9089" s="16" t="s">
        <v>40</v>
      </c>
      <c r="X9089" s="19">
        <v>0.05</v>
      </c>
      <c r="Y9089" s="20">
        <v>6.3999999999999997E-5</v>
      </c>
      <c r="Z9089" s="21">
        <v>4601004065819</v>
      </c>
    </row>
    <row r="9090" spans="1:26" ht="12" customHeight="1" outlineLevel="4" x14ac:dyDescent="0.2">
      <c r="A9090" s="14" t="s">
        <v>17326</v>
      </c>
      <c r="B9090" s="26" t="s">
        <v>17327</v>
      </c>
      <c r="C9090" s="52"/>
      <c r="D9090" s="55">
        <f t="shared" si="141"/>
        <v>0</v>
      </c>
      <c r="E9090" s="63" t="str">
        <f>HYPERLINK("https://www.sds-group.ru/product/akkumulyator-li-ion-18650-3-7v-3000mach-bez-platy-zaschity-ploskiy-kontakt-2-sht-blister--30-2035-05/", "Инфо")</f>
        <v>Инфо</v>
      </c>
      <c r="F9090" s="16" t="s">
        <v>39</v>
      </c>
      <c r="G9090" s="15"/>
      <c r="H9090" s="15"/>
      <c r="I9090" s="15"/>
      <c r="J9090" s="22">
        <v>5314</v>
      </c>
      <c r="K9090" s="15" t="s">
        <v>995</v>
      </c>
      <c r="L9090" s="17">
        <v>2</v>
      </c>
      <c r="M9090" s="17">
        <v>160</v>
      </c>
      <c r="N9090" s="17">
        <v>2</v>
      </c>
      <c r="O9090" s="18">
        <v>695.32</v>
      </c>
      <c r="P9090" s="18">
        <v>569.92999999999995</v>
      </c>
      <c r="Q9090" s="18">
        <v>556.26</v>
      </c>
      <c r="R9090" s="18">
        <v>455.95</v>
      </c>
      <c r="S9090" s="18">
        <v>472.82</v>
      </c>
      <c r="T9090" s="18">
        <v>387.56</v>
      </c>
      <c r="U9090" s="16"/>
      <c r="V9090" s="16"/>
      <c r="W9090" s="16" t="s">
        <v>40</v>
      </c>
      <c r="X9090" s="19">
        <v>5.6000000000000001E-2</v>
      </c>
      <c r="Y9090" s="20">
        <v>1.65E-4</v>
      </c>
      <c r="Z9090" s="21">
        <v>4601004098138</v>
      </c>
    </row>
    <row r="9091" spans="1:26" ht="12" customHeight="1" outlineLevel="4" x14ac:dyDescent="0.2">
      <c r="A9091" s="14" t="s">
        <v>17328</v>
      </c>
      <c r="B9091" s="26" t="s">
        <v>17329</v>
      </c>
      <c r="C9091" s="52"/>
      <c r="D9091" s="55">
        <f t="shared" si="141"/>
        <v>0</v>
      </c>
      <c r="E9091" s="63" t="str">
        <f>HYPERLINK("https://www.sds-group.ru/product/akkumulyator-li-ion-26650-3-7v-4800mach-bez-platy-zaschity-ploskiy-kontakt-10-sht-korobka-re-30-2080/", "Инфо")</f>
        <v>Инфо</v>
      </c>
      <c r="F9091" s="16" t="s">
        <v>39</v>
      </c>
      <c r="G9091" s="15"/>
      <c r="H9091" s="15"/>
      <c r="I9091" s="15"/>
      <c r="J9091" s="17">
        <v>489</v>
      </c>
      <c r="K9091" s="15"/>
      <c r="L9091" s="17">
        <v>10</v>
      </c>
      <c r="M9091" s="17">
        <v>300</v>
      </c>
      <c r="N9091" s="17">
        <v>10</v>
      </c>
      <c r="O9091" s="18">
        <v>875.35</v>
      </c>
      <c r="P9091" s="18">
        <v>717.5</v>
      </c>
      <c r="Q9091" s="18">
        <v>700.28</v>
      </c>
      <c r="R9091" s="18">
        <v>574</v>
      </c>
      <c r="S9091" s="18">
        <v>595.24</v>
      </c>
      <c r="T9091" s="18">
        <v>487.9</v>
      </c>
      <c r="U9091" s="16"/>
      <c r="V9091" s="16"/>
      <c r="W9091" s="16" t="s">
        <v>40</v>
      </c>
      <c r="X9091" s="19">
        <v>0.10100000000000001</v>
      </c>
      <c r="Y9091" s="20">
        <v>1.02E-4</v>
      </c>
      <c r="Z9091" s="21">
        <v>4601004170674</v>
      </c>
    </row>
    <row r="9092" spans="1:26" ht="12.95" customHeight="1" outlineLevel="3" x14ac:dyDescent="0.2">
      <c r="A9092" s="76" t="s">
        <v>17330</v>
      </c>
      <c r="B9092" s="76"/>
      <c r="C9092" s="77"/>
      <c r="D9092" s="58"/>
      <c r="E9092" s="68"/>
      <c r="F9092" s="13"/>
      <c r="G9092" s="13"/>
      <c r="H9092" s="13"/>
      <c r="I9092" s="13"/>
      <c r="J9092" s="13"/>
      <c r="K9092" s="13"/>
      <c r="L9092" s="13"/>
      <c r="M9092" s="13"/>
      <c r="N9092" s="13"/>
      <c r="O9092" s="13"/>
      <c r="P9092" s="13"/>
      <c r="Q9092" s="13"/>
      <c r="R9092" s="13"/>
      <c r="S9092" s="13"/>
      <c r="T9092" s="13"/>
      <c r="U9092" s="13"/>
      <c r="V9092" s="13"/>
      <c r="W9092" s="13"/>
      <c r="X9092" s="13"/>
      <c r="Y9092" s="13"/>
      <c r="Z9092" s="13"/>
    </row>
    <row r="9093" spans="1:26" ht="12" customHeight="1" outlineLevel="4" x14ac:dyDescent="0.2">
      <c r="A9093" s="14" t="s">
        <v>17331</v>
      </c>
      <c r="B9093" s="26" t="s">
        <v>17332</v>
      </c>
      <c r="C9093" s="52"/>
      <c r="D9093" s="55">
        <f t="shared" si="141"/>
        <v>0</v>
      </c>
      <c r="E9093" s="63" t="str">
        <f>HYPERLINK("https://www.sds-group.ru/product/akkumulyator-ni-mh-aa-hr6-1-2v-1900mach-2-sht-blister-rexant-30-1419/", "Инфо")</f>
        <v>Инфо</v>
      </c>
      <c r="F9093" s="16" t="s">
        <v>39</v>
      </c>
      <c r="G9093" s="15"/>
      <c r="H9093" s="15"/>
      <c r="I9093" s="15"/>
      <c r="J9093" s="22">
        <v>2392</v>
      </c>
      <c r="K9093" s="15" t="s">
        <v>995</v>
      </c>
      <c r="L9093" s="17">
        <v>5</v>
      </c>
      <c r="M9093" s="17">
        <v>480</v>
      </c>
      <c r="N9093" s="17">
        <v>5</v>
      </c>
      <c r="O9093" s="18">
        <v>283.3</v>
      </c>
      <c r="P9093" s="18">
        <v>232.21</v>
      </c>
      <c r="Q9093" s="18">
        <v>240.81</v>
      </c>
      <c r="R9093" s="18">
        <v>197.39</v>
      </c>
      <c r="S9093" s="18">
        <v>192.64</v>
      </c>
      <c r="T9093" s="18">
        <v>157.9</v>
      </c>
      <c r="U9093" s="16"/>
      <c r="V9093" s="16"/>
      <c r="W9093" s="16" t="s">
        <v>40</v>
      </c>
      <c r="X9093" s="19">
        <v>3.4000000000000002E-2</v>
      </c>
      <c r="Y9093" s="20">
        <v>7.7000000000000001E-5</v>
      </c>
      <c r="Z9093" s="21">
        <v>4601004094789</v>
      </c>
    </row>
    <row r="9094" spans="1:26" ht="12" customHeight="1" outlineLevel="4" x14ac:dyDescent="0.2">
      <c r="A9094" s="14" t="s">
        <v>17333</v>
      </c>
      <c r="B9094" s="26" t="s">
        <v>17334</v>
      </c>
      <c r="C9094" s="52"/>
      <c r="D9094" s="55">
        <f t="shared" si="141"/>
        <v>0</v>
      </c>
      <c r="E9094" s="63" t="str">
        <f>HYPERLINK("https://www.sds-group.ru/product/akkumulyator-ni-mh-aa-hr6-1-2v-2300mach-2-sht-blister-rexant-30-1423/", "Инфо")</f>
        <v>Инфо</v>
      </c>
      <c r="F9094" s="16" t="s">
        <v>39</v>
      </c>
      <c r="G9094" s="15"/>
      <c r="H9094" s="15"/>
      <c r="I9094" s="15"/>
      <c r="J9094" s="22">
        <v>2502</v>
      </c>
      <c r="K9094" s="15" t="s">
        <v>995</v>
      </c>
      <c r="L9094" s="17">
        <v>2</v>
      </c>
      <c r="M9094" s="17">
        <v>480</v>
      </c>
      <c r="N9094" s="17">
        <v>2</v>
      </c>
      <c r="O9094" s="18">
        <v>327.72</v>
      </c>
      <c r="P9094" s="18">
        <v>268.62</v>
      </c>
      <c r="Q9094" s="18">
        <v>278.56</v>
      </c>
      <c r="R9094" s="18">
        <v>228.33</v>
      </c>
      <c r="S9094" s="18">
        <v>222.85</v>
      </c>
      <c r="T9094" s="18">
        <v>182.66</v>
      </c>
      <c r="U9094" s="16"/>
      <c r="V9094" s="16"/>
      <c r="W9094" s="16" t="s">
        <v>40</v>
      </c>
      <c r="X9094" s="19">
        <v>3.4000000000000002E-2</v>
      </c>
      <c r="Y9094" s="20">
        <v>7.7999999999999999E-5</v>
      </c>
      <c r="Z9094" s="21">
        <v>4601004094796</v>
      </c>
    </row>
    <row r="9095" spans="1:26" ht="12" customHeight="1" outlineLevel="4" x14ac:dyDescent="0.2">
      <c r="A9095" s="14" t="s">
        <v>17335</v>
      </c>
      <c r="B9095" s="26" t="s">
        <v>17336</v>
      </c>
      <c r="C9095" s="52"/>
      <c r="D9095" s="55">
        <f t="shared" si="141"/>
        <v>0</v>
      </c>
      <c r="E9095" s="63" t="str">
        <f>HYPERLINK("https://www.sds-group.ru/product/akkumulyator-ni-mh-aa-hr6-1-2v-2800mach-2-sht-blister-rexant-30-1428/", "Инфо")</f>
        <v>Инфо</v>
      </c>
      <c r="F9095" s="16" t="s">
        <v>39</v>
      </c>
      <c r="G9095" s="15"/>
      <c r="H9095" s="15"/>
      <c r="I9095" s="15"/>
      <c r="J9095" s="22">
        <v>2874</v>
      </c>
      <c r="K9095" s="15" t="s">
        <v>995</v>
      </c>
      <c r="L9095" s="17">
        <v>2</v>
      </c>
      <c r="M9095" s="17">
        <v>480</v>
      </c>
      <c r="N9095" s="17">
        <v>2</v>
      </c>
      <c r="O9095" s="18">
        <v>423.41</v>
      </c>
      <c r="P9095" s="18">
        <v>347.06</v>
      </c>
      <c r="Q9095" s="18">
        <v>359.9</v>
      </c>
      <c r="R9095" s="18">
        <v>295</v>
      </c>
      <c r="S9095" s="18">
        <v>287.92</v>
      </c>
      <c r="T9095" s="18">
        <v>236</v>
      </c>
      <c r="U9095" s="16"/>
      <c r="V9095" s="16"/>
      <c r="W9095" s="16" t="s">
        <v>40</v>
      </c>
      <c r="X9095" s="19">
        <v>3.5999999999999997E-2</v>
      </c>
      <c r="Y9095" s="20">
        <v>7.6000000000000004E-5</v>
      </c>
      <c r="Z9095" s="21">
        <v>4601004094802</v>
      </c>
    </row>
    <row r="9096" spans="1:26" ht="12" customHeight="1" outlineLevel="4" x14ac:dyDescent="0.2">
      <c r="A9096" s="14" t="s">
        <v>17337</v>
      </c>
      <c r="B9096" s="26" t="s">
        <v>17338</v>
      </c>
      <c r="C9096" s="52"/>
      <c r="D9096" s="55">
        <f t="shared" si="141"/>
        <v>0</v>
      </c>
      <c r="E9096" s="63" t="str">
        <f>HYPERLINK("https://www.sds-group.ru/product/akkumulyator-ni-mh-aaa-hr03-1-2v-1100mach-2-sht-blister-rexant-30-1411/", "Инфо")</f>
        <v>Инфо</v>
      </c>
      <c r="F9096" s="16" t="s">
        <v>39</v>
      </c>
      <c r="G9096" s="15"/>
      <c r="H9096" s="15"/>
      <c r="I9096" s="15"/>
      <c r="J9096" s="22">
        <v>1240</v>
      </c>
      <c r="K9096" s="15" t="s">
        <v>995</v>
      </c>
      <c r="L9096" s="17">
        <v>14</v>
      </c>
      <c r="M9096" s="17">
        <v>672</v>
      </c>
      <c r="N9096" s="17">
        <v>14</v>
      </c>
      <c r="O9096" s="18">
        <v>183.26</v>
      </c>
      <c r="P9096" s="18">
        <v>150.21</v>
      </c>
      <c r="Q9096" s="18">
        <v>155.77000000000001</v>
      </c>
      <c r="R9096" s="18">
        <v>127.68</v>
      </c>
      <c r="S9096" s="18">
        <v>124.62</v>
      </c>
      <c r="T9096" s="18">
        <v>102.15</v>
      </c>
      <c r="U9096" s="16"/>
      <c r="V9096" s="16"/>
      <c r="W9096" s="16" t="s">
        <v>40</v>
      </c>
      <c r="X9096" s="19">
        <v>1.9E-2</v>
      </c>
      <c r="Y9096" s="20">
        <v>5.3999999999999998E-5</v>
      </c>
      <c r="Z9096" s="21">
        <v>4601004094772</v>
      </c>
    </row>
    <row r="9097" spans="1:26" ht="12" customHeight="1" outlineLevel="4" x14ac:dyDescent="0.2">
      <c r="A9097" s="14" t="s">
        <v>17339</v>
      </c>
      <c r="B9097" s="26" t="s">
        <v>17340</v>
      </c>
      <c r="C9097" s="52"/>
      <c r="D9097" s="55">
        <f t="shared" ref="D9097:D9160" si="142">C9097*(O9097-O9097*$G$3)</f>
        <v>0</v>
      </c>
      <c r="E9097" s="63" t="str">
        <f>HYPERLINK("https://www.sds-group.ru/product/akkumulyator-ni-mh-aaa-hr03-1-2v-600mach-2-sht-blister-rexant-30-1406/", "Инфо")</f>
        <v>Инфо</v>
      </c>
      <c r="F9097" s="16" t="s">
        <v>39</v>
      </c>
      <c r="G9097" s="15"/>
      <c r="H9097" s="15"/>
      <c r="I9097" s="15"/>
      <c r="J9097" s="22">
        <v>5520</v>
      </c>
      <c r="K9097" s="15" t="s">
        <v>995</v>
      </c>
      <c r="L9097" s="17">
        <v>14</v>
      </c>
      <c r="M9097" s="17">
        <v>672</v>
      </c>
      <c r="N9097" s="17">
        <v>14</v>
      </c>
      <c r="O9097" s="18">
        <v>116.43</v>
      </c>
      <c r="P9097" s="18">
        <v>95.43</v>
      </c>
      <c r="Q9097" s="18">
        <v>98.97</v>
      </c>
      <c r="R9097" s="18">
        <v>81.12</v>
      </c>
      <c r="S9097" s="18">
        <v>79.17</v>
      </c>
      <c r="T9097" s="18">
        <v>64.89</v>
      </c>
      <c r="U9097" s="16"/>
      <c r="V9097" s="16"/>
      <c r="W9097" s="16" t="s">
        <v>40</v>
      </c>
      <c r="X9097" s="19">
        <v>1.6E-2</v>
      </c>
      <c r="Y9097" s="20">
        <v>3.8999999999999999E-5</v>
      </c>
      <c r="Z9097" s="21">
        <v>4601004094819</v>
      </c>
    </row>
    <row r="9098" spans="1:26" ht="12" customHeight="1" outlineLevel="4" x14ac:dyDescent="0.2">
      <c r="A9098" s="14" t="s">
        <v>17341</v>
      </c>
      <c r="B9098" s="26" t="s">
        <v>17342</v>
      </c>
      <c r="C9098" s="52"/>
      <c r="D9098" s="55">
        <f t="shared" si="142"/>
        <v>0</v>
      </c>
      <c r="E9098" s="63" t="str">
        <f>HYPERLINK("https://www.sds-group.ru/product/akkumulyator-ni-mh-aaa-hr03-1-2v-900mach-2-sht-blister-rexant-30-1409/", "Инфо")</f>
        <v>Инфо</v>
      </c>
      <c r="F9098" s="16" t="s">
        <v>39</v>
      </c>
      <c r="G9098" s="15"/>
      <c r="H9098" s="15"/>
      <c r="I9098" s="15"/>
      <c r="J9098" s="22">
        <v>2878</v>
      </c>
      <c r="K9098" s="15"/>
      <c r="L9098" s="17">
        <v>14</v>
      </c>
      <c r="M9098" s="17">
        <v>672</v>
      </c>
      <c r="N9098" s="17">
        <v>14</v>
      </c>
      <c r="O9098" s="18">
        <v>140.13999999999999</v>
      </c>
      <c r="P9098" s="18">
        <v>114.87</v>
      </c>
      <c r="Q9098" s="18">
        <v>119.12</v>
      </c>
      <c r="R9098" s="18">
        <v>97.64</v>
      </c>
      <c r="S9098" s="18">
        <v>95.3</v>
      </c>
      <c r="T9098" s="18">
        <v>78.11</v>
      </c>
      <c r="U9098" s="16"/>
      <c r="V9098" s="16"/>
      <c r="W9098" s="16" t="s">
        <v>40</v>
      </c>
      <c r="X9098" s="19">
        <v>1.7999999999999999E-2</v>
      </c>
      <c r="Y9098" s="20">
        <v>5.5999999999999999E-5</v>
      </c>
      <c r="Z9098" s="21">
        <v>4601004094765</v>
      </c>
    </row>
    <row r="9099" spans="1:26" ht="12.95" customHeight="1" outlineLevel="3" x14ac:dyDescent="0.2">
      <c r="A9099" s="76" t="s">
        <v>17343</v>
      </c>
      <c r="B9099" s="76"/>
      <c r="C9099" s="77"/>
      <c r="D9099" s="58"/>
      <c r="E9099" s="68"/>
      <c r="F9099" s="13"/>
      <c r="G9099" s="13"/>
      <c r="H9099" s="13"/>
      <c r="I9099" s="13"/>
      <c r="J9099" s="13"/>
      <c r="K9099" s="13"/>
      <c r="L9099" s="13"/>
      <c r="M9099" s="13"/>
      <c r="N9099" s="13"/>
      <c r="O9099" s="13"/>
      <c r="P9099" s="13"/>
      <c r="Q9099" s="13"/>
      <c r="R9099" s="13"/>
      <c r="S9099" s="13"/>
      <c r="T9099" s="13"/>
      <c r="U9099" s="13"/>
      <c r="V9099" s="13"/>
      <c r="W9099" s="13"/>
      <c r="X9099" s="13"/>
      <c r="Y9099" s="13"/>
      <c r="Z9099" s="13"/>
    </row>
    <row r="9100" spans="1:26" ht="12" customHeight="1" outlineLevel="4" x14ac:dyDescent="0.2">
      <c r="A9100" s="32" t="s">
        <v>17344</v>
      </c>
      <c r="B9100" s="74" t="s">
        <v>17345</v>
      </c>
      <c r="C9100" s="50"/>
      <c r="D9100" s="53">
        <f t="shared" si="142"/>
        <v>0</v>
      </c>
      <c r="E9100" s="60" t="str">
        <f>HYPERLINK("https://www.sds-group.ru/product/akkumulyator-svintsovo-kislotnyy-bt-12045-12v-4-5ach-srok-sluzhby-3-goda-30-2045-4/", "Инфо")</f>
        <v>Инфо</v>
      </c>
      <c r="F9100" s="34" t="s">
        <v>39</v>
      </c>
      <c r="G9100" s="33"/>
      <c r="H9100" s="33" t="s">
        <v>40</v>
      </c>
      <c r="I9100" s="33"/>
      <c r="J9100" s="35">
        <v>2</v>
      </c>
      <c r="K9100" s="33"/>
      <c r="L9100" s="35">
        <v>1</v>
      </c>
      <c r="M9100" s="35">
        <v>10</v>
      </c>
      <c r="N9100" s="35">
        <v>1</v>
      </c>
      <c r="O9100" s="36">
        <v>2317.7399999999998</v>
      </c>
      <c r="P9100" s="36">
        <v>1899.79</v>
      </c>
      <c r="Q9100" s="36">
        <v>1784.66</v>
      </c>
      <c r="R9100" s="36">
        <v>1462.84</v>
      </c>
      <c r="S9100" s="36">
        <v>1576.06</v>
      </c>
      <c r="T9100" s="36">
        <v>1291.8499999999999</v>
      </c>
      <c r="U9100" s="34"/>
      <c r="V9100" s="34"/>
      <c r="W9100" s="34" t="s">
        <v>40</v>
      </c>
      <c r="X9100" s="37">
        <v>1.2250000000000001</v>
      </c>
      <c r="Y9100" s="38">
        <v>9.9799999999999997E-4</v>
      </c>
      <c r="Z9100" s="21">
        <v>4627073801974</v>
      </c>
    </row>
    <row r="9101" spans="1:26" ht="12" customHeight="1" outlineLevel="4" x14ac:dyDescent="0.2">
      <c r="A9101" s="14" t="s">
        <v>17346</v>
      </c>
      <c r="B9101" s="26" t="s">
        <v>17347</v>
      </c>
      <c r="C9101" s="52"/>
      <c r="D9101" s="55">
        <f t="shared" si="142"/>
        <v>0</v>
      </c>
      <c r="E9101" s="63" t="str">
        <f>HYPERLINK("https://www.sds-group.ru/product/akkumulyator-svintsovo-kislotnyy-bt-1207-12v-7ach-srok-sluzhby-3-goda-30-2070-4/", "Инфо")</f>
        <v>Инфо</v>
      </c>
      <c r="F9101" s="16" t="s">
        <v>39</v>
      </c>
      <c r="G9101" s="15"/>
      <c r="H9101" s="15"/>
      <c r="I9101" s="15"/>
      <c r="J9101" s="17">
        <v>112</v>
      </c>
      <c r="K9101" s="15"/>
      <c r="L9101" s="17">
        <v>1</v>
      </c>
      <c r="M9101" s="17">
        <v>5</v>
      </c>
      <c r="N9101" s="17">
        <v>1</v>
      </c>
      <c r="O9101" s="18">
        <v>2283.11</v>
      </c>
      <c r="P9101" s="18">
        <v>1871.4</v>
      </c>
      <c r="Q9101" s="18">
        <v>1757.99</v>
      </c>
      <c r="R9101" s="18">
        <v>1440.98</v>
      </c>
      <c r="S9101" s="18">
        <v>1552.51</v>
      </c>
      <c r="T9101" s="18">
        <v>1272.55</v>
      </c>
      <c r="U9101" s="16"/>
      <c r="V9101" s="16"/>
      <c r="W9101" s="16" t="s">
        <v>40</v>
      </c>
      <c r="X9101" s="19">
        <v>1.768</v>
      </c>
      <c r="Y9101" s="20">
        <v>1.341E-3</v>
      </c>
      <c r="Z9101" s="21">
        <v>4627073801981</v>
      </c>
    </row>
    <row r="9102" spans="1:26" ht="12" customHeight="1" outlineLevel="4" x14ac:dyDescent="0.2">
      <c r="A9102" s="32" t="s">
        <v>17348</v>
      </c>
      <c r="B9102" s="74" t="s">
        <v>17349</v>
      </c>
      <c r="C9102" s="50"/>
      <c r="D9102" s="53">
        <f t="shared" si="142"/>
        <v>0</v>
      </c>
      <c r="E9102" s="60" t="str">
        <f>HYPERLINK("https://www.sds-group.ru/product/akkumulyator-svintsovo-kislotnyy-bt-1212-12v-12ach-srok-sluzhby-3-goda-30-2120-4/", "Инфо")</f>
        <v>Инфо</v>
      </c>
      <c r="F9102" s="34" t="s">
        <v>39</v>
      </c>
      <c r="G9102" s="33"/>
      <c r="H9102" s="33" t="s">
        <v>40</v>
      </c>
      <c r="I9102" s="33"/>
      <c r="J9102" s="35">
        <v>8</v>
      </c>
      <c r="K9102" s="33"/>
      <c r="L9102" s="35">
        <v>1</v>
      </c>
      <c r="M9102" s="35">
        <v>4</v>
      </c>
      <c r="N9102" s="35">
        <v>1</v>
      </c>
      <c r="O9102" s="36">
        <v>6182.45</v>
      </c>
      <c r="P9102" s="36">
        <v>5067.58</v>
      </c>
      <c r="Q9102" s="36">
        <v>4513.1899999999996</v>
      </c>
      <c r="R9102" s="36">
        <v>3699.34</v>
      </c>
      <c r="S9102" s="36">
        <v>4204.07</v>
      </c>
      <c r="T9102" s="36">
        <v>3445.96</v>
      </c>
      <c r="U9102" s="34"/>
      <c r="V9102" s="34"/>
      <c r="W9102" s="34" t="s">
        <v>40</v>
      </c>
      <c r="X9102" s="37">
        <v>3.0579999999999998</v>
      </c>
      <c r="Y9102" s="38">
        <v>2.395E-3</v>
      </c>
      <c r="Z9102" s="21">
        <v>4627073801813</v>
      </c>
    </row>
    <row r="9103" spans="1:26" ht="12" customHeight="1" outlineLevel="4" x14ac:dyDescent="0.2">
      <c r="A9103" s="32" t="s">
        <v>17350</v>
      </c>
      <c r="B9103" s="74" t="s">
        <v>17351</v>
      </c>
      <c r="C9103" s="50"/>
      <c r="D9103" s="53">
        <f t="shared" si="142"/>
        <v>0</v>
      </c>
      <c r="E9103" s="60" t="str">
        <f>HYPERLINK("https://www.sds-group.ru/product/batareya-akkumulyatornaya-12v-9ach-1-shtuka-30-2090-4/", "Инфо")</f>
        <v>Инфо</v>
      </c>
      <c r="F9103" s="34" t="s">
        <v>39</v>
      </c>
      <c r="G9103" s="33"/>
      <c r="H9103" s="33" t="s">
        <v>40</v>
      </c>
      <c r="I9103" s="33"/>
      <c r="J9103" s="34" t="s">
        <v>100</v>
      </c>
      <c r="K9103" s="33" t="s">
        <v>1888</v>
      </c>
      <c r="L9103" s="35">
        <v>1</v>
      </c>
      <c r="M9103" s="35">
        <v>5</v>
      </c>
      <c r="N9103" s="35">
        <v>1</v>
      </c>
      <c r="O9103" s="36">
        <v>6237.4</v>
      </c>
      <c r="P9103" s="36">
        <v>5112.62</v>
      </c>
      <c r="Q9103" s="36">
        <v>4553.3</v>
      </c>
      <c r="R9103" s="36">
        <v>3732.21</v>
      </c>
      <c r="S9103" s="36">
        <v>4241.43</v>
      </c>
      <c r="T9103" s="36">
        <v>3476.58</v>
      </c>
      <c r="U9103" s="34"/>
      <c r="V9103" s="34"/>
      <c r="W9103" s="34" t="s">
        <v>40</v>
      </c>
      <c r="X9103" s="37">
        <v>2.4969999999999999</v>
      </c>
      <c r="Y9103" s="38">
        <v>8.6399999999999997E-4</v>
      </c>
      <c r="Z9103" s="21">
        <v>4627073801226</v>
      </c>
    </row>
    <row r="9104" spans="1:26" ht="12.95" customHeight="1" outlineLevel="2" x14ac:dyDescent="0.2">
      <c r="A9104" s="76" t="s">
        <v>17352</v>
      </c>
      <c r="B9104" s="76"/>
      <c r="C9104" s="77"/>
      <c r="D9104" s="58"/>
      <c r="E9104" s="68"/>
      <c r="F9104" s="13"/>
      <c r="G9104" s="13"/>
      <c r="H9104" s="13"/>
      <c r="I9104" s="13"/>
      <c r="J9104" s="13"/>
      <c r="K9104" s="13"/>
      <c r="L9104" s="13"/>
      <c r="M9104" s="13"/>
      <c r="N9104" s="13"/>
      <c r="O9104" s="13"/>
      <c r="P9104" s="13"/>
      <c r="Q9104" s="13"/>
      <c r="R9104" s="13"/>
      <c r="S9104" s="13"/>
      <c r="T9104" s="13"/>
      <c r="U9104" s="13"/>
      <c r="V9104" s="13"/>
      <c r="W9104" s="13"/>
      <c r="X9104" s="13"/>
      <c r="Y9104" s="13"/>
      <c r="Z9104" s="13"/>
    </row>
    <row r="9105" spans="1:26" ht="12.95" customHeight="1" outlineLevel="3" x14ac:dyDescent="0.2">
      <c r="A9105" s="76" t="s">
        <v>17353</v>
      </c>
      <c r="B9105" s="76"/>
      <c r="C9105" s="77"/>
      <c r="D9105" s="58"/>
      <c r="E9105" s="68"/>
      <c r="F9105" s="13"/>
      <c r="G9105" s="13"/>
      <c r="H9105" s="13"/>
      <c r="I9105" s="13"/>
      <c r="J9105" s="13"/>
      <c r="K9105" s="13"/>
      <c r="L9105" s="13"/>
      <c r="M9105" s="13"/>
      <c r="N9105" s="13"/>
      <c r="O9105" s="13"/>
      <c r="P9105" s="13"/>
      <c r="Q9105" s="13"/>
      <c r="R9105" s="13"/>
      <c r="S9105" s="13"/>
      <c r="T9105" s="13"/>
      <c r="U9105" s="13"/>
      <c r="V9105" s="13"/>
      <c r="W9105" s="13"/>
      <c r="X9105" s="13"/>
      <c r="Y9105" s="13"/>
      <c r="Z9105" s="13"/>
    </row>
    <row r="9106" spans="1:26" ht="12" customHeight="1" outlineLevel="4" x14ac:dyDescent="0.2">
      <c r="A9106" s="14" t="s">
        <v>17354</v>
      </c>
      <c r="B9106" s="26" t="s">
        <v>17355</v>
      </c>
      <c r="C9106" s="52"/>
      <c r="D9106" s="55">
        <f t="shared" si="142"/>
        <v>0</v>
      </c>
      <c r="E9106" s="63" t="str">
        <f>HYPERLINK("https://www.sds-group.ru/product/klemma-na-kronu-fd-2221-9v-rexant-14-0322/", "Инфо")</f>
        <v>Инфо</v>
      </c>
      <c r="F9106" s="16" t="s">
        <v>39</v>
      </c>
      <c r="G9106" s="15"/>
      <c r="H9106" s="15"/>
      <c r="I9106" s="15"/>
      <c r="J9106" s="22">
        <v>33900</v>
      </c>
      <c r="K9106" s="15" t="s">
        <v>5329</v>
      </c>
      <c r="L9106" s="17">
        <v>100</v>
      </c>
      <c r="M9106" s="22">
        <v>5000</v>
      </c>
      <c r="N9106" s="17">
        <v>100</v>
      </c>
      <c r="O9106" s="18">
        <v>16.28</v>
      </c>
      <c r="P9106" s="18">
        <v>13.34</v>
      </c>
      <c r="Q9106" s="18">
        <v>13.84</v>
      </c>
      <c r="R9106" s="18">
        <v>11.34</v>
      </c>
      <c r="S9106" s="18">
        <v>11.07</v>
      </c>
      <c r="T9106" s="18">
        <v>9.07</v>
      </c>
      <c r="U9106" s="16"/>
      <c r="V9106" s="16"/>
      <c r="W9106" s="16" t="s">
        <v>40</v>
      </c>
      <c r="X9106" s="19">
        <v>2E-3</v>
      </c>
      <c r="Y9106" s="20">
        <v>6.0000000000000002E-6</v>
      </c>
      <c r="Z9106" s="21">
        <v>4660008012908</v>
      </c>
    </row>
    <row r="9107" spans="1:26" ht="12" customHeight="1" outlineLevel="4" x14ac:dyDescent="0.2">
      <c r="A9107" s="32" t="s">
        <v>17356</v>
      </c>
      <c r="B9107" s="74" t="s">
        <v>17357</v>
      </c>
      <c r="C9107" s="50"/>
      <c r="D9107" s="53">
        <f t="shared" si="142"/>
        <v>0</v>
      </c>
      <c r="E9107" s="60" t="str">
        <f>HYPERLINK("https://www.sds-group.ru/product/klemma-na-kronu-fd-2222-9v-uglovaya-rexant-14-0323/", "Инфо")</f>
        <v>Инфо</v>
      </c>
      <c r="F9107" s="34" t="s">
        <v>39</v>
      </c>
      <c r="G9107" s="33"/>
      <c r="H9107" s="33" t="s">
        <v>40</v>
      </c>
      <c r="I9107" s="33"/>
      <c r="J9107" s="39">
        <v>4700</v>
      </c>
      <c r="K9107" s="33"/>
      <c r="L9107" s="35">
        <v>100</v>
      </c>
      <c r="M9107" s="39">
        <v>5000</v>
      </c>
      <c r="N9107" s="35">
        <v>100</v>
      </c>
      <c r="O9107" s="36">
        <v>17.79</v>
      </c>
      <c r="P9107" s="36">
        <v>14.58</v>
      </c>
      <c r="Q9107" s="36">
        <v>15.12</v>
      </c>
      <c r="R9107" s="36">
        <v>12.39</v>
      </c>
      <c r="S9107" s="36">
        <v>12.1</v>
      </c>
      <c r="T9107" s="36">
        <v>9.92</v>
      </c>
      <c r="U9107" s="34"/>
      <c r="V9107" s="34"/>
      <c r="W9107" s="34" t="s">
        <v>40</v>
      </c>
      <c r="X9107" s="37">
        <v>2E-3</v>
      </c>
      <c r="Y9107" s="38">
        <v>6.0000000000000002E-6</v>
      </c>
      <c r="Z9107" s="21">
        <v>4660008012915</v>
      </c>
    </row>
    <row r="9108" spans="1:26" ht="12.95" customHeight="1" outlineLevel="2" x14ac:dyDescent="0.2">
      <c r="A9108" s="76" t="s">
        <v>17358</v>
      </c>
      <c r="B9108" s="76"/>
      <c r="C9108" s="77"/>
      <c r="D9108" s="58"/>
      <c r="E9108" s="68"/>
      <c r="F9108" s="13"/>
      <c r="G9108" s="13"/>
      <c r="H9108" s="13"/>
      <c r="I9108" s="13"/>
      <c r="J9108" s="13"/>
      <c r="K9108" s="13"/>
      <c r="L9108" s="13"/>
      <c r="M9108" s="13"/>
      <c r="N9108" s="13"/>
      <c r="O9108" s="13"/>
      <c r="P9108" s="13"/>
      <c r="Q9108" s="13"/>
      <c r="R9108" s="13"/>
      <c r="S9108" s="13"/>
      <c r="T9108" s="13"/>
      <c r="U9108" s="13"/>
      <c r="V9108" s="13"/>
      <c r="W9108" s="13"/>
      <c r="X9108" s="13"/>
      <c r="Y9108" s="13"/>
      <c r="Z9108" s="13"/>
    </row>
    <row r="9109" spans="1:26" ht="12" customHeight="1" outlineLevel="3" x14ac:dyDescent="0.2">
      <c r="A9109" s="14" t="s">
        <v>17359</v>
      </c>
      <c r="B9109" s="26" t="s">
        <v>17360</v>
      </c>
      <c r="C9109" s="52"/>
      <c r="D9109" s="55">
        <f t="shared" si="142"/>
        <v>0</v>
      </c>
      <c r="E9109" s="63" t="str">
        <f>HYPERLINK("https://www.sds-group.ru/product/ustroystvo-zaryadnoe-dlya-li-ion-akkumulyatorov-18650-universalnoe-proconnect-18-2237/", "Инфо")</f>
        <v>Инфо</v>
      </c>
      <c r="F9109" s="16" t="s">
        <v>39</v>
      </c>
      <c r="G9109" s="15"/>
      <c r="H9109" s="15"/>
      <c r="I9109" s="15"/>
      <c r="J9109" s="17">
        <v>854</v>
      </c>
      <c r="K9109" s="15"/>
      <c r="L9109" s="17">
        <v>1</v>
      </c>
      <c r="M9109" s="17">
        <v>100</v>
      </c>
      <c r="N9109" s="17">
        <v>1</v>
      </c>
      <c r="O9109" s="18">
        <v>603.47</v>
      </c>
      <c r="P9109" s="18">
        <v>494.65</v>
      </c>
      <c r="Q9109" s="18">
        <v>482.78</v>
      </c>
      <c r="R9109" s="18">
        <v>395.72</v>
      </c>
      <c r="S9109" s="18">
        <v>410.36</v>
      </c>
      <c r="T9109" s="18">
        <v>336.36</v>
      </c>
      <c r="U9109" s="16"/>
      <c r="V9109" s="16"/>
      <c r="W9109" s="16" t="s">
        <v>40</v>
      </c>
      <c r="X9109" s="19">
        <v>0.1</v>
      </c>
      <c r="Y9109" s="20">
        <v>5.2899999999999996E-4</v>
      </c>
      <c r="Z9109" s="21">
        <v>4601004042056</v>
      </c>
    </row>
    <row r="9110" spans="1:26" ht="12.95" customHeight="1" outlineLevel="1" x14ac:dyDescent="0.2">
      <c r="A9110" s="78" t="s">
        <v>17361</v>
      </c>
      <c r="B9110" s="78"/>
      <c r="C9110" s="79"/>
      <c r="D9110" s="57"/>
      <c r="E9110" s="67"/>
      <c r="F9110" s="12"/>
      <c r="G9110" s="12"/>
      <c r="H9110" s="12"/>
      <c r="I9110" s="12"/>
      <c r="J9110" s="12"/>
      <c r="K9110" s="12"/>
      <c r="L9110" s="12"/>
      <c r="M9110" s="12"/>
      <c r="N9110" s="12"/>
      <c r="O9110" s="12"/>
      <c r="P9110" s="12"/>
      <c r="Q9110" s="12"/>
      <c r="R9110" s="12"/>
      <c r="S9110" s="12"/>
      <c r="T9110" s="12"/>
      <c r="U9110" s="12"/>
      <c r="V9110" s="12"/>
      <c r="W9110" s="12"/>
      <c r="X9110" s="12"/>
      <c r="Y9110" s="12"/>
      <c r="Z9110" s="12"/>
    </row>
    <row r="9111" spans="1:26" ht="12.95" customHeight="1" outlineLevel="2" x14ac:dyDescent="0.2">
      <c r="A9111" s="76" t="s">
        <v>17362</v>
      </c>
      <c r="B9111" s="76"/>
      <c r="C9111" s="77"/>
      <c r="D9111" s="58"/>
      <c r="E9111" s="68"/>
      <c r="F9111" s="13"/>
      <c r="G9111" s="13"/>
      <c r="H9111" s="13"/>
      <c r="I9111" s="13"/>
      <c r="J9111" s="13"/>
      <c r="K9111" s="13"/>
      <c r="L9111" s="13"/>
      <c r="M9111" s="13"/>
      <c r="N9111" s="13"/>
      <c r="O9111" s="13"/>
      <c r="P9111" s="13"/>
      <c r="Q9111" s="13"/>
      <c r="R9111" s="13"/>
      <c r="S9111" s="13"/>
      <c r="T9111" s="13"/>
      <c r="U9111" s="13"/>
      <c r="V9111" s="13"/>
      <c r="W9111" s="13"/>
      <c r="X9111" s="13"/>
      <c r="Y9111" s="13"/>
      <c r="Z9111" s="13"/>
    </row>
    <row r="9112" spans="1:26" ht="12.95" customHeight="1" outlineLevel="3" x14ac:dyDescent="0.2">
      <c r="A9112" s="76" t="s">
        <v>17363</v>
      </c>
      <c r="B9112" s="76"/>
      <c r="C9112" s="77"/>
      <c r="D9112" s="58"/>
      <c r="E9112" s="68"/>
      <c r="F9112" s="13"/>
      <c r="G9112" s="13"/>
      <c r="H9112" s="13"/>
      <c r="I9112" s="13"/>
      <c r="J9112" s="13"/>
      <c r="K9112" s="13"/>
      <c r="L9112" s="13"/>
      <c r="M9112" s="13"/>
      <c r="N9112" s="13"/>
      <c r="O9112" s="13"/>
      <c r="P9112" s="13"/>
      <c r="Q9112" s="13"/>
      <c r="R9112" s="13"/>
      <c r="S9112" s="13"/>
      <c r="T9112" s="13"/>
      <c r="U9112" s="13"/>
      <c r="V9112" s="13"/>
      <c r="W9112" s="13"/>
      <c r="X9112" s="13"/>
      <c r="Y9112" s="13"/>
      <c r="Z9112" s="13"/>
    </row>
    <row r="9113" spans="1:26" ht="12" customHeight="1" outlineLevel="4" x14ac:dyDescent="0.2">
      <c r="A9113" s="14" t="s">
        <v>17364</v>
      </c>
      <c r="B9113" s="26" t="s">
        <v>17365</v>
      </c>
      <c r="C9113" s="52"/>
      <c r="D9113" s="55">
        <f t="shared" si="142"/>
        <v>0</v>
      </c>
      <c r="E9113" s="63" t="str">
        <f>HYPERLINK("https://www.sds-group.ru/product/pakety-s-zamkom-zip-lock-pvd-razmer-10h15sm-35mkm-100-sht-up-rexant-09-7010/", "Инфо")</f>
        <v>Инфо</v>
      </c>
      <c r="F9113" s="16" t="s">
        <v>1001</v>
      </c>
      <c r="G9113" s="15"/>
      <c r="H9113" s="15"/>
      <c r="I9113" s="15"/>
      <c r="J9113" s="22">
        <v>1381</v>
      </c>
      <c r="K9113" s="15"/>
      <c r="L9113" s="17">
        <v>10</v>
      </c>
      <c r="M9113" s="22">
        <v>1000</v>
      </c>
      <c r="N9113" s="17">
        <v>10</v>
      </c>
      <c r="O9113" s="18">
        <v>128.24</v>
      </c>
      <c r="P9113" s="18">
        <v>105.11</v>
      </c>
      <c r="Q9113" s="18">
        <v>109</v>
      </c>
      <c r="R9113" s="18">
        <v>89.34</v>
      </c>
      <c r="S9113" s="18">
        <v>87.2</v>
      </c>
      <c r="T9113" s="18">
        <v>71.48</v>
      </c>
      <c r="U9113" s="16"/>
      <c r="V9113" s="16"/>
      <c r="W9113" s="16" t="s">
        <v>40</v>
      </c>
      <c r="X9113" s="19">
        <v>9.7000000000000003E-2</v>
      </c>
      <c r="Y9113" s="20">
        <v>2.9100000000000003E-4</v>
      </c>
      <c r="Z9113" s="21">
        <v>2000000017754</v>
      </c>
    </row>
    <row r="9114" spans="1:26" ht="12" customHeight="1" outlineLevel="4" x14ac:dyDescent="0.2">
      <c r="A9114" s="14" t="s">
        <v>17366</v>
      </c>
      <c r="B9114" s="26" t="s">
        <v>17367</v>
      </c>
      <c r="C9114" s="52"/>
      <c r="D9114" s="55">
        <f t="shared" si="142"/>
        <v>0</v>
      </c>
      <c r="E9114" s="63" t="str">
        <f>HYPERLINK("https://www.sds-group.ru/product/pakety-s-zamkom-zip-lock-pvd-razmer-12h17sm-35kmk-100-sht-up-rexant-09-7012/", "Инфо")</f>
        <v>Инфо</v>
      </c>
      <c r="F9114" s="16" t="s">
        <v>1001</v>
      </c>
      <c r="G9114" s="15"/>
      <c r="H9114" s="15"/>
      <c r="I9114" s="15"/>
      <c r="J9114" s="17">
        <v>653</v>
      </c>
      <c r="K9114" s="15"/>
      <c r="L9114" s="17">
        <v>10</v>
      </c>
      <c r="M9114" s="22">
        <v>1000</v>
      </c>
      <c r="N9114" s="17">
        <v>10</v>
      </c>
      <c r="O9114" s="18">
        <v>180.71</v>
      </c>
      <c r="P9114" s="18">
        <v>148.12</v>
      </c>
      <c r="Q9114" s="18">
        <v>153.6</v>
      </c>
      <c r="R9114" s="18">
        <v>125.9</v>
      </c>
      <c r="S9114" s="18">
        <v>122.88</v>
      </c>
      <c r="T9114" s="18">
        <v>100.72</v>
      </c>
      <c r="U9114" s="16"/>
      <c r="V9114" s="16"/>
      <c r="W9114" s="16" t="s">
        <v>40</v>
      </c>
      <c r="X9114" s="19">
        <v>0.123</v>
      </c>
      <c r="Y9114" s="20">
        <v>3.4499999999999998E-4</v>
      </c>
      <c r="Z9114" s="21">
        <v>2000000010519</v>
      </c>
    </row>
    <row r="9115" spans="1:26" ht="12" customHeight="1" outlineLevel="4" x14ac:dyDescent="0.2">
      <c r="A9115" s="14" t="s">
        <v>17368</v>
      </c>
      <c r="B9115" s="26" t="s">
        <v>17369</v>
      </c>
      <c r="C9115" s="52"/>
      <c r="D9115" s="55">
        <f t="shared" si="142"/>
        <v>0</v>
      </c>
      <c r="E9115" s="63" t="str">
        <f>HYPERLINK("https://www.sds-group.ru/product/pakety-s-zamkom-zip-lock-pvd-razmer-15h22sm-35kmk-100-sht-up-rexant-09-7015/", "Инфо")</f>
        <v>Инфо</v>
      </c>
      <c r="F9115" s="16" t="s">
        <v>1001</v>
      </c>
      <c r="G9115" s="15"/>
      <c r="H9115" s="15"/>
      <c r="I9115" s="15"/>
      <c r="J9115" s="17">
        <v>656</v>
      </c>
      <c r="K9115" s="15"/>
      <c r="L9115" s="17">
        <v>5</v>
      </c>
      <c r="M9115" s="22">
        <v>1000</v>
      </c>
      <c r="N9115" s="17">
        <v>5</v>
      </c>
      <c r="O9115" s="18">
        <v>244.84</v>
      </c>
      <c r="P9115" s="18">
        <v>200.69</v>
      </c>
      <c r="Q9115" s="18">
        <v>208.11</v>
      </c>
      <c r="R9115" s="18">
        <v>170.58</v>
      </c>
      <c r="S9115" s="18">
        <v>166.49</v>
      </c>
      <c r="T9115" s="18">
        <v>136.47</v>
      </c>
      <c r="U9115" s="16"/>
      <c r="V9115" s="16"/>
      <c r="W9115" s="16" t="s">
        <v>40</v>
      </c>
      <c r="X9115" s="19">
        <v>0.20100000000000001</v>
      </c>
      <c r="Y9115" s="20">
        <v>5.4699999999999996E-4</v>
      </c>
      <c r="Z9115" s="21">
        <v>2000032712740</v>
      </c>
    </row>
    <row r="9116" spans="1:26" ht="12" customHeight="1" outlineLevel="4" x14ac:dyDescent="0.2">
      <c r="A9116" s="14" t="s">
        <v>17370</v>
      </c>
      <c r="B9116" s="26" t="s">
        <v>17371</v>
      </c>
      <c r="C9116" s="52"/>
      <c r="D9116" s="55">
        <f t="shared" si="142"/>
        <v>0</v>
      </c>
      <c r="E9116" s="63" t="str">
        <f>HYPERLINK("https://www.sds-group.ru/product/pakety-s-zamkom-zip-lock-pvd-razmer-7h10sm-35kmk-100-sht-up-rexant-09-7007/", "Инфо")</f>
        <v>Инфо</v>
      </c>
      <c r="F9116" s="16" t="s">
        <v>1001</v>
      </c>
      <c r="G9116" s="15"/>
      <c r="H9116" s="15"/>
      <c r="I9116" s="15"/>
      <c r="J9116" s="22">
        <v>1340</v>
      </c>
      <c r="K9116" s="15"/>
      <c r="L9116" s="17">
        <v>10</v>
      </c>
      <c r="M9116" s="17">
        <v>160</v>
      </c>
      <c r="N9116" s="17">
        <v>10</v>
      </c>
      <c r="O9116" s="18">
        <v>75.790000000000006</v>
      </c>
      <c r="P9116" s="18">
        <v>62.12</v>
      </c>
      <c r="Q9116" s="18">
        <v>64.42</v>
      </c>
      <c r="R9116" s="18">
        <v>52.8</v>
      </c>
      <c r="S9116" s="18">
        <v>51.54</v>
      </c>
      <c r="T9116" s="18">
        <v>42.25</v>
      </c>
      <c r="U9116" s="16"/>
      <c r="V9116" s="16"/>
      <c r="W9116" s="16" t="s">
        <v>40</v>
      </c>
      <c r="X9116" s="19">
        <v>5.0999999999999997E-2</v>
      </c>
      <c r="Y9116" s="20">
        <v>1.46E-4</v>
      </c>
      <c r="Z9116" s="21">
        <v>2000032787168</v>
      </c>
    </row>
    <row r="9117" spans="1:26" ht="12" customHeight="1" outlineLevel="4" x14ac:dyDescent="0.2">
      <c r="A9117" s="14" t="s">
        <v>17372</v>
      </c>
      <c r="B9117" s="26" t="s">
        <v>17373</v>
      </c>
      <c r="C9117" s="52"/>
      <c r="D9117" s="55">
        <f t="shared" si="142"/>
        <v>0</v>
      </c>
      <c r="E9117" s="63" t="str">
        <f>HYPERLINK("https://www.sds-group.ru/product/pakety-s-zamkom-zip-lock-pvd-razmer-8h12sm-35kmk-100-sht-up-rexant-09-7008/", "Инфо")</f>
        <v>Инфо</v>
      </c>
      <c r="F9117" s="16" t="s">
        <v>1001</v>
      </c>
      <c r="G9117" s="15"/>
      <c r="H9117" s="15"/>
      <c r="I9117" s="15"/>
      <c r="J9117" s="22">
        <v>1409</v>
      </c>
      <c r="K9117" s="15"/>
      <c r="L9117" s="17">
        <v>10</v>
      </c>
      <c r="M9117" s="22">
        <v>1000</v>
      </c>
      <c r="N9117" s="17">
        <v>10</v>
      </c>
      <c r="O9117" s="18">
        <v>93.27</v>
      </c>
      <c r="P9117" s="18">
        <v>76.45</v>
      </c>
      <c r="Q9117" s="18">
        <v>79.28</v>
      </c>
      <c r="R9117" s="18">
        <v>64.98</v>
      </c>
      <c r="S9117" s="18">
        <v>63.42</v>
      </c>
      <c r="T9117" s="18">
        <v>51.98</v>
      </c>
      <c r="U9117" s="16"/>
      <c r="V9117" s="16"/>
      <c r="W9117" s="16" t="s">
        <v>40</v>
      </c>
      <c r="X9117" s="19">
        <v>5.8999999999999997E-2</v>
      </c>
      <c r="Y9117" s="20">
        <v>2.4399999999999999E-4</v>
      </c>
      <c r="Z9117" s="21">
        <v>2000000015965</v>
      </c>
    </row>
    <row r="9118" spans="1:26" ht="12.95" customHeight="1" outlineLevel="3" x14ac:dyDescent="0.2">
      <c r="A9118" s="76" t="s">
        <v>17374</v>
      </c>
      <c r="B9118" s="76"/>
      <c r="C9118" s="77"/>
      <c r="D9118" s="58"/>
      <c r="E9118" s="68"/>
      <c r="F9118" s="13"/>
      <c r="G9118" s="13"/>
      <c r="H9118" s="13"/>
      <c r="I9118" s="13"/>
      <c r="J9118" s="13"/>
      <c r="K9118" s="13"/>
      <c r="L9118" s="13"/>
      <c r="M9118" s="13"/>
      <c r="N9118" s="13"/>
      <c r="O9118" s="13"/>
      <c r="P9118" s="13"/>
      <c r="Q9118" s="13"/>
      <c r="R9118" s="13"/>
      <c r="S9118" s="13"/>
      <c r="T9118" s="13"/>
      <c r="U9118" s="13"/>
      <c r="V9118" s="13"/>
      <c r="W9118" s="13"/>
      <c r="X9118" s="13"/>
      <c r="Y9118" s="13"/>
      <c r="Z9118" s="13"/>
    </row>
    <row r="9119" spans="1:26" ht="12" customHeight="1" outlineLevel="4" x14ac:dyDescent="0.2">
      <c r="A9119" s="14" t="s">
        <v>17375</v>
      </c>
      <c r="B9119" s="26" t="s">
        <v>17376</v>
      </c>
      <c r="C9119" s="52"/>
      <c r="D9119" s="55">
        <f t="shared" si="142"/>
        <v>0</v>
      </c>
      <c r="E9119" s="63" t="str">
        <f>HYPERLINK("https://www.sds-group.ru/product/provoloka-upakovochnaya-v-pvh-zelenaya-katushka-20m-rexant-09-0104-2/", "Инфо")</f>
        <v>Инфо</v>
      </c>
      <c r="F9119" s="16" t="s">
        <v>39</v>
      </c>
      <c r="G9119" s="15"/>
      <c r="H9119" s="15"/>
      <c r="I9119" s="15"/>
      <c r="J9119" s="17">
        <v>529</v>
      </c>
      <c r="K9119" s="15" t="s">
        <v>1519</v>
      </c>
      <c r="L9119" s="17">
        <v>10</v>
      </c>
      <c r="M9119" s="17">
        <v>300</v>
      </c>
      <c r="N9119" s="17">
        <v>10</v>
      </c>
      <c r="O9119" s="18">
        <v>177.88</v>
      </c>
      <c r="P9119" s="18">
        <v>145.80000000000001</v>
      </c>
      <c r="Q9119" s="18">
        <v>124.52</v>
      </c>
      <c r="R9119" s="18">
        <v>102.07</v>
      </c>
      <c r="S9119" s="18">
        <v>120.96</v>
      </c>
      <c r="T9119" s="18">
        <v>99.15</v>
      </c>
      <c r="U9119" s="16"/>
      <c r="V9119" s="16"/>
      <c r="W9119" s="16"/>
      <c r="X9119" s="19">
        <v>5.7000000000000002E-2</v>
      </c>
      <c r="Y9119" s="20">
        <v>1.6899999999999999E-4</v>
      </c>
      <c r="Z9119" s="21">
        <v>4601004138865</v>
      </c>
    </row>
    <row r="9120" spans="1:26" ht="12" customHeight="1" outlineLevel="4" x14ac:dyDescent="0.2">
      <c r="A9120" s="14" t="s">
        <v>17377</v>
      </c>
      <c r="B9120" s="26" t="s">
        <v>17378</v>
      </c>
      <c r="C9120" s="52"/>
      <c r="D9120" s="55">
        <f t="shared" si="142"/>
        <v>0</v>
      </c>
      <c r="E9120" s="63" t="str">
        <f>HYPERLINK("https://www.sds-group.ru/product/provoloka-upakovochnaya-v-pvh-prozrachnaya-buhta-250m-rexant-09-0103/", "Инфо")</f>
        <v>Инфо</v>
      </c>
      <c r="F9120" s="16" t="s">
        <v>39</v>
      </c>
      <c r="G9120" s="15"/>
      <c r="H9120" s="15"/>
      <c r="I9120" s="15"/>
      <c r="J9120" s="17">
        <v>179</v>
      </c>
      <c r="K9120" s="15" t="s">
        <v>925</v>
      </c>
      <c r="L9120" s="17">
        <v>1</v>
      </c>
      <c r="M9120" s="17">
        <v>20</v>
      </c>
      <c r="N9120" s="17">
        <v>1</v>
      </c>
      <c r="O9120" s="18">
        <v>970.22</v>
      </c>
      <c r="P9120" s="18">
        <v>795.26</v>
      </c>
      <c r="Q9120" s="18">
        <v>766.47</v>
      </c>
      <c r="R9120" s="18">
        <v>628.25</v>
      </c>
      <c r="S9120" s="18">
        <v>659.75</v>
      </c>
      <c r="T9120" s="18">
        <v>540.78</v>
      </c>
      <c r="U9120" s="16"/>
      <c r="V9120" s="16"/>
      <c r="W9120" s="16" t="s">
        <v>40</v>
      </c>
      <c r="X9120" s="19">
        <v>0.64200000000000002</v>
      </c>
      <c r="Y9120" s="20">
        <v>1.1000000000000001E-3</v>
      </c>
      <c r="Z9120" s="21">
        <v>4601004001329</v>
      </c>
    </row>
    <row r="9121" spans="1:26" ht="12" customHeight="1" outlineLevel="4" x14ac:dyDescent="0.2">
      <c r="A9121" s="14" t="s">
        <v>17379</v>
      </c>
      <c r="B9121" s="26" t="s">
        <v>17380</v>
      </c>
      <c r="C9121" s="52"/>
      <c r="D9121" s="55">
        <f t="shared" si="142"/>
        <v>0</v>
      </c>
      <c r="E9121" s="63" t="str">
        <f>HYPERLINK("https://www.sds-group.ru/product/provoloka-upakovochnaya-v-pvh-chernaya-buhta-250m-rexant-09-0102/", "Инфо")</f>
        <v>Инфо</v>
      </c>
      <c r="F9121" s="16" t="s">
        <v>39</v>
      </c>
      <c r="G9121" s="15"/>
      <c r="H9121" s="15"/>
      <c r="I9121" s="15"/>
      <c r="J9121" s="16" t="s">
        <v>100</v>
      </c>
      <c r="K9121" s="15" t="s">
        <v>925</v>
      </c>
      <c r="L9121" s="17">
        <v>1</v>
      </c>
      <c r="M9121" s="17">
        <v>20</v>
      </c>
      <c r="N9121" s="17">
        <v>1</v>
      </c>
      <c r="O9121" s="18">
        <v>959.44</v>
      </c>
      <c r="P9121" s="18">
        <v>786.43</v>
      </c>
      <c r="Q9121" s="18">
        <v>757.96</v>
      </c>
      <c r="R9121" s="18">
        <v>621.28</v>
      </c>
      <c r="S9121" s="18">
        <v>652.41999999999996</v>
      </c>
      <c r="T9121" s="18">
        <v>534.77</v>
      </c>
      <c r="U9121" s="16"/>
      <c r="V9121" s="16"/>
      <c r="W9121" s="16" t="s">
        <v>40</v>
      </c>
      <c r="X9121" s="19">
        <v>0.68100000000000005</v>
      </c>
      <c r="Y9121" s="20">
        <v>9.8400000000000007E-4</v>
      </c>
      <c r="Z9121" s="21">
        <v>4601004001312</v>
      </c>
    </row>
    <row r="9122" spans="1:26" ht="12.95" customHeight="1" outlineLevel="3" x14ac:dyDescent="0.2">
      <c r="A9122" s="76" t="s">
        <v>17381</v>
      </c>
      <c r="B9122" s="76"/>
      <c r="C9122" s="77"/>
      <c r="D9122" s="58"/>
      <c r="E9122" s="68"/>
      <c r="F9122" s="13"/>
      <c r="G9122" s="13"/>
      <c r="H9122" s="13"/>
      <c r="I9122" s="13"/>
      <c r="J9122" s="13"/>
      <c r="K9122" s="13"/>
      <c r="L9122" s="13"/>
      <c r="M9122" s="13"/>
      <c r="N9122" s="13"/>
      <c r="O9122" s="13"/>
      <c r="P9122" s="13"/>
      <c r="Q9122" s="13"/>
      <c r="R9122" s="13"/>
      <c r="S9122" s="13"/>
      <c r="T9122" s="13"/>
      <c r="U9122" s="13"/>
      <c r="V9122" s="13"/>
      <c r="W9122" s="13"/>
      <c r="X9122" s="13"/>
      <c r="Y9122" s="13"/>
      <c r="Z9122" s="13"/>
    </row>
    <row r="9123" spans="1:26" ht="12" customHeight="1" outlineLevel="4" x14ac:dyDescent="0.2">
      <c r="A9123" s="14" t="s">
        <v>17382</v>
      </c>
      <c r="B9123" s="26" t="s">
        <v>17383</v>
      </c>
      <c r="C9123" s="52"/>
      <c r="D9123" s="55">
        <f t="shared" si="142"/>
        <v>0</v>
      </c>
      <c r="E9123" s="63" t="str">
        <f>HYPERLINK("https://www.sds-group.ru/product/armirovannaya-kleykaya-lenta-rexant-48-mm-seraya-rulon-40-m-09-4310/", "Инфо")</f>
        <v>Инфо</v>
      </c>
      <c r="F9123" s="16" t="s">
        <v>39</v>
      </c>
      <c r="G9123" s="15"/>
      <c r="H9123" s="15"/>
      <c r="I9123" s="15"/>
      <c r="J9123" s="16" t="s">
        <v>100</v>
      </c>
      <c r="K9123" s="15" t="s">
        <v>4863</v>
      </c>
      <c r="L9123" s="17">
        <v>6</v>
      </c>
      <c r="M9123" s="17">
        <v>24</v>
      </c>
      <c r="N9123" s="17">
        <v>6</v>
      </c>
      <c r="O9123" s="18">
        <v>485.11</v>
      </c>
      <c r="P9123" s="18">
        <v>397.63</v>
      </c>
      <c r="Q9123" s="18">
        <v>388.09</v>
      </c>
      <c r="R9123" s="18">
        <v>318.11</v>
      </c>
      <c r="S9123" s="18">
        <v>329.87</v>
      </c>
      <c r="T9123" s="18">
        <v>270.39</v>
      </c>
      <c r="U9123" s="16"/>
      <c r="V9123" s="16"/>
      <c r="W9123" s="16" t="s">
        <v>40</v>
      </c>
      <c r="X9123" s="19">
        <v>0.40100000000000002</v>
      </c>
      <c r="Y9123" s="20">
        <v>9.7999999999999997E-4</v>
      </c>
      <c r="Z9123" s="21">
        <v>4601004040076</v>
      </c>
    </row>
    <row r="9124" spans="1:26" ht="12" customHeight="1" outlineLevel="4" x14ac:dyDescent="0.2">
      <c r="A9124" s="14" t="s">
        <v>17384</v>
      </c>
      <c r="B9124" s="26" t="s">
        <v>17385</v>
      </c>
      <c r="C9124" s="52"/>
      <c r="D9124" s="55">
        <f t="shared" si="142"/>
        <v>0</v>
      </c>
      <c r="E9124" s="63" t="str">
        <f>HYPERLINK("https://www.sds-group.ru/product/skotch-upakovochnyy-rexant-48-mm-h-50-mkm-korichnevyy-rulon-150-m-09-4214/", "Инфо")</f>
        <v>Инфо</v>
      </c>
      <c r="F9124" s="16" t="s">
        <v>39</v>
      </c>
      <c r="G9124" s="15"/>
      <c r="H9124" s="15"/>
      <c r="I9124" s="15"/>
      <c r="J9124" s="22">
        <v>1596</v>
      </c>
      <c r="K9124" s="15"/>
      <c r="L9124" s="17">
        <v>6</v>
      </c>
      <c r="M9124" s="17">
        <v>36</v>
      </c>
      <c r="N9124" s="17">
        <v>6</v>
      </c>
      <c r="O9124" s="18">
        <v>264.43</v>
      </c>
      <c r="P9124" s="18">
        <v>216.75</v>
      </c>
      <c r="Q9124" s="18">
        <v>224.77</v>
      </c>
      <c r="R9124" s="18">
        <v>184.24</v>
      </c>
      <c r="S9124" s="18">
        <v>179.81</v>
      </c>
      <c r="T9124" s="18">
        <v>147.38999999999999</v>
      </c>
      <c r="U9124" s="16"/>
      <c r="V9124" s="16"/>
      <c r="W9124" s="16" t="s">
        <v>40</v>
      </c>
      <c r="X9124" s="19">
        <v>0.27600000000000002</v>
      </c>
      <c r="Y9124" s="20">
        <v>7.3200000000000001E-4</v>
      </c>
      <c r="Z9124" s="21">
        <v>4601004031876</v>
      </c>
    </row>
    <row r="9125" spans="1:26" ht="12" customHeight="1" outlineLevel="4" x14ac:dyDescent="0.2">
      <c r="A9125" s="14" t="s">
        <v>17386</v>
      </c>
      <c r="B9125" s="26" t="s">
        <v>17387</v>
      </c>
      <c r="C9125" s="52"/>
      <c r="D9125" s="55">
        <f t="shared" si="142"/>
        <v>0</v>
      </c>
      <c r="E9125" s="63" t="str">
        <f>HYPERLINK("https://www.sds-group.ru/product/skotch-upakovochnyy-rexant-48-mm-h-50-mkm-korichnevyy-rulon-66-m-09-4212/", "Инфо")</f>
        <v>Инфо</v>
      </c>
      <c r="F9125" s="16" t="s">
        <v>39</v>
      </c>
      <c r="G9125" s="15"/>
      <c r="H9125" s="15"/>
      <c r="I9125" s="15"/>
      <c r="J9125" s="16" t="s">
        <v>100</v>
      </c>
      <c r="K9125" s="15"/>
      <c r="L9125" s="17">
        <v>6</v>
      </c>
      <c r="M9125" s="17">
        <v>72</v>
      </c>
      <c r="N9125" s="17">
        <v>6</v>
      </c>
      <c r="O9125" s="18">
        <v>130.96</v>
      </c>
      <c r="P9125" s="18">
        <v>107.34</v>
      </c>
      <c r="Q9125" s="18">
        <v>111.32</v>
      </c>
      <c r="R9125" s="18">
        <v>91.25</v>
      </c>
      <c r="S9125" s="18">
        <v>89.05</v>
      </c>
      <c r="T9125" s="18">
        <v>72.989999999999995</v>
      </c>
      <c r="U9125" s="16"/>
      <c r="V9125" s="16"/>
      <c r="W9125" s="16" t="s">
        <v>40</v>
      </c>
      <c r="X9125" s="19">
        <v>0.14399999999999999</v>
      </c>
      <c r="Y9125" s="20">
        <v>5.4500000000000002E-4</v>
      </c>
      <c r="Z9125" s="21">
        <v>4601004031883</v>
      </c>
    </row>
    <row r="9126" spans="1:26" ht="12" customHeight="1" outlineLevel="4" x14ac:dyDescent="0.2">
      <c r="A9126" s="14" t="s">
        <v>17388</v>
      </c>
      <c r="B9126" s="26" t="s">
        <v>17389</v>
      </c>
      <c r="C9126" s="52"/>
      <c r="D9126" s="55">
        <f t="shared" si="142"/>
        <v>0</v>
      </c>
      <c r="E9126" s="63" t="str">
        <f>HYPERLINK("https://www.sds-group.ru/product/skotch-upakovochnyy-48-mm-h-50-mkm-prozrachnyy-rulon-36-m-rexant-09-4201/", "Инфо")</f>
        <v>Инфо</v>
      </c>
      <c r="F9126" s="16" t="s">
        <v>39</v>
      </c>
      <c r="G9126" s="15"/>
      <c r="H9126" s="15"/>
      <c r="I9126" s="15"/>
      <c r="J9126" s="22">
        <v>2765</v>
      </c>
      <c r="K9126" s="15" t="s">
        <v>1408</v>
      </c>
      <c r="L9126" s="17">
        <v>6</v>
      </c>
      <c r="M9126" s="17">
        <v>72</v>
      </c>
      <c r="N9126" s="17">
        <v>6</v>
      </c>
      <c r="O9126" s="18">
        <v>75.459999999999994</v>
      </c>
      <c r="P9126" s="18">
        <v>61.85</v>
      </c>
      <c r="Q9126" s="18">
        <v>64.14</v>
      </c>
      <c r="R9126" s="18">
        <v>52.57</v>
      </c>
      <c r="S9126" s="18">
        <v>51.31</v>
      </c>
      <c r="T9126" s="18">
        <v>42.06</v>
      </c>
      <c r="U9126" s="16"/>
      <c r="V9126" s="16"/>
      <c r="W9126" s="16" t="s">
        <v>40</v>
      </c>
      <c r="X9126" s="19">
        <v>0.14499999999999999</v>
      </c>
      <c r="Y9126" s="20">
        <v>2.9500000000000001E-4</v>
      </c>
      <c r="Z9126" s="21">
        <v>4601004031852</v>
      </c>
    </row>
    <row r="9127" spans="1:26" ht="12" customHeight="1" outlineLevel="4" x14ac:dyDescent="0.2">
      <c r="A9127" s="14" t="s">
        <v>17390</v>
      </c>
      <c r="B9127" s="26" t="s">
        <v>17391</v>
      </c>
      <c r="C9127" s="52"/>
      <c r="D9127" s="55">
        <f t="shared" si="142"/>
        <v>0</v>
      </c>
      <c r="E9127" s="63" t="str">
        <f>HYPERLINK("https://www.sds-group.ru/product/skotch-upakovochnyy-rexant-48-mm-h-50-mkm-prozrachnyy-rulon-66-m-09-4202/", "Инфо")</f>
        <v>Инфо</v>
      </c>
      <c r="F9127" s="16" t="s">
        <v>39</v>
      </c>
      <c r="G9127" s="15"/>
      <c r="H9127" s="15"/>
      <c r="I9127" s="15"/>
      <c r="J9127" s="22">
        <v>7878</v>
      </c>
      <c r="K9127" s="15"/>
      <c r="L9127" s="17">
        <v>6</v>
      </c>
      <c r="M9127" s="17">
        <v>72</v>
      </c>
      <c r="N9127" s="17">
        <v>6</v>
      </c>
      <c r="O9127" s="18">
        <v>130.96</v>
      </c>
      <c r="P9127" s="18">
        <v>107.34</v>
      </c>
      <c r="Q9127" s="18">
        <v>111.32</v>
      </c>
      <c r="R9127" s="18">
        <v>91.25</v>
      </c>
      <c r="S9127" s="18">
        <v>89.05</v>
      </c>
      <c r="T9127" s="18">
        <v>72.989999999999995</v>
      </c>
      <c r="U9127" s="16"/>
      <c r="V9127" s="16"/>
      <c r="W9127" s="16" t="s">
        <v>40</v>
      </c>
      <c r="X9127" s="19">
        <v>0.14299999999999999</v>
      </c>
      <c r="Y9127" s="20">
        <v>4.86E-4</v>
      </c>
      <c r="Z9127" s="21">
        <v>4601004031845</v>
      </c>
    </row>
    <row r="9128" spans="1:26" ht="12" customHeight="1" outlineLevel="4" x14ac:dyDescent="0.2">
      <c r="A9128" s="14" t="s">
        <v>17392</v>
      </c>
      <c r="B9128" s="26" t="s">
        <v>17393</v>
      </c>
      <c r="C9128" s="52"/>
      <c r="D9128" s="55">
        <f t="shared" si="142"/>
        <v>0</v>
      </c>
      <c r="E9128" s="63" t="str">
        <f>HYPERLINK("https://www.sds-group.ru/product/skotch-upakovochnyy-48mm-h-50mkm-prozrachnyy-rulon-150m-rexant-09-4204/", "Инфо")</f>
        <v>Инфо</v>
      </c>
      <c r="F9128" s="16" t="s">
        <v>39</v>
      </c>
      <c r="G9128" s="15"/>
      <c r="H9128" s="15"/>
      <c r="I9128" s="15"/>
      <c r="J9128" s="22">
        <v>4278</v>
      </c>
      <c r="K9128" s="15" t="s">
        <v>1408</v>
      </c>
      <c r="L9128" s="17">
        <v>6</v>
      </c>
      <c r="M9128" s="17">
        <v>36</v>
      </c>
      <c r="N9128" s="17">
        <v>6</v>
      </c>
      <c r="O9128" s="18">
        <v>264.43</v>
      </c>
      <c r="P9128" s="18">
        <v>216.75</v>
      </c>
      <c r="Q9128" s="18">
        <v>224.77</v>
      </c>
      <c r="R9128" s="18">
        <v>184.24</v>
      </c>
      <c r="S9128" s="18">
        <v>179.81</v>
      </c>
      <c r="T9128" s="18">
        <v>147.38999999999999</v>
      </c>
      <c r="U9128" s="16"/>
      <c r="V9128" s="16"/>
      <c r="W9128" s="16" t="s">
        <v>40</v>
      </c>
      <c r="X9128" s="19">
        <v>0.28199999999999997</v>
      </c>
      <c r="Y9128" s="20">
        <v>8.0800000000000002E-4</v>
      </c>
      <c r="Z9128" s="21">
        <v>4601004031869</v>
      </c>
    </row>
    <row r="9129" spans="1:26" ht="12.95" customHeight="1" outlineLevel="3" x14ac:dyDescent="0.2">
      <c r="A9129" s="76" t="s">
        <v>17394</v>
      </c>
      <c r="B9129" s="76"/>
      <c r="C9129" s="77"/>
      <c r="D9129" s="58"/>
      <c r="E9129" s="68"/>
      <c r="F9129" s="13"/>
      <c r="G9129" s="13"/>
      <c r="H9129" s="13"/>
      <c r="I9129" s="13"/>
      <c r="J9129" s="13"/>
      <c r="K9129" s="13"/>
      <c r="L9129" s="13"/>
      <c r="M9129" s="13"/>
      <c r="N9129" s="13"/>
      <c r="O9129" s="13"/>
      <c r="P9129" s="13"/>
      <c r="Q9129" s="13"/>
      <c r="R9129" s="13"/>
      <c r="S9129" s="13"/>
      <c r="T9129" s="13"/>
      <c r="U9129" s="13"/>
      <c r="V9129" s="13"/>
      <c r="W9129" s="13"/>
      <c r="X9129" s="13"/>
      <c r="Y9129" s="13"/>
      <c r="Z9129" s="13"/>
    </row>
    <row r="9130" spans="1:26" ht="12" customHeight="1" outlineLevel="4" x14ac:dyDescent="0.2">
      <c r="A9130" s="14" t="s">
        <v>17395</v>
      </c>
      <c r="B9130" s="26" t="s">
        <v>17396</v>
      </c>
      <c r="C9130" s="52"/>
      <c r="D9130" s="55">
        <f t="shared" si="142"/>
        <v>0</v>
      </c>
      <c r="E9130" s="63" t="str">
        <f>HYPERLINK("https://www.sds-group.ru/product/dvuhstoronniy-skotch-akrilovaya-hba-osnova-seryy-12mm-rolik-5m-rexant-09-6012/", "Инфо")</f>
        <v>Инфо</v>
      </c>
      <c r="F9130" s="16" t="s">
        <v>39</v>
      </c>
      <c r="G9130" s="15"/>
      <c r="H9130" s="15"/>
      <c r="I9130" s="15"/>
      <c r="J9130" s="22">
        <v>1135</v>
      </c>
      <c r="K9130" s="15" t="s">
        <v>1004</v>
      </c>
      <c r="L9130" s="17">
        <v>5</v>
      </c>
      <c r="M9130" s="17">
        <v>207</v>
      </c>
      <c r="N9130" s="17">
        <v>5</v>
      </c>
      <c r="O9130" s="18">
        <v>183.26</v>
      </c>
      <c r="P9130" s="18">
        <v>150.21</v>
      </c>
      <c r="Q9130" s="18">
        <v>155.77000000000001</v>
      </c>
      <c r="R9130" s="18">
        <v>127.68</v>
      </c>
      <c r="S9130" s="18">
        <v>124.62</v>
      </c>
      <c r="T9130" s="18">
        <v>102.15</v>
      </c>
      <c r="U9130" s="16"/>
      <c r="V9130" s="16"/>
      <c r="W9130" s="16" t="s">
        <v>40</v>
      </c>
      <c r="X9130" s="19">
        <v>6.2E-2</v>
      </c>
      <c r="Y9130" s="20">
        <v>3.4200000000000002E-4</v>
      </c>
      <c r="Z9130" s="21">
        <v>4601004002623</v>
      </c>
    </row>
    <row r="9131" spans="1:26" ht="12" customHeight="1" outlineLevel="4" x14ac:dyDescent="0.2">
      <c r="A9131" s="14" t="s">
        <v>17397</v>
      </c>
      <c r="B9131" s="26" t="s">
        <v>17398</v>
      </c>
      <c r="C9131" s="52"/>
      <c r="D9131" s="55">
        <f t="shared" si="142"/>
        <v>0</v>
      </c>
      <c r="E9131" s="63" t="str">
        <f>HYPERLINK("https://www.sds-group.ru/product/dvuhstoronniy-skotch-akrilovaya-hba-osnova-seryy-20mm-rolik-5m-rexant-09-6020/", "Инфо")</f>
        <v>Инфо</v>
      </c>
      <c r="F9131" s="16" t="s">
        <v>39</v>
      </c>
      <c r="G9131" s="15"/>
      <c r="H9131" s="15"/>
      <c r="I9131" s="15"/>
      <c r="J9131" s="16" t="s">
        <v>100</v>
      </c>
      <c r="K9131" s="15" t="s">
        <v>1587</v>
      </c>
      <c r="L9131" s="17">
        <v>5</v>
      </c>
      <c r="M9131" s="17">
        <v>135</v>
      </c>
      <c r="N9131" s="17">
        <v>5</v>
      </c>
      <c r="O9131" s="18">
        <v>260.88</v>
      </c>
      <c r="P9131" s="18">
        <v>213.84</v>
      </c>
      <c r="Q9131" s="18">
        <v>221.75</v>
      </c>
      <c r="R9131" s="18">
        <v>181.76</v>
      </c>
      <c r="S9131" s="18">
        <v>177.4</v>
      </c>
      <c r="T9131" s="18">
        <v>145.41</v>
      </c>
      <c r="U9131" s="16"/>
      <c r="V9131" s="16"/>
      <c r="W9131" s="16" t="s">
        <v>40</v>
      </c>
      <c r="X9131" s="19">
        <v>9.7000000000000003E-2</v>
      </c>
      <c r="Y9131" s="20">
        <v>5.6599999999999999E-4</v>
      </c>
      <c r="Z9131" s="21">
        <v>4601004002630</v>
      </c>
    </row>
    <row r="9132" spans="1:26" ht="12" customHeight="1" outlineLevel="4" x14ac:dyDescent="0.2">
      <c r="A9132" s="14" t="s">
        <v>17399</v>
      </c>
      <c r="B9132" s="26" t="s">
        <v>17400</v>
      </c>
      <c r="C9132" s="52"/>
      <c r="D9132" s="55">
        <f t="shared" si="142"/>
        <v>0</v>
      </c>
      <c r="E9132" s="63" t="str">
        <f>HYPERLINK("https://www.sds-group.ru/product/dvuhstoronniy-skotch-akrilovaya-hba-osnova-seryy-6mm-rolik-5m-rexant-09-6006/", "Инфо")</f>
        <v>Инфо</v>
      </c>
      <c r="F9132" s="16" t="s">
        <v>39</v>
      </c>
      <c r="G9132" s="15"/>
      <c r="H9132" s="15"/>
      <c r="I9132" s="15"/>
      <c r="J9132" s="22">
        <v>11740</v>
      </c>
      <c r="K9132" s="15" t="s">
        <v>1587</v>
      </c>
      <c r="L9132" s="17">
        <v>5</v>
      </c>
      <c r="M9132" s="17">
        <v>240</v>
      </c>
      <c r="N9132" s="17">
        <v>5</v>
      </c>
      <c r="O9132" s="18">
        <v>118.58</v>
      </c>
      <c r="P9132" s="18">
        <v>97.2</v>
      </c>
      <c r="Q9132" s="18">
        <v>100.79</v>
      </c>
      <c r="R9132" s="18">
        <v>82.61</v>
      </c>
      <c r="S9132" s="18">
        <v>80.63</v>
      </c>
      <c r="T9132" s="18">
        <v>66.09</v>
      </c>
      <c r="U9132" s="16"/>
      <c r="V9132" s="16"/>
      <c r="W9132" s="16" t="s">
        <v>40</v>
      </c>
      <c r="X9132" s="19">
        <v>3.5000000000000003E-2</v>
      </c>
      <c r="Y9132" s="20">
        <v>1.64E-4</v>
      </c>
      <c r="Z9132" s="21">
        <v>4601004002647</v>
      </c>
    </row>
    <row r="9133" spans="1:26" ht="12" customHeight="1" outlineLevel="4" x14ac:dyDescent="0.2">
      <c r="A9133" s="14" t="s">
        <v>17401</v>
      </c>
      <c r="B9133" s="26" t="s">
        <v>17402</v>
      </c>
      <c r="C9133" s="52"/>
      <c r="D9133" s="55">
        <f t="shared" si="142"/>
        <v>0</v>
      </c>
      <c r="E9133" s="63" t="str">
        <f>HYPERLINK("https://www.sds-group.ru/product/dvuhstoronniy-skotch-akrilovaya-hba-osnova-seryy-9mm-rolik-5m-rexant-09-6009/", "Инфо")</f>
        <v>Инфо</v>
      </c>
      <c r="F9133" s="16" t="s">
        <v>39</v>
      </c>
      <c r="G9133" s="15"/>
      <c r="H9133" s="15"/>
      <c r="I9133" s="15"/>
      <c r="J9133" s="22">
        <v>1447</v>
      </c>
      <c r="K9133" s="15" t="s">
        <v>1004</v>
      </c>
      <c r="L9133" s="17">
        <v>5</v>
      </c>
      <c r="M9133" s="17">
        <v>270</v>
      </c>
      <c r="N9133" s="17">
        <v>5</v>
      </c>
      <c r="O9133" s="18">
        <v>154.16</v>
      </c>
      <c r="P9133" s="18">
        <v>126.36</v>
      </c>
      <c r="Q9133" s="18">
        <v>131.04</v>
      </c>
      <c r="R9133" s="18">
        <v>107.41</v>
      </c>
      <c r="S9133" s="18">
        <v>104.83</v>
      </c>
      <c r="T9133" s="18">
        <v>85.93</v>
      </c>
      <c r="U9133" s="16"/>
      <c r="V9133" s="16"/>
      <c r="W9133" s="16" t="s">
        <v>40</v>
      </c>
      <c r="X9133" s="19">
        <v>4.7E-2</v>
      </c>
      <c r="Y9133" s="20">
        <v>2.5700000000000001E-4</v>
      </c>
      <c r="Z9133" s="21">
        <v>4601004002654</v>
      </c>
    </row>
    <row r="9134" spans="1:26" ht="12" customHeight="1" outlineLevel="4" x14ac:dyDescent="0.2">
      <c r="A9134" s="14" t="s">
        <v>17403</v>
      </c>
      <c r="B9134" s="26" t="s">
        <v>17404</v>
      </c>
      <c r="C9134" s="52"/>
      <c r="D9134" s="55">
        <f t="shared" si="142"/>
        <v>0</v>
      </c>
      <c r="E9134" s="63" t="str">
        <f>HYPERLINK("https://www.sds-group.ru/product/dvuhstoronniy-skotch-akrilovaya-osnova-prozrachnyy-12mm-rolik-5m-rexant-09-6512/", "Инфо")</f>
        <v>Инфо</v>
      </c>
      <c r="F9134" s="16" t="s">
        <v>39</v>
      </c>
      <c r="G9134" s="15"/>
      <c r="H9134" s="15"/>
      <c r="I9134" s="15"/>
      <c r="J9134" s="16" t="s">
        <v>100</v>
      </c>
      <c r="K9134" s="15" t="s">
        <v>1587</v>
      </c>
      <c r="L9134" s="17">
        <v>5</v>
      </c>
      <c r="M9134" s="17">
        <v>120</v>
      </c>
      <c r="N9134" s="17">
        <v>5</v>
      </c>
      <c r="O9134" s="18">
        <v>215.6</v>
      </c>
      <c r="P9134" s="18">
        <v>176.72</v>
      </c>
      <c r="Q9134" s="18">
        <v>150.91999999999999</v>
      </c>
      <c r="R9134" s="18">
        <v>123.7</v>
      </c>
      <c r="S9134" s="18">
        <v>146.61000000000001</v>
      </c>
      <c r="T9134" s="18">
        <v>120.17</v>
      </c>
      <c r="U9134" s="16"/>
      <c r="V9134" s="16"/>
      <c r="W9134" s="16"/>
      <c r="X9134" s="19">
        <v>0.08</v>
      </c>
      <c r="Y9134" s="20">
        <v>2.7300000000000002E-4</v>
      </c>
      <c r="Z9134" s="21">
        <v>4601004022324</v>
      </c>
    </row>
    <row r="9135" spans="1:26" ht="12" customHeight="1" outlineLevel="4" x14ac:dyDescent="0.2">
      <c r="A9135" s="14" t="s">
        <v>17405</v>
      </c>
      <c r="B9135" s="26" t="s">
        <v>17406</v>
      </c>
      <c r="C9135" s="52"/>
      <c r="D9135" s="55">
        <f t="shared" si="142"/>
        <v>0</v>
      </c>
      <c r="E9135" s="63" t="str">
        <f>HYPERLINK("https://www.sds-group.ru/product/dvuhstoronniy-skotch-akrilovaya-osnova-prozrachnyy-20mm-rolik-5m-rexant-09-6520/", "Инфо")</f>
        <v>Инфо</v>
      </c>
      <c r="F9135" s="16" t="s">
        <v>39</v>
      </c>
      <c r="G9135" s="15"/>
      <c r="H9135" s="15"/>
      <c r="I9135" s="15"/>
      <c r="J9135" s="16" t="s">
        <v>100</v>
      </c>
      <c r="K9135" s="15" t="s">
        <v>1587</v>
      </c>
      <c r="L9135" s="17">
        <v>5</v>
      </c>
      <c r="M9135" s="17">
        <v>60</v>
      </c>
      <c r="N9135" s="17">
        <v>5</v>
      </c>
      <c r="O9135" s="18">
        <v>301.85000000000002</v>
      </c>
      <c r="P9135" s="18">
        <v>247.42</v>
      </c>
      <c r="Q9135" s="18">
        <v>211.3</v>
      </c>
      <c r="R9135" s="18">
        <v>173.2</v>
      </c>
      <c r="S9135" s="18">
        <v>205.26</v>
      </c>
      <c r="T9135" s="18">
        <v>168.25</v>
      </c>
      <c r="U9135" s="16"/>
      <c r="V9135" s="16"/>
      <c r="W9135" s="16"/>
      <c r="X9135" s="19">
        <v>0.13500000000000001</v>
      </c>
      <c r="Y9135" s="20">
        <v>4.66E-4</v>
      </c>
      <c r="Z9135" s="21">
        <v>4601004022331</v>
      </c>
    </row>
    <row r="9136" spans="1:26" ht="12" customHeight="1" outlineLevel="4" x14ac:dyDescent="0.2">
      <c r="A9136" s="14" t="s">
        <v>17407</v>
      </c>
      <c r="B9136" s="26" t="s">
        <v>17408</v>
      </c>
      <c r="C9136" s="52"/>
      <c r="D9136" s="55">
        <f t="shared" si="142"/>
        <v>0</v>
      </c>
      <c r="E9136" s="63" t="str">
        <f>HYPERLINK("https://www.sds-group.ru/product/dvuhstoronniy-skotch-akrilovaya-osnova-prozrachnyy-9mm-rolik-5m-rexant-09-6509/", "Инфо")</f>
        <v>Инфо</v>
      </c>
      <c r="F9136" s="16" t="s">
        <v>39</v>
      </c>
      <c r="G9136" s="15"/>
      <c r="H9136" s="15"/>
      <c r="I9136" s="15"/>
      <c r="J9136" s="22">
        <v>10273</v>
      </c>
      <c r="K9136" s="15" t="s">
        <v>1587</v>
      </c>
      <c r="L9136" s="17">
        <v>5</v>
      </c>
      <c r="M9136" s="17">
        <v>180</v>
      </c>
      <c r="N9136" s="17">
        <v>5</v>
      </c>
      <c r="O9136" s="18">
        <v>172.48</v>
      </c>
      <c r="P9136" s="18">
        <v>141.38</v>
      </c>
      <c r="Q9136" s="18">
        <v>120.74</v>
      </c>
      <c r="R9136" s="18">
        <v>98.97</v>
      </c>
      <c r="S9136" s="18">
        <v>117.29</v>
      </c>
      <c r="T9136" s="18">
        <v>96.14</v>
      </c>
      <c r="U9136" s="16"/>
      <c r="V9136" s="16"/>
      <c r="W9136" s="16"/>
      <c r="X9136" s="19">
        <v>6.4000000000000001E-2</v>
      </c>
      <c r="Y9136" s="20">
        <v>2.5999999999999998E-4</v>
      </c>
      <c r="Z9136" s="21">
        <v>4601004022317</v>
      </c>
    </row>
    <row r="9137" spans="1:26" ht="12" customHeight="1" outlineLevel="4" x14ac:dyDescent="0.2">
      <c r="A9137" s="14" t="s">
        <v>17409</v>
      </c>
      <c r="B9137" s="26" t="s">
        <v>17410</v>
      </c>
      <c r="C9137" s="52"/>
      <c r="D9137" s="55">
        <f t="shared" si="142"/>
        <v>0</v>
      </c>
      <c r="E9137" s="63" t="str">
        <f>HYPERLINK("https://www.sds-group.ru/product/dvuhstoronniy-skotch-vspenennaya-eva-osnova-chernyy-25mm-rolik-5m-rexant-09-6125/", "Инфо")</f>
        <v>Инфо</v>
      </c>
      <c r="F9137" s="16" t="s">
        <v>39</v>
      </c>
      <c r="G9137" s="15"/>
      <c r="H9137" s="15"/>
      <c r="I9137" s="15"/>
      <c r="J9137" s="22">
        <v>3908</v>
      </c>
      <c r="K9137" s="15" t="s">
        <v>1587</v>
      </c>
      <c r="L9137" s="17">
        <v>5</v>
      </c>
      <c r="M9137" s="17">
        <v>60</v>
      </c>
      <c r="N9137" s="17">
        <v>5</v>
      </c>
      <c r="O9137" s="18">
        <v>150.91999999999999</v>
      </c>
      <c r="P9137" s="18">
        <v>123.7</v>
      </c>
      <c r="Q9137" s="18">
        <v>128.28</v>
      </c>
      <c r="R9137" s="18">
        <v>105.15</v>
      </c>
      <c r="S9137" s="18">
        <v>102.63</v>
      </c>
      <c r="T9137" s="18">
        <v>84.12</v>
      </c>
      <c r="U9137" s="16"/>
      <c r="V9137" s="16"/>
      <c r="W9137" s="16" t="s">
        <v>40</v>
      </c>
      <c r="X9137" s="19">
        <v>6.2E-2</v>
      </c>
      <c r="Y9137" s="20">
        <v>6.0400000000000004E-4</v>
      </c>
      <c r="Z9137" s="21">
        <v>4601004002593</v>
      </c>
    </row>
    <row r="9138" spans="1:26" ht="12" customHeight="1" outlineLevel="4" x14ac:dyDescent="0.2">
      <c r="A9138" s="14" t="s">
        <v>17411</v>
      </c>
      <c r="B9138" s="26" t="s">
        <v>17412</v>
      </c>
      <c r="C9138" s="52"/>
      <c r="D9138" s="55">
        <f t="shared" si="142"/>
        <v>0</v>
      </c>
      <c r="E9138" s="63" t="str">
        <f>HYPERLINK("https://www.sds-group.ru/product/dvuhstoronniy-skotch-vspenennaya-eva-osnova-chernyy-30mm-rolik-5m-rexant-09-6130/", "Инфо")</f>
        <v>Инфо</v>
      </c>
      <c r="F9138" s="16" t="s">
        <v>39</v>
      </c>
      <c r="G9138" s="15"/>
      <c r="H9138" s="15"/>
      <c r="I9138" s="15"/>
      <c r="J9138" s="22">
        <v>3573</v>
      </c>
      <c r="K9138" s="15" t="s">
        <v>1587</v>
      </c>
      <c r="L9138" s="17">
        <v>5</v>
      </c>
      <c r="M9138" s="17">
        <v>144</v>
      </c>
      <c r="N9138" s="17">
        <v>5</v>
      </c>
      <c r="O9138" s="18">
        <v>174.64</v>
      </c>
      <c r="P9138" s="18">
        <v>143.15</v>
      </c>
      <c r="Q9138" s="18">
        <v>148.44</v>
      </c>
      <c r="R9138" s="18">
        <v>121.67</v>
      </c>
      <c r="S9138" s="18">
        <v>118.76</v>
      </c>
      <c r="T9138" s="18">
        <v>97.34</v>
      </c>
      <c r="U9138" s="16"/>
      <c r="V9138" s="16"/>
      <c r="W9138" s="16" t="s">
        <v>40</v>
      </c>
      <c r="X9138" s="19">
        <v>5.7000000000000002E-2</v>
      </c>
      <c r="Y9138" s="20">
        <v>8.4500000000000005E-4</v>
      </c>
      <c r="Z9138" s="21">
        <v>4601004002609</v>
      </c>
    </row>
    <row r="9139" spans="1:26" ht="12" customHeight="1" outlineLevel="4" x14ac:dyDescent="0.2">
      <c r="A9139" s="14" t="s">
        <v>17413</v>
      </c>
      <c r="B9139" s="26" t="s">
        <v>17414</v>
      </c>
      <c r="C9139" s="52"/>
      <c r="D9139" s="55">
        <f t="shared" si="142"/>
        <v>0</v>
      </c>
      <c r="E9139" s="63" t="str">
        <f>HYPERLINK("https://www.sds-group.ru/product/dvuhstoronniy-skotch-vspenennaya-eva-osnova-chernyy-40mm-rolik-5m-rexant-09-6140/", "Инфо")</f>
        <v>Инфо</v>
      </c>
      <c r="F9139" s="16" t="s">
        <v>39</v>
      </c>
      <c r="G9139" s="15"/>
      <c r="H9139" s="15"/>
      <c r="I9139" s="15"/>
      <c r="J9139" s="22">
        <v>4924</v>
      </c>
      <c r="K9139" s="15" t="s">
        <v>1587</v>
      </c>
      <c r="L9139" s="17">
        <v>5</v>
      </c>
      <c r="M9139" s="17">
        <v>30</v>
      </c>
      <c r="N9139" s="17">
        <v>5</v>
      </c>
      <c r="O9139" s="18">
        <v>221</v>
      </c>
      <c r="P9139" s="18">
        <v>181.15</v>
      </c>
      <c r="Q9139" s="18">
        <v>187.85</v>
      </c>
      <c r="R9139" s="18">
        <v>153.97999999999999</v>
      </c>
      <c r="S9139" s="18">
        <v>150.28</v>
      </c>
      <c r="T9139" s="18">
        <v>123.18</v>
      </c>
      <c r="U9139" s="16"/>
      <c r="V9139" s="16"/>
      <c r="W9139" s="16" t="s">
        <v>40</v>
      </c>
      <c r="X9139" s="19">
        <v>9.9000000000000005E-2</v>
      </c>
      <c r="Y9139" s="20">
        <v>9.5500000000000001E-4</v>
      </c>
      <c r="Z9139" s="21">
        <v>4601004002616</v>
      </c>
    </row>
    <row r="9140" spans="1:26" ht="12" customHeight="1" outlineLevel="4" x14ac:dyDescent="0.2">
      <c r="A9140" s="14" t="s">
        <v>17415</v>
      </c>
      <c r="B9140" s="26" t="s">
        <v>17416</v>
      </c>
      <c r="C9140" s="52"/>
      <c r="D9140" s="55">
        <f t="shared" si="142"/>
        <v>0</v>
      </c>
      <c r="E9140" s="63" t="str">
        <f>HYPERLINK("https://www.sds-group.ru/product/dvuhstoronniy-skotch-rexant-polipropilenovaya-osnova-38-mm-rolik-5-m-27991/", "Инфо")</f>
        <v>Инфо</v>
      </c>
      <c r="F9140" s="16" t="s">
        <v>39</v>
      </c>
      <c r="G9140" s="15"/>
      <c r="H9140" s="15"/>
      <c r="I9140" s="15"/>
      <c r="J9140" s="22">
        <v>2020</v>
      </c>
      <c r="K9140" s="15"/>
      <c r="L9140" s="17">
        <v>10</v>
      </c>
      <c r="M9140" s="17">
        <v>48</v>
      </c>
      <c r="N9140" s="17">
        <v>10</v>
      </c>
      <c r="O9140" s="18">
        <v>100.73</v>
      </c>
      <c r="P9140" s="18">
        <v>82.57</v>
      </c>
      <c r="Q9140" s="18">
        <v>70.510000000000005</v>
      </c>
      <c r="R9140" s="18">
        <v>57.8</v>
      </c>
      <c r="S9140" s="18">
        <v>68.5</v>
      </c>
      <c r="T9140" s="18">
        <v>56.15</v>
      </c>
      <c r="U9140" s="16"/>
      <c r="V9140" s="16"/>
      <c r="W9140" s="16"/>
      <c r="X9140" s="19">
        <v>5.2999999999999999E-2</v>
      </c>
      <c r="Y9140" s="20">
        <v>4.6099999999999998E-4</v>
      </c>
      <c r="Z9140" s="21">
        <v>4601004236660</v>
      </c>
    </row>
    <row r="9141" spans="1:26" ht="12" customHeight="1" outlineLevel="4" x14ac:dyDescent="0.2">
      <c r="A9141" s="14" t="s">
        <v>17417</v>
      </c>
      <c r="B9141" s="26" t="s">
        <v>17418</v>
      </c>
      <c r="C9141" s="52"/>
      <c r="D9141" s="55">
        <f t="shared" si="142"/>
        <v>0</v>
      </c>
      <c r="E9141" s="63" t="str">
        <f>HYPERLINK("https://www.sds-group.ru/product/dvuhstoronniy-skotch-rexant-polipropilenovaya-osnova-48-mm-rolik-5-m-27992/", "Инфо")</f>
        <v>Инфо</v>
      </c>
      <c r="F9141" s="16" t="s">
        <v>39</v>
      </c>
      <c r="G9141" s="15"/>
      <c r="H9141" s="15"/>
      <c r="I9141" s="15"/>
      <c r="J9141" s="22">
        <v>2263</v>
      </c>
      <c r="K9141" s="15"/>
      <c r="L9141" s="17">
        <v>10</v>
      </c>
      <c r="M9141" s="17">
        <v>36</v>
      </c>
      <c r="N9141" s="17">
        <v>10</v>
      </c>
      <c r="O9141" s="18">
        <v>119.62</v>
      </c>
      <c r="P9141" s="18">
        <v>98.05</v>
      </c>
      <c r="Q9141" s="18">
        <v>101.68</v>
      </c>
      <c r="R9141" s="18">
        <v>83.34</v>
      </c>
      <c r="S9141" s="18">
        <v>81.34</v>
      </c>
      <c r="T9141" s="18">
        <v>66.67</v>
      </c>
      <c r="U9141" s="16"/>
      <c r="V9141" s="16"/>
      <c r="W9141" s="16" t="s">
        <v>40</v>
      </c>
      <c r="X9141" s="19">
        <v>6.6000000000000003E-2</v>
      </c>
      <c r="Y9141" s="20">
        <v>6.0300000000000002E-4</v>
      </c>
      <c r="Z9141" s="21">
        <v>4601004236639</v>
      </c>
    </row>
    <row r="9142" spans="1:26" ht="12" customHeight="1" outlineLevel="4" x14ac:dyDescent="0.2">
      <c r="A9142" s="14" t="s">
        <v>17419</v>
      </c>
      <c r="B9142" s="26" t="s">
        <v>17420</v>
      </c>
      <c r="C9142" s="52"/>
      <c r="D9142" s="55">
        <f t="shared" si="142"/>
        <v>0</v>
      </c>
      <c r="E9142" s="63" t="str">
        <f>HYPERLINK("https://www.sds-group.ru/product/lenta-kleykaya-dvuhstoronnyaya-prozrachnaya-na-vhb-akrilovoy-osnove-10-mm-h-5-m-rexant-09-6057/", "Инфо")</f>
        <v>Инфо</v>
      </c>
      <c r="F9142" s="16" t="s">
        <v>39</v>
      </c>
      <c r="G9142" s="15"/>
      <c r="H9142" s="15"/>
      <c r="I9142" s="15"/>
      <c r="J9142" s="16" t="s">
        <v>100</v>
      </c>
      <c r="K9142" s="15" t="s">
        <v>4020</v>
      </c>
      <c r="L9142" s="17">
        <v>5</v>
      </c>
      <c r="M9142" s="17">
        <v>168</v>
      </c>
      <c r="N9142" s="17">
        <v>5</v>
      </c>
      <c r="O9142" s="18">
        <v>226.38</v>
      </c>
      <c r="P9142" s="18">
        <v>185.56</v>
      </c>
      <c r="Q9142" s="18">
        <v>192.42</v>
      </c>
      <c r="R9142" s="18">
        <v>157.72</v>
      </c>
      <c r="S9142" s="18">
        <v>153.94</v>
      </c>
      <c r="T9142" s="18">
        <v>126.18</v>
      </c>
      <c r="U9142" s="16"/>
      <c r="V9142" s="16"/>
      <c r="W9142" s="16" t="s">
        <v>40</v>
      </c>
      <c r="X9142" s="19">
        <v>0.08</v>
      </c>
      <c r="Y9142" s="20">
        <v>2.31E-4</v>
      </c>
      <c r="Z9142" s="21">
        <v>4601004301153</v>
      </c>
    </row>
    <row r="9143" spans="1:26" ht="12" customHeight="1" outlineLevel="4" x14ac:dyDescent="0.2">
      <c r="A9143" s="14" t="s">
        <v>17421</v>
      </c>
      <c r="B9143" s="26" t="s">
        <v>17422</v>
      </c>
      <c r="C9143" s="52"/>
      <c r="D9143" s="55">
        <f t="shared" si="142"/>
        <v>0</v>
      </c>
      <c r="E9143" s="63" t="str">
        <f>HYPERLINK("https://www.sds-group.ru/product/lenta-kleykaya-dvuhstoronnyaya-prozrachnaya-na-vhb-akrilovoy-osnove-12-mm-h-5-m-rexant-09-6058/", "Инфо")</f>
        <v>Инфо</v>
      </c>
      <c r="F9143" s="16" t="s">
        <v>39</v>
      </c>
      <c r="G9143" s="15"/>
      <c r="H9143" s="15"/>
      <c r="I9143" s="15"/>
      <c r="J9143" s="22">
        <v>4975</v>
      </c>
      <c r="K9143" s="15"/>
      <c r="L9143" s="17">
        <v>5</v>
      </c>
      <c r="M9143" s="17">
        <v>168</v>
      </c>
      <c r="N9143" s="17">
        <v>5</v>
      </c>
      <c r="O9143" s="18">
        <v>269.51</v>
      </c>
      <c r="P9143" s="18">
        <v>220.91</v>
      </c>
      <c r="Q9143" s="18">
        <v>229.08</v>
      </c>
      <c r="R9143" s="18">
        <v>187.77</v>
      </c>
      <c r="S9143" s="18">
        <v>183.27</v>
      </c>
      <c r="T9143" s="18">
        <v>150.22</v>
      </c>
      <c r="U9143" s="16"/>
      <c r="V9143" s="16"/>
      <c r="W9143" s="16" t="s">
        <v>40</v>
      </c>
      <c r="X9143" s="19">
        <v>9.4E-2</v>
      </c>
      <c r="Y9143" s="20">
        <v>2.4499999999999999E-4</v>
      </c>
      <c r="Z9143" s="21">
        <v>4601004301139</v>
      </c>
    </row>
    <row r="9144" spans="1:26" ht="12" customHeight="1" outlineLevel="4" x14ac:dyDescent="0.2">
      <c r="A9144" s="14" t="s">
        <v>17423</v>
      </c>
      <c r="B9144" s="26" t="s">
        <v>17424</v>
      </c>
      <c r="C9144" s="52"/>
      <c r="D9144" s="55">
        <f t="shared" si="142"/>
        <v>0</v>
      </c>
      <c r="E9144" s="63" t="str">
        <f>HYPERLINK("https://www.sds-group.ru/product/lenta-kleykaya-dvuhstoronnyaya-prozrachnaya-na-vhb-akrilovoy-osnove-20-mm-h-5-m-rexant-09-6059/", "Инфо")</f>
        <v>Инфо</v>
      </c>
      <c r="F9144" s="16" t="s">
        <v>39</v>
      </c>
      <c r="G9144" s="15"/>
      <c r="H9144" s="15"/>
      <c r="I9144" s="15"/>
      <c r="J9144" s="16" t="s">
        <v>100</v>
      </c>
      <c r="K9144" s="15" t="s">
        <v>4029</v>
      </c>
      <c r="L9144" s="17">
        <v>5</v>
      </c>
      <c r="M9144" s="17">
        <v>120</v>
      </c>
      <c r="N9144" s="17">
        <v>5</v>
      </c>
      <c r="O9144" s="18">
        <v>355.75</v>
      </c>
      <c r="P9144" s="18">
        <v>291.60000000000002</v>
      </c>
      <c r="Q9144" s="18">
        <v>302.39</v>
      </c>
      <c r="R9144" s="18">
        <v>247.86</v>
      </c>
      <c r="S9144" s="18">
        <v>241.91</v>
      </c>
      <c r="T9144" s="18">
        <v>198.29</v>
      </c>
      <c r="U9144" s="16"/>
      <c r="V9144" s="16"/>
      <c r="W9144" s="16" t="s">
        <v>40</v>
      </c>
      <c r="X9144" s="19">
        <v>0.14599999999999999</v>
      </c>
      <c r="Y9144" s="20">
        <v>4.7800000000000002E-4</v>
      </c>
      <c r="Z9144" s="21">
        <v>4601004301122</v>
      </c>
    </row>
    <row r="9145" spans="1:26" ht="12" customHeight="1" outlineLevel="4" x14ac:dyDescent="0.2">
      <c r="A9145" s="14" t="s">
        <v>17425</v>
      </c>
      <c r="B9145" s="26" t="s">
        <v>17426</v>
      </c>
      <c r="C9145" s="52"/>
      <c r="D9145" s="55">
        <f t="shared" si="142"/>
        <v>0</v>
      </c>
      <c r="E9145" s="63" t="str">
        <f>HYPERLINK("https://www.sds-group.ru/product/lenta-kleykaya-dvuhstoronnyaya-prozrachnaya-na-vhb-akrilovoy-osnove-6-mm-h-5-m-rexant-09-6055/", "Инфо")</f>
        <v>Инфо</v>
      </c>
      <c r="F9145" s="16" t="s">
        <v>39</v>
      </c>
      <c r="G9145" s="15"/>
      <c r="H9145" s="15"/>
      <c r="I9145" s="15"/>
      <c r="J9145" s="22">
        <v>1487</v>
      </c>
      <c r="K9145" s="15" t="s">
        <v>4029</v>
      </c>
      <c r="L9145" s="17">
        <v>5</v>
      </c>
      <c r="M9145" s="17">
        <v>180</v>
      </c>
      <c r="N9145" s="17">
        <v>5</v>
      </c>
      <c r="O9145" s="18">
        <v>204.82</v>
      </c>
      <c r="P9145" s="18">
        <v>167.89</v>
      </c>
      <c r="Q9145" s="18">
        <v>174.1</v>
      </c>
      <c r="R9145" s="18">
        <v>142.69999999999999</v>
      </c>
      <c r="S9145" s="18">
        <v>139.28</v>
      </c>
      <c r="T9145" s="18">
        <v>114.16</v>
      </c>
      <c r="U9145" s="16"/>
      <c r="V9145" s="16"/>
      <c r="W9145" s="16" t="s">
        <v>40</v>
      </c>
      <c r="X9145" s="19">
        <v>5.8999999999999997E-2</v>
      </c>
      <c r="Y9145" s="20">
        <v>2.4899999999999998E-4</v>
      </c>
      <c r="Z9145" s="21">
        <v>4601004301184</v>
      </c>
    </row>
    <row r="9146" spans="1:26" ht="12" customHeight="1" outlineLevel="4" x14ac:dyDescent="0.2">
      <c r="A9146" s="14" t="s">
        <v>17427</v>
      </c>
      <c r="B9146" s="26" t="s">
        <v>17428</v>
      </c>
      <c r="C9146" s="52"/>
      <c r="D9146" s="55">
        <f t="shared" si="142"/>
        <v>0</v>
      </c>
      <c r="E9146" s="63" t="str">
        <f>HYPERLINK("https://www.sds-group.ru/product/lenta-kleykaya-dvuhstoronnyaya-chernaya-na-vhb-akrilovoy-osnove-12-mm-h-5-m-rexant-09-6047/", "Инфо")</f>
        <v>Инфо</v>
      </c>
      <c r="F9146" s="16" t="s">
        <v>39</v>
      </c>
      <c r="G9146" s="15"/>
      <c r="H9146" s="15"/>
      <c r="I9146" s="15"/>
      <c r="J9146" s="22">
        <v>1953</v>
      </c>
      <c r="K9146" s="15"/>
      <c r="L9146" s="17">
        <v>5</v>
      </c>
      <c r="M9146" s="17">
        <v>168</v>
      </c>
      <c r="N9146" s="17">
        <v>5</v>
      </c>
      <c r="O9146" s="18">
        <v>242.56</v>
      </c>
      <c r="P9146" s="18">
        <v>198.82</v>
      </c>
      <c r="Q9146" s="18">
        <v>206.18</v>
      </c>
      <c r="R9146" s="18">
        <v>169</v>
      </c>
      <c r="S9146" s="18">
        <v>164.94</v>
      </c>
      <c r="T9146" s="18">
        <v>135.19999999999999</v>
      </c>
      <c r="U9146" s="16"/>
      <c r="V9146" s="16"/>
      <c r="W9146" s="16" t="s">
        <v>40</v>
      </c>
      <c r="X9146" s="19">
        <v>4.1000000000000002E-2</v>
      </c>
      <c r="Y9146" s="20">
        <v>2.4399999999999999E-4</v>
      </c>
      <c r="Z9146" s="21">
        <v>4601004301023</v>
      </c>
    </row>
    <row r="9147" spans="1:26" ht="12" customHeight="1" outlineLevel="4" x14ac:dyDescent="0.2">
      <c r="A9147" s="14" t="s">
        <v>17429</v>
      </c>
      <c r="B9147" s="26" t="s">
        <v>17430</v>
      </c>
      <c r="C9147" s="52"/>
      <c r="D9147" s="55">
        <f t="shared" si="142"/>
        <v>0</v>
      </c>
      <c r="E9147" s="63" t="str">
        <f>HYPERLINK("https://www.sds-group.ru/product/lenta-kleykaya-dvuhstoronnyaya-chernaya-na-vhb-akrilovoy-osnove-6-mm-h-5-m-rexant-09-6045/", "Инфо")</f>
        <v>Инфо</v>
      </c>
      <c r="F9147" s="16" t="s">
        <v>39</v>
      </c>
      <c r="G9147" s="15"/>
      <c r="H9147" s="15"/>
      <c r="I9147" s="15"/>
      <c r="J9147" s="17">
        <v>112</v>
      </c>
      <c r="K9147" s="15" t="s">
        <v>4029</v>
      </c>
      <c r="L9147" s="17">
        <v>10</v>
      </c>
      <c r="M9147" s="17">
        <v>180</v>
      </c>
      <c r="N9147" s="17">
        <v>10</v>
      </c>
      <c r="O9147" s="18">
        <v>161.69999999999999</v>
      </c>
      <c r="P9147" s="18">
        <v>132.54</v>
      </c>
      <c r="Q9147" s="18">
        <v>137.44999999999999</v>
      </c>
      <c r="R9147" s="18">
        <v>112.66</v>
      </c>
      <c r="S9147" s="18">
        <v>109.96</v>
      </c>
      <c r="T9147" s="18">
        <v>90.13</v>
      </c>
      <c r="U9147" s="16"/>
      <c r="V9147" s="16"/>
      <c r="W9147" s="16" t="s">
        <v>40</v>
      </c>
      <c r="X9147" s="19">
        <v>3.2000000000000001E-2</v>
      </c>
      <c r="Y9147" s="20">
        <v>2.4000000000000001E-4</v>
      </c>
      <c r="Z9147" s="21">
        <v>4601004301092</v>
      </c>
    </row>
    <row r="9148" spans="1:26" ht="12" customHeight="1" outlineLevel="4" x14ac:dyDescent="0.2">
      <c r="A9148" s="14" t="s">
        <v>17431</v>
      </c>
      <c r="B9148" s="26" t="s">
        <v>17432</v>
      </c>
      <c r="C9148" s="52"/>
      <c r="D9148" s="55">
        <f t="shared" si="142"/>
        <v>0</v>
      </c>
      <c r="E9148" s="63" t="str">
        <f>HYPERLINK("https://www.sds-group.ru/product/nano-lenta-kleykaya-dvuhstoronnyaya-mnogorazovaya-25-mm-h-3-m-rexant-09-6030/", "Инфо")</f>
        <v>Инфо</v>
      </c>
      <c r="F9148" s="16" t="s">
        <v>39</v>
      </c>
      <c r="G9148" s="15"/>
      <c r="H9148" s="15"/>
      <c r="I9148" s="15"/>
      <c r="J9148" s="16" t="s">
        <v>100</v>
      </c>
      <c r="K9148" s="15" t="s">
        <v>4029</v>
      </c>
      <c r="L9148" s="17">
        <v>5</v>
      </c>
      <c r="M9148" s="17">
        <v>108</v>
      </c>
      <c r="N9148" s="17">
        <v>5</v>
      </c>
      <c r="O9148" s="18">
        <v>323.47000000000003</v>
      </c>
      <c r="P9148" s="18">
        <v>265.14</v>
      </c>
      <c r="Q9148" s="18">
        <v>226.43</v>
      </c>
      <c r="R9148" s="18">
        <v>185.6</v>
      </c>
      <c r="S9148" s="18">
        <v>219.96</v>
      </c>
      <c r="T9148" s="18">
        <v>180.3</v>
      </c>
      <c r="U9148" s="16"/>
      <c r="V9148" s="16"/>
      <c r="W9148" s="16"/>
      <c r="X9148" s="19">
        <v>0.19600000000000001</v>
      </c>
      <c r="Y9148" s="20">
        <v>5.4299999999999997E-4</v>
      </c>
      <c r="Z9148" s="21">
        <v>4601004297807</v>
      </c>
    </row>
    <row r="9149" spans="1:26" ht="12.95" customHeight="1" outlineLevel="3" x14ac:dyDescent="0.2">
      <c r="A9149" s="76" t="s">
        <v>17433</v>
      </c>
      <c r="B9149" s="76"/>
      <c r="C9149" s="77"/>
      <c r="D9149" s="58"/>
      <c r="E9149" s="68"/>
      <c r="F9149" s="13"/>
      <c r="G9149" s="13"/>
      <c r="H9149" s="13"/>
      <c r="I9149" s="13"/>
      <c r="J9149" s="13"/>
      <c r="K9149" s="13"/>
      <c r="L9149" s="13"/>
      <c r="M9149" s="13"/>
      <c r="N9149" s="13"/>
      <c r="O9149" s="13"/>
      <c r="P9149" s="13"/>
      <c r="Q9149" s="13"/>
      <c r="R9149" s="13"/>
      <c r="S9149" s="13"/>
      <c r="T9149" s="13"/>
      <c r="U9149" s="13"/>
      <c r="V9149" s="13"/>
      <c r="W9149" s="13"/>
      <c r="X9149" s="13"/>
      <c r="Y9149" s="13"/>
      <c r="Z9149" s="13"/>
    </row>
    <row r="9150" spans="1:26" ht="12" customHeight="1" outlineLevel="4" x14ac:dyDescent="0.2">
      <c r="A9150" s="14" t="s">
        <v>17434</v>
      </c>
      <c r="B9150" s="26" t="s">
        <v>17435</v>
      </c>
      <c r="C9150" s="52"/>
      <c r="D9150" s="55">
        <f t="shared" si="142"/>
        <v>0</v>
      </c>
      <c r="E9150" s="63" t="str">
        <f>HYPERLINK("https://www.sds-group.ru/product/stretch-plenka-pervichnoe-syre-prozrachnaya-100-mm-h-20-mkm-0-23kg-rexant-19-2070-1/", "Инфо")</f>
        <v>Инфо</v>
      </c>
      <c r="F9150" s="16" t="s">
        <v>4839</v>
      </c>
      <c r="G9150" s="15"/>
      <c r="H9150" s="15"/>
      <c r="I9150" s="15"/>
      <c r="J9150" s="22">
        <v>1961</v>
      </c>
      <c r="K9150" s="15"/>
      <c r="L9150" s="17">
        <v>5</v>
      </c>
      <c r="M9150" s="17">
        <v>40</v>
      </c>
      <c r="N9150" s="17">
        <v>5</v>
      </c>
      <c r="O9150" s="18">
        <v>215.6</v>
      </c>
      <c r="P9150" s="18">
        <v>176.72</v>
      </c>
      <c r="Q9150" s="18">
        <v>183.26</v>
      </c>
      <c r="R9150" s="18">
        <v>150.21</v>
      </c>
      <c r="S9150" s="18">
        <v>146.61000000000001</v>
      </c>
      <c r="T9150" s="18">
        <v>120.17</v>
      </c>
      <c r="U9150" s="16"/>
      <c r="V9150" s="16"/>
      <c r="W9150" s="16" t="s">
        <v>40</v>
      </c>
      <c r="X9150" s="19">
        <v>0.32100000000000001</v>
      </c>
      <c r="Y9150" s="20">
        <v>7.2300000000000001E-4</v>
      </c>
      <c r="Z9150" s="21">
        <v>4601004099623</v>
      </c>
    </row>
    <row r="9151" spans="1:26" ht="12" customHeight="1" outlineLevel="4" x14ac:dyDescent="0.2">
      <c r="A9151" s="14" t="s">
        <v>17436</v>
      </c>
      <c r="B9151" s="26" t="s">
        <v>17437</v>
      </c>
      <c r="C9151" s="52"/>
      <c r="D9151" s="55">
        <f t="shared" si="142"/>
        <v>0</v>
      </c>
      <c r="E9151" s="63" t="str">
        <f>HYPERLINK("https://www.sds-group.ru/product/stretch-plenka-pervichnoe-syre-prozrachnaya-500-mm-h-20-mkm-1-9kg-rexant-19-4520/", "Инфо")</f>
        <v>Инфо</v>
      </c>
      <c r="F9151" s="16" t="s">
        <v>39</v>
      </c>
      <c r="G9151" s="15"/>
      <c r="H9151" s="15"/>
      <c r="I9151" s="15"/>
      <c r="J9151" s="17">
        <v>405</v>
      </c>
      <c r="K9151" s="15"/>
      <c r="L9151" s="17">
        <v>1</v>
      </c>
      <c r="M9151" s="17">
        <v>6</v>
      </c>
      <c r="N9151" s="17">
        <v>1</v>
      </c>
      <c r="O9151" s="18">
        <v>1051.06</v>
      </c>
      <c r="P9151" s="18">
        <v>861.52</v>
      </c>
      <c r="Q9151" s="18">
        <v>840.85</v>
      </c>
      <c r="R9151" s="18">
        <v>689.22</v>
      </c>
      <c r="S9151" s="18">
        <v>714.72</v>
      </c>
      <c r="T9151" s="18">
        <v>585.84</v>
      </c>
      <c r="U9151" s="16"/>
      <c r="V9151" s="16"/>
      <c r="W9151" s="16" t="s">
        <v>40</v>
      </c>
      <c r="X9151" s="19">
        <v>1.982</v>
      </c>
      <c r="Y9151" s="20">
        <v>5.3899999999999998E-3</v>
      </c>
      <c r="Z9151" s="21">
        <v>4601004012875</v>
      </c>
    </row>
    <row r="9152" spans="1:26" ht="12" customHeight="1" outlineLevel="4" x14ac:dyDescent="0.2">
      <c r="A9152" s="14" t="s">
        <v>17438</v>
      </c>
      <c r="B9152" s="26" t="s">
        <v>17439</v>
      </c>
      <c r="C9152" s="52"/>
      <c r="D9152" s="55">
        <f t="shared" si="142"/>
        <v>0</v>
      </c>
      <c r="E9152" s="63" t="str">
        <f>HYPERLINK("https://www.sds-group.ru/product/stretch-plenka-pervichnoe-syre-chernaya-500-mm-h-20-mkm-ves-2-0kg-rexant-19-5020/", "Инфо")</f>
        <v>Инфо</v>
      </c>
      <c r="F9152" s="16" t="s">
        <v>39</v>
      </c>
      <c r="G9152" s="15"/>
      <c r="H9152" s="15"/>
      <c r="I9152" s="15"/>
      <c r="J9152" s="17">
        <v>425</v>
      </c>
      <c r="K9152" s="15"/>
      <c r="L9152" s="17">
        <v>1</v>
      </c>
      <c r="M9152" s="17">
        <v>6</v>
      </c>
      <c r="N9152" s="17">
        <v>1</v>
      </c>
      <c r="O9152" s="18">
        <v>1099.58</v>
      </c>
      <c r="P9152" s="18">
        <v>901.3</v>
      </c>
      <c r="Q9152" s="18">
        <v>879.66</v>
      </c>
      <c r="R9152" s="18">
        <v>721.03</v>
      </c>
      <c r="S9152" s="18">
        <v>747.71</v>
      </c>
      <c r="T9152" s="18">
        <v>612.88</v>
      </c>
      <c r="U9152" s="16"/>
      <c r="V9152" s="16"/>
      <c r="W9152" s="16" t="s">
        <v>40</v>
      </c>
      <c r="X9152" s="19">
        <v>2.0779999999999998</v>
      </c>
      <c r="Y9152" s="20">
        <v>4.9880000000000002E-3</v>
      </c>
      <c r="Z9152" s="21">
        <v>4601004012882</v>
      </c>
    </row>
    <row r="9153" spans="1:26" ht="12.95" customHeight="1" outlineLevel="3" x14ac:dyDescent="0.2">
      <c r="A9153" s="76" t="s">
        <v>17440</v>
      </c>
      <c r="B9153" s="76"/>
      <c r="C9153" s="77"/>
      <c r="D9153" s="58"/>
      <c r="E9153" s="68"/>
      <c r="F9153" s="13"/>
      <c r="G9153" s="13"/>
      <c r="H9153" s="13"/>
      <c r="I9153" s="13"/>
      <c r="J9153" s="13"/>
      <c r="K9153" s="13"/>
      <c r="L9153" s="13"/>
      <c r="M9153" s="13"/>
      <c r="N9153" s="13"/>
      <c r="O9153" s="13"/>
      <c r="P9153" s="13"/>
      <c r="Q9153" s="13"/>
      <c r="R9153" s="13"/>
      <c r="S9153" s="13"/>
      <c r="T9153" s="13"/>
      <c r="U9153" s="13"/>
      <c r="V9153" s="13"/>
      <c r="W9153" s="13"/>
      <c r="X9153" s="13"/>
      <c r="Y9153" s="13"/>
      <c r="Z9153" s="13"/>
    </row>
    <row r="9154" spans="1:26" ht="12" customHeight="1" outlineLevel="4" x14ac:dyDescent="0.2">
      <c r="A9154" s="14" t="s">
        <v>17441</v>
      </c>
      <c r="B9154" s="26" t="s">
        <v>17442</v>
      </c>
      <c r="C9154" s="52"/>
      <c r="D9154" s="55">
        <f t="shared" si="142"/>
        <v>0</v>
      </c>
      <c r="E9154" s="63" t="str">
        <f>HYPERLINK("https://www.sds-group.ru/product/lenta-protivoskolzyaschaya-samokleyaschayasya-25-mm-h-5-m-chernaya-rexant-09-4322/", "Инфо")</f>
        <v>Инфо</v>
      </c>
      <c r="F9154" s="16" t="s">
        <v>39</v>
      </c>
      <c r="G9154" s="15"/>
      <c r="H9154" s="15"/>
      <c r="I9154" s="15"/>
      <c r="J9154" s="22">
        <v>1200</v>
      </c>
      <c r="K9154" s="15" t="s">
        <v>4029</v>
      </c>
      <c r="L9154" s="17">
        <v>5</v>
      </c>
      <c r="M9154" s="17">
        <v>108</v>
      </c>
      <c r="N9154" s="17">
        <v>5</v>
      </c>
      <c r="O9154" s="18">
        <v>215.6</v>
      </c>
      <c r="P9154" s="18">
        <v>176.72</v>
      </c>
      <c r="Q9154" s="18">
        <v>150.91999999999999</v>
      </c>
      <c r="R9154" s="18">
        <v>123.7</v>
      </c>
      <c r="S9154" s="18">
        <v>146.61000000000001</v>
      </c>
      <c r="T9154" s="18">
        <v>120.17</v>
      </c>
      <c r="U9154" s="16"/>
      <c r="V9154" s="16"/>
      <c r="W9154" s="16"/>
      <c r="X9154" s="19">
        <v>0.13</v>
      </c>
      <c r="Y9154" s="20">
        <v>4.0299999999999998E-4</v>
      </c>
      <c r="Z9154" s="21">
        <v>4601004297562</v>
      </c>
    </row>
    <row r="9155" spans="1:26" ht="12" customHeight="1" outlineLevel="4" x14ac:dyDescent="0.2">
      <c r="A9155" s="14" t="s">
        <v>17443</v>
      </c>
      <c r="B9155" s="26" t="s">
        <v>17444</v>
      </c>
      <c r="C9155" s="52"/>
      <c r="D9155" s="55">
        <f t="shared" si="142"/>
        <v>0</v>
      </c>
      <c r="E9155" s="63" t="str">
        <f>HYPERLINK("https://www.sds-group.ru/product/lenta-protivoskolzyaschaya-samokleyaschayasya-50-mm-h-18-m-chernaya-rexant-09-4320/", "Инфо")</f>
        <v>Инфо</v>
      </c>
      <c r="F9155" s="16" t="s">
        <v>39</v>
      </c>
      <c r="G9155" s="15"/>
      <c r="H9155" s="15"/>
      <c r="I9155" s="15"/>
      <c r="J9155" s="17">
        <v>443</v>
      </c>
      <c r="K9155" s="15" t="s">
        <v>4029</v>
      </c>
      <c r="L9155" s="17">
        <v>1</v>
      </c>
      <c r="M9155" s="17">
        <v>24</v>
      </c>
      <c r="N9155" s="17">
        <v>1</v>
      </c>
      <c r="O9155" s="18">
        <v>1078.02</v>
      </c>
      <c r="P9155" s="18">
        <v>883.62</v>
      </c>
      <c r="Q9155" s="18">
        <v>862.42</v>
      </c>
      <c r="R9155" s="18">
        <v>706.9</v>
      </c>
      <c r="S9155" s="18">
        <v>733.05</v>
      </c>
      <c r="T9155" s="18">
        <v>600.86</v>
      </c>
      <c r="U9155" s="16"/>
      <c r="V9155" s="16"/>
      <c r="W9155" s="16" t="s">
        <v>40</v>
      </c>
      <c r="X9155" s="19">
        <v>0.877</v>
      </c>
      <c r="Y9155" s="20">
        <v>1.7390000000000001E-3</v>
      </c>
      <c r="Z9155" s="21">
        <v>4601004297579</v>
      </c>
    </row>
    <row r="9156" spans="1:26" ht="12" customHeight="1" outlineLevel="4" x14ac:dyDescent="0.2">
      <c r="A9156" s="14" t="s">
        <v>17445</v>
      </c>
      <c r="B9156" s="26" t="s">
        <v>17446</v>
      </c>
      <c r="C9156" s="52"/>
      <c r="D9156" s="55">
        <f t="shared" si="142"/>
        <v>0</v>
      </c>
      <c r="E9156" s="63" t="str">
        <f>HYPERLINK("https://www.sds-group.ru/product/lenta-protivoskolzyaschaya-samokleyaschayasya-50-mm-h-5-m-chernaya-rexant-09-4321/", "Инфо")</f>
        <v>Инфо</v>
      </c>
      <c r="F9156" s="16" t="s">
        <v>39</v>
      </c>
      <c r="G9156" s="15"/>
      <c r="H9156" s="15"/>
      <c r="I9156" s="15"/>
      <c r="J9156" s="17">
        <v>57</v>
      </c>
      <c r="K9156" s="15" t="s">
        <v>4029</v>
      </c>
      <c r="L9156" s="17">
        <v>5</v>
      </c>
      <c r="M9156" s="17">
        <v>54</v>
      </c>
      <c r="N9156" s="17">
        <v>5</v>
      </c>
      <c r="O9156" s="18">
        <v>345.03</v>
      </c>
      <c r="P9156" s="18">
        <v>282.81</v>
      </c>
      <c r="Q9156" s="18">
        <v>293.27999999999997</v>
      </c>
      <c r="R9156" s="18">
        <v>240.39</v>
      </c>
      <c r="S9156" s="18">
        <v>234.62</v>
      </c>
      <c r="T9156" s="18">
        <v>192.31</v>
      </c>
      <c r="U9156" s="16"/>
      <c r="V9156" s="16"/>
      <c r="W9156" s="16" t="s">
        <v>40</v>
      </c>
      <c r="X9156" s="19">
        <v>0.26700000000000002</v>
      </c>
      <c r="Y9156" s="20">
        <v>7.6900000000000004E-4</v>
      </c>
      <c r="Z9156" s="21">
        <v>4601004297487</v>
      </c>
    </row>
    <row r="9157" spans="1:26" ht="12" customHeight="1" outlineLevel="4" x14ac:dyDescent="0.2">
      <c r="A9157" s="14" t="s">
        <v>17447</v>
      </c>
      <c r="B9157" s="26" t="s">
        <v>17448</v>
      </c>
      <c r="C9157" s="52"/>
      <c r="D9157" s="55">
        <f t="shared" si="142"/>
        <v>0</v>
      </c>
      <c r="E9157" s="63" t="str">
        <f>HYPERLINK("https://www.sds-group.ru/product/lenta-svetootrazhayuschaya-samokleyaschayasya-50-mm-h-10-m-krasno-belaya-rexant-09-4331/", "Инфо")</f>
        <v>Инфо</v>
      </c>
      <c r="F9157" s="16" t="s">
        <v>39</v>
      </c>
      <c r="G9157" s="15"/>
      <c r="H9157" s="15"/>
      <c r="I9157" s="15"/>
      <c r="J9157" s="17">
        <v>134</v>
      </c>
      <c r="K9157" s="15" t="s">
        <v>4029</v>
      </c>
      <c r="L9157" s="17">
        <v>1</v>
      </c>
      <c r="M9157" s="17">
        <v>45</v>
      </c>
      <c r="N9157" s="17">
        <v>1</v>
      </c>
      <c r="O9157" s="18">
        <v>646.94000000000005</v>
      </c>
      <c r="P9157" s="18">
        <v>530.28</v>
      </c>
      <c r="Q9157" s="18">
        <v>517.54999999999995</v>
      </c>
      <c r="R9157" s="18">
        <v>424.22</v>
      </c>
      <c r="S9157" s="18">
        <v>439.92</v>
      </c>
      <c r="T9157" s="18">
        <v>360.59</v>
      </c>
      <c r="U9157" s="16"/>
      <c r="V9157" s="16"/>
      <c r="W9157" s="16" t="s">
        <v>40</v>
      </c>
      <c r="X9157" s="19">
        <v>0.25700000000000001</v>
      </c>
      <c r="Y9157" s="20">
        <v>7.6400000000000003E-4</v>
      </c>
      <c r="Z9157" s="21">
        <v>4601004297524</v>
      </c>
    </row>
    <row r="9158" spans="1:26" ht="12.95" customHeight="1" outlineLevel="2" x14ac:dyDescent="0.2">
      <c r="A9158" s="76" t="s">
        <v>17449</v>
      </c>
      <c r="B9158" s="76"/>
      <c r="C9158" s="77"/>
      <c r="D9158" s="58"/>
      <c r="E9158" s="68"/>
      <c r="F9158" s="13"/>
      <c r="G9158" s="13"/>
      <c r="H9158" s="13"/>
      <c r="I9158" s="13"/>
      <c r="J9158" s="13"/>
      <c r="K9158" s="13"/>
      <c r="L9158" s="13"/>
      <c r="M9158" s="13"/>
      <c r="N9158" s="13"/>
      <c r="O9158" s="13"/>
      <c r="P9158" s="13"/>
      <c r="Q9158" s="13"/>
      <c r="R9158" s="13"/>
      <c r="S9158" s="13"/>
      <c r="T9158" s="13"/>
      <c r="U9158" s="13"/>
      <c r="V9158" s="13"/>
      <c r="W9158" s="13"/>
      <c r="X9158" s="13"/>
      <c r="Y9158" s="13"/>
      <c r="Z9158" s="13"/>
    </row>
    <row r="9159" spans="1:26" ht="12.95" customHeight="1" outlineLevel="3" x14ac:dyDescent="0.2">
      <c r="A9159" s="76" t="s">
        <v>17450</v>
      </c>
      <c r="B9159" s="76"/>
      <c r="C9159" s="77"/>
      <c r="D9159" s="58"/>
      <c r="E9159" s="68"/>
      <c r="F9159" s="13"/>
      <c r="G9159" s="13"/>
      <c r="H9159" s="13"/>
      <c r="I9159" s="13"/>
      <c r="J9159" s="13"/>
      <c r="K9159" s="13"/>
      <c r="L9159" s="13"/>
      <c r="M9159" s="13"/>
      <c r="N9159" s="13"/>
      <c r="O9159" s="13"/>
      <c r="P9159" s="13"/>
      <c r="Q9159" s="13"/>
      <c r="R9159" s="13"/>
      <c r="S9159" s="13"/>
      <c r="T9159" s="13"/>
      <c r="U9159" s="13"/>
      <c r="V9159" s="13"/>
      <c r="W9159" s="13"/>
      <c r="X9159" s="13"/>
      <c r="Y9159" s="13"/>
      <c r="Z9159" s="13"/>
    </row>
    <row r="9160" spans="1:26" ht="12" customHeight="1" outlineLevel="4" x14ac:dyDescent="0.2">
      <c r="A9160" s="14" t="s">
        <v>17451</v>
      </c>
      <c r="B9160" s="26" t="s">
        <v>17452</v>
      </c>
      <c r="C9160" s="52"/>
      <c r="D9160" s="55">
        <f t="shared" si="142"/>
        <v>0</v>
      </c>
      <c r="E9160" s="63" t="str">
        <f>HYPERLINK("https://www.sds-group.ru/product/zamok-navesnoy-br-50-dd-chetyre-sezona-79-0155/", "Инфо")</f>
        <v>Инфо</v>
      </c>
      <c r="F9160" s="16" t="s">
        <v>39</v>
      </c>
      <c r="G9160" s="15"/>
      <c r="H9160" s="15"/>
      <c r="I9160" s="15"/>
      <c r="J9160" s="17">
        <v>5</v>
      </c>
      <c r="K9160" s="15" t="s">
        <v>1094</v>
      </c>
      <c r="L9160" s="17">
        <v>6</v>
      </c>
      <c r="M9160" s="17">
        <v>36</v>
      </c>
      <c r="N9160" s="17">
        <v>6</v>
      </c>
      <c r="O9160" s="18">
        <v>328.8</v>
      </c>
      <c r="P9160" s="18">
        <v>269.51</v>
      </c>
      <c r="Q9160" s="18">
        <v>279.48</v>
      </c>
      <c r="R9160" s="18">
        <v>229.08</v>
      </c>
      <c r="S9160" s="18">
        <v>223.58</v>
      </c>
      <c r="T9160" s="18">
        <v>183.26</v>
      </c>
      <c r="U9160" s="16"/>
      <c r="V9160" s="16"/>
      <c r="W9160" s="16" t="s">
        <v>40</v>
      </c>
      <c r="X9160" s="19">
        <v>0.26100000000000001</v>
      </c>
      <c r="Y9160" s="20">
        <v>6.8599999999999998E-4</v>
      </c>
      <c r="Z9160" s="21">
        <v>4601004147683</v>
      </c>
    </row>
    <row r="9161" spans="1:26" ht="12" customHeight="1" outlineLevel="4" x14ac:dyDescent="0.2">
      <c r="A9161" s="14" t="s">
        <v>17453</v>
      </c>
      <c r="B9161" s="26" t="s">
        <v>17454</v>
      </c>
      <c r="C9161" s="52"/>
      <c r="D9161" s="55">
        <f t="shared" ref="D9161:D9224" si="143">C9161*(O9161-O9161*$G$3)</f>
        <v>0</v>
      </c>
      <c r="E9161" s="63" t="str">
        <f>HYPERLINK("https://www.sds-group.ru/product/zamok-navesnoy-br-55-chetyre-sezona-79-0145/", "Инфо")</f>
        <v>Инфо</v>
      </c>
      <c r="F9161" s="16" t="s">
        <v>39</v>
      </c>
      <c r="G9161" s="15"/>
      <c r="H9161" s="15"/>
      <c r="I9161" s="15"/>
      <c r="J9161" s="17">
        <v>539</v>
      </c>
      <c r="K9161" s="15" t="s">
        <v>17455</v>
      </c>
      <c r="L9161" s="17">
        <v>6</v>
      </c>
      <c r="M9161" s="17">
        <v>36</v>
      </c>
      <c r="N9161" s="17">
        <v>6</v>
      </c>
      <c r="O9161" s="18">
        <v>295.38</v>
      </c>
      <c r="P9161" s="18">
        <v>242.11</v>
      </c>
      <c r="Q9161" s="18">
        <v>251.07</v>
      </c>
      <c r="R9161" s="18">
        <v>205.8</v>
      </c>
      <c r="S9161" s="18">
        <v>200.86</v>
      </c>
      <c r="T9161" s="18">
        <v>164.64</v>
      </c>
      <c r="U9161" s="16"/>
      <c r="V9161" s="16"/>
      <c r="W9161" s="16" t="s">
        <v>40</v>
      </c>
      <c r="X9161" s="19">
        <v>0.21</v>
      </c>
      <c r="Y9161" s="20">
        <v>5.1400000000000003E-4</v>
      </c>
      <c r="Z9161" s="21">
        <v>4601004147690</v>
      </c>
    </row>
    <row r="9162" spans="1:26" ht="12" customHeight="1" outlineLevel="4" x14ac:dyDescent="0.2">
      <c r="A9162" s="14" t="s">
        <v>17456</v>
      </c>
      <c r="B9162" s="26" t="s">
        <v>17457</v>
      </c>
      <c r="C9162" s="52"/>
      <c r="D9162" s="55">
        <f t="shared" si="143"/>
        <v>0</v>
      </c>
      <c r="E9162" s="63" t="str">
        <f>HYPERLINK("https://www.sds-group.ru/product/zamok-navesnoy-vz-30-dd-chetyre-sezona-79-0123/", "Инфо")</f>
        <v>Инфо</v>
      </c>
      <c r="F9162" s="16" t="s">
        <v>39</v>
      </c>
      <c r="G9162" s="15"/>
      <c r="H9162" s="15"/>
      <c r="I9162" s="15"/>
      <c r="J9162" s="22">
        <v>7333</v>
      </c>
      <c r="K9162" s="15" t="s">
        <v>1277</v>
      </c>
      <c r="L9162" s="17">
        <v>5</v>
      </c>
      <c r="M9162" s="17">
        <v>96</v>
      </c>
      <c r="N9162" s="17">
        <v>5</v>
      </c>
      <c r="O9162" s="18">
        <v>334.19</v>
      </c>
      <c r="P9162" s="18">
        <v>273.93</v>
      </c>
      <c r="Q9162" s="18">
        <v>233.93</v>
      </c>
      <c r="R9162" s="18">
        <v>191.75</v>
      </c>
      <c r="S9162" s="18">
        <v>227.25</v>
      </c>
      <c r="T9162" s="18">
        <v>186.27</v>
      </c>
      <c r="U9162" s="16"/>
      <c r="V9162" s="16"/>
      <c r="W9162" s="16"/>
      <c r="X9162" s="19">
        <v>0.13</v>
      </c>
      <c r="Y9162" s="20">
        <v>3.1199999999999999E-4</v>
      </c>
      <c r="Z9162" s="21">
        <v>4601004137639</v>
      </c>
    </row>
    <row r="9163" spans="1:26" ht="12" customHeight="1" outlineLevel="4" x14ac:dyDescent="0.2">
      <c r="A9163" s="14" t="s">
        <v>17458</v>
      </c>
      <c r="B9163" s="26" t="s">
        <v>17459</v>
      </c>
      <c r="C9163" s="52"/>
      <c r="D9163" s="55">
        <f t="shared" si="143"/>
        <v>0</v>
      </c>
      <c r="E9163" s="63" t="str">
        <f>HYPERLINK("https://www.sds-group.ru/product/zamok-navesnoy-vz-30-chetyre-sezona-79-0113/", "Инфо")</f>
        <v>Инфо</v>
      </c>
      <c r="F9163" s="16" t="s">
        <v>39</v>
      </c>
      <c r="G9163" s="15"/>
      <c r="H9163" s="15"/>
      <c r="I9163" s="15"/>
      <c r="J9163" s="16" t="s">
        <v>100</v>
      </c>
      <c r="K9163" s="15" t="s">
        <v>1277</v>
      </c>
      <c r="L9163" s="17">
        <v>6</v>
      </c>
      <c r="M9163" s="17">
        <v>120</v>
      </c>
      <c r="N9163" s="17">
        <v>6</v>
      </c>
      <c r="O9163" s="18">
        <v>328.6</v>
      </c>
      <c r="P9163" s="18">
        <v>269.33999999999997</v>
      </c>
      <c r="Q9163" s="18">
        <v>279.31</v>
      </c>
      <c r="R9163" s="18">
        <v>228.94</v>
      </c>
      <c r="S9163" s="18">
        <v>223.45</v>
      </c>
      <c r="T9163" s="18">
        <v>183.16</v>
      </c>
      <c r="U9163" s="16"/>
      <c r="V9163" s="16"/>
      <c r="W9163" s="16" t="s">
        <v>40</v>
      </c>
      <c r="X9163" s="19">
        <v>0.123</v>
      </c>
      <c r="Y9163" s="20">
        <v>3.0400000000000002E-4</v>
      </c>
      <c r="Z9163" s="21">
        <v>4601004117143</v>
      </c>
    </row>
    <row r="9164" spans="1:26" ht="12" customHeight="1" outlineLevel="4" x14ac:dyDescent="0.2">
      <c r="A9164" s="14" t="s">
        <v>17460</v>
      </c>
      <c r="B9164" s="26" t="s">
        <v>17461</v>
      </c>
      <c r="C9164" s="52"/>
      <c r="D9164" s="55">
        <f t="shared" si="143"/>
        <v>0</v>
      </c>
      <c r="E9164" s="63" t="str">
        <f>HYPERLINK("https://www.sds-group.ru/product/zamok-navesnoy-vz-40-dd-chetyre-sezona-79-0124/", "Инфо")</f>
        <v>Инфо</v>
      </c>
      <c r="F9164" s="16" t="s">
        <v>39</v>
      </c>
      <c r="G9164" s="15"/>
      <c r="H9164" s="15"/>
      <c r="I9164" s="15"/>
      <c r="J9164" s="17">
        <v>952</v>
      </c>
      <c r="K9164" s="15" t="s">
        <v>1094</v>
      </c>
      <c r="L9164" s="17">
        <v>6</v>
      </c>
      <c r="M9164" s="17">
        <v>72</v>
      </c>
      <c r="N9164" s="17">
        <v>6</v>
      </c>
      <c r="O9164" s="18">
        <v>458.16</v>
      </c>
      <c r="P9164" s="18">
        <v>375.54</v>
      </c>
      <c r="Q9164" s="18">
        <v>320.70999999999998</v>
      </c>
      <c r="R9164" s="18">
        <v>262.88</v>
      </c>
      <c r="S9164" s="18">
        <v>311.55</v>
      </c>
      <c r="T9164" s="18">
        <v>255.37</v>
      </c>
      <c r="U9164" s="16"/>
      <c r="V9164" s="16"/>
      <c r="W9164" s="16"/>
      <c r="X9164" s="19">
        <v>0.24099999999999999</v>
      </c>
      <c r="Y9164" s="20">
        <v>3.9599999999999998E-4</v>
      </c>
      <c r="Z9164" s="21">
        <v>4601004137554</v>
      </c>
    </row>
    <row r="9165" spans="1:26" ht="12" customHeight="1" outlineLevel="4" x14ac:dyDescent="0.2">
      <c r="A9165" s="14" t="s">
        <v>17462</v>
      </c>
      <c r="B9165" s="26" t="s">
        <v>17463</v>
      </c>
      <c r="C9165" s="52"/>
      <c r="D9165" s="55">
        <f t="shared" si="143"/>
        <v>0</v>
      </c>
      <c r="E9165" s="63" t="str">
        <f>HYPERLINK("https://www.sds-group.ru/product/zamok-navesnoy-vz-40-chetyre-sezona-79-0114/", "Инфо")</f>
        <v>Инфо</v>
      </c>
      <c r="F9165" s="16" t="s">
        <v>39</v>
      </c>
      <c r="G9165" s="15"/>
      <c r="H9165" s="15"/>
      <c r="I9165" s="15"/>
      <c r="J9165" s="16" t="s">
        <v>100</v>
      </c>
      <c r="K9165" s="15" t="s">
        <v>1055</v>
      </c>
      <c r="L9165" s="17">
        <v>6</v>
      </c>
      <c r="M9165" s="17">
        <v>72</v>
      </c>
      <c r="N9165" s="17">
        <v>6</v>
      </c>
      <c r="O9165" s="18">
        <v>377.31</v>
      </c>
      <c r="P9165" s="18">
        <v>309.27</v>
      </c>
      <c r="Q9165" s="18">
        <v>301.85000000000002</v>
      </c>
      <c r="R9165" s="18">
        <v>247.42</v>
      </c>
      <c r="S9165" s="18">
        <v>256.57</v>
      </c>
      <c r="T9165" s="18">
        <v>210.3</v>
      </c>
      <c r="U9165" s="16"/>
      <c r="V9165" s="16"/>
      <c r="W9165" s="16" t="s">
        <v>40</v>
      </c>
      <c r="X9165" s="19">
        <v>0.23</v>
      </c>
      <c r="Y9165" s="20">
        <v>4.2000000000000002E-4</v>
      </c>
      <c r="Z9165" s="21">
        <v>4601004117136</v>
      </c>
    </row>
    <row r="9166" spans="1:26" ht="12" customHeight="1" outlineLevel="4" x14ac:dyDescent="0.2">
      <c r="A9166" s="14" t="s">
        <v>17464</v>
      </c>
      <c r="B9166" s="26" t="s">
        <v>17465</v>
      </c>
      <c r="C9166" s="52"/>
      <c r="D9166" s="55">
        <f t="shared" si="143"/>
        <v>0</v>
      </c>
      <c r="E9166" s="63" t="str">
        <f>HYPERLINK("https://www.sds-group.ru/product/zamok-navesnoy-vz-50-chetyre-sezona-79-0115/", "Инфо")</f>
        <v>Инфо</v>
      </c>
      <c r="F9166" s="16" t="s">
        <v>39</v>
      </c>
      <c r="G9166" s="15"/>
      <c r="H9166" s="15"/>
      <c r="I9166" s="15"/>
      <c r="J9166" s="17">
        <v>360</v>
      </c>
      <c r="K9166" s="15" t="s">
        <v>1277</v>
      </c>
      <c r="L9166" s="17">
        <v>6</v>
      </c>
      <c r="M9166" s="17">
        <v>72</v>
      </c>
      <c r="N9166" s="17">
        <v>6</v>
      </c>
      <c r="O9166" s="18">
        <v>539.01</v>
      </c>
      <c r="P9166" s="18">
        <v>441.81</v>
      </c>
      <c r="Q9166" s="18">
        <v>377.31</v>
      </c>
      <c r="R9166" s="18">
        <v>309.27</v>
      </c>
      <c r="S9166" s="18">
        <v>366.53</v>
      </c>
      <c r="T9166" s="18">
        <v>300.43</v>
      </c>
      <c r="U9166" s="16"/>
      <c r="V9166" s="16"/>
      <c r="W9166" s="16"/>
      <c r="X9166" s="19">
        <v>0.36499999999999999</v>
      </c>
      <c r="Y9166" s="20">
        <v>5.5199999999999997E-4</v>
      </c>
      <c r="Z9166" s="21">
        <v>4601004117150</v>
      </c>
    </row>
    <row r="9167" spans="1:26" ht="12" customHeight="1" outlineLevel="4" x14ac:dyDescent="0.2">
      <c r="A9167" s="14" t="s">
        <v>17466</v>
      </c>
      <c r="B9167" s="26" t="s">
        <v>17467</v>
      </c>
      <c r="C9167" s="52"/>
      <c r="D9167" s="55">
        <f t="shared" si="143"/>
        <v>0</v>
      </c>
      <c r="E9167" s="63" t="str">
        <f>HYPERLINK("https://www.sds-group.ru/product/zamok-navesnoy-seriya-stal-30mm-dlinnaya-duzhka-chetyre-sezona-79-0043/", "Инфо")</f>
        <v>Инфо</v>
      </c>
      <c r="F9167" s="16" t="s">
        <v>39</v>
      </c>
      <c r="G9167" s="15"/>
      <c r="H9167" s="15"/>
      <c r="I9167" s="15"/>
      <c r="J9167" s="16" t="s">
        <v>100</v>
      </c>
      <c r="K9167" s="15" t="s">
        <v>4720</v>
      </c>
      <c r="L9167" s="17">
        <v>5</v>
      </c>
      <c r="M9167" s="17">
        <v>144</v>
      </c>
      <c r="N9167" s="17">
        <v>5</v>
      </c>
      <c r="O9167" s="18">
        <v>194.04</v>
      </c>
      <c r="P9167" s="18">
        <v>159.05000000000001</v>
      </c>
      <c r="Q9167" s="18">
        <v>164.93</v>
      </c>
      <c r="R9167" s="18">
        <v>135.19</v>
      </c>
      <c r="S9167" s="18">
        <v>131.94999999999999</v>
      </c>
      <c r="T9167" s="18">
        <v>108.16</v>
      </c>
      <c r="U9167" s="16"/>
      <c r="V9167" s="16"/>
      <c r="W9167" s="16" t="s">
        <v>40</v>
      </c>
      <c r="X9167" s="19">
        <v>0.107</v>
      </c>
      <c r="Y9167" s="20">
        <v>1.84E-4</v>
      </c>
      <c r="Z9167" s="21">
        <v>4601004075658</v>
      </c>
    </row>
    <row r="9168" spans="1:26" ht="12" customHeight="1" outlineLevel="4" x14ac:dyDescent="0.2">
      <c r="A9168" s="14" t="s">
        <v>17468</v>
      </c>
      <c r="B9168" s="26" t="s">
        <v>17469</v>
      </c>
      <c r="C9168" s="52"/>
      <c r="D9168" s="55">
        <f t="shared" si="143"/>
        <v>0</v>
      </c>
      <c r="E9168" s="63" t="str">
        <f>HYPERLINK("https://www.sds-group.ru/product/zamok-navesnoy-seriya-stal-30mm-chetyre-sezona-79-0033/", "Инфо")</f>
        <v>Инфо</v>
      </c>
      <c r="F9168" s="16" t="s">
        <v>39</v>
      </c>
      <c r="G9168" s="15"/>
      <c r="H9168" s="15"/>
      <c r="I9168" s="15"/>
      <c r="J9168" s="16" t="s">
        <v>100</v>
      </c>
      <c r="K9168" s="15" t="s">
        <v>1094</v>
      </c>
      <c r="L9168" s="17">
        <v>5</v>
      </c>
      <c r="M9168" s="17">
        <v>144</v>
      </c>
      <c r="N9168" s="17">
        <v>5</v>
      </c>
      <c r="O9168" s="18">
        <v>183.26</v>
      </c>
      <c r="P9168" s="18">
        <v>150.21</v>
      </c>
      <c r="Q9168" s="18">
        <v>128.28</v>
      </c>
      <c r="R9168" s="18">
        <v>105.15</v>
      </c>
      <c r="S9168" s="18">
        <v>124.62</v>
      </c>
      <c r="T9168" s="18">
        <v>102.15</v>
      </c>
      <c r="U9168" s="16"/>
      <c r="V9168" s="16"/>
      <c r="W9168" s="16"/>
      <c r="X9168" s="19">
        <v>0.10100000000000001</v>
      </c>
      <c r="Y9168" s="20">
        <v>1.5799999999999999E-4</v>
      </c>
      <c r="Z9168" s="21">
        <v>4601004068124</v>
      </c>
    </row>
    <row r="9169" spans="1:26" ht="12" customHeight="1" outlineLevel="4" x14ac:dyDescent="0.2">
      <c r="A9169" s="14" t="s">
        <v>17470</v>
      </c>
      <c r="B9169" s="26" t="s">
        <v>17471</v>
      </c>
      <c r="C9169" s="52"/>
      <c r="D9169" s="55">
        <f t="shared" si="143"/>
        <v>0</v>
      </c>
      <c r="E9169" s="63" t="str">
        <f>HYPERLINK("https://www.sds-group.ru/product/zamok-navesnoy-seriya-stal-40mm-dlinnaya-duzhka-chetyre-sezona-79-0044/", "Инфо")</f>
        <v>Инфо</v>
      </c>
      <c r="F9169" s="16" t="s">
        <v>39</v>
      </c>
      <c r="G9169" s="15"/>
      <c r="H9169" s="15"/>
      <c r="I9169" s="15"/>
      <c r="J9169" s="16" t="s">
        <v>100</v>
      </c>
      <c r="K9169" s="15" t="s">
        <v>1277</v>
      </c>
      <c r="L9169" s="17">
        <v>5</v>
      </c>
      <c r="M9169" s="17">
        <v>96</v>
      </c>
      <c r="N9169" s="17">
        <v>5</v>
      </c>
      <c r="O9169" s="18">
        <v>269.51</v>
      </c>
      <c r="P9169" s="18">
        <v>220.91</v>
      </c>
      <c r="Q9169" s="18">
        <v>188.66</v>
      </c>
      <c r="R9169" s="18">
        <v>154.63999999999999</v>
      </c>
      <c r="S9169" s="18">
        <v>183.27</v>
      </c>
      <c r="T9169" s="18">
        <v>150.22</v>
      </c>
      <c r="U9169" s="16"/>
      <c r="V9169" s="16"/>
      <c r="W9169" s="16"/>
      <c r="X9169" s="19">
        <v>0.193</v>
      </c>
      <c r="Y9169" s="20">
        <v>2.2900000000000001E-4</v>
      </c>
      <c r="Z9169" s="21">
        <v>4601004075665</v>
      </c>
    </row>
    <row r="9170" spans="1:26" ht="12" customHeight="1" outlineLevel="4" x14ac:dyDescent="0.2">
      <c r="A9170" s="14" t="s">
        <v>17472</v>
      </c>
      <c r="B9170" s="26" t="s">
        <v>17473</v>
      </c>
      <c r="C9170" s="52"/>
      <c r="D9170" s="55">
        <f t="shared" si="143"/>
        <v>0</v>
      </c>
      <c r="E9170" s="63" t="str">
        <f>HYPERLINK("https://www.sds-group.ru/product/zamok-navesnoy-seriya-stal-40mm-chetyre-sezona-79-0034/", "Инфо")</f>
        <v>Инфо</v>
      </c>
      <c r="F9170" s="16" t="s">
        <v>39</v>
      </c>
      <c r="G9170" s="15"/>
      <c r="H9170" s="15"/>
      <c r="I9170" s="15"/>
      <c r="J9170" s="16" t="s">
        <v>100</v>
      </c>
      <c r="K9170" s="15" t="s">
        <v>1277</v>
      </c>
      <c r="L9170" s="17">
        <v>5</v>
      </c>
      <c r="M9170" s="17">
        <v>144</v>
      </c>
      <c r="N9170" s="17">
        <v>5</v>
      </c>
      <c r="O9170" s="18">
        <v>253.34</v>
      </c>
      <c r="P9170" s="18">
        <v>207.66</v>
      </c>
      <c r="Q9170" s="18">
        <v>215.34</v>
      </c>
      <c r="R9170" s="18">
        <v>176.51</v>
      </c>
      <c r="S9170" s="18">
        <v>172.27</v>
      </c>
      <c r="T9170" s="18">
        <v>141.19999999999999</v>
      </c>
      <c r="U9170" s="16"/>
      <c r="V9170" s="16"/>
      <c r="W9170" s="16" t="s">
        <v>40</v>
      </c>
      <c r="X9170" s="19">
        <v>0.183</v>
      </c>
      <c r="Y9170" s="20">
        <v>2.3000000000000001E-4</v>
      </c>
      <c r="Z9170" s="21">
        <v>4601004062566</v>
      </c>
    </row>
    <row r="9171" spans="1:26" ht="12" customHeight="1" outlineLevel="4" x14ac:dyDescent="0.2">
      <c r="A9171" s="14" t="s">
        <v>17474</v>
      </c>
      <c r="B9171" s="26" t="s">
        <v>17475</v>
      </c>
      <c r="C9171" s="52"/>
      <c r="D9171" s="55">
        <f t="shared" si="143"/>
        <v>0</v>
      </c>
      <c r="E9171" s="63" t="str">
        <f>HYPERLINK("https://www.sds-group.ru/product/zamok-navesnoy-seriya-stal-50mm-dlinnaya-duzhka-chetyre-sezona-79-0045/", "Инфо")</f>
        <v>Инфо</v>
      </c>
      <c r="F9171" s="16" t="s">
        <v>39</v>
      </c>
      <c r="G9171" s="15"/>
      <c r="H9171" s="15"/>
      <c r="I9171" s="15"/>
      <c r="J9171" s="16" t="s">
        <v>100</v>
      </c>
      <c r="K9171" s="15" t="s">
        <v>1277</v>
      </c>
      <c r="L9171" s="17">
        <v>5</v>
      </c>
      <c r="M9171" s="17">
        <v>96</v>
      </c>
      <c r="N9171" s="17">
        <v>5</v>
      </c>
      <c r="O9171" s="18">
        <v>366.53</v>
      </c>
      <c r="P9171" s="18">
        <v>300.43</v>
      </c>
      <c r="Q9171" s="18">
        <v>293.22000000000003</v>
      </c>
      <c r="R9171" s="18">
        <v>240.34</v>
      </c>
      <c r="S9171" s="18">
        <v>249.24</v>
      </c>
      <c r="T9171" s="18">
        <v>204.3</v>
      </c>
      <c r="U9171" s="16"/>
      <c r="V9171" s="16"/>
      <c r="W9171" s="16" t="s">
        <v>40</v>
      </c>
      <c r="X9171" s="19">
        <v>0.27800000000000002</v>
      </c>
      <c r="Y9171" s="20">
        <v>3.3199999999999999E-4</v>
      </c>
      <c r="Z9171" s="21">
        <v>4601004075672</v>
      </c>
    </row>
    <row r="9172" spans="1:26" ht="12" customHeight="1" outlineLevel="4" x14ac:dyDescent="0.2">
      <c r="A9172" s="14" t="s">
        <v>17476</v>
      </c>
      <c r="B9172" s="26" t="s">
        <v>17477</v>
      </c>
      <c r="C9172" s="52"/>
      <c r="D9172" s="55">
        <f t="shared" si="143"/>
        <v>0</v>
      </c>
      <c r="E9172" s="63" t="str">
        <f>HYPERLINK("https://www.sds-group.ru/product/zamok-navesnoy-seriya-stal-50mm-chetyre-sezona-79-0035/", "Инфо")</f>
        <v>Инфо</v>
      </c>
      <c r="F9172" s="16" t="s">
        <v>39</v>
      </c>
      <c r="G9172" s="15"/>
      <c r="H9172" s="15"/>
      <c r="I9172" s="15"/>
      <c r="J9172" s="16" t="s">
        <v>100</v>
      </c>
      <c r="K9172" s="15" t="s">
        <v>1277</v>
      </c>
      <c r="L9172" s="17">
        <v>5</v>
      </c>
      <c r="M9172" s="17">
        <v>96</v>
      </c>
      <c r="N9172" s="17">
        <v>5</v>
      </c>
      <c r="O9172" s="18">
        <v>334.19</v>
      </c>
      <c r="P9172" s="18">
        <v>273.93</v>
      </c>
      <c r="Q9172" s="18">
        <v>267.35000000000002</v>
      </c>
      <c r="R9172" s="18">
        <v>219.14</v>
      </c>
      <c r="S9172" s="18">
        <v>227.25</v>
      </c>
      <c r="T9172" s="18">
        <v>186.27</v>
      </c>
      <c r="U9172" s="16"/>
      <c r="V9172" s="16"/>
      <c r="W9172" s="16" t="s">
        <v>40</v>
      </c>
      <c r="X9172" s="19">
        <v>0.26700000000000002</v>
      </c>
      <c r="Y9172" s="20">
        <v>3.3399999999999999E-4</v>
      </c>
      <c r="Z9172" s="21">
        <v>4601004062573</v>
      </c>
    </row>
    <row r="9173" spans="1:26" ht="12" customHeight="1" outlineLevel="4" x14ac:dyDescent="0.2">
      <c r="A9173" s="14" t="s">
        <v>17478</v>
      </c>
      <c r="B9173" s="26" t="s">
        <v>17479</v>
      </c>
      <c r="C9173" s="52"/>
      <c r="D9173" s="55">
        <f t="shared" si="143"/>
        <v>0</v>
      </c>
      <c r="E9173" s="63" t="str">
        <f>HYPERLINK("https://www.sds-group.ru/product/zamok-navesnoy-seriya-stal-60mm-dlinnaya-duzhka-chetyre-sezona-79-0046/", "Инфо")</f>
        <v>Инфо</v>
      </c>
      <c r="F9173" s="16" t="s">
        <v>39</v>
      </c>
      <c r="G9173" s="15"/>
      <c r="H9173" s="15"/>
      <c r="I9173" s="15"/>
      <c r="J9173" s="17">
        <v>920</v>
      </c>
      <c r="K9173" s="15" t="s">
        <v>1094</v>
      </c>
      <c r="L9173" s="17">
        <v>5</v>
      </c>
      <c r="M9173" s="17">
        <v>72</v>
      </c>
      <c r="N9173" s="17">
        <v>5</v>
      </c>
      <c r="O9173" s="18">
        <v>463.55</v>
      </c>
      <c r="P9173" s="18">
        <v>379.96</v>
      </c>
      <c r="Q9173" s="18">
        <v>370.84</v>
      </c>
      <c r="R9173" s="18">
        <v>303.97000000000003</v>
      </c>
      <c r="S9173" s="18">
        <v>315.20999999999998</v>
      </c>
      <c r="T9173" s="18">
        <v>258.37</v>
      </c>
      <c r="U9173" s="16"/>
      <c r="V9173" s="16"/>
      <c r="W9173" s="16" t="s">
        <v>40</v>
      </c>
      <c r="X9173" s="19">
        <v>0.36199999999999999</v>
      </c>
      <c r="Y9173" s="20">
        <v>3.8999999999999999E-4</v>
      </c>
      <c r="Z9173" s="21">
        <v>4601004075689</v>
      </c>
    </row>
    <row r="9174" spans="1:26" ht="12" customHeight="1" outlineLevel="4" x14ac:dyDescent="0.2">
      <c r="A9174" s="14" t="s">
        <v>17480</v>
      </c>
      <c r="B9174" s="26" t="s">
        <v>17481</v>
      </c>
      <c r="C9174" s="52"/>
      <c r="D9174" s="55">
        <f t="shared" si="143"/>
        <v>0</v>
      </c>
      <c r="E9174" s="63" t="str">
        <f>HYPERLINK("https://www.sds-group.ru/product/zamok-navesnoy-seriya-stal-60mm-chetyre-sezona-79-0036/", "Инфо")</f>
        <v>Инфо</v>
      </c>
      <c r="F9174" s="16" t="s">
        <v>39</v>
      </c>
      <c r="G9174" s="15"/>
      <c r="H9174" s="15"/>
      <c r="I9174" s="15"/>
      <c r="J9174" s="16" t="s">
        <v>100</v>
      </c>
      <c r="K9174" s="15" t="s">
        <v>1277</v>
      </c>
      <c r="L9174" s="17">
        <v>5</v>
      </c>
      <c r="M9174" s="17">
        <v>36</v>
      </c>
      <c r="N9174" s="17">
        <v>5</v>
      </c>
      <c r="O9174" s="18">
        <v>425.82</v>
      </c>
      <c r="P9174" s="18">
        <v>349.03</v>
      </c>
      <c r="Q9174" s="18">
        <v>340.66</v>
      </c>
      <c r="R9174" s="18">
        <v>279.23</v>
      </c>
      <c r="S9174" s="18">
        <v>289.56</v>
      </c>
      <c r="T9174" s="18">
        <v>237.34</v>
      </c>
      <c r="U9174" s="16"/>
      <c r="V9174" s="16"/>
      <c r="W9174" s="16" t="s">
        <v>40</v>
      </c>
      <c r="X9174" s="19">
        <v>0.34300000000000003</v>
      </c>
      <c r="Y9174" s="20">
        <v>3.2699999999999998E-4</v>
      </c>
      <c r="Z9174" s="21">
        <v>4601004062580</v>
      </c>
    </row>
    <row r="9175" spans="1:26" ht="12" customHeight="1" outlineLevel="4" x14ac:dyDescent="0.2">
      <c r="A9175" s="14" t="s">
        <v>17482</v>
      </c>
      <c r="B9175" s="26" t="s">
        <v>17483</v>
      </c>
      <c r="C9175" s="52"/>
      <c r="D9175" s="55">
        <f t="shared" si="143"/>
        <v>0</v>
      </c>
      <c r="E9175" s="63" t="str">
        <f>HYPERLINK("https://www.sds-group.ru/product/zamok-navesnoy-seriya-stal-70mm-dlinnaya-duzhka-chetyre-sezona-79-0047/", "Инфо")</f>
        <v>Инфо</v>
      </c>
      <c r="F9175" s="16" t="s">
        <v>39</v>
      </c>
      <c r="G9175" s="15"/>
      <c r="H9175" s="15"/>
      <c r="I9175" s="15"/>
      <c r="J9175" s="16" t="s">
        <v>100</v>
      </c>
      <c r="K9175" s="15" t="s">
        <v>1094</v>
      </c>
      <c r="L9175" s="17">
        <v>5</v>
      </c>
      <c r="M9175" s="17">
        <v>72</v>
      </c>
      <c r="N9175" s="17">
        <v>5</v>
      </c>
      <c r="O9175" s="18">
        <v>560.57000000000005</v>
      </c>
      <c r="P9175" s="18">
        <v>459.48</v>
      </c>
      <c r="Q9175" s="18">
        <v>448.46</v>
      </c>
      <c r="R9175" s="18">
        <v>367.59</v>
      </c>
      <c r="S9175" s="18">
        <v>381.19</v>
      </c>
      <c r="T9175" s="18">
        <v>312.45</v>
      </c>
      <c r="U9175" s="16"/>
      <c r="V9175" s="16"/>
      <c r="W9175" s="16" t="s">
        <v>40</v>
      </c>
      <c r="X9175" s="19">
        <v>0.90600000000000003</v>
      </c>
      <c r="Y9175" s="20">
        <v>7.5100000000000004E-4</v>
      </c>
      <c r="Z9175" s="21">
        <v>4601004075696</v>
      </c>
    </row>
    <row r="9176" spans="1:26" ht="12" customHeight="1" outlineLevel="4" x14ac:dyDescent="0.2">
      <c r="A9176" s="14" t="s">
        <v>17484</v>
      </c>
      <c r="B9176" s="26" t="s">
        <v>17485</v>
      </c>
      <c r="C9176" s="52"/>
      <c r="D9176" s="55">
        <f t="shared" si="143"/>
        <v>0</v>
      </c>
      <c r="E9176" s="63" t="str">
        <f>HYPERLINK("https://www.sds-group.ru/product/zamok-navesnoy-seriya-stal-70mm-chetyre-sezona-79-0037/", "Инфо")</f>
        <v>Инфо</v>
      </c>
      <c r="F9176" s="16" t="s">
        <v>39</v>
      </c>
      <c r="G9176" s="15"/>
      <c r="H9176" s="15"/>
      <c r="I9176" s="15"/>
      <c r="J9176" s="17">
        <v>854</v>
      </c>
      <c r="K9176" s="15" t="s">
        <v>1094</v>
      </c>
      <c r="L9176" s="17">
        <v>5</v>
      </c>
      <c r="M9176" s="17">
        <v>72</v>
      </c>
      <c r="N9176" s="17">
        <v>5</v>
      </c>
      <c r="O9176" s="18">
        <v>533.63</v>
      </c>
      <c r="P9176" s="18">
        <v>437.4</v>
      </c>
      <c r="Q9176" s="18">
        <v>426.9</v>
      </c>
      <c r="R9176" s="18">
        <v>349.92</v>
      </c>
      <c r="S9176" s="18">
        <v>362.87</v>
      </c>
      <c r="T9176" s="18">
        <v>297.43</v>
      </c>
      <c r="U9176" s="16"/>
      <c r="V9176" s="16"/>
      <c r="W9176" s="16" t="s">
        <v>40</v>
      </c>
      <c r="X9176" s="19">
        <v>0.44800000000000001</v>
      </c>
      <c r="Y9176" s="20">
        <v>5.8799999999999998E-4</v>
      </c>
      <c r="Z9176" s="21">
        <v>4601004062597</v>
      </c>
    </row>
    <row r="9177" spans="1:26" ht="12" customHeight="1" outlineLevel="4" x14ac:dyDescent="0.2">
      <c r="A9177" s="14" t="s">
        <v>17486</v>
      </c>
      <c r="B9177" s="26" t="s">
        <v>17487</v>
      </c>
      <c r="C9177" s="52"/>
      <c r="D9177" s="55">
        <f t="shared" si="143"/>
        <v>0</v>
      </c>
      <c r="E9177" s="63" t="str">
        <f>HYPERLINK("https://www.sds-group.ru/product/zamok-navesnoy-ssn-30-chetyre-sezona-79-0133/", "Инфо")</f>
        <v>Инфо</v>
      </c>
      <c r="F9177" s="16" t="s">
        <v>39</v>
      </c>
      <c r="G9177" s="15"/>
      <c r="H9177" s="15"/>
      <c r="I9177" s="15"/>
      <c r="J9177" s="22">
        <v>1449</v>
      </c>
      <c r="K9177" s="15" t="s">
        <v>1277</v>
      </c>
      <c r="L9177" s="17">
        <v>6</v>
      </c>
      <c r="M9177" s="17">
        <v>120</v>
      </c>
      <c r="N9177" s="17">
        <v>6</v>
      </c>
      <c r="O9177" s="18">
        <v>215.6</v>
      </c>
      <c r="P9177" s="18">
        <v>176.72</v>
      </c>
      <c r="Q9177" s="18">
        <v>150.91999999999999</v>
      </c>
      <c r="R9177" s="18">
        <v>123.7</v>
      </c>
      <c r="S9177" s="18">
        <v>146.61000000000001</v>
      </c>
      <c r="T9177" s="18">
        <v>120.17</v>
      </c>
      <c r="U9177" s="16"/>
      <c r="V9177" s="16"/>
      <c r="W9177" s="16"/>
      <c r="X9177" s="19">
        <v>0.106</v>
      </c>
      <c r="Y9177" s="20">
        <v>2.42E-4</v>
      </c>
      <c r="Z9177" s="21">
        <v>4601004137578</v>
      </c>
    </row>
    <row r="9178" spans="1:26" ht="12" customHeight="1" outlineLevel="4" x14ac:dyDescent="0.2">
      <c r="A9178" s="14" t="s">
        <v>17488</v>
      </c>
      <c r="B9178" s="26" t="s">
        <v>17489</v>
      </c>
      <c r="C9178" s="52"/>
      <c r="D9178" s="55">
        <f t="shared" si="143"/>
        <v>0</v>
      </c>
      <c r="E9178" s="63" t="str">
        <f>HYPERLINK("https://www.sds-group.ru/product/zamok-navesnoy-ssn-40-chetyre-sezona-79-0134/", "Инфо")</f>
        <v>Инфо</v>
      </c>
      <c r="F9178" s="16" t="s">
        <v>39</v>
      </c>
      <c r="G9178" s="15"/>
      <c r="H9178" s="15"/>
      <c r="I9178" s="15"/>
      <c r="J9178" s="16" t="s">
        <v>100</v>
      </c>
      <c r="K9178" s="15" t="s">
        <v>1094</v>
      </c>
      <c r="L9178" s="17">
        <v>6</v>
      </c>
      <c r="M9178" s="17">
        <v>72</v>
      </c>
      <c r="N9178" s="17">
        <v>6</v>
      </c>
      <c r="O9178" s="18">
        <v>280.29000000000002</v>
      </c>
      <c r="P9178" s="18">
        <v>229.75</v>
      </c>
      <c r="Q9178" s="18">
        <v>196.2</v>
      </c>
      <c r="R9178" s="18">
        <v>160.82</v>
      </c>
      <c r="S9178" s="18">
        <v>190.6</v>
      </c>
      <c r="T9178" s="18">
        <v>156.22999999999999</v>
      </c>
      <c r="U9178" s="16"/>
      <c r="V9178" s="16"/>
      <c r="W9178" s="16"/>
      <c r="X9178" s="19">
        <v>0.17499999999999999</v>
      </c>
      <c r="Y9178" s="20">
        <v>3.21E-4</v>
      </c>
      <c r="Z9178" s="21">
        <v>4601004137585</v>
      </c>
    </row>
    <row r="9179" spans="1:26" ht="12" customHeight="1" outlineLevel="4" x14ac:dyDescent="0.2">
      <c r="A9179" s="14" t="s">
        <v>17490</v>
      </c>
      <c r="B9179" s="26" t="s">
        <v>17491</v>
      </c>
      <c r="C9179" s="52"/>
      <c r="D9179" s="55">
        <f t="shared" si="143"/>
        <v>0</v>
      </c>
      <c r="E9179" s="63" t="str">
        <f>HYPERLINK("https://www.sds-group.ru/product/zamok-navesnoy-seriya-chugun-32mm-dlinnaya-duzhka-chetyre-sezona-79-0023/", "Инфо")</f>
        <v>Инфо</v>
      </c>
      <c r="F9179" s="16" t="s">
        <v>39</v>
      </c>
      <c r="G9179" s="15"/>
      <c r="H9179" s="15"/>
      <c r="I9179" s="15"/>
      <c r="J9179" s="16" t="s">
        <v>100</v>
      </c>
      <c r="K9179" s="15" t="s">
        <v>1094</v>
      </c>
      <c r="L9179" s="17">
        <v>6</v>
      </c>
      <c r="M9179" s="17">
        <v>144</v>
      </c>
      <c r="N9179" s="17">
        <v>6</v>
      </c>
      <c r="O9179" s="18">
        <v>166.02</v>
      </c>
      <c r="P9179" s="18">
        <v>136.08000000000001</v>
      </c>
      <c r="Q9179" s="18">
        <v>141.12</v>
      </c>
      <c r="R9179" s="18">
        <v>115.67</v>
      </c>
      <c r="S9179" s="18">
        <v>112.89</v>
      </c>
      <c r="T9179" s="18">
        <v>92.53</v>
      </c>
      <c r="U9179" s="16"/>
      <c r="V9179" s="16"/>
      <c r="W9179" s="16" t="s">
        <v>40</v>
      </c>
      <c r="X9179" s="19">
        <v>0.105</v>
      </c>
      <c r="Y9179" s="20">
        <v>2.0000000000000001E-4</v>
      </c>
      <c r="Z9179" s="21">
        <v>4601004075702</v>
      </c>
    </row>
    <row r="9180" spans="1:26" ht="12" customHeight="1" outlineLevel="4" x14ac:dyDescent="0.2">
      <c r="A9180" s="14" t="s">
        <v>17492</v>
      </c>
      <c r="B9180" s="26" t="s">
        <v>17493</v>
      </c>
      <c r="C9180" s="52"/>
      <c r="D9180" s="55">
        <f t="shared" si="143"/>
        <v>0</v>
      </c>
      <c r="E9180" s="63" t="str">
        <f>HYPERLINK("https://www.sds-group.ru/product/zamok-navesnoy-seriya-chugun-32mm-chetyre-sezona-79-0003/", "Инфо")</f>
        <v>Инфо</v>
      </c>
      <c r="F9180" s="16" t="s">
        <v>39</v>
      </c>
      <c r="G9180" s="15"/>
      <c r="H9180" s="15"/>
      <c r="I9180" s="15"/>
      <c r="J9180" s="22">
        <v>1736</v>
      </c>
      <c r="K9180" s="15" t="s">
        <v>1094</v>
      </c>
      <c r="L9180" s="17">
        <v>5</v>
      </c>
      <c r="M9180" s="17">
        <v>144</v>
      </c>
      <c r="N9180" s="17">
        <v>5</v>
      </c>
      <c r="O9180" s="18">
        <v>145.54</v>
      </c>
      <c r="P9180" s="18">
        <v>119.3</v>
      </c>
      <c r="Q9180" s="18">
        <v>123.71</v>
      </c>
      <c r="R9180" s="18">
        <v>101.4</v>
      </c>
      <c r="S9180" s="18">
        <v>98.97</v>
      </c>
      <c r="T9180" s="18">
        <v>81.12</v>
      </c>
      <c r="U9180" s="16"/>
      <c r="V9180" s="16"/>
      <c r="W9180" s="16" t="s">
        <v>40</v>
      </c>
      <c r="X9180" s="19">
        <v>9.6000000000000002E-2</v>
      </c>
      <c r="Y9180" s="20">
        <v>1.9100000000000001E-4</v>
      </c>
      <c r="Z9180" s="21">
        <v>4601004062610</v>
      </c>
    </row>
    <row r="9181" spans="1:26" ht="12" customHeight="1" outlineLevel="4" x14ac:dyDescent="0.2">
      <c r="A9181" s="14" t="s">
        <v>17494</v>
      </c>
      <c r="B9181" s="26" t="s">
        <v>17495</v>
      </c>
      <c r="C9181" s="52"/>
      <c r="D9181" s="55">
        <f t="shared" si="143"/>
        <v>0</v>
      </c>
      <c r="E9181" s="63" t="str">
        <f>HYPERLINK("https://www.sds-group.ru/product/zamok-navesnoy-seriya-chugun-40mm-dlinnaya-duzhka-chetyre-sezona-79-0024/", "Инфо")</f>
        <v>Инфо</v>
      </c>
      <c r="F9181" s="16" t="s">
        <v>39</v>
      </c>
      <c r="G9181" s="15"/>
      <c r="H9181" s="15"/>
      <c r="I9181" s="15"/>
      <c r="J9181" s="22">
        <v>3581</v>
      </c>
      <c r="K9181" s="15" t="s">
        <v>1094</v>
      </c>
      <c r="L9181" s="17">
        <v>5</v>
      </c>
      <c r="M9181" s="17">
        <v>144</v>
      </c>
      <c r="N9181" s="17">
        <v>5</v>
      </c>
      <c r="O9181" s="18">
        <v>204.82</v>
      </c>
      <c r="P9181" s="18">
        <v>167.89</v>
      </c>
      <c r="Q9181" s="18">
        <v>174.1</v>
      </c>
      <c r="R9181" s="18">
        <v>142.69999999999999</v>
      </c>
      <c r="S9181" s="18">
        <v>139.28</v>
      </c>
      <c r="T9181" s="18">
        <v>114.16</v>
      </c>
      <c r="U9181" s="16"/>
      <c r="V9181" s="16"/>
      <c r="W9181" s="16" t="s">
        <v>40</v>
      </c>
      <c r="X9181" s="19">
        <v>0.16300000000000001</v>
      </c>
      <c r="Y9181" s="20">
        <v>2.7500000000000002E-4</v>
      </c>
      <c r="Z9181" s="21">
        <v>4601004075610</v>
      </c>
    </row>
    <row r="9182" spans="1:26" ht="12" customHeight="1" outlineLevel="4" x14ac:dyDescent="0.2">
      <c r="A9182" s="14" t="s">
        <v>17496</v>
      </c>
      <c r="B9182" s="26" t="s">
        <v>17497</v>
      </c>
      <c r="C9182" s="52"/>
      <c r="D9182" s="55">
        <f t="shared" si="143"/>
        <v>0</v>
      </c>
      <c r="E9182" s="63" t="str">
        <f>HYPERLINK("https://www.sds-group.ru/product/zamok-navesnoy-seriya-chugun-40mm-chetyre-sezona-79-0004/", "Инфо")</f>
        <v>Инфо</v>
      </c>
      <c r="F9182" s="16" t="s">
        <v>39</v>
      </c>
      <c r="G9182" s="15"/>
      <c r="H9182" s="15"/>
      <c r="I9182" s="15"/>
      <c r="J9182" s="22">
        <v>3272</v>
      </c>
      <c r="K9182" s="15" t="s">
        <v>1277</v>
      </c>
      <c r="L9182" s="17">
        <v>5</v>
      </c>
      <c r="M9182" s="17">
        <v>144</v>
      </c>
      <c r="N9182" s="17">
        <v>5</v>
      </c>
      <c r="O9182" s="18">
        <v>188.66</v>
      </c>
      <c r="P9182" s="18">
        <v>154.63999999999999</v>
      </c>
      <c r="Q9182" s="18">
        <v>132.06</v>
      </c>
      <c r="R9182" s="18">
        <v>108.25</v>
      </c>
      <c r="S9182" s="18">
        <v>128.29</v>
      </c>
      <c r="T9182" s="18">
        <v>105.16</v>
      </c>
      <c r="U9182" s="16"/>
      <c r="V9182" s="16"/>
      <c r="W9182" s="16"/>
      <c r="X9182" s="19">
        <v>0.13700000000000001</v>
      </c>
      <c r="Y9182" s="20">
        <v>2.3499999999999999E-4</v>
      </c>
      <c r="Z9182" s="21">
        <v>4601004062528</v>
      </c>
    </row>
    <row r="9183" spans="1:26" ht="12" customHeight="1" outlineLevel="4" x14ac:dyDescent="0.2">
      <c r="A9183" s="14" t="s">
        <v>17498</v>
      </c>
      <c r="B9183" s="26" t="s">
        <v>17499</v>
      </c>
      <c r="C9183" s="52"/>
      <c r="D9183" s="55">
        <f t="shared" si="143"/>
        <v>0</v>
      </c>
      <c r="E9183" s="63" t="str">
        <f>HYPERLINK("https://www.sds-group.ru/product/zamok-navesnoy-seriya-chugun-50mm-dlinnaya-duzhka-chetyre-sezona-79-0025/", "Инфо")</f>
        <v>Инфо</v>
      </c>
      <c r="F9183" s="16" t="s">
        <v>39</v>
      </c>
      <c r="G9183" s="15"/>
      <c r="H9183" s="15"/>
      <c r="I9183" s="15"/>
      <c r="J9183" s="17">
        <v>325</v>
      </c>
      <c r="K9183" s="15" t="s">
        <v>1277</v>
      </c>
      <c r="L9183" s="17">
        <v>5</v>
      </c>
      <c r="M9183" s="17">
        <v>72</v>
      </c>
      <c r="N9183" s="17">
        <v>5</v>
      </c>
      <c r="O9183" s="18">
        <v>291.07</v>
      </c>
      <c r="P9183" s="18">
        <v>238.58</v>
      </c>
      <c r="Q9183" s="18">
        <v>247.41</v>
      </c>
      <c r="R9183" s="18">
        <v>202.8</v>
      </c>
      <c r="S9183" s="18">
        <v>197.93</v>
      </c>
      <c r="T9183" s="18">
        <v>162.24</v>
      </c>
      <c r="U9183" s="16"/>
      <c r="V9183" s="16"/>
      <c r="W9183" s="16" t="s">
        <v>40</v>
      </c>
      <c r="X9183" s="19">
        <v>0.25800000000000001</v>
      </c>
      <c r="Y9183" s="20">
        <v>3.4900000000000003E-4</v>
      </c>
      <c r="Z9183" s="21">
        <v>4601004075627</v>
      </c>
    </row>
    <row r="9184" spans="1:26" ht="12" customHeight="1" outlineLevel="4" x14ac:dyDescent="0.2">
      <c r="A9184" s="14" t="s">
        <v>17500</v>
      </c>
      <c r="B9184" s="26" t="s">
        <v>17501</v>
      </c>
      <c r="C9184" s="52"/>
      <c r="D9184" s="55">
        <f t="shared" si="143"/>
        <v>0</v>
      </c>
      <c r="E9184" s="63" t="str">
        <f>HYPERLINK("https://www.sds-group.ru/product/zamok-navesnoy-seriya-chugun-50mm-chetyre-sezona-79-0005/", "Инфо")</f>
        <v>Инфо</v>
      </c>
      <c r="F9184" s="16" t="s">
        <v>39</v>
      </c>
      <c r="G9184" s="15"/>
      <c r="H9184" s="15"/>
      <c r="I9184" s="15"/>
      <c r="J9184" s="22">
        <v>1187</v>
      </c>
      <c r="K9184" s="15" t="s">
        <v>1094</v>
      </c>
      <c r="L9184" s="17">
        <v>5</v>
      </c>
      <c r="M9184" s="17">
        <v>72</v>
      </c>
      <c r="N9184" s="17">
        <v>5</v>
      </c>
      <c r="O9184" s="18">
        <v>264.12</v>
      </c>
      <c r="P9184" s="18">
        <v>216.49</v>
      </c>
      <c r="Q9184" s="18">
        <v>224.5</v>
      </c>
      <c r="R9184" s="18">
        <v>184.02</v>
      </c>
      <c r="S9184" s="18">
        <v>179.6</v>
      </c>
      <c r="T9184" s="18">
        <v>147.21</v>
      </c>
      <c r="U9184" s="16"/>
      <c r="V9184" s="16"/>
      <c r="W9184" s="16" t="s">
        <v>40</v>
      </c>
      <c r="X9184" s="19">
        <v>0.23400000000000001</v>
      </c>
      <c r="Y9184" s="20">
        <v>2.8200000000000002E-4</v>
      </c>
      <c r="Z9184" s="21">
        <v>4601004062535</v>
      </c>
    </row>
    <row r="9185" spans="1:26" ht="12" customHeight="1" outlineLevel="4" x14ac:dyDescent="0.2">
      <c r="A9185" s="14" t="s">
        <v>17502</v>
      </c>
      <c r="B9185" s="26" t="s">
        <v>17503</v>
      </c>
      <c r="C9185" s="52"/>
      <c r="D9185" s="55">
        <f t="shared" si="143"/>
        <v>0</v>
      </c>
      <c r="E9185" s="63" t="str">
        <f>HYPERLINK("https://www.sds-group.ru/product/zamok-navesnoy-seriya-chugun-60mm-dlinnaya-duzhka-chetyre-sezona-79-0026/", "Инфо")</f>
        <v>Инфо</v>
      </c>
      <c r="F9185" s="16" t="s">
        <v>39</v>
      </c>
      <c r="G9185" s="15"/>
      <c r="H9185" s="15"/>
      <c r="I9185" s="15"/>
      <c r="J9185" s="22">
        <v>1905</v>
      </c>
      <c r="K9185" s="15"/>
      <c r="L9185" s="17">
        <v>6</v>
      </c>
      <c r="M9185" s="17">
        <v>48</v>
      </c>
      <c r="N9185" s="17">
        <v>6</v>
      </c>
      <c r="O9185" s="18">
        <v>474.33</v>
      </c>
      <c r="P9185" s="18">
        <v>388.8</v>
      </c>
      <c r="Q9185" s="18">
        <v>379.46</v>
      </c>
      <c r="R9185" s="18">
        <v>311.02999999999997</v>
      </c>
      <c r="S9185" s="18">
        <v>322.54000000000002</v>
      </c>
      <c r="T9185" s="18">
        <v>264.38</v>
      </c>
      <c r="U9185" s="16"/>
      <c r="V9185" s="16"/>
      <c r="W9185" s="16" t="s">
        <v>40</v>
      </c>
      <c r="X9185" s="19">
        <v>0.47099999999999997</v>
      </c>
      <c r="Y9185" s="20">
        <v>7.4600000000000003E-4</v>
      </c>
      <c r="Z9185" s="21">
        <v>4601004075634</v>
      </c>
    </row>
    <row r="9186" spans="1:26" ht="12" customHeight="1" outlineLevel="4" x14ac:dyDescent="0.2">
      <c r="A9186" s="14" t="s">
        <v>17504</v>
      </c>
      <c r="B9186" s="26" t="s">
        <v>17505</v>
      </c>
      <c r="C9186" s="52"/>
      <c r="D9186" s="55">
        <f t="shared" si="143"/>
        <v>0</v>
      </c>
      <c r="E9186" s="63" t="str">
        <f>HYPERLINK("https://www.sds-group.ru/product/zamok-navesnoy-seriya-chugun-60mm-chetyre-sezona-79-0006/", "Инфо")</f>
        <v>Инфо</v>
      </c>
      <c r="F9186" s="16" t="s">
        <v>39</v>
      </c>
      <c r="G9186" s="15"/>
      <c r="H9186" s="15"/>
      <c r="I9186" s="15"/>
      <c r="J9186" s="22">
        <v>2063</v>
      </c>
      <c r="K9186" s="15" t="s">
        <v>1094</v>
      </c>
      <c r="L9186" s="17">
        <v>5</v>
      </c>
      <c r="M9186" s="17">
        <v>72</v>
      </c>
      <c r="N9186" s="17">
        <v>5</v>
      </c>
      <c r="O9186" s="18">
        <v>431.21</v>
      </c>
      <c r="P9186" s="18">
        <v>353.45</v>
      </c>
      <c r="Q9186" s="18">
        <v>344.97</v>
      </c>
      <c r="R9186" s="18">
        <v>282.76</v>
      </c>
      <c r="S9186" s="18">
        <v>293.22000000000003</v>
      </c>
      <c r="T9186" s="18">
        <v>240.34</v>
      </c>
      <c r="U9186" s="16"/>
      <c r="V9186" s="16"/>
      <c r="W9186" s="16" t="s">
        <v>40</v>
      </c>
      <c r="X9186" s="19">
        <v>0.42299999999999999</v>
      </c>
      <c r="Y9186" s="20">
        <v>4.1199999999999999E-4</v>
      </c>
      <c r="Z9186" s="21">
        <v>4601004062542</v>
      </c>
    </row>
    <row r="9187" spans="1:26" ht="12" customHeight="1" outlineLevel="4" x14ac:dyDescent="0.2">
      <c r="A9187" s="14" t="s">
        <v>17506</v>
      </c>
      <c r="B9187" s="26" t="s">
        <v>17507</v>
      </c>
      <c r="C9187" s="52"/>
      <c r="D9187" s="55">
        <f t="shared" si="143"/>
        <v>0</v>
      </c>
      <c r="E9187" s="63" t="str">
        <f>HYPERLINK("https://www.sds-group.ru/product/zamok-navesnoy-seriya-chugun-75mm-dlinnaya-duzhka-chetyre-sezona-79-0027/", "Инфо")</f>
        <v>Инфо</v>
      </c>
      <c r="F9187" s="16" t="s">
        <v>39</v>
      </c>
      <c r="G9187" s="15"/>
      <c r="H9187" s="15"/>
      <c r="I9187" s="15"/>
      <c r="J9187" s="16" t="s">
        <v>100</v>
      </c>
      <c r="K9187" s="15" t="s">
        <v>1277</v>
      </c>
      <c r="L9187" s="17">
        <v>6</v>
      </c>
      <c r="M9187" s="17">
        <v>48</v>
      </c>
      <c r="N9187" s="17">
        <v>6</v>
      </c>
      <c r="O9187" s="18">
        <v>582.13</v>
      </c>
      <c r="P9187" s="18">
        <v>477.16</v>
      </c>
      <c r="Q9187" s="18">
        <v>465.7</v>
      </c>
      <c r="R9187" s="18">
        <v>381.72</v>
      </c>
      <c r="S9187" s="18">
        <v>395.85</v>
      </c>
      <c r="T9187" s="18">
        <v>324.47000000000003</v>
      </c>
      <c r="U9187" s="16"/>
      <c r="V9187" s="16"/>
      <c r="W9187" s="16" t="s">
        <v>40</v>
      </c>
      <c r="X9187" s="19">
        <v>0.58899999999999997</v>
      </c>
      <c r="Y9187" s="20">
        <v>4.08E-4</v>
      </c>
      <c r="Z9187" s="21">
        <v>4601004075641</v>
      </c>
    </row>
    <row r="9188" spans="1:26" ht="12" customHeight="1" outlineLevel="4" x14ac:dyDescent="0.2">
      <c r="A9188" s="14" t="s">
        <v>17508</v>
      </c>
      <c r="B9188" s="26" t="s">
        <v>17509</v>
      </c>
      <c r="C9188" s="52"/>
      <c r="D9188" s="55">
        <f t="shared" si="143"/>
        <v>0</v>
      </c>
      <c r="E9188" s="63" t="str">
        <f>HYPERLINK("https://www.sds-group.ru/product/zamok-navesnoy-seriya-chugun-75mm-chetyre-sezona-79-0007/", "Инфо")</f>
        <v>Инфо</v>
      </c>
      <c r="F9188" s="16" t="s">
        <v>39</v>
      </c>
      <c r="G9188" s="15"/>
      <c r="H9188" s="15"/>
      <c r="I9188" s="15"/>
      <c r="J9188" s="22">
        <v>1391</v>
      </c>
      <c r="K9188" s="15" t="s">
        <v>1094</v>
      </c>
      <c r="L9188" s="17">
        <v>5</v>
      </c>
      <c r="M9188" s="17">
        <v>48</v>
      </c>
      <c r="N9188" s="17">
        <v>5</v>
      </c>
      <c r="O9188" s="18">
        <v>549.79</v>
      </c>
      <c r="P9188" s="18">
        <v>450.65</v>
      </c>
      <c r="Q9188" s="18">
        <v>439.83</v>
      </c>
      <c r="R9188" s="18">
        <v>360.52</v>
      </c>
      <c r="S9188" s="18">
        <v>373.86</v>
      </c>
      <c r="T9188" s="18">
        <v>306.44</v>
      </c>
      <c r="U9188" s="16"/>
      <c r="V9188" s="16"/>
      <c r="W9188" s="16" t="s">
        <v>40</v>
      </c>
      <c r="X9188" s="19">
        <v>0.59399999999999997</v>
      </c>
      <c r="Y9188" s="20">
        <v>6.4599999999999998E-4</v>
      </c>
      <c r="Z9188" s="21">
        <v>4601004062559</v>
      </c>
    </row>
    <row r="9189" spans="1:26" ht="12" customHeight="1" outlineLevel="4" x14ac:dyDescent="0.2">
      <c r="A9189" s="14" t="s">
        <v>17510</v>
      </c>
      <c r="B9189" s="26" t="s">
        <v>17511</v>
      </c>
      <c r="C9189" s="52"/>
      <c r="D9189" s="55">
        <f t="shared" si="143"/>
        <v>0</v>
      </c>
      <c r="E9189" s="63" t="str">
        <f>HYPERLINK("https://www.sds-group.ru/product/zamok-navesnoy-seriya-chugun-sch-25-bagazhnyy-chetyre-sezona-79-0002/", "Инфо")</f>
        <v>Инфо</v>
      </c>
      <c r="F9189" s="16" t="s">
        <v>39</v>
      </c>
      <c r="G9189" s="15"/>
      <c r="H9189" s="15"/>
      <c r="I9189" s="15"/>
      <c r="J9189" s="16" t="s">
        <v>100</v>
      </c>
      <c r="K9189" s="15" t="s">
        <v>1094</v>
      </c>
      <c r="L9189" s="17">
        <v>5</v>
      </c>
      <c r="M9189" s="17">
        <v>216</v>
      </c>
      <c r="N9189" s="17">
        <v>5</v>
      </c>
      <c r="O9189" s="18">
        <v>107.8</v>
      </c>
      <c r="P9189" s="18">
        <v>88.36</v>
      </c>
      <c r="Q9189" s="18">
        <v>91.63</v>
      </c>
      <c r="R9189" s="18">
        <v>75.11</v>
      </c>
      <c r="S9189" s="18">
        <v>73.3</v>
      </c>
      <c r="T9189" s="18">
        <v>60.08</v>
      </c>
      <c r="U9189" s="16"/>
      <c r="V9189" s="16"/>
      <c r="W9189" s="16" t="s">
        <v>40</v>
      </c>
      <c r="X9189" s="19">
        <v>5.7000000000000002E-2</v>
      </c>
      <c r="Y9189" s="20">
        <v>1.46E-4</v>
      </c>
      <c r="Z9189" s="21">
        <v>4601004147706</v>
      </c>
    </row>
    <row r="9190" spans="1:26" ht="12.95" customHeight="1" outlineLevel="3" x14ac:dyDescent="0.2">
      <c r="A9190" s="76" t="s">
        <v>17512</v>
      </c>
      <c r="B9190" s="76"/>
      <c r="C9190" s="77"/>
      <c r="D9190" s="58"/>
      <c r="E9190" s="68"/>
      <c r="F9190" s="13"/>
      <c r="G9190" s="13"/>
      <c r="H9190" s="13"/>
      <c r="I9190" s="13"/>
      <c r="J9190" s="13"/>
      <c r="K9190" s="13"/>
      <c r="L9190" s="13"/>
      <c r="M9190" s="13"/>
      <c r="N9190" s="13"/>
      <c r="O9190" s="13"/>
      <c r="P9190" s="13"/>
      <c r="Q9190" s="13"/>
      <c r="R9190" s="13"/>
      <c r="S9190" s="13"/>
      <c r="T9190" s="13"/>
      <c r="U9190" s="13"/>
      <c r="V9190" s="13"/>
      <c r="W9190" s="13"/>
      <c r="X9190" s="13"/>
      <c r="Y9190" s="13"/>
      <c r="Z9190" s="13"/>
    </row>
    <row r="9191" spans="1:26" ht="12" customHeight="1" outlineLevel="4" x14ac:dyDescent="0.2">
      <c r="A9191" s="14" t="s">
        <v>17513</v>
      </c>
      <c r="B9191" s="26" t="s">
        <v>17514</v>
      </c>
      <c r="C9191" s="52"/>
      <c r="D9191" s="55">
        <f t="shared" si="143"/>
        <v>0</v>
      </c>
      <c r="E9191" s="63" t="str">
        <f>HYPERLINK("https://www.sds-group.ru/product/zamok-pochtovyy-18-18-40-chetyre-sezona-79-1110/", "Инфо")</f>
        <v>Инфо</v>
      </c>
      <c r="F9191" s="16" t="s">
        <v>39</v>
      </c>
      <c r="G9191" s="15"/>
      <c r="H9191" s="15"/>
      <c r="I9191" s="15"/>
      <c r="J9191" s="22">
        <v>8643</v>
      </c>
      <c r="K9191" s="15" t="s">
        <v>1055</v>
      </c>
      <c r="L9191" s="17">
        <v>10</v>
      </c>
      <c r="M9191" s="17">
        <v>240</v>
      </c>
      <c r="N9191" s="17">
        <v>10</v>
      </c>
      <c r="O9191" s="18">
        <v>112.12</v>
      </c>
      <c r="P9191" s="18">
        <v>91.9</v>
      </c>
      <c r="Q9191" s="18">
        <v>78.48</v>
      </c>
      <c r="R9191" s="18">
        <v>64.33</v>
      </c>
      <c r="S9191" s="18">
        <v>76.239999999999995</v>
      </c>
      <c r="T9191" s="18">
        <v>62.49</v>
      </c>
      <c r="U9191" s="16"/>
      <c r="V9191" s="16"/>
      <c r="W9191" s="16"/>
      <c r="X9191" s="19">
        <v>3.2000000000000001E-2</v>
      </c>
      <c r="Y9191" s="20">
        <v>6.6000000000000005E-5</v>
      </c>
      <c r="Z9191" s="21">
        <v>4601004137592</v>
      </c>
    </row>
    <row r="9192" spans="1:26" ht="12" customHeight="1" outlineLevel="4" x14ac:dyDescent="0.2">
      <c r="A9192" s="14" t="s">
        <v>17515</v>
      </c>
      <c r="B9192" s="26" t="s">
        <v>17516</v>
      </c>
      <c r="C9192" s="52"/>
      <c r="D9192" s="55">
        <f t="shared" si="143"/>
        <v>0</v>
      </c>
      <c r="E9192" s="63" t="str">
        <f>HYPERLINK("https://www.sds-group.ru/product/zamok-pochtovyy-18-20-40-chetyre-sezona-79-1111/", "Инфо")</f>
        <v>Инфо</v>
      </c>
      <c r="F9192" s="16" t="s">
        <v>39</v>
      </c>
      <c r="G9192" s="15"/>
      <c r="H9192" s="15"/>
      <c r="I9192" s="15"/>
      <c r="J9192" s="16" t="s">
        <v>100</v>
      </c>
      <c r="K9192" s="15" t="s">
        <v>1055</v>
      </c>
      <c r="L9192" s="17">
        <v>12</v>
      </c>
      <c r="M9192" s="17">
        <v>240</v>
      </c>
      <c r="N9192" s="17">
        <v>12</v>
      </c>
      <c r="O9192" s="18">
        <v>129.36000000000001</v>
      </c>
      <c r="P9192" s="18">
        <v>106.03</v>
      </c>
      <c r="Q9192" s="18">
        <v>90.55</v>
      </c>
      <c r="R9192" s="18">
        <v>74.22</v>
      </c>
      <c r="S9192" s="18">
        <v>87.96</v>
      </c>
      <c r="T9192" s="18">
        <v>72.099999999999994</v>
      </c>
      <c r="U9192" s="16"/>
      <c r="V9192" s="16"/>
      <c r="W9192" s="16"/>
      <c r="X9192" s="19">
        <v>3.2000000000000001E-2</v>
      </c>
      <c r="Y9192" s="20">
        <v>6.3999999999999997E-5</v>
      </c>
      <c r="Z9192" s="21">
        <v>4601004137608</v>
      </c>
    </row>
    <row r="9193" spans="1:26" ht="12" customHeight="1" outlineLevel="4" x14ac:dyDescent="0.2">
      <c r="A9193" s="14" t="s">
        <v>17517</v>
      </c>
      <c r="B9193" s="26" t="s">
        <v>17518</v>
      </c>
      <c r="C9193" s="52"/>
      <c r="D9193" s="55">
        <f t="shared" si="143"/>
        <v>0</v>
      </c>
      <c r="E9193" s="63" t="str">
        <f>HYPERLINK("https://www.sds-group.ru/product/zamok-pochtovyy-18-30-40-chetyre-sezona-79-1113/", "Инфо")</f>
        <v>Инфо</v>
      </c>
      <c r="F9193" s="16" t="s">
        <v>39</v>
      </c>
      <c r="G9193" s="15"/>
      <c r="H9193" s="15"/>
      <c r="I9193" s="15"/>
      <c r="J9193" s="22">
        <v>9203</v>
      </c>
      <c r="K9193" s="15" t="s">
        <v>1055</v>
      </c>
      <c r="L9193" s="17">
        <v>10</v>
      </c>
      <c r="M9193" s="17">
        <v>240</v>
      </c>
      <c r="N9193" s="17">
        <v>10</v>
      </c>
      <c r="O9193" s="18">
        <v>191.89</v>
      </c>
      <c r="P9193" s="18">
        <v>157.29</v>
      </c>
      <c r="Q9193" s="18">
        <v>134.32</v>
      </c>
      <c r="R9193" s="18">
        <v>110.1</v>
      </c>
      <c r="S9193" s="18">
        <v>130.49</v>
      </c>
      <c r="T9193" s="18">
        <v>106.96</v>
      </c>
      <c r="U9193" s="16"/>
      <c r="V9193" s="16"/>
      <c r="W9193" s="16"/>
      <c r="X9193" s="19">
        <v>5.6000000000000001E-2</v>
      </c>
      <c r="Y9193" s="20">
        <v>5.8999999999999998E-5</v>
      </c>
      <c r="Z9193" s="21">
        <v>4601004137622</v>
      </c>
    </row>
    <row r="9194" spans="1:26" ht="12.95" customHeight="1" outlineLevel="3" x14ac:dyDescent="0.2">
      <c r="A9194" s="76" t="s">
        <v>17519</v>
      </c>
      <c r="B9194" s="76"/>
      <c r="C9194" s="77"/>
      <c r="D9194" s="58"/>
      <c r="E9194" s="68"/>
      <c r="F9194" s="13"/>
      <c r="G9194" s="13"/>
      <c r="H9194" s="13"/>
      <c r="I9194" s="13"/>
      <c r="J9194" s="13"/>
      <c r="K9194" s="13"/>
      <c r="L9194" s="13"/>
      <c r="M9194" s="13"/>
      <c r="N9194" s="13"/>
      <c r="O9194" s="13"/>
      <c r="P9194" s="13"/>
      <c r="Q9194" s="13"/>
      <c r="R9194" s="13"/>
      <c r="S9194" s="13"/>
      <c r="T9194" s="13"/>
      <c r="U9194" s="13"/>
      <c r="V9194" s="13"/>
      <c r="W9194" s="13"/>
      <c r="X9194" s="13"/>
      <c r="Y9194" s="13"/>
      <c r="Z9194" s="13"/>
    </row>
    <row r="9195" spans="1:26" ht="12" customHeight="1" outlineLevel="4" x14ac:dyDescent="0.2">
      <c r="A9195" s="14" t="s">
        <v>17520</v>
      </c>
      <c r="B9195" s="26" t="s">
        <v>17521</v>
      </c>
      <c r="C9195" s="52"/>
      <c r="D9195" s="55">
        <f t="shared" si="143"/>
        <v>0</v>
      </c>
      <c r="E9195" s="63" t="str">
        <f>HYPERLINK("https://www.sds-group.ru/product/zamok-trosovyy-vzlomostoykiy-dlya-velosipedov-i-kolyasok-s-klyuchom-100sm-zelenyy-chetyre-se-79-0303/", "Инфо")</f>
        <v>Инфо</v>
      </c>
      <c r="F9195" s="16" t="s">
        <v>39</v>
      </c>
      <c r="G9195" s="15"/>
      <c r="H9195" s="15"/>
      <c r="I9195" s="15"/>
      <c r="J9195" s="17">
        <v>242</v>
      </c>
      <c r="K9195" s="15" t="s">
        <v>1055</v>
      </c>
      <c r="L9195" s="17">
        <v>1</v>
      </c>
      <c r="M9195" s="17">
        <v>60</v>
      </c>
      <c r="N9195" s="17">
        <v>1</v>
      </c>
      <c r="O9195" s="18">
        <v>646.80999999999995</v>
      </c>
      <c r="P9195" s="18">
        <v>530.16999999999996</v>
      </c>
      <c r="Q9195" s="18">
        <v>452.77</v>
      </c>
      <c r="R9195" s="18">
        <v>371.12</v>
      </c>
      <c r="S9195" s="18">
        <v>439.83</v>
      </c>
      <c r="T9195" s="18">
        <v>360.52</v>
      </c>
      <c r="U9195" s="16"/>
      <c r="V9195" s="16"/>
      <c r="W9195" s="16"/>
      <c r="X9195" s="19">
        <v>0.313</v>
      </c>
      <c r="Y9195" s="20">
        <v>7.2199999999999999E-4</v>
      </c>
      <c r="Z9195" s="21">
        <v>4601004179561</v>
      </c>
    </row>
    <row r="9196" spans="1:26" ht="12" customHeight="1" outlineLevel="4" x14ac:dyDescent="0.2">
      <c r="A9196" s="14" t="s">
        <v>17522</v>
      </c>
      <c r="B9196" s="26" t="s">
        <v>17523</v>
      </c>
      <c r="C9196" s="52"/>
      <c r="D9196" s="55">
        <f t="shared" si="143"/>
        <v>0</v>
      </c>
      <c r="E9196" s="63" t="str">
        <f>HYPERLINK("https://www.sds-group.ru/product/trosoviy-zamok-vzlomostoykiy-dlya-velosipedov-i-kolyasok-s-klyuchom-100-sm-rozoviy-21117/", "Инфо")</f>
        <v>Инфо</v>
      </c>
      <c r="F9196" s="16" t="s">
        <v>39</v>
      </c>
      <c r="G9196" s="15"/>
      <c r="H9196" s="15"/>
      <c r="I9196" s="15"/>
      <c r="J9196" s="16" t="s">
        <v>100</v>
      </c>
      <c r="K9196" s="15" t="s">
        <v>1266</v>
      </c>
      <c r="L9196" s="17">
        <v>1</v>
      </c>
      <c r="M9196" s="17">
        <v>60</v>
      </c>
      <c r="N9196" s="17">
        <v>1</v>
      </c>
      <c r="O9196" s="18">
        <v>646.80999999999995</v>
      </c>
      <c r="P9196" s="18">
        <v>530.16999999999996</v>
      </c>
      <c r="Q9196" s="18">
        <v>452.77</v>
      </c>
      <c r="R9196" s="18">
        <v>371.12</v>
      </c>
      <c r="S9196" s="18">
        <v>439.83</v>
      </c>
      <c r="T9196" s="18">
        <v>360.52</v>
      </c>
      <c r="U9196" s="16"/>
      <c r="V9196" s="16"/>
      <c r="W9196" s="16"/>
      <c r="X9196" s="19">
        <v>0.313</v>
      </c>
      <c r="Y9196" s="20">
        <v>7.1699999999999997E-4</v>
      </c>
      <c r="Z9196" s="21">
        <v>4601004179578</v>
      </c>
    </row>
    <row r="9197" spans="1:26" ht="12" customHeight="1" outlineLevel="4" x14ac:dyDescent="0.2">
      <c r="A9197" s="14" t="s">
        <v>17524</v>
      </c>
      <c r="B9197" s="26" t="s">
        <v>17525</v>
      </c>
      <c r="C9197" s="52"/>
      <c r="D9197" s="55">
        <f t="shared" si="143"/>
        <v>0</v>
      </c>
      <c r="E9197" s="63" t="str">
        <f>HYPERLINK("https://www.sds-group.ru/product/zamok-trosovyy-vzlomostoykiy-dlya-velosipedov-i-kolyasok-s-klyuchom-100sm-chernyy-chetyre-se-79-0306/", "Инфо")</f>
        <v>Инфо</v>
      </c>
      <c r="F9197" s="16" t="s">
        <v>39</v>
      </c>
      <c r="G9197" s="15"/>
      <c r="H9197" s="15"/>
      <c r="I9197" s="15"/>
      <c r="J9197" s="17">
        <v>1</v>
      </c>
      <c r="K9197" s="15" t="s">
        <v>1055</v>
      </c>
      <c r="L9197" s="17">
        <v>1</v>
      </c>
      <c r="M9197" s="17">
        <v>60</v>
      </c>
      <c r="N9197" s="17">
        <v>1</v>
      </c>
      <c r="O9197" s="18">
        <v>657.59</v>
      </c>
      <c r="P9197" s="18">
        <v>539.01</v>
      </c>
      <c r="Q9197" s="18">
        <v>460.31</v>
      </c>
      <c r="R9197" s="18">
        <v>377.3</v>
      </c>
      <c r="S9197" s="18">
        <v>447.16</v>
      </c>
      <c r="T9197" s="18">
        <v>366.52</v>
      </c>
      <c r="U9197" s="16"/>
      <c r="V9197" s="16"/>
      <c r="W9197" s="16"/>
      <c r="X9197" s="19">
        <v>0.313</v>
      </c>
      <c r="Y9197" s="20">
        <v>7.2199999999999999E-4</v>
      </c>
      <c r="Z9197" s="21">
        <v>4601004179554</v>
      </c>
    </row>
    <row r="9198" spans="1:26" ht="12" customHeight="1" outlineLevel="4" x14ac:dyDescent="0.2">
      <c r="A9198" s="14" t="s">
        <v>17526</v>
      </c>
      <c r="B9198" s="26" t="s">
        <v>17527</v>
      </c>
      <c r="C9198" s="52"/>
      <c r="D9198" s="55">
        <f t="shared" si="143"/>
        <v>0</v>
      </c>
      <c r="E9198" s="63" t="str">
        <f>HYPERLINK("https://www.sds-group.ru/product/zamok-trosovyy-vzlomostoykiy-dlya-velosipedov-i-kolyasok-s-klyuchom-150sm-zelenyy-chetyre-se-79-0313/", "Инфо")</f>
        <v>Инфо</v>
      </c>
      <c r="F9198" s="16" t="s">
        <v>39</v>
      </c>
      <c r="G9198" s="15"/>
      <c r="H9198" s="15"/>
      <c r="I9198" s="15"/>
      <c r="J9198" s="17">
        <v>412</v>
      </c>
      <c r="K9198" s="15" t="s">
        <v>1055</v>
      </c>
      <c r="L9198" s="17">
        <v>1</v>
      </c>
      <c r="M9198" s="17">
        <v>40</v>
      </c>
      <c r="N9198" s="17">
        <v>1</v>
      </c>
      <c r="O9198" s="18">
        <v>765.39</v>
      </c>
      <c r="P9198" s="18">
        <v>627.37</v>
      </c>
      <c r="Q9198" s="18">
        <v>535.77</v>
      </c>
      <c r="R9198" s="18">
        <v>439.16</v>
      </c>
      <c r="S9198" s="18">
        <v>520.47</v>
      </c>
      <c r="T9198" s="18">
        <v>426.61</v>
      </c>
      <c r="U9198" s="16"/>
      <c r="V9198" s="16"/>
      <c r="W9198" s="16"/>
      <c r="X9198" s="19">
        <v>0.42</v>
      </c>
      <c r="Y9198" s="20">
        <v>1.024E-3</v>
      </c>
      <c r="Z9198" s="21">
        <v>4601004179592</v>
      </c>
    </row>
    <row r="9199" spans="1:26" ht="12" customHeight="1" outlineLevel="4" x14ac:dyDescent="0.2">
      <c r="A9199" s="14" t="s">
        <v>17528</v>
      </c>
      <c r="B9199" s="26" t="s">
        <v>17529</v>
      </c>
      <c r="C9199" s="52"/>
      <c r="D9199" s="55">
        <f t="shared" si="143"/>
        <v>0</v>
      </c>
      <c r="E9199" s="63" t="str">
        <f>HYPERLINK("https://www.sds-group.ru/product/zamok-trosovyy-vzlomostoykiy-dlya-velosipedov-i-kolyasok-s-klyuchom-150sm-rozovyy-chetyre-se-79-0314/", "Инфо")</f>
        <v>Инфо</v>
      </c>
      <c r="F9199" s="16" t="s">
        <v>39</v>
      </c>
      <c r="G9199" s="15"/>
      <c r="H9199" s="15"/>
      <c r="I9199" s="15"/>
      <c r="J9199" s="17">
        <v>451</v>
      </c>
      <c r="K9199" s="15" t="s">
        <v>1055</v>
      </c>
      <c r="L9199" s="17">
        <v>1</v>
      </c>
      <c r="M9199" s="17">
        <v>40</v>
      </c>
      <c r="N9199" s="17">
        <v>1</v>
      </c>
      <c r="O9199" s="18">
        <v>765.39</v>
      </c>
      <c r="P9199" s="18">
        <v>627.37</v>
      </c>
      <c r="Q9199" s="18">
        <v>535.77</v>
      </c>
      <c r="R9199" s="18">
        <v>439.16</v>
      </c>
      <c r="S9199" s="18">
        <v>520.47</v>
      </c>
      <c r="T9199" s="18">
        <v>426.61</v>
      </c>
      <c r="U9199" s="16"/>
      <c r="V9199" s="16"/>
      <c r="W9199" s="16"/>
      <c r="X9199" s="19">
        <v>0.41399999999999998</v>
      </c>
      <c r="Y9199" s="20">
        <v>1.0690000000000001E-3</v>
      </c>
      <c r="Z9199" s="21">
        <v>4601004179608</v>
      </c>
    </row>
    <row r="9200" spans="1:26" ht="12" customHeight="1" outlineLevel="4" x14ac:dyDescent="0.2">
      <c r="A9200" s="14" t="s">
        <v>17530</v>
      </c>
      <c r="B9200" s="26" t="s">
        <v>17531</v>
      </c>
      <c r="C9200" s="52"/>
      <c r="D9200" s="55">
        <f t="shared" si="143"/>
        <v>0</v>
      </c>
      <c r="E9200" s="63" t="str">
        <f>HYPERLINK("https://www.sds-group.ru/product/zamok-trosovyy-vzlomostoykiy-dlya-velosipedov-i-kolyasok-s-klyuchom-150sm-chernyy-chetyre-se-79-0316/", "Инфо")</f>
        <v>Инфо</v>
      </c>
      <c r="F9200" s="16" t="s">
        <v>39</v>
      </c>
      <c r="G9200" s="15"/>
      <c r="H9200" s="15"/>
      <c r="I9200" s="15"/>
      <c r="J9200" s="17">
        <v>303</v>
      </c>
      <c r="K9200" s="15" t="s">
        <v>1055</v>
      </c>
      <c r="L9200" s="17">
        <v>1</v>
      </c>
      <c r="M9200" s="17">
        <v>40</v>
      </c>
      <c r="N9200" s="17">
        <v>1</v>
      </c>
      <c r="O9200" s="18">
        <v>786.95</v>
      </c>
      <c r="P9200" s="18">
        <v>645.04</v>
      </c>
      <c r="Q9200" s="18">
        <v>550.87</v>
      </c>
      <c r="R9200" s="18">
        <v>451.53</v>
      </c>
      <c r="S9200" s="18">
        <v>535.13</v>
      </c>
      <c r="T9200" s="18">
        <v>438.63</v>
      </c>
      <c r="U9200" s="16"/>
      <c r="V9200" s="16"/>
      <c r="W9200" s="16"/>
      <c r="X9200" s="19">
        <v>0.42</v>
      </c>
      <c r="Y9200" s="20">
        <v>1.0250000000000001E-3</v>
      </c>
      <c r="Z9200" s="21">
        <v>4601004179585</v>
      </c>
    </row>
    <row r="9201" spans="1:26" ht="12" customHeight="1" outlineLevel="4" x14ac:dyDescent="0.2">
      <c r="A9201" s="14" t="s">
        <v>17532</v>
      </c>
      <c r="B9201" s="26" t="s">
        <v>17533</v>
      </c>
      <c r="C9201" s="52"/>
      <c r="D9201" s="55">
        <f t="shared" si="143"/>
        <v>0</v>
      </c>
      <c r="E9201" s="63" t="str">
        <f>HYPERLINK("https://www.sds-group.ru/product/zamok-trosovyy-vzlomostoykiy-dlya-velosipedov-i-kolyasok-s-klyuchom-65sm-zelenyy-chetyre-sez-79-0363/", "Инфо")</f>
        <v>Инфо</v>
      </c>
      <c r="F9201" s="16" t="s">
        <v>39</v>
      </c>
      <c r="G9201" s="15"/>
      <c r="H9201" s="15"/>
      <c r="I9201" s="15"/>
      <c r="J9201" s="17">
        <v>348</v>
      </c>
      <c r="K9201" s="15" t="s">
        <v>1055</v>
      </c>
      <c r="L9201" s="17">
        <v>5</v>
      </c>
      <c r="M9201" s="17">
        <v>60</v>
      </c>
      <c r="N9201" s="17">
        <v>5</v>
      </c>
      <c r="O9201" s="18">
        <v>560.57000000000005</v>
      </c>
      <c r="P9201" s="18">
        <v>459.48</v>
      </c>
      <c r="Q9201" s="18">
        <v>392.4</v>
      </c>
      <c r="R9201" s="18">
        <v>321.64</v>
      </c>
      <c r="S9201" s="18">
        <v>381.19</v>
      </c>
      <c r="T9201" s="18">
        <v>312.45</v>
      </c>
      <c r="U9201" s="16"/>
      <c r="V9201" s="16"/>
      <c r="W9201" s="16"/>
      <c r="X9201" s="19">
        <v>0.248</v>
      </c>
      <c r="Y9201" s="20">
        <v>8.4800000000000001E-4</v>
      </c>
      <c r="Z9201" s="21">
        <v>4601004179530</v>
      </c>
    </row>
    <row r="9202" spans="1:26" ht="12" customHeight="1" outlineLevel="4" x14ac:dyDescent="0.2">
      <c r="A9202" s="14" t="s">
        <v>17534</v>
      </c>
      <c r="B9202" s="26" t="s">
        <v>17535</v>
      </c>
      <c r="C9202" s="52"/>
      <c r="D9202" s="55">
        <f t="shared" si="143"/>
        <v>0</v>
      </c>
      <c r="E9202" s="63" t="str">
        <f>HYPERLINK("https://www.sds-group.ru/product/zamok-trosovyy-vzlomostoykiy-dlya-velosipedov-i-kolyasok-s-klyuchom-65sm-rozovyy-chetyre-sez-79-0364/", "Инфо")</f>
        <v>Инфо</v>
      </c>
      <c r="F9202" s="16" t="s">
        <v>39</v>
      </c>
      <c r="G9202" s="15"/>
      <c r="H9202" s="15"/>
      <c r="I9202" s="15"/>
      <c r="J9202" s="17">
        <v>198</v>
      </c>
      <c r="K9202" s="15" t="s">
        <v>1055</v>
      </c>
      <c r="L9202" s="17">
        <v>5</v>
      </c>
      <c r="M9202" s="17">
        <v>60</v>
      </c>
      <c r="N9202" s="17">
        <v>5</v>
      </c>
      <c r="O9202" s="18">
        <v>560.57000000000005</v>
      </c>
      <c r="P9202" s="18">
        <v>459.48</v>
      </c>
      <c r="Q9202" s="18">
        <v>392.4</v>
      </c>
      <c r="R9202" s="18">
        <v>321.64</v>
      </c>
      <c r="S9202" s="18">
        <v>381.19</v>
      </c>
      <c r="T9202" s="18">
        <v>312.45</v>
      </c>
      <c r="U9202" s="16"/>
      <c r="V9202" s="16"/>
      <c r="W9202" s="16"/>
      <c r="X9202" s="19">
        <v>0.248</v>
      </c>
      <c r="Y9202" s="20">
        <v>7.7800000000000015E-4</v>
      </c>
      <c r="Z9202" s="21">
        <v>4601004179547</v>
      </c>
    </row>
    <row r="9203" spans="1:26" ht="12" customHeight="1" outlineLevel="4" x14ac:dyDescent="0.2">
      <c r="A9203" s="14" t="s">
        <v>17536</v>
      </c>
      <c r="B9203" s="26" t="s">
        <v>17537</v>
      </c>
      <c r="C9203" s="52"/>
      <c r="D9203" s="55">
        <f t="shared" si="143"/>
        <v>0</v>
      </c>
      <c r="E9203" s="63" t="str">
        <f>HYPERLINK("https://www.sds-group.ru/product/zamok-trosovyy-vzlomostoykiy-dlya-velosipedov-i-kolyasok-s-klyuchom-65sm-chernyy-chetyre-sez-79-0366/", "Инфо")</f>
        <v>Инфо</v>
      </c>
      <c r="F9203" s="16" t="s">
        <v>39</v>
      </c>
      <c r="G9203" s="15"/>
      <c r="H9203" s="15"/>
      <c r="I9203" s="15"/>
      <c r="J9203" s="17">
        <v>749</v>
      </c>
      <c r="K9203" s="15" t="s">
        <v>1055</v>
      </c>
      <c r="L9203" s="17">
        <v>5</v>
      </c>
      <c r="M9203" s="17">
        <v>60</v>
      </c>
      <c r="N9203" s="17">
        <v>5</v>
      </c>
      <c r="O9203" s="18">
        <v>571.35</v>
      </c>
      <c r="P9203" s="18">
        <v>468.32</v>
      </c>
      <c r="Q9203" s="18">
        <v>399.95</v>
      </c>
      <c r="R9203" s="18">
        <v>327.83</v>
      </c>
      <c r="S9203" s="18">
        <v>388.52</v>
      </c>
      <c r="T9203" s="18">
        <v>318.45999999999998</v>
      </c>
      <c r="U9203" s="16"/>
      <c r="V9203" s="16"/>
      <c r="W9203" s="16"/>
      <c r="X9203" s="19">
        <v>0.248</v>
      </c>
      <c r="Y9203" s="20">
        <v>8.3299999999999997E-4</v>
      </c>
      <c r="Z9203" s="21">
        <v>4601004179523</v>
      </c>
    </row>
    <row r="9204" spans="1:26" ht="12" customHeight="1" outlineLevel="4" x14ac:dyDescent="0.2">
      <c r="A9204" s="14" t="s">
        <v>17538</v>
      </c>
      <c r="B9204" s="26" t="s">
        <v>17539</v>
      </c>
      <c r="C9204" s="52"/>
      <c r="D9204" s="55">
        <f t="shared" si="143"/>
        <v>0</v>
      </c>
      <c r="E9204" s="63" t="str">
        <f>HYPERLINK("https://www.sds-group.ru/product/zamok-trosovyy-kodovyy-vzlomostoykiy-dlya-velosipedov-i-kolyasok-100sm-zelenyy-chetyre-sezon-79-0203/", "Инфо")</f>
        <v>Инфо</v>
      </c>
      <c r="F9204" s="16" t="s">
        <v>39</v>
      </c>
      <c r="G9204" s="15"/>
      <c r="H9204" s="15"/>
      <c r="I9204" s="15"/>
      <c r="J9204" s="17">
        <v>89</v>
      </c>
      <c r="K9204" s="15"/>
      <c r="L9204" s="17">
        <v>1</v>
      </c>
      <c r="M9204" s="17">
        <v>40</v>
      </c>
      <c r="N9204" s="17">
        <v>1</v>
      </c>
      <c r="O9204" s="18">
        <v>754.61</v>
      </c>
      <c r="P9204" s="18">
        <v>618.53</v>
      </c>
      <c r="Q9204" s="18">
        <v>528.23</v>
      </c>
      <c r="R9204" s="18">
        <v>432.98</v>
      </c>
      <c r="S9204" s="18">
        <v>513.13</v>
      </c>
      <c r="T9204" s="18">
        <v>420.6</v>
      </c>
      <c r="U9204" s="16"/>
      <c r="V9204" s="16"/>
      <c r="W9204" s="16"/>
      <c r="X9204" s="19">
        <v>0.33</v>
      </c>
      <c r="Y9204" s="20">
        <v>1.2780000000000001E-3</v>
      </c>
      <c r="Z9204" s="21">
        <v>4601004179479</v>
      </c>
    </row>
    <row r="9205" spans="1:26" ht="12" customHeight="1" outlineLevel="4" x14ac:dyDescent="0.2">
      <c r="A9205" s="14" t="s">
        <v>17540</v>
      </c>
      <c r="B9205" s="26" t="s">
        <v>17541</v>
      </c>
      <c r="C9205" s="52"/>
      <c r="D9205" s="55">
        <f t="shared" si="143"/>
        <v>0</v>
      </c>
      <c r="E9205" s="63" t="str">
        <f>HYPERLINK("https://www.sds-group.ru/product/zamok-trosovyy-kodovyy-vzlomostoykiy-dlya-velosipedov-i-kolyasok-100sm-rozovyy-chetyre-sezon-79-0204/", "Инфо")</f>
        <v>Инфо</v>
      </c>
      <c r="F9205" s="16" t="s">
        <v>39</v>
      </c>
      <c r="G9205" s="15"/>
      <c r="H9205" s="15"/>
      <c r="I9205" s="15"/>
      <c r="J9205" s="16" t="s">
        <v>100</v>
      </c>
      <c r="K9205" s="15" t="s">
        <v>1055</v>
      </c>
      <c r="L9205" s="17">
        <v>1</v>
      </c>
      <c r="M9205" s="17">
        <v>40</v>
      </c>
      <c r="N9205" s="17">
        <v>1</v>
      </c>
      <c r="O9205" s="18">
        <v>754.61</v>
      </c>
      <c r="P9205" s="18">
        <v>618.53</v>
      </c>
      <c r="Q9205" s="18">
        <v>528.23</v>
      </c>
      <c r="R9205" s="18">
        <v>432.98</v>
      </c>
      <c r="S9205" s="18">
        <v>513.13</v>
      </c>
      <c r="T9205" s="18">
        <v>420.6</v>
      </c>
      <c r="U9205" s="16"/>
      <c r="V9205" s="16"/>
      <c r="W9205" s="16"/>
      <c r="X9205" s="19">
        <v>0.32300000000000001</v>
      </c>
      <c r="Y9205" s="20">
        <v>8.4800000000000001E-4</v>
      </c>
      <c r="Z9205" s="21">
        <v>4601004179486</v>
      </c>
    </row>
    <row r="9206" spans="1:26" ht="12" customHeight="1" outlineLevel="4" x14ac:dyDescent="0.2">
      <c r="A9206" s="14" t="s">
        <v>17542</v>
      </c>
      <c r="B9206" s="26" t="s">
        <v>17543</v>
      </c>
      <c r="C9206" s="52"/>
      <c r="D9206" s="55">
        <f t="shared" si="143"/>
        <v>0</v>
      </c>
      <c r="E9206" s="63" t="str">
        <f>HYPERLINK("https://www.sds-group.ru/product/zamok-trosovyy-kodovyy-vzlomostoykiy-dlya-velosipedov-i-kolyasok-100sm-chernyy-chetyre-sezon-79-0206/", "Инфо")</f>
        <v>Инфо</v>
      </c>
      <c r="F9206" s="16" t="s">
        <v>39</v>
      </c>
      <c r="G9206" s="15"/>
      <c r="H9206" s="15"/>
      <c r="I9206" s="15"/>
      <c r="J9206" s="17">
        <v>247</v>
      </c>
      <c r="K9206" s="15" t="s">
        <v>1055</v>
      </c>
      <c r="L9206" s="17">
        <v>1</v>
      </c>
      <c r="M9206" s="17">
        <v>40</v>
      </c>
      <c r="N9206" s="17">
        <v>1</v>
      </c>
      <c r="O9206" s="18">
        <v>776.17</v>
      </c>
      <c r="P9206" s="18">
        <v>636.20000000000005</v>
      </c>
      <c r="Q9206" s="18">
        <v>543.32000000000005</v>
      </c>
      <c r="R9206" s="18">
        <v>445.34</v>
      </c>
      <c r="S9206" s="18">
        <v>527.79999999999995</v>
      </c>
      <c r="T9206" s="18">
        <v>432.62</v>
      </c>
      <c r="U9206" s="16"/>
      <c r="V9206" s="16"/>
      <c r="W9206" s="16"/>
      <c r="X9206" s="19">
        <v>0.33</v>
      </c>
      <c r="Y9206" s="20">
        <v>8.0599999999999997E-4</v>
      </c>
      <c r="Z9206" s="21">
        <v>4601004179462</v>
      </c>
    </row>
    <row r="9207" spans="1:26" ht="12" customHeight="1" outlineLevel="4" x14ac:dyDescent="0.2">
      <c r="A9207" s="14" t="s">
        <v>17544</v>
      </c>
      <c r="B9207" s="26" t="s">
        <v>17545</v>
      </c>
      <c r="C9207" s="52"/>
      <c r="D9207" s="55">
        <f t="shared" si="143"/>
        <v>0</v>
      </c>
      <c r="E9207" s="63" t="str">
        <f>HYPERLINK("https://www.sds-group.ru/product/zamok-trosovyy-kodovyy-vzlomostoykiy-dlya-velosipedov-i-kolyasok-150sm-chernyy-chetyre-sezon-79-0216/", "Инфо")</f>
        <v>Инфо</v>
      </c>
      <c r="F9207" s="16" t="s">
        <v>39</v>
      </c>
      <c r="G9207" s="15"/>
      <c r="H9207" s="15"/>
      <c r="I9207" s="15"/>
      <c r="J9207" s="17">
        <v>60</v>
      </c>
      <c r="K9207" s="15"/>
      <c r="L9207" s="17">
        <v>1</v>
      </c>
      <c r="M9207" s="17">
        <v>40</v>
      </c>
      <c r="N9207" s="17">
        <v>1</v>
      </c>
      <c r="O9207" s="18">
        <v>916.32</v>
      </c>
      <c r="P9207" s="18">
        <v>751.08</v>
      </c>
      <c r="Q9207" s="18">
        <v>641.41999999999996</v>
      </c>
      <c r="R9207" s="18">
        <v>525.75</v>
      </c>
      <c r="S9207" s="18">
        <v>623.1</v>
      </c>
      <c r="T9207" s="18">
        <v>510.74</v>
      </c>
      <c r="U9207" s="16"/>
      <c r="V9207" s="16"/>
      <c r="W9207" s="16"/>
      <c r="X9207" s="19">
        <v>0.43099999999999999</v>
      </c>
      <c r="Y9207" s="20">
        <v>9.8799999999999995E-4</v>
      </c>
      <c r="Z9207" s="21">
        <v>4601004179493</v>
      </c>
    </row>
    <row r="9208" spans="1:26" ht="12" customHeight="1" outlineLevel="4" x14ac:dyDescent="0.2">
      <c r="A9208" s="14" t="s">
        <v>17546</v>
      </c>
      <c r="B9208" s="26" t="s">
        <v>17547</v>
      </c>
      <c r="C9208" s="52"/>
      <c r="D9208" s="55">
        <f t="shared" si="143"/>
        <v>0</v>
      </c>
      <c r="E9208" s="63" t="str">
        <f>HYPERLINK("https://www.sds-group.ru/product/zamok-trosovyy-kodovyy-vzlomostoykiy-dlya-velosipedov-i-kolyasok-65sm-zelenyy-chetyre-sezona-79-0263/", "Инфо")</f>
        <v>Инфо</v>
      </c>
      <c r="F9208" s="16" t="s">
        <v>39</v>
      </c>
      <c r="G9208" s="15"/>
      <c r="H9208" s="15"/>
      <c r="I9208" s="15"/>
      <c r="J9208" s="16" t="s">
        <v>100</v>
      </c>
      <c r="K9208" s="15" t="s">
        <v>1055</v>
      </c>
      <c r="L9208" s="17">
        <v>1</v>
      </c>
      <c r="M9208" s="17">
        <v>60</v>
      </c>
      <c r="N9208" s="17">
        <v>1</v>
      </c>
      <c r="O9208" s="18">
        <v>668.37</v>
      </c>
      <c r="P9208" s="18">
        <v>547.84</v>
      </c>
      <c r="Q9208" s="18">
        <v>467.86</v>
      </c>
      <c r="R9208" s="18">
        <v>383.49</v>
      </c>
      <c r="S9208" s="18">
        <v>454.49</v>
      </c>
      <c r="T9208" s="18">
        <v>372.53</v>
      </c>
      <c r="U9208" s="16"/>
      <c r="V9208" s="16"/>
      <c r="W9208" s="16"/>
      <c r="X9208" s="19">
        <v>0.26200000000000001</v>
      </c>
      <c r="Y9208" s="20">
        <v>7.2199999999999999E-4</v>
      </c>
      <c r="Z9208" s="21">
        <v>4601004179448</v>
      </c>
    </row>
    <row r="9209" spans="1:26" ht="12" customHeight="1" outlineLevel="4" x14ac:dyDescent="0.2">
      <c r="A9209" s="14" t="s">
        <v>17548</v>
      </c>
      <c r="B9209" s="26" t="s">
        <v>17549</v>
      </c>
      <c r="C9209" s="52"/>
      <c r="D9209" s="55">
        <f t="shared" si="143"/>
        <v>0</v>
      </c>
      <c r="E9209" s="63" t="str">
        <f>HYPERLINK("https://www.sds-group.ru/product/zamok-trosovyy-kodovyy-vzlomostoykiy-dlya-velosipedov-i-kolyasok-65sm-rozovyy-chetyre-sezona-79-0264/", "Инфо")</f>
        <v>Инфо</v>
      </c>
      <c r="F9209" s="16" t="s">
        <v>39</v>
      </c>
      <c r="G9209" s="15"/>
      <c r="H9209" s="15"/>
      <c r="I9209" s="15"/>
      <c r="J9209" s="16" t="s">
        <v>100</v>
      </c>
      <c r="K9209" s="15" t="s">
        <v>1055</v>
      </c>
      <c r="L9209" s="17">
        <v>1</v>
      </c>
      <c r="M9209" s="17">
        <v>60</v>
      </c>
      <c r="N9209" s="17">
        <v>1</v>
      </c>
      <c r="O9209" s="18">
        <v>668.37</v>
      </c>
      <c r="P9209" s="18">
        <v>547.84</v>
      </c>
      <c r="Q9209" s="18">
        <v>467.86</v>
      </c>
      <c r="R9209" s="18">
        <v>383.49</v>
      </c>
      <c r="S9209" s="18">
        <v>454.49</v>
      </c>
      <c r="T9209" s="18">
        <v>372.53</v>
      </c>
      <c r="U9209" s="16"/>
      <c r="V9209" s="16"/>
      <c r="W9209" s="16"/>
      <c r="X9209" s="19">
        <v>0.26200000000000001</v>
      </c>
      <c r="Y9209" s="20">
        <v>7.3800000000000005E-4</v>
      </c>
      <c r="Z9209" s="21">
        <v>4601004179455</v>
      </c>
    </row>
    <row r="9210" spans="1:26" ht="12" customHeight="1" outlineLevel="4" x14ac:dyDescent="0.2">
      <c r="A9210" s="14" t="s">
        <v>17550</v>
      </c>
      <c r="B9210" s="26" t="s">
        <v>17551</v>
      </c>
      <c r="C9210" s="52"/>
      <c r="D9210" s="55">
        <f t="shared" si="143"/>
        <v>0</v>
      </c>
      <c r="E9210" s="63" t="str">
        <f>HYPERLINK("https://www.sds-group.ru/product/zamok-trosovyy-kodovyy-vzlomostoykiy-dlya-velosipedov-i-kolyasok-65sm-chernyy-chetyre-sezona-79-0266/", "Инфо")</f>
        <v>Инфо</v>
      </c>
      <c r="F9210" s="16" t="s">
        <v>39</v>
      </c>
      <c r="G9210" s="15"/>
      <c r="H9210" s="15"/>
      <c r="I9210" s="15"/>
      <c r="J9210" s="17">
        <v>135</v>
      </c>
      <c r="K9210" s="15" t="s">
        <v>1055</v>
      </c>
      <c r="L9210" s="17">
        <v>1</v>
      </c>
      <c r="M9210" s="17">
        <v>60</v>
      </c>
      <c r="N9210" s="17">
        <v>1</v>
      </c>
      <c r="O9210" s="18">
        <v>700.71</v>
      </c>
      <c r="P9210" s="18">
        <v>574.35</v>
      </c>
      <c r="Q9210" s="18">
        <v>490.5</v>
      </c>
      <c r="R9210" s="18">
        <v>402.05</v>
      </c>
      <c r="S9210" s="18">
        <v>476.48</v>
      </c>
      <c r="T9210" s="18">
        <v>390.56</v>
      </c>
      <c r="U9210" s="16"/>
      <c r="V9210" s="16"/>
      <c r="W9210" s="16"/>
      <c r="X9210" s="19">
        <v>0.26200000000000001</v>
      </c>
      <c r="Y9210" s="20">
        <v>7.3300000000000004E-4</v>
      </c>
      <c r="Z9210" s="21">
        <v>4601004179622</v>
      </c>
    </row>
    <row r="9211" spans="1:26" ht="12" customHeight="1" outlineLevel="4" x14ac:dyDescent="0.2">
      <c r="A9211" s="14" t="s">
        <v>17552</v>
      </c>
      <c r="B9211" s="26" t="s">
        <v>17553</v>
      </c>
      <c r="C9211" s="52"/>
      <c r="D9211" s="55">
        <f t="shared" si="143"/>
        <v>0</v>
      </c>
      <c r="E9211" s="63" t="str">
        <f>HYPERLINK("https://www.sds-group.ru/product/zamok-skoba-u-obrazaznyy-15h21sm-chernyy-chetyre-sezona-79-0400/", "Инфо")</f>
        <v>Инфо</v>
      </c>
      <c r="F9211" s="16" t="s">
        <v>39</v>
      </c>
      <c r="G9211" s="15"/>
      <c r="H9211" s="15"/>
      <c r="I9211" s="15"/>
      <c r="J9211" s="17">
        <v>1</v>
      </c>
      <c r="K9211" s="15" t="s">
        <v>1055</v>
      </c>
      <c r="L9211" s="17">
        <v>1</v>
      </c>
      <c r="M9211" s="17">
        <v>20</v>
      </c>
      <c r="N9211" s="17">
        <v>1</v>
      </c>
      <c r="O9211" s="18">
        <v>1131.92</v>
      </c>
      <c r="P9211" s="18">
        <v>927.8</v>
      </c>
      <c r="Q9211" s="18">
        <v>792.34</v>
      </c>
      <c r="R9211" s="18">
        <v>649.46</v>
      </c>
      <c r="S9211" s="18">
        <v>769.71</v>
      </c>
      <c r="T9211" s="18">
        <v>630.91</v>
      </c>
      <c r="U9211" s="16"/>
      <c r="V9211" s="16"/>
      <c r="W9211" s="16"/>
      <c r="X9211" s="19">
        <v>0.74</v>
      </c>
      <c r="Y9211" s="20">
        <v>9.6699999999999998E-4</v>
      </c>
      <c r="Z9211" s="21">
        <v>4601004179615</v>
      </c>
    </row>
    <row r="9212" spans="1:26" ht="12.95" customHeight="1" outlineLevel="2" x14ac:dyDescent="0.2">
      <c r="A9212" s="76" t="s">
        <v>17554</v>
      </c>
      <c r="B9212" s="76"/>
      <c r="C9212" s="77"/>
      <c r="D9212" s="58"/>
      <c r="E9212" s="68"/>
      <c r="F9212" s="13"/>
      <c r="G9212" s="13"/>
      <c r="H9212" s="13"/>
      <c r="I9212" s="13"/>
      <c r="J9212" s="13"/>
      <c r="K9212" s="13"/>
      <c r="L9212" s="13"/>
      <c r="M9212" s="13"/>
      <c r="N9212" s="13"/>
      <c r="O9212" s="13"/>
      <c r="P9212" s="13"/>
      <c r="Q9212" s="13"/>
      <c r="R9212" s="13"/>
      <c r="S9212" s="13"/>
      <c r="T9212" s="13"/>
      <c r="U9212" s="13"/>
      <c r="V9212" s="13"/>
      <c r="W9212" s="13"/>
      <c r="X9212" s="13"/>
      <c r="Y9212" s="13"/>
      <c r="Z9212" s="13"/>
    </row>
    <row r="9213" spans="1:26" ht="12.95" customHeight="1" outlineLevel="3" x14ac:dyDescent="0.2">
      <c r="A9213" s="76" t="s">
        <v>17555</v>
      </c>
      <c r="B9213" s="76"/>
      <c r="C9213" s="77"/>
      <c r="D9213" s="58"/>
      <c r="E9213" s="68"/>
      <c r="F9213" s="13"/>
      <c r="G9213" s="13"/>
      <c r="H9213" s="13"/>
      <c r="I9213" s="13"/>
      <c r="J9213" s="13"/>
      <c r="K9213" s="13"/>
      <c r="L9213" s="13"/>
      <c r="M9213" s="13"/>
      <c r="N9213" s="13"/>
      <c r="O9213" s="13"/>
      <c r="P9213" s="13"/>
      <c r="Q9213" s="13"/>
      <c r="R9213" s="13"/>
      <c r="S9213" s="13"/>
      <c r="T9213" s="13"/>
      <c r="U9213" s="13"/>
      <c r="V9213" s="13"/>
      <c r="W9213" s="13"/>
      <c r="X9213" s="13"/>
      <c r="Y9213" s="13"/>
      <c r="Z9213" s="13"/>
    </row>
    <row r="9214" spans="1:26" ht="12" customHeight="1" outlineLevel="4" x14ac:dyDescent="0.2">
      <c r="A9214" s="14" t="s">
        <v>17556</v>
      </c>
      <c r="B9214" s="26" t="s">
        <v>17557</v>
      </c>
      <c r="C9214" s="52"/>
      <c r="D9214" s="55">
        <f t="shared" si="143"/>
        <v>0</v>
      </c>
      <c r="E9214" s="63" t="str">
        <f>HYPERLINK("https://www.sds-group.ru/product/razmorazhivatel-zamkov-210-ml-rexant-aerozol-85-0026/", "Инфо")</f>
        <v>Инфо</v>
      </c>
      <c r="F9214" s="16" t="s">
        <v>39</v>
      </c>
      <c r="G9214" s="15"/>
      <c r="H9214" s="15"/>
      <c r="I9214" s="15"/>
      <c r="J9214" s="16" t="s">
        <v>100</v>
      </c>
      <c r="K9214" s="15" t="s">
        <v>17558</v>
      </c>
      <c r="L9214" s="17">
        <v>5</v>
      </c>
      <c r="M9214" s="17">
        <v>12</v>
      </c>
      <c r="N9214" s="17">
        <v>5</v>
      </c>
      <c r="O9214" s="18">
        <v>325.56</v>
      </c>
      <c r="P9214" s="18">
        <v>266.85000000000002</v>
      </c>
      <c r="Q9214" s="18">
        <v>276.73</v>
      </c>
      <c r="R9214" s="18">
        <v>226.83</v>
      </c>
      <c r="S9214" s="18">
        <v>221.38</v>
      </c>
      <c r="T9214" s="18">
        <v>181.46</v>
      </c>
      <c r="U9214" s="16"/>
      <c r="V9214" s="16"/>
      <c r="W9214" s="16" t="s">
        <v>40</v>
      </c>
      <c r="X9214" s="19">
        <v>0.17100000000000001</v>
      </c>
      <c r="Y9214" s="20">
        <v>4.1599999999999997E-4</v>
      </c>
      <c r="Z9214" s="21">
        <v>4601004241923</v>
      </c>
    </row>
    <row r="9215" spans="1:26" ht="12" customHeight="1" outlineLevel="4" x14ac:dyDescent="0.2">
      <c r="A9215" s="14" t="s">
        <v>17559</v>
      </c>
      <c r="B9215" s="26" t="s">
        <v>17560</v>
      </c>
      <c r="C9215" s="52"/>
      <c r="D9215" s="55">
        <f t="shared" si="143"/>
        <v>0</v>
      </c>
      <c r="E9215" s="63" t="str">
        <f>HYPERLINK("https://www.sds-group.ru/product/smazka-dlya-begovyh-dorozhek-210-ml-rexant-85-0024/", "Инфо")</f>
        <v>Инфо</v>
      </c>
      <c r="F9215" s="16" t="s">
        <v>39</v>
      </c>
      <c r="G9215" s="15"/>
      <c r="H9215" s="15"/>
      <c r="I9215" s="15"/>
      <c r="J9215" s="22">
        <v>1957</v>
      </c>
      <c r="K9215" s="15" t="s">
        <v>1094</v>
      </c>
      <c r="L9215" s="17">
        <v>5</v>
      </c>
      <c r="M9215" s="17">
        <v>12</v>
      </c>
      <c r="N9215" s="17">
        <v>5</v>
      </c>
      <c r="O9215" s="18">
        <v>420.43</v>
      </c>
      <c r="P9215" s="18">
        <v>344.61</v>
      </c>
      <c r="Q9215" s="18">
        <v>357.37</v>
      </c>
      <c r="R9215" s="18">
        <v>292.93</v>
      </c>
      <c r="S9215" s="18">
        <v>285.89</v>
      </c>
      <c r="T9215" s="18">
        <v>234.34</v>
      </c>
      <c r="U9215" s="16"/>
      <c r="V9215" s="16"/>
      <c r="W9215" s="16" t="s">
        <v>40</v>
      </c>
      <c r="X9215" s="19">
        <v>0.182</v>
      </c>
      <c r="Y9215" s="20">
        <v>4.8899999999999996E-4</v>
      </c>
      <c r="Z9215" s="21">
        <v>4601004233546</v>
      </c>
    </row>
    <row r="9216" spans="1:26" ht="12" customHeight="1" outlineLevel="4" x14ac:dyDescent="0.2">
      <c r="A9216" s="14" t="s">
        <v>17561</v>
      </c>
      <c r="B9216" s="26" t="s">
        <v>17562</v>
      </c>
      <c r="C9216" s="52"/>
      <c r="D9216" s="55">
        <f t="shared" si="143"/>
        <v>0</v>
      </c>
      <c r="E9216" s="63" t="str">
        <f>HYPERLINK("https://www.sds-group.ru/product/smazka-dlya-petel-i-zamkov-s-teflonom-210-ml-rexant-85-0011/", "Инфо")</f>
        <v>Инфо</v>
      </c>
      <c r="F9216" s="16" t="s">
        <v>39</v>
      </c>
      <c r="G9216" s="15"/>
      <c r="H9216" s="15"/>
      <c r="I9216" s="15"/>
      <c r="J9216" s="22">
        <v>6580</v>
      </c>
      <c r="K9216" s="15"/>
      <c r="L9216" s="17">
        <v>5</v>
      </c>
      <c r="M9216" s="17">
        <v>12</v>
      </c>
      <c r="N9216" s="17">
        <v>5</v>
      </c>
      <c r="O9216" s="18">
        <v>296.45999999999998</v>
      </c>
      <c r="P9216" s="18">
        <v>243</v>
      </c>
      <c r="Q9216" s="18">
        <v>251.99</v>
      </c>
      <c r="R9216" s="18">
        <v>206.55</v>
      </c>
      <c r="S9216" s="18">
        <v>201.59</v>
      </c>
      <c r="T9216" s="18">
        <v>165.24</v>
      </c>
      <c r="U9216" s="16"/>
      <c r="V9216" s="16"/>
      <c r="W9216" s="16" t="s">
        <v>40</v>
      </c>
      <c r="X9216" s="19">
        <v>0.16</v>
      </c>
      <c r="Y9216" s="20">
        <v>4.6700000000000002E-4</v>
      </c>
      <c r="Z9216" s="21">
        <v>4601004091511</v>
      </c>
    </row>
    <row r="9217" spans="1:26" ht="12" customHeight="1" outlineLevel="4" x14ac:dyDescent="0.2">
      <c r="A9217" s="14" t="s">
        <v>17563</v>
      </c>
      <c r="B9217" s="26" t="s">
        <v>17564</v>
      </c>
      <c r="C9217" s="52"/>
      <c r="D9217" s="55">
        <f t="shared" si="143"/>
        <v>0</v>
      </c>
      <c r="E9217" s="63" t="str">
        <f>HYPERLINK("https://www.sds-group.ru/product/smazka-pronikayuschaya-zhidkiy-klyuch-210-ml-rexant-85-0009/", "Инфо")</f>
        <v>Инфо</v>
      </c>
      <c r="F9217" s="16" t="s">
        <v>39</v>
      </c>
      <c r="G9217" s="15"/>
      <c r="H9217" s="15"/>
      <c r="I9217" s="15"/>
      <c r="J9217" s="22">
        <v>2780</v>
      </c>
      <c r="K9217" s="15" t="s">
        <v>1888</v>
      </c>
      <c r="L9217" s="17">
        <v>5</v>
      </c>
      <c r="M9217" s="17">
        <v>12</v>
      </c>
      <c r="N9217" s="17">
        <v>5</v>
      </c>
      <c r="O9217" s="18">
        <v>253.34</v>
      </c>
      <c r="P9217" s="18">
        <v>207.66</v>
      </c>
      <c r="Q9217" s="18">
        <v>215.34</v>
      </c>
      <c r="R9217" s="18">
        <v>176.51</v>
      </c>
      <c r="S9217" s="18">
        <v>172.27</v>
      </c>
      <c r="T9217" s="18">
        <v>141.19999999999999</v>
      </c>
      <c r="U9217" s="16"/>
      <c r="V9217" s="16"/>
      <c r="W9217" s="16" t="s">
        <v>40</v>
      </c>
      <c r="X9217" s="19">
        <v>0.16900000000000001</v>
      </c>
      <c r="Y9217" s="20">
        <v>4.75E-4</v>
      </c>
      <c r="Z9217" s="21">
        <v>4601004091498</v>
      </c>
    </row>
    <row r="9218" spans="1:26" ht="12" customHeight="1" outlineLevel="4" x14ac:dyDescent="0.2">
      <c r="A9218" s="14" t="s">
        <v>17565</v>
      </c>
      <c r="B9218" s="26" t="s">
        <v>17566</v>
      </c>
      <c r="C9218" s="52"/>
      <c r="D9218" s="55">
        <f t="shared" si="143"/>
        <v>0</v>
      </c>
      <c r="E9218" s="63" t="str">
        <f>HYPERLINK("https://www.sds-group.ru/product/silicon-210-ml-smazka-silikonovaya-mnogotselevaya-rexant-85-0008/", "Инфо")</f>
        <v>Инфо</v>
      </c>
      <c r="F9218" s="16" t="s">
        <v>39</v>
      </c>
      <c r="G9218" s="15"/>
      <c r="H9218" s="15"/>
      <c r="I9218" s="15"/>
      <c r="J9218" s="22">
        <v>1997</v>
      </c>
      <c r="K9218" s="15" t="s">
        <v>1888</v>
      </c>
      <c r="L9218" s="17">
        <v>5</v>
      </c>
      <c r="M9218" s="17">
        <v>12</v>
      </c>
      <c r="N9218" s="17">
        <v>5</v>
      </c>
      <c r="O9218" s="18">
        <v>280.29000000000002</v>
      </c>
      <c r="P9218" s="18">
        <v>229.75</v>
      </c>
      <c r="Q9218" s="18">
        <v>238.25</v>
      </c>
      <c r="R9218" s="18">
        <v>195.29</v>
      </c>
      <c r="S9218" s="18">
        <v>190.6</v>
      </c>
      <c r="T9218" s="18">
        <v>156.22999999999999</v>
      </c>
      <c r="U9218" s="16"/>
      <c r="V9218" s="16"/>
      <c r="W9218" s="16" t="s">
        <v>40</v>
      </c>
      <c r="X9218" s="19">
        <v>0.16500000000000001</v>
      </c>
      <c r="Y9218" s="20">
        <v>4.6700000000000002E-4</v>
      </c>
      <c r="Z9218" s="21">
        <v>4601004091535</v>
      </c>
    </row>
    <row r="9219" spans="1:26" ht="12" customHeight="1" outlineLevel="4" x14ac:dyDescent="0.2">
      <c r="A9219" s="14" t="s">
        <v>17567</v>
      </c>
      <c r="B9219" s="26" t="s">
        <v>17568</v>
      </c>
      <c r="C9219" s="52"/>
      <c r="D9219" s="55">
        <f t="shared" si="143"/>
        <v>0</v>
      </c>
      <c r="E9219" s="63" t="str">
        <f>HYPERLINK("https://www.sds-group.ru/product/smazka-universalnaya-rx-40-210-ml-rexant-85-0010/", "Инфо")</f>
        <v>Инфо</v>
      </c>
      <c r="F9219" s="16" t="s">
        <v>39</v>
      </c>
      <c r="G9219" s="15"/>
      <c r="H9219" s="15"/>
      <c r="I9219" s="15"/>
      <c r="J9219" s="22">
        <v>15985</v>
      </c>
      <c r="K9219" s="15" t="s">
        <v>1888</v>
      </c>
      <c r="L9219" s="17">
        <v>5</v>
      </c>
      <c r="M9219" s="17">
        <v>12</v>
      </c>
      <c r="N9219" s="17">
        <v>5</v>
      </c>
      <c r="O9219" s="18">
        <v>258.72000000000003</v>
      </c>
      <c r="P9219" s="18">
        <v>212.07</v>
      </c>
      <c r="Q9219" s="18">
        <v>219.91</v>
      </c>
      <c r="R9219" s="18">
        <v>180.25</v>
      </c>
      <c r="S9219" s="18">
        <v>175.93</v>
      </c>
      <c r="T9219" s="18">
        <v>144.19999999999999</v>
      </c>
      <c r="U9219" s="16"/>
      <c r="V9219" s="16"/>
      <c r="W9219" s="16" t="s">
        <v>40</v>
      </c>
      <c r="X9219" s="19">
        <v>0.17100000000000001</v>
      </c>
      <c r="Y9219" s="20">
        <v>4.7199999999999998E-4</v>
      </c>
      <c r="Z9219" s="21">
        <v>4601004342699</v>
      </c>
    </row>
    <row r="9220" spans="1:26" ht="12.95" customHeight="1" outlineLevel="3" x14ac:dyDescent="0.2">
      <c r="A9220" s="76" t="s">
        <v>17569</v>
      </c>
      <c r="B9220" s="76"/>
      <c r="C9220" s="77"/>
      <c r="D9220" s="58"/>
      <c r="E9220" s="68"/>
      <c r="F9220" s="13"/>
      <c r="G9220" s="13"/>
      <c r="H9220" s="13"/>
      <c r="I9220" s="13"/>
      <c r="J9220" s="13"/>
      <c r="K9220" s="13"/>
      <c r="L9220" s="13"/>
      <c r="M9220" s="13"/>
      <c r="N9220" s="13"/>
      <c r="O9220" s="13"/>
      <c r="P9220" s="13"/>
      <c r="Q9220" s="13"/>
      <c r="R9220" s="13"/>
      <c r="S9220" s="13"/>
      <c r="T9220" s="13"/>
      <c r="U9220" s="13"/>
      <c r="V9220" s="13"/>
      <c r="W9220" s="13"/>
      <c r="X9220" s="13"/>
      <c r="Y9220" s="13"/>
      <c r="Z9220" s="13"/>
    </row>
    <row r="9221" spans="1:26" ht="12" customHeight="1" outlineLevel="4" x14ac:dyDescent="0.2">
      <c r="A9221" s="14" t="s">
        <v>17570</v>
      </c>
      <c r="B9221" s="26" t="s">
        <v>17571</v>
      </c>
      <c r="C9221" s="52"/>
      <c r="D9221" s="55">
        <f t="shared" si="143"/>
        <v>0</v>
      </c>
      <c r="E9221" s="63" t="str">
        <f>HYPERLINK("https://www.sds-group.ru/product/antikley-universalnyy-3gr-proconnect-61-0922/", "Инфо")</f>
        <v>Инфо</v>
      </c>
      <c r="F9221" s="16" t="s">
        <v>39</v>
      </c>
      <c r="G9221" s="15"/>
      <c r="H9221" s="15"/>
      <c r="I9221" s="15"/>
      <c r="J9221" s="22">
        <v>19105</v>
      </c>
      <c r="K9221" s="15"/>
      <c r="L9221" s="17">
        <v>24</v>
      </c>
      <c r="M9221" s="17">
        <v>288</v>
      </c>
      <c r="N9221" s="17">
        <v>24</v>
      </c>
      <c r="O9221" s="18">
        <v>39.89</v>
      </c>
      <c r="P9221" s="18">
        <v>32.700000000000003</v>
      </c>
      <c r="Q9221" s="18">
        <v>33.909999999999997</v>
      </c>
      <c r="R9221" s="18">
        <v>27.8</v>
      </c>
      <c r="S9221" s="18">
        <v>27.13</v>
      </c>
      <c r="T9221" s="18">
        <v>22.24</v>
      </c>
      <c r="U9221" s="16"/>
      <c r="V9221" s="16"/>
      <c r="W9221" s="16" t="s">
        <v>40</v>
      </c>
      <c r="X9221" s="19">
        <v>1.7000000000000001E-2</v>
      </c>
      <c r="Y9221" s="20">
        <v>1.6200000000000001E-4</v>
      </c>
      <c r="Z9221" s="21">
        <v>4601004267862</v>
      </c>
    </row>
    <row r="9222" spans="1:26" ht="12" customHeight="1" outlineLevel="4" x14ac:dyDescent="0.2">
      <c r="A9222" s="14" t="s">
        <v>17572</v>
      </c>
      <c r="B9222" s="26" t="s">
        <v>17573</v>
      </c>
      <c r="C9222" s="52"/>
      <c r="D9222" s="55">
        <f t="shared" si="143"/>
        <v>0</v>
      </c>
      <c r="E9222" s="63" t="str">
        <f>HYPERLINK("https://www.sds-group.ru/product/kley-vlagostoykiy-dlya-reziny-30ml-proconnect-61-0918/", "Инфо")</f>
        <v>Инфо</v>
      </c>
      <c r="F9222" s="16" t="s">
        <v>39</v>
      </c>
      <c r="G9222" s="15"/>
      <c r="H9222" s="15"/>
      <c r="I9222" s="15"/>
      <c r="J9222" s="22">
        <v>4549</v>
      </c>
      <c r="K9222" s="15"/>
      <c r="L9222" s="17">
        <v>12</v>
      </c>
      <c r="M9222" s="17">
        <v>288</v>
      </c>
      <c r="N9222" s="17">
        <v>12</v>
      </c>
      <c r="O9222" s="18">
        <v>113.2</v>
      </c>
      <c r="P9222" s="18">
        <v>92.79</v>
      </c>
      <c r="Q9222" s="18">
        <v>96.22</v>
      </c>
      <c r="R9222" s="18">
        <v>78.87</v>
      </c>
      <c r="S9222" s="18">
        <v>76.98</v>
      </c>
      <c r="T9222" s="18">
        <v>63.1</v>
      </c>
      <c r="U9222" s="16"/>
      <c r="V9222" s="16"/>
      <c r="W9222" s="16" t="s">
        <v>40</v>
      </c>
      <c r="X9222" s="19">
        <v>0.06</v>
      </c>
      <c r="Y9222" s="20">
        <v>4.8200000000000001E-4</v>
      </c>
      <c r="Z9222" s="21">
        <v>4601004267824</v>
      </c>
    </row>
    <row r="9223" spans="1:26" ht="12" customHeight="1" outlineLevel="4" x14ac:dyDescent="0.2">
      <c r="A9223" s="14" t="s">
        <v>17574</v>
      </c>
      <c r="B9223" s="26" t="s">
        <v>17575</v>
      </c>
      <c r="C9223" s="52"/>
      <c r="D9223" s="55">
        <f t="shared" si="143"/>
        <v>0</v>
      </c>
      <c r="E9223" s="63" t="str">
        <f>HYPERLINK("https://www.sds-group.ru/product/kley-dlya-obuvi-3gr-proconnect-61-0917/", "Инфо")</f>
        <v>Инфо</v>
      </c>
      <c r="F9223" s="16" t="s">
        <v>39</v>
      </c>
      <c r="G9223" s="15"/>
      <c r="H9223" s="15"/>
      <c r="I9223" s="15"/>
      <c r="J9223" s="22">
        <v>17973</v>
      </c>
      <c r="K9223" s="15"/>
      <c r="L9223" s="17">
        <v>12</v>
      </c>
      <c r="M9223" s="17">
        <v>288</v>
      </c>
      <c r="N9223" s="17">
        <v>12</v>
      </c>
      <c r="O9223" s="18">
        <v>43.12</v>
      </c>
      <c r="P9223" s="18">
        <v>35.340000000000003</v>
      </c>
      <c r="Q9223" s="18">
        <v>36.65</v>
      </c>
      <c r="R9223" s="18">
        <v>30.04</v>
      </c>
      <c r="S9223" s="18">
        <v>29.32</v>
      </c>
      <c r="T9223" s="18">
        <v>24.03</v>
      </c>
      <c r="U9223" s="16"/>
      <c r="V9223" s="16"/>
      <c r="W9223" s="16" t="s">
        <v>40</v>
      </c>
      <c r="X9223" s="19">
        <v>1.7000000000000001E-2</v>
      </c>
      <c r="Y9223" s="20">
        <v>1.65E-4</v>
      </c>
      <c r="Z9223" s="21">
        <v>4601004267817</v>
      </c>
    </row>
    <row r="9224" spans="1:26" ht="12" customHeight="1" outlineLevel="4" x14ac:dyDescent="0.2">
      <c r="A9224" s="14" t="s">
        <v>17576</v>
      </c>
      <c r="B9224" s="26" t="s">
        <v>17577</v>
      </c>
      <c r="C9224" s="52"/>
      <c r="D9224" s="55">
        <f t="shared" si="143"/>
        <v>0</v>
      </c>
      <c r="E9224" s="63" t="str">
        <f>HYPERLINK("https://www.sds-group.ru/product/kley-epoksidnyy-universalnyy-smola-otverditel-rexant-110-ml-09-3968/", "Инфо")</f>
        <v>Инфо</v>
      </c>
      <c r="F9224" s="16" t="s">
        <v>39</v>
      </c>
      <c r="G9224" s="15"/>
      <c r="H9224" s="15"/>
      <c r="I9224" s="15"/>
      <c r="J9224" s="17">
        <v>796</v>
      </c>
      <c r="K9224" s="15" t="s">
        <v>1888</v>
      </c>
      <c r="L9224" s="17">
        <v>10</v>
      </c>
      <c r="M9224" s="17">
        <v>25</v>
      </c>
      <c r="N9224" s="17">
        <v>10</v>
      </c>
      <c r="O9224" s="18">
        <v>547.20000000000005</v>
      </c>
      <c r="P9224" s="18">
        <v>448.52</v>
      </c>
      <c r="Q9224" s="18">
        <v>508.9</v>
      </c>
      <c r="R9224" s="18">
        <v>417.13</v>
      </c>
      <c r="S9224" s="18">
        <v>372.1</v>
      </c>
      <c r="T9224" s="18">
        <v>305</v>
      </c>
      <c r="U9224" s="16"/>
      <c r="V9224" s="16"/>
      <c r="W9224" s="16" t="s">
        <v>40</v>
      </c>
      <c r="X9224" s="19">
        <v>0.16400000000000001</v>
      </c>
      <c r="Y9224" s="20">
        <v>3.5199999999999999E-4</v>
      </c>
      <c r="Z9224" s="21">
        <v>4601004061538</v>
      </c>
    </row>
    <row r="9225" spans="1:26" ht="12" customHeight="1" outlineLevel="4" x14ac:dyDescent="0.2">
      <c r="A9225" s="14" t="s">
        <v>17578</v>
      </c>
      <c r="B9225" s="26" t="s">
        <v>17579</v>
      </c>
      <c r="C9225" s="52"/>
      <c r="D9225" s="55">
        <f t="shared" ref="D9225:D9288" si="144">C9225*(O9225-O9225*$G$3)</f>
        <v>0</v>
      </c>
      <c r="E9225" s="63" t="str">
        <f>HYPERLINK("https://www.sds-group.ru/product/kley-epoksidnyy-universalnyy-smola-otverditel-rexant-17-ml-shprits-09-3969/", "Инфо")</f>
        <v>Инфо</v>
      </c>
      <c r="F9225" s="16" t="s">
        <v>39</v>
      </c>
      <c r="G9225" s="15"/>
      <c r="H9225" s="15"/>
      <c r="I9225" s="15"/>
      <c r="J9225" s="16" t="s">
        <v>100</v>
      </c>
      <c r="K9225" s="15" t="s">
        <v>1888</v>
      </c>
      <c r="L9225" s="17">
        <v>10</v>
      </c>
      <c r="M9225" s="17">
        <v>200</v>
      </c>
      <c r="N9225" s="17">
        <v>10</v>
      </c>
      <c r="O9225" s="18">
        <v>188.66</v>
      </c>
      <c r="P9225" s="18">
        <v>154.63999999999999</v>
      </c>
      <c r="Q9225" s="18">
        <v>160.36000000000001</v>
      </c>
      <c r="R9225" s="18">
        <v>131.44</v>
      </c>
      <c r="S9225" s="18">
        <v>128.29</v>
      </c>
      <c r="T9225" s="18">
        <v>105.16</v>
      </c>
      <c r="U9225" s="16"/>
      <c r="V9225" s="16"/>
      <c r="W9225" s="16" t="s">
        <v>40</v>
      </c>
      <c r="X9225" s="19">
        <v>3.7999999999999999E-2</v>
      </c>
      <c r="Y9225" s="20">
        <v>2.6400000000000002E-4</v>
      </c>
      <c r="Z9225" s="21">
        <v>4601004075238</v>
      </c>
    </row>
    <row r="9226" spans="1:26" ht="12" customHeight="1" outlineLevel="4" x14ac:dyDescent="0.2">
      <c r="A9226" s="14" t="s">
        <v>17580</v>
      </c>
      <c r="B9226" s="26" t="s">
        <v>17581</v>
      </c>
      <c r="C9226" s="52"/>
      <c r="D9226" s="55">
        <f t="shared" si="144"/>
        <v>0</v>
      </c>
      <c r="E9226" s="63" t="str">
        <f>HYPERLINK("https://www.sds-group.ru/product/kley-epoksidnyy-shprits-6ml-proconnect-61-0919/", "Инфо")</f>
        <v>Инфо</v>
      </c>
      <c r="F9226" s="16" t="s">
        <v>39</v>
      </c>
      <c r="G9226" s="15"/>
      <c r="H9226" s="15"/>
      <c r="I9226" s="15"/>
      <c r="J9226" s="22">
        <v>24774</v>
      </c>
      <c r="K9226" s="15"/>
      <c r="L9226" s="17">
        <v>12</v>
      </c>
      <c r="M9226" s="17">
        <v>288</v>
      </c>
      <c r="N9226" s="17">
        <v>12</v>
      </c>
      <c r="O9226" s="18">
        <v>118.58</v>
      </c>
      <c r="P9226" s="18">
        <v>97.2</v>
      </c>
      <c r="Q9226" s="18">
        <v>100.79</v>
      </c>
      <c r="R9226" s="18">
        <v>82.61</v>
      </c>
      <c r="S9226" s="18">
        <v>80.63</v>
      </c>
      <c r="T9226" s="18">
        <v>66.09</v>
      </c>
      <c r="U9226" s="16"/>
      <c r="V9226" s="16"/>
      <c r="W9226" s="16" t="s">
        <v>40</v>
      </c>
      <c r="X9226" s="19">
        <v>3.7999999999999999E-2</v>
      </c>
      <c r="Y9226" s="20">
        <v>4.0999999999999999E-4</v>
      </c>
      <c r="Z9226" s="21">
        <v>4601004267831</v>
      </c>
    </row>
    <row r="9227" spans="1:26" ht="12" customHeight="1" outlineLevel="4" x14ac:dyDescent="0.2">
      <c r="A9227" s="14" t="s">
        <v>17582</v>
      </c>
      <c r="B9227" s="26" t="s">
        <v>17583</v>
      </c>
      <c r="C9227" s="52"/>
      <c r="D9227" s="55">
        <f t="shared" si="144"/>
        <v>0</v>
      </c>
      <c r="E9227" s="63" t="str">
        <f>HYPERLINK("https://www.sds-group.ru/product/universalnyy-sekundnyy-kley-3gr-proconnect-61-0912/", "Инфо")</f>
        <v>Инфо</v>
      </c>
      <c r="F9227" s="16" t="s">
        <v>39</v>
      </c>
      <c r="G9227" s="15"/>
      <c r="H9227" s="15"/>
      <c r="I9227" s="15"/>
      <c r="J9227" s="22">
        <v>24544</v>
      </c>
      <c r="K9227" s="15"/>
      <c r="L9227" s="17">
        <v>12</v>
      </c>
      <c r="M9227" s="17">
        <v>288</v>
      </c>
      <c r="N9227" s="17">
        <v>12</v>
      </c>
      <c r="O9227" s="18">
        <v>34.49</v>
      </c>
      <c r="P9227" s="18">
        <v>28.27</v>
      </c>
      <c r="Q9227" s="18">
        <v>29.32</v>
      </c>
      <c r="R9227" s="18">
        <v>24.03</v>
      </c>
      <c r="S9227" s="18">
        <v>23.45</v>
      </c>
      <c r="T9227" s="18">
        <v>19.22</v>
      </c>
      <c r="U9227" s="16"/>
      <c r="V9227" s="16"/>
      <c r="W9227" s="16" t="s">
        <v>40</v>
      </c>
      <c r="X9227" s="19">
        <v>1.6E-2</v>
      </c>
      <c r="Y9227" s="20">
        <v>1.6200000000000001E-4</v>
      </c>
      <c r="Z9227" s="21">
        <v>4601004267886</v>
      </c>
    </row>
    <row r="9228" spans="1:26" ht="12" customHeight="1" outlineLevel="4" x14ac:dyDescent="0.2">
      <c r="A9228" s="14" t="s">
        <v>17584</v>
      </c>
      <c r="B9228" s="26" t="s">
        <v>17585</v>
      </c>
      <c r="C9228" s="52"/>
      <c r="D9228" s="55">
        <f t="shared" si="144"/>
        <v>0</v>
      </c>
      <c r="E9228" s="63" t="str">
        <f>HYPERLINK("https://www.sds-group.ru/product/universalnyy-sekundnyy-kley-proconnect-na-multi-karte-3-g-61-0900/", "Инфо")</f>
        <v>Инфо</v>
      </c>
      <c r="F9228" s="16" t="s">
        <v>39</v>
      </c>
      <c r="G9228" s="15"/>
      <c r="H9228" s="15"/>
      <c r="I9228" s="15"/>
      <c r="J9228" s="22">
        <v>164434</v>
      </c>
      <c r="K9228" s="15" t="s">
        <v>1058</v>
      </c>
      <c r="L9228" s="17">
        <v>12</v>
      </c>
      <c r="M9228" s="17">
        <v>288</v>
      </c>
      <c r="N9228" s="17">
        <v>12</v>
      </c>
      <c r="O9228" s="18">
        <v>18.329999999999998</v>
      </c>
      <c r="P9228" s="18">
        <v>15.02</v>
      </c>
      <c r="Q9228" s="18">
        <v>15.58</v>
      </c>
      <c r="R9228" s="18">
        <v>12.77</v>
      </c>
      <c r="S9228" s="18">
        <v>12.46</v>
      </c>
      <c r="T9228" s="18">
        <v>10.210000000000001</v>
      </c>
      <c r="U9228" s="16"/>
      <c r="V9228" s="16"/>
      <c r="W9228" s="16" t="s">
        <v>40</v>
      </c>
      <c r="X9228" s="19">
        <v>0.01</v>
      </c>
      <c r="Y9228" s="20">
        <v>6.4999999999999994E-5</v>
      </c>
      <c r="Z9228" s="21">
        <v>4601004046290</v>
      </c>
    </row>
    <row r="9229" spans="1:26" ht="12" customHeight="1" outlineLevel="4" x14ac:dyDescent="0.2">
      <c r="A9229" s="14" t="s">
        <v>17586</v>
      </c>
      <c r="B9229" s="26" t="s">
        <v>17587</v>
      </c>
      <c r="C9229" s="52"/>
      <c r="D9229" s="55">
        <f t="shared" si="144"/>
        <v>0</v>
      </c>
      <c r="E9229" s="63" t="str">
        <f>HYPERLINK("https://www.sds-group.ru/product/universalnyy-sekundnyy-kley-gel-3gr-proconnect-61-0913/", "Инфо")</f>
        <v>Инфо</v>
      </c>
      <c r="F9229" s="16" t="s">
        <v>39</v>
      </c>
      <c r="G9229" s="15"/>
      <c r="H9229" s="15"/>
      <c r="I9229" s="15"/>
      <c r="J9229" s="22">
        <v>3497</v>
      </c>
      <c r="K9229" s="15"/>
      <c r="L9229" s="17">
        <v>12</v>
      </c>
      <c r="M9229" s="17">
        <v>288</v>
      </c>
      <c r="N9229" s="17">
        <v>12</v>
      </c>
      <c r="O9229" s="18">
        <v>36.65</v>
      </c>
      <c r="P9229" s="18">
        <v>30.04</v>
      </c>
      <c r="Q9229" s="18">
        <v>31.15</v>
      </c>
      <c r="R9229" s="18">
        <v>25.53</v>
      </c>
      <c r="S9229" s="18">
        <v>24.92</v>
      </c>
      <c r="T9229" s="18">
        <v>20.43</v>
      </c>
      <c r="U9229" s="16"/>
      <c r="V9229" s="16"/>
      <c r="W9229" s="16" t="s">
        <v>40</v>
      </c>
      <c r="X9229" s="19">
        <v>1.7000000000000001E-2</v>
      </c>
      <c r="Y9229" s="20">
        <v>1.65E-4</v>
      </c>
      <c r="Z9229" s="21">
        <v>4601004267770</v>
      </c>
    </row>
    <row r="9230" spans="1:26" ht="12" customHeight="1" outlineLevel="4" x14ac:dyDescent="0.2">
      <c r="A9230" s="14" t="s">
        <v>17588</v>
      </c>
      <c r="B9230" s="26" t="s">
        <v>17589</v>
      </c>
      <c r="C9230" s="52"/>
      <c r="D9230" s="55">
        <f t="shared" si="144"/>
        <v>0</v>
      </c>
      <c r="E9230" s="63" t="str">
        <f>HYPERLINK("https://www.sds-group.ru/product/universalnyy-sekundnyy-kley-gel-proconnect-na-multi-karte-3-g-61-0910/", "Инфо")</f>
        <v>Инфо</v>
      </c>
      <c r="F9230" s="16" t="s">
        <v>39</v>
      </c>
      <c r="G9230" s="15"/>
      <c r="H9230" s="15"/>
      <c r="I9230" s="15"/>
      <c r="J9230" s="22">
        <v>119305</v>
      </c>
      <c r="K9230" s="15" t="s">
        <v>1058</v>
      </c>
      <c r="L9230" s="17">
        <v>48</v>
      </c>
      <c r="M9230" s="17">
        <v>288</v>
      </c>
      <c r="N9230" s="17">
        <v>48</v>
      </c>
      <c r="O9230" s="18">
        <v>21.56</v>
      </c>
      <c r="P9230" s="18">
        <v>17.670000000000002</v>
      </c>
      <c r="Q9230" s="18">
        <v>18.329999999999998</v>
      </c>
      <c r="R9230" s="18">
        <v>15.02</v>
      </c>
      <c r="S9230" s="18">
        <v>14.66</v>
      </c>
      <c r="T9230" s="18">
        <v>12.02</v>
      </c>
      <c r="U9230" s="16"/>
      <c r="V9230" s="16"/>
      <c r="W9230" s="16" t="s">
        <v>40</v>
      </c>
      <c r="X9230" s="19">
        <v>0.01</v>
      </c>
      <c r="Y9230" s="20">
        <v>6.3E-5</v>
      </c>
      <c r="Z9230" s="21">
        <v>4601004089136</v>
      </c>
    </row>
    <row r="9231" spans="1:26" ht="12.95" customHeight="1" outlineLevel="2" x14ac:dyDescent="0.2">
      <c r="A9231" s="76" t="s">
        <v>17590</v>
      </c>
      <c r="B9231" s="76"/>
      <c r="C9231" s="77"/>
      <c r="D9231" s="58"/>
      <c r="E9231" s="68"/>
      <c r="F9231" s="13"/>
      <c r="G9231" s="13"/>
      <c r="H9231" s="13"/>
      <c r="I9231" s="13"/>
      <c r="J9231" s="13"/>
      <c r="K9231" s="13"/>
      <c r="L9231" s="13"/>
      <c r="M9231" s="13"/>
      <c r="N9231" s="13"/>
      <c r="O9231" s="13"/>
      <c r="P9231" s="13"/>
      <c r="Q9231" s="13"/>
      <c r="R9231" s="13"/>
      <c r="S9231" s="13"/>
      <c r="T9231" s="13"/>
      <c r="U9231" s="13"/>
      <c r="V9231" s="13"/>
      <c r="W9231" s="13"/>
      <c r="X9231" s="13"/>
      <c r="Y9231" s="13"/>
      <c r="Z9231" s="13"/>
    </row>
    <row r="9232" spans="1:26" ht="12" customHeight="1" outlineLevel="3" x14ac:dyDescent="0.2">
      <c r="A9232" s="32" t="s">
        <v>17591</v>
      </c>
      <c r="B9232" s="74" t="s">
        <v>17592</v>
      </c>
      <c r="C9232" s="50"/>
      <c r="D9232" s="53">
        <f t="shared" si="144"/>
        <v>0</v>
      </c>
      <c r="E9232" s="60" t="str">
        <f>HYPERLINK("https://www.sds-group.ru/product/bytovaya-gazovaya-pezozazhigalka-s-klassicheskim-plamenem-mnogorazovaya-1-sht-zheltaya-sk-30-61-0964/", "Инфо")</f>
        <v>Инфо</v>
      </c>
      <c r="F9232" s="34" t="s">
        <v>39</v>
      </c>
      <c r="G9232" s="33"/>
      <c r="H9232" s="33" t="s">
        <v>40</v>
      </c>
      <c r="I9232" s="33"/>
      <c r="J9232" s="39">
        <v>1326</v>
      </c>
      <c r="K9232" s="33"/>
      <c r="L9232" s="35">
        <v>1</v>
      </c>
      <c r="M9232" s="35">
        <v>144</v>
      </c>
      <c r="N9232" s="35">
        <v>1</v>
      </c>
      <c r="O9232" s="36">
        <v>204.82</v>
      </c>
      <c r="P9232" s="36">
        <v>167.89</v>
      </c>
      <c r="Q9232" s="36">
        <v>143.37</v>
      </c>
      <c r="R9232" s="36">
        <v>117.52</v>
      </c>
      <c r="S9232" s="36">
        <v>139.28</v>
      </c>
      <c r="T9232" s="36">
        <v>114.16</v>
      </c>
      <c r="U9232" s="34"/>
      <c r="V9232" s="34"/>
      <c r="W9232" s="34"/>
      <c r="X9232" s="37">
        <v>7.5999999999999998E-2</v>
      </c>
      <c r="Y9232" s="38">
        <v>3.4299999999999999E-4</v>
      </c>
      <c r="Z9232" s="21">
        <v>4601004143104</v>
      </c>
    </row>
    <row r="9233" spans="1:26" ht="12" customHeight="1" outlineLevel="3" x14ac:dyDescent="0.2">
      <c r="A9233" s="32" t="s">
        <v>17593</v>
      </c>
      <c r="B9233" s="74" t="s">
        <v>17594</v>
      </c>
      <c r="C9233" s="50"/>
      <c r="D9233" s="53">
        <f t="shared" si="144"/>
        <v>0</v>
      </c>
      <c r="E9233" s="60" t="str">
        <f>HYPERLINK("https://www.sds-group.ru/product/bytovaya-gazovaya-pezozazhigalka-s-klassicheskim-plamenem-mnogorazovaya-1-sht-zelenaya-sk-30-61-0965/", "Инфо")</f>
        <v>Инфо</v>
      </c>
      <c r="F9233" s="34" t="s">
        <v>39</v>
      </c>
      <c r="G9233" s="33"/>
      <c r="H9233" s="33" t="s">
        <v>40</v>
      </c>
      <c r="I9233" s="33"/>
      <c r="J9233" s="39">
        <v>1088</v>
      </c>
      <c r="K9233" s="33"/>
      <c r="L9233" s="35">
        <v>1</v>
      </c>
      <c r="M9233" s="35">
        <v>144</v>
      </c>
      <c r="N9233" s="35">
        <v>1</v>
      </c>
      <c r="O9233" s="36">
        <v>161.30000000000001</v>
      </c>
      <c r="P9233" s="36">
        <v>132.21</v>
      </c>
      <c r="Q9233" s="36">
        <v>112.91</v>
      </c>
      <c r="R9233" s="36">
        <v>92.55</v>
      </c>
      <c r="S9233" s="36">
        <v>109.68</v>
      </c>
      <c r="T9233" s="36">
        <v>89.9</v>
      </c>
      <c r="U9233" s="34"/>
      <c r="V9233" s="34"/>
      <c r="W9233" s="34"/>
      <c r="X9233" s="37">
        <v>7.6999999999999999E-2</v>
      </c>
      <c r="Y9233" s="38">
        <v>3.4099999999999999E-4</v>
      </c>
      <c r="Z9233" s="21">
        <v>4601004143166</v>
      </c>
    </row>
    <row r="9234" spans="1:26" ht="12" customHeight="1" outlineLevel="3" x14ac:dyDescent="0.2">
      <c r="A9234" s="32" t="s">
        <v>17595</v>
      </c>
      <c r="B9234" s="74" t="s">
        <v>17596</v>
      </c>
      <c r="C9234" s="50"/>
      <c r="D9234" s="53">
        <f t="shared" si="144"/>
        <v>0</v>
      </c>
      <c r="E9234" s="60" t="str">
        <f>HYPERLINK("https://www.sds-group.ru/product/bytovaya-gazovaya-pezozazhigalka-s-klassicheskim-plamenem-mnogorazovaya-1-sht-oranzhevaya-sk-61-0963/", "Инфо")</f>
        <v>Инфо</v>
      </c>
      <c r="F9234" s="34" t="s">
        <v>39</v>
      </c>
      <c r="G9234" s="33"/>
      <c r="H9234" s="33" t="s">
        <v>40</v>
      </c>
      <c r="I9234" s="33"/>
      <c r="J9234" s="34" t="s">
        <v>100</v>
      </c>
      <c r="K9234" s="33"/>
      <c r="L9234" s="35">
        <v>1</v>
      </c>
      <c r="M9234" s="35">
        <v>144</v>
      </c>
      <c r="N9234" s="35">
        <v>1</v>
      </c>
      <c r="O9234" s="36">
        <v>160.09</v>
      </c>
      <c r="P9234" s="36">
        <v>131.22</v>
      </c>
      <c r="Q9234" s="36">
        <v>112.06</v>
      </c>
      <c r="R9234" s="36">
        <v>91.85</v>
      </c>
      <c r="S9234" s="36">
        <v>108.86</v>
      </c>
      <c r="T9234" s="36">
        <v>89.23</v>
      </c>
      <c r="U9234" s="34"/>
      <c r="V9234" s="34"/>
      <c r="W9234" s="34"/>
      <c r="X9234" s="37">
        <v>7.5999999999999998E-2</v>
      </c>
      <c r="Y9234" s="38">
        <v>3.3700000000000001E-4</v>
      </c>
      <c r="Z9234" s="21">
        <v>4601004143098</v>
      </c>
    </row>
    <row r="9235" spans="1:26" ht="12" customHeight="1" outlineLevel="3" x14ac:dyDescent="0.2">
      <c r="A9235" s="32" t="s">
        <v>17597</v>
      </c>
      <c r="B9235" s="74" t="s">
        <v>17598</v>
      </c>
      <c r="C9235" s="50"/>
      <c r="D9235" s="53">
        <f t="shared" si="144"/>
        <v>0</v>
      </c>
      <c r="E9235" s="60" t="str">
        <f>HYPERLINK("https://www.sds-group.ru/product/bytovaya-gazovaya-pezozazhigalka-s-klassicheskim-plamenem-mnogorazovaya-1-sht-sinyaya-sk-302-61-0960/", "Инфо")</f>
        <v>Инфо</v>
      </c>
      <c r="F9235" s="34" t="s">
        <v>39</v>
      </c>
      <c r="G9235" s="33"/>
      <c r="H9235" s="33" t="s">
        <v>40</v>
      </c>
      <c r="I9235" s="33"/>
      <c r="J9235" s="34" t="s">
        <v>100</v>
      </c>
      <c r="K9235" s="33"/>
      <c r="L9235" s="35">
        <v>1</v>
      </c>
      <c r="M9235" s="35">
        <v>144</v>
      </c>
      <c r="N9235" s="35">
        <v>1</v>
      </c>
      <c r="O9235" s="36">
        <v>146.61000000000001</v>
      </c>
      <c r="P9235" s="36">
        <v>120.17</v>
      </c>
      <c r="Q9235" s="36">
        <v>102.63</v>
      </c>
      <c r="R9235" s="36">
        <v>84.12</v>
      </c>
      <c r="S9235" s="36">
        <v>99.69</v>
      </c>
      <c r="T9235" s="36">
        <v>81.709999999999994</v>
      </c>
      <c r="U9235" s="34"/>
      <c r="V9235" s="34"/>
      <c r="W9235" s="34"/>
      <c r="X9235" s="37">
        <v>6.6000000000000003E-2</v>
      </c>
      <c r="Y9235" s="38">
        <v>3.3599999999999998E-4</v>
      </c>
      <c r="Z9235" s="21">
        <v>4601004138520</v>
      </c>
    </row>
    <row r="9236" spans="1:26" ht="12.95" customHeight="1" outlineLevel="2" x14ac:dyDescent="0.2">
      <c r="A9236" s="76" t="s">
        <v>17599</v>
      </c>
      <c r="B9236" s="76"/>
      <c r="C9236" s="77"/>
      <c r="D9236" s="58"/>
      <c r="E9236" s="68"/>
      <c r="F9236" s="13"/>
      <c r="G9236" s="13"/>
      <c r="H9236" s="13"/>
      <c r="I9236" s="13"/>
      <c r="J9236" s="13"/>
      <c r="K9236" s="13"/>
      <c r="L9236" s="13"/>
      <c r="M9236" s="13"/>
      <c r="N9236" s="13"/>
      <c r="O9236" s="13"/>
      <c r="P9236" s="13"/>
      <c r="Q9236" s="13"/>
      <c r="R9236" s="13"/>
      <c r="S9236" s="13"/>
      <c r="T9236" s="13"/>
      <c r="U9236" s="13"/>
      <c r="V9236" s="13"/>
      <c r="W9236" s="13"/>
      <c r="X9236" s="13"/>
      <c r="Y9236" s="13"/>
      <c r="Z9236" s="13"/>
    </row>
    <row r="9237" spans="1:26" ht="12" customHeight="1" outlineLevel="3" x14ac:dyDescent="0.2">
      <c r="A9237" s="14" t="s">
        <v>17600</v>
      </c>
      <c r="B9237" s="26" t="s">
        <v>17601</v>
      </c>
      <c r="C9237" s="52"/>
      <c r="D9237" s="55">
        <f t="shared" si="144"/>
        <v>0</v>
      </c>
      <c r="E9237" s="63" t="str">
        <f>HYPERLINK("https://www.sds-group.ru/product/antivibratsionnye-podstavki-4-sht-proconnect-88-0401/", "Инфо")</f>
        <v>Инфо</v>
      </c>
      <c r="F9237" s="16" t="s">
        <v>1001</v>
      </c>
      <c r="G9237" s="15"/>
      <c r="H9237" s="15"/>
      <c r="I9237" s="15"/>
      <c r="J9237" s="17">
        <v>402</v>
      </c>
      <c r="K9237" s="15"/>
      <c r="L9237" s="17">
        <v>5</v>
      </c>
      <c r="M9237" s="17">
        <v>30</v>
      </c>
      <c r="N9237" s="17">
        <v>5</v>
      </c>
      <c r="O9237" s="18">
        <v>279.43</v>
      </c>
      <c r="P9237" s="18">
        <v>229.04</v>
      </c>
      <c r="Q9237" s="18">
        <v>195.6</v>
      </c>
      <c r="R9237" s="18">
        <v>160.33000000000001</v>
      </c>
      <c r="S9237" s="18">
        <v>190.01</v>
      </c>
      <c r="T9237" s="18">
        <v>155.75</v>
      </c>
      <c r="U9237" s="16"/>
      <c r="V9237" s="16"/>
      <c r="W9237" s="16"/>
      <c r="X9237" s="19">
        <v>0.16300000000000001</v>
      </c>
      <c r="Y9237" s="20">
        <v>5.1099999999999995E-4</v>
      </c>
      <c r="Z9237" s="21">
        <v>4601004142657</v>
      </c>
    </row>
    <row r="9238" spans="1:26" ht="12.95" customHeight="1" outlineLevel="2" x14ac:dyDescent="0.2">
      <c r="A9238" s="76" t="s">
        <v>17602</v>
      </c>
      <c r="B9238" s="76"/>
      <c r="C9238" s="77"/>
      <c r="D9238" s="58"/>
      <c r="E9238" s="68"/>
      <c r="F9238" s="13"/>
      <c r="G9238" s="13"/>
      <c r="H9238" s="13"/>
      <c r="I9238" s="13"/>
      <c r="J9238" s="13"/>
      <c r="K9238" s="13"/>
      <c r="L9238" s="13"/>
      <c r="M9238" s="13"/>
      <c r="N9238" s="13"/>
      <c r="O9238" s="13"/>
      <c r="P9238" s="13"/>
      <c r="Q9238" s="13"/>
      <c r="R9238" s="13"/>
      <c r="S9238" s="13"/>
      <c r="T9238" s="13"/>
      <c r="U9238" s="13"/>
      <c r="V9238" s="13"/>
      <c r="W9238" s="13"/>
      <c r="X9238" s="13"/>
      <c r="Y9238" s="13"/>
      <c r="Z9238" s="13"/>
    </row>
    <row r="9239" spans="1:26" ht="12.95" customHeight="1" outlineLevel="3" x14ac:dyDescent="0.2">
      <c r="A9239" s="76" t="s">
        <v>17603</v>
      </c>
      <c r="B9239" s="76"/>
      <c r="C9239" s="77"/>
      <c r="D9239" s="58"/>
      <c r="E9239" s="68"/>
      <c r="F9239" s="13"/>
      <c r="G9239" s="13"/>
      <c r="H9239" s="13"/>
      <c r="I9239" s="13"/>
      <c r="J9239" s="13"/>
      <c r="K9239" s="13"/>
      <c r="L9239" s="13"/>
      <c r="M9239" s="13"/>
      <c r="N9239" s="13"/>
      <c r="O9239" s="13"/>
      <c r="P9239" s="13"/>
      <c r="Q9239" s="13"/>
      <c r="R9239" s="13"/>
      <c r="S9239" s="13"/>
      <c r="T9239" s="13"/>
      <c r="U9239" s="13"/>
      <c r="V9239" s="13"/>
      <c r="W9239" s="13"/>
      <c r="X9239" s="13"/>
      <c r="Y9239" s="13"/>
      <c r="Z9239" s="13"/>
    </row>
    <row r="9240" spans="1:26" ht="12" customHeight="1" outlineLevel="4" x14ac:dyDescent="0.2">
      <c r="A9240" s="14" t="s">
        <v>17604</v>
      </c>
      <c r="B9240" s="26" t="s">
        <v>17605</v>
      </c>
      <c r="C9240" s="52"/>
      <c r="D9240" s="55">
        <f t="shared" si="144"/>
        <v>0</v>
      </c>
      <c r="E9240" s="63" t="str">
        <f>HYPERLINK("https://www.sds-group.ru/product/nagrevatelnyy-element-dlya-boylera-ten-rca-2-0-kvt-flanets-48-mm-dlinnye-kontakty-mesto-plod-70-0358/", "Инфо")</f>
        <v>Инфо</v>
      </c>
      <c r="F9240" s="16" t="s">
        <v>39</v>
      </c>
      <c r="G9240" s="15"/>
      <c r="H9240" s="15"/>
      <c r="I9240" s="15"/>
      <c r="J9240" s="17">
        <v>66</v>
      </c>
      <c r="K9240" s="15"/>
      <c r="L9240" s="17">
        <v>1</v>
      </c>
      <c r="M9240" s="17">
        <v>50</v>
      </c>
      <c r="N9240" s="17">
        <v>1</v>
      </c>
      <c r="O9240" s="18">
        <v>2048.2399999999998</v>
      </c>
      <c r="P9240" s="18">
        <v>1678.89</v>
      </c>
      <c r="Q9240" s="18">
        <v>1618.11</v>
      </c>
      <c r="R9240" s="18">
        <v>1326.32</v>
      </c>
      <c r="S9240" s="18">
        <v>1392.8</v>
      </c>
      <c r="T9240" s="18">
        <v>1141.6400000000001</v>
      </c>
      <c r="U9240" s="16"/>
      <c r="V9240" s="16"/>
      <c r="W9240" s="16" t="s">
        <v>40</v>
      </c>
      <c r="X9240" s="19">
        <v>0.214</v>
      </c>
      <c r="Y9240" s="20">
        <v>1.0790000000000001E-3</v>
      </c>
      <c r="Z9240" s="21">
        <v>4601004194335</v>
      </c>
    </row>
    <row r="9241" spans="1:26" ht="12" customHeight="1" outlineLevel="4" x14ac:dyDescent="0.2">
      <c r="A9241" s="14" t="s">
        <v>17606</v>
      </c>
      <c r="B9241" s="26" t="s">
        <v>17607</v>
      </c>
      <c r="C9241" s="52"/>
      <c r="D9241" s="55">
        <f t="shared" si="144"/>
        <v>0</v>
      </c>
      <c r="E9241" s="63" t="str">
        <f>HYPERLINK("https://www.sds-group.ru/product/nagrevatelnyy-element-dlya-boylera-ten-rcf-2-0-kvt-flanets-48-mm-mesto-pod-anod-m6-rexant-70-0359/", "Инфо")</f>
        <v>Инфо</v>
      </c>
      <c r="F9241" s="16" t="s">
        <v>39</v>
      </c>
      <c r="G9241" s="15"/>
      <c r="H9241" s="15"/>
      <c r="I9241" s="15"/>
      <c r="J9241" s="17">
        <v>103</v>
      </c>
      <c r="K9241" s="15"/>
      <c r="L9241" s="17">
        <v>1</v>
      </c>
      <c r="M9241" s="17">
        <v>50</v>
      </c>
      <c r="N9241" s="17">
        <v>1</v>
      </c>
      <c r="O9241" s="18">
        <v>2479.4499999999998</v>
      </c>
      <c r="P9241" s="18">
        <v>2032.34</v>
      </c>
      <c r="Q9241" s="18">
        <v>1909.18</v>
      </c>
      <c r="R9241" s="18">
        <v>1564.9</v>
      </c>
      <c r="S9241" s="18">
        <v>1686.03</v>
      </c>
      <c r="T9241" s="18">
        <v>1381.99</v>
      </c>
      <c r="U9241" s="16"/>
      <c r="V9241" s="16"/>
      <c r="W9241" s="16" t="s">
        <v>40</v>
      </c>
      <c r="X9241" s="19">
        <v>0.214</v>
      </c>
      <c r="Y9241" s="20">
        <v>7.6800000000000002E-4</v>
      </c>
      <c r="Z9241" s="21">
        <v>4601004194342</v>
      </c>
    </row>
    <row r="9242" spans="1:26" ht="12" customHeight="1" outlineLevel="4" x14ac:dyDescent="0.2">
      <c r="A9242" s="14" t="s">
        <v>17608</v>
      </c>
      <c r="B9242" s="26" t="s">
        <v>17609</v>
      </c>
      <c r="C9242" s="52"/>
      <c r="D9242" s="55">
        <f t="shared" si="144"/>
        <v>0</v>
      </c>
      <c r="E9242" s="63" t="str">
        <f>HYPERLINK("https://www.sds-group.ru/product/nagrevatelnyy-element-dlya-boylera-ten-rct-2-0-kvt-flanets-42-mm-rezbovoy-termostat-15-a-rex-70-0355/", "Инфо")</f>
        <v>Инфо</v>
      </c>
      <c r="F9242" s="16" t="s">
        <v>39</v>
      </c>
      <c r="G9242" s="15"/>
      <c r="H9242" s="15"/>
      <c r="I9242" s="15"/>
      <c r="J9242" s="17">
        <v>34</v>
      </c>
      <c r="K9242" s="15"/>
      <c r="L9242" s="17">
        <v>1</v>
      </c>
      <c r="M9242" s="17">
        <v>50</v>
      </c>
      <c r="N9242" s="17">
        <v>1</v>
      </c>
      <c r="O9242" s="18">
        <v>3492.78</v>
      </c>
      <c r="P9242" s="18">
        <v>2862.93</v>
      </c>
      <c r="Q9242" s="18">
        <v>2549.73</v>
      </c>
      <c r="R9242" s="18">
        <v>2089.94</v>
      </c>
      <c r="S9242" s="18">
        <v>2375.09</v>
      </c>
      <c r="T9242" s="18">
        <v>1946.8</v>
      </c>
      <c r="U9242" s="16"/>
      <c r="V9242" s="16"/>
      <c r="W9242" s="16" t="s">
        <v>40</v>
      </c>
      <c r="X9242" s="19">
        <v>0.39200000000000002</v>
      </c>
      <c r="Y9242" s="20">
        <v>2.0249999999999999E-3</v>
      </c>
      <c r="Z9242" s="21">
        <v>4601004194298</v>
      </c>
    </row>
    <row r="9243" spans="1:26" ht="12" customHeight="1" outlineLevel="4" x14ac:dyDescent="0.2">
      <c r="A9243" s="14" t="s">
        <v>17610</v>
      </c>
      <c r="B9243" s="26" t="s">
        <v>17611</v>
      </c>
      <c r="C9243" s="52"/>
      <c r="D9243" s="55">
        <f t="shared" si="144"/>
        <v>0</v>
      </c>
      <c r="E9243" s="63" t="str">
        <f>HYPERLINK("https://www.sds-group.ru/product/nagrevatelnyy-element-dlya-boylera-ten-rdt-1-2-kvt-rezbovoy-flanets-42-mm-termostat-15-a-kol-70-0349/", "Инфо")</f>
        <v>Инфо</v>
      </c>
      <c r="F9243" s="16" t="s">
        <v>39</v>
      </c>
      <c r="G9243" s="15"/>
      <c r="H9243" s="15"/>
      <c r="I9243" s="15"/>
      <c r="J9243" s="16" t="s">
        <v>100</v>
      </c>
      <c r="K9243" s="15"/>
      <c r="L9243" s="17">
        <v>1</v>
      </c>
      <c r="M9243" s="17">
        <v>50</v>
      </c>
      <c r="N9243" s="17">
        <v>1</v>
      </c>
      <c r="O9243" s="18">
        <v>3143.5</v>
      </c>
      <c r="P9243" s="18">
        <v>2576.64</v>
      </c>
      <c r="Q9243" s="18">
        <v>2294.7600000000002</v>
      </c>
      <c r="R9243" s="18">
        <v>1880.95</v>
      </c>
      <c r="S9243" s="18">
        <v>2137.58</v>
      </c>
      <c r="T9243" s="18">
        <v>1752.11</v>
      </c>
      <c r="U9243" s="16"/>
      <c r="V9243" s="16"/>
      <c r="W9243" s="16" t="s">
        <v>40</v>
      </c>
      <c r="X9243" s="19">
        <v>0.4</v>
      </c>
      <c r="Y9243" s="20">
        <v>1E-4</v>
      </c>
      <c r="Z9243" s="21">
        <v>4601004194236</v>
      </c>
    </row>
    <row r="9244" spans="1:26" ht="12" customHeight="1" outlineLevel="4" x14ac:dyDescent="0.2">
      <c r="A9244" s="14" t="s">
        <v>17612</v>
      </c>
      <c r="B9244" s="26" t="s">
        <v>17613</v>
      </c>
      <c r="C9244" s="52"/>
      <c r="D9244" s="55">
        <f t="shared" si="144"/>
        <v>0</v>
      </c>
      <c r="E9244" s="63" t="str">
        <f>HYPERLINK("https://www.sds-group.ru/product/nagrevatelnyy-element-dlya-boylera-ten-rdt-2-5-kvt-rezbovoy-flanets-42-mm-termostat-15-a-kol-70-0352/", "Инфо")</f>
        <v>Инфо</v>
      </c>
      <c r="F9244" s="16" t="s">
        <v>39</v>
      </c>
      <c r="G9244" s="15"/>
      <c r="H9244" s="15"/>
      <c r="I9244" s="15"/>
      <c r="J9244" s="17">
        <v>51</v>
      </c>
      <c r="K9244" s="15"/>
      <c r="L9244" s="17">
        <v>1</v>
      </c>
      <c r="M9244" s="17">
        <v>50</v>
      </c>
      <c r="N9244" s="17">
        <v>1</v>
      </c>
      <c r="O9244" s="18">
        <v>3492.78</v>
      </c>
      <c r="P9244" s="18">
        <v>2862.93</v>
      </c>
      <c r="Q9244" s="18">
        <v>2549.73</v>
      </c>
      <c r="R9244" s="18">
        <v>2089.94</v>
      </c>
      <c r="S9244" s="18">
        <v>2375.09</v>
      </c>
      <c r="T9244" s="18">
        <v>1946.8</v>
      </c>
      <c r="U9244" s="16"/>
      <c r="V9244" s="16"/>
      <c r="W9244" s="16" t="s">
        <v>40</v>
      </c>
      <c r="X9244" s="19">
        <v>0.36599999999999999</v>
      </c>
      <c r="Y9244" s="20">
        <v>6.3100000000000005E-4</v>
      </c>
      <c r="Z9244" s="21">
        <v>4601004194267</v>
      </c>
    </row>
    <row r="9245" spans="1:26" ht="12" customHeight="1" outlineLevel="4" x14ac:dyDescent="0.2">
      <c r="A9245" s="14" t="s">
        <v>17614</v>
      </c>
      <c r="B9245" s="26" t="s">
        <v>17615</v>
      </c>
      <c r="C9245" s="52"/>
      <c r="D9245" s="55">
        <f t="shared" si="144"/>
        <v>0</v>
      </c>
      <c r="E9245" s="63" t="str">
        <f>HYPERLINK("https://www.sds-group.ru/product/nagrevatelnyy-element-dlya-boylera-ten-rdt-3-0-kvt-termostat-15-a-koltso-uplotnitelnoe-flane-70-0353/", "Инфо")</f>
        <v>Инфо</v>
      </c>
      <c r="F9245" s="16" t="s">
        <v>39</v>
      </c>
      <c r="G9245" s="15"/>
      <c r="H9245" s="15"/>
      <c r="I9245" s="15"/>
      <c r="J9245" s="17">
        <v>140</v>
      </c>
      <c r="K9245" s="15"/>
      <c r="L9245" s="17">
        <v>1</v>
      </c>
      <c r="M9245" s="17">
        <v>50</v>
      </c>
      <c r="N9245" s="17">
        <v>1</v>
      </c>
      <c r="O9245" s="18">
        <v>3609.22</v>
      </c>
      <c r="P9245" s="18">
        <v>2958.38</v>
      </c>
      <c r="Q9245" s="18">
        <v>2634.73</v>
      </c>
      <c r="R9245" s="18">
        <v>2159.61</v>
      </c>
      <c r="S9245" s="18">
        <v>2454.27</v>
      </c>
      <c r="T9245" s="18">
        <v>2011.7</v>
      </c>
      <c r="U9245" s="16"/>
      <c r="V9245" s="16"/>
      <c r="W9245" s="16" t="s">
        <v>40</v>
      </c>
      <c r="X9245" s="19">
        <v>0.4</v>
      </c>
      <c r="Y9245" s="20">
        <v>1E-4</v>
      </c>
      <c r="Z9245" s="21">
        <v>4601004194274</v>
      </c>
    </row>
    <row r="9246" spans="1:26" ht="12" customHeight="1" outlineLevel="4" x14ac:dyDescent="0.2">
      <c r="A9246" s="14" t="s">
        <v>17616</v>
      </c>
      <c r="B9246" s="26" t="s">
        <v>17617</v>
      </c>
      <c r="C9246" s="52"/>
      <c r="D9246" s="55">
        <f t="shared" si="144"/>
        <v>0</v>
      </c>
      <c r="E9246" s="63" t="str">
        <f>HYPERLINK("https://www.sds-group.ru/product/nagrevatelnyy-element-dlya-boylera-ten-rca-1500-vt-flanets-m5-48-mm-70-0313-1/", "Инфо")</f>
        <v>Инфо</v>
      </c>
      <c r="F9246" s="16" t="s">
        <v>39</v>
      </c>
      <c r="G9246" s="15"/>
      <c r="H9246" s="15"/>
      <c r="I9246" s="15"/>
      <c r="J9246" s="17">
        <v>291</v>
      </c>
      <c r="K9246" s="15"/>
      <c r="L9246" s="17">
        <v>1</v>
      </c>
      <c r="M9246" s="17">
        <v>50</v>
      </c>
      <c r="N9246" s="17">
        <v>1</v>
      </c>
      <c r="O9246" s="18">
        <v>1185.82</v>
      </c>
      <c r="P9246" s="18">
        <v>971.98</v>
      </c>
      <c r="Q9246" s="18">
        <v>936.8</v>
      </c>
      <c r="R9246" s="18">
        <v>767.87</v>
      </c>
      <c r="S9246" s="18">
        <v>806.36</v>
      </c>
      <c r="T9246" s="18">
        <v>660.95</v>
      </c>
      <c r="U9246" s="16"/>
      <c r="V9246" s="16"/>
      <c r="W9246" s="16" t="s">
        <v>40</v>
      </c>
      <c r="X9246" s="19">
        <v>0.23100000000000001</v>
      </c>
      <c r="Y9246" s="20">
        <v>5.4699999999999996E-4</v>
      </c>
      <c r="Z9246" s="21">
        <v>4601004247765</v>
      </c>
    </row>
    <row r="9247" spans="1:26" ht="12" customHeight="1" outlineLevel="4" x14ac:dyDescent="0.2">
      <c r="A9247" s="14" t="s">
        <v>17618</v>
      </c>
      <c r="B9247" s="26" t="s">
        <v>17619</v>
      </c>
      <c r="C9247" s="52"/>
      <c r="D9247" s="55">
        <f t="shared" si="144"/>
        <v>0</v>
      </c>
      <c r="E9247" s="63" t="str">
        <f>HYPERLINK("https://www.sds-group.ru/product/nagrevatelnyy-element-dlya-boylera-ten-rcf-1500-vt-flanets-m6-48-mm-70-0315-1/", "Инфо")</f>
        <v>Инфо</v>
      </c>
      <c r="F9247" s="16" t="s">
        <v>39</v>
      </c>
      <c r="G9247" s="15"/>
      <c r="H9247" s="15"/>
      <c r="I9247" s="15"/>
      <c r="J9247" s="17">
        <v>336</v>
      </c>
      <c r="K9247" s="15" t="s">
        <v>6939</v>
      </c>
      <c r="L9247" s="17">
        <v>1</v>
      </c>
      <c r="M9247" s="17">
        <v>50</v>
      </c>
      <c r="N9247" s="17">
        <v>1</v>
      </c>
      <c r="O9247" s="18">
        <v>1315.18</v>
      </c>
      <c r="P9247" s="18">
        <v>1078.02</v>
      </c>
      <c r="Q9247" s="18">
        <v>1038.99</v>
      </c>
      <c r="R9247" s="18">
        <v>851.63</v>
      </c>
      <c r="S9247" s="18">
        <v>894.32</v>
      </c>
      <c r="T9247" s="18">
        <v>733.05</v>
      </c>
      <c r="U9247" s="16"/>
      <c r="V9247" s="16"/>
      <c r="W9247" s="16" t="s">
        <v>40</v>
      </c>
      <c r="X9247" s="19">
        <v>0.224</v>
      </c>
      <c r="Y9247" s="20">
        <v>6.4999999999999994E-5</v>
      </c>
      <c r="Z9247" s="21">
        <v>4601004247789</v>
      </c>
    </row>
    <row r="9248" spans="1:26" ht="12" customHeight="1" outlineLevel="4" x14ac:dyDescent="0.2">
      <c r="A9248" s="14" t="s">
        <v>17620</v>
      </c>
      <c r="B9248" s="26" t="s">
        <v>17621</v>
      </c>
      <c r="C9248" s="52"/>
      <c r="D9248" s="55">
        <f t="shared" si="144"/>
        <v>0</v>
      </c>
      <c r="E9248" s="63" t="str">
        <f>HYPERLINK("https://www.sds-group.ru/product/nagrevatelniy-element-dlya-boylera-ten-rct-3000-vt-flanets-rezbovoy-42-mm-mesto-pod-anod-m6-15590/", "Инфо")</f>
        <v>Инфо</v>
      </c>
      <c r="F9248" s="16" t="s">
        <v>39</v>
      </c>
      <c r="G9248" s="15"/>
      <c r="H9248" s="15"/>
      <c r="I9248" s="15"/>
      <c r="J9248" s="17">
        <v>23</v>
      </c>
      <c r="K9248" s="15"/>
      <c r="L9248" s="17">
        <v>1</v>
      </c>
      <c r="M9248" s="17">
        <v>50</v>
      </c>
      <c r="N9248" s="17">
        <v>1</v>
      </c>
      <c r="O9248" s="18">
        <v>4074.92</v>
      </c>
      <c r="P9248" s="18">
        <v>3340.1</v>
      </c>
      <c r="Q9248" s="18">
        <v>2974.69</v>
      </c>
      <c r="R9248" s="18">
        <v>2438.27</v>
      </c>
      <c r="S9248" s="18">
        <v>2770.95</v>
      </c>
      <c r="T9248" s="18">
        <v>2271.27</v>
      </c>
      <c r="U9248" s="16"/>
      <c r="V9248" s="16"/>
      <c r="W9248" s="16" t="s">
        <v>40</v>
      </c>
      <c r="X9248" s="19">
        <v>0.42399999999999999</v>
      </c>
      <c r="Y9248" s="20">
        <v>3.0860000000000002E-3</v>
      </c>
      <c r="Z9248" s="21">
        <v>4630010484338</v>
      </c>
    </row>
    <row r="9249" spans="1:26" ht="12" customHeight="1" outlineLevel="4" x14ac:dyDescent="0.2">
      <c r="A9249" s="14" t="s">
        <v>17622</v>
      </c>
      <c r="B9249" s="26" t="s">
        <v>17623</v>
      </c>
      <c r="C9249" s="52"/>
      <c r="D9249" s="55">
        <f t="shared" si="144"/>
        <v>0</v>
      </c>
      <c r="E9249" s="63" t="str">
        <f>HYPERLINK("https://www.sds-group.ru/product/nagrevatelnyy-element-dlya-boylera-ten-rct-2500-vt-flanets-m6-42-mm-s-termoregulyatorom-70-70-0319-1/", "Инфо")</f>
        <v>Инфо</v>
      </c>
      <c r="F9249" s="16" t="s">
        <v>39</v>
      </c>
      <c r="G9249" s="15"/>
      <c r="H9249" s="15"/>
      <c r="I9249" s="15"/>
      <c r="J9249" s="22">
        <v>1339</v>
      </c>
      <c r="K9249" s="15" t="s">
        <v>6939</v>
      </c>
      <c r="L9249" s="17">
        <v>1</v>
      </c>
      <c r="M9249" s="17">
        <v>50</v>
      </c>
      <c r="N9249" s="17">
        <v>1</v>
      </c>
      <c r="O9249" s="18">
        <v>2296.1799999999998</v>
      </c>
      <c r="P9249" s="18">
        <v>1882.11</v>
      </c>
      <c r="Q9249" s="18">
        <v>1768.06</v>
      </c>
      <c r="R9249" s="18">
        <v>1449.23</v>
      </c>
      <c r="S9249" s="18">
        <v>1561.4</v>
      </c>
      <c r="T9249" s="18">
        <v>1279.8399999999999</v>
      </c>
      <c r="U9249" s="16"/>
      <c r="V9249" s="16"/>
      <c r="W9249" s="16" t="s">
        <v>40</v>
      </c>
      <c r="X9249" s="19">
        <v>0.438</v>
      </c>
      <c r="Y9249" s="20">
        <v>6.0999999999999997E-4</v>
      </c>
      <c r="Z9249" s="21">
        <v>4601004247772</v>
      </c>
    </row>
    <row r="9250" spans="1:26" ht="12" customHeight="1" outlineLevel="4" x14ac:dyDescent="0.2">
      <c r="A9250" s="14" t="s">
        <v>17624</v>
      </c>
      <c r="B9250" s="26" t="s">
        <v>17625</v>
      </c>
      <c r="C9250" s="52"/>
      <c r="D9250" s="55">
        <f t="shared" si="144"/>
        <v>0</v>
      </c>
      <c r="E9250" s="63" t="str">
        <f>HYPERLINK("https://www.sds-group.ru/product/nagrevatelnyy-element-dlya-boylera-ten-rdt-2500-vt-flanets-42-mm-mesto-pod-anod-m-6-70-0327/", "Инфо")</f>
        <v>Инфо</v>
      </c>
      <c r="F9250" s="16" t="s">
        <v>39</v>
      </c>
      <c r="G9250" s="15"/>
      <c r="H9250" s="15"/>
      <c r="I9250" s="15"/>
      <c r="J9250" s="17">
        <v>19</v>
      </c>
      <c r="K9250" s="15"/>
      <c r="L9250" s="17">
        <v>1</v>
      </c>
      <c r="M9250" s="17">
        <v>50</v>
      </c>
      <c r="N9250" s="17">
        <v>1</v>
      </c>
      <c r="O9250" s="18">
        <v>2209.94</v>
      </c>
      <c r="P9250" s="18">
        <v>1811.43</v>
      </c>
      <c r="Q9250" s="18">
        <v>1701.65</v>
      </c>
      <c r="R9250" s="18">
        <v>1394.8</v>
      </c>
      <c r="S9250" s="18">
        <v>1502.76</v>
      </c>
      <c r="T9250" s="18">
        <v>1231.77</v>
      </c>
      <c r="U9250" s="16"/>
      <c r="V9250" s="16"/>
      <c r="W9250" s="16" t="s">
        <v>40</v>
      </c>
      <c r="X9250" s="19">
        <v>0.23699999999999999</v>
      </c>
      <c r="Y9250" s="20">
        <v>2.1649999999999998E-3</v>
      </c>
      <c r="Z9250" s="21">
        <v>4630010482112</v>
      </c>
    </row>
    <row r="9251" spans="1:26" ht="12" customHeight="1" outlineLevel="4" x14ac:dyDescent="0.2">
      <c r="A9251" s="14" t="s">
        <v>17626</v>
      </c>
      <c r="B9251" s="26" t="s">
        <v>17627</v>
      </c>
      <c r="C9251" s="52"/>
      <c r="D9251" s="55">
        <f t="shared" si="144"/>
        <v>0</v>
      </c>
      <c r="E9251" s="63" t="str">
        <f>HYPERLINK("https://www.sds-group.ru/product/nagrevatelnyy-element-dlya-boylera-ten-rdt-twc-1500-vt-diametr-flantsa-42-mm-70-0324/", "Инфо")</f>
        <v>Инфо</v>
      </c>
      <c r="F9251" s="16" t="s">
        <v>39</v>
      </c>
      <c r="G9251" s="15"/>
      <c r="H9251" s="15"/>
      <c r="I9251" s="15"/>
      <c r="J9251" s="17">
        <v>18</v>
      </c>
      <c r="K9251" s="15"/>
      <c r="L9251" s="17">
        <v>1</v>
      </c>
      <c r="M9251" s="17">
        <v>50</v>
      </c>
      <c r="N9251" s="17">
        <v>1</v>
      </c>
      <c r="O9251" s="18">
        <v>3482</v>
      </c>
      <c r="P9251" s="18">
        <v>2854.1</v>
      </c>
      <c r="Q9251" s="18">
        <v>2681.14</v>
      </c>
      <c r="R9251" s="18">
        <v>2197.66</v>
      </c>
      <c r="S9251" s="18">
        <v>2367.7600000000002</v>
      </c>
      <c r="T9251" s="18">
        <v>1940.79</v>
      </c>
      <c r="U9251" s="16"/>
      <c r="V9251" s="16"/>
      <c r="W9251" s="16" t="s">
        <v>40</v>
      </c>
      <c r="X9251" s="19">
        <v>0.29699999999999999</v>
      </c>
      <c r="Y9251" s="20">
        <v>1.4679999999999999E-3</v>
      </c>
      <c r="Z9251" s="21">
        <v>4630010482006</v>
      </c>
    </row>
    <row r="9252" spans="1:26" ht="12" customHeight="1" outlineLevel="4" x14ac:dyDescent="0.2">
      <c r="A9252" s="14" t="s">
        <v>17628</v>
      </c>
      <c r="B9252" s="26" t="s">
        <v>17629</v>
      </c>
      <c r="C9252" s="52"/>
      <c r="D9252" s="55">
        <f t="shared" si="144"/>
        <v>0</v>
      </c>
      <c r="E9252" s="63" t="str">
        <f>HYPERLINK("https://www.sds-group.ru/product/nagrevatelnyy-element-dlya-boylera-ten-rdt-1500-vt-flanets-m6-42-mm-s-termoregulyatorom-80-70-0317-1/", "Инфо")</f>
        <v>Инфо</v>
      </c>
      <c r="F9252" s="16" t="s">
        <v>39</v>
      </c>
      <c r="G9252" s="15"/>
      <c r="H9252" s="15"/>
      <c r="I9252" s="15"/>
      <c r="J9252" s="22">
        <v>1995</v>
      </c>
      <c r="K9252" s="15"/>
      <c r="L9252" s="17">
        <v>1</v>
      </c>
      <c r="M9252" s="17">
        <v>50</v>
      </c>
      <c r="N9252" s="17">
        <v>1</v>
      </c>
      <c r="O9252" s="18">
        <v>1821.85</v>
      </c>
      <c r="P9252" s="18">
        <v>1493.32</v>
      </c>
      <c r="Q9252" s="18">
        <v>1402.82</v>
      </c>
      <c r="R9252" s="18">
        <v>1149.8499999999999</v>
      </c>
      <c r="S9252" s="18">
        <v>1238.8599999999999</v>
      </c>
      <c r="T9252" s="18">
        <v>1015.46</v>
      </c>
      <c r="U9252" s="16"/>
      <c r="V9252" s="16"/>
      <c r="W9252" s="16" t="s">
        <v>40</v>
      </c>
      <c r="X9252" s="19">
        <v>0.38200000000000001</v>
      </c>
      <c r="Y9252" s="20">
        <v>6.6200000000000015E-4</v>
      </c>
      <c r="Z9252" s="21">
        <v>4601004247840</v>
      </c>
    </row>
    <row r="9253" spans="1:26" ht="12" customHeight="1" outlineLevel="4" x14ac:dyDescent="0.2">
      <c r="A9253" s="14" t="s">
        <v>17630</v>
      </c>
      <c r="B9253" s="26" t="s">
        <v>17631</v>
      </c>
      <c r="C9253" s="52"/>
      <c r="D9253" s="55">
        <f t="shared" si="144"/>
        <v>0</v>
      </c>
      <c r="E9253" s="63" t="str">
        <f>HYPERLINK("https://www.sds-group.ru/product/nagrevatelnyy-element-dlya-boylera-ten-rdt-2000-vt-flanets-m6-42-mm-s-termoregulyatorom-70-70-0325-1/", "Инфо")</f>
        <v>Инфо</v>
      </c>
      <c r="F9253" s="16" t="s">
        <v>39</v>
      </c>
      <c r="G9253" s="15"/>
      <c r="H9253" s="15"/>
      <c r="I9253" s="15"/>
      <c r="J9253" s="22">
        <v>1516</v>
      </c>
      <c r="K9253" s="15" t="s">
        <v>922</v>
      </c>
      <c r="L9253" s="17">
        <v>1</v>
      </c>
      <c r="M9253" s="17">
        <v>50</v>
      </c>
      <c r="N9253" s="17">
        <v>1</v>
      </c>
      <c r="O9253" s="18">
        <v>3234.06</v>
      </c>
      <c r="P9253" s="18">
        <v>2650.87</v>
      </c>
      <c r="Q9253" s="18">
        <v>2490.23</v>
      </c>
      <c r="R9253" s="18">
        <v>2041.17</v>
      </c>
      <c r="S9253" s="18">
        <v>2199.16</v>
      </c>
      <c r="T9253" s="18">
        <v>1802.59</v>
      </c>
      <c r="U9253" s="16"/>
      <c r="V9253" s="16"/>
      <c r="W9253" s="16" t="s">
        <v>40</v>
      </c>
      <c r="X9253" s="19">
        <v>0.4</v>
      </c>
      <c r="Y9253" s="20">
        <v>6.4999999999999997E-4</v>
      </c>
      <c r="Z9253" s="21">
        <v>4601004247833</v>
      </c>
    </row>
    <row r="9254" spans="1:26" ht="12" customHeight="1" outlineLevel="4" x14ac:dyDescent="0.2">
      <c r="A9254" s="32" t="s">
        <v>17632</v>
      </c>
      <c r="B9254" s="74" t="s">
        <v>17633</v>
      </c>
      <c r="C9254" s="50"/>
      <c r="D9254" s="53">
        <f t="shared" si="144"/>
        <v>0</v>
      </c>
      <c r="E9254" s="60" t="str">
        <f>HYPERLINK("https://www.sds-group.ru/product/nagrevatelnyy-element-dlya-boylera-ten-rf64-1300-vt-flanets-m4-64-mm-70-0311-1/", "Инфо")</f>
        <v>Инфо</v>
      </c>
      <c r="F9254" s="34" t="s">
        <v>39</v>
      </c>
      <c r="G9254" s="33"/>
      <c r="H9254" s="33" t="s">
        <v>40</v>
      </c>
      <c r="I9254" s="33"/>
      <c r="J9254" s="35">
        <v>392</v>
      </c>
      <c r="K9254" s="33"/>
      <c r="L9254" s="35">
        <v>1</v>
      </c>
      <c r="M9254" s="35">
        <v>50</v>
      </c>
      <c r="N9254" s="35">
        <v>1</v>
      </c>
      <c r="O9254" s="36">
        <v>1347.53</v>
      </c>
      <c r="P9254" s="36">
        <v>1104.53</v>
      </c>
      <c r="Q9254" s="36">
        <v>1064.55</v>
      </c>
      <c r="R9254" s="36">
        <v>872.58</v>
      </c>
      <c r="S9254" s="36">
        <v>916.32</v>
      </c>
      <c r="T9254" s="36">
        <v>751.08</v>
      </c>
      <c r="U9254" s="34"/>
      <c r="V9254" s="34"/>
      <c r="W9254" s="34" t="s">
        <v>40</v>
      </c>
      <c r="X9254" s="37">
        <v>0.23699999999999999</v>
      </c>
      <c r="Y9254" s="38">
        <v>4.8299999999999998E-4</v>
      </c>
      <c r="Z9254" s="21">
        <v>4601004247826</v>
      </c>
    </row>
    <row r="9255" spans="1:26" ht="12" customHeight="1" outlineLevel="4" x14ac:dyDescent="0.2">
      <c r="A9255" s="14" t="s">
        <v>17634</v>
      </c>
      <c r="B9255" s="26" t="s">
        <v>17635</v>
      </c>
      <c r="C9255" s="52"/>
      <c r="D9255" s="55">
        <f t="shared" si="144"/>
        <v>0</v>
      </c>
      <c r="E9255" s="63" t="str">
        <f>HYPERLINK("https://www.sds-group.ru/product/nagrevatelnyy-element-dlya-boylera-ten-rf64-2000-vt-700-vt-1300-vt-s-anodom-m4-64-mm-70-0321-1/", "Инфо")</f>
        <v>Инфо</v>
      </c>
      <c r="F9255" s="16" t="s">
        <v>39</v>
      </c>
      <c r="G9255" s="15"/>
      <c r="H9255" s="15"/>
      <c r="I9255" s="15"/>
      <c r="J9255" s="17">
        <v>105</v>
      </c>
      <c r="K9255" s="15" t="s">
        <v>6939</v>
      </c>
      <c r="L9255" s="17">
        <v>1</v>
      </c>
      <c r="M9255" s="17">
        <v>50</v>
      </c>
      <c r="N9255" s="17">
        <v>1</v>
      </c>
      <c r="O9255" s="18">
        <v>1940.44</v>
      </c>
      <c r="P9255" s="18">
        <v>1590.52</v>
      </c>
      <c r="Q9255" s="18">
        <v>1494.14</v>
      </c>
      <c r="R9255" s="18">
        <v>1224.7</v>
      </c>
      <c r="S9255" s="18">
        <v>1319.5</v>
      </c>
      <c r="T9255" s="18">
        <v>1081.56</v>
      </c>
      <c r="U9255" s="16"/>
      <c r="V9255" s="16"/>
      <c r="W9255" s="16" t="s">
        <v>40</v>
      </c>
      <c r="X9255" s="19">
        <v>0.38600000000000001</v>
      </c>
      <c r="Y9255" s="20">
        <v>8.3500000000000002E-4</v>
      </c>
      <c r="Z9255" s="21">
        <v>4601004247819</v>
      </c>
    </row>
    <row r="9256" spans="1:26" ht="12" customHeight="1" outlineLevel="4" x14ac:dyDescent="0.2">
      <c r="A9256" s="14" t="s">
        <v>17636</v>
      </c>
      <c r="B9256" s="26" t="s">
        <v>17637</v>
      </c>
      <c r="C9256" s="52"/>
      <c r="D9256" s="55">
        <f t="shared" si="144"/>
        <v>0</v>
      </c>
      <c r="E9256" s="63" t="str">
        <f>HYPERLINK("https://www.sds-group.ru/product/nagrevatelnyy-element-dlya-boylera-ten-rf64-2000-vt-700-vt-1300-vt-flanets-m4-64-mm-70-0312-1/", "Инфо")</f>
        <v>Инфо</v>
      </c>
      <c r="F9256" s="16" t="s">
        <v>39</v>
      </c>
      <c r="G9256" s="15"/>
      <c r="H9256" s="15"/>
      <c r="I9256" s="15"/>
      <c r="J9256" s="17">
        <v>394</v>
      </c>
      <c r="K9256" s="15"/>
      <c r="L9256" s="17">
        <v>1</v>
      </c>
      <c r="M9256" s="17">
        <v>50</v>
      </c>
      <c r="N9256" s="17">
        <v>1</v>
      </c>
      <c r="O9256" s="18">
        <v>1832.63</v>
      </c>
      <c r="P9256" s="18">
        <v>1502.16</v>
      </c>
      <c r="Q9256" s="18">
        <v>1411.13</v>
      </c>
      <c r="R9256" s="18">
        <v>1156.6600000000001</v>
      </c>
      <c r="S9256" s="18">
        <v>1246.19</v>
      </c>
      <c r="T9256" s="18">
        <v>1021.47</v>
      </c>
      <c r="U9256" s="16"/>
      <c r="V9256" s="16"/>
      <c r="W9256" s="16" t="s">
        <v>40</v>
      </c>
      <c r="X9256" s="19">
        <v>0.34699999999999998</v>
      </c>
      <c r="Y9256" s="20">
        <v>5.9299999999999999E-4</v>
      </c>
      <c r="Z9256" s="21">
        <v>4601004247802</v>
      </c>
    </row>
    <row r="9257" spans="1:26" ht="12" customHeight="1" outlineLevel="4" x14ac:dyDescent="0.2">
      <c r="A9257" s="14" t="s">
        <v>17638</v>
      </c>
      <c r="B9257" s="26" t="s">
        <v>17639</v>
      </c>
      <c r="C9257" s="52"/>
      <c r="D9257" s="55">
        <f t="shared" si="144"/>
        <v>0</v>
      </c>
      <c r="E9257" s="63" t="str">
        <f>HYPERLINK("https://www.sds-group.ru/product/termostat-sterzhnevoy-rtm-15a-70-gradusov-70-0328/", "Инфо")</f>
        <v>Инфо</v>
      </c>
      <c r="F9257" s="16" t="s">
        <v>39</v>
      </c>
      <c r="G9257" s="15"/>
      <c r="H9257" s="15"/>
      <c r="I9257" s="15"/>
      <c r="J9257" s="17">
        <v>34</v>
      </c>
      <c r="K9257" s="15"/>
      <c r="L9257" s="17">
        <v>1</v>
      </c>
      <c r="M9257" s="17">
        <v>50</v>
      </c>
      <c r="N9257" s="17">
        <v>1</v>
      </c>
      <c r="O9257" s="18">
        <v>2425.5500000000002</v>
      </c>
      <c r="P9257" s="18">
        <v>1988.16</v>
      </c>
      <c r="Q9257" s="18">
        <v>1867.67</v>
      </c>
      <c r="R9257" s="18">
        <v>1530.88</v>
      </c>
      <c r="S9257" s="18">
        <v>1649.37</v>
      </c>
      <c r="T9257" s="18">
        <v>1351.94</v>
      </c>
      <c r="U9257" s="16"/>
      <c r="V9257" s="16"/>
      <c r="W9257" s="16" t="s">
        <v>40</v>
      </c>
      <c r="X9257" s="19">
        <v>9.8000000000000004E-2</v>
      </c>
      <c r="Y9257" s="20">
        <v>1.4649999999999999E-3</v>
      </c>
      <c r="Z9257" s="21">
        <v>4630010484529</v>
      </c>
    </row>
    <row r="9258" spans="1:26" ht="12" customHeight="1" outlineLevel="4" x14ac:dyDescent="0.2">
      <c r="A9258" s="14" t="s">
        <v>17640</v>
      </c>
      <c r="B9258" s="26" t="s">
        <v>17641</v>
      </c>
      <c r="C9258" s="52"/>
      <c r="D9258" s="55">
        <f t="shared" si="144"/>
        <v>0</v>
      </c>
      <c r="E9258" s="63" t="str">
        <f>HYPERLINK("https://www.sds-group.ru/product/termostat-sterzhnevoy-rtr-20a-80-gradusov-70-0331/", "Инфо")</f>
        <v>Инфо</v>
      </c>
      <c r="F9258" s="16" t="s">
        <v>39</v>
      </c>
      <c r="G9258" s="15"/>
      <c r="H9258" s="15"/>
      <c r="I9258" s="15"/>
      <c r="J9258" s="17">
        <v>48</v>
      </c>
      <c r="K9258" s="15"/>
      <c r="L9258" s="17">
        <v>1</v>
      </c>
      <c r="M9258" s="17">
        <v>50</v>
      </c>
      <c r="N9258" s="17">
        <v>1</v>
      </c>
      <c r="O9258" s="18">
        <v>1649.37</v>
      </c>
      <c r="P9258" s="18">
        <v>1351.94</v>
      </c>
      <c r="Q9258" s="18">
        <v>1270.01</v>
      </c>
      <c r="R9258" s="18">
        <v>1040.99</v>
      </c>
      <c r="S9258" s="18">
        <v>1121.57</v>
      </c>
      <c r="T9258" s="18">
        <v>919.32</v>
      </c>
      <c r="U9258" s="16"/>
      <c r="V9258" s="16"/>
      <c r="W9258" s="16" t="s">
        <v>40</v>
      </c>
      <c r="X9258" s="19">
        <v>0.06</v>
      </c>
      <c r="Y9258" s="20">
        <v>2.1519999999999998E-3</v>
      </c>
      <c r="Z9258" s="21">
        <v>4630010481368</v>
      </c>
    </row>
    <row r="9259" spans="1:26" ht="12" customHeight="1" outlineLevel="4" x14ac:dyDescent="0.2">
      <c r="A9259" s="14" t="s">
        <v>17642</v>
      </c>
      <c r="B9259" s="26" t="s">
        <v>17643</v>
      </c>
      <c r="C9259" s="52"/>
      <c r="D9259" s="55">
        <f t="shared" si="144"/>
        <v>0</v>
      </c>
      <c r="E9259" s="63" t="str">
        <f>HYPERLINK("https://www.sds-group.ru/product/termostat-sterzhnevoy-rts-3-16a-70-83-gradusa-70-0330/", "Инфо")</f>
        <v>Инфо</v>
      </c>
      <c r="F9259" s="16" t="s">
        <v>39</v>
      </c>
      <c r="G9259" s="15"/>
      <c r="H9259" s="15"/>
      <c r="I9259" s="15"/>
      <c r="J9259" s="17">
        <v>67</v>
      </c>
      <c r="K9259" s="15"/>
      <c r="L9259" s="17">
        <v>1</v>
      </c>
      <c r="M9259" s="17">
        <v>50</v>
      </c>
      <c r="N9259" s="17">
        <v>1</v>
      </c>
      <c r="O9259" s="18">
        <v>3976.35</v>
      </c>
      <c r="P9259" s="18">
        <v>3259.3</v>
      </c>
      <c r="Q9259" s="18">
        <v>2902.74</v>
      </c>
      <c r="R9259" s="18">
        <v>2379.3000000000002</v>
      </c>
      <c r="S9259" s="18">
        <v>2703.92</v>
      </c>
      <c r="T9259" s="18">
        <v>2216.33</v>
      </c>
      <c r="U9259" s="16"/>
      <c r="V9259" s="16"/>
      <c r="W9259" s="16" t="s">
        <v>40</v>
      </c>
      <c r="X9259" s="19">
        <v>0.104</v>
      </c>
      <c r="Y9259" s="20">
        <v>1.109E-3</v>
      </c>
      <c r="Z9259" s="21">
        <v>4630010481160</v>
      </c>
    </row>
    <row r="9260" spans="1:26" ht="12.95" customHeight="1" outlineLevel="3" x14ac:dyDescent="0.2">
      <c r="A9260" s="76" t="s">
        <v>17644</v>
      </c>
      <c r="B9260" s="76"/>
      <c r="C9260" s="77"/>
      <c r="D9260" s="58"/>
      <c r="E9260" s="68"/>
      <c r="F9260" s="13"/>
      <c r="G9260" s="13"/>
      <c r="H9260" s="13"/>
      <c r="I9260" s="13"/>
      <c r="J9260" s="13"/>
      <c r="K9260" s="13"/>
      <c r="L9260" s="13"/>
      <c r="M9260" s="13"/>
      <c r="N9260" s="13"/>
      <c r="O9260" s="13"/>
      <c r="P9260" s="13"/>
      <c r="Q9260" s="13"/>
      <c r="R9260" s="13"/>
      <c r="S9260" s="13"/>
      <c r="T9260" s="13"/>
      <c r="U9260" s="13"/>
      <c r="V9260" s="13"/>
      <c r="W9260" s="13"/>
      <c r="X9260" s="13"/>
      <c r="Y9260" s="13"/>
      <c r="Z9260" s="13"/>
    </row>
    <row r="9261" spans="1:26" ht="12" customHeight="1" outlineLevel="4" x14ac:dyDescent="0.2">
      <c r="A9261" s="14" t="s">
        <v>17645</v>
      </c>
      <c r="B9261" s="26" t="s">
        <v>17646</v>
      </c>
      <c r="C9261" s="52"/>
      <c r="D9261" s="55">
        <f t="shared" si="144"/>
        <v>0</v>
      </c>
      <c r="E9261" s="63" t="str">
        <f>HYPERLINK("https://www.sds-group.ru/product/kipyatilnik-rexant-500-vt-70-0340/", "Инфо")</f>
        <v>Инфо</v>
      </c>
      <c r="F9261" s="16" t="s">
        <v>39</v>
      </c>
      <c r="G9261" s="15"/>
      <c r="H9261" s="15"/>
      <c r="I9261" s="15"/>
      <c r="J9261" s="22">
        <v>2211</v>
      </c>
      <c r="K9261" s="15"/>
      <c r="L9261" s="17">
        <v>5</v>
      </c>
      <c r="M9261" s="17">
        <v>100</v>
      </c>
      <c r="N9261" s="17">
        <v>5</v>
      </c>
      <c r="O9261" s="18">
        <v>215.6</v>
      </c>
      <c r="P9261" s="18">
        <v>176.72</v>
      </c>
      <c r="Q9261" s="18">
        <v>183.26</v>
      </c>
      <c r="R9261" s="18">
        <v>150.21</v>
      </c>
      <c r="S9261" s="18">
        <v>146.61000000000001</v>
      </c>
      <c r="T9261" s="18">
        <v>120.17</v>
      </c>
      <c r="U9261" s="16"/>
      <c r="V9261" s="16"/>
      <c r="W9261" s="16" t="s">
        <v>40</v>
      </c>
      <c r="X9261" s="19">
        <v>0.09</v>
      </c>
      <c r="Y9261" s="20">
        <v>3.1799999999999998E-4</v>
      </c>
      <c r="Z9261" s="21">
        <v>4601004196445</v>
      </c>
    </row>
    <row r="9262" spans="1:26" ht="12" customHeight="1" outlineLevel="4" x14ac:dyDescent="0.2">
      <c r="A9262" s="14" t="s">
        <v>17647</v>
      </c>
      <c r="B9262" s="26" t="s">
        <v>17648</v>
      </c>
      <c r="C9262" s="52"/>
      <c r="D9262" s="55">
        <f t="shared" si="144"/>
        <v>0</v>
      </c>
      <c r="E9262" s="63" t="str">
        <f>HYPERLINK("https://www.sds-group.ru/product/kipyatilnik-rexant-1500-vt-70-0342/", "Инфо")</f>
        <v>Инфо</v>
      </c>
      <c r="F9262" s="16" t="s">
        <v>39</v>
      </c>
      <c r="G9262" s="15"/>
      <c r="H9262" s="15"/>
      <c r="I9262" s="15"/>
      <c r="J9262" s="16" t="s">
        <v>100</v>
      </c>
      <c r="K9262" s="15" t="s">
        <v>922</v>
      </c>
      <c r="L9262" s="17">
        <v>5</v>
      </c>
      <c r="M9262" s="17">
        <v>100</v>
      </c>
      <c r="N9262" s="17">
        <v>5</v>
      </c>
      <c r="O9262" s="18">
        <v>334.19</v>
      </c>
      <c r="P9262" s="18">
        <v>273.93</v>
      </c>
      <c r="Q9262" s="18">
        <v>284.06</v>
      </c>
      <c r="R9262" s="18">
        <v>232.84</v>
      </c>
      <c r="S9262" s="18">
        <v>227.25</v>
      </c>
      <c r="T9262" s="18">
        <v>186.27</v>
      </c>
      <c r="U9262" s="16"/>
      <c r="V9262" s="16"/>
      <c r="W9262" s="16" t="s">
        <v>40</v>
      </c>
      <c r="X9262" s="19">
        <v>0.157</v>
      </c>
      <c r="Y9262" s="20">
        <v>4.6000000000000001E-4</v>
      </c>
      <c r="Z9262" s="21">
        <v>4601004196421</v>
      </c>
    </row>
    <row r="9263" spans="1:26" ht="12" customHeight="1" outlineLevel="4" x14ac:dyDescent="0.2">
      <c r="A9263" s="14" t="s">
        <v>17649</v>
      </c>
      <c r="B9263" s="26" t="s">
        <v>17650</v>
      </c>
      <c r="C9263" s="52"/>
      <c r="D9263" s="55">
        <f t="shared" si="144"/>
        <v>0</v>
      </c>
      <c r="E9263" s="63" t="str">
        <f>HYPERLINK("https://www.sds-group.ru/product/kipyatilnik-rexant-1000-vt-70-0341/", "Инфо")</f>
        <v>Инфо</v>
      </c>
      <c r="F9263" s="16" t="s">
        <v>39</v>
      </c>
      <c r="G9263" s="15"/>
      <c r="H9263" s="15"/>
      <c r="I9263" s="15"/>
      <c r="J9263" s="17">
        <v>229</v>
      </c>
      <c r="K9263" s="15" t="s">
        <v>6939</v>
      </c>
      <c r="L9263" s="17">
        <v>5</v>
      </c>
      <c r="M9263" s="17">
        <v>100</v>
      </c>
      <c r="N9263" s="17">
        <v>5</v>
      </c>
      <c r="O9263" s="18">
        <v>280.29000000000002</v>
      </c>
      <c r="P9263" s="18">
        <v>229.75</v>
      </c>
      <c r="Q9263" s="18">
        <v>238.25</v>
      </c>
      <c r="R9263" s="18">
        <v>195.29</v>
      </c>
      <c r="S9263" s="18">
        <v>190.6</v>
      </c>
      <c r="T9263" s="18">
        <v>156.22999999999999</v>
      </c>
      <c r="U9263" s="16"/>
      <c r="V9263" s="16"/>
      <c r="W9263" s="16" t="s">
        <v>40</v>
      </c>
      <c r="X9263" s="19">
        <v>0.14799999999999999</v>
      </c>
      <c r="Y9263" s="20">
        <v>3.9800000000000002E-4</v>
      </c>
      <c r="Z9263" s="21">
        <v>4601004196414</v>
      </c>
    </row>
    <row r="9264" spans="1:26" ht="12" customHeight="1" outlineLevel="4" x14ac:dyDescent="0.2">
      <c r="A9264" s="14" t="s">
        <v>17651</v>
      </c>
      <c r="B9264" s="26" t="s">
        <v>17652</v>
      </c>
      <c r="C9264" s="52"/>
      <c r="D9264" s="55">
        <f t="shared" si="144"/>
        <v>0</v>
      </c>
      <c r="E9264" s="63" t="str">
        <f>HYPERLINK("https://www.sds-group.ru/product/kipyatilnik-rexant-2000-vt-70-0343/", "Инфо")</f>
        <v>Инфо</v>
      </c>
      <c r="F9264" s="16" t="s">
        <v>39</v>
      </c>
      <c r="G9264" s="15"/>
      <c r="H9264" s="15"/>
      <c r="I9264" s="15"/>
      <c r="J9264" s="16" t="s">
        <v>100</v>
      </c>
      <c r="K9264" s="15" t="s">
        <v>6939</v>
      </c>
      <c r="L9264" s="17">
        <v>5</v>
      </c>
      <c r="M9264" s="17">
        <v>100</v>
      </c>
      <c r="N9264" s="17">
        <v>5</v>
      </c>
      <c r="O9264" s="18">
        <v>355.75</v>
      </c>
      <c r="P9264" s="18">
        <v>291.60000000000002</v>
      </c>
      <c r="Q9264" s="18">
        <v>302.39</v>
      </c>
      <c r="R9264" s="18">
        <v>247.86</v>
      </c>
      <c r="S9264" s="18">
        <v>241.91</v>
      </c>
      <c r="T9264" s="18">
        <v>198.29</v>
      </c>
      <c r="U9264" s="16"/>
      <c r="V9264" s="16"/>
      <c r="W9264" s="16" t="s">
        <v>40</v>
      </c>
      <c r="X9264" s="19">
        <v>0.16</v>
      </c>
      <c r="Y9264" s="20">
        <v>4.3800000000000002E-4</v>
      </c>
      <c r="Z9264" s="21">
        <v>4601004196438</v>
      </c>
    </row>
    <row r="9265" spans="1:26" ht="12.95" customHeight="1" outlineLevel="2" x14ac:dyDescent="0.2">
      <c r="A9265" s="76" t="s">
        <v>17653</v>
      </c>
      <c r="B9265" s="76"/>
      <c r="C9265" s="77"/>
      <c r="D9265" s="58"/>
      <c r="E9265" s="68"/>
      <c r="F9265" s="13"/>
      <c r="G9265" s="13"/>
      <c r="H9265" s="13"/>
      <c r="I9265" s="13"/>
      <c r="J9265" s="13"/>
      <c r="K9265" s="13"/>
      <c r="L9265" s="13"/>
      <c r="M9265" s="13"/>
      <c r="N9265" s="13"/>
      <c r="O9265" s="13"/>
      <c r="P9265" s="13"/>
      <c r="Q9265" s="13"/>
      <c r="R9265" s="13"/>
      <c r="S9265" s="13"/>
      <c r="T9265" s="13"/>
      <c r="U9265" s="13"/>
      <c r="V9265" s="13"/>
      <c r="W9265" s="13"/>
      <c r="X9265" s="13"/>
      <c r="Y9265" s="13"/>
      <c r="Z9265" s="13"/>
    </row>
    <row r="9266" spans="1:26" ht="12" customHeight="1" outlineLevel="3" x14ac:dyDescent="0.2">
      <c r="A9266" s="40" t="s">
        <v>17654</v>
      </c>
      <c r="B9266" s="75" t="s">
        <v>17655</v>
      </c>
      <c r="C9266" s="51"/>
      <c r="D9266" s="54">
        <f t="shared" si="144"/>
        <v>0</v>
      </c>
      <c r="E9266" s="61" t="str">
        <f>HYPERLINK("https://www.sds-group.ru/product/uplotnitel-samokleyaschiysya-belyy-d-profil-9h7-5mm-dlya-zazorov-3-5mm-buhta-100m-proconnect-70-0623/", "Инфо")</f>
        <v>Инфо</v>
      </c>
      <c r="F9266" s="42" t="s">
        <v>1887</v>
      </c>
      <c r="G9266" s="41" t="s">
        <v>40</v>
      </c>
      <c r="H9266" s="41"/>
      <c r="I9266" s="41"/>
      <c r="J9266" s="43">
        <v>342</v>
      </c>
      <c r="K9266" s="41"/>
      <c r="L9266" s="43">
        <v>1</v>
      </c>
      <c r="M9266" s="43">
        <v>8</v>
      </c>
      <c r="N9266" s="43">
        <v>1</v>
      </c>
      <c r="O9266" s="44">
        <v>2624.03</v>
      </c>
      <c r="P9266" s="44">
        <v>2150.84</v>
      </c>
      <c r="Q9266" s="44">
        <v>2020.5</v>
      </c>
      <c r="R9266" s="44">
        <v>1656.15</v>
      </c>
      <c r="S9266" s="44">
        <v>1784.34</v>
      </c>
      <c r="T9266" s="44">
        <v>1462.57</v>
      </c>
      <c r="U9266" s="42"/>
      <c r="V9266" s="42"/>
      <c r="W9266" s="42" t="s">
        <v>40</v>
      </c>
      <c r="X9266" s="45">
        <v>1.42</v>
      </c>
      <c r="Y9266" s="46">
        <v>1.1225000000000001E-2</v>
      </c>
      <c r="Z9266" s="21">
        <v>4601004337305</v>
      </c>
    </row>
    <row r="9267" spans="1:26" ht="12" customHeight="1" outlineLevel="3" x14ac:dyDescent="0.2">
      <c r="A9267" s="40" t="s">
        <v>17656</v>
      </c>
      <c r="B9267" s="75" t="s">
        <v>17657</v>
      </c>
      <c r="C9267" s="51"/>
      <c r="D9267" s="54">
        <f t="shared" si="144"/>
        <v>0</v>
      </c>
      <c r="E9267" s="61" t="str">
        <f>HYPERLINK("https://www.sds-group.ru/product/uplotnitel-samokleyaschiysya-belyy-d-profil-9h7-5mm-dlya-zazorov-3-5mm-upakovka-po-6m-procon-70-0633/", "Инфо")</f>
        <v>Инфо</v>
      </c>
      <c r="F9267" s="42" t="s">
        <v>1887</v>
      </c>
      <c r="G9267" s="41" t="s">
        <v>40</v>
      </c>
      <c r="H9267" s="41"/>
      <c r="I9267" s="41"/>
      <c r="J9267" s="42" t="s">
        <v>100</v>
      </c>
      <c r="K9267" s="41" t="s">
        <v>4008</v>
      </c>
      <c r="L9267" s="43">
        <v>5</v>
      </c>
      <c r="M9267" s="43">
        <v>160</v>
      </c>
      <c r="N9267" s="43">
        <v>5</v>
      </c>
      <c r="O9267" s="44">
        <v>223.41</v>
      </c>
      <c r="P9267" s="44">
        <v>183.12</v>
      </c>
      <c r="Q9267" s="44">
        <v>172.03</v>
      </c>
      <c r="R9267" s="44">
        <v>141.01</v>
      </c>
      <c r="S9267" s="44">
        <v>151.91999999999999</v>
      </c>
      <c r="T9267" s="44">
        <v>124.52</v>
      </c>
      <c r="U9267" s="42"/>
      <c r="V9267" s="42"/>
      <c r="W9267" s="42" t="s">
        <v>40</v>
      </c>
      <c r="X9267" s="45">
        <v>8.3000000000000004E-2</v>
      </c>
      <c r="Y9267" s="46">
        <v>6.4300000000000002E-4</v>
      </c>
      <c r="Z9267" s="21">
        <v>4601004337343</v>
      </c>
    </row>
    <row r="9268" spans="1:26" ht="12" customHeight="1" outlineLevel="3" x14ac:dyDescent="0.2">
      <c r="A9268" s="40" t="s">
        <v>17658</v>
      </c>
      <c r="B9268" s="75" t="s">
        <v>17659</v>
      </c>
      <c r="C9268" s="51"/>
      <c r="D9268" s="54">
        <f t="shared" si="144"/>
        <v>0</v>
      </c>
      <c r="E9268" s="61" t="str">
        <f>HYPERLINK("https://www.sds-group.ru/product/uplotnitel-samokleyaschiysya-belyy-e-profil-9h4mm-dlya-zazorov-1-3mm-buhta-150m-proconnect-70-0620/", "Инфо")</f>
        <v>Инфо</v>
      </c>
      <c r="F9268" s="42" t="s">
        <v>1887</v>
      </c>
      <c r="G9268" s="41" t="s">
        <v>40</v>
      </c>
      <c r="H9268" s="41"/>
      <c r="I9268" s="41"/>
      <c r="J9268" s="43">
        <v>397</v>
      </c>
      <c r="K9268" s="41"/>
      <c r="L9268" s="43">
        <v>1</v>
      </c>
      <c r="M9268" s="43">
        <v>8</v>
      </c>
      <c r="N9268" s="43">
        <v>1</v>
      </c>
      <c r="O9268" s="44">
        <v>2704.06</v>
      </c>
      <c r="P9268" s="44">
        <v>2216.44</v>
      </c>
      <c r="Q9268" s="44">
        <v>2082.13</v>
      </c>
      <c r="R9268" s="44">
        <v>1706.66</v>
      </c>
      <c r="S9268" s="44">
        <v>1838.76</v>
      </c>
      <c r="T9268" s="44">
        <v>1507.18</v>
      </c>
      <c r="U9268" s="42"/>
      <c r="V9268" s="42"/>
      <c r="W9268" s="42" t="s">
        <v>40</v>
      </c>
      <c r="X9268" s="45">
        <v>1.528</v>
      </c>
      <c r="Y9268" s="46">
        <v>1.068E-2</v>
      </c>
      <c r="Z9268" s="21">
        <v>4601004337312</v>
      </c>
    </row>
    <row r="9269" spans="1:26" ht="12" customHeight="1" outlineLevel="3" x14ac:dyDescent="0.2">
      <c r="A9269" s="40" t="s">
        <v>17660</v>
      </c>
      <c r="B9269" s="75" t="s">
        <v>17661</v>
      </c>
      <c r="C9269" s="51"/>
      <c r="D9269" s="54">
        <f t="shared" si="144"/>
        <v>0</v>
      </c>
      <c r="E9269" s="61" t="str">
        <f>HYPERLINK("https://www.sds-group.ru/product/uplotnitel-samokleyaschiysya-belyy-e-profil-9h4mm-dlya-zazorov-1-3mm-upakovka-po-6m-proconne-70-0630/", "Инфо")</f>
        <v>Инфо</v>
      </c>
      <c r="F9269" s="42" t="s">
        <v>1887</v>
      </c>
      <c r="G9269" s="41" t="s">
        <v>40</v>
      </c>
      <c r="H9269" s="41"/>
      <c r="I9269" s="41"/>
      <c r="J9269" s="43">
        <v>572</v>
      </c>
      <c r="K9269" s="41" t="s">
        <v>4008</v>
      </c>
      <c r="L9269" s="43">
        <v>5</v>
      </c>
      <c r="M9269" s="43">
        <v>180</v>
      </c>
      <c r="N9269" s="43">
        <v>5</v>
      </c>
      <c r="O9269" s="44">
        <v>222.68</v>
      </c>
      <c r="P9269" s="44">
        <v>182.52</v>
      </c>
      <c r="Q9269" s="44">
        <v>171.46</v>
      </c>
      <c r="R9269" s="44">
        <v>140.54</v>
      </c>
      <c r="S9269" s="44">
        <v>151.41999999999999</v>
      </c>
      <c r="T9269" s="44">
        <v>124.11</v>
      </c>
      <c r="U9269" s="42"/>
      <c r="V9269" s="42"/>
      <c r="W9269" s="42" t="s">
        <v>40</v>
      </c>
      <c r="X9269" s="45">
        <v>5.8999999999999997E-2</v>
      </c>
      <c r="Y9269" s="46">
        <v>4.2299999999999998E-4</v>
      </c>
      <c r="Z9269" s="21">
        <v>4601004337350</v>
      </c>
    </row>
    <row r="9270" spans="1:26" ht="12" customHeight="1" outlineLevel="3" x14ac:dyDescent="0.2">
      <c r="A9270" s="40" t="s">
        <v>17662</v>
      </c>
      <c r="B9270" s="75" t="s">
        <v>17663</v>
      </c>
      <c r="C9270" s="51"/>
      <c r="D9270" s="54">
        <f t="shared" si="144"/>
        <v>0</v>
      </c>
      <c r="E9270" s="61" t="str">
        <f>HYPERLINK("https://www.sds-group.ru/product/uplotnitel-samokleyaschiysya-korichnevyy-r-profil-9h5-5mm-dlya-zazorov-2-5-4mm-buhta-100m-pr-70-0621/", "Инфо")</f>
        <v>Инфо</v>
      </c>
      <c r="F9270" s="42" t="s">
        <v>1887</v>
      </c>
      <c r="G9270" s="41" t="s">
        <v>40</v>
      </c>
      <c r="H9270" s="41"/>
      <c r="I9270" s="41"/>
      <c r="J9270" s="43">
        <v>386</v>
      </c>
      <c r="K9270" s="41"/>
      <c r="L9270" s="43">
        <v>1</v>
      </c>
      <c r="M9270" s="43">
        <v>8</v>
      </c>
      <c r="N9270" s="43">
        <v>1</v>
      </c>
      <c r="O9270" s="44">
        <v>2377.0500000000002</v>
      </c>
      <c r="P9270" s="44">
        <v>1948.4</v>
      </c>
      <c r="Q9270" s="44">
        <v>1830.33</v>
      </c>
      <c r="R9270" s="44">
        <v>1500.27</v>
      </c>
      <c r="S9270" s="44">
        <v>1616.39</v>
      </c>
      <c r="T9270" s="44">
        <v>1324.91</v>
      </c>
      <c r="U9270" s="42"/>
      <c r="V9270" s="42"/>
      <c r="W9270" s="42" t="s">
        <v>40</v>
      </c>
      <c r="X9270" s="45">
        <v>1.19</v>
      </c>
      <c r="Y9270" s="46">
        <v>1.0302E-2</v>
      </c>
      <c r="Z9270" s="21">
        <v>4601004337374</v>
      </c>
    </row>
    <row r="9271" spans="1:26" ht="12" customHeight="1" outlineLevel="3" x14ac:dyDescent="0.2">
      <c r="A9271" s="40" t="s">
        <v>17664</v>
      </c>
      <c r="B9271" s="75" t="s">
        <v>17665</v>
      </c>
      <c r="C9271" s="51"/>
      <c r="D9271" s="54">
        <f t="shared" si="144"/>
        <v>0</v>
      </c>
      <c r="E9271" s="61" t="str">
        <f>HYPERLINK("https://www.sds-group.ru/product/uplotnitel-samokleyaschiysya-korichnevyy-r-profil-9h5-5mm-dlya-zazorov-2-5-4mm-upakovka-po-6-70-0631/", "Инфо")</f>
        <v>Инфо</v>
      </c>
      <c r="F9271" s="42" t="s">
        <v>1887</v>
      </c>
      <c r="G9271" s="41" t="s">
        <v>40</v>
      </c>
      <c r="H9271" s="41"/>
      <c r="I9271" s="41"/>
      <c r="J9271" s="42" t="s">
        <v>100</v>
      </c>
      <c r="K9271" s="41" t="s">
        <v>4008</v>
      </c>
      <c r="L9271" s="43">
        <v>5</v>
      </c>
      <c r="M9271" s="43">
        <v>160</v>
      </c>
      <c r="N9271" s="43">
        <v>5</v>
      </c>
      <c r="O9271" s="44">
        <v>222.87</v>
      </c>
      <c r="P9271" s="44">
        <v>182.68</v>
      </c>
      <c r="Q9271" s="44">
        <v>171.61</v>
      </c>
      <c r="R9271" s="44">
        <v>140.66</v>
      </c>
      <c r="S9271" s="44">
        <v>151.55000000000001</v>
      </c>
      <c r="T9271" s="44">
        <v>124.22</v>
      </c>
      <c r="U9271" s="42"/>
      <c r="V9271" s="42"/>
      <c r="W9271" s="42" t="s">
        <v>40</v>
      </c>
      <c r="X9271" s="45">
        <v>6.7000000000000004E-2</v>
      </c>
      <c r="Y9271" s="46">
        <v>5.1900000000000004E-4</v>
      </c>
      <c r="Z9271" s="21">
        <v>4601004337398</v>
      </c>
    </row>
    <row r="9272" spans="1:26" ht="12" customHeight="1" outlineLevel="3" x14ac:dyDescent="0.2">
      <c r="A9272" s="40" t="s">
        <v>17666</v>
      </c>
      <c r="B9272" s="75" t="s">
        <v>17667</v>
      </c>
      <c r="C9272" s="51"/>
      <c r="D9272" s="54">
        <f t="shared" si="144"/>
        <v>0</v>
      </c>
      <c r="E9272" s="61" t="str">
        <f>HYPERLINK("https://www.sds-group.ru/product/uplotnitel-samokleyaschiysya-chernyy-d-profil-12h10mm-dlya-zazorov-6-9-5mm-buhta-50m-proconn-70-0624/", "Инфо")</f>
        <v>Инфо</v>
      </c>
      <c r="F9272" s="42" t="s">
        <v>1887</v>
      </c>
      <c r="G9272" s="41" t="s">
        <v>40</v>
      </c>
      <c r="H9272" s="41"/>
      <c r="I9272" s="41"/>
      <c r="J9272" s="43">
        <v>415</v>
      </c>
      <c r="K9272" s="41"/>
      <c r="L9272" s="43">
        <v>1</v>
      </c>
      <c r="M9272" s="43">
        <v>8</v>
      </c>
      <c r="N9272" s="43">
        <v>1</v>
      </c>
      <c r="O9272" s="44">
        <v>2704.06</v>
      </c>
      <c r="P9272" s="44">
        <v>2216.44</v>
      </c>
      <c r="Q9272" s="44">
        <v>2082.13</v>
      </c>
      <c r="R9272" s="44">
        <v>1706.66</v>
      </c>
      <c r="S9272" s="44">
        <v>1838.76</v>
      </c>
      <c r="T9272" s="44">
        <v>1507.18</v>
      </c>
      <c r="U9272" s="42"/>
      <c r="V9272" s="42"/>
      <c r="W9272" s="42" t="s">
        <v>40</v>
      </c>
      <c r="X9272" s="45">
        <v>1.2270000000000001</v>
      </c>
      <c r="Y9272" s="46">
        <v>1.0678999999999999E-2</v>
      </c>
      <c r="Z9272" s="21">
        <v>4601004337282</v>
      </c>
    </row>
    <row r="9273" spans="1:26" ht="12" customHeight="1" outlineLevel="3" x14ac:dyDescent="0.2">
      <c r="A9273" s="40" t="s">
        <v>17668</v>
      </c>
      <c r="B9273" s="75" t="s">
        <v>17669</v>
      </c>
      <c r="C9273" s="51"/>
      <c r="D9273" s="54">
        <f t="shared" si="144"/>
        <v>0</v>
      </c>
      <c r="E9273" s="61" t="str">
        <f>HYPERLINK("https://www.sds-group.ru/product/uplotnitel-samokleyaschiysya-chernyy-d-profil-12h10mm-dlya-zazorov-6-9-5mm-upakovka-po-6m-pr-70-0634/", "Инфо")</f>
        <v>Инфо</v>
      </c>
      <c r="F9273" s="42" t="s">
        <v>1887</v>
      </c>
      <c r="G9273" s="41" t="s">
        <v>40</v>
      </c>
      <c r="H9273" s="41"/>
      <c r="I9273" s="41"/>
      <c r="J9273" s="47">
        <v>1054</v>
      </c>
      <c r="K9273" s="41" t="s">
        <v>4008</v>
      </c>
      <c r="L9273" s="43">
        <v>5</v>
      </c>
      <c r="M9273" s="43">
        <v>80</v>
      </c>
      <c r="N9273" s="43">
        <v>5</v>
      </c>
      <c r="O9273" s="44">
        <v>399.41</v>
      </c>
      <c r="P9273" s="44">
        <v>327.39</v>
      </c>
      <c r="Q9273" s="44">
        <v>307.55</v>
      </c>
      <c r="R9273" s="44">
        <v>252.09</v>
      </c>
      <c r="S9273" s="44">
        <v>271.60000000000002</v>
      </c>
      <c r="T9273" s="44">
        <v>222.62</v>
      </c>
      <c r="U9273" s="42"/>
      <c r="V9273" s="42"/>
      <c r="W9273" s="42" t="s">
        <v>40</v>
      </c>
      <c r="X9273" s="45">
        <v>0.14000000000000001</v>
      </c>
      <c r="Y9273" s="46">
        <v>1.289E-3</v>
      </c>
      <c r="Z9273" s="21">
        <v>4601004337336</v>
      </c>
    </row>
    <row r="9274" spans="1:26" ht="12" customHeight="1" outlineLevel="3" x14ac:dyDescent="0.2">
      <c r="A9274" s="40" t="s">
        <v>17670</v>
      </c>
      <c r="B9274" s="75" t="s">
        <v>17671</v>
      </c>
      <c r="C9274" s="51"/>
      <c r="D9274" s="54">
        <f t="shared" si="144"/>
        <v>0</v>
      </c>
      <c r="E9274" s="61" t="str">
        <f>HYPERLINK("https://www.sds-group.ru/product/uplotnitel-samokleyaschiysya-chernyy-d-profil-14h12mm-dlya-zazorov-8-11mm-buhta-40m-proconne-70-0625/", "Инфо")</f>
        <v>Инфо</v>
      </c>
      <c r="F9274" s="42" t="s">
        <v>1887</v>
      </c>
      <c r="G9274" s="41" t="s">
        <v>40</v>
      </c>
      <c r="H9274" s="41"/>
      <c r="I9274" s="41"/>
      <c r="J9274" s="43">
        <v>582</v>
      </c>
      <c r="K9274" s="41"/>
      <c r="L9274" s="43">
        <v>1</v>
      </c>
      <c r="M9274" s="43">
        <v>8</v>
      </c>
      <c r="N9274" s="43">
        <v>1</v>
      </c>
      <c r="O9274" s="44">
        <v>2757.06</v>
      </c>
      <c r="P9274" s="44">
        <v>2259.89</v>
      </c>
      <c r="Q9274" s="44">
        <v>2122.94</v>
      </c>
      <c r="R9274" s="44">
        <v>1740.11</v>
      </c>
      <c r="S9274" s="44">
        <v>1874.8</v>
      </c>
      <c r="T9274" s="44">
        <v>1536.72</v>
      </c>
      <c r="U9274" s="42"/>
      <c r="V9274" s="42"/>
      <c r="W9274" s="42" t="s">
        <v>40</v>
      </c>
      <c r="X9274" s="45">
        <v>1.3120000000000001</v>
      </c>
      <c r="Y9274" s="46">
        <v>1.0598E-2</v>
      </c>
      <c r="Z9274" s="21">
        <v>4601004337367</v>
      </c>
    </row>
    <row r="9275" spans="1:26" ht="12" customHeight="1" outlineLevel="3" x14ac:dyDescent="0.2">
      <c r="A9275" s="40" t="s">
        <v>17672</v>
      </c>
      <c r="B9275" s="75" t="s">
        <v>17673</v>
      </c>
      <c r="C9275" s="51"/>
      <c r="D9275" s="54">
        <f t="shared" si="144"/>
        <v>0</v>
      </c>
      <c r="E9275" s="61" t="str">
        <f>HYPERLINK("https://www.sds-group.ru/product/uplotnitel-samokleyaschiysya-chernyy-d-profil-14h12mm-dlya-zazorov-8-11mm-upakovka-po-6m-pro-70-0635/", "Инфо")</f>
        <v>Инфо</v>
      </c>
      <c r="F9275" s="42" t="s">
        <v>1887</v>
      </c>
      <c r="G9275" s="41" t="s">
        <v>40</v>
      </c>
      <c r="H9275" s="41"/>
      <c r="I9275" s="41"/>
      <c r="J9275" s="43">
        <v>832</v>
      </c>
      <c r="K9275" s="41" t="s">
        <v>4008</v>
      </c>
      <c r="L9275" s="43">
        <v>5</v>
      </c>
      <c r="M9275" s="43">
        <v>80</v>
      </c>
      <c r="N9275" s="43">
        <v>5</v>
      </c>
      <c r="O9275" s="44">
        <v>509.46</v>
      </c>
      <c r="P9275" s="44">
        <v>417.59</v>
      </c>
      <c r="Q9275" s="44">
        <v>392.28</v>
      </c>
      <c r="R9275" s="44">
        <v>321.54000000000002</v>
      </c>
      <c r="S9275" s="44">
        <v>346.43</v>
      </c>
      <c r="T9275" s="44">
        <v>283.95999999999998</v>
      </c>
      <c r="U9275" s="42"/>
      <c r="V9275" s="42"/>
      <c r="W9275" s="42" t="s">
        <v>40</v>
      </c>
      <c r="X9275" s="45">
        <v>0.17399999999999999</v>
      </c>
      <c r="Y9275" s="46">
        <v>1.549E-3</v>
      </c>
      <c r="Z9275" s="21">
        <v>4601004337329</v>
      </c>
    </row>
    <row r="9276" spans="1:26" ht="12" customHeight="1" outlineLevel="3" x14ac:dyDescent="0.2">
      <c r="A9276" s="40" t="s">
        <v>17674</v>
      </c>
      <c r="B9276" s="75" t="s">
        <v>17675</v>
      </c>
      <c r="C9276" s="51"/>
      <c r="D9276" s="54">
        <f t="shared" si="144"/>
        <v>0</v>
      </c>
      <c r="E9276" s="61" t="str">
        <f>HYPERLINK("https://www.sds-group.ru/product/uplotnitel-samokleyaschiysya-chernyy-d-profil-9h7-5mm-dlya-zazorov-3-5mm-buhta-100m-proconne-70-0622/", "Инфо")</f>
        <v>Инфо</v>
      </c>
      <c r="F9276" s="42" t="s">
        <v>1887</v>
      </c>
      <c r="G9276" s="41" t="s">
        <v>40</v>
      </c>
      <c r="H9276" s="41"/>
      <c r="I9276" s="41"/>
      <c r="J9276" s="43">
        <v>728</v>
      </c>
      <c r="K9276" s="41"/>
      <c r="L9276" s="43">
        <v>1</v>
      </c>
      <c r="M9276" s="43">
        <v>8</v>
      </c>
      <c r="N9276" s="43">
        <v>1</v>
      </c>
      <c r="O9276" s="44">
        <v>2624.03</v>
      </c>
      <c r="P9276" s="44">
        <v>2150.84</v>
      </c>
      <c r="Q9276" s="44">
        <v>2020.5</v>
      </c>
      <c r="R9276" s="44">
        <v>1656.15</v>
      </c>
      <c r="S9276" s="44">
        <v>1784.34</v>
      </c>
      <c r="T9276" s="44">
        <v>1462.57</v>
      </c>
      <c r="U9276" s="42"/>
      <c r="V9276" s="42"/>
      <c r="W9276" s="42" t="s">
        <v>40</v>
      </c>
      <c r="X9276" s="45">
        <v>1.4650000000000001</v>
      </c>
      <c r="Y9276" s="46">
        <v>1.1334E-2</v>
      </c>
      <c r="Z9276" s="21">
        <v>4601004337299</v>
      </c>
    </row>
    <row r="9277" spans="1:26" ht="12" customHeight="1" outlineLevel="3" x14ac:dyDescent="0.2">
      <c r="A9277" s="40" t="s">
        <v>17676</v>
      </c>
      <c r="B9277" s="75" t="s">
        <v>17677</v>
      </c>
      <c r="C9277" s="51"/>
      <c r="D9277" s="54">
        <f t="shared" si="144"/>
        <v>0</v>
      </c>
      <c r="E9277" s="61" t="str">
        <f>HYPERLINK("https://www.sds-group.ru/product/uplotnitel-samokleyaschiysya-chernyy-d-profil-9h7-5mm-dlya-zazorov-3-5mm-upakovka-po-6m-proc-70-0632/", "Инфо")</f>
        <v>Инфо</v>
      </c>
      <c r="F9277" s="42" t="s">
        <v>1887</v>
      </c>
      <c r="G9277" s="41" t="s">
        <v>40</v>
      </c>
      <c r="H9277" s="41"/>
      <c r="I9277" s="41"/>
      <c r="J9277" s="43">
        <v>214</v>
      </c>
      <c r="K9277" s="41" t="s">
        <v>4008</v>
      </c>
      <c r="L9277" s="43">
        <v>5</v>
      </c>
      <c r="M9277" s="43">
        <v>160</v>
      </c>
      <c r="N9277" s="43">
        <v>5</v>
      </c>
      <c r="O9277" s="44">
        <v>208.06</v>
      </c>
      <c r="P9277" s="44">
        <v>170.54</v>
      </c>
      <c r="Q9277" s="44">
        <v>160.21</v>
      </c>
      <c r="R9277" s="44">
        <v>131.32</v>
      </c>
      <c r="S9277" s="44">
        <v>141.47999999999999</v>
      </c>
      <c r="T9277" s="44">
        <v>115.97</v>
      </c>
      <c r="U9277" s="42"/>
      <c r="V9277" s="42"/>
      <c r="W9277" s="42" t="s">
        <v>40</v>
      </c>
      <c r="X9277" s="45">
        <v>8.3000000000000004E-2</v>
      </c>
      <c r="Y9277" s="46">
        <v>6.5200000000000002E-4</v>
      </c>
      <c r="Z9277" s="21">
        <v>4601004337381</v>
      </c>
    </row>
    <row r="9278" spans="1:26" ht="12.95" customHeight="1" outlineLevel="1" x14ac:dyDescent="0.2">
      <c r="A9278" s="78" t="s">
        <v>17678</v>
      </c>
      <c r="B9278" s="78"/>
      <c r="C9278" s="79"/>
      <c r="D9278" s="57"/>
      <c r="E9278" s="67"/>
      <c r="F9278" s="12"/>
      <c r="G9278" s="12"/>
      <c r="H9278" s="12"/>
      <c r="I9278" s="12"/>
      <c r="J9278" s="12"/>
      <c r="K9278" s="12"/>
      <c r="L9278" s="12"/>
      <c r="M9278" s="12"/>
      <c r="N9278" s="12"/>
      <c r="O9278" s="12"/>
      <c r="P9278" s="12"/>
      <c r="Q9278" s="12"/>
      <c r="R9278" s="12"/>
      <c r="S9278" s="12"/>
      <c r="T9278" s="12"/>
      <c r="U9278" s="12"/>
      <c r="V9278" s="12"/>
      <c r="W9278" s="12"/>
      <c r="X9278" s="12"/>
      <c r="Y9278" s="12"/>
      <c r="Z9278" s="12"/>
    </row>
    <row r="9279" spans="1:26" ht="12.95" customHeight="1" outlineLevel="2" x14ac:dyDescent="0.2">
      <c r="A9279" s="82" t="s">
        <v>17679</v>
      </c>
      <c r="B9279" s="82"/>
      <c r="C9279" s="83"/>
      <c r="D9279" s="59"/>
      <c r="E9279" s="69"/>
      <c r="F9279" s="23"/>
      <c r="G9279" s="23"/>
      <c r="H9279" s="23"/>
      <c r="I9279" s="23"/>
      <c r="J9279" s="23"/>
      <c r="K9279" s="23"/>
      <c r="L9279" s="23"/>
      <c r="M9279" s="23"/>
      <c r="N9279" s="23"/>
      <c r="O9279" s="23"/>
      <c r="P9279" s="23"/>
      <c r="Q9279" s="23"/>
      <c r="R9279" s="23"/>
      <c r="S9279" s="23"/>
      <c r="T9279" s="23"/>
      <c r="U9279" s="23"/>
      <c r="V9279" s="23"/>
      <c r="W9279" s="23"/>
      <c r="X9279" s="23"/>
      <c r="Y9279" s="23"/>
      <c r="Z9279" s="23"/>
    </row>
    <row r="9280" spans="1:26" ht="12.95" customHeight="1" outlineLevel="3" x14ac:dyDescent="0.2">
      <c r="A9280" s="82" t="s">
        <v>17680</v>
      </c>
      <c r="B9280" s="82"/>
      <c r="C9280" s="83"/>
      <c r="D9280" s="59"/>
      <c r="E9280" s="69"/>
      <c r="F9280" s="23"/>
      <c r="G9280" s="23"/>
      <c r="H9280" s="23"/>
      <c r="I9280" s="23"/>
      <c r="J9280" s="23"/>
      <c r="K9280" s="23"/>
      <c r="L9280" s="23"/>
      <c r="M9280" s="23"/>
      <c r="N9280" s="23"/>
      <c r="O9280" s="23"/>
      <c r="P9280" s="23"/>
      <c r="Q9280" s="23"/>
      <c r="R9280" s="23"/>
      <c r="S9280" s="23"/>
      <c r="T9280" s="23"/>
      <c r="U9280" s="23"/>
      <c r="V9280" s="23"/>
      <c r="W9280" s="23"/>
      <c r="X9280" s="23"/>
      <c r="Y9280" s="23"/>
      <c r="Z9280" s="23"/>
    </row>
    <row r="9281" spans="1:26" ht="12" customHeight="1" outlineLevel="4" x14ac:dyDescent="0.2">
      <c r="A9281" s="14" t="s">
        <v>17681</v>
      </c>
      <c r="B9281" s="26" t="s">
        <v>17682</v>
      </c>
      <c r="C9281" s="52"/>
      <c r="D9281" s="55">
        <f t="shared" si="144"/>
        <v>0</v>
      </c>
      <c r="E9281" s="63" t="str">
        <f>HYPERLINK("https://www.sds-group.ru/product/vesy-karmannye-elektronnye-ot-0-01-do-100-gramm-rexant-72-1000/", "Инфо")</f>
        <v>Инфо</v>
      </c>
      <c r="F9281" s="16" t="s">
        <v>39</v>
      </c>
      <c r="G9281" s="15"/>
      <c r="H9281" s="15"/>
      <c r="I9281" s="15"/>
      <c r="J9281" s="16" t="s">
        <v>100</v>
      </c>
      <c r="K9281" s="15" t="s">
        <v>1094</v>
      </c>
      <c r="L9281" s="17">
        <v>1</v>
      </c>
      <c r="M9281" s="17">
        <v>100</v>
      </c>
      <c r="N9281" s="17">
        <v>1</v>
      </c>
      <c r="O9281" s="18">
        <v>1455.33</v>
      </c>
      <c r="P9281" s="18">
        <v>1192.8900000000001</v>
      </c>
      <c r="Q9281" s="18">
        <v>1018.73</v>
      </c>
      <c r="R9281" s="18">
        <v>835.02</v>
      </c>
      <c r="S9281" s="18">
        <v>989.62</v>
      </c>
      <c r="T9281" s="18">
        <v>811.16</v>
      </c>
      <c r="U9281" s="16"/>
      <c r="V9281" s="16"/>
      <c r="W9281" s="16"/>
      <c r="X9281" s="19">
        <v>0.124</v>
      </c>
      <c r="Y9281" s="20">
        <v>3.5300000000000002E-4</v>
      </c>
      <c r="Z9281" s="21">
        <v>4601004028760</v>
      </c>
    </row>
    <row r="9282" spans="1:26" ht="12" customHeight="1" outlineLevel="4" x14ac:dyDescent="0.2">
      <c r="A9282" s="14" t="s">
        <v>17683</v>
      </c>
      <c r="B9282" s="26" t="s">
        <v>17684</v>
      </c>
      <c r="C9282" s="52"/>
      <c r="D9282" s="55">
        <f t="shared" si="144"/>
        <v>0</v>
      </c>
      <c r="E9282" s="63" t="str">
        <f>HYPERLINK("https://www.sds-group.ru/product/vesy-karmannye-elektronnye-ot-0-01-do-200-gramm-rexant-72-1001/", "Инфо")</f>
        <v>Инфо</v>
      </c>
      <c r="F9282" s="16" t="s">
        <v>39</v>
      </c>
      <c r="G9282" s="15"/>
      <c r="H9282" s="15"/>
      <c r="I9282" s="15"/>
      <c r="J9282" s="16" t="s">
        <v>100</v>
      </c>
      <c r="K9282" s="15" t="s">
        <v>1094</v>
      </c>
      <c r="L9282" s="17">
        <v>1</v>
      </c>
      <c r="M9282" s="17">
        <v>100</v>
      </c>
      <c r="N9282" s="17">
        <v>1</v>
      </c>
      <c r="O9282" s="18">
        <v>862.42</v>
      </c>
      <c r="P9282" s="18">
        <v>706.9</v>
      </c>
      <c r="Q9282" s="18">
        <v>603.69000000000005</v>
      </c>
      <c r="R9282" s="18">
        <v>494.83</v>
      </c>
      <c r="S9282" s="18">
        <v>586.45000000000005</v>
      </c>
      <c r="T9282" s="18">
        <v>480.7</v>
      </c>
      <c r="U9282" s="16"/>
      <c r="V9282" s="16"/>
      <c r="W9282" s="16"/>
      <c r="X9282" s="19">
        <v>0.126</v>
      </c>
      <c r="Y9282" s="20">
        <v>3.6699999999999998E-4</v>
      </c>
      <c r="Z9282" s="21">
        <v>4601004028746</v>
      </c>
    </row>
    <row r="9283" spans="1:26" ht="12" customHeight="1" outlineLevel="4" x14ac:dyDescent="0.2">
      <c r="A9283" s="14" t="s">
        <v>17685</v>
      </c>
      <c r="B9283" s="26" t="s">
        <v>17686</v>
      </c>
      <c r="C9283" s="52"/>
      <c r="D9283" s="55">
        <f t="shared" si="144"/>
        <v>0</v>
      </c>
      <c r="E9283" s="63" t="str">
        <f>HYPERLINK("https://www.sds-group.ru/product/vesy-karmannye-elektronnye-ot-0-01-do-500-gramm-s-chashey-rexant-72-1002/", "Инфо")</f>
        <v>Инфо</v>
      </c>
      <c r="F9283" s="16" t="s">
        <v>39</v>
      </c>
      <c r="G9283" s="15"/>
      <c r="H9283" s="15"/>
      <c r="I9283" s="15"/>
      <c r="J9283" s="17">
        <v>466</v>
      </c>
      <c r="K9283" s="15" t="s">
        <v>995</v>
      </c>
      <c r="L9283" s="17">
        <v>1</v>
      </c>
      <c r="M9283" s="17">
        <v>100</v>
      </c>
      <c r="N9283" s="17">
        <v>1</v>
      </c>
      <c r="O9283" s="18">
        <v>1886.54</v>
      </c>
      <c r="P9283" s="18">
        <v>1546.34</v>
      </c>
      <c r="Q9283" s="18">
        <v>1320.58</v>
      </c>
      <c r="R9283" s="18">
        <v>1082.44</v>
      </c>
      <c r="S9283" s="18">
        <v>1282.8499999999999</v>
      </c>
      <c r="T9283" s="18">
        <v>1051.52</v>
      </c>
      <c r="U9283" s="16"/>
      <c r="V9283" s="16"/>
      <c r="W9283" s="16"/>
      <c r="X9283" s="19">
        <v>0.16400000000000001</v>
      </c>
      <c r="Y9283" s="20">
        <v>5.4299999999999997E-4</v>
      </c>
      <c r="Z9283" s="21">
        <v>4601004028739</v>
      </c>
    </row>
    <row r="9284" spans="1:26" ht="12.95" customHeight="1" outlineLevel="1" x14ac:dyDescent="0.2">
      <c r="A9284" s="78" t="s">
        <v>17687</v>
      </c>
      <c r="B9284" s="78"/>
      <c r="C9284" s="79"/>
      <c r="D9284" s="57"/>
      <c r="E9284" s="67"/>
      <c r="F9284" s="12"/>
      <c r="G9284" s="12"/>
      <c r="H9284" s="12"/>
      <c r="I9284" s="12"/>
      <c r="J9284" s="12"/>
      <c r="K9284" s="12"/>
      <c r="L9284" s="12"/>
      <c r="M9284" s="12"/>
      <c r="N9284" s="12"/>
      <c r="O9284" s="12"/>
      <c r="P9284" s="12"/>
      <c r="Q9284" s="12"/>
      <c r="R9284" s="12"/>
      <c r="S9284" s="12"/>
      <c r="T9284" s="12"/>
      <c r="U9284" s="12"/>
      <c r="V9284" s="12"/>
      <c r="W9284" s="12"/>
      <c r="X9284" s="12"/>
      <c r="Y9284" s="12"/>
      <c r="Z9284" s="12"/>
    </row>
    <row r="9285" spans="1:26" ht="12.95" customHeight="1" outlineLevel="2" x14ac:dyDescent="0.2">
      <c r="A9285" s="82" t="s">
        <v>17688</v>
      </c>
      <c r="B9285" s="82"/>
      <c r="C9285" s="83"/>
      <c r="D9285" s="59"/>
      <c r="E9285" s="69"/>
      <c r="F9285" s="23"/>
      <c r="G9285" s="23"/>
      <c r="H9285" s="23"/>
      <c r="I9285" s="23"/>
      <c r="J9285" s="23"/>
      <c r="K9285" s="23"/>
      <c r="L9285" s="23"/>
      <c r="M9285" s="23"/>
      <c r="N9285" s="23"/>
      <c r="O9285" s="23"/>
      <c r="P9285" s="23"/>
      <c r="Q9285" s="23"/>
      <c r="R9285" s="23"/>
      <c r="S9285" s="23"/>
      <c r="T9285" s="23"/>
      <c r="U9285" s="23"/>
      <c r="V9285" s="23"/>
      <c r="W9285" s="23"/>
      <c r="X9285" s="23"/>
      <c r="Y9285" s="23"/>
      <c r="Z9285" s="23"/>
    </row>
    <row r="9286" spans="1:26" ht="12" customHeight="1" outlineLevel="3" x14ac:dyDescent="0.2">
      <c r="A9286" s="14" t="s">
        <v>17689</v>
      </c>
      <c r="B9286" s="26" t="s">
        <v>17690</v>
      </c>
      <c r="C9286" s="52"/>
      <c r="D9286" s="55">
        <f t="shared" si="144"/>
        <v>0</v>
      </c>
      <c r="E9286" s="63" t="str">
        <f>HYPERLINK("https://www.sds-group.ru/product/meteostantsiya-s637b-s-zhk-ekranom-i-besprovodnym-datchikom-rexant-70-0597/", "Инфо")</f>
        <v>Инфо</v>
      </c>
      <c r="F9286" s="16" t="s">
        <v>39</v>
      </c>
      <c r="G9286" s="15"/>
      <c r="H9286" s="15"/>
      <c r="I9286" s="15"/>
      <c r="J9286" s="22">
        <v>1330</v>
      </c>
      <c r="K9286" s="15"/>
      <c r="L9286" s="17">
        <v>1</v>
      </c>
      <c r="M9286" s="17">
        <v>28</v>
      </c>
      <c r="N9286" s="17">
        <v>1</v>
      </c>
      <c r="O9286" s="18">
        <v>3234.06</v>
      </c>
      <c r="P9286" s="18">
        <v>2650.87</v>
      </c>
      <c r="Q9286" s="18">
        <v>2263.84</v>
      </c>
      <c r="R9286" s="18">
        <v>1855.61</v>
      </c>
      <c r="S9286" s="18">
        <v>2199.16</v>
      </c>
      <c r="T9286" s="18">
        <v>1802.59</v>
      </c>
      <c r="U9286" s="16"/>
      <c r="V9286" s="16"/>
      <c r="W9286" s="16"/>
      <c r="X9286" s="19">
        <v>0.34499999999999997</v>
      </c>
      <c r="Y9286" s="20">
        <v>1.4989999999999999E-3</v>
      </c>
      <c r="Z9286" s="21">
        <v>4601004197572</v>
      </c>
    </row>
    <row r="9287" spans="1:26" ht="12" customHeight="1" outlineLevel="3" x14ac:dyDescent="0.2">
      <c r="A9287" s="32" t="s">
        <v>17691</v>
      </c>
      <c r="B9287" s="74" t="s">
        <v>17692</v>
      </c>
      <c r="C9287" s="50"/>
      <c r="D9287" s="53">
        <f t="shared" si="144"/>
        <v>0</v>
      </c>
      <c r="E9287" s="60" t="str">
        <f>HYPERLINK("https://www.sds-group.ru/product/meteostantsiya-komnatnaya-rx-108-rexant-70-0520/", "Инфо")</f>
        <v>Инфо</v>
      </c>
      <c r="F9287" s="34" t="s">
        <v>39</v>
      </c>
      <c r="G9287" s="33"/>
      <c r="H9287" s="33" t="s">
        <v>40</v>
      </c>
      <c r="I9287" s="33"/>
      <c r="J9287" s="39">
        <v>5619</v>
      </c>
      <c r="K9287" s="33"/>
      <c r="L9287" s="35">
        <v>1</v>
      </c>
      <c r="M9287" s="35">
        <v>50</v>
      </c>
      <c r="N9287" s="35">
        <v>1</v>
      </c>
      <c r="O9287" s="36">
        <v>808.52</v>
      </c>
      <c r="P9287" s="36">
        <v>662.72</v>
      </c>
      <c r="Q9287" s="36">
        <v>622.55999999999995</v>
      </c>
      <c r="R9287" s="36">
        <v>510.3</v>
      </c>
      <c r="S9287" s="36">
        <v>549.79</v>
      </c>
      <c r="T9287" s="36">
        <v>450.65</v>
      </c>
      <c r="U9287" s="34"/>
      <c r="V9287" s="34"/>
      <c r="W9287" s="34" t="s">
        <v>40</v>
      </c>
      <c r="X9287" s="37">
        <v>9.4E-2</v>
      </c>
      <c r="Y9287" s="38">
        <v>4.26E-4</v>
      </c>
      <c r="Z9287" s="21">
        <v>4601004037076</v>
      </c>
    </row>
    <row r="9288" spans="1:26" ht="12" customHeight="1" outlineLevel="3" x14ac:dyDescent="0.2">
      <c r="A9288" s="14" t="s">
        <v>17693</v>
      </c>
      <c r="B9288" s="26" t="s">
        <v>17694</v>
      </c>
      <c r="C9288" s="52"/>
      <c r="D9288" s="55">
        <f t="shared" si="144"/>
        <v>0</v>
      </c>
      <c r="E9288" s="63" t="str">
        <f>HYPERLINK("https://www.sds-group.ru/product/meteostantsiya-komnatnaya-s5023-rexant-70-0514/", "Инфо")</f>
        <v>Инфо</v>
      </c>
      <c r="F9288" s="16" t="s">
        <v>39</v>
      </c>
      <c r="G9288" s="15"/>
      <c r="H9288" s="15"/>
      <c r="I9288" s="15"/>
      <c r="J9288" s="22">
        <v>1127</v>
      </c>
      <c r="K9288" s="15"/>
      <c r="L9288" s="17">
        <v>1</v>
      </c>
      <c r="M9288" s="17">
        <v>120</v>
      </c>
      <c r="N9288" s="17">
        <v>1</v>
      </c>
      <c r="O9288" s="18">
        <v>754.61</v>
      </c>
      <c r="P9288" s="18">
        <v>618.53</v>
      </c>
      <c r="Q9288" s="18">
        <v>581.04999999999995</v>
      </c>
      <c r="R9288" s="18">
        <v>476.27</v>
      </c>
      <c r="S9288" s="18">
        <v>513.13</v>
      </c>
      <c r="T9288" s="18">
        <v>420.6</v>
      </c>
      <c r="U9288" s="16"/>
      <c r="V9288" s="16"/>
      <c r="W9288" s="16" t="s">
        <v>40</v>
      </c>
      <c r="X9288" s="19">
        <v>0.04</v>
      </c>
      <c r="Y9288" s="20">
        <v>1.03E-4</v>
      </c>
      <c r="Z9288" s="21">
        <v>4601004197541</v>
      </c>
    </row>
    <row r="9289" spans="1:26" ht="12" customHeight="1" outlineLevel="3" x14ac:dyDescent="0.2">
      <c r="A9289" s="14" t="s">
        <v>17695</v>
      </c>
      <c r="B9289" s="26" t="s">
        <v>17696</v>
      </c>
      <c r="C9289" s="52"/>
      <c r="D9289" s="55">
        <f t="shared" ref="D9289:D9352" si="145">C9289*(O9289-O9289*$G$3)</f>
        <v>0</v>
      </c>
      <c r="E9289" s="63" t="str">
        <f>HYPERLINK("https://www.sds-group.ru/product/meteostantsiya-komnatno-ulichnaya-s-provodnym-vynosnym-datchikom-rexant-70-0518/", "Инфо")</f>
        <v>Инфо</v>
      </c>
      <c r="F9289" s="16" t="s">
        <v>39</v>
      </c>
      <c r="G9289" s="15"/>
      <c r="H9289" s="15"/>
      <c r="I9289" s="15"/>
      <c r="J9289" s="17">
        <v>608</v>
      </c>
      <c r="K9289" s="15" t="s">
        <v>1277</v>
      </c>
      <c r="L9289" s="17">
        <v>1</v>
      </c>
      <c r="M9289" s="17">
        <v>50</v>
      </c>
      <c r="N9289" s="17">
        <v>1</v>
      </c>
      <c r="O9289" s="18">
        <v>1617.03</v>
      </c>
      <c r="P9289" s="18">
        <v>1325.43</v>
      </c>
      <c r="Q9289" s="18">
        <v>1131.92</v>
      </c>
      <c r="R9289" s="18">
        <v>927.8</v>
      </c>
      <c r="S9289" s="18">
        <v>1099.58</v>
      </c>
      <c r="T9289" s="18">
        <v>901.3</v>
      </c>
      <c r="U9289" s="16"/>
      <c r="V9289" s="16"/>
      <c r="W9289" s="16"/>
      <c r="X9289" s="19">
        <v>0.17</v>
      </c>
      <c r="Y9289" s="20">
        <v>7.2599999999999997E-4</v>
      </c>
      <c r="Z9289" s="21">
        <v>4601004083240</v>
      </c>
    </row>
    <row r="9290" spans="1:26" ht="12" customHeight="1" outlineLevel="3" x14ac:dyDescent="0.2">
      <c r="A9290" s="14" t="s">
        <v>17697</v>
      </c>
      <c r="B9290" s="26" t="s">
        <v>17698</v>
      </c>
      <c r="C9290" s="52"/>
      <c r="D9290" s="55">
        <f t="shared" si="145"/>
        <v>0</v>
      </c>
      <c r="E9290" s="63" t="str">
        <f>HYPERLINK("https://www.sds-group.ru/product/meteostantsiya-komnatno-ulichnaya-s3331sc-s-provodnym-datchikom-rexant-70-0513/", "Инфо")</f>
        <v>Инфо</v>
      </c>
      <c r="F9290" s="16" t="s">
        <v>39</v>
      </c>
      <c r="G9290" s="15"/>
      <c r="H9290" s="15"/>
      <c r="I9290" s="15"/>
      <c r="J9290" s="17">
        <v>900</v>
      </c>
      <c r="K9290" s="15"/>
      <c r="L9290" s="17">
        <v>1</v>
      </c>
      <c r="M9290" s="17">
        <v>48</v>
      </c>
      <c r="N9290" s="17">
        <v>1</v>
      </c>
      <c r="O9290" s="18">
        <v>1033.82</v>
      </c>
      <c r="P9290" s="18">
        <v>847.39</v>
      </c>
      <c r="Q9290" s="18">
        <v>827.06</v>
      </c>
      <c r="R9290" s="18">
        <v>677.92</v>
      </c>
      <c r="S9290" s="18">
        <v>703</v>
      </c>
      <c r="T9290" s="18">
        <v>576.23</v>
      </c>
      <c r="U9290" s="16"/>
      <c r="V9290" s="16"/>
      <c r="W9290" s="16" t="s">
        <v>40</v>
      </c>
      <c r="X9290" s="19">
        <v>9.2999999999999999E-2</v>
      </c>
      <c r="Y9290" s="20">
        <v>3.3199999999999999E-4</v>
      </c>
      <c r="Z9290" s="21">
        <v>4601004197589</v>
      </c>
    </row>
    <row r="9291" spans="1:26" ht="12" customHeight="1" outlineLevel="3" x14ac:dyDescent="0.2">
      <c r="A9291" s="14" t="s">
        <v>17699</v>
      </c>
      <c r="B9291" s="26" t="s">
        <v>17700</v>
      </c>
      <c r="C9291" s="52"/>
      <c r="D9291" s="55">
        <f t="shared" si="145"/>
        <v>0</v>
      </c>
      <c r="E9291" s="63" t="str">
        <f>HYPERLINK("https://www.sds-group.ru/product/meteostantsiya-s-besprovodnym-vynosnym-datchikom-rexant-70-0595/", "Инфо")</f>
        <v>Инфо</v>
      </c>
      <c r="F9291" s="16" t="s">
        <v>39</v>
      </c>
      <c r="G9291" s="15"/>
      <c r="H9291" s="15"/>
      <c r="I9291" s="15"/>
      <c r="J9291" s="17">
        <v>503</v>
      </c>
      <c r="K9291" s="15"/>
      <c r="L9291" s="17">
        <v>1</v>
      </c>
      <c r="M9291" s="17">
        <v>24</v>
      </c>
      <c r="N9291" s="17">
        <v>1</v>
      </c>
      <c r="O9291" s="18">
        <v>2802.85</v>
      </c>
      <c r="P9291" s="18">
        <v>2297.42</v>
      </c>
      <c r="Q9291" s="18">
        <v>1962</v>
      </c>
      <c r="R9291" s="18">
        <v>1608.2</v>
      </c>
      <c r="S9291" s="18">
        <v>1905.94</v>
      </c>
      <c r="T9291" s="18">
        <v>1562.25</v>
      </c>
      <c r="U9291" s="16"/>
      <c r="V9291" s="16"/>
      <c r="W9291" s="16"/>
      <c r="X9291" s="19">
        <v>0.26200000000000001</v>
      </c>
      <c r="Y9291" s="20">
        <v>1.6440000000000001E-3</v>
      </c>
      <c r="Z9291" s="21">
        <v>4601004043831</v>
      </c>
    </row>
    <row r="9292" spans="1:26" ht="12" customHeight="1" outlineLevel="3" x14ac:dyDescent="0.2">
      <c r="A9292" s="14" t="s">
        <v>17701</v>
      </c>
      <c r="B9292" s="26" t="s">
        <v>17702</v>
      </c>
      <c r="C9292" s="52"/>
      <c r="D9292" s="55">
        <f t="shared" si="145"/>
        <v>0</v>
      </c>
      <c r="E9292" s="63" t="str">
        <f>HYPERLINK("https://www.sds-group.ru/product/termogigrometr-komnatno-ulichnyy-rexant-70-0515/", "Инфо")</f>
        <v>Инфо</v>
      </c>
      <c r="F9292" s="16" t="s">
        <v>39</v>
      </c>
      <c r="G9292" s="15"/>
      <c r="H9292" s="15"/>
      <c r="I9292" s="15"/>
      <c r="J9292" s="22">
        <v>1948</v>
      </c>
      <c r="K9292" s="15"/>
      <c r="L9292" s="17">
        <v>1</v>
      </c>
      <c r="M9292" s="17">
        <v>50</v>
      </c>
      <c r="N9292" s="17">
        <v>1</v>
      </c>
      <c r="O9292" s="18">
        <v>981</v>
      </c>
      <c r="P9292" s="18">
        <v>804.1</v>
      </c>
      <c r="Q9292" s="18">
        <v>686.7</v>
      </c>
      <c r="R9292" s="18">
        <v>562.87</v>
      </c>
      <c r="S9292" s="18">
        <v>667.08</v>
      </c>
      <c r="T9292" s="18">
        <v>546.79</v>
      </c>
      <c r="U9292" s="16"/>
      <c r="V9292" s="16"/>
      <c r="W9292" s="16"/>
      <c r="X9292" s="19">
        <v>8.8999999999999996E-2</v>
      </c>
      <c r="Y9292" s="20">
        <v>3.6900000000000002E-4</v>
      </c>
      <c r="Z9292" s="21">
        <v>4601004022379</v>
      </c>
    </row>
    <row r="9293" spans="1:26" ht="12" customHeight="1" outlineLevel="3" x14ac:dyDescent="0.2">
      <c r="A9293" s="32" t="s">
        <v>17703</v>
      </c>
      <c r="B9293" s="74" t="s">
        <v>17704</v>
      </c>
      <c r="C9293" s="50"/>
      <c r="D9293" s="53">
        <f t="shared" si="145"/>
        <v>0</v>
      </c>
      <c r="E9293" s="60" t="str">
        <f>HYPERLINK("https://www.sds-group.ru/product/termogigrometr-komnatnyy-s-chasami-i-funktsiey-budilnika-rexant-70-0511/", "Инфо")</f>
        <v>Инфо</v>
      </c>
      <c r="F9293" s="34" t="s">
        <v>39</v>
      </c>
      <c r="G9293" s="33"/>
      <c r="H9293" s="33" t="s">
        <v>40</v>
      </c>
      <c r="I9293" s="33"/>
      <c r="J9293" s="39">
        <v>2284</v>
      </c>
      <c r="K9293" s="33"/>
      <c r="L9293" s="35">
        <v>1</v>
      </c>
      <c r="M9293" s="35">
        <v>50</v>
      </c>
      <c r="N9293" s="35">
        <v>1</v>
      </c>
      <c r="O9293" s="36">
        <v>733.05</v>
      </c>
      <c r="P9293" s="36">
        <v>600.86</v>
      </c>
      <c r="Q9293" s="36">
        <v>513.14</v>
      </c>
      <c r="R9293" s="36">
        <v>420.61</v>
      </c>
      <c r="S9293" s="36">
        <v>498.47</v>
      </c>
      <c r="T9293" s="36">
        <v>408.58</v>
      </c>
      <c r="U9293" s="34"/>
      <c r="V9293" s="34"/>
      <c r="W9293" s="34"/>
      <c r="X9293" s="37">
        <v>7.2999999999999995E-2</v>
      </c>
      <c r="Y9293" s="38">
        <v>3.5799999999999997E-4</v>
      </c>
      <c r="Z9293" s="21">
        <v>4601004022355</v>
      </c>
    </row>
    <row r="9294" spans="1:26" ht="12" customHeight="1" outlineLevel="3" x14ac:dyDescent="0.2">
      <c r="A9294" s="14" t="s">
        <v>17705</v>
      </c>
      <c r="B9294" s="26" t="s">
        <v>17706</v>
      </c>
      <c r="C9294" s="52"/>
      <c r="D9294" s="55">
        <f t="shared" si="145"/>
        <v>0</v>
      </c>
      <c r="E9294" s="63" t="str">
        <f>HYPERLINK("https://www.sds-group.ru/product/termometr-naruzhnyy-bytovoy-tb-202-proconnect-70-0582/", "Инфо")</f>
        <v>Инфо</v>
      </c>
      <c r="F9294" s="16" t="s">
        <v>39</v>
      </c>
      <c r="G9294" s="15"/>
      <c r="H9294" s="15"/>
      <c r="I9294" s="15"/>
      <c r="J9294" s="22">
        <v>3090</v>
      </c>
      <c r="K9294" s="15"/>
      <c r="L9294" s="17">
        <v>10</v>
      </c>
      <c r="M9294" s="17">
        <v>100</v>
      </c>
      <c r="N9294" s="17">
        <v>10</v>
      </c>
      <c r="O9294" s="18">
        <v>143.27000000000001</v>
      </c>
      <c r="P9294" s="18">
        <v>117.43</v>
      </c>
      <c r="Q9294" s="18">
        <v>121.78</v>
      </c>
      <c r="R9294" s="18">
        <v>99.82</v>
      </c>
      <c r="S9294" s="18">
        <v>97.42</v>
      </c>
      <c r="T9294" s="18">
        <v>79.849999999999994</v>
      </c>
      <c r="U9294" s="16"/>
      <c r="V9294" s="16"/>
      <c r="W9294" s="16" t="s">
        <v>40</v>
      </c>
      <c r="X9294" s="19">
        <v>4.4999999999999998E-2</v>
      </c>
      <c r="Y9294" s="20">
        <v>4.9700000000000005E-4</v>
      </c>
      <c r="Z9294" s="21">
        <v>4601004042100</v>
      </c>
    </row>
    <row r="9295" spans="1:26" ht="12" customHeight="1" outlineLevel="3" x14ac:dyDescent="0.2">
      <c r="A9295" s="14" t="s">
        <v>17707</v>
      </c>
      <c r="B9295" s="26" t="s">
        <v>17708</v>
      </c>
      <c r="C9295" s="52"/>
      <c r="D9295" s="55">
        <f t="shared" si="145"/>
        <v>0</v>
      </c>
      <c r="E9295" s="63" t="str">
        <f>HYPERLINK("https://www.sds-group.ru/product/termometr-naruzhnyy-okonnyy-na-kleykoy-lente-tb-223-proconnect-70-0581/", "Инфо")</f>
        <v>Инфо</v>
      </c>
      <c r="F9295" s="16" t="s">
        <v>39</v>
      </c>
      <c r="G9295" s="15"/>
      <c r="H9295" s="15"/>
      <c r="I9295" s="15"/>
      <c r="J9295" s="22">
        <v>5592</v>
      </c>
      <c r="K9295" s="15"/>
      <c r="L9295" s="17">
        <v>10</v>
      </c>
      <c r="M9295" s="17">
        <v>100</v>
      </c>
      <c r="N9295" s="17">
        <v>10</v>
      </c>
      <c r="O9295" s="18">
        <v>162.36000000000001</v>
      </c>
      <c r="P9295" s="18">
        <v>133.08000000000001</v>
      </c>
      <c r="Q9295" s="18">
        <v>138.01</v>
      </c>
      <c r="R9295" s="18">
        <v>113.12</v>
      </c>
      <c r="S9295" s="18">
        <v>110.4</v>
      </c>
      <c r="T9295" s="18">
        <v>90.49</v>
      </c>
      <c r="U9295" s="16"/>
      <c r="V9295" s="16"/>
      <c r="W9295" s="16" t="s">
        <v>40</v>
      </c>
      <c r="X9295" s="19">
        <v>4.9000000000000002E-2</v>
      </c>
      <c r="Y9295" s="20">
        <v>4.7199999999999998E-4</v>
      </c>
      <c r="Z9295" s="21">
        <v>4601004042087</v>
      </c>
    </row>
    <row r="9296" spans="1:26" ht="12" customHeight="1" outlineLevel="3" x14ac:dyDescent="0.2">
      <c r="A9296" s="14" t="s">
        <v>17709</v>
      </c>
      <c r="B9296" s="26" t="s">
        <v>17710</v>
      </c>
      <c r="C9296" s="52"/>
      <c r="D9296" s="55">
        <f t="shared" si="145"/>
        <v>0</v>
      </c>
      <c r="E9296" s="63" t="str">
        <f>HYPERLINK("https://www.sds-group.ru/product/termometr-tsifrovoy-termoschup-rx-512-rexant-70-0512/", "Инфо")</f>
        <v>Инфо</v>
      </c>
      <c r="F9296" s="16" t="s">
        <v>39</v>
      </c>
      <c r="G9296" s="15"/>
      <c r="H9296" s="15"/>
      <c r="I9296" s="15"/>
      <c r="J9296" s="22">
        <v>1140</v>
      </c>
      <c r="K9296" s="15"/>
      <c r="L9296" s="17">
        <v>1</v>
      </c>
      <c r="M9296" s="17">
        <v>200</v>
      </c>
      <c r="N9296" s="17">
        <v>1</v>
      </c>
      <c r="O9296" s="18">
        <v>457.46</v>
      </c>
      <c r="P9296" s="18">
        <v>374.97</v>
      </c>
      <c r="Q9296" s="18">
        <v>388.84</v>
      </c>
      <c r="R9296" s="18">
        <v>318.72000000000003</v>
      </c>
      <c r="S9296" s="18">
        <v>311.07</v>
      </c>
      <c r="T9296" s="18">
        <v>254.98</v>
      </c>
      <c r="U9296" s="16"/>
      <c r="V9296" s="16"/>
      <c r="W9296" s="16" t="s">
        <v>40</v>
      </c>
      <c r="X9296" s="19">
        <v>3.5999999999999997E-2</v>
      </c>
      <c r="Y9296" s="20">
        <v>1.7200000000000001E-4</v>
      </c>
      <c r="Z9296" s="21">
        <v>4601004091665</v>
      </c>
    </row>
    <row r="9297" spans="1:26" ht="12" customHeight="1" outlineLevel="3" x14ac:dyDescent="0.2">
      <c r="A9297" s="14" t="s">
        <v>17711</v>
      </c>
      <c r="B9297" s="26" t="s">
        <v>17712</v>
      </c>
      <c r="C9297" s="52"/>
      <c r="D9297" s="55">
        <f t="shared" si="145"/>
        <v>0</v>
      </c>
      <c r="E9297" s="63" t="str">
        <f>HYPERLINK("https://www.sds-group.ru/product/termometr-elektronnyy-rx-509-rexant-70-0509/", "Инфо")</f>
        <v>Инфо</v>
      </c>
      <c r="F9297" s="16" t="s">
        <v>39</v>
      </c>
      <c r="G9297" s="15"/>
      <c r="H9297" s="15"/>
      <c r="I9297" s="15"/>
      <c r="J9297" s="17">
        <v>459</v>
      </c>
      <c r="K9297" s="15"/>
      <c r="L9297" s="17">
        <v>1</v>
      </c>
      <c r="M9297" s="17">
        <v>200</v>
      </c>
      <c r="N9297" s="17">
        <v>1</v>
      </c>
      <c r="O9297" s="18">
        <v>431.21</v>
      </c>
      <c r="P9297" s="18">
        <v>353.45</v>
      </c>
      <c r="Q9297" s="18">
        <v>344.97</v>
      </c>
      <c r="R9297" s="18">
        <v>282.76</v>
      </c>
      <c r="S9297" s="18">
        <v>293.22000000000003</v>
      </c>
      <c r="T9297" s="18">
        <v>240.34</v>
      </c>
      <c r="U9297" s="16"/>
      <c r="V9297" s="16"/>
      <c r="W9297" s="16" t="s">
        <v>40</v>
      </c>
      <c r="X9297" s="19">
        <v>1.9E-2</v>
      </c>
      <c r="Y9297" s="20">
        <v>1.08E-4</v>
      </c>
      <c r="Z9297" s="21">
        <v>4601004091689</v>
      </c>
    </row>
    <row r="9298" spans="1:26" ht="12" customHeight="1" outlineLevel="3" x14ac:dyDescent="0.2">
      <c r="A9298" s="14" t="s">
        <v>17713</v>
      </c>
      <c r="B9298" s="26" t="s">
        <v>17714</v>
      </c>
      <c r="C9298" s="52"/>
      <c r="D9298" s="55">
        <f t="shared" si="145"/>
        <v>0</v>
      </c>
      <c r="E9298" s="63" t="str">
        <f>HYPERLINK("https://www.sds-group.ru/product/termometr-elektronnyy-s3341bf-s-chasami-i-besprovodnym-vynosnym-datchikom-rexant-70-0596/", "Инфо")</f>
        <v>Инфо</v>
      </c>
      <c r="F9298" s="16" t="s">
        <v>39</v>
      </c>
      <c r="G9298" s="15"/>
      <c r="H9298" s="15"/>
      <c r="I9298" s="15"/>
      <c r="J9298" s="16" t="s">
        <v>100</v>
      </c>
      <c r="K9298" s="15"/>
      <c r="L9298" s="17">
        <v>1</v>
      </c>
      <c r="M9298" s="17">
        <v>100</v>
      </c>
      <c r="N9298" s="17">
        <v>1</v>
      </c>
      <c r="O9298" s="18">
        <v>1832.63</v>
      </c>
      <c r="P9298" s="18">
        <v>1502.16</v>
      </c>
      <c r="Q9298" s="18">
        <v>1282.8399999999999</v>
      </c>
      <c r="R9298" s="18">
        <v>1051.51</v>
      </c>
      <c r="S9298" s="18">
        <v>1246.19</v>
      </c>
      <c r="T9298" s="18">
        <v>1021.47</v>
      </c>
      <c r="U9298" s="16"/>
      <c r="V9298" s="16"/>
      <c r="W9298" s="16"/>
      <c r="X9298" s="19">
        <v>0.13300000000000001</v>
      </c>
      <c r="Y9298" s="20">
        <v>4.9399999999999997E-4</v>
      </c>
      <c r="Z9298" s="21">
        <v>4601004197565</v>
      </c>
    </row>
    <row r="9299" spans="1:26" ht="12" customHeight="1" outlineLevel="3" x14ac:dyDescent="0.2">
      <c r="A9299" s="14" t="s">
        <v>17715</v>
      </c>
      <c r="B9299" s="26" t="s">
        <v>17716</v>
      </c>
      <c r="C9299" s="52"/>
      <c r="D9299" s="55">
        <f t="shared" si="145"/>
        <v>0</v>
      </c>
      <c r="E9299" s="63" t="str">
        <f>HYPERLINK("https://www.sds-group.ru/product/termometr-elektronnyy-komnatno-ulichnyy-s-chasami-rexant-70-0505/", "Инфо")</f>
        <v>Инфо</v>
      </c>
      <c r="F9299" s="16" t="s">
        <v>39</v>
      </c>
      <c r="G9299" s="15"/>
      <c r="H9299" s="15"/>
      <c r="I9299" s="15"/>
      <c r="J9299" s="22">
        <v>1980</v>
      </c>
      <c r="K9299" s="15"/>
      <c r="L9299" s="17">
        <v>1</v>
      </c>
      <c r="M9299" s="17">
        <v>200</v>
      </c>
      <c r="N9299" s="17">
        <v>1</v>
      </c>
      <c r="O9299" s="18">
        <v>485.11</v>
      </c>
      <c r="P9299" s="18">
        <v>397.63</v>
      </c>
      <c r="Q9299" s="18">
        <v>373.53</v>
      </c>
      <c r="R9299" s="18">
        <v>306.17</v>
      </c>
      <c r="S9299" s="18">
        <v>329.87</v>
      </c>
      <c r="T9299" s="18">
        <v>270.39</v>
      </c>
      <c r="U9299" s="16"/>
      <c r="V9299" s="16"/>
      <c r="W9299" s="16" t="s">
        <v>40</v>
      </c>
      <c r="X9299" s="19">
        <v>4.4999999999999998E-2</v>
      </c>
      <c r="Y9299" s="20">
        <v>1.37E-4</v>
      </c>
      <c r="Z9299" s="21">
        <v>4601004022386</v>
      </c>
    </row>
    <row r="9300" spans="1:26" ht="12" customHeight="1" outlineLevel="3" x14ac:dyDescent="0.2">
      <c r="A9300" s="14" t="s">
        <v>17717</v>
      </c>
      <c r="B9300" s="26" t="s">
        <v>17718</v>
      </c>
      <c r="C9300" s="52"/>
      <c r="D9300" s="55">
        <f t="shared" si="145"/>
        <v>0</v>
      </c>
      <c r="E9300" s="63" t="str">
        <f>HYPERLINK("https://www.sds-group.ru/product/termometr-elektronnyy-s-distantsionnym-datchikom-izmereniya-temperatury-rexant-70-0501/", "Инфо")</f>
        <v>Инфо</v>
      </c>
      <c r="F9300" s="16" t="s">
        <v>39</v>
      </c>
      <c r="G9300" s="15"/>
      <c r="H9300" s="15"/>
      <c r="I9300" s="15"/>
      <c r="J9300" s="22">
        <v>1799</v>
      </c>
      <c r="K9300" s="15"/>
      <c r="L9300" s="17">
        <v>5</v>
      </c>
      <c r="M9300" s="17">
        <v>200</v>
      </c>
      <c r="N9300" s="17">
        <v>5</v>
      </c>
      <c r="O9300" s="18">
        <v>312.63</v>
      </c>
      <c r="P9300" s="18">
        <v>256.25</v>
      </c>
      <c r="Q9300" s="18">
        <v>240.73</v>
      </c>
      <c r="R9300" s="18">
        <v>197.32</v>
      </c>
      <c r="S9300" s="18">
        <v>212.59</v>
      </c>
      <c r="T9300" s="18">
        <v>174.25</v>
      </c>
      <c r="U9300" s="16"/>
      <c r="V9300" s="16"/>
      <c r="W9300" s="16" t="s">
        <v>40</v>
      </c>
      <c r="X9300" s="19">
        <v>3.2000000000000001E-2</v>
      </c>
      <c r="Y9300" s="20">
        <v>9.2E-5</v>
      </c>
      <c r="Z9300" s="21">
        <v>4601004022362</v>
      </c>
    </row>
    <row r="9301" spans="1:26" ht="12" customHeight="1" outlineLevel="3" x14ac:dyDescent="0.2">
      <c r="A9301" s="14" t="s">
        <v>17719</v>
      </c>
      <c r="B9301" s="26" t="s">
        <v>17720</v>
      </c>
      <c r="C9301" s="52"/>
      <c r="D9301" s="55">
        <f t="shared" si="145"/>
        <v>0</v>
      </c>
      <c r="E9301" s="63" t="str">
        <f>HYPERLINK("https://www.sds-group.ru/product/termometr-elektronnyy-s-chasami-i-besprovodnym-vynosnym-datchikom-rexant-70-0592/", "Инфо")</f>
        <v>Инфо</v>
      </c>
      <c r="F9301" s="16" t="s">
        <v>39</v>
      </c>
      <c r="G9301" s="15"/>
      <c r="H9301" s="15"/>
      <c r="I9301" s="15"/>
      <c r="J9301" s="17">
        <v>469</v>
      </c>
      <c r="K9301" s="15"/>
      <c r="L9301" s="17">
        <v>1</v>
      </c>
      <c r="M9301" s="17">
        <v>72</v>
      </c>
      <c r="N9301" s="17">
        <v>1</v>
      </c>
      <c r="O9301" s="18">
        <v>2587.25</v>
      </c>
      <c r="P9301" s="18">
        <v>2120.6999999999998</v>
      </c>
      <c r="Q9301" s="18">
        <v>1811.08</v>
      </c>
      <c r="R9301" s="18">
        <v>1484.49</v>
      </c>
      <c r="S9301" s="18">
        <v>1759.33</v>
      </c>
      <c r="T9301" s="18">
        <v>1442.07</v>
      </c>
      <c r="U9301" s="16"/>
      <c r="V9301" s="16"/>
      <c r="W9301" s="16"/>
      <c r="X9301" s="19">
        <v>0.183</v>
      </c>
      <c r="Y9301" s="20">
        <v>1.201E-3</v>
      </c>
      <c r="Z9301" s="21">
        <v>4601004043848</v>
      </c>
    </row>
    <row r="9302" spans="1:26" ht="12.95" customHeight="1" outlineLevel="1" x14ac:dyDescent="0.2">
      <c r="A9302" s="78" t="s">
        <v>17721</v>
      </c>
      <c r="B9302" s="78"/>
      <c r="C9302" s="79"/>
      <c r="D9302" s="57"/>
      <c r="E9302" s="67"/>
      <c r="F9302" s="12"/>
      <c r="G9302" s="12"/>
      <c r="H9302" s="12"/>
      <c r="I9302" s="12"/>
      <c r="J9302" s="12"/>
      <c r="K9302" s="12"/>
      <c r="L9302" s="12"/>
      <c r="M9302" s="12"/>
      <c r="N9302" s="12"/>
      <c r="O9302" s="12"/>
      <c r="P9302" s="12"/>
      <c r="Q9302" s="12"/>
      <c r="R9302" s="12"/>
      <c r="S9302" s="12"/>
      <c r="T9302" s="12"/>
      <c r="U9302" s="12"/>
      <c r="V9302" s="12"/>
      <c r="W9302" s="12"/>
      <c r="X9302" s="12"/>
      <c r="Y9302" s="12"/>
      <c r="Z9302" s="12"/>
    </row>
    <row r="9303" spans="1:26" ht="12.95" customHeight="1" outlineLevel="2" x14ac:dyDescent="0.2">
      <c r="A9303" s="76" t="s">
        <v>17722</v>
      </c>
      <c r="B9303" s="76"/>
      <c r="C9303" s="77"/>
      <c r="D9303" s="58"/>
      <c r="E9303" s="68"/>
      <c r="F9303" s="13"/>
      <c r="G9303" s="13"/>
      <c r="H9303" s="13"/>
      <c r="I9303" s="13"/>
      <c r="J9303" s="13"/>
      <c r="K9303" s="13"/>
      <c r="L9303" s="13"/>
      <c r="M9303" s="13"/>
      <c r="N9303" s="13"/>
      <c r="O9303" s="13"/>
      <c r="P9303" s="13"/>
      <c r="Q9303" s="13"/>
      <c r="R9303" s="13"/>
      <c r="S9303" s="13"/>
      <c r="T9303" s="13"/>
      <c r="U9303" s="13"/>
      <c r="V9303" s="13"/>
      <c r="W9303" s="13"/>
      <c r="X9303" s="13"/>
      <c r="Y9303" s="13"/>
      <c r="Z9303" s="13"/>
    </row>
    <row r="9304" spans="1:26" ht="12.95" customHeight="1" outlineLevel="3" x14ac:dyDescent="0.2">
      <c r="A9304" s="76" t="s">
        <v>17723</v>
      </c>
      <c r="B9304" s="76"/>
      <c r="C9304" s="77"/>
      <c r="D9304" s="58"/>
      <c r="E9304" s="68"/>
      <c r="F9304" s="13"/>
      <c r="G9304" s="13"/>
      <c r="H9304" s="13"/>
      <c r="I9304" s="13"/>
      <c r="J9304" s="13"/>
      <c r="K9304" s="13"/>
      <c r="L9304" s="13"/>
      <c r="M9304" s="13"/>
      <c r="N9304" s="13"/>
      <c r="O9304" s="13"/>
      <c r="P9304" s="13"/>
      <c r="Q9304" s="13"/>
      <c r="R9304" s="13"/>
      <c r="S9304" s="13"/>
      <c r="T9304" s="13"/>
      <c r="U9304" s="13"/>
      <c r="V9304" s="13"/>
      <c r="W9304" s="13"/>
      <c r="X9304" s="13"/>
      <c r="Y9304" s="13"/>
      <c r="Z9304" s="13"/>
    </row>
    <row r="9305" spans="1:26" ht="12" customHeight="1" outlineLevel="4" x14ac:dyDescent="0.2">
      <c r="A9305" s="14" t="s">
        <v>17724</v>
      </c>
      <c r="B9305" s="26" t="s">
        <v>17725</v>
      </c>
      <c r="C9305" s="52"/>
      <c r="D9305" s="55">
        <f t="shared" si="145"/>
        <v>0</v>
      </c>
      <c r="E9305" s="63" t="str">
        <f>HYPERLINK("https://www.sds-group.ru/product/antimoskitnaya-insektitsidnaya-lampa-s-30m-1vt-220v-rexant-71-0016/", "Инфо")</f>
        <v>Инфо</v>
      </c>
      <c r="F9305" s="16" t="s">
        <v>39</v>
      </c>
      <c r="G9305" s="15"/>
      <c r="H9305" s="15"/>
      <c r="I9305" s="15"/>
      <c r="J9305" s="17">
        <v>10</v>
      </c>
      <c r="K9305" s="15"/>
      <c r="L9305" s="17">
        <v>1</v>
      </c>
      <c r="M9305" s="17">
        <v>12</v>
      </c>
      <c r="N9305" s="17">
        <v>1</v>
      </c>
      <c r="O9305" s="18">
        <v>1378</v>
      </c>
      <c r="P9305" s="18">
        <v>1129.51</v>
      </c>
      <c r="Q9305" s="18">
        <v>964.6</v>
      </c>
      <c r="R9305" s="18">
        <v>790.66</v>
      </c>
      <c r="S9305" s="18">
        <v>937.04</v>
      </c>
      <c r="T9305" s="18">
        <v>768.07</v>
      </c>
      <c r="U9305" s="16"/>
      <c r="V9305" s="16"/>
      <c r="W9305" s="16"/>
      <c r="X9305" s="19">
        <v>0.53500000000000003</v>
      </c>
      <c r="Y9305" s="20">
        <v>4.9839999999999997E-3</v>
      </c>
      <c r="Z9305" s="21">
        <v>4601004045828</v>
      </c>
    </row>
    <row r="9306" spans="1:26" ht="12" customHeight="1" outlineLevel="4" x14ac:dyDescent="0.2">
      <c r="A9306" s="14" t="s">
        <v>17726</v>
      </c>
      <c r="B9306" s="26" t="s">
        <v>17727</v>
      </c>
      <c r="C9306" s="52"/>
      <c r="D9306" s="55">
        <f t="shared" si="145"/>
        <v>0</v>
      </c>
      <c r="E9306" s="63" t="str">
        <f>HYPERLINK("https://www.sds-group.ru/product/antimoskitnaya-insektitsidnaya-lampa-s-35m-4vt-220v-rexant-71-0656/", "Инфо")</f>
        <v>Инфо</v>
      </c>
      <c r="F9306" s="16" t="s">
        <v>39</v>
      </c>
      <c r="G9306" s="15"/>
      <c r="H9306" s="15"/>
      <c r="I9306" s="15"/>
      <c r="J9306" s="17">
        <v>1</v>
      </c>
      <c r="K9306" s="15"/>
      <c r="L9306" s="17">
        <v>1</v>
      </c>
      <c r="M9306" s="17">
        <v>12</v>
      </c>
      <c r="N9306" s="17">
        <v>1</v>
      </c>
      <c r="O9306" s="18">
        <v>2056.4</v>
      </c>
      <c r="P9306" s="18">
        <v>1685.57</v>
      </c>
      <c r="Q9306" s="18">
        <v>1439.48</v>
      </c>
      <c r="R9306" s="18">
        <v>1179.9000000000001</v>
      </c>
      <c r="S9306" s="18">
        <v>1398.35</v>
      </c>
      <c r="T9306" s="18">
        <v>1146.19</v>
      </c>
      <c r="U9306" s="16"/>
      <c r="V9306" s="16"/>
      <c r="W9306" s="16"/>
      <c r="X9306" s="19">
        <v>0.624</v>
      </c>
      <c r="Y9306" s="20">
        <v>5.9170000000000004E-3</v>
      </c>
      <c r="Z9306" s="21">
        <v>4601004247284</v>
      </c>
    </row>
    <row r="9307" spans="1:26" ht="12" customHeight="1" outlineLevel="4" x14ac:dyDescent="0.2">
      <c r="A9307" s="14" t="s">
        <v>17728</v>
      </c>
      <c r="B9307" s="26" t="s">
        <v>17729</v>
      </c>
      <c r="C9307" s="52"/>
      <c r="D9307" s="55">
        <f t="shared" si="145"/>
        <v>0</v>
      </c>
      <c r="E9307" s="63" t="str">
        <f>HYPERLINK("https://www.sds-group.ru/product/antimoskitnaya-insektitsidnaya-lampa-2h6vt-220v-s-60m-rexant-71-0036/", "Инфо")</f>
        <v>Инфо</v>
      </c>
      <c r="F9307" s="16" t="s">
        <v>39</v>
      </c>
      <c r="G9307" s="15"/>
      <c r="H9307" s="15"/>
      <c r="I9307" s="15"/>
      <c r="J9307" s="17">
        <v>8</v>
      </c>
      <c r="K9307" s="15"/>
      <c r="L9307" s="17">
        <v>1</v>
      </c>
      <c r="M9307" s="17">
        <v>10</v>
      </c>
      <c r="N9307" s="17">
        <v>1</v>
      </c>
      <c r="O9307" s="18">
        <v>4028</v>
      </c>
      <c r="P9307" s="18">
        <v>3301.64</v>
      </c>
      <c r="Q9307" s="18">
        <v>2819.6</v>
      </c>
      <c r="R9307" s="18">
        <v>2311.15</v>
      </c>
      <c r="S9307" s="18">
        <v>2739.04</v>
      </c>
      <c r="T9307" s="18">
        <v>2245.11</v>
      </c>
      <c r="U9307" s="16"/>
      <c r="V9307" s="16"/>
      <c r="W9307" s="16"/>
      <c r="X9307" s="19">
        <v>1.0089999999999999</v>
      </c>
      <c r="Y9307" s="20">
        <v>7.0670000000000004E-3</v>
      </c>
      <c r="Z9307" s="21">
        <v>4601004062207</v>
      </c>
    </row>
    <row r="9308" spans="1:26" ht="12" customHeight="1" outlineLevel="4" x14ac:dyDescent="0.2">
      <c r="A9308" s="40" t="s">
        <v>17730</v>
      </c>
      <c r="B9308" s="75" t="s">
        <v>17731</v>
      </c>
      <c r="C9308" s="51"/>
      <c r="D9308" s="54">
        <f t="shared" si="145"/>
        <v>0</v>
      </c>
      <c r="E9308" s="61" t="str">
        <f>HYPERLINK("https://www.sds-group.ru/product/antimoskitnaya-lampa-s-100m-2h15vt-220v-chetyre-sezona-71-0056-F/", "Инфо")</f>
        <v>Инфо</v>
      </c>
      <c r="F9308" s="42" t="s">
        <v>39</v>
      </c>
      <c r="G9308" s="41" t="s">
        <v>40</v>
      </c>
      <c r="H9308" s="41"/>
      <c r="I9308" s="41"/>
      <c r="J9308" s="43">
        <v>234</v>
      </c>
      <c r="K9308" s="41"/>
      <c r="L9308" s="43">
        <v>1</v>
      </c>
      <c r="M9308" s="43">
        <v>8</v>
      </c>
      <c r="N9308" s="43">
        <v>1</v>
      </c>
      <c r="O9308" s="44">
        <v>4876</v>
      </c>
      <c r="P9308" s="44">
        <v>3996.72</v>
      </c>
      <c r="Q9308" s="44">
        <v>4388.3999999999996</v>
      </c>
      <c r="R9308" s="44">
        <v>3597.05</v>
      </c>
      <c r="S9308" s="44">
        <v>3315.68</v>
      </c>
      <c r="T9308" s="44">
        <v>2717.77</v>
      </c>
      <c r="U9308" s="42"/>
      <c r="V9308" s="42"/>
      <c r="W9308" s="42" t="s">
        <v>40</v>
      </c>
      <c r="X9308" s="45">
        <v>1.54</v>
      </c>
      <c r="Y9308" s="46">
        <v>1.3648E-2</v>
      </c>
      <c r="Z9308" s="21">
        <v>4601004328907</v>
      </c>
    </row>
    <row r="9309" spans="1:26" ht="12" customHeight="1" outlineLevel="4" x14ac:dyDescent="0.2">
      <c r="A9309" s="40" t="s">
        <v>17732</v>
      </c>
      <c r="B9309" s="75" t="s">
        <v>17733</v>
      </c>
      <c r="C9309" s="51"/>
      <c r="D9309" s="54">
        <f t="shared" si="145"/>
        <v>0</v>
      </c>
      <c r="E9309" s="61" t="str">
        <f>HYPERLINK("https://www.sds-group.ru/product/antimoskitnaya-lampa-s-35m-4vt-220v-chetyre-sezona-71-0656-F/", "Инфо")</f>
        <v>Инфо</v>
      </c>
      <c r="F9309" s="42" t="s">
        <v>39</v>
      </c>
      <c r="G9309" s="41" t="s">
        <v>40</v>
      </c>
      <c r="H9309" s="41"/>
      <c r="I9309" s="41"/>
      <c r="J9309" s="43">
        <v>74</v>
      </c>
      <c r="K9309" s="41"/>
      <c r="L9309" s="43">
        <v>1</v>
      </c>
      <c r="M9309" s="43">
        <v>12</v>
      </c>
      <c r="N9309" s="43">
        <v>1</v>
      </c>
      <c r="O9309" s="44">
        <v>1696</v>
      </c>
      <c r="P9309" s="44">
        <v>1390.16</v>
      </c>
      <c r="Q9309" s="44">
        <v>1356.8</v>
      </c>
      <c r="R9309" s="44">
        <v>1112.1300000000001</v>
      </c>
      <c r="S9309" s="44">
        <v>1153.28</v>
      </c>
      <c r="T9309" s="44">
        <v>945.31</v>
      </c>
      <c r="U9309" s="42"/>
      <c r="V9309" s="42"/>
      <c r="W9309" s="42" t="s">
        <v>40</v>
      </c>
      <c r="X9309" s="45">
        <v>0.624</v>
      </c>
      <c r="Y9309" s="46">
        <v>5.7580000000000001E-3</v>
      </c>
      <c r="Z9309" s="21">
        <v>4601004329058</v>
      </c>
    </row>
    <row r="9310" spans="1:26" ht="12" customHeight="1" outlineLevel="4" x14ac:dyDescent="0.2">
      <c r="A9310" s="40" t="s">
        <v>17734</v>
      </c>
      <c r="B9310" s="75" t="s">
        <v>17735</v>
      </c>
      <c r="C9310" s="51"/>
      <c r="D9310" s="54">
        <f t="shared" si="145"/>
        <v>0</v>
      </c>
      <c r="E9310" s="61" t="str">
        <f>HYPERLINK("https://www.sds-group.ru/product/antimoskitnaya-lampa-s-80m-2h10vt-220v-chetyre-sezona-71-0046-F/", "Инфо")</f>
        <v>Инфо</v>
      </c>
      <c r="F9310" s="42" t="s">
        <v>39</v>
      </c>
      <c r="G9310" s="41" t="s">
        <v>40</v>
      </c>
      <c r="H9310" s="41"/>
      <c r="I9310" s="41"/>
      <c r="J9310" s="43">
        <v>269</v>
      </c>
      <c r="K9310" s="41"/>
      <c r="L9310" s="43">
        <v>1</v>
      </c>
      <c r="M9310" s="43">
        <v>10</v>
      </c>
      <c r="N9310" s="43">
        <v>1</v>
      </c>
      <c r="O9310" s="44">
        <v>3816</v>
      </c>
      <c r="P9310" s="44">
        <v>3127.87</v>
      </c>
      <c r="Q9310" s="44">
        <v>3052.8</v>
      </c>
      <c r="R9310" s="44">
        <v>2502.3000000000002</v>
      </c>
      <c r="S9310" s="44">
        <v>2594.88</v>
      </c>
      <c r="T9310" s="44">
        <v>2126.9499999999998</v>
      </c>
      <c r="U9310" s="42"/>
      <c r="V9310" s="42"/>
      <c r="W9310" s="42" t="s">
        <v>40</v>
      </c>
      <c r="X9310" s="45">
        <v>1.474</v>
      </c>
      <c r="Y9310" s="46">
        <v>1.1389E-2</v>
      </c>
      <c r="Z9310" s="21">
        <v>4601004328976</v>
      </c>
    </row>
    <row r="9311" spans="1:26" ht="12" customHeight="1" outlineLevel="4" x14ac:dyDescent="0.2">
      <c r="A9311" s="14" t="s">
        <v>17736</v>
      </c>
      <c r="B9311" s="26" t="s">
        <v>17737</v>
      </c>
      <c r="C9311" s="52"/>
      <c r="D9311" s="55">
        <f t="shared" si="145"/>
        <v>0</v>
      </c>
      <c r="E9311" s="63" t="str">
        <f>HYPERLINK("https://www.sds-group.ru/product/antimoskitnaya-lampa-vertikalnaya-s-60m-2h6vt-220v-chetyre-sezona-71-0096-F/", "Инфо")</f>
        <v>Инфо</v>
      </c>
      <c r="F9311" s="16" t="s">
        <v>39</v>
      </c>
      <c r="G9311" s="15"/>
      <c r="H9311" s="15"/>
      <c r="I9311" s="15"/>
      <c r="J9311" s="17">
        <v>69</v>
      </c>
      <c r="K9311" s="15"/>
      <c r="L9311" s="17">
        <v>1</v>
      </c>
      <c r="M9311" s="17">
        <v>10</v>
      </c>
      <c r="N9311" s="17">
        <v>1</v>
      </c>
      <c r="O9311" s="18">
        <v>3074</v>
      </c>
      <c r="P9311" s="18">
        <v>2519.67</v>
      </c>
      <c r="Q9311" s="18">
        <v>2151.8000000000002</v>
      </c>
      <c r="R9311" s="18">
        <v>1763.77</v>
      </c>
      <c r="S9311" s="18">
        <v>2090.3200000000002</v>
      </c>
      <c r="T9311" s="18">
        <v>1713.38</v>
      </c>
      <c r="U9311" s="16"/>
      <c r="V9311" s="16"/>
      <c r="W9311" s="16"/>
      <c r="X9311" s="19">
        <v>1.1990000000000001</v>
      </c>
      <c r="Y9311" s="20">
        <v>9.9220000000000003E-3</v>
      </c>
      <c r="Z9311" s="21">
        <v>4601004328655</v>
      </c>
    </row>
    <row r="9312" spans="1:26" ht="12" customHeight="1" outlineLevel="4" x14ac:dyDescent="0.2">
      <c r="A9312" s="14" t="s">
        <v>17738</v>
      </c>
      <c r="B9312" s="26" t="s">
        <v>17739</v>
      </c>
      <c r="C9312" s="52"/>
      <c r="D9312" s="55">
        <f t="shared" si="145"/>
        <v>0</v>
      </c>
      <c r="E9312" s="63" t="str">
        <f>HYPERLINK("https://www.sds-group.ru/product/antimoskitnaya-lampa-vertikalnaya-s-80m-2h10vt-220v-chetyre-sezona-71-0186-F/", "Инфо")</f>
        <v>Инфо</v>
      </c>
      <c r="F9312" s="16" t="s">
        <v>39</v>
      </c>
      <c r="G9312" s="15"/>
      <c r="H9312" s="15"/>
      <c r="I9312" s="15"/>
      <c r="J9312" s="17">
        <v>30</v>
      </c>
      <c r="K9312" s="15"/>
      <c r="L9312" s="17">
        <v>1</v>
      </c>
      <c r="M9312" s="17">
        <v>10</v>
      </c>
      <c r="N9312" s="17">
        <v>1</v>
      </c>
      <c r="O9312" s="18">
        <v>4134</v>
      </c>
      <c r="P9312" s="18">
        <v>3388.52</v>
      </c>
      <c r="Q9312" s="18">
        <v>2893.8</v>
      </c>
      <c r="R9312" s="18">
        <v>2371.9699999999998</v>
      </c>
      <c r="S9312" s="18">
        <v>2811.12</v>
      </c>
      <c r="T9312" s="18">
        <v>2304.1999999999998</v>
      </c>
      <c r="U9312" s="16"/>
      <c r="V9312" s="16"/>
      <c r="W9312" s="16"/>
      <c r="X9312" s="19">
        <v>1.49</v>
      </c>
      <c r="Y9312" s="20">
        <v>1.5099E-2</v>
      </c>
      <c r="Z9312" s="21">
        <v>4601004328624</v>
      </c>
    </row>
    <row r="9313" spans="1:26" ht="12" customHeight="1" outlineLevel="4" x14ac:dyDescent="0.2">
      <c r="A9313" s="40" t="s">
        <v>17740</v>
      </c>
      <c r="B9313" s="75" t="s">
        <v>17741</v>
      </c>
      <c r="C9313" s="51"/>
      <c r="D9313" s="54">
        <f t="shared" si="145"/>
        <v>0</v>
      </c>
      <c r="E9313" s="61" t="str">
        <f>HYPERLINK("https://www.sds-group.ru/product/antimoskitnaya-lampa-2h6vt-220v-s-60m-chetyre-sezona-71-0036-F/", "Инфо")</f>
        <v>Инфо</v>
      </c>
      <c r="F9313" s="42" t="s">
        <v>39</v>
      </c>
      <c r="G9313" s="41" t="s">
        <v>40</v>
      </c>
      <c r="H9313" s="41"/>
      <c r="I9313" s="41"/>
      <c r="J9313" s="43">
        <v>742</v>
      </c>
      <c r="K9313" s="41"/>
      <c r="L9313" s="43">
        <v>1</v>
      </c>
      <c r="M9313" s="43">
        <v>10</v>
      </c>
      <c r="N9313" s="43">
        <v>1</v>
      </c>
      <c r="O9313" s="44">
        <v>2756</v>
      </c>
      <c r="P9313" s="44">
        <v>2259.02</v>
      </c>
      <c r="Q9313" s="44">
        <v>2204.8000000000002</v>
      </c>
      <c r="R9313" s="44">
        <v>1807.21</v>
      </c>
      <c r="S9313" s="44">
        <v>1874.08</v>
      </c>
      <c r="T9313" s="44">
        <v>1536.13</v>
      </c>
      <c r="U9313" s="42"/>
      <c r="V9313" s="42"/>
      <c r="W9313" s="42" t="s">
        <v>40</v>
      </c>
      <c r="X9313" s="45">
        <v>0.99099999999999999</v>
      </c>
      <c r="Y9313" s="46">
        <v>8.0319999999999992E-3</v>
      </c>
      <c r="Z9313" s="21">
        <v>4601004328921</v>
      </c>
    </row>
    <row r="9314" spans="1:26" ht="12" customHeight="1" outlineLevel="4" x14ac:dyDescent="0.2">
      <c r="A9314" s="14" t="s">
        <v>17742</v>
      </c>
      <c r="B9314" s="26" t="s">
        <v>17743</v>
      </c>
      <c r="C9314" s="52"/>
      <c r="D9314" s="55">
        <f t="shared" si="145"/>
        <v>0</v>
      </c>
      <c r="E9314" s="63" t="str">
        <f>HYPERLINK("https://www.sds-group.ru/product/antimoskitnyy-insektitsidnyy-kempingovyy-fonar-trehrezhimnyy-uv-podsvetka-s-akkumulyatorom-u-71-0076/", "Инфо")</f>
        <v>Инфо</v>
      </c>
      <c r="F9314" s="16" t="s">
        <v>39</v>
      </c>
      <c r="G9314" s="15"/>
      <c r="H9314" s="15"/>
      <c r="I9314" s="15"/>
      <c r="J9314" s="22">
        <v>1303</v>
      </c>
      <c r="K9314" s="15"/>
      <c r="L9314" s="17">
        <v>1</v>
      </c>
      <c r="M9314" s="17">
        <v>40</v>
      </c>
      <c r="N9314" s="17">
        <v>1</v>
      </c>
      <c r="O9314" s="18">
        <v>2056.4</v>
      </c>
      <c r="P9314" s="18">
        <v>1685.57</v>
      </c>
      <c r="Q9314" s="18">
        <v>1439.48</v>
      </c>
      <c r="R9314" s="18">
        <v>1179.9000000000001</v>
      </c>
      <c r="S9314" s="18">
        <v>1398.35</v>
      </c>
      <c r="T9314" s="18">
        <v>1146.19</v>
      </c>
      <c r="U9314" s="16"/>
      <c r="V9314" s="16"/>
      <c r="W9314" s="16"/>
      <c r="X9314" s="19">
        <v>0.307</v>
      </c>
      <c r="Y9314" s="20">
        <v>1.732E-3</v>
      </c>
      <c r="Z9314" s="21">
        <v>4601004164680</v>
      </c>
    </row>
    <row r="9315" spans="1:26" ht="12" customHeight="1" outlineLevel="4" x14ac:dyDescent="0.2">
      <c r="A9315" s="32" t="s">
        <v>17744</v>
      </c>
      <c r="B9315" s="74" t="s">
        <v>17745</v>
      </c>
      <c r="C9315" s="50"/>
      <c r="D9315" s="53">
        <f t="shared" si="145"/>
        <v>0</v>
      </c>
      <c r="E9315" s="60" t="str">
        <f>HYPERLINK("https://www.sds-group.ru/product/brelok-otpugivatel-komarov-ultrazvukovoy-r-3m-rexant-13289/", "Инфо")</f>
        <v>Инфо</v>
      </c>
      <c r="F9315" s="34" t="s">
        <v>39</v>
      </c>
      <c r="G9315" s="33"/>
      <c r="H9315" s="33" t="s">
        <v>40</v>
      </c>
      <c r="I9315" s="33"/>
      <c r="J9315" s="35">
        <v>4</v>
      </c>
      <c r="K9315" s="33"/>
      <c r="L9315" s="35">
        <v>1</v>
      </c>
      <c r="M9315" s="35">
        <v>100</v>
      </c>
      <c r="N9315" s="35">
        <v>1</v>
      </c>
      <c r="O9315" s="36">
        <v>646.62</v>
      </c>
      <c r="P9315" s="36">
        <v>530.02</v>
      </c>
      <c r="Q9315" s="36">
        <v>452.63</v>
      </c>
      <c r="R9315" s="36">
        <v>371.01</v>
      </c>
      <c r="S9315" s="36">
        <v>439.7</v>
      </c>
      <c r="T9315" s="36">
        <v>360.41</v>
      </c>
      <c r="U9315" s="34"/>
      <c r="V9315" s="34"/>
      <c r="W9315" s="34"/>
      <c r="X9315" s="37">
        <v>3.1E-2</v>
      </c>
      <c r="Y9315" s="38">
        <v>1.8699999999999999E-4</v>
      </c>
      <c r="Z9315" s="21">
        <v>4601004064171</v>
      </c>
    </row>
    <row r="9316" spans="1:26" ht="12" customHeight="1" outlineLevel="4" x14ac:dyDescent="0.2">
      <c r="A9316" s="40" t="s">
        <v>17746</v>
      </c>
      <c r="B9316" s="75" t="s">
        <v>17747</v>
      </c>
      <c r="C9316" s="51"/>
      <c r="D9316" s="54">
        <f t="shared" si="145"/>
        <v>0</v>
      </c>
      <c r="E9316" s="61" t="str">
        <f>HYPERLINK("https://www.sds-group.ru/product/dvernaya-antimoskitnaya-setka-210h100sm-s-magnitami-po-vsey-dline-belaya-chetyre-sezona-71-0223-F/", "Инфо")</f>
        <v>Инфо</v>
      </c>
      <c r="F9316" s="42" t="s">
        <v>39</v>
      </c>
      <c r="G9316" s="41" t="s">
        <v>40</v>
      </c>
      <c r="H9316" s="41"/>
      <c r="I9316" s="41"/>
      <c r="J9316" s="43">
        <v>997</v>
      </c>
      <c r="K9316" s="41"/>
      <c r="L9316" s="43">
        <v>1</v>
      </c>
      <c r="M9316" s="43">
        <v>60</v>
      </c>
      <c r="N9316" s="43">
        <v>1</v>
      </c>
      <c r="O9316" s="44">
        <v>498.2</v>
      </c>
      <c r="P9316" s="44">
        <v>408.36</v>
      </c>
      <c r="Q9316" s="44">
        <v>448.38</v>
      </c>
      <c r="R9316" s="44">
        <v>367.52</v>
      </c>
      <c r="S9316" s="44">
        <v>338.78</v>
      </c>
      <c r="T9316" s="44">
        <v>277.69</v>
      </c>
      <c r="U9316" s="42"/>
      <c r="V9316" s="42"/>
      <c r="W9316" s="42" t="s">
        <v>40</v>
      </c>
      <c r="X9316" s="45">
        <v>0.23400000000000001</v>
      </c>
      <c r="Y9316" s="46">
        <v>1.4469999999999999E-3</v>
      </c>
      <c r="Z9316" s="21">
        <v>4601004328969</v>
      </c>
    </row>
    <row r="9317" spans="1:26" ht="12" customHeight="1" outlineLevel="4" x14ac:dyDescent="0.2">
      <c r="A9317" s="14" t="s">
        <v>17748</v>
      </c>
      <c r="B9317" s="26" t="s">
        <v>17749</v>
      </c>
      <c r="C9317" s="52"/>
      <c r="D9317" s="55">
        <f t="shared" si="145"/>
        <v>0</v>
      </c>
      <c r="E9317" s="63" t="str">
        <f>HYPERLINK("https://www.sds-group.ru/product/dvernaya-antimoskitnaya-setka-210h100sm-s-magnitami-po-vsey-dline-zelenaya-rexant-71-0226/", "Инфо")</f>
        <v>Инфо</v>
      </c>
      <c r="F9317" s="16" t="s">
        <v>39</v>
      </c>
      <c r="G9317" s="15"/>
      <c r="H9317" s="15"/>
      <c r="I9317" s="15"/>
      <c r="J9317" s="17">
        <v>201</v>
      </c>
      <c r="K9317" s="15"/>
      <c r="L9317" s="17">
        <v>1</v>
      </c>
      <c r="M9317" s="17">
        <v>60</v>
      </c>
      <c r="N9317" s="17">
        <v>1</v>
      </c>
      <c r="O9317" s="18">
        <v>583</v>
      </c>
      <c r="P9317" s="18">
        <v>477.87</v>
      </c>
      <c r="Q9317" s="18">
        <v>408.1</v>
      </c>
      <c r="R9317" s="18">
        <v>334.51</v>
      </c>
      <c r="S9317" s="18">
        <v>396.44</v>
      </c>
      <c r="T9317" s="18">
        <v>324.95</v>
      </c>
      <c r="U9317" s="16"/>
      <c r="V9317" s="16"/>
      <c r="W9317" s="16"/>
      <c r="X9317" s="19">
        <v>0.20100000000000001</v>
      </c>
      <c r="Y9317" s="20">
        <v>1.8959999999999999E-3</v>
      </c>
      <c r="Z9317" s="21">
        <v>4601004247383</v>
      </c>
    </row>
    <row r="9318" spans="1:26" ht="12" customHeight="1" outlineLevel="4" x14ac:dyDescent="0.2">
      <c r="A9318" s="40" t="s">
        <v>17750</v>
      </c>
      <c r="B9318" s="75" t="s">
        <v>17751</v>
      </c>
      <c r="C9318" s="51"/>
      <c r="D9318" s="54">
        <f t="shared" si="145"/>
        <v>0</v>
      </c>
      <c r="E9318" s="61" t="str">
        <f>HYPERLINK("https://www.sds-group.ru/product/dvernaya-antimoskitnaya-setka-210h100sm-s-magnitami-po-vsey-dline-zelenaya-chetyre-sezona-71-0226-F/", "Инфо")</f>
        <v>Инфо</v>
      </c>
      <c r="F9318" s="42" t="s">
        <v>39</v>
      </c>
      <c r="G9318" s="41" t="s">
        <v>40</v>
      </c>
      <c r="H9318" s="41"/>
      <c r="I9318" s="41"/>
      <c r="J9318" s="47">
        <v>1708</v>
      </c>
      <c r="K9318" s="41"/>
      <c r="L9318" s="43">
        <v>1</v>
      </c>
      <c r="M9318" s="43">
        <v>60</v>
      </c>
      <c r="N9318" s="43">
        <v>1</v>
      </c>
      <c r="O9318" s="44">
        <v>498.2</v>
      </c>
      <c r="P9318" s="44">
        <v>408.36</v>
      </c>
      <c r="Q9318" s="44">
        <v>448.38</v>
      </c>
      <c r="R9318" s="44">
        <v>367.52</v>
      </c>
      <c r="S9318" s="44">
        <v>338.78</v>
      </c>
      <c r="T9318" s="44">
        <v>277.69</v>
      </c>
      <c r="U9318" s="42"/>
      <c r="V9318" s="42"/>
      <c r="W9318" s="42" t="s">
        <v>40</v>
      </c>
      <c r="X9318" s="45">
        <v>0.22500000000000001</v>
      </c>
      <c r="Y9318" s="46">
        <v>1.3159999999999999E-3</v>
      </c>
      <c r="Z9318" s="21">
        <v>4601004328983</v>
      </c>
    </row>
    <row r="9319" spans="1:26" ht="12" customHeight="1" outlineLevel="4" x14ac:dyDescent="0.2">
      <c r="A9319" s="14" t="s">
        <v>17752</v>
      </c>
      <c r="B9319" s="26" t="s">
        <v>17753</v>
      </c>
      <c r="C9319" s="52"/>
      <c r="D9319" s="55">
        <f t="shared" si="145"/>
        <v>0</v>
      </c>
      <c r="E9319" s="63" t="str">
        <f>HYPERLINK("https://www.sds-group.ru/product/dvernaya-antimoskitnaya-setka-210h100sm-s-magnitami-po-vsey-dline-korichnevaya-rexant-71-0220/", "Инфо")</f>
        <v>Инфо</v>
      </c>
      <c r="F9319" s="16" t="s">
        <v>39</v>
      </c>
      <c r="G9319" s="15"/>
      <c r="H9319" s="15"/>
      <c r="I9319" s="15"/>
      <c r="J9319" s="17">
        <v>1</v>
      </c>
      <c r="K9319" s="15"/>
      <c r="L9319" s="17">
        <v>1</v>
      </c>
      <c r="M9319" s="17">
        <v>60</v>
      </c>
      <c r="N9319" s="17">
        <v>1</v>
      </c>
      <c r="O9319" s="18">
        <v>530</v>
      </c>
      <c r="P9319" s="18">
        <v>434.43</v>
      </c>
      <c r="Q9319" s="18">
        <v>371</v>
      </c>
      <c r="R9319" s="18">
        <v>304.10000000000002</v>
      </c>
      <c r="S9319" s="18">
        <v>360.4</v>
      </c>
      <c r="T9319" s="18">
        <v>295.41000000000003</v>
      </c>
      <c r="U9319" s="16"/>
      <c r="V9319" s="16"/>
      <c r="W9319" s="16"/>
      <c r="X9319" s="19">
        <v>0.247</v>
      </c>
      <c r="Y9319" s="20">
        <v>1.645E-3</v>
      </c>
      <c r="Z9319" s="21">
        <v>4601004247321</v>
      </c>
    </row>
    <row r="9320" spans="1:26" ht="12" customHeight="1" outlineLevel="4" x14ac:dyDescent="0.2">
      <c r="A9320" s="32" t="s">
        <v>17754</v>
      </c>
      <c r="B9320" s="74" t="s">
        <v>17755</v>
      </c>
      <c r="C9320" s="50"/>
      <c r="D9320" s="53">
        <f t="shared" si="145"/>
        <v>0</v>
      </c>
      <c r="E9320" s="60" t="str">
        <f>HYPERLINK("https://www.sds-group.ru/product/dvernaya-antimoskitnaya-setka-210h100sm-s-magnitami-po-vsey-dline-rozovaya-s-tsvetami-rexant-71-0225/", "Инфо")</f>
        <v>Инфо</v>
      </c>
      <c r="F9320" s="34" t="s">
        <v>39</v>
      </c>
      <c r="G9320" s="33"/>
      <c r="H9320" s="33" t="s">
        <v>40</v>
      </c>
      <c r="I9320" s="33"/>
      <c r="J9320" s="35">
        <v>12</v>
      </c>
      <c r="K9320" s="33"/>
      <c r="L9320" s="35">
        <v>1</v>
      </c>
      <c r="M9320" s="35">
        <v>60</v>
      </c>
      <c r="N9320" s="35">
        <v>1</v>
      </c>
      <c r="O9320" s="36">
        <v>583</v>
      </c>
      <c r="P9320" s="36">
        <v>477.87</v>
      </c>
      <c r="Q9320" s="36">
        <v>408.1</v>
      </c>
      <c r="R9320" s="36">
        <v>334.51</v>
      </c>
      <c r="S9320" s="36">
        <v>396.44</v>
      </c>
      <c r="T9320" s="36">
        <v>324.95</v>
      </c>
      <c r="U9320" s="34"/>
      <c r="V9320" s="34"/>
      <c r="W9320" s="34"/>
      <c r="X9320" s="37">
        <v>0.22600000000000001</v>
      </c>
      <c r="Y9320" s="38">
        <v>1.291E-3</v>
      </c>
      <c r="Z9320" s="21">
        <v>4601004247376</v>
      </c>
    </row>
    <row r="9321" spans="1:26" ht="12" customHeight="1" outlineLevel="4" x14ac:dyDescent="0.2">
      <c r="A9321" s="32" t="s">
        <v>17756</v>
      </c>
      <c r="B9321" s="74" t="s">
        <v>17757</v>
      </c>
      <c r="C9321" s="50"/>
      <c r="D9321" s="53">
        <f t="shared" si="145"/>
        <v>0</v>
      </c>
      <c r="E9321" s="60" t="str">
        <f>HYPERLINK("https://www.sds-group.ru/product/dvernaya-antimoskitnaya-setka-210h100sm-s-magnitami-po-vsey-dline-s-tsvetami-rexant-71-0224/", "Инфо")</f>
        <v>Инфо</v>
      </c>
      <c r="F9321" s="34" t="s">
        <v>39</v>
      </c>
      <c r="G9321" s="33"/>
      <c r="H9321" s="33" t="s">
        <v>40</v>
      </c>
      <c r="I9321" s="33"/>
      <c r="J9321" s="35">
        <v>90</v>
      </c>
      <c r="K9321" s="33"/>
      <c r="L9321" s="35">
        <v>1</v>
      </c>
      <c r="M9321" s="35">
        <v>60</v>
      </c>
      <c r="N9321" s="35">
        <v>1</v>
      </c>
      <c r="O9321" s="36">
        <v>583</v>
      </c>
      <c r="P9321" s="36">
        <v>477.87</v>
      </c>
      <c r="Q9321" s="36">
        <v>408.1</v>
      </c>
      <c r="R9321" s="36">
        <v>334.51</v>
      </c>
      <c r="S9321" s="36">
        <v>396.44</v>
      </c>
      <c r="T9321" s="36">
        <v>324.95</v>
      </c>
      <c r="U9321" s="34"/>
      <c r="V9321" s="34"/>
      <c r="W9321" s="34"/>
      <c r="X9321" s="37">
        <v>0.20899999999999999</v>
      </c>
      <c r="Y9321" s="38">
        <v>1.7279999999999999E-3</v>
      </c>
      <c r="Z9321" s="21">
        <v>4601004247369</v>
      </c>
    </row>
    <row r="9322" spans="1:26" ht="12" customHeight="1" outlineLevel="4" x14ac:dyDescent="0.2">
      <c r="A9322" s="14" t="s">
        <v>17758</v>
      </c>
      <c r="B9322" s="26" t="s">
        <v>17759</v>
      </c>
      <c r="C9322" s="52"/>
      <c r="D9322" s="55">
        <f t="shared" si="145"/>
        <v>0</v>
      </c>
      <c r="E9322" s="63" t="str">
        <f>HYPERLINK("https://www.sds-group.ru/product/dvernaya-antimoskitnaya-setka-210h100sm-s-magnitami-po-vsey-dline-chernaya-rexant-71-0221/", "Инфо")</f>
        <v>Инфо</v>
      </c>
      <c r="F9322" s="16" t="s">
        <v>39</v>
      </c>
      <c r="G9322" s="15"/>
      <c r="H9322" s="15"/>
      <c r="I9322" s="15"/>
      <c r="J9322" s="17">
        <v>632</v>
      </c>
      <c r="K9322" s="15"/>
      <c r="L9322" s="17">
        <v>1</v>
      </c>
      <c r="M9322" s="17">
        <v>60</v>
      </c>
      <c r="N9322" s="17">
        <v>1</v>
      </c>
      <c r="O9322" s="18">
        <v>583</v>
      </c>
      <c r="P9322" s="18">
        <v>477.87</v>
      </c>
      <c r="Q9322" s="18">
        <v>408.1</v>
      </c>
      <c r="R9322" s="18">
        <v>334.51</v>
      </c>
      <c r="S9322" s="18">
        <v>396.44</v>
      </c>
      <c r="T9322" s="18">
        <v>324.95</v>
      </c>
      <c r="U9322" s="16"/>
      <c r="V9322" s="16"/>
      <c r="W9322" s="16"/>
      <c r="X9322" s="19">
        <v>0.22</v>
      </c>
      <c r="Y9322" s="20">
        <v>1.207E-3</v>
      </c>
      <c r="Z9322" s="21">
        <v>4601004247338</v>
      </c>
    </row>
    <row r="9323" spans="1:26" ht="12" customHeight="1" outlineLevel="4" x14ac:dyDescent="0.2">
      <c r="A9323" s="40" t="s">
        <v>17760</v>
      </c>
      <c r="B9323" s="75" t="s">
        <v>17761</v>
      </c>
      <c r="C9323" s="51"/>
      <c r="D9323" s="54">
        <f t="shared" si="145"/>
        <v>0</v>
      </c>
      <c r="E9323" s="61" t="str">
        <f>HYPERLINK("https://www.sds-group.ru/product/dvernaya-antimoskitnaya-setka-210h100sm-s-magnitami-po-vsey-dline-chernaya-chetyre-sezona-71-0221-F/", "Инфо")</f>
        <v>Инфо</v>
      </c>
      <c r="F9323" s="42" t="s">
        <v>39</v>
      </c>
      <c r="G9323" s="41" t="s">
        <v>40</v>
      </c>
      <c r="H9323" s="41"/>
      <c r="I9323" s="41"/>
      <c r="J9323" s="43">
        <v>257</v>
      </c>
      <c r="K9323" s="41"/>
      <c r="L9323" s="43">
        <v>1</v>
      </c>
      <c r="M9323" s="43">
        <v>60</v>
      </c>
      <c r="N9323" s="43">
        <v>1</v>
      </c>
      <c r="O9323" s="44">
        <v>498.2</v>
      </c>
      <c r="P9323" s="44">
        <v>408.36</v>
      </c>
      <c r="Q9323" s="44">
        <v>448.38</v>
      </c>
      <c r="R9323" s="44">
        <v>367.52</v>
      </c>
      <c r="S9323" s="44">
        <v>338.78</v>
      </c>
      <c r="T9323" s="44">
        <v>277.69</v>
      </c>
      <c r="U9323" s="42"/>
      <c r="V9323" s="42"/>
      <c r="W9323" s="42" t="s">
        <v>40</v>
      </c>
      <c r="X9323" s="45">
        <v>0.23100000000000001</v>
      </c>
      <c r="Y9323" s="46">
        <v>1.3029999999999999E-3</v>
      </c>
      <c r="Z9323" s="21">
        <v>4601004328792</v>
      </c>
    </row>
    <row r="9324" spans="1:26" ht="12" customHeight="1" outlineLevel="4" x14ac:dyDescent="0.2">
      <c r="A9324" s="14" t="s">
        <v>17762</v>
      </c>
      <c r="B9324" s="26" t="s">
        <v>17763</v>
      </c>
      <c r="C9324" s="52"/>
      <c r="D9324" s="55">
        <f t="shared" si="145"/>
        <v>0</v>
      </c>
      <c r="E9324" s="63" t="str">
        <f>HYPERLINK("https://www.sds-group.ru/product/detskaya-antimoskitnaya-setka-dlya-kolyaski-70h130sm-rexant-71-0228/", "Инфо")</f>
        <v>Инфо</v>
      </c>
      <c r="F9324" s="16" t="s">
        <v>39</v>
      </c>
      <c r="G9324" s="15"/>
      <c r="H9324" s="15"/>
      <c r="I9324" s="15"/>
      <c r="J9324" s="17">
        <v>17</v>
      </c>
      <c r="K9324" s="15"/>
      <c r="L9324" s="17">
        <v>5</v>
      </c>
      <c r="M9324" s="17">
        <v>100</v>
      </c>
      <c r="N9324" s="17">
        <v>5</v>
      </c>
      <c r="O9324" s="18">
        <v>318</v>
      </c>
      <c r="P9324" s="18">
        <v>260.66000000000003</v>
      </c>
      <c r="Q9324" s="18">
        <v>222.6</v>
      </c>
      <c r="R9324" s="18">
        <v>182.46</v>
      </c>
      <c r="S9324" s="18">
        <v>216.24</v>
      </c>
      <c r="T9324" s="18">
        <v>177.25</v>
      </c>
      <c r="U9324" s="16"/>
      <c r="V9324" s="16"/>
      <c r="W9324" s="16"/>
      <c r="X9324" s="19">
        <v>3.5999999999999997E-2</v>
      </c>
      <c r="Y9324" s="20">
        <v>8.8500000000000004E-4</v>
      </c>
      <c r="Z9324" s="21">
        <v>4601004247406</v>
      </c>
    </row>
    <row r="9325" spans="1:26" ht="12" customHeight="1" outlineLevel="4" x14ac:dyDescent="0.2">
      <c r="A9325" s="40" t="s">
        <v>17764</v>
      </c>
      <c r="B9325" s="75" t="s">
        <v>17765</v>
      </c>
      <c r="C9325" s="51"/>
      <c r="D9325" s="54">
        <f t="shared" si="145"/>
        <v>0</v>
      </c>
      <c r="E9325" s="62"/>
      <c r="F9325" s="42" t="s">
        <v>974</v>
      </c>
      <c r="G9325" s="41" t="s">
        <v>40</v>
      </c>
      <c r="H9325" s="41"/>
      <c r="I9325" s="41"/>
      <c r="J9325" s="43">
        <v>4</v>
      </c>
      <c r="K9325" s="41"/>
      <c r="L9325" s="43">
        <v>1</v>
      </c>
      <c r="M9325" s="43">
        <v>144</v>
      </c>
      <c r="N9325" s="43">
        <v>1</v>
      </c>
      <c r="O9325" s="44">
        <v>519.4</v>
      </c>
      <c r="P9325" s="44">
        <v>425.74</v>
      </c>
      <c r="Q9325" s="44">
        <v>415.52</v>
      </c>
      <c r="R9325" s="44">
        <v>340.59</v>
      </c>
      <c r="S9325" s="44">
        <v>353.19</v>
      </c>
      <c r="T9325" s="44">
        <v>289.5</v>
      </c>
      <c r="U9325" s="42"/>
      <c r="V9325" s="42"/>
      <c r="W9325" s="42"/>
      <c r="X9325" s="45">
        <v>7.9000000000000001E-2</v>
      </c>
      <c r="Y9325" s="46">
        <v>2.9300000000000002E-4</v>
      </c>
      <c r="Z9325" s="21">
        <v>4601004350083</v>
      </c>
    </row>
    <row r="9326" spans="1:26" ht="12" customHeight="1" outlineLevel="4" x14ac:dyDescent="0.2">
      <c r="A9326" s="14" t="s">
        <v>17766</v>
      </c>
      <c r="B9326" s="26" t="s">
        <v>17767</v>
      </c>
      <c r="C9326" s="52"/>
      <c r="D9326" s="55">
        <f t="shared" si="145"/>
        <v>0</v>
      </c>
      <c r="E9326" s="63" t="str">
        <f>HYPERLINK("https://www.sds-group.ru/product/lampa-antimoskitnaya-dlya-otpugivaniya-nasekomyh-rexant-71-0035/", "Инфо")</f>
        <v>Инфо</v>
      </c>
      <c r="F9326" s="16" t="s">
        <v>39</v>
      </c>
      <c r="G9326" s="15"/>
      <c r="H9326" s="15"/>
      <c r="I9326" s="15"/>
      <c r="J9326" s="17">
        <v>1</v>
      </c>
      <c r="K9326" s="15"/>
      <c r="L9326" s="17">
        <v>5</v>
      </c>
      <c r="M9326" s="17">
        <v>100</v>
      </c>
      <c r="N9326" s="17">
        <v>5</v>
      </c>
      <c r="O9326" s="18">
        <v>318</v>
      </c>
      <c r="P9326" s="18">
        <v>260.66000000000003</v>
      </c>
      <c r="Q9326" s="18">
        <v>222.6</v>
      </c>
      <c r="R9326" s="18">
        <v>182.46</v>
      </c>
      <c r="S9326" s="18">
        <v>216.24</v>
      </c>
      <c r="T9326" s="18">
        <v>177.25</v>
      </c>
      <c r="U9326" s="16"/>
      <c r="V9326" s="16"/>
      <c r="W9326" s="16"/>
      <c r="X9326" s="19">
        <v>4.3999999999999997E-2</v>
      </c>
      <c r="Y9326" s="20">
        <v>5.1000000000000004E-4</v>
      </c>
      <c r="Z9326" s="21">
        <v>4601004292543</v>
      </c>
    </row>
    <row r="9327" spans="1:26" ht="12" customHeight="1" outlineLevel="4" x14ac:dyDescent="0.2">
      <c r="A9327" s="40" t="s">
        <v>17768</v>
      </c>
      <c r="B9327" s="75" t="s">
        <v>17769</v>
      </c>
      <c r="C9327" s="51"/>
      <c r="D9327" s="54">
        <f t="shared" si="145"/>
        <v>0</v>
      </c>
      <c r="E9327" s="61" t="str">
        <f>HYPERLINK("https://www.sds-group.ru/product/lampa-t8-dlya-unichtozhitelya-s-100m-15vt-chetyre-sezona-71-0156-F/", "Инфо")</f>
        <v>Инфо</v>
      </c>
      <c r="F9327" s="42" t="s">
        <v>39</v>
      </c>
      <c r="G9327" s="41" t="s">
        <v>40</v>
      </c>
      <c r="H9327" s="41"/>
      <c r="I9327" s="41"/>
      <c r="J9327" s="42" t="s">
        <v>100</v>
      </c>
      <c r="K9327" s="41"/>
      <c r="L9327" s="43">
        <v>5</v>
      </c>
      <c r="M9327" s="43">
        <v>100</v>
      </c>
      <c r="N9327" s="43">
        <v>5</v>
      </c>
      <c r="O9327" s="44">
        <v>530</v>
      </c>
      <c r="P9327" s="44">
        <v>434.43</v>
      </c>
      <c r="Q9327" s="44">
        <v>477</v>
      </c>
      <c r="R9327" s="44">
        <v>390.98</v>
      </c>
      <c r="S9327" s="44">
        <v>360.4</v>
      </c>
      <c r="T9327" s="44">
        <v>295.41000000000003</v>
      </c>
      <c r="U9327" s="42"/>
      <c r="V9327" s="42"/>
      <c r="W9327" s="42" t="s">
        <v>40</v>
      </c>
      <c r="X9327" s="45">
        <v>7.4999999999999997E-2</v>
      </c>
      <c r="Y9327" s="46">
        <v>5.04E-4</v>
      </c>
      <c r="Z9327" s="21">
        <v>4601004328877</v>
      </c>
    </row>
    <row r="9328" spans="1:26" ht="12" customHeight="1" outlineLevel="4" x14ac:dyDescent="0.2">
      <c r="A9328" s="40" t="s">
        <v>17770</v>
      </c>
      <c r="B9328" s="75" t="s">
        <v>17771</v>
      </c>
      <c r="C9328" s="51"/>
      <c r="D9328" s="54">
        <f t="shared" si="145"/>
        <v>0</v>
      </c>
      <c r="E9328" s="61" t="str">
        <f>HYPERLINK("https://www.sds-group.ru/product/lampa-t8-dlya-unichtozhitelya-s-80m-10vt-chetyre-sezona-71-0146-F/", "Инфо")</f>
        <v>Инфо</v>
      </c>
      <c r="F9328" s="42" t="s">
        <v>39</v>
      </c>
      <c r="G9328" s="41" t="s">
        <v>40</v>
      </c>
      <c r="H9328" s="41"/>
      <c r="I9328" s="41"/>
      <c r="J9328" s="47">
        <v>3166</v>
      </c>
      <c r="K9328" s="41"/>
      <c r="L9328" s="43">
        <v>1</v>
      </c>
      <c r="M9328" s="43">
        <v>200</v>
      </c>
      <c r="N9328" s="43">
        <v>1</v>
      </c>
      <c r="O9328" s="44">
        <v>424</v>
      </c>
      <c r="P9328" s="44">
        <v>347.54</v>
      </c>
      <c r="Q9328" s="44">
        <v>381.6</v>
      </c>
      <c r="R9328" s="44">
        <v>312.79000000000002</v>
      </c>
      <c r="S9328" s="44">
        <v>288.32</v>
      </c>
      <c r="T9328" s="44">
        <v>236.33</v>
      </c>
      <c r="U9328" s="42"/>
      <c r="V9328" s="42"/>
      <c r="W9328" s="42" t="s">
        <v>40</v>
      </c>
      <c r="X9328" s="45">
        <v>5.8999999999999997E-2</v>
      </c>
      <c r="Y9328" s="46">
        <v>3.1399999999999999E-4</v>
      </c>
      <c r="Z9328" s="21">
        <v>4601004328938</v>
      </c>
    </row>
    <row r="9329" spans="1:26" ht="12" customHeight="1" outlineLevel="4" x14ac:dyDescent="0.2">
      <c r="A9329" s="14" t="s">
        <v>17772</v>
      </c>
      <c r="B9329" s="26" t="s">
        <v>17773</v>
      </c>
      <c r="C9329" s="52"/>
      <c r="D9329" s="55">
        <f t="shared" si="145"/>
        <v>0</v>
      </c>
      <c r="E9329" s="63" t="str">
        <f>HYPERLINK("https://www.sds-group.ru/product/lovushka-dlya-os-r-30m-chetyre-sezona-71-0091-F/", "Инфо")</f>
        <v>Инфо</v>
      </c>
      <c r="F9329" s="16" t="s">
        <v>39</v>
      </c>
      <c r="G9329" s="15"/>
      <c r="H9329" s="15"/>
      <c r="I9329" s="15"/>
      <c r="J9329" s="17">
        <v>225</v>
      </c>
      <c r="K9329" s="15"/>
      <c r="L9329" s="17">
        <v>1</v>
      </c>
      <c r="M9329" s="17">
        <v>36</v>
      </c>
      <c r="N9329" s="17">
        <v>1</v>
      </c>
      <c r="O9329" s="18">
        <v>455.8</v>
      </c>
      <c r="P9329" s="18">
        <v>373.61</v>
      </c>
      <c r="Q9329" s="18">
        <v>319.06</v>
      </c>
      <c r="R9329" s="18">
        <v>261.52</v>
      </c>
      <c r="S9329" s="18">
        <v>309.94</v>
      </c>
      <c r="T9329" s="18">
        <v>254.05</v>
      </c>
      <c r="U9329" s="16"/>
      <c r="V9329" s="16"/>
      <c r="W9329" s="16"/>
      <c r="X9329" s="19">
        <v>0.18099999999999999</v>
      </c>
      <c r="Y9329" s="20">
        <v>2.8990000000000001E-3</v>
      </c>
      <c r="Z9329" s="21">
        <v>4601004328679</v>
      </c>
    </row>
    <row r="9330" spans="1:26" ht="12" customHeight="1" outlineLevel="4" x14ac:dyDescent="0.2">
      <c r="A9330" s="40" t="s">
        <v>17774</v>
      </c>
      <c r="B9330" s="75" t="s">
        <v>17775</v>
      </c>
      <c r="C9330" s="51"/>
      <c r="D9330" s="54">
        <f t="shared" si="145"/>
        <v>0</v>
      </c>
      <c r="E9330" s="61" t="str">
        <f>HYPERLINK("https://www.sds-group.ru/product/muhoboyka-elektricheskaya-0410-800v-chetyre-sezona-70-0410-F/", "Инфо")</f>
        <v>Инфо</v>
      </c>
      <c r="F9330" s="42" t="s">
        <v>39</v>
      </c>
      <c r="G9330" s="41" t="s">
        <v>40</v>
      </c>
      <c r="H9330" s="41"/>
      <c r="I9330" s="41"/>
      <c r="J9330" s="43">
        <v>605</v>
      </c>
      <c r="K9330" s="41"/>
      <c r="L9330" s="43">
        <v>1</v>
      </c>
      <c r="M9330" s="43">
        <v>60</v>
      </c>
      <c r="N9330" s="43">
        <v>1</v>
      </c>
      <c r="O9330" s="44">
        <v>614.79999999999995</v>
      </c>
      <c r="P9330" s="44">
        <v>503.93</v>
      </c>
      <c r="Q9330" s="44">
        <v>553.32000000000005</v>
      </c>
      <c r="R9330" s="44">
        <v>453.54</v>
      </c>
      <c r="S9330" s="44">
        <v>418.06</v>
      </c>
      <c r="T9330" s="44">
        <v>342.67</v>
      </c>
      <c r="U9330" s="42"/>
      <c r="V9330" s="42"/>
      <c r="W9330" s="42" t="s">
        <v>40</v>
      </c>
      <c r="X9330" s="45">
        <v>0.25600000000000001</v>
      </c>
      <c r="Y9330" s="46">
        <v>1.725E-3</v>
      </c>
      <c r="Z9330" s="21">
        <v>4601004329041</v>
      </c>
    </row>
    <row r="9331" spans="1:26" ht="12" customHeight="1" outlineLevel="4" x14ac:dyDescent="0.2">
      <c r="A9331" s="14" t="s">
        <v>17776</v>
      </c>
      <c r="B9331" s="26" t="s">
        <v>17777</v>
      </c>
      <c r="C9331" s="52"/>
      <c r="D9331" s="55">
        <f t="shared" si="145"/>
        <v>0</v>
      </c>
      <c r="E9331" s="63" t="str">
        <f>HYPERLINK("https://www.sds-group.ru/product/muhoboyka-elektricheskaya-0420-profi-1000v-s-fonarikom-i-akkumulyatorom-rexant-70-0420/", "Инфо")</f>
        <v>Инфо</v>
      </c>
      <c r="F9331" s="16" t="s">
        <v>39</v>
      </c>
      <c r="G9331" s="15"/>
      <c r="H9331" s="15"/>
      <c r="I9331" s="15"/>
      <c r="J9331" s="17">
        <v>1</v>
      </c>
      <c r="K9331" s="15"/>
      <c r="L9331" s="17">
        <v>1</v>
      </c>
      <c r="M9331" s="17">
        <v>50</v>
      </c>
      <c r="N9331" s="17">
        <v>1</v>
      </c>
      <c r="O9331" s="18">
        <v>1166</v>
      </c>
      <c r="P9331" s="18">
        <v>955.74</v>
      </c>
      <c r="Q9331" s="18">
        <v>816.2</v>
      </c>
      <c r="R9331" s="18">
        <v>669.02</v>
      </c>
      <c r="S9331" s="18">
        <v>792.88</v>
      </c>
      <c r="T9331" s="18">
        <v>649.9</v>
      </c>
      <c r="U9331" s="16"/>
      <c r="V9331" s="16"/>
      <c r="W9331" s="16"/>
      <c r="X9331" s="19">
        <v>0.42299999999999999</v>
      </c>
      <c r="Y9331" s="20">
        <v>3.1640000000000001E-3</v>
      </c>
      <c r="Z9331" s="21">
        <v>4601004098404</v>
      </c>
    </row>
    <row r="9332" spans="1:26" ht="12" customHeight="1" outlineLevel="4" x14ac:dyDescent="0.2">
      <c r="A9332" s="40" t="s">
        <v>17778</v>
      </c>
      <c r="B9332" s="75" t="s">
        <v>17779</v>
      </c>
      <c r="C9332" s="51"/>
      <c r="D9332" s="54">
        <f t="shared" si="145"/>
        <v>0</v>
      </c>
      <c r="E9332" s="61" t="str">
        <f>HYPERLINK("https://www.sds-group.ru/product/muhoboyka-elektricheskaya-0420-profi-1000v-s-fonarikom-i-akkumulyatorom-chetyre-sezona-70-0420-F/", "Инфо")</f>
        <v>Инфо</v>
      </c>
      <c r="F9332" s="42" t="s">
        <v>39</v>
      </c>
      <c r="G9332" s="41" t="s">
        <v>40</v>
      </c>
      <c r="H9332" s="41"/>
      <c r="I9332" s="41"/>
      <c r="J9332" s="43">
        <v>677</v>
      </c>
      <c r="K9332" s="41"/>
      <c r="L9332" s="43">
        <v>1</v>
      </c>
      <c r="M9332" s="43">
        <v>50</v>
      </c>
      <c r="N9332" s="43">
        <v>1</v>
      </c>
      <c r="O9332" s="44">
        <v>1049.4000000000001</v>
      </c>
      <c r="P9332" s="44">
        <v>860.16</v>
      </c>
      <c r="Q9332" s="44">
        <v>944.46</v>
      </c>
      <c r="R9332" s="44">
        <v>774.15</v>
      </c>
      <c r="S9332" s="44">
        <v>713.59</v>
      </c>
      <c r="T9332" s="44">
        <v>584.91</v>
      </c>
      <c r="U9332" s="42"/>
      <c r="V9332" s="42"/>
      <c r="W9332" s="42" t="s">
        <v>40</v>
      </c>
      <c r="X9332" s="45">
        <v>0.42</v>
      </c>
      <c r="Y9332" s="46">
        <v>3.0539999999999999E-3</v>
      </c>
      <c r="Z9332" s="21">
        <v>4601004329065</v>
      </c>
    </row>
    <row r="9333" spans="1:26" ht="12" customHeight="1" outlineLevel="4" x14ac:dyDescent="0.2">
      <c r="A9333" s="14" t="s">
        <v>17780</v>
      </c>
      <c r="B9333" s="26" t="s">
        <v>17781</v>
      </c>
      <c r="C9333" s="52"/>
      <c r="D9333" s="55">
        <f t="shared" si="145"/>
        <v>0</v>
      </c>
      <c r="E9333" s="63" t="str">
        <f>HYPERLINK("https://www.sds-group.ru/product/muhoboyka-elektricheskaya-0430-mini-800v-rexant-70-0430/", "Инфо")</f>
        <v>Инфо</v>
      </c>
      <c r="F9333" s="16" t="s">
        <v>39</v>
      </c>
      <c r="G9333" s="15"/>
      <c r="H9333" s="15"/>
      <c r="I9333" s="15"/>
      <c r="J9333" s="17">
        <v>14</v>
      </c>
      <c r="K9333" s="15"/>
      <c r="L9333" s="17">
        <v>1</v>
      </c>
      <c r="M9333" s="17">
        <v>72</v>
      </c>
      <c r="N9333" s="17">
        <v>1</v>
      </c>
      <c r="O9333" s="18">
        <v>636</v>
      </c>
      <c r="P9333" s="18">
        <v>521.30999999999995</v>
      </c>
      <c r="Q9333" s="18">
        <v>445.2</v>
      </c>
      <c r="R9333" s="18">
        <v>364.92</v>
      </c>
      <c r="S9333" s="18">
        <v>432.48</v>
      </c>
      <c r="T9333" s="18">
        <v>354.49</v>
      </c>
      <c r="U9333" s="16"/>
      <c r="V9333" s="16"/>
      <c r="W9333" s="16"/>
      <c r="X9333" s="19">
        <v>0.22</v>
      </c>
      <c r="Y9333" s="20">
        <v>1.2769999999999999E-3</v>
      </c>
      <c r="Z9333" s="21">
        <v>4601004199972</v>
      </c>
    </row>
    <row r="9334" spans="1:26" ht="12" customHeight="1" outlineLevel="4" x14ac:dyDescent="0.2">
      <c r="A9334" s="40" t="s">
        <v>17782</v>
      </c>
      <c r="B9334" s="75" t="s">
        <v>17783</v>
      </c>
      <c r="C9334" s="51"/>
      <c r="D9334" s="54">
        <f t="shared" si="145"/>
        <v>0</v>
      </c>
      <c r="E9334" s="61" t="str">
        <f>HYPERLINK("https://www.sds-group.ru/product/muhoboyka-elektricheskaya-0440-1000v-s-podstavkoy-chetyre-sezona-70-0440-F/", "Инфо")</f>
        <v>Инфо</v>
      </c>
      <c r="F9334" s="42" t="s">
        <v>39</v>
      </c>
      <c r="G9334" s="41" t="s">
        <v>40</v>
      </c>
      <c r="H9334" s="41"/>
      <c r="I9334" s="41"/>
      <c r="J9334" s="43">
        <v>756</v>
      </c>
      <c r="K9334" s="41"/>
      <c r="L9334" s="43">
        <v>1</v>
      </c>
      <c r="M9334" s="43">
        <v>30</v>
      </c>
      <c r="N9334" s="43">
        <v>1</v>
      </c>
      <c r="O9334" s="44">
        <v>1908</v>
      </c>
      <c r="P9334" s="44">
        <v>1563.93</v>
      </c>
      <c r="Q9334" s="44">
        <v>1335.6</v>
      </c>
      <c r="R9334" s="44">
        <v>1094.75</v>
      </c>
      <c r="S9334" s="44">
        <v>1297.44</v>
      </c>
      <c r="T9334" s="44">
        <v>1063.48</v>
      </c>
      <c r="U9334" s="42"/>
      <c r="V9334" s="42"/>
      <c r="W9334" s="42" t="s">
        <v>40</v>
      </c>
      <c r="X9334" s="45">
        <v>0.64500000000000002</v>
      </c>
      <c r="Y9334" s="46">
        <v>6.9649999999999998E-3</v>
      </c>
      <c r="Z9334" s="21">
        <v>4601004329010</v>
      </c>
    </row>
    <row r="9335" spans="1:26" ht="12" customHeight="1" outlineLevel="4" x14ac:dyDescent="0.2">
      <c r="A9335" s="14" t="s">
        <v>17784</v>
      </c>
      <c r="B9335" s="26" t="s">
        <v>17785</v>
      </c>
      <c r="C9335" s="52"/>
      <c r="D9335" s="55">
        <f t="shared" si="145"/>
        <v>0</v>
      </c>
      <c r="E9335" s="63" t="str">
        <f>HYPERLINK("https://www.sds-group.ru/product/muhoboyka-elektricheskaya-so-schetchikom-unichtozhennyh-nasekomyh-rexant-70-0470/", "Инфо")</f>
        <v>Инфо</v>
      </c>
      <c r="F9335" s="16" t="s">
        <v>39</v>
      </c>
      <c r="G9335" s="15"/>
      <c r="H9335" s="15"/>
      <c r="I9335" s="15"/>
      <c r="J9335" s="17">
        <v>2</v>
      </c>
      <c r="K9335" s="15"/>
      <c r="L9335" s="17">
        <v>1</v>
      </c>
      <c r="M9335" s="17">
        <v>20</v>
      </c>
      <c r="N9335" s="17">
        <v>1</v>
      </c>
      <c r="O9335" s="18">
        <v>2756</v>
      </c>
      <c r="P9335" s="18">
        <v>2259.02</v>
      </c>
      <c r="Q9335" s="18">
        <v>1929.2</v>
      </c>
      <c r="R9335" s="18">
        <v>1581.31</v>
      </c>
      <c r="S9335" s="18">
        <v>1874.08</v>
      </c>
      <c r="T9335" s="18">
        <v>1536.13</v>
      </c>
      <c r="U9335" s="16"/>
      <c r="V9335" s="16"/>
      <c r="W9335" s="16"/>
      <c r="X9335" s="19">
        <v>0.622</v>
      </c>
      <c r="Y9335" s="20">
        <v>6.4200000000000004E-3</v>
      </c>
      <c r="Z9335" s="21">
        <v>4601004292512</v>
      </c>
    </row>
    <row r="9336" spans="1:26" ht="12" customHeight="1" outlineLevel="4" x14ac:dyDescent="0.2">
      <c r="A9336" s="14" t="s">
        <v>17786</v>
      </c>
      <c r="B9336" s="26" t="s">
        <v>17787</v>
      </c>
      <c r="C9336" s="52"/>
      <c r="D9336" s="55">
        <f t="shared" si="145"/>
        <v>0</v>
      </c>
      <c r="E9336" s="63" t="str">
        <f>HYPERLINK("https://www.sds-group.ru/product/muhoboyka-antimoskitnaya-lampa-elektricheskaya-fold-round-chetyre-sezona-70-0481-F/", "Инфо")</f>
        <v>Инфо</v>
      </c>
      <c r="F9336" s="16" t="s">
        <v>39</v>
      </c>
      <c r="G9336" s="15"/>
      <c r="H9336" s="15"/>
      <c r="I9336" s="15"/>
      <c r="J9336" s="16" t="s">
        <v>100</v>
      </c>
      <c r="K9336" s="15" t="s">
        <v>995</v>
      </c>
      <c r="L9336" s="17">
        <v>1</v>
      </c>
      <c r="M9336" s="17">
        <v>40</v>
      </c>
      <c r="N9336" s="17">
        <v>1</v>
      </c>
      <c r="O9336" s="18">
        <v>1908</v>
      </c>
      <c r="P9336" s="18">
        <v>1563.93</v>
      </c>
      <c r="Q9336" s="18">
        <v>1335.6</v>
      </c>
      <c r="R9336" s="18">
        <v>1094.75</v>
      </c>
      <c r="S9336" s="18">
        <v>1297.44</v>
      </c>
      <c r="T9336" s="18">
        <v>1063.48</v>
      </c>
      <c r="U9336" s="16"/>
      <c r="V9336" s="16"/>
      <c r="W9336" s="16"/>
      <c r="X9336" s="25"/>
      <c r="Y9336" s="25"/>
      <c r="Z9336" s="21">
        <v>4601004350113</v>
      </c>
    </row>
    <row r="9337" spans="1:26" ht="12" customHeight="1" outlineLevel="4" x14ac:dyDescent="0.2">
      <c r="A9337" s="14" t="s">
        <v>17788</v>
      </c>
      <c r="B9337" s="26" t="s">
        <v>17789</v>
      </c>
      <c r="C9337" s="52"/>
      <c r="D9337" s="55">
        <f t="shared" si="145"/>
        <v>0</v>
      </c>
      <c r="E9337" s="63" t="str">
        <f>HYPERLINK("https://www.sds-group.ru/product/muhoboyka-antimoskitnaya-lampa-elektricheskaya-skladnaya-rexant-70-0480/", "Инфо")</f>
        <v>Инфо</v>
      </c>
      <c r="F9337" s="16" t="s">
        <v>39</v>
      </c>
      <c r="G9337" s="15"/>
      <c r="H9337" s="15"/>
      <c r="I9337" s="15"/>
      <c r="J9337" s="16" t="s">
        <v>100</v>
      </c>
      <c r="K9337" s="15"/>
      <c r="L9337" s="17">
        <v>1</v>
      </c>
      <c r="M9337" s="17">
        <v>40</v>
      </c>
      <c r="N9337" s="17">
        <v>1</v>
      </c>
      <c r="O9337" s="18">
        <v>837.4</v>
      </c>
      <c r="P9337" s="18">
        <v>686.39</v>
      </c>
      <c r="Q9337" s="18">
        <v>586.17999999999995</v>
      </c>
      <c r="R9337" s="18">
        <v>480.48</v>
      </c>
      <c r="S9337" s="18">
        <v>569.42999999999995</v>
      </c>
      <c r="T9337" s="18">
        <v>466.75</v>
      </c>
      <c r="U9337" s="16"/>
      <c r="V9337" s="16"/>
      <c r="W9337" s="16"/>
      <c r="X9337" s="19">
        <v>0.41499999999999998</v>
      </c>
      <c r="Y9337" s="20">
        <v>3.0899999999999999E-3</v>
      </c>
      <c r="Z9337" s="21">
        <v>4601004292529</v>
      </c>
    </row>
    <row r="9338" spans="1:26" ht="12" customHeight="1" outlineLevel="4" x14ac:dyDescent="0.2">
      <c r="A9338" s="14" t="s">
        <v>17790</v>
      </c>
      <c r="B9338" s="26" t="s">
        <v>17791</v>
      </c>
      <c r="C9338" s="52"/>
      <c r="D9338" s="55">
        <f t="shared" si="145"/>
        <v>0</v>
      </c>
      <c r="E9338" s="63" t="str">
        <f>HYPERLINK("https://www.sds-group.ru/product/nabor-muhoboek-elektricheskih-800v-rx-450x2-rexant-70-0491/", "Инфо")</f>
        <v>Инфо</v>
      </c>
      <c r="F9338" s="16" t="s">
        <v>4698</v>
      </c>
      <c r="G9338" s="15"/>
      <c r="H9338" s="15"/>
      <c r="I9338" s="15"/>
      <c r="J9338" s="17">
        <v>78</v>
      </c>
      <c r="K9338" s="15"/>
      <c r="L9338" s="17">
        <v>1</v>
      </c>
      <c r="M9338" s="17">
        <v>36</v>
      </c>
      <c r="N9338" s="17">
        <v>1</v>
      </c>
      <c r="O9338" s="18">
        <v>1166</v>
      </c>
      <c r="P9338" s="18">
        <v>955.74</v>
      </c>
      <c r="Q9338" s="18">
        <v>816.2</v>
      </c>
      <c r="R9338" s="18">
        <v>669.02</v>
      </c>
      <c r="S9338" s="18">
        <v>792.88</v>
      </c>
      <c r="T9338" s="18">
        <v>649.9</v>
      </c>
      <c r="U9338" s="16"/>
      <c r="V9338" s="16"/>
      <c r="W9338" s="16"/>
      <c r="X9338" s="19">
        <v>0.42699999999999999</v>
      </c>
      <c r="Y9338" s="20">
        <v>2.542E-3</v>
      </c>
      <c r="Z9338" s="21">
        <v>4601004247307</v>
      </c>
    </row>
    <row r="9339" spans="1:26" ht="12" customHeight="1" outlineLevel="4" x14ac:dyDescent="0.2">
      <c r="A9339" s="32" t="s">
        <v>17792</v>
      </c>
      <c r="B9339" s="74" t="s">
        <v>17793</v>
      </c>
      <c r="C9339" s="50"/>
      <c r="D9339" s="53">
        <f t="shared" si="145"/>
        <v>0</v>
      </c>
      <c r="E9339" s="60" t="str">
        <f>HYPERLINK("https://www.sds-group.ru/product/nochnik-fumigator-usb-s-30m-belyy-rexant-71-0044/", "Инфо")</f>
        <v>Инфо</v>
      </c>
      <c r="F9339" s="34" t="s">
        <v>39</v>
      </c>
      <c r="G9339" s="33"/>
      <c r="H9339" s="33" t="s">
        <v>40</v>
      </c>
      <c r="I9339" s="33"/>
      <c r="J9339" s="35">
        <v>1</v>
      </c>
      <c r="K9339" s="33"/>
      <c r="L9339" s="35">
        <v>1</v>
      </c>
      <c r="M9339" s="35">
        <v>50</v>
      </c>
      <c r="N9339" s="35">
        <v>1</v>
      </c>
      <c r="O9339" s="36">
        <v>2032.78</v>
      </c>
      <c r="P9339" s="36">
        <v>1666.21</v>
      </c>
      <c r="Q9339" s="36">
        <v>1422.95</v>
      </c>
      <c r="R9339" s="36">
        <v>1166.3499999999999</v>
      </c>
      <c r="S9339" s="36">
        <v>1382.29</v>
      </c>
      <c r="T9339" s="36">
        <v>1133.02</v>
      </c>
      <c r="U9339" s="34"/>
      <c r="V9339" s="34"/>
      <c r="W9339" s="34"/>
      <c r="X9339" s="37">
        <v>0.23100000000000001</v>
      </c>
      <c r="Y9339" s="38">
        <v>1.2329999999999999E-3</v>
      </c>
      <c r="Z9339" s="21">
        <v>4601004196452</v>
      </c>
    </row>
    <row r="9340" spans="1:26" ht="12" customHeight="1" outlineLevel="4" x14ac:dyDescent="0.2">
      <c r="A9340" s="14" t="s">
        <v>17794</v>
      </c>
      <c r="B9340" s="26" t="s">
        <v>17795</v>
      </c>
      <c r="C9340" s="52"/>
      <c r="D9340" s="55">
        <f t="shared" si="145"/>
        <v>0</v>
      </c>
      <c r="E9340" s="63" t="str">
        <f>HYPERLINK("https://www.sds-group.ru/product/okonnaya-antimoskitnaya-setka-1-5h1-5m-s-kleykoy-lentoy-belaya-rexant-71-0227/", "Инфо")</f>
        <v>Инфо</v>
      </c>
      <c r="F9340" s="16" t="s">
        <v>39</v>
      </c>
      <c r="G9340" s="15"/>
      <c r="H9340" s="15"/>
      <c r="I9340" s="15"/>
      <c r="J9340" s="17">
        <v>978</v>
      </c>
      <c r="K9340" s="15"/>
      <c r="L9340" s="17">
        <v>1</v>
      </c>
      <c r="M9340" s="17">
        <v>100</v>
      </c>
      <c r="N9340" s="17">
        <v>1</v>
      </c>
      <c r="O9340" s="18">
        <v>477</v>
      </c>
      <c r="P9340" s="18">
        <v>390.98</v>
      </c>
      <c r="Q9340" s="18">
        <v>333.9</v>
      </c>
      <c r="R9340" s="18">
        <v>273.69</v>
      </c>
      <c r="S9340" s="18">
        <v>324.36</v>
      </c>
      <c r="T9340" s="18">
        <v>265.87</v>
      </c>
      <c r="U9340" s="16"/>
      <c r="V9340" s="16"/>
      <c r="W9340" s="16"/>
      <c r="X9340" s="19">
        <v>7.2999999999999995E-2</v>
      </c>
      <c r="Y9340" s="20">
        <v>6.4899999999999995E-4</v>
      </c>
      <c r="Z9340" s="21">
        <v>4601004247390</v>
      </c>
    </row>
    <row r="9341" spans="1:26" ht="12" customHeight="1" outlineLevel="4" x14ac:dyDescent="0.2">
      <c r="A9341" s="40" t="s">
        <v>17796</v>
      </c>
      <c r="B9341" s="75" t="s">
        <v>17797</v>
      </c>
      <c r="C9341" s="51"/>
      <c r="D9341" s="54">
        <f t="shared" si="145"/>
        <v>0</v>
      </c>
      <c r="E9341" s="61" t="str">
        <f>HYPERLINK("https://www.sds-group.ru/product/okonnaya-antimoskitnaya-setka-1-5h1-5m-s-kleykoy-lentoy-belaya-chetyre-sezona-71-0227-F/", "Инфо")</f>
        <v>Инфо</v>
      </c>
      <c r="F9341" s="42" t="s">
        <v>39</v>
      </c>
      <c r="G9341" s="41" t="s">
        <v>40</v>
      </c>
      <c r="H9341" s="41"/>
      <c r="I9341" s="41"/>
      <c r="J9341" s="47">
        <v>1779</v>
      </c>
      <c r="K9341" s="41"/>
      <c r="L9341" s="43">
        <v>5</v>
      </c>
      <c r="M9341" s="43">
        <v>100</v>
      </c>
      <c r="N9341" s="43">
        <v>5</v>
      </c>
      <c r="O9341" s="44">
        <v>392.2</v>
      </c>
      <c r="P9341" s="44">
        <v>321.48</v>
      </c>
      <c r="Q9341" s="44">
        <v>352.98</v>
      </c>
      <c r="R9341" s="44">
        <v>289.33</v>
      </c>
      <c r="S9341" s="44">
        <v>266.7</v>
      </c>
      <c r="T9341" s="44">
        <v>218.61</v>
      </c>
      <c r="U9341" s="42"/>
      <c r="V9341" s="42"/>
      <c r="W9341" s="42" t="s">
        <v>40</v>
      </c>
      <c r="X9341" s="45">
        <v>7.6999999999999999E-2</v>
      </c>
      <c r="Y9341" s="46">
        <v>7.3700000000000002E-4</v>
      </c>
      <c r="Z9341" s="21">
        <v>4601004328990</v>
      </c>
    </row>
    <row r="9342" spans="1:26" ht="12" customHeight="1" outlineLevel="4" x14ac:dyDescent="0.2">
      <c r="A9342" s="14" t="s">
        <v>17798</v>
      </c>
      <c r="B9342" s="26" t="s">
        <v>17799</v>
      </c>
      <c r="C9342" s="52"/>
      <c r="D9342" s="55">
        <f t="shared" si="145"/>
        <v>0</v>
      </c>
      <c r="E9342" s="63" t="str">
        <f>HYPERLINK("https://www.sds-group.ru/product/otpugivatel-muh-i-drugih-nasekomyh-nastolnyy-podvesnoy-rexant-71-0051/", "Инфо")</f>
        <v>Инфо</v>
      </c>
      <c r="F9342" s="16" t="s">
        <v>39</v>
      </c>
      <c r="G9342" s="15"/>
      <c r="H9342" s="15"/>
      <c r="I9342" s="15"/>
      <c r="J9342" s="16" t="s">
        <v>100</v>
      </c>
      <c r="K9342" s="15"/>
      <c r="L9342" s="17">
        <v>1</v>
      </c>
      <c r="M9342" s="17">
        <v>50</v>
      </c>
      <c r="N9342" s="17">
        <v>1</v>
      </c>
      <c r="O9342" s="18">
        <v>1049.4000000000001</v>
      </c>
      <c r="P9342" s="18">
        <v>860.16</v>
      </c>
      <c r="Q9342" s="18">
        <v>734.58</v>
      </c>
      <c r="R9342" s="18">
        <v>602.11</v>
      </c>
      <c r="S9342" s="18">
        <v>713.59</v>
      </c>
      <c r="T9342" s="18">
        <v>584.91</v>
      </c>
      <c r="U9342" s="16"/>
      <c r="V9342" s="16"/>
      <c r="W9342" s="16"/>
      <c r="X9342" s="19">
        <v>0.23599999999999999</v>
      </c>
      <c r="Y9342" s="20">
        <v>2.232E-3</v>
      </c>
      <c r="Z9342" s="21">
        <v>4601004247413</v>
      </c>
    </row>
    <row r="9343" spans="1:26" ht="12" customHeight="1" outlineLevel="4" x14ac:dyDescent="0.2">
      <c r="A9343" s="14" t="s">
        <v>17800</v>
      </c>
      <c r="B9343" s="26" t="s">
        <v>17801</v>
      </c>
      <c r="C9343" s="52"/>
      <c r="D9343" s="55">
        <f t="shared" si="145"/>
        <v>0</v>
      </c>
      <c r="E9343" s="63" t="str">
        <f>HYPERLINK("https://www.sds-group.ru/product/otpugivatel-muh-s-nochnikom-r-13-nastolnyy-podvesnoy-chetyre-sezona-71-0071-F/", "Инфо")</f>
        <v>Инфо</v>
      </c>
      <c r="F9343" s="16" t="s">
        <v>39</v>
      </c>
      <c r="G9343" s="15"/>
      <c r="H9343" s="15"/>
      <c r="I9343" s="15"/>
      <c r="J9343" s="17">
        <v>1</v>
      </c>
      <c r="K9343" s="15"/>
      <c r="L9343" s="17">
        <v>1</v>
      </c>
      <c r="M9343" s="17">
        <v>50</v>
      </c>
      <c r="N9343" s="17">
        <v>1</v>
      </c>
      <c r="O9343" s="18">
        <v>1155.4000000000001</v>
      </c>
      <c r="P9343" s="18">
        <v>947.05</v>
      </c>
      <c r="Q9343" s="18">
        <v>808.78</v>
      </c>
      <c r="R9343" s="18">
        <v>662.93</v>
      </c>
      <c r="S9343" s="18">
        <v>785.67</v>
      </c>
      <c r="T9343" s="18">
        <v>643.99</v>
      </c>
      <c r="U9343" s="16"/>
      <c r="V9343" s="16"/>
      <c r="W9343" s="16"/>
      <c r="X9343" s="19">
        <v>0.23200000000000001</v>
      </c>
      <c r="Y9343" s="20">
        <v>2.2279999999999999E-3</v>
      </c>
      <c r="Z9343" s="21">
        <v>4601004330887</v>
      </c>
    </row>
    <row r="9344" spans="1:26" ht="12" customHeight="1" outlineLevel="4" x14ac:dyDescent="0.2">
      <c r="A9344" s="40" t="s">
        <v>17802</v>
      </c>
      <c r="B9344" s="75" t="s">
        <v>17803</v>
      </c>
      <c r="C9344" s="51"/>
      <c r="D9344" s="54">
        <f t="shared" si="145"/>
        <v>0</v>
      </c>
      <c r="E9344" s="61" t="str">
        <f>HYPERLINK("https://www.sds-group.ru/product/setka-antimoskitnaya-na-dver-210h100sm-s-magnitami-po-vsey-dline-rozovaya-s-tsvetami-chety-71-0225-F/", "Инфо")</f>
        <v>Инфо</v>
      </c>
      <c r="F9344" s="42" t="s">
        <v>39</v>
      </c>
      <c r="G9344" s="41" t="s">
        <v>40</v>
      </c>
      <c r="H9344" s="41"/>
      <c r="I9344" s="41"/>
      <c r="J9344" s="42" t="s">
        <v>100</v>
      </c>
      <c r="K9344" s="41"/>
      <c r="L9344" s="43">
        <v>5</v>
      </c>
      <c r="M9344" s="42"/>
      <c r="N9344" s="43">
        <v>5</v>
      </c>
      <c r="O9344" s="44">
        <v>498.2</v>
      </c>
      <c r="P9344" s="44">
        <v>408.36</v>
      </c>
      <c r="Q9344" s="44">
        <v>448.38</v>
      </c>
      <c r="R9344" s="44">
        <v>367.52</v>
      </c>
      <c r="S9344" s="44">
        <v>338.78</v>
      </c>
      <c r="T9344" s="44">
        <v>277.69</v>
      </c>
      <c r="U9344" s="42"/>
      <c r="V9344" s="42"/>
      <c r="W9344" s="42" t="s">
        <v>40</v>
      </c>
      <c r="X9344" s="45">
        <v>0.22800000000000001</v>
      </c>
      <c r="Y9344" s="46">
        <v>1.1670000000000001E-3</v>
      </c>
      <c r="Z9344" s="21">
        <v>4601004338470</v>
      </c>
    </row>
    <row r="9345" spans="1:26" ht="12" customHeight="1" outlineLevel="4" x14ac:dyDescent="0.2">
      <c r="A9345" s="40" t="s">
        <v>17804</v>
      </c>
      <c r="B9345" s="75" t="s">
        <v>17805</v>
      </c>
      <c r="C9345" s="51"/>
      <c r="D9345" s="54">
        <f t="shared" si="145"/>
        <v>0</v>
      </c>
      <c r="E9345" s="61" t="str">
        <f>HYPERLINK("https://www.sds-group.ru/product/setka-antimoskitnaya-na-dver-210h100sm-s-magnitami-po-vsey-dline-s-tsvetami-chetyre-sezona-71-0224-F/", "Инфо")</f>
        <v>Инфо</v>
      </c>
      <c r="F9345" s="42" t="s">
        <v>39</v>
      </c>
      <c r="G9345" s="41" t="s">
        <v>40</v>
      </c>
      <c r="H9345" s="41"/>
      <c r="I9345" s="41"/>
      <c r="J9345" s="47">
        <v>1582</v>
      </c>
      <c r="K9345" s="41"/>
      <c r="L9345" s="43">
        <v>5</v>
      </c>
      <c r="M9345" s="42"/>
      <c r="N9345" s="43">
        <v>5</v>
      </c>
      <c r="O9345" s="44">
        <v>498.2</v>
      </c>
      <c r="P9345" s="44">
        <v>408.36</v>
      </c>
      <c r="Q9345" s="44">
        <v>448.38</v>
      </c>
      <c r="R9345" s="44">
        <v>367.52</v>
      </c>
      <c r="S9345" s="44">
        <v>338.78</v>
      </c>
      <c r="T9345" s="44">
        <v>277.69</v>
      </c>
      <c r="U9345" s="42"/>
      <c r="V9345" s="42"/>
      <c r="W9345" s="42" t="s">
        <v>40</v>
      </c>
      <c r="X9345" s="45">
        <v>0.22600000000000001</v>
      </c>
      <c r="Y9345" s="46">
        <v>1.1670000000000001E-3</v>
      </c>
      <c r="Z9345" s="21">
        <v>4601004338326</v>
      </c>
    </row>
    <row r="9346" spans="1:26" ht="12" customHeight="1" outlineLevel="4" x14ac:dyDescent="0.2">
      <c r="A9346" s="14" t="s">
        <v>17806</v>
      </c>
      <c r="B9346" s="26" t="s">
        <v>17807</v>
      </c>
      <c r="C9346" s="52"/>
      <c r="D9346" s="55">
        <f t="shared" si="145"/>
        <v>0</v>
      </c>
      <c r="E9346" s="63" t="str">
        <f>HYPERLINK("https://www.sds-group.ru/product/ultrazvukovoy-otpugivatel-komarov-s-30m-220v-rexant-71-0014/", "Инфо")</f>
        <v>Инфо</v>
      </c>
      <c r="F9346" s="16" t="s">
        <v>39</v>
      </c>
      <c r="G9346" s="15"/>
      <c r="H9346" s="15"/>
      <c r="I9346" s="15"/>
      <c r="J9346" s="16" t="s">
        <v>100</v>
      </c>
      <c r="K9346" s="15"/>
      <c r="L9346" s="17">
        <v>5</v>
      </c>
      <c r="M9346" s="17">
        <v>100</v>
      </c>
      <c r="N9346" s="17">
        <v>5</v>
      </c>
      <c r="O9346" s="18">
        <v>392.2</v>
      </c>
      <c r="P9346" s="18">
        <v>321.48</v>
      </c>
      <c r="Q9346" s="18">
        <v>274.54000000000002</v>
      </c>
      <c r="R9346" s="18">
        <v>225.03</v>
      </c>
      <c r="S9346" s="18">
        <v>266.7</v>
      </c>
      <c r="T9346" s="18">
        <v>218.61</v>
      </c>
      <c r="U9346" s="16"/>
      <c r="V9346" s="16"/>
      <c r="W9346" s="16"/>
      <c r="X9346" s="19">
        <v>4.9000000000000002E-2</v>
      </c>
      <c r="Y9346" s="20">
        <v>4.9600000000000002E-4</v>
      </c>
      <c r="Z9346" s="21">
        <v>4601004046375</v>
      </c>
    </row>
    <row r="9347" spans="1:26" ht="12" customHeight="1" outlineLevel="4" x14ac:dyDescent="0.2">
      <c r="A9347" s="40" t="s">
        <v>17808</v>
      </c>
      <c r="B9347" s="75" t="s">
        <v>17809</v>
      </c>
      <c r="C9347" s="51"/>
      <c r="D9347" s="54">
        <f t="shared" si="145"/>
        <v>0</v>
      </c>
      <c r="E9347" s="61" t="str">
        <f>HYPERLINK("https://www.sds-group.ru/product/ultrazvukovoy-otpugivatel-komarov-s-30m-220v-chetyre-sezona-71-0014-F/", "Инфо")</f>
        <v>Инфо</v>
      </c>
      <c r="F9347" s="42" t="s">
        <v>39</v>
      </c>
      <c r="G9347" s="41" t="s">
        <v>40</v>
      </c>
      <c r="H9347" s="41"/>
      <c r="I9347" s="41"/>
      <c r="J9347" s="43">
        <v>709</v>
      </c>
      <c r="K9347" s="41"/>
      <c r="L9347" s="43">
        <v>5</v>
      </c>
      <c r="M9347" s="43">
        <v>100</v>
      </c>
      <c r="N9347" s="43">
        <v>5</v>
      </c>
      <c r="O9347" s="44">
        <v>371</v>
      </c>
      <c r="P9347" s="44">
        <v>304.10000000000002</v>
      </c>
      <c r="Q9347" s="44">
        <v>333.9</v>
      </c>
      <c r="R9347" s="44">
        <v>273.69</v>
      </c>
      <c r="S9347" s="44">
        <v>252.28</v>
      </c>
      <c r="T9347" s="44">
        <v>206.79</v>
      </c>
      <c r="U9347" s="42"/>
      <c r="V9347" s="42"/>
      <c r="W9347" s="42" t="s">
        <v>40</v>
      </c>
      <c r="X9347" s="45">
        <v>4.8000000000000001E-2</v>
      </c>
      <c r="Y9347" s="46">
        <v>4.7100000000000001E-4</v>
      </c>
      <c r="Z9347" s="21">
        <v>4601004328839</v>
      </c>
    </row>
    <row r="9348" spans="1:26" ht="12" customHeight="1" outlineLevel="4" x14ac:dyDescent="0.2">
      <c r="A9348" s="14" t="s">
        <v>17810</v>
      </c>
      <c r="B9348" s="26" t="s">
        <v>17811</v>
      </c>
      <c r="C9348" s="52"/>
      <c r="D9348" s="55">
        <f t="shared" si="145"/>
        <v>0</v>
      </c>
      <c r="E9348" s="63" t="str">
        <f>HYPERLINK("https://www.sds-group.ru/product/unichtozhitel-nasekomyh-insektitsidnyy-s-ultrafioletovoy-lampoy-s-20m-220v-rexant-71-0006/", "Инфо")</f>
        <v>Инфо</v>
      </c>
      <c r="F9348" s="16" t="s">
        <v>39</v>
      </c>
      <c r="G9348" s="15"/>
      <c r="H9348" s="15"/>
      <c r="I9348" s="15"/>
      <c r="J9348" s="17">
        <v>2</v>
      </c>
      <c r="K9348" s="15"/>
      <c r="L9348" s="17">
        <v>1</v>
      </c>
      <c r="M9348" s="17">
        <v>24</v>
      </c>
      <c r="N9348" s="17">
        <v>1</v>
      </c>
      <c r="O9348" s="18">
        <v>519.4</v>
      </c>
      <c r="P9348" s="18">
        <v>425.74</v>
      </c>
      <c r="Q9348" s="18">
        <v>363.58</v>
      </c>
      <c r="R9348" s="18">
        <v>298.02</v>
      </c>
      <c r="S9348" s="18">
        <v>353.19</v>
      </c>
      <c r="T9348" s="18">
        <v>289.5</v>
      </c>
      <c r="U9348" s="16"/>
      <c r="V9348" s="16"/>
      <c r="W9348" s="16"/>
      <c r="X9348" s="19">
        <v>0.161</v>
      </c>
      <c r="Y9348" s="20">
        <v>2.908E-3</v>
      </c>
      <c r="Z9348" s="21">
        <v>4601004026049</v>
      </c>
    </row>
    <row r="9349" spans="1:26" ht="12" customHeight="1" outlineLevel="4" x14ac:dyDescent="0.2">
      <c r="A9349" s="14" t="s">
        <v>17812</v>
      </c>
      <c r="B9349" s="26" t="s">
        <v>17813</v>
      </c>
      <c r="C9349" s="52"/>
      <c r="D9349" s="55">
        <f t="shared" si="145"/>
        <v>0</v>
      </c>
      <c r="E9349" s="63" t="str">
        <f>HYPERLINK("https://www.sds-group.ru/product/fumigator-usb-s-30m-belyy-rexant-71-0034/", "Инфо")</f>
        <v>Инфо</v>
      </c>
      <c r="F9349" s="16" t="s">
        <v>39</v>
      </c>
      <c r="G9349" s="15"/>
      <c r="H9349" s="15"/>
      <c r="I9349" s="15"/>
      <c r="J9349" s="17">
        <v>451</v>
      </c>
      <c r="K9349" s="15"/>
      <c r="L9349" s="17">
        <v>5</v>
      </c>
      <c r="M9349" s="17">
        <v>200</v>
      </c>
      <c r="N9349" s="17">
        <v>5</v>
      </c>
      <c r="O9349" s="18">
        <v>402.8</v>
      </c>
      <c r="P9349" s="18">
        <v>330.16</v>
      </c>
      <c r="Q9349" s="18">
        <v>281.95999999999998</v>
      </c>
      <c r="R9349" s="18">
        <v>231.11</v>
      </c>
      <c r="S9349" s="18">
        <v>273.89999999999998</v>
      </c>
      <c r="T9349" s="18">
        <v>224.51</v>
      </c>
      <c r="U9349" s="16"/>
      <c r="V9349" s="16"/>
      <c r="W9349" s="16"/>
      <c r="X9349" s="19">
        <v>0.04</v>
      </c>
      <c r="Y9349" s="20">
        <v>1.4799999999999999E-4</v>
      </c>
      <c r="Z9349" s="21">
        <v>4601004164758</v>
      </c>
    </row>
    <row r="9350" spans="1:26" ht="12.95" customHeight="1" outlineLevel="3" x14ac:dyDescent="0.2">
      <c r="A9350" s="76" t="s">
        <v>17814</v>
      </c>
      <c r="B9350" s="76"/>
      <c r="C9350" s="77"/>
      <c r="D9350" s="58"/>
      <c r="E9350" s="68"/>
      <c r="F9350" s="13"/>
      <c r="G9350" s="13"/>
      <c r="H9350" s="13"/>
      <c r="I9350" s="13"/>
      <c r="J9350" s="13"/>
      <c r="K9350" s="13"/>
      <c r="L9350" s="13"/>
      <c r="M9350" s="13"/>
      <c r="N9350" s="13"/>
      <c r="O9350" s="13"/>
      <c r="P9350" s="13"/>
      <c r="Q9350" s="13"/>
      <c r="R9350" s="13"/>
      <c r="S9350" s="13"/>
      <c r="T9350" s="13"/>
      <c r="U9350" s="13"/>
      <c r="V9350" s="13"/>
      <c r="W9350" s="13"/>
      <c r="X9350" s="13"/>
      <c r="Y9350" s="13"/>
      <c r="Z9350" s="13"/>
    </row>
    <row r="9351" spans="1:26" ht="12" customHeight="1" outlineLevel="4" x14ac:dyDescent="0.2">
      <c r="A9351" s="14" t="s">
        <v>17815</v>
      </c>
      <c r="B9351" s="26" t="s">
        <v>17816</v>
      </c>
      <c r="C9351" s="52"/>
      <c r="D9351" s="55">
        <f t="shared" si="145"/>
        <v>0</v>
      </c>
      <c r="E9351" s="63" t="str">
        <f>HYPERLINK("https://www.sds-group.ru/product/nabor-otpugivateley-krotov-s-sadovym-fonarikom-r-20m-h2-kamen-rexant-71-0087/", "Инфо")</f>
        <v>Инфо</v>
      </c>
      <c r="F9351" s="16" t="s">
        <v>4698</v>
      </c>
      <c r="G9351" s="15"/>
      <c r="H9351" s="15"/>
      <c r="I9351" s="15"/>
      <c r="J9351" s="17">
        <v>52</v>
      </c>
      <c r="K9351" s="15"/>
      <c r="L9351" s="17">
        <v>1</v>
      </c>
      <c r="M9351" s="17">
        <v>30</v>
      </c>
      <c r="N9351" s="17">
        <v>1</v>
      </c>
      <c r="O9351" s="18">
        <v>1908</v>
      </c>
      <c r="P9351" s="18">
        <v>1563.93</v>
      </c>
      <c r="Q9351" s="18">
        <v>1335.6</v>
      </c>
      <c r="R9351" s="18">
        <v>1094.75</v>
      </c>
      <c r="S9351" s="18">
        <v>1297.44</v>
      </c>
      <c r="T9351" s="18">
        <v>1063.48</v>
      </c>
      <c r="U9351" s="16"/>
      <c r="V9351" s="16"/>
      <c r="W9351" s="16"/>
      <c r="X9351" s="19">
        <v>0.32300000000000001</v>
      </c>
      <c r="Y9351" s="20">
        <v>1.817E-3</v>
      </c>
      <c r="Z9351" s="21">
        <v>4601004196490</v>
      </c>
    </row>
    <row r="9352" spans="1:26" ht="12" customHeight="1" outlineLevel="4" x14ac:dyDescent="0.2">
      <c r="A9352" s="14" t="s">
        <v>17817</v>
      </c>
      <c r="B9352" s="26" t="s">
        <v>17818</v>
      </c>
      <c r="C9352" s="52"/>
      <c r="D9352" s="55">
        <f t="shared" si="145"/>
        <v>0</v>
      </c>
      <c r="E9352" s="63" t="str">
        <f>HYPERLINK("https://www.sds-group.ru/product/nabor-otpugivateley-krotov-s-sadovym-fonarikom-r-20m-h2-kristall-rexant-71-0077/", "Инфо")</f>
        <v>Инфо</v>
      </c>
      <c r="F9352" s="16" t="s">
        <v>4698</v>
      </c>
      <c r="G9352" s="15"/>
      <c r="H9352" s="15"/>
      <c r="I9352" s="15"/>
      <c r="J9352" s="17">
        <v>197</v>
      </c>
      <c r="K9352" s="15"/>
      <c r="L9352" s="17">
        <v>1</v>
      </c>
      <c r="M9352" s="17">
        <v>24</v>
      </c>
      <c r="N9352" s="17">
        <v>1</v>
      </c>
      <c r="O9352" s="18">
        <v>1696</v>
      </c>
      <c r="P9352" s="18">
        <v>1390.16</v>
      </c>
      <c r="Q9352" s="18">
        <v>1187.2</v>
      </c>
      <c r="R9352" s="18">
        <v>973.11</v>
      </c>
      <c r="S9352" s="18">
        <v>1153.28</v>
      </c>
      <c r="T9352" s="18">
        <v>945.31</v>
      </c>
      <c r="U9352" s="16"/>
      <c r="V9352" s="16"/>
      <c r="W9352" s="16"/>
      <c r="X9352" s="19">
        <v>0.25700000000000001</v>
      </c>
      <c r="Y9352" s="20">
        <v>2.5539999999999998E-3</v>
      </c>
      <c r="Z9352" s="21">
        <v>4601004196476</v>
      </c>
    </row>
    <row r="9353" spans="1:26" ht="12" customHeight="1" outlineLevel="4" x14ac:dyDescent="0.2">
      <c r="A9353" s="14" t="s">
        <v>17819</v>
      </c>
      <c r="B9353" s="26" t="s">
        <v>17820</v>
      </c>
      <c r="C9353" s="52"/>
      <c r="D9353" s="55">
        <f t="shared" ref="D9353:D9416" si="146">C9353*(O9353-O9353*$G$3)</f>
        <v>0</v>
      </c>
      <c r="E9353" s="63" t="str">
        <f>HYPERLINK("https://www.sds-group.ru/product/nabor-ultrazvukovyh-otpugivateley-krotov-r-20m-h2-na-solnechnoy-bataree-rexant-71-0037/", "Инфо")</f>
        <v>Инфо</v>
      </c>
      <c r="F9353" s="16" t="s">
        <v>4698</v>
      </c>
      <c r="G9353" s="15"/>
      <c r="H9353" s="15"/>
      <c r="I9353" s="15"/>
      <c r="J9353" s="17">
        <v>301</v>
      </c>
      <c r="K9353" s="15"/>
      <c r="L9353" s="17">
        <v>1</v>
      </c>
      <c r="M9353" s="17">
        <v>24</v>
      </c>
      <c r="N9353" s="17">
        <v>1</v>
      </c>
      <c r="O9353" s="18">
        <v>1272</v>
      </c>
      <c r="P9353" s="18">
        <v>1042.6199999999999</v>
      </c>
      <c r="Q9353" s="18">
        <v>890.4</v>
      </c>
      <c r="R9353" s="18">
        <v>729.84</v>
      </c>
      <c r="S9353" s="18">
        <v>864.96</v>
      </c>
      <c r="T9353" s="18">
        <v>708.98</v>
      </c>
      <c r="U9353" s="16"/>
      <c r="V9353" s="16"/>
      <c r="W9353" s="16"/>
      <c r="X9353" s="19">
        <v>0.21099999999999999</v>
      </c>
      <c r="Y9353" s="20">
        <v>1.6069999999999999E-3</v>
      </c>
      <c r="Z9353" s="21">
        <v>4601004133976</v>
      </c>
    </row>
    <row r="9354" spans="1:26" ht="12" customHeight="1" outlineLevel="4" x14ac:dyDescent="0.2">
      <c r="A9354" s="14" t="s">
        <v>17821</v>
      </c>
      <c r="B9354" s="26" t="s">
        <v>17822</v>
      </c>
      <c r="C9354" s="52"/>
      <c r="D9354" s="55">
        <f t="shared" si="146"/>
        <v>0</v>
      </c>
      <c r="E9354" s="63" t="str">
        <f>HYPERLINK("https://www.sds-group.ru/product/nabor-ultrazvukovyh-otpugivateley-krotov-r-20m-h4-na-solnechnoy-bataree-rexant-71-0117/", "Инфо")</f>
        <v>Инфо</v>
      </c>
      <c r="F9354" s="16" t="s">
        <v>4698</v>
      </c>
      <c r="G9354" s="15"/>
      <c r="H9354" s="15"/>
      <c r="I9354" s="15"/>
      <c r="J9354" s="17">
        <v>495</v>
      </c>
      <c r="K9354" s="15"/>
      <c r="L9354" s="17">
        <v>1</v>
      </c>
      <c r="M9354" s="17">
        <v>40</v>
      </c>
      <c r="N9354" s="17">
        <v>1</v>
      </c>
      <c r="O9354" s="18">
        <v>2067</v>
      </c>
      <c r="P9354" s="18">
        <v>1694.26</v>
      </c>
      <c r="Q9354" s="18">
        <v>1446.9</v>
      </c>
      <c r="R9354" s="18">
        <v>1185.98</v>
      </c>
      <c r="S9354" s="18">
        <v>1405.56</v>
      </c>
      <c r="T9354" s="18">
        <v>1152.0999999999999</v>
      </c>
      <c r="U9354" s="16"/>
      <c r="V9354" s="16"/>
      <c r="W9354" s="16"/>
      <c r="X9354" s="19">
        <v>0.38300000000000001</v>
      </c>
      <c r="Y9354" s="20">
        <v>2.8379999999999998E-3</v>
      </c>
      <c r="Z9354" s="21">
        <v>4601004247277</v>
      </c>
    </row>
    <row r="9355" spans="1:26" ht="12" customHeight="1" outlineLevel="4" x14ac:dyDescent="0.2">
      <c r="A9355" s="14" t="s">
        <v>17823</v>
      </c>
      <c r="B9355" s="26" t="s">
        <v>17824</v>
      </c>
      <c r="C9355" s="52"/>
      <c r="D9355" s="55">
        <f t="shared" si="146"/>
        <v>0</v>
      </c>
      <c r="E9355" s="63" t="str">
        <f>HYPERLINK("https://www.sds-group.ru/product/nabor-ultrazvukovyh-otpugivateley-krotov-r-30m-h2-chernyy-na-solnechnoy-bataree-rexant-71-0067/", "Инфо")</f>
        <v>Инфо</v>
      </c>
      <c r="F9355" s="16" t="s">
        <v>4698</v>
      </c>
      <c r="G9355" s="15"/>
      <c r="H9355" s="15"/>
      <c r="I9355" s="15"/>
      <c r="J9355" s="17">
        <v>587</v>
      </c>
      <c r="K9355" s="15"/>
      <c r="L9355" s="17">
        <v>1</v>
      </c>
      <c r="M9355" s="17">
        <v>20</v>
      </c>
      <c r="N9355" s="17">
        <v>1</v>
      </c>
      <c r="O9355" s="18">
        <v>1696</v>
      </c>
      <c r="P9355" s="18">
        <v>1390.16</v>
      </c>
      <c r="Q9355" s="18">
        <v>1187.2</v>
      </c>
      <c r="R9355" s="18">
        <v>973.11</v>
      </c>
      <c r="S9355" s="18">
        <v>1153.28</v>
      </c>
      <c r="T9355" s="18">
        <v>945.31</v>
      </c>
      <c r="U9355" s="16"/>
      <c r="V9355" s="16"/>
      <c r="W9355" s="16"/>
      <c r="X9355" s="19">
        <v>0.38300000000000001</v>
      </c>
      <c r="Y9355" s="20">
        <v>5.3299999999999997E-3</v>
      </c>
      <c r="Z9355" s="21">
        <v>4601004196520</v>
      </c>
    </row>
    <row r="9356" spans="1:26" ht="12" customHeight="1" outlineLevel="4" x14ac:dyDescent="0.2">
      <c r="A9356" s="14" t="s">
        <v>17825</v>
      </c>
      <c r="B9356" s="26" t="s">
        <v>17826</v>
      </c>
      <c r="C9356" s="52"/>
      <c r="D9356" s="55">
        <f t="shared" si="146"/>
        <v>0</v>
      </c>
      <c r="E9356" s="63" t="str">
        <f>HYPERLINK("https://www.sds-group.ru/product/nabor-ultrazvukovyh-otpugivateley-krotov-r-20m-x8-na-solnechnoy-bataree-rexant-71-0107/", "Инфо")</f>
        <v>Инфо</v>
      </c>
      <c r="F9356" s="16" t="s">
        <v>4698</v>
      </c>
      <c r="G9356" s="15"/>
      <c r="H9356" s="15"/>
      <c r="I9356" s="15"/>
      <c r="J9356" s="17">
        <v>149</v>
      </c>
      <c r="K9356" s="15"/>
      <c r="L9356" s="17">
        <v>1</v>
      </c>
      <c r="M9356" s="17">
        <v>12</v>
      </c>
      <c r="N9356" s="17">
        <v>1</v>
      </c>
      <c r="O9356" s="18">
        <v>4028</v>
      </c>
      <c r="P9356" s="18">
        <v>3301.64</v>
      </c>
      <c r="Q9356" s="18">
        <v>2819.6</v>
      </c>
      <c r="R9356" s="18">
        <v>2311.15</v>
      </c>
      <c r="S9356" s="18">
        <v>2739.04</v>
      </c>
      <c r="T9356" s="18">
        <v>2245.11</v>
      </c>
      <c r="U9356" s="16"/>
      <c r="V9356" s="16"/>
      <c r="W9356" s="16"/>
      <c r="X9356" s="19">
        <v>0.753</v>
      </c>
      <c r="Y9356" s="20">
        <v>5.7920000000000003E-3</v>
      </c>
      <c r="Z9356" s="21">
        <v>4601004292536</v>
      </c>
    </row>
    <row r="9357" spans="1:26" ht="12" customHeight="1" outlineLevel="4" x14ac:dyDescent="0.2">
      <c r="A9357" s="40" t="s">
        <v>17827</v>
      </c>
      <c r="B9357" s="75" t="s">
        <v>17828</v>
      </c>
      <c r="C9357" s="51"/>
      <c r="D9357" s="54">
        <f t="shared" si="146"/>
        <v>0</v>
      </c>
      <c r="E9357" s="61" t="str">
        <f>HYPERLINK("https://www.sds-group.ru/product/nabor-ultrazvukovyh-otpugivateley-krotov-na-solnechnoy-bataree-r-20m-2-sht-chetyre-sezona-71-0037-F/", "Инфо")</f>
        <v>Инфо</v>
      </c>
      <c r="F9357" s="42" t="s">
        <v>4698</v>
      </c>
      <c r="G9357" s="41" t="s">
        <v>40</v>
      </c>
      <c r="H9357" s="41"/>
      <c r="I9357" s="41"/>
      <c r="J9357" s="42" t="s">
        <v>100</v>
      </c>
      <c r="K9357" s="41"/>
      <c r="L9357" s="43">
        <v>1</v>
      </c>
      <c r="M9357" s="43">
        <v>24</v>
      </c>
      <c r="N9357" s="43">
        <v>1</v>
      </c>
      <c r="O9357" s="44">
        <v>1058.94</v>
      </c>
      <c r="P9357" s="44">
        <v>867.98</v>
      </c>
      <c r="Q9357" s="44">
        <v>847.15</v>
      </c>
      <c r="R9357" s="44">
        <v>694.39</v>
      </c>
      <c r="S9357" s="44">
        <v>720.08</v>
      </c>
      <c r="T9357" s="44">
        <v>590.23</v>
      </c>
      <c r="U9357" s="42"/>
      <c r="V9357" s="42"/>
      <c r="W9357" s="42" t="s">
        <v>40</v>
      </c>
      <c r="X9357" s="45">
        <v>0.224</v>
      </c>
      <c r="Y9357" s="46">
        <v>1.549E-3</v>
      </c>
      <c r="Z9357" s="21">
        <v>4601004338401</v>
      </c>
    </row>
    <row r="9358" spans="1:26" ht="12" customHeight="1" outlineLevel="4" x14ac:dyDescent="0.2">
      <c r="A9358" s="14" t="s">
        <v>17829</v>
      </c>
      <c r="B9358" s="26" t="s">
        <v>17830</v>
      </c>
      <c r="C9358" s="52"/>
      <c r="D9358" s="55">
        <f t="shared" si="146"/>
        <v>0</v>
      </c>
      <c r="E9358" s="63" t="str">
        <f>HYPERLINK("https://www.sds-group.ru/product/otpugivatel-krotov-ultrazvukovoy-r25-power-na-solnechnoy-bataree-rexant-71-0052/", "Инфо")</f>
        <v>Инфо</v>
      </c>
      <c r="F9358" s="16" t="s">
        <v>39</v>
      </c>
      <c r="G9358" s="15"/>
      <c r="H9358" s="15"/>
      <c r="I9358" s="15"/>
      <c r="J9358" s="17">
        <v>52</v>
      </c>
      <c r="K9358" s="15"/>
      <c r="L9358" s="17">
        <v>1</v>
      </c>
      <c r="M9358" s="17">
        <v>10</v>
      </c>
      <c r="N9358" s="17">
        <v>1</v>
      </c>
      <c r="O9358" s="18">
        <v>1049.4000000000001</v>
      </c>
      <c r="P9358" s="18">
        <v>860.16</v>
      </c>
      <c r="Q9358" s="18">
        <v>734.58</v>
      </c>
      <c r="R9358" s="18">
        <v>602.11</v>
      </c>
      <c r="S9358" s="18">
        <v>713.59</v>
      </c>
      <c r="T9358" s="18">
        <v>584.91</v>
      </c>
      <c r="U9358" s="16"/>
      <c r="V9358" s="16"/>
      <c r="W9358" s="16"/>
      <c r="X9358" s="19">
        <v>0.20699999999999999</v>
      </c>
      <c r="Y9358" s="20">
        <v>1.897E-3</v>
      </c>
      <c r="Z9358" s="21">
        <v>4601004292550</v>
      </c>
    </row>
    <row r="9359" spans="1:26" ht="12" customHeight="1" outlineLevel="4" x14ac:dyDescent="0.2">
      <c r="A9359" s="40" t="s">
        <v>17831</v>
      </c>
      <c r="B9359" s="75" t="s">
        <v>17832</v>
      </c>
      <c r="C9359" s="51"/>
      <c r="D9359" s="54">
        <f t="shared" si="146"/>
        <v>0</v>
      </c>
      <c r="E9359" s="61" t="str">
        <f>HYPERLINK("https://www.sds-group.ru/product/ultrazvukovoy-otpugivatel-zmey-r-30m-na-solnechnoy-bataree-s-podsvetkoy-chetyre-sezona-71-0027-F/", "Инфо")</f>
        <v>Инфо</v>
      </c>
      <c r="F9359" s="42" t="s">
        <v>39</v>
      </c>
      <c r="G9359" s="41" t="s">
        <v>40</v>
      </c>
      <c r="H9359" s="41"/>
      <c r="I9359" s="41"/>
      <c r="J9359" s="43">
        <v>357</v>
      </c>
      <c r="K9359" s="41"/>
      <c r="L9359" s="43">
        <v>1</v>
      </c>
      <c r="M9359" s="43">
        <v>10</v>
      </c>
      <c r="N9359" s="43">
        <v>1</v>
      </c>
      <c r="O9359" s="44">
        <v>1409.8</v>
      </c>
      <c r="P9359" s="44">
        <v>1155.57</v>
      </c>
      <c r="Q9359" s="44">
        <v>1127.8399999999999</v>
      </c>
      <c r="R9359" s="44">
        <v>924.46</v>
      </c>
      <c r="S9359" s="44">
        <v>958.66</v>
      </c>
      <c r="T9359" s="44">
        <v>785.79</v>
      </c>
      <c r="U9359" s="42"/>
      <c r="V9359" s="42"/>
      <c r="W9359" s="42" t="s">
        <v>40</v>
      </c>
      <c r="X9359" s="45">
        <v>0.39600000000000002</v>
      </c>
      <c r="Y9359" s="46">
        <v>4.0090000000000004E-3</v>
      </c>
      <c r="Z9359" s="21">
        <v>4601004328761</v>
      </c>
    </row>
    <row r="9360" spans="1:26" ht="12" customHeight="1" outlineLevel="4" x14ac:dyDescent="0.2">
      <c r="A9360" s="14" t="s">
        <v>17833</v>
      </c>
      <c r="B9360" s="26" t="s">
        <v>17834</v>
      </c>
      <c r="C9360" s="52"/>
      <c r="D9360" s="55">
        <f t="shared" si="146"/>
        <v>0</v>
      </c>
      <c r="E9360" s="63" t="str">
        <f>HYPERLINK("https://www.sds-group.ru/product/ultrazvukovoy-otpugivatel-zmey-r-30m-na-solnechnoy-bataree-s-podsvetkoy-rexant-71-0027/", "Инфо")</f>
        <v>Инфо</v>
      </c>
      <c r="F9360" s="16" t="s">
        <v>39</v>
      </c>
      <c r="G9360" s="15"/>
      <c r="H9360" s="15"/>
      <c r="I9360" s="15"/>
      <c r="J9360" s="17">
        <v>18</v>
      </c>
      <c r="K9360" s="15"/>
      <c r="L9360" s="17">
        <v>1</v>
      </c>
      <c r="M9360" s="17">
        <v>10</v>
      </c>
      <c r="N9360" s="17">
        <v>1</v>
      </c>
      <c r="O9360" s="18">
        <v>1505.2</v>
      </c>
      <c r="P9360" s="18">
        <v>1233.77</v>
      </c>
      <c r="Q9360" s="18">
        <v>1053.6400000000001</v>
      </c>
      <c r="R9360" s="18">
        <v>863.64</v>
      </c>
      <c r="S9360" s="18">
        <v>1023.54</v>
      </c>
      <c r="T9360" s="18">
        <v>838.97</v>
      </c>
      <c r="U9360" s="16"/>
      <c r="V9360" s="16"/>
      <c r="W9360" s="16"/>
      <c r="X9360" s="19">
        <v>0.40300000000000002</v>
      </c>
      <c r="Y9360" s="20">
        <v>4.0730000000000002E-3</v>
      </c>
      <c r="Z9360" s="21">
        <v>4601004098701</v>
      </c>
    </row>
    <row r="9361" spans="1:26" ht="12" customHeight="1" outlineLevel="4" x14ac:dyDescent="0.2">
      <c r="A9361" s="14" t="s">
        <v>17835</v>
      </c>
      <c r="B9361" s="26" t="s">
        <v>17836</v>
      </c>
      <c r="C9361" s="52"/>
      <c r="D9361" s="55">
        <f t="shared" si="146"/>
        <v>0</v>
      </c>
      <c r="E9361" s="63" t="str">
        <f>HYPERLINK("https://www.sds-group.ru/product/ultrazvukovoy-otpugivatel-krotov-r-20m-na-solnechnoy-bataree-rexant-71-0017/", "Инфо")</f>
        <v>Инфо</v>
      </c>
      <c r="F9361" s="16" t="s">
        <v>39</v>
      </c>
      <c r="G9361" s="15"/>
      <c r="H9361" s="15"/>
      <c r="I9361" s="15"/>
      <c r="J9361" s="17">
        <v>1</v>
      </c>
      <c r="K9361" s="15"/>
      <c r="L9361" s="17">
        <v>1</v>
      </c>
      <c r="M9361" s="17">
        <v>48</v>
      </c>
      <c r="N9361" s="17">
        <v>1</v>
      </c>
      <c r="O9361" s="18">
        <v>593.6</v>
      </c>
      <c r="P9361" s="18">
        <v>486.56</v>
      </c>
      <c r="Q9361" s="18">
        <v>415.52</v>
      </c>
      <c r="R9361" s="18">
        <v>340.59</v>
      </c>
      <c r="S9361" s="18">
        <v>403.65</v>
      </c>
      <c r="T9361" s="18">
        <v>330.86</v>
      </c>
      <c r="U9361" s="16"/>
      <c r="V9361" s="16"/>
      <c r="W9361" s="16"/>
      <c r="X9361" s="19">
        <v>0.128</v>
      </c>
      <c r="Y9361" s="20">
        <v>1.0549999999999999E-3</v>
      </c>
      <c r="Z9361" s="21">
        <v>4601004045712</v>
      </c>
    </row>
    <row r="9362" spans="1:26" ht="12" customHeight="1" outlineLevel="4" x14ac:dyDescent="0.2">
      <c r="A9362" s="14" t="s">
        <v>17837</v>
      </c>
      <c r="B9362" s="26" t="s">
        <v>17838</v>
      </c>
      <c r="C9362" s="52"/>
      <c r="D9362" s="55">
        <f t="shared" si="146"/>
        <v>0</v>
      </c>
      <c r="E9362" s="63" t="str">
        <f>HYPERLINK("https://www.sds-group.ru/product/ultrazvukovoy-otpugivatel-krotov-r-20m-plastik-rexant-71-0012/", "Инфо")</f>
        <v>Инфо</v>
      </c>
      <c r="F9362" s="16" t="s">
        <v>39</v>
      </c>
      <c r="G9362" s="15"/>
      <c r="H9362" s="15"/>
      <c r="I9362" s="15"/>
      <c r="J9362" s="17">
        <v>1</v>
      </c>
      <c r="K9362" s="15"/>
      <c r="L9362" s="17">
        <v>1</v>
      </c>
      <c r="M9362" s="17">
        <v>36</v>
      </c>
      <c r="N9362" s="17">
        <v>1</v>
      </c>
      <c r="O9362" s="18">
        <v>837.4</v>
      </c>
      <c r="P9362" s="18">
        <v>686.39</v>
      </c>
      <c r="Q9362" s="18">
        <v>586.17999999999995</v>
      </c>
      <c r="R9362" s="18">
        <v>480.48</v>
      </c>
      <c r="S9362" s="18">
        <v>569.42999999999995</v>
      </c>
      <c r="T9362" s="18">
        <v>466.75</v>
      </c>
      <c r="U9362" s="16"/>
      <c r="V9362" s="16"/>
      <c r="W9362" s="16"/>
      <c r="X9362" s="19">
        <v>0.128</v>
      </c>
      <c r="Y9362" s="20">
        <v>1.1620000000000001E-3</v>
      </c>
      <c r="Z9362" s="21">
        <v>4601004045811</v>
      </c>
    </row>
    <row r="9363" spans="1:26" ht="12" customHeight="1" outlineLevel="4" x14ac:dyDescent="0.2">
      <c r="A9363" s="14" t="s">
        <v>17839</v>
      </c>
      <c r="B9363" s="26" t="s">
        <v>17840</v>
      </c>
      <c r="C9363" s="52"/>
      <c r="D9363" s="55">
        <f t="shared" si="146"/>
        <v>0</v>
      </c>
      <c r="E9363" s="63" t="str">
        <f>HYPERLINK("https://www.sds-group.ru/product/ultrazvukovoy-otpugivatel-krotov-r-25m-na-2-solnechnyh-panelyah-s-sadovym-fonarikom-chetyr-71-0097-F/", "Инфо")</f>
        <v>Инфо</v>
      </c>
      <c r="F9363" s="16" t="s">
        <v>39</v>
      </c>
      <c r="G9363" s="15"/>
      <c r="H9363" s="15"/>
      <c r="I9363" s="15"/>
      <c r="J9363" s="17">
        <v>224</v>
      </c>
      <c r="K9363" s="15"/>
      <c r="L9363" s="17">
        <v>1</v>
      </c>
      <c r="M9363" s="17">
        <v>100</v>
      </c>
      <c r="N9363" s="17">
        <v>1</v>
      </c>
      <c r="O9363" s="18">
        <v>1208.4000000000001</v>
      </c>
      <c r="P9363" s="18">
        <v>990.49</v>
      </c>
      <c r="Q9363" s="18">
        <v>845.88</v>
      </c>
      <c r="R9363" s="18">
        <v>693.34</v>
      </c>
      <c r="S9363" s="18">
        <v>821.71</v>
      </c>
      <c r="T9363" s="18">
        <v>673.53</v>
      </c>
      <c r="U9363" s="16"/>
      <c r="V9363" s="16"/>
      <c r="W9363" s="16"/>
      <c r="X9363" s="19">
        <v>0.108</v>
      </c>
      <c r="Y9363" s="20">
        <v>9.2000000000000003E-4</v>
      </c>
      <c r="Z9363" s="21">
        <v>4601004328648</v>
      </c>
    </row>
    <row r="9364" spans="1:26" ht="12" customHeight="1" outlineLevel="4" x14ac:dyDescent="0.2">
      <c r="A9364" s="14" t="s">
        <v>17841</v>
      </c>
      <c r="B9364" s="26" t="s">
        <v>17842</v>
      </c>
      <c r="C9364" s="52"/>
      <c r="D9364" s="55">
        <f t="shared" si="146"/>
        <v>0</v>
      </c>
      <c r="E9364" s="63" t="str">
        <f>HYPERLINK("https://www.sds-group.ru/product/ultrazvukovoy-otpugivatel-krotov-r-30m-na-solnechnoy-bataree-rexant-71-0007/", "Инфо")</f>
        <v>Инфо</v>
      </c>
      <c r="F9364" s="16" t="s">
        <v>39</v>
      </c>
      <c r="G9364" s="15"/>
      <c r="H9364" s="15"/>
      <c r="I9364" s="15"/>
      <c r="J9364" s="17">
        <v>237</v>
      </c>
      <c r="K9364" s="15"/>
      <c r="L9364" s="17">
        <v>1</v>
      </c>
      <c r="M9364" s="17">
        <v>10</v>
      </c>
      <c r="N9364" s="17">
        <v>1</v>
      </c>
      <c r="O9364" s="18">
        <v>1356.8</v>
      </c>
      <c r="P9364" s="18">
        <v>1112.1300000000001</v>
      </c>
      <c r="Q9364" s="18">
        <v>949.76</v>
      </c>
      <c r="R9364" s="18">
        <v>778.49</v>
      </c>
      <c r="S9364" s="18">
        <v>922.62</v>
      </c>
      <c r="T9364" s="18">
        <v>756.25</v>
      </c>
      <c r="U9364" s="16"/>
      <c r="V9364" s="16"/>
      <c r="W9364" s="16"/>
      <c r="X9364" s="19">
        <v>0.36299999999999999</v>
      </c>
      <c r="Y9364" s="20">
        <v>4.0600000000000002E-3</v>
      </c>
      <c r="Z9364" s="21">
        <v>4601004026056</v>
      </c>
    </row>
    <row r="9365" spans="1:26" ht="12" customHeight="1" outlineLevel="4" x14ac:dyDescent="0.2">
      <c r="A9365" s="40" t="s">
        <v>17843</v>
      </c>
      <c r="B9365" s="75" t="s">
        <v>17844</v>
      </c>
      <c r="C9365" s="51"/>
      <c r="D9365" s="54">
        <f t="shared" si="146"/>
        <v>0</v>
      </c>
      <c r="E9365" s="61" t="str">
        <f>HYPERLINK("https://www.sds-group.ru/product/ultrazvukovoy-otpugivatel-krotov-r-30m-na-solnechnoy-bataree-chetyre-sezona-71-0007-F/", "Инфо")</f>
        <v>Инфо</v>
      </c>
      <c r="F9365" s="42" t="s">
        <v>39</v>
      </c>
      <c r="G9365" s="41" t="s">
        <v>40</v>
      </c>
      <c r="H9365" s="41"/>
      <c r="I9365" s="41"/>
      <c r="J9365" s="43">
        <v>113</v>
      </c>
      <c r="K9365" s="41"/>
      <c r="L9365" s="43">
        <v>1</v>
      </c>
      <c r="M9365" s="43">
        <v>10</v>
      </c>
      <c r="N9365" s="43">
        <v>1</v>
      </c>
      <c r="O9365" s="44">
        <v>1272</v>
      </c>
      <c r="P9365" s="44">
        <v>1042.6199999999999</v>
      </c>
      <c r="Q9365" s="44">
        <v>1017.6</v>
      </c>
      <c r="R9365" s="44">
        <v>834.1</v>
      </c>
      <c r="S9365" s="44">
        <v>864.96</v>
      </c>
      <c r="T9365" s="44">
        <v>708.98</v>
      </c>
      <c r="U9365" s="42"/>
      <c r="V9365" s="42"/>
      <c r="W9365" s="42" t="s">
        <v>40</v>
      </c>
      <c r="X9365" s="45">
        <v>0.39400000000000002</v>
      </c>
      <c r="Y9365" s="46">
        <v>4.0639999999999999E-3</v>
      </c>
      <c r="Z9365" s="21">
        <v>4601004328754</v>
      </c>
    </row>
    <row r="9366" spans="1:26" ht="12" customHeight="1" outlineLevel="4" x14ac:dyDescent="0.2">
      <c r="A9366" s="14" t="s">
        <v>17845</v>
      </c>
      <c r="B9366" s="26" t="s">
        <v>17846</v>
      </c>
      <c r="C9366" s="52"/>
      <c r="D9366" s="55">
        <f t="shared" si="146"/>
        <v>0</v>
      </c>
      <c r="E9366" s="63" t="str">
        <f>HYPERLINK("https://www.sds-group.ru/product/ultrazvukovoy-otpugivatel-krotov-r-30m-na-solnechnoy-bataree-s-podsvetkoy-rexant-71-0047/", "Инфо")</f>
        <v>Инфо</v>
      </c>
      <c r="F9366" s="16" t="s">
        <v>39</v>
      </c>
      <c r="G9366" s="15"/>
      <c r="H9366" s="15"/>
      <c r="I9366" s="15"/>
      <c r="J9366" s="17">
        <v>1</v>
      </c>
      <c r="K9366" s="15"/>
      <c r="L9366" s="17">
        <v>1</v>
      </c>
      <c r="M9366" s="17">
        <v>12</v>
      </c>
      <c r="N9366" s="17">
        <v>1</v>
      </c>
      <c r="O9366" s="18">
        <v>1378</v>
      </c>
      <c r="P9366" s="18">
        <v>1129.51</v>
      </c>
      <c r="Q9366" s="18">
        <v>964.6</v>
      </c>
      <c r="R9366" s="18">
        <v>790.66</v>
      </c>
      <c r="S9366" s="18">
        <v>937.04</v>
      </c>
      <c r="T9366" s="18">
        <v>768.07</v>
      </c>
      <c r="U9366" s="16"/>
      <c r="V9366" s="16"/>
      <c r="W9366" s="16"/>
      <c r="X9366" s="19">
        <v>0.377</v>
      </c>
      <c r="Y9366" s="20">
        <v>2.7049999999999999E-3</v>
      </c>
      <c r="Z9366" s="21">
        <v>4601004164789</v>
      </c>
    </row>
    <row r="9367" spans="1:26" ht="12" customHeight="1" outlineLevel="4" x14ac:dyDescent="0.2">
      <c r="A9367" s="14" t="s">
        <v>17847</v>
      </c>
      <c r="B9367" s="26" t="s">
        <v>17848</v>
      </c>
      <c r="C9367" s="52"/>
      <c r="D9367" s="55">
        <f t="shared" si="146"/>
        <v>0</v>
      </c>
      <c r="E9367" s="63" t="str">
        <f>HYPERLINK("https://www.sds-group.ru/product/ultrazvukovoy-otpugivatel-krotov-r-35m-metall-rexant-71-0022/", "Инфо")</f>
        <v>Инфо</v>
      </c>
      <c r="F9367" s="16" t="s">
        <v>39</v>
      </c>
      <c r="G9367" s="15"/>
      <c r="H9367" s="15"/>
      <c r="I9367" s="15"/>
      <c r="J9367" s="17">
        <v>1</v>
      </c>
      <c r="K9367" s="15"/>
      <c r="L9367" s="17">
        <v>1</v>
      </c>
      <c r="M9367" s="17">
        <v>36</v>
      </c>
      <c r="N9367" s="17">
        <v>1</v>
      </c>
      <c r="O9367" s="18">
        <v>1590</v>
      </c>
      <c r="P9367" s="18">
        <v>1303.28</v>
      </c>
      <c r="Q9367" s="18">
        <v>1113</v>
      </c>
      <c r="R9367" s="18">
        <v>912.3</v>
      </c>
      <c r="S9367" s="18">
        <v>1081.2</v>
      </c>
      <c r="T9367" s="18">
        <v>886.23</v>
      </c>
      <c r="U9367" s="16"/>
      <c r="V9367" s="16"/>
      <c r="W9367" s="16"/>
      <c r="X9367" s="19">
        <v>0.29599999999999999</v>
      </c>
      <c r="Y9367" s="20">
        <v>1.903E-3</v>
      </c>
      <c r="Z9367" s="21">
        <v>4601004062191</v>
      </c>
    </row>
    <row r="9368" spans="1:26" ht="12" customHeight="1" outlineLevel="4" x14ac:dyDescent="0.2">
      <c r="A9368" s="40" t="s">
        <v>17849</v>
      </c>
      <c r="B9368" s="75" t="s">
        <v>17850</v>
      </c>
      <c r="C9368" s="51"/>
      <c r="D9368" s="54">
        <f t="shared" si="146"/>
        <v>0</v>
      </c>
      <c r="E9368" s="61" t="str">
        <f>HYPERLINK("https://www.sds-group.ru/product/ultrazvukovoy-otpugivatel-krotov-r-35m-metall-chetyre-sezona-71-0022-F/", "Инфо")</f>
        <v>Инфо</v>
      </c>
      <c r="F9368" s="42" t="s">
        <v>39</v>
      </c>
      <c r="G9368" s="41" t="s">
        <v>40</v>
      </c>
      <c r="H9368" s="41"/>
      <c r="I9368" s="41"/>
      <c r="J9368" s="43">
        <v>33</v>
      </c>
      <c r="K9368" s="41"/>
      <c r="L9368" s="43">
        <v>1</v>
      </c>
      <c r="M9368" s="43">
        <v>36</v>
      </c>
      <c r="N9368" s="43">
        <v>1</v>
      </c>
      <c r="O9368" s="44">
        <v>1484</v>
      </c>
      <c r="P9368" s="44">
        <v>1216.3900000000001</v>
      </c>
      <c r="Q9368" s="44">
        <v>1187.2</v>
      </c>
      <c r="R9368" s="44">
        <v>973.11</v>
      </c>
      <c r="S9368" s="44">
        <v>1009.12</v>
      </c>
      <c r="T9368" s="44">
        <v>827.15</v>
      </c>
      <c r="U9368" s="42"/>
      <c r="V9368" s="42"/>
      <c r="W9368" s="42" t="s">
        <v>40</v>
      </c>
      <c r="X9368" s="45">
        <v>0.29899999999999999</v>
      </c>
      <c r="Y9368" s="46">
        <v>1.8979999999999999E-3</v>
      </c>
      <c r="Z9368" s="21">
        <v>4601004328730</v>
      </c>
    </row>
    <row r="9369" spans="1:26" ht="12.95" customHeight="1" outlineLevel="3" x14ac:dyDescent="0.2">
      <c r="A9369" s="76" t="s">
        <v>17851</v>
      </c>
      <c r="B9369" s="76"/>
      <c r="C9369" s="77"/>
      <c r="D9369" s="58"/>
      <c r="E9369" s="68"/>
      <c r="F9369" s="13"/>
      <c r="G9369" s="13"/>
      <c r="H9369" s="13"/>
      <c r="I9369" s="13"/>
      <c r="J9369" s="13"/>
      <c r="K9369" s="13"/>
      <c r="L9369" s="13"/>
      <c r="M9369" s="13"/>
      <c r="N9369" s="13"/>
      <c r="O9369" s="13"/>
      <c r="P9369" s="13"/>
      <c r="Q9369" s="13"/>
      <c r="R9369" s="13"/>
      <c r="S9369" s="13"/>
      <c r="T9369" s="13"/>
      <c r="U9369" s="13"/>
      <c r="V9369" s="13"/>
      <c r="W9369" s="13"/>
      <c r="X9369" s="13"/>
      <c r="Y9369" s="13"/>
      <c r="Z9369" s="13"/>
    </row>
    <row r="9370" spans="1:26" ht="12" customHeight="1" outlineLevel="4" x14ac:dyDescent="0.2">
      <c r="A9370" s="40" t="s">
        <v>17852</v>
      </c>
      <c r="B9370" s="75" t="s">
        <v>17853</v>
      </c>
      <c r="C9370" s="51"/>
      <c r="D9370" s="54">
        <f t="shared" si="146"/>
        <v>0</v>
      </c>
      <c r="E9370" s="61" t="str">
        <f>HYPERLINK("https://www.sds-group.ru/product/lovushka-unichtozhitel-krys-i-myshey-6vt-23-5h10-2h11-3sm-chetyre-sezona-71-0666-F/", "Инфо")</f>
        <v>Инфо</v>
      </c>
      <c r="F9370" s="42" t="s">
        <v>39</v>
      </c>
      <c r="G9370" s="41" t="s">
        <v>40</v>
      </c>
      <c r="H9370" s="41"/>
      <c r="I9370" s="41"/>
      <c r="J9370" s="43">
        <v>524</v>
      </c>
      <c r="K9370" s="41"/>
      <c r="L9370" s="43">
        <v>1</v>
      </c>
      <c r="M9370" s="43">
        <v>20</v>
      </c>
      <c r="N9370" s="43">
        <v>1</v>
      </c>
      <c r="O9370" s="44">
        <v>3498</v>
      </c>
      <c r="P9370" s="44">
        <v>2867.21</v>
      </c>
      <c r="Q9370" s="44">
        <v>2798.4</v>
      </c>
      <c r="R9370" s="44">
        <v>2293.77</v>
      </c>
      <c r="S9370" s="44">
        <v>2378.64</v>
      </c>
      <c r="T9370" s="44">
        <v>1949.7</v>
      </c>
      <c r="U9370" s="42"/>
      <c r="V9370" s="42"/>
      <c r="W9370" s="42" t="s">
        <v>40</v>
      </c>
      <c r="X9370" s="45">
        <v>0.61799999999999999</v>
      </c>
      <c r="Y9370" s="46">
        <v>3.699E-3</v>
      </c>
      <c r="Z9370" s="21">
        <v>4601004338500</v>
      </c>
    </row>
    <row r="9371" spans="1:26" ht="12" customHeight="1" outlineLevel="4" x14ac:dyDescent="0.2">
      <c r="A9371" s="14" t="s">
        <v>17854</v>
      </c>
      <c r="B9371" s="26" t="s">
        <v>17855</v>
      </c>
      <c r="C9371" s="52"/>
      <c r="D9371" s="55">
        <f t="shared" si="146"/>
        <v>0</v>
      </c>
      <c r="E9371" s="63" t="str">
        <f>HYPERLINK("https://www.sds-group.ru/product/nabor-zhivolovok-myshelovok-zelenyy-abs-plastik-rexant-71-0101/", "Инфо")</f>
        <v>Инфо</v>
      </c>
      <c r="F9371" s="16" t="s">
        <v>39</v>
      </c>
      <c r="G9371" s="15"/>
      <c r="H9371" s="15"/>
      <c r="I9371" s="15"/>
      <c r="J9371" s="17">
        <v>1</v>
      </c>
      <c r="K9371" s="15"/>
      <c r="L9371" s="17">
        <v>1</v>
      </c>
      <c r="M9371" s="17">
        <v>48</v>
      </c>
      <c r="N9371" s="17">
        <v>1</v>
      </c>
      <c r="O9371" s="18">
        <v>932.8</v>
      </c>
      <c r="P9371" s="18">
        <v>764.59</v>
      </c>
      <c r="Q9371" s="18">
        <v>652.96</v>
      </c>
      <c r="R9371" s="18">
        <v>535.21</v>
      </c>
      <c r="S9371" s="18">
        <v>634.29999999999995</v>
      </c>
      <c r="T9371" s="18">
        <v>519.91999999999996</v>
      </c>
      <c r="U9371" s="16"/>
      <c r="V9371" s="16"/>
      <c r="W9371" s="16"/>
      <c r="X9371" s="19">
        <v>0.34100000000000003</v>
      </c>
      <c r="Y9371" s="20">
        <v>2.1849999999999999E-3</v>
      </c>
      <c r="Z9371" s="21">
        <v>4601004196513</v>
      </c>
    </row>
    <row r="9372" spans="1:26" ht="12" customHeight="1" outlineLevel="4" x14ac:dyDescent="0.2">
      <c r="A9372" s="14" t="s">
        <v>17856</v>
      </c>
      <c r="B9372" s="26" t="s">
        <v>17857</v>
      </c>
      <c r="C9372" s="52"/>
      <c r="D9372" s="55">
        <f t="shared" si="146"/>
        <v>0</v>
      </c>
      <c r="E9372" s="63" t="str">
        <f>HYPERLINK("https://www.sds-group.ru/product/nabor-ultrazvukovyh-otpugivateley-gryzunov-s-90m-220v-3-sht-rexant-71-0068/", "Инфо")</f>
        <v>Инфо</v>
      </c>
      <c r="F9372" s="16" t="s">
        <v>4698</v>
      </c>
      <c r="G9372" s="15"/>
      <c r="H9372" s="15"/>
      <c r="I9372" s="15"/>
      <c r="J9372" s="22">
        <v>1468</v>
      </c>
      <c r="K9372" s="15"/>
      <c r="L9372" s="17">
        <v>1</v>
      </c>
      <c r="M9372" s="17">
        <v>60</v>
      </c>
      <c r="N9372" s="17">
        <v>1</v>
      </c>
      <c r="O9372" s="18">
        <v>1049.4000000000001</v>
      </c>
      <c r="P9372" s="18">
        <v>860.16</v>
      </c>
      <c r="Q9372" s="18">
        <v>734.58</v>
      </c>
      <c r="R9372" s="18">
        <v>602.11</v>
      </c>
      <c r="S9372" s="18">
        <v>713.59</v>
      </c>
      <c r="T9372" s="18">
        <v>584.91</v>
      </c>
      <c r="U9372" s="16"/>
      <c r="V9372" s="16"/>
      <c r="W9372" s="16"/>
      <c r="X9372" s="19">
        <v>0.114</v>
      </c>
      <c r="Y9372" s="20">
        <v>6.6200000000000015E-4</v>
      </c>
      <c r="Z9372" s="21">
        <v>4601004247260</v>
      </c>
    </row>
    <row r="9373" spans="1:26" ht="12" customHeight="1" outlineLevel="4" x14ac:dyDescent="0.2">
      <c r="A9373" s="40" t="s">
        <v>17858</v>
      </c>
      <c r="B9373" s="75" t="s">
        <v>17859</v>
      </c>
      <c r="C9373" s="51"/>
      <c r="D9373" s="54">
        <f t="shared" si="146"/>
        <v>0</v>
      </c>
      <c r="E9373" s="61" t="str">
        <f>HYPERLINK("https://www.sds-group.ru/product/otpugivatel-gryzunov-ultrazvukovoy-s-30m-220v-chetyre-sezona-71-0028-F/", "Инфо")</f>
        <v>Инфо</v>
      </c>
      <c r="F9373" s="42" t="s">
        <v>39</v>
      </c>
      <c r="G9373" s="41" t="s">
        <v>40</v>
      </c>
      <c r="H9373" s="41"/>
      <c r="I9373" s="41"/>
      <c r="J9373" s="43">
        <v>473</v>
      </c>
      <c r="K9373" s="41"/>
      <c r="L9373" s="43">
        <v>5</v>
      </c>
      <c r="M9373" s="43">
        <v>192</v>
      </c>
      <c r="N9373" s="43">
        <v>5</v>
      </c>
      <c r="O9373" s="44">
        <v>371</v>
      </c>
      <c r="P9373" s="44">
        <v>304.10000000000002</v>
      </c>
      <c r="Q9373" s="44">
        <v>333.9</v>
      </c>
      <c r="R9373" s="44">
        <v>273.69</v>
      </c>
      <c r="S9373" s="44">
        <v>252.28</v>
      </c>
      <c r="T9373" s="44">
        <v>206.79</v>
      </c>
      <c r="U9373" s="42"/>
      <c r="V9373" s="42"/>
      <c r="W9373" s="42" t="s">
        <v>40</v>
      </c>
      <c r="X9373" s="45">
        <v>6.2E-2</v>
      </c>
      <c r="Y9373" s="46">
        <v>9.4399999999999996E-4</v>
      </c>
      <c r="Z9373" s="21">
        <v>4601004338296</v>
      </c>
    </row>
    <row r="9374" spans="1:26" ht="12" customHeight="1" outlineLevel="4" x14ac:dyDescent="0.2">
      <c r="A9374" s="40" t="s">
        <v>17860</v>
      </c>
      <c r="B9374" s="75" t="s">
        <v>17861</v>
      </c>
      <c r="C9374" s="51"/>
      <c r="D9374" s="54">
        <f t="shared" si="146"/>
        <v>0</v>
      </c>
      <c r="E9374" s="61" t="str">
        <f>HYPERLINK("https://www.sds-group.ru/product/otpugivatel-krotov-ultrazvukovoy-r-20m-na-solnechnoy-bataree-chetyre-sezona-71-0017-F/", "Инфо")</f>
        <v>Инфо</v>
      </c>
      <c r="F9374" s="42" t="s">
        <v>39</v>
      </c>
      <c r="G9374" s="41" t="s">
        <v>40</v>
      </c>
      <c r="H9374" s="41"/>
      <c r="I9374" s="41"/>
      <c r="J9374" s="47">
        <v>1111</v>
      </c>
      <c r="K9374" s="41"/>
      <c r="L9374" s="43">
        <v>1</v>
      </c>
      <c r="M9374" s="43">
        <v>48</v>
      </c>
      <c r="N9374" s="43">
        <v>1</v>
      </c>
      <c r="O9374" s="44">
        <v>583</v>
      </c>
      <c r="P9374" s="44">
        <v>477.87</v>
      </c>
      <c r="Q9374" s="44">
        <v>524.70000000000005</v>
      </c>
      <c r="R9374" s="44">
        <v>430.08</v>
      </c>
      <c r="S9374" s="44">
        <v>396.44</v>
      </c>
      <c r="T9374" s="44">
        <v>324.95</v>
      </c>
      <c r="U9374" s="42"/>
      <c r="V9374" s="42"/>
      <c r="W9374" s="42" t="s">
        <v>40</v>
      </c>
      <c r="X9374" s="45">
        <v>0.121</v>
      </c>
      <c r="Y9374" s="46">
        <v>1.049E-3</v>
      </c>
      <c r="Z9374" s="21">
        <v>4601004338333</v>
      </c>
    </row>
    <row r="9375" spans="1:26" ht="12" customHeight="1" outlineLevel="4" x14ac:dyDescent="0.2">
      <c r="A9375" s="14" t="s">
        <v>17862</v>
      </c>
      <c r="B9375" s="26" t="s">
        <v>17863</v>
      </c>
      <c r="C9375" s="52"/>
      <c r="D9375" s="55">
        <f t="shared" si="146"/>
        <v>0</v>
      </c>
      <c r="E9375" s="63" t="str">
        <f>HYPERLINK("https://www.sds-group.ru/product/ultrazvukovoy-otpugivatel-gryzunov-s-15m-12v-avtomobilnyy-rexant-71-0048/", "Инфо")</f>
        <v>Инфо</v>
      </c>
      <c r="F9375" s="16" t="s">
        <v>39</v>
      </c>
      <c r="G9375" s="15"/>
      <c r="H9375" s="15"/>
      <c r="I9375" s="15"/>
      <c r="J9375" s="17">
        <v>186</v>
      </c>
      <c r="K9375" s="15"/>
      <c r="L9375" s="17">
        <v>1</v>
      </c>
      <c r="M9375" s="17">
        <v>96</v>
      </c>
      <c r="N9375" s="17">
        <v>1</v>
      </c>
      <c r="O9375" s="18">
        <v>689</v>
      </c>
      <c r="P9375" s="18">
        <v>564.75</v>
      </c>
      <c r="Q9375" s="18">
        <v>482.3</v>
      </c>
      <c r="R9375" s="18">
        <v>395.33</v>
      </c>
      <c r="S9375" s="18">
        <v>468.52</v>
      </c>
      <c r="T9375" s="18">
        <v>384.03</v>
      </c>
      <c r="U9375" s="16"/>
      <c r="V9375" s="16"/>
      <c r="W9375" s="16"/>
      <c r="X9375" s="19">
        <v>7.0999999999999994E-2</v>
      </c>
      <c r="Y9375" s="20">
        <v>4.6299999999999998E-4</v>
      </c>
      <c r="Z9375" s="21">
        <v>4601004143197</v>
      </c>
    </row>
    <row r="9376" spans="1:26" ht="12" customHeight="1" outlineLevel="4" x14ac:dyDescent="0.2">
      <c r="A9376" s="14" t="s">
        <v>17864</v>
      </c>
      <c r="B9376" s="26" t="s">
        <v>17865</v>
      </c>
      <c r="C9376" s="52"/>
      <c r="D9376" s="55">
        <f t="shared" si="146"/>
        <v>0</v>
      </c>
      <c r="E9376" s="63" t="str">
        <f>HYPERLINK("https://www.sds-group.ru/product/ultrazvukovoy-otpugivatel-gryzunov-s-30m-220v-rexant-71-0028/", "Инфо")</f>
        <v>Инфо</v>
      </c>
      <c r="F9376" s="16" t="s">
        <v>39</v>
      </c>
      <c r="G9376" s="15"/>
      <c r="H9376" s="15"/>
      <c r="I9376" s="15"/>
      <c r="J9376" s="22">
        <v>2467</v>
      </c>
      <c r="K9376" s="15"/>
      <c r="L9376" s="17">
        <v>1</v>
      </c>
      <c r="M9376" s="17">
        <v>192</v>
      </c>
      <c r="N9376" s="17">
        <v>1</v>
      </c>
      <c r="O9376" s="18">
        <v>392.2</v>
      </c>
      <c r="P9376" s="18">
        <v>321.48</v>
      </c>
      <c r="Q9376" s="18">
        <v>274.54000000000002</v>
      </c>
      <c r="R9376" s="18">
        <v>225.03</v>
      </c>
      <c r="S9376" s="18">
        <v>266.7</v>
      </c>
      <c r="T9376" s="18">
        <v>218.61</v>
      </c>
      <c r="U9376" s="16"/>
      <c r="V9376" s="16"/>
      <c r="W9376" s="16"/>
      <c r="X9376" s="19">
        <v>5.8000000000000003E-2</v>
      </c>
      <c r="Y9376" s="20">
        <v>9.7900000000000005E-4</v>
      </c>
      <c r="Z9376" s="21">
        <v>4601004045750</v>
      </c>
    </row>
    <row r="9377" spans="1:26" ht="12" customHeight="1" outlineLevel="4" x14ac:dyDescent="0.2">
      <c r="A9377" s="14" t="s">
        <v>17866</v>
      </c>
      <c r="B9377" s="26" t="s">
        <v>17867</v>
      </c>
      <c r="C9377" s="52"/>
      <c r="D9377" s="55">
        <f t="shared" si="146"/>
        <v>0</v>
      </c>
      <c r="E9377" s="63" t="str">
        <f>HYPERLINK("https://www.sds-group.ru/product/ultrazvukovoy-otpugivatel-gryzunov-s-40m-s-nochnikom-220v-chetyre-sezona-71-0078-F/", "Инфо")</f>
        <v>Инфо</v>
      </c>
      <c r="F9377" s="16" t="s">
        <v>39</v>
      </c>
      <c r="G9377" s="15"/>
      <c r="H9377" s="15"/>
      <c r="I9377" s="15"/>
      <c r="J9377" s="17">
        <v>1</v>
      </c>
      <c r="K9377" s="15"/>
      <c r="L9377" s="17">
        <v>1</v>
      </c>
      <c r="M9377" s="17">
        <v>100</v>
      </c>
      <c r="N9377" s="17">
        <v>1</v>
      </c>
      <c r="O9377" s="18">
        <v>742</v>
      </c>
      <c r="P9377" s="18">
        <v>608.20000000000005</v>
      </c>
      <c r="Q9377" s="18">
        <v>519.4</v>
      </c>
      <c r="R9377" s="18">
        <v>425.74</v>
      </c>
      <c r="S9377" s="18">
        <v>504.56</v>
      </c>
      <c r="T9377" s="18">
        <v>413.57</v>
      </c>
      <c r="U9377" s="16"/>
      <c r="V9377" s="16"/>
      <c r="W9377" s="16"/>
      <c r="X9377" s="19">
        <v>4.2999999999999997E-2</v>
      </c>
      <c r="Y9377" s="20">
        <v>2.05E-4</v>
      </c>
      <c r="Z9377" s="21">
        <v>4601004328662</v>
      </c>
    </row>
    <row r="9378" spans="1:26" ht="12.95" customHeight="1" outlineLevel="3" x14ac:dyDescent="0.2">
      <c r="A9378" s="76" t="s">
        <v>17868</v>
      </c>
      <c r="B9378" s="76"/>
      <c r="C9378" s="77"/>
      <c r="D9378" s="58"/>
      <c r="E9378" s="68"/>
      <c r="F9378" s="13"/>
      <c r="G9378" s="13"/>
      <c r="H9378" s="13"/>
      <c r="I9378" s="13"/>
      <c r="J9378" s="13"/>
      <c r="K9378" s="13"/>
      <c r="L9378" s="13"/>
      <c r="M9378" s="13"/>
      <c r="N9378" s="13"/>
      <c r="O9378" s="13"/>
      <c r="P9378" s="13"/>
      <c r="Q9378" s="13"/>
      <c r="R9378" s="13"/>
      <c r="S9378" s="13"/>
      <c r="T9378" s="13"/>
      <c r="U9378" s="13"/>
      <c r="V9378" s="13"/>
      <c r="W9378" s="13"/>
      <c r="X9378" s="13"/>
      <c r="Y9378" s="13"/>
      <c r="Z9378" s="13"/>
    </row>
    <row r="9379" spans="1:26" ht="12" customHeight="1" outlineLevel="4" x14ac:dyDescent="0.2">
      <c r="A9379" s="14" t="s">
        <v>17869</v>
      </c>
      <c r="B9379" s="26" t="s">
        <v>17870</v>
      </c>
      <c r="C9379" s="52"/>
      <c r="D9379" s="55">
        <f t="shared" si="146"/>
        <v>0</v>
      </c>
      <c r="E9379" s="63" t="str">
        <f>HYPERLINK("https://www.sds-group.ru/product/otpugivatel-vrediteley-profi-s-izmenyaemoy-chastotoy-izlucheniya-r-90m-220v-rexant-71-0019/", "Инфо")</f>
        <v>Инфо</v>
      </c>
      <c r="F9379" s="16" t="s">
        <v>39</v>
      </c>
      <c r="G9379" s="15"/>
      <c r="H9379" s="15"/>
      <c r="I9379" s="15"/>
      <c r="J9379" s="17">
        <v>338</v>
      </c>
      <c r="K9379" s="15"/>
      <c r="L9379" s="17">
        <v>1</v>
      </c>
      <c r="M9379" s="17">
        <v>24</v>
      </c>
      <c r="N9379" s="17">
        <v>1</v>
      </c>
      <c r="O9379" s="18">
        <v>1462.8</v>
      </c>
      <c r="P9379" s="18">
        <v>1199.02</v>
      </c>
      <c r="Q9379" s="18">
        <v>1023.96</v>
      </c>
      <c r="R9379" s="18">
        <v>839.31</v>
      </c>
      <c r="S9379" s="18">
        <v>994.7</v>
      </c>
      <c r="T9379" s="18">
        <v>815.33</v>
      </c>
      <c r="U9379" s="16"/>
      <c r="V9379" s="16"/>
      <c r="W9379" s="16"/>
      <c r="X9379" s="19">
        <v>0.29899999999999999</v>
      </c>
      <c r="Y9379" s="20">
        <v>1.7060000000000001E-3</v>
      </c>
      <c r="Z9379" s="21">
        <v>4601004098268</v>
      </c>
    </row>
    <row r="9380" spans="1:26" ht="12" customHeight="1" outlineLevel="4" x14ac:dyDescent="0.2">
      <c r="A9380" s="14" t="s">
        <v>17871</v>
      </c>
      <c r="B9380" s="26" t="s">
        <v>17872</v>
      </c>
      <c r="C9380" s="52"/>
      <c r="D9380" s="55">
        <f t="shared" si="146"/>
        <v>0</v>
      </c>
      <c r="E9380" s="63" t="str">
        <f>HYPERLINK("https://www.sds-group.ru/product/otpugivatel-vrediteley-s-izmenyaemoy-chastotoy-izlucheniya-r-9m-220v-rexant-71-0009/", "Инфо")</f>
        <v>Инфо</v>
      </c>
      <c r="F9380" s="16" t="s">
        <v>39</v>
      </c>
      <c r="G9380" s="15"/>
      <c r="H9380" s="15"/>
      <c r="I9380" s="15"/>
      <c r="J9380" s="17">
        <v>640</v>
      </c>
      <c r="K9380" s="15"/>
      <c r="L9380" s="17">
        <v>1</v>
      </c>
      <c r="M9380" s="17">
        <v>36</v>
      </c>
      <c r="N9380" s="17">
        <v>1</v>
      </c>
      <c r="O9380" s="18">
        <v>932.8</v>
      </c>
      <c r="P9380" s="18">
        <v>764.59</v>
      </c>
      <c r="Q9380" s="18">
        <v>652.96</v>
      </c>
      <c r="R9380" s="18">
        <v>535.21</v>
      </c>
      <c r="S9380" s="18">
        <v>634.29999999999995</v>
      </c>
      <c r="T9380" s="18">
        <v>519.91999999999996</v>
      </c>
      <c r="U9380" s="16"/>
      <c r="V9380" s="16"/>
      <c r="W9380" s="16"/>
      <c r="X9380" s="19">
        <v>0.27700000000000002</v>
      </c>
      <c r="Y9380" s="20">
        <v>1.4679999999999999E-3</v>
      </c>
      <c r="Z9380" s="21">
        <v>4601004026070</v>
      </c>
    </row>
    <row r="9381" spans="1:26" ht="12" customHeight="1" outlineLevel="4" x14ac:dyDescent="0.2">
      <c r="A9381" s="40" t="s">
        <v>17873</v>
      </c>
      <c r="B9381" s="75" t="s">
        <v>17874</v>
      </c>
      <c r="C9381" s="51"/>
      <c r="D9381" s="54">
        <f t="shared" si="146"/>
        <v>0</v>
      </c>
      <c r="E9381" s="61" t="str">
        <f>HYPERLINK("https://www.sds-group.ru/product/otpugivatel-vrediteley-s-izmenyaemoy-chastotoy-izlucheniya-s-250m-220v-chetyre-sezona-71-0009-F/", "Инфо")</f>
        <v>Инфо</v>
      </c>
      <c r="F9381" s="42" t="s">
        <v>39</v>
      </c>
      <c r="G9381" s="41" t="s">
        <v>40</v>
      </c>
      <c r="H9381" s="41"/>
      <c r="I9381" s="41"/>
      <c r="J9381" s="43">
        <v>694</v>
      </c>
      <c r="K9381" s="41"/>
      <c r="L9381" s="43">
        <v>1</v>
      </c>
      <c r="M9381" s="43">
        <v>36</v>
      </c>
      <c r="N9381" s="43">
        <v>1</v>
      </c>
      <c r="O9381" s="44">
        <v>890.4</v>
      </c>
      <c r="P9381" s="44">
        <v>729.84</v>
      </c>
      <c r="Q9381" s="44">
        <v>801.36</v>
      </c>
      <c r="R9381" s="44">
        <v>656.85</v>
      </c>
      <c r="S9381" s="44">
        <v>605.47</v>
      </c>
      <c r="T9381" s="44">
        <v>496.29</v>
      </c>
      <c r="U9381" s="42"/>
      <c r="V9381" s="42"/>
      <c r="W9381" s="42" t="s">
        <v>40</v>
      </c>
      <c r="X9381" s="45">
        <v>0.26100000000000001</v>
      </c>
      <c r="Y9381" s="46">
        <v>1.488E-3</v>
      </c>
      <c r="Z9381" s="21">
        <v>4601004343597</v>
      </c>
    </row>
    <row r="9382" spans="1:26" ht="12" customHeight="1" outlineLevel="4" x14ac:dyDescent="0.2">
      <c r="A9382" s="40" t="s">
        <v>17875</v>
      </c>
      <c r="B9382" s="75" t="s">
        <v>17876</v>
      </c>
      <c r="C9382" s="51"/>
      <c r="D9382" s="54">
        <f t="shared" si="146"/>
        <v>0</v>
      </c>
      <c r="E9382" s="61" t="str">
        <f>HYPERLINK("https://www.sds-group.ru/product/otpugivatel-vrediteley-ultrazvukovoy-s-led-indikatorom-s-60m-220v-chetyre-sezona-71-0018-F/", "Инфо")</f>
        <v>Инфо</v>
      </c>
      <c r="F9382" s="42" t="s">
        <v>39</v>
      </c>
      <c r="G9382" s="41" t="s">
        <v>40</v>
      </c>
      <c r="H9382" s="41"/>
      <c r="I9382" s="41"/>
      <c r="J9382" s="43">
        <v>284</v>
      </c>
      <c r="K9382" s="41"/>
      <c r="L9382" s="43">
        <v>1</v>
      </c>
      <c r="M9382" s="43">
        <v>100</v>
      </c>
      <c r="N9382" s="43">
        <v>1</v>
      </c>
      <c r="O9382" s="44">
        <v>742</v>
      </c>
      <c r="P9382" s="44">
        <v>608.20000000000005</v>
      </c>
      <c r="Q9382" s="44">
        <v>667.8</v>
      </c>
      <c r="R9382" s="44">
        <v>547.38</v>
      </c>
      <c r="S9382" s="44">
        <v>504.56</v>
      </c>
      <c r="T9382" s="44">
        <v>413.57</v>
      </c>
      <c r="U9382" s="42"/>
      <c r="V9382" s="42"/>
      <c r="W9382" s="42" t="s">
        <v>40</v>
      </c>
      <c r="X9382" s="45">
        <v>0.105</v>
      </c>
      <c r="Y9382" s="46">
        <v>1.3270000000000001E-3</v>
      </c>
      <c r="Z9382" s="21">
        <v>4601004338388</v>
      </c>
    </row>
    <row r="9383" spans="1:26" ht="12" customHeight="1" outlineLevel="4" x14ac:dyDescent="0.2">
      <c r="A9383" s="14" t="s">
        <v>17877</v>
      </c>
      <c r="B9383" s="26" t="s">
        <v>17878</v>
      </c>
      <c r="C9383" s="52"/>
      <c r="D9383" s="55">
        <f t="shared" si="146"/>
        <v>0</v>
      </c>
      <c r="E9383" s="63" t="str">
        <f>HYPERLINK("https://www.sds-group.ru/product/otpugivatel-ptits-i-drugih-zhivotnyh-na-solnechnoy-bataree-babochka-rexant-71-0089/", "Инфо")</f>
        <v>Инфо</v>
      </c>
      <c r="F9383" s="16" t="s">
        <v>39</v>
      </c>
      <c r="G9383" s="15"/>
      <c r="H9383" s="15"/>
      <c r="I9383" s="15"/>
      <c r="J9383" s="17">
        <v>1</v>
      </c>
      <c r="K9383" s="15"/>
      <c r="L9383" s="17">
        <v>1</v>
      </c>
      <c r="M9383" s="17">
        <v>144</v>
      </c>
      <c r="N9383" s="17">
        <v>1</v>
      </c>
      <c r="O9383" s="18">
        <v>731.4</v>
      </c>
      <c r="P9383" s="18">
        <v>599.51</v>
      </c>
      <c r="Q9383" s="18">
        <v>511.98</v>
      </c>
      <c r="R9383" s="18">
        <v>419.66</v>
      </c>
      <c r="S9383" s="18">
        <v>497.35</v>
      </c>
      <c r="T9383" s="18">
        <v>407.66</v>
      </c>
      <c r="U9383" s="16"/>
      <c r="V9383" s="16"/>
      <c r="W9383" s="16"/>
      <c r="X9383" s="19">
        <v>0.106</v>
      </c>
      <c r="Y9383" s="20">
        <v>9.59E-4</v>
      </c>
      <c r="Z9383" s="21">
        <v>4601004196483</v>
      </c>
    </row>
    <row r="9384" spans="1:26" ht="12" customHeight="1" outlineLevel="4" x14ac:dyDescent="0.2">
      <c r="A9384" s="14" t="s">
        <v>17879</v>
      </c>
      <c r="B9384" s="26" t="s">
        <v>17880</v>
      </c>
      <c r="C9384" s="52"/>
      <c r="D9384" s="55">
        <f t="shared" si="146"/>
        <v>0</v>
      </c>
      <c r="E9384" s="63" t="str">
        <f>HYPERLINK("https://www.sds-group.ru/product/ultrazvukovoy-otpugivatel-vrediteley-s-60m-220v-s-led-indikatorom-rexant-71-0018/", "Инфо")</f>
        <v>Инфо</v>
      </c>
      <c r="F9384" s="16" t="s">
        <v>39</v>
      </c>
      <c r="G9384" s="15"/>
      <c r="H9384" s="15"/>
      <c r="I9384" s="15"/>
      <c r="J9384" s="17">
        <v>993</v>
      </c>
      <c r="K9384" s="15"/>
      <c r="L9384" s="17">
        <v>1</v>
      </c>
      <c r="M9384" s="17">
        <v>100</v>
      </c>
      <c r="N9384" s="17">
        <v>1</v>
      </c>
      <c r="O9384" s="18">
        <v>773.8</v>
      </c>
      <c r="P9384" s="18">
        <v>634.26</v>
      </c>
      <c r="Q9384" s="18">
        <v>541.66</v>
      </c>
      <c r="R9384" s="18">
        <v>443.98</v>
      </c>
      <c r="S9384" s="18">
        <v>526.17999999999995</v>
      </c>
      <c r="T9384" s="18">
        <v>431.3</v>
      </c>
      <c r="U9384" s="16"/>
      <c r="V9384" s="16"/>
      <c r="W9384" s="16"/>
      <c r="X9384" s="19">
        <v>0.109</v>
      </c>
      <c r="Y9384" s="20">
        <v>2.7300000000000002E-4</v>
      </c>
      <c r="Z9384" s="21">
        <v>4601004064164</v>
      </c>
    </row>
    <row r="9385" spans="1:26" ht="12" customHeight="1" outlineLevel="4" x14ac:dyDescent="0.2">
      <c r="A9385" s="14" t="s">
        <v>17881</v>
      </c>
      <c r="B9385" s="26" t="s">
        <v>17882</v>
      </c>
      <c r="C9385" s="52"/>
      <c r="D9385" s="55">
        <f t="shared" si="146"/>
        <v>0</v>
      </c>
      <c r="E9385" s="63" t="str">
        <f>HYPERLINK("https://www.sds-group.ru/product/ultrazvukovoy-otpugivatel-vrediteley-s-90m-s-led-indikatorom-rexant-71-0038/", "Инфо")</f>
        <v>Инфо</v>
      </c>
      <c r="F9385" s="16" t="s">
        <v>39</v>
      </c>
      <c r="G9385" s="15"/>
      <c r="H9385" s="15"/>
      <c r="I9385" s="15"/>
      <c r="J9385" s="17">
        <v>203</v>
      </c>
      <c r="K9385" s="15"/>
      <c r="L9385" s="17">
        <v>1</v>
      </c>
      <c r="M9385" s="17">
        <v>40</v>
      </c>
      <c r="N9385" s="17">
        <v>1</v>
      </c>
      <c r="O9385" s="18">
        <v>1060</v>
      </c>
      <c r="P9385" s="18">
        <v>868.85</v>
      </c>
      <c r="Q9385" s="18">
        <v>742</v>
      </c>
      <c r="R9385" s="18">
        <v>608.20000000000005</v>
      </c>
      <c r="S9385" s="18">
        <v>720.8</v>
      </c>
      <c r="T9385" s="18">
        <v>590.82000000000005</v>
      </c>
      <c r="U9385" s="16"/>
      <c r="V9385" s="16"/>
      <c r="W9385" s="16"/>
      <c r="X9385" s="19">
        <v>0.193</v>
      </c>
      <c r="Y9385" s="20">
        <v>2.4260000000000002E-3</v>
      </c>
      <c r="Z9385" s="21">
        <v>4601004133365</v>
      </c>
    </row>
    <row r="9386" spans="1:26" ht="12" customHeight="1" outlineLevel="4" x14ac:dyDescent="0.2">
      <c r="A9386" s="14" t="s">
        <v>17883</v>
      </c>
      <c r="B9386" s="26" t="s">
        <v>17884</v>
      </c>
      <c r="C9386" s="52"/>
      <c r="D9386" s="55">
        <f t="shared" si="146"/>
        <v>0</v>
      </c>
      <c r="E9386" s="63" t="str">
        <f>HYPERLINK("https://www.sds-group.ru/product/universalnyy-ultrazvukovoy-otpugivatel-r-15m-3vt-rexant-71-0039/", "Инфо")</f>
        <v>Инфо</v>
      </c>
      <c r="F9386" s="16" t="s">
        <v>39</v>
      </c>
      <c r="G9386" s="15"/>
      <c r="H9386" s="15"/>
      <c r="I9386" s="15"/>
      <c r="J9386" s="17">
        <v>246</v>
      </c>
      <c r="K9386" s="15"/>
      <c r="L9386" s="17">
        <v>1</v>
      </c>
      <c r="M9386" s="17">
        <v>12</v>
      </c>
      <c r="N9386" s="17">
        <v>1</v>
      </c>
      <c r="O9386" s="18">
        <v>2120</v>
      </c>
      <c r="P9386" s="18">
        <v>1737.7</v>
      </c>
      <c r="Q9386" s="18">
        <v>1484</v>
      </c>
      <c r="R9386" s="18">
        <v>1216.3900000000001</v>
      </c>
      <c r="S9386" s="18">
        <v>1441.6</v>
      </c>
      <c r="T9386" s="18">
        <v>1181.6400000000001</v>
      </c>
      <c r="U9386" s="16"/>
      <c r="V9386" s="16"/>
      <c r="W9386" s="16"/>
      <c r="X9386" s="19">
        <v>0.36399999999999999</v>
      </c>
      <c r="Y9386" s="20">
        <v>2.297E-3</v>
      </c>
      <c r="Z9386" s="21">
        <v>4601004045804</v>
      </c>
    </row>
    <row r="9387" spans="1:26" ht="12.95" customHeight="1" outlineLevel="3" x14ac:dyDescent="0.2">
      <c r="A9387" s="76" t="s">
        <v>17885</v>
      </c>
      <c r="B9387" s="76"/>
      <c r="C9387" s="77"/>
      <c r="D9387" s="58"/>
      <c r="E9387" s="68"/>
      <c r="F9387" s="13"/>
      <c r="G9387" s="13"/>
      <c r="H9387" s="13"/>
      <c r="I9387" s="13"/>
      <c r="J9387" s="13"/>
      <c r="K9387" s="13"/>
      <c r="L9387" s="13"/>
      <c r="M9387" s="13"/>
      <c r="N9387" s="13"/>
      <c r="O9387" s="13"/>
      <c r="P9387" s="13"/>
      <c r="Q9387" s="13"/>
      <c r="R9387" s="13"/>
      <c r="S9387" s="13"/>
      <c r="T9387" s="13"/>
      <c r="U9387" s="13"/>
      <c r="V9387" s="13"/>
      <c r="W9387" s="13"/>
      <c r="X9387" s="13"/>
      <c r="Y9387" s="13"/>
      <c r="Z9387" s="13"/>
    </row>
    <row r="9388" spans="1:26" ht="12" customHeight="1" outlineLevel="4" x14ac:dyDescent="0.2">
      <c r="A9388" s="40" t="s">
        <v>17886</v>
      </c>
      <c r="B9388" s="75" t="s">
        <v>17887</v>
      </c>
      <c r="C9388" s="51"/>
      <c r="D9388" s="54">
        <f t="shared" si="146"/>
        <v>0</v>
      </c>
      <c r="E9388" s="62"/>
      <c r="F9388" s="42" t="s">
        <v>39</v>
      </c>
      <c r="G9388" s="41" t="s">
        <v>40</v>
      </c>
      <c r="H9388" s="41"/>
      <c r="I9388" s="41"/>
      <c r="J9388" s="42" t="s">
        <v>100</v>
      </c>
      <c r="K9388" s="41"/>
      <c r="L9388" s="43">
        <v>1</v>
      </c>
      <c r="M9388" s="43">
        <v>48</v>
      </c>
      <c r="N9388" s="43">
        <v>1</v>
      </c>
      <c r="O9388" s="44">
        <v>583</v>
      </c>
      <c r="P9388" s="44">
        <v>477.87</v>
      </c>
      <c r="Q9388" s="44">
        <v>524.70000000000005</v>
      </c>
      <c r="R9388" s="44">
        <v>430.08</v>
      </c>
      <c r="S9388" s="44">
        <v>396.44</v>
      </c>
      <c r="T9388" s="44">
        <v>324.95</v>
      </c>
      <c r="U9388" s="42"/>
      <c r="V9388" s="42"/>
      <c r="W9388" s="42" t="s">
        <v>40</v>
      </c>
      <c r="X9388" s="45">
        <v>7.6999999999999999E-2</v>
      </c>
      <c r="Y9388" s="46">
        <v>3.4499999999999998E-4</v>
      </c>
      <c r="Z9388" s="21">
        <v>4601004338463</v>
      </c>
    </row>
    <row r="9389" spans="1:26" ht="12" customHeight="1" outlineLevel="4" x14ac:dyDescent="0.2">
      <c r="A9389" s="32" t="s">
        <v>17888</v>
      </c>
      <c r="B9389" s="74" t="s">
        <v>17889</v>
      </c>
      <c r="C9389" s="50"/>
      <c r="D9389" s="53">
        <f t="shared" si="146"/>
        <v>0</v>
      </c>
      <c r="E9389" s="60" t="str">
        <f>HYPERLINK("https://www.sds-group.ru/product/ultrazvukovoy-antilay-dlya-sobak-so-vstroennym-mikrofonom-s-4m-rexant-71-0099/", "Инфо")</f>
        <v>Инфо</v>
      </c>
      <c r="F9389" s="34" t="s">
        <v>39</v>
      </c>
      <c r="G9389" s="33"/>
      <c r="H9389" s="33" t="s">
        <v>40</v>
      </c>
      <c r="I9389" s="33"/>
      <c r="J9389" s="35">
        <v>3</v>
      </c>
      <c r="K9389" s="33"/>
      <c r="L9389" s="35">
        <v>1</v>
      </c>
      <c r="M9389" s="35">
        <v>60</v>
      </c>
      <c r="N9389" s="35">
        <v>1</v>
      </c>
      <c r="O9389" s="36">
        <v>1165.29</v>
      </c>
      <c r="P9389" s="36">
        <v>955.16</v>
      </c>
      <c r="Q9389" s="36">
        <v>815.7</v>
      </c>
      <c r="R9389" s="36">
        <v>668.61</v>
      </c>
      <c r="S9389" s="36">
        <v>792.4</v>
      </c>
      <c r="T9389" s="36">
        <v>649.51</v>
      </c>
      <c r="U9389" s="34"/>
      <c r="V9389" s="34"/>
      <c r="W9389" s="34"/>
      <c r="X9389" s="37">
        <v>0.2</v>
      </c>
      <c r="Y9389" s="38">
        <v>1.1280000000000001E-3</v>
      </c>
      <c r="Z9389" s="21">
        <v>4601004196506</v>
      </c>
    </row>
    <row r="9390" spans="1:26" ht="12" customHeight="1" outlineLevel="4" x14ac:dyDescent="0.2">
      <c r="A9390" s="14" t="s">
        <v>17890</v>
      </c>
      <c r="B9390" s="26" t="s">
        <v>17891</v>
      </c>
      <c r="C9390" s="52"/>
      <c r="D9390" s="55">
        <f t="shared" si="146"/>
        <v>0</v>
      </c>
      <c r="E9390" s="63" t="str">
        <f>HYPERLINK("https://www.sds-group.ru/product/ultrazvukovoy-otpugivatel-trener-sobak-s-8m-kv-rexant-71-0069/", "Инфо")</f>
        <v>Инфо</v>
      </c>
      <c r="F9390" s="16" t="s">
        <v>39</v>
      </c>
      <c r="G9390" s="15"/>
      <c r="H9390" s="15"/>
      <c r="I9390" s="15"/>
      <c r="J9390" s="17">
        <v>852</v>
      </c>
      <c r="K9390" s="15"/>
      <c r="L9390" s="17">
        <v>1</v>
      </c>
      <c r="M9390" s="17">
        <v>48</v>
      </c>
      <c r="N9390" s="17">
        <v>1</v>
      </c>
      <c r="O9390" s="18">
        <v>636</v>
      </c>
      <c r="P9390" s="18">
        <v>521.30999999999995</v>
      </c>
      <c r="Q9390" s="18">
        <v>445.2</v>
      </c>
      <c r="R9390" s="18">
        <v>364.92</v>
      </c>
      <c r="S9390" s="18">
        <v>432.48</v>
      </c>
      <c r="T9390" s="18">
        <v>354.49</v>
      </c>
      <c r="U9390" s="16"/>
      <c r="V9390" s="16"/>
      <c r="W9390" s="16"/>
      <c r="X9390" s="19">
        <v>7.6999999999999999E-2</v>
      </c>
      <c r="Y9390" s="20">
        <v>4.06E-4</v>
      </c>
      <c r="Z9390" s="21">
        <v>4601004089242</v>
      </c>
    </row>
    <row r="9391" spans="1:26" ht="12.95" customHeight="1" outlineLevel="3" x14ac:dyDescent="0.2">
      <c r="A9391" s="76" t="s">
        <v>17892</v>
      </c>
      <c r="B9391" s="76"/>
      <c r="C9391" s="77"/>
      <c r="D9391" s="58"/>
      <c r="E9391" s="68"/>
      <c r="F9391" s="13"/>
      <c r="G9391" s="13"/>
      <c r="H9391" s="13"/>
      <c r="I9391" s="13"/>
      <c r="J9391" s="13"/>
      <c r="K9391" s="13"/>
      <c r="L9391" s="13"/>
      <c r="M9391" s="13"/>
      <c r="N9391" s="13"/>
      <c r="O9391" s="13"/>
      <c r="P9391" s="13"/>
      <c r="Q9391" s="13"/>
      <c r="R9391" s="13"/>
      <c r="S9391" s="13"/>
      <c r="T9391" s="13"/>
      <c r="U9391" s="13"/>
      <c r="V9391" s="13"/>
      <c r="W9391" s="13"/>
      <c r="X9391" s="13"/>
      <c r="Y9391" s="13"/>
      <c r="Z9391" s="13"/>
    </row>
    <row r="9392" spans="1:26" ht="12" customHeight="1" outlineLevel="4" x14ac:dyDescent="0.2">
      <c r="A9392" s="40" t="s">
        <v>17893</v>
      </c>
      <c r="B9392" s="75" t="s">
        <v>17894</v>
      </c>
      <c r="C9392" s="51"/>
      <c r="D9392" s="54">
        <f t="shared" si="146"/>
        <v>0</v>
      </c>
      <c r="E9392" s="61" t="str">
        <f>HYPERLINK("https://www.sds-group.ru/product/otpugivatel-tarakanov-ultrazvukovoy-s-30m-220v-chetyre-sezona-71-0025-F/", "Инфо")</f>
        <v>Инфо</v>
      </c>
      <c r="F9392" s="42" t="s">
        <v>39</v>
      </c>
      <c r="G9392" s="41" t="s">
        <v>40</v>
      </c>
      <c r="H9392" s="41"/>
      <c r="I9392" s="41"/>
      <c r="J9392" s="43">
        <v>229</v>
      </c>
      <c r="K9392" s="41"/>
      <c r="L9392" s="43">
        <v>5</v>
      </c>
      <c r="M9392" s="43">
        <v>192</v>
      </c>
      <c r="N9392" s="43">
        <v>5</v>
      </c>
      <c r="O9392" s="44">
        <v>371</v>
      </c>
      <c r="P9392" s="44">
        <v>304.10000000000002</v>
      </c>
      <c r="Q9392" s="44">
        <v>333.9</v>
      </c>
      <c r="R9392" s="44">
        <v>273.69</v>
      </c>
      <c r="S9392" s="44">
        <v>252.28</v>
      </c>
      <c r="T9392" s="44">
        <v>206.79</v>
      </c>
      <c r="U9392" s="42"/>
      <c r="V9392" s="42"/>
      <c r="W9392" s="42" t="s">
        <v>40</v>
      </c>
      <c r="X9392" s="45">
        <v>6.2E-2</v>
      </c>
      <c r="Y9392" s="46">
        <v>9.4300000000000004E-4</v>
      </c>
      <c r="Z9392" s="21">
        <v>4601004338364</v>
      </c>
    </row>
    <row r="9393" spans="1:26" ht="12" customHeight="1" outlineLevel="4" x14ac:dyDescent="0.2">
      <c r="A9393" s="14" t="s">
        <v>17895</v>
      </c>
      <c r="B9393" s="26" t="s">
        <v>17896</v>
      </c>
      <c r="C9393" s="52"/>
      <c r="D9393" s="55">
        <f t="shared" si="146"/>
        <v>0</v>
      </c>
      <c r="E9393" s="63" t="str">
        <f>HYPERLINK("https://www.sds-group.ru/product/ultrazvukovoy-otpugivatel-tarakanov-s-30m-220v-rexant-71-0025/", "Инфо")</f>
        <v>Инфо</v>
      </c>
      <c r="F9393" s="16" t="s">
        <v>39</v>
      </c>
      <c r="G9393" s="15"/>
      <c r="H9393" s="15"/>
      <c r="I9393" s="15"/>
      <c r="J9393" s="17">
        <v>64</v>
      </c>
      <c r="K9393" s="15"/>
      <c r="L9393" s="17">
        <v>1</v>
      </c>
      <c r="M9393" s="17">
        <v>192</v>
      </c>
      <c r="N9393" s="17">
        <v>1</v>
      </c>
      <c r="O9393" s="18">
        <v>477</v>
      </c>
      <c r="P9393" s="18">
        <v>390.98</v>
      </c>
      <c r="Q9393" s="18">
        <v>333.9</v>
      </c>
      <c r="R9393" s="18">
        <v>273.69</v>
      </c>
      <c r="S9393" s="18">
        <v>324.36</v>
      </c>
      <c r="T9393" s="18">
        <v>265.87</v>
      </c>
      <c r="U9393" s="16"/>
      <c r="V9393" s="16"/>
      <c r="W9393" s="16"/>
      <c r="X9393" s="19">
        <v>5.7000000000000002E-2</v>
      </c>
      <c r="Y9393" s="20">
        <v>9.7599999999999998E-4</v>
      </c>
      <c r="Z9393" s="21">
        <v>4601004089129</v>
      </c>
    </row>
    <row r="9394" spans="1:26" ht="12.95" customHeight="1" outlineLevel="2" x14ac:dyDescent="0.2">
      <c r="A9394" s="76" t="s">
        <v>17897</v>
      </c>
      <c r="B9394" s="76"/>
      <c r="C9394" s="77"/>
      <c r="D9394" s="58"/>
      <c r="E9394" s="68"/>
      <c r="F9394" s="13"/>
      <c r="G9394" s="13"/>
      <c r="H9394" s="13"/>
      <c r="I9394" s="13"/>
      <c r="J9394" s="13"/>
      <c r="K9394" s="13"/>
      <c r="L9394" s="13"/>
      <c r="M9394" s="13"/>
      <c r="N9394" s="13"/>
      <c r="O9394" s="13"/>
      <c r="P9394" s="13"/>
      <c r="Q9394" s="13"/>
      <c r="R9394" s="13"/>
      <c r="S9394" s="13"/>
      <c r="T9394" s="13"/>
      <c r="U9394" s="13"/>
      <c r="V9394" s="13"/>
      <c r="W9394" s="13"/>
      <c r="X9394" s="13"/>
      <c r="Y9394" s="13"/>
      <c r="Z9394" s="13"/>
    </row>
    <row r="9395" spans="1:26" ht="12.95" customHeight="1" outlineLevel="3" x14ac:dyDescent="0.2">
      <c r="A9395" s="76" t="s">
        <v>17898</v>
      </c>
      <c r="B9395" s="76"/>
      <c r="C9395" s="77"/>
      <c r="D9395" s="58"/>
      <c r="E9395" s="68"/>
      <c r="F9395" s="13"/>
      <c r="G9395" s="13"/>
      <c r="H9395" s="13"/>
      <c r="I9395" s="13"/>
      <c r="J9395" s="13"/>
      <c r="K9395" s="13"/>
      <c r="L9395" s="13"/>
      <c r="M9395" s="13"/>
      <c r="N9395" s="13"/>
      <c r="O9395" s="13"/>
      <c r="P9395" s="13"/>
      <c r="Q9395" s="13"/>
      <c r="R9395" s="13"/>
      <c r="S9395" s="13"/>
      <c r="T9395" s="13"/>
      <c r="U9395" s="13"/>
      <c r="V9395" s="13"/>
      <c r="W9395" s="13"/>
      <c r="X9395" s="13"/>
      <c r="Y9395" s="13"/>
      <c r="Z9395" s="13"/>
    </row>
    <row r="9396" spans="1:26" ht="12" customHeight="1" outlineLevel="4" x14ac:dyDescent="0.2">
      <c r="A9396" s="14" t="s">
        <v>17899</v>
      </c>
      <c r="B9396" s="26" t="s">
        <v>17900</v>
      </c>
      <c r="C9396" s="52"/>
      <c r="D9396" s="55">
        <f t="shared" si="146"/>
        <v>0</v>
      </c>
      <c r="E9396" s="63" t="str">
        <f>HYPERLINK("https://www.sds-group.ru/product/mangal-sbornyy-pohodnyy-350h250h350mm-s-6-shampurami-v-plenke-sokol-62-0005/", "Инфо")</f>
        <v>Инфо</v>
      </c>
      <c r="F9396" s="16" t="s">
        <v>39</v>
      </c>
      <c r="G9396" s="15"/>
      <c r="H9396" s="15"/>
      <c r="I9396" s="15"/>
      <c r="J9396" s="17">
        <v>975</v>
      </c>
      <c r="K9396" s="15"/>
      <c r="L9396" s="17">
        <v>1</v>
      </c>
      <c r="M9396" s="17">
        <v>10</v>
      </c>
      <c r="N9396" s="17">
        <v>1</v>
      </c>
      <c r="O9396" s="18">
        <v>492.23</v>
      </c>
      <c r="P9396" s="18">
        <v>403.47</v>
      </c>
      <c r="Q9396" s="18">
        <v>344.56</v>
      </c>
      <c r="R9396" s="18">
        <v>282.43</v>
      </c>
      <c r="S9396" s="18">
        <v>334.72</v>
      </c>
      <c r="T9396" s="18">
        <v>274.36</v>
      </c>
      <c r="U9396" s="16"/>
      <c r="V9396" s="16"/>
      <c r="W9396" s="16"/>
      <c r="X9396" s="19">
        <v>0.86399999999999999</v>
      </c>
      <c r="Y9396" s="20">
        <v>1.1640000000000001E-3</v>
      </c>
      <c r="Z9396" s="21">
        <v>4612745750483</v>
      </c>
    </row>
    <row r="9397" spans="1:26" ht="12" customHeight="1" outlineLevel="4" x14ac:dyDescent="0.2">
      <c r="A9397" s="14" t="s">
        <v>17901</v>
      </c>
      <c r="B9397" s="26" t="s">
        <v>17902</v>
      </c>
      <c r="C9397" s="52"/>
      <c r="D9397" s="55">
        <f t="shared" si="146"/>
        <v>0</v>
      </c>
      <c r="E9397" s="63" t="str">
        <f>HYPERLINK("https://www.sds-group.ru/product/mangal-sbornyy-pohodnyy-350h250h350mm-v-plenke-sokol-62-0003/", "Инфо")</f>
        <v>Инфо</v>
      </c>
      <c r="F9397" s="16" t="s">
        <v>39</v>
      </c>
      <c r="G9397" s="15"/>
      <c r="H9397" s="15"/>
      <c r="I9397" s="15"/>
      <c r="J9397" s="17">
        <v>712</v>
      </c>
      <c r="K9397" s="15"/>
      <c r="L9397" s="17">
        <v>5</v>
      </c>
      <c r="M9397" s="17">
        <v>10</v>
      </c>
      <c r="N9397" s="17">
        <v>5</v>
      </c>
      <c r="O9397" s="18">
        <v>375.03</v>
      </c>
      <c r="P9397" s="18">
        <v>307.39999999999998</v>
      </c>
      <c r="Q9397" s="18">
        <v>375.03</v>
      </c>
      <c r="R9397" s="18">
        <v>307.39999999999998</v>
      </c>
      <c r="S9397" s="18">
        <v>255.02</v>
      </c>
      <c r="T9397" s="18">
        <v>209.03</v>
      </c>
      <c r="U9397" s="16"/>
      <c r="V9397" s="16"/>
      <c r="W9397" s="16" t="s">
        <v>40</v>
      </c>
      <c r="X9397" s="19">
        <v>0.63600000000000001</v>
      </c>
      <c r="Y9397" s="20">
        <v>9.1600000000000004E-4</v>
      </c>
      <c r="Z9397" s="21">
        <v>4612745750452</v>
      </c>
    </row>
    <row r="9398" spans="1:26" ht="12" customHeight="1" outlineLevel="4" x14ac:dyDescent="0.2">
      <c r="A9398" s="14" t="s">
        <v>17903</v>
      </c>
      <c r="B9398" s="26" t="s">
        <v>17904</v>
      </c>
      <c r="C9398" s="52"/>
      <c r="D9398" s="55">
        <f t="shared" si="146"/>
        <v>0</v>
      </c>
      <c r="E9398" s="63" t="str">
        <f>HYPERLINK("https://www.sds-group.ru/product/mangal-sbornyy-so-skladnym-dnom-230h230h335mm-v-plenke-sokol-62-0001/", "Инфо")</f>
        <v>Инфо</v>
      </c>
      <c r="F9398" s="16" t="s">
        <v>39</v>
      </c>
      <c r="G9398" s="15"/>
      <c r="H9398" s="15"/>
      <c r="I9398" s="15"/>
      <c r="J9398" s="17">
        <v>1</v>
      </c>
      <c r="K9398" s="15"/>
      <c r="L9398" s="17">
        <v>1</v>
      </c>
      <c r="M9398" s="17">
        <v>10</v>
      </c>
      <c r="N9398" s="17">
        <v>1</v>
      </c>
      <c r="O9398" s="18">
        <v>425.63</v>
      </c>
      <c r="P9398" s="18">
        <v>348.88</v>
      </c>
      <c r="Q9398" s="18">
        <v>297.94</v>
      </c>
      <c r="R9398" s="18">
        <v>244.21</v>
      </c>
      <c r="S9398" s="18">
        <v>289.43</v>
      </c>
      <c r="T9398" s="18">
        <v>237.24</v>
      </c>
      <c r="U9398" s="16"/>
      <c r="V9398" s="16"/>
      <c r="W9398" s="16"/>
      <c r="X9398" s="19">
        <v>0.63800000000000001</v>
      </c>
      <c r="Y9398" s="20">
        <v>5.71E-4</v>
      </c>
      <c r="Z9398" s="21">
        <v>4612745750728</v>
      </c>
    </row>
    <row r="9399" spans="1:26" ht="12" customHeight="1" outlineLevel="4" x14ac:dyDescent="0.2">
      <c r="A9399" s="14" t="s">
        <v>17905</v>
      </c>
      <c r="B9399" s="26" t="s">
        <v>17906</v>
      </c>
      <c r="C9399" s="52"/>
      <c r="D9399" s="55">
        <f t="shared" si="146"/>
        <v>0</v>
      </c>
      <c r="E9399" s="63" t="str">
        <f>HYPERLINK("https://www.sds-group.ru/product/mangal-sbornyy-so-skladnym-dnom-230h230h335mm-s-4-shampurami-v-plenke-sokol-62-0002/", "Инфо")</f>
        <v>Инфо</v>
      </c>
      <c r="F9399" s="16" t="s">
        <v>39</v>
      </c>
      <c r="G9399" s="15"/>
      <c r="H9399" s="15"/>
      <c r="I9399" s="15"/>
      <c r="J9399" s="17">
        <v>151</v>
      </c>
      <c r="K9399" s="15"/>
      <c r="L9399" s="17">
        <v>1</v>
      </c>
      <c r="M9399" s="17">
        <v>10</v>
      </c>
      <c r="N9399" s="17">
        <v>1</v>
      </c>
      <c r="O9399" s="18">
        <v>486.78</v>
      </c>
      <c r="P9399" s="18">
        <v>399</v>
      </c>
      <c r="Q9399" s="18">
        <v>340.75</v>
      </c>
      <c r="R9399" s="18">
        <v>279.3</v>
      </c>
      <c r="S9399" s="18">
        <v>331.01</v>
      </c>
      <c r="T9399" s="18">
        <v>271.32</v>
      </c>
      <c r="U9399" s="16"/>
      <c r="V9399" s="16"/>
      <c r="W9399" s="16"/>
      <c r="X9399" s="19">
        <v>0.71599999999999997</v>
      </c>
      <c r="Y9399" s="20">
        <v>1.621E-3</v>
      </c>
      <c r="Z9399" s="21">
        <v>4612745750759</v>
      </c>
    </row>
    <row r="9400" spans="1:26" ht="12" customHeight="1" outlineLevel="4" x14ac:dyDescent="0.2">
      <c r="A9400" s="14" t="s">
        <v>17907</v>
      </c>
      <c r="B9400" s="26" t="s">
        <v>17908</v>
      </c>
      <c r="C9400" s="52"/>
      <c r="D9400" s="55">
        <f t="shared" si="146"/>
        <v>0</v>
      </c>
      <c r="E9400" s="63" t="str">
        <f>HYPERLINK("https://www.sds-group.ru/product/mangal-sbornyy-ekonom-400h250h400mm-s-6-shampurami-v-plenke-sokol-62-0007/", "Инфо")</f>
        <v>Инфо</v>
      </c>
      <c r="F9400" s="16" t="s">
        <v>39</v>
      </c>
      <c r="G9400" s="15"/>
      <c r="H9400" s="15"/>
      <c r="I9400" s="15"/>
      <c r="J9400" s="17">
        <v>190</v>
      </c>
      <c r="K9400" s="15"/>
      <c r="L9400" s="17">
        <v>1</v>
      </c>
      <c r="M9400" s="17">
        <v>10</v>
      </c>
      <c r="N9400" s="17">
        <v>1</v>
      </c>
      <c r="O9400" s="18">
        <v>550.83000000000004</v>
      </c>
      <c r="P9400" s="18">
        <v>451.5</v>
      </c>
      <c r="Q9400" s="18">
        <v>385.58</v>
      </c>
      <c r="R9400" s="18">
        <v>316.05</v>
      </c>
      <c r="S9400" s="18">
        <v>374.56</v>
      </c>
      <c r="T9400" s="18">
        <v>307.02</v>
      </c>
      <c r="U9400" s="16"/>
      <c r="V9400" s="16"/>
      <c r="W9400" s="16"/>
      <c r="X9400" s="19">
        <v>0.92200000000000004</v>
      </c>
      <c r="Y9400" s="20">
        <v>2.088E-3</v>
      </c>
      <c r="Z9400" s="21">
        <v>4612745750599</v>
      </c>
    </row>
    <row r="9401" spans="1:26" ht="12.95" customHeight="1" outlineLevel="3" x14ac:dyDescent="0.2">
      <c r="A9401" s="76" t="s">
        <v>17909</v>
      </c>
      <c r="B9401" s="76"/>
      <c r="C9401" s="77"/>
      <c r="D9401" s="58"/>
      <c r="E9401" s="68"/>
      <c r="F9401" s="13"/>
      <c r="G9401" s="13"/>
      <c r="H9401" s="13"/>
      <c r="I9401" s="13"/>
      <c r="J9401" s="13"/>
      <c r="K9401" s="13"/>
      <c r="L9401" s="13"/>
      <c r="M9401" s="13"/>
      <c r="N9401" s="13"/>
      <c r="O9401" s="13"/>
      <c r="P9401" s="13"/>
      <c r="Q9401" s="13"/>
      <c r="R9401" s="13"/>
      <c r="S9401" s="13"/>
      <c r="T9401" s="13"/>
      <c r="U9401" s="13"/>
      <c r="V9401" s="13"/>
      <c r="W9401" s="13"/>
      <c r="X9401" s="13"/>
      <c r="Y9401" s="13"/>
      <c r="Z9401" s="13"/>
    </row>
    <row r="9402" spans="1:26" ht="12" customHeight="1" outlineLevel="4" x14ac:dyDescent="0.2">
      <c r="A9402" s="40" t="s">
        <v>17910</v>
      </c>
      <c r="B9402" s="75" t="s">
        <v>17911</v>
      </c>
      <c r="C9402" s="51"/>
      <c r="D9402" s="54">
        <f t="shared" si="146"/>
        <v>0</v>
      </c>
      <c r="E9402" s="61" t="str">
        <f>HYPERLINK("https://www.sds-group.ru/product/gril-ugolnyy-510h445h740mm-chernyy-sokol-61-0140/", "Инфо")</f>
        <v>Инфо</v>
      </c>
      <c r="F9402" s="42" t="s">
        <v>39</v>
      </c>
      <c r="G9402" s="41" t="s">
        <v>40</v>
      </c>
      <c r="H9402" s="41"/>
      <c r="I9402" s="41"/>
      <c r="J9402" s="43">
        <v>39</v>
      </c>
      <c r="K9402" s="41"/>
      <c r="L9402" s="43">
        <v>1</v>
      </c>
      <c r="M9402" s="43">
        <v>3</v>
      </c>
      <c r="N9402" s="43">
        <v>1</v>
      </c>
      <c r="O9402" s="44">
        <v>5282.3</v>
      </c>
      <c r="P9402" s="44">
        <v>4329.75</v>
      </c>
      <c r="Q9402" s="44">
        <v>3856.08</v>
      </c>
      <c r="R9402" s="44">
        <v>3160.72</v>
      </c>
      <c r="S9402" s="44">
        <v>3591.96</v>
      </c>
      <c r="T9402" s="44">
        <v>2944.23</v>
      </c>
      <c r="U9402" s="42"/>
      <c r="V9402" s="42"/>
      <c r="W9402" s="42" t="s">
        <v>40</v>
      </c>
      <c r="X9402" s="45">
        <v>4.55</v>
      </c>
      <c r="Y9402" s="46">
        <v>4.5879000000000003E-2</v>
      </c>
      <c r="Z9402" s="21">
        <v>4601004349827</v>
      </c>
    </row>
    <row r="9403" spans="1:26" ht="12" customHeight="1" outlineLevel="4" x14ac:dyDescent="0.2">
      <c r="A9403" s="14" t="s">
        <v>17912</v>
      </c>
      <c r="B9403" s="26" t="s">
        <v>17913</v>
      </c>
      <c r="C9403" s="52"/>
      <c r="D9403" s="55">
        <f t="shared" si="146"/>
        <v>0</v>
      </c>
      <c r="E9403" s="63" t="str">
        <f>HYPERLINK("https://www.sds-group.ru/product/koptilnya-gurman-1-350h250h100mm-odnourovnevaya-v-gofrokartonnoy-korobke-sokol-62-0010/", "Инфо")</f>
        <v>Инфо</v>
      </c>
      <c r="F9403" s="16" t="s">
        <v>39</v>
      </c>
      <c r="G9403" s="15"/>
      <c r="H9403" s="15"/>
      <c r="I9403" s="15"/>
      <c r="J9403" s="22">
        <v>1155</v>
      </c>
      <c r="K9403" s="15"/>
      <c r="L9403" s="17">
        <v>1</v>
      </c>
      <c r="M9403" s="17">
        <v>1</v>
      </c>
      <c r="N9403" s="17">
        <v>1</v>
      </c>
      <c r="O9403" s="18">
        <v>899.43</v>
      </c>
      <c r="P9403" s="18">
        <v>737.24</v>
      </c>
      <c r="Q9403" s="18">
        <v>629.6</v>
      </c>
      <c r="R9403" s="18">
        <v>516.07000000000005</v>
      </c>
      <c r="S9403" s="18">
        <v>611.61</v>
      </c>
      <c r="T9403" s="18">
        <v>501.32</v>
      </c>
      <c r="U9403" s="16"/>
      <c r="V9403" s="16"/>
      <c r="W9403" s="16"/>
      <c r="X9403" s="19">
        <v>1.496</v>
      </c>
      <c r="Y9403" s="20">
        <v>1.2578000000000001E-2</v>
      </c>
      <c r="Z9403" s="21">
        <v>4612745751022</v>
      </c>
    </row>
    <row r="9404" spans="1:26" ht="12" customHeight="1" outlineLevel="4" x14ac:dyDescent="0.2">
      <c r="A9404" s="14" t="s">
        <v>17914</v>
      </c>
      <c r="B9404" s="26" t="s">
        <v>17915</v>
      </c>
      <c r="C9404" s="52"/>
      <c r="D9404" s="55">
        <f t="shared" si="146"/>
        <v>0</v>
      </c>
      <c r="E9404" s="63" t="str">
        <f>HYPERLINK("https://www.sds-group.ru/product/koptilnya-gurman-2-400h280h180mm-dvuhurovnevaya-v-gofrokartonnoy-korobke-sokol-62-0011/", "Инфо")</f>
        <v>Инфо</v>
      </c>
      <c r="F9404" s="16" t="s">
        <v>39</v>
      </c>
      <c r="G9404" s="15"/>
      <c r="H9404" s="15"/>
      <c r="I9404" s="15"/>
      <c r="J9404" s="16" t="s">
        <v>100</v>
      </c>
      <c r="K9404" s="15"/>
      <c r="L9404" s="17">
        <v>1</v>
      </c>
      <c r="M9404" s="17">
        <v>1</v>
      </c>
      <c r="N9404" s="17">
        <v>1</v>
      </c>
      <c r="O9404" s="18">
        <v>1271.43</v>
      </c>
      <c r="P9404" s="18">
        <v>1042.1600000000001</v>
      </c>
      <c r="Q9404" s="18">
        <v>890</v>
      </c>
      <c r="R9404" s="18">
        <v>729.51</v>
      </c>
      <c r="S9404" s="18">
        <v>864.57</v>
      </c>
      <c r="T9404" s="18">
        <v>708.66</v>
      </c>
      <c r="U9404" s="16"/>
      <c r="V9404" s="16"/>
      <c r="W9404" s="16"/>
      <c r="X9404" s="19">
        <v>2.4079999999999999</v>
      </c>
      <c r="Y9404" s="20">
        <v>2.2384999999999999E-2</v>
      </c>
      <c r="Z9404" s="21">
        <v>4612745750032</v>
      </c>
    </row>
    <row r="9405" spans="1:26" ht="12" customHeight="1" outlineLevel="4" x14ac:dyDescent="0.2">
      <c r="A9405" s="14" t="s">
        <v>17916</v>
      </c>
      <c r="B9405" s="26" t="s">
        <v>17917</v>
      </c>
      <c r="C9405" s="52"/>
      <c r="D9405" s="55">
        <f t="shared" si="146"/>
        <v>0</v>
      </c>
      <c r="E9405" s="63" t="str">
        <f>HYPERLINK("https://www.sds-group.ru/product/nabor-dlya-kopcheniya-koptilnya-dvuhurovnevaya-gurman-2-schepa-sokol-30288/", "Инфо")</f>
        <v>Инфо</v>
      </c>
      <c r="F9405" s="16" t="s">
        <v>4698</v>
      </c>
      <c r="G9405" s="15"/>
      <c r="H9405" s="15"/>
      <c r="I9405" s="15"/>
      <c r="J9405" s="16" t="s">
        <v>100</v>
      </c>
      <c r="K9405" s="15"/>
      <c r="L9405" s="17">
        <v>1</v>
      </c>
      <c r="M9405" s="17">
        <v>1</v>
      </c>
      <c r="N9405" s="17">
        <v>1</v>
      </c>
      <c r="O9405" s="18">
        <v>1337.3</v>
      </c>
      <c r="P9405" s="18">
        <v>1096.1500000000001</v>
      </c>
      <c r="Q9405" s="18">
        <v>1056.47</v>
      </c>
      <c r="R9405" s="18">
        <v>865.96</v>
      </c>
      <c r="S9405" s="18">
        <v>909.36</v>
      </c>
      <c r="T9405" s="18">
        <v>745.38</v>
      </c>
      <c r="U9405" s="16"/>
      <c r="V9405" s="16"/>
      <c r="W9405" s="16" t="s">
        <v>40</v>
      </c>
      <c r="X9405" s="19">
        <v>4.0289999999999999</v>
      </c>
      <c r="Y9405" s="20">
        <v>3.3564999999999998E-2</v>
      </c>
      <c r="Z9405" s="21">
        <v>4601004293588</v>
      </c>
    </row>
    <row r="9406" spans="1:26" ht="12" customHeight="1" outlineLevel="4" x14ac:dyDescent="0.2">
      <c r="A9406" s="14" t="s">
        <v>17918</v>
      </c>
      <c r="B9406" s="26" t="s">
        <v>17919</v>
      </c>
      <c r="C9406" s="52"/>
      <c r="D9406" s="55">
        <f t="shared" si="146"/>
        <v>0</v>
      </c>
      <c r="E9406" s="63" t="str">
        <f>HYPERLINK("https://www.sds-group.ru/product/nabor-dlya-kopcheniya-koptilnya-odnourovnevaya-gurman-1-schepa-sokol-62-0010-1/", "Инфо")</f>
        <v>Инфо</v>
      </c>
      <c r="F9406" s="16" t="s">
        <v>4698</v>
      </c>
      <c r="G9406" s="15"/>
      <c r="H9406" s="15"/>
      <c r="I9406" s="15"/>
      <c r="J9406" s="16" t="s">
        <v>100</v>
      </c>
      <c r="K9406" s="15"/>
      <c r="L9406" s="17">
        <v>1</v>
      </c>
      <c r="M9406" s="17">
        <v>1</v>
      </c>
      <c r="N9406" s="17">
        <v>1</v>
      </c>
      <c r="O9406" s="18">
        <v>946.13</v>
      </c>
      <c r="P9406" s="18">
        <v>775.52</v>
      </c>
      <c r="Q9406" s="18">
        <v>756.9</v>
      </c>
      <c r="R9406" s="18">
        <v>620.41</v>
      </c>
      <c r="S9406" s="18">
        <v>643.37</v>
      </c>
      <c r="T9406" s="18">
        <v>527.35</v>
      </c>
      <c r="U9406" s="16"/>
      <c r="V9406" s="16"/>
      <c r="W9406" s="16" t="s">
        <v>40</v>
      </c>
      <c r="X9406" s="19">
        <v>1.885</v>
      </c>
      <c r="Y9406" s="20">
        <v>1.3578E-2</v>
      </c>
      <c r="Z9406" s="21">
        <v>4601004292451</v>
      </c>
    </row>
    <row r="9407" spans="1:26" ht="12.95" customHeight="1" outlineLevel="3" x14ac:dyDescent="0.2">
      <c r="A9407" s="76" t="s">
        <v>17920</v>
      </c>
      <c r="B9407" s="76"/>
      <c r="C9407" s="77"/>
      <c r="D9407" s="58"/>
      <c r="E9407" s="68"/>
      <c r="F9407" s="13"/>
      <c r="G9407" s="13"/>
      <c r="H9407" s="13"/>
      <c r="I9407" s="13"/>
      <c r="J9407" s="13"/>
      <c r="K9407" s="13"/>
      <c r="L9407" s="13"/>
      <c r="M9407" s="13"/>
      <c r="N9407" s="13"/>
      <c r="O9407" s="13"/>
      <c r="P9407" s="13"/>
      <c r="Q9407" s="13"/>
      <c r="R9407" s="13"/>
      <c r="S9407" s="13"/>
      <c r="T9407" s="13"/>
      <c r="U9407" s="13"/>
      <c r="V9407" s="13"/>
      <c r="W9407" s="13"/>
      <c r="X9407" s="13"/>
      <c r="Y9407" s="13"/>
      <c r="Z9407" s="13"/>
    </row>
    <row r="9408" spans="1:26" ht="12" customHeight="1" outlineLevel="4" x14ac:dyDescent="0.2">
      <c r="A9408" s="14" t="s">
        <v>17921</v>
      </c>
      <c r="B9408" s="26" t="s">
        <v>17922</v>
      </c>
      <c r="C9408" s="52"/>
      <c r="D9408" s="55">
        <f t="shared" si="146"/>
        <v>0</v>
      </c>
      <c r="E9408" s="63" t="str">
        <f>HYPERLINK("https://www.sds-group.ru/product/nabor-shampurov-uglovih-6h500mm-v-chehle-sokol-11528/", "Инфо")</f>
        <v>Инфо</v>
      </c>
      <c r="F9408" s="16" t="s">
        <v>1001</v>
      </c>
      <c r="G9408" s="15"/>
      <c r="H9408" s="15"/>
      <c r="I9408" s="15"/>
      <c r="J9408" s="17">
        <v>218</v>
      </c>
      <c r="K9408" s="15"/>
      <c r="L9408" s="17">
        <v>1</v>
      </c>
      <c r="M9408" s="17">
        <v>30</v>
      </c>
      <c r="N9408" s="17">
        <v>1</v>
      </c>
      <c r="O9408" s="18">
        <v>421.87</v>
      </c>
      <c r="P9408" s="18">
        <v>345.8</v>
      </c>
      <c r="Q9408" s="18">
        <v>337.5</v>
      </c>
      <c r="R9408" s="18">
        <v>276.64</v>
      </c>
      <c r="S9408" s="18">
        <v>286.87</v>
      </c>
      <c r="T9408" s="18">
        <v>235.14</v>
      </c>
      <c r="U9408" s="16"/>
      <c r="V9408" s="16"/>
      <c r="W9408" s="16" t="s">
        <v>40</v>
      </c>
      <c r="X9408" s="19">
        <v>0.34200000000000003</v>
      </c>
      <c r="Y9408" s="20">
        <v>1.4499999999999999E-3</v>
      </c>
      <c r="Z9408" s="21">
        <v>4612745750322</v>
      </c>
    </row>
    <row r="9409" spans="1:26" ht="12" customHeight="1" outlineLevel="4" x14ac:dyDescent="0.2">
      <c r="A9409" s="32" t="s">
        <v>17923</v>
      </c>
      <c r="B9409" s="74" t="s">
        <v>17924</v>
      </c>
      <c r="C9409" s="50"/>
      <c r="D9409" s="53">
        <f t="shared" si="146"/>
        <v>0</v>
      </c>
      <c r="E9409" s="60" t="str">
        <f>HYPERLINK("https://www.sds-group.ru/product/shampur-uglovoy-450h10mm-tolschina-1mm-sokol-62-0015/", "Инфо")</f>
        <v>Инфо</v>
      </c>
      <c r="F9409" s="34" t="s">
        <v>39</v>
      </c>
      <c r="G9409" s="33"/>
      <c r="H9409" s="33" t="s">
        <v>40</v>
      </c>
      <c r="I9409" s="33"/>
      <c r="J9409" s="35">
        <v>20</v>
      </c>
      <c r="K9409" s="33"/>
      <c r="L9409" s="35">
        <v>1</v>
      </c>
      <c r="M9409" s="35">
        <v>100</v>
      </c>
      <c r="N9409" s="35">
        <v>1</v>
      </c>
      <c r="O9409" s="36">
        <v>80.849999999999994</v>
      </c>
      <c r="P9409" s="36">
        <v>66.27</v>
      </c>
      <c r="Q9409" s="36">
        <v>56.6</v>
      </c>
      <c r="R9409" s="36">
        <v>46.39</v>
      </c>
      <c r="S9409" s="36">
        <v>54.98</v>
      </c>
      <c r="T9409" s="36">
        <v>45.07</v>
      </c>
      <c r="U9409" s="34"/>
      <c r="V9409" s="34"/>
      <c r="W9409" s="34"/>
      <c r="X9409" s="37">
        <v>3.9E-2</v>
      </c>
      <c r="Y9409" s="38">
        <v>9.3999999999999994E-5</v>
      </c>
      <c r="Z9409" s="21">
        <v>4612745750209</v>
      </c>
    </row>
    <row r="9410" spans="1:26" ht="12.95" customHeight="1" outlineLevel="3" x14ac:dyDescent="0.2">
      <c r="A9410" s="76" t="s">
        <v>17925</v>
      </c>
      <c r="B9410" s="76"/>
      <c r="C9410" s="77"/>
      <c r="D9410" s="58"/>
      <c r="E9410" s="68"/>
      <c r="F9410" s="13"/>
      <c r="G9410" s="13"/>
      <c r="H9410" s="13"/>
      <c r="I9410" s="13"/>
      <c r="J9410" s="13"/>
      <c r="K9410" s="13"/>
      <c r="L9410" s="13"/>
      <c r="M9410" s="13"/>
      <c r="N9410" s="13"/>
      <c r="O9410" s="13"/>
      <c r="P9410" s="13"/>
      <c r="Q9410" s="13"/>
      <c r="R9410" s="13"/>
      <c r="S9410" s="13"/>
      <c r="T9410" s="13"/>
      <c r="U9410" s="13"/>
      <c r="V9410" s="13"/>
      <c r="W9410" s="13"/>
      <c r="X9410" s="13"/>
      <c r="Y9410" s="13"/>
      <c r="Z9410" s="13"/>
    </row>
    <row r="9411" spans="1:26" ht="12" customHeight="1" outlineLevel="4" x14ac:dyDescent="0.2">
      <c r="A9411" s="32" t="s">
        <v>17926</v>
      </c>
      <c r="B9411" s="74" t="s">
        <v>17927</v>
      </c>
      <c r="C9411" s="50"/>
      <c r="D9411" s="53">
        <f t="shared" si="146"/>
        <v>0</v>
      </c>
      <c r="E9411" s="60" t="str">
        <f>HYPERLINK("https://www.sds-group.ru/product/derzhatel-dlya-hraneniya-shampurov-i-aksessuarov-dlya-barbekyu-nastennyy-nerzhaveyuschaya-st-62-0076/", "Инфо")</f>
        <v>Инфо</v>
      </c>
      <c r="F9411" s="34" t="s">
        <v>39</v>
      </c>
      <c r="G9411" s="33"/>
      <c r="H9411" s="33" t="s">
        <v>40</v>
      </c>
      <c r="I9411" s="33"/>
      <c r="J9411" s="35">
        <v>64</v>
      </c>
      <c r="K9411" s="33"/>
      <c r="L9411" s="35">
        <v>1</v>
      </c>
      <c r="M9411" s="35">
        <v>12</v>
      </c>
      <c r="N9411" s="35">
        <v>1</v>
      </c>
      <c r="O9411" s="36">
        <v>727.78</v>
      </c>
      <c r="P9411" s="36">
        <v>596.54</v>
      </c>
      <c r="Q9411" s="36">
        <v>509.45</v>
      </c>
      <c r="R9411" s="36">
        <v>417.58</v>
      </c>
      <c r="S9411" s="36">
        <v>494.89</v>
      </c>
      <c r="T9411" s="36">
        <v>405.65</v>
      </c>
      <c r="U9411" s="34"/>
      <c r="V9411" s="34"/>
      <c r="W9411" s="34"/>
      <c r="X9411" s="37">
        <v>0.185</v>
      </c>
      <c r="Y9411" s="38">
        <v>1.8259999999999999E-3</v>
      </c>
      <c r="Z9411" s="21">
        <v>4601004310667</v>
      </c>
    </row>
    <row r="9412" spans="1:26" ht="12" customHeight="1" outlineLevel="4" x14ac:dyDescent="0.2">
      <c r="A9412" s="32" t="s">
        <v>17928</v>
      </c>
      <c r="B9412" s="74" t="s">
        <v>17929</v>
      </c>
      <c r="C9412" s="50"/>
      <c r="D9412" s="53">
        <f t="shared" si="146"/>
        <v>0</v>
      </c>
      <c r="E9412" s="60" t="str">
        <f>HYPERLINK("https://www.sds-group.ru/product/derzhatel-dlya-hraneniya-shampurov-i-aksessuarov-dlya-barbekyu-nastennyy-chernyy-sokol-62-0059/", "Инфо")</f>
        <v>Инфо</v>
      </c>
      <c r="F9412" s="34" t="s">
        <v>39</v>
      </c>
      <c r="G9412" s="33"/>
      <c r="H9412" s="33" t="s">
        <v>40</v>
      </c>
      <c r="I9412" s="33"/>
      <c r="J9412" s="35">
        <v>50</v>
      </c>
      <c r="K9412" s="33"/>
      <c r="L9412" s="35">
        <v>1</v>
      </c>
      <c r="M9412" s="35">
        <v>12</v>
      </c>
      <c r="N9412" s="35">
        <v>1</v>
      </c>
      <c r="O9412" s="36">
        <v>621.61</v>
      </c>
      <c r="P9412" s="36">
        <v>509.52</v>
      </c>
      <c r="Q9412" s="36">
        <v>435.13</v>
      </c>
      <c r="R9412" s="36">
        <v>356.66</v>
      </c>
      <c r="S9412" s="36">
        <v>422.69</v>
      </c>
      <c r="T9412" s="36">
        <v>346.47</v>
      </c>
      <c r="U9412" s="34"/>
      <c r="V9412" s="34"/>
      <c r="W9412" s="34"/>
      <c r="X9412" s="37">
        <v>0.21299999999999999</v>
      </c>
      <c r="Y9412" s="38">
        <v>1.8630000000000001E-3</v>
      </c>
      <c r="Z9412" s="21">
        <v>4601004310636</v>
      </c>
    </row>
    <row r="9413" spans="1:26" ht="12" customHeight="1" outlineLevel="4" x14ac:dyDescent="0.2">
      <c r="A9413" s="32" t="s">
        <v>17930</v>
      </c>
      <c r="B9413" s="74" t="s">
        <v>17931</v>
      </c>
      <c r="C9413" s="50"/>
      <c r="D9413" s="53">
        <f t="shared" si="146"/>
        <v>0</v>
      </c>
      <c r="E9413" s="60" t="str">
        <f>HYPERLINK("https://www.sds-group.ru/product/derzhatel-dlya-hraneniya-shampurov-nastennyy-nerzhaveyuschaya-stal-sokol-62-0078/", "Инфо")</f>
        <v>Инфо</v>
      </c>
      <c r="F9413" s="34" t="s">
        <v>39</v>
      </c>
      <c r="G9413" s="33"/>
      <c r="H9413" s="33" t="s">
        <v>40</v>
      </c>
      <c r="I9413" s="33"/>
      <c r="J9413" s="35">
        <v>56</v>
      </c>
      <c r="K9413" s="33"/>
      <c r="L9413" s="35">
        <v>1</v>
      </c>
      <c r="M9413" s="35">
        <v>10</v>
      </c>
      <c r="N9413" s="35">
        <v>1</v>
      </c>
      <c r="O9413" s="36">
        <v>503.18</v>
      </c>
      <c r="P9413" s="36">
        <v>412.44</v>
      </c>
      <c r="Q9413" s="36">
        <v>352.23</v>
      </c>
      <c r="R9413" s="36">
        <v>288.70999999999998</v>
      </c>
      <c r="S9413" s="36">
        <v>342.16</v>
      </c>
      <c r="T9413" s="36">
        <v>280.45999999999998</v>
      </c>
      <c r="U9413" s="34"/>
      <c r="V9413" s="34"/>
      <c r="W9413" s="34"/>
      <c r="X9413" s="37">
        <v>0.115</v>
      </c>
      <c r="Y9413" s="38">
        <v>9.6599999999999995E-4</v>
      </c>
      <c r="Z9413" s="21">
        <v>4601004310643</v>
      </c>
    </row>
    <row r="9414" spans="1:26" ht="12" customHeight="1" outlineLevel="4" x14ac:dyDescent="0.2">
      <c r="A9414" s="32" t="s">
        <v>17932</v>
      </c>
      <c r="B9414" s="74" t="s">
        <v>17933</v>
      </c>
      <c r="C9414" s="50"/>
      <c r="D9414" s="53">
        <f t="shared" si="146"/>
        <v>0</v>
      </c>
      <c r="E9414" s="60" t="str">
        <f>HYPERLINK("https://www.sds-group.ru/product/derzhatel-dlya-hraneniya-shampurov-nastennyy-chernyy-sokol-62-0077/", "Инфо")</f>
        <v>Инфо</v>
      </c>
      <c r="F9414" s="34" t="s">
        <v>39</v>
      </c>
      <c r="G9414" s="33"/>
      <c r="H9414" s="33" t="s">
        <v>40</v>
      </c>
      <c r="I9414" s="33"/>
      <c r="J9414" s="35">
        <v>27</v>
      </c>
      <c r="K9414" s="33"/>
      <c r="L9414" s="35">
        <v>1</v>
      </c>
      <c r="M9414" s="35">
        <v>10</v>
      </c>
      <c r="N9414" s="35">
        <v>1</v>
      </c>
      <c r="O9414" s="36">
        <v>491.67</v>
      </c>
      <c r="P9414" s="36">
        <v>403.01</v>
      </c>
      <c r="Q9414" s="36">
        <v>344.17</v>
      </c>
      <c r="R9414" s="36">
        <v>282.11</v>
      </c>
      <c r="S9414" s="36">
        <v>334.34</v>
      </c>
      <c r="T9414" s="36">
        <v>274.05</v>
      </c>
      <c r="U9414" s="34"/>
      <c r="V9414" s="34"/>
      <c r="W9414" s="34"/>
      <c r="X9414" s="37">
        <v>0.13200000000000001</v>
      </c>
      <c r="Y9414" s="38">
        <v>9.7099999999999997E-4</v>
      </c>
      <c r="Z9414" s="21">
        <v>4601004310650</v>
      </c>
    </row>
    <row r="9415" spans="1:26" ht="12" customHeight="1" outlineLevel="4" x14ac:dyDescent="0.2">
      <c r="A9415" s="14" t="s">
        <v>17934</v>
      </c>
      <c r="B9415" s="26" t="s">
        <v>17935</v>
      </c>
      <c r="C9415" s="52"/>
      <c r="D9415" s="55">
        <f t="shared" si="146"/>
        <v>0</v>
      </c>
      <c r="E9415" s="63" t="str">
        <f>HYPERLINK("https://www.sds-group.ru/product/lopatka-dlya-grilya-44sm-sokol-62-0041/", "Инфо")</f>
        <v>Инфо</v>
      </c>
      <c r="F9415" s="16" t="s">
        <v>39</v>
      </c>
      <c r="G9415" s="15"/>
      <c r="H9415" s="15"/>
      <c r="I9415" s="15"/>
      <c r="J9415" s="17">
        <v>577</v>
      </c>
      <c r="K9415" s="15"/>
      <c r="L9415" s="17">
        <v>1</v>
      </c>
      <c r="M9415" s="17">
        <v>24</v>
      </c>
      <c r="N9415" s="17">
        <v>1</v>
      </c>
      <c r="O9415" s="18">
        <v>962.2</v>
      </c>
      <c r="P9415" s="18">
        <v>788.69</v>
      </c>
      <c r="Q9415" s="18">
        <v>673.54</v>
      </c>
      <c r="R9415" s="18">
        <v>552.08000000000004</v>
      </c>
      <c r="S9415" s="18">
        <v>654.29999999999995</v>
      </c>
      <c r="T9415" s="18">
        <v>536.30999999999995</v>
      </c>
      <c r="U9415" s="16"/>
      <c r="V9415" s="16"/>
      <c r="W9415" s="16" t="s">
        <v>40</v>
      </c>
      <c r="X9415" s="19">
        <v>0.31</v>
      </c>
      <c r="Y9415" s="20">
        <v>8.2799999999999996E-4</v>
      </c>
      <c r="Z9415" s="21">
        <v>4601004198319</v>
      </c>
    </row>
    <row r="9416" spans="1:26" ht="12" customHeight="1" outlineLevel="4" x14ac:dyDescent="0.2">
      <c r="A9416" s="14" t="s">
        <v>17936</v>
      </c>
      <c r="B9416" s="26" t="s">
        <v>17937</v>
      </c>
      <c r="C9416" s="52"/>
      <c r="D9416" s="55">
        <f t="shared" si="146"/>
        <v>0</v>
      </c>
      <c r="E9416" s="63" t="str">
        <f>HYPERLINK("https://www.sds-group.ru/product/nabor-lopatka-i-schiptsy-dlya-grilya-komfort-termoplastichnaya-rukoyatka-sokol-62-0047/", "Инфо")</f>
        <v>Инфо</v>
      </c>
      <c r="F9416" s="16" t="s">
        <v>39</v>
      </c>
      <c r="G9416" s="15"/>
      <c r="H9416" s="15"/>
      <c r="I9416" s="15"/>
      <c r="J9416" s="17">
        <v>2</v>
      </c>
      <c r="K9416" s="15"/>
      <c r="L9416" s="17">
        <v>1</v>
      </c>
      <c r="M9416" s="17">
        <v>24</v>
      </c>
      <c r="N9416" s="17">
        <v>1</v>
      </c>
      <c r="O9416" s="18">
        <v>2740.52</v>
      </c>
      <c r="P9416" s="18">
        <v>2246.33</v>
      </c>
      <c r="Q9416" s="18">
        <v>1918.36</v>
      </c>
      <c r="R9416" s="18">
        <v>1572.43</v>
      </c>
      <c r="S9416" s="18">
        <v>1863.55</v>
      </c>
      <c r="T9416" s="18">
        <v>1527.5</v>
      </c>
      <c r="U9416" s="16"/>
      <c r="V9416" s="16"/>
      <c r="W9416" s="16"/>
      <c r="X9416" s="19">
        <v>0.70499999999999996</v>
      </c>
      <c r="Y9416" s="20">
        <v>2.0830000000000002E-3</v>
      </c>
      <c r="Z9416" s="21">
        <v>4601004198289</v>
      </c>
    </row>
    <row r="9417" spans="1:26" ht="12" customHeight="1" outlineLevel="4" x14ac:dyDescent="0.2">
      <c r="A9417" s="14" t="s">
        <v>17938</v>
      </c>
      <c r="B9417" s="26" t="s">
        <v>17939</v>
      </c>
      <c r="C9417" s="52"/>
      <c r="D9417" s="55">
        <f t="shared" ref="D9417:D9480" si="147">C9417*(O9417-O9417*$G$3)</f>
        <v>0</v>
      </c>
      <c r="E9417" s="63" t="str">
        <f>HYPERLINK("https://www.sds-group.ru/product/nabor-schiptsy-vilka-i-lopatka-dlya-grilya-standart-sokol-62-0053/", "Инфо")</f>
        <v>Инфо</v>
      </c>
      <c r="F9417" s="16" t="s">
        <v>39</v>
      </c>
      <c r="G9417" s="15"/>
      <c r="H9417" s="15"/>
      <c r="I9417" s="15"/>
      <c r="J9417" s="17">
        <v>150</v>
      </c>
      <c r="K9417" s="15"/>
      <c r="L9417" s="17">
        <v>1</v>
      </c>
      <c r="M9417" s="17">
        <v>24</v>
      </c>
      <c r="N9417" s="17">
        <v>1</v>
      </c>
      <c r="O9417" s="18">
        <v>2372.34</v>
      </c>
      <c r="P9417" s="18">
        <v>1944.54</v>
      </c>
      <c r="Q9417" s="18">
        <v>1660.64</v>
      </c>
      <c r="R9417" s="18">
        <v>1361.18</v>
      </c>
      <c r="S9417" s="18">
        <v>1613.19</v>
      </c>
      <c r="T9417" s="18">
        <v>1322.29</v>
      </c>
      <c r="U9417" s="16"/>
      <c r="V9417" s="16"/>
      <c r="W9417" s="16"/>
      <c r="X9417" s="19">
        <v>0.77200000000000002</v>
      </c>
      <c r="Y9417" s="20">
        <v>1.9680000000000001E-3</v>
      </c>
      <c r="Z9417" s="21">
        <v>4601004198272</v>
      </c>
    </row>
    <row r="9418" spans="1:26" ht="12" customHeight="1" outlineLevel="4" x14ac:dyDescent="0.2">
      <c r="A9418" s="14" t="s">
        <v>17940</v>
      </c>
      <c r="B9418" s="26" t="s">
        <v>17941</v>
      </c>
      <c r="C9418" s="52"/>
      <c r="D9418" s="55">
        <f t="shared" si="147"/>
        <v>0</v>
      </c>
      <c r="E9418" s="63" t="str">
        <f>HYPERLINK("https://www.sds-group.ru/product/nabor-schiptsy-schetka-i-lopatka-dlya-grilya-komfort-termoplastichnaya-rukoyatka-sokol-62-0048/", "Инфо")</f>
        <v>Инфо</v>
      </c>
      <c r="F9418" s="16" t="s">
        <v>39</v>
      </c>
      <c r="G9418" s="15"/>
      <c r="H9418" s="15"/>
      <c r="I9418" s="15"/>
      <c r="J9418" s="16" t="s">
        <v>100</v>
      </c>
      <c r="K9418" s="15"/>
      <c r="L9418" s="17">
        <v>1</v>
      </c>
      <c r="M9418" s="17">
        <v>12</v>
      </c>
      <c r="N9418" s="17">
        <v>1</v>
      </c>
      <c r="O9418" s="18">
        <v>4303.01</v>
      </c>
      <c r="P9418" s="18">
        <v>3527.06</v>
      </c>
      <c r="Q9418" s="18">
        <v>3012.11</v>
      </c>
      <c r="R9418" s="18">
        <v>2468.94</v>
      </c>
      <c r="S9418" s="18">
        <v>2926.05</v>
      </c>
      <c r="T9418" s="18">
        <v>2398.4</v>
      </c>
      <c r="U9418" s="16"/>
      <c r="V9418" s="16"/>
      <c r="W9418" s="16"/>
      <c r="X9418" s="19">
        <v>1.0129999999999999</v>
      </c>
      <c r="Y9418" s="20">
        <v>5.8650000000000004E-3</v>
      </c>
      <c r="Z9418" s="21">
        <v>4601004198296</v>
      </c>
    </row>
    <row r="9419" spans="1:26" ht="12" customHeight="1" outlineLevel="4" x14ac:dyDescent="0.2">
      <c r="A9419" s="32" t="s">
        <v>17942</v>
      </c>
      <c r="B9419" s="74" t="s">
        <v>17943</v>
      </c>
      <c r="C9419" s="50"/>
      <c r="D9419" s="53">
        <f t="shared" si="147"/>
        <v>0</v>
      </c>
      <c r="E9419" s="60" t="str">
        <f>HYPERLINK("https://www.sds-group.ru/product/opahalo-dlya-mangala-32h21sm-sokol-62-0069/", "Инфо")</f>
        <v>Инфо</v>
      </c>
      <c r="F9419" s="34" t="s">
        <v>39</v>
      </c>
      <c r="G9419" s="33"/>
      <c r="H9419" s="33" t="s">
        <v>40</v>
      </c>
      <c r="I9419" s="33"/>
      <c r="J9419" s="35">
        <v>2</v>
      </c>
      <c r="K9419" s="33"/>
      <c r="L9419" s="35">
        <v>1</v>
      </c>
      <c r="M9419" s="35">
        <v>90</v>
      </c>
      <c r="N9419" s="35">
        <v>1</v>
      </c>
      <c r="O9419" s="36">
        <v>91.69</v>
      </c>
      <c r="P9419" s="36">
        <v>75.16</v>
      </c>
      <c r="Q9419" s="36">
        <v>64.180000000000007</v>
      </c>
      <c r="R9419" s="36">
        <v>52.61</v>
      </c>
      <c r="S9419" s="36">
        <v>62.35</v>
      </c>
      <c r="T9419" s="36">
        <v>51.11</v>
      </c>
      <c r="U9419" s="34"/>
      <c r="V9419" s="34"/>
      <c r="W9419" s="34"/>
      <c r="X9419" s="37">
        <v>7.0999999999999994E-2</v>
      </c>
      <c r="Y9419" s="38">
        <v>1.2210000000000001E-3</v>
      </c>
      <c r="Z9419" s="21">
        <v>4601004234369</v>
      </c>
    </row>
    <row r="9420" spans="1:26" ht="12" customHeight="1" outlineLevel="4" x14ac:dyDescent="0.2">
      <c r="A9420" s="14" t="s">
        <v>17944</v>
      </c>
      <c r="B9420" s="26" t="s">
        <v>17945</v>
      </c>
      <c r="C9420" s="52"/>
      <c r="D9420" s="55">
        <f t="shared" si="147"/>
        <v>0</v>
      </c>
      <c r="E9420" s="63" t="str">
        <f>HYPERLINK("https://www.sds-group.ru/product/portativniy-dush-s-akkumulyatorom-usb-rexant-29069/", "Инфо")</f>
        <v>Инфо</v>
      </c>
      <c r="F9420" s="16" t="s">
        <v>39</v>
      </c>
      <c r="G9420" s="15"/>
      <c r="H9420" s="15"/>
      <c r="I9420" s="15"/>
      <c r="J9420" s="17">
        <v>1</v>
      </c>
      <c r="K9420" s="15"/>
      <c r="L9420" s="17">
        <v>1</v>
      </c>
      <c r="M9420" s="17">
        <v>20</v>
      </c>
      <c r="N9420" s="17">
        <v>1</v>
      </c>
      <c r="O9420" s="18">
        <v>4179.05</v>
      </c>
      <c r="P9420" s="18">
        <v>3425.45</v>
      </c>
      <c r="Q9420" s="18">
        <v>2925.34</v>
      </c>
      <c r="R9420" s="18">
        <v>2397.8200000000002</v>
      </c>
      <c r="S9420" s="18">
        <v>2841.75</v>
      </c>
      <c r="T9420" s="18">
        <v>2329.3000000000002</v>
      </c>
      <c r="U9420" s="16"/>
      <c r="V9420" s="16"/>
      <c r="W9420" s="16"/>
      <c r="X9420" s="19">
        <v>0.76700000000000002</v>
      </c>
      <c r="Y9420" s="20">
        <v>4.2719999999999998E-3</v>
      </c>
      <c r="Z9420" s="21">
        <v>4601004248625</v>
      </c>
    </row>
    <row r="9421" spans="1:26" ht="12" customHeight="1" outlineLevel="4" x14ac:dyDescent="0.2">
      <c r="A9421" s="14" t="s">
        <v>17946</v>
      </c>
      <c r="B9421" s="26" t="s">
        <v>17947</v>
      </c>
      <c r="C9421" s="52"/>
      <c r="D9421" s="55">
        <f t="shared" si="147"/>
        <v>0</v>
      </c>
      <c r="E9421" s="63" t="str">
        <f>HYPERLINK("https://www.sds-group.ru/product/sadoviy-dush-na-shtative-reguliruemiy-chetire-sezona-30575/", "Инфо")</f>
        <v>Инфо</v>
      </c>
      <c r="F9421" s="16" t="s">
        <v>39</v>
      </c>
      <c r="G9421" s="15"/>
      <c r="H9421" s="15"/>
      <c r="I9421" s="15"/>
      <c r="J9421" s="16" t="s">
        <v>100</v>
      </c>
      <c r="K9421" s="15"/>
      <c r="L9421" s="17">
        <v>1</v>
      </c>
      <c r="M9421" s="17">
        <v>12</v>
      </c>
      <c r="N9421" s="17">
        <v>1</v>
      </c>
      <c r="O9421" s="18">
        <v>2885.53</v>
      </c>
      <c r="P9421" s="18">
        <v>2365.19</v>
      </c>
      <c r="Q9421" s="18">
        <v>2019.87</v>
      </c>
      <c r="R9421" s="18">
        <v>1655.63</v>
      </c>
      <c r="S9421" s="18">
        <v>1962.16</v>
      </c>
      <c r="T9421" s="18">
        <v>1608.33</v>
      </c>
      <c r="U9421" s="16"/>
      <c r="V9421" s="16"/>
      <c r="W9421" s="16"/>
      <c r="X9421" s="19">
        <v>0.93300000000000005</v>
      </c>
      <c r="Y9421" s="20">
        <v>1.1841000000000001E-2</v>
      </c>
      <c r="Z9421" s="21">
        <v>4601004291416</v>
      </c>
    </row>
    <row r="9422" spans="1:26" ht="12" customHeight="1" outlineLevel="4" x14ac:dyDescent="0.2">
      <c r="A9422" s="14" t="s">
        <v>17948</v>
      </c>
      <c r="B9422" s="26" t="s">
        <v>17949</v>
      </c>
      <c r="C9422" s="52"/>
      <c r="D9422" s="55">
        <f t="shared" si="147"/>
        <v>0</v>
      </c>
      <c r="E9422" s="63" t="str">
        <f>HYPERLINK("https://www.sds-group.ru/product/starter-dlya-rozzhiga-nerzhaveyuschaya-stal-vysota-300mm-obem-6l-sokol-62-0071/", "Инфо")</f>
        <v>Инфо</v>
      </c>
      <c r="F9422" s="16" t="s">
        <v>39</v>
      </c>
      <c r="G9422" s="15"/>
      <c r="H9422" s="15"/>
      <c r="I9422" s="15"/>
      <c r="J9422" s="17">
        <v>130</v>
      </c>
      <c r="K9422" s="15"/>
      <c r="L9422" s="17">
        <v>1</v>
      </c>
      <c r="M9422" s="17">
        <v>1</v>
      </c>
      <c r="N9422" s="17">
        <v>1</v>
      </c>
      <c r="O9422" s="18">
        <v>1880.58</v>
      </c>
      <c r="P9422" s="18">
        <v>1541.46</v>
      </c>
      <c r="Q9422" s="18">
        <v>1316.41</v>
      </c>
      <c r="R9422" s="18">
        <v>1079.02</v>
      </c>
      <c r="S9422" s="18">
        <v>1278.79</v>
      </c>
      <c r="T9422" s="18">
        <v>1048.19</v>
      </c>
      <c r="U9422" s="16"/>
      <c r="V9422" s="16"/>
      <c r="W9422" s="16"/>
      <c r="X9422" s="19">
        <v>1.466</v>
      </c>
      <c r="Y9422" s="20">
        <v>1.1063E-2</v>
      </c>
      <c r="Z9422" s="21">
        <v>4601004273801</v>
      </c>
    </row>
    <row r="9423" spans="1:26" ht="12" customHeight="1" outlineLevel="4" x14ac:dyDescent="0.2">
      <c r="A9423" s="14" t="s">
        <v>17950</v>
      </c>
      <c r="B9423" s="26" t="s">
        <v>17951</v>
      </c>
      <c r="C9423" s="52"/>
      <c r="D9423" s="55">
        <f t="shared" si="147"/>
        <v>0</v>
      </c>
      <c r="E9423" s="63" t="str">
        <f>HYPERLINK("https://www.sds-group.ru/product/starter-dlya-rozzhiga-stal-vysota-300mm-obem-6l-sokol-62-0070/", "Инфо")</f>
        <v>Инфо</v>
      </c>
      <c r="F9423" s="16" t="s">
        <v>39</v>
      </c>
      <c r="G9423" s="15"/>
      <c r="H9423" s="15"/>
      <c r="I9423" s="15"/>
      <c r="J9423" s="22">
        <v>1714</v>
      </c>
      <c r="K9423" s="15"/>
      <c r="L9423" s="17">
        <v>1</v>
      </c>
      <c r="M9423" s="17">
        <v>1</v>
      </c>
      <c r="N9423" s="17">
        <v>1</v>
      </c>
      <c r="O9423" s="18">
        <v>1359.39</v>
      </c>
      <c r="P9423" s="18">
        <v>1114.25</v>
      </c>
      <c r="Q9423" s="18">
        <v>951.57</v>
      </c>
      <c r="R9423" s="18">
        <v>779.98</v>
      </c>
      <c r="S9423" s="18">
        <v>924.39</v>
      </c>
      <c r="T9423" s="18">
        <v>757.7</v>
      </c>
      <c r="U9423" s="16"/>
      <c r="V9423" s="16"/>
      <c r="W9423" s="16"/>
      <c r="X9423" s="19">
        <v>1.502</v>
      </c>
      <c r="Y9423" s="20">
        <v>1.0670000000000001E-2</v>
      </c>
      <c r="Z9423" s="21">
        <v>4601004273795</v>
      </c>
    </row>
    <row r="9424" spans="1:26" ht="12" customHeight="1" outlineLevel="4" x14ac:dyDescent="0.2">
      <c r="A9424" s="14" t="s">
        <v>17952</v>
      </c>
      <c r="B9424" s="26" t="s">
        <v>17953</v>
      </c>
      <c r="C9424" s="52"/>
      <c r="D9424" s="55">
        <f t="shared" si="147"/>
        <v>0</v>
      </c>
      <c r="E9424" s="63" t="str">
        <f>HYPERLINK("https://www.sds-group.ru/product/trenoga-kostrovaya-s-tsepyu-v-chehle-1000mm-tolschina-0-8mm-sokol-62-0009/", "Инфо")</f>
        <v>Инфо</v>
      </c>
      <c r="F9424" s="16" t="s">
        <v>39</v>
      </c>
      <c r="G9424" s="15"/>
      <c r="H9424" s="15"/>
      <c r="I9424" s="15"/>
      <c r="J9424" s="17">
        <v>23</v>
      </c>
      <c r="K9424" s="15"/>
      <c r="L9424" s="17">
        <v>1</v>
      </c>
      <c r="M9424" s="17">
        <v>10</v>
      </c>
      <c r="N9424" s="17">
        <v>1</v>
      </c>
      <c r="O9424" s="18">
        <v>638.20000000000005</v>
      </c>
      <c r="P9424" s="18">
        <v>523.11</v>
      </c>
      <c r="Q9424" s="18">
        <v>446.74</v>
      </c>
      <c r="R9424" s="18">
        <v>366.18</v>
      </c>
      <c r="S9424" s="18">
        <v>433.98</v>
      </c>
      <c r="T9424" s="18">
        <v>355.72</v>
      </c>
      <c r="U9424" s="16"/>
      <c r="V9424" s="16"/>
      <c r="W9424" s="16"/>
      <c r="X9424" s="19">
        <v>0.60399999999999998</v>
      </c>
      <c r="Y9424" s="20">
        <v>1.201E-3</v>
      </c>
      <c r="Z9424" s="21">
        <v>4612745750841</v>
      </c>
    </row>
    <row r="9425" spans="1:26" ht="12" customHeight="1" outlineLevel="4" x14ac:dyDescent="0.2">
      <c r="A9425" s="14" t="s">
        <v>17954</v>
      </c>
      <c r="B9425" s="26" t="s">
        <v>17955</v>
      </c>
      <c r="C9425" s="52"/>
      <c r="D9425" s="55">
        <f t="shared" si="147"/>
        <v>0</v>
      </c>
      <c r="E9425" s="63" t="str">
        <f>HYPERLINK("https://www.sds-group.ru/product/schepa-dlya-kopcheniya-olha-200g-sokol-62-0058/", "Инфо")</f>
        <v>Инфо</v>
      </c>
      <c r="F9425" s="16" t="s">
        <v>39</v>
      </c>
      <c r="G9425" s="15"/>
      <c r="H9425" s="15"/>
      <c r="I9425" s="15"/>
      <c r="J9425" s="17">
        <v>291</v>
      </c>
      <c r="K9425" s="15"/>
      <c r="L9425" s="17">
        <v>10</v>
      </c>
      <c r="M9425" s="17">
        <v>25</v>
      </c>
      <c r="N9425" s="17">
        <v>10</v>
      </c>
      <c r="O9425" s="18">
        <v>139.06</v>
      </c>
      <c r="P9425" s="18">
        <v>113.98</v>
      </c>
      <c r="Q9425" s="18">
        <v>139.06</v>
      </c>
      <c r="R9425" s="18">
        <v>113.98</v>
      </c>
      <c r="S9425" s="18">
        <v>94.56</v>
      </c>
      <c r="T9425" s="18">
        <v>77.510000000000005</v>
      </c>
      <c r="U9425" s="16"/>
      <c r="V9425" s="16"/>
      <c r="W9425" s="16" t="s">
        <v>40</v>
      </c>
      <c r="X9425" s="19">
        <v>0.188</v>
      </c>
      <c r="Y9425" s="20">
        <v>1.132E-3</v>
      </c>
      <c r="Z9425" s="21">
        <v>4601004283015</v>
      </c>
    </row>
    <row r="9426" spans="1:26" ht="12" customHeight="1" outlineLevel="4" x14ac:dyDescent="0.2">
      <c r="A9426" s="14" t="s">
        <v>17956</v>
      </c>
      <c r="B9426" s="26" t="s">
        <v>17957</v>
      </c>
      <c r="C9426" s="52"/>
      <c r="D9426" s="55">
        <f t="shared" si="147"/>
        <v>0</v>
      </c>
      <c r="E9426" s="63" t="str">
        <f>HYPERLINK("https://www.sds-group.ru/product/schetka-dlya-grilya-komfort-34sm-sokol-62-0046/", "Инфо")</f>
        <v>Инфо</v>
      </c>
      <c r="F9426" s="16" t="s">
        <v>39</v>
      </c>
      <c r="G9426" s="15"/>
      <c r="H9426" s="15"/>
      <c r="I9426" s="15"/>
      <c r="J9426" s="17">
        <v>1</v>
      </c>
      <c r="K9426" s="15"/>
      <c r="L9426" s="17">
        <v>1</v>
      </c>
      <c r="M9426" s="17">
        <v>24</v>
      </c>
      <c r="N9426" s="17">
        <v>1</v>
      </c>
      <c r="O9426" s="18">
        <v>725.2</v>
      </c>
      <c r="P9426" s="18">
        <v>594.42999999999995</v>
      </c>
      <c r="Q9426" s="18">
        <v>507.64</v>
      </c>
      <c r="R9426" s="18">
        <v>416.1</v>
      </c>
      <c r="S9426" s="18">
        <v>493.14</v>
      </c>
      <c r="T9426" s="18">
        <v>404.21</v>
      </c>
      <c r="U9426" s="16"/>
      <c r="V9426" s="16"/>
      <c r="W9426" s="16"/>
      <c r="X9426" s="19">
        <v>0.23799999999999999</v>
      </c>
      <c r="Y9426" s="20">
        <v>1.848E-3</v>
      </c>
      <c r="Z9426" s="21">
        <v>4601004198227</v>
      </c>
    </row>
    <row r="9427" spans="1:26" ht="12" customHeight="1" outlineLevel="4" x14ac:dyDescent="0.2">
      <c r="A9427" s="14" t="s">
        <v>17958</v>
      </c>
      <c r="B9427" s="26" t="s">
        <v>17959</v>
      </c>
      <c r="C9427" s="52"/>
      <c r="D9427" s="55">
        <f t="shared" si="147"/>
        <v>0</v>
      </c>
      <c r="E9427" s="63" t="str">
        <f>HYPERLINK("https://www.sds-group.ru/product/schetka-dlya-grilya-komfort-dlinnaya-43sm-sokol-62-0045/", "Инфо")</f>
        <v>Инфо</v>
      </c>
      <c r="F9427" s="16" t="s">
        <v>39</v>
      </c>
      <c r="G9427" s="15"/>
      <c r="H9427" s="15"/>
      <c r="I9427" s="15"/>
      <c r="J9427" s="17">
        <v>1</v>
      </c>
      <c r="K9427" s="15"/>
      <c r="L9427" s="17">
        <v>1</v>
      </c>
      <c r="M9427" s="17">
        <v>24</v>
      </c>
      <c r="N9427" s="17">
        <v>1</v>
      </c>
      <c r="O9427" s="18">
        <v>879.91</v>
      </c>
      <c r="P9427" s="18">
        <v>721.24</v>
      </c>
      <c r="Q9427" s="18">
        <v>615.94000000000005</v>
      </c>
      <c r="R9427" s="18">
        <v>504.87</v>
      </c>
      <c r="S9427" s="18">
        <v>598.34</v>
      </c>
      <c r="T9427" s="18">
        <v>490.44</v>
      </c>
      <c r="U9427" s="16"/>
      <c r="V9427" s="16"/>
      <c r="W9427" s="16" t="s">
        <v>40</v>
      </c>
      <c r="X9427" s="19">
        <v>0.25700000000000001</v>
      </c>
      <c r="Y9427" s="20">
        <v>1.7849999999999999E-3</v>
      </c>
      <c r="Z9427" s="21">
        <v>4601004198210</v>
      </c>
    </row>
    <row r="9428" spans="1:26" ht="12" customHeight="1" outlineLevel="4" x14ac:dyDescent="0.2">
      <c r="A9428" s="14" t="s">
        <v>17960</v>
      </c>
      <c r="B9428" s="26" t="s">
        <v>17961</v>
      </c>
      <c r="C9428" s="52"/>
      <c r="D9428" s="55">
        <f t="shared" si="147"/>
        <v>0</v>
      </c>
      <c r="E9428" s="63" t="str">
        <f>HYPERLINK("https://www.sds-group.ru/product/schetka-dlya-grilya-srednyaya-44sm-sokol-62-0042/", "Инфо")</f>
        <v>Инфо</v>
      </c>
      <c r="F9428" s="16" t="s">
        <v>39</v>
      </c>
      <c r="G9428" s="15"/>
      <c r="H9428" s="15"/>
      <c r="I9428" s="15"/>
      <c r="J9428" s="17">
        <v>301</v>
      </c>
      <c r="K9428" s="15"/>
      <c r="L9428" s="17">
        <v>1</v>
      </c>
      <c r="M9428" s="17">
        <v>24</v>
      </c>
      <c r="N9428" s="17">
        <v>1</v>
      </c>
      <c r="O9428" s="18">
        <v>591.82000000000005</v>
      </c>
      <c r="P9428" s="18">
        <v>485.1</v>
      </c>
      <c r="Q9428" s="18">
        <v>414.27</v>
      </c>
      <c r="R9428" s="18">
        <v>339.57</v>
      </c>
      <c r="S9428" s="18">
        <v>402.44</v>
      </c>
      <c r="T9428" s="18">
        <v>329.87</v>
      </c>
      <c r="U9428" s="16"/>
      <c r="V9428" s="16"/>
      <c r="W9428" s="16"/>
      <c r="X9428" s="19">
        <v>0.20699999999999999</v>
      </c>
      <c r="Y9428" s="20">
        <v>1.946E-3</v>
      </c>
      <c r="Z9428" s="21">
        <v>4601004198234</v>
      </c>
    </row>
    <row r="9429" spans="1:26" ht="12" customHeight="1" outlineLevel="4" x14ac:dyDescent="0.2">
      <c r="A9429" s="14" t="s">
        <v>17962</v>
      </c>
      <c r="B9429" s="26" t="s">
        <v>17963</v>
      </c>
      <c r="C9429" s="52"/>
      <c r="D9429" s="55">
        <f t="shared" si="147"/>
        <v>0</v>
      </c>
      <c r="E9429" s="63" t="str">
        <f>HYPERLINK("https://www.sds-group.ru/product/schetka-skrebok-dlya-chistki-grilya-50sm-v-blistere-sokol-62-0030/", "Инфо")</f>
        <v>Инфо</v>
      </c>
      <c r="F9429" s="16" t="s">
        <v>39</v>
      </c>
      <c r="G9429" s="15"/>
      <c r="H9429" s="15"/>
      <c r="I9429" s="15"/>
      <c r="J9429" s="17">
        <v>500</v>
      </c>
      <c r="K9429" s="15"/>
      <c r="L9429" s="17">
        <v>1</v>
      </c>
      <c r="M9429" s="17">
        <v>48</v>
      </c>
      <c r="N9429" s="17">
        <v>1</v>
      </c>
      <c r="O9429" s="18">
        <v>539.91</v>
      </c>
      <c r="P9429" s="18">
        <v>442.55</v>
      </c>
      <c r="Q9429" s="18">
        <v>377.94</v>
      </c>
      <c r="R9429" s="18">
        <v>309.79000000000002</v>
      </c>
      <c r="S9429" s="18">
        <v>367.14</v>
      </c>
      <c r="T9429" s="18">
        <v>300.93</v>
      </c>
      <c r="U9429" s="16"/>
      <c r="V9429" s="16"/>
      <c r="W9429" s="16"/>
      <c r="X9429" s="19">
        <v>0.249</v>
      </c>
      <c r="Y9429" s="20">
        <v>2.516E-3</v>
      </c>
      <c r="Z9429" s="21">
        <v>4601004117280</v>
      </c>
    </row>
    <row r="9430" spans="1:26" ht="12" customHeight="1" outlineLevel="4" x14ac:dyDescent="0.2">
      <c r="A9430" s="14" t="s">
        <v>17964</v>
      </c>
      <c r="B9430" s="26" t="s">
        <v>17965</v>
      </c>
      <c r="C9430" s="52"/>
      <c r="D9430" s="55">
        <f t="shared" si="147"/>
        <v>0</v>
      </c>
      <c r="E9430" s="63" t="str">
        <f>HYPERLINK("https://www.sds-group.ru/product/schiptsy-dlya-barbekyu-34sm-v-blistere-sokol-62-0029/", "Инфо")</f>
        <v>Инфо</v>
      </c>
      <c r="F9430" s="16" t="s">
        <v>39</v>
      </c>
      <c r="G9430" s="15"/>
      <c r="H9430" s="15"/>
      <c r="I9430" s="15"/>
      <c r="J9430" s="17">
        <v>2</v>
      </c>
      <c r="K9430" s="15"/>
      <c r="L9430" s="17">
        <v>1</v>
      </c>
      <c r="M9430" s="17">
        <v>48</v>
      </c>
      <c r="N9430" s="17">
        <v>1</v>
      </c>
      <c r="O9430" s="18">
        <v>995.16</v>
      </c>
      <c r="P9430" s="18">
        <v>815.7</v>
      </c>
      <c r="Q9430" s="18">
        <v>696.61</v>
      </c>
      <c r="R9430" s="18">
        <v>570.99</v>
      </c>
      <c r="S9430" s="18">
        <v>676.71</v>
      </c>
      <c r="T9430" s="18">
        <v>554.67999999999995</v>
      </c>
      <c r="U9430" s="16"/>
      <c r="V9430" s="16"/>
      <c r="W9430" s="16"/>
      <c r="X9430" s="19">
        <v>0.313</v>
      </c>
      <c r="Y9430" s="20">
        <v>1.8649999999999999E-3</v>
      </c>
      <c r="Z9430" s="21">
        <v>4601004117273</v>
      </c>
    </row>
    <row r="9431" spans="1:26" ht="12" customHeight="1" outlineLevel="4" x14ac:dyDescent="0.2">
      <c r="A9431" s="14" t="s">
        <v>17966</v>
      </c>
      <c r="B9431" s="26" t="s">
        <v>17967</v>
      </c>
      <c r="C9431" s="52"/>
      <c r="D9431" s="55">
        <f t="shared" si="147"/>
        <v>0</v>
      </c>
      <c r="E9431" s="63" t="str">
        <f>HYPERLINK("https://www.sds-group.ru/product/schiptsy-dlya-grilya-34sm-v-blistere-sokol-62-0027/", "Инфо")</f>
        <v>Инфо</v>
      </c>
      <c r="F9431" s="16" t="s">
        <v>39</v>
      </c>
      <c r="G9431" s="15"/>
      <c r="H9431" s="15"/>
      <c r="I9431" s="15"/>
      <c r="J9431" s="17">
        <v>4</v>
      </c>
      <c r="K9431" s="15"/>
      <c r="L9431" s="17">
        <v>1</v>
      </c>
      <c r="M9431" s="17">
        <v>48</v>
      </c>
      <c r="N9431" s="17">
        <v>1</v>
      </c>
      <c r="O9431" s="18">
        <v>1205.83</v>
      </c>
      <c r="P9431" s="18">
        <v>988.39</v>
      </c>
      <c r="Q9431" s="18">
        <v>844.08</v>
      </c>
      <c r="R9431" s="18">
        <v>691.87</v>
      </c>
      <c r="S9431" s="18">
        <v>819.96</v>
      </c>
      <c r="T9431" s="18">
        <v>672.1</v>
      </c>
      <c r="U9431" s="16"/>
      <c r="V9431" s="16"/>
      <c r="W9431" s="16"/>
      <c r="X9431" s="19">
        <v>0.37</v>
      </c>
      <c r="Y9431" s="20">
        <v>2.1909999999999998E-3</v>
      </c>
      <c r="Z9431" s="21">
        <v>4601004117310</v>
      </c>
    </row>
    <row r="9432" spans="1:26" ht="12" customHeight="1" outlineLevel="4" x14ac:dyDescent="0.2">
      <c r="A9432" s="14" t="s">
        <v>17968</v>
      </c>
      <c r="B9432" s="26" t="s">
        <v>17969</v>
      </c>
      <c r="C9432" s="52"/>
      <c r="D9432" s="55">
        <f t="shared" si="147"/>
        <v>0</v>
      </c>
      <c r="E9432" s="63" t="str">
        <f>HYPERLINK("https://www.sds-group.ru/product/schiptsy-dlya-grilya-standart-44sm-sokol-62-0052/", "Инфо")</f>
        <v>Инфо</v>
      </c>
      <c r="F9432" s="16" t="s">
        <v>39</v>
      </c>
      <c r="G9432" s="15"/>
      <c r="H9432" s="15"/>
      <c r="I9432" s="15"/>
      <c r="J9432" s="17">
        <v>1</v>
      </c>
      <c r="K9432" s="15"/>
      <c r="L9432" s="17">
        <v>1</v>
      </c>
      <c r="M9432" s="17">
        <v>36</v>
      </c>
      <c r="N9432" s="17">
        <v>1</v>
      </c>
      <c r="O9432" s="18">
        <v>840.42</v>
      </c>
      <c r="P9432" s="18">
        <v>688.87</v>
      </c>
      <c r="Q9432" s="18">
        <v>588.29</v>
      </c>
      <c r="R9432" s="18">
        <v>482.2</v>
      </c>
      <c r="S9432" s="18">
        <v>571.49</v>
      </c>
      <c r="T9432" s="18">
        <v>468.43</v>
      </c>
      <c r="U9432" s="16"/>
      <c r="V9432" s="16"/>
      <c r="W9432" s="16"/>
      <c r="X9432" s="19">
        <v>0.36799999999999999</v>
      </c>
      <c r="Y9432" s="20">
        <v>1.062E-3</v>
      </c>
      <c r="Z9432" s="21">
        <v>4601004198265</v>
      </c>
    </row>
    <row r="9433" spans="1:26" ht="12.95" customHeight="1" outlineLevel="2" x14ac:dyDescent="0.2">
      <c r="A9433" s="76" t="s">
        <v>17970</v>
      </c>
      <c r="B9433" s="76"/>
      <c r="C9433" s="77"/>
      <c r="D9433" s="58"/>
      <c r="E9433" s="68"/>
      <c r="F9433" s="13"/>
      <c r="G9433" s="13"/>
      <c r="H9433" s="13"/>
      <c r="I9433" s="13"/>
      <c r="J9433" s="13"/>
      <c r="K9433" s="13"/>
      <c r="L9433" s="13"/>
      <c r="M9433" s="13"/>
      <c r="N9433" s="13"/>
      <c r="O9433" s="13"/>
      <c r="P9433" s="13"/>
      <c r="Q9433" s="13"/>
      <c r="R9433" s="13"/>
      <c r="S9433" s="13"/>
      <c r="T9433" s="13"/>
      <c r="U9433" s="13"/>
      <c r="V9433" s="13"/>
      <c r="W9433" s="13"/>
      <c r="X9433" s="13"/>
      <c r="Y9433" s="13"/>
      <c r="Z9433" s="13"/>
    </row>
    <row r="9434" spans="1:26" ht="12.95" customHeight="1" outlineLevel="3" x14ac:dyDescent="0.2">
      <c r="A9434" s="76" t="s">
        <v>17971</v>
      </c>
      <c r="B9434" s="76"/>
      <c r="C9434" s="77"/>
      <c r="D9434" s="58"/>
      <c r="E9434" s="68"/>
      <c r="F9434" s="13"/>
      <c r="G9434" s="13"/>
      <c r="H9434" s="13"/>
      <c r="I9434" s="13"/>
      <c r="J9434" s="13"/>
      <c r="K9434" s="13"/>
      <c r="L9434" s="13"/>
      <c r="M9434" s="13"/>
      <c r="N9434" s="13"/>
      <c r="O9434" s="13"/>
      <c r="P9434" s="13"/>
      <c r="Q9434" s="13"/>
      <c r="R9434" s="13"/>
      <c r="S9434" s="13"/>
      <c r="T9434" s="13"/>
      <c r="U9434" s="13"/>
      <c r="V9434" s="13"/>
      <c r="W9434" s="13"/>
      <c r="X9434" s="13"/>
      <c r="Y9434" s="13"/>
      <c r="Z9434" s="13"/>
    </row>
    <row r="9435" spans="1:26" ht="12" customHeight="1" outlineLevel="4" x14ac:dyDescent="0.2">
      <c r="A9435" s="14" t="s">
        <v>17972</v>
      </c>
      <c r="B9435" s="26" t="s">
        <v>17973</v>
      </c>
      <c r="C9435" s="52"/>
      <c r="D9435" s="55">
        <f t="shared" si="147"/>
        <v>0</v>
      </c>
      <c r="E9435" s="63" t="str">
        <f>HYPERLINK("https://www.sds-group.ru/product/grabelki-sadovye-s-prorezinennoy-ruchkoy-31h8-5sm-chetyre-sezona-64-0003/", "Инфо")</f>
        <v>Инфо</v>
      </c>
      <c r="F9435" s="16" t="s">
        <v>39</v>
      </c>
      <c r="G9435" s="15"/>
      <c r="H9435" s="15"/>
      <c r="I9435" s="15"/>
      <c r="J9435" s="17">
        <v>5</v>
      </c>
      <c r="K9435" s="15"/>
      <c r="L9435" s="17">
        <v>5</v>
      </c>
      <c r="M9435" s="17">
        <v>48</v>
      </c>
      <c r="N9435" s="17">
        <v>5</v>
      </c>
      <c r="O9435" s="18">
        <v>404.2</v>
      </c>
      <c r="P9435" s="18">
        <v>331.31</v>
      </c>
      <c r="Q9435" s="18">
        <v>282.94</v>
      </c>
      <c r="R9435" s="18">
        <v>231.92</v>
      </c>
      <c r="S9435" s="18">
        <v>274.86</v>
      </c>
      <c r="T9435" s="18">
        <v>225.3</v>
      </c>
      <c r="U9435" s="16"/>
      <c r="V9435" s="16"/>
      <c r="W9435" s="16"/>
      <c r="X9435" s="19">
        <v>0.17499999999999999</v>
      </c>
      <c r="Y9435" s="20">
        <v>1.7459999999999999E-3</v>
      </c>
      <c r="Z9435" s="21">
        <v>4601004196339</v>
      </c>
    </row>
    <row r="9436" spans="1:26" ht="12" customHeight="1" outlineLevel="4" x14ac:dyDescent="0.2">
      <c r="A9436" s="32" t="s">
        <v>17974</v>
      </c>
      <c r="B9436" s="74" t="s">
        <v>17975</v>
      </c>
      <c r="C9436" s="50"/>
      <c r="D9436" s="53">
        <f t="shared" si="147"/>
        <v>0</v>
      </c>
      <c r="E9436" s="60" t="str">
        <f>HYPERLINK("https://www.sds-group.ru/product/grabelki-sadovye-s-tsvetochnym-risunkom-23h7-3sm-chetyre-sezona-64-0012/", "Инфо")</f>
        <v>Инфо</v>
      </c>
      <c r="F9436" s="34" t="s">
        <v>39</v>
      </c>
      <c r="G9436" s="33"/>
      <c r="H9436" s="33" t="s">
        <v>40</v>
      </c>
      <c r="I9436" s="33"/>
      <c r="J9436" s="35">
        <v>495</v>
      </c>
      <c r="K9436" s="33"/>
      <c r="L9436" s="35">
        <v>5</v>
      </c>
      <c r="M9436" s="35">
        <v>48</v>
      </c>
      <c r="N9436" s="35">
        <v>5</v>
      </c>
      <c r="O9436" s="36">
        <v>470.56</v>
      </c>
      <c r="P9436" s="36">
        <v>385.7</v>
      </c>
      <c r="Q9436" s="36">
        <v>329.39</v>
      </c>
      <c r="R9436" s="36">
        <v>269.99</v>
      </c>
      <c r="S9436" s="36">
        <v>319.98</v>
      </c>
      <c r="T9436" s="36">
        <v>262.27999999999997</v>
      </c>
      <c r="U9436" s="34"/>
      <c r="V9436" s="34"/>
      <c r="W9436" s="34"/>
      <c r="X9436" s="37">
        <v>0.19600000000000001</v>
      </c>
      <c r="Y9436" s="38">
        <v>7.5900000000000002E-4</v>
      </c>
      <c r="Z9436" s="21">
        <v>4601004196353</v>
      </c>
    </row>
    <row r="9437" spans="1:26" ht="12" customHeight="1" outlineLevel="4" x14ac:dyDescent="0.2">
      <c r="A9437" s="32" t="s">
        <v>17976</v>
      </c>
      <c r="B9437" s="74" t="s">
        <v>17977</v>
      </c>
      <c r="C9437" s="50"/>
      <c r="D9437" s="53">
        <f t="shared" si="147"/>
        <v>0</v>
      </c>
      <c r="E9437" s="60" t="str">
        <f>HYPERLINK("https://www.sds-group.ru/product/grabli-6-pryamih-zubev-s-metallicheskoy-ruchkoy-chetire-sezona-29303/", "Инфо")</f>
        <v>Инфо</v>
      </c>
      <c r="F9437" s="34" t="s">
        <v>39</v>
      </c>
      <c r="G9437" s="33"/>
      <c r="H9437" s="33" t="s">
        <v>40</v>
      </c>
      <c r="I9437" s="33"/>
      <c r="J9437" s="35">
        <v>1</v>
      </c>
      <c r="K9437" s="33"/>
      <c r="L9437" s="35">
        <v>1</v>
      </c>
      <c r="M9437" s="35">
        <v>45</v>
      </c>
      <c r="N9437" s="35">
        <v>1</v>
      </c>
      <c r="O9437" s="36">
        <v>281.06</v>
      </c>
      <c r="P9437" s="36">
        <v>230.38</v>
      </c>
      <c r="Q9437" s="36">
        <v>196.74</v>
      </c>
      <c r="R9437" s="36">
        <v>161.26</v>
      </c>
      <c r="S9437" s="36">
        <v>191.12</v>
      </c>
      <c r="T9437" s="36">
        <v>156.66</v>
      </c>
      <c r="U9437" s="34"/>
      <c r="V9437" s="34"/>
      <c r="W9437" s="34"/>
      <c r="X9437" s="37">
        <v>0.187</v>
      </c>
      <c r="Y9437" s="38">
        <v>2.1459999999999999E-3</v>
      </c>
      <c r="Z9437" s="21">
        <v>4601004275171</v>
      </c>
    </row>
    <row r="9438" spans="1:26" ht="12" customHeight="1" outlineLevel="4" x14ac:dyDescent="0.2">
      <c r="A9438" s="32" t="s">
        <v>17978</v>
      </c>
      <c r="B9438" s="74" t="s">
        <v>17979</v>
      </c>
      <c r="C9438" s="50"/>
      <c r="D9438" s="53">
        <f t="shared" si="147"/>
        <v>0</v>
      </c>
      <c r="E9438" s="60" t="str">
        <f>HYPERLINK("https://www.sds-group.ru/product/motijka-kombinirovannaya-3-pryamih-zubtsa-s-metallicheskoy-ruchkoy-chetire-sezona-29301/", "Инфо")</f>
        <v>Инфо</v>
      </c>
      <c r="F9438" s="34" t="s">
        <v>39</v>
      </c>
      <c r="G9438" s="33"/>
      <c r="H9438" s="33" t="s">
        <v>40</v>
      </c>
      <c r="I9438" s="33"/>
      <c r="J9438" s="35">
        <v>11</v>
      </c>
      <c r="K9438" s="33"/>
      <c r="L9438" s="35">
        <v>1</v>
      </c>
      <c r="M9438" s="35">
        <v>15</v>
      </c>
      <c r="N9438" s="35">
        <v>1</v>
      </c>
      <c r="O9438" s="36">
        <v>361.35</v>
      </c>
      <c r="P9438" s="36">
        <v>296.19</v>
      </c>
      <c r="Q9438" s="36">
        <v>252.95</v>
      </c>
      <c r="R9438" s="36">
        <v>207.34</v>
      </c>
      <c r="S9438" s="36">
        <v>245.72</v>
      </c>
      <c r="T9438" s="36">
        <v>201.41</v>
      </c>
      <c r="U9438" s="34"/>
      <c r="V9438" s="34"/>
      <c r="W9438" s="34"/>
      <c r="X9438" s="37">
        <v>0.23499999999999999</v>
      </c>
      <c r="Y9438" s="38">
        <v>3.2179999999999999E-3</v>
      </c>
      <c r="Z9438" s="21">
        <v>4601004275157</v>
      </c>
    </row>
    <row r="9439" spans="1:26" ht="12" customHeight="1" outlineLevel="4" x14ac:dyDescent="0.2">
      <c r="A9439" s="32" t="s">
        <v>17980</v>
      </c>
      <c r="B9439" s="74" t="s">
        <v>17981</v>
      </c>
      <c r="C9439" s="50"/>
      <c r="D9439" s="53">
        <f t="shared" si="147"/>
        <v>0</v>
      </c>
      <c r="E9439" s="60" t="str">
        <f>HYPERLINK("https://www.sds-group.ru/product/nabor-sadovih-instrumentov-s-prorezinennoy-ruchkoy-2-sovka-motijka-grabelki-chetire-sezona-30322/", "Инфо")</f>
        <v>Инфо</v>
      </c>
      <c r="F9439" s="34" t="s">
        <v>4698</v>
      </c>
      <c r="G9439" s="33"/>
      <c r="H9439" s="33" t="s">
        <v>40</v>
      </c>
      <c r="I9439" s="33"/>
      <c r="J9439" s="35">
        <v>1</v>
      </c>
      <c r="K9439" s="33"/>
      <c r="L9439" s="35">
        <v>1</v>
      </c>
      <c r="M9439" s="35">
        <v>10</v>
      </c>
      <c r="N9439" s="35">
        <v>1</v>
      </c>
      <c r="O9439" s="36">
        <v>2007.96</v>
      </c>
      <c r="P9439" s="36">
        <v>1645.87</v>
      </c>
      <c r="Q9439" s="36">
        <v>1586.29</v>
      </c>
      <c r="R9439" s="36">
        <v>1300.24</v>
      </c>
      <c r="S9439" s="36">
        <v>1365.41</v>
      </c>
      <c r="T9439" s="36">
        <v>1119.19</v>
      </c>
      <c r="U9439" s="34"/>
      <c r="V9439" s="34"/>
      <c r="W9439" s="34" t="s">
        <v>40</v>
      </c>
      <c r="X9439" s="37">
        <v>0.98799999999999999</v>
      </c>
      <c r="Y9439" s="38">
        <v>3.3080000000000002E-3</v>
      </c>
      <c r="Z9439" s="21">
        <v>4601004292796</v>
      </c>
    </row>
    <row r="9440" spans="1:26" ht="12" customHeight="1" outlineLevel="4" x14ac:dyDescent="0.2">
      <c r="A9440" s="32" t="s">
        <v>17982</v>
      </c>
      <c r="B9440" s="74" t="s">
        <v>17983</v>
      </c>
      <c r="C9440" s="50"/>
      <c r="D9440" s="53">
        <f t="shared" si="147"/>
        <v>0</v>
      </c>
      <c r="E9440" s="60" t="str">
        <f>HYPERLINK("https://www.sds-group.ru/product/nabor-sadovih-instrumentov-s-tsvetochnim-risunkom-sovok-grabelki-chetire-sezona-30323/", "Инфо")</f>
        <v>Инфо</v>
      </c>
      <c r="F9440" s="34" t="s">
        <v>4698</v>
      </c>
      <c r="G9440" s="33"/>
      <c r="H9440" s="33" t="s">
        <v>40</v>
      </c>
      <c r="I9440" s="33"/>
      <c r="J9440" s="35">
        <v>1</v>
      </c>
      <c r="K9440" s="33"/>
      <c r="L9440" s="35">
        <v>1</v>
      </c>
      <c r="M9440" s="35">
        <v>30</v>
      </c>
      <c r="N9440" s="35">
        <v>1</v>
      </c>
      <c r="O9440" s="36">
        <v>1219.42</v>
      </c>
      <c r="P9440" s="36">
        <v>999.52</v>
      </c>
      <c r="Q9440" s="36">
        <v>975.54</v>
      </c>
      <c r="R9440" s="36">
        <v>799.62</v>
      </c>
      <c r="S9440" s="36">
        <v>829.21</v>
      </c>
      <c r="T9440" s="36">
        <v>679.68</v>
      </c>
      <c r="U9440" s="34"/>
      <c r="V9440" s="34"/>
      <c r="W9440" s="34" t="s">
        <v>40</v>
      </c>
      <c r="X9440" s="37">
        <v>0.374</v>
      </c>
      <c r="Y9440" s="38">
        <v>7.4399999999999998E-4</v>
      </c>
      <c r="Z9440" s="21">
        <v>4601004292802</v>
      </c>
    </row>
    <row r="9441" spans="1:26" ht="12" customHeight="1" outlineLevel="4" x14ac:dyDescent="0.2">
      <c r="A9441" s="14" t="s">
        <v>17984</v>
      </c>
      <c r="B9441" s="26" t="s">
        <v>17985</v>
      </c>
      <c r="C9441" s="52"/>
      <c r="D9441" s="55">
        <f t="shared" si="147"/>
        <v>0</v>
      </c>
      <c r="E9441" s="63" t="str">
        <f>HYPERLINK("https://www.sds-group.ru/product/sovok-sadovyy-s-prorezinennoy-ruchkoy-34h5-3sm-chetyre-sezona-64-0001/", "Инфо")</f>
        <v>Инфо</v>
      </c>
      <c r="F9441" s="16" t="s">
        <v>39</v>
      </c>
      <c r="G9441" s="15"/>
      <c r="H9441" s="15"/>
      <c r="I9441" s="15"/>
      <c r="J9441" s="17">
        <v>1</v>
      </c>
      <c r="K9441" s="15"/>
      <c r="L9441" s="17">
        <v>1</v>
      </c>
      <c r="M9441" s="17">
        <v>48</v>
      </c>
      <c r="N9441" s="17">
        <v>1</v>
      </c>
      <c r="O9441" s="18">
        <v>452.7</v>
      </c>
      <c r="P9441" s="18">
        <v>371.07</v>
      </c>
      <c r="Q9441" s="18">
        <v>316.89</v>
      </c>
      <c r="R9441" s="18">
        <v>259.75</v>
      </c>
      <c r="S9441" s="18">
        <v>307.83999999999997</v>
      </c>
      <c r="T9441" s="18">
        <v>252.33</v>
      </c>
      <c r="U9441" s="16"/>
      <c r="V9441" s="16"/>
      <c r="W9441" s="16"/>
      <c r="X9441" s="19">
        <v>0.182</v>
      </c>
      <c r="Y9441" s="20">
        <v>5.2400000000000005E-4</v>
      </c>
      <c r="Z9441" s="21">
        <v>4601004196407</v>
      </c>
    </row>
    <row r="9442" spans="1:26" ht="12" customHeight="1" outlineLevel="4" x14ac:dyDescent="0.2">
      <c r="A9442" s="32" t="s">
        <v>17986</v>
      </c>
      <c r="B9442" s="74" t="s">
        <v>17987</v>
      </c>
      <c r="C9442" s="50"/>
      <c r="D9442" s="53">
        <f t="shared" si="147"/>
        <v>0</v>
      </c>
      <c r="E9442" s="60" t="str">
        <f>HYPERLINK("https://www.sds-group.ru/product/sovok-sadovyy-s-tsvetochnym-risunkom-27h8-5sm-chetyre-sezona-64-0011/", "Инфо")</f>
        <v>Инфо</v>
      </c>
      <c r="F9442" s="34" t="s">
        <v>39</v>
      </c>
      <c r="G9442" s="33"/>
      <c r="H9442" s="33" t="s">
        <v>40</v>
      </c>
      <c r="I9442" s="33"/>
      <c r="J9442" s="39">
        <v>1088</v>
      </c>
      <c r="K9442" s="33"/>
      <c r="L9442" s="35">
        <v>1</v>
      </c>
      <c r="M9442" s="35">
        <v>48</v>
      </c>
      <c r="N9442" s="35">
        <v>1</v>
      </c>
      <c r="O9442" s="36">
        <v>647.95000000000005</v>
      </c>
      <c r="P9442" s="36">
        <v>531.11</v>
      </c>
      <c r="Q9442" s="36">
        <v>453.57</v>
      </c>
      <c r="R9442" s="36">
        <v>371.78</v>
      </c>
      <c r="S9442" s="36">
        <v>440.61</v>
      </c>
      <c r="T9442" s="36">
        <v>361.16</v>
      </c>
      <c r="U9442" s="34"/>
      <c r="V9442" s="34"/>
      <c r="W9442" s="34"/>
      <c r="X9442" s="37">
        <v>0.16700000000000001</v>
      </c>
      <c r="Y9442" s="38">
        <v>3.3E-4</v>
      </c>
      <c r="Z9442" s="21">
        <v>4601004196346</v>
      </c>
    </row>
    <row r="9443" spans="1:26" ht="12" customHeight="1" outlineLevel="4" x14ac:dyDescent="0.2">
      <c r="A9443" s="14" t="s">
        <v>17988</v>
      </c>
      <c r="B9443" s="26" t="s">
        <v>17989</v>
      </c>
      <c r="C9443" s="52"/>
      <c r="D9443" s="55">
        <f t="shared" si="147"/>
        <v>0</v>
      </c>
      <c r="E9443" s="63" t="str">
        <f>HYPERLINK("https://www.sds-group.ru/product/sovok-sadovyy-shirokiy-s-prorezinennoy-ruchkoy-35h8-5sm-chetyre-sezona-64-0002/", "Инфо")</f>
        <v>Инфо</v>
      </c>
      <c r="F9443" s="16" t="s">
        <v>39</v>
      </c>
      <c r="G9443" s="15"/>
      <c r="H9443" s="15"/>
      <c r="I9443" s="15"/>
      <c r="J9443" s="17">
        <v>291</v>
      </c>
      <c r="K9443" s="15"/>
      <c r="L9443" s="17">
        <v>5</v>
      </c>
      <c r="M9443" s="17">
        <v>48</v>
      </c>
      <c r="N9443" s="17">
        <v>5</v>
      </c>
      <c r="O9443" s="18">
        <v>404.2</v>
      </c>
      <c r="P9443" s="18">
        <v>331.31</v>
      </c>
      <c r="Q9443" s="18">
        <v>282.94</v>
      </c>
      <c r="R9443" s="18">
        <v>231.92</v>
      </c>
      <c r="S9443" s="18">
        <v>274.86</v>
      </c>
      <c r="T9443" s="18">
        <v>225.3</v>
      </c>
      <c r="U9443" s="16"/>
      <c r="V9443" s="16"/>
      <c r="W9443" s="16"/>
      <c r="X9443" s="19">
        <v>0.193</v>
      </c>
      <c r="Y9443" s="20">
        <v>6.3199999999999997E-4</v>
      </c>
      <c r="Z9443" s="21">
        <v>4601004196322</v>
      </c>
    </row>
    <row r="9444" spans="1:26" ht="12" customHeight="1" outlineLevel="4" x14ac:dyDescent="0.2">
      <c r="A9444" s="32" t="s">
        <v>17990</v>
      </c>
      <c r="B9444" s="74" t="s">
        <v>17991</v>
      </c>
      <c r="C9444" s="50"/>
      <c r="D9444" s="53">
        <f t="shared" si="147"/>
        <v>0</v>
      </c>
      <c r="E9444" s="60" t="str">
        <f>HYPERLINK("https://www.sds-group.ru/product/sovok-sadovyy-shirokiy-s-tselnometallicheskoy-ruchkoy-pokrytoy-plastikom-chetyre-sezona-64-0014/", "Инфо")</f>
        <v>Инфо</v>
      </c>
      <c r="F9444" s="34" t="s">
        <v>39</v>
      </c>
      <c r="G9444" s="33"/>
      <c r="H9444" s="33" t="s">
        <v>40</v>
      </c>
      <c r="I9444" s="33"/>
      <c r="J9444" s="35">
        <v>3</v>
      </c>
      <c r="K9444" s="33"/>
      <c r="L9444" s="35">
        <v>1</v>
      </c>
      <c r="M9444" s="35">
        <v>15</v>
      </c>
      <c r="N9444" s="35">
        <v>1</v>
      </c>
      <c r="O9444" s="36">
        <v>271.01</v>
      </c>
      <c r="P9444" s="36">
        <v>222.14</v>
      </c>
      <c r="Q9444" s="36">
        <v>230.36</v>
      </c>
      <c r="R9444" s="36">
        <v>188.82</v>
      </c>
      <c r="S9444" s="36">
        <v>184.29</v>
      </c>
      <c r="T9444" s="36">
        <v>151.06</v>
      </c>
      <c r="U9444" s="34"/>
      <c r="V9444" s="34"/>
      <c r="W9444" s="34" t="s">
        <v>40</v>
      </c>
      <c r="X9444" s="37">
        <v>0.224</v>
      </c>
      <c r="Y9444" s="38">
        <v>1.1590000000000001E-3</v>
      </c>
      <c r="Z9444" s="21">
        <v>4601004275140</v>
      </c>
    </row>
    <row r="9445" spans="1:26" ht="12.95" customHeight="1" outlineLevel="3" x14ac:dyDescent="0.2">
      <c r="A9445" s="76" t="s">
        <v>17992</v>
      </c>
      <c r="B9445" s="76"/>
      <c r="C9445" s="77"/>
      <c r="D9445" s="58"/>
      <c r="E9445" s="68"/>
      <c r="F9445" s="13"/>
      <c r="G9445" s="13"/>
      <c r="H9445" s="13"/>
      <c r="I9445" s="13"/>
      <c r="J9445" s="13"/>
      <c r="K9445" s="13"/>
      <c r="L9445" s="13"/>
      <c r="M9445" s="13"/>
      <c r="N9445" s="13"/>
      <c r="O9445" s="13"/>
      <c r="P9445" s="13"/>
      <c r="Q9445" s="13"/>
      <c r="R9445" s="13"/>
      <c r="S9445" s="13"/>
      <c r="T9445" s="13"/>
      <c r="U9445" s="13"/>
      <c r="V9445" s="13"/>
      <c r="W9445" s="13"/>
      <c r="X9445" s="13"/>
      <c r="Y9445" s="13"/>
      <c r="Z9445" s="13"/>
    </row>
    <row r="9446" spans="1:26" ht="12" customHeight="1" outlineLevel="4" x14ac:dyDescent="0.2">
      <c r="A9446" s="32" t="s">
        <v>17993</v>
      </c>
      <c r="B9446" s="74" t="s">
        <v>17994</v>
      </c>
      <c r="C9446" s="50"/>
      <c r="D9446" s="53">
        <f t="shared" si="147"/>
        <v>0</v>
      </c>
      <c r="E9446" s="60" t="str">
        <f>HYPERLINK("https://www.sds-group.ru/product/topor-universalnyy-viking-350mm-rexant-12-6902/", "Инфо")</f>
        <v>Инфо</v>
      </c>
      <c r="F9446" s="34" t="s">
        <v>39</v>
      </c>
      <c r="G9446" s="33"/>
      <c r="H9446" s="33" t="s">
        <v>40</v>
      </c>
      <c r="I9446" s="33"/>
      <c r="J9446" s="35">
        <v>121</v>
      </c>
      <c r="K9446" s="33"/>
      <c r="L9446" s="35">
        <v>1</v>
      </c>
      <c r="M9446" s="35">
        <v>24</v>
      </c>
      <c r="N9446" s="35">
        <v>1</v>
      </c>
      <c r="O9446" s="36">
        <v>1971.7</v>
      </c>
      <c r="P9446" s="36">
        <v>1616.15</v>
      </c>
      <c r="Q9446" s="36">
        <v>1380.19</v>
      </c>
      <c r="R9446" s="36">
        <v>1131.3</v>
      </c>
      <c r="S9446" s="36">
        <v>1340.76</v>
      </c>
      <c r="T9446" s="36">
        <v>1098.98</v>
      </c>
      <c r="U9446" s="34"/>
      <c r="V9446" s="34"/>
      <c r="W9446" s="34"/>
      <c r="X9446" s="37">
        <v>0.70399999999999996</v>
      </c>
      <c r="Y9446" s="38">
        <v>1.8580000000000001E-3</v>
      </c>
      <c r="Z9446" s="21">
        <v>4601004123380</v>
      </c>
    </row>
    <row r="9447" spans="1:26" ht="12" customHeight="1" outlineLevel="4" x14ac:dyDescent="0.2">
      <c r="A9447" s="32" t="s">
        <v>17995</v>
      </c>
      <c r="B9447" s="74" t="s">
        <v>17996</v>
      </c>
      <c r="C9447" s="50"/>
      <c r="D9447" s="53">
        <f t="shared" si="147"/>
        <v>0</v>
      </c>
      <c r="E9447" s="60" t="str">
        <f>HYPERLINK("https://www.sds-group.ru/product/topor-universalnyy-viking-440mm-rexant-12-6903/", "Инфо")</f>
        <v>Инфо</v>
      </c>
      <c r="F9447" s="34" t="s">
        <v>39</v>
      </c>
      <c r="G9447" s="33"/>
      <c r="H9447" s="33" t="s">
        <v>40</v>
      </c>
      <c r="I9447" s="33"/>
      <c r="J9447" s="35">
        <v>311</v>
      </c>
      <c r="K9447" s="33"/>
      <c r="L9447" s="35">
        <v>1</v>
      </c>
      <c r="M9447" s="35">
        <v>12</v>
      </c>
      <c r="N9447" s="35">
        <v>1</v>
      </c>
      <c r="O9447" s="36">
        <v>2592.64</v>
      </c>
      <c r="P9447" s="36">
        <v>2125.11</v>
      </c>
      <c r="Q9447" s="36">
        <v>1814.85</v>
      </c>
      <c r="R9447" s="36">
        <v>1487.58</v>
      </c>
      <c r="S9447" s="36">
        <v>1763</v>
      </c>
      <c r="T9447" s="36">
        <v>1445.08</v>
      </c>
      <c r="U9447" s="34"/>
      <c r="V9447" s="34"/>
      <c r="W9447" s="34"/>
      <c r="X9447" s="37">
        <v>1.0149999999999999</v>
      </c>
      <c r="Y9447" s="38">
        <v>3.2190000000000001E-3</v>
      </c>
      <c r="Z9447" s="21">
        <v>4601004123403</v>
      </c>
    </row>
    <row r="9448" spans="1:26" ht="12" customHeight="1" outlineLevel="4" x14ac:dyDescent="0.2">
      <c r="A9448" s="32" t="s">
        <v>17997</v>
      </c>
      <c r="B9448" s="74" t="s">
        <v>17998</v>
      </c>
      <c r="C9448" s="50"/>
      <c r="D9448" s="53">
        <f t="shared" si="147"/>
        <v>0</v>
      </c>
      <c r="E9448" s="60" t="str">
        <f>HYPERLINK("https://www.sds-group.ru/product/topor-universalnyy-malyy-viking-225mm-rexant-12-6901/", "Инфо")</f>
        <v>Инфо</v>
      </c>
      <c r="F9448" s="34" t="s">
        <v>39</v>
      </c>
      <c r="G9448" s="33"/>
      <c r="H9448" s="33" t="s">
        <v>40</v>
      </c>
      <c r="I9448" s="33"/>
      <c r="J9448" s="39">
        <v>1704</v>
      </c>
      <c r="K9448" s="33"/>
      <c r="L9448" s="35">
        <v>1</v>
      </c>
      <c r="M9448" s="35">
        <v>24</v>
      </c>
      <c r="N9448" s="35">
        <v>1</v>
      </c>
      <c r="O9448" s="36">
        <v>1794.91</v>
      </c>
      <c r="P9448" s="36">
        <v>1471.24</v>
      </c>
      <c r="Q9448" s="36">
        <v>1256.44</v>
      </c>
      <c r="R9448" s="36">
        <v>1029.8699999999999</v>
      </c>
      <c r="S9448" s="36">
        <v>1220.54</v>
      </c>
      <c r="T9448" s="36">
        <v>1000.44</v>
      </c>
      <c r="U9448" s="34"/>
      <c r="V9448" s="34"/>
      <c r="W9448" s="34"/>
      <c r="X9448" s="37">
        <v>0.64800000000000002</v>
      </c>
      <c r="Y9448" s="38">
        <v>1.297E-3</v>
      </c>
      <c r="Z9448" s="21">
        <v>4601004123397</v>
      </c>
    </row>
    <row r="9449" spans="1:26" ht="12.95" customHeight="1" outlineLevel="3" x14ac:dyDescent="0.2">
      <c r="A9449" s="76" t="s">
        <v>17999</v>
      </c>
      <c r="B9449" s="76"/>
      <c r="C9449" s="77"/>
      <c r="D9449" s="58"/>
      <c r="E9449" s="68"/>
      <c r="F9449" s="13"/>
      <c r="G9449" s="13"/>
      <c r="H9449" s="13"/>
      <c r="I9449" s="13"/>
      <c r="J9449" s="13"/>
      <c r="K9449" s="13"/>
      <c r="L9449" s="13"/>
      <c r="M9449" s="13"/>
      <c r="N9449" s="13"/>
      <c r="O9449" s="13"/>
      <c r="P9449" s="13"/>
      <c r="Q9449" s="13"/>
      <c r="R9449" s="13"/>
      <c r="S9449" s="13"/>
      <c r="T9449" s="13"/>
      <c r="U9449" s="13"/>
      <c r="V9449" s="13"/>
      <c r="W9449" s="13"/>
      <c r="X9449" s="13"/>
      <c r="Y9449" s="13"/>
      <c r="Z9449" s="13"/>
    </row>
    <row r="9450" spans="1:26" ht="12" customHeight="1" outlineLevel="4" x14ac:dyDescent="0.2">
      <c r="A9450" s="32" t="s">
        <v>18000</v>
      </c>
      <c r="B9450" s="74" t="s">
        <v>18001</v>
      </c>
      <c r="C9450" s="50"/>
      <c r="D9450" s="53">
        <f t="shared" si="147"/>
        <v>0</v>
      </c>
      <c r="E9450" s="60" t="str">
        <f>HYPERLINK("https://www.sds-group.ru/product/pila-skladnaya-sadovaya-nerjaveyuschaya-stal-18sm-chetire-sezona-25773/", "Инфо")</f>
        <v>Инфо</v>
      </c>
      <c r="F9450" s="34" t="s">
        <v>39</v>
      </c>
      <c r="G9450" s="33"/>
      <c r="H9450" s="33" t="s">
        <v>40</v>
      </c>
      <c r="I9450" s="33"/>
      <c r="J9450" s="35">
        <v>1</v>
      </c>
      <c r="K9450" s="33"/>
      <c r="L9450" s="35">
        <v>5</v>
      </c>
      <c r="M9450" s="35">
        <v>60</v>
      </c>
      <c r="N9450" s="35">
        <v>5</v>
      </c>
      <c r="O9450" s="36">
        <v>561.91</v>
      </c>
      <c r="P9450" s="36">
        <v>460.58</v>
      </c>
      <c r="Q9450" s="36">
        <v>393.34</v>
      </c>
      <c r="R9450" s="36">
        <v>322.41000000000003</v>
      </c>
      <c r="S9450" s="36">
        <v>382.1</v>
      </c>
      <c r="T9450" s="36">
        <v>313.2</v>
      </c>
      <c r="U9450" s="34"/>
      <c r="V9450" s="34"/>
      <c r="W9450" s="34"/>
      <c r="X9450" s="37">
        <v>0.29799999999999999</v>
      </c>
      <c r="Y9450" s="38">
        <v>1.1980000000000001E-3</v>
      </c>
      <c r="Z9450" s="21">
        <v>4601004196391</v>
      </c>
    </row>
    <row r="9451" spans="1:26" ht="12.95" customHeight="1" outlineLevel="2" x14ac:dyDescent="0.2">
      <c r="A9451" s="76" t="s">
        <v>18002</v>
      </c>
      <c r="B9451" s="76"/>
      <c r="C9451" s="77"/>
      <c r="D9451" s="58"/>
      <c r="E9451" s="68"/>
      <c r="F9451" s="13"/>
      <c r="G9451" s="13"/>
      <c r="H9451" s="13"/>
      <c r="I9451" s="13"/>
      <c r="J9451" s="13"/>
      <c r="K9451" s="13"/>
      <c r="L9451" s="13"/>
      <c r="M9451" s="13"/>
      <c r="N9451" s="13"/>
      <c r="O9451" s="13"/>
      <c r="P9451" s="13"/>
      <c r="Q9451" s="13"/>
      <c r="R9451" s="13"/>
      <c r="S9451" s="13"/>
      <c r="T9451" s="13"/>
      <c r="U9451" s="13"/>
      <c r="V9451" s="13"/>
      <c r="W9451" s="13"/>
      <c r="X9451" s="13"/>
      <c r="Y9451" s="13"/>
      <c r="Z9451" s="13"/>
    </row>
    <row r="9452" spans="1:26" ht="12.95" customHeight="1" outlineLevel="3" x14ac:dyDescent="0.2">
      <c r="A9452" s="76" t="s">
        <v>18003</v>
      </c>
      <c r="B9452" s="76"/>
      <c r="C9452" s="77"/>
      <c r="D9452" s="58"/>
      <c r="E9452" s="68"/>
      <c r="F9452" s="13"/>
      <c r="G9452" s="13"/>
      <c r="H9452" s="13"/>
      <c r="I9452" s="13"/>
      <c r="J9452" s="13"/>
      <c r="K9452" s="13"/>
      <c r="L9452" s="13"/>
      <c r="M9452" s="13"/>
      <c r="N9452" s="13"/>
      <c r="O9452" s="13"/>
      <c r="P9452" s="13"/>
      <c r="Q9452" s="13"/>
      <c r="R9452" s="13"/>
      <c r="S9452" s="13"/>
      <c r="T9452" s="13"/>
      <c r="U9452" s="13"/>
      <c r="V9452" s="13"/>
      <c r="W9452" s="13"/>
      <c r="X9452" s="13"/>
      <c r="Y9452" s="13"/>
      <c r="Z9452" s="13"/>
    </row>
    <row r="9453" spans="1:26" ht="12" customHeight="1" outlineLevel="4" x14ac:dyDescent="0.2">
      <c r="A9453" s="14" t="s">
        <v>18004</v>
      </c>
      <c r="B9453" s="26" t="s">
        <v>18005</v>
      </c>
      <c r="C9453" s="52"/>
      <c r="D9453" s="55">
        <f t="shared" si="147"/>
        <v>0</v>
      </c>
      <c r="E9453" s="63" t="str">
        <f>HYPERLINK("https://www.sds-group.ru/product/komplekt-dlya-poliva-profi-plyus-shlang-pvh-3-sloynyy-armirovannyy-1-2-25m-konnektory-a-62-0228-1-FC/", "Инфо")</f>
        <v>Инфо</v>
      </c>
      <c r="F9453" s="16" t="s">
        <v>974</v>
      </c>
      <c r="G9453" s="15"/>
      <c r="H9453" s="15"/>
      <c r="I9453" s="15"/>
      <c r="J9453" s="17">
        <v>209</v>
      </c>
      <c r="K9453" s="15"/>
      <c r="L9453" s="17">
        <v>1</v>
      </c>
      <c r="M9453" s="17">
        <v>6</v>
      </c>
      <c r="N9453" s="17">
        <v>1</v>
      </c>
      <c r="O9453" s="18">
        <v>3372.05</v>
      </c>
      <c r="P9453" s="18">
        <v>2763.98</v>
      </c>
      <c r="Q9453" s="18">
        <v>2360.44</v>
      </c>
      <c r="R9453" s="18">
        <v>1934.79</v>
      </c>
      <c r="S9453" s="18">
        <v>2292.9899999999998</v>
      </c>
      <c r="T9453" s="18">
        <v>1879.5</v>
      </c>
      <c r="U9453" s="16"/>
      <c r="V9453" s="16"/>
      <c r="W9453" s="16"/>
      <c r="X9453" s="19">
        <v>2.9420000000000002</v>
      </c>
      <c r="Y9453" s="20">
        <v>1.0957E-2</v>
      </c>
      <c r="Z9453" s="21">
        <v>4601004320420</v>
      </c>
    </row>
    <row r="9454" spans="1:26" ht="12" customHeight="1" outlineLevel="4" x14ac:dyDescent="0.2">
      <c r="A9454" s="14" t="s">
        <v>18006</v>
      </c>
      <c r="B9454" s="26" t="s">
        <v>18007</v>
      </c>
      <c r="C9454" s="52"/>
      <c r="D9454" s="55">
        <f t="shared" si="147"/>
        <v>0</v>
      </c>
      <c r="E9454" s="63" t="str">
        <f>HYPERLINK("https://www.sds-group.ru/product/komplekt-dlya-poliva-profi-plyus-shlang-pvh-3-sloynyy-armirovannyy-3-4-25m-konnektory-a-62-0229-1-FС/", "Инфо")</f>
        <v>Инфо</v>
      </c>
      <c r="F9454" s="16" t="s">
        <v>974</v>
      </c>
      <c r="G9454" s="15"/>
      <c r="H9454" s="15"/>
      <c r="I9454" s="15"/>
      <c r="J9454" s="17">
        <v>71</v>
      </c>
      <c r="K9454" s="15"/>
      <c r="L9454" s="17">
        <v>1</v>
      </c>
      <c r="M9454" s="17">
        <v>4</v>
      </c>
      <c r="N9454" s="17">
        <v>1</v>
      </c>
      <c r="O9454" s="18">
        <v>5752.31</v>
      </c>
      <c r="P9454" s="18">
        <v>4715.01</v>
      </c>
      <c r="Q9454" s="18">
        <v>4026.62</v>
      </c>
      <c r="R9454" s="18">
        <v>3300.51</v>
      </c>
      <c r="S9454" s="18">
        <v>3911.57</v>
      </c>
      <c r="T9454" s="18">
        <v>3206.2</v>
      </c>
      <c r="U9454" s="16"/>
      <c r="V9454" s="16"/>
      <c r="W9454" s="16"/>
      <c r="X9454" s="19">
        <v>4.5510000000000002</v>
      </c>
      <c r="Y9454" s="20">
        <v>2.3165000000000002E-2</v>
      </c>
      <c r="Z9454" s="21">
        <v>4601004320413</v>
      </c>
    </row>
    <row r="9455" spans="1:26" ht="12" customHeight="1" outlineLevel="4" x14ac:dyDescent="0.2">
      <c r="A9455" s="14" t="s">
        <v>18008</v>
      </c>
      <c r="B9455" s="26" t="s">
        <v>18009</v>
      </c>
      <c r="C9455" s="52"/>
      <c r="D9455" s="55">
        <f t="shared" si="147"/>
        <v>0</v>
      </c>
      <c r="E9455" s="63" t="str">
        <f>HYPERLINK("https://www.sds-group.ru/product/komplekt-dlya-poliva-standart-plyus-shlang-pvh-3-sloynyy-armirovannyy-1-2-25m-konnektor-62-0224-1-FC/", "Инфо")</f>
        <v>Инфо</v>
      </c>
      <c r="F9455" s="16" t="s">
        <v>974</v>
      </c>
      <c r="G9455" s="15"/>
      <c r="H9455" s="15"/>
      <c r="I9455" s="15"/>
      <c r="J9455" s="17">
        <v>60</v>
      </c>
      <c r="K9455" s="15"/>
      <c r="L9455" s="17">
        <v>1</v>
      </c>
      <c r="M9455" s="17">
        <v>6</v>
      </c>
      <c r="N9455" s="17">
        <v>1</v>
      </c>
      <c r="O9455" s="18">
        <v>2921.43</v>
      </c>
      <c r="P9455" s="18">
        <v>2394.61</v>
      </c>
      <c r="Q9455" s="18">
        <v>2045</v>
      </c>
      <c r="R9455" s="18">
        <v>1676.23</v>
      </c>
      <c r="S9455" s="18">
        <v>1986.57</v>
      </c>
      <c r="T9455" s="18">
        <v>1628.34</v>
      </c>
      <c r="U9455" s="16"/>
      <c r="V9455" s="16"/>
      <c r="W9455" s="16"/>
      <c r="X9455" s="19">
        <v>2.8769999999999998</v>
      </c>
      <c r="Y9455" s="20">
        <v>1.2930000000000001E-2</v>
      </c>
      <c r="Z9455" s="21">
        <v>4601004320468</v>
      </c>
    </row>
    <row r="9456" spans="1:26" ht="12" customHeight="1" outlineLevel="4" x14ac:dyDescent="0.2">
      <c r="A9456" s="14" t="s">
        <v>18010</v>
      </c>
      <c r="B9456" s="26" t="s">
        <v>18011</v>
      </c>
      <c r="C9456" s="52"/>
      <c r="D9456" s="55">
        <f t="shared" si="147"/>
        <v>0</v>
      </c>
      <c r="E9456" s="63" t="str">
        <f>HYPERLINK("https://www.sds-group.ru/product/komplekt-dlya-poliva-standart-plyus-shlang-pvh-3-sloynyy-armirovannyy-3-4-25m-konnektor-62-0226-1-FC/", "Инфо")</f>
        <v>Инфо</v>
      </c>
      <c r="F9456" s="16" t="s">
        <v>974</v>
      </c>
      <c r="G9456" s="15"/>
      <c r="H9456" s="15"/>
      <c r="I9456" s="15"/>
      <c r="J9456" s="17">
        <v>30</v>
      </c>
      <c r="K9456" s="15"/>
      <c r="L9456" s="17">
        <v>1</v>
      </c>
      <c r="M9456" s="17">
        <v>4</v>
      </c>
      <c r="N9456" s="17">
        <v>1</v>
      </c>
      <c r="O9456" s="18">
        <v>3795.71</v>
      </c>
      <c r="P9456" s="18">
        <v>3111.24</v>
      </c>
      <c r="Q9456" s="18">
        <v>2657</v>
      </c>
      <c r="R9456" s="18">
        <v>2177.87</v>
      </c>
      <c r="S9456" s="18">
        <v>2581.08</v>
      </c>
      <c r="T9456" s="18">
        <v>2115.64</v>
      </c>
      <c r="U9456" s="16"/>
      <c r="V9456" s="16"/>
      <c r="W9456" s="16"/>
      <c r="X9456" s="19">
        <v>4.0019999999999998</v>
      </c>
      <c r="Y9456" s="20">
        <v>2.2520999999999999E-2</v>
      </c>
      <c r="Z9456" s="21">
        <v>4601004320390</v>
      </c>
    </row>
    <row r="9457" spans="1:26" ht="12" customHeight="1" outlineLevel="4" x14ac:dyDescent="0.2">
      <c r="A9457" s="14" t="s">
        <v>18012</v>
      </c>
      <c r="B9457" s="26" t="s">
        <v>18013</v>
      </c>
      <c r="C9457" s="52"/>
      <c r="D9457" s="55">
        <f t="shared" si="147"/>
        <v>0</v>
      </c>
      <c r="E9457" s="63" t="str">
        <f>HYPERLINK("https://www.sds-group.ru/product/komplekt-dlya-poliva-standart-plyus-shlang-pvh-3-sloynyy-armirovannyy-3-4-50m-konnektor-62-0227-1-FC/", "Инфо")</f>
        <v>Инфо</v>
      </c>
      <c r="F9457" s="16" t="s">
        <v>974</v>
      </c>
      <c r="G9457" s="15"/>
      <c r="H9457" s="15"/>
      <c r="I9457" s="15"/>
      <c r="J9457" s="17">
        <v>53</v>
      </c>
      <c r="K9457" s="15"/>
      <c r="L9457" s="17">
        <v>1</v>
      </c>
      <c r="M9457" s="17">
        <v>2</v>
      </c>
      <c r="N9457" s="17">
        <v>1</v>
      </c>
      <c r="O9457" s="18">
        <v>6834.65</v>
      </c>
      <c r="P9457" s="18">
        <v>5602.17</v>
      </c>
      <c r="Q9457" s="18">
        <v>4784.26</v>
      </c>
      <c r="R9457" s="18">
        <v>3921.52</v>
      </c>
      <c r="S9457" s="18">
        <v>4647.5600000000004</v>
      </c>
      <c r="T9457" s="18">
        <v>3809.48</v>
      </c>
      <c r="U9457" s="16"/>
      <c r="V9457" s="16"/>
      <c r="W9457" s="16"/>
      <c r="X9457" s="19">
        <v>8.4420000000000002</v>
      </c>
      <c r="Y9457" s="20">
        <v>4.2840999999999997E-2</v>
      </c>
      <c r="Z9457" s="21">
        <v>4601004320482</v>
      </c>
    </row>
    <row r="9458" spans="1:26" ht="12" customHeight="1" outlineLevel="4" x14ac:dyDescent="0.2">
      <c r="A9458" s="14" t="s">
        <v>18014</v>
      </c>
      <c r="B9458" s="26" t="s">
        <v>18015</v>
      </c>
      <c r="C9458" s="52"/>
      <c r="D9458" s="55">
        <f t="shared" si="147"/>
        <v>0</v>
      </c>
      <c r="E9458" s="63" t="str">
        <f>HYPERLINK("https://www.sds-group.ru/product/shlang-dlya-kapelnogo-orosheniya-sochaschiysya-1-2-buhta-10m-profi-chetyre-sezona-62-0317-F/", "Инфо")</f>
        <v>Инфо</v>
      </c>
      <c r="F9458" s="16" t="s">
        <v>1887</v>
      </c>
      <c r="G9458" s="15"/>
      <c r="H9458" s="15"/>
      <c r="I9458" s="15"/>
      <c r="J9458" s="17">
        <v>125</v>
      </c>
      <c r="K9458" s="15"/>
      <c r="L9458" s="17">
        <v>1</v>
      </c>
      <c r="M9458" s="17">
        <v>8</v>
      </c>
      <c r="N9458" s="17">
        <v>1</v>
      </c>
      <c r="O9458" s="18">
        <v>995.01</v>
      </c>
      <c r="P9458" s="18">
        <v>815.58</v>
      </c>
      <c r="Q9458" s="18">
        <v>696.51</v>
      </c>
      <c r="R9458" s="18">
        <v>570.91</v>
      </c>
      <c r="S9458" s="18">
        <v>676.61</v>
      </c>
      <c r="T9458" s="18">
        <v>554.6</v>
      </c>
      <c r="U9458" s="16"/>
      <c r="V9458" s="16"/>
      <c r="W9458" s="16"/>
      <c r="X9458" s="19">
        <v>0.874</v>
      </c>
      <c r="Y9458" s="20">
        <v>5.4609999999999997E-3</v>
      </c>
      <c r="Z9458" s="21">
        <v>4601004320406</v>
      </c>
    </row>
    <row r="9459" spans="1:26" ht="12" customHeight="1" outlineLevel="4" x14ac:dyDescent="0.2">
      <c r="A9459" s="40" t="s">
        <v>18016</v>
      </c>
      <c r="B9459" s="75" t="s">
        <v>18017</v>
      </c>
      <c r="C9459" s="51"/>
      <c r="D9459" s="54">
        <f t="shared" si="147"/>
        <v>0</v>
      </c>
      <c r="E9459" s="62"/>
      <c r="F9459" s="42" t="s">
        <v>39</v>
      </c>
      <c r="G9459" s="41" t="s">
        <v>40</v>
      </c>
      <c r="H9459" s="41"/>
      <c r="I9459" s="41"/>
      <c r="J9459" s="43">
        <v>249</v>
      </c>
      <c r="K9459" s="41"/>
      <c r="L9459" s="43">
        <v>1</v>
      </c>
      <c r="M9459" s="43">
        <v>1</v>
      </c>
      <c r="N9459" s="43">
        <v>1</v>
      </c>
      <c r="O9459" s="44">
        <v>1908</v>
      </c>
      <c r="P9459" s="44">
        <v>1563.93</v>
      </c>
      <c r="Q9459" s="44">
        <v>1335.6</v>
      </c>
      <c r="R9459" s="44">
        <v>1094.75</v>
      </c>
      <c r="S9459" s="44">
        <v>1297.44</v>
      </c>
      <c r="T9459" s="44">
        <v>1063.48</v>
      </c>
      <c r="U9459" s="42"/>
      <c r="V9459" s="42"/>
      <c r="W9459" s="42"/>
      <c r="X9459" s="45">
        <v>2.964</v>
      </c>
      <c r="Y9459" s="46">
        <v>1.2702E-2</v>
      </c>
      <c r="Z9459" s="21">
        <v>4601004352179</v>
      </c>
    </row>
    <row r="9460" spans="1:26" ht="12" customHeight="1" outlineLevel="4" x14ac:dyDescent="0.2">
      <c r="A9460" s="40" t="s">
        <v>18018</v>
      </c>
      <c r="B9460" s="75" t="s">
        <v>18019</v>
      </c>
      <c r="C9460" s="51"/>
      <c r="D9460" s="54">
        <f t="shared" si="147"/>
        <v>0</v>
      </c>
      <c r="E9460" s="62"/>
      <c r="F9460" s="42" t="s">
        <v>39</v>
      </c>
      <c r="G9460" s="41" t="s">
        <v>40</v>
      </c>
      <c r="H9460" s="41"/>
      <c r="I9460" s="41"/>
      <c r="J9460" s="43">
        <v>367</v>
      </c>
      <c r="K9460" s="41"/>
      <c r="L9460" s="43">
        <v>1</v>
      </c>
      <c r="M9460" s="43">
        <v>1</v>
      </c>
      <c r="N9460" s="43">
        <v>1</v>
      </c>
      <c r="O9460" s="44">
        <v>2544</v>
      </c>
      <c r="P9460" s="44">
        <v>2085.25</v>
      </c>
      <c r="Q9460" s="44">
        <v>1780.8</v>
      </c>
      <c r="R9460" s="44">
        <v>1459.67</v>
      </c>
      <c r="S9460" s="44">
        <v>1729.92</v>
      </c>
      <c r="T9460" s="44">
        <v>1417.97</v>
      </c>
      <c r="U9460" s="42"/>
      <c r="V9460" s="42"/>
      <c r="W9460" s="42"/>
      <c r="X9460" s="45">
        <v>4.1829999999999998</v>
      </c>
      <c r="Y9460" s="46">
        <v>2.0639999999999999E-2</v>
      </c>
      <c r="Z9460" s="21">
        <v>4601004352186</v>
      </c>
    </row>
    <row r="9461" spans="1:26" ht="12" customHeight="1" outlineLevel="4" x14ac:dyDescent="0.2">
      <c r="A9461" s="40" t="s">
        <v>18020</v>
      </c>
      <c r="B9461" s="75" t="s">
        <v>18021</v>
      </c>
      <c r="C9461" s="51"/>
      <c r="D9461" s="54">
        <f t="shared" si="147"/>
        <v>0</v>
      </c>
      <c r="E9461" s="62"/>
      <c r="F9461" s="42" t="s">
        <v>39</v>
      </c>
      <c r="G9461" s="41" t="s">
        <v>40</v>
      </c>
      <c r="H9461" s="41"/>
      <c r="I9461" s="41"/>
      <c r="J9461" s="43">
        <v>1</v>
      </c>
      <c r="K9461" s="41"/>
      <c r="L9461" s="43">
        <v>1</v>
      </c>
      <c r="M9461" s="43">
        <v>1</v>
      </c>
      <c r="N9461" s="43">
        <v>1</v>
      </c>
      <c r="O9461" s="44">
        <v>4876</v>
      </c>
      <c r="P9461" s="44">
        <v>3996.72</v>
      </c>
      <c r="Q9461" s="44">
        <v>3413.2</v>
      </c>
      <c r="R9461" s="44">
        <v>2797.7</v>
      </c>
      <c r="S9461" s="44">
        <v>3315.68</v>
      </c>
      <c r="T9461" s="44">
        <v>2717.77</v>
      </c>
      <c r="U9461" s="42"/>
      <c r="V9461" s="42"/>
      <c r="W9461" s="42"/>
      <c r="X9461" s="45">
        <v>8.4770000000000003</v>
      </c>
      <c r="Y9461" s="46">
        <v>3.5943000000000003E-2</v>
      </c>
      <c r="Z9461" s="21">
        <v>4601004352193</v>
      </c>
    </row>
    <row r="9462" spans="1:26" ht="12" customHeight="1" outlineLevel="4" x14ac:dyDescent="0.2">
      <c r="A9462" s="14" t="s">
        <v>18022</v>
      </c>
      <c r="B9462" s="26" t="s">
        <v>18023</v>
      </c>
      <c r="C9462" s="52"/>
      <c r="D9462" s="55">
        <f t="shared" si="147"/>
        <v>0</v>
      </c>
      <c r="E9462" s="63" t="str">
        <f>HYPERLINK("https://www.sds-group.ru/product/shlang-polivochnyy-pvh-3-h-sloynyy-armirovannyy-1-2-25m-standart-plyus-chetyre-sezona-62-0224-1/", "Инфо")</f>
        <v>Инфо</v>
      </c>
      <c r="F9462" s="16" t="s">
        <v>39</v>
      </c>
      <c r="G9462" s="15"/>
      <c r="H9462" s="15"/>
      <c r="I9462" s="15"/>
      <c r="J9462" s="16" t="s">
        <v>100</v>
      </c>
      <c r="K9462" s="15"/>
      <c r="L9462" s="17">
        <v>1</v>
      </c>
      <c r="M9462" s="17">
        <v>6</v>
      </c>
      <c r="N9462" s="17">
        <v>1</v>
      </c>
      <c r="O9462" s="18">
        <v>1404.29</v>
      </c>
      <c r="P9462" s="18">
        <v>1151.06</v>
      </c>
      <c r="Q9462" s="18">
        <v>983</v>
      </c>
      <c r="R9462" s="18">
        <v>805.74</v>
      </c>
      <c r="S9462" s="18">
        <v>954.92</v>
      </c>
      <c r="T9462" s="18">
        <v>782.72</v>
      </c>
      <c r="U9462" s="16"/>
      <c r="V9462" s="16"/>
      <c r="W9462" s="16" t="s">
        <v>40</v>
      </c>
      <c r="X9462" s="19">
        <v>2.782</v>
      </c>
      <c r="Y9462" s="20">
        <v>1.2819000000000001E-2</v>
      </c>
      <c r="Z9462" s="21">
        <v>4601004291195</v>
      </c>
    </row>
    <row r="9463" spans="1:26" ht="12" customHeight="1" outlineLevel="4" x14ac:dyDescent="0.2">
      <c r="A9463" s="14" t="s">
        <v>18024</v>
      </c>
      <c r="B9463" s="26" t="s">
        <v>18025</v>
      </c>
      <c r="C9463" s="52"/>
      <c r="D9463" s="55">
        <f t="shared" si="147"/>
        <v>0</v>
      </c>
      <c r="E9463" s="63" t="str">
        <f>HYPERLINK("https://www.sds-group.ru/product/shlang-polivochnyy-pvh-3-h-sloynyy-armirovannyy-1-2-25m-standart-chetyre-sezona-62-0224/", "Инфо")</f>
        <v>Инфо</v>
      </c>
      <c r="F9463" s="16" t="s">
        <v>1887</v>
      </c>
      <c r="G9463" s="15"/>
      <c r="H9463" s="15"/>
      <c r="I9463" s="15"/>
      <c r="J9463" s="16" t="s">
        <v>100</v>
      </c>
      <c r="K9463" s="15"/>
      <c r="L9463" s="17">
        <v>1</v>
      </c>
      <c r="M9463" s="17">
        <v>1</v>
      </c>
      <c r="N9463" s="17">
        <v>1</v>
      </c>
      <c r="O9463" s="18">
        <v>1404.29</v>
      </c>
      <c r="P9463" s="18">
        <v>1151.06</v>
      </c>
      <c r="Q9463" s="18">
        <v>983</v>
      </c>
      <c r="R9463" s="18">
        <v>805.74</v>
      </c>
      <c r="S9463" s="18">
        <v>954.92</v>
      </c>
      <c r="T9463" s="18">
        <v>782.72</v>
      </c>
      <c r="U9463" s="16"/>
      <c r="V9463" s="16"/>
      <c r="W9463" s="16" t="s">
        <v>40</v>
      </c>
      <c r="X9463" s="19">
        <v>2.2440000000000002</v>
      </c>
      <c r="Y9463" s="20">
        <v>1.3039E-2</v>
      </c>
      <c r="Z9463" s="21">
        <v>4601004272941</v>
      </c>
    </row>
    <row r="9464" spans="1:26" ht="12" customHeight="1" outlineLevel="4" x14ac:dyDescent="0.2">
      <c r="A9464" s="14" t="s">
        <v>18026</v>
      </c>
      <c r="B9464" s="26" t="s">
        <v>18027</v>
      </c>
      <c r="C9464" s="52"/>
      <c r="D9464" s="55">
        <f t="shared" si="147"/>
        <v>0</v>
      </c>
      <c r="E9464" s="63" t="str">
        <f>HYPERLINK("https://www.sds-group.ru/product/shlang-polivochnyy-pvh-3-h-sloynyy-armirovannyy-1-2-25m-profi-plyus-chetyre-sezona-62-0228-1/", "Инфо")</f>
        <v>Инфо</v>
      </c>
      <c r="F9464" s="16" t="s">
        <v>39</v>
      </c>
      <c r="G9464" s="15"/>
      <c r="H9464" s="15"/>
      <c r="I9464" s="15"/>
      <c r="J9464" s="17">
        <v>2</v>
      </c>
      <c r="K9464" s="15"/>
      <c r="L9464" s="17">
        <v>1</v>
      </c>
      <c r="M9464" s="17">
        <v>6</v>
      </c>
      <c r="N9464" s="17">
        <v>1</v>
      </c>
      <c r="O9464" s="18">
        <v>2533.35</v>
      </c>
      <c r="P9464" s="18">
        <v>2076.52</v>
      </c>
      <c r="Q9464" s="18">
        <v>1950.68</v>
      </c>
      <c r="R9464" s="18">
        <v>1598.92</v>
      </c>
      <c r="S9464" s="18">
        <v>1722.68</v>
      </c>
      <c r="T9464" s="18">
        <v>1412.03</v>
      </c>
      <c r="U9464" s="16"/>
      <c r="V9464" s="16"/>
      <c r="W9464" s="16" t="s">
        <v>40</v>
      </c>
      <c r="X9464" s="19">
        <v>2.8420000000000001</v>
      </c>
      <c r="Y9464" s="20">
        <v>1.0885000000000001E-2</v>
      </c>
      <c r="Z9464" s="21">
        <v>4601004291232</v>
      </c>
    </row>
    <row r="9465" spans="1:26" ht="12" customHeight="1" outlineLevel="4" x14ac:dyDescent="0.2">
      <c r="A9465" s="14" t="s">
        <v>18028</v>
      </c>
      <c r="B9465" s="26" t="s">
        <v>18029</v>
      </c>
      <c r="C9465" s="52"/>
      <c r="D9465" s="55">
        <f t="shared" si="147"/>
        <v>0</v>
      </c>
      <c r="E9465" s="63" t="str">
        <f>HYPERLINK("https://www.sds-group.ru/product/shlang-polivochnyy-pvh-3-h-sloynyy-armirovannyy-1-2-25m-profi-chetyre-sezona-62-0228/", "Инфо")</f>
        <v>Инфо</v>
      </c>
      <c r="F9465" s="16" t="s">
        <v>1887</v>
      </c>
      <c r="G9465" s="15"/>
      <c r="H9465" s="15"/>
      <c r="I9465" s="15"/>
      <c r="J9465" s="17">
        <v>23</v>
      </c>
      <c r="K9465" s="15"/>
      <c r="L9465" s="17">
        <v>1</v>
      </c>
      <c r="M9465" s="17">
        <v>1</v>
      </c>
      <c r="N9465" s="17">
        <v>1</v>
      </c>
      <c r="O9465" s="18">
        <v>1404.29</v>
      </c>
      <c r="P9465" s="18">
        <v>1151.06</v>
      </c>
      <c r="Q9465" s="18">
        <v>983</v>
      </c>
      <c r="R9465" s="18">
        <v>805.74</v>
      </c>
      <c r="S9465" s="18">
        <v>954.92</v>
      </c>
      <c r="T9465" s="18">
        <v>782.72</v>
      </c>
      <c r="U9465" s="16"/>
      <c r="V9465" s="16"/>
      <c r="W9465" s="16" t="s">
        <v>40</v>
      </c>
      <c r="X9465" s="19">
        <v>2.8239999999999998</v>
      </c>
      <c r="Y9465" s="20">
        <v>1.2378999999999999E-2</v>
      </c>
      <c r="Z9465" s="21">
        <v>4601004272958</v>
      </c>
    </row>
    <row r="9466" spans="1:26" ht="12" customHeight="1" outlineLevel="4" x14ac:dyDescent="0.2">
      <c r="A9466" s="14" t="s">
        <v>18030</v>
      </c>
      <c r="B9466" s="26" t="s">
        <v>18031</v>
      </c>
      <c r="C9466" s="52"/>
      <c r="D9466" s="55">
        <f t="shared" si="147"/>
        <v>0</v>
      </c>
      <c r="E9466" s="63" t="str">
        <f>HYPERLINK("https://www.sds-group.ru/product/shlang-polivochniy-pvh-3-h-sloyniy-armirovanniy-3-4-25m-standart-plyus-chetire-sezona-30473/", "Инфо")</f>
        <v>Инфо</v>
      </c>
      <c r="F9466" s="16" t="s">
        <v>39</v>
      </c>
      <c r="G9466" s="15"/>
      <c r="H9466" s="15"/>
      <c r="I9466" s="15"/>
      <c r="J9466" s="17">
        <v>1</v>
      </c>
      <c r="K9466" s="15"/>
      <c r="L9466" s="17">
        <v>1</v>
      </c>
      <c r="M9466" s="17">
        <v>4</v>
      </c>
      <c r="N9466" s="17">
        <v>1</v>
      </c>
      <c r="O9466" s="18">
        <v>2421.89</v>
      </c>
      <c r="P9466" s="18">
        <v>1985.16</v>
      </c>
      <c r="Q9466" s="18">
        <v>1695.32</v>
      </c>
      <c r="R9466" s="18">
        <v>1389.61</v>
      </c>
      <c r="S9466" s="18">
        <v>1646.89</v>
      </c>
      <c r="T9466" s="18">
        <v>1349.91</v>
      </c>
      <c r="U9466" s="16"/>
      <c r="V9466" s="16"/>
      <c r="W9466" s="16" t="s">
        <v>40</v>
      </c>
      <c r="X9466" s="19">
        <v>3.7250000000000001</v>
      </c>
      <c r="Y9466" s="20">
        <v>2.2717999999999999E-2</v>
      </c>
      <c r="Z9466" s="21">
        <v>4601004291201</v>
      </c>
    </row>
    <row r="9467" spans="1:26" ht="12" customHeight="1" outlineLevel="4" x14ac:dyDescent="0.2">
      <c r="A9467" s="14" t="s">
        <v>18032</v>
      </c>
      <c r="B9467" s="26" t="s">
        <v>18033</v>
      </c>
      <c r="C9467" s="52"/>
      <c r="D9467" s="55">
        <f t="shared" si="147"/>
        <v>0</v>
      </c>
      <c r="E9467" s="63" t="str">
        <f>HYPERLINK("https://www.sds-group.ru/product/shlang-polivochniy-pvh-3-h-sloyniy-armirovanniy-3-4-25m-standart-chetire-sezona-29248/", "Инфо")</f>
        <v>Инфо</v>
      </c>
      <c r="F9467" s="16" t="s">
        <v>1887</v>
      </c>
      <c r="G9467" s="15"/>
      <c r="H9467" s="15"/>
      <c r="I9467" s="15"/>
      <c r="J9467" s="17">
        <v>2</v>
      </c>
      <c r="K9467" s="15"/>
      <c r="L9467" s="17">
        <v>1</v>
      </c>
      <c r="M9467" s="17">
        <v>1</v>
      </c>
      <c r="N9467" s="17">
        <v>1</v>
      </c>
      <c r="O9467" s="18">
        <v>1811.33</v>
      </c>
      <c r="P9467" s="18">
        <v>1484.7</v>
      </c>
      <c r="Q9467" s="18">
        <v>1430.95</v>
      </c>
      <c r="R9467" s="18">
        <v>1172.9100000000001</v>
      </c>
      <c r="S9467" s="18">
        <v>1231.7</v>
      </c>
      <c r="T9467" s="18">
        <v>1009.59</v>
      </c>
      <c r="U9467" s="16"/>
      <c r="V9467" s="16"/>
      <c r="W9467" s="16" t="s">
        <v>40</v>
      </c>
      <c r="X9467" s="19">
        <v>3.65</v>
      </c>
      <c r="Y9467" s="20">
        <v>1.9186000000000002E-2</v>
      </c>
      <c r="Z9467" s="21">
        <v>4601004272927</v>
      </c>
    </row>
    <row r="9468" spans="1:26" ht="12" customHeight="1" outlineLevel="4" x14ac:dyDescent="0.2">
      <c r="A9468" s="14" t="s">
        <v>18034</v>
      </c>
      <c r="B9468" s="26" t="s">
        <v>18035</v>
      </c>
      <c r="C9468" s="52"/>
      <c r="D9468" s="55">
        <f t="shared" si="147"/>
        <v>0</v>
      </c>
      <c r="E9468" s="63" t="str">
        <f>HYPERLINK("https://www.sds-group.ru/product/shlang-polivochnyy-pvh-3-h-sloynyy-armirovannyy-3-4-25m-profi-plyus-chetyre-sezona-62-0229-1/", "Инфо")</f>
        <v>Инфо</v>
      </c>
      <c r="F9468" s="16" t="s">
        <v>39</v>
      </c>
      <c r="G9468" s="15"/>
      <c r="H9468" s="15"/>
      <c r="I9468" s="15"/>
      <c r="J9468" s="17">
        <v>36</v>
      </c>
      <c r="K9468" s="15"/>
      <c r="L9468" s="17">
        <v>1</v>
      </c>
      <c r="M9468" s="17">
        <v>4</v>
      </c>
      <c r="N9468" s="17">
        <v>1</v>
      </c>
      <c r="O9468" s="18">
        <v>3663.36</v>
      </c>
      <c r="P9468" s="18">
        <v>3002.75</v>
      </c>
      <c r="Q9468" s="18">
        <v>2674.25</v>
      </c>
      <c r="R9468" s="18">
        <v>2192.0100000000002</v>
      </c>
      <c r="S9468" s="18">
        <v>2491.08</v>
      </c>
      <c r="T9468" s="18">
        <v>2041.87</v>
      </c>
      <c r="U9468" s="16"/>
      <c r="V9468" s="16"/>
      <c r="W9468" s="16" t="s">
        <v>40</v>
      </c>
      <c r="X9468" s="19">
        <v>4.335</v>
      </c>
      <c r="Y9468" s="20">
        <v>2.2505000000000001E-2</v>
      </c>
      <c r="Z9468" s="21">
        <v>4601004291249</v>
      </c>
    </row>
    <row r="9469" spans="1:26" ht="12" customHeight="1" outlineLevel="4" x14ac:dyDescent="0.2">
      <c r="A9469" s="14" t="s">
        <v>18036</v>
      </c>
      <c r="B9469" s="26" t="s">
        <v>18037</v>
      </c>
      <c r="C9469" s="52"/>
      <c r="D9469" s="55">
        <f t="shared" si="147"/>
        <v>0</v>
      </c>
      <c r="E9469" s="63" t="str">
        <f>HYPERLINK("https://www.sds-group.ru/product/shlang-polivochnyy-pvh-3-h-sloynyy-armirovannyy-3-4-25m-profi-chetyre-sezona-62-0229/", "Инфо")</f>
        <v>Инфо</v>
      </c>
      <c r="F9469" s="16" t="s">
        <v>1887</v>
      </c>
      <c r="G9469" s="15"/>
      <c r="H9469" s="15"/>
      <c r="I9469" s="15"/>
      <c r="J9469" s="17">
        <v>213</v>
      </c>
      <c r="K9469" s="15"/>
      <c r="L9469" s="17">
        <v>1</v>
      </c>
      <c r="M9469" s="17">
        <v>1</v>
      </c>
      <c r="N9469" s="17">
        <v>1</v>
      </c>
      <c r="O9469" s="18">
        <v>2218.37</v>
      </c>
      <c r="P9469" s="18">
        <v>1818.34</v>
      </c>
      <c r="Q9469" s="18">
        <v>1708.14</v>
      </c>
      <c r="R9469" s="18">
        <v>1400.11</v>
      </c>
      <c r="S9469" s="18">
        <v>1508.49</v>
      </c>
      <c r="T9469" s="18">
        <v>1236.47</v>
      </c>
      <c r="U9469" s="16"/>
      <c r="V9469" s="16"/>
      <c r="W9469" s="16" t="s">
        <v>40</v>
      </c>
      <c r="X9469" s="19">
        <v>4.3140000000000001</v>
      </c>
      <c r="Y9469" s="20">
        <v>1.9237000000000001E-2</v>
      </c>
      <c r="Z9469" s="21">
        <v>4601004272965</v>
      </c>
    </row>
    <row r="9470" spans="1:26" ht="12" customHeight="1" outlineLevel="4" x14ac:dyDescent="0.2">
      <c r="A9470" s="14" t="s">
        <v>18038</v>
      </c>
      <c r="B9470" s="26" t="s">
        <v>18039</v>
      </c>
      <c r="C9470" s="52"/>
      <c r="D9470" s="55">
        <f t="shared" si="147"/>
        <v>0</v>
      </c>
      <c r="E9470" s="63" t="str">
        <f>HYPERLINK("https://www.sds-group.ru/product/shlang-polivochnyy-pvh-3-h-sloynyy-armirovannyy-3-4-50m-profi-plyus-chetyre-sezona-62-0230-1/", "Инфо")</f>
        <v>Инфо</v>
      </c>
      <c r="F9470" s="16" t="s">
        <v>39</v>
      </c>
      <c r="G9470" s="15"/>
      <c r="H9470" s="15"/>
      <c r="I9470" s="15"/>
      <c r="J9470" s="17">
        <v>16</v>
      </c>
      <c r="K9470" s="15"/>
      <c r="L9470" s="17">
        <v>1</v>
      </c>
      <c r="M9470" s="17">
        <v>2</v>
      </c>
      <c r="N9470" s="17">
        <v>1</v>
      </c>
      <c r="O9470" s="18">
        <v>7326.72</v>
      </c>
      <c r="P9470" s="18">
        <v>6005.51</v>
      </c>
      <c r="Q9470" s="18">
        <v>5128.7</v>
      </c>
      <c r="R9470" s="18">
        <v>4203.8500000000004</v>
      </c>
      <c r="S9470" s="18">
        <v>4982.17</v>
      </c>
      <c r="T9470" s="18">
        <v>4083.75</v>
      </c>
      <c r="U9470" s="16"/>
      <c r="V9470" s="16"/>
      <c r="W9470" s="16" t="s">
        <v>40</v>
      </c>
      <c r="X9470" s="19">
        <v>8.66</v>
      </c>
      <c r="Y9470" s="20">
        <v>4.0412999999999998E-2</v>
      </c>
      <c r="Z9470" s="21">
        <v>4601004291218</v>
      </c>
    </row>
    <row r="9471" spans="1:26" ht="12" customHeight="1" outlineLevel="4" x14ac:dyDescent="0.2">
      <c r="A9471" s="40" t="s">
        <v>18040</v>
      </c>
      <c r="B9471" s="75" t="s">
        <v>18041</v>
      </c>
      <c r="C9471" s="51"/>
      <c r="D9471" s="54">
        <f t="shared" si="147"/>
        <v>0</v>
      </c>
      <c r="E9471" s="62"/>
      <c r="F9471" s="42" t="s">
        <v>39</v>
      </c>
      <c r="G9471" s="41" t="s">
        <v>40</v>
      </c>
      <c r="H9471" s="41"/>
      <c r="I9471" s="41"/>
      <c r="J9471" s="43">
        <v>64</v>
      </c>
      <c r="K9471" s="41"/>
      <c r="L9471" s="43">
        <v>1</v>
      </c>
      <c r="M9471" s="43">
        <v>1</v>
      </c>
      <c r="N9471" s="43">
        <v>1</v>
      </c>
      <c r="O9471" s="44">
        <v>3266.92</v>
      </c>
      <c r="P9471" s="44">
        <v>2677.8</v>
      </c>
      <c r="Q9471" s="44">
        <v>2286.84</v>
      </c>
      <c r="R9471" s="44">
        <v>1874.46</v>
      </c>
      <c r="S9471" s="44">
        <v>2221.5100000000002</v>
      </c>
      <c r="T9471" s="44">
        <v>1820.91</v>
      </c>
      <c r="U9471" s="42"/>
      <c r="V9471" s="42"/>
      <c r="W9471" s="42"/>
      <c r="X9471" s="45">
        <v>3.2959999999999998</v>
      </c>
      <c r="Y9471" s="46">
        <v>1.6777E-2</v>
      </c>
      <c r="Z9471" s="21">
        <v>4601004352230</v>
      </c>
    </row>
    <row r="9472" spans="1:26" ht="12" customHeight="1" outlineLevel="4" x14ac:dyDescent="0.2">
      <c r="A9472" s="40" t="s">
        <v>18042</v>
      </c>
      <c r="B9472" s="75" t="s">
        <v>18043</v>
      </c>
      <c r="C9472" s="51"/>
      <c r="D9472" s="54">
        <f t="shared" si="147"/>
        <v>0</v>
      </c>
      <c r="E9472" s="62"/>
      <c r="F9472" s="42" t="s">
        <v>39</v>
      </c>
      <c r="G9472" s="41" t="s">
        <v>40</v>
      </c>
      <c r="H9472" s="41"/>
      <c r="I9472" s="41"/>
      <c r="J9472" s="42" t="s">
        <v>100</v>
      </c>
      <c r="K9472" s="41"/>
      <c r="L9472" s="43">
        <v>1</v>
      </c>
      <c r="M9472" s="43">
        <v>1</v>
      </c>
      <c r="N9472" s="43">
        <v>1</v>
      </c>
      <c r="O9472" s="44">
        <v>2840.8</v>
      </c>
      <c r="P9472" s="44">
        <v>2328.52</v>
      </c>
      <c r="Q9472" s="44">
        <v>1988.56</v>
      </c>
      <c r="R9472" s="44">
        <v>1629.97</v>
      </c>
      <c r="S9472" s="44">
        <v>1931.74</v>
      </c>
      <c r="T9472" s="44">
        <v>1583.39</v>
      </c>
      <c r="U9472" s="42"/>
      <c r="V9472" s="42"/>
      <c r="W9472" s="42" t="s">
        <v>40</v>
      </c>
      <c r="X9472" s="45">
        <v>3.3039999999999998</v>
      </c>
      <c r="Y9472" s="46">
        <v>1.5751000000000001E-2</v>
      </c>
      <c r="Z9472" s="21">
        <v>4601004352209</v>
      </c>
    </row>
    <row r="9473" spans="1:26" ht="12" customHeight="1" outlineLevel="4" x14ac:dyDescent="0.2">
      <c r="A9473" s="40" t="s">
        <v>18044</v>
      </c>
      <c r="B9473" s="75" t="s">
        <v>18045</v>
      </c>
      <c r="C9473" s="51"/>
      <c r="D9473" s="54">
        <f t="shared" si="147"/>
        <v>0</v>
      </c>
      <c r="E9473" s="62"/>
      <c r="F9473" s="42" t="s">
        <v>39</v>
      </c>
      <c r="G9473" s="41" t="s">
        <v>40</v>
      </c>
      <c r="H9473" s="41"/>
      <c r="I9473" s="41"/>
      <c r="J9473" s="43">
        <v>614</v>
      </c>
      <c r="K9473" s="41"/>
      <c r="L9473" s="43">
        <v>1</v>
      </c>
      <c r="M9473" s="43">
        <v>1</v>
      </c>
      <c r="N9473" s="43">
        <v>1</v>
      </c>
      <c r="O9473" s="44">
        <v>4876</v>
      </c>
      <c r="P9473" s="44">
        <v>3996.72</v>
      </c>
      <c r="Q9473" s="44">
        <v>3413.2</v>
      </c>
      <c r="R9473" s="44">
        <v>2797.7</v>
      </c>
      <c r="S9473" s="44">
        <v>3315.68</v>
      </c>
      <c r="T9473" s="44">
        <v>2717.77</v>
      </c>
      <c r="U9473" s="42"/>
      <c r="V9473" s="42"/>
      <c r="W9473" s="42"/>
      <c r="X9473" s="45">
        <v>5.8849999999999998</v>
      </c>
      <c r="Y9473" s="46">
        <v>2.7224000000000002E-2</v>
      </c>
      <c r="Z9473" s="21">
        <v>4601004352247</v>
      </c>
    </row>
    <row r="9474" spans="1:26" ht="12" customHeight="1" outlineLevel="4" x14ac:dyDescent="0.2">
      <c r="A9474" s="40" t="s">
        <v>18046</v>
      </c>
      <c r="B9474" s="75" t="s">
        <v>18047</v>
      </c>
      <c r="C9474" s="51"/>
      <c r="D9474" s="54">
        <f t="shared" si="147"/>
        <v>0</v>
      </c>
      <c r="E9474" s="62"/>
      <c r="F9474" s="42" t="s">
        <v>39</v>
      </c>
      <c r="G9474" s="41" t="s">
        <v>40</v>
      </c>
      <c r="H9474" s="41"/>
      <c r="I9474" s="41"/>
      <c r="J9474" s="43">
        <v>384</v>
      </c>
      <c r="K9474" s="41"/>
      <c r="L9474" s="43">
        <v>1</v>
      </c>
      <c r="M9474" s="43">
        <v>1</v>
      </c>
      <c r="N9474" s="43">
        <v>1</v>
      </c>
      <c r="O9474" s="44">
        <v>4240</v>
      </c>
      <c r="P9474" s="44">
        <v>3475.41</v>
      </c>
      <c r="Q9474" s="44">
        <v>2968</v>
      </c>
      <c r="R9474" s="44">
        <v>2432.79</v>
      </c>
      <c r="S9474" s="44">
        <v>2883.2</v>
      </c>
      <c r="T9474" s="44">
        <v>2363.2800000000002</v>
      </c>
      <c r="U9474" s="42"/>
      <c r="V9474" s="42"/>
      <c r="W9474" s="42" t="s">
        <v>40</v>
      </c>
      <c r="X9474" s="45">
        <v>5.7569999999999997</v>
      </c>
      <c r="Y9474" s="46">
        <v>2.5225999999999998E-2</v>
      </c>
      <c r="Z9474" s="21">
        <v>4601004352216</v>
      </c>
    </row>
    <row r="9475" spans="1:26" ht="12" customHeight="1" outlineLevel="4" x14ac:dyDescent="0.2">
      <c r="A9475" s="40" t="s">
        <v>18048</v>
      </c>
      <c r="B9475" s="75" t="s">
        <v>18049</v>
      </c>
      <c r="C9475" s="51"/>
      <c r="D9475" s="54">
        <f t="shared" si="147"/>
        <v>0</v>
      </c>
      <c r="E9475" s="62"/>
      <c r="F9475" s="42" t="s">
        <v>39</v>
      </c>
      <c r="G9475" s="41" t="s">
        <v>40</v>
      </c>
      <c r="H9475" s="41"/>
      <c r="I9475" s="41"/>
      <c r="J9475" s="43">
        <v>227</v>
      </c>
      <c r="K9475" s="41"/>
      <c r="L9475" s="43">
        <v>1</v>
      </c>
      <c r="M9475" s="43">
        <v>1</v>
      </c>
      <c r="N9475" s="43">
        <v>1</v>
      </c>
      <c r="O9475" s="44">
        <v>8480</v>
      </c>
      <c r="P9475" s="44">
        <v>6950.82</v>
      </c>
      <c r="Q9475" s="44">
        <v>5936</v>
      </c>
      <c r="R9475" s="44">
        <v>4865.57</v>
      </c>
      <c r="S9475" s="44">
        <v>5766.4</v>
      </c>
      <c r="T9475" s="44">
        <v>4726.5600000000004</v>
      </c>
      <c r="U9475" s="42"/>
      <c r="V9475" s="42"/>
      <c r="W9475" s="42" t="s">
        <v>40</v>
      </c>
      <c r="X9475" s="45">
        <v>11.422000000000001</v>
      </c>
      <c r="Y9475" s="46">
        <v>5.4025999999999998E-2</v>
      </c>
      <c r="Z9475" s="21">
        <v>4601004352223</v>
      </c>
    </row>
    <row r="9476" spans="1:26" ht="12.95" customHeight="1" outlineLevel="3" x14ac:dyDescent="0.2">
      <c r="A9476" s="76" t="s">
        <v>18050</v>
      </c>
      <c r="B9476" s="76"/>
      <c r="C9476" s="77"/>
      <c r="D9476" s="58"/>
      <c r="E9476" s="68"/>
      <c r="F9476" s="13"/>
      <c r="G9476" s="13"/>
      <c r="H9476" s="13"/>
      <c r="I9476" s="13"/>
      <c r="J9476" s="13"/>
      <c r="K9476" s="13"/>
      <c r="L9476" s="13"/>
      <c r="M9476" s="13"/>
      <c r="N9476" s="13"/>
      <c r="O9476" s="13"/>
      <c r="P9476" s="13"/>
      <c r="Q9476" s="13"/>
      <c r="R9476" s="13"/>
      <c r="S9476" s="13"/>
      <c r="T9476" s="13"/>
      <c r="U9476" s="13"/>
      <c r="V9476" s="13"/>
      <c r="W9476" s="13"/>
      <c r="X9476" s="13"/>
      <c r="Y9476" s="13"/>
      <c r="Z9476" s="13"/>
    </row>
    <row r="9477" spans="1:26" ht="12" customHeight="1" outlineLevel="4" x14ac:dyDescent="0.2">
      <c r="A9477" s="14" t="s">
        <v>18051</v>
      </c>
      <c r="B9477" s="26" t="s">
        <v>18052</v>
      </c>
      <c r="C9477" s="52"/>
      <c r="D9477" s="55">
        <f t="shared" si="147"/>
        <v>0</v>
      </c>
      <c r="E9477" s="63" t="str">
        <f>HYPERLINK("https://www.sds-group.ru/product/derzhatel-dlya-sadovogo-shlanga-katushka-s-krepleniem-na-stenu-chetyre-sezona-62-0262/", "Инфо")</f>
        <v>Инфо</v>
      </c>
      <c r="F9477" s="16" t="s">
        <v>39</v>
      </c>
      <c r="G9477" s="15"/>
      <c r="H9477" s="15"/>
      <c r="I9477" s="15"/>
      <c r="J9477" s="17">
        <v>1</v>
      </c>
      <c r="K9477" s="15"/>
      <c r="L9477" s="17">
        <v>1</v>
      </c>
      <c r="M9477" s="17">
        <v>60</v>
      </c>
      <c r="N9477" s="17">
        <v>1</v>
      </c>
      <c r="O9477" s="18">
        <v>414.57</v>
      </c>
      <c r="P9477" s="18">
        <v>339.81</v>
      </c>
      <c r="Q9477" s="18">
        <v>290.2</v>
      </c>
      <c r="R9477" s="18">
        <v>237.87</v>
      </c>
      <c r="S9477" s="18">
        <v>281.91000000000003</v>
      </c>
      <c r="T9477" s="18">
        <v>231.07</v>
      </c>
      <c r="U9477" s="16"/>
      <c r="V9477" s="16"/>
      <c r="W9477" s="16"/>
      <c r="X9477" s="19">
        <v>0.16300000000000001</v>
      </c>
      <c r="Y9477" s="20">
        <v>1.077E-3</v>
      </c>
      <c r="Z9477" s="21">
        <v>4601004268821</v>
      </c>
    </row>
    <row r="9478" spans="1:26" ht="12" customHeight="1" outlineLevel="4" x14ac:dyDescent="0.2">
      <c r="A9478" s="14" t="s">
        <v>18053</v>
      </c>
      <c r="B9478" s="26" t="s">
        <v>18054</v>
      </c>
      <c r="C9478" s="52"/>
      <c r="D9478" s="55">
        <f t="shared" si="147"/>
        <v>0</v>
      </c>
      <c r="E9478" s="63" t="str">
        <f>HYPERLINK("https://www.sds-group.ru/product/katushka-dlya-shlanga-1-2-35m-ili-3-4-25m-profi-chetyre-sezona-62-0327-F/", "Инфо")</f>
        <v>Инфо</v>
      </c>
      <c r="F9478" s="16" t="s">
        <v>39</v>
      </c>
      <c r="G9478" s="15"/>
      <c r="H9478" s="15"/>
      <c r="I9478" s="15"/>
      <c r="J9478" s="17">
        <v>32</v>
      </c>
      <c r="K9478" s="15"/>
      <c r="L9478" s="17">
        <v>1</v>
      </c>
      <c r="M9478" s="17">
        <v>10</v>
      </c>
      <c r="N9478" s="17">
        <v>1</v>
      </c>
      <c r="O9478" s="18">
        <v>3604</v>
      </c>
      <c r="P9478" s="18">
        <v>2954.1</v>
      </c>
      <c r="Q9478" s="18">
        <v>2522.8000000000002</v>
      </c>
      <c r="R9478" s="18">
        <v>2067.87</v>
      </c>
      <c r="S9478" s="18">
        <v>2450.7199999999998</v>
      </c>
      <c r="T9478" s="18">
        <v>2008.79</v>
      </c>
      <c r="U9478" s="16"/>
      <c r="V9478" s="16"/>
      <c r="W9478" s="16"/>
      <c r="X9478" s="19">
        <v>1.623</v>
      </c>
      <c r="Y9478" s="20">
        <v>1.5495999999999999E-2</v>
      </c>
      <c r="Z9478" s="21">
        <v>4601004320987</v>
      </c>
    </row>
    <row r="9479" spans="1:26" ht="12" customHeight="1" outlineLevel="4" x14ac:dyDescent="0.2">
      <c r="A9479" s="14" t="s">
        <v>18055</v>
      </c>
      <c r="B9479" s="26" t="s">
        <v>18056</v>
      </c>
      <c r="C9479" s="52"/>
      <c r="D9479" s="55">
        <f t="shared" si="147"/>
        <v>0</v>
      </c>
      <c r="E9479" s="63" t="str">
        <f>HYPERLINK("https://www.sds-group.ru/product/katushka-dlya-shlanga-mini-30-m-1-2-ili-25-m-3-4-chetyre-sezona-62-0260/", "Инфо")</f>
        <v>Инфо</v>
      </c>
      <c r="F9479" s="16" t="s">
        <v>39</v>
      </c>
      <c r="G9479" s="15"/>
      <c r="H9479" s="15"/>
      <c r="I9479" s="15"/>
      <c r="J9479" s="17">
        <v>204</v>
      </c>
      <c r="K9479" s="15"/>
      <c r="L9479" s="17">
        <v>1</v>
      </c>
      <c r="M9479" s="17">
        <v>6</v>
      </c>
      <c r="N9479" s="17">
        <v>1</v>
      </c>
      <c r="O9479" s="18">
        <v>2145.2600000000002</v>
      </c>
      <c r="P9479" s="18">
        <v>1758.41</v>
      </c>
      <c r="Q9479" s="18">
        <v>1501.68</v>
      </c>
      <c r="R9479" s="18">
        <v>1230.8900000000001</v>
      </c>
      <c r="S9479" s="18">
        <v>1458.78</v>
      </c>
      <c r="T9479" s="18">
        <v>1195.72</v>
      </c>
      <c r="U9479" s="16"/>
      <c r="V9479" s="16"/>
      <c r="W9479" s="16"/>
      <c r="X9479" s="19">
        <v>1.698</v>
      </c>
      <c r="Y9479" s="20">
        <v>1.4838E-2</v>
      </c>
      <c r="Z9479" s="21">
        <v>4601004268760</v>
      </c>
    </row>
    <row r="9480" spans="1:26" ht="12" customHeight="1" outlineLevel="4" x14ac:dyDescent="0.2">
      <c r="A9480" s="14" t="s">
        <v>18057</v>
      </c>
      <c r="B9480" s="26" t="s">
        <v>18058</v>
      </c>
      <c r="C9480" s="52"/>
      <c r="D9480" s="55">
        <f t="shared" si="147"/>
        <v>0</v>
      </c>
      <c r="E9480" s="63" t="str">
        <f>HYPERLINK("https://www.sds-group.ru/product/katushka-mini-so-shlangom-10mm-10m-pistolet-raspylitel-chetyre-sezona-62-0268/", "Инфо")</f>
        <v>Инфо</v>
      </c>
      <c r="F9480" s="16" t="s">
        <v>39</v>
      </c>
      <c r="G9480" s="15"/>
      <c r="H9480" s="15"/>
      <c r="I9480" s="15"/>
      <c r="J9480" s="17">
        <v>25</v>
      </c>
      <c r="K9480" s="15"/>
      <c r="L9480" s="17">
        <v>1</v>
      </c>
      <c r="M9480" s="17">
        <v>12</v>
      </c>
      <c r="N9480" s="17">
        <v>1</v>
      </c>
      <c r="O9480" s="18">
        <v>2380.27</v>
      </c>
      <c r="P9480" s="18">
        <v>1951.04</v>
      </c>
      <c r="Q9480" s="18">
        <v>1666.19</v>
      </c>
      <c r="R9480" s="18">
        <v>1365.73</v>
      </c>
      <c r="S9480" s="18">
        <v>1618.58</v>
      </c>
      <c r="T9480" s="18">
        <v>1326.7</v>
      </c>
      <c r="U9480" s="16"/>
      <c r="V9480" s="16"/>
      <c r="W9480" s="16"/>
      <c r="X9480" s="19">
        <v>1.1859999999999999</v>
      </c>
      <c r="Y9480" s="20">
        <v>6.6909999999999999E-3</v>
      </c>
      <c r="Z9480" s="21">
        <v>4601004291294</v>
      </c>
    </row>
    <row r="9481" spans="1:26" ht="12" customHeight="1" outlineLevel="4" x14ac:dyDescent="0.2">
      <c r="A9481" s="14" t="s">
        <v>18059</v>
      </c>
      <c r="B9481" s="26" t="s">
        <v>18060</v>
      </c>
      <c r="C9481" s="52"/>
      <c r="D9481" s="55">
        <f t="shared" ref="D9481:D9543" si="148">C9481*(O9481-O9481*$G$3)</f>
        <v>0</v>
      </c>
      <c r="E9481" s="63" t="str">
        <f>HYPERLINK("https://www.sds-group.ru/product/katushka-so-shlangom-1-2-15m-3-konnektora-1-raspylitel-chetyre-sezona-62-0267/", "Инфо")</f>
        <v>Инфо</v>
      </c>
      <c r="F9481" s="16" t="s">
        <v>39</v>
      </c>
      <c r="G9481" s="15"/>
      <c r="H9481" s="15"/>
      <c r="I9481" s="15"/>
      <c r="J9481" s="17">
        <v>33</v>
      </c>
      <c r="K9481" s="15"/>
      <c r="L9481" s="17">
        <v>1</v>
      </c>
      <c r="M9481" s="17">
        <v>3</v>
      </c>
      <c r="N9481" s="17">
        <v>1</v>
      </c>
      <c r="O9481" s="18">
        <v>5355.61</v>
      </c>
      <c r="P9481" s="18">
        <v>4389.84</v>
      </c>
      <c r="Q9481" s="18">
        <v>3909.6</v>
      </c>
      <c r="R9481" s="18">
        <v>3204.59</v>
      </c>
      <c r="S9481" s="18">
        <v>3641.81</v>
      </c>
      <c r="T9481" s="18">
        <v>2985.09</v>
      </c>
      <c r="U9481" s="16"/>
      <c r="V9481" s="16"/>
      <c r="W9481" s="16" t="s">
        <v>40</v>
      </c>
      <c r="X9481" s="19">
        <v>2.7440000000000002</v>
      </c>
      <c r="Y9481" s="20">
        <v>2.5857000000000002E-2</v>
      </c>
      <c r="Z9481" s="21">
        <v>4601004293373</v>
      </c>
    </row>
    <row r="9482" spans="1:26" ht="12" customHeight="1" outlineLevel="4" x14ac:dyDescent="0.2">
      <c r="A9482" s="14" t="s">
        <v>18061</v>
      </c>
      <c r="B9482" s="26" t="s">
        <v>18062</v>
      </c>
      <c r="C9482" s="52"/>
      <c r="D9482" s="55">
        <f t="shared" si="148"/>
        <v>0</v>
      </c>
      <c r="E9482" s="63" t="str">
        <f>HYPERLINK("https://www.sds-group.ru/product/napravlyayuschaya-dlya-shlanga-25sm-profi-chetyre-sezona-62-0328-F/", "Инфо")</f>
        <v>Инфо</v>
      </c>
      <c r="F9482" s="16" t="s">
        <v>39</v>
      </c>
      <c r="G9482" s="15"/>
      <c r="H9482" s="15"/>
      <c r="I9482" s="15"/>
      <c r="J9482" s="17">
        <v>39</v>
      </c>
      <c r="K9482" s="15"/>
      <c r="L9482" s="17">
        <v>1</v>
      </c>
      <c r="M9482" s="17">
        <v>72</v>
      </c>
      <c r="N9482" s="17">
        <v>1</v>
      </c>
      <c r="O9482" s="18">
        <v>430.13</v>
      </c>
      <c r="P9482" s="18">
        <v>352.57</v>
      </c>
      <c r="Q9482" s="18">
        <v>301.08999999999997</v>
      </c>
      <c r="R9482" s="18">
        <v>246.8</v>
      </c>
      <c r="S9482" s="18">
        <v>292.49</v>
      </c>
      <c r="T9482" s="18">
        <v>239.75</v>
      </c>
      <c r="U9482" s="16"/>
      <c r="V9482" s="16"/>
      <c r="W9482" s="16"/>
      <c r="X9482" s="19">
        <v>9.6000000000000002E-2</v>
      </c>
      <c r="Y9482" s="20">
        <v>7.2900000000000005E-4</v>
      </c>
      <c r="Z9482" s="21">
        <v>4601004320970</v>
      </c>
    </row>
    <row r="9483" spans="1:26" ht="12" customHeight="1" outlineLevel="4" x14ac:dyDescent="0.2">
      <c r="A9483" s="14" t="s">
        <v>18063</v>
      </c>
      <c r="B9483" s="26" t="s">
        <v>18064</v>
      </c>
      <c r="C9483" s="52"/>
      <c r="D9483" s="55">
        <f t="shared" si="148"/>
        <v>0</v>
      </c>
      <c r="E9483" s="63" t="str">
        <f>HYPERLINK("https://www.sds-group.ru/product/telezhka-dlya-shlanga-1-2-60-m-ili-3-4-30-m-chetyre-sezona-62-0261/", "Инфо")</f>
        <v>Инфо</v>
      </c>
      <c r="F9483" s="16" t="s">
        <v>39</v>
      </c>
      <c r="G9483" s="15"/>
      <c r="H9483" s="15"/>
      <c r="I9483" s="15"/>
      <c r="J9483" s="17">
        <v>151</v>
      </c>
      <c r="K9483" s="15"/>
      <c r="L9483" s="17">
        <v>1</v>
      </c>
      <c r="M9483" s="17">
        <v>6</v>
      </c>
      <c r="N9483" s="17">
        <v>1</v>
      </c>
      <c r="O9483" s="18">
        <v>3223.28</v>
      </c>
      <c r="P9483" s="18">
        <v>2642.03</v>
      </c>
      <c r="Q9483" s="18">
        <v>2256.3000000000002</v>
      </c>
      <c r="R9483" s="18">
        <v>1849.43</v>
      </c>
      <c r="S9483" s="18">
        <v>2191.83</v>
      </c>
      <c r="T9483" s="18">
        <v>1796.58</v>
      </c>
      <c r="U9483" s="16"/>
      <c r="V9483" s="16"/>
      <c r="W9483" s="16"/>
      <c r="X9483" s="19">
        <v>2.347</v>
      </c>
      <c r="Y9483" s="20">
        <v>2.0063000000000001E-2</v>
      </c>
      <c r="Z9483" s="21">
        <v>4601004268784</v>
      </c>
    </row>
    <row r="9484" spans="1:26" ht="12" customHeight="1" outlineLevel="4" x14ac:dyDescent="0.2">
      <c r="A9484" s="14" t="s">
        <v>18065</v>
      </c>
      <c r="B9484" s="26" t="s">
        <v>18066</v>
      </c>
      <c r="C9484" s="52"/>
      <c r="D9484" s="55">
        <f t="shared" si="148"/>
        <v>0</v>
      </c>
      <c r="E9484" s="63" t="str">
        <f>HYPERLINK("https://www.sds-group.ru/product/telezhka-dlya-shlanga-1-2-60m-ili-3-4-30m-profi-chetyre-sezona-62-0316-F/", "Инфо")</f>
        <v>Инфо</v>
      </c>
      <c r="F9484" s="16" t="s">
        <v>39</v>
      </c>
      <c r="G9484" s="15"/>
      <c r="H9484" s="15"/>
      <c r="I9484" s="15"/>
      <c r="J9484" s="17">
        <v>142</v>
      </c>
      <c r="K9484" s="15"/>
      <c r="L9484" s="17">
        <v>1</v>
      </c>
      <c r="M9484" s="17">
        <v>4</v>
      </c>
      <c r="N9484" s="17">
        <v>1</v>
      </c>
      <c r="O9484" s="18">
        <v>5194</v>
      </c>
      <c r="P9484" s="18">
        <v>4257.38</v>
      </c>
      <c r="Q9484" s="18">
        <v>3635.8</v>
      </c>
      <c r="R9484" s="18">
        <v>2980.16</v>
      </c>
      <c r="S9484" s="18">
        <v>3531.92</v>
      </c>
      <c r="T9484" s="18">
        <v>2895.02</v>
      </c>
      <c r="U9484" s="16"/>
      <c r="V9484" s="16"/>
      <c r="W9484" s="16"/>
      <c r="X9484" s="19">
        <v>2.9359999999999999</v>
      </c>
      <c r="Y9484" s="20">
        <v>2.8849E-2</v>
      </c>
      <c r="Z9484" s="21">
        <v>4601004320994</v>
      </c>
    </row>
    <row r="9485" spans="1:26" ht="12.95" customHeight="1" outlineLevel="3" x14ac:dyDescent="0.2">
      <c r="A9485" s="76" t="s">
        <v>18067</v>
      </c>
      <c r="B9485" s="76"/>
      <c r="C9485" s="77"/>
      <c r="D9485" s="58"/>
      <c r="E9485" s="68"/>
      <c r="F9485" s="13"/>
      <c r="G9485" s="13"/>
      <c r="H9485" s="13"/>
      <c r="I9485" s="13"/>
      <c r="J9485" s="13"/>
      <c r="K9485" s="13"/>
      <c r="L9485" s="13"/>
      <c r="M9485" s="13"/>
      <c r="N9485" s="13"/>
      <c r="O9485" s="13"/>
      <c r="P9485" s="13"/>
      <c r="Q9485" s="13"/>
      <c r="R9485" s="13"/>
      <c r="S9485" s="13"/>
      <c r="T9485" s="13"/>
      <c r="U9485" s="13"/>
      <c r="V9485" s="13"/>
      <c r="W9485" s="13"/>
      <c r="X9485" s="13"/>
      <c r="Y9485" s="13"/>
      <c r="Z9485" s="13"/>
    </row>
    <row r="9486" spans="1:26" ht="12" customHeight="1" outlineLevel="4" x14ac:dyDescent="0.2">
      <c r="A9486" s="14" t="s">
        <v>18068</v>
      </c>
      <c r="B9486" s="26" t="s">
        <v>18069</v>
      </c>
      <c r="C9486" s="52"/>
      <c r="D9486" s="55">
        <f t="shared" si="148"/>
        <v>0</v>
      </c>
      <c r="E9486" s="63" t="str">
        <f>HYPERLINK("https://www.sds-group.ru/product/nabor-polivochnyy-profi-rastyagivayuschiysya-shlang-20m-pistolet-7-rezhimov-latunnye-soedi-62-0319-F/", "Инфо")</f>
        <v>Инфо</v>
      </c>
      <c r="F9486" s="16" t="s">
        <v>39</v>
      </c>
      <c r="G9486" s="15"/>
      <c r="H9486" s="15"/>
      <c r="I9486" s="15"/>
      <c r="J9486" s="17">
        <v>299</v>
      </c>
      <c r="K9486" s="15"/>
      <c r="L9486" s="17">
        <v>1</v>
      </c>
      <c r="M9486" s="17">
        <v>10</v>
      </c>
      <c r="N9486" s="17">
        <v>1</v>
      </c>
      <c r="O9486" s="18">
        <v>3133.81</v>
      </c>
      <c r="P9486" s="18">
        <v>2568.6999999999998</v>
      </c>
      <c r="Q9486" s="18">
        <v>2193.67</v>
      </c>
      <c r="R9486" s="18">
        <v>1798.09</v>
      </c>
      <c r="S9486" s="18">
        <v>2130.9899999999998</v>
      </c>
      <c r="T9486" s="18">
        <v>1746.71</v>
      </c>
      <c r="U9486" s="16"/>
      <c r="V9486" s="16"/>
      <c r="W9486" s="16" t="s">
        <v>40</v>
      </c>
      <c r="X9486" s="19">
        <v>1.468</v>
      </c>
      <c r="Y9486" s="20">
        <v>6.5209999999999999E-3</v>
      </c>
      <c r="Z9486" s="21">
        <v>4601004320956</v>
      </c>
    </row>
    <row r="9487" spans="1:26" ht="12" customHeight="1" outlineLevel="4" x14ac:dyDescent="0.2">
      <c r="A9487" s="14" t="s">
        <v>18070</v>
      </c>
      <c r="B9487" s="26" t="s">
        <v>18071</v>
      </c>
      <c r="C9487" s="52"/>
      <c r="D9487" s="55">
        <f t="shared" si="148"/>
        <v>0</v>
      </c>
      <c r="E9487" s="63" t="str">
        <f>HYPERLINK("https://www.sds-group.ru/product/nabor-polivochnyy-profi-rastyagivayuschiysya-shlang-45m-pistolet-7-rezhimov-latunnye-soedi-62-0318-F/", "Инфо")</f>
        <v>Инфо</v>
      </c>
      <c r="F9487" s="16" t="s">
        <v>39</v>
      </c>
      <c r="G9487" s="15"/>
      <c r="H9487" s="15"/>
      <c r="I9487" s="15"/>
      <c r="J9487" s="17">
        <v>88</v>
      </c>
      <c r="K9487" s="15"/>
      <c r="L9487" s="17">
        <v>1</v>
      </c>
      <c r="M9487" s="17">
        <v>8</v>
      </c>
      <c r="N9487" s="17">
        <v>1</v>
      </c>
      <c r="O9487" s="18">
        <v>4792.87</v>
      </c>
      <c r="P9487" s="18">
        <v>3928.58</v>
      </c>
      <c r="Q9487" s="18">
        <v>3355.01</v>
      </c>
      <c r="R9487" s="18">
        <v>2750.01</v>
      </c>
      <c r="S9487" s="18">
        <v>3259.15</v>
      </c>
      <c r="T9487" s="18">
        <v>2671.43</v>
      </c>
      <c r="U9487" s="16"/>
      <c r="V9487" s="16"/>
      <c r="W9487" s="16" t="s">
        <v>40</v>
      </c>
      <c r="X9487" s="19">
        <v>2.714</v>
      </c>
      <c r="Y9487" s="20">
        <v>1.2392E-2</v>
      </c>
      <c r="Z9487" s="21">
        <v>4601004320932</v>
      </c>
    </row>
    <row r="9488" spans="1:26" ht="12" customHeight="1" outlineLevel="4" x14ac:dyDescent="0.2">
      <c r="A9488" s="14" t="s">
        <v>18072</v>
      </c>
      <c r="B9488" s="26" t="s">
        <v>18073</v>
      </c>
      <c r="C9488" s="52"/>
      <c r="D9488" s="55">
        <f t="shared" si="148"/>
        <v>0</v>
      </c>
      <c r="E9488" s="63" t="str">
        <f>HYPERLINK("https://www.sds-group.ru/product/nabor-polivochnyy-rastyagivayuschiysya-shlang-20-m-pistolet-7-rezhimov-soedinitel-chetyre-se-62-0258/", "Инфо")</f>
        <v>Инфо</v>
      </c>
      <c r="F9488" s="16" t="s">
        <v>39</v>
      </c>
      <c r="G9488" s="15"/>
      <c r="H9488" s="15"/>
      <c r="I9488" s="15"/>
      <c r="J9488" s="16" t="s">
        <v>100</v>
      </c>
      <c r="K9488" s="15"/>
      <c r="L9488" s="17">
        <v>1</v>
      </c>
      <c r="M9488" s="17">
        <v>12</v>
      </c>
      <c r="N9488" s="17">
        <v>1</v>
      </c>
      <c r="O9488" s="18">
        <v>1378</v>
      </c>
      <c r="P9488" s="18">
        <v>1129.51</v>
      </c>
      <c r="Q9488" s="18">
        <v>1088.6199999999999</v>
      </c>
      <c r="R9488" s="18">
        <v>892.31</v>
      </c>
      <c r="S9488" s="18">
        <v>937.04</v>
      </c>
      <c r="T9488" s="18">
        <v>768.07</v>
      </c>
      <c r="U9488" s="16"/>
      <c r="V9488" s="16"/>
      <c r="W9488" s="16" t="s">
        <v>40</v>
      </c>
      <c r="X9488" s="19">
        <v>0.85599999999999998</v>
      </c>
      <c r="Y9488" s="20">
        <v>5.2249999999999996E-3</v>
      </c>
      <c r="Z9488" s="21">
        <v>4601004268814</v>
      </c>
    </row>
    <row r="9489" spans="1:26" ht="12" customHeight="1" outlineLevel="4" x14ac:dyDescent="0.2">
      <c r="A9489" s="14" t="s">
        <v>18074</v>
      </c>
      <c r="B9489" s="26" t="s">
        <v>18075</v>
      </c>
      <c r="C9489" s="52"/>
      <c r="D9489" s="55">
        <f t="shared" si="148"/>
        <v>0</v>
      </c>
      <c r="E9489" s="63" t="str">
        <f>HYPERLINK("https://www.sds-group.ru/product/nabor-polivochnyy-rastyagivayuschiysya-shlang-45-m-pistolet-7-rezhimov-soedinitel-chetyre-se-62-0259/", "Инфо")</f>
        <v>Инфо</v>
      </c>
      <c r="F9489" s="16" t="s">
        <v>39</v>
      </c>
      <c r="G9489" s="15"/>
      <c r="H9489" s="15"/>
      <c r="I9489" s="15"/>
      <c r="J9489" s="17">
        <v>2</v>
      </c>
      <c r="K9489" s="15"/>
      <c r="L9489" s="17">
        <v>1</v>
      </c>
      <c r="M9489" s="17">
        <v>8</v>
      </c>
      <c r="N9489" s="17">
        <v>1</v>
      </c>
      <c r="O9489" s="18">
        <v>2003.4</v>
      </c>
      <c r="P9489" s="18">
        <v>1642.13</v>
      </c>
      <c r="Q9489" s="18">
        <v>1402.38</v>
      </c>
      <c r="R9489" s="18">
        <v>1149.49</v>
      </c>
      <c r="S9489" s="18">
        <v>1362.31</v>
      </c>
      <c r="T9489" s="18">
        <v>1116.6500000000001</v>
      </c>
      <c r="U9489" s="16"/>
      <c r="V9489" s="16"/>
      <c r="W9489" s="16" t="s">
        <v>40</v>
      </c>
      <c r="X9489" s="19">
        <v>1.605</v>
      </c>
      <c r="Y9489" s="20">
        <v>1.0028E-2</v>
      </c>
      <c r="Z9489" s="21">
        <v>4601004268753</v>
      </c>
    </row>
    <row r="9490" spans="1:26" ht="12" customHeight="1" outlineLevel="4" x14ac:dyDescent="0.2">
      <c r="A9490" s="14" t="s">
        <v>18076</v>
      </c>
      <c r="B9490" s="26" t="s">
        <v>18077</v>
      </c>
      <c r="C9490" s="52"/>
      <c r="D9490" s="55">
        <f t="shared" si="148"/>
        <v>0</v>
      </c>
      <c r="E9490" s="63" t="str">
        <f>HYPERLINK("https://www.sds-group.ru/product/shlang-spiralnyy-15-m-h-8-mm-pistolet-raspylitel-2-konnektora-adapter-chetyre-sezona-62-0270/", "Инфо")</f>
        <v>Инфо</v>
      </c>
      <c r="F9490" s="16" t="s">
        <v>39</v>
      </c>
      <c r="G9490" s="15"/>
      <c r="H9490" s="15"/>
      <c r="I9490" s="15"/>
      <c r="J9490" s="16" t="s">
        <v>100</v>
      </c>
      <c r="K9490" s="15"/>
      <c r="L9490" s="17">
        <v>1</v>
      </c>
      <c r="M9490" s="17">
        <v>12</v>
      </c>
      <c r="N9490" s="17">
        <v>1</v>
      </c>
      <c r="O9490" s="18">
        <v>1685.4</v>
      </c>
      <c r="P9490" s="18">
        <v>1381.48</v>
      </c>
      <c r="Q9490" s="18">
        <v>1179.78</v>
      </c>
      <c r="R9490" s="18">
        <v>967.03</v>
      </c>
      <c r="S9490" s="18">
        <v>1146.07</v>
      </c>
      <c r="T9490" s="18">
        <v>939.4</v>
      </c>
      <c r="U9490" s="16"/>
      <c r="V9490" s="16"/>
      <c r="W9490" s="16"/>
      <c r="X9490" s="19">
        <v>1.0309999999999999</v>
      </c>
      <c r="Y9490" s="20">
        <v>9.2490000000000003E-3</v>
      </c>
      <c r="Z9490" s="21">
        <v>4601004291270</v>
      </c>
    </row>
    <row r="9491" spans="1:26" ht="12.95" customHeight="1" outlineLevel="3" x14ac:dyDescent="0.2">
      <c r="A9491" s="76" t="s">
        <v>18078</v>
      </c>
      <c r="B9491" s="76"/>
      <c r="C9491" s="77"/>
      <c r="D9491" s="58"/>
      <c r="E9491" s="68"/>
      <c r="F9491" s="13"/>
      <c r="G9491" s="13"/>
      <c r="H9491" s="13"/>
      <c r="I9491" s="13"/>
      <c r="J9491" s="13"/>
      <c r="K9491" s="13"/>
      <c r="L9491" s="13"/>
      <c r="M9491" s="13"/>
      <c r="N9491" s="13"/>
      <c r="O9491" s="13"/>
      <c r="P9491" s="13"/>
      <c r="Q9491" s="13"/>
      <c r="R9491" s="13"/>
      <c r="S9491" s="13"/>
      <c r="T9491" s="13"/>
      <c r="U9491" s="13"/>
      <c r="V9491" s="13"/>
      <c r="W9491" s="13"/>
      <c r="X9491" s="13"/>
      <c r="Y9491" s="13"/>
      <c r="Z9491" s="13"/>
    </row>
    <row r="9492" spans="1:26" ht="12" customHeight="1" outlineLevel="4" x14ac:dyDescent="0.2">
      <c r="A9492" s="14" t="s">
        <v>18079</v>
      </c>
      <c r="B9492" s="26" t="s">
        <v>18080</v>
      </c>
      <c r="C9492" s="52"/>
      <c r="D9492" s="55">
        <f t="shared" si="148"/>
        <v>0</v>
      </c>
      <c r="E9492" s="63" t="str">
        <f>HYPERLINK("https://www.sds-group.ru/product/adapter-latunnyy-1-3-4-vnutrennyaya-rezba-s-perehodnikom-chetyre-sezona-62-0278/", "Инфо")</f>
        <v>Инфо</v>
      </c>
      <c r="F9492" s="16" t="s">
        <v>39</v>
      </c>
      <c r="G9492" s="15"/>
      <c r="H9492" s="15"/>
      <c r="I9492" s="15"/>
      <c r="J9492" s="17">
        <v>3</v>
      </c>
      <c r="K9492" s="15"/>
      <c r="L9492" s="17">
        <v>1</v>
      </c>
      <c r="M9492" s="17">
        <v>96</v>
      </c>
      <c r="N9492" s="17">
        <v>1</v>
      </c>
      <c r="O9492" s="18">
        <v>640.69000000000005</v>
      </c>
      <c r="P9492" s="18">
        <v>525.16</v>
      </c>
      <c r="Q9492" s="18">
        <v>448.48</v>
      </c>
      <c r="R9492" s="18">
        <v>367.61</v>
      </c>
      <c r="S9492" s="18">
        <v>435.67</v>
      </c>
      <c r="T9492" s="18">
        <v>357.11</v>
      </c>
      <c r="U9492" s="16"/>
      <c r="V9492" s="16"/>
      <c r="W9492" s="16"/>
      <c r="X9492" s="19">
        <v>9.7000000000000003E-2</v>
      </c>
      <c r="Y9492" s="20">
        <v>3.39E-4</v>
      </c>
      <c r="Z9492" s="21">
        <v>4601004291386</v>
      </c>
    </row>
    <row r="9493" spans="1:26" ht="12" customHeight="1" outlineLevel="4" x14ac:dyDescent="0.2">
      <c r="A9493" s="14" t="s">
        <v>18081</v>
      </c>
      <c r="B9493" s="26" t="s">
        <v>18082</v>
      </c>
      <c r="C9493" s="52"/>
      <c r="D9493" s="55">
        <f t="shared" si="148"/>
        <v>0</v>
      </c>
      <c r="E9493" s="63" t="str">
        <f>HYPERLINK("https://www.sds-group.ru/product/adapter-latunnyy-1-vnutrennyaya-rezba-profi-chetyre-sezona-62-0308-F/", "Инфо")</f>
        <v>Инфо</v>
      </c>
      <c r="F9493" s="16" t="s">
        <v>39</v>
      </c>
      <c r="G9493" s="15"/>
      <c r="H9493" s="15"/>
      <c r="I9493" s="15"/>
      <c r="J9493" s="17">
        <v>11</v>
      </c>
      <c r="K9493" s="15"/>
      <c r="L9493" s="17">
        <v>1</v>
      </c>
      <c r="M9493" s="17">
        <v>96</v>
      </c>
      <c r="N9493" s="17">
        <v>1</v>
      </c>
      <c r="O9493" s="18">
        <v>418.9</v>
      </c>
      <c r="P9493" s="18">
        <v>343.36</v>
      </c>
      <c r="Q9493" s="18">
        <v>293.23</v>
      </c>
      <c r="R9493" s="18">
        <v>240.35</v>
      </c>
      <c r="S9493" s="18">
        <v>284.85000000000002</v>
      </c>
      <c r="T9493" s="18">
        <v>233.48</v>
      </c>
      <c r="U9493" s="16"/>
      <c r="V9493" s="16"/>
      <c r="W9493" s="16"/>
      <c r="X9493" s="19">
        <v>6.2E-2</v>
      </c>
      <c r="Y9493" s="20">
        <v>3.3300000000000002E-4</v>
      </c>
      <c r="Z9493" s="21">
        <v>4601004320734</v>
      </c>
    </row>
    <row r="9494" spans="1:26" ht="12" customHeight="1" outlineLevel="4" x14ac:dyDescent="0.2">
      <c r="A9494" s="14" t="s">
        <v>18083</v>
      </c>
      <c r="B9494" s="26" t="s">
        <v>18084</v>
      </c>
      <c r="C9494" s="52"/>
      <c r="D9494" s="55">
        <f t="shared" si="148"/>
        <v>0</v>
      </c>
      <c r="E9494" s="63" t="str">
        <f>HYPERLINK("https://www.sds-group.ru/product/adapter-latunnyy-1-2-vneshnyaya-rezba-chetyre-sezona-62-0276/", "Инфо")</f>
        <v>Инфо</v>
      </c>
      <c r="F9494" s="16" t="s">
        <v>39</v>
      </c>
      <c r="G9494" s="15"/>
      <c r="H9494" s="15"/>
      <c r="I9494" s="15"/>
      <c r="J9494" s="17">
        <v>5</v>
      </c>
      <c r="K9494" s="15"/>
      <c r="L9494" s="17">
        <v>5</v>
      </c>
      <c r="M9494" s="17">
        <v>96</v>
      </c>
      <c r="N9494" s="17">
        <v>5</v>
      </c>
      <c r="O9494" s="18">
        <v>301.5</v>
      </c>
      <c r="P9494" s="18">
        <v>247.13</v>
      </c>
      <c r="Q9494" s="18">
        <v>211.05</v>
      </c>
      <c r="R9494" s="18">
        <v>172.99</v>
      </c>
      <c r="S9494" s="18">
        <v>205.02</v>
      </c>
      <c r="T9494" s="18">
        <v>168.05</v>
      </c>
      <c r="U9494" s="16"/>
      <c r="V9494" s="16"/>
      <c r="W9494" s="16"/>
      <c r="X9494" s="19">
        <v>4.2000000000000003E-2</v>
      </c>
      <c r="Y9494" s="20">
        <v>3.3700000000000001E-4</v>
      </c>
      <c r="Z9494" s="21">
        <v>4601004291324</v>
      </c>
    </row>
    <row r="9495" spans="1:26" ht="12" customHeight="1" outlineLevel="4" x14ac:dyDescent="0.2">
      <c r="A9495" s="14" t="s">
        <v>18085</v>
      </c>
      <c r="B9495" s="26" t="s">
        <v>18086</v>
      </c>
      <c r="C9495" s="52"/>
      <c r="D9495" s="55">
        <f t="shared" si="148"/>
        <v>0</v>
      </c>
      <c r="E9495" s="63" t="str">
        <f>HYPERLINK("https://www.sds-group.ru/product/adapter-latunnyy-1-2-vnutrennyaya-rezba-chetyre-sezona-62-0277/", "Инфо")</f>
        <v>Инфо</v>
      </c>
      <c r="F9495" s="16" t="s">
        <v>39</v>
      </c>
      <c r="G9495" s="15"/>
      <c r="H9495" s="15"/>
      <c r="I9495" s="15"/>
      <c r="J9495" s="17">
        <v>1</v>
      </c>
      <c r="K9495" s="15"/>
      <c r="L9495" s="17">
        <v>5</v>
      </c>
      <c r="M9495" s="17">
        <v>96</v>
      </c>
      <c r="N9495" s="17">
        <v>5</v>
      </c>
      <c r="O9495" s="18">
        <v>301.5</v>
      </c>
      <c r="P9495" s="18">
        <v>247.13</v>
      </c>
      <c r="Q9495" s="18">
        <v>211.05</v>
      </c>
      <c r="R9495" s="18">
        <v>172.99</v>
      </c>
      <c r="S9495" s="18">
        <v>205.02</v>
      </c>
      <c r="T9495" s="18">
        <v>168.05</v>
      </c>
      <c r="U9495" s="16"/>
      <c r="V9495" s="16"/>
      <c r="W9495" s="16"/>
      <c r="X9495" s="19">
        <v>4.1000000000000002E-2</v>
      </c>
      <c r="Y9495" s="20">
        <v>3.39E-4</v>
      </c>
      <c r="Z9495" s="21">
        <v>4601004291379</v>
      </c>
    </row>
    <row r="9496" spans="1:26" ht="12" customHeight="1" outlineLevel="4" x14ac:dyDescent="0.2">
      <c r="A9496" s="14" t="s">
        <v>18087</v>
      </c>
      <c r="B9496" s="26" t="s">
        <v>18088</v>
      </c>
      <c r="C9496" s="52"/>
      <c r="D9496" s="55">
        <f t="shared" si="148"/>
        <v>0</v>
      </c>
      <c r="E9496" s="63" t="str">
        <f>HYPERLINK("https://www.sds-group.ru/product/adapter-latunnyy-3-4-vneshnyaya-rezba-chetyre-sezona-62-0275/", "Инфо")</f>
        <v>Инфо</v>
      </c>
      <c r="F9496" s="16" t="s">
        <v>39</v>
      </c>
      <c r="G9496" s="15"/>
      <c r="H9496" s="15"/>
      <c r="I9496" s="15"/>
      <c r="J9496" s="17">
        <v>168</v>
      </c>
      <c r="K9496" s="15"/>
      <c r="L9496" s="17">
        <v>5</v>
      </c>
      <c r="M9496" s="17">
        <v>96</v>
      </c>
      <c r="N9496" s="17">
        <v>5</v>
      </c>
      <c r="O9496" s="18">
        <v>277.7</v>
      </c>
      <c r="P9496" s="18">
        <v>227.62</v>
      </c>
      <c r="Q9496" s="18">
        <v>194.39</v>
      </c>
      <c r="R9496" s="18">
        <v>159.34</v>
      </c>
      <c r="S9496" s="18">
        <v>188.84</v>
      </c>
      <c r="T9496" s="18">
        <v>154.79</v>
      </c>
      <c r="U9496" s="16"/>
      <c r="V9496" s="16"/>
      <c r="W9496" s="16"/>
      <c r="X9496" s="19">
        <v>4.5999999999999999E-2</v>
      </c>
      <c r="Y9496" s="20">
        <v>3.3700000000000001E-4</v>
      </c>
      <c r="Z9496" s="21">
        <v>4601004291317</v>
      </c>
    </row>
    <row r="9497" spans="1:26" ht="12" customHeight="1" outlineLevel="4" x14ac:dyDescent="0.2">
      <c r="A9497" s="14" t="s">
        <v>18089</v>
      </c>
      <c r="B9497" s="26" t="s">
        <v>18090</v>
      </c>
      <c r="C9497" s="52"/>
      <c r="D9497" s="55">
        <f t="shared" si="148"/>
        <v>0</v>
      </c>
      <c r="E9497" s="63" t="str">
        <f>HYPERLINK("https://www.sds-group.ru/product/adapter-latunnyy-3-4-vnutrennyaya-rezba-chetyre-sezona-62-0213/", "Инфо")</f>
        <v>Инфо</v>
      </c>
      <c r="F9497" s="16" t="s">
        <v>39</v>
      </c>
      <c r="G9497" s="15"/>
      <c r="H9497" s="15"/>
      <c r="I9497" s="15"/>
      <c r="J9497" s="17">
        <v>120</v>
      </c>
      <c r="K9497" s="15"/>
      <c r="L9497" s="17">
        <v>5</v>
      </c>
      <c r="M9497" s="17">
        <v>96</v>
      </c>
      <c r="N9497" s="17">
        <v>5</v>
      </c>
      <c r="O9497" s="18">
        <v>280.29000000000002</v>
      </c>
      <c r="P9497" s="18">
        <v>229.75</v>
      </c>
      <c r="Q9497" s="18">
        <v>196.2</v>
      </c>
      <c r="R9497" s="18">
        <v>160.82</v>
      </c>
      <c r="S9497" s="18">
        <v>190.6</v>
      </c>
      <c r="T9497" s="18">
        <v>156.22999999999999</v>
      </c>
      <c r="U9497" s="16"/>
      <c r="V9497" s="16"/>
      <c r="W9497" s="16"/>
      <c r="X9497" s="19">
        <v>4.4999999999999998E-2</v>
      </c>
      <c r="Y9497" s="20">
        <v>3.4299999999999999E-4</v>
      </c>
      <c r="Z9497" s="21">
        <v>4601004268517</v>
      </c>
    </row>
    <row r="9498" spans="1:26" ht="12" customHeight="1" outlineLevel="4" x14ac:dyDescent="0.2">
      <c r="A9498" s="14" t="s">
        <v>18091</v>
      </c>
      <c r="B9498" s="26" t="s">
        <v>18092</v>
      </c>
      <c r="C9498" s="52"/>
      <c r="D9498" s="55">
        <f t="shared" si="148"/>
        <v>0</v>
      </c>
      <c r="E9498" s="63" t="str">
        <f>HYPERLINK("https://www.sds-group.ru/product/adapter-na-kran-bystrogo-soedineniya-1-2-3-4-chetyre-sezona-62-0212/", "Инфо")</f>
        <v>Инфо</v>
      </c>
      <c r="F9498" s="16" t="s">
        <v>39</v>
      </c>
      <c r="G9498" s="15"/>
      <c r="H9498" s="15"/>
      <c r="I9498" s="15"/>
      <c r="J9498" s="22">
        <v>5424</v>
      </c>
      <c r="K9498" s="15"/>
      <c r="L9498" s="17">
        <v>10</v>
      </c>
      <c r="M9498" s="17">
        <v>240</v>
      </c>
      <c r="N9498" s="17">
        <v>10</v>
      </c>
      <c r="O9498" s="18">
        <v>66.95</v>
      </c>
      <c r="P9498" s="18">
        <v>54.88</v>
      </c>
      <c r="Q9498" s="18">
        <v>46.87</v>
      </c>
      <c r="R9498" s="18">
        <v>38.42</v>
      </c>
      <c r="S9498" s="18">
        <v>45.53</v>
      </c>
      <c r="T9498" s="18">
        <v>37.32</v>
      </c>
      <c r="U9498" s="16"/>
      <c r="V9498" s="16"/>
      <c r="W9498" s="16"/>
      <c r="X9498" s="19">
        <v>2.9000000000000001E-2</v>
      </c>
      <c r="Y9498" s="20">
        <v>3.5199999999999999E-4</v>
      </c>
      <c r="Z9498" s="21">
        <v>4601004268500</v>
      </c>
    </row>
    <row r="9499" spans="1:26" ht="12" customHeight="1" outlineLevel="4" x14ac:dyDescent="0.2">
      <c r="A9499" s="14" t="s">
        <v>18093</v>
      </c>
      <c r="B9499" s="26" t="s">
        <v>18094</v>
      </c>
      <c r="C9499" s="52"/>
      <c r="D9499" s="55">
        <f t="shared" si="148"/>
        <v>0</v>
      </c>
      <c r="E9499" s="63" t="str">
        <f>HYPERLINK("https://www.sds-group.ru/product/adapter-na-kran-bystrogo-soedineniya-3-4-profi-chetyre-sezona-62-0211-F/", "Инфо")</f>
        <v>Инфо</v>
      </c>
      <c r="F9499" s="16" t="s">
        <v>39</v>
      </c>
      <c r="G9499" s="15"/>
      <c r="H9499" s="15"/>
      <c r="I9499" s="15"/>
      <c r="J9499" s="17">
        <v>570</v>
      </c>
      <c r="K9499" s="15"/>
      <c r="L9499" s="17">
        <v>10</v>
      </c>
      <c r="M9499" s="17">
        <v>288</v>
      </c>
      <c r="N9499" s="17">
        <v>10</v>
      </c>
      <c r="O9499" s="18">
        <v>94.34</v>
      </c>
      <c r="P9499" s="18">
        <v>77.33</v>
      </c>
      <c r="Q9499" s="18">
        <v>66.040000000000006</v>
      </c>
      <c r="R9499" s="18">
        <v>54.13</v>
      </c>
      <c r="S9499" s="18">
        <v>64.150000000000006</v>
      </c>
      <c r="T9499" s="18">
        <v>52.58</v>
      </c>
      <c r="U9499" s="16"/>
      <c r="V9499" s="16"/>
      <c r="W9499" s="16"/>
      <c r="X9499" s="19">
        <v>1.7999999999999999E-2</v>
      </c>
      <c r="Y9499" s="20">
        <v>1.6899999999999999E-4</v>
      </c>
      <c r="Z9499" s="21">
        <v>4601004320598</v>
      </c>
    </row>
    <row r="9500" spans="1:26" ht="12" customHeight="1" outlineLevel="4" x14ac:dyDescent="0.2">
      <c r="A9500" s="14" t="s">
        <v>18095</v>
      </c>
      <c r="B9500" s="26" t="s">
        <v>18096</v>
      </c>
      <c r="C9500" s="52"/>
      <c r="D9500" s="55">
        <f t="shared" si="148"/>
        <v>0</v>
      </c>
      <c r="E9500" s="63" t="str">
        <f>HYPERLINK("https://www.sds-group.ru/product/adapter-na-kran-bystrogo-soedineniya-3-4-chetyre-sezona-62-0211/", "Инфо")</f>
        <v>Инфо</v>
      </c>
      <c r="F9500" s="16" t="s">
        <v>39</v>
      </c>
      <c r="G9500" s="15"/>
      <c r="H9500" s="15"/>
      <c r="I9500" s="15"/>
      <c r="J9500" s="17">
        <v>287</v>
      </c>
      <c r="K9500" s="15"/>
      <c r="L9500" s="17">
        <v>10</v>
      </c>
      <c r="M9500" s="17">
        <v>288</v>
      </c>
      <c r="N9500" s="17">
        <v>10</v>
      </c>
      <c r="O9500" s="18">
        <v>59.94</v>
      </c>
      <c r="P9500" s="18">
        <v>49.13</v>
      </c>
      <c r="Q9500" s="18">
        <v>59.94</v>
      </c>
      <c r="R9500" s="18">
        <v>49.13</v>
      </c>
      <c r="S9500" s="18">
        <v>40.76</v>
      </c>
      <c r="T9500" s="18">
        <v>33.409999999999997</v>
      </c>
      <c r="U9500" s="16"/>
      <c r="V9500" s="16"/>
      <c r="W9500" s="16" t="s">
        <v>40</v>
      </c>
      <c r="X9500" s="19">
        <v>1.7999999999999999E-2</v>
      </c>
      <c r="Y9500" s="20">
        <v>1.84E-4</v>
      </c>
      <c r="Z9500" s="21">
        <v>4601004268746</v>
      </c>
    </row>
    <row r="9501" spans="1:26" ht="12" customHeight="1" outlineLevel="4" x14ac:dyDescent="0.2">
      <c r="A9501" s="14" t="s">
        <v>18097</v>
      </c>
      <c r="B9501" s="26" t="s">
        <v>18098</v>
      </c>
      <c r="C9501" s="52"/>
      <c r="D9501" s="55">
        <f t="shared" si="148"/>
        <v>0</v>
      </c>
      <c r="E9501" s="63" t="str">
        <f>HYPERLINK("https://www.sds-group.ru/product/adapter-plastmassovyy-1-1-2-3-4-vnutrennyaya-rezba-chetyre-sezona-62-0272/", "Инфо")</f>
        <v>Инфо</v>
      </c>
      <c r="F9501" s="16" t="s">
        <v>39</v>
      </c>
      <c r="G9501" s="15"/>
      <c r="H9501" s="15"/>
      <c r="I9501" s="15"/>
      <c r="J9501" s="17">
        <v>182</v>
      </c>
      <c r="K9501" s="15"/>
      <c r="L9501" s="17">
        <v>10</v>
      </c>
      <c r="M9501" s="17">
        <v>240</v>
      </c>
      <c r="N9501" s="17">
        <v>10</v>
      </c>
      <c r="O9501" s="18">
        <v>100.25</v>
      </c>
      <c r="P9501" s="18">
        <v>82.17</v>
      </c>
      <c r="Q9501" s="18">
        <v>100.25</v>
      </c>
      <c r="R9501" s="18">
        <v>82.17</v>
      </c>
      <c r="S9501" s="18">
        <v>68.17</v>
      </c>
      <c r="T9501" s="18">
        <v>55.88</v>
      </c>
      <c r="U9501" s="16"/>
      <c r="V9501" s="16"/>
      <c r="W9501" s="16" t="s">
        <v>40</v>
      </c>
      <c r="X9501" s="19">
        <v>3.3000000000000002E-2</v>
      </c>
      <c r="Y9501" s="20">
        <v>2.9700000000000001E-4</v>
      </c>
      <c r="Z9501" s="21">
        <v>4601004291300</v>
      </c>
    </row>
    <row r="9502" spans="1:26" ht="12" customHeight="1" outlineLevel="4" x14ac:dyDescent="0.2">
      <c r="A9502" s="14" t="s">
        <v>18099</v>
      </c>
      <c r="B9502" s="26" t="s">
        <v>18100</v>
      </c>
      <c r="C9502" s="52"/>
      <c r="D9502" s="55">
        <f t="shared" si="148"/>
        <v>0</v>
      </c>
      <c r="E9502" s="63" t="str">
        <f>HYPERLINK("https://www.sds-group.ru/product/adapter-universalnyy-plastmassovyy-1-2-3-4-s-vneshnim-homutom-chetyre-sezona-62-0280/", "Инфо")</f>
        <v>Инфо</v>
      </c>
      <c r="F9502" s="16" t="s">
        <v>39</v>
      </c>
      <c r="G9502" s="15"/>
      <c r="H9502" s="15"/>
      <c r="I9502" s="15"/>
      <c r="J9502" s="17">
        <v>29</v>
      </c>
      <c r="K9502" s="15"/>
      <c r="L9502" s="17">
        <v>5</v>
      </c>
      <c r="M9502" s="17">
        <v>100</v>
      </c>
      <c r="N9502" s="17">
        <v>5</v>
      </c>
      <c r="O9502" s="18">
        <v>226.13</v>
      </c>
      <c r="P9502" s="18">
        <v>185.35</v>
      </c>
      <c r="Q9502" s="18">
        <v>226.13</v>
      </c>
      <c r="R9502" s="18">
        <v>185.35</v>
      </c>
      <c r="S9502" s="18">
        <v>153.77000000000001</v>
      </c>
      <c r="T9502" s="18">
        <v>126.04</v>
      </c>
      <c r="U9502" s="16"/>
      <c r="V9502" s="16"/>
      <c r="W9502" s="16" t="s">
        <v>40</v>
      </c>
      <c r="X9502" s="19">
        <v>7.0000000000000007E-2</v>
      </c>
      <c r="Y9502" s="20">
        <v>4.46E-4</v>
      </c>
      <c r="Z9502" s="21">
        <v>4601004291355</v>
      </c>
    </row>
    <row r="9503" spans="1:26" ht="12" customHeight="1" outlineLevel="4" x14ac:dyDescent="0.2">
      <c r="A9503" s="14" t="s">
        <v>18101</v>
      </c>
      <c r="B9503" s="26" t="s">
        <v>18100</v>
      </c>
      <c r="C9503" s="52"/>
      <c r="D9503" s="55">
        <f t="shared" si="148"/>
        <v>0</v>
      </c>
      <c r="E9503" s="63" t="str">
        <f>HYPERLINK("https://www.sds-group.ru/product/adapter-universalnyy-plastmassovyy-1-2-3-4-s-vneshnim-homutom-chetyre-sezona-62-0240/", "Инфо")</f>
        <v>Инфо</v>
      </c>
      <c r="F9503" s="16" t="s">
        <v>39</v>
      </c>
      <c r="G9503" s="15"/>
      <c r="H9503" s="15"/>
      <c r="I9503" s="15"/>
      <c r="J9503" s="17">
        <v>1</v>
      </c>
      <c r="K9503" s="15"/>
      <c r="L9503" s="17">
        <v>10</v>
      </c>
      <c r="M9503" s="17">
        <v>50</v>
      </c>
      <c r="N9503" s="17">
        <v>10</v>
      </c>
      <c r="O9503" s="18">
        <v>203.52</v>
      </c>
      <c r="P9503" s="18">
        <v>166.82</v>
      </c>
      <c r="Q9503" s="18">
        <v>142.46</v>
      </c>
      <c r="R9503" s="18">
        <v>116.77</v>
      </c>
      <c r="S9503" s="18">
        <v>138.38999999999999</v>
      </c>
      <c r="T9503" s="18">
        <v>113.43</v>
      </c>
      <c r="U9503" s="16"/>
      <c r="V9503" s="16"/>
      <c r="W9503" s="16"/>
      <c r="X9503" s="19">
        <v>7.0999999999999994E-2</v>
      </c>
      <c r="Y9503" s="20">
        <v>4.6000000000000001E-4</v>
      </c>
      <c r="Z9503" s="21">
        <v>4601004320659</v>
      </c>
    </row>
    <row r="9504" spans="1:26" ht="12" customHeight="1" outlineLevel="4" x14ac:dyDescent="0.2">
      <c r="A9504" s="14" t="s">
        <v>18102</v>
      </c>
      <c r="B9504" s="26" t="s">
        <v>18103</v>
      </c>
      <c r="C9504" s="52"/>
      <c r="D9504" s="55">
        <f t="shared" si="148"/>
        <v>0</v>
      </c>
      <c r="E9504" s="63" t="str">
        <f>HYPERLINK("https://www.sds-group.ru/product/dvoynik-dlya-bystrosemnogo-soedineniya-chetyre-sezona-62-0222/", "Инфо")</f>
        <v>Инфо</v>
      </c>
      <c r="F9504" s="16" t="s">
        <v>39</v>
      </c>
      <c r="G9504" s="15"/>
      <c r="H9504" s="15"/>
      <c r="I9504" s="15"/>
      <c r="J9504" s="17">
        <v>786</v>
      </c>
      <c r="K9504" s="15"/>
      <c r="L9504" s="17">
        <v>10</v>
      </c>
      <c r="M9504" s="17">
        <v>288</v>
      </c>
      <c r="N9504" s="17">
        <v>10</v>
      </c>
      <c r="O9504" s="18">
        <v>63.47</v>
      </c>
      <c r="P9504" s="18">
        <v>52.02</v>
      </c>
      <c r="Q9504" s="18">
        <v>63.47</v>
      </c>
      <c r="R9504" s="18">
        <v>52.02</v>
      </c>
      <c r="S9504" s="18">
        <v>43.16</v>
      </c>
      <c r="T9504" s="18">
        <v>35.380000000000003</v>
      </c>
      <c r="U9504" s="16"/>
      <c r="V9504" s="16"/>
      <c r="W9504" s="16" t="s">
        <v>40</v>
      </c>
      <c r="X9504" s="19">
        <v>2.1999999999999999E-2</v>
      </c>
      <c r="Y9504" s="20">
        <v>6.7000000000000002E-5</v>
      </c>
      <c r="Z9504" s="21">
        <v>4601004268609</v>
      </c>
    </row>
    <row r="9505" spans="1:26" ht="12" customHeight="1" outlineLevel="4" x14ac:dyDescent="0.2">
      <c r="A9505" s="14" t="s">
        <v>18104</v>
      </c>
      <c r="B9505" s="26" t="s">
        <v>18105</v>
      </c>
      <c r="C9505" s="52"/>
      <c r="D9505" s="55">
        <f t="shared" si="148"/>
        <v>0</v>
      </c>
      <c r="E9505" s="63" t="str">
        <f>HYPERLINK("https://www.sds-group.ru/product/dvoynik-latunnyy-chetyre-sezona-62-0281/", "Инфо")</f>
        <v>Инфо</v>
      </c>
      <c r="F9505" s="16" t="s">
        <v>39</v>
      </c>
      <c r="G9505" s="15"/>
      <c r="H9505" s="15"/>
      <c r="I9505" s="15"/>
      <c r="J9505" s="17">
        <v>119</v>
      </c>
      <c r="K9505" s="15"/>
      <c r="L9505" s="17">
        <v>5</v>
      </c>
      <c r="M9505" s="17">
        <v>96</v>
      </c>
      <c r="N9505" s="17">
        <v>5</v>
      </c>
      <c r="O9505" s="18">
        <v>337.3</v>
      </c>
      <c r="P9505" s="18">
        <v>276.48</v>
      </c>
      <c r="Q9505" s="18">
        <v>236.11</v>
      </c>
      <c r="R9505" s="18">
        <v>193.53</v>
      </c>
      <c r="S9505" s="18">
        <v>229.36</v>
      </c>
      <c r="T9505" s="18">
        <v>188</v>
      </c>
      <c r="U9505" s="16"/>
      <c r="V9505" s="16"/>
      <c r="W9505" s="16"/>
      <c r="X9505" s="19">
        <v>4.4999999999999998E-2</v>
      </c>
      <c r="Y9505" s="20">
        <v>3.3300000000000002E-4</v>
      </c>
      <c r="Z9505" s="21">
        <v>4601004291393</v>
      </c>
    </row>
    <row r="9506" spans="1:26" ht="12" customHeight="1" outlineLevel="4" x14ac:dyDescent="0.2">
      <c r="A9506" s="14" t="s">
        <v>18106</v>
      </c>
      <c r="B9506" s="26" t="s">
        <v>18107</v>
      </c>
      <c r="C9506" s="52"/>
      <c r="D9506" s="55">
        <f t="shared" si="148"/>
        <v>0</v>
      </c>
      <c r="E9506" s="63" t="str">
        <f>HYPERLINK("https://www.sds-group.ru/product/konnektor-dlya-shlanga-latunnyy-bystrosemnyy-1-2-profi-chetyre-sezona-62-0309-F/", "Инфо")</f>
        <v>Инфо</v>
      </c>
      <c r="F9506" s="16" t="s">
        <v>39</v>
      </c>
      <c r="G9506" s="15"/>
      <c r="H9506" s="15"/>
      <c r="I9506" s="15"/>
      <c r="J9506" s="17">
        <v>1</v>
      </c>
      <c r="K9506" s="15"/>
      <c r="L9506" s="17">
        <v>1</v>
      </c>
      <c r="M9506" s="17">
        <v>96</v>
      </c>
      <c r="N9506" s="17">
        <v>1</v>
      </c>
      <c r="O9506" s="18">
        <v>644.46</v>
      </c>
      <c r="P9506" s="18">
        <v>528.25</v>
      </c>
      <c r="Q9506" s="18">
        <v>451.12</v>
      </c>
      <c r="R9506" s="18">
        <v>369.77</v>
      </c>
      <c r="S9506" s="18">
        <v>438.23</v>
      </c>
      <c r="T9506" s="18">
        <v>359.2</v>
      </c>
      <c r="U9506" s="16"/>
      <c r="V9506" s="16"/>
      <c r="W9506" s="16" t="s">
        <v>40</v>
      </c>
      <c r="X9506" s="19">
        <v>9.2999999999999999E-2</v>
      </c>
      <c r="Y9506" s="20">
        <v>3.2899999999999997E-4</v>
      </c>
      <c r="Z9506" s="21">
        <v>4601004320710</v>
      </c>
    </row>
    <row r="9507" spans="1:26" ht="12" customHeight="1" outlineLevel="4" x14ac:dyDescent="0.2">
      <c r="A9507" s="40" t="s">
        <v>18108</v>
      </c>
      <c r="B9507" s="75" t="s">
        <v>18109</v>
      </c>
      <c r="C9507" s="51"/>
      <c r="D9507" s="54">
        <f t="shared" si="148"/>
        <v>0</v>
      </c>
      <c r="E9507" s="61" t="str">
        <f>HYPERLINK("https://www.sds-group.ru/product/konnektor-dlya-shlanga-latunnyy-bystrosemnyy-1-2-s-akvastopom-i-termoplastichnoy-rezinoy-c-62-0333-F/", "Инфо")</f>
        <v>Инфо</v>
      </c>
      <c r="F9507" s="42" t="s">
        <v>39</v>
      </c>
      <c r="G9507" s="41" t="s">
        <v>40</v>
      </c>
      <c r="H9507" s="41"/>
      <c r="I9507" s="41"/>
      <c r="J9507" s="43">
        <v>356</v>
      </c>
      <c r="K9507" s="41"/>
      <c r="L9507" s="43">
        <v>1</v>
      </c>
      <c r="M9507" s="43">
        <v>120</v>
      </c>
      <c r="N9507" s="43">
        <v>1</v>
      </c>
      <c r="O9507" s="44">
        <v>868.51</v>
      </c>
      <c r="P9507" s="44">
        <v>711.89</v>
      </c>
      <c r="Q9507" s="44">
        <v>694.81</v>
      </c>
      <c r="R9507" s="44">
        <v>569.52</v>
      </c>
      <c r="S9507" s="44">
        <v>590.59</v>
      </c>
      <c r="T9507" s="44">
        <v>484.09</v>
      </c>
      <c r="U9507" s="42"/>
      <c r="V9507" s="42"/>
      <c r="W9507" s="42"/>
      <c r="X9507" s="45">
        <v>0.13600000000000001</v>
      </c>
      <c r="Y9507" s="46">
        <v>2.9599999999999998E-4</v>
      </c>
      <c r="Z9507" s="21">
        <v>4601004350458</v>
      </c>
    </row>
    <row r="9508" spans="1:26" ht="12" customHeight="1" outlineLevel="4" x14ac:dyDescent="0.2">
      <c r="A9508" s="14" t="s">
        <v>18110</v>
      </c>
      <c r="B9508" s="26" t="s">
        <v>18111</v>
      </c>
      <c r="C9508" s="52"/>
      <c r="D9508" s="55">
        <f t="shared" si="148"/>
        <v>0</v>
      </c>
      <c r="E9508" s="63" t="str">
        <f>HYPERLINK("https://www.sds-group.ru/product/konnektor-dlya-shlanga-latunnyy-bystrosemnyy-1-2-s-akvastopom-chetyre-sezona-62-0279/", "Инфо")</f>
        <v>Инфо</v>
      </c>
      <c r="F9508" s="16" t="s">
        <v>39</v>
      </c>
      <c r="G9508" s="15"/>
      <c r="H9508" s="15"/>
      <c r="I9508" s="15"/>
      <c r="J9508" s="17">
        <v>561</v>
      </c>
      <c r="K9508" s="15"/>
      <c r="L9508" s="17">
        <v>1</v>
      </c>
      <c r="M9508" s="17">
        <v>96</v>
      </c>
      <c r="N9508" s="17">
        <v>1</v>
      </c>
      <c r="O9508" s="18">
        <v>678.38</v>
      </c>
      <c r="P9508" s="18">
        <v>556.04999999999995</v>
      </c>
      <c r="Q9508" s="18">
        <v>474.87</v>
      </c>
      <c r="R9508" s="18">
        <v>389.24</v>
      </c>
      <c r="S9508" s="18">
        <v>461.3</v>
      </c>
      <c r="T9508" s="18">
        <v>378.11</v>
      </c>
      <c r="U9508" s="16"/>
      <c r="V9508" s="16"/>
      <c r="W9508" s="16"/>
      <c r="X9508" s="19">
        <v>9.9000000000000005E-2</v>
      </c>
      <c r="Y9508" s="20">
        <v>3.3300000000000002E-4</v>
      </c>
      <c r="Z9508" s="21">
        <v>4601004292819</v>
      </c>
    </row>
    <row r="9509" spans="1:26" ht="12" customHeight="1" outlineLevel="4" x14ac:dyDescent="0.2">
      <c r="A9509" s="40" t="s">
        <v>18112</v>
      </c>
      <c r="B9509" s="75" t="s">
        <v>18113</v>
      </c>
      <c r="C9509" s="51"/>
      <c r="D9509" s="54">
        <f t="shared" si="148"/>
        <v>0</v>
      </c>
      <c r="E9509" s="61" t="str">
        <f>HYPERLINK("https://www.sds-group.ru/product/konnektor-dlya-shlanga-latunnyy-bystrosemnyy-1-2-s-termoplastichnoy-rezinoy-chetyre-sezona-62-0332-F/", "Инфо")</f>
        <v>Инфо</v>
      </c>
      <c r="F9509" s="42" t="s">
        <v>39</v>
      </c>
      <c r="G9509" s="41" t="s">
        <v>40</v>
      </c>
      <c r="H9509" s="41"/>
      <c r="I9509" s="41"/>
      <c r="J9509" s="43">
        <v>409</v>
      </c>
      <c r="K9509" s="41"/>
      <c r="L9509" s="43">
        <v>1</v>
      </c>
      <c r="M9509" s="43">
        <v>120</v>
      </c>
      <c r="N9509" s="43">
        <v>1</v>
      </c>
      <c r="O9509" s="44">
        <v>824.48</v>
      </c>
      <c r="P9509" s="44">
        <v>675.8</v>
      </c>
      <c r="Q9509" s="44">
        <v>659.58</v>
      </c>
      <c r="R9509" s="44">
        <v>540.64</v>
      </c>
      <c r="S9509" s="44">
        <v>560.65</v>
      </c>
      <c r="T9509" s="44">
        <v>459.55</v>
      </c>
      <c r="U9509" s="42"/>
      <c r="V9509" s="42"/>
      <c r="W9509" s="42"/>
      <c r="X9509" s="45">
        <v>0.13500000000000001</v>
      </c>
      <c r="Y9509" s="46">
        <v>2.9599999999999998E-4</v>
      </c>
      <c r="Z9509" s="21">
        <v>4601004350465</v>
      </c>
    </row>
    <row r="9510" spans="1:26" ht="12" customHeight="1" outlineLevel="4" x14ac:dyDescent="0.2">
      <c r="A9510" s="14" t="s">
        <v>18114</v>
      </c>
      <c r="B9510" s="26" t="s">
        <v>18115</v>
      </c>
      <c r="C9510" s="52"/>
      <c r="D9510" s="55">
        <f t="shared" si="148"/>
        <v>0</v>
      </c>
      <c r="E9510" s="63" t="str">
        <f>HYPERLINK("https://www.sds-group.ru/product/konnektor-dlya-shlanga-latunnyy-bystrosemnyy-3-4-chetyre-sezona-62-0214/", "Инфо")</f>
        <v>Инфо</v>
      </c>
      <c r="F9510" s="16" t="s">
        <v>39</v>
      </c>
      <c r="G9510" s="15"/>
      <c r="H9510" s="15"/>
      <c r="I9510" s="15"/>
      <c r="J9510" s="17">
        <v>108</v>
      </c>
      <c r="K9510" s="15"/>
      <c r="L9510" s="17">
        <v>1</v>
      </c>
      <c r="M9510" s="17">
        <v>96</v>
      </c>
      <c r="N9510" s="17">
        <v>1</v>
      </c>
      <c r="O9510" s="18">
        <v>726.59</v>
      </c>
      <c r="P9510" s="18">
        <v>595.57000000000005</v>
      </c>
      <c r="Q9510" s="18">
        <v>508.61</v>
      </c>
      <c r="R9510" s="18">
        <v>416.89</v>
      </c>
      <c r="S9510" s="18">
        <v>494.08</v>
      </c>
      <c r="T9510" s="18">
        <v>404.98</v>
      </c>
      <c r="U9510" s="16"/>
      <c r="V9510" s="16"/>
      <c r="W9510" s="16"/>
      <c r="X9510" s="19">
        <v>0.129</v>
      </c>
      <c r="Y9510" s="20">
        <v>3.39E-4</v>
      </c>
      <c r="Z9510" s="21">
        <v>4601004268524</v>
      </c>
    </row>
    <row r="9511" spans="1:26" ht="12" customHeight="1" outlineLevel="4" x14ac:dyDescent="0.2">
      <c r="A9511" s="40" t="s">
        <v>18116</v>
      </c>
      <c r="B9511" s="75" t="s">
        <v>18117</v>
      </c>
      <c r="C9511" s="51"/>
      <c r="D9511" s="54">
        <f t="shared" si="148"/>
        <v>0</v>
      </c>
      <c r="E9511" s="61" t="str">
        <f>HYPERLINK("https://www.sds-group.ru/product/konnektor-dlya-shlanga-latunnyy-bystrosemnyy-3-4-s-akvastopom-i-termoplastichnoy-rezinoy-c-62-0335-F/", "Инфо")</f>
        <v>Инфо</v>
      </c>
      <c r="F9511" s="42" t="s">
        <v>39</v>
      </c>
      <c r="G9511" s="41" t="s">
        <v>40</v>
      </c>
      <c r="H9511" s="41"/>
      <c r="I9511" s="41"/>
      <c r="J9511" s="43">
        <v>211</v>
      </c>
      <c r="K9511" s="41"/>
      <c r="L9511" s="43">
        <v>1</v>
      </c>
      <c r="M9511" s="43">
        <v>48</v>
      </c>
      <c r="N9511" s="43">
        <v>1</v>
      </c>
      <c r="O9511" s="44">
        <v>934.55</v>
      </c>
      <c r="P9511" s="44">
        <v>766.02</v>
      </c>
      <c r="Q9511" s="44">
        <v>747.64</v>
      </c>
      <c r="R9511" s="44">
        <v>612.82000000000005</v>
      </c>
      <c r="S9511" s="44">
        <v>635.49</v>
      </c>
      <c r="T9511" s="44">
        <v>520.89</v>
      </c>
      <c r="U9511" s="42"/>
      <c r="V9511" s="42"/>
      <c r="W9511" s="42"/>
      <c r="X9511" s="45">
        <v>0.17399999999999999</v>
      </c>
      <c r="Y9511" s="46">
        <v>3.9100000000000002E-4</v>
      </c>
      <c r="Z9511" s="21">
        <v>4601004350434</v>
      </c>
    </row>
    <row r="9512" spans="1:26" ht="12" customHeight="1" outlineLevel="4" x14ac:dyDescent="0.2">
      <c r="A9512" s="14" t="s">
        <v>18118</v>
      </c>
      <c r="B9512" s="26" t="s">
        <v>18119</v>
      </c>
      <c r="C9512" s="52"/>
      <c r="D9512" s="55">
        <f t="shared" si="148"/>
        <v>0</v>
      </c>
      <c r="E9512" s="63" t="str">
        <f>HYPERLINK("https://www.sds-group.ru/product/konnektor-dlya-shlanga-latunnyy-bystrosemnyy-3-4-s-akvastopom-profi-chetyre-sezona-62-0310-F/", "Инфо")</f>
        <v>Инфо</v>
      </c>
      <c r="F9512" s="16" t="s">
        <v>39</v>
      </c>
      <c r="G9512" s="15"/>
      <c r="H9512" s="15"/>
      <c r="I9512" s="15"/>
      <c r="J9512" s="16" t="s">
        <v>100</v>
      </c>
      <c r="K9512" s="15"/>
      <c r="L9512" s="17">
        <v>1</v>
      </c>
      <c r="M9512" s="17">
        <v>96</v>
      </c>
      <c r="N9512" s="17">
        <v>1</v>
      </c>
      <c r="O9512" s="18">
        <v>837.4</v>
      </c>
      <c r="P9512" s="18">
        <v>686.39</v>
      </c>
      <c r="Q9512" s="18">
        <v>586.17999999999995</v>
      </c>
      <c r="R9512" s="18">
        <v>480.48</v>
      </c>
      <c r="S9512" s="18">
        <v>569.42999999999995</v>
      </c>
      <c r="T9512" s="18">
        <v>466.75</v>
      </c>
      <c r="U9512" s="16"/>
      <c r="V9512" s="16"/>
      <c r="W9512" s="16"/>
      <c r="X9512" s="19">
        <v>0.13100000000000001</v>
      </c>
      <c r="Y9512" s="20">
        <v>3.2600000000000001E-4</v>
      </c>
      <c r="Z9512" s="21">
        <v>4601004320758</v>
      </c>
    </row>
    <row r="9513" spans="1:26" ht="12" customHeight="1" outlineLevel="4" x14ac:dyDescent="0.2">
      <c r="A9513" s="40" t="s">
        <v>18120</v>
      </c>
      <c r="B9513" s="75" t="s">
        <v>18121</v>
      </c>
      <c r="C9513" s="51"/>
      <c r="D9513" s="54">
        <f t="shared" si="148"/>
        <v>0</v>
      </c>
      <c r="E9513" s="61" t="str">
        <f>HYPERLINK("https://www.sds-group.ru/product/konnektor-dlya-shlanga-latunnyy-bystrosemnyy-3-4-s-termoplastichnoy-rezinoy-chetyre-sezona-62-0334-F/", "Инфо")</f>
        <v>Инфо</v>
      </c>
      <c r="F9513" s="42" t="s">
        <v>39</v>
      </c>
      <c r="G9513" s="41" t="s">
        <v>40</v>
      </c>
      <c r="H9513" s="41"/>
      <c r="I9513" s="41"/>
      <c r="J9513" s="43">
        <v>79</v>
      </c>
      <c r="K9513" s="41"/>
      <c r="L9513" s="43">
        <v>1</v>
      </c>
      <c r="M9513" s="43">
        <v>48</v>
      </c>
      <c r="N9513" s="43">
        <v>1</v>
      </c>
      <c r="O9513" s="44">
        <v>868.51</v>
      </c>
      <c r="P9513" s="44">
        <v>711.89</v>
      </c>
      <c r="Q9513" s="44">
        <v>694.81</v>
      </c>
      <c r="R9513" s="44">
        <v>569.52</v>
      </c>
      <c r="S9513" s="44">
        <v>590.59</v>
      </c>
      <c r="T9513" s="44">
        <v>484.09</v>
      </c>
      <c r="U9513" s="42"/>
      <c r="V9513" s="42"/>
      <c r="W9513" s="42"/>
      <c r="X9513" s="45">
        <v>0.16800000000000001</v>
      </c>
      <c r="Y9513" s="46">
        <v>3.88E-4</v>
      </c>
      <c r="Z9513" s="21">
        <v>4601004350441</v>
      </c>
    </row>
    <row r="9514" spans="1:26" ht="12" customHeight="1" outlineLevel="4" x14ac:dyDescent="0.2">
      <c r="A9514" s="14" t="s">
        <v>18122</v>
      </c>
      <c r="B9514" s="26" t="s">
        <v>18123</v>
      </c>
      <c r="C9514" s="52"/>
      <c r="D9514" s="55">
        <f t="shared" si="148"/>
        <v>0</v>
      </c>
      <c r="E9514" s="63" t="str">
        <f>HYPERLINK("https://www.sds-group.ru/product/konnektor-dlya-shlanga-bystrosemnyy-1-2-s-akvastopom-i-termoplastichnoy-rezinoy-profi-chet-62-0218-F/", "Инфо")</f>
        <v>Инфо</v>
      </c>
      <c r="F9514" s="16" t="s">
        <v>39</v>
      </c>
      <c r="G9514" s="15"/>
      <c r="H9514" s="15"/>
      <c r="I9514" s="15"/>
      <c r="J9514" s="17">
        <v>393</v>
      </c>
      <c r="K9514" s="15"/>
      <c r="L9514" s="17">
        <v>10</v>
      </c>
      <c r="M9514" s="17">
        <v>240</v>
      </c>
      <c r="N9514" s="17">
        <v>10</v>
      </c>
      <c r="O9514" s="18">
        <v>148.4</v>
      </c>
      <c r="P9514" s="18">
        <v>121.64</v>
      </c>
      <c r="Q9514" s="18">
        <v>148.4</v>
      </c>
      <c r="R9514" s="18">
        <v>121.64</v>
      </c>
      <c r="S9514" s="18">
        <v>100.91</v>
      </c>
      <c r="T9514" s="18">
        <v>82.71</v>
      </c>
      <c r="U9514" s="16"/>
      <c r="V9514" s="16"/>
      <c r="W9514" s="16" t="s">
        <v>40</v>
      </c>
      <c r="X9514" s="19">
        <v>4.2999999999999997E-2</v>
      </c>
      <c r="Y9514" s="20">
        <v>2.63E-4</v>
      </c>
      <c r="Z9514" s="21">
        <v>4601004320536</v>
      </c>
    </row>
    <row r="9515" spans="1:26" ht="12" customHeight="1" outlineLevel="4" x14ac:dyDescent="0.2">
      <c r="A9515" s="14" t="s">
        <v>18124</v>
      </c>
      <c r="B9515" s="26" t="s">
        <v>18125</v>
      </c>
      <c r="C9515" s="52"/>
      <c r="D9515" s="55">
        <f t="shared" si="148"/>
        <v>0</v>
      </c>
      <c r="E9515" s="63" t="str">
        <f>HYPERLINK("https://www.sds-group.ru/product/konnektor-dlya-shlanga-bystrosemnyy-1-2-s-akvastopom-termoplastichnoy-rezinoy-i-zazhimnoy--62-0305-F/", "Инфо")</f>
        <v>Инфо</v>
      </c>
      <c r="F9515" s="16" t="s">
        <v>39</v>
      </c>
      <c r="G9515" s="15"/>
      <c r="H9515" s="15"/>
      <c r="I9515" s="15"/>
      <c r="J9515" s="17">
        <v>2</v>
      </c>
      <c r="K9515" s="15"/>
      <c r="L9515" s="17">
        <v>5</v>
      </c>
      <c r="M9515" s="17">
        <v>240</v>
      </c>
      <c r="N9515" s="17">
        <v>5</v>
      </c>
      <c r="O9515" s="18">
        <v>296.8</v>
      </c>
      <c r="P9515" s="18">
        <v>243.28</v>
      </c>
      <c r="Q9515" s="18">
        <v>207.76</v>
      </c>
      <c r="R9515" s="18">
        <v>170.3</v>
      </c>
      <c r="S9515" s="18">
        <v>201.82</v>
      </c>
      <c r="T9515" s="18">
        <v>165.43</v>
      </c>
      <c r="U9515" s="16"/>
      <c r="V9515" s="16"/>
      <c r="W9515" s="16" t="s">
        <v>40</v>
      </c>
      <c r="X9515" s="19">
        <v>5.5E-2</v>
      </c>
      <c r="Y9515" s="20">
        <v>3.57E-4</v>
      </c>
      <c r="Z9515" s="21">
        <v>4601004320697</v>
      </c>
    </row>
    <row r="9516" spans="1:26" ht="12" customHeight="1" outlineLevel="4" x14ac:dyDescent="0.2">
      <c r="A9516" s="14" t="s">
        <v>18126</v>
      </c>
      <c r="B9516" s="26" t="s">
        <v>18127</v>
      </c>
      <c r="C9516" s="52"/>
      <c r="D9516" s="55">
        <f t="shared" si="148"/>
        <v>0</v>
      </c>
      <c r="E9516" s="63" t="str">
        <f>HYPERLINK("https://www.sds-group.ru/product/konnektor-dlya-shlanga-bystrosemnyy-1-2-s-akvastopom-termoplastichnoy-rezinoy-i-zaschitoy--62-0301-F/", "Инфо")</f>
        <v>Инфо</v>
      </c>
      <c r="F9516" s="16" t="s">
        <v>39</v>
      </c>
      <c r="G9516" s="15"/>
      <c r="H9516" s="15"/>
      <c r="I9516" s="15"/>
      <c r="J9516" s="17">
        <v>304</v>
      </c>
      <c r="K9516" s="15"/>
      <c r="L9516" s="17">
        <v>5</v>
      </c>
      <c r="M9516" s="17">
        <v>200</v>
      </c>
      <c r="N9516" s="17">
        <v>5</v>
      </c>
      <c r="O9516" s="18">
        <v>222.6</v>
      </c>
      <c r="P9516" s="18">
        <v>182.46</v>
      </c>
      <c r="Q9516" s="18">
        <v>222.6</v>
      </c>
      <c r="R9516" s="18">
        <v>182.46</v>
      </c>
      <c r="S9516" s="18">
        <v>151.37</v>
      </c>
      <c r="T9516" s="18">
        <v>124.07</v>
      </c>
      <c r="U9516" s="16"/>
      <c r="V9516" s="16"/>
      <c r="W9516" s="16" t="s">
        <v>40</v>
      </c>
      <c r="X9516" s="19">
        <v>4.1000000000000002E-2</v>
      </c>
      <c r="Y9516" s="20">
        <v>3.2000000000000003E-4</v>
      </c>
      <c r="Z9516" s="21">
        <v>4601004320635</v>
      </c>
    </row>
    <row r="9517" spans="1:26" ht="12" customHeight="1" outlineLevel="4" x14ac:dyDescent="0.2">
      <c r="A9517" s="14" t="s">
        <v>18128</v>
      </c>
      <c r="B9517" s="26" t="s">
        <v>18129</v>
      </c>
      <c r="C9517" s="52"/>
      <c r="D9517" s="55">
        <f t="shared" si="148"/>
        <v>0</v>
      </c>
      <c r="E9517" s="63" t="str">
        <f>HYPERLINK("https://www.sds-group.ru/product/konnektor-dlya-shlanga-bystrosemnyy-1-2-s-termoplastichnoy-rezinoy-i-zazhimnoy-gaykoy-iz-t-62-0304-F/", "Инфо")</f>
        <v>Инфо</v>
      </c>
      <c r="F9517" s="16" t="s">
        <v>39</v>
      </c>
      <c r="G9517" s="15"/>
      <c r="H9517" s="15"/>
      <c r="I9517" s="15"/>
      <c r="J9517" s="17">
        <v>20</v>
      </c>
      <c r="K9517" s="15"/>
      <c r="L9517" s="17">
        <v>5</v>
      </c>
      <c r="M9517" s="17">
        <v>240</v>
      </c>
      <c r="N9517" s="17">
        <v>5</v>
      </c>
      <c r="O9517" s="18">
        <v>265</v>
      </c>
      <c r="P9517" s="18">
        <v>217.21</v>
      </c>
      <c r="Q9517" s="18">
        <v>185.5</v>
      </c>
      <c r="R9517" s="18">
        <v>152.05000000000001</v>
      </c>
      <c r="S9517" s="18">
        <v>180.2</v>
      </c>
      <c r="T9517" s="18">
        <v>147.69999999999999</v>
      </c>
      <c r="U9517" s="16"/>
      <c r="V9517" s="16"/>
      <c r="W9517" s="16" t="s">
        <v>40</v>
      </c>
      <c r="X9517" s="19">
        <v>5.3999999999999999E-2</v>
      </c>
      <c r="Y9517" s="20">
        <v>3.6099999999999999E-4</v>
      </c>
      <c r="Z9517" s="21">
        <v>4601004320666</v>
      </c>
    </row>
    <row r="9518" spans="1:26" ht="12" customHeight="1" outlineLevel="4" x14ac:dyDescent="0.2">
      <c r="A9518" s="14" t="s">
        <v>18130</v>
      </c>
      <c r="B9518" s="26" t="s">
        <v>18131</v>
      </c>
      <c r="C9518" s="52"/>
      <c r="D9518" s="55">
        <f t="shared" si="148"/>
        <v>0</v>
      </c>
      <c r="E9518" s="63" t="str">
        <f>HYPERLINK("https://www.sds-group.ru/product/konnektor-dlya-shlanga-bystrosemnyy-1-2-s-termoplastichnoy-rezinoy-i-zaschitoy-ot-peregibo-62-0300-F/", "Инфо")</f>
        <v>Инфо</v>
      </c>
      <c r="F9518" s="16" t="s">
        <v>39</v>
      </c>
      <c r="G9518" s="15"/>
      <c r="H9518" s="15"/>
      <c r="I9518" s="15"/>
      <c r="J9518" s="17">
        <v>55</v>
      </c>
      <c r="K9518" s="15"/>
      <c r="L9518" s="17">
        <v>5</v>
      </c>
      <c r="M9518" s="17">
        <v>200</v>
      </c>
      <c r="N9518" s="17">
        <v>5</v>
      </c>
      <c r="O9518" s="18">
        <v>201.4</v>
      </c>
      <c r="P9518" s="18">
        <v>165.08</v>
      </c>
      <c r="Q9518" s="18">
        <v>201.4</v>
      </c>
      <c r="R9518" s="18">
        <v>165.08</v>
      </c>
      <c r="S9518" s="18">
        <v>136.94999999999999</v>
      </c>
      <c r="T9518" s="18">
        <v>112.25</v>
      </c>
      <c r="U9518" s="16"/>
      <c r="V9518" s="16"/>
      <c r="W9518" s="16" t="s">
        <v>40</v>
      </c>
      <c r="X9518" s="19">
        <v>3.9E-2</v>
      </c>
      <c r="Y9518" s="20">
        <v>3.1500000000000001E-4</v>
      </c>
      <c r="Z9518" s="21">
        <v>4601004320628</v>
      </c>
    </row>
    <row r="9519" spans="1:26" ht="12" customHeight="1" outlineLevel="4" x14ac:dyDescent="0.2">
      <c r="A9519" s="14" t="s">
        <v>18132</v>
      </c>
      <c r="B9519" s="26" t="s">
        <v>18133</v>
      </c>
      <c r="C9519" s="52"/>
      <c r="D9519" s="55">
        <f t="shared" si="148"/>
        <v>0</v>
      </c>
      <c r="E9519" s="63" t="str">
        <f>HYPERLINK("https://www.sds-group.ru/product/konnektor-dlya-shlanga-bystrosemnyy-1-2-s-termoplastichnoy-rezinoy-profi-chetyre-sezona-62-0216-F/", "Инфо")</f>
        <v>Инфо</v>
      </c>
      <c r="F9519" s="16" t="s">
        <v>39</v>
      </c>
      <c r="G9519" s="15"/>
      <c r="H9519" s="15"/>
      <c r="I9519" s="15"/>
      <c r="J9519" s="22">
        <v>5756</v>
      </c>
      <c r="K9519" s="15"/>
      <c r="L9519" s="17">
        <v>10</v>
      </c>
      <c r="M9519" s="17">
        <v>288</v>
      </c>
      <c r="N9519" s="17">
        <v>10</v>
      </c>
      <c r="O9519" s="18">
        <v>127.2</v>
      </c>
      <c r="P9519" s="18">
        <v>104.26</v>
      </c>
      <c r="Q9519" s="18">
        <v>127.2</v>
      </c>
      <c r="R9519" s="18">
        <v>104.26</v>
      </c>
      <c r="S9519" s="18">
        <v>86.5</v>
      </c>
      <c r="T9519" s="18">
        <v>70.900000000000006</v>
      </c>
      <c r="U9519" s="16"/>
      <c r="V9519" s="16"/>
      <c r="W9519" s="16" t="s">
        <v>40</v>
      </c>
      <c r="X9519" s="19">
        <v>4.2000000000000003E-2</v>
      </c>
      <c r="Y9519" s="20">
        <v>2.6499999999999999E-4</v>
      </c>
      <c r="Z9519" s="21">
        <v>4601004320512</v>
      </c>
    </row>
    <row r="9520" spans="1:26" ht="12" customHeight="1" outlineLevel="4" x14ac:dyDescent="0.2">
      <c r="A9520" s="14" t="s">
        <v>18134</v>
      </c>
      <c r="B9520" s="26" t="s">
        <v>18135</v>
      </c>
      <c r="C9520" s="52"/>
      <c r="D9520" s="55">
        <f t="shared" si="148"/>
        <v>0</v>
      </c>
      <c r="E9520" s="63" t="str">
        <f>HYPERLINK("https://www.sds-group.ru/product/konnektor-dlya-shlanga-bystrosemnyy-3-4-s-akvastopom-chetyre-sezona-62-0217-1/", "Инфо")</f>
        <v>Инфо</v>
      </c>
      <c r="F9520" s="16" t="s">
        <v>39</v>
      </c>
      <c r="G9520" s="15"/>
      <c r="H9520" s="15"/>
      <c r="I9520" s="15"/>
      <c r="J9520" s="22">
        <v>1835</v>
      </c>
      <c r="K9520" s="15"/>
      <c r="L9520" s="17">
        <v>10</v>
      </c>
      <c r="M9520" s="17">
        <v>288</v>
      </c>
      <c r="N9520" s="17">
        <v>10</v>
      </c>
      <c r="O9520" s="18">
        <v>110.19</v>
      </c>
      <c r="P9520" s="18">
        <v>90.32</v>
      </c>
      <c r="Q9520" s="18">
        <v>110.19</v>
      </c>
      <c r="R9520" s="18">
        <v>90.32</v>
      </c>
      <c r="S9520" s="18">
        <v>74.930000000000007</v>
      </c>
      <c r="T9520" s="18">
        <v>61.42</v>
      </c>
      <c r="U9520" s="16"/>
      <c r="V9520" s="16"/>
      <c r="W9520" s="16" t="s">
        <v>40</v>
      </c>
      <c r="X9520" s="19">
        <v>4.5999999999999999E-2</v>
      </c>
      <c r="Y9520" s="20">
        <v>3.0800000000000001E-4</v>
      </c>
      <c r="Z9520" s="21">
        <v>4601004320529</v>
      </c>
    </row>
    <row r="9521" spans="1:26" ht="12" customHeight="1" outlineLevel="4" x14ac:dyDescent="0.2">
      <c r="A9521" s="14" t="s">
        <v>18136</v>
      </c>
      <c r="B9521" s="26" t="s">
        <v>18137</v>
      </c>
      <c r="C9521" s="52"/>
      <c r="D9521" s="55">
        <f t="shared" si="148"/>
        <v>0</v>
      </c>
      <c r="E9521" s="63" t="str">
        <f>HYPERLINK("https://www.sds-group.ru/product/konnektor-dlya-shlanga-bystrosemnyy-3-4-s-akvastopom-termoplastichnoy-rezinoy-i-zaschitoy--62-0303-F/", "Инфо")</f>
        <v>Инфо</v>
      </c>
      <c r="F9521" s="16" t="s">
        <v>39</v>
      </c>
      <c r="G9521" s="15"/>
      <c r="H9521" s="15"/>
      <c r="I9521" s="15"/>
      <c r="J9521" s="17">
        <v>35</v>
      </c>
      <c r="K9521" s="15"/>
      <c r="L9521" s="17">
        <v>5</v>
      </c>
      <c r="M9521" s="17">
        <v>150</v>
      </c>
      <c r="N9521" s="17">
        <v>5</v>
      </c>
      <c r="O9521" s="18">
        <v>254.4</v>
      </c>
      <c r="P9521" s="18">
        <v>208.52</v>
      </c>
      <c r="Q9521" s="18">
        <v>254.4</v>
      </c>
      <c r="R9521" s="18">
        <v>208.52</v>
      </c>
      <c r="S9521" s="18">
        <v>172.99</v>
      </c>
      <c r="T9521" s="18">
        <v>141.80000000000001</v>
      </c>
      <c r="U9521" s="16"/>
      <c r="V9521" s="16"/>
      <c r="W9521" s="16" t="s">
        <v>40</v>
      </c>
      <c r="X9521" s="19">
        <v>5.2999999999999999E-2</v>
      </c>
      <c r="Y9521" s="20">
        <v>5.2099999999999998E-4</v>
      </c>
      <c r="Z9521" s="21">
        <v>4601004320680</v>
      </c>
    </row>
    <row r="9522" spans="1:26" ht="12" customHeight="1" outlineLevel="4" x14ac:dyDescent="0.2">
      <c r="A9522" s="14" t="s">
        <v>18138</v>
      </c>
      <c r="B9522" s="26" t="s">
        <v>18139</v>
      </c>
      <c r="C9522" s="52"/>
      <c r="D9522" s="55">
        <f t="shared" si="148"/>
        <v>0</v>
      </c>
      <c r="E9522" s="63" t="str">
        <f>HYPERLINK("https://www.sds-group.ru/product/konnektor-dlya-shlanga-bystrosemnyy-3-4-s-termoplastichnoy-rezinoy-i-zazhimnoy-gaykoy-iz-t-62-0306-F/", "Инфо")</f>
        <v>Инфо</v>
      </c>
      <c r="F9522" s="16" t="s">
        <v>39</v>
      </c>
      <c r="G9522" s="15"/>
      <c r="H9522" s="15"/>
      <c r="I9522" s="15"/>
      <c r="J9522" s="17">
        <v>1</v>
      </c>
      <c r="K9522" s="15"/>
      <c r="L9522" s="17">
        <v>5</v>
      </c>
      <c r="M9522" s="17">
        <v>240</v>
      </c>
      <c r="N9522" s="17">
        <v>5</v>
      </c>
      <c r="O9522" s="18">
        <v>307.39999999999998</v>
      </c>
      <c r="P9522" s="18">
        <v>251.97</v>
      </c>
      <c r="Q9522" s="18">
        <v>215.18</v>
      </c>
      <c r="R9522" s="18">
        <v>176.38</v>
      </c>
      <c r="S9522" s="18">
        <v>209.03</v>
      </c>
      <c r="T9522" s="18">
        <v>171.34</v>
      </c>
      <c r="U9522" s="16"/>
      <c r="V9522" s="16"/>
      <c r="W9522" s="16"/>
      <c r="X9522" s="19">
        <v>6.8000000000000005E-2</v>
      </c>
      <c r="Y9522" s="20">
        <v>3.6200000000000002E-4</v>
      </c>
      <c r="Z9522" s="21">
        <v>4601004320703</v>
      </c>
    </row>
    <row r="9523" spans="1:26" ht="12" customHeight="1" outlineLevel="4" x14ac:dyDescent="0.2">
      <c r="A9523" s="14" t="s">
        <v>18140</v>
      </c>
      <c r="B9523" s="26" t="s">
        <v>18141</v>
      </c>
      <c r="C9523" s="52"/>
      <c r="D9523" s="55">
        <f t="shared" si="148"/>
        <v>0</v>
      </c>
      <c r="E9523" s="63" t="str">
        <f>HYPERLINK("https://www.sds-group.ru/product/konnektor-dlya-shlanga-bystrosemnyy-3-4-s-termoplastichnoy-rezinoy-i-zaschitoy-ot-peregibo-62-0302-F/", "Инфо")</f>
        <v>Инфо</v>
      </c>
      <c r="F9523" s="16" t="s">
        <v>39</v>
      </c>
      <c r="G9523" s="15"/>
      <c r="H9523" s="15"/>
      <c r="I9523" s="15"/>
      <c r="J9523" s="16" t="s">
        <v>100</v>
      </c>
      <c r="K9523" s="15"/>
      <c r="L9523" s="17">
        <v>5</v>
      </c>
      <c r="M9523" s="17">
        <v>150</v>
      </c>
      <c r="N9523" s="17">
        <v>5</v>
      </c>
      <c r="O9523" s="18">
        <v>233.2</v>
      </c>
      <c r="P9523" s="18">
        <v>191.15</v>
      </c>
      <c r="Q9523" s="18">
        <v>233.2</v>
      </c>
      <c r="R9523" s="18">
        <v>191.15</v>
      </c>
      <c r="S9523" s="18">
        <v>158.58000000000001</v>
      </c>
      <c r="T9523" s="18">
        <v>129.97999999999999</v>
      </c>
      <c r="U9523" s="16"/>
      <c r="V9523" s="16"/>
      <c r="W9523" s="16" t="s">
        <v>40</v>
      </c>
      <c r="X9523" s="19">
        <v>5.0999999999999997E-2</v>
      </c>
      <c r="Y9523" s="20">
        <v>5.4100000000000003E-4</v>
      </c>
      <c r="Z9523" s="21">
        <v>4601004320642</v>
      </c>
    </row>
    <row r="9524" spans="1:26" ht="12" customHeight="1" outlineLevel="4" x14ac:dyDescent="0.2">
      <c r="A9524" s="14" t="s">
        <v>18142</v>
      </c>
      <c r="B9524" s="26" t="s">
        <v>18143</v>
      </c>
      <c r="C9524" s="52"/>
      <c r="D9524" s="55">
        <f t="shared" si="148"/>
        <v>0</v>
      </c>
      <c r="E9524" s="63" t="str">
        <f>HYPERLINK("https://www.sds-group.ru/product/konnektor-dlya-shlanga-bystrosemnyy-3-4-chetyre-sezona-62-0215-1/", "Инфо")</f>
        <v>Инфо</v>
      </c>
      <c r="F9524" s="16" t="s">
        <v>39</v>
      </c>
      <c r="G9524" s="15"/>
      <c r="H9524" s="15"/>
      <c r="I9524" s="15"/>
      <c r="J9524" s="17">
        <v>775</v>
      </c>
      <c r="K9524" s="15"/>
      <c r="L9524" s="17">
        <v>10</v>
      </c>
      <c r="M9524" s="17">
        <v>288</v>
      </c>
      <c r="N9524" s="17">
        <v>10</v>
      </c>
      <c r="O9524" s="18">
        <v>104.62</v>
      </c>
      <c r="P9524" s="18">
        <v>85.75</v>
      </c>
      <c r="Q9524" s="18">
        <v>104.62</v>
      </c>
      <c r="R9524" s="18">
        <v>85.75</v>
      </c>
      <c r="S9524" s="18">
        <v>71.14</v>
      </c>
      <c r="T9524" s="18">
        <v>58.31</v>
      </c>
      <c r="U9524" s="16"/>
      <c r="V9524" s="16"/>
      <c r="W9524" s="16" t="s">
        <v>40</v>
      </c>
      <c r="X9524" s="19">
        <v>4.2999999999999997E-2</v>
      </c>
      <c r="Y9524" s="20">
        <v>2.9300000000000002E-4</v>
      </c>
      <c r="Z9524" s="21">
        <v>4601004320475</v>
      </c>
    </row>
    <row r="9525" spans="1:26" ht="12" customHeight="1" outlineLevel="4" x14ac:dyDescent="0.2">
      <c r="A9525" s="14" t="s">
        <v>18144</v>
      </c>
      <c r="B9525" s="26" t="s">
        <v>18145</v>
      </c>
      <c r="C9525" s="52"/>
      <c r="D9525" s="55">
        <f t="shared" si="148"/>
        <v>0</v>
      </c>
      <c r="E9525" s="63" t="str">
        <f>HYPERLINK("https://www.sds-group.ru/product/konnektor-dlya-shlanga-bystrosemnyy-1-2-chetyre-sezona-62-0216/", "Инфо")</f>
        <v>Инфо</v>
      </c>
      <c r="F9525" s="16" t="s">
        <v>39</v>
      </c>
      <c r="G9525" s="15"/>
      <c r="H9525" s="15"/>
      <c r="I9525" s="15"/>
      <c r="J9525" s="17">
        <v>496</v>
      </c>
      <c r="K9525" s="15"/>
      <c r="L9525" s="17">
        <v>10</v>
      </c>
      <c r="M9525" s="17">
        <v>288</v>
      </c>
      <c r="N9525" s="17">
        <v>10</v>
      </c>
      <c r="O9525" s="18">
        <v>87.93</v>
      </c>
      <c r="P9525" s="18">
        <v>72.069999999999993</v>
      </c>
      <c r="Q9525" s="18">
        <v>87.93</v>
      </c>
      <c r="R9525" s="18">
        <v>72.069999999999993</v>
      </c>
      <c r="S9525" s="18">
        <v>59.79</v>
      </c>
      <c r="T9525" s="18">
        <v>49.01</v>
      </c>
      <c r="U9525" s="16"/>
      <c r="V9525" s="16"/>
      <c r="W9525" s="16" t="s">
        <v>40</v>
      </c>
      <c r="X9525" s="19">
        <v>4.5999999999999999E-2</v>
      </c>
      <c r="Y9525" s="20">
        <v>3.1500000000000001E-4</v>
      </c>
      <c r="Z9525" s="21">
        <v>4601004268548</v>
      </c>
    </row>
    <row r="9526" spans="1:26" ht="12" customHeight="1" outlineLevel="4" x14ac:dyDescent="0.2">
      <c r="A9526" s="14" t="s">
        <v>18146</v>
      </c>
      <c r="B9526" s="26" t="s">
        <v>18147</v>
      </c>
      <c r="C9526" s="52"/>
      <c r="D9526" s="55">
        <f t="shared" si="148"/>
        <v>0</v>
      </c>
      <c r="E9526" s="63" t="str">
        <f>HYPERLINK("https://www.sds-group.ru/product/konnektor-dlya-shlanga-bystrosemnyy-1-2-s-akvastopom-chetyre-sezona-62-0218/", "Инфо")</f>
        <v>Инфо</v>
      </c>
      <c r="F9526" s="16" t="s">
        <v>39</v>
      </c>
      <c r="G9526" s="15"/>
      <c r="H9526" s="15"/>
      <c r="I9526" s="15"/>
      <c r="J9526" s="17">
        <v>192</v>
      </c>
      <c r="K9526" s="15"/>
      <c r="L9526" s="17">
        <v>10</v>
      </c>
      <c r="M9526" s="17">
        <v>240</v>
      </c>
      <c r="N9526" s="17">
        <v>10</v>
      </c>
      <c r="O9526" s="18">
        <v>94.61</v>
      </c>
      <c r="P9526" s="18">
        <v>77.55</v>
      </c>
      <c r="Q9526" s="18">
        <v>94.61</v>
      </c>
      <c r="R9526" s="18">
        <v>77.55</v>
      </c>
      <c r="S9526" s="18">
        <v>64.33</v>
      </c>
      <c r="T9526" s="18">
        <v>52.73</v>
      </c>
      <c r="U9526" s="16"/>
      <c r="V9526" s="16"/>
      <c r="W9526" s="16" t="s">
        <v>40</v>
      </c>
      <c r="X9526" s="19">
        <v>4.7E-2</v>
      </c>
      <c r="Y9526" s="20">
        <v>3.1700000000000001E-4</v>
      </c>
      <c r="Z9526" s="21">
        <v>4601004268562</v>
      </c>
    </row>
    <row r="9527" spans="1:26" ht="12" customHeight="1" outlineLevel="4" x14ac:dyDescent="0.2">
      <c r="A9527" s="14" t="s">
        <v>18148</v>
      </c>
      <c r="B9527" s="26" t="s">
        <v>18149</v>
      </c>
      <c r="C9527" s="52"/>
      <c r="D9527" s="55">
        <f t="shared" si="148"/>
        <v>0</v>
      </c>
      <c r="E9527" s="63" t="str">
        <f>HYPERLINK("https://www.sds-group.ru/product/konnektor-dlya-shlanga-bystrosemnyy-3-4-profi-chetyre-sezona-62-0215/", "Инфо")</f>
        <v>Инфо</v>
      </c>
      <c r="F9527" s="16" t="s">
        <v>39</v>
      </c>
      <c r="G9527" s="15"/>
      <c r="H9527" s="15"/>
      <c r="I9527" s="15"/>
      <c r="J9527" s="22">
        <v>1552</v>
      </c>
      <c r="K9527" s="15"/>
      <c r="L9527" s="17">
        <v>10</v>
      </c>
      <c r="M9527" s="17">
        <v>216</v>
      </c>
      <c r="N9527" s="17">
        <v>10</v>
      </c>
      <c r="O9527" s="18">
        <v>166.02</v>
      </c>
      <c r="P9527" s="18">
        <v>136.08000000000001</v>
      </c>
      <c r="Q9527" s="18">
        <v>166.02</v>
      </c>
      <c r="R9527" s="18">
        <v>136.08000000000001</v>
      </c>
      <c r="S9527" s="18">
        <v>112.89</v>
      </c>
      <c r="T9527" s="18">
        <v>92.53</v>
      </c>
      <c r="U9527" s="16"/>
      <c r="V9527" s="16"/>
      <c r="W9527" s="16" t="s">
        <v>40</v>
      </c>
      <c r="X9527" s="19">
        <v>4.8000000000000001E-2</v>
      </c>
      <c r="Y9527" s="20">
        <v>3.28E-4</v>
      </c>
      <c r="Z9527" s="21">
        <v>4601004268531</v>
      </c>
    </row>
    <row r="9528" spans="1:26" ht="12" customHeight="1" outlineLevel="4" x14ac:dyDescent="0.2">
      <c r="A9528" s="14" t="s">
        <v>18150</v>
      </c>
      <c r="B9528" s="26" t="s">
        <v>18151</v>
      </c>
      <c r="C9528" s="52"/>
      <c r="D9528" s="55">
        <f t="shared" si="148"/>
        <v>0</v>
      </c>
      <c r="E9528" s="63" t="str">
        <f>HYPERLINK("https://www.sds-group.ru/product/konnektor-dlya-shlanga-bystrosemnyy-3-4-s-akvastopom-profi-chetyre-sezona-62-0217/", "Инфо")</f>
        <v>Инфо</v>
      </c>
      <c r="F9528" s="16" t="s">
        <v>39</v>
      </c>
      <c r="G9528" s="15"/>
      <c r="H9528" s="15"/>
      <c r="I9528" s="15"/>
      <c r="J9528" s="22">
        <v>4102</v>
      </c>
      <c r="K9528" s="15"/>
      <c r="L9528" s="17">
        <v>10</v>
      </c>
      <c r="M9528" s="17">
        <v>216</v>
      </c>
      <c r="N9528" s="17">
        <v>10</v>
      </c>
      <c r="O9528" s="18">
        <v>176.6</v>
      </c>
      <c r="P9528" s="18">
        <v>144.75</v>
      </c>
      <c r="Q9528" s="18">
        <v>176.6</v>
      </c>
      <c r="R9528" s="18">
        <v>144.75</v>
      </c>
      <c r="S9528" s="18">
        <v>120.09</v>
      </c>
      <c r="T9528" s="18">
        <v>98.43</v>
      </c>
      <c r="U9528" s="16"/>
      <c r="V9528" s="16"/>
      <c r="W9528" s="16" t="s">
        <v>40</v>
      </c>
      <c r="X9528" s="19">
        <v>5.0999999999999997E-2</v>
      </c>
      <c r="Y9528" s="20">
        <v>3.2699999999999998E-4</v>
      </c>
      <c r="Z9528" s="21">
        <v>4601004268555</v>
      </c>
    </row>
    <row r="9529" spans="1:26" ht="12" customHeight="1" outlineLevel="4" x14ac:dyDescent="0.2">
      <c r="A9529" s="14" t="s">
        <v>18152</v>
      </c>
      <c r="B9529" s="26" t="s">
        <v>18153</v>
      </c>
      <c r="C9529" s="52"/>
      <c r="D9529" s="55">
        <f t="shared" si="148"/>
        <v>0</v>
      </c>
      <c r="E9529" s="63" t="str">
        <f>HYPERLINK("https://www.sds-group.ru/product/mufta-perehodnaya-dlya-shlanga-1-2-3-4-s-termoplastichnoy-rezinoy-profi-chetyre-sezona-62-0219-F/", "Инфо")</f>
        <v>Инфо</v>
      </c>
      <c r="F9529" s="16" t="s">
        <v>39</v>
      </c>
      <c r="G9529" s="15"/>
      <c r="H9529" s="15"/>
      <c r="I9529" s="15"/>
      <c r="J9529" s="17">
        <v>427</v>
      </c>
      <c r="K9529" s="15"/>
      <c r="L9529" s="17">
        <v>10</v>
      </c>
      <c r="M9529" s="17">
        <v>240</v>
      </c>
      <c r="N9529" s="17">
        <v>10</v>
      </c>
      <c r="O9529" s="18">
        <v>162.18</v>
      </c>
      <c r="P9529" s="18">
        <v>132.93</v>
      </c>
      <c r="Q9529" s="18">
        <v>113.53</v>
      </c>
      <c r="R9529" s="18">
        <v>93.06</v>
      </c>
      <c r="S9529" s="18">
        <v>110.28</v>
      </c>
      <c r="T9529" s="18">
        <v>90.39</v>
      </c>
      <c r="U9529" s="16"/>
      <c r="V9529" s="16"/>
      <c r="W9529" s="16"/>
      <c r="X9529" s="19">
        <v>2.8000000000000001E-2</v>
      </c>
      <c r="Y9529" s="20">
        <v>2.2499999999999999E-4</v>
      </c>
      <c r="Z9529" s="21">
        <v>4601004320567</v>
      </c>
    </row>
    <row r="9530" spans="1:26" ht="12" customHeight="1" outlineLevel="4" x14ac:dyDescent="0.2">
      <c r="A9530" s="14" t="s">
        <v>18154</v>
      </c>
      <c r="B9530" s="26" t="s">
        <v>18155</v>
      </c>
      <c r="C9530" s="52"/>
      <c r="D9530" s="55">
        <f t="shared" si="148"/>
        <v>0</v>
      </c>
      <c r="E9530" s="63" t="str">
        <f>HYPERLINK("https://www.sds-group.ru/product/mufta-perehodnaya-dlya-shlanga-1-2-3-4-chetyre-sezona-62-0219/", "Инфо")</f>
        <v>Инфо</v>
      </c>
      <c r="F9530" s="16" t="s">
        <v>39</v>
      </c>
      <c r="G9530" s="15"/>
      <c r="H9530" s="15"/>
      <c r="I9530" s="15"/>
      <c r="J9530" s="17">
        <v>83</v>
      </c>
      <c r="K9530" s="15"/>
      <c r="L9530" s="17">
        <v>10</v>
      </c>
      <c r="M9530" s="17">
        <v>240</v>
      </c>
      <c r="N9530" s="17">
        <v>10</v>
      </c>
      <c r="O9530" s="18">
        <v>104.94</v>
      </c>
      <c r="P9530" s="18">
        <v>86.02</v>
      </c>
      <c r="Q9530" s="18">
        <v>104.94</v>
      </c>
      <c r="R9530" s="18">
        <v>86.02</v>
      </c>
      <c r="S9530" s="18">
        <v>71.36</v>
      </c>
      <c r="T9530" s="18">
        <v>58.49</v>
      </c>
      <c r="U9530" s="16"/>
      <c r="V9530" s="16"/>
      <c r="W9530" s="16" t="s">
        <v>40</v>
      </c>
      <c r="X9530" s="19">
        <v>0.06</v>
      </c>
      <c r="Y9530" s="20">
        <v>3.2600000000000001E-4</v>
      </c>
      <c r="Z9530" s="21">
        <v>4601004268579</v>
      </c>
    </row>
    <row r="9531" spans="1:26" ht="12" customHeight="1" outlineLevel="4" x14ac:dyDescent="0.2">
      <c r="A9531" s="14" t="s">
        <v>18156</v>
      </c>
      <c r="B9531" s="26" t="s">
        <v>18157</v>
      </c>
      <c r="C9531" s="52"/>
      <c r="D9531" s="55">
        <f t="shared" si="148"/>
        <v>0</v>
      </c>
      <c r="E9531" s="63" t="str">
        <f>HYPERLINK("https://www.sds-group.ru/product/mufta-remontnaya-dlya-shlanga-1-2-s-termoplastichnoy-rezinoy-profi-chetyre-sezona-62-0221-F/", "Инфо")</f>
        <v>Инфо</v>
      </c>
      <c r="F9531" s="16" t="s">
        <v>39</v>
      </c>
      <c r="G9531" s="15"/>
      <c r="H9531" s="15"/>
      <c r="I9531" s="15"/>
      <c r="J9531" s="17">
        <v>8</v>
      </c>
      <c r="K9531" s="15"/>
      <c r="L9531" s="17">
        <v>10</v>
      </c>
      <c r="M9531" s="17">
        <v>120</v>
      </c>
      <c r="N9531" s="17">
        <v>10</v>
      </c>
      <c r="O9531" s="18">
        <v>143.1</v>
      </c>
      <c r="P9531" s="18">
        <v>117.3</v>
      </c>
      <c r="Q9531" s="18">
        <v>143.1</v>
      </c>
      <c r="R9531" s="18">
        <v>117.3</v>
      </c>
      <c r="S9531" s="18">
        <v>97.31</v>
      </c>
      <c r="T9531" s="18">
        <v>79.760000000000005</v>
      </c>
      <c r="U9531" s="16"/>
      <c r="V9531" s="16"/>
      <c r="W9531" s="16" t="s">
        <v>40</v>
      </c>
      <c r="X9531" s="19">
        <v>2.5999999999999999E-2</v>
      </c>
      <c r="Y9531" s="20">
        <v>3.6699999999999998E-4</v>
      </c>
      <c r="Z9531" s="21">
        <v>4601004320543</v>
      </c>
    </row>
    <row r="9532" spans="1:26" ht="12" customHeight="1" outlineLevel="4" x14ac:dyDescent="0.2">
      <c r="A9532" s="14" t="s">
        <v>18158</v>
      </c>
      <c r="B9532" s="26" t="s">
        <v>18159</v>
      </c>
      <c r="C9532" s="52"/>
      <c r="D9532" s="55">
        <f t="shared" si="148"/>
        <v>0</v>
      </c>
      <c r="E9532" s="63" t="str">
        <f>HYPERLINK("https://www.sds-group.ru/product/mufta-remontnaya-dlya-shlanga-1-2-chetyre-sezona-62-0221/", "Инфо")</f>
        <v>Инфо</v>
      </c>
      <c r="F9532" s="16" t="s">
        <v>39</v>
      </c>
      <c r="G9532" s="15"/>
      <c r="H9532" s="15"/>
      <c r="I9532" s="15"/>
      <c r="J9532" s="17">
        <v>398</v>
      </c>
      <c r="K9532" s="15"/>
      <c r="L9532" s="17">
        <v>10</v>
      </c>
      <c r="M9532" s="17">
        <v>216</v>
      </c>
      <c r="N9532" s="17">
        <v>10</v>
      </c>
      <c r="O9532" s="18">
        <v>76.319999999999993</v>
      </c>
      <c r="P9532" s="18">
        <v>62.56</v>
      </c>
      <c r="Q9532" s="18">
        <v>76.319999999999993</v>
      </c>
      <c r="R9532" s="18">
        <v>62.56</v>
      </c>
      <c r="S9532" s="18">
        <v>51.9</v>
      </c>
      <c r="T9532" s="18">
        <v>42.54</v>
      </c>
      <c r="U9532" s="16"/>
      <c r="V9532" s="16"/>
      <c r="W9532" s="16" t="s">
        <v>40</v>
      </c>
      <c r="X9532" s="19">
        <v>3.5000000000000003E-2</v>
      </c>
      <c r="Y9532" s="20">
        <v>2.6200000000000003E-4</v>
      </c>
      <c r="Z9532" s="21">
        <v>4601004268593</v>
      </c>
    </row>
    <row r="9533" spans="1:26" ht="12" customHeight="1" outlineLevel="4" x14ac:dyDescent="0.2">
      <c r="A9533" s="14" t="s">
        <v>18160</v>
      </c>
      <c r="B9533" s="26" t="s">
        <v>18161</v>
      </c>
      <c r="C9533" s="52"/>
      <c r="D9533" s="55">
        <f t="shared" si="148"/>
        <v>0</v>
      </c>
      <c r="E9533" s="63" t="str">
        <f>HYPERLINK("https://www.sds-group.ru/product/mufta-remontnaya-dlya-shlanga-3-4-chetyre-sezona-62-0219-1/", "Инфо")</f>
        <v>Инфо</v>
      </c>
      <c r="F9533" s="16" t="s">
        <v>39</v>
      </c>
      <c r="G9533" s="15"/>
      <c r="H9533" s="15"/>
      <c r="I9533" s="15"/>
      <c r="J9533" s="17">
        <v>25</v>
      </c>
      <c r="K9533" s="15"/>
      <c r="L9533" s="17">
        <v>10</v>
      </c>
      <c r="M9533" s="17">
        <v>216</v>
      </c>
      <c r="N9533" s="17">
        <v>10</v>
      </c>
      <c r="O9533" s="18">
        <v>98.58</v>
      </c>
      <c r="P9533" s="18">
        <v>80.8</v>
      </c>
      <c r="Q9533" s="18">
        <v>98.58</v>
      </c>
      <c r="R9533" s="18">
        <v>80.8</v>
      </c>
      <c r="S9533" s="18">
        <v>67.03</v>
      </c>
      <c r="T9533" s="18">
        <v>54.94</v>
      </c>
      <c r="U9533" s="16"/>
      <c r="V9533" s="16"/>
      <c r="W9533" s="16" t="s">
        <v>40</v>
      </c>
      <c r="X9533" s="19">
        <v>4.5999999999999999E-2</v>
      </c>
      <c r="Y9533" s="20">
        <v>3.3799999999999998E-4</v>
      </c>
      <c r="Z9533" s="21">
        <v>4601004268586</v>
      </c>
    </row>
    <row r="9534" spans="1:26" ht="12" customHeight="1" outlineLevel="4" x14ac:dyDescent="0.2">
      <c r="A9534" s="40" t="s">
        <v>18162</v>
      </c>
      <c r="B9534" s="75" t="s">
        <v>18163</v>
      </c>
      <c r="C9534" s="51"/>
      <c r="D9534" s="54">
        <f t="shared" si="148"/>
        <v>0</v>
      </c>
      <c r="E9534" s="61" t="str">
        <f>HYPERLINK("https://www.sds-group.ru/product/mufta-remontnaya-latunnaya-dlya-shlanga-1-2-s-termoplastichnoy-rezinoy-profi-chetyre-sezon-62-0336-F/", "Инфо")</f>
        <v>Инфо</v>
      </c>
      <c r="F9534" s="42" t="s">
        <v>39</v>
      </c>
      <c r="G9534" s="41" t="s">
        <v>40</v>
      </c>
      <c r="H9534" s="41"/>
      <c r="I9534" s="41"/>
      <c r="J9534" s="43">
        <v>502</v>
      </c>
      <c r="K9534" s="41"/>
      <c r="L9534" s="43">
        <v>1</v>
      </c>
      <c r="M9534" s="43">
        <v>120</v>
      </c>
      <c r="N9534" s="43">
        <v>1</v>
      </c>
      <c r="O9534" s="44">
        <v>879.51</v>
      </c>
      <c r="P9534" s="44">
        <v>720.91</v>
      </c>
      <c r="Q9534" s="44">
        <v>703.61</v>
      </c>
      <c r="R9534" s="44">
        <v>576.73</v>
      </c>
      <c r="S9534" s="44">
        <v>598.07000000000005</v>
      </c>
      <c r="T9534" s="44">
        <v>490.22</v>
      </c>
      <c r="U9534" s="42"/>
      <c r="V9534" s="42"/>
      <c r="W9534" s="42"/>
      <c r="X9534" s="45">
        <v>0.13100000000000001</v>
      </c>
      <c r="Y9534" s="46">
        <v>2.9599999999999998E-4</v>
      </c>
      <c r="Z9534" s="21">
        <v>4601004350427</v>
      </c>
    </row>
    <row r="9535" spans="1:26" ht="12" customHeight="1" outlineLevel="4" x14ac:dyDescent="0.2">
      <c r="A9535" s="40" t="s">
        <v>18164</v>
      </c>
      <c r="B9535" s="75" t="s">
        <v>18165</v>
      </c>
      <c r="C9535" s="51"/>
      <c r="D9535" s="54">
        <f t="shared" si="148"/>
        <v>0</v>
      </c>
      <c r="E9535" s="61" t="str">
        <f>HYPERLINK("https://www.sds-group.ru/product/mufta-remontnaya-latunnaya-dlya-shlanga-3-4-s-termoplastichnoy-rezinoy-profi-chetyre-sezon-62-0337-F/", "Инфо")</f>
        <v>Инфо</v>
      </c>
      <c r="F9535" s="42" t="s">
        <v>39</v>
      </c>
      <c r="G9535" s="41" t="s">
        <v>40</v>
      </c>
      <c r="H9535" s="41"/>
      <c r="I9535" s="41"/>
      <c r="J9535" s="43">
        <v>444</v>
      </c>
      <c r="K9535" s="41"/>
      <c r="L9535" s="43">
        <v>1</v>
      </c>
      <c r="M9535" s="43">
        <v>48</v>
      </c>
      <c r="N9535" s="43">
        <v>1</v>
      </c>
      <c r="O9535" s="44">
        <v>879.51</v>
      </c>
      <c r="P9535" s="44">
        <v>720.91</v>
      </c>
      <c r="Q9535" s="44">
        <v>703.61</v>
      </c>
      <c r="R9535" s="44">
        <v>576.73</v>
      </c>
      <c r="S9535" s="44">
        <v>598.07000000000005</v>
      </c>
      <c r="T9535" s="44">
        <v>490.22</v>
      </c>
      <c r="U9535" s="42"/>
      <c r="V9535" s="42"/>
      <c r="W9535" s="42"/>
      <c r="X9535" s="45">
        <v>0.188</v>
      </c>
      <c r="Y9535" s="46">
        <v>3.6900000000000002E-4</v>
      </c>
      <c r="Z9535" s="21">
        <v>4601004350410</v>
      </c>
    </row>
    <row r="9536" spans="1:26" ht="12" customHeight="1" outlineLevel="4" x14ac:dyDescent="0.2">
      <c r="A9536" s="14" t="s">
        <v>18166</v>
      </c>
      <c r="B9536" s="26" t="s">
        <v>18167</v>
      </c>
      <c r="C9536" s="52"/>
      <c r="D9536" s="55">
        <f t="shared" si="148"/>
        <v>0</v>
      </c>
      <c r="E9536" s="63" t="str">
        <f>HYPERLINK("https://www.sds-group.ru/product/mufta-soedinitelnaya-latunnaya-remontnaya-dlya-shlanga-3-4-chetyre-sezona-62-0274/", "Инфо")</f>
        <v>Инфо</v>
      </c>
      <c r="F9536" s="16" t="s">
        <v>39</v>
      </c>
      <c r="G9536" s="15"/>
      <c r="H9536" s="15"/>
      <c r="I9536" s="15"/>
      <c r="J9536" s="17">
        <v>7</v>
      </c>
      <c r="K9536" s="15"/>
      <c r="L9536" s="17">
        <v>1</v>
      </c>
      <c r="M9536" s="17">
        <v>96</v>
      </c>
      <c r="N9536" s="17">
        <v>1</v>
      </c>
      <c r="O9536" s="18">
        <v>727.67</v>
      </c>
      <c r="P9536" s="18">
        <v>596.45000000000005</v>
      </c>
      <c r="Q9536" s="18">
        <v>509.37</v>
      </c>
      <c r="R9536" s="18">
        <v>417.52</v>
      </c>
      <c r="S9536" s="18">
        <v>494.82</v>
      </c>
      <c r="T9536" s="18">
        <v>405.59</v>
      </c>
      <c r="U9536" s="16"/>
      <c r="V9536" s="16"/>
      <c r="W9536" s="16" t="s">
        <v>40</v>
      </c>
      <c r="X9536" s="19">
        <v>0.13700000000000001</v>
      </c>
      <c r="Y9536" s="20">
        <v>3.28E-4</v>
      </c>
      <c r="Z9536" s="21">
        <v>4601004291263</v>
      </c>
    </row>
    <row r="9537" spans="1:26" ht="12" customHeight="1" outlineLevel="4" x14ac:dyDescent="0.2">
      <c r="A9537" s="14" t="s">
        <v>18168</v>
      </c>
      <c r="B9537" s="26" t="s">
        <v>18169</v>
      </c>
      <c r="C9537" s="52"/>
      <c r="D9537" s="55">
        <f t="shared" si="148"/>
        <v>0</v>
      </c>
      <c r="E9537" s="63" t="str">
        <f>HYPERLINK("https://www.sds-group.ru/product/razvetvitel-2-kanalnyy-na-kran-1-2-3-4-chetyre-sezona-62-0223/", "Инфо")</f>
        <v>Инфо</v>
      </c>
      <c r="F9537" s="16" t="s">
        <v>39</v>
      </c>
      <c r="G9537" s="15"/>
      <c r="H9537" s="15"/>
      <c r="I9537" s="15"/>
      <c r="J9537" s="17">
        <v>84</v>
      </c>
      <c r="K9537" s="15"/>
      <c r="L9537" s="17">
        <v>5</v>
      </c>
      <c r="M9537" s="17">
        <v>60</v>
      </c>
      <c r="N9537" s="17">
        <v>5</v>
      </c>
      <c r="O9537" s="18">
        <v>269.51</v>
      </c>
      <c r="P9537" s="18">
        <v>220.91</v>
      </c>
      <c r="Q9537" s="18">
        <v>188.66</v>
      </c>
      <c r="R9537" s="18">
        <v>154.63999999999999</v>
      </c>
      <c r="S9537" s="18">
        <v>183.27</v>
      </c>
      <c r="T9537" s="18">
        <v>150.22</v>
      </c>
      <c r="U9537" s="16"/>
      <c r="V9537" s="16"/>
      <c r="W9537" s="16"/>
      <c r="X9537" s="19">
        <v>8.3000000000000004E-2</v>
      </c>
      <c r="Y9537" s="20">
        <v>5.6800000000000004E-4</v>
      </c>
      <c r="Z9537" s="21">
        <v>4601004268623</v>
      </c>
    </row>
    <row r="9538" spans="1:26" ht="12" customHeight="1" outlineLevel="4" x14ac:dyDescent="0.2">
      <c r="A9538" s="14" t="s">
        <v>18170</v>
      </c>
      <c r="B9538" s="26" t="s">
        <v>18171</v>
      </c>
      <c r="C9538" s="52"/>
      <c r="D9538" s="55">
        <f t="shared" si="148"/>
        <v>0</v>
      </c>
      <c r="E9538" s="63" t="str">
        <f>HYPERLINK("https://www.sds-group.ru/product/razvetvitel-4-kanalnyy-na-kran-1-2-3-4-profi-chetyre-sezona-62-0225-F/", "Инфо")</f>
        <v>Инфо</v>
      </c>
      <c r="F9538" s="16" t="s">
        <v>39</v>
      </c>
      <c r="G9538" s="15"/>
      <c r="H9538" s="15"/>
      <c r="I9538" s="15"/>
      <c r="J9538" s="17">
        <v>9</v>
      </c>
      <c r="K9538" s="15"/>
      <c r="L9538" s="17">
        <v>1</v>
      </c>
      <c r="M9538" s="17">
        <v>48</v>
      </c>
      <c r="N9538" s="17">
        <v>1</v>
      </c>
      <c r="O9538" s="18">
        <v>1212.78</v>
      </c>
      <c r="P9538" s="18">
        <v>994.08</v>
      </c>
      <c r="Q9538" s="18">
        <v>848.95</v>
      </c>
      <c r="R9538" s="18">
        <v>695.86</v>
      </c>
      <c r="S9538" s="18">
        <v>824.69</v>
      </c>
      <c r="T9538" s="18">
        <v>675.98</v>
      </c>
      <c r="U9538" s="16"/>
      <c r="V9538" s="16"/>
      <c r="W9538" s="16"/>
      <c r="X9538" s="19">
        <v>0.34100000000000003</v>
      </c>
      <c r="Y9538" s="20">
        <v>1.9689999999999998E-3</v>
      </c>
      <c r="Z9538" s="21">
        <v>4601004320673</v>
      </c>
    </row>
    <row r="9539" spans="1:26" ht="12" customHeight="1" outlineLevel="4" x14ac:dyDescent="0.2">
      <c r="A9539" s="14" t="s">
        <v>18172</v>
      </c>
      <c r="B9539" s="26" t="s">
        <v>18173</v>
      </c>
      <c r="C9539" s="52"/>
      <c r="D9539" s="55">
        <f t="shared" si="148"/>
        <v>0</v>
      </c>
      <c r="E9539" s="63" t="str">
        <f>HYPERLINK("https://www.sds-group.ru/product/razvetvitel-dlya-shlanga-na-4-kanala-1-2-3-4-chetyre-sezona-62-0225/", "Инфо")</f>
        <v>Инфо</v>
      </c>
      <c r="F9539" s="16" t="s">
        <v>39</v>
      </c>
      <c r="G9539" s="15"/>
      <c r="H9539" s="15"/>
      <c r="I9539" s="15"/>
      <c r="J9539" s="17">
        <v>519</v>
      </c>
      <c r="K9539" s="15"/>
      <c r="L9539" s="17">
        <v>1</v>
      </c>
      <c r="M9539" s="17">
        <v>12</v>
      </c>
      <c r="N9539" s="17">
        <v>1</v>
      </c>
      <c r="O9539" s="18">
        <v>998.72</v>
      </c>
      <c r="P9539" s="18">
        <v>818.62</v>
      </c>
      <c r="Q9539" s="18">
        <v>699.1</v>
      </c>
      <c r="R9539" s="18">
        <v>573.03</v>
      </c>
      <c r="S9539" s="18">
        <v>679.13</v>
      </c>
      <c r="T9539" s="18">
        <v>556.66</v>
      </c>
      <c r="U9539" s="16"/>
      <c r="V9539" s="16"/>
      <c r="W9539" s="16"/>
      <c r="X9539" s="19">
        <v>0.26300000000000001</v>
      </c>
      <c r="Y9539" s="20">
        <v>1.611E-3</v>
      </c>
      <c r="Z9539" s="21">
        <v>4601004268630</v>
      </c>
    </row>
    <row r="9540" spans="1:26" ht="12" customHeight="1" outlineLevel="4" x14ac:dyDescent="0.2">
      <c r="A9540" s="14" t="s">
        <v>18174</v>
      </c>
      <c r="B9540" s="26" t="s">
        <v>18175</v>
      </c>
      <c r="C9540" s="52"/>
      <c r="D9540" s="55">
        <f t="shared" si="148"/>
        <v>0</v>
      </c>
      <c r="E9540" s="63" t="str">
        <f>HYPERLINK("https://www.sds-group.ru/product/raspylitel-nasadka-reguliruemyy-latunnyy-profi-chetyre-sezona-62-0311-F/", "Инфо")</f>
        <v>Инфо</v>
      </c>
      <c r="F9540" s="16" t="s">
        <v>39</v>
      </c>
      <c r="G9540" s="15"/>
      <c r="H9540" s="15"/>
      <c r="I9540" s="15"/>
      <c r="J9540" s="17">
        <v>6</v>
      </c>
      <c r="K9540" s="15"/>
      <c r="L9540" s="17">
        <v>1</v>
      </c>
      <c r="M9540" s="17">
        <v>96</v>
      </c>
      <c r="N9540" s="17">
        <v>1</v>
      </c>
      <c r="O9540" s="18">
        <v>761.47</v>
      </c>
      <c r="P9540" s="18">
        <v>624.16</v>
      </c>
      <c r="Q9540" s="18">
        <v>533.03</v>
      </c>
      <c r="R9540" s="18">
        <v>436.91</v>
      </c>
      <c r="S9540" s="18">
        <v>517.79999999999995</v>
      </c>
      <c r="T9540" s="18">
        <v>424.43</v>
      </c>
      <c r="U9540" s="16"/>
      <c r="V9540" s="16"/>
      <c r="W9540" s="16"/>
      <c r="X9540" s="19">
        <v>9.9000000000000005E-2</v>
      </c>
      <c r="Y9540" s="20">
        <v>3.2499999999999999E-4</v>
      </c>
      <c r="Z9540" s="21">
        <v>4601004320765</v>
      </c>
    </row>
    <row r="9541" spans="1:26" ht="12" customHeight="1" outlineLevel="4" x14ac:dyDescent="0.2">
      <c r="A9541" s="14" t="s">
        <v>18176</v>
      </c>
      <c r="B9541" s="26" t="s">
        <v>18177</v>
      </c>
      <c r="C9541" s="52"/>
      <c r="D9541" s="55">
        <f t="shared" si="148"/>
        <v>0</v>
      </c>
      <c r="E9541" s="63" t="str">
        <f>HYPERLINK("https://www.sds-group.ru/product/troynik-y-dlya-bystrosemnogo-soedineniya-s-termoplastichnoy-rezinoy-profi-chetyre-sezona-62-0222-3-F/", "Инфо")</f>
        <v>Инфо</v>
      </c>
      <c r="F9541" s="16" t="s">
        <v>39</v>
      </c>
      <c r="G9541" s="15"/>
      <c r="H9541" s="15"/>
      <c r="I9541" s="15"/>
      <c r="J9541" s="17">
        <v>248</v>
      </c>
      <c r="K9541" s="15"/>
      <c r="L9541" s="17">
        <v>10</v>
      </c>
      <c r="M9541" s="17">
        <v>240</v>
      </c>
      <c r="N9541" s="17">
        <v>10</v>
      </c>
      <c r="O9541" s="18">
        <v>148.4</v>
      </c>
      <c r="P9541" s="18">
        <v>121.64</v>
      </c>
      <c r="Q9541" s="18">
        <v>148.4</v>
      </c>
      <c r="R9541" s="18">
        <v>121.64</v>
      </c>
      <c r="S9541" s="18">
        <v>100.91</v>
      </c>
      <c r="T9541" s="18">
        <v>82.71</v>
      </c>
      <c r="U9541" s="16"/>
      <c r="V9541" s="16"/>
      <c r="W9541" s="16" t="s">
        <v>40</v>
      </c>
      <c r="X9541" s="19">
        <v>2.9000000000000001E-2</v>
      </c>
      <c r="Y9541" s="20">
        <v>4.2499999999999998E-4</v>
      </c>
      <c r="Z9541" s="21">
        <v>4601004320581</v>
      </c>
    </row>
    <row r="9542" spans="1:26" ht="12" customHeight="1" outlineLevel="4" x14ac:dyDescent="0.2">
      <c r="A9542" s="14" t="s">
        <v>18178</v>
      </c>
      <c r="B9542" s="26" t="s">
        <v>18179</v>
      </c>
      <c r="C9542" s="52"/>
      <c r="D9542" s="55">
        <f t="shared" si="148"/>
        <v>0</v>
      </c>
      <c r="E9542" s="63" t="str">
        <f>HYPERLINK("https://www.sds-group.ru/product/troynik-y-dlya-bystrosemnogo-soedineniya-chetyre-sezona-62-0222-3/", "Инфо")</f>
        <v>Инфо</v>
      </c>
      <c r="F9542" s="16" t="s">
        <v>39</v>
      </c>
      <c r="G9542" s="15"/>
      <c r="H9542" s="15"/>
      <c r="I9542" s="15"/>
      <c r="J9542" s="17">
        <v>387</v>
      </c>
      <c r="K9542" s="15"/>
      <c r="L9542" s="17">
        <v>10</v>
      </c>
      <c r="M9542" s="17">
        <v>240</v>
      </c>
      <c r="N9542" s="17">
        <v>10</v>
      </c>
      <c r="O9542" s="18">
        <v>77.38</v>
      </c>
      <c r="P9542" s="18">
        <v>63.43</v>
      </c>
      <c r="Q9542" s="18">
        <v>54.17</v>
      </c>
      <c r="R9542" s="18">
        <v>44.4</v>
      </c>
      <c r="S9542" s="18">
        <v>52.62</v>
      </c>
      <c r="T9542" s="18">
        <v>43.13</v>
      </c>
      <c r="U9542" s="16"/>
      <c r="V9542" s="16"/>
      <c r="W9542" s="16"/>
      <c r="X9542" s="19">
        <v>0.03</v>
      </c>
      <c r="Y9542" s="20">
        <v>2.6200000000000003E-4</v>
      </c>
      <c r="Z9542" s="21">
        <v>4601004268616</v>
      </c>
    </row>
    <row r="9543" spans="1:26" ht="12" customHeight="1" outlineLevel="4" x14ac:dyDescent="0.2">
      <c r="A9543" s="14" t="s">
        <v>18180</v>
      </c>
      <c r="B9543" s="26" t="s">
        <v>18181</v>
      </c>
      <c r="C9543" s="52"/>
      <c r="D9543" s="55">
        <f t="shared" si="148"/>
        <v>0</v>
      </c>
      <c r="E9543" s="63" t="str">
        <f>HYPERLINK("https://www.sds-group.ru/product/troynik-y-dlya-bystrosemnogo-soedineniya-latunnyy-profi-chetyre-sezona-62-0281-3-F/", "Инфо")</f>
        <v>Инфо</v>
      </c>
      <c r="F9543" s="16" t="s">
        <v>39</v>
      </c>
      <c r="G9543" s="15"/>
      <c r="H9543" s="15"/>
      <c r="I9543" s="15"/>
      <c r="J9543" s="17">
        <v>622</v>
      </c>
      <c r="K9543" s="15"/>
      <c r="L9543" s="17">
        <v>5</v>
      </c>
      <c r="M9543" s="17">
        <v>96</v>
      </c>
      <c r="N9543" s="17">
        <v>5</v>
      </c>
      <c r="O9543" s="18">
        <v>561.79999999999995</v>
      </c>
      <c r="P9543" s="18">
        <v>460.49</v>
      </c>
      <c r="Q9543" s="18">
        <v>393.26</v>
      </c>
      <c r="R9543" s="18">
        <v>322.33999999999997</v>
      </c>
      <c r="S9543" s="18">
        <v>382.02</v>
      </c>
      <c r="T9543" s="18">
        <v>313.13</v>
      </c>
      <c r="U9543" s="16"/>
      <c r="V9543" s="16"/>
      <c r="W9543" s="16" t="s">
        <v>40</v>
      </c>
      <c r="X9543" s="19">
        <v>0.111</v>
      </c>
      <c r="Y9543" s="20">
        <v>1.6000000000000001E-4</v>
      </c>
      <c r="Z9543" s="21">
        <v>4601004320611</v>
      </c>
    </row>
    <row r="9544" spans="1:26" ht="12.95" customHeight="1" outlineLevel="3" x14ac:dyDescent="0.2">
      <c r="A9544" s="76" t="s">
        <v>18182</v>
      </c>
      <c r="B9544" s="76"/>
      <c r="C9544" s="77"/>
      <c r="D9544" s="58"/>
      <c r="E9544" s="68"/>
      <c r="F9544" s="13"/>
      <c r="G9544" s="13"/>
      <c r="H9544" s="13"/>
      <c r="I9544" s="13"/>
      <c r="J9544" s="13"/>
      <c r="K9544" s="13"/>
      <c r="L9544" s="13"/>
      <c r="M9544" s="13"/>
      <c r="N9544" s="13"/>
      <c r="O9544" s="13"/>
      <c r="P9544" s="13"/>
      <c r="Q9544" s="13"/>
      <c r="R9544" s="13"/>
      <c r="S9544" s="13"/>
      <c r="T9544" s="13"/>
      <c r="U9544" s="13"/>
      <c r="V9544" s="13"/>
      <c r="W9544" s="13"/>
      <c r="X9544" s="13"/>
      <c r="Y9544" s="13"/>
      <c r="Z9544" s="13"/>
    </row>
    <row r="9545" spans="1:26" ht="12" customHeight="1" outlineLevel="4" x14ac:dyDescent="0.2">
      <c r="A9545" s="14" t="s">
        <v>18183</v>
      </c>
      <c r="B9545" s="26" t="s">
        <v>18184</v>
      </c>
      <c r="C9545" s="52"/>
      <c r="D9545" s="55">
        <f t="shared" ref="D9545:D9606" si="149">C9545*(O9545-O9545*$G$3)</f>
        <v>0</v>
      </c>
      <c r="E9545" s="63" t="str">
        <f>HYPERLINK("https://www.sds-group.ru/product/dozhdevatel-dlya-poliva-krugovoy-100m-8-rezhimov-chetyre-sezona-62-0257/", "Инфо")</f>
        <v>Инфо</v>
      </c>
      <c r="F9545" s="16" t="s">
        <v>39</v>
      </c>
      <c r="G9545" s="15"/>
      <c r="H9545" s="15"/>
      <c r="I9545" s="15"/>
      <c r="J9545" s="17">
        <v>124</v>
      </c>
      <c r="K9545" s="15"/>
      <c r="L9545" s="17">
        <v>1</v>
      </c>
      <c r="M9545" s="17">
        <v>12</v>
      </c>
      <c r="N9545" s="17">
        <v>1</v>
      </c>
      <c r="O9545" s="18">
        <v>519.4</v>
      </c>
      <c r="P9545" s="18">
        <v>425.74</v>
      </c>
      <c r="Q9545" s="18">
        <v>363.58</v>
      </c>
      <c r="R9545" s="18">
        <v>298.02</v>
      </c>
      <c r="S9545" s="18">
        <v>353.19</v>
      </c>
      <c r="T9545" s="18">
        <v>289.5</v>
      </c>
      <c r="U9545" s="16"/>
      <c r="V9545" s="16"/>
      <c r="W9545" s="16"/>
      <c r="X9545" s="19">
        <v>0.20399999999999999</v>
      </c>
      <c r="Y9545" s="20">
        <v>2.3319999999999999E-3</v>
      </c>
      <c r="Z9545" s="21">
        <v>4601004268708</v>
      </c>
    </row>
    <row r="9546" spans="1:26" ht="12" customHeight="1" outlineLevel="4" x14ac:dyDescent="0.2">
      <c r="A9546" s="14" t="s">
        <v>18185</v>
      </c>
      <c r="B9546" s="26" t="s">
        <v>18186</v>
      </c>
      <c r="C9546" s="52"/>
      <c r="D9546" s="55">
        <f t="shared" si="149"/>
        <v>0</v>
      </c>
      <c r="E9546" s="63" t="str">
        <f>HYPERLINK("https://www.sds-group.ru/product/dozhdevatel-dlya-poliva-krugovoy-154m-chetyre-sezona-62-0254/", "Инфо")</f>
        <v>Инфо</v>
      </c>
      <c r="F9546" s="16" t="s">
        <v>39</v>
      </c>
      <c r="G9546" s="15"/>
      <c r="H9546" s="15"/>
      <c r="I9546" s="15"/>
      <c r="J9546" s="17">
        <v>283</v>
      </c>
      <c r="K9546" s="15"/>
      <c r="L9546" s="17">
        <v>5</v>
      </c>
      <c r="M9546" s="17">
        <v>100</v>
      </c>
      <c r="N9546" s="17">
        <v>5</v>
      </c>
      <c r="O9546" s="18">
        <v>296.8</v>
      </c>
      <c r="P9546" s="18">
        <v>243.28</v>
      </c>
      <c r="Q9546" s="18">
        <v>252.28</v>
      </c>
      <c r="R9546" s="18">
        <v>206.79</v>
      </c>
      <c r="S9546" s="18">
        <v>201.82</v>
      </c>
      <c r="T9546" s="18">
        <v>165.43</v>
      </c>
      <c r="U9546" s="16"/>
      <c r="V9546" s="16"/>
      <c r="W9546" s="16" t="s">
        <v>40</v>
      </c>
      <c r="X9546" s="19">
        <v>9.6000000000000002E-2</v>
      </c>
      <c r="Y9546" s="20">
        <v>1.351E-3</v>
      </c>
      <c r="Z9546" s="21">
        <v>4601004268685</v>
      </c>
    </row>
    <row r="9547" spans="1:26" ht="12" customHeight="1" outlineLevel="4" x14ac:dyDescent="0.2">
      <c r="A9547" s="14" t="s">
        <v>18187</v>
      </c>
      <c r="B9547" s="26" t="s">
        <v>18188</v>
      </c>
      <c r="C9547" s="52"/>
      <c r="D9547" s="55">
        <f t="shared" si="149"/>
        <v>0</v>
      </c>
      <c r="E9547" s="63" t="str">
        <f>HYPERLINK("https://www.sds-group.ru/product/dozhdevatel-dlya-poliva-krugovoy-s-regulirovkoy-ugla-poliva-po-gorizontu-profi-chetyre-sez-62-0312-F/", "Инфо")</f>
        <v>Инфо</v>
      </c>
      <c r="F9547" s="16" t="s">
        <v>39</v>
      </c>
      <c r="G9547" s="15"/>
      <c r="H9547" s="15"/>
      <c r="I9547" s="15"/>
      <c r="J9547" s="17">
        <v>329</v>
      </c>
      <c r="K9547" s="15"/>
      <c r="L9547" s="17">
        <v>1</v>
      </c>
      <c r="M9547" s="17">
        <v>12</v>
      </c>
      <c r="N9547" s="17">
        <v>1</v>
      </c>
      <c r="O9547" s="18">
        <v>2289.7199999999998</v>
      </c>
      <c r="P9547" s="18">
        <v>1876.82</v>
      </c>
      <c r="Q9547" s="18">
        <v>1602.8</v>
      </c>
      <c r="R9547" s="18">
        <v>1313.77</v>
      </c>
      <c r="S9547" s="18">
        <v>1557.01</v>
      </c>
      <c r="T9547" s="18">
        <v>1276.24</v>
      </c>
      <c r="U9547" s="16"/>
      <c r="V9547" s="16"/>
      <c r="W9547" s="16" t="s">
        <v>40</v>
      </c>
      <c r="X9547" s="19">
        <v>0.69699999999999995</v>
      </c>
      <c r="Y9547" s="20">
        <v>6.11E-3</v>
      </c>
      <c r="Z9547" s="21">
        <v>4601004320840</v>
      </c>
    </row>
    <row r="9548" spans="1:26" ht="12" customHeight="1" outlineLevel="4" x14ac:dyDescent="0.2">
      <c r="A9548" s="14" t="s">
        <v>18189</v>
      </c>
      <c r="B9548" s="26" t="s">
        <v>18190</v>
      </c>
      <c r="C9548" s="52"/>
      <c r="D9548" s="55">
        <f t="shared" si="149"/>
        <v>0</v>
      </c>
      <c r="E9548" s="63" t="str">
        <f>HYPERLINK("https://www.sds-group.ru/product/dozhdevatel-dlya-poliva-krugovoy-9-rezhimov-profi-chetyre-sezona-62-0323-F/", "Инфо")</f>
        <v>Инфо</v>
      </c>
      <c r="F9548" s="16" t="s">
        <v>39</v>
      </c>
      <c r="G9548" s="15"/>
      <c r="H9548" s="15"/>
      <c r="I9548" s="15"/>
      <c r="J9548" s="17">
        <v>883</v>
      </c>
      <c r="K9548" s="15"/>
      <c r="L9548" s="17">
        <v>1</v>
      </c>
      <c r="M9548" s="17">
        <v>48</v>
      </c>
      <c r="N9548" s="17">
        <v>1</v>
      </c>
      <c r="O9548" s="18">
        <v>519.4</v>
      </c>
      <c r="P9548" s="18">
        <v>425.74</v>
      </c>
      <c r="Q9548" s="18">
        <v>363.58</v>
      </c>
      <c r="R9548" s="18">
        <v>298.02</v>
      </c>
      <c r="S9548" s="18">
        <v>353.19</v>
      </c>
      <c r="T9548" s="18">
        <v>289.5</v>
      </c>
      <c r="U9548" s="16"/>
      <c r="V9548" s="16"/>
      <c r="W9548" s="16" t="s">
        <v>40</v>
      </c>
      <c r="X9548" s="19">
        <v>0.23599999999999999</v>
      </c>
      <c r="Y9548" s="20">
        <v>2.251E-3</v>
      </c>
      <c r="Z9548" s="21">
        <v>4601004320789</v>
      </c>
    </row>
    <row r="9549" spans="1:26" ht="12" customHeight="1" outlineLevel="4" x14ac:dyDescent="0.2">
      <c r="A9549" s="14" t="s">
        <v>18191</v>
      </c>
      <c r="B9549" s="26" t="s">
        <v>18192</v>
      </c>
      <c r="C9549" s="52"/>
      <c r="D9549" s="55">
        <f t="shared" si="149"/>
        <v>0</v>
      </c>
      <c r="E9549" s="63" t="str">
        <f>HYPERLINK("https://www.sds-group.ru/product/dozhdevatel-dlya-poliva-na-kolesah-krugovoy-reguliruemyy-chetyre-sezona-62-0295/", "Инфо")</f>
        <v>Инфо</v>
      </c>
      <c r="F9549" s="16" t="s">
        <v>39</v>
      </c>
      <c r="G9549" s="15"/>
      <c r="H9549" s="15"/>
      <c r="I9549" s="15"/>
      <c r="J9549" s="17">
        <v>508</v>
      </c>
      <c r="K9549" s="15"/>
      <c r="L9549" s="17">
        <v>1</v>
      </c>
      <c r="M9549" s="17">
        <v>72</v>
      </c>
      <c r="N9549" s="17">
        <v>1</v>
      </c>
      <c r="O9549" s="18">
        <v>464.74</v>
      </c>
      <c r="P9549" s="18">
        <v>380.93</v>
      </c>
      <c r="Q9549" s="18">
        <v>325.32</v>
      </c>
      <c r="R9549" s="18">
        <v>266.66000000000003</v>
      </c>
      <c r="S9549" s="18">
        <v>316.02</v>
      </c>
      <c r="T9549" s="18">
        <v>259.02999999999997</v>
      </c>
      <c r="U9549" s="16"/>
      <c r="V9549" s="16"/>
      <c r="W9549" s="16" t="s">
        <v>40</v>
      </c>
      <c r="X9549" s="19">
        <v>0.157</v>
      </c>
      <c r="Y9549" s="20">
        <v>2.2079999999999999E-3</v>
      </c>
      <c r="Z9549" s="21">
        <v>4601004291522</v>
      </c>
    </row>
    <row r="9550" spans="1:26" ht="12" customHeight="1" outlineLevel="4" x14ac:dyDescent="0.2">
      <c r="A9550" s="14" t="s">
        <v>18193</v>
      </c>
      <c r="B9550" s="26" t="s">
        <v>18194</v>
      </c>
      <c r="C9550" s="52"/>
      <c r="D9550" s="55">
        <f t="shared" si="149"/>
        <v>0</v>
      </c>
      <c r="E9550" s="63" t="str">
        <f>HYPERLINK("https://www.sds-group.ru/product/dozhdevatel-dlya-poliva-ostsilliruyuschiy-190m-chetyre-sezona-62-0256/", "Инфо")</f>
        <v>Инфо</v>
      </c>
      <c r="F9550" s="16" t="s">
        <v>39</v>
      </c>
      <c r="G9550" s="15"/>
      <c r="H9550" s="15"/>
      <c r="I9550" s="15"/>
      <c r="J9550" s="17">
        <v>213</v>
      </c>
      <c r="K9550" s="15"/>
      <c r="L9550" s="17">
        <v>1</v>
      </c>
      <c r="M9550" s="17">
        <v>6</v>
      </c>
      <c r="N9550" s="17">
        <v>1</v>
      </c>
      <c r="O9550" s="18">
        <v>1500.6</v>
      </c>
      <c r="P9550" s="18">
        <v>1230</v>
      </c>
      <c r="Q9550" s="18">
        <v>1050.42</v>
      </c>
      <c r="R9550" s="18">
        <v>861</v>
      </c>
      <c r="S9550" s="18">
        <v>1020.41</v>
      </c>
      <c r="T9550" s="18">
        <v>836.4</v>
      </c>
      <c r="U9550" s="16"/>
      <c r="V9550" s="16"/>
      <c r="W9550" s="16"/>
      <c r="X9550" s="19">
        <v>0.43</v>
      </c>
      <c r="Y9550" s="20">
        <v>5.0289999999999996E-3</v>
      </c>
      <c r="Z9550" s="21">
        <v>4601004268739</v>
      </c>
    </row>
    <row r="9551" spans="1:26" ht="12" customHeight="1" outlineLevel="4" x14ac:dyDescent="0.2">
      <c r="A9551" s="32" t="s">
        <v>18195</v>
      </c>
      <c r="B9551" s="74" t="s">
        <v>18196</v>
      </c>
      <c r="C9551" s="50"/>
      <c r="D9551" s="53">
        <f t="shared" si="149"/>
        <v>0</v>
      </c>
      <c r="E9551" s="60" t="str">
        <f>HYPERLINK("https://www.sds-group.ru/product/dozhdevatel-koltsevogo-tipa-plastikovyy-chetyre-sezona-62-0289/", "Инфо")</f>
        <v>Инфо</v>
      </c>
      <c r="F9551" s="34" t="s">
        <v>39</v>
      </c>
      <c r="G9551" s="33"/>
      <c r="H9551" s="33" t="s">
        <v>40</v>
      </c>
      <c r="I9551" s="33"/>
      <c r="J9551" s="35">
        <v>370</v>
      </c>
      <c r="K9551" s="33"/>
      <c r="L9551" s="35">
        <v>5</v>
      </c>
      <c r="M9551" s="35">
        <v>12</v>
      </c>
      <c r="N9551" s="35">
        <v>5</v>
      </c>
      <c r="O9551" s="36">
        <v>275.60000000000002</v>
      </c>
      <c r="P9551" s="36">
        <v>225.9</v>
      </c>
      <c r="Q9551" s="36">
        <v>220.48</v>
      </c>
      <c r="R9551" s="36">
        <v>180.72</v>
      </c>
      <c r="S9551" s="36">
        <v>187.41</v>
      </c>
      <c r="T9551" s="36">
        <v>153.61000000000001</v>
      </c>
      <c r="U9551" s="34"/>
      <c r="V9551" s="34"/>
      <c r="W9551" s="34" t="s">
        <v>40</v>
      </c>
      <c r="X9551" s="37">
        <v>0.20399999999999999</v>
      </c>
      <c r="Y9551" s="38">
        <v>2.4810000000000001E-3</v>
      </c>
      <c r="Z9551" s="21">
        <v>4601004291546</v>
      </c>
    </row>
    <row r="9552" spans="1:26" ht="12" customHeight="1" outlineLevel="4" x14ac:dyDescent="0.2">
      <c r="A9552" s="14" t="s">
        <v>18197</v>
      </c>
      <c r="B9552" s="26" t="s">
        <v>18198</v>
      </c>
      <c r="C9552" s="52"/>
      <c r="D9552" s="55">
        <f t="shared" si="149"/>
        <v>0</v>
      </c>
      <c r="E9552" s="63" t="str">
        <f>HYPERLINK("https://www.sds-group.ru/product/dozhdevatel-latunnyy-impulsnyy-na-metallicheskoy-podstavke-profi-chetyre-sezona-62-0314-F/", "Инфо")</f>
        <v>Инфо</v>
      </c>
      <c r="F9552" s="16" t="s">
        <v>39</v>
      </c>
      <c r="G9552" s="15"/>
      <c r="H9552" s="15"/>
      <c r="I9552" s="15"/>
      <c r="J9552" s="17">
        <v>35</v>
      </c>
      <c r="K9552" s="15"/>
      <c r="L9552" s="17">
        <v>1</v>
      </c>
      <c r="M9552" s="17">
        <v>12</v>
      </c>
      <c r="N9552" s="17">
        <v>1</v>
      </c>
      <c r="O9552" s="18">
        <v>2226</v>
      </c>
      <c r="P9552" s="18">
        <v>1824.59</v>
      </c>
      <c r="Q9552" s="18">
        <v>1558.2</v>
      </c>
      <c r="R9552" s="18">
        <v>1277.21</v>
      </c>
      <c r="S9552" s="18">
        <v>1513.68</v>
      </c>
      <c r="T9552" s="18">
        <v>1240.72</v>
      </c>
      <c r="U9552" s="16"/>
      <c r="V9552" s="16"/>
      <c r="W9552" s="16"/>
      <c r="X9552" s="19">
        <v>0.72599999999999998</v>
      </c>
      <c r="Y9552" s="20">
        <v>4.9379999999999997E-3</v>
      </c>
      <c r="Z9552" s="21">
        <v>4601004320864</v>
      </c>
    </row>
    <row r="9553" spans="1:26" ht="12" customHeight="1" outlineLevel="4" x14ac:dyDescent="0.2">
      <c r="A9553" s="14" t="s">
        <v>18199</v>
      </c>
      <c r="B9553" s="26" t="s">
        <v>18200</v>
      </c>
      <c r="C9553" s="52"/>
      <c r="D9553" s="55">
        <f t="shared" si="149"/>
        <v>0</v>
      </c>
      <c r="E9553" s="63" t="str">
        <f>HYPERLINK("https://www.sds-group.ru/product/dozhdevatel-mini-chetyre-sezona-62-0290/", "Инфо")</f>
        <v>Инфо</v>
      </c>
      <c r="F9553" s="16" t="s">
        <v>39</v>
      </c>
      <c r="G9553" s="15"/>
      <c r="H9553" s="15"/>
      <c r="I9553" s="15"/>
      <c r="J9553" s="17">
        <v>52</v>
      </c>
      <c r="K9553" s="15"/>
      <c r="L9553" s="17">
        <v>10</v>
      </c>
      <c r="M9553" s="17">
        <v>120</v>
      </c>
      <c r="N9553" s="17">
        <v>10</v>
      </c>
      <c r="O9553" s="18">
        <v>201.4</v>
      </c>
      <c r="P9553" s="18">
        <v>165.08</v>
      </c>
      <c r="Q9553" s="18">
        <v>171.19</v>
      </c>
      <c r="R9553" s="18">
        <v>140.32</v>
      </c>
      <c r="S9553" s="18">
        <v>136.94999999999999</v>
      </c>
      <c r="T9553" s="18">
        <v>112.25</v>
      </c>
      <c r="U9553" s="16"/>
      <c r="V9553" s="16"/>
      <c r="W9553" s="16" t="s">
        <v>40</v>
      </c>
      <c r="X9553" s="19">
        <v>0.08</v>
      </c>
      <c r="Y9553" s="20">
        <v>6.11E-4</v>
      </c>
      <c r="Z9553" s="21">
        <v>4601004291454</v>
      </c>
    </row>
    <row r="9554" spans="1:26" ht="12" customHeight="1" outlineLevel="4" x14ac:dyDescent="0.2">
      <c r="A9554" s="14" t="s">
        <v>18201</v>
      </c>
      <c r="B9554" s="26" t="s">
        <v>18202</v>
      </c>
      <c r="C9554" s="52"/>
      <c r="D9554" s="55">
        <f t="shared" si="149"/>
        <v>0</v>
      </c>
      <c r="E9554" s="63" t="str">
        <f>HYPERLINK("https://www.sds-group.ru/product/dozhdevatel-ostsilliruyuschiy-dlya-pryamougolnyh-ploschadey-chetyre-sezona-62-0291/", "Инфо")</f>
        <v>Инфо</v>
      </c>
      <c r="F9554" s="16" t="s">
        <v>39</v>
      </c>
      <c r="G9554" s="15"/>
      <c r="H9554" s="15"/>
      <c r="I9554" s="15"/>
      <c r="J9554" s="17">
        <v>2</v>
      </c>
      <c r="K9554" s="15"/>
      <c r="L9554" s="17">
        <v>1</v>
      </c>
      <c r="M9554" s="17">
        <v>6</v>
      </c>
      <c r="N9554" s="17">
        <v>1</v>
      </c>
      <c r="O9554" s="18">
        <v>1908</v>
      </c>
      <c r="P9554" s="18">
        <v>1563.93</v>
      </c>
      <c r="Q9554" s="18">
        <v>1335.6</v>
      </c>
      <c r="R9554" s="18">
        <v>1094.75</v>
      </c>
      <c r="S9554" s="18">
        <v>1297.44</v>
      </c>
      <c r="T9554" s="18">
        <v>1063.48</v>
      </c>
      <c r="U9554" s="16"/>
      <c r="V9554" s="16"/>
      <c r="W9554" s="16"/>
      <c r="X9554" s="19">
        <v>0.72099999999999997</v>
      </c>
      <c r="Y9554" s="20">
        <v>9.9369999999999997E-3</v>
      </c>
      <c r="Z9554" s="21">
        <v>4601004291492</v>
      </c>
    </row>
    <row r="9555" spans="1:26" ht="12" customHeight="1" outlineLevel="4" x14ac:dyDescent="0.2">
      <c r="A9555" s="14" t="s">
        <v>18203</v>
      </c>
      <c r="B9555" s="26" t="s">
        <v>18204</v>
      </c>
      <c r="C9555" s="52"/>
      <c r="D9555" s="55">
        <f t="shared" si="149"/>
        <v>0</v>
      </c>
      <c r="E9555" s="63" t="str">
        <f>HYPERLINK("https://www.sds-group.ru/product/dozhdevatel-ostsilliruyuschiy-universalnyy-21-otverstie-chetyre-sezona-62-0292/", "Инфо")</f>
        <v>Инфо</v>
      </c>
      <c r="F9555" s="16" t="s">
        <v>39</v>
      </c>
      <c r="G9555" s="15"/>
      <c r="H9555" s="15"/>
      <c r="I9555" s="15"/>
      <c r="J9555" s="16" t="s">
        <v>100</v>
      </c>
      <c r="K9555" s="15"/>
      <c r="L9555" s="17">
        <v>1</v>
      </c>
      <c r="M9555" s="17">
        <v>12</v>
      </c>
      <c r="N9555" s="17">
        <v>1</v>
      </c>
      <c r="O9555" s="18">
        <v>2650</v>
      </c>
      <c r="P9555" s="18">
        <v>2172.13</v>
      </c>
      <c r="Q9555" s="18">
        <v>1855</v>
      </c>
      <c r="R9555" s="18">
        <v>1520.49</v>
      </c>
      <c r="S9555" s="18">
        <v>1802</v>
      </c>
      <c r="T9555" s="18">
        <v>1477.05</v>
      </c>
      <c r="U9555" s="16"/>
      <c r="V9555" s="16"/>
      <c r="W9555" s="16"/>
      <c r="X9555" s="19">
        <v>0.80600000000000005</v>
      </c>
      <c r="Y9555" s="20">
        <v>9.044E-3</v>
      </c>
      <c r="Z9555" s="21">
        <v>4601004291508</v>
      </c>
    </row>
    <row r="9556" spans="1:26" ht="12" customHeight="1" outlineLevel="4" x14ac:dyDescent="0.2">
      <c r="A9556" s="14" t="s">
        <v>18205</v>
      </c>
      <c r="B9556" s="26" t="s">
        <v>18206</v>
      </c>
      <c r="C9556" s="52"/>
      <c r="D9556" s="55">
        <f t="shared" si="149"/>
        <v>0</v>
      </c>
      <c r="E9556" s="63" t="str">
        <f>HYPERLINK("https://www.sds-group.ru/product/dozhdevatel-s-sadovym-fonarikom-rabotaet-ot-davleniya-vody-chetyre-sezona-62-0301/", "Инфо")</f>
        <v>Инфо</v>
      </c>
      <c r="F9556" s="16" t="s">
        <v>39</v>
      </c>
      <c r="G9556" s="15"/>
      <c r="H9556" s="15"/>
      <c r="I9556" s="15"/>
      <c r="J9556" s="17">
        <v>61</v>
      </c>
      <c r="K9556" s="15"/>
      <c r="L9556" s="17">
        <v>1</v>
      </c>
      <c r="M9556" s="17">
        <v>12</v>
      </c>
      <c r="N9556" s="17">
        <v>1</v>
      </c>
      <c r="O9556" s="18">
        <v>943.4</v>
      </c>
      <c r="P9556" s="18">
        <v>773.28</v>
      </c>
      <c r="Q9556" s="18">
        <v>660.38</v>
      </c>
      <c r="R9556" s="18">
        <v>541.29999999999995</v>
      </c>
      <c r="S9556" s="18">
        <v>641.51</v>
      </c>
      <c r="T9556" s="18">
        <v>525.83000000000004</v>
      </c>
      <c r="U9556" s="16"/>
      <c r="V9556" s="16"/>
      <c r="W9556" s="16" t="s">
        <v>40</v>
      </c>
      <c r="X9556" s="19">
        <v>0.219</v>
      </c>
      <c r="Y9556" s="20">
        <v>2.1220000000000002E-3</v>
      </c>
      <c r="Z9556" s="21">
        <v>4601004320857</v>
      </c>
    </row>
    <row r="9557" spans="1:26" ht="12" customHeight="1" outlineLevel="4" x14ac:dyDescent="0.2">
      <c r="A9557" s="14" t="s">
        <v>18207</v>
      </c>
      <c r="B9557" s="26" t="s">
        <v>18208</v>
      </c>
      <c r="C9557" s="52"/>
      <c r="D9557" s="55">
        <f t="shared" si="149"/>
        <v>0</v>
      </c>
      <c r="E9557" s="63" t="str">
        <f>HYPERLINK("https://www.sds-group.ru/product/komplekt-dlya-kapelnogo-poliva-3h4-metra-ploschad-chetyre-sezona-62-0265/", "Инфо")</f>
        <v>Инфо</v>
      </c>
      <c r="F9557" s="16" t="s">
        <v>39</v>
      </c>
      <c r="G9557" s="15"/>
      <c r="H9557" s="15"/>
      <c r="I9557" s="15"/>
      <c r="J9557" s="17">
        <v>172</v>
      </c>
      <c r="K9557" s="15"/>
      <c r="L9557" s="17">
        <v>1</v>
      </c>
      <c r="M9557" s="17">
        <v>12</v>
      </c>
      <c r="N9557" s="17">
        <v>1</v>
      </c>
      <c r="O9557" s="18">
        <v>1219</v>
      </c>
      <c r="P9557" s="18">
        <v>999.18</v>
      </c>
      <c r="Q9557" s="18">
        <v>963.01</v>
      </c>
      <c r="R9557" s="18">
        <v>789.35</v>
      </c>
      <c r="S9557" s="18">
        <v>828.92</v>
      </c>
      <c r="T9557" s="18">
        <v>679.44</v>
      </c>
      <c r="U9557" s="16"/>
      <c r="V9557" s="16"/>
      <c r="W9557" s="16" t="s">
        <v>40</v>
      </c>
      <c r="X9557" s="19">
        <v>0.68300000000000005</v>
      </c>
      <c r="Y9557" s="20">
        <v>4.7369999999999999E-3</v>
      </c>
      <c r="Z9557" s="21">
        <v>4601004268791</v>
      </c>
    </row>
    <row r="9558" spans="1:26" ht="12" customHeight="1" outlineLevel="4" x14ac:dyDescent="0.2">
      <c r="A9558" s="14" t="s">
        <v>18209</v>
      </c>
      <c r="B9558" s="26" t="s">
        <v>18210</v>
      </c>
      <c r="C9558" s="52"/>
      <c r="D9558" s="55">
        <f t="shared" si="149"/>
        <v>0</v>
      </c>
      <c r="E9558" s="63" t="str">
        <f>HYPERLINK("https://www.sds-group.ru/product/komplekt-dlya-kapelnogo-poliva-ploschadi-4h5m-profi-chetyre-sezona-62-0313-F/", "Инфо")</f>
        <v>Инфо</v>
      </c>
      <c r="F9558" s="16" t="s">
        <v>39</v>
      </c>
      <c r="G9558" s="15"/>
      <c r="H9558" s="15"/>
      <c r="I9558" s="15"/>
      <c r="J9558" s="17">
        <v>186</v>
      </c>
      <c r="K9558" s="15"/>
      <c r="L9558" s="17">
        <v>1</v>
      </c>
      <c r="M9558" s="17">
        <v>12</v>
      </c>
      <c r="N9558" s="17">
        <v>1</v>
      </c>
      <c r="O9558" s="18">
        <v>2014</v>
      </c>
      <c r="P9558" s="18">
        <v>1650.82</v>
      </c>
      <c r="Q9558" s="18">
        <v>1409.8</v>
      </c>
      <c r="R9558" s="18">
        <v>1155.57</v>
      </c>
      <c r="S9558" s="18">
        <v>1369.52</v>
      </c>
      <c r="T9558" s="18">
        <v>1122.56</v>
      </c>
      <c r="U9558" s="16"/>
      <c r="V9558" s="16"/>
      <c r="W9558" s="16" t="s">
        <v>40</v>
      </c>
      <c r="X9558" s="19">
        <v>1.026</v>
      </c>
      <c r="Y9558" s="20">
        <v>5.5149999999999999E-3</v>
      </c>
      <c r="Z9558" s="21">
        <v>4601004320871</v>
      </c>
    </row>
    <row r="9559" spans="1:26" ht="12" customHeight="1" outlineLevel="4" x14ac:dyDescent="0.2">
      <c r="A9559" s="14" t="s">
        <v>18211</v>
      </c>
      <c r="B9559" s="26" t="s">
        <v>18212</v>
      </c>
      <c r="C9559" s="52"/>
      <c r="D9559" s="55">
        <f t="shared" si="149"/>
        <v>0</v>
      </c>
      <c r="E9559" s="63" t="str">
        <f>HYPERLINK("https://www.sds-group.ru/product/pistolet-dlya-poliva-2-rezhima-chetyre-sezona-62-0252/", "Инфо")</f>
        <v>Инфо</v>
      </c>
      <c r="F9559" s="16" t="s">
        <v>39</v>
      </c>
      <c r="G9559" s="15"/>
      <c r="H9559" s="15"/>
      <c r="I9559" s="15"/>
      <c r="J9559" s="17">
        <v>68</v>
      </c>
      <c r="K9559" s="15"/>
      <c r="L9559" s="17">
        <v>1</v>
      </c>
      <c r="M9559" s="17">
        <v>96</v>
      </c>
      <c r="N9559" s="17">
        <v>1</v>
      </c>
      <c r="O9559" s="18">
        <v>493.74</v>
      </c>
      <c r="P9559" s="18">
        <v>404.7</v>
      </c>
      <c r="Q9559" s="18">
        <v>345.62</v>
      </c>
      <c r="R9559" s="18">
        <v>283.3</v>
      </c>
      <c r="S9559" s="18">
        <v>335.74</v>
      </c>
      <c r="T9559" s="18">
        <v>275.2</v>
      </c>
      <c r="U9559" s="16"/>
      <c r="V9559" s="16"/>
      <c r="W9559" s="16" t="s">
        <v>40</v>
      </c>
      <c r="X9559" s="19">
        <v>0.19600000000000001</v>
      </c>
      <c r="Y9559" s="20">
        <v>1.32E-3</v>
      </c>
      <c r="Z9559" s="21">
        <v>4601004268661</v>
      </c>
    </row>
    <row r="9560" spans="1:26" ht="12" customHeight="1" outlineLevel="4" x14ac:dyDescent="0.2">
      <c r="A9560" s="14" t="s">
        <v>18213</v>
      </c>
      <c r="B9560" s="26" t="s">
        <v>18214</v>
      </c>
      <c r="C9560" s="52"/>
      <c r="D9560" s="55">
        <f t="shared" si="149"/>
        <v>0</v>
      </c>
      <c r="E9560" s="63" t="str">
        <f>HYPERLINK("https://www.sds-group.ru/product/pistolet-leyka-i-konnektory-3-4-chetyre-sezona-62-0251/", "Инфо")</f>
        <v>Инфо</v>
      </c>
      <c r="F9560" s="16" t="s">
        <v>39</v>
      </c>
      <c r="G9560" s="15"/>
      <c r="H9560" s="15"/>
      <c r="I9560" s="15"/>
      <c r="J9560" s="17">
        <v>85</v>
      </c>
      <c r="K9560" s="15"/>
      <c r="L9560" s="17">
        <v>1</v>
      </c>
      <c r="M9560" s="17">
        <v>48</v>
      </c>
      <c r="N9560" s="17">
        <v>1</v>
      </c>
      <c r="O9560" s="18">
        <v>674.84</v>
      </c>
      <c r="P9560" s="18">
        <v>553.15</v>
      </c>
      <c r="Q9560" s="18">
        <v>472.39</v>
      </c>
      <c r="R9560" s="18">
        <v>387.2</v>
      </c>
      <c r="S9560" s="18">
        <v>458.89</v>
      </c>
      <c r="T9560" s="18">
        <v>376.14</v>
      </c>
      <c r="U9560" s="16"/>
      <c r="V9560" s="16"/>
      <c r="W9560" s="16"/>
      <c r="X9560" s="19">
        <v>0.318</v>
      </c>
      <c r="Y9560" s="20">
        <v>2.091E-3</v>
      </c>
      <c r="Z9560" s="21">
        <v>4601004268654</v>
      </c>
    </row>
    <row r="9561" spans="1:26" ht="12" customHeight="1" outlineLevel="4" x14ac:dyDescent="0.2">
      <c r="A9561" s="14" t="s">
        <v>18215</v>
      </c>
      <c r="B9561" s="26" t="s">
        <v>18216</v>
      </c>
      <c r="C9561" s="52"/>
      <c r="D9561" s="55">
        <f t="shared" si="149"/>
        <v>0</v>
      </c>
      <c r="E9561" s="63" t="str">
        <f>HYPERLINK("https://www.sds-group.ru/product/pistolet-raspylitel-dlya-poliva-10-rezhimov-chetyre-sezona-62-0250/", "Инфо")</f>
        <v>Инфо</v>
      </c>
      <c r="F9561" s="16" t="s">
        <v>39</v>
      </c>
      <c r="G9561" s="15"/>
      <c r="H9561" s="15"/>
      <c r="I9561" s="15"/>
      <c r="J9561" s="17">
        <v>420</v>
      </c>
      <c r="K9561" s="15"/>
      <c r="L9561" s="17">
        <v>1</v>
      </c>
      <c r="M9561" s="17">
        <v>48</v>
      </c>
      <c r="N9561" s="17">
        <v>1</v>
      </c>
      <c r="O9561" s="18">
        <v>517.45000000000005</v>
      </c>
      <c r="P9561" s="18">
        <v>424.14</v>
      </c>
      <c r="Q9561" s="18">
        <v>413.96</v>
      </c>
      <c r="R9561" s="18">
        <v>339.31</v>
      </c>
      <c r="S9561" s="18">
        <v>351.87</v>
      </c>
      <c r="T9561" s="18">
        <v>288.42</v>
      </c>
      <c r="U9561" s="16"/>
      <c r="V9561" s="16"/>
      <c r="W9561" s="16" t="s">
        <v>40</v>
      </c>
      <c r="X9561" s="19">
        <v>0.22600000000000001</v>
      </c>
      <c r="Y9561" s="20">
        <v>1.8580000000000001E-3</v>
      </c>
      <c r="Z9561" s="21">
        <v>4601004268647</v>
      </c>
    </row>
    <row r="9562" spans="1:26" ht="12" customHeight="1" outlineLevel="4" x14ac:dyDescent="0.2">
      <c r="A9562" s="14" t="s">
        <v>18217</v>
      </c>
      <c r="B9562" s="26" t="s">
        <v>18218</v>
      </c>
      <c r="C9562" s="52"/>
      <c r="D9562" s="55">
        <f t="shared" si="149"/>
        <v>0</v>
      </c>
      <c r="E9562" s="63" t="str">
        <f>HYPERLINK("https://www.sds-group.ru/product/pistolet-raspylitel-dushevogo-tipa-carbon-6-rezhimov-profi-chetyre-sezona-62-0325-F/", "Инфо")</f>
        <v>Инфо</v>
      </c>
      <c r="F9562" s="16" t="s">
        <v>39</v>
      </c>
      <c r="G9562" s="15"/>
      <c r="H9562" s="15"/>
      <c r="I9562" s="15"/>
      <c r="J9562" s="17">
        <v>396</v>
      </c>
      <c r="K9562" s="15"/>
      <c r="L9562" s="17">
        <v>1</v>
      </c>
      <c r="M9562" s="17">
        <v>24</v>
      </c>
      <c r="N9562" s="17">
        <v>1</v>
      </c>
      <c r="O9562" s="18">
        <v>1780.74</v>
      </c>
      <c r="P9562" s="18">
        <v>1459.62</v>
      </c>
      <c r="Q9562" s="18">
        <v>1246.52</v>
      </c>
      <c r="R9562" s="18">
        <v>1021.74</v>
      </c>
      <c r="S9562" s="18">
        <v>1210.9000000000001</v>
      </c>
      <c r="T9562" s="18">
        <v>992.54</v>
      </c>
      <c r="U9562" s="16"/>
      <c r="V9562" s="16"/>
      <c r="W9562" s="16" t="s">
        <v>40</v>
      </c>
      <c r="X9562" s="19">
        <v>0.34599999999999997</v>
      </c>
      <c r="Y9562" s="20">
        <v>3.4600000000000001E-4</v>
      </c>
      <c r="Z9562" s="21">
        <v>4601004320741</v>
      </c>
    </row>
    <row r="9563" spans="1:26" ht="12" customHeight="1" outlineLevel="4" x14ac:dyDescent="0.2">
      <c r="A9563" s="14" t="s">
        <v>18219</v>
      </c>
      <c r="B9563" s="26" t="s">
        <v>18220</v>
      </c>
      <c r="C9563" s="52"/>
      <c r="D9563" s="55">
        <f t="shared" si="149"/>
        <v>0</v>
      </c>
      <c r="E9563" s="63" t="str">
        <f>HYPERLINK("https://www.sds-group.ru/product/pistolet-raspylitel-mnogofunktsionalnyy-carbon-7-rezhimov-profi-chetyre-sezona-62-0324-F/", "Инфо")</f>
        <v>Инфо</v>
      </c>
      <c r="F9563" s="16" t="s">
        <v>39</v>
      </c>
      <c r="G9563" s="15"/>
      <c r="H9563" s="15"/>
      <c r="I9563" s="15"/>
      <c r="J9563" s="17">
        <v>268</v>
      </c>
      <c r="K9563" s="15"/>
      <c r="L9563" s="17">
        <v>1</v>
      </c>
      <c r="M9563" s="17">
        <v>48</v>
      </c>
      <c r="N9563" s="17">
        <v>1</v>
      </c>
      <c r="O9563" s="18">
        <v>1271.96</v>
      </c>
      <c r="P9563" s="18">
        <v>1042.5899999999999</v>
      </c>
      <c r="Q9563" s="18">
        <v>890.37</v>
      </c>
      <c r="R9563" s="18">
        <v>729.81</v>
      </c>
      <c r="S9563" s="18">
        <v>864.93</v>
      </c>
      <c r="T9563" s="18">
        <v>708.96</v>
      </c>
      <c r="U9563" s="16"/>
      <c r="V9563" s="16"/>
      <c r="W9563" s="16" t="s">
        <v>40</v>
      </c>
      <c r="X9563" s="19">
        <v>0.215</v>
      </c>
      <c r="Y9563" s="20">
        <v>1.307E-3</v>
      </c>
      <c r="Z9563" s="21">
        <v>4601004320796</v>
      </c>
    </row>
    <row r="9564" spans="1:26" ht="12" customHeight="1" outlineLevel="4" x14ac:dyDescent="0.2">
      <c r="A9564" s="14" t="s">
        <v>18221</v>
      </c>
      <c r="B9564" s="26" t="s">
        <v>18222</v>
      </c>
      <c r="C9564" s="52"/>
      <c r="D9564" s="55">
        <f t="shared" si="149"/>
        <v>0</v>
      </c>
      <c r="E9564" s="63" t="str">
        <f>HYPERLINK("https://www.sds-group.ru/product/pistolet-raspylitel-s-regulirovkoy-davleniya-ruchkoy-i-kurkom-7-rezhimov-chetyre-sezona-62-0285/", "Инфо")</f>
        <v>Инфо</v>
      </c>
      <c r="F9564" s="16" t="s">
        <v>39</v>
      </c>
      <c r="G9564" s="15"/>
      <c r="H9564" s="15"/>
      <c r="I9564" s="15"/>
      <c r="J9564" s="17">
        <v>2</v>
      </c>
      <c r="K9564" s="15"/>
      <c r="L9564" s="17">
        <v>1</v>
      </c>
      <c r="M9564" s="17">
        <v>48</v>
      </c>
      <c r="N9564" s="17">
        <v>1</v>
      </c>
      <c r="O9564" s="18">
        <v>742</v>
      </c>
      <c r="P9564" s="18">
        <v>608.20000000000005</v>
      </c>
      <c r="Q9564" s="18">
        <v>593.6</v>
      </c>
      <c r="R9564" s="18">
        <v>486.56</v>
      </c>
      <c r="S9564" s="18">
        <v>504.56</v>
      </c>
      <c r="T9564" s="18">
        <v>413.57</v>
      </c>
      <c r="U9564" s="16"/>
      <c r="V9564" s="16"/>
      <c r="W9564" s="16" t="s">
        <v>40</v>
      </c>
      <c r="X9564" s="19">
        <v>0.22700000000000001</v>
      </c>
      <c r="Y9564" s="20">
        <v>1.7930000000000001E-3</v>
      </c>
      <c r="Z9564" s="21">
        <v>4601004293380</v>
      </c>
    </row>
    <row r="9565" spans="1:26" ht="12" customHeight="1" outlineLevel="4" x14ac:dyDescent="0.2">
      <c r="A9565" s="14" t="s">
        <v>18223</v>
      </c>
      <c r="B9565" s="26" t="s">
        <v>18224</v>
      </c>
      <c r="C9565" s="52"/>
      <c r="D9565" s="55">
        <f t="shared" si="149"/>
        <v>0</v>
      </c>
      <c r="E9565" s="63" t="str">
        <f>HYPERLINK("https://www.sds-group.ru/product/pistolet-raspylitel-s-rezinovoy-ruchkoy-7-rezhimov-chetyre-sezona-62-0282/", "Инфо")</f>
        <v>Инфо</v>
      </c>
      <c r="F9565" s="16" t="s">
        <v>39</v>
      </c>
      <c r="G9565" s="15"/>
      <c r="H9565" s="15"/>
      <c r="I9565" s="15"/>
      <c r="J9565" s="16" t="s">
        <v>100</v>
      </c>
      <c r="K9565" s="15"/>
      <c r="L9565" s="17">
        <v>1</v>
      </c>
      <c r="M9565" s="17">
        <v>48</v>
      </c>
      <c r="N9565" s="17">
        <v>1</v>
      </c>
      <c r="O9565" s="18">
        <v>452.77</v>
      </c>
      <c r="P9565" s="18">
        <v>371.12</v>
      </c>
      <c r="Q9565" s="18">
        <v>362.22</v>
      </c>
      <c r="R9565" s="18">
        <v>296.89999999999998</v>
      </c>
      <c r="S9565" s="18">
        <v>307.88</v>
      </c>
      <c r="T9565" s="18">
        <v>252.36</v>
      </c>
      <c r="U9565" s="16"/>
      <c r="V9565" s="16"/>
      <c r="W9565" s="16" t="s">
        <v>40</v>
      </c>
      <c r="X9565" s="19">
        <v>0.16400000000000001</v>
      </c>
      <c r="Y9565" s="20">
        <v>1.0679999999999999E-3</v>
      </c>
      <c r="Z9565" s="21">
        <v>4601004291447</v>
      </c>
    </row>
    <row r="9566" spans="1:26" ht="12" customHeight="1" outlineLevel="4" x14ac:dyDescent="0.2">
      <c r="A9566" s="14" t="s">
        <v>18225</v>
      </c>
      <c r="B9566" s="26" t="s">
        <v>18226</v>
      </c>
      <c r="C9566" s="52"/>
      <c r="D9566" s="55">
        <f t="shared" si="149"/>
        <v>0</v>
      </c>
      <c r="E9566" s="63" t="str">
        <f>HYPERLINK("https://www.sds-group.ru/product/pistolet-raspylitel-7-rezhimov-chetyre-sezona-62-0283/", "Инфо")</f>
        <v>Инфо</v>
      </c>
      <c r="F9566" s="16" t="s">
        <v>39</v>
      </c>
      <c r="G9566" s="15"/>
      <c r="H9566" s="15"/>
      <c r="I9566" s="15"/>
      <c r="J9566" s="17">
        <v>149</v>
      </c>
      <c r="K9566" s="15"/>
      <c r="L9566" s="17">
        <v>5</v>
      </c>
      <c r="M9566" s="17">
        <v>100</v>
      </c>
      <c r="N9566" s="17">
        <v>5</v>
      </c>
      <c r="O9566" s="18">
        <v>200.34</v>
      </c>
      <c r="P9566" s="18">
        <v>164.21</v>
      </c>
      <c r="Q9566" s="18">
        <v>140.24</v>
      </c>
      <c r="R9566" s="18">
        <v>114.95</v>
      </c>
      <c r="S9566" s="18">
        <v>136.22999999999999</v>
      </c>
      <c r="T9566" s="18">
        <v>111.66</v>
      </c>
      <c r="U9566" s="16"/>
      <c r="V9566" s="16"/>
      <c r="W9566" s="16" t="s">
        <v>40</v>
      </c>
      <c r="X9566" s="19">
        <v>0.14099999999999999</v>
      </c>
      <c r="Y9566" s="20">
        <v>1.4270000000000001E-3</v>
      </c>
      <c r="Z9566" s="21">
        <v>4601004291478</v>
      </c>
    </row>
    <row r="9567" spans="1:26" ht="12" customHeight="1" outlineLevel="4" x14ac:dyDescent="0.2">
      <c r="A9567" s="14" t="s">
        <v>18227</v>
      </c>
      <c r="B9567" s="26" t="s">
        <v>18228</v>
      </c>
      <c r="C9567" s="52"/>
      <c r="D9567" s="55">
        <f t="shared" si="149"/>
        <v>0</v>
      </c>
      <c r="E9567" s="63" t="str">
        <f>HYPERLINK("https://www.sds-group.ru/product/pistolet-raspylitel-reguliruemyy-chetyre-sezona-62-0284/", "Инфо")</f>
        <v>Инфо</v>
      </c>
      <c r="F9567" s="16" t="s">
        <v>39</v>
      </c>
      <c r="G9567" s="15"/>
      <c r="H9567" s="15"/>
      <c r="I9567" s="15"/>
      <c r="J9567" s="17">
        <v>2</v>
      </c>
      <c r="K9567" s="15"/>
      <c r="L9567" s="17">
        <v>5</v>
      </c>
      <c r="M9567" s="17">
        <v>72</v>
      </c>
      <c r="N9567" s="17">
        <v>5</v>
      </c>
      <c r="O9567" s="18">
        <v>312.63</v>
      </c>
      <c r="P9567" s="18">
        <v>256.25</v>
      </c>
      <c r="Q9567" s="18">
        <v>265.74</v>
      </c>
      <c r="R9567" s="18">
        <v>217.82</v>
      </c>
      <c r="S9567" s="18">
        <v>212.59</v>
      </c>
      <c r="T9567" s="18">
        <v>174.25</v>
      </c>
      <c r="U9567" s="16"/>
      <c r="V9567" s="16"/>
      <c r="W9567" s="16" t="s">
        <v>40</v>
      </c>
      <c r="X9567" s="19">
        <v>0.155</v>
      </c>
      <c r="Y9567" s="20">
        <v>1.057E-3</v>
      </c>
      <c r="Z9567" s="21">
        <v>4601004291409</v>
      </c>
    </row>
    <row r="9568" spans="1:26" ht="12" customHeight="1" outlineLevel="4" x14ac:dyDescent="0.2">
      <c r="A9568" s="14" t="s">
        <v>18229</v>
      </c>
      <c r="B9568" s="26" t="s">
        <v>18230</v>
      </c>
      <c r="C9568" s="52"/>
      <c r="D9568" s="55">
        <f t="shared" si="149"/>
        <v>0</v>
      </c>
      <c r="E9568" s="63" t="str">
        <f>HYPERLINK("https://www.sds-group.ru/product/razbryzgivatel-latunnyy-impulsnyy-s-regulirovkoy-ugla-gorizonta-raspyleniya-do16m-chetyre-se-62-0255/", "Инфо")</f>
        <v>Инфо</v>
      </c>
      <c r="F9568" s="16" t="s">
        <v>39</v>
      </c>
      <c r="G9568" s="15"/>
      <c r="H9568" s="15"/>
      <c r="I9568" s="15"/>
      <c r="J9568" s="22">
        <v>2674</v>
      </c>
      <c r="K9568" s="15"/>
      <c r="L9568" s="17">
        <v>1</v>
      </c>
      <c r="M9568" s="17">
        <v>40</v>
      </c>
      <c r="N9568" s="17">
        <v>1</v>
      </c>
      <c r="O9568" s="18">
        <v>1865.54</v>
      </c>
      <c r="P9568" s="18">
        <v>1529.13</v>
      </c>
      <c r="Q9568" s="18">
        <v>1305.8800000000001</v>
      </c>
      <c r="R9568" s="18">
        <v>1070.3900000000001</v>
      </c>
      <c r="S9568" s="18">
        <v>1268.57</v>
      </c>
      <c r="T9568" s="18">
        <v>1039.81</v>
      </c>
      <c r="U9568" s="16"/>
      <c r="V9568" s="16"/>
      <c r="W9568" s="16"/>
      <c r="X9568" s="19">
        <v>0.32700000000000001</v>
      </c>
      <c r="Y9568" s="20">
        <v>1.2340000000000001E-3</v>
      </c>
      <c r="Z9568" s="21">
        <v>4601004268692</v>
      </c>
    </row>
    <row r="9569" spans="1:26" ht="12" customHeight="1" outlineLevel="4" x14ac:dyDescent="0.2">
      <c r="A9569" s="14" t="s">
        <v>18231</v>
      </c>
      <c r="B9569" s="26" t="s">
        <v>18232</v>
      </c>
      <c r="C9569" s="52"/>
      <c r="D9569" s="55">
        <f t="shared" si="149"/>
        <v>0</v>
      </c>
      <c r="E9569" s="63" t="str">
        <f>HYPERLINK("https://www.sds-group.ru/product/raspylitel-na-gibkoy-shtange-10-rezhimov-profi-chetyre-sezona-62-0326-F/", "Инфо")</f>
        <v>Инфо</v>
      </c>
      <c r="F9569" s="16" t="s">
        <v>39</v>
      </c>
      <c r="G9569" s="15"/>
      <c r="H9569" s="15"/>
      <c r="I9569" s="15"/>
      <c r="J9569" s="17">
        <v>5</v>
      </c>
      <c r="K9569" s="15"/>
      <c r="L9569" s="17">
        <v>1</v>
      </c>
      <c r="M9569" s="17">
        <v>12</v>
      </c>
      <c r="N9569" s="17">
        <v>1</v>
      </c>
      <c r="O9569" s="18">
        <v>1791.4</v>
      </c>
      <c r="P9569" s="18">
        <v>1468.36</v>
      </c>
      <c r="Q9569" s="18">
        <v>1253.98</v>
      </c>
      <c r="R9569" s="18">
        <v>1027.8499999999999</v>
      </c>
      <c r="S9569" s="18">
        <v>1218.1500000000001</v>
      </c>
      <c r="T9569" s="18">
        <v>998.48</v>
      </c>
      <c r="U9569" s="16"/>
      <c r="V9569" s="16"/>
      <c r="W9569" s="16" t="s">
        <v>40</v>
      </c>
      <c r="X9569" s="19">
        <v>0.622</v>
      </c>
      <c r="Y9569" s="20">
        <v>2.0430000000000001E-3</v>
      </c>
      <c r="Z9569" s="21">
        <v>4601004321397</v>
      </c>
    </row>
    <row r="9570" spans="1:26" ht="12" customHeight="1" outlineLevel="4" x14ac:dyDescent="0.2">
      <c r="A9570" s="14" t="s">
        <v>18233</v>
      </c>
      <c r="B9570" s="26" t="s">
        <v>18234</v>
      </c>
      <c r="C9570" s="52"/>
      <c r="D9570" s="55">
        <f t="shared" si="149"/>
        <v>0</v>
      </c>
      <c r="E9570" s="63" t="str">
        <f>HYPERLINK("https://www.sds-group.ru/product/raspylitel-na-teleskopicheskoy-shtange-chetyre-sezona-62-0294/", "Инфо")</f>
        <v>Инфо</v>
      </c>
      <c r="F9570" s="16" t="s">
        <v>39</v>
      </c>
      <c r="G9570" s="15"/>
      <c r="H9570" s="15"/>
      <c r="I9570" s="15"/>
      <c r="J9570" s="17">
        <v>4</v>
      </c>
      <c r="K9570" s="15"/>
      <c r="L9570" s="17">
        <v>1</v>
      </c>
      <c r="M9570" s="17">
        <v>24</v>
      </c>
      <c r="N9570" s="17">
        <v>1</v>
      </c>
      <c r="O9570" s="18">
        <v>1677.1</v>
      </c>
      <c r="P9570" s="18">
        <v>1374.67</v>
      </c>
      <c r="Q9570" s="18">
        <v>1173.97</v>
      </c>
      <c r="R9570" s="18">
        <v>962.27</v>
      </c>
      <c r="S9570" s="18">
        <v>1140.43</v>
      </c>
      <c r="T9570" s="18">
        <v>934.78</v>
      </c>
      <c r="U9570" s="16"/>
      <c r="V9570" s="16"/>
      <c r="W9570" s="16"/>
      <c r="X9570" s="19">
        <v>0.42799999999999999</v>
      </c>
      <c r="Y9570" s="20">
        <v>3.5260000000000001E-3</v>
      </c>
      <c r="Z9570" s="21">
        <v>4601004293564</v>
      </c>
    </row>
    <row r="9571" spans="1:26" ht="12" customHeight="1" outlineLevel="4" x14ac:dyDescent="0.2">
      <c r="A9571" s="14" t="s">
        <v>18235</v>
      </c>
      <c r="B9571" s="26" t="s">
        <v>18236</v>
      </c>
      <c r="C9571" s="52"/>
      <c r="D9571" s="55">
        <f t="shared" si="149"/>
        <v>0</v>
      </c>
      <c r="E9571" s="63" t="str">
        <f>HYPERLINK("https://www.sds-group.ru/product/raspylitel-na-shtange-chetyre-sezona-62-0293/", "Инфо")</f>
        <v>Инфо</v>
      </c>
      <c r="F9571" s="16" t="s">
        <v>39</v>
      </c>
      <c r="G9571" s="15"/>
      <c r="H9571" s="15"/>
      <c r="I9571" s="15"/>
      <c r="J9571" s="17">
        <v>2</v>
      </c>
      <c r="K9571" s="15"/>
      <c r="L9571" s="17">
        <v>1</v>
      </c>
      <c r="M9571" s="17">
        <v>24</v>
      </c>
      <c r="N9571" s="17">
        <v>1</v>
      </c>
      <c r="O9571" s="18">
        <v>1036.4000000000001</v>
      </c>
      <c r="P9571" s="18">
        <v>849.51</v>
      </c>
      <c r="Q9571" s="18">
        <v>725.48</v>
      </c>
      <c r="R9571" s="18">
        <v>594.66</v>
      </c>
      <c r="S9571" s="18">
        <v>704.75</v>
      </c>
      <c r="T9571" s="18">
        <v>577.66</v>
      </c>
      <c r="U9571" s="16"/>
      <c r="V9571" s="16"/>
      <c r="W9571" s="16"/>
      <c r="X9571" s="19">
        <v>0.30099999999999999</v>
      </c>
      <c r="Y9571" s="20">
        <v>2.196E-3</v>
      </c>
      <c r="Z9571" s="21">
        <v>4601004293557</v>
      </c>
    </row>
    <row r="9572" spans="1:26" ht="12" customHeight="1" outlineLevel="4" x14ac:dyDescent="0.2">
      <c r="A9572" s="14" t="s">
        <v>18237</v>
      </c>
      <c r="B9572" s="26" t="s">
        <v>18238</v>
      </c>
      <c r="C9572" s="52"/>
      <c r="D9572" s="55">
        <f t="shared" si="149"/>
        <v>0</v>
      </c>
      <c r="E9572" s="63" t="str">
        <f>HYPERLINK("https://www.sds-group.ru/product/raspylitel-nasadka-reguliruemyy-chetyre-sezona-62-0287/", "Инфо")</f>
        <v>Инфо</v>
      </c>
      <c r="F9572" s="16" t="s">
        <v>39</v>
      </c>
      <c r="G9572" s="15"/>
      <c r="H9572" s="15"/>
      <c r="I9572" s="15"/>
      <c r="J9572" s="17">
        <v>62</v>
      </c>
      <c r="K9572" s="15"/>
      <c r="L9572" s="17">
        <v>10</v>
      </c>
      <c r="M9572" s="17">
        <v>216</v>
      </c>
      <c r="N9572" s="17">
        <v>10</v>
      </c>
      <c r="O9572" s="18">
        <v>118.58</v>
      </c>
      <c r="P9572" s="18">
        <v>97.2</v>
      </c>
      <c r="Q9572" s="18">
        <v>83.01</v>
      </c>
      <c r="R9572" s="18">
        <v>68.040000000000006</v>
      </c>
      <c r="S9572" s="18">
        <v>80.63</v>
      </c>
      <c r="T9572" s="18">
        <v>66.09</v>
      </c>
      <c r="U9572" s="16"/>
      <c r="V9572" s="16"/>
      <c r="W9572" s="16"/>
      <c r="X9572" s="19">
        <v>4.9000000000000002E-2</v>
      </c>
      <c r="Y9572" s="20">
        <v>2.9599999999999998E-4</v>
      </c>
      <c r="Z9572" s="21">
        <v>4601004291423</v>
      </c>
    </row>
    <row r="9573" spans="1:26" ht="12" customHeight="1" outlineLevel="4" x14ac:dyDescent="0.2">
      <c r="A9573" s="14" t="s">
        <v>18239</v>
      </c>
      <c r="B9573" s="26" t="s">
        <v>18240</v>
      </c>
      <c r="C9573" s="52"/>
      <c r="D9573" s="55">
        <f t="shared" si="149"/>
        <v>0</v>
      </c>
      <c r="E9573" s="63" t="str">
        <f>HYPERLINK("https://www.sds-group.ru/product/raspylyayuschaya-golovka-pompovaya-podhodit-k-standartnoy-plastikovoy-butylke-chetyre-sezona-62-0231/", "Инфо")</f>
        <v>Инфо</v>
      </c>
      <c r="F9573" s="16" t="s">
        <v>39</v>
      </c>
      <c r="G9573" s="15"/>
      <c r="H9573" s="15"/>
      <c r="I9573" s="15"/>
      <c r="J9573" s="17">
        <v>19</v>
      </c>
      <c r="K9573" s="15"/>
      <c r="L9573" s="17">
        <v>5</v>
      </c>
      <c r="M9573" s="17">
        <v>100</v>
      </c>
      <c r="N9573" s="17">
        <v>5</v>
      </c>
      <c r="O9573" s="18">
        <v>222.6</v>
      </c>
      <c r="P9573" s="18">
        <v>182.46</v>
      </c>
      <c r="Q9573" s="18">
        <v>155.82</v>
      </c>
      <c r="R9573" s="18">
        <v>127.72</v>
      </c>
      <c r="S9573" s="18">
        <v>151.37</v>
      </c>
      <c r="T9573" s="18">
        <v>124.07</v>
      </c>
      <c r="U9573" s="16"/>
      <c r="V9573" s="16"/>
      <c r="W9573" s="16"/>
      <c r="X9573" s="19">
        <v>0.09</v>
      </c>
      <c r="Y9573" s="20">
        <v>4.6099999999999998E-4</v>
      </c>
      <c r="Z9573" s="21">
        <v>4601004320772</v>
      </c>
    </row>
    <row r="9574" spans="1:26" ht="12" customHeight="1" outlineLevel="4" x14ac:dyDescent="0.2">
      <c r="A9574" s="14" t="s">
        <v>18241</v>
      </c>
      <c r="B9574" s="26" t="s">
        <v>18242</v>
      </c>
      <c r="C9574" s="52"/>
      <c r="D9574" s="55">
        <f t="shared" si="149"/>
        <v>0</v>
      </c>
      <c r="E9574" s="63" t="str">
        <f>HYPERLINK("https://www.sds-group.ru/product/raspylyayuschaya-golovka-podhodit-k-standartnoy-plastikovoy-butylke-chetyre-sezona-62-0253/", "Инфо")</f>
        <v>Инфо</v>
      </c>
      <c r="F9574" s="16" t="s">
        <v>39</v>
      </c>
      <c r="G9574" s="15"/>
      <c r="H9574" s="15"/>
      <c r="I9574" s="15"/>
      <c r="J9574" s="22">
        <v>1054</v>
      </c>
      <c r="K9574" s="15"/>
      <c r="L9574" s="17">
        <v>10</v>
      </c>
      <c r="M9574" s="17">
        <v>500</v>
      </c>
      <c r="N9574" s="17">
        <v>10</v>
      </c>
      <c r="O9574" s="18">
        <v>58.42</v>
      </c>
      <c r="P9574" s="18">
        <v>47.89</v>
      </c>
      <c r="Q9574" s="18">
        <v>58.42</v>
      </c>
      <c r="R9574" s="18">
        <v>47.89</v>
      </c>
      <c r="S9574" s="18">
        <v>39.729999999999997</v>
      </c>
      <c r="T9574" s="18">
        <v>32.57</v>
      </c>
      <c r="U9574" s="16"/>
      <c r="V9574" s="16"/>
      <c r="W9574" s="16" t="s">
        <v>40</v>
      </c>
      <c r="X9574" s="19">
        <v>2.5000000000000001E-2</v>
      </c>
      <c r="Y9574" s="20">
        <v>1.2999999999999999E-4</v>
      </c>
      <c r="Z9574" s="21">
        <v>4601004268678</v>
      </c>
    </row>
    <row r="9575" spans="1:26" ht="12" customHeight="1" outlineLevel="4" x14ac:dyDescent="0.2">
      <c r="A9575" s="14" t="s">
        <v>18243</v>
      </c>
      <c r="B9575" s="26" t="s">
        <v>18244</v>
      </c>
      <c r="C9575" s="52"/>
      <c r="D9575" s="55">
        <f t="shared" si="149"/>
        <v>0</v>
      </c>
      <c r="E9575" s="63" t="str">
        <f>HYPERLINK("https://www.sds-group.ru/product/uvlazhnitel-pochvy-dlya-rasteniy-100ml-gribochek-chetyre-sezona-62-0303/", "Инфо")</f>
        <v>Инфо</v>
      </c>
      <c r="F9575" s="16" t="s">
        <v>39</v>
      </c>
      <c r="G9575" s="15"/>
      <c r="H9575" s="15"/>
      <c r="I9575" s="15"/>
      <c r="J9575" s="22">
        <v>1421</v>
      </c>
      <c r="K9575" s="15"/>
      <c r="L9575" s="17">
        <v>5</v>
      </c>
      <c r="M9575" s="17">
        <v>96</v>
      </c>
      <c r="N9575" s="17">
        <v>5</v>
      </c>
      <c r="O9575" s="18">
        <v>281.37</v>
      </c>
      <c r="P9575" s="18">
        <v>230.63</v>
      </c>
      <c r="Q9575" s="18">
        <v>196.96</v>
      </c>
      <c r="R9575" s="18">
        <v>161.44</v>
      </c>
      <c r="S9575" s="18">
        <v>191.33</v>
      </c>
      <c r="T9575" s="18">
        <v>156.83000000000001</v>
      </c>
      <c r="U9575" s="16"/>
      <c r="V9575" s="16"/>
      <c r="W9575" s="16"/>
      <c r="X9575" s="19">
        <v>8.2000000000000003E-2</v>
      </c>
      <c r="Y9575" s="20">
        <v>1.0939999999999999E-3</v>
      </c>
      <c r="Z9575" s="21">
        <v>4601004320833</v>
      </c>
    </row>
    <row r="9576" spans="1:26" ht="12" customHeight="1" outlineLevel="4" x14ac:dyDescent="0.2">
      <c r="A9576" s="14" t="s">
        <v>18245</v>
      </c>
      <c r="B9576" s="26" t="s">
        <v>18246</v>
      </c>
      <c r="C9576" s="52"/>
      <c r="D9576" s="55">
        <f t="shared" si="149"/>
        <v>0</v>
      </c>
      <c r="E9576" s="63" t="str">
        <f>HYPERLINK("https://www.sds-group.ru/product/uvlazhnitel-pochvy-dlya-rasteniy-60ml-ptichka-chetyre-sezona-62-0302/", "Инфо")</f>
        <v>Инфо</v>
      </c>
      <c r="F9576" s="16" t="s">
        <v>39</v>
      </c>
      <c r="G9576" s="15"/>
      <c r="H9576" s="15"/>
      <c r="I9576" s="15"/>
      <c r="J9576" s="22">
        <v>1503</v>
      </c>
      <c r="K9576" s="15"/>
      <c r="L9576" s="17">
        <v>5</v>
      </c>
      <c r="M9576" s="17">
        <v>60</v>
      </c>
      <c r="N9576" s="17">
        <v>5</v>
      </c>
      <c r="O9576" s="18">
        <v>261.95999999999998</v>
      </c>
      <c r="P9576" s="18">
        <v>214.72</v>
      </c>
      <c r="Q9576" s="18">
        <v>183.37</v>
      </c>
      <c r="R9576" s="18">
        <v>150.30000000000001</v>
      </c>
      <c r="S9576" s="18">
        <v>178.13</v>
      </c>
      <c r="T9576" s="18">
        <v>146.01</v>
      </c>
      <c r="U9576" s="16"/>
      <c r="V9576" s="16"/>
      <c r="W9576" s="16"/>
      <c r="X9576" s="19">
        <v>8.2000000000000003E-2</v>
      </c>
      <c r="Y9576" s="20">
        <v>1.091E-3</v>
      </c>
      <c r="Z9576" s="21">
        <v>4601004320826</v>
      </c>
    </row>
    <row r="9577" spans="1:26" ht="12" customHeight="1" outlineLevel="4" x14ac:dyDescent="0.2">
      <c r="A9577" s="14" t="s">
        <v>18247</v>
      </c>
      <c r="B9577" s="26" t="s">
        <v>18248</v>
      </c>
      <c r="C9577" s="52"/>
      <c r="D9577" s="55">
        <f t="shared" si="149"/>
        <v>0</v>
      </c>
      <c r="E9577" s="63" t="str">
        <f>HYPERLINK("https://www.sds-group.ru/product/schetka-dlya-ochistki-listev-rasteniy-chetyre-sezona-62-0304/", "Инфо")</f>
        <v>Инфо</v>
      </c>
      <c r="F9577" s="16" t="s">
        <v>39</v>
      </c>
      <c r="G9577" s="15"/>
      <c r="H9577" s="15"/>
      <c r="I9577" s="15"/>
      <c r="J9577" s="22">
        <v>1571</v>
      </c>
      <c r="K9577" s="15"/>
      <c r="L9577" s="17">
        <v>5</v>
      </c>
      <c r="M9577" s="17">
        <v>240</v>
      </c>
      <c r="N9577" s="17">
        <v>5</v>
      </c>
      <c r="O9577" s="18">
        <v>295.74</v>
      </c>
      <c r="P9577" s="18">
        <v>242.41</v>
      </c>
      <c r="Q9577" s="18">
        <v>207.02</v>
      </c>
      <c r="R9577" s="18">
        <v>169.69</v>
      </c>
      <c r="S9577" s="18">
        <v>201.1</v>
      </c>
      <c r="T9577" s="18">
        <v>164.84</v>
      </c>
      <c r="U9577" s="16"/>
      <c r="V9577" s="16"/>
      <c r="W9577" s="16"/>
      <c r="X9577" s="19">
        <v>4.2000000000000003E-2</v>
      </c>
      <c r="Y9577" s="20">
        <v>2.9999999999999997E-4</v>
      </c>
      <c r="Z9577" s="21">
        <v>4601004320802</v>
      </c>
    </row>
    <row r="9578" spans="1:26" ht="12.95" customHeight="1" outlineLevel="3" x14ac:dyDescent="0.2">
      <c r="A9578" s="76" t="s">
        <v>18249</v>
      </c>
      <c r="B9578" s="76"/>
      <c r="C9578" s="77"/>
      <c r="D9578" s="58"/>
      <c r="E9578" s="68"/>
      <c r="F9578" s="13"/>
      <c r="G9578" s="13"/>
      <c r="H9578" s="13"/>
      <c r="I9578" s="13"/>
      <c r="J9578" s="13"/>
      <c r="K9578" s="13"/>
      <c r="L9578" s="13"/>
      <c r="M9578" s="13"/>
      <c r="N9578" s="13"/>
      <c r="O9578" s="13"/>
      <c r="P9578" s="13"/>
      <c r="Q9578" s="13"/>
      <c r="R9578" s="13"/>
      <c r="S9578" s="13"/>
      <c r="T9578" s="13"/>
      <c r="U9578" s="13"/>
      <c r="V9578" s="13"/>
      <c r="W9578" s="13"/>
      <c r="X9578" s="13"/>
      <c r="Y9578" s="13"/>
      <c r="Z9578" s="13"/>
    </row>
    <row r="9579" spans="1:26" ht="12" customHeight="1" outlineLevel="4" x14ac:dyDescent="0.2">
      <c r="A9579" s="14" t="s">
        <v>18250</v>
      </c>
      <c r="B9579" s="26" t="s">
        <v>18251</v>
      </c>
      <c r="C9579" s="52"/>
      <c r="D9579" s="55">
        <f t="shared" si="149"/>
        <v>0</v>
      </c>
      <c r="E9579" s="63" t="str">
        <f>HYPERLINK("https://www.sds-group.ru/product/taymer-vody-na-120-min-chetyre-sezona-62-0264/", "Инфо")</f>
        <v>Инфо</v>
      </c>
      <c r="F9579" s="16" t="s">
        <v>39</v>
      </c>
      <c r="G9579" s="15"/>
      <c r="H9579" s="15"/>
      <c r="I9579" s="15"/>
      <c r="J9579" s="17">
        <v>16</v>
      </c>
      <c r="K9579" s="15"/>
      <c r="L9579" s="17">
        <v>1</v>
      </c>
      <c r="M9579" s="17">
        <v>24</v>
      </c>
      <c r="N9579" s="17">
        <v>1</v>
      </c>
      <c r="O9579" s="18">
        <v>1183.67</v>
      </c>
      <c r="P9579" s="18">
        <v>970.22</v>
      </c>
      <c r="Q9579" s="18">
        <v>828.57</v>
      </c>
      <c r="R9579" s="18">
        <v>679.16</v>
      </c>
      <c r="S9579" s="18">
        <v>804.9</v>
      </c>
      <c r="T9579" s="18">
        <v>659.75</v>
      </c>
      <c r="U9579" s="16"/>
      <c r="V9579" s="16"/>
      <c r="W9579" s="16" t="s">
        <v>40</v>
      </c>
      <c r="X9579" s="19">
        <v>0.192</v>
      </c>
      <c r="Y9579" s="20">
        <v>1.627E-3</v>
      </c>
      <c r="Z9579" s="21">
        <v>4601004268722</v>
      </c>
    </row>
    <row r="9580" spans="1:26" ht="12" customHeight="1" outlineLevel="4" x14ac:dyDescent="0.2">
      <c r="A9580" s="14" t="s">
        <v>18252</v>
      </c>
      <c r="B9580" s="26" t="s">
        <v>18253</v>
      </c>
      <c r="C9580" s="52"/>
      <c r="D9580" s="55">
        <f t="shared" si="149"/>
        <v>0</v>
      </c>
      <c r="E9580" s="63" t="str">
        <f>HYPERLINK("https://www.sds-group.ru/product/taymer-poliva-elektronnyy-chetyre-sezona-62-0263/", "Инфо")</f>
        <v>Инфо</v>
      </c>
      <c r="F9580" s="16" t="s">
        <v>39</v>
      </c>
      <c r="G9580" s="15"/>
      <c r="H9580" s="15"/>
      <c r="I9580" s="15"/>
      <c r="J9580" s="17">
        <v>24</v>
      </c>
      <c r="K9580" s="15"/>
      <c r="L9580" s="17">
        <v>1</v>
      </c>
      <c r="M9580" s="17">
        <v>25</v>
      </c>
      <c r="N9580" s="17">
        <v>1</v>
      </c>
      <c r="O9580" s="18">
        <v>2942.99</v>
      </c>
      <c r="P9580" s="18">
        <v>2412.29</v>
      </c>
      <c r="Q9580" s="18">
        <v>2060.09</v>
      </c>
      <c r="R9580" s="18">
        <v>1688.6</v>
      </c>
      <c r="S9580" s="18">
        <v>2001.23</v>
      </c>
      <c r="T9580" s="18">
        <v>1640.35</v>
      </c>
      <c r="U9580" s="16"/>
      <c r="V9580" s="16"/>
      <c r="W9580" s="16"/>
      <c r="X9580" s="19">
        <v>0.318</v>
      </c>
      <c r="Y9580" s="20">
        <v>1.7409999999999999E-3</v>
      </c>
      <c r="Z9580" s="21">
        <v>4601004268715</v>
      </c>
    </row>
    <row r="9581" spans="1:26" ht="12.95" customHeight="1" outlineLevel="3" x14ac:dyDescent="0.2">
      <c r="A9581" s="76" t="s">
        <v>18254</v>
      </c>
      <c r="B9581" s="76"/>
      <c r="C9581" s="77"/>
      <c r="D9581" s="58"/>
      <c r="E9581" s="68"/>
      <c r="F9581" s="13"/>
      <c r="G9581" s="13"/>
      <c r="H9581" s="13"/>
      <c r="I9581" s="13"/>
      <c r="J9581" s="13"/>
      <c r="K9581" s="13"/>
      <c r="L9581" s="13"/>
      <c r="M9581" s="13"/>
      <c r="N9581" s="13"/>
      <c r="O9581" s="13"/>
      <c r="P9581" s="13"/>
      <c r="Q9581" s="13"/>
      <c r="R9581" s="13"/>
      <c r="S9581" s="13"/>
      <c r="T9581" s="13"/>
      <c r="U9581" s="13"/>
      <c r="V9581" s="13"/>
      <c r="W9581" s="13"/>
      <c r="X9581" s="13"/>
      <c r="Y9581" s="13"/>
      <c r="Z9581" s="13"/>
    </row>
    <row r="9582" spans="1:26" ht="12" customHeight="1" outlineLevel="4" x14ac:dyDescent="0.2">
      <c r="A9582" s="14" t="s">
        <v>18255</v>
      </c>
      <c r="B9582" s="26" t="s">
        <v>18256</v>
      </c>
      <c r="C9582" s="52"/>
      <c r="D9582" s="55">
        <f t="shared" si="149"/>
        <v>0</v>
      </c>
      <c r="E9582" s="63" t="str">
        <f>HYPERLINK("https://www.sds-group.ru/product/opryskivatel-komnatnyy-0-75-l-chetyre-sezona-62-0266/", "Инфо")</f>
        <v>Инфо</v>
      </c>
      <c r="F9582" s="16" t="s">
        <v>39</v>
      </c>
      <c r="G9582" s="15"/>
      <c r="H9582" s="15"/>
      <c r="I9582" s="15"/>
      <c r="J9582" s="22">
        <v>1106</v>
      </c>
      <c r="K9582" s="15"/>
      <c r="L9582" s="17">
        <v>10</v>
      </c>
      <c r="M9582" s="17">
        <v>72</v>
      </c>
      <c r="N9582" s="17">
        <v>10</v>
      </c>
      <c r="O9582" s="18">
        <v>172.48</v>
      </c>
      <c r="P9582" s="18">
        <v>141.38</v>
      </c>
      <c r="Q9582" s="18">
        <v>120.74</v>
      </c>
      <c r="R9582" s="18">
        <v>98.97</v>
      </c>
      <c r="S9582" s="18">
        <v>117.29</v>
      </c>
      <c r="T9582" s="18">
        <v>96.14</v>
      </c>
      <c r="U9582" s="16"/>
      <c r="V9582" s="16"/>
      <c r="W9582" s="16"/>
      <c r="X9582" s="19">
        <v>7.5999999999999998E-2</v>
      </c>
      <c r="Y9582" s="20">
        <v>1.5560000000000001E-3</v>
      </c>
      <c r="Z9582" s="21">
        <v>4601004268807</v>
      </c>
    </row>
    <row r="9583" spans="1:26" ht="12" customHeight="1" outlineLevel="4" x14ac:dyDescent="0.2">
      <c r="A9583" s="14" t="s">
        <v>18257</v>
      </c>
      <c r="B9583" s="26" t="s">
        <v>18258</v>
      </c>
      <c r="C9583" s="52"/>
      <c r="D9583" s="55">
        <f t="shared" si="149"/>
        <v>0</v>
      </c>
      <c r="E9583" s="63" t="str">
        <f>HYPERLINK("https://www.sds-group.ru/product/opryskivatel-komnatnyy-1l-chetyre-sezona-62-0242/", "Инфо")</f>
        <v>Инфо</v>
      </c>
      <c r="F9583" s="16" t="s">
        <v>39</v>
      </c>
      <c r="G9583" s="15"/>
      <c r="H9583" s="15"/>
      <c r="I9583" s="15"/>
      <c r="J9583" s="17">
        <v>29</v>
      </c>
      <c r="K9583" s="15"/>
      <c r="L9583" s="17">
        <v>5</v>
      </c>
      <c r="M9583" s="17">
        <v>100</v>
      </c>
      <c r="N9583" s="17">
        <v>5</v>
      </c>
      <c r="O9583" s="18">
        <v>211.06</v>
      </c>
      <c r="P9583" s="18">
        <v>173</v>
      </c>
      <c r="Q9583" s="18">
        <v>147.74</v>
      </c>
      <c r="R9583" s="18">
        <v>121.1</v>
      </c>
      <c r="S9583" s="18">
        <v>143.52000000000001</v>
      </c>
      <c r="T9583" s="18">
        <v>117.64</v>
      </c>
      <c r="U9583" s="16"/>
      <c r="V9583" s="16"/>
      <c r="W9583" s="16"/>
      <c r="X9583" s="19">
        <v>0.105</v>
      </c>
      <c r="Y9583" s="20">
        <v>2.1719999999999999E-3</v>
      </c>
      <c r="Z9583" s="21">
        <v>4601004320895</v>
      </c>
    </row>
    <row r="9584" spans="1:26" ht="12" customHeight="1" outlineLevel="4" x14ac:dyDescent="0.2">
      <c r="A9584" s="14" t="s">
        <v>18259</v>
      </c>
      <c r="B9584" s="26" t="s">
        <v>18260</v>
      </c>
      <c r="C9584" s="52"/>
      <c r="D9584" s="55">
        <f t="shared" si="149"/>
        <v>0</v>
      </c>
      <c r="E9584" s="63" t="str">
        <f>HYPERLINK("https://www.sds-group.ru/product/opryskivatel-sadovyy-akkumulyatornyy-dlya-rasteniy-i-tsvetov-2-l-chetyre-sezona-62-0269/", "Инфо")</f>
        <v>Инфо</v>
      </c>
      <c r="F9584" s="16" t="s">
        <v>39</v>
      </c>
      <c r="G9584" s="15"/>
      <c r="H9584" s="15"/>
      <c r="I9584" s="15"/>
      <c r="J9584" s="17">
        <v>272</v>
      </c>
      <c r="K9584" s="15"/>
      <c r="L9584" s="17">
        <v>1</v>
      </c>
      <c r="M9584" s="17">
        <v>16</v>
      </c>
      <c r="N9584" s="17">
        <v>1</v>
      </c>
      <c r="O9584" s="18">
        <v>2264.92</v>
      </c>
      <c r="P9584" s="18">
        <v>1856.49</v>
      </c>
      <c r="Q9584" s="18">
        <v>1585.44</v>
      </c>
      <c r="R9584" s="18">
        <v>1299.54</v>
      </c>
      <c r="S9584" s="18">
        <v>1540.15</v>
      </c>
      <c r="T9584" s="18">
        <v>1262.42</v>
      </c>
      <c r="U9584" s="16"/>
      <c r="V9584" s="16"/>
      <c r="W9584" s="16" t="s">
        <v>40</v>
      </c>
      <c r="X9584" s="19">
        <v>0.71299999999999997</v>
      </c>
      <c r="Y9584" s="20">
        <v>8.0009999999999994E-3</v>
      </c>
      <c r="Z9584" s="21">
        <v>4601004268777</v>
      </c>
    </row>
    <row r="9585" spans="1:26" ht="12" customHeight="1" outlineLevel="4" x14ac:dyDescent="0.2">
      <c r="A9585" s="14" t="s">
        <v>18261</v>
      </c>
      <c r="B9585" s="26" t="s">
        <v>18262</v>
      </c>
      <c r="C9585" s="52"/>
      <c r="D9585" s="55">
        <f t="shared" si="149"/>
        <v>0</v>
      </c>
      <c r="E9585" s="63" t="str">
        <f>HYPERLINK("https://www.sds-group.ru/product/opryskivatel-sadovyy-gidravlicheskiy-dlya-rasteniy-i-tsvetov-18l-chetyre-sezona-62-0246/", "Инфо")</f>
        <v>Инфо</v>
      </c>
      <c r="F9585" s="16" t="s">
        <v>39</v>
      </c>
      <c r="G9585" s="15"/>
      <c r="H9585" s="15"/>
      <c r="I9585" s="15"/>
      <c r="J9585" s="17">
        <v>162</v>
      </c>
      <c r="K9585" s="15"/>
      <c r="L9585" s="17">
        <v>1</v>
      </c>
      <c r="M9585" s="17">
        <v>2</v>
      </c>
      <c r="N9585" s="17">
        <v>1</v>
      </c>
      <c r="O9585" s="18">
        <v>4763.7700000000004</v>
      </c>
      <c r="P9585" s="18">
        <v>3904.73</v>
      </c>
      <c r="Q9585" s="18">
        <v>3334.64</v>
      </c>
      <c r="R9585" s="18">
        <v>2733.31</v>
      </c>
      <c r="S9585" s="18">
        <v>3239.36</v>
      </c>
      <c r="T9585" s="18">
        <v>2655.21</v>
      </c>
      <c r="U9585" s="16"/>
      <c r="V9585" s="16"/>
      <c r="W9585" s="16" t="s">
        <v>40</v>
      </c>
      <c r="X9585" s="19">
        <v>3.0459999999999998</v>
      </c>
      <c r="Y9585" s="20">
        <v>4.0751000000000002E-2</v>
      </c>
      <c r="Z9585" s="21">
        <v>4601004320925</v>
      </c>
    </row>
    <row r="9586" spans="1:26" ht="12" customHeight="1" outlineLevel="4" x14ac:dyDescent="0.2">
      <c r="A9586" s="14" t="s">
        <v>18263</v>
      </c>
      <c r="B9586" s="26" t="s">
        <v>18264</v>
      </c>
      <c r="C9586" s="52"/>
      <c r="D9586" s="55">
        <f t="shared" si="149"/>
        <v>0</v>
      </c>
      <c r="E9586" s="63" t="str">
        <f>HYPERLINK("https://www.sds-group.ru/product/opryskivatel-sadovyy-pompovyy-dlya-rasteniy-i-tsvetov-3l-chetyre-sezona-62-0247/", "Инфо")</f>
        <v>Инфо</v>
      </c>
      <c r="F9586" s="16" t="s">
        <v>39</v>
      </c>
      <c r="G9586" s="15"/>
      <c r="H9586" s="15"/>
      <c r="I9586" s="15"/>
      <c r="J9586" s="17">
        <v>27</v>
      </c>
      <c r="K9586" s="15"/>
      <c r="L9586" s="17">
        <v>1</v>
      </c>
      <c r="M9586" s="17">
        <v>6</v>
      </c>
      <c r="N9586" s="17">
        <v>1</v>
      </c>
      <c r="O9586" s="18">
        <v>1862.82</v>
      </c>
      <c r="P9586" s="18">
        <v>1526.9</v>
      </c>
      <c r="Q9586" s="18">
        <v>1303.97</v>
      </c>
      <c r="R9586" s="18">
        <v>1068.83</v>
      </c>
      <c r="S9586" s="18">
        <v>1266.72</v>
      </c>
      <c r="T9586" s="18">
        <v>1038.3</v>
      </c>
      <c r="U9586" s="16"/>
      <c r="V9586" s="16"/>
      <c r="W9586" s="16" t="s">
        <v>40</v>
      </c>
      <c r="X9586" s="19">
        <v>0.91800000000000004</v>
      </c>
      <c r="Y9586" s="20">
        <v>1.2954E-2</v>
      </c>
      <c r="Z9586" s="21">
        <v>4601004320901</v>
      </c>
    </row>
    <row r="9587" spans="1:26" ht="12" customHeight="1" outlineLevel="4" x14ac:dyDescent="0.2">
      <c r="A9587" s="14" t="s">
        <v>18265</v>
      </c>
      <c r="B9587" s="26" t="s">
        <v>18266</v>
      </c>
      <c r="C9587" s="52"/>
      <c r="D9587" s="55">
        <f t="shared" si="149"/>
        <v>0</v>
      </c>
      <c r="E9587" s="63" t="str">
        <f>HYPERLINK("https://www.sds-group.ru/product/opryskivatel-sadovyy-pompovyy-dlya-rasteniy-i-tsvetov-5l-chetyre-sezona-62-0244/", "Инфо")</f>
        <v>Инфо</v>
      </c>
      <c r="F9587" s="16" t="s">
        <v>39</v>
      </c>
      <c r="G9587" s="15"/>
      <c r="H9587" s="15"/>
      <c r="I9587" s="15"/>
      <c r="J9587" s="17">
        <v>8</v>
      </c>
      <c r="K9587" s="15"/>
      <c r="L9587" s="17">
        <v>1</v>
      </c>
      <c r="M9587" s="17">
        <v>6</v>
      </c>
      <c r="N9587" s="17">
        <v>1</v>
      </c>
      <c r="O9587" s="18">
        <v>1929.66</v>
      </c>
      <c r="P9587" s="18">
        <v>1581.69</v>
      </c>
      <c r="Q9587" s="18">
        <v>1350.76</v>
      </c>
      <c r="R9587" s="18">
        <v>1107.18</v>
      </c>
      <c r="S9587" s="18">
        <v>1312.17</v>
      </c>
      <c r="T9587" s="18">
        <v>1075.55</v>
      </c>
      <c r="U9587" s="16"/>
      <c r="V9587" s="16"/>
      <c r="W9587" s="16" t="s">
        <v>40</v>
      </c>
      <c r="X9587" s="19">
        <v>1.103</v>
      </c>
      <c r="Y9587" s="20">
        <v>1.4855E-2</v>
      </c>
      <c r="Z9587" s="21">
        <v>4601004320888</v>
      </c>
    </row>
    <row r="9588" spans="1:26" ht="12.95" customHeight="1" outlineLevel="3" x14ac:dyDescent="0.2">
      <c r="A9588" s="76" t="s">
        <v>18267</v>
      </c>
      <c r="B9588" s="76"/>
      <c r="C9588" s="77"/>
      <c r="D9588" s="58"/>
      <c r="E9588" s="68"/>
      <c r="F9588" s="13"/>
      <c r="G9588" s="13"/>
      <c r="H9588" s="13"/>
      <c r="I9588" s="13"/>
      <c r="J9588" s="13"/>
      <c r="K9588" s="13"/>
      <c r="L9588" s="13"/>
      <c r="M9588" s="13"/>
      <c r="N9588" s="13"/>
      <c r="O9588" s="13"/>
      <c r="P9588" s="13"/>
      <c r="Q9588" s="13"/>
      <c r="R9588" s="13"/>
      <c r="S9588" s="13"/>
      <c r="T9588" s="13"/>
      <c r="U9588" s="13"/>
      <c r="V9588" s="13"/>
      <c r="W9588" s="13"/>
      <c r="X9588" s="13"/>
      <c r="Y9588" s="13"/>
      <c r="Z9588" s="13"/>
    </row>
    <row r="9589" spans="1:26" ht="12" customHeight="1" outlineLevel="4" x14ac:dyDescent="0.2">
      <c r="A9589" s="14" t="s">
        <v>18268</v>
      </c>
      <c r="B9589" s="26" t="s">
        <v>18269</v>
      </c>
      <c r="C9589" s="52"/>
      <c r="D9589" s="55">
        <f t="shared" si="149"/>
        <v>0</v>
      </c>
      <c r="E9589" s="63" t="str">
        <f>HYPERLINK("https://www.sds-group.ru/product/nabor-dlya-chistki-poverhnostey-profi-schetka-raspylitel-konnektory-na-shlang-1-2-i-3-4-ad-62-0320-F/", "Инфо")</f>
        <v>Инфо</v>
      </c>
      <c r="F9589" s="16" t="s">
        <v>39</v>
      </c>
      <c r="G9589" s="15"/>
      <c r="H9589" s="15"/>
      <c r="I9589" s="15"/>
      <c r="J9589" s="17">
        <v>144</v>
      </c>
      <c r="K9589" s="15"/>
      <c r="L9589" s="17">
        <v>1</v>
      </c>
      <c r="M9589" s="17">
        <v>24</v>
      </c>
      <c r="N9589" s="17">
        <v>1</v>
      </c>
      <c r="O9589" s="18">
        <v>1102.3699999999999</v>
      </c>
      <c r="P9589" s="18">
        <v>903.58</v>
      </c>
      <c r="Q9589" s="18">
        <v>771.66</v>
      </c>
      <c r="R9589" s="18">
        <v>632.51</v>
      </c>
      <c r="S9589" s="18">
        <v>749.61</v>
      </c>
      <c r="T9589" s="18">
        <v>614.42999999999995</v>
      </c>
      <c r="U9589" s="16"/>
      <c r="V9589" s="16"/>
      <c r="W9589" s="16" t="s">
        <v>40</v>
      </c>
      <c r="X9589" s="19">
        <v>0.35</v>
      </c>
      <c r="Y9589" s="20">
        <v>3.8310000000000002E-3</v>
      </c>
      <c r="Z9589" s="21">
        <v>4601004321021</v>
      </c>
    </row>
    <row r="9590" spans="1:26" ht="12" customHeight="1" outlineLevel="4" x14ac:dyDescent="0.2">
      <c r="A9590" s="14" t="s">
        <v>18270</v>
      </c>
      <c r="B9590" s="26" t="s">
        <v>18271</v>
      </c>
      <c r="C9590" s="52"/>
      <c r="D9590" s="55">
        <f t="shared" si="149"/>
        <v>0</v>
      </c>
      <c r="E9590" s="63" t="str">
        <f>HYPERLINK("https://www.sds-group.ru/product/schetka-na-shlang-dlinnaya-150sm-pod-bystrosemnyy-konnektor-profi-chetyre-sezona-62-0322-F/", "Инфо")</f>
        <v>Инфо</v>
      </c>
      <c r="F9590" s="16" t="s">
        <v>39</v>
      </c>
      <c r="G9590" s="15"/>
      <c r="H9590" s="15"/>
      <c r="I9590" s="15"/>
      <c r="J9590" s="17">
        <v>261</v>
      </c>
      <c r="K9590" s="15"/>
      <c r="L9590" s="17">
        <v>1</v>
      </c>
      <c r="M9590" s="17">
        <v>12</v>
      </c>
      <c r="N9590" s="17">
        <v>1</v>
      </c>
      <c r="O9590" s="18">
        <v>1843.41</v>
      </c>
      <c r="P9590" s="18">
        <v>1510.99</v>
      </c>
      <c r="Q9590" s="18">
        <v>1290.3900000000001</v>
      </c>
      <c r="R9590" s="18">
        <v>1057.7</v>
      </c>
      <c r="S9590" s="18">
        <v>1253.52</v>
      </c>
      <c r="T9590" s="18">
        <v>1027.48</v>
      </c>
      <c r="U9590" s="16"/>
      <c r="V9590" s="16"/>
      <c r="W9590" s="16"/>
      <c r="X9590" s="19">
        <v>0.7</v>
      </c>
      <c r="Y9590" s="20">
        <v>2.4499999999999999E-3</v>
      </c>
      <c r="Z9590" s="21">
        <v>4601004321038</v>
      </c>
    </row>
    <row r="9591" spans="1:26" ht="12.95" customHeight="1" outlineLevel="2" x14ac:dyDescent="0.2">
      <c r="A9591" s="76" t="s">
        <v>18272</v>
      </c>
      <c r="B9591" s="76"/>
      <c r="C9591" s="77"/>
      <c r="D9591" s="58"/>
      <c r="E9591" s="68"/>
      <c r="F9591" s="13"/>
      <c r="G9591" s="13"/>
      <c r="H9591" s="13"/>
      <c r="I9591" s="13"/>
      <c r="J9591" s="13"/>
      <c r="K9591" s="13"/>
      <c r="L9591" s="13"/>
      <c r="M9591" s="13"/>
      <c r="N9591" s="13"/>
      <c r="O9591" s="13"/>
      <c r="P9591" s="13"/>
      <c r="Q9591" s="13"/>
      <c r="R9591" s="13"/>
      <c r="S9591" s="13"/>
      <c r="T9591" s="13"/>
      <c r="U9591" s="13"/>
      <c r="V9591" s="13"/>
      <c r="W9591" s="13"/>
      <c r="X9591" s="13"/>
      <c r="Y9591" s="13"/>
      <c r="Z9591" s="13"/>
    </row>
    <row r="9592" spans="1:26" ht="12.95" customHeight="1" outlineLevel="3" x14ac:dyDescent="0.2">
      <c r="A9592" s="76" t="s">
        <v>18273</v>
      </c>
      <c r="B9592" s="76"/>
      <c r="C9592" s="77"/>
      <c r="D9592" s="58"/>
      <c r="E9592" s="68"/>
      <c r="F9592" s="13"/>
      <c r="G9592" s="13"/>
      <c r="H9592" s="13"/>
      <c r="I9592" s="13"/>
      <c r="J9592" s="13"/>
      <c r="K9592" s="13"/>
      <c r="L9592" s="13"/>
      <c r="M9592" s="13"/>
      <c r="N9592" s="13"/>
      <c r="O9592" s="13"/>
      <c r="P9592" s="13"/>
      <c r="Q9592" s="13"/>
      <c r="R9592" s="13"/>
      <c r="S9592" s="13"/>
      <c r="T9592" s="13"/>
      <c r="U9592" s="13"/>
      <c r="V9592" s="13"/>
      <c r="W9592" s="13"/>
      <c r="X9592" s="13"/>
      <c r="Y9592" s="13"/>
      <c r="Z9592" s="13"/>
    </row>
    <row r="9593" spans="1:26" ht="12" customHeight="1" outlineLevel="4" x14ac:dyDescent="0.2">
      <c r="A9593" s="32" t="s">
        <v>18274</v>
      </c>
      <c r="B9593" s="74" t="s">
        <v>18275</v>
      </c>
      <c r="C9593" s="50"/>
      <c r="D9593" s="53">
        <f t="shared" si="149"/>
        <v>0</v>
      </c>
      <c r="E9593" s="60" t="str">
        <f>HYPERLINK("https://www.sds-group.ru/product/sredstvo-dlya-biotualetov-verhniy-bachok-1-litr-chetyre-sezona-63-0007/", "Инфо")</f>
        <v>Инфо</v>
      </c>
      <c r="F9593" s="34" t="s">
        <v>39</v>
      </c>
      <c r="G9593" s="33"/>
      <c r="H9593" s="33" t="s">
        <v>40</v>
      </c>
      <c r="I9593" s="33" t="s">
        <v>18276</v>
      </c>
      <c r="J9593" s="34" t="s">
        <v>100</v>
      </c>
      <c r="K9593" s="33"/>
      <c r="L9593" s="35">
        <v>1</v>
      </c>
      <c r="M9593" s="35">
        <v>14</v>
      </c>
      <c r="N9593" s="35">
        <v>1</v>
      </c>
      <c r="O9593" s="36">
        <v>515.72</v>
      </c>
      <c r="P9593" s="36">
        <v>422.72</v>
      </c>
      <c r="Q9593" s="36">
        <v>361</v>
      </c>
      <c r="R9593" s="36">
        <v>295.89999999999998</v>
      </c>
      <c r="S9593" s="36">
        <v>350.69</v>
      </c>
      <c r="T9593" s="36">
        <v>287.45</v>
      </c>
      <c r="U9593" s="34"/>
      <c r="V9593" s="34"/>
      <c r="W9593" s="34"/>
      <c r="X9593" s="37">
        <v>1.117</v>
      </c>
      <c r="Y9593" s="38">
        <v>1.774E-3</v>
      </c>
      <c r="Z9593" s="21">
        <v>4601004064744</v>
      </c>
    </row>
    <row r="9594" spans="1:26" ht="12.95" customHeight="1" outlineLevel="3" x14ac:dyDescent="0.2">
      <c r="A9594" s="76" t="s">
        <v>18277</v>
      </c>
      <c r="B9594" s="76"/>
      <c r="C9594" s="77"/>
      <c r="D9594" s="58"/>
      <c r="E9594" s="68"/>
      <c r="F9594" s="13"/>
      <c r="G9594" s="13"/>
      <c r="H9594" s="13"/>
      <c r="I9594" s="13"/>
      <c r="J9594" s="13"/>
      <c r="K9594" s="13"/>
      <c r="L9594" s="13"/>
      <c r="M9594" s="13"/>
      <c r="N9594" s="13"/>
      <c r="O9594" s="13"/>
      <c r="P9594" s="13"/>
      <c r="Q9594" s="13"/>
      <c r="R9594" s="13"/>
      <c r="S9594" s="13"/>
      <c r="T9594" s="13"/>
      <c r="U9594" s="13"/>
      <c r="V9594" s="13"/>
      <c r="W9594" s="13"/>
      <c r="X9594" s="13"/>
      <c r="Y9594" s="13"/>
      <c r="Z9594" s="13"/>
    </row>
    <row r="9595" spans="1:26" ht="12" customHeight="1" outlineLevel="4" x14ac:dyDescent="0.2">
      <c r="A9595" s="32" t="s">
        <v>18278</v>
      </c>
      <c r="B9595" s="74" t="s">
        <v>18279</v>
      </c>
      <c r="C9595" s="50"/>
      <c r="D9595" s="53">
        <f t="shared" si="149"/>
        <v>0</v>
      </c>
      <c r="E9595" s="60" t="str">
        <f>HYPERLINK("https://www.sds-group.ru/product/sredstvo-dlya-vygrebnyh-yam-i-dachnyh-tualetov-1-litr-chetyre-sezona-63-0001/", "Инфо")</f>
        <v>Инфо</v>
      </c>
      <c r="F9595" s="34" t="s">
        <v>39</v>
      </c>
      <c r="G9595" s="33"/>
      <c r="H9595" s="33" t="s">
        <v>40</v>
      </c>
      <c r="I9595" s="33" t="s">
        <v>18276</v>
      </c>
      <c r="J9595" s="34" t="s">
        <v>100</v>
      </c>
      <c r="K9595" s="33"/>
      <c r="L9595" s="35">
        <v>1</v>
      </c>
      <c r="M9595" s="35">
        <v>14</v>
      </c>
      <c r="N9595" s="35">
        <v>1</v>
      </c>
      <c r="O9595" s="36">
        <v>571.27</v>
      </c>
      <c r="P9595" s="36">
        <v>468.25</v>
      </c>
      <c r="Q9595" s="36">
        <v>399.89</v>
      </c>
      <c r="R9595" s="36">
        <v>327.78</v>
      </c>
      <c r="S9595" s="36">
        <v>388.46</v>
      </c>
      <c r="T9595" s="36">
        <v>318.41000000000003</v>
      </c>
      <c r="U9595" s="34"/>
      <c r="V9595" s="34"/>
      <c r="W9595" s="34"/>
      <c r="X9595" s="37">
        <v>1.056</v>
      </c>
      <c r="Y9595" s="38">
        <v>1.755E-3</v>
      </c>
      <c r="Z9595" s="21">
        <v>4601004064782</v>
      </c>
    </row>
    <row r="9596" spans="1:26" ht="12.95" customHeight="1" outlineLevel="1" x14ac:dyDescent="0.2">
      <c r="A9596" s="78" t="s">
        <v>18280</v>
      </c>
      <c r="B9596" s="78"/>
      <c r="C9596" s="79"/>
      <c r="D9596" s="57"/>
      <c r="E9596" s="67"/>
      <c r="F9596" s="12"/>
      <c r="G9596" s="12"/>
      <c r="H9596" s="12"/>
      <c r="I9596" s="12"/>
      <c r="J9596" s="12"/>
      <c r="K9596" s="12"/>
      <c r="L9596" s="12"/>
      <c r="M9596" s="12"/>
      <c r="N9596" s="12"/>
      <c r="O9596" s="12"/>
      <c r="P9596" s="12"/>
      <c r="Q9596" s="12"/>
      <c r="R9596" s="12"/>
      <c r="S9596" s="12"/>
      <c r="T9596" s="12"/>
      <c r="U9596" s="12"/>
      <c r="V9596" s="12"/>
      <c r="W9596" s="12"/>
      <c r="X9596" s="12"/>
      <c r="Y9596" s="12"/>
      <c r="Z9596" s="12"/>
    </row>
    <row r="9597" spans="1:26" ht="12.95" customHeight="1" outlineLevel="2" x14ac:dyDescent="0.2">
      <c r="A9597" s="76" t="s">
        <v>18281</v>
      </c>
      <c r="B9597" s="76"/>
      <c r="C9597" s="77"/>
      <c r="D9597" s="58"/>
      <c r="E9597" s="68"/>
      <c r="F9597" s="13"/>
      <c r="G9597" s="13"/>
      <c r="H9597" s="13"/>
      <c r="I9597" s="13"/>
      <c r="J9597" s="13"/>
      <c r="K9597" s="13"/>
      <c r="L9597" s="13"/>
      <c r="M9597" s="13"/>
      <c r="N9597" s="13"/>
      <c r="O9597" s="13"/>
      <c r="P9597" s="13"/>
      <c r="Q9597" s="13"/>
      <c r="R9597" s="13"/>
      <c r="S9597" s="13"/>
      <c r="T9597" s="13"/>
      <c r="U9597" s="13"/>
      <c r="V9597" s="13"/>
      <c r="W9597" s="13"/>
      <c r="X9597" s="13"/>
      <c r="Y9597" s="13"/>
      <c r="Z9597" s="13"/>
    </row>
    <row r="9598" spans="1:26" ht="12.95" customHeight="1" outlineLevel="3" x14ac:dyDescent="0.2">
      <c r="A9598" s="76" t="s">
        <v>18282</v>
      </c>
      <c r="B9598" s="76"/>
      <c r="C9598" s="77"/>
      <c r="D9598" s="58"/>
      <c r="E9598" s="68"/>
      <c r="F9598" s="13"/>
      <c r="G9598" s="13"/>
      <c r="H9598" s="13"/>
      <c r="I9598" s="13"/>
      <c r="J9598" s="13"/>
      <c r="K9598" s="13"/>
      <c r="L9598" s="13"/>
      <c r="M9598" s="13"/>
      <c r="N9598" s="13"/>
      <c r="O9598" s="13"/>
      <c r="P9598" s="13"/>
      <c r="Q9598" s="13"/>
      <c r="R9598" s="13"/>
      <c r="S9598" s="13"/>
      <c r="T9598" s="13"/>
      <c r="U9598" s="13"/>
      <c r="V9598" s="13"/>
      <c r="W9598" s="13"/>
      <c r="X9598" s="13"/>
      <c r="Y9598" s="13"/>
      <c r="Z9598" s="13"/>
    </row>
    <row r="9599" spans="1:26" ht="12" customHeight="1" outlineLevel="4" x14ac:dyDescent="0.2">
      <c r="A9599" s="32" t="s">
        <v>18283</v>
      </c>
      <c r="B9599" s="74" t="s">
        <v>18284</v>
      </c>
      <c r="C9599" s="50"/>
      <c r="D9599" s="53">
        <f t="shared" si="149"/>
        <v>0</v>
      </c>
      <c r="E9599" s="60" t="str">
        <f>HYPERLINK("https://www.sds-group.ru/product/umnye-vesy-belye-halsa-HSL-H-221W/", "Инфо")</f>
        <v>Инфо</v>
      </c>
      <c r="F9599" s="34" t="s">
        <v>39</v>
      </c>
      <c r="G9599" s="33"/>
      <c r="H9599" s="33" t="s">
        <v>40</v>
      </c>
      <c r="I9599" s="33"/>
      <c r="J9599" s="35">
        <v>766</v>
      </c>
      <c r="K9599" s="33"/>
      <c r="L9599" s="35">
        <v>1</v>
      </c>
      <c r="M9599" s="35">
        <v>5</v>
      </c>
      <c r="N9599" s="35">
        <v>1</v>
      </c>
      <c r="O9599" s="36">
        <v>1543.18</v>
      </c>
      <c r="P9599" s="36">
        <v>1264.9000000000001</v>
      </c>
      <c r="Q9599" s="36">
        <v>1080.23</v>
      </c>
      <c r="R9599" s="36">
        <v>885.43</v>
      </c>
      <c r="S9599" s="36">
        <v>1049.3599999999999</v>
      </c>
      <c r="T9599" s="36">
        <v>860.13</v>
      </c>
      <c r="U9599" s="34"/>
      <c r="V9599" s="34"/>
      <c r="W9599" s="34"/>
      <c r="X9599" s="37">
        <v>1.6819999999999999</v>
      </c>
      <c r="Y9599" s="38">
        <v>4.62E-3</v>
      </c>
      <c r="Z9599" s="21">
        <v>4601004193932</v>
      </c>
    </row>
    <row r="9600" spans="1:26" ht="12" customHeight="1" outlineLevel="4" x14ac:dyDescent="0.2">
      <c r="A9600" s="32" t="s">
        <v>18285</v>
      </c>
      <c r="B9600" s="74" t="s">
        <v>18286</v>
      </c>
      <c r="C9600" s="50"/>
      <c r="D9600" s="53">
        <f t="shared" si="149"/>
        <v>0</v>
      </c>
      <c r="E9600" s="60" t="str">
        <f>HYPERLINK("https://www.sds-group.ru/product/umnye-vesy-diagnosticheskie-halsa-HSL-H-212W/", "Инфо")</f>
        <v>Инфо</v>
      </c>
      <c r="F9600" s="34" t="s">
        <v>39</v>
      </c>
      <c r="G9600" s="33"/>
      <c r="H9600" s="33" t="s">
        <v>40</v>
      </c>
      <c r="I9600" s="33"/>
      <c r="J9600" s="35">
        <v>406</v>
      </c>
      <c r="K9600" s="33"/>
      <c r="L9600" s="35">
        <v>1</v>
      </c>
      <c r="M9600" s="35">
        <v>10</v>
      </c>
      <c r="N9600" s="35">
        <v>1</v>
      </c>
      <c r="O9600" s="36">
        <v>2628.81</v>
      </c>
      <c r="P9600" s="36">
        <v>2154.7600000000002</v>
      </c>
      <c r="Q9600" s="36">
        <v>1840.17</v>
      </c>
      <c r="R9600" s="36">
        <v>1508.34</v>
      </c>
      <c r="S9600" s="36">
        <v>1787.59</v>
      </c>
      <c r="T9600" s="36">
        <v>1465.24</v>
      </c>
      <c r="U9600" s="34"/>
      <c r="V9600" s="34"/>
      <c r="W9600" s="34"/>
      <c r="X9600" s="37">
        <v>1.333</v>
      </c>
      <c r="Y9600" s="38">
        <v>3.4659999999999999E-3</v>
      </c>
      <c r="Z9600" s="21">
        <v>4601004252820</v>
      </c>
    </row>
    <row r="9601" spans="1:26" ht="12.95" customHeight="1" outlineLevel="3" x14ac:dyDescent="0.2">
      <c r="A9601" s="76" t="s">
        <v>18287</v>
      </c>
      <c r="B9601" s="76"/>
      <c r="C9601" s="77"/>
      <c r="D9601" s="58"/>
      <c r="E9601" s="68"/>
      <c r="F9601" s="13"/>
      <c r="G9601" s="13"/>
      <c r="H9601" s="13"/>
      <c r="I9601" s="13"/>
      <c r="J9601" s="13"/>
      <c r="K9601" s="13"/>
      <c r="L9601" s="13"/>
      <c r="M9601" s="13"/>
      <c r="N9601" s="13"/>
      <c r="O9601" s="13"/>
      <c r="P9601" s="13"/>
      <c r="Q9601" s="13"/>
      <c r="R9601" s="13"/>
      <c r="S9601" s="13"/>
      <c r="T9601" s="13"/>
      <c r="U9601" s="13"/>
      <c r="V9601" s="13"/>
      <c r="W9601" s="13"/>
      <c r="X9601" s="13"/>
      <c r="Y9601" s="13"/>
      <c r="Z9601" s="13"/>
    </row>
    <row r="9602" spans="1:26" ht="12" customHeight="1" outlineLevel="4" x14ac:dyDescent="0.2">
      <c r="A9602" s="14" t="s">
        <v>18288</v>
      </c>
      <c r="B9602" s="26" t="s">
        <v>18289</v>
      </c>
      <c r="C9602" s="52"/>
      <c r="D9602" s="55">
        <f t="shared" si="149"/>
        <v>0</v>
      </c>
      <c r="E9602" s="63" t="str">
        <f>HYPERLINK("https://www.sds-group.ru/product/umnyy-wi-fi-chaynik-plastikovyy-belyy-halsa-HLS-K-104/", "Инфо")</f>
        <v>Инфо</v>
      </c>
      <c r="F9602" s="16" t="s">
        <v>39</v>
      </c>
      <c r="G9602" s="15"/>
      <c r="H9602" s="15"/>
      <c r="I9602" s="15"/>
      <c r="J9602" s="17">
        <v>916</v>
      </c>
      <c r="K9602" s="15"/>
      <c r="L9602" s="17">
        <v>1</v>
      </c>
      <c r="M9602" s="17">
        <v>8</v>
      </c>
      <c r="N9602" s="17">
        <v>1</v>
      </c>
      <c r="O9602" s="18">
        <v>10552.63</v>
      </c>
      <c r="P9602" s="18">
        <v>8649.7000000000007</v>
      </c>
      <c r="Q9602" s="18">
        <v>7386.84</v>
      </c>
      <c r="R9602" s="18">
        <v>6054.79</v>
      </c>
      <c r="S9602" s="18">
        <v>7175.79</v>
      </c>
      <c r="T9602" s="18">
        <v>5881.8</v>
      </c>
      <c r="U9602" s="16"/>
      <c r="V9602" s="16"/>
      <c r="W9602" s="16"/>
      <c r="X9602" s="19">
        <v>1.526</v>
      </c>
      <c r="Y9602" s="20">
        <v>1.1577E-2</v>
      </c>
      <c r="Z9602" s="21">
        <v>4601004297920</v>
      </c>
    </row>
    <row r="9603" spans="1:26" ht="12" customHeight="1" outlineLevel="4" x14ac:dyDescent="0.2">
      <c r="A9603" s="14" t="s">
        <v>18290</v>
      </c>
      <c r="B9603" s="26" t="s">
        <v>18291</v>
      </c>
      <c r="C9603" s="52"/>
      <c r="D9603" s="55">
        <f t="shared" si="149"/>
        <v>0</v>
      </c>
      <c r="E9603" s="63" t="str">
        <f>HYPERLINK("https://www.sds-group.ru/product/umnyy-wi-fi-chaynik-plastikovyy-chernyy-halsa-HLS-K-103/", "Инфо")</f>
        <v>Инфо</v>
      </c>
      <c r="F9603" s="16" t="s">
        <v>39</v>
      </c>
      <c r="G9603" s="15"/>
      <c r="H9603" s="15"/>
      <c r="I9603" s="15"/>
      <c r="J9603" s="22">
        <v>1068</v>
      </c>
      <c r="K9603" s="15"/>
      <c r="L9603" s="17">
        <v>1</v>
      </c>
      <c r="M9603" s="17">
        <v>8</v>
      </c>
      <c r="N9603" s="17">
        <v>1</v>
      </c>
      <c r="O9603" s="18">
        <v>11080.21</v>
      </c>
      <c r="P9603" s="18">
        <v>9082.14</v>
      </c>
      <c r="Q9603" s="18">
        <v>7756.15</v>
      </c>
      <c r="R9603" s="18">
        <v>6357.5</v>
      </c>
      <c r="S9603" s="18">
        <v>7534.54</v>
      </c>
      <c r="T9603" s="18">
        <v>6175.85</v>
      </c>
      <c r="U9603" s="16"/>
      <c r="V9603" s="16"/>
      <c r="W9603" s="16"/>
      <c r="X9603" s="19">
        <v>1.587</v>
      </c>
      <c r="Y9603" s="20">
        <v>1.2075000000000001E-2</v>
      </c>
      <c r="Z9603" s="21">
        <v>4601004269712</v>
      </c>
    </row>
    <row r="9604" spans="1:26" ht="12.95" customHeight="1" outlineLevel="3" x14ac:dyDescent="0.2">
      <c r="A9604" s="76" t="s">
        <v>18292</v>
      </c>
      <c r="B9604" s="76"/>
      <c r="C9604" s="77"/>
      <c r="D9604" s="58"/>
      <c r="E9604" s="68"/>
      <c r="F9604" s="13"/>
      <c r="G9604" s="13"/>
      <c r="H9604" s="13"/>
      <c r="I9604" s="13"/>
      <c r="J9604" s="13"/>
      <c r="K9604" s="13"/>
      <c r="L9604" s="13"/>
      <c r="M9604" s="13"/>
      <c r="N9604" s="13"/>
      <c r="O9604" s="13"/>
      <c r="P9604" s="13"/>
      <c r="Q9604" s="13"/>
      <c r="R9604" s="13"/>
      <c r="S9604" s="13"/>
      <c r="T9604" s="13"/>
      <c r="U9604" s="13"/>
      <c r="V9604" s="13"/>
      <c r="W9604" s="13"/>
      <c r="X9604" s="13"/>
      <c r="Y9604" s="13"/>
      <c r="Z9604" s="13"/>
    </row>
    <row r="9605" spans="1:26" ht="12" customHeight="1" outlineLevel="4" x14ac:dyDescent="0.2">
      <c r="A9605" s="32" t="s">
        <v>18293</v>
      </c>
      <c r="B9605" s="74" t="s">
        <v>18294</v>
      </c>
      <c r="C9605" s="50"/>
      <c r="D9605" s="53">
        <f t="shared" si="149"/>
        <v>0</v>
      </c>
      <c r="E9605" s="60" t="str">
        <f>HYPERLINK("https://www.sds-group.ru/product/termometr-vodnyy-oranzhevyy-ptichka-halsa-HLS-T-104/", "Инфо")</f>
        <v>Инфо</v>
      </c>
      <c r="F9605" s="34" t="s">
        <v>39</v>
      </c>
      <c r="G9605" s="33"/>
      <c r="H9605" s="33" t="s">
        <v>40</v>
      </c>
      <c r="I9605" s="33"/>
      <c r="J9605" s="35">
        <v>564</v>
      </c>
      <c r="K9605" s="33"/>
      <c r="L9605" s="35">
        <v>1</v>
      </c>
      <c r="M9605" s="35">
        <v>120</v>
      </c>
      <c r="N9605" s="35">
        <v>1</v>
      </c>
      <c r="O9605" s="36">
        <v>349.41</v>
      </c>
      <c r="P9605" s="36">
        <v>286.39999999999998</v>
      </c>
      <c r="Q9605" s="36">
        <v>244.59</v>
      </c>
      <c r="R9605" s="36">
        <v>200.48</v>
      </c>
      <c r="S9605" s="36">
        <v>237.6</v>
      </c>
      <c r="T9605" s="36">
        <v>194.75</v>
      </c>
      <c r="U9605" s="34"/>
      <c r="V9605" s="34"/>
      <c r="W9605" s="34"/>
      <c r="X9605" s="37">
        <v>7.2999999999999995E-2</v>
      </c>
      <c r="Y9605" s="38">
        <v>8.4500000000000005E-4</v>
      </c>
      <c r="Z9605" s="21">
        <v>4601004279100</v>
      </c>
    </row>
    <row r="9606" spans="1:26" ht="12" customHeight="1" outlineLevel="4" x14ac:dyDescent="0.2">
      <c r="A9606" s="32" t="s">
        <v>18295</v>
      </c>
      <c r="B9606" s="74" t="s">
        <v>18296</v>
      </c>
      <c r="C9606" s="50"/>
      <c r="D9606" s="53">
        <f t="shared" si="149"/>
        <v>0</v>
      </c>
      <c r="E9606" s="60" t="str">
        <f>HYPERLINK("https://www.sds-group.ru/product/termometr-vodnyy-rozovyy-halsa-HLS-T-101/", "Инфо")</f>
        <v>Инфо</v>
      </c>
      <c r="F9606" s="34" t="s">
        <v>39</v>
      </c>
      <c r="G9606" s="33"/>
      <c r="H9606" s="33" t="s">
        <v>40</v>
      </c>
      <c r="I9606" s="33"/>
      <c r="J9606" s="35">
        <v>536</v>
      </c>
      <c r="K9606" s="33"/>
      <c r="L9606" s="35">
        <v>1</v>
      </c>
      <c r="M9606" s="35">
        <v>120</v>
      </c>
      <c r="N9606" s="35">
        <v>1</v>
      </c>
      <c r="O9606" s="36">
        <v>391.24</v>
      </c>
      <c r="P9606" s="36">
        <v>320.69</v>
      </c>
      <c r="Q9606" s="36">
        <v>273.87</v>
      </c>
      <c r="R9606" s="36">
        <v>224.48</v>
      </c>
      <c r="S9606" s="36">
        <v>266.04000000000002</v>
      </c>
      <c r="T9606" s="36">
        <v>218.07</v>
      </c>
      <c r="U9606" s="34"/>
      <c r="V9606" s="34"/>
      <c r="W9606" s="34"/>
      <c r="X9606" s="37">
        <v>5.1999999999999998E-2</v>
      </c>
      <c r="Y9606" s="38">
        <v>4.4900000000000002E-4</v>
      </c>
      <c r="Z9606" s="21">
        <v>4601004279070</v>
      </c>
    </row>
    <row r="9607" spans="1:26" ht="12.95" customHeight="1" outlineLevel="2" x14ac:dyDescent="0.2">
      <c r="A9607" s="76" t="s">
        <v>18297</v>
      </c>
      <c r="B9607" s="76"/>
      <c r="C9607" s="77"/>
      <c r="D9607" s="58"/>
      <c r="E9607" s="68"/>
      <c r="F9607" s="13"/>
      <c r="G9607" s="13"/>
      <c r="H9607" s="13"/>
      <c r="I9607" s="13"/>
      <c r="J9607" s="13"/>
      <c r="K9607" s="13"/>
      <c r="L9607" s="13"/>
      <c r="M9607" s="13"/>
      <c r="N9607" s="13"/>
      <c r="O9607" s="13"/>
      <c r="P9607" s="13"/>
      <c r="Q9607" s="13"/>
      <c r="R9607" s="13"/>
      <c r="S9607" s="13"/>
      <c r="T9607" s="13"/>
      <c r="U9607" s="13"/>
      <c r="V9607" s="13"/>
      <c r="W9607" s="13"/>
      <c r="X9607" s="13"/>
      <c r="Y9607" s="13"/>
      <c r="Z9607" s="13"/>
    </row>
    <row r="9608" spans="1:26" ht="12.95" customHeight="1" outlineLevel="3" x14ac:dyDescent="0.2">
      <c r="A9608" s="76" t="s">
        <v>18298</v>
      </c>
      <c r="B9608" s="76"/>
      <c r="C9608" s="77"/>
      <c r="D9608" s="58"/>
      <c r="E9608" s="68"/>
      <c r="F9608" s="13"/>
      <c r="G9608" s="13"/>
      <c r="H9608" s="13"/>
      <c r="I9608" s="13"/>
      <c r="J9608" s="13"/>
      <c r="K9608" s="13"/>
      <c r="L9608" s="13"/>
      <c r="M9608" s="13"/>
      <c r="N9608" s="13"/>
      <c r="O9608" s="13"/>
      <c r="P9608" s="13"/>
      <c r="Q9608" s="13"/>
      <c r="R9608" s="13"/>
      <c r="S9608" s="13"/>
      <c r="T9608" s="13"/>
      <c r="U9608" s="13"/>
      <c r="V9608" s="13"/>
      <c r="W9608" s="13"/>
      <c r="X9608" s="13"/>
      <c r="Y9608" s="13"/>
      <c r="Z9608" s="13"/>
    </row>
    <row r="9609" spans="1:26" ht="12" customHeight="1" outlineLevel="4" x14ac:dyDescent="0.2">
      <c r="A9609" s="32" t="s">
        <v>18299</v>
      </c>
      <c r="B9609" s="74" t="s">
        <v>18300</v>
      </c>
      <c r="C9609" s="50"/>
      <c r="D9609" s="53">
        <f t="shared" ref="D9609:D9670" si="150">C9609*(O9609-O9609*$G$3)</f>
        <v>0</v>
      </c>
      <c r="E9609" s="60" t="str">
        <f>HYPERLINK("https://www.sds-group.ru/product/umnaya-wi-fi-kamera-5v1-s-chasami-termometrom-i-nochnikom-halsa-HSL-S-102W/", "Инфо")</f>
        <v>Инфо</v>
      </c>
      <c r="F9609" s="34" t="s">
        <v>39</v>
      </c>
      <c r="G9609" s="33"/>
      <c r="H9609" s="33" t="s">
        <v>40</v>
      </c>
      <c r="I9609" s="33"/>
      <c r="J9609" s="35">
        <v>17</v>
      </c>
      <c r="K9609" s="33"/>
      <c r="L9609" s="35">
        <v>1</v>
      </c>
      <c r="M9609" s="35">
        <v>10</v>
      </c>
      <c r="N9609" s="35">
        <v>1</v>
      </c>
      <c r="O9609" s="36">
        <v>5529.21</v>
      </c>
      <c r="P9609" s="36">
        <v>4532.1400000000003</v>
      </c>
      <c r="Q9609" s="36">
        <v>3870.45</v>
      </c>
      <c r="R9609" s="36">
        <v>3172.5</v>
      </c>
      <c r="S9609" s="36">
        <v>3759.86</v>
      </c>
      <c r="T9609" s="36">
        <v>3081.85</v>
      </c>
      <c r="U9609" s="34"/>
      <c r="V9609" s="34"/>
      <c r="W9609" s="34"/>
      <c r="X9609" s="37">
        <v>0.36299999999999999</v>
      </c>
      <c r="Y9609" s="38">
        <v>1.72E-3</v>
      </c>
      <c r="Z9609" s="21">
        <v>4601004295506</v>
      </c>
    </row>
    <row r="9610" spans="1:26" ht="12" customHeight="1" outlineLevel="4" x14ac:dyDescent="0.2">
      <c r="A9610" s="32" t="s">
        <v>18301</v>
      </c>
      <c r="B9610" s="74" t="s">
        <v>18302</v>
      </c>
      <c r="C9610" s="50"/>
      <c r="D9610" s="53">
        <f t="shared" si="150"/>
        <v>0</v>
      </c>
      <c r="E9610" s="60" t="str">
        <f>HYPERLINK("https://www.sds-group.ru/product/umnaya-wi-fi-kamera-medvezhonok-halsa-HLS-S-103W/", "Инфо")</f>
        <v>Инфо</v>
      </c>
      <c r="F9610" s="34" t="s">
        <v>39</v>
      </c>
      <c r="G9610" s="33"/>
      <c r="H9610" s="33" t="s">
        <v>40</v>
      </c>
      <c r="I9610" s="33"/>
      <c r="J9610" s="35">
        <v>239</v>
      </c>
      <c r="K9610" s="33"/>
      <c r="L9610" s="35">
        <v>1</v>
      </c>
      <c r="M9610" s="35">
        <v>10</v>
      </c>
      <c r="N9610" s="35">
        <v>1</v>
      </c>
      <c r="O9610" s="36">
        <v>5227.32</v>
      </c>
      <c r="P9610" s="36">
        <v>4284.6899999999996</v>
      </c>
      <c r="Q9610" s="36">
        <v>3659.12</v>
      </c>
      <c r="R9610" s="36">
        <v>2999.28</v>
      </c>
      <c r="S9610" s="36">
        <v>3554.58</v>
      </c>
      <c r="T9610" s="36">
        <v>2913.59</v>
      </c>
      <c r="U9610" s="34"/>
      <c r="V9610" s="34"/>
      <c r="W9610" s="34"/>
      <c r="X9610" s="37">
        <v>0.44</v>
      </c>
      <c r="Y9610" s="38">
        <v>1.8760000000000001E-3</v>
      </c>
      <c r="Z9610" s="21">
        <v>4601004297401</v>
      </c>
    </row>
    <row r="9611" spans="1:26" ht="12.95" customHeight="1" outlineLevel="3" x14ac:dyDescent="0.2">
      <c r="A9611" s="76" t="s">
        <v>18303</v>
      </c>
      <c r="B9611" s="76"/>
      <c r="C9611" s="77"/>
      <c r="D9611" s="58"/>
      <c r="E9611" s="68"/>
      <c r="F9611" s="13"/>
      <c r="G9611" s="13"/>
      <c r="H9611" s="13"/>
      <c r="I9611" s="13"/>
      <c r="J9611" s="13"/>
      <c r="K9611" s="13"/>
      <c r="L9611" s="13"/>
      <c r="M9611" s="13"/>
      <c r="N9611" s="13"/>
      <c r="O9611" s="13"/>
      <c r="P9611" s="13"/>
      <c r="Q9611" s="13"/>
      <c r="R9611" s="13"/>
      <c r="S9611" s="13"/>
      <c r="T9611" s="13"/>
      <c r="U9611" s="13"/>
      <c r="V9611" s="13"/>
      <c r="W9611" s="13"/>
      <c r="X9611" s="13"/>
      <c r="Y9611" s="13"/>
      <c r="Z9611" s="13"/>
    </row>
    <row r="9612" spans="1:26" ht="12" customHeight="1" outlineLevel="4" x14ac:dyDescent="0.2">
      <c r="A9612" s="32" t="s">
        <v>18304</v>
      </c>
      <c r="B9612" s="74" t="s">
        <v>18305</v>
      </c>
      <c r="C9612" s="50"/>
      <c r="D9612" s="53">
        <f t="shared" si="150"/>
        <v>0</v>
      </c>
      <c r="E9612" s="60" t="str">
        <f>HYPERLINK("https://www.sds-group.ru/product/kromka-zaschitnaya-prozrachnaya-30h4h2000mm-halsa-HLS-S-111/", "Инфо")</f>
        <v>Инфо</v>
      </c>
      <c r="F9612" s="34" t="s">
        <v>1001</v>
      </c>
      <c r="G9612" s="33"/>
      <c r="H9612" s="33" t="s">
        <v>40</v>
      </c>
      <c r="I9612" s="33"/>
      <c r="J9612" s="35">
        <v>313</v>
      </c>
      <c r="K9612" s="33"/>
      <c r="L9612" s="35">
        <v>1</v>
      </c>
      <c r="M9612" s="35">
        <v>50</v>
      </c>
      <c r="N9612" s="35">
        <v>1</v>
      </c>
      <c r="O9612" s="36">
        <v>1288.72</v>
      </c>
      <c r="P9612" s="36">
        <v>1056.33</v>
      </c>
      <c r="Q9612" s="36">
        <v>902.1</v>
      </c>
      <c r="R9612" s="36">
        <v>739.43</v>
      </c>
      <c r="S9612" s="36">
        <v>876.33</v>
      </c>
      <c r="T9612" s="36">
        <v>718.3</v>
      </c>
      <c r="U9612" s="34"/>
      <c r="V9612" s="34"/>
      <c r="W9612" s="34"/>
      <c r="X9612" s="37">
        <v>0.26</v>
      </c>
      <c r="Y9612" s="38">
        <v>8.4000000000000003E-4</v>
      </c>
      <c r="Z9612" s="21">
        <v>4601004265684</v>
      </c>
    </row>
    <row r="9613" spans="1:26" ht="12" customHeight="1" outlineLevel="4" x14ac:dyDescent="0.2">
      <c r="A9613" s="32" t="s">
        <v>18306</v>
      </c>
      <c r="B9613" s="74" t="s">
        <v>18307</v>
      </c>
      <c r="C9613" s="50"/>
      <c r="D9613" s="53">
        <f t="shared" si="150"/>
        <v>0</v>
      </c>
      <c r="E9613" s="60" t="str">
        <f>HYPERLINK("https://www.sds-group.ru/product/nabor-dlya-detskoy-bezopasnosti-myagkaya-universalnaya-lenta-na-ostrye-kraya-4-myagkie-na-HLS-S-110W/", "Инфо")</f>
        <v>Инфо</v>
      </c>
      <c r="F9613" s="34" t="s">
        <v>2709</v>
      </c>
      <c r="G9613" s="33"/>
      <c r="H9613" s="33" t="s">
        <v>40</v>
      </c>
      <c r="I9613" s="33"/>
      <c r="J9613" s="39">
        <v>1479</v>
      </c>
      <c r="K9613" s="33"/>
      <c r="L9613" s="35">
        <v>1</v>
      </c>
      <c r="M9613" s="35">
        <v>100</v>
      </c>
      <c r="N9613" s="35">
        <v>1</v>
      </c>
      <c r="O9613" s="36">
        <v>500.71</v>
      </c>
      <c r="P9613" s="36">
        <v>410.42</v>
      </c>
      <c r="Q9613" s="36">
        <v>350.5</v>
      </c>
      <c r="R9613" s="36">
        <v>287.3</v>
      </c>
      <c r="S9613" s="36">
        <v>340.48</v>
      </c>
      <c r="T9613" s="36">
        <v>279.08</v>
      </c>
      <c r="U9613" s="34"/>
      <c r="V9613" s="34"/>
      <c r="W9613" s="34"/>
      <c r="X9613" s="37">
        <v>0.13400000000000001</v>
      </c>
      <c r="Y9613" s="38">
        <v>1.124E-3</v>
      </c>
      <c r="Z9613" s="21">
        <v>4601004179066</v>
      </c>
    </row>
    <row r="9614" spans="1:26" ht="12" customHeight="1" outlineLevel="4" x14ac:dyDescent="0.2">
      <c r="A9614" s="14" t="s">
        <v>18308</v>
      </c>
      <c r="B9614" s="26" t="s">
        <v>18309</v>
      </c>
      <c r="C9614" s="52"/>
      <c r="D9614" s="55">
        <f t="shared" si="150"/>
        <v>0</v>
      </c>
      <c r="E9614" s="63" t="str">
        <f>HYPERLINK("https://www.sds-group.ru/product/nabor-dlya-detskoy-bezopasnosti-myagkaya-universalnaya-lenta-na-ostrye-kraya-4-myagkie-na-HLS-S-110B/", "Инфо")</f>
        <v>Инфо</v>
      </c>
      <c r="F9614" s="16" t="s">
        <v>2709</v>
      </c>
      <c r="G9614" s="15"/>
      <c r="H9614" s="15"/>
      <c r="I9614" s="15"/>
      <c r="J9614" s="22">
        <v>2198</v>
      </c>
      <c r="K9614" s="15" t="s">
        <v>6174</v>
      </c>
      <c r="L9614" s="17">
        <v>1</v>
      </c>
      <c r="M9614" s="17">
        <v>100</v>
      </c>
      <c r="N9614" s="17">
        <v>1</v>
      </c>
      <c r="O9614" s="18">
        <v>655.24</v>
      </c>
      <c r="P9614" s="18">
        <v>537.08000000000004</v>
      </c>
      <c r="Q9614" s="18">
        <v>458.67</v>
      </c>
      <c r="R9614" s="18">
        <v>375.96</v>
      </c>
      <c r="S9614" s="18">
        <v>445.56</v>
      </c>
      <c r="T9614" s="18">
        <v>365.21</v>
      </c>
      <c r="U9614" s="16"/>
      <c r="V9614" s="16"/>
      <c r="W9614" s="16"/>
      <c r="X9614" s="19">
        <v>0.13900000000000001</v>
      </c>
      <c r="Y9614" s="20">
        <v>1.0970000000000001E-3</v>
      </c>
      <c r="Z9614" s="21">
        <v>4601004179073</v>
      </c>
    </row>
    <row r="9615" spans="1:26" ht="12" customHeight="1" outlineLevel="4" x14ac:dyDescent="0.2">
      <c r="A9615" s="32" t="s">
        <v>18310</v>
      </c>
      <c r="B9615" s="74" t="s">
        <v>18311</v>
      </c>
      <c r="C9615" s="50"/>
      <c r="D9615" s="53">
        <f t="shared" si="150"/>
        <v>0</v>
      </c>
      <c r="E9615" s="60" t="str">
        <f>HYPERLINK("https://www.sds-group.ru/product/nakladki-zaschitnye-na-ugly-4-sht-up-halsa-HLS-S-110/", "Инфо")</f>
        <v>Инфо</v>
      </c>
      <c r="F9615" s="34" t="s">
        <v>1001</v>
      </c>
      <c r="G9615" s="33"/>
      <c r="H9615" s="33" t="s">
        <v>40</v>
      </c>
      <c r="I9615" s="33"/>
      <c r="J9615" s="35">
        <v>539</v>
      </c>
      <c r="K9615" s="33"/>
      <c r="L9615" s="35">
        <v>1</v>
      </c>
      <c r="M9615" s="35">
        <v>200</v>
      </c>
      <c r="N9615" s="35">
        <v>1</v>
      </c>
      <c r="O9615" s="36">
        <v>317.33</v>
      </c>
      <c r="P9615" s="36">
        <v>260.11</v>
      </c>
      <c r="Q9615" s="36">
        <v>222.13</v>
      </c>
      <c r="R9615" s="36">
        <v>182.07</v>
      </c>
      <c r="S9615" s="36">
        <v>215.78</v>
      </c>
      <c r="T9615" s="36">
        <v>176.87</v>
      </c>
      <c r="U9615" s="34"/>
      <c r="V9615" s="34"/>
      <c r="W9615" s="34"/>
      <c r="X9615" s="37">
        <v>4.7E-2</v>
      </c>
      <c r="Y9615" s="38">
        <v>2.9300000000000002E-4</v>
      </c>
      <c r="Z9615" s="21">
        <v>4601004265677</v>
      </c>
    </row>
    <row r="9616" spans="1:26" ht="12" customHeight="1" outlineLevel="4" x14ac:dyDescent="0.2">
      <c r="A9616" s="14" t="s">
        <v>18312</v>
      </c>
      <c r="B9616" s="26" t="s">
        <v>18313</v>
      </c>
      <c r="C9616" s="52"/>
      <c r="D9616" s="55">
        <f t="shared" si="150"/>
        <v>0</v>
      </c>
      <c r="E9616" s="63" t="str">
        <f>HYPERLINK("https://www.sds-group.ru/product/nakladki-protektory-dlya-mebeli-kruglye-prozrachnye-43x43x24mm-4-sht-up-halsa-HLS-S-102/", "Инфо")</f>
        <v>Инфо</v>
      </c>
      <c r="F9616" s="16" t="s">
        <v>2709</v>
      </c>
      <c r="G9616" s="15"/>
      <c r="H9616" s="15"/>
      <c r="I9616" s="15"/>
      <c r="J9616" s="17">
        <v>811</v>
      </c>
      <c r="K9616" s="15" t="s">
        <v>6174</v>
      </c>
      <c r="L9616" s="17">
        <v>5</v>
      </c>
      <c r="M9616" s="17">
        <v>200</v>
      </c>
      <c r="N9616" s="17">
        <v>5</v>
      </c>
      <c r="O9616" s="18">
        <v>322.02999999999997</v>
      </c>
      <c r="P9616" s="18">
        <v>263.95999999999998</v>
      </c>
      <c r="Q9616" s="18">
        <v>225.42</v>
      </c>
      <c r="R9616" s="18">
        <v>184.77</v>
      </c>
      <c r="S9616" s="18">
        <v>218.98</v>
      </c>
      <c r="T9616" s="18">
        <v>179.49</v>
      </c>
      <c r="U9616" s="16"/>
      <c r="V9616" s="16"/>
      <c r="W9616" s="16"/>
      <c r="X9616" s="19">
        <v>7.6999999999999999E-2</v>
      </c>
      <c r="Y9616" s="20">
        <v>5.1599999999999997E-4</v>
      </c>
      <c r="Z9616" s="21">
        <v>4601004179004</v>
      </c>
    </row>
    <row r="9617" spans="1:26" ht="12" customHeight="1" outlineLevel="4" x14ac:dyDescent="0.2">
      <c r="A9617" s="32" t="s">
        <v>18314</v>
      </c>
      <c r="B9617" s="74" t="s">
        <v>18315</v>
      </c>
      <c r="C9617" s="50"/>
      <c r="D9617" s="53">
        <f t="shared" si="150"/>
        <v>0</v>
      </c>
      <c r="E9617" s="60" t="str">
        <f>HYPERLINK("https://www.sds-group.ru/product/nakladki-protektory-dlya-mebeli-myagkie-23-9h7-5h51-5-mm-4-sht-up-halsa-HLS-S-107W/", "Инфо")</f>
        <v>Инфо</v>
      </c>
      <c r="F9617" s="34" t="s">
        <v>2709</v>
      </c>
      <c r="G9617" s="33"/>
      <c r="H9617" s="33" t="s">
        <v>40</v>
      </c>
      <c r="I9617" s="33"/>
      <c r="J9617" s="39">
        <v>1221</v>
      </c>
      <c r="K9617" s="33"/>
      <c r="L9617" s="35">
        <v>1</v>
      </c>
      <c r="M9617" s="35">
        <v>200</v>
      </c>
      <c r="N9617" s="35">
        <v>1</v>
      </c>
      <c r="O9617" s="36">
        <v>208.94</v>
      </c>
      <c r="P9617" s="36">
        <v>171.26</v>
      </c>
      <c r="Q9617" s="36">
        <v>146.26</v>
      </c>
      <c r="R9617" s="36">
        <v>119.89</v>
      </c>
      <c r="S9617" s="36">
        <v>142.08000000000001</v>
      </c>
      <c r="T9617" s="36">
        <v>116.46</v>
      </c>
      <c r="U9617" s="34"/>
      <c r="V9617" s="34"/>
      <c r="W9617" s="34"/>
      <c r="X9617" s="37">
        <v>3.5999999999999997E-2</v>
      </c>
      <c r="Y9617" s="38">
        <v>5.2700000000000002E-4</v>
      </c>
      <c r="Z9617" s="21">
        <v>4601004179035</v>
      </c>
    </row>
    <row r="9618" spans="1:26" ht="12" customHeight="1" outlineLevel="4" x14ac:dyDescent="0.2">
      <c r="A9618" s="14" t="s">
        <v>18316</v>
      </c>
      <c r="B9618" s="26" t="s">
        <v>18317</v>
      </c>
      <c r="C9618" s="52"/>
      <c r="D9618" s="55">
        <f t="shared" si="150"/>
        <v>0</v>
      </c>
      <c r="E9618" s="63" t="str">
        <f>HYPERLINK("https://www.sds-group.ru/product/nakladki-protektory-dlya-mebeli-myagkie-32-8h10h52-5-mm-4-sht-up-halsa-HLS-S-106W/", "Инфо")</f>
        <v>Инфо</v>
      </c>
      <c r="F9618" s="16" t="s">
        <v>2709</v>
      </c>
      <c r="G9618" s="15"/>
      <c r="H9618" s="15"/>
      <c r="I9618" s="15"/>
      <c r="J9618" s="22">
        <v>1001</v>
      </c>
      <c r="K9618" s="15" t="s">
        <v>1126</v>
      </c>
      <c r="L9618" s="17">
        <v>5</v>
      </c>
      <c r="M9618" s="17">
        <v>100</v>
      </c>
      <c r="N9618" s="17">
        <v>5</v>
      </c>
      <c r="O9618" s="18">
        <v>394.72</v>
      </c>
      <c r="P9618" s="18">
        <v>323.54000000000002</v>
      </c>
      <c r="Q9618" s="18">
        <v>276.3</v>
      </c>
      <c r="R9618" s="18">
        <v>226.48</v>
      </c>
      <c r="S9618" s="18">
        <v>268.41000000000003</v>
      </c>
      <c r="T9618" s="18">
        <v>220.01</v>
      </c>
      <c r="U9618" s="16"/>
      <c r="V9618" s="16"/>
      <c r="W9618" s="16"/>
      <c r="X9618" s="19">
        <v>7.4999999999999997E-2</v>
      </c>
      <c r="Y9618" s="20">
        <v>1.044E-3</v>
      </c>
      <c r="Z9618" s="21">
        <v>4601004179028</v>
      </c>
    </row>
    <row r="9619" spans="1:26" ht="12" customHeight="1" outlineLevel="4" x14ac:dyDescent="0.2">
      <c r="A9619" s="32" t="s">
        <v>18318</v>
      </c>
      <c r="B9619" s="74" t="s">
        <v>18319</v>
      </c>
      <c r="C9619" s="50"/>
      <c r="D9619" s="53">
        <f t="shared" si="150"/>
        <v>0</v>
      </c>
      <c r="E9619" s="60" t="str">
        <f>HYPERLINK("https://www.sds-group.ru/product/nakladki-protektory-dlya-mebeli-treugolnye-prozrachnye-24x34x19mm-8-sht-up-halsa-HLS-S-103/", "Инфо")</f>
        <v>Инфо</v>
      </c>
      <c r="F9619" s="34" t="s">
        <v>2709</v>
      </c>
      <c r="G9619" s="33"/>
      <c r="H9619" s="33" t="s">
        <v>40</v>
      </c>
      <c r="I9619" s="33"/>
      <c r="J9619" s="39">
        <v>2480</v>
      </c>
      <c r="K9619" s="33"/>
      <c r="L9619" s="35">
        <v>1</v>
      </c>
      <c r="M9619" s="35">
        <v>200</v>
      </c>
      <c r="N9619" s="35">
        <v>1</v>
      </c>
      <c r="O9619" s="36">
        <v>245.22</v>
      </c>
      <c r="P9619" s="36">
        <v>201</v>
      </c>
      <c r="Q9619" s="36">
        <v>171.65</v>
      </c>
      <c r="R9619" s="36">
        <v>140.69999999999999</v>
      </c>
      <c r="S9619" s="36">
        <v>166.75</v>
      </c>
      <c r="T9619" s="36">
        <v>136.68</v>
      </c>
      <c r="U9619" s="34"/>
      <c r="V9619" s="34"/>
      <c r="W9619" s="34"/>
      <c r="X9619" s="37">
        <v>7.2999999999999995E-2</v>
      </c>
      <c r="Y9619" s="38">
        <v>4.5100000000000001E-4</v>
      </c>
      <c r="Z9619" s="21">
        <v>4601004179011</v>
      </c>
    </row>
    <row r="9620" spans="1:26" ht="12" customHeight="1" outlineLevel="4" x14ac:dyDescent="0.2">
      <c r="A9620" s="14" t="s">
        <v>18320</v>
      </c>
      <c r="B9620" s="26" t="s">
        <v>18321</v>
      </c>
      <c r="C9620" s="52"/>
      <c r="D9620" s="55">
        <f t="shared" si="150"/>
        <v>0</v>
      </c>
      <c r="E9620" s="63" t="str">
        <f>HYPERLINK("https://www.sds-group.ru/product/nakladki-protektory-dlya-mebeli-treugolnye-prozrachnye-42-7h42-7h19-5-mm-4-sht-up-halsa-HLS-S-101/", "Инфо")</f>
        <v>Инфо</v>
      </c>
      <c r="F9620" s="16" t="s">
        <v>2709</v>
      </c>
      <c r="G9620" s="15"/>
      <c r="H9620" s="15"/>
      <c r="I9620" s="15"/>
      <c r="J9620" s="16" t="s">
        <v>100</v>
      </c>
      <c r="K9620" s="15" t="s">
        <v>6174</v>
      </c>
      <c r="L9620" s="17">
        <v>5</v>
      </c>
      <c r="M9620" s="17">
        <v>200</v>
      </c>
      <c r="N9620" s="17">
        <v>5</v>
      </c>
      <c r="O9620" s="18">
        <v>394.73</v>
      </c>
      <c r="P9620" s="18">
        <v>323.55</v>
      </c>
      <c r="Q9620" s="18">
        <v>276.31</v>
      </c>
      <c r="R9620" s="18">
        <v>226.48</v>
      </c>
      <c r="S9620" s="18">
        <v>268.42</v>
      </c>
      <c r="T9620" s="18">
        <v>220.02</v>
      </c>
      <c r="U9620" s="16"/>
      <c r="V9620" s="16"/>
      <c r="W9620" s="16"/>
      <c r="X9620" s="19">
        <v>7.4999999999999997E-2</v>
      </c>
      <c r="Y9620" s="20">
        <v>4.5199999999999998E-4</v>
      </c>
      <c r="Z9620" s="21">
        <v>4601004178991</v>
      </c>
    </row>
    <row r="9621" spans="1:26" ht="12" customHeight="1" outlineLevel="4" x14ac:dyDescent="0.2">
      <c r="A9621" s="32" t="s">
        <v>18322</v>
      </c>
      <c r="B9621" s="74" t="s">
        <v>18323</v>
      </c>
      <c r="C9621" s="50"/>
      <c r="D9621" s="53">
        <f t="shared" si="150"/>
        <v>0</v>
      </c>
      <c r="E9621" s="60" t="str">
        <f>HYPERLINK("https://www.sds-group.ru/product/universalnaya-samokleyaschayasya-lenta-na-ostrye-kraya-24h8h2000mm-1-sht-up-halsa-HLS-S-109W/", "Инфо")</f>
        <v>Инфо</v>
      </c>
      <c r="F9621" s="34" t="s">
        <v>2709</v>
      </c>
      <c r="G9621" s="33"/>
      <c r="H9621" s="33" t="s">
        <v>40</v>
      </c>
      <c r="I9621" s="33"/>
      <c r="J9621" s="39">
        <v>1297</v>
      </c>
      <c r="K9621" s="33"/>
      <c r="L9621" s="35">
        <v>1</v>
      </c>
      <c r="M9621" s="35">
        <v>50</v>
      </c>
      <c r="N9621" s="35">
        <v>1</v>
      </c>
      <c r="O9621" s="36">
        <v>620.29</v>
      </c>
      <c r="P9621" s="36">
        <v>508.43</v>
      </c>
      <c r="Q9621" s="36">
        <v>434.2</v>
      </c>
      <c r="R9621" s="36">
        <v>355.9</v>
      </c>
      <c r="S9621" s="36">
        <v>421.8</v>
      </c>
      <c r="T9621" s="36">
        <v>345.74</v>
      </c>
      <c r="U9621" s="34"/>
      <c r="V9621" s="34"/>
      <c r="W9621" s="34"/>
      <c r="X9621" s="37">
        <v>0.183</v>
      </c>
      <c r="Y9621" s="38">
        <v>1.91E-3</v>
      </c>
      <c r="Z9621" s="21">
        <v>4601004179059</v>
      </c>
    </row>
    <row r="9622" spans="1:26" ht="12.95" customHeight="1" outlineLevel="3" x14ac:dyDescent="0.2">
      <c r="A9622" s="76" t="s">
        <v>18324</v>
      </c>
      <c r="B9622" s="76"/>
      <c r="C9622" s="77"/>
      <c r="D9622" s="58"/>
      <c r="E9622" s="68"/>
      <c r="F9622" s="13"/>
      <c r="G9622" s="13"/>
      <c r="H9622" s="13"/>
      <c r="I9622" s="13"/>
      <c r="J9622" s="13"/>
      <c r="K9622" s="13"/>
      <c r="L9622" s="13"/>
      <c r="M9622" s="13"/>
      <c r="N9622" s="13"/>
      <c r="O9622" s="13"/>
      <c r="P9622" s="13"/>
      <c r="Q9622" s="13"/>
      <c r="R9622" s="13"/>
      <c r="S9622" s="13"/>
      <c r="T9622" s="13"/>
      <c r="U9622" s="13"/>
      <c r="V9622" s="13"/>
      <c r="W9622" s="13"/>
      <c r="X9622" s="13"/>
      <c r="Y9622" s="13"/>
      <c r="Z9622" s="13"/>
    </row>
    <row r="9623" spans="1:26" ht="12" customHeight="1" outlineLevel="4" x14ac:dyDescent="0.2">
      <c r="A9623" s="14" t="s">
        <v>18325</v>
      </c>
      <c r="B9623" s="26" t="s">
        <v>18326</v>
      </c>
      <c r="C9623" s="52"/>
      <c r="D9623" s="55">
        <f t="shared" si="150"/>
        <v>0</v>
      </c>
      <c r="E9623" s="63" t="str">
        <f>HYPERLINK("https://www.sds-group.ru/product/blokirator-dvernoy-ruchki-halsa-HLS-S-404/", "Инфо")</f>
        <v>Инфо</v>
      </c>
      <c r="F9623" s="16" t="s">
        <v>39</v>
      </c>
      <c r="G9623" s="15"/>
      <c r="H9623" s="15"/>
      <c r="I9623" s="15"/>
      <c r="J9623" s="22">
        <v>1477</v>
      </c>
      <c r="K9623" s="15" t="s">
        <v>6174</v>
      </c>
      <c r="L9623" s="17">
        <v>1</v>
      </c>
      <c r="M9623" s="17">
        <v>200</v>
      </c>
      <c r="N9623" s="17">
        <v>1</v>
      </c>
      <c r="O9623" s="18">
        <v>955.66</v>
      </c>
      <c r="P9623" s="18">
        <v>783.33</v>
      </c>
      <c r="Q9623" s="18">
        <v>668.96</v>
      </c>
      <c r="R9623" s="18">
        <v>548.33000000000004</v>
      </c>
      <c r="S9623" s="18">
        <v>649.85</v>
      </c>
      <c r="T9623" s="18">
        <v>532.66</v>
      </c>
      <c r="U9623" s="16"/>
      <c r="V9623" s="16"/>
      <c r="W9623" s="16"/>
      <c r="X9623" s="19">
        <v>9.8000000000000004E-2</v>
      </c>
      <c r="Y9623" s="20">
        <v>7.6000000000000004E-4</v>
      </c>
      <c r="Z9623" s="21">
        <v>4601004224889</v>
      </c>
    </row>
    <row r="9624" spans="1:26" ht="12" customHeight="1" outlineLevel="4" x14ac:dyDescent="0.2">
      <c r="A9624" s="32" t="s">
        <v>18327</v>
      </c>
      <c r="B9624" s="74" t="s">
        <v>18328</v>
      </c>
      <c r="C9624" s="50"/>
      <c r="D9624" s="53">
        <f t="shared" si="150"/>
        <v>0</v>
      </c>
      <c r="E9624" s="60" t="str">
        <f>HYPERLINK("https://www.sds-group.ru/product/blokirator-dlya-dvernoy-ruchki-povorotnyy-halsa-HLS-S-403/", "Инфо")</f>
        <v>Инфо</v>
      </c>
      <c r="F9624" s="34" t="s">
        <v>39</v>
      </c>
      <c r="G9624" s="33"/>
      <c r="H9624" s="33" t="s">
        <v>40</v>
      </c>
      <c r="I9624" s="33"/>
      <c r="J9624" s="35">
        <v>1</v>
      </c>
      <c r="K9624" s="33"/>
      <c r="L9624" s="35">
        <v>1</v>
      </c>
      <c r="M9624" s="35">
        <v>200</v>
      </c>
      <c r="N9624" s="35">
        <v>1</v>
      </c>
      <c r="O9624" s="36">
        <v>956.33</v>
      </c>
      <c r="P9624" s="36">
        <v>783.88</v>
      </c>
      <c r="Q9624" s="36">
        <v>669.43</v>
      </c>
      <c r="R9624" s="36">
        <v>548.71</v>
      </c>
      <c r="S9624" s="36">
        <v>650.29999999999995</v>
      </c>
      <c r="T9624" s="36">
        <v>533.03</v>
      </c>
      <c r="U9624" s="34"/>
      <c r="V9624" s="34"/>
      <c r="W9624" s="34"/>
      <c r="X9624" s="37">
        <v>7.0999999999999994E-2</v>
      </c>
      <c r="Y9624" s="38">
        <v>3.0600000000000001E-4</v>
      </c>
      <c r="Z9624" s="21">
        <v>4601004295599</v>
      </c>
    </row>
    <row r="9625" spans="1:26" ht="12" customHeight="1" outlineLevel="4" x14ac:dyDescent="0.2">
      <c r="A9625" s="14" t="s">
        <v>18329</v>
      </c>
      <c r="B9625" s="26" t="s">
        <v>18330</v>
      </c>
      <c r="C9625" s="52"/>
      <c r="D9625" s="55">
        <f t="shared" si="150"/>
        <v>0</v>
      </c>
      <c r="E9625" s="63" t="str">
        <f>HYPERLINK("https://www.sds-group.ru/product/blokirovka-dlya-mebeli-universalnaya-s-reguliruemoy-dlinoy-1-sht-up-halsa-HLS-S-203G/", "Инфо")</f>
        <v>Инфо</v>
      </c>
      <c r="F9625" s="16" t="s">
        <v>2709</v>
      </c>
      <c r="G9625" s="15"/>
      <c r="H9625" s="15"/>
      <c r="I9625" s="15"/>
      <c r="J9625" s="22">
        <v>4242</v>
      </c>
      <c r="K9625" s="15" t="s">
        <v>6174</v>
      </c>
      <c r="L9625" s="17">
        <v>5</v>
      </c>
      <c r="M9625" s="17">
        <v>200</v>
      </c>
      <c r="N9625" s="17">
        <v>5</v>
      </c>
      <c r="O9625" s="18">
        <v>290.85000000000002</v>
      </c>
      <c r="P9625" s="18">
        <v>238.4</v>
      </c>
      <c r="Q9625" s="18">
        <v>203.6</v>
      </c>
      <c r="R9625" s="18">
        <v>166.89</v>
      </c>
      <c r="S9625" s="18">
        <v>197.78</v>
      </c>
      <c r="T9625" s="18">
        <v>162.11000000000001</v>
      </c>
      <c r="U9625" s="16"/>
      <c r="V9625" s="16"/>
      <c r="W9625" s="16"/>
      <c r="X9625" s="19">
        <v>6.2E-2</v>
      </c>
      <c r="Y9625" s="20">
        <v>5.2599999999999999E-4</v>
      </c>
      <c r="Z9625" s="21">
        <v>4601004179103</v>
      </c>
    </row>
    <row r="9626" spans="1:26" ht="12" customHeight="1" outlineLevel="4" x14ac:dyDescent="0.2">
      <c r="A9626" s="32" t="s">
        <v>18331</v>
      </c>
      <c r="B9626" s="74" t="s">
        <v>18332</v>
      </c>
      <c r="C9626" s="50"/>
      <c r="D9626" s="53">
        <f t="shared" si="150"/>
        <v>0</v>
      </c>
      <c r="E9626" s="60" t="str">
        <f>HYPERLINK("https://www.sds-group.ru/product/blokirovka-dlya-mebeli-universalnaya-dlinnaya-2-sht-up-halsa-HLS-S-201/", "Инфо")</f>
        <v>Инфо</v>
      </c>
      <c r="F9626" s="34" t="s">
        <v>2709</v>
      </c>
      <c r="G9626" s="33"/>
      <c r="H9626" s="33" t="s">
        <v>40</v>
      </c>
      <c r="I9626" s="33"/>
      <c r="J9626" s="34" t="s">
        <v>100</v>
      </c>
      <c r="K9626" s="33"/>
      <c r="L9626" s="35">
        <v>1</v>
      </c>
      <c r="M9626" s="35">
        <v>200</v>
      </c>
      <c r="N9626" s="35">
        <v>1</v>
      </c>
      <c r="O9626" s="36">
        <v>259.41000000000003</v>
      </c>
      <c r="P9626" s="36">
        <v>212.63</v>
      </c>
      <c r="Q9626" s="36">
        <v>181.59</v>
      </c>
      <c r="R9626" s="36">
        <v>148.84</v>
      </c>
      <c r="S9626" s="36">
        <v>176.4</v>
      </c>
      <c r="T9626" s="36">
        <v>144.59</v>
      </c>
      <c r="U9626" s="34"/>
      <c r="V9626" s="34"/>
      <c r="W9626" s="34"/>
      <c r="X9626" s="37">
        <v>5.8999999999999997E-2</v>
      </c>
      <c r="Y9626" s="38">
        <v>3.9800000000000002E-4</v>
      </c>
      <c r="Z9626" s="21">
        <v>4601004179080</v>
      </c>
    </row>
    <row r="9627" spans="1:26" ht="12" customHeight="1" outlineLevel="4" x14ac:dyDescent="0.2">
      <c r="A9627" s="32" t="s">
        <v>18333</v>
      </c>
      <c r="B9627" s="74" t="s">
        <v>18334</v>
      </c>
      <c r="C9627" s="50"/>
      <c r="D9627" s="53">
        <f t="shared" si="150"/>
        <v>0</v>
      </c>
      <c r="E9627" s="60" t="str">
        <f>HYPERLINK("https://www.sds-group.ru/product/blokirovka-dlya-mebeli-universalnaya-korotkaya-2-sht-up-halsa-HLS-S-202/", "Инфо")</f>
        <v>Инфо</v>
      </c>
      <c r="F9627" s="34" t="s">
        <v>2709</v>
      </c>
      <c r="G9627" s="33"/>
      <c r="H9627" s="33" t="s">
        <v>40</v>
      </c>
      <c r="I9627" s="33"/>
      <c r="J9627" s="35">
        <v>32</v>
      </c>
      <c r="K9627" s="33"/>
      <c r="L9627" s="35">
        <v>1</v>
      </c>
      <c r="M9627" s="35">
        <v>200</v>
      </c>
      <c r="N9627" s="35">
        <v>1</v>
      </c>
      <c r="O9627" s="36">
        <v>278.20999999999998</v>
      </c>
      <c r="P9627" s="36">
        <v>228.04</v>
      </c>
      <c r="Q9627" s="36">
        <v>194.75</v>
      </c>
      <c r="R9627" s="36">
        <v>159.63</v>
      </c>
      <c r="S9627" s="36">
        <v>189.18</v>
      </c>
      <c r="T9627" s="36">
        <v>155.07</v>
      </c>
      <c r="U9627" s="34"/>
      <c r="V9627" s="34"/>
      <c r="W9627" s="34"/>
      <c r="X9627" s="37">
        <v>5.3999999999999999E-2</v>
      </c>
      <c r="Y9627" s="38">
        <v>3.2200000000000002E-4</v>
      </c>
      <c r="Z9627" s="21">
        <v>4601004179097</v>
      </c>
    </row>
    <row r="9628" spans="1:26" ht="12" customHeight="1" outlineLevel="4" x14ac:dyDescent="0.2">
      <c r="A9628" s="32" t="s">
        <v>18335</v>
      </c>
      <c r="B9628" s="74" t="s">
        <v>18336</v>
      </c>
      <c r="C9628" s="50"/>
      <c r="D9628" s="53">
        <f t="shared" si="150"/>
        <v>0</v>
      </c>
      <c r="E9628" s="60" t="str">
        <f>HYPERLINK("https://www.sds-group.ru/product/vneshniy-zamok-blokirator-dlya-vydvizhnyh-yaschikov-premium-2-sht-up-halsa-HLS-S-211/", "Инфо")</f>
        <v>Инфо</v>
      </c>
      <c r="F9628" s="34" t="s">
        <v>2709</v>
      </c>
      <c r="G9628" s="33"/>
      <c r="H9628" s="33" t="s">
        <v>40</v>
      </c>
      <c r="I9628" s="33"/>
      <c r="J9628" s="35">
        <v>700</v>
      </c>
      <c r="K9628" s="33"/>
      <c r="L9628" s="35">
        <v>1</v>
      </c>
      <c r="M9628" s="35">
        <v>200</v>
      </c>
      <c r="N9628" s="35">
        <v>1</v>
      </c>
      <c r="O9628" s="36">
        <v>658.76</v>
      </c>
      <c r="P9628" s="36">
        <v>539.97</v>
      </c>
      <c r="Q9628" s="36">
        <v>461.13</v>
      </c>
      <c r="R9628" s="36">
        <v>377.98</v>
      </c>
      <c r="S9628" s="36">
        <v>447.96</v>
      </c>
      <c r="T9628" s="36">
        <v>367.18</v>
      </c>
      <c r="U9628" s="34"/>
      <c r="V9628" s="34"/>
      <c r="W9628" s="34"/>
      <c r="X9628" s="37">
        <v>0.13300000000000001</v>
      </c>
      <c r="Y9628" s="38">
        <v>7.1500000000000003E-4</v>
      </c>
      <c r="Z9628" s="21">
        <v>4601004295544</v>
      </c>
    </row>
    <row r="9629" spans="1:26" ht="12" customHeight="1" outlineLevel="4" x14ac:dyDescent="0.2">
      <c r="A9629" s="14" t="s">
        <v>18337</v>
      </c>
      <c r="B9629" s="26" t="s">
        <v>18338</v>
      </c>
      <c r="C9629" s="52"/>
      <c r="D9629" s="55">
        <f t="shared" si="150"/>
        <v>0</v>
      </c>
      <c r="E9629" s="63" t="str">
        <f>HYPERLINK("https://www.sds-group.ru/product/vneshniy-zamok-blokirator-dlya-vydvizhnyh-yaschikov-kvadratnyy-1-sht-up-halsa-HLS-S-209/", "Инфо")</f>
        <v>Инфо</v>
      </c>
      <c r="F9629" s="16" t="s">
        <v>2709</v>
      </c>
      <c r="G9629" s="15"/>
      <c r="H9629" s="15"/>
      <c r="I9629" s="15"/>
      <c r="J9629" s="22">
        <v>1352</v>
      </c>
      <c r="K9629" s="15" t="s">
        <v>1126</v>
      </c>
      <c r="L9629" s="17">
        <v>5</v>
      </c>
      <c r="M9629" s="17">
        <v>200</v>
      </c>
      <c r="N9629" s="17">
        <v>5</v>
      </c>
      <c r="O9629" s="18">
        <v>415.52</v>
      </c>
      <c r="P9629" s="18">
        <v>340.59</v>
      </c>
      <c r="Q9629" s="18">
        <v>290.86</v>
      </c>
      <c r="R9629" s="18">
        <v>238.41</v>
      </c>
      <c r="S9629" s="18">
        <v>282.55</v>
      </c>
      <c r="T9629" s="18">
        <v>231.6</v>
      </c>
      <c r="U9629" s="16"/>
      <c r="V9629" s="16"/>
      <c r="W9629" s="16"/>
      <c r="X9629" s="19">
        <v>5.1999999999999998E-2</v>
      </c>
      <c r="Y9629" s="20">
        <v>3.9899999999999999E-4</v>
      </c>
      <c r="Z9629" s="21">
        <v>4601004178816</v>
      </c>
    </row>
    <row r="9630" spans="1:26" ht="12" customHeight="1" outlineLevel="4" x14ac:dyDescent="0.2">
      <c r="A9630" s="14" t="s">
        <v>18339</v>
      </c>
      <c r="B9630" s="26" t="s">
        <v>18340</v>
      </c>
      <c r="C9630" s="52"/>
      <c r="D9630" s="55">
        <f t="shared" si="150"/>
        <v>0</v>
      </c>
      <c r="E9630" s="63" t="str">
        <f>HYPERLINK("https://www.sds-group.ru/product/vneshniy-zamok-blokirator-dlya-vydvizhnyh-yaschikov-skruglennyy-1-sht-up-halsa-HLS-S-210/", "Инфо")</f>
        <v>Инфо</v>
      </c>
      <c r="F9630" s="16" t="s">
        <v>2709</v>
      </c>
      <c r="G9630" s="15"/>
      <c r="H9630" s="15"/>
      <c r="I9630" s="15"/>
      <c r="J9630" s="22">
        <v>1588</v>
      </c>
      <c r="K9630" s="15" t="s">
        <v>6174</v>
      </c>
      <c r="L9630" s="17">
        <v>5</v>
      </c>
      <c r="M9630" s="17">
        <v>200</v>
      </c>
      <c r="N9630" s="17">
        <v>5</v>
      </c>
      <c r="O9630" s="18">
        <v>292.95</v>
      </c>
      <c r="P9630" s="18">
        <v>240.12</v>
      </c>
      <c r="Q9630" s="18">
        <v>205.07</v>
      </c>
      <c r="R9630" s="18">
        <v>168.09</v>
      </c>
      <c r="S9630" s="18">
        <v>199.21</v>
      </c>
      <c r="T9630" s="18">
        <v>163.29</v>
      </c>
      <c r="U9630" s="16"/>
      <c r="V9630" s="16"/>
      <c r="W9630" s="16"/>
      <c r="X9630" s="19">
        <v>4.8000000000000001E-2</v>
      </c>
      <c r="Y9630" s="20">
        <v>5.9299999999999999E-4</v>
      </c>
      <c r="Z9630" s="21">
        <v>4601004178984</v>
      </c>
    </row>
    <row r="9631" spans="1:26" ht="12" customHeight="1" outlineLevel="4" x14ac:dyDescent="0.2">
      <c r="A9631" s="14" t="s">
        <v>18341</v>
      </c>
      <c r="B9631" s="26" t="s">
        <v>18342</v>
      </c>
      <c r="C9631" s="52"/>
      <c r="D9631" s="55">
        <f t="shared" si="150"/>
        <v>0</v>
      </c>
      <c r="E9631" s="63" t="str">
        <f>HYPERLINK("https://www.sds-group.ru/product/vneshniy-zamok-blokirator-dlya-stvorok-shkafov-3-5h9-7sm-2-sht-up-halsa-HLS-S-214/", "Инфо")</f>
        <v>Инфо</v>
      </c>
      <c r="F9631" s="16" t="s">
        <v>2709</v>
      </c>
      <c r="G9631" s="15"/>
      <c r="H9631" s="15"/>
      <c r="I9631" s="15"/>
      <c r="J9631" s="22">
        <v>5712</v>
      </c>
      <c r="K9631" s="15" t="s">
        <v>6174</v>
      </c>
      <c r="L9631" s="17">
        <v>5</v>
      </c>
      <c r="M9631" s="17">
        <v>200</v>
      </c>
      <c r="N9631" s="17">
        <v>5</v>
      </c>
      <c r="O9631" s="18">
        <v>370.1</v>
      </c>
      <c r="P9631" s="18">
        <v>303.36</v>
      </c>
      <c r="Q9631" s="18">
        <v>259.07</v>
      </c>
      <c r="R9631" s="18">
        <v>212.35</v>
      </c>
      <c r="S9631" s="18">
        <v>251.67</v>
      </c>
      <c r="T9631" s="18">
        <v>206.29</v>
      </c>
      <c r="U9631" s="16"/>
      <c r="V9631" s="16"/>
      <c r="W9631" s="16"/>
      <c r="X9631" s="19">
        <v>5.8999999999999997E-2</v>
      </c>
      <c r="Y9631" s="20">
        <v>3.4099999999999999E-4</v>
      </c>
      <c r="Z9631" s="21">
        <v>4601004178830</v>
      </c>
    </row>
    <row r="9632" spans="1:26" ht="12" customHeight="1" outlineLevel="4" x14ac:dyDescent="0.2">
      <c r="A9632" s="14" t="s">
        <v>18343</v>
      </c>
      <c r="B9632" s="26" t="s">
        <v>18344</v>
      </c>
      <c r="C9632" s="52"/>
      <c r="D9632" s="55">
        <f t="shared" si="150"/>
        <v>0</v>
      </c>
      <c r="E9632" s="63" t="str">
        <f>HYPERLINK("https://www.sds-group.ru/product/vnutrenniy-magnitnyy-zamok-blokirator-dlya-vydvizhnyh-yaschikov-4-sht-up-halsa-HLS-S-213/", "Инфо")</f>
        <v>Инфо</v>
      </c>
      <c r="F9632" s="16" t="s">
        <v>1001</v>
      </c>
      <c r="G9632" s="15"/>
      <c r="H9632" s="15"/>
      <c r="I9632" s="15"/>
      <c r="J9632" s="22">
        <v>4311</v>
      </c>
      <c r="K9632" s="15" t="s">
        <v>1126</v>
      </c>
      <c r="L9632" s="17">
        <v>1</v>
      </c>
      <c r="M9632" s="17">
        <v>100</v>
      </c>
      <c r="N9632" s="17">
        <v>1</v>
      </c>
      <c r="O9632" s="18">
        <v>1436.99</v>
      </c>
      <c r="P9632" s="18">
        <v>1177.8599999999999</v>
      </c>
      <c r="Q9632" s="18">
        <v>1005.89</v>
      </c>
      <c r="R9632" s="18">
        <v>824.5</v>
      </c>
      <c r="S9632" s="18">
        <v>977.15</v>
      </c>
      <c r="T9632" s="18">
        <v>800.94</v>
      </c>
      <c r="U9632" s="16"/>
      <c r="V9632" s="16"/>
      <c r="W9632" s="16"/>
      <c r="X9632" s="19">
        <v>0.221</v>
      </c>
      <c r="Y9632" s="20">
        <v>1.3680000000000001E-3</v>
      </c>
      <c r="Z9632" s="21">
        <v>4601004178823</v>
      </c>
    </row>
    <row r="9633" spans="1:26" ht="12" customHeight="1" outlineLevel="4" x14ac:dyDescent="0.2">
      <c r="A9633" s="32" t="s">
        <v>18345</v>
      </c>
      <c r="B9633" s="74" t="s">
        <v>18346</v>
      </c>
      <c r="C9633" s="50"/>
      <c r="D9633" s="53">
        <f t="shared" si="150"/>
        <v>0</v>
      </c>
      <c r="E9633" s="60" t="str">
        <f>HYPERLINK("https://www.sds-group.ru/product/zaglushki-dlya-rozetok-3-7h3-3h0-3sm-abs-6-sht-up-halsa-HLS-S-602/", "Инфо")</f>
        <v>Инфо</v>
      </c>
      <c r="F9633" s="34" t="s">
        <v>2709</v>
      </c>
      <c r="G9633" s="33"/>
      <c r="H9633" s="33" t="s">
        <v>40</v>
      </c>
      <c r="I9633" s="33"/>
      <c r="J9633" s="35">
        <v>357</v>
      </c>
      <c r="K9633" s="33"/>
      <c r="L9633" s="35">
        <v>1</v>
      </c>
      <c r="M9633" s="35">
        <v>200</v>
      </c>
      <c r="N9633" s="35">
        <v>1</v>
      </c>
      <c r="O9633" s="36">
        <v>311.63</v>
      </c>
      <c r="P9633" s="36">
        <v>255.43</v>
      </c>
      <c r="Q9633" s="36">
        <v>218.14</v>
      </c>
      <c r="R9633" s="36">
        <v>178.8</v>
      </c>
      <c r="S9633" s="36">
        <v>211.91</v>
      </c>
      <c r="T9633" s="36">
        <v>173.7</v>
      </c>
      <c r="U9633" s="34"/>
      <c r="V9633" s="34"/>
      <c r="W9633" s="34"/>
      <c r="X9633" s="37">
        <v>3.5000000000000003E-2</v>
      </c>
      <c r="Y9633" s="38">
        <v>1.8799999999999999E-4</v>
      </c>
      <c r="Z9633" s="21">
        <v>4601004178953</v>
      </c>
    </row>
    <row r="9634" spans="1:26" ht="12" customHeight="1" outlineLevel="4" x14ac:dyDescent="0.2">
      <c r="A9634" s="14" t="s">
        <v>18347</v>
      </c>
      <c r="B9634" s="26" t="s">
        <v>18348</v>
      </c>
      <c r="C9634" s="52"/>
      <c r="D9634" s="55">
        <f t="shared" si="150"/>
        <v>0</v>
      </c>
      <c r="E9634" s="63" t="str">
        <f>HYPERLINK("https://www.sds-group.ru/product/zaglushki-dlya-rozetok-3-7h3-3h2-5-sm-pp-6-sht-up-halsa-HLS-S-601/", "Инфо")</f>
        <v>Инфо</v>
      </c>
      <c r="F9634" s="16" t="s">
        <v>2709</v>
      </c>
      <c r="G9634" s="15"/>
      <c r="H9634" s="15"/>
      <c r="I9634" s="15"/>
      <c r="J9634" s="22">
        <v>1437</v>
      </c>
      <c r="K9634" s="15" t="s">
        <v>6174</v>
      </c>
      <c r="L9634" s="17">
        <v>5</v>
      </c>
      <c r="M9634" s="17">
        <v>200</v>
      </c>
      <c r="N9634" s="17">
        <v>5</v>
      </c>
      <c r="O9634" s="18">
        <v>355.55</v>
      </c>
      <c r="P9634" s="18">
        <v>291.43</v>
      </c>
      <c r="Q9634" s="18">
        <v>248.89</v>
      </c>
      <c r="R9634" s="18">
        <v>204.01</v>
      </c>
      <c r="S9634" s="18">
        <v>241.77</v>
      </c>
      <c r="T9634" s="18">
        <v>198.17</v>
      </c>
      <c r="U9634" s="16"/>
      <c r="V9634" s="16"/>
      <c r="W9634" s="16"/>
      <c r="X9634" s="19">
        <v>5.1999999999999998E-2</v>
      </c>
      <c r="Y9634" s="20">
        <v>5.0500000000000002E-4</v>
      </c>
      <c r="Z9634" s="21">
        <v>4601004178946</v>
      </c>
    </row>
    <row r="9635" spans="1:26" ht="12" customHeight="1" outlineLevel="4" x14ac:dyDescent="0.2">
      <c r="A9635" s="14" t="s">
        <v>18349</v>
      </c>
      <c r="B9635" s="26" t="s">
        <v>18350</v>
      </c>
      <c r="C9635" s="52"/>
      <c r="D9635" s="55">
        <f t="shared" si="150"/>
        <v>0</v>
      </c>
      <c r="E9635" s="63" t="str">
        <f>HYPERLINK("https://www.sds-group.ru/product/zaglushki-dlya-rozetok-3-7h3-6h1-4-sm-abs-6-sht-up-halsa-HLS-S-603/", "Инфо")</f>
        <v>Инфо</v>
      </c>
      <c r="F9635" s="16" t="s">
        <v>2709</v>
      </c>
      <c r="G9635" s="15"/>
      <c r="H9635" s="15"/>
      <c r="I9635" s="15"/>
      <c r="J9635" s="22">
        <v>1707</v>
      </c>
      <c r="K9635" s="15" t="s">
        <v>6174</v>
      </c>
      <c r="L9635" s="17">
        <v>10</v>
      </c>
      <c r="M9635" s="17">
        <v>200</v>
      </c>
      <c r="N9635" s="17">
        <v>10</v>
      </c>
      <c r="O9635" s="18">
        <v>177.77</v>
      </c>
      <c r="P9635" s="18">
        <v>145.71</v>
      </c>
      <c r="Q9635" s="18">
        <v>124.44</v>
      </c>
      <c r="R9635" s="18">
        <v>102</v>
      </c>
      <c r="S9635" s="18">
        <v>120.88</v>
      </c>
      <c r="T9635" s="18">
        <v>99.08</v>
      </c>
      <c r="U9635" s="16"/>
      <c r="V9635" s="16"/>
      <c r="W9635" s="16"/>
      <c r="X9635" s="19">
        <v>4.1000000000000002E-2</v>
      </c>
      <c r="Y9635" s="20">
        <v>3.5799999999999997E-4</v>
      </c>
      <c r="Z9635" s="21">
        <v>4601004178960</v>
      </c>
    </row>
    <row r="9636" spans="1:26" ht="12" customHeight="1" outlineLevel="4" x14ac:dyDescent="0.2">
      <c r="A9636" s="32" t="s">
        <v>18351</v>
      </c>
      <c r="B9636" s="74" t="s">
        <v>18352</v>
      </c>
      <c r="C9636" s="50"/>
      <c r="D9636" s="53">
        <f t="shared" si="150"/>
        <v>0</v>
      </c>
      <c r="E9636" s="60" t="str">
        <f>HYPERLINK("https://www.sds-group.ru/product/zamok-zaschitnyy-okonnyy-halsa-HLS-S-303/", "Инфо")</f>
        <v>Инфо</v>
      </c>
      <c r="F9636" s="34" t="s">
        <v>1001</v>
      </c>
      <c r="G9636" s="33"/>
      <c r="H9636" s="33" t="s">
        <v>40</v>
      </c>
      <c r="I9636" s="33"/>
      <c r="J9636" s="35">
        <v>670</v>
      </c>
      <c r="K9636" s="33"/>
      <c r="L9636" s="35">
        <v>1</v>
      </c>
      <c r="M9636" s="35">
        <v>100</v>
      </c>
      <c r="N9636" s="35">
        <v>1</v>
      </c>
      <c r="O9636" s="36">
        <v>937.47</v>
      </c>
      <c r="P9636" s="36">
        <v>768.42</v>
      </c>
      <c r="Q9636" s="36">
        <v>656.23</v>
      </c>
      <c r="R9636" s="36">
        <v>537.89</v>
      </c>
      <c r="S9636" s="36">
        <v>637.48</v>
      </c>
      <c r="T9636" s="36">
        <v>522.52</v>
      </c>
      <c r="U9636" s="34"/>
      <c r="V9636" s="34"/>
      <c r="W9636" s="34"/>
      <c r="X9636" s="37">
        <v>0.18099999999999999</v>
      </c>
      <c r="Y9636" s="38">
        <v>1.2310000000000001E-3</v>
      </c>
      <c r="Z9636" s="21">
        <v>4601004265707</v>
      </c>
    </row>
    <row r="9637" spans="1:26" ht="12" customHeight="1" outlineLevel="4" x14ac:dyDescent="0.2">
      <c r="A9637" s="14" t="s">
        <v>18353</v>
      </c>
      <c r="B9637" s="26" t="s">
        <v>18354</v>
      </c>
      <c r="C9637" s="52"/>
      <c r="D9637" s="55">
        <f t="shared" si="150"/>
        <v>0</v>
      </c>
      <c r="E9637" s="63" t="str">
        <f>HYPERLINK("https://www.sds-group.ru/product/zamok-blokirator-dlya-duhovki-1-sht-up-halsa-HLS-S-206/", "Инфо")</f>
        <v>Инфо</v>
      </c>
      <c r="F9637" s="16" t="s">
        <v>2709</v>
      </c>
      <c r="G9637" s="15"/>
      <c r="H9637" s="15"/>
      <c r="I9637" s="15"/>
      <c r="J9637" s="22">
        <v>6135</v>
      </c>
      <c r="K9637" s="15" t="s">
        <v>6174</v>
      </c>
      <c r="L9637" s="17">
        <v>1</v>
      </c>
      <c r="M9637" s="17">
        <v>200</v>
      </c>
      <c r="N9637" s="17">
        <v>1</v>
      </c>
      <c r="O9637" s="18">
        <v>622.19000000000005</v>
      </c>
      <c r="P9637" s="18">
        <v>509.99</v>
      </c>
      <c r="Q9637" s="18">
        <v>435.53</v>
      </c>
      <c r="R9637" s="18">
        <v>356.99</v>
      </c>
      <c r="S9637" s="18">
        <v>423.09</v>
      </c>
      <c r="T9637" s="18">
        <v>346.8</v>
      </c>
      <c r="U9637" s="16"/>
      <c r="V9637" s="16"/>
      <c r="W9637" s="16"/>
      <c r="X9637" s="19">
        <v>4.9000000000000002E-2</v>
      </c>
      <c r="Y9637" s="20">
        <v>2.9100000000000003E-4</v>
      </c>
      <c r="Z9637" s="21">
        <v>4601004178908</v>
      </c>
    </row>
    <row r="9638" spans="1:26" ht="12" customHeight="1" outlineLevel="4" x14ac:dyDescent="0.2">
      <c r="A9638" s="14" t="s">
        <v>18355</v>
      </c>
      <c r="B9638" s="26" t="s">
        <v>18356</v>
      </c>
      <c r="C9638" s="52"/>
      <c r="D9638" s="55">
        <f t="shared" si="150"/>
        <v>0</v>
      </c>
      <c r="E9638" s="63" t="str">
        <f>HYPERLINK("https://www.sds-group.ru/product/zamok-blokirator-dlya-duhovogo-shkafa-kleevoy-halsa-HLS-S-219/", "Инфо")</f>
        <v>Инфо</v>
      </c>
      <c r="F9638" s="16" t="s">
        <v>39</v>
      </c>
      <c r="G9638" s="15"/>
      <c r="H9638" s="15"/>
      <c r="I9638" s="15"/>
      <c r="J9638" s="22">
        <v>9933</v>
      </c>
      <c r="K9638" s="15" t="s">
        <v>6174</v>
      </c>
      <c r="L9638" s="17">
        <v>1</v>
      </c>
      <c r="M9638" s="17">
        <v>200</v>
      </c>
      <c r="N9638" s="17">
        <v>1</v>
      </c>
      <c r="O9638" s="18">
        <v>497.77</v>
      </c>
      <c r="P9638" s="18">
        <v>408.01</v>
      </c>
      <c r="Q9638" s="18">
        <v>348.44</v>
      </c>
      <c r="R9638" s="18">
        <v>285.61</v>
      </c>
      <c r="S9638" s="18">
        <v>338.48</v>
      </c>
      <c r="T9638" s="18">
        <v>277.44</v>
      </c>
      <c r="U9638" s="16"/>
      <c r="V9638" s="16"/>
      <c r="W9638" s="16"/>
      <c r="X9638" s="19">
        <v>5.3999999999999999E-2</v>
      </c>
      <c r="Y9638" s="20">
        <v>2.9700000000000001E-4</v>
      </c>
      <c r="Z9638" s="21">
        <v>4601004224872</v>
      </c>
    </row>
    <row r="9639" spans="1:26" ht="12" customHeight="1" outlineLevel="4" x14ac:dyDescent="0.2">
      <c r="A9639" s="14" t="s">
        <v>18357</v>
      </c>
      <c r="B9639" s="26" t="s">
        <v>18358</v>
      </c>
      <c r="C9639" s="52"/>
      <c r="D9639" s="55">
        <f t="shared" si="150"/>
        <v>0</v>
      </c>
      <c r="E9639" s="63" t="str">
        <f>HYPERLINK("https://www.sds-group.ru/product/zamok-blokirator-dlya-duhovogo-shkafa-premium-belyy-halsa-HLS-S-217W/", "Инфо")</f>
        <v>Инфо</v>
      </c>
      <c r="F9639" s="16" t="s">
        <v>39</v>
      </c>
      <c r="G9639" s="15"/>
      <c r="H9639" s="15"/>
      <c r="I9639" s="15"/>
      <c r="J9639" s="22">
        <v>1850</v>
      </c>
      <c r="K9639" s="15" t="s">
        <v>6174</v>
      </c>
      <c r="L9639" s="17">
        <v>5</v>
      </c>
      <c r="M9639" s="17">
        <v>200</v>
      </c>
      <c r="N9639" s="17">
        <v>5</v>
      </c>
      <c r="O9639" s="18">
        <v>578.1</v>
      </c>
      <c r="P9639" s="18">
        <v>473.85</v>
      </c>
      <c r="Q9639" s="18">
        <v>404.67</v>
      </c>
      <c r="R9639" s="18">
        <v>331.7</v>
      </c>
      <c r="S9639" s="18">
        <v>393.11</v>
      </c>
      <c r="T9639" s="18">
        <v>322.22000000000003</v>
      </c>
      <c r="U9639" s="16"/>
      <c r="V9639" s="16"/>
      <c r="W9639" s="16"/>
      <c r="X9639" s="19">
        <v>5.7000000000000002E-2</v>
      </c>
      <c r="Y9639" s="20">
        <v>2.9700000000000001E-4</v>
      </c>
      <c r="Z9639" s="21">
        <v>4601004295582</v>
      </c>
    </row>
    <row r="9640" spans="1:26" ht="12" customHeight="1" outlineLevel="4" x14ac:dyDescent="0.2">
      <c r="A9640" s="14" t="s">
        <v>18359</v>
      </c>
      <c r="B9640" s="26" t="s">
        <v>18360</v>
      </c>
      <c r="C9640" s="52"/>
      <c r="D9640" s="55">
        <f t="shared" si="150"/>
        <v>0</v>
      </c>
      <c r="E9640" s="63" t="str">
        <f>HYPERLINK("https://www.sds-group.ru/product/zamok-blokirator-dlya-duhovogo-shkafa-premium-chernyy-halsa-HLS-S-217B/", "Инфо")</f>
        <v>Инфо</v>
      </c>
      <c r="F9640" s="16" t="s">
        <v>39</v>
      </c>
      <c r="G9640" s="15"/>
      <c r="H9640" s="15"/>
      <c r="I9640" s="15"/>
      <c r="J9640" s="17">
        <v>779</v>
      </c>
      <c r="K9640" s="15" t="s">
        <v>6174</v>
      </c>
      <c r="L9640" s="17">
        <v>5</v>
      </c>
      <c r="M9640" s="17">
        <v>200</v>
      </c>
      <c r="N9640" s="17">
        <v>5</v>
      </c>
      <c r="O9640" s="18">
        <v>578.1</v>
      </c>
      <c r="P9640" s="18">
        <v>473.85</v>
      </c>
      <c r="Q9640" s="18">
        <v>404.67</v>
      </c>
      <c r="R9640" s="18">
        <v>331.7</v>
      </c>
      <c r="S9640" s="18">
        <v>393.11</v>
      </c>
      <c r="T9640" s="18">
        <v>322.22000000000003</v>
      </c>
      <c r="U9640" s="16"/>
      <c r="V9640" s="16"/>
      <c r="W9640" s="16"/>
      <c r="X9640" s="19">
        <v>5.8000000000000003E-2</v>
      </c>
      <c r="Y9640" s="20">
        <v>2.9500000000000001E-4</v>
      </c>
      <c r="Z9640" s="21">
        <v>4601004295537</v>
      </c>
    </row>
    <row r="9641" spans="1:26" ht="12" customHeight="1" outlineLevel="4" x14ac:dyDescent="0.2">
      <c r="A9641" s="14" t="s">
        <v>18361</v>
      </c>
      <c r="B9641" s="26" t="s">
        <v>18362</v>
      </c>
      <c r="C9641" s="52"/>
      <c r="D9641" s="55">
        <f t="shared" si="150"/>
        <v>0</v>
      </c>
      <c r="E9641" s="63" t="str">
        <f>HYPERLINK("https://www.sds-group.ru/product/zamok-blokirator-dlya-kryshki-unitaza-premium-halsa-HLS-S-901/", "Инфо")</f>
        <v>Инфо</v>
      </c>
      <c r="F9641" s="16" t="s">
        <v>39</v>
      </c>
      <c r="G9641" s="15"/>
      <c r="H9641" s="15"/>
      <c r="I9641" s="15"/>
      <c r="J9641" s="17">
        <v>434</v>
      </c>
      <c r="K9641" s="15" t="s">
        <v>210</v>
      </c>
      <c r="L9641" s="17">
        <v>1</v>
      </c>
      <c r="M9641" s="17">
        <v>100</v>
      </c>
      <c r="N9641" s="17">
        <v>1</v>
      </c>
      <c r="O9641" s="18">
        <v>821.5</v>
      </c>
      <c r="P9641" s="18">
        <v>673.36</v>
      </c>
      <c r="Q9641" s="18">
        <v>575.04999999999995</v>
      </c>
      <c r="R9641" s="18">
        <v>471.35</v>
      </c>
      <c r="S9641" s="18">
        <v>558.62</v>
      </c>
      <c r="T9641" s="18">
        <v>457.89</v>
      </c>
      <c r="U9641" s="16"/>
      <c r="V9641" s="16"/>
      <c r="W9641" s="16"/>
      <c r="X9641" s="19">
        <v>0.13100000000000001</v>
      </c>
      <c r="Y9641" s="20">
        <v>7.6400000000000003E-4</v>
      </c>
      <c r="Z9641" s="21">
        <v>4601004295520</v>
      </c>
    </row>
    <row r="9642" spans="1:26" ht="12" customHeight="1" outlineLevel="4" x14ac:dyDescent="0.2">
      <c r="A9642" s="14" t="s">
        <v>18363</v>
      </c>
      <c r="B9642" s="26" t="s">
        <v>18364</v>
      </c>
      <c r="C9642" s="52"/>
      <c r="D9642" s="55">
        <f t="shared" si="150"/>
        <v>0</v>
      </c>
      <c r="E9642" s="63" t="str">
        <f>HYPERLINK("https://www.sds-group.ru/product/zamok-blokirator-dlya-holodilnika-premium-belyy-1-sht-up-halsa-HLS-S-207-1/", "Инфо")</f>
        <v>Инфо</v>
      </c>
      <c r="F9642" s="16" t="s">
        <v>39</v>
      </c>
      <c r="G9642" s="15"/>
      <c r="H9642" s="15"/>
      <c r="I9642" s="15"/>
      <c r="J9642" s="22">
        <v>2174</v>
      </c>
      <c r="K9642" s="15"/>
      <c r="L9642" s="17">
        <v>1</v>
      </c>
      <c r="M9642" s="17">
        <v>200</v>
      </c>
      <c r="N9642" s="17">
        <v>1</v>
      </c>
      <c r="O9642" s="18">
        <v>688.19</v>
      </c>
      <c r="P9642" s="18">
        <v>564.09</v>
      </c>
      <c r="Q9642" s="18">
        <v>481.73</v>
      </c>
      <c r="R9642" s="18">
        <v>394.86</v>
      </c>
      <c r="S9642" s="18">
        <v>467.97</v>
      </c>
      <c r="T9642" s="18">
        <v>383.58</v>
      </c>
      <c r="U9642" s="16"/>
      <c r="V9642" s="16"/>
      <c r="W9642" s="16"/>
      <c r="X9642" s="19">
        <v>8.4000000000000005E-2</v>
      </c>
      <c r="Y9642" s="20">
        <v>6.7199999999999996E-4</v>
      </c>
      <c r="Z9642" s="21">
        <v>4601004295513</v>
      </c>
    </row>
    <row r="9643" spans="1:26" ht="12" customHeight="1" outlineLevel="4" x14ac:dyDescent="0.2">
      <c r="A9643" s="14" t="s">
        <v>18365</v>
      </c>
      <c r="B9643" s="26" t="s">
        <v>18366</v>
      </c>
      <c r="C9643" s="52"/>
      <c r="D9643" s="55">
        <f t="shared" si="150"/>
        <v>0</v>
      </c>
      <c r="E9643" s="63" t="str">
        <f>HYPERLINK("https://www.sds-group.ru/product/zamok-blokirator-dlya-holodilnika-belyy-1-sht-up-halsa-HLS-S-207/", "Инфо")</f>
        <v>Инфо</v>
      </c>
      <c r="F9643" s="16" t="s">
        <v>2709</v>
      </c>
      <c r="G9643" s="15"/>
      <c r="H9643" s="15"/>
      <c r="I9643" s="15"/>
      <c r="J9643" s="22">
        <v>6511</v>
      </c>
      <c r="K9643" s="15" t="s">
        <v>6174</v>
      </c>
      <c r="L9643" s="17">
        <v>5</v>
      </c>
      <c r="M9643" s="17">
        <v>200</v>
      </c>
      <c r="N9643" s="17">
        <v>5</v>
      </c>
      <c r="O9643" s="18">
        <v>355.55</v>
      </c>
      <c r="P9643" s="18">
        <v>291.43</v>
      </c>
      <c r="Q9643" s="18">
        <v>248.89</v>
      </c>
      <c r="R9643" s="18">
        <v>204.01</v>
      </c>
      <c r="S9643" s="18">
        <v>241.77</v>
      </c>
      <c r="T9643" s="18">
        <v>198.17</v>
      </c>
      <c r="U9643" s="16"/>
      <c r="V9643" s="16"/>
      <c r="W9643" s="16"/>
      <c r="X9643" s="19">
        <v>4.5999999999999999E-2</v>
      </c>
      <c r="Y9643" s="20">
        <v>4.0000000000000002E-4</v>
      </c>
      <c r="Z9643" s="21">
        <v>4601004178878</v>
      </c>
    </row>
    <row r="9644" spans="1:26" ht="12" customHeight="1" outlineLevel="4" x14ac:dyDescent="0.2">
      <c r="A9644" s="14" t="s">
        <v>18367</v>
      </c>
      <c r="B9644" s="26" t="s">
        <v>18368</v>
      </c>
      <c r="C9644" s="52"/>
      <c r="D9644" s="55">
        <f t="shared" si="150"/>
        <v>0</v>
      </c>
      <c r="E9644" s="63" t="str">
        <f>HYPERLINK("https://www.sds-group.ru/product/zamok-blokirator-dlya-holodilnika-chernyy-1-sht-up-halsa-HLS-S-208/", "Инфо")</f>
        <v>Инфо</v>
      </c>
      <c r="F9644" s="16" t="s">
        <v>2709</v>
      </c>
      <c r="G9644" s="15"/>
      <c r="H9644" s="15"/>
      <c r="I9644" s="15"/>
      <c r="J9644" s="22">
        <v>3767</v>
      </c>
      <c r="K9644" s="15" t="s">
        <v>6174</v>
      </c>
      <c r="L9644" s="17">
        <v>5</v>
      </c>
      <c r="M9644" s="17">
        <v>200</v>
      </c>
      <c r="N9644" s="17">
        <v>5</v>
      </c>
      <c r="O9644" s="18">
        <v>355.55</v>
      </c>
      <c r="P9644" s="18">
        <v>291.43</v>
      </c>
      <c r="Q9644" s="18">
        <v>248.89</v>
      </c>
      <c r="R9644" s="18">
        <v>204.01</v>
      </c>
      <c r="S9644" s="18">
        <v>241.77</v>
      </c>
      <c r="T9644" s="18">
        <v>198.17</v>
      </c>
      <c r="U9644" s="16"/>
      <c r="V9644" s="16"/>
      <c r="W9644" s="16"/>
      <c r="X9644" s="19">
        <v>5.8999999999999997E-2</v>
      </c>
      <c r="Y9644" s="20">
        <v>4.5600000000000003E-4</v>
      </c>
      <c r="Z9644" s="21">
        <v>4601004178885</v>
      </c>
    </row>
    <row r="9645" spans="1:26" ht="12" customHeight="1" outlineLevel="4" x14ac:dyDescent="0.2">
      <c r="A9645" s="14" t="s">
        <v>18369</v>
      </c>
      <c r="B9645" s="26" t="s">
        <v>18370</v>
      </c>
      <c r="C9645" s="52"/>
      <c r="D9645" s="55">
        <f t="shared" si="150"/>
        <v>0</v>
      </c>
      <c r="E9645" s="63" t="str">
        <f>HYPERLINK("https://www.sds-group.ru/product/zamok-blokirator-dlya-shkafov-i-holodilnikov-kleevoy-halsa-HLS-S-218/", "Инфо")</f>
        <v>Инфо</v>
      </c>
      <c r="F9645" s="16" t="s">
        <v>39</v>
      </c>
      <c r="G9645" s="15"/>
      <c r="H9645" s="15"/>
      <c r="I9645" s="15"/>
      <c r="J9645" s="17">
        <v>615</v>
      </c>
      <c r="K9645" s="15" t="s">
        <v>6174</v>
      </c>
      <c r="L9645" s="17">
        <v>1</v>
      </c>
      <c r="M9645" s="17">
        <v>200</v>
      </c>
      <c r="N9645" s="17">
        <v>1</v>
      </c>
      <c r="O9645" s="18">
        <v>652.94000000000005</v>
      </c>
      <c r="P9645" s="18">
        <v>535.20000000000005</v>
      </c>
      <c r="Q9645" s="18">
        <v>457.06</v>
      </c>
      <c r="R9645" s="18">
        <v>374.64</v>
      </c>
      <c r="S9645" s="18">
        <v>444</v>
      </c>
      <c r="T9645" s="18">
        <v>363.93</v>
      </c>
      <c r="U9645" s="16"/>
      <c r="V9645" s="16"/>
      <c r="W9645" s="16"/>
      <c r="X9645" s="19">
        <v>0.08</v>
      </c>
      <c r="Y9645" s="20">
        <v>4.1399999999999998E-4</v>
      </c>
      <c r="Z9645" s="21">
        <v>4601004224865</v>
      </c>
    </row>
    <row r="9646" spans="1:26" ht="12" customHeight="1" outlineLevel="4" x14ac:dyDescent="0.2">
      <c r="A9646" s="14" t="s">
        <v>18371</v>
      </c>
      <c r="B9646" s="26" t="s">
        <v>18372</v>
      </c>
      <c r="C9646" s="52"/>
      <c r="D9646" s="55">
        <f t="shared" si="150"/>
        <v>0</v>
      </c>
      <c r="E9646" s="63" t="str">
        <f>HYPERLINK("https://www.sds-group.ru/product/kozhuh-zaschitnyy-dlya-kuhonnoy-plity-2-sht-up-halsa-HLS-S-220/", "Инфо")</f>
        <v>Инфо</v>
      </c>
      <c r="F9646" s="16" t="s">
        <v>2709</v>
      </c>
      <c r="G9646" s="15"/>
      <c r="H9646" s="15"/>
      <c r="I9646" s="15"/>
      <c r="J9646" s="22">
        <v>2747</v>
      </c>
      <c r="K9646" s="15" t="s">
        <v>6174</v>
      </c>
      <c r="L9646" s="17">
        <v>1</v>
      </c>
      <c r="M9646" s="17">
        <v>100</v>
      </c>
      <c r="N9646" s="17">
        <v>1</v>
      </c>
      <c r="O9646" s="18">
        <v>831.05</v>
      </c>
      <c r="P9646" s="18">
        <v>681.19</v>
      </c>
      <c r="Q9646" s="18">
        <v>581.74</v>
      </c>
      <c r="R9646" s="18">
        <v>476.84</v>
      </c>
      <c r="S9646" s="18">
        <v>565.11</v>
      </c>
      <c r="T9646" s="18">
        <v>463.2</v>
      </c>
      <c r="U9646" s="16"/>
      <c r="V9646" s="16"/>
      <c r="W9646" s="16"/>
      <c r="X9646" s="19">
        <v>0.13800000000000001</v>
      </c>
      <c r="Y9646" s="20">
        <v>1.686E-3</v>
      </c>
      <c r="Z9646" s="21">
        <v>4601004224896</v>
      </c>
    </row>
    <row r="9647" spans="1:26" ht="12" customHeight="1" outlineLevel="4" x14ac:dyDescent="0.2">
      <c r="A9647" s="14" t="s">
        <v>18373</v>
      </c>
      <c r="B9647" s="26" t="s">
        <v>18374</v>
      </c>
      <c r="C9647" s="52"/>
      <c r="D9647" s="55">
        <f t="shared" si="150"/>
        <v>0</v>
      </c>
      <c r="E9647" s="63" t="str">
        <f>HYPERLINK("https://www.sds-group.ru/product/ogranichitel-dlya-razdvizhnogo-okna-1-sht-up-halsa-HLS-S-302/", "Инфо")</f>
        <v>Инфо</v>
      </c>
      <c r="F9647" s="16" t="s">
        <v>2709</v>
      </c>
      <c r="G9647" s="15"/>
      <c r="H9647" s="15"/>
      <c r="I9647" s="15"/>
      <c r="J9647" s="17">
        <v>728</v>
      </c>
      <c r="K9647" s="15"/>
      <c r="L9647" s="17">
        <v>5</v>
      </c>
      <c r="M9647" s="17">
        <v>200</v>
      </c>
      <c r="N9647" s="17">
        <v>5</v>
      </c>
      <c r="O9647" s="18">
        <v>395.73</v>
      </c>
      <c r="P9647" s="18">
        <v>324.37</v>
      </c>
      <c r="Q9647" s="18">
        <v>277.01</v>
      </c>
      <c r="R9647" s="18">
        <v>227.06</v>
      </c>
      <c r="S9647" s="18">
        <v>269.10000000000002</v>
      </c>
      <c r="T9647" s="18">
        <v>220.57</v>
      </c>
      <c r="U9647" s="16"/>
      <c r="V9647" s="16"/>
      <c r="W9647" s="16"/>
      <c r="X9647" s="19">
        <v>8.5999999999999993E-2</v>
      </c>
      <c r="Y9647" s="20">
        <v>4.7699999999999999E-4</v>
      </c>
      <c r="Z9647" s="21">
        <v>4601004178861</v>
      </c>
    </row>
    <row r="9648" spans="1:26" ht="12" customHeight="1" outlineLevel="4" x14ac:dyDescent="0.2">
      <c r="A9648" s="14" t="s">
        <v>18375</v>
      </c>
      <c r="B9648" s="26" t="s">
        <v>18376</v>
      </c>
      <c r="C9648" s="52"/>
      <c r="D9648" s="55">
        <f t="shared" si="150"/>
        <v>0</v>
      </c>
      <c r="E9648" s="63" t="str">
        <f>HYPERLINK("https://www.sds-group.ru/product/ogranichitel-babochka-dlya-razdvizhnogo-okna-1-sht-up-halsa-HLS-S-301/", "Инфо")</f>
        <v>Инфо</v>
      </c>
      <c r="F9648" s="16" t="s">
        <v>2709</v>
      </c>
      <c r="G9648" s="15"/>
      <c r="H9648" s="15"/>
      <c r="I9648" s="15"/>
      <c r="J9648" s="22">
        <v>1320</v>
      </c>
      <c r="K9648" s="15"/>
      <c r="L9648" s="17">
        <v>5</v>
      </c>
      <c r="M9648" s="17">
        <v>200</v>
      </c>
      <c r="N9648" s="17">
        <v>5</v>
      </c>
      <c r="O9648" s="18">
        <v>286.69</v>
      </c>
      <c r="P9648" s="18">
        <v>234.99</v>
      </c>
      <c r="Q9648" s="18">
        <v>200.68</v>
      </c>
      <c r="R9648" s="18">
        <v>164.49</v>
      </c>
      <c r="S9648" s="18">
        <v>194.95</v>
      </c>
      <c r="T9648" s="18">
        <v>159.80000000000001</v>
      </c>
      <c r="U9648" s="16"/>
      <c r="V9648" s="16"/>
      <c r="W9648" s="16"/>
      <c r="X9648" s="19">
        <v>4.7E-2</v>
      </c>
      <c r="Y9648" s="20">
        <v>2.1000000000000001E-4</v>
      </c>
      <c r="Z9648" s="21">
        <v>4601004178854</v>
      </c>
    </row>
    <row r="9649" spans="1:26" ht="12" customHeight="1" outlineLevel="4" x14ac:dyDescent="0.2">
      <c r="A9649" s="32" t="s">
        <v>18377</v>
      </c>
      <c r="B9649" s="74" t="s">
        <v>18378</v>
      </c>
      <c r="C9649" s="50"/>
      <c r="D9649" s="53">
        <f t="shared" si="150"/>
        <v>0</v>
      </c>
      <c r="E9649" s="60" t="str">
        <f>HYPERLINK("https://www.sds-group.ru/product/ogranichitel-stopper-dlya-dveri-reguliruemiy-2-sht-up-halsa-25700/", "Инфо")</f>
        <v>Инфо</v>
      </c>
      <c r="F9649" s="34" t="s">
        <v>2709</v>
      </c>
      <c r="G9649" s="33"/>
      <c r="H9649" s="33" t="s">
        <v>40</v>
      </c>
      <c r="I9649" s="33"/>
      <c r="J9649" s="34" t="s">
        <v>100</v>
      </c>
      <c r="K9649" s="33"/>
      <c r="L9649" s="35">
        <v>1</v>
      </c>
      <c r="M9649" s="35">
        <v>100</v>
      </c>
      <c r="N9649" s="35">
        <v>1</v>
      </c>
      <c r="O9649" s="36">
        <v>394.72</v>
      </c>
      <c r="P9649" s="36">
        <v>323.54000000000002</v>
      </c>
      <c r="Q9649" s="36">
        <v>276.3</v>
      </c>
      <c r="R9649" s="36">
        <v>226.48</v>
      </c>
      <c r="S9649" s="36">
        <v>268.41000000000003</v>
      </c>
      <c r="T9649" s="36">
        <v>220.01</v>
      </c>
      <c r="U9649" s="34"/>
      <c r="V9649" s="34"/>
      <c r="W9649" s="34"/>
      <c r="X9649" s="37">
        <v>0.122</v>
      </c>
      <c r="Y9649" s="38">
        <v>6.2799999999999998E-4</v>
      </c>
      <c r="Z9649" s="21">
        <v>4601004178939</v>
      </c>
    </row>
    <row r="9650" spans="1:26" ht="12" customHeight="1" outlineLevel="4" x14ac:dyDescent="0.2">
      <c r="A9650" s="14" t="s">
        <v>18379</v>
      </c>
      <c r="B9650" s="26" t="s">
        <v>18380</v>
      </c>
      <c r="C9650" s="52"/>
      <c r="D9650" s="55">
        <f t="shared" si="150"/>
        <v>0</v>
      </c>
      <c r="E9650" s="63" t="str">
        <f>HYPERLINK("https://www.sds-group.ru/product/ogranichitel-stopper-dlya-dveri-tpr-1-sht-up-halsa-HLS-S-504/", "Инфо")</f>
        <v>Инфо</v>
      </c>
      <c r="F9650" s="16" t="s">
        <v>2709</v>
      </c>
      <c r="G9650" s="15"/>
      <c r="H9650" s="15"/>
      <c r="I9650" s="15"/>
      <c r="J9650" s="22">
        <v>2752</v>
      </c>
      <c r="K9650" s="15" t="s">
        <v>6174</v>
      </c>
      <c r="L9650" s="17">
        <v>5</v>
      </c>
      <c r="M9650" s="17">
        <v>200</v>
      </c>
      <c r="N9650" s="17">
        <v>5</v>
      </c>
      <c r="O9650" s="18">
        <v>228.53</v>
      </c>
      <c r="P9650" s="18">
        <v>187.32</v>
      </c>
      <c r="Q9650" s="18">
        <v>159.97</v>
      </c>
      <c r="R9650" s="18">
        <v>131.12</v>
      </c>
      <c r="S9650" s="18">
        <v>155.4</v>
      </c>
      <c r="T9650" s="18">
        <v>127.38</v>
      </c>
      <c r="U9650" s="16"/>
      <c r="V9650" s="16"/>
      <c r="W9650" s="16"/>
      <c r="X9650" s="19">
        <v>6.9000000000000006E-2</v>
      </c>
      <c r="Y9650" s="20">
        <v>3.3199999999999999E-4</v>
      </c>
      <c r="Z9650" s="21">
        <v>4601004178915</v>
      </c>
    </row>
    <row r="9651" spans="1:26" ht="12" customHeight="1" outlineLevel="4" x14ac:dyDescent="0.2">
      <c r="A9651" s="14" t="s">
        <v>18381</v>
      </c>
      <c r="B9651" s="26" t="s">
        <v>18382</v>
      </c>
      <c r="C9651" s="52"/>
      <c r="D9651" s="55">
        <f t="shared" si="150"/>
        <v>0</v>
      </c>
      <c r="E9651" s="63" t="str">
        <f>HYPERLINK("https://www.sds-group.ru/product/ogranichitel-stopper-dlya-dveri-eva-1-sht-up-halsa-HLS-S-502/", "Инфо")</f>
        <v>Инфо</v>
      </c>
      <c r="F9651" s="16" t="s">
        <v>2709</v>
      </c>
      <c r="G9651" s="15"/>
      <c r="H9651" s="15"/>
      <c r="I9651" s="15"/>
      <c r="J9651" s="22">
        <v>3476</v>
      </c>
      <c r="K9651" s="15" t="s">
        <v>6174</v>
      </c>
      <c r="L9651" s="17">
        <v>10</v>
      </c>
      <c r="M9651" s="17">
        <v>200</v>
      </c>
      <c r="N9651" s="17">
        <v>10</v>
      </c>
      <c r="O9651" s="18">
        <v>203.16</v>
      </c>
      <c r="P9651" s="18">
        <v>166.52</v>
      </c>
      <c r="Q9651" s="18">
        <v>142.21</v>
      </c>
      <c r="R9651" s="18">
        <v>116.57</v>
      </c>
      <c r="S9651" s="18">
        <v>138.15</v>
      </c>
      <c r="T9651" s="18">
        <v>113.24</v>
      </c>
      <c r="U9651" s="16"/>
      <c r="V9651" s="16"/>
      <c r="W9651" s="16"/>
      <c r="X9651" s="19">
        <v>3.5999999999999997E-2</v>
      </c>
      <c r="Y9651" s="20">
        <v>4.37E-4</v>
      </c>
      <c r="Z9651" s="21">
        <v>4601004178892</v>
      </c>
    </row>
    <row r="9652" spans="1:26" ht="12" customHeight="1" outlineLevel="4" x14ac:dyDescent="0.2">
      <c r="A9652" s="14" t="s">
        <v>18383</v>
      </c>
      <c r="B9652" s="26" t="s">
        <v>18384</v>
      </c>
      <c r="C9652" s="52"/>
      <c r="D9652" s="55">
        <f t="shared" si="150"/>
        <v>0</v>
      </c>
      <c r="E9652" s="63" t="str">
        <f>HYPERLINK("https://www.sds-group.ru/product/probka-dvernaya-predohranitelnaya-dlya-zaschity-paltsev-halsa-HLS-S-507/", "Инфо")</f>
        <v>Инфо</v>
      </c>
      <c r="F9652" s="16" t="s">
        <v>39</v>
      </c>
      <c r="G9652" s="15"/>
      <c r="H9652" s="15"/>
      <c r="I9652" s="15"/>
      <c r="J9652" s="22">
        <v>2320</v>
      </c>
      <c r="K9652" s="15" t="s">
        <v>6174</v>
      </c>
      <c r="L9652" s="17">
        <v>1</v>
      </c>
      <c r="M9652" s="17">
        <v>200</v>
      </c>
      <c r="N9652" s="17">
        <v>1</v>
      </c>
      <c r="O9652" s="18">
        <v>519.38</v>
      </c>
      <c r="P9652" s="18">
        <v>425.72</v>
      </c>
      <c r="Q9652" s="18">
        <v>363.57</v>
      </c>
      <c r="R9652" s="18">
        <v>298.01</v>
      </c>
      <c r="S9652" s="18">
        <v>353.18</v>
      </c>
      <c r="T9652" s="18">
        <v>289.49</v>
      </c>
      <c r="U9652" s="16"/>
      <c r="V9652" s="16"/>
      <c r="W9652" s="16"/>
      <c r="X9652" s="19">
        <v>7.4999999999999997E-2</v>
      </c>
      <c r="Y9652" s="20">
        <v>9.1100000000000003E-4</v>
      </c>
      <c r="Z9652" s="21">
        <v>4601004224858</v>
      </c>
    </row>
    <row r="9653" spans="1:26" ht="12" customHeight="1" outlineLevel="4" x14ac:dyDescent="0.2">
      <c r="A9653" s="14" t="s">
        <v>18385</v>
      </c>
      <c r="B9653" s="26" t="s">
        <v>18386</v>
      </c>
      <c r="C9653" s="52"/>
      <c r="D9653" s="55">
        <f t="shared" si="150"/>
        <v>0</v>
      </c>
      <c r="E9653" s="63" t="str">
        <f>HYPERLINK("https://www.sds-group.ru/product/probka-stopper-dlya-dveri-povorotnaya-halsa-HLS-S-508/", "Инфо")</f>
        <v>Инфо</v>
      </c>
      <c r="F9653" s="16" t="s">
        <v>39</v>
      </c>
      <c r="G9653" s="15"/>
      <c r="H9653" s="15"/>
      <c r="I9653" s="15"/>
      <c r="J9653" s="17">
        <v>956</v>
      </c>
      <c r="K9653" s="15" t="s">
        <v>1126</v>
      </c>
      <c r="L9653" s="17">
        <v>1</v>
      </c>
      <c r="M9653" s="17">
        <v>200</v>
      </c>
      <c r="N9653" s="17">
        <v>1</v>
      </c>
      <c r="O9653" s="18">
        <v>593.30999999999995</v>
      </c>
      <c r="P9653" s="18">
        <v>486.32</v>
      </c>
      <c r="Q9653" s="18">
        <v>415.32</v>
      </c>
      <c r="R9653" s="18">
        <v>340.43</v>
      </c>
      <c r="S9653" s="18">
        <v>403.45</v>
      </c>
      <c r="T9653" s="18">
        <v>330.7</v>
      </c>
      <c r="U9653" s="16"/>
      <c r="V9653" s="16"/>
      <c r="W9653" s="16"/>
      <c r="X9653" s="19">
        <v>7.9000000000000001E-2</v>
      </c>
      <c r="Y9653" s="20">
        <v>7.3899999999999997E-4</v>
      </c>
      <c r="Z9653" s="21">
        <v>4601004295568</v>
      </c>
    </row>
    <row r="9654" spans="1:26" ht="12.95" customHeight="1" outlineLevel="3" x14ac:dyDescent="0.2">
      <c r="A9654" s="76" t="s">
        <v>18387</v>
      </c>
      <c r="B9654" s="76"/>
      <c r="C9654" s="77"/>
      <c r="D9654" s="58"/>
      <c r="E9654" s="68"/>
      <c r="F9654" s="13"/>
      <c r="G9654" s="13"/>
      <c r="H9654" s="13"/>
      <c r="I9654" s="13"/>
      <c r="J9654" s="13"/>
      <c r="K9654" s="13"/>
      <c r="L9654" s="13"/>
      <c r="M9654" s="13"/>
      <c r="N9654" s="13"/>
      <c r="O9654" s="13"/>
      <c r="P9654" s="13"/>
      <c r="Q9654" s="13"/>
      <c r="R9654" s="13"/>
      <c r="S9654" s="13"/>
      <c r="T9654" s="13"/>
      <c r="U9654" s="13"/>
      <c r="V9654" s="13"/>
      <c r="W9654" s="13"/>
      <c r="X9654" s="13"/>
      <c r="Y9654" s="13"/>
      <c r="Z9654" s="13"/>
    </row>
    <row r="9655" spans="1:26" ht="12" customHeight="1" outlineLevel="4" x14ac:dyDescent="0.2">
      <c r="A9655" s="14" t="s">
        <v>18388</v>
      </c>
      <c r="B9655" s="26" t="s">
        <v>18389</v>
      </c>
      <c r="C9655" s="52"/>
      <c r="D9655" s="55">
        <f t="shared" si="150"/>
        <v>0</v>
      </c>
      <c r="E9655" s="63" t="str">
        <f>HYPERLINK("https://www.sds-group.ru/product/remni-dlya-krepleniya-televizora-i-mebeli-2-sht-up-halsa-HLS-S-701/", "Инфо")</f>
        <v>Инфо</v>
      </c>
      <c r="F9655" s="16" t="s">
        <v>2709</v>
      </c>
      <c r="G9655" s="15"/>
      <c r="H9655" s="15"/>
      <c r="I9655" s="15"/>
      <c r="J9655" s="22">
        <v>2059</v>
      </c>
      <c r="K9655" s="15" t="s">
        <v>6174</v>
      </c>
      <c r="L9655" s="17">
        <v>1</v>
      </c>
      <c r="M9655" s="17">
        <v>50</v>
      </c>
      <c r="N9655" s="17">
        <v>1</v>
      </c>
      <c r="O9655" s="18">
        <v>1377.11</v>
      </c>
      <c r="P9655" s="18">
        <v>1128.78</v>
      </c>
      <c r="Q9655" s="18">
        <v>963.98</v>
      </c>
      <c r="R9655" s="18">
        <v>790.15</v>
      </c>
      <c r="S9655" s="18">
        <v>936.43</v>
      </c>
      <c r="T9655" s="18">
        <v>767.57</v>
      </c>
      <c r="U9655" s="16"/>
      <c r="V9655" s="16"/>
      <c r="W9655" s="16"/>
      <c r="X9655" s="19">
        <v>0.29099999999999998</v>
      </c>
      <c r="Y9655" s="20">
        <v>7.8399999999999997E-4</v>
      </c>
      <c r="Z9655" s="21">
        <v>4601004178977</v>
      </c>
    </row>
    <row r="9656" spans="1:26" ht="12.95" customHeight="1" outlineLevel="2" x14ac:dyDescent="0.2">
      <c r="A9656" s="76" t="s">
        <v>18390</v>
      </c>
      <c r="B9656" s="76"/>
      <c r="C9656" s="77"/>
      <c r="D9656" s="58"/>
      <c r="E9656" s="68"/>
      <c r="F9656" s="13"/>
      <c r="G9656" s="13"/>
      <c r="H9656" s="13"/>
      <c r="I9656" s="13"/>
      <c r="J9656" s="13"/>
      <c r="K9656" s="13"/>
      <c r="L9656" s="13"/>
      <c r="M9656" s="13"/>
      <c r="N9656" s="13"/>
      <c r="O9656" s="13"/>
      <c r="P9656" s="13"/>
      <c r="Q9656" s="13"/>
      <c r="R9656" s="13"/>
      <c r="S9656" s="13"/>
      <c r="T9656" s="13"/>
      <c r="U9656" s="13"/>
      <c r="V9656" s="13"/>
      <c r="W9656" s="13"/>
      <c r="X9656" s="13"/>
      <c r="Y9656" s="13"/>
      <c r="Z9656" s="13"/>
    </row>
    <row r="9657" spans="1:26" ht="12.95" customHeight="1" outlineLevel="3" x14ac:dyDescent="0.2">
      <c r="A9657" s="76" t="s">
        <v>18391</v>
      </c>
      <c r="B9657" s="76"/>
      <c r="C9657" s="77"/>
      <c r="D9657" s="58"/>
      <c r="E9657" s="68"/>
      <c r="F9657" s="13"/>
      <c r="G9657" s="13"/>
      <c r="H9657" s="13"/>
      <c r="I9657" s="13"/>
      <c r="J9657" s="13"/>
      <c r="K9657" s="13"/>
      <c r="L9657" s="13"/>
      <c r="M9657" s="13"/>
      <c r="N9657" s="13"/>
      <c r="O9657" s="13"/>
      <c r="P9657" s="13"/>
      <c r="Q9657" s="13"/>
      <c r="R9657" s="13"/>
      <c r="S9657" s="13"/>
      <c r="T9657" s="13"/>
      <c r="U9657" s="13"/>
      <c r="V9657" s="13"/>
      <c r="W9657" s="13"/>
      <c r="X9657" s="13"/>
      <c r="Y9657" s="13"/>
      <c r="Z9657" s="13"/>
    </row>
    <row r="9658" spans="1:26" ht="12" customHeight="1" outlineLevel="4" x14ac:dyDescent="0.2">
      <c r="A9658" s="32" t="s">
        <v>18392</v>
      </c>
      <c r="B9658" s="74" t="s">
        <v>18393</v>
      </c>
      <c r="C9658" s="50"/>
      <c r="D9658" s="53">
        <f t="shared" si="150"/>
        <v>0</v>
      </c>
      <c r="E9658" s="60" t="str">
        <f>HYPERLINK("https://www.sds-group.ru/product/musornoe-vedro-s-datchikom-dvizheniya-krugloe-10l-halsa-HSL-C-102/", "Инфо")</f>
        <v>Инфо</v>
      </c>
      <c r="F9658" s="34" t="s">
        <v>39</v>
      </c>
      <c r="G9658" s="33"/>
      <c r="H9658" s="33" t="s">
        <v>40</v>
      </c>
      <c r="I9658" s="33"/>
      <c r="J9658" s="35">
        <v>23</v>
      </c>
      <c r="K9658" s="33"/>
      <c r="L9658" s="35">
        <v>1</v>
      </c>
      <c r="M9658" s="35">
        <v>1</v>
      </c>
      <c r="N9658" s="35">
        <v>1</v>
      </c>
      <c r="O9658" s="36">
        <v>2866.45</v>
      </c>
      <c r="P9658" s="36">
        <v>2349.5500000000002</v>
      </c>
      <c r="Q9658" s="36">
        <v>2006.52</v>
      </c>
      <c r="R9658" s="36">
        <v>1644.69</v>
      </c>
      <c r="S9658" s="36">
        <v>1949.19</v>
      </c>
      <c r="T9658" s="36">
        <v>1597.7</v>
      </c>
      <c r="U9658" s="34"/>
      <c r="V9658" s="34"/>
      <c r="W9658" s="34"/>
      <c r="X9658" s="37">
        <v>1.1739999999999999</v>
      </c>
      <c r="Y9658" s="38">
        <v>1.5566E-2</v>
      </c>
      <c r="Z9658" s="21">
        <v>4601004181038</v>
      </c>
    </row>
    <row r="9659" spans="1:26" ht="12" customHeight="1" outlineLevel="4" x14ac:dyDescent="0.2">
      <c r="A9659" s="32" t="s">
        <v>18394</v>
      </c>
      <c r="B9659" s="74" t="s">
        <v>18395</v>
      </c>
      <c r="C9659" s="50"/>
      <c r="D9659" s="53">
        <f t="shared" si="150"/>
        <v>0</v>
      </c>
      <c r="E9659" s="60" t="str">
        <f>HYPERLINK("https://www.sds-group.ru/product/musornoe-vedro-s-datchikom-dvizheniya-krugloe-12l-halsa-HSL-C-104/", "Инфо")</f>
        <v>Инфо</v>
      </c>
      <c r="F9659" s="34" t="s">
        <v>39</v>
      </c>
      <c r="G9659" s="33"/>
      <c r="H9659" s="33" t="s">
        <v>40</v>
      </c>
      <c r="I9659" s="33"/>
      <c r="J9659" s="35">
        <v>122</v>
      </c>
      <c r="K9659" s="33"/>
      <c r="L9659" s="35">
        <v>1</v>
      </c>
      <c r="M9659" s="35">
        <v>12</v>
      </c>
      <c r="N9659" s="35">
        <v>1</v>
      </c>
      <c r="O9659" s="36">
        <v>1778.6</v>
      </c>
      <c r="P9659" s="36">
        <v>1457.87</v>
      </c>
      <c r="Q9659" s="36">
        <v>1245.02</v>
      </c>
      <c r="R9659" s="36">
        <v>1020.51</v>
      </c>
      <c r="S9659" s="36">
        <v>1209.45</v>
      </c>
      <c r="T9659" s="36">
        <v>991.35</v>
      </c>
      <c r="U9659" s="34"/>
      <c r="V9659" s="34"/>
      <c r="W9659" s="34"/>
      <c r="X9659" s="37">
        <v>1.113</v>
      </c>
      <c r="Y9659" s="38">
        <v>2.4577999999999999E-2</v>
      </c>
      <c r="Z9659" s="21">
        <v>4601004233843</v>
      </c>
    </row>
    <row r="9660" spans="1:26" ht="12" customHeight="1" outlineLevel="4" x14ac:dyDescent="0.2">
      <c r="A9660" s="32" t="s">
        <v>18396</v>
      </c>
      <c r="B9660" s="74" t="s">
        <v>18397</v>
      </c>
      <c r="C9660" s="50"/>
      <c r="D9660" s="53">
        <f t="shared" si="150"/>
        <v>0</v>
      </c>
      <c r="E9660" s="60" t="str">
        <f>HYPERLINK("https://www.sds-group.ru/product/musornoe-vedro-s-datchikom-dvizheniya-10l-halsa-HSL-C-101/", "Инфо")</f>
        <v>Инфо</v>
      </c>
      <c r="F9660" s="34" t="s">
        <v>39</v>
      </c>
      <c r="G9660" s="33"/>
      <c r="H9660" s="33" t="s">
        <v>40</v>
      </c>
      <c r="I9660" s="33"/>
      <c r="J9660" s="35">
        <v>139</v>
      </c>
      <c r="K9660" s="33"/>
      <c r="L9660" s="35">
        <v>1</v>
      </c>
      <c r="M9660" s="35">
        <v>1</v>
      </c>
      <c r="N9660" s="35">
        <v>1</v>
      </c>
      <c r="O9660" s="36">
        <v>2470.48</v>
      </c>
      <c r="P9660" s="36">
        <v>2024.98</v>
      </c>
      <c r="Q9660" s="36">
        <v>1729.34</v>
      </c>
      <c r="R9660" s="36">
        <v>1417.49</v>
      </c>
      <c r="S9660" s="36">
        <v>1679.93</v>
      </c>
      <c r="T9660" s="36">
        <v>1376.99</v>
      </c>
      <c r="U9660" s="34"/>
      <c r="V9660" s="34"/>
      <c r="W9660" s="34"/>
      <c r="X9660" s="37">
        <v>2.0310000000000001</v>
      </c>
      <c r="Y9660" s="38">
        <v>2.7550999999999999E-2</v>
      </c>
      <c r="Z9660" s="21">
        <v>4601004181045</v>
      </c>
    </row>
    <row r="9661" spans="1:26" ht="12" customHeight="1" outlineLevel="4" x14ac:dyDescent="0.2">
      <c r="A9661" s="32" t="s">
        <v>18398</v>
      </c>
      <c r="B9661" s="74" t="s">
        <v>18399</v>
      </c>
      <c r="C9661" s="50"/>
      <c r="D9661" s="53">
        <f t="shared" si="150"/>
        <v>0</v>
      </c>
      <c r="E9661" s="60" t="str">
        <f>HYPERLINK("https://www.sds-group.ru/product/musornoe-vedro-s-datchikom-dvizheniya-12l-halsa-HSL-C-107/", "Инфо")</f>
        <v>Инфо</v>
      </c>
      <c r="F9661" s="34" t="s">
        <v>39</v>
      </c>
      <c r="G9661" s="33"/>
      <c r="H9661" s="33" t="s">
        <v>40</v>
      </c>
      <c r="I9661" s="33"/>
      <c r="J9661" s="35">
        <v>5</v>
      </c>
      <c r="K9661" s="33"/>
      <c r="L9661" s="35">
        <v>1</v>
      </c>
      <c r="M9661" s="35">
        <v>12</v>
      </c>
      <c r="N9661" s="35">
        <v>1</v>
      </c>
      <c r="O9661" s="36">
        <v>2586.17</v>
      </c>
      <c r="P9661" s="36">
        <v>2119.81</v>
      </c>
      <c r="Q9661" s="36">
        <v>1810.32</v>
      </c>
      <c r="R9661" s="36">
        <v>1483.87</v>
      </c>
      <c r="S9661" s="36">
        <v>1758.6</v>
      </c>
      <c r="T9661" s="36">
        <v>1441.48</v>
      </c>
      <c r="U9661" s="34"/>
      <c r="V9661" s="34"/>
      <c r="W9661" s="34"/>
      <c r="X9661" s="37">
        <v>1.347</v>
      </c>
      <c r="Y9661" s="38">
        <v>2.1260000000000001E-2</v>
      </c>
      <c r="Z9661" s="21">
        <v>4601004252653</v>
      </c>
    </row>
    <row r="9662" spans="1:26" ht="12" customHeight="1" outlineLevel="4" x14ac:dyDescent="0.2">
      <c r="A9662" s="32" t="s">
        <v>18400</v>
      </c>
      <c r="B9662" s="74" t="s">
        <v>18401</v>
      </c>
      <c r="C9662" s="50"/>
      <c r="D9662" s="53">
        <f t="shared" si="150"/>
        <v>0</v>
      </c>
      <c r="E9662" s="60" t="str">
        <f>HYPERLINK("https://www.sds-group.ru/product/musornoe-vedro-s-datchikom-dvizheniya-15l-halsa-HSL-C-105/", "Инфо")</f>
        <v>Инфо</v>
      </c>
      <c r="F9662" s="34" t="s">
        <v>39</v>
      </c>
      <c r="G9662" s="33"/>
      <c r="H9662" s="33" t="s">
        <v>40</v>
      </c>
      <c r="I9662" s="33"/>
      <c r="J9662" s="35">
        <v>143</v>
      </c>
      <c r="K9662" s="33"/>
      <c r="L9662" s="35">
        <v>1</v>
      </c>
      <c r="M9662" s="35">
        <v>16</v>
      </c>
      <c r="N9662" s="35">
        <v>1</v>
      </c>
      <c r="O9662" s="36">
        <v>2801.77</v>
      </c>
      <c r="P9662" s="36">
        <v>2296.5300000000002</v>
      </c>
      <c r="Q9662" s="36">
        <v>1961.24</v>
      </c>
      <c r="R9662" s="36">
        <v>1607.57</v>
      </c>
      <c r="S9662" s="36">
        <v>1905.2</v>
      </c>
      <c r="T9662" s="36">
        <v>1561.64</v>
      </c>
      <c r="U9662" s="34"/>
      <c r="V9662" s="34"/>
      <c r="W9662" s="34"/>
      <c r="X9662" s="37">
        <v>1.2749999999999999</v>
      </c>
      <c r="Y9662" s="38">
        <v>2.0383999999999999E-2</v>
      </c>
      <c r="Z9662" s="21">
        <v>4601004233850</v>
      </c>
    </row>
    <row r="9663" spans="1:26" ht="12.95" customHeight="1" outlineLevel="3" x14ac:dyDescent="0.2">
      <c r="A9663" s="76" t="s">
        <v>18402</v>
      </c>
      <c r="B9663" s="76"/>
      <c r="C9663" s="77"/>
      <c r="D9663" s="58"/>
      <c r="E9663" s="68"/>
      <c r="F9663" s="13"/>
      <c r="G9663" s="13"/>
      <c r="H9663" s="13"/>
      <c r="I9663" s="13"/>
      <c r="J9663" s="13"/>
      <c r="K9663" s="13"/>
      <c r="L9663" s="13"/>
      <c r="M9663" s="13"/>
      <c r="N9663" s="13"/>
      <c r="O9663" s="13"/>
      <c r="P9663" s="13"/>
      <c r="Q9663" s="13"/>
      <c r="R9663" s="13"/>
      <c r="S9663" s="13"/>
      <c r="T9663" s="13"/>
      <c r="U9663" s="13"/>
      <c r="V9663" s="13"/>
      <c r="W9663" s="13"/>
      <c r="X9663" s="13"/>
      <c r="Y9663" s="13"/>
      <c r="Z9663" s="13"/>
    </row>
    <row r="9664" spans="1:26" ht="12" customHeight="1" outlineLevel="4" x14ac:dyDescent="0.2">
      <c r="A9664" s="32" t="s">
        <v>18403</v>
      </c>
      <c r="B9664" s="74" t="s">
        <v>18404</v>
      </c>
      <c r="C9664" s="50"/>
      <c r="D9664" s="53">
        <f t="shared" si="150"/>
        <v>0</v>
      </c>
      <c r="E9664" s="60" t="str">
        <f>HYPERLINK("https://www.sds-group.ru/product/veshalka-dlya-polotenets-nastennaya-na-vakuumnoy-prisoske-5-kryuchkov-halsa-HLS-F-105W/", "Инфо")</f>
        <v>Инфо</v>
      </c>
      <c r="F9664" s="34" t="s">
        <v>39</v>
      </c>
      <c r="G9664" s="33"/>
      <c r="H9664" s="33" t="s">
        <v>40</v>
      </c>
      <c r="I9664" s="33"/>
      <c r="J9664" s="35">
        <v>190</v>
      </c>
      <c r="K9664" s="33"/>
      <c r="L9664" s="35">
        <v>1</v>
      </c>
      <c r="M9664" s="35">
        <v>24</v>
      </c>
      <c r="N9664" s="35">
        <v>1</v>
      </c>
      <c r="O9664" s="36">
        <v>620.66</v>
      </c>
      <c r="P9664" s="36">
        <v>508.74</v>
      </c>
      <c r="Q9664" s="36">
        <v>434.46</v>
      </c>
      <c r="R9664" s="36">
        <v>356.11</v>
      </c>
      <c r="S9664" s="36">
        <v>422.05</v>
      </c>
      <c r="T9664" s="36">
        <v>345.94</v>
      </c>
      <c r="U9664" s="34"/>
      <c r="V9664" s="34"/>
      <c r="W9664" s="34"/>
      <c r="X9664" s="37">
        <v>0.34300000000000003</v>
      </c>
      <c r="Y9664" s="38">
        <v>1.7750000000000001E-3</v>
      </c>
      <c r="Z9664" s="21">
        <v>4601004276949</v>
      </c>
    </row>
    <row r="9665" spans="1:26" ht="12" customHeight="1" outlineLevel="4" x14ac:dyDescent="0.2">
      <c r="A9665" s="32" t="s">
        <v>18405</v>
      </c>
      <c r="B9665" s="74" t="s">
        <v>18406</v>
      </c>
      <c r="C9665" s="50"/>
      <c r="D9665" s="53">
        <f t="shared" si="150"/>
        <v>0</v>
      </c>
      <c r="E9665" s="60" t="str">
        <f>HYPERLINK("https://www.sds-group.ru/product/derzhatel-dlya-britvennogo-stanka-na-vakuumnoy-prisoske-halsa-HLS-F-112W/", "Инфо")</f>
        <v>Инфо</v>
      </c>
      <c r="F9665" s="34" t="s">
        <v>39</v>
      </c>
      <c r="G9665" s="33"/>
      <c r="H9665" s="33" t="s">
        <v>40</v>
      </c>
      <c r="I9665" s="33"/>
      <c r="J9665" s="35">
        <v>838</v>
      </c>
      <c r="K9665" s="33"/>
      <c r="L9665" s="35">
        <v>1</v>
      </c>
      <c r="M9665" s="35">
        <v>280</v>
      </c>
      <c r="N9665" s="35">
        <v>1</v>
      </c>
      <c r="O9665" s="36">
        <v>256.13</v>
      </c>
      <c r="P9665" s="36">
        <v>209.94</v>
      </c>
      <c r="Q9665" s="36">
        <v>179.29</v>
      </c>
      <c r="R9665" s="36">
        <v>146.96</v>
      </c>
      <c r="S9665" s="36">
        <v>174.17</v>
      </c>
      <c r="T9665" s="36">
        <v>142.76</v>
      </c>
      <c r="U9665" s="34"/>
      <c r="V9665" s="34"/>
      <c r="W9665" s="34"/>
      <c r="X9665" s="37">
        <v>6.6000000000000003E-2</v>
      </c>
      <c r="Y9665" s="38">
        <v>3.19E-4</v>
      </c>
      <c r="Z9665" s="21">
        <v>4601004277021</v>
      </c>
    </row>
    <row r="9666" spans="1:26" ht="12" customHeight="1" outlineLevel="4" x14ac:dyDescent="0.2">
      <c r="A9666" s="32" t="s">
        <v>18407</v>
      </c>
      <c r="B9666" s="74" t="s">
        <v>18408</v>
      </c>
      <c r="C9666" s="50"/>
      <c r="D9666" s="53">
        <f t="shared" si="150"/>
        <v>0</v>
      </c>
      <c r="E9666" s="60" t="str">
        <f>HYPERLINK("https://www.sds-group.ru/product/derzhatel-dlya-bumazhnyh-polotenets-nastennyy-na-vakuumnoy-prisoske-halsa-HLS-F-108W/", "Инфо")</f>
        <v>Инфо</v>
      </c>
      <c r="F9666" s="34" t="s">
        <v>39</v>
      </c>
      <c r="G9666" s="33"/>
      <c r="H9666" s="33" t="s">
        <v>40</v>
      </c>
      <c r="I9666" s="33"/>
      <c r="J9666" s="35">
        <v>44</v>
      </c>
      <c r="K9666" s="33"/>
      <c r="L9666" s="35">
        <v>1</v>
      </c>
      <c r="M9666" s="35">
        <v>24</v>
      </c>
      <c r="N9666" s="35">
        <v>1</v>
      </c>
      <c r="O9666" s="36">
        <v>502.33</v>
      </c>
      <c r="P9666" s="36">
        <v>411.75</v>
      </c>
      <c r="Q9666" s="36">
        <v>351.63</v>
      </c>
      <c r="R9666" s="36">
        <v>288.22000000000003</v>
      </c>
      <c r="S9666" s="36">
        <v>341.58</v>
      </c>
      <c r="T9666" s="36">
        <v>279.98</v>
      </c>
      <c r="U9666" s="34"/>
      <c r="V9666" s="34"/>
      <c r="W9666" s="34"/>
      <c r="X9666" s="37">
        <v>0.183</v>
      </c>
      <c r="Y9666" s="38">
        <v>1.603E-3</v>
      </c>
      <c r="Z9666" s="21">
        <v>4601004276970</v>
      </c>
    </row>
    <row r="9667" spans="1:26" ht="12" customHeight="1" outlineLevel="4" x14ac:dyDescent="0.2">
      <c r="A9667" s="32" t="s">
        <v>18409</v>
      </c>
      <c r="B9667" s="74" t="s">
        <v>18410</v>
      </c>
      <c r="C9667" s="50"/>
      <c r="D9667" s="53">
        <f t="shared" si="150"/>
        <v>0</v>
      </c>
      <c r="E9667" s="60" t="str">
        <f>HYPERLINK("https://www.sds-group.ru/product/derzhatel-dlya-zubnyh-schetok-na-vakuumnoy-prisoske-halsa-HLS-F-111W/", "Инфо")</f>
        <v>Инфо</v>
      </c>
      <c r="F9667" s="34" t="s">
        <v>39</v>
      </c>
      <c r="G9667" s="33"/>
      <c r="H9667" s="33" t="s">
        <v>40</v>
      </c>
      <c r="I9667" s="33"/>
      <c r="J9667" s="35">
        <v>839</v>
      </c>
      <c r="K9667" s="33"/>
      <c r="L9667" s="35">
        <v>1</v>
      </c>
      <c r="M9667" s="35">
        <v>280</v>
      </c>
      <c r="N9667" s="35">
        <v>1</v>
      </c>
      <c r="O9667" s="36">
        <v>230.75</v>
      </c>
      <c r="P9667" s="36">
        <v>189.14</v>
      </c>
      <c r="Q9667" s="36">
        <v>161.53</v>
      </c>
      <c r="R9667" s="36">
        <v>132.4</v>
      </c>
      <c r="S9667" s="36">
        <v>156.91</v>
      </c>
      <c r="T9667" s="36">
        <v>128.61000000000001</v>
      </c>
      <c r="U9667" s="34"/>
      <c r="V9667" s="34"/>
      <c r="W9667" s="34"/>
      <c r="X9667" s="37">
        <v>6.4000000000000001E-2</v>
      </c>
      <c r="Y9667" s="38">
        <v>3.2499999999999999E-4</v>
      </c>
      <c r="Z9667" s="21">
        <v>4601004276994</v>
      </c>
    </row>
    <row r="9668" spans="1:26" ht="12" customHeight="1" outlineLevel="4" x14ac:dyDescent="0.2">
      <c r="A9668" s="32" t="s">
        <v>18411</v>
      </c>
      <c r="B9668" s="74" t="s">
        <v>18412</v>
      </c>
      <c r="C9668" s="50"/>
      <c r="D9668" s="53">
        <f t="shared" si="150"/>
        <v>0</v>
      </c>
      <c r="E9668" s="60" t="str">
        <f>HYPERLINK("https://www.sds-group.ru/product/derzhatel-dlya-tualetnoy-bumagi-nastennyy-na-vakuumnoy-prisoske-halsa-HLS-F-109W/", "Инфо")</f>
        <v>Инфо</v>
      </c>
      <c r="F9668" s="34" t="s">
        <v>39</v>
      </c>
      <c r="G9668" s="33"/>
      <c r="H9668" s="33" t="s">
        <v>40</v>
      </c>
      <c r="I9668" s="33"/>
      <c r="J9668" s="35">
        <v>554</v>
      </c>
      <c r="K9668" s="33"/>
      <c r="L9668" s="35">
        <v>1</v>
      </c>
      <c r="M9668" s="35">
        <v>189</v>
      </c>
      <c r="N9668" s="35">
        <v>1</v>
      </c>
      <c r="O9668" s="36">
        <v>428.51</v>
      </c>
      <c r="P9668" s="36">
        <v>351.24</v>
      </c>
      <c r="Q9668" s="36">
        <v>299.95999999999998</v>
      </c>
      <c r="R9668" s="36">
        <v>245.87</v>
      </c>
      <c r="S9668" s="36">
        <v>291.39</v>
      </c>
      <c r="T9668" s="36">
        <v>238.84</v>
      </c>
      <c r="U9668" s="34"/>
      <c r="V9668" s="34"/>
      <c r="W9668" s="34"/>
      <c r="X9668" s="37">
        <v>9.0999999999999998E-2</v>
      </c>
      <c r="Y9668" s="38">
        <v>6.8099999999999996E-4</v>
      </c>
      <c r="Z9668" s="21">
        <v>4601004276987</v>
      </c>
    </row>
    <row r="9669" spans="1:26" ht="12" customHeight="1" outlineLevel="4" x14ac:dyDescent="0.2">
      <c r="A9669" s="32" t="s">
        <v>18413</v>
      </c>
      <c r="B9669" s="74" t="s">
        <v>18414</v>
      </c>
      <c r="C9669" s="50"/>
      <c r="D9669" s="53">
        <f t="shared" si="150"/>
        <v>0</v>
      </c>
      <c r="E9669" s="60" t="str">
        <f>HYPERLINK("https://www.sds-group.ru/product/stakan-dlya-zubnyh-schetok-dvoynoy-na-vakuumnoy-prisoske-halsa-HLS-F-114W/", "Инфо")</f>
        <v>Инфо</v>
      </c>
      <c r="F9669" s="34" t="s">
        <v>39</v>
      </c>
      <c r="G9669" s="33"/>
      <c r="H9669" s="33" t="s">
        <v>40</v>
      </c>
      <c r="I9669" s="33"/>
      <c r="J9669" s="35">
        <v>773</v>
      </c>
      <c r="K9669" s="33"/>
      <c r="L9669" s="35">
        <v>1</v>
      </c>
      <c r="M9669" s="35">
        <v>90</v>
      </c>
      <c r="N9669" s="35">
        <v>1</v>
      </c>
      <c r="O9669" s="36">
        <v>275.8</v>
      </c>
      <c r="P9669" s="36">
        <v>226.07</v>
      </c>
      <c r="Q9669" s="36">
        <v>193.06</v>
      </c>
      <c r="R9669" s="36">
        <v>158.25</v>
      </c>
      <c r="S9669" s="36">
        <v>187.54</v>
      </c>
      <c r="T9669" s="36">
        <v>153.72</v>
      </c>
      <c r="U9669" s="34"/>
      <c r="V9669" s="34"/>
      <c r="W9669" s="34"/>
      <c r="X9669" s="37">
        <v>0.21</v>
      </c>
      <c r="Y9669" s="38">
        <v>1.897E-3</v>
      </c>
      <c r="Z9669" s="21">
        <v>4601004277069</v>
      </c>
    </row>
    <row r="9670" spans="1:26" ht="12" customHeight="1" outlineLevel="4" x14ac:dyDescent="0.2">
      <c r="A9670" s="32" t="s">
        <v>18415</v>
      </c>
      <c r="B9670" s="74" t="s">
        <v>18416</v>
      </c>
      <c r="C9670" s="50"/>
      <c r="D9670" s="53">
        <f t="shared" si="150"/>
        <v>0</v>
      </c>
      <c r="E9670" s="60" t="str">
        <f>HYPERLINK("https://www.sds-group.ru/product/stakan-dlya-zubnyh-schetok-i-pasty-na-vakuumnoy-prisoske-halsa-HLS-F-113W/", "Инфо")</f>
        <v>Инфо</v>
      </c>
      <c r="F9670" s="34" t="s">
        <v>39</v>
      </c>
      <c r="G9670" s="33"/>
      <c r="H9670" s="33" t="s">
        <v>40</v>
      </c>
      <c r="I9670" s="33"/>
      <c r="J9670" s="35">
        <v>739</v>
      </c>
      <c r="K9670" s="33"/>
      <c r="L9670" s="35">
        <v>1</v>
      </c>
      <c r="M9670" s="35">
        <v>96</v>
      </c>
      <c r="N9670" s="35">
        <v>1</v>
      </c>
      <c r="O9670" s="36">
        <v>275.8</v>
      </c>
      <c r="P9670" s="36">
        <v>226.07</v>
      </c>
      <c r="Q9670" s="36">
        <v>193.06</v>
      </c>
      <c r="R9670" s="36">
        <v>158.25</v>
      </c>
      <c r="S9670" s="36">
        <v>187.54</v>
      </c>
      <c r="T9670" s="36">
        <v>153.72</v>
      </c>
      <c r="U9670" s="34"/>
      <c r="V9670" s="34"/>
      <c r="W9670" s="34"/>
      <c r="X9670" s="37">
        <v>0.16800000000000001</v>
      </c>
      <c r="Y9670" s="38">
        <v>1.5510000000000001E-3</v>
      </c>
      <c r="Z9670" s="21">
        <v>4601004277045</v>
      </c>
    </row>
    <row r="9671" spans="1:26" ht="12.95" customHeight="1" outlineLevel="2" x14ac:dyDescent="0.2">
      <c r="A9671" s="76" t="s">
        <v>18417</v>
      </c>
      <c r="B9671" s="76"/>
      <c r="C9671" s="77"/>
      <c r="D9671" s="58"/>
      <c r="E9671" s="68"/>
      <c r="F9671" s="13"/>
      <c r="G9671" s="13"/>
      <c r="H9671" s="13"/>
      <c r="I9671" s="13"/>
      <c r="J9671" s="13"/>
      <c r="K9671" s="13"/>
      <c r="L9671" s="13"/>
      <c r="M9671" s="13"/>
      <c r="N9671" s="13"/>
      <c r="O9671" s="13"/>
      <c r="P9671" s="13"/>
      <c r="Q9671" s="13"/>
      <c r="R9671" s="13"/>
      <c r="S9671" s="13"/>
      <c r="T9671" s="13"/>
      <c r="U9671" s="13"/>
      <c r="V9671" s="13"/>
      <c r="W9671" s="13"/>
      <c r="X9671" s="13"/>
      <c r="Y9671" s="13"/>
      <c r="Z9671" s="13"/>
    </row>
    <row r="9672" spans="1:26" ht="12.95" customHeight="1" outlineLevel="3" x14ac:dyDescent="0.2">
      <c r="A9672" s="76" t="s">
        <v>18418</v>
      </c>
      <c r="B9672" s="76"/>
      <c r="C9672" s="77"/>
      <c r="D9672" s="58"/>
      <c r="E9672" s="68"/>
      <c r="F9672" s="13"/>
      <c r="G9672" s="13"/>
      <c r="H9672" s="13"/>
      <c r="I9672" s="13"/>
      <c r="J9672" s="13"/>
      <c r="K9672" s="13"/>
      <c r="L9672" s="13"/>
      <c r="M9672" s="13"/>
      <c r="N9672" s="13"/>
      <c r="O9672" s="13"/>
      <c r="P9672" s="13"/>
      <c r="Q9672" s="13"/>
      <c r="R9672" s="13"/>
      <c r="S9672" s="13"/>
      <c r="T9672" s="13"/>
      <c r="U9672" s="13"/>
      <c r="V9672" s="13"/>
      <c r="W9672" s="13"/>
      <c r="X9672" s="13"/>
      <c r="Y9672" s="13"/>
      <c r="Z9672" s="13"/>
    </row>
    <row r="9673" spans="1:26" ht="12" customHeight="1" outlineLevel="4" x14ac:dyDescent="0.2">
      <c r="A9673" s="32" t="s">
        <v>18419</v>
      </c>
      <c r="B9673" s="74" t="s">
        <v>18420</v>
      </c>
      <c r="C9673" s="50"/>
      <c r="D9673" s="53">
        <f t="shared" ref="D9673:D9736" si="151">C9673*(O9673-O9673*$G$3)</f>
        <v>0</v>
      </c>
      <c r="E9673" s="60" t="str">
        <f>HYPERLINK("https://www.sds-group.ru/product/kozyrek-dlya-kupaniya-detey-goluboy-begemotik-halsa-HLS-HY-101/", "Инфо")</f>
        <v>Инфо</v>
      </c>
      <c r="F9673" s="34" t="s">
        <v>39</v>
      </c>
      <c r="G9673" s="33"/>
      <c r="H9673" s="33" t="s">
        <v>40</v>
      </c>
      <c r="I9673" s="33"/>
      <c r="J9673" s="35">
        <v>643</v>
      </c>
      <c r="K9673" s="33"/>
      <c r="L9673" s="35">
        <v>1</v>
      </c>
      <c r="M9673" s="35">
        <v>60</v>
      </c>
      <c r="N9673" s="35">
        <v>1</v>
      </c>
      <c r="O9673" s="36">
        <v>233.44</v>
      </c>
      <c r="P9673" s="36">
        <v>191.34</v>
      </c>
      <c r="Q9673" s="36">
        <v>163.41</v>
      </c>
      <c r="R9673" s="36">
        <v>133.94</v>
      </c>
      <c r="S9673" s="36">
        <v>158.74</v>
      </c>
      <c r="T9673" s="36">
        <v>130.11000000000001</v>
      </c>
      <c r="U9673" s="34"/>
      <c r="V9673" s="34"/>
      <c r="W9673" s="34"/>
      <c r="X9673" s="37">
        <v>0.10199999999999999</v>
      </c>
      <c r="Y9673" s="38">
        <v>1.0219999999999999E-3</v>
      </c>
      <c r="Z9673" s="21">
        <v>4601004279117</v>
      </c>
    </row>
    <row r="9674" spans="1:26" ht="12.95" customHeight="1" outlineLevel="3" x14ac:dyDescent="0.2">
      <c r="A9674" s="76" t="s">
        <v>18421</v>
      </c>
      <c r="B9674" s="76"/>
      <c r="C9674" s="77"/>
      <c r="D9674" s="58"/>
      <c r="E9674" s="68"/>
      <c r="F9674" s="13"/>
      <c r="G9674" s="13"/>
      <c r="H9674" s="13"/>
      <c r="I9674" s="13"/>
      <c r="J9674" s="13"/>
      <c r="K9674" s="13"/>
      <c r="L9674" s="13"/>
      <c r="M9674" s="13"/>
      <c r="N9674" s="13"/>
      <c r="O9674" s="13"/>
      <c r="P9674" s="13"/>
      <c r="Q9674" s="13"/>
      <c r="R9674" s="13"/>
      <c r="S9674" s="13"/>
      <c r="T9674" s="13"/>
      <c r="U9674" s="13"/>
      <c r="V9674" s="13"/>
      <c r="W9674" s="13"/>
      <c r="X9674" s="13"/>
      <c r="Y9674" s="13"/>
      <c r="Z9674" s="13"/>
    </row>
    <row r="9675" spans="1:26" ht="12" customHeight="1" outlineLevel="4" x14ac:dyDescent="0.2">
      <c r="A9675" s="32" t="s">
        <v>18422</v>
      </c>
      <c r="B9675" s="74" t="s">
        <v>18423</v>
      </c>
      <c r="C9675" s="50"/>
      <c r="D9675" s="53">
        <f t="shared" si="151"/>
        <v>0</v>
      </c>
      <c r="E9675" s="60" t="str">
        <f>HYPERLINK("https://www.sds-group.ru/product/fartuk-nagrudnyy-dlya-kormleniya-s-zhestkim-karmanom-zelenyy-s-rozovym-halsa-HLS-BI-101/", "Инфо")</f>
        <v>Инфо</v>
      </c>
      <c r="F9675" s="34" t="s">
        <v>39</v>
      </c>
      <c r="G9675" s="33"/>
      <c r="H9675" s="33" t="s">
        <v>40</v>
      </c>
      <c r="I9675" s="33"/>
      <c r="J9675" s="35">
        <v>111</v>
      </c>
      <c r="K9675" s="33"/>
      <c r="L9675" s="35">
        <v>1</v>
      </c>
      <c r="M9675" s="35">
        <v>50</v>
      </c>
      <c r="N9675" s="35">
        <v>1</v>
      </c>
      <c r="O9675" s="36">
        <v>487.61</v>
      </c>
      <c r="P9675" s="36">
        <v>399.68</v>
      </c>
      <c r="Q9675" s="36">
        <v>341.33</v>
      </c>
      <c r="R9675" s="36">
        <v>279.77999999999997</v>
      </c>
      <c r="S9675" s="36">
        <v>331.57</v>
      </c>
      <c r="T9675" s="36">
        <v>271.77999999999997</v>
      </c>
      <c r="U9675" s="34"/>
      <c r="V9675" s="34"/>
      <c r="W9675" s="34"/>
      <c r="X9675" s="37">
        <v>0.115</v>
      </c>
      <c r="Y9675" s="38">
        <v>1.225E-3</v>
      </c>
      <c r="Z9675" s="21">
        <v>4601004279049</v>
      </c>
    </row>
    <row r="9676" spans="1:26" ht="12.95" customHeight="1" outlineLevel="1" x14ac:dyDescent="0.2">
      <c r="A9676" s="78" t="s">
        <v>18424</v>
      </c>
      <c r="B9676" s="78"/>
      <c r="C9676" s="79"/>
      <c r="D9676" s="57"/>
      <c r="E9676" s="67"/>
      <c r="F9676" s="12"/>
      <c r="G9676" s="12"/>
      <c r="H9676" s="12"/>
      <c r="I9676" s="12"/>
      <c r="J9676" s="12"/>
      <c r="K9676" s="12"/>
      <c r="L9676" s="12"/>
      <c r="M9676" s="12"/>
      <c r="N9676" s="12"/>
      <c r="O9676" s="12"/>
      <c r="P9676" s="12"/>
      <c r="Q9676" s="12"/>
      <c r="R9676" s="12"/>
      <c r="S9676" s="12"/>
      <c r="T9676" s="12"/>
      <c r="U9676" s="12"/>
      <c r="V9676" s="12"/>
      <c r="W9676" s="12"/>
      <c r="X9676" s="12"/>
      <c r="Y9676" s="12"/>
      <c r="Z9676" s="12"/>
    </row>
    <row r="9677" spans="1:26" ht="12.95" customHeight="1" outlineLevel="2" x14ac:dyDescent="0.2">
      <c r="A9677" s="76" t="s">
        <v>18425</v>
      </c>
      <c r="B9677" s="76"/>
      <c r="C9677" s="77"/>
      <c r="D9677" s="58"/>
      <c r="E9677" s="68"/>
      <c r="F9677" s="13"/>
      <c r="G9677" s="13"/>
      <c r="H9677" s="13"/>
      <c r="I9677" s="13"/>
      <c r="J9677" s="13"/>
      <c r="K9677" s="13"/>
      <c r="L9677" s="13"/>
      <c r="M9677" s="13"/>
      <c r="N9677" s="13"/>
      <c r="O9677" s="13"/>
      <c r="P9677" s="13"/>
      <c r="Q9677" s="13"/>
      <c r="R9677" s="13"/>
      <c r="S9677" s="13"/>
      <c r="T9677" s="13"/>
      <c r="U9677" s="13"/>
      <c r="V9677" s="13"/>
      <c r="W9677" s="13"/>
      <c r="X9677" s="13"/>
      <c r="Y9677" s="13"/>
      <c r="Z9677" s="13"/>
    </row>
    <row r="9678" spans="1:26" ht="12" customHeight="1" outlineLevel="3" x14ac:dyDescent="0.2">
      <c r="A9678" s="32" t="s">
        <v>18426</v>
      </c>
      <c r="B9678" s="74" t="s">
        <v>18427</v>
      </c>
      <c r="C9678" s="50"/>
      <c r="D9678" s="53">
        <f t="shared" si="151"/>
        <v>0</v>
      </c>
      <c r="E9678" s="60" t="str">
        <f>HYPERLINK("https://www.sds-group.ru/product/derzhatel-dlya-smartfonov-i-planshetov-nastolnyy-chernyy-rexant-38-0717/", "Инфо")</f>
        <v>Инфо</v>
      </c>
      <c r="F9678" s="34" t="s">
        <v>39</v>
      </c>
      <c r="G9678" s="33"/>
      <c r="H9678" s="33" t="s">
        <v>40</v>
      </c>
      <c r="I9678" s="33"/>
      <c r="J9678" s="35">
        <v>196</v>
      </c>
      <c r="K9678" s="33"/>
      <c r="L9678" s="35">
        <v>1</v>
      </c>
      <c r="M9678" s="35">
        <v>24</v>
      </c>
      <c r="N9678" s="35">
        <v>1</v>
      </c>
      <c r="O9678" s="36">
        <v>374.71</v>
      </c>
      <c r="P9678" s="36">
        <v>307.14</v>
      </c>
      <c r="Q9678" s="36">
        <v>262.3</v>
      </c>
      <c r="R9678" s="36">
        <v>215</v>
      </c>
      <c r="S9678" s="36">
        <v>254.8</v>
      </c>
      <c r="T9678" s="36">
        <v>208.85</v>
      </c>
      <c r="U9678" s="34"/>
      <c r="V9678" s="34"/>
      <c r="W9678" s="34"/>
      <c r="X9678" s="37">
        <v>0.112</v>
      </c>
      <c r="Y9678" s="38">
        <v>9.4499999999999998E-4</v>
      </c>
      <c r="Z9678" s="21">
        <v>4601004303348</v>
      </c>
    </row>
    <row r="9679" spans="1:26" ht="12" customHeight="1" outlineLevel="3" x14ac:dyDescent="0.2">
      <c r="A9679" s="32" t="s">
        <v>18428</v>
      </c>
      <c r="B9679" s="74" t="s">
        <v>18429</v>
      </c>
      <c r="C9679" s="50"/>
      <c r="D9679" s="53">
        <f t="shared" si="151"/>
        <v>0</v>
      </c>
      <c r="E9679" s="60" t="str">
        <f>HYPERLINK("https://www.sds-group.ru/product/kronshteyn-dlya-playstation5-nastennyy-belyy-rexant-38-0625/", "Инфо")</f>
        <v>Инфо</v>
      </c>
      <c r="F9679" s="34" t="s">
        <v>39</v>
      </c>
      <c r="G9679" s="33"/>
      <c r="H9679" s="33" t="s">
        <v>40</v>
      </c>
      <c r="I9679" s="33"/>
      <c r="J9679" s="35">
        <v>115</v>
      </c>
      <c r="K9679" s="33" t="s">
        <v>1888</v>
      </c>
      <c r="L9679" s="35">
        <v>1</v>
      </c>
      <c r="M9679" s="35">
        <v>12</v>
      </c>
      <c r="N9679" s="35">
        <v>1</v>
      </c>
      <c r="O9679" s="36">
        <v>840.04</v>
      </c>
      <c r="P9679" s="36">
        <v>688.56</v>
      </c>
      <c r="Q9679" s="36">
        <v>588.03</v>
      </c>
      <c r="R9679" s="36">
        <v>481.99</v>
      </c>
      <c r="S9679" s="36">
        <v>571.23</v>
      </c>
      <c r="T9679" s="36">
        <v>468.22</v>
      </c>
      <c r="U9679" s="34"/>
      <c r="V9679" s="34"/>
      <c r="W9679" s="34"/>
      <c r="X9679" s="37">
        <v>0.38100000000000001</v>
      </c>
      <c r="Y9679" s="38">
        <v>4.006E-3</v>
      </c>
      <c r="Z9679" s="21">
        <v>4601004280359</v>
      </c>
    </row>
    <row r="9680" spans="1:26" ht="12" customHeight="1" outlineLevel="3" x14ac:dyDescent="0.2">
      <c r="A9680" s="32" t="s">
        <v>18430</v>
      </c>
      <c r="B9680" s="74" t="s">
        <v>18431</v>
      </c>
      <c r="C9680" s="50"/>
      <c r="D9680" s="53">
        <f t="shared" si="151"/>
        <v>0</v>
      </c>
      <c r="E9680" s="60" t="str">
        <f>HYPERLINK("https://www.sds-group.ru/product/kronshteyn-dlya-igrovyh-dzhoystikov-universalnyy-nastennyy-belyy-rexant-38-0628/", "Инфо")</f>
        <v>Инфо</v>
      </c>
      <c r="F9680" s="34" t="s">
        <v>39</v>
      </c>
      <c r="G9680" s="33"/>
      <c r="H9680" s="33" t="s">
        <v>40</v>
      </c>
      <c r="I9680" s="33"/>
      <c r="J9680" s="35">
        <v>1</v>
      </c>
      <c r="K9680" s="33"/>
      <c r="L9680" s="35">
        <v>1</v>
      </c>
      <c r="M9680" s="35">
        <v>10</v>
      </c>
      <c r="N9680" s="35">
        <v>1</v>
      </c>
      <c r="O9680" s="36">
        <v>787.58</v>
      </c>
      <c r="P9680" s="36">
        <v>645.55999999999995</v>
      </c>
      <c r="Q9680" s="36">
        <v>551.30999999999995</v>
      </c>
      <c r="R9680" s="36">
        <v>451.89</v>
      </c>
      <c r="S9680" s="36">
        <v>535.54999999999995</v>
      </c>
      <c r="T9680" s="36">
        <v>438.98</v>
      </c>
      <c r="U9680" s="34"/>
      <c r="V9680" s="34"/>
      <c r="W9680" s="34"/>
      <c r="X9680" s="37">
        <v>9.5000000000000001E-2</v>
      </c>
      <c r="Y9680" s="38">
        <v>9.8400000000000007E-4</v>
      </c>
      <c r="Z9680" s="21">
        <v>4601004280328</v>
      </c>
    </row>
    <row r="9681" spans="1:26" ht="12" customHeight="1" outlineLevel="3" x14ac:dyDescent="0.2">
      <c r="A9681" s="32" t="s">
        <v>18432</v>
      </c>
      <c r="B9681" s="74" t="s">
        <v>18433</v>
      </c>
      <c r="C9681" s="50"/>
      <c r="D9681" s="53">
        <f t="shared" si="151"/>
        <v>0</v>
      </c>
      <c r="E9681" s="60" t="str">
        <f>HYPERLINK("https://www.sds-group.ru/product/kronshteyn-dlya-igrovyh-dzhoystikov-universalnyy-nastennyy-chernyy-rexant-38-0627/", "Инфо")</f>
        <v>Инфо</v>
      </c>
      <c r="F9681" s="34" t="s">
        <v>39</v>
      </c>
      <c r="G9681" s="33"/>
      <c r="H9681" s="33" t="s">
        <v>40</v>
      </c>
      <c r="I9681" s="33"/>
      <c r="J9681" s="35">
        <v>12</v>
      </c>
      <c r="K9681" s="33"/>
      <c r="L9681" s="35">
        <v>1</v>
      </c>
      <c r="M9681" s="35">
        <v>10</v>
      </c>
      <c r="N9681" s="35">
        <v>1</v>
      </c>
      <c r="O9681" s="36">
        <v>654.02</v>
      </c>
      <c r="P9681" s="36">
        <v>536.08000000000004</v>
      </c>
      <c r="Q9681" s="36">
        <v>457.81</v>
      </c>
      <c r="R9681" s="36">
        <v>375.25</v>
      </c>
      <c r="S9681" s="36">
        <v>444.73</v>
      </c>
      <c r="T9681" s="36">
        <v>364.53</v>
      </c>
      <c r="U9681" s="34"/>
      <c r="V9681" s="34"/>
      <c r="W9681" s="34"/>
      <c r="X9681" s="37">
        <v>9.4E-2</v>
      </c>
      <c r="Y9681" s="38">
        <v>1.0059999999999999E-3</v>
      </c>
      <c r="Z9681" s="21">
        <v>4601004280281</v>
      </c>
    </row>
    <row r="9682" spans="1:26" ht="12" customHeight="1" outlineLevel="3" x14ac:dyDescent="0.2">
      <c r="A9682" s="32" t="s">
        <v>18434</v>
      </c>
      <c r="B9682" s="74" t="s">
        <v>18435</v>
      </c>
      <c r="C9682" s="50"/>
      <c r="D9682" s="53">
        <f t="shared" si="151"/>
        <v>0</v>
      </c>
      <c r="E9682" s="60" t="str">
        <f>HYPERLINK("https://www.sds-group.ru/product/kronshteyn-dlya-kolonok-nastennyy-belyy-rexant-38-0633/", "Инфо")</f>
        <v>Инфо</v>
      </c>
      <c r="F9682" s="34" t="s">
        <v>39</v>
      </c>
      <c r="G9682" s="33"/>
      <c r="H9682" s="33" t="s">
        <v>40</v>
      </c>
      <c r="I9682" s="33"/>
      <c r="J9682" s="35">
        <v>13</v>
      </c>
      <c r="K9682" s="33"/>
      <c r="L9682" s="35">
        <v>1</v>
      </c>
      <c r="M9682" s="35">
        <v>12</v>
      </c>
      <c r="N9682" s="35">
        <v>1</v>
      </c>
      <c r="O9682" s="36">
        <v>1081.2</v>
      </c>
      <c r="P9682" s="36">
        <v>886.23</v>
      </c>
      <c r="Q9682" s="36">
        <v>756.84</v>
      </c>
      <c r="R9682" s="36">
        <v>620.36</v>
      </c>
      <c r="S9682" s="36">
        <v>735.22</v>
      </c>
      <c r="T9682" s="36">
        <v>602.64</v>
      </c>
      <c r="U9682" s="34"/>
      <c r="V9682" s="34"/>
      <c r="W9682" s="34"/>
      <c r="X9682" s="37">
        <v>0.314</v>
      </c>
      <c r="Y9682" s="38">
        <v>1.1509999999999999E-3</v>
      </c>
      <c r="Z9682" s="21">
        <v>4601004280335</v>
      </c>
    </row>
    <row r="9683" spans="1:26" ht="12" customHeight="1" outlineLevel="3" x14ac:dyDescent="0.2">
      <c r="A9683" s="32" t="s">
        <v>18436</v>
      </c>
      <c r="B9683" s="74" t="s">
        <v>18437</v>
      </c>
      <c r="C9683" s="50"/>
      <c r="D9683" s="53">
        <f t="shared" si="151"/>
        <v>0</v>
      </c>
      <c r="E9683" s="60" t="str">
        <f>HYPERLINK("https://www.sds-group.ru/product/kronshteyn-dlya-kolonok-nastennyy-chernyy-rexant-38-0632/", "Инфо")</f>
        <v>Инфо</v>
      </c>
      <c r="F9683" s="34" t="s">
        <v>39</v>
      </c>
      <c r="G9683" s="33"/>
      <c r="H9683" s="33" t="s">
        <v>40</v>
      </c>
      <c r="I9683" s="33"/>
      <c r="J9683" s="35">
        <v>3</v>
      </c>
      <c r="K9683" s="33"/>
      <c r="L9683" s="35">
        <v>1</v>
      </c>
      <c r="M9683" s="35">
        <v>12</v>
      </c>
      <c r="N9683" s="35">
        <v>1</v>
      </c>
      <c r="O9683" s="36">
        <v>1171.3</v>
      </c>
      <c r="P9683" s="36">
        <v>960.08</v>
      </c>
      <c r="Q9683" s="36">
        <v>819.91</v>
      </c>
      <c r="R9683" s="36">
        <v>672.06</v>
      </c>
      <c r="S9683" s="36">
        <v>796.48</v>
      </c>
      <c r="T9683" s="36">
        <v>652.85</v>
      </c>
      <c r="U9683" s="34"/>
      <c r="V9683" s="34"/>
      <c r="W9683" s="34"/>
      <c r="X9683" s="37">
        <v>0.313</v>
      </c>
      <c r="Y9683" s="38">
        <v>1.1529999999999999E-3</v>
      </c>
      <c r="Z9683" s="21">
        <v>4601004280366</v>
      </c>
    </row>
    <row r="9684" spans="1:26" ht="12" customHeight="1" outlineLevel="3" x14ac:dyDescent="0.2">
      <c r="A9684" s="32" t="s">
        <v>18438</v>
      </c>
      <c r="B9684" s="74" t="s">
        <v>18439</v>
      </c>
      <c r="C9684" s="50"/>
      <c r="D9684" s="53">
        <f t="shared" si="151"/>
        <v>0</v>
      </c>
      <c r="E9684" s="60" t="str">
        <f>HYPERLINK("https://www.sds-group.ru/product/kronshteyn-dlya-hraneniya-diskov-nastennyy-belyy-rexant-38-0689/", "Инфо")</f>
        <v>Инфо</v>
      </c>
      <c r="F9684" s="34" t="s">
        <v>39</v>
      </c>
      <c r="G9684" s="33"/>
      <c r="H9684" s="33" t="s">
        <v>40</v>
      </c>
      <c r="I9684" s="33"/>
      <c r="J9684" s="35">
        <v>18</v>
      </c>
      <c r="K9684" s="33"/>
      <c r="L9684" s="35">
        <v>1</v>
      </c>
      <c r="M9684" s="35">
        <v>12</v>
      </c>
      <c r="N9684" s="35">
        <v>1</v>
      </c>
      <c r="O9684" s="36">
        <v>897.2</v>
      </c>
      <c r="P9684" s="36">
        <v>735.41</v>
      </c>
      <c r="Q9684" s="36">
        <v>628.04</v>
      </c>
      <c r="R9684" s="36">
        <v>514.79</v>
      </c>
      <c r="S9684" s="36">
        <v>610.1</v>
      </c>
      <c r="T9684" s="36">
        <v>500.08</v>
      </c>
      <c r="U9684" s="34"/>
      <c r="V9684" s="34"/>
      <c r="W9684" s="34"/>
      <c r="X9684" s="37">
        <v>0.30499999999999999</v>
      </c>
      <c r="Y9684" s="38">
        <v>4.0359999999999997E-3</v>
      </c>
      <c r="Z9684" s="21">
        <v>4601004303072</v>
      </c>
    </row>
    <row r="9685" spans="1:26" ht="12" customHeight="1" outlineLevel="3" x14ac:dyDescent="0.2">
      <c r="A9685" s="32" t="s">
        <v>18440</v>
      </c>
      <c r="B9685" s="74" t="s">
        <v>18441</v>
      </c>
      <c r="C9685" s="50"/>
      <c r="D9685" s="53">
        <f t="shared" si="151"/>
        <v>0</v>
      </c>
      <c r="E9685" s="60" t="str">
        <f>HYPERLINK("https://www.sds-group.ru/product/podstavka-dlya-naushnikov-nastolnaya-chernaya-rexant-38-0631/", "Инфо")</f>
        <v>Инфо</v>
      </c>
      <c r="F9685" s="34" t="s">
        <v>39</v>
      </c>
      <c r="G9685" s="33"/>
      <c r="H9685" s="33" t="s">
        <v>40</v>
      </c>
      <c r="I9685" s="33"/>
      <c r="J9685" s="35">
        <v>56</v>
      </c>
      <c r="K9685" s="33"/>
      <c r="L9685" s="35">
        <v>1</v>
      </c>
      <c r="M9685" s="35">
        <v>12</v>
      </c>
      <c r="N9685" s="35">
        <v>1</v>
      </c>
      <c r="O9685" s="36">
        <v>1001.91</v>
      </c>
      <c r="P9685" s="36">
        <v>821.24</v>
      </c>
      <c r="Q9685" s="36">
        <v>701.34</v>
      </c>
      <c r="R9685" s="36">
        <v>574.87</v>
      </c>
      <c r="S9685" s="36">
        <v>681.3</v>
      </c>
      <c r="T9685" s="36">
        <v>558.44000000000005</v>
      </c>
      <c r="U9685" s="34"/>
      <c r="V9685" s="34"/>
      <c r="W9685" s="34"/>
      <c r="X9685" s="37">
        <v>0.36899999999999999</v>
      </c>
      <c r="Y9685" s="38">
        <v>3.173E-3</v>
      </c>
      <c r="Z9685" s="21">
        <v>4601004280311</v>
      </c>
    </row>
    <row r="9686" spans="1:26" ht="12.95" customHeight="1" outlineLevel="2" x14ac:dyDescent="0.2">
      <c r="A9686" s="76" t="s">
        <v>18442</v>
      </c>
      <c r="B9686" s="76"/>
      <c r="C9686" s="77"/>
      <c r="D9686" s="58"/>
      <c r="E9686" s="68"/>
      <c r="F9686" s="13"/>
      <c r="G9686" s="13"/>
      <c r="H9686" s="13"/>
      <c r="I9686" s="13"/>
      <c r="J9686" s="13"/>
      <c r="K9686" s="13"/>
      <c r="L9686" s="13"/>
      <c r="M9686" s="13"/>
      <c r="N9686" s="13"/>
      <c r="O9686" s="13"/>
      <c r="P9686" s="13"/>
      <c r="Q9686" s="13"/>
      <c r="R9686" s="13"/>
      <c r="S9686" s="13"/>
      <c r="T9686" s="13"/>
      <c r="U9686" s="13"/>
      <c r="V9686" s="13"/>
      <c r="W9686" s="13"/>
      <c r="X9686" s="13"/>
      <c r="Y9686" s="13"/>
      <c r="Z9686" s="13"/>
    </row>
    <row r="9687" spans="1:26" ht="12" customHeight="1" outlineLevel="3" x14ac:dyDescent="0.2">
      <c r="A9687" s="32" t="s">
        <v>18443</v>
      </c>
      <c r="B9687" s="74" t="s">
        <v>18444</v>
      </c>
      <c r="C9687" s="50"/>
      <c r="D9687" s="53">
        <f t="shared" si="151"/>
        <v>0</v>
      </c>
      <c r="E9687" s="60" t="str">
        <f>HYPERLINK("https://www.sds-group.ru/product/derzhatel-dlya-shlemov-i-ekipirovki-nastennyy-chernyy-rexant-38-0659/", "Инфо")</f>
        <v>Инфо</v>
      </c>
      <c r="F9687" s="34" t="s">
        <v>39</v>
      </c>
      <c r="G9687" s="33"/>
      <c r="H9687" s="33" t="s">
        <v>40</v>
      </c>
      <c r="I9687" s="33"/>
      <c r="J9687" s="35">
        <v>9</v>
      </c>
      <c r="K9687" s="33"/>
      <c r="L9687" s="35">
        <v>1</v>
      </c>
      <c r="M9687" s="35">
        <v>10</v>
      </c>
      <c r="N9687" s="35">
        <v>1</v>
      </c>
      <c r="O9687" s="36">
        <v>1844.4</v>
      </c>
      <c r="P9687" s="36">
        <v>1511.8</v>
      </c>
      <c r="Q9687" s="36">
        <v>1291.08</v>
      </c>
      <c r="R9687" s="36">
        <v>1058.26</v>
      </c>
      <c r="S9687" s="36">
        <v>1254.19</v>
      </c>
      <c r="T9687" s="36">
        <v>1028.02</v>
      </c>
      <c r="U9687" s="34"/>
      <c r="V9687" s="34"/>
      <c r="W9687" s="34"/>
      <c r="X9687" s="37">
        <v>0.56499999999999995</v>
      </c>
      <c r="Y9687" s="38">
        <v>3.8080000000000002E-3</v>
      </c>
      <c r="Z9687" s="21">
        <v>4601004280472</v>
      </c>
    </row>
    <row r="9688" spans="1:26" ht="12" customHeight="1" outlineLevel="3" x14ac:dyDescent="0.2">
      <c r="A9688" s="32" t="s">
        <v>18445</v>
      </c>
      <c r="B9688" s="74" t="s">
        <v>18446</v>
      </c>
      <c r="C9688" s="50"/>
      <c r="D9688" s="53">
        <f t="shared" si="151"/>
        <v>0</v>
      </c>
      <c r="E9688" s="60" t="str">
        <f>HYPERLINK("https://www.sds-group.ru/product/kronshteyn-dlya-bokserskoy-grushi-gamakov-dlya-yogi-do-200kg-chernyy-rexant-38-0660/", "Инфо")</f>
        <v>Инфо</v>
      </c>
      <c r="F9688" s="34" t="s">
        <v>39</v>
      </c>
      <c r="G9688" s="33"/>
      <c r="H9688" s="33" t="s">
        <v>40</v>
      </c>
      <c r="I9688" s="33"/>
      <c r="J9688" s="35">
        <v>7</v>
      </c>
      <c r="K9688" s="33"/>
      <c r="L9688" s="35">
        <v>1</v>
      </c>
      <c r="M9688" s="35">
        <v>10</v>
      </c>
      <c r="N9688" s="35">
        <v>1</v>
      </c>
      <c r="O9688" s="36">
        <v>1081.2</v>
      </c>
      <c r="P9688" s="36">
        <v>886.23</v>
      </c>
      <c r="Q9688" s="36">
        <v>756.84</v>
      </c>
      <c r="R9688" s="36">
        <v>620.36</v>
      </c>
      <c r="S9688" s="36">
        <v>735.22</v>
      </c>
      <c r="T9688" s="36">
        <v>602.64</v>
      </c>
      <c r="U9688" s="34"/>
      <c r="V9688" s="34"/>
      <c r="W9688" s="34"/>
      <c r="X9688" s="37">
        <v>0.39300000000000002</v>
      </c>
      <c r="Y9688" s="38">
        <v>9.6299999999999999E-4</v>
      </c>
      <c r="Z9688" s="21">
        <v>4601004280496</v>
      </c>
    </row>
    <row r="9689" spans="1:26" ht="12" customHeight="1" outlineLevel="3" x14ac:dyDescent="0.2">
      <c r="A9689" s="14" t="s">
        <v>18447</v>
      </c>
      <c r="B9689" s="26" t="s">
        <v>18448</v>
      </c>
      <c r="C9689" s="52"/>
      <c r="D9689" s="55">
        <f t="shared" si="151"/>
        <v>0</v>
      </c>
      <c r="E9689" s="63" t="str">
        <f>HYPERLINK("https://www.sds-group.ru/product/kronshteyn-dlya-velosipeda-nastennyy-v-1-rexant-38-0601/", "Инфо")</f>
        <v>Инфо</v>
      </c>
      <c r="F9689" s="16" t="s">
        <v>39</v>
      </c>
      <c r="G9689" s="15"/>
      <c r="H9689" s="15"/>
      <c r="I9689" s="15"/>
      <c r="J9689" s="22">
        <v>1444</v>
      </c>
      <c r="K9689" s="15"/>
      <c r="L9689" s="17">
        <v>1</v>
      </c>
      <c r="M9689" s="17">
        <v>30</v>
      </c>
      <c r="N9689" s="17">
        <v>1</v>
      </c>
      <c r="O9689" s="18">
        <v>786.52</v>
      </c>
      <c r="P9689" s="18">
        <v>644.69000000000005</v>
      </c>
      <c r="Q9689" s="18">
        <v>629.22</v>
      </c>
      <c r="R9689" s="18">
        <v>515.75</v>
      </c>
      <c r="S9689" s="18">
        <v>534.83000000000004</v>
      </c>
      <c r="T9689" s="18">
        <v>438.39</v>
      </c>
      <c r="U9689" s="16"/>
      <c r="V9689" s="16"/>
      <c r="W9689" s="16" t="s">
        <v>40</v>
      </c>
      <c r="X9689" s="19">
        <v>0.66400000000000003</v>
      </c>
      <c r="Y9689" s="20">
        <v>2.264E-3</v>
      </c>
      <c r="Z9689" s="21">
        <v>4601004271555</v>
      </c>
    </row>
    <row r="9690" spans="1:26" ht="12" customHeight="1" outlineLevel="3" x14ac:dyDescent="0.2">
      <c r="A9690" s="14" t="s">
        <v>18449</v>
      </c>
      <c r="B9690" s="26" t="s">
        <v>18450</v>
      </c>
      <c r="C9690" s="52"/>
      <c r="D9690" s="55">
        <f t="shared" si="151"/>
        <v>0</v>
      </c>
      <c r="E9690" s="63" t="str">
        <f>HYPERLINK("https://www.sds-group.ru/product/kronshteyn-dlya-velosipeda-nastennyy-v-2-rexant-38-0602/", "Инфо")</f>
        <v>Инфо</v>
      </c>
      <c r="F9690" s="16" t="s">
        <v>39</v>
      </c>
      <c r="G9690" s="15"/>
      <c r="H9690" s="15"/>
      <c r="I9690" s="15"/>
      <c r="J9690" s="17">
        <v>80</v>
      </c>
      <c r="K9690" s="15"/>
      <c r="L9690" s="17">
        <v>1</v>
      </c>
      <c r="M9690" s="17">
        <v>10</v>
      </c>
      <c r="N9690" s="17">
        <v>1</v>
      </c>
      <c r="O9690" s="18">
        <v>976.26</v>
      </c>
      <c r="P9690" s="18">
        <v>800.21</v>
      </c>
      <c r="Q9690" s="18">
        <v>781.01</v>
      </c>
      <c r="R9690" s="18">
        <v>640.16999999999996</v>
      </c>
      <c r="S9690" s="18">
        <v>663.86</v>
      </c>
      <c r="T9690" s="18">
        <v>544.15</v>
      </c>
      <c r="U9690" s="16"/>
      <c r="V9690" s="16"/>
      <c r="W9690" s="16" t="s">
        <v>40</v>
      </c>
      <c r="X9690" s="19">
        <v>0.78800000000000003</v>
      </c>
      <c r="Y9690" s="20">
        <v>1.2749E-2</v>
      </c>
      <c r="Z9690" s="21">
        <v>4601004271524</v>
      </c>
    </row>
    <row r="9691" spans="1:26" ht="12" customHeight="1" outlineLevel="3" x14ac:dyDescent="0.2">
      <c r="A9691" s="32" t="s">
        <v>18451</v>
      </c>
      <c r="B9691" s="74" t="s">
        <v>18452</v>
      </c>
      <c r="C9691" s="50"/>
      <c r="D9691" s="53">
        <f t="shared" si="151"/>
        <v>0</v>
      </c>
      <c r="E9691" s="60" t="str">
        <f>HYPERLINK("https://www.sds-group.ru/product/kronshteyn-dlya-velosipeda-nastennyy-v-3-rexant-38-0603/", "Инфо")</f>
        <v>Инфо</v>
      </c>
      <c r="F9691" s="34" t="s">
        <v>39</v>
      </c>
      <c r="G9691" s="33"/>
      <c r="H9691" s="33" t="s">
        <v>40</v>
      </c>
      <c r="I9691" s="33"/>
      <c r="J9691" s="34" t="s">
        <v>100</v>
      </c>
      <c r="K9691" s="33"/>
      <c r="L9691" s="35">
        <v>1</v>
      </c>
      <c r="M9691" s="35">
        <v>10</v>
      </c>
      <c r="N9691" s="35">
        <v>1</v>
      </c>
      <c r="O9691" s="36">
        <v>1420.4</v>
      </c>
      <c r="P9691" s="36">
        <v>1164.26</v>
      </c>
      <c r="Q9691" s="36">
        <v>1122.1199999999999</v>
      </c>
      <c r="R9691" s="36">
        <v>919.77</v>
      </c>
      <c r="S9691" s="36">
        <v>965.87</v>
      </c>
      <c r="T9691" s="36">
        <v>791.7</v>
      </c>
      <c r="U9691" s="34"/>
      <c r="V9691" s="34"/>
      <c r="W9691" s="34" t="s">
        <v>40</v>
      </c>
      <c r="X9691" s="37">
        <v>1.2450000000000001</v>
      </c>
      <c r="Y9691" s="38">
        <v>1.4633999999999999E-2</v>
      </c>
      <c r="Z9691" s="21">
        <v>4601004271531</v>
      </c>
    </row>
    <row r="9692" spans="1:26" ht="12" customHeight="1" outlineLevel="3" x14ac:dyDescent="0.2">
      <c r="A9692" s="14" t="s">
        <v>18453</v>
      </c>
      <c r="B9692" s="26" t="s">
        <v>18454</v>
      </c>
      <c r="C9692" s="52"/>
      <c r="D9692" s="55">
        <f t="shared" si="151"/>
        <v>0</v>
      </c>
      <c r="E9692" s="63" t="str">
        <f>HYPERLINK("https://www.sds-group.ru/product/kronshteyn-dlya-velosipeda-nastennyy-v-4-rexant-38-0604/", "Инфо")</f>
        <v>Инфо</v>
      </c>
      <c r="F9692" s="16" t="s">
        <v>39</v>
      </c>
      <c r="G9692" s="15"/>
      <c r="H9692" s="15"/>
      <c r="I9692" s="15"/>
      <c r="J9692" s="16" t="s">
        <v>100</v>
      </c>
      <c r="K9692" s="15" t="s">
        <v>1580</v>
      </c>
      <c r="L9692" s="17">
        <v>1</v>
      </c>
      <c r="M9692" s="17">
        <v>10</v>
      </c>
      <c r="N9692" s="17">
        <v>1</v>
      </c>
      <c r="O9692" s="18">
        <v>1578.34</v>
      </c>
      <c r="P9692" s="18">
        <v>1293.72</v>
      </c>
      <c r="Q9692" s="18">
        <v>1104.8399999999999</v>
      </c>
      <c r="R9692" s="18">
        <v>905.61</v>
      </c>
      <c r="S9692" s="18">
        <v>1073.27</v>
      </c>
      <c r="T9692" s="18">
        <v>879.73</v>
      </c>
      <c r="U9692" s="16"/>
      <c r="V9692" s="16"/>
      <c r="W9692" s="16"/>
      <c r="X9692" s="19">
        <v>1.431</v>
      </c>
      <c r="Y9692" s="20">
        <v>1.5571E-2</v>
      </c>
      <c r="Z9692" s="21">
        <v>4601004271548</v>
      </c>
    </row>
    <row r="9693" spans="1:26" ht="12" customHeight="1" outlineLevel="3" x14ac:dyDescent="0.2">
      <c r="A9693" s="32" t="s">
        <v>18455</v>
      </c>
      <c r="B9693" s="74" t="s">
        <v>18456</v>
      </c>
      <c r="C9693" s="50"/>
      <c r="D9693" s="53">
        <f t="shared" si="151"/>
        <v>0</v>
      </c>
      <c r="E9693" s="60" t="str">
        <f>HYPERLINK("https://www.sds-group.ru/product/kronshteyn-dlya-velosipeda-nastennyy-v-5-rexant-38-0605/", "Инфо")</f>
        <v>Инфо</v>
      </c>
      <c r="F9693" s="34" t="s">
        <v>39</v>
      </c>
      <c r="G9693" s="33"/>
      <c r="H9693" s="33" t="s">
        <v>40</v>
      </c>
      <c r="I9693" s="33"/>
      <c r="J9693" s="35">
        <v>1</v>
      </c>
      <c r="K9693" s="33"/>
      <c r="L9693" s="35">
        <v>1</v>
      </c>
      <c r="M9693" s="35">
        <v>20</v>
      </c>
      <c r="N9693" s="35">
        <v>1</v>
      </c>
      <c r="O9693" s="36">
        <v>904.41</v>
      </c>
      <c r="P9693" s="36">
        <v>741.32</v>
      </c>
      <c r="Q9693" s="36">
        <v>633.09</v>
      </c>
      <c r="R9693" s="36">
        <v>518.92999999999995</v>
      </c>
      <c r="S9693" s="36">
        <v>615</v>
      </c>
      <c r="T9693" s="36">
        <v>504.1</v>
      </c>
      <c r="U9693" s="34"/>
      <c r="V9693" s="34"/>
      <c r="W9693" s="34"/>
      <c r="X9693" s="37">
        <v>1.107</v>
      </c>
      <c r="Y9693" s="38">
        <v>1.0319999999999999E-3</v>
      </c>
      <c r="Z9693" s="21">
        <v>4601004271562</v>
      </c>
    </row>
    <row r="9694" spans="1:26" ht="12" customHeight="1" outlineLevel="3" x14ac:dyDescent="0.2">
      <c r="A9694" s="32" t="s">
        <v>18457</v>
      </c>
      <c r="B9694" s="74" t="s">
        <v>18458</v>
      </c>
      <c r="C9694" s="50"/>
      <c r="D9694" s="53">
        <f t="shared" si="151"/>
        <v>0</v>
      </c>
      <c r="E9694" s="60" t="str">
        <f>HYPERLINK("https://www.sds-group.ru/product/kronshteyn-dlya-velosipeda-universalnyy-2-sht-rexant-38-0612/", "Инфо")</f>
        <v>Инфо</v>
      </c>
      <c r="F9694" s="34" t="s">
        <v>1001</v>
      </c>
      <c r="G9694" s="33"/>
      <c r="H9694" s="33" t="s">
        <v>40</v>
      </c>
      <c r="I9694" s="33"/>
      <c r="J9694" s="35">
        <v>173</v>
      </c>
      <c r="K9694" s="33"/>
      <c r="L9694" s="35">
        <v>1</v>
      </c>
      <c r="M9694" s="35">
        <v>72</v>
      </c>
      <c r="N9694" s="35">
        <v>1</v>
      </c>
      <c r="O9694" s="36">
        <v>251.22</v>
      </c>
      <c r="P9694" s="36">
        <v>205.92</v>
      </c>
      <c r="Q9694" s="36">
        <v>175.85</v>
      </c>
      <c r="R9694" s="36">
        <v>144.13999999999999</v>
      </c>
      <c r="S9694" s="36">
        <v>170.83</v>
      </c>
      <c r="T9694" s="36">
        <v>140.02000000000001</v>
      </c>
      <c r="U9694" s="34"/>
      <c r="V9694" s="34"/>
      <c r="W9694" s="34"/>
      <c r="X9694" s="37">
        <v>0.14799999999999999</v>
      </c>
      <c r="Y9694" s="38">
        <v>3.4499999999999998E-4</v>
      </c>
      <c r="Z9694" s="21">
        <v>4601004284111</v>
      </c>
    </row>
    <row r="9695" spans="1:26" ht="12" customHeight="1" outlineLevel="3" x14ac:dyDescent="0.2">
      <c r="A9695" s="32" t="s">
        <v>18459</v>
      </c>
      <c r="B9695" s="74" t="s">
        <v>18460</v>
      </c>
      <c r="C9695" s="50"/>
      <c r="D9695" s="53">
        <f t="shared" si="151"/>
        <v>0</v>
      </c>
      <c r="E9695" s="60" t="str">
        <f>HYPERLINK("https://www.sds-group.ru/product/kronshteyn-dlya-nastennogo-hraneniya-s-protektorom-vylet-340mm-rexant-38-0616/", "Инфо")</f>
        <v>Инфо</v>
      </c>
      <c r="F9695" s="34" t="s">
        <v>39</v>
      </c>
      <c r="G9695" s="33"/>
      <c r="H9695" s="33" t="s">
        <v>40</v>
      </c>
      <c r="I9695" s="33"/>
      <c r="J9695" s="35">
        <v>414</v>
      </c>
      <c r="K9695" s="33"/>
      <c r="L9695" s="35">
        <v>1</v>
      </c>
      <c r="M9695" s="35">
        <v>24</v>
      </c>
      <c r="N9695" s="35">
        <v>1</v>
      </c>
      <c r="O9695" s="36">
        <v>522.45000000000005</v>
      </c>
      <c r="P9695" s="36">
        <v>428.24</v>
      </c>
      <c r="Q9695" s="36">
        <v>365.72</v>
      </c>
      <c r="R9695" s="36">
        <v>299.77</v>
      </c>
      <c r="S9695" s="36">
        <v>355.27</v>
      </c>
      <c r="T9695" s="36">
        <v>291.2</v>
      </c>
      <c r="U9695" s="34"/>
      <c r="V9695" s="34"/>
      <c r="W9695" s="34"/>
      <c r="X9695" s="37">
        <v>0.42099999999999999</v>
      </c>
      <c r="Y9695" s="38">
        <v>1.537E-3</v>
      </c>
      <c r="Z9695" s="21">
        <v>4601004284142</v>
      </c>
    </row>
    <row r="9696" spans="1:26" ht="12.95" customHeight="1" outlineLevel="2" x14ac:dyDescent="0.2">
      <c r="A9696" s="76" t="s">
        <v>18461</v>
      </c>
      <c r="B9696" s="76"/>
      <c r="C9696" s="77"/>
      <c r="D9696" s="58"/>
      <c r="E9696" s="68"/>
      <c r="F9696" s="13"/>
      <c r="G9696" s="13"/>
      <c r="H9696" s="13"/>
      <c r="I9696" s="13"/>
      <c r="J9696" s="13"/>
      <c r="K9696" s="13"/>
      <c r="L9696" s="13"/>
      <c r="M9696" s="13"/>
      <c r="N9696" s="13"/>
      <c r="O9696" s="13"/>
      <c r="P9696" s="13"/>
      <c r="Q9696" s="13"/>
      <c r="R9696" s="13"/>
      <c r="S9696" s="13"/>
      <c r="T9696" s="13"/>
      <c r="U9696" s="13"/>
      <c r="V9696" s="13"/>
      <c r="W9696" s="13"/>
      <c r="X9696" s="13"/>
      <c r="Y9696" s="13"/>
      <c r="Z9696" s="13"/>
    </row>
    <row r="9697" spans="1:26" ht="12" customHeight="1" outlineLevel="3" x14ac:dyDescent="0.2">
      <c r="A9697" s="32" t="s">
        <v>18462</v>
      </c>
      <c r="B9697" s="74" t="s">
        <v>18463</v>
      </c>
      <c r="C9697" s="50"/>
      <c r="D9697" s="53">
        <f t="shared" si="151"/>
        <v>0</v>
      </c>
      <c r="E9697" s="60" t="str">
        <f>HYPERLINK("https://www.sds-group.ru/product/derzhatel-dlya-bumazhnyh-polotenets-nastennyy-montazh-bez-sverleniya-chernyy-rexant-38-0637/", "Инфо")</f>
        <v>Инфо</v>
      </c>
      <c r="F9697" s="34" t="s">
        <v>39</v>
      </c>
      <c r="G9697" s="33"/>
      <c r="H9697" s="33" t="s">
        <v>40</v>
      </c>
      <c r="I9697" s="33"/>
      <c r="J9697" s="34" t="s">
        <v>100</v>
      </c>
      <c r="K9697" s="33"/>
      <c r="L9697" s="35">
        <v>1</v>
      </c>
      <c r="M9697" s="35">
        <v>12</v>
      </c>
      <c r="N9697" s="35">
        <v>1</v>
      </c>
      <c r="O9697" s="36">
        <v>669.92</v>
      </c>
      <c r="P9697" s="36">
        <v>549.11</v>
      </c>
      <c r="Q9697" s="36">
        <v>535.94000000000005</v>
      </c>
      <c r="R9697" s="36">
        <v>439.3</v>
      </c>
      <c r="S9697" s="36">
        <v>455.55</v>
      </c>
      <c r="T9697" s="36">
        <v>373.4</v>
      </c>
      <c r="U9697" s="34"/>
      <c r="V9697" s="34"/>
      <c r="W9697" s="34" t="s">
        <v>40</v>
      </c>
      <c r="X9697" s="37">
        <v>0.35899999999999999</v>
      </c>
      <c r="Y9697" s="38">
        <v>1.884E-3</v>
      </c>
      <c r="Z9697" s="21">
        <v>4601004280434</v>
      </c>
    </row>
    <row r="9698" spans="1:26" ht="12" customHeight="1" outlineLevel="3" x14ac:dyDescent="0.2">
      <c r="A9698" s="32" t="s">
        <v>18464</v>
      </c>
      <c r="B9698" s="74" t="s">
        <v>18465</v>
      </c>
      <c r="C9698" s="50"/>
      <c r="D9698" s="53">
        <f t="shared" si="151"/>
        <v>0</v>
      </c>
      <c r="E9698" s="60" t="str">
        <f>HYPERLINK("https://www.sds-group.ru/product/derzhatel-dlya-hraneniya-gubki-i-kuhonnoy-utvari-montazh-bez-sverleniya-belyy-rexant-38-0694/", "Инфо")</f>
        <v>Инфо</v>
      </c>
      <c r="F9698" s="34" t="s">
        <v>39</v>
      </c>
      <c r="G9698" s="33"/>
      <c r="H9698" s="33" t="s">
        <v>40</v>
      </c>
      <c r="I9698" s="33"/>
      <c r="J9698" s="35">
        <v>59</v>
      </c>
      <c r="K9698" s="33"/>
      <c r="L9698" s="35">
        <v>1</v>
      </c>
      <c r="M9698" s="35">
        <v>10</v>
      </c>
      <c r="N9698" s="35">
        <v>1</v>
      </c>
      <c r="O9698" s="36">
        <v>329.06</v>
      </c>
      <c r="P9698" s="36">
        <v>269.72000000000003</v>
      </c>
      <c r="Q9698" s="36">
        <v>230.34</v>
      </c>
      <c r="R9698" s="36">
        <v>188.8</v>
      </c>
      <c r="S9698" s="36">
        <v>223.76</v>
      </c>
      <c r="T9698" s="36">
        <v>183.41</v>
      </c>
      <c r="U9698" s="34"/>
      <c r="V9698" s="34"/>
      <c r="W9698" s="34"/>
      <c r="X9698" s="37">
        <v>9.8000000000000004E-2</v>
      </c>
      <c r="Y9698" s="38">
        <v>9.41E-4</v>
      </c>
      <c r="Z9698" s="21">
        <v>4601004303270</v>
      </c>
    </row>
    <row r="9699" spans="1:26" ht="12" customHeight="1" outlineLevel="3" x14ac:dyDescent="0.2">
      <c r="A9699" s="32" t="s">
        <v>18466</v>
      </c>
      <c r="B9699" s="74" t="s">
        <v>18467</v>
      </c>
      <c r="C9699" s="50"/>
      <c r="D9699" s="53">
        <f t="shared" si="151"/>
        <v>0</v>
      </c>
      <c r="E9699" s="60" t="str">
        <f>HYPERLINK("https://www.sds-group.ru/product/derzhatel-dlya-hraneniya-gubki-i-kuhonnoy-utvari-montazh-bez-sverleniya-chernyy-rexant-38-0693/", "Инфо")</f>
        <v>Инфо</v>
      </c>
      <c r="F9699" s="34" t="s">
        <v>39</v>
      </c>
      <c r="G9699" s="33"/>
      <c r="H9699" s="33" t="s">
        <v>40</v>
      </c>
      <c r="I9699" s="33"/>
      <c r="J9699" s="35">
        <v>1</v>
      </c>
      <c r="K9699" s="33"/>
      <c r="L9699" s="35">
        <v>1</v>
      </c>
      <c r="M9699" s="35">
        <v>10</v>
      </c>
      <c r="N9699" s="35">
        <v>1</v>
      </c>
      <c r="O9699" s="36">
        <v>503.66</v>
      </c>
      <c r="P9699" s="36">
        <v>412.84</v>
      </c>
      <c r="Q9699" s="36">
        <v>352.56</v>
      </c>
      <c r="R9699" s="36">
        <v>288.98</v>
      </c>
      <c r="S9699" s="36">
        <v>342.49</v>
      </c>
      <c r="T9699" s="36">
        <v>280.73</v>
      </c>
      <c r="U9699" s="34"/>
      <c r="V9699" s="34"/>
      <c r="W9699" s="34"/>
      <c r="X9699" s="37">
        <v>9.6000000000000002E-2</v>
      </c>
      <c r="Y9699" s="38">
        <v>9.7300000000000002E-4</v>
      </c>
      <c r="Z9699" s="21">
        <v>4601004303256</v>
      </c>
    </row>
    <row r="9700" spans="1:26" ht="12" customHeight="1" outlineLevel="3" x14ac:dyDescent="0.2">
      <c r="A9700" s="32" t="s">
        <v>18468</v>
      </c>
      <c r="B9700" s="74" t="s">
        <v>18469</v>
      </c>
      <c r="C9700" s="50"/>
      <c r="D9700" s="53">
        <f t="shared" si="151"/>
        <v>0</v>
      </c>
      <c r="E9700" s="60" t="str">
        <f>HYPERLINK("https://www.sds-group.ru/product/derzhatel-dlya-hraneniya-zubnyh-schetok-i-aksessuarov-dlya-vanny-belyy-rexant-38-0704/", "Инфо")</f>
        <v>Инфо</v>
      </c>
      <c r="F9700" s="34" t="s">
        <v>39</v>
      </c>
      <c r="G9700" s="33"/>
      <c r="H9700" s="33" t="s">
        <v>40</v>
      </c>
      <c r="I9700" s="33"/>
      <c r="J9700" s="35">
        <v>19</v>
      </c>
      <c r="K9700" s="33"/>
      <c r="L9700" s="35">
        <v>1</v>
      </c>
      <c r="M9700" s="35">
        <v>10</v>
      </c>
      <c r="N9700" s="35">
        <v>1</v>
      </c>
      <c r="O9700" s="36">
        <v>869.86</v>
      </c>
      <c r="P9700" s="36">
        <v>713</v>
      </c>
      <c r="Q9700" s="36">
        <v>608.9</v>
      </c>
      <c r="R9700" s="36">
        <v>499.1</v>
      </c>
      <c r="S9700" s="36">
        <v>591.5</v>
      </c>
      <c r="T9700" s="36">
        <v>484.84</v>
      </c>
      <c r="U9700" s="34"/>
      <c r="V9700" s="34"/>
      <c r="W9700" s="34"/>
      <c r="X9700" s="37">
        <v>0.28599999999999998</v>
      </c>
      <c r="Y9700" s="38">
        <v>2.2030000000000001E-3</v>
      </c>
      <c r="Z9700" s="21">
        <v>4601004303157</v>
      </c>
    </row>
    <row r="9701" spans="1:26" ht="12" customHeight="1" outlineLevel="3" x14ac:dyDescent="0.2">
      <c r="A9701" s="32" t="s">
        <v>18470</v>
      </c>
      <c r="B9701" s="74" t="s">
        <v>18471</v>
      </c>
      <c r="C9701" s="50"/>
      <c r="D9701" s="53">
        <f t="shared" si="151"/>
        <v>0</v>
      </c>
      <c r="E9701" s="60" t="str">
        <f>HYPERLINK("https://www.sds-group.ru/product/derzhatel-dlya-hraneniya-zubnyh-schetok-i-nasadok-montazh-bez-sverleniya-belyy-rexant-38-0696/", "Инфо")</f>
        <v>Инфо</v>
      </c>
      <c r="F9701" s="34" t="s">
        <v>39</v>
      </c>
      <c r="G9701" s="33"/>
      <c r="H9701" s="33" t="s">
        <v>40</v>
      </c>
      <c r="I9701" s="33"/>
      <c r="J9701" s="35">
        <v>77</v>
      </c>
      <c r="K9701" s="33"/>
      <c r="L9701" s="35">
        <v>1</v>
      </c>
      <c r="M9701" s="35">
        <v>20</v>
      </c>
      <c r="N9701" s="35">
        <v>1</v>
      </c>
      <c r="O9701" s="36">
        <v>352.03</v>
      </c>
      <c r="P9701" s="36">
        <v>288.55</v>
      </c>
      <c r="Q9701" s="36">
        <v>246.42</v>
      </c>
      <c r="R9701" s="36">
        <v>201.98</v>
      </c>
      <c r="S9701" s="36">
        <v>239.38</v>
      </c>
      <c r="T9701" s="36">
        <v>196.21</v>
      </c>
      <c r="U9701" s="34"/>
      <c r="V9701" s="34"/>
      <c r="W9701" s="34"/>
      <c r="X9701" s="37">
        <v>3.6999999999999998E-2</v>
      </c>
      <c r="Y9701" s="38">
        <v>1.11E-4</v>
      </c>
      <c r="Z9701" s="21">
        <v>4601004303201</v>
      </c>
    </row>
    <row r="9702" spans="1:26" ht="12" customHeight="1" outlineLevel="3" x14ac:dyDescent="0.2">
      <c r="A9702" s="32" t="s">
        <v>18472</v>
      </c>
      <c r="B9702" s="74" t="s">
        <v>18473</v>
      </c>
      <c r="C9702" s="50"/>
      <c r="D9702" s="53">
        <f t="shared" si="151"/>
        <v>0</v>
      </c>
      <c r="E9702" s="60" t="str">
        <f>HYPERLINK("https://www.sds-group.ru/product/derzhatel-dlya-hraneniya-zubnyh-schetok-i-nasadok-montazh-bez-sverleniya-chernyy-rexant-38-0695/", "Инфо")</f>
        <v>Инфо</v>
      </c>
      <c r="F9702" s="34" t="s">
        <v>39</v>
      </c>
      <c r="G9702" s="33"/>
      <c r="H9702" s="33" t="s">
        <v>40</v>
      </c>
      <c r="I9702" s="33"/>
      <c r="J9702" s="35">
        <v>74</v>
      </c>
      <c r="K9702" s="33"/>
      <c r="L9702" s="35">
        <v>1</v>
      </c>
      <c r="M9702" s="35">
        <v>20</v>
      </c>
      <c r="N9702" s="35">
        <v>1</v>
      </c>
      <c r="O9702" s="36">
        <v>352.03</v>
      </c>
      <c r="P9702" s="36">
        <v>288.55</v>
      </c>
      <c r="Q9702" s="36">
        <v>246.42</v>
      </c>
      <c r="R9702" s="36">
        <v>201.98</v>
      </c>
      <c r="S9702" s="36">
        <v>239.38</v>
      </c>
      <c r="T9702" s="36">
        <v>196.21</v>
      </c>
      <c r="U9702" s="34"/>
      <c r="V9702" s="34"/>
      <c r="W9702" s="34"/>
      <c r="X9702" s="37">
        <v>3.5999999999999997E-2</v>
      </c>
      <c r="Y9702" s="38">
        <v>1.1400000000000001E-4</v>
      </c>
      <c r="Z9702" s="21">
        <v>4601004303096</v>
      </c>
    </row>
    <row r="9703" spans="1:26" ht="12" customHeight="1" outlineLevel="3" x14ac:dyDescent="0.2">
      <c r="A9703" s="32" t="s">
        <v>18474</v>
      </c>
      <c r="B9703" s="74" t="s">
        <v>18475</v>
      </c>
      <c r="C9703" s="50"/>
      <c r="D9703" s="53">
        <f t="shared" si="151"/>
        <v>0</v>
      </c>
      <c r="E9703" s="60" t="str">
        <f>HYPERLINK("https://www.sds-group.ru/product/derzhatel-dlya-hraneniya-fena-s-krepleniem-dlya-setevogo-kabelya-chernyy-rexant-38-0705/", "Инфо")</f>
        <v>Инфо</v>
      </c>
      <c r="F9703" s="34" t="s">
        <v>39</v>
      </c>
      <c r="G9703" s="33"/>
      <c r="H9703" s="33" t="s">
        <v>40</v>
      </c>
      <c r="I9703" s="33"/>
      <c r="J9703" s="35">
        <v>1</v>
      </c>
      <c r="K9703" s="33"/>
      <c r="L9703" s="35">
        <v>1</v>
      </c>
      <c r="M9703" s="35">
        <v>12</v>
      </c>
      <c r="N9703" s="35">
        <v>1</v>
      </c>
      <c r="O9703" s="36">
        <v>563.91999999999996</v>
      </c>
      <c r="P9703" s="36">
        <v>462.23</v>
      </c>
      <c r="Q9703" s="36">
        <v>394.74</v>
      </c>
      <c r="R9703" s="36">
        <v>323.56</v>
      </c>
      <c r="S9703" s="36">
        <v>383.47</v>
      </c>
      <c r="T9703" s="36">
        <v>314.32</v>
      </c>
      <c r="U9703" s="34"/>
      <c r="V9703" s="34"/>
      <c r="W9703" s="34"/>
      <c r="X9703" s="37">
        <v>0.16400000000000001</v>
      </c>
      <c r="Y9703" s="38">
        <v>1.129E-3</v>
      </c>
      <c r="Z9703" s="21">
        <v>4601004303119</v>
      </c>
    </row>
    <row r="9704" spans="1:26" ht="12" customHeight="1" outlineLevel="3" x14ac:dyDescent="0.2">
      <c r="A9704" s="32" t="s">
        <v>18476</v>
      </c>
      <c r="B9704" s="74" t="s">
        <v>18477</v>
      </c>
      <c r="C9704" s="50"/>
      <c r="D9704" s="53">
        <f t="shared" si="151"/>
        <v>0</v>
      </c>
      <c r="E9704" s="60" t="str">
        <f>HYPERLINK("https://www.sds-group.ru/product/derzhatel-dlya-hraneniya-elektricheskih-zubnyh-schetok-i-nasadok-montazh-bez-sverleniya-bely-38-0716/", "Инфо")</f>
        <v>Инфо</v>
      </c>
      <c r="F9704" s="34" t="s">
        <v>39</v>
      </c>
      <c r="G9704" s="33"/>
      <c r="H9704" s="33" t="s">
        <v>40</v>
      </c>
      <c r="I9704" s="33"/>
      <c r="J9704" s="34" t="s">
        <v>100</v>
      </c>
      <c r="K9704" s="33"/>
      <c r="L9704" s="35">
        <v>1</v>
      </c>
      <c r="M9704" s="35">
        <v>10</v>
      </c>
      <c r="N9704" s="35">
        <v>1</v>
      </c>
      <c r="O9704" s="36">
        <v>330.66</v>
      </c>
      <c r="P9704" s="36">
        <v>271.02999999999997</v>
      </c>
      <c r="Q9704" s="36">
        <v>231.46</v>
      </c>
      <c r="R9704" s="36">
        <v>189.72</v>
      </c>
      <c r="S9704" s="36">
        <v>224.85</v>
      </c>
      <c r="T9704" s="36">
        <v>184.3</v>
      </c>
      <c r="U9704" s="34"/>
      <c r="V9704" s="34"/>
      <c r="W9704" s="34"/>
      <c r="X9704" s="37">
        <v>8.3000000000000004E-2</v>
      </c>
      <c r="Y9704" s="38">
        <v>9.6400000000000001E-4</v>
      </c>
      <c r="Z9704" s="21">
        <v>4601004303171</v>
      </c>
    </row>
    <row r="9705" spans="1:26" ht="12" customHeight="1" outlineLevel="3" x14ac:dyDescent="0.2">
      <c r="A9705" s="32" t="s">
        <v>18478</v>
      </c>
      <c r="B9705" s="74" t="s">
        <v>18479</v>
      </c>
      <c r="C9705" s="50"/>
      <c r="D9705" s="53">
        <f t="shared" si="151"/>
        <v>0</v>
      </c>
      <c r="E9705" s="60" t="str">
        <f>HYPERLINK("https://www.sds-group.ru/product/kuhonnyy-organayzer-nastennyy-montazh-bez-sverleniya-belyy-rexant-38-0642/", "Инфо")</f>
        <v>Инфо</v>
      </c>
      <c r="F9705" s="34" t="s">
        <v>39</v>
      </c>
      <c r="G9705" s="33"/>
      <c r="H9705" s="33" t="s">
        <v>40</v>
      </c>
      <c r="I9705" s="33"/>
      <c r="J9705" s="35">
        <v>51</v>
      </c>
      <c r="K9705" s="33"/>
      <c r="L9705" s="35">
        <v>1</v>
      </c>
      <c r="M9705" s="35">
        <v>12</v>
      </c>
      <c r="N9705" s="35">
        <v>1</v>
      </c>
      <c r="O9705" s="36">
        <v>944.78</v>
      </c>
      <c r="P9705" s="36">
        <v>774.41</v>
      </c>
      <c r="Q9705" s="36">
        <v>661.35</v>
      </c>
      <c r="R9705" s="36">
        <v>542.09</v>
      </c>
      <c r="S9705" s="36">
        <v>642.45000000000005</v>
      </c>
      <c r="T9705" s="36">
        <v>526.6</v>
      </c>
      <c r="U9705" s="34"/>
      <c r="V9705" s="34"/>
      <c r="W9705" s="34"/>
      <c r="X9705" s="37">
        <v>0.52700000000000002</v>
      </c>
      <c r="Y9705" s="38">
        <v>3.2880000000000001E-3</v>
      </c>
      <c r="Z9705" s="21">
        <v>4601004280465</v>
      </c>
    </row>
    <row r="9706" spans="1:26" ht="12" customHeight="1" outlineLevel="3" x14ac:dyDescent="0.2">
      <c r="A9706" s="14" t="s">
        <v>18480</v>
      </c>
      <c r="B9706" s="26" t="s">
        <v>18481</v>
      </c>
      <c r="C9706" s="52"/>
      <c r="D9706" s="55">
        <f t="shared" si="151"/>
        <v>0</v>
      </c>
      <c r="E9706" s="63" t="str">
        <f>HYPERLINK("https://www.sds-group.ru/product/kronshteyn-nastennyy-dlya-svch-pechey-rexant-38-0100/", "Инфо")</f>
        <v>Инфо</v>
      </c>
      <c r="F9706" s="16" t="s">
        <v>39</v>
      </c>
      <c r="G9706" s="15"/>
      <c r="H9706" s="15"/>
      <c r="I9706" s="15"/>
      <c r="J9706" s="16" t="s">
        <v>100</v>
      </c>
      <c r="K9706" s="15"/>
      <c r="L9706" s="17">
        <v>1</v>
      </c>
      <c r="M9706" s="17">
        <v>15</v>
      </c>
      <c r="N9706" s="17">
        <v>1</v>
      </c>
      <c r="O9706" s="18">
        <v>1617.03</v>
      </c>
      <c r="P9706" s="18">
        <v>1325.43</v>
      </c>
      <c r="Q9706" s="18">
        <v>1131.92</v>
      </c>
      <c r="R9706" s="18">
        <v>927.8</v>
      </c>
      <c r="S9706" s="18">
        <v>1099.58</v>
      </c>
      <c r="T9706" s="18">
        <v>901.3</v>
      </c>
      <c r="U9706" s="16"/>
      <c r="V9706" s="16"/>
      <c r="W9706" s="16"/>
      <c r="X9706" s="19">
        <v>1.121</v>
      </c>
      <c r="Y9706" s="20">
        <v>2.3530000000000001E-3</v>
      </c>
      <c r="Z9706" s="21">
        <v>4601004075184</v>
      </c>
    </row>
    <row r="9707" spans="1:26" ht="12" customHeight="1" outlineLevel="3" x14ac:dyDescent="0.2">
      <c r="A9707" s="32" t="s">
        <v>18482</v>
      </c>
      <c r="B9707" s="74" t="s">
        <v>18483</v>
      </c>
      <c r="C9707" s="50"/>
      <c r="D9707" s="53">
        <f t="shared" si="151"/>
        <v>0</v>
      </c>
      <c r="E9707" s="60" t="str">
        <f>HYPERLINK("https://www.sds-group.ru/product/polka-organayzer-dlya-kuhni-dub-votan-chernaya-rexant-38-0679/", "Инфо")</f>
        <v>Инфо</v>
      </c>
      <c r="F9707" s="34" t="s">
        <v>39</v>
      </c>
      <c r="G9707" s="33"/>
      <c r="H9707" s="33" t="s">
        <v>40</v>
      </c>
      <c r="I9707" s="33"/>
      <c r="J9707" s="35">
        <v>2</v>
      </c>
      <c r="K9707" s="33"/>
      <c r="L9707" s="35">
        <v>1</v>
      </c>
      <c r="M9707" s="35">
        <v>4</v>
      </c>
      <c r="N9707" s="35">
        <v>1</v>
      </c>
      <c r="O9707" s="36">
        <v>3312.5</v>
      </c>
      <c r="P9707" s="36">
        <v>2715.16</v>
      </c>
      <c r="Q9707" s="36">
        <v>2318.75</v>
      </c>
      <c r="R9707" s="36">
        <v>1900.61</v>
      </c>
      <c r="S9707" s="36">
        <v>2252.5</v>
      </c>
      <c r="T9707" s="36">
        <v>1846.31</v>
      </c>
      <c r="U9707" s="34"/>
      <c r="V9707" s="34"/>
      <c r="W9707" s="34"/>
      <c r="X9707" s="37">
        <v>1.9750000000000001</v>
      </c>
      <c r="Y9707" s="38">
        <v>1.1927E-2</v>
      </c>
      <c r="Z9707" s="21">
        <v>4601004296053</v>
      </c>
    </row>
    <row r="9708" spans="1:26" ht="12" customHeight="1" outlineLevel="3" x14ac:dyDescent="0.2">
      <c r="A9708" s="32" t="s">
        <v>18484</v>
      </c>
      <c r="B9708" s="74" t="s">
        <v>18485</v>
      </c>
      <c r="C9708" s="50"/>
      <c r="D9708" s="53">
        <f t="shared" si="151"/>
        <v>0</v>
      </c>
      <c r="E9708" s="60" t="str">
        <f>HYPERLINK("https://www.sds-group.ru/product/polka-organayzer-dlya-kuhni-dub-harbor-belaya-rexant-38-0678/", "Инфо")</f>
        <v>Инфо</v>
      </c>
      <c r="F9708" s="34" t="s">
        <v>39</v>
      </c>
      <c r="G9708" s="33"/>
      <c r="H9708" s="33" t="s">
        <v>40</v>
      </c>
      <c r="I9708" s="33"/>
      <c r="J9708" s="35">
        <v>1</v>
      </c>
      <c r="K9708" s="33"/>
      <c r="L9708" s="35">
        <v>1</v>
      </c>
      <c r="M9708" s="35">
        <v>4</v>
      </c>
      <c r="N9708" s="35">
        <v>1</v>
      </c>
      <c r="O9708" s="36">
        <v>3834.91</v>
      </c>
      <c r="P9708" s="36">
        <v>3143.37</v>
      </c>
      <c r="Q9708" s="36">
        <v>2684.44</v>
      </c>
      <c r="R9708" s="36">
        <v>2200.36</v>
      </c>
      <c r="S9708" s="36">
        <v>2607.7399999999998</v>
      </c>
      <c r="T9708" s="36">
        <v>2137.4899999999998</v>
      </c>
      <c r="U9708" s="34"/>
      <c r="V9708" s="34"/>
      <c r="W9708" s="34"/>
      <c r="X9708" s="37">
        <v>1.954</v>
      </c>
      <c r="Y9708" s="38">
        <v>1.1783999999999999E-2</v>
      </c>
      <c r="Z9708" s="21">
        <v>4601004296039</v>
      </c>
    </row>
    <row r="9709" spans="1:26" ht="12.95" customHeight="1" outlineLevel="2" x14ac:dyDescent="0.2">
      <c r="A9709" s="76" t="s">
        <v>18486</v>
      </c>
      <c r="B9709" s="76"/>
      <c r="C9709" s="77"/>
      <c r="D9709" s="58"/>
      <c r="E9709" s="68"/>
      <c r="F9709" s="13"/>
      <c r="G9709" s="13"/>
      <c r="H9709" s="13"/>
      <c r="I9709" s="13"/>
      <c r="J9709" s="13"/>
      <c r="K9709" s="13"/>
      <c r="L9709" s="13"/>
      <c r="M9709" s="13"/>
      <c r="N9709" s="13"/>
      <c r="O9709" s="13"/>
      <c r="P9709" s="13"/>
      <c r="Q9709" s="13"/>
      <c r="R9709" s="13"/>
      <c r="S9709" s="13"/>
      <c r="T9709" s="13"/>
      <c r="U9709" s="13"/>
      <c r="V9709" s="13"/>
      <c r="W9709" s="13"/>
      <c r="X9709" s="13"/>
      <c r="Y9709" s="13"/>
      <c r="Z9709" s="13"/>
    </row>
    <row r="9710" spans="1:26" ht="12" customHeight="1" outlineLevel="3" x14ac:dyDescent="0.2">
      <c r="A9710" s="32" t="s">
        <v>18487</v>
      </c>
      <c r="B9710" s="74" t="s">
        <v>18488</v>
      </c>
      <c r="C9710" s="50"/>
      <c r="D9710" s="53">
        <f t="shared" si="151"/>
        <v>0</v>
      </c>
      <c r="E9710" s="60" t="str">
        <f>HYPERLINK("https://www.sds-group.ru/product/derzhatel-dlya-uglovyh-shlifmashinok-do-125mm-nastennyy-s-kryuchkami-chernyy-rexant-38-0657/", "Инфо")</f>
        <v>Инфо</v>
      </c>
      <c r="F9710" s="34" t="s">
        <v>39</v>
      </c>
      <c r="G9710" s="33"/>
      <c r="H9710" s="33" t="s">
        <v>40</v>
      </c>
      <c r="I9710" s="33"/>
      <c r="J9710" s="34" t="s">
        <v>100</v>
      </c>
      <c r="K9710" s="33"/>
      <c r="L9710" s="35">
        <v>1</v>
      </c>
      <c r="M9710" s="35">
        <v>12</v>
      </c>
      <c r="N9710" s="35">
        <v>1</v>
      </c>
      <c r="O9710" s="36">
        <v>1648.87</v>
      </c>
      <c r="P9710" s="36">
        <v>1351.53</v>
      </c>
      <c r="Q9710" s="36">
        <v>1154.21</v>
      </c>
      <c r="R9710" s="36">
        <v>946.07</v>
      </c>
      <c r="S9710" s="36">
        <v>1121.23</v>
      </c>
      <c r="T9710" s="36">
        <v>919.04</v>
      </c>
      <c r="U9710" s="34"/>
      <c r="V9710" s="34"/>
      <c r="W9710" s="34"/>
      <c r="X9710" s="37">
        <v>0.55600000000000005</v>
      </c>
      <c r="Y9710" s="38">
        <v>3.9909999999999998E-3</v>
      </c>
      <c r="Z9710" s="21">
        <v>4601004280571</v>
      </c>
    </row>
    <row r="9711" spans="1:26" ht="12" customHeight="1" outlineLevel="3" x14ac:dyDescent="0.2">
      <c r="A9711" s="32" t="s">
        <v>18489</v>
      </c>
      <c r="B9711" s="74" t="s">
        <v>18490</v>
      </c>
      <c r="C9711" s="50"/>
      <c r="D9711" s="53">
        <f t="shared" si="151"/>
        <v>0</v>
      </c>
      <c r="E9711" s="60" t="str">
        <f>HYPERLINK("https://www.sds-group.ru/product/derzhatel-dlya-uglovyh-shlifmashinok-do-125mm-nastennyy-chernyy-rexant-38-0655/", "Инфо")</f>
        <v>Инфо</v>
      </c>
      <c r="F9711" s="34" t="s">
        <v>39</v>
      </c>
      <c r="G9711" s="33"/>
      <c r="H9711" s="33" t="s">
        <v>40</v>
      </c>
      <c r="I9711" s="33"/>
      <c r="J9711" s="34" t="s">
        <v>100</v>
      </c>
      <c r="K9711" s="33"/>
      <c r="L9711" s="35">
        <v>1</v>
      </c>
      <c r="M9711" s="35">
        <v>24</v>
      </c>
      <c r="N9711" s="35">
        <v>1</v>
      </c>
      <c r="O9711" s="36">
        <v>982.62</v>
      </c>
      <c r="P9711" s="36">
        <v>805.43</v>
      </c>
      <c r="Q9711" s="36">
        <v>786.1</v>
      </c>
      <c r="R9711" s="36">
        <v>644.34</v>
      </c>
      <c r="S9711" s="36">
        <v>668.18</v>
      </c>
      <c r="T9711" s="36">
        <v>547.69000000000005</v>
      </c>
      <c r="U9711" s="34"/>
      <c r="V9711" s="34"/>
      <c r="W9711" s="34" t="s">
        <v>40</v>
      </c>
      <c r="X9711" s="37">
        <v>0.38700000000000001</v>
      </c>
      <c r="Y9711" s="38">
        <v>2.0110000000000002E-3</v>
      </c>
      <c r="Z9711" s="21">
        <v>4601004280533</v>
      </c>
    </row>
    <row r="9712" spans="1:26" ht="12" customHeight="1" outlineLevel="3" x14ac:dyDescent="0.2">
      <c r="A9712" s="32" t="s">
        <v>18491</v>
      </c>
      <c r="B9712" s="74" t="s">
        <v>18492</v>
      </c>
      <c r="C9712" s="50"/>
      <c r="D9712" s="53">
        <f t="shared" si="151"/>
        <v>0</v>
      </c>
      <c r="E9712" s="60" t="str">
        <f>HYPERLINK("https://www.sds-group.ru/product/derzhatel-dlya-uglovyh-shlifmashinok-do-230mm-nastennyy-s-kryuchkami-chernyy-rexant-38-0658/", "Инфо")</f>
        <v>Инфо</v>
      </c>
      <c r="F9712" s="34" t="s">
        <v>39</v>
      </c>
      <c r="G9712" s="33"/>
      <c r="H9712" s="33" t="s">
        <v>40</v>
      </c>
      <c r="I9712" s="33"/>
      <c r="J9712" s="34" t="s">
        <v>100</v>
      </c>
      <c r="K9712" s="33"/>
      <c r="L9712" s="35">
        <v>1</v>
      </c>
      <c r="M9712" s="35">
        <v>5</v>
      </c>
      <c r="N9712" s="35">
        <v>1</v>
      </c>
      <c r="O9712" s="36">
        <v>2244</v>
      </c>
      <c r="P9712" s="36">
        <v>1839.34</v>
      </c>
      <c r="Q9712" s="36">
        <v>1772.76</v>
      </c>
      <c r="R9712" s="36">
        <v>1453.08</v>
      </c>
      <c r="S9712" s="36">
        <v>1525.92</v>
      </c>
      <c r="T9712" s="36">
        <v>1250.75</v>
      </c>
      <c r="U9712" s="34"/>
      <c r="V9712" s="34"/>
      <c r="W9712" s="34" t="s">
        <v>40</v>
      </c>
      <c r="X9712" s="37">
        <v>1.0640000000000001</v>
      </c>
      <c r="Y9712" s="38">
        <v>7.5709999999999996E-3</v>
      </c>
      <c r="Z9712" s="21">
        <v>4601004280649</v>
      </c>
    </row>
    <row r="9713" spans="1:26" ht="12" customHeight="1" outlineLevel="3" x14ac:dyDescent="0.2">
      <c r="A9713" s="32" t="s">
        <v>18493</v>
      </c>
      <c r="B9713" s="74" t="s">
        <v>18494</v>
      </c>
      <c r="C9713" s="50"/>
      <c r="D9713" s="53">
        <f t="shared" si="151"/>
        <v>0</v>
      </c>
      <c r="E9713" s="60" t="str">
        <f>HYPERLINK("https://www.sds-group.ru/product/derzhatel-dlya-uglovyh-shlifmashinok-do-230mm-nastennyy-chernyy-rexant-38-0656/", "Инфо")</f>
        <v>Инфо</v>
      </c>
      <c r="F9713" s="34" t="s">
        <v>39</v>
      </c>
      <c r="G9713" s="33"/>
      <c r="H9713" s="33" t="s">
        <v>40</v>
      </c>
      <c r="I9713" s="33"/>
      <c r="J9713" s="35">
        <v>25</v>
      </c>
      <c r="K9713" s="33"/>
      <c r="L9713" s="35">
        <v>1</v>
      </c>
      <c r="M9713" s="35">
        <v>18</v>
      </c>
      <c r="N9713" s="35">
        <v>1</v>
      </c>
      <c r="O9713" s="36">
        <v>994.28</v>
      </c>
      <c r="P9713" s="36">
        <v>814.98</v>
      </c>
      <c r="Q9713" s="36">
        <v>696</v>
      </c>
      <c r="R9713" s="36">
        <v>570.49</v>
      </c>
      <c r="S9713" s="36">
        <v>676.11</v>
      </c>
      <c r="T9713" s="36">
        <v>554.19000000000005</v>
      </c>
      <c r="U9713" s="34"/>
      <c r="V9713" s="34"/>
      <c r="W9713" s="34"/>
      <c r="X9713" s="37">
        <v>0.38700000000000001</v>
      </c>
      <c r="Y9713" s="38">
        <v>2.3939999999999999E-3</v>
      </c>
      <c r="Z9713" s="21">
        <v>4601004280564</v>
      </c>
    </row>
    <row r="9714" spans="1:26" ht="12" customHeight="1" outlineLevel="3" x14ac:dyDescent="0.2">
      <c r="A9714" s="32" t="s">
        <v>18495</v>
      </c>
      <c r="B9714" s="74" t="s">
        <v>18496</v>
      </c>
      <c r="C9714" s="50"/>
      <c r="D9714" s="53">
        <f t="shared" si="151"/>
        <v>0</v>
      </c>
      <c r="E9714" s="60" t="str">
        <f>HYPERLINK("https://www.sds-group.ru/product/derzhatel-dlya-elektrolobzika-nastennyy-chernyy-rexant-38-0669/", "Инфо")</f>
        <v>Инфо</v>
      </c>
      <c r="F9714" s="34" t="s">
        <v>39</v>
      </c>
      <c r="G9714" s="33"/>
      <c r="H9714" s="33" t="s">
        <v>40</v>
      </c>
      <c r="I9714" s="33"/>
      <c r="J9714" s="35">
        <v>78</v>
      </c>
      <c r="K9714" s="33"/>
      <c r="L9714" s="35">
        <v>1</v>
      </c>
      <c r="M9714" s="35">
        <v>12</v>
      </c>
      <c r="N9714" s="35">
        <v>1</v>
      </c>
      <c r="O9714" s="36">
        <v>754.23</v>
      </c>
      <c r="P9714" s="36">
        <v>618.22</v>
      </c>
      <c r="Q9714" s="36">
        <v>603.38</v>
      </c>
      <c r="R9714" s="36">
        <v>494.57</v>
      </c>
      <c r="S9714" s="36">
        <v>512.88</v>
      </c>
      <c r="T9714" s="36">
        <v>420.39</v>
      </c>
      <c r="U9714" s="34"/>
      <c r="V9714" s="34"/>
      <c r="W9714" s="34" t="s">
        <v>40</v>
      </c>
      <c r="X9714" s="37">
        <v>0.23799999999999999</v>
      </c>
      <c r="Y9714" s="38">
        <v>1.114E-3</v>
      </c>
      <c r="Z9714" s="21">
        <v>4601004295971</v>
      </c>
    </row>
    <row r="9715" spans="1:26" ht="12" customHeight="1" outlineLevel="3" x14ac:dyDescent="0.2">
      <c r="A9715" s="32" t="s">
        <v>18497</v>
      </c>
      <c r="B9715" s="74" t="s">
        <v>18498</v>
      </c>
      <c r="C9715" s="50"/>
      <c r="D9715" s="53">
        <f t="shared" si="151"/>
        <v>0</v>
      </c>
      <c r="E9715" s="60" t="str">
        <f>HYPERLINK("https://www.sds-group.ru/product/derzhatel-organayzer-dlya-f-obraznyh-strubtsin-nastennyy-chernyy-rexant-38-0683/", "Инфо")</f>
        <v>Инфо</v>
      </c>
      <c r="F9715" s="34" t="s">
        <v>39</v>
      </c>
      <c r="G9715" s="33"/>
      <c r="H9715" s="33" t="s">
        <v>40</v>
      </c>
      <c r="I9715" s="33"/>
      <c r="J9715" s="35">
        <v>9</v>
      </c>
      <c r="K9715" s="33"/>
      <c r="L9715" s="35">
        <v>1</v>
      </c>
      <c r="M9715" s="35">
        <v>11</v>
      </c>
      <c r="N9715" s="35">
        <v>1</v>
      </c>
      <c r="O9715" s="36">
        <v>1449.27</v>
      </c>
      <c r="P9715" s="36">
        <v>1187.93</v>
      </c>
      <c r="Q9715" s="36">
        <v>1144.92</v>
      </c>
      <c r="R9715" s="36">
        <v>938.46</v>
      </c>
      <c r="S9715" s="36">
        <v>985.5</v>
      </c>
      <c r="T9715" s="36">
        <v>807.79</v>
      </c>
      <c r="U9715" s="34"/>
      <c r="V9715" s="34"/>
      <c r="W9715" s="34" t="s">
        <v>40</v>
      </c>
      <c r="X9715" s="37">
        <v>0.78</v>
      </c>
      <c r="Y9715" s="38">
        <v>2.0140000000000002E-3</v>
      </c>
      <c r="Z9715" s="21">
        <v>4601004295964</v>
      </c>
    </row>
    <row r="9716" spans="1:26" ht="12" customHeight="1" outlineLevel="3" x14ac:dyDescent="0.2">
      <c r="A9716" s="32" t="s">
        <v>18499</v>
      </c>
      <c r="B9716" s="74" t="s">
        <v>18500</v>
      </c>
      <c r="C9716" s="50"/>
      <c r="D9716" s="53">
        <f t="shared" si="151"/>
        <v>0</v>
      </c>
      <c r="E9716" s="60" t="str">
        <f>HYPERLINK("https://www.sds-group.ru/product/derzhatel-organayzer-dlya-pokrasochnyh-rabot-nastennyy-chernyy-rexant-38-0654/", "Инфо")</f>
        <v>Инфо</v>
      </c>
      <c r="F9716" s="34" t="s">
        <v>39</v>
      </c>
      <c r="G9716" s="33"/>
      <c r="H9716" s="33" t="s">
        <v>40</v>
      </c>
      <c r="I9716" s="33"/>
      <c r="J9716" s="34" t="s">
        <v>100</v>
      </c>
      <c r="K9716" s="33"/>
      <c r="L9716" s="35">
        <v>1</v>
      </c>
      <c r="M9716" s="35">
        <v>2</v>
      </c>
      <c r="N9716" s="35">
        <v>1</v>
      </c>
      <c r="O9716" s="36">
        <v>4306.8100000000004</v>
      </c>
      <c r="P9716" s="36">
        <v>3530.17</v>
      </c>
      <c r="Q9716" s="36">
        <v>3143.97</v>
      </c>
      <c r="R9716" s="36">
        <v>2577.02</v>
      </c>
      <c r="S9716" s="36">
        <v>2928.63</v>
      </c>
      <c r="T9716" s="36">
        <v>2400.52</v>
      </c>
      <c r="U9716" s="34"/>
      <c r="V9716" s="34"/>
      <c r="W9716" s="34" t="s">
        <v>40</v>
      </c>
      <c r="X9716" s="37">
        <v>2.032</v>
      </c>
      <c r="Y9716" s="38">
        <v>1.8471000000000001E-2</v>
      </c>
      <c r="Z9716" s="21">
        <v>4601004280540</v>
      </c>
    </row>
    <row r="9717" spans="1:26" ht="12" customHeight="1" outlineLevel="3" x14ac:dyDescent="0.2">
      <c r="A9717" s="32" t="s">
        <v>18501</v>
      </c>
      <c r="B9717" s="74" t="s">
        <v>18502</v>
      </c>
      <c r="C9717" s="50"/>
      <c r="D9717" s="53">
        <f t="shared" si="151"/>
        <v>0</v>
      </c>
      <c r="E9717" s="60" t="str">
        <f>HYPERLINK("https://www.sds-group.ru/product/kronshteyn-dlya-nastennogo-hraneniya-dvoynoy-s-protektorom-vylet-185mm-rexant-38-0617/", "Инфо")</f>
        <v>Инфо</v>
      </c>
      <c r="F9717" s="34" t="s">
        <v>39</v>
      </c>
      <c r="G9717" s="33"/>
      <c r="H9717" s="33" t="s">
        <v>40</v>
      </c>
      <c r="I9717" s="33"/>
      <c r="J9717" s="35">
        <v>74</v>
      </c>
      <c r="K9717" s="33"/>
      <c r="L9717" s="35">
        <v>1</v>
      </c>
      <c r="M9717" s="35">
        <v>12</v>
      </c>
      <c r="N9717" s="35">
        <v>1</v>
      </c>
      <c r="O9717" s="36">
        <v>973.08</v>
      </c>
      <c r="P9717" s="36">
        <v>797.61</v>
      </c>
      <c r="Q9717" s="36">
        <v>681.16</v>
      </c>
      <c r="R9717" s="36">
        <v>558.33000000000004</v>
      </c>
      <c r="S9717" s="36">
        <v>661.69</v>
      </c>
      <c r="T9717" s="36">
        <v>542.37</v>
      </c>
      <c r="U9717" s="34"/>
      <c r="V9717" s="34"/>
      <c r="W9717" s="34"/>
      <c r="X9717" s="37">
        <v>0.56799999999999995</v>
      </c>
      <c r="Y9717" s="38">
        <v>4.228E-3</v>
      </c>
      <c r="Z9717" s="21">
        <v>4601004284128</v>
      </c>
    </row>
    <row r="9718" spans="1:26" ht="12" customHeight="1" outlineLevel="3" x14ac:dyDescent="0.2">
      <c r="A9718" s="32" t="s">
        <v>18503</v>
      </c>
      <c r="B9718" s="74" t="s">
        <v>18504</v>
      </c>
      <c r="C9718" s="50"/>
      <c r="D9718" s="53">
        <f t="shared" si="151"/>
        <v>0</v>
      </c>
      <c r="E9718" s="60" t="str">
        <f>HYPERLINK("https://www.sds-group.ru/product/kronshteyn-dlya-nastennogo-hraneniya-vylet-270mm-rexant-38-0618/", "Инфо")</f>
        <v>Инфо</v>
      </c>
      <c r="F9718" s="34" t="s">
        <v>39</v>
      </c>
      <c r="G9718" s="33"/>
      <c r="H9718" s="33" t="s">
        <v>40</v>
      </c>
      <c r="I9718" s="33"/>
      <c r="J9718" s="35">
        <v>303</v>
      </c>
      <c r="K9718" s="33"/>
      <c r="L9718" s="35">
        <v>1</v>
      </c>
      <c r="M9718" s="35">
        <v>24</v>
      </c>
      <c r="N9718" s="35">
        <v>1</v>
      </c>
      <c r="O9718" s="36">
        <v>347.49</v>
      </c>
      <c r="P9718" s="36">
        <v>284.83</v>
      </c>
      <c r="Q9718" s="36">
        <v>243.24</v>
      </c>
      <c r="R9718" s="36">
        <v>199.38</v>
      </c>
      <c r="S9718" s="36">
        <v>236.29</v>
      </c>
      <c r="T9718" s="36">
        <v>193.68</v>
      </c>
      <c r="U9718" s="34"/>
      <c r="V9718" s="34"/>
      <c r="W9718" s="34"/>
      <c r="X9718" s="37">
        <v>0.36499999999999999</v>
      </c>
      <c r="Y9718" s="38">
        <v>1.5380000000000001E-3</v>
      </c>
      <c r="Z9718" s="21">
        <v>4601004284166</v>
      </c>
    </row>
    <row r="9719" spans="1:26" ht="12" customHeight="1" outlineLevel="3" x14ac:dyDescent="0.2">
      <c r="A9719" s="32" t="s">
        <v>18505</v>
      </c>
      <c r="B9719" s="74" t="s">
        <v>18506</v>
      </c>
      <c r="C9719" s="50"/>
      <c r="D9719" s="53">
        <f t="shared" si="151"/>
        <v>0</v>
      </c>
      <c r="E9719" s="60" t="str">
        <f>HYPERLINK("https://www.sds-group.ru/product/nabor-kronshteynov-vkruchivayuschihsya-10-sht-rexant-38-0613/", "Инфо")</f>
        <v>Инфо</v>
      </c>
      <c r="F9719" s="34" t="s">
        <v>1001</v>
      </c>
      <c r="G9719" s="33"/>
      <c r="H9719" s="33" t="s">
        <v>40</v>
      </c>
      <c r="I9719" s="33"/>
      <c r="J9719" s="34" t="s">
        <v>100</v>
      </c>
      <c r="K9719" s="33"/>
      <c r="L9719" s="35">
        <v>1</v>
      </c>
      <c r="M9719" s="35">
        <v>24</v>
      </c>
      <c r="N9719" s="35">
        <v>1</v>
      </c>
      <c r="O9719" s="36">
        <v>807.08</v>
      </c>
      <c r="P9719" s="36">
        <v>661.54</v>
      </c>
      <c r="Q9719" s="36">
        <v>564.96</v>
      </c>
      <c r="R9719" s="36">
        <v>463.08</v>
      </c>
      <c r="S9719" s="36">
        <v>548.80999999999995</v>
      </c>
      <c r="T9719" s="36">
        <v>449.84</v>
      </c>
      <c r="U9719" s="34"/>
      <c r="V9719" s="34"/>
      <c r="W9719" s="34"/>
      <c r="X9719" s="37">
        <v>0.68500000000000005</v>
      </c>
      <c r="Y9719" s="38">
        <v>2.1580000000000002E-3</v>
      </c>
      <c r="Z9719" s="21">
        <v>4601004284104</v>
      </c>
    </row>
    <row r="9720" spans="1:26" ht="12" customHeight="1" outlineLevel="3" x14ac:dyDescent="0.2">
      <c r="A9720" s="14" t="s">
        <v>18507</v>
      </c>
      <c r="B9720" s="26" t="s">
        <v>18508</v>
      </c>
      <c r="C9720" s="52"/>
      <c r="D9720" s="55">
        <f t="shared" si="151"/>
        <v>0</v>
      </c>
      <c r="E9720" s="63" t="str">
        <f>HYPERLINK("https://www.sds-group.ru/product/nabor-kronshteynov-nastennyh-10-sht-rexant-38-0615/", "Инфо")</f>
        <v>Инфо</v>
      </c>
      <c r="F9720" s="16" t="s">
        <v>1001</v>
      </c>
      <c r="G9720" s="15"/>
      <c r="H9720" s="15"/>
      <c r="I9720" s="15"/>
      <c r="J9720" s="17">
        <v>29</v>
      </c>
      <c r="K9720" s="15"/>
      <c r="L9720" s="17">
        <v>1</v>
      </c>
      <c r="M9720" s="17">
        <v>8</v>
      </c>
      <c r="N9720" s="17">
        <v>1</v>
      </c>
      <c r="O9720" s="18">
        <v>2904.4</v>
      </c>
      <c r="P9720" s="18">
        <v>2380.66</v>
      </c>
      <c r="Q9720" s="18">
        <v>2120.21</v>
      </c>
      <c r="R9720" s="18">
        <v>1737.88</v>
      </c>
      <c r="S9720" s="18">
        <v>1974.99</v>
      </c>
      <c r="T9720" s="18">
        <v>1618.84</v>
      </c>
      <c r="U9720" s="16"/>
      <c r="V9720" s="16"/>
      <c r="W9720" s="16" t="s">
        <v>40</v>
      </c>
      <c r="X9720" s="19">
        <v>1.716</v>
      </c>
      <c r="Y9720" s="20">
        <v>3.7100000000000002E-3</v>
      </c>
      <c r="Z9720" s="21">
        <v>4601004284159</v>
      </c>
    </row>
    <row r="9721" spans="1:26" ht="12" customHeight="1" outlineLevel="3" x14ac:dyDescent="0.2">
      <c r="A9721" s="32" t="s">
        <v>18509</v>
      </c>
      <c r="B9721" s="74" t="s">
        <v>18510</v>
      </c>
      <c r="C9721" s="50"/>
      <c r="D9721" s="53">
        <f t="shared" si="151"/>
        <v>0</v>
      </c>
      <c r="E9721" s="60" t="str">
        <f>HYPERLINK("https://www.sds-group.ru/product/polka-dlya-hraneniya-490x70mm-metallicheskaya-nastennaya-chernaya-rexant-38-0674/", "Инфо")</f>
        <v>Инфо</v>
      </c>
      <c r="F9721" s="34" t="s">
        <v>39</v>
      </c>
      <c r="G9721" s="33"/>
      <c r="H9721" s="33" t="s">
        <v>40</v>
      </c>
      <c r="I9721" s="33"/>
      <c r="J9721" s="35">
        <v>1</v>
      </c>
      <c r="K9721" s="33"/>
      <c r="L9721" s="35">
        <v>1</v>
      </c>
      <c r="M9721" s="35">
        <v>12</v>
      </c>
      <c r="N9721" s="35">
        <v>1</v>
      </c>
      <c r="O9721" s="36">
        <v>911.63</v>
      </c>
      <c r="P9721" s="36">
        <v>747.24</v>
      </c>
      <c r="Q9721" s="36">
        <v>729.3</v>
      </c>
      <c r="R9721" s="36">
        <v>597.79</v>
      </c>
      <c r="S9721" s="36">
        <v>619.91</v>
      </c>
      <c r="T9721" s="36">
        <v>508.12</v>
      </c>
      <c r="U9721" s="34"/>
      <c r="V9721" s="34"/>
      <c r="W9721" s="34" t="s">
        <v>40</v>
      </c>
      <c r="X9721" s="37">
        <v>0.46</v>
      </c>
      <c r="Y9721" s="38">
        <v>2.16E-3</v>
      </c>
      <c r="Z9721" s="21">
        <v>4601004296008</v>
      </c>
    </row>
    <row r="9722" spans="1:26" ht="12.95" customHeight="1" outlineLevel="2" x14ac:dyDescent="0.2">
      <c r="A9722" s="76" t="s">
        <v>18511</v>
      </c>
      <c r="B9722" s="76"/>
      <c r="C9722" s="77"/>
      <c r="D9722" s="58"/>
      <c r="E9722" s="68"/>
      <c r="F9722" s="13"/>
      <c r="G9722" s="13"/>
      <c r="H9722" s="13"/>
      <c r="I9722" s="13"/>
      <c r="J9722" s="13"/>
      <c r="K9722" s="13"/>
      <c r="L9722" s="13"/>
      <c r="M9722" s="13"/>
      <c r="N9722" s="13"/>
      <c r="O9722" s="13"/>
      <c r="P9722" s="13"/>
      <c r="Q9722" s="13"/>
      <c r="R9722" s="13"/>
      <c r="S9722" s="13"/>
      <c r="T9722" s="13"/>
      <c r="U9722" s="13"/>
      <c r="V9722" s="13"/>
      <c r="W9722" s="13"/>
      <c r="X9722" s="13"/>
      <c r="Y9722" s="13"/>
      <c r="Z9722" s="13"/>
    </row>
    <row r="9723" spans="1:26" ht="12" customHeight="1" outlineLevel="3" x14ac:dyDescent="0.2">
      <c r="A9723" s="32" t="s">
        <v>18512</v>
      </c>
      <c r="B9723" s="74" t="s">
        <v>18513</v>
      </c>
      <c r="C9723" s="50"/>
      <c r="D9723" s="53">
        <f t="shared" si="151"/>
        <v>0</v>
      </c>
      <c r="E9723" s="60" t="str">
        <f>HYPERLINK("https://www.sds-group.ru/product/derzhatel-dlya-venka-na-mezhkomnatnuyu-dver-reguliruemyy-chernyy-rexant-38-0720/", "Инфо")</f>
        <v>Инфо</v>
      </c>
      <c r="F9723" s="34" t="s">
        <v>39</v>
      </c>
      <c r="G9723" s="33"/>
      <c r="H9723" s="33" t="s">
        <v>40</v>
      </c>
      <c r="I9723" s="33"/>
      <c r="J9723" s="39">
        <v>1294</v>
      </c>
      <c r="K9723" s="33"/>
      <c r="L9723" s="35">
        <v>1</v>
      </c>
      <c r="M9723" s="35">
        <v>24</v>
      </c>
      <c r="N9723" s="35">
        <v>1</v>
      </c>
      <c r="O9723" s="36">
        <v>524.88</v>
      </c>
      <c r="P9723" s="36">
        <v>430.23</v>
      </c>
      <c r="Q9723" s="36">
        <v>367.42</v>
      </c>
      <c r="R9723" s="36">
        <v>301.16000000000003</v>
      </c>
      <c r="S9723" s="36">
        <v>356.92</v>
      </c>
      <c r="T9723" s="36">
        <v>292.56</v>
      </c>
      <c r="U9723" s="34"/>
      <c r="V9723" s="34"/>
      <c r="W9723" s="34"/>
      <c r="X9723" s="37">
        <v>0.3</v>
      </c>
      <c r="Y9723" s="38">
        <v>1.874E-3</v>
      </c>
      <c r="Z9723" s="21">
        <v>4601004311299</v>
      </c>
    </row>
    <row r="9724" spans="1:26" ht="12" customHeight="1" outlineLevel="3" x14ac:dyDescent="0.2">
      <c r="A9724" s="32" t="s">
        <v>18514</v>
      </c>
      <c r="B9724" s="74" t="s">
        <v>18515</v>
      </c>
      <c r="C9724" s="50"/>
      <c r="D9724" s="53">
        <f t="shared" si="151"/>
        <v>0</v>
      </c>
      <c r="E9724" s="60" t="str">
        <f>HYPERLINK("https://www.sds-group.ru/product/derzhatel-dlya-obuvnyh-lozhek-i-zontov-nastennyy-belyy-rexant-38-0692/", "Инфо")</f>
        <v>Инфо</v>
      </c>
      <c r="F9724" s="34" t="s">
        <v>39</v>
      </c>
      <c r="G9724" s="33"/>
      <c r="H9724" s="33" t="s">
        <v>40</v>
      </c>
      <c r="I9724" s="33"/>
      <c r="J9724" s="35">
        <v>71</v>
      </c>
      <c r="K9724" s="33"/>
      <c r="L9724" s="35">
        <v>1</v>
      </c>
      <c r="M9724" s="35">
        <v>20</v>
      </c>
      <c r="N9724" s="35">
        <v>1</v>
      </c>
      <c r="O9724" s="36">
        <v>321.43</v>
      </c>
      <c r="P9724" s="36">
        <v>263.47000000000003</v>
      </c>
      <c r="Q9724" s="36">
        <v>225</v>
      </c>
      <c r="R9724" s="36">
        <v>184.43</v>
      </c>
      <c r="S9724" s="36">
        <v>218.57</v>
      </c>
      <c r="T9724" s="36">
        <v>179.16</v>
      </c>
      <c r="U9724" s="34"/>
      <c r="V9724" s="34"/>
      <c r="W9724" s="34"/>
      <c r="X9724" s="37">
        <v>3.3000000000000002E-2</v>
      </c>
      <c r="Y9724" s="38">
        <v>1.11E-4</v>
      </c>
      <c r="Z9724" s="21">
        <v>4601004303294</v>
      </c>
    </row>
    <row r="9725" spans="1:26" ht="12" customHeight="1" outlineLevel="3" x14ac:dyDescent="0.2">
      <c r="A9725" s="32" t="s">
        <v>18516</v>
      </c>
      <c r="B9725" s="74" t="s">
        <v>18517</v>
      </c>
      <c r="C9725" s="50"/>
      <c r="D9725" s="53">
        <f t="shared" si="151"/>
        <v>0</v>
      </c>
      <c r="E9725" s="60" t="str">
        <f>HYPERLINK("https://www.sds-group.ru/product/derzhatel-dlya-obuvnyh-lozhek-i-zontov-nastennyy-chernyy-rexant-38-0639/", "Инфо")</f>
        <v>Инфо</v>
      </c>
      <c r="F9725" s="34" t="s">
        <v>39</v>
      </c>
      <c r="G9725" s="33"/>
      <c r="H9725" s="33" t="s">
        <v>40</v>
      </c>
      <c r="I9725" s="33"/>
      <c r="J9725" s="35">
        <v>574</v>
      </c>
      <c r="K9725" s="33"/>
      <c r="L9725" s="35">
        <v>1</v>
      </c>
      <c r="M9725" s="35">
        <v>20</v>
      </c>
      <c r="N9725" s="35">
        <v>1</v>
      </c>
      <c r="O9725" s="36">
        <v>338.58</v>
      </c>
      <c r="P9725" s="36">
        <v>277.52</v>
      </c>
      <c r="Q9725" s="36">
        <v>237.01</v>
      </c>
      <c r="R9725" s="36">
        <v>194.27</v>
      </c>
      <c r="S9725" s="36">
        <v>230.23</v>
      </c>
      <c r="T9725" s="36">
        <v>188.71</v>
      </c>
      <c r="U9725" s="34"/>
      <c r="V9725" s="34"/>
      <c r="W9725" s="34"/>
      <c r="X9725" s="37">
        <v>2.5000000000000001E-2</v>
      </c>
      <c r="Y9725" s="38">
        <v>2.6499999999999999E-4</v>
      </c>
      <c r="Z9725" s="21">
        <v>4601004280526</v>
      </c>
    </row>
    <row r="9726" spans="1:26" ht="12" customHeight="1" outlineLevel="3" x14ac:dyDescent="0.2">
      <c r="A9726" s="32" t="s">
        <v>18518</v>
      </c>
      <c r="B9726" s="74" t="s">
        <v>18519</v>
      </c>
      <c r="C9726" s="50"/>
      <c r="D9726" s="53">
        <f t="shared" si="151"/>
        <v>0</v>
      </c>
      <c r="E9726" s="60" t="str">
        <f>HYPERLINK("https://www.sds-group.ru/product/derzhatel-dlya-hraneniya-odezhdy-v-stile-loft-kreplenie-na-dver-3-shtuki-chernyy-rexant-38-0711/", "Инфо")</f>
        <v>Инфо</v>
      </c>
      <c r="F9726" s="34" t="s">
        <v>39</v>
      </c>
      <c r="G9726" s="33"/>
      <c r="H9726" s="33" t="s">
        <v>40</v>
      </c>
      <c r="I9726" s="33"/>
      <c r="J9726" s="35">
        <v>2</v>
      </c>
      <c r="K9726" s="33"/>
      <c r="L9726" s="35">
        <v>1</v>
      </c>
      <c r="M9726" s="35">
        <v>10</v>
      </c>
      <c r="N9726" s="35">
        <v>1</v>
      </c>
      <c r="O9726" s="36">
        <v>661.69</v>
      </c>
      <c r="P9726" s="36">
        <v>542.37</v>
      </c>
      <c r="Q9726" s="36">
        <v>463.18</v>
      </c>
      <c r="R9726" s="36">
        <v>379.66</v>
      </c>
      <c r="S9726" s="36">
        <v>449.95</v>
      </c>
      <c r="T9726" s="36">
        <v>368.81</v>
      </c>
      <c r="U9726" s="34"/>
      <c r="V9726" s="34"/>
      <c r="W9726" s="34"/>
      <c r="X9726" s="37">
        <v>0.18099999999999999</v>
      </c>
      <c r="Y9726" s="38">
        <v>9.5200000000000005E-4</v>
      </c>
      <c r="Z9726" s="21">
        <v>4601004303300</v>
      </c>
    </row>
    <row r="9727" spans="1:26" ht="12" customHeight="1" outlineLevel="3" x14ac:dyDescent="0.2">
      <c r="A9727" s="32" t="s">
        <v>18520</v>
      </c>
      <c r="B9727" s="74" t="s">
        <v>18521</v>
      </c>
      <c r="C9727" s="50"/>
      <c r="D9727" s="53">
        <f t="shared" si="151"/>
        <v>0</v>
      </c>
      <c r="E9727" s="60" t="str">
        <f>HYPERLINK("https://www.sds-group.ru/product/kronshteyn-v-stile-loft-dlya-krepleniya-polok-nastennyy-belyy-rexant-38-0681/", "Инфо")</f>
        <v>Инфо</v>
      </c>
      <c r="F9727" s="34" t="s">
        <v>39</v>
      </c>
      <c r="G9727" s="33"/>
      <c r="H9727" s="33" t="s">
        <v>40</v>
      </c>
      <c r="I9727" s="33"/>
      <c r="J9727" s="35">
        <v>7</v>
      </c>
      <c r="K9727" s="33"/>
      <c r="L9727" s="35">
        <v>1</v>
      </c>
      <c r="M9727" s="35">
        <v>12</v>
      </c>
      <c r="N9727" s="35">
        <v>1</v>
      </c>
      <c r="O9727" s="36">
        <v>1320.76</v>
      </c>
      <c r="P9727" s="36">
        <v>1082.5899999999999</v>
      </c>
      <c r="Q9727" s="36">
        <v>924.53</v>
      </c>
      <c r="R9727" s="36">
        <v>757.81</v>
      </c>
      <c r="S9727" s="36">
        <v>898.12</v>
      </c>
      <c r="T9727" s="36">
        <v>736.16</v>
      </c>
      <c r="U9727" s="34"/>
      <c r="V9727" s="34"/>
      <c r="W9727" s="34"/>
      <c r="X9727" s="37">
        <v>0.308</v>
      </c>
      <c r="Y9727" s="38">
        <v>1.83E-3</v>
      </c>
      <c r="Z9727" s="21">
        <v>4601004296077</v>
      </c>
    </row>
    <row r="9728" spans="1:26" ht="12" customHeight="1" outlineLevel="3" x14ac:dyDescent="0.2">
      <c r="A9728" s="32" t="s">
        <v>18522</v>
      </c>
      <c r="B9728" s="74" t="s">
        <v>18523</v>
      </c>
      <c r="C9728" s="50"/>
      <c r="D9728" s="53">
        <f t="shared" si="151"/>
        <v>0</v>
      </c>
      <c r="E9728" s="60" t="str">
        <f>HYPERLINK("https://www.sds-group.ru/product/kronshteyn-v-stile-loft-dlya-krepleniya-polok-nastennyy-chernyy-rexant-38-0680/", "Инфо")</f>
        <v>Инфо</v>
      </c>
      <c r="F9728" s="34" t="s">
        <v>39</v>
      </c>
      <c r="G9728" s="33"/>
      <c r="H9728" s="33" t="s">
        <v>40</v>
      </c>
      <c r="I9728" s="33"/>
      <c r="J9728" s="35">
        <v>8</v>
      </c>
      <c r="K9728" s="33"/>
      <c r="L9728" s="35">
        <v>1</v>
      </c>
      <c r="M9728" s="35">
        <v>12</v>
      </c>
      <c r="N9728" s="35">
        <v>1</v>
      </c>
      <c r="O9728" s="36">
        <v>1419.06</v>
      </c>
      <c r="P9728" s="36">
        <v>1163.1600000000001</v>
      </c>
      <c r="Q9728" s="36">
        <v>993.34</v>
      </c>
      <c r="R9728" s="36">
        <v>814.21</v>
      </c>
      <c r="S9728" s="36">
        <v>964.96</v>
      </c>
      <c r="T9728" s="36">
        <v>790.95</v>
      </c>
      <c r="U9728" s="34"/>
      <c r="V9728" s="34"/>
      <c r="W9728" s="34"/>
      <c r="X9728" s="37">
        <v>0.309</v>
      </c>
      <c r="Y9728" s="38">
        <v>1.8309999999999999E-3</v>
      </c>
      <c r="Z9728" s="21">
        <v>4601004296046</v>
      </c>
    </row>
    <row r="9729" spans="1:26" ht="12.95" customHeight="1" x14ac:dyDescent="0.2">
      <c r="A9729" s="80" t="s">
        <v>18524</v>
      </c>
      <c r="B9729" s="80"/>
      <c r="C9729" s="81"/>
      <c r="D9729" s="56"/>
      <c r="E9729" s="66"/>
      <c r="F9729" s="11"/>
      <c r="G9729" s="11"/>
      <c r="H9729" s="11"/>
      <c r="I9729" s="11"/>
      <c r="J9729" s="11"/>
      <c r="K9729" s="11"/>
      <c r="L9729" s="11"/>
      <c r="M9729" s="11"/>
      <c r="N9729" s="11"/>
      <c r="O9729" s="11"/>
      <c r="P9729" s="11"/>
      <c r="Q9729" s="11"/>
      <c r="R9729" s="11"/>
      <c r="S9729" s="11"/>
      <c r="T9729" s="11"/>
      <c r="U9729" s="11"/>
      <c r="V9729" s="11"/>
      <c r="W9729" s="11"/>
      <c r="X9729" s="11"/>
      <c r="Y9729" s="11"/>
      <c r="Z9729" s="11"/>
    </row>
    <row r="9730" spans="1:26" ht="12.95" customHeight="1" outlineLevel="1" x14ac:dyDescent="0.2">
      <c r="A9730" s="78" t="s">
        <v>18525</v>
      </c>
      <c r="B9730" s="78"/>
      <c r="C9730" s="79"/>
      <c r="D9730" s="57"/>
      <c r="E9730" s="67"/>
      <c r="F9730" s="12"/>
      <c r="G9730" s="12"/>
      <c r="H9730" s="12"/>
      <c r="I9730" s="12"/>
      <c r="J9730" s="12"/>
      <c r="K9730" s="12"/>
      <c r="L9730" s="12"/>
      <c r="M9730" s="12"/>
      <c r="N9730" s="12"/>
      <c r="O9730" s="12"/>
      <c r="P9730" s="12"/>
      <c r="Q9730" s="12"/>
      <c r="R9730" s="12"/>
      <c r="S9730" s="12"/>
      <c r="T9730" s="12"/>
      <c r="U9730" s="12"/>
      <c r="V9730" s="12"/>
      <c r="W9730" s="12"/>
      <c r="X9730" s="12"/>
      <c r="Y9730" s="12"/>
      <c r="Z9730" s="12"/>
    </row>
    <row r="9731" spans="1:26" ht="12.95" customHeight="1" outlineLevel="2" x14ac:dyDescent="0.2">
      <c r="A9731" s="76" t="s">
        <v>18526</v>
      </c>
      <c r="B9731" s="76"/>
      <c r="C9731" s="77"/>
      <c r="D9731" s="58"/>
      <c r="E9731" s="68"/>
      <c r="F9731" s="13"/>
      <c r="G9731" s="13"/>
      <c r="H9731" s="13"/>
      <c r="I9731" s="13"/>
      <c r="J9731" s="13"/>
      <c r="K9731" s="13"/>
      <c r="L9731" s="13"/>
      <c r="M9731" s="13"/>
      <c r="N9731" s="13"/>
      <c r="O9731" s="13"/>
      <c r="P9731" s="13"/>
      <c r="Q9731" s="13"/>
      <c r="R9731" s="13"/>
      <c r="S9731" s="13"/>
      <c r="T9731" s="13"/>
      <c r="U9731" s="13"/>
      <c r="V9731" s="13"/>
      <c r="W9731" s="13"/>
      <c r="X9731" s="13"/>
      <c r="Y9731" s="13"/>
      <c r="Z9731" s="13"/>
    </row>
    <row r="9732" spans="1:26" ht="12.95" customHeight="1" outlineLevel="3" x14ac:dyDescent="0.2">
      <c r="A9732" s="76" t="s">
        <v>18527</v>
      </c>
      <c r="B9732" s="76"/>
      <c r="C9732" s="77"/>
      <c r="D9732" s="58"/>
      <c r="E9732" s="68"/>
      <c r="F9732" s="13"/>
      <c r="G9732" s="13"/>
      <c r="H9732" s="13"/>
      <c r="I9732" s="13"/>
      <c r="J9732" s="13"/>
      <c r="K9732" s="13"/>
      <c r="L9732" s="13"/>
      <c r="M9732" s="13"/>
      <c r="N9732" s="13"/>
      <c r="O9732" s="13"/>
      <c r="P9732" s="13"/>
      <c r="Q9732" s="13"/>
      <c r="R9732" s="13"/>
      <c r="S9732" s="13"/>
      <c r="T9732" s="13"/>
      <c r="U9732" s="13"/>
      <c r="V9732" s="13"/>
      <c r="W9732" s="13"/>
      <c r="X9732" s="13"/>
      <c r="Y9732" s="13"/>
      <c r="Z9732" s="13"/>
    </row>
    <row r="9733" spans="1:26" ht="12" customHeight="1" outlineLevel="4" x14ac:dyDescent="0.2">
      <c r="A9733" s="14" t="s">
        <v>18528</v>
      </c>
      <c r="B9733" s="26" t="s">
        <v>18529</v>
      </c>
      <c r="C9733" s="52"/>
      <c r="D9733" s="55">
        <f t="shared" si="151"/>
        <v>0</v>
      </c>
      <c r="E9733" s="63" t="str">
        <f>HYPERLINK("https://www.sds-group.ru/product/teplyy-pol-nagrevatelnyy-mat-classic-rnx-0-5-75-0-5m-0-5h1m-75vt-dvuhzhilnyy-s-ekranom-rex-51-0501-2/", "Инфо")</f>
        <v>Инфо</v>
      </c>
      <c r="F9733" s="16" t="s">
        <v>39</v>
      </c>
      <c r="G9733" s="15"/>
      <c r="H9733" s="15"/>
      <c r="I9733" s="15"/>
      <c r="J9733" s="17">
        <v>937</v>
      </c>
      <c r="K9733" s="15" t="s">
        <v>1381</v>
      </c>
      <c r="L9733" s="17">
        <v>1</v>
      </c>
      <c r="M9733" s="17">
        <v>16</v>
      </c>
      <c r="N9733" s="17">
        <v>1</v>
      </c>
      <c r="O9733" s="18">
        <v>2407</v>
      </c>
      <c r="P9733" s="18">
        <v>1972.95</v>
      </c>
      <c r="Q9733" s="18">
        <v>2045.95</v>
      </c>
      <c r="R9733" s="18">
        <v>1677.01</v>
      </c>
      <c r="S9733" s="18">
        <v>1636.76</v>
      </c>
      <c r="T9733" s="18">
        <v>1341.61</v>
      </c>
      <c r="U9733" s="16"/>
      <c r="V9733" s="16"/>
      <c r="W9733" s="16" t="s">
        <v>40</v>
      </c>
      <c r="X9733" s="19">
        <v>0.627</v>
      </c>
      <c r="Y9733" s="20">
        <v>8.9800000000000001E-3</v>
      </c>
      <c r="Z9733" s="21">
        <v>4601004059887</v>
      </c>
    </row>
    <row r="9734" spans="1:26" ht="12" customHeight="1" outlineLevel="4" x14ac:dyDescent="0.2">
      <c r="A9734" s="14" t="s">
        <v>18530</v>
      </c>
      <c r="B9734" s="26" t="s">
        <v>18531</v>
      </c>
      <c r="C9734" s="52"/>
      <c r="D9734" s="55">
        <f t="shared" si="151"/>
        <v>0</v>
      </c>
      <c r="E9734" s="63" t="str">
        <f>HYPERLINK("https://www.sds-group.ru/product/teplyy-pol-nagrevatelnyy-mat-classic-rnx-1-150-1m-0-5h2m-150vt-dvuhzhilnyy-s-ekranom-rexan-51-0502-2/", "Инфо")</f>
        <v>Инфо</v>
      </c>
      <c r="F9734" s="16" t="s">
        <v>39</v>
      </c>
      <c r="G9734" s="15"/>
      <c r="H9734" s="15"/>
      <c r="I9734" s="15"/>
      <c r="J9734" s="22">
        <v>2125</v>
      </c>
      <c r="K9734" s="15" t="s">
        <v>1587</v>
      </c>
      <c r="L9734" s="17">
        <v>1</v>
      </c>
      <c r="M9734" s="17">
        <v>16</v>
      </c>
      <c r="N9734" s="17">
        <v>1</v>
      </c>
      <c r="O9734" s="18">
        <v>2741.3</v>
      </c>
      <c r="P9734" s="18">
        <v>2246.9699999999998</v>
      </c>
      <c r="Q9734" s="18">
        <v>2330.11</v>
      </c>
      <c r="R9734" s="18">
        <v>1909.93</v>
      </c>
      <c r="S9734" s="18">
        <v>1864.08</v>
      </c>
      <c r="T9734" s="18">
        <v>1527.93</v>
      </c>
      <c r="U9734" s="16"/>
      <c r="V9734" s="16"/>
      <c r="W9734" s="16" t="s">
        <v>40</v>
      </c>
      <c r="X9734" s="19">
        <v>0.76300000000000001</v>
      </c>
      <c r="Y9734" s="20">
        <v>8.7089999999999997E-3</v>
      </c>
      <c r="Z9734" s="21">
        <v>4601004059689</v>
      </c>
    </row>
    <row r="9735" spans="1:26" ht="12" customHeight="1" outlineLevel="4" x14ac:dyDescent="0.2">
      <c r="A9735" s="14" t="s">
        <v>18532</v>
      </c>
      <c r="B9735" s="26" t="s">
        <v>18533</v>
      </c>
      <c r="C9735" s="52"/>
      <c r="D9735" s="55">
        <f t="shared" si="151"/>
        <v>0</v>
      </c>
      <c r="E9735" s="63" t="str">
        <f>HYPERLINK("https://www.sds-group.ru/product/teplyy-pol-nagrevatelnyy-mat-classic-rnx-1-5-225-1-5m-0-5h3m-225vt-dvuhzhilnyy-s-ekranom-r-51-0503-2/", "Инфо")</f>
        <v>Инфо</v>
      </c>
      <c r="F9735" s="16" t="s">
        <v>39</v>
      </c>
      <c r="G9735" s="15"/>
      <c r="H9735" s="15"/>
      <c r="I9735" s="15"/>
      <c r="J9735" s="22">
        <v>1252</v>
      </c>
      <c r="K9735" s="15" t="s">
        <v>1587</v>
      </c>
      <c r="L9735" s="17">
        <v>1</v>
      </c>
      <c r="M9735" s="17">
        <v>16</v>
      </c>
      <c r="N9735" s="17">
        <v>1</v>
      </c>
      <c r="O9735" s="18">
        <v>3205.6</v>
      </c>
      <c r="P9735" s="18">
        <v>2627.54</v>
      </c>
      <c r="Q9735" s="18">
        <v>2724.76</v>
      </c>
      <c r="R9735" s="18">
        <v>2233.41</v>
      </c>
      <c r="S9735" s="18">
        <v>2179.81</v>
      </c>
      <c r="T9735" s="18">
        <v>1786.73</v>
      </c>
      <c r="U9735" s="16"/>
      <c r="V9735" s="16"/>
      <c r="W9735" s="16" t="s">
        <v>40</v>
      </c>
      <c r="X9735" s="19">
        <v>0.91900000000000004</v>
      </c>
      <c r="Y9735" s="20">
        <v>8.7589999999999994E-3</v>
      </c>
      <c r="Z9735" s="21">
        <v>4601004059702</v>
      </c>
    </row>
    <row r="9736" spans="1:26" ht="12" customHeight="1" outlineLevel="4" x14ac:dyDescent="0.2">
      <c r="A9736" s="14" t="s">
        <v>18534</v>
      </c>
      <c r="B9736" s="26" t="s">
        <v>18535</v>
      </c>
      <c r="C9736" s="52"/>
      <c r="D9736" s="55">
        <f t="shared" si="151"/>
        <v>0</v>
      </c>
      <c r="E9736" s="63" t="str">
        <f>HYPERLINK("https://www.sds-group.ru/product/teplyy-pol-nagrevatelnyy-mat-classic-rnx-2-300-2m-0-5h4m-300vt-dvuhzhilnyy-s-ekranom-rexan-51-0504-2/", "Инфо")</f>
        <v>Инфо</v>
      </c>
      <c r="F9736" s="16" t="s">
        <v>39</v>
      </c>
      <c r="G9736" s="15"/>
      <c r="H9736" s="15"/>
      <c r="I9736" s="15"/>
      <c r="J9736" s="22">
        <v>2238</v>
      </c>
      <c r="K9736" s="15" t="s">
        <v>1381</v>
      </c>
      <c r="L9736" s="17">
        <v>1</v>
      </c>
      <c r="M9736" s="17">
        <v>16</v>
      </c>
      <c r="N9736" s="17">
        <v>1</v>
      </c>
      <c r="O9736" s="18">
        <v>3949.76</v>
      </c>
      <c r="P9736" s="18">
        <v>3237.51</v>
      </c>
      <c r="Q9736" s="18">
        <v>3357.3</v>
      </c>
      <c r="R9736" s="18">
        <v>2751.89</v>
      </c>
      <c r="S9736" s="18">
        <v>2685.84</v>
      </c>
      <c r="T9736" s="18">
        <v>2201.5100000000002</v>
      </c>
      <c r="U9736" s="16"/>
      <c r="V9736" s="16"/>
      <c r="W9736" s="16" t="s">
        <v>40</v>
      </c>
      <c r="X9736" s="19">
        <v>1.0940000000000001</v>
      </c>
      <c r="Y9736" s="20">
        <v>8.8520000000000005E-3</v>
      </c>
      <c r="Z9736" s="21">
        <v>4601004059719</v>
      </c>
    </row>
    <row r="9737" spans="1:26" ht="12" customHeight="1" outlineLevel="4" x14ac:dyDescent="0.2">
      <c r="A9737" s="14" t="s">
        <v>18536</v>
      </c>
      <c r="B9737" s="26" t="s">
        <v>18537</v>
      </c>
      <c r="C9737" s="52"/>
      <c r="D9737" s="55">
        <f t="shared" ref="D9737:D9800" si="152">C9737*(O9737-O9737*$G$3)</f>
        <v>0</v>
      </c>
      <c r="E9737" s="63" t="str">
        <f>HYPERLINK("https://www.sds-group.ru/product/teplyy-pol-nagrevatelnyy-mat-classic-rnx-2-5-375-2-5m-0-5h5m-375vt-dvuhzhilnyy-s-ekranom-r-51-0505-2/", "Инфо")</f>
        <v>Инфо</v>
      </c>
      <c r="F9737" s="16" t="s">
        <v>39</v>
      </c>
      <c r="G9737" s="15"/>
      <c r="H9737" s="15"/>
      <c r="I9737" s="15"/>
      <c r="J9737" s="17">
        <v>713</v>
      </c>
      <c r="K9737" s="15" t="s">
        <v>1587</v>
      </c>
      <c r="L9737" s="17">
        <v>1</v>
      </c>
      <c r="M9737" s="17">
        <v>16</v>
      </c>
      <c r="N9737" s="17">
        <v>1</v>
      </c>
      <c r="O9737" s="18">
        <v>4957.2299999999996</v>
      </c>
      <c r="P9737" s="18">
        <v>4063.3</v>
      </c>
      <c r="Q9737" s="18">
        <v>4213.6499999999996</v>
      </c>
      <c r="R9737" s="18">
        <v>3453.81</v>
      </c>
      <c r="S9737" s="18">
        <v>3370.92</v>
      </c>
      <c r="T9737" s="18">
        <v>2763.05</v>
      </c>
      <c r="U9737" s="16"/>
      <c r="V9737" s="16"/>
      <c r="W9737" s="16" t="s">
        <v>40</v>
      </c>
      <c r="X9737" s="19">
        <v>1.149</v>
      </c>
      <c r="Y9737" s="20">
        <v>8.8039999999999993E-3</v>
      </c>
      <c r="Z9737" s="21">
        <v>4601004059726</v>
      </c>
    </row>
    <row r="9738" spans="1:26" ht="12" customHeight="1" outlineLevel="4" x14ac:dyDescent="0.2">
      <c r="A9738" s="14" t="s">
        <v>18538</v>
      </c>
      <c r="B9738" s="26" t="s">
        <v>18539</v>
      </c>
      <c r="C9738" s="52"/>
      <c r="D9738" s="55">
        <f t="shared" si="152"/>
        <v>0</v>
      </c>
      <c r="E9738" s="63" t="str">
        <f>HYPERLINK("https://www.sds-group.ru/product/teplyy-pol-nagrevatelnyy-mat-classic-rnx-3-450-3m-0-5h6m-450vt-dvuhzhilnyy-s-ekranom-rexan-51-0506-2/", "Инфо")</f>
        <v>Инфо</v>
      </c>
      <c r="F9738" s="16" t="s">
        <v>39</v>
      </c>
      <c r="G9738" s="15"/>
      <c r="H9738" s="15"/>
      <c r="I9738" s="15"/>
      <c r="J9738" s="17">
        <v>819</v>
      </c>
      <c r="K9738" s="15" t="s">
        <v>1381</v>
      </c>
      <c r="L9738" s="17">
        <v>1</v>
      </c>
      <c r="M9738" s="17">
        <v>9</v>
      </c>
      <c r="N9738" s="17">
        <v>1</v>
      </c>
      <c r="O9738" s="18">
        <v>5609.8</v>
      </c>
      <c r="P9738" s="18">
        <v>4598.2</v>
      </c>
      <c r="Q9738" s="18">
        <v>4768.33</v>
      </c>
      <c r="R9738" s="18">
        <v>3908.47</v>
      </c>
      <c r="S9738" s="18">
        <v>3814.66</v>
      </c>
      <c r="T9738" s="18">
        <v>3126.77</v>
      </c>
      <c r="U9738" s="16"/>
      <c r="V9738" s="16"/>
      <c r="W9738" s="16" t="s">
        <v>40</v>
      </c>
      <c r="X9738" s="19">
        <v>1.3720000000000001</v>
      </c>
      <c r="Y9738" s="20">
        <v>1.5640000000000001E-2</v>
      </c>
      <c r="Z9738" s="21">
        <v>4601004059733</v>
      </c>
    </row>
    <row r="9739" spans="1:26" ht="12" customHeight="1" outlineLevel="4" x14ac:dyDescent="0.2">
      <c r="A9739" s="14" t="s">
        <v>18540</v>
      </c>
      <c r="B9739" s="26" t="s">
        <v>18541</v>
      </c>
      <c r="C9739" s="52"/>
      <c r="D9739" s="55">
        <f t="shared" si="152"/>
        <v>0</v>
      </c>
      <c r="E9739" s="63" t="str">
        <f>HYPERLINK("https://www.sds-group.ru/product/teplyy-pol-nagrevatelnyy-mat-classic-rnx-3-5-525-3-5m-0-5h7m-525vt-dvuhzhilnyy-s-ekranom-r-51-0507-2/", "Инфо")</f>
        <v>Инфо</v>
      </c>
      <c r="F9739" s="16" t="s">
        <v>39</v>
      </c>
      <c r="G9739" s="15"/>
      <c r="H9739" s="15"/>
      <c r="I9739" s="15"/>
      <c r="J9739" s="17">
        <v>422</v>
      </c>
      <c r="K9739" s="15" t="s">
        <v>1381</v>
      </c>
      <c r="L9739" s="17">
        <v>1</v>
      </c>
      <c r="M9739" s="17">
        <v>9</v>
      </c>
      <c r="N9739" s="17">
        <v>1</v>
      </c>
      <c r="O9739" s="18">
        <v>6560.03</v>
      </c>
      <c r="P9739" s="18">
        <v>5377.07</v>
      </c>
      <c r="Q9739" s="18">
        <v>5576.03</v>
      </c>
      <c r="R9739" s="18">
        <v>4570.5200000000004</v>
      </c>
      <c r="S9739" s="18">
        <v>4460.82</v>
      </c>
      <c r="T9739" s="18">
        <v>3656.41</v>
      </c>
      <c r="U9739" s="16"/>
      <c r="V9739" s="16"/>
      <c r="W9739" s="16" t="s">
        <v>40</v>
      </c>
      <c r="X9739" s="19">
        <v>1.5720000000000001</v>
      </c>
      <c r="Y9739" s="20">
        <v>1.5585E-2</v>
      </c>
      <c r="Z9739" s="21">
        <v>4601004059740</v>
      </c>
    </row>
    <row r="9740" spans="1:26" ht="12" customHeight="1" outlineLevel="4" x14ac:dyDescent="0.2">
      <c r="A9740" s="14" t="s">
        <v>18542</v>
      </c>
      <c r="B9740" s="26" t="s">
        <v>18543</v>
      </c>
      <c r="C9740" s="52"/>
      <c r="D9740" s="55">
        <f t="shared" si="152"/>
        <v>0</v>
      </c>
      <c r="E9740" s="63" t="str">
        <f>HYPERLINK("https://www.sds-group.ru/product/teplyy-pol-nagrevatelnyy-mat-classic-rnx-4-600-4m-0-5h8m-600vt-dvuhzhilnyy-s-ekranom-rexan-51-0508-2/", "Инфо")</f>
        <v>Инфо</v>
      </c>
      <c r="F9740" s="16" t="s">
        <v>39</v>
      </c>
      <c r="G9740" s="15"/>
      <c r="H9740" s="15"/>
      <c r="I9740" s="15"/>
      <c r="J9740" s="17">
        <v>557</v>
      </c>
      <c r="K9740" s="15" t="s">
        <v>1381</v>
      </c>
      <c r="L9740" s="17">
        <v>1</v>
      </c>
      <c r="M9740" s="17">
        <v>9</v>
      </c>
      <c r="N9740" s="17">
        <v>1</v>
      </c>
      <c r="O9740" s="18">
        <v>7304.18</v>
      </c>
      <c r="P9740" s="18">
        <v>5987.03</v>
      </c>
      <c r="Q9740" s="18">
        <v>6208.55</v>
      </c>
      <c r="R9740" s="18">
        <v>5088.9799999999996</v>
      </c>
      <c r="S9740" s="18">
        <v>4966.84</v>
      </c>
      <c r="T9740" s="18">
        <v>4071.18</v>
      </c>
      <c r="U9740" s="16"/>
      <c r="V9740" s="16"/>
      <c r="W9740" s="16" t="s">
        <v>40</v>
      </c>
      <c r="X9740" s="19">
        <v>1.5840000000000001</v>
      </c>
      <c r="Y9740" s="20">
        <v>1.5558000000000001E-2</v>
      </c>
      <c r="Z9740" s="21">
        <v>4601004059757</v>
      </c>
    </row>
    <row r="9741" spans="1:26" ht="12" customHeight="1" outlineLevel="4" x14ac:dyDescent="0.2">
      <c r="A9741" s="14" t="s">
        <v>18544</v>
      </c>
      <c r="B9741" s="26" t="s">
        <v>18545</v>
      </c>
      <c r="C9741" s="52"/>
      <c r="D9741" s="55">
        <f t="shared" si="152"/>
        <v>0</v>
      </c>
      <c r="E9741" s="63" t="str">
        <f>HYPERLINK("https://www.sds-group.ru/product/teplyy-pol-nagrevatelnyy-mat-classic-rnx-5-750-5m-0-5h10m-750vt-dvuhzhilnyy-s-ekranom-rexa-51-0509-2/", "Инфо")</f>
        <v>Инфо</v>
      </c>
      <c r="F9741" s="16" t="s">
        <v>39</v>
      </c>
      <c r="G9741" s="15"/>
      <c r="H9741" s="15"/>
      <c r="I9741" s="15"/>
      <c r="J9741" s="17">
        <v>212</v>
      </c>
      <c r="K9741" s="15" t="s">
        <v>1381</v>
      </c>
      <c r="L9741" s="17">
        <v>1</v>
      </c>
      <c r="M9741" s="17">
        <v>4</v>
      </c>
      <c r="N9741" s="17">
        <v>1</v>
      </c>
      <c r="O9741" s="18">
        <v>9410.7199999999993</v>
      </c>
      <c r="P9741" s="18">
        <v>7713.7</v>
      </c>
      <c r="Q9741" s="18">
        <v>7999.11</v>
      </c>
      <c r="R9741" s="18">
        <v>6556.65</v>
      </c>
      <c r="S9741" s="18">
        <v>6399.29</v>
      </c>
      <c r="T9741" s="18">
        <v>5245.32</v>
      </c>
      <c r="U9741" s="16"/>
      <c r="V9741" s="16"/>
      <c r="W9741" s="16" t="s">
        <v>40</v>
      </c>
      <c r="X9741" s="19">
        <v>1.823</v>
      </c>
      <c r="Y9741" s="20">
        <v>1.5739E-2</v>
      </c>
      <c r="Z9741" s="21">
        <v>4601004059764</v>
      </c>
    </row>
    <row r="9742" spans="1:26" ht="12" customHeight="1" outlineLevel="4" x14ac:dyDescent="0.2">
      <c r="A9742" s="14" t="s">
        <v>18546</v>
      </c>
      <c r="B9742" s="26" t="s">
        <v>18547</v>
      </c>
      <c r="C9742" s="52"/>
      <c r="D9742" s="55">
        <f t="shared" si="152"/>
        <v>0</v>
      </c>
      <c r="E9742" s="63" t="str">
        <f>HYPERLINK("https://www.sds-group.ru/product/teplyy-pol-nagrevatelnyy-mat-classic-rnx-6-900-6m-0-5h12m-900vt-dvuhzhilnyy-s-ekranom-rexa-51-0510-2/", "Инфо")</f>
        <v>Инфо</v>
      </c>
      <c r="F9742" s="16" t="s">
        <v>39</v>
      </c>
      <c r="G9742" s="15"/>
      <c r="H9742" s="15"/>
      <c r="I9742" s="15"/>
      <c r="J9742" s="17">
        <v>339</v>
      </c>
      <c r="K9742" s="15" t="s">
        <v>1381</v>
      </c>
      <c r="L9742" s="17">
        <v>1</v>
      </c>
      <c r="M9742" s="17">
        <v>4</v>
      </c>
      <c r="N9742" s="17">
        <v>1</v>
      </c>
      <c r="O9742" s="18">
        <v>10326.620000000001</v>
      </c>
      <c r="P9742" s="18">
        <v>8464.44</v>
      </c>
      <c r="Q9742" s="18">
        <v>8777.6299999999992</v>
      </c>
      <c r="R9742" s="18">
        <v>7194.78</v>
      </c>
      <c r="S9742" s="18">
        <v>7022.1</v>
      </c>
      <c r="T9742" s="18">
        <v>5755.82</v>
      </c>
      <c r="U9742" s="16"/>
      <c r="V9742" s="16"/>
      <c r="W9742" s="16" t="s">
        <v>40</v>
      </c>
      <c r="X9742" s="19">
        <v>2.895</v>
      </c>
      <c r="Y9742" s="20">
        <v>2.6584E-2</v>
      </c>
      <c r="Z9742" s="21">
        <v>4601004059771</v>
      </c>
    </row>
    <row r="9743" spans="1:26" ht="12" customHeight="1" outlineLevel="4" x14ac:dyDescent="0.2">
      <c r="A9743" s="14" t="s">
        <v>18548</v>
      </c>
      <c r="B9743" s="26" t="s">
        <v>18549</v>
      </c>
      <c r="C9743" s="52"/>
      <c r="D9743" s="55">
        <f t="shared" si="152"/>
        <v>0</v>
      </c>
      <c r="E9743" s="63" t="str">
        <f>HYPERLINK("https://www.sds-group.ru/product/teplyy-pol-nagrevatelnyy-mat-classic-rnx-7-1050-7m-0-5h14m-1050vt-dvuhzhilnyy-s-ekranom-re-51-0512-2/", "Инфо")</f>
        <v>Инфо</v>
      </c>
      <c r="F9743" s="16" t="s">
        <v>39</v>
      </c>
      <c r="G9743" s="15"/>
      <c r="H9743" s="15"/>
      <c r="I9743" s="15"/>
      <c r="J9743" s="17">
        <v>92</v>
      </c>
      <c r="K9743" s="15" t="s">
        <v>1381</v>
      </c>
      <c r="L9743" s="17">
        <v>1</v>
      </c>
      <c r="M9743" s="17">
        <v>9</v>
      </c>
      <c r="N9743" s="17">
        <v>1</v>
      </c>
      <c r="O9743" s="18">
        <v>11900.8</v>
      </c>
      <c r="P9743" s="18">
        <v>9754.75</v>
      </c>
      <c r="Q9743" s="18">
        <v>10115.68</v>
      </c>
      <c r="R9743" s="18">
        <v>8291.5400000000009</v>
      </c>
      <c r="S9743" s="18">
        <v>8092.54</v>
      </c>
      <c r="T9743" s="18">
        <v>6633.23</v>
      </c>
      <c r="U9743" s="16"/>
      <c r="V9743" s="16"/>
      <c r="W9743" s="16" t="s">
        <v>40</v>
      </c>
      <c r="X9743" s="19">
        <v>2.468</v>
      </c>
      <c r="Y9743" s="20">
        <v>1.5514E-2</v>
      </c>
      <c r="Z9743" s="21">
        <v>4601004059788</v>
      </c>
    </row>
    <row r="9744" spans="1:26" ht="12" customHeight="1" outlineLevel="4" x14ac:dyDescent="0.2">
      <c r="A9744" s="14" t="s">
        <v>18550</v>
      </c>
      <c r="B9744" s="26" t="s">
        <v>18551</v>
      </c>
      <c r="C9744" s="52"/>
      <c r="D9744" s="55">
        <f t="shared" si="152"/>
        <v>0</v>
      </c>
      <c r="E9744" s="63" t="str">
        <f>HYPERLINK("https://www.sds-group.ru/product/teplyy-pol-nagrevatelnyy-mat-classic-rnx-8-1200-8m-0-5h16m-1200vt-dvuhzhilnyy-s-ekranom-re-51-0514-2/", "Инфо")</f>
        <v>Инфо</v>
      </c>
      <c r="F9744" s="16" t="s">
        <v>39</v>
      </c>
      <c r="G9744" s="15"/>
      <c r="H9744" s="15"/>
      <c r="I9744" s="15"/>
      <c r="J9744" s="17">
        <v>49</v>
      </c>
      <c r="K9744" s="15" t="s">
        <v>1381</v>
      </c>
      <c r="L9744" s="17">
        <v>1</v>
      </c>
      <c r="M9744" s="17">
        <v>4</v>
      </c>
      <c r="N9744" s="17">
        <v>1</v>
      </c>
      <c r="O9744" s="18">
        <v>12766.31</v>
      </c>
      <c r="P9744" s="18">
        <v>10464.19</v>
      </c>
      <c r="Q9744" s="18">
        <v>10851.36</v>
      </c>
      <c r="R9744" s="18">
        <v>8894.56</v>
      </c>
      <c r="S9744" s="18">
        <v>8681.09</v>
      </c>
      <c r="T9744" s="18">
        <v>7115.65</v>
      </c>
      <c r="U9744" s="16"/>
      <c r="V9744" s="16"/>
      <c r="W9744" s="16" t="s">
        <v>40</v>
      </c>
      <c r="X9744" s="19">
        <v>3.6030000000000002</v>
      </c>
      <c r="Y9744" s="20">
        <v>4.7549000000000001E-2</v>
      </c>
      <c r="Z9744" s="21">
        <v>4601004059795</v>
      </c>
    </row>
    <row r="9745" spans="1:26" ht="12" customHeight="1" outlineLevel="4" x14ac:dyDescent="0.2">
      <c r="A9745" s="14" t="s">
        <v>18552</v>
      </c>
      <c r="B9745" s="26" t="s">
        <v>18553</v>
      </c>
      <c r="C9745" s="52"/>
      <c r="D9745" s="55">
        <f t="shared" si="152"/>
        <v>0</v>
      </c>
      <c r="E9745" s="63" t="str">
        <f>HYPERLINK("https://www.sds-group.ru/product/teplyy-pol-nagrevatelnyy-mat-classic-rnx-9-1350-9m-0-5h18m-1350vt-dvuhzhilnyy-s-ekranom-re-51-0516-2/", "Инфо")</f>
        <v>Инфо</v>
      </c>
      <c r="F9745" s="16" t="s">
        <v>39</v>
      </c>
      <c r="G9745" s="15"/>
      <c r="H9745" s="15"/>
      <c r="I9745" s="15"/>
      <c r="J9745" s="17">
        <v>90</v>
      </c>
      <c r="K9745" s="15" t="s">
        <v>1381</v>
      </c>
      <c r="L9745" s="17">
        <v>1</v>
      </c>
      <c r="M9745" s="17">
        <v>4</v>
      </c>
      <c r="N9745" s="17">
        <v>1</v>
      </c>
      <c r="O9745" s="18">
        <v>14425.2</v>
      </c>
      <c r="P9745" s="18">
        <v>11823.93</v>
      </c>
      <c r="Q9745" s="18">
        <v>12261.42</v>
      </c>
      <c r="R9745" s="18">
        <v>10050.34</v>
      </c>
      <c r="S9745" s="18">
        <v>9809.14</v>
      </c>
      <c r="T9745" s="18">
        <v>8040.28</v>
      </c>
      <c r="U9745" s="16"/>
      <c r="V9745" s="16"/>
      <c r="W9745" s="16" t="s">
        <v>40</v>
      </c>
      <c r="X9745" s="19">
        <v>4.6630000000000003</v>
      </c>
      <c r="Y9745" s="20">
        <v>3.9538999999999998E-2</v>
      </c>
      <c r="Z9745" s="21">
        <v>4601004059801</v>
      </c>
    </row>
    <row r="9746" spans="1:26" ht="12" customHeight="1" outlineLevel="4" x14ac:dyDescent="0.2">
      <c r="A9746" s="14" t="s">
        <v>18554</v>
      </c>
      <c r="B9746" s="26" t="s">
        <v>18555</v>
      </c>
      <c r="C9746" s="52"/>
      <c r="D9746" s="55">
        <f t="shared" si="152"/>
        <v>0</v>
      </c>
      <c r="E9746" s="63" t="str">
        <f>HYPERLINK("https://www.sds-group.ru/product/teplyy-pol-nagrevatelnyy-mat-classic-rnx-10-1500-10m-0-5h20m-1500vt-dvuhzhilnyy-s-ekranom--51-0519-2/", "Инфо")</f>
        <v>Инфо</v>
      </c>
      <c r="F9746" s="16" t="s">
        <v>39</v>
      </c>
      <c r="G9746" s="15"/>
      <c r="H9746" s="15"/>
      <c r="I9746" s="15"/>
      <c r="J9746" s="17">
        <v>145</v>
      </c>
      <c r="K9746" s="15" t="s">
        <v>1381</v>
      </c>
      <c r="L9746" s="17">
        <v>1</v>
      </c>
      <c r="M9746" s="17">
        <v>4</v>
      </c>
      <c r="N9746" s="17">
        <v>1</v>
      </c>
      <c r="O9746" s="18">
        <v>15077.77</v>
      </c>
      <c r="P9746" s="18">
        <v>12358.83</v>
      </c>
      <c r="Q9746" s="18">
        <v>12816.1</v>
      </c>
      <c r="R9746" s="18">
        <v>10505</v>
      </c>
      <c r="S9746" s="18">
        <v>10252.879999999999</v>
      </c>
      <c r="T9746" s="18">
        <v>8404</v>
      </c>
      <c r="U9746" s="16"/>
      <c r="V9746" s="16"/>
      <c r="W9746" s="16" t="s">
        <v>40</v>
      </c>
      <c r="X9746" s="19">
        <v>3.7130000000000001</v>
      </c>
      <c r="Y9746" s="20">
        <v>3.5137000000000002E-2</v>
      </c>
      <c r="Z9746" s="21">
        <v>4601004059818</v>
      </c>
    </row>
    <row r="9747" spans="1:26" ht="12" customHeight="1" outlineLevel="4" x14ac:dyDescent="0.2">
      <c r="A9747" s="14" t="s">
        <v>18556</v>
      </c>
      <c r="B9747" s="26" t="s">
        <v>18557</v>
      </c>
      <c r="C9747" s="52"/>
      <c r="D9747" s="55">
        <f t="shared" si="152"/>
        <v>0</v>
      </c>
      <c r="E9747" s="63" t="str">
        <f>HYPERLINK("https://www.sds-group.ru/product/teplyy-pol-nagrevatelnyy-mat-classic-rnx-11-1650-11m-0-5h22m-1650vt-dvuhzhilnyy-s-ekranom--51-0520-2/", "Инфо")</f>
        <v>Инфо</v>
      </c>
      <c r="F9747" s="16" t="s">
        <v>39</v>
      </c>
      <c r="G9747" s="15"/>
      <c r="H9747" s="15"/>
      <c r="I9747" s="15"/>
      <c r="J9747" s="17">
        <v>36</v>
      </c>
      <c r="K9747" s="15" t="s">
        <v>1381</v>
      </c>
      <c r="L9747" s="17">
        <v>1</v>
      </c>
      <c r="M9747" s="17">
        <v>4</v>
      </c>
      <c r="N9747" s="17">
        <v>1</v>
      </c>
      <c r="O9747" s="18">
        <v>18800.84</v>
      </c>
      <c r="P9747" s="18">
        <v>15410.52</v>
      </c>
      <c r="Q9747" s="18">
        <v>15980.71</v>
      </c>
      <c r="R9747" s="18">
        <v>13098.94</v>
      </c>
      <c r="S9747" s="18">
        <v>12784.57</v>
      </c>
      <c r="T9747" s="18">
        <v>10479.16</v>
      </c>
      <c r="U9747" s="16"/>
      <c r="V9747" s="16"/>
      <c r="W9747" s="16" t="s">
        <v>40</v>
      </c>
      <c r="X9747" s="19">
        <v>3.5579999999999998</v>
      </c>
      <c r="Y9747" s="20">
        <v>3.5261000000000001E-2</v>
      </c>
      <c r="Z9747" s="21">
        <v>4601004059825</v>
      </c>
    </row>
    <row r="9748" spans="1:26" ht="12" customHeight="1" outlineLevel="4" x14ac:dyDescent="0.2">
      <c r="A9748" s="14" t="s">
        <v>18558</v>
      </c>
      <c r="B9748" s="26" t="s">
        <v>18559</v>
      </c>
      <c r="C9748" s="52"/>
      <c r="D9748" s="55">
        <f t="shared" si="152"/>
        <v>0</v>
      </c>
      <c r="E9748" s="63" t="str">
        <f>HYPERLINK("https://www.sds-group.ru/product/teplyy-pol-nagrevatelnyy-mat-classic-rnx-12-1800-12m-0-5h24m-1800vt-dvuhzhilnyy-s-ekranom--51-0524-2/", "Инфо")</f>
        <v>Инфо</v>
      </c>
      <c r="F9748" s="16" t="s">
        <v>39</v>
      </c>
      <c r="G9748" s="15"/>
      <c r="H9748" s="15"/>
      <c r="I9748" s="15"/>
      <c r="J9748" s="17">
        <v>77</v>
      </c>
      <c r="K9748" s="15" t="s">
        <v>1381</v>
      </c>
      <c r="L9748" s="17">
        <v>1</v>
      </c>
      <c r="M9748" s="17">
        <v>4</v>
      </c>
      <c r="N9748" s="17">
        <v>1</v>
      </c>
      <c r="O9748" s="18">
        <v>18821.46</v>
      </c>
      <c r="P9748" s="18">
        <v>15427.43</v>
      </c>
      <c r="Q9748" s="18">
        <v>15998.24</v>
      </c>
      <c r="R9748" s="18">
        <v>13113.31</v>
      </c>
      <c r="S9748" s="18">
        <v>12798.59</v>
      </c>
      <c r="T9748" s="18">
        <v>10490.65</v>
      </c>
      <c r="U9748" s="16"/>
      <c r="V9748" s="16"/>
      <c r="W9748" s="16" t="s">
        <v>40</v>
      </c>
      <c r="X9748" s="19">
        <v>4.4180000000000001</v>
      </c>
      <c r="Y9748" s="20">
        <v>3.4802E-2</v>
      </c>
      <c r="Z9748" s="21">
        <v>4601004059832</v>
      </c>
    </row>
    <row r="9749" spans="1:26" ht="12" customHeight="1" outlineLevel="4" x14ac:dyDescent="0.2">
      <c r="A9749" s="14" t="s">
        <v>18560</v>
      </c>
      <c r="B9749" s="26" t="s">
        <v>18561</v>
      </c>
      <c r="C9749" s="52"/>
      <c r="D9749" s="55">
        <f t="shared" si="152"/>
        <v>0</v>
      </c>
      <c r="E9749" s="63" t="str">
        <f>HYPERLINK("https://www.sds-group.ru/product/teplyy-pol-nagrevatelnyy-mat-classic-rnx-13-1950-13m-0-5h26m-1950vt-dvuhzhilnyy-s-ekranom--51-0525-2/", "Инфо")</f>
        <v>Инфо</v>
      </c>
      <c r="F9749" s="16" t="s">
        <v>39</v>
      </c>
      <c r="G9749" s="15"/>
      <c r="H9749" s="15"/>
      <c r="I9749" s="15"/>
      <c r="J9749" s="17">
        <v>50</v>
      </c>
      <c r="K9749" s="15" t="s">
        <v>1381</v>
      </c>
      <c r="L9749" s="17">
        <v>1</v>
      </c>
      <c r="M9749" s="17">
        <v>4</v>
      </c>
      <c r="N9749" s="17">
        <v>1</v>
      </c>
      <c r="O9749" s="18">
        <v>21732.25</v>
      </c>
      <c r="P9749" s="18">
        <v>17813.32</v>
      </c>
      <c r="Q9749" s="18">
        <v>18472.41</v>
      </c>
      <c r="R9749" s="18">
        <v>15141.32</v>
      </c>
      <c r="S9749" s="18">
        <v>14777.93</v>
      </c>
      <c r="T9749" s="18">
        <v>12113.06</v>
      </c>
      <c r="U9749" s="16"/>
      <c r="V9749" s="16"/>
      <c r="W9749" s="16" t="s">
        <v>40</v>
      </c>
      <c r="X9749" s="19">
        <v>4.4379999999999997</v>
      </c>
      <c r="Y9749" s="20">
        <v>3.5475E-2</v>
      </c>
      <c r="Z9749" s="21">
        <v>4601004059849</v>
      </c>
    </row>
    <row r="9750" spans="1:26" ht="12" customHeight="1" outlineLevel="4" x14ac:dyDescent="0.2">
      <c r="A9750" s="14" t="s">
        <v>18562</v>
      </c>
      <c r="B9750" s="26" t="s">
        <v>18563</v>
      </c>
      <c r="C9750" s="52"/>
      <c r="D9750" s="55">
        <f t="shared" si="152"/>
        <v>0</v>
      </c>
      <c r="E9750" s="63" t="str">
        <f>HYPERLINK("https://www.sds-group.ru/product/teplyy-pol-nagrevatelnyy-mat-classic-rnx-14-2100-14m-0-5h28-m-2100vt-dvuhzhilnyy-s-ekranom-51-0526-2/", "Инфо")</f>
        <v>Инфо</v>
      </c>
      <c r="F9750" s="16" t="s">
        <v>39</v>
      </c>
      <c r="G9750" s="15"/>
      <c r="H9750" s="15"/>
      <c r="I9750" s="15"/>
      <c r="J9750" s="17">
        <v>12</v>
      </c>
      <c r="K9750" s="15" t="s">
        <v>1381</v>
      </c>
      <c r="L9750" s="17">
        <v>1</v>
      </c>
      <c r="M9750" s="17">
        <v>4</v>
      </c>
      <c r="N9750" s="17">
        <v>1</v>
      </c>
      <c r="O9750" s="18">
        <v>25312.79</v>
      </c>
      <c r="P9750" s="18">
        <v>20748.189999999999</v>
      </c>
      <c r="Q9750" s="18">
        <v>21515.87</v>
      </c>
      <c r="R9750" s="18">
        <v>17635.96</v>
      </c>
      <c r="S9750" s="18">
        <v>17212.7</v>
      </c>
      <c r="T9750" s="18">
        <v>14108.77</v>
      </c>
      <c r="U9750" s="16"/>
      <c r="V9750" s="16"/>
      <c r="W9750" s="16" t="s">
        <v>40</v>
      </c>
      <c r="X9750" s="19">
        <v>5.008</v>
      </c>
      <c r="Y9750" s="20">
        <v>3.5262000000000002E-2</v>
      </c>
      <c r="Z9750" s="21">
        <v>4601004059856</v>
      </c>
    </row>
    <row r="9751" spans="1:26" ht="12" customHeight="1" outlineLevel="4" x14ac:dyDescent="0.2">
      <c r="A9751" s="14" t="s">
        <v>18564</v>
      </c>
      <c r="B9751" s="26" t="s">
        <v>18565</v>
      </c>
      <c r="C9751" s="52"/>
      <c r="D9751" s="55">
        <f t="shared" si="152"/>
        <v>0</v>
      </c>
      <c r="E9751" s="63" t="str">
        <f>HYPERLINK("https://www.sds-group.ru/product/teplyy-pol-nagrevatelnyy-mat-classic-rnx-15-2250-15m-0-5h30m-2250vt-dvuhzhilnyy-s-ekranom--51-0527-2/", "Инфо")</f>
        <v>Инфо</v>
      </c>
      <c r="F9751" s="16" t="s">
        <v>39</v>
      </c>
      <c r="G9751" s="15"/>
      <c r="H9751" s="15"/>
      <c r="I9751" s="15"/>
      <c r="J9751" s="17">
        <v>11</v>
      </c>
      <c r="K9751" s="15" t="s">
        <v>1381</v>
      </c>
      <c r="L9751" s="17">
        <v>1</v>
      </c>
      <c r="M9751" s="17">
        <v>4</v>
      </c>
      <c r="N9751" s="17">
        <v>1</v>
      </c>
      <c r="O9751" s="18">
        <v>28099</v>
      </c>
      <c r="P9751" s="18">
        <v>23031.97</v>
      </c>
      <c r="Q9751" s="18">
        <v>23884.15</v>
      </c>
      <c r="R9751" s="18">
        <v>19577.169999999998</v>
      </c>
      <c r="S9751" s="18">
        <v>19107.32</v>
      </c>
      <c r="T9751" s="18">
        <v>15661.74</v>
      </c>
      <c r="U9751" s="16"/>
      <c r="V9751" s="16"/>
      <c r="W9751" s="16" t="s">
        <v>40</v>
      </c>
      <c r="X9751" s="19">
        <v>5.3769999999999998</v>
      </c>
      <c r="Y9751" s="20">
        <v>3.5837000000000001E-2</v>
      </c>
      <c r="Z9751" s="21">
        <v>4601004059863</v>
      </c>
    </row>
    <row r="9752" spans="1:26" ht="12.95" customHeight="1" outlineLevel="3" x14ac:dyDescent="0.2">
      <c r="A9752" s="76" t="s">
        <v>18566</v>
      </c>
      <c r="B9752" s="76"/>
      <c r="C9752" s="77"/>
      <c r="D9752" s="58"/>
      <c r="E9752" s="68"/>
      <c r="F9752" s="13"/>
      <c r="G9752" s="13"/>
      <c r="H9752" s="13"/>
      <c r="I9752" s="13"/>
      <c r="J9752" s="13"/>
      <c r="K9752" s="13"/>
      <c r="L9752" s="13"/>
      <c r="M9752" s="13"/>
      <c r="N9752" s="13"/>
      <c r="O9752" s="13"/>
      <c r="P9752" s="13"/>
      <c r="Q9752" s="13"/>
      <c r="R9752" s="13"/>
      <c r="S9752" s="13"/>
      <c r="T9752" s="13"/>
      <c r="U9752" s="13"/>
      <c r="V9752" s="13"/>
      <c r="W9752" s="13"/>
      <c r="X9752" s="13"/>
      <c r="Y9752" s="13"/>
      <c r="Z9752" s="13"/>
    </row>
    <row r="9753" spans="1:26" ht="12" customHeight="1" outlineLevel="4" x14ac:dyDescent="0.2">
      <c r="A9753" s="14" t="s">
        <v>18567</v>
      </c>
      <c r="B9753" s="26" t="s">
        <v>18568</v>
      </c>
      <c r="C9753" s="52"/>
      <c r="D9753" s="55">
        <f t="shared" si="152"/>
        <v>0</v>
      </c>
      <c r="E9753" s="63" t="str">
        <f>HYPERLINK("https://www.sds-group.ru/product/teplyy-pol-nagrevatelnyy-samokleyaschiysya-mat-extra-0-7m-0-5h1-4m-112vt-dvuhzhilnyy-rexant-51-0501/", "Инфо")</f>
        <v>Инфо</v>
      </c>
      <c r="F9753" s="16" t="s">
        <v>39</v>
      </c>
      <c r="G9753" s="15"/>
      <c r="H9753" s="15"/>
      <c r="I9753" s="15"/>
      <c r="J9753" s="16" t="s">
        <v>100</v>
      </c>
      <c r="K9753" s="15" t="s">
        <v>6434</v>
      </c>
      <c r="L9753" s="17">
        <v>1</v>
      </c>
      <c r="M9753" s="17">
        <v>16</v>
      </c>
      <c r="N9753" s="17">
        <v>1</v>
      </c>
      <c r="O9753" s="18">
        <v>4687.99</v>
      </c>
      <c r="P9753" s="18">
        <v>3842.61</v>
      </c>
      <c r="Q9753" s="18">
        <v>3984.79</v>
      </c>
      <c r="R9753" s="18">
        <v>3266.22</v>
      </c>
      <c r="S9753" s="18">
        <v>3187.83</v>
      </c>
      <c r="T9753" s="18">
        <v>2612.98</v>
      </c>
      <c r="U9753" s="16"/>
      <c r="V9753" s="16"/>
      <c r="W9753" s="16" t="s">
        <v>40</v>
      </c>
      <c r="X9753" s="19">
        <v>0.97099999999999997</v>
      </c>
      <c r="Y9753" s="20">
        <v>9.3419999999999996E-3</v>
      </c>
      <c r="Z9753" s="21">
        <v>4601004017931</v>
      </c>
    </row>
    <row r="9754" spans="1:26" ht="12" customHeight="1" outlineLevel="4" x14ac:dyDescent="0.2">
      <c r="A9754" s="14" t="s">
        <v>18569</v>
      </c>
      <c r="B9754" s="26" t="s">
        <v>18570</v>
      </c>
      <c r="C9754" s="52"/>
      <c r="D9754" s="55">
        <f t="shared" si="152"/>
        <v>0</v>
      </c>
      <c r="E9754" s="63" t="str">
        <f>HYPERLINK("https://www.sds-group.ru/product/teplyy-pol-nagrevatelnyy-samokleyaschiysya-mat-extra-1m-0-5h2m-160vt-dvuhzhilnyy-rexant-51-0502/", "Инфо")</f>
        <v>Инфо</v>
      </c>
      <c r="F9754" s="16" t="s">
        <v>39</v>
      </c>
      <c r="G9754" s="15"/>
      <c r="H9754" s="15"/>
      <c r="I9754" s="15"/>
      <c r="J9754" s="16" t="s">
        <v>100</v>
      </c>
      <c r="K9754" s="15" t="s">
        <v>6434</v>
      </c>
      <c r="L9754" s="17">
        <v>1</v>
      </c>
      <c r="M9754" s="17">
        <v>16</v>
      </c>
      <c r="N9754" s="17">
        <v>1</v>
      </c>
      <c r="O9754" s="18">
        <v>5229.1400000000003</v>
      </c>
      <c r="P9754" s="18">
        <v>4286.18</v>
      </c>
      <c r="Q9754" s="18">
        <v>4444.7700000000004</v>
      </c>
      <c r="R9754" s="18">
        <v>3643.25</v>
      </c>
      <c r="S9754" s="18">
        <v>3555.82</v>
      </c>
      <c r="T9754" s="18">
        <v>2914.61</v>
      </c>
      <c r="U9754" s="16"/>
      <c r="V9754" s="16"/>
      <c r="W9754" s="16" t="s">
        <v>40</v>
      </c>
      <c r="X9754" s="19">
        <v>1.091</v>
      </c>
      <c r="Y9754" s="20">
        <v>9.1680000000000008E-3</v>
      </c>
      <c r="Z9754" s="21">
        <v>4601004017764</v>
      </c>
    </row>
    <row r="9755" spans="1:26" ht="12" customHeight="1" outlineLevel="4" x14ac:dyDescent="0.2">
      <c r="A9755" s="14" t="s">
        <v>18571</v>
      </c>
      <c r="B9755" s="26" t="s">
        <v>18572</v>
      </c>
      <c r="C9755" s="52"/>
      <c r="D9755" s="55">
        <f t="shared" si="152"/>
        <v>0</v>
      </c>
      <c r="E9755" s="63" t="str">
        <f>HYPERLINK("https://www.sds-group.ru/product/teplyy-pol-nagrevatelnyy-samokleyaschiysya-mat-extra-1-5m-0-5h3m-240vt-dvuhzhilnyy-rexant-51-0503/", "Инфо")</f>
        <v>Инфо</v>
      </c>
      <c r="F9755" s="16" t="s">
        <v>39</v>
      </c>
      <c r="G9755" s="15"/>
      <c r="H9755" s="15"/>
      <c r="I9755" s="15"/>
      <c r="J9755" s="16" t="s">
        <v>100</v>
      </c>
      <c r="K9755" s="15" t="s">
        <v>6434</v>
      </c>
      <c r="L9755" s="17">
        <v>1</v>
      </c>
      <c r="M9755" s="17">
        <v>16</v>
      </c>
      <c r="N9755" s="17">
        <v>1</v>
      </c>
      <c r="O9755" s="18">
        <v>7213.3</v>
      </c>
      <c r="P9755" s="18">
        <v>5912.54</v>
      </c>
      <c r="Q9755" s="18">
        <v>6131.31</v>
      </c>
      <c r="R9755" s="18">
        <v>5025.66</v>
      </c>
      <c r="S9755" s="18">
        <v>4905.04</v>
      </c>
      <c r="T9755" s="18">
        <v>4020.52</v>
      </c>
      <c r="U9755" s="16"/>
      <c r="V9755" s="16"/>
      <c r="W9755" s="16" t="s">
        <v>40</v>
      </c>
      <c r="X9755" s="19">
        <v>1.268</v>
      </c>
      <c r="Y9755" s="20">
        <v>5.215E-3</v>
      </c>
      <c r="Z9755" s="21">
        <v>4601004017771</v>
      </c>
    </row>
    <row r="9756" spans="1:26" ht="12" customHeight="1" outlineLevel="4" x14ac:dyDescent="0.2">
      <c r="A9756" s="14" t="s">
        <v>18573</v>
      </c>
      <c r="B9756" s="26" t="s">
        <v>18574</v>
      </c>
      <c r="C9756" s="52"/>
      <c r="D9756" s="55">
        <f t="shared" si="152"/>
        <v>0</v>
      </c>
      <c r="E9756" s="63" t="str">
        <f>HYPERLINK("https://www.sds-group.ru/product/teplyy-pol-nagrevatelnyy-samokleyaschiysya-mat-extra-2m-0-5h4m-320vt-dvuhzhilnyy-rexant-51-0504/", "Инфо")</f>
        <v>Инфо</v>
      </c>
      <c r="F9756" s="16" t="s">
        <v>39</v>
      </c>
      <c r="G9756" s="15"/>
      <c r="H9756" s="15"/>
      <c r="I9756" s="15"/>
      <c r="J9756" s="16" t="s">
        <v>100</v>
      </c>
      <c r="K9756" s="15" t="s">
        <v>6434</v>
      </c>
      <c r="L9756" s="17">
        <v>1</v>
      </c>
      <c r="M9756" s="17">
        <v>16</v>
      </c>
      <c r="N9756" s="17">
        <v>1</v>
      </c>
      <c r="O9756" s="18">
        <v>8836.66</v>
      </c>
      <c r="P9756" s="18">
        <v>7243.16</v>
      </c>
      <c r="Q9756" s="18">
        <v>7511.16</v>
      </c>
      <c r="R9756" s="18">
        <v>6156.69</v>
      </c>
      <c r="S9756" s="18">
        <v>6008.93</v>
      </c>
      <c r="T9756" s="18">
        <v>4925.3500000000004</v>
      </c>
      <c r="U9756" s="16"/>
      <c r="V9756" s="16"/>
      <c r="W9756" s="16" t="s">
        <v>40</v>
      </c>
      <c r="X9756" s="19">
        <v>1.4630000000000001</v>
      </c>
      <c r="Y9756" s="20">
        <v>9.2320000000000006E-3</v>
      </c>
      <c r="Z9756" s="21">
        <v>4601004017788</v>
      </c>
    </row>
    <row r="9757" spans="1:26" ht="12" customHeight="1" outlineLevel="4" x14ac:dyDescent="0.2">
      <c r="A9757" s="14" t="s">
        <v>18575</v>
      </c>
      <c r="B9757" s="26" t="s">
        <v>18576</v>
      </c>
      <c r="C9757" s="52"/>
      <c r="D9757" s="55">
        <f t="shared" si="152"/>
        <v>0</v>
      </c>
      <c r="E9757" s="63" t="str">
        <f>HYPERLINK("https://www.sds-group.ru/product/teplyy-pol-nagrevatelnyy-samokleyaschiysya-mat-extra-2-5m-0-5h5m-400vt-dvuhzhilnyy-rexant-51-0505/", "Инфо")</f>
        <v>Инфо</v>
      </c>
      <c r="F9757" s="16" t="s">
        <v>39</v>
      </c>
      <c r="G9757" s="15"/>
      <c r="H9757" s="15"/>
      <c r="I9757" s="15"/>
      <c r="J9757" s="17">
        <v>57</v>
      </c>
      <c r="K9757" s="15"/>
      <c r="L9757" s="17">
        <v>1</v>
      </c>
      <c r="M9757" s="17">
        <v>9</v>
      </c>
      <c r="N9757" s="17">
        <v>1</v>
      </c>
      <c r="O9757" s="18">
        <v>10640.47</v>
      </c>
      <c r="P9757" s="18">
        <v>8721.7000000000007</v>
      </c>
      <c r="Q9757" s="18">
        <v>9044.4</v>
      </c>
      <c r="R9757" s="18">
        <v>7413.44</v>
      </c>
      <c r="S9757" s="18">
        <v>7235.52</v>
      </c>
      <c r="T9757" s="18">
        <v>5930.75</v>
      </c>
      <c r="U9757" s="16"/>
      <c r="V9757" s="16"/>
      <c r="W9757" s="16" t="s">
        <v>40</v>
      </c>
      <c r="X9757" s="19">
        <v>1.869</v>
      </c>
      <c r="Y9757" s="20">
        <v>1.4716E-2</v>
      </c>
      <c r="Z9757" s="21">
        <v>4601004017795</v>
      </c>
    </row>
    <row r="9758" spans="1:26" ht="12" customHeight="1" outlineLevel="4" x14ac:dyDescent="0.2">
      <c r="A9758" s="14" t="s">
        <v>18577</v>
      </c>
      <c r="B9758" s="26" t="s">
        <v>18578</v>
      </c>
      <c r="C9758" s="52"/>
      <c r="D9758" s="55">
        <f t="shared" si="152"/>
        <v>0</v>
      </c>
      <c r="E9758" s="63" t="str">
        <f>HYPERLINK("https://www.sds-group.ru/product/teplyy-pol-nagrevatelnyy-samokleyaschiysya-mat-extra-3m-0-5h6m-480vt-dvuhzhilnyy-rexant-51-0506/", "Инфо")</f>
        <v>Инфо</v>
      </c>
      <c r="F9758" s="16" t="s">
        <v>39</v>
      </c>
      <c r="G9758" s="15"/>
      <c r="H9758" s="15"/>
      <c r="I9758" s="15"/>
      <c r="J9758" s="16" t="s">
        <v>100</v>
      </c>
      <c r="K9758" s="15" t="s">
        <v>6434</v>
      </c>
      <c r="L9758" s="17">
        <v>1</v>
      </c>
      <c r="M9758" s="17">
        <v>9</v>
      </c>
      <c r="N9758" s="17">
        <v>1</v>
      </c>
      <c r="O9758" s="18">
        <v>12263.88</v>
      </c>
      <c r="P9758" s="18">
        <v>10052.36</v>
      </c>
      <c r="Q9758" s="18">
        <v>10424.299999999999</v>
      </c>
      <c r="R9758" s="18">
        <v>8544.51</v>
      </c>
      <c r="S9758" s="18">
        <v>8339.44</v>
      </c>
      <c r="T9758" s="18">
        <v>6835.61</v>
      </c>
      <c r="U9758" s="16"/>
      <c r="V9758" s="16"/>
      <c r="W9758" s="16" t="s">
        <v>40</v>
      </c>
      <c r="X9758" s="19">
        <v>2.0110000000000001</v>
      </c>
      <c r="Y9758" s="20">
        <v>1.008E-3</v>
      </c>
      <c r="Z9758" s="21">
        <v>4601004017801</v>
      </c>
    </row>
    <row r="9759" spans="1:26" ht="12" customHeight="1" outlineLevel="4" x14ac:dyDescent="0.2">
      <c r="A9759" s="14" t="s">
        <v>18579</v>
      </c>
      <c r="B9759" s="26" t="s">
        <v>18580</v>
      </c>
      <c r="C9759" s="52"/>
      <c r="D9759" s="55">
        <f t="shared" si="152"/>
        <v>0</v>
      </c>
      <c r="E9759" s="63" t="str">
        <f>HYPERLINK("https://www.sds-group.ru/product/teplyy-pol-nagrevatelnyy-samokleyaschiysya-mat-extra-3-5m-0-5h7m-560vt-dvuhzhilnyy-rexant-51-0507/", "Инфо")</f>
        <v>Инфо</v>
      </c>
      <c r="F9759" s="16" t="s">
        <v>39</v>
      </c>
      <c r="G9759" s="15"/>
      <c r="H9759" s="15"/>
      <c r="I9759" s="15"/>
      <c r="J9759" s="17">
        <v>11</v>
      </c>
      <c r="K9759" s="15" t="s">
        <v>6434</v>
      </c>
      <c r="L9759" s="17">
        <v>1</v>
      </c>
      <c r="M9759" s="17">
        <v>9</v>
      </c>
      <c r="N9759" s="17">
        <v>1</v>
      </c>
      <c r="O9759" s="18">
        <v>13887.17</v>
      </c>
      <c r="P9759" s="18">
        <v>11382.93</v>
      </c>
      <c r="Q9759" s="18">
        <v>11804.09</v>
      </c>
      <c r="R9759" s="18">
        <v>9675.48</v>
      </c>
      <c r="S9759" s="18">
        <v>9443.2800000000007</v>
      </c>
      <c r="T9759" s="18">
        <v>7740.39</v>
      </c>
      <c r="U9759" s="16"/>
      <c r="V9759" s="16"/>
      <c r="W9759" s="16" t="s">
        <v>40</v>
      </c>
      <c r="X9759" s="19">
        <v>2.2240000000000002</v>
      </c>
      <c r="Y9759" s="20">
        <v>1.4976E-2</v>
      </c>
      <c r="Z9759" s="21">
        <v>4601004017818</v>
      </c>
    </row>
    <row r="9760" spans="1:26" ht="12" customHeight="1" outlineLevel="4" x14ac:dyDescent="0.2">
      <c r="A9760" s="14" t="s">
        <v>18581</v>
      </c>
      <c r="B9760" s="26" t="s">
        <v>18582</v>
      </c>
      <c r="C9760" s="52"/>
      <c r="D9760" s="55">
        <f t="shared" si="152"/>
        <v>0</v>
      </c>
      <c r="E9760" s="63" t="str">
        <f>HYPERLINK("https://www.sds-group.ru/product/teplyy-pol-nagrevatelnyy-samokleyaschiysya-mat-extra-4m-0-5h8m-640vt-dvuhzhilnyy-rexant-51-0508/", "Инфо")</f>
        <v>Инфо</v>
      </c>
      <c r="F9760" s="16" t="s">
        <v>39</v>
      </c>
      <c r="G9760" s="15"/>
      <c r="H9760" s="15"/>
      <c r="I9760" s="15"/>
      <c r="J9760" s="16" t="s">
        <v>100</v>
      </c>
      <c r="K9760" s="15" t="s">
        <v>6434</v>
      </c>
      <c r="L9760" s="17">
        <v>1</v>
      </c>
      <c r="M9760" s="17">
        <v>9</v>
      </c>
      <c r="N9760" s="17">
        <v>1</v>
      </c>
      <c r="O9760" s="18">
        <v>14969.61</v>
      </c>
      <c r="P9760" s="18">
        <v>12270.17</v>
      </c>
      <c r="Q9760" s="18">
        <v>12724.17</v>
      </c>
      <c r="R9760" s="18">
        <v>10429.65</v>
      </c>
      <c r="S9760" s="18">
        <v>10179.33</v>
      </c>
      <c r="T9760" s="18">
        <v>8343.7099999999991</v>
      </c>
      <c r="U9760" s="16"/>
      <c r="V9760" s="16"/>
      <c r="W9760" s="16" t="s">
        <v>40</v>
      </c>
      <c r="X9760" s="19">
        <v>2.464</v>
      </c>
      <c r="Y9760" s="20">
        <v>2.1892999999999999E-2</v>
      </c>
      <c r="Z9760" s="21">
        <v>4601004017825</v>
      </c>
    </row>
    <row r="9761" spans="1:26" ht="12" customHeight="1" outlineLevel="4" x14ac:dyDescent="0.2">
      <c r="A9761" s="14" t="s">
        <v>18583</v>
      </c>
      <c r="B9761" s="26" t="s">
        <v>18584</v>
      </c>
      <c r="C9761" s="52"/>
      <c r="D9761" s="55">
        <f t="shared" si="152"/>
        <v>0</v>
      </c>
      <c r="E9761" s="63" t="str">
        <f>HYPERLINK("https://www.sds-group.ru/product/teplyy-pol-nagrevatelnyy-samokleyaschiysya-mat-extra-4-5m-0-5h9m-720vt-dvuhzhilnyy-rexant-51-0509/", "Инфо")</f>
        <v>Инфо</v>
      </c>
      <c r="F9761" s="16" t="s">
        <v>39</v>
      </c>
      <c r="G9761" s="15"/>
      <c r="H9761" s="15"/>
      <c r="I9761" s="15"/>
      <c r="J9761" s="17">
        <v>24</v>
      </c>
      <c r="K9761" s="15"/>
      <c r="L9761" s="17">
        <v>1</v>
      </c>
      <c r="M9761" s="17">
        <v>9</v>
      </c>
      <c r="N9761" s="17">
        <v>1</v>
      </c>
      <c r="O9761" s="18">
        <v>16414.37</v>
      </c>
      <c r="P9761" s="18">
        <v>13454.4</v>
      </c>
      <c r="Q9761" s="18">
        <v>13952.21</v>
      </c>
      <c r="R9761" s="18">
        <v>11436.24</v>
      </c>
      <c r="S9761" s="18">
        <v>11161.77</v>
      </c>
      <c r="T9761" s="18">
        <v>9148.99</v>
      </c>
      <c r="U9761" s="16"/>
      <c r="V9761" s="16"/>
      <c r="W9761" s="16" t="s">
        <v>40</v>
      </c>
      <c r="X9761" s="19">
        <v>2.6840000000000002</v>
      </c>
      <c r="Y9761" s="20">
        <v>1.4926999999999999E-2</v>
      </c>
      <c r="Z9761" s="21">
        <v>4601004017832</v>
      </c>
    </row>
    <row r="9762" spans="1:26" ht="12" customHeight="1" outlineLevel="4" x14ac:dyDescent="0.2">
      <c r="A9762" s="14" t="s">
        <v>18585</v>
      </c>
      <c r="B9762" s="26" t="s">
        <v>18586</v>
      </c>
      <c r="C9762" s="52"/>
      <c r="D9762" s="55">
        <f t="shared" si="152"/>
        <v>0</v>
      </c>
      <c r="E9762" s="63" t="str">
        <f>HYPERLINK("https://www.sds-group.ru/product/teplyy-pol-nagrevatelnyy-samokleyaschiysya-mat-extra-5m-0-5h10m-800vt-dvuhzhilnyy-rexant-51-0510/", "Инфо")</f>
        <v>Инфо</v>
      </c>
      <c r="F9762" s="16" t="s">
        <v>39</v>
      </c>
      <c r="G9762" s="15"/>
      <c r="H9762" s="15"/>
      <c r="I9762" s="15"/>
      <c r="J9762" s="17">
        <v>66</v>
      </c>
      <c r="K9762" s="15"/>
      <c r="L9762" s="17">
        <v>1</v>
      </c>
      <c r="M9762" s="17">
        <v>6</v>
      </c>
      <c r="N9762" s="17">
        <v>1</v>
      </c>
      <c r="O9762" s="18">
        <v>19659.419999999998</v>
      </c>
      <c r="P9762" s="18">
        <v>16114.28</v>
      </c>
      <c r="Q9762" s="18">
        <v>16710.509999999998</v>
      </c>
      <c r="R9762" s="18">
        <v>13697.14</v>
      </c>
      <c r="S9762" s="18">
        <v>13368.41</v>
      </c>
      <c r="T9762" s="18">
        <v>10957.71</v>
      </c>
      <c r="U9762" s="16"/>
      <c r="V9762" s="16"/>
      <c r="W9762" s="16" t="s">
        <v>40</v>
      </c>
      <c r="X9762" s="19">
        <v>3.1669999999999998</v>
      </c>
      <c r="Y9762" s="20">
        <v>2.4583000000000001E-2</v>
      </c>
      <c r="Z9762" s="21">
        <v>4601004017849</v>
      </c>
    </row>
    <row r="9763" spans="1:26" ht="12" customHeight="1" outlineLevel="4" x14ac:dyDescent="0.2">
      <c r="A9763" s="14" t="s">
        <v>18587</v>
      </c>
      <c r="B9763" s="26" t="s">
        <v>18588</v>
      </c>
      <c r="C9763" s="52"/>
      <c r="D9763" s="55">
        <f t="shared" si="152"/>
        <v>0</v>
      </c>
      <c r="E9763" s="63" t="str">
        <f>HYPERLINK("https://www.sds-group.ru/product/teplyy-pol-nagrevatelnyy-samokleyaschiysya-mat-extra-6m-0-5h12m-960vt-dvuhzhilnyy-rexant-51-0512/", "Инфо")</f>
        <v>Инфо</v>
      </c>
      <c r="F9763" s="16" t="s">
        <v>39</v>
      </c>
      <c r="G9763" s="15"/>
      <c r="H9763" s="15"/>
      <c r="I9763" s="15"/>
      <c r="J9763" s="16" t="s">
        <v>100</v>
      </c>
      <c r="K9763" s="15" t="s">
        <v>6434</v>
      </c>
      <c r="L9763" s="17">
        <v>1</v>
      </c>
      <c r="M9763" s="17">
        <v>6</v>
      </c>
      <c r="N9763" s="17">
        <v>1</v>
      </c>
      <c r="O9763" s="18">
        <v>21242.06</v>
      </c>
      <c r="P9763" s="18">
        <v>17411.52</v>
      </c>
      <c r="Q9763" s="18">
        <v>18055.75</v>
      </c>
      <c r="R9763" s="18">
        <v>14799.8</v>
      </c>
      <c r="S9763" s="18">
        <v>14444.6</v>
      </c>
      <c r="T9763" s="18">
        <v>11839.84</v>
      </c>
      <c r="U9763" s="16"/>
      <c r="V9763" s="16"/>
      <c r="W9763" s="16" t="s">
        <v>40</v>
      </c>
      <c r="X9763" s="19">
        <v>3.4729999999999999</v>
      </c>
      <c r="Y9763" s="20">
        <v>2.5724E-2</v>
      </c>
      <c r="Z9763" s="21">
        <v>4601004017856</v>
      </c>
    </row>
    <row r="9764" spans="1:26" ht="12" customHeight="1" outlineLevel="4" x14ac:dyDescent="0.2">
      <c r="A9764" s="14" t="s">
        <v>18589</v>
      </c>
      <c r="B9764" s="26" t="s">
        <v>18590</v>
      </c>
      <c r="C9764" s="52"/>
      <c r="D9764" s="55">
        <f t="shared" si="152"/>
        <v>0</v>
      </c>
      <c r="E9764" s="63" t="str">
        <f>HYPERLINK("https://www.sds-group.ru/product/teplyy-pol-nagrevatelnyy-samokleyaschiysya-mat-extra-7m-0-5h14m-1120vt-dvuhzhilnyy-rexant-51-0514/", "Инфо")</f>
        <v>Инфо</v>
      </c>
      <c r="F9764" s="16" t="s">
        <v>39</v>
      </c>
      <c r="G9764" s="15"/>
      <c r="H9764" s="15"/>
      <c r="I9764" s="15"/>
      <c r="J9764" s="17">
        <v>59</v>
      </c>
      <c r="K9764" s="15"/>
      <c r="L9764" s="17">
        <v>1</v>
      </c>
      <c r="M9764" s="17">
        <v>6</v>
      </c>
      <c r="N9764" s="17">
        <v>1</v>
      </c>
      <c r="O9764" s="18">
        <v>24138.7</v>
      </c>
      <c r="P9764" s="18">
        <v>19785.82</v>
      </c>
      <c r="Q9764" s="18">
        <v>20517.900000000001</v>
      </c>
      <c r="R9764" s="18">
        <v>16817.95</v>
      </c>
      <c r="S9764" s="18">
        <v>16414.32</v>
      </c>
      <c r="T9764" s="18">
        <v>13454.36</v>
      </c>
      <c r="U9764" s="16"/>
      <c r="V9764" s="16"/>
      <c r="W9764" s="16" t="s">
        <v>40</v>
      </c>
      <c r="X9764" s="19">
        <v>3.984</v>
      </c>
      <c r="Y9764" s="20">
        <v>2.5538999999999999E-2</v>
      </c>
      <c r="Z9764" s="21">
        <v>4601004017863</v>
      </c>
    </row>
    <row r="9765" spans="1:26" ht="12" customHeight="1" outlineLevel="4" x14ac:dyDescent="0.2">
      <c r="A9765" s="14" t="s">
        <v>18591</v>
      </c>
      <c r="B9765" s="26" t="s">
        <v>18592</v>
      </c>
      <c r="C9765" s="52"/>
      <c r="D9765" s="55">
        <f t="shared" si="152"/>
        <v>0</v>
      </c>
      <c r="E9765" s="63" t="str">
        <f>HYPERLINK("https://www.sds-group.ru/product/teplyy-pol-nagrevatelnyy-samokleyaschiysya-mat-extra-8m-0-5h16m-1280vt-dvuhzhilnyy-rexant-51-0516/", "Инфо")</f>
        <v>Инфо</v>
      </c>
      <c r="F9765" s="16" t="s">
        <v>39</v>
      </c>
      <c r="G9765" s="15"/>
      <c r="H9765" s="15"/>
      <c r="I9765" s="15"/>
      <c r="J9765" s="17">
        <v>22</v>
      </c>
      <c r="K9765" s="15"/>
      <c r="L9765" s="17">
        <v>1</v>
      </c>
      <c r="M9765" s="17">
        <v>6</v>
      </c>
      <c r="N9765" s="17">
        <v>1</v>
      </c>
      <c r="O9765" s="18">
        <v>26069.759999999998</v>
      </c>
      <c r="P9765" s="18">
        <v>21368.66</v>
      </c>
      <c r="Q9765" s="18">
        <v>22159.3</v>
      </c>
      <c r="R9765" s="18">
        <v>18163.36</v>
      </c>
      <c r="S9765" s="18">
        <v>17727.439999999999</v>
      </c>
      <c r="T9765" s="18">
        <v>14530.69</v>
      </c>
      <c r="U9765" s="16"/>
      <c r="V9765" s="16"/>
      <c r="W9765" s="16" t="s">
        <v>40</v>
      </c>
      <c r="X9765" s="19">
        <v>4.3840000000000003</v>
      </c>
      <c r="Y9765" s="20">
        <v>2.5846000000000001E-2</v>
      </c>
      <c r="Z9765" s="21">
        <v>4601004017870</v>
      </c>
    </row>
    <row r="9766" spans="1:26" ht="12" customHeight="1" outlineLevel="4" x14ac:dyDescent="0.2">
      <c r="A9766" s="32" t="s">
        <v>18593</v>
      </c>
      <c r="B9766" s="74" t="s">
        <v>18594</v>
      </c>
      <c r="C9766" s="50"/>
      <c r="D9766" s="53">
        <f t="shared" si="152"/>
        <v>0</v>
      </c>
      <c r="E9766" s="60" t="str">
        <f>HYPERLINK("https://www.sds-group.ru/product/teplyy-pol-nagrevatelnyy-samokleyaschiysya-mat-extra-9m-0-5h18m-1440vt-dvuhzhilnyy-rexant-51-0519/", "Инфо")</f>
        <v>Инфо</v>
      </c>
      <c r="F9766" s="34" t="s">
        <v>39</v>
      </c>
      <c r="G9766" s="33"/>
      <c r="H9766" s="33" t="s">
        <v>40</v>
      </c>
      <c r="I9766" s="33"/>
      <c r="J9766" s="35">
        <v>55</v>
      </c>
      <c r="K9766" s="33"/>
      <c r="L9766" s="35">
        <v>1</v>
      </c>
      <c r="M9766" s="35">
        <v>4</v>
      </c>
      <c r="N9766" s="35">
        <v>1</v>
      </c>
      <c r="O9766" s="36">
        <v>22642.240000000002</v>
      </c>
      <c r="P9766" s="36">
        <v>18559.21</v>
      </c>
      <c r="Q9766" s="36">
        <v>15849.57</v>
      </c>
      <c r="R9766" s="36">
        <v>12991.45</v>
      </c>
      <c r="S9766" s="36">
        <v>15396.72</v>
      </c>
      <c r="T9766" s="36">
        <v>12620.26</v>
      </c>
      <c r="U9766" s="34"/>
      <c r="V9766" s="34"/>
      <c r="W9766" s="34"/>
      <c r="X9766" s="37">
        <v>4.9409999999999998</v>
      </c>
      <c r="Y9766" s="38">
        <v>3.0707000000000002E-2</v>
      </c>
      <c r="Z9766" s="21">
        <v>4601004017887</v>
      </c>
    </row>
    <row r="9767" spans="1:26" ht="12" customHeight="1" outlineLevel="4" x14ac:dyDescent="0.2">
      <c r="A9767" s="14" t="s">
        <v>18595</v>
      </c>
      <c r="B9767" s="26" t="s">
        <v>18596</v>
      </c>
      <c r="C9767" s="52"/>
      <c r="D9767" s="55">
        <f t="shared" si="152"/>
        <v>0</v>
      </c>
      <c r="E9767" s="63" t="str">
        <f>HYPERLINK("https://www.sds-group.ru/product/teplyy-pol-nagrevatelnyy-samokleyaschiysya-mat-extra-10-m-0-5h20-m-1600-vt-dvuhzhilnyy-rexan-51-0520/", "Инфо")</f>
        <v>Инфо</v>
      </c>
      <c r="F9767" s="16" t="s">
        <v>39</v>
      </c>
      <c r="G9767" s="15"/>
      <c r="H9767" s="15"/>
      <c r="I9767" s="15"/>
      <c r="J9767" s="17">
        <v>40</v>
      </c>
      <c r="K9767" s="15"/>
      <c r="L9767" s="17">
        <v>1</v>
      </c>
      <c r="M9767" s="17">
        <v>4</v>
      </c>
      <c r="N9767" s="17">
        <v>1</v>
      </c>
      <c r="O9767" s="18">
        <v>35725.370000000003</v>
      </c>
      <c r="P9767" s="18">
        <v>29283.09</v>
      </c>
      <c r="Q9767" s="18">
        <v>30366.560000000001</v>
      </c>
      <c r="R9767" s="18">
        <v>24890.62</v>
      </c>
      <c r="S9767" s="18">
        <v>24293.25</v>
      </c>
      <c r="T9767" s="18">
        <v>19912.5</v>
      </c>
      <c r="U9767" s="16"/>
      <c r="V9767" s="16"/>
      <c r="W9767" s="16" t="s">
        <v>40</v>
      </c>
      <c r="X9767" s="19">
        <v>5.6</v>
      </c>
      <c r="Y9767" s="20">
        <v>3.5555999999999997E-2</v>
      </c>
      <c r="Z9767" s="21">
        <v>4601004017894</v>
      </c>
    </row>
    <row r="9768" spans="1:26" ht="12" customHeight="1" outlineLevel="4" x14ac:dyDescent="0.2">
      <c r="A9768" s="14" t="s">
        <v>18597</v>
      </c>
      <c r="B9768" s="26" t="s">
        <v>18598</v>
      </c>
      <c r="C9768" s="52"/>
      <c r="D9768" s="55">
        <f t="shared" si="152"/>
        <v>0</v>
      </c>
      <c r="E9768" s="63" t="str">
        <f>HYPERLINK("https://www.sds-group.ru/product/teplyy-pol-nagrevatelnyy-samokleyaschiysya-mat-extra-12-m-0-5h24-m-1920-vt-dvuhzhilnyy-rexan-51-0524/", "Инфо")</f>
        <v>Инфо</v>
      </c>
      <c r="F9768" s="16" t="s">
        <v>39</v>
      </c>
      <c r="G9768" s="15"/>
      <c r="H9768" s="15"/>
      <c r="I9768" s="15"/>
      <c r="J9768" s="16" t="s">
        <v>100</v>
      </c>
      <c r="K9768" s="15"/>
      <c r="L9768" s="17">
        <v>1</v>
      </c>
      <c r="M9768" s="17">
        <v>4</v>
      </c>
      <c r="N9768" s="17">
        <v>1</v>
      </c>
      <c r="O9768" s="18">
        <v>43272.58</v>
      </c>
      <c r="P9768" s="18">
        <v>35469.33</v>
      </c>
      <c r="Q9768" s="18">
        <v>36781.69</v>
      </c>
      <c r="R9768" s="18">
        <v>30148.93</v>
      </c>
      <c r="S9768" s="18">
        <v>29425.35</v>
      </c>
      <c r="T9768" s="18">
        <v>24119.14</v>
      </c>
      <c r="U9768" s="16"/>
      <c r="V9768" s="16"/>
      <c r="W9768" s="16" t="s">
        <v>40</v>
      </c>
      <c r="X9768" s="19">
        <v>7.0830000000000002</v>
      </c>
      <c r="Y9768" s="20">
        <v>3.7455000000000002E-2</v>
      </c>
      <c r="Z9768" s="21">
        <v>4601004017900</v>
      </c>
    </row>
    <row r="9769" spans="1:26" ht="12.95" customHeight="1" outlineLevel="3" x14ac:dyDescent="0.2">
      <c r="A9769" s="76" t="s">
        <v>18599</v>
      </c>
      <c r="B9769" s="76"/>
      <c r="C9769" s="77"/>
      <c r="D9769" s="58"/>
      <c r="E9769" s="68"/>
      <c r="F9769" s="13"/>
      <c r="G9769" s="13"/>
      <c r="H9769" s="13"/>
      <c r="I9769" s="13"/>
      <c r="J9769" s="13"/>
      <c r="K9769" s="13"/>
      <c r="L9769" s="13"/>
      <c r="M9769" s="13"/>
      <c r="N9769" s="13"/>
      <c r="O9769" s="13"/>
      <c r="P9769" s="13"/>
      <c r="Q9769" s="13"/>
      <c r="R9769" s="13"/>
      <c r="S9769" s="13"/>
      <c r="T9769" s="13"/>
      <c r="U9769" s="13"/>
      <c r="V9769" s="13"/>
      <c r="W9769" s="13"/>
      <c r="X9769" s="13"/>
      <c r="Y9769" s="13"/>
      <c r="Z9769" s="13"/>
    </row>
    <row r="9770" spans="1:26" ht="12" customHeight="1" outlineLevel="4" x14ac:dyDescent="0.2">
      <c r="A9770" s="32" t="s">
        <v>18600</v>
      </c>
      <c r="B9770" s="74" t="s">
        <v>18601</v>
      </c>
      <c r="C9770" s="50"/>
      <c r="D9770" s="53">
        <f t="shared" si="152"/>
        <v>0</v>
      </c>
      <c r="E9770" s="60" t="str">
        <f>HYPERLINK("https://www.sds-group.ru/product/teplyy-pol-nagrevatelnyy-mat-pro-rnx-1-220-1m-0-5h2-0m-220vt-dvuhzhilnyy-s-ekranom-rexant-51-0010/", "Инфо")</f>
        <v>Инфо</v>
      </c>
      <c r="F9770" s="34" t="s">
        <v>39</v>
      </c>
      <c r="G9770" s="33"/>
      <c r="H9770" s="33" t="s">
        <v>40</v>
      </c>
      <c r="I9770" s="33"/>
      <c r="J9770" s="35">
        <v>15</v>
      </c>
      <c r="K9770" s="33"/>
      <c r="L9770" s="35">
        <v>1</v>
      </c>
      <c r="M9770" s="35">
        <v>16</v>
      </c>
      <c r="N9770" s="35">
        <v>1</v>
      </c>
      <c r="O9770" s="36">
        <v>5215.3900000000003</v>
      </c>
      <c r="P9770" s="36">
        <v>4274.91</v>
      </c>
      <c r="Q9770" s="36">
        <v>4433.08</v>
      </c>
      <c r="R9770" s="36">
        <v>3633.67</v>
      </c>
      <c r="S9770" s="36">
        <v>3546.47</v>
      </c>
      <c r="T9770" s="36">
        <v>2906.94</v>
      </c>
      <c r="U9770" s="34"/>
      <c r="V9770" s="34"/>
      <c r="W9770" s="34" t="s">
        <v>40</v>
      </c>
      <c r="X9770" s="37">
        <v>0.72599999999999998</v>
      </c>
      <c r="Y9770" s="38">
        <v>7.8530000000000006E-3</v>
      </c>
      <c r="Z9770" s="21">
        <v>4601004141247</v>
      </c>
    </row>
    <row r="9771" spans="1:26" ht="12" customHeight="1" outlineLevel="4" x14ac:dyDescent="0.2">
      <c r="A9771" s="32" t="s">
        <v>18602</v>
      </c>
      <c r="B9771" s="74" t="s">
        <v>18603</v>
      </c>
      <c r="C9771" s="50"/>
      <c r="D9771" s="53">
        <f t="shared" si="152"/>
        <v>0</v>
      </c>
      <c r="E9771" s="60" t="str">
        <f>HYPERLINK("https://www.sds-group.ru/product/teplyy-pol-nagrevatelnyy-mat-pro-rnx-1-5-330-1-5m-0-5h3m-330vt-dvuhzhilnyy-s-ekranom-rexant-51-0011/", "Инфо")</f>
        <v>Инфо</v>
      </c>
      <c r="F9771" s="34" t="s">
        <v>39</v>
      </c>
      <c r="G9771" s="33"/>
      <c r="H9771" s="33" t="s">
        <v>40</v>
      </c>
      <c r="I9771" s="33"/>
      <c r="J9771" s="35">
        <v>51</v>
      </c>
      <c r="K9771" s="33"/>
      <c r="L9771" s="35">
        <v>1</v>
      </c>
      <c r="M9771" s="35">
        <v>16</v>
      </c>
      <c r="N9771" s="35">
        <v>1</v>
      </c>
      <c r="O9771" s="36">
        <v>7685.85</v>
      </c>
      <c r="P9771" s="36">
        <v>6299.88</v>
      </c>
      <c r="Q9771" s="36">
        <v>6532.97</v>
      </c>
      <c r="R9771" s="36">
        <v>5354.89</v>
      </c>
      <c r="S9771" s="36">
        <v>5226.38</v>
      </c>
      <c r="T9771" s="36">
        <v>4283.92</v>
      </c>
      <c r="U9771" s="34"/>
      <c r="V9771" s="34"/>
      <c r="W9771" s="34" t="s">
        <v>40</v>
      </c>
      <c r="X9771" s="37">
        <v>1.042</v>
      </c>
      <c r="Y9771" s="38">
        <v>8.8699999999999994E-3</v>
      </c>
      <c r="Z9771" s="21">
        <v>4601004141261</v>
      </c>
    </row>
    <row r="9772" spans="1:26" ht="12" customHeight="1" outlineLevel="4" x14ac:dyDescent="0.2">
      <c r="A9772" s="32" t="s">
        <v>18604</v>
      </c>
      <c r="B9772" s="74" t="s">
        <v>18605</v>
      </c>
      <c r="C9772" s="50"/>
      <c r="D9772" s="53">
        <f t="shared" si="152"/>
        <v>0</v>
      </c>
      <c r="E9772" s="60" t="str">
        <f>HYPERLINK("https://www.sds-group.ru/product/teplyy-pol-nagrevatelnyy-mat-pro-rnx-2-440-2m-0-5h4m-440vt-dvuhzhilnyy-s-ekranom-rexant-51-0012/", "Инфо")</f>
        <v>Инфо</v>
      </c>
      <c r="F9772" s="34" t="s">
        <v>39</v>
      </c>
      <c r="G9772" s="33"/>
      <c r="H9772" s="33" t="s">
        <v>40</v>
      </c>
      <c r="I9772" s="33"/>
      <c r="J9772" s="35">
        <v>18</v>
      </c>
      <c r="K9772" s="33"/>
      <c r="L9772" s="35">
        <v>1</v>
      </c>
      <c r="M9772" s="35">
        <v>16</v>
      </c>
      <c r="N9772" s="35">
        <v>1</v>
      </c>
      <c r="O9772" s="36">
        <v>9058.31</v>
      </c>
      <c r="P9772" s="36">
        <v>7424.84</v>
      </c>
      <c r="Q9772" s="36">
        <v>7699.56</v>
      </c>
      <c r="R9772" s="36">
        <v>6311.11</v>
      </c>
      <c r="S9772" s="36">
        <v>6159.65</v>
      </c>
      <c r="T9772" s="36">
        <v>5048.8900000000003</v>
      </c>
      <c r="U9772" s="34"/>
      <c r="V9772" s="34"/>
      <c r="W9772" s="34" t="s">
        <v>40</v>
      </c>
      <c r="X9772" s="37">
        <v>1.0840000000000001</v>
      </c>
      <c r="Y9772" s="38">
        <v>8.7690000000000008E-3</v>
      </c>
      <c r="Z9772" s="21">
        <v>4601004141179</v>
      </c>
    </row>
    <row r="9773" spans="1:26" ht="12" customHeight="1" outlineLevel="4" x14ac:dyDescent="0.2">
      <c r="A9773" s="32" t="s">
        <v>18606</v>
      </c>
      <c r="B9773" s="74" t="s">
        <v>18607</v>
      </c>
      <c r="C9773" s="50"/>
      <c r="D9773" s="53">
        <f t="shared" si="152"/>
        <v>0</v>
      </c>
      <c r="E9773" s="60" t="str">
        <f>HYPERLINK("https://www.sds-group.ru/product/teplyy-pol-nagrevatelnyy-mat-pro-rnx-2-5-550-2-5-m-0-5h5-m-550-vt-dvuhzhilnyy-s-ekranom-rexa-51-0013/", "Инфо")</f>
        <v>Инфо</v>
      </c>
      <c r="F9773" s="34" t="s">
        <v>39</v>
      </c>
      <c r="G9773" s="33"/>
      <c r="H9773" s="33" t="s">
        <v>40</v>
      </c>
      <c r="I9773" s="33"/>
      <c r="J9773" s="35">
        <v>14</v>
      </c>
      <c r="K9773" s="33"/>
      <c r="L9773" s="35">
        <v>1</v>
      </c>
      <c r="M9773" s="35">
        <v>16</v>
      </c>
      <c r="N9773" s="35">
        <v>1</v>
      </c>
      <c r="O9773" s="36">
        <v>9950.41</v>
      </c>
      <c r="P9773" s="36">
        <v>8156.07</v>
      </c>
      <c r="Q9773" s="36">
        <v>8457.85</v>
      </c>
      <c r="R9773" s="36">
        <v>6932.66</v>
      </c>
      <c r="S9773" s="36">
        <v>6766.28</v>
      </c>
      <c r="T9773" s="36">
        <v>5546.13</v>
      </c>
      <c r="U9773" s="34"/>
      <c r="V9773" s="34"/>
      <c r="W9773" s="34" t="s">
        <v>40</v>
      </c>
      <c r="X9773" s="37">
        <v>1.2450000000000001</v>
      </c>
      <c r="Y9773" s="38">
        <v>7.5100000000000002E-3</v>
      </c>
      <c r="Z9773" s="21">
        <v>4601004141186</v>
      </c>
    </row>
    <row r="9774" spans="1:26" ht="12" customHeight="1" outlineLevel="4" x14ac:dyDescent="0.2">
      <c r="A9774" s="32" t="s">
        <v>18608</v>
      </c>
      <c r="B9774" s="74" t="s">
        <v>18609</v>
      </c>
      <c r="C9774" s="50"/>
      <c r="D9774" s="53">
        <f t="shared" si="152"/>
        <v>0</v>
      </c>
      <c r="E9774" s="60" t="str">
        <f>HYPERLINK("https://www.sds-group.ru/product/teplyy-pol-nagrevatelnyy-mat-pro-rnx-3-660-3m-0-5h6m-660vt-dvuhzhilnyy-s-ekranom-rexant-51-0014/", "Инфо")</f>
        <v>Инфо</v>
      </c>
      <c r="F9774" s="34" t="s">
        <v>39</v>
      </c>
      <c r="G9774" s="33"/>
      <c r="H9774" s="33" t="s">
        <v>40</v>
      </c>
      <c r="I9774" s="33"/>
      <c r="J9774" s="35">
        <v>25</v>
      </c>
      <c r="K9774" s="33"/>
      <c r="L9774" s="35">
        <v>1</v>
      </c>
      <c r="M9774" s="35">
        <v>9</v>
      </c>
      <c r="N9774" s="35">
        <v>1</v>
      </c>
      <c r="O9774" s="36">
        <v>12764.09</v>
      </c>
      <c r="P9774" s="36">
        <v>10462.370000000001</v>
      </c>
      <c r="Q9774" s="36">
        <v>10849.48</v>
      </c>
      <c r="R9774" s="36">
        <v>8893.02</v>
      </c>
      <c r="S9774" s="36">
        <v>8679.58</v>
      </c>
      <c r="T9774" s="36">
        <v>7114.41</v>
      </c>
      <c r="U9774" s="34"/>
      <c r="V9774" s="34"/>
      <c r="W9774" s="34" t="s">
        <v>40</v>
      </c>
      <c r="X9774" s="37">
        <v>1.5009999999999999</v>
      </c>
      <c r="Y9774" s="38">
        <v>1.5807000000000002E-2</v>
      </c>
      <c r="Z9774" s="21">
        <v>4601004141193</v>
      </c>
    </row>
    <row r="9775" spans="1:26" ht="12" customHeight="1" outlineLevel="4" x14ac:dyDescent="0.2">
      <c r="A9775" s="32" t="s">
        <v>18610</v>
      </c>
      <c r="B9775" s="74" t="s">
        <v>18611</v>
      </c>
      <c r="C9775" s="50"/>
      <c r="D9775" s="53">
        <f t="shared" si="152"/>
        <v>0</v>
      </c>
      <c r="E9775" s="60" t="str">
        <f>HYPERLINK("https://www.sds-group.ru/product/teplyy-pol-nagrevatelnyy-mat-pro-rnx-4-880-4m-0-5h8m-880vt-dvuhzhilnyy-s-ekranom-rexant-51-0016/", "Инфо")</f>
        <v>Инфо</v>
      </c>
      <c r="F9775" s="34" t="s">
        <v>39</v>
      </c>
      <c r="G9775" s="33"/>
      <c r="H9775" s="33" t="s">
        <v>40</v>
      </c>
      <c r="I9775" s="33"/>
      <c r="J9775" s="35">
        <v>46</v>
      </c>
      <c r="K9775" s="33"/>
      <c r="L9775" s="35">
        <v>1</v>
      </c>
      <c r="M9775" s="35">
        <v>9</v>
      </c>
      <c r="N9775" s="35">
        <v>1</v>
      </c>
      <c r="O9775" s="36">
        <v>15149.03</v>
      </c>
      <c r="P9775" s="36">
        <v>12417.24</v>
      </c>
      <c r="Q9775" s="36">
        <v>12876.68</v>
      </c>
      <c r="R9775" s="36">
        <v>10554.66</v>
      </c>
      <c r="S9775" s="36">
        <v>10301.34</v>
      </c>
      <c r="T9775" s="36">
        <v>8443.7199999999993</v>
      </c>
      <c r="U9775" s="34"/>
      <c r="V9775" s="34"/>
      <c r="W9775" s="34" t="s">
        <v>40</v>
      </c>
      <c r="X9775" s="37">
        <v>1.867</v>
      </c>
      <c r="Y9775" s="38">
        <v>1.4079E-2</v>
      </c>
      <c r="Z9775" s="21">
        <v>4601004141209</v>
      </c>
    </row>
    <row r="9776" spans="1:26" ht="12" customHeight="1" outlineLevel="4" x14ac:dyDescent="0.2">
      <c r="A9776" s="32" t="s">
        <v>18612</v>
      </c>
      <c r="B9776" s="74" t="s">
        <v>18613</v>
      </c>
      <c r="C9776" s="50"/>
      <c r="D9776" s="53">
        <f t="shared" si="152"/>
        <v>0</v>
      </c>
      <c r="E9776" s="60" t="str">
        <f>HYPERLINK("https://www.sds-group.ru/product/teplyy-pol-nagrevatelnyy-mat-pro-rnx-5-1100-5m-0-5h10m-1100vt-dvuhzhilnyy-s-ekranom-rexant-51-0018/", "Инфо")</f>
        <v>Инфо</v>
      </c>
      <c r="F9776" s="34" t="s">
        <v>39</v>
      </c>
      <c r="G9776" s="33"/>
      <c r="H9776" s="33" t="s">
        <v>40</v>
      </c>
      <c r="I9776" s="33"/>
      <c r="J9776" s="35">
        <v>39</v>
      </c>
      <c r="K9776" s="33"/>
      <c r="L9776" s="35">
        <v>1</v>
      </c>
      <c r="M9776" s="35">
        <v>9</v>
      </c>
      <c r="N9776" s="35">
        <v>1</v>
      </c>
      <c r="O9776" s="36">
        <v>18528.37</v>
      </c>
      <c r="P9776" s="36">
        <v>15187.19</v>
      </c>
      <c r="Q9776" s="36">
        <v>15749.11</v>
      </c>
      <c r="R9776" s="36">
        <v>12909.11</v>
      </c>
      <c r="S9776" s="36">
        <v>12599.29</v>
      </c>
      <c r="T9776" s="36">
        <v>10327.290000000001</v>
      </c>
      <c r="U9776" s="34"/>
      <c r="V9776" s="34"/>
      <c r="W9776" s="34" t="s">
        <v>40</v>
      </c>
      <c r="X9776" s="37">
        <v>2.044</v>
      </c>
      <c r="Y9776" s="38">
        <v>1.3877E-2</v>
      </c>
      <c r="Z9776" s="21">
        <v>4601004141216</v>
      </c>
    </row>
    <row r="9777" spans="1:26" ht="12.95" customHeight="1" outlineLevel="3" x14ac:dyDescent="0.2">
      <c r="A9777" s="76" t="s">
        <v>18614</v>
      </c>
      <c r="B9777" s="76"/>
      <c r="C9777" s="77"/>
      <c r="D9777" s="58"/>
      <c r="E9777" s="68"/>
      <c r="F9777" s="13"/>
      <c r="G9777" s="13"/>
      <c r="H9777" s="13"/>
      <c r="I9777" s="13"/>
      <c r="J9777" s="13"/>
      <c r="K9777" s="13"/>
      <c r="L9777" s="13"/>
      <c r="M9777" s="13"/>
      <c r="N9777" s="13"/>
      <c r="O9777" s="13"/>
      <c r="P9777" s="13"/>
      <c r="Q9777" s="13"/>
      <c r="R9777" s="13"/>
      <c r="S9777" s="13"/>
      <c r="T9777" s="13"/>
      <c r="U9777" s="13"/>
      <c r="V9777" s="13"/>
      <c r="W9777" s="13"/>
      <c r="X9777" s="13"/>
      <c r="Y9777" s="13"/>
      <c r="Z9777" s="13"/>
    </row>
    <row r="9778" spans="1:26" ht="12" customHeight="1" outlineLevel="4" x14ac:dyDescent="0.2">
      <c r="A9778" s="14" t="s">
        <v>18615</v>
      </c>
      <c r="B9778" s="26" t="s">
        <v>18616</v>
      </c>
      <c r="C9778" s="52"/>
      <c r="D9778" s="55">
        <f t="shared" si="152"/>
        <v>0</v>
      </c>
      <c r="E9778" s="64"/>
      <c r="F9778" s="16" t="s">
        <v>39</v>
      </c>
      <c r="G9778" s="15"/>
      <c r="H9778" s="15"/>
      <c r="I9778" s="15"/>
      <c r="J9778" s="16" t="s">
        <v>100</v>
      </c>
      <c r="K9778" s="15" t="s">
        <v>1408</v>
      </c>
      <c r="L9778" s="17">
        <v>1</v>
      </c>
      <c r="M9778" s="17">
        <v>32</v>
      </c>
      <c r="N9778" s="17">
        <v>1</v>
      </c>
      <c r="O9778" s="18">
        <v>1696</v>
      </c>
      <c r="P9778" s="18">
        <v>1390.16</v>
      </c>
      <c r="Q9778" s="18">
        <v>1356.8</v>
      </c>
      <c r="R9778" s="18">
        <v>1112.1300000000001</v>
      </c>
      <c r="S9778" s="18">
        <v>1153.28</v>
      </c>
      <c r="T9778" s="18">
        <v>945.31</v>
      </c>
      <c r="U9778" s="16"/>
      <c r="V9778" s="16"/>
      <c r="W9778" s="16"/>
      <c r="X9778" s="25"/>
      <c r="Y9778" s="25"/>
      <c r="Z9778" s="21">
        <v>4601004358652</v>
      </c>
    </row>
    <row r="9779" spans="1:26" ht="12" customHeight="1" outlineLevel="4" x14ac:dyDescent="0.2">
      <c r="A9779" s="14" t="s">
        <v>18617</v>
      </c>
      <c r="B9779" s="26" t="s">
        <v>18618</v>
      </c>
      <c r="C9779" s="52"/>
      <c r="D9779" s="55">
        <f t="shared" si="152"/>
        <v>0</v>
      </c>
      <c r="E9779" s="64"/>
      <c r="F9779" s="16" t="s">
        <v>39</v>
      </c>
      <c r="G9779" s="15"/>
      <c r="H9779" s="15"/>
      <c r="I9779" s="15"/>
      <c r="J9779" s="16" t="s">
        <v>100</v>
      </c>
      <c r="K9779" s="15" t="s">
        <v>1408</v>
      </c>
      <c r="L9779" s="17">
        <v>1</v>
      </c>
      <c r="M9779" s="17">
        <v>24</v>
      </c>
      <c r="N9779" s="17">
        <v>1</v>
      </c>
      <c r="O9779" s="18">
        <v>1961</v>
      </c>
      <c r="P9779" s="18">
        <v>1607.38</v>
      </c>
      <c r="Q9779" s="18">
        <v>1568.8</v>
      </c>
      <c r="R9779" s="18">
        <v>1285.9000000000001</v>
      </c>
      <c r="S9779" s="18">
        <v>1333.48</v>
      </c>
      <c r="T9779" s="18">
        <v>1093.02</v>
      </c>
      <c r="U9779" s="16"/>
      <c r="V9779" s="16"/>
      <c r="W9779" s="16"/>
      <c r="X9779" s="25"/>
      <c r="Y9779" s="25"/>
      <c r="Z9779" s="21">
        <v>4601004358515</v>
      </c>
    </row>
    <row r="9780" spans="1:26" ht="12" customHeight="1" outlineLevel="4" x14ac:dyDescent="0.2">
      <c r="A9780" s="14" t="s">
        <v>18619</v>
      </c>
      <c r="B9780" s="26" t="s">
        <v>18620</v>
      </c>
      <c r="C9780" s="52"/>
      <c r="D9780" s="55">
        <f t="shared" si="152"/>
        <v>0</v>
      </c>
      <c r="E9780" s="64"/>
      <c r="F9780" s="16" t="s">
        <v>39</v>
      </c>
      <c r="G9780" s="15"/>
      <c r="H9780" s="15"/>
      <c r="I9780" s="15"/>
      <c r="J9780" s="16" t="s">
        <v>100</v>
      </c>
      <c r="K9780" s="15" t="s">
        <v>1408</v>
      </c>
      <c r="L9780" s="17">
        <v>1</v>
      </c>
      <c r="M9780" s="17">
        <v>24</v>
      </c>
      <c r="N9780" s="17">
        <v>1</v>
      </c>
      <c r="O9780" s="18">
        <v>2650</v>
      </c>
      <c r="P9780" s="18">
        <v>2172.13</v>
      </c>
      <c r="Q9780" s="18">
        <v>2120</v>
      </c>
      <c r="R9780" s="18">
        <v>1737.7</v>
      </c>
      <c r="S9780" s="18">
        <v>1802</v>
      </c>
      <c r="T9780" s="18">
        <v>1477.05</v>
      </c>
      <c r="U9780" s="16"/>
      <c r="V9780" s="16"/>
      <c r="W9780" s="16"/>
      <c r="X9780" s="25"/>
      <c r="Y9780" s="25"/>
      <c r="Z9780" s="21">
        <v>4601004358522</v>
      </c>
    </row>
    <row r="9781" spans="1:26" ht="12" customHeight="1" outlineLevel="4" x14ac:dyDescent="0.2">
      <c r="A9781" s="14" t="s">
        <v>18621</v>
      </c>
      <c r="B9781" s="26" t="s">
        <v>18622</v>
      </c>
      <c r="C9781" s="52"/>
      <c r="D9781" s="55">
        <f t="shared" si="152"/>
        <v>0</v>
      </c>
      <c r="E9781" s="64"/>
      <c r="F9781" s="16" t="s">
        <v>39</v>
      </c>
      <c r="G9781" s="15"/>
      <c r="H9781" s="15"/>
      <c r="I9781" s="15"/>
      <c r="J9781" s="16" t="s">
        <v>100</v>
      </c>
      <c r="K9781" s="15" t="s">
        <v>1408</v>
      </c>
      <c r="L9781" s="17">
        <v>1</v>
      </c>
      <c r="M9781" s="17">
        <v>6</v>
      </c>
      <c r="N9781" s="17">
        <v>1</v>
      </c>
      <c r="O9781" s="18">
        <v>12720</v>
      </c>
      <c r="P9781" s="18">
        <v>10426.23</v>
      </c>
      <c r="Q9781" s="18">
        <v>10176</v>
      </c>
      <c r="R9781" s="18">
        <v>8340.98</v>
      </c>
      <c r="S9781" s="18">
        <v>8649.6</v>
      </c>
      <c r="T9781" s="18">
        <v>7089.84</v>
      </c>
      <c r="U9781" s="16"/>
      <c r="V9781" s="16"/>
      <c r="W9781" s="16"/>
      <c r="X9781" s="25"/>
      <c r="Y9781" s="25"/>
      <c r="Z9781" s="21">
        <v>4601004358638</v>
      </c>
    </row>
    <row r="9782" spans="1:26" ht="12" customHeight="1" outlineLevel="4" x14ac:dyDescent="0.2">
      <c r="A9782" s="14" t="s">
        <v>18623</v>
      </c>
      <c r="B9782" s="26" t="s">
        <v>18624</v>
      </c>
      <c r="C9782" s="52"/>
      <c r="D9782" s="55">
        <f t="shared" si="152"/>
        <v>0</v>
      </c>
      <c r="E9782" s="64"/>
      <c r="F9782" s="16" t="s">
        <v>39</v>
      </c>
      <c r="G9782" s="15"/>
      <c r="H9782" s="15"/>
      <c r="I9782" s="15"/>
      <c r="J9782" s="16" t="s">
        <v>100</v>
      </c>
      <c r="K9782" s="15" t="s">
        <v>1408</v>
      </c>
      <c r="L9782" s="17">
        <v>1</v>
      </c>
      <c r="M9782" s="17">
        <v>4</v>
      </c>
      <c r="N9782" s="17">
        <v>1</v>
      </c>
      <c r="O9782" s="18">
        <v>15370</v>
      </c>
      <c r="P9782" s="18">
        <v>12598.36</v>
      </c>
      <c r="Q9782" s="18">
        <v>12296</v>
      </c>
      <c r="R9782" s="18">
        <v>10078.69</v>
      </c>
      <c r="S9782" s="18">
        <v>10451.6</v>
      </c>
      <c r="T9782" s="18">
        <v>8566.89</v>
      </c>
      <c r="U9782" s="16"/>
      <c r="V9782" s="16"/>
      <c r="W9782" s="16"/>
      <c r="X9782" s="25"/>
      <c r="Y9782" s="25"/>
      <c r="Z9782" s="21">
        <v>4601004358645</v>
      </c>
    </row>
    <row r="9783" spans="1:26" ht="12" customHeight="1" outlineLevel="4" x14ac:dyDescent="0.2">
      <c r="A9783" s="14" t="s">
        <v>18625</v>
      </c>
      <c r="B9783" s="26" t="s">
        <v>18626</v>
      </c>
      <c r="C9783" s="52"/>
      <c r="D9783" s="55">
        <f t="shared" si="152"/>
        <v>0</v>
      </c>
      <c r="E9783" s="64"/>
      <c r="F9783" s="16" t="s">
        <v>39</v>
      </c>
      <c r="G9783" s="15"/>
      <c r="H9783" s="15"/>
      <c r="I9783" s="15"/>
      <c r="J9783" s="16" t="s">
        <v>100</v>
      </c>
      <c r="K9783" s="15" t="s">
        <v>1408</v>
      </c>
      <c r="L9783" s="17">
        <v>1</v>
      </c>
      <c r="M9783" s="17">
        <v>18</v>
      </c>
      <c r="N9783" s="17">
        <v>1</v>
      </c>
      <c r="O9783" s="18">
        <v>3127</v>
      </c>
      <c r="P9783" s="18">
        <v>2563.11</v>
      </c>
      <c r="Q9783" s="18">
        <v>2501.6</v>
      </c>
      <c r="R9783" s="18">
        <v>2050.4899999999998</v>
      </c>
      <c r="S9783" s="18">
        <v>2126.36</v>
      </c>
      <c r="T9783" s="18">
        <v>1742.92</v>
      </c>
      <c r="U9783" s="16"/>
      <c r="V9783" s="16"/>
      <c r="W9783" s="16"/>
      <c r="X9783" s="25"/>
      <c r="Y9783" s="25"/>
      <c r="Z9783" s="21">
        <v>4601004358539</v>
      </c>
    </row>
    <row r="9784" spans="1:26" ht="12" customHeight="1" outlineLevel="4" x14ac:dyDescent="0.2">
      <c r="A9784" s="14" t="s">
        <v>18627</v>
      </c>
      <c r="B9784" s="26" t="s">
        <v>18628</v>
      </c>
      <c r="C9784" s="52"/>
      <c r="D9784" s="55">
        <f t="shared" si="152"/>
        <v>0</v>
      </c>
      <c r="E9784" s="64"/>
      <c r="F9784" s="16" t="s">
        <v>39</v>
      </c>
      <c r="G9784" s="15"/>
      <c r="H9784" s="15"/>
      <c r="I9784" s="15"/>
      <c r="J9784" s="16" t="s">
        <v>100</v>
      </c>
      <c r="K9784" s="15" t="s">
        <v>1408</v>
      </c>
      <c r="L9784" s="17">
        <v>1</v>
      </c>
      <c r="M9784" s="17">
        <v>15</v>
      </c>
      <c r="N9784" s="17">
        <v>1</v>
      </c>
      <c r="O9784" s="18">
        <v>3869</v>
      </c>
      <c r="P9784" s="18">
        <v>3171.31</v>
      </c>
      <c r="Q9784" s="18">
        <v>3095.2</v>
      </c>
      <c r="R9784" s="18">
        <v>2537.0500000000002</v>
      </c>
      <c r="S9784" s="18">
        <v>2630.92</v>
      </c>
      <c r="T9784" s="18">
        <v>2156.4899999999998</v>
      </c>
      <c r="U9784" s="16"/>
      <c r="V9784" s="16"/>
      <c r="W9784" s="16"/>
      <c r="X9784" s="25"/>
      <c r="Y9784" s="25"/>
      <c r="Z9784" s="21">
        <v>4601004358553</v>
      </c>
    </row>
    <row r="9785" spans="1:26" ht="12" customHeight="1" outlineLevel="4" x14ac:dyDescent="0.2">
      <c r="A9785" s="14" t="s">
        <v>18629</v>
      </c>
      <c r="B9785" s="26" t="s">
        <v>18630</v>
      </c>
      <c r="C9785" s="52"/>
      <c r="D9785" s="55">
        <f t="shared" si="152"/>
        <v>0</v>
      </c>
      <c r="E9785" s="64"/>
      <c r="F9785" s="16" t="s">
        <v>39</v>
      </c>
      <c r="G9785" s="15"/>
      <c r="H9785" s="15"/>
      <c r="I9785" s="15"/>
      <c r="J9785" s="16" t="s">
        <v>100</v>
      </c>
      <c r="K9785" s="15" t="s">
        <v>1408</v>
      </c>
      <c r="L9785" s="17">
        <v>1</v>
      </c>
      <c r="M9785" s="17">
        <v>12</v>
      </c>
      <c r="N9785" s="17">
        <v>1</v>
      </c>
      <c r="O9785" s="18">
        <v>5300</v>
      </c>
      <c r="P9785" s="18">
        <v>4344.26</v>
      </c>
      <c r="Q9785" s="18">
        <v>4240</v>
      </c>
      <c r="R9785" s="18">
        <v>3475.41</v>
      </c>
      <c r="S9785" s="18">
        <v>3604</v>
      </c>
      <c r="T9785" s="18">
        <v>2954.1</v>
      </c>
      <c r="U9785" s="16"/>
      <c r="V9785" s="16"/>
      <c r="W9785" s="16"/>
      <c r="X9785" s="25"/>
      <c r="Y9785" s="25"/>
      <c r="Z9785" s="21">
        <v>4601004358621</v>
      </c>
    </row>
    <row r="9786" spans="1:26" ht="12" customHeight="1" outlineLevel="4" x14ac:dyDescent="0.2">
      <c r="A9786" s="14" t="s">
        <v>18631</v>
      </c>
      <c r="B9786" s="26" t="s">
        <v>18632</v>
      </c>
      <c r="C9786" s="52"/>
      <c r="D9786" s="55">
        <f t="shared" si="152"/>
        <v>0</v>
      </c>
      <c r="E9786" s="64"/>
      <c r="F9786" s="16" t="s">
        <v>39</v>
      </c>
      <c r="G9786" s="15"/>
      <c r="H9786" s="15"/>
      <c r="I9786" s="15"/>
      <c r="J9786" s="16" t="s">
        <v>100</v>
      </c>
      <c r="K9786" s="15" t="s">
        <v>1408</v>
      </c>
      <c r="L9786" s="17">
        <v>1</v>
      </c>
      <c r="M9786" s="17">
        <v>11</v>
      </c>
      <c r="N9786" s="17">
        <v>1</v>
      </c>
      <c r="O9786" s="18">
        <v>7897</v>
      </c>
      <c r="P9786" s="18">
        <v>6472.95</v>
      </c>
      <c r="Q9786" s="18">
        <v>6317.6</v>
      </c>
      <c r="R9786" s="18">
        <v>5178.3599999999997</v>
      </c>
      <c r="S9786" s="18">
        <v>5369.96</v>
      </c>
      <c r="T9786" s="18">
        <v>4401.6099999999997</v>
      </c>
      <c r="U9786" s="16"/>
      <c r="V9786" s="16"/>
      <c r="W9786" s="16"/>
      <c r="X9786" s="25"/>
      <c r="Y9786" s="25"/>
      <c r="Z9786" s="21">
        <v>4601004358607</v>
      </c>
    </row>
    <row r="9787" spans="1:26" ht="12" customHeight="1" outlineLevel="4" x14ac:dyDescent="0.2">
      <c r="A9787" s="14" t="s">
        <v>18633</v>
      </c>
      <c r="B9787" s="26" t="s">
        <v>18634</v>
      </c>
      <c r="C9787" s="52"/>
      <c r="D9787" s="55">
        <f t="shared" si="152"/>
        <v>0</v>
      </c>
      <c r="E9787" s="64"/>
      <c r="F9787" s="16" t="s">
        <v>39</v>
      </c>
      <c r="G9787" s="15"/>
      <c r="H9787" s="15"/>
      <c r="I9787" s="15"/>
      <c r="J9787" s="16" t="s">
        <v>100</v>
      </c>
      <c r="K9787" s="15" t="s">
        <v>1408</v>
      </c>
      <c r="L9787" s="17">
        <v>1</v>
      </c>
      <c r="M9787" s="17">
        <v>8</v>
      </c>
      <c r="N9787" s="17">
        <v>1</v>
      </c>
      <c r="O9787" s="18">
        <v>8904</v>
      </c>
      <c r="P9787" s="18">
        <v>7298.36</v>
      </c>
      <c r="Q9787" s="18">
        <v>7123.2</v>
      </c>
      <c r="R9787" s="18">
        <v>5838.69</v>
      </c>
      <c r="S9787" s="18">
        <v>6054.72</v>
      </c>
      <c r="T9787" s="18">
        <v>4962.8900000000003</v>
      </c>
      <c r="U9787" s="16"/>
      <c r="V9787" s="16"/>
      <c r="W9787" s="16"/>
      <c r="X9787" s="25"/>
      <c r="Y9787" s="25"/>
      <c r="Z9787" s="21">
        <v>4601004358591</v>
      </c>
    </row>
    <row r="9788" spans="1:26" ht="12" customHeight="1" outlineLevel="4" x14ac:dyDescent="0.2">
      <c r="A9788" s="14" t="s">
        <v>18635</v>
      </c>
      <c r="B9788" s="26" t="s">
        <v>18636</v>
      </c>
      <c r="C9788" s="52"/>
      <c r="D9788" s="55">
        <f t="shared" si="152"/>
        <v>0</v>
      </c>
      <c r="E9788" s="64"/>
      <c r="F9788" s="16" t="s">
        <v>39</v>
      </c>
      <c r="G9788" s="15"/>
      <c r="H9788" s="15"/>
      <c r="I9788" s="15"/>
      <c r="J9788" s="16" t="s">
        <v>100</v>
      </c>
      <c r="K9788" s="15" t="s">
        <v>1408</v>
      </c>
      <c r="L9788" s="17">
        <v>1</v>
      </c>
      <c r="M9788" s="17">
        <v>6</v>
      </c>
      <c r="N9788" s="17">
        <v>1</v>
      </c>
      <c r="O9788" s="18">
        <v>9646</v>
      </c>
      <c r="P9788" s="18">
        <v>7906.56</v>
      </c>
      <c r="Q9788" s="18">
        <v>7716.8</v>
      </c>
      <c r="R9788" s="18">
        <v>6325.25</v>
      </c>
      <c r="S9788" s="18">
        <v>6559.28</v>
      </c>
      <c r="T9788" s="18">
        <v>5376.46</v>
      </c>
      <c r="U9788" s="16"/>
      <c r="V9788" s="16"/>
      <c r="W9788" s="16"/>
      <c r="X9788" s="25"/>
      <c r="Y9788" s="25"/>
      <c r="Z9788" s="21">
        <v>4601004358577</v>
      </c>
    </row>
    <row r="9789" spans="1:26" ht="12" customHeight="1" outlineLevel="4" x14ac:dyDescent="0.2">
      <c r="A9789" s="14" t="s">
        <v>18637</v>
      </c>
      <c r="B9789" s="26" t="s">
        <v>18638</v>
      </c>
      <c r="C9789" s="52"/>
      <c r="D9789" s="55">
        <f t="shared" si="152"/>
        <v>0</v>
      </c>
      <c r="E9789" s="64"/>
      <c r="F9789" s="16" t="s">
        <v>39</v>
      </c>
      <c r="G9789" s="15"/>
      <c r="H9789" s="15"/>
      <c r="I9789" s="15"/>
      <c r="J9789" s="16" t="s">
        <v>100</v>
      </c>
      <c r="K9789" s="15" t="s">
        <v>1408</v>
      </c>
      <c r="L9789" s="17">
        <v>1</v>
      </c>
      <c r="M9789" s="17">
        <v>8</v>
      </c>
      <c r="N9789" s="17">
        <v>1</v>
      </c>
      <c r="O9789" s="18">
        <v>10229</v>
      </c>
      <c r="P9789" s="18">
        <v>8384.43</v>
      </c>
      <c r="Q9789" s="18">
        <v>8183.2</v>
      </c>
      <c r="R9789" s="18">
        <v>6707.54</v>
      </c>
      <c r="S9789" s="18">
        <v>6955.72</v>
      </c>
      <c r="T9789" s="18">
        <v>5701.41</v>
      </c>
      <c r="U9789" s="16"/>
      <c r="V9789" s="16"/>
      <c r="W9789" s="16"/>
      <c r="X9789" s="25"/>
      <c r="Y9789" s="25"/>
      <c r="Z9789" s="21">
        <v>4601004358584</v>
      </c>
    </row>
    <row r="9790" spans="1:26" ht="12" customHeight="1" outlineLevel="4" x14ac:dyDescent="0.2">
      <c r="A9790" s="14" t="s">
        <v>18639</v>
      </c>
      <c r="B9790" s="26" t="s">
        <v>18640</v>
      </c>
      <c r="C9790" s="52"/>
      <c r="D9790" s="55">
        <f t="shared" si="152"/>
        <v>0</v>
      </c>
      <c r="E9790" s="64"/>
      <c r="F9790" s="16" t="s">
        <v>39</v>
      </c>
      <c r="G9790" s="15"/>
      <c r="H9790" s="15"/>
      <c r="I9790" s="15"/>
      <c r="J9790" s="16" t="s">
        <v>100</v>
      </c>
      <c r="K9790" s="15" t="s">
        <v>1408</v>
      </c>
      <c r="L9790" s="17">
        <v>1</v>
      </c>
      <c r="M9790" s="17">
        <v>7</v>
      </c>
      <c r="N9790" s="17">
        <v>1</v>
      </c>
      <c r="O9790" s="18">
        <v>11342</v>
      </c>
      <c r="P9790" s="18">
        <v>9296.7199999999993</v>
      </c>
      <c r="Q9790" s="18">
        <v>9073.6</v>
      </c>
      <c r="R9790" s="18">
        <v>7437.38</v>
      </c>
      <c r="S9790" s="18">
        <v>7712.56</v>
      </c>
      <c r="T9790" s="18">
        <v>6321.77</v>
      </c>
      <c r="U9790" s="16"/>
      <c r="V9790" s="16"/>
      <c r="W9790" s="16"/>
      <c r="X9790" s="25"/>
      <c r="Y9790" s="25"/>
      <c r="Z9790" s="21">
        <v>4601004358614</v>
      </c>
    </row>
    <row r="9791" spans="1:26" ht="12.95" customHeight="1" outlineLevel="2" x14ac:dyDescent="0.2">
      <c r="A9791" s="76" t="s">
        <v>18641</v>
      </c>
      <c r="B9791" s="76"/>
      <c r="C9791" s="77"/>
      <c r="D9791" s="58"/>
      <c r="E9791" s="68"/>
      <c r="F9791" s="13"/>
      <c r="G9791" s="13"/>
      <c r="H9791" s="13"/>
      <c r="I9791" s="13"/>
      <c r="J9791" s="13"/>
      <c r="K9791" s="13"/>
      <c r="L9791" s="13"/>
      <c r="M9791" s="13"/>
      <c r="N9791" s="13"/>
      <c r="O9791" s="13"/>
      <c r="P9791" s="13"/>
      <c r="Q9791" s="13"/>
      <c r="R9791" s="13"/>
      <c r="S9791" s="13"/>
      <c r="T9791" s="13"/>
      <c r="U9791" s="13"/>
      <c r="V9791" s="13"/>
      <c r="W9791" s="13"/>
      <c r="X9791" s="13"/>
      <c r="Y9791" s="13"/>
      <c r="Z9791" s="13"/>
    </row>
    <row r="9792" spans="1:26" ht="12.95" customHeight="1" outlineLevel="3" x14ac:dyDescent="0.2">
      <c r="A9792" s="76" t="s">
        <v>18642</v>
      </c>
      <c r="B9792" s="76"/>
      <c r="C9792" s="77"/>
      <c r="D9792" s="58"/>
      <c r="E9792" s="68"/>
      <c r="F9792" s="13"/>
      <c r="G9792" s="13"/>
      <c r="H9792" s="13"/>
      <c r="I9792" s="13"/>
      <c r="J9792" s="13"/>
      <c r="K9792" s="13"/>
      <c r="L9792" s="13"/>
      <c r="M9792" s="13"/>
      <c r="N9792" s="13"/>
      <c r="O9792" s="13"/>
      <c r="P9792" s="13"/>
      <c r="Q9792" s="13"/>
      <c r="R9792" s="13"/>
      <c r="S9792" s="13"/>
      <c r="T9792" s="13"/>
      <c r="U9792" s="13"/>
      <c r="V9792" s="13"/>
      <c r="W9792" s="13"/>
      <c r="X9792" s="13"/>
      <c r="Y9792" s="13"/>
      <c r="Z9792" s="13"/>
    </row>
    <row r="9793" spans="1:26" ht="12" customHeight="1" outlineLevel="4" x14ac:dyDescent="0.2">
      <c r="A9793" s="14" t="s">
        <v>18643</v>
      </c>
      <c r="B9793" s="26" t="s">
        <v>18644</v>
      </c>
      <c r="C9793" s="52"/>
      <c r="D9793" s="55">
        <f t="shared" si="152"/>
        <v>0</v>
      </c>
      <c r="E9793" s="63" t="str">
        <f>HYPERLINK("https://www.sds-group.ru/product/teplyy-pol-kabelnaya-sektsiya-slim-rnb-15-270-270vt-15m-1-2-1-8m-dvuhzhilnyy-rexant-51-0501-3/", "Инфо")</f>
        <v>Инфо</v>
      </c>
      <c r="F9793" s="16" t="s">
        <v>39</v>
      </c>
      <c r="G9793" s="15"/>
      <c r="H9793" s="15"/>
      <c r="I9793" s="15"/>
      <c r="J9793" s="17">
        <v>143</v>
      </c>
      <c r="K9793" s="15"/>
      <c r="L9793" s="17">
        <v>1</v>
      </c>
      <c r="M9793" s="17">
        <v>5</v>
      </c>
      <c r="N9793" s="17">
        <v>1</v>
      </c>
      <c r="O9793" s="18">
        <v>4403.51</v>
      </c>
      <c r="P9793" s="18">
        <v>3609.43</v>
      </c>
      <c r="Q9793" s="18">
        <v>3742.98</v>
      </c>
      <c r="R9793" s="18">
        <v>3068.02</v>
      </c>
      <c r="S9793" s="18">
        <v>2994.39</v>
      </c>
      <c r="T9793" s="18">
        <v>2454.42</v>
      </c>
      <c r="U9793" s="16"/>
      <c r="V9793" s="16"/>
      <c r="W9793" s="16" t="s">
        <v>40</v>
      </c>
      <c r="X9793" s="19">
        <v>1.0189999999999999</v>
      </c>
      <c r="Y9793" s="20">
        <v>1.2710000000000001E-2</v>
      </c>
      <c r="Z9793" s="21">
        <v>4601004057494</v>
      </c>
    </row>
    <row r="9794" spans="1:26" ht="12" customHeight="1" outlineLevel="4" x14ac:dyDescent="0.2">
      <c r="A9794" s="14" t="s">
        <v>18645</v>
      </c>
      <c r="B9794" s="26" t="s">
        <v>18646</v>
      </c>
      <c r="C9794" s="52"/>
      <c r="D9794" s="55">
        <f t="shared" si="152"/>
        <v>0</v>
      </c>
      <c r="E9794" s="63" t="str">
        <f>HYPERLINK("https://www.sds-group.ru/product/teplyy-pol-kabelnaya-sektsiya-slim-rnb-21-370-370vt-21m-1-8-2-5m-dvuhzhilnyy-rexant-51-0502-3/", "Инфо")</f>
        <v>Инфо</v>
      </c>
      <c r="F9794" s="16" t="s">
        <v>39</v>
      </c>
      <c r="G9794" s="15"/>
      <c r="H9794" s="15"/>
      <c r="I9794" s="15"/>
      <c r="J9794" s="17">
        <v>65</v>
      </c>
      <c r="K9794" s="15"/>
      <c r="L9794" s="17">
        <v>1</v>
      </c>
      <c r="M9794" s="17">
        <v>5</v>
      </c>
      <c r="N9794" s="17">
        <v>1</v>
      </c>
      <c r="O9794" s="18">
        <v>5307.02</v>
      </c>
      <c r="P9794" s="18">
        <v>4350.0200000000004</v>
      </c>
      <c r="Q9794" s="18">
        <v>4510.97</v>
      </c>
      <c r="R9794" s="18">
        <v>3697.52</v>
      </c>
      <c r="S9794" s="18">
        <v>3608.77</v>
      </c>
      <c r="T9794" s="18">
        <v>2958.01</v>
      </c>
      <c r="U9794" s="16"/>
      <c r="V9794" s="16"/>
      <c r="W9794" s="16" t="s">
        <v>40</v>
      </c>
      <c r="X9794" s="19">
        <v>1.236</v>
      </c>
      <c r="Y9794" s="20">
        <v>1.2626E-2</v>
      </c>
      <c r="Z9794" s="21">
        <v>4601004057500</v>
      </c>
    </row>
    <row r="9795" spans="1:26" ht="12" customHeight="1" outlineLevel="4" x14ac:dyDescent="0.2">
      <c r="A9795" s="14" t="s">
        <v>18647</v>
      </c>
      <c r="B9795" s="26" t="s">
        <v>18648</v>
      </c>
      <c r="C9795" s="52"/>
      <c r="D9795" s="55">
        <f t="shared" si="152"/>
        <v>0</v>
      </c>
      <c r="E9795" s="63" t="str">
        <f>HYPERLINK("https://www.sds-group.ru/product/teplyy-pol-kabelnaya-sektsiya-slim-rnb-30-550-550vt-30m-2-5-3-6m-dvuhzhilnyy-rexant-51-0503-3/", "Инфо")</f>
        <v>Инфо</v>
      </c>
      <c r="F9795" s="16" t="s">
        <v>39</v>
      </c>
      <c r="G9795" s="15"/>
      <c r="H9795" s="15"/>
      <c r="I9795" s="15"/>
      <c r="J9795" s="17">
        <v>192</v>
      </c>
      <c r="K9795" s="15"/>
      <c r="L9795" s="17">
        <v>1</v>
      </c>
      <c r="M9795" s="17">
        <v>5</v>
      </c>
      <c r="N9795" s="17">
        <v>1</v>
      </c>
      <c r="O9795" s="18">
        <v>7274.11</v>
      </c>
      <c r="P9795" s="18">
        <v>5962.39</v>
      </c>
      <c r="Q9795" s="18">
        <v>6182.99</v>
      </c>
      <c r="R9795" s="18">
        <v>5068.0200000000004</v>
      </c>
      <c r="S9795" s="18">
        <v>4946.3900000000003</v>
      </c>
      <c r="T9795" s="18">
        <v>4054.42</v>
      </c>
      <c r="U9795" s="16"/>
      <c r="V9795" s="16"/>
      <c r="W9795" s="16" t="s">
        <v>40</v>
      </c>
      <c r="X9795" s="19">
        <v>1.4810000000000001</v>
      </c>
      <c r="Y9795" s="20">
        <v>1.2628E-2</v>
      </c>
      <c r="Z9795" s="21">
        <v>4601004057517</v>
      </c>
    </row>
    <row r="9796" spans="1:26" ht="12" customHeight="1" outlineLevel="4" x14ac:dyDescent="0.2">
      <c r="A9796" s="14" t="s">
        <v>18649</v>
      </c>
      <c r="B9796" s="26" t="s">
        <v>18650</v>
      </c>
      <c r="C9796" s="52"/>
      <c r="D9796" s="55">
        <f t="shared" si="152"/>
        <v>0</v>
      </c>
      <c r="E9796" s="63" t="str">
        <f>HYPERLINK("https://www.sds-group.ru/product/teplyy-pol-kabelnaya-sektsiya-slim-rnb-39-700-700vt-39m-3-6-4-5m-dvuhzhilnyy-rexant-51-0504-3/", "Инфо")</f>
        <v>Инфо</v>
      </c>
      <c r="F9796" s="16" t="s">
        <v>39</v>
      </c>
      <c r="G9796" s="15"/>
      <c r="H9796" s="15"/>
      <c r="I9796" s="15"/>
      <c r="J9796" s="17">
        <v>13</v>
      </c>
      <c r="K9796" s="15" t="s">
        <v>9986</v>
      </c>
      <c r="L9796" s="17">
        <v>1</v>
      </c>
      <c r="M9796" s="17">
        <v>5</v>
      </c>
      <c r="N9796" s="17">
        <v>1</v>
      </c>
      <c r="O9796" s="18">
        <v>9264.19</v>
      </c>
      <c r="P9796" s="18">
        <v>7593.6</v>
      </c>
      <c r="Q9796" s="18">
        <v>7874.56</v>
      </c>
      <c r="R9796" s="18">
        <v>6454.56</v>
      </c>
      <c r="S9796" s="18">
        <v>6299.65</v>
      </c>
      <c r="T9796" s="18">
        <v>5163.6499999999996</v>
      </c>
      <c r="U9796" s="16"/>
      <c r="V9796" s="16"/>
      <c r="W9796" s="16" t="s">
        <v>40</v>
      </c>
      <c r="X9796" s="19">
        <v>1.49</v>
      </c>
      <c r="Y9796" s="20">
        <v>1.2935E-2</v>
      </c>
      <c r="Z9796" s="21">
        <v>4601004057524</v>
      </c>
    </row>
    <row r="9797" spans="1:26" ht="12" customHeight="1" outlineLevel="4" x14ac:dyDescent="0.2">
      <c r="A9797" s="14" t="s">
        <v>18651</v>
      </c>
      <c r="B9797" s="26" t="s">
        <v>18652</v>
      </c>
      <c r="C9797" s="52"/>
      <c r="D9797" s="55">
        <f t="shared" si="152"/>
        <v>0</v>
      </c>
      <c r="E9797" s="63" t="str">
        <f>HYPERLINK("https://www.sds-group.ru/product/teplyy-pol-kabelnaya-sektsiya-slim-rnb-55-1000-1000vt-55m-4-5-6-5m-dvuhzhilnyy-rexant-51-0505-3/", "Инфо")</f>
        <v>Инфо</v>
      </c>
      <c r="F9797" s="16" t="s">
        <v>39</v>
      </c>
      <c r="G9797" s="15"/>
      <c r="H9797" s="15"/>
      <c r="I9797" s="15"/>
      <c r="J9797" s="17">
        <v>26</v>
      </c>
      <c r="K9797" s="15" t="s">
        <v>6556</v>
      </c>
      <c r="L9797" s="17">
        <v>1</v>
      </c>
      <c r="M9797" s="17">
        <v>5</v>
      </c>
      <c r="N9797" s="17">
        <v>1</v>
      </c>
      <c r="O9797" s="18">
        <v>12535.1</v>
      </c>
      <c r="P9797" s="18">
        <v>10274.67</v>
      </c>
      <c r="Q9797" s="18">
        <v>10654.84</v>
      </c>
      <c r="R9797" s="18">
        <v>8733.48</v>
      </c>
      <c r="S9797" s="18">
        <v>8523.8700000000008</v>
      </c>
      <c r="T9797" s="18">
        <v>6986.78</v>
      </c>
      <c r="U9797" s="16"/>
      <c r="V9797" s="16"/>
      <c r="W9797" s="16" t="s">
        <v>40</v>
      </c>
      <c r="X9797" s="19">
        <v>2.0510000000000002</v>
      </c>
      <c r="Y9797" s="20">
        <v>1.2846E-2</v>
      </c>
      <c r="Z9797" s="21">
        <v>4601004057531</v>
      </c>
    </row>
    <row r="9798" spans="1:26" ht="12" customHeight="1" outlineLevel="4" x14ac:dyDescent="0.2">
      <c r="A9798" s="14" t="s">
        <v>18653</v>
      </c>
      <c r="B9798" s="26" t="s">
        <v>18654</v>
      </c>
      <c r="C9798" s="52"/>
      <c r="D9798" s="55">
        <f t="shared" si="152"/>
        <v>0</v>
      </c>
      <c r="E9798" s="63" t="str">
        <f>HYPERLINK("https://www.sds-group.ru/product/teplyy-pol-kabelnaya-sektsiya-slim-rnb-70-1250-1250vt-70m-6-5-8-5m-dvuhzhilnyy-rexant-51-0506-3/", "Инфо")</f>
        <v>Инфо</v>
      </c>
      <c r="F9798" s="16" t="s">
        <v>39</v>
      </c>
      <c r="G9798" s="15"/>
      <c r="H9798" s="15"/>
      <c r="I9798" s="15"/>
      <c r="J9798" s="17">
        <v>24</v>
      </c>
      <c r="K9798" s="15"/>
      <c r="L9798" s="17">
        <v>1</v>
      </c>
      <c r="M9798" s="17">
        <v>5</v>
      </c>
      <c r="N9798" s="17">
        <v>1</v>
      </c>
      <c r="O9798" s="18">
        <v>15245.68</v>
      </c>
      <c r="P9798" s="18">
        <v>12496.46</v>
      </c>
      <c r="Q9798" s="18">
        <v>12958.83</v>
      </c>
      <c r="R9798" s="18">
        <v>10621.99</v>
      </c>
      <c r="S9798" s="18">
        <v>10367.06</v>
      </c>
      <c r="T9798" s="18">
        <v>8497.59</v>
      </c>
      <c r="U9798" s="16"/>
      <c r="V9798" s="16"/>
      <c r="W9798" s="16" t="s">
        <v>40</v>
      </c>
      <c r="X9798" s="19">
        <v>2.492</v>
      </c>
      <c r="Y9798" s="20">
        <v>1.269E-2</v>
      </c>
      <c r="Z9798" s="21">
        <v>4601004057548</v>
      </c>
    </row>
    <row r="9799" spans="1:26" ht="12" customHeight="1" outlineLevel="4" x14ac:dyDescent="0.2">
      <c r="A9799" s="14" t="s">
        <v>18655</v>
      </c>
      <c r="B9799" s="26" t="s">
        <v>18656</v>
      </c>
      <c r="C9799" s="52"/>
      <c r="D9799" s="55">
        <f t="shared" si="152"/>
        <v>0</v>
      </c>
      <c r="E9799" s="63" t="str">
        <f>HYPERLINK("https://www.sds-group.ru/product/teplyy-pol-kabelnaya-sektsiya-slim-rnb-105-1900-1900vt-105m-8-5-12-5m-dvuhzhilnyy-rexant-51-0507-3/", "Инфо")</f>
        <v>Инфо</v>
      </c>
      <c r="F9799" s="16" t="s">
        <v>39</v>
      </c>
      <c r="G9799" s="15"/>
      <c r="H9799" s="15"/>
      <c r="I9799" s="15"/>
      <c r="J9799" s="17">
        <v>11</v>
      </c>
      <c r="K9799" s="15"/>
      <c r="L9799" s="17">
        <v>1</v>
      </c>
      <c r="M9799" s="17">
        <v>5</v>
      </c>
      <c r="N9799" s="17">
        <v>1</v>
      </c>
      <c r="O9799" s="18">
        <v>22473.7</v>
      </c>
      <c r="P9799" s="18">
        <v>18421.07</v>
      </c>
      <c r="Q9799" s="18">
        <v>19102.650000000001</v>
      </c>
      <c r="R9799" s="18">
        <v>15657.91</v>
      </c>
      <c r="S9799" s="18">
        <v>15282.12</v>
      </c>
      <c r="T9799" s="18">
        <v>12526.33</v>
      </c>
      <c r="U9799" s="16"/>
      <c r="V9799" s="16"/>
      <c r="W9799" s="16" t="s">
        <v>40</v>
      </c>
      <c r="X9799" s="19">
        <v>3.4420000000000002</v>
      </c>
      <c r="Y9799" s="20">
        <v>1.268E-2</v>
      </c>
      <c r="Z9799" s="21">
        <v>4601004057555</v>
      </c>
    </row>
    <row r="9800" spans="1:26" ht="12" customHeight="1" outlineLevel="4" x14ac:dyDescent="0.2">
      <c r="A9800" s="14" t="s">
        <v>18657</v>
      </c>
      <c r="B9800" s="26" t="s">
        <v>18658</v>
      </c>
      <c r="C9800" s="52"/>
      <c r="D9800" s="55">
        <f t="shared" si="152"/>
        <v>0</v>
      </c>
      <c r="E9800" s="63" t="str">
        <f>HYPERLINK("https://www.sds-group.ru/product/teplyy-pol-kabelnaya-sektsiya-slim-rnb-128-2300-2300vt-128m-12-5-14-5m-dvuhzhilnyy-rexant-51-0508-3/", "Инфо")</f>
        <v>Инфо</v>
      </c>
      <c r="F9800" s="16" t="s">
        <v>39</v>
      </c>
      <c r="G9800" s="15"/>
      <c r="H9800" s="15"/>
      <c r="I9800" s="15"/>
      <c r="J9800" s="17">
        <v>29</v>
      </c>
      <c r="K9800" s="15"/>
      <c r="L9800" s="17">
        <v>1</v>
      </c>
      <c r="M9800" s="17">
        <v>5</v>
      </c>
      <c r="N9800" s="17">
        <v>1</v>
      </c>
      <c r="O9800" s="18">
        <v>29352.86</v>
      </c>
      <c r="P9800" s="18">
        <v>24059.72</v>
      </c>
      <c r="Q9800" s="18">
        <v>24949.93</v>
      </c>
      <c r="R9800" s="18">
        <v>20450.759999999998</v>
      </c>
      <c r="S9800" s="18">
        <v>19959.939999999999</v>
      </c>
      <c r="T9800" s="18">
        <v>16360.61</v>
      </c>
      <c r="U9800" s="16"/>
      <c r="V9800" s="16"/>
      <c r="W9800" s="16" t="s">
        <v>40</v>
      </c>
      <c r="X9800" s="19">
        <v>4.5140000000000002</v>
      </c>
      <c r="Y9800" s="20">
        <v>1.2814000000000001E-2</v>
      </c>
      <c r="Z9800" s="21">
        <v>4601004057562</v>
      </c>
    </row>
    <row r="9801" spans="1:26" ht="12" customHeight="1" outlineLevel="4" x14ac:dyDescent="0.2">
      <c r="A9801" s="14" t="s">
        <v>18659</v>
      </c>
      <c r="B9801" s="26" t="s">
        <v>18660</v>
      </c>
      <c r="C9801" s="52"/>
      <c r="D9801" s="55">
        <f t="shared" ref="D9801:D9864" si="153">C9801*(O9801-O9801*$G$3)</f>
        <v>0</v>
      </c>
      <c r="E9801" s="63" t="str">
        <f>HYPERLINK("https://www.sds-group.ru/product/teplyy-pol-kabelnaya-sektsiya-slim-rnb-145-2600-2600vt-145m-14-5-16-5m-dvuhzhilnyy-rexant-51-0509-3/", "Инфо")</f>
        <v>Инфо</v>
      </c>
      <c r="F9801" s="16" t="s">
        <v>39</v>
      </c>
      <c r="G9801" s="15"/>
      <c r="H9801" s="15"/>
      <c r="I9801" s="15"/>
      <c r="J9801" s="17">
        <v>6</v>
      </c>
      <c r="K9801" s="15" t="s">
        <v>9986</v>
      </c>
      <c r="L9801" s="17">
        <v>1</v>
      </c>
      <c r="M9801" s="17">
        <v>5</v>
      </c>
      <c r="N9801" s="17">
        <v>1</v>
      </c>
      <c r="O9801" s="18">
        <v>32939.33</v>
      </c>
      <c r="P9801" s="18">
        <v>26999.45</v>
      </c>
      <c r="Q9801" s="18">
        <v>27998.43</v>
      </c>
      <c r="R9801" s="18">
        <v>22949.53</v>
      </c>
      <c r="S9801" s="18">
        <v>22398.74</v>
      </c>
      <c r="T9801" s="18">
        <v>18359.62</v>
      </c>
      <c r="U9801" s="16"/>
      <c r="V9801" s="16"/>
      <c r="W9801" s="16" t="s">
        <v>40</v>
      </c>
      <c r="X9801" s="19">
        <v>5.6879999999999997</v>
      </c>
      <c r="Y9801" s="20">
        <v>1.2708000000000001E-2</v>
      </c>
      <c r="Z9801" s="21">
        <v>4601004057579</v>
      </c>
    </row>
    <row r="9802" spans="1:26" ht="12.95" customHeight="1" outlineLevel="3" x14ac:dyDescent="0.2">
      <c r="A9802" s="76" t="s">
        <v>18661</v>
      </c>
      <c r="B9802" s="76"/>
      <c r="C9802" s="77"/>
      <c r="D9802" s="58"/>
      <c r="E9802" s="68"/>
      <c r="F9802" s="13"/>
      <c r="G9802" s="13"/>
      <c r="H9802" s="13"/>
      <c r="I9802" s="13"/>
      <c r="J9802" s="13"/>
      <c r="K9802" s="13"/>
      <c r="L9802" s="13"/>
      <c r="M9802" s="13"/>
      <c r="N9802" s="13"/>
      <c r="O9802" s="13"/>
      <c r="P9802" s="13"/>
      <c r="Q9802" s="13"/>
      <c r="R9802" s="13"/>
      <c r="S9802" s="13"/>
      <c r="T9802" s="13"/>
      <c r="U9802" s="13"/>
      <c r="V9802" s="13"/>
      <c r="W9802" s="13"/>
      <c r="X9802" s="13"/>
      <c r="Y9802" s="13"/>
      <c r="Z9802" s="13"/>
    </row>
    <row r="9803" spans="1:26" ht="12" customHeight="1" outlineLevel="4" x14ac:dyDescent="0.2">
      <c r="A9803" s="14" t="s">
        <v>18662</v>
      </c>
      <c r="B9803" s="26" t="s">
        <v>18663</v>
      </c>
      <c r="C9803" s="52"/>
      <c r="D9803" s="55">
        <f t="shared" si="153"/>
        <v>0</v>
      </c>
      <c r="E9803" s="63" t="str">
        <f>HYPERLINK("https://www.sds-group.ru/product/teplyy-pol-kabelnaya-sektsiya-standard-rnd-10-150-150vt-10m-0-9-1-2m-dvuhzhilnyy-rexant-51-0512-3/", "Инфо")</f>
        <v>Инфо</v>
      </c>
      <c r="F9803" s="16" t="s">
        <v>39</v>
      </c>
      <c r="G9803" s="15"/>
      <c r="H9803" s="15"/>
      <c r="I9803" s="15"/>
      <c r="J9803" s="17">
        <v>95</v>
      </c>
      <c r="K9803" s="15" t="s">
        <v>1381</v>
      </c>
      <c r="L9803" s="17">
        <v>1</v>
      </c>
      <c r="M9803" s="17">
        <v>5</v>
      </c>
      <c r="N9803" s="17">
        <v>1</v>
      </c>
      <c r="O9803" s="18">
        <v>3465.18</v>
      </c>
      <c r="P9803" s="18">
        <v>2840.31</v>
      </c>
      <c r="Q9803" s="18">
        <v>2945.4</v>
      </c>
      <c r="R9803" s="18">
        <v>2414.2600000000002</v>
      </c>
      <c r="S9803" s="18">
        <v>2356.3200000000002</v>
      </c>
      <c r="T9803" s="18">
        <v>1931.41</v>
      </c>
      <c r="U9803" s="16"/>
      <c r="V9803" s="16"/>
      <c r="W9803" s="16" t="s">
        <v>40</v>
      </c>
      <c r="X9803" s="19">
        <v>1.276</v>
      </c>
      <c r="Y9803" s="20">
        <v>1.2888E-2</v>
      </c>
      <c r="Z9803" s="21">
        <v>4601004057357</v>
      </c>
    </row>
    <row r="9804" spans="1:26" ht="12" customHeight="1" outlineLevel="4" x14ac:dyDescent="0.2">
      <c r="A9804" s="14" t="s">
        <v>18664</v>
      </c>
      <c r="B9804" s="26" t="s">
        <v>18665</v>
      </c>
      <c r="C9804" s="52"/>
      <c r="D9804" s="55">
        <f t="shared" si="153"/>
        <v>0</v>
      </c>
      <c r="E9804" s="63" t="str">
        <f>HYPERLINK("https://www.sds-group.ru/product/teplyy-pol-kabelnaya-sektsiya-standard-rnd-20-300-300vt-20m-1-3-2-6m-dvuhzhilnyy-rexant-51-0513-3/", "Инфо")</f>
        <v>Инфо</v>
      </c>
      <c r="F9804" s="16" t="s">
        <v>39</v>
      </c>
      <c r="G9804" s="15"/>
      <c r="H9804" s="15"/>
      <c r="I9804" s="15"/>
      <c r="J9804" s="17">
        <v>191</v>
      </c>
      <c r="K9804" s="15" t="s">
        <v>1381</v>
      </c>
      <c r="L9804" s="17">
        <v>1</v>
      </c>
      <c r="M9804" s="17">
        <v>5</v>
      </c>
      <c r="N9804" s="17">
        <v>1</v>
      </c>
      <c r="O9804" s="18">
        <v>4696.72</v>
      </c>
      <c r="P9804" s="18">
        <v>3849.77</v>
      </c>
      <c r="Q9804" s="18">
        <v>3992.21</v>
      </c>
      <c r="R9804" s="18">
        <v>3272.3</v>
      </c>
      <c r="S9804" s="18">
        <v>3193.77</v>
      </c>
      <c r="T9804" s="18">
        <v>2617.84</v>
      </c>
      <c r="U9804" s="16"/>
      <c r="V9804" s="16"/>
      <c r="W9804" s="16" t="s">
        <v>40</v>
      </c>
      <c r="X9804" s="19">
        <v>1.502</v>
      </c>
      <c r="Y9804" s="20">
        <v>1.2722000000000001E-2</v>
      </c>
      <c r="Z9804" s="21">
        <v>4601004057364</v>
      </c>
    </row>
    <row r="9805" spans="1:26" ht="12" customHeight="1" outlineLevel="4" x14ac:dyDescent="0.2">
      <c r="A9805" s="14" t="s">
        <v>18666</v>
      </c>
      <c r="B9805" s="26" t="s">
        <v>18667</v>
      </c>
      <c r="C9805" s="52"/>
      <c r="D9805" s="55">
        <f t="shared" si="153"/>
        <v>0</v>
      </c>
      <c r="E9805" s="63" t="str">
        <f>HYPERLINK("https://www.sds-group.ru/product/teplyy-pol-kabelnaya-sektsiya-standard-rnd-30-450-450vt-30m-2-7-3-8m-dvuhzhilnyy-rexant-51-0514-3/", "Инфо")</f>
        <v>Инфо</v>
      </c>
      <c r="F9805" s="16" t="s">
        <v>39</v>
      </c>
      <c r="G9805" s="15"/>
      <c r="H9805" s="15"/>
      <c r="I9805" s="15"/>
      <c r="J9805" s="17">
        <v>205</v>
      </c>
      <c r="K9805" s="15" t="s">
        <v>1381</v>
      </c>
      <c r="L9805" s="17">
        <v>1</v>
      </c>
      <c r="M9805" s="17">
        <v>5</v>
      </c>
      <c r="N9805" s="17">
        <v>1</v>
      </c>
      <c r="O9805" s="18">
        <v>5783.36</v>
      </c>
      <c r="P9805" s="18">
        <v>4740.46</v>
      </c>
      <c r="Q9805" s="18">
        <v>4915.8599999999997</v>
      </c>
      <c r="R9805" s="18">
        <v>4029.39</v>
      </c>
      <c r="S9805" s="18">
        <v>3932.68</v>
      </c>
      <c r="T9805" s="18">
        <v>3223.51</v>
      </c>
      <c r="U9805" s="16"/>
      <c r="V9805" s="16"/>
      <c r="W9805" s="16" t="s">
        <v>40</v>
      </c>
      <c r="X9805" s="19">
        <v>1.857</v>
      </c>
      <c r="Y9805" s="20">
        <v>1.2451E-2</v>
      </c>
      <c r="Z9805" s="21">
        <v>4601004057371</v>
      </c>
    </row>
    <row r="9806" spans="1:26" ht="12" customHeight="1" outlineLevel="4" x14ac:dyDescent="0.2">
      <c r="A9806" s="14" t="s">
        <v>18668</v>
      </c>
      <c r="B9806" s="26" t="s">
        <v>18669</v>
      </c>
      <c r="C9806" s="52"/>
      <c r="D9806" s="55">
        <f t="shared" si="153"/>
        <v>0</v>
      </c>
      <c r="E9806" s="63" t="str">
        <f>HYPERLINK("https://www.sds-group.ru/product/teplyy-pol-kabelnaya-sektsiya-standard-rnd-40-600-600vt-40m-3-7-5-0m-dvuhzhilnyy-rexant-51-0515-3/", "Инфо")</f>
        <v>Инфо</v>
      </c>
      <c r="F9806" s="16" t="s">
        <v>39</v>
      </c>
      <c r="G9806" s="15"/>
      <c r="H9806" s="15"/>
      <c r="I9806" s="15"/>
      <c r="J9806" s="17">
        <v>18</v>
      </c>
      <c r="K9806" s="15" t="s">
        <v>1381</v>
      </c>
      <c r="L9806" s="17">
        <v>1</v>
      </c>
      <c r="M9806" s="17">
        <v>5</v>
      </c>
      <c r="N9806" s="17">
        <v>1</v>
      </c>
      <c r="O9806" s="18">
        <v>7196</v>
      </c>
      <c r="P9806" s="18">
        <v>5898.36</v>
      </c>
      <c r="Q9806" s="18">
        <v>6116.6</v>
      </c>
      <c r="R9806" s="18">
        <v>5013.6099999999997</v>
      </c>
      <c r="S9806" s="18">
        <v>4893.28</v>
      </c>
      <c r="T9806" s="18">
        <v>4010.89</v>
      </c>
      <c r="U9806" s="16"/>
      <c r="V9806" s="16"/>
      <c r="W9806" s="16" t="s">
        <v>40</v>
      </c>
      <c r="X9806" s="19">
        <v>2.427</v>
      </c>
      <c r="Y9806" s="20">
        <v>1.2619E-2</v>
      </c>
      <c r="Z9806" s="21">
        <v>4601004057388</v>
      </c>
    </row>
    <row r="9807" spans="1:26" ht="12" customHeight="1" outlineLevel="4" x14ac:dyDescent="0.2">
      <c r="A9807" s="14" t="s">
        <v>18670</v>
      </c>
      <c r="B9807" s="26" t="s">
        <v>18671</v>
      </c>
      <c r="C9807" s="52"/>
      <c r="D9807" s="55">
        <f t="shared" si="153"/>
        <v>0</v>
      </c>
      <c r="E9807" s="63" t="str">
        <f>HYPERLINK("https://www.sds-group.ru/product/teplyy-pol-kabelnaya-sektsiya-standard-rnd-50-750-750vt-50m-4-7-6-3m-dvuhzhilnyy-rexant-51-0516-3/", "Инфо")</f>
        <v>Инфо</v>
      </c>
      <c r="F9807" s="16" t="s">
        <v>39</v>
      </c>
      <c r="G9807" s="15"/>
      <c r="H9807" s="15"/>
      <c r="I9807" s="15"/>
      <c r="J9807" s="17">
        <v>170</v>
      </c>
      <c r="K9807" s="15"/>
      <c r="L9807" s="17">
        <v>1</v>
      </c>
      <c r="M9807" s="17">
        <v>5</v>
      </c>
      <c r="N9807" s="17">
        <v>1</v>
      </c>
      <c r="O9807" s="18">
        <v>8717.2999999999993</v>
      </c>
      <c r="P9807" s="18">
        <v>7145.33</v>
      </c>
      <c r="Q9807" s="18">
        <v>7409.71</v>
      </c>
      <c r="R9807" s="18">
        <v>6073.53</v>
      </c>
      <c r="S9807" s="18">
        <v>5927.76</v>
      </c>
      <c r="T9807" s="18">
        <v>4858.82</v>
      </c>
      <c r="U9807" s="16"/>
      <c r="V9807" s="16"/>
      <c r="W9807" s="16" t="s">
        <v>40</v>
      </c>
      <c r="X9807" s="19">
        <v>2.5499999999999998</v>
      </c>
      <c r="Y9807" s="20">
        <v>1.2840000000000001E-2</v>
      </c>
      <c r="Z9807" s="21">
        <v>4601004057395</v>
      </c>
    </row>
    <row r="9808" spans="1:26" ht="12" customHeight="1" outlineLevel="4" x14ac:dyDescent="0.2">
      <c r="A9808" s="14" t="s">
        <v>18672</v>
      </c>
      <c r="B9808" s="26" t="s">
        <v>18673</v>
      </c>
      <c r="C9808" s="52"/>
      <c r="D9808" s="55">
        <f t="shared" si="153"/>
        <v>0</v>
      </c>
      <c r="E9808" s="63" t="str">
        <f>HYPERLINK("https://www.sds-group.ru/product/teplyy-pol-kabelnaya-sektsiya-standard-rnd-60-900-900vt-60m-5-6-7-5m-dvuhzhilnyy-rexant-51-0517-3/", "Инфо")</f>
        <v>Инфо</v>
      </c>
      <c r="F9808" s="16" t="s">
        <v>39</v>
      </c>
      <c r="G9808" s="15"/>
      <c r="H9808" s="15"/>
      <c r="I9808" s="15"/>
      <c r="J9808" s="17">
        <v>115</v>
      </c>
      <c r="K9808" s="15" t="s">
        <v>1381</v>
      </c>
      <c r="L9808" s="17">
        <v>1</v>
      </c>
      <c r="M9808" s="17">
        <v>5</v>
      </c>
      <c r="N9808" s="17">
        <v>1</v>
      </c>
      <c r="O9808" s="18">
        <v>10516.3</v>
      </c>
      <c r="P9808" s="18">
        <v>8619.92</v>
      </c>
      <c r="Q9808" s="18">
        <v>8938.86</v>
      </c>
      <c r="R9808" s="18">
        <v>7326.93</v>
      </c>
      <c r="S9808" s="18">
        <v>7151.08</v>
      </c>
      <c r="T9808" s="18">
        <v>5861.54</v>
      </c>
      <c r="U9808" s="16"/>
      <c r="V9808" s="16"/>
      <c r="W9808" s="16" t="s">
        <v>40</v>
      </c>
      <c r="X9808" s="19">
        <v>2.9740000000000002</v>
      </c>
      <c r="Y9808" s="20">
        <v>1.2579999999999999E-2</v>
      </c>
      <c r="Z9808" s="21">
        <v>4601004057401</v>
      </c>
    </row>
    <row r="9809" spans="1:26" ht="12" customHeight="1" outlineLevel="4" x14ac:dyDescent="0.2">
      <c r="A9809" s="14" t="s">
        <v>18674</v>
      </c>
      <c r="B9809" s="26" t="s">
        <v>18675</v>
      </c>
      <c r="C9809" s="52"/>
      <c r="D9809" s="55">
        <f t="shared" si="153"/>
        <v>0</v>
      </c>
      <c r="E9809" s="63" t="str">
        <f>HYPERLINK("https://www.sds-group.ru/product/teplyy-pol-kabelnaya-sektsiya-standard-rnd-80-1200-1200vt-80m-7-5-10-0m-dvuhzhilnyy-rexant-51-0518-3/", "Инфо")</f>
        <v>Инфо</v>
      </c>
      <c r="F9809" s="16" t="s">
        <v>39</v>
      </c>
      <c r="G9809" s="15"/>
      <c r="H9809" s="15"/>
      <c r="I9809" s="15"/>
      <c r="J9809" s="17">
        <v>64</v>
      </c>
      <c r="K9809" s="15" t="s">
        <v>1381</v>
      </c>
      <c r="L9809" s="17">
        <v>1</v>
      </c>
      <c r="M9809" s="17">
        <v>5</v>
      </c>
      <c r="N9809" s="17">
        <v>1</v>
      </c>
      <c r="O9809" s="18">
        <v>14090.16</v>
      </c>
      <c r="P9809" s="18">
        <v>11549.31</v>
      </c>
      <c r="Q9809" s="18">
        <v>11976.64</v>
      </c>
      <c r="R9809" s="18">
        <v>9816.92</v>
      </c>
      <c r="S9809" s="18">
        <v>9581.31</v>
      </c>
      <c r="T9809" s="18">
        <v>7853.53</v>
      </c>
      <c r="U9809" s="16"/>
      <c r="V9809" s="16"/>
      <c r="W9809" s="16" t="s">
        <v>40</v>
      </c>
      <c r="X9809" s="19">
        <v>4.3209999999999997</v>
      </c>
      <c r="Y9809" s="20">
        <v>1.289E-2</v>
      </c>
      <c r="Z9809" s="21">
        <v>4601004057418</v>
      </c>
    </row>
    <row r="9810" spans="1:26" ht="12" customHeight="1" outlineLevel="4" x14ac:dyDescent="0.2">
      <c r="A9810" s="14" t="s">
        <v>18676</v>
      </c>
      <c r="B9810" s="26" t="s">
        <v>18677</v>
      </c>
      <c r="C9810" s="52"/>
      <c r="D9810" s="55">
        <f t="shared" si="153"/>
        <v>0</v>
      </c>
      <c r="E9810" s="63" t="str">
        <f>HYPERLINK("https://www.sds-group.ru/product/teplyy-pol-kabelnaya-sektsiya-standard-rnd-100-1500-1500vt-100m-9-4-12-5m-dvuhzhilnyy-rexa-51-0519-3/", "Инфо")</f>
        <v>Инфо</v>
      </c>
      <c r="F9810" s="16" t="s">
        <v>39</v>
      </c>
      <c r="G9810" s="15"/>
      <c r="H9810" s="15"/>
      <c r="I9810" s="15"/>
      <c r="J9810" s="17">
        <v>104</v>
      </c>
      <c r="K9810" s="15"/>
      <c r="L9810" s="17">
        <v>1</v>
      </c>
      <c r="M9810" s="17">
        <v>3</v>
      </c>
      <c r="N9810" s="17">
        <v>1</v>
      </c>
      <c r="O9810" s="18">
        <v>15901.23</v>
      </c>
      <c r="P9810" s="18">
        <v>13033.8</v>
      </c>
      <c r="Q9810" s="18">
        <v>13516.05</v>
      </c>
      <c r="R9810" s="18">
        <v>11078.73</v>
      </c>
      <c r="S9810" s="18">
        <v>10812.84</v>
      </c>
      <c r="T9810" s="18">
        <v>8862.98</v>
      </c>
      <c r="U9810" s="16"/>
      <c r="V9810" s="16"/>
      <c r="W9810" s="16" t="s">
        <v>40</v>
      </c>
      <c r="X9810" s="19">
        <v>5.2880000000000003</v>
      </c>
      <c r="Y9810" s="20">
        <v>1.8450000000000001E-2</v>
      </c>
      <c r="Z9810" s="21">
        <v>4601004057425</v>
      </c>
    </row>
    <row r="9811" spans="1:26" ht="12" customHeight="1" outlineLevel="4" x14ac:dyDescent="0.2">
      <c r="A9811" s="14" t="s">
        <v>18678</v>
      </c>
      <c r="B9811" s="26" t="s">
        <v>18679</v>
      </c>
      <c r="C9811" s="52"/>
      <c r="D9811" s="55">
        <f t="shared" si="153"/>
        <v>0</v>
      </c>
      <c r="E9811" s="63" t="str">
        <f>HYPERLINK("https://www.sds-group.ru/product/teplyy-pol-kabelnaya-sektsiya-standard-rnd-120-1800-1800vt-120m-11-2-15-0m-dvuhzhilnyy-rex-51-0520-3/", "Инфо")</f>
        <v>Инфо</v>
      </c>
      <c r="F9811" s="16" t="s">
        <v>39</v>
      </c>
      <c r="G9811" s="15"/>
      <c r="H9811" s="15"/>
      <c r="I9811" s="15"/>
      <c r="J9811" s="17">
        <v>112</v>
      </c>
      <c r="K9811" s="15"/>
      <c r="L9811" s="17">
        <v>1</v>
      </c>
      <c r="M9811" s="17">
        <v>3</v>
      </c>
      <c r="N9811" s="17">
        <v>1</v>
      </c>
      <c r="O9811" s="18">
        <v>19040.419999999998</v>
      </c>
      <c r="P9811" s="18">
        <v>15606.9</v>
      </c>
      <c r="Q9811" s="18">
        <v>16184.36</v>
      </c>
      <c r="R9811" s="18">
        <v>13265.87</v>
      </c>
      <c r="S9811" s="18">
        <v>12947.49</v>
      </c>
      <c r="T9811" s="18">
        <v>10612.7</v>
      </c>
      <c r="U9811" s="16"/>
      <c r="V9811" s="16"/>
      <c r="W9811" s="16" t="s">
        <v>40</v>
      </c>
      <c r="X9811" s="19">
        <v>6.5670000000000002</v>
      </c>
      <c r="Y9811" s="20">
        <v>2.1388999999999998E-2</v>
      </c>
      <c r="Z9811" s="21">
        <v>4601004057432</v>
      </c>
    </row>
    <row r="9812" spans="1:26" ht="12" customHeight="1" outlineLevel="4" x14ac:dyDescent="0.2">
      <c r="A9812" s="14" t="s">
        <v>18680</v>
      </c>
      <c r="B9812" s="26" t="s">
        <v>18681</v>
      </c>
      <c r="C9812" s="52"/>
      <c r="D9812" s="55">
        <f t="shared" si="153"/>
        <v>0</v>
      </c>
      <c r="E9812" s="63" t="str">
        <f>HYPERLINK("https://www.sds-group.ru/product/teplyy-pol-kabelnaya-sektsiya-standard-rnd-140-2100-2100vt-140m-13-0-17-5m-dvuhzhilnyy-rex-51-0521-3/", "Инфо")</f>
        <v>Инфо</v>
      </c>
      <c r="F9812" s="16" t="s">
        <v>39</v>
      </c>
      <c r="G9812" s="15"/>
      <c r="H9812" s="15"/>
      <c r="I9812" s="15"/>
      <c r="J9812" s="17">
        <v>60</v>
      </c>
      <c r="K9812" s="15"/>
      <c r="L9812" s="17">
        <v>1</v>
      </c>
      <c r="M9812" s="17">
        <v>3</v>
      </c>
      <c r="N9812" s="17">
        <v>1</v>
      </c>
      <c r="O9812" s="18">
        <v>21865.69</v>
      </c>
      <c r="P9812" s="18">
        <v>17922.7</v>
      </c>
      <c r="Q9812" s="18">
        <v>18585.84</v>
      </c>
      <c r="R9812" s="18">
        <v>15234.3</v>
      </c>
      <c r="S9812" s="18">
        <v>14868.67</v>
      </c>
      <c r="T9812" s="18">
        <v>12187.43</v>
      </c>
      <c r="U9812" s="16"/>
      <c r="V9812" s="16"/>
      <c r="W9812" s="16" t="s">
        <v>40</v>
      </c>
      <c r="X9812" s="19">
        <v>6.74</v>
      </c>
      <c r="Y9812" s="20">
        <v>2.1356E-2</v>
      </c>
      <c r="Z9812" s="21">
        <v>4601004057456</v>
      </c>
    </row>
    <row r="9813" spans="1:26" ht="12" customHeight="1" outlineLevel="4" x14ac:dyDescent="0.2">
      <c r="A9813" s="14" t="s">
        <v>18682</v>
      </c>
      <c r="B9813" s="26" t="s">
        <v>18683</v>
      </c>
      <c r="C9813" s="52"/>
      <c r="D9813" s="55">
        <f t="shared" si="153"/>
        <v>0</v>
      </c>
      <c r="E9813" s="63" t="str">
        <f>HYPERLINK("https://www.sds-group.ru/product/teplyy-pol-kabelnaya-sektsiya-standard-rnd-160-2400-2400vt-160m-15-0-20-0m-dvuhzhilnyy-rex-51-0522-3/", "Инфо")</f>
        <v>Инфо</v>
      </c>
      <c r="F9813" s="16" t="s">
        <v>39</v>
      </c>
      <c r="G9813" s="15"/>
      <c r="H9813" s="15"/>
      <c r="I9813" s="15"/>
      <c r="J9813" s="17">
        <v>42</v>
      </c>
      <c r="K9813" s="15"/>
      <c r="L9813" s="17">
        <v>1</v>
      </c>
      <c r="M9813" s="17">
        <v>3</v>
      </c>
      <c r="N9813" s="17">
        <v>1</v>
      </c>
      <c r="O9813" s="18">
        <v>25306.74</v>
      </c>
      <c r="P9813" s="18">
        <v>20743.23</v>
      </c>
      <c r="Q9813" s="18">
        <v>21510.73</v>
      </c>
      <c r="R9813" s="18">
        <v>17631.75</v>
      </c>
      <c r="S9813" s="18">
        <v>17208.580000000002</v>
      </c>
      <c r="T9813" s="18">
        <v>14105.39</v>
      </c>
      <c r="U9813" s="16"/>
      <c r="V9813" s="16"/>
      <c r="W9813" s="16" t="s">
        <v>40</v>
      </c>
      <c r="X9813" s="19">
        <v>8.73</v>
      </c>
      <c r="Y9813" s="20">
        <v>2.0674999999999999E-2</v>
      </c>
      <c r="Z9813" s="21">
        <v>4601004057463</v>
      </c>
    </row>
    <row r="9814" spans="1:26" ht="12" customHeight="1" outlineLevel="4" x14ac:dyDescent="0.2">
      <c r="A9814" s="14" t="s">
        <v>18684</v>
      </c>
      <c r="B9814" s="26" t="s">
        <v>18685</v>
      </c>
      <c r="C9814" s="52"/>
      <c r="D9814" s="55">
        <f t="shared" si="153"/>
        <v>0</v>
      </c>
      <c r="E9814" s="63" t="str">
        <f>HYPERLINK("https://www.sds-group.ru/product/teplyy-pol-kabelnaya-sektsiya-standard-rnd-180-2700-2700vt-180m-17-0-22-5m-dvuhzhilnyy-rex-51-0523-3/", "Инфо")</f>
        <v>Инфо</v>
      </c>
      <c r="F9814" s="16" t="s">
        <v>39</v>
      </c>
      <c r="G9814" s="15"/>
      <c r="H9814" s="15"/>
      <c r="I9814" s="15"/>
      <c r="J9814" s="17">
        <v>24</v>
      </c>
      <c r="K9814" s="15" t="s">
        <v>6556</v>
      </c>
      <c r="L9814" s="17">
        <v>1</v>
      </c>
      <c r="M9814" s="17">
        <v>3</v>
      </c>
      <c r="N9814" s="17">
        <v>1</v>
      </c>
      <c r="O9814" s="18">
        <v>30184.560000000001</v>
      </c>
      <c r="P9814" s="18">
        <v>24741.439999999999</v>
      </c>
      <c r="Q9814" s="18">
        <v>25656.880000000001</v>
      </c>
      <c r="R9814" s="18">
        <v>21030.23</v>
      </c>
      <c r="S9814" s="18">
        <v>20525.5</v>
      </c>
      <c r="T9814" s="18">
        <v>16824.18</v>
      </c>
      <c r="U9814" s="16"/>
      <c r="V9814" s="16"/>
      <c r="W9814" s="16" t="s">
        <v>40</v>
      </c>
      <c r="X9814" s="19">
        <v>10.007</v>
      </c>
      <c r="Y9814" s="20">
        <v>2.2075999999999998E-2</v>
      </c>
      <c r="Z9814" s="21">
        <v>4601004057470</v>
      </c>
    </row>
    <row r="9815" spans="1:26" ht="12.95" customHeight="1" outlineLevel="3" x14ac:dyDescent="0.2">
      <c r="A9815" s="76" t="s">
        <v>18686</v>
      </c>
      <c r="B9815" s="76"/>
      <c r="C9815" s="77"/>
      <c r="D9815" s="58"/>
      <c r="E9815" s="68"/>
      <c r="F9815" s="13"/>
      <c r="G9815" s="13"/>
      <c r="H9815" s="13"/>
      <c r="I9815" s="13"/>
      <c r="J9815" s="13"/>
      <c r="K9815" s="13"/>
      <c r="L9815" s="13"/>
      <c r="M9815" s="13"/>
      <c r="N9815" s="13"/>
      <c r="O9815" s="13"/>
      <c r="P9815" s="13"/>
      <c r="Q9815" s="13"/>
      <c r="R9815" s="13"/>
      <c r="S9815" s="13"/>
      <c r="T9815" s="13"/>
      <c r="U9815" s="13"/>
      <c r="V9815" s="13"/>
      <c r="W9815" s="13"/>
      <c r="X9815" s="13"/>
      <c r="Y9815" s="13"/>
      <c r="Z9815" s="13"/>
    </row>
    <row r="9816" spans="1:26" ht="12" customHeight="1" outlineLevel="4" x14ac:dyDescent="0.2">
      <c r="A9816" s="14" t="s">
        <v>18687</v>
      </c>
      <c r="B9816" s="26" t="s">
        <v>18688</v>
      </c>
      <c r="C9816" s="52"/>
      <c r="D9816" s="55">
        <f t="shared" si="153"/>
        <v>0</v>
      </c>
      <c r="E9816" s="63" t="str">
        <f>HYPERLINK("https://www.sds-group.ru/product/montazhnaya-perforirovannaya-lenta-dlya-teplogo-pola-20h0-55-mm-10-m-rexant-07-7110-4/", "Инфо")</f>
        <v>Инфо</v>
      </c>
      <c r="F9816" s="16" t="s">
        <v>4839</v>
      </c>
      <c r="G9816" s="15"/>
      <c r="H9816" s="15"/>
      <c r="I9816" s="15"/>
      <c r="J9816" s="17">
        <v>188</v>
      </c>
      <c r="K9816" s="15"/>
      <c r="L9816" s="17">
        <v>5</v>
      </c>
      <c r="M9816" s="17">
        <v>1</v>
      </c>
      <c r="N9816" s="17">
        <v>5</v>
      </c>
      <c r="O9816" s="18">
        <v>594.96</v>
      </c>
      <c r="P9816" s="18">
        <v>487.67</v>
      </c>
      <c r="Q9816" s="18">
        <v>475.97</v>
      </c>
      <c r="R9816" s="18">
        <v>390.14</v>
      </c>
      <c r="S9816" s="18">
        <v>404.57</v>
      </c>
      <c r="T9816" s="18">
        <v>331.61</v>
      </c>
      <c r="U9816" s="16"/>
      <c r="V9816" s="16"/>
      <c r="W9816" s="16" t="s">
        <v>40</v>
      </c>
      <c r="X9816" s="19">
        <v>0.53200000000000003</v>
      </c>
      <c r="Y9816" s="20">
        <v>5.6599999999999999E-4</v>
      </c>
      <c r="Z9816" s="21">
        <v>4601004134096</v>
      </c>
    </row>
    <row r="9817" spans="1:26" ht="12" customHeight="1" outlineLevel="4" x14ac:dyDescent="0.2">
      <c r="A9817" s="14" t="s">
        <v>18689</v>
      </c>
      <c r="B9817" s="26" t="s">
        <v>18690</v>
      </c>
      <c r="C9817" s="52"/>
      <c r="D9817" s="55">
        <f t="shared" si="153"/>
        <v>0</v>
      </c>
      <c r="E9817" s="63" t="str">
        <f>HYPERLINK("https://www.sds-group.ru/product/montazhnaya-perforirovannaya-lenta-dlya-teplogo-pola-20h0-55-mm-20-m-rexant-07-7121-4/", "Инфо")</f>
        <v>Инфо</v>
      </c>
      <c r="F9817" s="16" t="s">
        <v>4839</v>
      </c>
      <c r="G9817" s="15"/>
      <c r="H9817" s="15"/>
      <c r="I9817" s="15"/>
      <c r="J9817" s="17">
        <v>373</v>
      </c>
      <c r="K9817" s="15"/>
      <c r="L9817" s="17">
        <v>1</v>
      </c>
      <c r="M9817" s="17">
        <v>1</v>
      </c>
      <c r="N9817" s="17">
        <v>1</v>
      </c>
      <c r="O9817" s="18">
        <v>1191.1600000000001</v>
      </c>
      <c r="P9817" s="18">
        <v>976.36</v>
      </c>
      <c r="Q9817" s="18">
        <v>952.93</v>
      </c>
      <c r="R9817" s="18">
        <v>781.09</v>
      </c>
      <c r="S9817" s="18">
        <v>809.99</v>
      </c>
      <c r="T9817" s="18">
        <v>663.93</v>
      </c>
      <c r="U9817" s="16"/>
      <c r="V9817" s="16"/>
      <c r="W9817" s="16" t="s">
        <v>40</v>
      </c>
      <c r="X9817" s="19">
        <v>0.89300000000000002</v>
      </c>
      <c r="Y9817" s="20">
        <v>7.2000000000000015E-4</v>
      </c>
      <c r="Z9817" s="21">
        <v>4601004134065</v>
      </c>
    </row>
    <row r="9818" spans="1:26" ht="12.95" customHeight="1" outlineLevel="2" x14ac:dyDescent="0.2">
      <c r="A9818" s="76" t="s">
        <v>18691</v>
      </c>
      <c r="B9818" s="76"/>
      <c r="C9818" s="77"/>
      <c r="D9818" s="58"/>
      <c r="E9818" s="68"/>
      <c r="F9818" s="13"/>
      <c r="G9818" s="13"/>
      <c r="H9818" s="13"/>
      <c r="I9818" s="13"/>
      <c r="J9818" s="13"/>
      <c r="K9818" s="13"/>
      <c r="L9818" s="13"/>
      <c r="M9818" s="13"/>
      <c r="N9818" s="13"/>
      <c r="O9818" s="13"/>
      <c r="P9818" s="13"/>
      <c r="Q9818" s="13"/>
      <c r="R9818" s="13"/>
      <c r="S9818" s="13"/>
      <c r="T9818" s="13"/>
      <c r="U9818" s="13"/>
      <c r="V9818" s="13"/>
      <c r="W9818" s="13"/>
      <c r="X9818" s="13"/>
      <c r="Y9818" s="13"/>
      <c r="Z9818" s="13"/>
    </row>
    <row r="9819" spans="1:26" ht="12.95" customHeight="1" outlineLevel="3" x14ac:dyDescent="0.2">
      <c r="A9819" s="76" t="s">
        <v>18692</v>
      </c>
      <c r="B9819" s="76"/>
      <c r="C9819" s="77"/>
      <c r="D9819" s="58"/>
      <c r="E9819" s="68"/>
      <c r="F9819" s="13"/>
      <c r="G9819" s="13"/>
      <c r="H9819" s="13"/>
      <c r="I9819" s="13"/>
      <c r="J9819" s="13"/>
      <c r="K9819" s="13"/>
      <c r="L9819" s="13"/>
      <c r="M9819" s="13"/>
      <c r="N9819" s="13"/>
      <c r="O9819" s="13"/>
      <c r="P9819" s="13"/>
      <c r="Q9819" s="13"/>
      <c r="R9819" s="13"/>
      <c r="S9819" s="13"/>
      <c r="T9819" s="13"/>
      <c r="U9819" s="13"/>
      <c r="V9819" s="13"/>
      <c r="W9819" s="13"/>
      <c r="X9819" s="13"/>
      <c r="Y9819" s="13"/>
      <c r="Z9819" s="13"/>
    </row>
    <row r="9820" spans="1:26" ht="12" customHeight="1" outlineLevel="4" x14ac:dyDescent="0.2">
      <c r="A9820" s="14" t="s">
        <v>18693</v>
      </c>
      <c r="B9820" s="26" t="s">
        <v>18694</v>
      </c>
      <c r="C9820" s="52"/>
      <c r="D9820" s="55">
        <f t="shared" si="153"/>
        <v>0</v>
      </c>
      <c r="E9820" s="63" t="str">
        <f>HYPERLINK("https://www.sds-group.ru/product/plenochnyy-teplyy-pol-optima-150-1m-0-5h2m-150vt-rexant-51-0501-7/", "Инфо")</f>
        <v>Инфо</v>
      </c>
      <c r="F9820" s="16" t="s">
        <v>39</v>
      </c>
      <c r="G9820" s="15"/>
      <c r="H9820" s="15"/>
      <c r="I9820" s="15"/>
      <c r="J9820" s="17">
        <v>52</v>
      </c>
      <c r="K9820" s="15"/>
      <c r="L9820" s="17">
        <v>1</v>
      </c>
      <c r="M9820" s="17">
        <v>1</v>
      </c>
      <c r="N9820" s="17">
        <v>1</v>
      </c>
      <c r="O9820" s="18">
        <v>3074</v>
      </c>
      <c r="P9820" s="18">
        <v>2519.67</v>
      </c>
      <c r="Q9820" s="18">
        <v>2705.12</v>
      </c>
      <c r="R9820" s="18">
        <v>2217.31</v>
      </c>
      <c r="S9820" s="18">
        <v>2090.3200000000002</v>
      </c>
      <c r="T9820" s="18">
        <v>1713.38</v>
      </c>
      <c r="U9820" s="16"/>
      <c r="V9820" s="16"/>
      <c r="W9820" s="16" t="s">
        <v>40</v>
      </c>
      <c r="X9820" s="19">
        <v>1.04</v>
      </c>
      <c r="Y9820" s="20">
        <v>1.669E-2</v>
      </c>
      <c r="Z9820" s="21">
        <v>4601004133020</v>
      </c>
    </row>
    <row r="9821" spans="1:26" ht="12" customHeight="1" outlineLevel="4" x14ac:dyDescent="0.2">
      <c r="A9821" s="14" t="s">
        <v>18695</v>
      </c>
      <c r="B9821" s="26" t="s">
        <v>18696</v>
      </c>
      <c r="C9821" s="52"/>
      <c r="D9821" s="55">
        <f t="shared" si="153"/>
        <v>0</v>
      </c>
      <c r="E9821" s="63" t="str">
        <f>HYPERLINK("https://www.sds-group.ru/product/plenochnyy-teplyy-pol-optima-150-1-5m-0-5h3m-225vt-rexant-51-0502-7/", "Инфо")</f>
        <v>Инфо</v>
      </c>
      <c r="F9821" s="16" t="s">
        <v>39</v>
      </c>
      <c r="G9821" s="15"/>
      <c r="H9821" s="15"/>
      <c r="I9821" s="15"/>
      <c r="J9821" s="17">
        <v>52</v>
      </c>
      <c r="K9821" s="15"/>
      <c r="L9821" s="17">
        <v>1</v>
      </c>
      <c r="M9821" s="17">
        <v>1</v>
      </c>
      <c r="N9821" s="17">
        <v>1</v>
      </c>
      <c r="O9821" s="18">
        <v>3841.44</v>
      </c>
      <c r="P9821" s="18">
        <v>3148.72</v>
      </c>
      <c r="Q9821" s="18">
        <v>3380.47</v>
      </c>
      <c r="R9821" s="18">
        <v>2770.88</v>
      </c>
      <c r="S9821" s="18">
        <v>2612.1799999999998</v>
      </c>
      <c r="T9821" s="18">
        <v>2141.13</v>
      </c>
      <c r="U9821" s="16"/>
      <c r="V9821" s="16"/>
      <c r="W9821" s="16" t="s">
        <v>40</v>
      </c>
      <c r="X9821" s="19">
        <v>1.288</v>
      </c>
      <c r="Y9821" s="20">
        <v>1.6983999999999999E-2</v>
      </c>
      <c r="Z9821" s="21">
        <v>4601004132856</v>
      </c>
    </row>
    <row r="9822" spans="1:26" ht="12" customHeight="1" outlineLevel="4" x14ac:dyDescent="0.2">
      <c r="A9822" s="14" t="s">
        <v>18697</v>
      </c>
      <c r="B9822" s="26" t="s">
        <v>18698</v>
      </c>
      <c r="C9822" s="52"/>
      <c r="D9822" s="55">
        <f t="shared" si="153"/>
        <v>0</v>
      </c>
      <c r="E9822" s="63" t="str">
        <f>HYPERLINK("https://www.sds-group.ru/product/plenochnyy-teplyy-pol-optima-150-2m-0-5h4m-300vt-rexant-51-0503-7/", "Инфо")</f>
        <v>Инфо</v>
      </c>
      <c r="F9822" s="16" t="s">
        <v>39</v>
      </c>
      <c r="G9822" s="15"/>
      <c r="H9822" s="15"/>
      <c r="I9822" s="15"/>
      <c r="J9822" s="17">
        <v>74</v>
      </c>
      <c r="K9822" s="15"/>
      <c r="L9822" s="17">
        <v>1</v>
      </c>
      <c r="M9822" s="17">
        <v>1</v>
      </c>
      <c r="N9822" s="17">
        <v>1</v>
      </c>
      <c r="O9822" s="18">
        <v>4421.26</v>
      </c>
      <c r="P9822" s="18">
        <v>3623.98</v>
      </c>
      <c r="Q9822" s="18">
        <v>3890.71</v>
      </c>
      <c r="R9822" s="18">
        <v>3189.11</v>
      </c>
      <c r="S9822" s="18">
        <v>3006.46</v>
      </c>
      <c r="T9822" s="18">
        <v>2464.31</v>
      </c>
      <c r="U9822" s="16"/>
      <c r="V9822" s="16"/>
      <c r="W9822" s="16" t="s">
        <v>40</v>
      </c>
      <c r="X9822" s="19">
        <v>1.54</v>
      </c>
      <c r="Y9822" s="20">
        <v>1.6993999999999999E-2</v>
      </c>
      <c r="Z9822" s="21">
        <v>4601004132863</v>
      </c>
    </row>
    <row r="9823" spans="1:26" ht="12" customHeight="1" outlineLevel="4" x14ac:dyDescent="0.2">
      <c r="A9823" s="14" t="s">
        <v>18699</v>
      </c>
      <c r="B9823" s="26" t="s">
        <v>18700</v>
      </c>
      <c r="C9823" s="52"/>
      <c r="D9823" s="55">
        <f t="shared" si="153"/>
        <v>0</v>
      </c>
      <c r="E9823" s="63" t="str">
        <f>HYPERLINK("https://www.sds-group.ru/product/plenochnyy-teplyy-pol-optima-150-2-5m-0-5h5m-375vt-rexant-51-0504-7/", "Инфо")</f>
        <v>Инфо</v>
      </c>
      <c r="F9823" s="16" t="s">
        <v>39</v>
      </c>
      <c r="G9823" s="15"/>
      <c r="H9823" s="15"/>
      <c r="I9823" s="15"/>
      <c r="J9823" s="17">
        <v>30</v>
      </c>
      <c r="K9823" s="15"/>
      <c r="L9823" s="17">
        <v>1</v>
      </c>
      <c r="M9823" s="17">
        <v>1</v>
      </c>
      <c r="N9823" s="17">
        <v>1</v>
      </c>
      <c r="O9823" s="18">
        <v>5536.38</v>
      </c>
      <c r="P9823" s="18">
        <v>4538.0200000000004</v>
      </c>
      <c r="Q9823" s="18">
        <v>4872.01</v>
      </c>
      <c r="R9823" s="18">
        <v>3993.45</v>
      </c>
      <c r="S9823" s="18">
        <v>3764.74</v>
      </c>
      <c r="T9823" s="18">
        <v>3085.85</v>
      </c>
      <c r="U9823" s="16"/>
      <c r="V9823" s="16"/>
      <c r="W9823" s="16" t="s">
        <v>40</v>
      </c>
      <c r="X9823" s="19">
        <v>1.7769999999999999</v>
      </c>
      <c r="Y9823" s="20">
        <v>1.6760000000000001E-2</v>
      </c>
      <c r="Z9823" s="21">
        <v>4601004132870</v>
      </c>
    </row>
    <row r="9824" spans="1:26" ht="12" customHeight="1" outlineLevel="4" x14ac:dyDescent="0.2">
      <c r="A9824" s="14" t="s">
        <v>18701</v>
      </c>
      <c r="B9824" s="26" t="s">
        <v>18702</v>
      </c>
      <c r="C9824" s="52"/>
      <c r="D9824" s="55">
        <f t="shared" si="153"/>
        <v>0</v>
      </c>
      <c r="E9824" s="63" t="str">
        <f>HYPERLINK("https://www.sds-group.ru/product/plenochnyy-teplyy-pol-optima-150-3m-0-5h6m-450vt-rexant-51-0505-7/", "Инфо")</f>
        <v>Инфо</v>
      </c>
      <c r="F9824" s="16" t="s">
        <v>39</v>
      </c>
      <c r="G9824" s="15"/>
      <c r="H9824" s="15"/>
      <c r="I9824" s="15"/>
      <c r="J9824" s="16" t="s">
        <v>100</v>
      </c>
      <c r="K9824" s="15"/>
      <c r="L9824" s="17">
        <v>1</v>
      </c>
      <c r="M9824" s="17">
        <v>1</v>
      </c>
      <c r="N9824" s="17">
        <v>1</v>
      </c>
      <c r="O9824" s="18">
        <v>6113.02</v>
      </c>
      <c r="P9824" s="18">
        <v>5010.67</v>
      </c>
      <c r="Q9824" s="18">
        <v>5379.46</v>
      </c>
      <c r="R9824" s="18">
        <v>4409.3900000000003</v>
      </c>
      <c r="S9824" s="18">
        <v>4156.8500000000004</v>
      </c>
      <c r="T9824" s="18">
        <v>3407.25</v>
      </c>
      <c r="U9824" s="16"/>
      <c r="V9824" s="16"/>
      <c r="W9824" s="16" t="s">
        <v>40</v>
      </c>
      <c r="X9824" s="19">
        <v>2.044</v>
      </c>
      <c r="Y9824" s="20">
        <v>1.7003999999999998E-2</v>
      </c>
      <c r="Z9824" s="21">
        <v>4601004132887</v>
      </c>
    </row>
    <row r="9825" spans="1:26" ht="12" customHeight="1" outlineLevel="4" x14ac:dyDescent="0.2">
      <c r="A9825" s="14" t="s">
        <v>18703</v>
      </c>
      <c r="B9825" s="26" t="s">
        <v>18704</v>
      </c>
      <c r="C9825" s="52"/>
      <c r="D9825" s="55">
        <f t="shared" si="153"/>
        <v>0</v>
      </c>
      <c r="E9825" s="63" t="str">
        <f>HYPERLINK("https://www.sds-group.ru/product/plenochnyy-teplyy-pol-optima-150-4m-0-5h8m-600vt-rexant-51-0507-7/", "Инфо")</f>
        <v>Инфо</v>
      </c>
      <c r="F9825" s="16" t="s">
        <v>39</v>
      </c>
      <c r="G9825" s="15"/>
      <c r="H9825" s="15"/>
      <c r="I9825" s="15"/>
      <c r="J9825" s="17">
        <v>165</v>
      </c>
      <c r="K9825" s="15"/>
      <c r="L9825" s="17">
        <v>1</v>
      </c>
      <c r="M9825" s="17">
        <v>1</v>
      </c>
      <c r="N9825" s="17">
        <v>1</v>
      </c>
      <c r="O9825" s="18">
        <v>8074.02</v>
      </c>
      <c r="P9825" s="18">
        <v>6618.05</v>
      </c>
      <c r="Q9825" s="18">
        <v>7105.14</v>
      </c>
      <c r="R9825" s="18">
        <v>5823.89</v>
      </c>
      <c r="S9825" s="18">
        <v>5490.33</v>
      </c>
      <c r="T9825" s="18">
        <v>4500.2700000000004</v>
      </c>
      <c r="U9825" s="16"/>
      <c r="V9825" s="16"/>
      <c r="W9825" s="16" t="s">
        <v>40</v>
      </c>
      <c r="X9825" s="19">
        <v>2.5</v>
      </c>
      <c r="Y9825" s="20">
        <v>1.6892000000000001E-2</v>
      </c>
      <c r="Z9825" s="21">
        <v>4601004132900</v>
      </c>
    </row>
    <row r="9826" spans="1:26" ht="12" customHeight="1" outlineLevel="4" x14ac:dyDescent="0.2">
      <c r="A9826" s="14" t="s">
        <v>18705</v>
      </c>
      <c r="B9826" s="26" t="s">
        <v>18706</v>
      </c>
      <c r="C9826" s="52"/>
      <c r="D9826" s="55">
        <f t="shared" si="153"/>
        <v>0</v>
      </c>
      <c r="E9826" s="63" t="str">
        <f>HYPERLINK("https://www.sds-group.ru/product/plenochnyy-teplyy-pol-optima-150-5m-0-5h10m-750vt-rexant-51-0508-7/", "Инфо")</f>
        <v>Инфо</v>
      </c>
      <c r="F9826" s="16" t="s">
        <v>39</v>
      </c>
      <c r="G9826" s="15"/>
      <c r="H9826" s="15"/>
      <c r="I9826" s="15"/>
      <c r="J9826" s="17">
        <v>57</v>
      </c>
      <c r="K9826" s="15"/>
      <c r="L9826" s="17">
        <v>1</v>
      </c>
      <c r="M9826" s="17">
        <v>1</v>
      </c>
      <c r="N9826" s="17">
        <v>1</v>
      </c>
      <c r="O9826" s="18">
        <v>9458.3799999999992</v>
      </c>
      <c r="P9826" s="18">
        <v>7752.77</v>
      </c>
      <c r="Q9826" s="18">
        <v>8323.3700000000008</v>
      </c>
      <c r="R9826" s="18">
        <v>6822.43</v>
      </c>
      <c r="S9826" s="18">
        <v>6431.7</v>
      </c>
      <c r="T9826" s="18">
        <v>5271.89</v>
      </c>
      <c r="U9826" s="16"/>
      <c r="V9826" s="16"/>
      <c r="W9826" s="16" t="s">
        <v>40</v>
      </c>
      <c r="X9826" s="19">
        <v>2.9540000000000002</v>
      </c>
      <c r="Y9826" s="20">
        <v>1.6816000000000001E-2</v>
      </c>
      <c r="Z9826" s="21">
        <v>4601004132917</v>
      </c>
    </row>
    <row r="9827" spans="1:26" ht="12" customHeight="1" outlineLevel="4" x14ac:dyDescent="0.2">
      <c r="A9827" s="14" t="s">
        <v>18707</v>
      </c>
      <c r="B9827" s="26" t="s">
        <v>18708</v>
      </c>
      <c r="C9827" s="52"/>
      <c r="D9827" s="55">
        <f t="shared" si="153"/>
        <v>0</v>
      </c>
      <c r="E9827" s="63" t="str">
        <f>HYPERLINK("https://www.sds-group.ru/product/plenochnyy-teplyy-pol-optima-150-6-m-0-5h12m-900vt-rexant-51-0509-7/", "Инфо")</f>
        <v>Инфо</v>
      </c>
      <c r="F9827" s="16" t="s">
        <v>39</v>
      </c>
      <c r="G9827" s="15"/>
      <c r="H9827" s="15"/>
      <c r="I9827" s="15"/>
      <c r="J9827" s="17">
        <v>42</v>
      </c>
      <c r="K9827" s="15"/>
      <c r="L9827" s="17">
        <v>1</v>
      </c>
      <c r="M9827" s="17">
        <v>1</v>
      </c>
      <c r="N9827" s="17">
        <v>1</v>
      </c>
      <c r="O9827" s="18">
        <v>10958.28</v>
      </c>
      <c r="P9827" s="18">
        <v>8982.2000000000007</v>
      </c>
      <c r="Q9827" s="18">
        <v>9643.2900000000009</v>
      </c>
      <c r="R9827" s="18">
        <v>7904.34</v>
      </c>
      <c r="S9827" s="18">
        <v>7451.63</v>
      </c>
      <c r="T9827" s="18">
        <v>6107.89</v>
      </c>
      <c r="U9827" s="16"/>
      <c r="V9827" s="16"/>
      <c r="W9827" s="16" t="s">
        <v>40</v>
      </c>
      <c r="X9827" s="19">
        <v>3.5390000000000001</v>
      </c>
      <c r="Y9827" s="20">
        <v>1.6750000000000001E-2</v>
      </c>
      <c r="Z9827" s="21">
        <v>4601004132924</v>
      </c>
    </row>
    <row r="9828" spans="1:26" ht="12" customHeight="1" outlineLevel="4" x14ac:dyDescent="0.2">
      <c r="A9828" s="14" t="s">
        <v>18709</v>
      </c>
      <c r="B9828" s="26" t="s">
        <v>18710</v>
      </c>
      <c r="C9828" s="52"/>
      <c r="D9828" s="55">
        <f t="shared" si="153"/>
        <v>0</v>
      </c>
      <c r="E9828" s="63" t="str">
        <f>HYPERLINK("https://www.sds-group.ru/product/plenochnyy-teplyy-pol-optima-150-7m-0-5h14m-1050vt-rexant-51-0510-7/", "Инфо")</f>
        <v>Инфо</v>
      </c>
      <c r="F9828" s="16" t="s">
        <v>39</v>
      </c>
      <c r="G9828" s="15"/>
      <c r="H9828" s="15"/>
      <c r="I9828" s="15"/>
      <c r="J9828" s="17">
        <v>31</v>
      </c>
      <c r="K9828" s="15"/>
      <c r="L9828" s="17">
        <v>1</v>
      </c>
      <c r="M9828" s="17">
        <v>1</v>
      </c>
      <c r="N9828" s="17">
        <v>1</v>
      </c>
      <c r="O9828" s="18">
        <v>12688.2</v>
      </c>
      <c r="P9828" s="18">
        <v>10400.16</v>
      </c>
      <c r="Q9828" s="18">
        <v>11165.62</v>
      </c>
      <c r="R9828" s="18">
        <v>9152.15</v>
      </c>
      <c r="S9828" s="18">
        <v>8627.98</v>
      </c>
      <c r="T9828" s="18">
        <v>7072.11</v>
      </c>
      <c r="U9828" s="16"/>
      <c r="V9828" s="16"/>
      <c r="W9828" s="16" t="s">
        <v>40</v>
      </c>
      <c r="X9828" s="19">
        <v>3.9550000000000001</v>
      </c>
      <c r="Y9828" s="20">
        <v>1.6513E-2</v>
      </c>
      <c r="Z9828" s="21">
        <v>4601004132931</v>
      </c>
    </row>
    <row r="9829" spans="1:26" ht="12" customHeight="1" outlineLevel="4" x14ac:dyDescent="0.2">
      <c r="A9829" s="14" t="s">
        <v>18711</v>
      </c>
      <c r="B9829" s="26" t="s">
        <v>18712</v>
      </c>
      <c r="C9829" s="52"/>
      <c r="D9829" s="55">
        <f t="shared" si="153"/>
        <v>0</v>
      </c>
      <c r="E9829" s="63" t="str">
        <f>HYPERLINK("https://www.sds-group.ru/product/plenochnyy-teplyy-pol-optima-150-8m-0-5h16m-1200vt-rexant-51-0511-7/", "Инфо")</f>
        <v>Инфо</v>
      </c>
      <c r="F9829" s="16" t="s">
        <v>39</v>
      </c>
      <c r="G9829" s="15"/>
      <c r="H9829" s="15"/>
      <c r="I9829" s="15"/>
      <c r="J9829" s="17">
        <v>46</v>
      </c>
      <c r="K9829" s="15"/>
      <c r="L9829" s="17">
        <v>1</v>
      </c>
      <c r="M9829" s="17">
        <v>1</v>
      </c>
      <c r="N9829" s="17">
        <v>1</v>
      </c>
      <c r="O9829" s="18">
        <v>14533.66</v>
      </c>
      <c r="P9829" s="18">
        <v>11912.84</v>
      </c>
      <c r="Q9829" s="18">
        <v>12789.62</v>
      </c>
      <c r="R9829" s="18">
        <v>10483.299999999999</v>
      </c>
      <c r="S9829" s="18">
        <v>9882.89</v>
      </c>
      <c r="T9829" s="18">
        <v>8100.73</v>
      </c>
      <c r="U9829" s="16"/>
      <c r="V9829" s="16"/>
      <c r="W9829" s="16" t="s">
        <v>40</v>
      </c>
      <c r="X9829" s="19">
        <v>4.5259999999999998</v>
      </c>
      <c r="Y9829" s="20">
        <v>1.6858000000000001E-2</v>
      </c>
      <c r="Z9829" s="21">
        <v>4601004132948</v>
      </c>
    </row>
    <row r="9830" spans="1:26" ht="12" customHeight="1" outlineLevel="4" x14ac:dyDescent="0.2">
      <c r="A9830" s="14" t="s">
        <v>18713</v>
      </c>
      <c r="B9830" s="26" t="s">
        <v>18714</v>
      </c>
      <c r="C9830" s="52"/>
      <c r="D9830" s="55">
        <f t="shared" si="153"/>
        <v>0</v>
      </c>
      <c r="E9830" s="63" t="str">
        <f>HYPERLINK("https://www.sds-group.ru/product/plenochnyy-teplyy-pol-optima-150-9m-0-5h18m-1350vt-rexant-51-0512-7/", "Инфо")</f>
        <v>Инфо</v>
      </c>
      <c r="F9830" s="16" t="s">
        <v>39</v>
      </c>
      <c r="G9830" s="15"/>
      <c r="H9830" s="15"/>
      <c r="I9830" s="15"/>
      <c r="J9830" s="17">
        <v>17</v>
      </c>
      <c r="K9830" s="15"/>
      <c r="L9830" s="17">
        <v>1</v>
      </c>
      <c r="M9830" s="17">
        <v>1</v>
      </c>
      <c r="N9830" s="17">
        <v>1</v>
      </c>
      <c r="O9830" s="18">
        <v>16149.1</v>
      </c>
      <c r="P9830" s="18">
        <v>13236.97</v>
      </c>
      <c r="Q9830" s="18">
        <v>14211.21</v>
      </c>
      <c r="R9830" s="18">
        <v>11648.53</v>
      </c>
      <c r="S9830" s="18">
        <v>10981.39</v>
      </c>
      <c r="T9830" s="18">
        <v>9001.14</v>
      </c>
      <c r="U9830" s="16"/>
      <c r="V9830" s="16"/>
      <c r="W9830" s="16" t="s">
        <v>40</v>
      </c>
      <c r="X9830" s="19">
        <v>5.0469999999999997</v>
      </c>
      <c r="Y9830" s="20">
        <v>1.6639999999999999E-2</v>
      </c>
      <c r="Z9830" s="21">
        <v>4601004132955</v>
      </c>
    </row>
    <row r="9831" spans="1:26" ht="12" customHeight="1" outlineLevel="4" x14ac:dyDescent="0.2">
      <c r="A9831" s="14" t="s">
        <v>18715</v>
      </c>
      <c r="B9831" s="26" t="s">
        <v>18716</v>
      </c>
      <c r="C9831" s="52"/>
      <c r="D9831" s="55">
        <f t="shared" si="153"/>
        <v>0</v>
      </c>
      <c r="E9831" s="63" t="str">
        <f>HYPERLINK("https://www.sds-group.ru/product/plenochnyy-teplyy-pol-optima-150-10m-0-5h20m-1500vt-rexant-51-0513-7/", "Инфо")</f>
        <v>Инфо</v>
      </c>
      <c r="F9831" s="16" t="s">
        <v>39</v>
      </c>
      <c r="G9831" s="15"/>
      <c r="H9831" s="15"/>
      <c r="I9831" s="15"/>
      <c r="J9831" s="17">
        <v>64</v>
      </c>
      <c r="K9831" s="15"/>
      <c r="L9831" s="17">
        <v>1</v>
      </c>
      <c r="M9831" s="17">
        <v>1</v>
      </c>
      <c r="N9831" s="17">
        <v>1</v>
      </c>
      <c r="O9831" s="18">
        <v>17544.060000000001</v>
      </c>
      <c r="P9831" s="18">
        <v>14380.38</v>
      </c>
      <c r="Q9831" s="18">
        <v>15438.77</v>
      </c>
      <c r="R9831" s="18">
        <v>12654.73</v>
      </c>
      <c r="S9831" s="18">
        <v>11929.96</v>
      </c>
      <c r="T9831" s="18">
        <v>9778.66</v>
      </c>
      <c r="U9831" s="16"/>
      <c r="V9831" s="16"/>
      <c r="W9831" s="16" t="s">
        <v>40</v>
      </c>
      <c r="X9831" s="19">
        <v>5.6059999999999999</v>
      </c>
      <c r="Y9831" s="20">
        <v>1.7017000000000001E-2</v>
      </c>
      <c r="Z9831" s="21">
        <v>4601004132962</v>
      </c>
    </row>
    <row r="9832" spans="1:26" ht="12" customHeight="1" outlineLevel="4" x14ac:dyDescent="0.2">
      <c r="A9832" s="14" t="s">
        <v>18717</v>
      </c>
      <c r="B9832" s="26" t="s">
        <v>18718</v>
      </c>
      <c r="C9832" s="52"/>
      <c r="D9832" s="55">
        <f t="shared" si="153"/>
        <v>0</v>
      </c>
      <c r="E9832" s="63" t="str">
        <f>HYPERLINK("https://www.sds-group.ru/product/plenochnyy-teplyy-pol-optima-150-12m-0-5h24m-1800vt-rexant-51-0515-7/", "Инфо")</f>
        <v>Инфо</v>
      </c>
      <c r="F9832" s="16" t="s">
        <v>39</v>
      </c>
      <c r="G9832" s="15"/>
      <c r="H9832" s="15"/>
      <c r="I9832" s="15"/>
      <c r="J9832" s="16" t="s">
        <v>100</v>
      </c>
      <c r="K9832" s="15"/>
      <c r="L9832" s="17">
        <v>1</v>
      </c>
      <c r="M9832" s="17">
        <v>1</v>
      </c>
      <c r="N9832" s="17">
        <v>1</v>
      </c>
      <c r="O9832" s="18">
        <v>20532.2</v>
      </c>
      <c r="P9832" s="18">
        <v>16829.669999999998</v>
      </c>
      <c r="Q9832" s="18">
        <v>18068.34</v>
      </c>
      <c r="R9832" s="18">
        <v>14810.11</v>
      </c>
      <c r="S9832" s="18">
        <v>13961.9</v>
      </c>
      <c r="T9832" s="18">
        <v>11444.18</v>
      </c>
      <c r="U9832" s="16"/>
      <c r="V9832" s="16"/>
      <c r="W9832" s="16" t="s">
        <v>40</v>
      </c>
      <c r="X9832" s="19">
        <v>6.5640000000000001</v>
      </c>
      <c r="Y9832" s="20">
        <v>1.6774000000000001E-2</v>
      </c>
      <c r="Z9832" s="21">
        <v>4601004132986</v>
      </c>
    </row>
    <row r="9833" spans="1:26" ht="12" customHeight="1" outlineLevel="4" x14ac:dyDescent="0.2">
      <c r="A9833" s="14" t="s">
        <v>18719</v>
      </c>
      <c r="B9833" s="26" t="s">
        <v>18720</v>
      </c>
      <c r="C9833" s="52"/>
      <c r="D9833" s="55">
        <f t="shared" si="153"/>
        <v>0</v>
      </c>
      <c r="E9833" s="63" t="str">
        <f>HYPERLINK("https://www.sds-group.ru/product/plenochnyy-teplyy-pol-optima-150-13m-0-5h26m-1950vt-rexant-51-0516-7/", "Инфо")</f>
        <v>Инфо</v>
      </c>
      <c r="F9833" s="16" t="s">
        <v>39</v>
      </c>
      <c r="G9833" s="15"/>
      <c r="H9833" s="15"/>
      <c r="I9833" s="15"/>
      <c r="J9833" s="17">
        <v>14</v>
      </c>
      <c r="K9833" s="15"/>
      <c r="L9833" s="17">
        <v>1</v>
      </c>
      <c r="M9833" s="17">
        <v>1</v>
      </c>
      <c r="N9833" s="17">
        <v>1</v>
      </c>
      <c r="O9833" s="18">
        <v>23069.84</v>
      </c>
      <c r="P9833" s="18">
        <v>18909.7</v>
      </c>
      <c r="Q9833" s="18">
        <v>20301.46</v>
      </c>
      <c r="R9833" s="18">
        <v>16640.54</v>
      </c>
      <c r="S9833" s="18">
        <v>15687.49</v>
      </c>
      <c r="T9833" s="18">
        <v>12858.6</v>
      </c>
      <c r="U9833" s="16"/>
      <c r="V9833" s="16"/>
      <c r="W9833" s="16" t="s">
        <v>40</v>
      </c>
      <c r="X9833" s="19">
        <v>6.9939999999999998</v>
      </c>
      <c r="Y9833" s="20">
        <v>1.6365999999999999E-2</v>
      </c>
      <c r="Z9833" s="21">
        <v>4601004132993</v>
      </c>
    </row>
    <row r="9834" spans="1:26" ht="12" customHeight="1" outlineLevel="4" x14ac:dyDescent="0.2">
      <c r="A9834" s="14" t="s">
        <v>18721</v>
      </c>
      <c r="B9834" s="26" t="s">
        <v>18722</v>
      </c>
      <c r="C9834" s="52"/>
      <c r="D9834" s="55">
        <f t="shared" si="153"/>
        <v>0</v>
      </c>
      <c r="E9834" s="63" t="str">
        <f>HYPERLINK("https://www.sds-group.ru/product/plenochnyy-teplyy-pol-optima-150-15m-0-5h30m-2250vt-rexant-51-0518-7/", "Инфо")</f>
        <v>Инфо</v>
      </c>
      <c r="F9834" s="16" t="s">
        <v>39</v>
      </c>
      <c r="G9834" s="15"/>
      <c r="H9834" s="15"/>
      <c r="I9834" s="15"/>
      <c r="J9834" s="17">
        <v>29</v>
      </c>
      <c r="K9834" s="15"/>
      <c r="L9834" s="17">
        <v>1</v>
      </c>
      <c r="M9834" s="17">
        <v>1</v>
      </c>
      <c r="N9834" s="17">
        <v>1</v>
      </c>
      <c r="O9834" s="18">
        <v>25376.400000000001</v>
      </c>
      <c r="P9834" s="18">
        <v>20800.330000000002</v>
      </c>
      <c r="Q9834" s="18">
        <v>22331.23</v>
      </c>
      <c r="R9834" s="18">
        <v>18304.29</v>
      </c>
      <c r="S9834" s="18">
        <v>17255.95</v>
      </c>
      <c r="T9834" s="18">
        <v>14144.22</v>
      </c>
      <c r="U9834" s="16"/>
      <c r="V9834" s="16"/>
      <c r="W9834" s="16" t="s">
        <v>40</v>
      </c>
      <c r="X9834" s="19">
        <v>7.91</v>
      </c>
      <c r="Y9834" s="20">
        <v>1.7347999999999999E-2</v>
      </c>
      <c r="Z9834" s="21">
        <v>4601004133013</v>
      </c>
    </row>
    <row r="9835" spans="1:26" ht="12.95" customHeight="1" outlineLevel="3" x14ac:dyDescent="0.2">
      <c r="A9835" s="76" t="s">
        <v>18723</v>
      </c>
      <c r="B9835" s="76"/>
      <c r="C9835" s="77"/>
      <c r="D9835" s="58"/>
      <c r="E9835" s="68"/>
      <c r="F9835" s="13"/>
      <c r="G9835" s="13"/>
      <c r="H9835" s="13"/>
      <c r="I9835" s="13"/>
      <c r="J9835" s="13"/>
      <c r="K9835" s="13"/>
      <c r="L9835" s="13"/>
      <c r="M9835" s="13"/>
      <c r="N9835" s="13"/>
      <c r="O9835" s="13"/>
      <c r="P9835" s="13"/>
      <c r="Q9835" s="13"/>
      <c r="R9835" s="13"/>
      <c r="S9835" s="13"/>
      <c r="T9835" s="13"/>
      <c r="U9835" s="13"/>
      <c r="V9835" s="13"/>
      <c r="W9835" s="13"/>
      <c r="X9835" s="13"/>
      <c r="Y9835" s="13"/>
      <c r="Z9835" s="13"/>
    </row>
    <row r="9836" spans="1:26" ht="12" customHeight="1" outlineLevel="4" x14ac:dyDescent="0.2">
      <c r="A9836" s="14" t="s">
        <v>18724</v>
      </c>
      <c r="B9836" s="26" t="s">
        <v>18725</v>
      </c>
      <c r="C9836" s="52"/>
      <c r="D9836" s="55">
        <f t="shared" si="153"/>
        <v>0</v>
      </c>
      <c r="E9836" s="63" t="str">
        <f>HYPERLINK("https://www.sds-group.ru/product/plenochnyy-teplyy-pol-ultra-rxm-220-1m-0-5h2m-220vt-rexant-51-0501-4/", "Инфо")</f>
        <v>Инфо</v>
      </c>
      <c r="F9836" s="16" t="s">
        <v>39</v>
      </c>
      <c r="G9836" s="15"/>
      <c r="H9836" s="15"/>
      <c r="I9836" s="15"/>
      <c r="J9836" s="17">
        <v>80</v>
      </c>
      <c r="K9836" s="15"/>
      <c r="L9836" s="17">
        <v>1</v>
      </c>
      <c r="M9836" s="17">
        <v>1</v>
      </c>
      <c r="N9836" s="17">
        <v>1</v>
      </c>
      <c r="O9836" s="18">
        <v>3339</v>
      </c>
      <c r="P9836" s="18">
        <v>2736.89</v>
      </c>
      <c r="Q9836" s="18">
        <v>2938.32</v>
      </c>
      <c r="R9836" s="18">
        <v>2408.46</v>
      </c>
      <c r="S9836" s="18">
        <v>2270.52</v>
      </c>
      <c r="T9836" s="18">
        <v>1861.08</v>
      </c>
      <c r="U9836" s="16"/>
      <c r="V9836" s="16"/>
      <c r="W9836" s="16" t="s">
        <v>40</v>
      </c>
      <c r="X9836" s="19">
        <v>1.036</v>
      </c>
      <c r="Y9836" s="20">
        <v>1.7135000000000001E-2</v>
      </c>
      <c r="Z9836" s="21">
        <v>4601004064430</v>
      </c>
    </row>
    <row r="9837" spans="1:26" ht="12" customHeight="1" outlineLevel="4" x14ac:dyDescent="0.2">
      <c r="A9837" s="14" t="s">
        <v>18726</v>
      </c>
      <c r="B9837" s="26" t="s">
        <v>18727</v>
      </c>
      <c r="C9837" s="52"/>
      <c r="D9837" s="55">
        <f t="shared" si="153"/>
        <v>0</v>
      </c>
      <c r="E9837" s="63" t="str">
        <f>HYPERLINK("https://www.sds-group.ru/product/plenochnyy-teplyy-pol-ultra-rxm-220-1-5m-0-5h3m-330vt-rexant-51-0502-4/", "Инфо")</f>
        <v>Инфо</v>
      </c>
      <c r="F9837" s="16" t="s">
        <v>39</v>
      </c>
      <c r="G9837" s="15"/>
      <c r="H9837" s="15"/>
      <c r="I9837" s="15"/>
      <c r="J9837" s="17">
        <v>35</v>
      </c>
      <c r="K9837" s="15"/>
      <c r="L9837" s="17">
        <v>1</v>
      </c>
      <c r="M9837" s="17">
        <v>1</v>
      </c>
      <c r="N9837" s="17">
        <v>1</v>
      </c>
      <c r="O9837" s="18">
        <v>4267.5600000000004</v>
      </c>
      <c r="P9837" s="18">
        <v>3498</v>
      </c>
      <c r="Q9837" s="18">
        <v>3755.45</v>
      </c>
      <c r="R9837" s="18">
        <v>3078.24</v>
      </c>
      <c r="S9837" s="18">
        <v>2901.94</v>
      </c>
      <c r="T9837" s="18">
        <v>2378.64</v>
      </c>
      <c r="U9837" s="16"/>
      <c r="V9837" s="16"/>
      <c r="W9837" s="16" t="s">
        <v>40</v>
      </c>
      <c r="X9837" s="19">
        <v>1.2909999999999999</v>
      </c>
      <c r="Y9837" s="20">
        <v>1.729E-2</v>
      </c>
      <c r="Z9837" s="21">
        <v>4601004064249</v>
      </c>
    </row>
    <row r="9838" spans="1:26" ht="12" customHeight="1" outlineLevel="4" x14ac:dyDescent="0.2">
      <c r="A9838" s="14" t="s">
        <v>18728</v>
      </c>
      <c r="B9838" s="26" t="s">
        <v>18729</v>
      </c>
      <c r="C9838" s="52"/>
      <c r="D9838" s="55">
        <f t="shared" si="153"/>
        <v>0</v>
      </c>
      <c r="E9838" s="63" t="str">
        <f>HYPERLINK("https://www.sds-group.ru/product/plenochnyy-teplyy-pol-ultra-rxm-220-2m-0-5h4m-440vt-rexant-51-0503-4/", "Инфо")</f>
        <v>Инфо</v>
      </c>
      <c r="F9838" s="16" t="s">
        <v>39</v>
      </c>
      <c r="G9838" s="15"/>
      <c r="H9838" s="15"/>
      <c r="I9838" s="15"/>
      <c r="J9838" s="16" t="s">
        <v>100</v>
      </c>
      <c r="K9838" s="15"/>
      <c r="L9838" s="17">
        <v>1</v>
      </c>
      <c r="M9838" s="17">
        <v>1</v>
      </c>
      <c r="N9838" s="17">
        <v>1</v>
      </c>
      <c r="O9838" s="18">
        <v>5363.6</v>
      </c>
      <c r="P9838" s="18">
        <v>4396.3900000000003</v>
      </c>
      <c r="Q9838" s="18">
        <v>4719.97</v>
      </c>
      <c r="R9838" s="18">
        <v>3868.83</v>
      </c>
      <c r="S9838" s="18">
        <v>3647.25</v>
      </c>
      <c r="T9838" s="18">
        <v>2989.55</v>
      </c>
      <c r="U9838" s="16"/>
      <c r="V9838" s="16"/>
      <c r="W9838" s="16" t="s">
        <v>40</v>
      </c>
      <c r="X9838" s="19">
        <v>1.5189999999999999</v>
      </c>
      <c r="Y9838" s="20">
        <v>1.7266E-2</v>
      </c>
      <c r="Z9838" s="21">
        <v>4601004064256</v>
      </c>
    </row>
    <row r="9839" spans="1:26" ht="12" customHeight="1" outlineLevel="4" x14ac:dyDescent="0.2">
      <c r="A9839" s="14" t="s">
        <v>18730</v>
      </c>
      <c r="B9839" s="26" t="s">
        <v>18731</v>
      </c>
      <c r="C9839" s="52"/>
      <c r="D9839" s="55">
        <f t="shared" si="153"/>
        <v>0</v>
      </c>
      <c r="E9839" s="63" t="str">
        <f>HYPERLINK("https://www.sds-group.ru/product/plenochnyy-teplyy-pol-ultra-rxm-220-2-5m-0-5h5m-550vt-rexant-51-0504-4/", "Инфо")</f>
        <v>Инфо</v>
      </c>
      <c r="F9839" s="16" t="s">
        <v>39</v>
      </c>
      <c r="G9839" s="15"/>
      <c r="H9839" s="15"/>
      <c r="I9839" s="15"/>
      <c r="J9839" s="17">
        <v>58</v>
      </c>
      <c r="K9839" s="15"/>
      <c r="L9839" s="17">
        <v>1</v>
      </c>
      <c r="M9839" s="17">
        <v>1</v>
      </c>
      <c r="N9839" s="17">
        <v>1</v>
      </c>
      <c r="O9839" s="18">
        <v>5998.54</v>
      </c>
      <c r="P9839" s="18">
        <v>4916.84</v>
      </c>
      <c r="Q9839" s="18">
        <v>5278.72</v>
      </c>
      <c r="R9839" s="18">
        <v>4326.82</v>
      </c>
      <c r="S9839" s="18">
        <v>4079.01</v>
      </c>
      <c r="T9839" s="18">
        <v>3343.45</v>
      </c>
      <c r="U9839" s="16"/>
      <c r="V9839" s="16"/>
      <c r="W9839" s="16" t="s">
        <v>40</v>
      </c>
      <c r="X9839" s="19">
        <v>1.78</v>
      </c>
      <c r="Y9839" s="20">
        <v>1.6681000000000001E-2</v>
      </c>
      <c r="Z9839" s="21">
        <v>4601004064263</v>
      </c>
    </row>
    <row r="9840" spans="1:26" ht="12" customHeight="1" outlineLevel="4" x14ac:dyDescent="0.2">
      <c r="A9840" s="14" t="s">
        <v>18732</v>
      </c>
      <c r="B9840" s="26" t="s">
        <v>18733</v>
      </c>
      <c r="C9840" s="52"/>
      <c r="D9840" s="55">
        <f t="shared" si="153"/>
        <v>0</v>
      </c>
      <c r="E9840" s="63" t="str">
        <f>HYPERLINK("https://www.sds-group.ru/product/plenochnyy-teplyy-pol-ultra-rxm-220-3m-0-5h6m-660vt-rexant-51-0505-4/", "Инфо")</f>
        <v>Инфо</v>
      </c>
      <c r="F9840" s="16" t="s">
        <v>39</v>
      </c>
      <c r="G9840" s="15"/>
      <c r="H9840" s="15"/>
      <c r="I9840" s="15"/>
      <c r="J9840" s="17">
        <v>43</v>
      </c>
      <c r="K9840" s="15"/>
      <c r="L9840" s="17">
        <v>1</v>
      </c>
      <c r="M9840" s="17">
        <v>1</v>
      </c>
      <c r="N9840" s="17">
        <v>1</v>
      </c>
      <c r="O9840" s="18">
        <v>7497.38</v>
      </c>
      <c r="P9840" s="18">
        <v>6145.39</v>
      </c>
      <c r="Q9840" s="18">
        <v>6597.69</v>
      </c>
      <c r="R9840" s="18">
        <v>5407.94</v>
      </c>
      <c r="S9840" s="18">
        <v>5098.22</v>
      </c>
      <c r="T9840" s="18">
        <v>4178.87</v>
      </c>
      <c r="U9840" s="16"/>
      <c r="V9840" s="16"/>
      <c r="W9840" s="16" t="s">
        <v>40</v>
      </c>
      <c r="X9840" s="19">
        <v>2.0470000000000002</v>
      </c>
      <c r="Y9840" s="20">
        <v>1.7340000000000001E-2</v>
      </c>
      <c r="Z9840" s="21">
        <v>4601004064270</v>
      </c>
    </row>
    <row r="9841" spans="1:26" ht="12" customHeight="1" outlineLevel="4" x14ac:dyDescent="0.2">
      <c r="A9841" s="14" t="s">
        <v>18734</v>
      </c>
      <c r="B9841" s="26" t="s">
        <v>18735</v>
      </c>
      <c r="C9841" s="52"/>
      <c r="D9841" s="55">
        <f t="shared" si="153"/>
        <v>0</v>
      </c>
      <c r="E9841" s="63" t="str">
        <f>HYPERLINK("https://www.sds-group.ru/product/plenochnyy-teplyy-pol-ultra-rxm-220-3-5m-0-5h7m-770vt-rexant-51-0506-4/", "Инфо")</f>
        <v>Инфо</v>
      </c>
      <c r="F9841" s="16" t="s">
        <v>39</v>
      </c>
      <c r="G9841" s="15"/>
      <c r="H9841" s="15"/>
      <c r="I9841" s="15"/>
      <c r="J9841" s="16" t="s">
        <v>100</v>
      </c>
      <c r="K9841" s="15"/>
      <c r="L9841" s="17">
        <v>1</v>
      </c>
      <c r="M9841" s="17">
        <v>1</v>
      </c>
      <c r="N9841" s="17">
        <v>1</v>
      </c>
      <c r="O9841" s="18">
        <v>8420.64</v>
      </c>
      <c r="P9841" s="18">
        <v>6902.16</v>
      </c>
      <c r="Q9841" s="18">
        <v>7410.16</v>
      </c>
      <c r="R9841" s="18">
        <v>6073.9</v>
      </c>
      <c r="S9841" s="18">
        <v>5726.04</v>
      </c>
      <c r="T9841" s="18">
        <v>4693.4799999999996</v>
      </c>
      <c r="U9841" s="16"/>
      <c r="V9841" s="16"/>
      <c r="W9841" s="16" t="s">
        <v>40</v>
      </c>
      <c r="X9841" s="19">
        <v>2.343</v>
      </c>
      <c r="Y9841" s="20">
        <v>1.5935000000000001E-2</v>
      </c>
      <c r="Z9841" s="21">
        <v>4601004064287</v>
      </c>
    </row>
    <row r="9842" spans="1:26" ht="12" customHeight="1" outlineLevel="4" x14ac:dyDescent="0.2">
      <c r="A9842" s="14" t="s">
        <v>18736</v>
      </c>
      <c r="B9842" s="26" t="s">
        <v>18737</v>
      </c>
      <c r="C9842" s="52"/>
      <c r="D9842" s="55">
        <f t="shared" si="153"/>
        <v>0</v>
      </c>
      <c r="E9842" s="63" t="str">
        <f>HYPERLINK("https://www.sds-group.ru/product/plenochnyy-teplyy-pol-ultra-rxm-220-4m-0-5h8m-880vt-rexant-51-0507-4/", "Инфо")</f>
        <v>Инфо</v>
      </c>
      <c r="F9842" s="16" t="s">
        <v>39</v>
      </c>
      <c r="G9842" s="15"/>
      <c r="H9842" s="15"/>
      <c r="I9842" s="15"/>
      <c r="J9842" s="17">
        <v>35</v>
      </c>
      <c r="K9842" s="15"/>
      <c r="L9842" s="17">
        <v>1</v>
      </c>
      <c r="M9842" s="17">
        <v>1</v>
      </c>
      <c r="N9842" s="17">
        <v>1</v>
      </c>
      <c r="O9842" s="18">
        <v>9228.36</v>
      </c>
      <c r="P9842" s="18">
        <v>7564.23</v>
      </c>
      <c r="Q9842" s="18">
        <v>8120.96</v>
      </c>
      <c r="R9842" s="18">
        <v>6656.52</v>
      </c>
      <c r="S9842" s="18">
        <v>6275.28</v>
      </c>
      <c r="T9842" s="18">
        <v>5143.67</v>
      </c>
      <c r="U9842" s="16"/>
      <c r="V9842" s="16"/>
      <c r="W9842" s="16" t="s">
        <v>40</v>
      </c>
      <c r="X9842" s="19">
        <v>2.5299999999999998</v>
      </c>
      <c r="Y9842" s="20">
        <v>1.7058E-2</v>
      </c>
      <c r="Z9842" s="21">
        <v>4601004064294</v>
      </c>
    </row>
    <row r="9843" spans="1:26" ht="12" customHeight="1" outlineLevel="4" x14ac:dyDescent="0.2">
      <c r="A9843" s="14" t="s">
        <v>18738</v>
      </c>
      <c r="B9843" s="26" t="s">
        <v>18739</v>
      </c>
      <c r="C9843" s="52"/>
      <c r="D9843" s="55">
        <f t="shared" si="153"/>
        <v>0</v>
      </c>
      <c r="E9843" s="63" t="str">
        <f>HYPERLINK("https://www.sds-group.ru/product/plenochnyy-teplyy-pol-ultra-rxm-220-5-m-0-5h10m-1100vt-rexant-51-0508-4/", "Инфо")</f>
        <v>Инфо</v>
      </c>
      <c r="F9843" s="16" t="s">
        <v>39</v>
      </c>
      <c r="G9843" s="15"/>
      <c r="H9843" s="15"/>
      <c r="I9843" s="15"/>
      <c r="J9843" s="17">
        <v>20</v>
      </c>
      <c r="K9843" s="15"/>
      <c r="L9843" s="17">
        <v>1</v>
      </c>
      <c r="M9843" s="17">
        <v>1</v>
      </c>
      <c r="N9843" s="17">
        <v>1</v>
      </c>
      <c r="O9843" s="18">
        <v>10952.98</v>
      </c>
      <c r="P9843" s="18">
        <v>8977.85</v>
      </c>
      <c r="Q9843" s="18">
        <v>9638.6200000000008</v>
      </c>
      <c r="R9843" s="18">
        <v>7900.51</v>
      </c>
      <c r="S9843" s="18">
        <v>7448.03</v>
      </c>
      <c r="T9843" s="18">
        <v>6104.94</v>
      </c>
      <c r="U9843" s="16"/>
      <c r="V9843" s="16"/>
      <c r="W9843" s="16" t="s">
        <v>40</v>
      </c>
      <c r="X9843" s="19">
        <v>3.0329999999999999</v>
      </c>
      <c r="Y9843" s="20">
        <v>1.6500999999999998E-2</v>
      </c>
      <c r="Z9843" s="21">
        <v>4601004064300</v>
      </c>
    </row>
    <row r="9844" spans="1:26" ht="12" customHeight="1" outlineLevel="4" x14ac:dyDescent="0.2">
      <c r="A9844" s="14" t="s">
        <v>18740</v>
      </c>
      <c r="B9844" s="26" t="s">
        <v>18741</v>
      </c>
      <c r="C9844" s="52"/>
      <c r="D9844" s="55">
        <f t="shared" si="153"/>
        <v>0</v>
      </c>
      <c r="E9844" s="63" t="str">
        <f>HYPERLINK("https://www.sds-group.ru/product/plenochnyy-teplyy-pol-ultra-rxm-220-6m-0-5h12m-1320vt-rexant-51-0509-4/", "Инфо")</f>
        <v>Инфо</v>
      </c>
      <c r="F9844" s="16" t="s">
        <v>39</v>
      </c>
      <c r="G9844" s="15"/>
      <c r="H9844" s="15"/>
      <c r="I9844" s="15"/>
      <c r="J9844" s="17">
        <v>14</v>
      </c>
      <c r="K9844" s="15"/>
      <c r="L9844" s="17">
        <v>1</v>
      </c>
      <c r="M9844" s="17">
        <v>1</v>
      </c>
      <c r="N9844" s="17">
        <v>1</v>
      </c>
      <c r="O9844" s="18">
        <v>13841.48</v>
      </c>
      <c r="P9844" s="18">
        <v>11345.48</v>
      </c>
      <c r="Q9844" s="18">
        <v>12180.5</v>
      </c>
      <c r="R9844" s="18">
        <v>9984.02</v>
      </c>
      <c r="S9844" s="18">
        <v>9412.2099999999991</v>
      </c>
      <c r="T9844" s="18">
        <v>7714.93</v>
      </c>
      <c r="U9844" s="16"/>
      <c r="V9844" s="16"/>
      <c r="W9844" s="16" t="s">
        <v>40</v>
      </c>
      <c r="X9844" s="19">
        <v>3.5179999999999998</v>
      </c>
      <c r="Y9844" s="20">
        <v>1.7367E-2</v>
      </c>
      <c r="Z9844" s="21">
        <v>4601004064317</v>
      </c>
    </row>
    <row r="9845" spans="1:26" ht="12" customHeight="1" outlineLevel="4" x14ac:dyDescent="0.2">
      <c r="A9845" s="14" t="s">
        <v>18742</v>
      </c>
      <c r="B9845" s="26" t="s">
        <v>18743</v>
      </c>
      <c r="C9845" s="52"/>
      <c r="D9845" s="55">
        <f t="shared" si="153"/>
        <v>0</v>
      </c>
      <c r="E9845" s="63" t="str">
        <f>HYPERLINK("https://www.sds-group.ru/product/plenochnyy-teplyy-pol-ultra-rxm-220-7m-0-5h14m-1540vt-rexant-51-0510-4/", "Инфо")</f>
        <v>Инфо</v>
      </c>
      <c r="F9845" s="16" t="s">
        <v>39</v>
      </c>
      <c r="G9845" s="15"/>
      <c r="H9845" s="15"/>
      <c r="I9845" s="15"/>
      <c r="J9845" s="17">
        <v>19</v>
      </c>
      <c r="K9845" s="15"/>
      <c r="L9845" s="17">
        <v>1</v>
      </c>
      <c r="M9845" s="17">
        <v>1</v>
      </c>
      <c r="N9845" s="17">
        <v>1</v>
      </c>
      <c r="O9845" s="18">
        <v>16149.1</v>
      </c>
      <c r="P9845" s="18">
        <v>13236.97</v>
      </c>
      <c r="Q9845" s="18">
        <v>14211.21</v>
      </c>
      <c r="R9845" s="18">
        <v>11648.53</v>
      </c>
      <c r="S9845" s="18">
        <v>10981.39</v>
      </c>
      <c r="T9845" s="18">
        <v>9001.14</v>
      </c>
      <c r="U9845" s="16"/>
      <c r="V9845" s="16"/>
      <c r="W9845" s="16" t="s">
        <v>40</v>
      </c>
      <c r="X9845" s="19">
        <v>4.0869999999999997</v>
      </c>
      <c r="Y9845" s="20">
        <v>1.7062000000000001E-2</v>
      </c>
      <c r="Z9845" s="21">
        <v>4601004064324</v>
      </c>
    </row>
    <row r="9846" spans="1:26" ht="12" customHeight="1" outlineLevel="4" x14ac:dyDescent="0.2">
      <c r="A9846" s="14" t="s">
        <v>18744</v>
      </c>
      <c r="B9846" s="26" t="s">
        <v>18745</v>
      </c>
      <c r="C9846" s="52"/>
      <c r="D9846" s="55">
        <f t="shared" si="153"/>
        <v>0</v>
      </c>
      <c r="E9846" s="63" t="str">
        <f>HYPERLINK("https://www.sds-group.ru/product/plenochnyy-teplyy-pol-ultra-rxm-220-8m-0-5h16m-1760vt-rexant-51-0511-4/", "Инфо")</f>
        <v>Инфо</v>
      </c>
      <c r="F9846" s="16" t="s">
        <v>39</v>
      </c>
      <c r="G9846" s="15"/>
      <c r="H9846" s="15"/>
      <c r="I9846" s="15"/>
      <c r="J9846" s="17">
        <v>15</v>
      </c>
      <c r="K9846" s="15"/>
      <c r="L9846" s="17">
        <v>1</v>
      </c>
      <c r="M9846" s="17">
        <v>1</v>
      </c>
      <c r="N9846" s="17">
        <v>1</v>
      </c>
      <c r="O9846" s="18">
        <v>17907.64</v>
      </c>
      <c r="P9846" s="18">
        <v>14678.39</v>
      </c>
      <c r="Q9846" s="18">
        <v>15758.72</v>
      </c>
      <c r="R9846" s="18">
        <v>12916.98</v>
      </c>
      <c r="S9846" s="18">
        <v>12177.2</v>
      </c>
      <c r="T9846" s="18">
        <v>9981.31</v>
      </c>
      <c r="U9846" s="16"/>
      <c r="V9846" s="16"/>
      <c r="W9846" s="16" t="s">
        <v>40</v>
      </c>
      <c r="X9846" s="19">
        <v>4.5410000000000004</v>
      </c>
      <c r="Y9846" s="20">
        <v>3.9666E-2</v>
      </c>
      <c r="Z9846" s="21">
        <v>4601004064331</v>
      </c>
    </row>
    <row r="9847" spans="1:26" ht="12" customHeight="1" outlineLevel="4" x14ac:dyDescent="0.2">
      <c r="A9847" s="14" t="s">
        <v>18746</v>
      </c>
      <c r="B9847" s="26" t="s">
        <v>18747</v>
      </c>
      <c r="C9847" s="52"/>
      <c r="D9847" s="55">
        <f t="shared" si="153"/>
        <v>0</v>
      </c>
      <c r="E9847" s="63" t="str">
        <f>HYPERLINK("https://www.sds-group.ru/product/plenochnyy-teplyy-pol-ultra-rxm-220-9m-0-5h18m-1980vt-rexant-51-0512-4/", "Инфо")</f>
        <v>Инфо</v>
      </c>
      <c r="F9847" s="16" t="s">
        <v>39</v>
      </c>
      <c r="G9847" s="15"/>
      <c r="H9847" s="15"/>
      <c r="I9847" s="15"/>
      <c r="J9847" s="17">
        <v>7</v>
      </c>
      <c r="K9847" s="15"/>
      <c r="L9847" s="17">
        <v>1</v>
      </c>
      <c r="M9847" s="17">
        <v>1</v>
      </c>
      <c r="N9847" s="17">
        <v>1</v>
      </c>
      <c r="O9847" s="18">
        <v>20167.560000000001</v>
      </c>
      <c r="P9847" s="18">
        <v>16530.79</v>
      </c>
      <c r="Q9847" s="18">
        <v>17747.45</v>
      </c>
      <c r="R9847" s="18">
        <v>14547.09</v>
      </c>
      <c r="S9847" s="18">
        <v>13713.94</v>
      </c>
      <c r="T9847" s="18">
        <v>11240.93</v>
      </c>
      <c r="U9847" s="16"/>
      <c r="V9847" s="16"/>
      <c r="W9847" s="16" t="s">
        <v>40</v>
      </c>
      <c r="X9847" s="19">
        <v>5.0949999999999998</v>
      </c>
      <c r="Y9847" s="20">
        <v>1.6806999999999999E-2</v>
      </c>
      <c r="Z9847" s="21">
        <v>4601004064348</v>
      </c>
    </row>
    <row r="9848" spans="1:26" ht="12" customHeight="1" outlineLevel="4" x14ac:dyDescent="0.2">
      <c r="A9848" s="14" t="s">
        <v>18748</v>
      </c>
      <c r="B9848" s="26" t="s">
        <v>18749</v>
      </c>
      <c r="C9848" s="52"/>
      <c r="D9848" s="55">
        <f t="shared" si="153"/>
        <v>0</v>
      </c>
      <c r="E9848" s="63" t="str">
        <f>HYPERLINK("https://www.sds-group.ru/product/plenochnyy-teplyy-pol-ultra-rxm-220-10m-0-5h20m-2200vt-rexant-51-0513-4/", "Инфо")</f>
        <v>Инфо</v>
      </c>
      <c r="F9848" s="16" t="s">
        <v>39</v>
      </c>
      <c r="G9848" s="15"/>
      <c r="H9848" s="15"/>
      <c r="I9848" s="15"/>
      <c r="J9848" s="17">
        <v>12</v>
      </c>
      <c r="K9848" s="15"/>
      <c r="L9848" s="17">
        <v>1</v>
      </c>
      <c r="M9848" s="17">
        <v>1</v>
      </c>
      <c r="N9848" s="17">
        <v>1</v>
      </c>
      <c r="O9848" s="18">
        <v>20185.580000000002</v>
      </c>
      <c r="P9848" s="18">
        <v>16545.560000000001</v>
      </c>
      <c r="Q9848" s="18">
        <v>17763.310000000001</v>
      </c>
      <c r="R9848" s="18">
        <v>14560.09</v>
      </c>
      <c r="S9848" s="18">
        <v>13726.19</v>
      </c>
      <c r="T9848" s="18">
        <v>11250.98</v>
      </c>
      <c r="U9848" s="16"/>
      <c r="V9848" s="16"/>
      <c r="W9848" s="16" t="s">
        <v>40</v>
      </c>
      <c r="X9848" s="19">
        <v>5.6369999999999996</v>
      </c>
      <c r="Y9848" s="20">
        <v>1.7881000000000001E-2</v>
      </c>
      <c r="Z9848" s="21">
        <v>4601004064355</v>
      </c>
    </row>
    <row r="9849" spans="1:26" ht="12" customHeight="1" outlineLevel="4" x14ac:dyDescent="0.2">
      <c r="A9849" s="14" t="s">
        <v>18750</v>
      </c>
      <c r="B9849" s="26" t="s">
        <v>18751</v>
      </c>
      <c r="C9849" s="52"/>
      <c r="D9849" s="55">
        <f t="shared" si="153"/>
        <v>0</v>
      </c>
      <c r="E9849" s="63" t="str">
        <f>HYPERLINK("https://www.sds-group.ru/product/plenochnyy-teplyy-pol-ultra-rxm-220-12m-0-5h24m-2640vt-rexant-51-0515-4/", "Инфо")</f>
        <v>Инфо</v>
      </c>
      <c r="F9849" s="16" t="s">
        <v>39</v>
      </c>
      <c r="G9849" s="15"/>
      <c r="H9849" s="15"/>
      <c r="I9849" s="15"/>
      <c r="J9849" s="16" t="s">
        <v>100</v>
      </c>
      <c r="K9849" s="15"/>
      <c r="L9849" s="17">
        <v>1</v>
      </c>
      <c r="M9849" s="17">
        <v>1</v>
      </c>
      <c r="N9849" s="17">
        <v>1</v>
      </c>
      <c r="O9849" s="18">
        <v>25837.5</v>
      </c>
      <c r="P9849" s="18">
        <v>21178.28</v>
      </c>
      <c r="Q9849" s="18">
        <v>22737</v>
      </c>
      <c r="R9849" s="18">
        <v>18636.89</v>
      </c>
      <c r="S9849" s="18">
        <v>17569.5</v>
      </c>
      <c r="T9849" s="18">
        <v>14401.23</v>
      </c>
      <c r="U9849" s="16"/>
      <c r="V9849" s="16"/>
      <c r="W9849" s="16" t="s">
        <v>40</v>
      </c>
      <c r="X9849" s="19">
        <v>6.6109999999999998</v>
      </c>
      <c r="Y9849" s="20">
        <v>1.6308E-2</v>
      </c>
      <c r="Z9849" s="21">
        <v>4601004064379</v>
      </c>
    </row>
    <row r="9850" spans="1:26" ht="12" customHeight="1" outlineLevel="4" x14ac:dyDescent="0.2">
      <c r="A9850" s="14" t="s">
        <v>18752</v>
      </c>
      <c r="B9850" s="26" t="s">
        <v>18753</v>
      </c>
      <c r="C9850" s="52"/>
      <c r="D9850" s="55">
        <f t="shared" si="153"/>
        <v>0</v>
      </c>
      <c r="E9850" s="63" t="str">
        <f>HYPERLINK("https://www.sds-group.ru/product/plenochnyy-teplyy-pol-ultra-rxm-220-15m-0-5h30m-3300vt-rexant-51-0518-4/", "Инфо")</f>
        <v>Инфо</v>
      </c>
      <c r="F9850" s="16" t="s">
        <v>39</v>
      </c>
      <c r="G9850" s="15"/>
      <c r="H9850" s="15"/>
      <c r="I9850" s="15"/>
      <c r="J9850" s="17">
        <v>4</v>
      </c>
      <c r="K9850" s="15"/>
      <c r="L9850" s="17">
        <v>1</v>
      </c>
      <c r="M9850" s="17">
        <v>1</v>
      </c>
      <c r="N9850" s="17">
        <v>1</v>
      </c>
      <c r="O9850" s="18">
        <v>35758.04</v>
      </c>
      <c r="P9850" s="18">
        <v>29309.87</v>
      </c>
      <c r="Q9850" s="18">
        <v>31467.08</v>
      </c>
      <c r="R9850" s="18">
        <v>25792.69</v>
      </c>
      <c r="S9850" s="18">
        <v>24315.47</v>
      </c>
      <c r="T9850" s="18">
        <v>19930.71</v>
      </c>
      <c r="U9850" s="16"/>
      <c r="V9850" s="16"/>
      <c r="W9850" s="16" t="s">
        <v>40</v>
      </c>
      <c r="X9850" s="19">
        <v>7.9770000000000003</v>
      </c>
      <c r="Y9850" s="20">
        <v>1.6698999999999999E-2</v>
      </c>
      <c r="Z9850" s="21">
        <v>4601004064409</v>
      </c>
    </row>
    <row r="9851" spans="1:26" ht="12.95" customHeight="1" outlineLevel="3" x14ac:dyDescent="0.2">
      <c r="A9851" s="76" t="s">
        <v>18754</v>
      </c>
      <c r="B9851" s="76"/>
      <c r="C9851" s="77"/>
      <c r="D9851" s="58"/>
      <c r="E9851" s="68"/>
      <c r="F9851" s="13"/>
      <c r="G9851" s="13"/>
      <c r="H9851" s="13"/>
      <c r="I9851" s="13"/>
      <c r="J9851" s="13"/>
      <c r="K9851" s="13"/>
      <c r="L9851" s="13"/>
      <c r="M9851" s="13"/>
      <c r="N9851" s="13"/>
      <c r="O9851" s="13"/>
      <c r="P9851" s="13"/>
      <c r="Q9851" s="13"/>
      <c r="R9851" s="13"/>
      <c r="S9851" s="13"/>
      <c r="T9851" s="13"/>
      <c r="U9851" s="13"/>
      <c r="V9851" s="13"/>
      <c r="W9851" s="13"/>
      <c r="X9851" s="13"/>
      <c r="Y9851" s="13"/>
      <c r="Z9851" s="13"/>
    </row>
    <row r="9852" spans="1:26" ht="12" customHeight="1" outlineLevel="4" x14ac:dyDescent="0.2">
      <c r="A9852" s="14" t="s">
        <v>18755</v>
      </c>
      <c r="B9852" s="26" t="s">
        <v>18756</v>
      </c>
      <c r="C9852" s="52"/>
      <c r="D9852" s="55">
        <f t="shared" si="153"/>
        <v>0</v>
      </c>
      <c r="E9852" s="63" t="str">
        <f>HYPERLINK("https://www.sds-group.ru/product/plenochnyy-teplyy-pol-rxm-310-220vt-m2-shirina100-sm-tolschina-0-338-rulon100m-rexant-51-0509-5/", "Инфо")</f>
        <v>Инфо</v>
      </c>
      <c r="F9852" s="16" t="s">
        <v>18757</v>
      </c>
      <c r="G9852" s="15"/>
      <c r="H9852" s="15"/>
      <c r="I9852" s="15"/>
      <c r="J9852" s="16" t="s">
        <v>100</v>
      </c>
      <c r="K9852" s="15" t="s">
        <v>6930</v>
      </c>
      <c r="L9852" s="17">
        <v>100</v>
      </c>
      <c r="M9852" s="17">
        <v>100</v>
      </c>
      <c r="N9852" s="17">
        <v>100</v>
      </c>
      <c r="O9852" s="18">
        <v>1061.06</v>
      </c>
      <c r="P9852" s="18">
        <v>869.72</v>
      </c>
      <c r="Q9852" s="18">
        <v>901.9</v>
      </c>
      <c r="R9852" s="18">
        <v>739.26</v>
      </c>
      <c r="S9852" s="18">
        <v>721.52</v>
      </c>
      <c r="T9852" s="18">
        <v>591.41</v>
      </c>
      <c r="U9852" s="16"/>
      <c r="V9852" s="16"/>
      <c r="W9852" s="16" t="s">
        <v>40</v>
      </c>
      <c r="X9852" s="19">
        <v>0.49299999999999999</v>
      </c>
      <c r="Y9852" s="20">
        <v>8.8699999999999998E-4</v>
      </c>
      <c r="Z9852" s="21">
        <v>4601004072510</v>
      </c>
    </row>
    <row r="9853" spans="1:26" ht="12" customHeight="1" outlineLevel="4" x14ac:dyDescent="0.2">
      <c r="A9853" s="14" t="s">
        <v>18758</v>
      </c>
      <c r="B9853" s="26" t="s">
        <v>18759</v>
      </c>
      <c r="C9853" s="52"/>
      <c r="D9853" s="55">
        <f t="shared" si="153"/>
        <v>0</v>
      </c>
      <c r="E9853" s="63" t="str">
        <f>HYPERLINK("https://www.sds-group.ru/product/plenochnyy-teplyy-pol-rxm-305-220vt-m2-shirina-50-sm-tolschina-0-338-rulon-150m-rexant-51-0507-5/", "Инфо")</f>
        <v>Инфо</v>
      </c>
      <c r="F9853" s="16" t="s">
        <v>18757</v>
      </c>
      <c r="G9853" s="15"/>
      <c r="H9853" s="15"/>
      <c r="I9853" s="15"/>
      <c r="J9853" s="17">
        <v>900</v>
      </c>
      <c r="K9853" s="15" t="s">
        <v>6930</v>
      </c>
      <c r="L9853" s="17">
        <v>150</v>
      </c>
      <c r="M9853" s="17">
        <v>150</v>
      </c>
      <c r="N9853" s="17">
        <v>150</v>
      </c>
      <c r="O9853" s="18">
        <v>598.9</v>
      </c>
      <c r="P9853" s="18">
        <v>490.9</v>
      </c>
      <c r="Q9853" s="18">
        <v>509.07</v>
      </c>
      <c r="R9853" s="18">
        <v>417.27</v>
      </c>
      <c r="S9853" s="18">
        <v>407.25</v>
      </c>
      <c r="T9853" s="18">
        <v>333.81</v>
      </c>
      <c r="U9853" s="16"/>
      <c r="V9853" s="16"/>
      <c r="W9853" s="16" t="s">
        <v>40</v>
      </c>
      <c r="X9853" s="19">
        <v>0.24399999999999999</v>
      </c>
      <c r="Y9853" s="20">
        <v>3.2000000000000003E-4</v>
      </c>
      <c r="Z9853" s="21">
        <v>4601004072503</v>
      </c>
    </row>
    <row r="9854" spans="1:26" ht="12" customHeight="1" outlineLevel="4" x14ac:dyDescent="0.2">
      <c r="A9854" s="14" t="s">
        <v>18760</v>
      </c>
      <c r="B9854" s="26" t="s">
        <v>18761</v>
      </c>
      <c r="C9854" s="52"/>
      <c r="D9854" s="55">
        <f t="shared" si="153"/>
        <v>0</v>
      </c>
      <c r="E9854" s="63" t="str">
        <f>HYPERLINK("https://www.sds-group.ru/product/plenochnyy-teplyy-pol-rxm-308-220vt-m2-shirina-80-sm-tolschina-0-338-rulon-100-m-rexant-51-0508-5/", "Инфо")</f>
        <v>Инфо</v>
      </c>
      <c r="F9854" s="16" t="s">
        <v>18757</v>
      </c>
      <c r="G9854" s="15"/>
      <c r="H9854" s="15"/>
      <c r="I9854" s="15"/>
      <c r="J9854" s="22">
        <v>1500</v>
      </c>
      <c r="K9854" s="15"/>
      <c r="L9854" s="17">
        <v>100</v>
      </c>
      <c r="M9854" s="17">
        <v>100</v>
      </c>
      <c r="N9854" s="17">
        <v>100</v>
      </c>
      <c r="O9854" s="18">
        <v>978.38</v>
      </c>
      <c r="P9854" s="18">
        <v>801.95</v>
      </c>
      <c r="Q9854" s="18">
        <v>831.62</v>
      </c>
      <c r="R9854" s="18">
        <v>681.66</v>
      </c>
      <c r="S9854" s="18">
        <v>665.3</v>
      </c>
      <c r="T9854" s="18">
        <v>545.33000000000004</v>
      </c>
      <c r="U9854" s="16"/>
      <c r="V9854" s="16"/>
      <c r="W9854" s="16" t="s">
        <v>40</v>
      </c>
      <c r="X9854" s="19">
        <v>0.39200000000000002</v>
      </c>
      <c r="Y9854" s="20">
        <v>6.6500000000000001E-4</v>
      </c>
      <c r="Z9854" s="21">
        <v>4601004072497</v>
      </c>
    </row>
    <row r="9855" spans="1:26" ht="12" customHeight="1" outlineLevel="4" x14ac:dyDescent="0.2">
      <c r="A9855" s="14" t="s">
        <v>18762</v>
      </c>
      <c r="B9855" s="26" t="s">
        <v>18763</v>
      </c>
      <c r="C9855" s="52"/>
      <c r="D9855" s="55">
        <f t="shared" si="153"/>
        <v>0</v>
      </c>
      <c r="E9855" s="63" t="str">
        <f>HYPERLINK("https://www.sds-group.ru/product/plenochnyy-teplyy-pol-rxt-305-150-vt-m-shirina-50sm-tolschina-0-338mm-rulon-150m-rexant-51-0550-5/", "Инфо")</f>
        <v>Инфо</v>
      </c>
      <c r="F9855" s="16" t="s">
        <v>18757</v>
      </c>
      <c r="G9855" s="15"/>
      <c r="H9855" s="15"/>
      <c r="I9855" s="15"/>
      <c r="J9855" s="17">
        <v>900</v>
      </c>
      <c r="K9855" s="15" t="s">
        <v>6930</v>
      </c>
      <c r="L9855" s="17">
        <v>150</v>
      </c>
      <c r="M9855" s="17">
        <v>150</v>
      </c>
      <c r="N9855" s="17">
        <v>150</v>
      </c>
      <c r="O9855" s="18">
        <v>575.58000000000004</v>
      </c>
      <c r="P9855" s="18">
        <v>471.79</v>
      </c>
      <c r="Q9855" s="18">
        <v>489.24</v>
      </c>
      <c r="R9855" s="18">
        <v>401.02</v>
      </c>
      <c r="S9855" s="18">
        <v>391.39</v>
      </c>
      <c r="T9855" s="18">
        <v>320.81</v>
      </c>
      <c r="U9855" s="16"/>
      <c r="V9855" s="16"/>
      <c r="W9855" s="16" t="s">
        <v>40</v>
      </c>
      <c r="X9855" s="19">
        <v>0.25</v>
      </c>
      <c r="Y9855" s="20">
        <v>3.1599999999999998E-4</v>
      </c>
      <c r="Z9855" s="21">
        <v>4601004131934</v>
      </c>
    </row>
    <row r="9856" spans="1:26" ht="12" customHeight="1" outlineLevel="4" x14ac:dyDescent="0.2">
      <c r="A9856" s="14" t="s">
        <v>18764</v>
      </c>
      <c r="B9856" s="26" t="s">
        <v>18765</v>
      </c>
      <c r="C9856" s="52"/>
      <c r="D9856" s="55">
        <f t="shared" si="153"/>
        <v>0</v>
      </c>
      <c r="E9856" s="63" t="str">
        <f>HYPERLINK("https://www.sds-group.ru/product/plenochnyy-teplyy-pol-rxt-310-150-vt-m-shirina-100sm-tolschina-0-338mm-rulon-100m-rexant-51-0552-5/", "Инфо")</f>
        <v>Инфо</v>
      </c>
      <c r="F9856" s="16" t="s">
        <v>18757</v>
      </c>
      <c r="G9856" s="15"/>
      <c r="H9856" s="15"/>
      <c r="I9856" s="15"/>
      <c r="J9856" s="22">
        <v>3400</v>
      </c>
      <c r="K9856" s="15" t="s">
        <v>6930</v>
      </c>
      <c r="L9856" s="17">
        <v>100</v>
      </c>
      <c r="M9856" s="17">
        <v>100</v>
      </c>
      <c r="N9856" s="17">
        <v>100</v>
      </c>
      <c r="O9856" s="18">
        <v>975.2</v>
      </c>
      <c r="P9856" s="18">
        <v>799.34</v>
      </c>
      <c r="Q9856" s="18">
        <v>828.92</v>
      </c>
      <c r="R9856" s="18">
        <v>679.44</v>
      </c>
      <c r="S9856" s="18">
        <v>663.14</v>
      </c>
      <c r="T9856" s="18">
        <v>543.55999999999995</v>
      </c>
      <c r="U9856" s="16"/>
      <c r="V9856" s="16"/>
      <c r="W9856" s="16" t="s">
        <v>40</v>
      </c>
      <c r="X9856" s="19">
        <v>0.49099999999999999</v>
      </c>
      <c r="Y9856" s="20">
        <v>8.3100000000000003E-4</v>
      </c>
      <c r="Z9856" s="21">
        <v>4601004131941</v>
      </c>
    </row>
    <row r="9857" spans="1:26" ht="12" customHeight="1" outlineLevel="4" x14ac:dyDescent="0.2">
      <c r="A9857" s="14" t="s">
        <v>18766</v>
      </c>
      <c r="B9857" s="26" t="s">
        <v>18767</v>
      </c>
      <c r="C9857" s="52"/>
      <c r="D9857" s="55">
        <f t="shared" si="153"/>
        <v>0</v>
      </c>
      <c r="E9857" s="63" t="str">
        <f>HYPERLINK("https://www.sds-group.ru/product/plenochnyy-teplyy-pol-ptc-305-220vt-m-shirina-50sm-tolschina-0-338mm-rulon-150m-rexant-51-0560-5/", "Инфо")</f>
        <v>Инфо</v>
      </c>
      <c r="F9857" s="16" t="s">
        <v>18757</v>
      </c>
      <c r="G9857" s="15"/>
      <c r="H9857" s="15"/>
      <c r="I9857" s="15"/>
      <c r="J9857" s="16" t="s">
        <v>100</v>
      </c>
      <c r="K9857" s="15" t="s">
        <v>6930</v>
      </c>
      <c r="L9857" s="17">
        <v>150</v>
      </c>
      <c r="M9857" s="17">
        <v>150</v>
      </c>
      <c r="N9857" s="17">
        <v>150</v>
      </c>
      <c r="O9857" s="18">
        <v>616.91999999999996</v>
      </c>
      <c r="P9857" s="18">
        <v>505.67</v>
      </c>
      <c r="Q9857" s="18">
        <v>524.38</v>
      </c>
      <c r="R9857" s="18">
        <v>429.82</v>
      </c>
      <c r="S9857" s="18">
        <v>419.51</v>
      </c>
      <c r="T9857" s="18">
        <v>343.86</v>
      </c>
      <c r="U9857" s="16"/>
      <c r="V9857" s="16"/>
      <c r="W9857" s="16" t="s">
        <v>40</v>
      </c>
      <c r="X9857" s="19">
        <v>0.25</v>
      </c>
      <c r="Y9857" s="20">
        <v>3.0899999999999998E-4</v>
      </c>
      <c r="Z9857" s="21">
        <v>4601004261556</v>
      </c>
    </row>
    <row r="9858" spans="1:26" ht="12.95" customHeight="1" outlineLevel="3" x14ac:dyDescent="0.2">
      <c r="A9858" s="76" t="s">
        <v>18768</v>
      </c>
      <c r="B9858" s="76"/>
      <c r="C9858" s="77"/>
      <c r="D9858" s="58"/>
      <c r="E9858" s="68"/>
      <c r="F9858" s="13"/>
      <c r="G9858" s="13"/>
      <c r="H9858" s="13"/>
      <c r="I9858" s="13"/>
      <c r="J9858" s="13"/>
      <c r="K9858" s="13"/>
      <c r="L9858" s="13"/>
      <c r="M9858" s="13"/>
      <c r="N9858" s="13"/>
      <c r="O9858" s="13"/>
      <c r="P9858" s="13"/>
      <c r="Q9858" s="13"/>
      <c r="R9858" s="13"/>
      <c r="S9858" s="13"/>
      <c r="T9858" s="13"/>
      <c r="U9858" s="13"/>
      <c r="V9858" s="13"/>
      <c r="W9858" s="13"/>
      <c r="X9858" s="13"/>
      <c r="Y9858" s="13"/>
      <c r="Z9858" s="13"/>
    </row>
    <row r="9859" spans="1:26" ht="12" customHeight="1" outlineLevel="4" x14ac:dyDescent="0.2">
      <c r="A9859" s="14" t="s">
        <v>18769</v>
      </c>
      <c r="B9859" s="26" t="s">
        <v>18770</v>
      </c>
      <c r="C9859" s="52"/>
      <c r="D9859" s="55">
        <f t="shared" si="153"/>
        <v>0</v>
      </c>
      <c r="E9859" s="63" t="str">
        <f>HYPERLINK("https://www.sds-group.ru/product/butil-kauchukovaya-lenta-20m-shirina-5sm-tolschina-0-05sm-rexant-51-0505-5/", "Инфо")</f>
        <v>Инфо</v>
      </c>
      <c r="F9859" s="16" t="s">
        <v>39</v>
      </c>
      <c r="G9859" s="15"/>
      <c r="H9859" s="15"/>
      <c r="I9859" s="15"/>
      <c r="J9859" s="17">
        <v>15</v>
      </c>
      <c r="K9859" s="15" t="s">
        <v>6930</v>
      </c>
      <c r="L9859" s="17">
        <v>1</v>
      </c>
      <c r="M9859" s="17">
        <v>8</v>
      </c>
      <c r="N9859" s="17">
        <v>1</v>
      </c>
      <c r="O9859" s="18">
        <v>5487.08</v>
      </c>
      <c r="P9859" s="18">
        <v>4497.6099999999997</v>
      </c>
      <c r="Q9859" s="18">
        <v>4005.57</v>
      </c>
      <c r="R9859" s="18">
        <v>3283.25</v>
      </c>
      <c r="S9859" s="18">
        <v>3731.21</v>
      </c>
      <c r="T9859" s="18">
        <v>3058.37</v>
      </c>
      <c r="U9859" s="16"/>
      <c r="V9859" s="16"/>
      <c r="W9859" s="16" t="s">
        <v>40</v>
      </c>
      <c r="X9859" s="19">
        <v>2.339</v>
      </c>
      <c r="Y9859" s="20">
        <v>5.9170000000000004E-3</v>
      </c>
      <c r="Z9859" s="21">
        <v>4601004064461</v>
      </c>
    </row>
    <row r="9860" spans="1:26" ht="12" customHeight="1" outlineLevel="4" x14ac:dyDescent="0.2">
      <c r="A9860" s="14" t="s">
        <v>18771</v>
      </c>
      <c r="B9860" s="26" t="s">
        <v>18772</v>
      </c>
      <c r="C9860" s="52"/>
      <c r="D9860" s="55">
        <f t="shared" si="153"/>
        <v>0</v>
      </c>
      <c r="E9860" s="63" t="str">
        <f>HYPERLINK("https://www.sds-group.ru/product/montazhnyy-zazhim-dlya-plenochnogo-pola-min-50-sht-up-rexant-51-0504-5/", "Инфо")</f>
        <v>Инфо</v>
      </c>
      <c r="F9860" s="16" t="s">
        <v>39</v>
      </c>
      <c r="G9860" s="15"/>
      <c r="H9860" s="15"/>
      <c r="I9860" s="15"/>
      <c r="J9860" s="22">
        <v>13750</v>
      </c>
      <c r="K9860" s="15"/>
      <c r="L9860" s="17">
        <v>50</v>
      </c>
      <c r="M9860" s="22">
        <v>8000</v>
      </c>
      <c r="N9860" s="17">
        <v>50</v>
      </c>
      <c r="O9860" s="18">
        <v>54.61</v>
      </c>
      <c r="P9860" s="18">
        <v>44.76</v>
      </c>
      <c r="Q9860" s="18">
        <v>46.42</v>
      </c>
      <c r="R9860" s="18">
        <v>38.049999999999997</v>
      </c>
      <c r="S9860" s="18">
        <v>37.130000000000003</v>
      </c>
      <c r="T9860" s="18">
        <v>30.43</v>
      </c>
      <c r="U9860" s="16"/>
      <c r="V9860" s="16"/>
      <c r="W9860" s="16" t="s">
        <v>40</v>
      </c>
      <c r="X9860" s="19">
        <v>3.0000000000000001E-3</v>
      </c>
      <c r="Y9860" s="20">
        <v>3.9999999999999998E-6</v>
      </c>
      <c r="Z9860" s="21">
        <v>4601004064454</v>
      </c>
    </row>
    <row r="9861" spans="1:26" ht="12" customHeight="1" outlineLevel="4" x14ac:dyDescent="0.2">
      <c r="A9861" s="14" t="s">
        <v>18773</v>
      </c>
      <c r="B9861" s="26" t="s">
        <v>18774</v>
      </c>
      <c r="C9861" s="52"/>
      <c r="D9861" s="55">
        <f t="shared" si="153"/>
        <v>0</v>
      </c>
      <c r="E9861" s="63" t="str">
        <f>HYPERLINK("https://www.sds-group.ru/product/montazhnyy-komplekt-dlya-plenochnogo-pola-2-montazhnyh-zazhima-vinil-mastika-5h5sm-rexant-51-0506-5/", "Инфо")</f>
        <v>Инфо</v>
      </c>
      <c r="F9861" s="16" t="s">
        <v>39</v>
      </c>
      <c r="G9861" s="15"/>
      <c r="H9861" s="15"/>
      <c r="I9861" s="15"/>
      <c r="J9861" s="22">
        <v>1016</v>
      </c>
      <c r="K9861" s="15"/>
      <c r="L9861" s="17">
        <v>5</v>
      </c>
      <c r="M9861" s="17">
        <v>100</v>
      </c>
      <c r="N9861" s="17">
        <v>5</v>
      </c>
      <c r="O9861" s="18">
        <v>257.20999999999998</v>
      </c>
      <c r="P9861" s="18">
        <v>210.83</v>
      </c>
      <c r="Q9861" s="18">
        <v>218.63</v>
      </c>
      <c r="R9861" s="18">
        <v>179.2</v>
      </c>
      <c r="S9861" s="18">
        <v>174.9</v>
      </c>
      <c r="T9861" s="18">
        <v>143.36000000000001</v>
      </c>
      <c r="U9861" s="16"/>
      <c r="V9861" s="16"/>
      <c r="W9861" s="16" t="s">
        <v>40</v>
      </c>
      <c r="X9861" s="19">
        <v>2.9000000000000001E-2</v>
      </c>
      <c r="Y9861" s="20">
        <v>5.3999999999999998E-5</v>
      </c>
      <c r="Z9861" s="21">
        <v>4601004064478</v>
      </c>
    </row>
    <row r="9862" spans="1:26" ht="12" customHeight="1" outlineLevel="4" x14ac:dyDescent="0.2">
      <c r="A9862" s="40" t="s">
        <v>18775</v>
      </c>
      <c r="B9862" s="75" t="s">
        <v>18776</v>
      </c>
      <c r="C9862" s="51"/>
      <c r="D9862" s="54">
        <f t="shared" si="153"/>
        <v>0</v>
      </c>
      <c r="E9862" s="61" t="str">
        <f>HYPERLINK("https://www.sds-group.ru/product/montazhnyy-komplekt-dlya-plenochnogo-pola-ik-tp-02-s-provodami-seriya-pro-rexant-51-0077-2/", "Инфо")</f>
        <v>Инфо</v>
      </c>
      <c r="F9862" s="42" t="s">
        <v>974</v>
      </c>
      <c r="G9862" s="41" t="s">
        <v>40</v>
      </c>
      <c r="H9862" s="41"/>
      <c r="I9862" s="41"/>
      <c r="J9862" s="43">
        <v>266</v>
      </c>
      <c r="K9862" s="41"/>
      <c r="L9862" s="43">
        <v>5</v>
      </c>
      <c r="M9862" s="43">
        <v>10</v>
      </c>
      <c r="N9862" s="43">
        <v>5</v>
      </c>
      <c r="O9862" s="44">
        <v>556.5</v>
      </c>
      <c r="P9862" s="44">
        <v>456.15</v>
      </c>
      <c r="Q9862" s="44">
        <v>445.2</v>
      </c>
      <c r="R9862" s="44">
        <v>364.92</v>
      </c>
      <c r="S9862" s="44">
        <v>378.42</v>
      </c>
      <c r="T9862" s="44">
        <v>310.18</v>
      </c>
      <c r="U9862" s="42"/>
      <c r="V9862" s="42"/>
      <c r="W9862" s="42" t="s">
        <v>40</v>
      </c>
      <c r="X9862" s="45">
        <v>0.13400000000000001</v>
      </c>
      <c r="Y9862" s="46">
        <v>5.04E-4</v>
      </c>
      <c r="Z9862" s="21">
        <v>4601004352001</v>
      </c>
    </row>
    <row r="9863" spans="1:26" ht="12.95" customHeight="1" outlineLevel="3" x14ac:dyDescent="0.2">
      <c r="A9863" s="76" t="s">
        <v>18777</v>
      </c>
      <c r="B9863" s="76"/>
      <c r="C9863" s="77"/>
      <c r="D9863" s="58"/>
      <c r="E9863" s="68"/>
      <c r="F9863" s="13"/>
      <c r="G9863" s="13"/>
      <c r="H9863" s="13"/>
      <c r="I9863" s="13"/>
      <c r="J9863" s="13"/>
      <c r="K9863" s="13"/>
      <c r="L9863" s="13"/>
      <c r="M9863" s="13"/>
      <c r="N9863" s="13"/>
      <c r="O9863" s="13"/>
      <c r="P9863" s="13"/>
      <c r="Q9863" s="13"/>
      <c r="R9863" s="13"/>
      <c r="S9863" s="13"/>
      <c r="T9863" s="13"/>
      <c r="U9863" s="13"/>
      <c r="V9863" s="13"/>
      <c r="W9863" s="13"/>
      <c r="X9863" s="13"/>
      <c r="Y9863" s="13"/>
      <c r="Z9863" s="13"/>
    </row>
    <row r="9864" spans="1:26" ht="12" customHeight="1" outlineLevel="4" x14ac:dyDescent="0.2">
      <c r="A9864" s="14" t="s">
        <v>18778</v>
      </c>
      <c r="B9864" s="26" t="s">
        <v>18779</v>
      </c>
      <c r="C9864" s="52"/>
      <c r="D9864" s="55">
        <f t="shared" si="153"/>
        <v>0</v>
      </c>
      <c r="E9864" s="63" t="str">
        <f>HYPERLINK("https://www.sds-group.ru/product/samoreguliruyuschiysya-plenochnyy-teplyy-pol-extrema-220-1m-0-5h2m-220vt-rexant-51-0520-7/", "Инфо")</f>
        <v>Инфо</v>
      </c>
      <c r="F9864" s="16" t="s">
        <v>39</v>
      </c>
      <c r="G9864" s="15"/>
      <c r="H9864" s="15"/>
      <c r="I9864" s="15"/>
      <c r="J9864" s="17">
        <v>61</v>
      </c>
      <c r="K9864" s="15"/>
      <c r="L9864" s="17">
        <v>1</v>
      </c>
      <c r="M9864" s="17">
        <v>1</v>
      </c>
      <c r="N9864" s="17">
        <v>1</v>
      </c>
      <c r="O9864" s="18">
        <v>3922</v>
      </c>
      <c r="P9864" s="18">
        <v>3214.75</v>
      </c>
      <c r="Q9864" s="18">
        <v>3922</v>
      </c>
      <c r="R9864" s="18">
        <v>3214.75</v>
      </c>
      <c r="S9864" s="18">
        <v>2666.96</v>
      </c>
      <c r="T9864" s="18">
        <v>2186.0300000000002</v>
      </c>
      <c r="U9864" s="16"/>
      <c r="V9864" s="16"/>
      <c r="W9864" s="16" t="s">
        <v>40</v>
      </c>
      <c r="X9864" s="19">
        <v>1.0940000000000001</v>
      </c>
      <c r="Y9864" s="20">
        <v>1.6789999999999999E-2</v>
      </c>
      <c r="Z9864" s="21">
        <v>4601004293397</v>
      </c>
    </row>
    <row r="9865" spans="1:26" ht="12" customHeight="1" outlineLevel="4" x14ac:dyDescent="0.2">
      <c r="A9865" s="14" t="s">
        <v>18780</v>
      </c>
      <c r="B9865" s="26" t="s">
        <v>18781</v>
      </c>
      <c r="C9865" s="52"/>
      <c r="D9865" s="55">
        <f t="shared" ref="D9865:D9928" si="154">C9865*(O9865-O9865*$G$3)</f>
        <v>0</v>
      </c>
      <c r="E9865" s="63" t="str">
        <f>HYPERLINK("https://www.sds-group.ru/product/samoreguliruyuschiysya-plenochnyy-teplyy-pol-extrema-220-2m-0-5h4m-440vt-rexant-51-0522-7/", "Инфо")</f>
        <v>Инфо</v>
      </c>
      <c r="F9865" s="16" t="s">
        <v>39</v>
      </c>
      <c r="G9865" s="15"/>
      <c r="H9865" s="15"/>
      <c r="I9865" s="15"/>
      <c r="J9865" s="17">
        <v>45</v>
      </c>
      <c r="K9865" s="15"/>
      <c r="L9865" s="17">
        <v>1</v>
      </c>
      <c r="M9865" s="17">
        <v>1</v>
      </c>
      <c r="N9865" s="17">
        <v>1</v>
      </c>
      <c r="O9865" s="18">
        <v>6459.64</v>
      </c>
      <c r="P9865" s="18">
        <v>5294.79</v>
      </c>
      <c r="Q9865" s="18">
        <v>6459.64</v>
      </c>
      <c r="R9865" s="18">
        <v>5294.79</v>
      </c>
      <c r="S9865" s="18">
        <v>4392.5600000000004</v>
      </c>
      <c r="T9865" s="18">
        <v>3600.46</v>
      </c>
      <c r="U9865" s="16"/>
      <c r="V9865" s="16"/>
      <c r="W9865" s="16" t="s">
        <v>40</v>
      </c>
      <c r="X9865" s="19">
        <v>1.554</v>
      </c>
      <c r="Y9865" s="20">
        <v>1.6646999999999999E-2</v>
      </c>
      <c r="Z9865" s="21">
        <v>4601004293410</v>
      </c>
    </row>
    <row r="9866" spans="1:26" ht="12" customHeight="1" outlineLevel="4" x14ac:dyDescent="0.2">
      <c r="A9866" s="14" t="s">
        <v>18782</v>
      </c>
      <c r="B9866" s="26" t="s">
        <v>18783</v>
      </c>
      <c r="C9866" s="52"/>
      <c r="D9866" s="55">
        <f t="shared" si="154"/>
        <v>0</v>
      </c>
      <c r="E9866" s="63" t="str">
        <f>HYPERLINK("https://www.sds-group.ru/product/samoreguliruyuschiysya-plenochnyy-teplyy-pol-extrema-220-3m-0-5h6m-660vt-rexant-51-0524-7/", "Инфо")</f>
        <v>Инфо</v>
      </c>
      <c r="F9866" s="16" t="s">
        <v>39</v>
      </c>
      <c r="G9866" s="15"/>
      <c r="H9866" s="15"/>
      <c r="I9866" s="15"/>
      <c r="J9866" s="17">
        <v>14</v>
      </c>
      <c r="K9866" s="15"/>
      <c r="L9866" s="17">
        <v>1</v>
      </c>
      <c r="M9866" s="17">
        <v>1</v>
      </c>
      <c r="N9866" s="17">
        <v>1</v>
      </c>
      <c r="O9866" s="18">
        <v>8766.2000000000007</v>
      </c>
      <c r="P9866" s="18">
        <v>7185.41</v>
      </c>
      <c r="Q9866" s="18">
        <v>8766.2000000000007</v>
      </c>
      <c r="R9866" s="18">
        <v>7185.41</v>
      </c>
      <c r="S9866" s="18">
        <v>5961.02</v>
      </c>
      <c r="T9866" s="18">
        <v>4886.08</v>
      </c>
      <c r="U9866" s="16"/>
      <c r="V9866" s="16"/>
      <c r="W9866" s="16" t="s">
        <v>40</v>
      </c>
      <c r="X9866" s="19">
        <v>2.089</v>
      </c>
      <c r="Y9866" s="20">
        <v>1.6070000000000001E-2</v>
      </c>
      <c r="Z9866" s="21">
        <v>4601004293434</v>
      </c>
    </row>
    <row r="9867" spans="1:26" ht="12" customHeight="1" outlineLevel="4" x14ac:dyDescent="0.2">
      <c r="A9867" s="14" t="s">
        <v>18784</v>
      </c>
      <c r="B9867" s="26" t="s">
        <v>18785</v>
      </c>
      <c r="C9867" s="52"/>
      <c r="D9867" s="55">
        <f t="shared" si="154"/>
        <v>0</v>
      </c>
      <c r="E9867" s="63" t="str">
        <f>HYPERLINK("https://www.sds-group.ru/product/samoreguliruyuschiysya-plenochnyy-teplyy-pol-extrema-220-4m-0-5h8m-880vt-rexant-51-0526-7/", "Инфо")</f>
        <v>Инфо</v>
      </c>
      <c r="F9867" s="16" t="s">
        <v>39</v>
      </c>
      <c r="G9867" s="15"/>
      <c r="H9867" s="15"/>
      <c r="I9867" s="15"/>
      <c r="J9867" s="17">
        <v>59</v>
      </c>
      <c r="K9867" s="15"/>
      <c r="L9867" s="17">
        <v>1</v>
      </c>
      <c r="M9867" s="17">
        <v>1</v>
      </c>
      <c r="N9867" s="17">
        <v>1</v>
      </c>
      <c r="O9867" s="18">
        <v>11880.48</v>
      </c>
      <c r="P9867" s="18">
        <v>9738.1</v>
      </c>
      <c r="Q9867" s="18">
        <v>11880.48</v>
      </c>
      <c r="R9867" s="18">
        <v>9738.1</v>
      </c>
      <c r="S9867" s="18">
        <v>8078.73</v>
      </c>
      <c r="T9867" s="18">
        <v>6621.91</v>
      </c>
      <c r="U9867" s="16"/>
      <c r="V9867" s="16"/>
      <c r="W9867" s="16" t="s">
        <v>40</v>
      </c>
      <c r="X9867" s="19">
        <v>2.5619999999999998</v>
      </c>
      <c r="Y9867" s="20">
        <v>1.6253E-2</v>
      </c>
      <c r="Z9867" s="21">
        <v>4601004293458</v>
      </c>
    </row>
    <row r="9868" spans="1:26" ht="12" customHeight="1" outlineLevel="4" x14ac:dyDescent="0.2">
      <c r="A9868" s="14" t="s">
        <v>18786</v>
      </c>
      <c r="B9868" s="26" t="s">
        <v>18787</v>
      </c>
      <c r="C9868" s="52"/>
      <c r="D9868" s="55">
        <f t="shared" si="154"/>
        <v>0</v>
      </c>
      <c r="E9868" s="63" t="str">
        <f>HYPERLINK("https://www.sds-group.ru/product/samoreguliruyuschiysya-plenochnyy-teplyy-pol-extrema-220-5m-0-5h10m-1100vt-rexant-51-0527-7/", "Инфо")</f>
        <v>Инфо</v>
      </c>
      <c r="F9868" s="16" t="s">
        <v>39</v>
      </c>
      <c r="G9868" s="15"/>
      <c r="H9868" s="15"/>
      <c r="I9868" s="15"/>
      <c r="J9868" s="17">
        <v>27</v>
      </c>
      <c r="K9868" s="15"/>
      <c r="L9868" s="17">
        <v>1</v>
      </c>
      <c r="M9868" s="17">
        <v>1</v>
      </c>
      <c r="N9868" s="17">
        <v>1</v>
      </c>
      <c r="O9868" s="18">
        <v>14764.74</v>
      </c>
      <c r="P9868" s="18">
        <v>12102.25</v>
      </c>
      <c r="Q9868" s="18">
        <v>14764.74</v>
      </c>
      <c r="R9868" s="18">
        <v>12102.25</v>
      </c>
      <c r="S9868" s="18">
        <v>10040.02</v>
      </c>
      <c r="T9868" s="18">
        <v>8229.52</v>
      </c>
      <c r="U9868" s="16"/>
      <c r="V9868" s="16"/>
      <c r="W9868" s="16" t="s">
        <v>40</v>
      </c>
      <c r="X9868" s="19">
        <v>3.024</v>
      </c>
      <c r="Y9868" s="20">
        <v>1.5946999999999999E-2</v>
      </c>
      <c r="Z9868" s="21">
        <v>4601004293465</v>
      </c>
    </row>
    <row r="9869" spans="1:26" ht="12.95" customHeight="1" outlineLevel="2" x14ac:dyDescent="0.2">
      <c r="A9869" s="76" t="s">
        <v>18788</v>
      </c>
      <c r="B9869" s="76"/>
      <c r="C9869" s="77"/>
      <c r="D9869" s="58"/>
      <c r="E9869" s="68"/>
      <c r="F9869" s="13"/>
      <c r="G9869" s="13"/>
      <c r="H9869" s="13"/>
      <c r="I9869" s="13"/>
      <c r="J9869" s="13"/>
      <c r="K9869" s="13"/>
      <c r="L9869" s="13"/>
      <c r="M9869" s="13"/>
      <c r="N9869" s="13"/>
      <c r="O9869" s="13"/>
      <c r="P9869" s="13"/>
      <c r="Q9869" s="13"/>
      <c r="R9869" s="13"/>
      <c r="S9869" s="13"/>
      <c r="T9869" s="13"/>
      <c r="U9869" s="13"/>
      <c r="V9869" s="13"/>
      <c r="W9869" s="13"/>
      <c r="X9869" s="13"/>
      <c r="Y9869" s="13"/>
      <c r="Z9869" s="13"/>
    </row>
    <row r="9870" spans="1:26" ht="12" customHeight="1" outlineLevel="3" x14ac:dyDescent="0.2">
      <c r="A9870" s="32" t="s">
        <v>18789</v>
      </c>
      <c r="B9870" s="74" t="s">
        <v>18790</v>
      </c>
      <c r="C9870" s="50"/>
      <c r="D9870" s="53">
        <f t="shared" si="154"/>
        <v>0</v>
      </c>
      <c r="E9870" s="60" t="str">
        <f>HYPERLINK("https://www.sds-group.ru/product/kovrik-s-podogrevom-500h350mm-rexant-51-0052/", "Инфо")</f>
        <v>Инфо</v>
      </c>
      <c r="F9870" s="34" t="s">
        <v>39</v>
      </c>
      <c r="G9870" s="33"/>
      <c r="H9870" s="33" t="s">
        <v>40</v>
      </c>
      <c r="I9870" s="33"/>
      <c r="J9870" s="35">
        <v>74</v>
      </c>
      <c r="K9870" s="33"/>
      <c r="L9870" s="35">
        <v>1</v>
      </c>
      <c r="M9870" s="35">
        <v>20</v>
      </c>
      <c r="N9870" s="35">
        <v>1</v>
      </c>
      <c r="O9870" s="36">
        <v>2209.94</v>
      </c>
      <c r="P9870" s="36">
        <v>1811.43</v>
      </c>
      <c r="Q9870" s="36">
        <v>1546.96</v>
      </c>
      <c r="R9870" s="36">
        <v>1268</v>
      </c>
      <c r="S9870" s="36">
        <v>1502.76</v>
      </c>
      <c r="T9870" s="36">
        <v>1231.77</v>
      </c>
      <c r="U9870" s="34"/>
      <c r="V9870" s="34"/>
      <c r="W9870" s="34"/>
      <c r="X9870" s="37">
        <v>0.40600000000000003</v>
      </c>
      <c r="Y9870" s="38">
        <v>5.0239999999999998E-3</v>
      </c>
      <c r="Z9870" s="21">
        <v>4601004316591</v>
      </c>
    </row>
    <row r="9871" spans="1:26" ht="12" customHeight="1" outlineLevel="3" x14ac:dyDescent="0.2">
      <c r="A9871" s="32" t="s">
        <v>18791</v>
      </c>
      <c r="B9871" s="74" t="s">
        <v>18792</v>
      </c>
      <c r="C9871" s="50"/>
      <c r="D9871" s="53">
        <f t="shared" si="154"/>
        <v>0</v>
      </c>
      <c r="E9871" s="60" t="str">
        <f>HYPERLINK("https://www.sds-group.ru/product/kovrik-s-podogrevom-500h700mm-rexant-51-0053/", "Инфо")</f>
        <v>Инфо</v>
      </c>
      <c r="F9871" s="34" t="s">
        <v>39</v>
      </c>
      <c r="G9871" s="33"/>
      <c r="H9871" s="33" t="s">
        <v>40</v>
      </c>
      <c r="I9871" s="33"/>
      <c r="J9871" s="35">
        <v>184</v>
      </c>
      <c r="K9871" s="33"/>
      <c r="L9871" s="35">
        <v>1</v>
      </c>
      <c r="M9871" s="35">
        <v>20</v>
      </c>
      <c r="N9871" s="35">
        <v>1</v>
      </c>
      <c r="O9871" s="36">
        <v>3974.3</v>
      </c>
      <c r="P9871" s="36">
        <v>3257.62</v>
      </c>
      <c r="Q9871" s="36">
        <v>2782.01</v>
      </c>
      <c r="R9871" s="36">
        <v>2280.34</v>
      </c>
      <c r="S9871" s="36">
        <v>2702.52</v>
      </c>
      <c r="T9871" s="36">
        <v>2215.1799999999998</v>
      </c>
      <c r="U9871" s="34"/>
      <c r="V9871" s="34"/>
      <c r="W9871" s="34"/>
      <c r="X9871" s="37">
        <v>0.73</v>
      </c>
      <c r="Y9871" s="38">
        <v>6.9300000000000004E-3</v>
      </c>
      <c r="Z9871" s="21">
        <v>4601004316607</v>
      </c>
    </row>
    <row r="9872" spans="1:26" ht="12.95" customHeight="1" outlineLevel="1" x14ac:dyDescent="0.2">
      <c r="A9872" s="78" t="s">
        <v>18793</v>
      </c>
      <c r="B9872" s="78"/>
      <c r="C9872" s="79"/>
      <c r="D9872" s="57"/>
      <c r="E9872" s="67"/>
      <c r="F9872" s="12"/>
      <c r="G9872" s="12"/>
      <c r="H9872" s="12"/>
      <c r="I9872" s="12"/>
      <c r="J9872" s="12"/>
      <c r="K9872" s="12"/>
      <c r="L9872" s="12"/>
      <c r="M9872" s="12"/>
      <c r="N9872" s="12"/>
      <c r="O9872" s="12"/>
      <c r="P9872" s="12"/>
      <c r="Q9872" s="12"/>
      <c r="R9872" s="12"/>
      <c r="S9872" s="12"/>
      <c r="T9872" s="12"/>
      <c r="U9872" s="12"/>
      <c r="V9872" s="12"/>
      <c r="W9872" s="12"/>
      <c r="X9872" s="12"/>
      <c r="Y9872" s="12"/>
      <c r="Z9872" s="12"/>
    </row>
    <row r="9873" spans="1:26" ht="12.95" customHeight="1" outlineLevel="2" x14ac:dyDescent="0.2">
      <c r="A9873" s="76" t="s">
        <v>18794</v>
      </c>
      <c r="B9873" s="76"/>
      <c r="C9873" s="77"/>
      <c r="D9873" s="58"/>
      <c r="E9873" s="68"/>
      <c r="F9873" s="13"/>
      <c r="G9873" s="13"/>
      <c r="H9873" s="13"/>
      <c r="I9873" s="13"/>
      <c r="J9873" s="13"/>
      <c r="K9873" s="13"/>
      <c r="L9873" s="13"/>
      <c r="M9873" s="13"/>
      <c r="N9873" s="13"/>
      <c r="O9873" s="13"/>
      <c r="P9873" s="13"/>
      <c r="Q9873" s="13"/>
      <c r="R9873" s="13"/>
      <c r="S9873" s="13"/>
      <c r="T9873" s="13"/>
      <c r="U9873" s="13"/>
      <c r="V9873" s="13"/>
      <c r="W9873" s="13"/>
      <c r="X9873" s="13"/>
      <c r="Y9873" s="13"/>
      <c r="Z9873" s="13"/>
    </row>
    <row r="9874" spans="1:26" ht="12.95" customHeight="1" outlineLevel="3" x14ac:dyDescent="0.2">
      <c r="A9874" s="76" t="s">
        <v>18795</v>
      </c>
      <c r="B9874" s="76"/>
      <c r="C9874" s="77"/>
      <c r="D9874" s="58"/>
      <c r="E9874" s="68"/>
      <c r="F9874" s="13"/>
      <c r="G9874" s="13"/>
      <c r="H9874" s="13"/>
      <c r="I9874" s="13"/>
      <c r="J9874" s="13"/>
      <c r="K9874" s="13"/>
      <c r="L9874" s="13"/>
      <c r="M9874" s="13"/>
      <c r="N9874" s="13"/>
      <c r="O9874" s="13"/>
      <c r="P9874" s="13"/>
      <c r="Q9874" s="13"/>
      <c r="R9874" s="13"/>
      <c r="S9874" s="13"/>
      <c r="T9874" s="13"/>
      <c r="U9874" s="13"/>
      <c r="V9874" s="13"/>
      <c r="W9874" s="13"/>
      <c r="X9874" s="13"/>
      <c r="Y9874" s="13"/>
      <c r="Z9874" s="13"/>
    </row>
    <row r="9875" spans="1:26" ht="12" customHeight="1" outlineLevel="4" x14ac:dyDescent="0.2">
      <c r="A9875" s="14" t="s">
        <v>18796</v>
      </c>
      <c r="B9875" s="26" t="s">
        <v>18797</v>
      </c>
      <c r="C9875" s="52"/>
      <c r="D9875" s="55">
        <f t="shared" si="154"/>
        <v>0</v>
      </c>
      <c r="E9875" s="63" t="str">
        <f>HYPERLINK("https://www.sds-group.ru/product/kabel-greyuschiy-samoreguliruyuschiysya-pischevoy-srp-10-2cr-10-kkns-2lpp-el-65-85-gotovyy-51-0605-4/", "Инфо")</f>
        <v>Инфо</v>
      </c>
      <c r="F9875" s="16" t="s">
        <v>39</v>
      </c>
      <c r="G9875" s="15"/>
      <c r="H9875" s="15"/>
      <c r="I9875" s="15"/>
      <c r="J9875" s="17">
        <v>36</v>
      </c>
      <c r="K9875" s="15" t="s">
        <v>1590</v>
      </c>
      <c r="L9875" s="17">
        <v>1</v>
      </c>
      <c r="M9875" s="17">
        <v>1</v>
      </c>
      <c r="N9875" s="17">
        <v>1</v>
      </c>
      <c r="O9875" s="18">
        <v>4301.3</v>
      </c>
      <c r="P9875" s="18">
        <v>3525.66</v>
      </c>
      <c r="Q9875" s="18">
        <v>3010.91</v>
      </c>
      <c r="R9875" s="18">
        <v>2467.96</v>
      </c>
      <c r="S9875" s="18">
        <v>2924.88</v>
      </c>
      <c r="T9875" s="18">
        <v>2397.44</v>
      </c>
      <c r="U9875" s="16"/>
      <c r="V9875" s="16"/>
      <c r="W9875" s="16"/>
      <c r="X9875" s="19">
        <v>0.77600000000000002</v>
      </c>
      <c r="Y9875" s="20">
        <v>2.2729999999999998E-3</v>
      </c>
      <c r="Z9875" s="21">
        <v>4601004279438</v>
      </c>
    </row>
    <row r="9876" spans="1:26" ht="12" customHeight="1" outlineLevel="4" x14ac:dyDescent="0.2">
      <c r="A9876" s="14" t="s">
        <v>18798</v>
      </c>
      <c r="B9876" s="26" t="s">
        <v>18799</v>
      </c>
      <c r="C9876" s="52"/>
      <c r="D9876" s="55">
        <f t="shared" si="154"/>
        <v>0</v>
      </c>
      <c r="E9876" s="63" t="str">
        <f>HYPERLINK("https://www.sds-group.ru/product/kabel-greyuschiy-samoreguliruyuschiysya-pischevoy-srp-10-2cr-10-kkns-2lpp-el-65-85-gotovyy-51-0606-4/", "Инфо")</f>
        <v>Инфо</v>
      </c>
      <c r="F9876" s="16" t="s">
        <v>39</v>
      </c>
      <c r="G9876" s="15"/>
      <c r="H9876" s="15"/>
      <c r="I9876" s="15"/>
      <c r="J9876" s="17">
        <v>80</v>
      </c>
      <c r="K9876" s="15" t="s">
        <v>1590</v>
      </c>
      <c r="L9876" s="17">
        <v>1</v>
      </c>
      <c r="M9876" s="17">
        <v>1</v>
      </c>
      <c r="N9876" s="17">
        <v>1</v>
      </c>
      <c r="O9876" s="18">
        <v>6124.23</v>
      </c>
      <c r="P9876" s="18">
        <v>5019.8599999999997</v>
      </c>
      <c r="Q9876" s="18">
        <v>4286.96</v>
      </c>
      <c r="R9876" s="18">
        <v>3513.9</v>
      </c>
      <c r="S9876" s="18">
        <v>4164.4799999999996</v>
      </c>
      <c r="T9876" s="18">
        <v>3413.51</v>
      </c>
      <c r="U9876" s="16"/>
      <c r="V9876" s="16"/>
      <c r="W9876" s="16"/>
      <c r="X9876" s="19">
        <v>1.08</v>
      </c>
      <c r="Y9876" s="20">
        <v>2.1810000000000002E-3</v>
      </c>
      <c r="Z9876" s="21">
        <v>4601004279445</v>
      </c>
    </row>
    <row r="9877" spans="1:26" ht="12" customHeight="1" outlineLevel="4" x14ac:dyDescent="0.2">
      <c r="A9877" s="14" t="s">
        <v>18800</v>
      </c>
      <c r="B9877" s="26" t="s">
        <v>18801</v>
      </c>
      <c r="C9877" s="52"/>
      <c r="D9877" s="55">
        <f t="shared" si="154"/>
        <v>0</v>
      </c>
      <c r="E9877" s="63" t="str">
        <f>HYPERLINK("https://www.sds-group.ru/product/kabel-greyuschiy-samoreguliruyuschiysya-pischevoy-srp-10-2cr-10-kkns-2lpp-el-65-85-gotovyy-51-0607-4/", "Инфо")</f>
        <v>Инфо</v>
      </c>
      <c r="F9877" s="16" t="s">
        <v>39</v>
      </c>
      <c r="G9877" s="15"/>
      <c r="H9877" s="15"/>
      <c r="I9877" s="15"/>
      <c r="J9877" s="17">
        <v>148</v>
      </c>
      <c r="K9877" s="15" t="s">
        <v>1590</v>
      </c>
      <c r="L9877" s="17">
        <v>1</v>
      </c>
      <c r="M9877" s="17">
        <v>27</v>
      </c>
      <c r="N9877" s="17">
        <v>1</v>
      </c>
      <c r="O9877" s="18">
        <v>7680.89</v>
      </c>
      <c r="P9877" s="18">
        <v>6295.81</v>
      </c>
      <c r="Q9877" s="18">
        <v>5376.62</v>
      </c>
      <c r="R9877" s="18">
        <v>4407.07</v>
      </c>
      <c r="S9877" s="18">
        <v>5223.01</v>
      </c>
      <c r="T9877" s="18">
        <v>4281.16</v>
      </c>
      <c r="U9877" s="16"/>
      <c r="V9877" s="16"/>
      <c r="W9877" s="16"/>
      <c r="X9877" s="19">
        <v>1.302</v>
      </c>
      <c r="Y9877" s="20">
        <v>2.127E-3</v>
      </c>
      <c r="Z9877" s="21">
        <v>4601004279452</v>
      </c>
    </row>
    <row r="9878" spans="1:26" ht="12" customHeight="1" outlineLevel="4" x14ac:dyDescent="0.2">
      <c r="A9878" s="14" t="s">
        <v>18802</v>
      </c>
      <c r="B9878" s="26" t="s">
        <v>18803</v>
      </c>
      <c r="C9878" s="52"/>
      <c r="D9878" s="55">
        <f t="shared" si="154"/>
        <v>0</v>
      </c>
      <c r="E9878" s="63" t="str">
        <f>HYPERLINK("https://www.sds-group.ru/product/kabel-greyuschiy-samoreguliruyuschiysya-pischevoy-srp-10-2cr-10-kkns-2lpp-el-65-85-gotovyy-51-0608-4/", "Инфо")</f>
        <v>Инфо</v>
      </c>
      <c r="F9878" s="16" t="s">
        <v>39</v>
      </c>
      <c r="G9878" s="15"/>
      <c r="H9878" s="15"/>
      <c r="I9878" s="15"/>
      <c r="J9878" s="17">
        <v>201</v>
      </c>
      <c r="K9878" s="15" t="s">
        <v>1590</v>
      </c>
      <c r="L9878" s="17">
        <v>1</v>
      </c>
      <c r="M9878" s="17">
        <v>6</v>
      </c>
      <c r="N9878" s="17">
        <v>1</v>
      </c>
      <c r="O9878" s="18">
        <v>9702.18</v>
      </c>
      <c r="P9878" s="18">
        <v>7952.61</v>
      </c>
      <c r="Q9878" s="18">
        <v>6791.53</v>
      </c>
      <c r="R9878" s="18">
        <v>5566.83</v>
      </c>
      <c r="S9878" s="18">
        <v>6597.48</v>
      </c>
      <c r="T9878" s="18">
        <v>5407.77</v>
      </c>
      <c r="U9878" s="16"/>
      <c r="V9878" s="16"/>
      <c r="W9878" s="16"/>
      <c r="X9878" s="19">
        <v>1.5660000000000001</v>
      </c>
      <c r="Y9878" s="20">
        <v>2.3509999999999998E-3</v>
      </c>
      <c r="Z9878" s="21">
        <v>4601004279476</v>
      </c>
    </row>
    <row r="9879" spans="1:26" ht="12" customHeight="1" outlineLevel="4" x14ac:dyDescent="0.2">
      <c r="A9879" s="14" t="s">
        <v>18804</v>
      </c>
      <c r="B9879" s="26" t="s">
        <v>18805</v>
      </c>
      <c r="C9879" s="52"/>
      <c r="D9879" s="55">
        <f t="shared" si="154"/>
        <v>0</v>
      </c>
      <c r="E9879" s="63" t="str">
        <f>HYPERLINK("https://www.sds-group.ru/product/kabel-greyuschiy-samoreguliruyuschiysya-pischevoy-srp-10-2cr-10-kkns-2lpp-el-65-85-gotovyy-51-0601-4/", "Инфо")</f>
        <v>Инфо</v>
      </c>
      <c r="F9879" s="16" t="s">
        <v>39</v>
      </c>
      <c r="G9879" s="15"/>
      <c r="H9879" s="15"/>
      <c r="I9879" s="15"/>
      <c r="J9879" s="17">
        <v>637</v>
      </c>
      <c r="K9879" s="15" t="s">
        <v>1590</v>
      </c>
      <c r="L9879" s="17">
        <v>1</v>
      </c>
      <c r="M9879" s="17">
        <v>25</v>
      </c>
      <c r="N9879" s="17">
        <v>1</v>
      </c>
      <c r="O9879" s="18">
        <v>1732.04</v>
      </c>
      <c r="P9879" s="18">
        <v>1419.7</v>
      </c>
      <c r="Q9879" s="18">
        <v>1212.43</v>
      </c>
      <c r="R9879" s="18">
        <v>993.8</v>
      </c>
      <c r="S9879" s="18">
        <v>1177.79</v>
      </c>
      <c r="T9879" s="18">
        <v>965.4</v>
      </c>
      <c r="U9879" s="16"/>
      <c r="V9879" s="16"/>
      <c r="W9879" s="16"/>
      <c r="X9879" s="19">
        <v>0.35599999999999998</v>
      </c>
      <c r="Y9879" s="20">
        <v>1.4660000000000001E-3</v>
      </c>
      <c r="Z9879" s="21">
        <v>4601004279414</v>
      </c>
    </row>
    <row r="9880" spans="1:26" ht="12" customHeight="1" outlineLevel="4" x14ac:dyDescent="0.2">
      <c r="A9880" s="40" t="s">
        <v>18806</v>
      </c>
      <c r="B9880" s="75" t="s">
        <v>18807</v>
      </c>
      <c r="C9880" s="51"/>
      <c r="D9880" s="54">
        <f t="shared" si="154"/>
        <v>0</v>
      </c>
      <c r="E9880" s="62"/>
      <c r="F9880" s="42" t="s">
        <v>39</v>
      </c>
      <c r="G9880" s="41" t="s">
        <v>40</v>
      </c>
      <c r="H9880" s="41"/>
      <c r="I9880" s="41"/>
      <c r="J9880" s="43">
        <v>97</v>
      </c>
      <c r="K9880" s="41" t="s">
        <v>1590</v>
      </c>
      <c r="L9880" s="43">
        <v>1</v>
      </c>
      <c r="M9880" s="43">
        <v>48</v>
      </c>
      <c r="N9880" s="43">
        <v>1</v>
      </c>
      <c r="O9880" s="44">
        <v>1855</v>
      </c>
      <c r="P9880" s="44">
        <v>1520.49</v>
      </c>
      <c r="Q9880" s="44">
        <v>1855</v>
      </c>
      <c r="R9880" s="44">
        <v>1520.49</v>
      </c>
      <c r="S9880" s="44">
        <v>1261.4000000000001</v>
      </c>
      <c r="T9880" s="44">
        <v>1033.93</v>
      </c>
      <c r="U9880" s="42"/>
      <c r="V9880" s="42"/>
      <c r="W9880" s="42"/>
      <c r="X9880" s="45">
        <v>0.33600000000000002</v>
      </c>
      <c r="Y9880" s="46">
        <v>1.273E-3</v>
      </c>
      <c r="Z9880" s="21">
        <v>4601004355668</v>
      </c>
    </row>
    <row r="9881" spans="1:26" ht="12" customHeight="1" outlineLevel="4" x14ac:dyDescent="0.2">
      <c r="A9881" s="14" t="s">
        <v>18808</v>
      </c>
      <c r="B9881" s="26" t="s">
        <v>18809</v>
      </c>
      <c r="C9881" s="52"/>
      <c r="D9881" s="55">
        <f t="shared" si="154"/>
        <v>0</v>
      </c>
      <c r="E9881" s="63" t="str">
        <f>HYPERLINK("https://www.sds-group.ru/product/kabel-greyuschiy-samoreguliruyuschiysya-pischevoy-srp-10-2cr-10-kkns-2lpp-el-65-85-gotovyy-51-0602-4/", "Инфо")</f>
        <v>Инфо</v>
      </c>
      <c r="F9881" s="16" t="s">
        <v>39</v>
      </c>
      <c r="G9881" s="15"/>
      <c r="H9881" s="15"/>
      <c r="I9881" s="15"/>
      <c r="J9881" s="17">
        <v>234</v>
      </c>
      <c r="K9881" s="15" t="s">
        <v>1590</v>
      </c>
      <c r="L9881" s="17">
        <v>1</v>
      </c>
      <c r="M9881" s="17">
        <v>1</v>
      </c>
      <c r="N9881" s="17">
        <v>1</v>
      </c>
      <c r="O9881" s="18">
        <v>2275.8200000000002</v>
      </c>
      <c r="P9881" s="18">
        <v>1865.43</v>
      </c>
      <c r="Q9881" s="18">
        <v>1593.07</v>
      </c>
      <c r="R9881" s="18">
        <v>1305.8</v>
      </c>
      <c r="S9881" s="18">
        <v>1547.56</v>
      </c>
      <c r="T9881" s="18">
        <v>1268.49</v>
      </c>
      <c r="U9881" s="16"/>
      <c r="V9881" s="16"/>
      <c r="W9881" s="16"/>
      <c r="X9881" s="19">
        <v>0.46400000000000002</v>
      </c>
      <c r="Y9881" s="20">
        <v>2.1800000000000001E-3</v>
      </c>
      <c r="Z9881" s="21">
        <v>4601004279407</v>
      </c>
    </row>
    <row r="9882" spans="1:26" ht="12" customHeight="1" outlineLevel="4" x14ac:dyDescent="0.2">
      <c r="A9882" s="40" t="s">
        <v>18810</v>
      </c>
      <c r="B9882" s="75" t="s">
        <v>18811</v>
      </c>
      <c r="C9882" s="51"/>
      <c r="D9882" s="54">
        <f t="shared" si="154"/>
        <v>0</v>
      </c>
      <c r="E9882" s="62"/>
      <c r="F9882" s="42" t="s">
        <v>39</v>
      </c>
      <c r="G9882" s="41" t="s">
        <v>40</v>
      </c>
      <c r="H9882" s="41"/>
      <c r="I9882" s="41"/>
      <c r="J9882" s="43">
        <v>131</v>
      </c>
      <c r="K9882" s="41" t="s">
        <v>1590</v>
      </c>
      <c r="L9882" s="43">
        <v>1</v>
      </c>
      <c r="M9882" s="43">
        <v>36</v>
      </c>
      <c r="N9882" s="43">
        <v>1</v>
      </c>
      <c r="O9882" s="44">
        <v>2438</v>
      </c>
      <c r="P9882" s="44">
        <v>1998.36</v>
      </c>
      <c r="Q9882" s="44">
        <v>2438</v>
      </c>
      <c r="R9882" s="44">
        <v>1998.36</v>
      </c>
      <c r="S9882" s="44">
        <v>1657.84</v>
      </c>
      <c r="T9882" s="44">
        <v>1358.89</v>
      </c>
      <c r="U9882" s="42"/>
      <c r="V9882" s="42"/>
      <c r="W9882" s="42"/>
      <c r="X9882" s="45">
        <v>0.51300000000000001</v>
      </c>
      <c r="Y9882" s="46">
        <v>1.9090000000000001E-3</v>
      </c>
      <c r="Z9882" s="21">
        <v>4601004355651</v>
      </c>
    </row>
    <row r="9883" spans="1:26" ht="12" customHeight="1" outlineLevel="4" x14ac:dyDescent="0.2">
      <c r="A9883" s="14" t="s">
        <v>18812</v>
      </c>
      <c r="B9883" s="26" t="s">
        <v>18813</v>
      </c>
      <c r="C9883" s="52"/>
      <c r="D9883" s="55">
        <f t="shared" si="154"/>
        <v>0</v>
      </c>
      <c r="E9883" s="63" t="str">
        <f>HYPERLINK("https://www.sds-group.ru/product/kabel-greyuschiy-samoreguliruyuschiysya-pischevoy-srp-10-2cr-10-kkns-2lpp-el-65-85-gotovyy-51-0603-4/", "Инфо")</f>
        <v>Инфо</v>
      </c>
      <c r="F9883" s="16" t="s">
        <v>39</v>
      </c>
      <c r="G9883" s="15"/>
      <c r="H9883" s="15"/>
      <c r="I9883" s="15"/>
      <c r="J9883" s="17">
        <v>283</v>
      </c>
      <c r="K9883" s="15" t="s">
        <v>1590</v>
      </c>
      <c r="L9883" s="17">
        <v>1</v>
      </c>
      <c r="M9883" s="17">
        <v>16</v>
      </c>
      <c r="N9883" s="17">
        <v>1</v>
      </c>
      <c r="O9883" s="18">
        <v>2839.74</v>
      </c>
      <c r="P9883" s="18">
        <v>2327.66</v>
      </c>
      <c r="Q9883" s="18">
        <v>1987.82</v>
      </c>
      <c r="R9883" s="18">
        <v>1629.36</v>
      </c>
      <c r="S9883" s="18">
        <v>1931.02</v>
      </c>
      <c r="T9883" s="18">
        <v>1582.8</v>
      </c>
      <c r="U9883" s="16"/>
      <c r="V9883" s="16"/>
      <c r="W9883" s="16"/>
      <c r="X9883" s="19">
        <v>0.56399999999999995</v>
      </c>
      <c r="Y9883" s="20">
        <v>1.3320000000000001E-3</v>
      </c>
      <c r="Z9883" s="21">
        <v>4601004279469</v>
      </c>
    </row>
    <row r="9884" spans="1:26" ht="12" customHeight="1" outlineLevel="4" x14ac:dyDescent="0.2">
      <c r="A9884" s="40" t="s">
        <v>18814</v>
      </c>
      <c r="B9884" s="75" t="s">
        <v>18815</v>
      </c>
      <c r="C9884" s="51"/>
      <c r="D9884" s="54">
        <f t="shared" si="154"/>
        <v>0</v>
      </c>
      <c r="E9884" s="62"/>
      <c r="F9884" s="42" t="s">
        <v>39</v>
      </c>
      <c r="G9884" s="41" t="s">
        <v>40</v>
      </c>
      <c r="H9884" s="41"/>
      <c r="I9884" s="41"/>
      <c r="J9884" s="43">
        <v>39</v>
      </c>
      <c r="K9884" s="41" t="s">
        <v>1590</v>
      </c>
      <c r="L9884" s="43">
        <v>1</v>
      </c>
      <c r="M9884" s="43">
        <v>28</v>
      </c>
      <c r="N9884" s="43">
        <v>1</v>
      </c>
      <c r="O9884" s="44">
        <v>3121.7</v>
      </c>
      <c r="P9884" s="44">
        <v>2558.77</v>
      </c>
      <c r="Q9884" s="44">
        <v>2185.19</v>
      </c>
      <c r="R9884" s="44">
        <v>1791.14</v>
      </c>
      <c r="S9884" s="44">
        <v>2122.7600000000002</v>
      </c>
      <c r="T9884" s="44">
        <v>1739.97</v>
      </c>
      <c r="U9884" s="42"/>
      <c r="V9884" s="42"/>
      <c r="W9884" s="42"/>
      <c r="X9884" s="45">
        <v>0.56000000000000005</v>
      </c>
      <c r="Y9884" s="46">
        <v>1.802E-3</v>
      </c>
      <c r="Z9884" s="21">
        <v>4601004355644</v>
      </c>
    </row>
    <row r="9885" spans="1:26" ht="12" customHeight="1" outlineLevel="4" x14ac:dyDescent="0.2">
      <c r="A9885" s="14" t="s">
        <v>18816</v>
      </c>
      <c r="B9885" s="26" t="s">
        <v>18817</v>
      </c>
      <c r="C9885" s="52"/>
      <c r="D9885" s="55">
        <f t="shared" si="154"/>
        <v>0</v>
      </c>
      <c r="E9885" s="63" t="str">
        <f>HYPERLINK("https://www.sds-group.ru/product/kabel-greyuschiy-samoreguliruyuschiysya-pischevoy-srp-10-2cr-10-kkns-2lpp-el-65-85-gotovyy-51-0604-4/", "Инфо")</f>
        <v>Инфо</v>
      </c>
      <c r="F9885" s="16" t="s">
        <v>39</v>
      </c>
      <c r="G9885" s="15"/>
      <c r="H9885" s="15"/>
      <c r="I9885" s="15"/>
      <c r="J9885" s="16" t="s">
        <v>100</v>
      </c>
      <c r="K9885" s="15" t="s">
        <v>1590</v>
      </c>
      <c r="L9885" s="17">
        <v>1</v>
      </c>
      <c r="M9885" s="17">
        <v>12</v>
      </c>
      <c r="N9885" s="17">
        <v>1</v>
      </c>
      <c r="O9885" s="18">
        <v>3482</v>
      </c>
      <c r="P9885" s="18">
        <v>2854.1</v>
      </c>
      <c r="Q9885" s="18">
        <v>2437.4</v>
      </c>
      <c r="R9885" s="18">
        <v>1997.87</v>
      </c>
      <c r="S9885" s="18">
        <v>2367.7600000000002</v>
      </c>
      <c r="T9885" s="18">
        <v>1940.79</v>
      </c>
      <c r="U9885" s="16"/>
      <c r="V9885" s="16"/>
      <c r="W9885" s="16"/>
      <c r="X9885" s="19">
        <v>0.69099999999999995</v>
      </c>
      <c r="Y9885" s="20">
        <v>1.5499999999999999E-3</v>
      </c>
      <c r="Z9885" s="21">
        <v>4601004279421</v>
      </c>
    </row>
    <row r="9886" spans="1:26" ht="12" customHeight="1" outlineLevel="4" x14ac:dyDescent="0.2">
      <c r="A9886" s="14" t="s">
        <v>18818</v>
      </c>
      <c r="B9886" s="26" t="s">
        <v>18819</v>
      </c>
      <c r="C9886" s="52"/>
      <c r="D9886" s="55">
        <f t="shared" si="154"/>
        <v>0</v>
      </c>
      <c r="E9886" s="63" t="str">
        <f>HYPERLINK("https://www.sds-group.ru/product/kabel-greyuschiy-samoreguliruyuschiysya-pischevoy-model-srp-10htm2-ct-gotovyy-komplekt-v-tru-51-0605/", "Инфо")</f>
        <v>Инфо</v>
      </c>
      <c r="F9886" s="16" t="s">
        <v>974</v>
      </c>
      <c r="G9886" s="15"/>
      <c r="H9886" s="15"/>
      <c r="I9886" s="15"/>
      <c r="J9886" s="17">
        <v>100</v>
      </c>
      <c r="K9886" s="15"/>
      <c r="L9886" s="17">
        <v>1</v>
      </c>
      <c r="M9886" s="17">
        <v>16</v>
      </c>
      <c r="N9886" s="17">
        <v>1</v>
      </c>
      <c r="O9886" s="18">
        <v>5726.98</v>
      </c>
      <c r="P9886" s="18">
        <v>4694.25</v>
      </c>
      <c r="Q9886" s="18">
        <v>4180.7</v>
      </c>
      <c r="R9886" s="18">
        <v>3426.8</v>
      </c>
      <c r="S9886" s="18">
        <v>3894.35</v>
      </c>
      <c r="T9886" s="18">
        <v>3192.09</v>
      </c>
      <c r="U9886" s="16"/>
      <c r="V9886" s="16"/>
      <c r="W9886" s="16" t="s">
        <v>40</v>
      </c>
      <c r="X9886" s="19">
        <v>1.3680000000000001</v>
      </c>
      <c r="Y9886" s="20">
        <v>6.3660000000000001E-3</v>
      </c>
      <c r="Z9886" s="21">
        <v>4601004042858</v>
      </c>
    </row>
    <row r="9887" spans="1:26" ht="12" customHeight="1" outlineLevel="4" x14ac:dyDescent="0.2">
      <c r="A9887" s="14" t="s">
        <v>18820</v>
      </c>
      <c r="B9887" s="26" t="s">
        <v>18821</v>
      </c>
      <c r="C9887" s="52"/>
      <c r="D9887" s="55">
        <f t="shared" si="154"/>
        <v>0</v>
      </c>
      <c r="E9887" s="63" t="str">
        <f>HYPERLINK("https://www.sds-group.ru/product/kabel-greyuschiy-samoreguliruyuschiysya-pischevoy-model-srp-10htm2-ct-gotovyy-komplekt-v-tru-51-0606/", "Инфо")</f>
        <v>Инфо</v>
      </c>
      <c r="F9887" s="16" t="s">
        <v>974</v>
      </c>
      <c r="G9887" s="15"/>
      <c r="H9887" s="15"/>
      <c r="I9887" s="15"/>
      <c r="J9887" s="17">
        <v>138</v>
      </c>
      <c r="K9887" s="15" t="s">
        <v>1590</v>
      </c>
      <c r="L9887" s="17">
        <v>1</v>
      </c>
      <c r="M9887" s="17">
        <v>16</v>
      </c>
      <c r="N9887" s="17">
        <v>1</v>
      </c>
      <c r="O9887" s="18">
        <v>7706.22</v>
      </c>
      <c r="P9887" s="18">
        <v>6316.57</v>
      </c>
      <c r="Q9887" s="18">
        <v>5625.54</v>
      </c>
      <c r="R9887" s="18">
        <v>4611.1000000000004</v>
      </c>
      <c r="S9887" s="18">
        <v>5240.2299999999996</v>
      </c>
      <c r="T9887" s="18">
        <v>4295.2700000000004</v>
      </c>
      <c r="U9887" s="16"/>
      <c r="V9887" s="16"/>
      <c r="W9887" s="16" t="s">
        <v>40</v>
      </c>
      <c r="X9887" s="19">
        <v>1.657</v>
      </c>
      <c r="Y9887" s="20">
        <v>7.6949999999999996E-3</v>
      </c>
      <c r="Z9887" s="21">
        <v>4601004042865</v>
      </c>
    </row>
    <row r="9888" spans="1:26" ht="12" customHeight="1" outlineLevel="4" x14ac:dyDescent="0.2">
      <c r="A9888" s="14" t="s">
        <v>18822</v>
      </c>
      <c r="B9888" s="26" t="s">
        <v>18823</v>
      </c>
      <c r="C9888" s="52"/>
      <c r="D9888" s="55">
        <f t="shared" si="154"/>
        <v>0</v>
      </c>
      <c r="E9888" s="63" t="str">
        <f>HYPERLINK("https://www.sds-group.ru/product/kabel-greyuschiy-samoreguliruyuschiysya-pischevoy-model-srp-10htm2-ct-gotovyy-komplekt-v-tru-51-0607/", "Инфо")</f>
        <v>Инфо</v>
      </c>
      <c r="F9888" s="16" t="s">
        <v>974</v>
      </c>
      <c r="G9888" s="15"/>
      <c r="H9888" s="15"/>
      <c r="I9888" s="15"/>
      <c r="J9888" s="17">
        <v>133</v>
      </c>
      <c r="K9888" s="15" t="s">
        <v>1590</v>
      </c>
      <c r="L9888" s="17">
        <v>1</v>
      </c>
      <c r="M9888" s="17">
        <v>16</v>
      </c>
      <c r="N9888" s="17">
        <v>1</v>
      </c>
      <c r="O9888" s="18">
        <v>9745.2999999999993</v>
      </c>
      <c r="P9888" s="18">
        <v>7987.95</v>
      </c>
      <c r="Q9888" s="18">
        <v>7114.07</v>
      </c>
      <c r="R9888" s="18">
        <v>5831.2</v>
      </c>
      <c r="S9888" s="18">
        <v>6626.8</v>
      </c>
      <c r="T9888" s="18">
        <v>5431.8</v>
      </c>
      <c r="U9888" s="16"/>
      <c r="V9888" s="16"/>
      <c r="W9888" s="16" t="s">
        <v>40</v>
      </c>
      <c r="X9888" s="19">
        <v>1.91</v>
      </c>
      <c r="Y9888" s="20">
        <v>7.4749999999999999E-3</v>
      </c>
      <c r="Z9888" s="21">
        <v>4601004042872</v>
      </c>
    </row>
    <row r="9889" spans="1:26" ht="12" customHeight="1" outlineLevel="4" x14ac:dyDescent="0.2">
      <c r="A9889" s="14" t="s">
        <v>18824</v>
      </c>
      <c r="B9889" s="26" t="s">
        <v>18825</v>
      </c>
      <c r="C9889" s="52"/>
      <c r="D9889" s="55">
        <f t="shared" si="154"/>
        <v>0</v>
      </c>
      <c r="E9889" s="63" t="str">
        <f>HYPERLINK("https://www.sds-group.ru/product/kabel-greyuschiy-samoreguliruyuschiysya-pischevoy-model-srp-10htm2-ct-gotovyy-komplekt-v-tru-51-0608/", "Инфо")</f>
        <v>Инфо</v>
      </c>
      <c r="F9889" s="16" t="s">
        <v>974</v>
      </c>
      <c r="G9889" s="15"/>
      <c r="H9889" s="15"/>
      <c r="I9889" s="15"/>
      <c r="J9889" s="17">
        <v>40</v>
      </c>
      <c r="K9889" s="15" t="s">
        <v>1590</v>
      </c>
      <c r="L9889" s="17">
        <v>1</v>
      </c>
      <c r="M9889" s="17">
        <v>16</v>
      </c>
      <c r="N9889" s="17">
        <v>1</v>
      </c>
      <c r="O9889" s="18">
        <v>11405.45</v>
      </c>
      <c r="P9889" s="18">
        <v>9348.73</v>
      </c>
      <c r="Q9889" s="18">
        <v>8325.98</v>
      </c>
      <c r="R9889" s="18">
        <v>6824.57</v>
      </c>
      <c r="S9889" s="18">
        <v>7755.71</v>
      </c>
      <c r="T9889" s="18">
        <v>6357.14</v>
      </c>
      <c r="U9889" s="16"/>
      <c r="V9889" s="16"/>
      <c r="W9889" s="16" t="s">
        <v>40</v>
      </c>
      <c r="X9889" s="19">
        <v>2.1440000000000001</v>
      </c>
      <c r="Y9889" s="20">
        <v>7.1760000000000001E-3</v>
      </c>
      <c r="Z9889" s="21">
        <v>4601004042902</v>
      </c>
    </row>
    <row r="9890" spans="1:26" ht="12" customHeight="1" outlineLevel="4" x14ac:dyDescent="0.2">
      <c r="A9890" s="14" t="s">
        <v>18826</v>
      </c>
      <c r="B9890" s="26" t="s">
        <v>18827</v>
      </c>
      <c r="C9890" s="52"/>
      <c r="D9890" s="55">
        <f t="shared" si="154"/>
        <v>0</v>
      </c>
      <c r="E9890" s="63" t="str">
        <f>HYPERLINK("https://www.sds-group.ru/product/kabel-greyuschiy-samoreguliruyuschiysya-pischevoy-model-srp-10htm2-ct-gotovyy-komplekt-v-tru-51-0601/", "Инфо")</f>
        <v>Инфо</v>
      </c>
      <c r="F9890" s="16" t="s">
        <v>974</v>
      </c>
      <c r="G9890" s="15"/>
      <c r="H9890" s="15"/>
      <c r="I9890" s="15"/>
      <c r="J9890" s="17">
        <v>792</v>
      </c>
      <c r="K9890" s="15" t="s">
        <v>1590</v>
      </c>
      <c r="L9890" s="17">
        <v>1</v>
      </c>
      <c r="M9890" s="17">
        <v>16</v>
      </c>
      <c r="N9890" s="17">
        <v>1</v>
      </c>
      <c r="O9890" s="18">
        <v>2587.25</v>
      </c>
      <c r="P9890" s="18">
        <v>2120.6999999999998</v>
      </c>
      <c r="Q9890" s="18">
        <v>1888.69</v>
      </c>
      <c r="R9890" s="18">
        <v>1548.11</v>
      </c>
      <c r="S9890" s="18">
        <v>1759.33</v>
      </c>
      <c r="T9890" s="18">
        <v>1442.07</v>
      </c>
      <c r="U9890" s="16"/>
      <c r="V9890" s="16"/>
      <c r="W9890" s="16" t="s">
        <v>40</v>
      </c>
      <c r="X9890" s="19">
        <v>0.76100000000000001</v>
      </c>
      <c r="Y9890" s="20">
        <v>7.404E-3</v>
      </c>
      <c r="Z9890" s="21">
        <v>4601004042896</v>
      </c>
    </row>
    <row r="9891" spans="1:26" ht="12" customHeight="1" outlineLevel="4" x14ac:dyDescent="0.2">
      <c r="A9891" s="14" t="s">
        <v>18828</v>
      </c>
      <c r="B9891" s="26" t="s">
        <v>18829</v>
      </c>
      <c r="C9891" s="52"/>
      <c r="D9891" s="55">
        <f t="shared" si="154"/>
        <v>0</v>
      </c>
      <c r="E9891" s="63" t="str">
        <f>HYPERLINK("https://www.sds-group.ru/product/kabel-greyuschiy-samoreguliruyuschiysya-pischevoy-model-srp-10htm2-ct-gotovyy-komplekt-v-tru-51-0602/", "Инфо")</f>
        <v>Инфо</v>
      </c>
      <c r="F9891" s="16" t="s">
        <v>974</v>
      </c>
      <c r="G9891" s="15"/>
      <c r="H9891" s="15"/>
      <c r="I9891" s="15"/>
      <c r="J9891" s="17">
        <v>790</v>
      </c>
      <c r="K9891" s="15" t="s">
        <v>1590</v>
      </c>
      <c r="L9891" s="17">
        <v>1</v>
      </c>
      <c r="M9891" s="17">
        <v>16</v>
      </c>
      <c r="N9891" s="17">
        <v>1</v>
      </c>
      <c r="O9891" s="18">
        <v>3298.74</v>
      </c>
      <c r="P9891" s="18">
        <v>2703.89</v>
      </c>
      <c r="Q9891" s="18">
        <v>2408.08</v>
      </c>
      <c r="R9891" s="18">
        <v>1973.84</v>
      </c>
      <c r="S9891" s="18">
        <v>2243.14</v>
      </c>
      <c r="T9891" s="18">
        <v>1838.64</v>
      </c>
      <c r="U9891" s="16"/>
      <c r="V9891" s="16"/>
      <c r="W9891" s="16" t="s">
        <v>40</v>
      </c>
      <c r="X9891" s="19">
        <v>0.88700000000000001</v>
      </c>
      <c r="Y9891" s="20">
        <v>7.3499999999999998E-3</v>
      </c>
      <c r="Z9891" s="21">
        <v>4601004042827</v>
      </c>
    </row>
    <row r="9892" spans="1:26" ht="12" customHeight="1" outlineLevel="4" x14ac:dyDescent="0.2">
      <c r="A9892" s="14" t="s">
        <v>18830</v>
      </c>
      <c r="B9892" s="26" t="s">
        <v>18831</v>
      </c>
      <c r="C9892" s="52"/>
      <c r="D9892" s="55">
        <f t="shared" si="154"/>
        <v>0</v>
      </c>
      <c r="E9892" s="63" t="str">
        <f>HYPERLINK("https://www.sds-group.ru/product/kabel-greyuschiy-samoreguliruyuschiysya-pischevoy-model-srp-10htm2-ct-gotovyy-komplekt-v-tru-51-0603/", "Инфо")</f>
        <v>Инфо</v>
      </c>
      <c r="F9892" s="16" t="s">
        <v>974</v>
      </c>
      <c r="G9892" s="15"/>
      <c r="H9892" s="15"/>
      <c r="I9892" s="15"/>
      <c r="J9892" s="17">
        <v>339</v>
      </c>
      <c r="K9892" s="15" t="s">
        <v>1590</v>
      </c>
      <c r="L9892" s="17">
        <v>1</v>
      </c>
      <c r="M9892" s="17">
        <v>16</v>
      </c>
      <c r="N9892" s="17">
        <v>1</v>
      </c>
      <c r="O9892" s="18">
        <v>4042.58</v>
      </c>
      <c r="P9892" s="18">
        <v>3313.59</v>
      </c>
      <c r="Q9892" s="18">
        <v>2951.08</v>
      </c>
      <c r="R9892" s="18">
        <v>2418.92</v>
      </c>
      <c r="S9892" s="18">
        <v>2748.95</v>
      </c>
      <c r="T9892" s="18">
        <v>2253.2399999999998</v>
      </c>
      <c r="U9892" s="16"/>
      <c r="V9892" s="16"/>
      <c r="W9892" s="16" t="s">
        <v>40</v>
      </c>
      <c r="X9892" s="19">
        <v>0.98499999999999999</v>
      </c>
      <c r="Y9892" s="20">
        <v>7.4679999999999998E-3</v>
      </c>
      <c r="Z9892" s="21">
        <v>4601004042841</v>
      </c>
    </row>
    <row r="9893" spans="1:26" ht="12" customHeight="1" outlineLevel="4" x14ac:dyDescent="0.2">
      <c r="A9893" s="14" t="s">
        <v>18832</v>
      </c>
      <c r="B9893" s="26" t="s">
        <v>18833</v>
      </c>
      <c r="C9893" s="52"/>
      <c r="D9893" s="55">
        <f t="shared" si="154"/>
        <v>0</v>
      </c>
      <c r="E9893" s="63" t="str">
        <f>HYPERLINK("https://www.sds-group.ru/product/kabel-greyuschiy-samoreguliruyuschiysya-pischevoy-model-srp-10htm2-ct-gotovyy-komplekt-v-tru-51-0604/", "Инфо")</f>
        <v>Инфо</v>
      </c>
      <c r="F9893" s="16" t="s">
        <v>974</v>
      </c>
      <c r="G9893" s="15"/>
      <c r="H9893" s="15"/>
      <c r="I9893" s="15"/>
      <c r="J9893" s="17">
        <v>451</v>
      </c>
      <c r="K9893" s="15" t="s">
        <v>1590</v>
      </c>
      <c r="L9893" s="17">
        <v>1</v>
      </c>
      <c r="M9893" s="17">
        <v>16</v>
      </c>
      <c r="N9893" s="17">
        <v>1</v>
      </c>
      <c r="O9893" s="18">
        <v>4667.83</v>
      </c>
      <c r="P9893" s="18">
        <v>3826.09</v>
      </c>
      <c r="Q9893" s="18">
        <v>3407.52</v>
      </c>
      <c r="R9893" s="18">
        <v>2793.05</v>
      </c>
      <c r="S9893" s="18">
        <v>3174.12</v>
      </c>
      <c r="T9893" s="18">
        <v>2601.7399999999998</v>
      </c>
      <c r="U9893" s="16"/>
      <c r="V9893" s="16"/>
      <c r="W9893" s="16" t="s">
        <v>40</v>
      </c>
      <c r="X9893" s="19">
        <v>1.133</v>
      </c>
      <c r="Y9893" s="20">
        <v>7.3150000000000003E-3</v>
      </c>
      <c r="Z9893" s="21">
        <v>4601004042834</v>
      </c>
    </row>
    <row r="9894" spans="1:26" ht="12.95" customHeight="1" outlineLevel="3" x14ac:dyDescent="0.2">
      <c r="A9894" s="76" t="s">
        <v>18834</v>
      </c>
      <c r="B9894" s="76"/>
      <c r="C9894" s="77"/>
      <c r="D9894" s="58"/>
      <c r="E9894" s="68"/>
      <c r="F9894" s="13"/>
      <c r="G9894" s="13"/>
      <c r="H9894" s="13"/>
      <c r="I9894" s="13"/>
      <c r="J9894" s="13"/>
      <c r="K9894" s="13"/>
      <c r="L9894" s="13"/>
      <c r="M9894" s="13"/>
      <c r="N9894" s="13"/>
      <c r="O9894" s="13"/>
      <c r="P9894" s="13"/>
      <c r="Q9894" s="13"/>
      <c r="R9894" s="13"/>
      <c r="S9894" s="13"/>
      <c r="T9894" s="13"/>
      <c r="U9894" s="13"/>
      <c r="V9894" s="13"/>
      <c r="W9894" s="13"/>
      <c r="X9894" s="13"/>
      <c r="Y9894" s="13"/>
      <c r="Z9894" s="13"/>
    </row>
    <row r="9895" spans="1:26" ht="12" customHeight="1" outlineLevel="4" x14ac:dyDescent="0.2">
      <c r="A9895" s="14" t="s">
        <v>18835</v>
      </c>
      <c r="B9895" s="26" t="s">
        <v>18836</v>
      </c>
      <c r="C9895" s="52"/>
      <c r="D9895" s="55">
        <f t="shared" si="154"/>
        <v>0</v>
      </c>
      <c r="E9895" s="63" t="str">
        <f>HYPERLINK("https://www.sds-group.ru/product/kabel-greyuschiy-samoreguliruyuschiysya-model-srl-16vt-m-na-trubu-10m-160vt-proconnect-51-0243/", "Инфо")</f>
        <v>Инфо</v>
      </c>
      <c r="F9895" s="16" t="s">
        <v>39</v>
      </c>
      <c r="G9895" s="15"/>
      <c r="H9895" s="15"/>
      <c r="I9895" s="15"/>
      <c r="J9895" s="17">
        <v>58</v>
      </c>
      <c r="K9895" s="15" t="s">
        <v>1590</v>
      </c>
      <c r="L9895" s="17">
        <v>1</v>
      </c>
      <c r="M9895" s="17">
        <v>20</v>
      </c>
      <c r="N9895" s="17">
        <v>1</v>
      </c>
      <c r="O9895" s="18">
        <v>2457.89</v>
      </c>
      <c r="P9895" s="18">
        <v>2014.66</v>
      </c>
      <c r="Q9895" s="18">
        <v>1720.52</v>
      </c>
      <c r="R9895" s="18">
        <v>1410.26</v>
      </c>
      <c r="S9895" s="18">
        <v>1671.37</v>
      </c>
      <c r="T9895" s="18">
        <v>1369.98</v>
      </c>
      <c r="U9895" s="16"/>
      <c r="V9895" s="16"/>
      <c r="W9895" s="16"/>
      <c r="X9895" s="19">
        <v>0.45500000000000002</v>
      </c>
      <c r="Y9895" s="20">
        <v>2.4949999999999998E-3</v>
      </c>
      <c r="Z9895" s="21">
        <v>4601004240414</v>
      </c>
    </row>
    <row r="9896" spans="1:26" ht="12" customHeight="1" outlineLevel="4" x14ac:dyDescent="0.2">
      <c r="A9896" s="14" t="s">
        <v>18837</v>
      </c>
      <c r="B9896" s="26" t="s">
        <v>18838</v>
      </c>
      <c r="C9896" s="52"/>
      <c r="D9896" s="55">
        <f t="shared" si="154"/>
        <v>0</v>
      </c>
      <c r="E9896" s="63" t="str">
        <f>HYPERLINK("https://www.sds-group.ru/product/kabel-greyuschiy-samoreguliruyuschiysya-model-srl-16vt-m-na-trubu-15m-240vt-proconnect-51-0244/", "Инфо")</f>
        <v>Инфо</v>
      </c>
      <c r="F9896" s="16" t="s">
        <v>39</v>
      </c>
      <c r="G9896" s="15"/>
      <c r="H9896" s="15"/>
      <c r="I9896" s="15"/>
      <c r="J9896" s="17">
        <v>26</v>
      </c>
      <c r="K9896" s="15" t="s">
        <v>1590</v>
      </c>
      <c r="L9896" s="17">
        <v>1</v>
      </c>
      <c r="M9896" s="17">
        <v>16</v>
      </c>
      <c r="N9896" s="17">
        <v>1</v>
      </c>
      <c r="O9896" s="18">
        <v>3222.4</v>
      </c>
      <c r="P9896" s="18">
        <v>2641.31</v>
      </c>
      <c r="Q9896" s="18">
        <v>2255.6799999999998</v>
      </c>
      <c r="R9896" s="18">
        <v>1848.92</v>
      </c>
      <c r="S9896" s="18">
        <v>2191.23</v>
      </c>
      <c r="T9896" s="18">
        <v>1796.09</v>
      </c>
      <c r="U9896" s="16"/>
      <c r="V9896" s="16"/>
      <c r="W9896" s="16"/>
      <c r="X9896" s="19">
        <v>0.64200000000000002</v>
      </c>
      <c r="Y9896" s="20">
        <v>3.0730000000000002E-3</v>
      </c>
      <c r="Z9896" s="21">
        <v>4601004240407</v>
      </c>
    </row>
    <row r="9897" spans="1:26" ht="12" customHeight="1" outlineLevel="4" x14ac:dyDescent="0.2">
      <c r="A9897" s="40" t="s">
        <v>18839</v>
      </c>
      <c r="B9897" s="75" t="s">
        <v>18840</v>
      </c>
      <c r="C9897" s="51"/>
      <c r="D9897" s="54">
        <f t="shared" si="154"/>
        <v>0</v>
      </c>
      <c r="E9897" s="62"/>
      <c r="F9897" s="42" t="s">
        <v>39</v>
      </c>
      <c r="G9897" s="41" t="s">
        <v>40</v>
      </c>
      <c r="H9897" s="41"/>
      <c r="I9897" s="41"/>
      <c r="J9897" s="43">
        <v>114</v>
      </c>
      <c r="K9897" s="41" t="s">
        <v>1590</v>
      </c>
      <c r="L9897" s="43">
        <v>1</v>
      </c>
      <c r="M9897" s="43">
        <v>18</v>
      </c>
      <c r="N9897" s="43">
        <v>1</v>
      </c>
      <c r="O9897" s="44">
        <v>3725.9</v>
      </c>
      <c r="P9897" s="44">
        <v>3054.02</v>
      </c>
      <c r="Q9897" s="44">
        <v>2608.13</v>
      </c>
      <c r="R9897" s="44">
        <v>2137.81</v>
      </c>
      <c r="S9897" s="44">
        <v>2533.61</v>
      </c>
      <c r="T9897" s="44">
        <v>2076.73</v>
      </c>
      <c r="U9897" s="42"/>
      <c r="V9897" s="42"/>
      <c r="W9897" s="42"/>
      <c r="X9897" s="45">
        <v>0.80900000000000005</v>
      </c>
      <c r="Y9897" s="46">
        <v>2.6189999999999998E-3</v>
      </c>
      <c r="Z9897" s="21">
        <v>4601004355613</v>
      </c>
    </row>
    <row r="9898" spans="1:26" ht="12" customHeight="1" outlineLevel="4" x14ac:dyDescent="0.2">
      <c r="A9898" s="40" t="s">
        <v>18841</v>
      </c>
      <c r="B9898" s="75" t="s">
        <v>18842</v>
      </c>
      <c r="C9898" s="51"/>
      <c r="D9898" s="54">
        <f t="shared" si="154"/>
        <v>0</v>
      </c>
      <c r="E9898" s="62"/>
      <c r="F9898" s="42" t="s">
        <v>39</v>
      </c>
      <c r="G9898" s="41" t="s">
        <v>40</v>
      </c>
      <c r="H9898" s="41"/>
      <c r="I9898" s="41"/>
      <c r="J9898" s="43">
        <v>48</v>
      </c>
      <c r="K9898" s="41" t="s">
        <v>1590</v>
      </c>
      <c r="L9898" s="43">
        <v>1</v>
      </c>
      <c r="M9898" s="43">
        <v>12</v>
      </c>
      <c r="N9898" s="43">
        <v>1</v>
      </c>
      <c r="O9898" s="44">
        <v>3816</v>
      </c>
      <c r="P9898" s="44">
        <v>3127.87</v>
      </c>
      <c r="Q9898" s="44">
        <v>3816</v>
      </c>
      <c r="R9898" s="44">
        <v>3127.87</v>
      </c>
      <c r="S9898" s="44">
        <v>2594.88</v>
      </c>
      <c r="T9898" s="44">
        <v>2126.9499999999998</v>
      </c>
      <c r="U9898" s="42"/>
      <c r="V9898" s="42"/>
      <c r="W9898" s="42"/>
      <c r="X9898" s="45">
        <v>0.93200000000000005</v>
      </c>
      <c r="Y9898" s="46">
        <v>2.7799999999999999E-3</v>
      </c>
      <c r="Z9898" s="21">
        <v>4601004355606</v>
      </c>
    </row>
    <row r="9899" spans="1:26" ht="12" customHeight="1" outlineLevel="4" x14ac:dyDescent="0.2">
      <c r="A9899" s="14" t="s">
        <v>18843</v>
      </c>
      <c r="B9899" s="26" t="s">
        <v>18844</v>
      </c>
      <c r="C9899" s="52"/>
      <c r="D9899" s="55">
        <f t="shared" si="154"/>
        <v>0</v>
      </c>
      <c r="E9899" s="63" t="str">
        <f>HYPERLINK("https://www.sds-group.ru/product/kabel-greyuschiy-samoreguliruyuschiysya-model-srl-16vt-m-na-trubu-2m-32vt-proconnect-51-0240/", "Инфо")</f>
        <v>Инфо</v>
      </c>
      <c r="F9899" s="16" t="s">
        <v>39</v>
      </c>
      <c r="G9899" s="15"/>
      <c r="H9899" s="15"/>
      <c r="I9899" s="15"/>
      <c r="J9899" s="17">
        <v>117</v>
      </c>
      <c r="K9899" s="15" t="s">
        <v>1590</v>
      </c>
      <c r="L9899" s="17">
        <v>1</v>
      </c>
      <c r="M9899" s="17">
        <v>16</v>
      </c>
      <c r="N9899" s="17">
        <v>1</v>
      </c>
      <c r="O9899" s="18">
        <v>962.67</v>
      </c>
      <c r="P9899" s="18">
        <v>789.07</v>
      </c>
      <c r="Q9899" s="18">
        <v>673.87</v>
      </c>
      <c r="R9899" s="18">
        <v>552.35</v>
      </c>
      <c r="S9899" s="18">
        <v>654.62</v>
      </c>
      <c r="T9899" s="18">
        <v>536.57000000000005</v>
      </c>
      <c r="U9899" s="16"/>
      <c r="V9899" s="16"/>
      <c r="W9899" s="16"/>
      <c r="X9899" s="19">
        <v>0.19900000000000001</v>
      </c>
      <c r="Y9899" s="20">
        <v>6.0700000000000001E-4</v>
      </c>
      <c r="Z9899" s="21">
        <v>4601004240384</v>
      </c>
    </row>
    <row r="9900" spans="1:26" ht="12" customHeight="1" outlineLevel="4" x14ac:dyDescent="0.2">
      <c r="A9900" s="40" t="s">
        <v>18845</v>
      </c>
      <c r="B9900" s="75" t="s">
        <v>18846</v>
      </c>
      <c r="C9900" s="51"/>
      <c r="D9900" s="54">
        <f t="shared" si="154"/>
        <v>0</v>
      </c>
      <c r="E9900" s="62"/>
      <c r="F9900" s="42" t="s">
        <v>39</v>
      </c>
      <c r="G9900" s="41" t="s">
        <v>40</v>
      </c>
      <c r="H9900" s="41"/>
      <c r="I9900" s="41"/>
      <c r="J9900" s="43">
        <v>49</v>
      </c>
      <c r="K9900" s="41" t="s">
        <v>1590</v>
      </c>
      <c r="L9900" s="43">
        <v>1</v>
      </c>
      <c r="M9900" s="43">
        <v>12</v>
      </c>
      <c r="N9900" s="43">
        <v>1</v>
      </c>
      <c r="O9900" s="44">
        <v>4452</v>
      </c>
      <c r="P9900" s="44">
        <v>3649.18</v>
      </c>
      <c r="Q9900" s="44">
        <v>4452</v>
      </c>
      <c r="R9900" s="44">
        <v>3649.18</v>
      </c>
      <c r="S9900" s="44">
        <v>3027.36</v>
      </c>
      <c r="T9900" s="44">
        <v>2481.44</v>
      </c>
      <c r="U9900" s="42"/>
      <c r="V9900" s="42"/>
      <c r="W9900" s="42"/>
      <c r="X9900" s="45">
        <v>1.1240000000000001</v>
      </c>
      <c r="Y9900" s="46">
        <v>3.6819999999999999E-3</v>
      </c>
      <c r="Z9900" s="21">
        <v>4601004355590</v>
      </c>
    </row>
    <row r="9901" spans="1:26" ht="12" customHeight="1" outlineLevel="4" x14ac:dyDescent="0.2">
      <c r="A9901" s="40" t="s">
        <v>18847</v>
      </c>
      <c r="B9901" s="75" t="s">
        <v>18848</v>
      </c>
      <c r="C9901" s="51"/>
      <c r="D9901" s="54">
        <f t="shared" si="154"/>
        <v>0</v>
      </c>
      <c r="E9901" s="62"/>
      <c r="F9901" s="42" t="s">
        <v>39</v>
      </c>
      <c r="G9901" s="41" t="s">
        <v>40</v>
      </c>
      <c r="H9901" s="41"/>
      <c r="I9901" s="41"/>
      <c r="J9901" s="43">
        <v>346</v>
      </c>
      <c r="K9901" s="41" t="s">
        <v>1590</v>
      </c>
      <c r="L9901" s="43">
        <v>1</v>
      </c>
      <c r="M9901" s="43">
        <v>50</v>
      </c>
      <c r="N9901" s="43">
        <v>1</v>
      </c>
      <c r="O9901" s="44">
        <v>1107.7</v>
      </c>
      <c r="P9901" s="44">
        <v>907.95</v>
      </c>
      <c r="Q9901" s="44">
        <v>775.39</v>
      </c>
      <c r="R9901" s="44">
        <v>635.57000000000005</v>
      </c>
      <c r="S9901" s="44">
        <v>753.24</v>
      </c>
      <c r="T9901" s="44">
        <v>617.41</v>
      </c>
      <c r="U9901" s="42"/>
      <c r="V9901" s="42"/>
      <c r="W9901" s="42"/>
      <c r="X9901" s="45">
        <v>0.16600000000000001</v>
      </c>
      <c r="Y9901" s="46">
        <v>1.4350000000000001E-3</v>
      </c>
      <c r="Z9901" s="21">
        <v>4601004355637</v>
      </c>
    </row>
    <row r="9902" spans="1:26" ht="12" customHeight="1" outlineLevel="4" x14ac:dyDescent="0.2">
      <c r="A9902" s="14" t="s">
        <v>18849</v>
      </c>
      <c r="B9902" s="26" t="s">
        <v>18850</v>
      </c>
      <c r="C9902" s="52"/>
      <c r="D9902" s="55">
        <f t="shared" si="154"/>
        <v>0</v>
      </c>
      <c r="E9902" s="63" t="str">
        <f>HYPERLINK("https://www.sds-group.ru/product/kabel-greyuschiy-samoreguliruyuschiysya-model-srl-16vt-m-na-trubu-4m-64vt-proconnect-51-0241/", "Инфо")</f>
        <v>Инфо</v>
      </c>
      <c r="F9902" s="16" t="s">
        <v>39</v>
      </c>
      <c r="G9902" s="15"/>
      <c r="H9902" s="15"/>
      <c r="I9902" s="15"/>
      <c r="J9902" s="17">
        <v>82</v>
      </c>
      <c r="K9902" s="15" t="s">
        <v>1590</v>
      </c>
      <c r="L9902" s="17">
        <v>1</v>
      </c>
      <c r="M9902" s="17">
        <v>32</v>
      </c>
      <c r="N9902" s="17">
        <v>1</v>
      </c>
      <c r="O9902" s="18">
        <v>1319.17</v>
      </c>
      <c r="P9902" s="18">
        <v>1081.29</v>
      </c>
      <c r="Q9902" s="18">
        <v>923.42</v>
      </c>
      <c r="R9902" s="18">
        <v>756.9</v>
      </c>
      <c r="S9902" s="18">
        <v>897.04</v>
      </c>
      <c r="T9902" s="18">
        <v>735.28</v>
      </c>
      <c r="U9902" s="16"/>
      <c r="V9902" s="16"/>
      <c r="W9902" s="16"/>
      <c r="X9902" s="19">
        <v>0.23</v>
      </c>
      <c r="Y9902" s="20">
        <v>1.4989999999999999E-3</v>
      </c>
      <c r="Z9902" s="21">
        <v>4601004240391</v>
      </c>
    </row>
    <row r="9903" spans="1:26" ht="12" customHeight="1" outlineLevel="4" x14ac:dyDescent="0.2">
      <c r="A9903" s="40" t="s">
        <v>18851</v>
      </c>
      <c r="B9903" s="75" t="s">
        <v>18852</v>
      </c>
      <c r="C9903" s="51"/>
      <c r="D9903" s="54">
        <f t="shared" si="154"/>
        <v>0</v>
      </c>
      <c r="E9903" s="62"/>
      <c r="F9903" s="42" t="s">
        <v>39</v>
      </c>
      <c r="G9903" s="41" t="s">
        <v>40</v>
      </c>
      <c r="H9903" s="41"/>
      <c r="I9903" s="41"/>
      <c r="J9903" s="43">
        <v>336</v>
      </c>
      <c r="K9903" s="41" t="s">
        <v>1590</v>
      </c>
      <c r="L9903" s="43">
        <v>1</v>
      </c>
      <c r="M9903" s="43">
        <v>40</v>
      </c>
      <c r="N9903" s="43">
        <v>1</v>
      </c>
      <c r="O9903" s="44">
        <v>1500.43</v>
      </c>
      <c r="P9903" s="44">
        <v>1229.8599999999999</v>
      </c>
      <c r="Q9903" s="44">
        <v>1050.3</v>
      </c>
      <c r="R9903" s="44">
        <v>860.9</v>
      </c>
      <c r="S9903" s="44">
        <v>1020.29</v>
      </c>
      <c r="T9903" s="44">
        <v>836.3</v>
      </c>
      <c r="U9903" s="42"/>
      <c r="V9903" s="42"/>
      <c r="W9903" s="42"/>
      <c r="X9903" s="45">
        <v>0.25</v>
      </c>
      <c r="Y9903" s="46">
        <v>1.42E-3</v>
      </c>
      <c r="Z9903" s="21">
        <v>4601004355620</v>
      </c>
    </row>
    <row r="9904" spans="1:26" ht="12" customHeight="1" outlineLevel="4" x14ac:dyDescent="0.2">
      <c r="A9904" s="14" t="s">
        <v>18853</v>
      </c>
      <c r="B9904" s="26" t="s">
        <v>18854</v>
      </c>
      <c r="C9904" s="52"/>
      <c r="D9904" s="55">
        <f t="shared" si="154"/>
        <v>0</v>
      </c>
      <c r="E9904" s="63" t="str">
        <f>HYPERLINK("https://www.sds-group.ru/product/kabel-greyuschiy-samoreguliruyuschiysya-model-srl-16vt-m-na-trubu-6m-96vt-proconnect-51-0242/", "Инфо")</f>
        <v>Инфо</v>
      </c>
      <c r="F9904" s="16" t="s">
        <v>39</v>
      </c>
      <c r="G9904" s="15"/>
      <c r="H9904" s="15"/>
      <c r="I9904" s="15"/>
      <c r="J9904" s="17">
        <v>674</v>
      </c>
      <c r="K9904" s="15" t="s">
        <v>1590</v>
      </c>
      <c r="L9904" s="17">
        <v>1</v>
      </c>
      <c r="M9904" s="17">
        <v>28</v>
      </c>
      <c r="N9904" s="17">
        <v>1</v>
      </c>
      <c r="O9904" s="18">
        <v>1843.41</v>
      </c>
      <c r="P9904" s="18">
        <v>1510.99</v>
      </c>
      <c r="Q9904" s="18">
        <v>1290.3900000000001</v>
      </c>
      <c r="R9904" s="18">
        <v>1057.7</v>
      </c>
      <c r="S9904" s="18">
        <v>1253.52</v>
      </c>
      <c r="T9904" s="18">
        <v>1027.48</v>
      </c>
      <c r="U9904" s="16"/>
      <c r="V9904" s="16"/>
      <c r="W9904" s="16"/>
      <c r="X9904" s="19">
        <v>0.30499999999999999</v>
      </c>
      <c r="Y9904" s="20">
        <v>2.5249999999999999E-3</v>
      </c>
      <c r="Z9904" s="21">
        <v>4601004240421</v>
      </c>
    </row>
    <row r="9905" spans="1:26" ht="12" customHeight="1" outlineLevel="4" x14ac:dyDescent="0.2">
      <c r="A9905" s="14" t="s">
        <v>18855</v>
      </c>
      <c r="B9905" s="26" t="s">
        <v>18856</v>
      </c>
      <c r="C9905" s="52"/>
      <c r="D9905" s="55">
        <f t="shared" si="154"/>
        <v>0</v>
      </c>
      <c r="E9905" s="64"/>
      <c r="F9905" s="16" t="s">
        <v>39</v>
      </c>
      <c r="G9905" s="15"/>
      <c r="H9905" s="15"/>
      <c r="I9905" s="15"/>
      <c r="J9905" s="16" t="s">
        <v>100</v>
      </c>
      <c r="K9905" s="15" t="s">
        <v>1590</v>
      </c>
      <c r="L9905" s="17">
        <v>1</v>
      </c>
      <c r="M9905" s="17">
        <v>1</v>
      </c>
      <c r="N9905" s="17">
        <v>1</v>
      </c>
      <c r="O9905" s="18">
        <v>2154.98</v>
      </c>
      <c r="P9905" s="18">
        <v>1766.38</v>
      </c>
      <c r="Q9905" s="18">
        <v>2154.98</v>
      </c>
      <c r="R9905" s="18">
        <v>1766.38</v>
      </c>
      <c r="S9905" s="18">
        <v>1465.39</v>
      </c>
      <c r="T9905" s="18">
        <v>1201.1400000000001</v>
      </c>
      <c r="U9905" s="16"/>
      <c r="V9905" s="16"/>
      <c r="W9905" s="16" t="s">
        <v>40</v>
      </c>
      <c r="X9905" s="25"/>
      <c r="Y9905" s="25"/>
      <c r="Z9905" s="21">
        <v>4601004339798</v>
      </c>
    </row>
    <row r="9906" spans="1:26" ht="12" customHeight="1" outlineLevel="4" x14ac:dyDescent="0.2">
      <c r="A9906" s="14" t="s">
        <v>18857</v>
      </c>
      <c r="B9906" s="26" t="s">
        <v>18858</v>
      </c>
      <c r="C9906" s="52"/>
      <c r="D9906" s="55">
        <f t="shared" si="154"/>
        <v>0</v>
      </c>
      <c r="E9906" s="63" t="str">
        <f>HYPERLINK("https://www.sds-group.ru/product/kabel-greyuschiy-samoreguliruyuschiysya-model-srl-15msr-pb-na-trubu-10m-150vt-rexant-51-0620/", "Инфо")</f>
        <v>Инфо</v>
      </c>
      <c r="F9906" s="16" t="s">
        <v>974</v>
      </c>
      <c r="G9906" s="15"/>
      <c r="H9906" s="15"/>
      <c r="I9906" s="15"/>
      <c r="J9906" s="17">
        <v>509</v>
      </c>
      <c r="K9906" s="15" t="s">
        <v>1590</v>
      </c>
      <c r="L9906" s="17">
        <v>1</v>
      </c>
      <c r="M9906" s="17">
        <v>16</v>
      </c>
      <c r="N9906" s="17">
        <v>1</v>
      </c>
      <c r="O9906" s="18">
        <v>4667.83</v>
      </c>
      <c r="P9906" s="18">
        <v>3826.09</v>
      </c>
      <c r="Q9906" s="18">
        <v>3407.52</v>
      </c>
      <c r="R9906" s="18">
        <v>2793.05</v>
      </c>
      <c r="S9906" s="18">
        <v>3174.12</v>
      </c>
      <c r="T9906" s="18">
        <v>2601.7399999999998</v>
      </c>
      <c r="U9906" s="16"/>
      <c r="V9906" s="16"/>
      <c r="W9906" s="16" t="s">
        <v>40</v>
      </c>
      <c r="X9906" s="19">
        <v>1.133</v>
      </c>
      <c r="Y9906" s="20">
        <v>7.025E-3</v>
      </c>
      <c r="Z9906" s="21">
        <v>4601004058828</v>
      </c>
    </row>
    <row r="9907" spans="1:26" ht="12" customHeight="1" outlineLevel="4" x14ac:dyDescent="0.2">
      <c r="A9907" s="14" t="s">
        <v>18859</v>
      </c>
      <c r="B9907" s="26" t="s">
        <v>18860</v>
      </c>
      <c r="C9907" s="52"/>
      <c r="D9907" s="55">
        <f t="shared" si="154"/>
        <v>0</v>
      </c>
      <c r="E9907" s="63" t="str">
        <f>HYPERLINK("https://www.sds-group.ru/product/kabel-greyuschiy-samoreguliruyuschiysya-model-srl-15msr-pb-na-trubu-15m-225vt-rexant-51-0621/", "Инфо")</f>
        <v>Инфо</v>
      </c>
      <c r="F9907" s="16" t="s">
        <v>974</v>
      </c>
      <c r="G9907" s="15"/>
      <c r="H9907" s="15"/>
      <c r="I9907" s="15"/>
      <c r="J9907" s="17">
        <v>130</v>
      </c>
      <c r="K9907" s="15" t="s">
        <v>1590</v>
      </c>
      <c r="L9907" s="17">
        <v>1</v>
      </c>
      <c r="M9907" s="17">
        <v>16</v>
      </c>
      <c r="N9907" s="17">
        <v>1</v>
      </c>
      <c r="O9907" s="18">
        <v>5632.66</v>
      </c>
      <c r="P9907" s="18">
        <v>4616.93</v>
      </c>
      <c r="Q9907" s="18">
        <v>4111.84</v>
      </c>
      <c r="R9907" s="18">
        <v>3370.36</v>
      </c>
      <c r="S9907" s="18">
        <v>3830.21</v>
      </c>
      <c r="T9907" s="18">
        <v>3139.52</v>
      </c>
      <c r="U9907" s="16"/>
      <c r="V9907" s="16"/>
      <c r="W9907" s="16" t="s">
        <v>40</v>
      </c>
      <c r="X9907" s="19">
        <v>1.4039999999999999</v>
      </c>
      <c r="Y9907" s="20">
        <v>7.1989999999999997E-3</v>
      </c>
      <c r="Z9907" s="21">
        <v>4601004058835</v>
      </c>
    </row>
    <row r="9908" spans="1:26" ht="12" customHeight="1" outlineLevel="4" x14ac:dyDescent="0.2">
      <c r="A9908" s="14" t="s">
        <v>18861</v>
      </c>
      <c r="B9908" s="26" t="s">
        <v>18862</v>
      </c>
      <c r="C9908" s="52"/>
      <c r="D9908" s="55">
        <f t="shared" si="154"/>
        <v>0</v>
      </c>
      <c r="E9908" s="63" t="str">
        <f>HYPERLINK("https://www.sds-group.ru/product/kabel-greyuschiy-samoreguliruyuschiysya-model-srl-15msr-pb-na-trubu-20m-300vt-rexant-51-0622/", "Инфо")</f>
        <v>Инфо</v>
      </c>
      <c r="F9908" s="16" t="s">
        <v>974</v>
      </c>
      <c r="G9908" s="15"/>
      <c r="H9908" s="15"/>
      <c r="I9908" s="15"/>
      <c r="J9908" s="17">
        <v>65</v>
      </c>
      <c r="K9908" s="15" t="s">
        <v>1590</v>
      </c>
      <c r="L9908" s="17">
        <v>1</v>
      </c>
      <c r="M9908" s="17">
        <v>16</v>
      </c>
      <c r="N9908" s="17">
        <v>1</v>
      </c>
      <c r="O9908" s="18">
        <v>6554.36</v>
      </c>
      <c r="P9908" s="18">
        <v>5372.43</v>
      </c>
      <c r="Q9908" s="18">
        <v>4784.68</v>
      </c>
      <c r="R9908" s="18">
        <v>3921.87</v>
      </c>
      <c r="S9908" s="18">
        <v>4456.96</v>
      </c>
      <c r="T9908" s="18">
        <v>3653.25</v>
      </c>
      <c r="U9908" s="16"/>
      <c r="V9908" s="16"/>
      <c r="W9908" s="16" t="s">
        <v>40</v>
      </c>
      <c r="X9908" s="19">
        <v>1.681</v>
      </c>
      <c r="Y9908" s="20">
        <v>6.9100000000000003E-3</v>
      </c>
      <c r="Z9908" s="21">
        <v>4601004058842</v>
      </c>
    </row>
    <row r="9909" spans="1:26" ht="12" customHeight="1" outlineLevel="4" x14ac:dyDescent="0.2">
      <c r="A9909" s="14" t="s">
        <v>18863</v>
      </c>
      <c r="B9909" s="26" t="s">
        <v>18864</v>
      </c>
      <c r="C9909" s="52"/>
      <c r="D9909" s="55">
        <f t="shared" si="154"/>
        <v>0</v>
      </c>
      <c r="E9909" s="63" t="str">
        <f>HYPERLINK("https://www.sds-group.ru/product/kabel-greyuschiy-samoreguliruyuschiysya-model-srl-15msr-pb-na-trubu-25m-375vt-rexant-51-0623/", "Инфо")</f>
        <v>Инфо</v>
      </c>
      <c r="F9909" s="16" t="s">
        <v>974</v>
      </c>
      <c r="G9909" s="15"/>
      <c r="H9909" s="15"/>
      <c r="I9909" s="15"/>
      <c r="J9909" s="17">
        <v>266</v>
      </c>
      <c r="K9909" s="15" t="s">
        <v>1590</v>
      </c>
      <c r="L9909" s="17">
        <v>1</v>
      </c>
      <c r="M9909" s="17">
        <v>16</v>
      </c>
      <c r="N9909" s="17">
        <v>1</v>
      </c>
      <c r="O9909" s="18">
        <v>7783.3</v>
      </c>
      <c r="P9909" s="18">
        <v>6379.75</v>
      </c>
      <c r="Q9909" s="18">
        <v>5681.81</v>
      </c>
      <c r="R9909" s="18">
        <v>4657.22</v>
      </c>
      <c r="S9909" s="18">
        <v>5292.64</v>
      </c>
      <c r="T9909" s="18">
        <v>4338.2299999999996</v>
      </c>
      <c r="U9909" s="16"/>
      <c r="V9909" s="16"/>
      <c r="W9909" s="16" t="s">
        <v>40</v>
      </c>
      <c r="X9909" s="19">
        <v>1.9590000000000001</v>
      </c>
      <c r="Y9909" s="20">
        <v>7.0169999999999998E-3</v>
      </c>
      <c r="Z9909" s="21">
        <v>4601004058859</v>
      </c>
    </row>
    <row r="9910" spans="1:26" ht="12" customHeight="1" outlineLevel="4" x14ac:dyDescent="0.2">
      <c r="A9910" s="14" t="s">
        <v>18865</v>
      </c>
      <c r="B9910" s="26" t="s">
        <v>18866</v>
      </c>
      <c r="C9910" s="52"/>
      <c r="D9910" s="55">
        <f t="shared" si="154"/>
        <v>0</v>
      </c>
      <c r="E9910" s="63" t="str">
        <f>HYPERLINK("https://www.sds-group.ru/product/kabel-greyuschiy-samoreguliruyuschiysya-model-srl-15msr-pb-na-trubu-2m-30vt-rexant-51-0616/", "Инфо")</f>
        <v>Инфо</v>
      </c>
      <c r="F9910" s="16" t="s">
        <v>974</v>
      </c>
      <c r="G9910" s="15"/>
      <c r="H9910" s="15"/>
      <c r="I9910" s="15"/>
      <c r="J9910" s="22">
        <v>1560</v>
      </c>
      <c r="K9910" s="15" t="s">
        <v>1590</v>
      </c>
      <c r="L9910" s="17">
        <v>1</v>
      </c>
      <c r="M9910" s="17">
        <v>16</v>
      </c>
      <c r="N9910" s="17">
        <v>1</v>
      </c>
      <c r="O9910" s="18">
        <v>1915.1</v>
      </c>
      <c r="P9910" s="18">
        <v>1569.75</v>
      </c>
      <c r="Q9910" s="18">
        <v>1398.02</v>
      </c>
      <c r="R9910" s="18">
        <v>1145.92</v>
      </c>
      <c r="S9910" s="18">
        <v>1302.27</v>
      </c>
      <c r="T9910" s="18">
        <v>1067.43</v>
      </c>
      <c r="U9910" s="16"/>
      <c r="V9910" s="16"/>
      <c r="W9910" s="16" t="s">
        <v>40</v>
      </c>
      <c r="X9910" s="19">
        <v>0.65700000000000003</v>
      </c>
      <c r="Y9910" s="20">
        <v>7.3200000000000001E-3</v>
      </c>
      <c r="Z9910" s="21">
        <v>4601004058866</v>
      </c>
    </row>
    <row r="9911" spans="1:26" ht="12" customHeight="1" outlineLevel="4" x14ac:dyDescent="0.2">
      <c r="A9911" s="14" t="s">
        <v>18867</v>
      </c>
      <c r="B9911" s="26" t="s">
        <v>18868</v>
      </c>
      <c r="C9911" s="52"/>
      <c r="D9911" s="55">
        <f t="shared" si="154"/>
        <v>0</v>
      </c>
      <c r="E9911" s="63" t="str">
        <f>HYPERLINK("https://www.sds-group.ru/product/kabel-greyuschiy-samoreguliruyuschiysya-model-srl-15msr-pb-na-trubu-4m-60vt-rexant-51-0617/", "Инфо")</f>
        <v>Инфо</v>
      </c>
      <c r="F9911" s="16" t="s">
        <v>974</v>
      </c>
      <c r="G9911" s="15"/>
      <c r="H9911" s="15"/>
      <c r="I9911" s="15"/>
      <c r="J9911" s="22">
        <v>1653</v>
      </c>
      <c r="K9911" s="15" t="s">
        <v>1590</v>
      </c>
      <c r="L9911" s="17">
        <v>1</v>
      </c>
      <c r="M9911" s="17">
        <v>16</v>
      </c>
      <c r="N9911" s="17">
        <v>1</v>
      </c>
      <c r="O9911" s="18">
        <v>2651.93</v>
      </c>
      <c r="P9911" s="18">
        <v>2173.71</v>
      </c>
      <c r="Q9911" s="18">
        <v>1935.91</v>
      </c>
      <c r="R9911" s="18">
        <v>1586.81</v>
      </c>
      <c r="S9911" s="18">
        <v>1803.31</v>
      </c>
      <c r="T9911" s="18">
        <v>1478.12</v>
      </c>
      <c r="U9911" s="16"/>
      <c r="V9911" s="16"/>
      <c r="W9911" s="16" t="s">
        <v>40</v>
      </c>
      <c r="X9911" s="19">
        <v>0.79500000000000004</v>
      </c>
      <c r="Y9911" s="20">
        <v>7.6610000000000003E-3</v>
      </c>
      <c r="Z9911" s="21">
        <v>4601004058798</v>
      </c>
    </row>
    <row r="9912" spans="1:26" ht="12" customHeight="1" outlineLevel="4" x14ac:dyDescent="0.2">
      <c r="A9912" s="14" t="s">
        <v>18869</v>
      </c>
      <c r="B9912" s="26" t="s">
        <v>18870</v>
      </c>
      <c r="C9912" s="52"/>
      <c r="D9912" s="55">
        <f t="shared" si="154"/>
        <v>0</v>
      </c>
      <c r="E9912" s="63" t="str">
        <f>HYPERLINK("https://www.sds-group.ru/product/kabel-greyuschiy-samoreguliruyuschiysya-model-srl-15msr-pb-na-trubu-6m-90vt-rexant-51-0618/", "Инфо")</f>
        <v>Инфо</v>
      </c>
      <c r="F9912" s="16" t="s">
        <v>974</v>
      </c>
      <c r="G9912" s="15"/>
      <c r="H9912" s="15"/>
      <c r="I9912" s="15"/>
      <c r="J9912" s="17">
        <v>455</v>
      </c>
      <c r="K9912" s="15" t="s">
        <v>1590</v>
      </c>
      <c r="L9912" s="17">
        <v>1</v>
      </c>
      <c r="M9912" s="17">
        <v>16</v>
      </c>
      <c r="N9912" s="17">
        <v>1</v>
      </c>
      <c r="O9912" s="18">
        <v>3746.12</v>
      </c>
      <c r="P9912" s="18">
        <v>3070.59</v>
      </c>
      <c r="Q9912" s="18">
        <v>2734.67</v>
      </c>
      <c r="R9912" s="18">
        <v>2241.5300000000002</v>
      </c>
      <c r="S9912" s="18">
        <v>2547.36</v>
      </c>
      <c r="T9912" s="18">
        <v>2088</v>
      </c>
      <c r="U9912" s="16"/>
      <c r="V9912" s="16"/>
      <c r="W9912" s="16" t="s">
        <v>40</v>
      </c>
      <c r="X9912" s="19">
        <v>0.88700000000000001</v>
      </c>
      <c r="Y9912" s="20">
        <v>7.1830000000000001E-3</v>
      </c>
      <c r="Z9912" s="21">
        <v>4601004058804</v>
      </c>
    </row>
    <row r="9913" spans="1:26" ht="12" customHeight="1" outlineLevel="4" x14ac:dyDescent="0.2">
      <c r="A9913" s="14" t="s">
        <v>18871</v>
      </c>
      <c r="B9913" s="26" t="s">
        <v>18872</v>
      </c>
      <c r="C9913" s="52"/>
      <c r="D9913" s="55">
        <f t="shared" si="154"/>
        <v>0</v>
      </c>
      <c r="E9913" s="63" t="str">
        <f>HYPERLINK("https://www.sds-group.ru/product/kabel-greyuschiy-samoreguliruyuschiysya-model-srl-15msr-pb-na-trubu-8m-120vt-rexant-51-0619/", "Инфо")</f>
        <v>Инфо</v>
      </c>
      <c r="F9913" s="16" t="s">
        <v>974</v>
      </c>
      <c r="G9913" s="15"/>
      <c r="H9913" s="15"/>
      <c r="I9913" s="15"/>
      <c r="J9913" s="17">
        <v>900</v>
      </c>
      <c r="K9913" s="15" t="s">
        <v>1590</v>
      </c>
      <c r="L9913" s="17">
        <v>1</v>
      </c>
      <c r="M9913" s="17">
        <v>16</v>
      </c>
      <c r="N9913" s="17">
        <v>1</v>
      </c>
      <c r="O9913" s="18">
        <v>4042.58</v>
      </c>
      <c r="P9913" s="18">
        <v>3313.59</v>
      </c>
      <c r="Q9913" s="18">
        <v>2951.08</v>
      </c>
      <c r="R9913" s="18">
        <v>2418.92</v>
      </c>
      <c r="S9913" s="18">
        <v>2748.95</v>
      </c>
      <c r="T9913" s="18">
        <v>2253.2399999999998</v>
      </c>
      <c r="U9913" s="16"/>
      <c r="V9913" s="16"/>
      <c r="W9913" s="16" t="s">
        <v>40</v>
      </c>
      <c r="X9913" s="19">
        <v>1.095</v>
      </c>
      <c r="Y9913" s="20">
        <v>7.3629999999999998E-3</v>
      </c>
      <c r="Z9913" s="21">
        <v>4601004058811</v>
      </c>
    </row>
    <row r="9914" spans="1:26" ht="12.95" customHeight="1" outlineLevel="3" x14ac:dyDescent="0.2">
      <c r="A9914" s="76" t="s">
        <v>18873</v>
      </c>
      <c r="B9914" s="76"/>
      <c r="C9914" s="77"/>
      <c r="D9914" s="58"/>
      <c r="E9914" s="68"/>
      <c r="F9914" s="13"/>
      <c r="G9914" s="13"/>
      <c r="H9914" s="13"/>
      <c r="I9914" s="13"/>
      <c r="J9914" s="13"/>
      <c r="K9914" s="13"/>
      <c r="L9914" s="13"/>
      <c r="M9914" s="13"/>
      <c r="N9914" s="13"/>
      <c r="O9914" s="13"/>
      <c r="P9914" s="13"/>
      <c r="Q9914" s="13"/>
      <c r="R9914" s="13"/>
      <c r="S9914" s="13"/>
      <c r="T9914" s="13"/>
      <c r="U9914" s="13"/>
      <c r="V9914" s="13"/>
      <c r="W9914" s="13"/>
      <c r="X9914" s="13"/>
      <c r="Y9914" s="13"/>
      <c r="Z9914" s="13"/>
    </row>
    <row r="9915" spans="1:26" ht="12" customHeight="1" outlineLevel="4" x14ac:dyDescent="0.2">
      <c r="A9915" s="32" t="s">
        <v>18874</v>
      </c>
      <c r="B9915" s="74" t="s">
        <v>18875</v>
      </c>
      <c r="C9915" s="50"/>
      <c r="D9915" s="53">
        <f t="shared" si="154"/>
        <v>0</v>
      </c>
      <c r="E9915" s="60" t="str">
        <f>HYPERLINK("https://www.sds-group.ru/product/kabel-greyuschiy-samoreguliruyuschiysya-model-srl-extra-line-25msr-pb-na-trubu-10m-250vt-rex-51-0645/", "Инфо")</f>
        <v>Инфо</v>
      </c>
      <c r="F9915" s="34" t="s">
        <v>974</v>
      </c>
      <c r="G9915" s="33"/>
      <c r="H9915" s="33" t="s">
        <v>40</v>
      </c>
      <c r="I9915" s="33"/>
      <c r="J9915" s="35">
        <v>82</v>
      </c>
      <c r="K9915" s="33"/>
      <c r="L9915" s="35">
        <v>1</v>
      </c>
      <c r="M9915" s="35">
        <v>16</v>
      </c>
      <c r="N9915" s="35">
        <v>1</v>
      </c>
      <c r="O9915" s="36">
        <v>8349.6200000000008</v>
      </c>
      <c r="P9915" s="36">
        <v>6843.95</v>
      </c>
      <c r="Q9915" s="36">
        <v>6095.22</v>
      </c>
      <c r="R9915" s="36">
        <v>4996.08</v>
      </c>
      <c r="S9915" s="36">
        <v>5677.74</v>
      </c>
      <c r="T9915" s="36">
        <v>4653.8900000000003</v>
      </c>
      <c r="U9915" s="34"/>
      <c r="V9915" s="34"/>
      <c r="W9915" s="34" t="s">
        <v>40</v>
      </c>
      <c r="X9915" s="37">
        <v>1.2170000000000001</v>
      </c>
      <c r="Y9915" s="38">
        <v>7.8630000000000002E-3</v>
      </c>
      <c r="Z9915" s="21">
        <v>4601004123687</v>
      </c>
    </row>
    <row r="9916" spans="1:26" ht="12" customHeight="1" outlineLevel="4" x14ac:dyDescent="0.2">
      <c r="A9916" s="32" t="s">
        <v>18876</v>
      </c>
      <c r="B9916" s="74" t="s">
        <v>18877</v>
      </c>
      <c r="C9916" s="50"/>
      <c r="D9916" s="53">
        <f t="shared" si="154"/>
        <v>0</v>
      </c>
      <c r="E9916" s="60" t="str">
        <f>HYPERLINK("https://www.sds-group.ru/product/kabel-greyuschiy-samoreguliruyuschiysya-model-srl-extra-line-25msr-pb-na-trubu-15m-375vt-rex-51-0646/", "Инфо")</f>
        <v>Инфо</v>
      </c>
      <c r="F9916" s="34" t="s">
        <v>974</v>
      </c>
      <c r="G9916" s="33"/>
      <c r="H9916" s="33" t="s">
        <v>40</v>
      </c>
      <c r="I9916" s="33"/>
      <c r="J9916" s="35">
        <v>81</v>
      </c>
      <c r="K9916" s="33"/>
      <c r="L9916" s="35">
        <v>1</v>
      </c>
      <c r="M9916" s="35">
        <v>16</v>
      </c>
      <c r="N9916" s="35">
        <v>1</v>
      </c>
      <c r="O9916" s="36">
        <v>9662.9599999999991</v>
      </c>
      <c r="P9916" s="36">
        <v>7920.46</v>
      </c>
      <c r="Q9916" s="36">
        <v>7053.96</v>
      </c>
      <c r="R9916" s="36">
        <v>5781.93</v>
      </c>
      <c r="S9916" s="36">
        <v>6570.81</v>
      </c>
      <c r="T9916" s="36">
        <v>5385.91</v>
      </c>
      <c r="U9916" s="34"/>
      <c r="V9916" s="34"/>
      <c r="W9916" s="34" t="s">
        <v>40</v>
      </c>
      <c r="X9916" s="37">
        <v>1.629</v>
      </c>
      <c r="Y9916" s="38">
        <v>7.4949999999999999E-3</v>
      </c>
      <c r="Z9916" s="21">
        <v>4601004123694</v>
      </c>
    </row>
    <row r="9917" spans="1:26" ht="12" customHeight="1" outlineLevel="4" x14ac:dyDescent="0.2">
      <c r="A9917" s="32" t="s">
        <v>18878</v>
      </c>
      <c r="B9917" s="74" t="s">
        <v>18879</v>
      </c>
      <c r="C9917" s="50"/>
      <c r="D9917" s="53">
        <f t="shared" si="154"/>
        <v>0</v>
      </c>
      <c r="E9917" s="60" t="str">
        <f>HYPERLINK("https://www.sds-group.ru/product/kabel-greyuschiy-samoreguliruyuschiysya-model-srl-extra-line-25msr-pb-na-trubu-20m-500vt-rex-51-0647/", "Инфо")</f>
        <v>Инфо</v>
      </c>
      <c r="F9917" s="34" t="s">
        <v>974</v>
      </c>
      <c r="G9917" s="33"/>
      <c r="H9917" s="33" t="s">
        <v>40</v>
      </c>
      <c r="I9917" s="33"/>
      <c r="J9917" s="35">
        <v>99</v>
      </c>
      <c r="K9917" s="33"/>
      <c r="L9917" s="35">
        <v>1</v>
      </c>
      <c r="M9917" s="35">
        <v>16</v>
      </c>
      <c r="N9917" s="35">
        <v>1</v>
      </c>
      <c r="O9917" s="36">
        <v>10833.3</v>
      </c>
      <c r="P9917" s="36">
        <v>8879.75</v>
      </c>
      <c r="Q9917" s="36">
        <v>7583.31</v>
      </c>
      <c r="R9917" s="36">
        <v>6215.83</v>
      </c>
      <c r="S9917" s="36">
        <v>7366.64</v>
      </c>
      <c r="T9917" s="36">
        <v>6038.23</v>
      </c>
      <c r="U9917" s="34"/>
      <c r="V9917" s="34"/>
      <c r="W9917" s="34"/>
      <c r="X9917" s="37">
        <v>1.905</v>
      </c>
      <c r="Y9917" s="38">
        <v>1.4120000000000001E-3</v>
      </c>
      <c r="Z9917" s="21">
        <v>4601004123700</v>
      </c>
    </row>
    <row r="9918" spans="1:26" ht="12" customHeight="1" outlineLevel="4" x14ac:dyDescent="0.2">
      <c r="A9918" s="32" t="s">
        <v>18880</v>
      </c>
      <c r="B9918" s="74" t="s">
        <v>18881</v>
      </c>
      <c r="C9918" s="50"/>
      <c r="D9918" s="53">
        <f t="shared" si="154"/>
        <v>0</v>
      </c>
      <c r="E9918" s="60" t="str">
        <f>HYPERLINK("https://www.sds-group.ru/product/kabel-greyuschiy-samoreguliruyuschiysya-model-srl-extra-line-25msr-pb-na-trubu-25m-625vt-rex-51-0648/", "Инфо")</f>
        <v>Инфо</v>
      </c>
      <c r="F9918" s="34" t="s">
        <v>974</v>
      </c>
      <c r="G9918" s="33"/>
      <c r="H9918" s="33" t="s">
        <v>40</v>
      </c>
      <c r="I9918" s="33"/>
      <c r="J9918" s="35">
        <v>51</v>
      </c>
      <c r="K9918" s="33"/>
      <c r="L9918" s="35">
        <v>1</v>
      </c>
      <c r="M9918" s="35">
        <v>16</v>
      </c>
      <c r="N9918" s="35">
        <v>1</v>
      </c>
      <c r="O9918" s="36">
        <v>13767.28</v>
      </c>
      <c r="P9918" s="36">
        <v>11284.66</v>
      </c>
      <c r="Q9918" s="36">
        <v>10050.11</v>
      </c>
      <c r="R9918" s="36">
        <v>8237.7999999999993</v>
      </c>
      <c r="S9918" s="36">
        <v>9361.75</v>
      </c>
      <c r="T9918" s="36">
        <v>7673.57</v>
      </c>
      <c r="U9918" s="34"/>
      <c r="V9918" s="34"/>
      <c r="W9918" s="34" t="s">
        <v>40</v>
      </c>
      <c r="X9918" s="37">
        <v>2.3570000000000002</v>
      </c>
      <c r="Y9918" s="38">
        <v>7.4190000000000002E-3</v>
      </c>
      <c r="Z9918" s="21">
        <v>4601004123717</v>
      </c>
    </row>
    <row r="9919" spans="1:26" ht="12" customHeight="1" outlineLevel="4" x14ac:dyDescent="0.2">
      <c r="A9919" s="32" t="s">
        <v>18882</v>
      </c>
      <c r="B9919" s="74" t="s">
        <v>18883</v>
      </c>
      <c r="C9919" s="50"/>
      <c r="D9919" s="53">
        <f t="shared" si="154"/>
        <v>0</v>
      </c>
      <c r="E9919" s="60" t="str">
        <f>HYPERLINK("https://www.sds-group.ru/product/kabel-greyuschiy-samoreguliruyuschiysya-model-srl-extra-line-25msr-pb-na-trubu-2m-50vt-rexan-51-0637/", "Инфо")</f>
        <v>Инфо</v>
      </c>
      <c r="F9919" s="34" t="s">
        <v>974</v>
      </c>
      <c r="G9919" s="33"/>
      <c r="H9919" s="33" t="s">
        <v>40</v>
      </c>
      <c r="I9919" s="33"/>
      <c r="J9919" s="35">
        <v>167</v>
      </c>
      <c r="K9919" s="33"/>
      <c r="L9919" s="35">
        <v>1</v>
      </c>
      <c r="M9919" s="35">
        <v>16</v>
      </c>
      <c r="N9919" s="35">
        <v>1</v>
      </c>
      <c r="O9919" s="36">
        <v>2487.1</v>
      </c>
      <c r="P9919" s="36">
        <v>2038.61</v>
      </c>
      <c r="Q9919" s="36">
        <v>1740.97</v>
      </c>
      <c r="R9919" s="36">
        <v>1427.02</v>
      </c>
      <c r="S9919" s="36">
        <v>1691.23</v>
      </c>
      <c r="T9919" s="36">
        <v>1386.25</v>
      </c>
      <c r="U9919" s="34"/>
      <c r="V9919" s="34"/>
      <c r="W9919" s="34"/>
      <c r="X9919" s="37">
        <v>0.68600000000000005</v>
      </c>
      <c r="Y9919" s="38">
        <v>7.254E-3</v>
      </c>
      <c r="Z9919" s="21">
        <v>4601004123724</v>
      </c>
    </row>
    <row r="9920" spans="1:26" ht="12" customHeight="1" outlineLevel="4" x14ac:dyDescent="0.2">
      <c r="A9920" s="32" t="s">
        <v>18884</v>
      </c>
      <c r="B9920" s="74" t="s">
        <v>18885</v>
      </c>
      <c r="C9920" s="50"/>
      <c r="D9920" s="53">
        <f t="shared" si="154"/>
        <v>0</v>
      </c>
      <c r="E9920" s="60" t="str">
        <f>HYPERLINK("https://www.sds-group.ru/product/kabel-greyuschiy-samoreguliruyuschiysya-model-srl-extra-line-25msr-pb-na-trubu-3m-75vt-rexan-51-0638/", "Инфо")</f>
        <v>Инфо</v>
      </c>
      <c r="F9920" s="34" t="s">
        <v>974</v>
      </c>
      <c r="G9920" s="33"/>
      <c r="H9920" s="33" t="s">
        <v>40</v>
      </c>
      <c r="I9920" s="33"/>
      <c r="J9920" s="35">
        <v>198</v>
      </c>
      <c r="K9920" s="33"/>
      <c r="L9920" s="35">
        <v>1</v>
      </c>
      <c r="M9920" s="35">
        <v>16</v>
      </c>
      <c r="N9920" s="35">
        <v>1</v>
      </c>
      <c r="O9920" s="36">
        <v>3195.9</v>
      </c>
      <c r="P9920" s="36">
        <v>2619.59</v>
      </c>
      <c r="Q9920" s="36">
        <v>2237.13</v>
      </c>
      <c r="R9920" s="36">
        <v>1833.71</v>
      </c>
      <c r="S9920" s="36">
        <v>2173.21</v>
      </c>
      <c r="T9920" s="36">
        <v>1781.32</v>
      </c>
      <c r="U9920" s="34"/>
      <c r="V9920" s="34"/>
      <c r="W9920" s="34"/>
      <c r="X9920" s="37">
        <v>0.81899999999999995</v>
      </c>
      <c r="Y9920" s="38">
        <v>7.724E-3</v>
      </c>
      <c r="Z9920" s="21">
        <v>4601004123618</v>
      </c>
    </row>
    <row r="9921" spans="1:26" ht="12" customHeight="1" outlineLevel="4" x14ac:dyDescent="0.2">
      <c r="A9921" s="32" t="s">
        <v>18886</v>
      </c>
      <c r="B9921" s="74" t="s">
        <v>18887</v>
      </c>
      <c r="C9921" s="50"/>
      <c r="D9921" s="53">
        <f t="shared" si="154"/>
        <v>0</v>
      </c>
      <c r="E9921" s="60" t="str">
        <f>HYPERLINK("https://www.sds-group.ru/product/kabel-greyuschiy-samoreguliruyuschiysya-model-srl-extra-line-25msr-pb-na-trubu-4m-100vt-rexa-51-0639/", "Инфо")</f>
        <v>Инфо</v>
      </c>
      <c r="F9921" s="34" t="s">
        <v>974</v>
      </c>
      <c r="G9921" s="33"/>
      <c r="H9921" s="33" t="s">
        <v>40</v>
      </c>
      <c r="I9921" s="33"/>
      <c r="J9921" s="35">
        <v>127</v>
      </c>
      <c r="K9921" s="33"/>
      <c r="L9921" s="35">
        <v>1</v>
      </c>
      <c r="M9921" s="35">
        <v>16</v>
      </c>
      <c r="N9921" s="35">
        <v>1</v>
      </c>
      <c r="O9921" s="36">
        <v>3768.65</v>
      </c>
      <c r="P9921" s="36">
        <v>3089.06</v>
      </c>
      <c r="Q9921" s="36">
        <v>2638.06</v>
      </c>
      <c r="R9921" s="36">
        <v>2162.34</v>
      </c>
      <c r="S9921" s="36">
        <v>2562.6799999999998</v>
      </c>
      <c r="T9921" s="36">
        <v>2100.56</v>
      </c>
      <c r="U9921" s="34"/>
      <c r="V9921" s="34"/>
      <c r="W9921" s="34"/>
      <c r="X9921" s="37">
        <v>0.83599999999999997</v>
      </c>
      <c r="Y9921" s="38">
        <v>7.7790000000000003E-3</v>
      </c>
      <c r="Z9921" s="21">
        <v>4601004123625</v>
      </c>
    </row>
    <row r="9922" spans="1:26" ht="12" customHeight="1" outlineLevel="4" x14ac:dyDescent="0.2">
      <c r="A9922" s="32" t="s">
        <v>18888</v>
      </c>
      <c r="B9922" s="74" t="s">
        <v>18889</v>
      </c>
      <c r="C9922" s="50"/>
      <c r="D9922" s="53">
        <f t="shared" si="154"/>
        <v>0</v>
      </c>
      <c r="E9922" s="60" t="str">
        <f>HYPERLINK("https://www.sds-group.ru/product/kabel-greyuschiy-samoreguliruyuschiysya-model-srl-extra-line-25msr-pb-na-trubu-5m-125vt-rexa-51-0640/", "Инфо")</f>
        <v>Инфо</v>
      </c>
      <c r="F9922" s="34" t="s">
        <v>974</v>
      </c>
      <c r="G9922" s="33"/>
      <c r="H9922" s="33" t="s">
        <v>40</v>
      </c>
      <c r="I9922" s="33"/>
      <c r="J9922" s="35">
        <v>131</v>
      </c>
      <c r="K9922" s="33"/>
      <c r="L9922" s="35">
        <v>1</v>
      </c>
      <c r="M9922" s="35">
        <v>16</v>
      </c>
      <c r="N9922" s="35">
        <v>1</v>
      </c>
      <c r="O9922" s="36">
        <v>3727.8</v>
      </c>
      <c r="P9922" s="36">
        <v>3055.57</v>
      </c>
      <c r="Q9922" s="36">
        <v>2609.46</v>
      </c>
      <c r="R9922" s="36">
        <v>2138.9</v>
      </c>
      <c r="S9922" s="36">
        <v>2534.9</v>
      </c>
      <c r="T9922" s="36">
        <v>2077.79</v>
      </c>
      <c r="U9922" s="34"/>
      <c r="V9922" s="34"/>
      <c r="W9922" s="34"/>
      <c r="X9922" s="37">
        <v>0.95399999999999996</v>
      </c>
      <c r="Y9922" s="38">
        <v>7.6730000000000001E-3</v>
      </c>
      <c r="Z9922" s="21">
        <v>4601004123632</v>
      </c>
    </row>
    <row r="9923" spans="1:26" ht="12" customHeight="1" outlineLevel="4" x14ac:dyDescent="0.2">
      <c r="A9923" s="32" t="s">
        <v>18890</v>
      </c>
      <c r="B9923" s="74" t="s">
        <v>18891</v>
      </c>
      <c r="C9923" s="50"/>
      <c r="D9923" s="53">
        <f t="shared" si="154"/>
        <v>0</v>
      </c>
      <c r="E9923" s="60" t="str">
        <f>HYPERLINK("https://www.sds-group.ru/product/kabel-greyuschiy-samoreguliruyuschiysya-model-srl-extra-line-25msr-pb-na-trubu-6m-150vt-rexa-51-0641/", "Инфо")</f>
        <v>Инфо</v>
      </c>
      <c r="F9923" s="34" t="s">
        <v>974</v>
      </c>
      <c r="G9923" s="33"/>
      <c r="H9923" s="33" t="s">
        <v>40</v>
      </c>
      <c r="I9923" s="33"/>
      <c r="J9923" s="35">
        <v>33</v>
      </c>
      <c r="K9923" s="33"/>
      <c r="L9923" s="35">
        <v>1</v>
      </c>
      <c r="M9923" s="35">
        <v>16</v>
      </c>
      <c r="N9923" s="35">
        <v>1</v>
      </c>
      <c r="O9923" s="36">
        <v>5990.06</v>
      </c>
      <c r="P9923" s="36">
        <v>4909.8900000000003</v>
      </c>
      <c r="Q9923" s="36">
        <v>4372.74</v>
      </c>
      <c r="R9923" s="36">
        <v>3584.21</v>
      </c>
      <c r="S9923" s="36">
        <v>4073.24</v>
      </c>
      <c r="T9923" s="36">
        <v>3338.72</v>
      </c>
      <c r="U9923" s="34"/>
      <c r="V9923" s="34"/>
      <c r="W9923" s="34" t="s">
        <v>40</v>
      </c>
      <c r="X9923" s="37">
        <v>0.91600000000000004</v>
      </c>
      <c r="Y9923" s="38">
        <v>7.1089999999999999E-3</v>
      </c>
      <c r="Z9923" s="21">
        <v>4601004123649</v>
      </c>
    </row>
    <row r="9924" spans="1:26" ht="12" customHeight="1" outlineLevel="4" x14ac:dyDescent="0.2">
      <c r="A9924" s="32" t="s">
        <v>18892</v>
      </c>
      <c r="B9924" s="74" t="s">
        <v>18893</v>
      </c>
      <c r="C9924" s="50"/>
      <c r="D9924" s="53">
        <f t="shared" si="154"/>
        <v>0</v>
      </c>
      <c r="E9924" s="60" t="str">
        <f>HYPERLINK("https://www.sds-group.ru/product/kabel-greyuschiy-samoreguliruyuschiysya-model-srl-extra-line-25msr-pb-na-trubu-8m-200vt-rexa-51-0643/", "Инфо")</f>
        <v>Инфо</v>
      </c>
      <c r="F9924" s="34" t="s">
        <v>974</v>
      </c>
      <c r="G9924" s="33"/>
      <c r="H9924" s="33" t="s">
        <v>40</v>
      </c>
      <c r="I9924" s="33"/>
      <c r="J9924" s="35">
        <v>59</v>
      </c>
      <c r="K9924" s="33"/>
      <c r="L9924" s="35">
        <v>1</v>
      </c>
      <c r="M9924" s="35">
        <v>16</v>
      </c>
      <c r="N9924" s="35">
        <v>1</v>
      </c>
      <c r="O9924" s="36">
        <v>5455.82</v>
      </c>
      <c r="P9924" s="36">
        <v>4471.9799999999996</v>
      </c>
      <c r="Q9924" s="36">
        <v>3982.75</v>
      </c>
      <c r="R9924" s="36">
        <v>3264.55</v>
      </c>
      <c r="S9924" s="36">
        <v>3709.96</v>
      </c>
      <c r="T9924" s="36">
        <v>3040.95</v>
      </c>
      <c r="U9924" s="34"/>
      <c r="V9924" s="34"/>
      <c r="W9924" s="34" t="s">
        <v>40</v>
      </c>
      <c r="X9924" s="37">
        <v>1.0369999999999999</v>
      </c>
      <c r="Y9924" s="38">
        <v>7.0340000000000003E-3</v>
      </c>
      <c r="Z9924" s="21">
        <v>4601004123663</v>
      </c>
    </row>
    <row r="9925" spans="1:26" ht="12.95" customHeight="1" outlineLevel="3" x14ac:dyDescent="0.2">
      <c r="A9925" s="76" t="s">
        <v>18894</v>
      </c>
      <c r="B9925" s="76"/>
      <c r="C9925" s="77"/>
      <c r="D9925" s="58"/>
      <c r="E9925" s="68"/>
      <c r="F9925" s="13"/>
      <c r="G9925" s="13"/>
      <c r="H9925" s="13"/>
      <c r="I9925" s="13"/>
      <c r="J9925" s="13"/>
      <c r="K9925" s="13"/>
      <c r="L9925" s="13"/>
      <c r="M9925" s="13"/>
      <c r="N9925" s="13"/>
      <c r="O9925" s="13"/>
      <c r="P9925" s="13"/>
      <c r="Q9925" s="13"/>
      <c r="R9925" s="13"/>
      <c r="S9925" s="13"/>
      <c r="T9925" s="13"/>
      <c r="U9925" s="13"/>
      <c r="V9925" s="13"/>
      <c r="W9925" s="13"/>
      <c r="X9925" s="13"/>
      <c r="Y9925" s="13"/>
      <c r="Z9925" s="13"/>
    </row>
    <row r="9926" spans="1:26" ht="12" customHeight="1" outlineLevel="4" x14ac:dyDescent="0.2">
      <c r="A9926" s="14" t="s">
        <v>18895</v>
      </c>
      <c r="B9926" s="26" t="s">
        <v>18896</v>
      </c>
      <c r="C9926" s="52"/>
      <c r="D9926" s="55">
        <f t="shared" si="154"/>
        <v>0</v>
      </c>
      <c r="E9926" s="63" t="str">
        <f>HYPERLINK("https://www.sds-group.ru/product/kabel-greyuschiy-samoreguliruyuschiysya-model-srl-power-line-30srl-2cr-10m-300vt-rexant-51-0657/", "Инфо")</f>
        <v>Инфо</v>
      </c>
      <c r="F9926" s="16" t="s">
        <v>974</v>
      </c>
      <c r="G9926" s="15"/>
      <c r="H9926" s="15"/>
      <c r="I9926" s="15"/>
      <c r="J9926" s="17">
        <v>119</v>
      </c>
      <c r="K9926" s="15"/>
      <c r="L9926" s="17">
        <v>1</v>
      </c>
      <c r="M9926" s="17">
        <v>16</v>
      </c>
      <c r="N9926" s="17">
        <v>1</v>
      </c>
      <c r="O9926" s="18">
        <v>9828.42</v>
      </c>
      <c r="P9926" s="18">
        <v>8056.08</v>
      </c>
      <c r="Q9926" s="18">
        <v>7174.75</v>
      </c>
      <c r="R9926" s="18">
        <v>5880.94</v>
      </c>
      <c r="S9926" s="18">
        <v>6683.33</v>
      </c>
      <c r="T9926" s="18">
        <v>5478.14</v>
      </c>
      <c r="U9926" s="16"/>
      <c r="V9926" s="16"/>
      <c r="W9926" s="16" t="s">
        <v>40</v>
      </c>
      <c r="X9926" s="19">
        <v>1.8440000000000001</v>
      </c>
      <c r="Y9926" s="20">
        <v>7.0289999999999997E-3</v>
      </c>
      <c r="Z9926" s="21">
        <v>4601004124264</v>
      </c>
    </row>
    <row r="9927" spans="1:26" ht="12" customHeight="1" outlineLevel="4" x14ac:dyDescent="0.2">
      <c r="A9927" s="14" t="s">
        <v>18897</v>
      </c>
      <c r="B9927" s="26" t="s">
        <v>18898</v>
      </c>
      <c r="C9927" s="52"/>
      <c r="D9927" s="55">
        <f t="shared" si="154"/>
        <v>0</v>
      </c>
      <c r="E9927" s="63" t="str">
        <f>HYPERLINK("https://www.sds-group.ru/product/kabel-greyuschiy-samoreguliruyuschiysya-model-srl-power-line-30srl-2cr-15m-450vt-rexant-51-0658/", "Инфо")</f>
        <v>Инфо</v>
      </c>
      <c r="F9927" s="16" t="s">
        <v>974</v>
      </c>
      <c r="G9927" s="15"/>
      <c r="H9927" s="15"/>
      <c r="I9927" s="15"/>
      <c r="J9927" s="17">
        <v>147</v>
      </c>
      <c r="K9927" s="15" t="s">
        <v>1590</v>
      </c>
      <c r="L9927" s="17">
        <v>1</v>
      </c>
      <c r="M9927" s="17">
        <v>16</v>
      </c>
      <c r="N9927" s="17">
        <v>1</v>
      </c>
      <c r="O9927" s="18">
        <v>11278.68</v>
      </c>
      <c r="P9927" s="18">
        <v>9244.82</v>
      </c>
      <c r="Q9927" s="18">
        <v>8233.44</v>
      </c>
      <c r="R9927" s="18">
        <v>6748.72</v>
      </c>
      <c r="S9927" s="18">
        <v>7669.5</v>
      </c>
      <c r="T9927" s="18">
        <v>6286.48</v>
      </c>
      <c r="U9927" s="16"/>
      <c r="V9927" s="16"/>
      <c r="W9927" s="16" t="s">
        <v>40</v>
      </c>
      <c r="X9927" s="19">
        <v>1.9610000000000001</v>
      </c>
      <c r="Y9927" s="20">
        <v>7.5129999999999997E-3</v>
      </c>
      <c r="Z9927" s="21">
        <v>4601004124271</v>
      </c>
    </row>
    <row r="9928" spans="1:26" ht="12" customHeight="1" outlineLevel="4" x14ac:dyDescent="0.2">
      <c r="A9928" s="14" t="s">
        <v>18899</v>
      </c>
      <c r="B9928" s="26" t="s">
        <v>18900</v>
      </c>
      <c r="C9928" s="52"/>
      <c r="D9928" s="55">
        <f t="shared" si="154"/>
        <v>0</v>
      </c>
      <c r="E9928" s="63" t="str">
        <f>HYPERLINK("https://www.sds-group.ru/product/kabel-greyuschiy-samoreguliruyuschiysya-model-srl-power-line-30srl-2cr-20m-600vt-rexant-51-0659/", "Инфо")</f>
        <v>Инфо</v>
      </c>
      <c r="F9928" s="16" t="s">
        <v>974</v>
      </c>
      <c r="G9928" s="15"/>
      <c r="H9928" s="15"/>
      <c r="I9928" s="15"/>
      <c r="J9928" s="17">
        <v>87</v>
      </c>
      <c r="K9928" s="15" t="s">
        <v>1590</v>
      </c>
      <c r="L9928" s="17">
        <v>1</v>
      </c>
      <c r="M9928" s="17">
        <v>16</v>
      </c>
      <c r="N9928" s="17">
        <v>1</v>
      </c>
      <c r="O9928" s="18">
        <v>14179.37</v>
      </c>
      <c r="P9928" s="18">
        <v>11622.43</v>
      </c>
      <c r="Q9928" s="18">
        <v>10350.94</v>
      </c>
      <c r="R9928" s="18">
        <v>8484.3799999999992</v>
      </c>
      <c r="S9928" s="18">
        <v>9641.9699999999993</v>
      </c>
      <c r="T9928" s="18">
        <v>7903.25</v>
      </c>
      <c r="U9928" s="16"/>
      <c r="V9928" s="16"/>
      <c r="W9928" s="16" t="s">
        <v>40</v>
      </c>
      <c r="X9928" s="19">
        <v>2.629</v>
      </c>
      <c r="Y9928" s="20">
        <v>7.626E-3</v>
      </c>
      <c r="Z9928" s="21">
        <v>4601004124288</v>
      </c>
    </row>
    <row r="9929" spans="1:26" ht="12" customHeight="1" outlineLevel="4" x14ac:dyDescent="0.2">
      <c r="A9929" s="14" t="s">
        <v>18901</v>
      </c>
      <c r="B9929" s="26" t="s">
        <v>18902</v>
      </c>
      <c r="C9929" s="52"/>
      <c r="D9929" s="55">
        <f t="shared" ref="D9929:D9992" si="155">C9929*(O9929-O9929*$G$3)</f>
        <v>0</v>
      </c>
      <c r="E9929" s="63" t="str">
        <f>HYPERLINK("https://www.sds-group.ru/product/kabel-greyuschiy-samoreguliruyuschiysya-model-srl-power-line-30srl-2cr-25m-750vt-rexant-51-0660/", "Инфо")</f>
        <v>Инфо</v>
      </c>
      <c r="F9929" s="16" t="s">
        <v>974</v>
      </c>
      <c r="G9929" s="15"/>
      <c r="H9929" s="15"/>
      <c r="I9929" s="15"/>
      <c r="J9929" s="17">
        <v>66</v>
      </c>
      <c r="K9929" s="15" t="s">
        <v>1590</v>
      </c>
      <c r="L9929" s="17">
        <v>1</v>
      </c>
      <c r="M9929" s="17">
        <v>16</v>
      </c>
      <c r="N9929" s="17">
        <v>1</v>
      </c>
      <c r="O9929" s="18">
        <v>15146.27</v>
      </c>
      <c r="P9929" s="18">
        <v>12414.98</v>
      </c>
      <c r="Q9929" s="18">
        <v>11056.78</v>
      </c>
      <c r="R9929" s="18">
        <v>9062.93</v>
      </c>
      <c r="S9929" s="18">
        <v>10299.459999999999</v>
      </c>
      <c r="T9929" s="18">
        <v>8442.18</v>
      </c>
      <c r="U9929" s="16"/>
      <c r="V9929" s="16"/>
      <c r="W9929" s="16" t="s">
        <v>40</v>
      </c>
      <c r="X9929" s="19">
        <v>3.0390000000000001</v>
      </c>
      <c r="Y9929" s="20">
        <v>7.698E-3</v>
      </c>
      <c r="Z9929" s="21">
        <v>4601004124295</v>
      </c>
    </row>
    <row r="9930" spans="1:26" ht="12" customHeight="1" outlineLevel="4" x14ac:dyDescent="0.2">
      <c r="A9930" s="14" t="s">
        <v>18903</v>
      </c>
      <c r="B9930" s="26" t="s">
        <v>18904</v>
      </c>
      <c r="C9930" s="52"/>
      <c r="D9930" s="55">
        <f t="shared" si="155"/>
        <v>0</v>
      </c>
      <c r="E9930" s="63" t="str">
        <f>HYPERLINK("https://www.sds-group.ru/product/kabel-greyuschiy-samoreguliruyuschiysya-model-srl-power-line-30srl-2cr-2m-60vt-rexant-51-0649/", "Инфо")</f>
        <v>Инфо</v>
      </c>
      <c r="F9930" s="16" t="s">
        <v>974</v>
      </c>
      <c r="G9930" s="15"/>
      <c r="H9930" s="15"/>
      <c r="I9930" s="15"/>
      <c r="J9930" s="17">
        <v>60</v>
      </c>
      <c r="K9930" s="15"/>
      <c r="L9930" s="17">
        <v>1</v>
      </c>
      <c r="M9930" s="17">
        <v>16</v>
      </c>
      <c r="N9930" s="17">
        <v>1</v>
      </c>
      <c r="O9930" s="18">
        <v>3082.96</v>
      </c>
      <c r="P9930" s="18">
        <v>2527.02</v>
      </c>
      <c r="Q9930" s="18">
        <v>2373.88</v>
      </c>
      <c r="R9930" s="18">
        <v>1945.8</v>
      </c>
      <c r="S9930" s="18">
        <v>2096.41</v>
      </c>
      <c r="T9930" s="18">
        <v>1718.37</v>
      </c>
      <c r="U9930" s="16"/>
      <c r="V9930" s="16"/>
      <c r="W9930" s="16" t="s">
        <v>40</v>
      </c>
      <c r="X9930" s="19">
        <v>0.84099999999999997</v>
      </c>
      <c r="Y9930" s="20">
        <v>7.1269999999999997E-3</v>
      </c>
      <c r="Z9930" s="21">
        <v>4601004124301</v>
      </c>
    </row>
    <row r="9931" spans="1:26" ht="12" customHeight="1" outlineLevel="4" x14ac:dyDescent="0.2">
      <c r="A9931" s="32" t="s">
        <v>18905</v>
      </c>
      <c r="B9931" s="74" t="s">
        <v>18906</v>
      </c>
      <c r="C9931" s="50"/>
      <c r="D9931" s="53">
        <f t="shared" si="155"/>
        <v>0</v>
      </c>
      <c r="E9931" s="60" t="str">
        <f>HYPERLINK("https://www.sds-group.ru/product/kabel-greyuschiy-samoreguliruyuschiysya-model-srl-power-line-30srl-2cr-3m-90vt-rexant-51-0650/", "Инфо")</f>
        <v>Инфо</v>
      </c>
      <c r="F9931" s="34" t="s">
        <v>974</v>
      </c>
      <c r="G9931" s="33"/>
      <c r="H9931" s="33" t="s">
        <v>40</v>
      </c>
      <c r="I9931" s="33"/>
      <c r="J9931" s="35">
        <v>82</v>
      </c>
      <c r="K9931" s="33"/>
      <c r="L9931" s="35">
        <v>1</v>
      </c>
      <c r="M9931" s="35">
        <v>16</v>
      </c>
      <c r="N9931" s="35">
        <v>1</v>
      </c>
      <c r="O9931" s="36">
        <v>3643.74</v>
      </c>
      <c r="P9931" s="36">
        <v>2986.67</v>
      </c>
      <c r="Q9931" s="36">
        <v>2659.93</v>
      </c>
      <c r="R9931" s="36">
        <v>2180.27</v>
      </c>
      <c r="S9931" s="36">
        <v>2477.7399999999998</v>
      </c>
      <c r="T9931" s="36">
        <v>2030.93</v>
      </c>
      <c r="U9931" s="34"/>
      <c r="V9931" s="34"/>
      <c r="W9931" s="34" t="s">
        <v>40</v>
      </c>
      <c r="X9931" s="37">
        <v>0.92500000000000004</v>
      </c>
      <c r="Y9931" s="38">
        <v>7.7999999999999996E-3</v>
      </c>
      <c r="Z9931" s="21">
        <v>4601004124196</v>
      </c>
    </row>
    <row r="9932" spans="1:26" ht="12" customHeight="1" outlineLevel="4" x14ac:dyDescent="0.2">
      <c r="A9932" s="14" t="s">
        <v>18907</v>
      </c>
      <c r="B9932" s="26" t="s">
        <v>18908</v>
      </c>
      <c r="C9932" s="52"/>
      <c r="D9932" s="55">
        <f t="shared" si="155"/>
        <v>0</v>
      </c>
      <c r="E9932" s="63" t="str">
        <f>HYPERLINK("https://www.sds-group.ru/product/kabel-greyuschiy-samoreguliruyuschiysya-model-srl-power-line-30srl-2cr-4m-120vt-rexant-51-0651/", "Инфо")</f>
        <v>Инфо</v>
      </c>
      <c r="F9932" s="16" t="s">
        <v>974</v>
      </c>
      <c r="G9932" s="15"/>
      <c r="H9932" s="15"/>
      <c r="I9932" s="15"/>
      <c r="J9932" s="17">
        <v>100</v>
      </c>
      <c r="K9932" s="15"/>
      <c r="L9932" s="17">
        <v>1</v>
      </c>
      <c r="M9932" s="17">
        <v>16</v>
      </c>
      <c r="N9932" s="17">
        <v>1</v>
      </c>
      <c r="O9932" s="18">
        <v>4671.67</v>
      </c>
      <c r="P9932" s="18">
        <v>3829.24</v>
      </c>
      <c r="Q9932" s="18">
        <v>3410.32</v>
      </c>
      <c r="R9932" s="18">
        <v>2795.34</v>
      </c>
      <c r="S9932" s="18">
        <v>3176.74</v>
      </c>
      <c r="T9932" s="18">
        <v>2603.89</v>
      </c>
      <c r="U9932" s="16"/>
      <c r="V9932" s="16"/>
      <c r="W9932" s="16" t="s">
        <v>40</v>
      </c>
      <c r="X9932" s="19">
        <v>1.0860000000000001</v>
      </c>
      <c r="Y9932" s="20">
        <v>7.0889999999999998E-3</v>
      </c>
      <c r="Z9932" s="21">
        <v>4601004124202</v>
      </c>
    </row>
    <row r="9933" spans="1:26" ht="12" customHeight="1" outlineLevel="4" x14ac:dyDescent="0.2">
      <c r="A9933" s="14" t="s">
        <v>18909</v>
      </c>
      <c r="B9933" s="26" t="s">
        <v>18910</v>
      </c>
      <c r="C9933" s="52"/>
      <c r="D9933" s="55">
        <f t="shared" si="155"/>
        <v>0</v>
      </c>
      <c r="E9933" s="63" t="str">
        <f>HYPERLINK("https://www.sds-group.ru/product/kabel-greyuschiy-samoreguliruyuschiysya-model-srl-power-line-30srl-2cr-5m-150vt-rexant-51-0652/", "Инфо")</f>
        <v>Инфо</v>
      </c>
      <c r="F9933" s="16" t="s">
        <v>974</v>
      </c>
      <c r="G9933" s="15"/>
      <c r="H9933" s="15"/>
      <c r="I9933" s="15"/>
      <c r="J9933" s="17">
        <v>63</v>
      </c>
      <c r="K9933" s="15" t="s">
        <v>4020</v>
      </c>
      <c r="L9933" s="17">
        <v>1</v>
      </c>
      <c r="M9933" s="17">
        <v>16</v>
      </c>
      <c r="N9933" s="17">
        <v>1</v>
      </c>
      <c r="O9933" s="18">
        <v>5316.26</v>
      </c>
      <c r="P9933" s="18">
        <v>4357.59</v>
      </c>
      <c r="Q9933" s="18">
        <v>3880.87</v>
      </c>
      <c r="R9933" s="18">
        <v>3181.04</v>
      </c>
      <c r="S9933" s="18">
        <v>3615.06</v>
      </c>
      <c r="T9933" s="18">
        <v>2963.16</v>
      </c>
      <c r="U9933" s="16"/>
      <c r="V9933" s="16"/>
      <c r="W9933" s="16" t="s">
        <v>40</v>
      </c>
      <c r="X9933" s="19">
        <v>1.32</v>
      </c>
      <c r="Y9933" s="20">
        <v>7.0790000000000002E-3</v>
      </c>
      <c r="Z9933" s="21">
        <v>4601004124219</v>
      </c>
    </row>
    <row r="9934" spans="1:26" ht="12" customHeight="1" outlineLevel="4" x14ac:dyDescent="0.2">
      <c r="A9934" s="14" t="s">
        <v>18911</v>
      </c>
      <c r="B9934" s="26" t="s">
        <v>18912</v>
      </c>
      <c r="C9934" s="52"/>
      <c r="D9934" s="55">
        <f t="shared" si="155"/>
        <v>0</v>
      </c>
      <c r="E9934" s="63" t="str">
        <f>HYPERLINK("https://www.sds-group.ru/product/kabel-greyuschiy-samoreguliruyuschiysya-model-srl-power-line-30srl-2cr-6m-180vt-rexant-51-0653/", "Инфо")</f>
        <v>Инфо</v>
      </c>
      <c r="F9934" s="16" t="s">
        <v>974</v>
      </c>
      <c r="G9934" s="15"/>
      <c r="H9934" s="15"/>
      <c r="I9934" s="15"/>
      <c r="J9934" s="17">
        <v>52</v>
      </c>
      <c r="K9934" s="15" t="s">
        <v>1590</v>
      </c>
      <c r="L9934" s="17">
        <v>1</v>
      </c>
      <c r="M9934" s="17">
        <v>16</v>
      </c>
      <c r="N9934" s="17">
        <v>1</v>
      </c>
      <c r="O9934" s="18">
        <v>7771.11</v>
      </c>
      <c r="P9934" s="18">
        <v>6369.76</v>
      </c>
      <c r="Q9934" s="18">
        <v>5672.91</v>
      </c>
      <c r="R9934" s="18">
        <v>4649.93</v>
      </c>
      <c r="S9934" s="18">
        <v>5284.35</v>
      </c>
      <c r="T9934" s="18">
        <v>4331.43</v>
      </c>
      <c r="U9934" s="16"/>
      <c r="V9934" s="16"/>
      <c r="W9934" s="16" t="s">
        <v>40</v>
      </c>
      <c r="X9934" s="19">
        <v>1.1719999999999999</v>
      </c>
      <c r="Y9934" s="20">
        <v>7.1960000000000001E-3</v>
      </c>
      <c r="Z9934" s="21">
        <v>4601004124226</v>
      </c>
    </row>
    <row r="9935" spans="1:26" ht="12" customHeight="1" outlineLevel="4" x14ac:dyDescent="0.2">
      <c r="A9935" s="14" t="s">
        <v>18913</v>
      </c>
      <c r="B9935" s="26" t="s">
        <v>18914</v>
      </c>
      <c r="C9935" s="52"/>
      <c r="D9935" s="55">
        <f t="shared" si="155"/>
        <v>0</v>
      </c>
      <c r="E9935" s="63" t="str">
        <f>HYPERLINK("https://www.sds-group.ru/product/kabel-greyuschiy-samoreguliruyuschiysya-model-srl-power-line-30srl-2cr-8m-240vt-rexant-51-0655/", "Инфо")</f>
        <v>Инфо</v>
      </c>
      <c r="F9935" s="16" t="s">
        <v>974</v>
      </c>
      <c r="G9935" s="15"/>
      <c r="H9935" s="15"/>
      <c r="I9935" s="15"/>
      <c r="J9935" s="17">
        <v>39</v>
      </c>
      <c r="K9935" s="15"/>
      <c r="L9935" s="17">
        <v>1</v>
      </c>
      <c r="M9935" s="17">
        <v>16</v>
      </c>
      <c r="N9935" s="17">
        <v>1</v>
      </c>
      <c r="O9935" s="18">
        <v>8845.5400000000009</v>
      </c>
      <c r="P9935" s="18">
        <v>7250.44</v>
      </c>
      <c r="Q9935" s="18">
        <v>6457.24</v>
      </c>
      <c r="R9935" s="18">
        <v>5292.82</v>
      </c>
      <c r="S9935" s="18">
        <v>6014.97</v>
      </c>
      <c r="T9935" s="18">
        <v>4930.3</v>
      </c>
      <c r="U9935" s="16"/>
      <c r="V9935" s="16"/>
      <c r="W9935" s="16" t="s">
        <v>40</v>
      </c>
      <c r="X9935" s="19">
        <v>1.4019999999999999</v>
      </c>
      <c r="Y9935" s="20">
        <v>7.8250000000000004E-3</v>
      </c>
      <c r="Z9935" s="21">
        <v>4601004124240</v>
      </c>
    </row>
    <row r="9936" spans="1:26" ht="12.95" customHeight="1" outlineLevel="2" x14ac:dyDescent="0.2">
      <c r="A9936" s="76" t="s">
        <v>18915</v>
      </c>
      <c r="B9936" s="76"/>
      <c r="C9936" s="77"/>
      <c r="D9936" s="58"/>
      <c r="E9936" s="68"/>
      <c r="F9936" s="13"/>
      <c r="G9936" s="13"/>
      <c r="H9936" s="13"/>
      <c r="I9936" s="13"/>
      <c r="J9936" s="13"/>
      <c r="K9936" s="13"/>
      <c r="L9936" s="13"/>
      <c r="M9936" s="13"/>
      <c r="N9936" s="13"/>
      <c r="O9936" s="13"/>
      <c r="P9936" s="13"/>
      <c r="Q9936" s="13"/>
      <c r="R9936" s="13"/>
      <c r="S9936" s="13"/>
      <c r="T9936" s="13"/>
      <c r="U9936" s="13"/>
      <c r="V9936" s="13"/>
      <c r="W9936" s="13"/>
      <c r="X9936" s="13"/>
      <c r="Y9936" s="13"/>
      <c r="Z9936" s="13"/>
    </row>
    <row r="9937" spans="1:26" ht="12.95" customHeight="1" outlineLevel="3" x14ac:dyDescent="0.2">
      <c r="A9937" s="76" t="s">
        <v>18916</v>
      </c>
      <c r="B9937" s="76"/>
      <c r="C9937" s="77"/>
      <c r="D9937" s="58"/>
      <c r="E9937" s="68"/>
      <c r="F9937" s="13"/>
      <c r="G9937" s="13"/>
      <c r="H9937" s="13"/>
      <c r="I9937" s="13"/>
      <c r="J9937" s="13"/>
      <c r="K9937" s="13"/>
      <c r="L9937" s="13"/>
      <c r="M9937" s="13"/>
      <c r="N9937" s="13"/>
      <c r="O9937" s="13"/>
      <c r="P9937" s="13"/>
      <c r="Q9937" s="13"/>
      <c r="R9937" s="13"/>
      <c r="S9937" s="13"/>
      <c r="T9937" s="13"/>
      <c r="U9937" s="13"/>
      <c r="V9937" s="13"/>
      <c r="W9937" s="13"/>
      <c r="X9937" s="13"/>
      <c r="Y9937" s="13"/>
      <c r="Z9937" s="13"/>
    </row>
    <row r="9938" spans="1:26" ht="12" customHeight="1" outlineLevel="4" x14ac:dyDescent="0.2">
      <c r="A9938" s="14" t="s">
        <v>18917</v>
      </c>
      <c r="B9938" s="26" t="s">
        <v>18918</v>
      </c>
      <c r="C9938" s="52"/>
      <c r="D9938" s="55">
        <f t="shared" si="155"/>
        <v>0</v>
      </c>
      <c r="E9938" s="63" t="str">
        <f>HYPERLINK("https://www.sds-group.ru/product/kabel-greyuschiy-samoreguliruyuschiysya-16kns-2ltg-el-65-85-ekranirovannyy-vzryvozaschischen-51-0250/", "Инфо")</f>
        <v>Инфо</v>
      </c>
      <c r="F9938" s="16" t="s">
        <v>18757</v>
      </c>
      <c r="G9938" s="15"/>
      <c r="H9938" s="15"/>
      <c r="I9938" s="15"/>
      <c r="J9938" s="22">
        <v>2800</v>
      </c>
      <c r="K9938" s="15"/>
      <c r="L9938" s="17">
        <v>200</v>
      </c>
      <c r="M9938" s="17">
        <v>200</v>
      </c>
      <c r="N9938" s="17">
        <v>200</v>
      </c>
      <c r="O9938" s="18">
        <v>445.2</v>
      </c>
      <c r="P9938" s="18">
        <v>364.92</v>
      </c>
      <c r="Q9938" s="18">
        <v>400.68</v>
      </c>
      <c r="R9938" s="18">
        <v>328.43</v>
      </c>
      <c r="S9938" s="18">
        <v>302.74</v>
      </c>
      <c r="T9938" s="18">
        <v>248.15</v>
      </c>
      <c r="U9938" s="16"/>
      <c r="V9938" s="16"/>
      <c r="W9938" s="16" t="s">
        <v>40</v>
      </c>
      <c r="X9938" s="19">
        <v>0.13800000000000001</v>
      </c>
      <c r="Y9938" s="20">
        <v>2.7999999999999998E-4</v>
      </c>
      <c r="Z9938" s="21">
        <v>4601004267732</v>
      </c>
    </row>
    <row r="9939" spans="1:26" ht="12" customHeight="1" outlineLevel="4" x14ac:dyDescent="0.2">
      <c r="A9939" s="14" t="s">
        <v>18919</v>
      </c>
      <c r="B9939" s="26" t="s">
        <v>18920</v>
      </c>
      <c r="C9939" s="52"/>
      <c r="D9939" s="55">
        <f t="shared" si="155"/>
        <v>0</v>
      </c>
      <c r="E9939" s="63" t="str">
        <f>HYPERLINK("https://www.sds-group.ru/product/kabel-greyuschiy-nagrevatelnyy-samoreguliruyuschiysya-rsh-15f-200-240-c-ekranirovannyy-vzryv-51-0330/", "Инфо")</f>
        <v>Инфо</v>
      </c>
      <c r="F9939" s="16" t="s">
        <v>1767</v>
      </c>
      <c r="G9939" s="15"/>
      <c r="H9939" s="15"/>
      <c r="I9939" s="24">
        <v>-60</v>
      </c>
      <c r="J9939" s="16" t="s">
        <v>100</v>
      </c>
      <c r="K9939" s="15"/>
      <c r="L9939" s="17">
        <v>250</v>
      </c>
      <c r="M9939" s="17">
        <v>250</v>
      </c>
      <c r="N9939" s="17">
        <v>250</v>
      </c>
      <c r="O9939" s="18">
        <v>4103</v>
      </c>
      <c r="P9939" s="18">
        <v>3363.11</v>
      </c>
      <c r="Q9939" s="18">
        <v>4103</v>
      </c>
      <c r="R9939" s="18">
        <v>3363.11</v>
      </c>
      <c r="S9939" s="18">
        <v>2790.04</v>
      </c>
      <c r="T9939" s="18">
        <v>2286.92</v>
      </c>
      <c r="U9939" s="16"/>
      <c r="V9939" s="16"/>
      <c r="W9939" s="16" t="s">
        <v>40</v>
      </c>
      <c r="X9939" s="25"/>
      <c r="Y9939" s="25"/>
      <c r="Z9939" s="21">
        <v>4601004340329</v>
      </c>
    </row>
    <row r="9940" spans="1:26" ht="12" customHeight="1" outlineLevel="4" x14ac:dyDescent="0.2">
      <c r="A9940" s="40" t="s">
        <v>18921</v>
      </c>
      <c r="B9940" s="75" t="s">
        <v>18922</v>
      </c>
      <c r="C9940" s="51"/>
      <c r="D9940" s="54">
        <f t="shared" si="155"/>
        <v>0</v>
      </c>
      <c r="E9940" s="61" t="str">
        <f>HYPERLINK("https://www.sds-group.ru/product/kabel-greyuschiy-nagrevatelnyy-samoreguliruyuschiysya-rsh-30f-200-240-s-ekranirovannyy-vzryv-51-0331/", "Инфо")</f>
        <v>Инфо</v>
      </c>
      <c r="F9940" s="42" t="s">
        <v>1767</v>
      </c>
      <c r="G9940" s="41" t="s">
        <v>40</v>
      </c>
      <c r="H9940" s="41"/>
      <c r="I9940" s="41"/>
      <c r="J9940" s="47">
        <v>2500</v>
      </c>
      <c r="K9940" s="41"/>
      <c r="L9940" s="43">
        <v>250</v>
      </c>
      <c r="M9940" s="43">
        <v>250</v>
      </c>
      <c r="N9940" s="43">
        <v>250</v>
      </c>
      <c r="O9940" s="44">
        <v>4349.18</v>
      </c>
      <c r="P9940" s="44">
        <v>3564.9</v>
      </c>
      <c r="Q9940" s="44">
        <v>4349.18</v>
      </c>
      <c r="R9940" s="44">
        <v>3564.9</v>
      </c>
      <c r="S9940" s="44">
        <v>2957.44</v>
      </c>
      <c r="T9940" s="44">
        <v>2424.13</v>
      </c>
      <c r="U9940" s="42"/>
      <c r="V9940" s="42"/>
      <c r="W9940" s="42" t="s">
        <v>40</v>
      </c>
      <c r="X9940" s="45">
        <v>0.152</v>
      </c>
      <c r="Y9940" s="46">
        <v>1.8900000000000001E-4</v>
      </c>
      <c r="Z9940" s="21">
        <v>4601004340336</v>
      </c>
    </row>
    <row r="9941" spans="1:26" ht="12" customHeight="1" outlineLevel="4" x14ac:dyDescent="0.2">
      <c r="A9941" s="40" t="s">
        <v>18923</v>
      </c>
      <c r="B9941" s="75" t="s">
        <v>18924</v>
      </c>
      <c r="C9941" s="51"/>
      <c r="D9941" s="54">
        <f t="shared" si="155"/>
        <v>0</v>
      </c>
      <c r="E9941" s="61" t="str">
        <f>HYPERLINK("https://www.sds-group.ru/product/kabel-greyuschiy-nagrevatelnyy-samoreguliruyuschiysya-rsh-45f-200-240-c-ekranirovannyy-vzryv-51-0332/", "Инфо")</f>
        <v>Инфо</v>
      </c>
      <c r="F9941" s="42" t="s">
        <v>1767</v>
      </c>
      <c r="G9941" s="41" t="s">
        <v>40</v>
      </c>
      <c r="H9941" s="41"/>
      <c r="I9941" s="41"/>
      <c r="J9941" s="42" t="s">
        <v>100</v>
      </c>
      <c r="K9941" s="41"/>
      <c r="L9941" s="43">
        <v>250</v>
      </c>
      <c r="M9941" s="43">
        <v>250</v>
      </c>
      <c r="N9941" s="43">
        <v>250</v>
      </c>
      <c r="O9941" s="44">
        <v>4349.18</v>
      </c>
      <c r="P9941" s="44">
        <v>3564.9</v>
      </c>
      <c r="Q9941" s="44">
        <v>4349.18</v>
      </c>
      <c r="R9941" s="44">
        <v>3564.9</v>
      </c>
      <c r="S9941" s="44">
        <v>2957.44</v>
      </c>
      <c r="T9941" s="44">
        <v>2424.13</v>
      </c>
      <c r="U9941" s="42"/>
      <c r="V9941" s="42"/>
      <c r="W9941" s="42" t="s">
        <v>40</v>
      </c>
      <c r="X9941" s="45">
        <v>0.158</v>
      </c>
      <c r="Y9941" s="46">
        <v>2.23E-4</v>
      </c>
      <c r="Z9941" s="21">
        <v>4601004340343</v>
      </c>
    </row>
    <row r="9942" spans="1:26" ht="12" customHeight="1" outlineLevel="4" x14ac:dyDescent="0.2">
      <c r="A9942" s="40" t="s">
        <v>18925</v>
      </c>
      <c r="B9942" s="75" t="s">
        <v>18926</v>
      </c>
      <c r="C9942" s="51"/>
      <c r="D9942" s="54">
        <f t="shared" si="155"/>
        <v>0</v>
      </c>
      <c r="E9942" s="61" t="str">
        <f>HYPERLINK("https://www.sds-group.ru/product/kabel-greyuschiy-nagrevatelnyy-samoreguliruyuschiysya-rsh-60f-200-240-c-ekranirovannyy-vzryv-51-0333/", "Инфо")</f>
        <v>Инфо</v>
      </c>
      <c r="F9942" s="42" t="s">
        <v>1767</v>
      </c>
      <c r="G9942" s="41" t="s">
        <v>40</v>
      </c>
      <c r="H9942" s="41"/>
      <c r="I9942" s="41" t="s">
        <v>18927</v>
      </c>
      <c r="J9942" s="42" t="s">
        <v>100</v>
      </c>
      <c r="K9942" s="41"/>
      <c r="L9942" s="43">
        <v>250</v>
      </c>
      <c r="M9942" s="43">
        <v>250</v>
      </c>
      <c r="N9942" s="43">
        <v>250</v>
      </c>
      <c r="O9942" s="44">
        <v>4349.18</v>
      </c>
      <c r="P9942" s="44">
        <v>3564.9</v>
      </c>
      <c r="Q9942" s="44">
        <v>4349.18</v>
      </c>
      <c r="R9942" s="44">
        <v>3564.9</v>
      </c>
      <c r="S9942" s="44">
        <v>2957.44</v>
      </c>
      <c r="T9942" s="44">
        <v>2424.13</v>
      </c>
      <c r="U9942" s="42"/>
      <c r="V9942" s="42"/>
      <c r="W9942" s="42" t="s">
        <v>40</v>
      </c>
      <c r="X9942" s="45">
        <v>0.161</v>
      </c>
      <c r="Y9942" s="46">
        <v>2.24E-4</v>
      </c>
      <c r="Z9942" s="21">
        <v>4601004340350</v>
      </c>
    </row>
    <row r="9943" spans="1:26" ht="12" customHeight="1" outlineLevel="4" x14ac:dyDescent="0.2">
      <c r="A9943" s="14" t="s">
        <v>18928</v>
      </c>
      <c r="B9943" s="26" t="s">
        <v>18929</v>
      </c>
      <c r="C9943" s="52"/>
      <c r="D9943" s="55">
        <f t="shared" si="155"/>
        <v>0</v>
      </c>
      <c r="E9943" s="63" t="str">
        <f>HYPERLINK("https://www.sds-group.ru/product/kabel-greyuschiy-nagrevatelnyy-samoreguliruyuschiysya-rsht-80f-205-250-c-ekranirovannyy-vzry-51-0334/", "Инфо")</f>
        <v>Инфо</v>
      </c>
      <c r="F9943" s="16" t="s">
        <v>1767</v>
      </c>
      <c r="G9943" s="15"/>
      <c r="H9943" s="15"/>
      <c r="I9943" s="24">
        <v>-60</v>
      </c>
      <c r="J9943" s="16" t="s">
        <v>100</v>
      </c>
      <c r="K9943" s="15"/>
      <c r="L9943" s="17">
        <v>250</v>
      </c>
      <c r="M9943" s="17">
        <v>250</v>
      </c>
      <c r="N9943" s="17">
        <v>250</v>
      </c>
      <c r="O9943" s="18">
        <v>4750</v>
      </c>
      <c r="P9943" s="18">
        <v>3893.44</v>
      </c>
      <c r="Q9943" s="18">
        <v>4750</v>
      </c>
      <c r="R9943" s="18">
        <v>3893.44</v>
      </c>
      <c r="S9943" s="18">
        <v>3230</v>
      </c>
      <c r="T9943" s="18">
        <v>2647.54</v>
      </c>
      <c r="U9943" s="16"/>
      <c r="V9943" s="16"/>
      <c r="W9943" s="16" t="s">
        <v>40</v>
      </c>
      <c r="X9943" s="25"/>
      <c r="Y9943" s="25"/>
      <c r="Z9943" s="21">
        <v>4601004340367</v>
      </c>
    </row>
    <row r="9944" spans="1:26" ht="12" customHeight="1" outlineLevel="4" x14ac:dyDescent="0.2">
      <c r="A9944" s="14" t="s">
        <v>18930</v>
      </c>
      <c r="B9944" s="26" t="s">
        <v>18931</v>
      </c>
      <c r="C9944" s="52"/>
      <c r="D9944" s="55">
        <f t="shared" si="155"/>
        <v>0</v>
      </c>
      <c r="E9944" s="63" t="str">
        <f>HYPERLINK("https://www.sds-group.ru/product/kabel-greyuschiy-nagrevatelnyy-samoreguliruyuschiysya-rsht-90f-205-250-c-ekranirovannyy-vzry-51-0335/", "Инфо")</f>
        <v>Инфо</v>
      </c>
      <c r="F9944" s="16" t="s">
        <v>1767</v>
      </c>
      <c r="G9944" s="15"/>
      <c r="H9944" s="15"/>
      <c r="I9944" s="24">
        <v>-60</v>
      </c>
      <c r="J9944" s="16" t="s">
        <v>100</v>
      </c>
      <c r="K9944" s="15"/>
      <c r="L9944" s="17">
        <v>250</v>
      </c>
      <c r="M9944" s="17">
        <v>250</v>
      </c>
      <c r="N9944" s="17">
        <v>250</v>
      </c>
      <c r="O9944" s="18">
        <v>4750</v>
      </c>
      <c r="P9944" s="18">
        <v>3893.44</v>
      </c>
      <c r="Q9944" s="18">
        <v>4750</v>
      </c>
      <c r="R9944" s="18">
        <v>3893.44</v>
      </c>
      <c r="S9944" s="18">
        <v>3230</v>
      </c>
      <c r="T9944" s="18">
        <v>2647.54</v>
      </c>
      <c r="U9944" s="16"/>
      <c r="V9944" s="16"/>
      <c r="W9944" s="16" t="s">
        <v>40</v>
      </c>
      <c r="X9944" s="25"/>
      <c r="Y9944" s="25"/>
      <c r="Z9944" s="21">
        <v>4601004340190</v>
      </c>
    </row>
    <row r="9945" spans="1:26" ht="12" customHeight="1" outlineLevel="4" x14ac:dyDescent="0.2">
      <c r="A9945" s="40" t="s">
        <v>18932</v>
      </c>
      <c r="B9945" s="75" t="s">
        <v>18933</v>
      </c>
      <c r="C9945" s="51"/>
      <c r="D9945" s="54">
        <f t="shared" si="155"/>
        <v>0</v>
      </c>
      <c r="E9945" s="61" t="str">
        <f>HYPERLINK("https://www.sds-group.ru/product/kabel-greyuschiy-nagrevatelnyy-samoreguliruyuschiysya-rsl-16f-65-85-c-ftorpolimer-ekranirova-51-0301/", "Инфо")</f>
        <v>Инфо</v>
      </c>
      <c r="F9945" s="42" t="s">
        <v>1767</v>
      </c>
      <c r="G9945" s="41" t="s">
        <v>40</v>
      </c>
      <c r="H9945" s="41"/>
      <c r="I9945" s="41" t="s">
        <v>18927</v>
      </c>
      <c r="J9945" s="42" t="s">
        <v>100</v>
      </c>
      <c r="K9945" s="41" t="s">
        <v>6837</v>
      </c>
      <c r="L9945" s="43">
        <v>200</v>
      </c>
      <c r="M9945" s="43">
        <v>200</v>
      </c>
      <c r="N9945" s="43">
        <v>200</v>
      </c>
      <c r="O9945" s="44">
        <v>815.67</v>
      </c>
      <c r="P9945" s="44">
        <v>668.58</v>
      </c>
      <c r="Q9945" s="44">
        <v>815.67</v>
      </c>
      <c r="R9945" s="44">
        <v>668.58</v>
      </c>
      <c r="S9945" s="44">
        <v>554.66</v>
      </c>
      <c r="T9945" s="44">
        <v>454.64</v>
      </c>
      <c r="U9945" s="42"/>
      <c r="V9945" s="42"/>
      <c r="W9945" s="42" t="s">
        <v>40</v>
      </c>
      <c r="X9945" s="45">
        <v>0.106</v>
      </c>
      <c r="Y9945" s="46">
        <v>2.7900000000000001E-4</v>
      </c>
      <c r="Z9945" s="21">
        <v>4601004340206</v>
      </c>
    </row>
    <row r="9946" spans="1:26" ht="12" customHeight="1" outlineLevel="4" x14ac:dyDescent="0.2">
      <c r="A9946" s="40" t="s">
        <v>18934</v>
      </c>
      <c r="B9946" s="75" t="s">
        <v>18935</v>
      </c>
      <c r="C9946" s="51"/>
      <c r="D9946" s="54">
        <f t="shared" si="155"/>
        <v>0</v>
      </c>
      <c r="E9946" s="61" t="str">
        <f>HYPERLINK("https://www.sds-group.ru/product/kabel-greyuschiy-nagrevatelnyy-samoreguliruyuschiysya-rsl-24f-65-85-c-ftorpolimer-ekranirova-51-0303/", "Инфо")</f>
        <v>Инфо</v>
      </c>
      <c r="F9946" s="42" t="s">
        <v>1767</v>
      </c>
      <c r="G9946" s="41" t="s">
        <v>40</v>
      </c>
      <c r="H9946" s="41"/>
      <c r="I9946" s="41" t="s">
        <v>18927</v>
      </c>
      <c r="J9946" s="42" t="s">
        <v>100</v>
      </c>
      <c r="K9946" s="41" t="s">
        <v>6837</v>
      </c>
      <c r="L9946" s="43">
        <v>200</v>
      </c>
      <c r="M9946" s="43">
        <v>200</v>
      </c>
      <c r="N9946" s="43">
        <v>200</v>
      </c>
      <c r="O9946" s="44">
        <v>825.74</v>
      </c>
      <c r="P9946" s="44">
        <v>676.84</v>
      </c>
      <c r="Q9946" s="44">
        <v>825.74</v>
      </c>
      <c r="R9946" s="44">
        <v>676.84</v>
      </c>
      <c r="S9946" s="44">
        <v>561.5</v>
      </c>
      <c r="T9946" s="44">
        <v>460.25</v>
      </c>
      <c r="U9946" s="42"/>
      <c r="V9946" s="42"/>
      <c r="W9946" s="42" t="s">
        <v>40</v>
      </c>
      <c r="X9946" s="45">
        <v>0.106</v>
      </c>
      <c r="Y9946" s="46">
        <v>2.8200000000000002E-4</v>
      </c>
      <c r="Z9946" s="21">
        <v>4601004340220</v>
      </c>
    </row>
    <row r="9947" spans="1:26" ht="12" customHeight="1" outlineLevel="4" x14ac:dyDescent="0.2">
      <c r="A9947" s="14" t="s">
        <v>18936</v>
      </c>
      <c r="B9947" s="26" t="s">
        <v>18937</v>
      </c>
      <c r="C9947" s="52"/>
      <c r="D9947" s="55">
        <f t="shared" si="155"/>
        <v>0</v>
      </c>
      <c r="E9947" s="63" t="str">
        <f>HYPERLINK("https://www.sds-group.ru/product/kabel-greyuschiy-nagrevatelnyy-samoreguliruyuschiysya-rsl-24hf-65-85-s-ekranirovannyy-vzryvo-51-0251/", "Инфо")</f>
        <v>Инфо</v>
      </c>
      <c r="F9947" s="16" t="s">
        <v>18757</v>
      </c>
      <c r="G9947" s="15"/>
      <c r="H9947" s="15"/>
      <c r="I9947" s="15"/>
      <c r="J9947" s="22">
        <v>10000</v>
      </c>
      <c r="K9947" s="15"/>
      <c r="L9947" s="17">
        <v>200</v>
      </c>
      <c r="M9947" s="17">
        <v>200</v>
      </c>
      <c r="N9947" s="17">
        <v>200</v>
      </c>
      <c r="O9947" s="18">
        <v>512.04999999999995</v>
      </c>
      <c r="P9947" s="18">
        <v>419.71</v>
      </c>
      <c r="Q9947" s="18">
        <v>460.85</v>
      </c>
      <c r="R9947" s="18">
        <v>377.75</v>
      </c>
      <c r="S9947" s="18">
        <v>348.19</v>
      </c>
      <c r="T9947" s="18">
        <v>285.39999999999998</v>
      </c>
      <c r="U9947" s="16"/>
      <c r="V9947" s="16"/>
      <c r="W9947" s="16" t="s">
        <v>40</v>
      </c>
      <c r="X9947" s="19">
        <v>0.13500000000000001</v>
      </c>
      <c r="Y9947" s="20">
        <v>2.8299999999999999E-4</v>
      </c>
      <c r="Z9947" s="21">
        <v>4601004267749</v>
      </c>
    </row>
    <row r="9948" spans="1:26" ht="12" customHeight="1" outlineLevel="4" x14ac:dyDescent="0.2">
      <c r="A9948" s="40" t="s">
        <v>18938</v>
      </c>
      <c r="B9948" s="75" t="s">
        <v>18939</v>
      </c>
      <c r="C9948" s="51"/>
      <c r="D9948" s="54">
        <f t="shared" si="155"/>
        <v>0</v>
      </c>
      <c r="E9948" s="61" t="str">
        <f>HYPERLINK("https://www.sds-group.ru/product/kabel-greyuschiy-nagrevatelnyy-samoreguliruyuschiysya-rsl-30f-65-85-c-ftorpolimer-ekranirova-51-0305/", "Инфо")</f>
        <v>Инфо</v>
      </c>
      <c r="F9948" s="42" t="s">
        <v>1767</v>
      </c>
      <c r="G9948" s="41" t="s">
        <v>40</v>
      </c>
      <c r="H9948" s="41"/>
      <c r="I9948" s="41"/>
      <c r="J9948" s="47">
        <v>5000</v>
      </c>
      <c r="K9948" s="41" t="s">
        <v>6837</v>
      </c>
      <c r="L9948" s="43">
        <v>200</v>
      </c>
      <c r="M9948" s="43">
        <v>200</v>
      </c>
      <c r="N9948" s="43">
        <v>200</v>
      </c>
      <c r="O9948" s="44">
        <v>835.81</v>
      </c>
      <c r="P9948" s="44">
        <v>685.09</v>
      </c>
      <c r="Q9948" s="44">
        <v>835.81</v>
      </c>
      <c r="R9948" s="44">
        <v>685.09</v>
      </c>
      <c r="S9948" s="44">
        <v>568.35</v>
      </c>
      <c r="T9948" s="44">
        <v>465.86</v>
      </c>
      <c r="U9948" s="42"/>
      <c r="V9948" s="42"/>
      <c r="W9948" s="42" t="s">
        <v>40</v>
      </c>
      <c r="X9948" s="45">
        <v>0.106</v>
      </c>
      <c r="Y9948" s="46">
        <v>2.7799999999999998E-4</v>
      </c>
      <c r="Z9948" s="21">
        <v>4601004340244</v>
      </c>
    </row>
    <row r="9949" spans="1:26" ht="12" customHeight="1" outlineLevel="4" x14ac:dyDescent="0.2">
      <c r="A9949" s="14" t="s">
        <v>18940</v>
      </c>
      <c r="B9949" s="26" t="s">
        <v>18941</v>
      </c>
      <c r="C9949" s="52"/>
      <c r="D9949" s="55">
        <f t="shared" si="155"/>
        <v>0</v>
      </c>
      <c r="E9949" s="63" t="str">
        <f>HYPERLINK("https://www.sds-group.ru/product/kabel-greyuschiy-nagrevatelnyy-samoreguliruyuschiysya-rsl-30hf-65-85-s-ekranirovannyy-vzryvo-51-0252/", "Инфо")</f>
        <v>Инфо</v>
      </c>
      <c r="F9949" s="16" t="s">
        <v>18757</v>
      </c>
      <c r="G9949" s="15"/>
      <c r="H9949" s="15"/>
      <c r="I9949" s="15"/>
      <c r="J9949" s="22">
        <v>6000</v>
      </c>
      <c r="K9949" s="15" t="s">
        <v>6837</v>
      </c>
      <c r="L9949" s="17">
        <v>200</v>
      </c>
      <c r="M9949" s="17">
        <v>200</v>
      </c>
      <c r="N9949" s="17">
        <v>200</v>
      </c>
      <c r="O9949" s="18">
        <v>518.53</v>
      </c>
      <c r="P9949" s="18">
        <v>425.02</v>
      </c>
      <c r="Q9949" s="18">
        <v>466.68</v>
      </c>
      <c r="R9949" s="18">
        <v>382.52</v>
      </c>
      <c r="S9949" s="18">
        <v>352.6</v>
      </c>
      <c r="T9949" s="18">
        <v>289.02</v>
      </c>
      <c r="U9949" s="16"/>
      <c r="V9949" s="16"/>
      <c r="W9949" s="16" t="s">
        <v>40</v>
      </c>
      <c r="X9949" s="19">
        <v>0.13200000000000001</v>
      </c>
      <c r="Y9949" s="20">
        <v>2.8200000000000002E-4</v>
      </c>
      <c r="Z9949" s="21">
        <v>4601004267756</v>
      </c>
    </row>
    <row r="9950" spans="1:26" ht="12" customHeight="1" outlineLevel="4" x14ac:dyDescent="0.2">
      <c r="A9950" s="40" t="s">
        <v>18942</v>
      </c>
      <c r="B9950" s="75" t="s">
        <v>18943</v>
      </c>
      <c r="C9950" s="51"/>
      <c r="D9950" s="54">
        <f t="shared" si="155"/>
        <v>0</v>
      </c>
      <c r="E9950" s="61" t="str">
        <f>HYPERLINK("https://www.sds-group.ru/product/kabel-greyuschiy-nagrevatelnyy-samoreguliruyuschiysya-rsl-40f-65-85-c-ftorpolimer-ekranirova-51-0307/", "Инфо")</f>
        <v>Инфо</v>
      </c>
      <c r="F9950" s="42" t="s">
        <v>1767</v>
      </c>
      <c r="G9950" s="41" t="s">
        <v>40</v>
      </c>
      <c r="H9950" s="41"/>
      <c r="I9950" s="41"/>
      <c r="J9950" s="42" t="s">
        <v>100</v>
      </c>
      <c r="K9950" s="41" t="s">
        <v>6837</v>
      </c>
      <c r="L9950" s="43">
        <v>200</v>
      </c>
      <c r="M9950" s="43">
        <v>200</v>
      </c>
      <c r="N9950" s="43">
        <v>200</v>
      </c>
      <c r="O9950" s="44">
        <v>845.88</v>
      </c>
      <c r="P9950" s="44">
        <v>693.34</v>
      </c>
      <c r="Q9950" s="44">
        <v>845.88</v>
      </c>
      <c r="R9950" s="44">
        <v>693.34</v>
      </c>
      <c r="S9950" s="44">
        <v>575.20000000000005</v>
      </c>
      <c r="T9950" s="44">
        <v>471.48</v>
      </c>
      <c r="U9950" s="42"/>
      <c r="V9950" s="42"/>
      <c r="W9950" s="42" t="s">
        <v>40</v>
      </c>
      <c r="X9950" s="45">
        <v>0.11799999999999999</v>
      </c>
      <c r="Y9950" s="46">
        <v>2.7999999999999998E-4</v>
      </c>
      <c r="Z9950" s="21">
        <v>4601004340268</v>
      </c>
    </row>
    <row r="9951" spans="1:26" ht="12" customHeight="1" outlineLevel="4" x14ac:dyDescent="0.2">
      <c r="A9951" s="14" t="s">
        <v>18944</v>
      </c>
      <c r="B9951" s="26" t="s">
        <v>18945</v>
      </c>
      <c r="C9951" s="52"/>
      <c r="D9951" s="55">
        <f t="shared" si="155"/>
        <v>0</v>
      </c>
      <c r="E9951" s="63" t="str">
        <f>HYPERLINK("https://www.sds-group.ru/product/kabel-greyuschiy-nagrevatelnyy-samoreguliruyuschiysya-rsl-40hf-65-85-s-ekranirovannyy-vzryvo-51-0253/", "Инфо")</f>
        <v>Инфо</v>
      </c>
      <c r="F9951" s="16" t="s">
        <v>18757</v>
      </c>
      <c r="G9951" s="15"/>
      <c r="H9951" s="15"/>
      <c r="I9951" s="15"/>
      <c r="J9951" s="22">
        <v>7424</v>
      </c>
      <c r="K9951" s="15" t="s">
        <v>6837</v>
      </c>
      <c r="L9951" s="17">
        <v>200</v>
      </c>
      <c r="M9951" s="17">
        <v>200</v>
      </c>
      <c r="N9951" s="17">
        <v>200</v>
      </c>
      <c r="O9951" s="18">
        <v>551.94000000000005</v>
      </c>
      <c r="P9951" s="18">
        <v>452.41</v>
      </c>
      <c r="Q9951" s="18">
        <v>496.75</v>
      </c>
      <c r="R9951" s="18">
        <v>407.17</v>
      </c>
      <c r="S9951" s="18">
        <v>375.32</v>
      </c>
      <c r="T9951" s="18">
        <v>307.64</v>
      </c>
      <c r="U9951" s="16"/>
      <c r="V9951" s="16"/>
      <c r="W9951" s="16" t="s">
        <v>40</v>
      </c>
      <c r="X9951" s="19">
        <v>0.13500000000000001</v>
      </c>
      <c r="Y9951" s="20">
        <v>2.7700000000000001E-4</v>
      </c>
      <c r="Z9951" s="21">
        <v>4601004267763</v>
      </c>
    </row>
    <row r="9952" spans="1:26" ht="12" customHeight="1" outlineLevel="4" x14ac:dyDescent="0.2">
      <c r="A9952" s="40" t="s">
        <v>18946</v>
      </c>
      <c r="B9952" s="75" t="s">
        <v>18947</v>
      </c>
      <c r="C9952" s="51"/>
      <c r="D9952" s="54">
        <f t="shared" si="155"/>
        <v>0</v>
      </c>
      <c r="E9952" s="61" t="str">
        <f>HYPERLINK("https://www.sds-group.ru/product/kabel-greyuschiy-nagrevatelnyy-samoreguliruyuschiysya-rsm-15f-120-200-c-ekranirovannyy-vzryv-51-0310/", "Инфо")</f>
        <v>Инфо</v>
      </c>
      <c r="F9952" s="42" t="s">
        <v>1767</v>
      </c>
      <c r="G9952" s="41" t="s">
        <v>40</v>
      </c>
      <c r="H9952" s="41"/>
      <c r="I9952" s="41" t="s">
        <v>18927</v>
      </c>
      <c r="J9952" s="47">
        <v>3000</v>
      </c>
      <c r="K9952" s="41"/>
      <c r="L9952" s="43">
        <v>250</v>
      </c>
      <c r="M9952" s="43">
        <v>250</v>
      </c>
      <c r="N9952" s="43">
        <v>250</v>
      </c>
      <c r="O9952" s="44">
        <v>2215.4</v>
      </c>
      <c r="P9952" s="44">
        <v>1815.9</v>
      </c>
      <c r="Q9952" s="44">
        <v>2215.4</v>
      </c>
      <c r="R9952" s="44">
        <v>1815.9</v>
      </c>
      <c r="S9952" s="44">
        <v>1506.47</v>
      </c>
      <c r="T9952" s="44">
        <v>1234.81</v>
      </c>
      <c r="U9952" s="42"/>
      <c r="V9952" s="42"/>
      <c r="W9952" s="42" t="s">
        <v>40</v>
      </c>
      <c r="X9952" s="45">
        <v>0.14799999999999999</v>
      </c>
      <c r="Y9952" s="46">
        <v>2.2599999999999999E-4</v>
      </c>
      <c r="Z9952" s="21">
        <v>4601004340275</v>
      </c>
    </row>
    <row r="9953" spans="1:26" ht="12" customHeight="1" outlineLevel="4" x14ac:dyDescent="0.2">
      <c r="A9953" s="40" t="s">
        <v>18948</v>
      </c>
      <c r="B9953" s="75" t="s">
        <v>18949</v>
      </c>
      <c r="C9953" s="51"/>
      <c r="D9953" s="54">
        <f t="shared" si="155"/>
        <v>0</v>
      </c>
      <c r="E9953" s="61" t="str">
        <f>HYPERLINK("https://www.sds-group.ru/product/kabel-greyuschiy-nagrevatelnyy-samoreguliruyuschiysya-rsm-30f-120-200-s-ekranirovannyy-vzryv-51-0312/", "Инфо")</f>
        <v>Инфо</v>
      </c>
      <c r="F9953" s="42" t="s">
        <v>1767</v>
      </c>
      <c r="G9953" s="41" t="s">
        <v>40</v>
      </c>
      <c r="H9953" s="41"/>
      <c r="I9953" s="41"/>
      <c r="J9953" s="47">
        <v>6750</v>
      </c>
      <c r="K9953" s="41"/>
      <c r="L9953" s="43">
        <v>250</v>
      </c>
      <c r="M9953" s="43">
        <v>250</v>
      </c>
      <c r="N9953" s="43">
        <v>250</v>
      </c>
      <c r="O9953" s="44">
        <v>2215.4</v>
      </c>
      <c r="P9953" s="44">
        <v>1815.9</v>
      </c>
      <c r="Q9953" s="44">
        <v>2215.4</v>
      </c>
      <c r="R9953" s="44">
        <v>1815.9</v>
      </c>
      <c r="S9953" s="44">
        <v>1506.47</v>
      </c>
      <c r="T9953" s="44">
        <v>1234.81</v>
      </c>
      <c r="U9953" s="42"/>
      <c r="V9953" s="42"/>
      <c r="W9953" s="42" t="s">
        <v>40</v>
      </c>
      <c r="X9953" s="45">
        <v>0.14799999999999999</v>
      </c>
      <c r="Y9953" s="46">
        <v>1.93E-4</v>
      </c>
      <c r="Z9953" s="21">
        <v>4601004340299</v>
      </c>
    </row>
    <row r="9954" spans="1:26" ht="12" customHeight="1" outlineLevel="4" x14ac:dyDescent="0.2">
      <c r="A9954" s="40" t="s">
        <v>18950</v>
      </c>
      <c r="B9954" s="75" t="s">
        <v>18951</v>
      </c>
      <c r="C9954" s="51"/>
      <c r="D9954" s="54">
        <f t="shared" si="155"/>
        <v>0</v>
      </c>
      <c r="E9954" s="61" t="str">
        <f>HYPERLINK("https://www.sds-group.ru/product/kabel-greyuschiy-nagrevatelnyy-samoreguliruyuschiysya-rsm-45f-120-200-s-ekranirovannyy-vzryv-51-0313/", "Инфо")</f>
        <v>Инфо</v>
      </c>
      <c r="F9954" s="42" t="s">
        <v>1767</v>
      </c>
      <c r="G9954" s="41" t="s">
        <v>40</v>
      </c>
      <c r="H9954" s="41"/>
      <c r="I9954" s="41"/>
      <c r="J9954" s="42" t="s">
        <v>100</v>
      </c>
      <c r="K9954" s="41"/>
      <c r="L9954" s="43">
        <v>250</v>
      </c>
      <c r="M9954" s="43">
        <v>250</v>
      </c>
      <c r="N9954" s="43">
        <v>250</v>
      </c>
      <c r="O9954" s="44">
        <v>2215.4</v>
      </c>
      <c r="P9954" s="44">
        <v>1815.9</v>
      </c>
      <c r="Q9954" s="44">
        <v>2215.4</v>
      </c>
      <c r="R9954" s="44">
        <v>1815.9</v>
      </c>
      <c r="S9954" s="44">
        <v>1506.47</v>
      </c>
      <c r="T9954" s="44">
        <v>1234.81</v>
      </c>
      <c r="U9954" s="42"/>
      <c r="V9954" s="42"/>
      <c r="W9954" s="42" t="s">
        <v>40</v>
      </c>
      <c r="X9954" s="45">
        <v>0.14699999999999999</v>
      </c>
      <c r="Y9954" s="46">
        <v>1.8900000000000001E-4</v>
      </c>
      <c r="Z9954" s="21">
        <v>4601004340305</v>
      </c>
    </row>
    <row r="9955" spans="1:26" ht="12" customHeight="1" outlineLevel="4" x14ac:dyDescent="0.2">
      <c r="A9955" s="40" t="s">
        <v>18952</v>
      </c>
      <c r="B9955" s="75" t="s">
        <v>18953</v>
      </c>
      <c r="C9955" s="51"/>
      <c r="D9955" s="54">
        <f t="shared" si="155"/>
        <v>0</v>
      </c>
      <c r="E9955" s="61" t="str">
        <f>HYPERLINK("https://www.sds-group.ru/product/kabel-greyuschiy-nagrevatelnyy-samoreguliruyuschiysya-rsm-60f-120-200-c-ekranirovannyy-vzryv-51-0314/", "Инфо")</f>
        <v>Инфо</v>
      </c>
      <c r="F9955" s="42" t="s">
        <v>1767</v>
      </c>
      <c r="G9955" s="41" t="s">
        <v>40</v>
      </c>
      <c r="H9955" s="41"/>
      <c r="I9955" s="41" t="s">
        <v>18927</v>
      </c>
      <c r="J9955" s="42" t="s">
        <v>100</v>
      </c>
      <c r="K9955" s="41"/>
      <c r="L9955" s="43">
        <v>250</v>
      </c>
      <c r="M9955" s="43">
        <v>250</v>
      </c>
      <c r="N9955" s="43">
        <v>250</v>
      </c>
      <c r="O9955" s="44">
        <v>2215.4</v>
      </c>
      <c r="P9955" s="44">
        <v>1815.9</v>
      </c>
      <c r="Q9955" s="44">
        <v>2215.4</v>
      </c>
      <c r="R9955" s="44">
        <v>1815.9</v>
      </c>
      <c r="S9955" s="44">
        <v>1506.47</v>
      </c>
      <c r="T9955" s="44">
        <v>1234.81</v>
      </c>
      <c r="U9955" s="42"/>
      <c r="V9955" s="42"/>
      <c r="W9955" s="42" t="s">
        <v>40</v>
      </c>
      <c r="X9955" s="45">
        <v>0.151</v>
      </c>
      <c r="Y9955" s="46">
        <v>2.22E-4</v>
      </c>
      <c r="Z9955" s="21">
        <v>4601004340312</v>
      </c>
    </row>
    <row r="9956" spans="1:26" ht="12" customHeight="1" outlineLevel="4" x14ac:dyDescent="0.2">
      <c r="A9956" s="14" t="s">
        <v>18954</v>
      </c>
      <c r="B9956" s="26" t="s">
        <v>18955</v>
      </c>
      <c r="C9956" s="52"/>
      <c r="D9956" s="55">
        <f t="shared" si="155"/>
        <v>0</v>
      </c>
      <c r="E9956" s="63" t="str">
        <f>HYPERLINK("https://www.sds-group.ru/product/kabel-greyuschiy-samoreguliruyuschiysya-srf16-2cr-srl16-2cr-ekranirovanniy-16vt-m-100m-proconnect-20258/", "Инфо")</f>
        <v>Инфо</v>
      </c>
      <c r="F9956" s="16" t="s">
        <v>1767</v>
      </c>
      <c r="G9956" s="15"/>
      <c r="H9956" s="15"/>
      <c r="I9956" s="15"/>
      <c r="J9956" s="16" t="s">
        <v>100</v>
      </c>
      <c r="K9956" s="15"/>
      <c r="L9956" s="17">
        <v>100</v>
      </c>
      <c r="M9956" s="17">
        <v>100</v>
      </c>
      <c r="N9956" s="17">
        <v>100</v>
      </c>
      <c r="O9956" s="18">
        <v>255.46</v>
      </c>
      <c r="P9956" s="18">
        <v>209.39</v>
      </c>
      <c r="Q9956" s="18">
        <v>217.14</v>
      </c>
      <c r="R9956" s="18">
        <v>177.98</v>
      </c>
      <c r="S9956" s="18">
        <v>173.71</v>
      </c>
      <c r="T9956" s="18">
        <v>142.38999999999999</v>
      </c>
      <c r="U9956" s="16"/>
      <c r="V9956" s="16"/>
      <c r="W9956" s="16" t="s">
        <v>40</v>
      </c>
      <c r="X9956" s="19">
        <v>7.0999999999999994E-2</v>
      </c>
      <c r="Y9956" s="20">
        <v>8.6000000000000003E-5</v>
      </c>
      <c r="Z9956" s="21">
        <v>4601004147621</v>
      </c>
    </row>
    <row r="9957" spans="1:26" ht="12" customHeight="1" outlineLevel="4" x14ac:dyDescent="0.2">
      <c r="A9957" s="14" t="s">
        <v>18956</v>
      </c>
      <c r="B9957" s="26" t="s">
        <v>18957</v>
      </c>
      <c r="C9957" s="52"/>
      <c r="D9957" s="55">
        <f t="shared" si="155"/>
        <v>0</v>
      </c>
      <c r="E9957" s="63" t="str">
        <f>HYPERLINK("https://www.sds-group.ru/product/kabel-greyuschiy-nagrevatelnyy-samoreguliruyuschiysya-srl16-2cr-ekranirovannyy-16vt-m-0-93mm-51-0283/", "Инфо")</f>
        <v>Инфо</v>
      </c>
      <c r="F9957" s="16" t="s">
        <v>18757</v>
      </c>
      <c r="G9957" s="15"/>
      <c r="H9957" s="15"/>
      <c r="I9957" s="15"/>
      <c r="J9957" s="22">
        <v>7800</v>
      </c>
      <c r="K9957" s="15" t="s">
        <v>1131</v>
      </c>
      <c r="L9957" s="17">
        <v>200</v>
      </c>
      <c r="M9957" s="17">
        <v>200</v>
      </c>
      <c r="N9957" s="17">
        <v>200</v>
      </c>
      <c r="O9957" s="18">
        <v>233.2</v>
      </c>
      <c r="P9957" s="18">
        <v>191.15</v>
      </c>
      <c r="Q9957" s="18">
        <v>209.88</v>
      </c>
      <c r="R9957" s="18">
        <v>172.03</v>
      </c>
      <c r="S9957" s="18">
        <v>158.58000000000001</v>
      </c>
      <c r="T9957" s="18">
        <v>129.97999999999999</v>
      </c>
      <c r="U9957" s="16"/>
      <c r="V9957" s="16"/>
      <c r="W9957" s="16" t="s">
        <v>40</v>
      </c>
      <c r="X9957" s="19">
        <v>7.8E-2</v>
      </c>
      <c r="Y9957" s="20">
        <v>2.52E-4</v>
      </c>
      <c r="Z9957" s="21">
        <v>4601004334175</v>
      </c>
    </row>
    <row r="9958" spans="1:26" ht="12" customHeight="1" outlineLevel="4" x14ac:dyDescent="0.2">
      <c r="A9958" s="14" t="s">
        <v>18958</v>
      </c>
      <c r="B9958" s="26" t="s">
        <v>18959</v>
      </c>
      <c r="C9958" s="52"/>
      <c r="D9958" s="55">
        <f t="shared" si="155"/>
        <v>0</v>
      </c>
      <c r="E9958" s="63" t="str">
        <f>HYPERLINK("https://www.sds-group.ru/product/kabel-greyuschiy-nagrevatelnyy-samoreguliruyuschiysya-srl16-2cr-ekranirovannyy-16vt-m-0-93mm-51-0214/", "Инфо")</f>
        <v>Инфо</v>
      </c>
      <c r="F9958" s="16" t="s">
        <v>1767</v>
      </c>
      <c r="G9958" s="15"/>
      <c r="H9958" s="15"/>
      <c r="I9958" s="15"/>
      <c r="J9958" s="16" t="s">
        <v>100</v>
      </c>
      <c r="K9958" s="15"/>
      <c r="L9958" s="17">
        <v>50</v>
      </c>
      <c r="M9958" s="17">
        <v>50</v>
      </c>
      <c r="N9958" s="17">
        <v>50</v>
      </c>
      <c r="O9958" s="18">
        <v>256.41000000000003</v>
      </c>
      <c r="P9958" s="18">
        <v>210.17</v>
      </c>
      <c r="Q9958" s="18">
        <v>230.77</v>
      </c>
      <c r="R9958" s="18">
        <v>189.16</v>
      </c>
      <c r="S9958" s="18">
        <v>174.36</v>
      </c>
      <c r="T9958" s="18">
        <v>142.91999999999999</v>
      </c>
      <c r="U9958" s="16"/>
      <c r="V9958" s="16"/>
      <c r="W9958" s="16" t="s">
        <v>40</v>
      </c>
      <c r="X9958" s="19">
        <v>9.9000000000000005E-2</v>
      </c>
      <c r="Y9958" s="20">
        <v>1.1E-4</v>
      </c>
      <c r="Z9958" s="21">
        <v>4601004147577</v>
      </c>
    </row>
    <row r="9959" spans="1:26" ht="12" customHeight="1" outlineLevel="4" x14ac:dyDescent="0.2">
      <c r="A9959" s="14" t="s">
        <v>18960</v>
      </c>
      <c r="B9959" s="26" t="s">
        <v>18961</v>
      </c>
      <c r="C9959" s="52"/>
      <c r="D9959" s="55">
        <f t="shared" si="155"/>
        <v>0</v>
      </c>
      <c r="E9959" s="63" t="str">
        <f>HYPERLINK("https://www.sds-group.ru/product/kabel-greyuschiy-nagrevatelnyy-samoreguliruyuschiysya-srl16-2cr-ekranirovannyy-16vt-m-0-9mm2-51-0204/", "Инфо")</f>
        <v>Инфо</v>
      </c>
      <c r="F9959" s="16" t="s">
        <v>1767</v>
      </c>
      <c r="G9959" s="15"/>
      <c r="H9959" s="15"/>
      <c r="I9959" s="15" t="s">
        <v>18962</v>
      </c>
      <c r="J9959" s="17">
        <v>500</v>
      </c>
      <c r="K9959" s="15" t="s">
        <v>1035</v>
      </c>
      <c r="L9959" s="17">
        <v>100</v>
      </c>
      <c r="M9959" s="17">
        <v>100</v>
      </c>
      <c r="N9959" s="17">
        <v>100</v>
      </c>
      <c r="O9959" s="18">
        <v>296.8</v>
      </c>
      <c r="P9959" s="18">
        <v>243.28</v>
      </c>
      <c r="Q9959" s="18">
        <v>252.28</v>
      </c>
      <c r="R9959" s="18">
        <v>206.79</v>
      </c>
      <c r="S9959" s="18">
        <v>201.82</v>
      </c>
      <c r="T9959" s="18">
        <v>165.43</v>
      </c>
      <c r="U9959" s="16"/>
      <c r="V9959" s="16"/>
      <c r="W9959" s="16" t="s">
        <v>40</v>
      </c>
      <c r="X9959" s="19">
        <v>9.6000000000000002E-2</v>
      </c>
      <c r="Y9959" s="20">
        <v>1.47E-4</v>
      </c>
      <c r="Z9959" s="21">
        <v>4601004147478</v>
      </c>
    </row>
    <row r="9960" spans="1:26" ht="12" customHeight="1" outlineLevel="4" x14ac:dyDescent="0.2">
      <c r="A9960" s="14" t="s">
        <v>18963</v>
      </c>
      <c r="B9960" s="26" t="s">
        <v>18964</v>
      </c>
      <c r="C9960" s="52"/>
      <c r="D9960" s="55">
        <f t="shared" si="155"/>
        <v>0</v>
      </c>
      <c r="E9960" s="63" t="str">
        <f>HYPERLINK("https://www.sds-group.ru/product/kabel-greyuschiy-nagrevatelnyy-samoreguliruyuschiysya-srl16-2cr-ekranirovannyy-16vt-m-0-9mm2-51-0275/", "Инфо")</f>
        <v>Инфо</v>
      </c>
      <c r="F9960" s="16" t="s">
        <v>18757</v>
      </c>
      <c r="G9960" s="15"/>
      <c r="H9960" s="15"/>
      <c r="I9960" s="15"/>
      <c r="J9960" s="22">
        <v>46600</v>
      </c>
      <c r="K9960" s="15" t="s">
        <v>6837</v>
      </c>
      <c r="L9960" s="17">
        <v>200</v>
      </c>
      <c r="M9960" s="17">
        <v>200</v>
      </c>
      <c r="N9960" s="17">
        <v>200</v>
      </c>
      <c r="O9960" s="18">
        <v>270.3</v>
      </c>
      <c r="P9960" s="18">
        <v>221.56</v>
      </c>
      <c r="Q9960" s="18">
        <v>229.76</v>
      </c>
      <c r="R9960" s="18">
        <v>188.33</v>
      </c>
      <c r="S9960" s="18">
        <v>183.8</v>
      </c>
      <c r="T9960" s="18">
        <v>150.66</v>
      </c>
      <c r="U9960" s="16"/>
      <c r="V9960" s="16"/>
      <c r="W9960" s="16" t="s">
        <v>40</v>
      </c>
      <c r="X9960" s="19">
        <v>0.12</v>
      </c>
      <c r="Y9960" s="20">
        <v>2.7599999999999999E-4</v>
      </c>
      <c r="Z9960" s="21">
        <v>4601004301405</v>
      </c>
    </row>
    <row r="9961" spans="1:26" ht="12" customHeight="1" outlineLevel="4" x14ac:dyDescent="0.2">
      <c r="A9961" s="14" t="s">
        <v>18965</v>
      </c>
      <c r="B9961" s="26" t="s">
        <v>18966</v>
      </c>
      <c r="C9961" s="52"/>
      <c r="D9961" s="55">
        <f t="shared" si="155"/>
        <v>0</v>
      </c>
      <c r="E9961" s="63" t="str">
        <f>HYPERLINK("https://www.sds-group.ru/product/kabel-greyuschiy-nagrevatelnyy-samoreguliruyuschiysya-srl16-2cr-ekranirovannyy-16vt-m-0-9mm2-51-0201/", "Инфо")</f>
        <v>Инфо</v>
      </c>
      <c r="F9961" s="16" t="s">
        <v>1767</v>
      </c>
      <c r="G9961" s="15"/>
      <c r="H9961" s="15"/>
      <c r="I9961" s="15" t="s">
        <v>18962</v>
      </c>
      <c r="J9961" s="17">
        <v>199</v>
      </c>
      <c r="K9961" s="15" t="s">
        <v>1035</v>
      </c>
      <c r="L9961" s="17">
        <v>50</v>
      </c>
      <c r="M9961" s="17">
        <v>50</v>
      </c>
      <c r="N9961" s="17">
        <v>50</v>
      </c>
      <c r="O9961" s="18">
        <v>296.8</v>
      </c>
      <c r="P9961" s="18">
        <v>243.28</v>
      </c>
      <c r="Q9961" s="18">
        <v>252.28</v>
      </c>
      <c r="R9961" s="18">
        <v>206.79</v>
      </c>
      <c r="S9961" s="18">
        <v>201.82</v>
      </c>
      <c r="T9961" s="18">
        <v>165.43</v>
      </c>
      <c r="U9961" s="16"/>
      <c r="V9961" s="16"/>
      <c r="W9961" s="16" t="s">
        <v>40</v>
      </c>
      <c r="X9961" s="19">
        <v>9.9000000000000005E-2</v>
      </c>
      <c r="Y9961" s="20">
        <v>1.76E-4</v>
      </c>
      <c r="Z9961" s="21">
        <v>4601004147447</v>
      </c>
    </row>
    <row r="9962" spans="1:26" ht="12" customHeight="1" outlineLevel="4" x14ac:dyDescent="0.2">
      <c r="A9962" s="14" t="s">
        <v>18967</v>
      </c>
      <c r="B9962" s="26" t="s">
        <v>18968</v>
      </c>
      <c r="C9962" s="52"/>
      <c r="D9962" s="55">
        <f t="shared" si="155"/>
        <v>0</v>
      </c>
      <c r="E9962" s="63" t="str">
        <f>HYPERLINK("https://www.sds-group.ru/product/kabel-greyuschiy-samoreguliruyuschiysya-srf24-2cr-srl24-2cr-ekranirovanniy-24vt-m-100m-proconnect-20244/", "Инфо")</f>
        <v>Инфо</v>
      </c>
      <c r="F9962" s="16" t="s">
        <v>1767</v>
      </c>
      <c r="G9962" s="15"/>
      <c r="H9962" s="15"/>
      <c r="I9962" s="15"/>
      <c r="J9962" s="16" t="s">
        <v>100</v>
      </c>
      <c r="K9962" s="15" t="s">
        <v>1131</v>
      </c>
      <c r="L9962" s="17">
        <v>100</v>
      </c>
      <c r="M9962" s="17">
        <v>100</v>
      </c>
      <c r="N9962" s="17">
        <v>100</v>
      </c>
      <c r="O9962" s="18">
        <v>258.64</v>
      </c>
      <c r="P9962" s="18">
        <v>212</v>
      </c>
      <c r="Q9962" s="18">
        <v>219.84</v>
      </c>
      <c r="R9962" s="18">
        <v>180.2</v>
      </c>
      <c r="S9962" s="18">
        <v>175.88</v>
      </c>
      <c r="T9962" s="18">
        <v>144.16</v>
      </c>
      <c r="U9962" s="16"/>
      <c r="V9962" s="16"/>
      <c r="W9962" s="16" t="s">
        <v>40</v>
      </c>
      <c r="X9962" s="19">
        <v>7.3999999999999996E-2</v>
      </c>
      <c r="Y9962" s="20">
        <v>1.7000000000000001E-4</v>
      </c>
      <c r="Z9962" s="21">
        <v>4601004147638</v>
      </c>
    </row>
    <row r="9963" spans="1:26" ht="12" customHeight="1" outlineLevel="4" x14ac:dyDescent="0.2">
      <c r="A9963" s="14" t="s">
        <v>18969</v>
      </c>
      <c r="B9963" s="26" t="s">
        <v>18970</v>
      </c>
      <c r="C9963" s="52"/>
      <c r="D9963" s="55">
        <f t="shared" si="155"/>
        <v>0</v>
      </c>
      <c r="E9963" s="63" t="str">
        <f>HYPERLINK("https://www.sds-group.ru/product/kabel-greyuschiy-nagrevatelnyy-samoreguliruyuschiysya-srl24-2cr-ekranirovannyy-24vt-m-0-93mm-51-0285/", "Инфо")</f>
        <v>Инфо</v>
      </c>
      <c r="F9963" s="16" t="s">
        <v>18757</v>
      </c>
      <c r="G9963" s="15"/>
      <c r="H9963" s="15"/>
      <c r="I9963" s="15"/>
      <c r="J9963" s="16" t="s">
        <v>100</v>
      </c>
      <c r="K9963" s="15" t="s">
        <v>1131</v>
      </c>
      <c r="L9963" s="17">
        <v>200</v>
      </c>
      <c r="M9963" s="17">
        <v>200</v>
      </c>
      <c r="N9963" s="17">
        <v>200</v>
      </c>
      <c r="O9963" s="18">
        <v>235.32</v>
      </c>
      <c r="P9963" s="18">
        <v>192.89</v>
      </c>
      <c r="Q9963" s="18">
        <v>211.79</v>
      </c>
      <c r="R9963" s="18">
        <v>173.6</v>
      </c>
      <c r="S9963" s="18">
        <v>160.02000000000001</v>
      </c>
      <c r="T9963" s="18">
        <v>131.16</v>
      </c>
      <c r="U9963" s="16"/>
      <c r="V9963" s="16"/>
      <c r="W9963" s="16" t="s">
        <v>40</v>
      </c>
      <c r="X9963" s="19">
        <v>7.8E-2</v>
      </c>
      <c r="Y9963" s="20">
        <v>2.5099999999999998E-4</v>
      </c>
      <c r="Z9963" s="21">
        <v>4601004334205</v>
      </c>
    </row>
    <row r="9964" spans="1:26" ht="12" customHeight="1" outlineLevel="4" x14ac:dyDescent="0.2">
      <c r="A9964" s="14" t="s">
        <v>18971</v>
      </c>
      <c r="B9964" s="26" t="s">
        <v>18972</v>
      </c>
      <c r="C9964" s="52"/>
      <c r="D9964" s="55">
        <f t="shared" si="155"/>
        <v>0</v>
      </c>
      <c r="E9964" s="63" t="str">
        <f>HYPERLINK("https://www.sds-group.ru/product/kabel-greyuschiy-nagrevatelnyy-samoreguliruyuschiysya-srl24-2cr-ekranirovannyy-24vt-m-0-93mm-51-0215/", "Инфо")</f>
        <v>Инфо</v>
      </c>
      <c r="F9964" s="16" t="s">
        <v>1767</v>
      </c>
      <c r="G9964" s="15"/>
      <c r="H9964" s="15"/>
      <c r="I9964" s="15"/>
      <c r="J9964" s="17">
        <v>350</v>
      </c>
      <c r="K9964" s="15" t="s">
        <v>1131</v>
      </c>
      <c r="L9964" s="17">
        <v>50</v>
      </c>
      <c r="M9964" s="17">
        <v>50</v>
      </c>
      <c r="N9964" s="17">
        <v>50</v>
      </c>
      <c r="O9964" s="18">
        <v>257.47000000000003</v>
      </c>
      <c r="P9964" s="18">
        <v>211.04</v>
      </c>
      <c r="Q9964" s="18">
        <v>231.72</v>
      </c>
      <c r="R9964" s="18">
        <v>189.93</v>
      </c>
      <c r="S9964" s="18">
        <v>175.08</v>
      </c>
      <c r="T9964" s="18">
        <v>143.51</v>
      </c>
      <c r="U9964" s="16"/>
      <c r="V9964" s="16"/>
      <c r="W9964" s="16" t="s">
        <v>40</v>
      </c>
      <c r="X9964" s="19">
        <v>0.10199999999999999</v>
      </c>
      <c r="Y9964" s="20">
        <v>1.21E-4</v>
      </c>
      <c r="Z9964" s="21">
        <v>4601004147584</v>
      </c>
    </row>
    <row r="9965" spans="1:26" ht="12" customHeight="1" outlineLevel="4" x14ac:dyDescent="0.2">
      <c r="A9965" s="14" t="s">
        <v>18973</v>
      </c>
      <c r="B9965" s="26" t="s">
        <v>18974</v>
      </c>
      <c r="C9965" s="52"/>
      <c r="D9965" s="55">
        <f t="shared" si="155"/>
        <v>0</v>
      </c>
      <c r="E9965" s="63" t="str">
        <f>HYPERLINK("https://www.sds-group.ru/product/kabel-greyuschiy-nagrevatelnyy-samoreguliruyuschiysya-srl24-2cr-ekranirovannyy-24vt-m-0-9mm2-51-0205/", "Инфо")</f>
        <v>Инфо</v>
      </c>
      <c r="F9965" s="16" t="s">
        <v>1767</v>
      </c>
      <c r="G9965" s="15"/>
      <c r="H9965" s="15"/>
      <c r="I9965" s="15" t="s">
        <v>18962</v>
      </c>
      <c r="J9965" s="16" t="s">
        <v>100</v>
      </c>
      <c r="K9965" s="15" t="s">
        <v>6837</v>
      </c>
      <c r="L9965" s="17">
        <v>100</v>
      </c>
      <c r="M9965" s="17">
        <v>100</v>
      </c>
      <c r="N9965" s="17">
        <v>100</v>
      </c>
      <c r="O9965" s="18">
        <v>303.16000000000003</v>
      </c>
      <c r="P9965" s="18">
        <v>248.49</v>
      </c>
      <c r="Q9965" s="18">
        <v>257.69</v>
      </c>
      <c r="R9965" s="18">
        <v>211.22</v>
      </c>
      <c r="S9965" s="18">
        <v>206.15</v>
      </c>
      <c r="T9965" s="18">
        <v>168.98</v>
      </c>
      <c r="U9965" s="16"/>
      <c r="V9965" s="16"/>
      <c r="W9965" s="16" t="s">
        <v>40</v>
      </c>
      <c r="X9965" s="19">
        <v>9.9000000000000005E-2</v>
      </c>
      <c r="Y9965" s="20">
        <v>1.2999999999999999E-4</v>
      </c>
      <c r="Z9965" s="21">
        <v>4601004147485</v>
      </c>
    </row>
    <row r="9966" spans="1:26" ht="12" customHeight="1" outlineLevel="4" x14ac:dyDescent="0.2">
      <c r="A9966" s="14" t="s">
        <v>18975</v>
      </c>
      <c r="B9966" s="26" t="s">
        <v>18976</v>
      </c>
      <c r="C9966" s="52"/>
      <c r="D9966" s="55">
        <f t="shared" si="155"/>
        <v>0</v>
      </c>
      <c r="E9966" s="63" t="str">
        <f>HYPERLINK("https://www.sds-group.ru/product/kabel-greyuschiy-nagrevatelnyy-samoreguliruyuschiysya-srl24-2cr-ekranirovannyy-24vt-m-0-9mm2-51-0278/", "Инфо")</f>
        <v>Инфо</v>
      </c>
      <c r="F9966" s="16" t="s">
        <v>18757</v>
      </c>
      <c r="G9966" s="15"/>
      <c r="H9966" s="15"/>
      <c r="I9966" s="15"/>
      <c r="J9966" s="22">
        <v>75750</v>
      </c>
      <c r="K9966" s="15" t="s">
        <v>6837</v>
      </c>
      <c r="L9966" s="17">
        <v>200</v>
      </c>
      <c r="M9966" s="17">
        <v>200</v>
      </c>
      <c r="N9966" s="17">
        <v>200</v>
      </c>
      <c r="O9966" s="18">
        <v>275.60000000000002</v>
      </c>
      <c r="P9966" s="18">
        <v>225.9</v>
      </c>
      <c r="Q9966" s="18">
        <v>234.26</v>
      </c>
      <c r="R9966" s="18">
        <v>192.02</v>
      </c>
      <c r="S9966" s="18">
        <v>187.41</v>
      </c>
      <c r="T9966" s="18">
        <v>153.61000000000001</v>
      </c>
      <c r="U9966" s="16"/>
      <c r="V9966" s="16"/>
      <c r="W9966" s="16" t="s">
        <v>40</v>
      </c>
      <c r="X9966" s="19">
        <v>0.11600000000000001</v>
      </c>
      <c r="Y9966" s="20">
        <v>2.8200000000000002E-4</v>
      </c>
      <c r="Z9966" s="21">
        <v>4601004301412</v>
      </c>
    </row>
    <row r="9967" spans="1:26" ht="12" customHeight="1" outlineLevel="4" x14ac:dyDescent="0.2">
      <c r="A9967" s="14" t="s">
        <v>18977</v>
      </c>
      <c r="B9967" s="26" t="s">
        <v>18978</v>
      </c>
      <c r="C9967" s="52"/>
      <c r="D9967" s="55">
        <f t="shared" si="155"/>
        <v>0</v>
      </c>
      <c r="E9967" s="63" t="str">
        <f>HYPERLINK("https://www.sds-group.ru/product/kabel-greyuschiy-nagrevatelnyy-samoreguliruyuschiysya-srl24-2cr-ekranirovannyy-24vt-m-0-9mm2-51-0202/", "Инфо")</f>
        <v>Инфо</v>
      </c>
      <c r="F9967" s="16" t="s">
        <v>1767</v>
      </c>
      <c r="G9967" s="15"/>
      <c r="H9967" s="15"/>
      <c r="I9967" s="15" t="s">
        <v>18962</v>
      </c>
      <c r="J9967" s="17">
        <v>350</v>
      </c>
      <c r="K9967" s="15" t="s">
        <v>6837</v>
      </c>
      <c r="L9967" s="17">
        <v>50</v>
      </c>
      <c r="M9967" s="17">
        <v>50</v>
      </c>
      <c r="N9967" s="17">
        <v>50</v>
      </c>
      <c r="O9967" s="18">
        <v>303.16000000000003</v>
      </c>
      <c r="P9967" s="18">
        <v>248.49</v>
      </c>
      <c r="Q9967" s="18">
        <v>257.69</v>
      </c>
      <c r="R9967" s="18">
        <v>211.22</v>
      </c>
      <c r="S9967" s="18">
        <v>206.15</v>
      </c>
      <c r="T9967" s="18">
        <v>168.98</v>
      </c>
      <c r="U9967" s="16"/>
      <c r="V9967" s="16"/>
      <c r="W9967" s="16" t="s">
        <v>40</v>
      </c>
      <c r="X9967" s="19">
        <v>9.7000000000000003E-2</v>
      </c>
      <c r="Y9967" s="20">
        <v>1.35E-4</v>
      </c>
      <c r="Z9967" s="21">
        <v>4601004147454</v>
      </c>
    </row>
    <row r="9968" spans="1:26" ht="12" customHeight="1" outlineLevel="4" x14ac:dyDescent="0.2">
      <c r="A9968" s="14" t="s">
        <v>18979</v>
      </c>
      <c r="B9968" s="26" t="s">
        <v>18980</v>
      </c>
      <c r="C9968" s="52"/>
      <c r="D9968" s="55">
        <f t="shared" si="155"/>
        <v>0</v>
      </c>
      <c r="E9968" s="63" t="str">
        <f>HYPERLINK("https://www.sds-group.ru/product/kabel-greyuschiy-samoreguliruyuschiysya-srf30-2cr-srl30-2cr-snk30-2cr-ekranirovanniy-30vt-m-100m-proconnect-20256/", "Инфо")</f>
        <v>Инфо</v>
      </c>
      <c r="F9968" s="16" t="s">
        <v>1767</v>
      </c>
      <c r="G9968" s="15"/>
      <c r="H9968" s="15"/>
      <c r="I9968" s="15"/>
      <c r="J9968" s="17">
        <v>400</v>
      </c>
      <c r="K9968" s="15" t="s">
        <v>1131</v>
      </c>
      <c r="L9968" s="17">
        <v>100</v>
      </c>
      <c r="M9968" s="17">
        <v>100</v>
      </c>
      <c r="N9968" s="17">
        <v>100</v>
      </c>
      <c r="O9968" s="18">
        <v>259.7</v>
      </c>
      <c r="P9968" s="18">
        <v>212.87</v>
      </c>
      <c r="Q9968" s="18">
        <v>233.73</v>
      </c>
      <c r="R9968" s="18">
        <v>191.58</v>
      </c>
      <c r="S9968" s="18">
        <v>176.6</v>
      </c>
      <c r="T9968" s="18">
        <v>144.75</v>
      </c>
      <c r="U9968" s="16"/>
      <c r="V9968" s="16"/>
      <c r="W9968" s="16" t="s">
        <v>40</v>
      </c>
      <c r="X9968" s="19">
        <v>7.3999999999999996E-2</v>
      </c>
      <c r="Y9968" s="20">
        <v>1.6899999999999999E-4</v>
      </c>
      <c r="Z9968" s="21">
        <v>4601004147645</v>
      </c>
    </row>
    <row r="9969" spans="1:26" ht="12" customHeight="1" outlineLevel="4" x14ac:dyDescent="0.2">
      <c r="A9969" s="14" t="s">
        <v>18981</v>
      </c>
      <c r="B9969" s="26" t="s">
        <v>18982</v>
      </c>
      <c r="C9969" s="52"/>
      <c r="D9969" s="55">
        <f t="shared" si="155"/>
        <v>0</v>
      </c>
      <c r="E9969" s="63" t="str">
        <f>HYPERLINK("https://www.sds-group.ru/product/kabel-greyuschiy-nagrevatelnyy-samoreguliruyuschiysya-srl30-2cr-ekranirovannyy-30vt-m-0-93mm-51-0287/", "Инфо")</f>
        <v>Инфо</v>
      </c>
      <c r="F9969" s="16" t="s">
        <v>18757</v>
      </c>
      <c r="G9969" s="15"/>
      <c r="H9969" s="15"/>
      <c r="I9969" s="15"/>
      <c r="J9969" s="22">
        <v>4200</v>
      </c>
      <c r="K9969" s="15" t="s">
        <v>1131</v>
      </c>
      <c r="L9969" s="17">
        <v>200</v>
      </c>
      <c r="M9969" s="17">
        <v>200</v>
      </c>
      <c r="N9969" s="17">
        <v>200</v>
      </c>
      <c r="O9969" s="18">
        <v>236.38</v>
      </c>
      <c r="P9969" s="18">
        <v>193.75</v>
      </c>
      <c r="Q9969" s="18">
        <v>212.74</v>
      </c>
      <c r="R9969" s="18">
        <v>174.38</v>
      </c>
      <c r="S9969" s="18">
        <v>160.74</v>
      </c>
      <c r="T9969" s="18">
        <v>131.75</v>
      </c>
      <c r="U9969" s="16"/>
      <c r="V9969" s="16"/>
      <c r="W9969" s="16" t="s">
        <v>40</v>
      </c>
      <c r="X9969" s="19">
        <v>0.08</v>
      </c>
      <c r="Y9969" s="20">
        <v>2.4399999999999999E-4</v>
      </c>
      <c r="Z9969" s="21">
        <v>4601004334212</v>
      </c>
    </row>
    <row r="9970" spans="1:26" ht="12" customHeight="1" outlineLevel="4" x14ac:dyDescent="0.2">
      <c r="A9970" s="14" t="s">
        <v>18983</v>
      </c>
      <c r="B9970" s="26" t="s">
        <v>18984</v>
      </c>
      <c r="C9970" s="52"/>
      <c r="D9970" s="55">
        <f t="shared" si="155"/>
        <v>0</v>
      </c>
      <c r="E9970" s="63" t="str">
        <f>HYPERLINK("https://www.sds-group.ru/product/kabel-greyuschiy-nagrevatelnyy-samoreguliruyuschiysya-srl30-2cr-ekranirovannyy-30vt-m-0-93mm-51-0216/", "Инфо")</f>
        <v>Инфо</v>
      </c>
      <c r="F9970" s="16" t="s">
        <v>1767</v>
      </c>
      <c r="G9970" s="15"/>
      <c r="H9970" s="15"/>
      <c r="I9970" s="15"/>
      <c r="J9970" s="17">
        <v>700</v>
      </c>
      <c r="K9970" s="15" t="s">
        <v>1131</v>
      </c>
      <c r="L9970" s="17">
        <v>50</v>
      </c>
      <c r="M9970" s="17">
        <v>50</v>
      </c>
      <c r="N9970" s="17">
        <v>50</v>
      </c>
      <c r="O9970" s="18">
        <v>258.43</v>
      </c>
      <c r="P9970" s="18">
        <v>211.83</v>
      </c>
      <c r="Q9970" s="18">
        <v>232.59</v>
      </c>
      <c r="R9970" s="18">
        <v>190.65</v>
      </c>
      <c r="S9970" s="18">
        <v>175.73</v>
      </c>
      <c r="T9970" s="18">
        <v>144.04</v>
      </c>
      <c r="U9970" s="16"/>
      <c r="V9970" s="16"/>
      <c r="W9970" s="16" t="s">
        <v>40</v>
      </c>
      <c r="X9970" s="19">
        <v>9.7000000000000003E-2</v>
      </c>
      <c r="Y9970" s="20">
        <v>1.5799999999999999E-4</v>
      </c>
      <c r="Z9970" s="21">
        <v>4601004147591</v>
      </c>
    </row>
    <row r="9971" spans="1:26" ht="12" customHeight="1" outlineLevel="4" x14ac:dyDescent="0.2">
      <c r="A9971" s="14" t="s">
        <v>18985</v>
      </c>
      <c r="B9971" s="26" t="s">
        <v>18986</v>
      </c>
      <c r="C9971" s="52"/>
      <c r="D9971" s="55">
        <f t="shared" si="155"/>
        <v>0</v>
      </c>
      <c r="E9971" s="63" t="str">
        <f>HYPERLINK("https://www.sds-group.ru/product/kabel-greyuschiy-nagrevatelnyy-samoreguliruyuschiysya-srl30-2cr-ekranirovannyy-30vt-m-0-9mm2-51-0206/", "Инфо")</f>
        <v>Инфо</v>
      </c>
      <c r="F9971" s="16" t="s">
        <v>1767</v>
      </c>
      <c r="G9971" s="15"/>
      <c r="H9971" s="15"/>
      <c r="I9971" s="15" t="s">
        <v>18962</v>
      </c>
      <c r="J9971" s="16" t="s">
        <v>100</v>
      </c>
      <c r="K9971" s="15" t="s">
        <v>6837</v>
      </c>
      <c r="L9971" s="17">
        <v>100</v>
      </c>
      <c r="M9971" s="17">
        <v>100</v>
      </c>
      <c r="N9971" s="17">
        <v>100</v>
      </c>
      <c r="O9971" s="18">
        <v>308.45999999999998</v>
      </c>
      <c r="P9971" s="18">
        <v>252.84</v>
      </c>
      <c r="Q9971" s="18">
        <v>262.19</v>
      </c>
      <c r="R9971" s="18">
        <v>214.91</v>
      </c>
      <c r="S9971" s="18">
        <v>209.75</v>
      </c>
      <c r="T9971" s="18">
        <v>171.93</v>
      </c>
      <c r="U9971" s="16"/>
      <c r="V9971" s="16"/>
      <c r="W9971" s="16" t="s">
        <v>40</v>
      </c>
      <c r="X9971" s="19">
        <v>9.8000000000000004E-2</v>
      </c>
      <c r="Y9971" s="20">
        <v>1.2799999999999999E-4</v>
      </c>
      <c r="Z9971" s="21">
        <v>4601004147492</v>
      </c>
    </row>
    <row r="9972" spans="1:26" ht="12" customHeight="1" outlineLevel="4" x14ac:dyDescent="0.2">
      <c r="A9972" s="14" t="s">
        <v>18987</v>
      </c>
      <c r="B9972" s="26" t="s">
        <v>18988</v>
      </c>
      <c r="C9972" s="52"/>
      <c r="D9972" s="55">
        <f t="shared" si="155"/>
        <v>0</v>
      </c>
      <c r="E9972" s="63" t="str">
        <f>HYPERLINK("https://www.sds-group.ru/product/kabel-greyuschiy-nagrevatelnyy-samoreguliruyuschiysya-srl30-2cr-ekranirovannyy-30vt-m-0-9mm2-51-0279/", "Инфо")</f>
        <v>Инфо</v>
      </c>
      <c r="F9972" s="16" t="s">
        <v>18757</v>
      </c>
      <c r="G9972" s="15"/>
      <c r="H9972" s="15"/>
      <c r="I9972" s="15"/>
      <c r="J9972" s="22">
        <v>60795</v>
      </c>
      <c r="K9972" s="15" t="s">
        <v>1590</v>
      </c>
      <c r="L9972" s="17">
        <v>200</v>
      </c>
      <c r="M9972" s="17">
        <v>200</v>
      </c>
      <c r="N9972" s="17">
        <v>200</v>
      </c>
      <c r="O9972" s="18">
        <v>280.89999999999998</v>
      </c>
      <c r="P9972" s="18">
        <v>230.25</v>
      </c>
      <c r="Q9972" s="18">
        <v>238.77</v>
      </c>
      <c r="R9972" s="18">
        <v>195.71</v>
      </c>
      <c r="S9972" s="18">
        <v>191.01</v>
      </c>
      <c r="T9972" s="18">
        <v>156.57</v>
      </c>
      <c r="U9972" s="16"/>
      <c r="V9972" s="16"/>
      <c r="W9972" s="16" t="s">
        <v>40</v>
      </c>
      <c r="X9972" s="19">
        <v>0.11799999999999999</v>
      </c>
      <c r="Y9972" s="20">
        <v>2.8200000000000002E-4</v>
      </c>
      <c r="Z9972" s="21">
        <v>4601004301429</v>
      </c>
    </row>
    <row r="9973" spans="1:26" ht="12" customHeight="1" outlineLevel="4" x14ac:dyDescent="0.2">
      <c r="A9973" s="14" t="s">
        <v>18989</v>
      </c>
      <c r="B9973" s="26" t="s">
        <v>18990</v>
      </c>
      <c r="C9973" s="52"/>
      <c r="D9973" s="55">
        <f t="shared" si="155"/>
        <v>0</v>
      </c>
      <c r="E9973" s="63" t="str">
        <f>HYPERLINK("https://www.sds-group.ru/product/kabel-greyuschiy-nagrevatelnyy-samoreguliruyuschiysya-srl30-2cr-ekranirovannyy-30vt-m-0-9mm2-51-0203/", "Инфо")</f>
        <v>Инфо</v>
      </c>
      <c r="F9973" s="16" t="s">
        <v>1767</v>
      </c>
      <c r="G9973" s="15"/>
      <c r="H9973" s="15"/>
      <c r="I9973" s="15" t="s">
        <v>18962</v>
      </c>
      <c r="J9973" s="17">
        <v>500</v>
      </c>
      <c r="K9973" s="15" t="s">
        <v>6837</v>
      </c>
      <c r="L9973" s="17">
        <v>50</v>
      </c>
      <c r="M9973" s="17">
        <v>50</v>
      </c>
      <c r="N9973" s="17">
        <v>50</v>
      </c>
      <c r="O9973" s="18">
        <v>308.45999999999998</v>
      </c>
      <c r="P9973" s="18">
        <v>252.84</v>
      </c>
      <c r="Q9973" s="18">
        <v>262.19</v>
      </c>
      <c r="R9973" s="18">
        <v>214.91</v>
      </c>
      <c r="S9973" s="18">
        <v>209.75</v>
      </c>
      <c r="T9973" s="18">
        <v>171.93</v>
      </c>
      <c r="U9973" s="16"/>
      <c r="V9973" s="16"/>
      <c r="W9973" s="16" t="s">
        <v>40</v>
      </c>
      <c r="X9973" s="19">
        <v>9.2999999999999999E-2</v>
      </c>
      <c r="Y9973" s="20">
        <v>1.74E-4</v>
      </c>
      <c r="Z9973" s="21">
        <v>4601004147461</v>
      </c>
    </row>
    <row r="9974" spans="1:26" ht="12" customHeight="1" outlineLevel="4" x14ac:dyDescent="0.2">
      <c r="A9974" s="14" t="s">
        <v>18991</v>
      </c>
      <c r="B9974" s="26" t="s">
        <v>18992</v>
      </c>
      <c r="C9974" s="52"/>
      <c r="D9974" s="55">
        <f t="shared" si="155"/>
        <v>0</v>
      </c>
      <c r="E9974" s="63" t="str">
        <f>HYPERLINK("https://www.sds-group.ru/product/kabel-greyuschiy-nagrevatelnyy-samoreguliruyuschiysya-pischevoy-srp10-2cr-ekranirovannyy-1-51-0632-4/", "Инфо")</f>
        <v>Инфо</v>
      </c>
      <c r="F9974" s="16" t="s">
        <v>18757</v>
      </c>
      <c r="G9974" s="15"/>
      <c r="H9974" s="15"/>
      <c r="I9974" s="15"/>
      <c r="J9974" s="22">
        <v>7400</v>
      </c>
      <c r="K9974" s="15" t="s">
        <v>1590</v>
      </c>
      <c r="L9974" s="17">
        <v>100</v>
      </c>
      <c r="M9974" s="17">
        <v>100</v>
      </c>
      <c r="N9974" s="17">
        <v>100</v>
      </c>
      <c r="O9974" s="18">
        <v>289.8</v>
      </c>
      <c r="P9974" s="18">
        <v>237.54</v>
      </c>
      <c r="Q9974" s="18">
        <v>260.82</v>
      </c>
      <c r="R9974" s="18">
        <v>213.79</v>
      </c>
      <c r="S9974" s="18">
        <v>197.06</v>
      </c>
      <c r="T9974" s="18">
        <v>161.52000000000001</v>
      </c>
      <c r="U9974" s="16"/>
      <c r="V9974" s="16"/>
      <c r="W9974" s="16" t="s">
        <v>40</v>
      </c>
      <c r="X9974" s="19">
        <v>5.3999999999999999E-2</v>
      </c>
      <c r="Y9974" s="20">
        <v>9.2999999999999997E-5</v>
      </c>
      <c r="Z9974" s="21">
        <v>4601004278561</v>
      </c>
    </row>
    <row r="9975" spans="1:26" ht="12" customHeight="1" outlineLevel="4" x14ac:dyDescent="0.2">
      <c r="A9975" s="14" t="s">
        <v>18993</v>
      </c>
      <c r="B9975" s="26" t="s">
        <v>18994</v>
      </c>
      <c r="C9975" s="52"/>
      <c r="D9975" s="55">
        <f t="shared" si="155"/>
        <v>0</v>
      </c>
      <c r="E9975" s="63" t="str">
        <f>HYPERLINK("https://www.sds-group.ru/product/kabel-greyuschiy-nagrevatelnyy-samoreguliruyuschiysya-pischevoy-srp10-2cr-ekranirovannyy-10v-51-0198/", "Инфо")</f>
        <v>Инфо</v>
      </c>
      <c r="F9975" s="16" t="s">
        <v>18757</v>
      </c>
      <c r="G9975" s="15"/>
      <c r="H9975" s="15"/>
      <c r="I9975" s="15"/>
      <c r="J9975" s="17">
        <v>500</v>
      </c>
      <c r="K9975" s="15"/>
      <c r="L9975" s="17">
        <v>50</v>
      </c>
      <c r="M9975" s="17">
        <v>50</v>
      </c>
      <c r="N9975" s="17">
        <v>50</v>
      </c>
      <c r="O9975" s="18">
        <v>318</v>
      </c>
      <c r="P9975" s="18">
        <v>260.66000000000003</v>
      </c>
      <c r="Q9975" s="18">
        <v>270.3</v>
      </c>
      <c r="R9975" s="18">
        <v>221.56</v>
      </c>
      <c r="S9975" s="18">
        <v>216.24</v>
      </c>
      <c r="T9975" s="18">
        <v>177.25</v>
      </c>
      <c r="U9975" s="16"/>
      <c r="V9975" s="16"/>
      <c r="W9975" s="16" t="s">
        <v>40</v>
      </c>
      <c r="X9975" s="19">
        <v>5.6000000000000001E-2</v>
      </c>
      <c r="Y9975" s="20">
        <v>7.6000000000000004E-5</v>
      </c>
      <c r="Z9975" s="21">
        <v>4601004329706</v>
      </c>
    </row>
    <row r="9976" spans="1:26" ht="12" customHeight="1" outlineLevel="4" x14ac:dyDescent="0.2">
      <c r="A9976" s="14" t="s">
        <v>18995</v>
      </c>
      <c r="B9976" s="26" t="s">
        <v>18996</v>
      </c>
      <c r="C9976" s="52"/>
      <c r="D9976" s="55">
        <f t="shared" si="155"/>
        <v>0</v>
      </c>
      <c r="E9976" s="63" t="str">
        <f>HYPERLINK("https://www.sds-group.ru/product/kabel-greyuschiy-nagrevatelnyy-samoreguliruyuschiysya-pischevoy-srp16-2cr-ekranirovannyy-1-51-0634-4/", "Инфо")</f>
        <v>Инфо</v>
      </c>
      <c r="F9976" s="16" t="s">
        <v>18757</v>
      </c>
      <c r="G9976" s="15"/>
      <c r="H9976" s="15"/>
      <c r="I9976" s="15"/>
      <c r="J9976" s="22">
        <v>7600</v>
      </c>
      <c r="K9976" s="15"/>
      <c r="L9976" s="17">
        <v>100</v>
      </c>
      <c r="M9976" s="17">
        <v>100</v>
      </c>
      <c r="N9976" s="17">
        <v>100</v>
      </c>
      <c r="O9976" s="18">
        <v>374.16</v>
      </c>
      <c r="P9976" s="18">
        <v>306.69</v>
      </c>
      <c r="Q9976" s="18">
        <v>318.04000000000002</v>
      </c>
      <c r="R9976" s="18">
        <v>260.69</v>
      </c>
      <c r="S9976" s="18">
        <v>254.43</v>
      </c>
      <c r="T9976" s="18">
        <v>208.55</v>
      </c>
      <c r="U9976" s="16"/>
      <c r="V9976" s="16"/>
      <c r="W9976" s="16" t="s">
        <v>40</v>
      </c>
      <c r="X9976" s="19">
        <v>5.2999999999999999E-2</v>
      </c>
      <c r="Y9976" s="20">
        <v>9.0000000000000006E-5</v>
      </c>
      <c r="Z9976" s="21">
        <v>4601004278592</v>
      </c>
    </row>
    <row r="9977" spans="1:26" ht="12" customHeight="1" outlineLevel="4" x14ac:dyDescent="0.2">
      <c r="A9977" s="14" t="s">
        <v>18997</v>
      </c>
      <c r="B9977" s="26" t="s">
        <v>18998</v>
      </c>
      <c r="C9977" s="52"/>
      <c r="D9977" s="55">
        <f t="shared" si="155"/>
        <v>0</v>
      </c>
      <c r="E9977" s="63" t="str">
        <f>HYPERLINK("https://www.sds-group.ru/product/kabel-greyuschiy-nagrevatelnyy-samoreguliruyuschiysya-pischevoy-srp16-2cr-ekranirovannyy-16v-51-0199/", "Инфо")</f>
        <v>Инфо</v>
      </c>
      <c r="F9977" s="16" t="s">
        <v>18757</v>
      </c>
      <c r="G9977" s="15"/>
      <c r="H9977" s="15"/>
      <c r="I9977" s="15" t="s">
        <v>18999</v>
      </c>
      <c r="J9977" s="17">
        <v>850</v>
      </c>
      <c r="K9977" s="15"/>
      <c r="L9977" s="17">
        <v>50</v>
      </c>
      <c r="M9977" s="17">
        <v>50</v>
      </c>
      <c r="N9977" s="17">
        <v>50</v>
      </c>
      <c r="O9977" s="18">
        <v>411.28</v>
      </c>
      <c r="P9977" s="18">
        <v>337.11</v>
      </c>
      <c r="Q9977" s="18">
        <v>349.59</v>
      </c>
      <c r="R9977" s="18">
        <v>286.55</v>
      </c>
      <c r="S9977" s="18">
        <v>279.67</v>
      </c>
      <c r="T9977" s="18">
        <v>229.24</v>
      </c>
      <c r="U9977" s="16"/>
      <c r="V9977" s="16"/>
      <c r="W9977" s="16" t="s">
        <v>40</v>
      </c>
      <c r="X9977" s="19">
        <v>5.3999999999999999E-2</v>
      </c>
      <c r="Y9977" s="20">
        <v>8.0000000000000007E-5</v>
      </c>
      <c r="Z9977" s="21">
        <v>4601004329843</v>
      </c>
    </row>
    <row r="9978" spans="1:26" ht="12" customHeight="1" outlineLevel="4" x14ac:dyDescent="0.2">
      <c r="A9978" s="14" t="s">
        <v>19000</v>
      </c>
      <c r="B9978" s="26" t="s">
        <v>19001</v>
      </c>
      <c r="C9978" s="52"/>
      <c r="D9978" s="55">
        <f t="shared" si="155"/>
        <v>0</v>
      </c>
      <c r="E9978" s="63" t="str">
        <f>HYPERLINK("https://www.sds-group.ru/product/kabel-greyuschiy-nagrevatelnyy-samoreguliruyuschiysya-pischevoy-10htm2-ct-ekranirovannyy-10v-51-0632/", "Инфо")</f>
        <v>Инфо</v>
      </c>
      <c r="F9978" s="16" t="s">
        <v>18757</v>
      </c>
      <c r="G9978" s="15"/>
      <c r="H9978" s="15"/>
      <c r="I9978" s="15"/>
      <c r="J9978" s="16" t="s">
        <v>100</v>
      </c>
      <c r="K9978" s="15"/>
      <c r="L9978" s="17">
        <v>100</v>
      </c>
      <c r="M9978" s="17">
        <v>100</v>
      </c>
      <c r="N9978" s="17">
        <v>100</v>
      </c>
      <c r="O9978" s="18">
        <v>466.4</v>
      </c>
      <c r="P9978" s="18">
        <v>382.3</v>
      </c>
      <c r="Q9978" s="18">
        <v>326.48</v>
      </c>
      <c r="R9978" s="18">
        <v>267.61</v>
      </c>
      <c r="S9978" s="18">
        <v>317.14999999999998</v>
      </c>
      <c r="T9978" s="18">
        <v>259.95999999999998</v>
      </c>
      <c r="U9978" s="16"/>
      <c r="V9978" s="16"/>
      <c r="W9978" s="16" t="s">
        <v>40</v>
      </c>
      <c r="X9978" s="19">
        <v>8.3000000000000004E-2</v>
      </c>
      <c r="Y9978" s="20">
        <v>1.8699999999999999E-4</v>
      </c>
      <c r="Z9978" s="21">
        <v>4601004077270</v>
      </c>
    </row>
    <row r="9979" spans="1:26" ht="12" customHeight="1" outlineLevel="4" x14ac:dyDescent="0.2">
      <c r="A9979" s="14" t="s">
        <v>19002</v>
      </c>
      <c r="B9979" s="26" t="s">
        <v>19003</v>
      </c>
      <c r="C9979" s="52"/>
      <c r="D9979" s="55">
        <f t="shared" si="155"/>
        <v>0</v>
      </c>
      <c r="E9979" s="63" t="str">
        <f>HYPERLINK("https://www.sds-group.ru/product/kabel-greyuschiy-nagrevatelnyy-samoreguliruyuschiysya-s-uf-zaschitoy-srl24-2cr-uv-ekranirova-51-0227/", "Инфо")</f>
        <v>Инфо</v>
      </c>
      <c r="F9979" s="16" t="s">
        <v>18757</v>
      </c>
      <c r="G9979" s="15"/>
      <c r="H9979" s="15"/>
      <c r="I9979" s="15"/>
      <c r="J9979" s="22">
        <v>5000</v>
      </c>
      <c r="K9979" s="15"/>
      <c r="L9979" s="17">
        <v>200</v>
      </c>
      <c r="M9979" s="17">
        <v>200</v>
      </c>
      <c r="N9979" s="17">
        <v>200</v>
      </c>
      <c r="O9979" s="18">
        <v>566.04</v>
      </c>
      <c r="P9979" s="18">
        <v>463.97</v>
      </c>
      <c r="Q9979" s="18">
        <v>509.44</v>
      </c>
      <c r="R9979" s="18">
        <v>417.57</v>
      </c>
      <c r="S9979" s="18">
        <v>384.91</v>
      </c>
      <c r="T9979" s="18">
        <v>315.5</v>
      </c>
      <c r="U9979" s="16"/>
      <c r="V9979" s="16"/>
      <c r="W9979" s="16" t="s">
        <v>40</v>
      </c>
      <c r="X9979" s="19">
        <v>0.127</v>
      </c>
      <c r="Y9979" s="20">
        <v>2.4800000000000001E-4</v>
      </c>
      <c r="Z9979" s="21">
        <v>4601004329737</v>
      </c>
    </row>
    <row r="9980" spans="1:26" ht="12" customHeight="1" outlineLevel="4" x14ac:dyDescent="0.2">
      <c r="A9980" s="14" t="s">
        <v>19004</v>
      </c>
      <c r="B9980" s="26" t="s">
        <v>19005</v>
      </c>
      <c r="C9980" s="52"/>
      <c r="D9980" s="55">
        <f t="shared" si="155"/>
        <v>0</v>
      </c>
      <c r="E9980" s="63" t="str">
        <f>HYPERLINK("https://www.sds-group.ru/product/kabel-greyuschiy-nagrevatelnyy-samoreguliruyuschiysya-s-uf-zaschitoy-srl30-2cr-uv-ekranirova-51-0235/", "Инфо")</f>
        <v>Инфо</v>
      </c>
      <c r="F9980" s="16" t="s">
        <v>18757</v>
      </c>
      <c r="G9980" s="15"/>
      <c r="H9980" s="15"/>
      <c r="I9980" s="15" t="s">
        <v>19006</v>
      </c>
      <c r="J9980" s="17">
        <v>400</v>
      </c>
      <c r="K9980" s="15"/>
      <c r="L9980" s="17">
        <v>100</v>
      </c>
      <c r="M9980" s="17">
        <v>100</v>
      </c>
      <c r="N9980" s="17">
        <v>100</v>
      </c>
      <c r="O9980" s="18">
        <v>383.72</v>
      </c>
      <c r="P9980" s="18">
        <v>314.52</v>
      </c>
      <c r="Q9980" s="18">
        <v>345.35</v>
      </c>
      <c r="R9980" s="18">
        <v>283.07</v>
      </c>
      <c r="S9980" s="18">
        <v>260.93</v>
      </c>
      <c r="T9980" s="18">
        <v>213.88</v>
      </c>
      <c r="U9980" s="16"/>
      <c r="V9980" s="16"/>
      <c r="W9980" s="16" t="s">
        <v>40</v>
      </c>
      <c r="X9980" s="19">
        <v>0.104</v>
      </c>
      <c r="Y9980" s="20">
        <v>1.35E-4</v>
      </c>
      <c r="Z9980" s="21">
        <v>4601004329782</v>
      </c>
    </row>
    <row r="9981" spans="1:26" ht="12" customHeight="1" outlineLevel="4" x14ac:dyDescent="0.2">
      <c r="A9981" s="14" t="s">
        <v>19007</v>
      </c>
      <c r="B9981" s="26" t="s">
        <v>19008</v>
      </c>
      <c r="C9981" s="52"/>
      <c r="D9981" s="55">
        <f t="shared" si="155"/>
        <v>0</v>
      </c>
      <c r="E9981" s="63" t="str">
        <f>HYPERLINK("https://www.sds-group.ru/product/kabel-greyuschiy-nagrevatelnyy-samoreguliruyuschiysya-s-uf-zaschitoy-srl30-2cr-uv-ekranirova-51-0254/", "Инфо")</f>
        <v>Инфо</v>
      </c>
      <c r="F9981" s="16" t="s">
        <v>18757</v>
      </c>
      <c r="G9981" s="15"/>
      <c r="H9981" s="15"/>
      <c r="I9981" s="15"/>
      <c r="J9981" s="22">
        <v>11600</v>
      </c>
      <c r="K9981" s="15" t="s">
        <v>6837</v>
      </c>
      <c r="L9981" s="17">
        <v>200</v>
      </c>
      <c r="M9981" s="17">
        <v>200</v>
      </c>
      <c r="N9981" s="17">
        <v>200</v>
      </c>
      <c r="O9981" s="18">
        <v>348</v>
      </c>
      <c r="P9981" s="18">
        <v>285.25</v>
      </c>
      <c r="Q9981" s="18">
        <v>313.2</v>
      </c>
      <c r="R9981" s="18">
        <v>256.72000000000003</v>
      </c>
      <c r="S9981" s="18">
        <v>236.64</v>
      </c>
      <c r="T9981" s="18">
        <v>193.97</v>
      </c>
      <c r="U9981" s="16"/>
      <c r="V9981" s="16"/>
      <c r="W9981" s="16" t="s">
        <v>40</v>
      </c>
      <c r="X9981" s="19">
        <v>0.13</v>
      </c>
      <c r="Y9981" s="20">
        <v>2.81E-4</v>
      </c>
      <c r="Z9981" s="21">
        <v>4601004269637</v>
      </c>
    </row>
    <row r="9982" spans="1:26" ht="12" customHeight="1" outlineLevel="4" x14ac:dyDescent="0.2">
      <c r="A9982" s="14" t="s">
        <v>19009</v>
      </c>
      <c r="B9982" s="26" t="s">
        <v>19010</v>
      </c>
      <c r="C9982" s="52"/>
      <c r="D9982" s="55">
        <f t="shared" si="155"/>
        <v>0</v>
      </c>
      <c r="E9982" s="63" t="str">
        <f>HYPERLINK("https://www.sds-group.ru/product/kabel-greyuschiy-nagrevatelnyy-samoreguliruyuschiysya-s-uf-zaschitoy-srl30-2cr-uv-ekranirova-51-0234/", "Инфо")</f>
        <v>Инфо</v>
      </c>
      <c r="F9982" s="16" t="s">
        <v>18757</v>
      </c>
      <c r="G9982" s="15"/>
      <c r="H9982" s="15"/>
      <c r="I9982" s="15" t="s">
        <v>18999</v>
      </c>
      <c r="J9982" s="17">
        <v>50</v>
      </c>
      <c r="K9982" s="15" t="s">
        <v>6837</v>
      </c>
      <c r="L9982" s="17">
        <v>50</v>
      </c>
      <c r="M9982" s="17">
        <v>50</v>
      </c>
      <c r="N9982" s="17">
        <v>50</v>
      </c>
      <c r="O9982" s="18">
        <v>383.72</v>
      </c>
      <c r="P9982" s="18">
        <v>314.52</v>
      </c>
      <c r="Q9982" s="18">
        <v>345.35</v>
      </c>
      <c r="R9982" s="18">
        <v>283.07</v>
      </c>
      <c r="S9982" s="18">
        <v>260.93</v>
      </c>
      <c r="T9982" s="18">
        <v>213.88</v>
      </c>
      <c r="U9982" s="16"/>
      <c r="V9982" s="16"/>
      <c r="W9982" s="16" t="s">
        <v>40</v>
      </c>
      <c r="X9982" s="19">
        <v>0.104</v>
      </c>
      <c r="Y9982" s="20">
        <v>1.3300000000000001E-4</v>
      </c>
      <c r="Z9982" s="21">
        <v>4601004328587</v>
      </c>
    </row>
    <row r="9983" spans="1:26" ht="12" customHeight="1" outlineLevel="4" x14ac:dyDescent="0.2">
      <c r="A9983" s="14" t="s">
        <v>19011</v>
      </c>
      <c r="B9983" s="26" t="s">
        <v>19012</v>
      </c>
      <c r="C9983" s="52"/>
      <c r="D9983" s="55">
        <f t="shared" si="155"/>
        <v>0</v>
      </c>
      <c r="E9983" s="63" t="str">
        <f>HYPERLINK("https://www.sds-group.ru/product/kabel-greyuschiy-nagrevatelnyy-samoreguliruyuschiysya-s-uf-zaschitoy-srl30-2cr-uv-ekranirova-51-0228/", "Инфо")</f>
        <v>Инфо</v>
      </c>
      <c r="F9983" s="16" t="s">
        <v>18757</v>
      </c>
      <c r="G9983" s="15"/>
      <c r="H9983" s="15"/>
      <c r="I9983" s="15"/>
      <c r="J9983" s="16" t="s">
        <v>100</v>
      </c>
      <c r="K9983" s="15"/>
      <c r="L9983" s="17">
        <v>200</v>
      </c>
      <c r="M9983" s="17">
        <v>200</v>
      </c>
      <c r="N9983" s="17">
        <v>200</v>
      </c>
      <c r="O9983" s="18">
        <v>574.52</v>
      </c>
      <c r="P9983" s="18">
        <v>470.92</v>
      </c>
      <c r="Q9983" s="18">
        <v>517.07000000000005</v>
      </c>
      <c r="R9983" s="18">
        <v>423.83</v>
      </c>
      <c r="S9983" s="18">
        <v>390.67</v>
      </c>
      <c r="T9983" s="18">
        <v>320.22000000000003</v>
      </c>
      <c r="U9983" s="16"/>
      <c r="V9983" s="16"/>
      <c r="W9983" s="16" t="s">
        <v>40</v>
      </c>
      <c r="X9983" s="19">
        <v>0.128</v>
      </c>
      <c r="Y9983" s="20">
        <v>2.42E-4</v>
      </c>
      <c r="Z9983" s="21">
        <v>4601004329751</v>
      </c>
    </row>
    <row r="9984" spans="1:26" ht="12" customHeight="1" outlineLevel="4" x14ac:dyDescent="0.2">
      <c r="A9984" s="14" t="s">
        <v>19013</v>
      </c>
      <c r="B9984" s="26" t="s">
        <v>19014</v>
      </c>
      <c r="C9984" s="52"/>
      <c r="D9984" s="55">
        <f t="shared" si="155"/>
        <v>0</v>
      </c>
      <c r="E9984" s="63" t="str">
        <f>HYPERLINK("https://www.sds-group.ru/product/kabel-greyuschiy-nagrevatelnyy-samoreguliruyuschiysya-s-uf-zaschitoy-srl40-2cr-uv-ekranirova-51-0237/", "Инфо")</f>
        <v>Инфо</v>
      </c>
      <c r="F9984" s="16" t="s">
        <v>18757</v>
      </c>
      <c r="G9984" s="15"/>
      <c r="H9984" s="15"/>
      <c r="I9984" s="15" t="s">
        <v>19006</v>
      </c>
      <c r="J9984" s="16" t="s">
        <v>100</v>
      </c>
      <c r="K9984" s="15" t="s">
        <v>6837</v>
      </c>
      <c r="L9984" s="17">
        <v>100</v>
      </c>
      <c r="M9984" s="17">
        <v>100</v>
      </c>
      <c r="N9984" s="17">
        <v>100</v>
      </c>
      <c r="O9984" s="18">
        <v>396.44</v>
      </c>
      <c r="P9984" s="18">
        <v>324.95</v>
      </c>
      <c r="Q9984" s="18">
        <v>356.8</v>
      </c>
      <c r="R9984" s="18">
        <v>292.45999999999998</v>
      </c>
      <c r="S9984" s="18">
        <v>269.58</v>
      </c>
      <c r="T9984" s="18">
        <v>220.97</v>
      </c>
      <c r="U9984" s="16"/>
      <c r="V9984" s="16"/>
      <c r="W9984" s="16" t="s">
        <v>40</v>
      </c>
      <c r="X9984" s="19">
        <v>0.104</v>
      </c>
      <c r="Y9984" s="20">
        <v>1.2899999999999999E-4</v>
      </c>
      <c r="Z9984" s="21">
        <v>4601004329768</v>
      </c>
    </row>
    <row r="9985" spans="1:26" ht="12" customHeight="1" outlineLevel="4" x14ac:dyDescent="0.2">
      <c r="A9985" s="14" t="s">
        <v>19015</v>
      </c>
      <c r="B9985" s="26" t="s">
        <v>19016</v>
      </c>
      <c r="C9985" s="52"/>
      <c r="D9985" s="55">
        <f t="shared" si="155"/>
        <v>0</v>
      </c>
      <c r="E9985" s="63" t="str">
        <f>HYPERLINK("https://www.sds-group.ru/product/kabel-greyuschiy-nagrevatelnyy-samoreguliruyuschiysya-s-uf-zaschitoy-srl40-2cr-uv-ekranirova-51-0255/", "Инфо")</f>
        <v>Инфо</v>
      </c>
      <c r="F9985" s="16" t="s">
        <v>18757</v>
      </c>
      <c r="G9985" s="15"/>
      <c r="H9985" s="15"/>
      <c r="I9985" s="15"/>
      <c r="J9985" s="17">
        <v>800</v>
      </c>
      <c r="K9985" s="15" t="s">
        <v>6837</v>
      </c>
      <c r="L9985" s="17">
        <v>200</v>
      </c>
      <c r="M9985" s="17">
        <v>200</v>
      </c>
      <c r="N9985" s="17">
        <v>200</v>
      </c>
      <c r="O9985" s="18">
        <v>360.19</v>
      </c>
      <c r="P9985" s="18">
        <v>295.24</v>
      </c>
      <c r="Q9985" s="18">
        <v>324.17</v>
      </c>
      <c r="R9985" s="18">
        <v>265.70999999999998</v>
      </c>
      <c r="S9985" s="18">
        <v>244.93</v>
      </c>
      <c r="T9985" s="18">
        <v>200.76</v>
      </c>
      <c r="U9985" s="16"/>
      <c r="V9985" s="16"/>
      <c r="W9985" s="16" t="s">
        <v>40</v>
      </c>
      <c r="X9985" s="19">
        <v>0.11700000000000001</v>
      </c>
      <c r="Y9985" s="20">
        <v>2.3800000000000001E-4</v>
      </c>
      <c r="Z9985" s="21">
        <v>4601004269620</v>
      </c>
    </row>
    <row r="9986" spans="1:26" ht="12" customHeight="1" outlineLevel="4" x14ac:dyDescent="0.2">
      <c r="A9986" s="14" t="s">
        <v>19017</v>
      </c>
      <c r="B9986" s="26" t="s">
        <v>19018</v>
      </c>
      <c r="C9986" s="52"/>
      <c r="D9986" s="55">
        <f t="shared" si="155"/>
        <v>0</v>
      </c>
      <c r="E9986" s="63" t="str">
        <f>HYPERLINK("https://www.sds-group.ru/product/kabel-greyuschiy-nagrevatelnyy-samoreguliruyuschiysya-s-uf-zaschitoy-srl40-2cr-uv-ekranirova-51-0236/", "Инфо")</f>
        <v>Инфо</v>
      </c>
      <c r="F9986" s="16" t="s">
        <v>18757</v>
      </c>
      <c r="G9986" s="15"/>
      <c r="H9986" s="15"/>
      <c r="I9986" s="15" t="s">
        <v>18999</v>
      </c>
      <c r="J9986" s="17">
        <v>750</v>
      </c>
      <c r="K9986" s="15"/>
      <c r="L9986" s="17">
        <v>50</v>
      </c>
      <c r="M9986" s="17">
        <v>50</v>
      </c>
      <c r="N9986" s="17">
        <v>50</v>
      </c>
      <c r="O9986" s="18">
        <v>396.44</v>
      </c>
      <c r="P9986" s="18">
        <v>324.95</v>
      </c>
      <c r="Q9986" s="18">
        <v>356.8</v>
      </c>
      <c r="R9986" s="18">
        <v>292.45999999999998</v>
      </c>
      <c r="S9986" s="18">
        <v>269.58</v>
      </c>
      <c r="T9986" s="18">
        <v>220.97</v>
      </c>
      <c r="U9986" s="16"/>
      <c r="V9986" s="16"/>
      <c r="W9986" s="16" t="s">
        <v>40</v>
      </c>
      <c r="X9986" s="19">
        <v>0.105</v>
      </c>
      <c r="Y9986" s="20">
        <v>1.35E-4</v>
      </c>
      <c r="Z9986" s="21">
        <v>4601004329713</v>
      </c>
    </row>
    <row r="9987" spans="1:26" ht="12" customHeight="1" outlineLevel="4" x14ac:dyDescent="0.2">
      <c r="A9987" s="14" t="s">
        <v>19019</v>
      </c>
      <c r="B9987" s="26" t="s">
        <v>19020</v>
      </c>
      <c r="C9987" s="52"/>
      <c r="D9987" s="55">
        <f t="shared" si="155"/>
        <v>0</v>
      </c>
      <c r="E9987" s="63" t="str">
        <f>HYPERLINK("https://www.sds-group.ru/product/kabel-greyuschiy-nagrevatelnyy-samoreguliruyuschiysya-s-uf-zaschitoy-srl40-2cr-uv-ekranirova-51-0229/", "Инфо")</f>
        <v>Инфо</v>
      </c>
      <c r="F9987" s="16" t="s">
        <v>18757</v>
      </c>
      <c r="G9987" s="15"/>
      <c r="H9987" s="15"/>
      <c r="I9987" s="15"/>
      <c r="J9987" s="16" t="s">
        <v>100</v>
      </c>
      <c r="K9987" s="15"/>
      <c r="L9987" s="17">
        <v>200</v>
      </c>
      <c r="M9987" s="17">
        <v>200</v>
      </c>
      <c r="N9987" s="17">
        <v>200</v>
      </c>
      <c r="O9987" s="18">
        <v>581.94000000000005</v>
      </c>
      <c r="P9987" s="18">
        <v>477</v>
      </c>
      <c r="Q9987" s="18">
        <v>523.75</v>
      </c>
      <c r="R9987" s="18">
        <v>429.3</v>
      </c>
      <c r="S9987" s="18">
        <v>395.72</v>
      </c>
      <c r="T9987" s="18">
        <v>324.36</v>
      </c>
      <c r="U9987" s="16"/>
      <c r="V9987" s="16"/>
      <c r="W9987" s="16" t="s">
        <v>40</v>
      </c>
      <c r="X9987" s="19">
        <v>0.129</v>
      </c>
      <c r="Y9987" s="20">
        <v>2.42E-4</v>
      </c>
      <c r="Z9987" s="21">
        <v>4601004329690</v>
      </c>
    </row>
    <row r="9988" spans="1:26" ht="12.95" customHeight="1" outlineLevel="3" x14ac:dyDescent="0.2">
      <c r="A9988" s="76" t="s">
        <v>19021</v>
      </c>
      <c r="B9988" s="76"/>
      <c r="C9988" s="77"/>
      <c r="D9988" s="58"/>
      <c r="E9988" s="68"/>
      <c r="F9988" s="13"/>
      <c r="G9988" s="13"/>
      <c r="H9988" s="13"/>
      <c r="I9988" s="13"/>
      <c r="J9988" s="13"/>
      <c r="K9988" s="13"/>
      <c r="L9988" s="13"/>
      <c r="M9988" s="13"/>
      <c r="N9988" s="13"/>
      <c r="O9988" s="13"/>
      <c r="P9988" s="13"/>
      <c r="Q9988" s="13"/>
      <c r="R9988" s="13"/>
      <c r="S9988" s="13"/>
      <c r="T9988" s="13"/>
      <c r="U9988" s="13"/>
      <c r="V9988" s="13"/>
      <c r="W9988" s="13"/>
      <c r="X9988" s="13"/>
      <c r="Y9988" s="13"/>
      <c r="Z9988" s="13"/>
    </row>
    <row r="9989" spans="1:26" ht="12" customHeight="1" outlineLevel="4" x14ac:dyDescent="0.2">
      <c r="A9989" s="14" t="s">
        <v>19022</v>
      </c>
      <c r="B9989" s="26" t="s">
        <v>19023</v>
      </c>
      <c r="C9989" s="52"/>
      <c r="D9989" s="55">
        <f t="shared" si="155"/>
        <v>0</v>
      </c>
      <c r="E9989" s="63" t="str">
        <f>HYPERLINK("https://www.sds-group.ru/product/kabel-greyuschiy-nagrevatelnyy-samoreguliruyuschiysya-srl16-2-neekranirovannyy-16vt-m-0-5m-51-0624-4/", "Инфо")</f>
        <v>Инфо</v>
      </c>
      <c r="F9989" s="16" t="s">
        <v>18757</v>
      </c>
      <c r="G9989" s="15"/>
      <c r="H9989" s="15"/>
      <c r="I9989" s="15"/>
      <c r="J9989" s="22">
        <v>4720</v>
      </c>
      <c r="K9989" s="15" t="s">
        <v>19024</v>
      </c>
      <c r="L9989" s="17">
        <v>300</v>
      </c>
      <c r="M9989" s="17">
        <v>300</v>
      </c>
      <c r="N9989" s="17">
        <v>300</v>
      </c>
      <c r="O9989" s="18">
        <v>141.22</v>
      </c>
      <c r="P9989" s="18">
        <v>115.75</v>
      </c>
      <c r="Q9989" s="18">
        <v>98.85</v>
      </c>
      <c r="R9989" s="18">
        <v>81.02</v>
      </c>
      <c r="S9989" s="18">
        <v>96.03</v>
      </c>
      <c r="T9989" s="18">
        <v>78.709999999999994</v>
      </c>
      <c r="U9989" s="16"/>
      <c r="V9989" s="16"/>
      <c r="W9989" s="16"/>
      <c r="X9989" s="19">
        <v>6.6000000000000003E-2</v>
      </c>
      <c r="Y9989" s="20">
        <v>1.64E-4</v>
      </c>
      <c r="Z9989" s="21">
        <v>4601004278547</v>
      </c>
    </row>
    <row r="9990" spans="1:26" ht="12" customHeight="1" outlineLevel="4" x14ac:dyDescent="0.2">
      <c r="A9990" s="14" t="s">
        <v>19025</v>
      </c>
      <c r="B9990" s="26" t="s">
        <v>19026</v>
      </c>
      <c r="C9990" s="52"/>
      <c r="D9990" s="55">
        <f t="shared" si="155"/>
        <v>0</v>
      </c>
      <c r="E9990" s="63" t="str">
        <f>HYPERLINK("https://www.sds-group.ru/product/kabel-greyuschiy-nagrevatelnyy-samoreguliruyuschiysya-srl16-2-neekranirovannyy-16vt-m-0-93mm-51-0211/", "Инфо")</f>
        <v>Инфо</v>
      </c>
      <c r="F9990" s="16" t="s">
        <v>1767</v>
      </c>
      <c r="G9990" s="15"/>
      <c r="H9990" s="15"/>
      <c r="I9990" s="15"/>
      <c r="J9990" s="16" t="s">
        <v>100</v>
      </c>
      <c r="K9990" s="15" t="s">
        <v>2750</v>
      </c>
      <c r="L9990" s="17">
        <v>100</v>
      </c>
      <c r="M9990" s="17">
        <v>200</v>
      </c>
      <c r="N9990" s="17">
        <v>100</v>
      </c>
      <c r="O9990" s="18">
        <v>128.26</v>
      </c>
      <c r="P9990" s="18">
        <v>105.13</v>
      </c>
      <c r="Q9990" s="18">
        <v>115.43</v>
      </c>
      <c r="R9990" s="18">
        <v>94.61</v>
      </c>
      <c r="S9990" s="18">
        <v>87.22</v>
      </c>
      <c r="T9990" s="18">
        <v>71.489999999999995</v>
      </c>
      <c r="U9990" s="16"/>
      <c r="V9990" s="16"/>
      <c r="W9990" s="16" t="s">
        <v>40</v>
      </c>
      <c r="X9990" s="19">
        <v>3.9E-2</v>
      </c>
      <c r="Y9990" s="20">
        <v>9.2E-5</v>
      </c>
      <c r="Z9990" s="21">
        <v>4601004147546</v>
      </c>
    </row>
    <row r="9991" spans="1:26" ht="12" customHeight="1" outlineLevel="4" x14ac:dyDescent="0.2">
      <c r="A9991" s="14" t="s">
        <v>19027</v>
      </c>
      <c r="B9991" s="26" t="s">
        <v>19028</v>
      </c>
      <c r="C9991" s="52"/>
      <c r="D9991" s="55">
        <f t="shared" si="155"/>
        <v>0</v>
      </c>
      <c r="E9991" s="63" t="str">
        <f>HYPERLINK("https://www.sds-group.ru/product/kabel-greyuschiy-nagrevatelnyy-samoreguliruyuschiysya-srl16-2-neekranirovannyy-16vt-m-0-93mm-51-0282/", "Инфо")</f>
        <v>Инфо</v>
      </c>
      <c r="F9991" s="16" t="s">
        <v>18757</v>
      </c>
      <c r="G9991" s="15"/>
      <c r="H9991" s="15"/>
      <c r="I9991" s="15"/>
      <c r="J9991" s="22">
        <v>30300</v>
      </c>
      <c r="K9991" s="15" t="s">
        <v>6939</v>
      </c>
      <c r="L9991" s="17">
        <v>300</v>
      </c>
      <c r="M9991" s="17">
        <v>300</v>
      </c>
      <c r="N9991" s="17">
        <v>300</v>
      </c>
      <c r="O9991" s="18">
        <v>116.6</v>
      </c>
      <c r="P9991" s="18">
        <v>95.57</v>
      </c>
      <c r="Q9991" s="18">
        <v>104.94</v>
      </c>
      <c r="R9991" s="18">
        <v>86.02</v>
      </c>
      <c r="S9991" s="18">
        <v>79.290000000000006</v>
      </c>
      <c r="T9991" s="18">
        <v>64.989999999999995</v>
      </c>
      <c r="U9991" s="16"/>
      <c r="V9991" s="16"/>
      <c r="W9991" s="16" t="s">
        <v>40</v>
      </c>
      <c r="X9991" s="19">
        <v>4.8000000000000001E-2</v>
      </c>
      <c r="Y9991" s="20">
        <v>1.66E-4</v>
      </c>
      <c r="Z9991" s="21">
        <v>4601004334182</v>
      </c>
    </row>
    <row r="9992" spans="1:26" ht="12" customHeight="1" outlineLevel="4" x14ac:dyDescent="0.2">
      <c r="A9992" s="14" t="s">
        <v>19029</v>
      </c>
      <c r="B9992" s="26" t="s">
        <v>19030</v>
      </c>
      <c r="C9992" s="52"/>
      <c r="D9992" s="55">
        <f t="shared" si="155"/>
        <v>0</v>
      </c>
      <c r="E9992" s="63" t="str">
        <f>HYPERLINK("https://www.sds-group.ru/product/kabel-greyuschiy-nagrevatelnyy-samoreguliruyuschiysya-srl16-2-neekranirovannyy-16vt-m-0-93mm-51-0208/", "Инфо")</f>
        <v>Инфо</v>
      </c>
      <c r="F9992" s="16" t="s">
        <v>1767</v>
      </c>
      <c r="G9992" s="15"/>
      <c r="H9992" s="15"/>
      <c r="I9992" s="15"/>
      <c r="J9992" s="22">
        <v>3700</v>
      </c>
      <c r="K9992" s="15" t="s">
        <v>1131</v>
      </c>
      <c r="L9992" s="17">
        <v>50</v>
      </c>
      <c r="M9992" s="17">
        <v>200</v>
      </c>
      <c r="N9992" s="17">
        <v>50</v>
      </c>
      <c r="O9992" s="18">
        <v>128.26</v>
      </c>
      <c r="P9992" s="18">
        <v>105.13</v>
      </c>
      <c r="Q9992" s="18">
        <v>115.43</v>
      </c>
      <c r="R9992" s="18">
        <v>94.61</v>
      </c>
      <c r="S9992" s="18">
        <v>87.22</v>
      </c>
      <c r="T9992" s="18">
        <v>71.489999999999995</v>
      </c>
      <c r="U9992" s="16"/>
      <c r="V9992" s="16"/>
      <c r="W9992" s="16" t="s">
        <v>40</v>
      </c>
      <c r="X9992" s="19">
        <v>3.9E-2</v>
      </c>
      <c r="Y9992" s="20">
        <v>1.18E-4</v>
      </c>
      <c r="Z9992" s="21">
        <v>4601004147515</v>
      </c>
    </row>
    <row r="9993" spans="1:26" ht="12" customHeight="1" outlineLevel="4" x14ac:dyDescent="0.2">
      <c r="A9993" s="14" t="s">
        <v>19031</v>
      </c>
      <c r="B9993" s="26" t="s">
        <v>19032</v>
      </c>
      <c r="C9993" s="52"/>
      <c r="D9993" s="55">
        <f t="shared" ref="D9993:D10056" si="156">C9993*(O9993-O9993*$G$3)</f>
        <v>0</v>
      </c>
      <c r="E9993" s="63" t="str">
        <f>HYPERLINK("https://www.sds-group.ru/product/kabel-greyuschiy-nagrevatelnyy-samoreguliruyuschiysya-srl16-2-neekranirovannyy-16vt-m-0-9mm2-51-0274/", "Инфо")</f>
        <v>Инфо</v>
      </c>
      <c r="F9993" s="16" t="s">
        <v>18757</v>
      </c>
      <c r="G9993" s="15"/>
      <c r="H9993" s="15"/>
      <c r="I9993" s="15"/>
      <c r="J9993" s="22">
        <v>89900</v>
      </c>
      <c r="K9993" s="15" t="s">
        <v>6939</v>
      </c>
      <c r="L9993" s="17">
        <v>300</v>
      </c>
      <c r="M9993" s="17">
        <v>300</v>
      </c>
      <c r="N9993" s="17">
        <v>300</v>
      </c>
      <c r="O9993" s="18">
        <v>161.12</v>
      </c>
      <c r="P9993" s="18">
        <v>132.07</v>
      </c>
      <c r="Q9993" s="18">
        <v>136.94999999999999</v>
      </c>
      <c r="R9993" s="18">
        <v>112.25</v>
      </c>
      <c r="S9993" s="18">
        <v>109.56</v>
      </c>
      <c r="T9993" s="18">
        <v>89.8</v>
      </c>
      <c r="U9993" s="16"/>
      <c r="V9993" s="16"/>
      <c r="W9993" s="16" t="s">
        <v>40</v>
      </c>
      <c r="X9993" s="19">
        <v>6.0999999999999999E-2</v>
      </c>
      <c r="Y9993" s="20">
        <v>1.8799999999999999E-4</v>
      </c>
      <c r="Z9993" s="21">
        <v>4601004301283</v>
      </c>
    </row>
    <row r="9994" spans="1:26" ht="12" customHeight="1" outlineLevel="4" x14ac:dyDescent="0.2">
      <c r="A9994" s="14" t="s">
        <v>19033</v>
      </c>
      <c r="B9994" s="26" t="s">
        <v>19034</v>
      </c>
      <c r="C9994" s="52"/>
      <c r="D9994" s="55">
        <f t="shared" si="156"/>
        <v>0</v>
      </c>
      <c r="E9994" s="63" t="str">
        <f>HYPERLINK("https://www.sds-group.ru/product/kabel-greyuschiy-nagrevatelnyy-samoreguliruyuschiysya-srl24-2-neekranirovannyy-24vt-m-0-93mm-51-0212/", "Инфо")</f>
        <v>Инфо</v>
      </c>
      <c r="F9994" s="16" t="s">
        <v>1767</v>
      </c>
      <c r="G9994" s="15"/>
      <c r="H9994" s="15"/>
      <c r="I9994" s="15"/>
      <c r="J9994" s="16" t="s">
        <v>100</v>
      </c>
      <c r="K9994" s="15" t="s">
        <v>2750</v>
      </c>
      <c r="L9994" s="17">
        <v>100</v>
      </c>
      <c r="M9994" s="17">
        <v>200</v>
      </c>
      <c r="N9994" s="17">
        <v>100</v>
      </c>
      <c r="O9994" s="18">
        <v>130.38</v>
      </c>
      <c r="P9994" s="18">
        <v>106.87</v>
      </c>
      <c r="Q9994" s="18">
        <v>117.34</v>
      </c>
      <c r="R9994" s="18">
        <v>96.18</v>
      </c>
      <c r="S9994" s="18">
        <v>88.66</v>
      </c>
      <c r="T9994" s="18">
        <v>72.67</v>
      </c>
      <c r="U9994" s="16"/>
      <c r="V9994" s="16"/>
      <c r="W9994" s="16" t="s">
        <v>40</v>
      </c>
      <c r="X9994" s="19">
        <v>3.9E-2</v>
      </c>
      <c r="Y9994" s="20">
        <v>9.6000000000000002E-5</v>
      </c>
      <c r="Z9994" s="21">
        <v>4601004147553</v>
      </c>
    </row>
    <row r="9995" spans="1:26" ht="12" customHeight="1" outlineLevel="4" x14ac:dyDescent="0.2">
      <c r="A9995" s="14" t="s">
        <v>19035</v>
      </c>
      <c r="B9995" s="26" t="s">
        <v>19036</v>
      </c>
      <c r="C9995" s="52"/>
      <c r="D9995" s="55">
        <f t="shared" si="156"/>
        <v>0</v>
      </c>
      <c r="E9995" s="63" t="str">
        <f>HYPERLINK("https://www.sds-group.ru/product/kabel-greyuschiy-nagrevatelnyy-samoreguliruyuschiysya-srl24-2-neekranirovannyy-24vt-m-0-93mm-51-0284/", "Инфо")</f>
        <v>Инфо</v>
      </c>
      <c r="F9995" s="16" t="s">
        <v>18757</v>
      </c>
      <c r="G9995" s="15"/>
      <c r="H9995" s="15"/>
      <c r="I9995" s="15"/>
      <c r="J9995" s="22">
        <v>42600</v>
      </c>
      <c r="K9995" s="15" t="s">
        <v>1131</v>
      </c>
      <c r="L9995" s="17">
        <v>300</v>
      </c>
      <c r="M9995" s="17">
        <v>300</v>
      </c>
      <c r="N9995" s="17">
        <v>300</v>
      </c>
      <c r="O9995" s="18">
        <v>118.72</v>
      </c>
      <c r="P9995" s="18">
        <v>97.31</v>
      </c>
      <c r="Q9995" s="18">
        <v>106.85</v>
      </c>
      <c r="R9995" s="18">
        <v>87.58</v>
      </c>
      <c r="S9995" s="18">
        <v>80.73</v>
      </c>
      <c r="T9995" s="18">
        <v>66.17</v>
      </c>
      <c r="U9995" s="16"/>
      <c r="V9995" s="16"/>
      <c r="W9995" s="16" t="s">
        <v>40</v>
      </c>
      <c r="X9995" s="19">
        <v>4.7E-2</v>
      </c>
      <c r="Y9995" s="20">
        <v>1.15E-4</v>
      </c>
      <c r="Z9995" s="21">
        <v>4601004334199</v>
      </c>
    </row>
    <row r="9996" spans="1:26" ht="12" customHeight="1" outlineLevel="4" x14ac:dyDescent="0.2">
      <c r="A9996" s="14" t="s">
        <v>19037</v>
      </c>
      <c r="B9996" s="26" t="s">
        <v>19038</v>
      </c>
      <c r="C9996" s="52"/>
      <c r="D9996" s="55">
        <f t="shared" si="156"/>
        <v>0</v>
      </c>
      <c r="E9996" s="63" t="str">
        <f>HYPERLINK("https://www.sds-group.ru/product/kabel-greyuschiy-nagrevatelnyy-samoreguliruyuschiysya-srl24-2-neekranirovannyy-24vt-m-0-93mm-51-0209/", "Инфо")</f>
        <v>Инфо</v>
      </c>
      <c r="F9996" s="16" t="s">
        <v>1767</v>
      </c>
      <c r="G9996" s="15"/>
      <c r="H9996" s="15"/>
      <c r="I9996" s="15"/>
      <c r="J9996" s="22">
        <v>1484</v>
      </c>
      <c r="K9996" s="15" t="s">
        <v>1131</v>
      </c>
      <c r="L9996" s="17">
        <v>50</v>
      </c>
      <c r="M9996" s="17">
        <v>200</v>
      </c>
      <c r="N9996" s="17">
        <v>50</v>
      </c>
      <c r="O9996" s="18">
        <v>130.38</v>
      </c>
      <c r="P9996" s="18">
        <v>106.87</v>
      </c>
      <c r="Q9996" s="18">
        <v>117.34</v>
      </c>
      <c r="R9996" s="18">
        <v>96.18</v>
      </c>
      <c r="S9996" s="18">
        <v>88.66</v>
      </c>
      <c r="T9996" s="18">
        <v>72.67</v>
      </c>
      <c r="U9996" s="16"/>
      <c r="V9996" s="16"/>
      <c r="W9996" s="16" t="s">
        <v>40</v>
      </c>
      <c r="X9996" s="19">
        <v>3.9E-2</v>
      </c>
      <c r="Y9996" s="20">
        <v>1.2E-4</v>
      </c>
      <c r="Z9996" s="21">
        <v>4601004147522</v>
      </c>
    </row>
    <row r="9997" spans="1:26" ht="12" customHeight="1" outlineLevel="4" x14ac:dyDescent="0.2">
      <c r="A9997" s="14" t="s">
        <v>19039</v>
      </c>
      <c r="B9997" s="26" t="s">
        <v>19040</v>
      </c>
      <c r="C9997" s="52"/>
      <c r="D9997" s="55">
        <f t="shared" si="156"/>
        <v>0</v>
      </c>
      <c r="E9997" s="63" t="str">
        <f>HYPERLINK("https://www.sds-group.ru/product/kabel-greyuschiy-nagrevatelnyy-samoreguliruyuschiysya-srl24-2-neekranirovannyy-24vt-m-0-9mm2-51-0183/", "Инфо")</f>
        <v>Инфо</v>
      </c>
      <c r="F9997" s="16" t="s">
        <v>18757</v>
      </c>
      <c r="G9997" s="15"/>
      <c r="H9997" s="15"/>
      <c r="I9997" s="15"/>
      <c r="J9997" s="22">
        <v>2300</v>
      </c>
      <c r="K9997" s="15"/>
      <c r="L9997" s="17">
        <v>100</v>
      </c>
      <c r="M9997" s="17">
        <v>100</v>
      </c>
      <c r="N9997" s="17">
        <v>100</v>
      </c>
      <c r="O9997" s="18">
        <v>187.58</v>
      </c>
      <c r="P9997" s="18">
        <v>153.75</v>
      </c>
      <c r="Q9997" s="18">
        <v>159.44</v>
      </c>
      <c r="R9997" s="18">
        <v>130.69</v>
      </c>
      <c r="S9997" s="18">
        <v>127.55</v>
      </c>
      <c r="T9997" s="18">
        <v>104.55</v>
      </c>
      <c r="U9997" s="16"/>
      <c r="V9997" s="16"/>
      <c r="W9997" s="16" t="s">
        <v>40</v>
      </c>
      <c r="X9997" s="19">
        <v>5.3999999999999999E-2</v>
      </c>
      <c r="Y9997" s="20">
        <v>8.6000000000000003E-5</v>
      </c>
      <c r="Z9997" s="21">
        <v>4601004329812</v>
      </c>
    </row>
    <row r="9998" spans="1:26" ht="12" customHeight="1" outlineLevel="4" x14ac:dyDescent="0.2">
      <c r="A9998" s="14" t="s">
        <v>19041</v>
      </c>
      <c r="B9998" s="26" t="s">
        <v>19042</v>
      </c>
      <c r="C9998" s="52"/>
      <c r="D9998" s="55">
        <f t="shared" si="156"/>
        <v>0</v>
      </c>
      <c r="E9998" s="63" t="str">
        <f>HYPERLINK("https://www.sds-group.ru/product/kabel-greyuschiy-nagrevatelnyy-samoreguliruyuschiysya-srl24-2-neekranirovannyy-24vt-m-0-9mm2-51-0276/", "Инфо")</f>
        <v>Инфо</v>
      </c>
      <c r="F9998" s="16" t="s">
        <v>18757</v>
      </c>
      <c r="G9998" s="15"/>
      <c r="H9998" s="15"/>
      <c r="I9998" s="15"/>
      <c r="J9998" s="22">
        <v>101500</v>
      </c>
      <c r="K9998" s="15" t="s">
        <v>6837</v>
      </c>
      <c r="L9998" s="17">
        <v>300</v>
      </c>
      <c r="M9998" s="17">
        <v>300</v>
      </c>
      <c r="N9998" s="17">
        <v>300</v>
      </c>
      <c r="O9998" s="18">
        <v>170.33</v>
      </c>
      <c r="P9998" s="18">
        <v>139.61000000000001</v>
      </c>
      <c r="Q9998" s="18">
        <v>144.78</v>
      </c>
      <c r="R9998" s="18">
        <v>118.67</v>
      </c>
      <c r="S9998" s="18">
        <v>115.82</v>
      </c>
      <c r="T9998" s="18">
        <v>94.93</v>
      </c>
      <c r="U9998" s="16"/>
      <c r="V9998" s="16"/>
      <c r="W9998" s="16" t="s">
        <v>40</v>
      </c>
      <c r="X9998" s="19">
        <v>6.3E-2</v>
      </c>
      <c r="Y9998" s="20">
        <v>1.8799999999999999E-4</v>
      </c>
      <c r="Z9998" s="21">
        <v>4601004301351</v>
      </c>
    </row>
    <row r="9999" spans="1:26" ht="12" customHeight="1" outlineLevel="4" x14ac:dyDescent="0.2">
      <c r="A9999" s="14" t="s">
        <v>19043</v>
      </c>
      <c r="B9999" s="26" t="s">
        <v>19044</v>
      </c>
      <c r="C9999" s="52"/>
      <c r="D9999" s="55">
        <f t="shared" si="156"/>
        <v>0</v>
      </c>
      <c r="E9999" s="63" t="str">
        <f>HYPERLINK("https://www.sds-group.ru/product/kabel-greyuschiy-nagrevatelnyy-samoreguliruyuschiysya-srl24-2-neekranirovannyy-24vt-m-0-9mm2-51-0182/", "Инфо")</f>
        <v>Инфо</v>
      </c>
      <c r="F9999" s="16" t="s">
        <v>18757</v>
      </c>
      <c r="G9999" s="15"/>
      <c r="H9999" s="15"/>
      <c r="I9999" s="15"/>
      <c r="J9999" s="22">
        <v>1100</v>
      </c>
      <c r="K9999" s="15"/>
      <c r="L9999" s="17">
        <v>50</v>
      </c>
      <c r="M9999" s="17">
        <v>50</v>
      </c>
      <c r="N9999" s="17">
        <v>50</v>
      </c>
      <c r="O9999" s="18">
        <v>187.58</v>
      </c>
      <c r="P9999" s="18">
        <v>153.75</v>
      </c>
      <c r="Q9999" s="18">
        <v>159.44</v>
      </c>
      <c r="R9999" s="18">
        <v>130.69</v>
      </c>
      <c r="S9999" s="18">
        <v>127.55</v>
      </c>
      <c r="T9999" s="18">
        <v>104.55</v>
      </c>
      <c r="U9999" s="16"/>
      <c r="V9999" s="16"/>
      <c r="W9999" s="16" t="s">
        <v>40</v>
      </c>
      <c r="X9999" s="19">
        <v>5.3999999999999999E-2</v>
      </c>
      <c r="Y9999" s="20">
        <v>1.07E-4</v>
      </c>
      <c r="Z9999" s="21">
        <v>4601004329829</v>
      </c>
    </row>
    <row r="10000" spans="1:26" ht="12" customHeight="1" outlineLevel="4" x14ac:dyDescent="0.2">
      <c r="A10000" s="14" t="s">
        <v>19045</v>
      </c>
      <c r="B10000" s="26" t="s">
        <v>19046</v>
      </c>
      <c r="C10000" s="52"/>
      <c r="D10000" s="55">
        <f t="shared" si="156"/>
        <v>0</v>
      </c>
      <c r="E10000" s="63" t="str">
        <f>HYPERLINK("https://www.sds-group.ru/product/kabel-greyuschiy-nagrevatelnyy-samoreguliruyuschiysya-srl30-2-neekranirovannyy-30vt-m-0-93mm-51-0213/", "Инфо")</f>
        <v>Инфо</v>
      </c>
      <c r="F10000" s="16" t="s">
        <v>1767</v>
      </c>
      <c r="G10000" s="15"/>
      <c r="H10000" s="15"/>
      <c r="I10000" s="15" t="s">
        <v>19006</v>
      </c>
      <c r="J10000" s="22">
        <v>3100</v>
      </c>
      <c r="K10000" s="15" t="s">
        <v>2750</v>
      </c>
      <c r="L10000" s="17">
        <v>100</v>
      </c>
      <c r="M10000" s="17">
        <v>200</v>
      </c>
      <c r="N10000" s="17">
        <v>100</v>
      </c>
      <c r="O10000" s="18">
        <v>132.5</v>
      </c>
      <c r="P10000" s="18">
        <v>108.61</v>
      </c>
      <c r="Q10000" s="18">
        <v>119.25</v>
      </c>
      <c r="R10000" s="18">
        <v>97.75</v>
      </c>
      <c r="S10000" s="18">
        <v>90.1</v>
      </c>
      <c r="T10000" s="18">
        <v>73.849999999999994</v>
      </c>
      <c r="U10000" s="16"/>
      <c r="V10000" s="16"/>
      <c r="W10000" s="16" t="s">
        <v>40</v>
      </c>
      <c r="X10000" s="19">
        <v>3.9E-2</v>
      </c>
      <c r="Y10000" s="20">
        <v>9.3999999999999994E-5</v>
      </c>
      <c r="Z10000" s="21">
        <v>4601004147560</v>
      </c>
    </row>
    <row r="10001" spans="1:26" ht="12" customHeight="1" outlineLevel="4" x14ac:dyDescent="0.2">
      <c r="A10001" s="14" t="s">
        <v>19047</v>
      </c>
      <c r="B10001" s="26" t="s">
        <v>19048</v>
      </c>
      <c r="C10001" s="52"/>
      <c r="D10001" s="55">
        <f t="shared" si="156"/>
        <v>0</v>
      </c>
      <c r="E10001" s="63" t="str">
        <f>HYPERLINK("https://www.sds-group.ru/product/kabel-greyuschiy-nagrevatelnyy-samoreguliruyuschiysya-srl30-2-neekranirovannyy-30vt-m-0-93mm-51-0286/", "Инфо")</f>
        <v>Инфо</v>
      </c>
      <c r="F10001" s="16" t="s">
        <v>18757</v>
      </c>
      <c r="G10001" s="15"/>
      <c r="H10001" s="15"/>
      <c r="I10001" s="15"/>
      <c r="J10001" s="22">
        <v>7200</v>
      </c>
      <c r="K10001" s="15" t="s">
        <v>2750</v>
      </c>
      <c r="L10001" s="17">
        <v>300</v>
      </c>
      <c r="M10001" s="17">
        <v>300</v>
      </c>
      <c r="N10001" s="17">
        <v>300</v>
      </c>
      <c r="O10001" s="18">
        <v>120.84</v>
      </c>
      <c r="P10001" s="18">
        <v>99.05</v>
      </c>
      <c r="Q10001" s="18">
        <v>108.76</v>
      </c>
      <c r="R10001" s="18">
        <v>89.15</v>
      </c>
      <c r="S10001" s="18">
        <v>82.17</v>
      </c>
      <c r="T10001" s="18">
        <v>67.349999999999994</v>
      </c>
      <c r="U10001" s="16"/>
      <c r="V10001" s="16"/>
      <c r="W10001" s="16" t="s">
        <v>40</v>
      </c>
      <c r="X10001" s="19">
        <v>4.8000000000000001E-2</v>
      </c>
      <c r="Y10001" s="20">
        <v>1.6899999999999999E-4</v>
      </c>
      <c r="Z10001" s="21">
        <v>4601004334229</v>
      </c>
    </row>
    <row r="10002" spans="1:26" ht="12" customHeight="1" outlineLevel="4" x14ac:dyDescent="0.2">
      <c r="A10002" s="14" t="s">
        <v>19049</v>
      </c>
      <c r="B10002" s="26" t="s">
        <v>19050</v>
      </c>
      <c r="C10002" s="52"/>
      <c r="D10002" s="55">
        <f t="shared" si="156"/>
        <v>0</v>
      </c>
      <c r="E10002" s="63" t="str">
        <f>HYPERLINK("https://www.sds-group.ru/product/kabel-greyuschiy-nagrevatelnyy-samoreguliruyuschiysya-srl30-2-neekranirovannyy-30vt-m-0-93mm-51-0210/", "Инфо")</f>
        <v>Инфо</v>
      </c>
      <c r="F10002" s="16" t="s">
        <v>1767</v>
      </c>
      <c r="G10002" s="15"/>
      <c r="H10002" s="15"/>
      <c r="I10002" s="15" t="s">
        <v>18999</v>
      </c>
      <c r="J10002" s="22">
        <v>4450</v>
      </c>
      <c r="K10002" s="15" t="s">
        <v>1131</v>
      </c>
      <c r="L10002" s="17">
        <v>50</v>
      </c>
      <c r="M10002" s="17">
        <v>200</v>
      </c>
      <c r="N10002" s="17">
        <v>50</v>
      </c>
      <c r="O10002" s="18">
        <v>132.5</v>
      </c>
      <c r="P10002" s="18">
        <v>108.61</v>
      </c>
      <c r="Q10002" s="18">
        <v>119.25</v>
      </c>
      <c r="R10002" s="18">
        <v>97.75</v>
      </c>
      <c r="S10002" s="18">
        <v>90.1</v>
      </c>
      <c r="T10002" s="18">
        <v>73.849999999999994</v>
      </c>
      <c r="U10002" s="16"/>
      <c r="V10002" s="16"/>
      <c r="W10002" s="16" t="s">
        <v>40</v>
      </c>
      <c r="X10002" s="19">
        <v>0.04</v>
      </c>
      <c r="Y10002" s="20">
        <v>1.16E-4</v>
      </c>
      <c r="Z10002" s="21">
        <v>4601004147539</v>
      </c>
    </row>
    <row r="10003" spans="1:26" ht="12" customHeight="1" outlineLevel="4" x14ac:dyDescent="0.2">
      <c r="A10003" s="14" t="s">
        <v>19051</v>
      </c>
      <c r="B10003" s="26" t="s">
        <v>19052</v>
      </c>
      <c r="C10003" s="52"/>
      <c r="D10003" s="55">
        <f t="shared" si="156"/>
        <v>0</v>
      </c>
      <c r="E10003" s="63" t="str">
        <f>HYPERLINK("https://www.sds-group.ru/product/kabel-greyuschiy-nagrevatelnyy-samoreguliruyuschiysya-srl30-2-neekranirovannyy-30vt-m-0-9mm2-51-0277/", "Инфо")</f>
        <v>Инфо</v>
      </c>
      <c r="F10003" s="16" t="s">
        <v>18757</v>
      </c>
      <c r="G10003" s="15"/>
      <c r="H10003" s="15"/>
      <c r="I10003" s="15"/>
      <c r="J10003" s="22">
        <v>22900</v>
      </c>
      <c r="K10003" s="15" t="s">
        <v>6837</v>
      </c>
      <c r="L10003" s="17">
        <v>300</v>
      </c>
      <c r="M10003" s="17">
        <v>300</v>
      </c>
      <c r="N10003" s="17">
        <v>300</v>
      </c>
      <c r="O10003" s="18">
        <v>177.88</v>
      </c>
      <c r="P10003" s="18">
        <v>145.80000000000001</v>
      </c>
      <c r="Q10003" s="18">
        <v>151.19999999999999</v>
      </c>
      <c r="R10003" s="18">
        <v>123.93</v>
      </c>
      <c r="S10003" s="18">
        <v>120.96</v>
      </c>
      <c r="T10003" s="18">
        <v>99.15</v>
      </c>
      <c r="U10003" s="16"/>
      <c r="V10003" s="16"/>
      <c r="W10003" s="16" t="s">
        <v>40</v>
      </c>
      <c r="X10003" s="19">
        <v>6.5000000000000002E-2</v>
      </c>
      <c r="Y10003" s="20">
        <v>1.9000000000000001E-4</v>
      </c>
      <c r="Z10003" s="21">
        <v>4601004301375</v>
      </c>
    </row>
    <row r="10004" spans="1:26" ht="12" customHeight="1" outlineLevel="4" x14ac:dyDescent="0.2">
      <c r="A10004" s="14" t="s">
        <v>19053</v>
      </c>
      <c r="B10004" s="26" t="s">
        <v>19054</v>
      </c>
      <c r="C10004" s="52"/>
      <c r="D10004" s="55">
        <f t="shared" si="156"/>
        <v>0</v>
      </c>
      <c r="E10004" s="63" t="str">
        <f>HYPERLINK("https://www.sds-group.ru/product/kabel-greyuschiy-nagrevatelnyy-samoreguliruyuschiysya-srl30-2-neekranirovannyy-30vt-m-0-9mm2-51-0184/", "Инфо")</f>
        <v>Инфо</v>
      </c>
      <c r="F10004" s="16" t="s">
        <v>18757</v>
      </c>
      <c r="G10004" s="15"/>
      <c r="H10004" s="15"/>
      <c r="I10004" s="15"/>
      <c r="J10004" s="22">
        <v>1300</v>
      </c>
      <c r="K10004" s="15"/>
      <c r="L10004" s="17">
        <v>50</v>
      </c>
      <c r="M10004" s="17">
        <v>50</v>
      </c>
      <c r="N10004" s="17">
        <v>50</v>
      </c>
      <c r="O10004" s="18">
        <v>196.2</v>
      </c>
      <c r="P10004" s="18">
        <v>160.82</v>
      </c>
      <c r="Q10004" s="18">
        <v>166.77</v>
      </c>
      <c r="R10004" s="18">
        <v>136.69999999999999</v>
      </c>
      <c r="S10004" s="18">
        <v>133.41999999999999</v>
      </c>
      <c r="T10004" s="18">
        <v>109.36</v>
      </c>
      <c r="U10004" s="16"/>
      <c r="V10004" s="16"/>
      <c r="W10004" s="16" t="s">
        <v>40</v>
      </c>
      <c r="X10004" s="19">
        <v>5.2999999999999999E-2</v>
      </c>
      <c r="Y10004" s="20">
        <v>8.6000000000000003E-5</v>
      </c>
      <c r="Z10004" s="21">
        <v>4601004329836</v>
      </c>
    </row>
    <row r="10005" spans="1:26" ht="12" customHeight="1" outlineLevel="4" x14ac:dyDescent="0.2">
      <c r="A10005" s="14" t="s">
        <v>19055</v>
      </c>
      <c r="B10005" s="26" t="s">
        <v>19056</v>
      </c>
      <c r="C10005" s="52"/>
      <c r="D10005" s="55">
        <f t="shared" si="156"/>
        <v>0</v>
      </c>
      <c r="E10005" s="63" t="str">
        <f>HYPERLINK("https://www.sds-group.ru/product/kabel-greyuschiy-nagrevatelnyy-samoreguliruyuschiysya-s-uf-zaschitoy-srl30-2-uv-neekranirova-51-0231/", "Инфо")</f>
        <v>Инфо</v>
      </c>
      <c r="F10005" s="16" t="s">
        <v>18757</v>
      </c>
      <c r="G10005" s="15"/>
      <c r="H10005" s="15"/>
      <c r="I10005" s="15" t="s">
        <v>19006</v>
      </c>
      <c r="J10005" s="17">
        <v>400</v>
      </c>
      <c r="K10005" s="15"/>
      <c r="L10005" s="17">
        <v>100</v>
      </c>
      <c r="M10005" s="17">
        <v>100</v>
      </c>
      <c r="N10005" s="17">
        <v>100</v>
      </c>
      <c r="O10005" s="18">
        <v>279.83999999999997</v>
      </c>
      <c r="P10005" s="18">
        <v>229.38</v>
      </c>
      <c r="Q10005" s="18">
        <v>237.86</v>
      </c>
      <c r="R10005" s="18">
        <v>194.97</v>
      </c>
      <c r="S10005" s="18">
        <v>190.29</v>
      </c>
      <c r="T10005" s="18">
        <v>155.97999999999999</v>
      </c>
      <c r="U10005" s="16"/>
      <c r="V10005" s="16"/>
      <c r="W10005" s="16" t="s">
        <v>40</v>
      </c>
      <c r="X10005" s="19">
        <v>8.1000000000000003E-2</v>
      </c>
      <c r="Y10005" s="20">
        <v>1.18E-4</v>
      </c>
      <c r="Z10005" s="21">
        <v>4601004329683</v>
      </c>
    </row>
    <row r="10006" spans="1:26" ht="12" customHeight="1" outlineLevel="4" x14ac:dyDescent="0.2">
      <c r="A10006" s="14" t="s">
        <v>19057</v>
      </c>
      <c r="B10006" s="26" t="s">
        <v>19058</v>
      </c>
      <c r="C10006" s="52"/>
      <c r="D10006" s="55">
        <f t="shared" si="156"/>
        <v>0</v>
      </c>
      <c r="E10006" s="63" t="str">
        <f>HYPERLINK("https://www.sds-group.ru/product/kabel-greyuschiy-nagrevatelnyy-samoreguliruyuschiysya-s-uf-zaschitoy-srl30-2-uv-neekraniro-51-0254-4/", "Инфо")</f>
        <v>Инфо</v>
      </c>
      <c r="F10006" s="16" t="s">
        <v>18757</v>
      </c>
      <c r="G10006" s="15"/>
      <c r="H10006" s="15"/>
      <c r="I10006" s="15"/>
      <c r="J10006" s="17">
        <v>200</v>
      </c>
      <c r="K10006" s="15" t="s">
        <v>1590</v>
      </c>
      <c r="L10006" s="17">
        <v>200</v>
      </c>
      <c r="M10006" s="17">
        <v>200</v>
      </c>
      <c r="N10006" s="17">
        <v>200</v>
      </c>
      <c r="O10006" s="18">
        <v>254.4</v>
      </c>
      <c r="P10006" s="18">
        <v>208.52</v>
      </c>
      <c r="Q10006" s="18">
        <v>216.24</v>
      </c>
      <c r="R10006" s="18">
        <v>177.25</v>
      </c>
      <c r="S10006" s="18">
        <v>172.99</v>
      </c>
      <c r="T10006" s="18">
        <v>141.80000000000001</v>
      </c>
      <c r="U10006" s="16"/>
      <c r="V10006" s="16"/>
      <c r="W10006" s="16" t="s">
        <v>40</v>
      </c>
      <c r="X10006" s="19">
        <v>0.10299999999999999</v>
      </c>
      <c r="Y10006" s="20">
        <v>2.43E-4</v>
      </c>
      <c r="Z10006" s="21">
        <v>4601004278608</v>
      </c>
    </row>
    <row r="10007" spans="1:26" ht="12" customHeight="1" outlineLevel="4" x14ac:dyDescent="0.2">
      <c r="A10007" s="14" t="s">
        <v>19059</v>
      </c>
      <c r="B10007" s="26" t="s">
        <v>19060</v>
      </c>
      <c r="C10007" s="52"/>
      <c r="D10007" s="55">
        <f t="shared" si="156"/>
        <v>0</v>
      </c>
      <c r="E10007" s="63" t="str">
        <f>HYPERLINK("https://www.sds-group.ru/product/kabel-greyuschiy-nagrevatelnyy-samoreguliruyuschiysya-s-uf-zaschitoy-srl30-2-uv-neekranirova-51-0230/", "Инфо")</f>
        <v>Инфо</v>
      </c>
      <c r="F10007" s="16" t="s">
        <v>18757</v>
      </c>
      <c r="G10007" s="15"/>
      <c r="H10007" s="15"/>
      <c r="I10007" s="15" t="s">
        <v>18999</v>
      </c>
      <c r="J10007" s="17">
        <v>450</v>
      </c>
      <c r="K10007" s="15"/>
      <c r="L10007" s="17">
        <v>50</v>
      </c>
      <c r="M10007" s="17">
        <v>50</v>
      </c>
      <c r="N10007" s="17">
        <v>50</v>
      </c>
      <c r="O10007" s="18">
        <v>279.83999999999997</v>
      </c>
      <c r="P10007" s="18">
        <v>229.38</v>
      </c>
      <c r="Q10007" s="18">
        <v>237.86</v>
      </c>
      <c r="R10007" s="18">
        <v>194.97</v>
      </c>
      <c r="S10007" s="18">
        <v>190.29</v>
      </c>
      <c r="T10007" s="18">
        <v>155.97999999999999</v>
      </c>
      <c r="U10007" s="16"/>
      <c r="V10007" s="16"/>
      <c r="W10007" s="16" t="s">
        <v>40</v>
      </c>
      <c r="X10007" s="19">
        <v>8.6999999999999994E-2</v>
      </c>
      <c r="Y10007" s="20">
        <v>1.25E-4</v>
      </c>
      <c r="Z10007" s="21">
        <v>4601004329676</v>
      </c>
    </row>
    <row r="10008" spans="1:26" ht="12" customHeight="1" outlineLevel="4" x14ac:dyDescent="0.2">
      <c r="A10008" s="14" t="s">
        <v>19061</v>
      </c>
      <c r="B10008" s="26" t="s">
        <v>19062</v>
      </c>
      <c r="C10008" s="52"/>
      <c r="D10008" s="55">
        <f t="shared" si="156"/>
        <v>0</v>
      </c>
      <c r="E10008" s="63" t="str">
        <f>HYPERLINK("https://www.sds-group.ru/product/kabel-greyuschiy-nagrevatelnyy-samoreguliruyuschiysya-s-uf-zaschitoy-srl40-2-uv-neekranirova-51-0233/", "Инфо")</f>
        <v>Инфо</v>
      </c>
      <c r="F10008" s="16" t="s">
        <v>18757</v>
      </c>
      <c r="G10008" s="15"/>
      <c r="H10008" s="15"/>
      <c r="I10008" s="15" t="s">
        <v>19006</v>
      </c>
      <c r="J10008" s="17">
        <v>700</v>
      </c>
      <c r="K10008" s="15"/>
      <c r="L10008" s="17">
        <v>100</v>
      </c>
      <c r="M10008" s="17">
        <v>100</v>
      </c>
      <c r="N10008" s="17">
        <v>100</v>
      </c>
      <c r="O10008" s="18">
        <v>284.08</v>
      </c>
      <c r="P10008" s="18">
        <v>232.85</v>
      </c>
      <c r="Q10008" s="18">
        <v>241.47</v>
      </c>
      <c r="R10008" s="18">
        <v>197.93</v>
      </c>
      <c r="S10008" s="18">
        <v>193.17</v>
      </c>
      <c r="T10008" s="18">
        <v>158.34</v>
      </c>
      <c r="U10008" s="16"/>
      <c r="V10008" s="16"/>
      <c r="W10008" s="16" t="s">
        <v>40</v>
      </c>
      <c r="X10008" s="19">
        <v>8.1000000000000003E-2</v>
      </c>
      <c r="Y10008" s="20">
        <v>1.13E-4</v>
      </c>
      <c r="Z10008" s="21">
        <v>4601004329775</v>
      </c>
    </row>
    <row r="10009" spans="1:26" ht="12" customHeight="1" outlineLevel="4" x14ac:dyDescent="0.2">
      <c r="A10009" s="14" t="s">
        <v>19063</v>
      </c>
      <c r="B10009" s="26" t="s">
        <v>19064</v>
      </c>
      <c r="C10009" s="52"/>
      <c r="D10009" s="55">
        <f t="shared" si="156"/>
        <v>0</v>
      </c>
      <c r="E10009" s="63" t="str">
        <f>HYPERLINK("https://www.sds-group.ru/product/kabel-greyuschiy-nagrevatelnyy-samoreguliruyuschiysya-s-uf-zaschitoy-srl40-2-uv-neekraniro-51-0255-4/", "Инфо")</f>
        <v>Инфо</v>
      </c>
      <c r="F10009" s="16" t="s">
        <v>18757</v>
      </c>
      <c r="G10009" s="15"/>
      <c r="H10009" s="15"/>
      <c r="I10009" s="15"/>
      <c r="J10009" s="22">
        <v>5600</v>
      </c>
      <c r="K10009" s="15" t="s">
        <v>1590</v>
      </c>
      <c r="L10009" s="17">
        <v>200</v>
      </c>
      <c r="M10009" s="17">
        <v>200</v>
      </c>
      <c r="N10009" s="17">
        <v>200</v>
      </c>
      <c r="O10009" s="18">
        <v>258.43</v>
      </c>
      <c r="P10009" s="18">
        <v>211.83</v>
      </c>
      <c r="Q10009" s="18">
        <v>219.67</v>
      </c>
      <c r="R10009" s="18">
        <v>180.06</v>
      </c>
      <c r="S10009" s="18">
        <v>175.73</v>
      </c>
      <c r="T10009" s="18">
        <v>144.04</v>
      </c>
      <c r="U10009" s="16"/>
      <c r="V10009" s="16"/>
      <c r="W10009" s="16" t="s">
        <v>40</v>
      </c>
      <c r="X10009" s="19">
        <v>9.0999999999999998E-2</v>
      </c>
      <c r="Y10009" s="20">
        <v>2.43E-4</v>
      </c>
      <c r="Z10009" s="21">
        <v>4601004278981</v>
      </c>
    </row>
    <row r="10010" spans="1:26" ht="12" customHeight="1" outlineLevel="4" x14ac:dyDescent="0.2">
      <c r="A10010" s="14" t="s">
        <v>19065</v>
      </c>
      <c r="B10010" s="26" t="s">
        <v>19066</v>
      </c>
      <c r="C10010" s="52"/>
      <c r="D10010" s="55">
        <f t="shared" si="156"/>
        <v>0</v>
      </c>
      <c r="E10010" s="63" t="str">
        <f>HYPERLINK("https://www.sds-group.ru/product/kabel-greyuschiy-nagrevatelnyy-samoreguliruyuschiysya-s-uf-zaschitoy-srl40-2-uv-neekranirova-51-0232/", "Инфо")</f>
        <v>Инфо</v>
      </c>
      <c r="F10010" s="16" t="s">
        <v>18757</v>
      </c>
      <c r="G10010" s="15"/>
      <c r="H10010" s="15"/>
      <c r="I10010" s="15" t="s">
        <v>18999</v>
      </c>
      <c r="J10010" s="16" t="s">
        <v>100</v>
      </c>
      <c r="K10010" s="15"/>
      <c r="L10010" s="17">
        <v>50</v>
      </c>
      <c r="M10010" s="17">
        <v>50</v>
      </c>
      <c r="N10010" s="17">
        <v>50</v>
      </c>
      <c r="O10010" s="18">
        <v>284.08</v>
      </c>
      <c r="P10010" s="18">
        <v>232.85</v>
      </c>
      <c r="Q10010" s="18">
        <v>241.47</v>
      </c>
      <c r="R10010" s="18">
        <v>197.93</v>
      </c>
      <c r="S10010" s="18">
        <v>193.17</v>
      </c>
      <c r="T10010" s="18">
        <v>158.34</v>
      </c>
      <c r="U10010" s="16"/>
      <c r="V10010" s="16"/>
      <c r="W10010" s="16" t="s">
        <v>40</v>
      </c>
      <c r="X10010" s="19">
        <v>0.09</v>
      </c>
      <c r="Y10010" s="20">
        <v>1.25E-4</v>
      </c>
      <c r="Z10010" s="21">
        <v>4601004329744</v>
      </c>
    </row>
    <row r="10011" spans="1:26" ht="12.95" customHeight="1" outlineLevel="2" x14ac:dyDescent="0.2">
      <c r="A10011" s="76" t="s">
        <v>19067</v>
      </c>
      <c r="B10011" s="76"/>
      <c r="C10011" s="77"/>
      <c r="D10011" s="58"/>
      <c r="E10011" s="68"/>
      <c r="F10011" s="13"/>
      <c r="G10011" s="13"/>
      <c r="H10011" s="13"/>
      <c r="I10011" s="13"/>
      <c r="J10011" s="13"/>
      <c r="K10011" s="13"/>
      <c r="L10011" s="13"/>
      <c r="M10011" s="13"/>
      <c r="N10011" s="13"/>
      <c r="O10011" s="13"/>
      <c r="P10011" s="13"/>
      <c r="Q10011" s="13"/>
      <c r="R10011" s="13"/>
      <c r="S10011" s="13"/>
      <c r="T10011" s="13"/>
      <c r="U10011" s="13"/>
      <c r="V10011" s="13"/>
      <c r="W10011" s="13"/>
      <c r="X10011" s="13"/>
      <c r="Y10011" s="13"/>
      <c r="Z10011" s="13"/>
    </row>
    <row r="10012" spans="1:26" ht="12.95" customHeight="1" outlineLevel="3" x14ac:dyDescent="0.2">
      <c r="A10012" s="76" t="s">
        <v>19068</v>
      </c>
      <c r="B10012" s="76"/>
      <c r="C10012" s="77"/>
      <c r="D10012" s="58"/>
      <c r="E10012" s="68"/>
      <c r="F10012" s="13"/>
      <c r="G10012" s="13"/>
      <c r="H10012" s="13"/>
      <c r="I10012" s="13"/>
      <c r="J10012" s="13"/>
      <c r="K10012" s="13"/>
      <c r="L10012" s="13"/>
      <c r="M10012" s="13"/>
      <c r="N10012" s="13"/>
      <c r="O10012" s="13"/>
      <c r="P10012" s="13"/>
      <c r="Q10012" s="13"/>
      <c r="R10012" s="13"/>
      <c r="S10012" s="13"/>
      <c r="T10012" s="13"/>
      <c r="U10012" s="13"/>
      <c r="V10012" s="13"/>
      <c r="W10012" s="13"/>
      <c r="X10012" s="13"/>
      <c r="Y10012" s="13"/>
      <c r="Z10012" s="13"/>
    </row>
    <row r="10013" spans="1:26" ht="12" customHeight="1" outlineLevel="4" x14ac:dyDescent="0.2">
      <c r="A10013" s="14" t="s">
        <v>19069</v>
      </c>
      <c r="B10013" s="26" t="s">
        <v>19070</v>
      </c>
      <c r="C10013" s="52"/>
      <c r="D10013" s="55">
        <f t="shared" si="156"/>
        <v>0</v>
      </c>
      <c r="E10013" s="63" t="str">
        <f>HYPERLINK("https://www.sds-group.ru/product/kabel-greyuschiy-dlya-progreva-betona-40vt-m-100m-rexant-51-0086/", "Инфо")</f>
        <v>Инфо</v>
      </c>
      <c r="F10013" s="16" t="s">
        <v>39</v>
      </c>
      <c r="G10013" s="15"/>
      <c r="H10013" s="15"/>
      <c r="I10013" s="15"/>
      <c r="J10013" s="17">
        <v>613</v>
      </c>
      <c r="K10013" s="15" t="s">
        <v>2750</v>
      </c>
      <c r="L10013" s="17">
        <v>1</v>
      </c>
      <c r="M10013" s="17">
        <v>4</v>
      </c>
      <c r="N10013" s="17">
        <v>1</v>
      </c>
      <c r="O10013" s="18">
        <v>9540</v>
      </c>
      <c r="P10013" s="18">
        <v>7819.67</v>
      </c>
      <c r="Q10013" s="18">
        <v>7632</v>
      </c>
      <c r="R10013" s="18">
        <v>6255.74</v>
      </c>
      <c r="S10013" s="18">
        <v>6487.2</v>
      </c>
      <c r="T10013" s="18">
        <v>5317.38</v>
      </c>
      <c r="U10013" s="16"/>
      <c r="V10013" s="16"/>
      <c r="W10013" s="16" t="s">
        <v>40</v>
      </c>
      <c r="X10013" s="19">
        <v>3.9239999999999999</v>
      </c>
      <c r="Y10013" s="20">
        <v>8.1150000000000007E-3</v>
      </c>
      <c r="Z10013" s="21">
        <v>4601004230491</v>
      </c>
    </row>
    <row r="10014" spans="1:26" ht="12" customHeight="1" outlineLevel="4" x14ac:dyDescent="0.2">
      <c r="A10014" s="14" t="s">
        <v>19071</v>
      </c>
      <c r="B10014" s="26" t="s">
        <v>19072</v>
      </c>
      <c r="C10014" s="52"/>
      <c r="D10014" s="55">
        <f t="shared" si="156"/>
        <v>0</v>
      </c>
      <c r="E10014" s="63" t="str">
        <f>HYPERLINK("https://www.sds-group.ru/product/kabel-greyuschiy-dlya-progreva-betona-40vt-m-150m-rexant-51-0087/", "Инфо")</f>
        <v>Инфо</v>
      </c>
      <c r="F10014" s="16" t="s">
        <v>39</v>
      </c>
      <c r="G10014" s="15"/>
      <c r="H10014" s="15"/>
      <c r="I10014" s="15" t="s">
        <v>13445</v>
      </c>
      <c r="J10014" s="17">
        <v>15</v>
      </c>
      <c r="K10014" s="15"/>
      <c r="L10014" s="17">
        <v>1</v>
      </c>
      <c r="M10014" s="17">
        <v>1</v>
      </c>
      <c r="N10014" s="17">
        <v>1</v>
      </c>
      <c r="O10014" s="18">
        <v>26925.7</v>
      </c>
      <c r="P10014" s="18">
        <v>22070.25</v>
      </c>
      <c r="Q10014" s="18">
        <v>22886.85</v>
      </c>
      <c r="R10014" s="18">
        <v>18759.71</v>
      </c>
      <c r="S10014" s="18">
        <v>18309.48</v>
      </c>
      <c r="T10014" s="18">
        <v>15007.77</v>
      </c>
      <c r="U10014" s="16"/>
      <c r="V10014" s="16"/>
      <c r="W10014" s="16" t="s">
        <v>40</v>
      </c>
      <c r="X10014" s="19">
        <v>7.9550000000000001</v>
      </c>
      <c r="Y10014" s="20">
        <v>1.7410999999999999E-2</v>
      </c>
      <c r="Z10014" s="21">
        <v>4601004274242</v>
      </c>
    </row>
    <row r="10015" spans="1:26" ht="12" customHeight="1" outlineLevel="4" x14ac:dyDescent="0.2">
      <c r="A10015" s="14" t="s">
        <v>19073</v>
      </c>
      <c r="B10015" s="26" t="s">
        <v>19074</v>
      </c>
      <c r="C10015" s="52"/>
      <c r="D10015" s="55">
        <f t="shared" si="156"/>
        <v>0</v>
      </c>
      <c r="E10015" s="63" t="str">
        <f>HYPERLINK("https://www.sds-group.ru/product/kabel-greyuschiy-dlya-progreva-betona-40vt-m-19m-rexant-51-0082/", "Инфо")</f>
        <v>Инфо</v>
      </c>
      <c r="F10015" s="16" t="s">
        <v>39</v>
      </c>
      <c r="G10015" s="15"/>
      <c r="H10015" s="15"/>
      <c r="I10015" s="15"/>
      <c r="J10015" s="17">
        <v>612</v>
      </c>
      <c r="K10015" s="15" t="s">
        <v>2750</v>
      </c>
      <c r="L10015" s="17">
        <v>1</v>
      </c>
      <c r="M10015" s="17">
        <v>20</v>
      </c>
      <c r="N10015" s="17">
        <v>1</v>
      </c>
      <c r="O10015" s="18">
        <v>2756</v>
      </c>
      <c r="P10015" s="18">
        <v>2259.02</v>
      </c>
      <c r="Q10015" s="18">
        <v>2204.8000000000002</v>
      </c>
      <c r="R10015" s="18">
        <v>1807.21</v>
      </c>
      <c r="S10015" s="18">
        <v>1874.08</v>
      </c>
      <c r="T10015" s="18">
        <v>1536.13</v>
      </c>
      <c r="U10015" s="16"/>
      <c r="V10015" s="16"/>
      <c r="W10015" s="16" t="s">
        <v>40</v>
      </c>
      <c r="X10015" s="19">
        <v>0.78700000000000003</v>
      </c>
      <c r="Y10015" s="20">
        <v>2.5460000000000001E-3</v>
      </c>
      <c r="Z10015" s="21">
        <v>4601004230538</v>
      </c>
    </row>
    <row r="10016" spans="1:26" ht="12" customHeight="1" outlineLevel="4" x14ac:dyDescent="0.2">
      <c r="A10016" s="14" t="s">
        <v>19075</v>
      </c>
      <c r="B10016" s="26" t="s">
        <v>19076</v>
      </c>
      <c r="C10016" s="52"/>
      <c r="D10016" s="55">
        <f t="shared" si="156"/>
        <v>0</v>
      </c>
      <c r="E10016" s="63" t="str">
        <f>HYPERLINK("https://www.sds-group.ru/product/kabel-greyuschiy-dlya-progreva-betona-40vt-m-3-1m-rexant-51-0080/", "Инфо")</f>
        <v>Инфо</v>
      </c>
      <c r="F10016" s="16" t="s">
        <v>39</v>
      </c>
      <c r="G10016" s="15"/>
      <c r="H10016" s="15"/>
      <c r="I10016" s="15"/>
      <c r="J10016" s="17">
        <v>274</v>
      </c>
      <c r="K10016" s="15"/>
      <c r="L10016" s="17">
        <v>1</v>
      </c>
      <c r="M10016" s="17">
        <v>40</v>
      </c>
      <c r="N10016" s="17">
        <v>1</v>
      </c>
      <c r="O10016" s="18">
        <v>1484</v>
      </c>
      <c r="P10016" s="18">
        <v>1216.3900000000001</v>
      </c>
      <c r="Q10016" s="18">
        <v>1187.2</v>
      </c>
      <c r="R10016" s="18">
        <v>973.11</v>
      </c>
      <c r="S10016" s="18">
        <v>1009.12</v>
      </c>
      <c r="T10016" s="18">
        <v>827.15</v>
      </c>
      <c r="U10016" s="16"/>
      <c r="V10016" s="16"/>
      <c r="W10016" s="16" t="s">
        <v>40</v>
      </c>
      <c r="X10016" s="19">
        <v>0.25</v>
      </c>
      <c r="Y10016" s="20">
        <v>1.2459999999999999E-3</v>
      </c>
      <c r="Z10016" s="21">
        <v>4601004230484</v>
      </c>
    </row>
    <row r="10017" spans="1:26" ht="12" customHeight="1" outlineLevel="4" x14ac:dyDescent="0.2">
      <c r="A10017" s="14" t="s">
        <v>19077</v>
      </c>
      <c r="B10017" s="26" t="s">
        <v>19078</v>
      </c>
      <c r="C10017" s="52"/>
      <c r="D10017" s="55">
        <f t="shared" si="156"/>
        <v>0</v>
      </c>
      <c r="E10017" s="63" t="str">
        <f>HYPERLINK("https://www.sds-group.ru/product/kabel-greyuschiy-dlya-progreva-betona-40vt-m-37m-rexant-51-0083/", "Инфо")</f>
        <v>Инфо</v>
      </c>
      <c r="F10017" s="16" t="s">
        <v>39</v>
      </c>
      <c r="G10017" s="15"/>
      <c r="H10017" s="15"/>
      <c r="I10017" s="15"/>
      <c r="J10017" s="17">
        <v>719</v>
      </c>
      <c r="K10017" s="15" t="s">
        <v>2750</v>
      </c>
      <c r="L10017" s="17">
        <v>1</v>
      </c>
      <c r="M10017" s="17">
        <v>10</v>
      </c>
      <c r="N10017" s="17">
        <v>1</v>
      </c>
      <c r="O10017" s="18">
        <v>4664</v>
      </c>
      <c r="P10017" s="18">
        <v>3822.95</v>
      </c>
      <c r="Q10017" s="18">
        <v>3731.2</v>
      </c>
      <c r="R10017" s="18">
        <v>3058.36</v>
      </c>
      <c r="S10017" s="18">
        <v>3171.52</v>
      </c>
      <c r="T10017" s="18">
        <v>2599.61</v>
      </c>
      <c r="U10017" s="16"/>
      <c r="V10017" s="16"/>
      <c r="W10017" s="16" t="s">
        <v>40</v>
      </c>
      <c r="X10017" s="19">
        <v>1.444</v>
      </c>
      <c r="Y10017" s="20">
        <v>4.2950000000000002E-3</v>
      </c>
      <c r="Z10017" s="21">
        <v>4601004230521</v>
      </c>
    </row>
    <row r="10018" spans="1:26" ht="12" customHeight="1" outlineLevel="4" x14ac:dyDescent="0.2">
      <c r="A10018" s="14" t="s">
        <v>19079</v>
      </c>
      <c r="B10018" s="26" t="s">
        <v>19080</v>
      </c>
      <c r="C10018" s="52"/>
      <c r="D10018" s="55">
        <f t="shared" si="156"/>
        <v>0</v>
      </c>
      <c r="E10018" s="63" t="str">
        <f>HYPERLINK("https://www.sds-group.ru/product/kabel-greyuschiy-dlya-progreva-betona-40vt-m-50m-rexant-51-0084/", "Инфо")</f>
        <v>Инфо</v>
      </c>
      <c r="F10018" s="16" t="s">
        <v>39</v>
      </c>
      <c r="G10018" s="15"/>
      <c r="H10018" s="15"/>
      <c r="I10018" s="15"/>
      <c r="J10018" s="17">
        <v>808</v>
      </c>
      <c r="K10018" s="15" t="s">
        <v>2750</v>
      </c>
      <c r="L10018" s="17">
        <v>1</v>
      </c>
      <c r="M10018" s="17">
        <v>8</v>
      </c>
      <c r="N10018" s="17">
        <v>1</v>
      </c>
      <c r="O10018" s="18">
        <v>5830</v>
      </c>
      <c r="P10018" s="18">
        <v>4778.6899999999996</v>
      </c>
      <c r="Q10018" s="18">
        <v>4664</v>
      </c>
      <c r="R10018" s="18">
        <v>3822.95</v>
      </c>
      <c r="S10018" s="18">
        <v>3964.4</v>
      </c>
      <c r="T10018" s="18">
        <v>3249.51</v>
      </c>
      <c r="U10018" s="16"/>
      <c r="V10018" s="16"/>
      <c r="W10018" s="16" t="s">
        <v>40</v>
      </c>
      <c r="X10018" s="19">
        <v>1.986</v>
      </c>
      <c r="Y10018" s="20">
        <v>4.3730000000000002E-3</v>
      </c>
      <c r="Z10018" s="21">
        <v>4601004230514</v>
      </c>
    </row>
    <row r="10019" spans="1:26" ht="12" customHeight="1" outlineLevel="4" x14ac:dyDescent="0.2">
      <c r="A10019" s="14" t="s">
        <v>19081</v>
      </c>
      <c r="B10019" s="26" t="s">
        <v>19082</v>
      </c>
      <c r="C10019" s="52"/>
      <c r="D10019" s="55">
        <f t="shared" si="156"/>
        <v>0</v>
      </c>
      <c r="E10019" s="63" t="str">
        <f>HYPERLINK("https://www.sds-group.ru/product/kabel-greyuschiy-dlya-progreva-betona-40vt-m-75m-rexant-51-0085/", "Инфо")</f>
        <v>Инфо</v>
      </c>
      <c r="F10019" s="16" t="s">
        <v>39</v>
      </c>
      <c r="G10019" s="15"/>
      <c r="H10019" s="15"/>
      <c r="I10019" s="15"/>
      <c r="J10019" s="17">
        <v>815</v>
      </c>
      <c r="K10019" s="15" t="s">
        <v>2750</v>
      </c>
      <c r="L10019" s="17">
        <v>1</v>
      </c>
      <c r="M10019" s="17">
        <v>5</v>
      </c>
      <c r="N10019" s="17">
        <v>1</v>
      </c>
      <c r="O10019" s="18">
        <v>7208</v>
      </c>
      <c r="P10019" s="18">
        <v>5908.2</v>
      </c>
      <c r="Q10019" s="18">
        <v>5766.4</v>
      </c>
      <c r="R10019" s="18">
        <v>4726.5600000000004</v>
      </c>
      <c r="S10019" s="18">
        <v>4901.4399999999996</v>
      </c>
      <c r="T10019" s="18">
        <v>4017.57</v>
      </c>
      <c r="U10019" s="16"/>
      <c r="V10019" s="16"/>
      <c r="W10019" s="16" t="s">
        <v>40</v>
      </c>
      <c r="X10019" s="19">
        <v>2.7719999999999998</v>
      </c>
      <c r="Y10019" s="20">
        <v>6.1850000000000004E-3</v>
      </c>
      <c r="Z10019" s="21">
        <v>4601004230507</v>
      </c>
    </row>
    <row r="10020" spans="1:26" ht="12" customHeight="1" outlineLevel="4" x14ac:dyDescent="0.2">
      <c r="A10020" s="14" t="s">
        <v>19083</v>
      </c>
      <c r="B10020" s="26" t="s">
        <v>19084</v>
      </c>
      <c r="C10020" s="52"/>
      <c r="D10020" s="55">
        <f t="shared" si="156"/>
        <v>0</v>
      </c>
      <c r="E10020" s="63" t="str">
        <f>HYPERLINK("https://www.sds-group.ru/product/kabel-greyuschiy-dlya-progreva-betona-40vt-m-9-3m-rexant-51-0081/", "Инфо")</f>
        <v>Инфо</v>
      </c>
      <c r="F10020" s="16" t="s">
        <v>39</v>
      </c>
      <c r="G10020" s="15"/>
      <c r="H10020" s="15"/>
      <c r="I10020" s="15"/>
      <c r="J10020" s="17">
        <v>396</v>
      </c>
      <c r="K10020" s="15" t="s">
        <v>2750</v>
      </c>
      <c r="L10020" s="17">
        <v>1</v>
      </c>
      <c r="M10020" s="17">
        <v>30</v>
      </c>
      <c r="N10020" s="17">
        <v>1</v>
      </c>
      <c r="O10020" s="18">
        <v>2109.4</v>
      </c>
      <c r="P10020" s="18">
        <v>1729.02</v>
      </c>
      <c r="Q10020" s="18">
        <v>1687.52</v>
      </c>
      <c r="R10020" s="18">
        <v>1383.21</v>
      </c>
      <c r="S10020" s="18">
        <v>1434.39</v>
      </c>
      <c r="T10020" s="18">
        <v>1175.73</v>
      </c>
      <c r="U10020" s="16"/>
      <c r="V10020" s="16"/>
      <c r="W10020" s="16" t="s">
        <v>40</v>
      </c>
      <c r="X10020" s="19">
        <v>0.501</v>
      </c>
      <c r="Y10020" s="20">
        <v>1.433E-3</v>
      </c>
      <c r="Z10020" s="21">
        <v>4601004230477</v>
      </c>
    </row>
    <row r="10021" spans="1:26" ht="12.95" customHeight="1" outlineLevel="3" x14ac:dyDescent="0.2">
      <c r="A10021" s="76" t="s">
        <v>19085</v>
      </c>
      <c r="B10021" s="76"/>
      <c r="C10021" s="77"/>
      <c r="D10021" s="58"/>
      <c r="E10021" s="68"/>
      <c r="F10021" s="13"/>
      <c r="G10021" s="13"/>
      <c r="H10021" s="13"/>
      <c r="I10021" s="13"/>
      <c r="J10021" s="13"/>
      <c r="K10021" s="13"/>
      <c r="L10021" s="13"/>
      <c r="M10021" s="13"/>
      <c r="N10021" s="13"/>
      <c r="O10021" s="13"/>
      <c r="P10021" s="13"/>
      <c r="Q10021" s="13"/>
      <c r="R10021" s="13"/>
      <c r="S10021" s="13"/>
      <c r="T10021" s="13"/>
      <c r="U10021" s="13"/>
      <c r="V10021" s="13"/>
      <c r="W10021" s="13"/>
      <c r="X10021" s="13"/>
      <c r="Y10021" s="13"/>
      <c r="Z10021" s="13"/>
    </row>
    <row r="10022" spans="1:26" ht="12" customHeight="1" outlineLevel="4" x14ac:dyDescent="0.2">
      <c r="A10022" s="14" t="s">
        <v>19086</v>
      </c>
      <c r="B10022" s="26" t="s">
        <v>19087</v>
      </c>
      <c r="C10022" s="52"/>
      <c r="D10022" s="55">
        <f t="shared" si="156"/>
        <v>0</v>
      </c>
      <c r="E10022" s="63" t="str">
        <f>HYPERLINK("https://www.sds-group.ru/product/kabel-greyuschiy-dlya-obogreva-krovli-vodostokov-ploschadok-stupeney-grk-30-1080-36-36m-rexa-51-0065/", "Инфо")</f>
        <v>Инфо</v>
      </c>
      <c r="F10022" s="16" t="s">
        <v>39</v>
      </c>
      <c r="G10022" s="15"/>
      <c r="H10022" s="15"/>
      <c r="I10022" s="15"/>
      <c r="J10022" s="17">
        <v>22</v>
      </c>
      <c r="K10022" s="15"/>
      <c r="L10022" s="17">
        <v>1</v>
      </c>
      <c r="M10022" s="17">
        <v>1</v>
      </c>
      <c r="N10022" s="17">
        <v>1</v>
      </c>
      <c r="O10022" s="18">
        <v>9116</v>
      </c>
      <c r="P10022" s="18">
        <v>7472.13</v>
      </c>
      <c r="Q10022" s="18">
        <v>6654.68</v>
      </c>
      <c r="R10022" s="18">
        <v>5454.66</v>
      </c>
      <c r="S10022" s="18">
        <v>6198.88</v>
      </c>
      <c r="T10022" s="18">
        <v>5081.05</v>
      </c>
      <c r="U10022" s="16"/>
      <c r="V10022" s="16"/>
      <c r="W10022" s="16" t="s">
        <v>40</v>
      </c>
      <c r="X10022" s="19">
        <v>1.792</v>
      </c>
      <c r="Y10022" s="20">
        <v>3.2190000000000001E-3</v>
      </c>
      <c r="Z10022" s="21">
        <v>4601004237636</v>
      </c>
    </row>
    <row r="10023" spans="1:26" ht="12" customHeight="1" outlineLevel="4" x14ac:dyDescent="0.2">
      <c r="A10023" s="14" t="s">
        <v>19088</v>
      </c>
      <c r="B10023" s="26" t="s">
        <v>19089</v>
      </c>
      <c r="C10023" s="52"/>
      <c r="D10023" s="55">
        <f t="shared" si="156"/>
        <v>0</v>
      </c>
      <c r="E10023" s="63" t="str">
        <f>HYPERLINK("https://www.sds-group.ru/product/kabel-greyuschiy-dlya-obogreva-krovli-vodostokov-ploschadok-stupeney-grk-30-1500-50-50m-rexant-28602/", "Инфо")</f>
        <v>Инфо</v>
      </c>
      <c r="F10023" s="16" t="s">
        <v>39</v>
      </c>
      <c r="G10023" s="15"/>
      <c r="H10023" s="15"/>
      <c r="I10023" s="15"/>
      <c r="J10023" s="17">
        <v>19</v>
      </c>
      <c r="K10023" s="15"/>
      <c r="L10023" s="17">
        <v>1</v>
      </c>
      <c r="M10023" s="17">
        <v>1</v>
      </c>
      <c r="N10023" s="17">
        <v>1</v>
      </c>
      <c r="O10023" s="18">
        <v>11660</v>
      </c>
      <c r="P10023" s="18">
        <v>9557.3799999999992</v>
      </c>
      <c r="Q10023" s="18">
        <v>8511.7999999999993</v>
      </c>
      <c r="R10023" s="18">
        <v>6976.89</v>
      </c>
      <c r="S10023" s="18">
        <v>7928.8</v>
      </c>
      <c r="T10023" s="18">
        <v>6499.02</v>
      </c>
      <c r="U10023" s="16"/>
      <c r="V10023" s="16"/>
      <c r="W10023" s="16" t="s">
        <v>40</v>
      </c>
      <c r="X10023" s="19">
        <v>2.085</v>
      </c>
      <c r="Y10023" s="20">
        <v>3.8500000000000001E-3</v>
      </c>
      <c r="Z10023" s="21">
        <v>4601004237643</v>
      </c>
    </row>
    <row r="10024" spans="1:26" ht="12" customHeight="1" outlineLevel="4" x14ac:dyDescent="0.2">
      <c r="A10024" s="14" t="s">
        <v>19090</v>
      </c>
      <c r="B10024" s="26" t="s">
        <v>19091</v>
      </c>
      <c r="C10024" s="52"/>
      <c r="D10024" s="55">
        <f t="shared" si="156"/>
        <v>0</v>
      </c>
      <c r="E10024" s="63" t="str">
        <f>HYPERLINK("https://www.sds-group.ru/product/kabel-greyuschiy-dlya-obogreva-krovli-vodostokov-ploschadok-stupeney-grk-30-1920-64-64m-rexa-51-0067/", "Инфо")</f>
        <v>Инфо</v>
      </c>
      <c r="F10024" s="16" t="s">
        <v>39</v>
      </c>
      <c r="G10024" s="15"/>
      <c r="H10024" s="15"/>
      <c r="I10024" s="15"/>
      <c r="J10024" s="17">
        <v>23</v>
      </c>
      <c r="K10024" s="15" t="s">
        <v>2750</v>
      </c>
      <c r="L10024" s="17">
        <v>1</v>
      </c>
      <c r="M10024" s="17">
        <v>1</v>
      </c>
      <c r="N10024" s="17">
        <v>1</v>
      </c>
      <c r="O10024" s="18">
        <v>14098</v>
      </c>
      <c r="P10024" s="18">
        <v>11555.74</v>
      </c>
      <c r="Q10024" s="18">
        <v>10291.540000000001</v>
      </c>
      <c r="R10024" s="18">
        <v>8435.69</v>
      </c>
      <c r="S10024" s="18">
        <v>9586.64</v>
      </c>
      <c r="T10024" s="18">
        <v>7857.9</v>
      </c>
      <c r="U10024" s="16"/>
      <c r="V10024" s="16"/>
      <c r="W10024" s="16" t="s">
        <v>40</v>
      </c>
      <c r="X10024" s="19">
        <v>2.7850000000000001</v>
      </c>
      <c r="Y10024" s="20">
        <v>5.1279999999999997E-3</v>
      </c>
      <c r="Z10024" s="21">
        <v>4601004237650</v>
      </c>
    </row>
    <row r="10025" spans="1:26" ht="12" customHeight="1" outlineLevel="4" x14ac:dyDescent="0.2">
      <c r="A10025" s="14" t="s">
        <v>19092</v>
      </c>
      <c r="B10025" s="26" t="s">
        <v>19093</v>
      </c>
      <c r="C10025" s="52"/>
      <c r="D10025" s="55">
        <f t="shared" si="156"/>
        <v>0</v>
      </c>
      <c r="E10025" s="63" t="str">
        <f>HYPERLINK("https://www.sds-group.ru/product/kabel-greyuschiy-dlya-obogreva-krovli-vodostokov-ploschadok-stupeney-grk-30-210-7-7m-rexant-51-0060/", "Инфо")</f>
        <v>Инфо</v>
      </c>
      <c r="F10025" s="16" t="s">
        <v>39</v>
      </c>
      <c r="G10025" s="15"/>
      <c r="H10025" s="15"/>
      <c r="I10025" s="15"/>
      <c r="J10025" s="17">
        <v>29</v>
      </c>
      <c r="K10025" s="15"/>
      <c r="L10025" s="17">
        <v>1</v>
      </c>
      <c r="M10025" s="17">
        <v>1</v>
      </c>
      <c r="N10025" s="17">
        <v>1</v>
      </c>
      <c r="O10025" s="18">
        <v>2628.8</v>
      </c>
      <c r="P10025" s="18">
        <v>2154.75</v>
      </c>
      <c r="Q10025" s="18">
        <v>2024.18</v>
      </c>
      <c r="R10025" s="18">
        <v>1659.16</v>
      </c>
      <c r="S10025" s="18">
        <v>1787.58</v>
      </c>
      <c r="T10025" s="18">
        <v>1465.23</v>
      </c>
      <c r="U10025" s="16"/>
      <c r="V10025" s="16"/>
      <c r="W10025" s="16" t="s">
        <v>40</v>
      </c>
      <c r="X10025" s="19">
        <v>0.36299999999999999</v>
      </c>
      <c r="Y10025" s="20">
        <v>1.356E-3</v>
      </c>
      <c r="Z10025" s="21">
        <v>4601004237728</v>
      </c>
    </row>
    <row r="10026" spans="1:26" ht="12" customHeight="1" outlineLevel="4" x14ac:dyDescent="0.2">
      <c r="A10026" s="14" t="s">
        <v>19094</v>
      </c>
      <c r="B10026" s="26" t="s">
        <v>19095</v>
      </c>
      <c r="C10026" s="52"/>
      <c r="D10026" s="55">
        <f t="shared" si="156"/>
        <v>0</v>
      </c>
      <c r="E10026" s="63" t="str">
        <f>HYPERLINK("https://www.sds-group.ru/product/kabel-greyuschiy-dlya-obogreva-krovli-vodostokov-ploschadok-stupeney-grk-30-2160-72-72m-rexa-51-0068/", "Инфо")</f>
        <v>Инфо</v>
      </c>
      <c r="F10026" s="16" t="s">
        <v>39</v>
      </c>
      <c r="G10026" s="15"/>
      <c r="H10026" s="15"/>
      <c r="I10026" s="15"/>
      <c r="J10026" s="16" t="s">
        <v>100</v>
      </c>
      <c r="K10026" s="15" t="s">
        <v>2750</v>
      </c>
      <c r="L10026" s="17">
        <v>1</v>
      </c>
      <c r="M10026" s="17">
        <v>1</v>
      </c>
      <c r="N10026" s="17">
        <v>1</v>
      </c>
      <c r="O10026" s="18">
        <v>15582</v>
      </c>
      <c r="P10026" s="18">
        <v>12772.13</v>
      </c>
      <c r="Q10026" s="18">
        <v>11374.86</v>
      </c>
      <c r="R10026" s="18">
        <v>9323.66</v>
      </c>
      <c r="S10026" s="18">
        <v>10595.76</v>
      </c>
      <c r="T10026" s="18">
        <v>8685.0499999999993</v>
      </c>
      <c r="U10026" s="16"/>
      <c r="V10026" s="16"/>
      <c r="W10026" s="16" t="s">
        <v>40</v>
      </c>
      <c r="X10026" s="19">
        <v>3.21</v>
      </c>
      <c r="Y10026" s="20">
        <v>6.1060000000000003E-3</v>
      </c>
      <c r="Z10026" s="21">
        <v>4601004237667</v>
      </c>
    </row>
    <row r="10027" spans="1:26" ht="12" customHeight="1" outlineLevel="4" x14ac:dyDescent="0.2">
      <c r="A10027" s="14" t="s">
        <v>19096</v>
      </c>
      <c r="B10027" s="26" t="s">
        <v>19097</v>
      </c>
      <c r="C10027" s="52"/>
      <c r="D10027" s="55">
        <f t="shared" si="156"/>
        <v>0</v>
      </c>
      <c r="E10027" s="63" t="str">
        <f>HYPERLINK("https://www.sds-group.ru/product/kabel-greyuschiy-dlya-obogreva-krovli-vodostokov-ploschadok-stupeney-grk-30-2580-86-86m-rexa-51-0069/", "Инфо")</f>
        <v>Инфо</v>
      </c>
      <c r="F10027" s="16" t="s">
        <v>39</v>
      </c>
      <c r="G10027" s="15"/>
      <c r="H10027" s="15"/>
      <c r="I10027" s="15"/>
      <c r="J10027" s="17">
        <v>45</v>
      </c>
      <c r="K10027" s="15" t="s">
        <v>2750</v>
      </c>
      <c r="L10027" s="17">
        <v>1</v>
      </c>
      <c r="M10027" s="17">
        <v>1</v>
      </c>
      <c r="N10027" s="17">
        <v>1</v>
      </c>
      <c r="O10027" s="18">
        <v>18550</v>
      </c>
      <c r="P10027" s="18">
        <v>15204.92</v>
      </c>
      <c r="Q10027" s="18">
        <v>13541.5</v>
      </c>
      <c r="R10027" s="18">
        <v>11099.59</v>
      </c>
      <c r="S10027" s="18">
        <v>12614</v>
      </c>
      <c r="T10027" s="18">
        <v>10339.34</v>
      </c>
      <c r="U10027" s="16"/>
      <c r="V10027" s="16"/>
      <c r="W10027" s="16" t="s">
        <v>40</v>
      </c>
      <c r="X10027" s="19">
        <v>4.2709999999999999</v>
      </c>
      <c r="Y10027" s="20">
        <v>1.1025999999999999E-2</v>
      </c>
      <c r="Z10027" s="21">
        <v>4601004237674</v>
      </c>
    </row>
    <row r="10028" spans="1:26" ht="12" customHeight="1" outlineLevel="4" x14ac:dyDescent="0.2">
      <c r="A10028" s="14" t="s">
        <v>19098</v>
      </c>
      <c r="B10028" s="26" t="s">
        <v>19099</v>
      </c>
      <c r="C10028" s="52"/>
      <c r="D10028" s="55">
        <f t="shared" si="156"/>
        <v>0</v>
      </c>
      <c r="E10028" s="63" t="str">
        <f>HYPERLINK("https://www.sds-group.ru/product/kabel-greyuschiy-dlya-obogreva-krovli-vodostokov-ploschadok-stupeney-grk-30-330-11-11m-rexan-51-0061/", "Инфо")</f>
        <v>Инфо</v>
      </c>
      <c r="F10028" s="16" t="s">
        <v>39</v>
      </c>
      <c r="G10028" s="15"/>
      <c r="H10028" s="15"/>
      <c r="I10028" s="15"/>
      <c r="J10028" s="17">
        <v>30</v>
      </c>
      <c r="K10028" s="15"/>
      <c r="L10028" s="17">
        <v>1</v>
      </c>
      <c r="M10028" s="17">
        <v>1</v>
      </c>
      <c r="N10028" s="17">
        <v>1</v>
      </c>
      <c r="O10028" s="18">
        <v>3816</v>
      </c>
      <c r="P10028" s="18">
        <v>3127.87</v>
      </c>
      <c r="Q10028" s="18">
        <v>2785.68</v>
      </c>
      <c r="R10028" s="18">
        <v>2283.34</v>
      </c>
      <c r="S10028" s="18">
        <v>2594.88</v>
      </c>
      <c r="T10028" s="18">
        <v>2126.9499999999998</v>
      </c>
      <c r="U10028" s="16"/>
      <c r="V10028" s="16"/>
      <c r="W10028" s="16" t="s">
        <v>40</v>
      </c>
      <c r="X10028" s="19">
        <v>0.69799999999999995</v>
      </c>
      <c r="Y10028" s="20">
        <v>1.482E-3</v>
      </c>
      <c r="Z10028" s="21">
        <v>4601004237599</v>
      </c>
    </row>
    <row r="10029" spans="1:26" ht="12" customHeight="1" outlineLevel="4" x14ac:dyDescent="0.2">
      <c r="A10029" s="14" t="s">
        <v>19100</v>
      </c>
      <c r="B10029" s="26" t="s">
        <v>19101</v>
      </c>
      <c r="C10029" s="52"/>
      <c r="D10029" s="55">
        <f t="shared" si="156"/>
        <v>0</v>
      </c>
      <c r="E10029" s="63" t="str">
        <f>HYPERLINK("https://www.sds-group.ru/product/kabel-greyuschiy-dlya-obogreva-krovli-vodostokov-ploschadok-stupeney-grk-30-3450-115-115m-re-51-0070/", "Инфо")</f>
        <v>Инфо</v>
      </c>
      <c r="F10029" s="16" t="s">
        <v>39</v>
      </c>
      <c r="G10029" s="15"/>
      <c r="H10029" s="15"/>
      <c r="I10029" s="15"/>
      <c r="J10029" s="17">
        <v>44</v>
      </c>
      <c r="K10029" s="15" t="s">
        <v>2750</v>
      </c>
      <c r="L10029" s="17">
        <v>1</v>
      </c>
      <c r="M10029" s="17">
        <v>1</v>
      </c>
      <c r="N10029" s="17">
        <v>1</v>
      </c>
      <c r="O10029" s="18">
        <v>24910</v>
      </c>
      <c r="P10029" s="18">
        <v>20418.03</v>
      </c>
      <c r="Q10029" s="18">
        <v>18184.3</v>
      </c>
      <c r="R10029" s="18">
        <v>14905.16</v>
      </c>
      <c r="S10029" s="18">
        <v>16938.8</v>
      </c>
      <c r="T10029" s="18">
        <v>13884.26</v>
      </c>
      <c r="U10029" s="16"/>
      <c r="V10029" s="16"/>
      <c r="W10029" s="16" t="s">
        <v>40</v>
      </c>
      <c r="X10029" s="19">
        <v>6.524</v>
      </c>
      <c r="Y10029" s="20">
        <v>9.6579999999999999E-3</v>
      </c>
      <c r="Z10029" s="21">
        <v>4601004237681</v>
      </c>
    </row>
    <row r="10030" spans="1:26" ht="12" customHeight="1" outlineLevel="4" x14ac:dyDescent="0.2">
      <c r="A10030" s="14" t="s">
        <v>19102</v>
      </c>
      <c r="B10030" s="26" t="s">
        <v>19103</v>
      </c>
      <c r="C10030" s="52"/>
      <c r="D10030" s="55">
        <f t="shared" si="156"/>
        <v>0</v>
      </c>
      <c r="E10030" s="63" t="str">
        <f>HYPERLINK("https://www.sds-group.ru/product/kabel-greyuschiy-dlya-obogreva-krovli-vodostokov-ploschadok-stupeney-grk-30-3900-130-130m-re-51-0071/", "Инфо")</f>
        <v>Инфо</v>
      </c>
      <c r="F10030" s="16" t="s">
        <v>39</v>
      </c>
      <c r="G10030" s="15"/>
      <c r="H10030" s="15"/>
      <c r="I10030" s="15"/>
      <c r="J10030" s="17">
        <v>44</v>
      </c>
      <c r="K10030" s="15" t="s">
        <v>2750</v>
      </c>
      <c r="L10030" s="17">
        <v>1</v>
      </c>
      <c r="M10030" s="17">
        <v>1</v>
      </c>
      <c r="N10030" s="17">
        <v>1</v>
      </c>
      <c r="O10030" s="18">
        <v>32330</v>
      </c>
      <c r="P10030" s="18">
        <v>26500</v>
      </c>
      <c r="Q10030" s="18">
        <v>23600.9</v>
      </c>
      <c r="R10030" s="18">
        <v>19345</v>
      </c>
      <c r="S10030" s="18">
        <v>21984.400000000001</v>
      </c>
      <c r="T10030" s="18">
        <v>18020</v>
      </c>
      <c r="U10030" s="16"/>
      <c r="V10030" s="16"/>
      <c r="W10030" s="16" t="s">
        <v>40</v>
      </c>
      <c r="X10030" s="19">
        <v>8.3209999999999997</v>
      </c>
      <c r="Y10030" s="20">
        <v>1.1842E-2</v>
      </c>
      <c r="Z10030" s="21">
        <v>4601004237698</v>
      </c>
    </row>
    <row r="10031" spans="1:26" ht="12" customHeight="1" outlineLevel="4" x14ac:dyDescent="0.2">
      <c r="A10031" s="14" t="s">
        <v>19104</v>
      </c>
      <c r="B10031" s="26" t="s">
        <v>19105</v>
      </c>
      <c r="C10031" s="52"/>
      <c r="D10031" s="55">
        <f t="shared" si="156"/>
        <v>0</v>
      </c>
      <c r="E10031" s="63" t="str">
        <f>HYPERLINK("https://www.sds-group.ru/product/kabel-greyuschiy-dlya-obogreva-krovli-vodostokov-ploschadok-stupeney-grk-30-435-14-5-14-5m-r-51-0062/", "Инфо")</f>
        <v>Инфо</v>
      </c>
      <c r="F10031" s="16" t="s">
        <v>39</v>
      </c>
      <c r="G10031" s="15"/>
      <c r="H10031" s="15"/>
      <c r="I10031" s="15"/>
      <c r="J10031" s="17">
        <v>22</v>
      </c>
      <c r="K10031" s="15" t="s">
        <v>2750</v>
      </c>
      <c r="L10031" s="17">
        <v>1</v>
      </c>
      <c r="M10031" s="17">
        <v>1</v>
      </c>
      <c r="N10031" s="17">
        <v>1</v>
      </c>
      <c r="O10031" s="18">
        <v>4982</v>
      </c>
      <c r="P10031" s="18">
        <v>4083.61</v>
      </c>
      <c r="Q10031" s="18">
        <v>3636.86</v>
      </c>
      <c r="R10031" s="18">
        <v>2981.03</v>
      </c>
      <c r="S10031" s="18">
        <v>3387.76</v>
      </c>
      <c r="T10031" s="18">
        <v>2776.85</v>
      </c>
      <c r="U10031" s="16"/>
      <c r="V10031" s="16"/>
      <c r="W10031" s="16" t="s">
        <v>40</v>
      </c>
      <c r="X10031" s="19">
        <v>0.70499999999999996</v>
      </c>
      <c r="Y10031" s="20">
        <v>2.6459999999999999E-3</v>
      </c>
      <c r="Z10031" s="21">
        <v>4601004237605</v>
      </c>
    </row>
    <row r="10032" spans="1:26" ht="12" customHeight="1" outlineLevel="4" x14ac:dyDescent="0.2">
      <c r="A10032" s="14" t="s">
        <v>19106</v>
      </c>
      <c r="B10032" s="26" t="s">
        <v>19107</v>
      </c>
      <c r="C10032" s="52"/>
      <c r="D10032" s="55">
        <f t="shared" si="156"/>
        <v>0</v>
      </c>
      <c r="E10032" s="63" t="str">
        <f>HYPERLINK("https://www.sds-group.ru/product/kabel-greyuschiy-dlya-obogreva-krovli-vodostokov-ploschadok-stupeney-grk-30-4500-150-150m-re-51-0072/", "Инфо")</f>
        <v>Инфо</v>
      </c>
      <c r="F10032" s="16" t="s">
        <v>39</v>
      </c>
      <c r="G10032" s="15"/>
      <c r="H10032" s="15"/>
      <c r="I10032" s="15"/>
      <c r="J10032" s="17">
        <v>27</v>
      </c>
      <c r="K10032" s="15" t="s">
        <v>2750</v>
      </c>
      <c r="L10032" s="17">
        <v>1</v>
      </c>
      <c r="M10032" s="17">
        <v>1</v>
      </c>
      <c r="N10032" s="17">
        <v>1</v>
      </c>
      <c r="O10032" s="18">
        <v>40280</v>
      </c>
      <c r="P10032" s="18">
        <v>33016.39</v>
      </c>
      <c r="Q10032" s="18">
        <v>29404.400000000001</v>
      </c>
      <c r="R10032" s="18">
        <v>24101.97</v>
      </c>
      <c r="S10032" s="18">
        <v>27390.400000000001</v>
      </c>
      <c r="T10032" s="18">
        <v>22451.15</v>
      </c>
      <c r="U10032" s="16"/>
      <c r="V10032" s="16"/>
      <c r="W10032" s="16" t="s">
        <v>40</v>
      </c>
      <c r="X10032" s="19">
        <v>10.289</v>
      </c>
      <c r="Y10032" s="20">
        <v>1.3143E-2</v>
      </c>
      <c r="Z10032" s="21">
        <v>4601004237704</v>
      </c>
    </row>
    <row r="10033" spans="1:26" ht="12" customHeight="1" outlineLevel="4" x14ac:dyDescent="0.2">
      <c r="A10033" s="14" t="s">
        <v>19108</v>
      </c>
      <c r="B10033" s="26" t="s">
        <v>19109</v>
      </c>
      <c r="C10033" s="52"/>
      <c r="D10033" s="55">
        <f t="shared" si="156"/>
        <v>0</v>
      </c>
      <c r="E10033" s="63" t="str">
        <f>HYPERLINK("https://www.sds-group.ru/product/kabel-greyuschiy-dlya-obogreva-krovli-vodostokov-ploschadok-stupeney-grk-30-660-22-22m-rexan-51-0063/", "Инфо")</f>
        <v>Инфо</v>
      </c>
      <c r="F10033" s="16" t="s">
        <v>39</v>
      </c>
      <c r="G10033" s="15"/>
      <c r="H10033" s="15"/>
      <c r="I10033" s="15"/>
      <c r="J10033" s="17">
        <v>31</v>
      </c>
      <c r="K10033" s="15" t="s">
        <v>2750</v>
      </c>
      <c r="L10033" s="17">
        <v>1</v>
      </c>
      <c r="M10033" s="17">
        <v>1</v>
      </c>
      <c r="N10033" s="17">
        <v>1</v>
      </c>
      <c r="O10033" s="18">
        <v>6996</v>
      </c>
      <c r="P10033" s="18">
        <v>5734.43</v>
      </c>
      <c r="Q10033" s="18">
        <v>5107.08</v>
      </c>
      <c r="R10033" s="18">
        <v>4186.13</v>
      </c>
      <c r="S10033" s="18">
        <v>4757.28</v>
      </c>
      <c r="T10033" s="18">
        <v>3899.41</v>
      </c>
      <c r="U10033" s="16"/>
      <c r="V10033" s="16"/>
      <c r="W10033" s="16" t="s">
        <v>40</v>
      </c>
      <c r="X10033" s="19">
        <v>0.96199999999999997</v>
      </c>
      <c r="Y10033" s="20">
        <v>3.5669999999999999E-3</v>
      </c>
      <c r="Z10033" s="21">
        <v>4601004237612</v>
      </c>
    </row>
    <row r="10034" spans="1:26" ht="12" customHeight="1" outlineLevel="4" x14ac:dyDescent="0.2">
      <c r="A10034" s="14" t="s">
        <v>19110</v>
      </c>
      <c r="B10034" s="26" t="s">
        <v>19111</v>
      </c>
      <c r="C10034" s="52"/>
      <c r="D10034" s="55">
        <f t="shared" si="156"/>
        <v>0</v>
      </c>
      <c r="E10034" s="63" t="str">
        <f>HYPERLINK("https://www.sds-group.ru/product/kabel-greyuschiy-dlya-obogreva-krovli-vodostokov-ploschadok-stupeney-grk-30-885-29-5-29-5m-r-51-0064/", "Инфо")</f>
        <v>Инфо</v>
      </c>
      <c r="F10034" s="16" t="s">
        <v>39</v>
      </c>
      <c r="G10034" s="15"/>
      <c r="H10034" s="15"/>
      <c r="I10034" s="15"/>
      <c r="J10034" s="17">
        <v>24</v>
      </c>
      <c r="K10034" s="15" t="s">
        <v>2750</v>
      </c>
      <c r="L10034" s="17">
        <v>1</v>
      </c>
      <c r="M10034" s="17">
        <v>1</v>
      </c>
      <c r="N10034" s="17">
        <v>1</v>
      </c>
      <c r="O10034" s="18">
        <v>9222</v>
      </c>
      <c r="P10034" s="18">
        <v>7559.02</v>
      </c>
      <c r="Q10034" s="18">
        <v>6732.06</v>
      </c>
      <c r="R10034" s="18">
        <v>5518.08</v>
      </c>
      <c r="S10034" s="18">
        <v>6270.96</v>
      </c>
      <c r="T10034" s="18">
        <v>5140.13</v>
      </c>
      <c r="U10034" s="16"/>
      <c r="V10034" s="16"/>
      <c r="W10034" s="16" t="s">
        <v>40</v>
      </c>
      <c r="X10034" s="19">
        <v>1.3959999999999999</v>
      </c>
      <c r="Y10034" s="20">
        <v>2.6229999999999999E-3</v>
      </c>
      <c r="Z10034" s="21">
        <v>4601004237629</v>
      </c>
    </row>
    <row r="10035" spans="1:26" ht="12" customHeight="1" outlineLevel="4" x14ac:dyDescent="0.2">
      <c r="A10035" s="32" t="s">
        <v>19112</v>
      </c>
      <c r="B10035" s="74" t="s">
        <v>19113</v>
      </c>
      <c r="C10035" s="50"/>
      <c r="D10035" s="53">
        <f t="shared" si="156"/>
        <v>0</v>
      </c>
      <c r="E10035" s="60" t="str">
        <f>HYPERLINK("https://www.sds-group.ru/product/kabel-greyuschiy-dlya-obogreva-otkrytyh-ploschadok-20vt-m-175m-rexant-51-0100/", "Инфо")</f>
        <v>Инфо</v>
      </c>
      <c r="F10035" s="34" t="s">
        <v>39</v>
      </c>
      <c r="G10035" s="33"/>
      <c r="H10035" s="33" t="s">
        <v>40</v>
      </c>
      <c r="I10035" s="33" t="s">
        <v>19114</v>
      </c>
      <c r="J10035" s="35">
        <v>1</v>
      </c>
      <c r="K10035" s="33"/>
      <c r="L10035" s="35">
        <v>1</v>
      </c>
      <c r="M10035" s="35">
        <v>1</v>
      </c>
      <c r="N10035" s="35">
        <v>1</v>
      </c>
      <c r="O10035" s="36">
        <v>12170.7</v>
      </c>
      <c r="P10035" s="36">
        <v>9975.98</v>
      </c>
      <c r="Q10035" s="36">
        <v>8519.49</v>
      </c>
      <c r="R10035" s="36">
        <v>6983.19</v>
      </c>
      <c r="S10035" s="36">
        <v>8276.08</v>
      </c>
      <c r="T10035" s="36">
        <v>6783.67</v>
      </c>
      <c r="U10035" s="34"/>
      <c r="V10035" s="34"/>
      <c r="W10035" s="34"/>
      <c r="X10035" s="37">
        <v>7.5510000000000002</v>
      </c>
      <c r="Y10035" s="38">
        <v>1.1520000000000001E-2</v>
      </c>
      <c r="Z10035" s="21">
        <v>4601004269903</v>
      </c>
    </row>
    <row r="10036" spans="1:26" ht="12.95" customHeight="1" outlineLevel="2" x14ac:dyDescent="0.2">
      <c r="A10036" s="76" t="s">
        <v>19115</v>
      </c>
      <c r="B10036" s="76"/>
      <c r="C10036" s="77"/>
      <c r="D10036" s="58"/>
      <c r="E10036" s="68"/>
      <c r="F10036" s="13"/>
      <c r="G10036" s="13"/>
      <c r="H10036" s="13"/>
      <c r="I10036" s="13"/>
      <c r="J10036" s="13"/>
      <c r="K10036" s="13"/>
      <c r="L10036" s="13"/>
      <c r="M10036" s="13"/>
      <c r="N10036" s="13"/>
      <c r="O10036" s="13"/>
      <c r="P10036" s="13"/>
      <c r="Q10036" s="13"/>
      <c r="R10036" s="13"/>
      <c r="S10036" s="13"/>
      <c r="T10036" s="13"/>
      <c r="U10036" s="13"/>
      <c r="V10036" s="13"/>
      <c r="W10036" s="13"/>
      <c r="X10036" s="13"/>
      <c r="Y10036" s="13"/>
      <c r="Z10036" s="13"/>
    </row>
    <row r="10037" spans="1:26" ht="12.95" customHeight="1" outlineLevel="3" x14ac:dyDescent="0.2">
      <c r="A10037" s="76" t="s">
        <v>19116</v>
      </c>
      <c r="B10037" s="76"/>
      <c r="C10037" s="77"/>
      <c r="D10037" s="58"/>
      <c r="E10037" s="68"/>
      <c r="F10037" s="13"/>
      <c r="G10037" s="13"/>
      <c r="H10037" s="13"/>
      <c r="I10037" s="13"/>
      <c r="J10037" s="13"/>
      <c r="K10037" s="13"/>
      <c r="L10037" s="13"/>
      <c r="M10037" s="13"/>
      <c r="N10037" s="13"/>
      <c r="O10037" s="13"/>
      <c r="P10037" s="13"/>
      <c r="Q10037" s="13"/>
      <c r="R10037" s="13"/>
      <c r="S10037" s="13"/>
      <c r="T10037" s="13"/>
      <c r="U10037" s="13"/>
      <c r="V10037" s="13"/>
      <c r="W10037" s="13"/>
      <c r="X10037" s="13"/>
      <c r="Y10037" s="13"/>
      <c r="Z10037" s="13"/>
    </row>
    <row r="10038" spans="1:26" ht="12" customHeight="1" outlineLevel="4" x14ac:dyDescent="0.2">
      <c r="A10038" s="40" t="s">
        <v>19117</v>
      </c>
      <c r="B10038" s="75" t="s">
        <v>19118</v>
      </c>
      <c r="C10038" s="51"/>
      <c r="D10038" s="54">
        <f t="shared" si="156"/>
        <v>0</v>
      </c>
      <c r="E10038" s="62"/>
      <c r="F10038" s="42" t="s">
        <v>39</v>
      </c>
      <c r="G10038" s="41" t="s">
        <v>40</v>
      </c>
      <c r="H10038" s="41"/>
      <c r="I10038" s="41"/>
      <c r="J10038" s="42" t="s">
        <v>100</v>
      </c>
      <c r="K10038" s="41"/>
      <c r="L10038" s="43">
        <v>1</v>
      </c>
      <c r="M10038" s="43">
        <v>1</v>
      </c>
      <c r="N10038" s="43">
        <v>1</v>
      </c>
      <c r="O10038" s="44">
        <v>31619.8</v>
      </c>
      <c r="P10038" s="44">
        <v>25917.87</v>
      </c>
      <c r="Q10038" s="44">
        <v>25295.84</v>
      </c>
      <c r="R10038" s="44">
        <v>20734.3</v>
      </c>
      <c r="S10038" s="44">
        <v>21501.46</v>
      </c>
      <c r="T10038" s="44">
        <v>17624.150000000001</v>
      </c>
      <c r="U10038" s="42"/>
      <c r="V10038" s="42"/>
      <c r="W10038" s="42" t="s">
        <v>40</v>
      </c>
      <c r="X10038" s="45">
        <v>0.497</v>
      </c>
      <c r="Y10038" s="46">
        <v>2.1180000000000001E-3</v>
      </c>
      <c r="Z10038" s="21">
        <v>4601004355033</v>
      </c>
    </row>
    <row r="10039" spans="1:26" ht="12" customHeight="1" outlineLevel="4" x14ac:dyDescent="0.2">
      <c r="A10039" s="14" t="s">
        <v>19119</v>
      </c>
      <c r="B10039" s="26" t="s">
        <v>19120</v>
      </c>
      <c r="C10039" s="52"/>
      <c r="D10039" s="55">
        <f t="shared" si="156"/>
        <v>0</v>
      </c>
      <c r="E10039" s="63" t="str">
        <f>HYPERLINK("https://www.sds-group.ru/product/termoregulyator-meteostantsiya-termostat-16a-04-na-din-reyku-rexant-51-0829/", "Инфо")</f>
        <v>Инфо</v>
      </c>
      <c r="F10039" s="16" t="s">
        <v>39</v>
      </c>
      <c r="G10039" s="15"/>
      <c r="H10039" s="15"/>
      <c r="I10039" s="15" t="s">
        <v>19121</v>
      </c>
      <c r="J10039" s="16" t="s">
        <v>100</v>
      </c>
      <c r="K10039" s="15"/>
      <c r="L10039" s="17">
        <v>1</v>
      </c>
      <c r="M10039" s="17">
        <v>1</v>
      </c>
      <c r="N10039" s="17">
        <v>1</v>
      </c>
      <c r="O10039" s="18">
        <v>18528.8</v>
      </c>
      <c r="P10039" s="18">
        <v>15187.54</v>
      </c>
      <c r="Q10039" s="18">
        <v>16675.919999999998</v>
      </c>
      <c r="R10039" s="18">
        <v>13668.79</v>
      </c>
      <c r="S10039" s="18">
        <v>12599.58</v>
      </c>
      <c r="T10039" s="18">
        <v>10327.52</v>
      </c>
      <c r="U10039" s="16"/>
      <c r="V10039" s="16"/>
      <c r="W10039" s="16" t="s">
        <v>40</v>
      </c>
      <c r="X10039" s="19">
        <v>0.246</v>
      </c>
      <c r="Y10039" s="20">
        <v>7.6800000000000002E-4</v>
      </c>
      <c r="Z10039" s="21">
        <v>4601004328228</v>
      </c>
    </row>
    <row r="10040" spans="1:26" ht="12" customHeight="1" outlineLevel="4" x14ac:dyDescent="0.2">
      <c r="A10040" s="14" t="s">
        <v>19122</v>
      </c>
      <c r="B10040" s="26" t="s">
        <v>19123</v>
      </c>
      <c r="C10040" s="52"/>
      <c r="D10040" s="55">
        <f t="shared" si="156"/>
        <v>0</v>
      </c>
      <c r="E10040" s="63" t="str">
        <f>HYPERLINK("https://www.sds-group.ru/product/termoregulyator-termostat-16a-01-na-din-reyku-rexant-51-0827/", "Инфо")</f>
        <v>Инфо</v>
      </c>
      <c r="F10040" s="16" t="s">
        <v>39</v>
      </c>
      <c r="G10040" s="15"/>
      <c r="H10040" s="15"/>
      <c r="I10040" s="15"/>
      <c r="J10040" s="17">
        <v>30</v>
      </c>
      <c r="K10040" s="15"/>
      <c r="L10040" s="17">
        <v>1</v>
      </c>
      <c r="M10040" s="17">
        <v>1</v>
      </c>
      <c r="N10040" s="17">
        <v>1</v>
      </c>
      <c r="O10040" s="18">
        <v>8613.3799999999992</v>
      </c>
      <c r="P10040" s="18">
        <v>7060.15</v>
      </c>
      <c r="Q10040" s="18">
        <v>7149.11</v>
      </c>
      <c r="R10040" s="18">
        <v>5859.93</v>
      </c>
      <c r="S10040" s="18">
        <v>5857.1</v>
      </c>
      <c r="T10040" s="18">
        <v>4800.8999999999996</v>
      </c>
      <c r="U10040" s="16"/>
      <c r="V10040" s="16"/>
      <c r="W10040" s="16" t="s">
        <v>40</v>
      </c>
      <c r="X10040" s="19">
        <v>0.17399999999999999</v>
      </c>
      <c r="Y10040" s="20">
        <v>7.76E-4</v>
      </c>
      <c r="Z10040" s="21">
        <v>4601004328075</v>
      </c>
    </row>
    <row r="10041" spans="1:26" ht="12" customHeight="1" outlineLevel="4" x14ac:dyDescent="0.2">
      <c r="A10041" s="14" t="s">
        <v>19124</v>
      </c>
      <c r="B10041" s="26" t="s">
        <v>19125</v>
      </c>
      <c r="C10041" s="52"/>
      <c r="D10041" s="55">
        <f t="shared" si="156"/>
        <v>0</v>
      </c>
      <c r="E10041" s="63" t="str">
        <f>HYPERLINK("https://www.sds-group.ru/product/termoregulyator-termostat-16a-03-na-din-reyku-rexant-51-0828/", "Инфо")</f>
        <v>Инфо</v>
      </c>
      <c r="F10041" s="16" t="s">
        <v>39</v>
      </c>
      <c r="G10041" s="15"/>
      <c r="H10041" s="15"/>
      <c r="I10041" s="15"/>
      <c r="J10041" s="17">
        <v>25</v>
      </c>
      <c r="K10041" s="15"/>
      <c r="L10041" s="17">
        <v>1</v>
      </c>
      <c r="M10041" s="17">
        <v>1</v>
      </c>
      <c r="N10041" s="17">
        <v>1</v>
      </c>
      <c r="O10041" s="18">
        <v>8242.56</v>
      </c>
      <c r="P10041" s="18">
        <v>6756.2</v>
      </c>
      <c r="Q10041" s="18">
        <v>7418.3</v>
      </c>
      <c r="R10041" s="18">
        <v>6080.57</v>
      </c>
      <c r="S10041" s="18">
        <v>5604.94</v>
      </c>
      <c r="T10041" s="18">
        <v>4594.21</v>
      </c>
      <c r="U10041" s="16"/>
      <c r="V10041" s="16"/>
      <c r="W10041" s="16" t="s">
        <v>40</v>
      </c>
      <c r="X10041" s="19">
        <v>0.17599999999999999</v>
      </c>
      <c r="Y10041" s="20">
        <v>7.6599999999999997E-4</v>
      </c>
      <c r="Z10041" s="21">
        <v>4601004328082</v>
      </c>
    </row>
    <row r="10042" spans="1:26" ht="12" customHeight="1" outlineLevel="4" x14ac:dyDescent="0.2">
      <c r="A10042" s="14" t="s">
        <v>19126</v>
      </c>
      <c r="B10042" s="26" t="s">
        <v>19127</v>
      </c>
      <c r="C10042" s="52"/>
      <c r="D10042" s="55">
        <f t="shared" si="156"/>
        <v>0</v>
      </c>
      <c r="E10042" s="63" t="str">
        <f>HYPERLINK("https://www.sds-group.ru/product/termoregulyator-termostat-16a-05-na-din-reyku-rexant-51-0830/", "Инфо")</f>
        <v>Инфо</v>
      </c>
      <c r="F10042" s="16" t="s">
        <v>39</v>
      </c>
      <c r="G10042" s="15"/>
      <c r="H10042" s="15"/>
      <c r="I10042" s="15" t="s">
        <v>19121</v>
      </c>
      <c r="J10042" s="17">
        <v>12</v>
      </c>
      <c r="K10042" s="15"/>
      <c r="L10042" s="17">
        <v>1</v>
      </c>
      <c r="M10042" s="17">
        <v>1</v>
      </c>
      <c r="N10042" s="17">
        <v>1</v>
      </c>
      <c r="O10042" s="18">
        <v>13205.75</v>
      </c>
      <c r="P10042" s="18">
        <v>10824.39</v>
      </c>
      <c r="Q10042" s="18">
        <v>10960.77</v>
      </c>
      <c r="R10042" s="18">
        <v>8984.24</v>
      </c>
      <c r="S10042" s="18">
        <v>8979.91</v>
      </c>
      <c r="T10042" s="18">
        <v>7360.58</v>
      </c>
      <c r="U10042" s="16"/>
      <c r="V10042" s="16"/>
      <c r="W10042" s="16" t="s">
        <v>40</v>
      </c>
      <c r="X10042" s="19">
        <v>0.20699999999999999</v>
      </c>
      <c r="Y10042" s="20">
        <v>1.668E-3</v>
      </c>
      <c r="Z10042" s="21">
        <v>4601004328204</v>
      </c>
    </row>
    <row r="10043" spans="1:26" ht="12" customHeight="1" outlineLevel="4" x14ac:dyDescent="0.2">
      <c r="A10043" s="14" t="s">
        <v>19128</v>
      </c>
      <c r="B10043" s="26" t="s">
        <v>19129</v>
      </c>
      <c r="C10043" s="52"/>
      <c r="D10043" s="55">
        <f t="shared" si="156"/>
        <v>0</v>
      </c>
      <c r="E10043" s="63" t="str">
        <f>HYPERLINK("https://www.sds-group.ru/product/termoregulyator-tsifrovoy-rx-257-programmiruemyy-c-diapazonami-raboty-na-din-reyku-rexant-51-0821/", "Инфо")</f>
        <v>Инфо</v>
      </c>
      <c r="F10043" s="16" t="s">
        <v>39</v>
      </c>
      <c r="G10043" s="15"/>
      <c r="H10043" s="15"/>
      <c r="I10043" s="15"/>
      <c r="J10043" s="17">
        <v>141</v>
      </c>
      <c r="K10043" s="15"/>
      <c r="L10043" s="17">
        <v>1</v>
      </c>
      <c r="M10043" s="17">
        <v>39</v>
      </c>
      <c r="N10043" s="17">
        <v>1</v>
      </c>
      <c r="O10043" s="18">
        <v>7079.31</v>
      </c>
      <c r="P10043" s="18">
        <v>5802.71</v>
      </c>
      <c r="Q10043" s="18">
        <v>5167.8999999999996</v>
      </c>
      <c r="R10043" s="18">
        <v>4235.9799999999996</v>
      </c>
      <c r="S10043" s="18">
        <v>4813.93</v>
      </c>
      <c r="T10043" s="18">
        <v>3945.84</v>
      </c>
      <c r="U10043" s="16"/>
      <c r="V10043" s="16"/>
      <c r="W10043" s="16" t="s">
        <v>40</v>
      </c>
      <c r="X10043" s="19">
        <v>0.187</v>
      </c>
      <c r="Y10043" s="20">
        <v>6.4800000000000003E-4</v>
      </c>
      <c r="Z10043" s="21">
        <v>4601004265738</v>
      </c>
    </row>
    <row r="10044" spans="1:26" ht="12.95" customHeight="1" outlineLevel="3" x14ac:dyDescent="0.2">
      <c r="A10044" s="76" t="s">
        <v>19130</v>
      </c>
      <c r="B10044" s="76"/>
      <c r="C10044" s="77"/>
      <c r="D10044" s="58"/>
      <c r="E10044" s="68"/>
      <c r="F10044" s="13"/>
      <c r="G10044" s="13"/>
      <c r="H10044" s="13"/>
      <c r="I10044" s="13"/>
      <c r="J10044" s="13"/>
      <c r="K10044" s="13"/>
      <c r="L10044" s="13"/>
      <c r="M10044" s="13"/>
      <c r="N10044" s="13"/>
      <c r="O10044" s="13"/>
      <c r="P10044" s="13"/>
      <c r="Q10044" s="13"/>
      <c r="R10044" s="13"/>
      <c r="S10044" s="13"/>
      <c r="T10044" s="13"/>
      <c r="U10044" s="13"/>
      <c r="V10044" s="13"/>
      <c r="W10044" s="13"/>
      <c r="X10044" s="13"/>
      <c r="Y10044" s="13"/>
      <c r="Z10044" s="13"/>
    </row>
    <row r="10045" spans="1:26" ht="12" customHeight="1" outlineLevel="4" x14ac:dyDescent="0.2">
      <c r="A10045" s="14" t="s">
        <v>19131</v>
      </c>
      <c r="B10045" s="26" t="s">
        <v>19132</v>
      </c>
      <c r="C10045" s="52"/>
      <c r="D10045" s="55">
        <f t="shared" si="156"/>
        <v>0</v>
      </c>
      <c r="E10045" s="63" t="str">
        <f>HYPERLINK("https://www.sds-group.ru/product/termoregulyator-termostat-pipe-40a-ip65-rexant-51-0841/", "Инфо")</f>
        <v>Инфо</v>
      </c>
      <c r="F10045" s="16" t="s">
        <v>39</v>
      </c>
      <c r="G10045" s="15"/>
      <c r="H10045" s="15"/>
      <c r="I10045" s="15"/>
      <c r="J10045" s="17">
        <v>9</v>
      </c>
      <c r="K10045" s="15"/>
      <c r="L10045" s="17">
        <v>1</v>
      </c>
      <c r="M10045" s="17">
        <v>1</v>
      </c>
      <c r="N10045" s="17">
        <v>1</v>
      </c>
      <c r="O10045" s="18">
        <v>19938.599999999999</v>
      </c>
      <c r="P10045" s="18">
        <v>16343.11</v>
      </c>
      <c r="Q10045" s="18">
        <v>17944.740000000002</v>
      </c>
      <c r="R10045" s="18">
        <v>14708.8</v>
      </c>
      <c r="S10045" s="18">
        <v>13558.25</v>
      </c>
      <c r="T10045" s="18">
        <v>11113.32</v>
      </c>
      <c r="U10045" s="16"/>
      <c r="V10045" s="16"/>
      <c r="W10045" s="16" t="s">
        <v>40</v>
      </c>
      <c r="X10045" s="19">
        <v>0.56100000000000005</v>
      </c>
      <c r="Y10045" s="20">
        <v>2.1320000000000002E-3</v>
      </c>
      <c r="Z10045" s="21">
        <v>4601004328181</v>
      </c>
    </row>
    <row r="10046" spans="1:26" ht="12" customHeight="1" outlineLevel="4" x14ac:dyDescent="0.2">
      <c r="A10046" s="14" t="s">
        <v>19133</v>
      </c>
      <c r="B10046" s="26" t="s">
        <v>19134</v>
      </c>
      <c r="C10046" s="52"/>
      <c r="D10046" s="55">
        <f t="shared" si="156"/>
        <v>0</v>
      </c>
      <c r="E10046" s="63" t="str">
        <f>HYPERLINK("https://www.sds-group.ru/product/termoregulyator-termostat-road-40a-ip65-rexant-51-0842/", "Инфо")</f>
        <v>Инфо</v>
      </c>
      <c r="F10046" s="16" t="s">
        <v>39</v>
      </c>
      <c r="G10046" s="15"/>
      <c r="H10046" s="15"/>
      <c r="I10046" s="15" t="s">
        <v>19135</v>
      </c>
      <c r="J10046" s="16" t="s">
        <v>100</v>
      </c>
      <c r="K10046" s="15"/>
      <c r="L10046" s="17">
        <v>1</v>
      </c>
      <c r="M10046" s="17">
        <v>1</v>
      </c>
      <c r="N10046" s="17">
        <v>1</v>
      </c>
      <c r="O10046" s="18">
        <v>19938.599999999999</v>
      </c>
      <c r="P10046" s="18">
        <v>16343.11</v>
      </c>
      <c r="Q10046" s="18">
        <v>17944.740000000002</v>
      </c>
      <c r="R10046" s="18">
        <v>14708.8</v>
      </c>
      <c r="S10046" s="18">
        <v>13558.25</v>
      </c>
      <c r="T10046" s="18">
        <v>11113.32</v>
      </c>
      <c r="U10046" s="16"/>
      <c r="V10046" s="16"/>
      <c r="W10046" s="16" t="s">
        <v>40</v>
      </c>
      <c r="X10046" s="19">
        <v>0.57599999999999996</v>
      </c>
      <c r="Y10046" s="20">
        <v>2.2409999999999999E-3</v>
      </c>
      <c r="Z10046" s="21">
        <v>4601004328198</v>
      </c>
    </row>
    <row r="10047" spans="1:26" ht="12.95" customHeight="1" outlineLevel="3" x14ac:dyDescent="0.2">
      <c r="A10047" s="76" t="s">
        <v>19136</v>
      </c>
      <c r="B10047" s="76"/>
      <c r="C10047" s="77"/>
      <c r="D10047" s="58"/>
      <c r="E10047" s="68"/>
      <c r="F10047" s="13"/>
      <c r="G10047" s="13"/>
      <c r="H10047" s="13"/>
      <c r="I10047" s="13"/>
      <c r="J10047" s="13"/>
      <c r="K10047" s="13"/>
      <c r="L10047" s="13"/>
      <c r="M10047" s="13"/>
      <c r="N10047" s="13"/>
      <c r="O10047" s="13"/>
      <c r="P10047" s="13"/>
      <c r="Q10047" s="13"/>
      <c r="R10047" s="13"/>
      <c r="S10047" s="13"/>
      <c r="T10047" s="13"/>
      <c r="U10047" s="13"/>
      <c r="V10047" s="13"/>
      <c r="W10047" s="13"/>
      <c r="X10047" s="13"/>
      <c r="Y10047" s="13"/>
      <c r="Z10047" s="13"/>
    </row>
    <row r="10048" spans="1:26" ht="12" customHeight="1" outlineLevel="4" x14ac:dyDescent="0.2">
      <c r="A10048" s="14" t="s">
        <v>19137</v>
      </c>
      <c r="B10048" s="26" t="s">
        <v>19138</v>
      </c>
      <c r="C10048" s="52"/>
      <c r="D10048" s="55">
        <f t="shared" si="156"/>
        <v>0</v>
      </c>
      <c r="E10048" s="63" t="str">
        <f>HYPERLINK("https://www.sds-group.ru/product/termoregulyator-mehanicheskiy-rx-514-dlya-sistem-antiobledeneniya-rexant-51-0822/", "Инфо")</f>
        <v>Инфо</v>
      </c>
      <c r="F10048" s="16" t="s">
        <v>39</v>
      </c>
      <c r="G10048" s="15"/>
      <c r="H10048" s="15"/>
      <c r="I10048" s="15"/>
      <c r="J10048" s="17">
        <v>36</v>
      </c>
      <c r="K10048" s="15"/>
      <c r="L10048" s="17">
        <v>1</v>
      </c>
      <c r="M10048" s="17">
        <v>39</v>
      </c>
      <c r="N10048" s="17">
        <v>1</v>
      </c>
      <c r="O10048" s="18">
        <v>4273.45</v>
      </c>
      <c r="P10048" s="18">
        <v>3502.83</v>
      </c>
      <c r="Q10048" s="18">
        <v>3119.62</v>
      </c>
      <c r="R10048" s="18">
        <v>2557.0700000000002</v>
      </c>
      <c r="S10048" s="18">
        <v>2905.95</v>
      </c>
      <c r="T10048" s="18">
        <v>2381.9299999999998</v>
      </c>
      <c r="U10048" s="16"/>
      <c r="V10048" s="16"/>
      <c r="W10048" s="16" t="s">
        <v>40</v>
      </c>
      <c r="X10048" s="19">
        <v>0.16300000000000001</v>
      </c>
      <c r="Y10048" s="20">
        <v>6.5200000000000002E-4</v>
      </c>
      <c r="Z10048" s="21">
        <v>4601004265745</v>
      </c>
    </row>
    <row r="10049" spans="1:26" ht="12.95" customHeight="1" outlineLevel="3" x14ac:dyDescent="0.2">
      <c r="A10049" s="76" t="s">
        <v>19139</v>
      </c>
      <c r="B10049" s="76"/>
      <c r="C10049" s="77"/>
      <c r="D10049" s="58"/>
      <c r="E10049" s="68"/>
      <c r="F10049" s="13"/>
      <c r="G10049" s="13"/>
      <c r="H10049" s="13"/>
      <c r="I10049" s="13"/>
      <c r="J10049" s="13"/>
      <c r="K10049" s="13"/>
      <c r="L10049" s="13"/>
      <c r="M10049" s="13"/>
      <c r="N10049" s="13"/>
      <c r="O10049" s="13"/>
      <c r="P10049" s="13"/>
      <c r="Q10049" s="13"/>
      <c r="R10049" s="13"/>
      <c r="S10049" s="13"/>
      <c r="T10049" s="13"/>
      <c r="U10049" s="13"/>
      <c r="V10049" s="13"/>
      <c r="W10049" s="13"/>
      <c r="X10049" s="13"/>
      <c r="Y10049" s="13"/>
      <c r="Z10049" s="13"/>
    </row>
    <row r="10050" spans="1:26" ht="12" customHeight="1" outlineLevel="4" x14ac:dyDescent="0.2">
      <c r="A10050" s="14" t="s">
        <v>19140</v>
      </c>
      <c r="B10050" s="26" t="s">
        <v>19141</v>
      </c>
      <c r="C10050" s="52"/>
      <c r="D10050" s="55">
        <f t="shared" si="156"/>
        <v>0</v>
      </c>
      <c r="E10050" s="63" t="str">
        <f>HYPERLINK("https://www.sds-group.ru/product/datchik-vodi-watsen-0-3m-rexant-31592/", "Инфо")</f>
        <v>Инфо</v>
      </c>
      <c r="F10050" s="16" t="s">
        <v>39</v>
      </c>
      <c r="G10050" s="15"/>
      <c r="H10050" s="15"/>
      <c r="I10050" s="15"/>
      <c r="J10050" s="17">
        <v>30</v>
      </c>
      <c r="K10050" s="15"/>
      <c r="L10050" s="17">
        <v>1</v>
      </c>
      <c r="M10050" s="17">
        <v>1</v>
      </c>
      <c r="N10050" s="17">
        <v>1</v>
      </c>
      <c r="O10050" s="18">
        <v>2641.15</v>
      </c>
      <c r="P10050" s="18">
        <v>2164.88</v>
      </c>
      <c r="Q10050" s="18">
        <v>2192.15</v>
      </c>
      <c r="R10050" s="18">
        <v>1796.84</v>
      </c>
      <c r="S10050" s="18">
        <v>1795.98</v>
      </c>
      <c r="T10050" s="18">
        <v>1472.11</v>
      </c>
      <c r="U10050" s="16"/>
      <c r="V10050" s="16"/>
      <c r="W10050" s="16" t="s">
        <v>40</v>
      </c>
      <c r="X10050" s="19">
        <v>0.02</v>
      </c>
      <c r="Y10050" s="20">
        <v>4.1399999999999998E-4</v>
      </c>
      <c r="Z10050" s="21">
        <v>4601004328129</v>
      </c>
    </row>
    <row r="10051" spans="1:26" ht="12" customHeight="1" outlineLevel="4" x14ac:dyDescent="0.2">
      <c r="A10051" s="14" t="s">
        <v>19142</v>
      </c>
      <c r="B10051" s="26" t="s">
        <v>19143</v>
      </c>
      <c r="C10051" s="52"/>
      <c r="D10051" s="55">
        <f t="shared" si="156"/>
        <v>0</v>
      </c>
      <c r="E10051" s="63" t="str">
        <f>HYPERLINK("https://www.sds-group.ru/product/datchik-osadkov-watsen-sky-s-blokom-pitaniya-rexant-51-1009/", "Инфо")</f>
        <v>Инфо</v>
      </c>
      <c r="F10051" s="16" t="s">
        <v>39</v>
      </c>
      <c r="G10051" s="15"/>
      <c r="H10051" s="15"/>
      <c r="I10051" s="15" t="s">
        <v>19121</v>
      </c>
      <c r="J10051" s="17">
        <v>1</v>
      </c>
      <c r="K10051" s="15" t="s">
        <v>1094</v>
      </c>
      <c r="L10051" s="17">
        <v>1</v>
      </c>
      <c r="M10051" s="17">
        <v>1</v>
      </c>
      <c r="N10051" s="17">
        <v>1</v>
      </c>
      <c r="O10051" s="18">
        <v>9667.2000000000007</v>
      </c>
      <c r="P10051" s="18">
        <v>7923.93</v>
      </c>
      <c r="Q10051" s="18">
        <v>8700.48</v>
      </c>
      <c r="R10051" s="18">
        <v>7131.54</v>
      </c>
      <c r="S10051" s="18">
        <v>6573.7</v>
      </c>
      <c r="T10051" s="18">
        <v>5388.28</v>
      </c>
      <c r="U10051" s="16"/>
      <c r="V10051" s="16"/>
      <c r="W10051" s="16" t="s">
        <v>40</v>
      </c>
      <c r="X10051" s="19">
        <v>0.46</v>
      </c>
      <c r="Y10051" s="20">
        <v>1.5510000000000001E-3</v>
      </c>
      <c r="Z10051" s="21">
        <v>4601004328211</v>
      </c>
    </row>
    <row r="10052" spans="1:26" ht="12" customHeight="1" outlineLevel="4" x14ac:dyDescent="0.2">
      <c r="A10052" s="14" t="s">
        <v>19144</v>
      </c>
      <c r="B10052" s="26" t="s">
        <v>19145</v>
      </c>
      <c r="C10052" s="52"/>
      <c r="D10052" s="55">
        <f t="shared" si="156"/>
        <v>0</v>
      </c>
      <c r="E10052" s="63" t="str">
        <f>HYPERLINK("https://www.sds-group.ru/product/datchik-temperatury-analogovyy-temp-a-7-6-8kom-2m-rexant-51-1006/", "Инфо")</f>
        <v>Инфо</v>
      </c>
      <c r="F10052" s="16" t="s">
        <v>39</v>
      </c>
      <c r="G10052" s="15"/>
      <c r="H10052" s="15"/>
      <c r="I10052" s="15" t="s">
        <v>19146</v>
      </c>
      <c r="J10052" s="16" t="s">
        <v>100</v>
      </c>
      <c r="K10052" s="15"/>
      <c r="L10052" s="17">
        <v>1</v>
      </c>
      <c r="M10052" s="17">
        <v>1</v>
      </c>
      <c r="N10052" s="17">
        <v>1</v>
      </c>
      <c r="O10052" s="18">
        <v>1369.09</v>
      </c>
      <c r="P10052" s="18">
        <v>1122.2</v>
      </c>
      <c r="Q10052" s="18">
        <v>1136.3399999999999</v>
      </c>
      <c r="R10052" s="18">
        <v>931.43</v>
      </c>
      <c r="S10052" s="18">
        <v>930.98</v>
      </c>
      <c r="T10052" s="18">
        <v>763.1</v>
      </c>
      <c r="U10052" s="16"/>
      <c r="V10052" s="16"/>
      <c r="W10052" s="16" t="s">
        <v>40</v>
      </c>
      <c r="X10052" s="19">
        <v>4.2999999999999997E-2</v>
      </c>
      <c r="Y10052" s="20">
        <v>2.9100000000000003E-4</v>
      </c>
      <c r="Z10052" s="21">
        <v>4601004328150</v>
      </c>
    </row>
    <row r="10053" spans="1:26" ht="12.95" customHeight="1" outlineLevel="3" x14ac:dyDescent="0.2">
      <c r="A10053" s="76" t="s">
        <v>19147</v>
      </c>
      <c r="B10053" s="76"/>
      <c r="C10053" s="77"/>
      <c r="D10053" s="58"/>
      <c r="E10053" s="68"/>
      <c r="F10053" s="13"/>
      <c r="G10053" s="13"/>
      <c r="H10053" s="13"/>
      <c r="I10053" s="13"/>
      <c r="J10053" s="13"/>
      <c r="K10053" s="13"/>
      <c r="L10053" s="13"/>
      <c r="M10053" s="13"/>
      <c r="N10053" s="13"/>
      <c r="O10053" s="13"/>
      <c r="P10053" s="13"/>
      <c r="Q10053" s="13"/>
      <c r="R10053" s="13"/>
      <c r="S10053" s="13"/>
      <c r="T10053" s="13"/>
      <c r="U10053" s="13"/>
      <c r="V10053" s="13"/>
      <c r="W10053" s="13"/>
      <c r="X10053" s="13"/>
      <c r="Y10053" s="13"/>
      <c r="Z10053" s="13"/>
    </row>
    <row r="10054" spans="1:26" ht="12" customHeight="1" outlineLevel="4" x14ac:dyDescent="0.2">
      <c r="A10054" s="14" t="s">
        <v>19148</v>
      </c>
      <c r="B10054" s="26" t="s">
        <v>19149</v>
      </c>
      <c r="C10054" s="52"/>
      <c r="D10054" s="55">
        <f t="shared" si="156"/>
        <v>0</v>
      </c>
      <c r="E10054" s="63" t="str">
        <f>HYPERLINK("https://www.sds-group.ru/product/boks-vsepogodnyy-zaschitnyy-rexbox-100h100h55-ip65-s-klemmnym-naborom-rexant-51-1051/", "Инфо")</f>
        <v>Инфо</v>
      </c>
      <c r="F10054" s="16" t="s">
        <v>39</v>
      </c>
      <c r="G10054" s="15"/>
      <c r="H10054" s="15"/>
      <c r="I10054" s="15"/>
      <c r="J10054" s="17">
        <v>143</v>
      </c>
      <c r="K10054" s="15"/>
      <c r="L10054" s="17">
        <v>1</v>
      </c>
      <c r="M10054" s="17">
        <v>1</v>
      </c>
      <c r="N10054" s="17">
        <v>1</v>
      </c>
      <c r="O10054" s="18">
        <v>4833.6000000000004</v>
      </c>
      <c r="P10054" s="18">
        <v>3961.97</v>
      </c>
      <c r="Q10054" s="18">
        <v>4350.24</v>
      </c>
      <c r="R10054" s="18">
        <v>3565.77</v>
      </c>
      <c r="S10054" s="18">
        <v>3286.85</v>
      </c>
      <c r="T10054" s="18">
        <v>2694.14</v>
      </c>
      <c r="U10054" s="16"/>
      <c r="V10054" s="16"/>
      <c r="W10054" s="16" t="s">
        <v>40</v>
      </c>
      <c r="X10054" s="19">
        <v>0.18</v>
      </c>
      <c r="Y10054" s="20">
        <v>5.1500000000000005E-4</v>
      </c>
      <c r="Z10054" s="21">
        <v>4601004328136</v>
      </c>
    </row>
    <row r="10055" spans="1:26" ht="12" customHeight="1" outlineLevel="4" x14ac:dyDescent="0.2">
      <c r="A10055" s="14" t="s">
        <v>19150</v>
      </c>
      <c r="B10055" s="26" t="s">
        <v>19151</v>
      </c>
      <c r="C10055" s="52"/>
      <c r="D10055" s="55">
        <f t="shared" si="156"/>
        <v>0</v>
      </c>
      <c r="E10055" s="63" t="str">
        <f>HYPERLINK("https://www.sds-group.ru/product/boks-vsepogodnyy-zaschitnyy-rexbox-200h150h75-ip65-s-klemmnym-naborom-rexant-51-1052/", "Инфо")</f>
        <v>Инфо</v>
      </c>
      <c r="F10055" s="16" t="s">
        <v>39</v>
      </c>
      <c r="G10055" s="15"/>
      <c r="H10055" s="15"/>
      <c r="I10055" s="15"/>
      <c r="J10055" s="16" t="s">
        <v>100</v>
      </c>
      <c r="K10055" s="15"/>
      <c r="L10055" s="17">
        <v>1</v>
      </c>
      <c r="M10055" s="17">
        <v>1</v>
      </c>
      <c r="N10055" s="17">
        <v>1</v>
      </c>
      <c r="O10055" s="18">
        <v>7845.7</v>
      </c>
      <c r="P10055" s="18">
        <v>6430.9</v>
      </c>
      <c r="Q10055" s="18">
        <v>7061.13</v>
      </c>
      <c r="R10055" s="18">
        <v>5787.81</v>
      </c>
      <c r="S10055" s="18">
        <v>5335.08</v>
      </c>
      <c r="T10055" s="18">
        <v>4373.0200000000004</v>
      </c>
      <c r="U10055" s="16"/>
      <c r="V10055" s="16"/>
      <c r="W10055" s="16" t="s">
        <v>40</v>
      </c>
      <c r="X10055" s="19">
        <v>0.44500000000000001</v>
      </c>
      <c r="Y10055" s="20">
        <v>2.0790000000000001E-3</v>
      </c>
      <c r="Z10055" s="21">
        <v>4601004328174</v>
      </c>
    </row>
    <row r="10056" spans="1:26" ht="12" customHeight="1" outlineLevel="4" x14ac:dyDescent="0.2">
      <c r="A10056" s="40" t="s">
        <v>19152</v>
      </c>
      <c r="B10056" s="75" t="s">
        <v>19153</v>
      </c>
      <c r="C10056" s="51"/>
      <c r="D10056" s="54">
        <f t="shared" si="156"/>
        <v>0</v>
      </c>
      <c r="E10056" s="62"/>
      <c r="F10056" s="42" t="s">
        <v>39</v>
      </c>
      <c r="G10056" s="41" t="s">
        <v>40</v>
      </c>
      <c r="H10056" s="41"/>
      <c r="I10056" s="41"/>
      <c r="J10056" s="43">
        <v>300</v>
      </c>
      <c r="K10056" s="41"/>
      <c r="L10056" s="43">
        <v>1</v>
      </c>
      <c r="M10056" s="43">
        <v>10</v>
      </c>
      <c r="N10056" s="43">
        <v>1</v>
      </c>
      <c r="O10056" s="44">
        <v>643.88</v>
      </c>
      <c r="P10056" s="44">
        <v>527.77</v>
      </c>
      <c r="Q10056" s="44">
        <v>643.88</v>
      </c>
      <c r="R10056" s="44">
        <v>527.77</v>
      </c>
      <c r="S10056" s="44">
        <v>437.84</v>
      </c>
      <c r="T10056" s="44">
        <v>358.89</v>
      </c>
      <c r="U10056" s="42"/>
      <c r="V10056" s="42"/>
      <c r="W10056" s="42" t="s">
        <v>40</v>
      </c>
      <c r="X10056" s="45">
        <v>2.3E-2</v>
      </c>
      <c r="Y10056" s="46">
        <v>3.1500000000000001E-4</v>
      </c>
      <c r="Z10056" s="21">
        <v>4601004342620</v>
      </c>
    </row>
    <row r="10057" spans="1:26" ht="12" customHeight="1" outlineLevel="4" x14ac:dyDescent="0.2">
      <c r="A10057" s="40" t="s">
        <v>19154</v>
      </c>
      <c r="B10057" s="75" t="s">
        <v>19155</v>
      </c>
      <c r="C10057" s="51"/>
      <c r="D10057" s="54">
        <f t="shared" ref="D10057:D10120" si="157">C10057*(O10057-O10057*$G$3)</f>
        <v>0</v>
      </c>
      <c r="E10057" s="61" t="str">
        <f>HYPERLINK("https://www.sds-group.ru/product/korobka-indikatornaya-termbox-ex-120sln-dlya-samoreguliruyuschihsya-i-rezistivnyh-kabeley-s--51-1061/", "Инфо")</f>
        <v>Инфо</v>
      </c>
      <c r="F10057" s="42" t="s">
        <v>39</v>
      </c>
      <c r="G10057" s="41" t="s">
        <v>40</v>
      </c>
      <c r="H10057" s="41"/>
      <c r="I10057" s="41"/>
      <c r="J10057" s="43">
        <v>25</v>
      </c>
      <c r="K10057" s="41"/>
      <c r="L10057" s="43">
        <v>1</v>
      </c>
      <c r="M10057" s="43">
        <v>1</v>
      </c>
      <c r="N10057" s="43">
        <v>1</v>
      </c>
      <c r="O10057" s="44">
        <v>13969.31</v>
      </c>
      <c r="P10057" s="44">
        <v>11450.25</v>
      </c>
      <c r="Q10057" s="44">
        <v>13969.31</v>
      </c>
      <c r="R10057" s="44">
        <v>11450.25</v>
      </c>
      <c r="S10057" s="44">
        <v>9499.1299999999992</v>
      </c>
      <c r="T10057" s="44">
        <v>7786.17</v>
      </c>
      <c r="U10057" s="42"/>
      <c r="V10057" s="42"/>
      <c r="W10057" s="42" t="s">
        <v>40</v>
      </c>
      <c r="X10057" s="45">
        <v>1.22</v>
      </c>
      <c r="Y10057" s="46">
        <v>4.1450000000000002E-3</v>
      </c>
      <c r="Z10057" s="21">
        <v>4601004342484</v>
      </c>
    </row>
    <row r="10058" spans="1:26" ht="12" customHeight="1" outlineLevel="4" x14ac:dyDescent="0.2">
      <c r="A10058" s="40" t="s">
        <v>19156</v>
      </c>
      <c r="B10058" s="75" t="s">
        <v>19157</v>
      </c>
      <c r="C10058" s="51"/>
      <c r="D10058" s="54">
        <f t="shared" si="157"/>
        <v>0</v>
      </c>
      <c r="E10058" s="61" t="str">
        <f>HYPERLINK("https://www.sds-group.ru/product/korobka-soedinitelnaya-termbox-ex-120-dlya-samoreguliruyuschegosya-kabelya-rexant-51-1056/", "Инфо")</f>
        <v>Инфо</v>
      </c>
      <c r="F10058" s="42" t="s">
        <v>39</v>
      </c>
      <c r="G10058" s="41" t="s">
        <v>40</v>
      </c>
      <c r="H10058" s="41"/>
      <c r="I10058" s="41"/>
      <c r="J10058" s="43">
        <v>43</v>
      </c>
      <c r="K10058" s="41"/>
      <c r="L10058" s="43">
        <v>1</v>
      </c>
      <c r="M10058" s="43">
        <v>1</v>
      </c>
      <c r="N10058" s="43">
        <v>1</v>
      </c>
      <c r="O10058" s="44">
        <v>9938.08</v>
      </c>
      <c r="P10058" s="44">
        <v>8145.97</v>
      </c>
      <c r="Q10058" s="44">
        <v>9938.08</v>
      </c>
      <c r="R10058" s="44">
        <v>8145.97</v>
      </c>
      <c r="S10058" s="44">
        <v>6757.89</v>
      </c>
      <c r="T10058" s="44">
        <v>5539.25</v>
      </c>
      <c r="U10058" s="42"/>
      <c r="V10058" s="42"/>
      <c r="W10058" s="42" t="s">
        <v>40</v>
      </c>
      <c r="X10058" s="45">
        <v>1.169</v>
      </c>
      <c r="Y10058" s="46">
        <v>4.1489999999999999E-3</v>
      </c>
      <c r="Z10058" s="21">
        <v>4601004342439</v>
      </c>
    </row>
    <row r="10059" spans="1:26" ht="12" customHeight="1" outlineLevel="4" x14ac:dyDescent="0.2">
      <c r="A10059" s="40" t="s">
        <v>19158</v>
      </c>
      <c r="B10059" s="75" t="s">
        <v>19159</v>
      </c>
      <c r="C10059" s="51"/>
      <c r="D10059" s="54">
        <f t="shared" si="157"/>
        <v>0</v>
      </c>
      <c r="E10059" s="61" t="str">
        <f>HYPERLINK("https://www.sds-group.ru/product/korobka-soedinitelnaya-termbox-ex-120n-dlya-samoreguliruyuschegosya-kabelya-s-vvodom-pod-tep-51-1057/", "Инфо")</f>
        <v>Инфо</v>
      </c>
      <c r="F10059" s="42" t="s">
        <v>39</v>
      </c>
      <c r="G10059" s="41" t="s">
        <v>40</v>
      </c>
      <c r="H10059" s="41"/>
      <c r="I10059" s="41"/>
      <c r="J10059" s="43">
        <v>45</v>
      </c>
      <c r="K10059" s="41"/>
      <c r="L10059" s="43">
        <v>1</v>
      </c>
      <c r="M10059" s="43">
        <v>1</v>
      </c>
      <c r="N10059" s="43">
        <v>1</v>
      </c>
      <c r="O10059" s="44">
        <v>11477.79</v>
      </c>
      <c r="P10059" s="44">
        <v>9408.02</v>
      </c>
      <c r="Q10059" s="44">
        <v>11477.79</v>
      </c>
      <c r="R10059" s="44">
        <v>9408.02</v>
      </c>
      <c r="S10059" s="44">
        <v>7804.9</v>
      </c>
      <c r="T10059" s="44">
        <v>6397.46</v>
      </c>
      <c r="U10059" s="42"/>
      <c r="V10059" s="42"/>
      <c r="W10059" s="42" t="s">
        <v>40</v>
      </c>
      <c r="X10059" s="45">
        <v>1.383</v>
      </c>
      <c r="Y10059" s="46">
        <v>4.019E-3</v>
      </c>
      <c r="Z10059" s="21">
        <v>4601004342446</v>
      </c>
    </row>
    <row r="10060" spans="1:26" ht="12" customHeight="1" outlineLevel="4" x14ac:dyDescent="0.2">
      <c r="A10060" s="40" t="s">
        <v>19160</v>
      </c>
      <c r="B10060" s="75" t="s">
        <v>19161</v>
      </c>
      <c r="C10060" s="51"/>
      <c r="D10060" s="54">
        <f t="shared" si="157"/>
        <v>0</v>
      </c>
      <c r="E10060" s="61" t="str">
        <f>HYPERLINK("https://www.sds-group.ru/product/korobka-soedinitelnaya-termbox-ex-120sn-dlya-podklyucheniya-datchikov-i-sistem-upravleniya-s-51-1059/", "Инфо")</f>
        <v>Инфо</v>
      </c>
      <c r="F10060" s="42" t="s">
        <v>39</v>
      </c>
      <c r="G10060" s="41" t="s">
        <v>40</v>
      </c>
      <c r="H10060" s="41"/>
      <c r="I10060" s="41"/>
      <c r="J10060" s="43">
        <v>21</v>
      </c>
      <c r="K10060" s="41"/>
      <c r="L10060" s="43">
        <v>1</v>
      </c>
      <c r="M10060" s="43">
        <v>1</v>
      </c>
      <c r="N10060" s="43">
        <v>1</v>
      </c>
      <c r="O10060" s="44">
        <v>11001.88</v>
      </c>
      <c r="P10060" s="44">
        <v>9017.93</v>
      </c>
      <c r="Q10060" s="44">
        <v>11001.88</v>
      </c>
      <c r="R10060" s="44">
        <v>9017.93</v>
      </c>
      <c r="S10060" s="44">
        <v>7481.28</v>
      </c>
      <c r="T10060" s="44">
        <v>6132.2</v>
      </c>
      <c r="U10060" s="42"/>
      <c r="V10060" s="42"/>
      <c r="W10060" s="42" t="s">
        <v>40</v>
      </c>
      <c r="X10060" s="45">
        <v>1.32</v>
      </c>
      <c r="Y10060" s="46">
        <v>4.0790000000000002E-3</v>
      </c>
      <c r="Z10060" s="21">
        <v>4601004342460</v>
      </c>
    </row>
    <row r="10061" spans="1:26" ht="12" customHeight="1" outlineLevel="4" x14ac:dyDescent="0.2">
      <c r="A10061" s="40" t="s">
        <v>19162</v>
      </c>
      <c r="B10061" s="75" t="s">
        <v>19163</v>
      </c>
      <c r="C10061" s="51"/>
      <c r="D10061" s="54">
        <f t="shared" si="157"/>
        <v>0</v>
      </c>
      <c r="E10061" s="61" t="str">
        <f>HYPERLINK("https://www.sds-group.ru/product/korobka-soedinitelnaya-termbox-ex-160-dlya-samoreguliruyuschegosya-kabelya-rexant-51-1062/", "Инфо")</f>
        <v>Инфо</v>
      </c>
      <c r="F10061" s="42" t="s">
        <v>39</v>
      </c>
      <c r="G10061" s="41" t="s">
        <v>40</v>
      </c>
      <c r="H10061" s="41"/>
      <c r="I10061" s="41"/>
      <c r="J10061" s="43">
        <v>24</v>
      </c>
      <c r="K10061" s="41"/>
      <c r="L10061" s="43">
        <v>1</v>
      </c>
      <c r="M10061" s="43">
        <v>1</v>
      </c>
      <c r="N10061" s="43">
        <v>1</v>
      </c>
      <c r="O10061" s="44">
        <v>11897.71</v>
      </c>
      <c r="P10061" s="44">
        <v>9752.2199999999993</v>
      </c>
      <c r="Q10061" s="44">
        <v>11897.71</v>
      </c>
      <c r="R10061" s="44">
        <v>9752.2199999999993</v>
      </c>
      <c r="S10061" s="44">
        <v>8090.44</v>
      </c>
      <c r="T10061" s="44">
        <v>6631.51</v>
      </c>
      <c r="U10061" s="42"/>
      <c r="V10061" s="42"/>
      <c r="W10061" s="42" t="s">
        <v>40</v>
      </c>
      <c r="X10061" s="45">
        <v>1.841</v>
      </c>
      <c r="Y10061" s="46">
        <v>3.705E-3</v>
      </c>
      <c r="Z10061" s="21">
        <v>4601004342491</v>
      </c>
    </row>
    <row r="10062" spans="1:26" ht="12" customHeight="1" outlineLevel="4" x14ac:dyDescent="0.2">
      <c r="A10062" s="40" t="s">
        <v>19164</v>
      </c>
      <c r="B10062" s="75" t="s">
        <v>19165</v>
      </c>
      <c r="C10062" s="51"/>
      <c r="D10062" s="54">
        <f t="shared" si="157"/>
        <v>0</v>
      </c>
      <c r="E10062" s="61" t="str">
        <f>HYPERLINK("https://www.sds-group.ru/product/korobka-soedinitelnaya-termbox-ex-160n-dlya-samoreguliruyuschegosya-kabelya-s-vvodom-pod-tep-51-1063/", "Инфо")</f>
        <v>Инфо</v>
      </c>
      <c r="F10062" s="42" t="s">
        <v>39</v>
      </c>
      <c r="G10062" s="41" t="s">
        <v>40</v>
      </c>
      <c r="H10062" s="41"/>
      <c r="I10062" s="41"/>
      <c r="J10062" s="43">
        <v>100</v>
      </c>
      <c r="K10062" s="41"/>
      <c r="L10062" s="43">
        <v>1</v>
      </c>
      <c r="M10062" s="43">
        <v>1</v>
      </c>
      <c r="N10062" s="43">
        <v>1</v>
      </c>
      <c r="O10062" s="44">
        <v>14417.22</v>
      </c>
      <c r="P10062" s="44">
        <v>11817.39</v>
      </c>
      <c r="Q10062" s="44">
        <v>14417.22</v>
      </c>
      <c r="R10062" s="44">
        <v>11817.39</v>
      </c>
      <c r="S10062" s="44">
        <v>9803.7099999999991</v>
      </c>
      <c r="T10062" s="44">
        <v>8035.83</v>
      </c>
      <c r="U10062" s="42"/>
      <c r="V10062" s="42"/>
      <c r="W10062" s="42" t="s">
        <v>40</v>
      </c>
      <c r="X10062" s="45">
        <v>2.0030000000000001</v>
      </c>
      <c r="Y10062" s="46">
        <v>6.1079999999999997E-3</v>
      </c>
      <c r="Z10062" s="21">
        <v>4601004342507</v>
      </c>
    </row>
    <row r="10063" spans="1:26" ht="12.95" customHeight="1" outlineLevel="3" x14ac:dyDescent="0.2">
      <c r="A10063" s="76" t="s">
        <v>19166</v>
      </c>
      <c r="B10063" s="76"/>
      <c r="C10063" s="77"/>
      <c r="D10063" s="58"/>
      <c r="E10063" s="68"/>
      <c r="F10063" s="13"/>
      <c r="G10063" s="13"/>
      <c r="H10063" s="13"/>
      <c r="I10063" s="13"/>
      <c r="J10063" s="13"/>
      <c r="K10063" s="13"/>
      <c r="L10063" s="13"/>
      <c r="M10063" s="13"/>
      <c r="N10063" s="13"/>
      <c r="O10063" s="13"/>
      <c r="P10063" s="13"/>
      <c r="Q10063" s="13"/>
      <c r="R10063" s="13"/>
      <c r="S10063" s="13"/>
      <c r="T10063" s="13"/>
      <c r="U10063" s="13"/>
      <c r="V10063" s="13"/>
      <c r="W10063" s="13"/>
      <c r="X10063" s="13"/>
      <c r="Y10063" s="13"/>
      <c r="Z10063" s="13"/>
    </row>
    <row r="10064" spans="1:26" ht="12" customHeight="1" outlineLevel="4" x14ac:dyDescent="0.2">
      <c r="A10064" s="14" t="s">
        <v>19167</v>
      </c>
      <c r="B10064" s="26" t="s">
        <v>19168</v>
      </c>
      <c r="C10064" s="52"/>
      <c r="D10064" s="55">
        <f t="shared" si="157"/>
        <v>0</v>
      </c>
      <c r="E10064" s="63" t="str">
        <f>HYPERLINK("https://www.sds-group.ru/product/ustroystvo-plavnogo-puska-25a-01-dlya-samoreguliruyuschegosya-kabelya-rexant-31596/", "Инфо")</f>
        <v>Инфо</v>
      </c>
      <c r="F10064" s="16" t="s">
        <v>39</v>
      </c>
      <c r="G10064" s="15"/>
      <c r="H10064" s="15"/>
      <c r="I10064" s="15"/>
      <c r="J10064" s="17">
        <v>17</v>
      </c>
      <c r="K10064" s="15"/>
      <c r="L10064" s="17">
        <v>1</v>
      </c>
      <c r="M10064" s="17">
        <v>1</v>
      </c>
      <c r="N10064" s="17">
        <v>1</v>
      </c>
      <c r="O10064" s="18">
        <v>14984.48</v>
      </c>
      <c r="P10064" s="18">
        <v>12282.36</v>
      </c>
      <c r="Q10064" s="18">
        <v>12437.12</v>
      </c>
      <c r="R10064" s="18">
        <v>10194.36</v>
      </c>
      <c r="S10064" s="18">
        <v>10189.450000000001</v>
      </c>
      <c r="T10064" s="18">
        <v>8352.01</v>
      </c>
      <c r="U10064" s="16"/>
      <c r="V10064" s="16"/>
      <c r="W10064" s="16" t="s">
        <v>40</v>
      </c>
      <c r="X10064" s="19">
        <v>0.22800000000000001</v>
      </c>
      <c r="Y10064" s="20">
        <v>4.8099999999999998E-4</v>
      </c>
      <c r="Z10064" s="21">
        <v>4601004328112</v>
      </c>
    </row>
    <row r="10065" spans="1:26" ht="12.95" customHeight="1" outlineLevel="2" x14ac:dyDescent="0.2">
      <c r="A10065" s="76" t="s">
        <v>19169</v>
      </c>
      <c r="B10065" s="76"/>
      <c r="C10065" s="77"/>
      <c r="D10065" s="58"/>
      <c r="E10065" s="68"/>
      <c r="F10065" s="13"/>
      <c r="G10065" s="13"/>
      <c r="H10065" s="13"/>
      <c r="I10065" s="13"/>
      <c r="J10065" s="13"/>
      <c r="K10065" s="13"/>
      <c r="L10065" s="13"/>
      <c r="M10065" s="13"/>
      <c r="N10065" s="13"/>
      <c r="O10065" s="13"/>
      <c r="P10065" s="13"/>
      <c r="Q10065" s="13"/>
      <c r="R10065" s="13"/>
      <c r="S10065" s="13"/>
      <c r="T10065" s="13"/>
      <c r="U10065" s="13"/>
      <c r="V10065" s="13"/>
      <c r="W10065" s="13"/>
      <c r="X10065" s="13"/>
      <c r="Y10065" s="13"/>
      <c r="Z10065" s="13"/>
    </row>
    <row r="10066" spans="1:26" ht="12" customHeight="1" outlineLevel="3" x14ac:dyDescent="0.2">
      <c r="A10066" s="14" t="s">
        <v>19170</v>
      </c>
      <c r="B10066" s="26" t="s">
        <v>19171</v>
      </c>
      <c r="C10066" s="52"/>
      <c r="D10066" s="55">
        <f t="shared" si="157"/>
        <v>0</v>
      </c>
      <c r="E10066" s="63" t="str">
        <f>HYPERLINK("https://www.sds-group.ru/product/zazhim-rx-3t-dlya-krepleniya-greyuschego-kabelya-na-odinochnye-vodopriemnye-voronki-vyhody-k-51-1016/", "Инфо")</f>
        <v>Инфо</v>
      </c>
      <c r="F10066" s="16" t="s">
        <v>39</v>
      </c>
      <c r="G10066" s="15"/>
      <c r="H10066" s="15"/>
      <c r="I10066" s="15"/>
      <c r="J10066" s="22">
        <v>7250</v>
      </c>
      <c r="K10066" s="15"/>
      <c r="L10066" s="17">
        <v>25</v>
      </c>
      <c r="M10066" s="17">
        <v>500</v>
      </c>
      <c r="N10066" s="17">
        <v>25</v>
      </c>
      <c r="O10066" s="18">
        <v>130.93</v>
      </c>
      <c r="P10066" s="18">
        <v>107.32</v>
      </c>
      <c r="Q10066" s="18">
        <v>111.29</v>
      </c>
      <c r="R10066" s="18">
        <v>91.22</v>
      </c>
      <c r="S10066" s="18">
        <v>89.03</v>
      </c>
      <c r="T10066" s="18">
        <v>72.98</v>
      </c>
      <c r="U10066" s="16"/>
      <c r="V10066" s="16"/>
      <c r="W10066" s="16" t="s">
        <v>40</v>
      </c>
      <c r="X10066" s="19">
        <v>8.0000000000000002E-3</v>
      </c>
      <c r="Y10066" s="20">
        <v>8.0000000000000007E-5</v>
      </c>
      <c r="Z10066" s="21">
        <v>4601004265219</v>
      </c>
    </row>
    <row r="10067" spans="1:26" ht="12" customHeight="1" outlineLevel="3" x14ac:dyDescent="0.2">
      <c r="A10067" s="14" t="s">
        <v>19172</v>
      </c>
      <c r="B10067" s="26" t="s">
        <v>19173</v>
      </c>
      <c r="C10067" s="52"/>
      <c r="D10067" s="55">
        <f t="shared" si="157"/>
        <v>0</v>
      </c>
      <c r="E10067" s="63" t="str">
        <f>HYPERLINK("https://www.sds-group.ru/product/zazhim-rx-3v-dlya-krepleniya-greyuschego-kabelya-na-vodosbornye-lotki-25-sht-rexant-51-1015/", "Инфо")</f>
        <v>Инфо</v>
      </c>
      <c r="F10067" s="16" t="s">
        <v>39</v>
      </c>
      <c r="G10067" s="15"/>
      <c r="H10067" s="15"/>
      <c r="I10067" s="15"/>
      <c r="J10067" s="22">
        <v>3450</v>
      </c>
      <c r="K10067" s="15"/>
      <c r="L10067" s="17">
        <v>25</v>
      </c>
      <c r="M10067" s="17">
        <v>250</v>
      </c>
      <c r="N10067" s="17">
        <v>25</v>
      </c>
      <c r="O10067" s="18">
        <v>88.57</v>
      </c>
      <c r="P10067" s="18">
        <v>72.599999999999994</v>
      </c>
      <c r="Q10067" s="18">
        <v>75.28</v>
      </c>
      <c r="R10067" s="18">
        <v>61.7</v>
      </c>
      <c r="S10067" s="18">
        <v>60.23</v>
      </c>
      <c r="T10067" s="18">
        <v>49.37</v>
      </c>
      <c r="U10067" s="16"/>
      <c r="V10067" s="16"/>
      <c r="W10067" s="16" t="s">
        <v>40</v>
      </c>
      <c r="X10067" s="19">
        <v>1.2999999999999999E-2</v>
      </c>
      <c r="Y10067" s="20">
        <v>8.7999999999999998E-5</v>
      </c>
      <c r="Z10067" s="21">
        <v>4601004265202</v>
      </c>
    </row>
    <row r="10068" spans="1:26" ht="12" customHeight="1" outlineLevel="3" x14ac:dyDescent="0.2">
      <c r="A10068" s="14" t="s">
        <v>19174</v>
      </c>
      <c r="B10068" s="26" t="s">
        <v>19175</v>
      </c>
      <c r="C10068" s="52"/>
      <c r="D10068" s="55">
        <f t="shared" si="157"/>
        <v>0</v>
      </c>
      <c r="E10068" s="63" t="str">
        <f>HYPERLINK("https://www.sds-group.ru/product/zazhim-rx-b1-6-dlya-krepleniya-greyuschego-kabelya-na-vodostochnyy-zhelob-25-sht-rexant-51-1011/", "Инфо")</f>
        <v>Инфо</v>
      </c>
      <c r="F10068" s="16" t="s">
        <v>39</v>
      </c>
      <c r="G10068" s="15"/>
      <c r="H10068" s="15"/>
      <c r="I10068" s="15"/>
      <c r="J10068" s="22">
        <v>2575</v>
      </c>
      <c r="K10068" s="15"/>
      <c r="L10068" s="17">
        <v>25</v>
      </c>
      <c r="M10068" s="17">
        <v>150</v>
      </c>
      <c r="N10068" s="17">
        <v>25</v>
      </c>
      <c r="O10068" s="18">
        <v>101.41</v>
      </c>
      <c r="P10068" s="18">
        <v>83.12</v>
      </c>
      <c r="Q10068" s="18">
        <v>86.2</v>
      </c>
      <c r="R10068" s="18">
        <v>70.66</v>
      </c>
      <c r="S10068" s="18">
        <v>68.959999999999994</v>
      </c>
      <c r="T10068" s="18">
        <v>56.52</v>
      </c>
      <c r="U10068" s="16"/>
      <c r="V10068" s="16"/>
      <c r="W10068" s="16" t="s">
        <v>40</v>
      </c>
      <c r="X10068" s="19">
        <v>1.2E-2</v>
      </c>
      <c r="Y10068" s="20">
        <v>7.7999999999999999E-5</v>
      </c>
      <c r="Z10068" s="21">
        <v>4601004265196</v>
      </c>
    </row>
    <row r="10069" spans="1:26" ht="12" customHeight="1" outlineLevel="3" x14ac:dyDescent="0.2">
      <c r="A10069" s="14" t="s">
        <v>19176</v>
      </c>
      <c r="B10069" s="26" t="s">
        <v>19177</v>
      </c>
      <c r="C10069" s="52"/>
      <c r="D10069" s="55">
        <f t="shared" si="157"/>
        <v>0</v>
      </c>
      <c r="E10069" s="63" t="str">
        <f>HYPERLINK("https://www.sds-group.ru/product/zazhim-rx-k-2-dlya-krepleniya-greyuschego-kabelya-na-karniz-skatnoy-krovli-endova-25-sht-rex-51-1010/", "Инфо")</f>
        <v>Инфо</v>
      </c>
      <c r="F10069" s="16" t="s">
        <v>39</v>
      </c>
      <c r="G10069" s="15"/>
      <c r="H10069" s="15"/>
      <c r="I10069" s="15"/>
      <c r="J10069" s="16" t="s">
        <v>100</v>
      </c>
      <c r="K10069" s="15" t="s">
        <v>19024</v>
      </c>
      <c r="L10069" s="17">
        <v>25</v>
      </c>
      <c r="M10069" s="17">
        <v>325</v>
      </c>
      <c r="N10069" s="17">
        <v>25</v>
      </c>
      <c r="O10069" s="18">
        <v>121.94</v>
      </c>
      <c r="P10069" s="18">
        <v>99.95</v>
      </c>
      <c r="Q10069" s="18">
        <v>103.65</v>
      </c>
      <c r="R10069" s="18">
        <v>84.96</v>
      </c>
      <c r="S10069" s="18">
        <v>82.92</v>
      </c>
      <c r="T10069" s="18">
        <v>67.97</v>
      </c>
      <c r="U10069" s="16"/>
      <c r="V10069" s="16"/>
      <c r="W10069" s="16" t="s">
        <v>40</v>
      </c>
      <c r="X10069" s="19">
        <v>8.0000000000000002E-3</v>
      </c>
      <c r="Y10069" s="20">
        <v>1E-4</v>
      </c>
      <c r="Z10069" s="21">
        <v>4601004265233</v>
      </c>
    </row>
    <row r="10070" spans="1:26" ht="12" customHeight="1" outlineLevel="3" x14ac:dyDescent="0.2">
      <c r="A10070" s="14" t="s">
        <v>19178</v>
      </c>
      <c r="B10070" s="26" t="s">
        <v>19179</v>
      </c>
      <c r="C10070" s="52"/>
      <c r="D10070" s="55">
        <f t="shared" si="157"/>
        <v>0</v>
      </c>
      <c r="E10070" s="63" t="str">
        <f>HYPERLINK("https://www.sds-group.ru/product/zazhim-rx-t-dlya-krepleniya-greyuschego-kabelya-25-sht-rexant-51-1013/", "Инфо")</f>
        <v>Инфо</v>
      </c>
      <c r="F10070" s="16" t="s">
        <v>39</v>
      </c>
      <c r="G10070" s="15"/>
      <c r="H10070" s="15"/>
      <c r="I10070" s="15"/>
      <c r="J10070" s="22">
        <v>5694</v>
      </c>
      <c r="K10070" s="15"/>
      <c r="L10070" s="17">
        <v>25</v>
      </c>
      <c r="M10070" s="17">
        <v>750</v>
      </c>
      <c r="N10070" s="17">
        <v>25</v>
      </c>
      <c r="O10070" s="18">
        <v>79.599999999999994</v>
      </c>
      <c r="P10070" s="18">
        <v>65.25</v>
      </c>
      <c r="Q10070" s="18">
        <v>67.66</v>
      </c>
      <c r="R10070" s="18">
        <v>55.46</v>
      </c>
      <c r="S10070" s="18">
        <v>54.13</v>
      </c>
      <c r="T10070" s="18">
        <v>44.37</v>
      </c>
      <c r="U10070" s="16"/>
      <c r="V10070" s="16"/>
      <c r="W10070" s="16" t="s">
        <v>40</v>
      </c>
      <c r="X10070" s="19">
        <v>8.0000000000000002E-3</v>
      </c>
      <c r="Y10070" s="20">
        <v>6.7000000000000002E-5</v>
      </c>
      <c r="Z10070" s="21">
        <v>4601004265172</v>
      </c>
    </row>
    <row r="10071" spans="1:26" ht="12" customHeight="1" outlineLevel="3" x14ac:dyDescent="0.2">
      <c r="A10071" s="14" t="s">
        <v>19180</v>
      </c>
      <c r="B10071" s="26" t="s">
        <v>19181</v>
      </c>
      <c r="C10071" s="52"/>
      <c r="D10071" s="55">
        <f t="shared" si="157"/>
        <v>0</v>
      </c>
      <c r="E10071" s="63" t="str">
        <f>HYPERLINK("https://www.sds-group.ru/product/zazhim-rx-y-dlya-krepleniya-greyuschego-kabelya-na-kapelnik-endova-rezervuar-25-sht-rexant-51-1014/", "Инфо")</f>
        <v>Инфо</v>
      </c>
      <c r="F10071" s="16" t="s">
        <v>39</v>
      </c>
      <c r="G10071" s="15"/>
      <c r="H10071" s="15"/>
      <c r="I10071" s="15"/>
      <c r="J10071" s="22">
        <v>1650</v>
      </c>
      <c r="K10071" s="15" t="s">
        <v>19024</v>
      </c>
      <c r="L10071" s="17">
        <v>25</v>
      </c>
      <c r="M10071" s="17">
        <v>375</v>
      </c>
      <c r="N10071" s="17">
        <v>25</v>
      </c>
      <c r="O10071" s="18">
        <v>86.01</v>
      </c>
      <c r="P10071" s="18">
        <v>70.5</v>
      </c>
      <c r="Q10071" s="18">
        <v>73.11</v>
      </c>
      <c r="R10071" s="18">
        <v>59.93</v>
      </c>
      <c r="S10071" s="18">
        <v>58.49</v>
      </c>
      <c r="T10071" s="18">
        <v>47.94</v>
      </c>
      <c r="U10071" s="16"/>
      <c r="V10071" s="16"/>
      <c r="W10071" s="16" t="s">
        <v>40</v>
      </c>
      <c r="X10071" s="19">
        <v>1.2E-2</v>
      </c>
      <c r="Y10071" s="20">
        <v>8.0000000000000007E-5</v>
      </c>
      <c r="Z10071" s="21">
        <v>4601004265189</v>
      </c>
    </row>
    <row r="10072" spans="1:26" ht="12" customHeight="1" outlineLevel="3" x14ac:dyDescent="0.2">
      <c r="A10072" s="14" t="s">
        <v>19182</v>
      </c>
      <c r="B10072" s="26" t="s">
        <v>19183</v>
      </c>
      <c r="C10072" s="52"/>
      <c r="D10072" s="55">
        <f t="shared" si="157"/>
        <v>0</v>
      </c>
      <c r="E10072" s="63" t="str">
        <f>HYPERLINK("https://www.sds-group.ru/product/zazhim-rx-y1-6-dlya-krepleniya-greyuschego-kabelya-na-ploskuyu-krovlyu-otkrytye-ploschadki-r-51-1017/", "Инфо")</f>
        <v>Инфо</v>
      </c>
      <c r="F10072" s="16" t="s">
        <v>39</v>
      </c>
      <c r="G10072" s="15"/>
      <c r="H10072" s="15"/>
      <c r="I10072" s="15"/>
      <c r="J10072" s="22">
        <v>2725</v>
      </c>
      <c r="K10072" s="15"/>
      <c r="L10072" s="17">
        <v>25</v>
      </c>
      <c r="M10072" s="17">
        <v>200</v>
      </c>
      <c r="N10072" s="17">
        <v>25</v>
      </c>
      <c r="O10072" s="18">
        <v>91.14</v>
      </c>
      <c r="P10072" s="18">
        <v>74.7</v>
      </c>
      <c r="Q10072" s="18">
        <v>77.47</v>
      </c>
      <c r="R10072" s="18">
        <v>63.5</v>
      </c>
      <c r="S10072" s="18">
        <v>61.98</v>
      </c>
      <c r="T10072" s="18">
        <v>50.8</v>
      </c>
      <c r="U10072" s="16"/>
      <c r="V10072" s="16"/>
      <c r="W10072" s="16" t="s">
        <v>40</v>
      </c>
      <c r="X10072" s="19">
        <v>3.5000000000000003E-2</v>
      </c>
      <c r="Y10072" s="20">
        <v>1.9699999999999999E-4</v>
      </c>
      <c r="Z10072" s="21">
        <v>4601004265226</v>
      </c>
    </row>
    <row r="10073" spans="1:26" ht="12" customHeight="1" outlineLevel="3" x14ac:dyDescent="0.2">
      <c r="A10073" s="14" t="s">
        <v>19184</v>
      </c>
      <c r="B10073" s="26" t="s">
        <v>19185</v>
      </c>
      <c r="C10073" s="52"/>
      <c r="D10073" s="55">
        <f t="shared" si="157"/>
        <v>0</v>
      </c>
      <c r="E10073" s="63" t="str">
        <f>HYPERLINK("https://www.sds-group.ru/product/zazhim-krepezhnyy-ktsr-2-100-ts-50-sht-rexant-51-1033/", "Инфо")</f>
        <v>Инфо</v>
      </c>
      <c r="F10073" s="16" t="s">
        <v>39</v>
      </c>
      <c r="G10073" s="15"/>
      <c r="H10073" s="15"/>
      <c r="I10073" s="15"/>
      <c r="J10073" s="17">
        <v>500</v>
      </c>
      <c r="K10073" s="15"/>
      <c r="L10073" s="17">
        <v>50</v>
      </c>
      <c r="M10073" s="17">
        <v>50</v>
      </c>
      <c r="N10073" s="17">
        <v>50</v>
      </c>
      <c r="O10073" s="18">
        <v>72.23</v>
      </c>
      <c r="P10073" s="18">
        <v>59.2</v>
      </c>
      <c r="Q10073" s="18">
        <v>65.010000000000005</v>
      </c>
      <c r="R10073" s="18">
        <v>53.29</v>
      </c>
      <c r="S10073" s="18">
        <v>49.12</v>
      </c>
      <c r="T10073" s="18">
        <v>40.26</v>
      </c>
      <c r="U10073" s="16"/>
      <c r="V10073" s="16"/>
      <c r="W10073" s="16" t="s">
        <v>40</v>
      </c>
      <c r="X10073" s="19">
        <v>2.4E-2</v>
      </c>
      <c r="Y10073" s="20">
        <v>5.1999999999999997E-5</v>
      </c>
      <c r="Z10073" s="21">
        <v>4601004332003</v>
      </c>
    </row>
    <row r="10074" spans="1:26" ht="12" customHeight="1" outlineLevel="3" x14ac:dyDescent="0.2">
      <c r="A10074" s="14" t="s">
        <v>19186</v>
      </c>
      <c r="B10074" s="26" t="s">
        <v>19187</v>
      </c>
      <c r="C10074" s="52"/>
      <c r="D10074" s="55">
        <f t="shared" si="157"/>
        <v>0</v>
      </c>
      <c r="E10074" s="63" t="str">
        <f>HYPERLINK("https://www.sds-group.ru/product/zazhim-krepezhnyy-ktsr-t-1-25-ts-50-sht-rexant-51-1034/", "Инфо")</f>
        <v>Инфо</v>
      </c>
      <c r="F10074" s="16" t="s">
        <v>39</v>
      </c>
      <c r="G10074" s="15"/>
      <c r="H10074" s="15"/>
      <c r="I10074" s="15"/>
      <c r="J10074" s="17">
        <v>300</v>
      </c>
      <c r="K10074" s="15"/>
      <c r="L10074" s="17">
        <v>50</v>
      </c>
      <c r="M10074" s="17">
        <v>50</v>
      </c>
      <c r="N10074" s="17">
        <v>50</v>
      </c>
      <c r="O10074" s="18">
        <v>42.04</v>
      </c>
      <c r="P10074" s="18">
        <v>34.46</v>
      </c>
      <c r="Q10074" s="18">
        <v>37.840000000000003</v>
      </c>
      <c r="R10074" s="18">
        <v>31.02</v>
      </c>
      <c r="S10074" s="18">
        <v>28.59</v>
      </c>
      <c r="T10074" s="18">
        <v>23.43</v>
      </c>
      <c r="U10074" s="16"/>
      <c r="V10074" s="16"/>
      <c r="W10074" s="16" t="s">
        <v>40</v>
      </c>
      <c r="X10074" s="19">
        <v>7.0000000000000001E-3</v>
      </c>
      <c r="Y10074" s="20">
        <v>1.2E-5</v>
      </c>
      <c r="Z10074" s="21">
        <v>4601004332010</v>
      </c>
    </row>
    <row r="10075" spans="1:26" ht="12" customHeight="1" outlineLevel="3" x14ac:dyDescent="0.2">
      <c r="A10075" s="14" t="s">
        <v>19188</v>
      </c>
      <c r="B10075" s="26" t="s">
        <v>19189</v>
      </c>
      <c r="C10075" s="52"/>
      <c r="D10075" s="55">
        <f t="shared" si="157"/>
        <v>0</v>
      </c>
      <c r="E10075" s="63" t="str">
        <f>HYPERLINK("https://www.sds-group.ru/product/zazhim-krepezhnyy-ktsr-t-2-50-ts-50-sht-rexant-51-1035/", "Инфо")</f>
        <v>Инфо</v>
      </c>
      <c r="F10075" s="16" t="s">
        <v>39</v>
      </c>
      <c r="G10075" s="15"/>
      <c r="H10075" s="15"/>
      <c r="I10075" s="15"/>
      <c r="J10075" s="17">
        <v>500</v>
      </c>
      <c r="K10075" s="15"/>
      <c r="L10075" s="17">
        <v>50</v>
      </c>
      <c r="M10075" s="17">
        <v>50</v>
      </c>
      <c r="N10075" s="17">
        <v>50</v>
      </c>
      <c r="O10075" s="18">
        <v>60.37</v>
      </c>
      <c r="P10075" s="18">
        <v>49.48</v>
      </c>
      <c r="Q10075" s="18">
        <v>54.33</v>
      </c>
      <c r="R10075" s="18">
        <v>44.53</v>
      </c>
      <c r="S10075" s="18">
        <v>41.05</v>
      </c>
      <c r="T10075" s="18">
        <v>33.65</v>
      </c>
      <c r="U10075" s="16"/>
      <c r="V10075" s="16"/>
      <c r="W10075" s="16" t="s">
        <v>40</v>
      </c>
      <c r="X10075" s="19">
        <v>1.2999999999999999E-2</v>
      </c>
      <c r="Y10075" s="20">
        <v>2.5000000000000001E-5</v>
      </c>
      <c r="Z10075" s="21">
        <v>4601004332027</v>
      </c>
    </row>
    <row r="10076" spans="1:26" ht="12" customHeight="1" outlineLevel="3" x14ac:dyDescent="0.2">
      <c r="A10076" s="14" t="s">
        <v>19190</v>
      </c>
      <c r="B10076" s="26" t="s">
        <v>19191</v>
      </c>
      <c r="C10076" s="52"/>
      <c r="D10076" s="55">
        <f t="shared" si="157"/>
        <v>0</v>
      </c>
      <c r="E10076" s="63" t="str">
        <f>HYPERLINK("https://www.sds-group.ru/product/zazhim-krepezhnyy-tsr-1-25-ts-50-sht-rexant-51-1020/", "Инфо")</f>
        <v>Инфо</v>
      </c>
      <c r="F10076" s="16" t="s">
        <v>39</v>
      </c>
      <c r="G10076" s="15"/>
      <c r="H10076" s="15"/>
      <c r="I10076" s="15"/>
      <c r="J10076" s="17">
        <v>500</v>
      </c>
      <c r="K10076" s="15" t="s">
        <v>19024</v>
      </c>
      <c r="L10076" s="17">
        <v>50</v>
      </c>
      <c r="M10076" s="17">
        <v>50</v>
      </c>
      <c r="N10076" s="17">
        <v>50</v>
      </c>
      <c r="O10076" s="18">
        <v>38.81</v>
      </c>
      <c r="P10076" s="18">
        <v>31.81</v>
      </c>
      <c r="Q10076" s="18">
        <v>34.93</v>
      </c>
      <c r="R10076" s="18">
        <v>28.63</v>
      </c>
      <c r="S10076" s="18">
        <v>26.39</v>
      </c>
      <c r="T10076" s="18">
        <v>21.63</v>
      </c>
      <c r="U10076" s="16"/>
      <c r="V10076" s="16"/>
      <c r="W10076" s="16" t="s">
        <v>40</v>
      </c>
      <c r="X10076" s="19">
        <v>6.0000000000000001E-3</v>
      </c>
      <c r="Y10076" s="20">
        <v>1.2E-5</v>
      </c>
      <c r="Z10076" s="21">
        <v>4601004331938</v>
      </c>
    </row>
    <row r="10077" spans="1:26" ht="12" customHeight="1" outlineLevel="3" x14ac:dyDescent="0.2">
      <c r="A10077" s="14" t="s">
        <v>19192</v>
      </c>
      <c r="B10077" s="26" t="s">
        <v>19193</v>
      </c>
      <c r="C10077" s="52"/>
      <c r="D10077" s="55">
        <f t="shared" si="157"/>
        <v>0</v>
      </c>
      <c r="E10077" s="63" t="str">
        <f>HYPERLINK("https://www.sds-group.ru/product/zazhim-krepezhnyy-tsr-2-100-ts-50-sht-rexant-51-1022/", "Инфо")</f>
        <v>Инфо</v>
      </c>
      <c r="F10077" s="16" t="s">
        <v>39</v>
      </c>
      <c r="G10077" s="15"/>
      <c r="H10077" s="15"/>
      <c r="I10077" s="15"/>
      <c r="J10077" s="16" t="s">
        <v>100</v>
      </c>
      <c r="K10077" s="15" t="s">
        <v>19024</v>
      </c>
      <c r="L10077" s="17">
        <v>50</v>
      </c>
      <c r="M10077" s="17">
        <v>50</v>
      </c>
      <c r="N10077" s="17">
        <v>50</v>
      </c>
      <c r="O10077" s="18">
        <v>72.23</v>
      </c>
      <c r="P10077" s="18">
        <v>59.2</v>
      </c>
      <c r="Q10077" s="18">
        <v>65.010000000000005</v>
      </c>
      <c r="R10077" s="18">
        <v>53.29</v>
      </c>
      <c r="S10077" s="18">
        <v>49.12</v>
      </c>
      <c r="T10077" s="18">
        <v>40.26</v>
      </c>
      <c r="U10077" s="16"/>
      <c r="V10077" s="16"/>
      <c r="W10077" s="16" t="s">
        <v>40</v>
      </c>
      <c r="X10077" s="19">
        <v>2.5000000000000001E-2</v>
      </c>
      <c r="Y10077" s="20">
        <v>5.1E-5</v>
      </c>
      <c r="Z10077" s="21">
        <v>4601004332058</v>
      </c>
    </row>
    <row r="10078" spans="1:26" ht="12" customHeight="1" outlineLevel="3" x14ac:dyDescent="0.2">
      <c r="A10078" s="14" t="s">
        <v>19194</v>
      </c>
      <c r="B10078" s="26" t="s">
        <v>19195</v>
      </c>
      <c r="C10078" s="52"/>
      <c r="D10078" s="55">
        <f t="shared" si="157"/>
        <v>0</v>
      </c>
      <c r="E10078" s="63" t="str">
        <f>HYPERLINK("https://www.sds-group.ru/product/zazhim-krepezhnyy-tsr-2-50-ts-50-sht-rexant-51-1021/", "Инфо")</f>
        <v>Инфо</v>
      </c>
      <c r="F10078" s="16" t="s">
        <v>39</v>
      </c>
      <c r="G10078" s="15"/>
      <c r="H10078" s="15"/>
      <c r="I10078" s="15"/>
      <c r="J10078" s="22">
        <v>1350</v>
      </c>
      <c r="K10078" s="15" t="s">
        <v>19024</v>
      </c>
      <c r="L10078" s="17">
        <v>50</v>
      </c>
      <c r="M10078" s="17">
        <v>50</v>
      </c>
      <c r="N10078" s="17">
        <v>50</v>
      </c>
      <c r="O10078" s="18">
        <v>56.05</v>
      </c>
      <c r="P10078" s="18">
        <v>45.94</v>
      </c>
      <c r="Q10078" s="18">
        <v>50.45</v>
      </c>
      <c r="R10078" s="18">
        <v>41.35</v>
      </c>
      <c r="S10078" s="18">
        <v>38.11</v>
      </c>
      <c r="T10078" s="18">
        <v>31.24</v>
      </c>
      <c r="U10078" s="16"/>
      <c r="V10078" s="16"/>
      <c r="W10078" s="16" t="s">
        <v>40</v>
      </c>
      <c r="X10078" s="19">
        <v>1.4E-2</v>
      </c>
      <c r="Y10078" s="20">
        <v>2.5000000000000001E-5</v>
      </c>
      <c r="Z10078" s="21">
        <v>4601004331945</v>
      </c>
    </row>
    <row r="10079" spans="1:26" ht="12" customHeight="1" outlineLevel="3" x14ac:dyDescent="0.2">
      <c r="A10079" s="14" t="s">
        <v>19196</v>
      </c>
      <c r="B10079" s="26" t="s">
        <v>19197</v>
      </c>
      <c r="C10079" s="52"/>
      <c r="D10079" s="55">
        <f t="shared" si="157"/>
        <v>0</v>
      </c>
      <c r="E10079" s="63" t="str">
        <f>HYPERLINK("https://www.sds-group.ru/product/zazhim-krepezhnyy-tsr-o1-25-ts-50-sht-rexant-51-1025/", "Инфо")</f>
        <v>Инфо</v>
      </c>
      <c r="F10079" s="16" t="s">
        <v>39</v>
      </c>
      <c r="G10079" s="15"/>
      <c r="H10079" s="15"/>
      <c r="I10079" s="15"/>
      <c r="J10079" s="22">
        <v>3400</v>
      </c>
      <c r="K10079" s="15" t="s">
        <v>19024</v>
      </c>
      <c r="L10079" s="17">
        <v>50</v>
      </c>
      <c r="M10079" s="17">
        <v>50</v>
      </c>
      <c r="N10079" s="17">
        <v>50</v>
      </c>
      <c r="O10079" s="18">
        <v>42.04</v>
      </c>
      <c r="P10079" s="18">
        <v>34.46</v>
      </c>
      <c r="Q10079" s="18">
        <v>37.840000000000003</v>
      </c>
      <c r="R10079" s="18">
        <v>31.02</v>
      </c>
      <c r="S10079" s="18">
        <v>28.59</v>
      </c>
      <c r="T10079" s="18">
        <v>23.43</v>
      </c>
      <c r="U10079" s="16"/>
      <c r="V10079" s="16"/>
      <c r="W10079" s="16" t="s">
        <v>40</v>
      </c>
      <c r="X10079" s="19">
        <v>4.0000000000000001E-3</v>
      </c>
      <c r="Y10079" s="20">
        <v>1.2E-5</v>
      </c>
      <c r="Z10079" s="21">
        <v>4601004331969</v>
      </c>
    </row>
    <row r="10080" spans="1:26" ht="12" customHeight="1" outlineLevel="3" x14ac:dyDescent="0.2">
      <c r="A10080" s="14" t="s">
        <v>19198</v>
      </c>
      <c r="B10080" s="26" t="s">
        <v>19199</v>
      </c>
      <c r="C10080" s="52"/>
      <c r="D10080" s="55">
        <f t="shared" si="157"/>
        <v>0</v>
      </c>
      <c r="E10080" s="63" t="str">
        <f>HYPERLINK("https://www.sds-group.ru/product/zazhim-krepezhnyy-tsr-t-1-25-ts-50-sht-rexant-51-1023/", "Инфо")</f>
        <v>Инфо</v>
      </c>
      <c r="F10080" s="16" t="s">
        <v>39</v>
      </c>
      <c r="G10080" s="15"/>
      <c r="H10080" s="15"/>
      <c r="I10080" s="15"/>
      <c r="J10080" s="16" t="s">
        <v>100</v>
      </c>
      <c r="K10080" s="15" t="s">
        <v>1408</v>
      </c>
      <c r="L10080" s="17">
        <v>50</v>
      </c>
      <c r="M10080" s="17">
        <v>50</v>
      </c>
      <c r="N10080" s="17">
        <v>50</v>
      </c>
      <c r="O10080" s="18">
        <v>42.04</v>
      </c>
      <c r="P10080" s="18">
        <v>34.46</v>
      </c>
      <c r="Q10080" s="18">
        <v>37.840000000000003</v>
      </c>
      <c r="R10080" s="18">
        <v>31.02</v>
      </c>
      <c r="S10080" s="18">
        <v>28.59</v>
      </c>
      <c r="T10080" s="18">
        <v>23.43</v>
      </c>
      <c r="U10080" s="16"/>
      <c r="V10080" s="16"/>
      <c r="W10080" s="16" t="s">
        <v>40</v>
      </c>
      <c r="X10080" s="19">
        <v>7.0000000000000001E-3</v>
      </c>
      <c r="Y10080" s="20">
        <v>1.2E-5</v>
      </c>
      <c r="Z10080" s="21">
        <v>4601004332041</v>
      </c>
    </row>
    <row r="10081" spans="1:26" ht="12" customHeight="1" outlineLevel="3" x14ac:dyDescent="0.2">
      <c r="A10081" s="14" t="s">
        <v>19200</v>
      </c>
      <c r="B10081" s="26" t="s">
        <v>19201</v>
      </c>
      <c r="C10081" s="52"/>
      <c r="D10081" s="55">
        <f t="shared" si="157"/>
        <v>0</v>
      </c>
      <c r="E10081" s="63" t="str">
        <f>HYPERLINK("https://www.sds-group.ru/product/zazhim-krepezhnyy-tsr-t-2-50-ts-50-sht-rexant-51-1024/", "Инфо")</f>
        <v>Инфо</v>
      </c>
      <c r="F10081" s="16" t="s">
        <v>39</v>
      </c>
      <c r="G10081" s="15"/>
      <c r="H10081" s="15"/>
      <c r="I10081" s="15"/>
      <c r="J10081" s="16" t="s">
        <v>100</v>
      </c>
      <c r="K10081" s="15" t="s">
        <v>19024</v>
      </c>
      <c r="L10081" s="17">
        <v>50</v>
      </c>
      <c r="M10081" s="17">
        <v>50</v>
      </c>
      <c r="N10081" s="17">
        <v>50</v>
      </c>
      <c r="O10081" s="18">
        <v>60.37</v>
      </c>
      <c r="P10081" s="18">
        <v>49.48</v>
      </c>
      <c r="Q10081" s="18">
        <v>54.33</v>
      </c>
      <c r="R10081" s="18">
        <v>44.53</v>
      </c>
      <c r="S10081" s="18">
        <v>41.05</v>
      </c>
      <c r="T10081" s="18">
        <v>33.65</v>
      </c>
      <c r="U10081" s="16"/>
      <c r="V10081" s="16"/>
      <c r="W10081" s="16" t="s">
        <v>40</v>
      </c>
      <c r="X10081" s="19">
        <v>1.2999999999999999E-2</v>
      </c>
      <c r="Y10081" s="20">
        <v>2.5000000000000001E-5</v>
      </c>
      <c r="Z10081" s="21">
        <v>4601004331952</v>
      </c>
    </row>
    <row r="10082" spans="1:26" ht="12" customHeight="1" outlineLevel="3" x14ac:dyDescent="0.2">
      <c r="A10082" s="40" t="s">
        <v>19202</v>
      </c>
      <c r="B10082" s="75" t="s">
        <v>19203</v>
      </c>
      <c r="C10082" s="51"/>
      <c r="D10082" s="54">
        <f t="shared" si="157"/>
        <v>0</v>
      </c>
      <c r="E10082" s="62"/>
      <c r="F10082" s="42" t="s">
        <v>39</v>
      </c>
      <c r="G10082" s="41" t="s">
        <v>40</v>
      </c>
      <c r="H10082" s="41"/>
      <c r="I10082" s="41"/>
      <c r="J10082" s="43">
        <v>992</v>
      </c>
      <c r="K10082" s="41"/>
      <c r="L10082" s="43">
        <v>1</v>
      </c>
      <c r="M10082" s="42"/>
      <c r="N10082" s="43">
        <v>1</v>
      </c>
      <c r="O10082" s="44">
        <v>1208.4000000000001</v>
      </c>
      <c r="P10082" s="44">
        <v>990.49</v>
      </c>
      <c r="Q10082" s="44">
        <v>1208.4000000000001</v>
      </c>
      <c r="R10082" s="44">
        <v>990.49</v>
      </c>
      <c r="S10082" s="44">
        <v>821.71</v>
      </c>
      <c r="T10082" s="44">
        <v>673.53</v>
      </c>
      <c r="U10082" s="42"/>
      <c r="V10082" s="42"/>
      <c r="W10082" s="42" t="s">
        <v>40</v>
      </c>
      <c r="X10082" s="45">
        <v>9.9000000000000005E-2</v>
      </c>
      <c r="Y10082" s="46">
        <v>1.3899999999999999E-4</v>
      </c>
      <c r="Z10082" s="21">
        <v>4601004340046</v>
      </c>
    </row>
    <row r="10083" spans="1:26" ht="12" customHeight="1" outlineLevel="3" x14ac:dyDescent="0.2">
      <c r="A10083" s="14" t="s">
        <v>19204</v>
      </c>
      <c r="B10083" s="26" t="s">
        <v>19205</v>
      </c>
      <c r="C10083" s="52"/>
      <c r="D10083" s="55">
        <f t="shared" si="157"/>
        <v>0</v>
      </c>
      <c r="E10083" s="63" t="str">
        <f>HYPERLINK("https://www.sds-group.ru/product/lenta-srg-20-20m-rexant-51-1044/", "Инфо")</f>
        <v>Инфо</v>
      </c>
      <c r="F10083" s="16" t="s">
        <v>39</v>
      </c>
      <c r="G10083" s="15"/>
      <c r="H10083" s="15"/>
      <c r="I10083" s="15"/>
      <c r="J10083" s="17">
        <v>39</v>
      </c>
      <c r="K10083" s="15"/>
      <c r="L10083" s="17">
        <v>1</v>
      </c>
      <c r="M10083" s="17">
        <v>1</v>
      </c>
      <c r="N10083" s="17">
        <v>1</v>
      </c>
      <c r="O10083" s="18">
        <v>4561.1099999999997</v>
      </c>
      <c r="P10083" s="18">
        <v>3738.61</v>
      </c>
      <c r="Q10083" s="18">
        <v>4105</v>
      </c>
      <c r="R10083" s="18">
        <v>3364.75</v>
      </c>
      <c r="S10083" s="18">
        <v>3101.55</v>
      </c>
      <c r="T10083" s="18">
        <v>2542.25</v>
      </c>
      <c r="U10083" s="16"/>
      <c r="V10083" s="16"/>
      <c r="W10083" s="16" t="s">
        <v>40</v>
      </c>
      <c r="X10083" s="19">
        <v>1.5880000000000001</v>
      </c>
      <c r="Y10083" s="20">
        <v>5.9699999999999998E-4</v>
      </c>
      <c r="Z10083" s="21">
        <v>4601004332096</v>
      </c>
    </row>
    <row r="10084" spans="1:26" ht="12" customHeight="1" outlineLevel="3" x14ac:dyDescent="0.2">
      <c r="A10084" s="14" t="s">
        <v>19206</v>
      </c>
      <c r="B10084" s="26" t="s">
        <v>19207</v>
      </c>
      <c r="C10084" s="52"/>
      <c r="D10084" s="55">
        <f t="shared" si="157"/>
        <v>0</v>
      </c>
      <c r="E10084" s="63" t="str">
        <f>HYPERLINK("https://www.sds-group.ru/product/lenta-elektromontajnaya-perforirovannaya-le-50-50m-rexant-31955/", "Инфо")</f>
        <v>Инфо</v>
      </c>
      <c r="F10084" s="16" t="s">
        <v>39</v>
      </c>
      <c r="G10084" s="15"/>
      <c r="H10084" s="15"/>
      <c r="I10084" s="15" t="s">
        <v>13445</v>
      </c>
      <c r="J10084" s="17">
        <v>5</v>
      </c>
      <c r="K10084" s="15" t="s">
        <v>19024</v>
      </c>
      <c r="L10084" s="17">
        <v>1</v>
      </c>
      <c r="M10084" s="17">
        <v>1</v>
      </c>
      <c r="N10084" s="17">
        <v>1</v>
      </c>
      <c r="O10084" s="18">
        <v>14926.26</v>
      </c>
      <c r="P10084" s="18">
        <v>12234.64</v>
      </c>
      <c r="Q10084" s="18">
        <v>13433.63</v>
      </c>
      <c r="R10084" s="18">
        <v>11011.17</v>
      </c>
      <c r="S10084" s="18">
        <v>10149.86</v>
      </c>
      <c r="T10084" s="18">
        <v>8319.56</v>
      </c>
      <c r="U10084" s="16"/>
      <c r="V10084" s="16"/>
      <c r="W10084" s="16" t="s">
        <v>40</v>
      </c>
      <c r="X10084" s="19">
        <v>6.9720000000000004</v>
      </c>
      <c r="Y10084" s="20">
        <v>8.7309999999999992E-3</v>
      </c>
      <c r="Z10084" s="21">
        <v>4601004332034</v>
      </c>
    </row>
    <row r="10085" spans="1:26" ht="12" customHeight="1" outlineLevel="3" x14ac:dyDescent="0.2">
      <c r="A10085" s="14" t="s">
        <v>19208</v>
      </c>
      <c r="B10085" s="26" t="s">
        <v>19209</v>
      </c>
      <c r="C10085" s="52"/>
      <c r="D10085" s="55">
        <f t="shared" si="157"/>
        <v>0</v>
      </c>
      <c r="E10085" s="63" t="str">
        <f>HYPERLINK("https://www.sds-group.ru/product/lenta-elektromontazhnaya-perforirovannaya-le-65-50m-rexant-51-1042/", "Инфо")</f>
        <v>Инфо</v>
      </c>
      <c r="F10085" s="16" t="s">
        <v>39</v>
      </c>
      <c r="G10085" s="15"/>
      <c r="H10085" s="15"/>
      <c r="I10085" s="15"/>
      <c r="J10085" s="17">
        <v>39</v>
      </c>
      <c r="K10085" s="15"/>
      <c r="L10085" s="17">
        <v>1</v>
      </c>
      <c r="M10085" s="17">
        <v>1</v>
      </c>
      <c r="N10085" s="17">
        <v>1</v>
      </c>
      <c r="O10085" s="18">
        <v>18242.25</v>
      </c>
      <c r="P10085" s="18">
        <v>14952.66</v>
      </c>
      <c r="Q10085" s="18">
        <v>16418.03</v>
      </c>
      <c r="R10085" s="18">
        <v>13457.4</v>
      </c>
      <c r="S10085" s="18">
        <v>12404.73</v>
      </c>
      <c r="T10085" s="18">
        <v>10167.81</v>
      </c>
      <c r="U10085" s="16"/>
      <c r="V10085" s="16"/>
      <c r="W10085" s="16" t="s">
        <v>40</v>
      </c>
      <c r="X10085" s="19">
        <v>9.1509999999999998</v>
      </c>
      <c r="Y10085" s="20">
        <v>1.1140000000000001E-2</v>
      </c>
      <c r="Z10085" s="21">
        <v>4601004332089</v>
      </c>
    </row>
    <row r="10086" spans="1:26" ht="12" customHeight="1" outlineLevel="3" x14ac:dyDescent="0.2">
      <c r="A10086" s="14" t="s">
        <v>19210</v>
      </c>
      <c r="B10086" s="26" t="s">
        <v>19211</v>
      </c>
      <c r="C10086" s="52"/>
      <c r="D10086" s="55">
        <f t="shared" si="157"/>
        <v>0</v>
      </c>
      <c r="E10086" s="63" t="str">
        <f>HYPERLINK("https://www.sds-group.ru/product/pik-zazhim-kr-1o-ts-50-sht-rexant-51-1026/", "Инфо")</f>
        <v>Инфо</v>
      </c>
      <c r="F10086" s="16" t="s">
        <v>39</v>
      </c>
      <c r="G10086" s="15"/>
      <c r="H10086" s="15"/>
      <c r="I10086" s="15"/>
      <c r="J10086" s="22">
        <v>6200</v>
      </c>
      <c r="K10086" s="15"/>
      <c r="L10086" s="17">
        <v>50</v>
      </c>
      <c r="M10086" s="17">
        <v>50</v>
      </c>
      <c r="N10086" s="17">
        <v>50</v>
      </c>
      <c r="O10086" s="18">
        <v>130.44</v>
      </c>
      <c r="P10086" s="18">
        <v>106.92</v>
      </c>
      <c r="Q10086" s="18">
        <v>117.4</v>
      </c>
      <c r="R10086" s="18">
        <v>96.23</v>
      </c>
      <c r="S10086" s="18">
        <v>88.7</v>
      </c>
      <c r="T10086" s="18">
        <v>72.7</v>
      </c>
      <c r="U10086" s="16"/>
      <c r="V10086" s="16"/>
      <c r="W10086" s="16" t="s">
        <v>40</v>
      </c>
      <c r="X10086" s="19">
        <v>0.02</v>
      </c>
      <c r="Y10086" s="20">
        <v>4.8999999999999998E-5</v>
      </c>
      <c r="Z10086" s="21">
        <v>4601004332065</v>
      </c>
    </row>
    <row r="10087" spans="1:26" ht="12.95" customHeight="1" outlineLevel="2" x14ac:dyDescent="0.2">
      <c r="A10087" s="76" t="s">
        <v>19212</v>
      </c>
      <c r="B10087" s="76"/>
      <c r="C10087" s="77"/>
      <c r="D10087" s="58"/>
      <c r="E10087" s="68"/>
      <c r="F10087" s="13"/>
      <c r="G10087" s="13"/>
      <c r="H10087" s="13"/>
      <c r="I10087" s="13"/>
      <c r="J10087" s="13"/>
      <c r="K10087" s="13"/>
      <c r="L10087" s="13"/>
      <c r="M10087" s="13"/>
      <c r="N10087" s="13"/>
      <c r="O10087" s="13"/>
      <c r="P10087" s="13"/>
      <c r="Q10087" s="13"/>
      <c r="R10087" s="13"/>
      <c r="S10087" s="13"/>
      <c r="T10087" s="13"/>
      <c r="U10087" s="13"/>
      <c r="V10087" s="13"/>
      <c r="W10087" s="13"/>
      <c r="X10087" s="13"/>
      <c r="Y10087" s="13"/>
      <c r="Z10087" s="13"/>
    </row>
    <row r="10088" spans="1:26" ht="12" customHeight="1" outlineLevel="3" x14ac:dyDescent="0.2">
      <c r="A10088" s="14" t="s">
        <v>19213</v>
      </c>
      <c r="B10088" s="26" t="s">
        <v>19214</v>
      </c>
      <c r="C10088" s="52"/>
      <c r="D10088" s="55">
        <f t="shared" si="157"/>
        <v>0</v>
      </c>
      <c r="E10088" s="63" t="str">
        <f>HYPERLINK("https://www.sds-group.ru/product/lenta-alyuminievaya-50mm-h-25m-rexant-09-4352/", "Инфо")</f>
        <v>Инфо</v>
      </c>
      <c r="F10088" s="16" t="s">
        <v>4839</v>
      </c>
      <c r="G10088" s="15"/>
      <c r="H10088" s="15"/>
      <c r="I10088" s="15"/>
      <c r="J10088" s="22">
        <v>1422</v>
      </c>
      <c r="K10088" s="15"/>
      <c r="L10088" s="17">
        <v>1</v>
      </c>
      <c r="M10088" s="17">
        <v>24</v>
      </c>
      <c r="N10088" s="17">
        <v>1</v>
      </c>
      <c r="O10088" s="18">
        <v>616.14</v>
      </c>
      <c r="P10088" s="18">
        <v>505.03</v>
      </c>
      <c r="Q10088" s="18">
        <v>492.91</v>
      </c>
      <c r="R10088" s="18">
        <v>404.02</v>
      </c>
      <c r="S10088" s="18">
        <v>418.98</v>
      </c>
      <c r="T10088" s="18">
        <v>343.43</v>
      </c>
      <c r="U10088" s="16"/>
      <c r="V10088" s="16"/>
      <c r="W10088" s="16" t="s">
        <v>40</v>
      </c>
      <c r="X10088" s="19">
        <v>0.19700000000000001</v>
      </c>
      <c r="Y10088" s="20">
        <v>8.7500000000000002E-4</v>
      </c>
      <c r="Z10088" s="21">
        <v>4601004143685</v>
      </c>
    </row>
    <row r="10089" spans="1:26" ht="12" customHeight="1" outlineLevel="3" x14ac:dyDescent="0.2">
      <c r="A10089" s="14" t="s">
        <v>19215</v>
      </c>
      <c r="B10089" s="26" t="s">
        <v>19216</v>
      </c>
      <c r="C10089" s="52"/>
      <c r="D10089" s="55">
        <f t="shared" si="157"/>
        <v>0</v>
      </c>
      <c r="E10089" s="63" t="str">
        <f>HYPERLINK("https://www.sds-group.ru/product/lenta-alyuminievaya-50mm-h-50m-rexant-09-4351/", "Инфо")</f>
        <v>Инфо</v>
      </c>
      <c r="F10089" s="16" t="s">
        <v>4839</v>
      </c>
      <c r="G10089" s="15"/>
      <c r="H10089" s="15"/>
      <c r="I10089" s="15"/>
      <c r="J10089" s="22">
        <v>1017</v>
      </c>
      <c r="K10089" s="15"/>
      <c r="L10089" s="17">
        <v>1</v>
      </c>
      <c r="M10089" s="17">
        <v>24</v>
      </c>
      <c r="N10089" s="17">
        <v>1</v>
      </c>
      <c r="O10089" s="18">
        <v>834.34</v>
      </c>
      <c r="P10089" s="18">
        <v>683.89</v>
      </c>
      <c r="Q10089" s="18">
        <v>667.47</v>
      </c>
      <c r="R10089" s="18">
        <v>547.11</v>
      </c>
      <c r="S10089" s="18">
        <v>567.35</v>
      </c>
      <c r="T10089" s="18">
        <v>465.04</v>
      </c>
      <c r="U10089" s="16"/>
      <c r="V10089" s="16"/>
      <c r="W10089" s="16" t="s">
        <v>40</v>
      </c>
      <c r="X10089" s="19">
        <v>0.35299999999999998</v>
      </c>
      <c r="Y10089" s="20">
        <v>8.3500000000000002E-4</v>
      </c>
      <c r="Z10089" s="21">
        <v>4601004143760</v>
      </c>
    </row>
    <row r="10090" spans="1:26" ht="12" customHeight="1" outlineLevel="3" x14ac:dyDescent="0.2">
      <c r="A10090" s="14" t="s">
        <v>19217</v>
      </c>
      <c r="B10090" s="26" t="s">
        <v>19218</v>
      </c>
      <c r="C10090" s="52"/>
      <c r="D10090" s="55">
        <f t="shared" si="157"/>
        <v>0</v>
      </c>
      <c r="E10090" s="64"/>
      <c r="F10090" s="16" t="s">
        <v>1001</v>
      </c>
      <c r="G10090" s="15"/>
      <c r="H10090" s="15"/>
      <c r="I10090" s="15"/>
      <c r="J10090" s="16" t="s">
        <v>100</v>
      </c>
      <c r="K10090" s="15" t="s">
        <v>1408</v>
      </c>
      <c r="L10090" s="17">
        <v>1</v>
      </c>
      <c r="M10090" s="17">
        <v>1</v>
      </c>
      <c r="N10090" s="17">
        <v>1</v>
      </c>
      <c r="O10090" s="18">
        <v>3121.7</v>
      </c>
      <c r="P10090" s="18">
        <v>2558.77</v>
      </c>
      <c r="Q10090" s="18">
        <v>3121.7</v>
      </c>
      <c r="R10090" s="18">
        <v>2558.77</v>
      </c>
      <c r="S10090" s="18">
        <v>2122.7600000000002</v>
      </c>
      <c r="T10090" s="18">
        <v>1739.97</v>
      </c>
      <c r="U10090" s="16"/>
      <c r="V10090" s="16"/>
      <c r="W10090" s="16" t="s">
        <v>40</v>
      </c>
      <c r="X10090" s="25"/>
      <c r="Y10090" s="25"/>
      <c r="Z10090" s="21">
        <v>4601004341869</v>
      </c>
    </row>
    <row r="10091" spans="1:26" ht="12" customHeight="1" outlineLevel="3" x14ac:dyDescent="0.2">
      <c r="A10091" s="14" t="s">
        <v>19219</v>
      </c>
      <c r="B10091" s="26" t="s">
        <v>19220</v>
      </c>
      <c r="C10091" s="52"/>
      <c r="D10091" s="55">
        <f t="shared" si="157"/>
        <v>0</v>
      </c>
      <c r="E10091" s="64"/>
      <c r="F10091" s="16" t="s">
        <v>1001</v>
      </c>
      <c r="G10091" s="15"/>
      <c r="H10091" s="15"/>
      <c r="I10091" s="15"/>
      <c r="J10091" s="16" t="s">
        <v>100</v>
      </c>
      <c r="K10091" s="15" t="s">
        <v>1408</v>
      </c>
      <c r="L10091" s="17">
        <v>1</v>
      </c>
      <c r="M10091" s="17">
        <v>1</v>
      </c>
      <c r="N10091" s="17">
        <v>1</v>
      </c>
      <c r="O10091" s="18">
        <v>2416.8000000000002</v>
      </c>
      <c r="P10091" s="18">
        <v>1980.98</v>
      </c>
      <c r="Q10091" s="18">
        <v>2416.8000000000002</v>
      </c>
      <c r="R10091" s="18">
        <v>1980.98</v>
      </c>
      <c r="S10091" s="18">
        <v>1643.42</v>
      </c>
      <c r="T10091" s="18">
        <v>1347.07</v>
      </c>
      <c r="U10091" s="16"/>
      <c r="V10091" s="16"/>
      <c r="W10091" s="16" t="s">
        <v>40</v>
      </c>
      <c r="X10091" s="25"/>
      <c r="Y10091" s="25"/>
      <c r="Z10091" s="21">
        <v>4601004341852</v>
      </c>
    </row>
    <row r="10092" spans="1:26" ht="12" customHeight="1" outlineLevel="3" x14ac:dyDescent="0.2">
      <c r="A10092" s="40" t="s">
        <v>19221</v>
      </c>
      <c r="B10092" s="75" t="s">
        <v>19222</v>
      </c>
      <c r="C10092" s="51"/>
      <c r="D10092" s="54">
        <f t="shared" si="157"/>
        <v>0</v>
      </c>
      <c r="E10092" s="61" t="str">
        <f>HYPERLINK("https://www.sds-group.ru/product/montazhnyy-komplekt-dlya-soedineniya-i-okontsevaniya-kabelya-tkr-rexant-51-0681/", "Инфо")</f>
        <v>Инфо</v>
      </c>
      <c r="F10092" s="42" t="s">
        <v>1001</v>
      </c>
      <c r="G10092" s="41" t="s">
        <v>40</v>
      </c>
      <c r="H10092" s="41"/>
      <c r="I10092" s="41"/>
      <c r="J10092" s="43">
        <v>294</v>
      </c>
      <c r="K10092" s="41"/>
      <c r="L10092" s="43">
        <v>1</v>
      </c>
      <c r="M10092" s="43">
        <v>1</v>
      </c>
      <c r="N10092" s="43">
        <v>1</v>
      </c>
      <c r="O10092" s="44">
        <v>1409.8</v>
      </c>
      <c r="P10092" s="44">
        <v>1155.57</v>
      </c>
      <c r="Q10092" s="44">
        <v>1409.8</v>
      </c>
      <c r="R10092" s="44">
        <v>1155.57</v>
      </c>
      <c r="S10092" s="44">
        <v>958.66</v>
      </c>
      <c r="T10092" s="44">
        <v>785.79</v>
      </c>
      <c r="U10092" s="42"/>
      <c r="V10092" s="42"/>
      <c r="W10092" s="42" t="s">
        <v>40</v>
      </c>
      <c r="X10092" s="45">
        <v>6.0999999999999999E-2</v>
      </c>
      <c r="Y10092" s="46">
        <v>7.2599999999999997E-4</v>
      </c>
      <c r="Z10092" s="21">
        <v>4601004341890</v>
      </c>
    </row>
    <row r="10093" spans="1:26" ht="12" customHeight="1" outlineLevel="3" x14ac:dyDescent="0.2">
      <c r="A10093" s="14" t="s">
        <v>19223</v>
      </c>
      <c r="B10093" s="26" t="s">
        <v>19224</v>
      </c>
      <c r="C10093" s="52"/>
      <c r="D10093" s="55">
        <f t="shared" si="157"/>
        <v>0</v>
      </c>
      <c r="E10093" s="63" t="str">
        <f>HYPERLINK("https://www.sds-group.ru/product/nabor-universalnyy-dlya-zadelki-samoreguliruyuschegosya-kabelya-rexant-51-0615/", "Инфо")</f>
        <v>Инфо</v>
      </c>
      <c r="F10093" s="16" t="s">
        <v>1001</v>
      </c>
      <c r="G10093" s="15"/>
      <c r="H10093" s="15"/>
      <c r="I10093" s="15"/>
      <c r="J10093" s="22">
        <v>3933</v>
      </c>
      <c r="K10093" s="15"/>
      <c r="L10093" s="17">
        <v>1</v>
      </c>
      <c r="M10093" s="17">
        <v>100</v>
      </c>
      <c r="N10093" s="17">
        <v>1</v>
      </c>
      <c r="O10093" s="18">
        <v>652.21</v>
      </c>
      <c r="P10093" s="18">
        <v>534.6</v>
      </c>
      <c r="Q10093" s="18">
        <v>586.99</v>
      </c>
      <c r="R10093" s="18">
        <v>481.14</v>
      </c>
      <c r="S10093" s="18">
        <v>443.5</v>
      </c>
      <c r="T10093" s="18">
        <v>363.52</v>
      </c>
      <c r="U10093" s="16"/>
      <c r="V10093" s="16"/>
      <c r="W10093" s="16" t="s">
        <v>40</v>
      </c>
      <c r="X10093" s="19">
        <v>0.04</v>
      </c>
      <c r="Y10093" s="20">
        <v>3.8299999999999999E-4</v>
      </c>
      <c r="Z10093" s="21">
        <v>4601004043145</v>
      </c>
    </row>
    <row r="10094" spans="1:26" ht="12" customHeight="1" outlineLevel="3" x14ac:dyDescent="0.2">
      <c r="A10094" s="14" t="s">
        <v>19225</v>
      </c>
      <c r="B10094" s="26" t="s">
        <v>19226</v>
      </c>
      <c r="C10094" s="52"/>
      <c r="D10094" s="55">
        <f t="shared" si="157"/>
        <v>0</v>
      </c>
      <c r="E10094" s="63" t="str">
        <f>HYPERLINK("https://www.sds-group.ru/product/nabor-universalnyy-dlya-soedineniya-i-kontsevoy-zadelki-samoreguliruyuschegosya-kabelya-re-51-0615-1/", "Инфо")</f>
        <v>Инфо</v>
      </c>
      <c r="F10094" s="16" t="s">
        <v>39</v>
      </c>
      <c r="G10094" s="15"/>
      <c r="H10094" s="15"/>
      <c r="I10094" s="15"/>
      <c r="J10094" s="22">
        <v>6616</v>
      </c>
      <c r="K10094" s="15" t="s">
        <v>4701</v>
      </c>
      <c r="L10094" s="17">
        <v>1</v>
      </c>
      <c r="M10094" s="17">
        <v>150</v>
      </c>
      <c r="N10094" s="17">
        <v>1</v>
      </c>
      <c r="O10094" s="18">
        <v>582.13</v>
      </c>
      <c r="P10094" s="18">
        <v>477.16</v>
      </c>
      <c r="Q10094" s="18">
        <v>465.7</v>
      </c>
      <c r="R10094" s="18">
        <v>381.72</v>
      </c>
      <c r="S10094" s="18">
        <v>395.85</v>
      </c>
      <c r="T10094" s="18">
        <v>324.47000000000003</v>
      </c>
      <c r="U10094" s="16"/>
      <c r="V10094" s="16"/>
      <c r="W10094" s="16" t="s">
        <v>40</v>
      </c>
      <c r="X10094" s="19">
        <v>3.4000000000000002E-2</v>
      </c>
      <c r="Y10094" s="20">
        <v>2.7099999999999997E-4</v>
      </c>
      <c r="Z10094" s="21">
        <v>4601004099920</v>
      </c>
    </row>
    <row r="10095" spans="1:26" ht="12" customHeight="1" outlineLevel="3" x14ac:dyDescent="0.2">
      <c r="A10095" s="14" t="s">
        <v>19227</v>
      </c>
      <c r="B10095" s="26" t="s">
        <v>19228</v>
      </c>
      <c r="C10095" s="52"/>
      <c r="D10095" s="55">
        <f t="shared" si="157"/>
        <v>0</v>
      </c>
      <c r="E10095" s="63" t="str">
        <f>HYPERLINK("https://www.sds-group.ru/product/nabor-universalnyy-dlya-soedineniya-i-kontsevoy-zadelki-samoreguliruyuschegosya-kabelya-ekon-51-0614/", "Инфо")</f>
        <v>Инфо</v>
      </c>
      <c r="F10095" s="16" t="s">
        <v>1001</v>
      </c>
      <c r="G10095" s="15"/>
      <c r="H10095" s="15"/>
      <c r="I10095" s="15"/>
      <c r="J10095" s="22">
        <v>6362</v>
      </c>
      <c r="K10095" s="15" t="s">
        <v>4720</v>
      </c>
      <c r="L10095" s="17">
        <v>1</v>
      </c>
      <c r="M10095" s="17">
        <v>100</v>
      </c>
      <c r="N10095" s="17">
        <v>1</v>
      </c>
      <c r="O10095" s="18">
        <v>480.75</v>
      </c>
      <c r="P10095" s="18">
        <v>394.06</v>
      </c>
      <c r="Q10095" s="18">
        <v>408.64</v>
      </c>
      <c r="R10095" s="18">
        <v>334.95</v>
      </c>
      <c r="S10095" s="18">
        <v>326.91000000000003</v>
      </c>
      <c r="T10095" s="18">
        <v>267.95999999999998</v>
      </c>
      <c r="U10095" s="16"/>
      <c r="V10095" s="16"/>
      <c r="W10095" s="16" t="s">
        <v>40</v>
      </c>
      <c r="X10095" s="19">
        <v>2.8000000000000001E-2</v>
      </c>
      <c r="Y10095" s="20">
        <v>2.5099999999999998E-4</v>
      </c>
      <c r="Z10095" s="21">
        <v>4601004043138</v>
      </c>
    </row>
    <row r="10096" spans="1:26" ht="12" customHeight="1" outlineLevel="3" x14ac:dyDescent="0.2">
      <c r="A10096" s="14" t="s">
        <v>19229</v>
      </c>
      <c r="B10096" s="26" t="s">
        <v>19230</v>
      </c>
      <c r="C10096" s="52"/>
      <c r="D10096" s="55">
        <f t="shared" si="157"/>
        <v>0</v>
      </c>
      <c r="E10096" s="63" t="str">
        <f>HYPERLINK("https://www.sds-group.ru/product/nabor-universalnyy-dlya-soedineniya-i-kontsevoy-zadelki-samoreguliruyuschegosya-neekraniro-51-0614-1/", "Инфо")</f>
        <v>Инфо</v>
      </c>
      <c r="F10096" s="16" t="s">
        <v>1001</v>
      </c>
      <c r="G10096" s="15"/>
      <c r="H10096" s="15"/>
      <c r="I10096" s="15"/>
      <c r="J10096" s="22">
        <v>1827</v>
      </c>
      <c r="K10096" s="15"/>
      <c r="L10096" s="17">
        <v>5</v>
      </c>
      <c r="M10096" s="17">
        <v>250</v>
      </c>
      <c r="N10096" s="17">
        <v>5</v>
      </c>
      <c r="O10096" s="18">
        <v>340.24</v>
      </c>
      <c r="P10096" s="18">
        <v>278.89</v>
      </c>
      <c r="Q10096" s="18">
        <v>289.2</v>
      </c>
      <c r="R10096" s="18">
        <v>237.05</v>
      </c>
      <c r="S10096" s="18">
        <v>231.36</v>
      </c>
      <c r="T10096" s="18">
        <v>189.64</v>
      </c>
      <c r="U10096" s="16"/>
      <c r="V10096" s="16"/>
      <c r="W10096" s="16" t="s">
        <v>40</v>
      </c>
      <c r="X10096" s="19">
        <v>1.9E-2</v>
      </c>
      <c r="Y10096" s="20">
        <v>1.21E-4</v>
      </c>
      <c r="Z10096" s="21">
        <v>4601004330870</v>
      </c>
    </row>
    <row r="10097" spans="1:26" ht="12" customHeight="1" outlineLevel="3" x14ac:dyDescent="0.2">
      <c r="A10097" s="40" t="s">
        <v>19231</v>
      </c>
      <c r="B10097" s="75" t="s">
        <v>19232</v>
      </c>
      <c r="C10097" s="51"/>
      <c r="D10097" s="54">
        <f t="shared" si="157"/>
        <v>0</v>
      </c>
      <c r="E10097" s="62"/>
      <c r="F10097" s="42" t="s">
        <v>39</v>
      </c>
      <c r="G10097" s="41" t="s">
        <v>40</v>
      </c>
      <c r="H10097" s="41"/>
      <c r="I10097" s="41"/>
      <c r="J10097" s="47">
        <v>5000</v>
      </c>
      <c r="K10097" s="41"/>
      <c r="L10097" s="43">
        <v>100</v>
      </c>
      <c r="M10097" s="43">
        <v>100</v>
      </c>
      <c r="N10097" s="43">
        <v>100</v>
      </c>
      <c r="O10097" s="44">
        <v>36.25</v>
      </c>
      <c r="P10097" s="44">
        <v>29.71</v>
      </c>
      <c r="Q10097" s="44">
        <v>36.25</v>
      </c>
      <c r="R10097" s="44">
        <v>29.71</v>
      </c>
      <c r="S10097" s="44">
        <v>24.65</v>
      </c>
      <c r="T10097" s="44">
        <v>20.2</v>
      </c>
      <c r="U10097" s="42"/>
      <c r="V10097" s="42"/>
      <c r="W10097" s="42" t="s">
        <v>40</v>
      </c>
      <c r="X10097" s="45">
        <v>3.0000000000000001E-3</v>
      </c>
      <c r="Y10097" s="46">
        <v>1.2E-5</v>
      </c>
      <c r="Z10097" s="21">
        <v>4601004342705</v>
      </c>
    </row>
    <row r="10098" spans="1:26" ht="12" customHeight="1" outlineLevel="3" x14ac:dyDescent="0.2">
      <c r="A10098" s="14" t="s">
        <v>19233</v>
      </c>
      <c r="B10098" s="26" t="s">
        <v>19234</v>
      </c>
      <c r="C10098" s="52"/>
      <c r="D10098" s="55">
        <f t="shared" si="157"/>
        <v>0</v>
      </c>
      <c r="E10098" s="63" t="str">
        <f>HYPERLINK("https://www.sds-group.ru/product/salnik-s-dvoynoy-rezboy-1-2-i-3-4-dlya-vvoda-kabelya-v-trubu-proconnect-51-0610-2/", "Инфо")</f>
        <v>Инфо</v>
      </c>
      <c r="F10098" s="16" t="s">
        <v>39</v>
      </c>
      <c r="G10098" s="15"/>
      <c r="H10098" s="15"/>
      <c r="I10098" s="15"/>
      <c r="J10098" s="17">
        <v>890</v>
      </c>
      <c r="K10098" s="15"/>
      <c r="L10098" s="17">
        <v>1</v>
      </c>
      <c r="M10098" s="17">
        <v>180</v>
      </c>
      <c r="N10098" s="17">
        <v>1</v>
      </c>
      <c r="O10098" s="18">
        <v>741.86</v>
      </c>
      <c r="P10098" s="18">
        <v>608.08000000000004</v>
      </c>
      <c r="Q10098" s="18">
        <v>593.49</v>
      </c>
      <c r="R10098" s="18">
        <v>486.47</v>
      </c>
      <c r="S10098" s="18">
        <v>504.46</v>
      </c>
      <c r="T10098" s="18">
        <v>413.49</v>
      </c>
      <c r="U10098" s="16"/>
      <c r="V10098" s="16"/>
      <c r="W10098" s="16" t="s">
        <v>40</v>
      </c>
      <c r="X10098" s="19">
        <v>0.123</v>
      </c>
      <c r="Y10098" s="20">
        <v>3.5500000000000001E-4</v>
      </c>
      <c r="Z10098" s="21">
        <v>4601004073760</v>
      </c>
    </row>
    <row r="10099" spans="1:26" ht="12" customHeight="1" outlineLevel="3" x14ac:dyDescent="0.2">
      <c r="A10099" s="14" t="s">
        <v>19235</v>
      </c>
      <c r="B10099" s="26" t="s">
        <v>19236</v>
      </c>
      <c r="C10099" s="52"/>
      <c r="D10099" s="55">
        <f t="shared" si="157"/>
        <v>0</v>
      </c>
      <c r="E10099" s="63" t="str">
        <f>HYPERLINK("https://www.sds-group.ru/product/salnik-s-rezboy-1-2-dlya-vvoda-kabelya-v-trubu-proconnect-51-0610-1/", "Инфо")</f>
        <v>Инфо</v>
      </c>
      <c r="F10099" s="16" t="s">
        <v>39</v>
      </c>
      <c r="G10099" s="15"/>
      <c r="H10099" s="15"/>
      <c r="I10099" s="15"/>
      <c r="J10099" s="22">
        <v>3739</v>
      </c>
      <c r="K10099" s="15"/>
      <c r="L10099" s="17">
        <v>1</v>
      </c>
      <c r="M10099" s="17">
        <v>200</v>
      </c>
      <c r="N10099" s="17">
        <v>1</v>
      </c>
      <c r="O10099" s="18">
        <v>542.75</v>
      </c>
      <c r="P10099" s="18">
        <v>444.88</v>
      </c>
      <c r="Q10099" s="18">
        <v>434.2</v>
      </c>
      <c r="R10099" s="18">
        <v>355.9</v>
      </c>
      <c r="S10099" s="18">
        <v>369.07</v>
      </c>
      <c r="T10099" s="18">
        <v>302.52</v>
      </c>
      <c r="U10099" s="16"/>
      <c r="V10099" s="16"/>
      <c r="W10099" s="16" t="s">
        <v>40</v>
      </c>
      <c r="X10099" s="19">
        <v>7.5999999999999998E-2</v>
      </c>
      <c r="Y10099" s="20">
        <v>9.8999999999999994E-5</v>
      </c>
      <c r="Z10099" s="21">
        <v>4601004073753</v>
      </c>
    </row>
    <row r="10100" spans="1:26" ht="12.95" customHeight="1" outlineLevel="1" x14ac:dyDescent="0.2">
      <c r="A10100" s="78" t="s">
        <v>19237</v>
      </c>
      <c r="B10100" s="78"/>
      <c r="C10100" s="79"/>
      <c r="D10100" s="57"/>
      <c r="E10100" s="67"/>
      <c r="F10100" s="12"/>
      <c r="G10100" s="12"/>
      <c r="H10100" s="12"/>
      <c r="I10100" s="12"/>
      <c r="J10100" s="12"/>
      <c r="K10100" s="12"/>
      <c r="L10100" s="12"/>
      <c r="M10100" s="12"/>
      <c r="N10100" s="12"/>
      <c r="O10100" s="12"/>
      <c r="P10100" s="12"/>
      <c r="Q10100" s="12"/>
      <c r="R10100" s="12"/>
      <c r="S10100" s="12"/>
      <c r="T10100" s="12"/>
      <c r="U10100" s="12"/>
      <c r="V10100" s="12"/>
      <c r="W10100" s="12"/>
      <c r="X10100" s="12"/>
      <c r="Y10100" s="12"/>
      <c r="Z10100" s="12"/>
    </row>
    <row r="10101" spans="1:26" ht="12.95" customHeight="1" outlineLevel="2" x14ac:dyDescent="0.2">
      <c r="A10101" s="76" t="s">
        <v>19238</v>
      </c>
      <c r="B10101" s="76"/>
      <c r="C10101" s="77"/>
      <c r="D10101" s="58"/>
      <c r="E10101" s="68"/>
      <c r="F10101" s="13"/>
      <c r="G10101" s="13"/>
      <c r="H10101" s="13"/>
      <c r="I10101" s="13"/>
      <c r="J10101" s="13"/>
      <c r="K10101" s="13"/>
      <c r="L10101" s="13"/>
      <c r="M10101" s="13"/>
      <c r="N10101" s="13"/>
      <c r="O10101" s="13"/>
      <c r="P10101" s="13"/>
      <c r="Q10101" s="13"/>
      <c r="R10101" s="13"/>
      <c r="S10101" s="13"/>
      <c r="T10101" s="13"/>
      <c r="U10101" s="13"/>
      <c r="V10101" s="13"/>
      <c r="W10101" s="13"/>
      <c r="X10101" s="13"/>
      <c r="Y10101" s="13"/>
      <c r="Z10101" s="13"/>
    </row>
    <row r="10102" spans="1:26" ht="12" customHeight="1" outlineLevel="3" x14ac:dyDescent="0.2">
      <c r="A10102" s="32" t="s">
        <v>19239</v>
      </c>
      <c r="B10102" s="74" t="s">
        <v>19240</v>
      </c>
      <c r="C10102" s="50"/>
      <c r="D10102" s="53">
        <f t="shared" si="157"/>
        <v>0</v>
      </c>
      <c r="E10102" s="60" t="str">
        <f>HYPERLINK("https://www.sds-group.ru/product/ventilyator-napolnyy-dx-40-40vt-dux-60-0218/", "Инфо")</f>
        <v>Инфо</v>
      </c>
      <c r="F10102" s="34" t="s">
        <v>39</v>
      </c>
      <c r="G10102" s="33"/>
      <c r="H10102" s="33" t="s">
        <v>40</v>
      </c>
      <c r="I10102" s="33"/>
      <c r="J10102" s="35">
        <v>46</v>
      </c>
      <c r="K10102" s="33"/>
      <c r="L10102" s="35">
        <v>1</v>
      </c>
      <c r="M10102" s="35">
        <v>3</v>
      </c>
      <c r="N10102" s="35">
        <v>1</v>
      </c>
      <c r="O10102" s="36">
        <v>3422.72</v>
      </c>
      <c r="P10102" s="36">
        <v>2805.51</v>
      </c>
      <c r="Q10102" s="36">
        <v>2395.9</v>
      </c>
      <c r="R10102" s="36">
        <v>1963.85</v>
      </c>
      <c r="S10102" s="36">
        <v>2327.4499999999998</v>
      </c>
      <c r="T10102" s="36">
        <v>1907.75</v>
      </c>
      <c r="U10102" s="34"/>
      <c r="V10102" s="34"/>
      <c r="W10102" s="34" t="s">
        <v>40</v>
      </c>
      <c r="X10102" s="37">
        <v>3.472</v>
      </c>
      <c r="Y10102" s="38">
        <v>3.3045999999999999E-2</v>
      </c>
      <c r="Z10102" s="21">
        <v>4601004294738</v>
      </c>
    </row>
    <row r="10103" spans="1:26" ht="12" customHeight="1" outlineLevel="3" x14ac:dyDescent="0.2">
      <c r="A10103" s="32" t="s">
        <v>19241</v>
      </c>
      <c r="B10103" s="74" t="s">
        <v>19242</v>
      </c>
      <c r="C10103" s="50"/>
      <c r="D10103" s="53">
        <f t="shared" si="157"/>
        <v>0</v>
      </c>
      <c r="E10103" s="60" t="str">
        <f>HYPERLINK("https://www.sds-group.ru/product/ventilyator-napolnyy-14-dx-400-50vt-dux-60-0240/", "Инфо")</f>
        <v>Инфо</v>
      </c>
      <c r="F10103" s="34" t="s">
        <v>39</v>
      </c>
      <c r="G10103" s="33"/>
      <c r="H10103" s="33" t="s">
        <v>40</v>
      </c>
      <c r="I10103" s="33"/>
      <c r="J10103" s="35">
        <v>31</v>
      </c>
      <c r="K10103" s="33"/>
      <c r="L10103" s="35">
        <v>1</v>
      </c>
      <c r="M10103" s="35">
        <v>4</v>
      </c>
      <c r="N10103" s="35">
        <v>1</v>
      </c>
      <c r="O10103" s="36">
        <v>4597.75</v>
      </c>
      <c r="P10103" s="36">
        <v>3768.65</v>
      </c>
      <c r="Q10103" s="36">
        <v>3448.31</v>
      </c>
      <c r="R10103" s="36">
        <v>2826.48</v>
      </c>
      <c r="S10103" s="36">
        <v>3126.47</v>
      </c>
      <c r="T10103" s="36">
        <v>2562.6799999999998</v>
      </c>
      <c r="U10103" s="34"/>
      <c r="V10103" s="34"/>
      <c r="W10103" s="34" t="s">
        <v>40</v>
      </c>
      <c r="X10103" s="37">
        <v>3.556</v>
      </c>
      <c r="Y10103" s="38">
        <v>4.7378999999999998E-2</v>
      </c>
      <c r="Z10103" s="21">
        <v>4601004294783</v>
      </c>
    </row>
    <row r="10104" spans="1:26" ht="12.95" customHeight="1" outlineLevel="1" x14ac:dyDescent="0.2">
      <c r="A10104" s="78" t="s">
        <v>19243</v>
      </c>
      <c r="B10104" s="78"/>
      <c r="C10104" s="79"/>
      <c r="D10104" s="57"/>
      <c r="E10104" s="67"/>
      <c r="F10104" s="12"/>
      <c r="G10104" s="12"/>
      <c r="H10104" s="12"/>
      <c r="I10104" s="12"/>
      <c r="J10104" s="12"/>
      <c r="K10104" s="12"/>
      <c r="L10104" s="12"/>
      <c r="M10104" s="12"/>
      <c r="N10104" s="12"/>
      <c r="O10104" s="12"/>
      <c r="P10104" s="12"/>
      <c r="Q10104" s="12"/>
      <c r="R10104" s="12"/>
      <c r="S10104" s="12"/>
      <c r="T10104" s="12"/>
      <c r="U10104" s="12"/>
      <c r="V10104" s="12"/>
      <c r="W10104" s="12"/>
      <c r="X10104" s="12"/>
      <c r="Y10104" s="12"/>
      <c r="Z10104" s="12"/>
    </row>
    <row r="10105" spans="1:26" ht="12.95" customHeight="1" outlineLevel="2" x14ac:dyDescent="0.2">
      <c r="A10105" s="76" t="s">
        <v>19244</v>
      </c>
      <c r="B10105" s="76"/>
      <c r="C10105" s="77"/>
      <c r="D10105" s="58"/>
      <c r="E10105" s="68"/>
      <c r="F10105" s="13"/>
      <c r="G10105" s="13"/>
      <c r="H10105" s="13"/>
      <c r="I10105" s="13"/>
      <c r="J10105" s="13"/>
      <c r="K10105" s="13"/>
      <c r="L10105" s="13"/>
      <c r="M10105" s="13"/>
      <c r="N10105" s="13"/>
      <c r="O10105" s="13"/>
      <c r="P10105" s="13"/>
      <c r="Q10105" s="13"/>
      <c r="R10105" s="13"/>
      <c r="S10105" s="13"/>
      <c r="T10105" s="13"/>
      <c r="U10105" s="13"/>
      <c r="V10105" s="13"/>
      <c r="W10105" s="13"/>
      <c r="X10105" s="13"/>
      <c r="Y10105" s="13"/>
      <c r="Z10105" s="13"/>
    </row>
    <row r="10106" spans="1:26" ht="12" customHeight="1" outlineLevel="3" x14ac:dyDescent="0.2">
      <c r="A10106" s="14" t="s">
        <v>19245</v>
      </c>
      <c r="B10106" s="26" t="s">
        <v>19246</v>
      </c>
      <c r="C10106" s="52"/>
      <c r="D10106" s="55">
        <f t="shared" si="157"/>
        <v>0</v>
      </c>
      <c r="E10106" s="63" t="str">
        <f>HYPERLINK("https://www.sds-group.ru/product/teploventilyator-elektricheskiy-nastolnyy-2kvt-so-spiralnym-nagrevatelnym-elementom-belyy-re-60-0033/", "Инфо")</f>
        <v>Инфо</v>
      </c>
      <c r="F10106" s="16" t="s">
        <v>39</v>
      </c>
      <c r="G10106" s="15"/>
      <c r="H10106" s="15"/>
      <c r="I10106" s="15"/>
      <c r="J10106" s="16" t="s">
        <v>100</v>
      </c>
      <c r="K10106" s="15"/>
      <c r="L10106" s="17">
        <v>1</v>
      </c>
      <c r="M10106" s="17">
        <v>6</v>
      </c>
      <c r="N10106" s="17">
        <v>1</v>
      </c>
      <c r="O10106" s="18">
        <v>1886.54</v>
      </c>
      <c r="P10106" s="18">
        <v>1546.34</v>
      </c>
      <c r="Q10106" s="18">
        <v>1509.23</v>
      </c>
      <c r="R10106" s="18">
        <v>1237.07</v>
      </c>
      <c r="S10106" s="18">
        <v>1282.8499999999999</v>
      </c>
      <c r="T10106" s="18">
        <v>1051.52</v>
      </c>
      <c r="U10106" s="16"/>
      <c r="V10106" s="16"/>
      <c r="W10106" s="16" t="s">
        <v>40</v>
      </c>
      <c r="X10106" s="19">
        <v>1.0669999999999999</v>
      </c>
      <c r="Y10106" s="20">
        <v>7.4749999999999999E-3</v>
      </c>
      <c r="Z10106" s="21">
        <v>4601004302167</v>
      </c>
    </row>
    <row r="10107" spans="1:26" ht="12" customHeight="1" outlineLevel="3" x14ac:dyDescent="0.2">
      <c r="A10107" s="32" t="s">
        <v>19247</v>
      </c>
      <c r="B10107" s="74" t="s">
        <v>19248</v>
      </c>
      <c r="C10107" s="50"/>
      <c r="D10107" s="53">
        <f t="shared" si="157"/>
        <v>0</v>
      </c>
      <c r="E10107" s="60" t="str">
        <f>HYPERLINK("https://www.sds-group.ru/product/teploventilyator-elektricheskiy-nastolnyy-2kvt-so-spiralnym-nagrevatelnym-elementom-chernyy--60-0034/", "Инфо")</f>
        <v>Инфо</v>
      </c>
      <c r="F10107" s="34" t="s">
        <v>39</v>
      </c>
      <c r="G10107" s="33"/>
      <c r="H10107" s="33" t="s">
        <v>40</v>
      </c>
      <c r="I10107" s="33"/>
      <c r="J10107" s="35">
        <v>70</v>
      </c>
      <c r="K10107" s="33"/>
      <c r="L10107" s="35">
        <v>1</v>
      </c>
      <c r="M10107" s="35">
        <v>8</v>
      </c>
      <c r="N10107" s="35">
        <v>1</v>
      </c>
      <c r="O10107" s="36">
        <v>2156.04</v>
      </c>
      <c r="P10107" s="36">
        <v>1767.25</v>
      </c>
      <c r="Q10107" s="36">
        <v>1724.83</v>
      </c>
      <c r="R10107" s="36">
        <v>1413.8</v>
      </c>
      <c r="S10107" s="36">
        <v>1466.11</v>
      </c>
      <c r="T10107" s="36">
        <v>1201.73</v>
      </c>
      <c r="U10107" s="34"/>
      <c r="V10107" s="34"/>
      <c r="W10107" s="34" t="s">
        <v>40</v>
      </c>
      <c r="X10107" s="37">
        <v>1.0609999999999999</v>
      </c>
      <c r="Y10107" s="38">
        <v>7.4289999999999998E-3</v>
      </c>
      <c r="Z10107" s="21">
        <v>4601004302174</v>
      </c>
    </row>
    <row r="10108" spans="1:26" ht="12.95" customHeight="1" outlineLevel="2" x14ac:dyDescent="0.2">
      <c r="A10108" s="76" t="s">
        <v>19249</v>
      </c>
      <c r="B10108" s="76"/>
      <c r="C10108" s="77"/>
      <c r="D10108" s="58"/>
      <c r="E10108" s="68"/>
      <c r="F10108" s="13"/>
      <c r="G10108" s="13"/>
      <c r="H10108" s="13"/>
      <c r="I10108" s="13"/>
      <c r="J10108" s="13"/>
      <c r="K10108" s="13"/>
      <c r="L10108" s="13"/>
      <c r="M10108" s="13"/>
      <c r="N10108" s="13"/>
      <c r="O10108" s="13"/>
      <c r="P10108" s="13"/>
      <c r="Q10108" s="13"/>
      <c r="R10108" s="13"/>
      <c r="S10108" s="13"/>
      <c r="T10108" s="13"/>
      <c r="U10108" s="13"/>
      <c r="V10108" s="13"/>
      <c r="W10108" s="13"/>
      <c r="X10108" s="13"/>
      <c r="Y10108" s="13"/>
      <c r="Z10108" s="13"/>
    </row>
    <row r="10109" spans="1:26" ht="12.95" customHeight="1" outlineLevel="3" x14ac:dyDescent="0.2">
      <c r="A10109" s="76" t="s">
        <v>19250</v>
      </c>
      <c r="B10109" s="76"/>
      <c r="C10109" s="77"/>
      <c r="D10109" s="58"/>
      <c r="E10109" s="68"/>
      <c r="F10109" s="13"/>
      <c r="G10109" s="13"/>
      <c r="H10109" s="13"/>
      <c r="I10109" s="13"/>
      <c r="J10109" s="13"/>
      <c r="K10109" s="13"/>
      <c r="L10109" s="13"/>
      <c r="M10109" s="13"/>
      <c r="N10109" s="13"/>
      <c r="O10109" s="13"/>
      <c r="P10109" s="13"/>
      <c r="Q10109" s="13"/>
      <c r="R10109" s="13"/>
      <c r="S10109" s="13"/>
      <c r="T10109" s="13"/>
      <c r="U10109" s="13"/>
      <c r="V10109" s="13"/>
      <c r="W10109" s="13"/>
      <c r="X10109" s="13"/>
      <c r="Y10109" s="13"/>
      <c r="Z10109" s="13"/>
    </row>
    <row r="10110" spans="1:26" ht="12" customHeight="1" outlineLevel="4" x14ac:dyDescent="0.2">
      <c r="A10110" s="14" t="s">
        <v>19251</v>
      </c>
      <c r="B10110" s="26" t="s">
        <v>19252</v>
      </c>
      <c r="C10110" s="52"/>
      <c r="D10110" s="55">
        <f t="shared" si="157"/>
        <v>0</v>
      </c>
      <c r="E10110" s="63" t="str">
        <f>HYPERLINK("https://www.sds-group.ru/product/konvektor-elektricheskiy-s-mehanicheskim-termostatom-0-5kvt-stich-nagrevatelnyy-element-rexa-60-0126/", "Инфо")</f>
        <v>Инфо</v>
      </c>
      <c r="F10110" s="16" t="s">
        <v>39</v>
      </c>
      <c r="G10110" s="15"/>
      <c r="H10110" s="15"/>
      <c r="I10110" s="15"/>
      <c r="J10110" s="17">
        <v>96</v>
      </c>
      <c r="K10110" s="15"/>
      <c r="L10110" s="17">
        <v>1</v>
      </c>
      <c r="M10110" s="17">
        <v>2</v>
      </c>
      <c r="N10110" s="17">
        <v>1</v>
      </c>
      <c r="O10110" s="18">
        <v>5109.2</v>
      </c>
      <c r="P10110" s="18">
        <v>4187.87</v>
      </c>
      <c r="Q10110" s="18">
        <v>3831.9</v>
      </c>
      <c r="R10110" s="18">
        <v>3140.9</v>
      </c>
      <c r="S10110" s="18">
        <v>3474.26</v>
      </c>
      <c r="T10110" s="18">
        <v>2847.75</v>
      </c>
      <c r="U10110" s="16"/>
      <c r="V10110" s="16"/>
      <c r="W10110" s="16" t="s">
        <v>40</v>
      </c>
      <c r="X10110" s="19">
        <v>3.3479999999999999</v>
      </c>
      <c r="Y10110" s="20">
        <v>3.1087E-2</v>
      </c>
      <c r="Z10110" s="21">
        <v>4601004310254</v>
      </c>
    </row>
    <row r="10111" spans="1:26" ht="12" customHeight="1" outlineLevel="4" x14ac:dyDescent="0.2">
      <c r="A10111" s="14" t="s">
        <v>19253</v>
      </c>
      <c r="B10111" s="26" t="s">
        <v>19254</v>
      </c>
      <c r="C10111" s="52"/>
      <c r="D10111" s="55">
        <f t="shared" si="157"/>
        <v>0</v>
      </c>
      <c r="E10111" s="63" t="str">
        <f>HYPERLINK("https://www.sds-group.ru/product/konvektor-elektricheskiy-s-mehanicheskim-termostatom-1-5kvt-stich-nagrevatelnyy-element-rexa-60-0094/", "Инфо")</f>
        <v>Инфо</v>
      </c>
      <c r="F10111" s="16" t="s">
        <v>39</v>
      </c>
      <c r="G10111" s="15"/>
      <c r="H10111" s="15"/>
      <c r="I10111" s="15"/>
      <c r="J10111" s="17">
        <v>116</v>
      </c>
      <c r="K10111" s="15" t="s">
        <v>19024</v>
      </c>
      <c r="L10111" s="17">
        <v>1</v>
      </c>
      <c r="M10111" s="17">
        <v>2</v>
      </c>
      <c r="N10111" s="17">
        <v>1</v>
      </c>
      <c r="O10111" s="18">
        <v>5792.9</v>
      </c>
      <c r="P10111" s="18">
        <v>4748.28</v>
      </c>
      <c r="Q10111" s="18">
        <v>4344.68</v>
      </c>
      <c r="R10111" s="18">
        <v>3561.21</v>
      </c>
      <c r="S10111" s="18">
        <v>3939.17</v>
      </c>
      <c r="T10111" s="18">
        <v>3228.83</v>
      </c>
      <c r="U10111" s="16"/>
      <c r="V10111" s="16"/>
      <c r="W10111" s="16" t="s">
        <v>40</v>
      </c>
      <c r="X10111" s="19">
        <v>4.0890000000000004</v>
      </c>
      <c r="Y10111" s="20">
        <v>3.9468000000000003E-2</v>
      </c>
      <c r="Z10111" s="21">
        <v>4601004302303</v>
      </c>
    </row>
    <row r="10112" spans="1:26" ht="12" customHeight="1" outlineLevel="4" x14ac:dyDescent="0.2">
      <c r="A10112" s="14" t="s">
        <v>19255</v>
      </c>
      <c r="B10112" s="26" t="s">
        <v>19256</v>
      </c>
      <c r="C10112" s="52"/>
      <c r="D10112" s="55">
        <f t="shared" si="157"/>
        <v>0</v>
      </c>
      <c r="E10112" s="63" t="str">
        <f>HYPERLINK("https://www.sds-group.ru/product/konvektor-elektricheskiy-s-mehanicheskim-termostatom-1-5kvt-stich-nagrevatelnyy-element-nozh-60-0119/", "Инфо")</f>
        <v>Инфо</v>
      </c>
      <c r="F10112" s="16" t="s">
        <v>39</v>
      </c>
      <c r="G10112" s="15"/>
      <c r="H10112" s="15"/>
      <c r="I10112" s="15"/>
      <c r="J10112" s="17">
        <v>859</v>
      </c>
      <c r="K10112" s="15" t="s">
        <v>19024</v>
      </c>
      <c r="L10112" s="17">
        <v>1</v>
      </c>
      <c r="M10112" s="17">
        <v>1</v>
      </c>
      <c r="N10112" s="17">
        <v>1</v>
      </c>
      <c r="O10112" s="18">
        <v>5066.6899999999996</v>
      </c>
      <c r="P10112" s="18">
        <v>4153.0200000000004</v>
      </c>
      <c r="Q10112" s="18">
        <v>3800.02</v>
      </c>
      <c r="R10112" s="18">
        <v>3114.77</v>
      </c>
      <c r="S10112" s="18">
        <v>3445.35</v>
      </c>
      <c r="T10112" s="18">
        <v>2824.06</v>
      </c>
      <c r="U10112" s="16"/>
      <c r="V10112" s="16"/>
      <c r="W10112" s="16" t="s">
        <v>40</v>
      </c>
      <c r="X10112" s="19">
        <v>3.863</v>
      </c>
      <c r="Y10112" s="20">
        <v>3.7265E-2</v>
      </c>
      <c r="Z10112" s="21">
        <v>4601004309272</v>
      </c>
    </row>
    <row r="10113" spans="1:26" ht="12" customHeight="1" outlineLevel="4" x14ac:dyDescent="0.2">
      <c r="A10113" s="14" t="s">
        <v>19257</v>
      </c>
      <c r="B10113" s="26" t="s">
        <v>19258</v>
      </c>
      <c r="C10113" s="52"/>
      <c r="D10113" s="55">
        <f t="shared" si="157"/>
        <v>0</v>
      </c>
      <c r="E10113" s="63" t="str">
        <f>HYPERLINK("https://www.sds-group.ru/product/konvektor-elektricheskiy-s-mehanicheskim-termostatom-1kvt-stich-nagrevatelnyy-element-rexant-60-0093/", "Инфо")</f>
        <v>Инфо</v>
      </c>
      <c r="F10113" s="16" t="s">
        <v>39</v>
      </c>
      <c r="G10113" s="15"/>
      <c r="H10113" s="15"/>
      <c r="I10113" s="15"/>
      <c r="J10113" s="17">
        <v>51</v>
      </c>
      <c r="K10113" s="15"/>
      <c r="L10113" s="17">
        <v>1</v>
      </c>
      <c r="M10113" s="17">
        <v>2</v>
      </c>
      <c r="N10113" s="17">
        <v>1</v>
      </c>
      <c r="O10113" s="18">
        <v>5178.1000000000004</v>
      </c>
      <c r="P10113" s="18">
        <v>4244.34</v>
      </c>
      <c r="Q10113" s="18">
        <v>3883.58</v>
      </c>
      <c r="R10113" s="18">
        <v>3183.26</v>
      </c>
      <c r="S10113" s="18">
        <v>3521.11</v>
      </c>
      <c r="T10113" s="18">
        <v>2886.16</v>
      </c>
      <c r="U10113" s="16"/>
      <c r="V10113" s="16"/>
      <c r="W10113" s="16" t="s">
        <v>40</v>
      </c>
      <c r="X10113" s="19">
        <v>3.34</v>
      </c>
      <c r="Y10113" s="20">
        <v>3.1165999999999999E-2</v>
      </c>
      <c r="Z10113" s="21">
        <v>4601004302198</v>
      </c>
    </row>
    <row r="10114" spans="1:26" ht="12" customHeight="1" outlineLevel="4" x14ac:dyDescent="0.2">
      <c r="A10114" s="14" t="s">
        <v>19259</v>
      </c>
      <c r="B10114" s="26" t="s">
        <v>19260</v>
      </c>
      <c r="C10114" s="52"/>
      <c r="D10114" s="55">
        <f t="shared" si="157"/>
        <v>0</v>
      </c>
      <c r="E10114" s="63" t="str">
        <f>HYPERLINK("https://www.sds-group.ru/product/konvektor-elektricheskiy-s-mehanicheskim-termostatom-1kvt-stich-nagrevatelnyy-element-nozhki-60-0118/", "Инфо")</f>
        <v>Инфо</v>
      </c>
      <c r="F10114" s="16" t="s">
        <v>39</v>
      </c>
      <c r="G10114" s="15"/>
      <c r="H10114" s="15"/>
      <c r="I10114" s="15"/>
      <c r="J10114" s="17">
        <v>428</v>
      </c>
      <c r="K10114" s="15" t="s">
        <v>19024</v>
      </c>
      <c r="L10114" s="17">
        <v>1</v>
      </c>
      <c r="M10114" s="17">
        <v>1</v>
      </c>
      <c r="N10114" s="17">
        <v>1</v>
      </c>
      <c r="O10114" s="18">
        <v>5008.5</v>
      </c>
      <c r="P10114" s="18">
        <v>4105.33</v>
      </c>
      <c r="Q10114" s="18">
        <v>3756.38</v>
      </c>
      <c r="R10114" s="18">
        <v>3079</v>
      </c>
      <c r="S10114" s="18">
        <v>3405.78</v>
      </c>
      <c r="T10114" s="18">
        <v>2791.62</v>
      </c>
      <c r="U10114" s="16"/>
      <c r="V10114" s="16"/>
      <c r="W10114" s="16" t="s">
        <v>40</v>
      </c>
      <c r="X10114" s="19">
        <v>3.214</v>
      </c>
      <c r="Y10114" s="20">
        <v>2.6623000000000001E-2</v>
      </c>
      <c r="Z10114" s="21">
        <v>4601004309241</v>
      </c>
    </row>
    <row r="10115" spans="1:26" ht="12" customHeight="1" outlineLevel="4" x14ac:dyDescent="0.2">
      <c r="A10115" s="14" t="s">
        <v>19261</v>
      </c>
      <c r="B10115" s="26" t="s">
        <v>19262</v>
      </c>
      <c r="C10115" s="52"/>
      <c r="D10115" s="55">
        <f t="shared" si="157"/>
        <v>0</v>
      </c>
      <c r="E10115" s="63" t="str">
        <f>HYPERLINK("https://www.sds-group.ru/product/konvektor-elektricheskiy-s-mehanicheskim-termostatom-2kvt-stich-nagrevatelnyy-element-rexant-60-0095/", "Инфо")</f>
        <v>Инфо</v>
      </c>
      <c r="F10115" s="16" t="s">
        <v>39</v>
      </c>
      <c r="G10115" s="15"/>
      <c r="H10115" s="15"/>
      <c r="I10115" s="15"/>
      <c r="J10115" s="16" t="s">
        <v>100</v>
      </c>
      <c r="K10115" s="15" t="s">
        <v>19024</v>
      </c>
      <c r="L10115" s="17">
        <v>1</v>
      </c>
      <c r="M10115" s="17">
        <v>2</v>
      </c>
      <c r="N10115" s="17">
        <v>1</v>
      </c>
      <c r="O10115" s="18">
        <v>6911.2</v>
      </c>
      <c r="P10115" s="18">
        <v>5664.92</v>
      </c>
      <c r="Q10115" s="18">
        <v>5183.3999999999996</v>
      </c>
      <c r="R10115" s="18">
        <v>4248.6899999999996</v>
      </c>
      <c r="S10115" s="18">
        <v>4699.62</v>
      </c>
      <c r="T10115" s="18">
        <v>3852.15</v>
      </c>
      <c r="U10115" s="16"/>
      <c r="V10115" s="16"/>
      <c r="W10115" s="16" t="s">
        <v>40</v>
      </c>
      <c r="X10115" s="19">
        <v>4.8529999999999998</v>
      </c>
      <c r="Y10115" s="20">
        <v>4.8427999999999999E-2</v>
      </c>
      <c r="Z10115" s="21">
        <v>4601004302259</v>
      </c>
    </row>
    <row r="10116" spans="1:26" ht="12" customHeight="1" outlineLevel="4" x14ac:dyDescent="0.2">
      <c r="A10116" s="14" t="s">
        <v>19263</v>
      </c>
      <c r="B10116" s="26" t="s">
        <v>19264</v>
      </c>
      <c r="C10116" s="52"/>
      <c r="D10116" s="55">
        <f t="shared" si="157"/>
        <v>0</v>
      </c>
      <c r="E10116" s="63" t="str">
        <f>HYPERLINK("https://www.sds-group.ru/product/konvektor-elektricheskiy-s-mehanicheskim-termostatom-2kvt-stich-nagrevatelniy-element-nojki-rexant-31151/", "Инфо")</f>
        <v>Инфо</v>
      </c>
      <c r="F10116" s="16" t="s">
        <v>39</v>
      </c>
      <c r="G10116" s="15"/>
      <c r="H10116" s="15"/>
      <c r="I10116" s="15"/>
      <c r="J10116" s="17">
        <v>776</v>
      </c>
      <c r="K10116" s="15" t="s">
        <v>19024</v>
      </c>
      <c r="L10116" s="17">
        <v>1</v>
      </c>
      <c r="M10116" s="17">
        <v>1</v>
      </c>
      <c r="N10116" s="17">
        <v>1</v>
      </c>
      <c r="O10116" s="18">
        <v>5551.8</v>
      </c>
      <c r="P10116" s="18">
        <v>4550.66</v>
      </c>
      <c r="Q10116" s="18">
        <v>4163.8500000000004</v>
      </c>
      <c r="R10116" s="18">
        <v>3412.99</v>
      </c>
      <c r="S10116" s="18">
        <v>3775.22</v>
      </c>
      <c r="T10116" s="18">
        <v>3094.44</v>
      </c>
      <c r="U10116" s="16"/>
      <c r="V10116" s="16"/>
      <c r="W10116" s="16" t="s">
        <v>40</v>
      </c>
      <c r="X10116" s="19">
        <v>5.0540000000000003</v>
      </c>
      <c r="Y10116" s="20">
        <v>4.7317999999999999E-2</v>
      </c>
      <c r="Z10116" s="21">
        <v>4601004309258</v>
      </c>
    </row>
    <row r="10117" spans="1:26" ht="12" customHeight="1" outlineLevel="4" x14ac:dyDescent="0.2">
      <c r="A10117" s="32" t="s">
        <v>19265</v>
      </c>
      <c r="B10117" s="74" t="s">
        <v>19266</v>
      </c>
      <c r="C10117" s="50"/>
      <c r="D10117" s="53">
        <f t="shared" si="157"/>
        <v>0</v>
      </c>
      <c r="E10117" s="60" t="str">
        <f>HYPERLINK("https://www.sds-group.ru/product/elektricheskiy-konvektor-s-mehanicheskim-termostatom-1-kvt-stich-rexant-60-0090/", "Инфо")</f>
        <v>Инфо</v>
      </c>
      <c r="F10117" s="34" t="s">
        <v>39</v>
      </c>
      <c r="G10117" s="33"/>
      <c r="H10117" s="33" t="s">
        <v>40</v>
      </c>
      <c r="I10117" s="33"/>
      <c r="J10117" s="35">
        <v>1</v>
      </c>
      <c r="K10117" s="33"/>
      <c r="L10117" s="35">
        <v>1</v>
      </c>
      <c r="M10117" s="35">
        <v>1</v>
      </c>
      <c r="N10117" s="35">
        <v>1</v>
      </c>
      <c r="O10117" s="36">
        <v>4053.9</v>
      </c>
      <c r="P10117" s="36">
        <v>3322.87</v>
      </c>
      <c r="Q10117" s="36">
        <v>2837.73</v>
      </c>
      <c r="R10117" s="36">
        <v>2326.0100000000002</v>
      </c>
      <c r="S10117" s="36">
        <v>2756.65</v>
      </c>
      <c r="T10117" s="36">
        <v>2259.5500000000002</v>
      </c>
      <c r="U10117" s="34"/>
      <c r="V10117" s="34"/>
      <c r="W10117" s="34"/>
      <c r="X10117" s="37">
        <v>3.0550000000000002</v>
      </c>
      <c r="Y10117" s="38">
        <v>2.7910000000000001E-2</v>
      </c>
      <c r="Z10117" s="21">
        <v>4601004266612</v>
      </c>
    </row>
    <row r="10118" spans="1:26" ht="12.95" customHeight="1" outlineLevel="3" x14ac:dyDescent="0.2">
      <c r="A10118" s="76" t="s">
        <v>19267</v>
      </c>
      <c r="B10118" s="76"/>
      <c r="C10118" s="77"/>
      <c r="D10118" s="58"/>
      <c r="E10118" s="68"/>
      <c r="F10118" s="13"/>
      <c r="G10118" s="13"/>
      <c r="H10118" s="13"/>
      <c r="I10118" s="13"/>
      <c r="J10118" s="13"/>
      <c r="K10118" s="13"/>
      <c r="L10118" s="13"/>
      <c r="M10118" s="13"/>
      <c r="N10118" s="13"/>
      <c r="O10118" s="13"/>
      <c r="P10118" s="13"/>
      <c r="Q10118" s="13"/>
      <c r="R10118" s="13"/>
      <c r="S10118" s="13"/>
      <c r="T10118" s="13"/>
      <c r="U10118" s="13"/>
      <c r="V10118" s="13"/>
      <c r="W10118" s="13"/>
      <c r="X10118" s="13"/>
      <c r="Y10118" s="13"/>
      <c r="Z10118" s="13"/>
    </row>
    <row r="10119" spans="1:26" ht="12" customHeight="1" outlineLevel="4" x14ac:dyDescent="0.2">
      <c r="A10119" s="14" t="s">
        <v>19268</v>
      </c>
      <c r="B10119" s="26" t="s">
        <v>19269</v>
      </c>
      <c r="C10119" s="52"/>
      <c r="D10119" s="55">
        <f t="shared" si="157"/>
        <v>0</v>
      </c>
      <c r="E10119" s="63" t="str">
        <f>HYPERLINK("https://www.sds-group.ru/product/konvektor-elektricheskiy-s-mehanicheskim-termostatom-1-5kvt-x-nagrevatelnyy-element-rexant-60-0097/", "Инфо")</f>
        <v>Инфо</v>
      </c>
      <c r="F10119" s="16" t="s">
        <v>39</v>
      </c>
      <c r="G10119" s="15"/>
      <c r="H10119" s="15"/>
      <c r="I10119" s="15"/>
      <c r="J10119" s="16" t="s">
        <v>100</v>
      </c>
      <c r="K10119" s="15" t="s">
        <v>19024</v>
      </c>
      <c r="L10119" s="17">
        <v>1</v>
      </c>
      <c r="M10119" s="17">
        <v>2</v>
      </c>
      <c r="N10119" s="17">
        <v>1</v>
      </c>
      <c r="O10119" s="18">
        <v>7314</v>
      </c>
      <c r="P10119" s="18">
        <v>5995.08</v>
      </c>
      <c r="Q10119" s="18">
        <v>5485.5</v>
      </c>
      <c r="R10119" s="18">
        <v>4496.3100000000004</v>
      </c>
      <c r="S10119" s="18">
        <v>4973.5200000000004</v>
      </c>
      <c r="T10119" s="18">
        <v>4076.66</v>
      </c>
      <c r="U10119" s="16"/>
      <c r="V10119" s="16"/>
      <c r="W10119" s="16" t="s">
        <v>40</v>
      </c>
      <c r="X10119" s="19">
        <v>4.4669999999999996</v>
      </c>
      <c r="Y10119" s="20">
        <v>3.6935999999999997E-2</v>
      </c>
      <c r="Z10119" s="21">
        <v>4601004302402</v>
      </c>
    </row>
    <row r="10120" spans="1:26" ht="12" customHeight="1" outlineLevel="4" x14ac:dyDescent="0.2">
      <c r="A10120" s="14" t="s">
        <v>19270</v>
      </c>
      <c r="B10120" s="26" t="s">
        <v>19271</v>
      </c>
      <c r="C10120" s="52"/>
      <c r="D10120" s="55">
        <f t="shared" si="157"/>
        <v>0</v>
      </c>
      <c r="E10120" s="63" t="str">
        <f>HYPERLINK("https://www.sds-group.ru/product/konvektor-elektricheskiy-s-mehanicheskim-termostatom-1-5kvt-h-nagrevatelniy-element-nojki-rexant-31137/", "Инфо")</f>
        <v>Инфо</v>
      </c>
      <c r="F10120" s="16" t="s">
        <v>39</v>
      </c>
      <c r="G10120" s="15"/>
      <c r="H10120" s="15"/>
      <c r="I10120" s="15"/>
      <c r="J10120" s="17">
        <v>21</v>
      </c>
      <c r="K10120" s="15" t="s">
        <v>19024</v>
      </c>
      <c r="L10120" s="17">
        <v>1</v>
      </c>
      <c r="M10120" s="17">
        <v>1</v>
      </c>
      <c r="N10120" s="17">
        <v>1</v>
      </c>
      <c r="O10120" s="18">
        <v>6810.5</v>
      </c>
      <c r="P10120" s="18">
        <v>5582.38</v>
      </c>
      <c r="Q10120" s="18">
        <v>5107.88</v>
      </c>
      <c r="R10120" s="18">
        <v>4186.79</v>
      </c>
      <c r="S10120" s="18">
        <v>4631.1400000000003</v>
      </c>
      <c r="T10120" s="18">
        <v>3796.02</v>
      </c>
      <c r="U10120" s="16"/>
      <c r="V10120" s="16"/>
      <c r="W10120" s="16" t="s">
        <v>40</v>
      </c>
      <c r="X10120" s="19">
        <v>4.4359999999999999</v>
      </c>
      <c r="Y10120" s="20">
        <v>3.5173999999999997E-2</v>
      </c>
      <c r="Z10120" s="21">
        <v>4601004309265</v>
      </c>
    </row>
    <row r="10121" spans="1:26" ht="12" customHeight="1" outlineLevel="4" x14ac:dyDescent="0.2">
      <c r="A10121" s="14" t="s">
        <v>19272</v>
      </c>
      <c r="B10121" s="26" t="s">
        <v>19273</v>
      </c>
      <c r="C10121" s="52"/>
      <c r="D10121" s="55">
        <f t="shared" ref="D10121:D10184" si="158">C10121*(O10121-O10121*$G$3)</f>
        <v>0</v>
      </c>
      <c r="E10121" s="63" t="str">
        <f>HYPERLINK("https://www.sds-group.ru/product/konvektor-elektricheskiy-s-mehanicheskim-termostatom-1kvt-x-nagrevatelnyy-element-rexant-60-0096/", "Инфо")</f>
        <v>Инфо</v>
      </c>
      <c r="F10121" s="16" t="s">
        <v>39</v>
      </c>
      <c r="G10121" s="15"/>
      <c r="H10121" s="15"/>
      <c r="I10121" s="15"/>
      <c r="J10121" s="17">
        <v>10</v>
      </c>
      <c r="K10121" s="15" t="s">
        <v>19024</v>
      </c>
      <c r="L10121" s="17">
        <v>1</v>
      </c>
      <c r="M10121" s="17">
        <v>2</v>
      </c>
      <c r="N10121" s="17">
        <v>1</v>
      </c>
      <c r="O10121" s="18">
        <v>6211.6</v>
      </c>
      <c r="P10121" s="18">
        <v>5091.4799999999996</v>
      </c>
      <c r="Q10121" s="18">
        <v>4658.7</v>
      </c>
      <c r="R10121" s="18">
        <v>3818.61</v>
      </c>
      <c r="S10121" s="18">
        <v>4223.8900000000003</v>
      </c>
      <c r="T10121" s="18">
        <v>3462.2</v>
      </c>
      <c r="U10121" s="16"/>
      <c r="V10121" s="16"/>
      <c r="W10121" s="16" t="s">
        <v>40</v>
      </c>
      <c r="X10121" s="19">
        <v>3.59</v>
      </c>
      <c r="Y10121" s="20">
        <v>3.0568000000000001E-2</v>
      </c>
      <c r="Z10121" s="21">
        <v>4601004302310</v>
      </c>
    </row>
    <row r="10122" spans="1:26" ht="12" customHeight="1" outlineLevel="4" x14ac:dyDescent="0.2">
      <c r="A10122" s="14" t="s">
        <v>19274</v>
      </c>
      <c r="B10122" s="26" t="s">
        <v>19275</v>
      </c>
      <c r="C10122" s="52"/>
      <c r="D10122" s="55">
        <f t="shared" si="158"/>
        <v>0</v>
      </c>
      <c r="E10122" s="63" t="str">
        <f>HYPERLINK("https://www.sds-group.ru/product/konvektor-elektricheskiy-s-mehanicheskim-termostatom-1kvt-h-nagrevatelnyy-element-nozhki-rex-60-0115/", "Инфо")</f>
        <v>Инфо</v>
      </c>
      <c r="F10122" s="16" t="s">
        <v>39</v>
      </c>
      <c r="G10122" s="15"/>
      <c r="H10122" s="15"/>
      <c r="I10122" s="15"/>
      <c r="J10122" s="16" t="s">
        <v>100</v>
      </c>
      <c r="K10122" s="15" t="s">
        <v>19024</v>
      </c>
      <c r="L10122" s="17">
        <v>1</v>
      </c>
      <c r="M10122" s="17">
        <v>1</v>
      </c>
      <c r="N10122" s="17">
        <v>1</v>
      </c>
      <c r="O10122" s="18">
        <v>5909.5</v>
      </c>
      <c r="P10122" s="18">
        <v>4843.8500000000004</v>
      </c>
      <c r="Q10122" s="18">
        <v>4432.13</v>
      </c>
      <c r="R10122" s="18">
        <v>3632.89</v>
      </c>
      <c r="S10122" s="18">
        <v>4018.46</v>
      </c>
      <c r="T10122" s="18">
        <v>3293.82</v>
      </c>
      <c r="U10122" s="16"/>
      <c r="V10122" s="16"/>
      <c r="W10122" s="16" t="s">
        <v>40</v>
      </c>
      <c r="X10122" s="19">
        <v>3.677</v>
      </c>
      <c r="Y10122" s="20">
        <v>2.6408000000000001E-2</v>
      </c>
      <c r="Z10122" s="21">
        <v>4601004309296</v>
      </c>
    </row>
    <row r="10123" spans="1:26" ht="12" customHeight="1" outlineLevel="4" x14ac:dyDescent="0.2">
      <c r="A10123" s="14" t="s">
        <v>19276</v>
      </c>
      <c r="B10123" s="26" t="s">
        <v>19277</v>
      </c>
      <c r="C10123" s="52"/>
      <c r="D10123" s="55">
        <f t="shared" si="158"/>
        <v>0</v>
      </c>
      <c r="E10123" s="63" t="str">
        <f>HYPERLINK("https://www.sds-group.ru/product/konvektor-elektricheskiy-s-mehanicheskim-termostatom-2kvt-x-nagrevatelniy-element-rexant-31042/", "Инфо")</f>
        <v>Инфо</v>
      </c>
      <c r="F10123" s="16" t="s">
        <v>39</v>
      </c>
      <c r="G10123" s="15"/>
      <c r="H10123" s="15"/>
      <c r="I10123" s="15"/>
      <c r="J10123" s="16" t="s">
        <v>100</v>
      </c>
      <c r="K10123" s="15" t="s">
        <v>19024</v>
      </c>
      <c r="L10123" s="17">
        <v>1</v>
      </c>
      <c r="M10123" s="17">
        <v>2</v>
      </c>
      <c r="N10123" s="17">
        <v>1</v>
      </c>
      <c r="O10123" s="18">
        <v>8416.4</v>
      </c>
      <c r="P10123" s="18">
        <v>6898.69</v>
      </c>
      <c r="Q10123" s="18">
        <v>6312.3</v>
      </c>
      <c r="R10123" s="18">
        <v>5174.0200000000004</v>
      </c>
      <c r="S10123" s="18">
        <v>5723.15</v>
      </c>
      <c r="T10123" s="18">
        <v>4691.1099999999997</v>
      </c>
      <c r="U10123" s="16"/>
      <c r="V10123" s="16"/>
      <c r="W10123" s="16" t="s">
        <v>40</v>
      </c>
      <c r="X10123" s="19">
        <v>5.3049999999999997</v>
      </c>
      <c r="Y10123" s="20">
        <v>4.7031999999999997E-2</v>
      </c>
      <c r="Z10123" s="21">
        <v>4601004302280</v>
      </c>
    </row>
    <row r="10124" spans="1:26" ht="12" customHeight="1" outlineLevel="4" x14ac:dyDescent="0.2">
      <c r="A10124" s="14" t="s">
        <v>19278</v>
      </c>
      <c r="B10124" s="26" t="s">
        <v>19279</v>
      </c>
      <c r="C10124" s="52"/>
      <c r="D10124" s="55">
        <f t="shared" si="158"/>
        <v>0</v>
      </c>
      <c r="E10124" s="63" t="str">
        <f>HYPERLINK("https://www.sds-group.ru/product/konvektor-elektricheskiy-s-mehanicheskim-termostatom-2kvt-h-nagrevatelniy-element-nojki-rexant-31138/", "Инфо")</f>
        <v>Инфо</v>
      </c>
      <c r="F10124" s="16" t="s">
        <v>39</v>
      </c>
      <c r="G10124" s="15"/>
      <c r="H10124" s="15"/>
      <c r="I10124" s="15"/>
      <c r="J10124" s="16" t="s">
        <v>100</v>
      </c>
      <c r="K10124" s="15" t="s">
        <v>19024</v>
      </c>
      <c r="L10124" s="17">
        <v>1</v>
      </c>
      <c r="M10124" s="17">
        <v>1</v>
      </c>
      <c r="N10124" s="17">
        <v>1</v>
      </c>
      <c r="O10124" s="18">
        <v>8114.3</v>
      </c>
      <c r="P10124" s="18">
        <v>6651.07</v>
      </c>
      <c r="Q10124" s="18">
        <v>6085.73</v>
      </c>
      <c r="R10124" s="18">
        <v>4988.3</v>
      </c>
      <c r="S10124" s="18">
        <v>5517.72</v>
      </c>
      <c r="T10124" s="18">
        <v>4522.72</v>
      </c>
      <c r="U10124" s="16"/>
      <c r="V10124" s="16"/>
      <c r="W10124" s="16" t="s">
        <v>40</v>
      </c>
      <c r="X10124" s="19">
        <v>5.9720000000000004</v>
      </c>
      <c r="Y10124" s="20">
        <v>5.5981999999999997E-2</v>
      </c>
      <c r="Z10124" s="21">
        <v>4601004309289</v>
      </c>
    </row>
    <row r="10125" spans="1:26" ht="12" customHeight="1" outlineLevel="4" x14ac:dyDescent="0.2">
      <c r="A10125" s="14" t="s">
        <v>19280</v>
      </c>
      <c r="B10125" s="26" t="s">
        <v>19281</v>
      </c>
      <c r="C10125" s="52"/>
      <c r="D10125" s="55">
        <f t="shared" si="158"/>
        <v>0</v>
      </c>
      <c r="E10125" s="63" t="str">
        <f>HYPERLINK("https://www.sds-group.ru/product/konvektor-elektricheskiy-s-elektronnym-termostatom-1-5kvt-h-nagrevatelnyy-element-wi-fi-rexa-60-0113/", "Инфо")</f>
        <v>Инфо</v>
      </c>
      <c r="F10125" s="16" t="s">
        <v>39</v>
      </c>
      <c r="G10125" s="15"/>
      <c r="H10125" s="15"/>
      <c r="I10125" s="15"/>
      <c r="J10125" s="17">
        <v>95</v>
      </c>
      <c r="K10125" s="15"/>
      <c r="L10125" s="17">
        <v>1</v>
      </c>
      <c r="M10125" s="17">
        <v>2</v>
      </c>
      <c r="N10125" s="17">
        <v>1</v>
      </c>
      <c r="O10125" s="18">
        <v>13852.56</v>
      </c>
      <c r="P10125" s="18">
        <v>11354.56</v>
      </c>
      <c r="Q10125" s="18">
        <v>10389.42</v>
      </c>
      <c r="R10125" s="18">
        <v>8515.92</v>
      </c>
      <c r="S10125" s="18">
        <v>9419.74</v>
      </c>
      <c r="T10125" s="18">
        <v>7721.1</v>
      </c>
      <c r="U10125" s="16"/>
      <c r="V10125" s="16"/>
      <c r="W10125" s="16" t="s">
        <v>40</v>
      </c>
      <c r="X10125" s="19">
        <v>8.0109999999999992</v>
      </c>
      <c r="Y10125" s="20">
        <v>6.0761000000000003E-2</v>
      </c>
      <c r="Z10125" s="21">
        <v>4601004302341</v>
      </c>
    </row>
    <row r="10126" spans="1:26" ht="12" customHeight="1" outlineLevel="4" x14ac:dyDescent="0.2">
      <c r="A10126" s="14" t="s">
        <v>19282</v>
      </c>
      <c r="B10126" s="26" t="s">
        <v>19283</v>
      </c>
      <c r="C10126" s="52"/>
      <c r="D10126" s="55">
        <f t="shared" si="158"/>
        <v>0</v>
      </c>
      <c r="E10126" s="63" t="str">
        <f>HYPERLINK("https://www.sds-group.ru/product/konvektor-elektricheskiy-s-elektronnym-termostatom-1kvt-h-nagrevatelnyy-element-wi-fi-rexant-60-0112/", "Инфо")</f>
        <v>Инфо</v>
      </c>
      <c r="F10126" s="16" t="s">
        <v>39</v>
      </c>
      <c r="G10126" s="15"/>
      <c r="H10126" s="15"/>
      <c r="I10126" s="15"/>
      <c r="J10126" s="17">
        <v>35</v>
      </c>
      <c r="K10126" s="15"/>
      <c r="L10126" s="17">
        <v>1</v>
      </c>
      <c r="M10126" s="17">
        <v>2</v>
      </c>
      <c r="N10126" s="17">
        <v>1</v>
      </c>
      <c r="O10126" s="18">
        <v>12343.33</v>
      </c>
      <c r="P10126" s="18">
        <v>10117.48</v>
      </c>
      <c r="Q10126" s="18">
        <v>9257.5</v>
      </c>
      <c r="R10126" s="18">
        <v>7588.11</v>
      </c>
      <c r="S10126" s="18">
        <v>8393.4599999999991</v>
      </c>
      <c r="T10126" s="18">
        <v>6879.89</v>
      </c>
      <c r="U10126" s="16"/>
      <c r="V10126" s="16"/>
      <c r="W10126" s="16" t="s">
        <v>40</v>
      </c>
      <c r="X10126" s="19">
        <v>6.6520000000000001</v>
      </c>
      <c r="Y10126" s="20">
        <v>4.8705999999999999E-2</v>
      </c>
      <c r="Z10126" s="21">
        <v>4601004302372</v>
      </c>
    </row>
    <row r="10127" spans="1:26" ht="12" customHeight="1" outlineLevel="4" x14ac:dyDescent="0.2">
      <c r="A10127" s="32" t="s">
        <v>19284</v>
      </c>
      <c r="B10127" s="74" t="s">
        <v>19285</v>
      </c>
      <c r="C10127" s="50"/>
      <c r="D10127" s="53">
        <f t="shared" si="158"/>
        <v>0</v>
      </c>
      <c r="E10127" s="60" t="str">
        <f>HYPERLINK("https://www.sds-group.ru/product/konvektor-elektricheskiy-s-elektronnym-termostatom-1kvt-h-nagrevatelnyy-element-rexant-60-0099/", "Инфо")</f>
        <v>Инфо</v>
      </c>
      <c r="F10127" s="34" t="s">
        <v>39</v>
      </c>
      <c r="G10127" s="33"/>
      <c r="H10127" s="33" t="s">
        <v>40</v>
      </c>
      <c r="I10127" s="33"/>
      <c r="J10127" s="34" t="s">
        <v>100</v>
      </c>
      <c r="K10127" s="33"/>
      <c r="L10127" s="35">
        <v>1</v>
      </c>
      <c r="M10127" s="35">
        <v>2</v>
      </c>
      <c r="N10127" s="35">
        <v>1</v>
      </c>
      <c r="O10127" s="36">
        <v>6629.82</v>
      </c>
      <c r="P10127" s="36">
        <v>5434.28</v>
      </c>
      <c r="Q10127" s="36">
        <v>4972.37</v>
      </c>
      <c r="R10127" s="36">
        <v>4075.71</v>
      </c>
      <c r="S10127" s="36">
        <v>4508.28</v>
      </c>
      <c r="T10127" s="36">
        <v>3695.31</v>
      </c>
      <c r="U10127" s="34"/>
      <c r="V10127" s="34"/>
      <c r="W10127" s="34" t="s">
        <v>40</v>
      </c>
      <c r="X10127" s="37">
        <v>3.7349999999999999</v>
      </c>
      <c r="Y10127" s="38">
        <v>3.1074000000000001E-2</v>
      </c>
      <c r="Z10127" s="21">
        <v>4601004302396</v>
      </c>
    </row>
    <row r="10128" spans="1:26" ht="12" customHeight="1" outlineLevel="4" x14ac:dyDescent="0.2">
      <c r="A10128" s="32" t="s">
        <v>19286</v>
      </c>
      <c r="B10128" s="74" t="s">
        <v>19287</v>
      </c>
      <c r="C10128" s="50"/>
      <c r="D10128" s="53">
        <f t="shared" si="158"/>
        <v>0</v>
      </c>
      <c r="E10128" s="60" t="str">
        <f>HYPERLINK("https://www.sds-group.ru/product/konvektor-elektricheskiy-taksa-s-mehanicheskim-termostatom-1-5kvt-sokol-60-0122/", "Инфо")</f>
        <v>Инфо</v>
      </c>
      <c r="F10128" s="34" t="s">
        <v>39</v>
      </c>
      <c r="G10128" s="33"/>
      <c r="H10128" s="33" t="s">
        <v>40</v>
      </c>
      <c r="I10128" s="33"/>
      <c r="J10128" s="34" t="s">
        <v>100</v>
      </c>
      <c r="K10128" s="33"/>
      <c r="L10128" s="35">
        <v>1</v>
      </c>
      <c r="M10128" s="35">
        <v>1</v>
      </c>
      <c r="N10128" s="35">
        <v>1</v>
      </c>
      <c r="O10128" s="36">
        <v>5497.9</v>
      </c>
      <c r="P10128" s="36">
        <v>4506.4799999999996</v>
      </c>
      <c r="Q10128" s="36">
        <v>3848.53</v>
      </c>
      <c r="R10128" s="36">
        <v>3154.53</v>
      </c>
      <c r="S10128" s="36">
        <v>3738.57</v>
      </c>
      <c r="T10128" s="36">
        <v>3064.4</v>
      </c>
      <c r="U10128" s="34"/>
      <c r="V10128" s="34"/>
      <c r="W10128" s="34"/>
      <c r="X10128" s="37">
        <v>3.6619999999999999</v>
      </c>
      <c r="Y10128" s="38">
        <v>2.1857999999999999E-2</v>
      </c>
      <c r="Z10128" s="21">
        <v>4601004310742</v>
      </c>
    </row>
    <row r="10129" spans="1:26" ht="12" customHeight="1" outlineLevel="4" x14ac:dyDescent="0.2">
      <c r="A10129" s="32" t="s">
        <v>19288</v>
      </c>
      <c r="B10129" s="74" t="s">
        <v>19289</v>
      </c>
      <c r="C10129" s="50"/>
      <c r="D10129" s="53">
        <f t="shared" si="158"/>
        <v>0</v>
      </c>
      <c r="E10129" s="60" t="str">
        <f>HYPERLINK("https://www.sds-group.ru/product/konvektor-elektricheskiy-taksa-s-mehanicheskim-termostatom-1kvt-sokol-60-0121/", "Инфо")</f>
        <v>Инфо</v>
      </c>
      <c r="F10129" s="34" t="s">
        <v>39</v>
      </c>
      <c r="G10129" s="33"/>
      <c r="H10129" s="33" t="s">
        <v>40</v>
      </c>
      <c r="I10129" s="33"/>
      <c r="J10129" s="34" t="s">
        <v>100</v>
      </c>
      <c r="K10129" s="33"/>
      <c r="L10129" s="35">
        <v>1</v>
      </c>
      <c r="M10129" s="35">
        <v>1</v>
      </c>
      <c r="N10129" s="35">
        <v>1</v>
      </c>
      <c r="O10129" s="36">
        <v>4635.49</v>
      </c>
      <c r="P10129" s="36">
        <v>3799.58</v>
      </c>
      <c r="Q10129" s="36">
        <v>3244.84</v>
      </c>
      <c r="R10129" s="36">
        <v>2659.7</v>
      </c>
      <c r="S10129" s="36">
        <v>3152.13</v>
      </c>
      <c r="T10129" s="36">
        <v>2583.71</v>
      </c>
      <c r="U10129" s="34"/>
      <c r="V10129" s="34"/>
      <c r="W10129" s="34"/>
      <c r="X10129" s="37">
        <v>2.7709999999999999</v>
      </c>
      <c r="Y10129" s="38">
        <v>1.5646E-2</v>
      </c>
      <c r="Z10129" s="21">
        <v>4601004310735</v>
      </c>
    </row>
    <row r="10130" spans="1:26" ht="12" customHeight="1" outlineLevel="4" x14ac:dyDescent="0.2">
      <c r="A10130" s="32" t="s">
        <v>19290</v>
      </c>
      <c r="B10130" s="74" t="s">
        <v>19291</v>
      </c>
      <c r="C10130" s="50"/>
      <c r="D10130" s="53">
        <f t="shared" si="158"/>
        <v>0</v>
      </c>
      <c r="E10130" s="60" t="str">
        <f>HYPERLINK("https://www.sds-group.ru/product/elektricheskiy-konvektor-s-mehanicheskim-termostatom-1-kvt-h-monolit-sokol-60-0086/", "Инфо")</f>
        <v>Инфо</v>
      </c>
      <c r="F10130" s="34" t="s">
        <v>39</v>
      </c>
      <c r="G10130" s="33"/>
      <c r="H10130" s="33" t="s">
        <v>40</v>
      </c>
      <c r="I10130" s="33"/>
      <c r="J10130" s="35">
        <v>4</v>
      </c>
      <c r="K10130" s="33"/>
      <c r="L10130" s="35">
        <v>1</v>
      </c>
      <c r="M10130" s="35">
        <v>1</v>
      </c>
      <c r="N10130" s="35">
        <v>1</v>
      </c>
      <c r="O10130" s="36">
        <v>4635.49</v>
      </c>
      <c r="P10130" s="36">
        <v>3799.58</v>
      </c>
      <c r="Q10130" s="36">
        <v>3244.84</v>
      </c>
      <c r="R10130" s="36">
        <v>2659.7</v>
      </c>
      <c r="S10130" s="36">
        <v>3152.13</v>
      </c>
      <c r="T10130" s="36">
        <v>2583.71</v>
      </c>
      <c r="U10130" s="34"/>
      <c r="V10130" s="34"/>
      <c r="W10130" s="34"/>
      <c r="X10130" s="37">
        <v>3.9580000000000002</v>
      </c>
      <c r="Y10130" s="38">
        <v>2.8781000000000001E-2</v>
      </c>
      <c r="Z10130" s="21">
        <v>4601004267237</v>
      </c>
    </row>
    <row r="10131" spans="1:26" ht="12" customHeight="1" outlineLevel="4" x14ac:dyDescent="0.2">
      <c r="A10131" s="32" t="s">
        <v>19292</v>
      </c>
      <c r="B10131" s="74" t="s">
        <v>19293</v>
      </c>
      <c r="C10131" s="50"/>
      <c r="D10131" s="53">
        <f t="shared" si="158"/>
        <v>0</v>
      </c>
      <c r="E10131" s="60" t="str">
        <f>HYPERLINK("https://www.sds-group.ru/product/elektricheskiy-konvektor-s-elektronnym-termostatom-1-kvt-h-monolit-rexant-60-0080/", "Инфо")</f>
        <v>Инфо</v>
      </c>
      <c r="F10131" s="34" t="s">
        <v>39</v>
      </c>
      <c r="G10131" s="33"/>
      <c r="H10131" s="33" t="s">
        <v>40</v>
      </c>
      <c r="I10131" s="33"/>
      <c r="J10131" s="34" t="s">
        <v>100</v>
      </c>
      <c r="K10131" s="33"/>
      <c r="L10131" s="35">
        <v>1</v>
      </c>
      <c r="M10131" s="35">
        <v>1</v>
      </c>
      <c r="N10131" s="35">
        <v>1</v>
      </c>
      <c r="O10131" s="36">
        <v>6451.94</v>
      </c>
      <c r="P10131" s="36">
        <v>5288.48</v>
      </c>
      <c r="Q10131" s="36">
        <v>4516.3599999999997</v>
      </c>
      <c r="R10131" s="36">
        <v>3701.93</v>
      </c>
      <c r="S10131" s="36">
        <v>4387.32</v>
      </c>
      <c r="T10131" s="36">
        <v>3596.16</v>
      </c>
      <c r="U10131" s="34"/>
      <c r="V10131" s="34"/>
      <c r="W10131" s="34"/>
      <c r="X10131" s="37">
        <v>3.6850000000000001</v>
      </c>
      <c r="Y10131" s="38">
        <v>2.7661000000000002E-2</v>
      </c>
      <c r="Z10131" s="21">
        <v>4601004266643</v>
      </c>
    </row>
    <row r="10132" spans="1:26" ht="12.95" customHeight="1" outlineLevel="3" x14ac:dyDescent="0.2">
      <c r="A10132" s="76" t="s">
        <v>19294</v>
      </c>
      <c r="B10132" s="76"/>
      <c r="C10132" s="77"/>
      <c r="D10132" s="58"/>
      <c r="E10132" s="68"/>
      <c r="F10132" s="13"/>
      <c r="G10132" s="13"/>
      <c r="H10132" s="13"/>
      <c r="I10132" s="13"/>
      <c r="J10132" s="13"/>
      <c r="K10132" s="13"/>
      <c r="L10132" s="13"/>
      <c r="M10132" s="13"/>
      <c r="N10132" s="13"/>
      <c r="O10132" s="13"/>
      <c r="P10132" s="13"/>
      <c r="Q10132" s="13"/>
      <c r="R10132" s="13"/>
      <c r="S10132" s="13"/>
      <c r="T10132" s="13"/>
      <c r="U10132" s="13"/>
      <c r="V10132" s="13"/>
      <c r="W10132" s="13"/>
      <c r="X10132" s="13"/>
      <c r="Y10132" s="13"/>
      <c r="Z10132" s="13"/>
    </row>
    <row r="10133" spans="1:26" ht="12" customHeight="1" outlineLevel="4" x14ac:dyDescent="0.2">
      <c r="A10133" s="32" t="s">
        <v>19295</v>
      </c>
      <c r="B10133" s="74" t="s">
        <v>19296</v>
      </c>
      <c r="C10133" s="50"/>
      <c r="D10133" s="53">
        <f t="shared" si="158"/>
        <v>0</v>
      </c>
      <c r="E10133" s="60" t="str">
        <f>HYPERLINK("https://www.sds-group.ru/product/konvektor-elektricheskiy-plintusnyy-450vt-sokol-60-0124/", "Инфо")</f>
        <v>Инфо</v>
      </c>
      <c r="F10133" s="34" t="s">
        <v>39</v>
      </c>
      <c r="G10133" s="33"/>
      <c r="H10133" s="33" t="s">
        <v>40</v>
      </c>
      <c r="I10133" s="33"/>
      <c r="J10133" s="35">
        <v>1</v>
      </c>
      <c r="K10133" s="33"/>
      <c r="L10133" s="35">
        <v>1</v>
      </c>
      <c r="M10133" s="35">
        <v>1</v>
      </c>
      <c r="N10133" s="35">
        <v>1</v>
      </c>
      <c r="O10133" s="36">
        <v>9648.2800000000007</v>
      </c>
      <c r="P10133" s="36">
        <v>7908.43</v>
      </c>
      <c r="Q10133" s="36">
        <v>7236.21</v>
      </c>
      <c r="R10133" s="36">
        <v>5931.32</v>
      </c>
      <c r="S10133" s="36">
        <v>6560.83</v>
      </c>
      <c r="T10133" s="36">
        <v>5377.73</v>
      </c>
      <c r="U10133" s="34"/>
      <c r="V10133" s="34"/>
      <c r="W10133" s="34" t="s">
        <v>40</v>
      </c>
      <c r="X10133" s="37">
        <v>3.9430000000000001</v>
      </c>
      <c r="Y10133" s="38">
        <v>2.1690999999999998E-2</v>
      </c>
      <c r="Z10133" s="21">
        <v>4601004310766</v>
      </c>
    </row>
    <row r="10134" spans="1:26" ht="12" customHeight="1" outlineLevel="4" x14ac:dyDescent="0.2">
      <c r="A10134" s="32" t="s">
        <v>19297</v>
      </c>
      <c r="B10134" s="74" t="s">
        <v>19298</v>
      </c>
      <c r="C10134" s="50"/>
      <c r="D10134" s="53">
        <f t="shared" si="158"/>
        <v>0</v>
      </c>
      <c r="E10134" s="60" t="str">
        <f>HYPERLINK("https://www.sds-group.ru/product/konvektor-elektricheskiy-plintusnyy-600vt-sokol-60-0125/", "Инфо")</f>
        <v>Инфо</v>
      </c>
      <c r="F10134" s="34" t="s">
        <v>39</v>
      </c>
      <c r="G10134" s="33"/>
      <c r="H10134" s="33" t="s">
        <v>40</v>
      </c>
      <c r="I10134" s="33"/>
      <c r="J10134" s="35">
        <v>86</v>
      </c>
      <c r="K10134" s="33"/>
      <c r="L10134" s="35">
        <v>1</v>
      </c>
      <c r="M10134" s="35">
        <v>1</v>
      </c>
      <c r="N10134" s="35">
        <v>1</v>
      </c>
      <c r="O10134" s="36">
        <v>10241.19</v>
      </c>
      <c r="P10134" s="36">
        <v>8394.42</v>
      </c>
      <c r="Q10134" s="36">
        <v>7680.89</v>
      </c>
      <c r="R10134" s="36">
        <v>6295.81</v>
      </c>
      <c r="S10134" s="36">
        <v>6964.01</v>
      </c>
      <c r="T10134" s="36">
        <v>5708.2</v>
      </c>
      <c r="U10134" s="34"/>
      <c r="V10134" s="34"/>
      <c r="W10134" s="34" t="s">
        <v>40</v>
      </c>
      <c r="X10134" s="37">
        <v>3.6539999999999999</v>
      </c>
      <c r="Y10134" s="38">
        <v>8.0280000000000004E-3</v>
      </c>
      <c r="Z10134" s="21">
        <v>4601004310773</v>
      </c>
    </row>
    <row r="10135" spans="1:26" ht="12.95" customHeight="1" outlineLevel="2" x14ac:dyDescent="0.2">
      <c r="A10135" s="76" t="s">
        <v>19299</v>
      </c>
      <c r="B10135" s="76"/>
      <c r="C10135" s="77"/>
      <c r="D10135" s="58"/>
      <c r="E10135" s="68"/>
      <c r="F10135" s="13"/>
      <c r="G10135" s="13"/>
      <c r="H10135" s="13"/>
      <c r="I10135" s="13"/>
      <c r="J10135" s="13"/>
      <c r="K10135" s="13"/>
      <c r="L10135" s="13"/>
      <c r="M10135" s="13"/>
      <c r="N10135" s="13"/>
      <c r="O10135" s="13"/>
      <c r="P10135" s="13"/>
      <c r="Q10135" s="13"/>
      <c r="R10135" s="13"/>
      <c r="S10135" s="13"/>
      <c r="T10135" s="13"/>
      <c r="U10135" s="13"/>
      <c r="V10135" s="13"/>
      <c r="W10135" s="13"/>
      <c r="X10135" s="13"/>
      <c r="Y10135" s="13"/>
      <c r="Z10135" s="13"/>
    </row>
    <row r="10136" spans="1:26" ht="12.95" customHeight="1" outlineLevel="3" x14ac:dyDescent="0.2">
      <c r="A10136" s="76" t="s">
        <v>19300</v>
      </c>
      <c r="B10136" s="76"/>
      <c r="C10136" s="77"/>
      <c r="D10136" s="58"/>
      <c r="E10136" s="68"/>
      <c r="F10136" s="13"/>
      <c r="G10136" s="13"/>
      <c r="H10136" s="13"/>
      <c r="I10136" s="13"/>
      <c r="J10136" s="13"/>
      <c r="K10136" s="13"/>
      <c r="L10136" s="13"/>
      <c r="M10136" s="13"/>
      <c r="N10136" s="13"/>
      <c r="O10136" s="13"/>
      <c r="P10136" s="13"/>
      <c r="Q10136" s="13"/>
      <c r="R10136" s="13"/>
      <c r="S10136" s="13"/>
      <c r="T10136" s="13"/>
      <c r="U10136" s="13"/>
      <c r="V10136" s="13"/>
      <c r="W10136" s="13"/>
      <c r="X10136" s="13"/>
      <c r="Y10136" s="13"/>
      <c r="Z10136" s="13"/>
    </row>
    <row r="10137" spans="1:26" ht="12" customHeight="1" outlineLevel="4" x14ac:dyDescent="0.2">
      <c r="A10137" s="14" t="s">
        <v>19301</v>
      </c>
      <c r="B10137" s="26" t="s">
        <v>19302</v>
      </c>
      <c r="C10137" s="52"/>
      <c r="D10137" s="55">
        <f t="shared" si="158"/>
        <v>0</v>
      </c>
      <c r="E10137" s="63" t="str">
        <f>HYPERLINK("https://www.sds-group.ru/product/obogrevatel-infrakrasnyy-panelnyy-0-8-kvt-rexant-60-0010/", "Инфо")</f>
        <v>Инфо</v>
      </c>
      <c r="F10137" s="16" t="s">
        <v>39</v>
      </c>
      <c r="G10137" s="15"/>
      <c r="H10137" s="15"/>
      <c r="I10137" s="15"/>
      <c r="J10137" s="17">
        <v>127</v>
      </c>
      <c r="K10137" s="15"/>
      <c r="L10137" s="17">
        <v>1</v>
      </c>
      <c r="M10137" s="17">
        <v>1</v>
      </c>
      <c r="N10137" s="17">
        <v>1</v>
      </c>
      <c r="O10137" s="18">
        <v>5336.2</v>
      </c>
      <c r="P10137" s="18">
        <v>4373.93</v>
      </c>
      <c r="Q10137" s="18">
        <v>4002.15</v>
      </c>
      <c r="R10137" s="18">
        <v>3280.45</v>
      </c>
      <c r="S10137" s="18">
        <v>3628.62</v>
      </c>
      <c r="T10137" s="18">
        <v>2974.28</v>
      </c>
      <c r="U10137" s="16"/>
      <c r="V10137" s="16"/>
      <c r="W10137" s="16" t="s">
        <v>40</v>
      </c>
      <c r="X10137" s="19">
        <v>2.7069999999999999</v>
      </c>
      <c r="Y10137" s="20">
        <v>1.0584E-2</v>
      </c>
      <c r="Z10137" s="21">
        <v>4601004266568</v>
      </c>
    </row>
    <row r="10138" spans="1:26" ht="12" customHeight="1" outlineLevel="4" x14ac:dyDescent="0.2">
      <c r="A10138" s="14" t="s">
        <v>19303</v>
      </c>
      <c r="B10138" s="26" t="s">
        <v>19304</v>
      </c>
      <c r="C10138" s="52"/>
      <c r="D10138" s="55">
        <f t="shared" si="158"/>
        <v>0</v>
      </c>
      <c r="E10138" s="63" t="str">
        <f>HYPERLINK("https://www.sds-group.ru/product/obogrevatel-infrakrasnyy-panelnyy-1-kvt-rexant-60-0011/", "Инфо")</f>
        <v>Инфо</v>
      </c>
      <c r="F10138" s="16" t="s">
        <v>39</v>
      </c>
      <c r="G10138" s="15"/>
      <c r="H10138" s="15"/>
      <c r="I10138" s="15"/>
      <c r="J10138" s="17">
        <v>395</v>
      </c>
      <c r="K10138" s="15"/>
      <c r="L10138" s="17">
        <v>1</v>
      </c>
      <c r="M10138" s="17">
        <v>1</v>
      </c>
      <c r="N10138" s="17">
        <v>1</v>
      </c>
      <c r="O10138" s="18">
        <v>7011.9</v>
      </c>
      <c r="P10138" s="18">
        <v>5747.46</v>
      </c>
      <c r="Q10138" s="18">
        <v>5258.93</v>
      </c>
      <c r="R10138" s="18">
        <v>4310.6000000000004</v>
      </c>
      <c r="S10138" s="18">
        <v>4768.09</v>
      </c>
      <c r="T10138" s="18">
        <v>3908.27</v>
      </c>
      <c r="U10138" s="16"/>
      <c r="V10138" s="16"/>
      <c r="W10138" s="16" t="s">
        <v>40</v>
      </c>
      <c r="X10138" s="19">
        <v>3.472</v>
      </c>
      <c r="Y10138" s="20">
        <v>1.3328E-2</v>
      </c>
      <c r="Z10138" s="21">
        <v>4601004266575</v>
      </c>
    </row>
    <row r="10139" spans="1:26" ht="12" customHeight="1" outlineLevel="4" x14ac:dyDescent="0.2">
      <c r="A10139" s="14" t="s">
        <v>19305</v>
      </c>
      <c r="B10139" s="26" t="s">
        <v>19306</v>
      </c>
      <c r="C10139" s="52"/>
      <c r="D10139" s="55">
        <f t="shared" si="158"/>
        <v>0</v>
      </c>
      <c r="E10139" s="63" t="str">
        <f>HYPERLINK("https://www.sds-group.ru/product/obogrevatel-infrakrasnyy-panelnyy-1-3-kvt-rexant-60-0012/", "Инфо")</f>
        <v>Инфо</v>
      </c>
      <c r="F10139" s="16" t="s">
        <v>39</v>
      </c>
      <c r="G10139" s="15"/>
      <c r="H10139" s="15"/>
      <c r="I10139" s="15"/>
      <c r="J10139" s="17">
        <v>606</v>
      </c>
      <c r="K10139" s="15"/>
      <c r="L10139" s="17">
        <v>1</v>
      </c>
      <c r="M10139" s="17">
        <v>1</v>
      </c>
      <c r="N10139" s="17">
        <v>1</v>
      </c>
      <c r="O10139" s="18">
        <v>8828.98</v>
      </c>
      <c r="P10139" s="18">
        <v>7236.87</v>
      </c>
      <c r="Q10139" s="18">
        <v>6621.74</v>
      </c>
      <c r="R10139" s="18">
        <v>5427.66</v>
      </c>
      <c r="S10139" s="18">
        <v>6003.71</v>
      </c>
      <c r="T10139" s="18">
        <v>4921.07</v>
      </c>
      <c r="U10139" s="16"/>
      <c r="V10139" s="16"/>
      <c r="W10139" s="16" t="s">
        <v>40</v>
      </c>
      <c r="X10139" s="19">
        <v>4.5</v>
      </c>
      <c r="Y10139" s="20">
        <v>1.3613E-2</v>
      </c>
      <c r="Z10139" s="21">
        <v>4601004266582</v>
      </c>
    </row>
    <row r="10140" spans="1:26" ht="12" customHeight="1" outlineLevel="4" x14ac:dyDescent="0.2">
      <c r="A10140" s="14" t="s">
        <v>19307</v>
      </c>
      <c r="B10140" s="26" t="s">
        <v>19308</v>
      </c>
      <c r="C10140" s="52"/>
      <c r="D10140" s="55">
        <f t="shared" si="158"/>
        <v>0</v>
      </c>
      <c r="E10140" s="63" t="str">
        <f>HYPERLINK("https://www.sds-group.ru/product/infrakrasniy-obogrevatel-panelniy-2-kvt-rexant-28818/", "Инфо")</f>
        <v>Инфо</v>
      </c>
      <c r="F10140" s="16" t="s">
        <v>39</v>
      </c>
      <c r="G10140" s="15"/>
      <c r="H10140" s="15"/>
      <c r="I10140" s="15"/>
      <c r="J10140" s="17">
        <v>187</v>
      </c>
      <c r="K10140" s="15"/>
      <c r="L10140" s="17">
        <v>1</v>
      </c>
      <c r="M10140" s="17">
        <v>1</v>
      </c>
      <c r="N10140" s="17">
        <v>1</v>
      </c>
      <c r="O10140" s="18">
        <v>13022.1</v>
      </c>
      <c r="P10140" s="18">
        <v>10673.85</v>
      </c>
      <c r="Q10140" s="18">
        <v>9766.58</v>
      </c>
      <c r="R10140" s="18">
        <v>8005.39</v>
      </c>
      <c r="S10140" s="18">
        <v>8855.0300000000007</v>
      </c>
      <c r="T10140" s="18">
        <v>7258.22</v>
      </c>
      <c r="U10140" s="16"/>
      <c r="V10140" s="16"/>
      <c r="W10140" s="16" t="s">
        <v>40</v>
      </c>
      <c r="X10140" s="19">
        <v>5</v>
      </c>
      <c r="Y10140" s="20">
        <v>2.7E-2</v>
      </c>
      <c r="Z10140" s="21">
        <v>4601004266599</v>
      </c>
    </row>
    <row r="10141" spans="1:26" ht="12" customHeight="1" outlineLevel="4" x14ac:dyDescent="0.2">
      <c r="A10141" s="14" t="s">
        <v>19309</v>
      </c>
      <c r="B10141" s="26" t="s">
        <v>19310</v>
      </c>
      <c r="C10141" s="52"/>
      <c r="D10141" s="55">
        <f t="shared" si="158"/>
        <v>0</v>
      </c>
      <c r="E10141" s="63" t="str">
        <f>HYPERLINK("https://www.sds-group.ru/product/obogrevatel-infrakrasnyy-panelnyy-3-kvt-rexant-60-0014/", "Инфо")</f>
        <v>Инфо</v>
      </c>
      <c r="F10141" s="16" t="s">
        <v>39</v>
      </c>
      <c r="G10141" s="15"/>
      <c r="H10141" s="15"/>
      <c r="I10141" s="15"/>
      <c r="J10141" s="17">
        <v>50</v>
      </c>
      <c r="K10141" s="15"/>
      <c r="L10141" s="17">
        <v>1</v>
      </c>
      <c r="M10141" s="17">
        <v>1</v>
      </c>
      <c r="N10141" s="17">
        <v>1</v>
      </c>
      <c r="O10141" s="18">
        <v>17028.900000000001</v>
      </c>
      <c r="P10141" s="18">
        <v>13958.11</v>
      </c>
      <c r="Q10141" s="18">
        <v>12771.68</v>
      </c>
      <c r="R10141" s="18">
        <v>10468.59</v>
      </c>
      <c r="S10141" s="18">
        <v>11579.65</v>
      </c>
      <c r="T10141" s="18">
        <v>9491.52</v>
      </c>
      <c r="U10141" s="16"/>
      <c r="V10141" s="16"/>
      <c r="W10141" s="16" t="s">
        <v>40</v>
      </c>
      <c r="X10141" s="19">
        <v>9.1999999999999993</v>
      </c>
      <c r="Y10141" s="20">
        <v>2.8336E-2</v>
      </c>
      <c r="Z10141" s="21">
        <v>4601004311183</v>
      </c>
    </row>
    <row r="10142" spans="1:26" ht="12.95" customHeight="1" outlineLevel="3" x14ac:dyDescent="0.2">
      <c r="A10142" s="76" t="s">
        <v>19311</v>
      </c>
      <c r="B10142" s="76"/>
      <c r="C10142" s="77"/>
      <c r="D10142" s="58"/>
      <c r="E10142" s="68"/>
      <c r="F10142" s="13"/>
      <c r="G10142" s="13"/>
      <c r="H10142" s="13"/>
      <c r="I10142" s="13"/>
      <c r="J10142" s="13"/>
      <c r="K10142" s="13"/>
      <c r="L10142" s="13"/>
      <c r="M10142" s="13"/>
      <c r="N10142" s="13"/>
      <c r="O10142" s="13"/>
      <c r="P10142" s="13"/>
      <c r="Q10142" s="13"/>
      <c r="R10142" s="13"/>
      <c r="S10142" s="13"/>
      <c r="T10142" s="13"/>
      <c r="U10142" s="13"/>
      <c r="V10142" s="13"/>
      <c r="W10142" s="13"/>
      <c r="X10142" s="13"/>
      <c r="Y10142" s="13"/>
      <c r="Z10142" s="13"/>
    </row>
    <row r="10143" spans="1:26" ht="12" customHeight="1" outlineLevel="4" x14ac:dyDescent="0.2">
      <c r="A10143" s="14" t="s">
        <v>19312</v>
      </c>
      <c r="B10143" s="26" t="s">
        <v>19313</v>
      </c>
      <c r="C10143" s="52"/>
      <c r="D10143" s="55">
        <f t="shared" si="158"/>
        <v>0</v>
      </c>
      <c r="E10143" s="63" t="str">
        <f>HYPERLINK("https://www.sds-group.ru/product/obogrevatel-elektricheskiy-infrakrasnyy-nastolnyy-0-8kvt-s-kvartsevymi-trubkami-s-skladnym-o-60-0057/", "Инфо")</f>
        <v>Инфо</v>
      </c>
      <c r="F10143" s="16" t="s">
        <v>39</v>
      </c>
      <c r="G10143" s="15"/>
      <c r="H10143" s="15"/>
      <c r="I10143" s="15"/>
      <c r="J10143" s="17">
        <v>377</v>
      </c>
      <c r="K10143" s="15"/>
      <c r="L10143" s="17">
        <v>1</v>
      </c>
      <c r="M10143" s="17">
        <v>8</v>
      </c>
      <c r="N10143" s="17">
        <v>1</v>
      </c>
      <c r="O10143" s="18">
        <v>1390.65</v>
      </c>
      <c r="P10143" s="18">
        <v>1139.8800000000001</v>
      </c>
      <c r="Q10143" s="18">
        <v>1042.99</v>
      </c>
      <c r="R10143" s="18">
        <v>854.91</v>
      </c>
      <c r="S10143" s="18">
        <v>945.64</v>
      </c>
      <c r="T10143" s="18">
        <v>775.11</v>
      </c>
      <c r="U10143" s="16"/>
      <c r="V10143" s="16"/>
      <c r="W10143" s="16" t="s">
        <v>40</v>
      </c>
      <c r="X10143" s="19">
        <v>0.97899999999999998</v>
      </c>
      <c r="Y10143" s="20">
        <v>9.665E-3</v>
      </c>
      <c r="Z10143" s="21">
        <v>4601004302242</v>
      </c>
    </row>
    <row r="10144" spans="1:26" ht="12" customHeight="1" outlineLevel="4" x14ac:dyDescent="0.2">
      <c r="A10144" s="14" t="s">
        <v>19314</v>
      </c>
      <c r="B10144" s="26" t="s">
        <v>19315</v>
      </c>
      <c r="C10144" s="52"/>
      <c r="D10144" s="55">
        <f t="shared" si="158"/>
        <v>0</v>
      </c>
      <c r="E10144" s="63" t="str">
        <f>HYPERLINK("https://www.sds-group.ru/product/obogrevatel-elektricheskiy-infrakrasnyy-panelnyy-1-5kvt-s-kvartsevymi-lampami-v-stalnom-korp-60-0060/", "Инфо")</f>
        <v>Инфо</v>
      </c>
      <c r="F10144" s="16" t="s">
        <v>39</v>
      </c>
      <c r="G10144" s="15"/>
      <c r="H10144" s="15"/>
      <c r="I10144" s="15"/>
      <c r="J10144" s="17">
        <v>1</v>
      </c>
      <c r="K10144" s="15"/>
      <c r="L10144" s="17">
        <v>1</v>
      </c>
      <c r="M10144" s="17">
        <v>6</v>
      </c>
      <c r="N10144" s="17">
        <v>1</v>
      </c>
      <c r="O10144" s="18">
        <v>3449.66</v>
      </c>
      <c r="P10144" s="18">
        <v>2827.59</v>
      </c>
      <c r="Q10144" s="18">
        <v>2414.7600000000002</v>
      </c>
      <c r="R10144" s="18">
        <v>1979.31</v>
      </c>
      <c r="S10144" s="18">
        <v>2345.77</v>
      </c>
      <c r="T10144" s="18">
        <v>1922.76</v>
      </c>
      <c r="U10144" s="16"/>
      <c r="V10144" s="16"/>
      <c r="W10144" s="16"/>
      <c r="X10144" s="19">
        <v>1.9059999999999999</v>
      </c>
      <c r="Y10144" s="20">
        <v>1.7396999999999999E-2</v>
      </c>
      <c r="Z10144" s="21">
        <v>4601004310483</v>
      </c>
    </row>
    <row r="10145" spans="1:26" ht="12" customHeight="1" outlineLevel="4" x14ac:dyDescent="0.2">
      <c r="A10145" s="32" t="s">
        <v>19316</v>
      </c>
      <c r="B10145" s="74" t="s">
        <v>19317</v>
      </c>
      <c r="C10145" s="50"/>
      <c r="D10145" s="53">
        <f t="shared" si="158"/>
        <v>0</v>
      </c>
      <c r="E10145" s="60" t="str">
        <f>HYPERLINK("https://www.sds-group.ru/product/obogrevatel-elektricheskiy-infrakrasnyy-panelnyy-1-5kvt-s-kvartsevymi-lampami-v-stalnom-korp-60-0059/", "Инфо")</f>
        <v>Инфо</v>
      </c>
      <c r="F10145" s="34" t="s">
        <v>39</v>
      </c>
      <c r="G10145" s="33"/>
      <c r="H10145" s="33" t="s">
        <v>40</v>
      </c>
      <c r="I10145" s="33"/>
      <c r="J10145" s="34" t="s">
        <v>100</v>
      </c>
      <c r="K10145" s="33"/>
      <c r="L10145" s="35">
        <v>1</v>
      </c>
      <c r="M10145" s="35">
        <v>6</v>
      </c>
      <c r="N10145" s="35">
        <v>1</v>
      </c>
      <c r="O10145" s="36">
        <v>3341.86</v>
      </c>
      <c r="P10145" s="36">
        <v>2739.23</v>
      </c>
      <c r="Q10145" s="36">
        <v>2339.3000000000002</v>
      </c>
      <c r="R10145" s="36">
        <v>1917.46</v>
      </c>
      <c r="S10145" s="36">
        <v>2272.46</v>
      </c>
      <c r="T10145" s="36">
        <v>1862.67</v>
      </c>
      <c r="U10145" s="34"/>
      <c r="V10145" s="34"/>
      <c r="W10145" s="34"/>
      <c r="X10145" s="37">
        <v>1.5569999999999999</v>
      </c>
      <c r="Y10145" s="38">
        <v>1.3731E-2</v>
      </c>
      <c r="Z10145" s="21">
        <v>4601004302273</v>
      </c>
    </row>
    <row r="10146" spans="1:26" ht="12" customHeight="1" outlineLevel="4" x14ac:dyDescent="0.2">
      <c r="A10146" s="14" t="s">
        <v>19318</v>
      </c>
      <c r="B10146" s="26" t="s">
        <v>19319</v>
      </c>
      <c r="C10146" s="52"/>
      <c r="D10146" s="55">
        <f t="shared" si="158"/>
        <v>0</v>
      </c>
      <c r="E10146" s="63" t="str">
        <f>HYPERLINK("https://www.sds-group.ru/product/obogrevatel-elektricheskiy-infrakrasnyy-podvesnoy-v-korpuse-iz-nerzhaveyuschey-stali-1-5kvt--60-0061/", "Инфо")</f>
        <v>Инфо</v>
      </c>
      <c r="F10146" s="16" t="s">
        <v>39</v>
      </c>
      <c r="G10146" s="15"/>
      <c r="H10146" s="15"/>
      <c r="I10146" s="15"/>
      <c r="J10146" s="17">
        <v>753</v>
      </c>
      <c r="K10146" s="15"/>
      <c r="L10146" s="17">
        <v>1</v>
      </c>
      <c r="M10146" s="17">
        <v>2</v>
      </c>
      <c r="N10146" s="17">
        <v>1</v>
      </c>
      <c r="O10146" s="18">
        <v>10241.19</v>
      </c>
      <c r="P10146" s="18">
        <v>8394.42</v>
      </c>
      <c r="Q10146" s="18">
        <v>7168.83</v>
      </c>
      <c r="R10146" s="18">
        <v>5876.09</v>
      </c>
      <c r="S10146" s="18">
        <v>6964.01</v>
      </c>
      <c r="T10146" s="18">
        <v>5708.2</v>
      </c>
      <c r="U10146" s="16"/>
      <c r="V10146" s="16"/>
      <c r="W10146" s="16" t="s">
        <v>40</v>
      </c>
      <c r="X10146" s="19">
        <v>3.7970000000000002</v>
      </c>
      <c r="Y10146" s="20">
        <v>6.6700999999999996E-2</v>
      </c>
      <c r="Z10146" s="21">
        <v>4601004302211</v>
      </c>
    </row>
    <row r="10147" spans="1:26" ht="12.95" customHeight="1" outlineLevel="2" x14ac:dyDescent="0.2">
      <c r="A10147" s="76" t="s">
        <v>19320</v>
      </c>
      <c r="B10147" s="76"/>
      <c r="C10147" s="77"/>
      <c r="D10147" s="58"/>
      <c r="E10147" s="68"/>
      <c r="F10147" s="13"/>
      <c r="G10147" s="13"/>
      <c r="H10147" s="13"/>
      <c r="I10147" s="13"/>
      <c r="J10147" s="13"/>
      <c r="K10147" s="13"/>
      <c r="L10147" s="13"/>
      <c r="M10147" s="13"/>
      <c r="N10147" s="13"/>
      <c r="O10147" s="13"/>
      <c r="P10147" s="13"/>
      <c r="Q10147" s="13"/>
      <c r="R10147" s="13"/>
      <c r="S10147" s="13"/>
      <c r="T10147" s="13"/>
      <c r="U10147" s="13"/>
      <c r="V10147" s="13"/>
      <c r="W10147" s="13"/>
      <c r="X10147" s="13"/>
      <c r="Y10147" s="13"/>
      <c r="Z10147" s="13"/>
    </row>
    <row r="10148" spans="1:26" ht="12.95" customHeight="1" outlineLevel="3" x14ac:dyDescent="0.2">
      <c r="A10148" s="76" t="s">
        <v>19321</v>
      </c>
      <c r="B10148" s="76"/>
      <c r="C10148" s="77"/>
      <c r="D10148" s="58"/>
      <c r="E10148" s="68"/>
      <c r="F10148" s="13"/>
      <c r="G10148" s="13"/>
      <c r="H10148" s="13"/>
      <c r="I10148" s="13"/>
      <c r="J10148" s="13"/>
      <c r="K10148" s="13"/>
      <c r="L10148" s="13"/>
      <c r="M10148" s="13"/>
      <c r="N10148" s="13"/>
      <c r="O10148" s="13"/>
      <c r="P10148" s="13"/>
      <c r="Q10148" s="13"/>
      <c r="R10148" s="13"/>
      <c r="S10148" s="13"/>
      <c r="T10148" s="13"/>
      <c r="U10148" s="13"/>
      <c r="V10148" s="13"/>
      <c r="W10148" s="13"/>
      <c r="X10148" s="13"/>
      <c r="Y10148" s="13"/>
      <c r="Z10148" s="13"/>
    </row>
    <row r="10149" spans="1:26" ht="12" customHeight="1" outlineLevel="4" x14ac:dyDescent="0.2">
      <c r="A10149" s="32" t="s">
        <v>19322</v>
      </c>
      <c r="B10149" s="74" t="s">
        <v>19323</v>
      </c>
      <c r="C10149" s="50"/>
      <c r="D10149" s="53">
        <f t="shared" si="158"/>
        <v>0</v>
      </c>
      <c r="E10149" s="60" t="str">
        <f>HYPERLINK("https://www.sds-group.ru/product/komplekt-dlya-podklyucheniya-gazovogo-grilya-s-regulyatorom-davleniya-rdsg-1-1-2-pod-shlan-12-0097-8/", "Инфо")</f>
        <v>Инфо</v>
      </c>
      <c r="F10149" s="34" t="s">
        <v>39</v>
      </c>
      <c r="G10149" s="33"/>
      <c r="H10149" s="33" t="s">
        <v>40</v>
      </c>
      <c r="I10149" s="33"/>
      <c r="J10149" s="35">
        <v>1</v>
      </c>
      <c r="K10149" s="33"/>
      <c r="L10149" s="35">
        <v>1</v>
      </c>
      <c r="M10149" s="35">
        <v>12</v>
      </c>
      <c r="N10149" s="35">
        <v>1</v>
      </c>
      <c r="O10149" s="36">
        <v>2089.25</v>
      </c>
      <c r="P10149" s="36">
        <v>1712.5</v>
      </c>
      <c r="Q10149" s="36">
        <v>1462.48</v>
      </c>
      <c r="R10149" s="36">
        <v>1198.75</v>
      </c>
      <c r="S10149" s="36">
        <v>1420.69</v>
      </c>
      <c r="T10149" s="36">
        <v>1164.5</v>
      </c>
      <c r="U10149" s="34"/>
      <c r="V10149" s="34"/>
      <c r="W10149" s="34"/>
      <c r="X10149" s="37">
        <v>0.63800000000000001</v>
      </c>
      <c r="Y10149" s="38">
        <v>2.6749999999999999E-3</v>
      </c>
      <c r="Z10149" s="21">
        <v>4601004237131</v>
      </c>
    </row>
    <row r="10150" spans="1:26" ht="12" customHeight="1" outlineLevel="4" x14ac:dyDescent="0.2">
      <c r="A10150" s="14" t="s">
        <v>19324</v>
      </c>
      <c r="B10150" s="26" t="s">
        <v>19325</v>
      </c>
      <c r="C10150" s="52"/>
      <c r="D10150" s="55">
        <f t="shared" si="158"/>
        <v>0</v>
      </c>
      <c r="E10150" s="63" t="str">
        <f>HYPERLINK("https://www.sds-group.ru/product/obogrevatel-infrakrasnyy-gazovyy-dlya-doma-4-2kvt-dlya-ballona-27l-chernyy-rexant-60-0022/", "Инфо")</f>
        <v>Инфо</v>
      </c>
      <c r="F10150" s="16" t="s">
        <v>39</v>
      </c>
      <c r="G10150" s="15"/>
      <c r="H10150" s="15"/>
      <c r="I10150" s="15"/>
      <c r="J10150" s="17">
        <v>68</v>
      </c>
      <c r="K10150" s="15"/>
      <c r="L10150" s="17">
        <v>1</v>
      </c>
      <c r="M10150" s="17">
        <v>1</v>
      </c>
      <c r="N10150" s="17">
        <v>1</v>
      </c>
      <c r="O10150" s="18">
        <v>14122.06</v>
      </c>
      <c r="P10150" s="18">
        <v>11575.46</v>
      </c>
      <c r="Q10150" s="18">
        <v>10591.55</v>
      </c>
      <c r="R10150" s="18">
        <v>8681.6</v>
      </c>
      <c r="S10150" s="18">
        <v>9603</v>
      </c>
      <c r="T10150" s="18">
        <v>7871.31</v>
      </c>
      <c r="U10150" s="16"/>
      <c r="V10150" s="16"/>
      <c r="W10150" s="16" t="s">
        <v>40</v>
      </c>
      <c r="X10150" s="19">
        <v>9.6419999999999995</v>
      </c>
      <c r="Y10150" s="20">
        <v>0.14144200000000001</v>
      </c>
      <c r="Z10150" s="21">
        <v>4601004302518</v>
      </c>
    </row>
    <row r="10151" spans="1:26" ht="12.95" customHeight="1" outlineLevel="3" x14ac:dyDescent="0.2">
      <c r="A10151" s="76" t="s">
        <v>19326</v>
      </c>
      <c r="B10151" s="76"/>
      <c r="C10151" s="77"/>
      <c r="D10151" s="58"/>
      <c r="E10151" s="68"/>
      <c r="F10151" s="13"/>
      <c r="G10151" s="13"/>
      <c r="H10151" s="13"/>
      <c r="I10151" s="13"/>
      <c r="J10151" s="13"/>
      <c r="K10151" s="13"/>
      <c r="L10151" s="13"/>
      <c r="M10151" s="13"/>
      <c r="N10151" s="13"/>
      <c r="O10151" s="13"/>
      <c r="P10151" s="13"/>
      <c r="Q10151" s="13"/>
      <c r="R10151" s="13"/>
      <c r="S10151" s="13"/>
      <c r="T10151" s="13"/>
      <c r="U10151" s="13"/>
      <c r="V10151" s="13"/>
      <c r="W10151" s="13"/>
      <c r="X10151" s="13"/>
      <c r="Y10151" s="13"/>
      <c r="Z10151" s="13"/>
    </row>
    <row r="10152" spans="1:26" ht="12" customHeight="1" outlineLevel="4" x14ac:dyDescent="0.2">
      <c r="A10152" s="14" t="s">
        <v>19327</v>
      </c>
      <c r="B10152" s="26" t="s">
        <v>19328</v>
      </c>
      <c r="C10152" s="52"/>
      <c r="D10152" s="55">
        <f t="shared" si="158"/>
        <v>0</v>
      </c>
      <c r="E10152" s="63" t="str">
        <f>HYPERLINK("https://www.sds-group.ru/product/kamin-ulichnyy-gazovyy-infrakrasnyy-gribok-13kvt-rexant-60-0024/", "Инфо")</f>
        <v>Инфо</v>
      </c>
      <c r="F10152" s="16" t="s">
        <v>39</v>
      </c>
      <c r="G10152" s="15"/>
      <c r="H10152" s="15"/>
      <c r="I10152" s="15"/>
      <c r="J10152" s="17">
        <v>71</v>
      </c>
      <c r="K10152" s="15"/>
      <c r="L10152" s="17">
        <v>1</v>
      </c>
      <c r="M10152" s="17">
        <v>1</v>
      </c>
      <c r="N10152" s="17">
        <v>1</v>
      </c>
      <c r="O10152" s="18">
        <v>28136.32</v>
      </c>
      <c r="P10152" s="18">
        <v>23062.560000000001</v>
      </c>
      <c r="Q10152" s="18">
        <v>22509.06</v>
      </c>
      <c r="R10152" s="18">
        <v>18450.05</v>
      </c>
      <c r="S10152" s="18">
        <v>19132.7</v>
      </c>
      <c r="T10152" s="18">
        <v>15682.54</v>
      </c>
      <c r="U10152" s="16"/>
      <c r="V10152" s="16"/>
      <c r="W10152" s="16" t="s">
        <v>40</v>
      </c>
      <c r="X10152" s="19">
        <v>18.25</v>
      </c>
      <c r="Y10152" s="20">
        <v>0.18828600000000001</v>
      </c>
      <c r="Z10152" s="21">
        <v>4601004302525</v>
      </c>
    </row>
    <row r="10153" spans="1:26" ht="12" customHeight="1" outlineLevel="4" x14ac:dyDescent="0.2">
      <c r="A10153" s="14" t="s">
        <v>19329</v>
      </c>
      <c r="B10153" s="26" t="s">
        <v>19330</v>
      </c>
      <c r="C10153" s="52"/>
      <c r="D10153" s="55">
        <f t="shared" si="158"/>
        <v>0</v>
      </c>
      <c r="E10153" s="63" t="str">
        <f>HYPERLINK("https://www.sds-group.ru/product/kamin-ulichnyy-gazovyy-infrakrasnyy-piramida-13kvt-rexant-60-0023/", "Инфо")</f>
        <v>Инфо</v>
      </c>
      <c r="F10153" s="16" t="s">
        <v>39</v>
      </c>
      <c r="G10153" s="15"/>
      <c r="H10153" s="15"/>
      <c r="I10153" s="15"/>
      <c r="J10153" s="17">
        <v>209</v>
      </c>
      <c r="K10153" s="15"/>
      <c r="L10153" s="17">
        <v>1</v>
      </c>
      <c r="M10153" s="17">
        <v>1</v>
      </c>
      <c r="N10153" s="17">
        <v>1</v>
      </c>
      <c r="O10153" s="18">
        <v>48510.9</v>
      </c>
      <c r="P10153" s="18">
        <v>39763.03</v>
      </c>
      <c r="Q10153" s="18">
        <v>38808.720000000001</v>
      </c>
      <c r="R10153" s="18">
        <v>31810.43</v>
      </c>
      <c r="S10153" s="18">
        <v>32987.410000000003</v>
      </c>
      <c r="T10153" s="18">
        <v>27038.86</v>
      </c>
      <c r="U10153" s="16"/>
      <c r="V10153" s="16"/>
      <c r="W10153" s="16" t="s">
        <v>40</v>
      </c>
      <c r="X10153" s="19">
        <v>31</v>
      </c>
      <c r="Y10153" s="20">
        <v>0.19020699999999999</v>
      </c>
      <c r="Z10153" s="21">
        <v>4601004302501</v>
      </c>
    </row>
    <row r="10154" spans="1:26" ht="12" customHeight="1" outlineLevel="4" x14ac:dyDescent="0.2">
      <c r="A10154" s="14" t="s">
        <v>19331</v>
      </c>
      <c r="B10154" s="26" t="s">
        <v>19332</v>
      </c>
      <c r="C10154" s="52"/>
      <c r="D10154" s="55">
        <f t="shared" si="158"/>
        <v>0</v>
      </c>
      <c r="E10154" s="63" t="str">
        <f>HYPERLINK("https://www.sds-group.ru/product/kolba-dlya-ulichnogo-kamina-rexant-60-0300/", "Инфо")</f>
        <v>Инфо</v>
      </c>
      <c r="F10154" s="16" t="s">
        <v>39</v>
      </c>
      <c r="G10154" s="15"/>
      <c r="H10154" s="15"/>
      <c r="I10154" s="15"/>
      <c r="J10154" s="17">
        <v>47</v>
      </c>
      <c r="K10154" s="15"/>
      <c r="L10154" s="17">
        <v>1</v>
      </c>
      <c r="M10154" s="17">
        <v>1</v>
      </c>
      <c r="N10154" s="17">
        <v>1</v>
      </c>
      <c r="O10154" s="18">
        <v>8085.15</v>
      </c>
      <c r="P10154" s="18">
        <v>6627.17</v>
      </c>
      <c r="Q10154" s="18">
        <v>6468.12</v>
      </c>
      <c r="R10154" s="18">
        <v>5301.74</v>
      </c>
      <c r="S10154" s="18">
        <v>5497.9</v>
      </c>
      <c r="T10154" s="18">
        <v>4506.4799999999996</v>
      </c>
      <c r="U10154" s="16"/>
      <c r="V10154" s="16"/>
      <c r="W10154" s="16" t="s">
        <v>40</v>
      </c>
      <c r="X10154" s="19">
        <v>3.2</v>
      </c>
      <c r="Y10154" s="20">
        <v>2.8199999999999999E-2</v>
      </c>
      <c r="Z10154" s="21">
        <v>4601004310759</v>
      </c>
    </row>
    <row r="10155" spans="1:26" ht="12" customHeight="1" outlineLevel="4" x14ac:dyDescent="0.2">
      <c r="A10155" s="32" t="s">
        <v>19333</v>
      </c>
      <c r="B10155" s="74" t="s">
        <v>19334</v>
      </c>
      <c r="C10155" s="50"/>
      <c r="D10155" s="53">
        <f t="shared" si="158"/>
        <v>0</v>
      </c>
      <c r="E10155" s="60" t="str">
        <f>HYPERLINK("https://www.sds-group.ru/product/stolik-dlya-ulichnogo-gazovogo-kamina-gribok-rexant-60-0190/", "Инфо")</f>
        <v>Инфо</v>
      </c>
      <c r="F10155" s="34" t="s">
        <v>39</v>
      </c>
      <c r="G10155" s="33"/>
      <c r="H10155" s="33" t="s">
        <v>40</v>
      </c>
      <c r="I10155" s="33"/>
      <c r="J10155" s="35">
        <v>26</v>
      </c>
      <c r="K10155" s="33"/>
      <c r="L10155" s="35">
        <v>1</v>
      </c>
      <c r="M10155" s="35">
        <v>1</v>
      </c>
      <c r="N10155" s="35">
        <v>1</v>
      </c>
      <c r="O10155" s="36">
        <v>3091.68</v>
      </c>
      <c r="P10155" s="36">
        <v>2534.16</v>
      </c>
      <c r="Q10155" s="36">
        <v>2164.1799999999998</v>
      </c>
      <c r="R10155" s="36">
        <v>1773.92</v>
      </c>
      <c r="S10155" s="36">
        <v>2102.34</v>
      </c>
      <c r="T10155" s="36">
        <v>1723.23</v>
      </c>
      <c r="U10155" s="34"/>
      <c r="V10155" s="34"/>
      <c r="W10155" s="34"/>
      <c r="X10155" s="37">
        <v>2.0649999999999999</v>
      </c>
      <c r="Y10155" s="38">
        <v>2.0899000000000001E-2</v>
      </c>
      <c r="Z10155" s="21">
        <v>4601004303935</v>
      </c>
    </row>
    <row r="10156" spans="1:26" ht="12.95" customHeight="1" outlineLevel="2" x14ac:dyDescent="0.2">
      <c r="A10156" s="76" t="s">
        <v>19335</v>
      </c>
      <c r="B10156" s="76"/>
      <c r="C10156" s="77"/>
      <c r="D10156" s="58"/>
      <c r="E10156" s="68"/>
      <c r="F10156" s="13"/>
      <c r="G10156" s="13"/>
      <c r="H10156" s="13"/>
      <c r="I10156" s="13"/>
      <c r="J10156" s="13"/>
      <c r="K10156" s="13"/>
      <c r="L10156" s="13"/>
      <c r="M10156" s="13"/>
      <c r="N10156" s="13"/>
      <c r="O10156" s="13"/>
      <c r="P10156" s="13"/>
      <c r="Q10156" s="13"/>
      <c r="R10156" s="13"/>
      <c r="S10156" s="13"/>
      <c r="T10156" s="13"/>
      <c r="U10156" s="13"/>
      <c r="V10156" s="13"/>
      <c r="W10156" s="13"/>
      <c r="X10156" s="13"/>
      <c r="Y10156" s="13"/>
      <c r="Z10156" s="13"/>
    </row>
    <row r="10157" spans="1:26" ht="12.95" customHeight="1" outlineLevel="3" x14ac:dyDescent="0.2">
      <c r="A10157" s="76" t="s">
        <v>19336</v>
      </c>
      <c r="B10157" s="76"/>
      <c r="C10157" s="77"/>
      <c r="D10157" s="58"/>
      <c r="E10157" s="68"/>
      <c r="F10157" s="13"/>
      <c r="G10157" s="13"/>
      <c r="H10157" s="13"/>
      <c r="I10157" s="13"/>
      <c r="J10157" s="13"/>
      <c r="K10157" s="13"/>
      <c r="L10157" s="13"/>
      <c r="M10157" s="13"/>
      <c r="N10157" s="13"/>
      <c r="O10157" s="13"/>
      <c r="P10157" s="13"/>
      <c r="Q10157" s="13"/>
      <c r="R10157" s="13"/>
      <c r="S10157" s="13"/>
      <c r="T10157" s="13"/>
      <c r="U10157" s="13"/>
      <c r="V10157" s="13"/>
      <c r="W10157" s="13"/>
      <c r="X10157" s="13"/>
      <c r="Y10157" s="13"/>
      <c r="Z10157" s="13"/>
    </row>
    <row r="10158" spans="1:26" ht="12" customHeight="1" outlineLevel="4" x14ac:dyDescent="0.2">
      <c r="A10158" s="14" t="s">
        <v>19337</v>
      </c>
      <c r="B10158" s="26" t="s">
        <v>19338</v>
      </c>
      <c r="C10158" s="52"/>
      <c r="D10158" s="55">
        <f t="shared" si="158"/>
        <v>0</v>
      </c>
      <c r="E10158" s="63" t="str">
        <f>HYPERLINK("https://www.sds-group.ru/product/pushka-teplovaya-teploventilyator-elektricheskaya-kvadratnaya-ptc-2kvt-rexant-60-0041/", "Инфо")</f>
        <v>Инфо</v>
      </c>
      <c r="F10158" s="16" t="s">
        <v>39</v>
      </c>
      <c r="G10158" s="15"/>
      <c r="H10158" s="15"/>
      <c r="I10158" s="15"/>
      <c r="J10158" s="16" t="s">
        <v>100</v>
      </c>
      <c r="K10158" s="15" t="s">
        <v>19339</v>
      </c>
      <c r="L10158" s="17">
        <v>1</v>
      </c>
      <c r="M10158" s="17">
        <v>12</v>
      </c>
      <c r="N10158" s="17">
        <v>1</v>
      </c>
      <c r="O10158" s="18">
        <v>2533.35</v>
      </c>
      <c r="P10158" s="18">
        <v>2076.52</v>
      </c>
      <c r="Q10158" s="18">
        <v>2026.68</v>
      </c>
      <c r="R10158" s="18">
        <v>1661.21</v>
      </c>
      <c r="S10158" s="18">
        <v>1722.68</v>
      </c>
      <c r="T10158" s="18">
        <v>1412.03</v>
      </c>
      <c r="U10158" s="16"/>
      <c r="V10158" s="16"/>
      <c r="W10158" s="16" t="s">
        <v>40</v>
      </c>
      <c r="X10158" s="19">
        <v>1.1639999999999999</v>
      </c>
      <c r="Y10158" s="20">
        <v>5.0949999999999997E-3</v>
      </c>
      <c r="Z10158" s="21">
        <v>4601004302532</v>
      </c>
    </row>
    <row r="10159" spans="1:26" ht="12" customHeight="1" outlineLevel="4" x14ac:dyDescent="0.2">
      <c r="A10159" s="14" t="s">
        <v>19340</v>
      </c>
      <c r="B10159" s="26" t="s">
        <v>19341</v>
      </c>
      <c r="C10159" s="52"/>
      <c r="D10159" s="55">
        <f t="shared" si="158"/>
        <v>0</v>
      </c>
      <c r="E10159" s="63" t="str">
        <f>HYPERLINK("https://www.sds-group.ru/product/pushka-teplovaya-teploventilyator-elektricheskaya-kvadratnaya-ptc-3kvt-rexant-60-0042/", "Инфо")</f>
        <v>Инфо</v>
      </c>
      <c r="F10159" s="16" t="s">
        <v>39</v>
      </c>
      <c r="G10159" s="15"/>
      <c r="H10159" s="15"/>
      <c r="I10159" s="15"/>
      <c r="J10159" s="16" t="s">
        <v>100</v>
      </c>
      <c r="K10159" s="15" t="s">
        <v>19339</v>
      </c>
      <c r="L10159" s="17">
        <v>1</v>
      </c>
      <c r="M10159" s="17">
        <v>8</v>
      </c>
      <c r="N10159" s="17">
        <v>1</v>
      </c>
      <c r="O10159" s="18">
        <v>4419.88</v>
      </c>
      <c r="P10159" s="18">
        <v>3622.85</v>
      </c>
      <c r="Q10159" s="18">
        <v>3535.9</v>
      </c>
      <c r="R10159" s="18">
        <v>2898.28</v>
      </c>
      <c r="S10159" s="18">
        <v>3005.52</v>
      </c>
      <c r="T10159" s="18">
        <v>2463.54</v>
      </c>
      <c r="U10159" s="16"/>
      <c r="V10159" s="16"/>
      <c r="W10159" s="16" t="s">
        <v>40</v>
      </c>
      <c r="X10159" s="19">
        <v>1.615</v>
      </c>
      <c r="Y10159" s="20">
        <v>8.2430000000000003E-3</v>
      </c>
      <c r="Z10159" s="21">
        <v>4601004302419</v>
      </c>
    </row>
    <row r="10160" spans="1:26" ht="12" customHeight="1" outlineLevel="4" x14ac:dyDescent="0.2">
      <c r="A10160" s="14" t="s">
        <v>19342</v>
      </c>
      <c r="B10160" s="26" t="s">
        <v>19343</v>
      </c>
      <c r="C10160" s="52"/>
      <c r="D10160" s="55">
        <f t="shared" si="158"/>
        <v>0</v>
      </c>
      <c r="E10160" s="63" t="str">
        <f>HYPERLINK("https://www.sds-group.ru/product/pushka-teplovaya-teploventilyator-elektricheskaya-kvadratnaya-ptc-5kvt-rexant-60-0009/", "Инфо")</f>
        <v>Инфо</v>
      </c>
      <c r="F10160" s="16" t="s">
        <v>39</v>
      </c>
      <c r="G10160" s="15"/>
      <c r="H10160" s="15"/>
      <c r="I10160" s="15"/>
      <c r="J10160" s="17">
        <v>96</v>
      </c>
      <c r="K10160" s="15"/>
      <c r="L10160" s="17">
        <v>1</v>
      </c>
      <c r="M10160" s="17">
        <v>1</v>
      </c>
      <c r="N10160" s="17">
        <v>1</v>
      </c>
      <c r="O10160" s="18">
        <v>8624.16</v>
      </c>
      <c r="P10160" s="18">
        <v>7068.98</v>
      </c>
      <c r="Q10160" s="18">
        <v>6468.12</v>
      </c>
      <c r="R10160" s="18">
        <v>5301.74</v>
      </c>
      <c r="S10160" s="18">
        <v>5864.43</v>
      </c>
      <c r="T10160" s="18">
        <v>4806.91</v>
      </c>
      <c r="U10160" s="16"/>
      <c r="V10160" s="16"/>
      <c r="W10160" s="16" t="s">
        <v>40</v>
      </c>
      <c r="X10160" s="19">
        <v>4.9809999999999999</v>
      </c>
      <c r="Y10160" s="20">
        <v>2.4437E-2</v>
      </c>
      <c r="Z10160" s="21">
        <v>4601004302266</v>
      </c>
    </row>
    <row r="10161" spans="1:26" ht="12" customHeight="1" outlineLevel="4" x14ac:dyDescent="0.2">
      <c r="A10161" s="14" t="s">
        <v>19344</v>
      </c>
      <c r="B10161" s="26" t="s">
        <v>19345</v>
      </c>
      <c r="C10161" s="52"/>
      <c r="D10161" s="55">
        <f t="shared" si="158"/>
        <v>0</v>
      </c>
      <c r="E10161" s="63" t="str">
        <f>HYPERLINK("https://www.sds-group.ru/product/pushka-teplovaya-elektricheskaya-kruglaya-ptc-2kvt-rexant-60-0043/", "Инфо")</f>
        <v>Инфо</v>
      </c>
      <c r="F10161" s="16" t="s">
        <v>39</v>
      </c>
      <c r="G10161" s="15"/>
      <c r="H10161" s="15"/>
      <c r="I10161" s="15"/>
      <c r="J10161" s="16" t="s">
        <v>100</v>
      </c>
      <c r="K10161" s="15" t="s">
        <v>4013</v>
      </c>
      <c r="L10161" s="17">
        <v>1</v>
      </c>
      <c r="M10161" s="17">
        <v>8</v>
      </c>
      <c r="N10161" s="17">
        <v>1</v>
      </c>
      <c r="O10161" s="18">
        <v>2910.65</v>
      </c>
      <c r="P10161" s="18">
        <v>2385.7800000000002</v>
      </c>
      <c r="Q10161" s="18">
        <v>2328.52</v>
      </c>
      <c r="R10161" s="18">
        <v>1908.62</v>
      </c>
      <c r="S10161" s="18">
        <v>1979.24</v>
      </c>
      <c r="T10161" s="18">
        <v>1622.33</v>
      </c>
      <c r="U10161" s="16"/>
      <c r="V10161" s="16"/>
      <c r="W10161" s="16" t="s">
        <v>40</v>
      </c>
      <c r="X10161" s="19">
        <v>1.3149999999999999</v>
      </c>
      <c r="Y10161" s="20">
        <v>8.9849999999999999E-3</v>
      </c>
      <c r="Z10161" s="21">
        <v>4601004332317</v>
      </c>
    </row>
    <row r="10162" spans="1:26" ht="12" customHeight="1" outlineLevel="4" x14ac:dyDescent="0.2">
      <c r="A10162" s="14" t="s">
        <v>19346</v>
      </c>
      <c r="B10162" s="26" t="s">
        <v>19347</v>
      </c>
      <c r="C10162" s="52"/>
      <c r="D10162" s="55">
        <f t="shared" si="158"/>
        <v>0</v>
      </c>
      <c r="E10162" s="63" t="str">
        <f>HYPERLINK("https://www.sds-group.ru/product/pushka-teplovaya-elektricheskaya-kruglaya-ptc-3kvt-rexant-60-0016/", "Инфо")</f>
        <v>Инфо</v>
      </c>
      <c r="F10162" s="16" t="s">
        <v>39</v>
      </c>
      <c r="G10162" s="15"/>
      <c r="H10162" s="15"/>
      <c r="I10162" s="15"/>
      <c r="J10162" s="17">
        <v>59</v>
      </c>
      <c r="K10162" s="15" t="s">
        <v>19339</v>
      </c>
      <c r="L10162" s="17">
        <v>1</v>
      </c>
      <c r="M10162" s="17">
        <v>1</v>
      </c>
      <c r="N10162" s="17">
        <v>1</v>
      </c>
      <c r="O10162" s="18">
        <v>4829.53</v>
      </c>
      <c r="P10162" s="18">
        <v>3958.63</v>
      </c>
      <c r="Q10162" s="18">
        <v>3622.15</v>
      </c>
      <c r="R10162" s="18">
        <v>2968.98</v>
      </c>
      <c r="S10162" s="18">
        <v>3284.08</v>
      </c>
      <c r="T10162" s="18">
        <v>2691.87</v>
      </c>
      <c r="U10162" s="16"/>
      <c r="V10162" s="16"/>
      <c r="W10162" s="16" t="s">
        <v>40</v>
      </c>
      <c r="X10162" s="19">
        <v>1.9259999999999999</v>
      </c>
      <c r="Y10162" s="20">
        <v>1.6490999999999999E-2</v>
      </c>
      <c r="Z10162" s="21">
        <v>4601004332324</v>
      </c>
    </row>
    <row r="10163" spans="1:26" ht="12" customHeight="1" outlineLevel="4" x14ac:dyDescent="0.2">
      <c r="A10163" s="14" t="s">
        <v>19348</v>
      </c>
      <c r="B10163" s="26" t="s">
        <v>19349</v>
      </c>
      <c r="C10163" s="52"/>
      <c r="D10163" s="55">
        <f t="shared" si="158"/>
        <v>0</v>
      </c>
      <c r="E10163" s="63" t="str">
        <f>HYPERLINK("https://www.sds-group.ru/product/pushka-teplovaya-elektricheskaya-kruglaya-pryamougolnaya-podstavka-ten-2kvt-rexant-60-0036/", "Инфо")</f>
        <v>Инфо</v>
      </c>
      <c r="F10163" s="16" t="s">
        <v>39</v>
      </c>
      <c r="G10163" s="15"/>
      <c r="H10163" s="15"/>
      <c r="I10163" s="15"/>
      <c r="J10163" s="16" t="s">
        <v>100</v>
      </c>
      <c r="K10163" s="15"/>
      <c r="L10163" s="17">
        <v>1</v>
      </c>
      <c r="M10163" s="17">
        <v>1</v>
      </c>
      <c r="N10163" s="17">
        <v>1</v>
      </c>
      <c r="O10163" s="18">
        <v>5551.8</v>
      </c>
      <c r="P10163" s="18">
        <v>4550.66</v>
      </c>
      <c r="Q10163" s="18">
        <v>4441.4399999999996</v>
      </c>
      <c r="R10163" s="18">
        <v>3640.52</v>
      </c>
      <c r="S10163" s="18">
        <v>3775.22</v>
      </c>
      <c r="T10163" s="18">
        <v>3094.44</v>
      </c>
      <c r="U10163" s="16"/>
      <c r="V10163" s="16"/>
      <c r="W10163" s="16" t="s">
        <v>40</v>
      </c>
      <c r="X10163" s="19">
        <v>3.0059999999999998</v>
      </c>
      <c r="Y10163" s="20">
        <v>1.3516E-2</v>
      </c>
      <c r="Z10163" s="21">
        <v>4601004302471</v>
      </c>
    </row>
    <row r="10164" spans="1:26" ht="12" customHeight="1" outlineLevel="4" x14ac:dyDescent="0.2">
      <c r="A10164" s="14" t="s">
        <v>19350</v>
      </c>
      <c r="B10164" s="26" t="s">
        <v>19351</v>
      </c>
      <c r="C10164" s="52"/>
      <c r="D10164" s="55">
        <f t="shared" si="158"/>
        <v>0</v>
      </c>
      <c r="E10164" s="63" t="str">
        <f>HYPERLINK("https://www.sds-group.ru/product/pushka-teplovaya-elektricheskaya-kruglaya-pryamougolnaya-podstavka-ten-3kvt-rexant-60-0037/", "Инфо")</f>
        <v>Инфо</v>
      </c>
      <c r="F10164" s="16" t="s">
        <v>39</v>
      </c>
      <c r="G10164" s="15"/>
      <c r="H10164" s="15"/>
      <c r="I10164" s="15"/>
      <c r="J10164" s="17">
        <v>314</v>
      </c>
      <c r="K10164" s="15"/>
      <c r="L10164" s="17">
        <v>1</v>
      </c>
      <c r="M10164" s="17">
        <v>1</v>
      </c>
      <c r="N10164" s="17">
        <v>1</v>
      </c>
      <c r="O10164" s="18">
        <v>6198.62</v>
      </c>
      <c r="P10164" s="18">
        <v>5080.84</v>
      </c>
      <c r="Q10164" s="18">
        <v>4958.8999999999996</v>
      </c>
      <c r="R10164" s="18">
        <v>4064.67</v>
      </c>
      <c r="S10164" s="18">
        <v>4215.0600000000004</v>
      </c>
      <c r="T10164" s="18">
        <v>3454.97</v>
      </c>
      <c r="U10164" s="16"/>
      <c r="V10164" s="16"/>
      <c r="W10164" s="16" t="s">
        <v>40</v>
      </c>
      <c r="X10164" s="19">
        <v>3.18</v>
      </c>
      <c r="Y10164" s="20">
        <v>1.3894E-2</v>
      </c>
      <c r="Z10164" s="21">
        <v>4601004302440</v>
      </c>
    </row>
    <row r="10165" spans="1:26" ht="12" customHeight="1" outlineLevel="4" x14ac:dyDescent="0.2">
      <c r="A10165" s="14" t="s">
        <v>19352</v>
      </c>
      <c r="B10165" s="26" t="s">
        <v>19353</v>
      </c>
      <c r="C10165" s="52"/>
      <c r="D10165" s="55">
        <f t="shared" si="158"/>
        <v>0</v>
      </c>
      <c r="E10165" s="63" t="str">
        <f>HYPERLINK("https://www.sds-group.ru/product/pushka-teplovaya-elektricheskaya-kruglaya-regulirovka-ugla-naklona-ten-2kvt-rexant-60-0038/", "Инфо")</f>
        <v>Инфо</v>
      </c>
      <c r="F10165" s="16" t="s">
        <v>39</v>
      </c>
      <c r="G10165" s="15"/>
      <c r="H10165" s="15"/>
      <c r="I10165" s="15"/>
      <c r="J10165" s="16" t="s">
        <v>100</v>
      </c>
      <c r="K10165" s="15" t="s">
        <v>19339</v>
      </c>
      <c r="L10165" s="17">
        <v>1</v>
      </c>
      <c r="M10165" s="17">
        <v>1</v>
      </c>
      <c r="N10165" s="17">
        <v>1</v>
      </c>
      <c r="O10165" s="18">
        <v>6090.81</v>
      </c>
      <c r="P10165" s="18">
        <v>4992.47</v>
      </c>
      <c r="Q10165" s="18">
        <v>4872.6499999999996</v>
      </c>
      <c r="R10165" s="18">
        <v>3993.98</v>
      </c>
      <c r="S10165" s="18">
        <v>4141.75</v>
      </c>
      <c r="T10165" s="18">
        <v>3394.88</v>
      </c>
      <c r="U10165" s="16"/>
      <c r="V10165" s="16"/>
      <c r="W10165" s="16" t="s">
        <v>40</v>
      </c>
      <c r="X10165" s="19">
        <v>3.214</v>
      </c>
      <c r="Y10165" s="20">
        <v>2.2929000000000001E-2</v>
      </c>
      <c r="Z10165" s="21">
        <v>4601004302327</v>
      </c>
    </row>
    <row r="10166" spans="1:26" ht="12" customHeight="1" outlineLevel="4" x14ac:dyDescent="0.2">
      <c r="A10166" s="14" t="s">
        <v>19354</v>
      </c>
      <c r="B10166" s="26" t="s">
        <v>19355</v>
      </c>
      <c r="C10166" s="52"/>
      <c r="D10166" s="55">
        <f t="shared" si="158"/>
        <v>0</v>
      </c>
      <c r="E10166" s="63" t="str">
        <f>HYPERLINK("https://www.sds-group.ru/product/pushka-teplovaya-elektricheskaya-kruglaya-regulirovka-ugla-naklona-ten-3kvt-rexant-60-0039/", "Инфо")</f>
        <v>Инфо</v>
      </c>
      <c r="F10166" s="16" t="s">
        <v>39</v>
      </c>
      <c r="G10166" s="15"/>
      <c r="H10166" s="15"/>
      <c r="I10166" s="15"/>
      <c r="J10166" s="17">
        <v>21</v>
      </c>
      <c r="K10166" s="15" t="s">
        <v>19339</v>
      </c>
      <c r="L10166" s="17">
        <v>1</v>
      </c>
      <c r="M10166" s="17">
        <v>1</v>
      </c>
      <c r="N10166" s="17">
        <v>1</v>
      </c>
      <c r="O10166" s="18">
        <v>6360.32</v>
      </c>
      <c r="P10166" s="18">
        <v>5213.38</v>
      </c>
      <c r="Q10166" s="18">
        <v>5088.26</v>
      </c>
      <c r="R10166" s="18">
        <v>4170.7</v>
      </c>
      <c r="S10166" s="18">
        <v>4325.0200000000004</v>
      </c>
      <c r="T10166" s="18">
        <v>3545.1</v>
      </c>
      <c r="U10166" s="16"/>
      <c r="V10166" s="16"/>
      <c r="W10166" s="16" t="s">
        <v>40</v>
      </c>
      <c r="X10166" s="19">
        <v>3.4590000000000001</v>
      </c>
      <c r="Y10166" s="20">
        <v>2.3004E-2</v>
      </c>
      <c r="Z10166" s="21">
        <v>4601004302433</v>
      </c>
    </row>
    <row r="10167" spans="1:26" ht="12.95" customHeight="1" outlineLevel="3" x14ac:dyDescent="0.2">
      <c r="A10167" s="76" t="s">
        <v>19356</v>
      </c>
      <c r="B10167" s="76"/>
      <c r="C10167" s="77"/>
      <c r="D10167" s="58"/>
      <c r="E10167" s="68"/>
      <c r="F10167" s="13"/>
      <c r="G10167" s="13"/>
      <c r="H10167" s="13"/>
      <c r="I10167" s="13"/>
      <c r="J10167" s="13"/>
      <c r="K10167" s="13"/>
      <c r="L10167" s="13"/>
      <c r="M10167" s="13"/>
      <c r="N10167" s="13"/>
      <c r="O10167" s="13"/>
      <c r="P10167" s="13"/>
      <c r="Q10167" s="13"/>
      <c r="R10167" s="13"/>
      <c r="S10167" s="13"/>
      <c r="T10167" s="13"/>
      <c r="U10167" s="13"/>
      <c r="V10167" s="13"/>
      <c r="W10167" s="13"/>
      <c r="X10167" s="13"/>
      <c r="Y10167" s="13"/>
      <c r="Z10167" s="13"/>
    </row>
    <row r="10168" spans="1:26" ht="12" customHeight="1" outlineLevel="4" x14ac:dyDescent="0.2">
      <c r="A10168" s="14" t="s">
        <v>19357</v>
      </c>
      <c r="B10168" s="26" t="s">
        <v>19358</v>
      </c>
      <c r="C10168" s="52"/>
      <c r="D10168" s="55">
        <f t="shared" si="158"/>
        <v>0</v>
      </c>
      <c r="E10168" s="63" t="str">
        <f>HYPERLINK("https://www.sds-group.ru/product/pushka-teplovaya-gazovaya-10kvt-350m3-ch-rexant-60-0044/", "Инфо")</f>
        <v>Инфо</v>
      </c>
      <c r="F10168" s="16" t="s">
        <v>39</v>
      </c>
      <c r="G10168" s="15"/>
      <c r="H10168" s="15"/>
      <c r="I10168" s="15"/>
      <c r="J10168" s="17">
        <v>57</v>
      </c>
      <c r="K10168" s="15"/>
      <c r="L10168" s="17">
        <v>1</v>
      </c>
      <c r="M10168" s="17">
        <v>1</v>
      </c>
      <c r="N10168" s="17">
        <v>1</v>
      </c>
      <c r="O10168" s="18">
        <v>9540.48</v>
      </c>
      <c r="P10168" s="18">
        <v>7820.07</v>
      </c>
      <c r="Q10168" s="18">
        <v>7632.38</v>
      </c>
      <c r="R10168" s="18">
        <v>6256.05</v>
      </c>
      <c r="S10168" s="18">
        <v>6487.53</v>
      </c>
      <c r="T10168" s="18">
        <v>5317.65</v>
      </c>
      <c r="U10168" s="16"/>
      <c r="V10168" s="16"/>
      <c r="W10168" s="16" t="s">
        <v>40</v>
      </c>
      <c r="X10168" s="19">
        <v>3.94</v>
      </c>
      <c r="Y10168" s="20">
        <v>2.7111E-2</v>
      </c>
      <c r="Z10168" s="21">
        <v>4601004302785</v>
      </c>
    </row>
    <row r="10169" spans="1:26" ht="12" customHeight="1" outlineLevel="4" x14ac:dyDescent="0.2">
      <c r="A10169" s="14" t="s">
        <v>19359</v>
      </c>
      <c r="B10169" s="26" t="s">
        <v>19360</v>
      </c>
      <c r="C10169" s="52"/>
      <c r="D10169" s="55">
        <f t="shared" si="158"/>
        <v>0</v>
      </c>
      <c r="E10169" s="63" t="str">
        <f>HYPERLINK("https://www.sds-group.ru/product/pushka-teplovaya-gazovaya-15kvt-350m3-ch-rexant-60-0045/", "Инфо")</f>
        <v>Инфо</v>
      </c>
      <c r="F10169" s="16" t="s">
        <v>39</v>
      </c>
      <c r="G10169" s="15"/>
      <c r="H10169" s="15"/>
      <c r="I10169" s="15"/>
      <c r="J10169" s="16" t="s">
        <v>100</v>
      </c>
      <c r="K10169" s="15"/>
      <c r="L10169" s="17">
        <v>1</v>
      </c>
      <c r="M10169" s="17">
        <v>1</v>
      </c>
      <c r="N10169" s="17">
        <v>1</v>
      </c>
      <c r="O10169" s="18">
        <v>10079.49</v>
      </c>
      <c r="P10169" s="18">
        <v>8261.8799999999992</v>
      </c>
      <c r="Q10169" s="18">
        <v>8063.59</v>
      </c>
      <c r="R10169" s="18">
        <v>6609.5</v>
      </c>
      <c r="S10169" s="18">
        <v>6854.05</v>
      </c>
      <c r="T10169" s="18">
        <v>5618.07</v>
      </c>
      <c r="U10169" s="16"/>
      <c r="V10169" s="16"/>
      <c r="W10169" s="16" t="s">
        <v>40</v>
      </c>
      <c r="X10169" s="19">
        <v>3.976</v>
      </c>
      <c r="Y10169" s="20">
        <v>2.5548999999999999E-2</v>
      </c>
      <c r="Z10169" s="21">
        <v>4601004303836</v>
      </c>
    </row>
    <row r="10170" spans="1:26" ht="12.95" customHeight="1" outlineLevel="3" x14ac:dyDescent="0.2">
      <c r="A10170" s="76" t="s">
        <v>19361</v>
      </c>
      <c r="B10170" s="76"/>
      <c r="C10170" s="77"/>
      <c r="D10170" s="58"/>
      <c r="E10170" s="68"/>
      <c r="F10170" s="13"/>
      <c r="G10170" s="13"/>
      <c r="H10170" s="13"/>
      <c r="I10170" s="13"/>
      <c r="J10170" s="13"/>
      <c r="K10170" s="13"/>
      <c r="L10170" s="13"/>
      <c r="M10170" s="13"/>
      <c r="N10170" s="13"/>
      <c r="O10170" s="13"/>
      <c r="P10170" s="13"/>
      <c r="Q10170" s="13"/>
      <c r="R10170" s="13"/>
      <c r="S10170" s="13"/>
      <c r="T10170" s="13"/>
      <c r="U10170" s="13"/>
      <c r="V10170" s="13"/>
      <c r="W10170" s="13"/>
      <c r="X10170" s="13"/>
      <c r="Y10170" s="13"/>
      <c r="Z10170" s="13"/>
    </row>
    <row r="10171" spans="1:26" ht="12" customHeight="1" outlineLevel="4" x14ac:dyDescent="0.2">
      <c r="A10171" s="32" t="s">
        <v>19362</v>
      </c>
      <c r="B10171" s="74" t="s">
        <v>19363</v>
      </c>
      <c r="C10171" s="50"/>
      <c r="D10171" s="53">
        <f t="shared" si="158"/>
        <v>0</v>
      </c>
      <c r="E10171" s="60" t="str">
        <f>HYPERLINK("https://www.sds-group.ru/product/pushka-dizelnaya-pryamogo-nagreva-10kvt-500m3-ch-rexant-31017/", "Инфо")</f>
        <v>Инфо</v>
      </c>
      <c r="F10171" s="34" t="s">
        <v>39</v>
      </c>
      <c r="G10171" s="33"/>
      <c r="H10171" s="33" t="s">
        <v>40</v>
      </c>
      <c r="I10171" s="33"/>
      <c r="J10171" s="35">
        <v>2</v>
      </c>
      <c r="K10171" s="33"/>
      <c r="L10171" s="35">
        <v>1</v>
      </c>
      <c r="M10171" s="35">
        <v>1</v>
      </c>
      <c r="N10171" s="35">
        <v>1</v>
      </c>
      <c r="O10171" s="36">
        <v>24794.46</v>
      </c>
      <c r="P10171" s="36">
        <v>20323.330000000002</v>
      </c>
      <c r="Q10171" s="36">
        <v>19835.57</v>
      </c>
      <c r="R10171" s="36">
        <v>16258.66</v>
      </c>
      <c r="S10171" s="36">
        <v>16860.23</v>
      </c>
      <c r="T10171" s="36">
        <v>13819.86</v>
      </c>
      <c r="U10171" s="34"/>
      <c r="V10171" s="34"/>
      <c r="W10171" s="34" t="s">
        <v>40</v>
      </c>
      <c r="X10171" s="37">
        <v>11.292</v>
      </c>
      <c r="Y10171" s="38">
        <v>8.6513999999999994E-2</v>
      </c>
      <c r="Z10171" s="21">
        <v>4601004302495</v>
      </c>
    </row>
    <row r="10172" spans="1:26" ht="12" customHeight="1" outlineLevel="4" x14ac:dyDescent="0.2">
      <c r="A10172" s="14" t="s">
        <v>19364</v>
      </c>
      <c r="B10172" s="26" t="s">
        <v>19365</v>
      </c>
      <c r="C10172" s="52"/>
      <c r="D10172" s="55">
        <f t="shared" si="158"/>
        <v>0</v>
      </c>
      <c r="E10172" s="63" t="str">
        <f>HYPERLINK("https://www.sds-group.ru/product/pushka-dizelnaya-pryamogo-nagreva-20kvt-600m3-ch-rexant-60-0051/", "Инфо")</f>
        <v>Инфо</v>
      </c>
      <c r="F10172" s="16" t="s">
        <v>39</v>
      </c>
      <c r="G10172" s="15"/>
      <c r="H10172" s="15"/>
      <c r="I10172" s="15"/>
      <c r="J10172" s="16" t="s">
        <v>100</v>
      </c>
      <c r="K10172" s="15"/>
      <c r="L10172" s="17">
        <v>1</v>
      </c>
      <c r="M10172" s="17">
        <v>1</v>
      </c>
      <c r="N10172" s="17">
        <v>1</v>
      </c>
      <c r="O10172" s="18">
        <v>28783.13</v>
      </c>
      <c r="P10172" s="18">
        <v>23592.73</v>
      </c>
      <c r="Q10172" s="18">
        <v>23026.5</v>
      </c>
      <c r="R10172" s="18">
        <v>18874.18</v>
      </c>
      <c r="S10172" s="18">
        <v>19572.53</v>
      </c>
      <c r="T10172" s="18">
        <v>16043.06</v>
      </c>
      <c r="U10172" s="16"/>
      <c r="V10172" s="16"/>
      <c r="W10172" s="16" t="s">
        <v>40</v>
      </c>
      <c r="X10172" s="19">
        <v>11.316000000000001</v>
      </c>
      <c r="Y10172" s="20">
        <v>8.6870000000000003E-2</v>
      </c>
      <c r="Z10172" s="21">
        <v>4601004302457</v>
      </c>
    </row>
    <row r="10173" spans="1:26" ht="12.95" customHeight="1" outlineLevel="2" x14ac:dyDescent="0.2">
      <c r="A10173" s="76" t="s">
        <v>19366</v>
      </c>
      <c r="B10173" s="76"/>
      <c r="C10173" s="77"/>
      <c r="D10173" s="58"/>
      <c r="E10173" s="68"/>
      <c r="F10173" s="13"/>
      <c r="G10173" s="13"/>
      <c r="H10173" s="13"/>
      <c r="I10173" s="13"/>
      <c r="J10173" s="13"/>
      <c r="K10173" s="13"/>
      <c r="L10173" s="13"/>
      <c r="M10173" s="13"/>
      <c r="N10173" s="13"/>
      <c r="O10173" s="13"/>
      <c r="P10173" s="13"/>
      <c r="Q10173" s="13"/>
      <c r="R10173" s="13"/>
      <c r="S10173" s="13"/>
      <c r="T10173" s="13"/>
      <c r="U10173" s="13"/>
      <c r="V10173" s="13"/>
      <c r="W10173" s="13"/>
      <c r="X10173" s="13"/>
      <c r="Y10173" s="13"/>
      <c r="Z10173" s="13"/>
    </row>
    <row r="10174" spans="1:26" ht="12" customHeight="1" outlineLevel="3" x14ac:dyDescent="0.2">
      <c r="A10174" s="40" t="s">
        <v>19367</v>
      </c>
      <c r="B10174" s="75" t="s">
        <v>19368</v>
      </c>
      <c r="C10174" s="51"/>
      <c r="D10174" s="54">
        <f t="shared" si="158"/>
        <v>0</v>
      </c>
      <c r="E10174" s="61" t="str">
        <f>HYPERLINK("https://www.sds-group.ru/product/teplovaya-zavesa-teplobarer-3-3-kvt-belaya-rexant-60-0140/", "Инфо")</f>
        <v>Инфо</v>
      </c>
      <c r="F10174" s="42" t="s">
        <v>39</v>
      </c>
      <c r="G10174" s="41" t="s">
        <v>40</v>
      </c>
      <c r="H10174" s="41"/>
      <c r="I10174" s="41"/>
      <c r="J10174" s="42" t="s">
        <v>100</v>
      </c>
      <c r="K10174" s="41" t="s">
        <v>11098</v>
      </c>
      <c r="L10174" s="43">
        <v>1</v>
      </c>
      <c r="M10174" s="43">
        <v>1</v>
      </c>
      <c r="N10174" s="43">
        <v>1</v>
      </c>
      <c r="O10174" s="44">
        <v>11872</v>
      </c>
      <c r="P10174" s="44">
        <v>9731.15</v>
      </c>
      <c r="Q10174" s="44">
        <v>9497.6</v>
      </c>
      <c r="R10174" s="44">
        <v>7784.92</v>
      </c>
      <c r="S10174" s="44">
        <v>8072.96</v>
      </c>
      <c r="T10174" s="44">
        <v>6617.18</v>
      </c>
      <c r="U10174" s="42"/>
      <c r="V10174" s="42"/>
      <c r="W10174" s="42" t="s">
        <v>40</v>
      </c>
      <c r="X10174" s="45">
        <v>4.3899999999999997</v>
      </c>
      <c r="Y10174" s="46">
        <v>1.9732E-2</v>
      </c>
      <c r="Z10174" s="21">
        <v>4601004341746</v>
      </c>
    </row>
    <row r="10175" spans="1:26" ht="12" customHeight="1" outlineLevel="3" x14ac:dyDescent="0.2">
      <c r="A10175" s="40" t="s">
        <v>19369</v>
      </c>
      <c r="B10175" s="75" t="s">
        <v>19370</v>
      </c>
      <c r="C10175" s="51"/>
      <c r="D10175" s="54">
        <f t="shared" si="158"/>
        <v>0</v>
      </c>
      <c r="E10175" s="61" t="str">
        <f>HYPERLINK("https://www.sds-group.ru/product/teplovaya-zavesa-teplobarer-6-6-kvt-belaya-rexant-60-0142/", "Инфо")</f>
        <v>Инфо</v>
      </c>
      <c r="F10175" s="42" t="s">
        <v>39</v>
      </c>
      <c r="G10175" s="41" t="s">
        <v>40</v>
      </c>
      <c r="H10175" s="41"/>
      <c r="I10175" s="41"/>
      <c r="J10175" s="43">
        <v>23</v>
      </c>
      <c r="K10175" s="41" t="s">
        <v>11098</v>
      </c>
      <c r="L10175" s="43">
        <v>1</v>
      </c>
      <c r="M10175" s="43">
        <v>1</v>
      </c>
      <c r="N10175" s="43">
        <v>1</v>
      </c>
      <c r="O10175" s="44">
        <v>25970</v>
      </c>
      <c r="P10175" s="44">
        <v>21286.89</v>
      </c>
      <c r="Q10175" s="44">
        <v>20776</v>
      </c>
      <c r="R10175" s="44">
        <v>17029.509999999998</v>
      </c>
      <c r="S10175" s="44">
        <v>17659.599999999999</v>
      </c>
      <c r="T10175" s="44">
        <v>14475.08</v>
      </c>
      <c r="U10175" s="42"/>
      <c r="V10175" s="42"/>
      <c r="W10175" s="42" t="s">
        <v>40</v>
      </c>
      <c r="X10175" s="45">
        <v>10.199999999999999</v>
      </c>
      <c r="Y10175" s="46">
        <v>3.3059999999999999E-2</v>
      </c>
      <c r="Z10175" s="21">
        <v>4601004341753</v>
      </c>
    </row>
    <row r="10176" spans="1:26" ht="12" customHeight="1" outlineLevel="3" x14ac:dyDescent="0.2">
      <c r="A10176" s="40" t="s">
        <v>19371</v>
      </c>
      <c r="B10176" s="75" t="s">
        <v>19372</v>
      </c>
      <c r="C10176" s="51"/>
      <c r="D10176" s="54">
        <f t="shared" si="158"/>
        <v>0</v>
      </c>
      <c r="E10176" s="61" t="str">
        <f>HYPERLINK("https://www.sds-group.ru/product/teplovaya-zavesa-teplobarer-9-9-kvt-belaya-rexant-60-0143/", "Инфо")</f>
        <v>Инфо</v>
      </c>
      <c r="F10176" s="42" t="s">
        <v>39</v>
      </c>
      <c r="G10176" s="41" t="s">
        <v>40</v>
      </c>
      <c r="H10176" s="41"/>
      <c r="I10176" s="41"/>
      <c r="J10176" s="43">
        <v>19</v>
      </c>
      <c r="K10176" s="41"/>
      <c r="L10176" s="43">
        <v>1</v>
      </c>
      <c r="M10176" s="43">
        <v>1</v>
      </c>
      <c r="N10176" s="43">
        <v>1</v>
      </c>
      <c r="O10176" s="44">
        <v>37630</v>
      </c>
      <c r="P10176" s="44">
        <v>30844.26</v>
      </c>
      <c r="Q10176" s="44">
        <v>30104</v>
      </c>
      <c r="R10176" s="44">
        <v>24675.41</v>
      </c>
      <c r="S10176" s="44">
        <v>25588.400000000001</v>
      </c>
      <c r="T10176" s="44">
        <v>20974.1</v>
      </c>
      <c r="U10176" s="42"/>
      <c r="V10176" s="42"/>
      <c r="W10176" s="42" t="s">
        <v>40</v>
      </c>
      <c r="X10176" s="45">
        <v>15.13</v>
      </c>
      <c r="Y10176" s="46">
        <v>5.1029999999999999E-2</v>
      </c>
      <c r="Z10176" s="21">
        <v>4601004341760</v>
      </c>
    </row>
    <row r="10177" spans="1:26" ht="12.95" customHeight="1" outlineLevel="1" x14ac:dyDescent="0.2">
      <c r="A10177" s="78" t="s">
        <v>19373</v>
      </c>
      <c r="B10177" s="78"/>
      <c r="C10177" s="79"/>
      <c r="D10177" s="57"/>
      <c r="E10177" s="67"/>
      <c r="F10177" s="12"/>
      <c r="G10177" s="12"/>
      <c r="H10177" s="12"/>
      <c r="I10177" s="12"/>
      <c r="J10177" s="12"/>
      <c r="K10177" s="12"/>
      <c r="L10177" s="12"/>
      <c r="M10177" s="12"/>
      <c r="N10177" s="12"/>
      <c r="O10177" s="12"/>
      <c r="P10177" s="12"/>
      <c r="Q10177" s="12"/>
      <c r="R10177" s="12"/>
      <c r="S10177" s="12"/>
      <c r="T10177" s="12"/>
      <c r="U10177" s="12"/>
      <c r="V10177" s="12"/>
      <c r="W10177" s="12"/>
      <c r="X10177" s="12"/>
      <c r="Y10177" s="12"/>
      <c r="Z10177" s="12"/>
    </row>
    <row r="10178" spans="1:26" ht="12.95" customHeight="1" outlineLevel="2" x14ac:dyDescent="0.2">
      <c r="A10178" s="76" t="s">
        <v>19374</v>
      </c>
      <c r="B10178" s="76"/>
      <c r="C10178" s="77"/>
      <c r="D10178" s="58"/>
      <c r="E10178" s="68"/>
      <c r="F10178" s="13"/>
      <c r="G10178" s="13"/>
      <c r="H10178" s="13"/>
      <c r="I10178" s="13"/>
      <c r="J10178" s="13"/>
      <c r="K10178" s="13"/>
      <c r="L10178" s="13"/>
      <c r="M10178" s="13"/>
      <c r="N10178" s="13"/>
      <c r="O10178" s="13"/>
      <c r="P10178" s="13"/>
      <c r="Q10178" s="13"/>
      <c r="R10178" s="13"/>
      <c r="S10178" s="13"/>
      <c r="T10178" s="13"/>
      <c r="U10178" s="13"/>
      <c r="V10178" s="13"/>
      <c r="W10178" s="13"/>
      <c r="X10178" s="13"/>
      <c r="Y10178" s="13"/>
      <c r="Z10178" s="13"/>
    </row>
    <row r="10179" spans="1:26" ht="12.95" customHeight="1" outlineLevel="3" x14ac:dyDescent="0.2">
      <c r="A10179" s="76" t="s">
        <v>19375</v>
      </c>
      <c r="B10179" s="76"/>
      <c r="C10179" s="77"/>
      <c r="D10179" s="58"/>
      <c r="E10179" s="68"/>
      <c r="F10179" s="13"/>
      <c r="G10179" s="13"/>
      <c r="H10179" s="13"/>
      <c r="I10179" s="13"/>
      <c r="J10179" s="13"/>
      <c r="K10179" s="13"/>
      <c r="L10179" s="13"/>
      <c r="M10179" s="13"/>
      <c r="N10179" s="13"/>
      <c r="O10179" s="13"/>
      <c r="P10179" s="13"/>
      <c r="Q10179" s="13"/>
      <c r="R10179" s="13"/>
      <c r="S10179" s="13"/>
      <c r="T10179" s="13"/>
      <c r="U10179" s="13"/>
      <c r="V10179" s="13"/>
      <c r="W10179" s="13"/>
      <c r="X10179" s="13"/>
      <c r="Y10179" s="13"/>
      <c r="Z10179" s="13"/>
    </row>
    <row r="10180" spans="1:26" ht="12" customHeight="1" outlineLevel="4" x14ac:dyDescent="0.2">
      <c r="A10180" s="14" t="s">
        <v>19376</v>
      </c>
      <c r="B10180" s="26" t="s">
        <v>19377</v>
      </c>
      <c r="C10180" s="52"/>
      <c r="D10180" s="55">
        <f t="shared" si="158"/>
        <v>0</v>
      </c>
      <c r="E10180" s="63" t="str">
        <f>HYPERLINK("https://www.sds-group.ru/product/termoregulyator-mehanicheskiy-r5xt-belyy-rexant-51-0592/", "Инфо")</f>
        <v>Инфо</v>
      </c>
      <c r="F10180" s="16" t="s">
        <v>39</v>
      </c>
      <c r="G10180" s="15"/>
      <c r="H10180" s="15"/>
      <c r="I10180" s="15"/>
      <c r="J10180" s="17">
        <v>863</v>
      </c>
      <c r="K10180" s="15"/>
      <c r="L10180" s="17">
        <v>1</v>
      </c>
      <c r="M10180" s="17">
        <v>64</v>
      </c>
      <c r="N10180" s="17">
        <v>1</v>
      </c>
      <c r="O10180" s="18">
        <v>1382.87</v>
      </c>
      <c r="P10180" s="18">
        <v>1133.5</v>
      </c>
      <c r="Q10180" s="18">
        <v>1106.3</v>
      </c>
      <c r="R10180" s="18">
        <v>906.8</v>
      </c>
      <c r="S10180" s="18">
        <v>940.35</v>
      </c>
      <c r="T10180" s="18">
        <v>770.78</v>
      </c>
      <c r="U10180" s="16"/>
      <c r="V10180" s="16"/>
      <c r="W10180" s="16" t="s">
        <v>40</v>
      </c>
      <c r="X10180" s="19">
        <v>0.23100000000000001</v>
      </c>
      <c r="Y10180" s="20">
        <v>7.7999999999999999E-4</v>
      </c>
      <c r="Z10180" s="21">
        <v>4601004291867</v>
      </c>
    </row>
    <row r="10181" spans="1:26" ht="12" customHeight="1" outlineLevel="4" x14ac:dyDescent="0.2">
      <c r="A10181" s="14" t="s">
        <v>19378</v>
      </c>
      <c r="B10181" s="26" t="s">
        <v>19379</v>
      </c>
      <c r="C10181" s="52"/>
      <c r="D10181" s="55">
        <f t="shared" si="158"/>
        <v>0</v>
      </c>
      <c r="E10181" s="63" t="str">
        <f>HYPERLINK("https://www.sds-group.ru/product/termoregulyator-mehanicheskiy-r5xt-chernyy-rexant-51-0593/", "Инфо")</f>
        <v>Инфо</v>
      </c>
      <c r="F10181" s="16" t="s">
        <v>39</v>
      </c>
      <c r="G10181" s="15"/>
      <c r="H10181" s="15"/>
      <c r="I10181" s="15"/>
      <c r="J10181" s="17">
        <v>789</v>
      </c>
      <c r="K10181" s="15"/>
      <c r="L10181" s="17">
        <v>1</v>
      </c>
      <c r="M10181" s="17">
        <v>64</v>
      </c>
      <c r="N10181" s="17">
        <v>1</v>
      </c>
      <c r="O10181" s="18">
        <v>1485.56</v>
      </c>
      <c r="P10181" s="18">
        <v>1217.67</v>
      </c>
      <c r="Q10181" s="18">
        <v>1173.5899999999999</v>
      </c>
      <c r="R10181" s="18">
        <v>961.96</v>
      </c>
      <c r="S10181" s="18">
        <v>1010.18</v>
      </c>
      <c r="T10181" s="18">
        <v>828.02</v>
      </c>
      <c r="U10181" s="16"/>
      <c r="V10181" s="16"/>
      <c r="W10181" s="16" t="s">
        <v>40</v>
      </c>
      <c r="X10181" s="19">
        <v>0.23</v>
      </c>
      <c r="Y10181" s="20">
        <v>7.7800000000000015E-4</v>
      </c>
      <c r="Z10181" s="21">
        <v>4601004291850</v>
      </c>
    </row>
    <row r="10182" spans="1:26" ht="12" customHeight="1" outlineLevel="4" x14ac:dyDescent="0.2">
      <c r="A10182" s="14" t="s">
        <v>19380</v>
      </c>
      <c r="B10182" s="26" t="s">
        <v>19381</v>
      </c>
      <c r="C10182" s="52"/>
      <c r="D10182" s="55">
        <f t="shared" si="158"/>
        <v>0</v>
      </c>
      <c r="E10182" s="63" t="str">
        <f>HYPERLINK("https://www.sds-group.ru/product/termoregulyator-mehanicheskiy-r70xt-bezhevyy-rexant-51-0581/", "Инфо")</f>
        <v>Инфо</v>
      </c>
      <c r="F10182" s="16" t="s">
        <v>39</v>
      </c>
      <c r="G10182" s="15"/>
      <c r="H10182" s="15"/>
      <c r="I10182" s="15"/>
      <c r="J10182" s="22">
        <v>5525</v>
      </c>
      <c r="K10182" s="15"/>
      <c r="L10182" s="17">
        <v>1</v>
      </c>
      <c r="M10182" s="17">
        <v>64</v>
      </c>
      <c r="N10182" s="17">
        <v>1</v>
      </c>
      <c r="O10182" s="18">
        <v>883.98</v>
      </c>
      <c r="P10182" s="18">
        <v>724.57</v>
      </c>
      <c r="Q10182" s="18">
        <v>645.30999999999995</v>
      </c>
      <c r="R10182" s="18">
        <v>528.94000000000005</v>
      </c>
      <c r="S10182" s="18">
        <v>601.11</v>
      </c>
      <c r="T10182" s="18">
        <v>492.71</v>
      </c>
      <c r="U10182" s="16"/>
      <c r="V10182" s="16"/>
      <c r="W10182" s="16" t="s">
        <v>40</v>
      </c>
      <c r="X10182" s="19">
        <v>0.21199999999999999</v>
      </c>
      <c r="Y10182" s="20">
        <v>7.7399999999999995E-4</v>
      </c>
      <c r="Z10182" s="21">
        <v>4601004101586</v>
      </c>
    </row>
    <row r="10183" spans="1:26" ht="12" customHeight="1" outlineLevel="4" x14ac:dyDescent="0.2">
      <c r="A10183" s="14" t="s">
        <v>19382</v>
      </c>
      <c r="B10183" s="26" t="s">
        <v>19383</v>
      </c>
      <c r="C10183" s="52"/>
      <c r="D10183" s="55">
        <f t="shared" si="158"/>
        <v>0</v>
      </c>
      <c r="E10183" s="63" t="str">
        <f>HYPERLINK("https://www.sds-group.ru/product/termoregulyator-mehanicheskiy-r70xt-belyy-rexant-51-0531/", "Инфо")</f>
        <v>Инфо</v>
      </c>
      <c r="F10183" s="16" t="s">
        <v>39</v>
      </c>
      <c r="G10183" s="15"/>
      <c r="H10183" s="15"/>
      <c r="I10183" s="15"/>
      <c r="J10183" s="22">
        <v>28360</v>
      </c>
      <c r="K10183" s="15" t="s">
        <v>1266</v>
      </c>
      <c r="L10183" s="17">
        <v>1</v>
      </c>
      <c r="M10183" s="17">
        <v>64</v>
      </c>
      <c r="N10183" s="17">
        <v>1</v>
      </c>
      <c r="O10183" s="18">
        <v>840.86</v>
      </c>
      <c r="P10183" s="18">
        <v>689.23</v>
      </c>
      <c r="Q10183" s="18">
        <v>613.83000000000004</v>
      </c>
      <c r="R10183" s="18">
        <v>503.14</v>
      </c>
      <c r="S10183" s="18">
        <v>571.78</v>
      </c>
      <c r="T10183" s="18">
        <v>468.67</v>
      </c>
      <c r="U10183" s="16"/>
      <c r="V10183" s="16"/>
      <c r="W10183" s="16" t="s">
        <v>40</v>
      </c>
      <c r="X10183" s="19">
        <v>0.21199999999999999</v>
      </c>
      <c r="Y10183" s="20">
        <v>8.2100000000000001E-4</v>
      </c>
      <c r="Z10183" s="21">
        <v>4601004040649</v>
      </c>
    </row>
    <row r="10184" spans="1:26" ht="12" customHeight="1" outlineLevel="4" x14ac:dyDescent="0.2">
      <c r="A10184" s="14" t="s">
        <v>19384</v>
      </c>
      <c r="B10184" s="26" t="s">
        <v>19385</v>
      </c>
      <c r="C10184" s="52"/>
      <c r="D10184" s="55">
        <f t="shared" si="158"/>
        <v>0</v>
      </c>
      <c r="E10184" s="63" t="str">
        <f>HYPERLINK("https://www.sds-group.ru/product/termoregulyator-mehanicheskiy-r70xt-chernyy-rexant-51-0594/", "Инфо")</f>
        <v>Инфо</v>
      </c>
      <c r="F10184" s="16" t="s">
        <v>39</v>
      </c>
      <c r="G10184" s="15"/>
      <c r="H10184" s="15"/>
      <c r="I10184" s="15"/>
      <c r="J10184" s="16" t="s">
        <v>100</v>
      </c>
      <c r="K10184" s="15" t="s">
        <v>1266</v>
      </c>
      <c r="L10184" s="17">
        <v>1</v>
      </c>
      <c r="M10184" s="17">
        <v>64</v>
      </c>
      <c r="N10184" s="17">
        <v>1</v>
      </c>
      <c r="O10184" s="18">
        <v>937.88</v>
      </c>
      <c r="P10184" s="18">
        <v>768.75</v>
      </c>
      <c r="Q10184" s="18">
        <v>684.65</v>
      </c>
      <c r="R10184" s="18">
        <v>561.19000000000005</v>
      </c>
      <c r="S10184" s="18">
        <v>637.76</v>
      </c>
      <c r="T10184" s="18">
        <v>522.75</v>
      </c>
      <c r="U10184" s="16"/>
      <c r="V10184" s="16"/>
      <c r="W10184" s="16" t="s">
        <v>40</v>
      </c>
      <c r="X10184" s="19">
        <v>0.21299999999999999</v>
      </c>
      <c r="Y10184" s="20">
        <v>8.3000000000000001E-4</v>
      </c>
      <c r="Z10184" s="21">
        <v>4601004291843</v>
      </c>
    </row>
    <row r="10185" spans="1:26" ht="12" customHeight="1" outlineLevel="4" x14ac:dyDescent="0.2">
      <c r="A10185" s="14" t="s">
        <v>19386</v>
      </c>
      <c r="B10185" s="26" t="s">
        <v>19387</v>
      </c>
      <c r="C10185" s="52"/>
      <c r="D10185" s="55">
        <f t="shared" ref="D10185:D10248" si="159">C10185*(O10185-O10185*$G$3)</f>
        <v>0</v>
      </c>
      <c r="E10185" s="63" t="str">
        <f>HYPERLINK("https://www.sds-group.ru/product/termoregulyator-mehanicheskiy-r72xt-s-datchikom-temperatury-vozduha-i-pola-belyy-rexant-51-0580/", "Инфо")</f>
        <v>Инфо</v>
      </c>
      <c r="F10185" s="16" t="s">
        <v>39</v>
      </c>
      <c r="G10185" s="15"/>
      <c r="H10185" s="15"/>
      <c r="I10185" s="15"/>
      <c r="J10185" s="22">
        <v>3393</v>
      </c>
      <c r="K10185" s="15"/>
      <c r="L10185" s="17">
        <v>1</v>
      </c>
      <c r="M10185" s="17">
        <v>64</v>
      </c>
      <c r="N10185" s="17">
        <v>1</v>
      </c>
      <c r="O10185" s="18">
        <v>1433.77</v>
      </c>
      <c r="P10185" s="18">
        <v>1175.22</v>
      </c>
      <c r="Q10185" s="18">
        <v>1132.68</v>
      </c>
      <c r="R10185" s="18">
        <v>928.43</v>
      </c>
      <c r="S10185" s="18">
        <v>974.96</v>
      </c>
      <c r="T10185" s="18">
        <v>799.15</v>
      </c>
      <c r="U10185" s="16"/>
      <c r="V10185" s="16"/>
      <c r="W10185" s="16" t="s">
        <v>40</v>
      </c>
      <c r="X10185" s="19">
        <v>0.248</v>
      </c>
      <c r="Y10185" s="20">
        <v>7.4899999999999999E-4</v>
      </c>
      <c r="Z10185" s="21">
        <v>4601004138742</v>
      </c>
    </row>
    <row r="10186" spans="1:26" ht="12" customHeight="1" outlineLevel="4" x14ac:dyDescent="0.2">
      <c r="A10186" s="14" t="s">
        <v>19388</v>
      </c>
      <c r="B10186" s="26" t="s">
        <v>19389</v>
      </c>
      <c r="C10186" s="52"/>
      <c r="D10186" s="55">
        <f t="shared" si="159"/>
        <v>0</v>
      </c>
      <c r="E10186" s="63" t="str">
        <f>HYPERLINK("https://www.sds-group.ru/product/termoregulyator-mehanicheskiy-rx-308b-sovmestim-s-legrand-serii-valena-bezhevyy-rexant-51-0563/", "Инфо")</f>
        <v>Инфо</v>
      </c>
      <c r="F10186" s="16" t="s">
        <v>39</v>
      </c>
      <c r="G10186" s="15"/>
      <c r="H10186" s="15"/>
      <c r="I10186" s="15"/>
      <c r="J10186" s="17">
        <v>122</v>
      </c>
      <c r="K10186" s="15"/>
      <c r="L10186" s="17">
        <v>1</v>
      </c>
      <c r="M10186" s="17">
        <v>40</v>
      </c>
      <c r="N10186" s="17">
        <v>1</v>
      </c>
      <c r="O10186" s="18">
        <v>4267.33</v>
      </c>
      <c r="P10186" s="18">
        <v>3497.81</v>
      </c>
      <c r="Q10186" s="18">
        <v>3115.15</v>
      </c>
      <c r="R10186" s="18">
        <v>2553.4</v>
      </c>
      <c r="S10186" s="18">
        <v>2901.78</v>
      </c>
      <c r="T10186" s="18">
        <v>2378.5100000000002</v>
      </c>
      <c r="U10186" s="16"/>
      <c r="V10186" s="16"/>
      <c r="W10186" s="16" t="s">
        <v>40</v>
      </c>
      <c r="X10186" s="19">
        <v>0.17799999999999999</v>
      </c>
      <c r="Y10186" s="20">
        <v>8.9899999999999995E-4</v>
      </c>
      <c r="Z10186" s="21">
        <v>4601004059870</v>
      </c>
    </row>
    <row r="10187" spans="1:26" ht="12" customHeight="1" outlineLevel="4" x14ac:dyDescent="0.2">
      <c r="A10187" s="14" t="s">
        <v>19390</v>
      </c>
      <c r="B10187" s="26" t="s">
        <v>19391</v>
      </c>
      <c r="C10187" s="52"/>
      <c r="D10187" s="55">
        <f t="shared" si="159"/>
        <v>0</v>
      </c>
      <c r="E10187" s="63" t="str">
        <f>HYPERLINK("https://www.sds-group.ru/product/termoregulyator-mehanicheskiy-rx-308b-sovmestim-s-legrand-serii-valena-belyy-rexant-51-0562/", "Инфо")</f>
        <v>Инфо</v>
      </c>
      <c r="F10187" s="16" t="s">
        <v>39</v>
      </c>
      <c r="G10187" s="15"/>
      <c r="H10187" s="15"/>
      <c r="I10187" s="15"/>
      <c r="J10187" s="17">
        <v>92</v>
      </c>
      <c r="K10187" s="15"/>
      <c r="L10187" s="17">
        <v>1</v>
      </c>
      <c r="M10187" s="17">
        <v>40</v>
      </c>
      <c r="N10187" s="17">
        <v>1</v>
      </c>
      <c r="O10187" s="18">
        <v>4267.33</v>
      </c>
      <c r="P10187" s="18">
        <v>3497.81</v>
      </c>
      <c r="Q10187" s="18">
        <v>3115.15</v>
      </c>
      <c r="R10187" s="18">
        <v>2553.4</v>
      </c>
      <c r="S10187" s="18">
        <v>2901.78</v>
      </c>
      <c r="T10187" s="18">
        <v>2378.5100000000002</v>
      </c>
      <c r="U10187" s="16"/>
      <c r="V10187" s="16"/>
      <c r="W10187" s="16" t="s">
        <v>40</v>
      </c>
      <c r="X10187" s="19">
        <v>0.125</v>
      </c>
      <c r="Y10187" s="20">
        <v>9.1399999999999999E-4</v>
      </c>
      <c r="Z10187" s="21">
        <v>4601004059979</v>
      </c>
    </row>
    <row r="10188" spans="1:26" ht="12" customHeight="1" outlineLevel="4" x14ac:dyDescent="0.2">
      <c r="A10188" s="14" t="s">
        <v>19392</v>
      </c>
      <c r="B10188" s="26" t="s">
        <v>19393</v>
      </c>
      <c r="C10188" s="52"/>
      <c r="D10188" s="55">
        <f t="shared" si="159"/>
        <v>0</v>
      </c>
      <c r="E10188" s="63" t="str">
        <f>HYPERLINK("https://www.sds-group.ru/product/termoregulyator-mehanicheskiy-rx-308b-sovmestim-s-legrand-serii-valena-chernyy-rexant-51-0816/", "Инфо")</f>
        <v>Инфо</v>
      </c>
      <c r="F10188" s="16" t="s">
        <v>39</v>
      </c>
      <c r="G10188" s="15"/>
      <c r="H10188" s="15"/>
      <c r="I10188" s="15"/>
      <c r="J10188" s="16" t="s">
        <v>100</v>
      </c>
      <c r="K10188" s="15"/>
      <c r="L10188" s="17">
        <v>1</v>
      </c>
      <c r="M10188" s="17">
        <v>39</v>
      </c>
      <c r="N10188" s="17">
        <v>1</v>
      </c>
      <c r="O10188" s="18">
        <v>4171.6899999999996</v>
      </c>
      <c r="P10188" s="18">
        <v>3419.42</v>
      </c>
      <c r="Q10188" s="18">
        <v>3045.33</v>
      </c>
      <c r="R10188" s="18">
        <v>2496.17</v>
      </c>
      <c r="S10188" s="18">
        <v>2836.75</v>
      </c>
      <c r="T10188" s="18">
        <v>2325.1999999999998</v>
      </c>
      <c r="U10188" s="16"/>
      <c r="V10188" s="16"/>
      <c r="W10188" s="16" t="s">
        <v>40</v>
      </c>
      <c r="X10188" s="19">
        <v>0.188</v>
      </c>
      <c r="Y10188" s="20">
        <v>1.4940000000000001E-3</v>
      </c>
      <c r="Z10188" s="21">
        <v>4601004148604</v>
      </c>
    </row>
    <row r="10189" spans="1:26" ht="12" customHeight="1" outlineLevel="4" x14ac:dyDescent="0.2">
      <c r="A10189" s="14" t="s">
        <v>19394</v>
      </c>
      <c r="B10189" s="26" t="s">
        <v>19395</v>
      </c>
      <c r="C10189" s="52"/>
      <c r="D10189" s="55">
        <f t="shared" si="159"/>
        <v>0</v>
      </c>
      <c r="E10189" s="63" t="str">
        <f>HYPERLINK("https://www.sds-group.ru/product/termoregulyator-mehanicheskiy-rx-308g-sovmestim-s-schneider-serii-glossa-atlas-sedna-w59-bel-51-0825/", "Инфо")</f>
        <v>Инфо</v>
      </c>
      <c r="F10189" s="16" t="s">
        <v>39</v>
      </c>
      <c r="G10189" s="15"/>
      <c r="H10189" s="15"/>
      <c r="I10189" s="15"/>
      <c r="J10189" s="17">
        <v>53</v>
      </c>
      <c r="K10189" s="15"/>
      <c r="L10189" s="17">
        <v>1</v>
      </c>
      <c r="M10189" s="17">
        <v>39</v>
      </c>
      <c r="N10189" s="17">
        <v>1</v>
      </c>
      <c r="O10189" s="18">
        <v>4498.97</v>
      </c>
      <c r="P10189" s="18">
        <v>3687.68</v>
      </c>
      <c r="Q10189" s="18">
        <v>3284.25</v>
      </c>
      <c r="R10189" s="18">
        <v>2692.01</v>
      </c>
      <c r="S10189" s="18">
        <v>3059.3</v>
      </c>
      <c r="T10189" s="18">
        <v>2507.62</v>
      </c>
      <c r="U10189" s="16"/>
      <c r="V10189" s="16"/>
      <c r="W10189" s="16" t="s">
        <v>40</v>
      </c>
      <c r="X10189" s="19">
        <v>0.186</v>
      </c>
      <c r="Y10189" s="20">
        <v>9.1799999999999998E-4</v>
      </c>
      <c r="Z10189" s="21">
        <v>4601004265776</v>
      </c>
    </row>
    <row r="10190" spans="1:26" ht="12" customHeight="1" outlineLevel="4" x14ac:dyDescent="0.2">
      <c r="A10190" s="32" t="s">
        <v>19396</v>
      </c>
      <c r="B10190" s="74" t="s">
        <v>19397</v>
      </c>
      <c r="C10190" s="50"/>
      <c r="D10190" s="53">
        <f t="shared" si="159"/>
        <v>0</v>
      </c>
      <c r="E10190" s="60" t="str">
        <f>HYPERLINK("https://www.sds-group.ru/product/termoregulyator-mehanicheskiy-rx-308u-sovmestim-s-schneider-serii-unica-belyy-rexant-51-0823/", "Инфо")</f>
        <v>Инфо</v>
      </c>
      <c r="F10190" s="34" t="s">
        <v>39</v>
      </c>
      <c r="G10190" s="33"/>
      <c r="H10190" s="33" t="s">
        <v>40</v>
      </c>
      <c r="I10190" s="33"/>
      <c r="J10190" s="35">
        <v>64</v>
      </c>
      <c r="K10190" s="33"/>
      <c r="L10190" s="35">
        <v>1</v>
      </c>
      <c r="M10190" s="35">
        <v>39</v>
      </c>
      <c r="N10190" s="35">
        <v>1</v>
      </c>
      <c r="O10190" s="36">
        <v>3124.62</v>
      </c>
      <c r="P10190" s="36">
        <v>2561.16</v>
      </c>
      <c r="Q10190" s="36">
        <v>2187.23</v>
      </c>
      <c r="R10190" s="36">
        <v>1792.81</v>
      </c>
      <c r="S10190" s="36">
        <v>2124.7399999999998</v>
      </c>
      <c r="T10190" s="36">
        <v>1741.59</v>
      </c>
      <c r="U10190" s="34"/>
      <c r="V10190" s="34"/>
      <c r="W10190" s="34"/>
      <c r="X10190" s="37">
        <v>0.16800000000000001</v>
      </c>
      <c r="Y10190" s="38">
        <v>9.0300000000000005E-4</v>
      </c>
      <c r="Z10190" s="21">
        <v>4601004265752</v>
      </c>
    </row>
    <row r="10191" spans="1:26" ht="12.95" customHeight="1" outlineLevel="3" x14ac:dyDescent="0.2">
      <c r="A10191" s="76" t="s">
        <v>19398</v>
      </c>
      <c r="B10191" s="76"/>
      <c r="C10191" s="77"/>
      <c r="D10191" s="58"/>
      <c r="E10191" s="68"/>
      <c r="F10191" s="13"/>
      <c r="G10191" s="13"/>
      <c r="H10191" s="13"/>
      <c r="I10191" s="13"/>
      <c r="J10191" s="13"/>
      <c r="K10191" s="13"/>
      <c r="L10191" s="13"/>
      <c r="M10191" s="13"/>
      <c r="N10191" s="13"/>
      <c r="O10191" s="13"/>
      <c r="P10191" s="13"/>
      <c r="Q10191" s="13"/>
      <c r="R10191" s="13"/>
      <c r="S10191" s="13"/>
      <c r="T10191" s="13"/>
      <c r="U10191" s="13"/>
      <c r="V10191" s="13"/>
      <c r="W10191" s="13"/>
      <c r="X10191" s="13"/>
      <c r="Y10191" s="13"/>
      <c r="Z10191" s="13"/>
    </row>
    <row r="10192" spans="1:26" ht="12" customHeight="1" outlineLevel="4" x14ac:dyDescent="0.2">
      <c r="A10192" s="32" t="s">
        <v>19399</v>
      </c>
      <c r="B10192" s="74" t="s">
        <v>19400</v>
      </c>
      <c r="C10192" s="50"/>
      <c r="D10192" s="53">
        <f t="shared" si="159"/>
        <v>0</v>
      </c>
      <c r="E10192" s="60" t="str">
        <f>HYPERLINK("https://www.sds-group.ru/product/termoregulyator-tsifrovoy-r100b-sensornyy-programiruemyy-chernyy-rexant-51-0589/", "Инфо")</f>
        <v>Инфо</v>
      </c>
      <c r="F10192" s="34" t="s">
        <v>39</v>
      </c>
      <c r="G10192" s="33"/>
      <c r="H10192" s="33" t="s">
        <v>40</v>
      </c>
      <c r="I10192" s="33"/>
      <c r="J10192" s="35">
        <v>86</v>
      </c>
      <c r="K10192" s="33"/>
      <c r="L10192" s="35">
        <v>1</v>
      </c>
      <c r="M10192" s="35">
        <v>100</v>
      </c>
      <c r="N10192" s="35">
        <v>1</v>
      </c>
      <c r="O10192" s="36">
        <v>5929.11</v>
      </c>
      <c r="P10192" s="36">
        <v>4859.93</v>
      </c>
      <c r="Q10192" s="36">
        <v>4150.38</v>
      </c>
      <c r="R10192" s="36">
        <v>3401.95</v>
      </c>
      <c r="S10192" s="36">
        <v>4031.79</v>
      </c>
      <c r="T10192" s="36">
        <v>3304.75</v>
      </c>
      <c r="U10192" s="34"/>
      <c r="V10192" s="34"/>
      <c r="W10192" s="34"/>
      <c r="X10192" s="37">
        <v>0.66800000000000004</v>
      </c>
      <c r="Y10192" s="38">
        <v>2.5079999999999998E-3</v>
      </c>
      <c r="Z10192" s="21">
        <v>4601004151550</v>
      </c>
    </row>
    <row r="10193" spans="1:26" ht="12" customHeight="1" outlineLevel="4" x14ac:dyDescent="0.2">
      <c r="A10193" s="32" t="s">
        <v>19401</v>
      </c>
      <c r="B10193" s="74" t="s">
        <v>19402</v>
      </c>
      <c r="C10193" s="50"/>
      <c r="D10193" s="53">
        <f t="shared" si="159"/>
        <v>0</v>
      </c>
      <c r="E10193" s="60" t="str">
        <f>HYPERLINK("https://www.sds-group.ru/product/termoregulyator-tsifrovoy-r100w-sensornyy-programiruemyy-belyy-rexant-51-0588/", "Инфо")</f>
        <v>Инфо</v>
      </c>
      <c r="F10193" s="34" t="s">
        <v>39</v>
      </c>
      <c r="G10193" s="33"/>
      <c r="H10193" s="33" t="s">
        <v>40</v>
      </c>
      <c r="I10193" s="33"/>
      <c r="J10193" s="35">
        <v>56</v>
      </c>
      <c r="K10193" s="33"/>
      <c r="L10193" s="35">
        <v>1</v>
      </c>
      <c r="M10193" s="35">
        <v>100</v>
      </c>
      <c r="N10193" s="35">
        <v>1</v>
      </c>
      <c r="O10193" s="36">
        <v>5929.11</v>
      </c>
      <c r="P10193" s="36">
        <v>4859.93</v>
      </c>
      <c r="Q10193" s="36">
        <v>4150.38</v>
      </c>
      <c r="R10193" s="36">
        <v>3401.95</v>
      </c>
      <c r="S10193" s="36">
        <v>4031.79</v>
      </c>
      <c r="T10193" s="36">
        <v>3304.75</v>
      </c>
      <c r="U10193" s="34"/>
      <c r="V10193" s="34"/>
      <c r="W10193" s="34"/>
      <c r="X10193" s="37">
        <v>0.34</v>
      </c>
      <c r="Y10193" s="38">
        <v>1.1739999999999999E-3</v>
      </c>
      <c r="Z10193" s="21">
        <v>4601004151543</v>
      </c>
    </row>
    <row r="10194" spans="1:26" ht="12" customHeight="1" outlineLevel="4" x14ac:dyDescent="0.2">
      <c r="A10194" s="14" t="s">
        <v>19403</v>
      </c>
      <c r="B10194" s="26" t="s">
        <v>19404</v>
      </c>
      <c r="C10194" s="52"/>
      <c r="D10194" s="55">
        <f t="shared" si="159"/>
        <v>0</v>
      </c>
      <c r="E10194" s="63" t="str">
        <f>HYPERLINK("https://www.sds-group.ru/product/termoregulyator-tsifrovoy-r200b-sensornyy-programmiruemyy-chernyy-rexant-51-0574/", "Инфо")</f>
        <v>Инфо</v>
      </c>
      <c r="F10194" s="16" t="s">
        <v>39</v>
      </c>
      <c r="G10194" s="15"/>
      <c r="H10194" s="15"/>
      <c r="I10194" s="15"/>
      <c r="J10194" s="17">
        <v>915</v>
      </c>
      <c r="K10194" s="15"/>
      <c r="L10194" s="17">
        <v>1</v>
      </c>
      <c r="M10194" s="17">
        <v>100</v>
      </c>
      <c r="N10194" s="17">
        <v>1</v>
      </c>
      <c r="O10194" s="18">
        <v>5336.2</v>
      </c>
      <c r="P10194" s="18">
        <v>4373.93</v>
      </c>
      <c r="Q10194" s="18">
        <v>4002.15</v>
      </c>
      <c r="R10194" s="18">
        <v>3280.45</v>
      </c>
      <c r="S10194" s="18">
        <v>3628.62</v>
      </c>
      <c r="T10194" s="18">
        <v>2974.28</v>
      </c>
      <c r="U10194" s="16"/>
      <c r="V10194" s="16"/>
      <c r="W10194" s="16" t="s">
        <v>40</v>
      </c>
      <c r="X10194" s="19">
        <v>0.34300000000000003</v>
      </c>
      <c r="Y10194" s="20">
        <v>1.232E-3</v>
      </c>
      <c r="Z10194" s="21">
        <v>4601004092198</v>
      </c>
    </row>
    <row r="10195" spans="1:26" ht="12" customHeight="1" outlineLevel="4" x14ac:dyDescent="0.2">
      <c r="A10195" s="14" t="s">
        <v>19405</v>
      </c>
      <c r="B10195" s="26" t="s">
        <v>19406</v>
      </c>
      <c r="C10195" s="52"/>
      <c r="D10195" s="55">
        <f t="shared" si="159"/>
        <v>0</v>
      </c>
      <c r="E10195" s="63" t="str">
        <f>HYPERLINK("https://www.sds-group.ru/product/termoregulyator-tsifrovoy-r200w-sensornyy-programmiruemyy-belyy-rexant-51-0573/", "Инфо")</f>
        <v>Инфо</v>
      </c>
      <c r="F10195" s="16" t="s">
        <v>39</v>
      </c>
      <c r="G10195" s="15"/>
      <c r="H10195" s="15"/>
      <c r="I10195" s="15"/>
      <c r="J10195" s="17">
        <v>329</v>
      </c>
      <c r="K10195" s="15"/>
      <c r="L10195" s="17">
        <v>1</v>
      </c>
      <c r="M10195" s="17">
        <v>100</v>
      </c>
      <c r="N10195" s="17">
        <v>1</v>
      </c>
      <c r="O10195" s="18">
        <v>5336.2</v>
      </c>
      <c r="P10195" s="18">
        <v>4373.93</v>
      </c>
      <c r="Q10195" s="18">
        <v>4002.15</v>
      </c>
      <c r="R10195" s="18">
        <v>3280.45</v>
      </c>
      <c r="S10195" s="18">
        <v>3628.62</v>
      </c>
      <c r="T10195" s="18">
        <v>2974.28</v>
      </c>
      <c r="U10195" s="16"/>
      <c r="V10195" s="16"/>
      <c r="W10195" s="16" t="s">
        <v>40</v>
      </c>
      <c r="X10195" s="19">
        <v>0.308</v>
      </c>
      <c r="Y10195" s="20">
        <v>7.9500000000000003E-4</v>
      </c>
      <c r="Z10195" s="21">
        <v>4601004092211</v>
      </c>
    </row>
    <row r="10196" spans="1:26" ht="12" customHeight="1" outlineLevel="4" x14ac:dyDescent="0.2">
      <c r="A10196" s="14" t="s">
        <v>19407</v>
      </c>
      <c r="B10196" s="26" t="s">
        <v>19408</v>
      </c>
      <c r="C10196" s="52"/>
      <c r="D10196" s="55">
        <f t="shared" si="159"/>
        <v>0</v>
      </c>
      <c r="E10196" s="63" t="str">
        <f>HYPERLINK("https://www.sds-group.ru/product/termoregulyator-tsifrovoy-r300b-sensornyy-programmiruemyy-chernyy-rexant-51-0575/", "Инфо")</f>
        <v>Инфо</v>
      </c>
      <c r="F10196" s="16" t="s">
        <v>39</v>
      </c>
      <c r="G10196" s="15"/>
      <c r="H10196" s="15"/>
      <c r="I10196" s="15"/>
      <c r="J10196" s="22">
        <v>1052</v>
      </c>
      <c r="K10196" s="15"/>
      <c r="L10196" s="17">
        <v>1</v>
      </c>
      <c r="M10196" s="17">
        <v>50</v>
      </c>
      <c r="N10196" s="17">
        <v>1</v>
      </c>
      <c r="O10196" s="18">
        <v>5336.2</v>
      </c>
      <c r="P10196" s="18">
        <v>4373.93</v>
      </c>
      <c r="Q10196" s="18">
        <v>4002.15</v>
      </c>
      <c r="R10196" s="18">
        <v>3280.45</v>
      </c>
      <c r="S10196" s="18">
        <v>3628.62</v>
      </c>
      <c r="T10196" s="18">
        <v>2974.28</v>
      </c>
      <c r="U10196" s="16"/>
      <c r="V10196" s="16"/>
      <c r="W10196" s="16" t="s">
        <v>40</v>
      </c>
      <c r="X10196" s="19">
        <v>0.40899999999999997</v>
      </c>
      <c r="Y10196" s="20">
        <v>1.4649999999999999E-3</v>
      </c>
      <c r="Z10196" s="21">
        <v>4601004092204</v>
      </c>
    </row>
    <row r="10197" spans="1:26" ht="12" customHeight="1" outlineLevel="4" x14ac:dyDescent="0.2">
      <c r="A10197" s="32" t="s">
        <v>19409</v>
      </c>
      <c r="B10197" s="74" t="s">
        <v>19410</v>
      </c>
      <c r="C10197" s="50"/>
      <c r="D10197" s="53">
        <f t="shared" si="159"/>
        <v>0</v>
      </c>
      <c r="E10197" s="60" t="str">
        <f>HYPERLINK("https://www.sds-group.ru/product/termoregulyator-tsifrovoy-r31xt-belyy-rexant-51-0595/", "Инфо")</f>
        <v>Инфо</v>
      </c>
      <c r="F10197" s="34" t="s">
        <v>39</v>
      </c>
      <c r="G10197" s="33"/>
      <c r="H10197" s="33" t="s">
        <v>40</v>
      </c>
      <c r="I10197" s="33"/>
      <c r="J10197" s="35">
        <v>326</v>
      </c>
      <c r="K10197" s="33"/>
      <c r="L10197" s="35">
        <v>1</v>
      </c>
      <c r="M10197" s="35">
        <v>64</v>
      </c>
      <c r="N10197" s="35">
        <v>1</v>
      </c>
      <c r="O10197" s="36">
        <v>1435.27</v>
      </c>
      <c r="P10197" s="36">
        <v>1176.45</v>
      </c>
      <c r="Q10197" s="36">
        <v>1004.69</v>
      </c>
      <c r="R10197" s="36">
        <v>823.52</v>
      </c>
      <c r="S10197" s="36">
        <v>975.98</v>
      </c>
      <c r="T10197" s="36">
        <v>799.98</v>
      </c>
      <c r="U10197" s="34"/>
      <c r="V10197" s="34"/>
      <c r="W10197" s="34"/>
      <c r="X10197" s="37">
        <v>0.32300000000000001</v>
      </c>
      <c r="Y10197" s="38">
        <v>8.1499999999999997E-4</v>
      </c>
      <c r="Z10197" s="21">
        <v>4601004291836</v>
      </c>
    </row>
    <row r="10198" spans="1:26" ht="12" customHeight="1" outlineLevel="4" x14ac:dyDescent="0.2">
      <c r="A10198" s="14" t="s">
        <v>19411</v>
      </c>
      <c r="B10198" s="26" t="s">
        <v>19412</v>
      </c>
      <c r="C10198" s="52"/>
      <c r="D10198" s="55">
        <f t="shared" si="159"/>
        <v>0</v>
      </c>
      <c r="E10198" s="63" t="str">
        <f>HYPERLINK("https://www.sds-group.ru/product/termoregulyator-tsifrovoy-r51xt-programmiruemyy-belyy-rexant-51-0532/", "Инфо")</f>
        <v>Инфо</v>
      </c>
      <c r="F10198" s="16" t="s">
        <v>39</v>
      </c>
      <c r="G10198" s="15"/>
      <c r="H10198" s="15"/>
      <c r="I10198" s="15"/>
      <c r="J10198" s="22">
        <v>3296</v>
      </c>
      <c r="K10198" s="15"/>
      <c r="L10198" s="17">
        <v>1</v>
      </c>
      <c r="M10198" s="17">
        <v>64</v>
      </c>
      <c r="N10198" s="17">
        <v>1</v>
      </c>
      <c r="O10198" s="18">
        <v>2374.4</v>
      </c>
      <c r="P10198" s="18">
        <v>1946.23</v>
      </c>
      <c r="Q10198" s="18">
        <v>1899.52</v>
      </c>
      <c r="R10198" s="18">
        <v>1556.98</v>
      </c>
      <c r="S10198" s="18">
        <v>1614.59</v>
      </c>
      <c r="T10198" s="18">
        <v>1323.43</v>
      </c>
      <c r="U10198" s="16"/>
      <c r="V10198" s="16"/>
      <c r="W10198" s="16" t="s">
        <v>40</v>
      </c>
      <c r="X10198" s="19">
        <v>0.28000000000000003</v>
      </c>
      <c r="Y10198" s="20">
        <v>7.9500000000000003E-4</v>
      </c>
      <c r="Z10198" s="21">
        <v>4601004053120</v>
      </c>
    </row>
    <row r="10199" spans="1:26" ht="12" customHeight="1" outlineLevel="4" x14ac:dyDescent="0.2">
      <c r="A10199" s="14" t="s">
        <v>19413</v>
      </c>
      <c r="B10199" s="26" t="s">
        <v>19414</v>
      </c>
      <c r="C10199" s="52"/>
      <c r="D10199" s="55">
        <f t="shared" si="159"/>
        <v>0</v>
      </c>
      <c r="E10199" s="63" t="str">
        <f>HYPERLINK("https://www.sds-group.ru/product/termoregulyator-tsifrovoy-r91xt-sensornyy-programmiruemyy-belyy-rexant-51-0533/", "Инфо")</f>
        <v>Инфо</v>
      </c>
      <c r="F10199" s="16" t="s">
        <v>39</v>
      </c>
      <c r="G10199" s="15"/>
      <c r="H10199" s="15"/>
      <c r="I10199" s="15"/>
      <c r="J10199" s="17">
        <v>908</v>
      </c>
      <c r="K10199" s="15"/>
      <c r="L10199" s="17">
        <v>1</v>
      </c>
      <c r="M10199" s="17">
        <v>64</v>
      </c>
      <c r="N10199" s="17">
        <v>1</v>
      </c>
      <c r="O10199" s="18">
        <v>2915</v>
      </c>
      <c r="P10199" s="18">
        <v>2389.34</v>
      </c>
      <c r="Q10199" s="18">
        <v>2332</v>
      </c>
      <c r="R10199" s="18">
        <v>1911.48</v>
      </c>
      <c r="S10199" s="18">
        <v>1982.2</v>
      </c>
      <c r="T10199" s="18">
        <v>1624.75</v>
      </c>
      <c r="U10199" s="16"/>
      <c r="V10199" s="16"/>
      <c r="W10199" s="16" t="s">
        <v>40</v>
      </c>
      <c r="X10199" s="19">
        <v>0.27400000000000002</v>
      </c>
      <c r="Y10199" s="20">
        <v>7.9000000000000001E-4</v>
      </c>
      <c r="Z10199" s="21">
        <v>4601004053137</v>
      </c>
    </row>
    <row r="10200" spans="1:26" ht="12" customHeight="1" outlineLevel="4" x14ac:dyDescent="0.2">
      <c r="A10200" s="14" t="s">
        <v>19415</v>
      </c>
      <c r="B10200" s="26" t="s">
        <v>19416</v>
      </c>
      <c r="C10200" s="52"/>
      <c r="D10200" s="55">
        <f t="shared" si="159"/>
        <v>0</v>
      </c>
      <c r="E10200" s="63" t="str">
        <f>HYPERLINK("https://www.sds-group.ru/product/termoregulyator-tsifrovoy-rx-419b-sensornyy-sovmestim-s-legrand-serii-valena-belyy-rexant-51-0584/", "Инфо")</f>
        <v>Инфо</v>
      </c>
      <c r="F10200" s="16" t="s">
        <v>39</v>
      </c>
      <c r="G10200" s="15"/>
      <c r="H10200" s="15"/>
      <c r="I10200" s="15"/>
      <c r="J10200" s="17">
        <v>50</v>
      </c>
      <c r="K10200" s="15"/>
      <c r="L10200" s="17">
        <v>1</v>
      </c>
      <c r="M10200" s="17">
        <v>40</v>
      </c>
      <c r="N10200" s="17">
        <v>1</v>
      </c>
      <c r="O10200" s="18">
        <v>5876.31</v>
      </c>
      <c r="P10200" s="18">
        <v>4816.6499999999996</v>
      </c>
      <c r="Q10200" s="18">
        <v>4289.71</v>
      </c>
      <c r="R10200" s="18">
        <v>3516.16</v>
      </c>
      <c r="S10200" s="18">
        <v>3995.89</v>
      </c>
      <c r="T10200" s="18">
        <v>3275.32</v>
      </c>
      <c r="U10200" s="16"/>
      <c r="V10200" s="16"/>
      <c r="W10200" s="16" t="s">
        <v>40</v>
      </c>
      <c r="X10200" s="19">
        <v>0.17899999999999999</v>
      </c>
      <c r="Y10200" s="20">
        <v>9.0499999999999999E-4</v>
      </c>
      <c r="Z10200" s="21">
        <v>4601004136519</v>
      </c>
    </row>
    <row r="10201" spans="1:26" ht="12" customHeight="1" outlineLevel="4" x14ac:dyDescent="0.2">
      <c r="A10201" s="14" t="s">
        <v>19417</v>
      </c>
      <c r="B10201" s="26" t="s">
        <v>19418</v>
      </c>
      <c r="C10201" s="52"/>
      <c r="D10201" s="55">
        <f t="shared" si="159"/>
        <v>0</v>
      </c>
      <c r="E10201" s="63" t="str">
        <f>HYPERLINK("https://www.sds-group.ru/product/termoregulyator-tsifrovoy-rx-43-sensornyy-belyy-rexant-sovmestim-s-ramkoy-schneider-legrand--51-0576/", "Инфо")</f>
        <v>Инфо</v>
      </c>
      <c r="F10201" s="16" t="s">
        <v>39</v>
      </c>
      <c r="G10201" s="15"/>
      <c r="H10201" s="15"/>
      <c r="I10201" s="15"/>
      <c r="J10201" s="17">
        <v>370</v>
      </c>
      <c r="K10201" s="15" t="s">
        <v>6939</v>
      </c>
      <c r="L10201" s="17">
        <v>1</v>
      </c>
      <c r="M10201" s="17">
        <v>50</v>
      </c>
      <c r="N10201" s="17">
        <v>1</v>
      </c>
      <c r="O10201" s="18">
        <v>3287.96</v>
      </c>
      <c r="P10201" s="18">
        <v>2695.05</v>
      </c>
      <c r="Q10201" s="18">
        <v>2893.4</v>
      </c>
      <c r="R10201" s="18">
        <v>2371.64</v>
      </c>
      <c r="S10201" s="18">
        <v>2235.81</v>
      </c>
      <c r="T10201" s="18">
        <v>1832.63</v>
      </c>
      <c r="U10201" s="16"/>
      <c r="V10201" s="16"/>
      <c r="W10201" s="16" t="s">
        <v>40</v>
      </c>
      <c r="X10201" s="19">
        <v>0.20699999999999999</v>
      </c>
      <c r="Y10201" s="20">
        <v>8.9599999999999999E-4</v>
      </c>
      <c r="Z10201" s="21">
        <v>4601004275218</v>
      </c>
    </row>
    <row r="10202" spans="1:26" ht="12" customHeight="1" outlineLevel="4" x14ac:dyDescent="0.2">
      <c r="A10202" s="14" t="s">
        <v>19419</v>
      </c>
      <c r="B10202" s="26" t="s">
        <v>19420</v>
      </c>
      <c r="C10202" s="52"/>
      <c r="D10202" s="55">
        <f t="shared" si="159"/>
        <v>0</v>
      </c>
      <c r="E10202" s="63" t="str">
        <f>HYPERLINK("https://www.sds-group.ru/product/termoregulyator-tsifrovoy-rx-511h-sovmestim-s-legrand-serii-valena-bezhevyy-rexant-51-0567/", "Инфо")</f>
        <v>Инфо</v>
      </c>
      <c r="F10202" s="16" t="s">
        <v>39</v>
      </c>
      <c r="G10202" s="15"/>
      <c r="H10202" s="15"/>
      <c r="I10202" s="15"/>
      <c r="J10202" s="17">
        <v>96</v>
      </c>
      <c r="K10202" s="15"/>
      <c r="L10202" s="17">
        <v>1</v>
      </c>
      <c r="M10202" s="17">
        <v>40</v>
      </c>
      <c r="N10202" s="17">
        <v>1</v>
      </c>
      <c r="O10202" s="18">
        <v>5246.71</v>
      </c>
      <c r="P10202" s="18">
        <v>4300.58</v>
      </c>
      <c r="Q10202" s="18">
        <v>3830.1</v>
      </c>
      <c r="R10202" s="18">
        <v>3139.43</v>
      </c>
      <c r="S10202" s="18">
        <v>3567.76</v>
      </c>
      <c r="T10202" s="18">
        <v>2924.39</v>
      </c>
      <c r="U10202" s="16"/>
      <c r="V10202" s="16"/>
      <c r="W10202" s="16" t="s">
        <v>40</v>
      </c>
      <c r="X10202" s="19">
        <v>0.20399999999999999</v>
      </c>
      <c r="Y10202" s="20">
        <v>8.8599999999999996E-4</v>
      </c>
      <c r="Z10202" s="21">
        <v>4601004059924</v>
      </c>
    </row>
    <row r="10203" spans="1:26" ht="12" customHeight="1" outlineLevel="4" x14ac:dyDescent="0.2">
      <c r="A10203" s="14" t="s">
        <v>19421</v>
      </c>
      <c r="B10203" s="26" t="s">
        <v>19422</v>
      </c>
      <c r="C10203" s="52"/>
      <c r="D10203" s="55">
        <f t="shared" si="159"/>
        <v>0</v>
      </c>
      <c r="E10203" s="63" t="str">
        <f>HYPERLINK("https://www.sds-group.ru/product/termoregulyator-tsifrovoy-rx-511h-sovmestim-s-legrand-serii-valena-belyy-rexant-51-0566/", "Инфо")</f>
        <v>Инфо</v>
      </c>
      <c r="F10203" s="16" t="s">
        <v>39</v>
      </c>
      <c r="G10203" s="15"/>
      <c r="H10203" s="15"/>
      <c r="I10203" s="15"/>
      <c r="J10203" s="17">
        <v>68</v>
      </c>
      <c r="K10203" s="15"/>
      <c r="L10203" s="17">
        <v>1</v>
      </c>
      <c r="M10203" s="17">
        <v>40</v>
      </c>
      <c r="N10203" s="17">
        <v>1</v>
      </c>
      <c r="O10203" s="18">
        <v>5246.71</v>
      </c>
      <c r="P10203" s="18">
        <v>4300.58</v>
      </c>
      <c r="Q10203" s="18">
        <v>3830.1</v>
      </c>
      <c r="R10203" s="18">
        <v>3139.43</v>
      </c>
      <c r="S10203" s="18">
        <v>3567.76</v>
      </c>
      <c r="T10203" s="18">
        <v>2924.39</v>
      </c>
      <c r="U10203" s="16"/>
      <c r="V10203" s="16"/>
      <c r="W10203" s="16" t="s">
        <v>40</v>
      </c>
      <c r="X10203" s="19">
        <v>0.192</v>
      </c>
      <c r="Y10203" s="20">
        <v>9.0200000000000002E-4</v>
      </c>
      <c r="Z10203" s="21">
        <v>4601004059917</v>
      </c>
    </row>
    <row r="10204" spans="1:26" ht="12" customHeight="1" outlineLevel="4" x14ac:dyDescent="0.2">
      <c r="A10204" s="14" t="s">
        <v>19423</v>
      </c>
      <c r="B10204" s="26" t="s">
        <v>19424</v>
      </c>
      <c r="C10204" s="52"/>
      <c r="D10204" s="55">
        <f t="shared" si="159"/>
        <v>0</v>
      </c>
      <c r="E10204" s="63" t="str">
        <f>HYPERLINK("https://www.sds-group.ru/product/termoregulyator-tsifrovoy-rx-527h-programmiruemyy-sovmestim-s-legrand-serii-valena-belyy-rex-51-0568/", "Инфо")</f>
        <v>Инфо</v>
      </c>
      <c r="F10204" s="16" t="s">
        <v>39</v>
      </c>
      <c r="G10204" s="15"/>
      <c r="H10204" s="15"/>
      <c r="I10204" s="15"/>
      <c r="J10204" s="17">
        <v>87</v>
      </c>
      <c r="K10204" s="15"/>
      <c r="L10204" s="17">
        <v>1</v>
      </c>
      <c r="M10204" s="17">
        <v>40</v>
      </c>
      <c r="N10204" s="17">
        <v>1</v>
      </c>
      <c r="O10204" s="18">
        <v>6555.8</v>
      </c>
      <c r="P10204" s="18">
        <v>5373.61</v>
      </c>
      <c r="Q10204" s="18">
        <v>4785.7299999999996</v>
      </c>
      <c r="R10204" s="18">
        <v>3922.73</v>
      </c>
      <c r="S10204" s="18">
        <v>4457.9399999999996</v>
      </c>
      <c r="T10204" s="18">
        <v>3654.05</v>
      </c>
      <c r="U10204" s="16"/>
      <c r="V10204" s="16"/>
      <c r="W10204" s="16" t="s">
        <v>40</v>
      </c>
      <c r="X10204" s="19">
        <v>0.19700000000000001</v>
      </c>
      <c r="Y10204" s="20">
        <v>9.0200000000000002E-4</v>
      </c>
      <c r="Z10204" s="21">
        <v>4601004059931</v>
      </c>
    </row>
    <row r="10205" spans="1:26" ht="12.95" customHeight="1" outlineLevel="3" x14ac:dyDescent="0.2">
      <c r="A10205" s="76" t="s">
        <v>19425</v>
      </c>
      <c r="B10205" s="76"/>
      <c r="C10205" s="77"/>
      <c r="D10205" s="58"/>
      <c r="E10205" s="68"/>
      <c r="F10205" s="13"/>
      <c r="G10205" s="13"/>
      <c r="H10205" s="13"/>
      <c r="I10205" s="13"/>
      <c r="J10205" s="13"/>
      <c r="K10205" s="13"/>
      <c r="L10205" s="13"/>
      <c r="M10205" s="13"/>
      <c r="N10205" s="13"/>
      <c r="O10205" s="13"/>
      <c r="P10205" s="13"/>
      <c r="Q10205" s="13"/>
      <c r="R10205" s="13"/>
      <c r="S10205" s="13"/>
      <c r="T10205" s="13"/>
      <c r="U10205" s="13"/>
      <c r="V10205" s="13"/>
      <c r="W10205" s="13"/>
      <c r="X10205" s="13"/>
      <c r="Y10205" s="13"/>
      <c r="Z10205" s="13"/>
    </row>
    <row r="10206" spans="1:26" ht="12" customHeight="1" outlineLevel="4" x14ac:dyDescent="0.2">
      <c r="A10206" s="14" t="s">
        <v>19426</v>
      </c>
      <c r="B10206" s="26" t="s">
        <v>19427</v>
      </c>
      <c r="C10206" s="52"/>
      <c r="D10206" s="55">
        <f t="shared" si="159"/>
        <v>0</v>
      </c>
      <c r="E10206" s="63" t="str">
        <f>HYPERLINK("https://www.sds-group.ru/product/termoregulyator-tsifrovoy-rx-157-programmiruemyy-seryy-rexant-51-0820/", "Инфо")</f>
        <v>Инфо</v>
      </c>
      <c r="F10206" s="16" t="s">
        <v>39</v>
      </c>
      <c r="G10206" s="15"/>
      <c r="H10206" s="15"/>
      <c r="I10206" s="15"/>
      <c r="J10206" s="17">
        <v>112</v>
      </c>
      <c r="K10206" s="15"/>
      <c r="L10206" s="17">
        <v>1</v>
      </c>
      <c r="M10206" s="17">
        <v>1</v>
      </c>
      <c r="N10206" s="17">
        <v>1</v>
      </c>
      <c r="O10206" s="18">
        <v>6856.98</v>
      </c>
      <c r="P10206" s="18">
        <v>5620.48</v>
      </c>
      <c r="Q10206" s="18">
        <v>5005.6000000000004</v>
      </c>
      <c r="R10206" s="18">
        <v>4102.95</v>
      </c>
      <c r="S10206" s="18">
        <v>4662.75</v>
      </c>
      <c r="T10206" s="18">
        <v>3821.93</v>
      </c>
      <c r="U10206" s="16"/>
      <c r="V10206" s="16"/>
      <c r="W10206" s="16" t="s">
        <v>40</v>
      </c>
      <c r="X10206" s="19">
        <v>0.183</v>
      </c>
      <c r="Y10206" s="20">
        <v>6.7199999999999996E-4</v>
      </c>
      <c r="Z10206" s="21">
        <v>4601004265790</v>
      </c>
    </row>
    <row r="10207" spans="1:26" ht="12.95" customHeight="1" outlineLevel="3" x14ac:dyDescent="0.2">
      <c r="A10207" s="76" t="s">
        <v>19428</v>
      </c>
      <c r="B10207" s="76"/>
      <c r="C10207" s="77"/>
      <c r="D10207" s="58"/>
      <c r="E10207" s="68"/>
      <c r="F10207" s="13"/>
      <c r="G10207" s="13"/>
      <c r="H10207" s="13"/>
      <c r="I10207" s="13"/>
      <c r="J10207" s="13"/>
      <c r="K10207" s="13"/>
      <c r="L10207" s="13"/>
      <c r="M10207" s="13"/>
      <c r="N10207" s="13"/>
      <c r="O10207" s="13"/>
      <c r="P10207" s="13"/>
      <c r="Q10207" s="13"/>
      <c r="R10207" s="13"/>
      <c r="S10207" s="13"/>
      <c r="T10207" s="13"/>
      <c r="U10207" s="13"/>
      <c r="V10207" s="13"/>
      <c r="W10207" s="13"/>
      <c r="X10207" s="13"/>
      <c r="Y10207" s="13"/>
      <c r="Z10207" s="13"/>
    </row>
    <row r="10208" spans="1:26" ht="12" customHeight="1" outlineLevel="4" x14ac:dyDescent="0.2">
      <c r="A10208" s="40" t="s">
        <v>19429</v>
      </c>
      <c r="B10208" s="75" t="s">
        <v>19430</v>
      </c>
      <c r="C10208" s="51"/>
      <c r="D10208" s="54">
        <f t="shared" si="159"/>
        <v>0</v>
      </c>
      <c r="E10208" s="61" t="str">
        <f>HYPERLINK("https://www.sds-group.ru/product/termoregulyator-tsifrovoy-climahome-w-sensornyy-programmiruemyy-s-wi-fi-belyy-rexant-51-0572/", "Инфо")</f>
        <v>Инфо</v>
      </c>
      <c r="F10208" s="42" t="s">
        <v>39</v>
      </c>
      <c r="G10208" s="41" t="s">
        <v>40</v>
      </c>
      <c r="H10208" s="41"/>
      <c r="I10208" s="41"/>
      <c r="J10208" s="43">
        <v>628</v>
      </c>
      <c r="K10208" s="41"/>
      <c r="L10208" s="43">
        <v>1</v>
      </c>
      <c r="M10208" s="43">
        <v>64</v>
      </c>
      <c r="N10208" s="43">
        <v>1</v>
      </c>
      <c r="O10208" s="44">
        <v>6145.95</v>
      </c>
      <c r="P10208" s="44">
        <v>5037.66</v>
      </c>
      <c r="Q10208" s="44">
        <v>4793.84</v>
      </c>
      <c r="R10208" s="44">
        <v>3929.38</v>
      </c>
      <c r="S10208" s="44">
        <v>4179.25</v>
      </c>
      <c r="T10208" s="44">
        <v>3425.61</v>
      </c>
      <c r="U10208" s="42"/>
      <c r="V10208" s="42"/>
      <c r="W10208" s="42" t="s">
        <v>40</v>
      </c>
      <c r="X10208" s="45">
        <v>0.252</v>
      </c>
      <c r="Y10208" s="46">
        <v>8.1599999999999999E-4</v>
      </c>
      <c r="Z10208" s="21">
        <v>4601004339644</v>
      </c>
    </row>
    <row r="10209" spans="1:26" ht="12" customHeight="1" outlineLevel="4" x14ac:dyDescent="0.2">
      <c r="A10209" s="32" t="s">
        <v>19431</v>
      </c>
      <c r="B10209" s="74" t="s">
        <v>19432</v>
      </c>
      <c r="C10209" s="50"/>
      <c r="D10209" s="53">
        <f t="shared" si="159"/>
        <v>0</v>
      </c>
      <c r="E10209" s="60" t="str">
        <f>HYPERLINK("https://www.sds-group.ru/product/termoregulyator-tsifrovoy-r150-sensornyy-programmiruemyy-s-wi-fi-belyy-rexant-51-0590/", "Инфо")</f>
        <v>Инфо</v>
      </c>
      <c r="F10209" s="34" t="s">
        <v>39</v>
      </c>
      <c r="G10209" s="33"/>
      <c r="H10209" s="33" t="s">
        <v>40</v>
      </c>
      <c r="I10209" s="33"/>
      <c r="J10209" s="34" t="s">
        <v>100</v>
      </c>
      <c r="K10209" s="33"/>
      <c r="L10209" s="35">
        <v>1</v>
      </c>
      <c r="M10209" s="35">
        <v>100</v>
      </c>
      <c r="N10209" s="35">
        <v>1</v>
      </c>
      <c r="O10209" s="36">
        <v>8462.4599999999991</v>
      </c>
      <c r="P10209" s="36">
        <v>6936.44</v>
      </c>
      <c r="Q10209" s="36">
        <v>5923.72</v>
      </c>
      <c r="R10209" s="36">
        <v>4855.51</v>
      </c>
      <c r="S10209" s="36">
        <v>5754.47</v>
      </c>
      <c r="T10209" s="36">
        <v>4716.78</v>
      </c>
      <c r="U10209" s="34"/>
      <c r="V10209" s="34"/>
      <c r="W10209" s="34"/>
      <c r="X10209" s="37">
        <v>0.35499999999999998</v>
      </c>
      <c r="Y10209" s="38">
        <v>1.317E-3</v>
      </c>
      <c r="Z10209" s="21">
        <v>4601004164666</v>
      </c>
    </row>
    <row r="10210" spans="1:26" ht="12" customHeight="1" outlineLevel="4" x14ac:dyDescent="0.2">
      <c r="A10210" s="32" t="s">
        <v>19433</v>
      </c>
      <c r="B10210" s="74" t="s">
        <v>19434</v>
      </c>
      <c r="C10210" s="50"/>
      <c r="D10210" s="53">
        <f t="shared" si="159"/>
        <v>0</v>
      </c>
      <c r="E10210" s="60" t="str">
        <f>HYPERLINK("https://www.sds-group.ru/product/termoregulyator-tsifrovoy-r150-sensornyy-programmiruemyy-s-wi-fi-chernyy-rexant-51-0591/", "Инфо")</f>
        <v>Инфо</v>
      </c>
      <c r="F10210" s="34" t="s">
        <v>39</v>
      </c>
      <c r="G10210" s="33"/>
      <c r="H10210" s="33" t="s">
        <v>40</v>
      </c>
      <c r="I10210" s="33"/>
      <c r="J10210" s="34" t="s">
        <v>100</v>
      </c>
      <c r="K10210" s="33"/>
      <c r="L10210" s="35">
        <v>1</v>
      </c>
      <c r="M10210" s="35">
        <v>100</v>
      </c>
      <c r="N10210" s="35">
        <v>1</v>
      </c>
      <c r="O10210" s="36">
        <v>7680.9</v>
      </c>
      <c r="P10210" s="36">
        <v>6295.82</v>
      </c>
      <c r="Q10210" s="36">
        <v>5376.63</v>
      </c>
      <c r="R10210" s="36">
        <v>4407.07</v>
      </c>
      <c r="S10210" s="36">
        <v>5223.01</v>
      </c>
      <c r="T10210" s="36">
        <v>4281.16</v>
      </c>
      <c r="U10210" s="34"/>
      <c r="V10210" s="34"/>
      <c r="W10210" s="34"/>
      <c r="X10210" s="37">
        <v>0.33400000000000002</v>
      </c>
      <c r="Y10210" s="38">
        <v>1.2149999999999999E-3</v>
      </c>
      <c r="Z10210" s="21">
        <v>4601004164673</v>
      </c>
    </row>
    <row r="10211" spans="1:26" ht="12" customHeight="1" outlineLevel="4" x14ac:dyDescent="0.2">
      <c r="A10211" s="14" t="s">
        <v>19435</v>
      </c>
      <c r="B10211" s="26" t="s">
        <v>19436</v>
      </c>
      <c r="C10211" s="52"/>
      <c r="D10211" s="55">
        <f t="shared" si="159"/>
        <v>0</v>
      </c>
      <c r="E10211" s="63" t="str">
        <f>HYPERLINK("https://www.sds-group.ru/product/termoregulyator-tsifrovoy-rx-44w-sensornyy-programmiruemyy-s-wi-fi-belyy-rexant-sovmestim-s--51-0577/", "Инфо")</f>
        <v>Инфо</v>
      </c>
      <c r="F10211" s="16" t="s">
        <v>39</v>
      </c>
      <c r="G10211" s="15"/>
      <c r="H10211" s="15"/>
      <c r="I10211" s="15"/>
      <c r="J10211" s="17">
        <v>883</v>
      </c>
      <c r="K10211" s="15"/>
      <c r="L10211" s="17">
        <v>1</v>
      </c>
      <c r="M10211" s="17">
        <v>50</v>
      </c>
      <c r="N10211" s="17">
        <v>1</v>
      </c>
      <c r="O10211" s="18">
        <v>5551.8</v>
      </c>
      <c r="P10211" s="18">
        <v>4550.66</v>
      </c>
      <c r="Q10211" s="18">
        <v>4885.58</v>
      </c>
      <c r="R10211" s="18">
        <v>4004.57</v>
      </c>
      <c r="S10211" s="18">
        <v>3775.22</v>
      </c>
      <c r="T10211" s="18">
        <v>3094.44</v>
      </c>
      <c r="U10211" s="16"/>
      <c r="V10211" s="16"/>
      <c r="W10211" s="16" t="s">
        <v>40</v>
      </c>
      <c r="X10211" s="19">
        <v>0.214</v>
      </c>
      <c r="Y10211" s="20">
        <v>8.7699999999999996E-4</v>
      </c>
      <c r="Z10211" s="21">
        <v>4601004275225</v>
      </c>
    </row>
    <row r="10212" spans="1:26" ht="12" customHeight="1" outlineLevel="4" x14ac:dyDescent="0.2">
      <c r="A10212" s="40" t="s">
        <v>19437</v>
      </c>
      <c r="B10212" s="75" t="s">
        <v>19438</v>
      </c>
      <c r="C10212" s="51"/>
      <c r="D10212" s="54">
        <f t="shared" si="159"/>
        <v>0</v>
      </c>
      <c r="E10212" s="61" t="str">
        <f>HYPERLINK("https://www.sds-group.ru/product/termoregulyator-tsifrovoy-smartwarm-w-sensornyy-programmiruemyy-s-wi-fi-belyy-rexant-51-0578/", "Инфо")</f>
        <v>Инфо</v>
      </c>
      <c r="F10212" s="42" t="s">
        <v>39</v>
      </c>
      <c r="G10212" s="41" t="s">
        <v>40</v>
      </c>
      <c r="H10212" s="41"/>
      <c r="I10212" s="41"/>
      <c r="J10212" s="43">
        <v>841</v>
      </c>
      <c r="K10212" s="41"/>
      <c r="L10212" s="43">
        <v>1</v>
      </c>
      <c r="M10212" s="43">
        <v>60</v>
      </c>
      <c r="N10212" s="43">
        <v>1</v>
      </c>
      <c r="O10212" s="44">
        <v>5922.06</v>
      </c>
      <c r="P10212" s="44">
        <v>4854.1499999999996</v>
      </c>
      <c r="Q10212" s="44">
        <v>4619.21</v>
      </c>
      <c r="R10212" s="44">
        <v>3786.24</v>
      </c>
      <c r="S10212" s="44">
        <v>4027</v>
      </c>
      <c r="T10212" s="44">
        <v>3300.82</v>
      </c>
      <c r="U10212" s="42"/>
      <c r="V10212" s="42"/>
      <c r="W10212" s="42" t="s">
        <v>40</v>
      </c>
      <c r="X10212" s="45">
        <v>0.24</v>
      </c>
      <c r="Y10212" s="46">
        <v>7.8200000000000003E-4</v>
      </c>
      <c r="Z10212" s="21">
        <v>4601004339651</v>
      </c>
    </row>
    <row r="10213" spans="1:26" ht="12.95" customHeight="1" outlineLevel="3" x14ac:dyDescent="0.2">
      <c r="A10213" s="76" t="s">
        <v>19439</v>
      </c>
      <c r="B10213" s="76"/>
      <c r="C10213" s="77"/>
      <c r="D10213" s="58"/>
      <c r="E10213" s="68"/>
      <c r="F10213" s="13"/>
      <c r="G10213" s="13"/>
      <c r="H10213" s="13"/>
      <c r="I10213" s="13"/>
      <c r="J10213" s="13"/>
      <c r="K10213" s="13"/>
      <c r="L10213" s="13"/>
      <c r="M10213" s="13"/>
      <c r="N10213" s="13"/>
      <c r="O10213" s="13"/>
      <c r="P10213" s="13"/>
      <c r="Q10213" s="13"/>
      <c r="R10213" s="13"/>
      <c r="S10213" s="13"/>
      <c r="T10213" s="13"/>
      <c r="U10213" s="13"/>
      <c r="V10213" s="13"/>
      <c r="W10213" s="13"/>
      <c r="X10213" s="13"/>
      <c r="Y10213" s="13"/>
      <c r="Z10213" s="13"/>
    </row>
    <row r="10214" spans="1:26" ht="12" customHeight="1" outlineLevel="4" x14ac:dyDescent="0.2">
      <c r="A10214" s="32" t="s">
        <v>19440</v>
      </c>
      <c r="B10214" s="74" t="s">
        <v>19441</v>
      </c>
      <c r="C10214" s="50"/>
      <c r="D10214" s="53">
        <f t="shared" si="159"/>
        <v>0</v>
      </c>
      <c r="E10214" s="60" t="str">
        <f>HYPERLINK("https://www.sds-group.ru/product/boks-dlya-nakladnogo-montazha-elektroustanovochnyh-izdeliy-bn-01-bezhevyy-rexant-51-0569-2/", "Инфо")</f>
        <v>Инфо</v>
      </c>
      <c r="F10214" s="34" t="s">
        <v>39</v>
      </c>
      <c r="G10214" s="33"/>
      <c r="H10214" s="33" t="s">
        <v>40</v>
      </c>
      <c r="I10214" s="33"/>
      <c r="J10214" s="35">
        <v>134</v>
      </c>
      <c r="K10214" s="33"/>
      <c r="L10214" s="35">
        <v>1</v>
      </c>
      <c r="M10214" s="35">
        <v>50</v>
      </c>
      <c r="N10214" s="35">
        <v>1</v>
      </c>
      <c r="O10214" s="36">
        <v>279.68</v>
      </c>
      <c r="P10214" s="36">
        <v>229.25</v>
      </c>
      <c r="Q10214" s="36">
        <v>237.73</v>
      </c>
      <c r="R10214" s="36">
        <v>194.86</v>
      </c>
      <c r="S10214" s="36">
        <v>190.18</v>
      </c>
      <c r="T10214" s="36">
        <v>155.88999999999999</v>
      </c>
      <c r="U10214" s="34"/>
      <c r="V10214" s="34"/>
      <c r="W10214" s="34" t="s">
        <v>40</v>
      </c>
      <c r="X10214" s="37">
        <v>4.8000000000000001E-2</v>
      </c>
      <c r="Y10214" s="38">
        <v>1.3899999999999999E-4</v>
      </c>
      <c r="Z10214" s="21">
        <v>4601004059962</v>
      </c>
    </row>
    <row r="10215" spans="1:26" ht="12" customHeight="1" outlineLevel="4" x14ac:dyDescent="0.2">
      <c r="A10215" s="32" t="s">
        <v>19442</v>
      </c>
      <c r="B10215" s="74" t="s">
        <v>19443</v>
      </c>
      <c r="C10215" s="50"/>
      <c r="D10215" s="53">
        <f t="shared" si="159"/>
        <v>0</v>
      </c>
      <c r="E10215" s="60" t="str">
        <f>HYPERLINK("https://www.sds-group.ru/product/boks-dlya-nakladnogo-montazha-elektroustanovochnyh-izdeliy-bn-01-belyy-rexant-51-0569-1/", "Инфо")</f>
        <v>Инфо</v>
      </c>
      <c r="F10215" s="34" t="s">
        <v>39</v>
      </c>
      <c r="G10215" s="33"/>
      <c r="H10215" s="33" t="s">
        <v>40</v>
      </c>
      <c r="I10215" s="33"/>
      <c r="J10215" s="35">
        <v>163</v>
      </c>
      <c r="K10215" s="33"/>
      <c r="L10215" s="35">
        <v>1</v>
      </c>
      <c r="M10215" s="35">
        <v>50</v>
      </c>
      <c r="N10215" s="35">
        <v>1</v>
      </c>
      <c r="O10215" s="36">
        <v>296.45999999999998</v>
      </c>
      <c r="P10215" s="36">
        <v>243</v>
      </c>
      <c r="Q10215" s="36">
        <v>251.99</v>
      </c>
      <c r="R10215" s="36">
        <v>206.55</v>
      </c>
      <c r="S10215" s="36">
        <v>201.59</v>
      </c>
      <c r="T10215" s="36">
        <v>165.24</v>
      </c>
      <c r="U10215" s="34"/>
      <c r="V10215" s="34"/>
      <c r="W10215" s="34" t="s">
        <v>40</v>
      </c>
      <c r="X10215" s="37">
        <v>4.2999999999999997E-2</v>
      </c>
      <c r="Y10215" s="38">
        <v>1.12E-4</v>
      </c>
      <c r="Z10215" s="21">
        <v>4601004059955</v>
      </c>
    </row>
    <row r="10216" spans="1:26" ht="12" customHeight="1" outlineLevel="4" x14ac:dyDescent="0.2">
      <c r="A10216" s="14" t="s">
        <v>19444</v>
      </c>
      <c r="B10216" s="26" t="s">
        <v>19445</v>
      </c>
      <c r="C10216" s="52"/>
      <c r="D10216" s="55">
        <f t="shared" si="159"/>
        <v>0</v>
      </c>
      <c r="E10216" s="63" t="str">
        <f>HYPERLINK("https://www.sds-group.ru/product/boks-dlya-nakladnogo-montazha-elektroustanovochnyh-izdeliy-glubina-43-mm-belyy-rexant-82-0256/", "Инфо")</f>
        <v>Инфо</v>
      </c>
      <c r="F10216" s="16" t="s">
        <v>39</v>
      </c>
      <c r="G10216" s="15"/>
      <c r="H10216" s="15"/>
      <c r="I10216" s="15"/>
      <c r="J10216" s="17">
        <v>180</v>
      </c>
      <c r="K10216" s="15"/>
      <c r="L10216" s="17">
        <v>5</v>
      </c>
      <c r="M10216" s="17">
        <v>60</v>
      </c>
      <c r="N10216" s="17">
        <v>5</v>
      </c>
      <c r="O10216" s="18">
        <v>366.53</v>
      </c>
      <c r="P10216" s="18">
        <v>300.43</v>
      </c>
      <c r="Q10216" s="18">
        <v>311.55</v>
      </c>
      <c r="R10216" s="18">
        <v>255.37</v>
      </c>
      <c r="S10216" s="18">
        <v>249.24</v>
      </c>
      <c r="T10216" s="18">
        <v>204.3</v>
      </c>
      <c r="U10216" s="16"/>
      <c r="V10216" s="16"/>
      <c r="W10216" s="16" t="s">
        <v>40</v>
      </c>
      <c r="X10216" s="19">
        <v>8.1000000000000003E-2</v>
      </c>
      <c r="Y10216" s="20">
        <v>5.9500000000000004E-4</v>
      </c>
      <c r="Z10216" s="21">
        <v>4601004143067</v>
      </c>
    </row>
    <row r="10217" spans="1:26" ht="12" customHeight="1" outlineLevel="4" x14ac:dyDescent="0.2">
      <c r="A10217" s="14" t="s">
        <v>19446</v>
      </c>
      <c r="B10217" s="26" t="s">
        <v>19447</v>
      </c>
      <c r="C10217" s="52"/>
      <c r="D10217" s="55">
        <f t="shared" si="159"/>
        <v>0</v>
      </c>
      <c r="E10217" s="64"/>
      <c r="F10217" s="16" t="s">
        <v>39</v>
      </c>
      <c r="G10217" s="15"/>
      <c r="H10217" s="15"/>
      <c r="I10217" s="15"/>
      <c r="J10217" s="16" t="s">
        <v>100</v>
      </c>
      <c r="K10217" s="15" t="s">
        <v>1055</v>
      </c>
      <c r="L10217" s="17">
        <v>1</v>
      </c>
      <c r="M10217" s="17">
        <v>250</v>
      </c>
      <c r="N10217" s="17">
        <v>1</v>
      </c>
      <c r="O10217" s="18">
        <v>373.12</v>
      </c>
      <c r="P10217" s="18">
        <v>305.83999999999997</v>
      </c>
      <c r="Q10217" s="18">
        <v>298.5</v>
      </c>
      <c r="R10217" s="18">
        <v>244.67</v>
      </c>
      <c r="S10217" s="18">
        <v>253.72</v>
      </c>
      <c r="T10217" s="18">
        <v>207.97</v>
      </c>
      <c r="U10217" s="16"/>
      <c r="V10217" s="16"/>
      <c r="W10217" s="16"/>
      <c r="X10217" s="25"/>
      <c r="Y10217" s="25"/>
      <c r="Z10217" s="21">
        <v>4601004351998</v>
      </c>
    </row>
    <row r="10218" spans="1:26" ht="12" customHeight="1" outlineLevel="4" x14ac:dyDescent="0.2">
      <c r="A10218" s="14" t="s">
        <v>19448</v>
      </c>
      <c r="B10218" s="26" t="s">
        <v>19449</v>
      </c>
      <c r="C10218" s="52"/>
      <c r="D10218" s="55">
        <f t="shared" si="159"/>
        <v>0</v>
      </c>
      <c r="E10218" s="63" t="str">
        <f>HYPERLINK("https://www.sds-group.ru/product/datchik-temperatury-dlya-termoregulyatora-ntc-10-kom-3-m-rexant-51-1000/", "Инфо")</f>
        <v>Инфо</v>
      </c>
      <c r="F10218" s="16" t="s">
        <v>39</v>
      </c>
      <c r="G10218" s="15"/>
      <c r="H10218" s="15"/>
      <c r="I10218" s="15"/>
      <c r="J10218" s="22">
        <v>5159</v>
      </c>
      <c r="K10218" s="15" t="s">
        <v>1266</v>
      </c>
      <c r="L10218" s="17">
        <v>5</v>
      </c>
      <c r="M10218" s="17">
        <v>250</v>
      </c>
      <c r="N10218" s="17">
        <v>5</v>
      </c>
      <c r="O10218" s="18">
        <v>382.63</v>
      </c>
      <c r="P10218" s="18">
        <v>313.63</v>
      </c>
      <c r="Q10218" s="18">
        <v>325.24</v>
      </c>
      <c r="R10218" s="18">
        <v>266.58999999999997</v>
      </c>
      <c r="S10218" s="18">
        <v>260.19</v>
      </c>
      <c r="T10218" s="18">
        <v>213.27</v>
      </c>
      <c r="U10218" s="16"/>
      <c r="V10218" s="16"/>
      <c r="W10218" s="16" t="s">
        <v>40</v>
      </c>
      <c r="X10218" s="19">
        <v>6.9000000000000006E-2</v>
      </c>
      <c r="Y10218" s="20">
        <v>4.0700000000000003E-4</v>
      </c>
      <c r="Z10218" s="21">
        <v>4601004230606</v>
      </c>
    </row>
    <row r="10219" spans="1:26" ht="12.95" customHeight="1" outlineLevel="2" x14ac:dyDescent="0.2">
      <c r="A10219" s="76" t="s">
        <v>19450</v>
      </c>
      <c r="B10219" s="76"/>
      <c r="C10219" s="77"/>
      <c r="D10219" s="58"/>
      <c r="E10219" s="68"/>
      <c r="F10219" s="13"/>
      <c r="G10219" s="13"/>
      <c r="H10219" s="13"/>
      <c r="I10219" s="13"/>
      <c r="J10219" s="13"/>
      <c r="K10219" s="13"/>
      <c r="L10219" s="13"/>
      <c r="M10219" s="13"/>
      <c r="N10219" s="13"/>
      <c r="O10219" s="13"/>
      <c r="P10219" s="13"/>
      <c r="Q10219" s="13"/>
      <c r="R10219" s="13"/>
      <c r="S10219" s="13"/>
      <c r="T10219" s="13"/>
      <c r="U10219" s="13"/>
      <c r="V10219" s="13"/>
      <c r="W10219" s="13"/>
      <c r="X10219" s="13"/>
      <c r="Y10219" s="13"/>
      <c r="Z10219" s="13"/>
    </row>
    <row r="10220" spans="1:26" ht="12" customHeight="1" outlineLevel="3" x14ac:dyDescent="0.2">
      <c r="A10220" s="14" t="s">
        <v>19451</v>
      </c>
      <c r="B10220" s="26" t="s">
        <v>19452</v>
      </c>
      <c r="C10220" s="52"/>
      <c r="D10220" s="55">
        <f t="shared" si="159"/>
        <v>0</v>
      </c>
      <c r="E10220" s="63" t="str">
        <f>HYPERLINK("https://www.sds-group.ru/product/termoregulyator-tsifrovoy-16a-01-3-5kvt-v-rozetku-belyy-rexant-51-0800/", "Инфо")</f>
        <v>Инфо</v>
      </c>
      <c r="F10220" s="16" t="s">
        <v>39</v>
      </c>
      <c r="G10220" s="15"/>
      <c r="H10220" s="15"/>
      <c r="I10220" s="15"/>
      <c r="J10220" s="22">
        <v>6581</v>
      </c>
      <c r="K10220" s="15"/>
      <c r="L10220" s="17">
        <v>1</v>
      </c>
      <c r="M10220" s="17">
        <v>50</v>
      </c>
      <c r="N10220" s="17">
        <v>1</v>
      </c>
      <c r="O10220" s="18">
        <v>2048.2399999999998</v>
      </c>
      <c r="P10220" s="18">
        <v>1678.89</v>
      </c>
      <c r="Q10220" s="18">
        <v>1761.49</v>
      </c>
      <c r="R10220" s="18">
        <v>1443.84</v>
      </c>
      <c r="S10220" s="18">
        <v>1392.8</v>
      </c>
      <c r="T10220" s="18">
        <v>1141.6400000000001</v>
      </c>
      <c r="U10220" s="16"/>
      <c r="V10220" s="16"/>
      <c r="W10220" s="16" t="s">
        <v>40</v>
      </c>
      <c r="X10220" s="19">
        <v>0.20899999999999999</v>
      </c>
      <c r="Y10220" s="20">
        <v>9.0399999999999996E-4</v>
      </c>
      <c r="Z10220" s="21">
        <v>4601004310605</v>
      </c>
    </row>
    <row r="10221" spans="1:26" ht="12" customHeight="1" outlineLevel="3" x14ac:dyDescent="0.2">
      <c r="A10221" s="14" t="s">
        <v>19453</v>
      </c>
      <c r="B10221" s="26" t="s">
        <v>19454</v>
      </c>
      <c r="C10221" s="52"/>
      <c r="D10221" s="55">
        <f t="shared" si="159"/>
        <v>0</v>
      </c>
      <c r="E10221" s="64"/>
      <c r="F10221" s="16" t="s">
        <v>39</v>
      </c>
      <c r="G10221" s="15"/>
      <c r="H10221" s="15"/>
      <c r="I10221" s="15"/>
      <c r="J10221" s="16" t="s">
        <v>100</v>
      </c>
      <c r="K10221" s="15" t="s">
        <v>1055</v>
      </c>
      <c r="L10221" s="17">
        <v>1</v>
      </c>
      <c r="M10221" s="17">
        <v>50</v>
      </c>
      <c r="N10221" s="17">
        <v>1</v>
      </c>
      <c r="O10221" s="18">
        <v>3339</v>
      </c>
      <c r="P10221" s="18">
        <v>2736.89</v>
      </c>
      <c r="Q10221" s="18">
        <v>2871.54</v>
      </c>
      <c r="R10221" s="18">
        <v>2353.7199999999998</v>
      </c>
      <c r="S10221" s="18">
        <v>2270.52</v>
      </c>
      <c r="T10221" s="18">
        <v>1861.08</v>
      </c>
      <c r="U10221" s="16"/>
      <c r="V10221" s="16"/>
      <c r="W10221" s="16" t="s">
        <v>40</v>
      </c>
      <c r="X10221" s="25"/>
      <c r="Y10221" s="25"/>
      <c r="Z10221" s="21">
        <v>4601004351981</v>
      </c>
    </row>
    <row r="10222" spans="1:26" ht="12.95" customHeight="1" x14ac:dyDescent="0.2">
      <c r="A10222" s="80" t="s">
        <v>19455</v>
      </c>
      <c r="B10222" s="80"/>
      <c r="C10222" s="81"/>
      <c r="D10222" s="56"/>
      <c r="E10222" s="66"/>
      <c r="F10222" s="11"/>
      <c r="G10222" s="11"/>
      <c r="H10222" s="11"/>
      <c r="I10222" s="11"/>
      <c r="J10222" s="11"/>
      <c r="K10222" s="11"/>
      <c r="L10222" s="11"/>
      <c r="M10222" s="11"/>
      <c r="N10222" s="11"/>
      <c r="O10222" s="11"/>
      <c r="P10222" s="11"/>
      <c r="Q10222" s="11"/>
      <c r="R10222" s="11"/>
      <c r="S10222" s="11"/>
      <c r="T10222" s="11"/>
      <c r="U10222" s="11"/>
      <c r="V10222" s="11"/>
      <c r="W10222" s="11"/>
      <c r="X10222" s="11"/>
      <c r="Y10222" s="11"/>
      <c r="Z10222" s="11"/>
    </row>
    <row r="10223" spans="1:26" ht="12.95" customHeight="1" outlineLevel="1" x14ac:dyDescent="0.2">
      <c r="A10223" s="78" t="s">
        <v>19456</v>
      </c>
      <c r="B10223" s="78"/>
      <c r="C10223" s="79"/>
      <c r="D10223" s="57"/>
      <c r="E10223" s="67"/>
      <c r="F10223" s="12"/>
      <c r="G10223" s="12"/>
      <c r="H10223" s="12"/>
      <c r="I10223" s="12"/>
      <c r="J10223" s="12"/>
      <c r="K10223" s="12"/>
      <c r="L10223" s="12"/>
      <c r="M10223" s="12"/>
      <c r="N10223" s="12"/>
      <c r="O10223" s="12"/>
      <c r="P10223" s="12"/>
      <c r="Q10223" s="12"/>
      <c r="R10223" s="12"/>
      <c r="S10223" s="12"/>
      <c r="T10223" s="12"/>
      <c r="U10223" s="12"/>
      <c r="V10223" s="12"/>
      <c r="W10223" s="12"/>
      <c r="X10223" s="12"/>
      <c r="Y10223" s="12"/>
      <c r="Z10223" s="12"/>
    </row>
    <row r="10224" spans="1:26" ht="12.95" customHeight="1" outlineLevel="2" x14ac:dyDescent="0.2">
      <c r="A10224" s="76" t="s">
        <v>19457</v>
      </c>
      <c r="B10224" s="76"/>
      <c r="C10224" s="77"/>
      <c r="D10224" s="58"/>
      <c r="E10224" s="68"/>
      <c r="F10224" s="13"/>
      <c r="G10224" s="13"/>
      <c r="H10224" s="13"/>
      <c r="I10224" s="13"/>
      <c r="J10224" s="13"/>
      <c r="K10224" s="13"/>
      <c r="L10224" s="13"/>
      <c r="M10224" s="13"/>
      <c r="N10224" s="13"/>
      <c r="O10224" s="13"/>
      <c r="P10224" s="13"/>
      <c r="Q10224" s="13"/>
      <c r="R10224" s="13"/>
      <c r="S10224" s="13"/>
      <c r="T10224" s="13"/>
      <c r="U10224" s="13"/>
      <c r="V10224" s="13"/>
      <c r="W10224" s="13"/>
      <c r="X10224" s="13"/>
      <c r="Y10224" s="13"/>
      <c r="Z10224" s="13"/>
    </row>
    <row r="10225" spans="1:26" ht="12.95" customHeight="1" outlineLevel="3" x14ac:dyDescent="0.2">
      <c r="A10225" s="76" t="s">
        <v>19458</v>
      </c>
      <c r="B10225" s="76"/>
      <c r="C10225" s="77"/>
      <c r="D10225" s="58"/>
      <c r="E10225" s="68"/>
      <c r="F10225" s="13"/>
      <c r="G10225" s="13"/>
      <c r="H10225" s="13"/>
      <c r="I10225" s="13"/>
      <c r="J10225" s="13"/>
      <c r="K10225" s="13"/>
      <c r="L10225" s="13"/>
      <c r="M10225" s="13"/>
      <c r="N10225" s="13"/>
      <c r="O10225" s="13"/>
      <c r="P10225" s="13"/>
      <c r="Q10225" s="13"/>
      <c r="R10225" s="13"/>
      <c r="S10225" s="13"/>
      <c r="T10225" s="13"/>
      <c r="U10225" s="13"/>
      <c r="V10225" s="13"/>
      <c r="W10225" s="13"/>
      <c r="X10225" s="13"/>
      <c r="Y10225" s="13"/>
      <c r="Z10225" s="13"/>
    </row>
    <row r="10226" spans="1:26" ht="12" customHeight="1" outlineLevel="4" x14ac:dyDescent="0.2">
      <c r="A10226" s="32" t="s">
        <v>19459</v>
      </c>
      <c r="B10226" s="74" t="s">
        <v>19460</v>
      </c>
      <c r="C10226" s="50"/>
      <c r="D10226" s="53">
        <f t="shared" si="159"/>
        <v>0</v>
      </c>
      <c r="E10226" s="60" t="str">
        <f>HYPERLINK("https://www.sds-group.ru/product/lampa-svetodiodnaya-grusha-a60-11-5vt-e27-1093lm-2700k-teplyy-svet-rexant-604-003/", "Инфо")</f>
        <v>Инфо</v>
      </c>
      <c r="F10226" s="34" t="s">
        <v>39</v>
      </c>
      <c r="G10226" s="33"/>
      <c r="H10226" s="33" t="s">
        <v>40</v>
      </c>
      <c r="I10226" s="33"/>
      <c r="J10226" s="39">
        <v>9559</v>
      </c>
      <c r="K10226" s="33"/>
      <c r="L10226" s="35">
        <v>10</v>
      </c>
      <c r="M10226" s="35">
        <v>100</v>
      </c>
      <c r="N10226" s="35">
        <v>10</v>
      </c>
      <c r="O10226" s="36">
        <v>61.08</v>
      </c>
      <c r="P10226" s="36">
        <v>50.07</v>
      </c>
      <c r="Q10226" s="36">
        <v>42.76</v>
      </c>
      <c r="R10226" s="36">
        <v>35.049999999999997</v>
      </c>
      <c r="S10226" s="36">
        <v>41.53</v>
      </c>
      <c r="T10226" s="36">
        <v>34.04</v>
      </c>
      <c r="U10226" s="34"/>
      <c r="V10226" s="34"/>
      <c r="W10226" s="34"/>
      <c r="X10226" s="37">
        <v>3.5999999999999997E-2</v>
      </c>
      <c r="Y10226" s="38">
        <v>3.6000000000000002E-4</v>
      </c>
      <c r="Z10226" s="21">
        <v>4601004167148</v>
      </c>
    </row>
    <row r="10227" spans="1:26" ht="12" customHeight="1" outlineLevel="4" x14ac:dyDescent="0.2">
      <c r="A10227" s="32" t="s">
        <v>19461</v>
      </c>
      <c r="B10227" s="74" t="s">
        <v>19462</v>
      </c>
      <c r="C10227" s="50"/>
      <c r="D10227" s="53">
        <f t="shared" si="159"/>
        <v>0</v>
      </c>
      <c r="E10227" s="60" t="str">
        <f>HYPERLINK("https://www.sds-group.ru/product/lampa-svetodiodnaya-grusha-a60-11-5vt-e27-1093lm-4000k-neytralnyy-svet-rexant-604-004/", "Инфо")</f>
        <v>Инфо</v>
      </c>
      <c r="F10227" s="34" t="s">
        <v>39</v>
      </c>
      <c r="G10227" s="33"/>
      <c r="H10227" s="33" t="s">
        <v>40</v>
      </c>
      <c r="I10227" s="33"/>
      <c r="J10227" s="35">
        <v>390</v>
      </c>
      <c r="K10227" s="33"/>
      <c r="L10227" s="35">
        <v>10</v>
      </c>
      <c r="M10227" s="35">
        <v>100</v>
      </c>
      <c r="N10227" s="35">
        <v>10</v>
      </c>
      <c r="O10227" s="36">
        <v>61.08</v>
      </c>
      <c r="P10227" s="36">
        <v>50.07</v>
      </c>
      <c r="Q10227" s="36">
        <v>42.76</v>
      </c>
      <c r="R10227" s="36">
        <v>35.049999999999997</v>
      </c>
      <c r="S10227" s="36">
        <v>41.53</v>
      </c>
      <c r="T10227" s="36">
        <v>34.04</v>
      </c>
      <c r="U10227" s="34"/>
      <c r="V10227" s="34"/>
      <c r="W10227" s="34"/>
      <c r="X10227" s="37">
        <v>3.7999999999999999E-2</v>
      </c>
      <c r="Y10227" s="38">
        <v>4.9299999999999995E-4</v>
      </c>
      <c r="Z10227" s="21">
        <v>4601004167155</v>
      </c>
    </row>
    <row r="10228" spans="1:26" ht="12" customHeight="1" outlineLevel="4" x14ac:dyDescent="0.2">
      <c r="A10228" s="32" t="s">
        <v>19463</v>
      </c>
      <c r="B10228" s="74" t="s">
        <v>19464</v>
      </c>
      <c r="C10228" s="50"/>
      <c r="D10228" s="53">
        <f t="shared" si="159"/>
        <v>0</v>
      </c>
      <c r="E10228" s="60" t="str">
        <f>HYPERLINK("https://www.sds-group.ru/product/lampa-svetodiodnaya-grusha-a60-11-5vt-e27-1093lm-6500k-holodnyy-svet-rexant-604-005/", "Инфо")</f>
        <v>Инфо</v>
      </c>
      <c r="F10228" s="34" t="s">
        <v>39</v>
      </c>
      <c r="G10228" s="33"/>
      <c r="H10228" s="33" t="s">
        <v>40</v>
      </c>
      <c r="I10228" s="33"/>
      <c r="J10228" s="35">
        <v>27</v>
      </c>
      <c r="K10228" s="33"/>
      <c r="L10228" s="35">
        <v>10</v>
      </c>
      <c r="M10228" s="35">
        <v>100</v>
      </c>
      <c r="N10228" s="35">
        <v>10</v>
      </c>
      <c r="O10228" s="36">
        <v>61.08</v>
      </c>
      <c r="P10228" s="36">
        <v>50.07</v>
      </c>
      <c r="Q10228" s="36">
        <v>42.76</v>
      </c>
      <c r="R10228" s="36">
        <v>35.049999999999997</v>
      </c>
      <c r="S10228" s="36">
        <v>41.53</v>
      </c>
      <c r="T10228" s="36">
        <v>34.04</v>
      </c>
      <c r="U10228" s="34"/>
      <c r="V10228" s="34"/>
      <c r="W10228" s="34"/>
      <c r="X10228" s="37">
        <v>3.6999999999999998E-2</v>
      </c>
      <c r="Y10228" s="38">
        <v>5.13E-4</v>
      </c>
      <c r="Z10228" s="21">
        <v>4601004167162</v>
      </c>
    </row>
    <row r="10229" spans="1:26" ht="12" customHeight="1" outlineLevel="4" x14ac:dyDescent="0.2">
      <c r="A10229" s="32" t="s">
        <v>19465</v>
      </c>
      <c r="B10229" s="74" t="s">
        <v>19466</v>
      </c>
      <c r="C10229" s="50"/>
      <c r="D10229" s="53">
        <f t="shared" si="159"/>
        <v>0</v>
      </c>
      <c r="E10229" s="60" t="str">
        <f>HYPERLINK("https://www.sds-group.ru/product/lampa-svetodiodnaya-grusha-a60-15-5vt-e27-1473lm-6500k-holodnyy-svet-rexant-604-010/", "Инфо")</f>
        <v>Инфо</v>
      </c>
      <c r="F10229" s="34" t="s">
        <v>39</v>
      </c>
      <c r="G10229" s="33"/>
      <c r="H10229" s="33" t="s">
        <v>40</v>
      </c>
      <c r="I10229" s="33"/>
      <c r="J10229" s="35">
        <v>20</v>
      </c>
      <c r="K10229" s="33"/>
      <c r="L10229" s="35">
        <v>10</v>
      </c>
      <c r="M10229" s="35">
        <v>100</v>
      </c>
      <c r="N10229" s="35">
        <v>10</v>
      </c>
      <c r="O10229" s="36">
        <v>70.069999999999993</v>
      </c>
      <c r="P10229" s="36">
        <v>57.43</v>
      </c>
      <c r="Q10229" s="36">
        <v>49.05</v>
      </c>
      <c r="R10229" s="36">
        <v>40.200000000000003</v>
      </c>
      <c r="S10229" s="36">
        <v>47.65</v>
      </c>
      <c r="T10229" s="36">
        <v>39.06</v>
      </c>
      <c r="U10229" s="34"/>
      <c r="V10229" s="34"/>
      <c r="W10229" s="34"/>
      <c r="X10229" s="37">
        <v>4.8000000000000001E-2</v>
      </c>
      <c r="Y10229" s="38">
        <v>5.4900000000000001E-4</v>
      </c>
      <c r="Z10229" s="21">
        <v>4601004167193</v>
      </c>
    </row>
    <row r="10230" spans="1:26" ht="12.95" customHeight="1" outlineLevel="3" x14ac:dyDescent="0.2">
      <c r="A10230" s="76" t="s">
        <v>19467</v>
      </c>
      <c r="B10230" s="76"/>
      <c r="C10230" s="77"/>
      <c r="D10230" s="58"/>
      <c r="E10230" s="68"/>
      <c r="F10230" s="13"/>
      <c r="G10230" s="13"/>
      <c r="H10230" s="13"/>
      <c r="I10230" s="13"/>
      <c r="J10230" s="13"/>
      <c r="K10230" s="13"/>
      <c r="L10230" s="13"/>
      <c r="M10230" s="13"/>
      <c r="N10230" s="13"/>
      <c r="O10230" s="13"/>
      <c r="P10230" s="13"/>
      <c r="Q10230" s="13"/>
      <c r="R10230" s="13"/>
      <c r="S10230" s="13"/>
      <c r="T10230" s="13"/>
      <c r="U10230" s="13"/>
      <c r="V10230" s="13"/>
      <c r="W10230" s="13"/>
      <c r="X10230" s="13"/>
      <c r="Y10230" s="13"/>
      <c r="Z10230" s="13"/>
    </row>
    <row r="10231" spans="1:26" ht="12" customHeight="1" outlineLevel="4" x14ac:dyDescent="0.2">
      <c r="A10231" s="32" t="s">
        <v>19468</v>
      </c>
      <c r="B10231" s="74" t="s">
        <v>19469</v>
      </c>
      <c r="C10231" s="50"/>
      <c r="D10231" s="53">
        <f t="shared" si="159"/>
        <v>0</v>
      </c>
      <c r="E10231" s="60" t="str">
        <f>HYPERLINK("https://www.sds-group.ru/product/lampa-svetodiodnaya-svecha-cn-7-5vt-e27-713lm-4000k-neytralnyy-svet-rexant-604-021/", "Инфо")</f>
        <v>Инфо</v>
      </c>
      <c r="F10231" s="34" t="s">
        <v>39</v>
      </c>
      <c r="G10231" s="33"/>
      <c r="H10231" s="33" t="s">
        <v>40</v>
      </c>
      <c r="I10231" s="33"/>
      <c r="J10231" s="35">
        <v>167</v>
      </c>
      <c r="K10231" s="33"/>
      <c r="L10231" s="35">
        <v>10</v>
      </c>
      <c r="M10231" s="35">
        <v>100</v>
      </c>
      <c r="N10231" s="35">
        <v>10</v>
      </c>
      <c r="O10231" s="36">
        <v>57.49</v>
      </c>
      <c r="P10231" s="36">
        <v>47.12</v>
      </c>
      <c r="Q10231" s="36">
        <v>40.24</v>
      </c>
      <c r="R10231" s="36">
        <v>32.979999999999997</v>
      </c>
      <c r="S10231" s="36">
        <v>39.090000000000003</v>
      </c>
      <c r="T10231" s="36">
        <v>32.04</v>
      </c>
      <c r="U10231" s="34"/>
      <c r="V10231" s="34"/>
      <c r="W10231" s="34"/>
      <c r="X10231" s="37">
        <v>2.8000000000000001E-2</v>
      </c>
      <c r="Y10231" s="38">
        <v>1.8799999999999999E-4</v>
      </c>
      <c r="Z10231" s="21">
        <v>4601004167285</v>
      </c>
    </row>
    <row r="10232" spans="1:26" ht="12.95" customHeight="1" outlineLevel="3" x14ac:dyDescent="0.2">
      <c r="A10232" s="76" t="s">
        <v>19470</v>
      </c>
      <c r="B10232" s="76"/>
      <c r="C10232" s="77"/>
      <c r="D10232" s="58"/>
      <c r="E10232" s="68"/>
      <c r="F10232" s="13"/>
      <c r="G10232" s="13"/>
      <c r="H10232" s="13"/>
      <c r="I10232" s="13"/>
      <c r="J10232" s="13"/>
      <c r="K10232" s="13"/>
      <c r="L10232" s="13"/>
      <c r="M10232" s="13"/>
      <c r="N10232" s="13"/>
      <c r="O10232" s="13"/>
      <c r="P10232" s="13"/>
      <c r="Q10232" s="13"/>
      <c r="R10232" s="13"/>
      <c r="S10232" s="13"/>
      <c r="T10232" s="13"/>
      <c r="U10232" s="13"/>
      <c r="V10232" s="13"/>
      <c r="W10232" s="13"/>
      <c r="X10232" s="13"/>
      <c r="Y10232" s="13"/>
      <c r="Z10232" s="13"/>
    </row>
    <row r="10233" spans="1:26" ht="12" customHeight="1" outlineLevel="4" x14ac:dyDescent="0.2">
      <c r="A10233" s="32" t="s">
        <v>19471</v>
      </c>
      <c r="B10233" s="74" t="s">
        <v>19472</v>
      </c>
      <c r="C10233" s="50"/>
      <c r="D10233" s="53">
        <f t="shared" si="159"/>
        <v>0</v>
      </c>
      <c r="E10233" s="60" t="str">
        <f>HYPERLINK("https://www.sds-group.ru/product/lampa-svetodiodnaya-sharik-gl-9-5vt-e27-903lm-4000k-neytralniy-svet-rexant-21302/", "Инфо")</f>
        <v>Инфо</v>
      </c>
      <c r="F10233" s="34" t="s">
        <v>39</v>
      </c>
      <c r="G10233" s="33"/>
      <c r="H10233" s="33" t="s">
        <v>40</v>
      </c>
      <c r="I10233" s="33"/>
      <c r="J10233" s="35">
        <v>90</v>
      </c>
      <c r="K10233" s="33"/>
      <c r="L10233" s="35">
        <v>10</v>
      </c>
      <c r="M10233" s="35">
        <v>100</v>
      </c>
      <c r="N10233" s="35">
        <v>10</v>
      </c>
      <c r="O10233" s="36">
        <v>90.99</v>
      </c>
      <c r="P10233" s="36">
        <v>74.58</v>
      </c>
      <c r="Q10233" s="36">
        <v>63.69</v>
      </c>
      <c r="R10233" s="36">
        <v>52.2</v>
      </c>
      <c r="S10233" s="36">
        <v>61.87</v>
      </c>
      <c r="T10233" s="36">
        <v>50.71</v>
      </c>
      <c r="U10233" s="34"/>
      <c r="V10233" s="34"/>
      <c r="W10233" s="34"/>
      <c r="X10233" s="37">
        <v>2.8000000000000001E-2</v>
      </c>
      <c r="Y10233" s="38">
        <v>2.13E-4</v>
      </c>
      <c r="Z10233" s="21">
        <v>4601004167476</v>
      </c>
    </row>
    <row r="10234" spans="1:26" ht="12.95" customHeight="1" outlineLevel="3" x14ac:dyDescent="0.2">
      <c r="A10234" s="76" t="s">
        <v>19473</v>
      </c>
      <c r="B10234" s="76"/>
      <c r="C10234" s="77"/>
      <c r="D10234" s="58"/>
      <c r="E10234" s="68"/>
      <c r="F10234" s="13"/>
      <c r="G10234" s="13"/>
      <c r="H10234" s="13"/>
      <c r="I10234" s="13"/>
      <c r="J10234" s="13"/>
      <c r="K10234" s="13"/>
      <c r="L10234" s="13"/>
      <c r="M10234" s="13"/>
      <c r="N10234" s="13"/>
      <c r="O10234" s="13"/>
      <c r="P10234" s="13"/>
      <c r="Q10234" s="13"/>
      <c r="R10234" s="13"/>
      <c r="S10234" s="13"/>
      <c r="T10234" s="13"/>
      <c r="U10234" s="13"/>
      <c r="V10234" s="13"/>
      <c r="W10234" s="13"/>
      <c r="X10234" s="13"/>
      <c r="Y10234" s="13"/>
      <c r="Z10234" s="13"/>
    </row>
    <row r="10235" spans="1:26" ht="12" customHeight="1" outlineLevel="4" x14ac:dyDescent="0.2">
      <c r="A10235" s="32" t="s">
        <v>19474</v>
      </c>
      <c r="B10235" s="74" t="s">
        <v>19475</v>
      </c>
      <c r="C10235" s="50"/>
      <c r="D10235" s="53">
        <f t="shared" si="159"/>
        <v>0</v>
      </c>
      <c r="E10235" s="60" t="str">
        <f>HYPERLINK("https://www.sds-group.ru/product/lampa-svetodiodnaya-reflektor-9-5vt-808lm-gu10-2700k-teplyy-svet-rexant-604-4000/", "Инфо")</f>
        <v>Инфо</v>
      </c>
      <c r="F10235" s="34" t="s">
        <v>39</v>
      </c>
      <c r="G10235" s="33"/>
      <c r="H10235" s="33" t="s">
        <v>40</v>
      </c>
      <c r="I10235" s="33"/>
      <c r="J10235" s="35">
        <v>749</v>
      </c>
      <c r="K10235" s="33"/>
      <c r="L10235" s="35">
        <v>1</v>
      </c>
      <c r="M10235" s="35">
        <v>100</v>
      </c>
      <c r="N10235" s="35">
        <v>1</v>
      </c>
      <c r="O10235" s="36">
        <v>62.88</v>
      </c>
      <c r="P10235" s="36">
        <v>51.54</v>
      </c>
      <c r="Q10235" s="36">
        <v>44.02</v>
      </c>
      <c r="R10235" s="36">
        <v>36.08</v>
      </c>
      <c r="S10235" s="36">
        <v>42.76</v>
      </c>
      <c r="T10235" s="36">
        <v>35.049999999999997</v>
      </c>
      <c r="U10235" s="34"/>
      <c r="V10235" s="34"/>
      <c r="W10235" s="34"/>
      <c r="X10235" s="37">
        <v>3.3000000000000002E-2</v>
      </c>
      <c r="Y10235" s="38">
        <v>2.1000000000000001E-4</v>
      </c>
      <c r="Z10235" s="21">
        <v>4601004212213</v>
      </c>
    </row>
    <row r="10236" spans="1:26" ht="12" customHeight="1" outlineLevel="4" x14ac:dyDescent="0.2">
      <c r="A10236" s="32" t="s">
        <v>19476</v>
      </c>
      <c r="B10236" s="74" t="s">
        <v>19477</v>
      </c>
      <c r="C10236" s="50"/>
      <c r="D10236" s="53">
        <f t="shared" si="159"/>
        <v>0</v>
      </c>
      <c r="E10236" s="60" t="str">
        <f>HYPERLINK("https://www.sds-group.ru/product/lampa-svetodiodnaya-reflektor-9-5vt-808lm-gu10-6500k-holodnyy-svet-rexant-604-4002/", "Инфо")</f>
        <v>Инфо</v>
      </c>
      <c r="F10236" s="34" t="s">
        <v>39</v>
      </c>
      <c r="G10236" s="33"/>
      <c r="H10236" s="33" t="s">
        <v>40</v>
      </c>
      <c r="I10236" s="33"/>
      <c r="J10236" s="35">
        <v>455</v>
      </c>
      <c r="K10236" s="33"/>
      <c r="L10236" s="35">
        <v>1</v>
      </c>
      <c r="M10236" s="35">
        <v>100</v>
      </c>
      <c r="N10236" s="35">
        <v>1</v>
      </c>
      <c r="O10236" s="36">
        <v>62.88</v>
      </c>
      <c r="P10236" s="36">
        <v>51.54</v>
      </c>
      <c r="Q10236" s="36">
        <v>44.02</v>
      </c>
      <c r="R10236" s="36">
        <v>36.08</v>
      </c>
      <c r="S10236" s="36">
        <v>42.76</v>
      </c>
      <c r="T10236" s="36">
        <v>35.049999999999997</v>
      </c>
      <c r="U10236" s="34"/>
      <c r="V10236" s="34"/>
      <c r="W10236" s="34"/>
      <c r="X10236" s="37">
        <v>3.4000000000000002E-2</v>
      </c>
      <c r="Y10236" s="38">
        <v>1.8799999999999999E-4</v>
      </c>
      <c r="Z10236" s="21">
        <v>4601004209039</v>
      </c>
    </row>
    <row r="10237" spans="1:26" ht="12" customHeight="1" outlineLevel="4" x14ac:dyDescent="0.2">
      <c r="A10237" s="32" t="s">
        <v>19478</v>
      </c>
      <c r="B10237" s="74" t="s">
        <v>19479</v>
      </c>
      <c r="C10237" s="50"/>
      <c r="D10237" s="53">
        <f t="shared" si="159"/>
        <v>0</v>
      </c>
      <c r="E10237" s="60" t="str">
        <f>HYPERLINK("https://www.sds-group.ru/product/lampa-svetodiodnaya-reflektor-r50-9-5vt-808lm-e14-4000k-neytralnyy-svet-rexant-604-4064/", "Инфо")</f>
        <v>Инфо</v>
      </c>
      <c r="F10237" s="34" t="s">
        <v>39</v>
      </c>
      <c r="G10237" s="33"/>
      <c r="H10237" s="33" t="s">
        <v>40</v>
      </c>
      <c r="I10237" s="33"/>
      <c r="J10237" s="35">
        <v>9</v>
      </c>
      <c r="K10237" s="33"/>
      <c r="L10237" s="35">
        <v>1</v>
      </c>
      <c r="M10237" s="35">
        <v>100</v>
      </c>
      <c r="N10237" s="35">
        <v>1</v>
      </c>
      <c r="O10237" s="36">
        <v>114.86</v>
      </c>
      <c r="P10237" s="36">
        <v>94.15</v>
      </c>
      <c r="Q10237" s="36">
        <v>80.400000000000006</v>
      </c>
      <c r="R10237" s="36">
        <v>65.900000000000006</v>
      </c>
      <c r="S10237" s="36">
        <v>78.099999999999994</v>
      </c>
      <c r="T10237" s="36">
        <v>64.02</v>
      </c>
      <c r="U10237" s="34"/>
      <c r="V10237" s="34"/>
      <c r="W10237" s="34"/>
      <c r="X10237" s="37">
        <v>3.9E-2</v>
      </c>
      <c r="Y10237" s="38">
        <v>2.6400000000000002E-4</v>
      </c>
      <c r="Z10237" s="21">
        <v>4601004210899</v>
      </c>
    </row>
    <row r="10238" spans="1:26" ht="12.95" customHeight="1" outlineLevel="3" x14ac:dyDescent="0.2">
      <c r="A10238" s="76" t="s">
        <v>19480</v>
      </c>
      <c r="B10238" s="76"/>
      <c r="C10238" s="77"/>
      <c r="D10238" s="58"/>
      <c r="E10238" s="68"/>
      <c r="F10238" s="13"/>
      <c r="G10238" s="13"/>
      <c r="H10238" s="13"/>
      <c r="I10238" s="13"/>
      <c r="J10238" s="13"/>
      <c r="K10238" s="13"/>
      <c r="L10238" s="13"/>
      <c r="M10238" s="13"/>
      <c r="N10238" s="13"/>
      <c r="O10238" s="13"/>
      <c r="P10238" s="13"/>
      <c r="Q10238" s="13"/>
      <c r="R10238" s="13"/>
      <c r="S10238" s="13"/>
      <c r="T10238" s="13"/>
      <c r="U10238" s="13"/>
      <c r="V10238" s="13"/>
      <c r="W10238" s="13"/>
      <c r="X10238" s="13"/>
      <c r="Y10238" s="13"/>
      <c r="Z10238" s="13"/>
    </row>
    <row r="10239" spans="1:26" ht="12" customHeight="1" outlineLevel="4" x14ac:dyDescent="0.2">
      <c r="A10239" s="32" t="s">
        <v>19481</v>
      </c>
      <c r="B10239" s="74" t="s">
        <v>19482</v>
      </c>
      <c r="C10239" s="50"/>
      <c r="D10239" s="53">
        <f t="shared" si="159"/>
        <v>0</v>
      </c>
      <c r="E10239" s="60" t="str">
        <f>HYPERLINK("https://www.sds-group.ru/product/lampa-svetodiodnaya-gx53-tabletka-10-5vt-840lm-2700k-teplyy-svet-rexant-604-063/", "Инфо")</f>
        <v>Инфо</v>
      </c>
      <c r="F10239" s="34" t="s">
        <v>39</v>
      </c>
      <c r="G10239" s="33"/>
      <c r="H10239" s="33" t="s">
        <v>40</v>
      </c>
      <c r="I10239" s="33"/>
      <c r="J10239" s="35">
        <v>296</v>
      </c>
      <c r="K10239" s="33"/>
      <c r="L10239" s="35">
        <v>10</v>
      </c>
      <c r="M10239" s="35">
        <v>100</v>
      </c>
      <c r="N10239" s="35">
        <v>10</v>
      </c>
      <c r="O10239" s="36">
        <v>68.27</v>
      </c>
      <c r="P10239" s="36">
        <v>55.96</v>
      </c>
      <c r="Q10239" s="36">
        <v>47.79</v>
      </c>
      <c r="R10239" s="36">
        <v>39.17</v>
      </c>
      <c r="S10239" s="36">
        <v>46.42</v>
      </c>
      <c r="T10239" s="36">
        <v>38.049999999999997</v>
      </c>
      <c r="U10239" s="34"/>
      <c r="V10239" s="34"/>
      <c r="W10239" s="34"/>
      <c r="X10239" s="37">
        <v>4.4999999999999998E-2</v>
      </c>
      <c r="Y10239" s="38">
        <v>2.1100000000000001E-4</v>
      </c>
      <c r="Z10239" s="21">
        <v>4601004167605</v>
      </c>
    </row>
    <row r="10240" spans="1:26" ht="12" customHeight="1" outlineLevel="4" x14ac:dyDescent="0.2">
      <c r="A10240" s="32" t="s">
        <v>19483</v>
      </c>
      <c r="B10240" s="74" t="s">
        <v>19484</v>
      </c>
      <c r="C10240" s="50"/>
      <c r="D10240" s="53">
        <f t="shared" si="159"/>
        <v>0</v>
      </c>
      <c r="E10240" s="60" t="str">
        <f>HYPERLINK("https://www.sds-group.ru/product/lampa-svetodiodnaya-gx53-tabletka-15-5vt-1240lm-2700k-teplyy-svet-rexant-604-067/", "Инфо")</f>
        <v>Инфо</v>
      </c>
      <c r="F10240" s="34" t="s">
        <v>39</v>
      </c>
      <c r="G10240" s="33"/>
      <c r="H10240" s="33" t="s">
        <v>40</v>
      </c>
      <c r="I10240" s="33"/>
      <c r="J10240" s="39">
        <v>11587</v>
      </c>
      <c r="K10240" s="33"/>
      <c r="L10240" s="35">
        <v>10</v>
      </c>
      <c r="M10240" s="35">
        <v>100</v>
      </c>
      <c r="N10240" s="35">
        <v>10</v>
      </c>
      <c r="O10240" s="36">
        <v>64.400000000000006</v>
      </c>
      <c r="P10240" s="36">
        <v>52.79</v>
      </c>
      <c r="Q10240" s="36">
        <v>45.08</v>
      </c>
      <c r="R10240" s="36">
        <v>36.950000000000003</v>
      </c>
      <c r="S10240" s="36">
        <v>43.79</v>
      </c>
      <c r="T10240" s="36">
        <v>35.89</v>
      </c>
      <c r="U10240" s="34"/>
      <c r="V10240" s="34"/>
      <c r="W10240" s="34"/>
      <c r="X10240" s="37">
        <v>5.2999999999999999E-2</v>
      </c>
      <c r="Y10240" s="38">
        <v>2.13E-4</v>
      </c>
      <c r="Z10240" s="21">
        <v>4601004167629</v>
      </c>
    </row>
    <row r="10241" spans="1:26" ht="12.95" customHeight="1" outlineLevel="3" x14ac:dyDescent="0.2">
      <c r="A10241" s="76" t="s">
        <v>19485</v>
      </c>
      <c r="B10241" s="76"/>
      <c r="C10241" s="77"/>
      <c r="D10241" s="58"/>
      <c r="E10241" s="68"/>
      <c r="F10241" s="13"/>
      <c r="G10241" s="13"/>
      <c r="H10241" s="13"/>
      <c r="I10241" s="13"/>
      <c r="J10241" s="13"/>
      <c r="K10241" s="13"/>
      <c r="L10241" s="13"/>
      <c r="M10241" s="13"/>
      <c r="N10241" s="13"/>
      <c r="O10241" s="13"/>
      <c r="P10241" s="13"/>
      <c r="Q10241" s="13"/>
      <c r="R10241" s="13"/>
      <c r="S10241" s="13"/>
      <c r="T10241" s="13"/>
      <c r="U10241" s="13"/>
      <c r="V10241" s="13"/>
      <c r="W10241" s="13"/>
      <c r="X10241" s="13"/>
      <c r="Y10241" s="13"/>
      <c r="Z10241" s="13"/>
    </row>
    <row r="10242" spans="1:26" ht="12" customHeight="1" outlineLevel="4" x14ac:dyDescent="0.2">
      <c r="A10242" s="32" t="s">
        <v>19486</v>
      </c>
      <c r="B10242" s="74" t="s">
        <v>19487</v>
      </c>
      <c r="C10242" s="50"/>
      <c r="D10242" s="53">
        <f t="shared" si="159"/>
        <v>0</v>
      </c>
      <c r="E10242" s="60" t="str">
        <f>HYPERLINK("https://www.sds-group.ru/product/lampa-svetodiodnaya-matovaya-trubka-t8-25-5vt-2168lm-g13-2700k-1500mm-rexant-604-4057/", "Инфо")</f>
        <v>Инфо</v>
      </c>
      <c r="F10242" s="34" t="s">
        <v>39</v>
      </c>
      <c r="G10242" s="33"/>
      <c r="H10242" s="33" t="s">
        <v>40</v>
      </c>
      <c r="I10242" s="33"/>
      <c r="J10242" s="35">
        <v>778</v>
      </c>
      <c r="K10242" s="33"/>
      <c r="L10242" s="35">
        <v>1</v>
      </c>
      <c r="M10242" s="35">
        <v>100</v>
      </c>
      <c r="N10242" s="35">
        <v>1</v>
      </c>
      <c r="O10242" s="36">
        <v>118.65</v>
      </c>
      <c r="P10242" s="36">
        <v>97.25</v>
      </c>
      <c r="Q10242" s="36">
        <v>83.06</v>
      </c>
      <c r="R10242" s="36">
        <v>68.08</v>
      </c>
      <c r="S10242" s="36">
        <v>80.680000000000007</v>
      </c>
      <c r="T10242" s="36">
        <v>66.13</v>
      </c>
      <c r="U10242" s="34"/>
      <c r="V10242" s="34"/>
      <c r="W10242" s="34"/>
      <c r="X10242" s="37">
        <v>0.23200000000000001</v>
      </c>
      <c r="Y10242" s="38">
        <v>2.4239999999999999E-3</v>
      </c>
      <c r="Z10242" s="21">
        <v>4601004210684</v>
      </c>
    </row>
    <row r="10243" spans="1:26" ht="12" customHeight="1" outlineLevel="4" x14ac:dyDescent="0.2">
      <c r="A10243" s="32" t="s">
        <v>19488</v>
      </c>
      <c r="B10243" s="74" t="s">
        <v>19489</v>
      </c>
      <c r="C10243" s="50"/>
      <c r="D10243" s="53">
        <f t="shared" si="159"/>
        <v>0</v>
      </c>
      <c r="E10243" s="60" t="str">
        <f>HYPERLINK("https://www.sds-group.ru/product/lampa-svetodiodnaya-matovaya-trubka-t8-25-5vt-2168lm-g13-1500mm-4000k-neytralnyy-svet-rexan-604-4058/", "Инфо")</f>
        <v>Инфо</v>
      </c>
      <c r="F10243" s="34" t="s">
        <v>39</v>
      </c>
      <c r="G10243" s="33"/>
      <c r="H10243" s="33" t="s">
        <v>40</v>
      </c>
      <c r="I10243" s="33"/>
      <c r="J10243" s="35">
        <v>586</v>
      </c>
      <c r="K10243" s="33"/>
      <c r="L10243" s="35">
        <v>30</v>
      </c>
      <c r="M10243" s="35">
        <v>30</v>
      </c>
      <c r="N10243" s="35">
        <v>30</v>
      </c>
      <c r="O10243" s="36">
        <v>125.76</v>
      </c>
      <c r="P10243" s="36">
        <v>103.08</v>
      </c>
      <c r="Q10243" s="36">
        <v>88.03</v>
      </c>
      <c r="R10243" s="36">
        <v>72.16</v>
      </c>
      <c r="S10243" s="36">
        <v>85.52</v>
      </c>
      <c r="T10243" s="36">
        <v>70.099999999999994</v>
      </c>
      <c r="U10243" s="34"/>
      <c r="V10243" s="34"/>
      <c r="W10243" s="34"/>
      <c r="X10243" s="37">
        <v>0.22600000000000001</v>
      </c>
      <c r="Y10243" s="38">
        <v>2.3999999999999998E-3</v>
      </c>
      <c r="Z10243" s="21">
        <v>4601004210714</v>
      </c>
    </row>
    <row r="10244" spans="1:26" ht="12.95" customHeight="1" outlineLevel="3" x14ac:dyDescent="0.2">
      <c r="A10244" s="76" t="s">
        <v>19490</v>
      </c>
      <c r="B10244" s="76"/>
      <c r="C10244" s="77"/>
      <c r="D10244" s="58"/>
      <c r="E10244" s="68"/>
      <c r="F10244" s="13"/>
      <c r="G10244" s="13"/>
      <c r="H10244" s="13"/>
      <c r="I10244" s="13"/>
      <c r="J10244" s="13"/>
      <c r="K10244" s="13"/>
      <c r="L10244" s="13"/>
      <c r="M10244" s="13"/>
      <c r="N10244" s="13"/>
      <c r="O10244" s="13"/>
      <c r="P10244" s="13"/>
      <c r="Q10244" s="13"/>
      <c r="R10244" s="13"/>
      <c r="S10244" s="13"/>
      <c r="T10244" s="13"/>
      <c r="U10244" s="13"/>
      <c r="V10244" s="13"/>
      <c r="W10244" s="13"/>
      <c r="X10244" s="13"/>
      <c r="Y10244" s="13"/>
      <c r="Z10244" s="13"/>
    </row>
    <row r="10245" spans="1:26" ht="12" customHeight="1" outlineLevel="4" x14ac:dyDescent="0.2">
      <c r="A10245" s="32" t="s">
        <v>19491</v>
      </c>
      <c r="B10245" s="74" t="s">
        <v>19492</v>
      </c>
      <c r="C10245" s="50"/>
      <c r="D10245" s="53">
        <f t="shared" si="159"/>
        <v>0</v>
      </c>
      <c r="E10245" s="60" t="str">
        <f>HYPERLINK("https://www.sds-group.ru/product/lampa-svetodiodnaya-kapsulnogo-tipa-jc-silicon-g4-12v-2vt-2700k-teplyy-svet-silikon-rexant-604-5006/", "Инфо")</f>
        <v>Инфо</v>
      </c>
      <c r="F10245" s="34" t="s">
        <v>39</v>
      </c>
      <c r="G10245" s="33"/>
      <c r="H10245" s="33" t="s">
        <v>40</v>
      </c>
      <c r="I10245" s="33"/>
      <c r="J10245" s="39">
        <v>1870</v>
      </c>
      <c r="K10245" s="33"/>
      <c r="L10245" s="35">
        <v>10</v>
      </c>
      <c r="M10245" s="35">
        <v>10</v>
      </c>
      <c r="N10245" s="35">
        <v>10</v>
      </c>
      <c r="O10245" s="36">
        <v>53.9</v>
      </c>
      <c r="P10245" s="36">
        <v>44.18</v>
      </c>
      <c r="Q10245" s="36">
        <v>37.729999999999997</v>
      </c>
      <c r="R10245" s="36">
        <v>30.93</v>
      </c>
      <c r="S10245" s="36">
        <v>36.65</v>
      </c>
      <c r="T10245" s="36">
        <v>30.04</v>
      </c>
      <c r="U10245" s="34"/>
      <c r="V10245" s="34"/>
      <c r="W10245" s="34"/>
      <c r="X10245" s="37">
        <v>6.0000000000000001E-3</v>
      </c>
      <c r="Y10245" s="38">
        <v>3.4999999999999997E-5</v>
      </c>
      <c r="Z10245" s="21">
        <v>4601004214552</v>
      </c>
    </row>
    <row r="10246" spans="1:26" ht="12" customHeight="1" outlineLevel="4" x14ac:dyDescent="0.2">
      <c r="A10246" s="32" t="s">
        <v>19493</v>
      </c>
      <c r="B10246" s="74" t="s">
        <v>19494</v>
      </c>
      <c r="C10246" s="50"/>
      <c r="D10246" s="53">
        <f t="shared" si="159"/>
        <v>0</v>
      </c>
      <c r="E10246" s="60" t="str">
        <f>HYPERLINK("https://www.sds-group.ru/product/lampa-svetodiodnaya-kapsulnogo-tipa-jc-silicon-g4-220v-2vt-2700k-teplyy-svet-silikon-rexant-604-5009/", "Инфо")</f>
        <v>Инфо</v>
      </c>
      <c r="F10246" s="34" t="s">
        <v>39</v>
      </c>
      <c r="G10246" s="33"/>
      <c r="H10246" s="33" t="s">
        <v>40</v>
      </c>
      <c r="I10246" s="33"/>
      <c r="J10246" s="39">
        <v>6110</v>
      </c>
      <c r="K10246" s="33"/>
      <c r="L10246" s="35">
        <v>10</v>
      </c>
      <c r="M10246" s="35">
        <v>10</v>
      </c>
      <c r="N10246" s="35">
        <v>10</v>
      </c>
      <c r="O10246" s="36">
        <v>50.85</v>
      </c>
      <c r="P10246" s="36">
        <v>41.68</v>
      </c>
      <c r="Q10246" s="36">
        <v>35.6</v>
      </c>
      <c r="R10246" s="36">
        <v>29.18</v>
      </c>
      <c r="S10246" s="36">
        <v>34.58</v>
      </c>
      <c r="T10246" s="36">
        <v>28.34</v>
      </c>
      <c r="U10246" s="34"/>
      <c r="V10246" s="34"/>
      <c r="W10246" s="34"/>
      <c r="X10246" s="37">
        <v>7.0000000000000001E-3</v>
      </c>
      <c r="Y10246" s="38">
        <v>4.6E-5</v>
      </c>
      <c r="Z10246" s="21">
        <v>4601004214644</v>
      </c>
    </row>
    <row r="10247" spans="1:26" ht="12" customHeight="1" outlineLevel="4" x14ac:dyDescent="0.2">
      <c r="A10247" s="32" t="s">
        <v>19495</v>
      </c>
      <c r="B10247" s="74" t="s">
        <v>19496</v>
      </c>
      <c r="C10247" s="50"/>
      <c r="D10247" s="53">
        <f t="shared" si="159"/>
        <v>0</v>
      </c>
      <c r="E10247" s="60" t="str">
        <f>HYPERLINK("https://www.sds-group.ru/product/lampa-svetodiodnaya-kapsulnogo-tipa-jd-corn-g4-230v-5-5vt-2700k-teplyy-svet-polikarbonat-re-604-5012/", "Инфо")</f>
        <v>Инфо</v>
      </c>
      <c r="F10247" s="34" t="s">
        <v>39</v>
      </c>
      <c r="G10247" s="33"/>
      <c r="H10247" s="33" t="s">
        <v>40</v>
      </c>
      <c r="I10247" s="33"/>
      <c r="J10247" s="39">
        <v>8034</v>
      </c>
      <c r="K10247" s="33"/>
      <c r="L10247" s="35">
        <v>10</v>
      </c>
      <c r="M10247" s="35">
        <v>10</v>
      </c>
      <c r="N10247" s="35">
        <v>10</v>
      </c>
      <c r="O10247" s="36">
        <v>66.099999999999994</v>
      </c>
      <c r="P10247" s="36">
        <v>54.18</v>
      </c>
      <c r="Q10247" s="36">
        <v>46.27</v>
      </c>
      <c r="R10247" s="36">
        <v>37.93</v>
      </c>
      <c r="S10247" s="36">
        <v>44.95</v>
      </c>
      <c r="T10247" s="36">
        <v>36.840000000000003</v>
      </c>
      <c r="U10247" s="34"/>
      <c r="V10247" s="34"/>
      <c r="W10247" s="34"/>
      <c r="X10247" s="37">
        <v>1.4E-2</v>
      </c>
      <c r="Y10247" s="38">
        <v>4.5000000000000003E-5</v>
      </c>
      <c r="Z10247" s="21">
        <v>4601004214736</v>
      </c>
    </row>
    <row r="10248" spans="1:26" ht="12" customHeight="1" outlineLevel="4" x14ac:dyDescent="0.2">
      <c r="A10248" s="32" t="s">
        <v>19497</v>
      </c>
      <c r="B10248" s="74" t="s">
        <v>19498</v>
      </c>
      <c r="C10248" s="50"/>
      <c r="D10248" s="53">
        <f t="shared" si="159"/>
        <v>0</v>
      </c>
      <c r="E10248" s="60" t="str">
        <f>HYPERLINK("https://www.sds-group.ru/product/lampa-svetodiodnaya-kapsulnogo-tipa-jd-corn-g4-230v-5-5vt-4000k-neytralnyy-svet-polikarbona-604-5013/", "Инфо")</f>
        <v>Инфо</v>
      </c>
      <c r="F10248" s="34" t="s">
        <v>39</v>
      </c>
      <c r="G10248" s="33"/>
      <c r="H10248" s="33" t="s">
        <v>40</v>
      </c>
      <c r="I10248" s="33"/>
      <c r="J10248" s="35">
        <v>880</v>
      </c>
      <c r="K10248" s="33"/>
      <c r="L10248" s="35">
        <v>10</v>
      </c>
      <c r="M10248" s="35">
        <v>10</v>
      </c>
      <c r="N10248" s="35">
        <v>10</v>
      </c>
      <c r="O10248" s="36">
        <v>70.069999999999993</v>
      </c>
      <c r="P10248" s="36">
        <v>57.43</v>
      </c>
      <c r="Q10248" s="36">
        <v>49.05</v>
      </c>
      <c r="R10248" s="36">
        <v>40.200000000000003</v>
      </c>
      <c r="S10248" s="36">
        <v>47.65</v>
      </c>
      <c r="T10248" s="36">
        <v>39.06</v>
      </c>
      <c r="U10248" s="34"/>
      <c r="V10248" s="34"/>
      <c r="W10248" s="34"/>
      <c r="X10248" s="37">
        <v>1.4E-2</v>
      </c>
      <c r="Y10248" s="38">
        <v>4.6E-5</v>
      </c>
      <c r="Z10248" s="21">
        <v>4601004214767</v>
      </c>
    </row>
    <row r="10249" spans="1:26" ht="12" customHeight="1" outlineLevel="4" x14ac:dyDescent="0.2">
      <c r="A10249" s="32" t="s">
        <v>19499</v>
      </c>
      <c r="B10249" s="74" t="s">
        <v>19500</v>
      </c>
      <c r="C10249" s="50"/>
      <c r="D10249" s="53">
        <f t="shared" ref="D10249:D10312" si="160">C10249*(O10249-O10249*$G$3)</f>
        <v>0</v>
      </c>
      <c r="E10249" s="60" t="str">
        <f>HYPERLINK("https://www.sds-group.ru/product/lampa-svetodiodnaya-kapsulnogo-tipa-jd-corn-g9-230v-5vt-2700k-teplyy-svet-polikarbonat-rexa-604-5015/", "Инфо")</f>
        <v>Инфо</v>
      </c>
      <c r="F10249" s="34" t="s">
        <v>39</v>
      </c>
      <c r="G10249" s="33"/>
      <c r="H10249" s="33" t="s">
        <v>40</v>
      </c>
      <c r="I10249" s="33"/>
      <c r="J10249" s="39">
        <v>8904</v>
      </c>
      <c r="K10249" s="33"/>
      <c r="L10249" s="35">
        <v>10</v>
      </c>
      <c r="M10249" s="35">
        <v>10</v>
      </c>
      <c r="N10249" s="35">
        <v>10</v>
      </c>
      <c r="O10249" s="36">
        <v>66.099999999999994</v>
      </c>
      <c r="P10249" s="36">
        <v>54.18</v>
      </c>
      <c r="Q10249" s="36">
        <v>46.27</v>
      </c>
      <c r="R10249" s="36">
        <v>37.93</v>
      </c>
      <c r="S10249" s="36">
        <v>44.95</v>
      </c>
      <c r="T10249" s="36">
        <v>36.840000000000003</v>
      </c>
      <c r="U10249" s="34"/>
      <c r="V10249" s="34"/>
      <c r="W10249" s="34"/>
      <c r="X10249" s="37">
        <v>1.7999999999999999E-2</v>
      </c>
      <c r="Y10249" s="38">
        <v>4.6E-5</v>
      </c>
      <c r="Z10249" s="21">
        <v>4601004214828</v>
      </c>
    </row>
    <row r="10250" spans="1:26" ht="12" customHeight="1" outlineLevel="4" x14ac:dyDescent="0.2">
      <c r="A10250" s="32" t="s">
        <v>19501</v>
      </c>
      <c r="B10250" s="74" t="s">
        <v>19502</v>
      </c>
      <c r="C10250" s="50"/>
      <c r="D10250" s="53">
        <f t="shared" si="160"/>
        <v>0</v>
      </c>
      <c r="E10250" s="60" t="str">
        <f>HYPERLINK("https://www.sds-group.ru/product/lampa-svetodiodnaya-kapsulnogo-tipa-jd-corn-g9-230v-7vt-2700k-teplyy-svet-polikarbonat-rexa-604-5018/", "Инфо")</f>
        <v>Инфо</v>
      </c>
      <c r="F10250" s="34" t="s">
        <v>39</v>
      </c>
      <c r="G10250" s="33"/>
      <c r="H10250" s="33" t="s">
        <v>40</v>
      </c>
      <c r="I10250" s="33"/>
      <c r="J10250" s="39">
        <v>10782</v>
      </c>
      <c r="K10250" s="33"/>
      <c r="L10250" s="35">
        <v>10</v>
      </c>
      <c r="M10250" s="35">
        <v>500</v>
      </c>
      <c r="N10250" s="35">
        <v>10</v>
      </c>
      <c r="O10250" s="36">
        <v>83.05</v>
      </c>
      <c r="P10250" s="36">
        <v>68.069999999999993</v>
      </c>
      <c r="Q10250" s="36">
        <v>58.14</v>
      </c>
      <c r="R10250" s="36">
        <v>47.66</v>
      </c>
      <c r="S10250" s="36">
        <v>56.47</v>
      </c>
      <c r="T10250" s="36">
        <v>46.29</v>
      </c>
      <c r="U10250" s="34"/>
      <c r="V10250" s="34"/>
      <c r="W10250" s="34"/>
      <c r="X10250" s="37">
        <v>3.1E-2</v>
      </c>
      <c r="Y10250" s="38">
        <v>7.6000000000000004E-5</v>
      </c>
      <c r="Z10250" s="21">
        <v>4601004214910</v>
      </c>
    </row>
    <row r="10251" spans="1:26" ht="12.95" customHeight="1" outlineLevel="3" x14ac:dyDescent="0.2">
      <c r="A10251" s="76" t="s">
        <v>19503</v>
      </c>
      <c r="B10251" s="76"/>
      <c r="C10251" s="77"/>
      <c r="D10251" s="58"/>
      <c r="E10251" s="68"/>
      <c r="F10251" s="13"/>
      <c r="G10251" s="13"/>
      <c r="H10251" s="13"/>
      <c r="I10251" s="13"/>
      <c r="J10251" s="13"/>
      <c r="K10251" s="13"/>
      <c r="L10251" s="13"/>
      <c r="M10251" s="13"/>
      <c r="N10251" s="13"/>
      <c r="O10251" s="13"/>
      <c r="P10251" s="13"/>
      <c r="Q10251" s="13"/>
      <c r="R10251" s="13"/>
      <c r="S10251" s="13"/>
      <c r="T10251" s="13"/>
      <c r="U10251" s="13"/>
      <c r="V10251" s="13"/>
      <c r="W10251" s="13"/>
      <c r="X10251" s="13"/>
      <c r="Y10251" s="13"/>
      <c r="Z10251" s="13"/>
    </row>
    <row r="10252" spans="1:26" ht="12" customHeight="1" outlineLevel="4" x14ac:dyDescent="0.2">
      <c r="A10252" s="32" t="s">
        <v>19504</v>
      </c>
      <c r="B10252" s="74" t="s">
        <v>19505</v>
      </c>
      <c r="C10252" s="50"/>
      <c r="D10252" s="53">
        <f t="shared" si="160"/>
        <v>0</v>
      </c>
      <c r="E10252" s="60" t="str">
        <f>HYPERLINK("https://www.sds-group.ru/product/lampa-svetodiodnaya-dlya-rasteniy-grib-reflektor-r90-17-5-vt-27-mkmol-s-e27-rexant-604-156/", "Инфо")</f>
        <v>Инфо</v>
      </c>
      <c r="F10252" s="34" t="s">
        <v>39</v>
      </c>
      <c r="G10252" s="33"/>
      <c r="H10252" s="33" t="s">
        <v>40</v>
      </c>
      <c r="I10252" s="33"/>
      <c r="J10252" s="39">
        <v>3065</v>
      </c>
      <c r="K10252" s="33"/>
      <c r="L10252" s="35">
        <v>1</v>
      </c>
      <c r="M10252" s="35">
        <v>100</v>
      </c>
      <c r="N10252" s="35">
        <v>1</v>
      </c>
      <c r="O10252" s="36">
        <v>167.79</v>
      </c>
      <c r="P10252" s="36">
        <v>137.53</v>
      </c>
      <c r="Q10252" s="36">
        <v>117.45</v>
      </c>
      <c r="R10252" s="36">
        <v>96.27</v>
      </c>
      <c r="S10252" s="36">
        <v>114.1</v>
      </c>
      <c r="T10252" s="36">
        <v>93.52</v>
      </c>
      <c r="U10252" s="34"/>
      <c r="V10252" s="34"/>
      <c r="W10252" s="34"/>
      <c r="X10252" s="37">
        <v>0.14599999999999999</v>
      </c>
      <c r="Y10252" s="38">
        <v>1.3470000000000001E-3</v>
      </c>
      <c r="Z10252" s="21">
        <v>4601004278486</v>
      </c>
    </row>
    <row r="10253" spans="1:26" ht="12" customHeight="1" outlineLevel="4" x14ac:dyDescent="0.2">
      <c r="A10253" s="32" t="s">
        <v>19506</v>
      </c>
      <c r="B10253" s="74" t="s">
        <v>19507</v>
      </c>
      <c r="C10253" s="50"/>
      <c r="D10253" s="53">
        <f t="shared" si="160"/>
        <v>0</v>
      </c>
      <c r="E10253" s="60" t="str">
        <f>HYPERLINK("https://www.sds-group.ru/product/lampa-filamentnaya-dlya-rasteniy-grusha-a60-11-5vt-18-mikromol-s-e27-rexant-24998/", "Инфо")</f>
        <v>Инфо</v>
      </c>
      <c r="F10253" s="34" t="s">
        <v>39</v>
      </c>
      <c r="G10253" s="33"/>
      <c r="H10253" s="33" t="s">
        <v>40</v>
      </c>
      <c r="I10253" s="33"/>
      <c r="J10253" s="35">
        <v>350</v>
      </c>
      <c r="K10253" s="33"/>
      <c r="L10253" s="35">
        <v>10</v>
      </c>
      <c r="M10253" s="35">
        <v>100</v>
      </c>
      <c r="N10253" s="35">
        <v>10</v>
      </c>
      <c r="O10253" s="36">
        <v>264.95999999999998</v>
      </c>
      <c r="P10253" s="36">
        <v>217.18</v>
      </c>
      <c r="Q10253" s="36">
        <v>185.47</v>
      </c>
      <c r="R10253" s="36">
        <v>152.02000000000001</v>
      </c>
      <c r="S10253" s="36">
        <v>180.17</v>
      </c>
      <c r="T10253" s="36">
        <v>147.68</v>
      </c>
      <c r="U10253" s="34"/>
      <c r="V10253" s="34"/>
      <c r="W10253" s="34"/>
      <c r="X10253" s="37">
        <v>5.3999999999999999E-2</v>
      </c>
      <c r="Y10253" s="38">
        <v>5.1599999999999997E-4</v>
      </c>
      <c r="Z10253" s="21">
        <v>4601004186545</v>
      </c>
    </row>
    <row r="10254" spans="1:26" ht="12.95" customHeight="1" outlineLevel="2" x14ac:dyDescent="0.2">
      <c r="A10254" s="76" t="s">
        <v>19508</v>
      </c>
      <c r="B10254" s="76"/>
      <c r="C10254" s="77"/>
      <c r="D10254" s="58"/>
      <c r="E10254" s="68"/>
      <c r="F10254" s="13"/>
      <c r="G10254" s="13"/>
      <c r="H10254" s="13"/>
      <c r="I10254" s="13"/>
      <c r="J10254" s="13"/>
      <c r="K10254" s="13"/>
      <c r="L10254" s="13"/>
      <c r="M10254" s="13"/>
      <c r="N10254" s="13"/>
      <c r="O10254" s="13"/>
      <c r="P10254" s="13"/>
      <c r="Q10254" s="13"/>
      <c r="R10254" s="13"/>
      <c r="S10254" s="13"/>
      <c r="T10254" s="13"/>
      <c r="U10254" s="13"/>
      <c r="V10254" s="13"/>
      <c r="W10254" s="13"/>
      <c r="X10254" s="13"/>
      <c r="Y10254" s="13"/>
      <c r="Z10254" s="13"/>
    </row>
    <row r="10255" spans="1:26" ht="12.95" customHeight="1" outlineLevel="3" x14ac:dyDescent="0.2">
      <c r="A10255" s="76" t="s">
        <v>19509</v>
      </c>
      <c r="B10255" s="76"/>
      <c r="C10255" s="77"/>
      <c r="D10255" s="58"/>
      <c r="E10255" s="68"/>
      <c r="F10255" s="13"/>
      <c r="G10255" s="13"/>
      <c r="H10255" s="13"/>
      <c r="I10255" s="13"/>
      <c r="J10255" s="13"/>
      <c r="K10255" s="13"/>
      <c r="L10255" s="13"/>
      <c r="M10255" s="13"/>
      <c r="N10255" s="13"/>
      <c r="O10255" s="13"/>
      <c r="P10255" s="13"/>
      <c r="Q10255" s="13"/>
      <c r="R10255" s="13"/>
      <c r="S10255" s="13"/>
      <c r="T10255" s="13"/>
      <c r="U10255" s="13"/>
      <c r="V10255" s="13"/>
      <c r="W10255" s="13"/>
      <c r="X10255" s="13"/>
      <c r="Y10255" s="13"/>
      <c r="Z10255" s="13"/>
    </row>
    <row r="10256" spans="1:26" ht="12" customHeight="1" outlineLevel="4" x14ac:dyDescent="0.2">
      <c r="A10256" s="14" t="s">
        <v>19510</v>
      </c>
      <c r="B10256" s="26" t="s">
        <v>19511</v>
      </c>
      <c r="C10256" s="52"/>
      <c r="D10256" s="55">
        <f t="shared" si="160"/>
        <v>0</v>
      </c>
      <c r="E10256" s="63" t="str">
        <f>HYPERLINK("https://www.sds-group.ru/product/panel-svetodiodnaya-vstraivaemaya-kruglaya-12vt-230v-4000k-960lm-145mm-belaya-ip20-lamper-606-1008/", "Инфо")</f>
        <v>Инфо</v>
      </c>
      <c r="F10256" s="16" t="s">
        <v>39</v>
      </c>
      <c r="G10256" s="15"/>
      <c r="H10256" s="15"/>
      <c r="I10256" s="15"/>
      <c r="J10256" s="17">
        <v>36</v>
      </c>
      <c r="K10256" s="15" t="s">
        <v>3319</v>
      </c>
      <c r="L10256" s="17">
        <v>5</v>
      </c>
      <c r="M10256" s="17">
        <v>60</v>
      </c>
      <c r="N10256" s="17">
        <v>5</v>
      </c>
      <c r="O10256" s="18">
        <v>295.74</v>
      </c>
      <c r="P10256" s="18">
        <v>242.41</v>
      </c>
      <c r="Q10256" s="18">
        <v>295.74</v>
      </c>
      <c r="R10256" s="18">
        <v>242.41</v>
      </c>
      <c r="S10256" s="18">
        <v>201.1</v>
      </c>
      <c r="T10256" s="18">
        <v>164.84</v>
      </c>
      <c r="U10256" s="16"/>
      <c r="V10256" s="16"/>
      <c r="W10256" s="16" t="s">
        <v>40</v>
      </c>
      <c r="X10256" s="19">
        <v>0.13900000000000001</v>
      </c>
      <c r="Y10256" s="20">
        <v>9.7000000000000005E-4</v>
      </c>
      <c r="Z10256" s="21">
        <v>4601004300491</v>
      </c>
    </row>
    <row r="10257" spans="1:26" ht="12" customHeight="1" outlineLevel="4" x14ac:dyDescent="0.2">
      <c r="A10257" s="14" t="s">
        <v>19512</v>
      </c>
      <c r="B10257" s="26" t="s">
        <v>19513</v>
      </c>
      <c r="C10257" s="52"/>
      <c r="D10257" s="55">
        <f t="shared" si="160"/>
        <v>0</v>
      </c>
      <c r="E10257" s="63" t="str">
        <f>HYPERLINK("https://www.sds-group.ru/product/panel-svetodiodnaya-vstraivaemaya-kruglaya-12vt-230v-6500k-960lm-145mm-belaya-ip20-lamper-606-1009/", "Инфо")</f>
        <v>Инфо</v>
      </c>
      <c r="F10257" s="16" t="s">
        <v>39</v>
      </c>
      <c r="G10257" s="15"/>
      <c r="H10257" s="15"/>
      <c r="I10257" s="15"/>
      <c r="J10257" s="17">
        <v>98</v>
      </c>
      <c r="K10257" s="15" t="s">
        <v>3319</v>
      </c>
      <c r="L10257" s="17">
        <v>5</v>
      </c>
      <c r="M10257" s="17">
        <v>60</v>
      </c>
      <c r="N10257" s="17">
        <v>5</v>
      </c>
      <c r="O10257" s="18">
        <v>263.94</v>
      </c>
      <c r="P10257" s="18">
        <v>216.34</v>
      </c>
      <c r="Q10257" s="18">
        <v>263.94</v>
      </c>
      <c r="R10257" s="18">
        <v>216.34</v>
      </c>
      <c r="S10257" s="18">
        <v>179.48</v>
      </c>
      <c r="T10257" s="18">
        <v>147.11000000000001</v>
      </c>
      <c r="U10257" s="16"/>
      <c r="V10257" s="16"/>
      <c r="W10257" s="16" t="s">
        <v>40</v>
      </c>
      <c r="X10257" s="19">
        <v>0.14000000000000001</v>
      </c>
      <c r="Y10257" s="20">
        <v>9.5799999999999998E-4</v>
      </c>
      <c r="Z10257" s="21">
        <v>4601004300507</v>
      </c>
    </row>
    <row r="10258" spans="1:26" ht="12" customHeight="1" outlineLevel="4" x14ac:dyDescent="0.2">
      <c r="A10258" s="14" t="s">
        <v>19514</v>
      </c>
      <c r="B10258" s="26" t="s">
        <v>19515</v>
      </c>
      <c r="C10258" s="52"/>
      <c r="D10258" s="55">
        <f t="shared" si="160"/>
        <v>0</v>
      </c>
      <c r="E10258" s="63" t="str">
        <f>HYPERLINK("https://www.sds-group.ru/product/panel-svetodiodnaya-vstraivaemaya-kruglaya-18vt-230v-4000k-1440lm-185mm-belaya-ip20-lamper-606-1010/", "Инфо")</f>
        <v>Инфо</v>
      </c>
      <c r="F10258" s="16" t="s">
        <v>39</v>
      </c>
      <c r="G10258" s="15"/>
      <c r="H10258" s="15"/>
      <c r="I10258" s="15"/>
      <c r="J10258" s="17">
        <v>224</v>
      </c>
      <c r="K10258" s="15" t="s">
        <v>6434</v>
      </c>
      <c r="L10258" s="17">
        <v>5</v>
      </c>
      <c r="M10258" s="17">
        <v>30</v>
      </c>
      <c r="N10258" s="17">
        <v>5</v>
      </c>
      <c r="O10258" s="18">
        <v>355.86</v>
      </c>
      <c r="P10258" s="18">
        <v>291.69</v>
      </c>
      <c r="Q10258" s="18">
        <v>249.1</v>
      </c>
      <c r="R10258" s="18">
        <v>204.18</v>
      </c>
      <c r="S10258" s="18">
        <v>241.98</v>
      </c>
      <c r="T10258" s="18">
        <v>198.34</v>
      </c>
      <c r="U10258" s="16"/>
      <c r="V10258" s="16"/>
      <c r="W10258" s="16"/>
      <c r="X10258" s="19">
        <v>0.22</v>
      </c>
      <c r="Y10258" s="20">
        <v>1.624E-3</v>
      </c>
      <c r="Z10258" s="21">
        <v>4601004300514</v>
      </c>
    </row>
    <row r="10259" spans="1:26" ht="12" customHeight="1" outlineLevel="4" x14ac:dyDescent="0.2">
      <c r="A10259" s="14" t="s">
        <v>19516</v>
      </c>
      <c r="B10259" s="26" t="s">
        <v>19517</v>
      </c>
      <c r="C10259" s="52"/>
      <c r="D10259" s="55">
        <f t="shared" si="160"/>
        <v>0</v>
      </c>
      <c r="E10259" s="63" t="str">
        <f>HYPERLINK("https://www.sds-group.ru/product/panel-svetodiodnaya-vstraivaemaya-kruglaya-18vt-230v-6500k-1440lm-185mm-belaya-ip20-lamper-606-1011/", "Инфо")</f>
        <v>Инфо</v>
      </c>
      <c r="F10259" s="16" t="s">
        <v>39</v>
      </c>
      <c r="G10259" s="15"/>
      <c r="H10259" s="15"/>
      <c r="I10259" s="15"/>
      <c r="J10259" s="16" t="s">
        <v>100</v>
      </c>
      <c r="K10259" s="15" t="s">
        <v>6434</v>
      </c>
      <c r="L10259" s="17">
        <v>5</v>
      </c>
      <c r="M10259" s="17">
        <v>30</v>
      </c>
      <c r="N10259" s="17">
        <v>5</v>
      </c>
      <c r="O10259" s="18">
        <v>355.86</v>
      </c>
      <c r="P10259" s="18">
        <v>291.69</v>
      </c>
      <c r="Q10259" s="18">
        <v>249.1</v>
      </c>
      <c r="R10259" s="18">
        <v>204.18</v>
      </c>
      <c r="S10259" s="18">
        <v>241.98</v>
      </c>
      <c r="T10259" s="18">
        <v>198.34</v>
      </c>
      <c r="U10259" s="16"/>
      <c r="V10259" s="16"/>
      <c r="W10259" s="16"/>
      <c r="X10259" s="19">
        <v>0.22</v>
      </c>
      <c r="Y10259" s="20">
        <v>1.5709999999999999E-3</v>
      </c>
      <c r="Z10259" s="21">
        <v>4601004300521</v>
      </c>
    </row>
    <row r="10260" spans="1:26" ht="12" customHeight="1" outlineLevel="4" x14ac:dyDescent="0.2">
      <c r="A10260" s="14" t="s">
        <v>19518</v>
      </c>
      <c r="B10260" s="26" t="s">
        <v>19519</v>
      </c>
      <c r="C10260" s="52"/>
      <c r="D10260" s="55">
        <f t="shared" si="160"/>
        <v>0</v>
      </c>
      <c r="E10260" s="63" t="str">
        <f>HYPERLINK("https://www.sds-group.ru/product/panel-svetodiodnaya-vstraivaemaya-kruglaya-24vt-230v-4000k-1920lm-220mm-belaya-ip20-lamper-606-1012/", "Инфо")</f>
        <v>Инфо</v>
      </c>
      <c r="F10260" s="16" t="s">
        <v>39</v>
      </c>
      <c r="G10260" s="15"/>
      <c r="H10260" s="15"/>
      <c r="I10260" s="15"/>
      <c r="J10260" s="17">
        <v>923</v>
      </c>
      <c r="K10260" s="15"/>
      <c r="L10260" s="17">
        <v>5</v>
      </c>
      <c r="M10260" s="17">
        <v>30</v>
      </c>
      <c r="N10260" s="17">
        <v>5</v>
      </c>
      <c r="O10260" s="18">
        <v>501.68</v>
      </c>
      <c r="P10260" s="18">
        <v>411.21</v>
      </c>
      <c r="Q10260" s="18">
        <v>351.18</v>
      </c>
      <c r="R10260" s="18">
        <v>287.85000000000002</v>
      </c>
      <c r="S10260" s="18">
        <v>341.14</v>
      </c>
      <c r="T10260" s="18">
        <v>279.62</v>
      </c>
      <c r="U10260" s="16"/>
      <c r="V10260" s="16"/>
      <c r="W10260" s="16"/>
      <c r="X10260" s="19">
        <v>0.313</v>
      </c>
      <c r="Y10260" s="20">
        <v>2.3830000000000001E-3</v>
      </c>
      <c r="Z10260" s="21">
        <v>4601004300538</v>
      </c>
    </row>
    <row r="10261" spans="1:26" ht="12" customHeight="1" outlineLevel="4" x14ac:dyDescent="0.2">
      <c r="A10261" s="14" t="s">
        <v>19520</v>
      </c>
      <c r="B10261" s="26" t="s">
        <v>19521</v>
      </c>
      <c r="C10261" s="52"/>
      <c r="D10261" s="55">
        <f t="shared" si="160"/>
        <v>0</v>
      </c>
      <c r="E10261" s="63" t="str">
        <f>HYPERLINK("https://www.sds-group.ru/product/panel-svetodiodnaya-vstraivaemaya-kruglaya-24vt-230v-6500k-1920lm-220mm-belaya-ip20-lamper-606-1013/", "Инфо")</f>
        <v>Инфо</v>
      </c>
      <c r="F10261" s="16" t="s">
        <v>39</v>
      </c>
      <c r="G10261" s="15"/>
      <c r="H10261" s="15"/>
      <c r="I10261" s="15"/>
      <c r="J10261" s="17">
        <v>510</v>
      </c>
      <c r="K10261" s="15"/>
      <c r="L10261" s="17">
        <v>5</v>
      </c>
      <c r="M10261" s="17">
        <v>30</v>
      </c>
      <c r="N10261" s="17">
        <v>5</v>
      </c>
      <c r="O10261" s="18">
        <v>501.68</v>
      </c>
      <c r="P10261" s="18">
        <v>411.21</v>
      </c>
      <c r="Q10261" s="18">
        <v>351.18</v>
      </c>
      <c r="R10261" s="18">
        <v>287.85000000000002</v>
      </c>
      <c r="S10261" s="18">
        <v>341.14</v>
      </c>
      <c r="T10261" s="18">
        <v>279.62</v>
      </c>
      <c r="U10261" s="16"/>
      <c r="V10261" s="16"/>
      <c r="W10261" s="16"/>
      <c r="X10261" s="19">
        <v>0.313</v>
      </c>
      <c r="Y10261" s="20">
        <v>2.3969999999999998E-3</v>
      </c>
      <c r="Z10261" s="21">
        <v>4601004300545</v>
      </c>
    </row>
    <row r="10262" spans="1:26" ht="12" customHeight="1" outlineLevel="4" x14ac:dyDescent="0.2">
      <c r="A10262" s="14" t="s">
        <v>19522</v>
      </c>
      <c r="B10262" s="26" t="s">
        <v>19523</v>
      </c>
      <c r="C10262" s="52"/>
      <c r="D10262" s="55">
        <f t="shared" si="160"/>
        <v>0</v>
      </c>
      <c r="E10262" s="63" t="str">
        <f>HYPERLINK("https://www.sds-group.ru/product/panel-svetodiodnaya-vstraivaemaya-kruglaya-6vt-230v-4000k-420lm-95mm-belaya-ip20-lamper-606-1004/", "Инфо")</f>
        <v>Инфо</v>
      </c>
      <c r="F10262" s="16" t="s">
        <v>39</v>
      </c>
      <c r="G10262" s="15"/>
      <c r="H10262" s="15"/>
      <c r="I10262" s="15"/>
      <c r="J10262" s="17">
        <v>12</v>
      </c>
      <c r="K10262" s="15" t="s">
        <v>1266</v>
      </c>
      <c r="L10262" s="17">
        <v>10</v>
      </c>
      <c r="M10262" s="17">
        <v>100</v>
      </c>
      <c r="N10262" s="17">
        <v>10</v>
      </c>
      <c r="O10262" s="18">
        <v>168.92</v>
      </c>
      <c r="P10262" s="18">
        <v>138.46</v>
      </c>
      <c r="Q10262" s="18">
        <v>143.58000000000001</v>
      </c>
      <c r="R10262" s="18">
        <v>117.69</v>
      </c>
      <c r="S10262" s="18">
        <v>114.87</v>
      </c>
      <c r="T10262" s="18">
        <v>94.16</v>
      </c>
      <c r="U10262" s="16"/>
      <c r="V10262" s="16"/>
      <c r="W10262" s="16" t="s">
        <v>40</v>
      </c>
      <c r="X10262" s="19">
        <v>6.6000000000000003E-2</v>
      </c>
      <c r="Y10262" s="20">
        <v>4.44E-4</v>
      </c>
      <c r="Z10262" s="21">
        <v>4601004300453</v>
      </c>
    </row>
    <row r="10263" spans="1:26" ht="12" customHeight="1" outlineLevel="4" x14ac:dyDescent="0.2">
      <c r="A10263" s="14" t="s">
        <v>19524</v>
      </c>
      <c r="B10263" s="26" t="s">
        <v>19525</v>
      </c>
      <c r="C10263" s="52"/>
      <c r="D10263" s="55">
        <f t="shared" si="160"/>
        <v>0</v>
      </c>
      <c r="E10263" s="63" t="str">
        <f>HYPERLINK("https://www.sds-group.ru/product/panel-svetodiodnaya-vstraivaemaya-kruglaya-6vt-230v-6500k-420lm-95mm-belaya-ip20-lamper-606-1005/", "Инфо")</f>
        <v>Инфо</v>
      </c>
      <c r="F10263" s="16" t="s">
        <v>39</v>
      </c>
      <c r="G10263" s="15"/>
      <c r="H10263" s="15"/>
      <c r="I10263" s="15"/>
      <c r="J10263" s="17">
        <v>2</v>
      </c>
      <c r="K10263" s="15" t="s">
        <v>1266</v>
      </c>
      <c r="L10263" s="17">
        <v>10</v>
      </c>
      <c r="M10263" s="17">
        <v>100</v>
      </c>
      <c r="N10263" s="17">
        <v>10</v>
      </c>
      <c r="O10263" s="18">
        <v>168.92</v>
      </c>
      <c r="P10263" s="18">
        <v>138.46</v>
      </c>
      <c r="Q10263" s="18">
        <v>143.58000000000001</v>
      </c>
      <c r="R10263" s="18">
        <v>117.69</v>
      </c>
      <c r="S10263" s="18">
        <v>114.87</v>
      </c>
      <c r="T10263" s="18">
        <v>94.16</v>
      </c>
      <c r="U10263" s="16"/>
      <c r="V10263" s="16"/>
      <c r="W10263" s="16" t="s">
        <v>40</v>
      </c>
      <c r="X10263" s="19">
        <v>6.6000000000000003E-2</v>
      </c>
      <c r="Y10263" s="20">
        <v>4.4499999999999997E-4</v>
      </c>
      <c r="Z10263" s="21">
        <v>4601004300460</v>
      </c>
    </row>
    <row r="10264" spans="1:26" ht="12" customHeight="1" outlineLevel="4" x14ac:dyDescent="0.2">
      <c r="A10264" s="14" t="s">
        <v>19526</v>
      </c>
      <c r="B10264" s="26" t="s">
        <v>19527</v>
      </c>
      <c r="C10264" s="52"/>
      <c r="D10264" s="55">
        <f t="shared" si="160"/>
        <v>0</v>
      </c>
      <c r="E10264" s="63" t="str">
        <f>HYPERLINK("https://www.sds-group.ru/product/panel-svetodiodnaya-vstraivaemaya-kruglaya-9vt-230v-4000k-630lm-118mm-belaya-ip20-lamper-606-1006/", "Инфо")</f>
        <v>Инфо</v>
      </c>
      <c r="F10264" s="16" t="s">
        <v>39</v>
      </c>
      <c r="G10264" s="15"/>
      <c r="H10264" s="15"/>
      <c r="I10264" s="15"/>
      <c r="J10264" s="16" t="s">
        <v>100</v>
      </c>
      <c r="K10264" s="15" t="s">
        <v>1266</v>
      </c>
      <c r="L10264" s="17">
        <v>5</v>
      </c>
      <c r="M10264" s="17">
        <v>80</v>
      </c>
      <c r="N10264" s="17">
        <v>5</v>
      </c>
      <c r="O10264" s="18">
        <v>254.4</v>
      </c>
      <c r="P10264" s="18">
        <v>208.52</v>
      </c>
      <c r="Q10264" s="18">
        <v>254.4</v>
      </c>
      <c r="R10264" s="18">
        <v>208.52</v>
      </c>
      <c r="S10264" s="18">
        <v>172.99</v>
      </c>
      <c r="T10264" s="18">
        <v>141.80000000000001</v>
      </c>
      <c r="U10264" s="16"/>
      <c r="V10264" s="16"/>
      <c r="W10264" s="16" t="s">
        <v>40</v>
      </c>
      <c r="X10264" s="19">
        <v>0.09</v>
      </c>
      <c r="Y10264" s="20">
        <v>6.5099999999999999E-4</v>
      </c>
      <c r="Z10264" s="21">
        <v>4601004300477</v>
      </c>
    </row>
    <row r="10265" spans="1:26" ht="12" customHeight="1" outlineLevel="4" x14ac:dyDescent="0.2">
      <c r="A10265" s="14" t="s">
        <v>19528</v>
      </c>
      <c r="B10265" s="26" t="s">
        <v>19529</v>
      </c>
      <c r="C10265" s="52"/>
      <c r="D10265" s="55">
        <f t="shared" si="160"/>
        <v>0</v>
      </c>
      <c r="E10265" s="63" t="str">
        <f>HYPERLINK("https://www.sds-group.ru/product/panel-svetodiodnaya-vstraivaemaya-kruglaya-9vt-230v-6500k-630lm-118mm-belaya-ip20-lamper-606-1007/", "Инфо")</f>
        <v>Инфо</v>
      </c>
      <c r="F10265" s="16" t="s">
        <v>39</v>
      </c>
      <c r="G10265" s="15"/>
      <c r="H10265" s="15"/>
      <c r="I10265" s="15"/>
      <c r="J10265" s="16" t="s">
        <v>100</v>
      </c>
      <c r="K10265" s="15" t="s">
        <v>1266</v>
      </c>
      <c r="L10265" s="17">
        <v>5</v>
      </c>
      <c r="M10265" s="17">
        <v>80</v>
      </c>
      <c r="N10265" s="17">
        <v>5</v>
      </c>
      <c r="O10265" s="18">
        <v>254.4</v>
      </c>
      <c r="P10265" s="18">
        <v>208.52</v>
      </c>
      <c r="Q10265" s="18">
        <v>254.4</v>
      </c>
      <c r="R10265" s="18">
        <v>208.52</v>
      </c>
      <c r="S10265" s="18">
        <v>172.99</v>
      </c>
      <c r="T10265" s="18">
        <v>141.80000000000001</v>
      </c>
      <c r="U10265" s="16"/>
      <c r="V10265" s="16"/>
      <c r="W10265" s="16" t="s">
        <v>40</v>
      </c>
      <c r="X10265" s="19">
        <v>8.8999999999999996E-2</v>
      </c>
      <c r="Y10265" s="20">
        <v>6.4400000000000004E-4</v>
      </c>
      <c r="Z10265" s="21">
        <v>4601004300484</v>
      </c>
    </row>
    <row r="10266" spans="1:26" ht="12.95" customHeight="1" outlineLevel="2" x14ac:dyDescent="0.2">
      <c r="A10266" s="76" t="s">
        <v>19530</v>
      </c>
      <c r="B10266" s="76"/>
      <c r="C10266" s="77"/>
      <c r="D10266" s="58"/>
      <c r="E10266" s="68"/>
      <c r="F10266" s="13"/>
      <c r="G10266" s="13"/>
      <c r="H10266" s="13"/>
      <c r="I10266" s="13"/>
      <c r="J10266" s="13"/>
      <c r="K10266" s="13"/>
      <c r="L10266" s="13"/>
      <c r="M10266" s="13"/>
      <c r="N10266" s="13"/>
      <c r="O10266" s="13"/>
      <c r="P10266" s="13"/>
      <c r="Q10266" s="13"/>
      <c r="R10266" s="13"/>
      <c r="S10266" s="13"/>
      <c r="T10266" s="13"/>
      <c r="U10266" s="13"/>
      <c r="V10266" s="13"/>
      <c r="W10266" s="13"/>
      <c r="X10266" s="13"/>
      <c r="Y10266" s="13"/>
      <c r="Z10266" s="13"/>
    </row>
    <row r="10267" spans="1:26" ht="12.95" customHeight="1" outlineLevel="3" x14ac:dyDescent="0.2">
      <c r="A10267" s="76" t="s">
        <v>19531</v>
      </c>
      <c r="B10267" s="76"/>
      <c r="C10267" s="77"/>
      <c r="D10267" s="58"/>
      <c r="E10267" s="68"/>
      <c r="F10267" s="13"/>
      <c r="G10267" s="13"/>
      <c r="H10267" s="13"/>
      <c r="I10267" s="13"/>
      <c r="J10267" s="13"/>
      <c r="K10267" s="13"/>
      <c r="L10267" s="13"/>
      <c r="M10267" s="13"/>
      <c r="N10267" s="13"/>
      <c r="O10267" s="13"/>
      <c r="P10267" s="13"/>
      <c r="Q10267" s="13"/>
      <c r="R10267" s="13"/>
      <c r="S10267" s="13"/>
      <c r="T10267" s="13"/>
      <c r="U10267" s="13"/>
      <c r="V10267" s="13"/>
      <c r="W10267" s="13"/>
      <c r="X10267" s="13"/>
      <c r="Y10267" s="13"/>
      <c r="Z10267" s="13"/>
    </row>
    <row r="10268" spans="1:26" ht="12" customHeight="1" outlineLevel="4" x14ac:dyDescent="0.2">
      <c r="A10268" s="14" t="s">
        <v>19532</v>
      </c>
      <c r="B10268" s="26" t="s">
        <v>19533</v>
      </c>
      <c r="C10268" s="52"/>
      <c r="D10268" s="55">
        <f t="shared" si="160"/>
        <v>0</v>
      </c>
      <c r="E10268" s="63" t="str">
        <f>HYPERLINK("https://www.sds-group.ru/product/svetilnik-lineynyy-spo-opal-ip20-18vt-185-265v-4000k-neytralnyy-svet-0-6m-rexant-607-011/", "Инфо")</f>
        <v>Инфо</v>
      </c>
      <c r="F10268" s="16" t="s">
        <v>39</v>
      </c>
      <c r="G10268" s="15"/>
      <c r="H10268" s="15"/>
      <c r="I10268" s="15"/>
      <c r="J10268" s="16" t="s">
        <v>100</v>
      </c>
      <c r="K10268" s="15" t="s">
        <v>1266</v>
      </c>
      <c r="L10268" s="17">
        <v>5</v>
      </c>
      <c r="M10268" s="17">
        <v>20</v>
      </c>
      <c r="N10268" s="17">
        <v>5</v>
      </c>
      <c r="O10268" s="18">
        <v>366.65</v>
      </c>
      <c r="P10268" s="18">
        <v>300.52999999999997</v>
      </c>
      <c r="Q10268" s="18">
        <v>311.64999999999998</v>
      </c>
      <c r="R10268" s="18">
        <v>255.45</v>
      </c>
      <c r="S10268" s="18">
        <v>249.32</v>
      </c>
      <c r="T10268" s="18">
        <v>204.36</v>
      </c>
      <c r="U10268" s="16"/>
      <c r="V10268" s="16"/>
      <c r="W10268" s="16" t="s">
        <v>40</v>
      </c>
      <c r="X10268" s="19">
        <v>0.16800000000000001</v>
      </c>
      <c r="Y10268" s="20">
        <v>1.073E-3</v>
      </c>
      <c r="Z10268" s="21">
        <v>4601004168541</v>
      </c>
    </row>
    <row r="10269" spans="1:26" ht="12" customHeight="1" outlineLevel="4" x14ac:dyDescent="0.2">
      <c r="A10269" s="14" t="s">
        <v>19534</v>
      </c>
      <c r="B10269" s="26" t="s">
        <v>19535</v>
      </c>
      <c r="C10269" s="52"/>
      <c r="D10269" s="55">
        <f t="shared" si="160"/>
        <v>0</v>
      </c>
      <c r="E10269" s="63" t="str">
        <f>HYPERLINK("https://www.sds-group.ru/product/svetilnik-lineynyy-spo-opal-ip20-18vt-185-265v-6500k-holodnyy-svet-0-6m-rexant-607-013/", "Инфо")</f>
        <v>Инфо</v>
      </c>
      <c r="F10269" s="16" t="s">
        <v>39</v>
      </c>
      <c r="G10269" s="15"/>
      <c r="H10269" s="15"/>
      <c r="I10269" s="15"/>
      <c r="J10269" s="17">
        <v>477</v>
      </c>
      <c r="K10269" s="15" t="s">
        <v>3319</v>
      </c>
      <c r="L10269" s="17">
        <v>5</v>
      </c>
      <c r="M10269" s="17">
        <v>20</v>
      </c>
      <c r="N10269" s="17">
        <v>5</v>
      </c>
      <c r="O10269" s="18">
        <v>371.76</v>
      </c>
      <c r="P10269" s="18">
        <v>304.72000000000003</v>
      </c>
      <c r="Q10269" s="18">
        <v>316</v>
      </c>
      <c r="R10269" s="18">
        <v>259.02</v>
      </c>
      <c r="S10269" s="18">
        <v>252.8</v>
      </c>
      <c r="T10269" s="18">
        <v>207.21</v>
      </c>
      <c r="U10269" s="16"/>
      <c r="V10269" s="16"/>
      <c r="W10269" s="16" t="s">
        <v>40</v>
      </c>
      <c r="X10269" s="19">
        <v>0.16700000000000001</v>
      </c>
      <c r="Y10269" s="20">
        <v>1.122E-3</v>
      </c>
      <c r="Z10269" s="21">
        <v>4601004168565</v>
      </c>
    </row>
    <row r="10270" spans="1:26" ht="12" customHeight="1" outlineLevel="4" x14ac:dyDescent="0.2">
      <c r="A10270" s="14" t="s">
        <v>19536</v>
      </c>
      <c r="B10270" s="26" t="s">
        <v>19537</v>
      </c>
      <c r="C10270" s="52"/>
      <c r="D10270" s="55">
        <f t="shared" si="160"/>
        <v>0</v>
      </c>
      <c r="E10270" s="63" t="str">
        <f>HYPERLINK("https://www.sds-group.ru/product/svetilnik-lineynyy-spo-opal-ip20-36vt-185-265v-4000k-neytralnyy-svet-1-2m-rexant-607-012/", "Инфо")</f>
        <v>Инфо</v>
      </c>
      <c r="F10270" s="16" t="s">
        <v>39</v>
      </c>
      <c r="G10270" s="15"/>
      <c r="H10270" s="15"/>
      <c r="I10270" s="15"/>
      <c r="J10270" s="22">
        <v>2308</v>
      </c>
      <c r="K10270" s="15"/>
      <c r="L10270" s="17">
        <v>1</v>
      </c>
      <c r="M10270" s="17">
        <v>20</v>
      </c>
      <c r="N10270" s="17">
        <v>1</v>
      </c>
      <c r="O10270" s="18">
        <v>529.51</v>
      </c>
      <c r="P10270" s="18">
        <v>434.02</v>
      </c>
      <c r="Q10270" s="18">
        <v>423.61</v>
      </c>
      <c r="R10270" s="18">
        <v>347.22</v>
      </c>
      <c r="S10270" s="18">
        <v>360.07</v>
      </c>
      <c r="T10270" s="18">
        <v>295.14</v>
      </c>
      <c r="U10270" s="16"/>
      <c r="V10270" s="16"/>
      <c r="W10270" s="16" t="s">
        <v>40</v>
      </c>
      <c r="X10270" s="19">
        <v>0.28000000000000003</v>
      </c>
      <c r="Y10270" s="20">
        <v>2.4710000000000001E-3</v>
      </c>
      <c r="Z10270" s="21">
        <v>4601004168558</v>
      </c>
    </row>
    <row r="10271" spans="1:26" ht="12" customHeight="1" outlineLevel="4" x14ac:dyDescent="0.2">
      <c r="A10271" s="14" t="s">
        <v>19538</v>
      </c>
      <c r="B10271" s="26" t="s">
        <v>19539</v>
      </c>
      <c r="C10271" s="52"/>
      <c r="D10271" s="55">
        <f t="shared" si="160"/>
        <v>0</v>
      </c>
      <c r="E10271" s="63" t="str">
        <f>HYPERLINK("https://www.sds-group.ru/product/svetilnik-lineynyy-spo-opal-ip20-36vt-185-265v-6500k-holodnyy-svet-1-2m-rexant-607-014/", "Инфо")</f>
        <v>Инфо</v>
      </c>
      <c r="F10271" s="16" t="s">
        <v>39</v>
      </c>
      <c r="G10271" s="15"/>
      <c r="H10271" s="15"/>
      <c r="I10271" s="15"/>
      <c r="J10271" s="22">
        <v>1143</v>
      </c>
      <c r="K10271" s="15" t="s">
        <v>3319</v>
      </c>
      <c r="L10271" s="17">
        <v>1</v>
      </c>
      <c r="M10271" s="17">
        <v>20</v>
      </c>
      <c r="N10271" s="17">
        <v>1</v>
      </c>
      <c r="O10271" s="18">
        <v>529.51</v>
      </c>
      <c r="P10271" s="18">
        <v>434.02</v>
      </c>
      <c r="Q10271" s="18">
        <v>423.61</v>
      </c>
      <c r="R10271" s="18">
        <v>347.22</v>
      </c>
      <c r="S10271" s="18">
        <v>360.07</v>
      </c>
      <c r="T10271" s="18">
        <v>295.14</v>
      </c>
      <c r="U10271" s="16"/>
      <c r="V10271" s="16"/>
      <c r="W10271" s="16" t="s">
        <v>40</v>
      </c>
      <c r="X10271" s="19">
        <v>0.28299999999999997</v>
      </c>
      <c r="Y10271" s="20">
        <v>2.47E-3</v>
      </c>
      <c r="Z10271" s="21">
        <v>4601004168572</v>
      </c>
    </row>
    <row r="10272" spans="1:26" ht="12" customHeight="1" outlineLevel="4" x14ac:dyDescent="0.2">
      <c r="A10272" s="14" t="s">
        <v>19540</v>
      </c>
      <c r="B10272" s="26" t="s">
        <v>19541</v>
      </c>
      <c r="C10272" s="52"/>
      <c r="D10272" s="55">
        <f t="shared" si="160"/>
        <v>0</v>
      </c>
      <c r="E10272" s="63" t="str">
        <f>HYPERLINK("https://www.sds-group.ru/product/svetilnik-lineynyy-spo-opal-ip20-36vt-185-265v-6500k-holodnyy-svet-1-2m-hit-prodazh-rexant-607-002/", "Инфо")</f>
        <v>Инфо</v>
      </c>
      <c r="F10272" s="16" t="s">
        <v>39</v>
      </c>
      <c r="G10272" s="15"/>
      <c r="H10272" s="15"/>
      <c r="I10272" s="15"/>
      <c r="J10272" s="16" t="s">
        <v>100</v>
      </c>
      <c r="K10272" s="15" t="s">
        <v>1266</v>
      </c>
      <c r="L10272" s="17">
        <v>5</v>
      </c>
      <c r="M10272" s="17">
        <v>20</v>
      </c>
      <c r="N10272" s="17">
        <v>5</v>
      </c>
      <c r="O10272" s="18">
        <v>529.51</v>
      </c>
      <c r="P10272" s="18">
        <v>434.02</v>
      </c>
      <c r="Q10272" s="18">
        <v>423.61</v>
      </c>
      <c r="R10272" s="18">
        <v>347.22</v>
      </c>
      <c r="S10272" s="18">
        <v>360.07</v>
      </c>
      <c r="T10272" s="18">
        <v>295.14</v>
      </c>
      <c r="U10272" s="16"/>
      <c r="V10272" s="16"/>
      <c r="W10272" s="16" t="s">
        <v>40</v>
      </c>
      <c r="X10272" s="19">
        <v>0.33600000000000002</v>
      </c>
      <c r="Y10272" s="20">
        <v>2.5630000000000002E-3</v>
      </c>
      <c r="Z10272" s="21">
        <v>4601004168534</v>
      </c>
    </row>
    <row r="10273" spans="1:26" ht="12" customHeight="1" outlineLevel="4" x14ac:dyDescent="0.2">
      <c r="A10273" s="14" t="s">
        <v>19542</v>
      </c>
      <c r="B10273" s="26" t="s">
        <v>19543</v>
      </c>
      <c r="C10273" s="52"/>
      <c r="D10273" s="55">
        <f t="shared" si="160"/>
        <v>0</v>
      </c>
      <c r="E10273" s="63" t="str">
        <f>HYPERLINK("https://www.sds-group.ru/product/svetilnik-lineynyy-spo-opal-ip20-55vt-185-265v-4000k-neytralnyy-svet-1-2m-rexant-607-021/", "Инфо")</f>
        <v>Инфо</v>
      </c>
      <c r="F10273" s="16" t="s">
        <v>39</v>
      </c>
      <c r="G10273" s="15"/>
      <c r="H10273" s="15"/>
      <c r="I10273" s="15"/>
      <c r="J10273" s="16" t="s">
        <v>100</v>
      </c>
      <c r="K10273" s="15" t="s">
        <v>1266</v>
      </c>
      <c r="L10273" s="17">
        <v>1</v>
      </c>
      <c r="M10273" s="17">
        <v>20</v>
      </c>
      <c r="N10273" s="17">
        <v>1</v>
      </c>
      <c r="O10273" s="18">
        <v>569.82000000000005</v>
      </c>
      <c r="P10273" s="18">
        <v>467.07</v>
      </c>
      <c r="Q10273" s="18">
        <v>455.86</v>
      </c>
      <c r="R10273" s="18">
        <v>373.66</v>
      </c>
      <c r="S10273" s="18">
        <v>387.48</v>
      </c>
      <c r="T10273" s="18">
        <v>317.61</v>
      </c>
      <c r="U10273" s="16"/>
      <c r="V10273" s="16"/>
      <c r="W10273" s="16" t="s">
        <v>40</v>
      </c>
      <c r="X10273" s="19">
        <v>0.35599999999999998</v>
      </c>
      <c r="Y10273" s="20">
        <v>2.369E-3</v>
      </c>
      <c r="Z10273" s="21">
        <v>4601004197411</v>
      </c>
    </row>
    <row r="10274" spans="1:26" ht="12" customHeight="1" outlineLevel="4" x14ac:dyDescent="0.2">
      <c r="A10274" s="14" t="s">
        <v>19544</v>
      </c>
      <c r="B10274" s="26" t="s">
        <v>19545</v>
      </c>
      <c r="C10274" s="52"/>
      <c r="D10274" s="55">
        <f t="shared" si="160"/>
        <v>0</v>
      </c>
      <c r="E10274" s="63" t="str">
        <f>HYPERLINK("https://www.sds-group.ru/product/svetilnik-lineynyy-spo-opal-ip20-55vt-185-265v-6500k-holodnyy-svet-1-2m-rexant-607-022/", "Инфо")</f>
        <v>Инфо</v>
      </c>
      <c r="F10274" s="16" t="s">
        <v>39</v>
      </c>
      <c r="G10274" s="15"/>
      <c r="H10274" s="15"/>
      <c r="I10274" s="15"/>
      <c r="J10274" s="16" t="s">
        <v>100</v>
      </c>
      <c r="K10274" s="15" t="s">
        <v>3319</v>
      </c>
      <c r="L10274" s="17">
        <v>5</v>
      </c>
      <c r="M10274" s="17">
        <v>20</v>
      </c>
      <c r="N10274" s="17">
        <v>5</v>
      </c>
      <c r="O10274" s="18">
        <v>569.82000000000005</v>
      </c>
      <c r="P10274" s="18">
        <v>467.07</v>
      </c>
      <c r="Q10274" s="18">
        <v>455.86</v>
      </c>
      <c r="R10274" s="18">
        <v>373.66</v>
      </c>
      <c r="S10274" s="18">
        <v>387.48</v>
      </c>
      <c r="T10274" s="18">
        <v>317.61</v>
      </c>
      <c r="U10274" s="16"/>
      <c r="V10274" s="16"/>
      <c r="W10274" s="16" t="s">
        <v>40</v>
      </c>
      <c r="X10274" s="19">
        <v>0.28499999999999998</v>
      </c>
      <c r="Y10274" s="20">
        <v>2.4719999999999998E-3</v>
      </c>
      <c r="Z10274" s="21">
        <v>4601004197398</v>
      </c>
    </row>
    <row r="10275" spans="1:26" ht="12" customHeight="1" outlineLevel="4" x14ac:dyDescent="0.2">
      <c r="A10275" s="14" t="s">
        <v>19546</v>
      </c>
      <c r="B10275" s="26" t="s">
        <v>19547</v>
      </c>
      <c r="C10275" s="52"/>
      <c r="D10275" s="55">
        <f t="shared" si="160"/>
        <v>0</v>
      </c>
      <c r="E10275" s="63" t="str">
        <f>HYPERLINK("https://www.sds-group.ru/product/svetilnik-lineynyy-spo-prizma-ip20-18vt-185-265v-4000k-neytralnyy-svet-0-6m-rexant-607-015/", "Инфо")</f>
        <v>Инфо</v>
      </c>
      <c r="F10275" s="16" t="s">
        <v>39</v>
      </c>
      <c r="G10275" s="15"/>
      <c r="H10275" s="15"/>
      <c r="I10275" s="15"/>
      <c r="J10275" s="16" t="s">
        <v>100</v>
      </c>
      <c r="K10275" s="15" t="s">
        <v>6434</v>
      </c>
      <c r="L10275" s="17">
        <v>5</v>
      </c>
      <c r="M10275" s="17">
        <v>20</v>
      </c>
      <c r="N10275" s="17">
        <v>5</v>
      </c>
      <c r="O10275" s="18">
        <v>345.45</v>
      </c>
      <c r="P10275" s="18">
        <v>283.16000000000003</v>
      </c>
      <c r="Q10275" s="18">
        <v>293.63</v>
      </c>
      <c r="R10275" s="18">
        <v>240.68</v>
      </c>
      <c r="S10275" s="18">
        <v>234.91</v>
      </c>
      <c r="T10275" s="18">
        <v>192.55</v>
      </c>
      <c r="U10275" s="16"/>
      <c r="V10275" s="16"/>
      <c r="W10275" s="16" t="s">
        <v>40</v>
      </c>
      <c r="X10275" s="19">
        <v>0.18099999999999999</v>
      </c>
      <c r="Y10275" s="20">
        <v>1.073E-3</v>
      </c>
      <c r="Z10275" s="21">
        <v>4601004168589</v>
      </c>
    </row>
    <row r="10276" spans="1:26" ht="12" customHeight="1" outlineLevel="4" x14ac:dyDescent="0.2">
      <c r="A10276" s="14" t="s">
        <v>19548</v>
      </c>
      <c r="B10276" s="26" t="s">
        <v>19549</v>
      </c>
      <c r="C10276" s="52"/>
      <c r="D10276" s="55">
        <f t="shared" si="160"/>
        <v>0</v>
      </c>
      <c r="E10276" s="63" t="str">
        <f>HYPERLINK("https://www.sds-group.ru/product/svetilnik-lineynyy-spo-prizma-ip20-18vt-185-265v-6500k-holodnyy-svet-0-6m-rexant-607-017/", "Инфо")</f>
        <v>Инфо</v>
      </c>
      <c r="F10276" s="16" t="s">
        <v>39</v>
      </c>
      <c r="G10276" s="15"/>
      <c r="H10276" s="15"/>
      <c r="I10276" s="15"/>
      <c r="J10276" s="17">
        <v>1</v>
      </c>
      <c r="K10276" s="15" t="s">
        <v>3319</v>
      </c>
      <c r="L10276" s="17">
        <v>5</v>
      </c>
      <c r="M10276" s="17">
        <v>20</v>
      </c>
      <c r="N10276" s="17">
        <v>5</v>
      </c>
      <c r="O10276" s="18">
        <v>345.45</v>
      </c>
      <c r="P10276" s="18">
        <v>283.16000000000003</v>
      </c>
      <c r="Q10276" s="18">
        <v>293.63</v>
      </c>
      <c r="R10276" s="18">
        <v>240.68</v>
      </c>
      <c r="S10276" s="18">
        <v>234.91</v>
      </c>
      <c r="T10276" s="18">
        <v>192.55</v>
      </c>
      <c r="U10276" s="16"/>
      <c r="V10276" s="16"/>
      <c r="W10276" s="16" t="s">
        <v>40</v>
      </c>
      <c r="X10276" s="19">
        <v>0.182</v>
      </c>
      <c r="Y10276" s="20">
        <v>1.109E-3</v>
      </c>
      <c r="Z10276" s="21">
        <v>4601004168602</v>
      </c>
    </row>
    <row r="10277" spans="1:26" ht="12" customHeight="1" outlineLevel="4" x14ac:dyDescent="0.2">
      <c r="A10277" s="14" t="s">
        <v>19550</v>
      </c>
      <c r="B10277" s="26" t="s">
        <v>19551</v>
      </c>
      <c r="C10277" s="52"/>
      <c r="D10277" s="55">
        <f t="shared" si="160"/>
        <v>0</v>
      </c>
      <c r="E10277" s="63" t="str">
        <f>HYPERLINK("https://www.sds-group.ru/product/svetilnik-lineynyy-spo-prizma-ip20-36vt-185-265v-4000k-neytralnyy-svet-1-2m-rexant-607-016/", "Инфо")</f>
        <v>Инфо</v>
      </c>
      <c r="F10277" s="16" t="s">
        <v>39</v>
      </c>
      <c r="G10277" s="15"/>
      <c r="H10277" s="15"/>
      <c r="I10277" s="15"/>
      <c r="J10277" s="16" t="s">
        <v>100</v>
      </c>
      <c r="K10277" s="15" t="s">
        <v>3319</v>
      </c>
      <c r="L10277" s="17">
        <v>1</v>
      </c>
      <c r="M10277" s="17">
        <v>20</v>
      </c>
      <c r="N10277" s="17">
        <v>1</v>
      </c>
      <c r="O10277" s="18">
        <v>500.91</v>
      </c>
      <c r="P10277" s="18">
        <v>410.58</v>
      </c>
      <c r="Q10277" s="18">
        <v>400.73</v>
      </c>
      <c r="R10277" s="18">
        <v>328.47</v>
      </c>
      <c r="S10277" s="18">
        <v>340.62</v>
      </c>
      <c r="T10277" s="18">
        <v>279.2</v>
      </c>
      <c r="U10277" s="16"/>
      <c r="V10277" s="16"/>
      <c r="W10277" s="16" t="s">
        <v>40</v>
      </c>
      <c r="X10277" s="19">
        <v>0.32400000000000001</v>
      </c>
      <c r="Y10277" s="20">
        <v>2.2279999999999999E-3</v>
      </c>
      <c r="Z10277" s="21">
        <v>4601004168596</v>
      </c>
    </row>
    <row r="10278" spans="1:26" ht="12" customHeight="1" outlineLevel="4" x14ac:dyDescent="0.2">
      <c r="A10278" s="14" t="s">
        <v>19552</v>
      </c>
      <c r="B10278" s="26" t="s">
        <v>19553</v>
      </c>
      <c r="C10278" s="52"/>
      <c r="D10278" s="55">
        <f t="shared" si="160"/>
        <v>0</v>
      </c>
      <c r="E10278" s="63" t="str">
        <f>HYPERLINK("https://www.sds-group.ru/product/svetilnik-lineynyy-spo-prizma-ip20-36vt-185-265v-6500k-holodnyy-svet-1-2m-rexant-607-018/", "Инфо")</f>
        <v>Инфо</v>
      </c>
      <c r="F10278" s="16" t="s">
        <v>39</v>
      </c>
      <c r="G10278" s="15"/>
      <c r="H10278" s="15"/>
      <c r="I10278" s="15"/>
      <c r="J10278" s="17">
        <v>1</v>
      </c>
      <c r="K10278" s="15" t="s">
        <v>6434</v>
      </c>
      <c r="L10278" s="17">
        <v>1</v>
      </c>
      <c r="M10278" s="17">
        <v>20</v>
      </c>
      <c r="N10278" s="17">
        <v>1</v>
      </c>
      <c r="O10278" s="18">
        <v>500.91</v>
      </c>
      <c r="P10278" s="18">
        <v>410.58</v>
      </c>
      <c r="Q10278" s="18">
        <v>400.73</v>
      </c>
      <c r="R10278" s="18">
        <v>328.47</v>
      </c>
      <c r="S10278" s="18">
        <v>340.62</v>
      </c>
      <c r="T10278" s="18">
        <v>279.2</v>
      </c>
      <c r="U10278" s="16"/>
      <c r="V10278" s="16"/>
      <c r="W10278" s="16" t="s">
        <v>40</v>
      </c>
      <c r="X10278" s="19">
        <v>0.312</v>
      </c>
      <c r="Y10278" s="20">
        <v>2.1229999999999999E-3</v>
      </c>
      <c r="Z10278" s="21">
        <v>4601004168626</v>
      </c>
    </row>
    <row r="10279" spans="1:26" ht="12" customHeight="1" outlineLevel="4" x14ac:dyDescent="0.2">
      <c r="A10279" s="14" t="s">
        <v>19554</v>
      </c>
      <c r="B10279" s="26" t="s">
        <v>19555</v>
      </c>
      <c r="C10279" s="52"/>
      <c r="D10279" s="55">
        <f t="shared" si="160"/>
        <v>0</v>
      </c>
      <c r="E10279" s="63" t="str">
        <f>HYPERLINK("https://www.sds-group.ru/product/svetilnik-lineynyy-spo-prizma-ip20-55vt-185-265v-4000k-neytralnyy-svet-1-2m-rexant-607-023/", "Инфо")</f>
        <v>Инфо</v>
      </c>
      <c r="F10279" s="16" t="s">
        <v>39</v>
      </c>
      <c r="G10279" s="15"/>
      <c r="H10279" s="15"/>
      <c r="I10279" s="15"/>
      <c r="J10279" s="16" t="s">
        <v>100</v>
      </c>
      <c r="K10279" s="15" t="s">
        <v>1266</v>
      </c>
      <c r="L10279" s="17">
        <v>5</v>
      </c>
      <c r="M10279" s="17">
        <v>20</v>
      </c>
      <c r="N10279" s="17">
        <v>5</v>
      </c>
      <c r="O10279" s="18">
        <v>569.82000000000005</v>
      </c>
      <c r="P10279" s="18">
        <v>467.07</v>
      </c>
      <c r="Q10279" s="18">
        <v>455.86</v>
      </c>
      <c r="R10279" s="18">
        <v>373.66</v>
      </c>
      <c r="S10279" s="18">
        <v>387.48</v>
      </c>
      <c r="T10279" s="18">
        <v>317.61</v>
      </c>
      <c r="U10279" s="16"/>
      <c r="V10279" s="16"/>
      <c r="W10279" s="16" t="s">
        <v>40</v>
      </c>
      <c r="X10279" s="19">
        <v>0.38400000000000001</v>
      </c>
      <c r="Y10279" s="20">
        <v>2.2539999999999999E-3</v>
      </c>
      <c r="Z10279" s="21">
        <v>4601004197404</v>
      </c>
    </row>
    <row r="10280" spans="1:26" ht="12" customHeight="1" outlineLevel="4" x14ac:dyDescent="0.2">
      <c r="A10280" s="14" t="s">
        <v>19556</v>
      </c>
      <c r="B10280" s="26" t="s">
        <v>19557</v>
      </c>
      <c r="C10280" s="52"/>
      <c r="D10280" s="55">
        <f t="shared" si="160"/>
        <v>0</v>
      </c>
      <c r="E10280" s="63" t="str">
        <f>HYPERLINK("https://www.sds-group.ru/product/svetilnik-lineynyy-spo-prizma-ip20-55vt-185-265v-6500k-holodnyy-svet-1-2m-rexant-607-024/", "Инфо")</f>
        <v>Инфо</v>
      </c>
      <c r="F10280" s="16" t="s">
        <v>39</v>
      </c>
      <c r="G10280" s="15"/>
      <c r="H10280" s="15"/>
      <c r="I10280" s="15"/>
      <c r="J10280" s="16" t="s">
        <v>100</v>
      </c>
      <c r="K10280" s="15" t="s">
        <v>1266</v>
      </c>
      <c r="L10280" s="17">
        <v>1</v>
      </c>
      <c r="M10280" s="17">
        <v>20</v>
      </c>
      <c r="N10280" s="17">
        <v>1</v>
      </c>
      <c r="O10280" s="18">
        <v>569.82000000000005</v>
      </c>
      <c r="P10280" s="18">
        <v>467.07</v>
      </c>
      <c r="Q10280" s="18">
        <v>455.86</v>
      </c>
      <c r="R10280" s="18">
        <v>373.66</v>
      </c>
      <c r="S10280" s="18">
        <v>387.48</v>
      </c>
      <c r="T10280" s="18">
        <v>317.61</v>
      </c>
      <c r="U10280" s="16"/>
      <c r="V10280" s="16"/>
      <c r="W10280" s="16" t="s">
        <v>40</v>
      </c>
      <c r="X10280" s="19">
        <v>0.32</v>
      </c>
      <c r="Y10280" s="20">
        <v>2.47E-3</v>
      </c>
      <c r="Z10280" s="21">
        <v>4601004197428</v>
      </c>
    </row>
    <row r="10281" spans="1:26" ht="12.95" customHeight="1" outlineLevel="3" x14ac:dyDescent="0.2">
      <c r="A10281" s="76" t="s">
        <v>19558</v>
      </c>
      <c r="B10281" s="76"/>
      <c r="C10281" s="77"/>
      <c r="D10281" s="58"/>
      <c r="E10281" s="68"/>
      <c r="F10281" s="13"/>
      <c r="G10281" s="13"/>
      <c r="H10281" s="13"/>
      <c r="I10281" s="13"/>
      <c r="J10281" s="13"/>
      <c r="K10281" s="13"/>
      <c r="L10281" s="13"/>
      <c r="M10281" s="13"/>
      <c r="N10281" s="13"/>
      <c r="O10281" s="13"/>
      <c r="P10281" s="13"/>
      <c r="Q10281" s="13"/>
      <c r="R10281" s="13"/>
      <c r="S10281" s="13"/>
      <c r="T10281" s="13"/>
      <c r="U10281" s="13"/>
      <c r="V10281" s="13"/>
      <c r="W10281" s="13"/>
      <c r="X10281" s="13"/>
      <c r="Y10281" s="13"/>
      <c r="Z10281" s="13"/>
    </row>
    <row r="10282" spans="1:26" ht="12" customHeight="1" outlineLevel="4" x14ac:dyDescent="0.2">
      <c r="A10282" s="32" t="s">
        <v>19559</v>
      </c>
      <c r="B10282" s="74" t="s">
        <v>19560</v>
      </c>
      <c r="C10282" s="50"/>
      <c r="D10282" s="53">
        <f t="shared" si="160"/>
        <v>0</v>
      </c>
      <c r="E10282" s="60" t="str">
        <f>HYPERLINK("https://www.sds-group.ru/product/svetilnik-lineynyy-pylevlagozaschischennyy-ssp-ip65-18vt-185-265v-6500k-holodnyy-svet-0-6m-r-607-019/", "Инфо")</f>
        <v>Инфо</v>
      </c>
      <c r="F10282" s="34" t="s">
        <v>39</v>
      </c>
      <c r="G10282" s="33"/>
      <c r="H10282" s="33" t="s">
        <v>40</v>
      </c>
      <c r="I10282" s="33"/>
      <c r="J10282" s="34" t="s">
        <v>100</v>
      </c>
      <c r="K10282" s="33"/>
      <c r="L10282" s="35">
        <v>1</v>
      </c>
      <c r="M10282" s="35">
        <v>20</v>
      </c>
      <c r="N10282" s="35">
        <v>1</v>
      </c>
      <c r="O10282" s="36">
        <v>839.91</v>
      </c>
      <c r="P10282" s="36">
        <v>688.45</v>
      </c>
      <c r="Q10282" s="36">
        <v>587.94000000000005</v>
      </c>
      <c r="R10282" s="36">
        <v>481.92</v>
      </c>
      <c r="S10282" s="36">
        <v>571.14</v>
      </c>
      <c r="T10282" s="36">
        <v>468.15</v>
      </c>
      <c r="U10282" s="34"/>
      <c r="V10282" s="34"/>
      <c r="W10282" s="34"/>
      <c r="X10282" s="37">
        <v>0.26700000000000002</v>
      </c>
      <c r="Y10282" s="38">
        <v>1.6639999999999999E-3</v>
      </c>
      <c r="Z10282" s="21">
        <v>4601004168503</v>
      </c>
    </row>
    <row r="10283" spans="1:26" ht="12" customHeight="1" outlineLevel="4" x14ac:dyDescent="0.2">
      <c r="A10283" s="32" t="s">
        <v>19561</v>
      </c>
      <c r="B10283" s="74" t="s">
        <v>19562</v>
      </c>
      <c r="C10283" s="50"/>
      <c r="D10283" s="53">
        <f t="shared" si="160"/>
        <v>0</v>
      </c>
      <c r="E10283" s="60" t="str">
        <f>HYPERLINK("https://www.sds-group.ru/product/svetilnik-lineynyy-pylevlagozaschischennyy-ssp2-ip65-18vt-185-265v-6500k-holodnyy-svet-0-6m--607-009/", "Инфо")</f>
        <v>Инфо</v>
      </c>
      <c r="F10283" s="34" t="s">
        <v>39</v>
      </c>
      <c r="G10283" s="33"/>
      <c r="H10283" s="33" t="s">
        <v>40</v>
      </c>
      <c r="I10283" s="33"/>
      <c r="J10283" s="34" t="s">
        <v>100</v>
      </c>
      <c r="K10283" s="33"/>
      <c r="L10283" s="35">
        <v>1</v>
      </c>
      <c r="M10283" s="35">
        <v>20</v>
      </c>
      <c r="N10283" s="35">
        <v>1</v>
      </c>
      <c r="O10283" s="36">
        <v>852.6</v>
      </c>
      <c r="P10283" s="36">
        <v>698.85</v>
      </c>
      <c r="Q10283" s="36">
        <v>596.82000000000005</v>
      </c>
      <c r="R10283" s="36">
        <v>489.2</v>
      </c>
      <c r="S10283" s="36">
        <v>579.77</v>
      </c>
      <c r="T10283" s="36">
        <v>475.22</v>
      </c>
      <c r="U10283" s="34"/>
      <c r="V10283" s="34"/>
      <c r="W10283" s="34"/>
      <c r="X10283" s="37">
        <v>0.27900000000000003</v>
      </c>
      <c r="Y10283" s="38">
        <v>1.7539999999999999E-3</v>
      </c>
      <c r="Z10283" s="21">
        <v>4601004168497</v>
      </c>
    </row>
    <row r="10284" spans="1:26" ht="12.95" customHeight="1" outlineLevel="3" x14ac:dyDescent="0.2">
      <c r="A10284" s="76" t="s">
        <v>19563</v>
      </c>
      <c r="B10284" s="76"/>
      <c r="C10284" s="77"/>
      <c r="D10284" s="58"/>
      <c r="E10284" s="68"/>
      <c r="F10284" s="13"/>
      <c r="G10284" s="13"/>
      <c r="H10284" s="13"/>
      <c r="I10284" s="13"/>
      <c r="J10284" s="13"/>
      <c r="K10284" s="13"/>
      <c r="L10284" s="13"/>
      <c r="M10284" s="13"/>
      <c r="N10284" s="13"/>
      <c r="O10284" s="13"/>
      <c r="P10284" s="13"/>
      <c r="Q10284" s="13"/>
      <c r="R10284" s="13"/>
      <c r="S10284" s="13"/>
      <c r="T10284" s="13"/>
      <c r="U10284" s="13"/>
      <c r="V10284" s="13"/>
      <c r="W10284" s="13"/>
      <c r="X10284" s="13"/>
      <c r="Y10284" s="13"/>
      <c r="Z10284" s="13"/>
    </row>
    <row r="10285" spans="1:26" ht="12" customHeight="1" outlineLevel="4" x14ac:dyDescent="0.2">
      <c r="A10285" s="14" t="s">
        <v>19564</v>
      </c>
      <c r="B10285" s="26" t="s">
        <v>19565</v>
      </c>
      <c r="C10285" s="52"/>
      <c r="D10285" s="55">
        <f t="shared" si="160"/>
        <v>0</v>
      </c>
      <c r="E10285" s="63" t="str">
        <f>HYPERLINK("https://www.sds-group.ru/product/svetilnik-gx53-belyy-termostoykoe-plastikovoe-koltso-v-komplekte-rexant-608-001/", "Инфо")</f>
        <v>Инфо</v>
      </c>
      <c r="F10285" s="16" t="s">
        <v>39</v>
      </c>
      <c r="G10285" s="15"/>
      <c r="H10285" s="15"/>
      <c r="I10285" s="15"/>
      <c r="J10285" s="17">
        <v>3</v>
      </c>
      <c r="K10285" s="15" t="s">
        <v>11961</v>
      </c>
      <c r="L10285" s="17">
        <v>10</v>
      </c>
      <c r="M10285" s="17">
        <v>100</v>
      </c>
      <c r="N10285" s="17">
        <v>10</v>
      </c>
      <c r="O10285" s="18">
        <v>101.98</v>
      </c>
      <c r="P10285" s="18">
        <v>83.59</v>
      </c>
      <c r="Q10285" s="18">
        <v>86.68</v>
      </c>
      <c r="R10285" s="18">
        <v>71.05</v>
      </c>
      <c r="S10285" s="18">
        <v>69.349999999999994</v>
      </c>
      <c r="T10285" s="18">
        <v>56.84</v>
      </c>
      <c r="U10285" s="16"/>
      <c r="V10285" s="16"/>
      <c r="W10285" s="16" t="s">
        <v>40</v>
      </c>
      <c r="X10285" s="19">
        <v>6.9000000000000006E-2</v>
      </c>
      <c r="Y10285" s="20">
        <v>4.7800000000000002E-4</v>
      </c>
      <c r="Z10285" s="21">
        <v>4601004168619</v>
      </c>
    </row>
    <row r="10286" spans="1:26" ht="12" customHeight="1" outlineLevel="4" x14ac:dyDescent="0.2">
      <c r="A10286" s="14" t="s">
        <v>19566</v>
      </c>
      <c r="B10286" s="26" t="s">
        <v>19567</v>
      </c>
      <c r="C10286" s="52"/>
      <c r="D10286" s="55">
        <f t="shared" si="160"/>
        <v>0</v>
      </c>
      <c r="E10286" s="63" t="str">
        <f>HYPERLINK("https://www.sds-group.ru/product/svetilnik-gx53-zoloto-termostoykoe-plastikovoe-koltso-v-komplekte-rexant-608-003/", "Инфо")</f>
        <v>Инфо</v>
      </c>
      <c r="F10286" s="16" t="s">
        <v>39</v>
      </c>
      <c r="G10286" s="15"/>
      <c r="H10286" s="15"/>
      <c r="I10286" s="15"/>
      <c r="J10286" s="22">
        <v>2378</v>
      </c>
      <c r="K10286" s="15"/>
      <c r="L10286" s="17">
        <v>10</v>
      </c>
      <c r="M10286" s="17">
        <v>100</v>
      </c>
      <c r="N10286" s="17">
        <v>10</v>
      </c>
      <c r="O10286" s="18">
        <v>128.4</v>
      </c>
      <c r="P10286" s="18">
        <v>105.25</v>
      </c>
      <c r="Q10286" s="18">
        <v>109.14</v>
      </c>
      <c r="R10286" s="18">
        <v>89.46</v>
      </c>
      <c r="S10286" s="18">
        <v>87.31</v>
      </c>
      <c r="T10286" s="18">
        <v>71.569999999999993</v>
      </c>
      <c r="U10286" s="16"/>
      <c r="V10286" s="16"/>
      <c r="W10286" s="16" t="s">
        <v>40</v>
      </c>
      <c r="X10286" s="19">
        <v>6.9000000000000006E-2</v>
      </c>
      <c r="Y10286" s="20">
        <v>3.7800000000000003E-4</v>
      </c>
      <c r="Z10286" s="21">
        <v>4601004168640</v>
      </c>
    </row>
    <row r="10287" spans="1:26" ht="12" customHeight="1" outlineLevel="4" x14ac:dyDescent="0.2">
      <c r="A10287" s="14" t="s">
        <v>19568</v>
      </c>
      <c r="B10287" s="26" t="s">
        <v>19569</v>
      </c>
      <c r="C10287" s="52"/>
      <c r="D10287" s="55">
        <f t="shared" si="160"/>
        <v>0</v>
      </c>
      <c r="E10287" s="63" t="str">
        <f>HYPERLINK("https://www.sds-group.ru/product/svetilnik-gx53-hrom-termostoykoe-plastikovoe-koltso-v-komplekte-rexant-608-002/", "Инфо")</f>
        <v>Инфо</v>
      </c>
      <c r="F10287" s="16" t="s">
        <v>39</v>
      </c>
      <c r="G10287" s="15"/>
      <c r="H10287" s="15"/>
      <c r="I10287" s="15"/>
      <c r="J10287" s="17">
        <v>697</v>
      </c>
      <c r="K10287" s="15"/>
      <c r="L10287" s="17">
        <v>10</v>
      </c>
      <c r="M10287" s="17">
        <v>100</v>
      </c>
      <c r="N10287" s="17">
        <v>10</v>
      </c>
      <c r="O10287" s="18">
        <v>128.4</v>
      </c>
      <c r="P10287" s="18">
        <v>105.25</v>
      </c>
      <c r="Q10287" s="18">
        <v>109.14</v>
      </c>
      <c r="R10287" s="18">
        <v>89.46</v>
      </c>
      <c r="S10287" s="18">
        <v>87.31</v>
      </c>
      <c r="T10287" s="18">
        <v>71.569999999999993</v>
      </c>
      <c r="U10287" s="16"/>
      <c r="V10287" s="16"/>
      <c r="W10287" s="16" t="s">
        <v>40</v>
      </c>
      <c r="X10287" s="19">
        <v>6.9000000000000006E-2</v>
      </c>
      <c r="Y10287" s="20">
        <v>4.1300000000000001E-4</v>
      </c>
      <c r="Z10287" s="21">
        <v>4601004168633</v>
      </c>
    </row>
    <row r="10288" spans="1:26" ht="12" customHeight="1" outlineLevel="4" x14ac:dyDescent="0.2">
      <c r="A10288" s="14" t="s">
        <v>19570</v>
      </c>
      <c r="B10288" s="26" t="s">
        <v>19571</v>
      </c>
      <c r="C10288" s="52"/>
      <c r="D10288" s="55">
        <f t="shared" si="160"/>
        <v>0</v>
      </c>
      <c r="E10288" s="63" t="str">
        <f>HYPERLINK("https://www.sds-group.ru/product/svetilnik-vstraivaemyy-gx53-series-h4-pro-belyy-s-koltsom-v-komplekte-rexant-608-004/", "Инфо")</f>
        <v>Инфо</v>
      </c>
      <c r="F10288" s="16" t="s">
        <v>39</v>
      </c>
      <c r="G10288" s="15"/>
      <c r="H10288" s="15"/>
      <c r="I10288" s="15"/>
      <c r="J10288" s="22">
        <v>1141</v>
      </c>
      <c r="K10288" s="15"/>
      <c r="L10288" s="17">
        <v>10</v>
      </c>
      <c r="M10288" s="17">
        <v>100</v>
      </c>
      <c r="N10288" s="17">
        <v>10</v>
      </c>
      <c r="O10288" s="18">
        <v>114.08</v>
      </c>
      <c r="P10288" s="18">
        <v>93.51</v>
      </c>
      <c r="Q10288" s="18">
        <v>96.97</v>
      </c>
      <c r="R10288" s="18">
        <v>79.48</v>
      </c>
      <c r="S10288" s="18">
        <v>77.569999999999993</v>
      </c>
      <c r="T10288" s="18">
        <v>63.58</v>
      </c>
      <c r="U10288" s="16"/>
      <c r="V10288" s="16"/>
      <c r="W10288" s="16" t="s">
        <v>40</v>
      </c>
      <c r="X10288" s="19">
        <v>7.1999999999999995E-2</v>
      </c>
      <c r="Y10288" s="20">
        <v>4.1399999999999998E-4</v>
      </c>
      <c r="Z10288" s="21">
        <v>4601004268081</v>
      </c>
    </row>
    <row r="10289" spans="1:26" ht="12.95" customHeight="1" outlineLevel="3" x14ac:dyDescent="0.2">
      <c r="A10289" s="76" t="s">
        <v>19572</v>
      </c>
      <c r="B10289" s="76"/>
      <c r="C10289" s="77"/>
      <c r="D10289" s="58"/>
      <c r="E10289" s="68"/>
      <c r="F10289" s="13"/>
      <c r="G10289" s="13"/>
      <c r="H10289" s="13"/>
      <c r="I10289" s="13"/>
      <c r="J10289" s="13"/>
      <c r="K10289" s="13"/>
      <c r="L10289" s="13"/>
      <c r="M10289" s="13"/>
      <c r="N10289" s="13"/>
      <c r="O10289" s="13"/>
      <c r="P10289" s="13"/>
      <c r="Q10289" s="13"/>
      <c r="R10289" s="13"/>
      <c r="S10289" s="13"/>
      <c r="T10289" s="13"/>
      <c r="U10289" s="13"/>
      <c r="V10289" s="13"/>
      <c r="W10289" s="13"/>
      <c r="X10289" s="13"/>
      <c r="Y10289" s="13"/>
      <c r="Z10289" s="13"/>
    </row>
    <row r="10290" spans="1:26" ht="12" customHeight="1" outlineLevel="4" x14ac:dyDescent="0.2">
      <c r="A10290" s="14" t="s">
        <v>19573</v>
      </c>
      <c r="B10290" s="26" t="s">
        <v>19574</v>
      </c>
      <c r="C10290" s="52"/>
      <c r="D10290" s="55">
        <f t="shared" si="160"/>
        <v>0</v>
      </c>
      <c r="E10290" s="63" t="str">
        <f>HYPERLINK("https://www.sds-group.ru/product/svetilnik-zhkh-led-pylevlagozaschischennyy-krug-ip65-12vt-1140lm-4000k-rexant-607-260/", "Инфо")</f>
        <v>Инфо</v>
      </c>
      <c r="F10290" s="16" t="s">
        <v>39</v>
      </c>
      <c r="G10290" s="15"/>
      <c r="H10290" s="15"/>
      <c r="I10290" s="15"/>
      <c r="J10290" s="17">
        <v>1</v>
      </c>
      <c r="K10290" s="15" t="s">
        <v>998</v>
      </c>
      <c r="L10290" s="17">
        <v>5</v>
      </c>
      <c r="M10290" s="17">
        <v>40</v>
      </c>
      <c r="N10290" s="17">
        <v>5</v>
      </c>
      <c r="O10290" s="18">
        <v>232.24</v>
      </c>
      <c r="P10290" s="18">
        <v>190.36</v>
      </c>
      <c r="Q10290" s="18">
        <v>197.4</v>
      </c>
      <c r="R10290" s="18">
        <v>161.80000000000001</v>
      </c>
      <c r="S10290" s="18">
        <v>157.91999999999999</v>
      </c>
      <c r="T10290" s="18">
        <v>129.44</v>
      </c>
      <c r="U10290" s="16"/>
      <c r="V10290" s="16"/>
      <c r="W10290" s="16" t="s">
        <v>40</v>
      </c>
      <c r="X10290" s="19">
        <v>9.7000000000000003E-2</v>
      </c>
      <c r="Y10290" s="20">
        <v>8.3500000000000002E-4</v>
      </c>
      <c r="Z10290" s="21">
        <v>4601004226241</v>
      </c>
    </row>
    <row r="10291" spans="1:26" ht="12" customHeight="1" outlineLevel="4" x14ac:dyDescent="0.2">
      <c r="A10291" s="14" t="s">
        <v>19575</v>
      </c>
      <c r="B10291" s="26" t="s">
        <v>19576</v>
      </c>
      <c r="C10291" s="52"/>
      <c r="D10291" s="55">
        <f t="shared" si="160"/>
        <v>0</v>
      </c>
      <c r="E10291" s="63" t="str">
        <f>HYPERLINK("https://www.sds-group.ru/product/svetilnik-zhkh-led-pylevlagozaschischennyy-krug-ip65-12vt-1140lm-6500k-rexant-607-202/", "Инфо")</f>
        <v>Инфо</v>
      </c>
      <c r="F10291" s="16" t="s">
        <v>39</v>
      </c>
      <c r="G10291" s="15"/>
      <c r="H10291" s="15"/>
      <c r="I10291" s="15"/>
      <c r="J10291" s="17">
        <v>169</v>
      </c>
      <c r="K10291" s="15" t="s">
        <v>4013</v>
      </c>
      <c r="L10291" s="17">
        <v>5</v>
      </c>
      <c r="M10291" s="17">
        <v>40</v>
      </c>
      <c r="N10291" s="17">
        <v>5</v>
      </c>
      <c r="O10291" s="18">
        <v>232.24</v>
      </c>
      <c r="P10291" s="18">
        <v>190.36</v>
      </c>
      <c r="Q10291" s="18">
        <v>197.4</v>
      </c>
      <c r="R10291" s="18">
        <v>161.80000000000001</v>
      </c>
      <c r="S10291" s="18">
        <v>157.91999999999999</v>
      </c>
      <c r="T10291" s="18">
        <v>129.44</v>
      </c>
      <c r="U10291" s="16"/>
      <c r="V10291" s="16"/>
      <c r="W10291" s="16" t="s">
        <v>40</v>
      </c>
      <c r="X10291" s="19">
        <v>9.5000000000000001E-2</v>
      </c>
      <c r="Y10291" s="20">
        <v>8.1400000000000005E-4</v>
      </c>
      <c r="Z10291" s="21">
        <v>4601004177758</v>
      </c>
    </row>
    <row r="10292" spans="1:26" ht="12" customHeight="1" outlineLevel="4" x14ac:dyDescent="0.2">
      <c r="A10292" s="14" t="s">
        <v>19577</v>
      </c>
      <c r="B10292" s="26" t="s">
        <v>19578</v>
      </c>
      <c r="C10292" s="52"/>
      <c r="D10292" s="55">
        <f t="shared" si="160"/>
        <v>0</v>
      </c>
      <c r="E10292" s="63" t="str">
        <f>HYPERLINK("https://www.sds-group.ru/product/svetilnik-zhkh-led-pylevlagozaschischennyy-krug-ip65-12vt-1140lm-6500k-s-mikrovolnovym-datch-607-207/", "Инфо")</f>
        <v>Инфо</v>
      </c>
      <c r="F10292" s="16" t="s">
        <v>39</v>
      </c>
      <c r="G10292" s="15"/>
      <c r="H10292" s="15"/>
      <c r="I10292" s="15"/>
      <c r="J10292" s="17">
        <v>632</v>
      </c>
      <c r="K10292" s="15"/>
      <c r="L10292" s="17">
        <v>1</v>
      </c>
      <c r="M10292" s="17">
        <v>40</v>
      </c>
      <c r="N10292" s="17">
        <v>1</v>
      </c>
      <c r="O10292" s="18">
        <v>422.47</v>
      </c>
      <c r="P10292" s="18">
        <v>346.29</v>
      </c>
      <c r="Q10292" s="18">
        <v>337.98</v>
      </c>
      <c r="R10292" s="18">
        <v>277.02999999999997</v>
      </c>
      <c r="S10292" s="18">
        <v>287.27999999999997</v>
      </c>
      <c r="T10292" s="18">
        <v>235.48</v>
      </c>
      <c r="U10292" s="16"/>
      <c r="V10292" s="16"/>
      <c r="W10292" s="16" t="s">
        <v>40</v>
      </c>
      <c r="X10292" s="19">
        <v>0.10100000000000001</v>
      </c>
      <c r="Y10292" s="20">
        <v>8.4599999999999996E-4</v>
      </c>
      <c r="Z10292" s="21">
        <v>4601004177826</v>
      </c>
    </row>
    <row r="10293" spans="1:26" ht="12" customHeight="1" outlineLevel="4" x14ac:dyDescent="0.2">
      <c r="A10293" s="14" t="s">
        <v>19579</v>
      </c>
      <c r="B10293" s="26" t="s">
        <v>19580</v>
      </c>
      <c r="C10293" s="52"/>
      <c r="D10293" s="55">
        <f t="shared" si="160"/>
        <v>0</v>
      </c>
      <c r="E10293" s="63" t="str">
        <f>HYPERLINK("https://www.sds-group.ru/product/svetilnik-zhkh-led-pylevlagozaschischennyy-krug-ip65-12vt-1140lm-6500k-s-mikrovolnovym-datch-607-266/", "Инфо")</f>
        <v>Инфо</v>
      </c>
      <c r="F10293" s="16" t="s">
        <v>39</v>
      </c>
      <c r="G10293" s="15"/>
      <c r="H10293" s="15"/>
      <c r="I10293" s="15"/>
      <c r="J10293" s="22">
        <v>1646</v>
      </c>
      <c r="K10293" s="15"/>
      <c r="L10293" s="17">
        <v>1</v>
      </c>
      <c r="M10293" s="17">
        <v>40</v>
      </c>
      <c r="N10293" s="17">
        <v>1</v>
      </c>
      <c r="O10293" s="18">
        <v>459.01</v>
      </c>
      <c r="P10293" s="18">
        <v>376.24</v>
      </c>
      <c r="Q10293" s="18">
        <v>367.21</v>
      </c>
      <c r="R10293" s="18">
        <v>300.99</v>
      </c>
      <c r="S10293" s="18">
        <v>312.13</v>
      </c>
      <c r="T10293" s="18">
        <v>255.84</v>
      </c>
      <c r="U10293" s="16"/>
      <c r="V10293" s="16"/>
      <c r="W10293" s="16" t="s">
        <v>40</v>
      </c>
      <c r="X10293" s="19">
        <v>0.10100000000000001</v>
      </c>
      <c r="Y10293" s="20">
        <v>8.6200000000000003E-4</v>
      </c>
      <c r="Z10293" s="21">
        <v>4601004226302</v>
      </c>
    </row>
    <row r="10294" spans="1:26" ht="12" customHeight="1" outlineLevel="4" x14ac:dyDescent="0.2">
      <c r="A10294" s="14" t="s">
        <v>19581</v>
      </c>
      <c r="B10294" s="26" t="s">
        <v>19582</v>
      </c>
      <c r="C10294" s="52"/>
      <c r="D10294" s="55">
        <f t="shared" si="160"/>
        <v>0</v>
      </c>
      <c r="E10294" s="63" t="str">
        <f>HYPERLINK("https://www.sds-group.ru/product/svetilnik-zhkh-led-pylevlagozaschischennyy-krug-ip65-18vt-1710lm-4000k-rexant-607-268/", "Инфо")</f>
        <v>Инфо</v>
      </c>
      <c r="F10294" s="16" t="s">
        <v>39</v>
      </c>
      <c r="G10294" s="15"/>
      <c r="H10294" s="15"/>
      <c r="I10294" s="15"/>
      <c r="J10294" s="17">
        <v>148</v>
      </c>
      <c r="K10294" s="15"/>
      <c r="L10294" s="17">
        <v>5</v>
      </c>
      <c r="M10294" s="17">
        <v>40</v>
      </c>
      <c r="N10294" s="17">
        <v>5</v>
      </c>
      <c r="O10294" s="18">
        <v>343.75</v>
      </c>
      <c r="P10294" s="18">
        <v>281.76</v>
      </c>
      <c r="Q10294" s="18">
        <v>275</v>
      </c>
      <c r="R10294" s="18">
        <v>225.41</v>
      </c>
      <c r="S10294" s="18">
        <v>233.75</v>
      </c>
      <c r="T10294" s="18">
        <v>191.6</v>
      </c>
      <c r="U10294" s="16"/>
      <c r="V10294" s="16"/>
      <c r="W10294" s="16" t="s">
        <v>40</v>
      </c>
      <c r="X10294" s="19">
        <v>0.152</v>
      </c>
      <c r="Y10294" s="20">
        <v>1.266E-3</v>
      </c>
      <c r="Z10294" s="21">
        <v>4601004226326</v>
      </c>
    </row>
    <row r="10295" spans="1:26" ht="12" customHeight="1" outlineLevel="4" x14ac:dyDescent="0.2">
      <c r="A10295" s="14" t="s">
        <v>19583</v>
      </c>
      <c r="B10295" s="26" t="s">
        <v>19584</v>
      </c>
      <c r="C10295" s="52"/>
      <c r="D10295" s="55">
        <f t="shared" si="160"/>
        <v>0</v>
      </c>
      <c r="E10295" s="63" t="str">
        <f>HYPERLINK("https://www.sds-group.ru/product/svetilnik-zhkh-led-pylevlagozaschischennyy-krug-ip65-18vt-1710lm-6500k-rexant-607-203/", "Инфо")</f>
        <v>Инфо</v>
      </c>
      <c r="F10295" s="16" t="s">
        <v>39</v>
      </c>
      <c r="G10295" s="15"/>
      <c r="H10295" s="15"/>
      <c r="I10295" s="15"/>
      <c r="J10295" s="22">
        <v>1393</v>
      </c>
      <c r="K10295" s="15" t="s">
        <v>1519</v>
      </c>
      <c r="L10295" s="17">
        <v>5</v>
      </c>
      <c r="M10295" s="17">
        <v>40</v>
      </c>
      <c r="N10295" s="17">
        <v>5</v>
      </c>
      <c r="O10295" s="18">
        <v>343.75</v>
      </c>
      <c r="P10295" s="18">
        <v>281.76</v>
      </c>
      <c r="Q10295" s="18">
        <v>275</v>
      </c>
      <c r="R10295" s="18">
        <v>225.41</v>
      </c>
      <c r="S10295" s="18">
        <v>233.75</v>
      </c>
      <c r="T10295" s="18">
        <v>191.6</v>
      </c>
      <c r="U10295" s="16"/>
      <c r="V10295" s="16"/>
      <c r="W10295" s="16" t="s">
        <v>40</v>
      </c>
      <c r="X10295" s="19">
        <v>0.14799999999999999</v>
      </c>
      <c r="Y10295" s="20">
        <v>1.2700000000000001E-3</v>
      </c>
      <c r="Z10295" s="21">
        <v>4601004177789</v>
      </c>
    </row>
    <row r="10296" spans="1:26" ht="12" customHeight="1" outlineLevel="4" x14ac:dyDescent="0.2">
      <c r="A10296" s="14" t="s">
        <v>19585</v>
      </c>
      <c r="B10296" s="26" t="s">
        <v>19586</v>
      </c>
      <c r="C10296" s="52"/>
      <c r="D10296" s="55">
        <f t="shared" si="160"/>
        <v>0</v>
      </c>
      <c r="E10296" s="63" t="str">
        <f>HYPERLINK("https://www.sds-group.ru/product/svetilnik-zhkh-led-pylevlagozaschischennyy-krug-ip65-18vt-1710lm-6500k-s-mikrovolnovym-datch-607-208/", "Инфо")</f>
        <v>Инфо</v>
      </c>
      <c r="F10296" s="16" t="s">
        <v>39</v>
      </c>
      <c r="G10296" s="15"/>
      <c r="H10296" s="15"/>
      <c r="I10296" s="15"/>
      <c r="J10296" s="17">
        <v>652</v>
      </c>
      <c r="K10296" s="15" t="s">
        <v>10151</v>
      </c>
      <c r="L10296" s="17">
        <v>1</v>
      </c>
      <c r="M10296" s="17">
        <v>40</v>
      </c>
      <c r="N10296" s="17">
        <v>1</v>
      </c>
      <c r="O10296" s="18">
        <v>654.05999999999995</v>
      </c>
      <c r="P10296" s="18">
        <v>536.11</v>
      </c>
      <c r="Q10296" s="18">
        <v>516.71</v>
      </c>
      <c r="R10296" s="18">
        <v>423.53</v>
      </c>
      <c r="S10296" s="18">
        <v>444.76</v>
      </c>
      <c r="T10296" s="18">
        <v>364.56</v>
      </c>
      <c r="U10296" s="16"/>
      <c r="V10296" s="16"/>
      <c r="W10296" s="16" t="s">
        <v>40</v>
      </c>
      <c r="X10296" s="19">
        <v>0.153</v>
      </c>
      <c r="Y10296" s="20">
        <v>1.266E-3</v>
      </c>
      <c r="Z10296" s="21">
        <v>4601004177833</v>
      </c>
    </row>
    <row r="10297" spans="1:26" ht="12" customHeight="1" outlineLevel="4" x14ac:dyDescent="0.2">
      <c r="A10297" s="14" t="s">
        <v>19587</v>
      </c>
      <c r="B10297" s="26" t="s">
        <v>19588</v>
      </c>
      <c r="C10297" s="52"/>
      <c r="D10297" s="55">
        <f t="shared" si="160"/>
        <v>0</v>
      </c>
      <c r="E10297" s="63" t="str">
        <f>HYPERLINK("https://www.sds-group.ru/product/svetilnik-zhkh-led-pylevlagozaschischennyy-krug-ip65-18vt-1710lm-6500k-s-mikrovolnovym-datch-607-274/", "Инфо")</f>
        <v>Инфо</v>
      </c>
      <c r="F10297" s="16" t="s">
        <v>39</v>
      </c>
      <c r="G10297" s="15"/>
      <c r="H10297" s="15"/>
      <c r="I10297" s="15"/>
      <c r="J10297" s="17">
        <v>822</v>
      </c>
      <c r="K10297" s="15"/>
      <c r="L10297" s="17">
        <v>1</v>
      </c>
      <c r="M10297" s="17">
        <v>40</v>
      </c>
      <c r="N10297" s="17">
        <v>1</v>
      </c>
      <c r="O10297" s="18">
        <v>594.92999999999995</v>
      </c>
      <c r="P10297" s="18">
        <v>487.65</v>
      </c>
      <c r="Q10297" s="18">
        <v>469.99</v>
      </c>
      <c r="R10297" s="18">
        <v>385.24</v>
      </c>
      <c r="S10297" s="18">
        <v>404.55</v>
      </c>
      <c r="T10297" s="18">
        <v>331.6</v>
      </c>
      <c r="U10297" s="16"/>
      <c r="V10297" s="16"/>
      <c r="W10297" s="16" t="s">
        <v>40</v>
      </c>
      <c r="X10297" s="19">
        <v>0.157</v>
      </c>
      <c r="Y10297" s="20">
        <v>1.286E-3</v>
      </c>
      <c r="Z10297" s="21">
        <v>4601004226388</v>
      </c>
    </row>
    <row r="10298" spans="1:26" ht="12" customHeight="1" outlineLevel="4" x14ac:dyDescent="0.2">
      <c r="A10298" s="14" t="s">
        <v>19589</v>
      </c>
      <c r="B10298" s="26" t="s">
        <v>19590</v>
      </c>
      <c r="C10298" s="52"/>
      <c r="D10298" s="55">
        <f t="shared" si="160"/>
        <v>0</v>
      </c>
      <c r="E10298" s="63" t="str">
        <f>HYPERLINK("https://www.sds-group.ru/product/svetilnik-zhkh-led-pylevlagozaschischennyy-krug-ip65-24vt-2280lm-6500k-rexant-607-279/", "Инфо")</f>
        <v>Инфо</v>
      </c>
      <c r="F10298" s="16" t="s">
        <v>39</v>
      </c>
      <c r="G10298" s="15"/>
      <c r="H10298" s="15"/>
      <c r="I10298" s="15"/>
      <c r="J10298" s="22">
        <v>1994</v>
      </c>
      <c r="K10298" s="15" t="s">
        <v>4013</v>
      </c>
      <c r="L10298" s="17">
        <v>1</v>
      </c>
      <c r="M10298" s="17">
        <v>40</v>
      </c>
      <c r="N10298" s="17">
        <v>1</v>
      </c>
      <c r="O10298" s="18">
        <v>604.04</v>
      </c>
      <c r="P10298" s="18">
        <v>495.11</v>
      </c>
      <c r="Q10298" s="18">
        <v>483.23</v>
      </c>
      <c r="R10298" s="18">
        <v>396.09</v>
      </c>
      <c r="S10298" s="18">
        <v>410.75</v>
      </c>
      <c r="T10298" s="18">
        <v>336.68</v>
      </c>
      <c r="U10298" s="16"/>
      <c r="V10298" s="16"/>
      <c r="W10298" s="16" t="s">
        <v>40</v>
      </c>
      <c r="X10298" s="19">
        <v>0.19700000000000001</v>
      </c>
      <c r="Y10298" s="20">
        <v>1.7639999999999999E-3</v>
      </c>
      <c r="Z10298" s="21">
        <v>4601004226432</v>
      </c>
    </row>
    <row r="10299" spans="1:26" ht="12" customHeight="1" outlineLevel="4" x14ac:dyDescent="0.2">
      <c r="A10299" s="14" t="s">
        <v>19591</v>
      </c>
      <c r="B10299" s="26" t="s">
        <v>19592</v>
      </c>
      <c r="C10299" s="52"/>
      <c r="D10299" s="55">
        <f t="shared" si="160"/>
        <v>0</v>
      </c>
      <c r="E10299" s="63" t="str">
        <f>HYPERLINK("https://www.sds-group.ru/product/svetilnik-zhkh-led-pylevlagozaschischennyy-krug-ip65-30vt-2850lm-6500k-rexant-607-285/", "Инфо")</f>
        <v>Инфо</v>
      </c>
      <c r="F10299" s="16" t="s">
        <v>39</v>
      </c>
      <c r="G10299" s="15"/>
      <c r="H10299" s="15"/>
      <c r="I10299" s="15"/>
      <c r="J10299" s="22">
        <v>1402</v>
      </c>
      <c r="K10299" s="15" t="s">
        <v>1519</v>
      </c>
      <c r="L10299" s="17">
        <v>1</v>
      </c>
      <c r="M10299" s="17">
        <v>60</v>
      </c>
      <c r="N10299" s="17">
        <v>1</v>
      </c>
      <c r="O10299" s="18">
        <v>678.87</v>
      </c>
      <c r="P10299" s="18">
        <v>556.45000000000005</v>
      </c>
      <c r="Q10299" s="18">
        <v>543.1</v>
      </c>
      <c r="R10299" s="18">
        <v>445.16</v>
      </c>
      <c r="S10299" s="18">
        <v>461.63</v>
      </c>
      <c r="T10299" s="18">
        <v>378.39</v>
      </c>
      <c r="U10299" s="16"/>
      <c r="V10299" s="16"/>
      <c r="W10299" s="16" t="s">
        <v>40</v>
      </c>
      <c r="X10299" s="19">
        <v>0.2</v>
      </c>
      <c r="Y10299" s="20">
        <v>1.647E-3</v>
      </c>
      <c r="Z10299" s="21">
        <v>4601004226494</v>
      </c>
    </row>
    <row r="10300" spans="1:26" ht="12" customHeight="1" outlineLevel="4" x14ac:dyDescent="0.2">
      <c r="A10300" s="14" t="s">
        <v>19593</v>
      </c>
      <c r="B10300" s="26" t="s">
        <v>19594</v>
      </c>
      <c r="C10300" s="52"/>
      <c r="D10300" s="55">
        <f t="shared" si="160"/>
        <v>0</v>
      </c>
      <c r="E10300" s="63" t="str">
        <f>HYPERLINK("https://www.sds-group.ru/product/svetilnik-zhkh-led-pylevlagozaschischennyy-krug-ip65-30vt-2850lm-6500k-s-mikrovolnovym-datch-607-286/", "Инфо")</f>
        <v>Инфо</v>
      </c>
      <c r="F10300" s="16" t="s">
        <v>39</v>
      </c>
      <c r="G10300" s="15"/>
      <c r="H10300" s="15"/>
      <c r="I10300" s="15"/>
      <c r="J10300" s="17">
        <v>743</v>
      </c>
      <c r="K10300" s="15"/>
      <c r="L10300" s="17">
        <v>1</v>
      </c>
      <c r="M10300" s="17">
        <v>60</v>
      </c>
      <c r="N10300" s="17">
        <v>1</v>
      </c>
      <c r="O10300" s="18">
        <v>959.87</v>
      </c>
      <c r="P10300" s="18">
        <v>786.78</v>
      </c>
      <c r="Q10300" s="18">
        <v>758.3</v>
      </c>
      <c r="R10300" s="18">
        <v>621.55999999999995</v>
      </c>
      <c r="S10300" s="18">
        <v>652.71</v>
      </c>
      <c r="T10300" s="18">
        <v>535.01</v>
      </c>
      <c r="U10300" s="16"/>
      <c r="V10300" s="16"/>
      <c r="W10300" s="16" t="s">
        <v>40</v>
      </c>
      <c r="X10300" s="19">
        <v>0.20699999999999999</v>
      </c>
      <c r="Y10300" s="20">
        <v>1.647E-3</v>
      </c>
      <c r="Z10300" s="21">
        <v>4601004226500</v>
      </c>
    </row>
    <row r="10301" spans="1:26" ht="12" customHeight="1" outlineLevel="4" x14ac:dyDescent="0.2">
      <c r="A10301" s="14" t="s">
        <v>19595</v>
      </c>
      <c r="B10301" s="26" t="s">
        <v>19596</v>
      </c>
      <c r="C10301" s="52"/>
      <c r="D10301" s="55">
        <f t="shared" si="160"/>
        <v>0</v>
      </c>
      <c r="E10301" s="63" t="str">
        <f>HYPERLINK("https://www.sds-group.ru/product/svetilnik-zhkh-led-pylevlagozaschischennyy-krug-ip65-30vt-2850lm-6500k-s-mikrovolnovym-datch-607-287/", "Инфо")</f>
        <v>Инфо</v>
      </c>
      <c r="F10301" s="16" t="s">
        <v>39</v>
      </c>
      <c r="G10301" s="15"/>
      <c r="H10301" s="15"/>
      <c r="I10301" s="15"/>
      <c r="J10301" s="16" t="s">
        <v>100</v>
      </c>
      <c r="K10301" s="15" t="s">
        <v>4013</v>
      </c>
      <c r="L10301" s="17">
        <v>1</v>
      </c>
      <c r="M10301" s="17">
        <v>30</v>
      </c>
      <c r="N10301" s="17">
        <v>1</v>
      </c>
      <c r="O10301" s="18">
        <v>999.9</v>
      </c>
      <c r="P10301" s="18">
        <v>819.59</v>
      </c>
      <c r="Q10301" s="18">
        <v>789.92</v>
      </c>
      <c r="R10301" s="18">
        <v>647.48</v>
      </c>
      <c r="S10301" s="18">
        <v>679.93</v>
      </c>
      <c r="T10301" s="18">
        <v>557.32000000000005</v>
      </c>
      <c r="U10301" s="16"/>
      <c r="V10301" s="16"/>
      <c r="W10301" s="16" t="s">
        <v>40</v>
      </c>
      <c r="X10301" s="19">
        <v>0.20699999999999999</v>
      </c>
      <c r="Y10301" s="20">
        <v>1.647E-3</v>
      </c>
      <c r="Z10301" s="21">
        <v>4601004226517</v>
      </c>
    </row>
    <row r="10302" spans="1:26" ht="12" customHeight="1" outlineLevel="4" x14ac:dyDescent="0.2">
      <c r="A10302" s="14" t="s">
        <v>19597</v>
      </c>
      <c r="B10302" s="26" t="s">
        <v>19598</v>
      </c>
      <c r="C10302" s="52"/>
      <c r="D10302" s="55">
        <f t="shared" si="160"/>
        <v>0</v>
      </c>
      <c r="E10302" s="63" t="str">
        <f>HYPERLINK("https://www.sds-group.ru/product/svetilnik-zhkh-led-pylevlagozaschischennyy-krug-ip65-8vt-760lm-4000k-rexant-607-250/", "Инфо")</f>
        <v>Инфо</v>
      </c>
      <c r="F10302" s="16" t="s">
        <v>39</v>
      </c>
      <c r="G10302" s="15"/>
      <c r="H10302" s="15"/>
      <c r="I10302" s="15"/>
      <c r="J10302" s="16" t="s">
        <v>100</v>
      </c>
      <c r="K10302" s="15"/>
      <c r="L10302" s="17">
        <v>5</v>
      </c>
      <c r="M10302" s="17">
        <v>40</v>
      </c>
      <c r="N10302" s="17">
        <v>5</v>
      </c>
      <c r="O10302" s="18">
        <v>204.81</v>
      </c>
      <c r="P10302" s="18">
        <v>167.88</v>
      </c>
      <c r="Q10302" s="18">
        <v>174.09</v>
      </c>
      <c r="R10302" s="18">
        <v>142.69999999999999</v>
      </c>
      <c r="S10302" s="18">
        <v>139.27000000000001</v>
      </c>
      <c r="T10302" s="18">
        <v>114.16</v>
      </c>
      <c r="U10302" s="16"/>
      <c r="V10302" s="16"/>
      <c r="W10302" s="16" t="s">
        <v>40</v>
      </c>
      <c r="X10302" s="19">
        <v>9.8000000000000004E-2</v>
      </c>
      <c r="Y10302" s="20">
        <v>8.6499999999999999E-4</v>
      </c>
      <c r="Z10302" s="21">
        <v>4601004226661</v>
      </c>
    </row>
    <row r="10303" spans="1:26" ht="12" customHeight="1" outlineLevel="4" x14ac:dyDescent="0.2">
      <c r="A10303" s="14" t="s">
        <v>19599</v>
      </c>
      <c r="B10303" s="26" t="s">
        <v>19600</v>
      </c>
      <c r="C10303" s="52"/>
      <c r="D10303" s="55">
        <f t="shared" si="160"/>
        <v>0</v>
      </c>
      <c r="E10303" s="63" t="str">
        <f>HYPERLINK("https://www.sds-group.ru/product/svetilnik-zhkh-led-pylevlagozaschischennyy-krug-ip65-8vt-760lm-6500k-rexant-607-201/", "Инфо")</f>
        <v>Инфо</v>
      </c>
      <c r="F10303" s="16" t="s">
        <v>39</v>
      </c>
      <c r="G10303" s="15"/>
      <c r="H10303" s="15"/>
      <c r="I10303" s="15"/>
      <c r="J10303" s="22">
        <v>2741</v>
      </c>
      <c r="K10303" s="15"/>
      <c r="L10303" s="17">
        <v>5</v>
      </c>
      <c r="M10303" s="17">
        <v>40</v>
      </c>
      <c r="N10303" s="17">
        <v>5</v>
      </c>
      <c r="O10303" s="18">
        <v>204.81</v>
      </c>
      <c r="P10303" s="18">
        <v>167.88</v>
      </c>
      <c r="Q10303" s="18">
        <v>174.09</v>
      </c>
      <c r="R10303" s="18">
        <v>142.69999999999999</v>
      </c>
      <c r="S10303" s="18">
        <v>139.27000000000001</v>
      </c>
      <c r="T10303" s="18">
        <v>114.16</v>
      </c>
      <c r="U10303" s="16"/>
      <c r="V10303" s="16"/>
      <c r="W10303" s="16" t="s">
        <v>40</v>
      </c>
      <c r="X10303" s="19">
        <v>0.14499999999999999</v>
      </c>
      <c r="Y10303" s="20">
        <v>1.178E-3</v>
      </c>
      <c r="Z10303" s="21">
        <v>4601004177765</v>
      </c>
    </row>
    <row r="10304" spans="1:26" ht="12" customHeight="1" outlineLevel="4" x14ac:dyDescent="0.2">
      <c r="A10304" s="14" t="s">
        <v>19601</v>
      </c>
      <c r="B10304" s="26" t="s">
        <v>19602</v>
      </c>
      <c r="C10304" s="52"/>
      <c r="D10304" s="55">
        <f t="shared" si="160"/>
        <v>0</v>
      </c>
      <c r="E10304" s="63" t="str">
        <f>HYPERLINK("https://www.sds-group.ru/product/svetilnik-zhkh-led-pylevlagozaschischennyy-krug-ip65-8vt-760lm-6500k-s-mikrovolnovym-datchik-607-256/", "Инфо")</f>
        <v>Инфо</v>
      </c>
      <c r="F10304" s="16" t="s">
        <v>39</v>
      </c>
      <c r="G10304" s="15"/>
      <c r="H10304" s="15"/>
      <c r="I10304" s="15"/>
      <c r="J10304" s="17">
        <v>554</v>
      </c>
      <c r="K10304" s="15" t="s">
        <v>4013</v>
      </c>
      <c r="L10304" s="17">
        <v>5</v>
      </c>
      <c r="M10304" s="17">
        <v>40</v>
      </c>
      <c r="N10304" s="17">
        <v>5</v>
      </c>
      <c r="O10304" s="18">
        <v>397.12</v>
      </c>
      <c r="P10304" s="18">
        <v>325.51</v>
      </c>
      <c r="Q10304" s="18">
        <v>317.7</v>
      </c>
      <c r="R10304" s="18">
        <v>260.41000000000003</v>
      </c>
      <c r="S10304" s="18">
        <v>270.04000000000002</v>
      </c>
      <c r="T10304" s="18">
        <v>221.34</v>
      </c>
      <c r="U10304" s="16"/>
      <c r="V10304" s="16"/>
      <c r="W10304" s="16" t="s">
        <v>40</v>
      </c>
      <c r="X10304" s="19">
        <v>9.8000000000000004E-2</v>
      </c>
      <c r="Y10304" s="20">
        <v>8.6200000000000003E-4</v>
      </c>
      <c r="Z10304" s="21">
        <v>4601004226203</v>
      </c>
    </row>
    <row r="10305" spans="1:26" ht="12" customHeight="1" outlineLevel="4" x14ac:dyDescent="0.2">
      <c r="A10305" s="14" t="s">
        <v>19603</v>
      </c>
      <c r="B10305" s="26" t="s">
        <v>19604</v>
      </c>
      <c r="C10305" s="52"/>
      <c r="D10305" s="55">
        <f t="shared" si="160"/>
        <v>0</v>
      </c>
      <c r="E10305" s="63" t="str">
        <f>HYPERLINK("https://www.sds-group.ru/product/svetilnik-zhkh-led-pylevlagozaschischennyy-oval-ip65-12vt-1140lm-4000k-rexant-607-263/", "Инфо")</f>
        <v>Инфо</v>
      </c>
      <c r="F10305" s="16" t="s">
        <v>39</v>
      </c>
      <c r="G10305" s="15"/>
      <c r="H10305" s="15"/>
      <c r="I10305" s="15"/>
      <c r="J10305" s="17">
        <v>18</v>
      </c>
      <c r="K10305" s="15" t="s">
        <v>10151</v>
      </c>
      <c r="L10305" s="17">
        <v>5</v>
      </c>
      <c r="M10305" s="17">
        <v>100</v>
      </c>
      <c r="N10305" s="17">
        <v>5</v>
      </c>
      <c r="O10305" s="18">
        <v>296.99</v>
      </c>
      <c r="P10305" s="18">
        <v>243.43</v>
      </c>
      <c r="Q10305" s="18">
        <v>252.44</v>
      </c>
      <c r="R10305" s="18">
        <v>206.92</v>
      </c>
      <c r="S10305" s="18">
        <v>201.95</v>
      </c>
      <c r="T10305" s="18">
        <v>165.53</v>
      </c>
      <c r="U10305" s="16"/>
      <c r="V10305" s="16"/>
      <c r="W10305" s="16" t="s">
        <v>40</v>
      </c>
      <c r="X10305" s="19">
        <v>8.1000000000000003E-2</v>
      </c>
      <c r="Y10305" s="20">
        <v>6.8900000000000005E-4</v>
      </c>
      <c r="Z10305" s="21">
        <v>4601004226272</v>
      </c>
    </row>
    <row r="10306" spans="1:26" ht="12" customHeight="1" outlineLevel="4" x14ac:dyDescent="0.2">
      <c r="A10306" s="14" t="s">
        <v>19605</v>
      </c>
      <c r="B10306" s="26" t="s">
        <v>19606</v>
      </c>
      <c r="C10306" s="52"/>
      <c r="D10306" s="55">
        <f t="shared" si="160"/>
        <v>0</v>
      </c>
      <c r="E10306" s="63" t="str">
        <f>HYPERLINK("https://www.sds-group.ru/product/svetilnik-zhkh-led-pylevlagozaschischennyy-oval-ip65-12vt-1140lm-6500k-rexant-607-205/", "Инфо")</f>
        <v>Инфо</v>
      </c>
      <c r="F10306" s="16" t="s">
        <v>39</v>
      </c>
      <c r="G10306" s="15"/>
      <c r="H10306" s="15"/>
      <c r="I10306" s="15"/>
      <c r="J10306" s="22">
        <v>1068</v>
      </c>
      <c r="K10306" s="15"/>
      <c r="L10306" s="17">
        <v>5</v>
      </c>
      <c r="M10306" s="17">
        <v>100</v>
      </c>
      <c r="N10306" s="17">
        <v>5</v>
      </c>
      <c r="O10306" s="18">
        <v>281.47000000000003</v>
      </c>
      <c r="P10306" s="18">
        <v>230.71</v>
      </c>
      <c r="Q10306" s="18">
        <v>239.25</v>
      </c>
      <c r="R10306" s="18">
        <v>196.11</v>
      </c>
      <c r="S10306" s="18">
        <v>191.4</v>
      </c>
      <c r="T10306" s="18">
        <v>156.88999999999999</v>
      </c>
      <c r="U10306" s="16"/>
      <c r="V10306" s="16"/>
      <c r="W10306" s="16" t="s">
        <v>40</v>
      </c>
      <c r="X10306" s="19">
        <v>0.09</v>
      </c>
      <c r="Y10306" s="20">
        <v>6.0700000000000001E-4</v>
      </c>
      <c r="Z10306" s="21">
        <v>4601004177802</v>
      </c>
    </row>
    <row r="10307" spans="1:26" ht="12" customHeight="1" outlineLevel="4" x14ac:dyDescent="0.2">
      <c r="A10307" s="14" t="s">
        <v>19607</v>
      </c>
      <c r="B10307" s="26" t="s">
        <v>19608</v>
      </c>
      <c r="C10307" s="52"/>
      <c r="D10307" s="55">
        <f t="shared" si="160"/>
        <v>0</v>
      </c>
      <c r="E10307" s="63" t="str">
        <f>HYPERLINK("https://www.sds-group.ru/product/svetilnik-zhkh-led-pylevlagozaschischennyy-oval-ip65-12vt-1140lm-6500k-s-mikrovolnovym-datch-607-209/", "Инфо")</f>
        <v>Инфо</v>
      </c>
      <c r="F10307" s="16" t="s">
        <v>39</v>
      </c>
      <c r="G10307" s="15"/>
      <c r="H10307" s="15"/>
      <c r="I10307" s="15"/>
      <c r="J10307" s="17">
        <v>617</v>
      </c>
      <c r="K10307" s="15"/>
      <c r="L10307" s="17">
        <v>5</v>
      </c>
      <c r="M10307" s="17">
        <v>100</v>
      </c>
      <c r="N10307" s="17">
        <v>5</v>
      </c>
      <c r="O10307" s="18">
        <v>399.78</v>
      </c>
      <c r="P10307" s="18">
        <v>327.69</v>
      </c>
      <c r="Q10307" s="18">
        <v>319.82</v>
      </c>
      <c r="R10307" s="18">
        <v>262.14999999999998</v>
      </c>
      <c r="S10307" s="18">
        <v>271.85000000000002</v>
      </c>
      <c r="T10307" s="18">
        <v>222.83</v>
      </c>
      <c r="U10307" s="16"/>
      <c r="V10307" s="16"/>
      <c r="W10307" s="16" t="s">
        <v>40</v>
      </c>
      <c r="X10307" s="19">
        <v>8.4000000000000005E-2</v>
      </c>
      <c r="Y10307" s="20">
        <v>5.9999999999999995E-4</v>
      </c>
      <c r="Z10307" s="21">
        <v>4601004177840</v>
      </c>
    </row>
    <row r="10308" spans="1:26" ht="12" customHeight="1" outlineLevel="4" x14ac:dyDescent="0.2">
      <c r="A10308" s="14" t="s">
        <v>19609</v>
      </c>
      <c r="B10308" s="26" t="s">
        <v>19610</v>
      </c>
      <c r="C10308" s="52"/>
      <c r="D10308" s="55">
        <f t="shared" si="160"/>
        <v>0</v>
      </c>
      <c r="E10308" s="63" t="str">
        <f>HYPERLINK("https://www.sds-group.ru/product/svetilnik-zhkh-led-pylevlagozaschischennyy-oval-ip65-18vt-1710lm-4000k-rexant-607-271/", "Инфо")</f>
        <v>Инфо</v>
      </c>
      <c r="F10308" s="16" t="s">
        <v>39</v>
      </c>
      <c r="G10308" s="15"/>
      <c r="H10308" s="15"/>
      <c r="I10308" s="15"/>
      <c r="J10308" s="17">
        <v>328</v>
      </c>
      <c r="K10308" s="15" t="s">
        <v>10151</v>
      </c>
      <c r="L10308" s="17">
        <v>5</v>
      </c>
      <c r="M10308" s="17">
        <v>40</v>
      </c>
      <c r="N10308" s="17">
        <v>5</v>
      </c>
      <c r="O10308" s="18">
        <v>397.53</v>
      </c>
      <c r="P10308" s="18">
        <v>325.83999999999997</v>
      </c>
      <c r="Q10308" s="18">
        <v>318.02</v>
      </c>
      <c r="R10308" s="18">
        <v>260.67</v>
      </c>
      <c r="S10308" s="18">
        <v>270.32</v>
      </c>
      <c r="T10308" s="18">
        <v>221.57</v>
      </c>
      <c r="U10308" s="16"/>
      <c r="V10308" s="16"/>
      <c r="W10308" s="16" t="s">
        <v>40</v>
      </c>
      <c r="X10308" s="19">
        <v>0.11799999999999999</v>
      </c>
      <c r="Y10308" s="20">
        <v>7.7999999999999999E-4</v>
      </c>
      <c r="Z10308" s="21">
        <v>4601004226357</v>
      </c>
    </row>
    <row r="10309" spans="1:26" ht="12" customHeight="1" outlineLevel="4" x14ac:dyDescent="0.2">
      <c r="A10309" s="14" t="s">
        <v>19611</v>
      </c>
      <c r="B10309" s="26" t="s">
        <v>19612</v>
      </c>
      <c r="C10309" s="52"/>
      <c r="D10309" s="55">
        <f t="shared" si="160"/>
        <v>0</v>
      </c>
      <c r="E10309" s="63" t="str">
        <f>HYPERLINK("https://www.sds-group.ru/product/svetilnik-zhkh-led-pylevlagozaschischennyy-oval-ip65-18vt-1710lm-6500k-rexant-607-206/", "Инфо")</f>
        <v>Инфо</v>
      </c>
      <c r="F10309" s="16" t="s">
        <v>39</v>
      </c>
      <c r="G10309" s="15"/>
      <c r="H10309" s="15"/>
      <c r="I10309" s="15"/>
      <c r="J10309" s="17">
        <v>517</v>
      </c>
      <c r="K10309" s="15" t="s">
        <v>4013</v>
      </c>
      <c r="L10309" s="17">
        <v>1</v>
      </c>
      <c r="M10309" s="17">
        <v>100</v>
      </c>
      <c r="N10309" s="17">
        <v>1</v>
      </c>
      <c r="O10309" s="18">
        <v>419.13</v>
      </c>
      <c r="P10309" s="18">
        <v>343.55</v>
      </c>
      <c r="Q10309" s="18">
        <v>335.3</v>
      </c>
      <c r="R10309" s="18">
        <v>274.83999999999997</v>
      </c>
      <c r="S10309" s="18">
        <v>285.01</v>
      </c>
      <c r="T10309" s="18">
        <v>233.61</v>
      </c>
      <c r="U10309" s="16"/>
      <c r="V10309" s="16"/>
      <c r="W10309" s="16" t="s">
        <v>40</v>
      </c>
      <c r="X10309" s="19">
        <v>0.121</v>
      </c>
      <c r="Y10309" s="20">
        <v>8.2200000000000003E-4</v>
      </c>
      <c r="Z10309" s="21">
        <v>4601004177819</v>
      </c>
    </row>
    <row r="10310" spans="1:26" ht="12" customHeight="1" outlineLevel="4" x14ac:dyDescent="0.2">
      <c r="A10310" s="14" t="s">
        <v>19613</v>
      </c>
      <c r="B10310" s="26" t="s">
        <v>19614</v>
      </c>
      <c r="C10310" s="52"/>
      <c r="D10310" s="55">
        <f t="shared" si="160"/>
        <v>0</v>
      </c>
      <c r="E10310" s="63" t="str">
        <f>HYPERLINK("https://www.sds-group.ru/product/svetilnik-zhkh-led-pylevlagozaschischennyy-oval-ip65-18vt-1710lm-6500k-s-mikrovolnovym-datch-607-210/", "Инфо")</f>
        <v>Инфо</v>
      </c>
      <c r="F10310" s="16" t="s">
        <v>39</v>
      </c>
      <c r="G10310" s="15"/>
      <c r="H10310" s="15"/>
      <c r="I10310" s="15"/>
      <c r="J10310" s="17">
        <v>965</v>
      </c>
      <c r="K10310" s="15"/>
      <c r="L10310" s="17">
        <v>1</v>
      </c>
      <c r="M10310" s="17">
        <v>40</v>
      </c>
      <c r="N10310" s="17">
        <v>1</v>
      </c>
      <c r="O10310" s="18">
        <v>590.77</v>
      </c>
      <c r="P10310" s="18">
        <v>484.24</v>
      </c>
      <c r="Q10310" s="18">
        <v>466.71</v>
      </c>
      <c r="R10310" s="18">
        <v>382.55</v>
      </c>
      <c r="S10310" s="18">
        <v>401.72</v>
      </c>
      <c r="T10310" s="18">
        <v>329.28</v>
      </c>
      <c r="U10310" s="16"/>
      <c r="V10310" s="16"/>
      <c r="W10310" s="16" t="s">
        <v>40</v>
      </c>
      <c r="X10310" s="19">
        <v>0.11799999999999999</v>
      </c>
      <c r="Y10310" s="20">
        <v>7.7999999999999999E-4</v>
      </c>
      <c r="Z10310" s="21">
        <v>4601004177772</v>
      </c>
    </row>
    <row r="10311" spans="1:26" ht="12" customHeight="1" outlineLevel="4" x14ac:dyDescent="0.2">
      <c r="A10311" s="14" t="s">
        <v>19615</v>
      </c>
      <c r="B10311" s="26" t="s">
        <v>19616</v>
      </c>
      <c r="C10311" s="52"/>
      <c r="D10311" s="55">
        <f t="shared" si="160"/>
        <v>0</v>
      </c>
      <c r="E10311" s="63" t="str">
        <f>HYPERLINK("https://www.sds-group.ru/product/svetilnik-zhkh-led-pylevlagozaschischennyy-oval-ip65-8vt-760lm-4000k-rexant-607-253/", "Инфо")</f>
        <v>Инфо</v>
      </c>
      <c r="F10311" s="16" t="s">
        <v>39</v>
      </c>
      <c r="G10311" s="15"/>
      <c r="H10311" s="15"/>
      <c r="I10311" s="15"/>
      <c r="J10311" s="17">
        <v>880</v>
      </c>
      <c r="K10311" s="15"/>
      <c r="L10311" s="17">
        <v>5</v>
      </c>
      <c r="M10311" s="17">
        <v>100</v>
      </c>
      <c r="N10311" s="17">
        <v>5</v>
      </c>
      <c r="O10311" s="18">
        <v>216.8</v>
      </c>
      <c r="P10311" s="18">
        <v>177.7</v>
      </c>
      <c r="Q10311" s="18">
        <v>184.28</v>
      </c>
      <c r="R10311" s="18">
        <v>151.05000000000001</v>
      </c>
      <c r="S10311" s="18">
        <v>147.41999999999999</v>
      </c>
      <c r="T10311" s="18">
        <v>120.84</v>
      </c>
      <c r="U10311" s="16"/>
      <c r="V10311" s="16"/>
      <c r="W10311" s="16" t="s">
        <v>40</v>
      </c>
      <c r="X10311" s="19">
        <v>8.7999999999999995E-2</v>
      </c>
      <c r="Y10311" s="20">
        <v>5.9999999999999995E-4</v>
      </c>
      <c r="Z10311" s="21">
        <v>4601004226173</v>
      </c>
    </row>
    <row r="10312" spans="1:26" ht="12" customHeight="1" outlineLevel="4" x14ac:dyDescent="0.2">
      <c r="A10312" s="14" t="s">
        <v>19617</v>
      </c>
      <c r="B10312" s="26" t="s">
        <v>19618</v>
      </c>
      <c r="C10312" s="52"/>
      <c r="D10312" s="55">
        <f t="shared" si="160"/>
        <v>0</v>
      </c>
      <c r="E10312" s="63" t="str">
        <f>HYPERLINK("https://www.sds-group.ru/product/svetilnik-zhkh-led-pylevlagozaschischennyy-oval-ip65-8vt-760lm-6500k-rexant-607-204/", "Инфо")</f>
        <v>Инфо</v>
      </c>
      <c r="F10312" s="16" t="s">
        <v>39</v>
      </c>
      <c r="G10312" s="15"/>
      <c r="H10312" s="15"/>
      <c r="I10312" s="15"/>
      <c r="J10312" s="17">
        <v>568</v>
      </c>
      <c r="K10312" s="15"/>
      <c r="L10312" s="17">
        <v>5</v>
      </c>
      <c r="M10312" s="17">
        <v>100</v>
      </c>
      <c r="N10312" s="17">
        <v>5</v>
      </c>
      <c r="O10312" s="18">
        <v>216.8</v>
      </c>
      <c r="P10312" s="18">
        <v>177.7</v>
      </c>
      <c r="Q10312" s="18">
        <v>184.28</v>
      </c>
      <c r="R10312" s="18">
        <v>151.05000000000001</v>
      </c>
      <c r="S10312" s="18">
        <v>147.41999999999999</v>
      </c>
      <c r="T10312" s="18">
        <v>120.84</v>
      </c>
      <c r="U10312" s="16"/>
      <c r="V10312" s="16"/>
      <c r="W10312" s="16" t="s">
        <v>40</v>
      </c>
      <c r="X10312" s="19">
        <v>0.113</v>
      </c>
      <c r="Y10312" s="20">
        <v>7.3399999999999995E-4</v>
      </c>
      <c r="Z10312" s="21">
        <v>4601004177796</v>
      </c>
    </row>
    <row r="10313" spans="1:26" ht="12" customHeight="1" outlineLevel="4" x14ac:dyDescent="0.2">
      <c r="A10313" s="14" t="s">
        <v>19619</v>
      </c>
      <c r="B10313" s="26" t="s">
        <v>19620</v>
      </c>
      <c r="C10313" s="52"/>
      <c r="D10313" s="55">
        <f t="shared" ref="D10313:D10376" si="161">C10313*(O10313-O10313*$G$3)</f>
        <v>0</v>
      </c>
      <c r="E10313" s="63" t="str">
        <f>HYPERLINK("https://www.sds-group.ru/product/svetilnik-zhkh-led-pylevlagozaschischennyy-oval-ip65-8vt-760lm-6500k-s-mikrovolnovym-datchik-607-258/", "Инфо")</f>
        <v>Инфо</v>
      </c>
      <c r="F10313" s="16" t="s">
        <v>39</v>
      </c>
      <c r="G10313" s="15"/>
      <c r="H10313" s="15"/>
      <c r="I10313" s="15"/>
      <c r="J10313" s="22">
        <v>1353</v>
      </c>
      <c r="K10313" s="15"/>
      <c r="L10313" s="17">
        <v>1</v>
      </c>
      <c r="M10313" s="17">
        <v>40</v>
      </c>
      <c r="N10313" s="17">
        <v>1</v>
      </c>
      <c r="O10313" s="18">
        <v>502.87</v>
      </c>
      <c r="P10313" s="18">
        <v>412.19</v>
      </c>
      <c r="Q10313" s="18">
        <v>402.3</v>
      </c>
      <c r="R10313" s="18">
        <v>329.75</v>
      </c>
      <c r="S10313" s="18">
        <v>341.95</v>
      </c>
      <c r="T10313" s="18">
        <v>280.29000000000002</v>
      </c>
      <c r="U10313" s="16"/>
      <c r="V10313" s="16"/>
      <c r="W10313" s="16" t="s">
        <v>40</v>
      </c>
      <c r="X10313" s="19">
        <v>8.2000000000000003E-2</v>
      </c>
      <c r="Y10313" s="20">
        <v>6.7500000000000004E-4</v>
      </c>
      <c r="Z10313" s="21">
        <v>4601004226227</v>
      </c>
    </row>
    <row r="10314" spans="1:26" ht="12" customHeight="1" outlineLevel="4" x14ac:dyDescent="0.2">
      <c r="A10314" s="32" t="s">
        <v>19621</v>
      </c>
      <c r="B10314" s="74" t="s">
        <v>19622</v>
      </c>
      <c r="C10314" s="50"/>
      <c r="D10314" s="53">
        <f t="shared" si="161"/>
        <v>0</v>
      </c>
      <c r="E10314" s="60" t="str">
        <f>HYPERLINK("https://www.sds-group.ru/product/svetilnik-zhkh-03-pod-lampu-krug-190x85mm-ip65-rexant-621-1128/", "Инфо")</f>
        <v>Инфо</v>
      </c>
      <c r="F10314" s="34" t="s">
        <v>39</v>
      </c>
      <c r="G10314" s="33"/>
      <c r="H10314" s="33" t="s">
        <v>40</v>
      </c>
      <c r="I10314" s="33"/>
      <c r="J10314" s="35">
        <v>33</v>
      </c>
      <c r="K10314" s="33"/>
      <c r="L10314" s="35">
        <v>1</v>
      </c>
      <c r="M10314" s="35">
        <v>20</v>
      </c>
      <c r="N10314" s="35">
        <v>1</v>
      </c>
      <c r="O10314" s="36">
        <v>694.52</v>
      </c>
      <c r="P10314" s="36">
        <v>569.28</v>
      </c>
      <c r="Q10314" s="36">
        <v>555.62</v>
      </c>
      <c r="R10314" s="36">
        <v>455.43</v>
      </c>
      <c r="S10314" s="36">
        <v>472.27</v>
      </c>
      <c r="T10314" s="36">
        <v>387.11</v>
      </c>
      <c r="U10314" s="34"/>
      <c r="V10314" s="34"/>
      <c r="W10314" s="34" t="s">
        <v>40</v>
      </c>
      <c r="X10314" s="37">
        <v>0.64900000000000002</v>
      </c>
      <c r="Y10314" s="38">
        <v>3.0699999999999998E-3</v>
      </c>
      <c r="Z10314" s="21">
        <v>4601004277311</v>
      </c>
    </row>
    <row r="10315" spans="1:26" ht="12" customHeight="1" outlineLevel="4" x14ac:dyDescent="0.2">
      <c r="A10315" s="32" t="s">
        <v>19623</v>
      </c>
      <c r="B10315" s="74" t="s">
        <v>19624</v>
      </c>
      <c r="C10315" s="50"/>
      <c r="D10315" s="53">
        <f t="shared" si="161"/>
        <v>0</v>
      </c>
      <c r="E10315" s="60" t="str">
        <f>HYPERLINK("https://www.sds-group.ru/product/svetilnik-zhkh-03-pod-lampu-krug-250h105mm-ip65-rexant-621-1129/", "Инфо")</f>
        <v>Инфо</v>
      </c>
      <c r="F10315" s="34" t="s">
        <v>39</v>
      </c>
      <c r="G10315" s="33"/>
      <c r="H10315" s="33" t="s">
        <v>40</v>
      </c>
      <c r="I10315" s="33"/>
      <c r="J10315" s="35">
        <v>22</v>
      </c>
      <c r="K10315" s="33"/>
      <c r="L10315" s="35">
        <v>1</v>
      </c>
      <c r="M10315" s="35">
        <v>20</v>
      </c>
      <c r="N10315" s="35">
        <v>1</v>
      </c>
      <c r="O10315" s="36">
        <v>1061.49</v>
      </c>
      <c r="P10315" s="36">
        <v>870.07</v>
      </c>
      <c r="Q10315" s="36">
        <v>838.58</v>
      </c>
      <c r="R10315" s="36">
        <v>687.36</v>
      </c>
      <c r="S10315" s="36">
        <v>721.81</v>
      </c>
      <c r="T10315" s="36">
        <v>591.65</v>
      </c>
      <c r="U10315" s="34"/>
      <c r="V10315" s="34"/>
      <c r="W10315" s="34" t="s">
        <v>40</v>
      </c>
      <c r="X10315" s="37">
        <v>1.292</v>
      </c>
      <c r="Y10315" s="38">
        <v>6.8659999999999997E-3</v>
      </c>
      <c r="Z10315" s="21">
        <v>4601004277328</v>
      </c>
    </row>
    <row r="10316" spans="1:26" ht="12.95" customHeight="1" outlineLevel="3" x14ac:dyDescent="0.2">
      <c r="A10316" s="76" t="s">
        <v>19625</v>
      </c>
      <c r="B10316" s="76"/>
      <c r="C10316" s="77"/>
      <c r="D10316" s="58"/>
      <c r="E10316" s="68"/>
      <c r="F10316" s="13"/>
      <c r="G10316" s="13"/>
      <c r="H10316" s="13"/>
      <c r="I10316" s="13"/>
      <c r="J10316" s="13"/>
      <c r="K10316" s="13"/>
      <c r="L10316" s="13"/>
      <c r="M10316" s="13"/>
      <c r="N10316" s="13"/>
      <c r="O10316" s="13"/>
      <c r="P10316" s="13"/>
      <c r="Q10316" s="13"/>
      <c r="R10316" s="13"/>
      <c r="S10316" s="13"/>
      <c r="T10316" s="13"/>
      <c r="U10316" s="13"/>
      <c r="V10316" s="13"/>
      <c r="W10316" s="13"/>
      <c r="X10316" s="13"/>
      <c r="Y10316" s="13"/>
      <c r="Z10316" s="13"/>
    </row>
    <row r="10317" spans="1:26" ht="12" customHeight="1" outlineLevel="4" x14ac:dyDescent="0.2">
      <c r="A10317" s="32" t="s">
        <v>19626</v>
      </c>
      <c r="B10317" s="74" t="s">
        <v>19627</v>
      </c>
      <c r="C10317" s="50"/>
      <c r="D10317" s="53">
        <f t="shared" si="161"/>
        <v>0</v>
      </c>
      <c r="E10317" s="60" t="str">
        <f>HYPERLINK("https://www.sds-group.ru/product/svetilnik-lineynyy-t5-16vt-ip20-4000k-neytralnyy-svet-1179mm-s-vyklyuchatelem-i-soedinitelem-607-217/", "Инфо")</f>
        <v>Инфо</v>
      </c>
      <c r="F10317" s="34" t="s">
        <v>39</v>
      </c>
      <c r="G10317" s="33"/>
      <c r="H10317" s="33" t="s">
        <v>40</v>
      </c>
      <c r="I10317" s="33"/>
      <c r="J10317" s="35">
        <v>919</v>
      </c>
      <c r="K10317" s="33"/>
      <c r="L10317" s="35">
        <v>1</v>
      </c>
      <c r="M10317" s="35">
        <v>25</v>
      </c>
      <c r="N10317" s="35">
        <v>1</v>
      </c>
      <c r="O10317" s="36">
        <v>357.53</v>
      </c>
      <c r="P10317" s="36">
        <v>293.06</v>
      </c>
      <c r="Q10317" s="36">
        <v>250.27</v>
      </c>
      <c r="R10317" s="36">
        <v>205.14</v>
      </c>
      <c r="S10317" s="36">
        <v>243.12</v>
      </c>
      <c r="T10317" s="36">
        <v>199.28</v>
      </c>
      <c r="U10317" s="34"/>
      <c r="V10317" s="34"/>
      <c r="W10317" s="34"/>
      <c r="X10317" s="37">
        <v>0.23400000000000001</v>
      </c>
      <c r="Y10317" s="38">
        <v>1.4E-3</v>
      </c>
      <c r="Z10317" s="21">
        <v>4601004177697</v>
      </c>
    </row>
    <row r="10318" spans="1:26" ht="12" customHeight="1" outlineLevel="4" x14ac:dyDescent="0.2">
      <c r="A10318" s="32" t="s">
        <v>19628</v>
      </c>
      <c r="B10318" s="74" t="s">
        <v>19629</v>
      </c>
      <c r="C10318" s="50"/>
      <c r="D10318" s="53">
        <f t="shared" si="161"/>
        <v>0</v>
      </c>
      <c r="E10318" s="60" t="str">
        <f>HYPERLINK("https://www.sds-group.ru/product/svetilnik-lineynyy-t5-16vt-ip20-6500k-holodnyy-svet-1179-mm-s-vyklyuchatelem-i-soedinitelem--607-218/", "Инфо")</f>
        <v>Инфо</v>
      </c>
      <c r="F10318" s="34" t="s">
        <v>39</v>
      </c>
      <c r="G10318" s="33"/>
      <c r="H10318" s="33" t="s">
        <v>40</v>
      </c>
      <c r="I10318" s="33"/>
      <c r="J10318" s="39">
        <v>1829</v>
      </c>
      <c r="K10318" s="33"/>
      <c r="L10318" s="35">
        <v>1</v>
      </c>
      <c r="M10318" s="35">
        <v>25</v>
      </c>
      <c r="N10318" s="35">
        <v>1</v>
      </c>
      <c r="O10318" s="36">
        <v>357.53</v>
      </c>
      <c r="P10318" s="36">
        <v>293.06</v>
      </c>
      <c r="Q10318" s="36">
        <v>250.27</v>
      </c>
      <c r="R10318" s="36">
        <v>205.14</v>
      </c>
      <c r="S10318" s="36">
        <v>243.12</v>
      </c>
      <c r="T10318" s="36">
        <v>199.28</v>
      </c>
      <c r="U10318" s="34"/>
      <c r="V10318" s="34"/>
      <c r="W10318" s="34"/>
      <c r="X10318" s="37">
        <v>0.23699999999999999</v>
      </c>
      <c r="Y10318" s="38">
        <v>1.397E-3</v>
      </c>
      <c r="Z10318" s="21">
        <v>4601004177710</v>
      </c>
    </row>
    <row r="10319" spans="1:26" ht="12.95" customHeight="1" outlineLevel="3" x14ac:dyDescent="0.2">
      <c r="A10319" s="76" t="s">
        <v>19630</v>
      </c>
      <c r="B10319" s="76"/>
      <c r="C10319" s="77"/>
      <c r="D10319" s="58"/>
      <c r="E10319" s="68"/>
      <c r="F10319" s="13"/>
      <c r="G10319" s="13"/>
      <c r="H10319" s="13"/>
      <c r="I10319" s="13"/>
      <c r="J10319" s="13"/>
      <c r="K10319" s="13"/>
      <c r="L10319" s="13"/>
      <c r="M10319" s="13"/>
      <c r="N10319" s="13"/>
      <c r="O10319" s="13"/>
      <c r="P10319" s="13"/>
      <c r="Q10319" s="13"/>
      <c r="R10319" s="13"/>
      <c r="S10319" s="13"/>
      <c r="T10319" s="13"/>
      <c r="U10319" s="13"/>
      <c r="V10319" s="13"/>
      <c r="W10319" s="13"/>
      <c r="X10319" s="13"/>
      <c r="Y10319" s="13"/>
      <c r="Z10319" s="13"/>
    </row>
    <row r="10320" spans="1:26" ht="12" customHeight="1" outlineLevel="4" x14ac:dyDescent="0.2">
      <c r="A10320" s="32" t="s">
        <v>19631</v>
      </c>
      <c r="B10320" s="74" t="s">
        <v>19632</v>
      </c>
      <c r="C10320" s="50"/>
      <c r="D10320" s="53">
        <f t="shared" si="161"/>
        <v>0</v>
      </c>
      <c r="E10320" s="60" t="str">
        <f>HYPERLINK("https://www.sds-group.ru/product/svetilnik-dpo-pod-svetodiodnuyu-lampu-2ht8-1200mm-ip20-bez-pra-rexant-621-1125/", "Инфо")</f>
        <v>Инфо</v>
      </c>
      <c r="F10320" s="34" t="s">
        <v>39</v>
      </c>
      <c r="G10320" s="33"/>
      <c r="H10320" s="33" t="s">
        <v>40</v>
      </c>
      <c r="I10320" s="33"/>
      <c r="J10320" s="35">
        <v>16</v>
      </c>
      <c r="K10320" s="33"/>
      <c r="L10320" s="35">
        <v>1</v>
      </c>
      <c r="M10320" s="35">
        <v>20</v>
      </c>
      <c r="N10320" s="35">
        <v>1</v>
      </c>
      <c r="O10320" s="36">
        <v>716.85</v>
      </c>
      <c r="P10320" s="36">
        <v>587.58000000000004</v>
      </c>
      <c r="Q10320" s="36">
        <v>501.8</v>
      </c>
      <c r="R10320" s="36">
        <v>411.31</v>
      </c>
      <c r="S10320" s="36">
        <v>487.46</v>
      </c>
      <c r="T10320" s="36">
        <v>399.56</v>
      </c>
      <c r="U10320" s="34"/>
      <c r="V10320" s="34"/>
      <c r="W10320" s="34"/>
      <c r="X10320" s="37">
        <v>0.67600000000000005</v>
      </c>
      <c r="Y10320" s="38">
        <v>8.1600000000000006E-3</v>
      </c>
      <c r="Z10320" s="21">
        <v>4601004265981</v>
      </c>
    </row>
    <row r="10321" spans="1:26" ht="12" customHeight="1" outlineLevel="4" x14ac:dyDescent="0.2">
      <c r="A10321" s="32" t="s">
        <v>19633</v>
      </c>
      <c r="B10321" s="74" t="s">
        <v>19634</v>
      </c>
      <c r="C10321" s="50"/>
      <c r="D10321" s="53">
        <f t="shared" si="161"/>
        <v>0</v>
      </c>
      <c r="E10321" s="60" t="str">
        <f>HYPERLINK("https://www.sds-group.ru/product/svetilnik-dpo-pod-svetodiodnuyu-lampu-2ht8-600mm-ip20-bez-pra-rexant-621-1124/", "Инфо")</f>
        <v>Инфо</v>
      </c>
      <c r="F10321" s="34" t="s">
        <v>39</v>
      </c>
      <c r="G10321" s="33"/>
      <c r="H10321" s="33" t="s">
        <v>40</v>
      </c>
      <c r="I10321" s="33"/>
      <c r="J10321" s="34" t="s">
        <v>100</v>
      </c>
      <c r="K10321" s="33"/>
      <c r="L10321" s="35">
        <v>1</v>
      </c>
      <c r="M10321" s="35">
        <v>12</v>
      </c>
      <c r="N10321" s="35">
        <v>1</v>
      </c>
      <c r="O10321" s="36">
        <v>405.08</v>
      </c>
      <c r="P10321" s="36">
        <v>332.03</v>
      </c>
      <c r="Q10321" s="36">
        <v>283.56</v>
      </c>
      <c r="R10321" s="36">
        <v>232.43</v>
      </c>
      <c r="S10321" s="36">
        <v>275.45</v>
      </c>
      <c r="T10321" s="36">
        <v>225.78</v>
      </c>
      <c r="U10321" s="34"/>
      <c r="V10321" s="34"/>
      <c r="W10321" s="34"/>
      <c r="X10321" s="37">
        <v>0.36599999999999999</v>
      </c>
      <c r="Y10321" s="38">
        <v>4.4159999999999998E-3</v>
      </c>
      <c r="Z10321" s="21">
        <v>4601004265974</v>
      </c>
    </row>
    <row r="10322" spans="1:26" ht="12.95" customHeight="1" outlineLevel="2" x14ac:dyDescent="0.2">
      <c r="A10322" s="82" t="s">
        <v>19635</v>
      </c>
      <c r="B10322" s="82"/>
      <c r="C10322" s="83"/>
      <c r="D10322" s="59"/>
      <c r="E10322" s="69"/>
      <c r="F10322" s="23"/>
      <c r="G10322" s="23"/>
      <c r="H10322" s="23"/>
      <c r="I10322" s="23"/>
      <c r="J10322" s="23"/>
      <c r="K10322" s="23"/>
      <c r="L10322" s="23"/>
      <c r="M10322" s="23"/>
      <c r="N10322" s="23"/>
      <c r="O10322" s="23"/>
      <c r="P10322" s="23"/>
      <c r="Q10322" s="23"/>
      <c r="R10322" s="23"/>
      <c r="S10322" s="23"/>
      <c r="T10322" s="23"/>
      <c r="U10322" s="23"/>
      <c r="V10322" s="23"/>
      <c r="W10322" s="23"/>
      <c r="X10322" s="23"/>
      <c r="Y10322" s="23"/>
      <c r="Z10322" s="23"/>
    </row>
    <row r="10323" spans="1:26" ht="12" customHeight="1" outlineLevel="3" x14ac:dyDescent="0.2">
      <c r="A10323" s="14" t="s">
        <v>19636</v>
      </c>
      <c r="B10323" s="26" t="s">
        <v>19637</v>
      </c>
      <c r="C10323" s="52"/>
      <c r="D10323" s="55">
        <f t="shared" si="161"/>
        <v>0</v>
      </c>
      <c r="E10323" s="63" t="str">
        <f>HYPERLINK("https://www.sds-group.ru/product/usb-nochnik-svetodiodnyy-rexant-75-0600/", "Инфо")</f>
        <v>Инфо</v>
      </c>
      <c r="F10323" s="16" t="s">
        <v>39</v>
      </c>
      <c r="G10323" s="15"/>
      <c r="H10323" s="15"/>
      <c r="I10323" s="15"/>
      <c r="J10323" s="22">
        <v>2104</v>
      </c>
      <c r="K10323" s="15"/>
      <c r="L10323" s="17">
        <v>5</v>
      </c>
      <c r="M10323" s="17">
        <v>200</v>
      </c>
      <c r="N10323" s="17">
        <v>5</v>
      </c>
      <c r="O10323" s="18">
        <v>442.24</v>
      </c>
      <c r="P10323" s="18">
        <v>362.49</v>
      </c>
      <c r="Q10323" s="18">
        <v>353.79</v>
      </c>
      <c r="R10323" s="18">
        <v>289.99</v>
      </c>
      <c r="S10323" s="18">
        <v>300.72000000000003</v>
      </c>
      <c r="T10323" s="18">
        <v>246.49</v>
      </c>
      <c r="U10323" s="16"/>
      <c r="V10323" s="16"/>
      <c r="W10323" s="16" t="s">
        <v>40</v>
      </c>
      <c r="X10323" s="19">
        <v>0.02</v>
      </c>
      <c r="Y10323" s="20">
        <v>1.54E-4</v>
      </c>
      <c r="Z10323" s="21">
        <v>4601004302150</v>
      </c>
    </row>
    <row r="10324" spans="1:26" ht="12" customHeight="1" outlineLevel="3" x14ac:dyDescent="0.2">
      <c r="A10324" s="32" t="s">
        <v>19638</v>
      </c>
      <c r="B10324" s="74" t="s">
        <v>19639</v>
      </c>
      <c r="C10324" s="50"/>
      <c r="D10324" s="53">
        <f t="shared" si="161"/>
        <v>0</v>
      </c>
      <c r="E10324" s="60" t="str">
        <f>HYPERLINK("https://www.sds-group.ru/product/komplekt-2sht-up-nochnik-svetodiodnyy-lunnaya-noch-blue-pitanie-ot-seti-ac-230-v-50-gts-75-0311-1/", "Инфо")</f>
        <v>Инфо</v>
      </c>
      <c r="F10324" s="34" t="s">
        <v>1001</v>
      </c>
      <c r="G10324" s="33"/>
      <c r="H10324" s="33" t="s">
        <v>40</v>
      </c>
      <c r="I10324" s="33"/>
      <c r="J10324" s="35">
        <v>111</v>
      </c>
      <c r="K10324" s="33"/>
      <c r="L10324" s="35">
        <v>1</v>
      </c>
      <c r="M10324" s="35">
        <v>30</v>
      </c>
      <c r="N10324" s="35">
        <v>1</v>
      </c>
      <c r="O10324" s="36">
        <v>215.28</v>
      </c>
      <c r="P10324" s="36">
        <v>176.46</v>
      </c>
      <c r="Q10324" s="36">
        <v>150.69999999999999</v>
      </c>
      <c r="R10324" s="36">
        <v>123.52</v>
      </c>
      <c r="S10324" s="36">
        <v>146.38999999999999</v>
      </c>
      <c r="T10324" s="36">
        <v>119.99</v>
      </c>
      <c r="U10324" s="34"/>
      <c r="V10324" s="34"/>
      <c r="W10324" s="34"/>
      <c r="X10324" s="37">
        <v>0.111</v>
      </c>
      <c r="Y10324" s="38">
        <v>1.085E-3</v>
      </c>
      <c r="Z10324" s="21">
        <v>4601004261150</v>
      </c>
    </row>
    <row r="10325" spans="1:26" ht="12" customHeight="1" outlineLevel="3" x14ac:dyDescent="0.2">
      <c r="A10325" s="32" t="s">
        <v>19640</v>
      </c>
      <c r="B10325" s="74" t="s">
        <v>19641</v>
      </c>
      <c r="C10325" s="50"/>
      <c r="D10325" s="53">
        <f t="shared" si="161"/>
        <v>0</v>
      </c>
      <c r="E10325" s="60" t="str">
        <f>HYPERLINK("https://www.sds-group.ru/product/komplekt-2sht-up-nochnik-svetodiodnyy-mahaon-belyy-pitanie-ot-seti-ac-230-v-50-gts-75-0316-1/", "Инфо")</f>
        <v>Инфо</v>
      </c>
      <c r="F10325" s="34" t="s">
        <v>1001</v>
      </c>
      <c r="G10325" s="33"/>
      <c r="H10325" s="33" t="s">
        <v>40</v>
      </c>
      <c r="I10325" s="33"/>
      <c r="J10325" s="35">
        <v>20</v>
      </c>
      <c r="K10325" s="33"/>
      <c r="L10325" s="35">
        <v>1</v>
      </c>
      <c r="M10325" s="35">
        <v>10</v>
      </c>
      <c r="N10325" s="35">
        <v>1</v>
      </c>
      <c r="O10325" s="36">
        <v>241.55</v>
      </c>
      <c r="P10325" s="36">
        <v>197.99</v>
      </c>
      <c r="Q10325" s="36">
        <v>169.09</v>
      </c>
      <c r="R10325" s="36">
        <v>138.6</v>
      </c>
      <c r="S10325" s="36">
        <v>164.25</v>
      </c>
      <c r="T10325" s="36">
        <v>134.63</v>
      </c>
      <c r="U10325" s="34"/>
      <c r="V10325" s="34"/>
      <c r="W10325" s="34"/>
      <c r="X10325" s="37">
        <v>0.14699999999999999</v>
      </c>
      <c r="Y10325" s="38">
        <v>2.2590000000000002E-3</v>
      </c>
      <c r="Z10325" s="21">
        <v>4601004261167</v>
      </c>
    </row>
    <row r="10326" spans="1:26" ht="12" customHeight="1" outlineLevel="3" x14ac:dyDescent="0.2">
      <c r="A10326" s="32" t="s">
        <v>19642</v>
      </c>
      <c r="B10326" s="74" t="s">
        <v>19643</v>
      </c>
      <c r="C10326" s="50"/>
      <c r="D10326" s="53">
        <f t="shared" si="161"/>
        <v>0</v>
      </c>
      <c r="E10326" s="60" t="str">
        <f>HYPERLINK("https://www.sds-group.ru/product/nochnik-svetodiodnyy-lunnaya-noch-beloe-svechenie-230v-rexant-75-0310/", "Инфо")</f>
        <v>Инфо</v>
      </c>
      <c r="F10326" s="34" t="s">
        <v>39</v>
      </c>
      <c r="G10326" s="33"/>
      <c r="H10326" s="33" t="s">
        <v>40</v>
      </c>
      <c r="I10326" s="33"/>
      <c r="J10326" s="39">
        <v>2694</v>
      </c>
      <c r="K10326" s="33"/>
      <c r="L10326" s="35">
        <v>1</v>
      </c>
      <c r="M10326" s="35">
        <v>60</v>
      </c>
      <c r="N10326" s="35">
        <v>1</v>
      </c>
      <c r="O10326" s="36">
        <v>35.93</v>
      </c>
      <c r="P10326" s="36">
        <v>29.45</v>
      </c>
      <c r="Q10326" s="36">
        <v>25.15</v>
      </c>
      <c r="R10326" s="36">
        <v>20.61</v>
      </c>
      <c r="S10326" s="36">
        <v>24.43</v>
      </c>
      <c r="T10326" s="36">
        <v>20.02</v>
      </c>
      <c r="U10326" s="34"/>
      <c r="V10326" s="34"/>
      <c r="W10326" s="34"/>
      <c r="X10326" s="37">
        <v>5.2999999999999999E-2</v>
      </c>
      <c r="Y10326" s="38">
        <v>6.7299999999999999E-4</v>
      </c>
      <c r="Z10326" s="21">
        <v>4601004182301</v>
      </c>
    </row>
    <row r="10327" spans="1:26" ht="12" customHeight="1" outlineLevel="3" x14ac:dyDescent="0.2">
      <c r="A10327" s="32" t="s">
        <v>19644</v>
      </c>
      <c r="B10327" s="74" t="s">
        <v>19645</v>
      </c>
      <c r="C10327" s="50"/>
      <c r="D10327" s="53">
        <f t="shared" si="161"/>
        <v>0</v>
      </c>
      <c r="E10327" s="60" t="str">
        <f>HYPERLINK("https://www.sds-group.ru/product/nochnik-svetodiodnyy-parus-odinokiy-beloe-svechenie-230v-rexant-75-0312/", "Инфо")</f>
        <v>Инфо</v>
      </c>
      <c r="F10327" s="34" t="s">
        <v>39</v>
      </c>
      <c r="G10327" s="33"/>
      <c r="H10327" s="33" t="s">
        <v>40</v>
      </c>
      <c r="I10327" s="33"/>
      <c r="J10327" s="39">
        <v>1459</v>
      </c>
      <c r="K10327" s="33"/>
      <c r="L10327" s="35">
        <v>1</v>
      </c>
      <c r="M10327" s="35">
        <v>60</v>
      </c>
      <c r="N10327" s="35">
        <v>1</v>
      </c>
      <c r="O10327" s="36">
        <v>35.93</v>
      </c>
      <c r="P10327" s="36">
        <v>29.45</v>
      </c>
      <c r="Q10327" s="36">
        <v>25.15</v>
      </c>
      <c r="R10327" s="36">
        <v>20.61</v>
      </c>
      <c r="S10327" s="36">
        <v>24.43</v>
      </c>
      <c r="T10327" s="36">
        <v>20.02</v>
      </c>
      <c r="U10327" s="34"/>
      <c r="V10327" s="34"/>
      <c r="W10327" s="34"/>
      <c r="X10327" s="37">
        <v>5.7000000000000002E-2</v>
      </c>
      <c r="Y10327" s="38">
        <v>6.7000000000000002E-4</v>
      </c>
      <c r="Z10327" s="21">
        <v>4601004182226</v>
      </c>
    </row>
    <row r="10328" spans="1:26" ht="12" customHeight="1" outlineLevel="3" x14ac:dyDescent="0.2">
      <c r="A10328" s="32" t="s">
        <v>19646</v>
      </c>
      <c r="B10328" s="74" t="s">
        <v>19647</v>
      </c>
      <c r="C10328" s="50"/>
      <c r="D10328" s="53">
        <f t="shared" si="161"/>
        <v>0</v>
      </c>
      <c r="E10328" s="60" t="str">
        <f>HYPERLINK("https://www.sds-group.ru/product/nochnik-svetodiodnyy-parus-odinokiy-goluboe-svechenie-230v-rexant-75-0313/", "Инфо")</f>
        <v>Инфо</v>
      </c>
      <c r="F10328" s="34" t="s">
        <v>39</v>
      </c>
      <c r="G10328" s="33"/>
      <c r="H10328" s="33" t="s">
        <v>40</v>
      </c>
      <c r="I10328" s="33"/>
      <c r="J10328" s="34" t="s">
        <v>100</v>
      </c>
      <c r="K10328" s="33"/>
      <c r="L10328" s="35">
        <v>1</v>
      </c>
      <c r="M10328" s="35">
        <v>60</v>
      </c>
      <c r="N10328" s="35">
        <v>1</v>
      </c>
      <c r="O10328" s="36">
        <v>35.93</v>
      </c>
      <c r="P10328" s="36">
        <v>29.45</v>
      </c>
      <c r="Q10328" s="36">
        <v>25.15</v>
      </c>
      <c r="R10328" s="36">
        <v>20.61</v>
      </c>
      <c r="S10328" s="36">
        <v>24.43</v>
      </c>
      <c r="T10328" s="36">
        <v>20.02</v>
      </c>
      <c r="U10328" s="34"/>
      <c r="V10328" s="34"/>
      <c r="W10328" s="34"/>
      <c r="X10328" s="37">
        <v>5.6000000000000001E-2</v>
      </c>
      <c r="Y10328" s="38">
        <v>6.4300000000000002E-4</v>
      </c>
      <c r="Z10328" s="21">
        <v>4601004182233</v>
      </c>
    </row>
    <row r="10329" spans="1:26" ht="12" customHeight="1" outlineLevel="3" x14ac:dyDescent="0.2">
      <c r="A10329" s="32" t="s">
        <v>19648</v>
      </c>
      <c r="B10329" s="74" t="s">
        <v>19649</v>
      </c>
      <c r="C10329" s="50"/>
      <c r="D10329" s="53">
        <f t="shared" si="161"/>
        <v>0</v>
      </c>
      <c r="E10329" s="60" t="str">
        <f>HYPERLINK("https://www.sds-group.ru/product/nochnik-svetodiodnyy-romashka-hameleon-svechenie-multikolor-7-tsvetov-230v-rexant-75-0318/", "Инфо")</f>
        <v>Инфо</v>
      </c>
      <c r="F10329" s="34" t="s">
        <v>39</v>
      </c>
      <c r="G10329" s="33"/>
      <c r="H10329" s="33" t="s">
        <v>40</v>
      </c>
      <c r="I10329" s="33"/>
      <c r="J10329" s="39">
        <v>3160</v>
      </c>
      <c r="K10329" s="33"/>
      <c r="L10329" s="35">
        <v>1</v>
      </c>
      <c r="M10329" s="35">
        <v>60</v>
      </c>
      <c r="N10329" s="35">
        <v>1</v>
      </c>
      <c r="O10329" s="36">
        <v>35.93</v>
      </c>
      <c r="P10329" s="36">
        <v>29.45</v>
      </c>
      <c r="Q10329" s="36">
        <v>25.15</v>
      </c>
      <c r="R10329" s="36">
        <v>20.61</v>
      </c>
      <c r="S10329" s="36">
        <v>24.43</v>
      </c>
      <c r="T10329" s="36">
        <v>20.02</v>
      </c>
      <c r="U10329" s="34"/>
      <c r="V10329" s="34"/>
      <c r="W10329" s="34"/>
      <c r="X10329" s="37">
        <v>0.06</v>
      </c>
      <c r="Y10329" s="38">
        <v>6.38E-4</v>
      </c>
      <c r="Z10329" s="21">
        <v>4601004182288</v>
      </c>
    </row>
    <row r="10330" spans="1:26" ht="12" customHeight="1" outlineLevel="3" x14ac:dyDescent="0.2">
      <c r="A10330" s="32" t="s">
        <v>19650</v>
      </c>
      <c r="B10330" s="74" t="s">
        <v>19651</v>
      </c>
      <c r="C10330" s="50"/>
      <c r="D10330" s="53">
        <f t="shared" si="161"/>
        <v>0</v>
      </c>
      <c r="E10330" s="60" t="str">
        <f>HYPERLINK("https://www.sds-group.ru/product/nochnik-svetodiodnyy-snezhinka-hameleon-svechenie-multikolor-7-tsvetov-230v-rexant-75-0317/", "Инфо")</f>
        <v>Инфо</v>
      </c>
      <c r="F10330" s="34" t="s">
        <v>39</v>
      </c>
      <c r="G10330" s="33"/>
      <c r="H10330" s="33" t="s">
        <v>40</v>
      </c>
      <c r="I10330" s="33"/>
      <c r="J10330" s="35">
        <v>273</v>
      </c>
      <c r="K10330" s="33"/>
      <c r="L10330" s="35">
        <v>1</v>
      </c>
      <c r="M10330" s="35">
        <v>60</v>
      </c>
      <c r="N10330" s="35">
        <v>1</v>
      </c>
      <c r="O10330" s="36">
        <v>185.55</v>
      </c>
      <c r="P10330" s="36">
        <v>152.09</v>
      </c>
      <c r="Q10330" s="36">
        <v>129.88999999999999</v>
      </c>
      <c r="R10330" s="36">
        <v>106.47</v>
      </c>
      <c r="S10330" s="36">
        <v>126.17</v>
      </c>
      <c r="T10330" s="36">
        <v>103.42</v>
      </c>
      <c r="U10330" s="34"/>
      <c r="V10330" s="34"/>
      <c r="W10330" s="34"/>
      <c r="X10330" s="37">
        <v>6.7000000000000004E-2</v>
      </c>
      <c r="Y10330" s="38">
        <v>6.3400000000000001E-4</v>
      </c>
      <c r="Z10330" s="21">
        <v>4601004182271</v>
      </c>
    </row>
    <row r="10331" spans="1:26" ht="12" customHeight="1" outlineLevel="3" x14ac:dyDescent="0.2">
      <c r="A10331" s="32" t="s">
        <v>19652</v>
      </c>
      <c r="B10331" s="74" t="s">
        <v>19653</v>
      </c>
      <c r="C10331" s="50"/>
      <c r="D10331" s="53">
        <f t="shared" si="161"/>
        <v>0</v>
      </c>
      <c r="E10331" s="60" t="str">
        <f>HYPERLINK("https://www.sds-group.ru/product/nochnik-svetodiodnyy-steklyannyy-medved-rexant-75-0603/", "Инфо")</f>
        <v>Инфо</v>
      </c>
      <c r="F10331" s="34" t="s">
        <v>39</v>
      </c>
      <c r="G10331" s="33"/>
      <c r="H10331" s="33" t="s">
        <v>40</v>
      </c>
      <c r="I10331" s="33" t="s">
        <v>19654</v>
      </c>
      <c r="J10331" s="35">
        <v>4</v>
      </c>
      <c r="K10331" s="33"/>
      <c r="L10331" s="35">
        <v>1</v>
      </c>
      <c r="M10331" s="35">
        <v>12</v>
      </c>
      <c r="N10331" s="35">
        <v>1</v>
      </c>
      <c r="O10331" s="36">
        <v>1482.79</v>
      </c>
      <c r="P10331" s="36">
        <v>1215.4000000000001</v>
      </c>
      <c r="Q10331" s="36">
        <v>1037.95</v>
      </c>
      <c r="R10331" s="36">
        <v>850.78</v>
      </c>
      <c r="S10331" s="36">
        <v>1008.3</v>
      </c>
      <c r="T10331" s="36">
        <v>826.48</v>
      </c>
      <c r="U10331" s="34"/>
      <c r="V10331" s="34"/>
      <c r="W10331" s="34"/>
      <c r="X10331" s="37">
        <v>0.28899999999999998</v>
      </c>
      <c r="Y10331" s="38">
        <v>3.0309999999999998E-3</v>
      </c>
      <c r="Z10331" s="21">
        <v>4601004302600</v>
      </c>
    </row>
    <row r="10332" spans="1:26" ht="12" customHeight="1" outlineLevel="3" x14ac:dyDescent="0.2">
      <c r="A10332" s="32" t="s">
        <v>19655</v>
      </c>
      <c r="B10332" s="74" t="s">
        <v>19656</v>
      </c>
      <c r="C10332" s="50"/>
      <c r="D10332" s="53">
        <f t="shared" si="161"/>
        <v>0</v>
      </c>
      <c r="E10332" s="60" t="str">
        <f>HYPERLINK("https://www.sds-group.ru/product/nochnik-svetodiodnyy-fakel-hameleon-svechenie-multikolor-7-tsvetov-230v-rexant-75-0319/", "Инфо")</f>
        <v>Инфо</v>
      </c>
      <c r="F10332" s="34" t="s">
        <v>39</v>
      </c>
      <c r="G10332" s="33"/>
      <c r="H10332" s="33" t="s">
        <v>40</v>
      </c>
      <c r="I10332" s="33"/>
      <c r="J10332" s="35">
        <v>73</v>
      </c>
      <c r="K10332" s="33"/>
      <c r="L10332" s="35">
        <v>1</v>
      </c>
      <c r="M10332" s="35">
        <v>60</v>
      </c>
      <c r="N10332" s="35">
        <v>1</v>
      </c>
      <c r="O10332" s="36">
        <v>35.93</v>
      </c>
      <c r="P10332" s="36">
        <v>29.45</v>
      </c>
      <c r="Q10332" s="36">
        <v>25.15</v>
      </c>
      <c r="R10332" s="36">
        <v>20.61</v>
      </c>
      <c r="S10332" s="36">
        <v>24.43</v>
      </c>
      <c r="T10332" s="36">
        <v>20.02</v>
      </c>
      <c r="U10332" s="34"/>
      <c r="V10332" s="34"/>
      <c r="W10332" s="34"/>
      <c r="X10332" s="37">
        <v>6.6000000000000003E-2</v>
      </c>
      <c r="Y10332" s="38">
        <v>6.6799999999999997E-4</v>
      </c>
      <c r="Z10332" s="21">
        <v>4601004182295</v>
      </c>
    </row>
    <row r="10333" spans="1:26" ht="12" customHeight="1" outlineLevel="3" x14ac:dyDescent="0.2">
      <c r="A10333" s="32" t="s">
        <v>19657</v>
      </c>
      <c r="B10333" s="74" t="s">
        <v>19658</v>
      </c>
      <c r="C10333" s="50"/>
      <c r="D10333" s="53">
        <f t="shared" si="161"/>
        <v>0</v>
      </c>
      <c r="E10333" s="60" t="str">
        <f>HYPERLINK("https://www.sds-group.ru/product/nochnik-svetodiodnyy-hameleon-mini-220v-proconnect-75-0304/", "Инфо")</f>
        <v>Инфо</v>
      </c>
      <c r="F10333" s="34" t="s">
        <v>39</v>
      </c>
      <c r="G10333" s="33"/>
      <c r="H10333" s="33" t="s">
        <v>40</v>
      </c>
      <c r="I10333" s="33"/>
      <c r="J10333" s="39">
        <v>5925</v>
      </c>
      <c r="K10333" s="33"/>
      <c r="L10333" s="35">
        <v>1</v>
      </c>
      <c r="M10333" s="35">
        <v>100</v>
      </c>
      <c r="N10333" s="35">
        <v>1</v>
      </c>
      <c r="O10333" s="36">
        <v>35.93</v>
      </c>
      <c r="P10333" s="36">
        <v>29.45</v>
      </c>
      <c r="Q10333" s="36">
        <v>25.15</v>
      </c>
      <c r="R10333" s="36">
        <v>20.61</v>
      </c>
      <c r="S10333" s="36">
        <v>24.43</v>
      </c>
      <c r="T10333" s="36">
        <v>20.02</v>
      </c>
      <c r="U10333" s="34"/>
      <c r="V10333" s="34"/>
      <c r="W10333" s="34"/>
      <c r="X10333" s="37">
        <v>4.1000000000000002E-2</v>
      </c>
      <c r="Y10333" s="38">
        <v>4.8099999999999998E-4</v>
      </c>
      <c r="Z10333" s="21">
        <v>4601004138018</v>
      </c>
    </row>
    <row r="10334" spans="1:26" ht="12.95" customHeight="1" outlineLevel="2" x14ac:dyDescent="0.2">
      <c r="A10334" s="76" t="s">
        <v>19659</v>
      </c>
      <c r="B10334" s="76"/>
      <c r="C10334" s="77"/>
      <c r="D10334" s="58"/>
      <c r="E10334" s="68"/>
      <c r="F10334" s="13"/>
      <c r="G10334" s="13"/>
      <c r="H10334" s="13"/>
      <c r="I10334" s="13"/>
      <c r="J10334" s="13"/>
      <c r="K10334" s="13"/>
      <c r="L10334" s="13"/>
      <c r="M10334" s="13"/>
      <c r="N10334" s="13"/>
      <c r="O10334" s="13"/>
      <c r="P10334" s="13"/>
      <c r="Q10334" s="13"/>
      <c r="R10334" s="13"/>
      <c r="S10334" s="13"/>
      <c r="T10334" s="13"/>
      <c r="U10334" s="13"/>
      <c r="V10334" s="13"/>
      <c r="W10334" s="13"/>
      <c r="X10334" s="13"/>
      <c r="Y10334" s="13"/>
      <c r="Z10334" s="13"/>
    </row>
    <row r="10335" spans="1:26" ht="12.95" customHeight="1" outlineLevel="3" x14ac:dyDescent="0.2">
      <c r="A10335" s="76" t="s">
        <v>19660</v>
      </c>
      <c r="B10335" s="76"/>
      <c r="C10335" s="77"/>
      <c r="D10335" s="58"/>
      <c r="E10335" s="68"/>
      <c r="F10335" s="13"/>
      <c r="G10335" s="13"/>
      <c r="H10335" s="13"/>
      <c r="I10335" s="13"/>
      <c r="J10335" s="13"/>
      <c r="K10335" s="13"/>
      <c r="L10335" s="13"/>
      <c r="M10335" s="13"/>
      <c r="N10335" s="13"/>
      <c r="O10335" s="13"/>
      <c r="P10335" s="13"/>
      <c r="Q10335" s="13"/>
      <c r="R10335" s="13"/>
      <c r="S10335" s="13"/>
      <c r="T10335" s="13"/>
      <c r="U10335" s="13"/>
      <c r="V10335" s="13"/>
      <c r="W10335" s="13"/>
      <c r="X10335" s="13"/>
      <c r="Y10335" s="13"/>
      <c r="Z10335" s="13"/>
    </row>
    <row r="10336" spans="1:26" ht="12" customHeight="1" outlineLevel="4" x14ac:dyDescent="0.2">
      <c r="A10336" s="32" t="s">
        <v>19661</v>
      </c>
      <c r="B10336" s="74" t="s">
        <v>19662</v>
      </c>
      <c r="C10336" s="50"/>
      <c r="D10336" s="53">
        <f t="shared" si="161"/>
        <v>0</v>
      </c>
      <c r="E10336" s="60" t="str">
        <f>HYPERLINK("https://www.sds-group.ru/product/lampa-filamentnaya-svecha-cn35-7-5vt-600lm-2700k-e27-prozrachnaya-kolba-rexant-604-085/", "Инфо")</f>
        <v>Инфо</v>
      </c>
      <c r="F10336" s="34" t="s">
        <v>39</v>
      </c>
      <c r="G10336" s="33"/>
      <c r="H10336" s="33" t="s">
        <v>40</v>
      </c>
      <c r="I10336" s="33"/>
      <c r="J10336" s="35">
        <v>580</v>
      </c>
      <c r="K10336" s="33"/>
      <c r="L10336" s="35">
        <v>10</v>
      </c>
      <c r="M10336" s="35">
        <v>100</v>
      </c>
      <c r="N10336" s="35">
        <v>10</v>
      </c>
      <c r="O10336" s="36">
        <v>70.069999999999993</v>
      </c>
      <c r="P10336" s="36">
        <v>57.43</v>
      </c>
      <c r="Q10336" s="36">
        <v>49.05</v>
      </c>
      <c r="R10336" s="36">
        <v>40.200000000000003</v>
      </c>
      <c r="S10336" s="36">
        <v>47.65</v>
      </c>
      <c r="T10336" s="36">
        <v>39.06</v>
      </c>
      <c r="U10336" s="34"/>
      <c r="V10336" s="34"/>
      <c r="W10336" s="34"/>
      <c r="X10336" s="37">
        <v>0.03</v>
      </c>
      <c r="Y10336" s="38">
        <v>1.8200000000000001E-4</v>
      </c>
      <c r="Z10336" s="21">
        <v>4601004185937</v>
      </c>
    </row>
    <row r="10337" spans="1:26" ht="12" customHeight="1" outlineLevel="4" x14ac:dyDescent="0.2">
      <c r="A10337" s="32" t="s">
        <v>19663</v>
      </c>
      <c r="B10337" s="74" t="s">
        <v>19664</v>
      </c>
      <c r="C10337" s="50"/>
      <c r="D10337" s="53">
        <f t="shared" si="161"/>
        <v>0</v>
      </c>
      <c r="E10337" s="60" t="str">
        <f>HYPERLINK("https://www.sds-group.ru/product/lampa-filamentnaya-svecha-cn35-7-5vt-600lm-4000k-e27-prozrachnaya-kolba-rexant-604-086/", "Инфо")</f>
        <v>Инфо</v>
      </c>
      <c r="F10337" s="34" t="s">
        <v>39</v>
      </c>
      <c r="G10337" s="33"/>
      <c r="H10337" s="33" t="s">
        <v>40</v>
      </c>
      <c r="I10337" s="33"/>
      <c r="J10337" s="39">
        <v>3606</v>
      </c>
      <c r="K10337" s="33"/>
      <c r="L10337" s="35">
        <v>10</v>
      </c>
      <c r="M10337" s="35">
        <v>100</v>
      </c>
      <c r="N10337" s="35">
        <v>10</v>
      </c>
      <c r="O10337" s="36">
        <v>70.069999999999993</v>
      </c>
      <c r="P10337" s="36">
        <v>57.43</v>
      </c>
      <c r="Q10337" s="36">
        <v>49.05</v>
      </c>
      <c r="R10337" s="36">
        <v>40.200000000000003</v>
      </c>
      <c r="S10337" s="36">
        <v>47.65</v>
      </c>
      <c r="T10337" s="36">
        <v>39.06</v>
      </c>
      <c r="U10337" s="34"/>
      <c r="V10337" s="34"/>
      <c r="W10337" s="34"/>
      <c r="X10337" s="37">
        <v>0.03</v>
      </c>
      <c r="Y10337" s="38">
        <v>1.9599999999999999E-4</v>
      </c>
      <c r="Z10337" s="21">
        <v>4601004185944</v>
      </c>
    </row>
    <row r="10338" spans="1:26" ht="12" customHeight="1" outlineLevel="4" x14ac:dyDescent="0.2">
      <c r="A10338" s="32" t="s">
        <v>19665</v>
      </c>
      <c r="B10338" s="74" t="s">
        <v>19666</v>
      </c>
      <c r="C10338" s="50"/>
      <c r="D10338" s="53">
        <f t="shared" si="161"/>
        <v>0</v>
      </c>
      <c r="E10338" s="60" t="str">
        <f>HYPERLINK("https://www.sds-group.ru/product/lampa-filamentnaya-svecha-cn35-9-5vt-915lm-4000k-e27-matovaya-kolba-rexant-604-098/", "Инфо")</f>
        <v>Инфо</v>
      </c>
      <c r="F10338" s="34" t="s">
        <v>39</v>
      </c>
      <c r="G10338" s="33"/>
      <c r="H10338" s="33" t="s">
        <v>40</v>
      </c>
      <c r="I10338" s="33"/>
      <c r="J10338" s="35">
        <v>182</v>
      </c>
      <c r="K10338" s="33"/>
      <c r="L10338" s="35">
        <v>10</v>
      </c>
      <c r="M10338" s="35">
        <v>100</v>
      </c>
      <c r="N10338" s="35">
        <v>10</v>
      </c>
      <c r="O10338" s="36">
        <v>162.5</v>
      </c>
      <c r="P10338" s="36">
        <v>133.19999999999999</v>
      </c>
      <c r="Q10338" s="36">
        <v>113.75</v>
      </c>
      <c r="R10338" s="36">
        <v>93.24</v>
      </c>
      <c r="S10338" s="36">
        <v>110.5</v>
      </c>
      <c r="T10338" s="36">
        <v>90.57</v>
      </c>
      <c r="U10338" s="34"/>
      <c r="V10338" s="34"/>
      <c r="W10338" s="34"/>
      <c r="X10338" s="37">
        <v>3.1E-2</v>
      </c>
      <c r="Y10338" s="38">
        <v>1.7799999999999999E-4</v>
      </c>
      <c r="Z10338" s="21">
        <v>4601004186064</v>
      </c>
    </row>
    <row r="10339" spans="1:26" ht="12.95" customHeight="1" outlineLevel="3" x14ac:dyDescent="0.2">
      <c r="A10339" s="76" t="s">
        <v>19667</v>
      </c>
      <c r="B10339" s="76"/>
      <c r="C10339" s="77"/>
      <c r="D10339" s="58"/>
      <c r="E10339" s="68"/>
      <c r="F10339" s="13"/>
      <c r="G10339" s="13"/>
      <c r="H10339" s="13"/>
      <c r="I10339" s="13"/>
      <c r="J10339" s="13"/>
      <c r="K10339" s="13"/>
      <c r="L10339" s="13"/>
      <c r="M10339" s="13"/>
      <c r="N10339" s="13"/>
      <c r="O10339" s="13"/>
      <c r="P10339" s="13"/>
      <c r="Q10339" s="13"/>
      <c r="R10339" s="13"/>
      <c r="S10339" s="13"/>
      <c r="T10339" s="13"/>
      <c r="U10339" s="13"/>
      <c r="V10339" s="13"/>
      <c r="W10339" s="13"/>
      <c r="X10339" s="13"/>
      <c r="Y10339" s="13"/>
      <c r="Z10339" s="13"/>
    </row>
    <row r="10340" spans="1:26" ht="12" customHeight="1" outlineLevel="4" x14ac:dyDescent="0.2">
      <c r="A10340" s="32" t="s">
        <v>19668</v>
      </c>
      <c r="B10340" s="74" t="s">
        <v>19669</v>
      </c>
      <c r="C10340" s="50"/>
      <c r="D10340" s="53">
        <f t="shared" si="161"/>
        <v>0</v>
      </c>
      <c r="E10340" s="60" t="str">
        <f>HYPERLINK("https://www.sds-group.ru/product/lampa-filamentnaya-sharik-gl45-7-5vt-600lm-2700k-e14-prozrachnaya-kolba-rexant-604-121/", "Инфо")</f>
        <v>Инфо</v>
      </c>
      <c r="F10340" s="34" t="s">
        <v>39</v>
      </c>
      <c r="G10340" s="33"/>
      <c r="H10340" s="33" t="s">
        <v>40</v>
      </c>
      <c r="I10340" s="33"/>
      <c r="J10340" s="35">
        <v>1</v>
      </c>
      <c r="K10340" s="33"/>
      <c r="L10340" s="35">
        <v>10</v>
      </c>
      <c r="M10340" s="35">
        <v>100</v>
      </c>
      <c r="N10340" s="35">
        <v>10</v>
      </c>
      <c r="O10340" s="36">
        <v>106.86</v>
      </c>
      <c r="P10340" s="36">
        <v>87.59</v>
      </c>
      <c r="Q10340" s="36">
        <v>74.8</v>
      </c>
      <c r="R10340" s="36">
        <v>61.31</v>
      </c>
      <c r="S10340" s="36">
        <v>72.66</v>
      </c>
      <c r="T10340" s="36">
        <v>59.56</v>
      </c>
      <c r="U10340" s="34"/>
      <c r="V10340" s="34"/>
      <c r="W10340" s="34"/>
      <c r="X10340" s="37">
        <v>2.8000000000000001E-2</v>
      </c>
      <c r="Y10340" s="38">
        <v>2.42E-4</v>
      </c>
      <c r="Z10340" s="21">
        <v>4601004186293</v>
      </c>
    </row>
    <row r="10341" spans="1:26" ht="12" customHeight="1" outlineLevel="4" x14ac:dyDescent="0.2">
      <c r="A10341" s="32" t="s">
        <v>19670</v>
      </c>
      <c r="B10341" s="74" t="s">
        <v>19671</v>
      </c>
      <c r="C10341" s="50"/>
      <c r="D10341" s="53">
        <f t="shared" si="161"/>
        <v>0</v>
      </c>
      <c r="E10341" s="60" t="str">
        <f>HYPERLINK("https://www.sds-group.ru/product/lampa-filamentnaya-sharik-gl45-7-5vt-600lm-2700k-e27-prozrachnaya-kolba-rexant-604-123/", "Инфо")</f>
        <v>Инфо</v>
      </c>
      <c r="F10341" s="34" t="s">
        <v>39</v>
      </c>
      <c r="G10341" s="33"/>
      <c r="H10341" s="33" t="s">
        <v>40</v>
      </c>
      <c r="I10341" s="33"/>
      <c r="J10341" s="35">
        <v>2</v>
      </c>
      <c r="K10341" s="33"/>
      <c r="L10341" s="35">
        <v>10</v>
      </c>
      <c r="M10341" s="35">
        <v>100</v>
      </c>
      <c r="N10341" s="35">
        <v>10</v>
      </c>
      <c r="O10341" s="36">
        <v>106.86</v>
      </c>
      <c r="P10341" s="36">
        <v>87.59</v>
      </c>
      <c r="Q10341" s="36">
        <v>74.8</v>
      </c>
      <c r="R10341" s="36">
        <v>61.31</v>
      </c>
      <c r="S10341" s="36">
        <v>72.66</v>
      </c>
      <c r="T10341" s="36">
        <v>59.56</v>
      </c>
      <c r="U10341" s="34"/>
      <c r="V10341" s="34"/>
      <c r="W10341" s="34"/>
      <c r="X10341" s="37">
        <v>3.1E-2</v>
      </c>
      <c r="Y10341" s="38">
        <v>2.4600000000000002E-4</v>
      </c>
      <c r="Z10341" s="21">
        <v>4601004186316</v>
      </c>
    </row>
    <row r="10342" spans="1:26" ht="12" customHeight="1" outlineLevel="4" x14ac:dyDescent="0.2">
      <c r="A10342" s="32" t="s">
        <v>19672</v>
      </c>
      <c r="B10342" s="74" t="s">
        <v>19673</v>
      </c>
      <c r="C10342" s="50"/>
      <c r="D10342" s="53">
        <f t="shared" si="161"/>
        <v>0</v>
      </c>
      <c r="E10342" s="60" t="str">
        <f>HYPERLINK("https://www.sds-group.ru/product/lampa-filamentnaya-sharik-gl45-7-5vt-600lm-4000k-e27-prozrachnaya-kolba-rexant-604-124/", "Инфо")</f>
        <v>Инфо</v>
      </c>
      <c r="F10342" s="34" t="s">
        <v>39</v>
      </c>
      <c r="G10342" s="33"/>
      <c r="H10342" s="33" t="s">
        <v>40</v>
      </c>
      <c r="I10342" s="33"/>
      <c r="J10342" s="35">
        <v>3</v>
      </c>
      <c r="K10342" s="33"/>
      <c r="L10342" s="35">
        <v>10</v>
      </c>
      <c r="M10342" s="35">
        <v>100</v>
      </c>
      <c r="N10342" s="35">
        <v>10</v>
      </c>
      <c r="O10342" s="36">
        <v>138.56</v>
      </c>
      <c r="P10342" s="36">
        <v>113.57</v>
      </c>
      <c r="Q10342" s="36">
        <v>96.99</v>
      </c>
      <c r="R10342" s="36">
        <v>79.5</v>
      </c>
      <c r="S10342" s="36">
        <v>94.22</v>
      </c>
      <c r="T10342" s="36">
        <v>77.23</v>
      </c>
      <c r="U10342" s="34"/>
      <c r="V10342" s="34"/>
      <c r="W10342" s="34"/>
      <c r="X10342" s="37">
        <v>3.1E-2</v>
      </c>
      <c r="Y10342" s="38">
        <v>2.41E-4</v>
      </c>
      <c r="Z10342" s="21">
        <v>4601004186323</v>
      </c>
    </row>
    <row r="10343" spans="1:26" ht="12" customHeight="1" outlineLevel="4" x14ac:dyDescent="0.2">
      <c r="A10343" s="32" t="s">
        <v>19674</v>
      </c>
      <c r="B10343" s="74" t="s">
        <v>19675</v>
      </c>
      <c r="C10343" s="50"/>
      <c r="D10343" s="53">
        <f t="shared" si="161"/>
        <v>0</v>
      </c>
      <c r="E10343" s="60" t="str">
        <f>HYPERLINK("https://www.sds-group.ru/product/lampa-filamentnaya-sharik-gl45-9-5vt-915lm-2700k-e14-matovaya-kolba-rexant-604-133/", "Инфо")</f>
        <v>Инфо</v>
      </c>
      <c r="F10343" s="34" t="s">
        <v>39</v>
      </c>
      <c r="G10343" s="33"/>
      <c r="H10343" s="33" t="s">
        <v>40</v>
      </c>
      <c r="I10343" s="33"/>
      <c r="J10343" s="35">
        <v>478</v>
      </c>
      <c r="K10343" s="33"/>
      <c r="L10343" s="35">
        <v>10</v>
      </c>
      <c r="M10343" s="35">
        <v>100</v>
      </c>
      <c r="N10343" s="35">
        <v>10</v>
      </c>
      <c r="O10343" s="36">
        <v>88.03</v>
      </c>
      <c r="P10343" s="36">
        <v>72.16</v>
      </c>
      <c r="Q10343" s="36">
        <v>61.62</v>
      </c>
      <c r="R10343" s="36">
        <v>50.51</v>
      </c>
      <c r="S10343" s="36">
        <v>59.86</v>
      </c>
      <c r="T10343" s="36">
        <v>49.07</v>
      </c>
      <c r="U10343" s="34"/>
      <c r="V10343" s="34"/>
      <c r="W10343" s="34"/>
      <c r="X10343" s="37">
        <v>2.9000000000000001E-2</v>
      </c>
      <c r="Y10343" s="38">
        <v>2.4600000000000002E-4</v>
      </c>
      <c r="Z10343" s="21">
        <v>4601004186415</v>
      </c>
    </row>
    <row r="10344" spans="1:26" ht="12" customHeight="1" outlineLevel="4" x14ac:dyDescent="0.2">
      <c r="A10344" s="32" t="s">
        <v>19676</v>
      </c>
      <c r="B10344" s="74" t="s">
        <v>19677</v>
      </c>
      <c r="C10344" s="50"/>
      <c r="D10344" s="53">
        <f t="shared" si="161"/>
        <v>0</v>
      </c>
      <c r="E10344" s="60" t="str">
        <f>HYPERLINK("https://www.sds-group.ru/product/lampa-filamentnaya-sharik-gl45-9-5vt-915lm-2700k-e27-matovaya-kolba-rexant-604-135/", "Инфо")</f>
        <v>Инфо</v>
      </c>
      <c r="F10344" s="34" t="s">
        <v>39</v>
      </c>
      <c r="G10344" s="33"/>
      <c r="H10344" s="33" t="s">
        <v>40</v>
      </c>
      <c r="I10344" s="33"/>
      <c r="J10344" s="35">
        <v>385</v>
      </c>
      <c r="K10344" s="33"/>
      <c r="L10344" s="35">
        <v>10</v>
      </c>
      <c r="M10344" s="35">
        <v>100</v>
      </c>
      <c r="N10344" s="35">
        <v>10</v>
      </c>
      <c r="O10344" s="36">
        <v>66.099999999999994</v>
      </c>
      <c r="P10344" s="36">
        <v>54.18</v>
      </c>
      <c r="Q10344" s="36">
        <v>46.27</v>
      </c>
      <c r="R10344" s="36">
        <v>37.93</v>
      </c>
      <c r="S10344" s="36">
        <v>44.95</v>
      </c>
      <c r="T10344" s="36">
        <v>36.840000000000003</v>
      </c>
      <c r="U10344" s="34"/>
      <c r="V10344" s="34"/>
      <c r="W10344" s="34"/>
      <c r="X10344" s="37">
        <v>3.2000000000000001E-2</v>
      </c>
      <c r="Y10344" s="38">
        <v>2.4800000000000001E-4</v>
      </c>
      <c r="Z10344" s="21">
        <v>4601004186439</v>
      </c>
    </row>
    <row r="10345" spans="1:26" ht="12" customHeight="1" outlineLevel="4" x14ac:dyDescent="0.2">
      <c r="A10345" s="32" t="s">
        <v>19678</v>
      </c>
      <c r="B10345" s="74" t="s">
        <v>19679</v>
      </c>
      <c r="C10345" s="50"/>
      <c r="D10345" s="53">
        <f t="shared" si="161"/>
        <v>0</v>
      </c>
      <c r="E10345" s="60" t="str">
        <f>HYPERLINK("https://www.sds-group.ru/product/lampa-filamentnaya-sharik-gl45-9-5vt-915lm-4000k-e27-matovaya-kolba-rexant-604-136/", "Инфо")</f>
        <v>Инфо</v>
      </c>
      <c r="F10345" s="34" t="s">
        <v>39</v>
      </c>
      <c r="G10345" s="33"/>
      <c r="H10345" s="33" t="s">
        <v>40</v>
      </c>
      <c r="I10345" s="33"/>
      <c r="J10345" s="35">
        <v>47</v>
      </c>
      <c r="K10345" s="33"/>
      <c r="L10345" s="35">
        <v>10</v>
      </c>
      <c r="M10345" s="35">
        <v>100</v>
      </c>
      <c r="N10345" s="35">
        <v>10</v>
      </c>
      <c r="O10345" s="36">
        <v>66.099999999999994</v>
      </c>
      <c r="P10345" s="36">
        <v>54.18</v>
      </c>
      <c r="Q10345" s="36">
        <v>46.27</v>
      </c>
      <c r="R10345" s="36">
        <v>37.93</v>
      </c>
      <c r="S10345" s="36">
        <v>44.95</v>
      </c>
      <c r="T10345" s="36">
        <v>36.840000000000003</v>
      </c>
      <c r="U10345" s="34"/>
      <c r="V10345" s="34"/>
      <c r="W10345" s="34"/>
      <c r="X10345" s="37">
        <v>3.2000000000000001E-2</v>
      </c>
      <c r="Y10345" s="38">
        <v>2.4899999999999998E-4</v>
      </c>
      <c r="Z10345" s="21">
        <v>4601004186446</v>
      </c>
    </row>
    <row r="10346" spans="1:26" ht="12" customHeight="1" outlineLevel="4" x14ac:dyDescent="0.2">
      <c r="A10346" s="32" t="s">
        <v>19680</v>
      </c>
      <c r="B10346" s="74" t="s">
        <v>19681</v>
      </c>
      <c r="C10346" s="50"/>
      <c r="D10346" s="53">
        <f t="shared" si="161"/>
        <v>0</v>
      </c>
      <c r="E10346" s="60" t="str">
        <f>HYPERLINK("https://www.sds-group.ru/product/lampa-filamentnaya-sharik-gl45-9-5vt-950lm-4000k-e27-prozrachnaya-kolba-rexant-604-132/", "Инфо")</f>
        <v>Инфо</v>
      </c>
      <c r="F10346" s="34" t="s">
        <v>39</v>
      </c>
      <c r="G10346" s="33"/>
      <c r="H10346" s="33" t="s">
        <v>40</v>
      </c>
      <c r="I10346" s="33"/>
      <c r="J10346" s="39">
        <v>3899</v>
      </c>
      <c r="K10346" s="33"/>
      <c r="L10346" s="35">
        <v>10</v>
      </c>
      <c r="M10346" s="35">
        <v>100</v>
      </c>
      <c r="N10346" s="35">
        <v>10</v>
      </c>
      <c r="O10346" s="36">
        <v>70.069999999999993</v>
      </c>
      <c r="P10346" s="36">
        <v>57.43</v>
      </c>
      <c r="Q10346" s="36">
        <v>49.05</v>
      </c>
      <c r="R10346" s="36">
        <v>40.200000000000003</v>
      </c>
      <c r="S10346" s="36">
        <v>47.65</v>
      </c>
      <c r="T10346" s="36">
        <v>39.06</v>
      </c>
      <c r="U10346" s="34"/>
      <c r="V10346" s="34"/>
      <c r="W10346" s="34"/>
      <c r="X10346" s="37">
        <v>3.2000000000000001E-2</v>
      </c>
      <c r="Y10346" s="38">
        <v>2.5000000000000001E-4</v>
      </c>
      <c r="Z10346" s="21">
        <v>4601004186408</v>
      </c>
    </row>
    <row r="10347" spans="1:26" ht="12.95" customHeight="1" outlineLevel="2" x14ac:dyDescent="0.2">
      <c r="A10347" s="76" t="s">
        <v>19682</v>
      </c>
      <c r="B10347" s="76"/>
      <c r="C10347" s="77"/>
      <c r="D10347" s="58"/>
      <c r="E10347" s="68"/>
      <c r="F10347" s="13"/>
      <c r="G10347" s="13"/>
      <c r="H10347" s="13"/>
      <c r="I10347" s="13"/>
      <c r="J10347" s="13"/>
      <c r="K10347" s="13"/>
      <c r="L10347" s="13"/>
      <c r="M10347" s="13"/>
      <c r="N10347" s="13"/>
      <c r="O10347" s="13"/>
      <c r="P10347" s="13"/>
      <c r="Q10347" s="13"/>
      <c r="R10347" s="13"/>
      <c r="S10347" s="13"/>
      <c r="T10347" s="13"/>
      <c r="U10347" s="13"/>
      <c r="V10347" s="13"/>
      <c r="W10347" s="13"/>
      <c r="X10347" s="13"/>
      <c r="Y10347" s="13"/>
      <c r="Z10347" s="13"/>
    </row>
    <row r="10348" spans="1:26" ht="12" customHeight="1" outlineLevel="3" x14ac:dyDescent="0.2">
      <c r="A10348" s="32" t="s">
        <v>19683</v>
      </c>
      <c r="B10348" s="74" t="s">
        <v>19684</v>
      </c>
      <c r="C10348" s="50"/>
      <c r="D10348" s="53">
        <f t="shared" si="161"/>
        <v>0</v>
      </c>
      <c r="E10348" s="60" t="str">
        <f>HYPERLINK("https://www.sds-group.ru/product/svetilnik-svetodiodnyy-konsolnyy-dku-03-30-5000k-sh-c-ip65-chernyy-rexant-607-306/", "Инфо")</f>
        <v>Инфо</v>
      </c>
      <c r="F10348" s="34" t="s">
        <v>39</v>
      </c>
      <c r="G10348" s="33"/>
      <c r="H10348" s="33" t="s">
        <v>40</v>
      </c>
      <c r="I10348" s="33"/>
      <c r="J10348" s="39">
        <v>2193</v>
      </c>
      <c r="K10348" s="33"/>
      <c r="L10348" s="35">
        <v>1</v>
      </c>
      <c r="M10348" s="35">
        <v>10</v>
      </c>
      <c r="N10348" s="35">
        <v>1</v>
      </c>
      <c r="O10348" s="36">
        <v>1830.59</v>
      </c>
      <c r="P10348" s="36">
        <v>1500.48</v>
      </c>
      <c r="Q10348" s="36">
        <v>1281.4100000000001</v>
      </c>
      <c r="R10348" s="36">
        <v>1050.3399999999999</v>
      </c>
      <c r="S10348" s="36">
        <v>1244.8</v>
      </c>
      <c r="T10348" s="36">
        <v>1020.33</v>
      </c>
      <c r="U10348" s="34"/>
      <c r="V10348" s="34"/>
      <c r="W10348" s="34"/>
      <c r="X10348" s="37">
        <v>0.94399999999999995</v>
      </c>
      <c r="Y10348" s="38">
        <v>4.9249999999999997E-3</v>
      </c>
      <c r="Z10348" s="21">
        <v>4601004251533</v>
      </c>
    </row>
    <row r="10349" spans="1:26" ht="12" customHeight="1" outlineLevel="3" x14ac:dyDescent="0.2">
      <c r="A10349" s="32" t="s">
        <v>19685</v>
      </c>
      <c r="B10349" s="74" t="s">
        <v>19686</v>
      </c>
      <c r="C10349" s="50"/>
      <c r="D10349" s="53">
        <f t="shared" si="161"/>
        <v>0</v>
      </c>
      <c r="E10349" s="60" t="str">
        <f>HYPERLINK("https://www.sds-group.ru/product/svetilnik-svetodiodnyy-konsolnyy-dku-03-50-5000k-sh-c-ip65-chernyy-rexant-607-307/", "Инфо")</f>
        <v>Инфо</v>
      </c>
      <c r="F10349" s="34" t="s">
        <v>39</v>
      </c>
      <c r="G10349" s="33"/>
      <c r="H10349" s="33" t="s">
        <v>40</v>
      </c>
      <c r="I10349" s="33"/>
      <c r="J10349" s="35">
        <v>421</v>
      </c>
      <c r="K10349" s="33"/>
      <c r="L10349" s="35">
        <v>1</v>
      </c>
      <c r="M10349" s="35">
        <v>10</v>
      </c>
      <c r="N10349" s="35">
        <v>1</v>
      </c>
      <c r="O10349" s="36">
        <v>2408.7199999999998</v>
      </c>
      <c r="P10349" s="36">
        <v>1974.36</v>
      </c>
      <c r="Q10349" s="36">
        <v>1854.71</v>
      </c>
      <c r="R10349" s="36">
        <v>1520.25</v>
      </c>
      <c r="S10349" s="36">
        <v>1637.93</v>
      </c>
      <c r="T10349" s="36">
        <v>1342.57</v>
      </c>
      <c r="U10349" s="34"/>
      <c r="V10349" s="34"/>
      <c r="W10349" s="34" t="s">
        <v>40</v>
      </c>
      <c r="X10349" s="37">
        <v>0.92600000000000005</v>
      </c>
      <c r="Y10349" s="38">
        <v>4.8459999999999996E-3</v>
      </c>
      <c r="Z10349" s="21">
        <v>4601004251557</v>
      </c>
    </row>
    <row r="10350" spans="1:26" ht="12.95" customHeight="1" outlineLevel="3" x14ac:dyDescent="0.2">
      <c r="A10350" s="76" t="s">
        <v>19687</v>
      </c>
      <c r="B10350" s="76"/>
      <c r="C10350" s="77"/>
      <c r="D10350" s="58"/>
      <c r="E10350" s="68"/>
      <c r="F10350" s="13"/>
      <c r="G10350" s="13"/>
      <c r="H10350" s="13"/>
      <c r="I10350" s="13"/>
      <c r="J10350" s="13"/>
      <c r="K10350" s="13"/>
      <c r="L10350" s="13"/>
      <c r="M10350" s="13"/>
      <c r="N10350" s="13"/>
      <c r="O10350" s="13"/>
      <c r="P10350" s="13"/>
      <c r="Q10350" s="13"/>
      <c r="R10350" s="13"/>
      <c r="S10350" s="13"/>
      <c r="T10350" s="13"/>
      <c r="U10350" s="13"/>
      <c r="V10350" s="13"/>
      <c r="W10350" s="13"/>
      <c r="X10350" s="13"/>
      <c r="Y10350" s="13"/>
      <c r="Z10350" s="13"/>
    </row>
    <row r="10351" spans="1:26" ht="12" customHeight="1" outlineLevel="4" x14ac:dyDescent="0.2">
      <c r="A10351" s="14" t="s">
        <v>19688</v>
      </c>
      <c r="B10351" s="26" t="s">
        <v>19689</v>
      </c>
      <c r="C10351" s="52"/>
      <c r="D10351" s="55">
        <f t="shared" si="161"/>
        <v>0</v>
      </c>
      <c r="E10351" s="63" t="str">
        <f>HYPERLINK("https://www.sds-group.ru/product/kronshteyn-na-oporu-s-1-homutom-belyy-625h460h280-51-rexant-art-607-300-607-301-607-303-607-405/", "Инфо")</f>
        <v>Инфо</v>
      </c>
      <c r="F10351" s="16" t="s">
        <v>39</v>
      </c>
      <c r="G10351" s="15"/>
      <c r="H10351" s="15"/>
      <c r="I10351" s="15"/>
      <c r="J10351" s="17">
        <v>215</v>
      </c>
      <c r="K10351" s="15"/>
      <c r="L10351" s="17">
        <v>1</v>
      </c>
      <c r="M10351" s="17">
        <v>25</v>
      </c>
      <c r="N10351" s="17">
        <v>1</v>
      </c>
      <c r="O10351" s="18">
        <v>1634.58</v>
      </c>
      <c r="P10351" s="18">
        <v>1339.82</v>
      </c>
      <c r="Q10351" s="18">
        <v>1291.32</v>
      </c>
      <c r="R10351" s="18">
        <v>1058.46</v>
      </c>
      <c r="S10351" s="18">
        <v>1111.51</v>
      </c>
      <c r="T10351" s="18">
        <v>911.07</v>
      </c>
      <c r="U10351" s="16"/>
      <c r="V10351" s="16"/>
      <c r="W10351" s="16" t="s">
        <v>40</v>
      </c>
      <c r="X10351" s="19">
        <v>1.6</v>
      </c>
      <c r="Y10351" s="20">
        <v>6.8999999999999999E-3</v>
      </c>
      <c r="Z10351" s="21">
        <v>4601004248793</v>
      </c>
    </row>
    <row r="10352" spans="1:26" ht="12" customHeight="1" outlineLevel="4" x14ac:dyDescent="0.2">
      <c r="A10352" s="14" t="s">
        <v>19690</v>
      </c>
      <c r="B10352" s="26" t="s">
        <v>19691</v>
      </c>
      <c r="C10352" s="52"/>
      <c r="D10352" s="55">
        <f t="shared" si="161"/>
        <v>0</v>
      </c>
      <c r="E10352" s="63" t="str">
        <f>HYPERLINK("https://www.sds-group.ru/product/kronshteyn-na-oporu-s-1-homutom-belyy-625h460h280-57-rexant-art-607-302-607-304-607-415/", "Инфо")</f>
        <v>Инфо</v>
      </c>
      <c r="F10352" s="16" t="s">
        <v>39</v>
      </c>
      <c r="G10352" s="15"/>
      <c r="H10352" s="15"/>
      <c r="I10352" s="15"/>
      <c r="J10352" s="17">
        <v>264</v>
      </c>
      <c r="K10352" s="15" t="s">
        <v>1408</v>
      </c>
      <c r="L10352" s="17">
        <v>1</v>
      </c>
      <c r="M10352" s="17">
        <v>25</v>
      </c>
      <c r="N10352" s="17">
        <v>1</v>
      </c>
      <c r="O10352" s="18">
        <v>1585.27</v>
      </c>
      <c r="P10352" s="18">
        <v>1299.4000000000001</v>
      </c>
      <c r="Q10352" s="18">
        <v>1109.69</v>
      </c>
      <c r="R10352" s="18">
        <v>909.58</v>
      </c>
      <c r="S10352" s="18">
        <v>1077.98</v>
      </c>
      <c r="T10352" s="18">
        <v>883.59</v>
      </c>
      <c r="U10352" s="16"/>
      <c r="V10352" s="16"/>
      <c r="W10352" s="16"/>
      <c r="X10352" s="19">
        <v>1.641</v>
      </c>
      <c r="Y10352" s="20">
        <v>6.7910000000000002E-3</v>
      </c>
      <c r="Z10352" s="21">
        <v>4601004248670</v>
      </c>
    </row>
    <row r="10353" spans="1:26" ht="12" customHeight="1" outlineLevel="4" x14ac:dyDescent="0.2">
      <c r="A10353" s="14" t="s">
        <v>19692</v>
      </c>
      <c r="B10353" s="26" t="s">
        <v>19693</v>
      </c>
      <c r="C10353" s="52"/>
      <c r="D10353" s="55">
        <f t="shared" si="161"/>
        <v>0</v>
      </c>
      <c r="E10353" s="63" t="str">
        <f>HYPERLINK("https://www.sds-group.ru/product/kronshteyn-nakladnoy-pod-bandazhnuyu-lentu-s-peremennym-uglom-belyy-230h150h150-51-rexant-ar-607-400/", "Инфо")</f>
        <v>Инфо</v>
      </c>
      <c r="F10353" s="16" t="s">
        <v>39</v>
      </c>
      <c r="G10353" s="15"/>
      <c r="H10353" s="15"/>
      <c r="I10353" s="15"/>
      <c r="J10353" s="17">
        <v>138</v>
      </c>
      <c r="K10353" s="15"/>
      <c r="L10353" s="17">
        <v>1</v>
      </c>
      <c r="M10353" s="17">
        <v>25</v>
      </c>
      <c r="N10353" s="17">
        <v>1</v>
      </c>
      <c r="O10353" s="18">
        <v>1069.6099999999999</v>
      </c>
      <c r="P10353" s="18">
        <v>876.73</v>
      </c>
      <c r="Q10353" s="18">
        <v>855.69</v>
      </c>
      <c r="R10353" s="18">
        <v>701.39</v>
      </c>
      <c r="S10353" s="18">
        <v>727.33</v>
      </c>
      <c r="T10353" s="18">
        <v>596.16999999999996</v>
      </c>
      <c r="U10353" s="16"/>
      <c r="V10353" s="16"/>
      <c r="W10353" s="16" t="s">
        <v>40</v>
      </c>
      <c r="X10353" s="19">
        <v>1.2210000000000001</v>
      </c>
      <c r="Y10353" s="20">
        <v>2.8519999999999999E-3</v>
      </c>
      <c r="Z10353" s="21">
        <v>4601004248632</v>
      </c>
    </row>
    <row r="10354" spans="1:26" ht="12" customHeight="1" outlineLevel="4" x14ac:dyDescent="0.2">
      <c r="A10354" s="14" t="s">
        <v>19694</v>
      </c>
      <c r="B10354" s="26" t="s">
        <v>19695</v>
      </c>
      <c r="C10354" s="52"/>
      <c r="D10354" s="55">
        <f t="shared" si="161"/>
        <v>0</v>
      </c>
      <c r="E10354" s="63" t="str">
        <f>HYPERLINK("https://www.sds-group.ru/product/kronshteyn-nakladnoy-pod-bandazhnuyu-lentu-s-peremennym-uglom-belyy-230h150h150-57-rexant-ar-607-410/", "Инфо")</f>
        <v>Инфо</v>
      </c>
      <c r="F10354" s="16" t="s">
        <v>39</v>
      </c>
      <c r="G10354" s="15"/>
      <c r="H10354" s="15"/>
      <c r="I10354" s="15"/>
      <c r="J10354" s="17">
        <v>217</v>
      </c>
      <c r="K10354" s="15"/>
      <c r="L10354" s="17">
        <v>1</v>
      </c>
      <c r="M10354" s="17">
        <v>10</v>
      </c>
      <c r="N10354" s="17">
        <v>1</v>
      </c>
      <c r="O10354" s="18">
        <v>1110</v>
      </c>
      <c r="P10354" s="18">
        <v>909.84</v>
      </c>
      <c r="Q10354" s="18">
        <v>876.9</v>
      </c>
      <c r="R10354" s="18">
        <v>718.77</v>
      </c>
      <c r="S10354" s="18">
        <v>754.8</v>
      </c>
      <c r="T10354" s="18">
        <v>618.69000000000005</v>
      </c>
      <c r="U10354" s="16"/>
      <c r="V10354" s="16"/>
      <c r="W10354" s="16" t="s">
        <v>40</v>
      </c>
      <c r="X10354" s="19">
        <v>1.2889999999999999</v>
      </c>
      <c r="Y10354" s="20">
        <v>3.9379999999999997E-3</v>
      </c>
      <c r="Z10354" s="21">
        <v>4601004248779</v>
      </c>
    </row>
    <row r="10355" spans="1:26" ht="12.95" customHeight="1" outlineLevel="2" x14ac:dyDescent="0.2">
      <c r="A10355" s="82" t="s">
        <v>19696</v>
      </c>
      <c r="B10355" s="82"/>
      <c r="C10355" s="83"/>
      <c r="D10355" s="59"/>
      <c r="E10355" s="69"/>
      <c r="F10355" s="23"/>
      <c r="G10355" s="23"/>
      <c r="H10355" s="23"/>
      <c r="I10355" s="23"/>
      <c r="J10355" s="23"/>
      <c r="K10355" s="23"/>
      <c r="L10355" s="23"/>
      <c r="M10355" s="23"/>
      <c r="N10355" s="23"/>
      <c r="O10355" s="23"/>
      <c r="P10355" s="23"/>
      <c r="Q10355" s="23"/>
      <c r="R10355" s="23"/>
      <c r="S10355" s="23"/>
      <c r="T10355" s="23"/>
      <c r="U10355" s="23"/>
      <c r="V10355" s="23"/>
      <c r="W10355" s="23"/>
      <c r="X10355" s="23"/>
      <c r="Y10355" s="23"/>
      <c r="Z10355" s="23"/>
    </row>
    <row r="10356" spans="1:26" ht="12" customHeight="1" outlineLevel="3" x14ac:dyDescent="0.2">
      <c r="A10356" s="32" t="s">
        <v>19697</v>
      </c>
      <c r="B10356" s="74" t="s">
        <v>19698</v>
      </c>
      <c r="C10356" s="50"/>
      <c r="D10356" s="53">
        <f t="shared" si="161"/>
        <v>0</v>
      </c>
      <c r="E10356" s="60" t="str">
        <f>HYPERLINK("https://www.sds-group.ru/product/demo-tester-dlya-proverki-lamp-s-tsokolyami-e27-e27-e14-gu5-3-gx53-rexant-604-801/", "Инфо")</f>
        <v>Инфо</v>
      </c>
      <c r="F10356" s="34" t="s">
        <v>39</v>
      </c>
      <c r="G10356" s="33"/>
      <c r="H10356" s="33" t="s">
        <v>40</v>
      </c>
      <c r="I10356" s="33"/>
      <c r="J10356" s="35">
        <v>268</v>
      </c>
      <c r="K10356" s="33"/>
      <c r="L10356" s="35">
        <v>1</v>
      </c>
      <c r="M10356" s="35">
        <v>20</v>
      </c>
      <c r="N10356" s="35">
        <v>1</v>
      </c>
      <c r="O10356" s="36">
        <v>2859.88</v>
      </c>
      <c r="P10356" s="36">
        <v>2344.16</v>
      </c>
      <c r="Q10356" s="36">
        <v>2001.92</v>
      </c>
      <c r="R10356" s="36">
        <v>1640.92</v>
      </c>
      <c r="S10356" s="36">
        <v>1944.72</v>
      </c>
      <c r="T10356" s="36">
        <v>1594.03</v>
      </c>
      <c r="U10356" s="34"/>
      <c r="V10356" s="34"/>
      <c r="W10356" s="34"/>
      <c r="X10356" s="37">
        <v>1.458</v>
      </c>
      <c r="Y10356" s="38">
        <v>1.0824E-2</v>
      </c>
      <c r="Z10356" s="21">
        <v>4601004188242</v>
      </c>
    </row>
    <row r="10357" spans="1:26" ht="12" customHeight="1" outlineLevel="3" x14ac:dyDescent="0.2">
      <c r="A10357" s="32" t="s">
        <v>19699</v>
      </c>
      <c r="B10357" s="74" t="s">
        <v>19700</v>
      </c>
      <c r="C10357" s="50"/>
      <c r="D10357" s="53">
        <f t="shared" si="161"/>
        <v>0</v>
      </c>
      <c r="E10357" s="60" t="str">
        <f>HYPERLINK("https://www.sds-group.ru/product/demo-tester-akrilovyy-dlya-filamenta-ac-220v-so-shnurom-pitaniya-1-2m-s-vyklyuchatelem-na-ko-604-802/", "Инфо")</f>
        <v>Инфо</v>
      </c>
      <c r="F10357" s="34" t="s">
        <v>39</v>
      </c>
      <c r="G10357" s="33"/>
      <c r="H10357" s="33" t="s">
        <v>40</v>
      </c>
      <c r="I10357" s="33"/>
      <c r="J10357" s="35">
        <v>40</v>
      </c>
      <c r="K10357" s="33"/>
      <c r="L10357" s="35">
        <v>1</v>
      </c>
      <c r="M10357" s="35">
        <v>4</v>
      </c>
      <c r="N10357" s="35">
        <v>1</v>
      </c>
      <c r="O10357" s="36">
        <v>3797.17</v>
      </c>
      <c r="P10357" s="36">
        <v>3112.43</v>
      </c>
      <c r="Q10357" s="36">
        <v>2658.02</v>
      </c>
      <c r="R10357" s="36">
        <v>2178.6999999999998</v>
      </c>
      <c r="S10357" s="36">
        <v>2582.08</v>
      </c>
      <c r="T10357" s="36">
        <v>2116.46</v>
      </c>
      <c r="U10357" s="34"/>
      <c r="V10357" s="34"/>
      <c r="W10357" s="34"/>
      <c r="X10357" s="37">
        <v>2.4550000000000001</v>
      </c>
      <c r="Y10357" s="38">
        <v>2.8719999999999999E-2</v>
      </c>
      <c r="Z10357" s="21">
        <v>4601004200487</v>
      </c>
    </row>
    <row r="10358" spans="1:26" ht="12.95" customHeight="1" outlineLevel="2" x14ac:dyDescent="0.2">
      <c r="A10358" s="76" t="s">
        <v>19701</v>
      </c>
      <c r="B10358" s="76"/>
      <c r="C10358" s="77"/>
      <c r="D10358" s="58"/>
      <c r="E10358" s="68"/>
      <c r="F10358" s="13"/>
      <c r="G10358" s="13"/>
      <c r="H10358" s="13"/>
      <c r="I10358" s="13"/>
      <c r="J10358" s="13"/>
      <c r="K10358" s="13"/>
      <c r="L10358" s="13"/>
      <c r="M10358" s="13"/>
      <c r="N10358" s="13"/>
      <c r="O10358" s="13"/>
      <c r="P10358" s="13"/>
      <c r="Q10358" s="13"/>
      <c r="R10358" s="13"/>
      <c r="S10358" s="13"/>
      <c r="T10358" s="13"/>
      <c r="U10358" s="13"/>
      <c r="V10358" s="13"/>
      <c r="W10358" s="13"/>
      <c r="X10358" s="13"/>
      <c r="Y10358" s="13"/>
      <c r="Z10358" s="13"/>
    </row>
    <row r="10359" spans="1:26" ht="12" customHeight="1" outlineLevel="3" x14ac:dyDescent="0.2">
      <c r="A10359" s="32" t="s">
        <v>19702</v>
      </c>
      <c r="B10359" s="74" t="s">
        <v>19703</v>
      </c>
      <c r="C10359" s="50"/>
      <c r="D10359" s="53">
        <f t="shared" si="161"/>
        <v>0</v>
      </c>
      <c r="E10359" s="60" t="str">
        <f>HYPERLINK("https://www.sds-group.ru/product/svetilnik-dlya-vysokih-proletov-dsp-01-100-vt-6500-k-ip65-10000-lm-chernyy-rexant-607-299/", "Инфо")</f>
        <v>Инфо</v>
      </c>
      <c r="F10359" s="34" t="s">
        <v>39</v>
      </c>
      <c r="G10359" s="33"/>
      <c r="H10359" s="33" t="s">
        <v>40</v>
      </c>
      <c r="I10359" s="33"/>
      <c r="J10359" s="35">
        <v>70</v>
      </c>
      <c r="K10359" s="33"/>
      <c r="L10359" s="35">
        <v>1</v>
      </c>
      <c r="M10359" s="35">
        <v>4</v>
      </c>
      <c r="N10359" s="35">
        <v>1</v>
      </c>
      <c r="O10359" s="36">
        <v>2460.5</v>
      </c>
      <c r="P10359" s="36">
        <v>2016.8</v>
      </c>
      <c r="Q10359" s="36">
        <v>1722.35</v>
      </c>
      <c r="R10359" s="36">
        <v>1411.76</v>
      </c>
      <c r="S10359" s="36">
        <v>1673.14</v>
      </c>
      <c r="T10359" s="36">
        <v>1371.43</v>
      </c>
      <c r="U10359" s="34"/>
      <c r="V10359" s="34"/>
      <c r="W10359" s="34"/>
      <c r="X10359" s="37">
        <v>2.0369999999999999</v>
      </c>
      <c r="Y10359" s="38">
        <v>1.0067E-2</v>
      </c>
      <c r="Z10359" s="21">
        <v>4601004249448</v>
      </c>
    </row>
    <row r="10360" spans="1:26" ht="12.95" customHeight="1" outlineLevel="1" x14ac:dyDescent="0.2">
      <c r="A10360" s="78" t="s">
        <v>19704</v>
      </c>
      <c r="B10360" s="78"/>
      <c r="C10360" s="79"/>
      <c r="D10360" s="57"/>
      <c r="E10360" s="67"/>
      <c r="F10360" s="12"/>
      <c r="G10360" s="12"/>
      <c r="H10360" s="12"/>
      <c r="I10360" s="12"/>
      <c r="J10360" s="12"/>
      <c r="K10360" s="12"/>
      <c r="L10360" s="12"/>
      <c r="M10360" s="12"/>
      <c r="N10360" s="12"/>
      <c r="O10360" s="12"/>
      <c r="P10360" s="12"/>
      <c r="Q10360" s="12"/>
      <c r="R10360" s="12"/>
      <c r="S10360" s="12"/>
      <c r="T10360" s="12"/>
      <c r="U10360" s="12"/>
      <c r="V10360" s="12"/>
      <c r="W10360" s="12"/>
      <c r="X10360" s="12"/>
      <c r="Y10360" s="12"/>
      <c r="Z10360" s="12"/>
    </row>
    <row r="10361" spans="1:26" ht="12.95" customHeight="1" outlineLevel="2" x14ac:dyDescent="0.2">
      <c r="A10361" s="76" t="s">
        <v>19705</v>
      </c>
      <c r="B10361" s="76"/>
      <c r="C10361" s="77"/>
      <c r="D10361" s="58"/>
      <c r="E10361" s="68"/>
      <c r="F10361" s="13"/>
      <c r="G10361" s="13"/>
      <c r="H10361" s="13"/>
      <c r="I10361" s="13"/>
      <c r="J10361" s="13"/>
      <c r="K10361" s="13"/>
      <c r="L10361" s="13"/>
      <c r="M10361" s="13"/>
      <c r="N10361" s="13"/>
      <c r="O10361" s="13"/>
      <c r="P10361" s="13"/>
      <c r="Q10361" s="13"/>
      <c r="R10361" s="13"/>
      <c r="S10361" s="13"/>
      <c r="T10361" s="13"/>
      <c r="U10361" s="13"/>
      <c r="V10361" s="13"/>
      <c r="W10361" s="13"/>
      <c r="X10361" s="13"/>
      <c r="Y10361" s="13"/>
      <c r="Z10361" s="13"/>
    </row>
    <row r="10362" spans="1:26" ht="12.95" customHeight="1" outlineLevel="3" x14ac:dyDescent="0.2">
      <c r="A10362" s="76" t="s">
        <v>19706</v>
      </c>
      <c r="B10362" s="76"/>
      <c r="C10362" s="77"/>
      <c r="D10362" s="58"/>
      <c r="E10362" s="68"/>
      <c r="F10362" s="13"/>
      <c r="G10362" s="13"/>
      <c r="H10362" s="13"/>
      <c r="I10362" s="13"/>
      <c r="J10362" s="13"/>
      <c r="K10362" s="13"/>
      <c r="L10362" s="13"/>
      <c r="M10362" s="13"/>
      <c r="N10362" s="13"/>
      <c r="O10362" s="13"/>
      <c r="P10362" s="13"/>
      <c r="Q10362" s="13"/>
      <c r="R10362" s="13"/>
      <c r="S10362" s="13"/>
      <c r="T10362" s="13"/>
      <c r="U10362" s="13"/>
      <c r="V10362" s="13"/>
      <c r="W10362" s="13"/>
      <c r="X10362" s="13"/>
      <c r="Y10362" s="13"/>
      <c r="Z10362" s="13"/>
    </row>
    <row r="10363" spans="1:26" ht="12" customHeight="1" outlineLevel="4" x14ac:dyDescent="0.2">
      <c r="A10363" s="32" t="s">
        <v>19707</v>
      </c>
      <c r="B10363" s="74" t="s">
        <v>19708</v>
      </c>
      <c r="C10363" s="50"/>
      <c r="D10363" s="53">
        <f t="shared" si="161"/>
        <v>0</v>
      </c>
      <c r="E10363" s="60" t="str">
        <f>HYPERLINK("https://www.sds-group.ru/product/svetilnik-dekorativnyy-kot-v-ochkah-tsokol-e14-40vt-belyy-rexant-603-1033/", "Инфо")</f>
        <v>Инфо</v>
      </c>
      <c r="F10363" s="34" t="s">
        <v>39</v>
      </c>
      <c r="G10363" s="33"/>
      <c r="H10363" s="33" t="s">
        <v>40</v>
      </c>
      <c r="I10363" s="33"/>
      <c r="J10363" s="35">
        <v>129</v>
      </c>
      <c r="K10363" s="33"/>
      <c r="L10363" s="35">
        <v>1</v>
      </c>
      <c r="M10363" s="35">
        <v>12</v>
      </c>
      <c r="N10363" s="35">
        <v>1</v>
      </c>
      <c r="O10363" s="36">
        <v>2324.08</v>
      </c>
      <c r="P10363" s="36">
        <v>1904.98</v>
      </c>
      <c r="Q10363" s="36">
        <v>1626.86</v>
      </c>
      <c r="R10363" s="36">
        <v>1333.49</v>
      </c>
      <c r="S10363" s="36">
        <v>1580.37</v>
      </c>
      <c r="T10363" s="36">
        <v>1295.3900000000001</v>
      </c>
      <c r="U10363" s="34"/>
      <c r="V10363" s="34"/>
      <c r="W10363" s="34"/>
      <c r="X10363" s="37">
        <v>0.8</v>
      </c>
      <c r="Y10363" s="38">
        <v>9.2399999999999999E-3</v>
      </c>
      <c r="Z10363" s="21">
        <v>4601004295605</v>
      </c>
    </row>
    <row r="10364" spans="1:26" ht="12" customHeight="1" outlineLevel="4" x14ac:dyDescent="0.2">
      <c r="A10364" s="32" t="s">
        <v>19709</v>
      </c>
      <c r="B10364" s="74" t="s">
        <v>19710</v>
      </c>
      <c r="C10364" s="50"/>
      <c r="D10364" s="53">
        <f t="shared" si="161"/>
        <v>0</v>
      </c>
      <c r="E10364" s="60" t="str">
        <f>HYPERLINK("https://www.sds-group.ru/product/svetilnik-dekorativnyy-kot-v-ochkah-tsokol-e14-40vt-chernyy-rexant-603-1034/", "Инфо")</f>
        <v>Инфо</v>
      </c>
      <c r="F10364" s="34" t="s">
        <v>39</v>
      </c>
      <c r="G10364" s="33"/>
      <c r="H10364" s="33" t="s">
        <v>40</v>
      </c>
      <c r="I10364" s="33"/>
      <c r="J10364" s="35">
        <v>35</v>
      </c>
      <c r="K10364" s="33"/>
      <c r="L10364" s="35">
        <v>1</v>
      </c>
      <c r="M10364" s="35">
        <v>12</v>
      </c>
      <c r="N10364" s="35">
        <v>1</v>
      </c>
      <c r="O10364" s="36">
        <v>2737.25</v>
      </c>
      <c r="P10364" s="36">
        <v>2243.65</v>
      </c>
      <c r="Q10364" s="36">
        <v>1916.08</v>
      </c>
      <c r="R10364" s="36">
        <v>1570.56</v>
      </c>
      <c r="S10364" s="36">
        <v>1861.33</v>
      </c>
      <c r="T10364" s="36">
        <v>1525.68</v>
      </c>
      <c r="U10364" s="34"/>
      <c r="V10364" s="34"/>
      <c r="W10364" s="34"/>
      <c r="X10364" s="37">
        <v>0.79200000000000004</v>
      </c>
      <c r="Y10364" s="38">
        <v>9.2399999999999999E-3</v>
      </c>
      <c r="Z10364" s="21">
        <v>4601004295612</v>
      </c>
    </row>
    <row r="10365" spans="1:26" ht="12" customHeight="1" outlineLevel="4" x14ac:dyDescent="0.2">
      <c r="A10365" s="32" t="s">
        <v>19711</v>
      </c>
      <c r="B10365" s="74" t="s">
        <v>19712</v>
      </c>
      <c r="C10365" s="50"/>
      <c r="D10365" s="53">
        <f t="shared" si="161"/>
        <v>0</v>
      </c>
      <c r="E10365" s="60" t="str">
        <f>HYPERLINK("https://www.sds-group.ru/product/svetilnik-dekorativnyy-nastolnyy-mobi-buldog-s-tsokolem-e14-40vt-tsvet-belyy-rexant-603-1017/", "Инфо")</f>
        <v>Инфо</v>
      </c>
      <c r="F10365" s="34" t="s">
        <v>39</v>
      </c>
      <c r="G10365" s="33"/>
      <c r="H10365" s="33" t="s">
        <v>40</v>
      </c>
      <c r="I10365" s="33"/>
      <c r="J10365" s="35">
        <v>592</v>
      </c>
      <c r="K10365" s="33"/>
      <c r="L10365" s="35">
        <v>1</v>
      </c>
      <c r="M10365" s="35">
        <v>12</v>
      </c>
      <c r="N10365" s="35">
        <v>1</v>
      </c>
      <c r="O10365" s="36">
        <v>2624.76</v>
      </c>
      <c r="P10365" s="36">
        <v>2151.44</v>
      </c>
      <c r="Q10365" s="36">
        <v>1837.33</v>
      </c>
      <c r="R10365" s="36">
        <v>1506.01</v>
      </c>
      <c r="S10365" s="36">
        <v>1784.84</v>
      </c>
      <c r="T10365" s="36">
        <v>1462.98</v>
      </c>
      <c r="U10365" s="34"/>
      <c r="V10365" s="34"/>
      <c r="W10365" s="34"/>
      <c r="X10365" s="37">
        <v>0.68700000000000006</v>
      </c>
      <c r="Y10365" s="38">
        <v>9.2689999999999995E-3</v>
      </c>
      <c r="Z10365" s="21">
        <v>4601004273818</v>
      </c>
    </row>
    <row r="10366" spans="1:26" ht="12" customHeight="1" outlineLevel="4" x14ac:dyDescent="0.2">
      <c r="A10366" s="32" t="s">
        <v>19713</v>
      </c>
      <c r="B10366" s="74" t="s">
        <v>19714</v>
      </c>
      <c r="C10366" s="50"/>
      <c r="D10366" s="53">
        <f t="shared" si="161"/>
        <v>0</v>
      </c>
      <c r="E10366" s="60" t="str">
        <f>HYPERLINK("https://www.sds-group.ru/product/svetilnik-dekorativnyy-nastolnyy-mobi-buldog-s-tsokolem-e14-40vt-tsvet-chernyy-rexant-603-1016/", "Инфо")</f>
        <v>Инфо</v>
      </c>
      <c r="F10366" s="34" t="s">
        <v>39</v>
      </c>
      <c r="G10366" s="33"/>
      <c r="H10366" s="33" t="s">
        <v>40</v>
      </c>
      <c r="I10366" s="33"/>
      <c r="J10366" s="35">
        <v>407</v>
      </c>
      <c r="K10366" s="33" t="s">
        <v>1587</v>
      </c>
      <c r="L10366" s="35">
        <v>1</v>
      </c>
      <c r="M10366" s="35">
        <v>12</v>
      </c>
      <c r="N10366" s="35">
        <v>1</v>
      </c>
      <c r="O10366" s="36">
        <v>2624.76</v>
      </c>
      <c r="P10366" s="36">
        <v>2151.44</v>
      </c>
      <c r="Q10366" s="36">
        <v>1837.33</v>
      </c>
      <c r="R10366" s="36">
        <v>1506.01</v>
      </c>
      <c r="S10366" s="36">
        <v>1784.84</v>
      </c>
      <c r="T10366" s="36">
        <v>1462.98</v>
      </c>
      <c r="U10366" s="34"/>
      <c r="V10366" s="34"/>
      <c r="W10366" s="34"/>
      <c r="X10366" s="37">
        <v>0.78900000000000003</v>
      </c>
      <c r="Y10366" s="38">
        <v>9.136E-3</v>
      </c>
      <c r="Z10366" s="21">
        <v>4601004273870</v>
      </c>
    </row>
    <row r="10367" spans="1:26" ht="12" customHeight="1" outlineLevel="4" x14ac:dyDescent="0.2">
      <c r="A10367" s="32" t="s">
        <v>19715</v>
      </c>
      <c r="B10367" s="74" t="s">
        <v>19716</v>
      </c>
      <c r="C10367" s="50"/>
      <c r="D10367" s="53">
        <f t="shared" si="161"/>
        <v>0</v>
      </c>
      <c r="E10367" s="60" t="str">
        <f>HYPERLINK("https://www.sds-group.ru/product/svetilnik-dekorativnyy-nastolnyy-mobi-kot-s-zontom-s-tsokolem-e14-40-vt-tsvet-belyy-rexant-603-1019/", "Инфо")</f>
        <v>Инфо</v>
      </c>
      <c r="F10367" s="34" t="s">
        <v>39</v>
      </c>
      <c r="G10367" s="33"/>
      <c r="H10367" s="33" t="s">
        <v>40</v>
      </c>
      <c r="I10367" s="33"/>
      <c r="J10367" s="35">
        <v>397</v>
      </c>
      <c r="K10367" s="33" t="s">
        <v>1587</v>
      </c>
      <c r="L10367" s="35">
        <v>1</v>
      </c>
      <c r="M10367" s="35">
        <v>12</v>
      </c>
      <c r="N10367" s="35">
        <v>1</v>
      </c>
      <c r="O10367" s="36">
        <v>4169.6400000000003</v>
      </c>
      <c r="P10367" s="36">
        <v>3417.74</v>
      </c>
      <c r="Q10367" s="36">
        <v>2918.75</v>
      </c>
      <c r="R10367" s="36">
        <v>2392.42</v>
      </c>
      <c r="S10367" s="36">
        <v>2835.36</v>
      </c>
      <c r="T10367" s="36">
        <v>2324.0700000000002</v>
      </c>
      <c r="U10367" s="34"/>
      <c r="V10367" s="34"/>
      <c r="W10367" s="34"/>
      <c r="X10367" s="37">
        <v>1.1160000000000001</v>
      </c>
      <c r="Y10367" s="38">
        <v>1.274E-2</v>
      </c>
      <c r="Z10367" s="21">
        <v>4601004273825</v>
      </c>
    </row>
    <row r="10368" spans="1:26" ht="12" customHeight="1" outlineLevel="4" x14ac:dyDescent="0.2">
      <c r="A10368" s="32" t="s">
        <v>19717</v>
      </c>
      <c r="B10368" s="74" t="s">
        <v>19718</v>
      </c>
      <c r="C10368" s="50"/>
      <c r="D10368" s="53">
        <f t="shared" si="161"/>
        <v>0</v>
      </c>
      <c r="E10368" s="60" t="str">
        <f>HYPERLINK("https://www.sds-group.ru/product/svetilnik-dekorativnyy-nastolnyy-mobi-kot-s-zontom-s-tsokolem-e14-40-vt-tsvet-chernyy-rexan-603-1018/", "Инфо")</f>
        <v>Инфо</v>
      </c>
      <c r="F10368" s="34" t="s">
        <v>39</v>
      </c>
      <c r="G10368" s="33"/>
      <c r="H10368" s="33" t="s">
        <v>40</v>
      </c>
      <c r="I10368" s="33"/>
      <c r="J10368" s="34" t="s">
        <v>100</v>
      </c>
      <c r="K10368" s="33" t="s">
        <v>1587</v>
      </c>
      <c r="L10368" s="35">
        <v>1</v>
      </c>
      <c r="M10368" s="35">
        <v>12</v>
      </c>
      <c r="N10368" s="35">
        <v>1</v>
      </c>
      <c r="O10368" s="36">
        <v>4169.6400000000003</v>
      </c>
      <c r="P10368" s="36">
        <v>3417.74</v>
      </c>
      <c r="Q10368" s="36">
        <v>2918.75</v>
      </c>
      <c r="R10368" s="36">
        <v>2392.42</v>
      </c>
      <c r="S10368" s="36">
        <v>2835.36</v>
      </c>
      <c r="T10368" s="36">
        <v>2324.0700000000002</v>
      </c>
      <c r="U10368" s="34"/>
      <c r="V10368" s="34"/>
      <c r="W10368" s="34"/>
      <c r="X10368" s="37">
        <v>1.1279999999999999</v>
      </c>
      <c r="Y10368" s="38">
        <v>1.2668E-2</v>
      </c>
      <c r="Z10368" s="21">
        <v>4601004273863</v>
      </c>
    </row>
    <row r="10369" spans="1:26" ht="12" customHeight="1" outlineLevel="4" x14ac:dyDescent="0.2">
      <c r="A10369" s="32" t="s">
        <v>19719</v>
      </c>
      <c r="B10369" s="74" t="s">
        <v>19720</v>
      </c>
      <c r="C10369" s="50"/>
      <c r="D10369" s="53">
        <f t="shared" si="161"/>
        <v>0</v>
      </c>
      <c r="E10369" s="60" t="str">
        <f>HYPERLINK("https://www.sds-group.ru/product/svetilnik-dekorativnyy-mobi-zayats-zoloto-rexant-603-1029/", "Инфо")</f>
        <v>Инфо</v>
      </c>
      <c r="F10369" s="34" t="s">
        <v>39</v>
      </c>
      <c r="G10369" s="33"/>
      <c r="H10369" s="33" t="s">
        <v>40</v>
      </c>
      <c r="I10369" s="33"/>
      <c r="J10369" s="35">
        <v>79</v>
      </c>
      <c r="K10369" s="33"/>
      <c r="L10369" s="35">
        <v>1</v>
      </c>
      <c r="M10369" s="35">
        <v>6</v>
      </c>
      <c r="N10369" s="35">
        <v>1</v>
      </c>
      <c r="O10369" s="36">
        <v>4317.3500000000004</v>
      </c>
      <c r="P10369" s="36">
        <v>3538.81</v>
      </c>
      <c r="Q10369" s="36">
        <v>3022.15</v>
      </c>
      <c r="R10369" s="36">
        <v>2477.17</v>
      </c>
      <c r="S10369" s="36">
        <v>2935.8</v>
      </c>
      <c r="T10369" s="36">
        <v>2406.39</v>
      </c>
      <c r="U10369" s="34"/>
      <c r="V10369" s="34"/>
      <c r="W10369" s="34"/>
      <c r="X10369" s="37">
        <v>0.88600000000000001</v>
      </c>
      <c r="Y10369" s="38">
        <v>1.1997000000000001E-2</v>
      </c>
      <c r="Z10369" s="21">
        <v>4601004283435</v>
      </c>
    </row>
    <row r="10370" spans="1:26" ht="12" customHeight="1" outlineLevel="4" x14ac:dyDescent="0.2">
      <c r="A10370" s="32" t="s">
        <v>19721</v>
      </c>
      <c r="B10370" s="74" t="s">
        <v>19722</v>
      </c>
      <c r="C10370" s="50"/>
      <c r="D10370" s="53">
        <f t="shared" si="161"/>
        <v>0</v>
      </c>
      <c r="E10370" s="60" t="str">
        <f>HYPERLINK("https://www.sds-group.ru/product/svetilnik-dekorativnyy-mobi-zayats-hrom-rexant-603-1030/", "Инфо")</f>
        <v>Инфо</v>
      </c>
      <c r="F10370" s="34" t="s">
        <v>39</v>
      </c>
      <c r="G10370" s="33"/>
      <c r="H10370" s="33" t="s">
        <v>40</v>
      </c>
      <c r="I10370" s="33"/>
      <c r="J10370" s="35">
        <v>83</v>
      </c>
      <c r="K10370" s="33"/>
      <c r="L10370" s="35">
        <v>1</v>
      </c>
      <c r="M10370" s="35">
        <v>6</v>
      </c>
      <c r="N10370" s="35">
        <v>1</v>
      </c>
      <c r="O10370" s="36">
        <v>5330.05</v>
      </c>
      <c r="P10370" s="36">
        <v>4368.8900000000003</v>
      </c>
      <c r="Q10370" s="36">
        <v>3731.04</v>
      </c>
      <c r="R10370" s="36">
        <v>3058.23</v>
      </c>
      <c r="S10370" s="36">
        <v>3624.43</v>
      </c>
      <c r="T10370" s="36">
        <v>2970.84</v>
      </c>
      <c r="U10370" s="34"/>
      <c r="V10370" s="34"/>
      <c r="W10370" s="34"/>
      <c r="X10370" s="37">
        <v>0.89800000000000002</v>
      </c>
      <c r="Y10370" s="38">
        <v>1.2198000000000001E-2</v>
      </c>
      <c r="Z10370" s="21">
        <v>4601004283787</v>
      </c>
    </row>
    <row r="10371" spans="1:26" ht="12" customHeight="1" outlineLevel="4" x14ac:dyDescent="0.2">
      <c r="A10371" s="32" t="s">
        <v>19723</v>
      </c>
      <c r="B10371" s="74" t="s">
        <v>19724</v>
      </c>
      <c r="C10371" s="50"/>
      <c r="D10371" s="53">
        <f t="shared" si="161"/>
        <v>0</v>
      </c>
      <c r="E10371" s="60" t="str">
        <f>HYPERLINK("https://www.sds-group.ru/product/svetilnik-dekorativnyy-nastolnyy-forte-osnovanie-duga-pod-zolotoy-mramor-bezhevyy-abazhur-t-603-1024/", "Инфо")</f>
        <v>Инфо</v>
      </c>
      <c r="F10371" s="34" t="s">
        <v>39</v>
      </c>
      <c r="G10371" s="33"/>
      <c r="H10371" s="33" t="s">
        <v>40</v>
      </c>
      <c r="I10371" s="33"/>
      <c r="J10371" s="35">
        <v>374</v>
      </c>
      <c r="K10371" s="33"/>
      <c r="L10371" s="35">
        <v>1</v>
      </c>
      <c r="M10371" s="35">
        <v>12</v>
      </c>
      <c r="N10371" s="35">
        <v>1</v>
      </c>
      <c r="O10371" s="36">
        <v>1633.28</v>
      </c>
      <c r="P10371" s="36">
        <v>1338.75</v>
      </c>
      <c r="Q10371" s="36">
        <v>1143.3</v>
      </c>
      <c r="R10371" s="36">
        <v>937.13</v>
      </c>
      <c r="S10371" s="36">
        <v>1110.6300000000001</v>
      </c>
      <c r="T10371" s="36">
        <v>910.35</v>
      </c>
      <c r="U10371" s="34"/>
      <c r="V10371" s="34"/>
      <c r="W10371" s="34"/>
      <c r="X10371" s="37">
        <v>0.64400000000000002</v>
      </c>
      <c r="Y10371" s="38">
        <v>6.1729999999999997E-3</v>
      </c>
      <c r="Z10371" s="21">
        <v>4601004283091</v>
      </c>
    </row>
    <row r="10372" spans="1:26" ht="12" customHeight="1" outlineLevel="4" x14ac:dyDescent="0.2">
      <c r="A10372" s="32" t="s">
        <v>19725</v>
      </c>
      <c r="B10372" s="74" t="s">
        <v>19726</v>
      </c>
      <c r="C10372" s="50"/>
      <c r="D10372" s="53">
        <f t="shared" si="161"/>
        <v>0</v>
      </c>
      <c r="E10372" s="60" t="str">
        <f>HYPERLINK("https://www.sds-group.ru/product/svetilnik-dekorativnyy-nastolnyy-forte-osnovanie-koltso-pod-chernyy-mramor-belyy-abazhur-ts-603-1027/", "Инфо")</f>
        <v>Инфо</v>
      </c>
      <c r="F10372" s="34" t="s">
        <v>39</v>
      </c>
      <c r="G10372" s="33"/>
      <c r="H10372" s="33" t="s">
        <v>40</v>
      </c>
      <c r="I10372" s="33"/>
      <c r="J10372" s="35">
        <v>81</v>
      </c>
      <c r="K10372" s="33"/>
      <c r="L10372" s="35">
        <v>1</v>
      </c>
      <c r="M10372" s="35">
        <v>12</v>
      </c>
      <c r="N10372" s="35">
        <v>1</v>
      </c>
      <c r="O10372" s="36">
        <v>2244.25</v>
      </c>
      <c r="P10372" s="36">
        <v>1839.55</v>
      </c>
      <c r="Q10372" s="36">
        <v>1570.98</v>
      </c>
      <c r="R10372" s="36">
        <v>1287.69</v>
      </c>
      <c r="S10372" s="36">
        <v>1526.09</v>
      </c>
      <c r="T10372" s="36">
        <v>1250.8900000000001</v>
      </c>
      <c r="U10372" s="34"/>
      <c r="V10372" s="34"/>
      <c r="W10372" s="34"/>
      <c r="X10372" s="37">
        <v>0.77800000000000002</v>
      </c>
      <c r="Y10372" s="38">
        <v>7.6369999999999997E-3</v>
      </c>
      <c r="Z10372" s="21">
        <v>4601004283060</v>
      </c>
    </row>
    <row r="10373" spans="1:26" ht="12" customHeight="1" outlineLevel="4" x14ac:dyDescent="0.2">
      <c r="A10373" s="32" t="s">
        <v>19727</v>
      </c>
      <c r="B10373" s="74" t="s">
        <v>19728</v>
      </c>
      <c r="C10373" s="50"/>
      <c r="D10373" s="53">
        <f t="shared" si="161"/>
        <v>0</v>
      </c>
      <c r="E10373" s="60" t="str">
        <f>HYPERLINK("https://www.sds-group.ru/product/svetilnik-dekorativnyy-chelovechek-belyy-s-belym-abazhurom-e27-rexant-603-1037/", "Инфо")</f>
        <v>Инфо</v>
      </c>
      <c r="F10373" s="34" t="s">
        <v>39</v>
      </c>
      <c r="G10373" s="33"/>
      <c r="H10373" s="33" t="s">
        <v>40</v>
      </c>
      <c r="I10373" s="33"/>
      <c r="J10373" s="34" t="s">
        <v>100</v>
      </c>
      <c r="K10373" s="33"/>
      <c r="L10373" s="35">
        <v>1</v>
      </c>
      <c r="M10373" s="35">
        <v>12</v>
      </c>
      <c r="N10373" s="35">
        <v>1</v>
      </c>
      <c r="O10373" s="36">
        <v>3719.17</v>
      </c>
      <c r="P10373" s="36">
        <v>3048.5</v>
      </c>
      <c r="Q10373" s="36">
        <v>2714.99</v>
      </c>
      <c r="R10373" s="36">
        <v>2225.4</v>
      </c>
      <c r="S10373" s="36">
        <v>2529.04</v>
      </c>
      <c r="T10373" s="36">
        <v>2072.98</v>
      </c>
      <c r="U10373" s="34"/>
      <c r="V10373" s="34"/>
      <c r="W10373" s="34" t="s">
        <v>40</v>
      </c>
      <c r="X10373" s="37">
        <v>0.751</v>
      </c>
      <c r="Y10373" s="38">
        <v>6.9439999999999997E-3</v>
      </c>
      <c r="Z10373" s="21">
        <v>4601004302846</v>
      </c>
    </row>
    <row r="10374" spans="1:26" ht="12" customHeight="1" outlineLevel="4" x14ac:dyDescent="0.2">
      <c r="A10374" s="32" t="s">
        <v>19729</v>
      </c>
      <c r="B10374" s="74" t="s">
        <v>19730</v>
      </c>
      <c r="C10374" s="50"/>
      <c r="D10374" s="53">
        <f t="shared" si="161"/>
        <v>0</v>
      </c>
      <c r="E10374" s="60" t="str">
        <f>HYPERLINK("https://www.sds-group.ru/product/svetilnik-dekorativnyy-chelovechek-zolotoy-s-chernym-abazhurom-e27-rexant-603-1035/", "Инфо")</f>
        <v>Инфо</v>
      </c>
      <c r="F10374" s="34" t="s">
        <v>39</v>
      </c>
      <c r="G10374" s="33"/>
      <c r="H10374" s="33" t="s">
        <v>40</v>
      </c>
      <c r="I10374" s="33"/>
      <c r="J10374" s="35">
        <v>39</v>
      </c>
      <c r="K10374" s="33"/>
      <c r="L10374" s="35">
        <v>1</v>
      </c>
      <c r="M10374" s="35">
        <v>12</v>
      </c>
      <c r="N10374" s="35">
        <v>1</v>
      </c>
      <c r="O10374" s="36">
        <v>3719.17</v>
      </c>
      <c r="P10374" s="36">
        <v>3048.5</v>
      </c>
      <c r="Q10374" s="36">
        <v>2714.99</v>
      </c>
      <c r="R10374" s="36">
        <v>2225.4</v>
      </c>
      <c r="S10374" s="36">
        <v>2529.04</v>
      </c>
      <c r="T10374" s="36">
        <v>2072.98</v>
      </c>
      <c r="U10374" s="34"/>
      <c r="V10374" s="34"/>
      <c r="W10374" s="34" t="s">
        <v>40</v>
      </c>
      <c r="X10374" s="37">
        <v>0.76300000000000001</v>
      </c>
      <c r="Y10374" s="38">
        <v>6.1399999999999996E-3</v>
      </c>
      <c r="Z10374" s="21">
        <v>4601004302853</v>
      </c>
    </row>
    <row r="10375" spans="1:26" ht="12" customHeight="1" outlineLevel="4" x14ac:dyDescent="0.2">
      <c r="A10375" s="32" t="s">
        <v>19731</v>
      </c>
      <c r="B10375" s="74" t="s">
        <v>19732</v>
      </c>
      <c r="C10375" s="50"/>
      <c r="D10375" s="53">
        <f t="shared" si="161"/>
        <v>0</v>
      </c>
      <c r="E10375" s="60" t="str">
        <f>HYPERLINK("https://www.sds-group.ru/product/svetilnik-dekorativnyy-chelovechek-serebryanyy-s-pudrovym-abazhurom-e27-rexant-603-1036/", "Инфо")</f>
        <v>Инфо</v>
      </c>
      <c r="F10375" s="34" t="s">
        <v>39</v>
      </c>
      <c r="G10375" s="33"/>
      <c r="H10375" s="33" t="s">
        <v>40</v>
      </c>
      <c r="I10375" s="33"/>
      <c r="J10375" s="35">
        <v>22</v>
      </c>
      <c r="K10375" s="33"/>
      <c r="L10375" s="35">
        <v>1</v>
      </c>
      <c r="M10375" s="35">
        <v>12</v>
      </c>
      <c r="N10375" s="35">
        <v>1</v>
      </c>
      <c r="O10375" s="36">
        <v>3719.17</v>
      </c>
      <c r="P10375" s="36">
        <v>3048.5</v>
      </c>
      <c r="Q10375" s="36">
        <v>2714.99</v>
      </c>
      <c r="R10375" s="36">
        <v>2225.4</v>
      </c>
      <c r="S10375" s="36">
        <v>2529.04</v>
      </c>
      <c r="T10375" s="36">
        <v>2072.98</v>
      </c>
      <c r="U10375" s="34"/>
      <c r="V10375" s="34"/>
      <c r="W10375" s="34" t="s">
        <v>40</v>
      </c>
      <c r="X10375" s="37">
        <v>0.66700000000000004</v>
      </c>
      <c r="Y10375" s="38">
        <v>5.9259999999999998E-3</v>
      </c>
      <c r="Z10375" s="21">
        <v>4601004302860</v>
      </c>
    </row>
    <row r="10376" spans="1:26" ht="12" customHeight="1" outlineLevel="4" x14ac:dyDescent="0.2">
      <c r="A10376" s="32" t="s">
        <v>19733</v>
      </c>
      <c r="B10376" s="74" t="s">
        <v>19734</v>
      </c>
      <c r="C10376" s="50"/>
      <c r="D10376" s="53">
        <f t="shared" si="161"/>
        <v>0</v>
      </c>
      <c r="E10376" s="60" t="str">
        <f>HYPERLINK("https://www.sds-group.ru/product/svetilnik-dekorativnyy-chelovechek-chernyy-s-chernym-abazhurom-e27-rexant-603-1038/", "Инфо")</f>
        <v>Инфо</v>
      </c>
      <c r="F10376" s="34" t="s">
        <v>39</v>
      </c>
      <c r="G10376" s="33"/>
      <c r="H10376" s="33" t="s">
        <v>40</v>
      </c>
      <c r="I10376" s="33"/>
      <c r="J10376" s="34" t="s">
        <v>100</v>
      </c>
      <c r="K10376" s="33"/>
      <c r="L10376" s="35">
        <v>1</v>
      </c>
      <c r="M10376" s="35">
        <v>12</v>
      </c>
      <c r="N10376" s="35">
        <v>1</v>
      </c>
      <c r="O10376" s="36">
        <v>3719.17</v>
      </c>
      <c r="P10376" s="36">
        <v>3048.5</v>
      </c>
      <c r="Q10376" s="36">
        <v>2714.99</v>
      </c>
      <c r="R10376" s="36">
        <v>2225.4</v>
      </c>
      <c r="S10376" s="36">
        <v>2529.04</v>
      </c>
      <c r="T10376" s="36">
        <v>2072.98</v>
      </c>
      <c r="U10376" s="34"/>
      <c r="V10376" s="34"/>
      <c r="W10376" s="34" t="s">
        <v>40</v>
      </c>
      <c r="X10376" s="37">
        <v>0.73099999999999998</v>
      </c>
      <c r="Y10376" s="38">
        <v>6.888E-3</v>
      </c>
      <c r="Z10376" s="21">
        <v>4601004302877</v>
      </c>
    </row>
    <row r="10377" spans="1:26" ht="12" customHeight="1" outlineLevel="4" x14ac:dyDescent="0.2">
      <c r="A10377" s="32" t="s">
        <v>19735</v>
      </c>
      <c r="B10377" s="74" t="s">
        <v>19736</v>
      </c>
      <c r="C10377" s="50"/>
      <c r="D10377" s="53">
        <f t="shared" ref="D10377:D10440" si="162">C10377*(O10377-O10377*$G$3)</f>
        <v>0</v>
      </c>
      <c r="E10377" s="60" t="str">
        <f>HYPERLINK("https://www.sds-group.ru/product/svetilnik-pchelenok-na-osnovanii-s-tsokolem-e27-60-vt-tsvet-podsolnuh-rexant-603-1014/", "Инфо")</f>
        <v>Инфо</v>
      </c>
      <c r="F10377" s="34" t="s">
        <v>39</v>
      </c>
      <c r="G10377" s="33"/>
      <c r="H10377" s="33" t="s">
        <v>40</v>
      </c>
      <c r="I10377" s="33"/>
      <c r="J10377" s="35">
        <v>80</v>
      </c>
      <c r="K10377" s="33"/>
      <c r="L10377" s="35">
        <v>1</v>
      </c>
      <c r="M10377" s="35">
        <v>20</v>
      </c>
      <c r="N10377" s="35">
        <v>1</v>
      </c>
      <c r="O10377" s="36">
        <v>1044.33</v>
      </c>
      <c r="P10377" s="36">
        <v>856.01</v>
      </c>
      <c r="Q10377" s="36">
        <v>731.03</v>
      </c>
      <c r="R10377" s="36">
        <v>599.20000000000005</v>
      </c>
      <c r="S10377" s="36">
        <v>710.14</v>
      </c>
      <c r="T10377" s="36">
        <v>582.08000000000004</v>
      </c>
      <c r="U10377" s="34"/>
      <c r="V10377" s="34"/>
      <c r="W10377" s="34"/>
      <c r="X10377" s="37">
        <v>0.73199999999999998</v>
      </c>
      <c r="Y10377" s="38">
        <v>7.2719999999999998E-3</v>
      </c>
      <c r="Z10377" s="21">
        <v>4601004199064</v>
      </c>
    </row>
    <row r="10378" spans="1:26" ht="12.95" customHeight="1" outlineLevel="3" x14ac:dyDescent="0.2">
      <c r="A10378" s="76" t="s">
        <v>19737</v>
      </c>
      <c r="B10378" s="76"/>
      <c r="C10378" s="77"/>
      <c r="D10378" s="58"/>
      <c r="E10378" s="68"/>
      <c r="F10378" s="13"/>
      <c r="G10378" s="13"/>
      <c r="H10378" s="13"/>
      <c r="I10378" s="13"/>
      <c r="J10378" s="13"/>
      <c r="K10378" s="13"/>
      <c r="L10378" s="13"/>
      <c r="M10378" s="13"/>
      <c r="N10378" s="13"/>
      <c r="O10378" s="13"/>
      <c r="P10378" s="13"/>
      <c r="Q10378" s="13"/>
      <c r="R10378" s="13"/>
      <c r="S10378" s="13"/>
      <c r="T10378" s="13"/>
      <c r="U10378" s="13"/>
      <c r="V10378" s="13"/>
      <c r="W10378" s="13"/>
      <c r="X10378" s="13"/>
      <c r="Y10378" s="13"/>
      <c r="Z10378" s="13"/>
    </row>
    <row r="10379" spans="1:26" ht="12" customHeight="1" outlineLevel="4" x14ac:dyDescent="0.2">
      <c r="A10379" s="32" t="s">
        <v>19738</v>
      </c>
      <c r="B10379" s="74" t="s">
        <v>19739</v>
      </c>
      <c r="C10379" s="50"/>
      <c r="D10379" s="53">
        <f t="shared" si="162"/>
        <v>0</v>
      </c>
      <c r="E10379" s="60" t="str">
        <f>HYPERLINK("https://www.sds-group.ru/product/svetilnik-dekorativnyy-spiral-uno-led-2vt-3000k-5v-zolotoy-rexant-609-032/", "Инфо")</f>
        <v>Инфо</v>
      </c>
      <c r="F10379" s="34" t="s">
        <v>39</v>
      </c>
      <c r="G10379" s="33"/>
      <c r="H10379" s="33" t="s">
        <v>40</v>
      </c>
      <c r="I10379" s="33"/>
      <c r="J10379" s="35">
        <v>16</v>
      </c>
      <c r="K10379" s="33"/>
      <c r="L10379" s="35">
        <v>1</v>
      </c>
      <c r="M10379" s="35">
        <v>9</v>
      </c>
      <c r="N10379" s="35">
        <v>1</v>
      </c>
      <c r="O10379" s="36">
        <v>1482.55</v>
      </c>
      <c r="P10379" s="36">
        <v>1215.2</v>
      </c>
      <c r="Q10379" s="36">
        <v>1037.79</v>
      </c>
      <c r="R10379" s="36">
        <v>850.65</v>
      </c>
      <c r="S10379" s="36">
        <v>1008.13</v>
      </c>
      <c r="T10379" s="36">
        <v>826.34</v>
      </c>
      <c r="U10379" s="34"/>
      <c r="V10379" s="34"/>
      <c r="W10379" s="34"/>
      <c r="X10379" s="37">
        <v>0.61299999999999999</v>
      </c>
      <c r="Y10379" s="38">
        <v>1.8048000000000002E-2</v>
      </c>
      <c r="Z10379" s="21">
        <v>4601004273191</v>
      </c>
    </row>
    <row r="10380" spans="1:26" ht="12" customHeight="1" outlineLevel="4" x14ac:dyDescent="0.2">
      <c r="A10380" s="32" t="s">
        <v>19740</v>
      </c>
      <c r="B10380" s="74" t="s">
        <v>19741</v>
      </c>
      <c r="C10380" s="50"/>
      <c r="D10380" s="53">
        <f t="shared" si="162"/>
        <v>0</v>
      </c>
      <c r="E10380" s="60" t="str">
        <f>HYPERLINK("https://www.sds-group.ru/product/svetilnik-dekorativnyy-spiral-uno-led-2vt-3000k-5v-serebryanyy-rexant-609-031/", "Инфо")</f>
        <v>Инфо</v>
      </c>
      <c r="F10380" s="34" t="s">
        <v>39</v>
      </c>
      <c r="G10380" s="33"/>
      <c r="H10380" s="33" t="s">
        <v>40</v>
      </c>
      <c r="I10380" s="33"/>
      <c r="J10380" s="35">
        <v>1</v>
      </c>
      <c r="K10380" s="33"/>
      <c r="L10380" s="35">
        <v>1</v>
      </c>
      <c r="M10380" s="35">
        <v>9</v>
      </c>
      <c r="N10380" s="35">
        <v>1</v>
      </c>
      <c r="O10380" s="36">
        <v>1203.1500000000001</v>
      </c>
      <c r="P10380" s="36">
        <v>986.19</v>
      </c>
      <c r="Q10380" s="36">
        <v>842.21</v>
      </c>
      <c r="R10380" s="36">
        <v>690.34</v>
      </c>
      <c r="S10380" s="36">
        <v>818.14</v>
      </c>
      <c r="T10380" s="36">
        <v>670.61</v>
      </c>
      <c r="U10380" s="34"/>
      <c r="V10380" s="34"/>
      <c r="W10380" s="34"/>
      <c r="X10380" s="37">
        <v>0.61099999999999999</v>
      </c>
      <c r="Y10380" s="38">
        <v>1.821E-2</v>
      </c>
      <c r="Z10380" s="21">
        <v>4601004275188</v>
      </c>
    </row>
    <row r="10381" spans="1:26" ht="12" customHeight="1" outlineLevel="4" x14ac:dyDescent="0.2">
      <c r="A10381" s="32" t="s">
        <v>19742</v>
      </c>
      <c r="B10381" s="74" t="s">
        <v>19743</v>
      </c>
      <c r="C10381" s="50"/>
      <c r="D10381" s="53">
        <f t="shared" si="162"/>
        <v>0</v>
      </c>
      <c r="E10381" s="60" t="str">
        <f>HYPERLINK("https://www.sds-group.ru/product/svetilnik-magnitnyy-perenosnoy-s-3-krepleniyami-kolokolchik-belyy-rexant-609-041/", "Инфо")</f>
        <v>Инфо</v>
      </c>
      <c r="F10381" s="34" t="s">
        <v>39</v>
      </c>
      <c r="G10381" s="33"/>
      <c r="H10381" s="33" t="s">
        <v>40</v>
      </c>
      <c r="I10381" s="33"/>
      <c r="J10381" s="35">
        <v>498</v>
      </c>
      <c r="K10381" s="33"/>
      <c r="L10381" s="35">
        <v>1</v>
      </c>
      <c r="M10381" s="35">
        <v>20</v>
      </c>
      <c r="N10381" s="35">
        <v>1</v>
      </c>
      <c r="O10381" s="36">
        <v>1228.8499999999999</v>
      </c>
      <c r="P10381" s="36">
        <v>1007.25</v>
      </c>
      <c r="Q10381" s="36">
        <v>860.2</v>
      </c>
      <c r="R10381" s="36">
        <v>705.08</v>
      </c>
      <c r="S10381" s="36">
        <v>835.62</v>
      </c>
      <c r="T10381" s="36">
        <v>684.93</v>
      </c>
      <c r="U10381" s="34"/>
      <c r="V10381" s="34"/>
      <c r="W10381" s="34"/>
      <c r="X10381" s="37">
        <v>0.67900000000000005</v>
      </c>
      <c r="Y10381" s="38">
        <v>1.776E-3</v>
      </c>
      <c r="Z10381" s="21">
        <v>4601004296152</v>
      </c>
    </row>
    <row r="10382" spans="1:26" ht="12" customHeight="1" outlineLevel="4" x14ac:dyDescent="0.2">
      <c r="A10382" s="32" t="s">
        <v>19744</v>
      </c>
      <c r="B10382" s="74" t="s">
        <v>19745</v>
      </c>
      <c r="C10382" s="50"/>
      <c r="D10382" s="53">
        <f t="shared" si="162"/>
        <v>0</v>
      </c>
      <c r="E10382" s="60" t="str">
        <f>HYPERLINK("https://www.sds-group.ru/product/svetilnik-magnitnyy-perenosnoy-s-3-krepleniyami-kruglyy-chernyy-rexant-609-042/", "Инфо")</f>
        <v>Инфо</v>
      </c>
      <c r="F10382" s="34" t="s">
        <v>39</v>
      </c>
      <c r="G10382" s="33"/>
      <c r="H10382" s="33" t="s">
        <v>40</v>
      </c>
      <c r="I10382" s="33"/>
      <c r="J10382" s="35">
        <v>3</v>
      </c>
      <c r="K10382" s="33"/>
      <c r="L10382" s="35">
        <v>1</v>
      </c>
      <c r="M10382" s="35">
        <v>20</v>
      </c>
      <c r="N10382" s="35">
        <v>1</v>
      </c>
      <c r="O10382" s="36">
        <v>1940.43</v>
      </c>
      <c r="P10382" s="36">
        <v>1590.52</v>
      </c>
      <c r="Q10382" s="36">
        <v>1358.3</v>
      </c>
      <c r="R10382" s="36">
        <v>1113.3599999999999</v>
      </c>
      <c r="S10382" s="36">
        <v>1319.49</v>
      </c>
      <c r="T10382" s="36">
        <v>1081.55</v>
      </c>
      <c r="U10382" s="34"/>
      <c r="V10382" s="34"/>
      <c r="W10382" s="34"/>
      <c r="X10382" s="37">
        <v>0.64300000000000002</v>
      </c>
      <c r="Y10382" s="38">
        <v>1.2179999999999999E-3</v>
      </c>
      <c r="Z10382" s="21">
        <v>4601004296169</v>
      </c>
    </row>
    <row r="10383" spans="1:26" ht="12" customHeight="1" outlineLevel="4" x14ac:dyDescent="0.2">
      <c r="A10383" s="14" t="s">
        <v>19746</v>
      </c>
      <c r="B10383" s="26" t="s">
        <v>19747</v>
      </c>
      <c r="C10383" s="52"/>
      <c r="D10383" s="55">
        <f t="shared" si="162"/>
        <v>0</v>
      </c>
      <c r="E10383" s="63" t="str">
        <f>HYPERLINK("https://www.sds-group.ru/product/svetilnik-nastolnyy-click-4vt-led-4000k-dimmiruemyy-3-stupeni-zaryazhaemyy-na-prischepke-bel-609-001/", "Инфо")</f>
        <v>Инфо</v>
      </c>
      <c r="F10383" s="16" t="s">
        <v>39</v>
      </c>
      <c r="G10383" s="15"/>
      <c r="H10383" s="15"/>
      <c r="I10383" s="15"/>
      <c r="J10383" s="22">
        <v>1646</v>
      </c>
      <c r="K10383" s="15" t="s">
        <v>1277</v>
      </c>
      <c r="L10383" s="17">
        <v>1</v>
      </c>
      <c r="M10383" s="17">
        <v>80</v>
      </c>
      <c r="N10383" s="17">
        <v>1</v>
      </c>
      <c r="O10383" s="18">
        <v>1034.74</v>
      </c>
      <c r="P10383" s="18">
        <v>848.15</v>
      </c>
      <c r="Q10383" s="18">
        <v>724.32</v>
      </c>
      <c r="R10383" s="18">
        <v>593.70000000000005</v>
      </c>
      <c r="S10383" s="18">
        <v>703.62</v>
      </c>
      <c r="T10383" s="18">
        <v>576.74</v>
      </c>
      <c r="U10383" s="16"/>
      <c r="V10383" s="16"/>
      <c r="W10383" s="16"/>
      <c r="X10383" s="19">
        <v>0.28599999999999998</v>
      </c>
      <c r="Y10383" s="20">
        <v>1.8450000000000001E-3</v>
      </c>
      <c r="Z10383" s="21">
        <v>4601004170117</v>
      </c>
    </row>
    <row r="10384" spans="1:26" ht="12" customHeight="1" outlineLevel="4" x14ac:dyDescent="0.2">
      <c r="A10384" s="14" t="s">
        <v>19748</v>
      </c>
      <c r="B10384" s="26" t="s">
        <v>19749</v>
      </c>
      <c r="C10384" s="52"/>
      <c r="D10384" s="55">
        <f t="shared" si="162"/>
        <v>0</v>
      </c>
      <c r="E10384" s="63" t="str">
        <f>HYPERLINK("https://www.sds-group.ru/product/svetilnik-nastolnyy-click-4vt-led-4000k-dimmiruemyy-3-stupeni-zaryazhaemyy-na-prischepke-che-609-033/", "Инфо")</f>
        <v>Инфо</v>
      </c>
      <c r="F10384" s="16" t="s">
        <v>39</v>
      </c>
      <c r="G10384" s="15"/>
      <c r="H10384" s="15"/>
      <c r="I10384" s="15"/>
      <c r="J10384" s="22">
        <v>2787</v>
      </c>
      <c r="K10384" s="15" t="s">
        <v>1277</v>
      </c>
      <c r="L10384" s="17">
        <v>1</v>
      </c>
      <c r="M10384" s="17">
        <v>80</v>
      </c>
      <c r="N10384" s="17">
        <v>1</v>
      </c>
      <c r="O10384" s="18">
        <v>1034.74</v>
      </c>
      <c r="P10384" s="18">
        <v>848.15</v>
      </c>
      <c r="Q10384" s="18">
        <v>724.32</v>
      </c>
      <c r="R10384" s="18">
        <v>593.70000000000005</v>
      </c>
      <c r="S10384" s="18">
        <v>703.62</v>
      </c>
      <c r="T10384" s="18">
        <v>576.74</v>
      </c>
      <c r="U10384" s="16"/>
      <c r="V10384" s="16"/>
      <c r="W10384" s="16"/>
      <c r="X10384" s="19">
        <v>0.28699999999999998</v>
      </c>
      <c r="Y10384" s="20">
        <v>1.82E-3</v>
      </c>
      <c r="Z10384" s="21">
        <v>4601004274563</v>
      </c>
    </row>
    <row r="10385" spans="1:26" ht="12" customHeight="1" outlineLevel="4" x14ac:dyDescent="0.2">
      <c r="A10385" s="32" t="s">
        <v>19750</v>
      </c>
      <c r="B10385" s="74" t="s">
        <v>19751</v>
      </c>
      <c r="C10385" s="50"/>
      <c r="D10385" s="53">
        <f t="shared" si="162"/>
        <v>0</v>
      </c>
      <c r="E10385" s="60" t="str">
        <f>HYPERLINK("https://www.sds-group.ru/product/svetilnik-nastolnyy-crystal-sensornyy-rgb-rexant-609-040/", "Инфо")</f>
        <v>Инфо</v>
      </c>
      <c r="F10385" s="34" t="s">
        <v>39</v>
      </c>
      <c r="G10385" s="33"/>
      <c r="H10385" s="33" t="s">
        <v>40</v>
      </c>
      <c r="I10385" s="33"/>
      <c r="J10385" s="35">
        <v>47</v>
      </c>
      <c r="K10385" s="33"/>
      <c r="L10385" s="35">
        <v>1</v>
      </c>
      <c r="M10385" s="35">
        <v>50</v>
      </c>
      <c r="N10385" s="35">
        <v>1</v>
      </c>
      <c r="O10385" s="36">
        <v>671.35</v>
      </c>
      <c r="P10385" s="36">
        <v>550.29</v>
      </c>
      <c r="Q10385" s="36">
        <v>469.95</v>
      </c>
      <c r="R10385" s="36">
        <v>385.2</v>
      </c>
      <c r="S10385" s="36">
        <v>456.52</v>
      </c>
      <c r="T10385" s="36">
        <v>374.2</v>
      </c>
      <c r="U10385" s="34"/>
      <c r="V10385" s="34"/>
      <c r="W10385" s="34"/>
      <c r="X10385" s="37">
        <v>0.39300000000000002</v>
      </c>
      <c r="Y10385" s="38">
        <v>2.7550000000000001E-3</v>
      </c>
      <c r="Z10385" s="21">
        <v>4601004288041</v>
      </c>
    </row>
    <row r="10386" spans="1:26" ht="12" customHeight="1" outlineLevel="4" x14ac:dyDescent="0.2">
      <c r="A10386" s="32" t="s">
        <v>19752</v>
      </c>
      <c r="B10386" s="74" t="s">
        <v>19753</v>
      </c>
      <c r="C10386" s="50"/>
      <c r="D10386" s="53">
        <f t="shared" si="162"/>
        <v>0</v>
      </c>
      <c r="E10386" s="60" t="str">
        <f>HYPERLINK("https://www.sds-group.ru/product/svetilnik-nastolnyy-rexant-status-led-usb-zaryadka-ustroystv-2700-6500-k-dimmirovanie-220-v--75-0219/", "Инфо")</f>
        <v>Инфо</v>
      </c>
      <c r="F10386" s="34" t="s">
        <v>39</v>
      </c>
      <c r="G10386" s="33"/>
      <c r="H10386" s="33" t="s">
        <v>40</v>
      </c>
      <c r="I10386" s="33"/>
      <c r="J10386" s="35">
        <v>4</v>
      </c>
      <c r="K10386" s="33"/>
      <c r="L10386" s="35">
        <v>1</v>
      </c>
      <c r="M10386" s="35">
        <v>30</v>
      </c>
      <c r="N10386" s="35">
        <v>1</v>
      </c>
      <c r="O10386" s="36">
        <v>2071.2800000000002</v>
      </c>
      <c r="P10386" s="36">
        <v>1697.77</v>
      </c>
      <c r="Q10386" s="36">
        <v>1449.9</v>
      </c>
      <c r="R10386" s="36">
        <v>1188.44</v>
      </c>
      <c r="S10386" s="36">
        <v>1408.47</v>
      </c>
      <c r="T10386" s="36">
        <v>1154.48</v>
      </c>
      <c r="U10386" s="34"/>
      <c r="V10386" s="34"/>
      <c r="W10386" s="34"/>
      <c r="X10386" s="37">
        <v>0.71699999999999997</v>
      </c>
      <c r="Y10386" s="38">
        <v>4.0130000000000001E-3</v>
      </c>
      <c r="Z10386" s="21">
        <v>4601004201347</v>
      </c>
    </row>
    <row r="10387" spans="1:26" ht="12" customHeight="1" outlineLevel="4" x14ac:dyDescent="0.2">
      <c r="A10387" s="14" t="s">
        <v>19754</v>
      </c>
      <c r="B10387" s="26" t="s">
        <v>19755</v>
      </c>
      <c r="C10387" s="52"/>
      <c r="D10387" s="55">
        <f t="shared" si="162"/>
        <v>0</v>
      </c>
      <c r="E10387" s="63" t="str">
        <f>HYPERLINK("https://www.sds-group.ru/product/svetilnik-nastolnyy-s-2-krepleniyami-podstavka-i-strubtsina-led-10vt-chernyy-rexant-75-0225/", "Инфо")</f>
        <v>Инфо</v>
      </c>
      <c r="F10387" s="16" t="s">
        <v>39</v>
      </c>
      <c r="G10387" s="15"/>
      <c r="H10387" s="15"/>
      <c r="I10387" s="15"/>
      <c r="J10387" s="17">
        <v>225</v>
      </c>
      <c r="K10387" s="15"/>
      <c r="L10387" s="17">
        <v>1</v>
      </c>
      <c r="M10387" s="17">
        <v>16</v>
      </c>
      <c r="N10387" s="17">
        <v>1</v>
      </c>
      <c r="O10387" s="18">
        <v>2462.62</v>
      </c>
      <c r="P10387" s="18">
        <v>2018.54</v>
      </c>
      <c r="Q10387" s="18">
        <v>1797.71</v>
      </c>
      <c r="R10387" s="18">
        <v>1473.53</v>
      </c>
      <c r="S10387" s="18">
        <v>1674.58</v>
      </c>
      <c r="T10387" s="18">
        <v>1372.61</v>
      </c>
      <c r="U10387" s="16"/>
      <c r="V10387" s="16"/>
      <c r="W10387" s="16" t="s">
        <v>40</v>
      </c>
      <c r="X10387" s="19">
        <v>1.43</v>
      </c>
      <c r="Y10387" s="20">
        <v>5.9300000000000004E-3</v>
      </c>
      <c r="Z10387" s="21">
        <v>4601004301917</v>
      </c>
    </row>
    <row r="10388" spans="1:26" ht="12" customHeight="1" outlineLevel="4" x14ac:dyDescent="0.2">
      <c r="A10388" s="14" t="s">
        <v>19756</v>
      </c>
      <c r="B10388" s="26" t="s">
        <v>19757</v>
      </c>
      <c r="C10388" s="52"/>
      <c r="D10388" s="55">
        <f t="shared" si="162"/>
        <v>0</v>
      </c>
      <c r="E10388" s="63" t="str">
        <f>HYPERLINK("https://www.sds-group.ru/product/svetilnik-nastolnyy-s-rgb-nochnikom-led-12vt-belyy-rexant-75-0226/", "Инфо")</f>
        <v>Инфо</v>
      </c>
      <c r="F10388" s="16" t="s">
        <v>39</v>
      </c>
      <c r="G10388" s="15"/>
      <c r="H10388" s="15"/>
      <c r="I10388" s="15"/>
      <c r="J10388" s="17">
        <v>567</v>
      </c>
      <c r="K10388" s="15"/>
      <c r="L10388" s="17">
        <v>1</v>
      </c>
      <c r="M10388" s="17">
        <v>18</v>
      </c>
      <c r="N10388" s="17">
        <v>1</v>
      </c>
      <c r="O10388" s="18">
        <v>2414.4699999999998</v>
      </c>
      <c r="P10388" s="18">
        <v>1979.07</v>
      </c>
      <c r="Q10388" s="18">
        <v>1762.56</v>
      </c>
      <c r="R10388" s="18">
        <v>1444.72</v>
      </c>
      <c r="S10388" s="18">
        <v>1641.84</v>
      </c>
      <c r="T10388" s="18">
        <v>1345.77</v>
      </c>
      <c r="U10388" s="16"/>
      <c r="V10388" s="16"/>
      <c r="W10388" s="16" t="s">
        <v>40</v>
      </c>
      <c r="X10388" s="19">
        <v>0.72899999999999998</v>
      </c>
      <c r="Y10388" s="20">
        <v>4.7949999999999998E-3</v>
      </c>
      <c r="Z10388" s="21">
        <v>4601004301900</v>
      </c>
    </row>
    <row r="10389" spans="1:26" ht="12" customHeight="1" outlineLevel="4" x14ac:dyDescent="0.2">
      <c r="A10389" s="14" t="s">
        <v>19758</v>
      </c>
      <c r="B10389" s="26" t="s">
        <v>19759</v>
      </c>
      <c r="C10389" s="52"/>
      <c r="D10389" s="55">
        <f t="shared" si="162"/>
        <v>0</v>
      </c>
      <c r="E10389" s="63" t="str">
        <f>HYPERLINK("https://www.sds-group.ru/product/svetilnik-nastolnyy-s-organayzerom-led-12vt-belyy-rexant-75-0224/", "Инфо")</f>
        <v>Инфо</v>
      </c>
      <c r="F10389" s="16" t="s">
        <v>39</v>
      </c>
      <c r="G10389" s="15"/>
      <c r="H10389" s="15"/>
      <c r="I10389" s="15"/>
      <c r="J10389" s="16" t="s">
        <v>100</v>
      </c>
      <c r="K10389" s="15"/>
      <c r="L10389" s="17">
        <v>1</v>
      </c>
      <c r="M10389" s="17">
        <v>12</v>
      </c>
      <c r="N10389" s="17">
        <v>1</v>
      </c>
      <c r="O10389" s="18">
        <v>2150.85</v>
      </c>
      <c r="P10389" s="18">
        <v>1762.99</v>
      </c>
      <c r="Q10389" s="18">
        <v>1656.15</v>
      </c>
      <c r="R10389" s="18">
        <v>1357.5</v>
      </c>
      <c r="S10389" s="18">
        <v>1462.58</v>
      </c>
      <c r="T10389" s="18">
        <v>1198.8399999999999</v>
      </c>
      <c r="U10389" s="16"/>
      <c r="V10389" s="16"/>
      <c r="W10389" s="16" t="s">
        <v>40</v>
      </c>
      <c r="X10389" s="19">
        <v>0.99199999999999999</v>
      </c>
      <c r="Y10389" s="20">
        <v>7.9579999999999998E-3</v>
      </c>
      <c r="Z10389" s="21">
        <v>4601004301894</v>
      </c>
    </row>
    <row r="10390" spans="1:26" ht="12.95" customHeight="1" outlineLevel="2" x14ac:dyDescent="0.2">
      <c r="A10390" s="76" t="s">
        <v>19760</v>
      </c>
      <c r="B10390" s="76"/>
      <c r="C10390" s="77"/>
      <c r="D10390" s="58"/>
      <c r="E10390" s="68"/>
      <c r="F10390" s="13"/>
      <c r="G10390" s="13"/>
      <c r="H10390" s="13"/>
      <c r="I10390" s="13"/>
      <c r="J10390" s="13"/>
      <c r="K10390" s="13"/>
      <c r="L10390" s="13"/>
      <c r="M10390" s="13"/>
      <c r="N10390" s="13"/>
      <c r="O10390" s="13"/>
      <c r="P10390" s="13"/>
      <c r="Q10390" s="13"/>
      <c r="R10390" s="13"/>
      <c r="S10390" s="13"/>
      <c r="T10390" s="13"/>
      <c r="U10390" s="13"/>
      <c r="V10390" s="13"/>
      <c r="W10390" s="13"/>
      <c r="X10390" s="13"/>
      <c r="Y10390" s="13"/>
      <c r="Z10390" s="13"/>
    </row>
    <row r="10391" spans="1:26" ht="12.95" customHeight="1" outlineLevel="3" x14ac:dyDescent="0.2">
      <c r="A10391" s="76" t="s">
        <v>19761</v>
      </c>
      <c r="B10391" s="76"/>
      <c r="C10391" s="77"/>
      <c r="D10391" s="58"/>
      <c r="E10391" s="68"/>
      <c r="F10391" s="13"/>
      <c r="G10391" s="13"/>
      <c r="H10391" s="13"/>
      <c r="I10391" s="13"/>
      <c r="J10391" s="13"/>
      <c r="K10391" s="13"/>
      <c r="L10391" s="13"/>
      <c r="M10391" s="13"/>
      <c r="N10391" s="13"/>
      <c r="O10391" s="13"/>
      <c r="P10391" s="13"/>
      <c r="Q10391" s="13"/>
      <c r="R10391" s="13"/>
      <c r="S10391" s="13"/>
      <c r="T10391" s="13"/>
      <c r="U10391" s="13"/>
      <c r="V10391" s="13"/>
      <c r="W10391" s="13"/>
      <c r="X10391" s="13"/>
      <c r="Y10391" s="13"/>
      <c r="Z10391" s="13"/>
    </row>
    <row r="10392" spans="1:26" ht="12" customHeight="1" outlineLevel="4" x14ac:dyDescent="0.2">
      <c r="A10392" s="32" t="s">
        <v>19762</v>
      </c>
      <c r="B10392" s="74" t="s">
        <v>19763</v>
      </c>
      <c r="C10392" s="50"/>
      <c r="D10392" s="53">
        <f t="shared" si="162"/>
        <v>0</v>
      </c>
      <c r="E10392" s="60" t="str">
        <f>HYPERLINK("https://www.sds-group.ru/product/modul-svetodiodnyy-s-drayverom-rexant-36-vt-2700-6500-k-led-dimmiruemyy-cherez-vyklyuchatel-615-102/", "Инфо")</f>
        <v>Инфо</v>
      </c>
      <c r="F10392" s="34" t="s">
        <v>39</v>
      </c>
      <c r="G10392" s="33"/>
      <c r="H10392" s="33" t="s">
        <v>40</v>
      </c>
      <c r="I10392" s="33"/>
      <c r="J10392" s="35">
        <v>136</v>
      </c>
      <c r="K10392" s="33"/>
      <c r="L10392" s="35">
        <v>1</v>
      </c>
      <c r="M10392" s="35">
        <v>50</v>
      </c>
      <c r="N10392" s="35">
        <v>1</v>
      </c>
      <c r="O10392" s="36">
        <v>462.88</v>
      </c>
      <c r="P10392" s="36">
        <v>379.41</v>
      </c>
      <c r="Q10392" s="36">
        <v>324.02</v>
      </c>
      <c r="R10392" s="36">
        <v>265.58999999999997</v>
      </c>
      <c r="S10392" s="36">
        <v>314.76</v>
      </c>
      <c r="T10392" s="36">
        <v>258</v>
      </c>
      <c r="U10392" s="34"/>
      <c r="V10392" s="34"/>
      <c r="W10392" s="34"/>
      <c r="X10392" s="37">
        <v>0.21</v>
      </c>
      <c r="Y10392" s="38">
        <v>1.049E-3</v>
      </c>
      <c r="Z10392" s="21">
        <v>4601004180451</v>
      </c>
    </row>
    <row r="10393" spans="1:26" ht="12" customHeight="1" outlineLevel="4" x14ac:dyDescent="0.2">
      <c r="A10393" s="32" t="s">
        <v>19764</v>
      </c>
      <c r="B10393" s="74" t="s">
        <v>19765</v>
      </c>
      <c r="C10393" s="50"/>
      <c r="D10393" s="53">
        <f t="shared" si="162"/>
        <v>0</v>
      </c>
      <c r="E10393" s="60" t="str">
        <f>HYPERLINK("https://www.sds-group.ru/product/modul-svetodiodnyy-s-drayverom-rexant-48-vt-2700-6500-k-led-dimmiruemyy-s-pultom-distantsion-615-104/", "Инфо")</f>
        <v>Инфо</v>
      </c>
      <c r="F10393" s="34" t="s">
        <v>39</v>
      </c>
      <c r="G10393" s="33"/>
      <c r="H10393" s="33" t="s">
        <v>40</v>
      </c>
      <c r="I10393" s="33"/>
      <c r="J10393" s="35">
        <v>259</v>
      </c>
      <c r="K10393" s="33"/>
      <c r="L10393" s="35">
        <v>1</v>
      </c>
      <c r="M10393" s="35">
        <v>25</v>
      </c>
      <c r="N10393" s="35">
        <v>1</v>
      </c>
      <c r="O10393" s="36">
        <v>816.97</v>
      </c>
      <c r="P10393" s="36">
        <v>669.65</v>
      </c>
      <c r="Q10393" s="36">
        <v>571.88</v>
      </c>
      <c r="R10393" s="36">
        <v>468.75</v>
      </c>
      <c r="S10393" s="36">
        <v>555.54</v>
      </c>
      <c r="T10393" s="36">
        <v>455.36</v>
      </c>
      <c r="U10393" s="34"/>
      <c r="V10393" s="34"/>
      <c r="W10393" s="34"/>
      <c r="X10393" s="37">
        <v>0.308</v>
      </c>
      <c r="Y10393" s="38">
        <v>2.2109999999999999E-3</v>
      </c>
      <c r="Z10393" s="21">
        <v>4601004180475</v>
      </c>
    </row>
    <row r="10394" spans="1:26" ht="12.95" customHeight="1" outlineLevel="2" x14ac:dyDescent="0.2">
      <c r="A10394" s="76" t="s">
        <v>19766</v>
      </c>
      <c r="B10394" s="76"/>
      <c r="C10394" s="77"/>
      <c r="D10394" s="58"/>
      <c r="E10394" s="68"/>
      <c r="F10394" s="13"/>
      <c r="G10394" s="13"/>
      <c r="H10394" s="13"/>
      <c r="I10394" s="13"/>
      <c r="J10394" s="13"/>
      <c r="K10394" s="13"/>
      <c r="L10394" s="13"/>
      <c r="M10394" s="13"/>
      <c r="N10394" s="13"/>
      <c r="O10394" s="13"/>
      <c r="P10394" s="13"/>
      <c r="Q10394" s="13"/>
      <c r="R10394" s="13"/>
      <c r="S10394" s="13"/>
      <c r="T10394" s="13"/>
      <c r="U10394" s="13"/>
      <c r="V10394" s="13"/>
      <c r="W10394" s="13"/>
      <c r="X10394" s="13"/>
      <c r="Y10394" s="13"/>
      <c r="Z10394" s="13"/>
    </row>
    <row r="10395" spans="1:26" ht="12" customHeight="1" outlineLevel="3" x14ac:dyDescent="0.2">
      <c r="A10395" s="32" t="s">
        <v>19767</v>
      </c>
      <c r="B10395" s="74" t="s">
        <v>19768</v>
      </c>
      <c r="C10395" s="50"/>
      <c r="D10395" s="53">
        <f t="shared" si="162"/>
        <v>0</v>
      </c>
      <c r="E10395" s="60" t="str">
        <f>HYPERLINK("https://www.sds-group.ru/product/konnektor-dlya-odnofaznogo-shinoprovoda-i-obraznyy-belyy-rexant-612-004/", "Инфо")</f>
        <v>Инфо</v>
      </c>
      <c r="F10395" s="34" t="s">
        <v>39</v>
      </c>
      <c r="G10395" s="33"/>
      <c r="H10395" s="33" t="s">
        <v>40</v>
      </c>
      <c r="I10395" s="33"/>
      <c r="J10395" s="39">
        <v>1298</v>
      </c>
      <c r="K10395" s="33"/>
      <c r="L10395" s="35">
        <v>1</v>
      </c>
      <c r="M10395" s="35">
        <v>200</v>
      </c>
      <c r="N10395" s="35">
        <v>1</v>
      </c>
      <c r="O10395" s="36">
        <v>49.15</v>
      </c>
      <c r="P10395" s="36">
        <v>40.29</v>
      </c>
      <c r="Q10395" s="36">
        <v>34.409999999999997</v>
      </c>
      <c r="R10395" s="36">
        <v>28.2</v>
      </c>
      <c r="S10395" s="36">
        <v>33.42</v>
      </c>
      <c r="T10395" s="36">
        <v>27.39</v>
      </c>
      <c r="U10395" s="34"/>
      <c r="V10395" s="34"/>
      <c r="W10395" s="34"/>
      <c r="X10395" s="37">
        <v>1.7999999999999999E-2</v>
      </c>
      <c r="Y10395" s="38">
        <v>2.2100000000000001E-4</v>
      </c>
      <c r="Z10395" s="21">
        <v>4601004173644</v>
      </c>
    </row>
    <row r="10396" spans="1:26" ht="12" customHeight="1" outlineLevel="3" x14ac:dyDescent="0.2">
      <c r="A10396" s="32" t="s">
        <v>19769</v>
      </c>
      <c r="B10396" s="74" t="s">
        <v>19770</v>
      </c>
      <c r="C10396" s="50"/>
      <c r="D10396" s="53">
        <f t="shared" si="162"/>
        <v>0</v>
      </c>
      <c r="E10396" s="60" t="str">
        <f>HYPERLINK("https://www.sds-group.ru/product/konnektor-dlya-odnofaznogo-shinoprovoda-t-obraznyy-belyy-rexant-612-006/", "Инфо")</f>
        <v>Инфо</v>
      </c>
      <c r="F10396" s="34" t="s">
        <v>39</v>
      </c>
      <c r="G10396" s="33"/>
      <c r="H10396" s="33" t="s">
        <v>40</v>
      </c>
      <c r="I10396" s="33"/>
      <c r="J10396" s="35">
        <v>950</v>
      </c>
      <c r="K10396" s="33"/>
      <c r="L10396" s="35">
        <v>1</v>
      </c>
      <c r="M10396" s="35">
        <v>200</v>
      </c>
      <c r="N10396" s="35">
        <v>1</v>
      </c>
      <c r="O10396" s="36">
        <v>123.97</v>
      </c>
      <c r="P10396" s="36">
        <v>101.61</v>
      </c>
      <c r="Q10396" s="36">
        <v>86.78</v>
      </c>
      <c r="R10396" s="36">
        <v>71.13</v>
      </c>
      <c r="S10396" s="36">
        <v>84.3</v>
      </c>
      <c r="T10396" s="36">
        <v>69.099999999999994</v>
      </c>
      <c r="U10396" s="34"/>
      <c r="V10396" s="34"/>
      <c r="W10396" s="34"/>
      <c r="X10396" s="37">
        <v>2.7E-2</v>
      </c>
      <c r="Y10396" s="38">
        <v>2.0900000000000001E-4</v>
      </c>
      <c r="Z10396" s="21">
        <v>4601004173668</v>
      </c>
    </row>
    <row r="10397" spans="1:26" ht="12" customHeight="1" outlineLevel="3" x14ac:dyDescent="0.2">
      <c r="A10397" s="32" t="s">
        <v>19771</v>
      </c>
      <c r="B10397" s="74" t="s">
        <v>19772</v>
      </c>
      <c r="C10397" s="50"/>
      <c r="D10397" s="53">
        <f t="shared" si="162"/>
        <v>0</v>
      </c>
      <c r="E10397" s="60" t="str">
        <f>HYPERLINK("https://www.sds-group.ru/product/konnektor-dlya-odnofaznogo-shinoprovoda-t-obraznyy-chernyy-rexant-612-012/", "Инфо")</f>
        <v>Инфо</v>
      </c>
      <c r="F10397" s="34" t="s">
        <v>39</v>
      </c>
      <c r="G10397" s="33"/>
      <c r="H10397" s="33" t="s">
        <v>40</v>
      </c>
      <c r="I10397" s="33"/>
      <c r="J10397" s="39">
        <v>1278</v>
      </c>
      <c r="K10397" s="33"/>
      <c r="L10397" s="35">
        <v>1</v>
      </c>
      <c r="M10397" s="35">
        <v>200</v>
      </c>
      <c r="N10397" s="35">
        <v>1</v>
      </c>
      <c r="O10397" s="36">
        <v>123.97</v>
      </c>
      <c r="P10397" s="36">
        <v>101.61</v>
      </c>
      <c r="Q10397" s="36">
        <v>86.78</v>
      </c>
      <c r="R10397" s="36">
        <v>71.13</v>
      </c>
      <c r="S10397" s="36">
        <v>84.3</v>
      </c>
      <c r="T10397" s="36">
        <v>69.099999999999994</v>
      </c>
      <c r="U10397" s="34"/>
      <c r="V10397" s="34"/>
      <c r="W10397" s="34"/>
      <c r="X10397" s="37">
        <v>2.8000000000000001E-2</v>
      </c>
      <c r="Y10397" s="38">
        <v>1.66E-4</v>
      </c>
      <c r="Z10397" s="21">
        <v>4601004173729</v>
      </c>
    </row>
    <row r="10398" spans="1:26" ht="12" customHeight="1" outlineLevel="3" x14ac:dyDescent="0.2">
      <c r="A10398" s="32" t="s">
        <v>19773</v>
      </c>
      <c r="B10398" s="74" t="s">
        <v>19774</v>
      </c>
      <c r="C10398" s="50"/>
      <c r="D10398" s="53">
        <f t="shared" si="162"/>
        <v>0</v>
      </c>
      <c r="E10398" s="60" t="str">
        <f>HYPERLINK("https://www.sds-group.ru/product/konnektor-dlya-odnofaznogo-shinoprovoda-x-obraznyy-belyy-rexant-612-007/", "Инфо")</f>
        <v>Инфо</v>
      </c>
      <c r="F10398" s="34" t="s">
        <v>39</v>
      </c>
      <c r="G10398" s="33"/>
      <c r="H10398" s="33" t="s">
        <v>40</v>
      </c>
      <c r="I10398" s="33"/>
      <c r="J10398" s="39">
        <v>1095</v>
      </c>
      <c r="K10398" s="33"/>
      <c r="L10398" s="35">
        <v>1</v>
      </c>
      <c r="M10398" s="35">
        <v>200</v>
      </c>
      <c r="N10398" s="35">
        <v>1</v>
      </c>
      <c r="O10398" s="36">
        <v>159.9</v>
      </c>
      <c r="P10398" s="36">
        <v>131.07</v>
      </c>
      <c r="Q10398" s="36">
        <v>111.93</v>
      </c>
      <c r="R10398" s="36">
        <v>91.75</v>
      </c>
      <c r="S10398" s="36">
        <v>108.73</v>
      </c>
      <c r="T10398" s="36">
        <v>89.12</v>
      </c>
      <c r="U10398" s="34"/>
      <c r="V10398" s="34"/>
      <c r="W10398" s="34"/>
      <c r="X10398" s="37">
        <v>3.7999999999999999E-2</v>
      </c>
      <c r="Y10398" s="38">
        <v>3.7300000000000001E-4</v>
      </c>
      <c r="Z10398" s="21">
        <v>4601004173675</v>
      </c>
    </row>
    <row r="10399" spans="1:26" ht="12" customHeight="1" outlineLevel="3" x14ac:dyDescent="0.2">
      <c r="A10399" s="32" t="s">
        <v>19775</v>
      </c>
      <c r="B10399" s="74" t="s">
        <v>19776</v>
      </c>
      <c r="C10399" s="50"/>
      <c r="D10399" s="53">
        <f t="shared" si="162"/>
        <v>0</v>
      </c>
      <c r="E10399" s="60" t="str">
        <f>HYPERLINK("https://www.sds-group.ru/product/konnektor-dlya-odnofaznogo-shinoprovoda-x-obraznyy-chernyy-rexant-612-013/", "Инфо")</f>
        <v>Инфо</v>
      </c>
      <c r="F10399" s="34" t="s">
        <v>39</v>
      </c>
      <c r="G10399" s="33"/>
      <c r="H10399" s="33" t="s">
        <v>40</v>
      </c>
      <c r="I10399" s="33"/>
      <c r="J10399" s="39">
        <v>1097</v>
      </c>
      <c r="K10399" s="33"/>
      <c r="L10399" s="35">
        <v>1</v>
      </c>
      <c r="M10399" s="35">
        <v>200</v>
      </c>
      <c r="N10399" s="35">
        <v>1</v>
      </c>
      <c r="O10399" s="36">
        <v>159.9</v>
      </c>
      <c r="P10399" s="36">
        <v>131.07</v>
      </c>
      <c r="Q10399" s="36">
        <v>111.93</v>
      </c>
      <c r="R10399" s="36">
        <v>91.75</v>
      </c>
      <c r="S10399" s="36">
        <v>108.73</v>
      </c>
      <c r="T10399" s="36">
        <v>89.12</v>
      </c>
      <c r="U10399" s="34"/>
      <c r="V10399" s="34"/>
      <c r="W10399" s="34"/>
      <c r="X10399" s="37">
        <v>3.5999999999999997E-2</v>
      </c>
      <c r="Y10399" s="38">
        <v>2.3000000000000001E-4</v>
      </c>
      <c r="Z10399" s="21">
        <v>4601004173736</v>
      </c>
    </row>
    <row r="10400" spans="1:26" ht="12" customHeight="1" outlineLevel="3" x14ac:dyDescent="0.2">
      <c r="A10400" s="32" t="s">
        <v>19777</v>
      </c>
      <c r="B10400" s="74" t="s">
        <v>19778</v>
      </c>
      <c r="C10400" s="50"/>
      <c r="D10400" s="53">
        <f t="shared" si="162"/>
        <v>0</v>
      </c>
      <c r="E10400" s="60" t="str">
        <f>HYPERLINK("https://www.sds-group.ru/product/komplekt-trosovyh-podvesov-dlya-shinoprovoda-s-regulirovkoy-vysoty-2m-2-sht-rexant-612-022/", "Инфо")</f>
        <v>Инфо</v>
      </c>
      <c r="F10400" s="34" t="s">
        <v>39</v>
      </c>
      <c r="G10400" s="33"/>
      <c r="H10400" s="33" t="s">
        <v>40</v>
      </c>
      <c r="I10400" s="33"/>
      <c r="J10400" s="35">
        <v>180</v>
      </c>
      <c r="K10400" s="33"/>
      <c r="L10400" s="35">
        <v>1</v>
      </c>
      <c r="M10400" s="35">
        <v>100</v>
      </c>
      <c r="N10400" s="35">
        <v>1</v>
      </c>
      <c r="O10400" s="36">
        <v>213.79</v>
      </c>
      <c r="P10400" s="36">
        <v>175.24</v>
      </c>
      <c r="Q10400" s="36">
        <v>149.65</v>
      </c>
      <c r="R10400" s="36">
        <v>122.66</v>
      </c>
      <c r="S10400" s="36">
        <v>145.38</v>
      </c>
      <c r="T10400" s="36">
        <v>119.16</v>
      </c>
      <c r="U10400" s="34"/>
      <c r="V10400" s="34"/>
      <c r="W10400" s="34"/>
      <c r="X10400" s="37">
        <v>0.106</v>
      </c>
      <c r="Y10400" s="38">
        <v>1.9599999999999999E-4</v>
      </c>
      <c r="Z10400" s="21">
        <v>4601004173828</v>
      </c>
    </row>
    <row r="10401" spans="1:26" ht="12" customHeight="1" outlineLevel="3" x14ac:dyDescent="0.2">
      <c r="A10401" s="32" t="s">
        <v>19779</v>
      </c>
      <c r="B10401" s="74" t="s">
        <v>19780</v>
      </c>
      <c r="C10401" s="50"/>
      <c r="D10401" s="53">
        <f t="shared" si="162"/>
        <v>0</v>
      </c>
      <c r="E10401" s="60" t="str">
        <f>HYPERLINK("https://www.sds-group.ru/product/svetilnik-svetodiodnyy-trekovyy-star-track-12vt-3000k-led-belyy-rexant-611-002/", "Инфо")</f>
        <v>Инфо</v>
      </c>
      <c r="F10401" s="34" t="s">
        <v>39</v>
      </c>
      <c r="G10401" s="33"/>
      <c r="H10401" s="33" t="s">
        <v>40</v>
      </c>
      <c r="I10401" s="33"/>
      <c r="J10401" s="35">
        <v>87</v>
      </c>
      <c r="K10401" s="33"/>
      <c r="L10401" s="35">
        <v>1</v>
      </c>
      <c r="M10401" s="35">
        <v>60</v>
      </c>
      <c r="N10401" s="35">
        <v>1</v>
      </c>
      <c r="O10401" s="36">
        <v>337.29</v>
      </c>
      <c r="P10401" s="36">
        <v>276.47000000000003</v>
      </c>
      <c r="Q10401" s="36">
        <v>236.1</v>
      </c>
      <c r="R10401" s="36">
        <v>193.52</v>
      </c>
      <c r="S10401" s="36">
        <v>229.36</v>
      </c>
      <c r="T10401" s="36">
        <v>188</v>
      </c>
      <c r="U10401" s="34"/>
      <c r="V10401" s="34"/>
      <c r="W10401" s="34"/>
      <c r="X10401" s="37">
        <v>0.158</v>
      </c>
      <c r="Y10401" s="38">
        <v>1.24E-3</v>
      </c>
      <c r="Z10401" s="21">
        <v>4601004173538</v>
      </c>
    </row>
    <row r="10402" spans="1:26" ht="12" customHeight="1" outlineLevel="3" x14ac:dyDescent="0.2">
      <c r="A10402" s="32" t="s">
        <v>19781</v>
      </c>
      <c r="B10402" s="74" t="s">
        <v>19782</v>
      </c>
      <c r="C10402" s="50"/>
      <c r="D10402" s="53">
        <f t="shared" si="162"/>
        <v>0</v>
      </c>
      <c r="E10402" s="60" t="str">
        <f>HYPERLINK("https://www.sds-group.ru/product/svetilnik-svetodiodnyy-trekovyy-star-track-12vt-4000k-led-belyy-rexant-611-001/", "Инфо")</f>
        <v>Инфо</v>
      </c>
      <c r="F10402" s="34" t="s">
        <v>39</v>
      </c>
      <c r="G10402" s="33"/>
      <c r="H10402" s="33" t="s">
        <v>40</v>
      </c>
      <c r="I10402" s="33"/>
      <c r="J10402" s="35">
        <v>211</v>
      </c>
      <c r="K10402" s="33"/>
      <c r="L10402" s="35">
        <v>1</v>
      </c>
      <c r="M10402" s="35">
        <v>30</v>
      </c>
      <c r="N10402" s="35">
        <v>1</v>
      </c>
      <c r="O10402" s="36">
        <v>337.29</v>
      </c>
      <c r="P10402" s="36">
        <v>276.47000000000003</v>
      </c>
      <c r="Q10402" s="36">
        <v>236.1</v>
      </c>
      <c r="R10402" s="36">
        <v>193.52</v>
      </c>
      <c r="S10402" s="36">
        <v>229.36</v>
      </c>
      <c r="T10402" s="36">
        <v>188</v>
      </c>
      <c r="U10402" s="34"/>
      <c r="V10402" s="34"/>
      <c r="W10402" s="34"/>
      <c r="X10402" s="37">
        <v>0.158</v>
      </c>
      <c r="Y10402" s="38">
        <v>1.3389999999999999E-3</v>
      </c>
      <c r="Z10402" s="21">
        <v>4601004174009</v>
      </c>
    </row>
    <row r="10403" spans="1:26" ht="12" customHeight="1" outlineLevel="3" x14ac:dyDescent="0.2">
      <c r="A10403" s="32" t="s">
        <v>19783</v>
      </c>
      <c r="B10403" s="74" t="s">
        <v>19784</v>
      </c>
      <c r="C10403" s="50"/>
      <c r="D10403" s="53">
        <f t="shared" si="162"/>
        <v>0</v>
      </c>
      <c r="E10403" s="60" t="str">
        <f>HYPERLINK("https://www.sds-group.ru/product/svetilnik-svetodiodnyy-trekovyy-star-track-12vt-4000k-led-chernyy-rexant-611-003/", "Инфо")</f>
        <v>Инфо</v>
      </c>
      <c r="F10403" s="34" t="s">
        <v>39</v>
      </c>
      <c r="G10403" s="33"/>
      <c r="H10403" s="33" t="s">
        <v>40</v>
      </c>
      <c r="I10403" s="33"/>
      <c r="J10403" s="35">
        <v>975</v>
      </c>
      <c r="K10403" s="33"/>
      <c r="L10403" s="35">
        <v>1</v>
      </c>
      <c r="M10403" s="35">
        <v>60</v>
      </c>
      <c r="N10403" s="35">
        <v>1</v>
      </c>
      <c r="O10403" s="36">
        <v>357.53</v>
      </c>
      <c r="P10403" s="36">
        <v>293.06</v>
      </c>
      <c r="Q10403" s="36">
        <v>250.27</v>
      </c>
      <c r="R10403" s="36">
        <v>205.14</v>
      </c>
      <c r="S10403" s="36">
        <v>243.12</v>
      </c>
      <c r="T10403" s="36">
        <v>199.28</v>
      </c>
      <c r="U10403" s="34"/>
      <c r="V10403" s="34"/>
      <c r="W10403" s="34"/>
      <c r="X10403" s="37">
        <v>0.158</v>
      </c>
      <c r="Y10403" s="38">
        <v>1.3209999999999999E-3</v>
      </c>
      <c r="Z10403" s="21">
        <v>4601004173545</v>
      </c>
    </row>
    <row r="10404" spans="1:26" ht="12" customHeight="1" outlineLevel="3" x14ac:dyDescent="0.2">
      <c r="A10404" s="32" t="s">
        <v>19785</v>
      </c>
      <c r="B10404" s="74" t="s">
        <v>19786</v>
      </c>
      <c r="C10404" s="50"/>
      <c r="D10404" s="53">
        <f t="shared" si="162"/>
        <v>0</v>
      </c>
      <c r="E10404" s="60" t="str">
        <f>HYPERLINK("https://www.sds-group.ru/product/svetilnik-svetodiodnyy-trekovyy-star-track-20vt-4000k-led-belyy-rexant-611-005/", "Инфо")</f>
        <v>Инфо</v>
      </c>
      <c r="F10404" s="34" t="s">
        <v>39</v>
      </c>
      <c r="G10404" s="33"/>
      <c r="H10404" s="33" t="s">
        <v>40</v>
      </c>
      <c r="I10404" s="33"/>
      <c r="J10404" s="35">
        <v>225</v>
      </c>
      <c r="K10404" s="33"/>
      <c r="L10404" s="35">
        <v>1</v>
      </c>
      <c r="M10404" s="35">
        <v>30</v>
      </c>
      <c r="N10404" s="35">
        <v>1</v>
      </c>
      <c r="O10404" s="36">
        <v>405.08</v>
      </c>
      <c r="P10404" s="36">
        <v>332.03</v>
      </c>
      <c r="Q10404" s="36">
        <v>283.56</v>
      </c>
      <c r="R10404" s="36">
        <v>232.43</v>
      </c>
      <c r="S10404" s="36">
        <v>275.45</v>
      </c>
      <c r="T10404" s="36">
        <v>225.78</v>
      </c>
      <c r="U10404" s="34"/>
      <c r="V10404" s="34"/>
      <c r="W10404" s="34"/>
      <c r="X10404" s="37">
        <v>0.20399999999999999</v>
      </c>
      <c r="Y10404" s="38">
        <v>1.604E-3</v>
      </c>
      <c r="Z10404" s="21">
        <v>4601004173569</v>
      </c>
    </row>
    <row r="10405" spans="1:26" ht="12" customHeight="1" outlineLevel="3" x14ac:dyDescent="0.2">
      <c r="A10405" s="32" t="s">
        <v>19787</v>
      </c>
      <c r="B10405" s="74" t="s">
        <v>19788</v>
      </c>
      <c r="C10405" s="50"/>
      <c r="D10405" s="53">
        <f t="shared" si="162"/>
        <v>0</v>
      </c>
      <c r="E10405" s="60" t="str">
        <f>HYPERLINK("https://www.sds-group.ru/product/shinoprovod-odnofaznyy-s-kabelnym-vvodom-i-zaglushkoy-dlya-trekovyh-svetilnikov-1m-belyy-rex-612-001/", "Инфо")</f>
        <v>Инфо</v>
      </c>
      <c r="F10405" s="34" t="s">
        <v>39</v>
      </c>
      <c r="G10405" s="33"/>
      <c r="H10405" s="33" t="s">
        <v>40</v>
      </c>
      <c r="I10405" s="33"/>
      <c r="J10405" s="34" t="s">
        <v>100</v>
      </c>
      <c r="K10405" s="33"/>
      <c r="L10405" s="35">
        <v>1</v>
      </c>
      <c r="M10405" s="35">
        <v>40</v>
      </c>
      <c r="N10405" s="35">
        <v>1</v>
      </c>
      <c r="O10405" s="36">
        <v>269.49</v>
      </c>
      <c r="P10405" s="36">
        <v>220.89</v>
      </c>
      <c r="Q10405" s="36">
        <v>188.64</v>
      </c>
      <c r="R10405" s="36">
        <v>154.62</v>
      </c>
      <c r="S10405" s="36">
        <v>183.25</v>
      </c>
      <c r="T10405" s="36">
        <v>150.19999999999999</v>
      </c>
      <c r="U10405" s="34"/>
      <c r="V10405" s="34"/>
      <c r="W10405" s="34"/>
      <c r="X10405" s="37">
        <v>0.17599999999999999</v>
      </c>
      <c r="Y10405" s="38">
        <v>4.95E-4</v>
      </c>
      <c r="Z10405" s="21">
        <v>4601004173613</v>
      </c>
    </row>
    <row r="10406" spans="1:26" ht="12" customHeight="1" outlineLevel="3" x14ac:dyDescent="0.2">
      <c r="A10406" s="32" t="s">
        <v>19789</v>
      </c>
      <c r="B10406" s="74" t="s">
        <v>19790</v>
      </c>
      <c r="C10406" s="50"/>
      <c r="D10406" s="53">
        <f t="shared" si="162"/>
        <v>0</v>
      </c>
      <c r="E10406" s="60" t="str">
        <f>HYPERLINK("https://www.sds-group.ru/product/shinoprovod-odnofaznyy-s-kabelnym-vvodom-i-zaglushkoy-dlya-trekovyh-svetilnikov-1m-chernyy-r-612-002/", "Инфо")</f>
        <v>Инфо</v>
      </c>
      <c r="F10406" s="34" t="s">
        <v>39</v>
      </c>
      <c r="G10406" s="33"/>
      <c r="H10406" s="33" t="s">
        <v>40</v>
      </c>
      <c r="I10406" s="33"/>
      <c r="J10406" s="35">
        <v>664</v>
      </c>
      <c r="K10406" s="33"/>
      <c r="L10406" s="35">
        <v>1</v>
      </c>
      <c r="M10406" s="35">
        <v>40</v>
      </c>
      <c r="N10406" s="35">
        <v>1</v>
      </c>
      <c r="O10406" s="36">
        <v>285.66000000000003</v>
      </c>
      <c r="P10406" s="36">
        <v>234.15</v>
      </c>
      <c r="Q10406" s="36">
        <v>199.96</v>
      </c>
      <c r="R10406" s="36">
        <v>163.9</v>
      </c>
      <c r="S10406" s="36">
        <v>194.25</v>
      </c>
      <c r="T10406" s="36">
        <v>159.22</v>
      </c>
      <c r="U10406" s="34"/>
      <c r="V10406" s="34"/>
      <c r="W10406" s="34"/>
      <c r="X10406" s="37">
        <v>0.17699999999999999</v>
      </c>
      <c r="Y10406" s="38">
        <v>4.6500000000000003E-4</v>
      </c>
      <c r="Z10406" s="21">
        <v>4601004173620</v>
      </c>
    </row>
    <row r="10407" spans="1:26" ht="12.95" customHeight="1" outlineLevel="2" x14ac:dyDescent="0.2">
      <c r="A10407" s="76" t="s">
        <v>19791</v>
      </c>
      <c r="B10407" s="76"/>
      <c r="C10407" s="77"/>
      <c r="D10407" s="58"/>
      <c r="E10407" s="68"/>
      <c r="F10407" s="13"/>
      <c r="G10407" s="13"/>
      <c r="H10407" s="13"/>
      <c r="I10407" s="13"/>
      <c r="J10407" s="13"/>
      <c r="K10407" s="13"/>
      <c r="L10407" s="13"/>
      <c r="M10407" s="13"/>
      <c r="N10407" s="13"/>
      <c r="O10407" s="13"/>
      <c r="P10407" s="13"/>
      <c r="Q10407" s="13"/>
      <c r="R10407" s="13"/>
      <c r="S10407" s="13"/>
      <c r="T10407" s="13"/>
      <c r="U10407" s="13"/>
      <c r="V10407" s="13"/>
      <c r="W10407" s="13"/>
      <c r="X10407" s="13"/>
      <c r="Y10407" s="13"/>
      <c r="Z10407" s="13"/>
    </row>
    <row r="10408" spans="1:26" ht="12.95" customHeight="1" outlineLevel="3" x14ac:dyDescent="0.2">
      <c r="A10408" s="76" t="s">
        <v>19792</v>
      </c>
      <c r="B10408" s="76"/>
      <c r="C10408" s="77"/>
      <c r="D10408" s="58"/>
      <c r="E10408" s="68"/>
      <c r="F10408" s="13"/>
      <c r="G10408" s="13"/>
      <c r="H10408" s="13"/>
      <c r="I10408" s="13"/>
      <c r="J10408" s="13"/>
      <c r="K10408" s="13"/>
      <c r="L10408" s="13"/>
      <c r="M10408" s="13"/>
      <c r="N10408" s="13"/>
      <c r="O10408" s="13"/>
      <c r="P10408" s="13"/>
      <c r="Q10408" s="13"/>
      <c r="R10408" s="13"/>
      <c r="S10408" s="13"/>
      <c r="T10408" s="13"/>
      <c r="U10408" s="13"/>
      <c r="V10408" s="13"/>
      <c r="W10408" s="13"/>
      <c r="X10408" s="13"/>
      <c r="Y10408" s="13"/>
      <c r="Z10408" s="13"/>
    </row>
    <row r="10409" spans="1:26" ht="12" customHeight="1" outlineLevel="4" x14ac:dyDescent="0.2">
      <c r="A10409" s="32" t="s">
        <v>19793</v>
      </c>
      <c r="B10409" s="74" t="s">
        <v>19794</v>
      </c>
      <c r="C10409" s="50"/>
      <c r="D10409" s="53">
        <f t="shared" si="162"/>
        <v>0</v>
      </c>
      <c r="E10409" s="60" t="str">
        <f>HYPERLINK("https://www.sds-group.ru/product/svetilnik-vstraivaemyy-povorotnyy-rexant-horeca-dark-light-s-antiosleplyayuschim-effektom-1-615-1005/", "Инфо")</f>
        <v>Инфо</v>
      </c>
      <c r="F10409" s="34" t="s">
        <v>39</v>
      </c>
      <c r="G10409" s="33"/>
      <c r="H10409" s="33" t="s">
        <v>40</v>
      </c>
      <c r="I10409" s="33"/>
      <c r="J10409" s="34" t="s">
        <v>100</v>
      </c>
      <c r="K10409" s="33"/>
      <c r="L10409" s="35">
        <v>1</v>
      </c>
      <c r="M10409" s="35">
        <v>45</v>
      </c>
      <c r="N10409" s="35">
        <v>1</v>
      </c>
      <c r="O10409" s="36">
        <v>354.43</v>
      </c>
      <c r="P10409" s="36">
        <v>290.52</v>
      </c>
      <c r="Q10409" s="36">
        <v>248.1</v>
      </c>
      <c r="R10409" s="36">
        <v>203.36</v>
      </c>
      <c r="S10409" s="36">
        <v>241.01</v>
      </c>
      <c r="T10409" s="36">
        <v>197.55</v>
      </c>
      <c r="U10409" s="34"/>
      <c r="V10409" s="34"/>
      <c r="W10409" s="34"/>
      <c r="X10409" s="37">
        <v>0.29899999999999999</v>
      </c>
      <c r="Y10409" s="38">
        <v>1.2470000000000001E-3</v>
      </c>
      <c r="Z10409" s="21">
        <v>4601004173897</v>
      </c>
    </row>
    <row r="10410" spans="1:26" ht="12" customHeight="1" outlineLevel="4" x14ac:dyDescent="0.2">
      <c r="A10410" s="32" t="s">
        <v>19795</v>
      </c>
      <c r="B10410" s="74" t="s">
        <v>19796</v>
      </c>
      <c r="C10410" s="50"/>
      <c r="D10410" s="53">
        <f t="shared" si="162"/>
        <v>0</v>
      </c>
      <c r="E10410" s="60" t="str">
        <f>HYPERLINK("https://www.sds-group.ru/product/svetilnik-vstraivaemyy-povorotnyy-rexant-horeca-dark-light-s-antiosleplyayuschim-effektom-1-615-1004/", "Инфо")</f>
        <v>Инфо</v>
      </c>
      <c r="F10410" s="34" t="s">
        <v>39</v>
      </c>
      <c r="G10410" s="33"/>
      <c r="H10410" s="33" t="s">
        <v>40</v>
      </c>
      <c r="I10410" s="33"/>
      <c r="J10410" s="34" t="s">
        <v>100</v>
      </c>
      <c r="K10410" s="33"/>
      <c r="L10410" s="35">
        <v>1</v>
      </c>
      <c r="M10410" s="35">
        <v>45</v>
      </c>
      <c r="N10410" s="35">
        <v>1</v>
      </c>
      <c r="O10410" s="36">
        <v>336.36</v>
      </c>
      <c r="P10410" s="36">
        <v>275.7</v>
      </c>
      <c r="Q10410" s="36">
        <v>235.45</v>
      </c>
      <c r="R10410" s="36">
        <v>192.99</v>
      </c>
      <c r="S10410" s="36">
        <v>228.72</v>
      </c>
      <c r="T10410" s="36">
        <v>187.48</v>
      </c>
      <c r="U10410" s="34"/>
      <c r="V10410" s="34"/>
      <c r="W10410" s="34"/>
      <c r="X10410" s="37">
        <v>0.314</v>
      </c>
      <c r="Y10410" s="38">
        <v>1.3290000000000001E-3</v>
      </c>
      <c r="Z10410" s="21">
        <v>4601004173880</v>
      </c>
    </row>
    <row r="10411" spans="1:26" ht="12.95" customHeight="1" outlineLevel="3" x14ac:dyDescent="0.2">
      <c r="A10411" s="76" t="s">
        <v>19797</v>
      </c>
      <c r="B10411" s="76"/>
      <c r="C10411" s="77"/>
      <c r="D10411" s="58"/>
      <c r="E10411" s="68"/>
      <c r="F10411" s="13"/>
      <c r="G10411" s="13"/>
      <c r="H10411" s="13"/>
      <c r="I10411" s="13"/>
      <c r="J10411" s="13"/>
      <c r="K10411" s="13"/>
      <c r="L10411" s="13"/>
      <c r="M10411" s="13"/>
      <c r="N10411" s="13"/>
      <c r="O10411" s="13"/>
      <c r="P10411" s="13"/>
      <c r="Q10411" s="13"/>
      <c r="R10411" s="13"/>
      <c r="S10411" s="13"/>
      <c r="T10411" s="13"/>
      <c r="U10411" s="13"/>
      <c r="V10411" s="13"/>
      <c r="W10411" s="13"/>
      <c r="X10411" s="13"/>
      <c r="Y10411" s="13"/>
      <c r="Z10411" s="13"/>
    </row>
    <row r="10412" spans="1:26" ht="12" customHeight="1" outlineLevel="4" x14ac:dyDescent="0.2">
      <c r="A10412" s="32" t="s">
        <v>19798</v>
      </c>
      <c r="B10412" s="74" t="s">
        <v>19799</v>
      </c>
      <c r="C10412" s="50"/>
      <c r="D10412" s="53">
        <f t="shared" si="162"/>
        <v>0</v>
      </c>
      <c r="E10412" s="60" t="str">
        <f>HYPERLINK("https://www.sds-group.ru/product/svetilnik-universalnyy-rexant-sirius-15-vt-4000-k-led-belyy-615-001/", "Инфо")</f>
        <v>Инфо</v>
      </c>
      <c r="F10412" s="34" t="s">
        <v>39</v>
      </c>
      <c r="G10412" s="33"/>
      <c r="H10412" s="33" t="s">
        <v>40</v>
      </c>
      <c r="I10412" s="33"/>
      <c r="J10412" s="35">
        <v>571</v>
      </c>
      <c r="K10412" s="33"/>
      <c r="L10412" s="35">
        <v>1</v>
      </c>
      <c r="M10412" s="35">
        <v>120</v>
      </c>
      <c r="N10412" s="35">
        <v>1</v>
      </c>
      <c r="O10412" s="36">
        <v>337.28</v>
      </c>
      <c r="P10412" s="36">
        <v>276.45999999999998</v>
      </c>
      <c r="Q10412" s="36">
        <v>236.1</v>
      </c>
      <c r="R10412" s="36">
        <v>193.52</v>
      </c>
      <c r="S10412" s="36">
        <v>229.35</v>
      </c>
      <c r="T10412" s="36">
        <v>187.99</v>
      </c>
      <c r="U10412" s="34"/>
      <c r="V10412" s="34"/>
      <c r="W10412" s="34"/>
      <c r="X10412" s="37">
        <v>0.153</v>
      </c>
      <c r="Y10412" s="38">
        <v>3.8400000000000001E-4</v>
      </c>
      <c r="Z10412" s="21">
        <v>4601004173910</v>
      </c>
    </row>
    <row r="10413" spans="1:26" ht="12" customHeight="1" outlineLevel="4" x14ac:dyDescent="0.2">
      <c r="A10413" s="32" t="s">
        <v>19800</v>
      </c>
      <c r="B10413" s="74" t="s">
        <v>19801</v>
      </c>
      <c r="C10413" s="50"/>
      <c r="D10413" s="53">
        <f t="shared" si="162"/>
        <v>0</v>
      </c>
      <c r="E10413" s="60" t="str">
        <f>HYPERLINK("https://www.sds-group.ru/product/svetilnik-universalnyy-rexant-sirius-15-vt-4000-k-led-chernyy-615-002/", "Инфо")</f>
        <v>Инфо</v>
      </c>
      <c r="F10413" s="34" t="s">
        <v>39</v>
      </c>
      <c r="G10413" s="33"/>
      <c r="H10413" s="33" t="s">
        <v>40</v>
      </c>
      <c r="I10413" s="33"/>
      <c r="J10413" s="39">
        <v>1260</v>
      </c>
      <c r="K10413" s="33"/>
      <c r="L10413" s="35">
        <v>1</v>
      </c>
      <c r="M10413" s="35">
        <v>120</v>
      </c>
      <c r="N10413" s="35">
        <v>1</v>
      </c>
      <c r="O10413" s="36">
        <v>337.28</v>
      </c>
      <c r="P10413" s="36">
        <v>276.45999999999998</v>
      </c>
      <c r="Q10413" s="36">
        <v>236.1</v>
      </c>
      <c r="R10413" s="36">
        <v>193.52</v>
      </c>
      <c r="S10413" s="36">
        <v>229.35</v>
      </c>
      <c r="T10413" s="36">
        <v>187.99</v>
      </c>
      <c r="U10413" s="34"/>
      <c r="V10413" s="34"/>
      <c r="W10413" s="34"/>
      <c r="X10413" s="37">
        <v>0.14899999999999999</v>
      </c>
      <c r="Y10413" s="38">
        <v>4.2099999999999999E-4</v>
      </c>
      <c r="Z10413" s="21">
        <v>4601004173927</v>
      </c>
    </row>
    <row r="10414" spans="1:26" ht="12.95" customHeight="1" outlineLevel="3" x14ac:dyDescent="0.2">
      <c r="A10414" s="76" t="s">
        <v>19802</v>
      </c>
      <c r="B10414" s="76"/>
      <c r="C10414" s="77"/>
      <c r="D10414" s="58"/>
      <c r="E10414" s="68"/>
      <c r="F10414" s="13"/>
      <c r="G10414" s="13"/>
      <c r="H10414" s="13"/>
      <c r="I10414" s="13"/>
      <c r="J10414" s="13"/>
      <c r="K10414" s="13"/>
      <c r="L10414" s="13"/>
      <c r="M10414" s="13"/>
      <c r="N10414" s="13"/>
      <c r="O10414" s="13"/>
      <c r="P10414" s="13"/>
      <c r="Q10414" s="13"/>
      <c r="R10414" s="13"/>
      <c r="S10414" s="13"/>
      <c r="T10414" s="13"/>
      <c r="U10414" s="13"/>
      <c r="V10414" s="13"/>
      <c r="W10414" s="13"/>
      <c r="X10414" s="13"/>
      <c r="Y10414" s="13"/>
      <c r="Z10414" s="13"/>
    </row>
    <row r="10415" spans="1:26" ht="12" customHeight="1" outlineLevel="4" x14ac:dyDescent="0.2">
      <c r="A10415" s="32" t="s">
        <v>19803</v>
      </c>
      <c r="B10415" s="74" t="s">
        <v>19804</v>
      </c>
      <c r="C10415" s="50"/>
      <c r="D10415" s="53">
        <f t="shared" si="162"/>
        <v>0</v>
      </c>
      <c r="E10415" s="60" t="str">
        <f>HYPERLINK("https://www.sds-group.ru/product/svetilnik-svetodiodnyy-vstraivaemyy-rexant-aurora-sunset-sparta-s-izmenyaemoy-tsvetovoy-temp-623-001/", "Инфо")</f>
        <v>Инфо</v>
      </c>
      <c r="F10415" s="34" t="s">
        <v>39</v>
      </c>
      <c r="G10415" s="33"/>
      <c r="H10415" s="33" t="s">
        <v>40</v>
      </c>
      <c r="I10415" s="33"/>
      <c r="J10415" s="35">
        <v>141</v>
      </c>
      <c r="K10415" s="33"/>
      <c r="L10415" s="35">
        <v>1</v>
      </c>
      <c r="M10415" s="35">
        <v>100</v>
      </c>
      <c r="N10415" s="35">
        <v>1</v>
      </c>
      <c r="O10415" s="36">
        <v>100</v>
      </c>
      <c r="P10415" s="36">
        <v>81.97</v>
      </c>
      <c r="Q10415" s="36">
        <v>70</v>
      </c>
      <c r="R10415" s="36">
        <v>57.38</v>
      </c>
      <c r="S10415" s="36">
        <v>68</v>
      </c>
      <c r="T10415" s="36">
        <v>55.74</v>
      </c>
      <c r="U10415" s="34"/>
      <c r="V10415" s="34"/>
      <c r="W10415" s="34"/>
      <c r="X10415" s="37">
        <v>0.13</v>
      </c>
      <c r="Y10415" s="38">
        <v>7.5500000000000003E-4</v>
      </c>
      <c r="Z10415" s="21">
        <v>4601004173354</v>
      </c>
    </row>
    <row r="10416" spans="1:26" ht="12" customHeight="1" outlineLevel="4" x14ac:dyDescent="0.2">
      <c r="A10416" s="32" t="s">
        <v>19805</v>
      </c>
      <c r="B10416" s="74" t="s">
        <v>19806</v>
      </c>
      <c r="C10416" s="50"/>
      <c r="D10416" s="53">
        <f t="shared" si="162"/>
        <v>0</v>
      </c>
      <c r="E10416" s="60" t="str">
        <f>HYPERLINK("https://www.sds-group.ru/product/svetilnik-svetodiodnyy-nakladnoy-rexant-aurorasunset-wave-s-izmenyaemoy-tsvetovoy-temperatu-615-1300/", "Инфо")</f>
        <v>Инфо</v>
      </c>
      <c r="F10416" s="34" t="s">
        <v>39</v>
      </c>
      <c r="G10416" s="33"/>
      <c r="H10416" s="33" t="s">
        <v>40</v>
      </c>
      <c r="I10416" s="33"/>
      <c r="J10416" s="39">
        <v>2000</v>
      </c>
      <c r="K10416" s="33"/>
      <c r="L10416" s="35">
        <v>1</v>
      </c>
      <c r="M10416" s="35">
        <v>100</v>
      </c>
      <c r="N10416" s="35">
        <v>1</v>
      </c>
      <c r="O10416" s="36">
        <v>100</v>
      </c>
      <c r="P10416" s="36">
        <v>81.97</v>
      </c>
      <c r="Q10416" s="36">
        <v>70</v>
      </c>
      <c r="R10416" s="36">
        <v>57.38</v>
      </c>
      <c r="S10416" s="36">
        <v>68</v>
      </c>
      <c r="T10416" s="36">
        <v>55.74</v>
      </c>
      <c r="U10416" s="34"/>
      <c r="V10416" s="34"/>
      <c r="W10416" s="34"/>
      <c r="X10416" s="37">
        <v>0.13500000000000001</v>
      </c>
      <c r="Y10416" s="38">
        <v>5.5699999999999999E-4</v>
      </c>
      <c r="Z10416" s="21">
        <v>4601004198128</v>
      </c>
    </row>
    <row r="10417" spans="1:26" ht="12.95" customHeight="1" outlineLevel="2" x14ac:dyDescent="0.2">
      <c r="A10417" s="76" t="s">
        <v>19807</v>
      </c>
      <c r="B10417" s="76"/>
      <c r="C10417" s="77"/>
      <c r="D10417" s="58"/>
      <c r="E10417" s="68"/>
      <c r="F10417" s="13"/>
      <c r="G10417" s="13"/>
      <c r="H10417" s="13"/>
      <c r="I10417" s="13"/>
      <c r="J10417" s="13"/>
      <c r="K10417" s="13"/>
      <c r="L10417" s="13"/>
      <c r="M10417" s="13"/>
      <c r="N10417" s="13"/>
      <c r="O10417" s="13"/>
      <c r="P10417" s="13"/>
      <c r="Q10417" s="13"/>
      <c r="R10417" s="13"/>
      <c r="S10417" s="13"/>
      <c r="T10417" s="13"/>
      <c r="U10417" s="13"/>
      <c r="V10417" s="13"/>
      <c r="W10417" s="13"/>
      <c r="X10417" s="13"/>
      <c r="Y10417" s="13"/>
      <c r="Z10417" s="13"/>
    </row>
    <row r="10418" spans="1:26" ht="12.95" customHeight="1" outlineLevel="3" x14ac:dyDescent="0.2">
      <c r="A10418" s="76" t="s">
        <v>19808</v>
      </c>
      <c r="B10418" s="76"/>
      <c r="C10418" s="77"/>
      <c r="D10418" s="58"/>
      <c r="E10418" s="68"/>
      <c r="F10418" s="13"/>
      <c r="G10418" s="13"/>
      <c r="H10418" s="13"/>
      <c r="I10418" s="13"/>
      <c r="J10418" s="13"/>
      <c r="K10418" s="13"/>
      <c r="L10418" s="13"/>
      <c r="M10418" s="13"/>
      <c r="N10418" s="13"/>
      <c r="O10418" s="13"/>
      <c r="P10418" s="13"/>
      <c r="Q10418" s="13"/>
      <c r="R10418" s="13"/>
      <c r="S10418" s="13"/>
      <c r="T10418" s="13"/>
      <c r="U10418" s="13"/>
      <c r="V10418" s="13"/>
      <c r="W10418" s="13"/>
      <c r="X10418" s="13"/>
      <c r="Y10418" s="13"/>
      <c r="Z10418" s="13"/>
    </row>
    <row r="10419" spans="1:26" ht="12" customHeight="1" outlineLevel="4" x14ac:dyDescent="0.2">
      <c r="A10419" s="32" t="s">
        <v>19809</v>
      </c>
      <c r="B10419" s="74" t="s">
        <v>19810</v>
      </c>
      <c r="C10419" s="50"/>
      <c r="D10419" s="53">
        <f t="shared" si="162"/>
        <v>0</v>
      </c>
      <c r="E10419" s="60" t="str">
        <f>HYPERLINK("https://www.sds-group.ru/product/svetilnik-svetodiodnyy-dlya-rasteniy-rexant-green-line-14-vt-led-s-komplektom-krepleniy-616-001/", "Инфо")</f>
        <v>Инфо</v>
      </c>
      <c r="F10419" s="34" t="s">
        <v>39</v>
      </c>
      <c r="G10419" s="33"/>
      <c r="H10419" s="33" t="s">
        <v>40</v>
      </c>
      <c r="I10419" s="33"/>
      <c r="J10419" s="39">
        <v>1268</v>
      </c>
      <c r="K10419" s="33"/>
      <c r="L10419" s="35">
        <v>1</v>
      </c>
      <c r="M10419" s="35">
        <v>25</v>
      </c>
      <c r="N10419" s="35">
        <v>1</v>
      </c>
      <c r="O10419" s="36">
        <v>357.53</v>
      </c>
      <c r="P10419" s="36">
        <v>293.06</v>
      </c>
      <c r="Q10419" s="36">
        <v>250.27</v>
      </c>
      <c r="R10419" s="36">
        <v>205.14</v>
      </c>
      <c r="S10419" s="36">
        <v>243.12</v>
      </c>
      <c r="T10419" s="36">
        <v>199.28</v>
      </c>
      <c r="U10419" s="34"/>
      <c r="V10419" s="34"/>
      <c r="W10419" s="34"/>
      <c r="X10419" s="37">
        <v>0.189</v>
      </c>
      <c r="Y10419" s="38">
        <v>9.7499999999999996E-4</v>
      </c>
      <c r="Z10419" s="21">
        <v>4601004173934</v>
      </c>
    </row>
    <row r="10420" spans="1:26" ht="12.95" customHeight="1" outlineLevel="2" x14ac:dyDescent="0.2">
      <c r="A10420" s="76" t="s">
        <v>19811</v>
      </c>
      <c r="B10420" s="76"/>
      <c r="C10420" s="77"/>
      <c r="D10420" s="58"/>
      <c r="E10420" s="68"/>
      <c r="F10420" s="13"/>
      <c r="G10420" s="13"/>
      <c r="H10420" s="13"/>
      <c r="I10420" s="13"/>
      <c r="J10420" s="13"/>
      <c r="K10420" s="13"/>
      <c r="L10420" s="13"/>
      <c r="M10420" s="13"/>
      <c r="N10420" s="13"/>
      <c r="O10420" s="13"/>
      <c r="P10420" s="13"/>
      <c r="Q10420" s="13"/>
      <c r="R10420" s="13"/>
      <c r="S10420" s="13"/>
      <c r="T10420" s="13"/>
      <c r="U10420" s="13"/>
      <c r="V10420" s="13"/>
      <c r="W10420" s="13"/>
      <c r="X10420" s="13"/>
      <c r="Y10420" s="13"/>
      <c r="Z10420" s="13"/>
    </row>
    <row r="10421" spans="1:26" ht="12" customHeight="1" outlineLevel="3" x14ac:dyDescent="0.2">
      <c r="A10421" s="32" t="s">
        <v>19812</v>
      </c>
      <c r="B10421" s="74" t="s">
        <v>19813</v>
      </c>
      <c r="C10421" s="50"/>
      <c r="D10421" s="53">
        <f t="shared" si="162"/>
        <v>0</v>
      </c>
      <c r="E10421" s="60" t="str">
        <f>HYPERLINK("https://www.sds-group.ru/product/svetilnik-svetodiodnyy-universalnyy-cassiopea-4-vt-h-2-led-belyy-rexant-610-002/", "Инфо")</f>
        <v>Инфо</v>
      </c>
      <c r="F10421" s="34" t="s">
        <v>39</v>
      </c>
      <c r="G10421" s="33"/>
      <c r="H10421" s="33" t="s">
        <v>40</v>
      </c>
      <c r="I10421" s="33"/>
      <c r="J10421" s="35">
        <v>296</v>
      </c>
      <c r="K10421" s="33"/>
      <c r="L10421" s="35">
        <v>1</v>
      </c>
      <c r="M10421" s="35">
        <v>20</v>
      </c>
      <c r="N10421" s="35">
        <v>1</v>
      </c>
      <c r="O10421" s="36">
        <v>660.69</v>
      </c>
      <c r="P10421" s="36">
        <v>541.54999999999995</v>
      </c>
      <c r="Q10421" s="36">
        <v>462.48</v>
      </c>
      <c r="R10421" s="36">
        <v>379.08</v>
      </c>
      <c r="S10421" s="36">
        <v>449.27</v>
      </c>
      <c r="T10421" s="36">
        <v>368.25</v>
      </c>
      <c r="U10421" s="34"/>
      <c r="V10421" s="34"/>
      <c r="W10421" s="34"/>
      <c r="X10421" s="37">
        <v>0.54200000000000004</v>
      </c>
      <c r="Y10421" s="38">
        <v>1.369E-3</v>
      </c>
      <c r="Z10421" s="21">
        <v>4601004170575</v>
      </c>
    </row>
    <row r="10422" spans="1:26" ht="12" customHeight="1" outlineLevel="3" x14ac:dyDescent="0.2">
      <c r="A10422" s="32" t="s">
        <v>19814</v>
      </c>
      <c r="B10422" s="74" t="s">
        <v>19815</v>
      </c>
      <c r="C10422" s="50"/>
      <c r="D10422" s="53">
        <f t="shared" si="162"/>
        <v>0</v>
      </c>
      <c r="E10422" s="60" t="str">
        <f>HYPERLINK("https://www.sds-group.ru/product/svetilnik-svetodiodnyy-universalnyy-cassiopea-4-vt-h-2-led-chernyy-rexant-610-001/", "Инфо")</f>
        <v>Инфо</v>
      </c>
      <c r="F10422" s="34" t="s">
        <v>39</v>
      </c>
      <c r="G10422" s="33"/>
      <c r="H10422" s="33" t="s">
        <v>40</v>
      </c>
      <c r="I10422" s="33"/>
      <c r="J10422" s="35">
        <v>136</v>
      </c>
      <c r="K10422" s="33"/>
      <c r="L10422" s="35">
        <v>1</v>
      </c>
      <c r="M10422" s="35">
        <v>20</v>
      </c>
      <c r="N10422" s="35">
        <v>1</v>
      </c>
      <c r="O10422" s="36">
        <v>1386.82</v>
      </c>
      <c r="P10422" s="36">
        <v>1136.74</v>
      </c>
      <c r="Q10422" s="36">
        <v>970.77</v>
      </c>
      <c r="R10422" s="36">
        <v>795.71</v>
      </c>
      <c r="S10422" s="36">
        <v>943.04</v>
      </c>
      <c r="T10422" s="36">
        <v>772.98</v>
      </c>
      <c r="U10422" s="34"/>
      <c r="V10422" s="34"/>
      <c r="W10422" s="34"/>
      <c r="X10422" s="37">
        <v>0.41699999999999998</v>
      </c>
      <c r="Y10422" s="38">
        <v>1.4450000000000001E-3</v>
      </c>
      <c r="Z10422" s="21">
        <v>4601004170506</v>
      </c>
    </row>
    <row r="10423" spans="1:26" ht="12.95" customHeight="1" outlineLevel="2" x14ac:dyDescent="0.2">
      <c r="A10423" s="76" t="s">
        <v>19816</v>
      </c>
      <c r="B10423" s="76"/>
      <c r="C10423" s="77"/>
      <c r="D10423" s="58"/>
      <c r="E10423" s="68"/>
      <c r="F10423" s="13"/>
      <c r="G10423" s="13"/>
      <c r="H10423" s="13"/>
      <c r="I10423" s="13"/>
      <c r="J10423" s="13"/>
      <c r="K10423" s="13"/>
      <c r="L10423" s="13"/>
      <c r="M10423" s="13"/>
      <c r="N10423" s="13"/>
      <c r="O10423" s="13"/>
      <c r="P10423" s="13"/>
      <c r="Q10423" s="13"/>
      <c r="R10423" s="13"/>
      <c r="S10423" s="13"/>
      <c r="T10423" s="13"/>
      <c r="U10423" s="13"/>
      <c r="V10423" s="13"/>
      <c r="W10423" s="13"/>
      <c r="X10423" s="13"/>
      <c r="Y10423" s="13"/>
      <c r="Z10423" s="13"/>
    </row>
    <row r="10424" spans="1:26" ht="12.95" customHeight="1" outlineLevel="3" x14ac:dyDescent="0.2">
      <c r="A10424" s="76" t="s">
        <v>19817</v>
      </c>
      <c r="B10424" s="76"/>
      <c r="C10424" s="77"/>
      <c r="D10424" s="58"/>
      <c r="E10424" s="68"/>
      <c r="F10424" s="13"/>
      <c r="G10424" s="13"/>
      <c r="H10424" s="13"/>
      <c r="I10424" s="13"/>
      <c r="J10424" s="13"/>
      <c r="K10424" s="13"/>
      <c r="L10424" s="13"/>
      <c r="M10424" s="13"/>
      <c r="N10424" s="13"/>
      <c r="O10424" s="13"/>
      <c r="P10424" s="13"/>
      <c r="Q10424" s="13"/>
      <c r="R10424" s="13"/>
      <c r="S10424" s="13"/>
      <c r="T10424" s="13"/>
      <c r="U10424" s="13"/>
      <c r="V10424" s="13"/>
      <c r="W10424" s="13"/>
      <c r="X10424" s="13"/>
      <c r="Y10424" s="13"/>
      <c r="Z10424" s="13"/>
    </row>
    <row r="10425" spans="1:26" ht="12" customHeight="1" outlineLevel="4" x14ac:dyDescent="0.2">
      <c r="A10425" s="14" t="s">
        <v>19818</v>
      </c>
      <c r="B10425" s="26" t="s">
        <v>19819</v>
      </c>
      <c r="C10425" s="52"/>
      <c r="D10425" s="55">
        <f t="shared" si="162"/>
        <v>0</v>
      </c>
      <c r="E10425" s="63" t="str">
        <f>HYPERLINK("https://www.sds-group.ru/product/svetilnik-avariyno-evakuatsionnyy-vyhod-exit-strelka-svetodiodnyy-dvuhstoronniy-1-5-ch-3-vt-74-1307/", "Инфо")</f>
        <v>Инфо</v>
      </c>
      <c r="F10425" s="16" t="s">
        <v>39</v>
      </c>
      <c r="G10425" s="15"/>
      <c r="H10425" s="15"/>
      <c r="I10425" s="15"/>
      <c r="J10425" s="17">
        <v>623</v>
      </c>
      <c r="K10425" s="15"/>
      <c r="L10425" s="17">
        <v>1</v>
      </c>
      <c r="M10425" s="17">
        <v>20</v>
      </c>
      <c r="N10425" s="17">
        <v>1</v>
      </c>
      <c r="O10425" s="18">
        <v>1034.99</v>
      </c>
      <c r="P10425" s="18">
        <v>848.35</v>
      </c>
      <c r="Q10425" s="18">
        <v>827.99</v>
      </c>
      <c r="R10425" s="18">
        <v>678.68</v>
      </c>
      <c r="S10425" s="18">
        <v>703.79</v>
      </c>
      <c r="T10425" s="18">
        <v>576.88</v>
      </c>
      <c r="U10425" s="16"/>
      <c r="V10425" s="16"/>
      <c r="W10425" s="16" t="s">
        <v>40</v>
      </c>
      <c r="X10425" s="19">
        <v>0.55900000000000005</v>
      </c>
      <c r="Y10425" s="20">
        <v>1.8619999999999999E-3</v>
      </c>
      <c r="Z10425" s="21">
        <v>4601004200760</v>
      </c>
    </row>
    <row r="10426" spans="1:26" ht="12" customHeight="1" outlineLevel="4" x14ac:dyDescent="0.2">
      <c r="A10426" s="14" t="s">
        <v>19820</v>
      </c>
      <c r="B10426" s="26" t="s">
        <v>19821</v>
      </c>
      <c r="C10426" s="52"/>
      <c r="D10426" s="55">
        <f t="shared" si="162"/>
        <v>0</v>
      </c>
      <c r="E10426" s="63" t="str">
        <f>HYPERLINK("https://www.sds-group.ru/product/svetilnik-avariyno-evakuatsionnyy-vyhod-exit-figura-strelka-svetodiodnyy-dvuhstoronniy-1-5-c-74-1312/", "Инфо")</f>
        <v>Инфо</v>
      </c>
      <c r="F10426" s="16" t="s">
        <v>39</v>
      </c>
      <c r="G10426" s="15"/>
      <c r="H10426" s="15"/>
      <c r="I10426" s="15"/>
      <c r="J10426" s="17">
        <v>814</v>
      </c>
      <c r="K10426" s="15" t="s">
        <v>19822</v>
      </c>
      <c r="L10426" s="17">
        <v>1</v>
      </c>
      <c r="M10426" s="17">
        <v>20</v>
      </c>
      <c r="N10426" s="17">
        <v>1</v>
      </c>
      <c r="O10426" s="18">
        <v>1034.99</v>
      </c>
      <c r="P10426" s="18">
        <v>848.35</v>
      </c>
      <c r="Q10426" s="18">
        <v>827.99</v>
      </c>
      <c r="R10426" s="18">
        <v>678.68</v>
      </c>
      <c r="S10426" s="18">
        <v>703.79</v>
      </c>
      <c r="T10426" s="18">
        <v>576.88</v>
      </c>
      <c r="U10426" s="16"/>
      <c r="V10426" s="16"/>
      <c r="W10426" s="16" t="s">
        <v>40</v>
      </c>
      <c r="X10426" s="19">
        <v>0.57799999999999996</v>
      </c>
      <c r="Y10426" s="20">
        <v>1.8749999999999999E-3</v>
      </c>
      <c r="Z10426" s="21">
        <v>4601004200753</v>
      </c>
    </row>
    <row r="10427" spans="1:26" ht="12" customHeight="1" outlineLevel="4" x14ac:dyDescent="0.2">
      <c r="A10427" s="14" t="s">
        <v>19823</v>
      </c>
      <c r="B10427" s="26" t="s">
        <v>19824</v>
      </c>
      <c r="C10427" s="52"/>
      <c r="D10427" s="55">
        <f t="shared" si="162"/>
        <v>0</v>
      </c>
      <c r="E10427" s="63" t="str">
        <f>HYPERLINK("https://www.sds-group.ru/product/svetilnik-avariyno-evakuatsionnyy-vyhod-exit-svetodiodnyy-odnostoronniy-1-5-ch-3-vt-74-1314/", "Инфо")</f>
        <v>Инфо</v>
      </c>
      <c r="F10427" s="16" t="s">
        <v>39</v>
      </c>
      <c r="G10427" s="15"/>
      <c r="H10427" s="15"/>
      <c r="I10427" s="15"/>
      <c r="J10427" s="22">
        <v>1780</v>
      </c>
      <c r="K10427" s="15" t="s">
        <v>1004</v>
      </c>
      <c r="L10427" s="17">
        <v>1</v>
      </c>
      <c r="M10427" s="17">
        <v>20</v>
      </c>
      <c r="N10427" s="17">
        <v>1</v>
      </c>
      <c r="O10427" s="18">
        <v>1034.99</v>
      </c>
      <c r="P10427" s="18">
        <v>848.35</v>
      </c>
      <c r="Q10427" s="18">
        <v>827.99</v>
      </c>
      <c r="R10427" s="18">
        <v>678.68</v>
      </c>
      <c r="S10427" s="18">
        <v>703.79</v>
      </c>
      <c r="T10427" s="18">
        <v>576.88</v>
      </c>
      <c r="U10427" s="16"/>
      <c r="V10427" s="16"/>
      <c r="W10427" s="16" t="s">
        <v>40</v>
      </c>
      <c r="X10427" s="19">
        <v>0.47599999999999998</v>
      </c>
      <c r="Y10427" s="20">
        <v>1.8710000000000001E-3</v>
      </c>
      <c r="Z10427" s="21">
        <v>4601004200739</v>
      </c>
    </row>
    <row r="10428" spans="1:26" ht="12" customHeight="1" outlineLevel="4" x14ac:dyDescent="0.2">
      <c r="A10428" s="14" t="s">
        <v>19825</v>
      </c>
      <c r="B10428" s="26" t="s">
        <v>19826</v>
      </c>
      <c r="C10428" s="52"/>
      <c r="D10428" s="55">
        <f t="shared" si="162"/>
        <v>0</v>
      </c>
      <c r="E10428" s="63" t="str">
        <f>HYPERLINK("https://www.sds-group.ru/product/svetilnik-avariyno-evakuatsionnyy-zapasnyy-vyhod-svetodiodnyy-odnostoronniy-1-5-ch-3-vt-74-1313/", "Инфо")</f>
        <v>Инфо</v>
      </c>
      <c r="F10428" s="16" t="s">
        <v>39</v>
      </c>
      <c r="G10428" s="15"/>
      <c r="H10428" s="15"/>
      <c r="I10428" s="15"/>
      <c r="J10428" s="17">
        <v>192</v>
      </c>
      <c r="K10428" s="15"/>
      <c r="L10428" s="17">
        <v>1</v>
      </c>
      <c r="M10428" s="17">
        <v>20</v>
      </c>
      <c r="N10428" s="17">
        <v>1</v>
      </c>
      <c r="O10428" s="18">
        <v>1034.99</v>
      </c>
      <c r="P10428" s="18">
        <v>848.35</v>
      </c>
      <c r="Q10428" s="18">
        <v>827.99</v>
      </c>
      <c r="R10428" s="18">
        <v>678.68</v>
      </c>
      <c r="S10428" s="18">
        <v>703.79</v>
      </c>
      <c r="T10428" s="18">
        <v>576.88</v>
      </c>
      <c r="U10428" s="16"/>
      <c r="V10428" s="16"/>
      <c r="W10428" s="16" t="s">
        <v>40</v>
      </c>
      <c r="X10428" s="19">
        <v>0.47</v>
      </c>
      <c r="Y10428" s="20">
        <v>1.8289999999999999E-3</v>
      </c>
      <c r="Z10428" s="21">
        <v>4601004200746</v>
      </c>
    </row>
    <row r="10429" spans="1:26" ht="12" customHeight="1" outlineLevel="4" x14ac:dyDescent="0.2">
      <c r="A10429" s="14" t="s">
        <v>19827</v>
      </c>
      <c r="B10429" s="26" t="s">
        <v>19828</v>
      </c>
      <c r="C10429" s="52"/>
      <c r="D10429" s="55">
        <f t="shared" si="162"/>
        <v>0</v>
      </c>
      <c r="E10429" s="63" t="str">
        <f>HYPERLINK("https://www.sds-group.ru/product/svetilnik-avariyno-evakuatsionnyy-svetodiodnyy-dvuhstoronniy-1-5-ch-3-vt-74-1310/", "Инфо")</f>
        <v>Инфо</v>
      </c>
      <c r="F10429" s="16" t="s">
        <v>39</v>
      </c>
      <c r="G10429" s="15"/>
      <c r="H10429" s="15"/>
      <c r="I10429" s="15"/>
      <c r="J10429" s="16" t="s">
        <v>100</v>
      </c>
      <c r="K10429" s="15" t="s">
        <v>1004</v>
      </c>
      <c r="L10429" s="17">
        <v>1</v>
      </c>
      <c r="M10429" s="17">
        <v>20</v>
      </c>
      <c r="N10429" s="17">
        <v>1</v>
      </c>
      <c r="O10429" s="18">
        <v>1013.83</v>
      </c>
      <c r="P10429" s="18">
        <v>831.01</v>
      </c>
      <c r="Q10429" s="18">
        <v>811.06</v>
      </c>
      <c r="R10429" s="18">
        <v>664.8</v>
      </c>
      <c r="S10429" s="18">
        <v>689.4</v>
      </c>
      <c r="T10429" s="18">
        <v>565.08000000000004</v>
      </c>
      <c r="U10429" s="16"/>
      <c r="V10429" s="16"/>
      <c r="W10429" s="16" t="s">
        <v>40</v>
      </c>
      <c r="X10429" s="19">
        <v>0.57599999999999996</v>
      </c>
      <c r="Y10429" s="20">
        <v>1.869E-3</v>
      </c>
      <c r="Z10429" s="21">
        <v>4601004200777</v>
      </c>
    </row>
    <row r="10430" spans="1:26" ht="12" customHeight="1" outlineLevel="4" x14ac:dyDescent="0.2">
      <c r="A10430" s="14" t="s">
        <v>19829</v>
      </c>
      <c r="B10430" s="26" t="s">
        <v>19830</v>
      </c>
      <c r="C10430" s="52"/>
      <c r="D10430" s="55">
        <f t="shared" si="162"/>
        <v>0</v>
      </c>
      <c r="E10430" s="63" t="str">
        <f>HYPERLINK("https://www.sds-group.ru/product/svetilnik-avariynyy-svetodiodnyy-pk-rexant-74-0070/", "Инфо")</f>
        <v>Инфо</v>
      </c>
      <c r="F10430" s="16" t="s">
        <v>39</v>
      </c>
      <c r="G10430" s="15"/>
      <c r="H10430" s="15"/>
      <c r="I10430" s="15"/>
      <c r="J10430" s="22">
        <v>2886</v>
      </c>
      <c r="K10430" s="15" t="s">
        <v>1004</v>
      </c>
      <c r="L10430" s="17">
        <v>1</v>
      </c>
      <c r="M10430" s="17">
        <v>20</v>
      </c>
      <c r="N10430" s="17">
        <v>1</v>
      </c>
      <c r="O10430" s="18">
        <v>1034.99</v>
      </c>
      <c r="P10430" s="18">
        <v>848.35</v>
      </c>
      <c r="Q10430" s="18">
        <v>817.64</v>
      </c>
      <c r="R10430" s="18">
        <v>670.2</v>
      </c>
      <c r="S10430" s="18">
        <v>703.79</v>
      </c>
      <c r="T10430" s="18">
        <v>576.88</v>
      </c>
      <c r="U10430" s="16"/>
      <c r="V10430" s="16"/>
      <c r="W10430" s="16" t="s">
        <v>40</v>
      </c>
      <c r="X10430" s="19">
        <v>0.47499999999999998</v>
      </c>
      <c r="Y10430" s="20">
        <v>1.8860000000000001E-3</v>
      </c>
      <c r="Z10430" s="21">
        <v>4601004043640</v>
      </c>
    </row>
    <row r="10431" spans="1:26" ht="12" customHeight="1" outlineLevel="4" x14ac:dyDescent="0.2">
      <c r="A10431" s="14" t="s">
        <v>19831</v>
      </c>
      <c r="B10431" s="26" t="s">
        <v>19832</v>
      </c>
      <c r="C10431" s="52"/>
      <c r="D10431" s="55">
        <f t="shared" si="162"/>
        <v>0</v>
      </c>
      <c r="E10431" s="63" t="str">
        <f>HYPERLINK("https://www.sds-group.ru/product/svetilnik-akkumulyatornyy-nepostoyannogo-deystviya-dlya-podsvetki-putey-evakuatsii-i-rabochi-74-1305/", "Инфо")</f>
        <v>Инфо</v>
      </c>
      <c r="F10431" s="16" t="s">
        <v>39</v>
      </c>
      <c r="G10431" s="15"/>
      <c r="H10431" s="15"/>
      <c r="I10431" s="15"/>
      <c r="J10431" s="22">
        <v>2730</v>
      </c>
      <c r="K10431" s="15"/>
      <c r="L10431" s="17">
        <v>1</v>
      </c>
      <c r="M10431" s="17">
        <v>50</v>
      </c>
      <c r="N10431" s="17">
        <v>1</v>
      </c>
      <c r="O10431" s="18">
        <v>841.1</v>
      </c>
      <c r="P10431" s="18">
        <v>689.43</v>
      </c>
      <c r="Q10431" s="18">
        <v>672.88</v>
      </c>
      <c r="R10431" s="18">
        <v>551.54</v>
      </c>
      <c r="S10431" s="18">
        <v>571.95000000000005</v>
      </c>
      <c r="T10431" s="18">
        <v>468.81</v>
      </c>
      <c r="U10431" s="16"/>
      <c r="V10431" s="16"/>
      <c r="W10431" s="16" t="s">
        <v>40</v>
      </c>
      <c r="X10431" s="19">
        <v>0.18099999999999999</v>
      </c>
      <c r="Y10431" s="20">
        <v>4.7899999999999999E-4</v>
      </c>
      <c r="Z10431" s="21">
        <v>4601004200784</v>
      </c>
    </row>
    <row r="10432" spans="1:26" ht="12.95" customHeight="1" outlineLevel="3" x14ac:dyDescent="0.2">
      <c r="A10432" s="76" t="s">
        <v>19833</v>
      </c>
      <c r="B10432" s="76"/>
      <c r="C10432" s="77"/>
      <c r="D10432" s="58"/>
      <c r="E10432" s="68"/>
      <c r="F10432" s="13"/>
      <c r="G10432" s="13"/>
      <c r="H10432" s="13"/>
      <c r="I10432" s="13"/>
      <c r="J10432" s="13"/>
      <c r="K10432" s="13"/>
      <c r="L10432" s="13"/>
      <c r="M10432" s="13"/>
      <c r="N10432" s="13"/>
      <c r="O10432" s="13"/>
      <c r="P10432" s="13"/>
      <c r="Q10432" s="13"/>
      <c r="R10432" s="13"/>
      <c r="S10432" s="13"/>
      <c r="T10432" s="13"/>
      <c r="U10432" s="13"/>
      <c r="V10432" s="13"/>
      <c r="W10432" s="13"/>
      <c r="X10432" s="13"/>
      <c r="Y10432" s="13"/>
      <c r="Z10432" s="13"/>
    </row>
    <row r="10433" spans="1:26" ht="12" customHeight="1" outlineLevel="4" x14ac:dyDescent="0.2">
      <c r="A10433" s="32" t="s">
        <v>19834</v>
      </c>
      <c r="B10433" s="74" t="s">
        <v>19835</v>
      </c>
      <c r="C10433" s="50"/>
      <c r="D10433" s="53">
        <f t="shared" si="162"/>
        <v>0</v>
      </c>
      <c r="E10433" s="60" t="str">
        <f>HYPERLINK("https://www.sds-group.ru/product/nakleyka-dlya-avariynogo-svetilnika-napravlenie-k-evakuatsionnomu-vyhodu-nalevo-vverh-rexa-74-0110-1/", "Инфо")</f>
        <v>Инфо</v>
      </c>
      <c r="F10433" s="34" t="s">
        <v>39</v>
      </c>
      <c r="G10433" s="33"/>
      <c r="H10433" s="33" t="s">
        <v>40</v>
      </c>
      <c r="I10433" s="33"/>
      <c r="J10433" s="35">
        <v>5</v>
      </c>
      <c r="K10433" s="33"/>
      <c r="L10433" s="35">
        <v>5</v>
      </c>
      <c r="M10433" s="35">
        <v>500</v>
      </c>
      <c r="N10433" s="35">
        <v>5</v>
      </c>
      <c r="O10433" s="36">
        <v>66.45</v>
      </c>
      <c r="P10433" s="36">
        <v>54.47</v>
      </c>
      <c r="Q10433" s="36">
        <v>46.52</v>
      </c>
      <c r="R10433" s="36">
        <v>38.130000000000003</v>
      </c>
      <c r="S10433" s="36">
        <v>45.19</v>
      </c>
      <c r="T10433" s="36">
        <v>37.04</v>
      </c>
      <c r="U10433" s="34"/>
      <c r="V10433" s="34"/>
      <c r="W10433" s="34"/>
      <c r="X10433" s="37">
        <v>8.9999999999999993E-3</v>
      </c>
      <c r="Y10433" s="38">
        <v>1.4E-5</v>
      </c>
      <c r="Z10433" s="21">
        <v>4601004044968</v>
      </c>
    </row>
    <row r="10434" spans="1:26" ht="12" customHeight="1" outlineLevel="4" x14ac:dyDescent="0.2">
      <c r="A10434" s="14" t="s">
        <v>19836</v>
      </c>
      <c r="B10434" s="26" t="s">
        <v>19837</v>
      </c>
      <c r="C10434" s="52"/>
      <c r="D10434" s="55">
        <f t="shared" si="162"/>
        <v>0</v>
      </c>
      <c r="E10434" s="63" t="str">
        <f>HYPERLINK("https://www.sds-group.ru/product/nakleyka-dlya-avariynogo-svetilnika-pg-rexant-74-0080-1/", "Инфо")</f>
        <v>Инфо</v>
      </c>
      <c r="F10434" s="16" t="s">
        <v>39</v>
      </c>
      <c r="G10434" s="15"/>
      <c r="H10434" s="15"/>
      <c r="I10434" s="15"/>
      <c r="J10434" s="22">
        <v>2025</v>
      </c>
      <c r="K10434" s="15"/>
      <c r="L10434" s="17">
        <v>5</v>
      </c>
      <c r="M10434" s="17">
        <v>500</v>
      </c>
      <c r="N10434" s="17">
        <v>5</v>
      </c>
      <c r="O10434" s="18">
        <v>101.29</v>
      </c>
      <c r="P10434" s="18">
        <v>83.02</v>
      </c>
      <c r="Q10434" s="18">
        <v>86.1</v>
      </c>
      <c r="R10434" s="18">
        <v>70.569999999999993</v>
      </c>
      <c r="S10434" s="18">
        <v>68.88</v>
      </c>
      <c r="T10434" s="18">
        <v>56.46</v>
      </c>
      <c r="U10434" s="16"/>
      <c r="V10434" s="16"/>
      <c r="W10434" s="16" t="s">
        <v>40</v>
      </c>
      <c r="X10434" s="19">
        <v>8.9999999999999993E-3</v>
      </c>
      <c r="Y10434" s="20">
        <v>6.0000000000000002E-6</v>
      </c>
      <c r="Z10434" s="21">
        <v>4601004044876</v>
      </c>
    </row>
    <row r="10435" spans="1:26" ht="12" customHeight="1" outlineLevel="4" x14ac:dyDescent="0.2">
      <c r="A10435" s="14" t="s">
        <v>19838</v>
      </c>
      <c r="B10435" s="26" t="s">
        <v>19839</v>
      </c>
      <c r="C10435" s="52"/>
      <c r="D10435" s="55">
        <f t="shared" si="162"/>
        <v>0</v>
      </c>
      <c r="E10435" s="63" t="str">
        <f>HYPERLINK("https://www.sds-group.ru/product/nakleyka-dlya-avariynogo-svetilnika-pk-rexant-74-0070-1/", "Инфо")</f>
        <v>Инфо</v>
      </c>
      <c r="F10435" s="16" t="s">
        <v>39</v>
      </c>
      <c r="G10435" s="15"/>
      <c r="H10435" s="15"/>
      <c r="I10435" s="15"/>
      <c r="J10435" s="17">
        <v>225</v>
      </c>
      <c r="K10435" s="15" t="s">
        <v>1381</v>
      </c>
      <c r="L10435" s="17">
        <v>5</v>
      </c>
      <c r="M10435" s="17">
        <v>500</v>
      </c>
      <c r="N10435" s="17">
        <v>5</v>
      </c>
      <c r="O10435" s="18">
        <v>101.29</v>
      </c>
      <c r="P10435" s="18">
        <v>83.02</v>
      </c>
      <c r="Q10435" s="18">
        <v>86.1</v>
      </c>
      <c r="R10435" s="18">
        <v>70.569999999999993</v>
      </c>
      <c r="S10435" s="18">
        <v>68.88</v>
      </c>
      <c r="T10435" s="18">
        <v>56.46</v>
      </c>
      <c r="U10435" s="16"/>
      <c r="V10435" s="16"/>
      <c r="W10435" s="16" t="s">
        <v>40</v>
      </c>
      <c r="X10435" s="19">
        <v>8.0000000000000002E-3</v>
      </c>
      <c r="Y10435" s="20">
        <v>1.07E-4</v>
      </c>
      <c r="Z10435" s="21">
        <v>4601004044883</v>
      </c>
    </row>
    <row r="10436" spans="1:26" ht="12" customHeight="1" outlineLevel="4" x14ac:dyDescent="0.2">
      <c r="A10436" s="14" t="s">
        <v>19840</v>
      </c>
      <c r="B10436" s="26" t="s">
        <v>19841</v>
      </c>
      <c r="C10436" s="52"/>
      <c r="D10436" s="55">
        <f t="shared" si="162"/>
        <v>0</v>
      </c>
      <c r="E10436" s="63" t="str">
        <f>HYPERLINK("https://www.sds-group.ru/product/nakleyka-dlya-avariynogo-svetilnika-vyhod-vlevo-rexant-74-0040-1/", "Инфо")</f>
        <v>Инфо</v>
      </c>
      <c r="F10436" s="16" t="s">
        <v>39</v>
      </c>
      <c r="G10436" s="15"/>
      <c r="H10436" s="15"/>
      <c r="I10436" s="15"/>
      <c r="J10436" s="17">
        <v>45</v>
      </c>
      <c r="K10436" s="15"/>
      <c r="L10436" s="17">
        <v>5</v>
      </c>
      <c r="M10436" s="17">
        <v>500</v>
      </c>
      <c r="N10436" s="17">
        <v>5</v>
      </c>
      <c r="O10436" s="18">
        <v>101.29</v>
      </c>
      <c r="P10436" s="18">
        <v>83.02</v>
      </c>
      <c r="Q10436" s="18">
        <v>86.1</v>
      </c>
      <c r="R10436" s="18">
        <v>70.569999999999993</v>
      </c>
      <c r="S10436" s="18">
        <v>68.88</v>
      </c>
      <c r="T10436" s="18">
        <v>56.46</v>
      </c>
      <c r="U10436" s="16"/>
      <c r="V10436" s="16"/>
      <c r="W10436" s="16" t="s">
        <v>40</v>
      </c>
      <c r="X10436" s="19">
        <v>8.9999999999999993E-3</v>
      </c>
      <c r="Y10436" s="20">
        <v>1.15E-4</v>
      </c>
      <c r="Z10436" s="21">
        <v>4601004170605</v>
      </c>
    </row>
    <row r="10437" spans="1:26" ht="12" customHeight="1" outlineLevel="4" x14ac:dyDescent="0.2">
      <c r="A10437" s="14" t="s">
        <v>19842</v>
      </c>
      <c r="B10437" s="26" t="s">
        <v>19843</v>
      </c>
      <c r="C10437" s="52"/>
      <c r="D10437" s="55">
        <f t="shared" si="162"/>
        <v>0</v>
      </c>
      <c r="E10437" s="63" t="str">
        <f>HYPERLINK("https://www.sds-group.ru/product/nakleyka-dlya-avariynogo-svetilnika-vyhod-vpravo-rexant-74-0030-1/", "Инфо")</f>
        <v>Инфо</v>
      </c>
      <c r="F10437" s="16" t="s">
        <v>39</v>
      </c>
      <c r="G10437" s="15"/>
      <c r="H10437" s="15"/>
      <c r="I10437" s="15"/>
      <c r="J10437" s="17">
        <v>80</v>
      </c>
      <c r="K10437" s="15"/>
      <c r="L10437" s="17">
        <v>5</v>
      </c>
      <c r="M10437" s="17">
        <v>500</v>
      </c>
      <c r="N10437" s="17">
        <v>5</v>
      </c>
      <c r="O10437" s="18">
        <v>101.29</v>
      </c>
      <c r="P10437" s="18">
        <v>83.02</v>
      </c>
      <c r="Q10437" s="18">
        <v>86.1</v>
      </c>
      <c r="R10437" s="18">
        <v>70.569999999999993</v>
      </c>
      <c r="S10437" s="18">
        <v>68.88</v>
      </c>
      <c r="T10437" s="18">
        <v>56.46</v>
      </c>
      <c r="U10437" s="16"/>
      <c r="V10437" s="16"/>
      <c r="W10437" s="16" t="s">
        <v>40</v>
      </c>
      <c r="X10437" s="19">
        <v>8.9999999999999993E-3</v>
      </c>
      <c r="Y10437" s="20">
        <v>1.08E-4</v>
      </c>
      <c r="Z10437" s="21">
        <v>4601004170599</v>
      </c>
    </row>
    <row r="10438" spans="1:26" ht="12.95" customHeight="1" outlineLevel="1" x14ac:dyDescent="0.2">
      <c r="A10438" s="78" t="s">
        <v>19844</v>
      </c>
      <c r="B10438" s="78"/>
      <c r="C10438" s="79"/>
      <c r="D10438" s="57"/>
      <c r="E10438" s="67"/>
      <c r="F10438" s="12"/>
      <c r="G10438" s="12"/>
      <c r="H10438" s="12"/>
      <c r="I10438" s="12"/>
      <c r="J10438" s="12"/>
      <c r="K10438" s="12"/>
      <c r="L10438" s="12"/>
      <c r="M10438" s="12"/>
      <c r="N10438" s="12"/>
      <c r="O10438" s="12"/>
      <c r="P10438" s="12"/>
      <c r="Q10438" s="12"/>
      <c r="R10438" s="12"/>
      <c r="S10438" s="12"/>
      <c r="T10438" s="12"/>
      <c r="U10438" s="12"/>
      <c r="V10438" s="12"/>
      <c r="W10438" s="12"/>
      <c r="X10438" s="12"/>
      <c r="Y10438" s="12"/>
      <c r="Z10438" s="12"/>
    </row>
    <row r="10439" spans="1:26" ht="12.95" customHeight="1" outlineLevel="2" x14ac:dyDescent="0.2">
      <c r="A10439" s="76" t="s">
        <v>19845</v>
      </c>
      <c r="B10439" s="76"/>
      <c r="C10439" s="77"/>
      <c r="D10439" s="58"/>
      <c r="E10439" s="68"/>
      <c r="F10439" s="13"/>
      <c r="G10439" s="13"/>
      <c r="H10439" s="13"/>
      <c r="I10439" s="13"/>
      <c r="J10439" s="13"/>
      <c r="K10439" s="13"/>
      <c r="L10439" s="13"/>
      <c r="M10439" s="13"/>
      <c r="N10439" s="13"/>
      <c r="O10439" s="13"/>
      <c r="P10439" s="13"/>
      <c r="Q10439" s="13"/>
      <c r="R10439" s="13"/>
      <c r="S10439" s="13"/>
      <c r="T10439" s="13"/>
      <c r="U10439" s="13"/>
      <c r="V10439" s="13"/>
      <c r="W10439" s="13"/>
      <c r="X10439" s="13"/>
      <c r="Y10439" s="13"/>
      <c r="Z10439" s="13"/>
    </row>
    <row r="10440" spans="1:26" ht="12" customHeight="1" outlineLevel="3" x14ac:dyDescent="0.2">
      <c r="A10440" s="14" t="s">
        <v>19846</v>
      </c>
      <c r="B10440" s="26" t="s">
        <v>19847</v>
      </c>
      <c r="C10440" s="52"/>
      <c r="D10440" s="55">
        <f t="shared" si="162"/>
        <v>0</v>
      </c>
      <c r="E10440" s="63" t="str">
        <f>HYPERLINK("https://www.sds-group.ru/product/fonar-avtomobilnyy-new-age-dvuhrezhimnyy-s-kryukom-i-povorotnym-derzhatelem-na-magnite-rexan-75-7841/", "Инфо")</f>
        <v>Инфо</v>
      </c>
      <c r="F10440" s="16" t="s">
        <v>39</v>
      </c>
      <c r="G10440" s="15"/>
      <c r="H10440" s="15"/>
      <c r="I10440" s="15"/>
      <c r="J10440" s="17">
        <v>918</v>
      </c>
      <c r="K10440" s="15"/>
      <c r="L10440" s="17">
        <v>1</v>
      </c>
      <c r="M10440" s="17">
        <v>100</v>
      </c>
      <c r="N10440" s="17">
        <v>1</v>
      </c>
      <c r="O10440" s="18">
        <v>478.91</v>
      </c>
      <c r="P10440" s="18">
        <v>392.55</v>
      </c>
      <c r="Q10440" s="18">
        <v>383.13</v>
      </c>
      <c r="R10440" s="18">
        <v>314.04000000000002</v>
      </c>
      <c r="S10440" s="18">
        <v>325.66000000000003</v>
      </c>
      <c r="T10440" s="18">
        <v>266.93</v>
      </c>
      <c r="U10440" s="16"/>
      <c r="V10440" s="16"/>
      <c r="W10440" s="16" t="s">
        <v>40</v>
      </c>
      <c r="X10440" s="19">
        <v>0.124</v>
      </c>
      <c r="Y10440" s="20">
        <v>6.8499999999999995E-4</v>
      </c>
      <c r="Z10440" s="21">
        <v>4601004253292</v>
      </c>
    </row>
    <row r="10441" spans="1:26" ht="12" customHeight="1" outlineLevel="3" x14ac:dyDescent="0.2">
      <c r="A10441" s="14" t="s">
        <v>19848</v>
      </c>
      <c r="B10441" s="26" t="s">
        <v>19849</v>
      </c>
      <c r="C10441" s="52"/>
      <c r="D10441" s="55">
        <f t="shared" ref="D10441:D10504" si="163">C10441*(O10441-O10441*$G$3)</f>
        <v>0</v>
      </c>
      <c r="E10441" s="63" t="str">
        <f>HYPERLINK("https://www.sds-group.ru/product/fonar-avtomobilnyy-new-age-trehrezhimnyy-s-avariynym-krasnym-signalom-kryukom-i-povorotnym-d-75-1704/", "Инфо")</f>
        <v>Инфо</v>
      </c>
      <c r="F10441" s="16" t="s">
        <v>39</v>
      </c>
      <c r="G10441" s="15"/>
      <c r="H10441" s="15"/>
      <c r="I10441" s="15"/>
      <c r="J10441" s="16" t="s">
        <v>100</v>
      </c>
      <c r="K10441" s="15"/>
      <c r="L10441" s="17">
        <v>1</v>
      </c>
      <c r="M10441" s="17">
        <v>100</v>
      </c>
      <c r="N10441" s="17">
        <v>1</v>
      </c>
      <c r="O10441" s="18">
        <v>1224.46</v>
      </c>
      <c r="P10441" s="18">
        <v>1003.66</v>
      </c>
      <c r="Q10441" s="18">
        <v>857.12</v>
      </c>
      <c r="R10441" s="18">
        <v>702.56</v>
      </c>
      <c r="S10441" s="18">
        <v>832.63</v>
      </c>
      <c r="T10441" s="18">
        <v>682.48</v>
      </c>
      <c r="U10441" s="16"/>
      <c r="V10441" s="16"/>
      <c r="W10441" s="16"/>
      <c r="X10441" s="19">
        <v>0.13700000000000001</v>
      </c>
      <c r="Y10441" s="20">
        <v>6.8800000000000003E-4</v>
      </c>
      <c r="Z10441" s="21">
        <v>4601004253346</v>
      </c>
    </row>
    <row r="10442" spans="1:26" ht="12" customHeight="1" outlineLevel="3" x14ac:dyDescent="0.2">
      <c r="A10442" s="14" t="s">
        <v>19850</v>
      </c>
      <c r="B10442" s="26" t="s">
        <v>19851</v>
      </c>
      <c r="C10442" s="52"/>
      <c r="D10442" s="55">
        <f t="shared" si="163"/>
        <v>0</v>
      </c>
      <c r="E10442" s="63" t="str">
        <f>HYPERLINK("https://www.sds-group.ru/product/fonar-avtomobilnyy-s-regulirovkoy-yarkosti-povorotnym-magnitom-indikatorom-zaryadki-i-vstroe-75-8042/", "Инфо")</f>
        <v>Инфо</v>
      </c>
      <c r="F10442" s="16" t="s">
        <v>39</v>
      </c>
      <c r="G10442" s="15"/>
      <c r="H10442" s="15"/>
      <c r="I10442" s="15"/>
      <c r="J10442" s="17">
        <v>390</v>
      </c>
      <c r="K10442" s="15"/>
      <c r="L10442" s="17">
        <v>1</v>
      </c>
      <c r="M10442" s="17">
        <v>20</v>
      </c>
      <c r="N10442" s="17">
        <v>1</v>
      </c>
      <c r="O10442" s="18">
        <v>1573.75</v>
      </c>
      <c r="P10442" s="18">
        <v>1289.96</v>
      </c>
      <c r="Q10442" s="18">
        <v>1211.79</v>
      </c>
      <c r="R10442" s="18">
        <v>993.27</v>
      </c>
      <c r="S10442" s="18">
        <v>1070.1500000000001</v>
      </c>
      <c r="T10442" s="18">
        <v>877.17</v>
      </c>
      <c r="U10442" s="16"/>
      <c r="V10442" s="16"/>
      <c r="W10442" s="16" t="s">
        <v>40</v>
      </c>
      <c r="X10442" s="19">
        <v>0.22900000000000001</v>
      </c>
      <c r="Y10442" s="20">
        <v>8.6700000000000004E-4</v>
      </c>
      <c r="Z10442" s="21">
        <v>4601004285200</v>
      </c>
    </row>
    <row r="10443" spans="1:26" ht="12" customHeight="1" outlineLevel="3" x14ac:dyDescent="0.2">
      <c r="A10443" s="32" t="s">
        <v>19852</v>
      </c>
      <c r="B10443" s="74" t="s">
        <v>19853</v>
      </c>
      <c r="C10443" s="50"/>
      <c r="D10443" s="53">
        <f t="shared" si="163"/>
        <v>0</v>
      </c>
      <c r="E10443" s="60" t="str">
        <f>HYPERLINK("https://www.sds-group.ru/product/fonar-avtomobilnyy-dvuhrezhimnyy-na-podstavke-s-magnitom-kryukom-i-klipsoy-rexant-75-8002/", "Инфо")</f>
        <v>Инфо</v>
      </c>
      <c r="F10443" s="34" t="s">
        <v>39</v>
      </c>
      <c r="G10443" s="33"/>
      <c r="H10443" s="33" t="s">
        <v>40</v>
      </c>
      <c r="I10443" s="33"/>
      <c r="J10443" s="34" t="s">
        <v>100</v>
      </c>
      <c r="K10443" s="33"/>
      <c r="L10443" s="35">
        <v>1</v>
      </c>
      <c r="M10443" s="35">
        <v>100</v>
      </c>
      <c r="N10443" s="35">
        <v>1</v>
      </c>
      <c r="O10443" s="36">
        <v>495.44</v>
      </c>
      <c r="P10443" s="36">
        <v>406.1</v>
      </c>
      <c r="Q10443" s="36">
        <v>396.35</v>
      </c>
      <c r="R10443" s="36">
        <v>324.88</v>
      </c>
      <c r="S10443" s="36">
        <v>336.9</v>
      </c>
      <c r="T10443" s="36">
        <v>276.14999999999998</v>
      </c>
      <c r="U10443" s="34"/>
      <c r="V10443" s="34"/>
      <c r="W10443" s="34" t="s">
        <v>40</v>
      </c>
      <c r="X10443" s="37">
        <v>7.5999999999999998E-2</v>
      </c>
      <c r="Y10443" s="38">
        <v>3.2200000000000002E-4</v>
      </c>
      <c r="Z10443" s="21">
        <v>4601004287358</v>
      </c>
    </row>
    <row r="10444" spans="1:26" ht="12" customHeight="1" outlineLevel="3" x14ac:dyDescent="0.2">
      <c r="A10444" s="14" t="s">
        <v>19854</v>
      </c>
      <c r="B10444" s="26" t="s">
        <v>19855</v>
      </c>
      <c r="C10444" s="52"/>
      <c r="D10444" s="55">
        <f t="shared" si="163"/>
        <v>0</v>
      </c>
      <c r="E10444" s="63" t="str">
        <f>HYPERLINK("https://www.sds-group.ru/product/fonar-avtomobilnyy-s-regulirovkoy-yarkosti-povorotnym-magnitom-indikatorom-zaryadki-i-vstroen-75-724/", "Инфо")</f>
        <v>Инфо</v>
      </c>
      <c r="F10444" s="16" t="s">
        <v>39</v>
      </c>
      <c r="G10444" s="15"/>
      <c r="H10444" s="15"/>
      <c r="I10444" s="15"/>
      <c r="J10444" s="17">
        <v>547</v>
      </c>
      <c r="K10444" s="15"/>
      <c r="L10444" s="17">
        <v>1</v>
      </c>
      <c r="M10444" s="17">
        <v>50</v>
      </c>
      <c r="N10444" s="17">
        <v>1</v>
      </c>
      <c r="O10444" s="18">
        <v>2048.2399999999998</v>
      </c>
      <c r="P10444" s="18">
        <v>1678.89</v>
      </c>
      <c r="Q10444" s="18">
        <v>1577.14</v>
      </c>
      <c r="R10444" s="18">
        <v>1292.74</v>
      </c>
      <c r="S10444" s="18">
        <v>1392.8</v>
      </c>
      <c r="T10444" s="18">
        <v>1141.6400000000001</v>
      </c>
      <c r="U10444" s="16"/>
      <c r="V10444" s="16"/>
      <c r="W10444" s="16" t="s">
        <v>40</v>
      </c>
      <c r="X10444" s="19">
        <v>0.246</v>
      </c>
      <c r="Y10444" s="20">
        <v>9.3300000000000002E-4</v>
      </c>
      <c r="Z10444" s="21">
        <v>4601004193918</v>
      </c>
    </row>
    <row r="10445" spans="1:26" ht="12" customHeight="1" outlineLevel="3" x14ac:dyDescent="0.2">
      <c r="A10445" s="32" t="s">
        <v>19856</v>
      </c>
      <c r="B10445" s="74" t="s">
        <v>19857</v>
      </c>
      <c r="C10445" s="50"/>
      <c r="D10445" s="53">
        <f t="shared" si="163"/>
        <v>0</v>
      </c>
      <c r="E10445" s="60" t="str">
        <f>HYPERLINK("https://www.sds-group.ru/product/fonar-avtomobilnyy-trehrezhimnyy-sov-rexant-75-709/", "Инфо")</f>
        <v>Инфо</v>
      </c>
      <c r="F10445" s="34" t="s">
        <v>39</v>
      </c>
      <c r="G10445" s="33"/>
      <c r="H10445" s="33" t="s">
        <v>40</v>
      </c>
      <c r="I10445" s="33"/>
      <c r="J10445" s="35">
        <v>315</v>
      </c>
      <c r="K10445" s="33"/>
      <c r="L10445" s="35">
        <v>1</v>
      </c>
      <c r="M10445" s="35">
        <v>96</v>
      </c>
      <c r="N10445" s="35">
        <v>1</v>
      </c>
      <c r="O10445" s="36">
        <v>155.47999999999999</v>
      </c>
      <c r="P10445" s="36">
        <v>127.44</v>
      </c>
      <c r="Q10445" s="36">
        <v>132.16</v>
      </c>
      <c r="R10445" s="36">
        <v>108.33</v>
      </c>
      <c r="S10445" s="36">
        <v>105.73</v>
      </c>
      <c r="T10445" s="36">
        <v>86.66</v>
      </c>
      <c r="U10445" s="34"/>
      <c r="V10445" s="34"/>
      <c r="W10445" s="34" t="s">
        <v>40</v>
      </c>
      <c r="X10445" s="37">
        <v>5.8999999999999997E-2</v>
      </c>
      <c r="Y10445" s="38">
        <v>2.5300000000000002E-4</v>
      </c>
      <c r="Z10445" s="21">
        <v>4601004193819</v>
      </c>
    </row>
    <row r="10446" spans="1:26" ht="12" customHeight="1" outlineLevel="3" x14ac:dyDescent="0.2">
      <c r="A10446" s="14" t="s">
        <v>19858</v>
      </c>
      <c r="B10446" s="26" t="s">
        <v>19859</v>
      </c>
      <c r="C10446" s="52"/>
      <c r="D10446" s="55">
        <f t="shared" si="163"/>
        <v>0</v>
      </c>
      <c r="E10446" s="63" t="str">
        <f>HYPERLINK("https://www.sds-group.ru/product/fonar-mnogofunktsionalnyy-s-magnitom-i-klipsoy-bolshoy-rexant-75-8013/", "Инфо")</f>
        <v>Инфо</v>
      </c>
      <c r="F10446" s="16" t="s">
        <v>39</v>
      </c>
      <c r="G10446" s="15"/>
      <c r="H10446" s="15"/>
      <c r="I10446" s="15"/>
      <c r="J10446" s="17">
        <v>363</v>
      </c>
      <c r="K10446" s="15"/>
      <c r="L10446" s="17">
        <v>1</v>
      </c>
      <c r="M10446" s="17">
        <v>100</v>
      </c>
      <c r="N10446" s="17">
        <v>1</v>
      </c>
      <c r="O10446" s="18">
        <v>880.87</v>
      </c>
      <c r="P10446" s="18">
        <v>722.02</v>
      </c>
      <c r="Q10446" s="18">
        <v>695.89</v>
      </c>
      <c r="R10446" s="18">
        <v>570.4</v>
      </c>
      <c r="S10446" s="18">
        <v>598.99</v>
      </c>
      <c r="T10446" s="18">
        <v>490.98</v>
      </c>
      <c r="U10446" s="16"/>
      <c r="V10446" s="16"/>
      <c r="W10446" s="16" t="s">
        <v>40</v>
      </c>
      <c r="X10446" s="19">
        <v>0.16700000000000001</v>
      </c>
      <c r="Y10446" s="20">
        <v>5.3799999999999996E-4</v>
      </c>
      <c r="Z10446" s="21">
        <v>4601004287464</v>
      </c>
    </row>
    <row r="10447" spans="1:26" ht="12" customHeight="1" outlineLevel="3" x14ac:dyDescent="0.2">
      <c r="A10447" s="14" t="s">
        <v>19860</v>
      </c>
      <c r="B10447" s="26" t="s">
        <v>19861</v>
      </c>
      <c r="C10447" s="52"/>
      <c r="D10447" s="55">
        <f t="shared" si="163"/>
        <v>0</v>
      </c>
      <c r="E10447" s="63" t="str">
        <f>HYPERLINK("https://www.sds-group.ru/product/fonar-mnogofunktsionalnyy-s-magnitom-kryukom-i-funktsiey-power-bank-rexant-75-8003/", "Инфо")</f>
        <v>Инфо</v>
      </c>
      <c r="F10447" s="16" t="s">
        <v>39</v>
      </c>
      <c r="G10447" s="15"/>
      <c r="H10447" s="15"/>
      <c r="I10447" s="15"/>
      <c r="J10447" s="17">
        <v>273</v>
      </c>
      <c r="K10447" s="15"/>
      <c r="L10447" s="17">
        <v>1</v>
      </c>
      <c r="M10447" s="17">
        <v>8</v>
      </c>
      <c r="N10447" s="17">
        <v>1</v>
      </c>
      <c r="O10447" s="18">
        <v>2096.88</v>
      </c>
      <c r="P10447" s="18">
        <v>1718.75</v>
      </c>
      <c r="Q10447" s="18">
        <v>1530.72</v>
      </c>
      <c r="R10447" s="18">
        <v>1254.69</v>
      </c>
      <c r="S10447" s="18">
        <v>1425.88</v>
      </c>
      <c r="T10447" s="18">
        <v>1168.75</v>
      </c>
      <c r="U10447" s="16"/>
      <c r="V10447" s="16"/>
      <c r="W10447" s="16" t="s">
        <v>40</v>
      </c>
      <c r="X10447" s="19">
        <v>0.45200000000000001</v>
      </c>
      <c r="Y10447" s="20">
        <v>1.97E-3</v>
      </c>
      <c r="Z10447" s="21">
        <v>4601004287365</v>
      </c>
    </row>
    <row r="10448" spans="1:26" ht="12.95" customHeight="1" outlineLevel="2" x14ac:dyDescent="0.2">
      <c r="A10448" s="76" t="s">
        <v>19862</v>
      </c>
      <c r="B10448" s="76"/>
      <c r="C10448" s="77"/>
      <c r="D10448" s="58"/>
      <c r="E10448" s="68"/>
      <c r="F10448" s="13"/>
      <c r="G10448" s="13"/>
      <c r="H10448" s="13"/>
      <c r="I10448" s="13"/>
      <c r="J10448" s="13"/>
      <c r="K10448" s="13"/>
      <c r="L10448" s="13"/>
      <c r="M10448" s="13"/>
      <c r="N10448" s="13"/>
      <c r="O10448" s="13"/>
      <c r="P10448" s="13"/>
      <c r="Q10448" s="13"/>
      <c r="R10448" s="13"/>
      <c r="S10448" s="13"/>
      <c r="T10448" s="13"/>
      <c r="U10448" s="13"/>
      <c r="V10448" s="13"/>
      <c r="W10448" s="13"/>
      <c r="X10448" s="13"/>
      <c r="Y10448" s="13"/>
      <c r="Z10448" s="13"/>
    </row>
    <row r="10449" spans="1:26" ht="12" customHeight="1" outlineLevel="3" x14ac:dyDescent="0.2">
      <c r="A10449" s="14" t="s">
        <v>19863</v>
      </c>
      <c r="B10449" s="26" t="s">
        <v>19864</v>
      </c>
      <c r="C10449" s="52"/>
      <c r="D10449" s="55">
        <f t="shared" si="163"/>
        <v>0</v>
      </c>
      <c r="E10449" s="63" t="str">
        <f>HYPERLINK("https://www.sds-group.ru/product/fonar-universalnyy-dvuhrezhimnyy-s-akkumulyatorom-i-vstroennoy-evrovilkoy-zaryadka-ot-seti-22-75-712/", "Инфо")</f>
        <v>Инфо</v>
      </c>
      <c r="F10449" s="16" t="s">
        <v>39</v>
      </c>
      <c r="G10449" s="15"/>
      <c r="H10449" s="15"/>
      <c r="I10449" s="15"/>
      <c r="J10449" s="16" t="s">
        <v>100</v>
      </c>
      <c r="K10449" s="15" t="s">
        <v>1587</v>
      </c>
      <c r="L10449" s="17">
        <v>5</v>
      </c>
      <c r="M10449" s="17">
        <v>40</v>
      </c>
      <c r="N10449" s="17">
        <v>5</v>
      </c>
      <c r="O10449" s="18">
        <v>377.57</v>
      </c>
      <c r="P10449" s="18">
        <v>309.48</v>
      </c>
      <c r="Q10449" s="18">
        <v>320.93</v>
      </c>
      <c r="R10449" s="18">
        <v>263.06</v>
      </c>
      <c r="S10449" s="18">
        <v>256.75</v>
      </c>
      <c r="T10449" s="18">
        <v>210.45</v>
      </c>
      <c r="U10449" s="16"/>
      <c r="V10449" s="16"/>
      <c r="W10449" s="16" t="s">
        <v>40</v>
      </c>
      <c r="X10449" s="19">
        <v>0.13600000000000001</v>
      </c>
      <c r="Y10449" s="20">
        <v>6.8599999999999998E-4</v>
      </c>
      <c r="Z10449" s="21">
        <v>4601004193840</v>
      </c>
    </row>
    <row r="10450" spans="1:26" ht="12" customHeight="1" outlineLevel="3" x14ac:dyDescent="0.2">
      <c r="A10450" s="14" t="s">
        <v>19865</v>
      </c>
      <c r="B10450" s="26" t="s">
        <v>19866</v>
      </c>
      <c r="C10450" s="52"/>
      <c r="D10450" s="55">
        <f t="shared" si="163"/>
        <v>0</v>
      </c>
      <c r="E10450" s="63" t="str">
        <f>HYPERLINK("https://www.sds-group.ru/product/fonar-universalnyy-dvuhrezhimnyy-so-vstroennoy-evrovilkoy-zaryadka-ot-seti-220v-sov-rexant-75-711/", "Инфо")</f>
        <v>Инфо</v>
      </c>
      <c r="F10450" s="16" t="s">
        <v>39</v>
      </c>
      <c r="G10450" s="15"/>
      <c r="H10450" s="15"/>
      <c r="I10450" s="15"/>
      <c r="J10450" s="17">
        <v>615</v>
      </c>
      <c r="K10450" s="15" t="s">
        <v>4020</v>
      </c>
      <c r="L10450" s="17">
        <v>1</v>
      </c>
      <c r="M10450" s="17">
        <v>120</v>
      </c>
      <c r="N10450" s="17">
        <v>1</v>
      </c>
      <c r="O10450" s="18">
        <v>431.2</v>
      </c>
      <c r="P10450" s="18">
        <v>353.44</v>
      </c>
      <c r="Q10450" s="18">
        <v>344.96</v>
      </c>
      <c r="R10450" s="18">
        <v>282.75</v>
      </c>
      <c r="S10450" s="18">
        <v>293.22000000000003</v>
      </c>
      <c r="T10450" s="18">
        <v>240.34</v>
      </c>
      <c r="U10450" s="16"/>
      <c r="V10450" s="16"/>
      <c r="W10450" s="16" t="s">
        <v>40</v>
      </c>
      <c r="X10450" s="19">
        <v>0.158</v>
      </c>
      <c r="Y10450" s="20">
        <v>8.3699999999999996E-4</v>
      </c>
      <c r="Z10450" s="21">
        <v>4601004193833</v>
      </c>
    </row>
    <row r="10451" spans="1:26" ht="12" customHeight="1" outlineLevel="3" x14ac:dyDescent="0.2">
      <c r="A10451" s="14" t="s">
        <v>19867</v>
      </c>
      <c r="B10451" s="26" t="s">
        <v>19868</v>
      </c>
      <c r="C10451" s="52"/>
      <c r="D10451" s="55">
        <f t="shared" si="163"/>
        <v>0</v>
      </c>
      <c r="E10451" s="63" t="str">
        <f>HYPERLINK("https://www.sds-group.ru/product/fonar-universalnyy-odnorezhimnyy-v-alyuminievom-korpuse-kompaktnyy-rexant-75-713/", "Инфо")</f>
        <v>Инфо</v>
      </c>
      <c r="F10451" s="16" t="s">
        <v>39</v>
      </c>
      <c r="G10451" s="15"/>
      <c r="H10451" s="15"/>
      <c r="I10451" s="15"/>
      <c r="J10451" s="22">
        <v>1104</v>
      </c>
      <c r="K10451" s="15"/>
      <c r="L10451" s="17">
        <v>5</v>
      </c>
      <c r="M10451" s="17">
        <v>200</v>
      </c>
      <c r="N10451" s="17">
        <v>5</v>
      </c>
      <c r="O10451" s="18">
        <v>269.51</v>
      </c>
      <c r="P10451" s="18">
        <v>220.91</v>
      </c>
      <c r="Q10451" s="18">
        <v>229.08</v>
      </c>
      <c r="R10451" s="18">
        <v>187.77</v>
      </c>
      <c r="S10451" s="18">
        <v>183.27</v>
      </c>
      <c r="T10451" s="18">
        <v>150.22</v>
      </c>
      <c r="U10451" s="16"/>
      <c r="V10451" s="16"/>
      <c r="W10451" s="16" t="s">
        <v>40</v>
      </c>
      <c r="X10451" s="19">
        <v>2.8000000000000001E-2</v>
      </c>
      <c r="Y10451" s="20">
        <v>7.8999999999999996E-5</v>
      </c>
      <c r="Z10451" s="21">
        <v>4601004193857</v>
      </c>
    </row>
    <row r="10452" spans="1:26" ht="12" customHeight="1" outlineLevel="3" x14ac:dyDescent="0.2">
      <c r="A10452" s="14" t="s">
        <v>19869</v>
      </c>
      <c r="B10452" s="26" t="s">
        <v>19870</v>
      </c>
      <c r="C10452" s="52"/>
      <c r="D10452" s="55">
        <f t="shared" si="163"/>
        <v>0</v>
      </c>
      <c r="E10452" s="63" t="str">
        <f>HYPERLINK("https://www.sds-group.ru/product/fonar-universalnyy-odnorezhimnyy-v-alyuminievom-korpuse-kompaktnyy-sov-rexant-75-716/", "Инфо")</f>
        <v>Инфо</v>
      </c>
      <c r="F10452" s="16" t="s">
        <v>39</v>
      </c>
      <c r="G10452" s="15"/>
      <c r="H10452" s="15"/>
      <c r="I10452" s="15"/>
      <c r="J10452" s="22">
        <v>1390</v>
      </c>
      <c r="K10452" s="15"/>
      <c r="L10452" s="17">
        <v>6</v>
      </c>
      <c r="M10452" s="17">
        <v>144</v>
      </c>
      <c r="N10452" s="17">
        <v>6</v>
      </c>
      <c r="O10452" s="18">
        <v>183.26</v>
      </c>
      <c r="P10452" s="18">
        <v>150.21</v>
      </c>
      <c r="Q10452" s="18">
        <v>155.77000000000001</v>
      </c>
      <c r="R10452" s="18">
        <v>127.68</v>
      </c>
      <c r="S10452" s="18">
        <v>124.62</v>
      </c>
      <c r="T10452" s="18">
        <v>102.15</v>
      </c>
      <c r="U10452" s="16"/>
      <c r="V10452" s="16"/>
      <c r="W10452" s="16" t="s">
        <v>40</v>
      </c>
      <c r="X10452" s="19">
        <v>3.7999999999999999E-2</v>
      </c>
      <c r="Y10452" s="20">
        <v>2.9500000000000001E-4</v>
      </c>
      <c r="Z10452" s="21">
        <v>4601004242067</v>
      </c>
    </row>
    <row r="10453" spans="1:26" ht="12" customHeight="1" outlineLevel="3" x14ac:dyDescent="0.2">
      <c r="A10453" s="14" t="s">
        <v>19871</v>
      </c>
      <c r="B10453" s="26" t="s">
        <v>19872</v>
      </c>
      <c r="C10453" s="52"/>
      <c r="D10453" s="55">
        <f t="shared" si="163"/>
        <v>0</v>
      </c>
      <c r="E10453" s="63" t="str">
        <f>HYPERLINK("https://www.sds-group.ru/product/fonar-universalnyy-odnorezhimnyy-v-korpuse-iz-protivoskolzyaschego-plastika-kompaktnyy-rexant-75-717/", "Инфо")</f>
        <v>Инфо</v>
      </c>
      <c r="F10453" s="16" t="s">
        <v>39</v>
      </c>
      <c r="G10453" s="15"/>
      <c r="H10453" s="15"/>
      <c r="I10453" s="15"/>
      <c r="J10453" s="16" t="s">
        <v>100</v>
      </c>
      <c r="K10453" s="15" t="s">
        <v>1055</v>
      </c>
      <c r="L10453" s="17">
        <v>10</v>
      </c>
      <c r="M10453" s="17">
        <v>144</v>
      </c>
      <c r="N10453" s="17">
        <v>10</v>
      </c>
      <c r="O10453" s="18">
        <v>156.32</v>
      </c>
      <c r="P10453" s="18">
        <v>128.13</v>
      </c>
      <c r="Q10453" s="18">
        <v>132.87</v>
      </c>
      <c r="R10453" s="18">
        <v>108.91</v>
      </c>
      <c r="S10453" s="18">
        <v>106.3</v>
      </c>
      <c r="T10453" s="18">
        <v>87.13</v>
      </c>
      <c r="U10453" s="16"/>
      <c r="V10453" s="16"/>
      <c r="W10453" s="16" t="s">
        <v>40</v>
      </c>
      <c r="X10453" s="19">
        <v>5.5E-2</v>
      </c>
      <c r="Y10453" s="20">
        <v>3.2600000000000001E-4</v>
      </c>
      <c r="Z10453" s="21">
        <v>4601004193895</v>
      </c>
    </row>
    <row r="10454" spans="1:26" ht="12" customHeight="1" outlineLevel="3" x14ac:dyDescent="0.2">
      <c r="A10454" s="14" t="s">
        <v>19873</v>
      </c>
      <c r="B10454" s="26" t="s">
        <v>19874</v>
      </c>
      <c r="C10454" s="52"/>
      <c r="D10454" s="55">
        <f t="shared" si="163"/>
        <v>0</v>
      </c>
      <c r="E10454" s="63" t="str">
        <f>HYPERLINK("https://www.sds-group.ru/product/fonar-universalnyy-pyatirezhimnyy-v-alyuminievom-korpuse-sverhyarkiy-s-reguliruemym-fokusom-r-75-718/", "Инфо")</f>
        <v>Инфо</v>
      </c>
      <c r="F10454" s="16" t="s">
        <v>39</v>
      </c>
      <c r="G10454" s="15"/>
      <c r="H10454" s="15"/>
      <c r="I10454" s="15"/>
      <c r="J10454" s="22">
        <v>1824</v>
      </c>
      <c r="K10454" s="15"/>
      <c r="L10454" s="17">
        <v>1</v>
      </c>
      <c r="M10454" s="17">
        <v>100</v>
      </c>
      <c r="N10454" s="17">
        <v>1</v>
      </c>
      <c r="O10454" s="18">
        <v>620.88</v>
      </c>
      <c r="P10454" s="18">
        <v>508.92</v>
      </c>
      <c r="Q10454" s="18">
        <v>496.7</v>
      </c>
      <c r="R10454" s="18">
        <v>407.13</v>
      </c>
      <c r="S10454" s="18">
        <v>422.2</v>
      </c>
      <c r="T10454" s="18">
        <v>346.07</v>
      </c>
      <c r="U10454" s="16"/>
      <c r="V10454" s="16"/>
      <c r="W10454" s="16" t="s">
        <v>40</v>
      </c>
      <c r="X10454" s="19">
        <v>0.10299999999999999</v>
      </c>
      <c r="Y10454" s="20">
        <v>5.6400000000000005E-4</v>
      </c>
      <c r="Z10454" s="21">
        <v>4601004193901</v>
      </c>
    </row>
    <row r="10455" spans="1:26" ht="12" customHeight="1" outlineLevel="3" x14ac:dyDescent="0.2">
      <c r="A10455" s="14" t="s">
        <v>19875</v>
      </c>
      <c r="B10455" s="26" t="s">
        <v>19876</v>
      </c>
      <c r="C10455" s="52"/>
      <c r="D10455" s="55">
        <f t="shared" si="163"/>
        <v>0</v>
      </c>
      <c r="E10455" s="63" t="str">
        <f>HYPERLINK("https://www.sds-group.ru/product/fonar-universalnyy-trehrezhimnyy-v-alyuminievom-korpuse-kompaktnyy-so-vstroennym-akkumulyator-75-714/", "Инфо")</f>
        <v>Инфо</v>
      </c>
      <c r="F10455" s="16" t="s">
        <v>39</v>
      </c>
      <c r="G10455" s="15"/>
      <c r="H10455" s="15"/>
      <c r="I10455" s="15"/>
      <c r="J10455" s="17">
        <v>435</v>
      </c>
      <c r="K10455" s="15" t="s">
        <v>6939</v>
      </c>
      <c r="L10455" s="17">
        <v>1</v>
      </c>
      <c r="M10455" s="17">
        <v>100</v>
      </c>
      <c r="N10455" s="17">
        <v>1</v>
      </c>
      <c r="O10455" s="18">
        <v>510.02</v>
      </c>
      <c r="P10455" s="18">
        <v>418.05</v>
      </c>
      <c r="Q10455" s="18">
        <v>408.02</v>
      </c>
      <c r="R10455" s="18">
        <v>334.44</v>
      </c>
      <c r="S10455" s="18">
        <v>346.81</v>
      </c>
      <c r="T10455" s="18">
        <v>284.27</v>
      </c>
      <c r="U10455" s="16"/>
      <c r="V10455" s="16"/>
      <c r="W10455" s="16" t="s">
        <v>40</v>
      </c>
      <c r="X10455" s="19">
        <v>7.2999999999999995E-2</v>
      </c>
      <c r="Y10455" s="20">
        <v>3.77E-4</v>
      </c>
      <c r="Z10455" s="21">
        <v>4601004193864</v>
      </c>
    </row>
    <row r="10456" spans="1:26" ht="12" customHeight="1" outlineLevel="3" x14ac:dyDescent="0.2">
      <c r="A10456" s="32" t="s">
        <v>19877</v>
      </c>
      <c r="B10456" s="74" t="s">
        <v>19878</v>
      </c>
      <c r="C10456" s="50"/>
      <c r="D10456" s="53">
        <f t="shared" si="163"/>
        <v>0</v>
      </c>
      <c r="E10456" s="60" t="str">
        <f>HYPERLINK("https://www.sds-group.ru/product/fonar-universalnyy-trehrezhimnyy-v-alyuminievom-korpuse-s-naborom-otvertok-rexant-75-715/", "Инфо")</f>
        <v>Инфо</v>
      </c>
      <c r="F10456" s="34" t="s">
        <v>39</v>
      </c>
      <c r="G10456" s="33"/>
      <c r="H10456" s="33" t="s">
        <v>40</v>
      </c>
      <c r="I10456" s="33"/>
      <c r="J10456" s="39">
        <v>1490</v>
      </c>
      <c r="K10456" s="33"/>
      <c r="L10456" s="35">
        <v>1</v>
      </c>
      <c r="M10456" s="35">
        <v>150</v>
      </c>
      <c r="N10456" s="35">
        <v>1</v>
      </c>
      <c r="O10456" s="36">
        <v>552.54999999999995</v>
      </c>
      <c r="P10456" s="36">
        <v>452.91</v>
      </c>
      <c r="Q10456" s="36">
        <v>442.04</v>
      </c>
      <c r="R10456" s="36">
        <v>362.33</v>
      </c>
      <c r="S10456" s="36">
        <v>375.73</v>
      </c>
      <c r="T10456" s="36">
        <v>307.98</v>
      </c>
      <c r="U10456" s="34"/>
      <c r="V10456" s="34"/>
      <c r="W10456" s="34" t="s">
        <v>40</v>
      </c>
      <c r="X10456" s="37">
        <v>6.8000000000000005E-2</v>
      </c>
      <c r="Y10456" s="38">
        <v>2.2000000000000001E-4</v>
      </c>
      <c r="Z10456" s="21">
        <v>4601004193871</v>
      </c>
    </row>
    <row r="10457" spans="1:26" ht="12.95" customHeight="1" outlineLevel="2" x14ac:dyDescent="0.2">
      <c r="A10457" s="76" t="s">
        <v>19879</v>
      </c>
      <c r="B10457" s="76"/>
      <c r="C10457" s="77"/>
      <c r="D10457" s="58"/>
      <c r="E10457" s="68"/>
      <c r="F10457" s="13"/>
      <c r="G10457" s="13"/>
      <c r="H10457" s="13"/>
      <c r="I10457" s="13"/>
      <c r="J10457" s="13"/>
      <c r="K10457" s="13"/>
      <c r="L10457" s="13"/>
      <c r="M10457" s="13"/>
      <c r="N10457" s="13"/>
      <c r="O10457" s="13"/>
      <c r="P10457" s="13"/>
      <c r="Q10457" s="13"/>
      <c r="R10457" s="13"/>
      <c r="S10457" s="13"/>
      <c r="T10457" s="13"/>
      <c r="U10457" s="13"/>
      <c r="V10457" s="13"/>
      <c r="W10457" s="13"/>
      <c r="X10457" s="13"/>
      <c r="Y10457" s="13"/>
      <c r="Z10457" s="13"/>
    </row>
    <row r="10458" spans="1:26" ht="12" customHeight="1" outlineLevel="3" x14ac:dyDescent="0.2">
      <c r="A10458" s="14" t="s">
        <v>19880</v>
      </c>
      <c r="B10458" s="26" t="s">
        <v>19881</v>
      </c>
      <c r="C10458" s="52"/>
      <c r="D10458" s="55">
        <f t="shared" si="163"/>
        <v>0</v>
      </c>
      <c r="E10458" s="63" t="str">
        <f>HYPERLINK("https://www.sds-group.ru/product/fonar-nalobnyy-new-age-trehrezhimnyy-povorotnyy-sverhlegkiy-s-magnitom-rexant-75-7839/", "Инфо")</f>
        <v>Инфо</v>
      </c>
      <c r="F10458" s="16" t="s">
        <v>39</v>
      </c>
      <c r="G10458" s="15"/>
      <c r="H10458" s="15"/>
      <c r="I10458" s="15"/>
      <c r="J10458" s="16" t="s">
        <v>100</v>
      </c>
      <c r="K10458" s="15" t="s">
        <v>1055</v>
      </c>
      <c r="L10458" s="17">
        <v>5</v>
      </c>
      <c r="M10458" s="17">
        <v>72</v>
      </c>
      <c r="N10458" s="17">
        <v>5</v>
      </c>
      <c r="O10458" s="18">
        <v>393.61</v>
      </c>
      <c r="P10458" s="18">
        <v>322.63</v>
      </c>
      <c r="Q10458" s="18">
        <v>314.89</v>
      </c>
      <c r="R10458" s="18">
        <v>258.11</v>
      </c>
      <c r="S10458" s="18">
        <v>267.64999999999998</v>
      </c>
      <c r="T10458" s="18">
        <v>219.39</v>
      </c>
      <c r="U10458" s="16"/>
      <c r="V10458" s="16"/>
      <c r="W10458" s="16" t="s">
        <v>40</v>
      </c>
      <c r="X10458" s="19">
        <v>0.124</v>
      </c>
      <c r="Y10458" s="20">
        <v>8.83E-4</v>
      </c>
      <c r="Z10458" s="21">
        <v>4601004253278</v>
      </c>
    </row>
    <row r="10459" spans="1:26" ht="12" customHeight="1" outlineLevel="3" x14ac:dyDescent="0.2">
      <c r="A10459" s="14" t="s">
        <v>19882</v>
      </c>
      <c r="B10459" s="26" t="s">
        <v>19883</v>
      </c>
      <c r="C10459" s="52"/>
      <c r="D10459" s="55">
        <f t="shared" si="163"/>
        <v>0</v>
      </c>
      <c r="E10459" s="63" t="str">
        <f>HYPERLINK("https://www.sds-group.ru/product/fonar-nalobnyy-new-age-chetyrehrezhimnyy-povorotnyy-s-reguliruemym-fokusom-rexant-75-7831/", "Инфо")</f>
        <v>Инфо</v>
      </c>
      <c r="F10459" s="16" t="s">
        <v>39</v>
      </c>
      <c r="G10459" s="15"/>
      <c r="H10459" s="15"/>
      <c r="I10459" s="15"/>
      <c r="J10459" s="16" t="s">
        <v>100</v>
      </c>
      <c r="K10459" s="15" t="s">
        <v>1055</v>
      </c>
      <c r="L10459" s="17">
        <v>1</v>
      </c>
      <c r="M10459" s="17">
        <v>24</v>
      </c>
      <c r="N10459" s="17">
        <v>1</v>
      </c>
      <c r="O10459" s="18">
        <v>1292.17</v>
      </c>
      <c r="P10459" s="18">
        <v>1059.1600000000001</v>
      </c>
      <c r="Q10459" s="18">
        <v>1020.81</v>
      </c>
      <c r="R10459" s="18">
        <v>836.73</v>
      </c>
      <c r="S10459" s="18">
        <v>878.68</v>
      </c>
      <c r="T10459" s="18">
        <v>720.23</v>
      </c>
      <c r="U10459" s="16"/>
      <c r="V10459" s="16"/>
      <c r="W10459" s="16" t="s">
        <v>40</v>
      </c>
      <c r="X10459" s="19">
        <v>0.315</v>
      </c>
      <c r="Y10459" s="20">
        <v>3.4450000000000001E-3</v>
      </c>
      <c r="Z10459" s="21">
        <v>4601004277557</v>
      </c>
    </row>
    <row r="10460" spans="1:26" ht="12" customHeight="1" outlineLevel="3" x14ac:dyDescent="0.2">
      <c r="A10460" s="14" t="s">
        <v>19884</v>
      </c>
      <c r="B10460" s="26" t="s">
        <v>19885</v>
      </c>
      <c r="C10460" s="52"/>
      <c r="D10460" s="55">
        <f t="shared" si="163"/>
        <v>0</v>
      </c>
      <c r="E10460" s="63" t="str">
        <f>HYPERLINK("https://www.sds-group.ru/product/fonar-nalobnyy-s-datchikom-dvizheniya-i-akkumulyatorom-rexant-75-8008/", "Инфо")</f>
        <v>Инфо</v>
      </c>
      <c r="F10460" s="16" t="s">
        <v>39</v>
      </c>
      <c r="G10460" s="15"/>
      <c r="H10460" s="15"/>
      <c r="I10460" s="15"/>
      <c r="J10460" s="22">
        <v>1115</v>
      </c>
      <c r="K10460" s="15"/>
      <c r="L10460" s="17">
        <v>1</v>
      </c>
      <c r="M10460" s="17">
        <v>100</v>
      </c>
      <c r="N10460" s="17">
        <v>1</v>
      </c>
      <c r="O10460" s="18">
        <v>703</v>
      </c>
      <c r="P10460" s="18">
        <v>576.23</v>
      </c>
      <c r="Q10460" s="18">
        <v>562.4</v>
      </c>
      <c r="R10460" s="18">
        <v>460.98</v>
      </c>
      <c r="S10460" s="18">
        <v>478.04</v>
      </c>
      <c r="T10460" s="18">
        <v>391.84</v>
      </c>
      <c r="U10460" s="16"/>
      <c r="V10460" s="16"/>
      <c r="W10460" s="16" t="s">
        <v>40</v>
      </c>
      <c r="X10460" s="19">
        <v>0.10100000000000001</v>
      </c>
      <c r="Y10460" s="20">
        <v>3.0899999999999998E-4</v>
      </c>
      <c r="Z10460" s="21">
        <v>4601004287419</v>
      </c>
    </row>
    <row r="10461" spans="1:26" ht="12" customHeight="1" outlineLevel="3" x14ac:dyDescent="0.2">
      <c r="A10461" s="32" t="s">
        <v>19886</v>
      </c>
      <c r="B10461" s="74" t="s">
        <v>19887</v>
      </c>
      <c r="C10461" s="50"/>
      <c r="D10461" s="53">
        <f t="shared" si="163"/>
        <v>0</v>
      </c>
      <c r="E10461" s="60" t="str">
        <f>HYPERLINK("https://www.sds-group.ru/product/fonar-nalobnyy-sverhlegkiy-s-prischepkoy-rexant-75-8011/", "Инфо")</f>
        <v>Инфо</v>
      </c>
      <c r="F10461" s="34" t="s">
        <v>39</v>
      </c>
      <c r="G10461" s="33"/>
      <c r="H10461" s="33" t="s">
        <v>40</v>
      </c>
      <c r="I10461" s="33"/>
      <c r="J10461" s="35">
        <v>261</v>
      </c>
      <c r="K10461" s="33"/>
      <c r="L10461" s="35">
        <v>1</v>
      </c>
      <c r="M10461" s="35">
        <v>240</v>
      </c>
      <c r="N10461" s="35">
        <v>1</v>
      </c>
      <c r="O10461" s="36">
        <v>882.09</v>
      </c>
      <c r="P10461" s="36">
        <v>723.02</v>
      </c>
      <c r="Q10461" s="36">
        <v>705.67</v>
      </c>
      <c r="R10461" s="36">
        <v>578.41999999999996</v>
      </c>
      <c r="S10461" s="36">
        <v>599.82000000000005</v>
      </c>
      <c r="T10461" s="36">
        <v>491.66</v>
      </c>
      <c r="U10461" s="34"/>
      <c r="V10461" s="34"/>
      <c r="W10461" s="34" t="s">
        <v>40</v>
      </c>
      <c r="X10461" s="37">
        <v>0.109</v>
      </c>
      <c r="Y10461" s="38">
        <v>1.2489999999999999E-3</v>
      </c>
      <c r="Z10461" s="21">
        <v>4601004287440</v>
      </c>
    </row>
    <row r="10462" spans="1:26" ht="12" customHeight="1" outlineLevel="3" x14ac:dyDescent="0.2">
      <c r="A10462" s="14" t="s">
        <v>19888</v>
      </c>
      <c r="B10462" s="26" t="s">
        <v>19889</v>
      </c>
      <c r="C10462" s="52"/>
      <c r="D10462" s="55">
        <f t="shared" si="163"/>
        <v>0</v>
      </c>
      <c r="E10462" s="63" t="str">
        <f>HYPERLINK("https://www.sds-group.ru/product/fonar-nalobnyy-dvuhrezhimnyy-povorotnyy-s-evrovilkoy-zaryadka-ot-seti-220v-rexant-75-719/", "Инфо")</f>
        <v>Инфо</v>
      </c>
      <c r="F10462" s="16" t="s">
        <v>39</v>
      </c>
      <c r="G10462" s="15"/>
      <c r="H10462" s="15"/>
      <c r="I10462" s="15"/>
      <c r="J10462" s="22">
        <v>1750</v>
      </c>
      <c r="K10462" s="15" t="s">
        <v>1004</v>
      </c>
      <c r="L10462" s="17">
        <v>1</v>
      </c>
      <c r="M10462" s="17">
        <v>120</v>
      </c>
      <c r="N10462" s="17">
        <v>1</v>
      </c>
      <c r="O10462" s="18">
        <v>447.96</v>
      </c>
      <c r="P10462" s="18">
        <v>367.18</v>
      </c>
      <c r="Q10462" s="18">
        <v>358.37</v>
      </c>
      <c r="R10462" s="18">
        <v>293.75</v>
      </c>
      <c r="S10462" s="18">
        <v>304.61</v>
      </c>
      <c r="T10462" s="18">
        <v>249.68</v>
      </c>
      <c r="U10462" s="16"/>
      <c r="V10462" s="16"/>
      <c r="W10462" s="16" t="s">
        <v>40</v>
      </c>
      <c r="X10462" s="19">
        <v>0.16300000000000001</v>
      </c>
      <c r="Y10462" s="20">
        <v>9.6299999999999999E-4</v>
      </c>
      <c r="Z10462" s="21">
        <v>4601004193710</v>
      </c>
    </row>
    <row r="10463" spans="1:26" ht="12" customHeight="1" outlineLevel="3" x14ac:dyDescent="0.2">
      <c r="A10463" s="14" t="s">
        <v>19890</v>
      </c>
      <c r="B10463" s="26" t="s">
        <v>19891</v>
      </c>
      <c r="C10463" s="52"/>
      <c r="D10463" s="55">
        <f t="shared" si="163"/>
        <v>0</v>
      </c>
      <c r="E10463" s="63" t="str">
        <f>HYPERLINK("https://www.sds-group.ru/product/fonar-nalobnyy-trehrezhimnyy-povorotnyy-sverhlegkiy-sov-rexant-75-703/", "Инфо")</f>
        <v>Инфо</v>
      </c>
      <c r="F10463" s="16" t="s">
        <v>39</v>
      </c>
      <c r="G10463" s="15"/>
      <c r="H10463" s="15"/>
      <c r="I10463" s="15"/>
      <c r="J10463" s="22">
        <v>1555</v>
      </c>
      <c r="K10463" s="15"/>
      <c r="L10463" s="17">
        <v>5</v>
      </c>
      <c r="M10463" s="17">
        <v>72</v>
      </c>
      <c r="N10463" s="17">
        <v>5</v>
      </c>
      <c r="O10463" s="18">
        <v>394.57</v>
      </c>
      <c r="P10463" s="18">
        <v>323.42</v>
      </c>
      <c r="Q10463" s="18">
        <v>315.66000000000003</v>
      </c>
      <c r="R10463" s="18">
        <v>258.74</v>
      </c>
      <c r="S10463" s="18">
        <v>268.31</v>
      </c>
      <c r="T10463" s="18">
        <v>219.93</v>
      </c>
      <c r="U10463" s="16"/>
      <c r="V10463" s="16"/>
      <c r="W10463" s="16" t="s">
        <v>40</v>
      </c>
      <c r="X10463" s="19">
        <v>0.11700000000000001</v>
      </c>
      <c r="Y10463" s="20">
        <v>2.0010000000000002E-3</v>
      </c>
      <c r="Z10463" s="21">
        <v>4601004193758</v>
      </c>
    </row>
    <row r="10464" spans="1:26" ht="12" customHeight="1" outlineLevel="3" x14ac:dyDescent="0.2">
      <c r="A10464" s="14" t="s">
        <v>19892</v>
      </c>
      <c r="B10464" s="26" t="s">
        <v>19893</v>
      </c>
      <c r="C10464" s="52"/>
      <c r="D10464" s="55">
        <f t="shared" si="163"/>
        <v>0</v>
      </c>
      <c r="E10464" s="63" t="str">
        <f>HYPERLINK("https://www.sds-group.ru/product/fonar-nalobnyy-trehrezhimnyy-povorotnyy-sov-h-1-rexant-75-701/", "Инфо")</f>
        <v>Инфо</v>
      </c>
      <c r="F10464" s="16" t="s">
        <v>39</v>
      </c>
      <c r="G10464" s="15"/>
      <c r="H10464" s="15"/>
      <c r="I10464" s="15"/>
      <c r="J10464" s="22">
        <v>1140</v>
      </c>
      <c r="K10464" s="15"/>
      <c r="L10464" s="17">
        <v>1</v>
      </c>
      <c r="M10464" s="17">
        <v>100</v>
      </c>
      <c r="N10464" s="17">
        <v>1</v>
      </c>
      <c r="O10464" s="18">
        <v>527.29</v>
      </c>
      <c r="P10464" s="18">
        <v>432.2</v>
      </c>
      <c r="Q10464" s="18">
        <v>421.83</v>
      </c>
      <c r="R10464" s="18">
        <v>345.76</v>
      </c>
      <c r="S10464" s="18">
        <v>358.56</v>
      </c>
      <c r="T10464" s="18">
        <v>293.89999999999998</v>
      </c>
      <c r="U10464" s="16"/>
      <c r="V10464" s="16"/>
      <c r="W10464" s="16" t="s">
        <v>40</v>
      </c>
      <c r="X10464" s="19">
        <v>0.11</v>
      </c>
      <c r="Y10464" s="20">
        <v>1.181E-3</v>
      </c>
      <c r="Z10464" s="21">
        <v>4601004193734</v>
      </c>
    </row>
    <row r="10465" spans="1:26" ht="12" customHeight="1" outlineLevel="3" x14ac:dyDescent="0.2">
      <c r="A10465" s="14" t="s">
        <v>19894</v>
      </c>
      <c r="B10465" s="26" t="s">
        <v>19895</v>
      </c>
      <c r="C10465" s="52"/>
      <c r="D10465" s="55">
        <f t="shared" si="163"/>
        <v>0</v>
      </c>
      <c r="E10465" s="63" t="str">
        <f>HYPERLINK("https://www.sds-group.ru/product/fonar-nalobnyy-trehrezhimnyy-povorotnyy-sov-h-2-rexant-75-704/", "Инфо")</f>
        <v>Инфо</v>
      </c>
      <c r="F10465" s="16" t="s">
        <v>39</v>
      </c>
      <c r="G10465" s="15"/>
      <c r="H10465" s="15"/>
      <c r="I10465" s="15"/>
      <c r="J10465" s="22">
        <v>1541</v>
      </c>
      <c r="K10465" s="15"/>
      <c r="L10465" s="17">
        <v>5</v>
      </c>
      <c r="M10465" s="17">
        <v>200</v>
      </c>
      <c r="N10465" s="17">
        <v>5</v>
      </c>
      <c r="O10465" s="18">
        <v>210.35</v>
      </c>
      <c r="P10465" s="18">
        <v>172.42</v>
      </c>
      <c r="Q10465" s="18">
        <v>178.8</v>
      </c>
      <c r="R10465" s="18">
        <v>146.56</v>
      </c>
      <c r="S10465" s="18">
        <v>143.04</v>
      </c>
      <c r="T10465" s="18">
        <v>117.25</v>
      </c>
      <c r="U10465" s="16"/>
      <c r="V10465" s="16"/>
      <c r="W10465" s="16" t="s">
        <v>40</v>
      </c>
      <c r="X10465" s="19">
        <v>5.2999999999999999E-2</v>
      </c>
      <c r="Y10465" s="20">
        <v>3.1E-4</v>
      </c>
      <c r="Z10465" s="21">
        <v>4601004193765</v>
      </c>
    </row>
    <row r="10466" spans="1:26" ht="12" customHeight="1" outlineLevel="3" x14ac:dyDescent="0.2">
      <c r="A10466" s="14" t="s">
        <v>19896</v>
      </c>
      <c r="B10466" s="26" t="s">
        <v>19897</v>
      </c>
      <c r="C10466" s="52"/>
      <c r="D10466" s="55">
        <f t="shared" si="163"/>
        <v>0</v>
      </c>
      <c r="E10466" s="63" t="str">
        <f>HYPERLINK("https://www.sds-group.ru/product/fonar-nalobnyy-trehrezhimnyy-s-uluchshennym-reflektorom-sov-rexant-75-702/", "Инфо")</f>
        <v>Инфо</v>
      </c>
      <c r="F10466" s="16" t="s">
        <v>39</v>
      </c>
      <c r="G10466" s="15"/>
      <c r="H10466" s="15"/>
      <c r="I10466" s="15"/>
      <c r="J10466" s="22">
        <v>3361</v>
      </c>
      <c r="K10466" s="15"/>
      <c r="L10466" s="17">
        <v>10</v>
      </c>
      <c r="M10466" s="17">
        <v>144</v>
      </c>
      <c r="N10466" s="17">
        <v>10</v>
      </c>
      <c r="O10466" s="18">
        <v>183.26</v>
      </c>
      <c r="P10466" s="18">
        <v>150.21</v>
      </c>
      <c r="Q10466" s="18">
        <v>155.77000000000001</v>
      </c>
      <c r="R10466" s="18">
        <v>127.68</v>
      </c>
      <c r="S10466" s="18">
        <v>124.62</v>
      </c>
      <c r="T10466" s="18">
        <v>102.15</v>
      </c>
      <c r="U10466" s="16"/>
      <c r="V10466" s="16"/>
      <c r="W10466" s="16" t="s">
        <v>40</v>
      </c>
      <c r="X10466" s="19">
        <v>4.3999999999999997E-2</v>
      </c>
      <c r="Y10466" s="20">
        <v>3.0200000000000002E-4</v>
      </c>
      <c r="Z10466" s="21">
        <v>4601004193741</v>
      </c>
    </row>
    <row r="10467" spans="1:26" ht="12" customHeight="1" outlineLevel="3" x14ac:dyDescent="0.2">
      <c r="A10467" s="14" t="s">
        <v>19898</v>
      </c>
      <c r="B10467" s="26" t="s">
        <v>19899</v>
      </c>
      <c r="C10467" s="52"/>
      <c r="D10467" s="55">
        <f t="shared" si="163"/>
        <v>0</v>
      </c>
      <c r="E10467" s="63" t="str">
        <f>HYPERLINK("https://www.sds-group.ru/product/fonar-nalobnyy-chetyrehrezhimnyy-s-avariynym-krasnym-signalom-i-vstroennym-akkumulyatorom-rex-75-700/", "Инфо")</f>
        <v>Инфо</v>
      </c>
      <c r="F10467" s="16" t="s">
        <v>39</v>
      </c>
      <c r="G10467" s="15"/>
      <c r="H10467" s="15"/>
      <c r="I10467" s="15"/>
      <c r="J10467" s="17">
        <v>657</v>
      </c>
      <c r="K10467" s="15" t="s">
        <v>6939</v>
      </c>
      <c r="L10467" s="17">
        <v>1</v>
      </c>
      <c r="M10467" s="17">
        <v>96</v>
      </c>
      <c r="N10467" s="17">
        <v>1</v>
      </c>
      <c r="O10467" s="18">
        <v>609.85</v>
      </c>
      <c r="P10467" s="18">
        <v>499.88</v>
      </c>
      <c r="Q10467" s="18">
        <v>487.88</v>
      </c>
      <c r="R10467" s="18">
        <v>399.9</v>
      </c>
      <c r="S10467" s="18">
        <v>414.7</v>
      </c>
      <c r="T10467" s="18">
        <v>339.92</v>
      </c>
      <c r="U10467" s="16"/>
      <c r="V10467" s="16"/>
      <c r="W10467" s="16" t="s">
        <v>40</v>
      </c>
      <c r="X10467" s="19">
        <v>7.6999999999999999E-2</v>
      </c>
      <c r="Y10467" s="20">
        <v>8.4800000000000001E-4</v>
      </c>
      <c r="Z10467" s="21">
        <v>4601004193727</v>
      </c>
    </row>
    <row r="10468" spans="1:26" ht="12" customHeight="1" outlineLevel="3" x14ac:dyDescent="0.2">
      <c r="A10468" s="32" t="s">
        <v>19900</v>
      </c>
      <c r="B10468" s="74" t="s">
        <v>19901</v>
      </c>
      <c r="C10468" s="50"/>
      <c r="D10468" s="53">
        <f t="shared" si="163"/>
        <v>0</v>
      </c>
      <c r="E10468" s="60" t="str">
        <f>HYPERLINK("https://www.sds-group.ru/product/fonar-s-klipsoy-i-datchikom-dvizheniya-rexant-75-8004/", "Инфо")</f>
        <v>Инфо</v>
      </c>
      <c r="F10468" s="34" t="s">
        <v>39</v>
      </c>
      <c r="G10468" s="33"/>
      <c r="H10468" s="33" t="s">
        <v>40</v>
      </c>
      <c r="I10468" s="33"/>
      <c r="J10468" s="35">
        <v>519</v>
      </c>
      <c r="K10468" s="33"/>
      <c r="L10468" s="35">
        <v>1</v>
      </c>
      <c r="M10468" s="35">
        <v>100</v>
      </c>
      <c r="N10468" s="35">
        <v>1</v>
      </c>
      <c r="O10468" s="36">
        <v>1366.46</v>
      </c>
      <c r="P10468" s="36">
        <v>1120.05</v>
      </c>
      <c r="Q10468" s="36">
        <v>1079.5</v>
      </c>
      <c r="R10468" s="36">
        <v>884.84</v>
      </c>
      <c r="S10468" s="36">
        <v>929.19</v>
      </c>
      <c r="T10468" s="36">
        <v>761.63</v>
      </c>
      <c r="U10468" s="34"/>
      <c r="V10468" s="34"/>
      <c r="W10468" s="34" t="s">
        <v>40</v>
      </c>
      <c r="X10468" s="37">
        <v>8.1000000000000003E-2</v>
      </c>
      <c r="Y10468" s="38">
        <v>2.9599999999999998E-4</v>
      </c>
      <c r="Z10468" s="21">
        <v>4601004287372</v>
      </c>
    </row>
    <row r="10469" spans="1:26" ht="12.95" customHeight="1" outlineLevel="2" x14ac:dyDescent="0.2">
      <c r="A10469" s="76" t="s">
        <v>19902</v>
      </c>
      <c r="B10469" s="76"/>
      <c r="C10469" s="77"/>
      <c r="D10469" s="58"/>
      <c r="E10469" s="68"/>
      <c r="F10469" s="13"/>
      <c r="G10469" s="13"/>
      <c r="H10469" s="13"/>
      <c r="I10469" s="13"/>
      <c r="J10469" s="13"/>
      <c r="K10469" s="13"/>
      <c r="L10469" s="13"/>
      <c r="M10469" s="13"/>
      <c r="N10469" s="13"/>
      <c r="O10469" s="13"/>
      <c r="P10469" s="13"/>
      <c r="Q10469" s="13"/>
      <c r="R10469" s="13"/>
      <c r="S10469" s="13"/>
      <c r="T10469" s="13"/>
      <c r="U10469" s="13"/>
      <c r="V10469" s="13"/>
      <c r="W10469" s="13"/>
      <c r="X10469" s="13"/>
      <c r="Y10469" s="13"/>
      <c r="Z10469" s="13"/>
    </row>
    <row r="10470" spans="1:26" ht="12" customHeight="1" outlineLevel="3" x14ac:dyDescent="0.2">
      <c r="A10470" s="14" t="s">
        <v>19903</v>
      </c>
      <c r="B10470" s="26" t="s">
        <v>19904</v>
      </c>
      <c r="C10470" s="52"/>
      <c r="D10470" s="55">
        <f t="shared" si="163"/>
        <v>0</v>
      </c>
      <c r="E10470" s="63" t="str">
        <f>HYPERLINK("https://www.sds-group.ru/product/fonar-podsvetka-samokleyaschiysya-sov-rexant-75-705/", "Инфо")</f>
        <v>Инфо</v>
      </c>
      <c r="F10470" s="16" t="s">
        <v>39</v>
      </c>
      <c r="G10470" s="15"/>
      <c r="H10470" s="15"/>
      <c r="I10470" s="15"/>
      <c r="J10470" s="22">
        <v>1616</v>
      </c>
      <c r="K10470" s="15"/>
      <c r="L10470" s="17">
        <v>10</v>
      </c>
      <c r="M10470" s="17">
        <v>200</v>
      </c>
      <c r="N10470" s="17">
        <v>10</v>
      </c>
      <c r="O10470" s="18">
        <v>166.14</v>
      </c>
      <c r="P10470" s="18">
        <v>136.18</v>
      </c>
      <c r="Q10470" s="18">
        <v>141.22</v>
      </c>
      <c r="R10470" s="18">
        <v>115.75</v>
      </c>
      <c r="S10470" s="18">
        <v>112.98</v>
      </c>
      <c r="T10470" s="18">
        <v>92.61</v>
      </c>
      <c r="U10470" s="16"/>
      <c r="V10470" s="16"/>
      <c r="W10470" s="16" t="s">
        <v>40</v>
      </c>
      <c r="X10470" s="19">
        <v>4.2000000000000003E-2</v>
      </c>
      <c r="Y10470" s="20">
        <v>2.2100000000000001E-4</v>
      </c>
      <c r="Z10470" s="21">
        <v>4601004193772</v>
      </c>
    </row>
    <row r="10471" spans="1:26" ht="12.95" customHeight="1" outlineLevel="2" x14ac:dyDescent="0.2">
      <c r="A10471" s="76" t="s">
        <v>19905</v>
      </c>
      <c r="B10471" s="76"/>
      <c r="C10471" s="77"/>
      <c r="D10471" s="58"/>
      <c r="E10471" s="68"/>
      <c r="F10471" s="13"/>
      <c r="G10471" s="13"/>
      <c r="H10471" s="13"/>
      <c r="I10471" s="13"/>
      <c r="J10471" s="13"/>
      <c r="K10471" s="13"/>
      <c r="L10471" s="13"/>
      <c r="M10471" s="13"/>
      <c r="N10471" s="13"/>
      <c r="O10471" s="13"/>
      <c r="P10471" s="13"/>
      <c r="Q10471" s="13"/>
      <c r="R10471" s="13"/>
      <c r="S10471" s="13"/>
      <c r="T10471" s="13"/>
      <c r="U10471" s="13"/>
      <c r="V10471" s="13"/>
      <c r="W10471" s="13"/>
      <c r="X10471" s="13"/>
      <c r="Y10471" s="13"/>
      <c r="Z10471" s="13"/>
    </row>
    <row r="10472" spans="1:26" ht="12" customHeight="1" outlineLevel="3" x14ac:dyDescent="0.2">
      <c r="A10472" s="14" t="s">
        <v>19906</v>
      </c>
      <c r="B10472" s="26" t="s">
        <v>19907</v>
      </c>
      <c r="C10472" s="52"/>
      <c r="D10472" s="55">
        <f t="shared" si="163"/>
        <v>0</v>
      </c>
      <c r="E10472" s="63" t="str">
        <f>HYPERLINK("https://www.sds-group.ru/product/fonar-prozhektornyy-new-age-trehrezhimnyy-v-protivoudarnom-korpuse-s-funktsiey-power-bank-re-75-1700/", "Инфо")</f>
        <v>Инфо</v>
      </c>
      <c r="F10472" s="16" t="s">
        <v>39</v>
      </c>
      <c r="G10472" s="15"/>
      <c r="H10472" s="15"/>
      <c r="I10472" s="15"/>
      <c r="J10472" s="16" t="s">
        <v>100</v>
      </c>
      <c r="K10472" s="15" t="s">
        <v>1055</v>
      </c>
      <c r="L10472" s="17">
        <v>1</v>
      </c>
      <c r="M10472" s="17">
        <v>20</v>
      </c>
      <c r="N10472" s="17">
        <v>1</v>
      </c>
      <c r="O10472" s="18">
        <v>1454.73</v>
      </c>
      <c r="P10472" s="18">
        <v>1192.4000000000001</v>
      </c>
      <c r="Q10472" s="18">
        <v>1149.24</v>
      </c>
      <c r="R10472" s="18">
        <v>942</v>
      </c>
      <c r="S10472" s="18">
        <v>989.22</v>
      </c>
      <c r="T10472" s="18">
        <v>810.84</v>
      </c>
      <c r="U10472" s="16"/>
      <c r="V10472" s="16"/>
      <c r="W10472" s="16" t="s">
        <v>40</v>
      </c>
      <c r="X10472" s="19">
        <v>0.42199999999999999</v>
      </c>
      <c r="Y10472" s="20">
        <v>2.1580000000000002E-3</v>
      </c>
      <c r="Z10472" s="21">
        <v>4601004253308</v>
      </c>
    </row>
    <row r="10473" spans="1:26" ht="12" customHeight="1" outlineLevel="3" x14ac:dyDescent="0.2">
      <c r="A10473" s="14" t="s">
        <v>19908</v>
      </c>
      <c r="B10473" s="26" t="s">
        <v>19909</v>
      </c>
      <c r="C10473" s="52"/>
      <c r="D10473" s="55">
        <f t="shared" si="163"/>
        <v>0</v>
      </c>
      <c r="E10473" s="63" t="str">
        <f>HYPERLINK("https://www.sds-group.ru/product/fonar-prozhektornyy-skladnoy-s-polimernym-akkumulyatorom-i-funktsiey-power-bank-rexant-75-8000/", "Инфо")</f>
        <v>Инфо</v>
      </c>
      <c r="F10473" s="16" t="s">
        <v>39</v>
      </c>
      <c r="G10473" s="15"/>
      <c r="H10473" s="15"/>
      <c r="I10473" s="15"/>
      <c r="J10473" s="17">
        <v>389</v>
      </c>
      <c r="K10473" s="15" t="s">
        <v>662</v>
      </c>
      <c r="L10473" s="17">
        <v>1</v>
      </c>
      <c r="M10473" s="17">
        <v>10</v>
      </c>
      <c r="N10473" s="17">
        <v>1</v>
      </c>
      <c r="O10473" s="18">
        <v>2657.45</v>
      </c>
      <c r="P10473" s="18">
        <v>2178.2399999999998</v>
      </c>
      <c r="Q10473" s="18">
        <v>2046.24</v>
      </c>
      <c r="R10473" s="18">
        <v>1677.25</v>
      </c>
      <c r="S10473" s="18">
        <v>1807.07</v>
      </c>
      <c r="T10473" s="18">
        <v>1481.2</v>
      </c>
      <c r="U10473" s="16"/>
      <c r="V10473" s="16"/>
      <c r="W10473" s="16" t="s">
        <v>40</v>
      </c>
      <c r="X10473" s="19">
        <v>0.68500000000000005</v>
      </c>
      <c r="Y10473" s="20">
        <v>2.8E-3</v>
      </c>
      <c r="Z10473" s="21">
        <v>4601004287471</v>
      </c>
    </row>
    <row r="10474" spans="1:26" ht="12" customHeight="1" outlineLevel="3" x14ac:dyDescent="0.2">
      <c r="A10474" s="14" t="s">
        <v>19910</v>
      </c>
      <c r="B10474" s="26" t="s">
        <v>19911</v>
      </c>
      <c r="C10474" s="52"/>
      <c r="D10474" s="55">
        <f t="shared" si="163"/>
        <v>0</v>
      </c>
      <c r="E10474" s="63" t="str">
        <f>HYPERLINK("https://www.sds-group.ru/product/fonar-prozhektornyy-skladnoy-s-funktsiey-power-bank-rexant-75-8001/", "Инфо")</f>
        <v>Инфо</v>
      </c>
      <c r="F10474" s="16" t="s">
        <v>39</v>
      </c>
      <c r="G10474" s="15"/>
      <c r="H10474" s="15"/>
      <c r="I10474" s="15"/>
      <c r="J10474" s="17">
        <v>87</v>
      </c>
      <c r="K10474" s="15" t="s">
        <v>6939</v>
      </c>
      <c r="L10474" s="17">
        <v>1</v>
      </c>
      <c r="M10474" s="17">
        <v>10</v>
      </c>
      <c r="N10474" s="17">
        <v>1</v>
      </c>
      <c r="O10474" s="18">
        <v>2857.96</v>
      </c>
      <c r="P10474" s="18">
        <v>2342.59</v>
      </c>
      <c r="Q10474" s="18">
        <v>2086.31</v>
      </c>
      <c r="R10474" s="18">
        <v>1710.09</v>
      </c>
      <c r="S10474" s="18">
        <v>1943.41</v>
      </c>
      <c r="T10474" s="18">
        <v>1592.96</v>
      </c>
      <c r="U10474" s="16"/>
      <c r="V10474" s="16"/>
      <c r="W10474" s="16" t="s">
        <v>40</v>
      </c>
      <c r="X10474" s="19">
        <v>0.78</v>
      </c>
      <c r="Y10474" s="20">
        <v>3.1020000000000002E-3</v>
      </c>
      <c r="Z10474" s="21">
        <v>4601004287341</v>
      </c>
    </row>
    <row r="10475" spans="1:26" ht="12" customHeight="1" outlineLevel="3" x14ac:dyDescent="0.2">
      <c r="A10475" s="32" t="s">
        <v>19912</v>
      </c>
      <c r="B10475" s="74" t="s">
        <v>19913</v>
      </c>
      <c r="C10475" s="50"/>
      <c r="D10475" s="53">
        <f t="shared" si="163"/>
        <v>0</v>
      </c>
      <c r="E10475" s="60" t="str">
        <f>HYPERLINK("https://www.sds-group.ru/product/fonar-prozhektornyy-dvuhrezhimnyy-s-naplechnym-remnem-i-vstroennoy-solnechnoy-batareey-rexant-75-706/", "Инфо")</f>
        <v>Инфо</v>
      </c>
      <c r="F10475" s="34" t="s">
        <v>39</v>
      </c>
      <c r="G10475" s="33"/>
      <c r="H10475" s="33" t="s">
        <v>40</v>
      </c>
      <c r="I10475" s="33"/>
      <c r="J10475" s="35">
        <v>28</v>
      </c>
      <c r="K10475" s="33"/>
      <c r="L10475" s="35">
        <v>1</v>
      </c>
      <c r="M10475" s="35">
        <v>60</v>
      </c>
      <c r="N10475" s="35">
        <v>1</v>
      </c>
      <c r="O10475" s="36">
        <v>584.4</v>
      </c>
      <c r="P10475" s="36">
        <v>479.02</v>
      </c>
      <c r="Q10475" s="36">
        <v>409.08</v>
      </c>
      <c r="R10475" s="36">
        <v>335.31</v>
      </c>
      <c r="S10475" s="36">
        <v>397.39</v>
      </c>
      <c r="T10475" s="36">
        <v>325.73</v>
      </c>
      <c r="U10475" s="34"/>
      <c r="V10475" s="34"/>
      <c r="W10475" s="34"/>
      <c r="X10475" s="37">
        <v>0.35899999999999999</v>
      </c>
      <c r="Y10475" s="38">
        <v>2.088E-3</v>
      </c>
      <c r="Z10475" s="21">
        <v>4601004193789</v>
      </c>
    </row>
    <row r="10476" spans="1:26" ht="12" customHeight="1" outlineLevel="3" x14ac:dyDescent="0.2">
      <c r="A10476" s="32" t="s">
        <v>19914</v>
      </c>
      <c r="B10476" s="74" t="s">
        <v>19915</v>
      </c>
      <c r="C10476" s="50"/>
      <c r="D10476" s="53">
        <f t="shared" si="163"/>
        <v>0</v>
      </c>
      <c r="E10476" s="60" t="str">
        <f>HYPERLINK("https://www.sds-group.ru/product/fonar-prozhektornyy-dvuhrezhimnyy-s-solnechnoy-batareey-indikatorom-zaryadki-i-funktsiey-powe-75-721/", "Инфо")</f>
        <v>Инфо</v>
      </c>
      <c r="F10476" s="34" t="s">
        <v>39</v>
      </c>
      <c r="G10476" s="33"/>
      <c r="H10476" s="33" t="s">
        <v>40</v>
      </c>
      <c r="I10476" s="33"/>
      <c r="J10476" s="35">
        <v>353</v>
      </c>
      <c r="K10476" s="33"/>
      <c r="L10476" s="35">
        <v>1</v>
      </c>
      <c r="M10476" s="35">
        <v>40</v>
      </c>
      <c r="N10476" s="35">
        <v>1</v>
      </c>
      <c r="O10476" s="36">
        <v>1832.63</v>
      </c>
      <c r="P10476" s="36">
        <v>1502.16</v>
      </c>
      <c r="Q10476" s="36">
        <v>1447.78</v>
      </c>
      <c r="R10476" s="36">
        <v>1186.7</v>
      </c>
      <c r="S10476" s="36">
        <v>1246.19</v>
      </c>
      <c r="T10476" s="36">
        <v>1021.47</v>
      </c>
      <c r="U10476" s="34"/>
      <c r="V10476" s="34"/>
      <c r="W10476" s="34" t="s">
        <v>40</v>
      </c>
      <c r="X10476" s="37">
        <v>0.56599999999999995</v>
      </c>
      <c r="Y10476" s="38">
        <v>4.0499999999999998E-3</v>
      </c>
      <c r="Z10476" s="21">
        <v>4601004193697</v>
      </c>
    </row>
    <row r="10477" spans="1:26" ht="12" customHeight="1" outlineLevel="3" x14ac:dyDescent="0.2">
      <c r="A10477" s="14" t="s">
        <v>19916</v>
      </c>
      <c r="B10477" s="26" t="s">
        <v>19917</v>
      </c>
      <c r="C10477" s="52"/>
      <c r="D10477" s="55">
        <f t="shared" si="163"/>
        <v>0</v>
      </c>
      <c r="E10477" s="63" t="str">
        <f>HYPERLINK("https://www.sds-group.ru/product/fonar-prozhektornyy-dvuhrezhimnyy-s-solnechnoy-panelyu-usb-zaryadkoy-i-naplechnym-remnem-rex-75-7822/", "Инфо")</f>
        <v>Инфо</v>
      </c>
      <c r="F10477" s="16" t="s">
        <v>39</v>
      </c>
      <c r="G10477" s="15"/>
      <c r="H10477" s="15"/>
      <c r="I10477" s="15"/>
      <c r="J10477" s="17">
        <v>543</v>
      </c>
      <c r="K10477" s="15"/>
      <c r="L10477" s="17">
        <v>1</v>
      </c>
      <c r="M10477" s="17">
        <v>40</v>
      </c>
      <c r="N10477" s="17">
        <v>1</v>
      </c>
      <c r="O10477" s="18">
        <v>1401.43</v>
      </c>
      <c r="P10477" s="18">
        <v>1148.71</v>
      </c>
      <c r="Q10477" s="18">
        <v>1107.1300000000001</v>
      </c>
      <c r="R10477" s="18">
        <v>907.48</v>
      </c>
      <c r="S10477" s="18">
        <v>952.97</v>
      </c>
      <c r="T10477" s="18">
        <v>781.12</v>
      </c>
      <c r="U10477" s="16"/>
      <c r="V10477" s="16"/>
      <c r="W10477" s="16" t="s">
        <v>40</v>
      </c>
      <c r="X10477" s="19">
        <v>0.47799999999999998</v>
      </c>
      <c r="Y10477" s="20">
        <v>2.5279999999999999E-3</v>
      </c>
      <c r="Z10477" s="21">
        <v>4601004201422</v>
      </c>
    </row>
    <row r="10478" spans="1:26" ht="12" customHeight="1" outlineLevel="3" x14ac:dyDescent="0.2">
      <c r="A10478" s="14" t="s">
        <v>19918</v>
      </c>
      <c r="B10478" s="26" t="s">
        <v>19919</v>
      </c>
      <c r="C10478" s="52"/>
      <c r="D10478" s="55">
        <f t="shared" si="163"/>
        <v>0</v>
      </c>
      <c r="E10478" s="63" t="str">
        <f>HYPERLINK("https://www.sds-group.ru/product/fonar-prozhektornyy-dvuhrezhimnyy-so-vstroennym-akkumulyatorom-rexant-75-7823/", "Инфо")</f>
        <v>Инфо</v>
      </c>
      <c r="F10478" s="16" t="s">
        <v>39</v>
      </c>
      <c r="G10478" s="15"/>
      <c r="H10478" s="15"/>
      <c r="I10478" s="15"/>
      <c r="J10478" s="16" t="s">
        <v>100</v>
      </c>
      <c r="K10478" s="15" t="s">
        <v>6744</v>
      </c>
      <c r="L10478" s="17">
        <v>1</v>
      </c>
      <c r="M10478" s="17">
        <v>30</v>
      </c>
      <c r="N10478" s="17">
        <v>1</v>
      </c>
      <c r="O10478" s="18">
        <v>1401.43</v>
      </c>
      <c r="P10478" s="18">
        <v>1148.71</v>
      </c>
      <c r="Q10478" s="18">
        <v>1107.1300000000001</v>
      </c>
      <c r="R10478" s="18">
        <v>907.48</v>
      </c>
      <c r="S10478" s="18">
        <v>952.97</v>
      </c>
      <c r="T10478" s="18">
        <v>781.12</v>
      </c>
      <c r="U10478" s="16"/>
      <c r="V10478" s="16"/>
      <c r="W10478" s="16" t="s">
        <v>40</v>
      </c>
      <c r="X10478" s="19">
        <v>0.69199999999999995</v>
      </c>
      <c r="Y10478" s="20">
        <v>1.0250000000000001E-3</v>
      </c>
      <c r="Z10478" s="21">
        <v>4601004201439</v>
      </c>
    </row>
    <row r="10479" spans="1:26" ht="12" customHeight="1" outlineLevel="3" x14ac:dyDescent="0.2">
      <c r="A10479" s="14" t="s">
        <v>19920</v>
      </c>
      <c r="B10479" s="26" t="s">
        <v>19921</v>
      </c>
      <c r="C10479" s="52"/>
      <c r="D10479" s="55">
        <f t="shared" si="163"/>
        <v>0</v>
      </c>
      <c r="E10479" s="63" t="str">
        <f>HYPERLINK("https://www.sds-group.ru/product/fonar-prozhektornyy-pyatirezhimnyy-s-naplechnym-remnem-i-funktsiey-power-bank-sov-rexant-75-7824/", "Инфо")</f>
        <v>Инфо</v>
      </c>
      <c r="F10479" s="16" t="s">
        <v>39</v>
      </c>
      <c r="G10479" s="15"/>
      <c r="H10479" s="15"/>
      <c r="I10479" s="15"/>
      <c r="J10479" s="16" t="s">
        <v>100</v>
      </c>
      <c r="K10479" s="15"/>
      <c r="L10479" s="17">
        <v>1</v>
      </c>
      <c r="M10479" s="17">
        <v>30</v>
      </c>
      <c r="N10479" s="17">
        <v>1</v>
      </c>
      <c r="O10479" s="18">
        <v>1929.78</v>
      </c>
      <c r="P10479" s="18">
        <v>1581.79</v>
      </c>
      <c r="Q10479" s="18">
        <v>1524.53</v>
      </c>
      <c r="R10479" s="18">
        <v>1249.6099999999999</v>
      </c>
      <c r="S10479" s="18">
        <v>1312.25</v>
      </c>
      <c r="T10479" s="18">
        <v>1075.6099999999999</v>
      </c>
      <c r="U10479" s="16"/>
      <c r="V10479" s="16"/>
      <c r="W10479" s="16" t="s">
        <v>40</v>
      </c>
      <c r="X10479" s="19">
        <v>0.69099999999999995</v>
      </c>
      <c r="Y10479" s="20">
        <v>5.9630000000000004E-3</v>
      </c>
      <c r="Z10479" s="21">
        <v>4601004208216</v>
      </c>
    </row>
    <row r="10480" spans="1:26" ht="12.95" customHeight="1" outlineLevel="2" x14ac:dyDescent="0.2">
      <c r="A10480" s="76" t="s">
        <v>19922</v>
      </c>
      <c r="B10480" s="76"/>
      <c r="C10480" s="77"/>
      <c r="D10480" s="58"/>
      <c r="E10480" s="68"/>
      <c r="F10480" s="13"/>
      <c r="G10480" s="13"/>
      <c r="H10480" s="13"/>
      <c r="I10480" s="13"/>
      <c r="J10480" s="13"/>
      <c r="K10480" s="13"/>
      <c r="L10480" s="13"/>
      <c r="M10480" s="13"/>
      <c r="N10480" s="13"/>
      <c r="O10480" s="13"/>
      <c r="P10480" s="13"/>
      <c r="Q10480" s="13"/>
      <c r="R10480" s="13"/>
      <c r="S10480" s="13"/>
      <c r="T10480" s="13"/>
      <c r="U10480" s="13"/>
      <c r="V10480" s="13"/>
      <c r="W10480" s="13"/>
      <c r="X10480" s="13"/>
      <c r="Y10480" s="13"/>
      <c r="Z10480" s="13"/>
    </row>
    <row r="10481" spans="1:26" ht="12" customHeight="1" outlineLevel="3" x14ac:dyDescent="0.2">
      <c r="A10481" s="32" t="s">
        <v>19923</v>
      </c>
      <c r="B10481" s="74" t="s">
        <v>19924</v>
      </c>
      <c r="C10481" s="50"/>
      <c r="D10481" s="53">
        <f t="shared" si="163"/>
        <v>0</v>
      </c>
      <c r="E10481" s="60" t="str">
        <f>HYPERLINK("https://www.sds-group.ru/product/fonar-kempingovyy-razdvizhnoy-antimoskitnyy-na-podvese-rexant-75-8006/", "Инфо")</f>
        <v>Инфо</v>
      </c>
      <c r="F10481" s="34" t="s">
        <v>39</v>
      </c>
      <c r="G10481" s="33"/>
      <c r="H10481" s="33" t="s">
        <v>40</v>
      </c>
      <c r="I10481" s="33"/>
      <c r="J10481" s="35">
        <v>306</v>
      </c>
      <c r="K10481" s="33"/>
      <c r="L10481" s="35">
        <v>1</v>
      </c>
      <c r="M10481" s="35">
        <v>48</v>
      </c>
      <c r="N10481" s="35">
        <v>1</v>
      </c>
      <c r="O10481" s="36">
        <v>824.96</v>
      </c>
      <c r="P10481" s="36">
        <v>676.2</v>
      </c>
      <c r="Q10481" s="36">
        <v>577.47</v>
      </c>
      <c r="R10481" s="36">
        <v>473.34</v>
      </c>
      <c r="S10481" s="36">
        <v>560.97</v>
      </c>
      <c r="T10481" s="36">
        <v>459.81</v>
      </c>
      <c r="U10481" s="34"/>
      <c r="V10481" s="34"/>
      <c r="W10481" s="34"/>
      <c r="X10481" s="37">
        <v>0.28899999999999998</v>
      </c>
      <c r="Y10481" s="38">
        <v>1.3799999999999999E-3</v>
      </c>
      <c r="Z10481" s="21">
        <v>4601004287396</v>
      </c>
    </row>
    <row r="10482" spans="1:26" ht="12" customHeight="1" outlineLevel="3" x14ac:dyDescent="0.2">
      <c r="A10482" s="14" t="s">
        <v>19925</v>
      </c>
      <c r="B10482" s="26" t="s">
        <v>19926</v>
      </c>
      <c r="C10482" s="52"/>
      <c r="D10482" s="55">
        <f t="shared" si="163"/>
        <v>0</v>
      </c>
      <c r="E10482" s="63" t="str">
        <f>HYPERLINK("https://www.sds-group.ru/product/fonar-kempingovyy-razdvizhnoy-na-podvese-rexant-75-8007/", "Инфо")</f>
        <v>Инфо</v>
      </c>
      <c r="F10482" s="16" t="s">
        <v>39</v>
      </c>
      <c r="G10482" s="15"/>
      <c r="H10482" s="15"/>
      <c r="I10482" s="15"/>
      <c r="J10482" s="16" t="s">
        <v>100</v>
      </c>
      <c r="K10482" s="15" t="s">
        <v>1055</v>
      </c>
      <c r="L10482" s="17">
        <v>1</v>
      </c>
      <c r="M10482" s="17">
        <v>48</v>
      </c>
      <c r="N10482" s="17">
        <v>1</v>
      </c>
      <c r="O10482" s="18">
        <v>458.29</v>
      </c>
      <c r="P10482" s="18">
        <v>375.65</v>
      </c>
      <c r="Q10482" s="18">
        <v>320.8</v>
      </c>
      <c r="R10482" s="18">
        <v>262.95</v>
      </c>
      <c r="S10482" s="18">
        <v>311.64</v>
      </c>
      <c r="T10482" s="18">
        <v>255.44</v>
      </c>
      <c r="U10482" s="16"/>
      <c r="V10482" s="16"/>
      <c r="W10482" s="16"/>
      <c r="X10482" s="19">
        <v>0.28899999999999998</v>
      </c>
      <c r="Y10482" s="20">
        <v>1.7279999999999999E-3</v>
      </c>
      <c r="Z10482" s="21">
        <v>4601004287402</v>
      </c>
    </row>
    <row r="10483" spans="1:26" ht="12" customHeight="1" outlineLevel="3" x14ac:dyDescent="0.2">
      <c r="A10483" s="32" t="s">
        <v>19927</v>
      </c>
      <c r="B10483" s="74" t="s">
        <v>19928</v>
      </c>
      <c r="C10483" s="50"/>
      <c r="D10483" s="53">
        <f t="shared" si="163"/>
        <v>0</v>
      </c>
      <c r="E10483" s="60" t="str">
        <f>HYPERLINK("https://www.sds-group.ru/product/fonar-kempingovyy-razdvizhnoy-s-ruchkoy-rexant-75-8005/", "Инфо")</f>
        <v>Инфо</v>
      </c>
      <c r="F10483" s="34" t="s">
        <v>39</v>
      </c>
      <c r="G10483" s="33"/>
      <c r="H10483" s="33" t="s">
        <v>40</v>
      </c>
      <c r="I10483" s="33"/>
      <c r="J10483" s="35">
        <v>38</v>
      </c>
      <c r="K10483" s="33"/>
      <c r="L10483" s="35">
        <v>1</v>
      </c>
      <c r="M10483" s="35">
        <v>48</v>
      </c>
      <c r="N10483" s="35">
        <v>1</v>
      </c>
      <c r="O10483" s="36">
        <v>648.02</v>
      </c>
      <c r="P10483" s="36">
        <v>531.16</v>
      </c>
      <c r="Q10483" s="36">
        <v>453.61</v>
      </c>
      <c r="R10483" s="36">
        <v>371.81</v>
      </c>
      <c r="S10483" s="36">
        <v>440.65</v>
      </c>
      <c r="T10483" s="36">
        <v>361.19</v>
      </c>
      <c r="U10483" s="34"/>
      <c r="V10483" s="34"/>
      <c r="W10483" s="34"/>
      <c r="X10483" s="37">
        <v>0.29499999999999998</v>
      </c>
      <c r="Y10483" s="38">
        <v>1.464E-3</v>
      </c>
      <c r="Z10483" s="21">
        <v>4601004287389</v>
      </c>
    </row>
    <row r="10484" spans="1:26" ht="12" customHeight="1" outlineLevel="3" x14ac:dyDescent="0.2">
      <c r="A10484" s="14" t="s">
        <v>19929</v>
      </c>
      <c r="B10484" s="26" t="s">
        <v>19930</v>
      </c>
      <c r="C10484" s="52"/>
      <c r="D10484" s="55">
        <f t="shared" si="163"/>
        <v>0</v>
      </c>
      <c r="E10484" s="63" t="str">
        <f>HYPERLINK("https://www.sds-group.ru/product/fonar-kempingovyy-s-solnechnoy-batareey-i-kryukom-rexant-75-8009/", "Инфо")</f>
        <v>Инфо</v>
      </c>
      <c r="F10484" s="16" t="s">
        <v>39</v>
      </c>
      <c r="G10484" s="15"/>
      <c r="H10484" s="15"/>
      <c r="I10484" s="15"/>
      <c r="J10484" s="17">
        <v>222</v>
      </c>
      <c r="K10484" s="15"/>
      <c r="L10484" s="17">
        <v>1</v>
      </c>
      <c r="M10484" s="17">
        <v>36</v>
      </c>
      <c r="N10484" s="17">
        <v>1</v>
      </c>
      <c r="O10484" s="18">
        <v>808.52</v>
      </c>
      <c r="P10484" s="18">
        <v>662.72</v>
      </c>
      <c r="Q10484" s="18">
        <v>646.82000000000005</v>
      </c>
      <c r="R10484" s="18">
        <v>530.17999999999995</v>
      </c>
      <c r="S10484" s="18">
        <v>549.79</v>
      </c>
      <c r="T10484" s="18">
        <v>450.65</v>
      </c>
      <c r="U10484" s="16"/>
      <c r="V10484" s="16"/>
      <c r="W10484" s="16" t="s">
        <v>40</v>
      </c>
      <c r="X10484" s="19">
        <v>0.318</v>
      </c>
      <c r="Y10484" s="20">
        <v>2.7009999999999998E-3</v>
      </c>
      <c r="Z10484" s="21">
        <v>4601004287426</v>
      </c>
    </row>
    <row r="10485" spans="1:26" ht="12" customHeight="1" outlineLevel="3" x14ac:dyDescent="0.2">
      <c r="A10485" s="14" t="s">
        <v>19931</v>
      </c>
      <c r="B10485" s="26" t="s">
        <v>19932</v>
      </c>
      <c r="C10485" s="52"/>
      <c r="D10485" s="55">
        <f t="shared" si="163"/>
        <v>0</v>
      </c>
      <c r="E10485" s="63" t="str">
        <f>HYPERLINK("https://www.sds-group.ru/product/fonar-kempingovyy-trehrezhimnyy-kruglyy-rexant-75-720/", "Инфо")</f>
        <v>Инфо</v>
      </c>
      <c r="F10485" s="16" t="s">
        <v>39</v>
      </c>
      <c r="G10485" s="15"/>
      <c r="H10485" s="15"/>
      <c r="I10485" s="15"/>
      <c r="J10485" s="16" t="s">
        <v>100</v>
      </c>
      <c r="K10485" s="15" t="s">
        <v>1055</v>
      </c>
      <c r="L10485" s="17">
        <v>5</v>
      </c>
      <c r="M10485" s="17">
        <v>120</v>
      </c>
      <c r="N10485" s="17">
        <v>5</v>
      </c>
      <c r="O10485" s="18">
        <v>330.95</v>
      </c>
      <c r="P10485" s="18">
        <v>271.27</v>
      </c>
      <c r="Q10485" s="18">
        <v>281.31</v>
      </c>
      <c r="R10485" s="18">
        <v>230.58</v>
      </c>
      <c r="S10485" s="18">
        <v>225.05</v>
      </c>
      <c r="T10485" s="18">
        <v>184.47</v>
      </c>
      <c r="U10485" s="16"/>
      <c r="V10485" s="16"/>
      <c r="W10485" s="16" t="s">
        <v>40</v>
      </c>
      <c r="X10485" s="19">
        <v>0.09</v>
      </c>
      <c r="Y10485" s="20">
        <v>7.1900000000000002E-4</v>
      </c>
      <c r="Z10485" s="21">
        <v>4601004193703</v>
      </c>
    </row>
    <row r="10486" spans="1:26" ht="12" customHeight="1" outlineLevel="3" x14ac:dyDescent="0.2">
      <c r="A10486" s="32" t="s">
        <v>19933</v>
      </c>
      <c r="B10486" s="74" t="s">
        <v>19934</v>
      </c>
      <c r="C10486" s="50"/>
      <c r="D10486" s="53">
        <f t="shared" si="163"/>
        <v>0</v>
      </c>
      <c r="E10486" s="60" t="str">
        <f>HYPERLINK("https://www.sds-group.ru/product/fonar-kempingovyy-chetyrehrezhimnyy-s-reguliruemym-fokusom-i-skladnym-podvesom-rexant-75-723/", "Инфо")</f>
        <v>Инфо</v>
      </c>
      <c r="F10486" s="34" t="s">
        <v>39</v>
      </c>
      <c r="G10486" s="33"/>
      <c r="H10486" s="33" t="s">
        <v>40</v>
      </c>
      <c r="I10486" s="33"/>
      <c r="J10486" s="35">
        <v>732</v>
      </c>
      <c r="K10486" s="33"/>
      <c r="L10486" s="35">
        <v>1</v>
      </c>
      <c r="M10486" s="35">
        <v>80</v>
      </c>
      <c r="N10486" s="35">
        <v>1</v>
      </c>
      <c r="O10486" s="36">
        <v>298.72000000000003</v>
      </c>
      <c r="P10486" s="36">
        <v>244.85</v>
      </c>
      <c r="Q10486" s="36">
        <v>209.1</v>
      </c>
      <c r="R10486" s="36">
        <v>171.39</v>
      </c>
      <c r="S10486" s="36">
        <v>203.13</v>
      </c>
      <c r="T10486" s="36">
        <v>166.5</v>
      </c>
      <c r="U10486" s="34"/>
      <c r="V10486" s="34"/>
      <c r="W10486" s="34"/>
      <c r="X10486" s="37">
        <v>0.107</v>
      </c>
      <c r="Y10486" s="38">
        <v>7.8600000000000002E-4</v>
      </c>
      <c r="Z10486" s="21">
        <v>4601004193673</v>
      </c>
    </row>
    <row r="10487" spans="1:26" ht="12" customHeight="1" outlineLevel="3" x14ac:dyDescent="0.2">
      <c r="A10487" s="14" t="s">
        <v>19935</v>
      </c>
      <c r="B10487" s="26" t="s">
        <v>19936</v>
      </c>
      <c r="C10487" s="52"/>
      <c r="D10487" s="55">
        <f t="shared" si="163"/>
        <v>0</v>
      </c>
      <c r="E10487" s="63" t="str">
        <f>HYPERLINK("https://www.sds-group.ru/product/fonar-brelok-s-naborom-otvertok-rexant-75-8010/", "Инфо")</f>
        <v>Инфо</v>
      </c>
      <c r="F10487" s="16" t="s">
        <v>39</v>
      </c>
      <c r="G10487" s="15"/>
      <c r="H10487" s="15"/>
      <c r="I10487" s="15"/>
      <c r="J10487" s="16" t="s">
        <v>100</v>
      </c>
      <c r="K10487" s="15"/>
      <c r="L10487" s="17">
        <v>1</v>
      </c>
      <c r="M10487" s="17">
        <v>100</v>
      </c>
      <c r="N10487" s="17">
        <v>1</v>
      </c>
      <c r="O10487" s="18">
        <v>704.25</v>
      </c>
      <c r="P10487" s="18">
        <v>577.25</v>
      </c>
      <c r="Q10487" s="18">
        <v>492.98</v>
      </c>
      <c r="R10487" s="18">
        <v>404.08</v>
      </c>
      <c r="S10487" s="18">
        <v>478.89</v>
      </c>
      <c r="T10487" s="18">
        <v>392.53</v>
      </c>
      <c r="U10487" s="16"/>
      <c r="V10487" s="16"/>
      <c r="W10487" s="16"/>
      <c r="X10487" s="19">
        <v>9.5000000000000001E-2</v>
      </c>
      <c r="Y10487" s="20">
        <v>4.0999999999999999E-4</v>
      </c>
      <c r="Z10487" s="21">
        <v>4601004287433</v>
      </c>
    </row>
    <row r="10488" spans="1:26" ht="12.95" customHeight="1" outlineLevel="1" x14ac:dyDescent="0.2">
      <c r="A10488" s="78" t="s">
        <v>19937</v>
      </c>
      <c r="B10488" s="78"/>
      <c r="C10488" s="79"/>
      <c r="D10488" s="57"/>
      <c r="E10488" s="67"/>
      <c r="F10488" s="12"/>
      <c r="G10488" s="12"/>
      <c r="H10488" s="12"/>
      <c r="I10488" s="12"/>
      <c r="J10488" s="12"/>
      <c r="K10488" s="12"/>
      <c r="L10488" s="12"/>
      <c r="M10488" s="12"/>
      <c r="N10488" s="12"/>
      <c r="O10488" s="12"/>
      <c r="P10488" s="12"/>
      <c r="Q10488" s="12"/>
      <c r="R10488" s="12"/>
      <c r="S10488" s="12"/>
      <c r="T10488" s="12"/>
      <c r="U10488" s="12"/>
      <c r="V10488" s="12"/>
      <c r="W10488" s="12"/>
      <c r="X10488" s="12"/>
      <c r="Y10488" s="12"/>
      <c r="Z10488" s="12"/>
    </row>
    <row r="10489" spans="1:26" ht="12.95" customHeight="1" outlineLevel="2" x14ac:dyDescent="0.2">
      <c r="A10489" s="76" t="s">
        <v>19938</v>
      </c>
      <c r="B10489" s="76"/>
      <c r="C10489" s="77"/>
      <c r="D10489" s="58"/>
      <c r="E10489" s="68"/>
      <c r="F10489" s="13"/>
      <c r="G10489" s="13"/>
      <c r="H10489" s="13"/>
      <c r="I10489" s="13"/>
      <c r="J10489" s="13"/>
      <c r="K10489" s="13"/>
      <c r="L10489" s="13"/>
      <c r="M10489" s="13"/>
      <c r="N10489" s="13"/>
      <c r="O10489" s="13"/>
      <c r="P10489" s="13"/>
      <c r="Q10489" s="13"/>
      <c r="R10489" s="13"/>
      <c r="S10489" s="13"/>
      <c r="T10489" s="13"/>
      <c r="U10489" s="13"/>
      <c r="V10489" s="13"/>
      <c r="W10489" s="13"/>
      <c r="X10489" s="13"/>
      <c r="Y10489" s="13"/>
      <c r="Z10489" s="13"/>
    </row>
    <row r="10490" spans="1:26" ht="12" customHeight="1" outlineLevel="3" x14ac:dyDescent="0.2">
      <c r="A10490" s="32" t="s">
        <v>19939</v>
      </c>
      <c r="B10490" s="74" t="s">
        <v>19940</v>
      </c>
      <c r="C10490" s="50"/>
      <c r="D10490" s="53">
        <f t="shared" si="163"/>
        <v>0</v>
      </c>
      <c r="E10490" s="60" t="str">
        <f>HYPERLINK("https://www.sds-group.ru/product/girlyanda-sadovaya-deng-335sm-3000k-vstroennyy-akkumulyator-solnechnaya-panel-kollektsiya-p-602-2427/", "Инфо")</f>
        <v>Инфо</v>
      </c>
      <c r="F10490" s="34" t="s">
        <v>39</v>
      </c>
      <c r="G10490" s="33"/>
      <c r="H10490" s="33" t="s">
        <v>40</v>
      </c>
      <c r="I10490" s="33"/>
      <c r="J10490" s="35">
        <v>671</v>
      </c>
      <c r="K10490" s="33"/>
      <c r="L10490" s="35">
        <v>1</v>
      </c>
      <c r="M10490" s="35">
        <v>48</v>
      </c>
      <c r="N10490" s="35">
        <v>1</v>
      </c>
      <c r="O10490" s="36">
        <v>1236.1300000000001</v>
      </c>
      <c r="P10490" s="36">
        <v>1013.22</v>
      </c>
      <c r="Q10490" s="36">
        <v>865.29</v>
      </c>
      <c r="R10490" s="36">
        <v>709.25</v>
      </c>
      <c r="S10490" s="36">
        <v>840.57</v>
      </c>
      <c r="T10490" s="36">
        <v>688.99</v>
      </c>
      <c r="U10490" s="34"/>
      <c r="V10490" s="34"/>
      <c r="W10490" s="34"/>
      <c r="X10490" s="37">
        <v>0.215</v>
      </c>
      <c r="Y10490" s="38">
        <v>1.503E-3</v>
      </c>
      <c r="Z10490" s="21">
        <v>4601004289420</v>
      </c>
    </row>
    <row r="10491" spans="1:26" ht="12" customHeight="1" outlineLevel="3" x14ac:dyDescent="0.2">
      <c r="A10491" s="32" t="s">
        <v>19941</v>
      </c>
      <c r="B10491" s="74" t="s">
        <v>19942</v>
      </c>
      <c r="C10491" s="50"/>
      <c r="D10491" s="53">
        <f t="shared" si="163"/>
        <v>0</v>
      </c>
      <c r="E10491" s="60" t="str">
        <f>HYPERLINK("https://www.sds-group.ru/product/girlyanda-sadovaya-deng-635sm-3000k-vstroennyy-akkumulyator-solnechnaya-panel-kollektsiya-p-602-2428/", "Инфо")</f>
        <v>Инфо</v>
      </c>
      <c r="F10491" s="34" t="s">
        <v>39</v>
      </c>
      <c r="G10491" s="33"/>
      <c r="H10491" s="33" t="s">
        <v>40</v>
      </c>
      <c r="I10491" s="33"/>
      <c r="J10491" s="35">
        <v>10</v>
      </c>
      <c r="K10491" s="33"/>
      <c r="L10491" s="35">
        <v>1</v>
      </c>
      <c r="M10491" s="35">
        <v>24</v>
      </c>
      <c r="N10491" s="35">
        <v>1</v>
      </c>
      <c r="O10491" s="36">
        <v>2611.3000000000002</v>
      </c>
      <c r="P10491" s="36">
        <v>2140.41</v>
      </c>
      <c r="Q10491" s="36">
        <v>2010.7</v>
      </c>
      <c r="R10491" s="36">
        <v>1648.11</v>
      </c>
      <c r="S10491" s="36">
        <v>1775.68</v>
      </c>
      <c r="T10491" s="36">
        <v>1455.48</v>
      </c>
      <c r="U10491" s="34"/>
      <c r="V10491" s="34"/>
      <c r="W10491" s="34" t="s">
        <v>40</v>
      </c>
      <c r="X10491" s="37">
        <v>0.35099999999999998</v>
      </c>
      <c r="Y10491" s="38">
        <v>2.8800000000000002E-3</v>
      </c>
      <c r="Z10491" s="21">
        <v>4601004289437</v>
      </c>
    </row>
    <row r="10492" spans="1:26" ht="12" customHeight="1" outlineLevel="3" x14ac:dyDescent="0.2">
      <c r="A10492" s="32" t="s">
        <v>19943</v>
      </c>
      <c r="B10492" s="74" t="s">
        <v>19944</v>
      </c>
      <c r="C10492" s="50"/>
      <c r="D10492" s="53">
        <f t="shared" si="163"/>
        <v>0</v>
      </c>
      <c r="E10492" s="60" t="str">
        <f>HYPERLINK("https://www.sds-group.ru/product/girlyanda-sadovaya-kaneri-10m-3000k-vstroennyy-akkumulyator-solnechnaya-panel-kollektsiya-l-602-2421/", "Инфо")</f>
        <v>Инфо</v>
      </c>
      <c r="F10492" s="34" t="s">
        <v>39</v>
      </c>
      <c r="G10492" s="33"/>
      <c r="H10492" s="33" t="s">
        <v>40</v>
      </c>
      <c r="I10492" s="33"/>
      <c r="J10492" s="35">
        <v>6</v>
      </c>
      <c r="K10492" s="33"/>
      <c r="L10492" s="35">
        <v>1</v>
      </c>
      <c r="M10492" s="35">
        <v>8</v>
      </c>
      <c r="N10492" s="35">
        <v>1</v>
      </c>
      <c r="O10492" s="36">
        <v>4816.22</v>
      </c>
      <c r="P10492" s="36">
        <v>3947.72</v>
      </c>
      <c r="Q10492" s="36">
        <v>3515.84</v>
      </c>
      <c r="R10492" s="36">
        <v>2881.84</v>
      </c>
      <c r="S10492" s="36">
        <v>3275.03</v>
      </c>
      <c r="T10492" s="36">
        <v>2684.45</v>
      </c>
      <c r="U10492" s="34"/>
      <c r="V10492" s="34"/>
      <c r="W10492" s="34" t="s">
        <v>40</v>
      </c>
      <c r="X10492" s="37">
        <v>1.349</v>
      </c>
      <c r="Y10492" s="38">
        <v>8.2159999999999993E-3</v>
      </c>
      <c r="Z10492" s="21">
        <v>4601004289390</v>
      </c>
    </row>
    <row r="10493" spans="1:26" ht="12" customHeight="1" outlineLevel="3" x14ac:dyDescent="0.2">
      <c r="A10493" s="32" t="s">
        <v>19945</v>
      </c>
      <c r="B10493" s="74" t="s">
        <v>19946</v>
      </c>
      <c r="C10493" s="50"/>
      <c r="D10493" s="53">
        <f t="shared" si="163"/>
        <v>0</v>
      </c>
      <c r="E10493" s="60" t="str">
        <f>HYPERLINK("https://www.sds-group.ru/product/girlyanda-sadovaya-sevil-398sm-3000k-vstroennyy-akkumulyator-solnechnaya-panel-kollektsiya--602-2420/", "Инфо")</f>
        <v>Инфо</v>
      </c>
      <c r="F10493" s="34" t="s">
        <v>39</v>
      </c>
      <c r="G10493" s="33"/>
      <c r="H10493" s="33" t="s">
        <v>40</v>
      </c>
      <c r="I10493" s="33"/>
      <c r="J10493" s="34" t="s">
        <v>100</v>
      </c>
      <c r="K10493" s="33"/>
      <c r="L10493" s="35">
        <v>1</v>
      </c>
      <c r="M10493" s="35">
        <v>24</v>
      </c>
      <c r="N10493" s="35">
        <v>1</v>
      </c>
      <c r="O10493" s="36">
        <v>1474.99</v>
      </c>
      <c r="P10493" s="36">
        <v>1209.01</v>
      </c>
      <c r="Q10493" s="36">
        <v>1165.24</v>
      </c>
      <c r="R10493" s="36">
        <v>955.11</v>
      </c>
      <c r="S10493" s="36">
        <v>1002.99</v>
      </c>
      <c r="T10493" s="36">
        <v>822.12</v>
      </c>
      <c r="U10493" s="34"/>
      <c r="V10493" s="34"/>
      <c r="W10493" s="34" t="s">
        <v>40</v>
      </c>
      <c r="X10493" s="37">
        <v>0.34899999999999998</v>
      </c>
      <c r="Y10493" s="38">
        <v>3.545E-3</v>
      </c>
      <c r="Z10493" s="21">
        <v>4601004289246</v>
      </c>
    </row>
    <row r="10494" spans="1:26" ht="12" customHeight="1" outlineLevel="3" x14ac:dyDescent="0.2">
      <c r="A10494" s="32" t="s">
        <v>19947</v>
      </c>
      <c r="B10494" s="74" t="s">
        <v>19948</v>
      </c>
      <c r="C10494" s="50"/>
      <c r="D10494" s="53">
        <f t="shared" si="163"/>
        <v>0</v>
      </c>
      <c r="E10494" s="60" t="str">
        <f>HYPERLINK("https://www.sds-group.ru/product/girlyanda-sadovaya-ebbi-335-sm-3000k-vstroennyy-akkumulyator-solnechnaya-panel-kollektsiya--602-2419/", "Инфо")</f>
        <v>Инфо</v>
      </c>
      <c r="F10494" s="34" t="s">
        <v>39</v>
      </c>
      <c r="G10494" s="33"/>
      <c r="H10494" s="33" t="s">
        <v>40</v>
      </c>
      <c r="I10494" s="33"/>
      <c r="J10494" s="35">
        <v>21</v>
      </c>
      <c r="K10494" s="33"/>
      <c r="L10494" s="35">
        <v>1</v>
      </c>
      <c r="M10494" s="35">
        <v>18</v>
      </c>
      <c r="N10494" s="35">
        <v>1</v>
      </c>
      <c r="O10494" s="36">
        <v>1652.39</v>
      </c>
      <c r="P10494" s="36">
        <v>1354.42</v>
      </c>
      <c r="Q10494" s="36">
        <v>1305.3900000000001</v>
      </c>
      <c r="R10494" s="36">
        <v>1069.99</v>
      </c>
      <c r="S10494" s="36">
        <v>1123.6300000000001</v>
      </c>
      <c r="T10494" s="36">
        <v>921.01</v>
      </c>
      <c r="U10494" s="34"/>
      <c r="V10494" s="34"/>
      <c r="W10494" s="34" t="s">
        <v>40</v>
      </c>
      <c r="X10494" s="37">
        <v>0.55300000000000005</v>
      </c>
      <c r="Y10494" s="38">
        <v>6.3749999999999996E-3</v>
      </c>
      <c r="Z10494" s="21">
        <v>4601004289260</v>
      </c>
    </row>
    <row r="10495" spans="1:26" ht="12" customHeight="1" outlineLevel="3" x14ac:dyDescent="0.2">
      <c r="A10495" s="32" t="s">
        <v>19949</v>
      </c>
      <c r="B10495" s="74" t="s">
        <v>19950</v>
      </c>
      <c r="C10495" s="50"/>
      <c r="D10495" s="53">
        <f t="shared" si="163"/>
        <v>0</v>
      </c>
      <c r="E10495" s="60" t="str">
        <f>HYPERLINK("https://www.sds-group.ru/product/svetilnik-gruntovyy-verba-3000k-vstroennyy-akkumulyator-solnechnaya-panel-rexant-602-2437/", "Инфо")</f>
        <v>Инфо</v>
      </c>
      <c r="F10495" s="34" t="s">
        <v>39</v>
      </c>
      <c r="G10495" s="33"/>
      <c r="H10495" s="33" t="s">
        <v>40</v>
      </c>
      <c r="I10495" s="33"/>
      <c r="J10495" s="34" t="s">
        <v>100</v>
      </c>
      <c r="K10495" s="33"/>
      <c r="L10495" s="35">
        <v>1</v>
      </c>
      <c r="M10495" s="35">
        <v>24</v>
      </c>
      <c r="N10495" s="35">
        <v>1</v>
      </c>
      <c r="O10495" s="36">
        <v>1291.29</v>
      </c>
      <c r="P10495" s="36">
        <v>1058.43</v>
      </c>
      <c r="Q10495" s="36">
        <v>903.9</v>
      </c>
      <c r="R10495" s="36">
        <v>740.9</v>
      </c>
      <c r="S10495" s="36">
        <v>878.08</v>
      </c>
      <c r="T10495" s="36">
        <v>719.74</v>
      </c>
      <c r="U10495" s="34"/>
      <c r="V10495" s="34"/>
      <c r="W10495" s="34"/>
      <c r="X10495" s="37">
        <v>0.29399999999999998</v>
      </c>
      <c r="Y10495" s="38">
        <v>2.9650000000000002E-3</v>
      </c>
      <c r="Z10495" s="21">
        <v>4601004289239</v>
      </c>
    </row>
    <row r="10496" spans="1:26" ht="12" customHeight="1" outlineLevel="3" x14ac:dyDescent="0.2">
      <c r="A10496" s="32" t="s">
        <v>19951</v>
      </c>
      <c r="B10496" s="74" t="s">
        <v>19952</v>
      </c>
      <c r="C10496" s="50"/>
      <c r="D10496" s="53">
        <f t="shared" si="163"/>
        <v>0</v>
      </c>
      <c r="E10496" s="60" t="str">
        <f>HYPERLINK("https://www.sds-group.ru/product/svetilnik-gruntovyy-vestfild-3000k-vstroennyy-akkumulyator-solnechnaya-panel-kollektsiya-lo-602-2425/", "Инфо")</f>
        <v>Инфо</v>
      </c>
      <c r="F10496" s="34" t="s">
        <v>39</v>
      </c>
      <c r="G10496" s="33"/>
      <c r="H10496" s="33" t="s">
        <v>40</v>
      </c>
      <c r="I10496" s="33"/>
      <c r="J10496" s="34" t="s">
        <v>100</v>
      </c>
      <c r="K10496" s="33"/>
      <c r="L10496" s="35">
        <v>1</v>
      </c>
      <c r="M10496" s="35">
        <v>24</v>
      </c>
      <c r="N10496" s="35">
        <v>1</v>
      </c>
      <c r="O10496" s="36">
        <v>1252.18</v>
      </c>
      <c r="P10496" s="36">
        <v>1026.3800000000001</v>
      </c>
      <c r="Q10496" s="36">
        <v>1001.74</v>
      </c>
      <c r="R10496" s="36">
        <v>821.1</v>
      </c>
      <c r="S10496" s="36">
        <v>851.48</v>
      </c>
      <c r="T10496" s="36">
        <v>697.93</v>
      </c>
      <c r="U10496" s="34"/>
      <c r="V10496" s="34"/>
      <c r="W10496" s="34" t="s">
        <v>40</v>
      </c>
      <c r="X10496" s="37">
        <v>0.307</v>
      </c>
      <c r="Y10496" s="38">
        <v>5.3819999999999996E-3</v>
      </c>
      <c r="Z10496" s="21">
        <v>4601004289468</v>
      </c>
    </row>
    <row r="10497" spans="1:26" ht="12" customHeight="1" outlineLevel="3" x14ac:dyDescent="0.2">
      <c r="A10497" s="32" t="s">
        <v>19953</v>
      </c>
      <c r="B10497" s="74" t="s">
        <v>19954</v>
      </c>
      <c r="C10497" s="50"/>
      <c r="D10497" s="53">
        <f t="shared" si="163"/>
        <v>0</v>
      </c>
      <c r="E10497" s="60" t="str">
        <f>HYPERLINK("https://www.sds-group.ru/product/svetilnik-gruntovyy-dufu-4000k-vstroennyy-akkumulyator-solnechnaya-panel-kollektsiya-pekin--602-2432/", "Инфо")</f>
        <v>Инфо</v>
      </c>
      <c r="F10497" s="34" t="s">
        <v>974</v>
      </c>
      <c r="G10497" s="33"/>
      <c r="H10497" s="33" t="s">
        <v>40</v>
      </c>
      <c r="I10497" s="33"/>
      <c r="J10497" s="34" t="s">
        <v>100</v>
      </c>
      <c r="K10497" s="33"/>
      <c r="L10497" s="35">
        <v>1</v>
      </c>
      <c r="M10497" s="35">
        <v>16</v>
      </c>
      <c r="N10497" s="35">
        <v>1</v>
      </c>
      <c r="O10497" s="36">
        <v>1516</v>
      </c>
      <c r="P10497" s="36">
        <v>1242.6199999999999</v>
      </c>
      <c r="Q10497" s="36">
        <v>1197.6400000000001</v>
      </c>
      <c r="R10497" s="36">
        <v>981.67</v>
      </c>
      <c r="S10497" s="36">
        <v>1030.8800000000001</v>
      </c>
      <c r="T10497" s="36">
        <v>844.98</v>
      </c>
      <c r="U10497" s="34"/>
      <c r="V10497" s="34"/>
      <c r="W10497" s="34" t="s">
        <v>40</v>
      </c>
      <c r="X10497" s="37">
        <v>0.61</v>
      </c>
      <c r="Y10497" s="38">
        <v>4.3550000000000004E-3</v>
      </c>
      <c r="Z10497" s="21">
        <v>4601004289369</v>
      </c>
    </row>
    <row r="10498" spans="1:26" ht="12" customHeight="1" outlineLevel="3" x14ac:dyDescent="0.2">
      <c r="A10498" s="32" t="s">
        <v>19955</v>
      </c>
      <c r="B10498" s="74" t="s">
        <v>19956</v>
      </c>
      <c r="C10498" s="50"/>
      <c r="D10498" s="53">
        <f t="shared" si="163"/>
        <v>0</v>
      </c>
      <c r="E10498" s="60" t="str">
        <f>HYPERLINK("https://www.sds-group.ru/product/svetilnik-gruntovyy-laleli-3000k-vstroennyy-akkumulyator-solnechnaya-panel-kollektsiya-stam-602-2401/", "Инфо")</f>
        <v>Инфо</v>
      </c>
      <c r="F10498" s="34" t="s">
        <v>39</v>
      </c>
      <c r="G10498" s="33"/>
      <c r="H10498" s="33" t="s">
        <v>40</v>
      </c>
      <c r="I10498" s="33"/>
      <c r="J10498" s="35">
        <v>639</v>
      </c>
      <c r="K10498" s="33"/>
      <c r="L10498" s="35">
        <v>1</v>
      </c>
      <c r="M10498" s="35">
        <v>32</v>
      </c>
      <c r="N10498" s="35">
        <v>1</v>
      </c>
      <c r="O10498" s="36">
        <v>1324.36</v>
      </c>
      <c r="P10498" s="36">
        <v>1085.54</v>
      </c>
      <c r="Q10498" s="36">
        <v>1046.24</v>
      </c>
      <c r="R10498" s="36">
        <v>857.57</v>
      </c>
      <c r="S10498" s="36">
        <v>900.56</v>
      </c>
      <c r="T10498" s="36">
        <v>738.16</v>
      </c>
      <c r="U10498" s="34"/>
      <c r="V10498" s="34"/>
      <c r="W10498" s="34" t="s">
        <v>40</v>
      </c>
      <c r="X10498" s="37">
        <v>0.219</v>
      </c>
      <c r="Y10498" s="38">
        <v>2.5270000000000002E-3</v>
      </c>
      <c r="Z10498" s="21">
        <v>4601004289185</v>
      </c>
    </row>
    <row r="10499" spans="1:26" ht="12" customHeight="1" outlineLevel="3" x14ac:dyDescent="0.2">
      <c r="A10499" s="32" t="s">
        <v>19957</v>
      </c>
      <c r="B10499" s="74" t="s">
        <v>19958</v>
      </c>
      <c r="C10499" s="50"/>
      <c r="D10499" s="53">
        <f t="shared" si="163"/>
        <v>0</v>
      </c>
      <c r="E10499" s="60" t="str">
        <f>HYPERLINK("https://www.sds-group.ru/product/svetilnik-gruntovyy-leyka-3000k-vstroennyy-akkumulyator-solnechnaya-panel-kollektsiya-stamb-602-2405/", "Инфо")</f>
        <v>Инфо</v>
      </c>
      <c r="F10499" s="34" t="s">
        <v>39</v>
      </c>
      <c r="G10499" s="33"/>
      <c r="H10499" s="33" t="s">
        <v>40</v>
      </c>
      <c r="I10499" s="33"/>
      <c r="J10499" s="34" t="s">
        <v>100</v>
      </c>
      <c r="K10499" s="33"/>
      <c r="L10499" s="35">
        <v>1</v>
      </c>
      <c r="M10499" s="35">
        <v>16</v>
      </c>
      <c r="N10499" s="35">
        <v>1</v>
      </c>
      <c r="O10499" s="36">
        <v>2312.38</v>
      </c>
      <c r="P10499" s="36">
        <v>1895.39</v>
      </c>
      <c r="Q10499" s="36">
        <v>1780.53</v>
      </c>
      <c r="R10499" s="36">
        <v>1459.45</v>
      </c>
      <c r="S10499" s="36">
        <v>1572.42</v>
      </c>
      <c r="T10499" s="36">
        <v>1288.8699999999999</v>
      </c>
      <c r="U10499" s="34"/>
      <c r="V10499" s="34"/>
      <c r="W10499" s="34" t="s">
        <v>40</v>
      </c>
      <c r="X10499" s="37">
        <v>0.53800000000000003</v>
      </c>
      <c r="Y10499" s="38">
        <v>5.4099999999999999E-3</v>
      </c>
      <c r="Z10499" s="21">
        <v>4601004289154</v>
      </c>
    </row>
    <row r="10500" spans="1:26" ht="12" customHeight="1" outlineLevel="3" x14ac:dyDescent="0.2">
      <c r="A10500" s="32" t="s">
        <v>19959</v>
      </c>
      <c r="B10500" s="74" t="s">
        <v>19960</v>
      </c>
      <c r="C10500" s="50"/>
      <c r="D10500" s="53">
        <f t="shared" si="163"/>
        <v>0</v>
      </c>
      <c r="E10500" s="60" t="str">
        <f>HYPERLINK("https://www.sds-group.ru/product/svetilnik-gruntovyy-oduvanchik-rgb-vstroennyy-akkumulyator-solnechnaya-panel-rexant-602-2433/", "Инфо")</f>
        <v>Инфо</v>
      </c>
      <c r="F10500" s="34" t="s">
        <v>39</v>
      </c>
      <c r="G10500" s="33"/>
      <c r="H10500" s="33" t="s">
        <v>40</v>
      </c>
      <c r="I10500" s="33"/>
      <c r="J10500" s="35">
        <v>16</v>
      </c>
      <c r="K10500" s="33"/>
      <c r="L10500" s="35">
        <v>1</v>
      </c>
      <c r="M10500" s="35">
        <v>36</v>
      </c>
      <c r="N10500" s="35">
        <v>1</v>
      </c>
      <c r="O10500" s="36">
        <v>1853.75</v>
      </c>
      <c r="P10500" s="36">
        <v>1519.47</v>
      </c>
      <c r="Q10500" s="36">
        <v>1464.46</v>
      </c>
      <c r="R10500" s="36">
        <v>1200.3800000000001</v>
      </c>
      <c r="S10500" s="36">
        <v>1260.55</v>
      </c>
      <c r="T10500" s="36">
        <v>1033.24</v>
      </c>
      <c r="U10500" s="34"/>
      <c r="V10500" s="34"/>
      <c r="W10500" s="34" t="s">
        <v>40</v>
      </c>
      <c r="X10500" s="37">
        <v>0.28100000000000003</v>
      </c>
      <c r="Y10500" s="38">
        <v>3.9870000000000001E-3</v>
      </c>
      <c r="Z10500" s="21">
        <v>4601004289352</v>
      </c>
    </row>
    <row r="10501" spans="1:26" ht="12" customHeight="1" outlineLevel="3" x14ac:dyDescent="0.2">
      <c r="A10501" s="32" t="s">
        <v>19961</v>
      </c>
      <c r="B10501" s="74" t="s">
        <v>19962</v>
      </c>
      <c r="C10501" s="50"/>
      <c r="D10501" s="53">
        <f t="shared" si="163"/>
        <v>0</v>
      </c>
      <c r="E10501" s="60" t="str">
        <f>HYPERLINK("https://www.sds-group.ru/product/svetilnik-gruntovyy-salyut-3000k-vstroennyy-akkumulyator-solnechnaya-panel-rexant-602-2435/", "Инфо")</f>
        <v>Инфо</v>
      </c>
      <c r="F10501" s="34" t="s">
        <v>39</v>
      </c>
      <c r="G10501" s="33"/>
      <c r="H10501" s="33" t="s">
        <v>40</v>
      </c>
      <c r="I10501" s="33"/>
      <c r="J10501" s="39">
        <v>1414</v>
      </c>
      <c r="K10501" s="33"/>
      <c r="L10501" s="35">
        <v>1</v>
      </c>
      <c r="M10501" s="35">
        <v>32</v>
      </c>
      <c r="N10501" s="35">
        <v>1</v>
      </c>
      <c r="O10501" s="36">
        <v>1115.76</v>
      </c>
      <c r="P10501" s="36">
        <v>914.56</v>
      </c>
      <c r="Q10501" s="36">
        <v>781.03</v>
      </c>
      <c r="R10501" s="36">
        <v>640.19000000000005</v>
      </c>
      <c r="S10501" s="36">
        <v>758.72</v>
      </c>
      <c r="T10501" s="36">
        <v>621.9</v>
      </c>
      <c r="U10501" s="34"/>
      <c r="V10501" s="34"/>
      <c r="W10501" s="34"/>
      <c r="X10501" s="37">
        <v>0.19700000000000001</v>
      </c>
      <c r="Y10501" s="38">
        <v>2.5959999999999998E-3</v>
      </c>
      <c r="Z10501" s="21">
        <v>4601004289321</v>
      </c>
    </row>
    <row r="10502" spans="1:26" ht="12" customHeight="1" outlineLevel="3" x14ac:dyDescent="0.2">
      <c r="A10502" s="32" t="s">
        <v>19963</v>
      </c>
      <c r="B10502" s="74" t="s">
        <v>19964</v>
      </c>
      <c r="C10502" s="50"/>
      <c r="D10502" s="53">
        <f t="shared" si="163"/>
        <v>0</v>
      </c>
      <c r="E10502" s="60" t="str">
        <f>HYPERLINK("https://www.sds-group.ru/product/svetilnik-gruntovyy-tayang-3000k-rgb-vstroennyy-akkumulyator-solnechnaya-panel-kollektsiya--602-2429/", "Инфо")</f>
        <v>Инфо</v>
      </c>
      <c r="F10502" s="34" t="s">
        <v>39</v>
      </c>
      <c r="G10502" s="33"/>
      <c r="H10502" s="33" t="s">
        <v>40</v>
      </c>
      <c r="I10502" s="33"/>
      <c r="J10502" s="39">
        <v>1263</v>
      </c>
      <c r="K10502" s="33"/>
      <c r="L10502" s="35">
        <v>1</v>
      </c>
      <c r="M10502" s="35">
        <v>32</v>
      </c>
      <c r="N10502" s="35">
        <v>1</v>
      </c>
      <c r="O10502" s="36">
        <v>824.69</v>
      </c>
      <c r="P10502" s="36">
        <v>675.98</v>
      </c>
      <c r="Q10502" s="36">
        <v>577.28</v>
      </c>
      <c r="R10502" s="36">
        <v>473.18</v>
      </c>
      <c r="S10502" s="36">
        <v>560.79</v>
      </c>
      <c r="T10502" s="36">
        <v>459.66</v>
      </c>
      <c r="U10502" s="34"/>
      <c r="V10502" s="34"/>
      <c r="W10502" s="34"/>
      <c r="X10502" s="37">
        <v>0.245</v>
      </c>
      <c r="Y10502" s="38">
        <v>2.4510000000000001E-3</v>
      </c>
      <c r="Z10502" s="21">
        <v>4601004289413</v>
      </c>
    </row>
    <row r="10503" spans="1:26" ht="12" customHeight="1" outlineLevel="3" x14ac:dyDescent="0.2">
      <c r="A10503" s="32" t="s">
        <v>19965</v>
      </c>
      <c r="B10503" s="74" t="s">
        <v>19966</v>
      </c>
      <c r="C10503" s="50"/>
      <c r="D10503" s="53">
        <f t="shared" si="163"/>
        <v>0</v>
      </c>
      <c r="E10503" s="60" t="str">
        <f>HYPERLINK("https://www.sds-group.ru/product/svetilnik-gruntovyy-fatih-3000k-vstroennyy-akkumulyator-solnechnaya-panel-kollektsiya-stamb-602-2404/", "Инфо")</f>
        <v>Инфо</v>
      </c>
      <c r="F10503" s="34" t="s">
        <v>39</v>
      </c>
      <c r="G10503" s="33"/>
      <c r="H10503" s="33" t="s">
        <v>40</v>
      </c>
      <c r="I10503" s="33"/>
      <c r="J10503" s="35">
        <v>7</v>
      </c>
      <c r="K10503" s="33"/>
      <c r="L10503" s="35">
        <v>1</v>
      </c>
      <c r="M10503" s="35">
        <v>24</v>
      </c>
      <c r="N10503" s="35">
        <v>1</v>
      </c>
      <c r="O10503" s="36">
        <v>1978.52</v>
      </c>
      <c r="P10503" s="36">
        <v>1621.74</v>
      </c>
      <c r="Q10503" s="36">
        <v>1563.03</v>
      </c>
      <c r="R10503" s="36">
        <v>1281.17</v>
      </c>
      <c r="S10503" s="36">
        <v>1345.39</v>
      </c>
      <c r="T10503" s="36">
        <v>1102.78</v>
      </c>
      <c r="U10503" s="34"/>
      <c r="V10503" s="34"/>
      <c r="W10503" s="34" t="s">
        <v>40</v>
      </c>
      <c r="X10503" s="37">
        <v>0.36099999999999999</v>
      </c>
      <c r="Y10503" s="38">
        <v>4.0639999999999999E-3</v>
      </c>
      <c r="Z10503" s="21">
        <v>4601004289178</v>
      </c>
    </row>
    <row r="10504" spans="1:26" ht="12" customHeight="1" outlineLevel="3" x14ac:dyDescent="0.2">
      <c r="A10504" s="32" t="s">
        <v>19967</v>
      </c>
      <c r="B10504" s="74" t="s">
        <v>19968</v>
      </c>
      <c r="C10504" s="50"/>
      <c r="D10504" s="53">
        <f t="shared" si="163"/>
        <v>0</v>
      </c>
      <c r="E10504" s="60" t="str">
        <f>HYPERLINK("https://www.sds-group.ru/product/svetilnik-podvesnoy-galata-3000k-vstroennyy-akkumulyator-solnechnaya-panel-kollektsiya-stam-602-2403/", "Инфо")</f>
        <v>Инфо</v>
      </c>
      <c r="F10504" s="34" t="s">
        <v>39</v>
      </c>
      <c r="G10504" s="33"/>
      <c r="H10504" s="33" t="s">
        <v>40</v>
      </c>
      <c r="I10504" s="33"/>
      <c r="J10504" s="35">
        <v>6</v>
      </c>
      <c r="K10504" s="33"/>
      <c r="L10504" s="35">
        <v>1</v>
      </c>
      <c r="M10504" s="35">
        <v>18</v>
      </c>
      <c r="N10504" s="35">
        <v>1</v>
      </c>
      <c r="O10504" s="36">
        <v>2125.58</v>
      </c>
      <c r="P10504" s="36">
        <v>1742.28</v>
      </c>
      <c r="Q10504" s="36">
        <v>1679.21</v>
      </c>
      <c r="R10504" s="36">
        <v>1376.4</v>
      </c>
      <c r="S10504" s="36">
        <v>1445.39</v>
      </c>
      <c r="T10504" s="36">
        <v>1184.75</v>
      </c>
      <c r="U10504" s="34"/>
      <c r="V10504" s="34"/>
      <c r="W10504" s="34" t="s">
        <v>40</v>
      </c>
      <c r="X10504" s="37">
        <v>0.42299999999999999</v>
      </c>
      <c r="Y10504" s="38">
        <v>5.1070000000000004E-3</v>
      </c>
      <c r="Z10504" s="21">
        <v>4601004289161</v>
      </c>
    </row>
    <row r="10505" spans="1:26" ht="12" customHeight="1" outlineLevel="3" x14ac:dyDescent="0.2">
      <c r="A10505" s="32" t="s">
        <v>19969</v>
      </c>
      <c r="B10505" s="74" t="s">
        <v>19970</v>
      </c>
      <c r="C10505" s="50"/>
      <c r="D10505" s="53">
        <f t="shared" ref="D10505:D10568" si="164">C10505*(O10505-O10505*$G$3)</f>
        <v>0</v>
      </c>
      <c r="E10505" s="60" t="str">
        <f>HYPERLINK("https://www.sds-group.ru/product/svetilnik-podvesnoy-fatih-3000k-vstroennyy-akkumulyator-solnechnaya-panel-kollektsiya-stamb-602-2402/", "Инфо")</f>
        <v>Инфо</v>
      </c>
      <c r="F10505" s="34" t="s">
        <v>39</v>
      </c>
      <c r="G10505" s="33"/>
      <c r="H10505" s="33" t="s">
        <v>40</v>
      </c>
      <c r="I10505" s="33"/>
      <c r="J10505" s="35">
        <v>3</v>
      </c>
      <c r="K10505" s="33"/>
      <c r="L10505" s="35">
        <v>1</v>
      </c>
      <c r="M10505" s="35">
        <v>32</v>
      </c>
      <c r="N10505" s="35">
        <v>1</v>
      </c>
      <c r="O10505" s="36">
        <v>1876.39</v>
      </c>
      <c r="P10505" s="36">
        <v>1538.02</v>
      </c>
      <c r="Q10505" s="36">
        <v>1482.35</v>
      </c>
      <c r="R10505" s="36">
        <v>1215.04</v>
      </c>
      <c r="S10505" s="36">
        <v>1275.95</v>
      </c>
      <c r="T10505" s="36">
        <v>1045.8599999999999</v>
      </c>
      <c r="U10505" s="34"/>
      <c r="V10505" s="34"/>
      <c r="W10505" s="34" t="s">
        <v>40</v>
      </c>
      <c r="X10505" s="37">
        <v>0.26800000000000002</v>
      </c>
      <c r="Y10505" s="38">
        <v>3.1800000000000001E-3</v>
      </c>
      <c r="Z10505" s="21">
        <v>4601004289147</v>
      </c>
    </row>
    <row r="10506" spans="1:26" ht="12" customHeight="1" outlineLevel="3" x14ac:dyDescent="0.2">
      <c r="A10506" s="32" t="s">
        <v>19971</v>
      </c>
      <c r="B10506" s="74" t="s">
        <v>19972</v>
      </c>
      <c r="C10506" s="50"/>
      <c r="D10506" s="53">
        <f t="shared" si="164"/>
        <v>0</v>
      </c>
      <c r="E10506" s="60" t="str">
        <f>HYPERLINK("https://www.sds-group.ru/product/svetilnik-prozhektornyy-strend-6500k-vstroennyy-akkumulyator-solnechnaya-panel-kollektsiya--602-2424/", "Инфо")</f>
        <v>Инфо</v>
      </c>
      <c r="F10506" s="34" t="s">
        <v>39</v>
      </c>
      <c r="G10506" s="33"/>
      <c r="H10506" s="33" t="s">
        <v>40</v>
      </c>
      <c r="I10506" s="33"/>
      <c r="J10506" s="35">
        <v>12</v>
      </c>
      <c r="K10506" s="33"/>
      <c r="L10506" s="35">
        <v>1</v>
      </c>
      <c r="M10506" s="35">
        <v>24</v>
      </c>
      <c r="N10506" s="35">
        <v>1</v>
      </c>
      <c r="O10506" s="36">
        <v>1836.91</v>
      </c>
      <c r="P10506" s="36">
        <v>1505.66</v>
      </c>
      <c r="Q10506" s="36">
        <v>1451.16</v>
      </c>
      <c r="R10506" s="36">
        <v>1189.48</v>
      </c>
      <c r="S10506" s="36">
        <v>1249.0999999999999</v>
      </c>
      <c r="T10506" s="36">
        <v>1023.85</v>
      </c>
      <c r="U10506" s="34"/>
      <c r="V10506" s="34"/>
      <c r="W10506" s="34" t="s">
        <v>40</v>
      </c>
      <c r="X10506" s="37">
        <v>0.47299999999999998</v>
      </c>
      <c r="Y10506" s="38">
        <v>2.32E-3</v>
      </c>
      <c r="Z10506" s="21">
        <v>4601004289482</v>
      </c>
    </row>
    <row r="10507" spans="1:26" ht="12" customHeight="1" outlineLevel="3" x14ac:dyDescent="0.2">
      <c r="A10507" s="32" t="s">
        <v>19973</v>
      </c>
      <c r="B10507" s="74" t="s">
        <v>19974</v>
      </c>
      <c r="C10507" s="50"/>
      <c r="D10507" s="53">
        <f t="shared" si="164"/>
        <v>0</v>
      </c>
      <c r="E10507" s="60" t="str">
        <f>HYPERLINK("https://www.sds-group.ru/product/svetilnik-sadovyy-bambuk-18sm-3000k-vstroennyy-akkumulyator-solnechnaya-panel-kollektsiya-b-602-2408/", "Инфо")</f>
        <v>Инфо</v>
      </c>
      <c r="F10507" s="34" t="s">
        <v>39</v>
      </c>
      <c r="G10507" s="33"/>
      <c r="H10507" s="33" t="s">
        <v>40</v>
      </c>
      <c r="I10507" s="33"/>
      <c r="J10507" s="35">
        <v>27</v>
      </c>
      <c r="K10507" s="33"/>
      <c r="L10507" s="35">
        <v>1</v>
      </c>
      <c r="M10507" s="35">
        <v>18</v>
      </c>
      <c r="N10507" s="35">
        <v>1</v>
      </c>
      <c r="O10507" s="36">
        <v>1536.18</v>
      </c>
      <c r="P10507" s="36">
        <v>1259.1600000000001</v>
      </c>
      <c r="Q10507" s="36">
        <v>1075.33</v>
      </c>
      <c r="R10507" s="36">
        <v>881.42</v>
      </c>
      <c r="S10507" s="36">
        <v>1044.5999999999999</v>
      </c>
      <c r="T10507" s="36">
        <v>856.23</v>
      </c>
      <c r="U10507" s="34"/>
      <c r="V10507" s="34"/>
      <c r="W10507" s="34"/>
      <c r="X10507" s="37">
        <v>0.41</v>
      </c>
      <c r="Y10507" s="38">
        <v>5.8919999999999997E-3</v>
      </c>
      <c r="Z10507" s="21">
        <v>4601004289253</v>
      </c>
    </row>
    <row r="10508" spans="1:26" ht="12" customHeight="1" outlineLevel="3" x14ac:dyDescent="0.2">
      <c r="A10508" s="32" t="s">
        <v>19975</v>
      </c>
      <c r="B10508" s="74" t="s">
        <v>19976</v>
      </c>
      <c r="C10508" s="50"/>
      <c r="D10508" s="53">
        <f t="shared" si="164"/>
        <v>0</v>
      </c>
      <c r="E10508" s="60" t="str">
        <f>HYPERLINK("https://www.sds-group.ru/product/svetilnik-sadovyy-bambuk-29-5sm-3000k-vstroennyy-akkumulyator-solnechnaya-panel-kollektsiya-602-2411/", "Инфо")</f>
        <v>Инфо</v>
      </c>
      <c r="F10508" s="34" t="s">
        <v>39</v>
      </c>
      <c r="G10508" s="33"/>
      <c r="H10508" s="33" t="s">
        <v>40</v>
      </c>
      <c r="I10508" s="33"/>
      <c r="J10508" s="35">
        <v>11</v>
      </c>
      <c r="K10508" s="33"/>
      <c r="L10508" s="35">
        <v>1</v>
      </c>
      <c r="M10508" s="35">
        <v>4</v>
      </c>
      <c r="N10508" s="35">
        <v>1</v>
      </c>
      <c r="O10508" s="36">
        <v>4096.4799999999996</v>
      </c>
      <c r="P10508" s="36">
        <v>3357.77</v>
      </c>
      <c r="Q10508" s="36">
        <v>2990.43</v>
      </c>
      <c r="R10508" s="36">
        <v>2451.17</v>
      </c>
      <c r="S10508" s="36">
        <v>2785.61</v>
      </c>
      <c r="T10508" s="36">
        <v>2283.29</v>
      </c>
      <c r="U10508" s="34"/>
      <c r="V10508" s="34"/>
      <c r="W10508" s="34" t="s">
        <v>40</v>
      </c>
      <c r="X10508" s="37">
        <v>1.0529999999999999</v>
      </c>
      <c r="Y10508" s="38">
        <v>2.5701000000000002E-2</v>
      </c>
      <c r="Z10508" s="21">
        <v>4601004289215</v>
      </c>
    </row>
    <row r="10509" spans="1:26" ht="12" customHeight="1" outlineLevel="3" x14ac:dyDescent="0.2">
      <c r="A10509" s="32" t="s">
        <v>19977</v>
      </c>
      <c r="B10509" s="74" t="s">
        <v>19978</v>
      </c>
      <c r="C10509" s="50"/>
      <c r="D10509" s="53">
        <f t="shared" si="164"/>
        <v>0</v>
      </c>
      <c r="E10509" s="60" t="str">
        <f>HYPERLINK("https://www.sds-group.ru/product/svetilnik-sadovyy-karnabi-4000k-vstroennyy-akkumulyator-solnechnaya-panel-kollektsiya-londo-602-2415/", "Инфо")</f>
        <v>Инфо</v>
      </c>
      <c r="F10509" s="34" t="s">
        <v>39</v>
      </c>
      <c r="G10509" s="33"/>
      <c r="H10509" s="33" t="s">
        <v>40</v>
      </c>
      <c r="I10509" s="33"/>
      <c r="J10509" s="35">
        <v>221</v>
      </c>
      <c r="K10509" s="33"/>
      <c r="L10509" s="35">
        <v>1</v>
      </c>
      <c r="M10509" s="35">
        <v>48</v>
      </c>
      <c r="N10509" s="35">
        <v>1</v>
      </c>
      <c r="O10509" s="36">
        <v>1552.35</v>
      </c>
      <c r="P10509" s="36">
        <v>1272.42</v>
      </c>
      <c r="Q10509" s="36">
        <v>1086.6500000000001</v>
      </c>
      <c r="R10509" s="36">
        <v>890.7</v>
      </c>
      <c r="S10509" s="36">
        <v>1055.5999999999999</v>
      </c>
      <c r="T10509" s="36">
        <v>865.25</v>
      </c>
      <c r="U10509" s="34"/>
      <c r="V10509" s="34"/>
      <c r="W10509" s="34"/>
      <c r="X10509" s="37">
        <v>0.253</v>
      </c>
      <c r="Y10509" s="38">
        <v>1.2600000000000001E-3</v>
      </c>
      <c r="Z10509" s="21">
        <v>4601004289307</v>
      </c>
    </row>
    <row r="10510" spans="1:26" ht="12" customHeight="1" outlineLevel="3" x14ac:dyDescent="0.2">
      <c r="A10510" s="32" t="s">
        <v>19979</v>
      </c>
      <c r="B10510" s="74" t="s">
        <v>19980</v>
      </c>
      <c r="C10510" s="50"/>
      <c r="D10510" s="53">
        <f t="shared" si="164"/>
        <v>0</v>
      </c>
      <c r="E10510" s="60" t="str">
        <f>HYPERLINK("https://www.sds-group.ru/product/svetilnik-sadovyy-kings-3000k-vstroennyy-akkumulyator-solnechnaya-panel-kollektsiya-london--602-2418/", "Инфо")</f>
        <v>Инфо</v>
      </c>
      <c r="F10510" s="34" t="s">
        <v>39</v>
      </c>
      <c r="G10510" s="33"/>
      <c r="H10510" s="33" t="s">
        <v>40</v>
      </c>
      <c r="I10510" s="33"/>
      <c r="J10510" s="35">
        <v>2</v>
      </c>
      <c r="K10510" s="33"/>
      <c r="L10510" s="35">
        <v>1</v>
      </c>
      <c r="M10510" s="35">
        <v>36</v>
      </c>
      <c r="N10510" s="35">
        <v>1</v>
      </c>
      <c r="O10510" s="36">
        <v>1256.6300000000001</v>
      </c>
      <c r="P10510" s="36">
        <v>1030.02</v>
      </c>
      <c r="Q10510" s="36">
        <v>1005.3</v>
      </c>
      <c r="R10510" s="36">
        <v>824.02</v>
      </c>
      <c r="S10510" s="36">
        <v>854.51</v>
      </c>
      <c r="T10510" s="36">
        <v>700.42</v>
      </c>
      <c r="U10510" s="34"/>
      <c r="V10510" s="34"/>
      <c r="W10510" s="34" t="s">
        <v>40</v>
      </c>
      <c r="X10510" s="37">
        <v>0.25700000000000001</v>
      </c>
      <c r="Y10510" s="38">
        <v>1.8320000000000001E-3</v>
      </c>
      <c r="Z10510" s="21">
        <v>4601004289208</v>
      </c>
    </row>
    <row r="10511" spans="1:26" ht="12" customHeight="1" outlineLevel="3" x14ac:dyDescent="0.2">
      <c r="A10511" s="32" t="s">
        <v>19981</v>
      </c>
      <c r="B10511" s="74" t="s">
        <v>19982</v>
      </c>
      <c r="C10511" s="50"/>
      <c r="D10511" s="53">
        <f t="shared" si="164"/>
        <v>0</v>
      </c>
      <c r="E10511" s="60" t="str">
        <f>HYPERLINK("https://www.sds-group.ru/product/svetilnik-sadovyy-lotos-3000k-15sm-vstroennyy-akkumulyator-solnechnaya-panel-kollektsiya-pe-602-2431/", "Инфо")</f>
        <v>Инфо</v>
      </c>
      <c r="F10511" s="34" t="s">
        <v>39</v>
      </c>
      <c r="G10511" s="33"/>
      <c r="H10511" s="33" t="s">
        <v>40</v>
      </c>
      <c r="I10511" s="33"/>
      <c r="J10511" s="35">
        <v>25</v>
      </c>
      <c r="K10511" s="33"/>
      <c r="L10511" s="35">
        <v>1</v>
      </c>
      <c r="M10511" s="35">
        <v>12</v>
      </c>
      <c r="N10511" s="35">
        <v>1</v>
      </c>
      <c r="O10511" s="36">
        <v>2225.67</v>
      </c>
      <c r="P10511" s="36">
        <v>1824.32</v>
      </c>
      <c r="Q10511" s="36">
        <v>1713.77</v>
      </c>
      <c r="R10511" s="36">
        <v>1404.73</v>
      </c>
      <c r="S10511" s="36">
        <v>1513.46</v>
      </c>
      <c r="T10511" s="36">
        <v>1240.54</v>
      </c>
      <c r="U10511" s="34"/>
      <c r="V10511" s="34"/>
      <c r="W10511" s="34" t="s">
        <v>40</v>
      </c>
      <c r="X10511" s="37">
        <v>0.53500000000000003</v>
      </c>
      <c r="Y10511" s="38">
        <v>6.4390000000000003E-3</v>
      </c>
      <c r="Z10511" s="21">
        <v>4601004289376</v>
      </c>
    </row>
    <row r="10512" spans="1:26" ht="12" customHeight="1" outlineLevel="3" x14ac:dyDescent="0.2">
      <c r="A10512" s="32" t="s">
        <v>19983</v>
      </c>
      <c r="B10512" s="74" t="s">
        <v>19984</v>
      </c>
      <c r="C10512" s="50"/>
      <c r="D10512" s="53">
        <f t="shared" si="164"/>
        <v>0</v>
      </c>
      <c r="E10512" s="60" t="str">
        <f>HYPERLINK("https://www.sds-group.ru/product/svetilnik-sadovyy-ridzhent-4000k-vstroennyy-akkumulyator-solnechnaya-panel-kollektsiya-lond-602-2413/", "Инфо")</f>
        <v>Инфо</v>
      </c>
      <c r="F10512" s="34" t="s">
        <v>39</v>
      </c>
      <c r="G10512" s="33"/>
      <c r="H10512" s="33" t="s">
        <v>40</v>
      </c>
      <c r="I10512" s="33"/>
      <c r="J10512" s="39">
        <v>1145</v>
      </c>
      <c r="K10512" s="33"/>
      <c r="L10512" s="35">
        <v>1</v>
      </c>
      <c r="M10512" s="35">
        <v>24</v>
      </c>
      <c r="N10512" s="35">
        <v>1</v>
      </c>
      <c r="O10512" s="36">
        <v>1037.1600000000001</v>
      </c>
      <c r="P10512" s="36">
        <v>850.13</v>
      </c>
      <c r="Q10512" s="36">
        <v>726.01</v>
      </c>
      <c r="R10512" s="36">
        <v>595.09</v>
      </c>
      <c r="S10512" s="36">
        <v>705.27</v>
      </c>
      <c r="T10512" s="36">
        <v>578.09</v>
      </c>
      <c r="U10512" s="34"/>
      <c r="V10512" s="34"/>
      <c r="W10512" s="34"/>
      <c r="X10512" s="37">
        <v>0.32300000000000001</v>
      </c>
      <c r="Y10512" s="38">
        <v>2.2499999999999998E-3</v>
      </c>
      <c r="Z10512" s="21">
        <v>4601004289345</v>
      </c>
    </row>
    <row r="10513" spans="1:26" ht="12" customHeight="1" outlineLevel="3" x14ac:dyDescent="0.2">
      <c r="A10513" s="32" t="s">
        <v>19985</v>
      </c>
      <c r="B10513" s="74" t="s">
        <v>19986</v>
      </c>
      <c r="C10513" s="50"/>
      <c r="D10513" s="53">
        <f t="shared" si="164"/>
        <v>0</v>
      </c>
      <c r="E10513" s="60" t="str">
        <f>HYPERLINK("https://www.sds-group.ru/product/svetilnik-sadovyy-trostnik-22-5sm-3000k-vstroennyy-akkumulyator-solnechnaya-panel-kollektsi-602-2409/", "Инфо")</f>
        <v>Инфо</v>
      </c>
      <c r="F10513" s="34" t="s">
        <v>39</v>
      </c>
      <c r="G10513" s="33"/>
      <c r="H10513" s="33" t="s">
        <v>40</v>
      </c>
      <c r="I10513" s="33"/>
      <c r="J10513" s="35">
        <v>273</v>
      </c>
      <c r="K10513" s="33"/>
      <c r="L10513" s="35">
        <v>1</v>
      </c>
      <c r="M10513" s="35">
        <v>18</v>
      </c>
      <c r="N10513" s="35">
        <v>1</v>
      </c>
      <c r="O10513" s="36">
        <v>1239.0899999999999</v>
      </c>
      <c r="P10513" s="36">
        <v>1015.65</v>
      </c>
      <c r="Q10513" s="36">
        <v>867.36</v>
      </c>
      <c r="R10513" s="36">
        <v>710.95</v>
      </c>
      <c r="S10513" s="36">
        <v>842.58</v>
      </c>
      <c r="T10513" s="36">
        <v>690.64</v>
      </c>
      <c r="U10513" s="34"/>
      <c r="V10513" s="34"/>
      <c r="W10513" s="34"/>
      <c r="X10513" s="37">
        <v>0.435</v>
      </c>
      <c r="Y10513" s="38">
        <v>7.2090000000000001E-3</v>
      </c>
      <c r="Z10513" s="21">
        <v>4601004289383</v>
      </c>
    </row>
    <row r="10514" spans="1:26" ht="12" customHeight="1" outlineLevel="3" x14ac:dyDescent="0.2">
      <c r="A10514" s="32" t="s">
        <v>19987</v>
      </c>
      <c r="B10514" s="74" t="s">
        <v>19988</v>
      </c>
      <c r="C10514" s="50"/>
      <c r="D10514" s="53">
        <f t="shared" si="164"/>
        <v>0</v>
      </c>
      <c r="E10514" s="60" t="str">
        <f>HYPERLINK("https://www.sds-group.ru/product/svetilnik-sadovyy-trostnik-35-5sm-3000k-vstroennyy-akkumulyator-solnechnaya-panel-kollektsi-602-2410/", "Инфо")</f>
        <v>Инфо</v>
      </c>
      <c r="F10514" s="34" t="s">
        <v>39</v>
      </c>
      <c r="G10514" s="33"/>
      <c r="H10514" s="33" t="s">
        <v>40</v>
      </c>
      <c r="I10514" s="33"/>
      <c r="J10514" s="35">
        <v>89</v>
      </c>
      <c r="K10514" s="33"/>
      <c r="L10514" s="35">
        <v>1</v>
      </c>
      <c r="M10514" s="35">
        <v>4</v>
      </c>
      <c r="N10514" s="35">
        <v>1</v>
      </c>
      <c r="O10514" s="36">
        <v>4096.4799999999996</v>
      </c>
      <c r="P10514" s="36">
        <v>3357.77</v>
      </c>
      <c r="Q10514" s="36">
        <v>2990.43</v>
      </c>
      <c r="R10514" s="36">
        <v>2451.17</v>
      </c>
      <c r="S10514" s="36">
        <v>2785.61</v>
      </c>
      <c r="T10514" s="36">
        <v>2283.29</v>
      </c>
      <c r="U10514" s="34"/>
      <c r="V10514" s="34"/>
      <c r="W10514" s="34" t="s">
        <v>40</v>
      </c>
      <c r="X10514" s="37">
        <v>1.04</v>
      </c>
      <c r="Y10514" s="38">
        <v>2.9211000000000001E-2</v>
      </c>
      <c r="Z10514" s="21">
        <v>4601004289284</v>
      </c>
    </row>
    <row r="10515" spans="1:26" ht="12" customHeight="1" outlineLevel="3" x14ac:dyDescent="0.2">
      <c r="A10515" s="32" t="s">
        <v>19989</v>
      </c>
      <c r="B10515" s="74" t="s">
        <v>19990</v>
      </c>
      <c r="C10515" s="50"/>
      <c r="D10515" s="53">
        <f t="shared" si="164"/>
        <v>0</v>
      </c>
      <c r="E10515" s="60" t="str">
        <f>HYPERLINK("https://www.sds-group.ru/product/svetilnik-sadovyy-shanti-22sm-3000k-vstroennyy-akkumulyator-solnechnaya-panel-kollektsiya-b-602-2412/", "Инфо")</f>
        <v>Инфо</v>
      </c>
      <c r="F10515" s="34" t="s">
        <v>39</v>
      </c>
      <c r="G10515" s="33"/>
      <c r="H10515" s="33" t="s">
        <v>40</v>
      </c>
      <c r="I10515" s="33"/>
      <c r="J10515" s="35">
        <v>5</v>
      </c>
      <c r="K10515" s="33"/>
      <c r="L10515" s="35">
        <v>1</v>
      </c>
      <c r="M10515" s="35">
        <v>12</v>
      </c>
      <c r="N10515" s="35">
        <v>1</v>
      </c>
      <c r="O10515" s="36">
        <v>2738.35</v>
      </c>
      <c r="P10515" s="36">
        <v>2244.5500000000002</v>
      </c>
      <c r="Q10515" s="36">
        <v>2108.5300000000002</v>
      </c>
      <c r="R10515" s="36">
        <v>1728.3</v>
      </c>
      <c r="S10515" s="36">
        <v>1862.08</v>
      </c>
      <c r="T10515" s="36">
        <v>1526.3</v>
      </c>
      <c r="U10515" s="34"/>
      <c r="V10515" s="34"/>
      <c r="W10515" s="34" t="s">
        <v>40</v>
      </c>
      <c r="X10515" s="37">
        <v>0.73499999999999999</v>
      </c>
      <c r="Y10515" s="38">
        <v>6.0850000000000001E-3</v>
      </c>
      <c r="Z10515" s="21">
        <v>4601004289314</v>
      </c>
    </row>
    <row r="10516" spans="1:26" ht="12" customHeight="1" outlineLevel="3" x14ac:dyDescent="0.2">
      <c r="A10516" s="32" t="s">
        <v>19991</v>
      </c>
      <c r="B10516" s="74" t="s">
        <v>19992</v>
      </c>
      <c r="C10516" s="50"/>
      <c r="D10516" s="53">
        <f t="shared" si="164"/>
        <v>0</v>
      </c>
      <c r="E10516" s="60" t="str">
        <f>HYPERLINK("https://www.sds-group.ru/product/svetilnik-sadovyy-shile-3000k-vstroennyy-akkumulyator-solnechnaya-panel-kollektsiya-stambul-602-2406/", "Инфо")</f>
        <v>Инфо</v>
      </c>
      <c r="F10516" s="34" t="s">
        <v>39</v>
      </c>
      <c r="G10516" s="33"/>
      <c r="H10516" s="33" t="s">
        <v>40</v>
      </c>
      <c r="I10516" s="33"/>
      <c r="J10516" s="34" t="s">
        <v>100</v>
      </c>
      <c r="K10516" s="33"/>
      <c r="L10516" s="35">
        <v>1</v>
      </c>
      <c r="M10516" s="35">
        <v>27</v>
      </c>
      <c r="N10516" s="35">
        <v>1</v>
      </c>
      <c r="O10516" s="36">
        <v>1577.48</v>
      </c>
      <c r="P10516" s="36">
        <v>1293.02</v>
      </c>
      <c r="Q10516" s="36">
        <v>1246.21</v>
      </c>
      <c r="R10516" s="36">
        <v>1021.48</v>
      </c>
      <c r="S10516" s="36">
        <v>1072.69</v>
      </c>
      <c r="T10516" s="36">
        <v>879.25</v>
      </c>
      <c r="U10516" s="34"/>
      <c r="V10516" s="34"/>
      <c r="W10516" s="34" t="s">
        <v>40</v>
      </c>
      <c r="X10516" s="37">
        <v>0.34200000000000003</v>
      </c>
      <c r="Y10516" s="38">
        <v>1.5640000000000001E-3</v>
      </c>
      <c r="Z10516" s="21">
        <v>4601004289222</v>
      </c>
    </row>
    <row r="10517" spans="1:26" ht="12.95" customHeight="1" outlineLevel="1" x14ac:dyDescent="0.2">
      <c r="A10517" s="78" t="s">
        <v>19993</v>
      </c>
      <c r="B10517" s="78"/>
      <c r="C10517" s="79"/>
      <c r="D10517" s="57"/>
      <c r="E10517" s="67"/>
      <c r="F10517" s="12"/>
      <c r="G10517" s="12"/>
      <c r="H10517" s="12"/>
      <c r="I10517" s="12"/>
      <c r="J10517" s="12"/>
      <c r="K10517" s="12"/>
      <c r="L10517" s="12"/>
      <c r="M10517" s="12"/>
      <c r="N10517" s="12"/>
      <c r="O10517" s="12"/>
      <c r="P10517" s="12"/>
      <c r="Q10517" s="12"/>
      <c r="R10517" s="12"/>
      <c r="S10517" s="12"/>
      <c r="T10517" s="12"/>
      <c r="U10517" s="12"/>
      <c r="V10517" s="12"/>
      <c r="W10517" s="12"/>
      <c r="X10517" s="12"/>
      <c r="Y10517" s="12"/>
      <c r="Z10517" s="12"/>
    </row>
    <row r="10518" spans="1:26" ht="12.95" customHeight="1" outlineLevel="2" x14ac:dyDescent="0.2">
      <c r="A10518" s="76" t="s">
        <v>19994</v>
      </c>
      <c r="B10518" s="76"/>
      <c r="C10518" s="77"/>
      <c r="D10518" s="58"/>
      <c r="E10518" s="68"/>
      <c r="F10518" s="13"/>
      <c r="G10518" s="13"/>
      <c r="H10518" s="13"/>
      <c r="I10518" s="13"/>
      <c r="J10518" s="13"/>
      <c r="K10518" s="13"/>
      <c r="L10518" s="13"/>
      <c r="M10518" s="13"/>
      <c r="N10518" s="13"/>
      <c r="O10518" s="13"/>
      <c r="P10518" s="13"/>
      <c r="Q10518" s="13"/>
      <c r="R10518" s="13"/>
      <c r="S10518" s="13"/>
      <c r="T10518" s="13"/>
      <c r="U10518" s="13"/>
      <c r="V10518" s="13"/>
      <c r="W10518" s="13"/>
      <c r="X10518" s="13"/>
      <c r="Y10518" s="13"/>
      <c r="Z10518" s="13"/>
    </row>
    <row r="10519" spans="1:26" ht="12.95" customHeight="1" outlineLevel="3" x14ac:dyDescent="0.2">
      <c r="A10519" s="76" t="s">
        <v>19995</v>
      </c>
      <c r="B10519" s="76"/>
      <c r="C10519" s="77"/>
      <c r="D10519" s="58"/>
      <c r="E10519" s="68"/>
      <c r="F10519" s="13"/>
      <c r="G10519" s="13"/>
      <c r="H10519" s="13"/>
      <c r="I10519" s="13"/>
      <c r="J10519" s="13"/>
      <c r="K10519" s="13"/>
      <c r="L10519" s="13"/>
      <c r="M10519" s="13"/>
      <c r="N10519" s="13"/>
      <c r="O10519" s="13"/>
      <c r="P10519" s="13"/>
      <c r="Q10519" s="13"/>
      <c r="R10519" s="13"/>
      <c r="S10519" s="13"/>
      <c r="T10519" s="13"/>
      <c r="U10519" s="13"/>
      <c r="V10519" s="13"/>
      <c r="W10519" s="13"/>
      <c r="X10519" s="13"/>
      <c r="Y10519" s="13"/>
      <c r="Z10519" s="13"/>
    </row>
    <row r="10520" spans="1:26" ht="12" customHeight="1" outlineLevel="4" x14ac:dyDescent="0.2">
      <c r="A10520" s="32" t="s">
        <v>19996</v>
      </c>
      <c r="B10520" s="74" t="s">
        <v>19997</v>
      </c>
      <c r="C10520" s="50"/>
      <c r="D10520" s="53">
        <f t="shared" si="164"/>
        <v>0</v>
      </c>
      <c r="E10520" s="60" t="str">
        <f>HYPERLINK("https://www.sds-group.ru/product/lenta-svetodiodnaya-5v-smd2835-4-8vt-m-60-led-m-2700k-8mm-3m-s-usb-konnektorom-chernaya-ip2-141-2004/", "Инфо")</f>
        <v>Инфо</v>
      </c>
      <c r="F10520" s="34" t="s">
        <v>39</v>
      </c>
      <c r="G10520" s="33"/>
      <c r="H10520" s="33" t="s">
        <v>40</v>
      </c>
      <c r="I10520" s="33"/>
      <c r="J10520" s="35">
        <v>80</v>
      </c>
      <c r="K10520" s="33"/>
      <c r="L10520" s="35">
        <v>1</v>
      </c>
      <c r="M10520" s="35">
        <v>100</v>
      </c>
      <c r="N10520" s="35">
        <v>1</v>
      </c>
      <c r="O10520" s="36">
        <v>267.69</v>
      </c>
      <c r="P10520" s="36">
        <v>219.42</v>
      </c>
      <c r="Q10520" s="36">
        <v>187.38</v>
      </c>
      <c r="R10520" s="36">
        <v>153.59</v>
      </c>
      <c r="S10520" s="36">
        <v>182.03</v>
      </c>
      <c r="T10520" s="36">
        <v>149.19999999999999</v>
      </c>
      <c r="U10520" s="34"/>
      <c r="V10520" s="34"/>
      <c r="W10520" s="34"/>
      <c r="X10520" s="37">
        <v>6.2E-2</v>
      </c>
      <c r="Y10520" s="38">
        <v>2.8699999999999998E-4</v>
      </c>
      <c r="Z10520" s="21">
        <v>4601004268128</v>
      </c>
    </row>
    <row r="10521" spans="1:26" ht="12" customHeight="1" outlineLevel="4" x14ac:dyDescent="0.2">
      <c r="A10521" s="32" t="s">
        <v>19998</v>
      </c>
      <c r="B10521" s="74" t="s">
        <v>19999</v>
      </c>
      <c r="C10521" s="50"/>
      <c r="D10521" s="53">
        <f t="shared" si="164"/>
        <v>0</v>
      </c>
      <c r="E10521" s="60" t="str">
        <f>HYPERLINK("https://www.sds-group.ru/product/lenta-svetodiodnaya-5v-smd2835-4-8vt-m-60-led-m-6500k-8mm-3m-s-usb-konnektorom-chernaya-ip2-141-2003/", "Инфо")</f>
        <v>Инфо</v>
      </c>
      <c r="F10521" s="34" t="s">
        <v>39</v>
      </c>
      <c r="G10521" s="33"/>
      <c r="H10521" s="33" t="s">
        <v>40</v>
      </c>
      <c r="I10521" s="33"/>
      <c r="J10521" s="35">
        <v>415</v>
      </c>
      <c r="K10521" s="33"/>
      <c r="L10521" s="35">
        <v>1</v>
      </c>
      <c r="M10521" s="35">
        <v>100</v>
      </c>
      <c r="N10521" s="35">
        <v>1</v>
      </c>
      <c r="O10521" s="36">
        <v>252.54</v>
      </c>
      <c r="P10521" s="36">
        <v>207</v>
      </c>
      <c r="Q10521" s="36">
        <v>176.78</v>
      </c>
      <c r="R10521" s="36">
        <v>144.9</v>
      </c>
      <c r="S10521" s="36">
        <v>171.73</v>
      </c>
      <c r="T10521" s="36">
        <v>140.76</v>
      </c>
      <c r="U10521" s="34"/>
      <c r="V10521" s="34"/>
      <c r="W10521" s="34"/>
      <c r="X10521" s="37">
        <v>6.3E-2</v>
      </c>
      <c r="Y10521" s="38">
        <v>2.81E-4</v>
      </c>
      <c r="Z10521" s="21">
        <v>4601004268111</v>
      </c>
    </row>
    <row r="10522" spans="1:26" ht="12" customHeight="1" outlineLevel="4" x14ac:dyDescent="0.2">
      <c r="A10522" s="32" t="s">
        <v>20000</v>
      </c>
      <c r="B10522" s="74" t="s">
        <v>20001</v>
      </c>
      <c r="C10522" s="50"/>
      <c r="D10522" s="53">
        <f t="shared" si="164"/>
        <v>0</v>
      </c>
      <c r="E10522" s="60" t="str">
        <f>HYPERLINK("https://www.sds-group.ru/product/lenta-svetodiodnaya-s-usb-konnektorom-5v-smd-2835-4-8vt-m-60-led-m-ip65-zeleniy-8mm-1m-lamper-18476/", "Инфо")</f>
        <v>Инфо</v>
      </c>
      <c r="F10522" s="34" t="s">
        <v>1767</v>
      </c>
      <c r="G10522" s="33"/>
      <c r="H10522" s="33" t="s">
        <v>40</v>
      </c>
      <c r="I10522" s="33"/>
      <c r="J10522" s="35">
        <v>1</v>
      </c>
      <c r="K10522" s="33"/>
      <c r="L10522" s="35">
        <v>1</v>
      </c>
      <c r="M10522" s="35">
        <v>300</v>
      </c>
      <c r="N10522" s="35">
        <v>1</v>
      </c>
      <c r="O10522" s="36">
        <v>203.38</v>
      </c>
      <c r="P10522" s="36">
        <v>166.7</v>
      </c>
      <c r="Q10522" s="36">
        <v>142.37</v>
      </c>
      <c r="R10522" s="36">
        <v>116.7</v>
      </c>
      <c r="S10522" s="36">
        <v>138.30000000000001</v>
      </c>
      <c r="T10522" s="36">
        <v>113.36</v>
      </c>
      <c r="U10522" s="34"/>
      <c r="V10522" s="34"/>
      <c r="W10522" s="34"/>
      <c r="X10522" s="37">
        <v>5.3999999999999999E-2</v>
      </c>
      <c r="Y10522" s="38">
        <v>2.1999999999999999E-5</v>
      </c>
      <c r="Z10522" s="21">
        <v>4601004132474</v>
      </c>
    </row>
    <row r="10523" spans="1:26" ht="12" customHeight="1" outlineLevel="4" x14ac:dyDescent="0.2">
      <c r="A10523" s="32" t="s">
        <v>20002</v>
      </c>
      <c r="B10523" s="74" t="s">
        <v>20003</v>
      </c>
      <c r="C10523" s="50"/>
      <c r="D10523" s="53">
        <f t="shared" si="164"/>
        <v>0</v>
      </c>
      <c r="E10523" s="60" t="str">
        <f>HYPERLINK("https://www.sds-group.ru/product/lenta-svetodiodnaya-5v-smd5050-4-8vt-m-60-led-m-rgb-10mm-1m-s-usb-konnektorom-chernaya-ip65--141-387/", "Инфо")</f>
        <v>Инфо</v>
      </c>
      <c r="F10523" s="34" t="s">
        <v>1767</v>
      </c>
      <c r="G10523" s="33"/>
      <c r="H10523" s="33" t="s">
        <v>40</v>
      </c>
      <c r="I10523" s="33"/>
      <c r="J10523" s="35">
        <v>387</v>
      </c>
      <c r="K10523" s="33"/>
      <c r="L10523" s="35">
        <v>1</v>
      </c>
      <c r="M10523" s="35">
        <v>200</v>
      </c>
      <c r="N10523" s="35">
        <v>1</v>
      </c>
      <c r="O10523" s="36">
        <v>285.66000000000003</v>
      </c>
      <c r="P10523" s="36">
        <v>234.15</v>
      </c>
      <c r="Q10523" s="36">
        <v>199.96</v>
      </c>
      <c r="R10523" s="36">
        <v>163.9</v>
      </c>
      <c r="S10523" s="36">
        <v>194.25</v>
      </c>
      <c r="T10523" s="36">
        <v>159.22</v>
      </c>
      <c r="U10523" s="34"/>
      <c r="V10523" s="34"/>
      <c r="W10523" s="34"/>
      <c r="X10523" s="37">
        <v>7.5999999999999998E-2</v>
      </c>
      <c r="Y10523" s="38">
        <v>5.0900000000000001E-4</v>
      </c>
      <c r="Z10523" s="21">
        <v>4601004132504</v>
      </c>
    </row>
    <row r="10524" spans="1:26" ht="12" customHeight="1" outlineLevel="4" x14ac:dyDescent="0.2">
      <c r="A10524" s="32" t="s">
        <v>20004</v>
      </c>
      <c r="B10524" s="74" t="s">
        <v>20005</v>
      </c>
      <c r="C10524" s="50"/>
      <c r="D10524" s="53">
        <f t="shared" si="164"/>
        <v>0</v>
      </c>
      <c r="E10524" s="60" t="str">
        <f>HYPERLINK("https://www.sds-group.ru/product/lenta-svetodiodnaya-5v-smd5050-7-2vt-m-30-led-m-rgb-10mm-3m-s-usb-konnektorom-chernaya-ip20-141-2009/", "Инфо")</f>
        <v>Инфо</v>
      </c>
      <c r="F10524" s="34" t="s">
        <v>39</v>
      </c>
      <c r="G10524" s="33"/>
      <c r="H10524" s="33" t="s">
        <v>40</v>
      </c>
      <c r="I10524" s="33"/>
      <c r="J10524" s="35">
        <v>592</v>
      </c>
      <c r="K10524" s="33"/>
      <c r="L10524" s="35">
        <v>1</v>
      </c>
      <c r="M10524" s="35">
        <v>100</v>
      </c>
      <c r="N10524" s="35">
        <v>1</v>
      </c>
      <c r="O10524" s="36">
        <v>506.78</v>
      </c>
      <c r="P10524" s="36">
        <v>415.39</v>
      </c>
      <c r="Q10524" s="36">
        <v>354.75</v>
      </c>
      <c r="R10524" s="36">
        <v>290.77999999999997</v>
      </c>
      <c r="S10524" s="36">
        <v>344.61</v>
      </c>
      <c r="T10524" s="36">
        <v>282.47000000000003</v>
      </c>
      <c r="U10524" s="34"/>
      <c r="V10524" s="34"/>
      <c r="W10524" s="34"/>
      <c r="X10524" s="37">
        <v>0.09</v>
      </c>
      <c r="Y10524" s="38">
        <v>4.08E-4</v>
      </c>
      <c r="Z10524" s="21">
        <v>4601004268135</v>
      </c>
    </row>
    <row r="10525" spans="1:26" ht="12.95" customHeight="1" outlineLevel="3" x14ac:dyDescent="0.2">
      <c r="A10525" s="76" t="s">
        <v>20006</v>
      </c>
      <c r="B10525" s="76"/>
      <c r="C10525" s="77"/>
      <c r="D10525" s="58"/>
      <c r="E10525" s="68"/>
      <c r="F10525" s="13"/>
      <c r="G10525" s="13"/>
      <c r="H10525" s="13"/>
      <c r="I10525" s="13"/>
      <c r="J10525" s="13"/>
      <c r="K10525" s="13"/>
      <c r="L10525" s="13"/>
      <c r="M10525" s="13"/>
      <c r="N10525" s="13"/>
      <c r="O10525" s="13"/>
      <c r="P10525" s="13"/>
      <c r="Q10525" s="13"/>
      <c r="R10525" s="13"/>
      <c r="S10525" s="13"/>
      <c r="T10525" s="13"/>
      <c r="U10525" s="13"/>
      <c r="V10525" s="13"/>
      <c r="W10525" s="13"/>
      <c r="X10525" s="13"/>
      <c r="Y10525" s="13"/>
      <c r="Z10525" s="13"/>
    </row>
    <row r="10526" spans="1:26" ht="12" customHeight="1" outlineLevel="4" x14ac:dyDescent="0.2">
      <c r="A10526" s="32" t="s">
        <v>20007</v>
      </c>
      <c r="B10526" s="74" t="s">
        <v>20008</v>
      </c>
      <c r="C10526" s="50"/>
      <c r="D10526" s="53">
        <f t="shared" si="164"/>
        <v>0</v>
      </c>
      <c r="E10526" s="60" t="str">
        <f>HYPERLINK("https://www.sds-group.ru/product/lenta-svetodiodnaya-12v-smd2835-4-8vt-m-60-led-m-2700k-8mm-5m-dlya-bp-s-klemmami-ip65-lampe-141-2016/", "Инфо")</f>
        <v>Инфо</v>
      </c>
      <c r="F10526" s="34" t="s">
        <v>39</v>
      </c>
      <c r="G10526" s="33"/>
      <c r="H10526" s="33" t="s">
        <v>40</v>
      </c>
      <c r="I10526" s="33"/>
      <c r="J10526" s="35">
        <v>106</v>
      </c>
      <c r="K10526" s="33"/>
      <c r="L10526" s="35">
        <v>1</v>
      </c>
      <c r="M10526" s="35">
        <v>100</v>
      </c>
      <c r="N10526" s="35">
        <v>1</v>
      </c>
      <c r="O10526" s="36">
        <v>575.45000000000005</v>
      </c>
      <c r="P10526" s="36">
        <v>471.68</v>
      </c>
      <c r="Q10526" s="36">
        <v>402.82</v>
      </c>
      <c r="R10526" s="36">
        <v>330.18</v>
      </c>
      <c r="S10526" s="36">
        <v>391.31</v>
      </c>
      <c r="T10526" s="36">
        <v>320.75</v>
      </c>
      <c r="U10526" s="34"/>
      <c r="V10526" s="34"/>
      <c r="W10526" s="34"/>
      <c r="X10526" s="37">
        <v>0.107</v>
      </c>
      <c r="Y10526" s="38">
        <v>3.59E-4</v>
      </c>
      <c r="Z10526" s="21">
        <v>4601004268197</v>
      </c>
    </row>
    <row r="10527" spans="1:26" ht="12" customHeight="1" outlineLevel="4" x14ac:dyDescent="0.2">
      <c r="A10527" s="32" t="s">
        <v>20009</v>
      </c>
      <c r="B10527" s="74" t="s">
        <v>20010</v>
      </c>
      <c r="C10527" s="50"/>
      <c r="D10527" s="53">
        <f t="shared" si="164"/>
        <v>0</v>
      </c>
      <c r="E10527" s="60" t="str">
        <f>HYPERLINK("https://www.sds-group.ru/product/lenta-svetodiodnaya-12v-smd2835-4-8vt-m-60-led-m-3000k-8mm-5m-ip20-lamper-141-336/", "Инфо")</f>
        <v>Инфо</v>
      </c>
      <c r="F10527" s="34" t="s">
        <v>39</v>
      </c>
      <c r="G10527" s="33"/>
      <c r="H10527" s="33" t="s">
        <v>40</v>
      </c>
      <c r="I10527" s="33"/>
      <c r="J10527" s="35">
        <v>243</v>
      </c>
      <c r="K10527" s="33"/>
      <c r="L10527" s="35">
        <v>1</v>
      </c>
      <c r="M10527" s="35">
        <v>50</v>
      </c>
      <c r="N10527" s="35">
        <v>1</v>
      </c>
      <c r="O10527" s="36">
        <v>167.79</v>
      </c>
      <c r="P10527" s="36">
        <v>137.53</v>
      </c>
      <c r="Q10527" s="36">
        <v>117.45</v>
      </c>
      <c r="R10527" s="36">
        <v>96.27</v>
      </c>
      <c r="S10527" s="36">
        <v>114.1</v>
      </c>
      <c r="T10527" s="36">
        <v>93.52</v>
      </c>
      <c r="U10527" s="34"/>
      <c r="V10527" s="34"/>
      <c r="W10527" s="34"/>
      <c r="X10527" s="37">
        <v>7.2999999999999995E-2</v>
      </c>
      <c r="Y10527" s="38">
        <v>4.2499999999999998E-4</v>
      </c>
      <c r="Z10527" s="21">
        <v>4660008010614</v>
      </c>
    </row>
    <row r="10528" spans="1:26" ht="12" customHeight="1" outlineLevel="4" x14ac:dyDescent="0.2">
      <c r="A10528" s="32" t="s">
        <v>20011</v>
      </c>
      <c r="B10528" s="74" t="s">
        <v>20012</v>
      </c>
      <c r="C10528" s="50"/>
      <c r="D10528" s="53">
        <f t="shared" si="164"/>
        <v>0</v>
      </c>
      <c r="E10528" s="60" t="str">
        <f>HYPERLINK("https://www.sds-group.ru/product/lenta-svetodiodnaya-12v-smd2835-4-8vt-m-60-led-m-6500k-8mm-5m-ip20-lamper-141-335/", "Инфо")</f>
        <v>Инфо</v>
      </c>
      <c r="F10528" s="34" t="s">
        <v>39</v>
      </c>
      <c r="G10528" s="33"/>
      <c r="H10528" s="33" t="s">
        <v>40</v>
      </c>
      <c r="I10528" s="33"/>
      <c r="J10528" s="39">
        <v>1980</v>
      </c>
      <c r="K10528" s="33"/>
      <c r="L10528" s="35">
        <v>1</v>
      </c>
      <c r="M10528" s="35">
        <v>100</v>
      </c>
      <c r="N10528" s="35">
        <v>1</v>
      </c>
      <c r="O10528" s="36">
        <v>167.79</v>
      </c>
      <c r="P10528" s="36">
        <v>137.53</v>
      </c>
      <c r="Q10528" s="36">
        <v>117.45</v>
      </c>
      <c r="R10528" s="36">
        <v>96.27</v>
      </c>
      <c r="S10528" s="36">
        <v>114.1</v>
      </c>
      <c r="T10528" s="36">
        <v>93.52</v>
      </c>
      <c r="U10528" s="34"/>
      <c r="V10528" s="34"/>
      <c r="W10528" s="34"/>
      <c r="X10528" s="37">
        <v>5.1999999999999998E-2</v>
      </c>
      <c r="Y10528" s="38">
        <v>3.2400000000000001E-4</v>
      </c>
      <c r="Z10528" s="21">
        <v>4610003606503</v>
      </c>
    </row>
    <row r="10529" spans="1:26" ht="12" customHeight="1" outlineLevel="4" x14ac:dyDescent="0.2">
      <c r="A10529" s="32" t="s">
        <v>20013</v>
      </c>
      <c r="B10529" s="74" t="s">
        <v>20014</v>
      </c>
      <c r="C10529" s="50"/>
      <c r="D10529" s="53">
        <f t="shared" si="164"/>
        <v>0</v>
      </c>
      <c r="E10529" s="60" t="str">
        <f>HYPERLINK("https://www.sds-group.ru/product/lenta-svetodiodnaya-12v-smd2835-4-8vt-m-60-led-m-6500k-8mm-20m-dlya-bp-s-klemmami-ip20-lamp-141-2011/", "Инфо")</f>
        <v>Инфо</v>
      </c>
      <c r="F10529" s="34" t="s">
        <v>1767</v>
      </c>
      <c r="G10529" s="33"/>
      <c r="H10529" s="33" t="s">
        <v>40</v>
      </c>
      <c r="I10529" s="33"/>
      <c r="J10529" s="39">
        <v>3500</v>
      </c>
      <c r="K10529" s="33"/>
      <c r="L10529" s="35">
        <v>20</v>
      </c>
      <c r="M10529" s="39">
        <v>2000</v>
      </c>
      <c r="N10529" s="35">
        <v>20</v>
      </c>
      <c r="O10529" s="36">
        <v>32.200000000000003</v>
      </c>
      <c r="P10529" s="36">
        <v>26.39</v>
      </c>
      <c r="Q10529" s="36">
        <v>22.54</v>
      </c>
      <c r="R10529" s="36">
        <v>18.48</v>
      </c>
      <c r="S10529" s="36">
        <v>21.9</v>
      </c>
      <c r="T10529" s="36">
        <v>17.95</v>
      </c>
      <c r="U10529" s="34"/>
      <c r="V10529" s="34"/>
      <c r="W10529" s="34"/>
      <c r="X10529" s="37">
        <v>8.9999999999999993E-3</v>
      </c>
      <c r="Y10529" s="38">
        <v>2.8E-5</v>
      </c>
      <c r="Z10529" s="21">
        <v>4601004268838</v>
      </c>
    </row>
    <row r="10530" spans="1:26" ht="12" customHeight="1" outlineLevel="4" x14ac:dyDescent="0.2">
      <c r="A10530" s="32" t="s">
        <v>20015</v>
      </c>
      <c r="B10530" s="74" t="s">
        <v>20016</v>
      </c>
      <c r="C10530" s="50"/>
      <c r="D10530" s="53">
        <f t="shared" si="164"/>
        <v>0</v>
      </c>
      <c r="E10530" s="60" t="str">
        <f>HYPERLINK("https://www.sds-group.ru/product/lenta-svetodiodnaya-12v-smd2835-4-8vt-m-60-led-m-6500k-8mm-5m-dlya-bp-s-klemmami-ip20-lampe-141-2013/", "Инфо")</f>
        <v>Инфо</v>
      </c>
      <c r="F10530" s="34" t="s">
        <v>39</v>
      </c>
      <c r="G10530" s="33"/>
      <c r="H10530" s="33" t="s">
        <v>40</v>
      </c>
      <c r="I10530" s="33"/>
      <c r="J10530" s="39">
        <v>1451</v>
      </c>
      <c r="K10530" s="33"/>
      <c r="L10530" s="35">
        <v>1</v>
      </c>
      <c r="M10530" s="35">
        <v>100</v>
      </c>
      <c r="N10530" s="35">
        <v>1</v>
      </c>
      <c r="O10530" s="36">
        <v>167.8</v>
      </c>
      <c r="P10530" s="36">
        <v>137.54</v>
      </c>
      <c r="Q10530" s="36">
        <v>117.46</v>
      </c>
      <c r="R10530" s="36">
        <v>96.28</v>
      </c>
      <c r="S10530" s="36">
        <v>114.1</v>
      </c>
      <c r="T10530" s="36">
        <v>93.52</v>
      </c>
      <c r="U10530" s="34"/>
      <c r="V10530" s="34"/>
      <c r="W10530" s="34"/>
      <c r="X10530" s="37">
        <v>5.5E-2</v>
      </c>
      <c r="Y10530" s="38">
        <v>2.72E-4</v>
      </c>
      <c r="Z10530" s="21">
        <v>4601004268166</v>
      </c>
    </row>
    <row r="10531" spans="1:26" ht="12" customHeight="1" outlineLevel="4" x14ac:dyDescent="0.2">
      <c r="A10531" s="32" t="s">
        <v>20017</v>
      </c>
      <c r="B10531" s="74" t="s">
        <v>20018</v>
      </c>
      <c r="C10531" s="50"/>
      <c r="D10531" s="53">
        <f t="shared" si="164"/>
        <v>0</v>
      </c>
      <c r="E10531" s="60" t="str">
        <f>HYPERLINK("https://www.sds-group.ru/product/lenta-svetodiodnaya-12v-smd2835-4-8vt-m-60-led-m-siniy-8mm-5m-ip20-lamper-141-333/", "Инфо")</f>
        <v>Инфо</v>
      </c>
      <c r="F10531" s="34" t="s">
        <v>39</v>
      </c>
      <c r="G10531" s="33"/>
      <c r="H10531" s="33" t="s">
        <v>40</v>
      </c>
      <c r="I10531" s="33"/>
      <c r="J10531" s="35">
        <v>610</v>
      </c>
      <c r="K10531" s="33"/>
      <c r="L10531" s="35">
        <v>1</v>
      </c>
      <c r="M10531" s="35">
        <v>50</v>
      </c>
      <c r="N10531" s="35">
        <v>1</v>
      </c>
      <c r="O10531" s="36">
        <v>167.8</v>
      </c>
      <c r="P10531" s="36">
        <v>137.54</v>
      </c>
      <c r="Q10531" s="36">
        <v>117.46</v>
      </c>
      <c r="R10531" s="36">
        <v>96.28</v>
      </c>
      <c r="S10531" s="36">
        <v>114.1</v>
      </c>
      <c r="T10531" s="36">
        <v>93.52</v>
      </c>
      <c r="U10531" s="34"/>
      <c r="V10531" s="34"/>
      <c r="W10531" s="34"/>
      <c r="X10531" s="37">
        <v>5.6000000000000001E-2</v>
      </c>
      <c r="Y10531" s="38">
        <v>4.8799999999999999E-4</v>
      </c>
      <c r="Z10531" s="21">
        <v>4610003606497</v>
      </c>
    </row>
    <row r="10532" spans="1:26" ht="12" customHeight="1" outlineLevel="4" x14ac:dyDescent="0.2">
      <c r="A10532" s="32" t="s">
        <v>20019</v>
      </c>
      <c r="B10532" s="74" t="s">
        <v>20020</v>
      </c>
      <c r="C10532" s="50"/>
      <c r="D10532" s="53">
        <f t="shared" si="164"/>
        <v>0</v>
      </c>
      <c r="E10532" s="60" t="str">
        <f>HYPERLINK("https://www.sds-group.ru/product/lenta-svetodiodnaya-12v-smd2835-9-6-vt-m-120-led-m-6500k-8mm-5m-ip65-lamper-141-365/", "Инфо")</f>
        <v>Инфо</v>
      </c>
      <c r="F10532" s="34" t="s">
        <v>39</v>
      </c>
      <c r="G10532" s="33"/>
      <c r="H10532" s="33" t="s">
        <v>40</v>
      </c>
      <c r="I10532" s="33"/>
      <c r="J10532" s="35">
        <v>85</v>
      </c>
      <c r="K10532" s="33"/>
      <c r="L10532" s="35">
        <v>1</v>
      </c>
      <c r="M10532" s="35">
        <v>50</v>
      </c>
      <c r="N10532" s="35">
        <v>1</v>
      </c>
      <c r="O10532" s="36">
        <v>357.53</v>
      </c>
      <c r="P10532" s="36">
        <v>293.06</v>
      </c>
      <c r="Q10532" s="36">
        <v>250.27</v>
      </c>
      <c r="R10532" s="36">
        <v>205.14</v>
      </c>
      <c r="S10532" s="36">
        <v>243.12</v>
      </c>
      <c r="T10532" s="36">
        <v>199.28</v>
      </c>
      <c r="U10532" s="34"/>
      <c r="V10532" s="34"/>
      <c r="W10532" s="34"/>
      <c r="X10532" s="37">
        <v>0.16</v>
      </c>
      <c r="Y10532" s="38">
        <v>5.4799999999999998E-4</v>
      </c>
      <c r="Z10532" s="21">
        <v>4601004061040</v>
      </c>
    </row>
    <row r="10533" spans="1:26" ht="12" customHeight="1" outlineLevel="4" x14ac:dyDescent="0.2">
      <c r="A10533" s="32" t="s">
        <v>20021</v>
      </c>
      <c r="B10533" s="74" t="s">
        <v>20022</v>
      </c>
      <c r="C10533" s="50"/>
      <c r="D10533" s="53">
        <f t="shared" si="164"/>
        <v>0</v>
      </c>
      <c r="E10533" s="60" t="str">
        <f>HYPERLINK("https://www.sds-group.ru/product/lenta-svetodiodnaya-12v-smd2835-9-6vt-m-120-led-m-3000k-8mm-5m-ip20-lamper-141-396/", "Инфо")</f>
        <v>Инфо</v>
      </c>
      <c r="F10533" s="34" t="s">
        <v>39</v>
      </c>
      <c r="G10533" s="33"/>
      <c r="H10533" s="33" t="s">
        <v>40</v>
      </c>
      <c r="I10533" s="33"/>
      <c r="J10533" s="35">
        <v>265</v>
      </c>
      <c r="K10533" s="33"/>
      <c r="L10533" s="35">
        <v>1</v>
      </c>
      <c r="M10533" s="35">
        <v>50</v>
      </c>
      <c r="N10533" s="35">
        <v>1</v>
      </c>
      <c r="O10533" s="36">
        <v>213.8</v>
      </c>
      <c r="P10533" s="36">
        <v>175.25</v>
      </c>
      <c r="Q10533" s="36">
        <v>149.66</v>
      </c>
      <c r="R10533" s="36">
        <v>122.67</v>
      </c>
      <c r="S10533" s="36">
        <v>145.38</v>
      </c>
      <c r="T10533" s="36">
        <v>119.16</v>
      </c>
      <c r="U10533" s="34"/>
      <c r="V10533" s="34"/>
      <c r="W10533" s="34"/>
      <c r="X10533" s="37">
        <v>7.8E-2</v>
      </c>
      <c r="Y10533" s="38">
        <v>2.5900000000000001E-4</v>
      </c>
      <c r="Z10533" s="21">
        <v>4601004012943</v>
      </c>
    </row>
    <row r="10534" spans="1:26" ht="12" customHeight="1" outlineLevel="4" x14ac:dyDescent="0.2">
      <c r="A10534" s="32" t="s">
        <v>20023</v>
      </c>
      <c r="B10534" s="74" t="s">
        <v>20024</v>
      </c>
      <c r="C10534" s="50"/>
      <c r="D10534" s="53">
        <f t="shared" si="164"/>
        <v>0</v>
      </c>
      <c r="E10534" s="60" t="str">
        <f>HYPERLINK("https://www.sds-group.ru/product/lenta-svetodiodnaya-12v-smd3030-10-5vt-m-30-led-m-rgb-10mm-3m-s-razemom-dlya-kontrollera-4p-141-2032/", "Инфо")</f>
        <v>Инфо</v>
      </c>
      <c r="F10534" s="34" t="s">
        <v>39</v>
      </c>
      <c r="G10534" s="33"/>
      <c r="H10534" s="33" t="s">
        <v>40</v>
      </c>
      <c r="I10534" s="33"/>
      <c r="J10534" s="35">
        <v>219</v>
      </c>
      <c r="K10534" s="33"/>
      <c r="L10534" s="35">
        <v>1</v>
      </c>
      <c r="M10534" s="35">
        <v>100</v>
      </c>
      <c r="N10534" s="35">
        <v>1</v>
      </c>
      <c r="O10534" s="36">
        <v>252.54</v>
      </c>
      <c r="P10534" s="36">
        <v>207</v>
      </c>
      <c r="Q10534" s="36">
        <v>176.78</v>
      </c>
      <c r="R10534" s="36">
        <v>144.9</v>
      </c>
      <c r="S10534" s="36">
        <v>171.73</v>
      </c>
      <c r="T10534" s="36">
        <v>140.76</v>
      </c>
      <c r="U10534" s="34"/>
      <c r="V10534" s="34"/>
      <c r="W10534" s="34"/>
      <c r="X10534" s="37">
        <v>7.0999999999999994E-2</v>
      </c>
      <c r="Y10534" s="38">
        <v>4.26E-4</v>
      </c>
      <c r="Z10534" s="21">
        <v>4601004269583</v>
      </c>
    </row>
    <row r="10535" spans="1:26" ht="12" customHeight="1" outlineLevel="4" x14ac:dyDescent="0.2">
      <c r="A10535" s="32" t="s">
        <v>20025</v>
      </c>
      <c r="B10535" s="74" t="s">
        <v>20026</v>
      </c>
      <c r="C10535" s="50"/>
      <c r="D10535" s="53">
        <f t="shared" si="164"/>
        <v>0</v>
      </c>
      <c r="E10535" s="60" t="str">
        <f>HYPERLINK("https://www.sds-group.ru/product/lenta-svetodiodnaya-12v-smd5050-14-4vt-m-60-led-m-2700k-10mm-3m-dlya-bp-s-klemmami-ip20-lam-141-2022/", "Инфо")</f>
        <v>Инфо</v>
      </c>
      <c r="F10535" s="34" t="s">
        <v>39</v>
      </c>
      <c r="G10535" s="33"/>
      <c r="H10535" s="33" t="s">
        <v>40</v>
      </c>
      <c r="I10535" s="33"/>
      <c r="J10535" s="35">
        <v>131</v>
      </c>
      <c r="K10535" s="33"/>
      <c r="L10535" s="35">
        <v>1</v>
      </c>
      <c r="M10535" s="35">
        <v>100</v>
      </c>
      <c r="N10535" s="35">
        <v>1</v>
      </c>
      <c r="O10535" s="36">
        <v>231.76</v>
      </c>
      <c r="P10535" s="36">
        <v>189.97</v>
      </c>
      <c r="Q10535" s="36">
        <v>162.22999999999999</v>
      </c>
      <c r="R10535" s="36">
        <v>132.97999999999999</v>
      </c>
      <c r="S10535" s="36">
        <v>157.6</v>
      </c>
      <c r="T10535" s="36">
        <v>129.18</v>
      </c>
      <c r="U10535" s="34"/>
      <c r="V10535" s="34"/>
      <c r="W10535" s="34"/>
      <c r="X10535" s="37">
        <v>7.6999999999999999E-2</v>
      </c>
      <c r="Y10535" s="38">
        <v>4.0999999999999999E-4</v>
      </c>
      <c r="Z10535" s="21">
        <v>4601004268098</v>
      </c>
    </row>
    <row r="10536" spans="1:26" ht="12" customHeight="1" outlineLevel="4" x14ac:dyDescent="0.2">
      <c r="A10536" s="32" t="s">
        <v>20027</v>
      </c>
      <c r="B10536" s="74" t="s">
        <v>20028</v>
      </c>
      <c r="C10536" s="50"/>
      <c r="D10536" s="53">
        <f t="shared" si="164"/>
        <v>0</v>
      </c>
      <c r="E10536" s="60" t="str">
        <f>HYPERLINK("https://www.sds-group.ru/product/lenta-svetodiodnaya-12v-smd5050-14-4vt-m-60-led-m-2700k-10mm-3m-dlya-bp-s-klemmami-ip65-lam-141-2030/", "Инфо")</f>
        <v>Инфо</v>
      </c>
      <c r="F10536" s="34" t="s">
        <v>39</v>
      </c>
      <c r="G10536" s="33"/>
      <c r="H10536" s="33" t="s">
        <v>40</v>
      </c>
      <c r="I10536" s="33"/>
      <c r="J10536" s="35">
        <v>149</v>
      </c>
      <c r="K10536" s="33"/>
      <c r="L10536" s="35">
        <v>1</v>
      </c>
      <c r="M10536" s="35">
        <v>100</v>
      </c>
      <c r="N10536" s="35">
        <v>1</v>
      </c>
      <c r="O10536" s="36">
        <v>320.33999999999997</v>
      </c>
      <c r="P10536" s="36">
        <v>262.57</v>
      </c>
      <c r="Q10536" s="36">
        <v>224.24</v>
      </c>
      <c r="R10536" s="36">
        <v>183.8</v>
      </c>
      <c r="S10536" s="36">
        <v>217.83</v>
      </c>
      <c r="T10536" s="36">
        <v>178.55</v>
      </c>
      <c r="U10536" s="34"/>
      <c r="V10536" s="34"/>
      <c r="W10536" s="34"/>
      <c r="X10536" s="37">
        <v>0.108</v>
      </c>
      <c r="Y10536" s="38">
        <v>4.17E-4</v>
      </c>
      <c r="Z10536" s="21">
        <v>4601004268272</v>
      </c>
    </row>
    <row r="10537" spans="1:26" ht="12" customHeight="1" outlineLevel="4" x14ac:dyDescent="0.2">
      <c r="A10537" s="32" t="s">
        <v>20029</v>
      </c>
      <c r="B10537" s="74" t="s">
        <v>20030</v>
      </c>
      <c r="C10537" s="50"/>
      <c r="D10537" s="53">
        <f t="shared" si="164"/>
        <v>0</v>
      </c>
      <c r="E10537" s="60" t="str">
        <f>HYPERLINK("https://www.sds-group.ru/product/lenta-svetodiodnaya-12v-smd5050-14-4vt-m-60-led-m-3000k-10mm-5m-ip65-lamper-141-496/", "Инфо")</f>
        <v>Инфо</v>
      </c>
      <c r="F10537" s="34" t="s">
        <v>39</v>
      </c>
      <c r="G10537" s="33"/>
      <c r="H10537" s="33" t="s">
        <v>40</v>
      </c>
      <c r="I10537" s="33"/>
      <c r="J10537" s="35">
        <v>283</v>
      </c>
      <c r="K10537" s="33"/>
      <c r="L10537" s="35">
        <v>1</v>
      </c>
      <c r="M10537" s="35">
        <v>50</v>
      </c>
      <c r="N10537" s="35">
        <v>1</v>
      </c>
      <c r="O10537" s="36">
        <v>501.91</v>
      </c>
      <c r="P10537" s="36">
        <v>411.4</v>
      </c>
      <c r="Q10537" s="36">
        <v>351.34</v>
      </c>
      <c r="R10537" s="36">
        <v>287.98</v>
      </c>
      <c r="S10537" s="36">
        <v>341.3</v>
      </c>
      <c r="T10537" s="36">
        <v>279.75</v>
      </c>
      <c r="U10537" s="34"/>
      <c r="V10537" s="34"/>
      <c r="W10537" s="34"/>
      <c r="X10537" s="37">
        <v>0.17899999999999999</v>
      </c>
      <c r="Y10537" s="38">
        <v>3.7199999999999999E-4</v>
      </c>
      <c r="Z10537" s="21">
        <v>4601004013049</v>
      </c>
    </row>
    <row r="10538" spans="1:26" ht="12" customHeight="1" outlineLevel="4" x14ac:dyDescent="0.2">
      <c r="A10538" s="32" t="s">
        <v>20031</v>
      </c>
      <c r="B10538" s="74" t="s">
        <v>20032</v>
      </c>
      <c r="C10538" s="50"/>
      <c r="D10538" s="53">
        <f t="shared" si="164"/>
        <v>0</v>
      </c>
      <c r="E10538" s="60" t="str">
        <f>HYPERLINK("https://www.sds-group.ru/product/lenta-svetodiodnaya-12v-smd5050-14-4vt-m-60-led-m-4000k-10mm-3m-dlya-bp-s-klemmami-ip20-lam-141-2023/", "Инфо")</f>
        <v>Инфо</v>
      </c>
      <c r="F10538" s="34" t="s">
        <v>39</v>
      </c>
      <c r="G10538" s="33"/>
      <c r="H10538" s="33" t="s">
        <v>40</v>
      </c>
      <c r="I10538" s="33"/>
      <c r="J10538" s="35">
        <v>623</v>
      </c>
      <c r="K10538" s="33"/>
      <c r="L10538" s="35">
        <v>1</v>
      </c>
      <c r="M10538" s="35">
        <v>100</v>
      </c>
      <c r="N10538" s="35">
        <v>1</v>
      </c>
      <c r="O10538" s="36">
        <v>218.64</v>
      </c>
      <c r="P10538" s="36">
        <v>179.21</v>
      </c>
      <c r="Q10538" s="36">
        <v>153.05000000000001</v>
      </c>
      <c r="R10538" s="36">
        <v>125.45</v>
      </c>
      <c r="S10538" s="36">
        <v>148.68</v>
      </c>
      <c r="T10538" s="36">
        <v>121.87</v>
      </c>
      <c r="U10538" s="34"/>
      <c r="V10538" s="34"/>
      <c r="W10538" s="34"/>
      <c r="X10538" s="37">
        <v>7.5999999999999998E-2</v>
      </c>
      <c r="Y10538" s="38">
        <v>4.0900000000000002E-4</v>
      </c>
      <c r="Z10538" s="21">
        <v>4601004268302</v>
      </c>
    </row>
    <row r="10539" spans="1:26" ht="12" customHeight="1" outlineLevel="4" x14ac:dyDescent="0.2">
      <c r="A10539" s="32" t="s">
        <v>20033</v>
      </c>
      <c r="B10539" s="74" t="s">
        <v>20034</v>
      </c>
      <c r="C10539" s="50"/>
      <c r="D10539" s="53">
        <f t="shared" si="164"/>
        <v>0</v>
      </c>
      <c r="E10539" s="60" t="str">
        <f>HYPERLINK("https://www.sds-group.ru/product/lenta-svetodiodnaya-12v-smd5050-14-4vt-m-60-led-m-4000k-10mm-5m-dlya-bp-s-klemmami-ip20-lam-141-2026/", "Инфо")</f>
        <v>Инфо</v>
      </c>
      <c r="F10539" s="34" t="s">
        <v>39</v>
      </c>
      <c r="G10539" s="33"/>
      <c r="H10539" s="33" t="s">
        <v>40</v>
      </c>
      <c r="I10539" s="33"/>
      <c r="J10539" s="35">
        <v>581</v>
      </c>
      <c r="K10539" s="33"/>
      <c r="L10539" s="35">
        <v>1</v>
      </c>
      <c r="M10539" s="35">
        <v>100</v>
      </c>
      <c r="N10539" s="35">
        <v>1</v>
      </c>
      <c r="O10539" s="36">
        <v>337.29</v>
      </c>
      <c r="P10539" s="36">
        <v>276.47000000000003</v>
      </c>
      <c r="Q10539" s="36">
        <v>236.1</v>
      </c>
      <c r="R10539" s="36">
        <v>193.52</v>
      </c>
      <c r="S10539" s="36">
        <v>229.36</v>
      </c>
      <c r="T10539" s="36">
        <v>188</v>
      </c>
      <c r="U10539" s="34"/>
      <c r="V10539" s="34"/>
      <c r="W10539" s="34"/>
      <c r="X10539" s="37">
        <v>0.10199999999999999</v>
      </c>
      <c r="Y10539" s="38">
        <v>4.06E-4</v>
      </c>
      <c r="Z10539" s="21">
        <v>4601004268234</v>
      </c>
    </row>
    <row r="10540" spans="1:26" ht="12" customHeight="1" outlineLevel="4" x14ac:dyDescent="0.2">
      <c r="A10540" s="32" t="s">
        <v>20035</v>
      </c>
      <c r="B10540" s="74" t="s">
        <v>20036</v>
      </c>
      <c r="C10540" s="50"/>
      <c r="D10540" s="53">
        <f t="shared" si="164"/>
        <v>0</v>
      </c>
      <c r="E10540" s="60" t="str">
        <f>HYPERLINK("https://www.sds-group.ru/product/lenta-svetodiodnaya-12v-smd5050-14-4vt-m-60-led-m-6500k-10mm-3m-dlya-bp-s-klemmami-ip20-lam-141-2021/", "Инфо")</f>
        <v>Инфо</v>
      </c>
      <c r="F10540" s="34" t="s">
        <v>39</v>
      </c>
      <c r="G10540" s="33"/>
      <c r="H10540" s="33" t="s">
        <v>40</v>
      </c>
      <c r="I10540" s="33"/>
      <c r="J10540" s="35">
        <v>630</v>
      </c>
      <c r="K10540" s="33"/>
      <c r="L10540" s="35">
        <v>1</v>
      </c>
      <c r="M10540" s="35">
        <v>100</v>
      </c>
      <c r="N10540" s="35">
        <v>1</v>
      </c>
      <c r="O10540" s="36">
        <v>218.64</v>
      </c>
      <c r="P10540" s="36">
        <v>179.21</v>
      </c>
      <c r="Q10540" s="36">
        <v>153.05000000000001</v>
      </c>
      <c r="R10540" s="36">
        <v>125.45</v>
      </c>
      <c r="S10540" s="36">
        <v>148.68</v>
      </c>
      <c r="T10540" s="36">
        <v>121.87</v>
      </c>
      <c r="U10540" s="34"/>
      <c r="V10540" s="34"/>
      <c r="W10540" s="34"/>
      <c r="X10540" s="37">
        <v>7.5999999999999998E-2</v>
      </c>
      <c r="Y10540" s="38">
        <v>4.0200000000000001E-4</v>
      </c>
      <c r="Z10540" s="21">
        <v>4601004268203</v>
      </c>
    </row>
    <row r="10541" spans="1:26" ht="12" customHeight="1" outlineLevel="4" x14ac:dyDescent="0.2">
      <c r="A10541" s="32" t="s">
        <v>20037</v>
      </c>
      <c r="B10541" s="74" t="s">
        <v>20038</v>
      </c>
      <c r="C10541" s="50"/>
      <c r="D10541" s="53">
        <f t="shared" si="164"/>
        <v>0</v>
      </c>
      <c r="E10541" s="60" t="str">
        <f>HYPERLINK("https://www.sds-group.ru/product/lenta-svetodiodnaya-12v-smd5050-14-4vt-m-60-led-m-6500k-10mm-3m-dlya-bp-s-klemmami-ip65-lam-141-2029/", "Инфо")</f>
        <v>Инфо</v>
      </c>
      <c r="F10541" s="34" t="s">
        <v>39</v>
      </c>
      <c r="G10541" s="33"/>
      <c r="H10541" s="33" t="s">
        <v>40</v>
      </c>
      <c r="I10541" s="33"/>
      <c r="J10541" s="35">
        <v>64</v>
      </c>
      <c r="K10541" s="33"/>
      <c r="L10541" s="35">
        <v>1</v>
      </c>
      <c r="M10541" s="35">
        <v>100</v>
      </c>
      <c r="N10541" s="35">
        <v>1</v>
      </c>
      <c r="O10541" s="36">
        <v>320.33999999999997</v>
      </c>
      <c r="P10541" s="36">
        <v>262.57</v>
      </c>
      <c r="Q10541" s="36">
        <v>224.24</v>
      </c>
      <c r="R10541" s="36">
        <v>183.8</v>
      </c>
      <c r="S10541" s="36">
        <v>217.83</v>
      </c>
      <c r="T10541" s="36">
        <v>178.55</v>
      </c>
      <c r="U10541" s="34"/>
      <c r="V10541" s="34"/>
      <c r="W10541" s="34"/>
      <c r="X10541" s="37">
        <v>0.109</v>
      </c>
      <c r="Y10541" s="38">
        <v>4.08E-4</v>
      </c>
      <c r="Z10541" s="21">
        <v>4601004268265</v>
      </c>
    </row>
    <row r="10542" spans="1:26" ht="12" customHeight="1" outlineLevel="4" x14ac:dyDescent="0.2">
      <c r="A10542" s="32" t="s">
        <v>20039</v>
      </c>
      <c r="B10542" s="74" t="s">
        <v>20040</v>
      </c>
      <c r="C10542" s="50"/>
      <c r="D10542" s="53">
        <f t="shared" si="164"/>
        <v>0</v>
      </c>
      <c r="E10542" s="60" t="str">
        <f>HYPERLINK("https://www.sds-group.ru/product/lenta-svetodiodnaya-12v-smd5050-14-4vt-m-60-led-m-6500k-10mm-5m-dlya-bp-s-klemmami-ip20-lam-141-2024/", "Инфо")</f>
        <v>Инфо</v>
      </c>
      <c r="F10542" s="34" t="s">
        <v>39</v>
      </c>
      <c r="G10542" s="33"/>
      <c r="H10542" s="33" t="s">
        <v>40</v>
      </c>
      <c r="I10542" s="33"/>
      <c r="J10542" s="35">
        <v>443</v>
      </c>
      <c r="K10542" s="33"/>
      <c r="L10542" s="35">
        <v>1</v>
      </c>
      <c r="M10542" s="35">
        <v>100</v>
      </c>
      <c r="N10542" s="35">
        <v>1</v>
      </c>
      <c r="O10542" s="36">
        <v>337.29</v>
      </c>
      <c r="P10542" s="36">
        <v>276.47000000000003</v>
      </c>
      <c r="Q10542" s="36">
        <v>236.1</v>
      </c>
      <c r="R10542" s="36">
        <v>193.52</v>
      </c>
      <c r="S10542" s="36">
        <v>229.36</v>
      </c>
      <c r="T10542" s="36">
        <v>188</v>
      </c>
      <c r="U10542" s="34"/>
      <c r="V10542" s="34"/>
      <c r="W10542" s="34"/>
      <c r="X10542" s="37">
        <v>0.10100000000000001</v>
      </c>
      <c r="Y10542" s="38">
        <v>4.0299999999999998E-4</v>
      </c>
      <c r="Z10542" s="21">
        <v>4601004268210</v>
      </c>
    </row>
    <row r="10543" spans="1:26" ht="12" customHeight="1" outlineLevel="4" x14ac:dyDescent="0.2">
      <c r="A10543" s="32" t="s">
        <v>20041</v>
      </c>
      <c r="B10543" s="74" t="s">
        <v>20042</v>
      </c>
      <c r="C10543" s="50"/>
      <c r="D10543" s="53">
        <f t="shared" si="164"/>
        <v>0</v>
      </c>
      <c r="E10543" s="60" t="str">
        <f>HYPERLINK("https://www.sds-group.ru/product/lenta-svetodiodnaya-12v-smd5050-14-4vt-m-60-led-m-rgb-10mm-5m-ip65-lamper-141-499/", "Инфо")</f>
        <v>Инфо</v>
      </c>
      <c r="F10543" s="34" t="s">
        <v>39</v>
      </c>
      <c r="G10543" s="33"/>
      <c r="H10543" s="33" t="s">
        <v>40</v>
      </c>
      <c r="I10543" s="33"/>
      <c r="J10543" s="35">
        <v>215</v>
      </c>
      <c r="K10543" s="33"/>
      <c r="L10543" s="35">
        <v>1</v>
      </c>
      <c r="M10543" s="35">
        <v>50</v>
      </c>
      <c r="N10543" s="35">
        <v>1</v>
      </c>
      <c r="O10543" s="36">
        <v>537.19000000000005</v>
      </c>
      <c r="P10543" s="36">
        <v>440.32</v>
      </c>
      <c r="Q10543" s="36">
        <v>376.03</v>
      </c>
      <c r="R10543" s="36">
        <v>308.22000000000003</v>
      </c>
      <c r="S10543" s="36">
        <v>365.29</v>
      </c>
      <c r="T10543" s="36">
        <v>299.42</v>
      </c>
      <c r="U10543" s="34"/>
      <c r="V10543" s="34"/>
      <c r="W10543" s="34"/>
      <c r="X10543" s="37">
        <v>0.16200000000000001</v>
      </c>
      <c r="Y10543" s="38">
        <v>4.08E-4</v>
      </c>
      <c r="Z10543" s="21">
        <v>4601004013056</v>
      </c>
    </row>
    <row r="10544" spans="1:26" ht="12" customHeight="1" outlineLevel="4" x14ac:dyDescent="0.2">
      <c r="A10544" s="32" t="s">
        <v>20043</v>
      </c>
      <c r="B10544" s="74" t="s">
        <v>20044</v>
      </c>
      <c r="C10544" s="50"/>
      <c r="D10544" s="53">
        <f t="shared" si="164"/>
        <v>0</v>
      </c>
      <c r="E10544" s="60" t="str">
        <f>HYPERLINK("https://www.sds-group.ru/product/lenta-svetodiodnaya-12v-smd5050-14-4vt-m-60-led-m-zheltyy-10mm-5m-ip65-lamper-141-492/", "Инфо")</f>
        <v>Инфо</v>
      </c>
      <c r="F10544" s="34" t="s">
        <v>39</v>
      </c>
      <c r="G10544" s="33"/>
      <c r="H10544" s="33" t="s">
        <v>40</v>
      </c>
      <c r="I10544" s="33"/>
      <c r="J10544" s="35">
        <v>33</v>
      </c>
      <c r="K10544" s="33"/>
      <c r="L10544" s="35">
        <v>1</v>
      </c>
      <c r="M10544" s="35">
        <v>50</v>
      </c>
      <c r="N10544" s="35">
        <v>1</v>
      </c>
      <c r="O10544" s="36">
        <v>483.29</v>
      </c>
      <c r="P10544" s="36">
        <v>396.14</v>
      </c>
      <c r="Q10544" s="36">
        <v>338.3</v>
      </c>
      <c r="R10544" s="36">
        <v>277.3</v>
      </c>
      <c r="S10544" s="36">
        <v>328.64</v>
      </c>
      <c r="T10544" s="36">
        <v>269.38</v>
      </c>
      <c r="U10544" s="34"/>
      <c r="V10544" s="34"/>
      <c r="W10544" s="34"/>
      <c r="X10544" s="37">
        <v>0.21199999999999999</v>
      </c>
      <c r="Y10544" s="38">
        <v>5.4500000000000002E-4</v>
      </c>
      <c r="Z10544" s="21">
        <v>4601004013001</v>
      </c>
    </row>
    <row r="10545" spans="1:26" ht="12.95" customHeight="1" outlineLevel="3" x14ac:dyDescent="0.2">
      <c r="A10545" s="76" t="s">
        <v>20045</v>
      </c>
      <c r="B10545" s="76"/>
      <c r="C10545" s="77"/>
      <c r="D10545" s="58"/>
      <c r="E10545" s="68"/>
      <c r="F10545" s="13"/>
      <c r="G10545" s="13"/>
      <c r="H10545" s="13"/>
      <c r="I10545" s="13"/>
      <c r="J10545" s="13"/>
      <c r="K10545" s="13"/>
      <c r="L10545" s="13"/>
      <c r="M10545" s="13"/>
      <c r="N10545" s="13"/>
      <c r="O10545" s="13"/>
      <c r="P10545" s="13"/>
      <c r="Q10545" s="13"/>
      <c r="R10545" s="13"/>
      <c r="S10545" s="13"/>
      <c r="T10545" s="13"/>
      <c r="U10545" s="13"/>
      <c r="V10545" s="13"/>
      <c r="W10545" s="13"/>
      <c r="X10545" s="13"/>
      <c r="Y10545" s="13"/>
      <c r="Z10545" s="13"/>
    </row>
    <row r="10546" spans="1:26" ht="12" customHeight="1" outlineLevel="4" x14ac:dyDescent="0.2">
      <c r="A10546" s="32" t="s">
        <v>20046</v>
      </c>
      <c r="B10546" s="74" t="s">
        <v>20047</v>
      </c>
      <c r="C10546" s="50"/>
      <c r="D10546" s="53">
        <f t="shared" si="164"/>
        <v>0</v>
      </c>
      <c r="E10546" s="60" t="str">
        <f>HYPERLINK("https://www.sds-group.ru/product/lenta-svetodiodnaya-24v-smd5050-14-4vt-m-60-led-m-3000k-10mm-5m-ip20-lamper-141-632/", "Инфо")</f>
        <v>Инфо</v>
      </c>
      <c r="F10546" s="34" t="s">
        <v>39</v>
      </c>
      <c r="G10546" s="33"/>
      <c r="H10546" s="33" t="s">
        <v>40</v>
      </c>
      <c r="I10546" s="33"/>
      <c r="J10546" s="35">
        <v>742</v>
      </c>
      <c r="K10546" s="33"/>
      <c r="L10546" s="35">
        <v>1</v>
      </c>
      <c r="M10546" s="35">
        <v>100</v>
      </c>
      <c r="N10546" s="35">
        <v>1</v>
      </c>
      <c r="O10546" s="36">
        <v>337.29</v>
      </c>
      <c r="P10546" s="36">
        <v>276.47000000000003</v>
      </c>
      <c r="Q10546" s="36">
        <v>236.1</v>
      </c>
      <c r="R10546" s="36">
        <v>193.52</v>
      </c>
      <c r="S10546" s="36">
        <v>229.36</v>
      </c>
      <c r="T10546" s="36">
        <v>188</v>
      </c>
      <c r="U10546" s="34"/>
      <c r="V10546" s="34"/>
      <c r="W10546" s="34"/>
      <c r="X10546" s="37">
        <v>7.9000000000000001E-2</v>
      </c>
      <c r="Y10546" s="38">
        <v>3.2400000000000001E-4</v>
      </c>
      <c r="Z10546" s="21">
        <v>4601004132320</v>
      </c>
    </row>
    <row r="10547" spans="1:26" ht="12.95" customHeight="1" outlineLevel="3" x14ac:dyDescent="0.2">
      <c r="A10547" s="76" t="s">
        <v>20048</v>
      </c>
      <c r="B10547" s="76"/>
      <c r="C10547" s="77"/>
      <c r="D10547" s="58"/>
      <c r="E10547" s="68"/>
      <c r="F10547" s="13"/>
      <c r="G10547" s="13"/>
      <c r="H10547" s="13"/>
      <c r="I10547" s="13"/>
      <c r="J10547" s="13"/>
      <c r="K10547" s="13"/>
      <c r="L10547" s="13"/>
      <c r="M10547" s="13"/>
      <c r="N10547" s="13"/>
      <c r="O10547" s="13"/>
      <c r="P10547" s="13"/>
      <c r="Q10547" s="13"/>
      <c r="R10547" s="13"/>
      <c r="S10547" s="13"/>
      <c r="T10547" s="13"/>
      <c r="U10547" s="13"/>
      <c r="V10547" s="13"/>
      <c r="W10547" s="13"/>
      <c r="X10547" s="13"/>
      <c r="Y10547" s="13"/>
      <c r="Z10547" s="13"/>
    </row>
    <row r="10548" spans="1:26" ht="12" customHeight="1" outlineLevel="4" x14ac:dyDescent="0.2">
      <c r="A10548" s="32" t="s">
        <v>20049</v>
      </c>
      <c r="B10548" s="74" t="s">
        <v>20050</v>
      </c>
      <c r="C10548" s="50"/>
      <c r="D10548" s="53">
        <f t="shared" si="164"/>
        <v>0</v>
      </c>
      <c r="E10548" s="60" t="str">
        <f>HYPERLINK("https://www.sds-group.ru/product/led-rgb-kontroller-2-4g-polusensornoe-upravlenie-lamper-143-103-2/", "Инфо")</f>
        <v>Инфо</v>
      </c>
      <c r="F10548" s="34" t="s">
        <v>39</v>
      </c>
      <c r="G10548" s="33"/>
      <c r="H10548" s="33" t="s">
        <v>40</v>
      </c>
      <c r="I10548" s="33"/>
      <c r="J10548" s="35">
        <v>7</v>
      </c>
      <c r="K10548" s="33"/>
      <c r="L10548" s="35">
        <v>1</v>
      </c>
      <c r="M10548" s="35">
        <v>100</v>
      </c>
      <c r="N10548" s="35">
        <v>1</v>
      </c>
      <c r="O10548" s="36">
        <v>1702.04</v>
      </c>
      <c r="P10548" s="36">
        <v>1395.11</v>
      </c>
      <c r="Q10548" s="36">
        <v>1191.43</v>
      </c>
      <c r="R10548" s="36">
        <v>976.58</v>
      </c>
      <c r="S10548" s="36">
        <v>1157.3900000000001</v>
      </c>
      <c r="T10548" s="36">
        <v>948.68</v>
      </c>
      <c r="U10548" s="34"/>
      <c r="V10548" s="34"/>
      <c r="W10548" s="34"/>
      <c r="X10548" s="37">
        <v>9.6000000000000002E-2</v>
      </c>
      <c r="Y10548" s="38">
        <v>6.7699999999999998E-4</v>
      </c>
      <c r="Z10548" s="21">
        <v>4601004002746</v>
      </c>
    </row>
    <row r="10549" spans="1:26" ht="12" customHeight="1" outlineLevel="4" x14ac:dyDescent="0.2">
      <c r="A10549" s="32" t="s">
        <v>20051</v>
      </c>
      <c r="B10549" s="74" t="s">
        <v>20052</v>
      </c>
      <c r="C10549" s="50"/>
      <c r="D10549" s="53">
        <f t="shared" si="164"/>
        <v>0</v>
      </c>
      <c r="E10549" s="60" t="str">
        <f>HYPERLINK("https://www.sds-group.ru/product/led-rgb-kontroller-infrakrasnyy-ir-12-v-6-a-infrakrasnyy-ir-lamper-143-101-3/", "Инфо")</f>
        <v>Инфо</v>
      </c>
      <c r="F10549" s="34" t="s">
        <v>39</v>
      </c>
      <c r="G10549" s="33"/>
      <c r="H10549" s="33" t="s">
        <v>40</v>
      </c>
      <c r="I10549" s="33"/>
      <c r="J10549" s="35">
        <v>678</v>
      </c>
      <c r="K10549" s="33"/>
      <c r="L10549" s="35">
        <v>1</v>
      </c>
      <c r="M10549" s="35">
        <v>100</v>
      </c>
      <c r="N10549" s="35">
        <v>1</v>
      </c>
      <c r="O10549" s="36">
        <v>191.23</v>
      </c>
      <c r="P10549" s="36">
        <v>156.75</v>
      </c>
      <c r="Q10549" s="36">
        <v>133.86000000000001</v>
      </c>
      <c r="R10549" s="36">
        <v>109.72</v>
      </c>
      <c r="S10549" s="36">
        <v>130.04</v>
      </c>
      <c r="T10549" s="36">
        <v>106.59</v>
      </c>
      <c r="U10549" s="34"/>
      <c r="V10549" s="34"/>
      <c r="W10549" s="34"/>
      <c r="X10549" s="37">
        <v>5.2999999999999999E-2</v>
      </c>
      <c r="Y10549" s="38">
        <v>4.55E-4</v>
      </c>
      <c r="Z10549" s="21">
        <v>4601004021761</v>
      </c>
    </row>
    <row r="10550" spans="1:26" ht="12" customHeight="1" outlineLevel="4" x14ac:dyDescent="0.2">
      <c r="A10550" s="32" t="s">
        <v>20053</v>
      </c>
      <c r="B10550" s="74" t="s">
        <v>20054</v>
      </c>
      <c r="C10550" s="50"/>
      <c r="D10550" s="53">
        <f t="shared" si="164"/>
        <v>0</v>
      </c>
      <c r="E10550" s="60" t="str">
        <f>HYPERLINK("https://www.sds-group.ru/product/led-mini-kontroller-s-razemom-5-5h2-1-mm-72-144-w-3-knopki-12-v-24-v-143-106/", "Инфо")</f>
        <v>Инфо</v>
      </c>
      <c r="F10550" s="34" t="s">
        <v>39</v>
      </c>
      <c r="G10550" s="33"/>
      <c r="H10550" s="33" t="s">
        <v>40</v>
      </c>
      <c r="I10550" s="33"/>
      <c r="J10550" s="35">
        <v>283</v>
      </c>
      <c r="K10550" s="33"/>
      <c r="L10550" s="35">
        <v>1</v>
      </c>
      <c r="M10550" s="35">
        <v>100</v>
      </c>
      <c r="N10550" s="35">
        <v>1</v>
      </c>
      <c r="O10550" s="36">
        <v>122.47</v>
      </c>
      <c r="P10550" s="36">
        <v>100.39</v>
      </c>
      <c r="Q10550" s="36">
        <v>85.73</v>
      </c>
      <c r="R10550" s="36">
        <v>70.27</v>
      </c>
      <c r="S10550" s="36">
        <v>83.28</v>
      </c>
      <c r="T10550" s="36">
        <v>68.260000000000005</v>
      </c>
      <c r="U10550" s="34"/>
      <c r="V10550" s="34"/>
      <c r="W10550" s="34"/>
      <c r="X10550" s="37">
        <v>8.0000000000000002E-3</v>
      </c>
      <c r="Y10550" s="38">
        <v>6.4999999999999994E-5</v>
      </c>
      <c r="Z10550" s="21">
        <v>4601004100428</v>
      </c>
    </row>
    <row r="10551" spans="1:26" ht="12" customHeight="1" outlineLevel="4" x14ac:dyDescent="0.2">
      <c r="A10551" s="32" t="s">
        <v>20055</v>
      </c>
      <c r="B10551" s="74" t="s">
        <v>20056</v>
      </c>
      <c r="C10551" s="50"/>
      <c r="D10551" s="53">
        <f t="shared" si="164"/>
        <v>0</v>
      </c>
      <c r="E10551" s="60" t="str">
        <f>HYPERLINK("https://www.sds-group.ru/product/konnektor-soedinitelnyy-dlya-rgb-svetodiodnyh-lent-shirinoy-10-mm-i-kontrollerov-dlina-30-sm-144-113/", "Инфо")</f>
        <v>Инфо</v>
      </c>
      <c r="F10551" s="34" t="s">
        <v>39</v>
      </c>
      <c r="G10551" s="33"/>
      <c r="H10551" s="33" t="s">
        <v>40</v>
      </c>
      <c r="I10551" s="33"/>
      <c r="J10551" s="35">
        <v>248</v>
      </c>
      <c r="K10551" s="33"/>
      <c r="L10551" s="35">
        <v>10</v>
      </c>
      <c r="M10551" s="35">
        <v>500</v>
      </c>
      <c r="N10551" s="35">
        <v>10</v>
      </c>
      <c r="O10551" s="36">
        <v>129.85</v>
      </c>
      <c r="P10551" s="36">
        <v>106.43</v>
      </c>
      <c r="Q10551" s="36">
        <v>90.9</v>
      </c>
      <c r="R10551" s="36">
        <v>74.510000000000005</v>
      </c>
      <c r="S10551" s="36">
        <v>88.3</v>
      </c>
      <c r="T10551" s="36">
        <v>72.38</v>
      </c>
      <c r="U10551" s="34"/>
      <c r="V10551" s="34"/>
      <c r="W10551" s="34"/>
      <c r="X10551" s="37">
        <v>0.02</v>
      </c>
      <c r="Y10551" s="38">
        <v>4.6999999999999997E-5</v>
      </c>
      <c r="Z10551" s="21">
        <v>4601004100244</v>
      </c>
    </row>
    <row r="10552" spans="1:26" ht="12" customHeight="1" outlineLevel="4" x14ac:dyDescent="0.2">
      <c r="A10552" s="32" t="s">
        <v>20057</v>
      </c>
      <c r="B10552" s="74" t="s">
        <v>20058</v>
      </c>
      <c r="C10552" s="50"/>
      <c r="D10552" s="53">
        <f t="shared" si="164"/>
        <v>0</v>
      </c>
      <c r="E10552" s="60" t="str">
        <f>HYPERLINK("https://www.sds-group.ru/product/konnektor-soedinitelnyy-dlya-odnotsvetnyh-svetodiodnyh-lent-s-vlagozaschitoy-shirinoy-10-mm--144-025/", "Инфо")</f>
        <v>Инфо</v>
      </c>
      <c r="F10552" s="34" t="s">
        <v>39</v>
      </c>
      <c r="G10552" s="33"/>
      <c r="H10552" s="33" t="s">
        <v>40</v>
      </c>
      <c r="I10552" s="33"/>
      <c r="J10552" s="35">
        <v>10</v>
      </c>
      <c r="K10552" s="33"/>
      <c r="L10552" s="35">
        <v>10</v>
      </c>
      <c r="M10552" s="39">
        <v>1000</v>
      </c>
      <c r="N10552" s="35">
        <v>10</v>
      </c>
      <c r="O10552" s="36">
        <v>139.02000000000001</v>
      </c>
      <c r="P10552" s="36">
        <v>113.95</v>
      </c>
      <c r="Q10552" s="36">
        <v>97.31</v>
      </c>
      <c r="R10552" s="36">
        <v>79.760000000000005</v>
      </c>
      <c r="S10552" s="36">
        <v>94.53</v>
      </c>
      <c r="T10552" s="36">
        <v>77.48</v>
      </c>
      <c r="U10552" s="34"/>
      <c r="V10552" s="34"/>
      <c r="W10552" s="34"/>
      <c r="X10552" s="37">
        <v>3.0000000000000001E-3</v>
      </c>
      <c r="Y10552" s="38">
        <v>1.7E-5</v>
      </c>
      <c r="Z10552" s="21">
        <v>4601004100312</v>
      </c>
    </row>
    <row r="10553" spans="1:26" ht="12" customHeight="1" outlineLevel="4" x14ac:dyDescent="0.2">
      <c r="A10553" s="32" t="s">
        <v>20059</v>
      </c>
      <c r="B10553" s="74" t="s">
        <v>20060</v>
      </c>
      <c r="C10553" s="50"/>
      <c r="D10553" s="53">
        <f t="shared" si="164"/>
        <v>0</v>
      </c>
      <c r="E10553" s="60" t="str">
        <f>HYPERLINK("https://www.sds-group.ru/product/konnektor-soedinitelnyy-dlya-odnotsvetnyh-svetodiodnyh-lent-s-vlagozaschitoy-shirinoy-8-mm-d-144-023/", "Инфо")</f>
        <v>Инфо</v>
      </c>
      <c r="F10553" s="34" t="s">
        <v>39</v>
      </c>
      <c r="G10553" s="33"/>
      <c r="H10553" s="33" t="s">
        <v>40</v>
      </c>
      <c r="I10553" s="33"/>
      <c r="J10553" s="35">
        <v>870</v>
      </c>
      <c r="K10553" s="33"/>
      <c r="L10553" s="35">
        <v>10</v>
      </c>
      <c r="M10553" s="35">
        <v>700</v>
      </c>
      <c r="N10553" s="35">
        <v>10</v>
      </c>
      <c r="O10553" s="36">
        <v>66.03</v>
      </c>
      <c r="P10553" s="36">
        <v>54.12</v>
      </c>
      <c r="Q10553" s="36">
        <v>46.22</v>
      </c>
      <c r="R10553" s="36">
        <v>37.89</v>
      </c>
      <c r="S10553" s="36">
        <v>44.9</v>
      </c>
      <c r="T10553" s="36">
        <v>36.799999999999997</v>
      </c>
      <c r="U10553" s="34"/>
      <c r="V10553" s="34"/>
      <c r="W10553" s="34"/>
      <c r="X10553" s="37">
        <v>4.0000000000000001E-3</v>
      </c>
      <c r="Y10553" s="38">
        <v>7.2000000000000002E-5</v>
      </c>
      <c r="Z10553" s="21">
        <v>4601004100305</v>
      </c>
    </row>
    <row r="10554" spans="1:26" ht="12" customHeight="1" outlineLevel="4" x14ac:dyDescent="0.2">
      <c r="A10554" s="32" t="s">
        <v>20061</v>
      </c>
      <c r="B10554" s="74" t="s">
        <v>20062</v>
      </c>
      <c r="C10554" s="50"/>
      <c r="D10554" s="53">
        <f t="shared" si="164"/>
        <v>0</v>
      </c>
      <c r="E10554" s="60" t="str">
        <f>HYPERLINK("https://www.sds-group.ru/product/konnektor-soedinitelnyy-2-razema-dlya-rgb-svetodiodnyh-lent-shirinoy-10-mm-dlina-15-sm-lampe-144-004/", "Инфо")</f>
        <v>Инфо</v>
      </c>
      <c r="F10554" s="34" t="s">
        <v>39</v>
      </c>
      <c r="G10554" s="33"/>
      <c r="H10554" s="33" t="s">
        <v>40</v>
      </c>
      <c r="I10554" s="33"/>
      <c r="J10554" s="39">
        <v>1570</v>
      </c>
      <c r="K10554" s="33"/>
      <c r="L10554" s="35">
        <v>10</v>
      </c>
      <c r="M10554" s="39">
        <v>1000</v>
      </c>
      <c r="N10554" s="35">
        <v>10</v>
      </c>
      <c r="O10554" s="36">
        <v>55.32</v>
      </c>
      <c r="P10554" s="36">
        <v>45.34</v>
      </c>
      <c r="Q10554" s="36">
        <v>38.72</v>
      </c>
      <c r="R10554" s="36">
        <v>31.74</v>
      </c>
      <c r="S10554" s="36">
        <v>37.619999999999997</v>
      </c>
      <c r="T10554" s="36">
        <v>30.84</v>
      </c>
      <c r="U10554" s="34"/>
      <c r="V10554" s="34"/>
      <c r="W10554" s="34"/>
      <c r="X10554" s="37">
        <v>6.0000000000000001E-3</v>
      </c>
      <c r="Y10554" s="38">
        <v>2.4000000000000001E-5</v>
      </c>
      <c r="Z10554" s="21">
        <v>4601004282278</v>
      </c>
    </row>
    <row r="10555" spans="1:26" ht="12" customHeight="1" outlineLevel="4" x14ac:dyDescent="0.2">
      <c r="A10555" s="32" t="s">
        <v>20063</v>
      </c>
      <c r="B10555" s="74" t="s">
        <v>20064</v>
      </c>
      <c r="C10555" s="50"/>
      <c r="D10555" s="53">
        <f t="shared" si="164"/>
        <v>0</v>
      </c>
      <c r="E10555" s="60" t="str">
        <f>HYPERLINK("https://www.sds-group.ru/product/mini-kontroller-svetodiodnyy-rgb-infrakrasnyy-ir-6-knopok-12-24v-6a-lamper-143-106-1/", "Инфо")</f>
        <v>Инфо</v>
      </c>
      <c r="F10555" s="34" t="s">
        <v>39</v>
      </c>
      <c r="G10555" s="33"/>
      <c r="H10555" s="33" t="s">
        <v>40</v>
      </c>
      <c r="I10555" s="33"/>
      <c r="J10555" s="35">
        <v>245</v>
      </c>
      <c r="K10555" s="33"/>
      <c r="L10555" s="35">
        <v>1</v>
      </c>
      <c r="M10555" s="35">
        <v>140</v>
      </c>
      <c r="N10555" s="35">
        <v>1</v>
      </c>
      <c r="O10555" s="36">
        <v>212.37</v>
      </c>
      <c r="P10555" s="36">
        <v>174.07</v>
      </c>
      <c r="Q10555" s="36">
        <v>148.66</v>
      </c>
      <c r="R10555" s="36">
        <v>121.85</v>
      </c>
      <c r="S10555" s="36">
        <v>144.41</v>
      </c>
      <c r="T10555" s="36">
        <v>118.37</v>
      </c>
      <c r="U10555" s="34"/>
      <c r="V10555" s="34"/>
      <c r="W10555" s="34"/>
      <c r="X10555" s="37">
        <v>0.03</v>
      </c>
      <c r="Y10555" s="38">
        <v>1.85E-4</v>
      </c>
      <c r="Z10555" s="21">
        <v>4601004002821</v>
      </c>
    </row>
    <row r="10556" spans="1:26" ht="12" customHeight="1" outlineLevel="4" x14ac:dyDescent="0.2">
      <c r="A10556" s="32" t="s">
        <v>20065</v>
      </c>
      <c r="B10556" s="74" t="s">
        <v>20066</v>
      </c>
      <c r="C10556" s="50"/>
      <c r="D10556" s="53">
        <f t="shared" si="164"/>
        <v>0</v>
      </c>
      <c r="E10556" s="60" t="str">
        <f>HYPERLINK("https://www.sds-group.ru/product/sensornyy-vyklyuchatel-dlya-svetodiodnoy-lenty-5-5h2-1-mm-12-24-v-36-72-vt-3-a-143-105-3/", "Инфо")</f>
        <v>Инфо</v>
      </c>
      <c r="F10556" s="34" t="s">
        <v>39</v>
      </c>
      <c r="G10556" s="33"/>
      <c r="H10556" s="33" t="s">
        <v>40</v>
      </c>
      <c r="I10556" s="33"/>
      <c r="J10556" s="35">
        <v>154</v>
      </c>
      <c r="K10556" s="33"/>
      <c r="L10556" s="35">
        <v>1</v>
      </c>
      <c r="M10556" s="35">
        <v>200</v>
      </c>
      <c r="N10556" s="35">
        <v>1</v>
      </c>
      <c r="O10556" s="36">
        <v>504.27</v>
      </c>
      <c r="P10556" s="36">
        <v>413.34</v>
      </c>
      <c r="Q10556" s="36">
        <v>352.99</v>
      </c>
      <c r="R10556" s="36">
        <v>289.33999999999997</v>
      </c>
      <c r="S10556" s="36">
        <v>342.9</v>
      </c>
      <c r="T10556" s="36">
        <v>281.07</v>
      </c>
      <c r="U10556" s="34"/>
      <c r="V10556" s="34"/>
      <c r="W10556" s="34"/>
      <c r="X10556" s="37">
        <v>3.1E-2</v>
      </c>
      <c r="Y10556" s="38">
        <v>2.5700000000000001E-4</v>
      </c>
      <c r="Z10556" s="21">
        <v>4601004132641</v>
      </c>
    </row>
    <row r="10557" spans="1:26" ht="12" customHeight="1" outlineLevel="4" x14ac:dyDescent="0.2">
      <c r="A10557" s="32" t="s">
        <v>20067</v>
      </c>
      <c r="B10557" s="74" t="s">
        <v>20068</v>
      </c>
      <c r="C10557" s="50"/>
      <c r="D10557" s="53">
        <f t="shared" si="164"/>
        <v>0</v>
      </c>
      <c r="E10557" s="60" t="str">
        <f>HYPERLINK("https://www.sds-group.ru/product/sensornyy-dimmer-vyklyuchatel-s-konnektorom-5-5h2-1-mm-143-107-1/", "Инфо")</f>
        <v>Инфо</v>
      </c>
      <c r="F10557" s="34" t="s">
        <v>39</v>
      </c>
      <c r="G10557" s="33"/>
      <c r="H10557" s="33" t="s">
        <v>40</v>
      </c>
      <c r="I10557" s="33"/>
      <c r="J10557" s="35">
        <v>226</v>
      </c>
      <c r="K10557" s="33"/>
      <c r="L10557" s="35">
        <v>1</v>
      </c>
      <c r="M10557" s="35">
        <v>300</v>
      </c>
      <c r="N10557" s="35">
        <v>1</v>
      </c>
      <c r="O10557" s="36">
        <v>361.3</v>
      </c>
      <c r="P10557" s="36">
        <v>296.14999999999998</v>
      </c>
      <c r="Q10557" s="36">
        <v>252.91</v>
      </c>
      <c r="R10557" s="36">
        <v>207.3</v>
      </c>
      <c r="S10557" s="36">
        <v>245.68</v>
      </c>
      <c r="T10557" s="36">
        <v>201.38</v>
      </c>
      <c r="U10557" s="34"/>
      <c r="V10557" s="34"/>
      <c r="W10557" s="34"/>
      <c r="X10557" s="37">
        <v>3.1E-2</v>
      </c>
      <c r="Y10557" s="38">
        <v>2.42E-4</v>
      </c>
      <c r="Z10557" s="21">
        <v>4601004113886</v>
      </c>
    </row>
    <row r="10558" spans="1:26" ht="12.95" customHeight="1" outlineLevel="3" x14ac:dyDescent="0.2">
      <c r="A10558" s="76" t="s">
        <v>20069</v>
      </c>
      <c r="B10558" s="76"/>
      <c r="C10558" s="77"/>
      <c r="D10558" s="58"/>
      <c r="E10558" s="68"/>
      <c r="F10558" s="13"/>
      <c r="G10558" s="13"/>
      <c r="H10558" s="13"/>
      <c r="I10558" s="13"/>
      <c r="J10558" s="13"/>
      <c r="K10558" s="13"/>
      <c r="L10558" s="13"/>
      <c r="M10558" s="13"/>
      <c r="N10558" s="13"/>
      <c r="O10558" s="13"/>
      <c r="P10558" s="13"/>
      <c r="Q10558" s="13"/>
      <c r="R10558" s="13"/>
      <c r="S10558" s="13"/>
      <c r="T10558" s="13"/>
      <c r="U10558" s="13"/>
      <c r="V10558" s="13"/>
      <c r="W10558" s="13"/>
      <c r="X10558" s="13"/>
      <c r="Y10558" s="13"/>
      <c r="Z10558" s="13"/>
    </row>
    <row r="10559" spans="1:26" ht="12" customHeight="1" outlineLevel="4" x14ac:dyDescent="0.2">
      <c r="A10559" s="32" t="s">
        <v>20070</v>
      </c>
      <c r="B10559" s="74" t="s">
        <v>20071</v>
      </c>
      <c r="C10559" s="50"/>
      <c r="D10559" s="53">
        <f t="shared" si="164"/>
        <v>0</v>
      </c>
      <c r="E10559" s="60" t="str">
        <f>HYPERLINK("https://www.sds-group.ru/product/komplekt-svetodiodnoy-lenty-5-m-s-blokom-pitaniya-ip65-teploe-beloe-svechenie-3000-k-lamper-142-909/", "Инфо")</f>
        <v>Инфо</v>
      </c>
      <c r="F10559" s="34" t="s">
        <v>39</v>
      </c>
      <c r="G10559" s="33"/>
      <c r="H10559" s="33" t="s">
        <v>40</v>
      </c>
      <c r="I10559" s="33"/>
      <c r="J10559" s="35">
        <v>425</v>
      </c>
      <c r="K10559" s="33"/>
      <c r="L10559" s="35">
        <v>1</v>
      </c>
      <c r="M10559" s="35">
        <v>100</v>
      </c>
      <c r="N10559" s="35">
        <v>1</v>
      </c>
      <c r="O10559" s="36">
        <v>285.66000000000003</v>
      </c>
      <c r="P10559" s="36">
        <v>234.15</v>
      </c>
      <c r="Q10559" s="36">
        <v>199.96</v>
      </c>
      <c r="R10559" s="36">
        <v>163.9</v>
      </c>
      <c r="S10559" s="36">
        <v>194.25</v>
      </c>
      <c r="T10559" s="36">
        <v>159.22</v>
      </c>
      <c r="U10559" s="34"/>
      <c r="V10559" s="34"/>
      <c r="W10559" s="34"/>
      <c r="X10559" s="37">
        <v>0.27500000000000002</v>
      </c>
      <c r="Y10559" s="38">
        <v>8.2100000000000001E-4</v>
      </c>
      <c r="Z10559" s="21">
        <v>4601004184268</v>
      </c>
    </row>
    <row r="10560" spans="1:26" ht="12" customHeight="1" outlineLevel="4" x14ac:dyDescent="0.2">
      <c r="A10560" s="32" t="s">
        <v>20072</v>
      </c>
      <c r="B10560" s="74" t="s">
        <v>20073</v>
      </c>
      <c r="C10560" s="50"/>
      <c r="D10560" s="53">
        <f t="shared" si="164"/>
        <v>0</v>
      </c>
      <c r="E10560" s="60" t="str">
        <f>HYPERLINK("https://www.sds-group.ru/product/komplekt-svetodiodnoy-lenty-5-m-s-blokom-pitaniya-i-rgb-kontrollerom-ip65-svechenie-rgb-lamp-142-402/", "Инфо")</f>
        <v>Инфо</v>
      </c>
      <c r="F10560" s="34" t="s">
        <v>39</v>
      </c>
      <c r="G10560" s="33"/>
      <c r="H10560" s="33" t="s">
        <v>40</v>
      </c>
      <c r="I10560" s="33"/>
      <c r="J10560" s="35">
        <v>155</v>
      </c>
      <c r="K10560" s="33"/>
      <c r="L10560" s="35">
        <v>1</v>
      </c>
      <c r="M10560" s="35">
        <v>40</v>
      </c>
      <c r="N10560" s="35">
        <v>1</v>
      </c>
      <c r="O10560" s="36">
        <v>357.53</v>
      </c>
      <c r="P10560" s="36">
        <v>293.06</v>
      </c>
      <c r="Q10560" s="36">
        <v>250.27</v>
      </c>
      <c r="R10560" s="36">
        <v>205.14</v>
      </c>
      <c r="S10560" s="36">
        <v>243.12</v>
      </c>
      <c r="T10560" s="36">
        <v>199.28</v>
      </c>
      <c r="U10560" s="34"/>
      <c r="V10560" s="34"/>
      <c r="W10560" s="34"/>
      <c r="X10560" s="37">
        <v>0.32600000000000001</v>
      </c>
      <c r="Y10560" s="38">
        <v>2.382E-3</v>
      </c>
      <c r="Z10560" s="21">
        <v>4601004184282</v>
      </c>
    </row>
    <row r="10561" spans="1:26" ht="12.95" customHeight="1" outlineLevel="2" x14ac:dyDescent="0.2">
      <c r="A10561" s="76" t="s">
        <v>20074</v>
      </c>
      <c r="B10561" s="76"/>
      <c r="C10561" s="77"/>
      <c r="D10561" s="58"/>
      <c r="E10561" s="68"/>
      <c r="F10561" s="13"/>
      <c r="G10561" s="13"/>
      <c r="H10561" s="13"/>
      <c r="I10561" s="13"/>
      <c r="J10561" s="13"/>
      <c r="K10561" s="13"/>
      <c r="L10561" s="13"/>
      <c r="M10561" s="13"/>
      <c r="N10561" s="13"/>
      <c r="O10561" s="13"/>
      <c r="P10561" s="13"/>
      <c r="Q10561" s="13"/>
      <c r="R10561" s="13"/>
      <c r="S10561" s="13"/>
      <c r="T10561" s="13"/>
      <c r="U10561" s="13"/>
      <c r="V10561" s="13"/>
      <c r="W10561" s="13"/>
      <c r="X10561" s="13"/>
      <c r="Y10561" s="13"/>
      <c r="Z10561" s="13"/>
    </row>
    <row r="10562" spans="1:26" ht="12.95" customHeight="1" outlineLevel="3" x14ac:dyDescent="0.2">
      <c r="A10562" s="76" t="s">
        <v>20075</v>
      </c>
      <c r="B10562" s="76"/>
      <c r="C10562" s="77"/>
      <c r="D10562" s="58"/>
      <c r="E10562" s="68"/>
      <c r="F10562" s="13"/>
      <c r="G10562" s="13"/>
      <c r="H10562" s="13"/>
      <c r="I10562" s="13"/>
      <c r="J10562" s="13"/>
      <c r="K10562" s="13"/>
      <c r="L10562" s="13"/>
      <c r="M10562" s="13"/>
      <c r="N10562" s="13"/>
      <c r="O10562" s="13"/>
      <c r="P10562" s="13"/>
      <c r="Q10562" s="13"/>
      <c r="R10562" s="13"/>
      <c r="S10562" s="13"/>
      <c r="T10562" s="13"/>
      <c r="U10562" s="13"/>
      <c r="V10562" s="13"/>
      <c r="W10562" s="13"/>
      <c r="X10562" s="13"/>
      <c r="Y10562" s="13"/>
      <c r="Z10562" s="13"/>
    </row>
    <row r="10563" spans="1:26" ht="12" customHeight="1" outlineLevel="4" x14ac:dyDescent="0.2">
      <c r="A10563" s="32" t="s">
        <v>20076</v>
      </c>
      <c r="B10563" s="74" t="s">
        <v>20077</v>
      </c>
      <c r="C10563" s="50"/>
      <c r="D10563" s="53">
        <f t="shared" si="164"/>
        <v>0</v>
      </c>
      <c r="E10563" s="60" t="str">
        <f>HYPERLINK("https://www.sds-group.ru/product/lenta-svetodiodnaya-12v-smd2835-14-4vt-m-120-led-m-3000k-8mm-50m-ip20-rexant-141-218/", "Инфо")</f>
        <v>Инфо</v>
      </c>
      <c r="F10563" s="34" t="s">
        <v>39</v>
      </c>
      <c r="G10563" s="33"/>
      <c r="H10563" s="33" t="s">
        <v>40</v>
      </c>
      <c r="I10563" s="33"/>
      <c r="J10563" s="35">
        <v>12</v>
      </c>
      <c r="K10563" s="33"/>
      <c r="L10563" s="35">
        <v>1</v>
      </c>
      <c r="M10563" s="35">
        <v>20</v>
      </c>
      <c r="N10563" s="35">
        <v>1</v>
      </c>
      <c r="O10563" s="36">
        <v>12936.01</v>
      </c>
      <c r="P10563" s="36">
        <v>10603.29</v>
      </c>
      <c r="Q10563" s="36">
        <v>9443.2900000000009</v>
      </c>
      <c r="R10563" s="36">
        <v>7740.4</v>
      </c>
      <c r="S10563" s="36">
        <v>8796.49</v>
      </c>
      <c r="T10563" s="36">
        <v>7210.24</v>
      </c>
      <c r="U10563" s="34"/>
      <c r="V10563" s="34"/>
      <c r="W10563" s="34" t="s">
        <v>40</v>
      </c>
      <c r="X10563" s="37">
        <v>0.73099999999999998</v>
      </c>
      <c r="Y10563" s="38">
        <v>1.7340000000000001E-3</v>
      </c>
      <c r="Z10563" s="21">
        <v>4601004281097</v>
      </c>
    </row>
    <row r="10564" spans="1:26" ht="12" customHeight="1" outlineLevel="4" x14ac:dyDescent="0.2">
      <c r="A10564" s="32" t="s">
        <v>20078</v>
      </c>
      <c r="B10564" s="74" t="s">
        <v>20079</v>
      </c>
      <c r="C10564" s="50"/>
      <c r="D10564" s="53">
        <f t="shared" si="164"/>
        <v>0</v>
      </c>
      <c r="E10564" s="60" t="str">
        <f>HYPERLINK("https://www.sds-group.ru/product/lenta-svetodiodnaya-12v-smd2835-14-4vt-m-120-led-m-4000k-8mm-50m-ip20-rexant-141-223/", "Инфо")</f>
        <v>Инфо</v>
      </c>
      <c r="F10564" s="34" t="s">
        <v>39</v>
      </c>
      <c r="G10564" s="33"/>
      <c r="H10564" s="33" t="s">
        <v>40</v>
      </c>
      <c r="I10564" s="33"/>
      <c r="J10564" s="35">
        <v>15</v>
      </c>
      <c r="K10564" s="33"/>
      <c r="L10564" s="35">
        <v>1</v>
      </c>
      <c r="M10564" s="35">
        <v>20</v>
      </c>
      <c r="N10564" s="35">
        <v>1</v>
      </c>
      <c r="O10564" s="36">
        <v>12936.01</v>
      </c>
      <c r="P10564" s="36">
        <v>10603.29</v>
      </c>
      <c r="Q10564" s="36">
        <v>9443.2900000000009</v>
      </c>
      <c r="R10564" s="36">
        <v>7740.4</v>
      </c>
      <c r="S10564" s="36">
        <v>8796.49</v>
      </c>
      <c r="T10564" s="36">
        <v>7210.24</v>
      </c>
      <c r="U10564" s="34"/>
      <c r="V10564" s="34"/>
      <c r="W10564" s="34" t="s">
        <v>40</v>
      </c>
      <c r="X10564" s="37">
        <v>0.72699999999999998</v>
      </c>
      <c r="Y10564" s="38">
        <v>2.5170000000000001E-3</v>
      </c>
      <c r="Z10564" s="21">
        <v>4601004281141</v>
      </c>
    </row>
    <row r="10565" spans="1:26" ht="12" customHeight="1" outlineLevel="4" x14ac:dyDescent="0.2">
      <c r="A10565" s="32" t="s">
        <v>20080</v>
      </c>
      <c r="B10565" s="74" t="s">
        <v>20081</v>
      </c>
      <c r="C10565" s="50"/>
      <c r="D10565" s="53">
        <f t="shared" si="164"/>
        <v>0</v>
      </c>
      <c r="E10565" s="60" t="str">
        <f>HYPERLINK("https://www.sds-group.ru/product/lenta-svetodiodnaya-12v-smd2835-14-4vt-m-120-led-m-4000k-8mm-5m-ip20-rexant-141-221/", "Инфо")</f>
        <v>Инфо</v>
      </c>
      <c r="F10565" s="34" t="s">
        <v>39</v>
      </c>
      <c r="G10565" s="33"/>
      <c r="H10565" s="33" t="s">
        <v>40</v>
      </c>
      <c r="I10565" s="33"/>
      <c r="J10565" s="35">
        <v>228</v>
      </c>
      <c r="K10565" s="33"/>
      <c r="L10565" s="35">
        <v>1</v>
      </c>
      <c r="M10565" s="35">
        <v>100</v>
      </c>
      <c r="N10565" s="35">
        <v>1</v>
      </c>
      <c r="O10565" s="36">
        <v>1292.68</v>
      </c>
      <c r="P10565" s="36">
        <v>1059.57</v>
      </c>
      <c r="Q10565" s="36">
        <v>1021.22</v>
      </c>
      <c r="R10565" s="36">
        <v>837.07</v>
      </c>
      <c r="S10565" s="36">
        <v>879.02</v>
      </c>
      <c r="T10565" s="36">
        <v>720.51</v>
      </c>
      <c r="U10565" s="34"/>
      <c r="V10565" s="34"/>
      <c r="W10565" s="34" t="s">
        <v>40</v>
      </c>
      <c r="X10565" s="37">
        <v>0.08</v>
      </c>
      <c r="Y10565" s="38">
        <v>4.2200000000000001E-4</v>
      </c>
      <c r="Z10565" s="21">
        <v>4601004281103</v>
      </c>
    </row>
    <row r="10566" spans="1:26" ht="12" customHeight="1" outlineLevel="4" x14ac:dyDescent="0.2">
      <c r="A10566" s="32" t="s">
        <v>20082</v>
      </c>
      <c r="B10566" s="74" t="s">
        <v>20083</v>
      </c>
      <c r="C10566" s="50"/>
      <c r="D10566" s="53">
        <f t="shared" si="164"/>
        <v>0</v>
      </c>
      <c r="E10566" s="60" t="str">
        <f>HYPERLINK("https://www.sds-group.ru/product/lenta-svetodiodnaya-12v-smd2835-14-4vt-m-120-led-m-6500k-8mm-5m-ip20-rexant-141-222/", "Инфо")</f>
        <v>Инфо</v>
      </c>
      <c r="F10566" s="34" t="s">
        <v>39</v>
      </c>
      <c r="G10566" s="33"/>
      <c r="H10566" s="33" t="s">
        <v>40</v>
      </c>
      <c r="I10566" s="33"/>
      <c r="J10566" s="35">
        <v>50</v>
      </c>
      <c r="K10566" s="33"/>
      <c r="L10566" s="35">
        <v>1</v>
      </c>
      <c r="M10566" s="35">
        <v>100</v>
      </c>
      <c r="N10566" s="35">
        <v>1</v>
      </c>
      <c r="O10566" s="36">
        <v>1292.68</v>
      </c>
      <c r="P10566" s="36">
        <v>1059.57</v>
      </c>
      <c r="Q10566" s="36">
        <v>1021.22</v>
      </c>
      <c r="R10566" s="36">
        <v>837.07</v>
      </c>
      <c r="S10566" s="36">
        <v>879.02</v>
      </c>
      <c r="T10566" s="36">
        <v>720.51</v>
      </c>
      <c r="U10566" s="34"/>
      <c r="V10566" s="34"/>
      <c r="W10566" s="34" t="s">
        <v>40</v>
      </c>
      <c r="X10566" s="37">
        <v>8.4000000000000005E-2</v>
      </c>
      <c r="Y10566" s="38">
        <v>4.2900000000000002E-4</v>
      </c>
      <c r="Z10566" s="21">
        <v>4601004281127</v>
      </c>
    </row>
    <row r="10567" spans="1:26" ht="12" customHeight="1" outlineLevel="4" x14ac:dyDescent="0.2">
      <c r="A10567" s="32" t="s">
        <v>20084</v>
      </c>
      <c r="B10567" s="74" t="s">
        <v>20085</v>
      </c>
      <c r="C10567" s="50"/>
      <c r="D10567" s="53">
        <f t="shared" si="164"/>
        <v>0</v>
      </c>
      <c r="E10567" s="60" t="str">
        <f>HYPERLINK("https://www.sds-group.ru/product/lenta-svetodiodnaya-12v-smd2835-19-2vt-m-240-led-m-4000k-10mm-5m-ip20-rexant-141-224/", "Инфо")</f>
        <v>Инфо</v>
      </c>
      <c r="F10567" s="34" t="s">
        <v>39</v>
      </c>
      <c r="G10567" s="33"/>
      <c r="H10567" s="33" t="s">
        <v>40</v>
      </c>
      <c r="I10567" s="33"/>
      <c r="J10567" s="35">
        <v>38</v>
      </c>
      <c r="K10567" s="33"/>
      <c r="L10567" s="35">
        <v>1</v>
      </c>
      <c r="M10567" s="35">
        <v>100</v>
      </c>
      <c r="N10567" s="35">
        <v>1</v>
      </c>
      <c r="O10567" s="36">
        <v>1697.89</v>
      </c>
      <c r="P10567" s="36">
        <v>1391.71</v>
      </c>
      <c r="Q10567" s="36">
        <v>1307.3800000000001</v>
      </c>
      <c r="R10567" s="36">
        <v>1071.6199999999999</v>
      </c>
      <c r="S10567" s="36">
        <v>1154.57</v>
      </c>
      <c r="T10567" s="36">
        <v>946.37</v>
      </c>
      <c r="U10567" s="34"/>
      <c r="V10567" s="34"/>
      <c r="W10567" s="34" t="s">
        <v>40</v>
      </c>
      <c r="X10567" s="37">
        <v>0.11</v>
      </c>
      <c r="Y10567" s="38">
        <v>4.6700000000000002E-4</v>
      </c>
      <c r="Z10567" s="21">
        <v>4601004281158</v>
      </c>
    </row>
    <row r="10568" spans="1:26" ht="12" customHeight="1" outlineLevel="4" x14ac:dyDescent="0.2">
      <c r="A10568" s="32" t="s">
        <v>20086</v>
      </c>
      <c r="B10568" s="74" t="s">
        <v>20087</v>
      </c>
      <c r="C10568" s="50"/>
      <c r="D10568" s="53">
        <f t="shared" si="164"/>
        <v>0</v>
      </c>
      <c r="E10568" s="60" t="str">
        <f>HYPERLINK("https://www.sds-group.ru/product/lenta-svetodiodnaya-12v-smd2835-9-6vt-m-60-led-m-3000k-8mm-5m-ip20-rexant-141-213/", "Инфо")</f>
        <v>Инфо</v>
      </c>
      <c r="F10568" s="34" t="s">
        <v>39</v>
      </c>
      <c r="G10568" s="33"/>
      <c r="H10568" s="33" t="s">
        <v>40</v>
      </c>
      <c r="I10568" s="33"/>
      <c r="J10568" s="35">
        <v>277</v>
      </c>
      <c r="K10568" s="33"/>
      <c r="L10568" s="35">
        <v>1</v>
      </c>
      <c r="M10568" s="35">
        <v>100</v>
      </c>
      <c r="N10568" s="35">
        <v>1</v>
      </c>
      <c r="O10568" s="36">
        <v>790.33</v>
      </c>
      <c r="P10568" s="36">
        <v>647.80999999999995</v>
      </c>
      <c r="Q10568" s="36">
        <v>553.23</v>
      </c>
      <c r="R10568" s="36">
        <v>453.47</v>
      </c>
      <c r="S10568" s="36">
        <v>537.41999999999996</v>
      </c>
      <c r="T10568" s="36">
        <v>440.51</v>
      </c>
      <c r="U10568" s="34"/>
      <c r="V10568" s="34"/>
      <c r="W10568" s="34"/>
      <c r="X10568" s="37">
        <v>7.4999999999999997E-2</v>
      </c>
      <c r="Y10568" s="38">
        <v>4.3800000000000002E-4</v>
      </c>
      <c r="Z10568" s="21">
        <v>4601004281073</v>
      </c>
    </row>
    <row r="10569" spans="1:26" ht="12" customHeight="1" outlineLevel="4" x14ac:dyDescent="0.2">
      <c r="A10569" s="32" t="s">
        <v>20088</v>
      </c>
      <c r="B10569" s="74" t="s">
        <v>20089</v>
      </c>
      <c r="C10569" s="50"/>
      <c r="D10569" s="53">
        <f t="shared" ref="D10569:D10632" si="165">C10569*(O10569-O10569*$G$3)</f>
        <v>0</v>
      </c>
      <c r="E10569" s="60" t="str">
        <f>HYPERLINK("https://www.sds-group.ru/product/lenta-svetodiodnaya-12v-smd2835-9-6vt-m-60-led-m-6500k-8mm-5m-ip20-rexant-141-217/", "Инфо")</f>
        <v>Инфо</v>
      </c>
      <c r="F10569" s="34" t="s">
        <v>39</v>
      </c>
      <c r="G10569" s="33"/>
      <c r="H10569" s="33" t="s">
        <v>40</v>
      </c>
      <c r="I10569" s="33"/>
      <c r="J10569" s="35">
        <v>323</v>
      </c>
      <c r="K10569" s="33"/>
      <c r="L10569" s="35">
        <v>1</v>
      </c>
      <c r="M10569" s="35">
        <v>100</v>
      </c>
      <c r="N10569" s="35">
        <v>1</v>
      </c>
      <c r="O10569" s="36">
        <v>790.33</v>
      </c>
      <c r="P10569" s="36">
        <v>647.80999999999995</v>
      </c>
      <c r="Q10569" s="36">
        <v>553.23</v>
      </c>
      <c r="R10569" s="36">
        <v>453.47</v>
      </c>
      <c r="S10569" s="36">
        <v>537.41999999999996</v>
      </c>
      <c r="T10569" s="36">
        <v>440.51</v>
      </c>
      <c r="U10569" s="34"/>
      <c r="V10569" s="34"/>
      <c r="W10569" s="34"/>
      <c r="X10569" s="37">
        <v>7.0999999999999994E-2</v>
      </c>
      <c r="Y10569" s="38">
        <v>4.44E-4</v>
      </c>
      <c r="Z10569" s="21">
        <v>4601004281080</v>
      </c>
    </row>
    <row r="10570" spans="1:26" ht="12.95" customHeight="1" outlineLevel="3" x14ac:dyDescent="0.2">
      <c r="A10570" s="76" t="s">
        <v>20090</v>
      </c>
      <c r="B10570" s="76"/>
      <c r="C10570" s="77"/>
      <c r="D10570" s="58"/>
      <c r="E10570" s="68"/>
      <c r="F10570" s="13"/>
      <c r="G10570" s="13"/>
      <c r="H10570" s="13"/>
      <c r="I10570" s="13"/>
      <c r="J10570" s="13"/>
      <c r="K10570" s="13"/>
      <c r="L10570" s="13"/>
      <c r="M10570" s="13"/>
      <c r="N10570" s="13"/>
      <c r="O10570" s="13"/>
      <c r="P10570" s="13"/>
      <c r="Q10570" s="13"/>
      <c r="R10570" s="13"/>
      <c r="S10570" s="13"/>
      <c r="T10570" s="13"/>
      <c r="U10570" s="13"/>
      <c r="V10570" s="13"/>
      <c r="W10570" s="13"/>
      <c r="X10570" s="13"/>
      <c r="Y10570" s="13"/>
      <c r="Z10570" s="13"/>
    </row>
    <row r="10571" spans="1:26" ht="12" customHeight="1" outlineLevel="4" x14ac:dyDescent="0.2">
      <c r="A10571" s="32" t="s">
        <v>20091</v>
      </c>
      <c r="B10571" s="74" t="s">
        <v>20092</v>
      </c>
      <c r="C10571" s="50"/>
      <c r="D10571" s="53">
        <f t="shared" si="165"/>
        <v>0</v>
      </c>
      <c r="E10571" s="60" t="str">
        <f>HYPERLINK("https://www.sds-group.ru/product/lenta-svetodiodnaya-24v-smd2835-9-6vt-m-120-led-m-3000k-10mm-5m-ip20-rexant-141-637/", "Инфо")</f>
        <v>Инфо</v>
      </c>
      <c r="F10571" s="34" t="s">
        <v>39</v>
      </c>
      <c r="G10571" s="33"/>
      <c r="H10571" s="33" t="s">
        <v>40</v>
      </c>
      <c r="I10571" s="33"/>
      <c r="J10571" s="35">
        <v>130</v>
      </c>
      <c r="K10571" s="33"/>
      <c r="L10571" s="35">
        <v>1</v>
      </c>
      <c r="M10571" s="35">
        <v>100</v>
      </c>
      <c r="N10571" s="35">
        <v>1</v>
      </c>
      <c r="O10571" s="36">
        <v>1283.26</v>
      </c>
      <c r="P10571" s="36">
        <v>1051.8499999999999</v>
      </c>
      <c r="Q10571" s="36">
        <v>1013.78</v>
      </c>
      <c r="R10571" s="36">
        <v>830.97</v>
      </c>
      <c r="S10571" s="36">
        <v>872.62</v>
      </c>
      <c r="T10571" s="36">
        <v>715.26</v>
      </c>
      <c r="U10571" s="34"/>
      <c r="V10571" s="34"/>
      <c r="W10571" s="34" t="s">
        <v>40</v>
      </c>
      <c r="X10571" s="37">
        <v>9.8000000000000004E-2</v>
      </c>
      <c r="Y10571" s="38">
        <v>4.55E-4</v>
      </c>
      <c r="Z10571" s="21">
        <v>4601004281134</v>
      </c>
    </row>
    <row r="10572" spans="1:26" ht="12" customHeight="1" outlineLevel="4" x14ac:dyDescent="0.2">
      <c r="A10572" s="32" t="s">
        <v>20093</v>
      </c>
      <c r="B10572" s="74" t="s">
        <v>20094</v>
      </c>
      <c r="C10572" s="50"/>
      <c r="D10572" s="53">
        <f t="shared" si="165"/>
        <v>0</v>
      </c>
      <c r="E10572" s="60" t="str">
        <f>HYPERLINK("https://www.sds-group.ru/product/lenta-svetodiodnaya-24v-smd2835-9-6vt-m-120-led-m-4000k-10mm-5m-ip20-rexant-141-638/", "Инфо")</f>
        <v>Инфо</v>
      </c>
      <c r="F10572" s="34" t="s">
        <v>39</v>
      </c>
      <c r="G10572" s="33"/>
      <c r="H10572" s="33" t="s">
        <v>40</v>
      </c>
      <c r="I10572" s="33"/>
      <c r="J10572" s="35">
        <v>300</v>
      </c>
      <c r="K10572" s="33"/>
      <c r="L10572" s="35">
        <v>1</v>
      </c>
      <c r="M10572" s="35">
        <v>100</v>
      </c>
      <c r="N10572" s="35">
        <v>1</v>
      </c>
      <c r="O10572" s="36">
        <v>1283.26</v>
      </c>
      <c r="P10572" s="36">
        <v>1051.8499999999999</v>
      </c>
      <c r="Q10572" s="36">
        <v>1013.78</v>
      </c>
      <c r="R10572" s="36">
        <v>830.97</v>
      </c>
      <c r="S10572" s="36">
        <v>872.62</v>
      </c>
      <c r="T10572" s="36">
        <v>715.26</v>
      </c>
      <c r="U10572" s="34"/>
      <c r="V10572" s="34"/>
      <c r="W10572" s="34" t="s">
        <v>40</v>
      </c>
      <c r="X10572" s="37">
        <v>9.8000000000000004E-2</v>
      </c>
      <c r="Y10572" s="38">
        <v>4.3199999999999998E-4</v>
      </c>
      <c r="Z10572" s="21">
        <v>4601004281165</v>
      </c>
    </row>
    <row r="10573" spans="1:26" ht="12" customHeight="1" outlineLevel="4" x14ac:dyDescent="0.2">
      <c r="A10573" s="32" t="s">
        <v>20095</v>
      </c>
      <c r="B10573" s="74" t="s">
        <v>20096</v>
      </c>
      <c r="C10573" s="50"/>
      <c r="D10573" s="53">
        <f t="shared" si="165"/>
        <v>0</v>
      </c>
      <c r="E10573" s="60" t="str">
        <f>HYPERLINK("https://www.sds-group.ru/product/lenta-svetodiodnaya-24v-smd2835-9-6vt-m-120-led-m-6500k-10mm-5m-ip20-rexant-141-639/", "Инфо")</f>
        <v>Инфо</v>
      </c>
      <c r="F10573" s="34" t="s">
        <v>39</v>
      </c>
      <c r="G10573" s="33"/>
      <c r="H10573" s="33" t="s">
        <v>40</v>
      </c>
      <c r="I10573" s="33"/>
      <c r="J10573" s="35">
        <v>200</v>
      </c>
      <c r="K10573" s="33"/>
      <c r="L10573" s="35">
        <v>1</v>
      </c>
      <c r="M10573" s="35">
        <v>100</v>
      </c>
      <c r="N10573" s="35">
        <v>1</v>
      </c>
      <c r="O10573" s="36">
        <v>1089.56</v>
      </c>
      <c r="P10573" s="36">
        <v>893.08</v>
      </c>
      <c r="Q10573" s="36">
        <v>762.69</v>
      </c>
      <c r="R10573" s="36">
        <v>625.16</v>
      </c>
      <c r="S10573" s="36">
        <v>740.9</v>
      </c>
      <c r="T10573" s="36">
        <v>607.29999999999995</v>
      </c>
      <c r="U10573" s="34"/>
      <c r="V10573" s="34"/>
      <c r="W10573" s="34"/>
      <c r="X10573" s="37">
        <v>0.1</v>
      </c>
      <c r="Y10573" s="38">
        <v>4.0200000000000001E-4</v>
      </c>
      <c r="Z10573" s="21">
        <v>4601004281189</v>
      </c>
    </row>
    <row r="10574" spans="1:26" ht="12.95" customHeight="1" outlineLevel="3" x14ac:dyDescent="0.2">
      <c r="A10574" s="76" t="s">
        <v>20097</v>
      </c>
      <c r="B10574" s="76"/>
      <c r="C10574" s="77"/>
      <c r="D10574" s="58"/>
      <c r="E10574" s="68"/>
      <c r="F10574" s="13"/>
      <c r="G10574" s="13"/>
      <c r="H10574" s="13"/>
      <c r="I10574" s="13"/>
      <c r="J10574" s="13"/>
      <c r="K10574" s="13"/>
      <c r="L10574" s="13"/>
      <c r="M10574" s="13"/>
      <c r="N10574" s="13"/>
      <c r="O10574" s="13"/>
      <c r="P10574" s="13"/>
      <c r="Q10574" s="13"/>
      <c r="R10574" s="13"/>
      <c r="S10574" s="13"/>
      <c r="T10574" s="13"/>
      <c r="U10574" s="13"/>
      <c r="V10574" s="13"/>
      <c r="W10574" s="13"/>
      <c r="X10574" s="13"/>
      <c r="Y10574" s="13"/>
      <c r="Z10574" s="13"/>
    </row>
    <row r="10575" spans="1:26" ht="12" customHeight="1" outlineLevel="4" x14ac:dyDescent="0.2">
      <c r="A10575" s="14" t="s">
        <v>20098</v>
      </c>
      <c r="B10575" s="26" t="s">
        <v>20099</v>
      </c>
      <c r="C10575" s="52"/>
      <c r="D10575" s="55">
        <f t="shared" si="165"/>
        <v>0</v>
      </c>
      <c r="E10575" s="63" t="str">
        <f>HYPERLINK("https://www.sds-group.ru/product/lenta-svetodiodnaya-12v-cob-8vt-m-320-led-m-oranjeviy-8mm-5m-ip20-rexant-30226/", "Инфо")</f>
        <v>Инфо</v>
      </c>
      <c r="F10575" s="16" t="s">
        <v>39</v>
      </c>
      <c r="G10575" s="15"/>
      <c r="H10575" s="15"/>
      <c r="I10575" s="15"/>
      <c r="J10575" s="16" t="s">
        <v>100</v>
      </c>
      <c r="K10575" s="15" t="s">
        <v>12745</v>
      </c>
      <c r="L10575" s="17">
        <v>1</v>
      </c>
      <c r="M10575" s="17">
        <v>100</v>
      </c>
      <c r="N10575" s="17">
        <v>1</v>
      </c>
      <c r="O10575" s="18">
        <v>1306.69</v>
      </c>
      <c r="P10575" s="18">
        <v>1071.06</v>
      </c>
      <c r="Q10575" s="18">
        <v>1032.29</v>
      </c>
      <c r="R10575" s="18">
        <v>846.14</v>
      </c>
      <c r="S10575" s="18">
        <v>888.55</v>
      </c>
      <c r="T10575" s="18">
        <v>728.32</v>
      </c>
      <c r="U10575" s="16"/>
      <c r="V10575" s="16"/>
      <c r="W10575" s="16" t="s">
        <v>40</v>
      </c>
      <c r="X10575" s="19">
        <v>7.5999999999999998E-2</v>
      </c>
      <c r="Y10575" s="20">
        <v>3.8699999999999997E-4</v>
      </c>
      <c r="Z10575" s="21">
        <v>4601004283459</v>
      </c>
    </row>
    <row r="10576" spans="1:26" ht="12" customHeight="1" outlineLevel="4" x14ac:dyDescent="0.2">
      <c r="A10576" s="14" t="s">
        <v>20100</v>
      </c>
      <c r="B10576" s="26" t="s">
        <v>20101</v>
      </c>
      <c r="C10576" s="52"/>
      <c r="D10576" s="55">
        <f t="shared" si="165"/>
        <v>0</v>
      </c>
      <c r="E10576" s="63" t="str">
        <f>HYPERLINK("https://www.sds-group.ru/product/lenta-svetodiodnaya-24v-cob-10vt-m-384-led-m-3000k-8mm-5m-ip20-rexant-147-100/", "Инфо")</f>
        <v>Инфо</v>
      </c>
      <c r="F10576" s="16" t="s">
        <v>39</v>
      </c>
      <c r="G10576" s="15"/>
      <c r="H10576" s="15"/>
      <c r="I10576" s="15"/>
      <c r="J10576" s="17">
        <v>87</v>
      </c>
      <c r="K10576" s="15" t="s">
        <v>12745</v>
      </c>
      <c r="L10576" s="17">
        <v>1</v>
      </c>
      <c r="M10576" s="17">
        <v>100</v>
      </c>
      <c r="N10576" s="17">
        <v>1</v>
      </c>
      <c r="O10576" s="18">
        <v>1568.68</v>
      </c>
      <c r="P10576" s="18">
        <v>1285.8</v>
      </c>
      <c r="Q10576" s="18">
        <v>1239.26</v>
      </c>
      <c r="R10576" s="18">
        <v>1015.79</v>
      </c>
      <c r="S10576" s="18">
        <v>1066.7</v>
      </c>
      <c r="T10576" s="18">
        <v>874.34</v>
      </c>
      <c r="U10576" s="16"/>
      <c r="V10576" s="16"/>
      <c r="W10576" s="16" t="s">
        <v>40</v>
      </c>
      <c r="X10576" s="19">
        <v>9.6000000000000002E-2</v>
      </c>
      <c r="Y10576" s="20">
        <v>4.0000000000000002E-4</v>
      </c>
      <c r="Z10576" s="21">
        <v>4601004280175</v>
      </c>
    </row>
    <row r="10577" spans="1:26" ht="12" customHeight="1" outlineLevel="4" x14ac:dyDescent="0.2">
      <c r="A10577" s="14" t="s">
        <v>20102</v>
      </c>
      <c r="B10577" s="26" t="s">
        <v>20103</v>
      </c>
      <c r="C10577" s="52"/>
      <c r="D10577" s="55">
        <f t="shared" si="165"/>
        <v>0</v>
      </c>
      <c r="E10577" s="63" t="str">
        <f>HYPERLINK("https://www.sds-group.ru/product/lenta-svetodiodnaya-24v-cob-10vt-m-384-led-m-4000k-8mm-5m-ip20-rexant-147-101/", "Инфо")</f>
        <v>Инфо</v>
      </c>
      <c r="F10577" s="16" t="s">
        <v>39</v>
      </c>
      <c r="G10577" s="15"/>
      <c r="H10577" s="15"/>
      <c r="I10577" s="15"/>
      <c r="J10577" s="16" t="s">
        <v>100</v>
      </c>
      <c r="K10577" s="15" t="s">
        <v>12745</v>
      </c>
      <c r="L10577" s="17">
        <v>1</v>
      </c>
      <c r="M10577" s="17">
        <v>100</v>
      </c>
      <c r="N10577" s="17">
        <v>1</v>
      </c>
      <c r="O10577" s="18">
        <v>1568.68</v>
      </c>
      <c r="P10577" s="18">
        <v>1285.8</v>
      </c>
      <c r="Q10577" s="18">
        <v>1239.26</v>
      </c>
      <c r="R10577" s="18">
        <v>1015.79</v>
      </c>
      <c r="S10577" s="18">
        <v>1066.7</v>
      </c>
      <c r="T10577" s="18">
        <v>874.34</v>
      </c>
      <c r="U10577" s="16"/>
      <c r="V10577" s="16"/>
      <c r="W10577" s="16" t="s">
        <v>40</v>
      </c>
      <c r="X10577" s="19">
        <v>8.4000000000000005E-2</v>
      </c>
      <c r="Y10577" s="20">
        <v>4.84E-4</v>
      </c>
      <c r="Z10577" s="21">
        <v>4601004280090</v>
      </c>
    </row>
    <row r="10578" spans="1:26" ht="12" customHeight="1" outlineLevel="4" x14ac:dyDescent="0.2">
      <c r="A10578" s="14" t="s">
        <v>20104</v>
      </c>
      <c r="B10578" s="26" t="s">
        <v>20105</v>
      </c>
      <c r="C10578" s="52"/>
      <c r="D10578" s="55">
        <f t="shared" si="165"/>
        <v>0</v>
      </c>
      <c r="E10578" s="63" t="str">
        <f>HYPERLINK("https://www.sds-group.ru/product/lenta-svetodiodnaya-24v-cob-10vt-m-384-led-m-6500k-8mm-5m-ip20-rexant-147-102/", "Инфо")</f>
        <v>Инфо</v>
      </c>
      <c r="F10578" s="16" t="s">
        <v>39</v>
      </c>
      <c r="G10578" s="15"/>
      <c r="H10578" s="15"/>
      <c r="I10578" s="15"/>
      <c r="J10578" s="17">
        <v>100</v>
      </c>
      <c r="K10578" s="15" t="s">
        <v>12745</v>
      </c>
      <c r="L10578" s="17">
        <v>1</v>
      </c>
      <c r="M10578" s="17">
        <v>100</v>
      </c>
      <c r="N10578" s="17">
        <v>1</v>
      </c>
      <c r="O10578" s="18">
        <v>1568.68</v>
      </c>
      <c r="P10578" s="18">
        <v>1285.8</v>
      </c>
      <c r="Q10578" s="18">
        <v>1239.26</v>
      </c>
      <c r="R10578" s="18">
        <v>1015.79</v>
      </c>
      <c r="S10578" s="18">
        <v>1066.7</v>
      </c>
      <c r="T10578" s="18">
        <v>874.34</v>
      </c>
      <c r="U10578" s="16"/>
      <c r="V10578" s="16"/>
      <c r="W10578" s="16" t="s">
        <v>40</v>
      </c>
      <c r="X10578" s="19">
        <v>8.2000000000000003E-2</v>
      </c>
      <c r="Y10578" s="20">
        <v>5.6300000000000002E-4</v>
      </c>
      <c r="Z10578" s="21">
        <v>4601004280106</v>
      </c>
    </row>
    <row r="10579" spans="1:26" ht="12" customHeight="1" outlineLevel="4" x14ac:dyDescent="0.2">
      <c r="A10579" s="14" t="s">
        <v>20106</v>
      </c>
      <c r="B10579" s="26" t="s">
        <v>20107</v>
      </c>
      <c r="C10579" s="52"/>
      <c r="D10579" s="55">
        <f t="shared" si="165"/>
        <v>0</v>
      </c>
      <c r="E10579" s="63" t="str">
        <f>HYPERLINK("https://www.sds-group.ru/product/lenta-svetodiodnaya-24v-cob-12vt-m-720-led-m-rgb-10mm-5m-ip20-rexant-147-103/", "Инфо")</f>
        <v>Инфо</v>
      </c>
      <c r="F10579" s="16" t="s">
        <v>39</v>
      </c>
      <c r="G10579" s="15"/>
      <c r="H10579" s="15"/>
      <c r="I10579" s="15"/>
      <c r="J10579" s="17">
        <v>36</v>
      </c>
      <c r="K10579" s="15" t="s">
        <v>12745</v>
      </c>
      <c r="L10579" s="17">
        <v>1</v>
      </c>
      <c r="M10579" s="17">
        <v>84</v>
      </c>
      <c r="N10579" s="17">
        <v>1</v>
      </c>
      <c r="O10579" s="18">
        <v>3936.84</v>
      </c>
      <c r="P10579" s="18">
        <v>3226.92</v>
      </c>
      <c r="Q10579" s="18">
        <v>2873.89</v>
      </c>
      <c r="R10579" s="18">
        <v>2355.65</v>
      </c>
      <c r="S10579" s="18">
        <v>2677.05</v>
      </c>
      <c r="T10579" s="18">
        <v>2194.3000000000002</v>
      </c>
      <c r="U10579" s="16"/>
      <c r="V10579" s="16"/>
      <c r="W10579" s="16" t="s">
        <v>40</v>
      </c>
      <c r="X10579" s="19">
        <v>0.09</v>
      </c>
      <c r="Y10579" s="20">
        <v>4.37E-4</v>
      </c>
      <c r="Z10579" s="21">
        <v>4601004281981</v>
      </c>
    </row>
    <row r="10580" spans="1:26" ht="12" customHeight="1" outlineLevel="4" x14ac:dyDescent="0.2">
      <c r="A10580" s="14" t="s">
        <v>20108</v>
      </c>
      <c r="B10580" s="26" t="s">
        <v>20109</v>
      </c>
      <c r="C10580" s="52"/>
      <c r="D10580" s="55">
        <f t="shared" si="165"/>
        <v>0</v>
      </c>
      <c r="E10580" s="63" t="str">
        <f>HYPERLINK("https://www.sds-group.ru/product/lenta-svetodiodnaya-24v-cob-14vt-m-512-led-m-3000k-8mm-5m-ip20-rexant-30217/", "Инфо")</f>
        <v>Инфо</v>
      </c>
      <c r="F10580" s="16" t="s">
        <v>39</v>
      </c>
      <c r="G10580" s="15"/>
      <c r="H10580" s="15"/>
      <c r="I10580" s="15"/>
      <c r="J10580" s="16" t="s">
        <v>100</v>
      </c>
      <c r="K10580" s="15" t="s">
        <v>12745</v>
      </c>
      <c r="L10580" s="17">
        <v>1</v>
      </c>
      <c r="M10580" s="17">
        <v>100</v>
      </c>
      <c r="N10580" s="17">
        <v>1</v>
      </c>
      <c r="O10580" s="18">
        <v>1635.69</v>
      </c>
      <c r="P10580" s="18">
        <v>1340.73</v>
      </c>
      <c r="Q10580" s="18">
        <v>1259.48</v>
      </c>
      <c r="R10580" s="18">
        <v>1032.3599999999999</v>
      </c>
      <c r="S10580" s="18">
        <v>1112.27</v>
      </c>
      <c r="T10580" s="18">
        <v>911.7</v>
      </c>
      <c r="U10580" s="16"/>
      <c r="V10580" s="16"/>
      <c r="W10580" s="16" t="s">
        <v>40</v>
      </c>
      <c r="X10580" s="19">
        <v>7.6999999999999999E-2</v>
      </c>
      <c r="Y10580" s="20">
        <v>4.1399999999999998E-4</v>
      </c>
      <c r="Z10580" s="21">
        <v>4601004280144</v>
      </c>
    </row>
    <row r="10581" spans="1:26" ht="12" customHeight="1" outlineLevel="4" x14ac:dyDescent="0.2">
      <c r="A10581" s="14" t="s">
        <v>20110</v>
      </c>
      <c r="B10581" s="26" t="s">
        <v>20111</v>
      </c>
      <c r="C10581" s="52"/>
      <c r="D10581" s="55">
        <f t="shared" si="165"/>
        <v>0</v>
      </c>
      <c r="E10581" s="63" t="str">
        <f>HYPERLINK("https://www.sds-group.ru/product/lenta-svetodiodnaya-24v-cob-14vt-m-512-led-m-4000k-8mm-5m-ip20-rexant-30218/", "Инфо")</f>
        <v>Инфо</v>
      </c>
      <c r="F10581" s="16" t="s">
        <v>39</v>
      </c>
      <c r="G10581" s="15"/>
      <c r="H10581" s="15"/>
      <c r="I10581" s="15"/>
      <c r="J10581" s="16" t="s">
        <v>100</v>
      </c>
      <c r="K10581" s="15" t="s">
        <v>12745</v>
      </c>
      <c r="L10581" s="17">
        <v>1</v>
      </c>
      <c r="M10581" s="17">
        <v>100</v>
      </c>
      <c r="N10581" s="17">
        <v>1</v>
      </c>
      <c r="O10581" s="18">
        <v>1635.69</v>
      </c>
      <c r="P10581" s="18">
        <v>1340.73</v>
      </c>
      <c r="Q10581" s="18">
        <v>1259.48</v>
      </c>
      <c r="R10581" s="18">
        <v>1032.3599999999999</v>
      </c>
      <c r="S10581" s="18">
        <v>1112.27</v>
      </c>
      <c r="T10581" s="18">
        <v>911.7</v>
      </c>
      <c r="U10581" s="16"/>
      <c r="V10581" s="16"/>
      <c r="W10581" s="16" t="s">
        <v>40</v>
      </c>
      <c r="X10581" s="19">
        <v>7.5999999999999998E-2</v>
      </c>
      <c r="Y10581" s="20">
        <v>4.0299999999999998E-4</v>
      </c>
      <c r="Z10581" s="21">
        <v>4601004280236</v>
      </c>
    </row>
    <row r="10582" spans="1:26" ht="12" customHeight="1" outlineLevel="4" x14ac:dyDescent="0.2">
      <c r="A10582" s="14" t="s">
        <v>20112</v>
      </c>
      <c r="B10582" s="26" t="s">
        <v>20113</v>
      </c>
      <c r="C10582" s="52"/>
      <c r="D10582" s="55">
        <f t="shared" si="165"/>
        <v>0</v>
      </c>
      <c r="E10582" s="63" t="str">
        <f>HYPERLINK("https://www.sds-group.ru/product/lenta-svetodiodnaya-24v-cob-14vt-m-512-led-m-6500k-8mm-5m-ip20-rexant-30219/", "Инфо")</f>
        <v>Инфо</v>
      </c>
      <c r="F10582" s="16" t="s">
        <v>39</v>
      </c>
      <c r="G10582" s="15"/>
      <c r="H10582" s="15"/>
      <c r="I10582" s="15"/>
      <c r="J10582" s="16" t="s">
        <v>100</v>
      </c>
      <c r="K10582" s="15" t="s">
        <v>12745</v>
      </c>
      <c r="L10582" s="17">
        <v>1</v>
      </c>
      <c r="M10582" s="17">
        <v>100</v>
      </c>
      <c r="N10582" s="17">
        <v>1</v>
      </c>
      <c r="O10582" s="18">
        <v>1635.69</v>
      </c>
      <c r="P10582" s="18">
        <v>1340.73</v>
      </c>
      <c r="Q10582" s="18">
        <v>1259.48</v>
      </c>
      <c r="R10582" s="18">
        <v>1032.3599999999999</v>
      </c>
      <c r="S10582" s="18">
        <v>1112.27</v>
      </c>
      <c r="T10582" s="18">
        <v>911.7</v>
      </c>
      <c r="U10582" s="16"/>
      <c r="V10582" s="16"/>
      <c r="W10582" s="16" t="s">
        <v>40</v>
      </c>
      <c r="X10582" s="19">
        <v>0.08</v>
      </c>
      <c r="Y10582" s="20">
        <v>4.6799999999999999E-4</v>
      </c>
      <c r="Z10582" s="21">
        <v>4601004280120</v>
      </c>
    </row>
    <row r="10583" spans="1:26" ht="12" customHeight="1" outlineLevel="4" x14ac:dyDescent="0.2">
      <c r="A10583" s="14" t="s">
        <v>20114</v>
      </c>
      <c r="B10583" s="26" t="s">
        <v>20115</v>
      </c>
      <c r="C10583" s="52"/>
      <c r="D10583" s="55">
        <f t="shared" si="165"/>
        <v>0</v>
      </c>
      <c r="E10583" s="63" t="str">
        <f>HYPERLINK("https://www.sds-group.ru/product/lenta-svetodiodnaya-24v-cob-8vt-m-320-led-m-3000k-8mm-5m-ip20-rexant-147-110/", "Инфо")</f>
        <v>Инфо</v>
      </c>
      <c r="F10583" s="16" t="s">
        <v>39</v>
      </c>
      <c r="G10583" s="15"/>
      <c r="H10583" s="15"/>
      <c r="I10583" s="15"/>
      <c r="J10583" s="17">
        <v>17</v>
      </c>
      <c r="K10583" s="15" t="s">
        <v>12745</v>
      </c>
      <c r="L10583" s="17">
        <v>1</v>
      </c>
      <c r="M10583" s="17">
        <v>100</v>
      </c>
      <c r="N10583" s="17">
        <v>1</v>
      </c>
      <c r="O10583" s="18">
        <v>1117.4100000000001</v>
      </c>
      <c r="P10583" s="18">
        <v>915.91</v>
      </c>
      <c r="Q10583" s="18">
        <v>882.75</v>
      </c>
      <c r="R10583" s="18">
        <v>723.57</v>
      </c>
      <c r="S10583" s="18">
        <v>759.84</v>
      </c>
      <c r="T10583" s="18">
        <v>622.82000000000005</v>
      </c>
      <c r="U10583" s="16"/>
      <c r="V10583" s="16"/>
      <c r="W10583" s="16" t="s">
        <v>40</v>
      </c>
      <c r="X10583" s="19">
        <v>9.6000000000000002E-2</v>
      </c>
      <c r="Y10583" s="20">
        <v>4.4999999999999999E-4</v>
      </c>
      <c r="Z10583" s="21">
        <v>4601004280199</v>
      </c>
    </row>
    <row r="10584" spans="1:26" ht="12" customHeight="1" outlineLevel="4" x14ac:dyDescent="0.2">
      <c r="A10584" s="14" t="s">
        <v>20116</v>
      </c>
      <c r="B10584" s="26" t="s">
        <v>20117</v>
      </c>
      <c r="C10584" s="52"/>
      <c r="D10584" s="55">
        <f t="shared" si="165"/>
        <v>0</v>
      </c>
      <c r="E10584" s="63" t="str">
        <f>HYPERLINK("https://www.sds-group.ru/product/lenta-svetodiodnaya-24v-cob-8vt-m-320-led-m-4000k-8mm-5m-ip20-rexant-147-111/", "Инфо")</f>
        <v>Инфо</v>
      </c>
      <c r="F10584" s="16" t="s">
        <v>39</v>
      </c>
      <c r="G10584" s="15"/>
      <c r="H10584" s="15"/>
      <c r="I10584" s="15"/>
      <c r="J10584" s="17">
        <v>48</v>
      </c>
      <c r="K10584" s="15" t="s">
        <v>12745</v>
      </c>
      <c r="L10584" s="17">
        <v>1</v>
      </c>
      <c r="M10584" s="17">
        <v>100</v>
      </c>
      <c r="N10584" s="17">
        <v>1</v>
      </c>
      <c r="O10584" s="18">
        <v>1117.4100000000001</v>
      </c>
      <c r="P10584" s="18">
        <v>915.91</v>
      </c>
      <c r="Q10584" s="18">
        <v>882.75</v>
      </c>
      <c r="R10584" s="18">
        <v>723.57</v>
      </c>
      <c r="S10584" s="18">
        <v>759.84</v>
      </c>
      <c r="T10584" s="18">
        <v>622.82000000000005</v>
      </c>
      <c r="U10584" s="16"/>
      <c r="V10584" s="16"/>
      <c r="W10584" s="16" t="s">
        <v>40</v>
      </c>
      <c r="X10584" s="19">
        <v>9.6000000000000002E-2</v>
      </c>
      <c r="Y10584" s="20">
        <v>4.0000000000000002E-4</v>
      </c>
      <c r="Z10584" s="21">
        <v>4601004280229</v>
      </c>
    </row>
    <row r="10585" spans="1:26" ht="12" customHeight="1" outlineLevel="4" x14ac:dyDescent="0.2">
      <c r="A10585" s="14" t="s">
        <v>20118</v>
      </c>
      <c r="B10585" s="26" t="s">
        <v>20119</v>
      </c>
      <c r="C10585" s="52"/>
      <c r="D10585" s="55">
        <f t="shared" si="165"/>
        <v>0</v>
      </c>
      <c r="E10585" s="63" t="str">
        <f>HYPERLINK("https://www.sds-group.ru/product/lenta-svetodiodnaya-24v-cob-8vt-m-320-led-m-6500k-8mm-5m-ip20-rexant-147-112/", "Инфо")</f>
        <v>Инфо</v>
      </c>
      <c r="F10585" s="16" t="s">
        <v>39</v>
      </c>
      <c r="G10585" s="15"/>
      <c r="H10585" s="15"/>
      <c r="I10585" s="15"/>
      <c r="J10585" s="16" t="s">
        <v>100</v>
      </c>
      <c r="K10585" s="15" t="s">
        <v>12745</v>
      </c>
      <c r="L10585" s="17">
        <v>1</v>
      </c>
      <c r="M10585" s="17">
        <v>100</v>
      </c>
      <c r="N10585" s="17">
        <v>1</v>
      </c>
      <c r="O10585" s="18">
        <v>1117.4100000000001</v>
      </c>
      <c r="P10585" s="18">
        <v>915.91</v>
      </c>
      <c r="Q10585" s="18">
        <v>882.75</v>
      </c>
      <c r="R10585" s="18">
        <v>723.57</v>
      </c>
      <c r="S10585" s="18">
        <v>759.84</v>
      </c>
      <c r="T10585" s="18">
        <v>622.82000000000005</v>
      </c>
      <c r="U10585" s="16"/>
      <c r="V10585" s="16"/>
      <c r="W10585" s="16" t="s">
        <v>40</v>
      </c>
      <c r="X10585" s="19">
        <v>7.9000000000000001E-2</v>
      </c>
      <c r="Y10585" s="20">
        <v>5.0500000000000002E-4</v>
      </c>
      <c r="Z10585" s="21">
        <v>4601004280243</v>
      </c>
    </row>
    <row r="10586" spans="1:26" ht="12" customHeight="1" outlineLevel="4" x14ac:dyDescent="0.2">
      <c r="A10586" s="14" t="s">
        <v>20120</v>
      </c>
      <c r="B10586" s="26" t="s">
        <v>20121</v>
      </c>
      <c r="C10586" s="52"/>
      <c r="D10586" s="55">
        <f t="shared" si="165"/>
        <v>0</v>
      </c>
      <c r="E10586" s="63" t="str">
        <f>HYPERLINK("https://www.sds-group.ru/product/lenta-svetodiodnaya-24v-cob-8vt-m-320-led-m-zelenyy-8mm-5m-ip20-rexant-147-113/", "Инфо")</f>
        <v>Инфо</v>
      </c>
      <c r="F10586" s="16" t="s">
        <v>39</v>
      </c>
      <c r="G10586" s="15"/>
      <c r="H10586" s="15"/>
      <c r="I10586" s="15"/>
      <c r="J10586" s="17">
        <v>100</v>
      </c>
      <c r="K10586" s="15" t="s">
        <v>12745</v>
      </c>
      <c r="L10586" s="17">
        <v>1</v>
      </c>
      <c r="M10586" s="17">
        <v>100</v>
      </c>
      <c r="N10586" s="17">
        <v>1</v>
      </c>
      <c r="O10586" s="18">
        <v>1306.69</v>
      </c>
      <c r="P10586" s="18">
        <v>1071.06</v>
      </c>
      <c r="Q10586" s="18">
        <v>1032.29</v>
      </c>
      <c r="R10586" s="18">
        <v>846.14</v>
      </c>
      <c r="S10586" s="18">
        <v>888.55</v>
      </c>
      <c r="T10586" s="18">
        <v>728.32</v>
      </c>
      <c r="U10586" s="16"/>
      <c r="V10586" s="16"/>
      <c r="W10586" s="16" t="s">
        <v>40</v>
      </c>
      <c r="X10586" s="19">
        <v>8.1000000000000003E-2</v>
      </c>
      <c r="Y10586" s="20">
        <v>4.0099999999999999E-4</v>
      </c>
      <c r="Z10586" s="21">
        <v>4601004280113</v>
      </c>
    </row>
    <row r="10587" spans="1:26" ht="12" customHeight="1" outlineLevel="4" x14ac:dyDescent="0.2">
      <c r="A10587" s="14" t="s">
        <v>20122</v>
      </c>
      <c r="B10587" s="26" t="s">
        <v>20123</v>
      </c>
      <c r="C10587" s="52"/>
      <c r="D10587" s="55">
        <f t="shared" si="165"/>
        <v>0</v>
      </c>
      <c r="E10587" s="63" t="str">
        <f>HYPERLINK("https://www.sds-group.ru/product/lenta-svetodiodnaya-24v-cob-8vt-m-320-led-m-krasnyy-8mm-5m-ip20-rexant-147-114/", "Инфо")</f>
        <v>Инфо</v>
      </c>
      <c r="F10587" s="16" t="s">
        <v>39</v>
      </c>
      <c r="G10587" s="15"/>
      <c r="H10587" s="15"/>
      <c r="I10587" s="15"/>
      <c r="J10587" s="17">
        <v>85</v>
      </c>
      <c r="K10587" s="15" t="s">
        <v>12745</v>
      </c>
      <c r="L10587" s="17">
        <v>1</v>
      </c>
      <c r="M10587" s="17">
        <v>100</v>
      </c>
      <c r="N10587" s="17">
        <v>1</v>
      </c>
      <c r="O10587" s="18">
        <v>1306.69</v>
      </c>
      <c r="P10587" s="18">
        <v>1071.06</v>
      </c>
      <c r="Q10587" s="18">
        <v>1032.29</v>
      </c>
      <c r="R10587" s="18">
        <v>846.14</v>
      </c>
      <c r="S10587" s="18">
        <v>888.55</v>
      </c>
      <c r="T10587" s="18">
        <v>728.32</v>
      </c>
      <c r="U10587" s="16"/>
      <c r="V10587" s="16"/>
      <c r="W10587" s="16" t="s">
        <v>40</v>
      </c>
      <c r="X10587" s="19">
        <v>7.8E-2</v>
      </c>
      <c r="Y10587" s="20">
        <v>4.5100000000000001E-4</v>
      </c>
      <c r="Z10587" s="21">
        <v>4601004280212</v>
      </c>
    </row>
    <row r="10588" spans="1:26" ht="12" customHeight="1" outlineLevel="4" x14ac:dyDescent="0.2">
      <c r="A10588" s="14" t="s">
        <v>20124</v>
      </c>
      <c r="B10588" s="26" t="s">
        <v>20125</v>
      </c>
      <c r="C10588" s="52"/>
      <c r="D10588" s="55">
        <f t="shared" si="165"/>
        <v>0</v>
      </c>
      <c r="E10588" s="63" t="str">
        <f>HYPERLINK("https://www.sds-group.ru/product/lenta-svetodiodnaya-24v-cob-8vt-m-320-led-m-siniy-8mm-5m-ip20-rexant-30225/", "Инфо")</f>
        <v>Инфо</v>
      </c>
      <c r="F10588" s="16" t="s">
        <v>39</v>
      </c>
      <c r="G10588" s="15"/>
      <c r="H10588" s="15"/>
      <c r="I10588" s="15"/>
      <c r="J10588" s="16" t="s">
        <v>100</v>
      </c>
      <c r="K10588" s="15" t="s">
        <v>12745</v>
      </c>
      <c r="L10588" s="17">
        <v>1</v>
      </c>
      <c r="M10588" s="17">
        <v>100</v>
      </c>
      <c r="N10588" s="17">
        <v>1</v>
      </c>
      <c r="O10588" s="18">
        <v>1306.69</v>
      </c>
      <c r="P10588" s="18">
        <v>1071.06</v>
      </c>
      <c r="Q10588" s="18">
        <v>1032.29</v>
      </c>
      <c r="R10588" s="18">
        <v>846.14</v>
      </c>
      <c r="S10588" s="18">
        <v>888.55</v>
      </c>
      <c r="T10588" s="18">
        <v>728.32</v>
      </c>
      <c r="U10588" s="16"/>
      <c r="V10588" s="16"/>
      <c r="W10588" s="16" t="s">
        <v>40</v>
      </c>
      <c r="X10588" s="19">
        <v>0.08</v>
      </c>
      <c r="Y10588" s="20">
        <v>4.4299999999999998E-4</v>
      </c>
      <c r="Z10588" s="21">
        <v>4601004280205</v>
      </c>
    </row>
    <row r="10589" spans="1:26" ht="12.95" customHeight="1" outlineLevel="3" x14ac:dyDescent="0.2">
      <c r="A10589" s="76" t="s">
        <v>20126</v>
      </c>
      <c r="B10589" s="76"/>
      <c r="C10589" s="77"/>
      <c r="D10589" s="58"/>
      <c r="E10589" s="68"/>
      <c r="F10589" s="13"/>
      <c r="G10589" s="13"/>
      <c r="H10589" s="13"/>
      <c r="I10589" s="13"/>
      <c r="J10589" s="13"/>
      <c r="K10589" s="13"/>
      <c r="L10589" s="13"/>
      <c r="M10589" s="13"/>
      <c r="N10589" s="13"/>
      <c r="O10589" s="13"/>
      <c r="P10589" s="13"/>
      <c r="Q10589" s="13"/>
      <c r="R10589" s="13"/>
      <c r="S10589" s="13"/>
      <c r="T10589" s="13"/>
      <c r="U10589" s="13"/>
      <c r="V10589" s="13"/>
      <c r="W10589" s="13"/>
      <c r="X10589" s="13"/>
      <c r="Y10589" s="13"/>
      <c r="Z10589" s="13"/>
    </row>
    <row r="10590" spans="1:26" ht="12" customHeight="1" outlineLevel="4" x14ac:dyDescent="0.2">
      <c r="A10590" s="14" t="s">
        <v>20127</v>
      </c>
      <c r="B10590" s="26" t="s">
        <v>20128</v>
      </c>
      <c r="C10590" s="52"/>
      <c r="D10590" s="55">
        <f t="shared" si="165"/>
        <v>0</v>
      </c>
      <c r="E10590" s="63" t="str">
        <f>HYPERLINK("https://www.sds-group.ru/product/konnektor-i-obraznyy-gibkiy-udlinennyy-dlya-odnotsvetnoy-svetodiodnoy-lenty-cob-8mm-rexant-148-104/", "Инфо")</f>
        <v>Инфо</v>
      </c>
      <c r="F10590" s="16" t="s">
        <v>39</v>
      </c>
      <c r="G10590" s="15"/>
      <c r="H10590" s="15"/>
      <c r="I10590" s="15"/>
      <c r="J10590" s="16" t="s">
        <v>100</v>
      </c>
      <c r="K10590" s="15"/>
      <c r="L10590" s="17">
        <v>10</v>
      </c>
      <c r="M10590" s="17">
        <v>10</v>
      </c>
      <c r="N10590" s="17">
        <v>10</v>
      </c>
      <c r="O10590" s="18">
        <v>91.06</v>
      </c>
      <c r="P10590" s="18">
        <v>74.64</v>
      </c>
      <c r="Q10590" s="18">
        <v>77.400000000000006</v>
      </c>
      <c r="R10590" s="18">
        <v>63.44</v>
      </c>
      <c r="S10590" s="18">
        <v>61.92</v>
      </c>
      <c r="T10590" s="18">
        <v>50.75</v>
      </c>
      <c r="U10590" s="16"/>
      <c r="V10590" s="16"/>
      <c r="W10590" s="16" t="s">
        <v>40</v>
      </c>
      <c r="X10590" s="19">
        <v>3.0000000000000001E-3</v>
      </c>
      <c r="Y10590" s="20">
        <v>1.9000000000000001E-5</v>
      </c>
      <c r="Z10590" s="21">
        <v>4601004291928</v>
      </c>
    </row>
    <row r="10591" spans="1:26" ht="12.95" customHeight="1" outlineLevel="3" x14ac:dyDescent="0.2">
      <c r="A10591" s="76" t="s">
        <v>20129</v>
      </c>
      <c r="B10591" s="76"/>
      <c r="C10591" s="77"/>
      <c r="D10591" s="58"/>
      <c r="E10591" s="68"/>
      <c r="F10591" s="13"/>
      <c r="G10591" s="13"/>
      <c r="H10591" s="13"/>
      <c r="I10591" s="13"/>
      <c r="J10591" s="13"/>
      <c r="K10591" s="13"/>
      <c r="L10591" s="13"/>
      <c r="M10591" s="13"/>
      <c r="N10591" s="13"/>
      <c r="O10591" s="13"/>
      <c r="P10591" s="13"/>
      <c r="Q10591" s="13"/>
      <c r="R10591" s="13"/>
      <c r="S10591" s="13"/>
      <c r="T10591" s="13"/>
      <c r="U10591" s="13"/>
      <c r="V10591" s="13"/>
      <c r="W10591" s="13"/>
      <c r="X10591" s="13"/>
      <c r="Y10591" s="13"/>
      <c r="Z10591" s="13"/>
    </row>
    <row r="10592" spans="1:26" ht="12" customHeight="1" outlineLevel="4" x14ac:dyDescent="0.2">
      <c r="A10592" s="32" t="s">
        <v>20130</v>
      </c>
      <c r="B10592" s="74" t="s">
        <v>20131</v>
      </c>
      <c r="C10592" s="50"/>
      <c r="D10592" s="53">
        <f t="shared" si="165"/>
        <v>0</v>
      </c>
      <c r="E10592" s="60" t="str">
        <f>HYPERLINK("https://www.sds-group.ru/product/konnektor-t-obraznyy-dlya-svetodiodnoy-lenty-smd-8mm-rexant-148-119/", "Инфо")</f>
        <v>Инфо</v>
      </c>
      <c r="F10592" s="34" t="s">
        <v>39</v>
      </c>
      <c r="G10592" s="33"/>
      <c r="H10592" s="33" t="s">
        <v>40</v>
      </c>
      <c r="I10592" s="33"/>
      <c r="J10592" s="35">
        <v>120</v>
      </c>
      <c r="K10592" s="33"/>
      <c r="L10592" s="35">
        <v>10</v>
      </c>
      <c r="M10592" s="35">
        <v>10</v>
      </c>
      <c r="N10592" s="35">
        <v>10</v>
      </c>
      <c r="O10592" s="36">
        <v>86.73</v>
      </c>
      <c r="P10592" s="36">
        <v>71.09</v>
      </c>
      <c r="Q10592" s="36">
        <v>73.72</v>
      </c>
      <c r="R10592" s="36">
        <v>60.43</v>
      </c>
      <c r="S10592" s="36">
        <v>58.98</v>
      </c>
      <c r="T10592" s="36">
        <v>48.34</v>
      </c>
      <c r="U10592" s="34"/>
      <c r="V10592" s="34"/>
      <c r="W10592" s="34" t="s">
        <v>40</v>
      </c>
      <c r="X10592" s="37">
        <v>3.0000000000000001E-3</v>
      </c>
      <c r="Y10592" s="38">
        <v>1.5E-5</v>
      </c>
      <c r="Z10592" s="21">
        <v>4601004292031</v>
      </c>
    </row>
    <row r="10593" spans="1:26" ht="12.95" customHeight="1" outlineLevel="3" x14ac:dyDescent="0.2">
      <c r="A10593" s="76" t="s">
        <v>20132</v>
      </c>
      <c r="B10593" s="76"/>
      <c r="C10593" s="77"/>
      <c r="D10593" s="58"/>
      <c r="E10593" s="68"/>
      <c r="F10593" s="13"/>
      <c r="G10593" s="13"/>
      <c r="H10593" s="13"/>
      <c r="I10593" s="13"/>
      <c r="J10593" s="13"/>
      <c r="K10593" s="13"/>
      <c r="L10593" s="13"/>
      <c r="M10593" s="13"/>
      <c r="N10593" s="13"/>
      <c r="O10593" s="13"/>
      <c r="P10593" s="13"/>
      <c r="Q10593" s="13"/>
      <c r="R10593" s="13"/>
      <c r="S10593" s="13"/>
      <c r="T10593" s="13"/>
      <c r="U10593" s="13"/>
      <c r="V10593" s="13"/>
      <c r="W10593" s="13"/>
      <c r="X10593" s="13"/>
      <c r="Y10593" s="13"/>
      <c r="Z10593" s="13"/>
    </row>
    <row r="10594" spans="1:26" ht="12" customHeight="1" outlineLevel="4" x14ac:dyDescent="0.2">
      <c r="A10594" s="14" t="s">
        <v>20133</v>
      </c>
      <c r="B10594" s="26" t="s">
        <v>20134</v>
      </c>
      <c r="C10594" s="52"/>
      <c r="D10594" s="55">
        <f t="shared" si="165"/>
        <v>0</v>
      </c>
      <c r="E10594" s="63" t="str">
        <f>HYPERLINK("https://www.sds-group.ru/product/lenta-svetodiodnaya-dlya-bani-i-sauny-24v-smd2835-14-4vt-m-120-led-m-3000k-16mm-5m-ip68-rexa-141-641/", "Инфо")</f>
        <v>Инфо</v>
      </c>
      <c r="F10594" s="16" t="s">
        <v>39</v>
      </c>
      <c r="G10594" s="15"/>
      <c r="H10594" s="15"/>
      <c r="I10594" s="15"/>
      <c r="J10594" s="17">
        <v>504</v>
      </c>
      <c r="K10594" s="15"/>
      <c r="L10594" s="17">
        <v>1</v>
      </c>
      <c r="M10594" s="17">
        <v>10</v>
      </c>
      <c r="N10594" s="17">
        <v>1</v>
      </c>
      <c r="O10594" s="18">
        <v>2999.81</v>
      </c>
      <c r="P10594" s="18">
        <v>2458.86</v>
      </c>
      <c r="Q10594" s="18">
        <v>2189.86</v>
      </c>
      <c r="R10594" s="18">
        <v>1794.97</v>
      </c>
      <c r="S10594" s="18">
        <v>2039.87</v>
      </c>
      <c r="T10594" s="18">
        <v>1672.02</v>
      </c>
      <c r="U10594" s="16"/>
      <c r="V10594" s="16"/>
      <c r="W10594" s="16" t="s">
        <v>40</v>
      </c>
      <c r="X10594" s="19">
        <v>1.452</v>
      </c>
      <c r="Y10594" s="20">
        <v>4.7280000000000004E-3</v>
      </c>
      <c r="Z10594" s="21">
        <v>4601004316478</v>
      </c>
    </row>
    <row r="10595" spans="1:26" ht="12.95" customHeight="1" outlineLevel="2" x14ac:dyDescent="0.2">
      <c r="A10595" s="76" t="s">
        <v>20135</v>
      </c>
      <c r="B10595" s="76"/>
      <c r="C10595" s="77"/>
      <c r="D10595" s="58"/>
      <c r="E10595" s="68"/>
      <c r="F10595" s="13"/>
      <c r="G10595" s="13"/>
      <c r="H10595" s="13"/>
      <c r="I10595" s="13"/>
      <c r="J10595" s="13"/>
      <c r="K10595" s="13"/>
      <c r="L10595" s="13"/>
      <c r="M10595" s="13"/>
      <c r="N10595" s="13"/>
      <c r="O10595" s="13"/>
      <c r="P10595" s="13"/>
      <c r="Q10595" s="13"/>
      <c r="R10595" s="13"/>
      <c r="S10595" s="13"/>
      <c r="T10595" s="13"/>
      <c r="U10595" s="13"/>
      <c r="V10595" s="13"/>
      <c r="W10595" s="13"/>
      <c r="X10595" s="13"/>
      <c r="Y10595" s="13"/>
      <c r="Z10595" s="13"/>
    </row>
    <row r="10596" spans="1:26" ht="12" customHeight="1" outlineLevel="3" x14ac:dyDescent="0.2">
      <c r="A10596" s="32" t="s">
        <v>20136</v>
      </c>
      <c r="B10596" s="74" t="s">
        <v>20137</v>
      </c>
      <c r="C10596" s="50"/>
      <c r="D10596" s="53">
        <f t="shared" si="165"/>
        <v>0</v>
      </c>
      <c r="E10596" s="60" t="str">
        <f>HYPERLINK("https://www.sds-group.ru/product/lenta-svetodiodnaya-220v-smd-2835-4-8vt-m-60-led-m-ip67-siniy-10h7mm-100m-s-kabelem-pitaniya-neon-night-4330/", "Инфо")</f>
        <v>Инфо</v>
      </c>
      <c r="F10596" s="34" t="s">
        <v>1767</v>
      </c>
      <c r="G10596" s="33"/>
      <c r="H10596" s="33" t="s">
        <v>40</v>
      </c>
      <c r="I10596" s="33"/>
      <c r="J10596" s="34" t="s">
        <v>100</v>
      </c>
      <c r="K10596" s="33"/>
      <c r="L10596" s="35">
        <v>100</v>
      </c>
      <c r="M10596" s="35">
        <v>100</v>
      </c>
      <c r="N10596" s="35">
        <v>100</v>
      </c>
      <c r="O10596" s="36">
        <v>111.48</v>
      </c>
      <c r="P10596" s="36">
        <v>91.38</v>
      </c>
      <c r="Q10596" s="36">
        <v>78.040000000000006</v>
      </c>
      <c r="R10596" s="36">
        <v>63.97</v>
      </c>
      <c r="S10596" s="36">
        <v>75.81</v>
      </c>
      <c r="T10596" s="36">
        <v>62.14</v>
      </c>
      <c r="U10596" s="34"/>
      <c r="V10596" s="34"/>
      <c r="W10596" s="34"/>
      <c r="X10596" s="37">
        <v>0.06</v>
      </c>
      <c r="Y10596" s="38">
        <v>1.56E-4</v>
      </c>
      <c r="Z10596" s="21">
        <v>4601004282711</v>
      </c>
    </row>
    <row r="10597" spans="1:26" ht="12" customHeight="1" outlineLevel="3" x14ac:dyDescent="0.2">
      <c r="A10597" s="32" t="s">
        <v>20138</v>
      </c>
      <c r="B10597" s="74" t="s">
        <v>20139</v>
      </c>
      <c r="C10597" s="50"/>
      <c r="D10597" s="53">
        <f t="shared" si="165"/>
        <v>0</v>
      </c>
      <c r="E10597" s="60" t="str">
        <f>HYPERLINK("https://www.sds-group.ru/product/led-lenta-220-v-13h8-mm-ip67-smd-5050-60-led-m-tsvet-svecheniya-jeltiy-7088/", "Инфо")</f>
        <v>Инфо</v>
      </c>
      <c r="F10597" s="34" t="s">
        <v>1767</v>
      </c>
      <c r="G10597" s="33"/>
      <c r="H10597" s="33" t="s">
        <v>40</v>
      </c>
      <c r="I10597" s="33"/>
      <c r="J10597" s="35">
        <v>400</v>
      </c>
      <c r="K10597" s="33"/>
      <c r="L10597" s="35">
        <v>100</v>
      </c>
      <c r="M10597" s="35">
        <v>100</v>
      </c>
      <c r="N10597" s="35">
        <v>100</v>
      </c>
      <c r="O10597" s="36">
        <v>126.74</v>
      </c>
      <c r="P10597" s="36">
        <v>103.89</v>
      </c>
      <c r="Q10597" s="36">
        <v>88.72</v>
      </c>
      <c r="R10597" s="36">
        <v>72.72</v>
      </c>
      <c r="S10597" s="36">
        <v>86.18</v>
      </c>
      <c r="T10597" s="36">
        <v>70.64</v>
      </c>
      <c r="U10597" s="34"/>
      <c r="V10597" s="34"/>
      <c r="W10597" s="34"/>
      <c r="X10597" s="37">
        <v>0.1</v>
      </c>
      <c r="Y10597" s="38">
        <v>2.0699999999999999E-4</v>
      </c>
      <c r="Z10597" s="21">
        <v>4601004282650</v>
      </c>
    </row>
    <row r="10598" spans="1:26" ht="12" customHeight="1" outlineLevel="3" x14ac:dyDescent="0.2">
      <c r="A10598" s="32" t="s">
        <v>20140</v>
      </c>
      <c r="B10598" s="74" t="s">
        <v>20141</v>
      </c>
      <c r="C10598" s="50"/>
      <c r="D10598" s="53">
        <f t="shared" si="165"/>
        <v>0</v>
      </c>
      <c r="E10598" s="60" t="str">
        <f>HYPERLINK("https://www.sds-group.ru/product/led-lenta-220-v-13h8-mm-ip67-smd-5050-60-led-m-tsvet-svecheniya-zeleniy-7089/", "Инфо")</f>
        <v>Инфо</v>
      </c>
      <c r="F10598" s="34" t="s">
        <v>1767</v>
      </c>
      <c r="G10598" s="33"/>
      <c r="H10598" s="33" t="s">
        <v>40</v>
      </c>
      <c r="I10598" s="33"/>
      <c r="J10598" s="39">
        <v>2000</v>
      </c>
      <c r="K10598" s="33"/>
      <c r="L10598" s="35">
        <v>100</v>
      </c>
      <c r="M10598" s="35">
        <v>100</v>
      </c>
      <c r="N10598" s="35">
        <v>100</v>
      </c>
      <c r="O10598" s="36">
        <v>88.03</v>
      </c>
      <c r="P10598" s="36">
        <v>72.16</v>
      </c>
      <c r="Q10598" s="36">
        <v>61.62</v>
      </c>
      <c r="R10598" s="36">
        <v>50.51</v>
      </c>
      <c r="S10598" s="36">
        <v>59.86</v>
      </c>
      <c r="T10598" s="36">
        <v>49.07</v>
      </c>
      <c r="U10598" s="34"/>
      <c r="V10598" s="34"/>
      <c r="W10598" s="34"/>
      <c r="X10598" s="37">
        <v>9.6000000000000002E-2</v>
      </c>
      <c r="Y10598" s="38">
        <v>2.0799999999999999E-4</v>
      </c>
      <c r="Z10598" s="21">
        <v>4601004282636</v>
      </c>
    </row>
    <row r="10599" spans="1:26" ht="12.95" customHeight="1" outlineLevel="3" x14ac:dyDescent="0.2">
      <c r="A10599" s="76" t="s">
        <v>20142</v>
      </c>
      <c r="B10599" s="76"/>
      <c r="C10599" s="77"/>
      <c r="D10599" s="58"/>
      <c r="E10599" s="68"/>
      <c r="F10599" s="13"/>
      <c r="G10599" s="13"/>
      <c r="H10599" s="13"/>
      <c r="I10599" s="13"/>
      <c r="J10599" s="13"/>
      <c r="K10599" s="13"/>
      <c r="L10599" s="13"/>
      <c r="M10599" s="13"/>
      <c r="N10599" s="13"/>
      <c r="O10599" s="13"/>
      <c r="P10599" s="13"/>
      <c r="Q10599" s="13"/>
      <c r="R10599" s="13"/>
      <c r="S10599" s="13"/>
      <c r="T10599" s="13"/>
      <c r="U10599" s="13"/>
      <c r="V10599" s="13"/>
      <c r="W10599" s="13"/>
      <c r="X10599" s="13"/>
      <c r="Y10599" s="13"/>
      <c r="Z10599" s="13"/>
    </row>
    <row r="10600" spans="1:26" ht="12" customHeight="1" outlineLevel="4" x14ac:dyDescent="0.2">
      <c r="A10600" s="32" t="s">
        <v>20143</v>
      </c>
      <c r="B10600" s="74" t="s">
        <v>20144</v>
      </c>
      <c r="C10600" s="50"/>
      <c r="D10600" s="53">
        <f t="shared" si="165"/>
        <v>0</v>
      </c>
      <c r="E10600" s="60" t="str">
        <f>HYPERLINK("https://www.sds-group.ru/product/montazhnaya-klipsa-dlya-led-lenty-220-v-6x10-6-mm-142-012/", "Инфо")</f>
        <v>Инфо</v>
      </c>
      <c r="F10600" s="34" t="s">
        <v>39</v>
      </c>
      <c r="G10600" s="33"/>
      <c r="H10600" s="33" t="s">
        <v>40</v>
      </c>
      <c r="I10600" s="33"/>
      <c r="J10600" s="39">
        <v>30800</v>
      </c>
      <c r="K10600" s="33"/>
      <c r="L10600" s="35">
        <v>100</v>
      </c>
      <c r="M10600" s="39">
        <v>10000</v>
      </c>
      <c r="N10600" s="35">
        <v>100</v>
      </c>
      <c r="O10600" s="36">
        <v>3.3</v>
      </c>
      <c r="P10600" s="36">
        <v>2.7</v>
      </c>
      <c r="Q10600" s="36">
        <v>2.31</v>
      </c>
      <c r="R10600" s="36">
        <v>1.89</v>
      </c>
      <c r="S10600" s="36">
        <v>2.2400000000000002</v>
      </c>
      <c r="T10600" s="36">
        <v>1.84</v>
      </c>
      <c r="U10600" s="34"/>
      <c r="V10600" s="34"/>
      <c r="W10600" s="34"/>
      <c r="X10600" s="37">
        <v>0</v>
      </c>
      <c r="Y10600" s="38">
        <v>3.0000000000000001E-6</v>
      </c>
      <c r="Z10600" s="21">
        <v>4601004282155</v>
      </c>
    </row>
    <row r="10601" spans="1:26" ht="12" customHeight="1" outlineLevel="4" x14ac:dyDescent="0.2">
      <c r="A10601" s="32" t="s">
        <v>20145</v>
      </c>
      <c r="B10601" s="74" t="s">
        <v>20146</v>
      </c>
      <c r="C10601" s="50"/>
      <c r="D10601" s="53">
        <f t="shared" si="165"/>
        <v>0</v>
      </c>
      <c r="E10601" s="60" t="str">
        <f>HYPERLINK("https://www.sds-group.ru/product/mufta-soedinitelnaya-l-dlya-svetodiodnoy-lenty-220-v-14-5h7-5-mm-142-053/", "Инфо")</f>
        <v>Инфо</v>
      </c>
      <c r="F10601" s="34" t="s">
        <v>39</v>
      </c>
      <c r="G10601" s="33"/>
      <c r="H10601" s="33" t="s">
        <v>40</v>
      </c>
      <c r="I10601" s="33"/>
      <c r="J10601" s="35">
        <v>660</v>
      </c>
      <c r="K10601" s="33"/>
      <c r="L10601" s="35">
        <v>10</v>
      </c>
      <c r="M10601" s="35">
        <v>750</v>
      </c>
      <c r="N10601" s="35">
        <v>10</v>
      </c>
      <c r="O10601" s="36">
        <v>79.3</v>
      </c>
      <c r="P10601" s="36">
        <v>65</v>
      </c>
      <c r="Q10601" s="36">
        <v>55.51</v>
      </c>
      <c r="R10601" s="36">
        <v>45.5</v>
      </c>
      <c r="S10601" s="36">
        <v>53.92</v>
      </c>
      <c r="T10601" s="36">
        <v>44.2</v>
      </c>
      <c r="U10601" s="34"/>
      <c r="V10601" s="34"/>
      <c r="W10601" s="34"/>
      <c r="X10601" s="37">
        <v>2.1999999999999999E-2</v>
      </c>
      <c r="Y10601" s="38">
        <v>6.0999999999999999E-5</v>
      </c>
      <c r="Z10601" s="21">
        <v>4601004094703</v>
      </c>
    </row>
    <row r="10602" spans="1:26" ht="12" customHeight="1" outlineLevel="4" x14ac:dyDescent="0.2">
      <c r="A10602" s="32" t="s">
        <v>20147</v>
      </c>
      <c r="B10602" s="74" t="s">
        <v>20148</v>
      </c>
      <c r="C10602" s="50"/>
      <c r="D10602" s="53">
        <f t="shared" si="165"/>
        <v>0</v>
      </c>
      <c r="E10602" s="60" t="str">
        <f>HYPERLINK("https://www.sds-group.ru/product/mufta-soedinitelnaya-l-dlya-svetodiodnoy-lenty-220-v-6-5h17-mm-142-056/", "Инфо")</f>
        <v>Инфо</v>
      </c>
      <c r="F10602" s="34" t="s">
        <v>39</v>
      </c>
      <c r="G10602" s="33"/>
      <c r="H10602" s="33" t="s">
        <v>40</v>
      </c>
      <c r="I10602" s="33"/>
      <c r="J10602" s="35">
        <v>620</v>
      </c>
      <c r="K10602" s="33"/>
      <c r="L10602" s="35">
        <v>10</v>
      </c>
      <c r="M10602" s="35">
        <v>750</v>
      </c>
      <c r="N10602" s="35">
        <v>10</v>
      </c>
      <c r="O10602" s="36">
        <v>78.260000000000005</v>
      </c>
      <c r="P10602" s="36">
        <v>64.150000000000006</v>
      </c>
      <c r="Q10602" s="36">
        <v>54.78</v>
      </c>
      <c r="R10602" s="36">
        <v>44.9</v>
      </c>
      <c r="S10602" s="36">
        <v>53.22</v>
      </c>
      <c r="T10602" s="36">
        <v>43.62</v>
      </c>
      <c r="U10602" s="34"/>
      <c r="V10602" s="34"/>
      <c r="W10602" s="34"/>
      <c r="X10602" s="37">
        <v>0.02</v>
      </c>
      <c r="Y10602" s="38">
        <v>8.6000000000000003E-5</v>
      </c>
      <c r="Z10602" s="21">
        <v>4601004094734</v>
      </c>
    </row>
    <row r="10603" spans="1:26" ht="12" customHeight="1" outlineLevel="4" x14ac:dyDescent="0.2">
      <c r="A10603" s="32" t="s">
        <v>20149</v>
      </c>
      <c r="B10603" s="74" t="s">
        <v>20150</v>
      </c>
      <c r="C10603" s="50"/>
      <c r="D10603" s="53">
        <f t="shared" si="165"/>
        <v>0</v>
      </c>
      <c r="E10603" s="60" t="str">
        <f>HYPERLINK("https://www.sds-group.ru/product/mufta-soedinitelnaya-t-dlya-svetodiodnoy-lenty-220-v-13-5h6-5-mm-142-041/", "Инфо")</f>
        <v>Инфо</v>
      </c>
      <c r="F10603" s="34" t="s">
        <v>39</v>
      </c>
      <c r="G10603" s="33"/>
      <c r="H10603" s="33" t="s">
        <v>40</v>
      </c>
      <c r="I10603" s="33"/>
      <c r="J10603" s="35">
        <v>30</v>
      </c>
      <c r="K10603" s="33"/>
      <c r="L10603" s="35">
        <v>10</v>
      </c>
      <c r="M10603" s="35">
        <v>250</v>
      </c>
      <c r="N10603" s="35">
        <v>10</v>
      </c>
      <c r="O10603" s="36">
        <v>178.24</v>
      </c>
      <c r="P10603" s="36">
        <v>146.1</v>
      </c>
      <c r="Q10603" s="36">
        <v>124.77</v>
      </c>
      <c r="R10603" s="36">
        <v>102.27</v>
      </c>
      <c r="S10603" s="36">
        <v>121.2</v>
      </c>
      <c r="T10603" s="36">
        <v>99.34</v>
      </c>
      <c r="U10603" s="34"/>
      <c r="V10603" s="34"/>
      <c r="W10603" s="34"/>
      <c r="X10603" s="37">
        <v>1.9E-2</v>
      </c>
      <c r="Y10603" s="38">
        <v>1.17E-4</v>
      </c>
      <c r="Z10603" s="21">
        <v>4601004094758</v>
      </c>
    </row>
    <row r="10604" spans="1:26" ht="12" customHeight="1" outlineLevel="4" x14ac:dyDescent="0.2">
      <c r="A10604" s="32" t="s">
        <v>20151</v>
      </c>
      <c r="B10604" s="74" t="s">
        <v>20152</v>
      </c>
      <c r="C10604" s="50"/>
      <c r="D10604" s="53">
        <f t="shared" si="165"/>
        <v>0</v>
      </c>
      <c r="E10604" s="60" t="str">
        <f>HYPERLINK("https://www.sds-group.ru/product/mufta-soedinitelnaya-t-dlya-svetodiodnoy-lenty-220-v-9-5h6-mm-142-042/", "Инфо")</f>
        <v>Инфо</v>
      </c>
      <c r="F10604" s="34" t="s">
        <v>39</v>
      </c>
      <c r="G10604" s="33"/>
      <c r="H10604" s="33" t="s">
        <v>40</v>
      </c>
      <c r="I10604" s="33"/>
      <c r="J10604" s="35">
        <v>120</v>
      </c>
      <c r="K10604" s="33"/>
      <c r="L10604" s="35">
        <v>10</v>
      </c>
      <c r="M10604" s="35">
        <v>200</v>
      </c>
      <c r="N10604" s="35">
        <v>10</v>
      </c>
      <c r="O10604" s="36">
        <v>155.93</v>
      </c>
      <c r="P10604" s="36">
        <v>127.81</v>
      </c>
      <c r="Q10604" s="36">
        <v>109.15</v>
      </c>
      <c r="R10604" s="36">
        <v>89.47</v>
      </c>
      <c r="S10604" s="36">
        <v>106.03</v>
      </c>
      <c r="T10604" s="36">
        <v>86.91</v>
      </c>
      <c r="U10604" s="34"/>
      <c r="V10604" s="34"/>
      <c r="W10604" s="34"/>
      <c r="X10604" s="37">
        <v>1.2999999999999999E-2</v>
      </c>
      <c r="Y10604" s="38">
        <v>6.3999999999999997E-5</v>
      </c>
      <c r="Z10604" s="21">
        <v>4601004094628</v>
      </c>
    </row>
    <row r="10605" spans="1:26" ht="12" customHeight="1" outlineLevel="4" x14ac:dyDescent="0.2">
      <c r="A10605" s="32" t="s">
        <v>20153</v>
      </c>
      <c r="B10605" s="74" t="s">
        <v>20154</v>
      </c>
      <c r="C10605" s="50"/>
      <c r="D10605" s="53">
        <f t="shared" si="165"/>
        <v>0</v>
      </c>
      <c r="E10605" s="60" t="str">
        <f>HYPERLINK("https://www.sds-group.ru/product/ustanovochnyy-komplekt-dlya-svetodiodnoy-lenty-220v-6-5x13mm-do-100m-shnur-pitaniya-8a-zaglu-124-023/", "Инфо")</f>
        <v>Инфо</v>
      </c>
      <c r="F10605" s="34" t="s">
        <v>39</v>
      </c>
      <c r="G10605" s="33"/>
      <c r="H10605" s="33" t="s">
        <v>40</v>
      </c>
      <c r="I10605" s="33"/>
      <c r="J10605" s="35">
        <v>698</v>
      </c>
      <c r="K10605" s="33"/>
      <c r="L10605" s="35">
        <v>1</v>
      </c>
      <c r="M10605" s="35">
        <v>100</v>
      </c>
      <c r="N10605" s="35">
        <v>1</v>
      </c>
      <c r="O10605" s="36">
        <v>124.21</v>
      </c>
      <c r="P10605" s="36">
        <v>101.81</v>
      </c>
      <c r="Q10605" s="36">
        <v>86.95</v>
      </c>
      <c r="R10605" s="36">
        <v>71.27</v>
      </c>
      <c r="S10605" s="36">
        <v>84.46</v>
      </c>
      <c r="T10605" s="36">
        <v>69.23</v>
      </c>
      <c r="U10605" s="34"/>
      <c r="V10605" s="34"/>
      <c r="W10605" s="34"/>
      <c r="X10605" s="37">
        <v>9.0999999999999998E-2</v>
      </c>
      <c r="Y10605" s="38">
        <v>2.14E-4</v>
      </c>
      <c r="Z10605" s="21">
        <v>4601004086760</v>
      </c>
    </row>
    <row r="10606" spans="1:26" ht="12" customHeight="1" outlineLevel="4" x14ac:dyDescent="0.2">
      <c r="A10606" s="32" t="s">
        <v>20155</v>
      </c>
      <c r="B10606" s="74" t="s">
        <v>20156</v>
      </c>
      <c r="C10606" s="50"/>
      <c r="D10606" s="53">
        <f t="shared" si="165"/>
        <v>0</v>
      </c>
      <c r="E10606" s="60" t="str">
        <f>HYPERLINK("https://www.sds-group.ru/product/ustanovochnyy-komplekt-dlya-svetodiodnoy-lenty-220v-6x10-6mm-do-100m-shnur-pitaniya-8a-zaglu-124-022/", "Инфо")</f>
        <v>Инфо</v>
      </c>
      <c r="F10606" s="34" t="s">
        <v>39</v>
      </c>
      <c r="G10606" s="33"/>
      <c r="H10606" s="33" t="s">
        <v>40</v>
      </c>
      <c r="I10606" s="33"/>
      <c r="J10606" s="35">
        <v>340</v>
      </c>
      <c r="K10606" s="33"/>
      <c r="L10606" s="35">
        <v>1</v>
      </c>
      <c r="M10606" s="35">
        <v>200</v>
      </c>
      <c r="N10606" s="35">
        <v>1</v>
      </c>
      <c r="O10606" s="36">
        <v>179.36</v>
      </c>
      <c r="P10606" s="36">
        <v>147.02000000000001</v>
      </c>
      <c r="Q10606" s="36">
        <v>125.55</v>
      </c>
      <c r="R10606" s="36">
        <v>102.91</v>
      </c>
      <c r="S10606" s="36">
        <v>121.96</v>
      </c>
      <c r="T10606" s="36">
        <v>99.97</v>
      </c>
      <c r="U10606" s="34"/>
      <c r="V10606" s="34"/>
      <c r="W10606" s="34"/>
      <c r="X10606" s="37">
        <v>8.1000000000000003E-2</v>
      </c>
      <c r="Y10606" s="38">
        <v>3.57E-4</v>
      </c>
      <c r="Z10606" s="21">
        <v>4601004086814</v>
      </c>
    </row>
    <row r="10607" spans="1:26" ht="12" customHeight="1" outlineLevel="4" x14ac:dyDescent="0.2">
      <c r="A10607" s="32" t="s">
        <v>20157</v>
      </c>
      <c r="B10607" s="74" t="s">
        <v>20158</v>
      </c>
      <c r="C10607" s="50"/>
      <c r="D10607" s="53">
        <f t="shared" si="165"/>
        <v>0</v>
      </c>
      <c r="E10607" s="60" t="str">
        <f>HYPERLINK("https://www.sds-group.ru/product/ustanovochnyy-komplekt-dlya-svetodiodnoy-lenty-220v-7-5x20mm-do-50m-shnur-pitaniya-4a-zaglus-124-026/", "Инфо")</f>
        <v>Инфо</v>
      </c>
      <c r="F10607" s="34" t="s">
        <v>39</v>
      </c>
      <c r="G10607" s="33"/>
      <c r="H10607" s="33" t="s">
        <v>40</v>
      </c>
      <c r="I10607" s="33"/>
      <c r="J10607" s="35">
        <v>724</v>
      </c>
      <c r="K10607" s="33"/>
      <c r="L10607" s="35">
        <v>1</v>
      </c>
      <c r="M10607" s="35">
        <v>100</v>
      </c>
      <c r="N10607" s="35">
        <v>1</v>
      </c>
      <c r="O10607" s="36">
        <v>117.68</v>
      </c>
      <c r="P10607" s="36">
        <v>96.46</v>
      </c>
      <c r="Q10607" s="36">
        <v>82.38</v>
      </c>
      <c r="R10607" s="36">
        <v>67.52</v>
      </c>
      <c r="S10607" s="36">
        <v>80.02</v>
      </c>
      <c r="T10607" s="36">
        <v>65.59</v>
      </c>
      <c r="U10607" s="34"/>
      <c r="V10607" s="34"/>
      <c r="W10607" s="34"/>
      <c r="X10607" s="37">
        <v>8.7999999999999995E-2</v>
      </c>
      <c r="Y10607" s="38">
        <v>4.0099999999999999E-4</v>
      </c>
      <c r="Z10607" s="21">
        <v>4601004086791</v>
      </c>
    </row>
    <row r="10608" spans="1:26" ht="12.95" customHeight="1" outlineLevel="2" x14ac:dyDescent="0.2">
      <c r="A10608" s="76" t="s">
        <v>20159</v>
      </c>
      <c r="B10608" s="76"/>
      <c r="C10608" s="77"/>
      <c r="D10608" s="58"/>
      <c r="E10608" s="68"/>
      <c r="F10608" s="13"/>
      <c r="G10608" s="13"/>
      <c r="H10608" s="13"/>
      <c r="I10608" s="13"/>
      <c r="J10608" s="13"/>
      <c r="K10608" s="13"/>
      <c r="L10608" s="13"/>
      <c r="M10608" s="13"/>
      <c r="N10608" s="13"/>
      <c r="O10608" s="13"/>
      <c r="P10608" s="13"/>
      <c r="Q10608" s="13"/>
      <c r="R10608" s="13"/>
      <c r="S10608" s="13"/>
      <c r="T10608" s="13"/>
      <c r="U10608" s="13"/>
      <c r="V10608" s="13"/>
      <c r="W10608" s="13"/>
      <c r="X10608" s="13"/>
      <c r="Y10608" s="13"/>
      <c r="Z10608" s="13"/>
    </row>
    <row r="10609" spans="1:26" ht="12.95" customHeight="1" outlineLevel="3" x14ac:dyDescent="0.2">
      <c r="A10609" s="76" t="s">
        <v>20160</v>
      </c>
      <c r="B10609" s="76"/>
      <c r="C10609" s="77"/>
      <c r="D10609" s="58"/>
      <c r="E10609" s="68"/>
      <c r="F10609" s="13"/>
      <c r="G10609" s="13"/>
      <c r="H10609" s="13"/>
      <c r="I10609" s="13"/>
      <c r="J10609" s="13"/>
      <c r="K10609" s="13"/>
      <c r="L10609" s="13"/>
      <c r="M10609" s="13"/>
      <c r="N10609" s="13"/>
      <c r="O10609" s="13"/>
      <c r="P10609" s="13"/>
      <c r="Q10609" s="13"/>
      <c r="R10609" s="13"/>
      <c r="S10609" s="13"/>
      <c r="T10609" s="13"/>
      <c r="U10609" s="13"/>
      <c r="V10609" s="13"/>
      <c r="W10609" s="13"/>
      <c r="X10609" s="13"/>
      <c r="Y10609" s="13"/>
      <c r="Z10609" s="13"/>
    </row>
    <row r="10610" spans="1:26" ht="12" customHeight="1" outlineLevel="4" x14ac:dyDescent="0.2">
      <c r="A10610" s="32" t="s">
        <v>20161</v>
      </c>
      <c r="B10610" s="74" t="s">
        <v>20162</v>
      </c>
      <c r="C10610" s="50"/>
      <c r="D10610" s="53">
        <f t="shared" si="165"/>
        <v>0</v>
      </c>
      <c r="E10610" s="60" t="str">
        <f>HYPERLINK("https://www.sds-group.ru/product/komplekt-vreznogo-alyuminievogo-profilya-s-rasseivatelem-22h6mm-1m-rexant-146-405-1/", "Инфо")</f>
        <v>Инфо</v>
      </c>
      <c r="F10610" s="34" t="s">
        <v>39</v>
      </c>
      <c r="G10610" s="33"/>
      <c r="H10610" s="33" t="s">
        <v>40</v>
      </c>
      <c r="I10610" s="33"/>
      <c r="J10610" s="39">
        <v>2797</v>
      </c>
      <c r="K10610" s="33"/>
      <c r="L10610" s="35">
        <v>1</v>
      </c>
      <c r="M10610" s="35">
        <v>80</v>
      </c>
      <c r="N10610" s="35">
        <v>1</v>
      </c>
      <c r="O10610" s="36">
        <v>292</v>
      </c>
      <c r="P10610" s="36">
        <v>239.34</v>
      </c>
      <c r="Q10610" s="36">
        <v>248.2</v>
      </c>
      <c r="R10610" s="36">
        <v>203.44</v>
      </c>
      <c r="S10610" s="36">
        <v>198.56</v>
      </c>
      <c r="T10610" s="36">
        <v>162.75</v>
      </c>
      <c r="U10610" s="34"/>
      <c r="V10610" s="34"/>
      <c r="W10610" s="34" t="s">
        <v>40</v>
      </c>
      <c r="X10610" s="37">
        <v>8.3000000000000004E-2</v>
      </c>
      <c r="Y10610" s="38">
        <v>1.8799999999999999E-4</v>
      </c>
      <c r="Z10610" s="21">
        <v>4601004278356</v>
      </c>
    </row>
    <row r="10611" spans="1:26" ht="12" customHeight="1" outlineLevel="4" x14ac:dyDescent="0.2">
      <c r="A10611" s="32" t="s">
        <v>20163</v>
      </c>
      <c r="B10611" s="74" t="s">
        <v>20164</v>
      </c>
      <c r="C10611" s="50"/>
      <c r="D10611" s="53">
        <f t="shared" si="165"/>
        <v>0</v>
      </c>
      <c r="E10611" s="60" t="str">
        <f>HYPERLINK("https://www.sds-group.ru/product/komplekt-vreznogo-alyuminievogo-profilya-s-rasseivatelem-22h6mm-1m-rozovoe-zoloto-rexant-146-405-3/", "Инфо")</f>
        <v>Инфо</v>
      </c>
      <c r="F10611" s="34" t="s">
        <v>39</v>
      </c>
      <c r="G10611" s="33"/>
      <c r="H10611" s="33" t="s">
        <v>40</v>
      </c>
      <c r="I10611" s="33"/>
      <c r="J10611" s="34" t="s">
        <v>100</v>
      </c>
      <c r="K10611" s="33"/>
      <c r="L10611" s="35">
        <v>1</v>
      </c>
      <c r="M10611" s="35">
        <v>80</v>
      </c>
      <c r="N10611" s="35">
        <v>1</v>
      </c>
      <c r="O10611" s="36">
        <v>398.04</v>
      </c>
      <c r="P10611" s="36">
        <v>326.26</v>
      </c>
      <c r="Q10611" s="36">
        <v>318.43</v>
      </c>
      <c r="R10611" s="36">
        <v>261.01</v>
      </c>
      <c r="S10611" s="36">
        <v>270.67</v>
      </c>
      <c r="T10611" s="36">
        <v>221.86</v>
      </c>
      <c r="U10611" s="34"/>
      <c r="V10611" s="34"/>
      <c r="W10611" s="34" t="s">
        <v>40</v>
      </c>
      <c r="X10611" s="37">
        <v>8.5999999999999993E-2</v>
      </c>
      <c r="Y10611" s="38">
        <v>1.8799999999999999E-4</v>
      </c>
      <c r="Z10611" s="21">
        <v>4601004278370</v>
      </c>
    </row>
    <row r="10612" spans="1:26" ht="12" customHeight="1" outlineLevel="4" x14ac:dyDescent="0.2">
      <c r="A10612" s="32" t="s">
        <v>20165</v>
      </c>
      <c r="B10612" s="74" t="s">
        <v>20166</v>
      </c>
      <c r="C10612" s="50"/>
      <c r="D10612" s="53">
        <f t="shared" si="165"/>
        <v>0</v>
      </c>
      <c r="E10612" s="60" t="str">
        <f>HYPERLINK("https://www.sds-group.ru/product/komplekt-vreznogo-alyuminievogo-profilya-s-rasseivatelem-22h6mm-1m-chernyy-rexant-146-405-2/", "Инфо")</f>
        <v>Инфо</v>
      </c>
      <c r="F10612" s="34" t="s">
        <v>39</v>
      </c>
      <c r="G10612" s="33"/>
      <c r="H10612" s="33" t="s">
        <v>40</v>
      </c>
      <c r="I10612" s="33"/>
      <c r="J10612" s="34" t="s">
        <v>100</v>
      </c>
      <c r="K10612" s="33"/>
      <c r="L10612" s="35">
        <v>1</v>
      </c>
      <c r="M10612" s="35">
        <v>80</v>
      </c>
      <c r="N10612" s="35">
        <v>1</v>
      </c>
      <c r="O10612" s="36">
        <v>380.77</v>
      </c>
      <c r="P10612" s="36">
        <v>312.11</v>
      </c>
      <c r="Q10612" s="36">
        <v>304.62</v>
      </c>
      <c r="R10612" s="36">
        <v>249.69</v>
      </c>
      <c r="S10612" s="36">
        <v>258.92</v>
      </c>
      <c r="T10612" s="36">
        <v>212.23</v>
      </c>
      <c r="U10612" s="34"/>
      <c r="V10612" s="34"/>
      <c r="W10612" s="34" t="s">
        <v>40</v>
      </c>
      <c r="X10612" s="37">
        <v>9.1999999999999998E-2</v>
      </c>
      <c r="Y10612" s="38">
        <v>1.8799999999999999E-4</v>
      </c>
      <c r="Z10612" s="21">
        <v>4601004278363</v>
      </c>
    </row>
    <row r="10613" spans="1:26" ht="12" customHeight="1" outlineLevel="4" x14ac:dyDescent="0.2">
      <c r="A10613" s="14" t="s">
        <v>20167</v>
      </c>
      <c r="B10613" s="26" t="s">
        <v>20168</v>
      </c>
      <c r="C10613" s="52"/>
      <c r="D10613" s="55">
        <f t="shared" si="165"/>
        <v>0</v>
      </c>
      <c r="E10613" s="63" t="str">
        <f>HYPERLINK("https://www.sds-group.ru/product/komplekt-vreznogo-alyuminievogo-profilya-s-rasseivatelem-22h6mm-2m-rexant-146-405/", "Инфо")</f>
        <v>Инфо</v>
      </c>
      <c r="F10613" s="16" t="s">
        <v>39</v>
      </c>
      <c r="G10613" s="15"/>
      <c r="H10613" s="15"/>
      <c r="I10613" s="15"/>
      <c r="J10613" s="17">
        <v>24</v>
      </c>
      <c r="K10613" s="15"/>
      <c r="L10613" s="17">
        <v>5</v>
      </c>
      <c r="M10613" s="17">
        <v>80</v>
      </c>
      <c r="N10613" s="17">
        <v>5</v>
      </c>
      <c r="O10613" s="18">
        <v>559.09</v>
      </c>
      <c r="P10613" s="18">
        <v>458.27</v>
      </c>
      <c r="Q10613" s="18">
        <v>447.27</v>
      </c>
      <c r="R10613" s="18">
        <v>366.61</v>
      </c>
      <c r="S10613" s="18">
        <v>380.18</v>
      </c>
      <c r="T10613" s="18">
        <v>311.62</v>
      </c>
      <c r="U10613" s="16"/>
      <c r="V10613" s="16"/>
      <c r="W10613" s="16" t="s">
        <v>40</v>
      </c>
      <c r="X10613" s="19">
        <v>0.17399999999999999</v>
      </c>
      <c r="Y10613" s="20">
        <v>9.1E-4</v>
      </c>
      <c r="Z10613" s="21">
        <v>4601004278325</v>
      </c>
    </row>
    <row r="10614" spans="1:26" ht="12" customHeight="1" outlineLevel="4" x14ac:dyDescent="0.2">
      <c r="A10614" s="14" t="s">
        <v>20169</v>
      </c>
      <c r="B10614" s="26" t="s">
        <v>20170</v>
      </c>
      <c r="C10614" s="52"/>
      <c r="D10614" s="55">
        <f t="shared" si="165"/>
        <v>0</v>
      </c>
      <c r="E10614" s="63" t="str">
        <f>HYPERLINK("https://www.sds-group.ru/product/komplekt-nakladnogo-alyuminievogo-profilya-s-rasseivatelem-15h6mm-1m-rexant-146-400-1/", "Инфо")</f>
        <v>Инфо</v>
      </c>
      <c r="F10614" s="16" t="s">
        <v>39</v>
      </c>
      <c r="G10614" s="15"/>
      <c r="H10614" s="15"/>
      <c r="I10614" s="15"/>
      <c r="J10614" s="17">
        <v>238</v>
      </c>
      <c r="K10614" s="15"/>
      <c r="L10614" s="17">
        <v>5</v>
      </c>
      <c r="M10614" s="17">
        <v>60</v>
      </c>
      <c r="N10614" s="17">
        <v>5</v>
      </c>
      <c r="O10614" s="18">
        <v>222.2</v>
      </c>
      <c r="P10614" s="18">
        <v>182.13</v>
      </c>
      <c r="Q10614" s="18">
        <v>188.87</v>
      </c>
      <c r="R10614" s="18">
        <v>154.81</v>
      </c>
      <c r="S10614" s="18">
        <v>151.1</v>
      </c>
      <c r="T10614" s="18">
        <v>123.85</v>
      </c>
      <c r="U10614" s="16"/>
      <c r="V10614" s="16"/>
      <c r="W10614" s="16" t="s">
        <v>40</v>
      </c>
      <c r="X10614" s="19">
        <v>0.09</v>
      </c>
      <c r="Y10614" s="20">
        <v>4.4000000000000002E-4</v>
      </c>
      <c r="Z10614" s="21">
        <v>4601004278394</v>
      </c>
    </row>
    <row r="10615" spans="1:26" ht="12" customHeight="1" outlineLevel="4" x14ac:dyDescent="0.2">
      <c r="A10615" s="14" t="s">
        <v>20171</v>
      </c>
      <c r="B10615" s="26" t="s">
        <v>20172</v>
      </c>
      <c r="C10615" s="52"/>
      <c r="D10615" s="55">
        <f t="shared" si="165"/>
        <v>0</v>
      </c>
      <c r="E10615" s="63" t="str">
        <f>HYPERLINK("https://www.sds-group.ru/product/komplekt-nakladnogo-alyuminievogo-profilya-s-rasseivatelem-15h6mm-2m-rexant-146-400/", "Инфо")</f>
        <v>Инфо</v>
      </c>
      <c r="F10615" s="16" t="s">
        <v>39</v>
      </c>
      <c r="G10615" s="15"/>
      <c r="H10615" s="15"/>
      <c r="I10615" s="15"/>
      <c r="J10615" s="17">
        <v>31</v>
      </c>
      <c r="K10615" s="15"/>
      <c r="L10615" s="17">
        <v>5</v>
      </c>
      <c r="M10615" s="17">
        <v>60</v>
      </c>
      <c r="N10615" s="17">
        <v>5</v>
      </c>
      <c r="O10615" s="18">
        <v>424.99</v>
      </c>
      <c r="P10615" s="18">
        <v>348.35</v>
      </c>
      <c r="Q10615" s="18">
        <v>339.99</v>
      </c>
      <c r="R10615" s="18">
        <v>278.68</v>
      </c>
      <c r="S10615" s="18">
        <v>288.99</v>
      </c>
      <c r="T10615" s="18">
        <v>236.88</v>
      </c>
      <c r="U10615" s="16"/>
      <c r="V10615" s="16"/>
      <c r="W10615" s="16" t="s">
        <v>40</v>
      </c>
      <c r="X10615" s="19">
        <v>0.17399999999999999</v>
      </c>
      <c r="Y10615" s="20">
        <v>8.0999999999999996E-4</v>
      </c>
      <c r="Z10615" s="21">
        <v>4601004278387</v>
      </c>
    </row>
    <row r="10616" spans="1:26" ht="12" customHeight="1" outlineLevel="4" x14ac:dyDescent="0.2">
      <c r="A10616" s="32" t="s">
        <v>20173</v>
      </c>
      <c r="B10616" s="74" t="s">
        <v>20174</v>
      </c>
      <c r="C10616" s="50"/>
      <c r="D10616" s="53">
        <f t="shared" si="165"/>
        <v>0</v>
      </c>
      <c r="E10616" s="60" t="str">
        <f>HYPERLINK("https://www.sds-group.ru/product/komplekt-nakladnogo-alyuminievogo-profilya-s-rasseivatelem-16h12mm-1m-rexant-146-401-1/", "Инфо")</f>
        <v>Инфо</v>
      </c>
      <c r="F10616" s="34" t="s">
        <v>39</v>
      </c>
      <c r="G10616" s="33"/>
      <c r="H10616" s="33" t="s">
        <v>40</v>
      </c>
      <c r="I10616" s="33"/>
      <c r="J10616" s="39">
        <v>2755</v>
      </c>
      <c r="K10616" s="33"/>
      <c r="L10616" s="35">
        <v>1</v>
      </c>
      <c r="M10616" s="35">
        <v>40</v>
      </c>
      <c r="N10616" s="35">
        <v>1</v>
      </c>
      <c r="O10616" s="36">
        <v>307.26</v>
      </c>
      <c r="P10616" s="36">
        <v>251.85</v>
      </c>
      <c r="Q10616" s="36">
        <v>261.17</v>
      </c>
      <c r="R10616" s="36">
        <v>214.07</v>
      </c>
      <c r="S10616" s="36">
        <v>208.94</v>
      </c>
      <c r="T10616" s="36">
        <v>171.26</v>
      </c>
      <c r="U10616" s="34"/>
      <c r="V10616" s="34"/>
      <c r="W10616" s="34" t="s">
        <v>40</v>
      </c>
      <c r="X10616" s="37">
        <v>0.11600000000000001</v>
      </c>
      <c r="Y10616" s="38">
        <v>3.8000000000000002E-4</v>
      </c>
      <c r="Z10616" s="21">
        <v>4601004278417</v>
      </c>
    </row>
    <row r="10617" spans="1:26" ht="12" customHeight="1" outlineLevel="4" x14ac:dyDescent="0.2">
      <c r="A10617" s="32" t="s">
        <v>20175</v>
      </c>
      <c r="B10617" s="74" t="s">
        <v>20176</v>
      </c>
      <c r="C10617" s="50"/>
      <c r="D10617" s="53">
        <f t="shared" si="165"/>
        <v>0</v>
      </c>
      <c r="E10617" s="60" t="str">
        <f>HYPERLINK("https://www.sds-group.ru/product/komplekt-nakladnogo-alyuminievogo-profilya-s-rasseivatelem-16h12mm-2m-rexant-146-401/", "Инфо")</f>
        <v>Инфо</v>
      </c>
      <c r="F10617" s="34" t="s">
        <v>39</v>
      </c>
      <c r="G10617" s="33"/>
      <c r="H10617" s="33" t="s">
        <v>40</v>
      </c>
      <c r="I10617" s="33"/>
      <c r="J10617" s="39">
        <v>1734</v>
      </c>
      <c r="K10617" s="33"/>
      <c r="L10617" s="35">
        <v>1</v>
      </c>
      <c r="M10617" s="35">
        <v>40</v>
      </c>
      <c r="N10617" s="35">
        <v>1</v>
      </c>
      <c r="O10617" s="36">
        <v>629.98</v>
      </c>
      <c r="P10617" s="36">
        <v>516.38</v>
      </c>
      <c r="Q10617" s="36">
        <v>503.98</v>
      </c>
      <c r="R10617" s="36">
        <v>413.1</v>
      </c>
      <c r="S10617" s="36">
        <v>428.39</v>
      </c>
      <c r="T10617" s="36">
        <v>351.14</v>
      </c>
      <c r="U10617" s="34"/>
      <c r="V10617" s="34"/>
      <c r="W10617" s="34" t="s">
        <v>40</v>
      </c>
      <c r="X10617" s="37">
        <v>0.216</v>
      </c>
      <c r="Y10617" s="38">
        <v>7.2000000000000015E-4</v>
      </c>
      <c r="Z10617" s="21">
        <v>4601004278332</v>
      </c>
    </row>
    <row r="10618" spans="1:26" ht="12" customHeight="1" outlineLevel="4" x14ac:dyDescent="0.2">
      <c r="A10618" s="32" t="s">
        <v>20177</v>
      </c>
      <c r="B10618" s="74" t="s">
        <v>20178</v>
      </c>
      <c r="C10618" s="50"/>
      <c r="D10618" s="53">
        <f t="shared" si="165"/>
        <v>0</v>
      </c>
      <c r="E10618" s="60" t="str">
        <f>HYPERLINK("https://www.sds-group.ru/product/komplekt-nakladnoy-alyuminievogo-profilya-s-rasseivatelem-24h6mm-1m-rexant-146-403-1/", "Инфо")</f>
        <v>Инфо</v>
      </c>
      <c r="F10618" s="34" t="s">
        <v>39</v>
      </c>
      <c r="G10618" s="33"/>
      <c r="H10618" s="33" t="s">
        <v>40</v>
      </c>
      <c r="I10618" s="33"/>
      <c r="J10618" s="39">
        <v>2791</v>
      </c>
      <c r="K10618" s="33"/>
      <c r="L10618" s="35">
        <v>1</v>
      </c>
      <c r="M10618" s="35">
        <v>50</v>
      </c>
      <c r="N10618" s="35">
        <v>1</v>
      </c>
      <c r="O10618" s="36">
        <v>318.79000000000002</v>
      </c>
      <c r="P10618" s="36">
        <v>261.3</v>
      </c>
      <c r="Q10618" s="36">
        <v>270.97000000000003</v>
      </c>
      <c r="R10618" s="36">
        <v>222.11</v>
      </c>
      <c r="S10618" s="36">
        <v>216.78</v>
      </c>
      <c r="T10618" s="36">
        <v>177.69</v>
      </c>
      <c r="U10618" s="34"/>
      <c r="V10618" s="34"/>
      <c r="W10618" s="34" t="s">
        <v>40</v>
      </c>
      <c r="X10618" s="37">
        <v>0.11600000000000001</v>
      </c>
      <c r="Y10618" s="38">
        <v>3.0499999999999999E-4</v>
      </c>
      <c r="Z10618" s="21">
        <v>4601004278455</v>
      </c>
    </row>
    <row r="10619" spans="1:26" ht="12" customHeight="1" outlineLevel="4" x14ac:dyDescent="0.2">
      <c r="A10619" s="14" t="s">
        <v>20179</v>
      </c>
      <c r="B10619" s="26" t="s">
        <v>20180</v>
      </c>
      <c r="C10619" s="52"/>
      <c r="D10619" s="55">
        <f t="shared" si="165"/>
        <v>0</v>
      </c>
      <c r="E10619" s="63" t="str">
        <f>HYPERLINK("https://www.sds-group.ru/product/komplekt-vreznogo-alyuminievogo-profilya-s-rasseivatelem-24h6mm-2m-rexant-29956/", "Инфо")</f>
        <v>Инфо</v>
      </c>
      <c r="F10619" s="16" t="s">
        <v>39</v>
      </c>
      <c r="G10619" s="15"/>
      <c r="H10619" s="15"/>
      <c r="I10619" s="15"/>
      <c r="J10619" s="17">
        <v>4</v>
      </c>
      <c r="K10619" s="15"/>
      <c r="L10619" s="17">
        <v>5</v>
      </c>
      <c r="M10619" s="17">
        <v>50</v>
      </c>
      <c r="N10619" s="17">
        <v>5</v>
      </c>
      <c r="O10619" s="18">
        <v>578.39</v>
      </c>
      <c r="P10619" s="18">
        <v>474.09</v>
      </c>
      <c r="Q10619" s="18">
        <v>462.71</v>
      </c>
      <c r="R10619" s="18">
        <v>379.27</v>
      </c>
      <c r="S10619" s="18">
        <v>393.31</v>
      </c>
      <c r="T10619" s="18">
        <v>322.39</v>
      </c>
      <c r="U10619" s="16"/>
      <c r="V10619" s="16"/>
      <c r="W10619" s="16" t="s">
        <v>40</v>
      </c>
      <c r="X10619" s="19">
        <v>0.224</v>
      </c>
      <c r="Y10619" s="20">
        <v>5.71E-4</v>
      </c>
      <c r="Z10619" s="21">
        <v>4601004278424</v>
      </c>
    </row>
    <row r="10620" spans="1:26" ht="12" customHeight="1" outlineLevel="4" x14ac:dyDescent="0.2">
      <c r="A10620" s="32" t="s">
        <v>20181</v>
      </c>
      <c r="B10620" s="74" t="s">
        <v>20182</v>
      </c>
      <c r="C10620" s="50"/>
      <c r="D10620" s="53">
        <f t="shared" si="165"/>
        <v>0</v>
      </c>
      <c r="E10620" s="60" t="str">
        <f>HYPERLINK("https://www.sds-group.ru/product/komplekt-uglovogo-alyuminievogo-profilya-s-rasseivatelem-16h16mm-1m-rexant-146-402-1/", "Инфо")</f>
        <v>Инфо</v>
      </c>
      <c r="F10620" s="34" t="s">
        <v>39</v>
      </c>
      <c r="G10620" s="33"/>
      <c r="H10620" s="33" t="s">
        <v>40</v>
      </c>
      <c r="I10620" s="33"/>
      <c r="J10620" s="35">
        <v>726</v>
      </c>
      <c r="K10620" s="33"/>
      <c r="L10620" s="35">
        <v>5</v>
      </c>
      <c r="M10620" s="35">
        <v>60</v>
      </c>
      <c r="N10620" s="35">
        <v>5</v>
      </c>
      <c r="O10620" s="36">
        <v>333.25</v>
      </c>
      <c r="P10620" s="36">
        <v>273.16000000000003</v>
      </c>
      <c r="Q10620" s="36">
        <v>283.26</v>
      </c>
      <c r="R10620" s="36">
        <v>232.18</v>
      </c>
      <c r="S10620" s="36">
        <v>226.61</v>
      </c>
      <c r="T10620" s="36">
        <v>185.75</v>
      </c>
      <c r="U10620" s="34"/>
      <c r="V10620" s="34"/>
      <c r="W10620" s="34" t="s">
        <v>40</v>
      </c>
      <c r="X10620" s="37">
        <v>0.11700000000000001</v>
      </c>
      <c r="Y10620" s="38">
        <v>3.6999999999999999E-4</v>
      </c>
      <c r="Z10620" s="21">
        <v>4601004278400</v>
      </c>
    </row>
    <row r="10621" spans="1:26" ht="12" customHeight="1" outlineLevel="4" x14ac:dyDescent="0.2">
      <c r="A10621" s="14" t="s">
        <v>20183</v>
      </c>
      <c r="B10621" s="26" t="s">
        <v>20184</v>
      </c>
      <c r="C10621" s="52"/>
      <c r="D10621" s="55">
        <f t="shared" si="165"/>
        <v>0</v>
      </c>
      <c r="E10621" s="63" t="str">
        <f>HYPERLINK("https://www.sds-group.ru/product/komplekt-uglovogo-alyuminievogo-profilya-s-rasseivatelem-16h16mm-2m-rexant-146-402/", "Инфо")</f>
        <v>Инфо</v>
      </c>
      <c r="F10621" s="16" t="s">
        <v>39</v>
      </c>
      <c r="G10621" s="15"/>
      <c r="H10621" s="15"/>
      <c r="I10621" s="15"/>
      <c r="J10621" s="17">
        <v>156</v>
      </c>
      <c r="K10621" s="15"/>
      <c r="L10621" s="17">
        <v>1</v>
      </c>
      <c r="M10621" s="17">
        <v>60</v>
      </c>
      <c r="N10621" s="17">
        <v>1</v>
      </c>
      <c r="O10621" s="18">
        <v>633.95000000000005</v>
      </c>
      <c r="P10621" s="18">
        <v>519.63</v>
      </c>
      <c r="Q10621" s="18">
        <v>507.16</v>
      </c>
      <c r="R10621" s="18">
        <v>415.7</v>
      </c>
      <c r="S10621" s="18">
        <v>431.09</v>
      </c>
      <c r="T10621" s="18">
        <v>353.35</v>
      </c>
      <c r="U10621" s="16"/>
      <c r="V10621" s="16"/>
      <c r="W10621" s="16" t="s">
        <v>40</v>
      </c>
      <c r="X10621" s="19">
        <v>0.19700000000000001</v>
      </c>
      <c r="Y10621" s="20">
        <v>8.9999999999999998E-4</v>
      </c>
      <c r="Z10621" s="21">
        <v>4601004278431</v>
      </c>
    </row>
    <row r="10622" spans="1:26" ht="12.95" customHeight="1" outlineLevel="2" x14ac:dyDescent="0.2">
      <c r="A10622" s="76" t="s">
        <v>20185</v>
      </c>
      <c r="B10622" s="76"/>
      <c r="C10622" s="77"/>
      <c r="D10622" s="58"/>
      <c r="E10622" s="68"/>
      <c r="F10622" s="13"/>
      <c r="G10622" s="13"/>
      <c r="H10622" s="13"/>
      <c r="I10622" s="13"/>
      <c r="J10622" s="13"/>
      <c r="K10622" s="13"/>
      <c r="L10622" s="13"/>
      <c r="M10622" s="13"/>
      <c r="N10622" s="13"/>
      <c r="O10622" s="13"/>
      <c r="P10622" s="13"/>
      <c r="Q10622" s="13"/>
      <c r="R10622" s="13"/>
      <c r="S10622" s="13"/>
      <c r="T10622" s="13"/>
      <c r="U10622" s="13"/>
      <c r="V10622" s="13"/>
      <c r="W10622" s="13"/>
      <c r="X10622" s="13"/>
      <c r="Y10622" s="13"/>
      <c r="Z10622" s="13"/>
    </row>
    <row r="10623" spans="1:26" ht="12.95" customHeight="1" outlineLevel="3" x14ac:dyDescent="0.2">
      <c r="A10623" s="76" t="s">
        <v>20186</v>
      </c>
      <c r="B10623" s="76"/>
      <c r="C10623" s="77"/>
      <c r="D10623" s="58"/>
      <c r="E10623" s="68"/>
      <c r="F10623" s="13"/>
      <c r="G10623" s="13"/>
      <c r="H10623" s="13"/>
      <c r="I10623" s="13"/>
      <c r="J10623" s="13"/>
      <c r="K10623" s="13"/>
      <c r="L10623" s="13"/>
      <c r="M10623" s="13"/>
      <c r="N10623" s="13"/>
      <c r="O10623" s="13"/>
      <c r="P10623" s="13"/>
      <c r="Q10623" s="13"/>
      <c r="R10623" s="13"/>
      <c r="S10623" s="13"/>
      <c r="T10623" s="13"/>
      <c r="U10623" s="13"/>
      <c r="V10623" s="13"/>
      <c r="W10623" s="13"/>
      <c r="X10623" s="13"/>
      <c r="Y10623" s="13"/>
      <c r="Z10623" s="13"/>
    </row>
    <row r="10624" spans="1:26" ht="12" customHeight="1" outlineLevel="4" x14ac:dyDescent="0.2">
      <c r="A10624" s="14" t="s">
        <v>20187</v>
      </c>
      <c r="B10624" s="26" t="s">
        <v>20188</v>
      </c>
      <c r="C10624" s="52"/>
      <c r="D10624" s="55">
        <f t="shared" si="165"/>
        <v>0</v>
      </c>
      <c r="E10624" s="63" t="str">
        <f>HYPERLINK("https://www.sds-group.ru/product/blok-pitaniya-setevoy-adapter-ac-110-250v-dc-12v-9a-100vt-s-dc-razemom-podklyucheniya-5-5h-200-100-3/", "Инфо")</f>
        <v>Инфо</v>
      </c>
      <c r="F10624" s="16" t="s">
        <v>39</v>
      </c>
      <c r="G10624" s="15"/>
      <c r="H10624" s="15"/>
      <c r="I10624" s="15"/>
      <c r="J10624" s="17">
        <v>650</v>
      </c>
      <c r="K10624" s="15" t="s">
        <v>6744</v>
      </c>
      <c r="L10624" s="17">
        <v>1</v>
      </c>
      <c r="M10624" s="17">
        <v>50</v>
      </c>
      <c r="N10624" s="17">
        <v>1</v>
      </c>
      <c r="O10624" s="18">
        <v>1401.43</v>
      </c>
      <c r="P10624" s="18">
        <v>1148.71</v>
      </c>
      <c r="Q10624" s="18">
        <v>1107.1300000000001</v>
      </c>
      <c r="R10624" s="18">
        <v>907.48</v>
      </c>
      <c r="S10624" s="18">
        <v>952.97</v>
      </c>
      <c r="T10624" s="18">
        <v>781.12</v>
      </c>
      <c r="U10624" s="16"/>
      <c r="V10624" s="16"/>
      <c r="W10624" s="16" t="s">
        <v>40</v>
      </c>
      <c r="X10624" s="19">
        <v>0.35499999999999998</v>
      </c>
      <c r="Y10624" s="20">
        <v>1.1900000000000001E-3</v>
      </c>
      <c r="Z10624" s="21">
        <v>4601004009561</v>
      </c>
    </row>
    <row r="10625" spans="1:26" ht="12" customHeight="1" outlineLevel="4" x14ac:dyDescent="0.2">
      <c r="A10625" s="14" t="s">
        <v>20189</v>
      </c>
      <c r="B10625" s="26" t="s">
        <v>20190</v>
      </c>
      <c r="C10625" s="52"/>
      <c r="D10625" s="55">
        <f t="shared" si="165"/>
        <v>0</v>
      </c>
      <c r="E10625" s="63" t="str">
        <f>HYPERLINK("https://www.sds-group.ru/product/blok-pitaniya-setevoy-adapter-ac-110-250v-dc-12v-1a-12vt-s-dc-razemom-podklyucheniya-5-5h2-200-012-3/", "Инфо")</f>
        <v>Инфо</v>
      </c>
      <c r="F10625" s="16" t="s">
        <v>39</v>
      </c>
      <c r="G10625" s="15"/>
      <c r="H10625" s="15"/>
      <c r="I10625" s="15"/>
      <c r="J10625" s="16" t="s">
        <v>100</v>
      </c>
      <c r="K10625" s="15" t="s">
        <v>1587</v>
      </c>
      <c r="L10625" s="17">
        <v>5</v>
      </c>
      <c r="M10625" s="17">
        <v>200</v>
      </c>
      <c r="N10625" s="17">
        <v>5</v>
      </c>
      <c r="O10625" s="18">
        <v>234.25</v>
      </c>
      <c r="P10625" s="18">
        <v>192.01</v>
      </c>
      <c r="Q10625" s="18">
        <v>187.4</v>
      </c>
      <c r="R10625" s="18">
        <v>153.61000000000001</v>
      </c>
      <c r="S10625" s="18">
        <v>159.29</v>
      </c>
      <c r="T10625" s="18">
        <v>130.57</v>
      </c>
      <c r="U10625" s="16"/>
      <c r="V10625" s="16"/>
      <c r="W10625" s="16" t="s">
        <v>40</v>
      </c>
      <c r="X10625" s="19">
        <v>7.9000000000000001E-2</v>
      </c>
      <c r="Y10625" s="20">
        <v>2.7E-4</v>
      </c>
      <c r="Z10625" s="21">
        <v>4601004009523</v>
      </c>
    </row>
    <row r="10626" spans="1:26" ht="12" customHeight="1" outlineLevel="4" x14ac:dyDescent="0.2">
      <c r="A10626" s="14" t="s">
        <v>20191</v>
      </c>
      <c r="B10626" s="26" t="s">
        <v>20192</v>
      </c>
      <c r="C10626" s="52"/>
      <c r="D10626" s="55">
        <f t="shared" si="165"/>
        <v>0</v>
      </c>
      <c r="E10626" s="63" t="str">
        <f>HYPERLINK("https://www.sds-group.ru/product/blok-pitaniya-setevoy-adapter-ac-110-250v-dc-12v-12-5a-150vt-s-dc-razemom-podklyucheniya-5-200-150-3/", "Инфо")</f>
        <v>Инфо</v>
      </c>
      <c r="F10626" s="16" t="s">
        <v>39</v>
      </c>
      <c r="G10626" s="15"/>
      <c r="H10626" s="15"/>
      <c r="I10626" s="15"/>
      <c r="J10626" s="17">
        <v>160</v>
      </c>
      <c r="K10626" s="15"/>
      <c r="L10626" s="17">
        <v>1</v>
      </c>
      <c r="M10626" s="17">
        <v>50</v>
      </c>
      <c r="N10626" s="17">
        <v>1</v>
      </c>
      <c r="O10626" s="18">
        <v>1863.73</v>
      </c>
      <c r="P10626" s="18">
        <v>1527.65</v>
      </c>
      <c r="Q10626" s="18">
        <v>1472.35</v>
      </c>
      <c r="R10626" s="18">
        <v>1206.8399999999999</v>
      </c>
      <c r="S10626" s="18">
        <v>1267.3399999999999</v>
      </c>
      <c r="T10626" s="18">
        <v>1038.8</v>
      </c>
      <c r="U10626" s="16"/>
      <c r="V10626" s="16"/>
      <c r="W10626" s="16" t="s">
        <v>40</v>
      </c>
      <c r="X10626" s="19">
        <v>0.437</v>
      </c>
      <c r="Y10626" s="20">
        <v>1.126E-3</v>
      </c>
      <c r="Z10626" s="21">
        <v>4601004009578</v>
      </c>
    </row>
    <row r="10627" spans="1:26" ht="12" customHeight="1" outlineLevel="4" x14ac:dyDescent="0.2">
      <c r="A10627" s="14" t="s">
        <v>20193</v>
      </c>
      <c r="B10627" s="26" t="s">
        <v>20194</v>
      </c>
      <c r="C10627" s="52"/>
      <c r="D10627" s="55">
        <f t="shared" si="165"/>
        <v>0</v>
      </c>
      <c r="E10627" s="63" t="str">
        <f>HYPERLINK("https://www.sds-group.ru/product/blok-pitaniya-setevoy-adapter-ac-110-240v-dc-12v-2a-24vt-s-dc-razemom-podklyucheniya-5-5h2-200-024-3/", "Инфо")</f>
        <v>Инфо</v>
      </c>
      <c r="F10627" s="16" t="s">
        <v>39</v>
      </c>
      <c r="G10627" s="15"/>
      <c r="H10627" s="15"/>
      <c r="I10627" s="15"/>
      <c r="J10627" s="17">
        <v>152</v>
      </c>
      <c r="K10627" s="15" t="s">
        <v>1587</v>
      </c>
      <c r="L10627" s="17">
        <v>5</v>
      </c>
      <c r="M10627" s="17">
        <v>200</v>
      </c>
      <c r="N10627" s="17">
        <v>5</v>
      </c>
      <c r="O10627" s="18">
        <v>350.36</v>
      </c>
      <c r="P10627" s="18">
        <v>287.18</v>
      </c>
      <c r="Q10627" s="18">
        <v>280.29000000000002</v>
      </c>
      <c r="R10627" s="18">
        <v>229.75</v>
      </c>
      <c r="S10627" s="18">
        <v>238.24</v>
      </c>
      <c r="T10627" s="18">
        <v>195.28</v>
      </c>
      <c r="U10627" s="16"/>
      <c r="V10627" s="16"/>
      <c r="W10627" s="16" t="s">
        <v>40</v>
      </c>
      <c r="X10627" s="19">
        <v>0.104</v>
      </c>
      <c r="Y10627" s="20">
        <v>4.4900000000000002E-4</v>
      </c>
      <c r="Z10627" s="21">
        <v>4660008017521</v>
      </c>
    </row>
    <row r="10628" spans="1:26" ht="12" customHeight="1" outlineLevel="4" x14ac:dyDescent="0.2">
      <c r="A10628" s="14" t="s">
        <v>20195</v>
      </c>
      <c r="B10628" s="26" t="s">
        <v>20196</v>
      </c>
      <c r="C10628" s="52"/>
      <c r="D10628" s="55">
        <f t="shared" si="165"/>
        <v>0</v>
      </c>
      <c r="E10628" s="63" t="str">
        <f>HYPERLINK("https://www.sds-group.ru/product/blok-pitaniya-setevoy-adapter-ac-110-250v-dc-12v-2a-24vt-s-dc-razemom-podklyucheniya-5-5x2-200-024-6/", "Инфо")</f>
        <v>Инфо</v>
      </c>
      <c r="F10628" s="16" t="s">
        <v>39</v>
      </c>
      <c r="G10628" s="15"/>
      <c r="H10628" s="15"/>
      <c r="I10628" s="15"/>
      <c r="J10628" s="16" t="s">
        <v>100</v>
      </c>
      <c r="K10628" s="15" t="s">
        <v>1888</v>
      </c>
      <c r="L10628" s="17">
        <v>1</v>
      </c>
      <c r="M10628" s="17">
        <v>100</v>
      </c>
      <c r="N10628" s="17">
        <v>1</v>
      </c>
      <c r="O10628" s="18">
        <v>557.66999999999996</v>
      </c>
      <c r="P10628" s="18">
        <v>457.11</v>
      </c>
      <c r="Q10628" s="18">
        <v>446.14</v>
      </c>
      <c r="R10628" s="18">
        <v>365.69</v>
      </c>
      <c r="S10628" s="18">
        <v>379.22</v>
      </c>
      <c r="T10628" s="18">
        <v>310.83999999999997</v>
      </c>
      <c r="U10628" s="16"/>
      <c r="V10628" s="16"/>
      <c r="W10628" s="16" t="s">
        <v>40</v>
      </c>
      <c r="X10628" s="19">
        <v>0.115</v>
      </c>
      <c r="Y10628" s="20">
        <v>5.0900000000000001E-4</v>
      </c>
      <c r="Z10628" s="21">
        <v>4601004117259</v>
      </c>
    </row>
    <row r="10629" spans="1:26" ht="12" customHeight="1" outlineLevel="4" x14ac:dyDescent="0.2">
      <c r="A10629" s="14" t="s">
        <v>20197</v>
      </c>
      <c r="B10629" s="26" t="s">
        <v>20198</v>
      </c>
      <c r="C10629" s="52"/>
      <c r="D10629" s="55">
        <f t="shared" si="165"/>
        <v>0</v>
      </c>
      <c r="E10629" s="63" t="str">
        <f>HYPERLINK("https://www.sds-group.ru/product/blok-pitaniya-setevoy-adapter-ac-110-250v-dc-12v-3a-36vt-s-dc-razemom-podklyucheniya-5-5x2-200-036-3/", "Инфо")</f>
        <v>Инфо</v>
      </c>
      <c r="F10629" s="16" t="s">
        <v>39</v>
      </c>
      <c r="G10629" s="15"/>
      <c r="H10629" s="15"/>
      <c r="I10629" s="15"/>
      <c r="J10629" s="16" t="s">
        <v>100</v>
      </c>
      <c r="K10629" s="15" t="s">
        <v>1277</v>
      </c>
      <c r="L10629" s="17">
        <v>1</v>
      </c>
      <c r="M10629" s="17">
        <v>100</v>
      </c>
      <c r="N10629" s="17">
        <v>1</v>
      </c>
      <c r="O10629" s="18">
        <v>628.16</v>
      </c>
      <c r="P10629" s="18">
        <v>514.89</v>
      </c>
      <c r="Q10629" s="18">
        <v>502.53</v>
      </c>
      <c r="R10629" s="18">
        <v>411.91</v>
      </c>
      <c r="S10629" s="18">
        <v>427.15</v>
      </c>
      <c r="T10629" s="18">
        <v>350.12</v>
      </c>
      <c r="U10629" s="16"/>
      <c r="V10629" s="16"/>
      <c r="W10629" s="16" t="s">
        <v>40</v>
      </c>
      <c r="X10629" s="19">
        <v>0.13200000000000001</v>
      </c>
      <c r="Y10629" s="20">
        <v>4.8000000000000001E-4</v>
      </c>
      <c r="Z10629" s="21">
        <v>4601004016057</v>
      </c>
    </row>
    <row r="10630" spans="1:26" ht="12" customHeight="1" outlineLevel="4" x14ac:dyDescent="0.2">
      <c r="A10630" s="14" t="s">
        <v>20199</v>
      </c>
      <c r="B10630" s="26" t="s">
        <v>20200</v>
      </c>
      <c r="C10630" s="52"/>
      <c r="D10630" s="55">
        <f t="shared" si="165"/>
        <v>0</v>
      </c>
      <c r="E10630" s="63" t="str">
        <f>HYPERLINK("https://www.sds-group.ru/product/blok-pitaniya-setevoy-adapter-ac-110-250v-dc-12v-4-5a-54vt-s-dc-razemom-podklyucheniya-5-5-200-050-3/", "Инфо")</f>
        <v>Инфо</v>
      </c>
      <c r="F10630" s="16" t="s">
        <v>39</v>
      </c>
      <c r="G10630" s="15"/>
      <c r="H10630" s="15"/>
      <c r="I10630" s="15"/>
      <c r="J10630" s="22">
        <v>1060</v>
      </c>
      <c r="K10630" s="15" t="s">
        <v>1587</v>
      </c>
      <c r="L10630" s="17">
        <v>1</v>
      </c>
      <c r="M10630" s="17">
        <v>100</v>
      </c>
      <c r="N10630" s="17">
        <v>1</v>
      </c>
      <c r="O10630" s="18">
        <v>723.51</v>
      </c>
      <c r="P10630" s="18">
        <v>593.04</v>
      </c>
      <c r="Q10630" s="18">
        <v>578.80999999999995</v>
      </c>
      <c r="R10630" s="18">
        <v>474.43</v>
      </c>
      <c r="S10630" s="18">
        <v>491.99</v>
      </c>
      <c r="T10630" s="18">
        <v>403.27</v>
      </c>
      <c r="U10630" s="16"/>
      <c r="V10630" s="16"/>
      <c r="W10630" s="16" t="s">
        <v>40</v>
      </c>
      <c r="X10630" s="19">
        <v>0.252</v>
      </c>
      <c r="Y10630" s="20">
        <v>6.9999999999999999E-4</v>
      </c>
      <c r="Z10630" s="21">
        <v>4660008017538</v>
      </c>
    </row>
    <row r="10631" spans="1:26" ht="12" customHeight="1" outlineLevel="4" x14ac:dyDescent="0.2">
      <c r="A10631" s="14" t="s">
        <v>20201</v>
      </c>
      <c r="B10631" s="26" t="s">
        <v>20202</v>
      </c>
      <c r="C10631" s="52"/>
      <c r="D10631" s="55">
        <f t="shared" si="165"/>
        <v>0</v>
      </c>
      <c r="E10631" s="63" t="str">
        <f>HYPERLINK("https://www.sds-group.ru/product/blok-pitaniya-setevoy-adapter-ac-110-250v-dc-12v-0-5a-6vt-s-dc-razemom-podklyucheniya-5-5x-200-005-3/", "Инфо")</f>
        <v>Инфо</v>
      </c>
      <c r="F10631" s="16" t="s">
        <v>39</v>
      </c>
      <c r="G10631" s="15"/>
      <c r="H10631" s="15"/>
      <c r="I10631" s="15"/>
      <c r="J10631" s="17">
        <v>151</v>
      </c>
      <c r="K10631" s="15" t="s">
        <v>1587</v>
      </c>
      <c r="L10631" s="17">
        <v>5</v>
      </c>
      <c r="M10631" s="17">
        <v>200</v>
      </c>
      <c r="N10631" s="17">
        <v>5</v>
      </c>
      <c r="O10631" s="18">
        <v>215.6</v>
      </c>
      <c r="P10631" s="18">
        <v>176.72</v>
      </c>
      <c r="Q10631" s="18">
        <v>172.48</v>
      </c>
      <c r="R10631" s="18">
        <v>141.38</v>
      </c>
      <c r="S10631" s="18">
        <v>146.61000000000001</v>
      </c>
      <c r="T10631" s="18">
        <v>120.17</v>
      </c>
      <c r="U10631" s="16"/>
      <c r="V10631" s="16"/>
      <c r="W10631" s="16" t="s">
        <v>40</v>
      </c>
      <c r="X10631" s="19">
        <v>8.2000000000000003E-2</v>
      </c>
      <c r="Y10631" s="20">
        <v>3.01E-4</v>
      </c>
      <c r="Z10631" s="21">
        <v>4601004009516</v>
      </c>
    </row>
    <row r="10632" spans="1:26" ht="12" customHeight="1" outlineLevel="4" x14ac:dyDescent="0.2">
      <c r="A10632" s="14" t="s">
        <v>20203</v>
      </c>
      <c r="B10632" s="26" t="s">
        <v>20204</v>
      </c>
      <c r="C10632" s="52"/>
      <c r="D10632" s="55">
        <f t="shared" si="165"/>
        <v>0</v>
      </c>
      <c r="E10632" s="63" t="str">
        <f>HYPERLINK("https://www.sds-group.ru/product/blok-pitaniya-setevoy-adapter-ac-110-250v-dc-12v-6a-72vt-s-dc-razemom-podklyucheniya-5-5x2-200-072-3/", "Инфо")</f>
        <v>Инфо</v>
      </c>
      <c r="F10632" s="16" t="s">
        <v>39</v>
      </c>
      <c r="G10632" s="15"/>
      <c r="H10632" s="15"/>
      <c r="I10632" s="15"/>
      <c r="J10632" s="22">
        <v>2252</v>
      </c>
      <c r="K10632" s="15" t="s">
        <v>1587</v>
      </c>
      <c r="L10632" s="17">
        <v>1</v>
      </c>
      <c r="M10632" s="17">
        <v>50</v>
      </c>
      <c r="N10632" s="17">
        <v>1</v>
      </c>
      <c r="O10632" s="18">
        <v>881.07</v>
      </c>
      <c r="P10632" s="18">
        <v>722.19</v>
      </c>
      <c r="Q10632" s="18">
        <v>704.86</v>
      </c>
      <c r="R10632" s="18">
        <v>577.75</v>
      </c>
      <c r="S10632" s="18">
        <v>599.13</v>
      </c>
      <c r="T10632" s="18">
        <v>491.09</v>
      </c>
      <c r="U10632" s="16"/>
      <c r="V10632" s="16"/>
      <c r="W10632" s="16" t="s">
        <v>40</v>
      </c>
      <c r="X10632" s="19">
        <v>0.29099999999999998</v>
      </c>
      <c r="Y10632" s="20">
        <v>6.9499999999999998E-4</v>
      </c>
      <c r="Z10632" s="21">
        <v>4601004009554</v>
      </c>
    </row>
    <row r="10633" spans="1:26" ht="12" customHeight="1" outlineLevel="4" x14ac:dyDescent="0.2">
      <c r="A10633" s="14" t="s">
        <v>20205</v>
      </c>
      <c r="B10633" s="26" t="s">
        <v>20206</v>
      </c>
      <c r="C10633" s="52"/>
      <c r="D10633" s="55">
        <f t="shared" ref="D10633:D10696" si="166">C10633*(O10633-O10633*$G$3)</f>
        <v>0</v>
      </c>
      <c r="E10633" s="63" t="str">
        <f>HYPERLINK("https://www.sds-group.ru/product/blok-pitaniya-setevoy-adapter-ac-110-250v-dc-24v-1a-24vt-s-dc-razemom-podklyucheniya-5-5x2-201-024-3/", "Инфо")</f>
        <v>Инфо</v>
      </c>
      <c r="F10633" s="16" t="s">
        <v>39</v>
      </c>
      <c r="G10633" s="15"/>
      <c r="H10633" s="15"/>
      <c r="I10633" s="15"/>
      <c r="J10633" s="17">
        <v>507</v>
      </c>
      <c r="K10633" s="15"/>
      <c r="L10633" s="17">
        <v>1</v>
      </c>
      <c r="M10633" s="17">
        <v>100</v>
      </c>
      <c r="N10633" s="17">
        <v>1</v>
      </c>
      <c r="O10633" s="18">
        <v>677.09</v>
      </c>
      <c r="P10633" s="18">
        <v>554.99</v>
      </c>
      <c r="Q10633" s="18">
        <v>541.66999999999996</v>
      </c>
      <c r="R10633" s="18">
        <v>443.99</v>
      </c>
      <c r="S10633" s="18">
        <v>460.42</v>
      </c>
      <c r="T10633" s="18">
        <v>377.39</v>
      </c>
      <c r="U10633" s="16"/>
      <c r="V10633" s="16"/>
      <c r="W10633" s="16" t="s">
        <v>40</v>
      </c>
      <c r="X10633" s="19">
        <v>0.10199999999999999</v>
      </c>
      <c r="Y10633" s="20">
        <v>4.95E-4</v>
      </c>
      <c r="Z10633" s="21">
        <v>4601004073715</v>
      </c>
    </row>
    <row r="10634" spans="1:26" ht="12" customHeight="1" outlineLevel="4" x14ac:dyDescent="0.2">
      <c r="A10634" s="14" t="s">
        <v>20207</v>
      </c>
      <c r="B10634" s="26" t="s">
        <v>20208</v>
      </c>
      <c r="C10634" s="52"/>
      <c r="D10634" s="55">
        <f t="shared" si="166"/>
        <v>0</v>
      </c>
      <c r="E10634" s="63" t="str">
        <f>HYPERLINK("https://www.sds-group.ru/product/blok-pitaniya-setevoy-adapter-ac-110-250v-dc-24v-3a-72vt-s-dc-razemom-podklyucheniya-5-5x2-201-072-3/", "Инфо")</f>
        <v>Инфо</v>
      </c>
      <c r="F10634" s="16" t="s">
        <v>39</v>
      </c>
      <c r="G10634" s="15"/>
      <c r="H10634" s="15"/>
      <c r="I10634" s="15"/>
      <c r="J10634" s="16" t="s">
        <v>100</v>
      </c>
      <c r="K10634" s="15" t="s">
        <v>6744</v>
      </c>
      <c r="L10634" s="17">
        <v>1</v>
      </c>
      <c r="M10634" s="17">
        <v>50</v>
      </c>
      <c r="N10634" s="17">
        <v>1</v>
      </c>
      <c r="O10634" s="18">
        <v>1007</v>
      </c>
      <c r="P10634" s="18">
        <v>825.41</v>
      </c>
      <c r="Q10634" s="18">
        <v>805.6</v>
      </c>
      <c r="R10634" s="18">
        <v>660.33</v>
      </c>
      <c r="S10634" s="18">
        <v>684.76</v>
      </c>
      <c r="T10634" s="18">
        <v>561.28</v>
      </c>
      <c r="U10634" s="16"/>
      <c r="V10634" s="16"/>
      <c r="W10634" s="16" t="s">
        <v>40</v>
      </c>
      <c r="X10634" s="19">
        <v>0.3</v>
      </c>
      <c r="Y10634" s="20">
        <v>8.43E-4</v>
      </c>
      <c r="Z10634" s="21">
        <v>4601004073722</v>
      </c>
    </row>
    <row r="10635" spans="1:26" ht="12" customHeight="1" outlineLevel="4" x14ac:dyDescent="0.2">
      <c r="A10635" s="14" t="s">
        <v>20209</v>
      </c>
      <c r="B10635" s="26" t="s">
        <v>20210</v>
      </c>
      <c r="C10635" s="52"/>
      <c r="D10635" s="55">
        <f t="shared" si="166"/>
        <v>0</v>
      </c>
      <c r="E10635" s="63" t="str">
        <f>HYPERLINK("https://www.sds-group.ru/product/blok-pitaniya-setevoy-adapter-ac-110-250v-dc-5v-2a-10vt-s-dc-razemom-podklyucheniya-5-5h2--200-012-5/", "Инфо")</f>
        <v>Инфо</v>
      </c>
      <c r="F10635" s="16" t="s">
        <v>39</v>
      </c>
      <c r="G10635" s="15"/>
      <c r="H10635" s="15"/>
      <c r="I10635" s="15"/>
      <c r="J10635" s="16" t="s">
        <v>100</v>
      </c>
      <c r="K10635" s="15" t="s">
        <v>1587</v>
      </c>
      <c r="L10635" s="17">
        <v>5</v>
      </c>
      <c r="M10635" s="17">
        <v>200</v>
      </c>
      <c r="N10635" s="17">
        <v>5</v>
      </c>
      <c r="O10635" s="18">
        <v>234.25</v>
      </c>
      <c r="P10635" s="18">
        <v>192.01</v>
      </c>
      <c r="Q10635" s="18">
        <v>187.4</v>
      </c>
      <c r="R10635" s="18">
        <v>153.61000000000001</v>
      </c>
      <c r="S10635" s="18">
        <v>159.29</v>
      </c>
      <c r="T10635" s="18">
        <v>130.57</v>
      </c>
      <c r="U10635" s="16"/>
      <c r="V10635" s="16"/>
      <c r="W10635" s="16" t="s">
        <v>40</v>
      </c>
      <c r="X10635" s="19">
        <v>7.8E-2</v>
      </c>
      <c r="Y10635" s="20">
        <v>3.1300000000000002E-4</v>
      </c>
      <c r="Z10635" s="21">
        <v>4601004089259</v>
      </c>
    </row>
    <row r="10636" spans="1:26" ht="12" customHeight="1" outlineLevel="4" x14ac:dyDescent="0.2">
      <c r="A10636" s="14" t="s">
        <v>20211</v>
      </c>
      <c r="B10636" s="26" t="s">
        <v>20212</v>
      </c>
      <c r="C10636" s="52"/>
      <c r="D10636" s="55">
        <f t="shared" si="166"/>
        <v>0</v>
      </c>
      <c r="E10636" s="63" t="str">
        <f>HYPERLINK("https://www.sds-group.ru/product/blok-pitaniya-setevoy-adapter-ac-110-250v-dc-5v-3a-15vt-s-dc-razemom-podklyucheniya-5-5h2--200-024-5/", "Инфо")</f>
        <v>Инфо</v>
      </c>
      <c r="F10636" s="16" t="s">
        <v>39</v>
      </c>
      <c r="G10636" s="15"/>
      <c r="H10636" s="15"/>
      <c r="I10636" s="15"/>
      <c r="J10636" s="16" t="s">
        <v>100</v>
      </c>
      <c r="K10636" s="15" t="s">
        <v>1277</v>
      </c>
      <c r="L10636" s="17">
        <v>5</v>
      </c>
      <c r="M10636" s="17">
        <v>50</v>
      </c>
      <c r="N10636" s="17">
        <v>5</v>
      </c>
      <c r="O10636" s="18">
        <v>404.25</v>
      </c>
      <c r="P10636" s="18">
        <v>331.35</v>
      </c>
      <c r="Q10636" s="18">
        <v>323.39999999999998</v>
      </c>
      <c r="R10636" s="18">
        <v>265.08</v>
      </c>
      <c r="S10636" s="18">
        <v>274.89</v>
      </c>
      <c r="T10636" s="18">
        <v>225.32</v>
      </c>
      <c r="U10636" s="16"/>
      <c r="V10636" s="16"/>
      <c r="W10636" s="16" t="s">
        <v>40</v>
      </c>
      <c r="X10636" s="19">
        <v>0.1</v>
      </c>
      <c r="Y10636" s="20">
        <v>5.1599999999999997E-4</v>
      </c>
      <c r="Z10636" s="21">
        <v>4601004089266</v>
      </c>
    </row>
    <row r="10637" spans="1:26" ht="12" customHeight="1" outlineLevel="4" x14ac:dyDescent="0.2">
      <c r="A10637" s="14" t="s">
        <v>20213</v>
      </c>
      <c r="B10637" s="26" t="s">
        <v>20214</v>
      </c>
      <c r="C10637" s="52"/>
      <c r="D10637" s="55">
        <f t="shared" si="166"/>
        <v>0</v>
      </c>
      <c r="E10637" s="63" t="str">
        <f>HYPERLINK("https://www.sds-group.ru/product/blok-pitaniya-setevoy-adapter-ac-110-250v-dc-5v-4a-20vt-s-dc-razemom-podklyucheniya-5-5h2--200-036-5/", "Инфо")</f>
        <v>Инфо</v>
      </c>
      <c r="F10637" s="16" t="s">
        <v>39</v>
      </c>
      <c r="G10637" s="15"/>
      <c r="H10637" s="15"/>
      <c r="I10637" s="15"/>
      <c r="J10637" s="16" t="s">
        <v>100</v>
      </c>
      <c r="K10637" s="15" t="s">
        <v>1277</v>
      </c>
      <c r="L10637" s="17">
        <v>1</v>
      </c>
      <c r="M10637" s="17">
        <v>200</v>
      </c>
      <c r="N10637" s="17">
        <v>1</v>
      </c>
      <c r="O10637" s="18">
        <v>549.38</v>
      </c>
      <c r="P10637" s="18">
        <v>450.31</v>
      </c>
      <c r="Q10637" s="18">
        <v>439.5</v>
      </c>
      <c r="R10637" s="18">
        <v>360.25</v>
      </c>
      <c r="S10637" s="18">
        <v>373.58</v>
      </c>
      <c r="T10637" s="18">
        <v>306.20999999999998</v>
      </c>
      <c r="U10637" s="16"/>
      <c r="V10637" s="16"/>
      <c r="W10637" s="16" t="s">
        <v>40</v>
      </c>
      <c r="X10637" s="19">
        <v>0.115</v>
      </c>
      <c r="Y10637" s="20">
        <v>4.84E-4</v>
      </c>
      <c r="Z10637" s="21">
        <v>4601004089273</v>
      </c>
    </row>
    <row r="10638" spans="1:26" ht="12" customHeight="1" outlineLevel="4" x14ac:dyDescent="0.2">
      <c r="A10638" s="14" t="s">
        <v>20215</v>
      </c>
      <c r="B10638" s="26" t="s">
        <v>20216</v>
      </c>
      <c r="C10638" s="52"/>
      <c r="D10638" s="55">
        <f t="shared" si="166"/>
        <v>0</v>
      </c>
      <c r="E10638" s="63" t="str">
        <f>HYPERLINK("https://www.sds-group.ru/product/blok-pitaniya-setevoy-adapter-ac-110-250v-dc-5v-1a-5vt-s-dc-razemom-podklyucheniya-5-5h2-1-200-005-5/", "Инфо")</f>
        <v>Инфо</v>
      </c>
      <c r="F10638" s="16" t="s">
        <v>39</v>
      </c>
      <c r="G10638" s="15"/>
      <c r="H10638" s="15"/>
      <c r="I10638" s="15"/>
      <c r="J10638" s="17">
        <v>737</v>
      </c>
      <c r="K10638" s="15" t="s">
        <v>1587</v>
      </c>
      <c r="L10638" s="17">
        <v>10</v>
      </c>
      <c r="M10638" s="17">
        <v>200</v>
      </c>
      <c r="N10638" s="17">
        <v>10</v>
      </c>
      <c r="O10638" s="18">
        <v>192.47</v>
      </c>
      <c r="P10638" s="18">
        <v>157.76</v>
      </c>
      <c r="Q10638" s="18">
        <v>153.97999999999999</v>
      </c>
      <c r="R10638" s="18">
        <v>126.21</v>
      </c>
      <c r="S10638" s="18">
        <v>130.88</v>
      </c>
      <c r="T10638" s="18">
        <v>107.28</v>
      </c>
      <c r="U10638" s="16"/>
      <c r="V10638" s="16"/>
      <c r="W10638" s="16" t="s">
        <v>40</v>
      </c>
      <c r="X10638" s="19">
        <v>7.0000000000000007E-2</v>
      </c>
      <c r="Y10638" s="20">
        <v>2.7700000000000001E-4</v>
      </c>
      <c r="Z10638" s="21">
        <v>4601004089280</v>
      </c>
    </row>
    <row r="10639" spans="1:26" ht="12.95" customHeight="1" outlineLevel="3" x14ac:dyDescent="0.2">
      <c r="A10639" s="76" t="s">
        <v>20217</v>
      </c>
      <c r="B10639" s="76"/>
      <c r="C10639" s="77"/>
      <c r="D10639" s="58"/>
      <c r="E10639" s="68"/>
      <c r="F10639" s="13"/>
      <c r="G10639" s="13"/>
      <c r="H10639" s="13"/>
      <c r="I10639" s="13"/>
      <c r="J10639" s="13"/>
      <c r="K10639" s="13"/>
      <c r="L10639" s="13"/>
      <c r="M10639" s="13"/>
      <c r="N10639" s="13"/>
      <c r="O10639" s="13"/>
      <c r="P10639" s="13"/>
      <c r="Q10639" s="13"/>
      <c r="R10639" s="13"/>
      <c r="S10639" s="13"/>
      <c r="T10639" s="13"/>
      <c r="U10639" s="13"/>
      <c r="V10639" s="13"/>
      <c r="W10639" s="13"/>
      <c r="X10639" s="13"/>
      <c r="Y10639" s="13"/>
      <c r="Z10639" s="13"/>
    </row>
    <row r="10640" spans="1:26" ht="12" customHeight="1" outlineLevel="4" x14ac:dyDescent="0.2">
      <c r="A10640" s="14" t="s">
        <v>20218</v>
      </c>
      <c r="B10640" s="26" t="s">
        <v>20219</v>
      </c>
      <c r="C10640" s="52"/>
      <c r="D10640" s="55">
        <f t="shared" si="166"/>
        <v>0</v>
      </c>
      <c r="E10640" s="63" t="str">
        <f>HYPERLINK("https://www.sds-group.ru/product/istochnik-pitaniya-drayver-12v-100-vt-s-razemami-pod-vint-ip20-rexant-200-1057/", "Инфо")</f>
        <v>Инфо</v>
      </c>
      <c r="F10640" s="16" t="s">
        <v>39</v>
      </c>
      <c r="G10640" s="15"/>
      <c r="H10640" s="15"/>
      <c r="I10640" s="15"/>
      <c r="J10640" s="16" t="s">
        <v>100</v>
      </c>
      <c r="K10640" s="15" t="s">
        <v>1277</v>
      </c>
      <c r="L10640" s="17">
        <v>1</v>
      </c>
      <c r="M10640" s="17">
        <v>60</v>
      </c>
      <c r="N10640" s="17">
        <v>1</v>
      </c>
      <c r="O10640" s="18">
        <v>951.56</v>
      </c>
      <c r="P10640" s="18">
        <v>779.97</v>
      </c>
      <c r="Q10640" s="18">
        <v>751.73</v>
      </c>
      <c r="R10640" s="18">
        <v>616.16999999999996</v>
      </c>
      <c r="S10640" s="18">
        <v>647.05999999999995</v>
      </c>
      <c r="T10640" s="18">
        <v>530.38</v>
      </c>
      <c r="U10640" s="16"/>
      <c r="V10640" s="16"/>
      <c r="W10640" s="16" t="s">
        <v>40</v>
      </c>
      <c r="X10640" s="19">
        <v>0.23699999999999999</v>
      </c>
      <c r="Y10640" s="20">
        <v>1.9599999999999999E-4</v>
      </c>
      <c r="Z10640" s="21">
        <v>4601004284777</v>
      </c>
    </row>
    <row r="10641" spans="1:26" ht="12" customHeight="1" outlineLevel="4" x14ac:dyDescent="0.2">
      <c r="A10641" s="14" t="s">
        <v>20220</v>
      </c>
      <c r="B10641" s="26" t="s">
        <v>20221</v>
      </c>
      <c r="C10641" s="52"/>
      <c r="D10641" s="55">
        <f t="shared" si="166"/>
        <v>0</v>
      </c>
      <c r="E10641" s="63" t="str">
        <f>HYPERLINK("https://www.sds-group.ru/product/istochnik-pitaniya-drayver-12v-150vt-s-razemami-pod-vint-ip20-rexant-200-1055/", "Инфо")</f>
        <v>Инфо</v>
      </c>
      <c r="F10641" s="16" t="s">
        <v>39</v>
      </c>
      <c r="G10641" s="15"/>
      <c r="H10641" s="15"/>
      <c r="I10641" s="15"/>
      <c r="J10641" s="16" t="s">
        <v>100</v>
      </c>
      <c r="K10641" s="15" t="s">
        <v>1277</v>
      </c>
      <c r="L10641" s="17">
        <v>1</v>
      </c>
      <c r="M10641" s="17">
        <v>50</v>
      </c>
      <c r="N10641" s="17">
        <v>1</v>
      </c>
      <c r="O10641" s="18">
        <v>1179.5999999999999</v>
      </c>
      <c r="P10641" s="18">
        <v>966.89</v>
      </c>
      <c r="Q10641" s="18">
        <v>931.88</v>
      </c>
      <c r="R10641" s="18">
        <v>763.84</v>
      </c>
      <c r="S10641" s="18">
        <v>802.13</v>
      </c>
      <c r="T10641" s="18">
        <v>657.48</v>
      </c>
      <c r="U10641" s="16"/>
      <c r="V10641" s="16"/>
      <c r="W10641" s="16" t="s">
        <v>40</v>
      </c>
      <c r="X10641" s="19">
        <v>0.29399999999999998</v>
      </c>
      <c r="Y10641" s="20">
        <v>2.4600000000000002E-4</v>
      </c>
      <c r="Z10641" s="21">
        <v>4601004284760</v>
      </c>
    </row>
    <row r="10642" spans="1:26" ht="12" customHeight="1" outlineLevel="4" x14ac:dyDescent="0.2">
      <c r="A10642" s="14" t="s">
        <v>20222</v>
      </c>
      <c r="B10642" s="26" t="s">
        <v>20223</v>
      </c>
      <c r="C10642" s="52"/>
      <c r="D10642" s="55">
        <f t="shared" si="166"/>
        <v>0</v>
      </c>
      <c r="E10642" s="63" t="str">
        <f>HYPERLINK("https://www.sds-group.ru/product/istochnik-pitaniya-drayver-12v-18vt-s-razemami-pod-vint-ultratonkiy-ip20-rexant-200-1030/", "Инфо")</f>
        <v>Инфо</v>
      </c>
      <c r="F10642" s="16" t="s">
        <v>39</v>
      </c>
      <c r="G10642" s="15"/>
      <c r="H10642" s="15"/>
      <c r="I10642" s="15"/>
      <c r="J10642" s="16" t="s">
        <v>100</v>
      </c>
      <c r="K10642" s="15"/>
      <c r="L10642" s="17">
        <v>1</v>
      </c>
      <c r="M10642" s="17">
        <v>200</v>
      </c>
      <c r="N10642" s="17">
        <v>1</v>
      </c>
      <c r="O10642" s="18">
        <v>645.67999999999995</v>
      </c>
      <c r="P10642" s="18">
        <v>529.25</v>
      </c>
      <c r="Q10642" s="18">
        <v>516.54</v>
      </c>
      <c r="R10642" s="18">
        <v>423.39</v>
      </c>
      <c r="S10642" s="18">
        <v>439.06</v>
      </c>
      <c r="T10642" s="18">
        <v>359.89</v>
      </c>
      <c r="U10642" s="16"/>
      <c r="V10642" s="16"/>
      <c r="W10642" s="16" t="s">
        <v>40</v>
      </c>
      <c r="X10642" s="19">
        <v>6.6000000000000003E-2</v>
      </c>
      <c r="Y10642" s="20">
        <v>1.27E-4</v>
      </c>
      <c r="Z10642" s="21">
        <v>4601004292345</v>
      </c>
    </row>
    <row r="10643" spans="1:26" ht="12" customHeight="1" outlineLevel="4" x14ac:dyDescent="0.2">
      <c r="A10643" s="14" t="s">
        <v>20224</v>
      </c>
      <c r="B10643" s="26" t="s">
        <v>20225</v>
      </c>
      <c r="C10643" s="52"/>
      <c r="D10643" s="55">
        <f t="shared" si="166"/>
        <v>0</v>
      </c>
      <c r="E10643" s="63" t="str">
        <f>HYPERLINK("https://www.sds-group.ru/product/istochnik-pitaniya-drayver-12v-24-vt-s-razemami-pod-vint-ultratonkiy-ip20-rexant-200-1031/", "Инфо")</f>
        <v>Инфо</v>
      </c>
      <c r="F10643" s="16" t="s">
        <v>39</v>
      </c>
      <c r="G10643" s="15"/>
      <c r="H10643" s="15"/>
      <c r="I10643" s="15"/>
      <c r="J10643" s="17">
        <v>832</v>
      </c>
      <c r="K10643" s="15"/>
      <c r="L10643" s="17">
        <v>1</v>
      </c>
      <c r="M10643" s="17">
        <v>200</v>
      </c>
      <c r="N10643" s="17">
        <v>1</v>
      </c>
      <c r="O10643" s="18">
        <v>653.03</v>
      </c>
      <c r="P10643" s="18">
        <v>535.27</v>
      </c>
      <c r="Q10643" s="18">
        <v>522.41999999999996</v>
      </c>
      <c r="R10643" s="18">
        <v>428.21</v>
      </c>
      <c r="S10643" s="18">
        <v>444.06</v>
      </c>
      <c r="T10643" s="18">
        <v>363.98</v>
      </c>
      <c r="U10643" s="16"/>
      <c r="V10643" s="16"/>
      <c r="W10643" s="16" t="s">
        <v>40</v>
      </c>
      <c r="X10643" s="19">
        <v>6.5000000000000002E-2</v>
      </c>
      <c r="Y10643" s="20">
        <v>1.2300000000000001E-4</v>
      </c>
      <c r="Z10643" s="21">
        <v>4601004292338</v>
      </c>
    </row>
    <row r="10644" spans="1:26" ht="12" customHeight="1" outlineLevel="4" x14ac:dyDescent="0.2">
      <c r="A10644" s="14" t="s">
        <v>20226</v>
      </c>
      <c r="B10644" s="26" t="s">
        <v>20227</v>
      </c>
      <c r="C10644" s="52"/>
      <c r="D10644" s="55">
        <f t="shared" si="166"/>
        <v>0</v>
      </c>
      <c r="E10644" s="63" t="str">
        <f>HYPERLINK("https://www.sds-group.ru/product/istochnik-pitaniya-drayver-12v-36vt-s-razemami-pod-vint-ultratonkiy-ip20-rexant-200-1032/", "Инфо")</f>
        <v>Инфо</v>
      </c>
      <c r="F10644" s="16" t="s">
        <v>39</v>
      </c>
      <c r="G10644" s="15"/>
      <c r="H10644" s="15"/>
      <c r="I10644" s="15"/>
      <c r="J10644" s="17">
        <v>711</v>
      </c>
      <c r="K10644" s="15"/>
      <c r="L10644" s="17">
        <v>1</v>
      </c>
      <c r="M10644" s="17">
        <v>100</v>
      </c>
      <c r="N10644" s="17">
        <v>1</v>
      </c>
      <c r="O10644" s="18">
        <v>839.62</v>
      </c>
      <c r="P10644" s="18">
        <v>688.21</v>
      </c>
      <c r="Q10644" s="18">
        <v>663.3</v>
      </c>
      <c r="R10644" s="18">
        <v>543.69000000000005</v>
      </c>
      <c r="S10644" s="18">
        <v>570.94000000000005</v>
      </c>
      <c r="T10644" s="18">
        <v>467.98</v>
      </c>
      <c r="U10644" s="16"/>
      <c r="V10644" s="16"/>
      <c r="W10644" s="16" t="s">
        <v>40</v>
      </c>
      <c r="X10644" s="19">
        <v>0.10199999999999999</v>
      </c>
      <c r="Y10644" s="20">
        <v>1.9900000000000001E-4</v>
      </c>
      <c r="Z10644" s="21">
        <v>4601004292376</v>
      </c>
    </row>
    <row r="10645" spans="1:26" ht="12" customHeight="1" outlineLevel="4" x14ac:dyDescent="0.2">
      <c r="A10645" s="14" t="s">
        <v>20228</v>
      </c>
      <c r="B10645" s="26" t="s">
        <v>20229</v>
      </c>
      <c r="C10645" s="52"/>
      <c r="D10645" s="55">
        <f t="shared" si="166"/>
        <v>0</v>
      </c>
      <c r="E10645" s="63" t="str">
        <f>HYPERLINK("https://www.sds-group.ru/product/istochnik-pitaniya-drayver-12v-48-vt-s-razemami-pod-vint-ultratonkiy-ip20-rexant-200-1033/", "Инфо")</f>
        <v>Инфо</v>
      </c>
      <c r="F10645" s="16" t="s">
        <v>39</v>
      </c>
      <c r="G10645" s="15"/>
      <c r="H10645" s="15"/>
      <c r="I10645" s="15"/>
      <c r="J10645" s="17">
        <v>598</v>
      </c>
      <c r="K10645" s="15"/>
      <c r="L10645" s="17">
        <v>1</v>
      </c>
      <c r="M10645" s="17">
        <v>100</v>
      </c>
      <c r="N10645" s="17">
        <v>1</v>
      </c>
      <c r="O10645" s="18">
        <v>951.56</v>
      </c>
      <c r="P10645" s="18">
        <v>779.97</v>
      </c>
      <c r="Q10645" s="18">
        <v>751.73</v>
      </c>
      <c r="R10645" s="18">
        <v>616.16999999999996</v>
      </c>
      <c r="S10645" s="18">
        <v>647.05999999999995</v>
      </c>
      <c r="T10645" s="18">
        <v>530.38</v>
      </c>
      <c r="U10645" s="16"/>
      <c r="V10645" s="16"/>
      <c r="W10645" s="16" t="s">
        <v>40</v>
      </c>
      <c r="X10645" s="19">
        <v>0.107</v>
      </c>
      <c r="Y10645" s="20">
        <v>2.04E-4</v>
      </c>
      <c r="Z10645" s="21">
        <v>4601004292383</v>
      </c>
    </row>
    <row r="10646" spans="1:26" ht="12" customHeight="1" outlineLevel="4" x14ac:dyDescent="0.2">
      <c r="A10646" s="14" t="s">
        <v>20230</v>
      </c>
      <c r="B10646" s="26" t="s">
        <v>20231</v>
      </c>
      <c r="C10646" s="52"/>
      <c r="D10646" s="55">
        <f t="shared" si="166"/>
        <v>0</v>
      </c>
      <c r="E10646" s="63" t="str">
        <f>HYPERLINK("https://www.sds-group.ru/product/istochnik-pitaniya-drayver-12v-60-vt-s-razemami-pod-vint-ultratonkiy-ip20-rexant-200-1034/", "Инфо")</f>
        <v>Инфо</v>
      </c>
      <c r="F10646" s="16" t="s">
        <v>39</v>
      </c>
      <c r="G10646" s="15"/>
      <c r="H10646" s="15"/>
      <c r="I10646" s="15"/>
      <c r="J10646" s="17">
        <v>678</v>
      </c>
      <c r="K10646" s="15"/>
      <c r="L10646" s="17">
        <v>1</v>
      </c>
      <c r="M10646" s="17">
        <v>200</v>
      </c>
      <c r="N10646" s="17">
        <v>1</v>
      </c>
      <c r="O10646" s="18">
        <v>1034.49</v>
      </c>
      <c r="P10646" s="18">
        <v>847.94</v>
      </c>
      <c r="Q10646" s="18">
        <v>817.25</v>
      </c>
      <c r="R10646" s="18">
        <v>669.88</v>
      </c>
      <c r="S10646" s="18">
        <v>703.45</v>
      </c>
      <c r="T10646" s="18">
        <v>576.6</v>
      </c>
      <c r="U10646" s="16"/>
      <c r="V10646" s="16"/>
      <c r="W10646" s="16" t="s">
        <v>40</v>
      </c>
      <c r="X10646" s="19">
        <v>0.11899999999999999</v>
      </c>
      <c r="Y10646" s="20">
        <v>1.95E-4</v>
      </c>
      <c r="Z10646" s="21">
        <v>4601004292406</v>
      </c>
    </row>
    <row r="10647" spans="1:26" ht="12" customHeight="1" outlineLevel="4" x14ac:dyDescent="0.2">
      <c r="A10647" s="14" t="s">
        <v>20232</v>
      </c>
      <c r="B10647" s="26" t="s">
        <v>20233</v>
      </c>
      <c r="C10647" s="52"/>
      <c r="D10647" s="55">
        <f t="shared" si="166"/>
        <v>0</v>
      </c>
      <c r="E10647" s="63" t="str">
        <f>HYPERLINK("https://www.sds-group.ru/product/istochnik-pitaniya-drayver-12v-60vt-s-razemami-pod-vint-ip20-rexant-200-1059/", "Инфо")</f>
        <v>Инфо</v>
      </c>
      <c r="F10647" s="16" t="s">
        <v>39</v>
      </c>
      <c r="G10647" s="15"/>
      <c r="H10647" s="15"/>
      <c r="I10647" s="15"/>
      <c r="J10647" s="16" t="s">
        <v>100</v>
      </c>
      <c r="K10647" s="15" t="s">
        <v>1277</v>
      </c>
      <c r="L10647" s="17">
        <v>1</v>
      </c>
      <c r="M10647" s="17">
        <v>80</v>
      </c>
      <c r="N10647" s="17">
        <v>1</v>
      </c>
      <c r="O10647" s="18">
        <v>806.45</v>
      </c>
      <c r="P10647" s="18">
        <v>661.02</v>
      </c>
      <c r="Q10647" s="18">
        <v>637.1</v>
      </c>
      <c r="R10647" s="18">
        <v>522.21</v>
      </c>
      <c r="S10647" s="18">
        <v>548.39</v>
      </c>
      <c r="T10647" s="18">
        <v>449.5</v>
      </c>
      <c r="U10647" s="16"/>
      <c r="V10647" s="16"/>
      <c r="W10647" s="16" t="s">
        <v>40</v>
      </c>
      <c r="X10647" s="19">
        <v>0.19600000000000001</v>
      </c>
      <c r="Y10647" s="20">
        <v>1.92E-4</v>
      </c>
      <c r="Z10647" s="21">
        <v>4601004284715</v>
      </c>
    </row>
    <row r="10648" spans="1:26" ht="12" customHeight="1" outlineLevel="4" x14ac:dyDescent="0.2">
      <c r="A10648" s="14" t="s">
        <v>20234</v>
      </c>
      <c r="B10648" s="26" t="s">
        <v>20235</v>
      </c>
      <c r="C10648" s="52"/>
      <c r="D10648" s="55">
        <f t="shared" si="166"/>
        <v>0</v>
      </c>
      <c r="E10648" s="63" t="str">
        <f>HYPERLINK("https://www.sds-group.ru/product/istochnik-pitaniya-drayver-24v-100vt-s-razemami-pod-vint-ip20-rexant-200-1056/", "Инфо")</f>
        <v>Инфо</v>
      </c>
      <c r="F10648" s="16" t="s">
        <v>39</v>
      </c>
      <c r="G10648" s="15"/>
      <c r="H10648" s="15"/>
      <c r="I10648" s="15"/>
      <c r="J10648" s="17">
        <v>15</v>
      </c>
      <c r="K10648" s="15" t="s">
        <v>1381</v>
      </c>
      <c r="L10648" s="17">
        <v>1</v>
      </c>
      <c r="M10648" s="17">
        <v>60</v>
      </c>
      <c r="N10648" s="17">
        <v>1</v>
      </c>
      <c r="O10648" s="18">
        <v>951.56</v>
      </c>
      <c r="P10648" s="18">
        <v>779.97</v>
      </c>
      <c r="Q10648" s="18">
        <v>751.73</v>
      </c>
      <c r="R10648" s="18">
        <v>616.16999999999996</v>
      </c>
      <c r="S10648" s="18">
        <v>647.05999999999995</v>
      </c>
      <c r="T10648" s="18">
        <v>530.38</v>
      </c>
      <c r="U10648" s="16"/>
      <c r="V10648" s="16"/>
      <c r="W10648" s="16" t="s">
        <v>40</v>
      </c>
      <c r="X10648" s="19">
        <v>0.24299999999999999</v>
      </c>
      <c r="Y10648" s="20">
        <v>2.1699999999999999E-4</v>
      </c>
      <c r="Z10648" s="21">
        <v>4601004284753</v>
      </c>
    </row>
    <row r="10649" spans="1:26" ht="12" customHeight="1" outlineLevel="4" x14ac:dyDescent="0.2">
      <c r="A10649" s="14" t="s">
        <v>20236</v>
      </c>
      <c r="B10649" s="26" t="s">
        <v>20237</v>
      </c>
      <c r="C10649" s="52"/>
      <c r="D10649" s="55">
        <f t="shared" si="166"/>
        <v>0</v>
      </c>
      <c r="E10649" s="63" t="str">
        <f>HYPERLINK("https://www.sds-group.ru/product/istochnik-pitaniya-drayver-24v-150vt-s-razemami-pod-vint-ip20-rexant-200-1054/", "Инфо")</f>
        <v>Инфо</v>
      </c>
      <c r="F10649" s="16" t="s">
        <v>39</v>
      </c>
      <c r="G10649" s="15"/>
      <c r="H10649" s="15"/>
      <c r="I10649" s="15"/>
      <c r="J10649" s="16" t="s">
        <v>100</v>
      </c>
      <c r="K10649" s="15" t="s">
        <v>1381</v>
      </c>
      <c r="L10649" s="17">
        <v>1</v>
      </c>
      <c r="M10649" s="17">
        <v>50</v>
      </c>
      <c r="N10649" s="17">
        <v>1</v>
      </c>
      <c r="O10649" s="18">
        <v>1179.5999999999999</v>
      </c>
      <c r="P10649" s="18">
        <v>966.89</v>
      </c>
      <c r="Q10649" s="18">
        <v>931.88</v>
      </c>
      <c r="R10649" s="18">
        <v>763.84</v>
      </c>
      <c r="S10649" s="18">
        <v>802.13</v>
      </c>
      <c r="T10649" s="18">
        <v>657.48</v>
      </c>
      <c r="U10649" s="16"/>
      <c r="V10649" s="16"/>
      <c r="W10649" s="16" t="s">
        <v>40</v>
      </c>
      <c r="X10649" s="19">
        <v>0.30099999999999999</v>
      </c>
      <c r="Y10649" s="20">
        <v>2.6600000000000001E-4</v>
      </c>
      <c r="Z10649" s="21">
        <v>4601004284746</v>
      </c>
    </row>
    <row r="10650" spans="1:26" ht="12" customHeight="1" outlineLevel="4" x14ac:dyDescent="0.2">
      <c r="A10650" s="14" t="s">
        <v>20238</v>
      </c>
      <c r="B10650" s="26" t="s">
        <v>20239</v>
      </c>
      <c r="C10650" s="52"/>
      <c r="D10650" s="55">
        <f t="shared" si="166"/>
        <v>0</v>
      </c>
      <c r="E10650" s="63" t="str">
        <f>HYPERLINK("https://www.sds-group.ru/product/istochnik-pitaniya-drayver-24v-200vt-s-razemami-pod-vint-ip20-rexant-200-1052/", "Инфо")</f>
        <v>Инфо</v>
      </c>
      <c r="F10650" s="16" t="s">
        <v>39</v>
      </c>
      <c r="G10650" s="15"/>
      <c r="H10650" s="15"/>
      <c r="I10650" s="15"/>
      <c r="J10650" s="17">
        <v>100</v>
      </c>
      <c r="K10650" s="15" t="s">
        <v>1277</v>
      </c>
      <c r="L10650" s="17">
        <v>1</v>
      </c>
      <c r="M10650" s="17">
        <v>45</v>
      </c>
      <c r="N10650" s="17">
        <v>1</v>
      </c>
      <c r="O10650" s="18">
        <v>1573.5</v>
      </c>
      <c r="P10650" s="18">
        <v>1289.75</v>
      </c>
      <c r="Q10650" s="18">
        <v>1211.5999999999999</v>
      </c>
      <c r="R10650" s="18">
        <v>993.11</v>
      </c>
      <c r="S10650" s="18">
        <v>1069.98</v>
      </c>
      <c r="T10650" s="18">
        <v>877.03</v>
      </c>
      <c r="U10650" s="16"/>
      <c r="V10650" s="16"/>
      <c r="W10650" s="16" t="s">
        <v>40</v>
      </c>
      <c r="X10650" s="19">
        <v>0.29399999999999998</v>
      </c>
      <c r="Y10650" s="20">
        <v>3.1500000000000001E-4</v>
      </c>
      <c r="Z10650" s="21">
        <v>4601004284784</v>
      </c>
    </row>
    <row r="10651" spans="1:26" ht="12" customHeight="1" outlineLevel="4" x14ac:dyDescent="0.2">
      <c r="A10651" s="14" t="s">
        <v>20240</v>
      </c>
      <c r="B10651" s="26" t="s">
        <v>20241</v>
      </c>
      <c r="C10651" s="52"/>
      <c r="D10651" s="55">
        <f t="shared" si="166"/>
        <v>0</v>
      </c>
      <c r="E10651" s="63" t="str">
        <f>HYPERLINK("https://www.sds-group.ru/product/istochnik-pitaniya-drayver-24v-24vt-s-razemami-pod-vint-ultratonkiy-ip20-rexant-200-1035/", "Инфо")</f>
        <v>Инфо</v>
      </c>
      <c r="F10651" s="16" t="s">
        <v>39</v>
      </c>
      <c r="G10651" s="15"/>
      <c r="H10651" s="15"/>
      <c r="I10651" s="15"/>
      <c r="J10651" s="17">
        <v>188</v>
      </c>
      <c r="K10651" s="15"/>
      <c r="L10651" s="17">
        <v>1</v>
      </c>
      <c r="M10651" s="17">
        <v>200</v>
      </c>
      <c r="N10651" s="17">
        <v>1</v>
      </c>
      <c r="O10651" s="18">
        <v>661.32</v>
      </c>
      <c r="P10651" s="18">
        <v>542.07000000000005</v>
      </c>
      <c r="Q10651" s="18">
        <v>529.05999999999995</v>
      </c>
      <c r="R10651" s="18">
        <v>433.66</v>
      </c>
      <c r="S10651" s="18">
        <v>449.7</v>
      </c>
      <c r="T10651" s="18">
        <v>368.61</v>
      </c>
      <c r="U10651" s="16"/>
      <c r="V10651" s="16"/>
      <c r="W10651" s="16" t="s">
        <v>40</v>
      </c>
      <c r="X10651" s="19">
        <v>6.6000000000000003E-2</v>
      </c>
      <c r="Y10651" s="20">
        <v>1.26E-4</v>
      </c>
      <c r="Z10651" s="21">
        <v>4601004292413</v>
      </c>
    </row>
    <row r="10652" spans="1:26" ht="12" customHeight="1" outlineLevel="4" x14ac:dyDescent="0.2">
      <c r="A10652" s="14" t="s">
        <v>20242</v>
      </c>
      <c r="B10652" s="26" t="s">
        <v>20243</v>
      </c>
      <c r="C10652" s="52"/>
      <c r="D10652" s="55">
        <f t="shared" si="166"/>
        <v>0</v>
      </c>
      <c r="E10652" s="63" t="str">
        <f>HYPERLINK("https://www.sds-group.ru/product/istochnik-pitaniya-drayver-24v-36vt-s-razemami-pod-vint-ultratonkiy-ip20-rexant-200-1036/", "Инфо")</f>
        <v>Инфо</v>
      </c>
      <c r="F10652" s="16" t="s">
        <v>39</v>
      </c>
      <c r="G10652" s="15"/>
      <c r="H10652" s="15"/>
      <c r="I10652" s="15"/>
      <c r="J10652" s="17">
        <v>590</v>
      </c>
      <c r="K10652" s="15"/>
      <c r="L10652" s="17">
        <v>1</v>
      </c>
      <c r="M10652" s="17">
        <v>100</v>
      </c>
      <c r="N10652" s="17">
        <v>1</v>
      </c>
      <c r="O10652" s="18">
        <v>889.37</v>
      </c>
      <c r="P10652" s="18">
        <v>728.99</v>
      </c>
      <c r="Q10652" s="18">
        <v>702.6</v>
      </c>
      <c r="R10652" s="18">
        <v>575.9</v>
      </c>
      <c r="S10652" s="18">
        <v>604.77</v>
      </c>
      <c r="T10652" s="18">
        <v>495.71</v>
      </c>
      <c r="U10652" s="16"/>
      <c r="V10652" s="16"/>
      <c r="W10652" s="16" t="s">
        <v>40</v>
      </c>
      <c r="X10652" s="19">
        <v>0.10299999999999999</v>
      </c>
      <c r="Y10652" s="20">
        <v>1.9900000000000001E-4</v>
      </c>
      <c r="Z10652" s="21">
        <v>4601004292369</v>
      </c>
    </row>
    <row r="10653" spans="1:26" ht="12" customHeight="1" outlineLevel="4" x14ac:dyDescent="0.2">
      <c r="A10653" s="14" t="s">
        <v>20244</v>
      </c>
      <c r="B10653" s="26" t="s">
        <v>20245</v>
      </c>
      <c r="C10653" s="52"/>
      <c r="D10653" s="55">
        <f t="shared" si="166"/>
        <v>0</v>
      </c>
      <c r="E10653" s="63" t="str">
        <f>HYPERLINK("https://www.sds-group.ru/product/istochnik-pitaniya-drayver-24v-48vt-s-razemami-pod-vint-ultratonkiy-ip20-rexant-200-1037/", "Инфо")</f>
        <v>Инфо</v>
      </c>
      <c r="F10653" s="16" t="s">
        <v>39</v>
      </c>
      <c r="G10653" s="15"/>
      <c r="H10653" s="15"/>
      <c r="I10653" s="15"/>
      <c r="J10653" s="16" t="s">
        <v>100</v>
      </c>
      <c r="K10653" s="15" t="s">
        <v>1277</v>
      </c>
      <c r="L10653" s="17">
        <v>1</v>
      </c>
      <c r="M10653" s="17">
        <v>100</v>
      </c>
      <c r="N10653" s="17">
        <v>1</v>
      </c>
      <c r="O10653" s="18">
        <v>951.56</v>
      </c>
      <c r="P10653" s="18">
        <v>779.97</v>
      </c>
      <c r="Q10653" s="18">
        <v>751.73</v>
      </c>
      <c r="R10653" s="18">
        <v>616.16999999999996</v>
      </c>
      <c r="S10653" s="18">
        <v>647.05999999999995</v>
      </c>
      <c r="T10653" s="18">
        <v>530.38</v>
      </c>
      <c r="U10653" s="16"/>
      <c r="V10653" s="16"/>
      <c r="W10653" s="16" t="s">
        <v>40</v>
      </c>
      <c r="X10653" s="19">
        <v>0.109</v>
      </c>
      <c r="Y10653" s="20">
        <v>1.9900000000000001E-4</v>
      </c>
      <c r="Z10653" s="21">
        <v>4601004292420</v>
      </c>
    </row>
    <row r="10654" spans="1:26" ht="12" customHeight="1" outlineLevel="4" x14ac:dyDescent="0.2">
      <c r="A10654" s="14" t="s">
        <v>20246</v>
      </c>
      <c r="B10654" s="26" t="s">
        <v>20247</v>
      </c>
      <c r="C10654" s="52"/>
      <c r="D10654" s="55">
        <f t="shared" si="166"/>
        <v>0</v>
      </c>
      <c r="E10654" s="63" t="str">
        <f>HYPERLINK("https://www.sds-group.ru/product/istochnik-pitaniya-drayver-24v-60vt-s-razemami-pod-vint-ip20-rexant-200-1058/", "Инфо")</f>
        <v>Инфо</v>
      </c>
      <c r="F10654" s="16" t="s">
        <v>39</v>
      </c>
      <c r="G10654" s="15"/>
      <c r="H10654" s="15"/>
      <c r="I10654" s="15"/>
      <c r="J10654" s="17">
        <v>17</v>
      </c>
      <c r="K10654" s="15" t="s">
        <v>1381</v>
      </c>
      <c r="L10654" s="17">
        <v>1</v>
      </c>
      <c r="M10654" s="17">
        <v>80</v>
      </c>
      <c r="N10654" s="17">
        <v>1</v>
      </c>
      <c r="O10654" s="18">
        <v>806.45</v>
      </c>
      <c r="P10654" s="18">
        <v>661.02</v>
      </c>
      <c r="Q10654" s="18">
        <v>637.1</v>
      </c>
      <c r="R10654" s="18">
        <v>522.21</v>
      </c>
      <c r="S10654" s="18">
        <v>548.39</v>
      </c>
      <c r="T10654" s="18">
        <v>449.5</v>
      </c>
      <c r="U10654" s="16"/>
      <c r="V10654" s="16"/>
      <c r="W10654" s="16" t="s">
        <v>40</v>
      </c>
      <c r="X10654" s="19">
        <v>0.19600000000000001</v>
      </c>
      <c r="Y10654" s="20">
        <v>1.9000000000000001E-4</v>
      </c>
      <c r="Z10654" s="21">
        <v>4601004284791</v>
      </c>
    </row>
    <row r="10655" spans="1:26" ht="12" customHeight="1" outlineLevel="4" x14ac:dyDescent="0.2">
      <c r="A10655" s="14" t="s">
        <v>20248</v>
      </c>
      <c r="B10655" s="26" t="s">
        <v>20249</v>
      </c>
      <c r="C10655" s="52"/>
      <c r="D10655" s="55">
        <f t="shared" si="166"/>
        <v>0</v>
      </c>
      <c r="E10655" s="63" t="str">
        <f>HYPERLINK("https://www.sds-group.ru/product/istochnik-pitaniya-drayver-24v-72vt-s-razemami-pod-vint-ultratonkiy-ip20-rexant-200-1039/", "Инфо")</f>
        <v>Инфо</v>
      </c>
      <c r="F10655" s="16" t="s">
        <v>39</v>
      </c>
      <c r="G10655" s="15"/>
      <c r="H10655" s="15"/>
      <c r="I10655" s="15"/>
      <c r="J10655" s="17">
        <v>776</v>
      </c>
      <c r="K10655" s="15"/>
      <c r="L10655" s="17">
        <v>1</v>
      </c>
      <c r="M10655" s="17">
        <v>100</v>
      </c>
      <c r="N10655" s="17">
        <v>1</v>
      </c>
      <c r="O10655" s="18">
        <v>1158.8800000000001</v>
      </c>
      <c r="P10655" s="18">
        <v>949.9</v>
      </c>
      <c r="Q10655" s="18">
        <v>915.52</v>
      </c>
      <c r="R10655" s="18">
        <v>750.43</v>
      </c>
      <c r="S10655" s="18">
        <v>788.04</v>
      </c>
      <c r="T10655" s="18">
        <v>645.92999999999995</v>
      </c>
      <c r="U10655" s="16"/>
      <c r="V10655" s="16"/>
      <c r="W10655" s="16" t="s">
        <v>40</v>
      </c>
      <c r="X10655" s="19">
        <v>0.12</v>
      </c>
      <c r="Y10655" s="20">
        <v>2.0100000000000001E-4</v>
      </c>
      <c r="Z10655" s="21">
        <v>4601004292352</v>
      </c>
    </row>
    <row r="10656" spans="1:26" ht="12.95" customHeight="1" outlineLevel="3" x14ac:dyDescent="0.2">
      <c r="A10656" s="76" t="s">
        <v>20250</v>
      </c>
      <c r="B10656" s="76"/>
      <c r="C10656" s="77"/>
      <c r="D10656" s="58"/>
      <c r="E10656" s="68"/>
      <c r="F10656" s="13"/>
      <c r="G10656" s="13"/>
      <c r="H10656" s="13"/>
      <c r="I10656" s="13"/>
      <c r="J10656" s="13"/>
      <c r="K10656" s="13"/>
      <c r="L10656" s="13"/>
      <c r="M10656" s="13"/>
      <c r="N10656" s="13"/>
      <c r="O10656" s="13"/>
      <c r="P10656" s="13"/>
      <c r="Q10656" s="13"/>
      <c r="R10656" s="13"/>
      <c r="S10656" s="13"/>
      <c r="T10656" s="13"/>
      <c r="U10656" s="13"/>
      <c r="V10656" s="13"/>
      <c r="W10656" s="13"/>
      <c r="X10656" s="13"/>
      <c r="Y10656" s="13"/>
      <c r="Z10656" s="13"/>
    </row>
    <row r="10657" spans="1:26" ht="12" customHeight="1" outlineLevel="4" x14ac:dyDescent="0.2">
      <c r="A10657" s="14" t="s">
        <v>20251</v>
      </c>
      <c r="B10657" s="26" t="s">
        <v>20252</v>
      </c>
      <c r="C10657" s="52"/>
      <c r="D10657" s="55">
        <f t="shared" si="166"/>
        <v>0</v>
      </c>
      <c r="E10657" s="63" t="str">
        <f>HYPERLINK("https://www.sds-group.ru/product/istochnik-pitaniya-drayver-12v-100vt-s-provodami-vlagozaschischennyy-ip67-rexant-200-1001/", "Инфо")</f>
        <v>Инфо</v>
      </c>
      <c r="F10657" s="16" t="s">
        <v>39</v>
      </c>
      <c r="G10657" s="15"/>
      <c r="H10657" s="15"/>
      <c r="I10657" s="15"/>
      <c r="J10657" s="17">
        <v>878</v>
      </c>
      <c r="K10657" s="15"/>
      <c r="L10657" s="17">
        <v>1</v>
      </c>
      <c r="M10657" s="17">
        <v>28</v>
      </c>
      <c r="N10657" s="17">
        <v>1</v>
      </c>
      <c r="O10657" s="18">
        <v>2153.9699999999998</v>
      </c>
      <c r="P10657" s="18">
        <v>1765.55</v>
      </c>
      <c r="Q10657" s="18">
        <v>1701.64</v>
      </c>
      <c r="R10657" s="18">
        <v>1394.79</v>
      </c>
      <c r="S10657" s="18">
        <v>1464.7</v>
      </c>
      <c r="T10657" s="18">
        <v>1200.57</v>
      </c>
      <c r="U10657" s="16"/>
      <c r="V10657" s="16"/>
      <c r="W10657" s="16" t="s">
        <v>40</v>
      </c>
      <c r="X10657" s="19">
        <v>0.376</v>
      </c>
      <c r="Y10657" s="20">
        <v>3.3399999999999999E-4</v>
      </c>
      <c r="Z10657" s="21">
        <v>4601004299849</v>
      </c>
    </row>
    <row r="10658" spans="1:26" ht="12" customHeight="1" outlineLevel="4" x14ac:dyDescent="0.2">
      <c r="A10658" s="14" t="s">
        <v>20253</v>
      </c>
      <c r="B10658" s="26" t="s">
        <v>20254</v>
      </c>
      <c r="C10658" s="52"/>
      <c r="D10658" s="55">
        <f t="shared" si="166"/>
        <v>0</v>
      </c>
      <c r="E10658" s="63" t="str">
        <f>HYPERLINK("https://www.sds-group.ru/product/istochnik-pitaniya-drayver-12v-200vt-s-provodami-vlagozaschischennyy-ip67-rexant-200-1002/", "Инфо")</f>
        <v>Инфо</v>
      </c>
      <c r="F10658" s="16" t="s">
        <v>39</v>
      </c>
      <c r="G10658" s="15"/>
      <c r="H10658" s="15"/>
      <c r="I10658" s="15"/>
      <c r="J10658" s="17">
        <v>648</v>
      </c>
      <c r="K10658" s="15"/>
      <c r="L10658" s="17">
        <v>1</v>
      </c>
      <c r="M10658" s="17">
        <v>22</v>
      </c>
      <c r="N10658" s="17">
        <v>1</v>
      </c>
      <c r="O10658" s="18">
        <v>3625.88</v>
      </c>
      <c r="P10658" s="18">
        <v>2972.03</v>
      </c>
      <c r="Q10658" s="18">
        <v>2864.45</v>
      </c>
      <c r="R10658" s="18">
        <v>2347.91</v>
      </c>
      <c r="S10658" s="18">
        <v>2465.6</v>
      </c>
      <c r="T10658" s="18">
        <v>2020.98</v>
      </c>
      <c r="U10658" s="16"/>
      <c r="V10658" s="16"/>
      <c r="W10658" s="16" t="s">
        <v>40</v>
      </c>
      <c r="X10658" s="19">
        <v>0.73</v>
      </c>
      <c r="Y10658" s="20">
        <v>5.8500000000000002E-4</v>
      </c>
      <c r="Z10658" s="21">
        <v>4601004299900</v>
      </c>
    </row>
    <row r="10659" spans="1:26" ht="12" customHeight="1" outlineLevel="4" x14ac:dyDescent="0.2">
      <c r="A10659" s="14" t="s">
        <v>20255</v>
      </c>
      <c r="B10659" s="26" t="s">
        <v>20256</v>
      </c>
      <c r="C10659" s="52"/>
      <c r="D10659" s="55">
        <f t="shared" si="166"/>
        <v>0</v>
      </c>
      <c r="E10659" s="63" t="str">
        <f>HYPERLINK("https://www.sds-group.ru/product/istochnik-pitaniya-drayver-12v-300vt-s-provodami-vlagozaschischennyy-ip67-rexant-200-1003/", "Инфо")</f>
        <v>Инфо</v>
      </c>
      <c r="F10659" s="16" t="s">
        <v>39</v>
      </c>
      <c r="G10659" s="15"/>
      <c r="H10659" s="15"/>
      <c r="I10659" s="15"/>
      <c r="J10659" s="16" t="s">
        <v>100</v>
      </c>
      <c r="K10659" s="15" t="s">
        <v>1277</v>
      </c>
      <c r="L10659" s="17">
        <v>1</v>
      </c>
      <c r="M10659" s="17">
        <v>14</v>
      </c>
      <c r="N10659" s="17">
        <v>1</v>
      </c>
      <c r="O10659" s="18">
        <v>4144.1499999999996</v>
      </c>
      <c r="P10659" s="18">
        <v>3396.84</v>
      </c>
      <c r="Q10659" s="18">
        <v>3273.88</v>
      </c>
      <c r="R10659" s="18">
        <v>2683.51</v>
      </c>
      <c r="S10659" s="18">
        <v>2818.02</v>
      </c>
      <c r="T10659" s="18">
        <v>2309.85</v>
      </c>
      <c r="U10659" s="16"/>
      <c r="V10659" s="16"/>
      <c r="W10659" s="16" t="s">
        <v>40</v>
      </c>
      <c r="X10659" s="19">
        <v>1.0649999999999999</v>
      </c>
      <c r="Y10659" s="20">
        <v>8.7100000000000003E-4</v>
      </c>
      <c r="Z10659" s="21">
        <v>4601004299917</v>
      </c>
    </row>
    <row r="10660" spans="1:26" ht="12" customHeight="1" outlineLevel="4" x14ac:dyDescent="0.2">
      <c r="A10660" s="14" t="s">
        <v>20257</v>
      </c>
      <c r="B10660" s="26" t="s">
        <v>20258</v>
      </c>
      <c r="C10660" s="52"/>
      <c r="D10660" s="55">
        <f t="shared" si="166"/>
        <v>0</v>
      </c>
      <c r="E10660" s="63" t="str">
        <f>HYPERLINK("https://www.sds-group.ru/product/istochnik-pitaniya-drayver-12v-60vt-s-provodami-vlagozaschischennyy-ip67-rexant-200-1000/", "Инфо")</f>
        <v>Инфо</v>
      </c>
      <c r="F10660" s="16" t="s">
        <v>39</v>
      </c>
      <c r="G10660" s="15"/>
      <c r="H10660" s="15"/>
      <c r="I10660" s="15"/>
      <c r="J10660" s="17">
        <v>658</v>
      </c>
      <c r="K10660" s="15"/>
      <c r="L10660" s="17">
        <v>1</v>
      </c>
      <c r="M10660" s="17">
        <v>65</v>
      </c>
      <c r="N10660" s="17">
        <v>1</v>
      </c>
      <c r="O10660" s="18">
        <v>1366.18</v>
      </c>
      <c r="P10660" s="18">
        <v>1119.82</v>
      </c>
      <c r="Q10660" s="18">
        <v>1079.28</v>
      </c>
      <c r="R10660" s="18">
        <v>884.66</v>
      </c>
      <c r="S10660" s="18">
        <v>929</v>
      </c>
      <c r="T10660" s="18">
        <v>761.48</v>
      </c>
      <c r="U10660" s="16"/>
      <c r="V10660" s="16"/>
      <c r="W10660" s="16" t="s">
        <v>40</v>
      </c>
      <c r="X10660" s="19">
        <v>0.19700000000000001</v>
      </c>
      <c r="Y10660" s="20">
        <v>1.76E-4</v>
      </c>
      <c r="Z10660" s="21">
        <v>4601004299856</v>
      </c>
    </row>
    <row r="10661" spans="1:26" ht="12" customHeight="1" outlineLevel="4" x14ac:dyDescent="0.2">
      <c r="A10661" s="14" t="s">
        <v>20259</v>
      </c>
      <c r="B10661" s="26" t="s">
        <v>20260</v>
      </c>
      <c r="C10661" s="52"/>
      <c r="D10661" s="55">
        <f t="shared" si="166"/>
        <v>0</v>
      </c>
      <c r="E10661" s="63" t="str">
        <f>HYPERLINK("https://www.sds-group.ru/product/istochnik-pitaniya-drayver-24v-100vt-s-provodami-vlagozaschischennyy-ip67-rexant-200-1005/", "Инфо")</f>
        <v>Инфо</v>
      </c>
      <c r="F10661" s="16" t="s">
        <v>39</v>
      </c>
      <c r="G10661" s="15"/>
      <c r="H10661" s="15"/>
      <c r="I10661" s="15"/>
      <c r="J10661" s="16" t="s">
        <v>100</v>
      </c>
      <c r="K10661" s="15" t="s">
        <v>4926</v>
      </c>
      <c r="L10661" s="17">
        <v>1</v>
      </c>
      <c r="M10661" s="17">
        <v>28</v>
      </c>
      <c r="N10661" s="17">
        <v>1</v>
      </c>
      <c r="O10661" s="18">
        <v>2153.9699999999998</v>
      </c>
      <c r="P10661" s="18">
        <v>1765.55</v>
      </c>
      <c r="Q10661" s="18">
        <v>1701.64</v>
      </c>
      <c r="R10661" s="18">
        <v>1394.79</v>
      </c>
      <c r="S10661" s="18">
        <v>1464.7</v>
      </c>
      <c r="T10661" s="18">
        <v>1200.57</v>
      </c>
      <c r="U10661" s="16"/>
      <c r="V10661" s="16"/>
      <c r="W10661" s="16" t="s">
        <v>40</v>
      </c>
      <c r="X10661" s="19">
        <v>0.38700000000000001</v>
      </c>
      <c r="Y10661" s="20">
        <v>3.4299999999999999E-4</v>
      </c>
      <c r="Z10661" s="21">
        <v>4601004299870</v>
      </c>
    </row>
    <row r="10662" spans="1:26" ht="12" customHeight="1" outlineLevel="4" x14ac:dyDescent="0.2">
      <c r="A10662" s="14" t="s">
        <v>20261</v>
      </c>
      <c r="B10662" s="26" t="s">
        <v>20262</v>
      </c>
      <c r="C10662" s="52"/>
      <c r="D10662" s="55">
        <f t="shared" si="166"/>
        <v>0</v>
      </c>
      <c r="E10662" s="63" t="str">
        <f>HYPERLINK("https://www.sds-group.ru/product/istochnik-pitaniya-drayver-24v-200vt-s-provodami-vlagozaschischennyy-ip67-rexant-200-1006/", "Инфо")</f>
        <v>Инфо</v>
      </c>
      <c r="F10662" s="16" t="s">
        <v>39</v>
      </c>
      <c r="G10662" s="15"/>
      <c r="H10662" s="15"/>
      <c r="I10662" s="15"/>
      <c r="J10662" s="17">
        <v>195</v>
      </c>
      <c r="K10662" s="15"/>
      <c r="L10662" s="17">
        <v>1</v>
      </c>
      <c r="M10662" s="17">
        <v>22</v>
      </c>
      <c r="N10662" s="17">
        <v>1</v>
      </c>
      <c r="O10662" s="18">
        <v>3563.69</v>
      </c>
      <c r="P10662" s="18">
        <v>2921.06</v>
      </c>
      <c r="Q10662" s="18">
        <v>2815.32</v>
      </c>
      <c r="R10662" s="18">
        <v>2307.64</v>
      </c>
      <c r="S10662" s="18">
        <v>2423.31</v>
      </c>
      <c r="T10662" s="18">
        <v>1986.32</v>
      </c>
      <c r="U10662" s="16"/>
      <c r="V10662" s="16"/>
      <c r="W10662" s="16" t="s">
        <v>40</v>
      </c>
      <c r="X10662" s="19">
        <v>0.76200000000000001</v>
      </c>
      <c r="Y10662" s="20">
        <v>5.8299999999999997E-4</v>
      </c>
      <c r="Z10662" s="21">
        <v>4601004299887</v>
      </c>
    </row>
    <row r="10663" spans="1:26" ht="12" customHeight="1" outlineLevel="4" x14ac:dyDescent="0.2">
      <c r="A10663" s="14" t="s">
        <v>20263</v>
      </c>
      <c r="B10663" s="26" t="s">
        <v>20264</v>
      </c>
      <c r="C10663" s="52"/>
      <c r="D10663" s="55">
        <f t="shared" si="166"/>
        <v>0</v>
      </c>
      <c r="E10663" s="63" t="str">
        <f>HYPERLINK("https://www.sds-group.ru/product/istochnik-pitaniya-drayver-24v-300vt-s-provodami-vlagozaschischennyy-ip67-rexant-200-1007/", "Инфо")</f>
        <v>Инфо</v>
      </c>
      <c r="F10663" s="16" t="s">
        <v>39</v>
      </c>
      <c r="G10663" s="15"/>
      <c r="H10663" s="15"/>
      <c r="I10663" s="15"/>
      <c r="J10663" s="17">
        <v>171</v>
      </c>
      <c r="K10663" s="15"/>
      <c r="L10663" s="17">
        <v>1</v>
      </c>
      <c r="M10663" s="17">
        <v>14</v>
      </c>
      <c r="N10663" s="17">
        <v>1</v>
      </c>
      <c r="O10663" s="18">
        <v>4144.1499999999996</v>
      </c>
      <c r="P10663" s="18">
        <v>3396.84</v>
      </c>
      <c r="Q10663" s="18">
        <v>3273.88</v>
      </c>
      <c r="R10663" s="18">
        <v>2683.51</v>
      </c>
      <c r="S10663" s="18">
        <v>2818.02</v>
      </c>
      <c r="T10663" s="18">
        <v>2309.85</v>
      </c>
      <c r="U10663" s="16"/>
      <c r="V10663" s="16"/>
      <c r="W10663" s="16" t="s">
        <v>40</v>
      </c>
      <c r="X10663" s="19">
        <v>1.1240000000000001</v>
      </c>
      <c r="Y10663" s="20">
        <v>1.356E-3</v>
      </c>
      <c r="Z10663" s="21">
        <v>4601004299894</v>
      </c>
    </row>
    <row r="10664" spans="1:26" ht="12" customHeight="1" outlineLevel="4" x14ac:dyDescent="0.2">
      <c r="A10664" s="14" t="s">
        <v>20265</v>
      </c>
      <c r="B10664" s="26" t="s">
        <v>20266</v>
      </c>
      <c r="C10664" s="52"/>
      <c r="D10664" s="55">
        <f t="shared" si="166"/>
        <v>0</v>
      </c>
      <c r="E10664" s="63" t="str">
        <f>HYPERLINK("https://www.sds-group.ru/product/istochnik-pitaniya-drayver-24v-60vt-s-provodami-vlagozaschischennyy-ip67-rexant-200-1004/", "Инфо")</f>
        <v>Инфо</v>
      </c>
      <c r="F10664" s="16" t="s">
        <v>39</v>
      </c>
      <c r="G10664" s="15"/>
      <c r="H10664" s="15"/>
      <c r="I10664" s="15"/>
      <c r="J10664" s="17">
        <v>877</v>
      </c>
      <c r="K10664" s="15"/>
      <c r="L10664" s="17">
        <v>1</v>
      </c>
      <c r="M10664" s="17">
        <v>50</v>
      </c>
      <c r="N10664" s="17">
        <v>1</v>
      </c>
      <c r="O10664" s="18">
        <v>1428.38</v>
      </c>
      <c r="P10664" s="18">
        <v>1170.8</v>
      </c>
      <c r="Q10664" s="18">
        <v>1128.42</v>
      </c>
      <c r="R10664" s="18">
        <v>924.93</v>
      </c>
      <c r="S10664" s="18">
        <v>971.3</v>
      </c>
      <c r="T10664" s="18">
        <v>796.15</v>
      </c>
      <c r="U10664" s="16"/>
      <c r="V10664" s="16"/>
      <c r="W10664" s="16" t="s">
        <v>40</v>
      </c>
      <c r="X10664" s="19">
        <v>0.309</v>
      </c>
      <c r="Y10664" s="20">
        <v>3.7599999999999998E-4</v>
      </c>
      <c r="Z10664" s="21">
        <v>4601004299863</v>
      </c>
    </row>
    <row r="10665" spans="1:26" ht="12" customHeight="1" outlineLevel="4" x14ac:dyDescent="0.2">
      <c r="A10665" s="32" t="s">
        <v>20267</v>
      </c>
      <c r="B10665" s="74" t="s">
        <v>20268</v>
      </c>
      <c r="C10665" s="50"/>
      <c r="D10665" s="53">
        <f t="shared" si="166"/>
        <v>0</v>
      </c>
      <c r="E10665" s="60" t="str">
        <f>HYPERLINK("https://www.sds-group.ru/product/istochnik-pitaniya-24v-24vt-s-provodami-vlagozaschischennyy-ip67-201-024-2/", "Инфо")</f>
        <v>Инфо</v>
      </c>
      <c r="F10665" s="34" t="s">
        <v>39</v>
      </c>
      <c r="G10665" s="33"/>
      <c r="H10665" s="33" t="s">
        <v>40</v>
      </c>
      <c r="I10665" s="33"/>
      <c r="J10665" s="35">
        <v>51</v>
      </c>
      <c r="K10665" s="33"/>
      <c r="L10665" s="35">
        <v>1</v>
      </c>
      <c r="M10665" s="35">
        <v>90</v>
      </c>
      <c r="N10665" s="35">
        <v>1</v>
      </c>
      <c r="O10665" s="36">
        <v>878.95</v>
      </c>
      <c r="P10665" s="36">
        <v>720.45</v>
      </c>
      <c r="Q10665" s="36">
        <v>615.27</v>
      </c>
      <c r="R10665" s="36">
        <v>504.32</v>
      </c>
      <c r="S10665" s="36">
        <v>597.69000000000005</v>
      </c>
      <c r="T10665" s="36">
        <v>489.91</v>
      </c>
      <c r="U10665" s="34"/>
      <c r="V10665" s="34"/>
      <c r="W10665" s="34"/>
      <c r="X10665" s="37">
        <v>0.16900000000000001</v>
      </c>
      <c r="Y10665" s="38">
        <v>1.76E-4</v>
      </c>
      <c r="Z10665" s="21">
        <v>4601004073692</v>
      </c>
    </row>
    <row r="10666" spans="1:26" ht="12.95" customHeight="1" outlineLevel="1" x14ac:dyDescent="0.2">
      <c r="A10666" s="78" t="s">
        <v>20269</v>
      </c>
      <c r="B10666" s="78"/>
      <c r="C10666" s="79"/>
      <c r="D10666" s="57"/>
      <c r="E10666" s="67"/>
      <c r="F10666" s="12"/>
      <c r="G10666" s="12"/>
      <c r="H10666" s="12"/>
      <c r="I10666" s="12"/>
      <c r="J10666" s="12"/>
      <c r="K10666" s="12"/>
      <c r="L10666" s="12"/>
      <c r="M10666" s="12"/>
      <c r="N10666" s="12"/>
      <c r="O10666" s="12"/>
      <c r="P10666" s="12"/>
      <c r="Q10666" s="12"/>
      <c r="R10666" s="12"/>
      <c r="S10666" s="12"/>
      <c r="T10666" s="12"/>
      <c r="U10666" s="12"/>
      <c r="V10666" s="12"/>
      <c r="W10666" s="12"/>
      <c r="X10666" s="12"/>
      <c r="Y10666" s="12"/>
      <c r="Z10666" s="12"/>
    </row>
    <row r="10667" spans="1:26" ht="12.95" customHeight="1" outlineLevel="2" x14ac:dyDescent="0.2">
      <c r="A10667" s="76" t="s">
        <v>20270</v>
      </c>
      <c r="B10667" s="76"/>
      <c r="C10667" s="77"/>
      <c r="D10667" s="58"/>
      <c r="E10667" s="68"/>
      <c r="F10667" s="13"/>
      <c r="G10667" s="13"/>
      <c r="H10667" s="13"/>
      <c r="I10667" s="13"/>
      <c r="J10667" s="13"/>
      <c r="K10667" s="13"/>
      <c r="L10667" s="13"/>
      <c r="M10667" s="13"/>
      <c r="N10667" s="13"/>
      <c r="O10667" s="13"/>
      <c r="P10667" s="13"/>
      <c r="Q10667" s="13"/>
      <c r="R10667" s="13"/>
      <c r="S10667" s="13"/>
      <c r="T10667" s="13"/>
      <c r="U10667" s="13"/>
      <c r="V10667" s="13"/>
      <c r="W10667" s="13"/>
      <c r="X10667" s="13"/>
      <c r="Y10667" s="13"/>
      <c r="Z10667" s="13"/>
    </row>
    <row r="10668" spans="1:26" ht="12" customHeight="1" outlineLevel="3" x14ac:dyDescent="0.2">
      <c r="A10668" s="14" t="s">
        <v>20271</v>
      </c>
      <c r="B10668" s="26" t="s">
        <v>20272</v>
      </c>
      <c r="C10668" s="52"/>
      <c r="D10668" s="55">
        <f t="shared" si="166"/>
        <v>0</v>
      </c>
      <c r="E10668" s="63" t="str">
        <f>HYPERLINK("https://www.sds-group.ru/product/datchik-dvizheniya-v-patron-e27-ddp-01-360-60vt-3-2000lk-6m-10-300-sek-rexant-11-9203/", "Инфо")</f>
        <v>Инфо</v>
      </c>
      <c r="F10668" s="16" t="s">
        <v>39</v>
      </c>
      <c r="G10668" s="15"/>
      <c r="H10668" s="15"/>
      <c r="I10668" s="15"/>
      <c r="J10668" s="17">
        <v>431</v>
      </c>
      <c r="K10668" s="15" t="s">
        <v>6798</v>
      </c>
      <c r="L10668" s="17">
        <v>1</v>
      </c>
      <c r="M10668" s="17">
        <v>50</v>
      </c>
      <c r="N10668" s="17">
        <v>1</v>
      </c>
      <c r="O10668" s="18">
        <v>844.09</v>
      </c>
      <c r="P10668" s="18">
        <v>691.88</v>
      </c>
      <c r="Q10668" s="18">
        <v>675.27</v>
      </c>
      <c r="R10668" s="18">
        <v>553.5</v>
      </c>
      <c r="S10668" s="18">
        <v>573.98</v>
      </c>
      <c r="T10668" s="18">
        <v>470.48</v>
      </c>
      <c r="U10668" s="16"/>
      <c r="V10668" s="16"/>
      <c r="W10668" s="16" t="s">
        <v>40</v>
      </c>
      <c r="X10668" s="19">
        <v>0.115</v>
      </c>
      <c r="Y10668" s="20">
        <v>6.0499999999999996E-4</v>
      </c>
      <c r="Z10668" s="21">
        <v>4601004075870</v>
      </c>
    </row>
    <row r="10669" spans="1:26" ht="12" customHeight="1" outlineLevel="3" x14ac:dyDescent="0.2">
      <c r="A10669" s="14" t="s">
        <v>20273</v>
      </c>
      <c r="B10669" s="26" t="s">
        <v>20274</v>
      </c>
      <c r="C10669" s="52"/>
      <c r="D10669" s="55">
        <f t="shared" si="166"/>
        <v>0</v>
      </c>
      <c r="E10669" s="63" t="str">
        <f>HYPERLINK("https://www.sds-group.ru/product/datchik-dvizheniya-vstraivaemyy-ddv-01-160-300-1200-vt-3-2000-lk-9-m-10-420-sek-rexant-11-9208/", "Инфо")</f>
        <v>Инфо</v>
      </c>
      <c r="F10669" s="16" t="s">
        <v>39</v>
      </c>
      <c r="G10669" s="15"/>
      <c r="H10669" s="15"/>
      <c r="I10669" s="15"/>
      <c r="J10669" s="16" t="s">
        <v>100</v>
      </c>
      <c r="K10669" s="15" t="s">
        <v>1590</v>
      </c>
      <c r="L10669" s="17">
        <v>1</v>
      </c>
      <c r="M10669" s="17">
        <v>100</v>
      </c>
      <c r="N10669" s="17">
        <v>1</v>
      </c>
      <c r="O10669" s="18">
        <v>890.98</v>
      </c>
      <c r="P10669" s="18">
        <v>730.31</v>
      </c>
      <c r="Q10669" s="18">
        <v>712.78</v>
      </c>
      <c r="R10669" s="18">
        <v>584.25</v>
      </c>
      <c r="S10669" s="18">
        <v>605.87</v>
      </c>
      <c r="T10669" s="18">
        <v>496.61</v>
      </c>
      <c r="U10669" s="16"/>
      <c r="V10669" s="16"/>
      <c r="W10669" s="16" t="s">
        <v>40</v>
      </c>
      <c r="X10669" s="19">
        <v>0.10199999999999999</v>
      </c>
      <c r="Y10669" s="20">
        <v>6.1700000000000004E-4</v>
      </c>
      <c r="Z10669" s="21">
        <v>4601004075924</v>
      </c>
    </row>
    <row r="10670" spans="1:26" ht="12" customHeight="1" outlineLevel="3" x14ac:dyDescent="0.2">
      <c r="A10670" s="14" t="s">
        <v>20275</v>
      </c>
      <c r="B10670" s="26" t="s">
        <v>20276</v>
      </c>
      <c r="C10670" s="52"/>
      <c r="D10670" s="55">
        <f t="shared" si="166"/>
        <v>0</v>
      </c>
      <c r="E10670" s="63" t="str">
        <f>HYPERLINK("https://www.sds-group.ru/product/datchik-dvizheniya-k-prozhektoru-ddpr-01-120-1200-vt-3-2000-lk-12-m-10-420-sek-ip44-rexant-11-9220/", "Инфо")</f>
        <v>Инфо</v>
      </c>
      <c r="F10670" s="16" t="s">
        <v>39</v>
      </c>
      <c r="G10670" s="15"/>
      <c r="H10670" s="15"/>
      <c r="I10670" s="15"/>
      <c r="J10670" s="17">
        <v>986</v>
      </c>
      <c r="K10670" s="15"/>
      <c r="L10670" s="17">
        <v>1</v>
      </c>
      <c r="M10670" s="17">
        <v>50</v>
      </c>
      <c r="N10670" s="17">
        <v>1</v>
      </c>
      <c r="O10670" s="18">
        <v>1186.0899999999999</v>
      </c>
      <c r="P10670" s="18">
        <v>972.2</v>
      </c>
      <c r="Q10670" s="18">
        <v>948.87</v>
      </c>
      <c r="R10670" s="18">
        <v>777.76</v>
      </c>
      <c r="S10670" s="18">
        <v>806.54</v>
      </c>
      <c r="T10670" s="18">
        <v>661.1</v>
      </c>
      <c r="U10670" s="16"/>
      <c r="V10670" s="16"/>
      <c r="W10670" s="16" t="s">
        <v>40</v>
      </c>
      <c r="X10670" s="19">
        <v>0.22700000000000001</v>
      </c>
      <c r="Y10670" s="20">
        <v>1.2849999999999999E-3</v>
      </c>
      <c r="Z10670" s="21">
        <v>4601004076006</v>
      </c>
    </row>
    <row r="10671" spans="1:26" ht="12" customHeight="1" outlineLevel="3" x14ac:dyDescent="0.2">
      <c r="A10671" s="14" t="s">
        <v>20277</v>
      </c>
      <c r="B10671" s="26" t="s">
        <v>20278</v>
      </c>
      <c r="C10671" s="52"/>
      <c r="D10671" s="55">
        <f t="shared" si="166"/>
        <v>0</v>
      </c>
      <c r="E10671" s="63" t="str">
        <f>HYPERLINK("https://www.sds-group.ru/product/datchik-dvizheniya-nastennyy-dds-01-180-1200-vt-3-2000-lk-5-12-m-10-420-sek-ip44-rexant-11-9205/", "Инфо")</f>
        <v>Инфо</v>
      </c>
      <c r="F10671" s="16" t="s">
        <v>39</v>
      </c>
      <c r="G10671" s="15"/>
      <c r="H10671" s="15"/>
      <c r="I10671" s="15"/>
      <c r="J10671" s="17">
        <v>826</v>
      </c>
      <c r="K10671" s="15"/>
      <c r="L10671" s="17">
        <v>1</v>
      </c>
      <c r="M10671" s="17">
        <v>50</v>
      </c>
      <c r="N10671" s="17">
        <v>1</v>
      </c>
      <c r="O10671" s="18">
        <v>1024.1199999999999</v>
      </c>
      <c r="P10671" s="18">
        <v>839.44</v>
      </c>
      <c r="Q10671" s="18">
        <v>819.3</v>
      </c>
      <c r="R10671" s="18">
        <v>671.56</v>
      </c>
      <c r="S10671" s="18">
        <v>696.4</v>
      </c>
      <c r="T10671" s="18">
        <v>570.82000000000005</v>
      </c>
      <c r="U10671" s="16"/>
      <c r="V10671" s="16"/>
      <c r="W10671" s="16" t="s">
        <v>40</v>
      </c>
      <c r="X10671" s="19">
        <v>0.25800000000000001</v>
      </c>
      <c r="Y10671" s="20">
        <v>1.4009999999999999E-3</v>
      </c>
      <c r="Z10671" s="21">
        <v>4601004075894</v>
      </c>
    </row>
    <row r="10672" spans="1:26" ht="12" customHeight="1" outlineLevel="3" x14ac:dyDescent="0.2">
      <c r="A10672" s="14" t="s">
        <v>20279</v>
      </c>
      <c r="B10672" s="26" t="s">
        <v>20280</v>
      </c>
      <c r="C10672" s="52"/>
      <c r="D10672" s="55">
        <f t="shared" si="166"/>
        <v>0</v>
      </c>
      <c r="E10672" s="63" t="str">
        <f>HYPERLINK("https://www.sds-group.ru/product/datchik-dvizheniya-nastennyy-dds-02-180-1200-vt-3-2000-lk-12-m-10-420-sek-ip44-rexant-11-9210/", "Инфо")</f>
        <v>Инфо</v>
      </c>
      <c r="F10672" s="16" t="s">
        <v>39</v>
      </c>
      <c r="G10672" s="15"/>
      <c r="H10672" s="15"/>
      <c r="I10672" s="15"/>
      <c r="J10672" s="17">
        <v>892</v>
      </c>
      <c r="K10672" s="15" t="s">
        <v>6798</v>
      </c>
      <c r="L10672" s="17">
        <v>1</v>
      </c>
      <c r="M10672" s="17">
        <v>50</v>
      </c>
      <c r="N10672" s="17">
        <v>1</v>
      </c>
      <c r="O10672" s="18">
        <v>827.69</v>
      </c>
      <c r="P10672" s="18">
        <v>678.43</v>
      </c>
      <c r="Q10672" s="18">
        <v>662.15</v>
      </c>
      <c r="R10672" s="18">
        <v>542.75</v>
      </c>
      <c r="S10672" s="18">
        <v>562.83000000000004</v>
      </c>
      <c r="T10672" s="18">
        <v>461.34</v>
      </c>
      <c r="U10672" s="16"/>
      <c r="V10672" s="16"/>
      <c r="W10672" s="16" t="s">
        <v>40</v>
      </c>
      <c r="X10672" s="19">
        <v>0.161</v>
      </c>
      <c r="Y10672" s="20">
        <v>9.3300000000000002E-4</v>
      </c>
      <c r="Z10672" s="21">
        <v>4601004075948</v>
      </c>
    </row>
    <row r="10673" spans="1:26" ht="12" customHeight="1" outlineLevel="3" x14ac:dyDescent="0.2">
      <c r="A10673" s="14" t="s">
        <v>20281</v>
      </c>
      <c r="B10673" s="26" t="s">
        <v>20282</v>
      </c>
      <c r="C10673" s="52"/>
      <c r="D10673" s="55">
        <f t="shared" si="166"/>
        <v>0</v>
      </c>
      <c r="E10673" s="63" t="str">
        <f>HYPERLINK("https://www.sds-group.ru/product/datchik-dvizheniya-nastennyy-dds-03-180-1200-vt-3-2000-lk-12-m-10-900-sek-ip44-rexant-11-9211/", "Инфо")</f>
        <v>Инфо</v>
      </c>
      <c r="F10673" s="16" t="s">
        <v>39</v>
      </c>
      <c r="G10673" s="15"/>
      <c r="H10673" s="15"/>
      <c r="I10673" s="15"/>
      <c r="J10673" s="17">
        <v>781</v>
      </c>
      <c r="K10673" s="15"/>
      <c r="L10673" s="17">
        <v>1</v>
      </c>
      <c r="M10673" s="17">
        <v>50</v>
      </c>
      <c r="N10673" s="17">
        <v>1</v>
      </c>
      <c r="O10673" s="18">
        <v>904.39</v>
      </c>
      <c r="P10673" s="18">
        <v>741.3</v>
      </c>
      <c r="Q10673" s="18">
        <v>723.51</v>
      </c>
      <c r="R10673" s="18">
        <v>593.04</v>
      </c>
      <c r="S10673" s="18">
        <v>614.99</v>
      </c>
      <c r="T10673" s="18">
        <v>504.09</v>
      </c>
      <c r="U10673" s="16"/>
      <c r="V10673" s="16"/>
      <c r="W10673" s="16" t="s">
        <v>40</v>
      </c>
      <c r="X10673" s="19">
        <v>0.188</v>
      </c>
      <c r="Y10673" s="20">
        <v>8.1800000000000004E-4</v>
      </c>
      <c r="Z10673" s="21">
        <v>4601004075955</v>
      </c>
    </row>
    <row r="10674" spans="1:26" ht="12" customHeight="1" outlineLevel="3" x14ac:dyDescent="0.2">
      <c r="A10674" s="32" t="s">
        <v>20283</v>
      </c>
      <c r="B10674" s="74" t="s">
        <v>20284</v>
      </c>
      <c r="C10674" s="50"/>
      <c r="D10674" s="53">
        <f t="shared" si="166"/>
        <v>0</v>
      </c>
      <c r="E10674" s="60" t="str">
        <f>HYPERLINK("https://www.sds-group.ru/product/datchik-dvizheniya-nastennyy-dds-04-180-1200-vt-3-2000-lk-12-m-10-420-sek-ip44-rexant-11-9212/", "Инфо")</f>
        <v>Инфо</v>
      </c>
      <c r="F10674" s="34" t="s">
        <v>39</v>
      </c>
      <c r="G10674" s="33"/>
      <c r="H10674" s="33" t="s">
        <v>40</v>
      </c>
      <c r="I10674" s="33"/>
      <c r="J10674" s="35">
        <v>314</v>
      </c>
      <c r="K10674" s="33"/>
      <c r="L10674" s="35">
        <v>1</v>
      </c>
      <c r="M10674" s="35">
        <v>50</v>
      </c>
      <c r="N10674" s="35">
        <v>1</v>
      </c>
      <c r="O10674" s="36">
        <v>1118.7</v>
      </c>
      <c r="P10674" s="36">
        <v>916.97</v>
      </c>
      <c r="Q10674" s="36">
        <v>894.96</v>
      </c>
      <c r="R10674" s="36">
        <v>733.57</v>
      </c>
      <c r="S10674" s="36">
        <v>760.72</v>
      </c>
      <c r="T10674" s="36">
        <v>623.54</v>
      </c>
      <c r="U10674" s="34"/>
      <c r="V10674" s="34"/>
      <c r="W10674" s="34" t="s">
        <v>40</v>
      </c>
      <c r="X10674" s="37">
        <v>0.254</v>
      </c>
      <c r="Y10674" s="38">
        <v>7.9600000000000005E-4</v>
      </c>
      <c r="Z10674" s="21">
        <v>4601004075962</v>
      </c>
    </row>
    <row r="10675" spans="1:26" ht="12" customHeight="1" outlineLevel="3" x14ac:dyDescent="0.2">
      <c r="A10675" s="14" t="s">
        <v>20285</v>
      </c>
      <c r="B10675" s="26" t="s">
        <v>20286</v>
      </c>
      <c r="C10675" s="52"/>
      <c r="D10675" s="55">
        <f t="shared" si="166"/>
        <v>0</v>
      </c>
      <c r="E10675" s="63" t="str">
        <f>HYPERLINK("https://www.sds-group.ru/product/datchik-dvizheniya-potolochnyy-ddp-01-120-360-1200-vt-10-2000-lk-6-m-10-420-sek-rexant-11-9209/", "Инфо")</f>
        <v>Инфо</v>
      </c>
      <c r="F10675" s="16" t="s">
        <v>39</v>
      </c>
      <c r="G10675" s="15"/>
      <c r="H10675" s="15"/>
      <c r="I10675" s="15"/>
      <c r="J10675" s="17">
        <v>161</v>
      </c>
      <c r="K10675" s="15" t="s">
        <v>6798</v>
      </c>
      <c r="L10675" s="17">
        <v>1</v>
      </c>
      <c r="M10675" s="17">
        <v>50</v>
      </c>
      <c r="N10675" s="17">
        <v>1</v>
      </c>
      <c r="O10675" s="18">
        <v>931.35</v>
      </c>
      <c r="P10675" s="18">
        <v>763.4</v>
      </c>
      <c r="Q10675" s="18">
        <v>745.08</v>
      </c>
      <c r="R10675" s="18">
        <v>610.72</v>
      </c>
      <c r="S10675" s="18">
        <v>633.32000000000005</v>
      </c>
      <c r="T10675" s="18">
        <v>519.11</v>
      </c>
      <c r="U10675" s="16"/>
      <c r="V10675" s="16"/>
      <c r="W10675" s="16" t="s">
        <v>40</v>
      </c>
      <c r="X10675" s="19">
        <v>0.106</v>
      </c>
      <c r="Y10675" s="20">
        <v>3.79E-4</v>
      </c>
      <c r="Z10675" s="21">
        <v>4601004075931</v>
      </c>
    </row>
    <row r="10676" spans="1:26" ht="12" customHeight="1" outlineLevel="3" x14ac:dyDescent="0.2">
      <c r="A10676" s="14" t="s">
        <v>20287</v>
      </c>
      <c r="B10676" s="26" t="s">
        <v>20288</v>
      </c>
      <c r="C10676" s="52"/>
      <c r="D10676" s="55">
        <f t="shared" si="166"/>
        <v>0</v>
      </c>
      <c r="E10676" s="63" t="str">
        <f>HYPERLINK("https://www.sds-group.ru/product/datchik-dvizheniya-potolochnyy-ddp-02-120-360-1200-vt-10-2000-lk-2-6-m-10-420-sek-rexant-11-9213/", "Инфо")</f>
        <v>Инфо</v>
      </c>
      <c r="F10676" s="16" t="s">
        <v>39</v>
      </c>
      <c r="G10676" s="15"/>
      <c r="H10676" s="15"/>
      <c r="I10676" s="15"/>
      <c r="J10676" s="17">
        <v>34</v>
      </c>
      <c r="K10676" s="15" t="s">
        <v>1590</v>
      </c>
      <c r="L10676" s="17">
        <v>1</v>
      </c>
      <c r="M10676" s="17">
        <v>50</v>
      </c>
      <c r="N10676" s="17">
        <v>1</v>
      </c>
      <c r="O10676" s="18">
        <v>902.35</v>
      </c>
      <c r="P10676" s="18">
        <v>739.63</v>
      </c>
      <c r="Q10676" s="18">
        <v>721.88</v>
      </c>
      <c r="R10676" s="18">
        <v>591.70000000000005</v>
      </c>
      <c r="S10676" s="18">
        <v>613.6</v>
      </c>
      <c r="T10676" s="18">
        <v>502.95</v>
      </c>
      <c r="U10676" s="16"/>
      <c r="V10676" s="16"/>
      <c r="W10676" s="16" t="s">
        <v>40</v>
      </c>
      <c r="X10676" s="19">
        <v>0.188</v>
      </c>
      <c r="Y10676" s="20">
        <v>9.8700000000000003E-4</v>
      </c>
      <c r="Z10676" s="21">
        <v>4601004075979</v>
      </c>
    </row>
    <row r="10677" spans="1:26" ht="12" customHeight="1" outlineLevel="3" x14ac:dyDescent="0.2">
      <c r="A10677" s="14" t="s">
        <v>20289</v>
      </c>
      <c r="B10677" s="26" t="s">
        <v>20290</v>
      </c>
      <c r="C10677" s="52"/>
      <c r="D10677" s="55">
        <f t="shared" si="166"/>
        <v>0</v>
      </c>
      <c r="E10677" s="63" t="str">
        <f>HYPERLINK("https://www.sds-group.ru/product/datchik-dvizheniya-tochechnyy-ddt-01-360-2000vt-3-2000lk-20m-10-420-sek-rexant-11-9206/", "Инфо")</f>
        <v>Инфо</v>
      </c>
      <c r="F10677" s="16" t="s">
        <v>39</v>
      </c>
      <c r="G10677" s="15"/>
      <c r="H10677" s="15"/>
      <c r="I10677" s="15"/>
      <c r="J10677" s="17">
        <v>760</v>
      </c>
      <c r="K10677" s="15" t="s">
        <v>1590</v>
      </c>
      <c r="L10677" s="17">
        <v>1</v>
      </c>
      <c r="M10677" s="17">
        <v>50</v>
      </c>
      <c r="N10677" s="17">
        <v>1</v>
      </c>
      <c r="O10677" s="18">
        <v>1333.27</v>
      </c>
      <c r="P10677" s="18">
        <v>1092.8399999999999</v>
      </c>
      <c r="Q10677" s="18">
        <v>1053.28</v>
      </c>
      <c r="R10677" s="18">
        <v>863.34</v>
      </c>
      <c r="S10677" s="18">
        <v>906.62</v>
      </c>
      <c r="T10677" s="18">
        <v>743.13</v>
      </c>
      <c r="U10677" s="16"/>
      <c r="V10677" s="16"/>
      <c r="W10677" s="16" t="s">
        <v>40</v>
      </c>
      <c r="X10677" s="19">
        <v>0.183</v>
      </c>
      <c r="Y10677" s="20">
        <v>1.6540000000000001E-3</v>
      </c>
      <c r="Z10677" s="21">
        <v>4601004075900</v>
      </c>
    </row>
    <row r="10678" spans="1:26" ht="12" customHeight="1" outlineLevel="3" x14ac:dyDescent="0.2">
      <c r="A10678" s="14" t="s">
        <v>20291</v>
      </c>
      <c r="B10678" s="26" t="s">
        <v>20292</v>
      </c>
      <c r="C10678" s="52"/>
      <c r="D10678" s="55">
        <f t="shared" si="166"/>
        <v>0</v>
      </c>
      <c r="E10678" s="63" t="str">
        <f>HYPERLINK("https://www.sds-group.ru/product/datchik-dvizheniya-tochechnyy-ddt-02-360-800-vt-3-2000-lk-6-m-10-900-sek-rexant-11-9207/", "Инфо")</f>
        <v>Инфо</v>
      </c>
      <c r="F10678" s="16" t="s">
        <v>39</v>
      </c>
      <c r="G10678" s="15"/>
      <c r="H10678" s="15"/>
      <c r="I10678" s="15"/>
      <c r="J10678" s="17">
        <v>524</v>
      </c>
      <c r="K10678" s="15"/>
      <c r="L10678" s="17">
        <v>1</v>
      </c>
      <c r="M10678" s="17">
        <v>100</v>
      </c>
      <c r="N10678" s="17">
        <v>1</v>
      </c>
      <c r="O10678" s="18">
        <v>792.18</v>
      </c>
      <c r="P10678" s="18">
        <v>649.33000000000004</v>
      </c>
      <c r="Q10678" s="18">
        <v>633.74</v>
      </c>
      <c r="R10678" s="18">
        <v>519.46</v>
      </c>
      <c r="S10678" s="18">
        <v>538.67999999999995</v>
      </c>
      <c r="T10678" s="18">
        <v>441.54</v>
      </c>
      <c r="U10678" s="16"/>
      <c r="V10678" s="16"/>
      <c r="W10678" s="16" t="s">
        <v>40</v>
      </c>
      <c r="X10678" s="19">
        <v>7.0000000000000007E-2</v>
      </c>
      <c r="Y10678" s="20">
        <v>3.4000000000000002E-4</v>
      </c>
      <c r="Z10678" s="21">
        <v>4601004075917</v>
      </c>
    </row>
    <row r="10679" spans="1:26" ht="12.95" customHeight="1" outlineLevel="2" x14ac:dyDescent="0.2">
      <c r="A10679" s="76" t="s">
        <v>20293</v>
      </c>
      <c r="B10679" s="76"/>
      <c r="C10679" s="77"/>
      <c r="D10679" s="58"/>
      <c r="E10679" s="68"/>
      <c r="F10679" s="13"/>
      <c r="G10679" s="13"/>
      <c r="H10679" s="13"/>
      <c r="I10679" s="13"/>
      <c r="J10679" s="13"/>
      <c r="K10679" s="13"/>
      <c r="L10679" s="13"/>
      <c r="M10679" s="13"/>
      <c r="N10679" s="13"/>
      <c r="O10679" s="13"/>
      <c r="P10679" s="13"/>
      <c r="Q10679" s="13"/>
      <c r="R10679" s="13"/>
      <c r="S10679" s="13"/>
      <c r="T10679" s="13"/>
      <c r="U10679" s="13"/>
      <c r="V10679" s="13"/>
      <c r="W10679" s="13"/>
      <c r="X10679" s="13"/>
      <c r="Y10679" s="13"/>
      <c r="Z10679" s="13"/>
    </row>
    <row r="10680" spans="1:26" ht="12" customHeight="1" outlineLevel="3" x14ac:dyDescent="0.2">
      <c r="A10680" s="14" t="s">
        <v>20294</v>
      </c>
      <c r="B10680" s="26" t="s">
        <v>20295</v>
      </c>
      <c r="C10680" s="52"/>
      <c r="D10680" s="55">
        <f t="shared" si="166"/>
        <v>0</v>
      </c>
      <c r="E10680" s="63" t="str">
        <f>HYPERLINK("https://www.sds-group.ru/product/datchik-dvizheniya-nastenno-potolochnyy-mikrovolnovyy-ddnpm-01-180-360-1200vt-3-2000lk-3-6m--11-9218/", "Инфо")</f>
        <v>Инфо</v>
      </c>
      <c r="F10680" s="16" t="s">
        <v>39</v>
      </c>
      <c r="G10680" s="15"/>
      <c r="H10680" s="15"/>
      <c r="I10680" s="15"/>
      <c r="J10680" s="17">
        <v>110</v>
      </c>
      <c r="K10680" s="15" t="s">
        <v>6798</v>
      </c>
      <c r="L10680" s="17">
        <v>1</v>
      </c>
      <c r="M10680" s="17">
        <v>100</v>
      </c>
      <c r="N10680" s="17">
        <v>1</v>
      </c>
      <c r="O10680" s="18">
        <v>1372.92</v>
      </c>
      <c r="P10680" s="18">
        <v>1125.3399999999999</v>
      </c>
      <c r="Q10680" s="18">
        <v>1084.6099999999999</v>
      </c>
      <c r="R10680" s="18">
        <v>889.02</v>
      </c>
      <c r="S10680" s="18">
        <v>933.59</v>
      </c>
      <c r="T10680" s="18">
        <v>765.24</v>
      </c>
      <c r="U10680" s="16"/>
      <c r="V10680" s="16"/>
      <c r="W10680" s="16" t="s">
        <v>40</v>
      </c>
      <c r="X10680" s="19">
        <v>6.5000000000000002E-2</v>
      </c>
      <c r="Y10680" s="20">
        <v>2.9E-4</v>
      </c>
      <c r="Z10680" s="21">
        <v>4601004076051</v>
      </c>
    </row>
    <row r="10681" spans="1:26" ht="12" customHeight="1" outlineLevel="3" x14ac:dyDescent="0.2">
      <c r="A10681" s="14" t="s">
        <v>20296</v>
      </c>
      <c r="B10681" s="26" t="s">
        <v>20297</v>
      </c>
      <c r="C10681" s="52"/>
      <c r="D10681" s="55">
        <f t="shared" si="166"/>
        <v>0</v>
      </c>
      <c r="E10681" s="63" t="str">
        <f>HYPERLINK("https://www.sds-group.ru/product/datchik-dvizheniya-potolochnyy-mikrovolnovyy-ddpm-01-120-360-1200-vt-3-2000-lk-1-8-m-10-720--11-9216/", "Инфо")</f>
        <v>Инфо</v>
      </c>
      <c r="F10681" s="16" t="s">
        <v>39</v>
      </c>
      <c r="G10681" s="15"/>
      <c r="H10681" s="15"/>
      <c r="I10681" s="15"/>
      <c r="J10681" s="16" t="s">
        <v>100</v>
      </c>
      <c r="K10681" s="15" t="s">
        <v>6798</v>
      </c>
      <c r="L10681" s="17">
        <v>1</v>
      </c>
      <c r="M10681" s="17">
        <v>50</v>
      </c>
      <c r="N10681" s="17">
        <v>1</v>
      </c>
      <c r="O10681" s="18">
        <v>1586.17</v>
      </c>
      <c r="P10681" s="18">
        <v>1300.1400000000001</v>
      </c>
      <c r="Q10681" s="18">
        <v>1253.07</v>
      </c>
      <c r="R10681" s="18">
        <v>1027.1099999999999</v>
      </c>
      <c r="S10681" s="18">
        <v>1078.5999999999999</v>
      </c>
      <c r="T10681" s="18">
        <v>884.1</v>
      </c>
      <c r="U10681" s="16"/>
      <c r="V10681" s="16"/>
      <c r="W10681" s="16" t="s">
        <v>40</v>
      </c>
      <c r="X10681" s="19">
        <v>0.15</v>
      </c>
      <c r="Y10681" s="20">
        <v>5.1999999999999995E-4</v>
      </c>
      <c r="Z10681" s="21">
        <v>4601004076020</v>
      </c>
    </row>
    <row r="10682" spans="1:26" ht="12" customHeight="1" outlineLevel="3" x14ac:dyDescent="0.2">
      <c r="A10682" s="14" t="s">
        <v>20298</v>
      </c>
      <c r="B10682" s="26" t="s">
        <v>20299</v>
      </c>
      <c r="C10682" s="52"/>
      <c r="D10682" s="55">
        <f t="shared" si="166"/>
        <v>0</v>
      </c>
      <c r="E10682" s="63" t="str">
        <f>HYPERLINK("https://www.sds-group.ru/product/datchik-dvizheniya-potolochnyy-mikrovolnovyy-ddpm-02-180-goriz-360-vert-1200-vt-3-2000-lk-1--11-9217/", "Инфо")</f>
        <v>Инфо</v>
      </c>
      <c r="F10682" s="16" t="s">
        <v>39</v>
      </c>
      <c r="G10682" s="15"/>
      <c r="H10682" s="15"/>
      <c r="I10682" s="15"/>
      <c r="J10682" s="17">
        <v>57</v>
      </c>
      <c r="K10682" s="15" t="s">
        <v>1590</v>
      </c>
      <c r="L10682" s="17">
        <v>1</v>
      </c>
      <c r="M10682" s="17">
        <v>100</v>
      </c>
      <c r="N10682" s="17">
        <v>1</v>
      </c>
      <c r="O10682" s="18">
        <v>1237.03</v>
      </c>
      <c r="P10682" s="18">
        <v>1013.96</v>
      </c>
      <c r="Q10682" s="18">
        <v>977.25</v>
      </c>
      <c r="R10682" s="18">
        <v>801.02</v>
      </c>
      <c r="S10682" s="18">
        <v>841.18</v>
      </c>
      <c r="T10682" s="18">
        <v>689.49</v>
      </c>
      <c r="U10682" s="16"/>
      <c r="V10682" s="16"/>
      <c r="W10682" s="16" t="s">
        <v>40</v>
      </c>
      <c r="X10682" s="19">
        <v>0.06</v>
      </c>
      <c r="Y10682" s="20">
        <v>2.32E-4</v>
      </c>
      <c r="Z10682" s="21">
        <v>4601004076037</v>
      </c>
    </row>
    <row r="10683" spans="1:26" ht="12" customHeight="1" outlineLevel="3" x14ac:dyDescent="0.2">
      <c r="A10683" s="14" t="s">
        <v>20300</v>
      </c>
      <c r="B10683" s="26" t="s">
        <v>20301</v>
      </c>
      <c r="C10683" s="52"/>
      <c r="D10683" s="55">
        <f t="shared" si="166"/>
        <v>0</v>
      </c>
      <c r="E10683" s="63" t="str">
        <f>HYPERLINK("https://www.sds-group.ru/product/datchik-dvizheniya-tochechnyy-mikrovolnovyy-ddtm-01-360-1200-vt-3-2000-lk-1-8-m-10-720-sek-r-11-9219/", "Инфо")</f>
        <v>Инфо</v>
      </c>
      <c r="F10683" s="16" t="s">
        <v>39</v>
      </c>
      <c r="G10683" s="15"/>
      <c r="H10683" s="15"/>
      <c r="I10683" s="15"/>
      <c r="J10683" s="17">
        <v>397</v>
      </c>
      <c r="K10683" s="15"/>
      <c r="L10683" s="17">
        <v>1</v>
      </c>
      <c r="M10683" s="17">
        <v>50</v>
      </c>
      <c r="N10683" s="17">
        <v>1</v>
      </c>
      <c r="O10683" s="18">
        <v>1502.06</v>
      </c>
      <c r="P10683" s="18">
        <v>1231.2</v>
      </c>
      <c r="Q10683" s="18">
        <v>1186.6300000000001</v>
      </c>
      <c r="R10683" s="18">
        <v>972.65</v>
      </c>
      <c r="S10683" s="18">
        <v>1021.4</v>
      </c>
      <c r="T10683" s="18">
        <v>837.21</v>
      </c>
      <c r="U10683" s="16"/>
      <c r="V10683" s="16"/>
      <c r="W10683" s="16" t="s">
        <v>40</v>
      </c>
      <c r="X10683" s="19">
        <v>0.14299999999999999</v>
      </c>
      <c r="Y10683" s="20">
        <v>8.7799999999999998E-4</v>
      </c>
      <c r="Z10683" s="21">
        <v>4601004076044</v>
      </c>
    </row>
    <row r="10684" spans="1:26" ht="12.95" customHeight="1" outlineLevel="2" x14ac:dyDescent="0.2">
      <c r="A10684" s="76" t="s">
        <v>20302</v>
      </c>
      <c r="B10684" s="76"/>
      <c r="C10684" s="77"/>
      <c r="D10684" s="58"/>
      <c r="E10684" s="68"/>
      <c r="F10684" s="13"/>
      <c r="G10684" s="13"/>
      <c r="H10684" s="13"/>
      <c r="I10684" s="13"/>
      <c r="J10684" s="13"/>
      <c r="K10684" s="13"/>
      <c r="L10684" s="13"/>
      <c r="M10684" s="13"/>
      <c r="N10684" s="13"/>
      <c r="O10684" s="13"/>
      <c r="P10684" s="13"/>
      <c r="Q10684" s="13"/>
      <c r="R10684" s="13"/>
      <c r="S10684" s="13"/>
      <c r="T10684" s="13"/>
      <c r="U10684" s="13"/>
      <c r="V10684" s="13"/>
      <c r="W10684" s="13"/>
      <c r="X10684" s="13"/>
      <c r="Y10684" s="13"/>
      <c r="Z10684" s="13"/>
    </row>
    <row r="10685" spans="1:26" ht="12" customHeight="1" outlineLevel="3" x14ac:dyDescent="0.2">
      <c r="A10685" s="14" t="s">
        <v>20303</v>
      </c>
      <c r="B10685" s="26" t="s">
        <v>20304</v>
      </c>
      <c r="C10685" s="52"/>
      <c r="D10685" s="55">
        <f t="shared" si="166"/>
        <v>0</v>
      </c>
      <c r="E10685" s="63" t="str">
        <f>HYPERLINK("https://www.sds-group.ru/product/fotorele-01-5-15-lk-6-a-ip44-rexant-11-9200/", "Инфо")</f>
        <v>Инфо</v>
      </c>
      <c r="F10685" s="16" t="s">
        <v>39</v>
      </c>
      <c r="G10685" s="15"/>
      <c r="H10685" s="15"/>
      <c r="I10685" s="15"/>
      <c r="J10685" s="22">
        <v>3515</v>
      </c>
      <c r="K10685" s="15"/>
      <c r="L10685" s="17">
        <v>5</v>
      </c>
      <c r="M10685" s="17">
        <v>100</v>
      </c>
      <c r="N10685" s="17">
        <v>5</v>
      </c>
      <c r="O10685" s="18">
        <v>342.32</v>
      </c>
      <c r="P10685" s="18">
        <v>280.58999999999997</v>
      </c>
      <c r="Q10685" s="18">
        <v>290.97000000000003</v>
      </c>
      <c r="R10685" s="18">
        <v>238.5</v>
      </c>
      <c r="S10685" s="18">
        <v>232.78</v>
      </c>
      <c r="T10685" s="18">
        <v>190.8</v>
      </c>
      <c r="U10685" s="16"/>
      <c r="V10685" s="16"/>
      <c r="W10685" s="16" t="s">
        <v>40</v>
      </c>
      <c r="X10685" s="19">
        <v>7.9000000000000001E-2</v>
      </c>
      <c r="Y10685" s="20">
        <v>3.6400000000000001E-4</v>
      </c>
      <c r="Z10685" s="21">
        <v>4601004076068</v>
      </c>
    </row>
    <row r="10686" spans="1:26" ht="12" customHeight="1" outlineLevel="3" x14ac:dyDescent="0.2">
      <c r="A10686" s="14" t="s">
        <v>20305</v>
      </c>
      <c r="B10686" s="26" t="s">
        <v>20306</v>
      </c>
      <c r="C10686" s="52"/>
      <c r="D10686" s="55">
        <f t="shared" si="166"/>
        <v>0</v>
      </c>
      <c r="E10686" s="63" t="str">
        <f>HYPERLINK("https://www.sds-group.ru/product/fotorele-02-5-50lk-10a-ip44-rexant-11-9201/", "Инфо")</f>
        <v>Инфо</v>
      </c>
      <c r="F10686" s="16" t="s">
        <v>39</v>
      </c>
      <c r="G10686" s="15"/>
      <c r="H10686" s="15"/>
      <c r="I10686" s="15"/>
      <c r="J10686" s="17">
        <v>987</v>
      </c>
      <c r="K10686" s="15"/>
      <c r="L10686" s="17">
        <v>1</v>
      </c>
      <c r="M10686" s="17">
        <v>100</v>
      </c>
      <c r="N10686" s="17">
        <v>1</v>
      </c>
      <c r="O10686" s="18">
        <v>516.42999999999995</v>
      </c>
      <c r="P10686" s="18">
        <v>423.3</v>
      </c>
      <c r="Q10686" s="18">
        <v>413.14</v>
      </c>
      <c r="R10686" s="18">
        <v>338.64</v>
      </c>
      <c r="S10686" s="18">
        <v>351.17</v>
      </c>
      <c r="T10686" s="18">
        <v>287.83999999999997</v>
      </c>
      <c r="U10686" s="16"/>
      <c r="V10686" s="16"/>
      <c r="W10686" s="16" t="s">
        <v>40</v>
      </c>
      <c r="X10686" s="19">
        <v>0.13300000000000001</v>
      </c>
      <c r="Y10686" s="20">
        <v>5.6499999999999996E-4</v>
      </c>
      <c r="Z10686" s="21">
        <v>4601004075856</v>
      </c>
    </row>
    <row r="10687" spans="1:26" ht="12" customHeight="1" outlineLevel="3" x14ac:dyDescent="0.2">
      <c r="A10687" s="14" t="s">
        <v>20307</v>
      </c>
      <c r="B10687" s="26" t="s">
        <v>20308</v>
      </c>
      <c r="C10687" s="52"/>
      <c r="D10687" s="55">
        <f t="shared" si="166"/>
        <v>0</v>
      </c>
      <c r="E10687" s="63" t="str">
        <f>HYPERLINK("https://www.sds-group.ru/product/fotorele-03-5-50-lk-25a-ip44-rexant-11-9202/", "Инфо")</f>
        <v>Инфо</v>
      </c>
      <c r="F10687" s="16" t="s">
        <v>39</v>
      </c>
      <c r="G10687" s="15"/>
      <c r="H10687" s="15"/>
      <c r="I10687" s="15"/>
      <c r="J10687" s="17">
        <v>931</v>
      </c>
      <c r="K10687" s="15"/>
      <c r="L10687" s="17">
        <v>1</v>
      </c>
      <c r="M10687" s="17">
        <v>50</v>
      </c>
      <c r="N10687" s="17">
        <v>1</v>
      </c>
      <c r="O10687" s="18">
        <v>754.61</v>
      </c>
      <c r="P10687" s="18">
        <v>618.53</v>
      </c>
      <c r="Q10687" s="18">
        <v>603.69000000000005</v>
      </c>
      <c r="R10687" s="18">
        <v>494.83</v>
      </c>
      <c r="S10687" s="18">
        <v>513.13</v>
      </c>
      <c r="T10687" s="18">
        <v>420.6</v>
      </c>
      <c r="U10687" s="16"/>
      <c r="V10687" s="16"/>
      <c r="W10687" s="16" t="s">
        <v>40</v>
      </c>
      <c r="X10687" s="19">
        <v>0.17399999999999999</v>
      </c>
      <c r="Y10687" s="20">
        <v>5.9500000000000004E-4</v>
      </c>
      <c r="Z10687" s="21">
        <v>4601004075863</v>
      </c>
    </row>
    <row r="10688" spans="1:26" ht="12.95" customHeight="1" outlineLevel="1" x14ac:dyDescent="0.2">
      <c r="A10688" s="78" t="s">
        <v>20309</v>
      </c>
      <c r="B10688" s="78"/>
      <c r="C10688" s="79"/>
      <c r="D10688" s="57"/>
      <c r="E10688" s="67"/>
      <c r="F10688" s="12"/>
      <c r="G10688" s="12"/>
      <c r="H10688" s="12"/>
      <c r="I10688" s="12"/>
      <c r="J10688" s="12"/>
      <c r="K10688" s="12"/>
      <c r="L10688" s="12"/>
      <c r="M10688" s="12"/>
      <c r="N10688" s="12"/>
      <c r="O10688" s="12"/>
      <c r="P10688" s="12"/>
      <c r="Q10688" s="12"/>
      <c r="R10688" s="12"/>
      <c r="S10688" s="12"/>
      <c r="T10688" s="12"/>
      <c r="U10688" s="12"/>
      <c r="V10688" s="12"/>
      <c r="W10688" s="12"/>
      <c r="X10688" s="12"/>
      <c r="Y10688" s="12"/>
      <c r="Z10688" s="12"/>
    </row>
    <row r="10689" spans="1:26" ht="12.95" customHeight="1" outlineLevel="2" x14ac:dyDescent="0.2">
      <c r="A10689" s="76" t="s">
        <v>20310</v>
      </c>
      <c r="B10689" s="76"/>
      <c r="C10689" s="77"/>
      <c r="D10689" s="58"/>
      <c r="E10689" s="68"/>
      <c r="F10689" s="13"/>
      <c r="G10689" s="13"/>
      <c r="H10689" s="13"/>
      <c r="I10689" s="13"/>
      <c r="J10689" s="13"/>
      <c r="K10689" s="13"/>
      <c r="L10689" s="13"/>
      <c r="M10689" s="13"/>
      <c r="N10689" s="13"/>
      <c r="O10689" s="13"/>
      <c r="P10689" s="13"/>
      <c r="Q10689" s="13"/>
      <c r="R10689" s="13"/>
      <c r="S10689" s="13"/>
      <c r="T10689" s="13"/>
      <c r="U10689" s="13"/>
      <c r="V10689" s="13"/>
      <c r="W10689" s="13"/>
      <c r="X10689" s="13"/>
      <c r="Y10689" s="13"/>
      <c r="Z10689" s="13"/>
    </row>
    <row r="10690" spans="1:26" ht="12" customHeight="1" outlineLevel="3" x14ac:dyDescent="0.2">
      <c r="A10690" s="14" t="s">
        <v>20311</v>
      </c>
      <c r="B10690" s="26" t="s">
        <v>20312</v>
      </c>
      <c r="C10690" s="52"/>
      <c r="D10690" s="55">
        <f t="shared" si="166"/>
        <v>0</v>
      </c>
      <c r="E10690" s="63" t="str">
        <f>HYPERLINK("https://www.sds-group.ru/product/prozhektor-svetodiodnyy-sdo-100vt-8000lm-4000k-neytralnyy-svet-chernyy-korpus-rexant-605-034/", "Инфо")</f>
        <v>Инфо</v>
      </c>
      <c r="F10690" s="16" t="s">
        <v>39</v>
      </c>
      <c r="G10690" s="15"/>
      <c r="H10690" s="15"/>
      <c r="I10690" s="15"/>
      <c r="J10690" s="17">
        <v>740</v>
      </c>
      <c r="K10690" s="15" t="s">
        <v>1094</v>
      </c>
      <c r="L10690" s="17">
        <v>1</v>
      </c>
      <c r="M10690" s="17">
        <v>10</v>
      </c>
      <c r="N10690" s="17">
        <v>1</v>
      </c>
      <c r="O10690" s="18">
        <v>926.1</v>
      </c>
      <c r="P10690" s="18">
        <v>759.1</v>
      </c>
      <c r="Q10690" s="18">
        <v>731.62</v>
      </c>
      <c r="R10690" s="18">
        <v>599.69000000000005</v>
      </c>
      <c r="S10690" s="18">
        <v>629.75</v>
      </c>
      <c r="T10690" s="18">
        <v>516.19000000000005</v>
      </c>
      <c r="U10690" s="16"/>
      <c r="V10690" s="16"/>
      <c r="W10690" s="16" t="s">
        <v>40</v>
      </c>
      <c r="X10690" s="19">
        <v>0.53</v>
      </c>
      <c r="Y10690" s="20">
        <v>2E-3</v>
      </c>
      <c r="Z10690" s="21">
        <v>4601004227064</v>
      </c>
    </row>
    <row r="10691" spans="1:26" ht="12" customHeight="1" outlineLevel="3" x14ac:dyDescent="0.2">
      <c r="A10691" s="14" t="s">
        <v>20313</v>
      </c>
      <c r="B10691" s="26" t="s">
        <v>20314</v>
      </c>
      <c r="C10691" s="52"/>
      <c r="D10691" s="55">
        <f t="shared" si="166"/>
        <v>0</v>
      </c>
      <c r="E10691" s="63" t="str">
        <f>HYPERLINK("https://www.sds-group.ru/product/prozhektor-svetodiodnyy-sdo-100vt-8000lm-6500k-holodnyy-svet-belyy-korpus-rexant-605-027/", "Инфо")</f>
        <v>Инфо</v>
      </c>
      <c r="F10691" s="16" t="s">
        <v>39</v>
      </c>
      <c r="G10691" s="15"/>
      <c r="H10691" s="15"/>
      <c r="I10691" s="15"/>
      <c r="J10691" s="17">
        <v>357</v>
      </c>
      <c r="K10691" s="15"/>
      <c r="L10691" s="17">
        <v>1</v>
      </c>
      <c r="M10691" s="17">
        <v>12</v>
      </c>
      <c r="N10691" s="17">
        <v>1</v>
      </c>
      <c r="O10691" s="18">
        <v>976.07</v>
      </c>
      <c r="P10691" s="18">
        <v>800.06</v>
      </c>
      <c r="Q10691" s="18">
        <v>771.1</v>
      </c>
      <c r="R10691" s="18">
        <v>632.04999999999995</v>
      </c>
      <c r="S10691" s="18">
        <v>663.73</v>
      </c>
      <c r="T10691" s="18">
        <v>544.04</v>
      </c>
      <c r="U10691" s="16"/>
      <c r="V10691" s="16"/>
      <c r="W10691" s="16" t="s">
        <v>40</v>
      </c>
      <c r="X10691" s="19">
        <v>0.45</v>
      </c>
      <c r="Y10691" s="20">
        <v>1.1919999999999999E-3</v>
      </c>
      <c r="Z10691" s="21">
        <v>4601004226999</v>
      </c>
    </row>
    <row r="10692" spans="1:26" ht="12" customHeight="1" outlineLevel="3" x14ac:dyDescent="0.2">
      <c r="A10692" s="14" t="s">
        <v>20315</v>
      </c>
      <c r="B10692" s="26" t="s">
        <v>20316</v>
      </c>
      <c r="C10692" s="52"/>
      <c r="D10692" s="55">
        <f t="shared" si="166"/>
        <v>0</v>
      </c>
      <c r="E10692" s="63" t="str">
        <f>HYPERLINK("https://www.sds-group.ru/product/prozhektor-svetodiodnyy-sdo-100vt-8000lm-6500k-holodnyy-svet-chernyy-korpus-rexant-605-005/", "Инфо")</f>
        <v>Инфо</v>
      </c>
      <c r="F10692" s="16" t="s">
        <v>39</v>
      </c>
      <c r="G10692" s="15"/>
      <c r="H10692" s="15"/>
      <c r="I10692" s="15"/>
      <c r="J10692" s="22">
        <v>3526</v>
      </c>
      <c r="K10692" s="15" t="s">
        <v>1094</v>
      </c>
      <c r="L10692" s="17">
        <v>1</v>
      </c>
      <c r="M10692" s="17">
        <v>12</v>
      </c>
      <c r="N10692" s="17">
        <v>1</v>
      </c>
      <c r="O10692" s="18">
        <v>926.1</v>
      </c>
      <c r="P10692" s="18">
        <v>759.1</v>
      </c>
      <c r="Q10692" s="18">
        <v>740.88</v>
      </c>
      <c r="R10692" s="18">
        <v>607.28</v>
      </c>
      <c r="S10692" s="18">
        <v>629.75</v>
      </c>
      <c r="T10692" s="18">
        <v>516.19000000000005</v>
      </c>
      <c r="U10692" s="16"/>
      <c r="V10692" s="16"/>
      <c r="W10692" s="16" t="s">
        <v>40</v>
      </c>
      <c r="X10692" s="19">
        <v>0.44900000000000001</v>
      </c>
      <c r="Y10692" s="20">
        <v>1.17E-3</v>
      </c>
      <c r="Z10692" s="21">
        <v>4601004165250</v>
      </c>
    </row>
    <row r="10693" spans="1:26" ht="12" customHeight="1" outlineLevel="3" x14ac:dyDescent="0.2">
      <c r="A10693" s="14" t="s">
        <v>20317</v>
      </c>
      <c r="B10693" s="26" t="s">
        <v>20318</v>
      </c>
      <c r="C10693" s="52"/>
      <c r="D10693" s="55">
        <f t="shared" si="166"/>
        <v>0</v>
      </c>
      <c r="E10693" s="63" t="str">
        <f>HYPERLINK("https://www.sds-group.ru/product/prozhektor-svetodiodnyy-sdo-10vt-800lm-4000k-neytralnyy-svet-chernyy-korpus-rexant-605-036/", "Инфо")</f>
        <v>Инфо</v>
      </c>
      <c r="F10693" s="16" t="s">
        <v>39</v>
      </c>
      <c r="G10693" s="15"/>
      <c r="H10693" s="15"/>
      <c r="I10693" s="15"/>
      <c r="J10693" s="22">
        <v>1793</v>
      </c>
      <c r="K10693" s="15" t="s">
        <v>1094</v>
      </c>
      <c r="L10693" s="17">
        <v>5</v>
      </c>
      <c r="M10693" s="17">
        <v>40</v>
      </c>
      <c r="N10693" s="17">
        <v>5</v>
      </c>
      <c r="O10693" s="18">
        <v>261.06</v>
      </c>
      <c r="P10693" s="18">
        <v>213.98</v>
      </c>
      <c r="Q10693" s="18">
        <v>221.9</v>
      </c>
      <c r="R10693" s="18">
        <v>181.89</v>
      </c>
      <c r="S10693" s="18">
        <v>177.52</v>
      </c>
      <c r="T10693" s="18">
        <v>145.51</v>
      </c>
      <c r="U10693" s="16"/>
      <c r="V10693" s="16"/>
      <c r="W10693" s="16" t="s">
        <v>40</v>
      </c>
      <c r="X10693" s="19">
        <v>0.09</v>
      </c>
      <c r="Y10693" s="20">
        <v>2.0900000000000001E-4</v>
      </c>
      <c r="Z10693" s="21">
        <v>4601004234642</v>
      </c>
    </row>
    <row r="10694" spans="1:26" ht="12" customHeight="1" outlineLevel="3" x14ac:dyDescent="0.2">
      <c r="A10694" s="14" t="s">
        <v>20319</v>
      </c>
      <c r="B10694" s="26" t="s">
        <v>20320</v>
      </c>
      <c r="C10694" s="52"/>
      <c r="D10694" s="55">
        <f t="shared" si="166"/>
        <v>0</v>
      </c>
      <c r="E10694" s="63" t="str">
        <f>HYPERLINK("https://www.sds-group.ru/product/prozhektor-svetodiodnyy-sdo-10vt-800lm-6500k-holodnyy-svet-belyy-korpus-rexant-605-023/", "Инфо")</f>
        <v>Инфо</v>
      </c>
      <c r="F10694" s="16" t="s">
        <v>39</v>
      </c>
      <c r="G10694" s="15"/>
      <c r="H10694" s="15"/>
      <c r="I10694" s="15"/>
      <c r="J10694" s="17">
        <v>514</v>
      </c>
      <c r="K10694" s="15"/>
      <c r="L10694" s="17">
        <v>5</v>
      </c>
      <c r="M10694" s="17">
        <v>40</v>
      </c>
      <c r="N10694" s="17">
        <v>5</v>
      </c>
      <c r="O10694" s="18">
        <v>287.16000000000003</v>
      </c>
      <c r="P10694" s="18">
        <v>235.38</v>
      </c>
      <c r="Q10694" s="18">
        <v>244.09</v>
      </c>
      <c r="R10694" s="18">
        <v>200.07</v>
      </c>
      <c r="S10694" s="18">
        <v>195.27</v>
      </c>
      <c r="T10694" s="18">
        <v>160.06</v>
      </c>
      <c r="U10694" s="16"/>
      <c r="V10694" s="16"/>
      <c r="W10694" s="16" t="s">
        <v>40</v>
      </c>
      <c r="X10694" s="19">
        <v>0.11</v>
      </c>
      <c r="Y10694" s="20">
        <v>2.7399999999999999E-4</v>
      </c>
      <c r="Z10694" s="21">
        <v>4601004226951</v>
      </c>
    </row>
    <row r="10695" spans="1:26" ht="12" customHeight="1" outlineLevel="3" x14ac:dyDescent="0.2">
      <c r="A10695" s="14" t="s">
        <v>20321</v>
      </c>
      <c r="B10695" s="26" t="s">
        <v>20322</v>
      </c>
      <c r="C10695" s="52"/>
      <c r="D10695" s="55">
        <f t="shared" si="166"/>
        <v>0</v>
      </c>
      <c r="E10695" s="63" t="str">
        <f>HYPERLINK("https://www.sds-group.ru/product/prozhektor-svetodiodnyy-sdo-10vt-800lm-6500k-holodnyy-svet-chernyy-korpus-rexant-605-001/", "Инфо")</f>
        <v>Инфо</v>
      </c>
      <c r="F10695" s="16" t="s">
        <v>39</v>
      </c>
      <c r="G10695" s="15"/>
      <c r="H10695" s="15"/>
      <c r="I10695" s="15"/>
      <c r="J10695" s="22">
        <v>1059</v>
      </c>
      <c r="K10695" s="15" t="s">
        <v>979</v>
      </c>
      <c r="L10695" s="17">
        <v>5</v>
      </c>
      <c r="M10695" s="17">
        <v>40</v>
      </c>
      <c r="N10695" s="17">
        <v>5</v>
      </c>
      <c r="O10695" s="18">
        <v>261.06</v>
      </c>
      <c r="P10695" s="18">
        <v>213.98</v>
      </c>
      <c r="Q10695" s="18">
        <v>221.9</v>
      </c>
      <c r="R10695" s="18">
        <v>181.89</v>
      </c>
      <c r="S10695" s="18">
        <v>177.52</v>
      </c>
      <c r="T10695" s="18">
        <v>145.51</v>
      </c>
      <c r="U10695" s="16"/>
      <c r="V10695" s="16"/>
      <c r="W10695" s="16" t="s">
        <v>40</v>
      </c>
      <c r="X10695" s="19">
        <v>9.0999999999999998E-2</v>
      </c>
      <c r="Y10695" s="20">
        <v>2.14E-4</v>
      </c>
      <c r="Z10695" s="21">
        <v>4601004165311</v>
      </c>
    </row>
    <row r="10696" spans="1:26" ht="12" customHeight="1" outlineLevel="3" x14ac:dyDescent="0.2">
      <c r="A10696" s="14" t="s">
        <v>20323</v>
      </c>
      <c r="B10696" s="26" t="s">
        <v>20324</v>
      </c>
      <c r="C10696" s="52"/>
      <c r="D10696" s="55">
        <f t="shared" si="166"/>
        <v>0</v>
      </c>
      <c r="E10696" s="63" t="str">
        <f>HYPERLINK("https://www.sds-group.ru/product/prozhektor-svetodiodnyy-sdo-150vt-12000lm-6500k-holodnyy-svet-chernyy-korpus-rexant-605-006/", "Инфо")</f>
        <v>Инфо</v>
      </c>
      <c r="F10696" s="16" t="s">
        <v>39</v>
      </c>
      <c r="G10696" s="15"/>
      <c r="H10696" s="15"/>
      <c r="I10696" s="15"/>
      <c r="J10696" s="17">
        <v>458</v>
      </c>
      <c r="K10696" s="15"/>
      <c r="L10696" s="17">
        <v>1</v>
      </c>
      <c r="M10696" s="17">
        <v>10</v>
      </c>
      <c r="N10696" s="17">
        <v>1</v>
      </c>
      <c r="O10696" s="18">
        <v>2159.9499999999998</v>
      </c>
      <c r="P10696" s="18">
        <v>1770.45</v>
      </c>
      <c r="Q10696" s="18">
        <v>1576.76</v>
      </c>
      <c r="R10696" s="18">
        <v>1292.43</v>
      </c>
      <c r="S10696" s="18">
        <v>1468.77</v>
      </c>
      <c r="T10696" s="18">
        <v>1203.9100000000001</v>
      </c>
      <c r="U10696" s="16"/>
      <c r="V10696" s="16"/>
      <c r="W10696" s="16" t="s">
        <v>40</v>
      </c>
      <c r="X10696" s="19">
        <v>0.88</v>
      </c>
      <c r="Y10696" s="20">
        <v>2.6689999999999999E-3</v>
      </c>
      <c r="Z10696" s="21">
        <v>4601004165267</v>
      </c>
    </row>
    <row r="10697" spans="1:26" ht="12" customHeight="1" outlineLevel="3" x14ac:dyDescent="0.2">
      <c r="A10697" s="14" t="s">
        <v>20325</v>
      </c>
      <c r="B10697" s="26" t="s">
        <v>20326</v>
      </c>
      <c r="C10697" s="52"/>
      <c r="D10697" s="55">
        <f t="shared" ref="D10697:D10760" si="167">C10697*(O10697-O10697*$G$3)</f>
        <v>0</v>
      </c>
      <c r="E10697" s="63" t="str">
        <f>HYPERLINK("https://www.sds-group.ru/product/prozhektor-svetodiodnyy-sdo-200vt-16000lm-6500k-holodnyy-svet-chernyy-korpus-rexant-605-007/", "Инфо")</f>
        <v>Инфо</v>
      </c>
      <c r="F10697" s="16" t="s">
        <v>39</v>
      </c>
      <c r="G10697" s="15"/>
      <c r="H10697" s="15"/>
      <c r="I10697" s="15"/>
      <c r="J10697" s="22">
        <v>1532</v>
      </c>
      <c r="K10697" s="15" t="s">
        <v>979</v>
      </c>
      <c r="L10697" s="17">
        <v>1</v>
      </c>
      <c r="M10697" s="17">
        <v>5</v>
      </c>
      <c r="N10697" s="17">
        <v>1</v>
      </c>
      <c r="O10697" s="18">
        <v>2404.16</v>
      </c>
      <c r="P10697" s="18">
        <v>1970.62</v>
      </c>
      <c r="Q10697" s="18">
        <v>1755.04</v>
      </c>
      <c r="R10697" s="18">
        <v>1438.56</v>
      </c>
      <c r="S10697" s="18">
        <v>1634.83</v>
      </c>
      <c r="T10697" s="18">
        <v>1340.02</v>
      </c>
      <c r="U10697" s="16"/>
      <c r="V10697" s="16"/>
      <c r="W10697" s="16" t="s">
        <v>40</v>
      </c>
      <c r="X10697" s="19">
        <v>1.631</v>
      </c>
      <c r="Y10697" s="20">
        <v>4.2189999999999997E-3</v>
      </c>
      <c r="Z10697" s="21">
        <v>4601004165274</v>
      </c>
    </row>
    <row r="10698" spans="1:26" ht="12" customHeight="1" outlineLevel="3" x14ac:dyDescent="0.2">
      <c r="A10698" s="14" t="s">
        <v>20327</v>
      </c>
      <c r="B10698" s="26" t="s">
        <v>20328</v>
      </c>
      <c r="C10698" s="52"/>
      <c r="D10698" s="55">
        <f t="shared" si="167"/>
        <v>0</v>
      </c>
      <c r="E10698" s="63" t="str">
        <f>HYPERLINK("https://www.sds-group.ru/product/prozhektor-svetodiodnyy-sdo-20vt-1600lm-3000k-teplyy-svet-belyy-korpus-rexant-605-019/", "Инфо")</f>
        <v>Инфо</v>
      </c>
      <c r="F10698" s="16" t="s">
        <v>39</v>
      </c>
      <c r="G10698" s="15"/>
      <c r="H10698" s="15"/>
      <c r="I10698" s="15"/>
      <c r="J10698" s="22">
        <v>1729</v>
      </c>
      <c r="K10698" s="15" t="s">
        <v>1094</v>
      </c>
      <c r="L10698" s="17">
        <v>5</v>
      </c>
      <c r="M10698" s="17">
        <v>24</v>
      </c>
      <c r="N10698" s="17">
        <v>5</v>
      </c>
      <c r="O10698" s="18">
        <v>323.54000000000002</v>
      </c>
      <c r="P10698" s="18">
        <v>265.2</v>
      </c>
      <c r="Q10698" s="18">
        <v>275.01</v>
      </c>
      <c r="R10698" s="18">
        <v>225.42</v>
      </c>
      <c r="S10698" s="18">
        <v>220.01</v>
      </c>
      <c r="T10698" s="18">
        <v>180.34</v>
      </c>
      <c r="U10698" s="16"/>
      <c r="V10698" s="16"/>
      <c r="W10698" s="16" t="s">
        <v>40</v>
      </c>
      <c r="X10698" s="19">
        <v>0.11600000000000001</v>
      </c>
      <c r="Y10698" s="20">
        <v>3.0299999999999999E-4</v>
      </c>
      <c r="Z10698" s="21">
        <v>4601004227149</v>
      </c>
    </row>
    <row r="10699" spans="1:26" ht="12" customHeight="1" outlineLevel="3" x14ac:dyDescent="0.2">
      <c r="A10699" s="14" t="s">
        <v>20329</v>
      </c>
      <c r="B10699" s="26" t="s">
        <v>20330</v>
      </c>
      <c r="C10699" s="52"/>
      <c r="D10699" s="55">
        <f t="shared" si="167"/>
        <v>0</v>
      </c>
      <c r="E10699" s="63" t="str">
        <f>HYPERLINK("https://www.sds-group.ru/product/prozhektor-svetodiodnyy-sdo-20vt-1600lm-4000k-neytralnyy-svet-chernyy-korpus-rexant-605-029/", "Инфо")</f>
        <v>Инфо</v>
      </c>
      <c r="F10699" s="16" t="s">
        <v>39</v>
      </c>
      <c r="G10699" s="15"/>
      <c r="H10699" s="15"/>
      <c r="I10699" s="15"/>
      <c r="J10699" s="22">
        <v>1041</v>
      </c>
      <c r="K10699" s="15" t="s">
        <v>1094</v>
      </c>
      <c r="L10699" s="17">
        <v>5</v>
      </c>
      <c r="M10699" s="17">
        <v>24</v>
      </c>
      <c r="N10699" s="17">
        <v>5</v>
      </c>
      <c r="O10699" s="18">
        <v>294.13</v>
      </c>
      <c r="P10699" s="18">
        <v>241.09</v>
      </c>
      <c r="Q10699" s="18">
        <v>250.01</v>
      </c>
      <c r="R10699" s="18">
        <v>204.93</v>
      </c>
      <c r="S10699" s="18">
        <v>200.01</v>
      </c>
      <c r="T10699" s="18">
        <v>163.94</v>
      </c>
      <c r="U10699" s="16"/>
      <c r="V10699" s="16"/>
      <c r="W10699" s="16" t="s">
        <v>40</v>
      </c>
      <c r="X10699" s="19">
        <v>0.12</v>
      </c>
      <c r="Y10699" s="20">
        <v>3.0699999999999998E-4</v>
      </c>
      <c r="Z10699" s="21">
        <v>4601004234659</v>
      </c>
    </row>
    <row r="10700" spans="1:26" ht="12" customHeight="1" outlineLevel="3" x14ac:dyDescent="0.2">
      <c r="A10700" s="14" t="s">
        <v>20331</v>
      </c>
      <c r="B10700" s="26" t="s">
        <v>20332</v>
      </c>
      <c r="C10700" s="52"/>
      <c r="D10700" s="55">
        <f t="shared" si="167"/>
        <v>0</v>
      </c>
      <c r="E10700" s="63" t="str">
        <f>HYPERLINK("https://www.sds-group.ru/product/prozhektor-svetodiodnyy-sdo-20vt-1600lm-6500k-holodnyy-svet-chernyy-korpus-rexant-605-002/", "Инфо")</f>
        <v>Инфо</v>
      </c>
      <c r="F10700" s="16" t="s">
        <v>39</v>
      </c>
      <c r="G10700" s="15"/>
      <c r="H10700" s="15"/>
      <c r="I10700" s="15"/>
      <c r="J10700" s="22">
        <v>11101</v>
      </c>
      <c r="K10700" s="15"/>
      <c r="L10700" s="17">
        <v>5</v>
      </c>
      <c r="M10700" s="17">
        <v>24</v>
      </c>
      <c r="N10700" s="17">
        <v>5</v>
      </c>
      <c r="O10700" s="18">
        <v>294.13</v>
      </c>
      <c r="P10700" s="18">
        <v>241.09</v>
      </c>
      <c r="Q10700" s="18">
        <v>250.01</v>
      </c>
      <c r="R10700" s="18">
        <v>204.93</v>
      </c>
      <c r="S10700" s="18">
        <v>200.01</v>
      </c>
      <c r="T10700" s="18">
        <v>163.94</v>
      </c>
      <c r="U10700" s="16"/>
      <c r="V10700" s="16"/>
      <c r="W10700" s="16" t="s">
        <v>40</v>
      </c>
      <c r="X10700" s="19">
        <v>0.115</v>
      </c>
      <c r="Y10700" s="20">
        <v>3.1199999999999999E-4</v>
      </c>
      <c r="Z10700" s="21">
        <v>4601004165229</v>
      </c>
    </row>
    <row r="10701" spans="1:26" ht="12" customHeight="1" outlineLevel="3" x14ac:dyDescent="0.2">
      <c r="A10701" s="14" t="s">
        <v>20333</v>
      </c>
      <c r="B10701" s="26" t="s">
        <v>20334</v>
      </c>
      <c r="C10701" s="52"/>
      <c r="D10701" s="55">
        <f t="shared" si="167"/>
        <v>0</v>
      </c>
      <c r="E10701" s="63" t="str">
        <f>HYPERLINK("https://www.sds-group.ru/product/prozhektor-svetodiodnyy-sdo-300vt-24000lm-6500k-holodnyy-svet-belyy-korpus-rexant-605-1030/", "Инфо")</f>
        <v>Инфо</v>
      </c>
      <c r="F10701" s="16" t="s">
        <v>39</v>
      </c>
      <c r="G10701" s="15"/>
      <c r="H10701" s="15"/>
      <c r="I10701" s="15"/>
      <c r="J10701" s="17">
        <v>90</v>
      </c>
      <c r="K10701" s="15"/>
      <c r="L10701" s="17">
        <v>1</v>
      </c>
      <c r="M10701" s="17">
        <v>5</v>
      </c>
      <c r="N10701" s="17">
        <v>1</v>
      </c>
      <c r="O10701" s="18">
        <v>4143.0600000000004</v>
      </c>
      <c r="P10701" s="18">
        <v>3395.95</v>
      </c>
      <c r="Q10701" s="18">
        <v>3024.43</v>
      </c>
      <c r="R10701" s="18">
        <v>2479.04</v>
      </c>
      <c r="S10701" s="18">
        <v>2817.28</v>
      </c>
      <c r="T10701" s="18">
        <v>2309.25</v>
      </c>
      <c r="U10701" s="16"/>
      <c r="V10701" s="16"/>
      <c r="W10701" s="16" t="s">
        <v>40</v>
      </c>
      <c r="X10701" s="19">
        <v>1.5880000000000001</v>
      </c>
      <c r="Y10701" s="20">
        <v>3.8070000000000001E-3</v>
      </c>
      <c r="Z10701" s="21">
        <v>4601004329096</v>
      </c>
    </row>
    <row r="10702" spans="1:26" ht="12" customHeight="1" outlineLevel="3" x14ac:dyDescent="0.2">
      <c r="A10702" s="14" t="s">
        <v>20335</v>
      </c>
      <c r="B10702" s="26" t="s">
        <v>20336</v>
      </c>
      <c r="C10702" s="52"/>
      <c r="D10702" s="55">
        <f t="shared" si="167"/>
        <v>0</v>
      </c>
      <c r="E10702" s="63" t="str">
        <f>HYPERLINK("https://www.sds-group.ru/product/prozhektor-svetodiodnyy-sdo-300vt-24000lm-6500k-holodnyy-svet-chernyy-korpus-rexant-605-030/", "Инфо")</f>
        <v>Инфо</v>
      </c>
      <c r="F10702" s="16" t="s">
        <v>39</v>
      </c>
      <c r="G10702" s="15"/>
      <c r="H10702" s="15"/>
      <c r="I10702" s="15"/>
      <c r="J10702" s="16" t="s">
        <v>100</v>
      </c>
      <c r="K10702" s="15"/>
      <c r="L10702" s="17">
        <v>1</v>
      </c>
      <c r="M10702" s="17">
        <v>5</v>
      </c>
      <c r="N10702" s="17">
        <v>1</v>
      </c>
      <c r="O10702" s="18">
        <v>4025.59</v>
      </c>
      <c r="P10702" s="18">
        <v>3299.66</v>
      </c>
      <c r="Q10702" s="18">
        <v>2938.68</v>
      </c>
      <c r="R10702" s="18">
        <v>2408.75</v>
      </c>
      <c r="S10702" s="18">
        <v>2737.4</v>
      </c>
      <c r="T10702" s="18">
        <v>2243.77</v>
      </c>
      <c r="U10702" s="16"/>
      <c r="V10702" s="16"/>
      <c r="W10702" s="16" t="s">
        <v>40</v>
      </c>
      <c r="X10702" s="19">
        <v>1.6020000000000001</v>
      </c>
      <c r="Y10702" s="20">
        <v>4.1460000000000004E-3</v>
      </c>
      <c r="Z10702" s="21">
        <v>4601004234666</v>
      </c>
    </row>
    <row r="10703" spans="1:26" ht="12" customHeight="1" outlineLevel="3" x14ac:dyDescent="0.2">
      <c r="A10703" s="14" t="s">
        <v>20337</v>
      </c>
      <c r="B10703" s="26" t="s">
        <v>20338</v>
      </c>
      <c r="C10703" s="52"/>
      <c r="D10703" s="55">
        <f t="shared" si="167"/>
        <v>0</v>
      </c>
      <c r="E10703" s="63" t="str">
        <f>HYPERLINK("https://www.sds-group.ru/product/prozhektor-svetodiodnyy-sdo-30vt-2400lm-3000k-teplyy-svet-belyy-korpus-rexant-605-028/", "Инфо")</f>
        <v>Инфо</v>
      </c>
      <c r="F10703" s="16" t="s">
        <v>39</v>
      </c>
      <c r="G10703" s="15"/>
      <c r="H10703" s="15"/>
      <c r="I10703" s="15"/>
      <c r="J10703" s="17">
        <v>697</v>
      </c>
      <c r="K10703" s="15" t="s">
        <v>1094</v>
      </c>
      <c r="L10703" s="17">
        <v>5</v>
      </c>
      <c r="M10703" s="17">
        <v>24</v>
      </c>
      <c r="N10703" s="17">
        <v>5</v>
      </c>
      <c r="O10703" s="18">
        <v>400.21</v>
      </c>
      <c r="P10703" s="18">
        <v>328.04</v>
      </c>
      <c r="Q10703" s="18">
        <v>320.17</v>
      </c>
      <c r="R10703" s="18">
        <v>262.43</v>
      </c>
      <c r="S10703" s="18">
        <v>272.14</v>
      </c>
      <c r="T10703" s="18">
        <v>223.07</v>
      </c>
      <c r="U10703" s="16"/>
      <c r="V10703" s="16"/>
      <c r="W10703" s="16" t="s">
        <v>40</v>
      </c>
      <c r="X10703" s="19">
        <v>0.188</v>
      </c>
      <c r="Y10703" s="20">
        <v>4.95E-4</v>
      </c>
      <c r="Z10703" s="21">
        <v>4601004234611</v>
      </c>
    </row>
    <row r="10704" spans="1:26" ht="12" customHeight="1" outlineLevel="3" x14ac:dyDescent="0.2">
      <c r="A10704" s="14" t="s">
        <v>20339</v>
      </c>
      <c r="B10704" s="26" t="s">
        <v>20340</v>
      </c>
      <c r="C10704" s="52"/>
      <c r="D10704" s="55">
        <f t="shared" si="167"/>
        <v>0</v>
      </c>
      <c r="E10704" s="63" t="str">
        <f>HYPERLINK("https://www.sds-group.ru/product/prozhektor-svetodiodnyy-sdo-30vt-2400lm-4000k-neytralnyy-svet-chernyy-korpus-rexant-605-032/", "Инфо")</f>
        <v>Инфо</v>
      </c>
      <c r="F10704" s="16" t="s">
        <v>39</v>
      </c>
      <c r="G10704" s="15"/>
      <c r="H10704" s="15"/>
      <c r="I10704" s="15"/>
      <c r="J10704" s="17">
        <v>362</v>
      </c>
      <c r="K10704" s="15" t="s">
        <v>1094</v>
      </c>
      <c r="L10704" s="17">
        <v>5</v>
      </c>
      <c r="M10704" s="17">
        <v>40</v>
      </c>
      <c r="N10704" s="17">
        <v>5</v>
      </c>
      <c r="O10704" s="18">
        <v>363.83</v>
      </c>
      <c r="P10704" s="18">
        <v>298.22000000000003</v>
      </c>
      <c r="Q10704" s="18">
        <v>291.06</v>
      </c>
      <c r="R10704" s="18">
        <v>238.57</v>
      </c>
      <c r="S10704" s="18">
        <v>247.4</v>
      </c>
      <c r="T10704" s="18">
        <v>202.79</v>
      </c>
      <c r="U10704" s="16"/>
      <c r="V10704" s="16"/>
      <c r="W10704" s="16" t="s">
        <v>40</v>
      </c>
      <c r="X10704" s="19">
        <v>0.19</v>
      </c>
      <c r="Y10704" s="20">
        <v>5.0500000000000002E-4</v>
      </c>
      <c r="Z10704" s="21">
        <v>4601004227040</v>
      </c>
    </row>
    <row r="10705" spans="1:26" ht="12" customHeight="1" outlineLevel="3" x14ac:dyDescent="0.2">
      <c r="A10705" s="14" t="s">
        <v>20341</v>
      </c>
      <c r="B10705" s="26" t="s">
        <v>20342</v>
      </c>
      <c r="C10705" s="52"/>
      <c r="D10705" s="55">
        <f t="shared" si="167"/>
        <v>0</v>
      </c>
      <c r="E10705" s="63" t="str">
        <f>HYPERLINK("https://www.sds-group.ru/product/prozhektor-svetodiodnyy-sdo-30vt-2400lm-6500k-holodnyy-svet-belyy-korpus-rexant-605-025/", "Инфо")</f>
        <v>Инфо</v>
      </c>
      <c r="F10705" s="16" t="s">
        <v>39</v>
      </c>
      <c r="G10705" s="15"/>
      <c r="H10705" s="15"/>
      <c r="I10705" s="15"/>
      <c r="J10705" s="17">
        <v>197</v>
      </c>
      <c r="K10705" s="15" t="s">
        <v>979</v>
      </c>
      <c r="L10705" s="17">
        <v>1</v>
      </c>
      <c r="M10705" s="17">
        <v>24</v>
      </c>
      <c r="N10705" s="17">
        <v>1</v>
      </c>
      <c r="O10705" s="18">
        <v>400.21</v>
      </c>
      <c r="P10705" s="18">
        <v>328.04</v>
      </c>
      <c r="Q10705" s="18">
        <v>320.17</v>
      </c>
      <c r="R10705" s="18">
        <v>262.43</v>
      </c>
      <c r="S10705" s="18">
        <v>272.14</v>
      </c>
      <c r="T10705" s="18">
        <v>223.07</v>
      </c>
      <c r="U10705" s="16"/>
      <c r="V10705" s="16"/>
      <c r="W10705" s="16" t="s">
        <v>40</v>
      </c>
      <c r="X10705" s="19">
        <v>0.30399999999999999</v>
      </c>
      <c r="Y10705" s="20">
        <v>5.0600000000000005E-4</v>
      </c>
      <c r="Z10705" s="21">
        <v>4601004226975</v>
      </c>
    </row>
    <row r="10706" spans="1:26" ht="12" customHeight="1" outlineLevel="3" x14ac:dyDescent="0.2">
      <c r="A10706" s="14" t="s">
        <v>20343</v>
      </c>
      <c r="B10706" s="26" t="s">
        <v>20344</v>
      </c>
      <c r="C10706" s="52"/>
      <c r="D10706" s="55">
        <f t="shared" si="167"/>
        <v>0</v>
      </c>
      <c r="E10706" s="63" t="str">
        <f>HYPERLINK("https://www.sds-group.ru/product/prozhektor-svetodiodnyy-sdo-30vt-2400lm-6500k-holodnyy-svet-chernyy-korpus-rexant-605-003/", "Инфо")</f>
        <v>Инфо</v>
      </c>
      <c r="F10706" s="16" t="s">
        <v>39</v>
      </c>
      <c r="G10706" s="15"/>
      <c r="H10706" s="15"/>
      <c r="I10706" s="15"/>
      <c r="J10706" s="22">
        <v>2189</v>
      </c>
      <c r="K10706" s="15" t="s">
        <v>1094</v>
      </c>
      <c r="L10706" s="17">
        <v>5</v>
      </c>
      <c r="M10706" s="17">
        <v>40</v>
      </c>
      <c r="N10706" s="17">
        <v>5</v>
      </c>
      <c r="O10706" s="18">
        <v>363.83</v>
      </c>
      <c r="P10706" s="18">
        <v>298.22000000000003</v>
      </c>
      <c r="Q10706" s="18">
        <v>291.06</v>
      </c>
      <c r="R10706" s="18">
        <v>238.57</v>
      </c>
      <c r="S10706" s="18">
        <v>247.4</v>
      </c>
      <c r="T10706" s="18">
        <v>202.79</v>
      </c>
      <c r="U10706" s="16"/>
      <c r="V10706" s="16"/>
      <c r="W10706" s="16" t="s">
        <v>40</v>
      </c>
      <c r="X10706" s="19">
        <v>0.186</v>
      </c>
      <c r="Y10706" s="20">
        <v>5.4500000000000002E-4</v>
      </c>
      <c r="Z10706" s="21">
        <v>4601004165236</v>
      </c>
    </row>
    <row r="10707" spans="1:26" ht="12" customHeight="1" outlineLevel="3" x14ac:dyDescent="0.2">
      <c r="A10707" s="14" t="s">
        <v>20345</v>
      </c>
      <c r="B10707" s="26" t="s">
        <v>20346</v>
      </c>
      <c r="C10707" s="52"/>
      <c r="D10707" s="55">
        <f t="shared" si="167"/>
        <v>0</v>
      </c>
      <c r="E10707" s="63" t="str">
        <f>HYPERLINK("https://www.sds-group.ru/product/prozhektor-svetodiodnyy-sdo-50vt-4000lm-3000k-teplyy-svet-belyy-korpus-rexant-605-035/", "Инфо")</f>
        <v>Инфо</v>
      </c>
      <c r="F10707" s="16" t="s">
        <v>39</v>
      </c>
      <c r="G10707" s="15"/>
      <c r="H10707" s="15"/>
      <c r="I10707" s="15"/>
      <c r="J10707" s="17">
        <v>449</v>
      </c>
      <c r="K10707" s="15" t="s">
        <v>1094</v>
      </c>
      <c r="L10707" s="17">
        <v>1</v>
      </c>
      <c r="M10707" s="17">
        <v>20</v>
      </c>
      <c r="N10707" s="17">
        <v>1</v>
      </c>
      <c r="O10707" s="18">
        <v>578.54</v>
      </c>
      <c r="P10707" s="18">
        <v>474.21</v>
      </c>
      <c r="Q10707" s="18">
        <v>462.83</v>
      </c>
      <c r="R10707" s="18">
        <v>379.37</v>
      </c>
      <c r="S10707" s="18">
        <v>393.41</v>
      </c>
      <c r="T10707" s="18">
        <v>322.47000000000003</v>
      </c>
      <c r="U10707" s="16"/>
      <c r="V10707" s="16"/>
      <c r="W10707" s="16" t="s">
        <v>40</v>
      </c>
      <c r="X10707" s="19">
        <v>0.30099999999999999</v>
      </c>
      <c r="Y10707" s="20">
        <v>8.4000000000000003E-4</v>
      </c>
      <c r="Z10707" s="21">
        <v>4601004234628</v>
      </c>
    </row>
    <row r="10708" spans="1:26" ht="12" customHeight="1" outlineLevel="3" x14ac:dyDescent="0.2">
      <c r="A10708" s="14" t="s">
        <v>20347</v>
      </c>
      <c r="B10708" s="26" t="s">
        <v>20348</v>
      </c>
      <c r="C10708" s="52"/>
      <c r="D10708" s="55">
        <f t="shared" si="167"/>
        <v>0</v>
      </c>
      <c r="E10708" s="63" t="str">
        <f>HYPERLINK("https://www.sds-group.ru/product/prozhektor-svetodiodnyy-sdo-50vt-4000lm-4000k-neytralnyy-svet-chernyy-korpus-rexant-605-033/", "Инфо")</f>
        <v>Инфо</v>
      </c>
      <c r="F10708" s="16" t="s">
        <v>39</v>
      </c>
      <c r="G10708" s="15"/>
      <c r="H10708" s="15"/>
      <c r="I10708" s="15"/>
      <c r="J10708" s="22">
        <v>1229</v>
      </c>
      <c r="K10708" s="15" t="s">
        <v>1094</v>
      </c>
      <c r="L10708" s="17">
        <v>1</v>
      </c>
      <c r="M10708" s="17">
        <v>20</v>
      </c>
      <c r="N10708" s="17">
        <v>1</v>
      </c>
      <c r="O10708" s="18">
        <v>531.57000000000005</v>
      </c>
      <c r="P10708" s="18">
        <v>435.71</v>
      </c>
      <c r="Q10708" s="18">
        <v>425.26</v>
      </c>
      <c r="R10708" s="18">
        <v>348.57</v>
      </c>
      <c r="S10708" s="18">
        <v>361.47</v>
      </c>
      <c r="T10708" s="18">
        <v>296.29000000000002</v>
      </c>
      <c r="U10708" s="16"/>
      <c r="V10708" s="16"/>
      <c r="W10708" s="16" t="s">
        <v>40</v>
      </c>
      <c r="X10708" s="19">
        <v>0.28699999999999998</v>
      </c>
      <c r="Y10708" s="20">
        <v>8.3500000000000002E-4</v>
      </c>
      <c r="Z10708" s="21">
        <v>4601004227057</v>
      </c>
    </row>
    <row r="10709" spans="1:26" ht="12" customHeight="1" outlineLevel="3" x14ac:dyDescent="0.2">
      <c r="A10709" s="14" t="s">
        <v>20349</v>
      </c>
      <c r="B10709" s="26" t="s">
        <v>20350</v>
      </c>
      <c r="C10709" s="52"/>
      <c r="D10709" s="55">
        <f t="shared" si="167"/>
        <v>0</v>
      </c>
      <c r="E10709" s="63" t="str">
        <f>HYPERLINK("https://www.sds-group.ru/product/prozhektor-svetodiodnyy-sdo-50vt-4000lm-6500k-holodnyy-svet-belyy-korpus-rexant-605-026/", "Инфо")</f>
        <v>Инфо</v>
      </c>
      <c r="F10709" s="16" t="s">
        <v>39</v>
      </c>
      <c r="G10709" s="15"/>
      <c r="H10709" s="15"/>
      <c r="I10709" s="15"/>
      <c r="J10709" s="17">
        <v>378</v>
      </c>
      <c r="K10709" s="15"/>
      <c r="L10709" s="17">
        <v>1</v>
      </c>
      <c r="M10709" s="17">
        <v>20</v>
      </c>
      <c r="N10709" s="17">
        <v>1</v>
      </c>
      <c r="O10709" s="18">
        <v>548.54999999999995</v>
      </c>
      <c r="P10709" s="18">
        <v>449.63</v>
      </c>
      <c r="Q10709" s="18">
        <v>438.84</v>
      </c>
      <c r="R10709" s="18">
        <v>359.7</v>
      </c>
      <c r="S10709" s="18">
        <v>373.01</v>
      </c>
      <c r="T10709" s="18">
        <v>305.75</v>
      </c>
      <c r="U10709" s="16"/>
      <c r="V10709" s="16"/>
      <c r="W10709" s="16" t="s">
        <v>40</v>
      </c>
      <c r="X10709" s="19">
        <v>0.28999999999999998</v>
      </c>
      <c r="Y10709" s="20">
        <v>7.9000000000000001E-4</v>
      </c>
      <c r="Z10709" s="21">
        <v>4601004226982</v>
      </c>
    </row>
    <row r="10710" spans="1:26" ht="12" customHeight="1" outlineLevel="3" x14ac:dyDescent="0.2">
      <c r="A10710" s="14" t="s">
        <v>20351</v>
      </c>
      <c r="B10710" s="26" t="s">
        <v>20352</v>
      </c>
      <c r="C10710" s="52"/>
      <c r="D10710" s="55">
        <f t="shared" si="167"/>
        <v>0</v>
      </c>
      <c r="E10710" s="63" t="str">
        <f>HYPERLINK("https://www.sds-group.ru/product/prozhektor-svetodiodnyy-sdo-50vt-4000lm-6500k-holodnyy-svet-chernyy-korpus-rexant-605-004/", "Инфо")</f>
        <v>Инфо</v>
      </c>
      <c r="F10710" s="16" t="s">
        <v>39</v>
      </c>
      <c r="G10710" s="15"/>
      <c r="H10710" s="15"/>
      <c r="I10710" s="15"/>
      <c r="J10710" s="22">
        <v>5141</v>
      </c>
      <c r="K10710" s="15" t="s">
        <v>1094</v>
      </c>
      <c r="L10710" s="17">
        <v>1</v>
      </c>
      <c r="M10710" s="17">
        <v>20</v>
      </c>
      <c r="N10710" s="17">
        <v>1</v>
      </c>
      <c r="O10710" s="18">
        <v>531.57000000000005</v>
      </c>
      <c r="P10710" s="18">
        <v>435.71</v>
      </c>
      <c r="Q10710" s="18">
        <v>425.26</v>
      </c>
      <c r="R10710" s="18">
        <v>348.57</v>
      </c>
      <c r="S10710" s="18">
        <v>361.47</v>
      </c>
      <c r="T10710" s="18">
        <v>296.29000000000002</v>
      </c>
      <c r="U10710" s="16"/>
      <c r="V10710" s="16"/>
      <c r="W10710" s="16" t="s">
        <v>40</v>
      </c>
      <c r="X10710" s="19">
        <v>0.28799999999999998</v>
      </c>
      <c r="Y10710" s="20">
        <v>8.2700000000000004E-4</v>
      </c>
      <c r="Z10710" s="21">
        <v>4601004165243</v>
      </c>
    </row>
    <row r="10711" spans="1:26" ht="12" customHeight="1" outlineLevel="3" x14ac:dyDescent="0.2">
      <c r="A10711" s="14" t="s">
        <v>20353</v>
      </c>
      <c r="B10711" s="26" t="s">
        <v>20354</v>
      </c>
      <c r="C10711" s="52"/>
      <c r="D10711" s="55">
        <f t="shared" si="167"/>
        <v>0</v>
      </c>
      <c r="E10711" s="63" t="str">
        <f>HYPERLINK("https://www.sds-group.ru/product/prozhektor-svetodiodnyy-sdo-70vt-5600lm-6500k-holodnyy-svet-chernyy-korpus-rexant-605-037/", "Инфо")</f>
        <v>Инфо</v>
      </c>
      <c r="F10711" s="16" t="s">
        <v>39</v>
      </c>
      <c r="G10711" s="15"/>
      <c r="H10711" s="15"/>
      <c r="I10711" s="15"/>
      <c r="J10711" s="22">
        <v>1398</v>
      </c>
      <c r="K10711" s="15" t="s">
        <v>1094</v>
      </c>
      <c r="L10711" s="17">
        <v>1</v>
      </c>
      <c r="M10711" s="17">
        <v>20</v>
      </c>
      <c r="N10711" s="17">
        <v>1</v>
      </c>
      <c r="O10711" s="18">
        <v>696.94</v>
      </c>
      <c r="P10711" s="18">
        <v>571.26</v>
      </c>
      <c r="Q10711" s="18">
        <v>557.54999999999995</v>
      </c>
      <c r="R10711" s="18">
        <v>457.01</v>
      </c>
      <c r="S10711" s="18">
        <v>473.92</v>
      </c>
      <c r="T10711" s="18">
        <v>388.46</v>
      </c>
      <c r="U10711" s="16"/>
      <c r="V10711" s="16"/>
      <c r="W10711" s="16" t="s">
        <v>40</v>
      </c>
      <c r="X10711" s="19">
        <v>0.36899999999999999</v>
      </c>
      <c r="Y10711" s="20">
        <v>1.0020000000000001E-3</v>
      </c>
      <c r="Z10711" s="21">
        <v>4601004266032</v>
      </c>
    </row>
    <row r="10712" spans="1:26" ht="12.95" customHeight="1" outlineLevel="2" x14ac:dyDescent="0.2">
      <c r="A10712" s="76" t="s">
        <v>20355</v>
      </c>
      <c r="B10712" s="76"/>
      <c r="C10712" s="77"/>
      <c r="D10712" s="58"/>
      <c r="E10712" s="68"/>
      <c r="F10712" s="13"/>
      <c r="G10712" s="13"/>
      <c r="H10712" s="13"/>
      <c r="I10712" s="13"/>
      <c r="J10712" s="13"/>
      <c r="K10712" s="13"/>
      <c r="L10712" s="13"/>
      <c r="M10712" s="13"/>
      <c r="N10712" s="13"/>
      <c r="O10712" s="13"/>
      <c r="P10712" s="13"/>
      <c r="Q10712" s="13"/>
      <c r="R10712" s="13"/>
      <c r="S10712" s="13"/>
      <c r="T10712" s="13"/>
      <c r="U10712" s="13"/>
      <c r="V10712" s="13"/>
      <c r="W10712" s="13"/>
      <c r="X10712" s="13"/>
      <c r="Y10712" s="13"/>
      <c r="Z10712" s="13"/>
    </row>
    <row r="10713" spans="1:26" ht="12" customHeight="1" outlineLevel="3" x14ac:dyDescent="0.2">
      <c r="A10713" s="14" t="s">
        <v>20356</v>
      </c>
      <c r="B10713" s="26" t="s">
        <v>20357</v>
      </c>
      <c r="C10713" s="52"/>
      <c r="D10713" s="55">
        <f t="shared" si="167"/>
        <v>0</v>
      </c>
      <c r="E10713" s="63" t="str">
        <f>HYPERLINK("https://www.sds-group.ru/product/prozhektor-svetodiodnyy-sdo-20vt-1600lm-6500k-holodnyy-svet-s-mikrovolnovym-nastraivaemym-da-605-008/", "Инфо")</f>
        <v>Инфо</v>
      </c>
      <c r="F10713" s="16" t="s">
        <v>39</v>
      </c>
      <c r="G10713" s="15"/>
      <c r="H10713" s="15"/>
      <c r="I10713" s="15"/>
      <c r="J10713" s="22">
        <v>2404</v>
      </c>
      <c r="K10713" s="15"/>
      <c r="L10713" s="17">
        <v>1</v>
      </c>
      <c r="M10713" s="17">
        <v>24</v>
      </c>
      <c r="N10713" s="17">
        <v>1</v>
      </c>
      <c r="O10713" s="18">
        <v>995.29</v>
      </c>
      <c r="P10713" s="18">
        <v>815.81</v>
      </c>
      <c r="Q10713" s="18">
        <v>786.28</v>
      </c>
      <c r="R10713" s="18">
        <v>644.49</v>
      </c>
      <c r="S10713" s="18">
        <v>676.8</v>
      </c>
      <c r="T10713" s="18">
        <v>554.75</v>
      </c>
      <c r="U10713" s="16"/>
      <c r="V10713" s="16"/>
      <c r="W10713" s="16" t="s">
        <v>40</v>
      </c>
      <c r="X10713" s="19">
        <v>0.246</v>
      </c>
      <c r="Y10713" s="20">
        <v>9.9700000000000006E-4</v>
      </c>
      <c r="Z10713" s="21">
        <v>4601004165281</v>
      </c>
    </row>
    <row r="10714" spans="1:26" ht="12" customHeight="1" outlineLevel="3" x14ac:dyDescent="0.2">
      <c r="A10714" s="14" t="s">
        <v>20358</v>
      </c>
      <c r="B10714" s="26" t="s">
        <v>20359</v>
      </c>
      <c r="C10714" s="52"/>
      <c r="D10714" s="55">
        <f t="shared" si="167"/>
        <v>0</v>
      </c>
      <c r="E10714" s="63" t="str">
        <f>HYPERLINK("https://www.sds-group.ru/product/prozhektor-svetodiodnyy-sdo-50vt-4000lm-6500k-holodnyy-svet-s-mikrovolnovym-nastraivaemym-da-605-009/", "Инфо")</f>
        <v>Инфо</v>
      </c>
      <c r="F10714" s="16" t="s">
        <v>39</v>
      </c>
      <c r="G10714" s="15"/>
      <c r="H10714" s="15"/>
      <c r="I10714" s="15"/>
      <c r="J10714" s="17">
        <v>991</v>
      </c>
      <c r="K10714" s="15"/>
      <c r="L10714" s="17">
        <v>1</v>
      </c>
      <c r="M10714" s="17">
        <v>20</v>
      </c>
      <c r="N10714" s="17">
        <v>1</v>
      </c>
      <c r="O10714" s="18">
        <v>1603.11</v>
      </c>
      <c r="P10714" s="18">
        <v>1314.02</v>
      </c>
      <c r="Q10714" s="18">
        <v>1266.46</v>
      </c>
      <c r="R10714" s="18">
        <v>1038.08</v>
      </c>
      <c r="S10714" s="18">
        <v>1090.1099999999999</v>
      </c>
      <c r="T10714" s="18">
        <v>893.53</v>
      </c>
      <c r="U10714" s="16"/>
      <c r="V10714" s="16"/>
      <c r="W10714" s="16" t="s">
        <v>40</v>
      </c>
      <c r="X10714" s="19">
        <v>0.34</v>
      </c>
      <c r="Y10714" s="20">
        <v>1.67E-3</v>
      </c>
      <c r="Z10714" s="21">
        <v>4601004165298</v>
      </c>
    </row>
    <row r="10715" spans="1:26" ht="12.95" customHeight="1" outlineLevel="2" x14ac:dyDescent="0.2">
      <c r="A10715" s="76" t="s">
        <v>20360</v>
      </c>
      <c r="B10715" s="76"/>
      <c r="C10715" s="77"/>
      <c r="D10715" s="58"/>
      <c r="E10715" s="68"/>
      <c r="F10715" s="13"/>
      <c r="G10715" s="13"/>
      <c r="H10715" s="13"/>
      <c r="I10715" s="13"/>
      <c r="J10715" s="13"/>
      <c r="K10715" s="13"/>
      <c r="L10715" s="13"/>
      <c r="M10715" s="13"/>
      <c r="N10715" s="13"/>
      <c r="O10715" s="13"/>
      <c r="P10715" s="13"/>
      <c r="Q10715" s="13"/>
      <c r="R10715" s="13"/>
      <c r="S10715" s="13"/>
      <c r="T10715" s="13"/>
      <c r="U10715" s="13"/>
      <c r="V10715" s="13"/>
      <c r="W10715" s="13"/>
      <c r="X10715" s="13"/>
      <c r="Y10715" s="13"/>
      <c r="Z10715" s="13"/>
    </row>
    <row r="10716" spans="1:26" ht="12" customHeight="1" outlineLevel="3" x14ac:dyDescent="0.2">
      <c r="A10716" s="14" t="s">
        <v>20361</v>
      </c>
      <c r="B10716" s="26" t="s">
        <v>20362</v>
      </c>
      <c r="C10716" s="52"/>
      <c r="D10716" s="55">
        <f t="shared" si="167"/>
        <v>0</v>
      </c>
      <c r="E10716" s="63" t="str">
        <f>HYPERLINK("https://www.sds-group.ru/product/prozhektor-tsvetnogo-svecheniya-zelenyy-100vt-rexant-605-018/", "Инфо")</f>
        <v>Инфо</v>
      </c>
      <c r="F10716" s="16" t="s">
        <v>39</v>
      </c>
      <c r="G10716" s="15"/>
      <c r="H10716" s="15"/>
      <c r="I10716" s="15"/>
      <c r="J10716" s="17">
        <v>442</v>
      </c>
      <c r="K10716" s="15" t="s">
        <v>1094</v>
      </c>
      <c r="L10716" s="17">
        <v>1</v>
      </c>
      <c r="M10716" s="17">
        <v>20</v>
      </c>
      <c r="N10716" s="17">
        <v>1</v>
      </c>
      <c r="O10716" s="18">
        <v>1091.21</v>
      </c>
      <c r="P10716" s="18">
        <v>894.43</v>
      </c>
      <c r="Q10716" s="18">
        <v>840.23</v>
      </c>
      <c r="R10716" s="18">
        <v>688.71</v>
      </c>
      <c r="S10716" s="18">
        <v>742.02</v>
      </c>
      <c r="T10716" s="18">
        <v>608.21</v>
      </c>
      <c r="U10716" s="16"/>
      <c r="V10716" s="16"/>
      <c r="W10716" s="16" t="s">
        <v>40</v>
      </c>
      <c r="X10716" s="19">
        <v>0.82699999999999996</v>
      </c>
      <c r="Y10716" s="20">
        <v>1.897E-3</v>
      </c>
      <c r="Z10716" s="21">
        <v>4601004185555</v>
      </c>
    </row>
    <row r="10717" spans="1:26" ht="12" customHeight="1" outlineLevel="3" x14ac:dyDescent="0.2">
      <c r="A10717" s="14" t="s">
        <v>20363</v>
      </c>
      <c r="B10717" s="26" t="s">
        <v>20364</v>
      </c>
      <c r="C10717" s="52"/>
      <c r="D10717" s="55">
        <f t="shared" si="167"/>
        <v>0</v>
      </c>
      <c r="E10717" s="63" t="str">
        <f>HYPERLINK("https://www.sds-group.ru/product/prozhektor-tsvetnogo-svecheniya-zelenyy-10vt-rexant-605-014/", "Инфо")</f>
        <v>Инфо</v>
      </c>
      <c r="F10717" s="16" t="s">
        <v>39</v>
      </c>
      <c r="G10717" s="15"/>
      <c r="H10717" s="15"/>
      <c r="I10717" s="15"/>
      <c r="J10717" s="17">
        <v>6</v>
      </c>
      <c r="K10717" s="15" t="s">
        <v>1094</v>
      </c>
      <c r="L10717" s="17">
        <v>5</v>
      </c>
      <c r="M10717" s="17">
        <v>40</v>
      </c>
      <c r="N10717" s="17">
        <v>5</v>
      </c>
      <c r="O10717" s="18">
        <v>434.57</v>
      </c>
      <c r="P10717" s="18">
        <v>356.2</v>
      </c>
      <c r="Q10717" s="18">
        <v>347.66</v>
      </c>
      <c r="R10717" s="18">
        <v>284.97000000000003</v>
      </c>
      <c r="S10717" s="18">
        <v>295.51</v>
      </c>
      <c r="T10717" s="18">
        <v>242.22</v>
      </c>
      <c r="U10717" s="16"/>
      <c r="V10717" s="16"/>
      <c r="W10717" s="16" t="s">
        <v>40</v>
      </c>
      <c r="X10717" s="19">
        <v>0.113</v>
      </c>
      <c r="Y10717" s="20">
        <v>2.7E-4</v>
      </c>
      <c r="Z10717" s="21">
        <v>4601004185517</v>
      </c>
    </row>
    <row r="10718" spans="1:26" ht="12" customHeight="1" outlineLevel="3" x14ac:dyDescent="0.2">
      <c r="A10718" s="14" t="s">
        <v>20365</v>
      </c>
      <c r="B10718" s="26" t="s">
        <v>20366</v>
      </c>
      <c r="C10718" s="52"/>
      <c r="D10718" s="55">
        <f t="shared" si="167"/>
        <v>0</v>
      </c>
      <c r="E10718" s="63" t="str">
        <f>HYPERLINK("https://www.sds-group.ru/product/prozhektor-tsvetnogo-svecheniya-zelenyy-20vt-rexant-605-015/", "Инфо")</f>
        <v>Инфо</v>
      </c>
      <c r="F10718" s="16" t="s">
        <v>39</v>
      </c>
      <c r="G10718" s="15"/>
      <c r="H10718" s="15"/>
      <c r="I10718" s="15"/>
      <c r="J10718" s="17">
        <v>921</v>
      </c>
      <c r="K10718" s="15"/>
      <c r="L10718" s="17">
        <v>5</v>
      </c>
      <c r="M10718" s="17">
        <v>60</v>
      </c>
      <c r="N10718" s="17">
        <v>5</v>
      </c>
      <c r="O10718" s="18">
        <v>599.5</v>
      </c>
      <c r="P10718" s="18">
        <v>491.39</v>
      </c>
      <c r="Q10718" s="18">
        <v>479.6</v>
      </c>
      <c r="R10718" s="18">
        <v>393.11</v>
      </c>
      <c r="S10718" s="18">
        <v>407.66</v>
      </c>
      <c r="T10718" s="18">
        <v>334.15</v>
      </c>
      <c r="U10718" s="16"/>
      <c r="V10718" s="16"/>
      <c r="W10718" s="16" t="s">
        <v>40</v>
      </c>
      <c r="X10718" s="19">
        <v>0.17199999999999999</v>
      </c>
      <c r="Y10718" s="20">
        <v>4.4099999999999999E-4</v>
      </c>
      <c r="Z10718" s="21">
        <v>4601004185524</v>
      </c>
    </row>
    <row r="10719" spans="1:26" ht="12" customHeight="1" outlineLevel="3" x14ac:dyDescent="0.2">
      <c r="A10719" s="14" t="s">
        <v>20367</v>
      </c>
      <c r="B10719" s="26" t="s">
        <v>20368</v>
      </c>
      <c r="C10719" s="52"/>
      <c r="D10719" s="55">
        <f t="shared" si="167"/>
        <v>0</v>
      </c>
      <c r="E10719" s="63" t="str">
        <f>HYPERLINK("https://www.sds-group.ru/product/prozhektor-tsvetnogo-svecheniya-zelenyy-30vt-rexant-605-016/", "Инфо")</f>
        <v>Инфо</v>
      </c>
      <c r="F10719" s="16" t="s">
        <v>39</v>
      </c>
      <c r="G10719" s="15"/>
      <c r="H10719" s="15"/>
      <c r="I10719" s="15"/>
      <c r="J10719" s="22">
        <v>1687</v>
      </c>
      <c r="K10719" s="15"/>
      <c r="L10719" s="17">
        <v>1</v>
      </c>
      <c r="M10719" s="17">
        <v>40</v>
      </c>
      <c r="N10719" s="17">
        <v>1</v>
      </c>
      <c r="O10719" s="18">
        <v>678.29</v>
      </c>
      <c r="P10719" s="18">
        <v>555.98</v>
      </c>
      <c r="Q10719" s="18">
        <v>542.63</v>
      </c>
      <c r="R10719" s="18">
        <v>444.78</v>
      </c>
      <c r="S10719" s="18">
        <v>461.24</v>
      </c>
      <c r="T10719" s="18">
        <v>378.07</v>
      </c>
      <c r="U10719" s="16"/>
      <c r="V10719" s="16"/>
      <c r="W10719" s="16" t="s">
        <v>40</v>
      </c>
      <c r="X10719" s="19">
        <v>0.25700000000000001</v>
      </c>
      <c r="Y10719" s="20">
        <v>6.5300000000000004E-4</v>
      </c>
      <c r="Z10719" s="21">
        <v>4601004185531</v>
      </c>
    </row>
    <row r="10720" spans="1:26" ht="12" customHeight="1" outlineLevel="3" x14ac:dyDescent="0.2">
      <c r="A10720" s="14" t="s">
        <v>20369</v>
      </c>
      <c r="B10720" s="26" t="s">
        <v>20370</v>
      </c>
      <c r="C10720" s="52"/>
      <c r="D10720" s="55">
        <f t="shared" si="167"/>
        <v>0</v>
      </c>
      <c r="E10720" s="63" t="str">
        <f>HYPERLINK("https://www.sds-group.ru/product/prozhektor-tsvetnogo-svecheniya-zelenyy-50vt-rexant-605-017/", "Инфо")</f>
        <v>Инфо</v>
      </c>
      <c r="F10720" s="16" t="s">
        <v>39</v>
      </c>
      <c r="G10720" s="15"/>
      <c r="H10720" s="15"/>
      <c r="I10720" s="15"/>
      <c r="J10720" s="22">
        <v>2245</v>
      </c>
      <c r="K10720" s="15"/>
      <c r="L10720" s="17">
        <v>1</v>
      </c>
      <c r="M10720" s="17">
        <v>40</v>
      </c>
      <c r="N10720" s="17">
        <v>1</v>
      </c>
      <c r="O10720" s="18">
        <v>969.77</v>
      </c>
      <c r="P10720" s="18">
        <v>794.89</v>
      </c>
      <c r="Q10720" s="18">
        <v>775.82</v>
      </c>
      <c r="R10720" s="18">
        <v>635.91999999999996</v>
      </c>
      <c r="S10720" s="18">
        <v>659.44</v>
      </c>
      <c r="T10720" s="18">
        <v>540.52</v>
      </c>
      <c r="U10720" s="16"/>
      <c r="V10720" s="16"/>
      <c r="W10720" s="16" t="s">
        <v>40</v>
      </c>
      <c r="X10720" s="19">
        <v>0.375</v>
      </c>
      <c r="Y10720" s="20">
        <v>9.9200000000000004E-4</v>
      </c>
      <c r="Z10720" s="21">
        <v>4601004185548</v>
      </c>
    </row>
    <row r="10721" spans="1:26" ht="12" customHeight="1" outlineLevel="3" x14ac:dyDescent="0.2">
      <c r="A10721" s="14" t="s">
        <v>20371</v>
      </c>
      <c r="B10721" s="26" t="s">
        <v>20372</v>
      </c>
      <c r="C10721" s="52"/>
      <c r="D10721" s="55">
        <f t="shared" si="167"/>
        <v>0</v>
      </c>
      <c r="E10721" s="63" t="str">
        <f>HYPERLINK("https://www.sds-group.ru/product/prozhektor-tsvetnogo-svecheniya-multikolor-rgb-10vt-s-pultom-du-rexant-605-010/", "Инфо")</f>
        <v>Инфо</v>
      </c>
      <c r="F10721" s="16" t="s">
        <v>39</v>
      </c>
      <c r="G10721" s="15"/>
      <c r="H10721" s="15"/>
      <c r="I10721" s="15"/>
      <c r="J10721" s="16" t="s">
        <v>100</v>
      </c>
      <c r="K10721" s="15" t="s">
        <v>1094</v>
      </c>
      <c r="L10721" s="17">
        <v>1</v>
      </c>
      <c r="M10721" s="17">
        <v>24</v>
      </c>
      <c r="N10721" s="17">
        <v>1</v>
      </c>
      <c r="O10721" s="18">
        <v>1047.03</v>
      </c>
      <c r="P10721" s="18">
        <v>858.22</v>
      </c>
      <c r="Q10721" s="18">
        <v>827.15</v>
      </c>
      <c r="R10721" s="18">
        <v>677.99</v>
      </c>
      <c r="S10721" s="18">
        <v>711.98</v>
      </c>
      <c r="T10721" s="18">
        <v>583.59</v>
      </c>
      <c r="U10721" s="16"/>
      <c r="V10721" s="16"/>
      <c r="W10721" s="16" t="s">
        <v>40</v>
      </c>
      <c r="X10721" s="19">
        <v>0.17699999999999999</v>
      </c>
      <c r="Y10721" s="20">
        <v>5.1599999999999997E-4</v>
      </c>
      <c r="Z10721" s="21">
        <v>4601004185470</v>
      </c>
    </row>
    <row r="10722" spans="1:26" ht="12" customHeight="1" outlineLevel="3" x14ac:dyDescent="0.2">
      <c r="A10722" s="14" t="s">
        <v>20373</v>
      </c>
      <c r="B10722" s="26" t="s">
        <v>20374</v>
      </c>
      <c r="C10722" s="52"/>
      <c r="D10722" s="55">
        <f t="shared" si="167"/>
        <v>0</v>
      </c>
      <c r="E10722" s="63" t="str">
        <f>HYPERLINK("https://www.sds-group.ru/product/prozhektor-tsvetnogo-svecheniya-multikolor-rgb-20vt-s-pultom-du-rexant-605-011/", "Инфо")</f>
        <v>Инфо</v>
      </c>
      <c r="F10722" s="16" t="s">
        <v>39</v>
      </c>
      <c r="G10722" s="15"/>
      <c r="H10722" s="15"/>
      <c r="I10722" s="15"/>
      <c r="J10722" s="16" t="s">
        <v>100</v>
      </c>
      <c r="K10722" s="15" t="s">
        <v>6434</v>
      </c>
      <c r="L10722" s="17">
        <v>1</v>
      </c>
      <c r="M10722" s="17">
        <v>24</v>
      </c>
      <c r="N10722" s="17">
        <v>1</v>
      </c>
      <c r="O10722" s="18">
        <v>1115.76</v>
      </c>
      <c r="P10722" s="18">
        <v>914.56</v>
      </c>
      <c r="Q10722" s="18">
        <v>881.45</v>
      </c>
      <c r="R10722" s="18">
        <v>722.5</v>
      </c>
      <c r="S10722" s="18">
        <v>758.72</v>
      </c>
      <c r="T10722" s="18">
        <v>621.9</v>
      </c>
      <c r="U10722" s="16"/>
      <c r="V10722" s="16"/>
      <c r="W10722" s="16" t="s">
        <v>40</v>
      </c>
      <c r="X10722" s="19">
        <v>0.251</v>
      </c>
      <c r="Y10722" s="20">
        <v>6.8400000000000004E-4</v>
      </c>
      <c r="Z10722" s="21">
        <v>4601004185487</v>
      </c>
    </row>
    <row r="10723" spans="1:26" ht="12" customHeight="1" outlineLevel="3" x14ac:dyDescent="0.2">
      <c r="A10723" s="14" t="s">
        <v>20375</v>
      </c>
      <c r="B10723" s="26" t="s">
        <v>20376</v>
      </c>
      <c r="C10723" s="52"/>
      <c r="D10723" s="55">
        <f t="shared" si="167"/>
        <v>0</v>
      </c>
      <c r="E10723" s="63" t="str">
        <f>HYPERLINK("https://www.sds-group.ru/product/prozhektor-tsvetnogo-svecheniya-multikolor-rgb-30vt-s-pultom-du-rexant-605-012/", "Инфо")</f>
        <v>Инфо</v>
      </c>
      <c r="F10723" s="16" t="s">
        <v>39</v>
      </c>
      <c r="G10723" s="15"/>
      <c r="H10723" s="15"/>
      <c r="I10723" s="15"/>
      <c r="J10723" s="16" t="s">
        <v>100</v>
      </c>
      <c r="K10723" s="15" t="s">
        <v>1094</v>
      </c>
      <c r="L10723" s="17">
        <v>1</v>
      </c>
      <c r="M10723" s="17">
        <v>20</v>
      </c>
      <c r="N10723" s="17">
        <v>1</v>
      </c>
      <c r="O10723" s="18">
        <v>1894.62</v>
      </c>
      <c r="P10723" s="18">
        <v>1552.97</v>
      </c>
      <c r="Q10723" s="18">
        <v>1458.86</v>
      </c>
      <c r="R10723" s="18">
        <v>1195.79</v>
      </c>
      <c r="S10723" s="18">
        <v>1288.3399999999999</v>
      </c>
      <c r="T10723" s="18">
        <v>1056.02</v>
      </c>
      <c r="U10723" s="16"/>
      <c r="V10723" s="16"/>
      <c r="W10723" s="16" t="s">
        <v>40</v>
      </c>
      <c r="X10723" s="19">
        <v>0.32200000000000001</v>
      </c>
      <c r="Y10723" s="20">
        <v>9.4799999999999995E-4</v>
      </c>
      <c r="Z10723" s="21">
        <v>4601004185494</v>
      </c>
    </row>
    <row r="10724" spans="1:26" ht="12" customHeight="1" outlineLevel="3" x14ac:dyDescent="0.2">
      <c r="A10724" s="14" t="s">
        <v>20377</v>
      </c>
      <c r="B10724" s="26" t="s">
        <v>20378</v>
      </c>
      <c r="C10724" s="52"/>
      <c r="D10724" s="55">
        <f t="shared" si="167"/>
        <v>0</v>
      </c>
      <c r="E10724" s="63" t="str">
        <f>HYPERLINK("https://www.sds-group.ru/product/prozhektor-tsvetnogo-svecheniya-multikolor-rgb-50vt-s-pultom-du-rexant-605-013/", "Инфо")</f>
        <v>Инфо</v>
      </c>
      <c r="F10724" s="16" t="s">
        <v>39</v>
      </c>
      <c r="G10724" s="15"/>
      <c r="H10724" s="15"/>
      <c r="I10724" s="15"/>
      <c r="J10724" s="16" t="s">
        <v>100</v>
      </c>
      <c r="K10724" s="15" t="s">
        <v>6939</v>
      </c>
      <c r="L10724" s="17">
        <v>1</v>
      </c>
      <c r="M10724" s="17">
        <v>12</v>
      </c>
      <c r="N10724" s="17">
        <v>1</v>
      </c>
      <c r="O10724" s="18">
        <v>2075.9699999999998</v>
      </c>
      <c r="P10724" s="18">
        <v>1701.61</v>
      </c>
      <c r="Q10724" s="18">
        <v>1515.46</v>
      </c>
      <c r="R10724" s="18">
        <v>1242.18</v>
      </c>
      <c r="S10724" s="18">
        <v>1411.66</v>
      </c>
      <c r="T10724" s="18">
        <v>1157.0999999999999</v>
      </c>
      <c r="U10724" s="16"/>
      <c r="V10724" s="16"/>
      <c r="W10724" s="16" t="s">
        <v>40</v>
      </c>
      <c r="X10724" s="19">
        <v>0.45300000000000001</v>
      </c>
      <c r="Y10724" s="20">
        <v>1.274E-3</v>
      </c>
      <c r="Z10724" s="21">
        <v>4601004185500</v>
      </c>
    </row>
    <row r="10725" spans="1:26" ht="12.95" customHeight="1" outlineLevel="2" x14ac:dyDescent="0.2">
      <c r="A10725" s="76" t="s">
        <v>20379</v>
      </c>
      <c r="B10725" s="76"/>
      <c r="C10725" s="77"/>
      <c r="D10725" s="58"/>
      <c r="E10725" s="68"/>
      <c r="F10725" s="13"/>
      <c r="G10725" s="13"/>
      <c r="H10725" s="13"/>
      <c r="I10725" s="13"/>
      <c r="J10725" s="13"/>
      <c r="K10725" s="13"/>
      <c r="L10725" s="13"/>
      <c r="M10725" s="13"/>
      <c r="N10725" s="13"/>
      <c r="O10725" s="13"/>
      <c r="P10725" s="13"/>
      <c r="Q10725" s="13"/>
      <c r="R10725" s="13"/>
      <c r="S10725" s="13"/>
      <c r="T10725" s="13"/>
      <c r="U10725" s="13"/>
      <c r="V10725" s="13"/>
      <c r="W10725" s="13"/>
      <c r="X10725" s="13"/>
      <c r="Y10725" s="13"/>
      <c r="Z10725" s="13"/>
    </row>
    <row r="10726" spans="1:26" ht="12" customHeight="1" outlineLevel="3" x14ac:dyDescent="0.2">
      <c r="A10726" s="14" t="s">
        <v>20380</v>
      </c>
      <c r="B10726" s="26" t="s">
        <v>20381</v>
      </c>
      <c r="C10726" s="52"/>
      <c r="D10726" s="55">
        <f t="shared" si="167"/>
        <v>0</v>
      </c>
      <c r="E10726" s="63" t="str">
        <f>HYPERLINK("https://www.sds-group.ru/product/osnovanie-dlya-krepleniya-prozhektora-na-grunte-165h35mm-rexant-605-100/", "Инфо")</f>
        <v>Инфо</v>
      </c>
      <c r="F10726" s="16" t="s">
        <v>39</v>
      </c>
      <c r="G10726" s="15"/>
      <c r="H10726" s="15"/>
      <c r="I10726" s="15"/>
      <c r="J10726" s="22">
        <v>3034</v>
      </c>
      <c r="K10726" s="15"/>
      <c r="L10726" s="17">
        <v>5</v>
      </c>
      <c r="M10726" s="17">
        <v>450</v>
      </c>
      <c r="N10726" s="17">
        <v>5</v>
      </c>
      <c r="O10726" s="18">
        <v>239.6</v>
      </c>
      <c r="P10726" s="18">
        <v>196.39</v>
      </c>
      <c r="Q10726" s="18">
        <v>203.66</v>
      </c>
      <c r="R10726" s="18">
        <v>166.93</v>
      </c>
      <c r="S10726" s="18">
        <v>162.93</v>
      </c>
      <c r="T10726" s="18">
        <v>133.55000000000001</v>
      </c>
      <c r="U10726" s="16"/>
      <c r="V10726" s="16"/>
      <c r="W10726" s="16" t="s">
        <v>40</v>
      </c>
      <c r="X10726" s="19">
        <v>0.02</v>
      </c>
      <c r="Y10726" s="20">
        <v>1.2400000000000001E-4</v>
      </c>
      <c r="Z10726" s="21">
        <v>4601004188310</v>
      </c>
    </row>
    <row r="10727" spans="1:26" ht="12.95" customHeight="1" outlineLevel="2" x14ac:dyDescent="0.2">
      <c r="A10727" s="76" t="s">
        <v>20382</v>
      </c>
      <c r="B10727" s="76"/>
      <c r="C10727" s="77"/>
      <c r="D10727" s="58"/>
      <c r="E10727" s="68"/>
      <c r="F10727" s="13"/>
      <c r="G10727" s="13"/>
      <c r="H10727" s="13"/>
      <c r="I10727" s="13"/>
      <c r="J10727" s="13"/>
      <c r="K10727" s="13"/>
      <c r="L10727" s="13"/>
      <c r="M10727" s="13"/>
      <c r="N10727" s="13"/>
      <c r="O10727" s="13"/>
      <c r="P10727" s="13"/>
      <c r="Q10727" s="13"/>
      <c r="R10727" s="13"/>
      <c r="S10727" s="13"/>
      <c r="T10727" s="13"/>
      <c r="U10727" s="13"/>
      <c r="V10727" s="13"/>
      <c r="W10727" s="13"/>
      <c r="X10727" s="13"/>
      <c r="Y10727" s="13"/>
      <c r="Z10727" s="13"/>
    </row>
    <row r="10728" spans="1:26" ht="12" customHeight="1" outlineLevel="3" x14ac:dyDescent="0.2">
      <c r="A10728" s="14" t="s">
        <v>20383</v>
      </c>
      <c r="B10728" s="26" t="s">
        <v>20384</v>
      </c>
      <c r="C10728" s="52"/>
      <c r="D10728" s="55">
        <f t="shared" si="167"/>
        <v>0</v>
      </c>
      <c r="E10728" s="63" t="str">
        <f>HYPERLINK("https://www.sds-group.ru/product/prozhektor-perenoska-sdo-expert-100vt-8000lm-6500k-so-shnurom-2m-i-evrovilkoy-rexant-605-038/", "Инфо")</f>
        <v>Инфо</v>
      </c>
      <c r="F10728" s="16" t="s">
        <v>39</v>
      </c>
      <c r="G10728" s="15"/>
      <c r="H10728" s="15"/>
      <c r="I10728" s="15"/>
      <c r="J10728" s="17">
        <v>161</v>
      </c>
      <c r="K10728" s="15" t="s">
        <v>979</v>
      </c>
      <c r="L10728" s="17">
        <v>1</v>
      </c>
      <c r="M10728" s="17">
        <v>3</v>
      </c>
      <c r="N10728" s="17">
        <v>1</v>
      </c>
      <c r="O10728" s="18">
        <v>3561.78</v>
      </c>
      <c r="P10728" s="18">
        <v>2919.49</v>
      </c>
      <c r="Q10728" s="18">
        <v>2600.1</v>
      </c>
      <c r="R10728" s="18">
        <v>2131.23</v>
      </c>
      <c r="S10728" s="18">
        <v>2422.0100000000002</v>
      </c>
      <c r="T10728" s="18">
        <v>1985.25</v>
      </c>
      <c r="U10728" s="16"/>
      <c r="V10728" s="16"/>
      <c r="W10728" s="16" t="s">
        <v>40</v>
      </c>
      <c r="X10728" s="19">
        <v>1.6060000000000001</v>
      </c>
      <c r="Y10728" s="20">
        <v>6.0660000000000002E-3</v>
      </c>
      <c r="Z10728" s="21">
        <v>4601004266049</v>
      </c>
    </row>
    <row r="10729" spans="1:26" ht="12" customHeight="1" outlineLevel="3" x14ac:dyDescent="0.2">
      <c r="A10729" s="14" t="s">
        <v>20385</v>
      </c>
      <c r="B10729" s="26" t="s">
        <v>20386</v>
      </c>
      <c r="C10729" s="52"/>
      <c r="D10729" s="55">
        <f t="shared" si="167"/>
        <v>0</v>
      </c>
      <c r="E10729" s="63" t="str">
        <f>HYPERLINK("https://www.sds-group.ru/product/prozhektor-perenoska-sdo-expert-50vt-4000lm-6500k-so-shnurom-2m-i-evrovilkoy-rexant-605-022/", "Инфо")</f>
        <v>Инфо</v>
      </c>
      <c r="F10729" s="16" t="s">
        <v>39</v>
      </c>
      <c r="G10729" s="15"/>
      <c r="H10729" s="15"/>
      <c r="I10729" s="15"/>
      <c r="J10729" s="17">
        <v>108</v>
      </c>
      <c r="K10729" s="15"/>
      <c r="L10729" s="17">
        <v>1</v>
      </c>
      <c r="M10729" s="17">
        <v>4</v>
      </c>
      <c r="N10729" s="17">
        <v>1</v>
      </c>
      <c r="O10729" s="18">
        <v>2241.4899999999998</v>
      </c>
      <c r="P10729" s="18">
        <v>1837.29</v>
      </c>
      <c r="Q10729" s="18">
        <v>1725.95</v>
      </c>
      <c r="R10729" s="18">
        <v>1414.71</v>
      </c>
      <c r="S10729" s="18">
        <v>1524.21</v>
      </c>
      <c r="T10729" s="18">
        <v>1249.3499999999999</v>
      </c>
      <c r="U10729" s="16"/>
      <c r="V10729" s="16"/>
      <c r="W10729" s="16" t="s">
        <v>40</v>
      </c>
      <c r="X10729" s="19">
        <v>0.67500000000000004</v>
      </c>
      <c r="Y10729" s="20">
        <v>5.7479999999999996E-3</v>
      </c>
      <c r="Z10729" s="21">
        <v>4601004227132</v>
      </c>
    </row>
    <row r="10730" spans="1:26" ht="12.95" customHeight="1" x14ac:dyDescent="0.2">
      <c r="A10730" s="80" t="s">
        <v>20387</v>
      </c>
      <c r="B10730" s="80"/>
      <c r="C10730" s="81"/>
      <c r="D10730" s="56"/>
      <c r="E10730" s="66"/>
      <c r="F10730" s="11"/>
      <c r="G10730" s="11"/>
      <c r="H10730" s="11"/>
      <c r="I10730" s="11"/>
      <c r="J10730" s="11"/>
      <c r="K10730" s="11"/>
      <c r="L10730" s="11"/>
      <c r="M10730" s="11"/>
      <c r="N10730" s="11"/>
      <c r="O10730" s="11"/>
      <c r="P10730" s="11"/>
      <c r="Q10730" s="11"/>
      <c r="R10730" s="11"/>
      <c r="S10730" s="11"/>
      <c r="T10730" s="11"/>
      <c r="U10730" s="11"/>
      <c r="V10730" s="11"/>
      <c r="W10730" s="11"/>
      <c r="X10730" s="11"/>
      <c r="Y10730" s="11"/>
      <c r="Z10730" s="11"/>
    </row>
    <row r="10731" spans="1:26" ht="12.95" customHeight="1" outlineLevel="1" x14ac:dyDescent="0.2">
      <c r="A10731" s="78" t="s">
        <v>20388</v>
      </c>
      <c r="B10731" s="78"/>
      <c r="C10731" s="79"/>
      <c r="D10731" s="57"/>
      <c r="E10731" s="67"/>
      <c r="F10731" s="12"/>
      <c r="G10731" s="12"/>
      <c r="H10731" s="12"/>
      <c r="I10731" s="12"/>
      <c r="J10731" s="12"/>
      <c r="K10731" s="12"/>
      <c r="L10731" s="12"/>
      <c r="M10731" s="12"/>
      <c r="N10731" s="12"/>
      <c r="O10731" s="12"/>
      <c r="P10731" s="12"/>
      <c r="Q10731" s="12"/>
      <c r="R10731" s="12"/>
      <c r="S10731" s="12"/>
      <c r="T10731" s="12"/>
      <c r="U10731" s="12"/>
      <c r="V10731" s="12"/>
      <c r="W10731" s="12"/>
      <c r="X10731" s="12"/>
      <c r="Y10731" s="12"/>
      <c r="Z10731" s="12"/>
    </row>
    <row r="10732" spans="1:26" ht="12.95" customHeight="1" outlineLevel="2" x14ac:dyDescent="0.2">
      <c r="A10732" s="76" t="s">
        <v>20389</v>
      </c>
      <c r="B10732" s="76"/>
      <c r="C10732" s="77"/>
      <c r="D10732" s="58"/>
      <c r="E10732" s="68"/>
      <c r="F10732" s="13"/>
      <c r="G10732" s="13"/>
      <c r="H10732" s="13"/>
      <c r="I10732" s="13"/>
      <c r="J10732" s="13"/>
      <c r="K10732" s="13"/>
      <c r="L10732" s="13"/>
      <c r="M10732" s="13"/>
      <c r="N10732" s="13"/>
      <c r="O10732" s="13"/>
      <c r="P10732" s="13"/>
      <c r="Q10732" s="13"/>
      <c r="R10732" s="13"/>
      <c r="S10732" s="13"/>
      <c r="T10732" s="13"/>
      <c r="U10732" s="13"/>
      <c r="V10732" s="13"/>
      <c r="W10732" s="13"/>
      <c r="X10732" s="13"/>
      <c r="Y10732" s="13"/>
      <c r="Z10732" s="13"/>
    </row>
    <row r="10733" spans="1:26" ht="12.95" customHeight="1" outlineLevel="3" x14ac:dyDescent="0.2">
      <c r="A10733" s="76" t="s">
        <v>20390</v>
      </c>
      <c r="B10733" s="76"/>
      <c r="C10733" s="77"/>
      <c r="D10733" s="58"/>
      <c r="E10733" s="68"/>
      <c r="F10733" s="13"/>
      <c r="G10733" s="13"/>
      <c r="H10733" s="13"/>
      <c r="I10733" s="13"/>
      <c r="J10733" s="13"/>
      <c r="K10733" s="13"/>
      <c r="L10733" s="13"/>
      <c r="M10733" s="13"/>
      <c r="N10733" s="13"/>
      <c r="O10733" s="13"/>
      <c r="P10733" s="13"/>
      <c r="Q10733" s="13"/>
      <c r="R10733" s="13"/>
      <c r="S10733" s="13"/>
      <c r="T10733" s="13"/>
      <c r="U10733" s="13"/>
      <c r="V10733" s="13"/>
      <c r="W10733" s="13"/>
      <c r="X10733" s="13"/>
      <c r="Y10733" s="13"/>
      <c r="Z10733" s="13"/>
    </row>
    <row r="10734" spans="1:26" ht="12" customHeight="1" outlineLevel="4" x14ac:dyDescent="0.2">
      <c r="A10734" s="14" t="s">
        <v>20391</v>
      </c>
      <c r="B10734" s="26" t="s">
        <v>20392</v>
      </c>
      <c r="C10734" s="52"/>
      <c r="D10734" s="55">
        <f t="shared" si="167"/>
        <v>0</v>
      </c>
      <c r="E10734" s="63" t="str">
        <f>HYPERLINK("https://www.sds-group.ru/product/girlyanda-svetodiodnaya-zvezdy-1-5h0-6-m-prozrachnyy-provod-teplyy-belyy-svet-svecheniya-neo-303-030/", "Инфо")</f>
        <v>Инфо</v>
      </c>
      <c r="F10734" s="16" t="s">
        <v>39</v>
      </c>
      <c r="G10734" s="15"/>
      <c r="H10734" s="15"/>
      <c r="I10734" s="15"/>
      <c r="J10734" s="17">
        <v>1</v>
      </c>
      <c r="K10734" s="15" t="s">
        <v>4008</v>
      </c>
      <c r="L10734" s="17">
        <v>1</v>
      </c>
      <c r="M10734" s="17">
        <v>60</v>
      </c>
      <c r="N10734" s="17">
        <v>1</v>
      </c>
      <c r="O10734" s="18">
        <v>1076.94</v>
      </c>
      <c r="P10734" s="18">
        <v>882.74</v>
      </c>
      <c r="Q10734" s="18">
        <v>753.86</v>
      </c>
      <c r="R10734" s="18">
        <v>617.91999999999996</v>
      </c>
      <c r="S10734" s="18">
        <v>732.32</v>
      </c>
      <c r="T10734" s="18">
        <v>600.26</v>
      </c>
      <c r="U10734" s="16"/>
      <c r="V10734" s="16"/>
      <c r="W10734" s="16"/>
      <c r="X10734" s="19">
        <v>0.373</v>
      </c>
      <c r="Y10734" s="20">
        <v>1.6789999999999999E-3</v>
      </c>
      <c r="Z10734" s="21">
        <v>4601004181144</v>
      </c>
    </row>
    <row r="10735" spans="1:26" ht="12" customHeight="1" outlineLevel="4" x14ac:dyDescent="0.2">
      <c r="A10735" s="14" t="s">
        <v>20393</v>
      </c>
      <c r="B10735" s="26" t="s">
        <v>20394</v>
      </c>
      <c r="C10735" s="52"/>
      <c r="D10735" s="55">
        <f t="shared" si="167"/>
        <v>0</v>
      </c>
      <c r="E10735" s="63" t="str">
        <f>HYPERLINK("https://www.sds-group.ru/product/girlyanda-arka-so-zvezdami-2-5h1-2m-136led-teplyy-belyy-prozrachnyy-pvh-ip20-svechenie-s-din-255-076/", "Инфо")</f>
        <v>Инфо</v>
      </c>
      <c r="F10735" s="16" t="s">
        <v>39</v>
      </c>
      <c r="G10735" s="15"/>
      <c r="H10735" s="15"/>
      <c r="I10735" s="15"/>
      <c r="J10735" s="17">
        <v>2</v>
      </c>
      <c r="K10735" s="15" t="s">
        <v>6181</v>
      </c>
      <c r="L10735" s="17">
        <v>1</v>
      </c>
      <c r="M10735" s="17">
        <v>30</v>
      </c>
      <c r="N10735" s="17">
        <v>1</v>
      </c>
      <c r="O10735" s="18">
        <v>1946.04</v>
      </c>
      <c r="P10735" s="18">
        <v>1595.11</v>
      </c>
      <c r="Q10735" s="18">
        <v>1498.45</v>
      </c>
      <c r="R10735" s="18">
        <v>1228.24</v>
      </c>
      <c r="S10735" s="18">
        <v>1323.31</v>
      </c>
      <c r="T10735" s="18">
        <v>1084.68</v>
      </c>
      <c r="U10735" s="16"/>
      <c r="V10735" s="16"/>
      <c r="W10735" s="16" t="s">
        <v>40</v>
      </c>
      <c r="X10735" s="19">
        <v>0.43099999999999999</v>
      </c>
      <c r="Y10735" s="20">
        <v>3.3700000000000002E-3</v>
      </c>
      <c r="Z10735" s="21">
        <v>4601004283930</v>
      </c>
    </row>
    <row r="10736" spans="1:26" ht="12" customHeight="1" outlineLevel="4" x14ac:dyDescent="0.2">
      <c r="A10736" s="14" t="s">
        <v>20395</v>
      </c>
      <c r="B10736" s="26" t="s">
        <v>20396</v>
      </c>
      <c r="C10736" s="52"/>
      <c r="D10736" s="55">
        <f t="shared" si="167"/>
        <v>0</v>
      </c>
      <c r="E10736" s="63" t="str">
        <f>HYPERLINK("https://www.sds-group.ru/product/girlyanda-bahroma-so-snezhinkami-2-4h0-9m-150led-belyy-prozrachnyy-pvh-ip20-svechenie-s-dina-255-075/", "Инфо")</f>
        <v>Инфо</v>
      </c>
      <c r="F10736" s="16" t="s">
        <v>39</v>
      </c>
      <c r="G10736" s="15"/>
      <c r="H10736" s="15"/>
      <c r="I10736" s="15"/>
      <c r="J10736" s="17">
        <v>21</v>
      </c>
      <c r="K10736" s="15" t="s">
        <v>6181</v>
      </c>
      <c r="L10736" s="17">
        <v>1</v>
      </c>
      <c r="M10736" s="17">
        <v>30</v>
      </c>
      <c r="N10736" s="17">
        <v>1</v>
      </c>
      <c r="O10736" s="18">
        <v>1760.31</v>
      </c>
      <c r="P10736" s="18">
        <v>1442.88</v>
      </c>
      <c r="Q10736" s="18">
        <v>1390.64</v>
      </c>
      <c r="R10736" s="18">
        <v>1139.8699999999999</v>
      </c>
      <c r="S10736" s="18">
        <v>1197.01</v>
      </c>
      <c r="T10736" s="18">
        <v>981.16</v>
      </c>
      <c r="U10736" s="16"/>
      <c r="V10736" s="16"/>
      <c r="W10736" s="16" t="s">
        <v>40</v>
      </c>
      <c r="X10736" s="19">
        <v>0.56200000000000006</v>
      </c>
      <c r="Y10736" s="20">
        <v>4.6759999999999996E-3</v>
      </c>
      <c r="Z10736" s="21">
        <v>4601004283954</v>
      </c>
    </row>
    <row r="10737" spans="1:26" ht="12" customHeight="1" outlineLevel="4" x14ac:dyDescent="0.2">
      <c r="A10737" s="32" t="s">
        <v>20397</v>
      </c>
      <c r="B10737" s="74" t="s">
        <v>20398</v>
      </c>
      <c r="C10737" s="50"/>
      <c r="D10737" s="53">
        <f t="shared" si="167"/>
        <v>0</v>
      </c>
      <c r="E10737" s="60" t="str">
        <f>HYPERLINK("https://www.sds-group.ru/product/girlyanda-svetodiodnaya-zvezdochki-20-led-krasnye-2-8-metra-303-034/", "Инфо")</f>
        <v>Инфо</v>
      </c>
      <c r="F10737" s="34" t="s">
        <v>39</v>
      </c>
      <c r="G10737" s="33"/>
      <c r="H10737" s="33" t="s">
        <v>40</v>
      </c>
      <c r="I10737" s="33"/>
      <c r="J10737" s="34" t="s">
        <v>100</v>
      </c>
      <c r="K10737" s="33"/>
      <c r="L10737" s="35">
        <v>1</v>
      </c>
      <c r="M10737" s="35">
        <v>48</v>
      </c>
      <c r="N10737" s="35">
        <v>1</v>
      </c>
      <c r="O10737" s="36">
        <v>402.91</v>
      </c>
      <c r="P10737" s="36">
        <v>330.25</v>
      </c>
      <c r="Q10737" s="36">
        <v>282.04000000000002</v>
      </c>
      <c r="R10737" s="36">
        <v>231.18</v>
      </c>
      <c r="S10737" s="36">
        <v>273.98</v>
      </c>
      <c r="T10737" s="36">
        <v>224.57</v>
      </c>
      <c r="U10737" s="34"/>
      <c r="V10737" s="34"/>
      <c r="W10737" s="34"/>
      <c r="X10737" s="37">
        <v>0.114</v>
      </c>
      <c r="Y10737" s="38">
        <v>7.3200000000000001E-4</v>
      </c>
      <c r="Z10737" s="21">
        <v>4601004130432</v>
      </c>
    </row>
    <row r="10738" spans="1:26" ht="12" customHeight="1" outlineLevel="4" x14ac:dyDescent="0.2">
      <c r="A10738" s="14" t="s">
        <v>20399</v>
      </c>
      <c r="B10738" s="26" t="s">
        <v>20400</v>
      </c>
      <c r="C10738" s="52"/>
      <c r="D10738" s="55">
        <f t="shared" si="167"/>
        <v>0</v>
      </c>
      <c r="E10738" s="63" t="str">
        <f>HYPERLINK("https://www.sds-group.ru/product/girlyanda-svetodiodnaya-kistochki-48-led-belye-5-metrov-303-035/", "Инфо")</f>
        <v>Инфо</v>
      </c>
      <c r="F10738" s="16" t="s">
        <v>39</v>
      </c>
      <c r="G10738" s="15"/>
      <c r="H10738" s="15"/>
      <c r="I10738" s="15"/>
      <c r="J10738" s="17">
        <v>1</v>
      </c>
      <c r="K10738" s="15"/>
      <c r="L10738" s="17">
        <v>1</v>
      </c>
      <c r="M10738" s="17">
        <v>24</v>
      </c>
      <c r="N10738" s="17">
        <v>1</v>
      </c>
      <c r="O10738" s="18">
        <v>537.92999999999995</v>
      </c>
      <c r="P10738" s="18">
        <v>440.93</v>
      </c>
      <c r="Q10738" s="18">
        <v>376.55</v>
      </c>
      <c r="R10738" s="18">
        <v>308.64999999999998</v>
      </c>
      <c r="S10738" s="18">
        <v>365.79</v>
      </c>
      <c r="T10738" s="18">
        <v>299.83</v>
      </c>
      <c r="U10738" s="16"/>
      <c r="V10738" s="16"/>
      <c r="W10738" s="16" t="s">
        <v>40</v>
      </c>
      <c r="X10738" s="19">
        <v>0.154</v>
      </c>
      <c r="Y10738" s="20">
        <v>1.178E-3</v>
      </c>
      <c r="Z10738" s="21">
        <v>4601004130449</v>
      </c>
    </row>
    <row r="10739" spans="1:26" ht="12" customHeight="1" outlineLevel="4" x14ac:dyDescent="0.2">
      <c r="A10739" s="14" t="s">
        <v>20401</v>
      </c>
      <c r="B10739" s="26" t="s">
        <v>20402</v>
      </c>
      <c r="C10739" s="52"/>
      <c r="D10739" s="55">
        <f t="shared" si="167"/>
        <v>0</v>
      </c>
      <c r="E10739" s="63" t="str">
        <f>HYPERLINK("https://www.sds-group.ru/product/girlyanda-svetodiodnaya-kolokolchiki-20-led-rgb-2-8-metra-303-062/", "Инфо")</f>
        <v>Инфо</v>
      </c>
      <c r="F10739" s="16" t="s">
        <v>39</v>
      </c>
      <c r="G10739" s="15"/>
      <c r="H10739" s="15"/>
      <c r="I10739" s="15"/>
      <c r="J10739" s="16" t="s">
        <v>100</v>
      </c>
      <c r="K10739" s="15"/>
      <c r="L10739" s="17">
        <v>1</v>
      </c>
      <c r="M10739" s="17">
        <v>60</v>
      </c>
      <c r="N10739" s="17">
        <v>1</v>
      </c>
      <c r="O10739" s="18">
        <v>402.91</v>
      </c>
      <c r="P10739" s="18">
        <v>330.25</v>
      </c>
      <c r="Q10739" s="18">
        <v>322.33</v>
      </c>
      <c r="R10739" s="18">
        <v>264.2</v>
      </c>
      <c r="S10739" s="18">
        <v>273.98</v>
      </c>
      <c r="T10739" s="18">
        <v>224.57</v>
      </c>
      <c r="U10739" s="16"/>
      <c r="V10739" s="16"/>
      <c r="W10739" s="16" t="s">
        <v>40</v>
      </c>
      <c r="X10739" s="19">
        <v>0.13900000000000001</v>
      </c>
      <c r="Y10739" s="20">
        <v>7.5699999999999997E-4</v>
      </c>
      <c r="Z10739" s="21">
        <v>4601004130593</v>
      </c>
    </row>
    <row r="10740" spans="1:26" ht="12" customHeight="1" outlineLevel="4" x14ac:dyDescent="0.2">
      <c r="A10740" s="32" t="s">
        <v>20403</v>
      </c>
      <c r="B10740" s="74" t="s">
        <v>20404</v>
      </c>
      <c r="C10740" s="50"/>
      <c r="D10740" s="53">
        <f t="shared" si="167"/>
        <v>0</v>
      </c>
      <c r="E10740" s="60" t="str">
        <f>HYPERLINK("https://www.sds-group.ru/product/girlyanda-svetodiodnaya-kubiki-20-led-multikolor-2-8-metra-s-kontrollerom-303-061/", "Инфо")</f>
        <v>Инфо</v>
      </c>
      <c r="F10740" s="34" t="s">
        <v>39</v>
      </c>
      <c r="G10740" s="33"/>
      <c r="H10740" s="33" t="s">
        <v>40</v>
      </c>
      <c r="I10740" s="33"/>
      <c r="J10740" s="35">
        <v>41</v>
      </c>
      <c r="K10740" s="33"/>
      <c r="L10740" s="35">
        <v>1</v>
      </c>
      <c r="M10740" s="35">
        <v>60</v>
      </c>
      <c r="N10740" s="35">
        <v>1</v>
      </c>
      <c r="O10740" s="36">
        <v>470.29</v>
      </c>
      <c r="P10740" s="36">
        <v>385.48</v>
      </c>
      <c r="Q10740" s="36">
        <v>376.23</v>
      </c>
      <c r="R10740" s="36">
        <v>308.39</v>
      </c>
      <c r="S10740" s="36">
        <v>319.8</v>
      </c>
      <c r="T10740" s="36">
        <v>262.13</v>
      </c>
      <c r="U10740" s="34"/>
      <c r="V10740" s="34"/>
      <c r="W10740" s="34" t="s">
        <v>40</v>
      </c>
      <c r="X10740" s="37">
        <v>0.155</v>
      </c>
      <c r="Y10740" s="38">
        <v>7.2999999999999996E-4</v>
      </c>
      <c r="Z10740" s="21">
        <v>4601004130586</v>
      </c>
    </row>
    <row r="10741" spans="1:26" ht="12" customHeight="1" outlineLevel="4" x14ac:dyDescent="0.2">
      <c r="A10741" s="14" t="s">
        <v>20405</v>
      </c>
      <c r="B10741" s="26" t="s">
        <v>20406</v>
      </c>
      <c r="C10741" s="52"/>
      <c r="D10741" s="55">
        <f t="shared" si="167"/>
        <v>0</v>
      </c>
      <c r="E10741" s="63" t="str">
        <f>HYPERLINK("https://www.sds-group.ru/product/girlyanda-svetodiodnaya-palochki-s-puzyrkami-20-palochek-tsvet-multikolor-2-metra-303-037/", "Инфо")</f>
        <v>Инфо</v>
      </c>
      <c r="F10741" s="16" t="s">
        <v>39</v>
      </c>
      <c r="G10741" s="15"/>
      <c r="H10741" s="15"/>
      <c r="I10741" s="15"/>
      <c r="J10741" s="16" t="s">
        <v>100</v>
      </c>
      <c r="K10741" s="15"/>
      <c r="L10741" s="17">
        <v>1</v>
      </c>
      <c r="M10741" s="17">
        <v>60</v>
      </c>
      <c r="N10741" s="17">
        <v>1</v>
      </c>
      <c r="O10741" s="18">
        <v>537.92999999999995</v>
      </c>
      <c r="P10741" s="18">
        <v>440.93</v>
      </c>
      <c r="Q10741" s="18">
        <v>430.34</v>
      </c>
      <c r="R10741" s="18">
        <v>352.74</v>
      </c>
      <c r="S10741" s="18">
        <v>365.79</v>
      </c>
      <c r="T10741" s="18">
        <v>299.83</v>
      </c>
      <c r="U10741" s="16"/>
      <c r="V10741" s="16"/>
      <c r="W10741" s="16" t="s">
        <v>40</v>
      </c>
      <c r="X10741" s="19">
        <v>0.157</v>
      </c>
      <c r="Y10741" s="20">
        <v>7.3800000000000005E-4</v>
      </c>
      <c r="Z10741" s="21">
        <v>4601004130548</v>
      </c>
    </row>
    <row r="10742" spans="1:26" ht="12" customHeight="1" outlineLevel="4" x14ac:dyDescent="0.2">
      <c r="A10742" s="14" t="s">
        <v>20407</v>
      </c>
      <c r="B10742" s="26" t="s">
        <v>20408</v>
      </c>
      <c r="C10742" s="52"/>
      <c r="D10742" s="55">
        <f t="shared" si="167"/>
        <v>0</v>
      </c>
      <c r="E10742" s="63" t="str">
        <f>HYPERLINK("https://www.sds-group.ru/product/girlyanda-svetodiodnaya-prischepki-30-led-5-m-teplyy-belyy-tsvet-svecheniya-neon-night-303-032/", "Инфо")</f>
        <v>Инфо</v>
      </c>
      <c r="F10742" s="16" t="s">
        <v>39</v>
      </c>
      <c r="G10742" s="15"/>
      <c r="H10742" s="15"/>
      <c r="I10742" s="15"/>
      <c r="J10742" s="17">
        <v>56</v>
      </c>
      <c r="K10742" s="15" t="s">
        <v>8890</v>
      </c>
      <c r="L10742" s="17">
        <v>1</v>
      </c>
      <c r="M10742" s="17">
        <v>54</v>
      </c>
      <c r="N10742" s="17">
        <v>1</v>
      </c>
      <c r="O10742" s="18">
        <v>807.43</v>
      </c>
      <c r="P10742" s="18">
        <v>661.83</v>
      </c>
      <c r="Q10742" s="18">
        <v>565.20000000000005</v>
      </c>
      <c r="R10742" s="18">
        <v>463.28</v>
      </c>
      <c r="S10742" s="18">
        <v>549.04999999999995</v>
      </c>
      <c r="T10742" s="18">
        <v>450.04</v>
      </c>
      <c r="U10742" s="16"/>
      <c r="V10742" s="16"/>
      <c r="W10742" s="16"/>
      <c r="X10742" s="19">
        <v>0.30399999999999999</v>
      </c>
      <c r="Y10742" s="20">
        <v>1.4829999999999999E-3</v>
      </c>
      <c r="Z10742" s="21">
        <v>4601004181076</v>
      </c>
    </row>
    <row r="10743" spans="1:26" ht="12" customHeight="1" outlineLevel="4" x14ac:dyDescent="0.2">
      <c r="A10743" s="14" t="s">
        <v>20409</v>
      </c>
      <c r="B10743" s="26" t="s">
        <v>20410</v>
      </c>
      <c r="C10743" s="52"/>
      <c r="D10743" s="55">
        <f t="shared" si="167"/>
        <v>0</v>
      </c>
      <c r="E10743" s="63" t="str">
        <f>HYPERLINK("https://www.sds-group.ru/product/girlyanda-svetodiodnaya-svechi-20m-temno-zelenyy-pvh-100-led-teplyy-belyy-ne-soedinyaetsya-n-303-024/", "Инфо")</f>
        <v>Инфо</v>
      </c>
      <c r="F10743" s="16" t="s">
        <v>39</v>
      </c>
      <c r="G10743" s="15"/>
      <c r="H10743" s="15"/>
      <c r="I10743" s="15"/>
      <c r="J10743" s="16" t="s">
        <v>100</v>
      </c>
      <c r="K10743" s="15" t="s">
        <v>8890</v>
      </c>
      <c r="L10743" s="17">
        <v>1</v>
      </c>
      <c r="M10743" s="17">
        <v>12</v>
      </c>
      <c r="N10743" s="17">
        <v>1</v>
      </c>
      <c r="O10743" s="18">
        <v>4297.6899999999996</v>
      </c>
      <c r="P10743" s="18">
        <v>3522.7</v>
      </c>
      <c r="Q10743" s="18">
        <v>3008.38</v>
      </c>
      <c r="R10743" s="18">
        <v>2465.89</v>
      </c>
      <c r="S10743" s="18">
        <v>2922.43</v>
      </c>
      <c r="T10743" s="18">
        <v>2395.4299999999998</v>
      </c>
      <c r="U10743" s="16"/>
      <c r="V10743" s="16"/>
      <c r="W10743" s="16"/>
      <c r="X10743" s="19">
        <v>1.0840000000000001</v>
      </c>
      <c r="Y10743" s="20">
        <v>1.0437E-2</v>
      </c>
      <c r="Z10743" s="21">
        <v>4601004337107</v>
      </c>
    </row>
    <row r="10744" spans="1:26" ht="12" customHeight="1" outlineLevel="4" x14ac:dyDescent="0.2">
      <c r="A10744" s="14" t="s">
        <v>20411</v>
      </c>
      <c r="B10744" s="26" t="s">
        <v>20412</v>
      </c>
      <c r="C10744" s="52"/>
      <c r="D10744" s="55">
        <f t="shared" si="167"/>
        <v>0</v>
      </c>
      <c r="E10744" s="63" t="str">
        <f>HYPERLINK("https://www.sds-group.ru/product/girlyanda-svetodiodnaya-snezhinki-20-led-belye-2-8-metra-303-036/", "Инфо")</f>
        <v>Инфо</v>
      </c>
      <c r="F10744" s="16" t="s">
        <v>39</v>
      </c>
      <c r="G10744" s="15"/>
      <c r="H10744" s="15"/>
      <c r="I10744" s="15"/>
      <c r="J10744" s="17">
        <v>4</v>
      </c>
      <c r="K10744" s="15"/>
      <c r="L10744" s="17">
        <v>5</v>
      </c>
      <c r="M10744" s="17">
        <v>48</v>
      </c>
      <c r="N10744" s="17">
        <v>5</v>
      </c>
      <c r="O10744" s="18">
        <v>402.91</v>
      </c>
      <c r="P10744" s="18">
        <v>330.25</v>
      </c>
      <c r="Q10744" s="18">
        <v>282.04000000000002</v>
      </c>
      <c r="R10744" s="18">
        <v>231.18</v>
      </c>
      <c r="S10744" s="18">
        <v>273.98</v>
      </c>
      <c r="T10744" s="18">
        <v>224.57</v>
      </c>
      <c r="U10744" s="16"/>
      <c r="V10744" s="16"/>
      <c r="W10744" s="16"/>
      <c r="X10744" s="19">
        <v>0.161</v>
      </c>
      <c r="Y10744" s="20">
        <v>1.428E-3</v>
      </c>
      <c r="Z10744" s="21">
        <v>4601004130456</v>
      </c>
    </row>
    <row r="10745" spans="1:26" ht="12" customHeight="1" outlineLevel="4" x14ac:dyDescent="0.2">
      <c r="A10745" s="14" t="s">
        <v>20413</v>
      </c>
      <c r="B10745" s="26" t="s">
        <v>20414</v>
      </c>
      <c r="C10745" s="52"/>
      <c r="D10745" s="55">
        <f t="shared" si="167"/>
        <v>0</v>
      </c>
      <c r="E10745" s="63" t="str">
        <f>HYPERLINK("https://www.sds-group.ru/product/girlyanda-svetodiodnaya-snezhinki-30-led-multikolor-4-4-metra-s-kontrollerom-303-065/", "Инфо")</f>
        <v>Инфо</v>
      </c>
      <c r="F10745" s="16" t="s">
        <v>39</v>
      </c>
      <c r="G10745" s="15"/>
      <c r="H10745" s="15"/>
      <c r="I10745" s="15"/>
      <c r="J10745" s="16" t="s">
        <v>100</v>
      </c>
      <c r="K10745" s="15" t="s">
        <v>8890</v>
      </c>
      <c r="L10745" s="17">
        <v>5</v>
      </c>
      <c r="M10745" s="17">
        <v>36</v>
      </c>
      <c r="N10745" s="17">
        <v>5</v>
      </c>
      <c r="O10745" s="18">
        <v>537.92999999999995</v>
      </c>
      <c r="P10745" s="18">
        <v>440.93</v>
      </c>
      <c r="Q10745" s="18">
        <v>376.55</v>
      </c>
      <c r="R10745" s="18">
        <v>308.64999999999998</v>
      </c>
      <c r="S10745" s="18">
        <v>365.79</v>
      </c>
      <c r="T10745" s="18">
        <v>299.83</v>
      </c>
      <c r="U10745" s="16"/>
      <c r="V10745" s="16"/>
      <c r="W10745" s="16"/>
      <c r="X10745" s="19">
        <v>0.26900000000000002</v>
      </c>
      <c r="Y10745" s="20">
        <v>2.1419999999999998E-3</v>
      </c>
      <c r="Z10745" s="21">
        <v>4601004130630</v>
      </c>
    </row>
    <row r="10746" spans="1:26" ht="12" customHeight="1" outlineLevel="4" x14ac:dyDescent="0.2">
      <c r="A10746" s="14" t="s">
        <v>20415</v>
      </c>
      <c r="B10746" s="26" t="s">
        <v>20416</v>
      </c>
      <c r="C10746" s="52"/>
      <c r="D10746" s="55">
        <f t="shared" si="167"/>
        <v>0</v>
      </c>
      <c r="E10746" s="63" t="str">
        <f>HYPERLINK("https://www.sds-group.ru/product/girlyanda-svetodiodnaya-snezhinki-bolshie-5m-20led-ip20-prozrachnyy-provod-svechenie-multi-r-304-024/", "Инфо")</f>
        <v>Инфо</v>
      </c>
      <c r="F10746" s="16" t="s">
        <v>39</v>
      </c>
      <c r="G10746" s="15"/>
      <c r="H10746" s="15"/>
      <c r="I10746" s="15"/>
      <c r="J10746" s="16" t="s">
        <v>100</v>
      </c>
      <c r="K10746" s="15"/>
      <c r="L10746" s="17">
        <v>1</v>
      </c>
      <c r="M10746" s="17">
        <v>72</v>
      </c>
      <c r="N10746" s="17">
        <v>1</v>
      </c>
      <c r="O10746" s="18">
        <v>537.92999999999995</v>
      </c>
      <c r="P10746" s="18">
        <v>440.93</v>
      </c>
      <c r="Q10746" s="18">
        <v>430.34</v>
      </c>
      <c r="R10746" s="18">
        <v>352.74</v>
      </c>
      <c r="S10746" s="18">
        <v>365.79</v>
      </c>
      <c r="T10746" s="18">
        <v>299.83</v>
      </c>
      <c r="U10746" s="16"/>
      <c r="V10746" s="16"/>
      <c r="W10746" s="16" t="s">
        <v>40</v>
      </c>
      <c r="X10746" s="19">
        <v>0.107</v>
      </c>
      <c r="Y10746" s="20">
        <v>4.6200000000000001E-4</v>
      </c>
      <c r="Z10746" s="21">
        <v>4601004283541</v>
      </c>
    </row>
    <row r="10747" spans="1:26" ht="12" customHeight="1" outlineLevel="4" x14ac:dyDescent="0.2">
      <c r="A10747" s="14" t="s">
        <v>20417</v>
      </c>
      <c r="B10747" s="26" t="s">
        <v>20418</v>
      </c>
      <c r="C10747" s="52"/>
      <c r="D10747" s="55">
        <f t="shared" si="167"/>
        <v>0</v>
      </c>
      <c r="E10747" s="63" t="str">
        <f>HYPERLINK("https://www.sds-group.ru/product/girlyanda-svetodiodnaya-universalnaya-s-nasadkami-shariki-snezhinki-elochki-30-led-multikolo-303-064/", "Инфо")</f>
        <v>Инфо</v>
      </c>
      <c r="F10747" s="16" t="s">
        <v>39</v>
      </c>
      <c r="G10747" s="15"/>
      <c r="H10747" s="15"/>
      <c r="I10747" s="15"/>
      <c r="J10747" s="16" t="s">
        <v>100</v>
      </c>
      <c r="K10747" s="15" t="s">
        <v>8890</v>
      </c>
      <c r="L10747" s="17">
        <v>1</v>
      </c>
      <c r="M10747" s="17">
        <v>48</v>
      </c>
      <c r="N10747" s="17">
        <v>1</v>
      </c>
      <c r="O10747" s="18">
        <v>807.43</v>
      </c>
      <c r="P10747" s="18">
        <v>661.83</v>
      </c>
      <c r="Q10747" s="18">
        <v>565.20000000000005</v>
      </c>
      <c r="R10747" s="18">
        <v>463.28</v>
      </c>
      <c r="S10747" s="18">
        <v>549.04999999999995</v>
      </c>
      <c r="T10747" s="18">
        <v>450.04</v>
      </c>
      <c r="U10747" s="16"/>
      <c r="V10747" s="16"/>
      <c r="W10747" s="16"/>
      <c r="X10747" s="19">
        <v>0.20699999999999999</v>
      </c>
      <c r="Y10747" s="20">
        <v>1.596E-3</v>
      </c>
      <c r="Z10747" s="21">
        <v>4601004130623</v>
      </c>
    </row>
    <row r="10748" spans="1:26" ht="12" customHeight="1" outlineLevel="4" x14ac:dyDescent="0.2">
      <c r="A10748" s="14" t="s">
        <v>20419</v>
      </c>
      <c r="B10748" s="26" t="s">
        <v>20420</v>
      </c>
      <c r="C10748" s="52"/>
      <c r="D10748" s="55">
        <f t="shared" si="167"/>
        <v>0</v>
      </c>
      <c r="E10748" s="63" t="str">
        <f>HYPERLINK("https://www.sds-group.ru/product/girlyanda-svetodiodnaya-tsvetnye-shariki-20-led-multikolor-2-8-metra-303-060/", "Инфо")</f>
        <v>Инфо</v>
      </c>
      <c r="F10748" s="16" t="s">
        <v>39</v>
      </c>
      <c r="G10748" s="15"/>
      <c r="H10748" s="15"/>
      <c r="I10748" s="15"/>
      <c r="J10748" s="16" t="s">
        <v>100</v>
      </c>
      <c r="K10748" s="15" t="s">
        <v>8890</v>
      </c>
      <c r="L10748" s="17">
        <v>5</v>
      </c>
      <c r="M10748" s="17">
        <v>60</v>
      </c>
      <c r="N10748" s="17">
        <v>5</v>
      </c>
      <c r="O10748" s="18">
        <v>402.91</v>
      </c>
      <c r="P10748" s="18">
        <v>330.25</v>
      </c>
      <c r="Q10748" s="18">
        <v>322.33</v>
      </c>
      <c r="R10748" s="18">
        <v>264.2</v>
      </c>
      <c r="S10748" s="18">
        <v>273.98</v>
      </c>
      <c r="T10748" s="18">
        <v>224.57</v>
      </c>
      <c r="U10748" s="16"/>
      <c r="V10748" s="16"/>
      <c r="W10748" s="16" t="s">
        <v>40</v>
      </c>
      <c r="X10748" s="19">
        <v>0.10299999999999999</v>
      </c>
      <c r="Y10748" s="20">
        <v>4.64E-4</v>
      </c>
      <c r="Z10748" s="21">
        <v>4601004130579</v>
      </c>
    </row>
    <row r="10749" spans="1:26" ht="12" customHeight="1" outlineLevel="4" x14ac:dyDescent="0.2">
      <c r="A10749" s="14" t="s">
        <v>20421</v>
      </c>
      <c r="B10749" s="26" t="s">
        <v>20422</v>
      </c>
      <c r="C10749" s="52"/>
      <c r="D10749" s="55">
        <f t="shared" si="167"/>
        <v>0</v>
      </c>
      <c r="E10749" s="63" t="str">
        <f>HYPERLINK("https://www.sds-group.ru/product/girlyanda-svetodiodnaya-tsvety-sakury-50-led-rozovye-7-metrov-s-kontrollerom-303-038/", "Инфо")</f>
        <v>Инфо</v>
      </c>
      <c r="F10749" s="16" t="s">
        <v>39</v>
      </c>
      <c r="G10749" s="15"/>
      <c r="H10749" s="15"/>
      <c r="I10749" s="15"/>
      <c r="J10749" s="16" t="s">
        <v>100</v>
      </c>
      <c r="K10749" s="15" t="s">
        <v>6181</v>
      </c>
      <c r="L10749" s="17">
        <v>5</v>
      </c>
      <c r="M10749" s="17">
        <v>48</v>
      </c>
      <c r="N10749" s="17">
        <v>5</v>
      </c>
      <c r="O10749" s="18">
        <v>537.92999999999995</v>
      </c>
      <c r="P10749" s="18">
        <v>440.93</v>
      </c>
      <c r="Q10749" s="18">
        <v>376.55</v>
      </c>
      <c r="R10749" s="18">
        <v>308.64999999999998</v>
      </c>
      <c r="S10749" s="18">
        <v>365.79</v>
      </c>
      <c r="T10749" s="18">
        <v>299.83</v>
      </c>
      <c r="U10749" s="16"/>
      <c r="V10749" s="16"/>
      <c r="W10749" s="16"/>
      <c r="X10749" s="19">
        <v>0.19900000000000001</v>
      </c>
      <c r="Y10749" s="20">
        <v>1.217E-3</v>
      </c>
      <c r="Z10749" s="21">
        <v>4601004130647</v>
      </c>
    </row>
    <row r="10750" spans="1:26" ht="12" customHeight="1" outlineLevel="4" x14ac:dyDescent="0.2">
      <c r="A10750" s="14" t="s">
        <v>20423</v>
      </c>
      <c r="B10750" s="26" t="s">
        <v>20424</v>
      </c>
      <c r="C10750" s="52"/>
      <c r="D10750" s="55">
        <f t="shared" si="167"/>
        <v>0</v>
      </c>
      <c r="E10750" s="63" t="str">
        <f>HYPERLINK("https://www.sds-group.ru/product/girlyanda-svetodiodnaya-shariki-5m-20led-ip20-zelenyy-provod-svechenie-multi-rg-rb-miganie-2-304-023/", "Инфо")</f>
        <v>Инфо</v>
      </c>
      <c r="F10750" s="16" t="s">
        <v>39</v>
      </c>
      <c r="G10750" s="15"/>
      <c r="H10750" s="15"/>
      <c r="I10750" s="15"/>
      <c r="J10750" s="16" t="s">
        <v>100</v>
      </c>
      <c r="K10750" s="15"/>
      <c r="L10750" s="17">
        <v>1</v>
      </c>
      <c r="M10750" s="17">
        <v>72</v>
      </c>
      <c r="N10750" s="17">
        <v>1</v>
      </c>
      <c r="O10750" s="18">
        <v>537.92999999999995</v>
      </c>
      <c r="P10750" s="18">
        <v>440.93</v>
      </c>
      <c r="Q10750" s="18">
        <v>430.34</v>
      </c>
      <c r="R10750" s="18">
        <v>352.74</v>
      </c>
      <c r="S10750" s="18">
        <v>365.79</v>
      </c>
      <c r="T10750" s="18">
        <v>299.83</v>
      </c>
      <c r="U10750" s="16"/>
      <c r="V10750" s="16"/>
      <c r="W10750" s="16" t="s">
        <v>40</v>
      </c>
      <c r="X10750" s="19">
        <v>0.13</v>
      </c>
      <c r="Y10750" s="20">
        <v>4.4999999999999999E-4</v>
      </c>
      <c r="Z10750" s="21">
        <v>4601004283596</v>
      </c>
    </row>
    <row r="10751" spans="1:26" ht="12" customHeight="1" outlineLevel="4" x14ac:dyDescent="0.2">
      <c r="A10751" s="14" t="s">
        <v>20425</v>
      </c>
      <c r="B10751" s="26" t="s">
        <v>20426</v>
      </c>
      <c r="C10751" s="52"/>
      <c r="D10751" s="55">
        <f t="shared" si="167"/>
        <v>0</v>
      </c>
      <c r="E10751" s="63" t="str">
        <f>HYPERLINK("https://www.sds-group.ru/product/girlyanda-svetodiodnaya-shariki-5m-20led-ip20-prozrachnyy-provod-svechenie-multi-rg-rb-kontr-304-022/", "Инфо")</f>
        <v>Инфо</v>
      </c>
      <c r="F10751" s="16" t="s">
        <v>39</v>
      </c>
      <c r="G10751" s="15"/>
      <c r="H10751" s="15"/>
      <c r="I10751" s="15"/>
      <c r="J10751" s="17">
        <v>386</v>
      </c>
      <c r="K10751" s="15"/>
      <c r="L10751" s="17">
        <v>1</v>
      </c>
      <c r="M10751" s="17">
        <v>72</v>
      </c>
      <c r="N10751" s="17">
        <v>1</v>
      </c>
      <c r="O10751" s="18">
        <v>537.92999999999995</v>
      </c>
      <c r="P10751" s="18">
        <v>440.93</v>
      </c>
      <c r="Q10751" s="18">
        <v>430.34</v>
      </c>
      <c r="R10751" s="18">
        <v>352.74</v>
      </c>
      <c r="S10751" s="18">
        <v>365.79</v>
      </c>
      <c r="T10751" s="18">
        <v>299.83</v>
      </c>
      <c r="U10751" s="16"/>
      <c r="V10751" s="16"/>
      <c r="W10751" s="16" t="s">
        <v>40</v>
      </c>
      <c r="X10751" s="19">
        <v>0.11899999999999999</v>
      </c>
      <c r="Y10751" s="20">
        <v>4.5899999999999999E-4</v>
      </c>
      <c r="Z10751" s="21">
        <v>4601004283534</v>
      </c>
    </row>
    <row r="10752" spans="1:26" ht="12" customHeight="1" outlineLevel="4" x14ac:dyDescent="0.2">
      <c r="A10752" s="14" t="s">
        <v>20427</v>
      </c>
      <c r="B10752" s="26" t="s">
        <v>20428</v>
      </c>
      <c r="C10752" s="52"/>
      <c r="D10752" s="55">
        <f t="shared" si="167"/>
        <v>0</v>
      </c>
      <c r="E10752" s="63" t="str">
        <f>HYPERLINK("https://www.sds-group.ru/product/girlyanda-svetodiodnaya-shariki-5m-20led-ip20-prozrachnyy-provod-svechenie-multi-rg-rb-migan-304-021/", "Инфо")</f>
        <v>Инфо</v>
      </c>
      <c r="F10752" s="16" t="s">
        <v>39</v>
      </c>
      <c r="G10752" s="15"/>
      <c r="H10752" s="15"/>
      <c r="I10752" s="15"/>
      <c r="J10752" s="17">
        <v>4</v>
      </c>
      <c r="K10752" s="15"/>
      <c r="L10752" s="17">
        <v>1</v>
      </c>
      <c r="M10752" s="17">
        <v>72</v>
      </c>
      <c r="N10752" s="17">
        <v>1</v>
      </c>
      <c r="O10752" s="18">
        <v>537.92999999999995</v>
      </c>
      <c r="P10752" s="18">
        <v>440.93</v>
      </c>
      <c r="Q10752" s="18">
        <v>430.34</v>
      </c>
      <c r="R10752" s="18">
        <v>352.74</v>
      </c>
      <c r="S10752" s="18">
        <v>365.79</v>
      </c>
      <c r="T10752" s="18">
        <v>299.83</v>
      </c>
      <c r="U10752" s="16"/>
      <c r="V10752" s="16"/>
      <c r="W10752" s="16" t="s">
        <v>40</v>
      </c>
      <c r="X10752" s="19">
        <v>0.10199999999999999</v>
      </c>
      <c r="Y10752" s="20">
        <v>4.06E-4</v>
      </c>
      <c r="Z10752" s="21">
        <v>4601004283558</v>
      </c>
    </row>
    <row r="10753" spans="1:26" ht="12" customHeight="1" outlineLevel="4" x14ac:dyDescent="0.2">
      <c r="A10753" s="14" t="s">
        <v>20429</v>
      </c>
      <c r="B10753" s="26" t="s">
        <v>20430</v>
      </c>
      <c r="C10753" s="52"/>
      <c r="D10753" s="55">
        <f t="shared" si="167"/>
        <v>0</v>
      </c>
      <c r="E10753" s="63" t="str">
        <f>HYPERLINK("https://www.sds-group.ru/product/girlyanda-svetodiodnaya-shishki-5-m-30-led-prozrachnyy-pvh-s-kontrollerom-tsvet-svecheniya-t-303-069/", "Инфо")</f>
        <v>Инфо</v>
      </c>
      <c r="F10753" s="16" t="s">
        <v>39</v>
      </c>
      <c r="G10753" s="15"/>
      <c r="H10753" s="15"/>
      <c r="I10753" s="15"/>
      <c r="J10753" s="16" t="s">
        <v>100</v>
      </c>
      <c r="K10753" s="15" t="s">
        <v>6181</v>
      </c>
      <c r="L10753" s="17">
        <v>1</v>
      </c>
      <c r="M10753" s="17">
        <v>48</v>
      </c>
      <c r="N10753" s="17">
        <v>1</v>
      </c>
      <c r="O10753" s="18">
        <v>739.8</v>
      </c>
      <c r="P10753" s="18">
        <v>606.39</v>
      </c>
      <c r="Q10753" s="18">
        <v>517.86</v>
      </c>
      <c r="R10753" s="18">
        <v>424.48</v>
      </c>
      <c r="S10753" s="18">
        <v>503.06</v>
      </c>
      <c r="T10753" s="18">
        <v>412.34</v>
      </c>
      <c r="U10753" s="16"/>
      <c r="V10753" s="16"/>
      <c r="W10753" s="16"/>
      <c r="X10753" s="19">
        <v>0.19900000000000001</v>
      </c>
      <c r="Y10753" s="20">
        <v>1.7440000000000001E-3</v>
      </c>
      <c r="Z10753" s="21">
        <v>4601004180130</v>
      </c>
    </row>
    <row r="10754" spans="1:26" ht="12" customHeight="1" outlineLevel="4" x14ac:dyDescent="0.2">
      <c r="A10754" s="14" t="s">
        <v>20431</v>
      </c>
      <c r="B10754" s="26" t="s">
        <v>20432</v>
      </c>
      <c r="C10754" s="52"/>
      <c r="D10754" s="55">
        <f t="shared" si="167"/>
        <v>0</v>
      </c>
      <c r="E10754" s="63" t="str">
        <f>HYPERLINK("https://www.sds-group.ru/product/girlyanda-sosulki-1-5h0-25-m-prozrachnyy-provod-belyy-tsvet-svecheniya-neon-night-303-068/", "Инфо")</f>
        <v>Инфо</v>
      </c>
      <c r="F10754" s="16" t="s">
        <v>39</v>
      </c>
      <c r="G10754" s="15"/>
      <c r="H10754" s="15"/>
      <c r="I10754" s="15"/>
      <c r="J10754" s="16" t="s">
        <v>100</v>
      </c>
      <c r="K10754" s="15"/>
      <c r="L10754" s="17">
        <v>5</v>
      </c>
      <c r="M10754" s="17">
        <v>100</v>
      </c>
      <c r="N10754" s="17">
        <v>5</v>
      </c>
      <c r="O10754" s="18">
        <v>470.29</v>
      </c>
      <c r="P10754" s="18">
        <v>385.48</v>
      </c>
      <c r="Q10754" s="18">
        <v>376.23</v>
      </c>
      <c r="R10754" s="18">
        <v>308.39</v>
      </c>
      <c r="S10754" s="18">
        <v>319.8</v>
      </c>
      <c r="T10754" s="18">
        <v>262.13</v>
      </c>
      <c r="U10754" s="16"/>
      <c r="V10754" s="16"/>
      <c r="W10754" s="16" t="s">
        <v>40</v>
      </c>
      <c r="X10754" s="19">
        <v>0.14799999999999999</v>
      </c>
      <c r="Y10754" s="20">
        <v>9.1799999999999998E-4</v>
      </c>
      <c r="Z10754" s="21">
        <v>4601004181137</v>
      </c>
    </row>
    <row r="10755" spans="1:26" ht="12" customHeight="1" outlineLevel="4" x14ac:dyDescent="0.2">
      <c r="A10755" s="14" t="s">
        <v>20433</v>
      </c>
      <c r="B10755" s="26" t="s">
        <v>20434</v>
      </c>
      <c r="C10755" s="52"/>
      <c r="D10755" s="55">
        <f t="shared" si="167"/>
        <v>0</v>
      </c>
      <c r="E10755" s="63" t="str">
        <f>HYPERLINK("https://www.sds-group.ru/product/girlyanda-sosulki-1-5h0-25-m-prozrachnyy-provod-teplyy-belyy-tsvet-svecheniya-neon-night-303-067/", "Инфо")</f>
        <v>Инфо</v>
      </c>
      <c r="F10755" s="16" t="s">
        <v>39</v>
      </c>
      <c r="G10755" s="15"/>
      <c r="H10755" s="15"/>
      <c r="I10755" s="15"/>
      <c r="J10755" s="16" t="s">
        <v>100</v>
      </c>
      <c r="K10755" s="15" t="s">
        <v>8890</v>
      </c>
      <c r="L10755" s="17">
        <v>5</v>
      </c>
      <c r="M10755" s="17">
        <v>100</v>
      </c>
      <c r="N10755" s="17">
        <v>5</v>
      </c>
      <c r="O10755" s="18">
        <v>537.92999999999995</v>
      </c>
      <c r="P10755" s="18">
        <v>440.93</v>
      </c>
      <c r="Q10755" s="18">
        <v>430.34</v>
      </c>
      <c r="R10755" s="18">
        <v>352.74</v>
      </c>
      <c r="S10755" s="18">
        <v>365.79</v>
      </c>
      <c r="T10755" s="18">
        <v>299.83</v>
      </c>
      <c r="U10755" s="16"/>
      <c r="V10755" s="16"/>
      <c r="W10755" s="16" t="s">
        <v>40</v>
      </c>
      <c r="X10755" s="19">
        <v>0.152</v>
      </c>
      <c r="Y10755" s="20">
        <v>6.6E-4</v>
      </c>
      <c r="Z10755" s="21">
        <v>4601004181120</v>
      </c>
    </row>
    <row r="10756" spans="1:26" ht="12" customHeight="1" outlineLevel="4" x14ac:dyDescent="0.2">
      <c r="A10756" s="14" t="s">
        <v>20435</v>
      </c>
      <c r="B10756" s="26" t="s">
        <v>20436</v>
      </c>
      <c r="C10756" s="52"/>
      <c r="D10756" s="55">
        <f t="shared" si="167"/>
        <v>0</v>
      </c>
      <c r="E10756" s="63" t="str">
        <f>HYPERLINK("https://www.sds-group.ru/product/loft-girlyanda-svetodiodnaya-5-m-chernyy-pvh-20-led-teploe-beloe-svechenie-neon-night-303-066/", "Инфо")</f>
        <v>Инфо</v>
      </c>
      <c r="F10756" s="16" t="s">
        <v>39</v>
      </c>
      <c r="G10756" s="15"/>
      <c r="H10756" s="15"/>
      <c r="I10756" s="15"/>
      <c r="J10756" s="16" t="s">
        <v>100</v>
      </c>
      <c r="K10756" s="15" t="s">
        <v>6181</v>
      </c>
      <c r="L10756" s="17">
        <v>1</v>
      </c>
      <c r="M10756" s="17">
        <v>8</v>
      </c>
      <c r="N10756" s="17">
        <v>1</v>
      </c>
      <c r="O10756" s="18">
        <v>1760.31</v>
      </c>
      <c r="P10756" s="18">
        <v>1442.88</v>
      </c>
      <c r="Q10756" s="18">
        <v>1390.64</v>
      </c>
      <c r="R10756" s="18">
        <v>1139.8699999999999</v>
      </c>
      <c r="S10756" s="18">
        <v>1197.01</v>
      </c>
      <c r="T10756" s="18">
        <v>981.16</v>
      </c>
      <c r="U10756" s="16"/>
      <c r="V10756" s="16"/>
      <c r="W10756" s="16" t="s">
        <v>40</v>
      </c>
      <c r="X10756" s="19">
        <v>0.47599999999999998</v>
      </c>
      <c r="Y10756" s="20">
        <v>3.6570000000000001E-3</v>
      </c>
      <c r="Z10756" s="21">
        <v>4601004180291</v>
      </c>
    </row>
    <row r="10757" spans="1:26" ht="12" customHeight="1" outlineLevel="4" x14ac:dyDescent="0.2">
      <c r="A10757" s="14" t="s">
        <v>20437</v>
      </c>
      <c r="B10757" s="26" t="s">
        <v>20438</v>
      </c>
      <c r="C10757" s="52"/>
      <c r="D10757" s="55">
        <f t="shared" si="167"/>
        <v>0</v>
      </c>
      <c r="E10757" s="63" t="str">
        <f>HYPERLINK("https://www.sds-group.ru/product/prisoska-s-kryuchkom-10-sht-104-321/", "Инфо")</f>
        <v>Инфо</v>
      </c>
      <c r="F10757" s="16" t="s">
        <v>1001</v>
      </c>
      <c r="G10757" s="15"/>
      <c r="H10757" s="15"/>
      <c r="I10757" s="15"/>
      <c r="J10757" s="17">
        <v>12</v>
      </c>
      <c r="K10757" s="15" t="s">
        <v>6181</v>
      </c>
      <c r="L10757" s="17">
        <v>10</v>
      </c>
      <c r="M10757" s="17">
        <v>186</v>
      </c>
      <c r="N10757" s="17">
        <v>10</v>
      </c>
      <c r="O10757" s="18">
        <v>200.79</v>
      </c>
      <c r="P10757" s="18">
        <v>164.58</v>
      </c>
      <c r="Q10757" s="18">
        <v>140.55000000000001</v>
      </c>
      <c r="R10757" s="18">
        <v>115.2</v>
      </c>
      <c r="S10757" s="18">
        <v>136.54</v>
      </c>
      <c r="T10757" s="18">
        <v>111.92</v>
      </c>
      <c r="U10757" s="16"/>
      <c r="V10757" s="16"/>
      <c r="W10757" s="16"/>
      <c r="X10757" s="19">
        <v>4.7E-2</v>
      </c>
      <c r="Y10757" s="20">
        <v>2.7999999999999998E-4</v>
      </c>
      <c r="Z10757" s="21">
        <v>4601004014312</v>
      </c>
    </row>
    <row r="10758" spans="1:26" ht="12" customHeight="1" outlineLevel="4" x14ac:dyDescent="0.2">
      <c r="A10758" s="14" t="s">
        <v>20439</v>
      </c>
      <c r="B10758" s="26" t="s">
        <v>20440</v>
      </c>
      <c r="C10758" s="52"/>
      <c r="D10758" s="55">
        <f t="shared" si="167"/>
        <v>0</v>
      </c>
      <c r="E10758" s="63" t="str">
        <f>HYPERLINK("https://www.sds-group.ru/product/girlyanda-svechi-10m-temno-zelenyy-pvh-50-led-teplyy-belyy-303-085/", "Инфо")</f>
        <v>Инфо</v>
      </c>
      <c r="F10758" s="16" t="s">
        <v>39</v>
      </c>
      <c r="G10758" s="15"/>
      <c r="H10758" s="15"/>
      <c r="I10758" s="15"/>
      <c r="J10758" s="16" t="s">
        <v>100</v>
      </c>
      <c r="K10758" s="15" t="s">
        <v>8890</v>
      </c>
      <c r="L10758" s="17">
        <v>1</v>
      </c>
      <c r="M10758" s="17">
        <v>24</v>
      </c>
      <c r="N10758" s="17">
        <v>1</v>
      </c>
      <c r="O10758" s="18">
        <v>2086.04</v>
      </c>
      <c r="P10758" s="18">
        <v>1709.87</v>
      </c>
      <c r="Q10758" s="18">
        <v>1460.23</v>
      </c>
      <c r="R10758" s="18">
        <v>1196.9100000000001</v>
      </c>
      <c r="S10758" s="18">
        <v>1418.51</v>
      </c>
      <c r="T10758" s="18">
        <v>1162.71</v>
      </c>
      <c r="U10758" s="16"/>
      <c r="V10758" s="16"/>
      <c r="W10758" s="16"/>
      <c r="X10758" s="19">
        <v>0.55000000000000004</v>
      </c>
      <c r="Y10758" s="20">
        <v>3.4150000000000001E-3</v>
      </c>
      <c r="Z10758" s="21">
        <v>4601004016606</v>
      </c>
    </row>
    <row r="10759" spans="1:26" ht="12" customHeight="1" outlineLevel="4" x14ac:dyDescent="0.2">
      <c r="A10759" s="14" t="s">
        <v>20441</v>
      </c>
      <c r="B10759" s="26" t="s">
        <v>20442</v>
      </c>
      <c r="C10759" s="52"/>
      <c r="D10759" s="55">
        <f t="shared" si="167"/>
        <v>0</v>
      </c>
      <c r="E10759" s="63" t="str">
        <f>HYPERLINK("https://www.sds-group.ru/product/girlyanda-svechi-4m-temno-zelenyy-pvh-20-led-teplyy-belyy-303-083/", "Инфо")</f>
        <v>Инфо</v>
      </c>
      <c r="F10759" s="16" t="s">
        <v>39</v>
      </c>
      <c r="G10759" s="15"/>
      <c r="H10759" s="15"/>
      <c r="I10759" s="15"/>
      <c r="J10759" s="16" t="s">
        <v>100</v>
      </c>
      <c r="K10759" s="15" t="s">
        <v>8890</v>
      </c>
      <c r="L10759" s="17">
        <v>1</v>
      </c>
      <c r="M10759" s="17">
        <v>48</v>
      </c>
      <c r="N10759" s="17">
        <v>1</v>
      </c>
      <c r="O10759" s="18">
        <v>1064.55</v>
      </c>
      <c r="P10759" s="18">
        <v>872.58</v>
      </c>
      <c r="Q10759" s="18">
        <v>745.19</v>
      </c>
      <c r="R10759" s="18">
        <v>610.80999999999995</v>
      </c>
      <c r="S10759" s="18">
        <v>723.89</v>
      </c>
      <c r="T10759" s="18">
        <v>593.35</v>
      </c>
      <c r="U10759" s="16"/>
      <c r="V10759" s="16"/>
      <c r="W10759" s="16"/>
      <c r="X10759" s="19">
        <v>0.27200000000000002</v>
      </c>
      <c r="Y10759" s="20">
        <v>1.655E-3</v>
      </c>
      <c r="Z10759" s="21">
        <v>4601004016583</v>
      </c>
    </row>
    <row r="10760" spans="1:26" ht="12" customHeight="1" outlineLevel="4" x14ac:dyDescent="0.2">
      <c r="A10760" s="14" t="s">
        <v>20443</v>
      </c>
      <c r="B10760" s="26" t="s">
        <v>20444</v>
      </c>
      <c r="C10760" s="52"/>
      <c r="D10760" s="55">
        <f t="shared" si="167"/>
        <v>0</v>
      </c>
      <c r="E10760" s="63" t="str">
        <f>HYPERLINK("https://www.sds-group.ru/product/girlyanda-svechi-6m-temno-zelenyy-pvh-30-led-teplyy-belyy-303-084/", "Инфо")</f>
        <v>Инфо</v>
      </c>
      <c r="F10760" s="16" t="s">
        <v>39</v>
      </c>
      <c r="G10760" s="15"/>
      <c r="H10760" s="15"/>
      <c r="I10760" s="15"/>
      <c r="J10760" s="16" t="s">
        <v>100</v>
      </c>
      <c r="K10760" s="15" t="s">
        <v>8890</v>
      </c>
      <c r="L10760" s="17">
        <v>1</v>
      </c>
      <c r="M10760" s="17">
        <v>36</v>
      </c>
      <c r="N10760" s="17">
        <v>1</v>
      </c>
      <c r="O10760" s="18">
        <v>1603.56</v>
      </c>
      <c r="P10760" s="18">
        <v>1314.39</v>
      </c>
      <c r="Q10760" s="18">
        <v>1122.49</v>
      </c>
      <c r="R10760" s="18">
        <v>920.07</v>
      </c>
      <c r="S10760" s="18">
        <v>1090.42</v>
      </c>
      <c r="T10760" s="18">
        <v>893.79</v>
      </c>
      <c r="U10760" s="16"/>
      <c r="V10760" s="16"/>
      <c r="W10760" s="16"/>
      <c r="X10760" s="19">
        <v>0.37</v>
      </c>
      <c r="Y10760" s="20">
        <v>2.4979999999999998E-3</v>
      </c>
      <c r="Z10760" s="21">
        <v>4601004016590</v>
      </c>
    </row>
    <row r="10761" spans="1:26" ht="12" customHeight="1" outlineLevel="4" x14ac:dyDescent="0.2">
      <c r="A10761" s="14" t="s">
        <v>20445</v>
      </c>
      <c r="B10761" s="26" t="s">
        <v>20446</v>
      </c>
      <c r="C10761" s="52"/>
      <c r="D10761" s="55">
        <f t="shared" ref="D10761:D10824" si="168">C10761*(O10761-O10761*$G$3)</f>
        <v>0</v>
      </c>
      <c r="E10761" s="63" t="str">
        <f>HYPERLINK("https://www.sds-group.ru/product/udlinitel-dlya-domashnih-girlyand-3-m-prozrachnyy-pvh-315-424/", "Инфо")</f>
        <v>Инфо</v>
      </c>
      <c r="F10761" s="16" t="s">
        <v>39</v>
      </c>
      <c r="G10761" s="15"/>
      <c r="H10761" s="15"/>
      <c r="I10761" s="15"/>
      <c r="J10761" s="16" t="s">
        <v>100</v>
      </c>
      <c r="K10761" s="15" t="s">
        <v>8890</v>
      </c>
      <c r="L10761" s="17">
        <v>10</v>
      </c>
      <c r="M10761" s="17">
        <v>300</v>
      </c>
      <c r="N10761" s="17">
        <v>10</v>
      </c>
      <c r="O10761" s="18">
        <v>133.4</v>
      </c>
      <c r="P10761" s="18">
        <v>109.34</v>
      </c>
      <c r="Q10761" s="18">
        <v>93.38</v>
      </c>
      <c r="R10761" s="18">
        <v>76.540000000000006</v>
      </c>
      <c r="S10761" s="18">
        <v>90.71</v>
      </c>
      <c r="T10761" s="18">
        <v>74.349999999999994</v>
      </c>
      <c r="U10761" s="16"/>
      <c r="V10761" s="16"/>
      <c r="W10761" s="16"/>
      <c r="X10761" s="19">
        <v>3.6999999999999998E-2</v>
      </c>
      <c r="Y10761" s="20">
        <v>1.25E-4</v>
      </c>
      <c r="Z10761" s="21">
        <v>4601004239609</v>
      </c>
    </row>
    <row r="10762" spans="1:26" ht="12.95" customHeight="1" outlineLevel="3" x14ac:dyDescent="0.2">
      <c r="A10762" s="76" t="s">
        <v>20447</v>
      </c>
      <c r="B10762" s="76"/>
      <c r="C10762" s="77"/>
      <c r="D10762" s="58"/>
      <c r="E10762" s="68"/>
      <c r="F10762" s="13"/>
      <c r="G10762" s="13"/>
      <c r="H10762" s="13"/>
      <c r="I10762" s="13"/>
      <c r="J10762" s="13"/>
      <c r="K10762" s="13"/>
      <c r="L10762" s="13"/>
      <c r="M10762" s="13"/>
      <c r="N10762" s="13"/>
      <c r="O10762" s="13"/>
      <c r="P10762" s="13"/>
      <c r="Q10762" s="13"/>
      <c r="R10762" s="13"/>
      <c r="S10762" s="13"/>
      <c r="T10762" s="13"/>
      <c r="U10762" s="13"/>
      <c r="V10762" s="13"/>
      <c r="W10762" s="13"/>
      <c r="X10762" s="13"/>
      <c r="Y10762" s="13"/>
      <c r="Z10762" s="13"/>
    </row>
    <row r="10763" spans="1:26" ht="12" customHeight="1" outlineLevel="4" x14ac:dyDescent="0.2">
      <c r="A10763" s="14" t="s">
        <v>20448</v>
      </c>
      <c r="B10763" s="26" t="s">
        <v>20449</v>
      </c>
      <c r="C10763" s="52"/>
      <c r="D10763" s="55">
        <f t="shared" si="168"/>
        <v>0</v>
      </c>
      <c r="E10763" s="63" t="str">
        <f>HYPERLINK("https://www.sds-group.ru/product/girlyanda-svetodiodnaya-banochki-1-5-m-10-led-prozrachnyy-pvh-tsvet-svecheniya-teplyy-belyy--303-096/", "Инфо")</f>
        <v>Инфо</v>
      </c>
      <c r="F10763" s="16" t="s">
        <v>39</v>
      </c>
      <c r="G10763" s="15"/>
      <c r="H10763" s="15"/>
      <c r="I10763" s="15"/>
      <c r="J10763" s="17">
        <v>4</v>
      </c>
      <c r="K10763" s="15" t="s">
        <v>8890</v>
      </c>
      <c r="L10763" s="17">
        <v>5</v>
      </c>
      <c r="M10763" s="17">
        <v>48</v>
      </c>
      <c r="N10763" s="17">
        <v>5</v>
      </c>
      <c r="O10763" s="18">
        <v>402.91</v>
      </c>
      <c r="P10763" s="18">
        <v>330.25</v>
      </c>
      <c r="Q10763" s="18">
        <v>282.04000000000002</v>
      </c>
      <c r="R10763" s="18">
        <v>231.18</v>
      </c>
      <c r="S10763" s="18">
        <v>273.98</v>
      </c>
      <c r="T10763" s="18">
        <v>224.57</v>
      </c>
      <c r="U10763" s="16"/>
      <c r="V10763" s="16"/>
      <c r="W10763" s="16"/>
      <c r="X10763" s="19">
        <v>0.17299999999999999</v>
      </c>
      <c r="Y10763" s="20">
        <v>9.4300000000000004E-4</v>
      </c>
      <c r="Z10763" s="21">
        <v>4601004180055</v>
      </c>
    </row>
    <row r="10764" spans="1:26" ht="12" customHeight="1" outlineLevel="4" x14ac:dyDescent="0.2">
      <c r="A10764" s="14" t="s">
        <v>20450</v>
      </c>
      <c r="B10764" s="26" t="s">
        <v>20451</v>
      </c>
      <c r="C10764" s="52"/>
      <c r="D10764" s="55">
        <f t="shared" si="168"/>
        <v>0</v>
      </c>
      <c r="E10764" s="63" t="str">
        <f>HYPERLINK("https://www.sds-group.ru/product/girlyanda-svetodiodnaya-vostochnye-fonariki-10-led-zheltye-1-5-metra-prozrachnyy-pvh-pitanie-303-071/", "Инфо")</f>
        <v>Инфо</v>
      </c>
      <c r="F10764" s="16" t="s">
        <v>39</v>
      </c>
      <c r="G10764" s="15"/>
      <c r="H10764" s="15"/>
      <c r="I10764" s="15"/>
      <c r="J10764" s="16" t="s">
        <v>100</v>
      </c>
      <c r="K10764" s="15" t="s">
        <v>8890</v>
      </c>
      <c r="L10764" s="17">
        <v>5</v>
      </c>
      <c r="M10764" s="17">
        <v>96</v>
      </c>
      <c r="N10764" s="17">
        <v>5</v>
      </c>
      <c r="O10764" s="18">
        <v>537.92999999999995</v>
      </c>
      <c r="P10764" s="18">
        <v>440.93</v>
      </c>
      <c r="Q10764" s="18">
        <v>376.55</v>
      </c>
      <c r="R10764" s="18">
        <v>308.64999999999998</v>
      </c>
      <c r="S10764" s="18">
        <v>365.79</v>
      </c>
      <c r="T10764" s="18">
        <v>299.83</v>
      </c>
      <c r="U10764" s="16"/>
      <c r="V10764" s="16"/>
      <c r="W10764" s="16"/>
      <c r="X10764" s="19">
        <v>9.0999999999999998E-2</v>
      </c>
      <c r="Y10764" s="20">
        <v>7.3499999999999998E-4</v>
      </c>
      <c r="Z10764" s="21">
        <v>4601004130609</v>
      </c>
    </row>
    <row r="10765" spans="1:26" ht="12" customHeight="1" outlineLevel="4" x14ac:dyDescent="0.2">
      <c r="A10765" s="32" t="s">
        <v>20452</v>
      </c>
      <c r="B10765" s="74" t="s">
        <v>20453</v>
      </c>
      <c r="C10765" s="50"/>
      <c r="D10765" s="53">
        <f t="shared" si="168"/>
        <v>0</v>
      </c>
      <c r="E10765" s="60" t="str">
        <f>HYPERLINK("https://www.sds-group.ru/product/girlyanda-svetodiodnaya-zhemchuzhinki-1-5-m-10-led-prozrachnyy-pvh-tsvet-svecheniya-teplyy-b-303-097/", "Инфо")</f>
        <v>Инфо</v>
      </c>
      <c r="F10765" s="34" t="s">
        <v>39</v>
      </c>
      <c r="G10765" s="33"/>
      <c r="H10765" s="33" t="s">
        <v>40</v>
      </c>
      <c r="I10765" s="33"/>
      <c r="J10765" s="35">
        <v>17</v>
      </c>
      <c r="K10765" s="33"/>
      <c r="L10765" s="35">
        <v>1</v>
      </c>
      <c r="M10765" s="35">
        <v>100</v>
      </c>
      <c r="N10765" s="35">
        <v>1</v>
      </c>
      <c r="O10765" s="36">
        <v>402.91</v>
      </c>
      <c r="P10765" s="36">
        <v>330.25</v>
      </c>
      <c r="Q10765" s="36">
        <v>282.04000000000002</v>
      </c>
      <c r="R10765" s="36">
        <v>231.18</v>
      </c>
      <c r="S10765" s="36">
        <v>273.98</v>
      </c>
      <c r="T10765" s="36">
        <v>224.57</v>
      </c>
      <c r="U10765" s="34"/>
      <c r="V10765" s="34"/>
      <c r="W10765" s="34"/>
      <c r="X10765" s="37">
        <v>5.5E-2</v>
      </c>
      <c r="Y10765" s="38">
        <v>4.2400000000000001E-4</v>
      </c>
      <c r="Z10765" s="21">
        <v>4601004180116</v>
      </c>
    </row>
    <row r="10766" spans="1:26" ht="12" customHeight="1" outlineLevel="4" x14ac:dyDescent="0.2">
      <c r="A10766" s="32" t="s">
        <v>20454</v>
      </c>
      <c r="B10766" s="74" t="s">
        <v>20455</v>
      </c>
      <c r="C10766" s="50"/>
      <c r="D10766" s="53">
        <f t="shared" si="168"/>
        <v>0</v>
      </c>
      <c r="E10766" s="60" t="str">
        <f>HYPERLINK("https://www.sds-group.ru/product/girlyanda-svetodiodnaya-zvezdopad-biryuzovaya-10-led-2-25-m-prozrachnyy-pvh-belyy-tsvet-svec-304-004/", "Инфо")</f>
        <v>Инфо</v>
      </c>
      <c r="F10766" s="34" t="s">
        <v>39</v>
      </c>
      <c r="G10766" s="33"/>
      <c r="H10766" s="33" t="s">
        <v>40</v>
      </c>
      <c r="I10766" s="33"/>
      <c r="J10766" s="35">
        <v>81</v>
      </c>
      <c r="K10766" s="33"/>
      <c r="L10766" s="35">
        <v>1</v>
      </c>
      <c r="M10766" s="35">
        <v>60</v>
      </c>
      <c r="N10766" s="35">
        <v>1</v>
      </c>
      <c r="O10766" s="36">
        <v>672.41</v>
      </c>
      <c r="P10766" s="36">
        <v>551.16</v>
      </c>
      <c r="Q10766" s="36">
        <v>470.69</v>
      </c>
      <c r="R10766" s="36">
        <v>385.81</v>
      </c>
      <c r="S10766" s="36">
        <v>457.24</v>
      </c>
      <c r="T10766" s="36">
        <v>374.79</v>
      </c>
      <c r="U10766" s="34"/>
      <c r="V10766" s="34"/>
      <c r="W10766" s="34"/>
      <c r="X10766" s="37">
        <v>0.34899999999999998</v>
      </c>
      <c r="Y10766" s="38">
        <v>1.158E-3</v>
      </c>
      <c r="Z10766" s="21">
        <v>4601004181151</v>
      </c>
    </row>
    <row r="10767" spans="1:26" ht="12" customHeight="1" outlineLevel="4" x14ac:dyDescent="0.2">
      <c r="A10767" s="14" t="s">
        <v>20456</v>
      </c>
      <c r="B10767" s="26" t="s">
        <v>20457</v>
      </c>
      <c r="C10767" s="52"/>
      <c r="D10767" s="55">
        <f t="shared" si="168"/>
        <v>0</v>
      </c>
      <c r="E10767" s="63" t="str">
        <f>HYPERLINK("https://www.sds-group.ru/product/girlyanda-svetodiodnaya-zvezdopad-krasnaya-10-led-2-25-m-prozrachnyy-pvh-teplyy-belyy-svet-s-304-002/", "Инфо")</f>
        <v>Инфо</v>
      </c>
      <c r="F10767" s="16" t="s">
        <v>39</v>
      </c>
      <c r="G10767" s="15"/>
      <c r="H10767" s="15"/>
      <c r="I10767" s="15"/>
      <c r="J10767" s="17">
        <v>492</v>
      </c>
      <c r="K10767" s="15"/>
      <c r="L10767" s="17">
        <v>1</v>
      </c>
      <c r="M10767" s="17">
        <v>60</v>
      </c>
      <c r="N10767" s="17">
        <v>1</v>
      </c>
      <c r="O10767" s="18">
        <v>537.92999999999995</v>
      </c>
      <c r="P10767" s="18">
        <v>440.93</v>
      </c>
      <c r="Q10767" s="18">
        <v>376.55</v>
      </c>
      <c r="R10767" s="18">
        <v>308.64999999999998</v>
      </c>
      <c r="S10767" s="18">
        <v>365.79</v>
      </c>
      <c r="T10767" s="18">
        <v>299.83</v>
      </c>
      <c r="U10767" s="16"/>
      <c r="V10767" s="16"/>
      <c r="W10767" s="16" t="s">
        <v>40</v>
      </c>
      <c r="X10767" s="19">
        <v>0.34100000000000003</v>
      </c>
      <c r="Y10767" s="20">
        <v>1.2310000000000001E-3</v>
      </c>
      <c r="Z10767" s="21">
        <v>4601004181168</v>
      </c>
    </row>
    <row r="10768" spans="1:26" ht="12" customHeight="1" outlineLevel="4" x14ac:dyDescent="0.2">
      <c r="A10768" s="14" t="s">
        <v>20458</v>
      </c>
      <c r="B10768" s="26" t="s">
        <v>20459</v>
      </c>
      <c r="C10768" s="52"/>
      <c r="D10768" s="55">
        <f t="shared" si="168"/>
        <v>0</v>
      </c>
      <c r="E10768" s="63" t="str">
        <f>HYPERLINK("https://www.sds-group.ru/product/girlyanda-svetodiodnaya-zvezdochki-1-5-m-10-led-prozrachnyy-pvh-tsvet-svecheniya-multikolor--303-090/", "Инфо")</f>
        <v>Инфо</v>
      </c>
      <c r="F10768" s="16" t="s">
        <v>39</v>
      </c>
      <c r="G10768" s="15"/>
      <c r="H10768" s="15"/>
      <c r="I10768" s="15"/>
      <c r="J10768" s="17">
        <v>7</v>
      </c>
      <c r="K10768" s="15" t="s">
        <v>8890</v>
      </c>
      <c r="L10768" s="17">
        <v>5</v>
      </c>
      <c r="M10768" s="17">
        <v>100</v>
      </c>
      <c r="N10768" s="17">
        <v>5</v>
      </c>
      <c r="O10768" s="18">
        <v>315.8</v>
      </c>
      <c r="P10768" s="18">
        <v>258.85000000000002</v>
      </c>
      <c r="Q10768" s="18">
        <v>221.06</v>
      </c>
      <c r="R10768" s="18">
        <v>181.2</v>
      </c>
      <c r="S10768" s="18">
        <v>214.74</v>
      </c>
      <c r="T10768" s="18">
        <v>176.02</v>
      </c>
      <c r="U10768" s="16"/>
      <c r="V10768" s="16"/>
      <c r="W10768" s="16"/>
      <c r="X10768" s="19">
        <v>7.4999999999999997E-2</v>
      </c>
      <c r="Y10768" s="20">
        <v>4.3899999999999999E-4</v>
      </c>
      <c r="Z10768" s="21">
        <v>4601004179998</v>
      </c>
    </row>
    <row r="10769" spans="1:26" ht="12" customHeight="1" outlineLevel="4" x14ac:dyDescent="0.2">
      <c r="A10769" s="14" t="s">
        <v>20460</v>
      </c>
      <c r="B10769" s="26" t="s">
        <v>20461</v>
      </c>
      <c r="C10769" s="52"/>
      <c r="D10769" s="55">
        <f t="shared" si="168"/>
        <v>0</v>
      </c>
      <c r="E10769" s="63" t="str">
        <f>HYPERLINK("https://www.sds-group.ru/product/girlyanda-svetodiodnaya-zvezdochki-1-5-m-10-led-prozrachnyy-pvh-tsvet-svecheniya-teplyy-bely-303-091/", "Инфо")</f>
        <v>Инфо</v>
      </c>
      <c r="F10769" s="16" t="s">
        <v>39</v>
      </c>
      <c r="G10769" s="15"/>
      <c r="H10769" s="15"/>
      <c r="I10769" s="15"/>
      <c r="J10769" s="17">
        <v>11</v>
      </c>
      <c r="K10769" s="15" t="s">
        <v>6181</v>
      </c>
      <c r="L10769" s="17">
        <v>5</v>
      </c>
      <c r="M10769" s="17">
        <v>100</v>
      </c>
      <c r="N10769" s="17">
        <v>5</v>
      </c>
      <c r="O10769" s="18">
        <v>315.8</v>
      </c>
      <c r="P10769" s="18">
        <v>258.85000000000002</v>
      </c>
      <c r="Q10769" s="18">
        <v>221.06</v>
      </c>
      <c r="R10769" s="18">
        <v>181.2</v>
      </c>
      <c r="S10769" s="18">
        <v>214.74</v>
      </c>
      <c r="T10769" s="18">
        <v>176.02</v>
      </c>
      <c r="U10769" s="16"/>
      <c r="V10769" s="16"/>
      <c r="W10769" s="16"/>
      <c r="X10769" s="19">
        <v>6.7000000000000004E-2</v>
      </c>
      <c r="Y10769" s="20">
        <v>4.5399999999999998E-4</v>
      </c>
      <c r="Z10769" s="21">
        <v>4601004180086</v>
      </c>
    </row>
    <row r="10770" spans="1:26" ht="12" customHeight="1" outlineLevel="4" x14ac:dyDescent="0.2">
      <c r="A10770" s="14" t="s">
        <v>20462</v>
      </c>
      <c r="B10770" s="26" t="s">
        <v>20463</v>
      </c>
      <c r="C10770" s="52"/>
      <c r="D10770" s="55">
        <f t="shared" si="168"/>
        <v>0</v>
      </c>
      <c r="E10770" s="63" t="str">
        <f>HYPERLINK("https://www.sds-group.ru/product/girlyanda-svetodiodnaya-karamelki-1-5-m-10-led-prozrachnyy-pvh-teplyy-belyy-pitanie-usb-neon-304-001/", "Инфо")</f>
        <v>Инфо</v>
      </c>
      <c r="F10770" s="16" t="s">
        <v>39</v>
      </c>
      <c r="G10770" s="15"/>
      <c r="H10770" s="15"/>
      <c r="I10770" s="15"/>
      <c r="J10770" s="17">
        <v>326</v>
      </c>
      <c r="K10770" s="15"/>
      <c r="L10770" s="17">
        <v>5</v>
      </c>
      <c r="M10770" s="17">
        <v>24</v>
      </c>
      <c r="N10770" s="17">
        <v>5</v>
      </c>
      <c r="O10770" s="18">
        <v>605.04</v>
      </c>
      <c r="P10770" s="18">
        <v>495.93</v>
      </c>
      <c r="Q10770" s="18">
        <v>484.03</v>
      </c>
      <c r="R10770" s="18">
        <v>396.75</v>
      </c>
      <c r="S10770" s="18">
        <v>411.43</v>
      </c>
      <c r="T10770" s="18">
        <v>337.24</v>
      </c>
      <c r="U10770" s="16"/>
      <c r="V10770" s="16"/>
      <c r="W10770" s="16" t="s">
        <v>40</v>
      </c>
      <c r="X10770" s="19">
        <v>0.14199999999999999</v>
      </c>
      <c r="Y10770" s="20">
        <v>2.3010000000000001E-3</v>
      </c>
      <c r="Z10770" s="21">
        <v>4601004283633</v>
      </c>
    </row>
    <row r="10771" spans="1:26" ht="12" customHeight="1" outlineLevel="4" x14ac:dyDescent="0.2">
      <c r="A10771" s="32" t="s">
        <v>20464</v>
      </c>
      <c r="B10771" s="74" t="s">
        <v>20465</v>
      </c>
      <c r="C10771" s="50"/>
      <c r="D10771" s="53">
        <f t="shared" si="168"/>
        <v>0</v>
      </c>
      <c r="E10771" s="60" t="str">
        <f>HYPERLINK("https://www.sds-group.ru/product/girlyanda-svetodiodnaya-karamelki-1-5-m-prozrachnyy-pvh-10-led-teplyy-belyy-pitanie-2-h-aa-b-303-082/", "Инфо")</f>
        <v>Инфо</v>
      </c>
      <c r="F10771" s="34" t="s">
        <v>39</v>
      </c>
      <c r="G10771" s="33"/>
      <c r="H10771" s="33" t="s">
        <v>40</v>
      </c>
      <c r="I10771" s="33"/>
      <c r="J10771" s="34" t="s">
        <v>100</v>
      </c>
      <c r="K10771" s="33"/>
      <c r="L10771" s="35">
        <v>1</v>
      </c>
      <c r="M10771" s="35">
        <v>24</v>
      </c>
      <c r="N10771" s="35">
        <v>1</v>
      </c>
      <c r="O10771" s="36">
        <v>672.41</v>
      </c>
      <c r="P10771" s="36">
        <v>551.16</v>
      </c>
      <c r="Q10771" s="36">
        <v>470.69</v>
      </c>
      <c r="R10771" s="36">
        <v>385.81</v>
      </c>
      <c r="S10771" s="36">
        <v>457.24</v>
      </c>
      <c r="T10771" s="36">
        <v>374.79</v>
      </c>
      <c r="U10771" s="34"/>
      <c r="V10771" s="34"/>
      <c r="W10771" s="34"/>
      <c r="X10771" s="37">
        <v>0.182</v>
      </c>
      <c r="Y10771" s="38">
        <v>2.7759999999999998E-3</v>
      </c>
      <c r="Z10771" s="21">
        <v>4601004148321</v>
      </c>
    </row>
    <row r="10772" spans="1:26" ht="12" customHeight="1" outlineLevel="4" x14ac:dyDescent="0.2">
      <c r="A10772" s="14" t="s">
        <v>20466</v>
      </c>
      <c r="B10772" s="26" t="s">
        <v>20467</v>
      </c>
      <c r="C10772" s="52"/>
      <c r="D10772" s="55">
        <f t="shared" si="168"/>
        <v>0</v>
      </c>
      <c r="E10772" s="63" t="str">
        <f>HYPERLINK("https://www.sds-group.ru/product/girlyanda-svetodiodnaya-kristally-bronzovye-10-led-1-5-m-prozrachnyy-pvh-teplyy-belyy-svet-s-304-019/", "Инфо")</f>
        <v>Инфо</v>
      </c>
      <c r="F10772" s="16" t="s">
        <v>39</v>
      </c>
      <c r="G10772" s="15"/>
      <c r="H10772" s="15"/>
      <c r="I10772" s="15"/>
      <c r="J10772" s="17">
        <v>110</v>
      </c>
      <c r="K10772" s="15"/>
      <c r="L10772" s="17">
        <v>1</v>
      </c>
      <c r="M10772" s="17">
        <v>60</v>
      </c>
      <c r="N10772" s="17">
        <v>1</v>
      </c>
      <c r="O10772" s="18">
        <v>672.41</v>
      </c>
      <c r="P10772" s="18">
        <v>551.16</v>
      </c>
      <c r="Q10772" s="18">
        <v>470.69</v>
      </c>
      <c r="R10772" s="18">
        <v>385.81</v>
      </c>
      <c r="S10772" s="18">
        <v>457.24</v>
      </c>
      <c r="T10772" s="18">
        <v>374.79</v>
      </c>
      <c r="U10772" s="16"/>
      <c r="V10772" s="16"/>
      <c r="W10772" s="16"/>
      <c r="X10772" s="19">
        <v>0.16900000000000001</v>
      </c>
      <c r="Y10772" s="20">
        <v>1.446E-3</v>
      </c>
      <c r="Z10772" s="21">
        <v>4601004181113</v>
      </c>
    </row>
    <row r="10773" spans="1:26" ht="12" customHeight="1" outlineLevel="4" x14ac:dyDescent="0.2">
      <c r="A10773" s="32" t="s">
        <v>20468</v>
      </c>
      <c r="B10773" s="74" t="s">
        <v>20469</v>
      </c>
      <c r="C10773" s="50"/>
      <c r="D10773" s="53">
        <f t="shared" si="168"/>
        <v>0</v>
      </c>
      <c r="E10773" s="60" t="str">
        <f>HYPERLINK("https://www.sds-group.ru/product/girlyanda-svetodiodnaya-kristally-chernye-10-led-1-5-m-prozrachnyy-pvh-teplyy-belyy-svet-sve-304-017/", "Инфо")</f>
        <v>Инфо</v>
      </c>
      <c r="F10773" s="34" t="s">
        <v>39</v>
      </c>
      <c r="G10773" s="33"/>
      <c r="H10773" s="33" t="s">
        <v>40</v>
      </c>
      <c r="I10773" s="33"/>
      <c r="J10773" s="35">
        <v>97</v>
      </c>
      <c r="K10773" s="33"/>
      <c r="L10773" s="35">
        <v>1</v>
      </c>
      <c r="M10773" s="35">
        <v>60</v>
      </c>
      <c r="N10773" s="35">
        <v>1</v>
      </c>
      <c r="O10773" s="36">
        <v>672.41</v>
      </c>
      <c r="P10773" s="36">
        <v>551.16</v>
      </c>
      <c r="Q10773" s="36">
        <v>470.69</v>
      </c>
      <c r="R10773" s="36">
        <v>385.81</v>
      </c>
      <c r="S10773" s="36">
        <v>457.24</v>
      </c>
      <c r="T10773" s="36">
        <v>374.79</v>
      </c>
      <c r="U10773" s="34"/>
      <c r="V10773" s="34"/>
      <c r="W10773" s="34"/>
      <c r="X10773" s="37">
        <v>0.17100000000000001</v>
      </c>
      <c r="Y10773" s="38">
        <v>1.4649999999999999E-3</v>
      </c>
      <c r="Z10773" s="21">
        <v>4601004181106</v>
      </c>
    </row>
    <row r="10774" spans="1:26" ht="12" customHeight="1" outlineLevel="4" x14ac:dyDescent="0.2">
      <c r="A10774" s="14" t="s">
        <v>20470</v>
      </c>
      <c r="B10774" s="26" t="s">
        <v>20471</v>
      </c>
      <c r="C10774" s="52"/>
      <c r="D10774" s="55">
        <f t="shared" si="168"/>
        <v>0</v>
      </c>
      <c r="E10774" s="63" t="str">
        <f>HYPERLINK("https://www.sds-group.ru/product/girlyanda-svetodiodnaya-mishura-zolotaya-10-led-1-5-m-prozrachnyy-pvh-teploe-beloe-svechenie-304-012/", "Инфо")</f>
        <v>Инфо</v>
      </c>
      <c r="F10774" s="16" t="s">
        <v>39</v>
      </c>
      <c r="G10774" s="15"/>
      <c r="H10774" s="15"/>
      <c r="I10774" s="15"/>
      <c r="J10774" s="17">
        <v>8</v>
      </c>
      <c r="K10774" s="15"/>
      <c r="L10774" s="17">
        <v>5</v>
      </c>
      <c r="M10774" s="17">
        <v>24</v>
      </c>
      <c r="N10774" s="17">
        <v>5</v>
      </c>
      <c r="O10774" s="18">
        <v>268.16000000000003</v>
      </c>
      <c r="P10774" s="18">
        <v>219.8</v>
      </c>
      <c r="Q10774" s="18">
        <v>214.53</v>
      </c>
      <c r="R10774" s="18">
        <v>175.84</v>
      </c>
      <c r="S10774" s="18">
        <v>182.35</v>
      </c>
      <c r="T10774" s="18">
        <v>149.47</v>
      </c>
      <c r="U10774" s="16"/>
      <c r="V10774" s="16"/>
      <c r="W10774" s="16" t="s">
        <v>40</v>
      </c>
      <c r="X10774" s="19">
        <v>0.09</v>
      </c>
      <c r="Y10774" s="20">
        <v>1.155E-3</v>
      </c>
      <c r="Z10774" s="21">
        <v>4601004181182</v>
      </c>
    </row>
    <row r="10775" spans="1:26" ht="12" customHeight="1" outlineLevel="4" x14ac:dyDescent="0.2">
      <c r="A10775" s="32" t="s">
        <v>20472</v>
      </c>
      <c r="B10775" s="74" t="s">
        <v>20473</v>
      </c>
      <c r="C10775" s="50"/>
      <c r="D10775" s="53">
        <f t="shared" si="168"/>
        <v>0</v>
      </c>
      <c r="E10775" s="60" t="str">
        <f>HYPERLINK("https://www.sds-group.ru/product/girlyanda-svetodiodnaya-mishura-serebryanaya-10-led-1-5-m-prozrachnyy-pvh-belyy-svet-svechen-304-011/", "Инфо")</f>
        <v>Инфо</v>
      </c>
      <c r="F10775" s="34" t="s">
        <v>39</v>
      </c>
      <c r="G10775" s="33"/>
      <c r="H10775" s="33" t="s">
        <v>40</v>
      </c>
      <c r="I10775" s="33"/>
      <c r="J10775" s="35">
        <v>125</v>
      </c>
      <c r="K10775" s="33"/>
      <c r="L10775" s="35">
        <v>1</v>
      </c>
      <c r="M10775" s="35">
        <v>24</v>
      </c>
      <c r="N10775" s="35">
        <v>1</v>
      </c>
      <c r="O10775" s="36">
        <v>268.16000000000003</v>
      </c>
      <c r="P10775" s="36">
        <v>219.8</v>
      </c>
      <c r="Q10775" s="36">
        <v>214.53</v>
      </c>
      <c r="R10775" s="36">
        <v>175.84</v>
      </c>
      <c r="S10775" s="36">
        <v>182.35</v>
      </c>
      <c r="T10775" s="36">
        <v>149.47</v>
      </c>
      <c r="U10775" s="34"/>
      <c r="V10775" s="34"/>
      <c r="W10775" s="34" t="s">
        <v>40</v>
      </c>
      <c r="X10775" s="37">
        <v>8.8999999999999996E-2</v>
      </c>
      <c r="Y10775" s="38">
        <v>1.189E-3</v>
      </c>
      <c r="Z10775" s="21">
        <v>4601004181175</v>
      </c>
    </row>
    <row r="10776" spans="1:26" ht="12" customHeight="1" outlineLevel="4" x14ac:dyDescent="0.2">
      <c r="A10776" s="14" t="s">
        <v>20474</v>
      </c>
      <c r="B10776" s="26" t="s">
        <v>20475</v>
      </c>
      <c r="C10776" s="52"/>
      <c r="D10776" s="55">
        <f t="shared" si="168"/>
        <v>0</v>
      </c>
      <c r="E10776" s="63" t="str">
        <f>HYPERLINK("https://www.sds-group.ru/product/girlyanda-svetodiodnaya-na-solnechnoy-bataree-zvezdy-12-led-teplyy-belyy-1-2-metra-303-070/", "Инфо")</f>
        <v>Инфо</v>
      </c>
      <c r="F10776" s="16" t="s">
        <v>39</v>
      </c>
      <c r="G10776" s="15"/>
      <c r="H10776" s="15"/>
      <c r="I10776" s="15"/>
      <c r="J10776" s="17">
        <v>395</v>
      </c>
      <c r="K10776" s="15"/>
      <c r="L10776" s="17">
        <v>1</v>
      </c>
      <c r="M10776" s="17">
        <v>48</v>
      </c>
      <c r="N10776" s="17">
        <v>1</v>
      </c>
      <c r="O10776" s="18">
        <v>941.92</v>
      </c>
      <c r="P10776" s="18">
        <v>772.07</v>
      </c>
      <c r="Q10776" s="18">
        <v>659.34</v>
      </c>
      <c r="R10776" s="18">
        <v>540.44000000000005</v>
      </c>
      <c r="S10776" s="18">
        <v>640.51</v>
      </c>
      <c r="T10776" s="18">
        <v>525.01</v>
      </c>
      <c r="U10776" s="16"/>
      <c r="V10776" s="16"/>
      <c r="W10776" s="16"/>
      <c r="X10776" s="19">
        <v>0.19600000000000001</v>
      </c>
      <c r="Y10776" s="20">
        <v>1.0009999999999999E-3</v>
      </c>
      <c r="Z10776" s="21">
        <v>4601004130562</v>
      </c>
    </row>
    <row r="10777" spans="1:26" ht="12" customHeight="1" outlineLevel="4" x14ac:dyDescent="0.2">
      <c r="A10777" s="14" t="s">
        <v>20476</v>
      </c>
      <c r="B10777" s="26" t="s">
        <v>20477</v>
      </c>
      <c r="C10777" s="52"/>
      <c r="D10777" s="55">
        <f t="shared" si="168"/>
        <v>0</v>
      </c>
      <c r="E10777" s="63" t="str">
        <f>HYPERLINK("https://www.sds-group.ru/product/girlyanda-svetodiodnaya-novyy-god-1-5-m-prozrachnyy-pvh-10-led-teplyy-belyy-pitanie-2-h-aa-b-303-081/", "Инфо")</f>
        <v>Инфо</v>
      </c>
      <c r="F10777" s="16" t="s">
        <v>39</v>
      </c>
      <c r="G10777" s="15"/>
      <c r="H10777" s="15"/>
      <c r="I10777" s="15"/>
      <c r="J10777" s="16" t="s">
        <v>100</v>
      </c>
      <c r="K10777" s="15" t="s">
        <v>8890</v>
      </c>
      <c r="L10777" s="17">
        <v>1</v>
      </c>
      <c r="M10777" s="17">
        <v>48</v>
      </c>
      <c r="N10777" s="17">
        <v>1</v>
      </c>
      <c r="O10777" s="18">
        <v>672.41</v>
      </c>
      <c r="P10777" s="18">
        <v>551.16</v>
      </c>
      <c r="Q10777" s="18">
        <v>470.69</v>
      </c>
      <c r="R10777" s="18">
        <v>385.81</v>
      </c>
      <c r="S10777" s="18">
        <v>457.24</v>
      </c>
      <c r="T10777" s="18">
        <v>374.79</v>
      </c>
      <c r="U10777" s="16"/>
      <c r="V10777" s="16"/>
      <c r="W10777" s="16"/>
      <c r="X10777" s="19">
        <v>0.16</v>
      </c>
      <c r="Y10777" s="20">
        <v>1.8090000000000001E-3</v>
      </c>
      <c r="Z10777" s="21">
        <v>4601004148314</v>
      </c>
    </row>
    <row r="10778" spans="1:26" ht="12" customHeight="1" outlineLevel="4" x14ac:dyDescent="0.2">
      <c r="A10778" s="32" t="s">
        <v>20478</v>
      </c>
      <c r="B10778" s="74" t="s">
        <v>20479</v>
      </c>
      <c r="C10778" s="50"/>
      <c r="D10778" s="53">
        <f t="shared" si="168"/>
        <v>0</v>
      </c>
      <c r="E10778" s="60" t="str">
        <f>HYPERLINK("https://www.sds-group.ru/product/girlyanda-svetodiodnaya-prischepki-10-led-1-5-m-prozrachnyy-pvh-teplyy-belyy-tsvet-svecheniy-304-005/", "Инфо")</f>
        <v>Инфо</v>
      </c>
      <c r="F10778" s="34" t="s">
        <v>39</v>
      </c>
      <c r="G10778" s="33"/>
      <c r="H10778" s="33" t="s">
        <v>40</v>
      </c>
      <c r="I10778" s="33"/>
      <c r="J10778" s="35">
        <v>52</v>
      </c>
      <c r="K10778" s="33"/>
      <c r="L10778" s="35">
        <v>1</v>
      </c>
      <c r="M10778" s="35">
        <v>96</v>
      </c>
      <c r="N10778" s="35">
        <v>1</v>
      </c>
      <c r="O10778" s="36">
        <v>402.91</v>
      </c>
      <c r="P10778" s="36">
        <v>330.25</v>
      </c>
      <c r="Q10778" s="36">
        <v>282.04000000000002</v>
      </c>
      <c r="R10778" s="36">
        <v>231.18</v>
      </c>
      <c r="S10778" s="36">
        <v>273.98</v>
      </c>
      <c r="T10778" s="36">
        <v>224.57</v>
      </c>
      <c r="U10778" s="34"/>
      <c r="V10778" s="34"/>
      <c r="W10778" s="34"/>
      <c r="X10778" s="37">
        <v>0.114</v>
      </c>
      <c r="Y10778" s="38">
        <v>7.1500000000000003E-4</v>
      </c>
      <c r="Z10778" s="21">
        <v>4601004181069</v>
      </c>
    </row>
    <row r="10779" spans="1:26" ht="12" customHeight="1" outlineLevel="4" x14ac:dyDescent="0.2">
      <c r="A10779" s="32" t="s">
        <v>20480</v>
      </c>
      <c r="B10779" s="74" t="s">
        <v>20481</v>
      </c>
      <c r="C10779" s="50"/>
      <c r="D10779" s="53">
        <f t="shared" si="168"/>
        <v>0</v>
      </c>
      <c r="E10779" s="60" t="str">
        <f>HYPERLINK("https://www.sds-group.ru/product/girlyanda-svetodiodnaya-retro-lampy-3-m-beloe-svechenie-batareyki-3haa-neon-night-303-095/", "Инфо")</f>
        <v>Инфо</v>
      </c>
      <c r="F10779" s="34" t="s">
        <v>39</v>
      </c>
      <c r="G10779" s="33"/>
      <c r="H10779" s="33" t="s">
        <v>40</v>
      </c>
      <c r="I10779" s="33"/>
      <c r="J10779" s="35">
        <v>7</v>
      </c>
      <c r="K10779" s="33"/>
      <c r="L10779" s="35">
        <v>1</v>
      </c>
      <c r="M10779" s="35">
        <v>16</v>
      </c>
      <c r="N10779" s="35">
        <v>1</v>
      </c>
      <c r="O10779" s="36">
        <v>1286.06</v>
      </c>
      <c r="P10779" s="36">
        <v>1054.1500000000001</v>
      </c>
      <c r="Q10779" s="36">
        <v>900.24</v>
      </c>
      <c r="R10779" s="36">
        <v>737.9</v>
      </c>
      <c r="S10779" s="36">
        <v>874.52</v>
      </c>
      <c r="T10779" s="36">
        <v>716.82</v>
      </c>
      <c r="U10779" s="34"/>
      <c r="V10779" s="34"/>
      <c r="W10779" s="34"/>
      <c r="X10779" s="37">
        <v>0.29399999999999998</v>
      </c>
      <c r="Y10779" s="38">
        <v>1.658E-3</v>
      </c>
      <c r="Z10779" s="21">
        <v>4601004180284</v>
      </c>
    </row>
    <row r="10780" spans="1:26" ht="12" customHeight="1" outlineLevel="4" x14ac:dyDescent="0.2">
      <c r="A10780" s="14" t="s">
        <v>20482</v>
      </c>
      <c r="B10780" s="26" t="s">
        <v>20483</v>
      </c>
      <c r="C10780" s="52"/>
      <c r="D10780" s="55">
        <f t="shared" si="168"/>
        <v>0</v>
      </c>
      <c r="E10780" s="63" t="str">
        <f>HYPERLINK("https://www.sds-group.ru/product/girlyanda-svetodiodnaya-retro-lampy-3-m-teplyy-belyy-303-076/", "Инфо")</f>
        <v>Инфо</v>
      </c>
      <c r="F10780" s="16" t="s">
        <v>39</v>
      </c>
      <c r="G10780" s="15"/>
      <c r="H10780" s="15"/>
      <c r="I10780" s="15"/>
      <c r="J10780" s="16" t="s">
        <v>100</v>
      </c>
      <c r="K10780" s="15" t="s">
        <v>6174</v>
      </c>
      <c r="L10780" s="17">
        <v>1</v>
      </c>
      <c r="M10780" s="17">
        <v>16</v>
      </c>
      <c r="N10780" s="17">
        <v>1</v>
      </c>
      <c r="O10780" s="18">
        <v>1363.22</v>
      </c>
      <c r="P10780" s="18">
        <v>1117.3900000000001</v>
      </c>
      <c r="Q10780" s="18">
        <v>954.25</v>
      </c>
      <c r="R10780" s="18">
        <v>782.17</v>
      </c>
      <c r="S10780" s="18">
        <v>926.99</v>
      </c>
      <c r="T10780" s="18">
        <v>759.83</v>
      </c>
      <c r="U10780" s="16"/>
      <c r="V10780" s="16"/>
      <c r="W10780" s="16"/>
      <c r="X10780" s="19">
        <v>0.314</v>
      </c>
      <c r="Y10780" s="20">
        <v>3.993E-3</v>
      </c>
      <c r="Z10780" s="21">
        <v>4601004131972</v>
      </c>
    </row>
    <row r="10781" spans="1:26" ht="12" customHeight="1" outlineLevel="4" x14ac:dyDescent="0.2">
      <c r="A10781" s="14" t="s">
        <v>20484</v>
      </c>
      <c r="B10781" s="26" t="s">
        <v>20485</v>
      </c>
      <c r="C10781" s="52"/>
      <c r="D10781" s="55">
        <f t="shared" si="168"/>
        <v>0</v>
      </c>
      <c r="E10781" s="63" t="str">
        <f>HYPERLINK("https://www.sds-group.ru/product/girlyanda-svetodiodnaya-retro-lampy-3-m-multikolor-303-079/", "Инфо")</f>
        <v>Инфо</v>
      </c>
      <c r="F10781" s="16" t="s">
        <v>39</v>
      </c>
      <c r="G10781" s="15"/>
      <c r="H10781" s="15"/>
      <c r="I10781" s="15"/>
      <c r="J10781" s="16" t="s">
        <v>100</v>
      </c>
      <c r="K10781" s="15" t="s">
        <v>6174</v>
      </c>
      <c r="L10781" s="17">
        <v>1</v>
      </c>
      <c r="M10781" s="17">
        <v>16</v>
      </c>
      <c r="N10781" s="17">
        <v>1</v>
      </c>
      <c r="O10781" s="18">
        <v>1363.22</v>
      </c>
      <c r="P10781" s="18">
        <v>1117.3900000000001</v>
      </c>
      <c r="Q10781" s="18">
        <v>954.25</v>
      </c>
      <c r="R10781" s="18">
        <v>782.17</v>
      </c>
      <c r="S10781" s="18">
        <v>926.99</v>
      </c>
      <c r="T10781" s="18">
        <v>759.83</v>
      </c>
      <c r="U10781" s="16"/>
      <c r="V10781" s="16"/>
      <c r="W10781" s="16"/>
      <c r="X10781" s="19">
        <v>0.31</v>
      </c>
      <c r="Y10781" s="20">
        <v>4.1970000000000002E-3</v>
      </c>
      <c r="Z10781" s="21">
        <v>4601004131996</v>
      </c>
    </row>
    <row r="10782" spans="1:26" ht="12" customHeight="1" outlineLevel="4" x14ac:dyDescent="0.2">
      <c r="A10782" s="14" t="s">
        <v>20486</v>
      </c>
      <c r="B10782" s="26" t="s">
        <v>20487</v>
      </c>
      <c r="C10782" s="52"/>
      <c r="D10782" s="55">
        <f t="shared" si="168"/>
        <v>0</v>
      </c>
      <c r="E10782" s="63" t="str">
        <f>HYPERLINK("https://www.sds-group.ru/product/girlyanda-svetodiodnaya-sosulki-1-5-m-10-led-prozrachnyy-pvh-tsvet-svecheniya-belyy-2-h-aa-b-303-094/", "Инфо")</f>
        <v>Инфо</v>
      </c>
      <c r="F10782" s="16" t="s">
        <v>39</v>
      </c>
      <c r="G10782" s="15"/>
      <c r="H10782" s="15"/>
      <c r="I10782" s="15"/>
      <c r="J10782" s="16" t="s">
        <v>100</v>
      </c>
      <c r="K10782" s="15" t="s">
        <v>6181</v>
      </c>
      <c r="L10782" s="17">
        <v>1</v>
      </c>
      <c r="M10782" s="17">
        <v>100</v>
      </c>
      <c r="N10782" s="17">
        <v>1</v>
      </c>
      <c r="O10782" s="18">
        <v>402.91</v>
      </c>
      <c r="P10782" s="18">
        <v>330.25</v>
      </c>
      <c r="Q10782" s="18">
        <v>282.04000000000002</v>
      </c>
      <c r="R10782" s="18">
        <v>231.18</v>
      </c>
      <c r="S10782" s="18">
        <v>273.98</v>
      </c>
      <c r="T10782" s="18">
        <v>224.57</v>
      </c>
      <c r="U10782" s="16"/>
      <c r="V10782" s="16"/>
      <c r="W10782" s="16"/>
      <c r="X10782" s="19">
        <v>9.4E-2</v>
      </c>
      <c r="Y10782" s="20">
        <v>4.8899999999999996E-4</v>
      </c>
      <c r="Z10782" s="21">
        <v>4601004180109</v>
      </c>
    </row>
    <row r="10783" spans="1:26" ht="12" customHeight="1" outlineLevel="4" x14ac:dyDescent="0.2">
      <c r="A10783" s="14" t="s">
        <v>20488</v>
      </c>
      <c r="B10783" s="26" t="s">
        <v>20489</v>
      </c>
      <c r="C10783" s="52"/>
      <c r="D10783" s="55">
        <f t="shared" si="168"/>
        <v>0</v>
      </c>
      <c r="E10783" s="63" t="str">
        <f>HYPERLINK("https://www.sds-group.ru/product/girlyanda-svetodiodnaya-sosulki-1-5-m-10-led-prozrachnyy-pvh-tsvet-svecheniya-teplyy-belyy-2-303-093/", "Инфо")</f>
        <v>Инфо</v>
      </c>
      <c r="F10783" s="16" t="s">
        <v>39</v>
      </c>
      <c r="G10783" s="15"/>
      <c r="H10783" s="15"/>
      <c r="I10783" s="15"/>
      <c r="J10783" s="17">
        <v>29</v>
      </c>
      <c r="K10783" s="15" t="s">
        <v>8890</v>
      </c>
      <c r="L10783" s="17">
        <v>5</v>
      </c>
      <c r="M10783" s="17">
        <v>100</v>
      </c>
      <c r="N10783" s="17">
        <v>5</v>
      </c>
      <c r="O10783" s="18">
        <v>402.91</v>
      </c>
      <c r="P10783" s="18">
        <v>330.25</v>
      </c>
      <c r="Q10783" s="18">
        <v>282.04000000000002</v>
      </c>
      <c r="R10783" s="18">
        <v>231.18</v>
      </c>
      <c r="S10783" s="18">
        <v>273.98</v>
      </c>
      <c r="T10783" s="18">
        <v>224.57</v>
      </c>
      <c r="U10783" s="16"/>
      <c r="V10783" s="16"/>
      <c r="W10783" s="16"/>
      <c r="X10783" s="19">
        <v>8.7999999999999995E-2</v>
      </c>
      <c r="Y10783" s="20">
        <v>3.8900000000000002E-4</v>
      </c>
      <c r="Z10783" s="21">
        <v>4601004180093</v>
      </c>
    </row>
    <row r="10784" spans="1:26" ht="12" customHeight="1" outlineLevel="4" x14ac:dyDescent="0.2">
      <c r="A10784" s="14" t="s">
        <v>20490</v>
      </c>
      <c r="B10784" s="26" t="s">
        <v>20491</v>
      </c>
      <c r="C10784" s="52"/>
      <c r="D10784" s="55">
        <f t="shared" si="168"/>
        <v>0</v>
      </c>
      <c r="E10784" s="63" t="str">
        <f>HYPERLINK("https://www.sds-group.ru/product/girlyanda-svetodiodnaya-universalnaya-10-led-1-2-metra-prozrachnyy-pvh-teploe-beloe-svecheni-303-073/", "Инфо")</f>
        <v>Инфо</v>
      </c>
      <c r="F10784" s="16" t="s">
        <v>39</v>
      </c>
      <c r="G10784" s="15"/>
      <c r="H10784" s="15"/>
      <c r="I10784" s="15"/>
      <c r="J10784" s="17">
        <v>18</v>
      </c>
      <c r="K10784" s="15" t="s">
        <v>6181</v>
      </c>
      <c r="L10784" s="17">
        <v>10</v>
      </c>
      <c r="M10784" s="17">
        <v>120</v>
      </c>
      <c r="N10784" s="17">
        <v>10</v>
      </c>
      <c r="O10784" s="18">
        <v>188.97</v>
      </c>
      <c r="P10784" s="18">
        <v>154.88999999999999</v>
      </c>
      <c r="Q10784" s="18">
        <v>160.62</v>
      </c>
      <c r="R10784" s="18">
        <v>131.66</v>
      </c>
      <c r="S10784" s="18">
        <v>128.5</v>
      </c>
      <c r="T10784" s="18">
        <v>105.33</v>
      </c>
      <c r="U10784" s="16"/>
      <c r="V10784" s="16"/>
      <c r="W10784" s="16" t="s">
        <v>40</v>
      </c>
      <c r="X10784" s="19">
        <v>4.5999999999999999E-2</v>
      </c>
      <c r="Y10784" s="20">
        <v>2.8600000000000001E-4</v>
      </c>
      <c r="Z10784" s="21">
        <v>4601004180277</v>
      </c>
    </row>
    <row r="10785" spans="1:26" ht="12" customHeight="1" outlineLevel="4" x14ac:dyDescent="0.2">
      <c r="A10785" s="32" t="s">
        <v>20492</v>
      </c>
      <c r="B10785" s="74" t="s">
        <v>20493</v>
      </c>
      <c r="C10785" s="50"/>
      <c r="D10785" s="53">
        <f t="shared" si="168"/>
        <v>0</v>
      </c>
      <c r="E10785" s="60" t="str">
        <f>HYPERLINK("https://www.sds-group.ru/product/girlyanda-svetodiodnaya-shariki-1-5-m-10-led-prozrachnyy-pvh-tsvet-svecheniya-multikolor-2-h-303-092/", "Инфо")</f>
        <v>Инфо</v>
      </c>
      <c r="F10785" s="34" t="s">
        <v>39</v>
      </c>
      <c r="G10785" s="33"/>
      <c r="H10785" s="33" t="s">
        <v>40</v>
      </c>
      <c r="I10785" s="33"/>
      <c r="J10785" s="35">
        <v>53</v>
      </c>
      <c r="K10785" s="33"/>
      <c r="L10785" s="35">
        <v>1</v>
      </c>
      <c r="M10785" s="35">
        <v>100</v>
      </c>
      <c r="N10785" s="35">
        <v>1</v>
      </c>
      <c r="O10785" s="36">
        <v>252.39</v>
      </c>
      <c r="P10785" s="36">
        <v>206.88</v>
      </c>
      <c r="Q10785" s="36">
        <v>176.67</v>
      </c>
      <c r="R10785" s="36">
        <v>144.81</v>
      </c>
      <c r="S10785" s="36">
        <v>171.63</v>
      </c>
      <c r="T10785" s="36">
        <v>140.68</v>
      </c>
      <c r="U10785" s="34"/>
      <c r="V10785" s="34"/>
      <c r="W10785" s="34"/>
      <c r="X10785" s="37">
        <v>3.9E-2</v>
      </c>
      <c r="Y10785" s="38">
        <v>2.4800000000000001E-4</v>
      </c>
      <c r="Z10785" s="21">
        <v>4601004180000</v>
      </c>
    </row>
    <row r="10786" spans="1:26" ht="12" customHeight="1" outlineLevel="4" x14ac:dyDescent="0.2">
      <c r="A10786" s="14" t="s">
        <v>20494</v>
      </c>
      <c r="B10786" s="26" t="s">
        <v>20495</v>
      </c>
      <c r="C10786" s="52"/>
      <c r="D10786" s="55">
        <f t="shared" si="168"/>
        <v>0</v>
      </c>
      <c r="E10786" s="63" t="str">
        <f>HYPERLINK("https://www.sds-group.ru/product/girlyanda-svetodiodnaya-shishki-1-5-m-10-led-prozrachnyy-pvh-tsvet-svecheniya-teplyy-belyy-2-303-098/", "Инфо")</f>
        <v>Инфо</v>
      </c>
      <c r="F10786" s="16" t="s">
        <v>39</v>
      </c>
      <c r="G10786" s="15"/>
      <c r="H10786" s="15"/>
      <c r="I10786" s="15"/>
      <c r="J10786" s="16" t="s">
        <v>100</v>
      </c>
      <c r="K10786" s="15" t="s">
        <v>6181</v>
      </c>
      <c r="L10786" s="17">
        <v>1</v>
      </c>
      <c r="M10786" s="17">
        <v>48</v>
      </c>
      <c r="N10786" s="17">
        <v>1</v>
      </c>
      <c r="O10786" s="18">
        <v>315.8</v>
      </c>
      <c r="P10786" s="18">
        <v>258.85000000000002</v>
      </c>
      <c r="Q10786" s="18">
        <v>221.06</v>
      </c>
      <c r="R10786" s="18">
        <v>181.2</v>
      </c>
      <c r="S10786" s="18">
        <v>214.74</v>
      </c>
      <c r="T10786" s="18">
        <v>176.02</v>
      </c>
      <c r="U10786" s="16"/>
      <c r="V10786" s="16"/>
      <c r="W10786" s="16"/>
      <c r="X10786" s="19">
        <v>6.3E-2</v>
      </c>
      <c r="Y10786" s="20">
        <v>4.8000000000000001E-4</v>
      </c>
      <c r="Z10786" s="21">
        <v>4601004180123</v>
      </c>
    </row>
    <row r="10787" spans="1:26" ht="12" customHeight="1" outlineLevel="4" x14ac:dyDescent="0.2">
      <c r="A10787" s="32" t="s">
        <v>20496</v>
      </c>
      <c r="B10787" s="74" t="s">
        <v>20497</v>
      </c>
      <c r="C10787" s="50"/>
      <c r="D10787" s="53">
        <f t="shared" si="168"/>
        <v>0</v>
      </c>
      <c r="E10787" s="60" t="str">
        <f>HYPERLINK("https://www.sds-group.ru/product/tayskie-fonariki-velvet-3-5-m-20-led-prozrachnyy-pvh-teplyy-belyy-pitanie-usb-neon-night-304-008/", "Инфо")</f>
        <v>Инфо</v>
      </c>
      <c r="F10787" s="34" t="s">
        <v>39</v>
      </c>
      <c r="G10787" s="33"/>
      <c r="H10787" s="33" t="s">
        <v>40</v>
      </c>
      <c r="I10787" s="33"/>
      <c r="J10787" s="35">
        <v>17</v>
      </c>
      <c r="K10787" s="33"/>
      <c r="L10787" s="35">
        <v>1</v>
      </c>
      <c r="M10787" s="35">
        <v>18</v>
      </c>
      <c r="N10787" s="35">
        <v>1</v>
      </c>
      <c r="O10787" s="36">
        <v>941.92</v>
      </c>
      <c r="P10787" s="36">
        <v>772.07</v>
      </c>
      <c r="Q10787" s="36">
        <v>659.34</v>
      </c>
      <c r="R10787" s="36">
        <v>540.44000000000005</v>
      </c>
      <c r="S10787" s="36">
        <v>640.51</v>
      </c>
      <c r="T10787" s="36">
        <v>525.01</v>
      </c>
      <c r="U10787" s="34"/>
      <c r="V10787" s="34"/>
      <c r="W10787" s="34"/>
      <c r="X10787" s="37">
        <v>0.316</v>
      </c>
      <c r="Y10787" s="38">
        <v>5.7670000000000004E-3</v>
      </c>
      <c r="Z10787" s="21">
        <v>4601004283626</v>
      </c>
    </row>
    <row r="10788" spans="1:26" ht="12" customHeight="1" outlineLevel="4" x14ac:dyDescent="0.2">
      <c r="A10788" s="32" t="s">
        <v>20498</v>
      </c>
      <c r="B10788" s="74" t="s">
        <v>20499</v>
      </c>
      <c r="C10788" s="50"/>
      <c r="D10788" s="53">
        <f t="shared" si="168"/>
        <v>0</v>
      </c>
      <c r="E10788" s="60" t="str">
        <f>HYPERLINK("https://www.sds-group.ru/product/tayskie-fonariki-velvet-3-5-m-prozrachnyy-pvh-20-led-teplyy-belyy-303-087/", "Инфо")</f>
        <v>Инфо</v>
      </c>
      <c r="F10788" s="34" t="s">
        <v>39</v>
      </c>
      <c r="G10788" s="33"/>
      <c r="H10788" s="33" t="s">
        <v>40</v>
      </c>
      <c r="I10788" s="33"/>
      <c r="J10788" s="34" t="s">
        <v>100</v>
      </c>
      <c r="K10788" s="33"/>
      <c r="L10788" s="35">
        <v>1</v>
      </c>
      <c r="M10788" s="35">
        <v>18</v>
      </c>
      <c r="N10788" s="35">
        <v>1</v>
      </c>
      <c r="O10788" s="36">
        <v>941.92</v>
      </c>
      <c r="P10788" s="36">
        <v>772.07</v>
      </c>
      <c r="Q10788" s="36">
        <v>659.34</v>
      </c>
      <c r="R10788" s="36">
        <v>540.44000000000005</v>
      </c>
      <c r="S10788" s="36">
        <v>640.51</v>
      </c>
      <c r="T10788" s="36">
        <v>525.01</v>
      </c>
      <c r="U10788" s="34"/>
      <c r="V10788" s="34"/>
      <c r="W10788" s="34"/>
      <c r="X10788" s="37">
        <v>0.313</v>
      </c>
      <c r="Y10788" s="38">
        <v>5.4260000000000003E-3</v>
      </c>
      <c r="Z10788" s="21">
        <v>4601004148277</v>
      </c>
    </row>
    <row r="10789" spans="1:26" ht="12" customHeight="1" outlineLevel="4" x14ac:dyDescent="0.2">
      <c r="A10789" s="32" t="s">
        <v>20500</v>
      </c>
      <c r="B10789" s="74" t="s">
        <v>20501</v>
      </c>
      <c r="C10789" s="50"/>
      <c r="D10789" s="53">
        <f t="shared" si="168"/>
        <v>0</v>
      </c>
      <c r="E10789" s="60" t="str">
        <f>HYPERLINK("https://www.sds-group.ru/product/tayskie-fonariki-magiya-3-5-m-20-led-prozrachnyy-pvh-teplyy-belyy-pitanie-usb-neon-night-304-007/", "Инфо")</f>
        <v>Инфо</v>
      </c>
      <c r="F10789" s="34" t="s">
        <v>39</v>
      </c>
      <c r="G10789" s="33"/>
      <c r="H10789" s="33" t="s">
        <v>40</v>
      </c>
      <c r="I10789" s="33"/>
      <c r="J10789" s="35">
        <v>57</v>
      </c>
      <c r="K10789" s="33"/>
      <c r="L10789" s="35">
        <v>1</v>
      </c>
      <c r="M10789" s="35">
        <v>12</v>
      </c>
      <c r="N10789" s="35">
        <v>1</v>
      </c>
      <c r="O10789" s="36">
        <v>941.92</v>
      </c>
      <c r="P10789" s="36">
        <v>772.07</v>
      </c>
      <c r="Q10789" s="36">
        <v>659.34</v>
      </c>
      <c r="R10789" s="36">
        <v>540.44000000000005</v>
      </c>
      <c r="S10789" s="36">
        <v>640.51</v>
      </c>
      <c r="T10789" s="36">
        <v>525.01</v>
      </c>
      <c r="U10789" s="34"/>
      <c r="V10789" s="34"/>
      <c r="W10789" s="34"/>
      <c r="X10789" s="37">
        <v>0.308</v>
      </c>
      <c r="Y10789" s="38">
        <v>5.6889999999999996E-3</v>
      </c>
      <c r="Z10789" s="21">
        <v>4601004283619</v>
      </c>
    </row>
    <row r="10790" spans="1:26" ht="12" customHeight="1" outlineLevel="4" x14ac:dyDescent="0.2">
      <c r="A10790" s="14" t="s">
        <v>20502</v>
      </c>
      <c r="B10790" s="26" t="s">
        <v>20503</v>
      </c>
      <c r="C10790" s="52"/>
      <c r="D10790" s="55">
        <f t="shared" si="168"/>
        <v>0</v>
      </c>
      <c r="E10790" s="63" t="str">
        <f>HYPERLINK("https://www.sds-group.ru/product/tayskie-fonariki-magiya-3-5-m-prozrachnyy-pvh-20-led-teplyy-belyy-pitanie-2-h-aa-batareyki-n-303-088/", "Инфо")</f>
        <v>Инфо</v>
      </c>
      <c r="F10790" s="16" t="s">
        <v>39</v>
      </c>
      <c r="G10790" s="15"/>
      <c r="H10790" s="15"/>
      <c r="I10790" s="15"/>
      <c r="J10790" s="17">
        <v>4</v>
      </c>
      <c r="K10790" s="15" t="s">
        <v>6181</v>
      </c>
      <c r="L10790" s="17">
        <v>1</v>
      </c>
      <c r="M10790" s="17">
        <v>18</v>
      </c>
      <c r="N10790" s="17">
        <v>1</v>
      </c>
      <c r="O10790" s="18">
        <v>941.92</v>
      </c>
      <c r="P10790" s="18">
        <v>772.07</v>
      </c>
      <c r="Q10790" s="18">
        <v>659.34</v>
      </c>
      <c r="R10790" s="18">
        <v>540.44000000000005</v>
      </c>
      <c r="S10790" s="18">
        <v>640.51</v>
      </c>
      <c r="T10790" s="18">
        <v>525.01</v>
      </c>
      <c r="U10790" s="16"/>
      <c r="V10790" s="16"/>
      <c r="W10790" s="16"/>
      <c r="X10790" s="19">
        <v>0.25900000000000001</v>
      </c>
      <c r="Y10790" s="20">
        <v>4.653E-3</v>
      </c>
      <c r="Z10790" s="21">
        <v>4601004148307</v>
      </c>
    </row>
    <row r="10791" spans="1:26" ht="12" customHeight="1" outlineLevel="4" x14ac:dyDescent="0.2">
      <c r="A10791" s="14" t="s">
        <v>20504</v>
      </c>
      <c r="B10791" s="26" t="s">
        <v>20505</v>
      </c>
      <c r="C10791" s="52"/>
      <c r="D10791" s="55">
        <f t="shared" si="168"/>
        <v>0</v>
      </c>
      <c r="E10791" s="63" t="str">
        <f>HYPERLINK("https://www.sds-group.ru/product/tayskie-fonariki-perlamutr-3-5-m-20-led-prozrachnyy-pvh-tsvet-svecheniya-teplyy-belyy-neon-n-303-078/", "Инфо")</f>
        <v>Инфо</v>
      </c>
      <c r="F10791" s="16" t="s">
        <v>39</v>
      </c>
      <c r="G10791" s="15"/>
      <c r="H10791" s="15"/>
      <c r="I10791" s="15"/>
      <c r="J10791" s="17">
        <v>3</v>
      </c>
      <c r="K10791" s="15" t="s">
        <v>6181</v>
      </c>
      <c r="L10791" s="17">
        <v>1</v>
      </c>
      <c r="M10791" s="17">
        <v>12</v>
      </c>
      <c r="N10791" s="17">
        <v>1</v>
      </c>
      <c r="O10791" s="18">
        <v>941.92</v>
      </c>
      <c r="P10791" s="18">
        <v>772.07</v>
      </c>
      <c r="Q10791" s="18">
        <v>659.34</v>
      </c>
      <c r="R10791" s="18">
        <v>540.44000000000005</v>
      </c>
      <c r="S10791" s="18">
        <v>640.51</v>
      </c>
      <c r="T10791" s="18">
        <v>525.01</v>
      </c>
      <c r="U10791" s="16"/>
      <c r="V10791" s="16"/>
      <c r="W10791" s="16"/>
      <c r="X10791" s="19">
        <v>0.313</v>
      </c>
      <c r="Y10791" s="20">
        <v>5.6080000000000001E-3</v>
      </c>
      <c r="Z10791" s="21">
        <v>4601004180079</v>
      </c>
    </row>
    <row r="10792" spans="1:26" ht="12" customHeight="1" outlineLevel="4" x14ac:dyDescent="0.2">
      <c r="A10792" s="32" t="s">
        <v>20506</v>
      </c>
      <c r="B10792" s="74" t="s">
        <v>20507</v>
      </c>
      <c r="C10792" s="50"/>
      <c r="D10792" s="53">
        <f t="shared" si="168"/>
        <v>0</v>
      </c>
      <c r="E10792" s="60" t="str">
        <f>HYPERLINK("https://www.sds-group.ru/product/tayskie-fonariki-perlamutr-5-m-25-led-prozrachnyy-pvh-tsvet-svecheniya-teplyy-belyy-pitanie--304-010/", "Инфо")</f>
        <v>Инфо</v>
      </c>
      <c r="F10792" s="34" t="s">
        <v>39</v>
      </c>
      <c r="G10792" s="33"/>
      <c r="H10792" s="33" t="s">
        <v>40</v>
      </c>
      <c r="I10792" s="33"/>
      <c r="J10792" s="35">
        <v>1</v>
      </c>
      <c r="K10792" s="33"/>
      <c r="L10792" s="35">
        <v>1</v>
      </c>
      <c r="M10792" s="35">
        <v>12</v>
      </c>
      <c r="N10792" s="35">
        <v>1</v>
      </c>
      <c r="O10792" s="36">
        <v>1226.76</v>
      </c>
      <c r="P10792" s="36">
        <v>1005.54</v>
      </c>
      <c r="Q10792" s="36">
        <v>969.14</v>
      </c>
      <c r="R10792" s="36">
        <v>794.38</v>
      </c>
      <c r="S10792" s="36">
        <v>834.2</v>
      </c>
      <c r="T10792" s="36">
        <v>683.77</v>
      </c>
      <c r="U10792" s="34"/>
      <c r="V10792" s="34"/>
      <c r="W10792" s="34" t="s">
        <v>40</v>
      </c>
      <c r="X10792" s="37">
        <v>0.35699999999999998</v>
      </c>
      <c r="Y10792" s="38">
        <v>7.3930000000000003E-3</v>
      </c>
      <c r="Z10792" s="21">
        <v>4601004283961</v>
      </c>
    </row>
    <row r="10793" spans="1:26" ht="12" customHeight="1" outlineLevel="4" x14ac:dyDescent="0.2">
      <c r="A10793" s="14" t="s">
        <v>20508</v>
      </c>
      <c r="B10793" s="26" t="s">
        <v>20509</v>
      </c>
      <c r="C10793" s="52"/>
      <c r="D10793" s="55">
        <f t="shared" si="168"/>
        <v>0</v>
      </c>
      <c r="E10793" s="63" t="str">
        <f>HYPERLINK("https://www.sds-group.ru/product/tayskie-fonariki-plombir-1-5-m-10-led-prozrachnyy-pvh-tsvet-svecheniya-teplyy-belyy-2-h-aa-b-303-077/", "Инфо")</f>
        <v>Инфо</v>
      </c>
      <c r="F10793" s="16" t="s">
        <v>39</v>
      </c>
      <c r="G10793" s="15"/>
      <c r="H10793" s="15"/>
      <c r="I10793" s="15"/>
      <c r="J10793" s="16" t="s">
        <v>100</v>
      </c>
      <c r="K10793" s="15" t="s">
        <v>6181</v>
      </c>
      <c r="L10793" s="17">
        <v>1</v>
      </c>
      <c r="M10793" s="17">
        <v>48</v>
      </c>
      <c r="N10793" s="17">
        <v>1</v>
      </c>
      <c r="O10793" s="18">
        <v>672.41</v>
      </c>
      <c r="P10793" s="18">
        <v>551.16</v>
      </c>
      <c r="Q10793" s="18">
        <v>470.69</v>
      </c>
      <c r="R10793" s="18">
        <v>385.81</v>
      </c>
      <c r="S10793" s="18">
        <v>457.24</v>
      </c>
      <c r="T10793" s="18">
        <v>374.79</v>
      </c>
      <c r="U10793" s="16"/>
      <c r="V10793" s="16"/>
      <c r="W10793" s="16"/>
      <c r="X10793" s="19">
        <v>0.16900000000000001</v>
      </c>
      <c r="Y10793" s="20">
        <v>2.5860000000000002E-3</v>
      </c>
      <c r="Z10793" s="21">
        <v>4601004180062</v>
      </c>
    </row>
    <row r="10794" spans="1:26" ht="12" customHeight="1" outlineLevel="4" x14ac:dyDescent="0.2">
      <c r="A10794" s="14" t="s">
        <v>20510</v>
      </c>
      <c r="B10794" s="26" t="s">
        <v>20511</v>
      </c>
      <c r="C10794" s="52"/>
      <c r="D10794" s="55">
        <f t="shared" si="168"/>
        <v>0</v>
      </c>
      <c r="E10794" s="63" t="str">
        <f>HYPERLINK("https://www.sds-group.ru/product/tayskie-fonariki-pudra-1-5-m-prozrachnyy-pvh-10-led-teplyy-belyy-pitanie-2-h-aa-batareyki-ne-303-089/", "Инфо")</f>
        <v>Инфо</v>
      </c>
      <c r="F10794" s="16" t="s">
        <v>39</v>
      </c>
      <c r="G10794" s="15"/>
      <c r="H10794" s="15"/>
      <c r="I10794" s="15"/>
      <c r="J10794" s="16" t="s">
        <v>100</v>
      </c>
      <c r="K10794" s="15" t="s">
        <v>6181</v>
      </c>
      <c r="L10794" s="17">
        <v>1</v>
      </c>
      <c r="M10794" s="17">
        <v>48</v>
      </c>
      <c r="N10794" s="17">
        <v>1</v>
      </c>
      <c r="O10794" s="18">
        <v>672.41</v>
      </c>
      <c r="P10794" s="18">
        <v>551.16</v>
      </c>
      <c r="Q10794" s="18">
        <v>470.69</v>
      </c>
      <c r="R10794" s="18">
        <v>385.81</v>
      </c>
      <c r="S10794" s="18">
        <v>457.24</v>
      </c>
      <c r="T10794" s="18">
        <v>374.79</v>
      </c>
      <c r="U10794" s="16"/>
      <c r="V10794" s="16"/>
      <c r="W10794" s="16"/>
      <c r="X10794" s="19">
        <v>0.16900000000000001</v>
      </c>
      <c r="Y10794" s="20">
        <v>2.5720000000000001E-3</v>
      </c>
      <c r="Z10794" s="21">
        <v>4601004148284</v>
      </c>
    </row>
    <row r="10795" spans="1:26" ht="12" customHeight="1" outlineLevel="4" x14ac:dyDescent="0.2">
      <c r="A10795" s="14" t="s">
        <v>20512</v>
      </c>
      <c r="B10795" s="26" t="s">
        <v>20513</v>
      </c>
      <c r="C10795" s="52"/>
      <c r="D10795" s="55">
        <f t="shared" si="168"/>
        <v>0</v>
      </c>
      <c r="E10795" s="63" t="str">
        <f>HYPERLINK("https://www.sds-group.ru/product/tayskie-fonariki-severnoe-siyanie-3-5-m-prozrachnyy-pvh-20-led-teplyy-belyy-303-086/", "Инфо")</f>
        <v>Инфо</v>
      </c>
      <c r="F10795" s="16" t="s">
        <v>39</v>
      </c>
      <c r="G10795" s="15"/>
      <c r="H10795" s="15"/>
      <c r="I10795" s="15"/>
      <c r="J10795" s="16" t="s">
        <v>100</v>
      </c>
      <c r="K10795" s="15" t="s">
        <v>8890</v>
      </c>
      <c r="L10795" s="17">
        <v>1</v>
      </c>
      <c r="M10795" s="17">
        <v>18</v>
      </c>
      <c r="N10795" s="17">
        <v>1</v>
      </c>
      <c r="O10795" s="18">
        <v>941.92</v>
      </c>
      <c r="P10795" s="18">
        <v>772.07</v>
      </c>
      <c r="Q10795" s="18">
        <v>659.34</v>
      </c>
      <c r="R10795" s="18">
        <v>540.44000000000005</v>
      </c>
      <c r="S10795" s="18">
        <v>640.51</v>
      </c>
      <c r="T10795" s="18">
        <v>525.01</v>
      </c>
      <c r="U10795" s="16"/>
      <c r="V10795" s="16"/>
      <c r="W10795" s="16"/>
      <c r="X10795" s="19">
        <v>0.313</v>
      </c>
      <c r="Y10795" s="20">
        <v>5.522E-3</v>
      </c>
      <c r="Z10795" s="21">
        <v>4601004148338</v>
      </c>
    </row>
    <row r="10796" spans="1:26" ht="12" customHeight="1" outlineLevel="4" x14ac:dyDescent="0.2">
      <c r="A10796" s="14" t="s">
        <v>20514</v>
      </c>
      <c r="B10796" s="26" t="s">
        <v>20515</v>
      </c>
      <c r="C10796" s="52"/>
      <c r="D10796" s="55">
        <f t="shared" si="168"/>
        <v>0</v>
      </c>
      <c r="E10796" s="63" t="str">
        <f>HYPERLINK("https://www.sds-group.ru/product/tayskie-fonariki-feyerverk-1-5-m-prozrachnyy-pvh-10-led-teplyy-belyy-pitanie-2-h-aa-batareyk-303-099/", "Инфо")</f>
        <v>Инфо</v>
      </c>
      <c r="F10796" s="16" t="s">
        <v>39</v>
      </c>
      <c r="G10796" s="15"/>
      <c r="H10796" s="15"/>
      <c r="I10796" s="15"/>
      <c r="J10796" s="16" t="s">
        <v>100</v>
      </c>
      <c r="K10796" s="15" t="s">
        <v>6181</v>
      </c>
      <c r="L10796" s="17">
        <v>1</v>
      </c>
      <c r="M10796" s="17">
        <v>24</v>
      </c>
      <c r="N10796" s="17">
        <v>1</v>
      </c>
      <c r="O10796" s="18">
        <v>672.69</v>
      </c>
      <c r="P10796" s="18">
        <v>551.39</v>
      </c>
      <c r="Q10796" s="18">
        <v>470.88</v>
      </c>
      <c r="R10796" s="18">
        <v>385.97</v>
      </c>
      <c r="S10796" s="18">
        <v>457.43</v>
      </c>
      <c r="T10796" s="18">
        <v>374.94</v>
      </c>
      <c r="U10796" s="16"/>
      <c r="V10796" s="16"/>
      <c r="W10796" s="16"/>
      <c r="X10796" s="19">
        <v>0.17199999999999999</v>
      </c>
      <c r="Y10796" s="20">
        <v>2.7520000000000001E-3</v>
      </c>
      <c r="Z10796" s="21">
        <v>4601004148291</v>
      </c>
    </row>
    <row r="10797" spans="1:26" ht="12" customHeight="1" outlineLevel="4" x14ac:dyDescent="0.2">
      <c r="A10797" s="32" t="s">
        <v>20516</v>
      </c>
      <c r="B10797" s="74" t="s">
        <v>20517</v>
      </c>
      <c r="C10797" s="50"/>
      <c r="D10797" s="53">
        <f t="shared" si="168"/>
        <v>0</v>
      </c>
      <c r="E10797" s="60" t="str">
        <f>HYPERLINK("https://www.sds-group.ru/product/tayskie-fonariki-feyerverk-5-m-25-led-prozrachnyy-pvh-teplyy-belyy-pitanie-usb-neon-night-304-009/", "Инфо")</f>
        <v>Инфо</v>
      </c>
      <c r="F10797" s="34" t="s">
        <v>39</v>
      </c>
      <c r="G10797" s="33"/>
      <c r="H10797" s="33" t="s">
        <v>40</v>
      </c>
      <c r="I10797" s="33"/>
      <c r="J10797" s="35">
        <v>17</v>
      </c>
      <c r="K10797" s="33"/>
      <c r="L10797" s="35">
        <v>1</v>
      </c>
      <c r="M10797" s="35">
        <v>12</v>
      </c>
      <c r="N10797" s="35">
        <v>1</v>
      </c>
      <c r="O10797" s="36">
        <v>1226.76</v>
      </c>
      <c r="P10797" s="36">
        <v>1005.54</v>
      </c>
      <c r="Q10797" s="36">
        <v>858.73</v>
      </c>
      <c r="R10797" s="36">
        <v>703.88</v>
      </c>
      <c r="S10797" s="36">
        <v>834.2</v>
      </c>
      <c r="T10797" s="36">
        <v>683.77</v>
      </c>
      <c r="U10797" s="34"/>
      <c r="V10797" s="34"/>
      <c r="W10797" s="34"/>
      <c r="X10797" s="37">
        <v>0.379</v>
      </c>
      <c r="Y10797" s="38">
        <v>7.3920000000000001E-3</v>
      </c>
      <c r="Z10797" s="21">
        <v>4601004283602</v>
      </c>
    </row>
    <row r="10798" spans="1:26" ht="12.95" customHeight="1" outlineLevel="3" x14ac:dyDescent="0.2">
      <c r="A10798" s="76" t="s">
        <v>20518</v>
      </c>
      <c r="B10798" s="76"/>
      <c r="C10798" s="77"/>
      <c r="D10798" s="58"/>
      <c r="E10798" s="68"/>
      <c r="F10798" s="13"/>
      <c r="G10798" s="13"/>
      <c r="H10798" s="13"/>
      <c r="I10798" s="13"/>
      <c r="J10798" s="13"/>
      <c r="K10798" s="13"/>
      <c r="L10798" s="13"/>
      <c r="M10798" s="13"/>
      <c r="N10798" s="13"/>
      <c r="O10798" s="13"/>
      <c r="P10798" s="13"/>
      <c r="Q10798" s="13"/>
      <c r="R10798" s="13"/>
      <c r="S10798" s="13"/>
      <c r="T10798" s="13"/>
      <c r="U10798" s="13"/>
      <c r="V10798" s="13"/>
      <c r="W10798" s="13"/>
      <c r="X10798" s="13"/>
      <c r="Y10798" s="13"/>
      <c r="Z10798" s="13"/>
    </row>
    <row r="10799" spans="1:26" ht="12" customHeight="1" outlineLevel="4" x14ac:dyDescent="0.2">
      <c r="A10799" s="32" t="s">
        <v>20519</v>
      </c>
      <c r="B10799" s="74" t="s">
        <v>20520</v>
      </c>
      <c r="C10799" s="50"/>
      <c r="D10799" s="53">
        <f t="shared" si="168"/>
        <v>0</v>
      </c>
      <c r="E10799" s="60" t="str">
        <f>HYPERLINK("https://www.sds-group.ru/product/girlyanda-svetodiodnaya-rosa-2m-20-led-teplyy-belyy-ip20-2hcr2032-v-komplekte-neon-night-303-006/", "Инфо")</f>
        <v>Инфо</v>
      </c>
      <c r="F10799" s="34" t="s">
        <v>39</v>
      </c>
      <c r="G10799" s="33"/>
      <c r="H10799" s="33" t="s">
        <v>40</v>
      </c>
      <c r="I10799" s="33"/>
      <c r="J10799" s="34" t="s">
        <v>100</v>
      </c>
      <c r="K10799" s="33"/>
      <c r="L10799" s="35">
        <v>1</v>
      </c>
      <c r="M10799" s="35">
        <v>250</v>
      </c>
      <c r="N10799" s="35">
        <v>1</v>
      </c>
      <c r="O10799" s="36">
        <v>188.97</v>
      </c>
      <c r="P10799" s="36">
        <v>154.88999999999999</v>
      </c>
      <c r="Q10799" s="36">
        <v>132.28</v>
      </c>
      <c r="R10799" s="36">
        <v>108.43</v>
      </c>
      <c r="S10799" s="36">
        <v>117.16</v>
      </c>
      <c r="T10799" s="36">
        <v>96.03</v>
      </c>
      <c r="U10799" s="34"/>
      <c r="V10799" s="34"/>
      <c r="W10799" s="34"/>
      <c r="X10799" s="37">
        <v>0.02</v>
      </c>
      <c r="Y10799" s="38">
        <v>6.6000000000000005E-5</v>
      </c>
      <c r="Z10799" s="21">
        <v>4601004017474</v>
      </c>
    </row>
    <row r="10800" spans="1:26" ht="12" customHeight="1" outlineLevel="4" x14ac:dyDescent="0.2">
      <c r="A10800" s="32" t="s">
        <v>20521</v>
      </c>
      <c r="B10800" s="74" t="s">
        <v>20522</v>
      </c>
      <c r="C10800" s="50"/>
      <c r="D10800" s="53">
        <f t="shared" si="168"/>
        <v>0</v>
      </c>
      <c r="E10800" s="60" t="str">
        <f>HYPERLINK("https://www.sds-group.ru/product/girlyanda-svetodiodnaya-rosa-2m-20led-rgb-ip20-2hcr2032-v-komplekte-neon-night-303-009/", "Инфо")</f>
        <v>Инфо</v>
      </c>
      <c r="F10800" s="34" t="s">
        <v>39</v>
      </c>
      <c r="G10800" s="33"/>
      <c r="H10800" s="33" t="s">
        <v>40</v>
      </c>
      <c r="I10800" s="33"/>
      <c r="J10800" s="34" t="s">
        <v>100</v>
      </c>
      <c r="K10800" s="33"/>
      <c r="L10800" s="35">
        <v>1</v>
      </c>
      <c r="M10800" s="35">
        <v>250</v>
      </c>
      <c r="N10800" s="35">
        <v>1</v>
      </c>
      <c r="O10800" s="36">
        <v>315.8</v>
      </c>
      <c r="P10800" s="36">
        <v>258.85000000000002</v>
      </c>
      <c r="Q10800" s="36">
        <v>221.06</v>
      </c>
      <c r="R10800" s="36">
        <v>181.2</v>
      </c>
      <c r="S10800" s="36">
        <v>195.8</v>
      </c>
      <c r="T10800" s="36">
        <v>160.49</v>
      </c>
      <c r="U10800" s="34"/>
      <c r="V10800" s="34"/>
      <c r="W10800" s="34"/>
      <c r="X10800" s="37">
        <v>0.03</v>
      </c>
      <c r="Y10800" s="38">
        <v>1.85E-4</v>
      </c>
      <c r="Z10800" s="21">
        <v>4601004014213</v>
      </c>
    </row>
    <row r="10801" spans="1:26" ht="12" customHeight="1" outlineLevel="4" x14ac:dyDescent="0.2">
      <c r="A10801" s="32" t="s">
        <v>20523</v>
      </c>
      <c r="B10801" s="74" t="s">
        <v>20524</v>
      </c>
      <c r="C10801" s="50"/>
      <c r="D10801" s="53">
        <f t="shared" si="168"/>
        <v>0</v>
      </c>
      <c r="E10801" s="60" t="str">
        <f>HYPERLINK("https://www.sds-group.ru/product/girlyanda-svetodiodnaya-rosa-2m-20led-belyy-ip20-tonkiy-batareynyy-blok-2hcr2032-v-komplekte-303-005/", "Инфо")</f>
        <v>Инфо</v>
      </c>
      <c r="F10801" s="34" t="s">
        <v>39</v>
      </c>
      <c r="G10801" s="33"/>
      <c r="H10801" s="33" t="s">
        <v>40</v>
      </c>
      <c r="I10801" s="33"/>
      <c r="J10801" s="35">
        <v>80</v>
      </c>
      <c r="K10801" s="33"/>
      <c r="L10801" s="35">
        <v>1</v>
      </c>
      <c r="M10801" s="35">
        <v>250</v>
      </c>
      <c r="N10801" s="35">
        <v>1</v>
      </c>
      <c r="O10801" s="36">
        <v>188.97</v>
      </c>
      <c r="P10801" s="36">
        <v>154.88999999999999</v>
      </c>
      <c r="Q10801" s="36">
        <v>132.28</v>
      </c>
      <c r="R10801" s="36">
        <v>108.43</v>
      </c>
      <c r="S10801" s="36">
        <v>117.16</v>
      </c>
      <c r="T10801" s="36">
        <v>96.03</v>
      </c>
      <c r="U10801" s="34"/>
      <c r="V10801" s="34"/>
      <c r="W10801" s="34"/>
      <c r="X10801" s="37">
        <v>1.9E-2</v>
      </c>
      <c r="Y10801" s="38">
        <v>1.7100000000000001E-4</v>
      </c>
      <c r="Z10801" s="21">
        <v>4601004014183</v>
      </c>
    </row>
    <row r="10802" spans="1:26" ht="12" customHeight="1" outlineLevel="4" x14ac:dyDescent="0.2">
      <c r="A10802" s="32" t="s">
        <v>20525</v>
      </c>
      <c r="B10802" s="74" t="s">
        <v>20526</v>
      </c>
      <c r="C10802" s="50"/>
      <c r="D10802" s="53">
        <f t="shared" si="168"/>
        <v>0</v>
      </c>
      <c r="E10802" s="60" t="str">
        <f>HYPERLINK("https://www.sds-group.ru/product/girlyanda-svetodiodnaya-rosa-2m-20led-biryuzovyy-ip20-tonkiy-batareynyy-blok-2hcr2032-v-komp-303-004/", "Инфо")</f>
        <v>Инфо</v>
      </c>
      <c r="F10802" s="34" t="s">
        <v>39</v>
      </c>
      <c r="G10802" s="33"/>
      <c r="H10802" s="33" t="s">
        <v>40</v>
      </c>
      <c r="I10802" s="33"/>
      <c r="J10802" s="35">
        <v>100</v>
      </c>
      <c r="K10802" s="33"/>
      <c r="L10802" s="35">
        <v>1</v>
      </c>
      <c r="M10802" s="35">
        <v>250</v>
      </c>
      <c r="N10802" s="35">
        <v>1</v>
      </c>
      <c r="O10802" s="36">
        <v>188.97</v>
      </c>
      <c r="P10802" s="36">
        <v>154.88999999999999</v>
      </c>
      <c r="Q10802" s="36">
        <v>132.28</v>
      </c>
      <c r="R10802" s="36">
        <v>108.43</v>
      </c>
      <c r="S10802" s="36">
        <v>117.16</v>
      </c>
      <c r="T10802" s="36">
        <v>96.03</v>
      </c>
      <c r="U10802" s="34"/>
      <c r="V10802" s="34"/>
      <c r="W10802" s="34"/>
      <c r="X10802" s="37">
        <v>0.02</v>
      </c>
      <c r="Y10802" s="38">
        <v>6.4999999999999994E-5</v>
      </c>
      <c r="Z10802" s="21">
        <v>4601004014176</v>
      </c>
    </row>
    <row r="10803" spans="1:26" ht="12" customHeight="1" outlineLevel="4" x14ac:dyDescent="0.2">
      <c r="A10803" s="14" t="s">
        <v>20527</v>
      </c>
      <c r="B10803" s="26" t="s">
        <v>20528</v>
      </c>
      <c r="C10803" s="52"/>
      <c r="D10803" s="55">
        <f t="shared" si="168"/>
        <v>0</v>
      </c>
      <c r="E10803" s="63" t="str">
        <f>HYPERLINK("https://www.sds-group.ru/product/girlyanda-svetodiodnaya-rosa-2m-20led-goluboy-ip20-tonkiy-batareynyy-blok-2hcr2032-v-komplek-303-003/", "Инфо")</f>
        <v>Инфо</v>
      </c>
      <c r="F10803" s="16" t="s">
        <v>39</v>
      </c>
      <c r="G10803" s="15"/>
      <c r="H10803" s="15"/>
      <c r="I10803" s="15"/>
      <c r="J10803" s="17">
        <v>561</v>
      </c>
      <c r="K10803" s="15"/>
      <c r="L10803" s="17">
        <v>10</v>
      </c>
      <c r="M10803" s="17">
        <v>250</v>
      </c>
      <c r="N10803" s="17">
        <v>10</v>
      </c>
      <c r="O10803" s="18">
        <v>188.97</v>
      </c>
      <c r="P10803" s="18">
        <v>154.88999999999999</v>
      </c>
      <c r="Q10803" s="18">
        <v>132.28</v>
      </c>
      <c r="R10803" s="18">
        <v>108.43</v>
      </c>
      <c r="S10803" s="18">
        <v>117.16</v>
      </c>
      <c r="T10803" s="18">
        <v>96.03</v>
      </c>
      <c r="U10803" s="16"/>
      <c r="V10803" s="16"/>
      <c r="W10803" s="16"/>
      <c r="X10803" s="19">
        <v>0.02</v>
      </c>
      <c r="Y10803" s="20">
        <v>4.0400000000000001E-4</v>
      </c>
      <c r="Z10803" s="21">
        <v>4601004014206</v>
      </c>
    </row>
    <row r="10804" spans="1:26" ht="12" customHeight="1" outlineLevel="4" x14ac:dyDescent="0.2">
      <c r="A10804" s="32" t="s">
        <v>20529</v>
      </c>
      <c r="B10804" s="74" t="s">
        <v>20530</v>
      </c>
      <c r="C10804" s="50"/>
      <c r="D10804" s="53">
        <f t="shared" si="168"/>
        <v>0</v>
      </c>
      <c r="E10804" s="60" t="str">
        <f>HYPERLINK("https://www.sds-group.ru/product/girlyanda-svetodiodnaya-rosa-2m-20led-zheltyy-ip20-tonkiy-batareynyy-blok-2hcr2032-v-komplek-303-001/", "Инфо")</f>
        <v>Инфо</v>
      </c>
      <c r="F10804" s="34" t="s">
        <v>39</v>
      </c>
      <c r="G10804" s="33"/>
      <c r="H10804" s="33" t="s">
        <v>40</v>
      </c>
      <c r="I10804" s="33"/>
      <c r="J10804" s="34" t="s">
        <v>100</v>
      </c>
      <c r="K10804" s="33"/>
      <c r="L10804" s="35">
        <v>1</v>
      </c>
      <c r="M10804" s="35">
        <v>250</v>
      </c>
      <c r="N10804" s="35">
        <v>1</v>
      </c>
      <c r="O10804" s="36">
        <v>188.97</v>
      </c>
      <c r="P10804" s="36">
        <v>154.88999999999999</v>
      </c>
      <c r="Q10804" s="36">
        <v>132.28</v>
      </c>
      <c r="R10804" s="36">
        <v>108.43</v>
      </c>
      <c r="S10804" s="36">
        <v>117.16</v>
      </c>
      <c r="T10804" s="36">
        <v>96.03</v>
      </c>
      <c r="U10804" s="34"/>
      <c r="V10804" s="34"/>
      <c r="W10804" s="34"/>
      <c r="X10804" s="37">
        <v>0.02</v>
      </c>
      <c r="Y10804" s="38">
        <v>6.4999999999999994E-5</v>
      </c>
      <c r="Z10804" s="21">
        <v>4601004017481</v>
      </c>
    </row>
    <row r="10805" spans="1:26" ht="12" customHeight="1" outlineLevel="4" x14ac:dyDescent="0.2">
      <c r="A10805" s="14" t="s">
        <v>20531</v>
      </c>
      <c r="B10805" s="26" t="s">
        <v>20532</v>
      </c>
      <c r="C10805" s="52"/>
      <c r="D10805" s="55">
        <f t="shared" si="168"/>
        <v>0</v>
      </c>
      <c r="E10805" s="63" t="str">
        <f>HYPERLINK("https://www.sds-group.ru/product/girlyanda-svetodiodnaya-rosa-2m-20led-zelenyy-ip20-2hcr2032-v-komplekte-neon-night-303-008/", "Инфо")</f>
        <v>Инфо</v>
      </c>
      <c r="F10805" s="16" t="s">
        <v>39</v>
      </c>
      <c r="G10805" s="15"/>
      <c r="H10805" s="15"/>
      <c r="I10805" s="15"/>
      <c r="J10805" s="17">
        <v>470</v>
      </c>
      <c r="K10805" s="15"/>
      <c r="L10805" s="17">
        <v>10</v>
      </c>
      <c r="M10805" s="17">
        <v>250</v>
      </c>
      <c r="N10805" s="17">
        <v>10</v>
      </c>
      <c r="O10805" s="18">
        <v>188.97</v>
      </c>
      <c r="P10805" s="18">
        <v>154.88999999999999</v>
      </c>
      <c r="Q10805" s="18">
        <v>132.28</v>
      </c>
      <c r="R10805" s="18">
        <v>108.43</v>
      </c>
      <c r="S10805" s="18">
        <v>117.16</v>
      </c>
      <c r="T10805" s="18">
        <v>96.03</v>
      </c>
      <c r="U10805" s="16"/>
      <c r="V10805" s="16"/>
      <c r="W10805" s="16"/>
      <c r="X10805" s="19">
        <v>1.4E-2</v>
      </c>
      <c r="Y10805" s="20">
        <v>2.3599999999999999E-4</v>
      </c>
      <c r="Z10805" s="21">
        <v>4601004017498</v>
      </c>
    </row>
    <row r="10806" spans="1:26" ht="12" customHeight="1" outlineLevel="4" x14ac:dyDescent="0.2">
      <c r="A10806" s="14" t="s">
        <v>20533</v>
      </c>
      <c r="B10806" s="26" t="s">
        <v>20534</v>
      </c>
      <c r="C10806" s="52"/>
      <c r="D10806" s="55">
        <f t="shared" si="168"/>
        <v>0</v>
      </c>
      <c r="E10806" s="63" t="str">
        <f>HYPERLINK("https://www.sds-group.ru/product/girlyanda-svetodiodnaya-rosa-2m-20led-krasnyy-ip20-2hcr2032-v-komplekte-neon-night-303-002/", "Инфо")</f>
        <v>Инфо</v>
      </c>
      <c r="F10806" s="16" t="s">
        <v>39</v>
      </c>
      <c r="G10806" s="15"/>
      <c r="H10806" s="15"/>
      <c r="I10806" s="15"/>
      <c r="J10806" s="17">
        <v>228</v>
      </c>
      <c r="K10806" s="15"/>
      <c r="L10806" s="17">
        <v>10</v>
      </c>
      <c r="M10806" s="17">
        <v>250</v>
      </c>
      <c r="N10806" s="17">
        <v>10</v>
      </c>
      <c r="O10806" s="18">
        <v>188.97</v>
      </c>
      <c r="P10806" s="18">
        <v>154.88999999999999</v>
      </c>
      <c r="Q10806" s="18">
        <v>132.28</v>
      </c>
      <c r="R10806" s="18">
        <v>108.43</v>
      </c>
      <c r="S10806" s="18">
        <v>117.16</v>
      </c>
      <c r="T10806" s="18">
        <v>96.03</v>
      </c>
      <c r="U10806" s="16"/>
      <c r="V10806" s="16"/>
      <c r="W10806" s="16"/>
      <c r="X10806" s="19">
        <v>1.9E-2</v>
      </c>
      <c r="Y10806" s="20">
        <v>1.92E-4</v>
      </c>
      <c r="Z10806" s="21">
        <v>4601004138919</v>
      </c>
    </row>
    <row r="10807" spans="1:26" ht="12" customHeight="1" outlineLevel="4" x14ac:dyDescent="0.2">
      <c r="A10807" s="14" t="s">
        <v>20535</v>
      </c>
      <c r="B10807" s="26" t="s">
        <v>20536</v>
      </c>
      <c r="C10807" s="52"/>
      <c r="D10807" s="55">
        <f t="shared" si="168"/>
        <v>0</v>
      </c>
      <c r="E10807" s="63" t="str">
        <f>HYPERLINK("https://www.sds-group.ru/product/girlyanda-svetodiodnaya-rosa-2m-20led-rozovyy-ip20-tonkiy-batareynyy-blok-2hcr2032-v-komplek-303-007/", "Инфо")</f>
        <v>Инфо</v>
      </c>
      <c r="F10807" s="16" t="s">
        <v>39</v>
      </c>
      <c r="G10807" s="15"/>
      <c r="H10807" s="15"/>
      <c r="I10807" s="15"/>
      <c r="J10807" s="17">
        <v>704</v>
      </c>
      <c r="K10807" s="15"/>
      <c r="L10807" s="17">
        <v>10</v>
      </c>
      <c r="M10807" s="17">
        <v>250</v>
      </c>
      <c r="N10807" s="17">
        <v>10</v>
      </c>
      <c r="O10807" s="18">
        <v>188.97</v>
      </c>
      <c r="P10807" s="18">
        <v>154.88999999999999</v>
      </c>
      <c r="Q10807" s="18">
        <v>132.28</v>
      </c>
      <c r="R10807" s="18">
        <v>108.43</v>
      </c>
      <c r="S10807" s="18">
        <v>117.16</v>
      </c>
      <c r="T10807" s="18">
        <v>96.03</v>
      </c>
      <c r="U10807" s="16"/>
      <c r="V10807" s="16"/>
      <c r="W10807" s="16"/>
      <c r="X10807" s="19">
        <v>0.02</v>
      </c>
      <c r="Y10807" s="20">
        <v>6.0000000000000002E-5</v>
      </c>
      <c r="Z10807" s="21">
        <v>4601004014190</v>
      </c>
    </row>
    <row r="10808" spans="1:26" ht="12" customHeight="1" outlineLevel="4" x14ac:dyDescent="0.2">
      <c r="A10808" s="14" t="s">
        <v>20537</v>
      </c>
      <c r="B10808" s="26" t="s">
        <v>20538</v>
      </c>
      <c r="C10808" s="52"/>
      <c r="D10808" s="55">
        <f t="shared" si="168"/>
        <v>0</v>
      </c>
      <c r="E10808" s="63" t="str">
        <f>HYPERLINK("https://www.sds-group.ru/product/girlyanda-svetodiodnaya-rosa-5-m-50led-teplyy-belyy-ip20-usb-neon-night-315-966/", "Инфо")</f>
        <v>Инфо</v>
      </c>
      <c r="F10808" s="16" t="s">
        <v>39</v>
      </c>
      <c r="G10808" s="15"/>
      <c r="H10808" s="15"/>
      <c r="I10808" s="15"/>
      <c r="J10808" s="16" t="s">
        <v>100</v>
      </c>
      <c r="K10808" s="15" t="s">
        <v>6174</v>
      </c>
      <c r="L10808" s="17">
        <v>5</v>
      </c>
      <c r="M10808" s="17">
        <v>160</v>
      </c>
      <c r="N10808" s="17">
        <v>5</v>
      </c>
      <c r="O10808" s="18">
        <v>402.91</v>
      </c>
      <c r="P10808" s="18">
        <v>330.25</v>
      </c>
      <c r="Q10808" s="18">
        <v>282.04000000000002</v>
      </c>
      <c r="R10808" s="18">
        <v>231.18</v>
      </c>
      <c r="S10808" s="18">
        <v>249.8</v>
      </c>
      <c r="T10808" s="18">
        <v>204.75</v>
      </c>
      <c r="U10808" s="16"/>
      <c r="V10808" s="16"/>
      <c r="W10808" s="16"/>
      <c r="X10808" s="19">
        <v>2.7E-2</v>
      </c>
      <c r="Y10808" s="20">
        <v>1.06E-4</v>
      </c>
      <c r="Z10808" s="21">
        <v>4601004184152</v>
      </c>
    </row>
    <row r="10809" spans="1:26" ht="12" customHeight="1" outlineLevel="4" x14ac:dyDescent="0.2">
      <c r="A10809" s="14" t="s">
        <v>20539</v>
      </c>
      <c r="B10809" s="26" t="s">
        <v>20540</v>
      </c>
      <c r="C10809" s="52"/>
      <c r="D10809" s="55">
        <f t="shared" si="168"/>
        <v>0</v>
      </c>
      <c r="E10809" s="63" t="str">
        <f>HYPERLINK("https://www.sds-group.ru/product/girlyanda-svetodiodnaya-rosa-s-kontrollerom-100m-1000led-teplyy-belyy-ip20-230v-zelenyy-prov-303-296/", "Инфо")</f>
        <v>Инфо</v>
      </c>
      <c r="F10809" s="16" t="s">
        <v>39</v>
      </c>
      <c r="G10809" s="15"/>
      <c r="H10809" s="15"/>
      <c r="I10809" s="15"/>
      <c r="J10809" s="16" t="s">
        <v>100</v>
      </c>
      <c r="K10809" s="15" t="s">
        <v>6181</v>
      </c>
      <c r="L10809" s="17">
        <v>1</v>
      </c>
      <c r="M10809" s="17">
        <v>50</v>
      </c>
      <c r="N10809" s="17">
        <v>1</v>
      </c>
      <c r="O10809" s="18">
        <v>3234.06</v>
      </c>
      <c r="P10809" s="18">
        <v>2650.87</v>
      </c>
      <c r="Q10809" s="18">
        <v>2360.86</v>
      </c>
      <c r="R10809" s="18">
        <v>1935.13</v>
      </c>
      <c r="S10809" s="18">
        <v>2005.12</v>
      </c>
      <c r="T10809" s="18">
        <v>1643.54</v>
      </c>
      <c r="U10809" s="16"/>
      <c r="V10809" s="16"/>
      <c r="W10809" s="16" t="s">
        <v>40</v>
      </c>
      <c r="X10809" s="19">
        <v>0.29399999999999998</v>
      </c>
      <c r="Y10809" s="20">
        <v>1.0300000000000001E-3</v>
      </c>
      <c r="Z10809" s="21">
        <v>4601004283312</v>
      </c>
    </row>
    <row r="10810" spans="1:26" ht="12" customHeight="1" outlineLevel="4" x14ac:dyDescent="0.2">
      <c r="A10810" s="14" t="s">
        <v>20541</v>
      </c>
      <c r="B10810" s="26" t="s">
        <v>20542</v>
      </c>
      <c r="C10810" s="52"/>
      <c r="D10810" s="55">
        <f t="shared" si="168"/>
        <v>0</v>
      </c>
      <c r="E10810" s="63" t="str">
        <f>HYPERLINK("https://www.sds-group.ru/product/girlyanda-svetodiodnaya-rosa-s-kontrollerom-20m-200led-belyy-ip20-230v-zelenyy-provod-neon-n-303-265/", "Инфо")</f>
        <v>Инфо</v>
      </c>
      <c r="F10810" s="16" t="s">
        <v>39</v>
      </c>
      <c r="G10810" s="15"/>
      <c r="H10810" s="15"/>
      <c r="I10810" s="15"/>
      <c r="J10810" s="16" t="s">
        <v>100</v>
      </c>
      <c r="K10810" s="15"/>
      <c r="L10810" s="17">
        <v>1</v>
      </c>
      <c r="M10810" s="17">
        <v>48</v>
      </c>
      <c r="N10810" s="17">
        <v>1</v>
      </c>
      <c r="O10810" s="18">
        <v>739.8</v>
      </c>
      <c r="P10810" s="18">
        <v>606.39</v>
      </c>
      <c r="Q10810" s="18">
        <v>591.84</v>
      </c>
      <c r="R10810" s="18">
        <v>485.11</v>
      </c>
      <c r="S10810" s="18">
        <v>458.68</v>
      </c>
      <c r="T10810" s="18">
        <v>375.97</v>
      </c>
      <c r="U10810" s="16"/>
      <c r="V10810" s="16"/>
      <c r="W10810" s="16" t="s">
        <v>40</v>
      </c>
      <c r="X10810" s="19">
        <v>0.15</v>
      </c>
      <c r="Y10810" s="20">
        <v>6.5499999999999998E-4</v>
      </c>
      <c r="Z10810" s="21">
        <v>4601004283220</v>
      </c>
    </row>
    <row r="10811" spans="1:26" ht="12" customHeight="1" outlineLevel="4" x14ac:dyDescent="0.2">
      <c r="A10811" s="14" t="s">
        <v>20543</v>
      </c>
      <c r="B10811" s="26" t="s">
        <v>20544</v>
      </c>
      <c r="C10811" s="52"/>
      <c r="D10811" s="55">
        <f t="shared" si="168"/>
        <v>0</v>
      </c>
      <c r="E10811" s="63" t="str">
        <f>HYPERLINK("https://www.sds-group.ru/product/girlyanda-svetodiodnaya-rosa-s-kontrollerom-20m-200led-teplyy-belyy-ip20-230v-zelenyy-provod-303-266/", "Инфо")</f>
        <v>Инфо</v>
      </c>
      <c r="F10811" s="16" t="s">
        <v>39</v>
      </c>
      <c r="G10811" s="15"/>
      <c r="H10811" s="15"/>
      <c r="I10811" s="15"/>
      <c r="J10811" s="17">
        <v>545</v>
      </c>
      <c r="K10811" s="15" t="s">
        <v>6174</v>
      </c>
      <c r="L10811" s="17">
        <v>1</v>
      </c>
      <c r="M10811" s="17">
        <v>48</v>
      </c>
      <c r="N10811" s="17">
        <v>1</v>
      </c>
      <c r="O10811" s="18">
        <v>739.8</v>
      </c>
      <c r="P10811" s="18">
        <v>606.39</v>
      </c>
      <c r="Q10811" s="18">
        <v>591.84</v>
      </c>
      <c r="R10811" s="18">
        <v>485.11</v>
      </c>
      <c r="S10811" s="18">
        <v>458.68</v>
      </c>
      <c r="T10811" s="18">
        <v>375.97</v>
      </c>
      <c r="U10811" s="16"/>
      <c r="V10811" s="16"/>
      <c r="W10811" s="16" t="s">
        <v>40</v>
      </c>
      <c r="X10811" s="19">
        <v>0.158</v>
      </c>
      <c r="Y10811" s="20">
        <v>6.4499999999999996E-4</v>
      </c>
      <c r="Z10811" s="21">
        <v>4601004283251</v>
      </c>
    </row>
    <row r="10812" spans="1:26" ht="12" customHeight="1" outlineLevel="4" x14ac:dyDescent="0.2">
      <c r="A10812" s="14" t="s">
        <v>20545</v>
      </c>
      <c r="B10812" s="26" t="s">
        <v>20546</v>
      </c>
      <c r="C10812" s="52"/>
      <c r="D10812" s="55">
        <f t="shared" si="168"/>
        <v>0</v>
      </c>
      <c r="E10812" s="63" t="str">
        <f>HYPERLINK("https://www.sds-group.ru/product/girlyanda-svetodiodnaya-rosa-s-kontrollerom-30m-300led-belyy-ip20-230v-zelenyy-provod-neon-n-303-275/", "Инфо")</f>
        <v>Инфо</v>
      </c>
      <c r="F10812" s="16" t="s">
        <v>39</v>
      </c>
      <c r="G10812" s="15"/>
      <c r="H10812" s="15"/>
      <c r="I10812" s="15"/>
      <c r="J10812" s="17">
        <v>940</v>
      </c>
      <c r="K10812" s="15"/>
      <c r="L10812" s="17">
        <v>1</v>
      </c>
      <c r="M10812" s="17">
        <v>48</v>
      </c>
      <c r="N10812" s="17">
        <v>1</v>
      </c>
      <c r="O10812" s="18">
        <v>1076.94</v>
      </c>
      <c r="P10812" s="18">
        <v>882.74</v>
      </c>
      <c r="Q10812" s="18">
        <v>861.55</v>
      </c>
      <c r="R10812" s="18">
        <v>706.19</v>
      </c>
      <c r="S10812" s="18">
        <v>667.7</v>
      </c>
      <c r="T10812" s="18">
        <v>547.29999999999995</v>
      </c>
      <c r="U10812" s="16"/>
      <c r="V10812" s="16"/>
      <c r="W10812" s="16" t="s">
        <v>40</v>
      </c>
      <c r="X10812" s="19">
        <v>0.18099999999999999</v>
      </c>
      <c r="Y10812" s="20">
        <v>6.5700000000000003E-4</v>
      </c>
      <c r="Z10812" s="21">
        <v>4601004283367</v>
      </c>
    </row>
    <row r="10813" spans="1:26" ht="12" customHeight="1" outlineLevel="4" x14ac:dyDescent="0.2">
      <c r="A10813" s="14" t="s">
        <v>20547</v>
      </c>
      <c r="B10813" s="26" t="s">
        <v>20548</v>
      </c>
      <c r="C10813" s="52"/>
      <c r="D10813" s="55">
        <f t="shared" si="168"/>
        <v>0</v>
      </c>
      <c r="E10813" s="63" t="str">
        <f>HYPERLINK("https://www.sds-group.ru/product/girlyanda-svetodiodnaya-rosa-s-kontrollerom-30m-300led-teplyy-belyy-ip20-230v-zelenyy-provod-303-276/", "Инфо")</f>
        <v>Инфо</v>
      </c>
      <c r="F10813" s="16" t="s">
        <v>39</v>
      </c>
      <c r="G10813" s="15"/>
      <c r="H10813" s="15"/>
      <c r="I10813" s="15"/>
      <c r="J10813" s="17">
        <v>25</v>
      </c>
      <c r="K10813" s="15" t="s">
        <v>6174</v>
      </c>
      <c r="L10813" s="17">
        <v>1</v>
      </c>
      <c r="M10813" s="17">
        <v>48</v>
      </c>
      <c r="N10813" s="17">
        <v>1</v>
      </c>
      <c r="O10813" s="18">
        <v>1076.94</v>
      </c>
      <c r="P10813" s="18">
        <v>882.74</v>
      </c>
      <c r="Q10813" s="18">
        <v>861.55</v>
      </c>
      <c r="R10813" s="18">
        <v>706.19</v>
      </c>
      <c r="S10813" s="18">
        <v>667.7</v>
      </c>
      <c r="T10813" s="18">
        <v>547.29999999999995</v>
      </c>
      <c r="U10813" s="16"/>
      <c r="V10813" s="16"/>
      <c r="W10813" s="16" t="s">
        <v>40</v>
      </c>
      <c r="X10813" s="19">
        <v>0.17499999999999999</v>
      </c>
      <c r="Y10813" s="20">
        <v>6.5300000000000004E-4</v>
      </c>
      <c r="Z10813" s="21">
        <v>4601004283244</v>
      </c>
    </row>
    <row r="10814" spans="1:26" ht="12" customHeight="1" outlineLevel="4" x14ac:dyDescent="0.2">
      <c r="A10814" s="14" t="s">
        <v>20549</v>
      </c>
      <c r="B10814" s="26" t="s">
        <v>20550</v>
      </c>
      <c r="C10814" s="52"/>
      <c r="D10814" s="55">
        <f t="shared" si="168"/>
        <v>0</v>
      </c>
      <c r="E10814" s="63" t="str">
        <f>HYPERLINK("https://www.sds-group.ru/product/girlyanda-svetodiodnaya-rosa-s-kontrollerom-50m-500led-belyy-ip20-230v-zelenyy-provod-neon-n-303-285/", "Инфо")</f>
        <v>Инфо</v>
      </c>
      <c r="F10814" s="16" t="s">
        <v>39</v>
      </c>
      <c r="G10814" s="15"/>
      <c r="H10814" s="15"/>
      <c r="I10814" s="15"/>
      <c r="J10814" s="17">
        <v>427</v>
      </c>
      <c r="K10814" s="15" t="s">
        <v>6174</v>
      </c>
      <c r="L10814" s="17">
        <v>1</v>
      </c>
      <c r="M10814" s="17">
        <v>48</v>
      </c>
      <c r="N10814" s="17">
        <v>1</v>
      </c>
      <c r="O10814" s="18">
        <v>1346.44</v>
      </c>
      <c r="P10814" s="18">
        <v>1103.6400000000001</v>
      </c>
      <c r="Q10814" s="18">
        <v>1077.1500000000001</v>
      </c>
      <c r="R10814" s="18">
        <v>882.91</v>
      </c>
      <c r="S10814" s="18">
        <v>834.79</v>
      </c>
      <c r="T10814" s="18">
        <v>684.25</v>
      </c>
      <c r="U10814" s="16"/>
      <c r="V10814" s="16"/>
      <c r="W10814" s="16" t="s">
        <v>40</v>
      </c>
      <c r="X10814" s="19">
        <v>0.22500000000000001</v>
      </c>
      <c r="Y10814" s="20">
        <v>8.1499999999999997E-4</v>
      </c>
      <c r="Z10814" s="21">
        <v>4601004283268</v>
      </c>
    </row>
    <row r="10815" spans="1:26" ht="12" customHeight="1" outlineLevel="4" x14ac:dyDescent="0.2">
      <c r="A10815" s="14" t="s">
        <v>20551</v>
      </c>
      <c r="B10815" s="26" t="s">
        <v>20552</v>
      </c>
      <c r="C10815" s="52"/>
      <c r="D10815" s="55">
        <f t="shared" si="168"/>
        <v>0</v>
      </c>
      <c r="E10815" s="63" t="str">
        <f>HYPERLINK("https://www.sds-group.ru/product/girlyanda-svetodiodnaya-rosa-s-kontrollerom-50m-500led-teplyy-belyy-ip20-230v-zelenyy-provod-303-286/", "Инфо")</f>
        <v>Инфо</v>
      </c>
      <c r="F10815" s="16" t="s">
        <v>39</v>
      </c>
      <c r="G10815" s="15"/>
      <c r="H10815" s="15"/>
      <c r="I10815" s="15"/>
      <c r="J10815" s="16" t="s">
        <v>100</v>
      </c>
      <c r="K10815" s="15" t="s">
        <v>6174</v>
      </c>
      <c r="L10815" s="17">
        <v>1</v>
      </c>
      <c r="M10815" s="17">
        <v>48</v>
      </c>
      <c r="N10815" s="17">
        <v>1</v>
      </c>
      <c r="O10815" s="18">
        <v>1346.44</v>
      </c>
      <c r="P10815" s="18">
        <v>1103.6400000000001</v>
      </c>
      <c r="Q10815" s="18">
        <v>1077.1500000000001</v>
      </c>
      <c r="R10815" s="18">
        <v>882.91</v>
      </c>
      <c r="S10815" s="18">
        <v>834.79</v>
      </c>
      <c r="T10815" s="18">
        <v>684.25</v>
      </c>
      <c r="U10815" s="16"/>
      <c r="V10815" s="16"/>
      <c r="W10815" s="16" t="s">
        <v>40</v>
      </c>
      <c r="X10815" s="19">
        <v>0.224</v>
      </c>
      <c r="Y10815" s="20">
        <v>8.1300000000000003E-4</v>
      </c>
      <c r="Z10815" s="21">
        <v>4601004283299</v>
      </c>
    </row>
    <row r="10816" spans="1:26" ht="12" customHeight="1" outlineLevel="4" x14ac:dyDescent="0.2">
      <c r="A10816" s="32" t="s">
        <v>20553</v>
      </c>
      <c r="B10816" s="74" t="s">
        <v>20554</v>
      </c>
      <c r="C10816" s="50"/>
      <c r="D10816" s="53">
        <f t="shared" si="168"/>
        <v>0</v>
      </c>
      <c r="E10816" s="60" t="str">
        <f>HYPERLINK("https://www.sds-group.ru/product/girlyanda-svetodiodnaya-rosa-s-krupnymi-kaplyami-2m-20led-teplyy-belyy-ip20-2hcr2032-v-kompl-302-006/", "Инфо")</f>
        <v>Инфо</v>
      </c>
      <c r="F10816" s="34" t="s">
        <v>39</v>
      </c>
      <c r="G10816" s="33"/>
      <c r="H10816" s="33" t="s">
        <v>40</v>
      </c>
      <c r="I10816" s="33"/>
      <c r="J10816" s="35">
        <v>1</v>
      </c>
      <c r="K10816" s="33"/>
      <c r="L10816" s="35">
        <v>1</v>
      </c>
      <c r="M10816" s="35">
        <v>200</v>
      </c>
      <c r="N10816" s="35">
        <v>1</v>
      </c>
      <c r="O10816" s="36">
        <v>252.39</v>
      </c>
      <c r="P10816" s="36">
        <v>206.88</v>
      </c>
      <c r="Q10816" s="36">
        <v>176.67</v>
      </c>
      <c r="R10816" s="36">
        <v>144.81</v>
      </c>
      <c r="S10816" s="36">
        <v>156.47999999999999</v>
      </c>
      <c r="T10816" s="36">
        <v>128.26</v>
      </c>
      <c r="U10816" s="34"/>
      <c r="V10816" s="34"/>
      <c r="W10816" s="34"/>
      <c r="X10816" s="37">
        <v>0.02</v>
      </c>
      <c r="Y10816" s="38">
        <v>4.44E-4</v>
      </c>
      <c r="Z10816" s="21">
        <v>4601004184084</v>
      </c>
    </row>
    <row r="10817" spans="1:26" ht="12" customHeight="1" outlineLevel="4" x14ac:dyDescent="0.2">
      <c r="A10817" s="32" t="s">
        <v>20555</v>
      </c>
      <c r="B10817" s="74" t="s">
        <v>20556</v>
      </c>
      <c r="C10817" s="50"/>
      <c r="D10817" s="53">
        <f t="shared" si="168"/>
        <v>0</v>
      </c>
      <c r="E10817" s="60" t="str">
        <f>HYPERLINK("https://www.sds-group.ru/product/girlyanda-svetodiodnaya-rosa-s-prischepkoy-3m-30led-teplyy-belyy-ip20-2hcr2032-v-komplekte-n-302-016/", "Инфо")</f>
        <v>Инфо</v>
      </c>
      <c r="F10817" s="34" t="s">
        <v>39</v>
      </c>
      <c r="G10817" s="33"/>
      <c r="H10817" s="33" t="s">
        <v>40</v>
      </c>
      <c r="I10817" s="33"/>
      <c r="J10817" s="35">
        <v>1</v>
      </c>
      <c r="K10817" s="33"/>
      <c r="L10817" s="35">
        <v>1</v>
      </c>
      <c r="M10817" s="35">
        <v>96</v>
      </c>
      <c r="N10817" s="35">
        <v>1</v>
      </c>
      <c r="O10817" s="36">
        <v>382.77</v>
      </c>
      <c r="P10817" s="36">
        <v>313.75</v>
      </c>
      <c r="Q10817" s="36">
        <v>267.94</v>
      </c>
      <c r="R10817" s="36">
        <v>219.62</v>
      </c>
      <c r="S10817" s="36">
        <v>237.32</v>
      </c>
      <c r="T10817" s="36">
        <v>194.52</v>
      </c>
      <c r="U10817" s="34"/>
      <c r="V10817" s="34"/>
      <c r="W10817" s="34"/>
      <c r="X10817" s="37">
        <v>3.3000000000000002E-2</v>
      </c>
      <c r="Y10817" s="38">
        <v>1.64E-4</v>
      </c>
      <c r="Z10817" s="21">
        <v>4601004184022</v>
      </c>
    </row>
    <row r="10818" spans="1:26" ht="12" customHeight="1" outlineLevel="4" x14ac:dyDescent="0.2">
      <c r="A10818" s="32" t="s">
        <v>20557</v>
      </c>
      <c r="B10818" s="74" t="s">
        <v>20558</v>
      </c>
      <c r="C10818" s="50"/>
      <c r="D10818" s="53">
        <f t="shared" si="168"/>
        <v>0</v>
      </c>
      <c r="E10818" s="60" t="str">
        <f>HYPERLINK("https://www.sds-group.ru/product/girlyanda-svetodiodnaya-rosa-s-probkoy-2m-20led-belyy-ip20-3hlr44-v-komplekte-neon-night-302-025/", "Инфо")</f>
        <v>Инфо</v>
      </c>
      <c r="F10818" s="34" t="s">
        <v>39</v>
      </c>
      <c r="G10818" s="33"/>
      <c r="H10818" s="33" t="s">
        <v>40</v>
      </c>
      <c r="I10818" s="33"/>
      <c r="J10818" s="35">
        <v>49</v>
      </c>
      <c r="K10818" s="33"/>
      <c r="L10818" s="35">
        <v>1</v>
      </c>
      <c r="M10818" s="35">
        <v>120</v>
      </c>
      <c r="N10818" s="35">
        <v>1</v>
      </c>
      <c r="O10818" s="36">
        <v>252.39</v>
      </c>
      <c r="P10818" s="36">
        <v>206.88</v>
      </c>
      <c r="Q10818" s="36">
        <v>176.67</v>
      </c>
      <c r="R10818" s="36">
        <v>144.81</v>
      </c>
      <c r="S10818" s="36">
        <v>156.47999999999999</v>
      </c>
      <c r="T10818" s="36">
        <v>128.26</v>
      </c>
      <c r="U10818" s="34"/>
      <c r="V10818" s="34"/>
      <c r="W10818" s="34"/>
      <c r="X10818" s="37">
        <v>2.9000000000000001E-2</v>
      </c>
      <c r="Y10818" s="38">
        <v>2.7700000000000001E-4</v>
      </c>
      <c r="Z10818" s="21">
        <v>4601004184046</v>
      </c>
    </row>
    <row r="10819" spans="1:26" ht="12" customHeight="1" outlineLevel="4" x14ac:dyDescent="0.2">
      <c r="A10819" s="32" t="s">
        <v>20559</v>
      </c>
      <c r="B10819" s="74" t="s">
        <v>20560</v>
      </c>
      <c r="C10819" s="50"/>
      <c r="D10819" s="53">
        <f t="shared" si="168"/>
        <v>0</v>
      </c>
      <c r="E10819" s="60" t="str">
        <f>HYPERLINK("https://www.sds-group.ru/product/girlyanda-svetodiodnaya-rosa-s-probkoy-2m-20led-teplyy-belyy-ip20-3hlr44-v-komplekte-neon-ni-302-026/", "Инфо")</f>
        <v>Инфо</v>
      </c>
      <c r="F10819" s="34" t="s">
        <v>39</v>
      </c>
      <c r="G10819" s="33"/>
      <c r="H10819" s="33" t="s">
        <v>40</v>
      </c>
      <c r="I10819" s="33"/>
      <c r="J10819" s="35">
        <v>71</v>
      </c>
      <c r="K10819" s="33"/>
      <c r="L10819" s="35">
        <v>1</v>
      </c>
      <c r="M10819" s="35">
        <v>120</v>
      </c>
      <c r="N10819" s="35">
        <v>1</v>
      </c>
      <c r="O10819" s="36">
        <v>252.39</v>
      </c>
      <c r="P10819" s="36">
        <v>206.88</v>
      </c>
      <c r="Q10819" s="36">
        <v>214.53</v>
      </c>
      <c r="R10819" s="36">
        <v>175.84</v>
      </c>
      <c r="S10819" s="36">
        <v>156.47999999999999</v>
      </c>
      <c r="T10819" s="36">
        <v>128.26</v>
      </c>
      <c r="U10819" s="34"/>
      <c r="V10819" s="34"/>
      <c r="W10819" s="34" t="s">
        <v>40</v>
      </c>
      <c r="X10819" s="37">
        <v>3.2000000000000001E-2</v>
      </c>
      <c r="Y10819" s="38">
        <v>2.8499999999999999E-4</v>
      </c>
      <c r="Z10819" s="21">
        <v>4601004184053</v>
      </c>
    </row>
    <row r="10820" spans="1:26" ht="12" customHeight="1" outlineLevel="4" x14ac:dyDescent="0.2">
      <c r="A10820" s="32" t="s">
        <v>20561</v>
      </c>
      <c r="B10820" s="74" t="s">
        <v>20562</v>
      </c>
      <c r="C10820" s="50"/>
      <c r="D10820" s="53">
        <f t="shared" si="168"/>
        <v>0</v>
      </c>
      <c r="E10820" s="60" t="str">
        <f>HYPERLINK("https://www.sds-group.ru/product/girlyanda-svetodiodnaya-rosa-s-probkoy-2m-20led-multikolor-ip20-3hlr44-v-komplekte-neon-nigh-302-029/", "Инфо")</f>
        <v>Инфо</v>
      </c>
      <c r="F10820" s="34" t="s">
        <v>39</v>
      </c>
      <c r="G10820" s="33"/>
      <c r="H10820" s="33" t="s">
        <v>40</v>
      </c>
      <c r="I10820" s="33"/>
      <c r="J10820" s="35">
        <v>30</v>
      </c>
      <c r="K10820" s="33"/>
      <c r="L10820" s="35">
        <v>1</v>
      </c>
      <c r="M10820" s="35">
        <v>120</v>
      </c>
      <c r="N10820" s="35">
        <v>1</v>
      </c>
      <c r="O10820" s="36">
        <v>252.39</v>
      </c>
      <c r="P10820" s="36">
        <v>206.88</v>
      </c>
      <c r="Q10820" s="36">
        <v>176.67</v>
      </c>
      <c r="R10820" s="36">
        <v>144.81</v>
      </c>
      <c r="S10820" s="36">
        <v>156.47999999999999</v>
      </c>
      <c r="T10820" s="36">
        <v>128.26</v>
      </c>
      <c r="U10820" s="34"/>
      <c r="V10820" s="34"/>
      <c r="W10820" s="34"/>
      <c r="X10820" s="37">
        <v>0.03</v>
      </c>
      <c r="Y10820" s="38">
        <v>2.8299999999999999E-4</v>
      </c>
      <c r="Z10820" s="21">
        <v>4601004184060</v>
      </c>
    </row>
    <row r="10821" spans="1:26" ht="12" customHeight="1" outlineLevel="4" x14ac:dyDescent="0.2">
      <c r="A10821" s="14" t="s">
        <v>20563</v>
      </c>
      <c r="B10821" s="26" t="s">
        <v>20564</v>
      </c>
      <c r="C10821" s="52"/>
      <c r="D10821" s="55">
        <f t="shared" si="168"/>
        <v>0</v>
      </c>
      <c r="E10821" s="63" t="str">
        <f>HYPERLINK("https://www.sds-group.ru/product/girlyanda-svetodiodnaya-rosa-feyerverk-s-kontrollerom-10m-250led-teplyy-belyy-ip20-na-katush-303-436/", "Инфо")</f>
        <v>Инфо</v>
      </c>
      <c r="F10821" s="16" t="s">
        <v>39</v>
      </c>
      <c r="G10821" s="15"/>
      <c r="H10821" s="15"/>
      <c r="I10821" s="15"/>
      <c r="J10821" s="17">
        <v>15</v>
      </c>
      <c r="K10821" s="15" t="s">
        <v>6174</v>
      </c>
      <c r="L10821" s="17">
        <v>1</v>
      </c>
      <c r="M10821" s="17">
        <v>48</v>
      </c>
      <c r="N10821" s="17">
        <v>1</v>
      </c>
      <c r="O10821" s="18">
        <v>1363.22</v>
      </c>
      <c r="P10821" s="18">
        <v>1117.3900000000001</v>
      </c>
      <c r="Q10821" s="18">
        <v>1076.94</v>
      </c>
      <c r="R10821" s="18">
        <v>882.74</v>
      </c>
      <c r="S10821" s="18">
        <v>845.2</v>
      </c>
      <c r="T10821" s="18">
        <v>692.79</v>
      </c>
      <c r="U10821" s="16"/>
      <c r="V10821" s="16"/>
      <c r="W10821" s="16" t="s">
        <v>40</v>
      </c>
      <c r="X10821" s="19">
        <v>0.17699999999999999</v>
      </c>
      <c r="Y10821" s="20">
        <v>7.5600000000000005E-4</v>
      </c>
      <c r="Z10821" s="21">
        <v>4601004283978</v>
      </c>
    </row>
    <row r="10822" spans="1:26" ht="12" customHeight="1" outlineLevel="4" x14ac:dyDescent="0.2">
      <c r="A10822" s="14" t="s">
        <v>20565</v>
      </c>
      <c r="B10822" s="26" t="s">
        <v>20566</v>
      </c>
      <c r="C10822" s="52"/>
      <c r="D10822" s="55">
        <f t="shared" si="168"/>
        <v>0</v>
      </c>
      <c r="E10822" s="63" t="str">
        <f>HYPERLINK("https://www.sds-group.ru/product/girlyanda-svetodiodnaya-rosa-feyerverk-s-kontrollerom-20m-500led-teplyy-belyy-ip20-na-katush-303-446/", "Инфо")</f>
        <v>Инфо</v>
      </c>
      <c r="F10822" s="16" t="s">
        <v>39</v>
      </c>
      <c r="G10822" s="15"/>
      <c r="H10822" s="15"/>
      <c r="I10822" s="15"/>
      <c r="J10822" s="17">
        <v>1</v>
      </c>
      <c r="K10822" s="15" t="s">
        <v>6174</v>
      </c>
      <c r="L10822" s="17">
        <v>1</v>
      </c>
      <c r="M10822" s="17">
        <v>48</v>
      </c>
      <c r="N10822" s="17">
        <v>1</v>
      </c>
      <c r="O10822" s="18">
        <v>2086.04</v>
      </c>
      <c r="P10822" s="18">
        <v>1709.87</v>
      </c>
      <c r="Q10822" s="18">
        <v>1606.25</v>
      </c>
      <c r="R10822" s="18">
        <v>1316.6</v>
      </c>
      <c r="S10822" s="18">
        <v>1293.3399999999999</v>
      </c>
      <c r="T10822" s="18">
        <v>1060.1099999999999</v>
      </c>
      <c r="U10822" s="16"/>
      <c r="V10822" s="16"/>
      <c r="W10822" s="16" t="s">
        <v>40</v>
      </c>
      <c r="X10822" s="19">
        <v>0.26100000000000001</v>
      </c>
      <c r="Y10822" s="20">
        <v>1.3370000000000001E-3</v>
      </c>
      <c r="Z10822" s="21">
        <v>4601004283992</v>
      </c>
    </row>
    <row r="10823" spans="1:26" ht="12" customHeight="1" outlineLevel="4" x14ac:dyDescent="0.2">
      <c r="A10823" s="32" t="s">
        <v>20567</v>
      </c>
      <c r="B10823" s="74" t="s">
        <v>20568</v>
      </c>
      <c r="C10823" s="50"/>
      <c r="D10823" s="53">
        <f t="shared" si="168"/>
        <v>0</v>
      </c>
      <c r="E10823" s="60" t="str">
        <f>HYPERLINK("https://www.sds-group.ru/product/girlyanda-svetodiodnaya-snezhinki-2m-20led-belyy-ip20-2hcr2032-v-komplekte-neon-night-303-010/", "Инфо")</f>
        <v>Инфо</v>
      </c>
      <c r="F10823" s="34" t="s">
        <v>39</v>
      </c>
      <c r="G10823" s="33"/>
      <c r="H10823" s="33" t="s">
        <v>40</v>
      </c>
      <c r="I10823" s="33"/>
      <c r="J10823" s="35">
        <v>223</v>
      </c>
      <c r="K10823" s="33"/>
      <c r="L10823" s="35">
        <v>1</v>
      </c>
      <c r="M10823" s="35">
        <v>250</v>
      </c>
      <c r="N10823" s="35">
        <v>1</v>
      </c>
      <c r="O10823" s="36">
        <v>188.97</v>
      </c>
      <c r="P10823" s="36">
        <v>154.88999999999999</v>
      </c>
      <c r="Q10823" s="36">
        <v>132.28</v>
      </c>
      <c r="R10823" s="36">
        <v>108.43</v>
      </c>
      <c r="S10823" s="36">
        <v>117.16</v>
      </c>
      <c r="T10823" s="36">
        <v>96.03</v>
      </c>
      <c r="U10823" s="34"/>
      <c r="V10823" s="34"/>
      <c r="W10823" s="34"/>
      <c r="X10823" s="37">
        <v>3.7999999999999999E-2</v>
      </c>
      <c r="Y10823" s="38">
        <v>2.1499999999999999E-4</v>
      </c>
      <c r="Z10823" s="21">
        <v>4601004014220</v>
      </c>
    </row>
    <row r="10824" spans="1:26" ht="12" customHeight="1" outlineLevel="4" x14ac:dyDescent="0.2">
      <c r="A10824" s="14" t="s">
        <v>20569</v>
      </c>
      <c r="B10824" s="26" t="s">
        <v>20570</v>
      </c>
      <c r="C10824" s="52"/>
      <c r="D10824" s="55">
        <f t="shared" si="168"/>
        <v>0</v>
      </c>
      <c r="E10824" s="63" t="str">
        <f>HYPERLINK("https://www.sds-group.ru/product/girlyanda-svetodiodnaya-rosa-10m-100-led-belyy-ip20-3haa-v-komplekt-ne-vhodyat-neon-night-302-075/", "Инфо")</f>
        <v>Инфо</v>
      </c>
      <c r="F10824" s="16" t="s">
        <v>39</v>
      </c>
      <c r="G10824" s="15"/>
      <c r="H10824" s="15"/>
      <c r="I10824" s="15"/>
      <c r="J10824" s="17">
        <v>4</v>
      </c>
      <c r="K10824" s="15"/>
      <c r="L10824" s="17">
        <v>5</v>
      </c>
      <c r="M10824" s="17">
        <v>96</v>
      </c>
      <c r="N10824" s="17">
        <v>5</v>
      </c>
      <c r="O10824" s="18">
        <v>331.15</v>
      </c>
      <c r="P10824" s="18">
        <v>271.43</v>
      </c>
      <c r="Q10824" s="18">
        <v>281.48</v>
      </c>
      <c r="R10824" s="18">
        <v>230.72</v>
      </c>
      <c r="S10824" s="18">
        <v>205.31</v>
      </c>
      <c r="T10824" s="18">
        <v>168.29</v>
      </c>
      <c r="U10824" s="16"/>
      <c r="V10824" s="16"/>
      <c r="W10824" s="16" t="s">
        <v>40</v>
      </c>
      <c r="X10824" s="19">
        <v>0.06</v>
      </c>
      <c r="Y10824" s="20">
        <v>2.1699999999999999E-4</v>
      </c>
      <c r="Z10824" s="21">
        <v>4601004335394</v>
      </c>
    </row>
    <row r="10825" spans="1:26" ht="12" customHeight="1" outlineLevel="4" x14ac:dyDescent="0.2">
      <c r="A10825" s="14" t="s">
        <v>20571</v>
      </c>
      <c r="B10825" s="26" t="s">
        <v>20572</v>
      </c>
      <c r="C10825" s="52"/>
      <c r="D10825" s="55">
        <f t="shared" ref="D10825:D10888" si="169">C10825*(O10825-O10825*$G$3)</f>
        <v>0</v>
      </c>
      <c r="E10825" s="63" t="str">
        <f>HYPERLINK("https://www.sds-group.ru/product/girlyanda-svetodiodnaya-rosa-10m-100-led-multikolor-ip20-3haa-v-komplekt-ne-vhodyat-neon-nig-302-079/", "Инфо")</f>
        <v>Инфо</v>
      </c>
      <c r="F10825" s="16" t="s">
        <v>39</v>
      </c>
      <c r="G10825" s="15"/>
      <c r="H10825" s="15"/>
      <c r="I10825" s="15"/>
      <c r="J10825" s="17">
        <v>43</v>
      </c>
      <c r="K10825" s="15"/>
      <c r="L10825" s="17">
        <v>5</v>
      </c>
      <c r="M10825" s="17">
        <v>96</v>
      </c>
      <c r="N10825" s="17">
        <v>5</v>
      </c>
      <c r="O10825" s="18">
        <v>331.15</v>
      </c>
      <c r="P10825" s="18">
        <v>271.43</v>
      </c>
      <c r="Q10825" s="18">
        <v>281.48</v>
      </c>
      <c r="R10825" s="18">
        <v>230.72</v>
      </c>
      <c r="S10825" s="18">
        <v>205.31</v>
      </c>
      <c r="T10825" s="18">
        <v>168.29</v>
      </c>
      <c r="U10825" s="16"/>
      <c r="V10825" s="16"/>
      <c r="W10825" s="16" t="s">
        <v>40</v>
      </c>
      <c r="X10825" s="19">
        <v>5.8999999999999997E-2</v>
      </c>
      <c r="Y10825" s="20">
        <v>2.23E-4</v>
      </c>
      <c r="Z10825" s="21">
        <v>4601004335509</v>
      </c>
    </row>
    <row r="10826" spans="1:26" ht="12" customHeight="1" outlineLevel="4" x14ac:dyDescent="0.2">
      <c r="A10826" s="14" t="s">
        <v>20573</v>
      </c>
      <c r="B10826" s="26" t="s">
        <v>20574</v>
      </c>
      <c r="C10826" s="52"/>
      <c r="D10826" s="55">
        <f t="shared" si="169"/>
        <v>0</v>
      </c>
      <c r="E10826" s="63" t="str">
        <f>HYPERLINK("https://www.sds-group.ru/product/girlyanda-svetodiodnaya-rosa-10m-100-led-rozovyy-ip20-3haa-v-komplekt-ne-vhodyat-neon-night-302-077/", "Инфо")</f>
        <v>Инфо</v>
      </c>
      <c r="F10826" s="16" t="s">
        <v>39</v>
      </c>
      <c r="G10826" s="15"/>
      <c r="H10826" s="15"/>
      <c r="I10826" s="15"/>
      <c r="J10826" s="16" t="s">
        <v>100</v>
      </c>
      <c r="K10826" s="15"/>
      <c r="L10826" s="17">
        <v>5</v>
      </c>
      <c r="M10826" s="17">
        <v>96</v>
      </c>
      <c r="N10826" s="17">
        <v>5</v>
      </c>
      <c r="O10826" s="18">
        <v>331.15</v>
      </c>
      <c r="P10826" s="18">
        <v>271.43</v>
      </c>
      <c r="Q10826" s="18">
        <v>281.48</v>
      </c>
      <c r="R10826" s="18">
        <v>230.72</v>
      </c>
      <c r="S10826" s="18">
        <v>205.31</v>
      </c>
      <c r="T10826" s="18">
        <v>168.29</v>
      </c>
      <c r="U10826" s="16"/>
      <c r="V10826" s="16"/>
      <c r="W10826" s="16" t="s">
        <v>40</v>
      </c>
      <c r="X10826" s="19">
        <v>6.0999999999999999E-2</v>
      </c>
      <c r="Y10826" s="20">
        <v>2.2900000000000001E-4</v>
      </c>
      <c r="Z10826" s="21">
        <v>4601004335455</v>
      </c>
    </row>
    <row r="10827" spans="1:26" ht="12" customHeight="1" outlineLevel="4" x14ac:dyDescent="0.2">
      <c r="A10827" s="14" t="s">
        <v>20575</v>
      </c>
      <c r="B10827" s="26" t="s">
        <v>20576</v>
      </c>
      <c r="C10827" s="52"/>
      <c r="D10827" s="55">
        <f t="shared" si="169"/>
        <v>0</v>
      </c>
      <c r="E10827" s="63" t="str">
        <f>HYPERLINK("https://www.sds-group.ru/product/girlyanda-svetodiodnaya-rosa-10m-100-led-teplyy-belyy-ip20-3haa-v-komplekt-ne-vhodyat-neon-n-302-076/", "Инфо")</f>
        <v>Инфо</v>
      </c>
      <c r="F10827" s="16" t="s">
        <v>39</v>
      </c>
      <c r="G10827" s="15"/>
      <c r="H10827" s="15"/>
      <c r="I10827" s="15"/>
      <c r="J10827" s="16" t="s">
        <v>100</v>
      </c>
      <c r="K10827" s="15"/>
      <c r="L10827" s="17">
        <v>5</v>
      </c>
      <c r="M10827" s="17">
        <v>96</v>
      </c>
      <c r="N10827" s="17">
        <v>5</v>
      </c>
      <c r="O10827" s="18">
        <v>331.15</v>
      </c>
      <c r="P10827" s="18">
        <v>271.43</v>
      </c>
      <c r="Q10827" s="18">
        <v>281.48</v>
      </c>
      <c r="R10827" s="18">
        <v>230.72</v>
      </c>
      <c r="S10827" s="18">
        <v>205.31</v>
      </c>
      <c r="T10827" s="18">
        <v>168.29</v>
      </c>
      <c r="U10827" s="16"/>
      <c r="V10827" s="16"/>
      <c r="W10827" s="16" t="s">
        <v>40</v>
      </c>
      <c r="X10827" s="19">
        <v>0.06</v>
      </c>
      <c r="Y10827" s="20">
        <v>2.2800000000000001E-4</v>
      </c>
      <c r="Z10827" s="21">
        <v>4601004335479</v>
      </c>
    </row>
    <row r="10828" spans="1:26" ht="12" customHeight="1" outlineLevel="4" x14ac:dyDescent="0.2">
      <c r="A10828" s="14" t="s">
        <v>20577</v>
      </c>
      <c r="B10828" s="26" t="s">
        <v>20578</v>
      </c>
      <c r="C10828" s="52"/>
      <c r="D10828" s="55">
        <f t="shared" si="169"/>
        <v>0</v>
      </c>
      <c r="E10828" s="63" t="str">
        <f>HYPERLINK("https://www.sds-group.ru/product/girlyanda-svetodiodnaya-rosa-2m-20-led-belyy-ip20-2haa-v-komplekt-ne-vhodyat-neon-night-302-055/", "Инфо")</f>
        <v>Инфо</v>
      </c>
      <c r="F10828" s="16" t="s">
        <v>39</v>
      </c>
      <c r="G10828" s="15"/>
      <c r="H10828" s="15"/>
      <c r="I10828" s="15"/>
      <c r="J10828" s="16" t="s">
        <v>100</v>
      </c>
      <c r="K10828" s="15"/>
      <c r="L10828" s="17">
        <v>1</v>
      </c>
      <c r="M10828" s="17">
        <v>200</v>
      </c>
      <c r="N10828" s="17">
        <v>1</v>
      </c>
      <c r="O10828" s="18">
        <v>144.88</v>
      </c>
      <c r="P10828" s="18">
        <v>118.75</v>
      </c>
      <c r="Q10828" s="18">
        <v>123.15</v>
      </c>
      <c r="R10828" s="18">
        <v>100.94</v>
      </c>
      <c r="S10828" s="18">
        <v>89.83</v>
      </c>
      <c r="T10828" s="18">
        <v>73.63</v>
      </c>
      <c r="U10828" s="16"/>
      <c r="V10828" s="16"/>
      <c r="W10828" s="16" t="s">
        <v>40</v>
      </c>
      <c r="X10828" s="19">
        <v>3.4000000000000002E-2</v>
      </c>
      <c r="Y10828" s="20">
        <v>1.5699999999999999E-4</v>
      </c>
      <c r="Z10828" s="21">
        <v>4601004335387</v>
      </c>
    </row>
    <row r="10829" spans="1:26" ht="12" customHeight="1" outlineLevel="4" x14ac:dyDescent="0.2">
      <c r="A10829" s="14" t="s">
        <v>20579</v>
      </c>
      <c r="B10829" s="26" t="s">
        <v>20580</v>
      </c>
      <c r="C10829" s="52"/>
      <c r="D10829" s="55">
        <f t="shared" si="169"/>
        <v>0</v>
      </c>
      <c r="E10829" s="63" t="str">
        <f>HYPERLINK("https://www.sds-group.ru/product/girlyanda-svetodiodnaya-rosa-2m-20-led-multikolor-ip20-2haa-v-komplekt-ne-vhodyat-neon-night-302-059/", "Инфо")</f>
        <v>Инфо</v>
      </c>
      <c r="F10829" s="16" t="s">
        <v>39</v>
      </c>
      <c r="G10829" s="15"/>
      <c r="H10829" s="15"/>
      <c r="I10829" s="15"/>
      <c r="J10829" s="17">
        <v>555</v>
      </c>
      <c r="K10829" s="15"/>
      <c r="L10829" s="17">
        <v>1</v>
      </c>
      <c r="M10829" s="17">
        <v>200</v>
      </c>
      <c r="N10829" s="17">
        <v>1</v>
      </c>
      <c r="O10829" s="18">
        <v>144.88</v>
      </c>
      <c r="P10829" s="18">
        <v>118.75</v>
      </c>
      <c r="Q10829" s="18">
        <v>123.15</v>
      </c>
      <c r="R10829" s="18">
        <v>100.94</v>
      </c>
      <c r="S10829" s="18">
        <v>89.83</v>
      </c>
      <c r="T10829" s="18">
        <v>73.63</v>
      </c>
      <c r="U10829" s="16"/>
      <c r="V10829" s="16"/>
      <c r="W10829" s="16" t="s">
        <v>40</v>
      </c>
      <c r="X10829" s="19">
        <v>3.3000000000000002E-2</v>
      </c>
      <c r="Y10829" s="20">
        <v>1.56E-4</v>
      </c>
      <c r="Z10829" s="21">
        <v>4601004335431</v>
      </c>
    </row>
    <row r="10830" spans="1:26" ht="12" customHeight="1" outlineLevel="4" x14ac:dyDescent="0.2">
      <c r="A10830" s="14" t="s">
        <v>20581</v>
      </c>
      <c r="B10830" s="26" t="s">
        <v>20582</v>
      </c>
      <c r="C10830" s="52"/>
      <c r="D10830" s="55">
        <f t="shared" si="169"/>
        <v>0</v>
      </c>
      <c r="E10830" s="63" t="str">
        <f>HYPERLINK("https://www.sds-group.ru/product/girlyanda-svetodiodnaya-rosa-2m-20-led-teplyy-belyy-ip20-2haa-v-komplekt-ne-vhodyat-neon-nig-302-056/", "Инфо")</f>
        <v>Инфо</v>
      </c>
      <c r="F10830" s="16" t="s">
        <v>39</v>
      </c>
      <c r="G10830" s="15"/>
      <c r="H10830" s="15"/>
      <c r="I10830" s="15"/>
      <c r="J10830" s="17">
        <v>425</v>
      </c>
      <c r="K10830" s="15"/>
      <c r="L10830" s="17">
        <v>10</v>
      </c>
      <c r="M10830" s="17">
        <v>200</v>
      </c>
      <c r="N10830" s="17">
        <v>10</v>
      </c>
      <c r="O10830" s="18">
        <v>144.88</v>
      </c>
      <c r="P10830" s="18">
        <v>118.75</v>
      </c>
      <c r="Q10830" s="18">
        <v>123.15</v>
      </c>
      <c r="R10830" s="18">
        <v>100.94</v>
      </c>
      <c r="S10830" s="18">
        <v>89.83</v>
      </c>
      <c r="T10830" s="18">
        <v>73.63</v>
      </c>
      <c r="U10830" s="16"/>
      <c r="V10830" s="16"/>
      <c r="W10830" s="16" t="s">
        <v>40</v>
      </c>
      <c r="X10830" s="19">
        <v>3.4000000000000002E-2</v>
      </c>
      <c r="Y10830" s="20">
        <v>1.5799999999999999E-4</v>
      </c>
      <c r="Z10830" s="21">
        <v>4601004335547</v>
      </c>
    </row>
    <row r="10831" spans="1:26" ht="12" customHeight="1" outlineLevel="4" x14ac:dyDescent="0.2">
      <c r="A10831" s="14" t="s">
        <v>20583</v>
      </c>
      <c r="B10831" s="26" t="s">
        <v>20584</v>
      </c>
      <c r="C10831" s="52"/>
      <c r="D10831" s="55">
        <f t="shared" si="169"/>
        <v>0</v>
      </c>
      <c r="E10831" s="63" t="str">
        <f>HYPERLINK("https://www.sds-group.ru/product/girlyanda-svetodiodnaya-rosa-2m-20-led-fioletovyy-ip20-2haa-v-komplekt-ne-vhodyat-neon-night-302-057/", "Инфо")</f>
        <v>Инфо</v>
      </c>
      <c r="F10831" s="16" t="s">
        <v>39</v>
      </c>
      <c r="G10831" s="15"/>
      <c r="H10831" s="15"/>
      <c r="I10831" s="15"/>
      <c r="J10831" s="17">
        <v>650</v>
      </c>
      <c r="K10831" s="15"/>
      <c r="L10831" s="17">
        <v>1</v>
      </c>
      <c r="M10831" s="17">
        <v>200</v>
      </c>
      <c r="N10831" s="17">
        <v>1</v>
      </c>
      <c r="O10831" s="18">
        <v>144.88</v>
      </c>
      <c r="P10831" s="18">
        <v>118.75</v>
      </c>
      <c r="Q10831" s="18">
        <v>123.15</v>
      </c>
      <c r="R10831" s="18">
        <v>100.94</v>
      </c>
      <c r="S10831" s="18">
        <v>89.83</v>
      </c>
      <c r="T10831" s="18">
        <v>73.63</v>
      </c>
      <c r="U10831" s="16"/>
      <c r="V10831" s="16"/>
      <c r="W10831" s="16" t="s">
        <v>40</v>
      </c>
      <c r="X10831" s="19">
        <v>3.4000000000000002E-2</v>
      </c>
      <c r="Y10831" s="20">
        <v>1.55E-4</v>
      </c>
      <c r="Z10831" s="21">
        <v>4601004335417</v>
      </c>
    </row>
    <row r="10832" spans="1:26" ht="12" customHeight="1" outlineLevel="4" x14ac:dyDescent="0.2">
      <c r="A10832" s="14" t="s">
        <v>20585</v>
      </c>
      <c r="B10832" s="26" t="s">
        <v>20586</v>
      </c>
      <c r="C10832" s="52"/>
      <c r="D10832" s="55">
        <f t="shared" si="169"/>
        <v>0</v>
      </c>
      <c r="E10832" s="63" t="str">
        <f>HYPERLINK("https://www.sds-group.ru/product/girlyanda-svetodiodnaya-rosa-5m-50-led-goluboy-ip20-2haa-v-komplekt-ne-vhodyat-neon-night-302-063/", "Инфо")</f>
        <v>Инфо</v>
      </c>
      <c r="F10832" s="16" t="s">
        <v>39</v>
      </c>
      <c r="G10832" s="15"/>
      <c r="H10832" s="15"/>
      <c r="I10832" s="15"/>
      <c r="J10832" s="16" t="s">
        <v>100</v>
      </c>
      <c r="K10832" s="15"/>
      <c r="L10832" s="17">
        <v>10</v>
      </c>
      <c r="M10832" s="17">
        <v>200</v>
      </c>
      <c r="N10832" s="17">
        <v>10</v>
      </c>
      <c r="O10832" s="18">
        <v>222.5</v>
      </c>
      <c r="P10832" s="18">
        <v>182.38</v>
      </c>
      <c r="Q10832" s="18">
        <v>189.13</v>
      </c>
      <c r="R10832" s="18">
        <v>155.02000000000001</v>
      </c>
      <c r="S10832" s="18">
        <v>137.94999999999999</v>
      </c>
      <c r="T10832" s="18">
        <v>113.07</v>
      </c>
      <c r="U10832" s="16"/>
      <c r="V10832" s="16"/>
      <c r="W10832" s="16" t="s">
        <v>40</v>
      </c>
      <c r="X10832" s="19">
        <v>3.7999999999999999E-2</v>
      </c>
      <c r="Y10832" s="20">
        <v>1.56E-4</v>
      </c>
      <c r="Z10832" s="21">
        <v>4601004335523</v>
      </c>
    </row>
    <row r="10833" spans="1:26" ht="12" customHeight="1" outlineLevel="4" x14ac:dyDescent="0.2">
      <c r="A10833" s="14" t="s">
        <v>20587</v>
      </c>
      <c r="B10833" s="26" t="s">
        <v>20588</v>
      </c>
      <c r="C10833" s="52"/>
      <c r="D10833" s="55">
        <f t="shared" si="169"/>
        <v>0</v>
      </c>
      <c r="E10833" s="63" t="str">
        <f>HYPERLINK("https://www.sds-group.ru/product/girlyanda-svetodiodnaya-rosa-5m-50-led-oranzhevyy-ip20-2haa-v-komplekt-ne-vhodyat-neon-night-302-061/", "Инфо")</f>
        <v>Инфо</v>
      </c>
      <c r="F10833" s="16" t="s">
        <v>39</v>
      </c>
      <c r="G10833" s="15"/>
      <c r="H10833" s="15"/>
      <c r="I10833" s="15"/>
      <c r="J10833" s="17">
        <v>774</v>
      </c>
      <c r="K10833" s="15"/>
      <c r="L10833" s="17">
        <v>1</v>
      </c>
      <c r="M10833" s="17">
        <v>200</v>
      </c>
      <c r="N10833" s="17">
        <v>1</v>
      </c>
      <c r="O10833" s="18">
        <v>222.5</v>
      </c>
      <c r="P10833" s="18">
        <v>182.38</v>
      </c>
      <c r="Q10833" s="18">
        <v>189.13</v>
      </c>
      <c r="R10833" s="18">
        <v>155.02000000000001</v>
      </c>
      <c r="S10833" s="18">
        <v>137.94999999999999</v>
      </c>
      <c r="T10833" s="18">
        <v>113.07</v>
      </c>
      <c r="U10833" s="16"/>
      <c r="V10833" s="16"/>
      <c r="W10833" s="16" t="s">
        <v>40</v>
      </c>
      <c r="X10833" s="19">
        <v>3.7999999999999999E-2</v>
      </c>
      <c r="Y10833" s="20">
        <v>1.54E-4</v>
      </c>
      <c r="Z10833" s="21">
        <v>4601004335448</v>
      </c>
    </row>
    <row r="10834" spans="1:26" ht="12" customHeight="1" outlineLevel="4" x14ac:dyDescent="0.2">
      <c r="A10834" s="14" t="s">
        <v>20589</v>
      </c>
      <c r="B10834" s="26" t="s">
        <v>20590</v>
      </c>
      <c r="C10834" s="52"/>
      <c r="D10834" s="55">
        <f t="shared" si="169"/>
        <v>0</v>
      </c>
      <c r="E10834" s="63" t="str">
        <f>HYPERLINK("https://www.sds-group.ru/product/girlyanda-svetodiodnaya-rosa-5m-50-led-teplyy-belyy-ip20-2haa-v-komplekt-ne-vhodyat-neon-nig-302-066/", "Инфо")</f>
        <v>Инфо</v>
      </c>
      <c r="F10834" s="16" t="s">
        <v>39</v>
      </c>
      <c r="G10834" s="15"/>
      <c r="H10834" s="15"/>
      <c r="I10834" s="15"/>
      <c r="J10834" s="17">
        <v>370</v>
      </c>
      <c r="K10834" s="15"/>
      <c r="L10834" s="17">
        <v>1</v>
      </c>
      <c r="M10834" s="17">
        <v>200</v>
      </c>
      <c r="N10834" s="17">
        <v>1</v>
      </c>
      <c r="O10834" s="18">
        <v>222.5</v>
      </c>
      <c r="P10834" s="18">
        <v>182.38</v>
      </c>
      <c r="Q10834" s="18">
        <v>189.13</v>
      </c>
      <c r="R10834" s="18">
        <v>155.02000000000001</v>
      </c>
      <c r="S10834" s="18">
        <v>137.94999999999999</v>
      </c>
      <c r="T10834" s="18">
        <v>113.07</v>
      </c>
      <c r="U10834" s="16"/>
      <c r="V10834" s="16"/>
      <c r="W10834" s="16" t="s">
        <v>40</v>
      </c>
      <c r="X10834" s="19">
        <v>3.7999999999999999E-2</v>
      </c>
      <c r="Y10834" s="20">
        <v>1.56E-4</v>
      </c>
      <c r="Z10834" s="21">
        <v>4601004335424</v>
      </c>
    </row>
    <row r="10835" spans="1:26" ht="12" customHeight="1" outlineLevel="4" x14ac:dyDescent="0.2">
      <c r="A10835" s="14" t="s">
        <v>20591</v>
      </c>
      <c r="B10835" s="26" t="s">
        <v>20592</v>
      </c>
      <c r="C10835" s="52"/>
      <c r="D10835" s="55">
        <f t="shared" si="169"/>
        <v>0</v>
      </c>
      <c r="E10835" s="63" t="str">
        <f>HYPERLINK("https://www.sds-group.ru/product/girlyanda-svetodiodnaya-rosa-5m-50-led-fioletovyy-ip20-2haa-v-komplekt-ne-vhodyat-neon-night-302-067/", "Инфо")</f>
        <v>Инфо</v>
      </c>
      <c r="F10835" s="16" t="s">
        <v>39</v>
      </c>
      <c r="G10835" s="15"/>
      <c r="H10835" s="15"/>
      <c r="I10835" s="15"/>
      <c r="J10835" s="17">
        <v>6</v>
      </c>
      <c r="K10835" s="15"/>
      <c r="L10835" s="17">
        <v>10</v>
      </c>
      <c r="M10835" s="17">
        <v>200</v>
      </c>
      <c r="N10835" s="17">
        <v>10</v>
      </c>
      <c r="O10835" s="18">
        <v>222.5</v>
      </c>
      <c r="P10835" s="18">
        <v>182.38</v>
      </c>
      <c r="Q10835" s="18">
        <v>189.13</v>
      </c>
      <c r="R10835" s="18">
        <v>155.02000000000001</v>
      </c>
      <c r="S10835" s="18">
        <v>137.94999999999999</v>
      </c>
      <c r="T10835" s="18">
        <v>113.07</v>
      </c>
      <c r="U10835" s="16"/>
      <c r="V10835" s="16"/>
      <c r="W10835" s="16" t="s">
        <v>40</v>
      </c>
      <c r="X10835" s="19">
        <v>3.7999999999999999E-2</v>
      </c>
      <c r="Y10835" s="20">
        <v>1.56E-4</v>
      </c>
      <c r="Z10835" s="21">
        <v>4601004335530</v>
      </c>
    </row>
    <row r="10836" spans="1:26" ht="12" customHeight="1" outlineLevel="4" x14ac:dyDescent="0.2">
      <c r="A10836" s="14" t="s">
        <v>20593</v>
      </c>
      <c r="B10836" s="26" t="s">
        <v>20594</v>
      </c>
      <c r="C10836" s="52"/>
      <c r="D10836" s="55">
        <f t="shared" si="169"/>
        <v>0</v>
      </c>
      <c r="E10836" s="63" t="str">
        <f>HYPERLINK("https://www.sds-group.ru/product/girlyanda-svetodiodnaya-rosa-5m-50-led-yantarnyy-ip20-2haa-v-komplekt-ne-vhodyat-neon-night-302-068/", "Инфо")</f>
        <v>Инфо</v>
      </c>
      <c r="F10836" s="16" t="s">
        <v>39</v>
      </c>
      <c r="G10836" s="15"/>
      <c r="H10836" s="15"/>
      <c r="I10836" s="15"/>
      <c r="J10836" s="17">
        <v>148</v>
      </c>
      <c r="K10836" s="15"/>
      <c r="L10836" s="17">
        <v>10</v>
      </c>
      <c r="M10836" s="17">
        <v>200</v>
      </c>
      <c r="N10836" s="17">
        <v>10</v>
      </c>
      <c r="O10836" s="18">
        <v>222.5</v>
      </c>
      <c r="P10836" s="18">
        <v>182.38</v>
      </c>
      <c r="Q10836" s="18">
        <v>189.13</v>
      </c>
      <c r="R10836" s="18">
        <v>155.02000000000001</v>
      </c>
      <c r="S10836" s="18">
        <v>137.94999999999999</v>
      </c>
      <c r="T10836" s="18">
        <v>113.07</v>
      </c>
      <c r="U10836" s="16"/>
      <c r="V10836" s="16"/>
      <c r="W10836" s="16" t="s">
        <v>40</v>
      </c>
      <c r="X10836" s="19">
        <v>3.7999999999999999E-2</v>
      </c>
      <c r="Y10836" s="20">
        <v>1.54E-4</v>
      </c>
      <c r="Z10836" s="21">
        <v>4601004335462</v>
      </c>
    </row>
    <row r="10837" spans="1:26" ht="12" customHeight="1" outlineLevel="4" x14ac:dyDescent="0.2">
      <c r="A10837" s="14" t="s">
        <v>20595</v>
      </c>
      <c r="B10837" s="26" t="s">
        <v>20596</v>
      </c>
      <c r="C10837" s="52"/>
      <c r="D10837" s="55">
        <f t="shared" si="169"/>
        <v>0</v>
      </c>
      <c r="E10837" s="63" t="str">
        <f>HYPERLINK("https://www.sds-group.ru/product/girlyanda-svetodiodnaya-rosa-s-kontrollerom-100m-1000-led-belyy-ip20-230v-zelenyy-provod-neo-303-295/", "Инфо")</f>
        <v>Инфо</v>
      </c>
      <c r="F10837" s="16" t="s">
        <v>39</v>
      </c>
      <c r="G10837" s="15"/>
      <c r="H10837" s="15"/>
      <c r="I10837" s="15"/>
      <c r="J10837" s="16" t="s">
        <v>100</v>
      </c>
      <c r="K10837" s="15" t="s">
        <v>6181</v>
      </c>
      <c r="L10837" s="17">
        <v>1</v>
      </c>
      <c r="M10837" s="17">
        <v>50</v>
      </c>
      <c r="N10837" s="17">
        <v>1</v>
      </c>
      <c r="O10837" s="18">
        <v>2315.16</v>
      </c>
      <c r="P10837" s="18">
        <v>1897.67</v>
      </c>
      <c r="Q10837" s="18">
        <v>1782.67</v>
      </c>
      <c r="R10837" s="18">
        <v>1461.2</v>
      </c>
      <c r="S10837" s="18">
        <v>1435.4</v>
      </c>
      <c r="T10837" s="18">
        <v>1176.56</v>
      </c>
      <c r="U10837" s="16"/>
      <c r="V10837" s="16"/>
      <c r="W10837" s="16" t="s">
        <v>40</v>
      </c>
      <c r="X10837" s="19">
        <v>0.371</v>
      </c>
      <c r="Y10837" s="20">
        <v>1.024E-3</v>
      </c>
      <c r="Z10837" s="21">
        <v>4601004335769</v>
      </c>
    </row>
    <row r="10838" spans="1:26" ht="12" customHeight="1" outlineLevel="4" x14ac:dyDescent="0.2">
      <c r="A10838" s="14" t="s">
        <v>20597</v>
      </c>
      <c r="B10838" s="26" t="s">
        <v>20598</v>
      </c>
      <c r="C10838" s="52"/>
      <c r="D10838" s="55">
        <f t="shared" si="169"/>
        <v>0</v>
      </c>
      <c r="E10838" s="63" t="str">
        <f>HYPERLINK("https://www.sds-group.ru/product/girlyanda-svetodiodnaya-rosa-s-kontrollerom-100m-1000-led-multikolor-ip20-230v-zelenyy-provo-303-299/", "Инфо")</f>
        <v>Инфо</v>
      </c>
      <c r="F10838" s="16" t="s">
        <v>39</v>
      </c>
      <c r="G10838" s="15"/>
      <c r="H10838" s="15"/>
      <c r="I10838" s="15"/>
      <c r="J10838" s="16" t="s">
        <v>100</v>
      </c>
      <c r="K10838" s="15"/>
      <c r="L10838" s="17">
        <v>1</v>
      </c>
      <c r="M10838" s="17">
        <v>50</v>
      </c>
      <c r="N10838" s="17">
        <v>1</v>
      </c>
      <c r="O10838" s="18">
        <v>2315.16</v>
      </c>
      <c r="P10838" s="18">
        <v>1897.67</v>
      </c>
      <c r="Q10838" s="18">
        <v>1782.67</v>
      </c>
      <c r="R10838" s="18">
        <v>1461.2</v>
      </c>
      <c r="S10838" s="18">
        <v>1435.4</v>
      </c>
      <c r="T10838" s="18">
        <v>1176.56</v>
      </c>
      <c r="U10838" s="16"/>
      <c r="V10838" s="16"/>
      <c r="W10838" s="16" t="s">
        <v>40</v>
      </c>
      <c r="X10838" s="19">
        <v>0.29799999999999999</v>
      </c>
      <c r="Y10838" s="20">
        <v>9.2299999999999999E-4</v>
      </c>
      <c r="Z10838" s="21">
        <v>4601004335493</v>
      </c>
    </row>
    <row r="10839" spans="1:26" ht="12" customHeight="1" outlineLevel="4" x14ac:dyDescent="0.2">
      <c r="A10839" s="14" t="s">
        <v>20599</v>
      </c>
      <c r="B10839" s="26" t="s">
        <v>20600</v>
      </c>
      <c r="C10839" s="52"/>
      <c r="D10839" s="55">
        <f t="shared" si="169"/>
        <v>0</v>
      </c>
      <c r="E10839" s="63" t="str">
        <f>HYPERLINK("https://www.sds-group.ru/product/girlyanda-svetodiodnaya-rosa-s-kontrollerom-200m-2000-led-belyy-ip20-230v-zelenyy-provod-neo-303-935/", "Инфо")</f>
        <v>Инфо</v>
      </c>
      <c r="F10839" s="16" t="s">
        <v>39</v>
      </c>
      <c r="G10839" s="15"/>
      <c r="H10839" s="15"/>
      <c r="I10839" s="15"/>
      <c r="J10839" s="17">
        <v>59</v>
      </c>
      <c r="K10839" s="15"/>
      <c r="L10839" s="17">
        <v>1</v>
      </c>
      <c r="M10839" s="17">
        <v>30</v>
      </c>
      <c r="N10839" s="17">
        <v>1</v>
      </c>
      <c r="O10839" s="18">
        <v>4226.1499999999996</v>
      </c>
      <c r="P10839" s="18">
        <v>3464.06</v>
      </c>
      <c r="Q10839" s="18">
        <v>3085.09</v>
      </c>
      <c r="R10839" s="18">
        <v>2528.7600000000002</v>
      </c>
      <c r="S10839" s="18">
        <v>2620.21</v>
      </c>
      <c r="T10839" s="18">
        <v>2147.71</v>
      </c>
      <c r="U10839" s="16"/>
      <c r="V10839" s="16"/>
      <c r="W10839" s="16" t="s">
        <v>40</v>
      </c>
      <c r="X10839" s="19">
        <v>0.47099999999999997</v>
      </c>
      <c r="Y10839" s="20">
        <v>1.3910000000000001E-3</v>
      </c>
      <c r="Z10839" s="21">
        <v>4601004335561</v>
      </c>
    </row>
    <row r="10840" spans="1:26" ht="12" customHeight="1" outlineLevel="4" x14ac:dyDescent="0.2">
      <c r="A10840" s="14" t="s">
        <v>20601</v>
      </c>
      <c r="B10840" s="26" t="s">
        <v>20602</v>
      </c>
      <c r="C10840" s="52"/>
      <c r="D10840" s="55">
        <f t="shared" si="169"/>
        <v>0</v>
      </c>
      <c r="E10840" s="63" t="str">
        <f>HYPERLINK("https://www.sds-group.ru/product/girlyanda-svetodiodnaya-rosa-s-kontrollerom-200m-2000-led-teplyy-belyy-ip20-230v-zelenyy-pro-303-936/", "Инфо")</f>
        <v>Инфо</v>
      </c>
      <c r="F10840" s="16" t="s">
        <v>39</v>
      </c>
      <c r="G10840" s="15"/>
      <c r="H10840" s="15"/>
      <c r="I10840" s="15"/>
      <c r="J10840" s="16" t="s">
        <v>100</v>
      </c>
      <c r="K10840" s="15" t="s">
        <v>6181</v>
      </c>
      <c r="L10840" s="17">
        <v>1</v>
      </c>
      <c r="M10840" s="17">
        <v>30</v>
      </c>
      <c r="N10840" s="17">
        <v>1</v>
      </c>
      <c r="O10840" s="18">
        <v>4226.1499999999996</v>
      </c>
      <c r="P10840" s="18">
        <v>3464.06</v>
      </c>
      <c r="Q10840" s="18">
        <v>3085.09</v>
      </c>
      <c r="R10840" s="18">
        <v>2528.7600000000002</v>
      </c>
      <c r="S10840" s="18">
        <v>2620.21</v>
      </c>
      <c r="T10840" s="18">
        <v>2147.71</v>
      </c>
      <c r="U10840" s="16"/>
      <c r="V10840" s="16"/>
      <c r="W10840" s="16" t="s">
        <v>40</v>
      </c>
      <c r="X10840" s="19">
        <v>0.48099999999999998</v>
      </c>
      <c r="Y10840" s="20">
        <v>1.371E-3</v>
      </c>
      <c r="Z10840" s="21">
        <v>4601004335646</v>
      </c>
    </row>
    <row r="10841" spans="1:26" ht="12" customHeight="1" outlineLevel="4" x14ac:dyDescent="0.2">
      <c r="A10841" s="14" t="s">
        <v>20603</v>
      </c>
      <c r="B10841" s="26" t="s">
        <v>20604</v>
      </c>
      <c r="C10841" s="52"/>
      <c r="D10841" s="55">
        <f t="shared" si="169"/>
        <v>0</v>
      </c>
      <c r="E10841" s="63" t="str">
        <f>HYPERLINK("https://www.sds-group.ru/product/girlyanda-svetodiodnaya-rosa-s-kontrollerom-20m-200-led-multikolor-ip20-230v-zelenyy-provod--303-269/", "Инфо")</f>
        <v>Инфо</v>
      </c>
      <c r="F10841" s="16" t="s">
        <v>39</v>
      </c>
      <c r="G10841" s="15"/>
      <c r="H10841" s="15"/>
      <c r="I10841" s="15"/>
      <c r="J10841" s="16" t="s">
        <v>100</v>
      </c>
      <c r="K10841" s="15" t="s">
        <v>6174</v>
      </c>
      <c r="L10841" s="17">
        <v>1</v>
      </c>
      <c r="M10841" s="17">
        <v>48</v>
      </c>
      <c r="N10841" s="17">
        <v>1</v>
      </c>
      <c r="O10841" s="18">
        <v>807.23</v>
      </c>
      <c r="P10841" s="18">
        <v>661.66</v>
      </c>
      <c r="Q10841" s="18">
        <v>645.78</v>
      </c>
      <c r="R10841" s="18">
        <v>529.33000000000004</v>
      </c>
      <c r="S10841" s="18">
        <v>500.48</v>
      </c>
      <c r="T10841" s="18">
        <v>410.23</v>
      </c>
      <c r="U10841" s="16"/>
      <c r="V10841" s="16"/>
      <c r="W10841" s="16" t="s">
        <v>40</v>
      </c>
      <c r="X10841" s="19">
        <v>0.15</v>
      </c>
      <c r="Y10841" s="20">
        <v>6.4199999999999999E-4</v>
      </c>
      <c r="Z10841" s="21">
        <v>4601004335516</v>
      </c>
    </row>
    <row r="10842" spans="1:26" ht="12" customHeight="1" outlineLevel="4" x14ac:dyDescent="0.2">
      <c r="A10842" s="14" t="s">
        <v>20605</v>
      </c>
      <c r="B10842" s="26" t="s">
        <v>20606</v>
      </c>
      <c r="C10842" s="52"/>
      <c r="D10842" s="55">
        <f t="shared" si="169"/>
        <v>0</v>
      </c>
      <c r="E10842" s="63" t="str">
        <f>HYPERLINK("https://www.sds-group.ru/product/girlyanda-svetodiodnaya-rosa-s-kontrollerom-20m-200-led-rozovyy-ip20-230v-zelenyy-provod-neo-303-267/", "Инфо")</f>
        <v>Инфо</v>
      </c>
      <c r="F10842" s="16" t="s">
        <v>39</v>
      </c>
      <c r="G10842" s="15"/>
      <c r="H10842" s="15"/>
      <c r="I10842" s="15"/>
      <c r="J10842" s="16" t="s">
        <v>100</v>
      </c>
      <c r="K10842" s="15"/>
      <c r="L10842" s="17">
        <v>1</v>
      </c>
      <c r="M10842" s="17">
        <v>48</v>
      </c>
      <c r="N10842" s="17">
        <v>1</v>
      </c>
      <c r="O10842" s="18">
        <v>807.23</v>
      </c>
      <c r="P10842" s="18">
        <v>661.66</v>
      </c>
      <c r="Q10842" s="18">
        <v>645.78</v>
      </c>
      <c r="R10842" s="18">
        <v>529.33000000000004</v>
      </c>
      <c r="S10842" s="18">
        <v>500.48</v>
      </c>
      <c r="T10842" s="18">
        <v>410.23</v>
      </c>
      <c r="U10842" s="16"/>
      <c r="V10842" s="16"/>
      <c r="W10842" s="16" t="s">
        <v>40</v>
      </c>
      <c r="X10842" s="19">
        <v>0.151</v>
      </c>
      <c r="Y10842" s="20">
        <v>6.4499999999999996E-4</v>
      </c>
      <c r="Z10842" s="21">
        <v>4601004335370</v>
      </c>
    </row>
    <row r="10843" spans="1:26" ht="12" customHeight="1" outlineLevel="4" x14ac:dyDescent="0.2">
      <c r="A10843" s="14" t="s">
        <v>20607</v>
      </c>
      <c r="B10843" s="26" t="s">
        <v>20608</v>
      </c>
      <c r="C10843" s="52"/>
      <c r="D10843" s="55">
        <f t="shared" si="169"/>
        <v>0</v>
      </c>
      <c r="E10843" s="63" t="str">
        <f>HYPERLINK("https://www.sds-group.ru/product/girlyanda-svetodiodnaya-rosa-s-kontrollerom-20m-200-led-yantarnyy-ip20-230v-mednyy-provod-ne-303-268/", "Инфо")</f>
        <v>Инфо</v>
      </c>
      <c r="F10843" s="16" t="s">
        <v>39</v>
      </c>
      <c r="G10843" s="15"/>
      <c r="H10843" s="15"/>
      <c r="I10843" s="15"/>
      <c r="J10843" s="16" t="s">
        <v>100</v>
      </c>
      <c r="K10843" s="15"/>
      <c r="L10843" s="17">
        <v>1</v>
      </c>
      <c r="M10843" s="17">
        <v>48</v>
      </c>
      <c r="N10843" s="17">
        <v>1</v>
      </c>
      <c r="O10843" s="18">
        <v>807.23</v>
      </c>
      <c r="P10843" s="18">
        <v>661.66</v>
      </c>
      <c r="Q10843" s="18">
        <v>645.78</v>
      </c>
      <c r="R10843" s="18">
        <v>529.33000000000004</v>
      </c>
      <c r="S10843" s="18">
        <v>500.48</v>
      </c>
      <c r="T10843" s="18">
        <v>410.23</v>
      </c>
      <c r="U10843" s="16"/>
      <c r="V10843" s="16"/>
      <c r="W10843" s="16" t="s">
        <v>40</v>
      </c>
      <c r="X10843" s="19">
        <v>0.14199999999999999</v>
      </c>
      <c r="Y10843" s="20">
        <v>6.5499999999999998E-4</v>
      </c>
      <c r="Z10843" s="21">
        <v>4601004335356</v>
      </c>
    </row>
    <row r="10844" spans="1:26" ht="12" customHeight="1" outlineLevel="4" x14ac:dyDescent="0.2">
      <c r="A10844" s="14" t="s">
        <v>20609</v>
      </c>
      <c r="B10844" s="26" t="s">
        <v>20610</v>
      </c>
      <c r="C10844" s="52"/>
      <c r="D10844" s="55">
        <f t="shared" si="169"/>
        <v>0</v>
      </c>
      <c r="E10844" s="63" t="str">
        <f>HYPERLINK("https://www.sds-group.ru/product/girlyanda-svetodiodnaya-rosa-s-kontrollerom-30m-300-led-multikolor-ip20-230v-zelenyy-provod--303-279/", "Инфо")</f>
        <v>Инфо</v>
      </c>
      <c r="F10844" s="16" t="s">
        <v>39</v>
      </c>
      <c r="G10844" s="15"/>
      <c r="H10844" s="15"/>
      <c r="I10844" s="15"/>
      <c r="J10844" s="16" t="s">
        <v>100</v>
      </c>
      <c r="K10844" s="15"/>
      <c r="L10844" s="17">
        <v>1</v>
      </c>
      <c r="M10844" s="17">
        <v>48</v>
      </c>
      <c r="N10844" s="17">
        <v>1</v>
      </c>
      <c r="O10844" s="18">
        <v>1055.5899999999999</v>
      </c>
      <c r="P10844" s="18">
        <v>865.24</v>
      </c>
      <c r="Q10844" s="18">
        <v>844.47</v>
      </c>
      <c r="R10844" s="18">
        <v>692.19</v>
      </c>
      <c r="S10844" s="18">
        <v>654.47</v>
      </c>
      <c r="T10844" s="18">
        <v>536.45000000000005</v>
      </c>
      <c r="U10844" s="16"/>
      <c r="V10844" s="16"/>
      <c r="W10844" s="16" t="s">
        <v>40</v>
      </c>
      <c r="X10844" s="19">
        <v>0.17399999999999999</v>
      </c>
      <c r="Y10844" s="20">
        <v>6.5300000000000004E-4</v>
      </c>
      <c r="Z10844" s="21">
        <v>4601004335349</v>
      </c>
    </row>
    <row r="10845" spans="1:26" ht="12" customHeight="1" outlineLevel="4" x14ac:dyDescent="0.2">
      <c r="A10845" s="14" t="s">
        <v>20611</v>
      </c>
      <c r="B10845" s="26" t="s">
        <v>20612</v>
      </c>
      <c r="C10845" s="52"/>
      <c r="D10845" s="55">
        <f t="shared" si="169"/>
        <v>0</v>
      </c>
      <c r="E10845" s="63" t="str">
        <f>HYPERLINK("https://www.sds-group.ru/product/girlyanda-svetodiodnaya-rosa-s-kontrollerom-50m-500-led-multikolor-ip20-230v-zelenyy-provod--303-289/", "Инфо")</f>
        <v>Инфо</v>
      </c>
      <c r="F10845" s="16" t="s">
        <v>39</v>
      </c>
      <c r="G10845" s="15"/>
      <c r="H10845" s="15"/>
      <c r="I10845" s="15"/>
      <c r="J10845" s="16" t="s">
        <v>100</v>
      </c>
      <c r="K10845" s="15"/>
      <c r="L10845" s="17">
        <v>1</v>
      </c>
      <c r="M10845" s="17">
        <v>48</v>
      </c>
      <c r="N10845" s="17">
        <v>1</v>
      </c>
      <c r="O10845" s="18">
        <v>1472.15</v>
      </c>
      <c r="P10845" s="18">
        <v>1206.68</v>
      </c>
      <c r="Q10845" s="18">
        <v>1163</v>
      </c>
      <c r="R10845" s="18">
        <v>953.28</v>
      </c>
      <c r="S10845" s="18">
        <v>912.73</v>
      </c>
      <c r="T10845" s="18">
        <v>748.14</v>
      </c>
      <c r="U10845" s="16"/>
      <c r="V10845" s="16"/>
      <c r="W10845" s="16" t="s">
        <v>40</v>
      </c>
      <c r="X10845" s="19">
        <v>0.22</v>
      </c>
      <c r="Y10845" s="20">
        <v>7.8700000000000005E-4</v>
      </c>
      <c r="Z10845" s="21">
        <v>4601004335554</v>
      </c>
    </row>
    <row r="10846" spans="1:26" ht="12" customHeight="1" outlineLevel="4" x14ac:dyDescent="0.2">
      <c r="A10846" s="14" t="s">
        <v>20613</v>
      </c>
      <c r="B10846" s="26" t="s">
        <v>20614</v>
      </c>
      <c r="C10846" s="52"/>
      <c r="D10846" s="55">
        <f t="shared" si="169"/>
        <v>0</v>
      </c>
      <c r="E10846" s="63" t="str">
        <f>HYPERLINK("https://www.sds-group.ru/product/girlyanda-svetodiodnaya-rosa-s-kontrollerom-50m-500-led-yantarnyy-ip20-230v-mednyy-provod-ne-303-288/", "Инфо")</f>
        <v>Инфо</v>
      </c>
      <c r="F10846" s="16" t="s">
        <v>39</v>
      </c>
      <c r="G10846" s="15"/>
      <c r="H10846" s="15"/>
      <c r="I10846" s="15"/>
      <c r="J10846" s="17">
        <v>11</v>
      </c>
      <c r="K10846" s="15"/>
      <c r="L10846" s="17">
        <v>1</v>
      </c>
      <c r="M10846" s="17">
        <v>48</v>
      </c>
      <c r="N10846" s="17">
        <v>1</v>
      </c>
      <c r="O10846" s="18">
        <v>1472.15</v>
      </c>
      <c r="P10846" s="18">
        <v>1206.68</v>
      </c>
      <c r="Q10846" s="18">
        <v>1163</v>
      </c>
      <c r="R10846" s="18">
        <v>953.28</v>
      </c>
      <c r="S10846" s="18">
        <v>912.73</v>
      </c>
      <c r="T10846" s="18">
        <v>748.14</v>
      </c>
      <c r="U10846" s="16"/>
      <c r="V10846" s="16"/>
      <c r="W10846" s="16" t="s">
        <v>40</v>
      </c>
      <c r="X10846" s="19">
        <v>0.217</v>
      </c>
      <c r="Y10846" s="20">
        <v>8.3199999999999995E-4</v>
      </c>
      <c r="Z10846" s="21">
        <v>4601004335363</v>
      </c>
    </row>
    <row r="10847" spans="1:26" ht="12" customHeight="1" outlineLevel="4" x14ac:dyDescent="0.2">
      <c r="A10847" s="14" t="s">
        <v>20615</v>
      </c>
      <c r="B10847" s="26" t="s">
        <v>20616</v>
      </c>
      <c r="C10847" s="52"/>
      <c r="D10847" s="55">
        <f t="shared" si="169"/>
        <v>0</v>
      </c>
      <c r="E10847" s="63" t="str">
        <f>HYPERLINK("https://www.sds-group.ru/product/girlyanda-svetodiodnaya-rosa-feyerverk-s-kontrollerom-40m-1000-led-teplyy-belyy-ip20-na-katu-303-496/", "Инфо")</f>
        <v>Инфо</v>
      </c>
      <c r="F10847" s="16" t="s">
        <v>39</v>
      </c>
      <c r="G10847" s="15"/>
      <c r="H10847" s="15"/>
      <c r="I10847" s="15"/>
      <c r="J10847" s="16" t="s">
        <v>100</v>
      </c>
      <c r="K10847" s="15" t="s">
        <v>6174</v>
      </c>
      <c r="L10847" s="17">
        <v>1</v>
      </c>
      <c r="M10847" s="17">
        <v>48</v>
      </c>
      <c r="N10847" s="17">
        <v>1</v>
      </c>
      <c r="O10847" s="18">
        <v>4297.6899999999996</v>
      </c>
      <c r="P10847" s="18">
        <v>3522.7</v>
      </c>
      <c r="Q10847" s="18">
        <v>3223.27</v>
      </c>
      <c r="R10847" s="18">
        <v>2642.02</v>
      </c>
      <c r="S10847" s="18">
        <v>2664.57</v>
      </c>
      <c r="T10847" s="18">
        <v>2184.0700000000002</v>
      </c>
      <c r="U10847" s="16"/>
      <c r="V10847" s="16"/>
      <c r="W10847" s="16" t="s">
        <v>40</v>
      </c>
      <c r="X10847" s="19">
        <v>0.38700000000000001</v>
      </c>
      <c r="Y10847" s="20">
        <v>1.9189999999999999E-3</v>
      </c>
      <c r="Z10847" s="21">
        <v>4601004335714</v>
      </c>
    </row>
    <row r="10848" spans="1:26" ht="12.95" customHeight="1" outlineLevel="3" x14ac:dyDescent="0.2">
      <c r="A10848" s="76" t="s">
        <v>20617</v>
      </c>
      <c r="B10848" s="76"/>
      <c r="C10848" s="77"/>
      <c r="D10848" s="58"/>
      <c r="E10848" s="68"/>
      <c r="F10848" s="13"/>
      <c r="G10848" s="13"/>
      <c r="H10848" s="13"/>
      <c r="I10848" s="13"/>
      <c r="J10848" s="13"/>
      <c r="K10848" s="13"/>
      <c r="L10848" s="13"/>
      <c r="M10848" s="13"/>
      <c r="N10848" s="13"/>
      <c r="O10848" s="13"/>
      <c r="P10848" s="13"/>
      <c r="Q10848" s="13"/>
      <c r="R10848" s="13"/>
      <c r="S10848" s="13"/>
      <c r="T10848" s="13"/>
      <c r="U10848" s="13"/>
      <c r="V10848" s="13"/>
      <c r="W10848" s="13"/>
      <c r="X10848" s="13"/>
      <c r="Y10848" s="13"/>
      <c r="Z10848" s="13"/>
    </row>
    <row r="10849" spans="1:26" ht="12" customHeight="1" outlineLevel="4" x14ac:dyDescent="0.2">
      <c r="A10849" s="32" t="s">
        <v>20618</v>
      </c>
      <c r="B10849" s="74" t="s">
        <v>20619</v>
      </c>
      <c r="C10849" s="50"/>
      <c r="D10849" s="53">
        <f t="shared" si="169"/>
        <v>0</v>
      </c>
      <c r="E10849" s="60" t="str">
        <f>HYPERLINK("https://www.sds-group.ru/product/girlyanda-svetodiodnaya-sosulki-230v-komplekt-8-sht-h-42-sm-36x8-led-ne-soedinyayutsya-256-415/", "Инфо")</f>
        <v>Инфо</v>
      </c>
      <c r="F10849" s="34" t="s">
        <v>39</v>
      </c>
      <c r="G10849" s="33"/>
      <c r="H10849" s="33" t="s">
        <v>40</v>
      </c>
      <c r="I10849" s="33"/>
      <c r="J10849" s="35">
        <v>5</v>
      </c>
      <c r="K10849" s="33"/>
      <c r="L10849" s="35">
        <v>1</v>
      </c>
      <c r="M10849" s="35">
        <v>6</v>
      </c>
      <c r="N10849" s="35">
        <v>1</v>
      </c>
      <c r="O10849" s="36">
        <v>2086.04</v>
      </c>
      <c r="P10849" s="36">
        <v>1709.87</v>
      </c>
      <c r="Q10849" s="36">
        <v>1606.25</v>
      </c>
      <c r="R10849" s="36">
        <v>1316.6</v>
      </c>
      <c r="S10849" s="36">
        <v>1418.51</v>
      </c>
      <c r="T10849" s="36">
        <v>1162.71</v>
      </c>
      <c r="U10849" s="34"/>
      <c r="V10849" s="34"/>
      <c r="W10849" s="34" t="s">
        <v>40</v>
      </c>
      <c r="X10849" s="37">
        <v>0.628</v>
      </c>
      <c r="Y10849" s="38">
        <v>4.0119999999999999E-3</v>
      </c>
      <c r="Z10849" s="21">
        <v>4601004130661</v>
      </c>
    </row>
    <row r="10850" spans="1:26" ht="12" customHeight="1" outlineLevel="4" x14ac:dyDescent="0.2">
      <c r="A10850" s="32" t="s">
        <v>20620</v>
      </c>
      <c r="B10850" s="74" t="s">
        <v>20621</v>
      </c>
      <c r="C10850" s="50"/>
      <c r="D10850" s="53">
        <f t="shared" si="169"/>
        <v>0</v>
      </c>
      <c r="E10850" s="60" t="str">
        <f>HYPERLINK("https://www.sds-group.ru/product/girlyanda-tayuschie-sosulki-svetodiodnaya-4sht-h-20sm-shag-50sm-230v-s-transformatorom-bel-256-317-6/", "Инфо")</f>
        <v>Инфо</v>
      </c>
      <c r="F10850" s="34" t="s">
        <v>39</v>
      </c>
      <c r="G10850" s="33"/>
      <c r="H10850" s="33" t="s">
        <v>40</v>
      </c>
      <c r="I10850" s="33"/>
      <c r="J10850" s="35">
        <v>126</v>
      </c>
      <c r="K10850" s="33"/>
      <c r="L10850" s="35">
        <v>1</v>
      </c>
      <c r="M10850" s="35">
        <v>20</v>
      </c>
      <c r="N10850" s="35">
        <v>1</v>
      </c>
      <c r="O10850" s="36">
        <v>1226.9000000000001</v>
      </c>
      <c r="P10850" s="36">
        <v>1005.66</v>
      </c>
      <c r="Q10850" s="36">
        <v>969.25</v>
      </c>
      <c r="R10850" s="36">
        <v>794.47</v>
      </c>
      <c r="S10850" s="36">
        <v>834.29</v>
      </c>
      <c r="T10850" s="36">
        <v>683.84</v>
      </c>
      <c r="U10850" s="34"/>
      <c r="V10850" s="34"/>
      <c r="W10850" s="34" t="s">
        <v>40</v>
      </c>
      <c r="X10850" s="37">
        <v>0.128</v>
      </c>
      <c r="Y10850" s="38">
        <v>7.0399999999999998E-4</v>
      </c>
      <c r="Z10850" s="21">
        <v>4601004008939</v>
      </c>
    </row>
    <row r="10851" spans="1:26" ht="12" customHeight="1" outlineLevel="4" x14ac:dyDescent="0.2">
      <c r="A10851" s="14" t="s">
        <v>20622</v>
      </c>
      <c r="B10851" s="26" t="s">
        <v>20623</v>
      </c>
      <c r="C10851" s="52"/>
      <c r="D10851" s="55">
        <f t="shared" si="169"/>
        <v>0</v>
      </c>
      <c r="E10851" s="63" t="str">
        <f>HYPERLINK("https://www.sds-group.ru/product/girlyanda-tayuschie-sosulki-svetodiodnaya-8-sht-h-50-sm-shag-50-sm-230-v-teplye-belye-svetod-256-416/", "Инфо")</f>
        <v>Инфо</v>
      </c>
      <c r="F10851" s="16" t="s">
        <v>39</v>
      </c>
      <c r="G10851" s="15"/>
      <c r="H10851" s="15"/>
      <c r="I10851" s="15"/>
      <c r="J10851" s="16" t="s">
        <v>100</v>
      </c>
      <c r="K10851" s="15"/>
      <c r="L10851" s="17">
        <v>1</v>
      </c>
      <c r="M10851" s="17">
        <v>10</v>
      </c>
      <c r="N10851" s="17">
        <v>1</v>
      </c>
      <c r="O10851" s="18">
        <v>2086.04</v>
      </c>
      <c r="P10851" s="18">
        <v>1709.87</v>
      </c>
      <c r="Q10851" s="18">
        <v>1606.25</v>
      </c>
      <c r="R10851" s="18">
        <v>1316.6</v>
      </c>
      <c r="S10851" s="18">
        <v>1418.51</v>
      </c>
      <c r="T10851" s="18">
        <v>1162.71</v>
      </c>
      <c r="U10851" s="16"/>
      <c r="V10851" s="16"/>
      <c r="W10851" s="16" t="s">
        <v>40</v>
      </c>
      <c r="X10851" s="19">
        <v>0.26100000000000001</v>
      </c>
      <c r="Y10851" s="20">
        <v>1.8910000000000001E-3</v>
      </c>
      <c r="Z10851" s="21">
        <v>4601004131675</v>
      </c>
    </row>
    <row r="10852" spans="1:26" ht="12" customHeight="1" outlineLevel="4" x14ac:dyDescent="0.2">
      <c r="A10852" s="32" t="s">
        <v>20624</v>
      </c>
      <c r="B10852" s="74" t="s">
        <v>20625</v>
      </c>
      <c r="C10852" s="50"/>
      <c r="D10852" s="53">
        <f t="shared" si="169"/>
        <v>0</v>
      </c>
      <c r="E10852" s="60" t="str">
        <f>HYPERLINK("https://www.sds-group.ru/product/girlyanda-tayuschie-sosulki-svetodiodnaya-8sht-h-50sm-shag-50sm-230-v-s-transformatorom-be-256-313-6/", "Инфо")</f>
        <v>Инфо</v>
      </c>
      <c r="F10852" s="34" t="s">
        <v>39</v>
      </c>
      <c r="G10852" s="33"/>
      <c r="H10852" s="33" t="s">
        <v>40</v>
      </c>
      <c r="I10852" s="33"/>
      <c r="J10852" s="35">
        <v>3</v>
      </c>
      <c r="K10852" s="33"/>
      <c r="L10852" s="35">
        <v>1</v>
      </c>
      <c r="M10852" s="35">
        <v>10</v>
      </c>
      <c r="N10852" s="35">
        <v>1</v>
      </c>
      <c r="O10852" s="36">
        <v>2086.04</v>
      </c>
      <c r="P10852" s="36">
        <v>1709.87</v>
      </c>
      <c r="Q10852" s="36">
        <v>1606.25</v>
      </c>
      <c r="R10852" s="36">
        <v>1316.6</v>
      </c>
      <c r="S10852" s="36">
        <v>1418.51</v>
      </c>
      <c r="T10852" s="36">
        <v>1162.71</v>
      </c>
      <c r="U10852" s="34"/>
      <c r="V10852" s="34"/>
      <c r="W10852" s="34" t="s">
        <v>40</v>
      </c>
      <c r="X10852" s="37">
        <v>0.24</v>
      </c>
      <c r="Y10852" s="38">
        <v>1.7570000000000001E-3</v>
      </c>
      <c r="Z10852" s="21">
        <v>4601004008946</v>
      </c>
    </row>
    <row r="10853" spans="1:26" ht="12" customHeight="1" outlineLevel="4" x14ac:dyDescent="0.2">
      <c r="A10853" s="32" t="s">
        <v>20626</v>
      </c>
      <c r="B10853" s="74" t="s">
        <v>20627</v>
      </c>
      <c r="C10853" s="50"/>
      <c r="D10853" s="53">
        <f t="shared" si="169"/>
        <v>0</v>
      </c>
      <c r="E10853" s="60" t="str">
        <f>HYPERLINK("https://www.sds-group.ru/product/girlyanda-tayuschie-sosulki-svetodiodnaya-8sht-h-50sm-shag-50sm-230-v-s-transformatorom-mu-256-319-6/", "Инфо")</f>
        <v>Инфо</v>
      </c>
      <c r="F10853" s="34" t="s">
        <v>39</v>
      </c>
      <c r="G10853" s="33"/>
      <c r="H10853" s="33" t="s">
        <v>40</v>
      </c>
      <c r="I10853" s="33"/>
      <c r="J10853" s="35">
        <v>18</v>
      </c>
      <c r="K10853" s="33"/>
      <c r="L10853" s="35">
        <v>1</v>
      </c>
      <c r="M10853" s="35">
        <v>10</v>
      </c>
      <c r="N10853" s="35">
        <v>1</v>
      </c>
      <c r="O10853" s="36">
        <v>2086.04</v>
      </c>
      <c r="P10853" s="36">
        <v>1709.87</v>
      </c>
      <c r="Q10853" s="36">
        <v>1606.25</v>
      </c>
      <c r="R10853" s="36">
        <v>1316.6</v>
      </c>
      <c r="S10853" s="36">
        <v>1418.51</v>
      </c>
      <c r="T10853" s="36">
        <v>1162.71</v>
      </c>
      <c r="U10853" s="34"/>
      <c r="V10853" s="34"/>
      <c r="W10853" s="34" t="s">
        <v>40</v>
      </c>
      <c r="X10853" s="37">
        <v>0.22500000000000001</v>
      </c>
      <c r="Y10853" s="38">
        <v>1.6249999999999999E-3</v>
      </c>
      <c r="Z10853" s="21">
        <v>4601004008915</v>
      </c>
    </row>
    <row r="10854" spans="1:26" ht="12.95" customHeight="1" outlineLevel="2" x14ac:dyDescent="0.2">
      <c r="A10854" s="76" t="s">
        <v>20628</v>
      </c>
      <c r="B10854" s="76"/>
      <c r="C10854" s="77"/>
      <c r="D10854" s="58"/>
      <c r="E10854" s="68"/>
      <c r="F10854" s="13"/>
      <c r="G10854" s="13"/>
      <c r="H10854" s="13"/>
      <c r="I10854" s="13"/>
      <c r="J10854" s="13"/>
      <c r="K10854" s="13"/>
      <c r="L10854" s="13"/>
      <c r="M10854" s="13"/>
      <c r="N10854" s="13"/>
      <c r="O10854" s="13"/>
      <c r="P10854" s="13"/>
      <c r="Q10854" s="13"/>
      <c r="R10854" s="13"/>
      <c r="S10854" s="13"/>
      <c r="T10854" s="13"/>
      <c r="U10854" s="13"/>
      <c r="V10854" s="13"/>
      <c r="W10854" s="13"/>
      <c r="X10854" s="13"/>
      <c r="Y10854" s="13"/>
      <c r="Z10854" s="13"/>
    </row>
    <row r="10855" spans="1:26" ht="12.95" customHeight="1" outlineLevel="3" x14ac:dyDescent="0.2">
      <c r="A10855" s="76" t="s">
        <v>20629</v>
      </c>
      <c r="B10855" s="76"/>
      <c r="C10855" s="77"/>
      <c r="D10855" s="58"/>
      <c r="E10855" s="68"/>
      <c r="F10855" s="13"/>
      <c r="G10855" s="13"/>
      <c r="H10855" s="13"/>
      <c r="I10855" s="13"/>
      <c r="J10855" s="13"/>
      <c r="K10855" s="13"/>
      <c r="L10855" s="13"/>
      <c r="M10855" s="13"/>
      <c r="N10855" s="13"/>
      <c r="O10855" s="13"/>
      <c r="P10855" s="13"/>
      <c r="Q10855" s="13"/>
      <c r="R10855" s="13"/>
      <c r="S10855" s="13"/>
      <c r="T10855" s="13"/>
      <c r="U10855" s="13"/>
      <c r="V10855" s="13"/>
      <c r="W10855" s="13"/>
      <c r="X10855" s="13"/>
      <c r="Y10855" s="13"/>
      <c r="Z10855" s="13"/>
    </row>
    <row r="10856" spans="1:26" ht="12" customHeight="1" outlineLevel="4" x14ac:dyDescent="0.2">
      <c r="A10856" s="32" t="s">
        <v>20630</v>
      </c>
      <c r="B10856" s="74" t="s">
        <v>20631</v>
      </c>
      <c r="C10856" s="50"/>
      <c r="D10856" s="53">
        <f t="shared" si="169"/>
        <v>0</v>
      </c>
      <c r="E10856" s="60" t="str">
        <f>HYPERLINK("https://www.sds-group.ru/product/girlyanda-svetodiodnyy-dozhd-1-5h1m-svechenie-s-dinamikoy-prozrachnyy-provod-230-v-diody-bel-235-025/", "Инфо")</f>
        <v>Инфо</v>
      </c>
      <c r="F10856" s="34" t="s">
        <v>39</v>
      </c>
      <c r="G10856" s="33"/>
      <c r="H10856" s="33" t="s">
        <v>40</v>
      </c>
      <c r="I10856" s="33"/>
      <c r="J10856" s="35">
        <v>74</v>
      </c>
      <c r="K10856" s="33"/>
      <c r="L10856" s="35">
        <v>1</v>
      </c>
      <c r="M10856" s="35">
        <v>48</v>
      </c>
      <c r="N10856" s="35">
        <v>1</v>
      </c>
      <c r="O10856" s="36">
        <v>537.92999999999995</v>
      </c>
      <c r="P10856" s="36">
        <v>440.93</v>
      </c>
      <c r="Q10856" s="36">
        <v>430.34</v>
      </c>
      <c r="R10856" s="36">
        <v>352.74</v>
      </c>
      <c r="S10856" s="36">
        <v>365.79</v>
      </c>
      <c r="T10856" s="36">
        <v>299.83</v>
      </c>
      <c r="U10856" s="34"/>
      <c r="V10856" s="34"/>
      <c r="W10856" s="34" t="s">
        <v>40</v>
      </c>
      <c r="X10856" s="37">
        <v>0.19700000000000001</v>
      </c>
      <c r="Y10856" s="38">
        <v>1.042E-3</v>
      </c>
      <c r="Z10856" s="21">
        <v>4601004015432</v>
      </c>
    </row>
    <row r="10857" spans="1:26" ht="12" customHeight="1" outlineLevel="4" x14ac:dyDescent="0.2">
      <c r="A10857" s="14" t="s">
        <v>20632</v>
      </c>
      <c r="B10857" s="26" t="s">
        <v>20633</v>
      </c>
      <c r="C10857" s="52"/>
      <c r="D10857" s="55">
        <f t="shared" si="169"/>
        <v>0</v>
      </c>
      <c r="E10857" s="63" t="str">
        <f>HYPERLINK("https://www.sds-group.ru/product/girlyanda-svetodiodnyy-dozhd-1-5h1m-svechenie-s-dinamikoy-prozrachnyy-provod-230-v-diody-mul-235-029/", "Инфо")</f>
        <v>Инфо</v>
      </c>
      <c r="F10857" s="16" t="s">
        <v>39</v>
      </c>
      <c r="G10857" s="15"/>
      <c r="H10857" s="15"/>
      <c r="I10857" s="15"/>
      <c r="J10857" s="16" t="s">
        <v>100</v>
      </c>
      <c r="K10857" s="15"/>
      <c r="L10857" s="17">
        <v>1</v>
      </c>
      <c r="M10857" s="17">
        <v>48</v>
      </c>
      <c r="N10857" s="17">
        <v>1</v>
      </c>
      <c r="O10857" s="18">
        <v>537.92999999999995</v>
      </c>
      <c r="P10857" s="18">
        <v>440.93</v>
      </c>
      <c r="Q10857" s="18">
        <v>430.34</v>
      </c>
      <c r="R10857" s="18">
        <v>352.74</v>
      </c>
      <c r="S10857" s="18">
        <v>365.79</v>
      </c>
      <c r="T10857" s="18">
        <v>299.83</v>
      </c>
      <c r="U10857" s="16"/>
      <c r="V10857" s="16"/>
      <c r="W10857" s="16" t="s">
        <v>40</v>
      </c>
      <c r="X10857" s="19">
        <v>0.19500000000000001</v>
      </c>
      <c r="Y10857" s="20">
        <v>1.0380000000000001E-3</v>
      </c>
      <c r="Z10857" s="21">
        <v>4601004015463</v>
      </c>
    </row>
    <row r="10858" spans="1:26" ht="12" customHeight="1" outlineLevel="4" x14ac:dyDescent="0.2">
      <c r="A10858" s="32" t="s">
        <v>20634</v>
      </c>
      <c r="B10858" s="74" t="s">
        <v>20635</v>
      </c>
      <c r="C10858" s="50"/>
      <c r="D10858" s="53">
        <f t="shared" si="169"/>
        <v>0</v>
      </c>
      <c r="E10858" s="60" t="str">
        <f>HYPERLINK("https://www.sds-group.ru/product/girlyanda-svetodiodnyy-dozhd-1-5h1m-svechenie-s-dinamikoy-prozrachnyy-provod-230-v-diody-sin-235-023/", "Инфо")</f>
        <v>Инфо</v>
      </c>
      <c r="F10858" s="34" t="s">
        <v>39</v>
      </c>
      <c r="G10858" s="33"/>
      <c r="H10858" s="33" t="s">
        <v>40</v>
      </c>
      <c r="I10858" s="33"/>
      <c r="J10858" s="35">
        <v>33</v>
      </c>
      <c r="K10858" s="33"/>
      <c r="L10858" s="35">
        <v>1</v>
      </c>
      <c r="M10858" s="35">
        <v>48</v>
      </c>
      <c r="N10858" s="35">
        <v>1</v>
      </c>
      <c r="O10858" s="36">
        <v>537.92999999999995</v>
      </c>
      <c r="P10858" s="36">
        <v>440.93</v>
      </c>
      <c r="Q10858" s="36">
        <v>430.34</v>
      </c>
      <c r="R10858" s="36">
        <v>352.74</v>
      </c>
      <c r="S10858" s="36">
        <v>365.79</v>
      </c>
      <c r="T10858" s="36">
        <v>299.83</v>
      </c>
      <c r="U10858" s="34"/>
      <c r="V10858" s="34"/>
      <c r="W10858" s="34" t="s">
        <v>40</v>
      </c>
      <c r="X10858" s="37">
        <v>0.19800000000000001</v>
      </c>
      <c r="Y10858" s="38">
        <v>1.008E-3</v>
      </c>
      <c r="Z10858" s="21">
        <v>4601004015449</v>
      </c>
    </row>
    <row r="10859" spans="1:26" ht="12" customHeight="1" outlineLevel="4" x14ac:dyDescent="0.2">
      <c r="A10859" s="32" t="s">
        <v>20636</v>
      </c>
      <c r="B10859" s="74" t="s">
        <v>20637</v>
      </c>
      <c r="C10859" s="50"/>
      <c r="D10859" s="53">
        <f t="shared" si="169"/>
        <v>0</v>
      </c>
      <c r="E10859" s="60" t="str">
        <f>HYPERLINK("https://www.sds-group.ru/product/girlyanda-svetodiodnyy-dozhd-1-5h1m-svechenie-s-dinamikoy-prozrachnyy-provod-230-v-diody-tep-235-026/", "Инфо")</f>
        <v>Инфо</v>
      </c>
      <c r="F10859" s="34" t="s">
        <v>39</v>
      </c>
      <c r="G10859" s="33"/>
      <c r="H10859" s="33" t="s">
        <v>40</v>
      </c>
      <c r="I10859" s="33"/>
      <c r="J10859" s="35">
        <v>29</v>
      </c>
      <c r="K10859" s="33"/>
      <c r="L10859" s="35">
        <v>1</v>
      </c>
      <c r="M10859" s="35">
        <v>48</v>
      </c>
      <c r="N10859" s="35">
        <v>1</v>
      </c>
      <c r="O10859" s="36">
        <v>537.92999999999995</v>
      </c>
      <c r="P10859" s="36">
        <v>440.93</v>
      </c>
      <c r="Q10859" s="36">
        <v>430.34</v>
      </c>
      <c r="R10859" s="36">
        <v>352.74</v>
      </c>
      <c r="S10859" s="36">
        <v>365.79</v>
      </c>
      <c r="T10859" s="36">
        <v>299.83</v>
      </c>
      <c r="U10859" s="34"/>
      <c r="V10859" s="34"/>
      <c r="W10859" s="34" t="s">
        <v>40</v>
      </c>
      <c r="X10859" s="37">
        <v>0.19600000000000001</v>
      </c>
      <c r="Y10859" s="38">
        <v>1.0330000000000001E-3</v>
      </c>
      <c r="Z10859" s="21">
        <v>4601004015456</v>
      </c>
    </row>
    <row r="10860" spans="1:26" ht="12.95" customHeight="1" outlineLevel="3" x14ac:dyDescent="0.2">
      <c r="A10860" s="76" t="s">
        <v>20638</v>
      </c>
      <c r="B10860" s="76"/>
      <c r="C10860" s="77"/>
      <c r="D10860" s="58"/>
      <c r="E10860" s="68"/>
      <c r="F10860" s="13"/>
      <c r="G10860" s="13"/>
      <c r="H10860" s="13"/>
      <c r="I10860" s="13"/>
      <c r="J10860" s="13"/>
      <c r="K10860" s="13"/>
      <c r="L10860" s="13"/>
      <c r="M10860" s="13"/>
      <c r="N10860" s="13"/>
      <c r="O10860" s="13"/>
      <c r="P10860" s="13"/>
      <c r="Q10860" s="13"/>
      <c r="R10860" s="13"/>
      <c r="S10860" s="13"/>
      <c r="T10860" s="13"/>
      <c r="U10860" s="13"/>
      <c r="V10860" s="13"/>
      <c r="W10860" s="13"/>
      <c r="X10860" s="13"/>
      <c r="Y10860" s="13"/>
      <c r="Z10860" s="13"/>
    </row>
    <row r="10861" spans="1:26" ht="12" customHeight="1" outlineLevel="4" x14ac:dyDescent="0.2">
      <c r="A10861" s="32" t="s">
        <v>20639</v>
      </c>
      <c r="B10861" s="74" t="s">
        <v>20640</v>
      </c>
      <c r="C10861" s="50"/>
      <c r="D10861" s="53">
        <f t="shared" si="169"/>
        <v>0</v>
      </c>
      <c r="E10861" s="60" t="str">
        <f>HYPERLINK("https://www.sds-group.ru/product/girlyanda-svetodiodnyy-dozhd-1-5x1-5m-svechenie-s-dinamikoy-prozrachnyy-provod-230-v-diody-m-235-039/", "Инфо")</f>
        <v>Инфо</v>
      </c>
      <c r="F10861" s="34" t="s">
        <v>39</v>
      </c>
      <c r="G10861" s="33"/>
      <c r="H10861" s="33" t="s">
        <v>40</v>
      </c>
      <c r="I10861" s="33"/>
      <c r="J10861" s="35">
        <v>27</v>
      </c>
      <c r="K10861" s="33"/>
      <c r="L10861" s="35">
        <v>1</v>
      </c>
      <c r="M10861" s="35">
        <v>48</v>
      </c>
      <c r="N10861" s="35">
        <v>1</v>
      </c>
      <c r="O10861" s="36">
        <v>672.41</v>
      </c>
      <c r="P10861" s="36">
        <v>551.16</v>
      </c>
      <c r="Q10861" s="36">
        <v>537.92999999999995</v>
      </c>
      <c r="R10861" s="36">
        <v>440.93</v>
      </c>
      <c r="S10861" s="36">
        <v>457.24</v>
      </c>
      <c r="T10861" s="36">
        <v>374.79</v>
      </c>
      <c r="U10861" s="34"/>
      <c r="V10861" s="34"/>
      <c r="W10861" s="34" t="s">
        <v>40</v>
      </c>
      <c r="X10861" s="37">
        <v>0.25800000000000001</v>
      </c>
      <c r="Y10861" s="38">
        <v>1.421E-3</v>
      </c>
      <c r="Z10861" s="21">
        <v>4601004015425</v>
      </c>
    </row>
    <row r="10862" spans="1:26" ht="12" customHeight="1" outlineLevel="4" x14ac:dyDescent="0.2">
      <c r="A10862" s="32" t="s">
        <v>20641</v>
      </c>
      <c r="B10862" s="74" t="s">
        <v>20642</v>
      </c>
      <c r="C10862" s="50"/>
      <c r="D10862" s="53">
        <f t="shared" si="169"/>
        <v>0</v>
      </c>
      <c r="E10862" s="60" t="str">
        <f>HYPERLINK("https://www.sds-group.ru/product/girlyanda-svetodiodnyy-dozhd-1-5x1-5-m-prozrachnyy-pvh-144-led-s-kontrollerom-teploe-beloe-s-235-036/", "Инфо")</f>
        <v>Инфо</v>
      </c>
      <c r="F10862" s="34" t="s">
        <v>39</v>
      </c>
      <c r="G10862" s="33"/>
      <c r="H10862" s="33" t="s">
        <v>40</v>
      </c>
      <c r="I10862" s="33"/>
      <c r="J10862" s="35">
        <v>68</v>
      </c>
      <c r="K10862" s="33"/>
      <c r="L10862" s="35">
        <v>1</v>
      </c>
      <c r="M10862" s="35">
        <v>48</v>
      </c>
      <c r="N10862" s="35">
        <v>1</v>
      </c>
      <c r="O10862" s="36">
        <v>672.41</v>
      </c>
      <c r="P10862" s="36">
        <v>551.16</v>
      </c>
      <c r="Q10862" s="36">
        <v>537.92999999999995</v>
      </c>
      <c r="R10862" s="36">
        <v>440.93</v>
      </c>
      <c r="S10862" s="36">
        <v>457.24</v>
      </c>
      <c r="T10862" s="36">
        <v>374.79</v>
      </c>
      <c r="U10862" s="34"/>
      <c r="V10862" s="34"/>
      <c r="W10862" s="34" t="s">
        <v>40</v>
      </c>
      <c r="X10862" s="37">
        <v>0.25700000000000001</v>
      </c>
      <c r="Y10862" s="38">
        <v>1.418E-3</v>
      </c>
      <c r="Z10862" s="21">
        <v>4601004015418</v>
      </c>
    </row>
    <row r="10863" spans="1:26" ht="12" customHeight="1" outlineLevel="4" x14ac:dyDescent="0.2">
      <c r="A10863" s="14" t="s">
        <v>20643</v>
      </c>
      <c r="B10863" s="26" t="s">
        <v>20644</v>
      </c>
      <c r="C10863" s="52"/>
      <c r="D10863" s="55">
        <f t="shared" si="169"/>
        <v>0</v>
      </c>
      <c r="E10863" s="63" t="str">
        <f>HYPERLINK("https://www.sds-group.ru/product/girlyanda-svetodiodnyy-dozhd-1-5h1-5-m-144-led-prozrachnyy-pvh-s-kontrollerom-beloe-svecheni-235-035/", "Инфо")</f>
        <v>Инфо</v>
      </c>
      <c r="F10863" s="16" t="s">
        <v>39</v>
      </c>
      <c r="G10863" s="15"/>
      <c r="H10863" s="15"/>
      <c r="I10863" s="15"/>
      <c r="J10863" s="17">
        <v>239</v>
      </c>
      <c r="K10863" s="15"/>
      <c r="L10863" s="17">
        <v>1</v>
      </c>
      <c r="M10863" s="17">
        <v>48</v>
      </c>
      <c r="N10863" s="17">
        <v>1</v>
      </c>
      <c r="O10863" s="18">
        <v>672.41</v>
      </c>
      <c r="P10863" s="18">
        <v>551.16</v>
      </c>
      <c r="Q10863" s="18">
        <v>537.92999999999995</v>
      </c>
      <c r="R10863" s="18">
        <v>440.93</v>
      </c>
      <c r="S10863" s="18">
        <v>457.24</v>
      </c>
      <c r="T10863" s="18">
        <v>374.79</v>
      </c>
      <c r="U10863" s="16"/>
      <c r="V10863" s="16"/>
      <c r="W10863" s="16" t="s">
        <v>40</v>
      </c>
      <c r="X10863" s="19">
        <v>0.25800000000000001</v>
      </c>
      <c r="Y10863" s="20">
        <v>1.4339999999999999E-3</v>
      </c>
      <c r="Z10863" s="21">
        <v>4601004015395</v>
      </c>
    </row>
    <row r="10864" spans="1:26" ht="12" customHeight="1" outlineLevel="4" x14ac:dyDescent="0.2">
      <c r="A10864" s="32" t="s">
        <v>20645</v>
      </c>
      <c r="B10864" s="74" t="s">
        <v>20646</v>
      </c>
      <c r="C10864" s="50"/>
      <c r="D10864" s="53">
        <f t="shared" si="169"/>
        <v>0</v>
      </c>
      <c r="E10864" s="60" t="str">
        <f>HYPERLINK("https://www.sds-group.ru/product/girlyanda-svetodiodnyy-dozhd-1-5h1-5m-svechenie-s-dinamikoy-prozrachnyy-provod-230-v-diody-s-235-033/", "Инфо")</f>
        <v>Инфо</v>
      </c>
      <c r="F10864" s="34" t="s">
        <v>39</v>
      </c>
      <c r="G10864" s="33"/>
      <c r="H10864" s="33" t="s">
        <v>40</v>
      </c>
      <c r="I10864" s="33"/>
      <c r="J10864" s="35">
        <v>111</v>
      </c>
      <c r="K10864" s="33"/>
      <c r="L10864" s="35">
        <v>1</v>
      </c>
      <c r="M10864" s="35">
        <v>48</v>
      </c>
      <c r="N10864" s="35">
        <v>1</v>
      </c>
      <c r="O10864" s="36">
        <v>672.41</v>
      </c>
      <c r="P10864" s="36">
        <v>551.16</v>
      </c>
      <c r="Q10864" s="36">
        <v>537.92999999999995</v>
      </c>
      <c r="R10864" s="36">
        <v>440.93</v>
      </c>
      <c r="S10864" s="36">
        <v>457.24</v>
      </c>
      <c r="T10864" s="36">
        <v>374.79</v>
      </c>
      <c r="U10864" s="34"/>
      <c r="V10864" s="34"/>
      <c r="W10864" s="34" t="s">
        <v>40</v>
      </c>
      <c r="X10864" s="37">
        <v>0.26900000000000002</v>
      </c>
      <c r="Y10864" s="38">
        <v>1.4710000000000001E-3</v>
      </c>
      <c r="Z10864" s="21">
        <v>4601004015401</v>
      </c>
    </row>
    <row r="10865" spans="1:26" ht="12" customHeight="1" outlineLevel="4" x14ac:dyDescent="0.2">
      <c r="A10865" s="32" t="s">
        <v>20647</v>
      </c>
      <c r="B10865" s="74" t="s">
        <v>20648</v>
      </c>
      <c r="C10865" s="50"/>
      <c r="D10865" s="53">
        <f t="shared" si="169"/>
        <v>0</v>
      </c>
      <c r="E10865" s="60" t="str">
        <f>HYPERLINK("https://www.sds-group.ru/product/girlyanda-svetodiodnyy-dozhd-1-5h1-5-m-svechenie-s-dinamikoy-prozrachnyy-provod-230-v-diody--235-015/", "Инфо")</f>
        <v>Инфо</v>
      </c>
      <c r="F10865" s="34" t="s">
        <v>39</v>
      </c>
      <c r="G10865" s="33"/>
      <c r="H10865" s="33" t="s">
        <v>40</v>
      </c>
      <c r="I10865" s="33"/>
      <c r="J10865" s="35">
        <v>24</v>
      </c>
      <c r="K10865" s="33"/>
      <c r="L10865" s="35">
        <v>1</v>
      </c>
      <c r="M10865" s="35">
        <v>48</v>
      </c>
      <c r="N10865" s="35">
        <v>1</v>
      </c>
      <c r="O10865" s="36">
        <v>672.41</v>
      </c>
      <c r="P10865" s="36">
        <v>551.16</v>
      </c>
      <c r="Q10865" s="36">
        <v>537.92999999999995</v>
      </c>
      <c r="R10865" s="36">
        <v>440.93</v>
      </c>
      <c r="S10865" s="36">
        <v>457.24</v>
      </c>
      <c r="T10865" s="36">
        <v>374.79</v>
      </c>
      <c r="U10865" s="34"/>
      <c r="V10865" s="34"/>
      <c r="W10865" s="34" t="s">
        <v>40</v>
      </c>
      <c r="X10865" s="37">
        <v>0.254</v>
      </c>
      <c r="Y10865" s="38">
        <v>1.4580000000000001E-3</v>
      </c>
      <c r="Z10865" s="21">
        <v>4601004227323</v>
      </c>
    </row>
    <row r="10866" spans="1:26" ht="12" customHeight="1" outlineLevel="4" x14ac:dyDescent="0.2">
      <c r="A10866" s="32" t="s">
        <v>20649</v>
      </c>
      <c r="B10866" s="74" t="s">
        <v>20650</v>
      </c>
      <c r="C10866" s="50"/>
      <c r="D10866" s="53">
        <f t="shared" si="169"/>
        <v>0</v>
      </c>
      <c r="E10866" s="60" t="str">
        <f>HYPERLINK("https://www.sds-group.ru/product/girlyanda-svetodiodnyy-dozhd-1-5h1-5-m-svechenie-s-dinamikoy-prozrachnyy-provod-230-v-diody--235-019/", "Инфо")</f>
        <v>Инфо</v>
      </c>
      <c r="F10866" s="34" t="s">
        <v>39</v>
      </c>
      <c r="G10866" s="33"/>
      <c r="H10866" s="33" t="s">
        <v>40</v>
      </c>
      <c r="I10866" s="33"/>
      <c r="J10866" s="35">
        <v>11</v>
      </c>
      <c r="K10866" s="33"/>
      <c r="L10866" s="35">
        <v>1</v>
      </c>
      <c r="M10866" s="35">
        <v>48</v>
      </c>
      <c r="N10866" s="35">
        <v>1</v>
      </c>
      <c r="O10866" s="36">
        <v>672.41</v>
      </c>
      <c r="P10866" s="36">
        <v>551.16</v>
      </c>
      <c r="Q10866" s="36">
        <v>537.92999999999995</v>
      </c>
      <c r="R10866" s="36">
        <v>440.93</v>
      </c>
      <c r="S10866" s="36">
        <v>457.24</v>
      </c>
      <c r="T10866" s="36">
        <v>374.79</v>
      </c>
      <c r="U10866" s="34"/>
      <c r="V10866" s="34"/>
      <c r="W10866" s="34" t="s">
        <v>40</v>
      </c>
      <c r="X10866" s="37">
        <v>0.252</v>
      </c>
      <c r="Y10866" s="38">
        <v>1.464E-3</v>
      </c>
      <c r="Z10866" s="21">
        <v>4601004227347</v>
      </c>
    </row>
    <row r="10867" spans="1:26" ht="12" customHeight="1" outlineLevel="4" x14ac:dyDescent="0.2">
      <c r="A10867" s="32" t="s">
        <v>20651</v>
      </c>
      <c r="B10867" s="74" t="s">
        <v>20652</v>
      </c>
      <c r="C10867" s="50"/>
      <c r="D10867" s="53">
        <f t="shared" si="169"/>
        <v>0</v>
      </c>
      <c r="E10867" s="60" t="str">
        <f>HYPERLINK("https://www.sds-group.ru/product/girlyanda-svetodiodnyy-dozhd-1-5h1-5-m-svechenie-s-dinamikoy-prozrachnyy-provod-230-v-diody--235-016/", "Инфо")</f>
        <v>Инфо</v>
      </c>
      <c r="F10867" s="34" t="s">
        <v>39</v>
      </c>
      <c r="G10867" s="33"/>
      <c r="H10867" s="33" t="s">
        <v>40</v>
      </c>
      <c r="I10867" s="33"/>
      <c r="J10867" s="35">
        <v>2</v>
      </c>
      <c r="K10867" s="33"/>
      <c r="L10867" s="35">
        <v>1</v>
      </c>
      <c r="M10867" s="35">
        <v>48</v>
      </c>
      <c r="N10867" s="35">
        <v>1</v>
      </c>
      <c r="O10867" s="36">
        <v>672.41</v>
      </c>
      <c r="P10867" s="36">
        <v>551.16</v>
      </c>
      <c r="Q10867" s="36">
        <v>537.92999999999995</v>
      </c>
      <c r="R10867" s="36">
        <v>440.93</v>
      </c>
      <c r="S10867" s="36">
        <v>457.24</v>
      </c>
      <c r="T10867" s="36">
        <v>374.79</v>
      </c>
      <c r="U10867" s="34"/>
      <c r="V10867" s="34"/>
      <c r="W10867" s="34" t="s">
        <v>40</v>
      </c>
      <c r="X10867" s="37">
        <v>0.26100000000000001</v>
      </c>
      <c r="Y10867" s="38">
        <v>1.323E-3</v>
      </c>
      <c r="Z10867" s="21">
        <v>4601004227330</v>
      </c>
    </row>
    <row r="10868" spans="1:26" ht="12" customHeight="1" outlineLevel="4" x14ac:dyDescent="0.2">
      <c r="A10868" s="14" t="s">
        <v>20653</v>
      </c>
      <c r="B10868" s="26" t="s">
        <v>20654</v>
      </c>
      <c r="C10868" s="52"/>
      <c r="D10868" s="55">
        <f t="shared" si="169"/>
        <v>0</v>
      </c>
      <c r="E10868" s="63" t="str">
        <f>HYPERLINK("https://www.sds-group.ru/product/girlyanda-svetodiodnyy-dozhd-1-5h1-5-m-s-nasadkami-shariki-svechenie-s-dinamikoy-prozrachnyy-235-045/", "Инфо")</f>
        <v>Инфо</v>
      </c>
      <c r="F10868" s="16" t="s">
        <v>39</v>
      </c>
      <c r="G10868" s="15"/>
      <c r="H10868" s="15"/>
      <c r="I10868" s="15"/>
      <c r="J10868" s="17">
        <v>207</v>
      </c>
      <c r="K10868" s="15"/>
      <c r="L10868" s="17">
        <v>1</v>
      </c>
      <c r="M10868" s="17">
        <v>24</v>
      </c>
      <c r="N10868" s="17">
        <v>1</v>
      </c>
      <c r="O10868" s="18">
        <v>1363.22</v>
      </c>
      <c r="P10868" s="18">
        <v>1117.3900000000001</v>
      </c>
      <c r="Q10868" s="18">
        <v>1076.94</v>
      </c>
      <c r="R10868" s="18">
        <v>882.74</v>
      </c>
      <c r="S10868" s="18">
        <v>926.99</v>
      </c>
      <c r="T10868" s="18">
        <v>759.83</v>
      </c>
      <c r="U10868" s="16"/>
      <c r="V10868" s="16"/>
      <c r="W10868" s="16" t="s">
        <v>40</v>
      </c>
      <c r="X10868" s="19">
        <v>0.72499999999999998</v>
      </c>
      <c r="Y10868" s="20">
        <v>3.4870000000000001E-3</v>
      </c>
      <c r="Z10868" s="21">
        <v>4601004131569</v>
      </c>
    </row>
    <row r="10869" spans="1:26" ht="12" customHeight="1" outlineLevel="4" x14ac:dyDescent="0.2">
      <c r="A10869" s="32" t="s">
        <v>20655</v>
      </c>
      <c r="B10869" s="74" t="s">
        <v>20656</v>
      </c>
      <c r="C10869" s="50"/>
      <c r="D10869" s="53">
        <f t="shared" si="169"/>
        <v>0</v>
      </c>
      <c r="E10869" s="60" t="str">
        <f>HYPERLINK("https://www.sds-group.ru/product/girlyanda-svetodiodnyy-dozhd-1-5h1-5-m-s-nasadkami-shariki-svechenie-s-dinamikoy-prozrachnyy-235-049/", "Инфо")</f>
        <v>Инфо</v>
      </c>
      <c r="F10869" s="34" t="s">
        <v>39</v>
      </c>
      <c r="G10869" s="33"/>
      <c r="H10869" s="33" t="s">
        <v>40</v>
      </c>
      <c r="I10869" s="33"/>
      <c r="J10869" s="35">
        <v>1</v>
      </c>
      <c r="K10869" s="33"/>
      <c r="L10869" s="35">
        <v>1</v>
      </c>
      <c r="M10869" s="35">
        <v>24</v>
      </c>
      <c r="N10869" s="35">
        <v>1</v>
      </c>
      <c r="O10869" s="36">
        <v>1363.22</v>
      </c>
      <c r="P10869" s="36">
        <v>1117.3900000000001</v>
      </c>
      <c r="Q10869" s="36">
        <v>1076.94</v>
      </c>
      <c r="R10869" s="36">
        <v>882.74</v>
      </c>
      <c r="S10869" s="36">
        <v>926.99</v>
      </c>
      <c r="T10869" s="36">
        <v>759.83</v>
      </c>
      <c r="U10869" s="34"/>
      <c r="V10869" s="34"/>
      <c r="W10869" s="34" t="s">
        <v>40</v>
      </c>
      <c r="X10869" s="37">
        <v>0.68200000000000005</v>
      </c>
      <c r="Y10869" s="38">
        <v>2.722E-3</v>
      </c>
      <c r="Z10869" s="21">
        <v>4601004131576</v>
      </c>
    </row>
    <row r="10870" spans="1:26" ht="12" customHeight="1" outlineLevel="4" x14ac:dyDescent="0.2">
      <c r="A10870" s="14" t="s">
        <v>20657</v>
      </c>
      <c r="B10870" s="26" t="s">
        <v>20658</v>
      </c>
      <c r="C10870" s="52"/>
      <c r="D10870" s="55">
        <f t="shared" si="169"/>
        <v>0</v>
      </c>
      <c r="E10870" s="64"/>
      <c r="F10870" s="16" t="s">
        <v>39</v>
      </c>
      <c r="G10870" s="15"/>
      <c r="H10870" s="15"/>
      <c r="I10870" s="15"/>
      <c r="J10870" s="16" t="s">
        <v>100</v>
      </c>
      <c r="K10870" s="15" t="s">
        <v>6837</v>
      </c>
      <c r="L10870" s="17">
        <v>5</v>
      </c>
      <c r="M10870" s="17">
        <v>96</v>
      </c>
      <c r="N10870" s="17">
        <v>5</v>
      </c>
      <c r="O10870" s="18">
        <v>517.45000000000005</v>
      </c>
      <c r="P10870" s="18">
        <v>424.14</v>
      </c>
      <c r="Q10870" s="18">
        <v>413.96</v>
      </c>
      <c r="R10870" s="18">
        <v>339.31</v>
      </c>
      <c r="S10870" s="18">
        <v>351.87</v>
      </c>
      <c r="T10870" s="18">
        <v>288.42</v>
      </c>
      <c r="U10870" s="16"/>
      <c r="V10870" s="16"/>
      <c r="W10870" s="16" t="s">
        <v>40</v>
      </c>
      <c r="X10870" s="19">
        <v>0.14199999999999999</v>
      </c>
      <c r="Y10870" s="20">
        <v>7.7200000000000001E-4</v>
      </c>
      <c r="Z10870" s="21">
        <v>4601004304666</v>
      </c>
    </row>
    <row r="10871" spans="1:26" ht="12" customHeight="1" outlineLevel="4" x14ac:dyDescent="0.2">
      <c r="A10871" s="14" t="s">
        <v>20659</v>
      </c>
      <c r="B10871" s="26" t="s">
        <v>20660</v>
      </c>
      <c r="C10871" s="52"/>
      <c r="D10871" s="55">
        <f t="shared" si="169"/>
        <v>0</v>
      </c>
      <c r="E10871" s="64"/>
      <c r="F10871" s="16" t="s">
        <v>39</v>
      </c>
      <c r="G10871" s="15"/>
      <c r="H10871" s="15"/>
      <c r="I10871" s="15"/>
      <c r="J10871" s="22">
        <v>1259</v>
      </c>
      <c r="K10871" s="15" t="s">
        <v>6837</v>
      </c>
      <c r="L10871" s="17">
        <v>1</v>
      </c>
      <c r="M10871" s="17">
        <v>96</v>
      </c>
      <c r="N10871" s="17">
        <v>1</v>
      </c>
      <c r="O10871" s="18">
        <v>517.45000000000005</v>
      </c>
      <c r="P10871" s="18">
        <v>424.14</v>
      </c>
      <c r="Q10871" s="18">
        <v>413.96</v>
      </c>
      <c r="R10871" s="18">
        <v>339.31</v>
      </c>
      <c r="S10871" s="18">
        <v>351.87</v>
      </c>
      <c r="T10871" s="18">
        <v>288.42</v>
      </c>
      <c r="U10871" s="16"/>
      <c r="V10871" s="16"/>
      <c r="W10871" s="16" t="s">
        <v>40</v>
      </c>
      <c r="X10871" s="19">
        <v>0.151</v>
      </c>
      <c r="Y10871" s="20">
        <v>1.3810000000000001E-3</v>
      </c>
      <c r="Z10871" s="21">
        <v>4601004304680</v>
      </c>
    </row>
    <row r="10872" spans="1:26" ht="12" customHeight="1" outlineLevel="4" x14ac:dyDescent="0.2">
      <c r="A10872" s="14" t="s">
        <v>20661</v>
      </c>
      <c r="B10872" s="26" t="s">
        <v>20662</v>
      </c>
      <c r="C10872" s="52"/>
      <c r="D10872" s="55">
        <f t="shared" si="169"/>
        <v>0</v>
      </c>
      <c r="E10872" s="64"/>
      <c r="F10872" s="16" t="s">
        <v>39</v>
      </c>
      <c r="G10872" s="15"/>
      <c r="H10872" s="15"/>
      <c r="I10872" s="15"/>
      <c r="J10872" s="17">
        <v>121</v>
      </c>
      <c r="K10872" s="15" t="s">
        <v>6837</v>
      </c>
      <c r="L10872" s="17">
        <v>5</v>
      </c>
      <c r="M10872" s="17">
        <v>96</v>
      </c>
      <c r="N10872" s="17">
        <v>5</v>
      </c>
      <c r="O10872" s="18">
        <v>517.45000000000005</v>
      </c>
      <c r="P10872" s="18">
        <v>424.14</v>
      </c>
      <c r="Q10872" s="18">
        <v>413.96</v>
      </c>
      <c r="R10872" s="18">
        <v>339.31</v>
      </c>
      <c r="S10872" s="18">
        <v>351.87</v>
      </c>
      <c r="T10872" s="18">
        <v>288.42</v>
      </c>
      <c r="U10872" s="16"/>
      <c r="V10872" s="16"/>
      <c r="W10872" s="16" t="s">
        <v>40</v>
      </c>
      <c r="X10872" s="19">
        <v>0.15</v>
      </c>
      <c r="Y10872" s="20">
        <v>1.3929999999999999E-3</v>
      </c>
      <c r="Z10872" s="21">
        <v>4601004304673</v>
      </c>
    </row>
    <row r="10873" spans="1:26" ht="12.95" customHeight="1" outlineLevel="3" x14ac:dyDescent="0.2">
      <c r="A10873" s="76" t="s">
        <v>20663</v>
      </c>
      <c r="B10873" s="76"/>
      <c r="C10873" s="77"/>
      <c r="D10873" s="58"/>
      <c r="E10873" s="68"/>
      <c r="F10873" s="13"/>
      <c r="G10873" s="13"/>
      <c r="H10873" s="13"/>
      <c r="I10873" s="13"/>
      <c r="J10873" s="13"/>
      <c r="K10873" s="13"/>
      <c r="L10873" s="13"/>
      <c r="M10873" s="13"/>
      <c r="N10873" s="13"/>
      <c r="O10873" s="13"/>
      <c r="P10873" s="13"/>
      <c r="Q10873" s="13"/>
      <c r="R10873" s="13"/>
      <c r="S10873" s="13"/>
      <c r="T10873" s="13"/>
      <c r="U10873" s="13"/>
      <c r="V10873" s="13"/>
      <c r="W10873" s="13"/>
      <c r="X10873" s="13"/>
      <c r="Y10873" s="13"/>
      <c r="Z10873" s="13"/>
    </row>
    <row r="10874" spans="1:26" ht="12" customHeight="1" outlineLevel="4" x14ac:dyDescent="0.2">
      <c r="A10874" s="32" t="s">
        <v>20664</v>
      </c>
      <c r="B10874" s="74" t="s">
        <v>20665</v>
      </c>
      <c r="C10874" s="50"/>
      <c r="D10874" s="53">
        <f t="shared" si="169"/>
        <v>0</v>
      </c>
      <c r="E10874" s="60" t="str">
        <f>HYPERLINK("https://www.sds-group.ru/product/girlyanda-svetodiodnyy-dozhd-2-5x2m-svechenie-s-dinamikoy-prozrachnyy-provod-230-v-diody-bel-235-055/", "Инфо")</f>
        <v>Инфо</v>
      </c>
      <c r="F10874" s="34" t="s">
        <v>39</v>
      </c>
      <c r="G10874" s="33"/>
      <c r="H10874" s="33" t="s">
        <v>40</v>
      </c>
      <c r="I10874" s="33"/>
      <c r="J10874" s="35">
        <v>47</v>
      </c>
      <c r="K10874" s="33"/>
      <c r="L10874" s="35">
        <v>1</v>
      </c>
      <c r="M10874" s="35">
        <v>24</v>
      </c>
      <c r="N10874" s="35">
        <v>1</v>
      </c>
      <c r="O10874" s="36">
        <v>1363.22</v>
      </c>
      <c r="P10874" s="36">
        <v>1117.3900000000001</v>
      </c>
      <c r="Q10874" s="36">
        <v>1076.94</v>
      </c>
      <c r="R10874" s="36">
        <v>882.74</v>
      </c>
      <c r="S10874" s="36">
        <v>926.99</v>
      </c>
      <c r="T10874" s="36">
        <v>759.83</v>
      </c>
      <c r="U10874" s="34"/>
      <c r="V10874" s="34"/>
      <c r="W10874" s="34" t="s">
        <v>40</v>
      </c>
      <c r="X10874" s="37">
        <v>0.41099999999999998</v>
      </c>
      <c r="Y10874" s="38">
        <v>1.7390000000000001E-3</v>
      </c>
      <c r="Z10874" s="21">
        <v>4601004091849</v>
      </c>
    </row>
    <row r="10875" spans="1:26" ht="12" customHeight="1" outlineLevel="4" x14ac:dyDescent="0.2">
      <c r="A10875" s="32" t="s">
        <v>20666</v>
      </c>
      <c r="B10875" s="74" t="s">
        <v>20667</v>
      </c>
      <c r="C10875" s="50"/>
      <c r="D10875" s="53">
        <f t="shared" si="169"/>
        <v>0</v>
      </c>
      <c r="E10875" s="60" t="str">
        <f>HYPERLINK("https://www.sds-group.ru/product/girlyanda-svetodiodnyy-dozhd-2-5x2-m-svechenie-s-dinamikoy-prozrachnyy-provod-230-v-diody-mu-235-059/", "Инфо")</f>
        <v>Инфо</v>
      </c>
      <c r="F10875" s="34" t="s">
        <v>39</v>
      </c>
      <c r="G10875" s="33"/>
      <c r="H10875" s="33" t="s">
        <v>40</v>
      </c>
      <c r="I10875" s="33"/>
      <c r="J10875" s="35">
        <v>81</v>
      </c>
      <c r="K10875" s="33"/>
      <c r="L10875" s="35">
        <v>1</v>
      </c>
      <c r="M10875" s="35">
        <v>24</v>
      </c>
      <c r="N10875" s="35">
        <v>1</v>
      </c>
      <c r="O10875" s="36">
        <v>1363.22</v>
      </c>
      <c r="P10875" s="36">
        <v>1117.3900000000001</v>
      </c>
      <c r="Q10875" s="36">
        <v>1076.94</v>
      </c>
      <c r="R10875" s="36">
        <v>882.74</v>
      </c>
      <c r="S10875" s="36">
        <v>926.99</v>
      </c>
      <c r="T10875" s="36">
        <v>759.83</v>
      </c>
      <c r="U10875" s="34"/>
      <c r="V10875" s="34"/>
      <c r="W10875" s="34" t="s">
        <v>40</v>
      </c>
      <c r="X10875" s="37">
        <v>0.44400000000000001</v>
      </c>
      <c r="Y10875" s="38">
        <v>2.1020000000000001E-3</v>
      </c>
      <c r="Z10875" s="21">
        <v>4601004091863</v>
      </c>
    </row>
    <row r="10876" spans="1:26" ht="12" customHeight="1" outlineLevel="4" x14ac:dyDescent="0.2">
      <c r="A10876" s="14" t="s">
        <v>20668</v>
      </c>
      <c r="B10876" s="26" t="s">
        <v>20669</v>
      </c>
      <c r="C10876" s="52"/>
      <c r="D10876" s="55">
        <f t="shared" si="169"/>
        <v>0</v>
      </c>
      <c r="E10876" s="63" t="str">
        <f>HYPERLINK("https://www.sds-group.ru/product/girlyanda-svetodiodnyy-dozhd-2-5x2-m-svechenie-s-dinamikoy-prozrachnyy-provod-230-v-diody-si-235-053/", "Инфо")</f>
        <v>Инфо</v>
      </c>
      <c r="F10876" s="16" t="s">
        <v>39</v>
      </c>
      <c r="G10876" s="15"/>
      <c r="H10876" s="15"/>
      <c r="I10876" s="15"/>
      <c r="J10876" s="17">
        <v>114</v>
      </c>
      <c r="K10876" s="15"/>
      <c r="L10876" s="17">
        <v>1</v>
      </c>
      <c r="M10876" s="17">
        <v>24</v>
      </c>
      <c r="N10876" s="17">
        <v>1</v>
      </c>
      <c r="O10876" s="18">
        <v>1363.22</v>
      </c>
      <c r="P10876" s="18">
        <v>1117.3900000000001</v>
      </c>
      <c r="Q10876" s="18">
        <v>1076.94</v>
      </c>
      <c r="R10876" s="18">
        <v>882.74</v>
      </c>
      <c r="S10876" s="18">
        <v>926.99</v>
      </c>
      <c r="T10876" s="18">
        <v>759.83</v>
      </c>
      <c r="U10876" s="16"/>
      <c r="V10876" s="16"/>
      <c r="W10876" s="16" t="s">
        <v>40</v>
      </c>
      <c r="X10876" s="19">
        <v>0.44900000000000001</v>
      </c>
      <c r="Y10876" s="20">
        <v>2.1029999999999998E-3</v>
      </c>
      <c r="Z10876" s="21">
        <v>4601004091900</v>
      </c>
    </row>
    <row r="10877" spans="1:26" ht="12" customHeight="1" outlineLevel="4" x14ac:dyDescent="0.2">
      <c r="A10877" s="32" t="s">
        <v>20670</v>
      </c>
      <c r="B10877" s="74" t="s">
        <v>20671</v>
      </c>
      <c r="C10877" s="50"/>
      <c r="D10877" s="53">
        <f t="shared" si="169"/>
        <v>0</v>
      </c>
      <c r="E10877" s="60" t="str">
        <f>HYPERLINK("https://www.sds-group.ru/product/girlyanda-svetodiodnyy-dozhd-2-5x2-m-svechenie-s-dinamikoy-prozrachnyy-provod-230-v-diody-te-235-056/", "Инфо")</f>
        <v>Инфо</v>
      </c>
      <c r="F10877" s="34" t="s">
        <v>39</v>
      </c>
      <c r="G10877" s="33"/>
      <c r="H10877" s="33" t="s">
        <v>40</v>
      </c>
      <c r="I10877" s="33"/>
      <c r="J10877" s="35">
        <v>43</v>
      </c>
      <c r="K10877" s="33"/>
      <c r="L10877" s="35">
        <v>1</v>
      </c>
      <c r="M10877" s="35">
        <v>24</v>
      </c>
      <c r="N10877" s="35">
        <v>1</v>
      </c>
      <c r="O10877" s="36">
        <v>1363.22</v>
      </c>
      <c r="P10877" s="36">
        <v>1117.3900000000001</v>
      </c>
      <c r="Q10877" s="36">
        <v>1076.94</v>
      </c>
      <c r="R10877" s="36">
        <v>882.74</v>
      </c>
      <c r="S10877" s="36">
        <v>926.99</v>
      </c>
      <c r="T10877" s="36">
        <v>759.83</v>
      </c>
      <c r="U10877" s="34"/>
      <c r="V10877" s="34"/>
      <c r="W10877" s="34" t="s">
        <v>40</v>
      </c>
      <c r="X10877" s="37">
        <v>0.45</v>
      </c>
      <c r="Y10877" s="38">
        <v>2.1299999999999999E-3</v>
      </c>
      <c r="Z10877" s="21">
        <v>4601004091856</v>
      </c>
    </row>
    <row r="10878" spans="1:26" ht="12.95" customHeight="1" outlineLevel="3" x14ac:dyDescent="0.2">
      <c r="A10878" s="76" t="s">
        <v>20672</v>
      </c>
      <c r="B10878" s="76"/>
      <c r="C10878" s="77"/>
      <c r="D10878" s="58"/>
      <c r="E10878" s="68"/>
      <c r="F10878" s="13"/>
      <c r="G10878" s="13"/>
      <c r="H10878" s="13"/>
      <c r="I10878" s="13"/>
      <c r="J10878" s="13"/>
      <c r="K10878" s="13"/>
      <c r="L10878" s="13"/>
      <c r="M10878" s="13"/>
      <c r="N10878" s="13"/>
      <c r="O10878" s="13"/>
      <c r="P10878" s="13"/>
      <c r="Q10878" s="13"/>
      <c r="R10878" s="13"/>
      <c r="S10878" s="13"/>
      <c r="T10878" s="13"/>
      <c r="U10878" s="13"/>
      <c r="V10878" s="13"/>
      <c r="W10878" s="13"/>
      <c r="X10878" s="13"/>
      <c r="Y10878" s="13"/>
      <c r="Z10878" s="13"/>
    </row>
    <row r="10879" spans="1:26" ht="12" customHeight="1" outlineLevel="4" x14ac:dyDescent="0.2">
      <c r="A10879" s="14" t="s">
        <v>20673</v>
      </c>
      <c r="B10879" s="26" t="s">
        <v>20674</v>
      </c>
      <c r="C10879" s="52"/>
      <c r="D10879" s="55">
        <f t="shared" si="169"/>
        <v>0</v>
      </c>
      <c r="E10879" s="63" t="str">
        <f>HYPERLINK("https://www.sds-group.ru/product/girlyanda-svetodiodnyy-dozhd-2h3-m-svechenie-s-dinamikoy-prozrachnyy-provod-230-v-tsvet-bely-235-065/", "Инфо")</f>
        <v>Инфо</v>
      </c>
      <c r="F10879" s="16" t="s">
        <v>39</v>
      </c>
      <c r="G10879" s="15"/>
      <c r="H10879" s="15"/>
      <c r="I10879" s="15"/>
      <c r="J10879" s="16" t="s">
        <v>100</v>
      </c>
      <c r="K10879" s="15"/>
      <c r="L10879" s="17">
        <v>1</v>
      </c>
      <c r="M10879" s="17">
        <v>48</v>
      </c>
      <c r="N10879" s="17">
        <v>1</v>
      </c>
      <c r="O10879" s="18">
        <v>1363.22</v>
      </c>
      <c r="P10879" s="18">
        <v>1117.3900000000001</v>
      </c>
      <c r="Q10879" s="18">
        <v>1076.94</v>
      </c>
      <c r="R10879" s="18">
        <v>882.74</v>
      </c>
      <c r="S10879" s="18">
        <v>926.99</v>
      </c>
      <c r="T10879" s="18">
        <v>759.83</v>
      </c>
      <c r="U10879" s="16"/>
      <c r="V10879" s="16"/>
      <c r="W10879" s="16" t="s">
        <v>40</v>
      </c>
      <c r="X10879" s="19">
        <v>0.41399999999999998</v>
      </c>
      <c r="Y10879" s="20">
        <v>2.5119999999999999E-3</v>
      </c>
      <c r="Z10879" s="21">
        <v>4601004147089</v>
      </c>
    </row>
    <row r="10880" spans="1:26" ht="12" customHeight="1" outlineLevel="4" x14ac:dyDescent="0.2">
      <c r="A10880" s="14" t="s">
        <v>20675</v>
      </c>
      <c r="B10880" s="26" t="s">
        <v>20676</v>
      </c>
      <c r="C10880" s="52"/>
      <c r="D10880" s="55">
        <f t="shared" si="169"/>
        <v>0</v>
      </c>
      <c r="E10880" s="63" t="str">
        <f>HYPERLINK("https://www.sds-group.ru/product/girlyanda-svetodiodnyy-dozhd-2x3-m-svechenie-s-dinamikoy-prozrachnyy-provod-230-v-diody-mult-235-069/", "Инфо")</f>
        <v>Инфо</v>
      </c>
      <c r="F10880" s="16" t="s">
        <v>39</v>
      </c>
      <c r="G10880" s="15"/>
      <c r="H10880" s="15"/>
      <c r="I10880" s="15"/>
      <c r="J10880" s="17">
        <v>298</v>
      </c>
      <c r="K10880" s="15"/>
      <c r="L10880" s="17">
        <v>1</v>
      </c>
      <c r="M10880" s="17">
        <v>36</v>
      </c>
      <c r="N10880" s="17">
        <v>1</v>
      </c>
      <c r="O10880" s="18">
        <v>1363.22</v>
      </c>
      <c r="P10880" s="18">
        <v>1117.3900000000001</v>
      </c>
      <c r="Q10880" s="18">
        <v>954.25</v>
      </c>
      <c r="R10880" s="18">
        <v>782.17</v>
      </c>
      <c r="S10880" s="18">
        <v>926.99</v>
      </c>
      <c r="T10880" s="18">
        <v>759.83</v>
      </c>
      <c r="U10880" s="16"/>
      <c r="V10880" s="16"/>
      <c r="W10880" s="16"/>
      <c r="X10880" s="19">
        <v>0.42699999999999999</v>
      </c>
      <c r="Y10880" s="20">
        <v>2.5149999999999999E-3</v>
      </c>
      <c r="Z10880" s="21">
        <v>4601004131552</v>
      </c>
    </row>
    <row r="10881" spans="1:26" ht="12" customHeight="1" outlineLevel="4" x14ac:dyDescent="0.2">
      <c r="A10881" s="14" t="s">
        <v>20677</v>
      </c>
      <c r="B10881" s="26" t="s">
        <v>20678</v>
      </c>
      <c r="C10881" s="52"/>
      <c r="D10881" s="55">
        <f t="shared" si="169"/>
        <v>0</v>
      </c>
      <c r="E10881" s="63" t="str">
        <f>HYPERLINK("https://www.sds-group.ru/product/girlyanda-svetodiodnyy-dozhd-2x3-m-svechenie-s-dinamikoy-prozrachnyy-provod-230-v-tsvet-tepl-235-066/", "Инфо")</f>
        <v>Инфо</v>
      </c>
      <c r="F10881" s="16" t="s">
        <v>39</v>
      </c>
      <c r="G10881" s="15"/>
      <c r="H10881" s="15"/>
      <c r="I10881" s="15"/>
      <c r="J10881" s="17">
        <v>14</v>
      </c>
      <c r="K10881" s="15"/>
      <c r="L10881" s="17">
        <v>1</v>
      </c>
      <c r="M10881" s="17">
        <v>48</v>
      </c>
      <c r="N10881" s="17">
        <v>1</v>
      </c>
      <c r="O10881" s="18">
        <v>1363.22</v>
      </c>
      <c r="P10881" s="18">
        <v>1117.3900000000001</v>
      </c>
      <c r="Q10881" s="18">
        <v>1076.94</v>
      </c>
      <c r="R10881" s="18">
        <v>882.74</v>
      </c>
      <c r="S10881" s="18">
        <v>926.99</v>
      </c>
      <c r="T10881" s="18">
        <v>759.83</v>
      </c>
      <c r="U10881" s="16"/>
      <c r="V10881" s="16"/>
      <c r="W10881" s="16" t="s">
        <v>40</v>
      </c>
      <c r="X10881" s="19">
        <v>0.42399999999999999</v>
      </c>
      <c r="Y10881" s="20">
        <v>2.552E-3</v>
      </c>
      <c r="Z10881" s="21">
        <v>4601004131682</v>
      </c>
    </row>
    <row r="10882" spans="1:26" ht="12.95" customHeight="1" outlineLevel="3" x14ac:dyDescent="0.2">
      <c r="A10882" s="76" t="s">
        <v>20679</v>
      </c>
      <c r="B10882" s="76"/>
      <c r="C10882" s="77"/>
      <c r="D10882" s="58"/>
      <c r="E10882" s="68"/>
      <c r="F10882" s="13"/>
      <c r="G10882" s="13"/>
      <c r="H10882" s="13"/>
      <c r="I10882" s="13"/>
      <c r="J10882" s="13"/>
      <c r="K10882" s="13"/>
      <c r="L10882" s="13"/>
      <c r="M10882" s="13"/>
      <c r="N10882" s="13"/>
      <c r="O10882" s="13"/>
      <c r="P10882" s="13"/>
      <c r="Q10882" s="13"/>
      <c r="R10882" s="13"/>
      <c r="S10882" s="13"/>
      <c r="T10882" s="13"/>
      <c r="U10882" s="13"/>
      <c r="V10882" s="13"/>
      <c r="W10882" s="13"/>
      <c r="X10882" s="13"/>
      <c r="Y10882" s="13"/>
      <c r="Z10882" s="13"/>
    </row>
    <row r="10883" spans="1:26" ht="12" customHeight="1" outlineLevel="4" x14ac:dyDescent="0.2">
      <c r="A10883" s="32" t="s">
        <v>20680</v>
      </c>
      <c r="B10883" s="74" t="s">
        <v>20681</v>
      </c>
      <c r="C10883" s="50"/>
      <c r="D10883" s="53">
        <f t="shared" si="169"/>
        <v>0</v>
      </c>
      <c r="E10883" s="60" t="str">
        <f>HYPERLINK("https://www.sds-group.ru/product/girlyanda-svetodiodnyy-dozhd-3h2-m-effekt-vodopada-prozrachnyy-provod-230-v-diody-teplye-bel-235-006/", "Инфо")</f>
        <v>Инфо</v>
      </c>
      <c r="F10883" s="34" t="s">
        <v>39</v>
      </c>
      <c r="G10883" s="33"/>
      <c r="H10883" s="33" t="s">
        <v>40</v>
      </c>
      <c r="I10883" s="33"/>
      <c r="J10883" s="35">
        <v>2</v>
      </c>
      <c r="K10883" s="33"/>
      <c r="L10883" s="35">
        <v>1</v>
      </c>
      <c r="M10883" s="35">
        <v>48</v>
      </c>
      <c r="N10883" s="35">
        <v>1</v>
      </c>
      <c r="O10883" s="36">
        <v>2098.63</v>
      </c>
      <c r="P10883" s="36">
        <v>1720.19</v>
      </c>
      <c r="Q10883" s="36">
        <v>1615.95</v>
      </c>
      <c r="R10883" s="36">
        <v>1324.55</v>
      </c>
      <c r="S10883" s="36">
        <v>1427.07</v>
      </c>
      <c r="T10883" s="36">
        <v>1169.73</v>
      </c>
      <c r="U10883" s="34"/>
      <c r="V10883" s="34"/>
      <c r="W10883" s="34" t="s">
        <v>40</v>
      </c>
      <c r="X10883" s="37">
        <v>0.52900000000000003</v>
      </c>
      <c r="Y10883" s="38">
        <v>2.6849999999999999E-3</v>
      </c>
      <c r="Z10883" s="21">
        <v>4601004254848</v>
      </c>
    </row>
    <row r="10884" spans="1:26" ht="12" customHeight="1" outlineLevel="4" x14ac:dyDescent="0.2">
      <c r="A10884" s="14" t="s">
        <v>20682</v>
      </c>
      <c r="B10884" s="26" t="s">
        <v>20683</v>
      </c>
      <c r="C10884" s="52"/>
      <c r="D10884" s="55">
        <f t="shared" si="169"/>
        <v>0</v>
      </c>
      <c r="E10884" s="63" t="str">
        <f>HYPERLINK("https://www.sds-group.ru/product/girlyanda-svetodiodnyy-dozhd-3h2-m-svechenie-s-dinamikoy-prozrachnyy-provod-230-v-tsvet-bely-235-091/", "Инфо")</f>
        <v>Инфо</v>
      </c>
      <c r="F10884" s="16" t="s">
        <v>39</v>
      </c>
      <c r="G10884" s="15"/>
      <c r="H10884" s="15"/>
      <c r="I10884" s="15"/>
      <c r="J10884" s="17">
        <v>38</v>
      </c>
      <c r="K10884" s="15"/>
      <c r="L10884" s="17">
        <v>1</v>
      </c>
      <c r="M10884" s="17">
        <v>36</v>
      </c>
      <c r="N10884" s="17">
        <v>1</v>
      </c>
      <c r="O10884" s="18">
        <v>1363.22</v>
      </c>
      <c r="P10884" s="18">
        <v>1117.3900000000001</v>
      </c>
      <c r="Q10884" s="18">
        <v>1076.94</v>
      </c>
      <c r="R10884" s="18">
        <v>882.74</v>
      </c>
      <c r="S10884" s="18">
        <v>926.99</v>
      </c>
      <c r="T10884" s="18">
        <v>759.83</v>
      </c>
      <c r="U10884" s="16"/>
      <c r="V10884" s="16"/>
      <c r="W10884" s="16" t="s">
        <v>40</v>
      </c>
      <c r="X10884" s="19">
        <v>0.45400000000000001</v>
      </c>
      <c r="Y10884" s="20">
        <v>1.804E-3</v>
      </c>
      <c r="Z10884" s="21">
        <v>4601004233201</v>
      </c>
    </row>
    <row r="10885" spans="1:26" ht="12" customHeight="1" outlineLevel="4" x14ac:dyDescent="0.2">
      <c r="A10885" s="14" t="s">
        <v>20684</v>
      </c>
      <c r="B10885" s="26" t="s">
        <v>20685</v>
      </c>
      <c r="C10885" s="52"/>
      <c r="D10885" s="55">
        <f t="shared" si="169"/>
        <v>0</v>
      </c>
      <c r="E10885" s="63" t="str">
        <f>HYPERLINK("https://www.sds-group.ru/product/girlyanda-svetodiodnyy-dozhd-3h2-m-svechenie-s-dinamikoy-prozrachnyy-provod-pvh-230-v-diody--235-099/", "Инфо")</f>
        <v>Инфо</v>
      </c>
      <c r="F10885" s="16" t="s">
        <v>39</v>
      </c>
      <c r="G10885" s="15"/>
      <c r="H10885" s="15"/>
      <c r="I10885" s="15"/>
      <c r="J10885" s="17">
        <v>69</v>
      </c>
      <c r="K10885" s="15"/>
      <c r="L10885" s="17">
        <v>1</v>
      </c>
      <c r="M10885" s="17">
        <v>48</v>
      </c>
      <c r="N10885" s="17">
        <v>1</v>
      </c>
      <c r="O10885" s="18">
        <v>1363.22</v>
      </c>
      <c r="P10885" s="18">
        <v>1117.3900000000001</v>
      </c>
      <c r="Q10885" s="18">
        <v>1076.94</v>
      </c>
      <c r="R10885" s="18">
        <v>882.74</v>
      </c>
      <c r="S10885" s="18">
        <v>926.99</v>
      </c>
      <c r="T10885" s="18">
        <v>759.83</v>
      </c>
      <c r="U10885" s="16"/>
      <c r="V10885" s="16"/>
      <c r="W10885" s="16" t="s">
        <v>40</v>
      </c>
      <c r="X10885" s="19">
        <v>0.46500000000000002</v>
      </c>
      <c r="Y10885" s="20">
        <v>2.2109999999999999E-3</v>
      </c>
      <c r="Z10885" s="21">
        <v>4601004227279</v>
      </c>
    </row>
    <row r="10886" spans="1:26" ht="12" customHeight="1" outlineLevel="4" x14ac:dyDescent="0.2">
      <c r="A10886" s="14" t="s">
        <v>20686</v>
      </c>
      <c r="B10886" s="26" t="s">
        <v>20687</v>
      </c>
      <c r="C10886" s="52"/>
      <c r="D10886" s="55">
        <f t="shared" si="169"/>
        <v>0</v>
      </c>
      <c r="E10886" s="63" t="str">
        <f>HYPERLINK("https://www.sds-group.ru/product/girlyanda-svetodiodnyy-dozhd-3h2-m-svechenie-s-dinamikoy-prozrachnyy-provod-230-v-diody-mult-235-098/", "Инфо")</f>
        <v>Инфо</v>
      </c>
      <c r="F10886" s="16" t="s">
        <v>39</v>
      </c>
      <c r="G10886" s="15"/>
      <c r="H10886" s="15"/>
      <c r="I10886" s="15"/>
      <c r="J10886" s="17">
        <v>87</v>
      </c>
      <c r="K10886" s="15"/>
      <c r="L10886" s="17">
        <v>1</v>
      </c>
      <c r="M10886" s="17">
        <v>48</v>
      </c>
      <c r="N10886" s="17">
        <v>1</v>
      </c>
      <c r="O10886" s="18">
        <v>1363.22</v>
      </c>
      <c r="P10886" s="18">
        <v>1117.3900000000001</v>
      </c>
      <c r="Q10886" s="18">
        <v>1076.94</v>
      </c>
      <c r="R10886" s="18">
        <v>882.74</v>
      </c>
      <c r="S10886" s="18">
        <v>926.99</v>
      </c>
      <c r="T10886" s="18">
        <v>759.83</v>
      </c>
      <c r="U10886" s="16"/>
      <c r="V10886" s="16"/>
      <c r="W10886" s="16" t="s">
        <v>40</v>
      </c>
      <c r="X10886" s="19">
        <v>0.433</v>
      </c>
      <c r="Y10886" s="20">
        <v>1.9580000000000001E-3</v>
      </c>
      <c r="Z10886" s="21">
        <v>4601004233218</v>
      </c>
    </row>
    <row r="10887" spans="1:26" ht="12.95" customHeight="1" outlineLevel="3" x14ac:dyDescent="0.2">
      <c r="A10887" s="76" t="s">
        <v>20688</v>
      </c>
      <c r="B10887" s="76"/>
      <c r="C10887" s="77"/>
      <c r="D10887" s="58"/>
      <c r="E10887" s="68"/>
      <c r="F10887" s="13"/>
      <c r="G10887" s="13"/>
      <c r="H10887" s="13"/>
      <c r="I10887" s="13"/>
      <c r="J10887" s="13"/>
      <c r="K10887" s="13"/>
      <c r="L10887" s="13"/>
      <c r="M10887" s="13"/>
      <c r="N10887" s="13"/>
      <c r="O10887" s="13"/>
      <c r="P10887" s="13"/>
      <c r="Q10887" s="13"/>
      <c r="R10887" s="13"/>
      <c r="S10887" s="13"/>
      <c r="T10887" s="13"/>
      <c r="U10887" s="13"/>
      <c r="V10887" s="13"/>
      <c r="W10887" s="13"/>
      <c r="X10887" s="13"/>
      <c r="Y10887" s="13"/>
      <c r="Z10887" s="13"/>
    </row>
    <row r="10888" spans="1:26" ht="12" customHeight="1" outlineLevel="4" x14ac:dyDescent="0.2">
      <c r="A10888" s="14" t="s">
        <v>20689</v>
      </c>
      <c r="B10888" s="26" t="s">
        <v>20690</v>
      </c>
      <c r="C10888" s="52"/>
      <c r="D10888" s="55">
        <f t="shared" si="169"/>
        <v>0</v>
      </c>
      <c r="E10888" s="63" t="str">
        <f>HYPERLINK("https://www.sds-group.ru/product/girlyanda-svetodiodnyy-dozhd-iz-rosy-3h3-m-biryuzovyy-usb-pult-upravleniya-neon-night-315-984/", "Инфо")</f>
        <v>Инфо</v>
      </c>
      <c r="F10888" s="16" t="s">
        <v>39</v>
      </c>
      <c r="G10888" s="15"/>
      <c r="H10888" s="15"/>
      <c r="I10888" s="15"/>
      <c r="J10888" s="16" t="s">
        <v>100</v>
      </c>
      <c r="K10888" s="15" t="s">
        <v>6174</v>
      </c>
      <c r="L10888" s="17">
        <v>1</v>
      </c>
      <c r="M10888" s="17">
        <v>48</v>
      </c>
      <c r="N10888" s="17">
        <v>1</v>
      </c>
      <c r="O10888" s="18">
        <v>941.92</v>
      </c>
      <c r="P10888" s="18">
        <v>772.07</v>
      </c>
      <c r="Q10888" s="18">
        <v>659.34</v>
      </c>
      <c r="R10888" s="18">
        <v>540.44000000000005</v>
      </c>
      <c r="S10888" s="18">
        <v>583.99</v>
      </c>
      <c r="T10888" s="18">
        <v>478.68</v>
      </c>
      <c r="U10888" s="16"/>
      <c r="V10888" s="16"/>
      <c r="W10888" s="16" t="s">
        <v>40</v>
      </c>
      <c r="X10888" s="19">
        <v>0.2</v>
      </c>
      <c r="Y10888" s="20">
        <v>9.7999999999999997E-4</v>
      </c>
      <c r="Z10888" s="21">
        <v>4601004252394</v>
      </c>
    </row>
    <row r="10889" spans="1:26" ht="12" customHeight="1" outlineLevel="4" x14ac:dyDescent="0.2">
      <c r="A10889" s="14" t="s">
        <v>20691</v>
      </c>
      <c r="B10889" s="26" t="s">
        <v>20692</v>
      </c>
      <c r="C10889" s="52"/>
      <c r="D10889" s="55">
        <f t="shared" ref="D10889:D10951" si="170">C10889*(O10889-O10889*$G$3)</f>
        <v>0</v>
      </c>
      <c r="E10889" s="63" t="str">
        <f>HYPERLINK("https://www.sds-group.ru/product/girlyanda-svetodiodnyy-dozhd-iz-rosy-3h3-m-rozovyy-usb-pult-upravleniya-neon-night-315-987/", "Инфо")</f>
        <v>Инфо</v>
      </c>
      <c r="F10889" s="16" t="s">
        <v>39</v>
      </c>
      <c r="G10889" s="15"/>
      <c r="H10889" s="15"/>
      <c r="I10889" s="15"/>
      <c r="J10889" s="17">
        <v>27</v>
      </c>
      <c r="K10889" s="15" t="s">
        <v>6174</v>
      </c>
      <c r="L10889" s="17">
        <v>1</v>
      </c>
      <c r="M10889" s="17">
        <v>48</v>
      </c>
      <c r="N10889" s="17">
        <v>1</v>
      </c>
      <c r="O10889" s="18">
        <v>941.92</v>
      </c>
      <c r="P10889" s="18">
        <v>772.07</v>
      </c>
      <c r="Q10889" s="18">
        <v>659.34</v>
      </c>
      <c r="R10889" s="18">
        <v>540.44000000000005</v>
      </c>
      <c r="S10889" s="18">
        <v>583.99</v>
      </c>
      <c r="T10889" s="18">
        <v>478.68</v>
      </c>
      <c r="U10889" s="16"/>
      <c r="V10889" s="16"/>
      <c r="W10889" s="16" t="s">
        <v>40</v>
      </c>
      <c r="X10889" s="19">
        <v>0.19400000000000001</v>
      </c>
      <c r="Y10889" s="20">
        <v>1.003E-3</v>
      </c>
      <c r="Z10889" s="21">
        <v>4601004252363</v>
      </c>
    </row>
    <row r="10890" spans="1:26" ht="12" customHeight="1" outlineLevel="4" x14ac:dyDescent="0.2">
      <c r="A10890" s="14" t="s">
        <v>20693</v>
      </c>
      <c r="B10890" s="26" t="s">
        <v>20694</v>
      </c>
      <c r="C10890" s="52"/>
      <c r="D10890" s="55">
        <f t="shared" si="170"/>
        <v>0</v>
      </c>
      <c r="E10890" s="63" t="str">
        <f>HYPERLINK("https://www.sds-group.ru/product/girlyanda-svetodiodnyy-dozhd-iz-rosy-6h3-m-belyy-usb-pult-upravleniya-neon-night-315-995/", "Инфо")</f>
        <v>Инфо</v>
      </c>
      <c r="F10890" s="16" t="s">
        <v>39</v>
      </c>
      <c r="G10890" s="15"/>
      <c r="H10890" s="15"/>
      <c r="I10890" s="15"/>
      <c r="J10890" s="17">
        <v>5</v>
      </c>
      <c r="K10890" s="15"/>
      <c r="L10890" s="17">
        <v>1</v>
      </c>
      <c r="M10890" s="17">
        <v>48</v>
      </c>
      <c r="N10890" s="17">
        <v>1</v>
      </c>
      <c r="O10890" s="18">
        <v>2518.64</v>
      </c>
      <c r="P10890" s="18">
        <v>2064.46</v>
      </c>
      <c r="Q10890" s="18">
        <v>1939.35</v>
      </c>
      <c r="R10890" s="18">
        <v>1589.63</v>
      </c>
      <c r="S10890" s="18">
        <v>1561.56</v>
      </c>
      <c r="T10890" s="18">
        <v>1279.97</v>
      </c>
      <c r="U10890" s="16"/>
      <c r="V10890" s="16"/>
      <c r="W10890" s="16" t="s">
        <v>40</v>
      </c>
      <c r="X10890" s="19">
        <v>0.32700000000000001</v>
      </c>
      <c r="Y10890" s="20">
        <v>1.6900000000000001E-3</v>
      </c>
      <c r="Z10890" s="21">
        <v>4601004254862</v>
      </c>
    </row>
    <row r="10891" spans="1:26" ht="12" customHeight="1" outlineLevel="4" x14ac:dyDescent="0.2">
      <c r="A10891" s="14" t="s">
        <v>20695</v>
      </c>
      <c r="B10891" s="26" t="s">
        <v>20696</v>
      </c>
      <c r="C10891" s="52"/>
      <c r="D10891" s="55">
        <f t="shared" si="170"/>
        <v>0</v>
      </c>
      <c r="E10891" s="63" t="str">
        <f>HYPERLINK("https://www.sds-group.ru/product/girlyanda-svetodiodnyy-dozhd-iz-rosy-6h3-m-teplyy-belyy-usb-pult-upravleniya-neon-night-315-996/", "Инфо")</f>
        <v>Инфо</v>
      </c>
      <c r="F10891" s="16" t="s">
        <v>39</v>
      </c>
      <c r="G10891" s="15"/>
      <c r="H10891" s="15"/>
      <c r="I10891" s="15"/>
      <c r="J10891" s="16" t="s">
        <v>100</v>
      </c>
      <c r="K10891" s="15" t="s">
        <v>6174</v>
      </c>
      <c r="L10891" s="17">
        <v>1</v>
      </c>
      <c r="M10891" s="17">
        <v>48</v>
      </c>
      <c r="N10891" s="17">
        <v>1</v>
      </c>
      <c r="O10891" s="18">
        <v>2518.64</v>
      </c>
      <c r="P10891" s="18">
        <v>2064.46</v>
      </c>
      <c r="Q10891" s="18">
        <v>1939.35</v>
      </c>
      <c r="R10891" s="18">
        <v>1589.63</v>
      </c>
      <c r="S10891" s="18">
        <v>1561.56</v>
      </c>
      <c r="T10891" s="18">
        <v>1279.97</v>
      </c>
      <c r="U10891" s="16"/>
      <c r="V10891" s="16"/>
      <c r="W10891" s="16" t="s">
        <v>40</v>
      </c>
      <c r="X10891" s="19">
        <v>0.32200000000000001</v>
      </c>
      <c r="Y10891" s="20">
        <v>1.694E-3</v>
      </c>
      <c r="Z10891" s="21">
        <v>4601004254855</v>
      </c>
    </row>
    <row r="10892" spans="1:26" ht="12" customHeight="1" outlineLevel="4" x14ac:dyDescent="0.2">
      <c r="A10892" s="14" t="s">
        <v>20697</v>
      </c>
      <c r="B10892" s="26" t="s">
        <v>20698</v>
      </c>
      <c r="C10892" s="52"/>
      <c r="D10892" s="55">
        <f t="shared" si="170"/>
        <v>0</v>
      </c>
      <c r="E10892" s="63" t="str">
        <f>HYPERLINK("https://www.sds-group.ru/product/girlyanda-svetodiodnyy-dozhd-iz-rosy-3h2m-belyy-usb-pult-upravleniya-s-kryuchkami-dlya-krepl-315-875/", "Инфо")</f>
        <v>Инфо</v>
      </c>
      <c r="F10892" s="16" t="s">
        <v>39</v>
      </c>
      <c r="G10892" s="15"/>
      <c r="H10892" s="15"/>
      <c r="I10892" s="15"/>
      <c r="J10892" s="17">
        <v>12</v>
      </c>
      <c r="K10892" s="15" t="s">
        <v>6174</v>
      </c>
      <c r="L10892" s="17">
        <v>1</v>
      </c>
      <c r="M10892" s="17">
        <v>48</v>
      </c>
      <c r="N10892" s="17">
        <v>1</v>
      </c>
      <c r="O10892" s="18">
        <v>874.54</v>
      </c>
      <c r="P10892" s="18">
        <v>716.84</v>
      </c>
      <c r="Q10892" s="18">
        <v>699.63</v>
      </c>
      <c r="R10892" s="18">
        <v>573.47</v>
      </c>
      <c r="S10892" s="18">
        <v>542.21</v>
      </c>
      <c r="T10892" s="18">
        <v>444.43</v>
      </c>
      <c r="U10892" s="16"/>
      <c r="V10892" s="16"/>
      <c r="W10892" s="16" t="s">
        <v>40</v>
      </c>
      <c r="X10892" s="19">
        <v>0.14499999999999999</v>
      </c>
      <c r="Y10892" s="20">
        <v>7.27E-4</v>
      </c>
      <c r="Z10892" s="21">
        <v>4601004283503</v>
      </c>
    </row>
    <row r="10893" spans="1:26" ht="12" customHeight="1" outlineLevel="4" x14ac:dyDescent="0.2">
      <c r="A10893" s="14" t="s">
        <v>20699</v>
      </c>
      <c r="B10893" s="26" t="s">
        <v>20700</v>
      </c>
      <c r="C10893" s="52"/>
      <c r="D10893" s="55">
        <f t="shared" si="170"/>
        <v>0</v>
      </c>
      <c r="E10893" s="63" t="str">
        <f>HYPERLINK("https://www.sds-group.ru/product/girlyanda-svetodiodnyy-dozhd-iz-rosy-3h2m-multikolor-usb-pult-upravleniya-s-kryuchkami-dlya--315-879/", "Инфо")</f>
        <v>Инфо</v>
      </c>
      <c r="F10893" s="16" t="s">
        <v>39</v>
      </c>
      <c r="G10893" s="15"/>
      <c r="H10893" s="15"/>
      <c r="I10893" s="15"/>
      <c r="J10893" s="17">
        <v>4</v>
      </c>
      <c r="K10893" s="15" t="s">
        <v>6174</v>
      </c>
      <c r="L10893" s="17">
        <v>1</v>
      </c>
      <c r="M10893" s="17">
        <v>48</v>
      </c>
      <c r="N10893" s="17">
        <v>1</v>
      </c>
      <c r="O10893" s="18">
        <v>874.54</v>
      </c>
      <c r="P10893" s="18">
        <v>716.84</v>
      </c>
      <c r="Q10893" s="18">
        <v>699.63</v>
      </c>
      <c r="R10893" s="18">
        <v>573.47</v>
      </c>
      <c r="S10893" s="18">
        <v>542.21</v>
      </c>
      <c r="T10893" s="18">
        <v>444.43</v>
      </c>
      <c r="U10893" s="16"/>
      <c r="V10893" s="16"/>
      <c r="W10893" s="16" t="s">
        <v>40</v>
      </c>
      <c r="X10893" s="19">
        <v>0.14299999999999999</v>
      </c>
      <c r="Y10893" s="20">
        <v>7.2499999999999995E-4</v>
      </c>
      <c r="Z10893" s="21">
        <v>4601004283794</v>
      </c>
    </row>
    <row r="10894" spans="1:26" ht="12" customHeight="1" outlineLevel="4" x14ac:dyDescent="0.2">
      <c r="A10894" s="14" t="s">
        <v>20701</v>
      </c>
      <c r="B10894" s="26" t="s">
        <v>20702</v>
      </c>
      <c r="C10894" s="52"/>
      <c r="D10894" s="55">
        <f t="shared" si="170"/>
        <v>0</v>
      </c>
      <c r="E10894" s="63" t="str">
        <f>HYPERLINK("https://www.sds-group.ru/product/girlyanda-svetodiodnyy-dozhd-iz-rosy-3h2m-teplyy-belyy-usb-pult-upravleniya-s-kryuchkami-dly-315-876/", "Инфо")</f>
        <v>Инфо</v>
      </c>
      <c r="F10894" s="16" t="s">
        <v>39</v>
      </c>
      <c r="G10894" s="15"/>
      <c r="H10894" s="15"/>
      <c r="I10894" s="15"/>
      <c r="J10894" s="17">
        <v>14</v>
      </c>
      <c r="K10894" s="15" t="s">
        <v>6174</v>
      </c>
      <c r="L10894" s="17">
        <v>1</v>
      </c>
      <c r="M10894" s="17">
        <v>48</v>
      </c>
      <c r="N10894" s="17">
        <v>1</v>
      </c>
      <c r="O10894" s="18">
        <v>874.54</v>
      </c>
      <c r="P10894" s="18">
        <v>716.84</v>
      </c>
      <c r="Q10894" s="18">
        <v>699.63</v>
      </c>
      <c r="R10894" s="18">
        <v>573.47</v>
      </c>
      <c r="S10894" s="18">
        <v>542.21</v>
      </c>
      <c r="T10894" s="18">
        <v>444.43</v>
      </c>
      <c r="U10894" s="16"/>
      <c r="V10894" s="16"/>
      <c r="W10894" s="16" t="s">
        <v>40</v>
      </c>
      <c r="X10894" s="19">
        <v>0.152</v>
      </c>
      <c r="Y10894" s="20">
        <v>7.3399999999999995E-4</v>
      </c>
      <c r="Z10894" s="21">
        <v>4601004283589</v>
      </c>
    </row>
    <row r="10895" spans="1:26" ht="12" customHeight="1" outlineLevel="4" x14ac:dyDescent="0.2">
      <c r="A10895" s="14" t="s">
        <v>20703</v>
      </c>
      <c r="B10895" s="26" t="s">
        <v>20704</v>
      </c>
      <c r="C10895" s="52"/>
      <c r="D10895" s="55">
        <f t="shared" si="170"/>
        <v>0</v>
      </c>
      <c r="E10895" s="63" t="str">
        <f>HYPERLINK("https://www.sds-group.ru/product/girlyanda-svetodiodnyy-dozhd-iz-rosy-3h3m-belyy-usb-pult-upravleniya-s-kryuchkami-dlya-krepl-315-885/", "Инфо")</f>
        <v>Инфо</v>
      </c>
      <c r="F10895" s="16" t="s">
        <v>39</v>
      </c>
      <c r="G10895" s="15"/>
      <c r="H10895" s="15"/>
      <c r="I10895" s="15"/>
      <c r="J10895" s="16" t="s">
        <v>100</v>
      </c>
      <c r="K10895" s="15" t="s">
        <v>6174</v>
      </c>
      <c r="L10895" s="17">
        <v>1</v>
      </c>
      <c r="M10895" s="17">
        <v>48</v>
      </c>
      <c r="N10895" s="17">
        <v>1</v>
      </c>
      <c r="O10895" s="18">
        <v>941.92</v>
      </c>
      <c r="P10895" s="18">
        <v>772.07</v>
      </c>
      <c r="Q10895" s="18">
        <v>753.54</v>
      </c>
      <c r="R10895" s="18">
        <v>617.66</v>
      </c>
      <c r="S10895" s="18">
        <v>583.99</v>
      </c>
      <c r="T10895" s="18">
        <v>478.68</v>
      </c>
      <c r="U10895" s="16"/>
      <c r="V10895" s="16"/>
      <c r="W10895" s="16" t="s">
        <v>40</v>
      </c>
      <c r="X10895" s="19">
        <v>0.16300000000000001</v>
      </c>
      <c r="Y10895" s="20">
        <v>7.3499999999999998E-4</v>
      </c>
      <c r="Z10895" s="21">
        <v>4601004283510</v>
      </c>
    </row>
    <row r="10896" spans="1:26" ht="12" customHeight="1" outlineLevel="4" x14ac:dyDescent="0.2">
      <c r="A10896" s="14" t="s">
        <v>20705</v>
      </c>
      <c r="B10896" s="26" t="s">
        <v>20706</v>
      </c>
      <c r="C10896" s="52"/>
      <c r="D10896" s="55">
        <f t="shared" si="170"/>
        <v>0</v>
      </c>
      <c r="E10896" s="63" t="str">
        <f>HYPERLINK("https://www.sds-group.ru/product/girlyanda-svetodiodnyy-dozhd-iz-rosy-3h3m-teplyy-belyy-usb-pult-upravleniya-s-kryuchkami-dly-315-886/", "Инфо")</f>
        <v>Инфо</v>
      </c>
      <c r="F10896" s="16" t="s">
        <v>39</v>
      </c>
      <c r="G10896" s="15"/>
      <c r="H10896" s="15"/>
      <c r="I10896" s="15"/>
      <c r="J10896" s="17">
        <v>34</v>
      </c>
      <c r="K10896" s="15" t="s">
        <v>6174</v>
      </c>
      <c r="L10896" s="17">
        <v>1</v>
      </c>
      <c r="M10896" s="17">
        <v>48</v>
      </c>
      <c r="N10896" s="17">
        <v>1</v>
      </c>
      <c r="O10896" s="18">
        <v>941.92</v>
      </c>
      <c r="P10896" s="18">
        <v>772.07</v>
      </c>
      <c r="Q10896" s="18">
        <v>753.54</v>
      </c>
      <c r="R10896" s="18">
        <v>617.66</v>
      </c>
      <c r="S10896" s="18">
        <v>583.99</v>
      </c>
      <c r="T10896" s="18">
        <v>478.68</v>
      </c>
      <c r="U10896" s="16"/>
      <c r="V10896" s="16"/>
      <c r="W10896" s="16" t="s">
        <v>40</v>
      </c>
      <c r="X10896" s="19">
        <v>0.16300000000000001</v>
      </c>
      <c r="Y10896" s="20">
        <v>7.5199999999999996E-4</v>
      </c>
      <c r="Z10896" s="21">
        <v>4601004283572</v>
      </c>
    </row>
    <row r="10897" spans="1:26" ht="12" customHeight="1" outlineLevel="4" x14ac:dyDescent="0.2">
      <c r="A10897" s="14" t="s">
        <v>20707</v>
      </c>
      <c r="B10897" s="26" t="s">
        <v>20708</v>
      </c>
      <c r="C10897" s="52"/>
      <c r="D10897" s="55">
        <f t="shared" si="170"/>
        <v>0</v>
      </c>
      <c r="E10897" s="63" t="str">
        <f>HYPERLINK("https://www.sds-group.ru/product/girlyanda-svetodiodnyy-zanaves-iz-rosy-3h3m-300-led-multikolor-ip20-usb-pult-upravleniya-s-k-315-889/", "Инфо")</f>
        <v>Инфо</v>
      </c>
      <c r="F10897" s="16" t="s">
        <v>39</v>
      </c>
      <c r="G10897" s="15"/>
      <c r="H10897" s="15"/>
      <c r="I10897" s="15"/>
      <c r="J10897" s="16" t="s">
        <v>100</v>
      </c>
      <c r="K10897" s="15" t="s">
        <v>6174</v>
      </c>
      <c r="L10897" s="17">
        <v>1</v>
      </c>
      <c r="M10897" s="17">
        <v>48</v>
      </c>
      <c r="N10897" s="17">
        <v>1</v>
      </c>
      <c r="O10897" s="18">
        <v>941.92</v>
      </c>
      <c r="P10897" s="18">
        <v>772.07</v>
      </c>
      <c r="Q10897" s="18">
        <v>753.54</v>
      </c>
      <c r="R10897" s="18">
        <v>617.66</v>
      </c>
      <c r="S10897" s="18">
        <v>583.99</v>
      </c>
      <c r="T10897" s="18">
        <v>478.68</v>
      </c>
      <c r="U10897" s="16"/>
      <c r="V10897" s="16"/>
      <c r="W10897" s="16" t="s">
        <v>40</v>
      </c>
      <c r="X10897" s="19">
        <v>0.16400000000000001</v>
      </c>
      <c r="Y10897" s="20">
        <v>7.18E-4</v>
      </c>
      <c r="Z10897" s="21">
        <v>4601004308114</v>
      </c>
    </row>
    <row r="10898" spans="1:26" ht="12" customHeight="1" outlineLevel="4" x14ac:dyDescent="0.2">
      <c r="A10898" s="14" t="s">
        <v>20709</v>
      </c>
      <c r="B10898" s="26" t="s">
        <v>20710</v>
      </c>
      <c r="C10898" s="52"/>
      <c r="D10898" s="55">
        <f t="shared" si="170"/>
        <v>0</v>
      </c>
      <c r="E10898" s="63" t="str">
        <f>HYPERLINK("https://www.sds-group.ru/product/girlyanda-svetodiodnyy-zanaves-iz-rosy-s-figurami-zvezd-multikolor-ip20-usb-pult-upravleniya-315-849/", "Инфо")</f>
        <v>Инфо</v>
      </c>
      <c r="F10898" s="16" t="s">
        <v>39</v>
      </c>
      <c r="G10898" s="15"/>
      <c r="H10898" s="15"/>
      <c r="I10898" s="15"/>
      <c r="J10898" s="17">
        <v>137</v>
      </c>
      <c r="K10898" s="15" t="s">
        <v>6174</v>
      </c>
      <c r="L10898" s="17">
        <v>1</v>
      </c>
      <c r="M10898" s="17">
        <v>6</v>
      </c>
      <c r="N10898" s="17">
        <v>1</v>
      </c>
      <c r="O10898" s="18">
        <v>1363.22</v>
      </c>
      <c r="P10898" s="18">
        <v>1117.3900000000001</v>
      </c>
      <c r="Q10898" s="18">
        <v>1076.94</v>
      </c>
      <c r="R10898" s="18">
        <v>882.74</v>
      </c>
      <c r="S10898" s="18">
        <v>845.2</v>
      </c>
      <c r="T10898" s="18">
        <v>692.79</v>
      </c>
      <c r="U10898" s="16"/>
      <c r="V10898" s="16"/>
      <c r="W10898" s="16" t="s">
        <v>40</v>
      </c>
      <c r="X10898" s="19">
        <v>0.312</v>
      </c>
      <c r="Y10898" s="20">
        <v>2.3219999999999998E-3</v>
      </c>
      <c r="Z10898" s="21">
        <v>4601004305182</v>
      </c>
    </row>
    <row r="10899" spans="1:26" ht="12" customHeight="1" outlineLevel="4" x14ac:dyDescent="0.2">
      <c r="A10899" s="14" t="s">
        <v>20711</v>
      </c>
      <c r="B10899" s="26" t="s">
        <v>20712</v>
      </c>
      <c r="C10899" s="52"/>
      <c r="D10899" s="55">
        <f t="shared" si="170"/>
        <v>0</v>
      </c>
      <c r="E10899" s="63" t="str">
        <f>HYPERLINK("https://www.sds-group.ru/product/girlyanda-svetodiodnyy-zanaves-iz-rosy-s-figurami-zvezd-teplyy-belyy-ip20-usb-pult-upravleni-315-846/", "Инфо")</f>
        <v>Инфо</v>
      </c>
      <c r="F10899" s="16" t="s">
        <v>39</v>
      </c>
      <c r="G10899" s="15"/>
      <c r="H10899" s="15"/>
      <c r="I10899" s="15"/>
      <c r="J10899" s="17">
        <v>85</v>
      </c>
      <c r="K10899" s="15" t="s">
        <v>6174</v>
      </c>
      <c r="L10899" s="17">
        <v>1</v>
      </c>
      <c r="M10899" s="17">
        <v>6</v>
      </c>
      <c r="N10899" s="17">
        <v>1</v>
      </c>
      <c r="O10899" s="18">
        <v>1363.22</v>
      </c>
      <c r="P10899" s="18">
        <v>1117.3900000000001</v>
      </c>
      <c r="Q10899" s="18">
        <v>1076.94</v>
      </c>
      <c r="R10899" s="18">
        <v>882.74</v>
      </c>
      <c r="S10899" s="18">
        <v>845.2</v>
      </c>
      <c r="T10899" s="18">
        <v>692.79</v>
      </c>
      <c r="U10899" s="16"/>
      <c r="V10899" s="16"/>
      <c r="W10899" s="16" t="s">
        <v>40</v>
      </c>
      <c r="X10899" s="19">
        <v>0.313</v>
      </c>
      <c r="Y10899" s="20">
        <v>2.2769999999999999E-3</v>
      </c>
      <c r="Z10899" s="21">
        <v>4601004305175</v>
      </c>
    </row>
    <row r="10900" spans="1:26" ht="12" customHeight="1" outlineLevel="4" x14ac:dyDescent="0.2">
      <c r="A10900" s="32" t="s">
        <v>20713</v>
      </c>
      <c r="B10900" s="74" t="s">
        <v>20714</v>
      </c>
      <c r="C10900" s="50"/>
      <c r="D10900" s="53">
        <f t="shared" si="170"/>
        <v>0</v>
      </c>
      <c r="E10900" s="60" t="str">
        <f>HYPERLINK("https://www.sds-group.ru/product/girlyanda-svetodiodnyy-zanaves-iz-rosy-s-figurami-snezhinok-belyy-ip20-usb-pult-upravleniya--315-845/", "Инфо")</f>
        <v>Инфо</v>
      </c>
      <c r="F10900" s="34" t="s">
        <v>39</v>
      </c>
      <c r="G10900" s="33"/>
      <c r="H10900" s="33" t="s">
        <v>40</v>
      </c>
      <c r="I10900" s="33"/>
      <c r="J10900" s="35">
        <v>51</v>
      </c>
      <c r="K10900" s="33"/>
      <c r="L10900" s="35">
        <v>1</v>
      </c>
      <c r="M10900" s="35">
        <v>6</v>
      </c>
      <c r="N10900" s="35">
        <v>1</v>
      </c>
      <c r="O10900" s="36">
        <v>1636.13</v>
      </c>
      <c r="P10900" s="36">
        <v>1341.09</v>
      </c>
      <c r="Q10900" s="36">
        <v>1292.54</v>
      </c>
      <c r="R10900" s="36">
        <v>1059.46</v>
      </c>
      <c r="S10900" s="36">
        <v>1014.4</v>
      </c>
      <c r="T10900" s="36">
        <v>831.48</v>
      </c>
      <c r="U10900" s="34"/>
      <c r="V10900" s="34"/>
      <c r="W10900" s="34" t="s">
        <v>40</v>
      </c>
      <c r="X10900" s="37">
        <v>0.42299999999999999</v>
      </c>
      <c r="Y10900" s="38">
        <v>2.294E-3</v>
      </c>
      <c r="Z10900" s="21">
        <v>4601004305229</v>
      </c>
    </row>
    <row r="10901" spans="1:26" ht="12" customHeight="1" outlineLevel="4" x14ac:dyDescent="0.2">
      <c r="A10901" s="14" t="s">
        <v>20715</v>
      </c>
      <c r="B10901" s="26" t="s">
        <v>20716</v>
      </c>
      <c r="C10901" s="52"/>
      <c r="D10901" s="55">
        <f t="shared" si="170"/>
        <v>0</v>
      </c>
      <c r="E10901" s="63" t="str">
        <f>HYPERLINK("https://www.sds-group.ru/product/girlyanda-svetodiodnyy-zanaves-iz-rosy-feyerverk-3h2m-600-led-teplyy-belyy-ip20-230v-neon-ni-315-856/", "Инфо")</f>
        <v>Инфо</v>
      </c>
      <c r="F10901" s="16" t="s">
        <v>39</v>
      </c>
      <c r="G10901" s="15"/>
      <c r="H10901" s="15"/>
      <c r="I10901" s="15"/>
      <c r="J10901" s="17">
        <v>3</v>
      </c>
      <c r="K10901" s="15" t="s">
        <v>6174</v>
      </c>
      <c r="L10901" s="17">
        <v>1</v>
      </c>
      <c r="M10901" s="17">
        <v>48</v>
      </c>
      <c r="N10901" s="17">
        <v>1</v>
      </c>
      <c r="O10901" s="18">
        <v>3066.05</v>
      </c>
      <c r="P10901" s="18">
        <v>2513.16</v>
      </c>
      <c r="Q10901" s="18">
        <v>2360.86</v>
      </c>
      <c r="R10901" s="18">
        <v>1935.13</v>
      </c>
      <c r="S10901" s="18">
        <v>1900.95</v>
      </c>
      <c r="T10901" s="18">
        <v>1558.16</v>
      </c>
      <c r="U10901" s="16"/>
      <c r="V10901" s="16"/>
      <c r="W10901" s="16" t="s">
        <v>40</v>
      </c>
      <c r="X10901" s="19">
        <v>0.32200000000000001</v>
      </c>
      <c r="Y10901" s="20">
        <v>2.1819999999999999E-3</v>
      </c>
      <c r="Z10901" s="21">
        <v>4601004310186</v>
      </c>
    </row>
    <row r="10902" spans="1:26" ht="12" customHeight="1" outlineLevel="4" x14ac:dyDescent="0.2">
      <c r="A10902" s="14" t="s">
        <v>20717</v>
      </c>
      <c r="B10902" s="26" t="s">
        <v>20718</v>
      </c>
      <c r="C10902" s="52"/>
      <c r="D10902" s="55">
        <f t="shared" si="170"/>
        <v>0</v>
      </c>
      <c r="E10902" s="63" t="str">
        <f>HYPERLINK("https://www.sds-group.ru/product/girlyanda-svetodiodnyy-zanaves-iz-rosy-feyerverk-3h3m-900-led-teplyy-belyy-ip20-230v-neon-ni-315-866/", "Инфо")</f>
        <v>Инфо</v>
      </c>
      <c r="F10902" s="16" t="s">
        <v>39</v>
      </c>
      <c r="G10902" s="15"/>
      <c r="H10902" s="15"/>
      <c r="I10902" s="15"/>
      <c r="J10902" s="17">
        <v>392</v>
      </c>
      <c r="K10902" s="15" t="s">
        <v>6174</v>
      </c>
      <c r="L10902" s="17">
        <v>1</v>
      </c>
      <c r="M10902" s="17">
        <v>12</v>
      </c>
      <c r="N10902" s="17">
        <v>1</v>
      </c>
      <c r="O10902" s="18">
        <v>4415.45</v>
      </c>
      <c r="P10902" s="18">
        <v>3619.22</v>
      </c>
      <c r="Q10902" s="18">
        <v>3223.28</v>
      </c>
      <c r="R10902" s="18">
        <v>2642.03</v>
      </c>
      <c r="S10902" s="18">
        <v>2737.58</v>
      </c>
      <c r="T10902" s="18">
        <v>2243.92</v>
      </c>
      <c r="U10902" s="16"/>
      <c r="V10902" s="16"/>
      <c r="W10902" s="16" t="s">
        <v>40</v>
      </c>
      <c r="X10902" s="19">
        <v>0.38700000000000001</v>
      </c>
      <c r="Y10902" s="20">
        <v>2.7320000000000001E-3</v>
      </c>
      <c r="Z10902" s="21">
        <v>4601004310193</v>
      </c>
    </row>
    <row r="10903" spans="1:26" ht="12.95" customHeight="1" outlineLevel="2" x14ac:dyDescent="0.2">
      <c r="A10903" s="76" t="s">
        <v>20719</v>
      </c>
      <c r="B10903" s="76"/>
      <c r="C10903" s="77"/>
      <c r="D10903" s="58"/>
      <c r="E10903" s="68"/>
      <c r="F10903" s="13"/>
      <c r="G10903" s="13"/>
      <c r="H10903" s="13"/>
      <c r="I10903" s="13"/>
      <c r="J10903" s="13"/>
      <c r="K10903" s="13"/>
      <c r="L10903" s="13"/>
      <c r="M10903" s="13"/>
      <c r="N10903" s="13"/>
      <c r="O10903" s="13"/>
      <c r="P10903" s="13"/>
      <c r="Q10903" s="13"/>
      <c r="R10903" s="13"/>
      <c r="S10903" s="13"/>
      <c r="T10903" s="13"/>
      <c r="U10903" s="13"/>
      <c r="V10903" s="13"/>
      <c r="W10903" s="13"/>
      <c r="X10903" s="13"/>
      <c r="Y10903" s="13"/>
      <c r="Z10903" s="13"/>
    </row>
    <row r="10904" spans="1:26" ht="12" customHeight="1" outlineLevel="3" x14ac:dyDescent="0.2">
      <c r="A10904" s="32" t="s">
        <v>20720</v>
      </c>
      <c r="B10904" s="74" t="s">
        <v>20721</v>
      </c>
      <c r="C10904" s="50"/>
      <c r="D10904" s="53">
        <f t="shared" si="170"/>
        <v>0</v>
      </c>
      <c r="E10904" s="60" t="str">
        <f>HYPERLINK("https://www.sds-group.ru/product/girlyanda-bahroma-aysikl-1-8h0-5m-48-led-rgb-prozrachnyy-pvh-ip20-bystraya-smena-tsveta-230v-255-009/", "Инфо")</f>
        <v>Инфо</v>
      </c>
      <c r="F10904" s="34" t="s">
        <v>39</v>
      </c>
      <c r="G10904" s="33"/>
      <c r="H10904" s="33" t="s">
        <v>40</v>
      </c>
      <c r="I10904" s="33"/>
      <c r="J10904" s="35">
        <v>100</v>
      </c>
      <c r="K10904" s="33"/>
      <c r="L10904" s="35">
        <v>1</v>
      </c>
      <c r="M10904" s="35">
        <v>96</v>
      </c>
      <c r="N10904" s="35">
        <v>1</v>
      </c>
      <c r="O10904" s="36">
        <v>672.41</v>
      </c>
      <c r="P10904" s="36">
        <v>551.16</v>
      </c>
      <c r="Q10904" s="36">
        <v>537.92999999999995</v>
      </c>
      <c r="R10904" s="36">
        <v>440.93</v>
      </c>
      <c r="S10904" s="36">
        <v>457.24</v>
      </c>
      <c r="T10904" s="36">
        <v>374.79</v>
      </c>
      <c r="U10904" s="34"/>
      <c r="V10904" s="34"/>
      <c r="W10904" s="34" t="s">
        <v>40</v>
      </c>
      <c r="X10904" s="37">
        <v>0.128</v>
      </c>
      <c r="Y10904" s="38">
        <v>6.6600000000000003E-4</v>
      </c>
      <c r="Z10904" s="21">
        <v>4601004091887</v>
      </c>
    </row>
    <row r="10905" spans="1:26" ht="12" customHeight="1" outlineLevel="3" x14ac:dyDescent="0.2">
      <c r="A10905" s="14" t="s">
        <v>20722</v>
      </c>
      <c r="B10905" s="26" t="s">
        <v>20723</v>
      </c>
      <c r="C10905" s="52"/>
      <c r="D10905" s="55">
        <f t="shared" si="170"/>
        <v>0</v>
      </c>
      <c r="E10905" s="63" t="str">
        <f>HYPERLINK("https://www.sds-group.ru/product/girlyanda-bahroma-aysikl-1-8h0-5m-48-led-belye-prozrachnyy-pvh-ip20-svechenie-s-dinamikoy-23-255-015/", "Инфо")</f>
        <v>Инфо</v>
      </c>
      <c r="F10905" s="16" t="s">
        <v>39</v>
      </c>
      <c r="G10905" s="15"/>
      <c r="H10905" s="15"/>
      <c r="I10905" s="15"/>
      <c r="J10905" s="17">
        <v>373</v>
      </c>
      <c r="K10905" s="15"/>
      <c r="L10905" s="17">
        <v>5</v>
      </c>
      <c r="M10905" s="17">
        <v>60</v>
      </c>
      <c r="N10905" s="17">
        <v>5</v>
      </c>
      <c r="O10905" s="18">
        <v>537.92999999999995</v>
      </c>
      <c r="P10905" s="18">
        <v>440.93</v>
      </c>
      <c r="Q10905" s="18">
        <v>376.55</v>
      </c>
      <c r="R10905" s="18">
        <v>308.64999999999998</v>
      </c>
      <c r="S10905" s="18">
        <v>365.79</v>
      </c>
      <c r="T10905" s="18">
        <v>299.83</v>
      </c>
      <c r="U10905" s="16"/>
      <c r="V10905" s="16"/>
      <c r="W10905" s="16"/>
      <c r="X10905" s="19">
        <v>0.13500000000000001</v>
      </c>
      <c r="Y10905" s="20">
        <v>6.4599999999999998E-4</v>
      </c>
      <c r="Z10905" s="21">
        <v>4601004008595</v>
      </c>
    </row>
    <row r="10906" spans="1:26" ht="12" customHeight="1" outlineLevel="3" x14ac:dyDescent="0.2">
      <c r="A10906" s="14" t="s">
        <v>20724</v>
      </c>
      <c r="B10906" s="26" t="s">
        <v>20725</v>
      </c>
      <c r="C10906" s="52"/>
      <c r="D10906" s="55">
        <f t="shared" si="170"/>
        <v>0</v>
      </c>
      <c r="E10906" s="63" t="str">
        <f>HYPERLINK("https://www.sds-group.ru/product/girlyanda-bahroma-aysikl-1-8h0-5m-48-led-multikolor-prozrachnyy-pvh-ip20-svechenie-s-dinamik-255-019/", "Инфо")</f>
        <v>Инфо</v>
      </c>
      <c r="F10906" s="16" t="s">
        <v>39</v>
      </c>
      <c r="G10906" s="15"/>
      <c r="H10906" s="15"/>
      <c r="I10906" s="15"/>
      <c r="J10906" s="16" t="s">
        <v>100</v>
      </c>
      <c r="K10906" s="15"/>
      <c r="L10906" s="17">
        <v>1</v>
      </c>
      <c r="M10906" s="17">
        <v>96</v>
      </c>
      <c r="N10906" s="17">
        <v>1</v>
      </c>
      <c r="O10906" s="18">
        <v>537.92999999999995</v>
      </c>
      <c r="P10906" s="18">
        <v>440.93</v>
      </c>
      <c r="Q10906" s="18">
        <v>430.34</v>
      </c>
      <c r="R10906" s="18">
        <v>352.74</v>
      </c>
      <c r="S10906" s="18">
        <v>365.79</v>
      </c>
      <c r="T10906" s="18">
        <v>299.83</v>
      </c>
      <c r="U10906" s="16"/>
      <c r="V10906" s="16"/>
      <c r="W10906" s="16" t="s">
        <v>40</v>
      </c>
      <c r="X10906" s="19">
        <v>0.13500000000000001</v>
      </c>
      <c r="Y10906" s="20">
        <v>6.5899999999999997E-4</v>
      </c>
      <c r="Z10906" s="21">
        <v>4601004015135</v>
      </c>
    </row>
    <row r="10907" spans="1:26" ht="12" customHeight="1" outlineLevel="3" x14ac:dyDescent="0.2">
      <c r="A10907" s="14" t="s">
        <v>20726</v>
      </c>
      <c r="B10907" s="26" t="s">
        <v>20727</v>
      </c>
      <c r="C10907" s="52"/>
      <c r="D10907" s="55">
        <f t="shared" si="170"/>
        <v>0</v>
      </c>
      <c r="E10907" s="63" t="str">
        <f>HYPERLINK("https://www.sds-group.ru/product/girlyanda-bahroma-aysikl-1-8h0-5m-48-led-sinie-prozrachnyy-pvh-ip20-svechenie-s-dinamikoy-23-255-013/", "Инфо")</f>
        <v>Инфо</v>
      </c>
      <c r="F10907" s="16" t="s">
        <v>39</v>
      </c>
      <c r="G10907" s="15"/>
      <c r="H10907" s="15"/>
      <c r="I10907" s="15"/>
      <c r="J10907" s="17">
        <v>238</v>
      </c>
      <c r="K10907" s="15"/>
      <c r="L10907" s="17">
        <v>5</v>
      </c>
      <c r="M10907" s="17">
        <v>96</v>
      </c>
      <c r="N10907" s="17">
        <v>5</v>
      </c>
      <c r="O10907" s="18">
        <v>537.92999999999995</v>
      </c>
      <c r="P10907" s="18">
        <v>440.93</v>
      </c>
      <c r="Q10907" s="18">
        <v>430.34</v>
      </c>
      <c r="R10907" s="18">
        <v>352.74</v>
      </c>
      <c r="S10907" s="18">
        <v>365.79</v>
      </c>
      <c r="T10907" s="18">
        <v>299.83</v>
      </c>
      <c r="U10907" s="16"/>
      <c r="V10907" s="16"/>
      <c r="W10907" s="16" t="s">
        <v>40</v>
      </c>
      <c r="X10907" s="19">
        <v>0.13500000000000001</v>
      </c>
      <c r="Y10907" s="20">
        <v>6.5099999999999999E-4</v>
      </c>
      <c r="Z10907" s="21">
        <v>4601004008588</v>
      </c>
    </row>
    <row r="10908" spans="1:26" ht="12" customHeight="1" outlineLevel="3" x14ac:dyDescent="0.2">
      <c r="A10908" s="32" t="s">
        <v>20728</v>
      </c>
      <c r="B10908" s="74" t="s">
        <v>20729</v>
      </c>
      <c r="C10908" s="50"/>
      <c r="D10908" s="53">
        <f t="shared" si="170"/>
        <v>0</v>
      </c>
      <c r="E10908" s="60" t="str">
        <f>HYPERLINK("https://www.sds-group.ru/product/girlyanda-bahroma-aysikl-1-8h0-5m-48-led-teplyy-belyy-prozrachnyy-pvh-ip20-svechenie-s-dinam-255-016/", "Инфо")</f>
        <v>Инфо</v>
      </c>
      <c r="F10908" s="34" t="s">
        <v>39</v>
      </c>
      <c r="G10908" s="33"/>
      <c r="H10908" s="33" t="s">
        <v>40</v>
      </c>
      <c r="I10908" s="33"/>
      <c r="J10908" s="35">
        <v>94</v>
      </c>
      <c r="K10908" s="33"/>
      <c r="L10908" s="35">
        <v>1</v>
      </c>
      <c r="M10908" s="35">
        <v>96</v>
      </c>
      <c r="N10908" s="35">
        <v>1</v>
      </c>
      <c r="O10908" s="36">
        <v>537.92999999999995</v>
      </c>
      <c r="P10908" s="36">
        <v>440.93</v>
      </c>
      <c r="Q10908" s="36">
        <v>376.55</v>
      </c>
      <c r="R10908" s="36">
        <v>308.64999999999998</v>
      </c>
      <c r="S10908" s="36">
        <v>365.79</v>
      </c>
      <c r="T10908" s="36">
        <v>299.83</v>
      </c>
      <c r="U10908" s="34"/>
      <c r="V10908" s="34"/>
      <c r="W10908" s="34"/>
      <c r="X10908" s="37">
        <v>0.121</v>
      </c>
      <c r="Y10908" s="38">
        <v>6.7599999999999995E-4</v>
      </c>
      <c r="Z10908" s="21">
        <v>4601004008601</v>
      </c>
    </row>
    <row r="10909" spans="1:26" ht="12" customHeight="1" outlineLevel="3" x14ac:dyDescent="0.2">
      <c r="A10909" s="14" t="s">
        <v>20730</v>
      </c>
      <c r="B10909" s="26" t="s">
        <v>20731</v>
      </c>
      <c r="C10909" s="52"/>
      <c r="D10909" s="55">
        <f t="shared" si="170"/>
        <v>0</v>
      </c>
      <c r="E10909" s="63" t="str">
        <f>HYPERLINK("https://www.sds-group.ru/product/girlyanda-svetodiodnaya-bahroma-3-0-8-m-200-led-belye-prozrachnyy-pvh-255-065/", "Инфо")</f>
        <v>Инфо</v>
      </c>
      <c r="F10909" s="16" t="s">
        <v>39</v>
      </c>
      <c r="G10909" s="15"/>
      <c r="H10909" s="15"/>
      <c r="I10909" s="15"/>
      <c r="J10909" s="17">
        <v>51</v>
      </c>
      <c r="K10909" s="15" t="s">
        <v>8890</v>
      </c>
      <c r="L10909" s="17">
        <v>1</v>
      </c>
      <c r="M10909" s="17">
        <v>48</v>
      </c>
      <c r="N10909" s="17">
        <v>1</v>
      </c>
      <c r="O10909" s="18">
        <v>1226.9000000000001</v>
      </c>
      <c r="P10909" s="18">
        <v>1005.66</v>
      </c>
      <c r="Q10909" s="18">
        <v>858.83</v>
      </c>
      <c r="R10909" s="18">
        <v>703.96</v>
      </c>
      <c r="S10909" s="18">
        <v>834.29</v>
      </c>
      <c r="T10909" s="18">
        <v>683.84</v>
      </c>
      <c r="U10909" s="16"/>
      <c r="V10909" s="16"/>
      <c r="W10909" s="16"/>
      <c r="X10909" s="19">
        <v>0.26200000000000001</v>
      </c>
      <c r="Y10909" s="20">
        <v>1.2329999999999999E-3</v>
      </c>
      <c r="Z10909" s="21">
        <v>4601004130555</v>
      </c>
    </row>
    <row r="10910" spans="1:26" ht="12" customHeight="1" outlineLevel="3" x14ac:dyDescent="0.2">
      <c r="A10910" s="14" t="s">
        <v>20732</v>
      </c>
      <c r="B10910" s="26" t="s">
        <v>20733</v>
      </c>
      <c r="C10910" s="52"/>
      <c r="D10910" s="55">
        <f t="shared" si="170"/>
        <v>0</v>
      </c>
      <c r="E10910" s="63" t="str">
        <f>HYPERLINK("https://www.sds-group.ru/product/girlyanda-svetodiodnaya-bahroma-3h0-8-m-200-led-tsvet-teplyy-belyy-prozrachnyy-pvh-255-066/", "Инфо")</f>
        <v>Инфо</v>
      </c>
      <c r="F10910" s="16" t="s">
        <v>39</v>
      </c>
      <c r="G10910" s="15"/>
      <c r="H10910" s="15"/>
      <c r="I10910" s="15"/>
      <c r="J10910" s="16" t="s">
        <v>100</v>
      </c>
      <c r="K10910" s="15" t="s">
        <v>8890</v>
      </c>
      <c r="L10910" s="17">
        <v>1</v>
      </c>
      <c r="M10910" s="17">
        <v>48</v>
      </c>
      <c r="N10910" s="17">
        <v>1</v>
      </c>
      <c r="O10910" s="18">
        <v>1226.9000000000001</v>
      </c>
      <c r="P10910" s="18">
        <v>1005.66</v>
      </c>
      <c r="Q10910" s="18">
        <v>858.83</v>
      </c>
      <c r="R10910" s="18">
        <v>703.96</v>
      </c>
      <c r="S10910" s="18">
        <v>834.29</v>
      </c>
      <c r="T10910" s="18">
        <v>683.84</v>
      </c>
      <c r="U10910" s="16"/>
      <c r="V10910" s="16"/>
      <c r="W10910" s="16"/>
      <c r="X10910" s="19">
        <v>0.251</v>
      </c>
      <c r="Y10910" s="20">
        <v>7.0699999999999995E-4</v>
      </c>
      <c r="Z10910" s="21">
        <v>4601004227385</v>
      </c>
    </row>
    <row r="10911" spans="1:26" ht="12.95" customHeight="1" outlineLevel="2" x14ac:dyDescent="0.2">
      <c r="A10911" s="76" t="s">
        <v>20734</v>
      </c>
      <c r="B10911" s="76"/>
      <c r="C10911" s="77"/>
      <c r="D10911" s="58"/>
      <c r="E10911" s="68"/>
      <c r="F10911" s="13"/>
      <c r="G10911" s="13"/>
      <c r="H10911" s="13"/>
      <c r="I10911" s="13"/>
      <c r="J10911" s="13"/>
      <c r="K10911" s="13"/>
      <c r="L10911" s="13"/>
      <c r="M10911" s="13"/>
      <c r="N10911" s="13"/>
      <c r="O10911" s="13"/>
      <c r="P10911" s="13"/>
      <c r="Q10911" s="13"/>
      <c r="R10911" s="13"/>
      <c r="S10911" s="13"/>
      <c r="T10911" s="13"/>
      <c r="U10911" s="13"/>
      <c r="V10911" s="13"/>
      <c r="W10911" s="13"/>
      <c r="X10911" s="13"/>
      <c r="Y10911" s="13"/>
      <c r="Z10911" s="13"/>
    </row>
    <row r="10912" spans="1:26" ht="12" customHeight="1" outlineLevel="3" x14ac:dyDescent="0.2">
      <c r="A10912" s="32" t="s">
        <v>20735</v>
      </c>
      <c r="B10912" s="74" t="s">
        <v>20736</v>
      </c>
      <c r="C10912" s="50"/>
      <c r="D10912" s="53">
        <f t="shared" si="170"/>
        <v>0</v>
      </c>
      <c r="E10912" s="60" t="str">
        <f>HYPERLINK("https://www.sds-group.ru/product/girlyanda-set-1-5h1-5m-prozrachnyy-pvh-96-led-multikolor-215-109/", "Инфо")</f>
        <v>Инфо</v>
      </c>
      <c r="F10912" s="34" t="s">
        <v>39</v>
      </c>
      <c r="G10912" s="33"/>
      <c r="H10912" s="33" t="s">
        <v>40</v>
      </c>
      <c r="I10912" s="33"/>
      <c r="J10912" s="35">
        <v>24</v>
      </c>
      <c r="K10912" s="33"/>
      <c r="L10912" s="35">
        <v>1</v>
      </c>
      <c r="M10912" s="35">
        <v>48</v>
      </c>
      <c r="N10912" s="35">
        <v>1</v>
      </c>
      <c r="O10912" s="36">
        <v>1226.76</v>
      </c>
      <c r="P10912" s="36">
        <v>1005.54</v>
      </c>
      <c r="Q10912" s="36">
        <v>969.14</v>
      </c>
      <c r="R10912" s="36">
        <v>794.38</v>
      </c>
      <c r="S10912" s="36">
        <v>834.2</v>
      </c>
      <c r="T10912" s="36">
        <v>683.77</v>
      </c>
      <c r="U10912" s="34"/>
      <c r="V10912" s="34"/>
      <c r="W10912" s="34" t="s">
        <v>40</v>
      </c>
      <c r="X10912" s="37">
        <v>0.23</v>
      </c>
      <c r="Y10912" s="38">
        <v>1.106E-3</v>
      </c>
      <c r="Z10912" s="21">
        <v>4601004233256</v>
      </c>
    </row>
    <row r="10913" spans="1:26" ht="12" customHeight="1" outlineLevel="3" x14ac:dyDescent="0.2">
      <c r="A10913" s="32" t="s">
        <v>20737</v>
      </c>
      <c r="B10913" s="74" t="s">
        <v>20738</v>
      </c>
      <c r="C10913" s="50"/>
      <c r="D10913" s="53">
        <f t="shared" si="170"/>
        <v>0</v>
      </c>
      <c r="E10913" s="60" t="str">
        <f>HYPERLINK("https://www.sds-group.ru/product/girlyanda-set-1-5h1-5m-prozrachnyy-pvh-96-led-teplyy-belyy-215-106/", "Инфо")</f>
        <v>Инфо</v>
      </c>
      <c r="F10913" s="34" t="s">
        <v>39</v>
      </c>
      <c r="G10913" s="33"/>
      <c r="H10913" s="33" t="s">
        <v>40</v>
      </c>
      <c r="I10913" s="33"/>
      <c r="J10913" s="35">
        <v>9</v>
      </c>
      <c r="K10913" s="33"/>
      <c r="L10913" s="35">
        <v>1</v>
      </c>
      <c r="M10913" s="35">
        <v>48</v>
      </c>
      <c r="N10913" s="35">
        <v>1</v>
      </c>
      <c r="O10913" s="36">
        <v>1226.76</v>
      </c>
      <c r="P10913" s="36">
        <v>1005.54</v>
      </c>
      <c r="Q10913" s="36">
        <v>858.73</v>
      </c>
      <c r="R10913" s="36">
        <v>703.88</v>
      </c>
      <c r="S10913" s="36">
        <v>834.2</v>
      </c>
      <c r="T10913" s="36">
        <v>683.77</v>
      </c>
      <c r="U10913" s="34"/>
      <c r="V10913" s="34"/>
      <c r="W10913" s="34"/>
      <c r="X10913" s="37">
        <v>0.23100000000000001</v>
      </c>
      <c r="Y10913" s="38">
        <v>1.0939999999999999E-3</v>
      </c>
      <c r="Z10913" s="21">
        <v>4601004233249</v>
      </c>
    </row>
    <row r="10914" spans="1:26" ht="12" customHeight="1" outlineLevel="3" x14ac:dyDescent="0.2">
      <c r="A10914" s="14" t="s">
        <v>20739</v>
      </c>
      <c r="B10914" s="26" t="s">
        <v>20740</v>
      </c>
      <c r="C10914" s="52"/>
      <c r="D10914" s="55">
        <f t="shared" si="170"/>
        <v>0</v>
      </c>
      <c r="E10914" s="63" t="str">
        <f>HYPERLINK("https://www.sds-group.ru/product/girlyanda-set-1-5h1-5m-prozrachnyy-pvh-150-led-belye-215-125/", "Инфо")</f>
        <v>Инфо</v>
      </c>
      <c r="F10914" s="16" t="s">
        <v>39</v>
      </c>
      <c r="G10914" s="15"/>
      <c r="H10914" s="15"/>
      <c r="I10914" s="15"/>
      <c r="J10914" s="17">
        <v>256</v>
      </c>
      <c r="K10914" s="15"/>
      <c r="L10914" s="17">
        <v>1</v>
      </c>
      <c r="M10914" s="17">
        <v>48</v>
      </c>
      <c r="N10914" s="17">
        <v>1</v>
      </c>
      <c r="O10914" s="18">
        <v>1363.22</v>
      </c>
      <c r="P10914" s="18">
        <v>1117.3900000000001</v>
      </c>
      <c r="Q10914" s="18">
        <v>1076.94</v>
      </c>
      <c r="R10914" s="18">
        <v>882.74</v>
      </c>
      <c r="S10914" s="18">
        <v>926.99</v>
      </c>
      <c r="T10914" s="18">
        <v>759.83</v>
      </c>
      <c r="U10914" s="16"/>
      <c r="V10914" s="16"/>
      <c r="W10914" s="16" t="s">
        <v>40</v>
      </c>
      <c r="X10914" s="19">
        <v>0.315</v>
      </c>
      <c r="Y10914" s="20">
        <v>1.1919999999999999E-3</v>
      </c>
      <c r="Z10914" s="21">
        <v>4601004015494</v>
      </c>
    </row>
    <row r="10915" spans="1:26" ht="12" customHeight="1" outlineLevel="3" x14ac:dyDescent="0.2">
      <c r="A10915" s="14" t="s">
        <v>20741</v>
      </c>
      <c r="B10915" s="26" t="s">
        <v>20742</v>
      </c>
      <c r="C10915" s="52"/>
      <c r="D10915" s="55">
        <f t="shared" si="170"/>
        <v>0</v>
      </c>
      <c r="E10915" s="63" t="str">
        <f>HYPERLINK("https://www.sds-group.ru/product/girlyanda-set-1-5h1-5m-prozrachnyy-pvh-150-led-multikolor-215-129/", "Инфо")</f>
        <v>Инфо</v>
      </c>
      <c r="F10915" s="16" t="s">
        <v>39</v>
      </c>
      <c r="G10915" s="15"/>
      <c r="H10915" s="15"/>
      <c r="I10915" s="15"/>
      <c r="J10915" s="17">
        <v>143</v>
      </c>
      <c r="K10915" s="15"/>
      <c r="L10915" s="17">
        <v>1</v>
      </c>
      <c r="M10915" s="17">
        <v>48</v>
      </c>
      <c r="N10915" s="17">
        <v>1</v>
      </c>
      <c r="O10915" s="18">
        <v>1363.22</v>
      </c>
      <c r="P10915" s="18">
        <v>1117.3900000000001</v>
      </c>
      <c r="Q10915" s="18">
        <v>954.25</v>
      </c>
      <c r="R10915" s="18">
        <v>782.17</v>
      </c>
      <c r="S10915" s="18">
        <v>926.99</v>
      </c>
      <c r="T10915" s="18">
        <v>759.83</v>
      </c>
      <c r="U10915" s="16"/>
      <c r="V10915" s="16"/>
      <c r="W10915" s="16"/>
      <c r="X10915" s="19">
        <v>0.25</v>
      </c>
      <c r="Y10915" s="20">
        <v>1.163E-3</v>
      </c>
      <c r="Z10915" s="21">
        <v>4601004015500</v>
      </c>
    </row>
    <row r="10916" spans="1:26" ht="12" customHeight="1" outlineLevel="3" x14ac:dyDescent="0.2">
      <c r="A10916" s="14" t="s">
        <v>20743</v>
      </c>
      <c r="B10916" s="26" t="s">
        <v>20744</v>
      </c>
      <c r="C10916" s="52"/>
      <c r="D10916" s="55">
        <f t="shared" si="170"/>
        <v>0</v>
      </c>
      <c r="E10916" s="63" t="str">
        <f>HYPERLINK("https://www.sds-group.ru/product/girlyanda-set-1-5h1-5m-prozrachnyy-pvh-150-led-siniy-215-123/", "Инфо")</f>
        <v>Инфо</v>
      </c>
      <c r="F10916" s="16" t="s">
        <v>39</v>
      </c>
      <c r="G10916" s="15"/>
      <c r="H10916" s="15"/>
      <c r="I10916" s="15"/>
      <c r="J10916" s="17">
        <v>170</v>
      </c>
      <c r="K10916" s="15"/>
      <c r="L10916" s="17">
        <v>1</v>
      </c>
      <c r="M10916" s="17">
        <v>48</v>
      </c>
      <c r="N10916" s="17">
        <v>1</v>
      </c>
      <c r="O10916" s="18">
        <v>1363.22</v>
      </c>
      <c r="P10916" s="18">
        <v>1117.3900000000001</v>
      </c>
      <c r="Q10916" s="18">
        <v>1076.94</v>
      </c>
      <c r="R10916" s="18">
        <v>882.74</v>
      </c>
      <c r="S10916" s="18">
        <v>926.99</v>
      </c>
      <c r="T10916" s="18">
        <v>759.83</v>
      </c>
      <c r="U10916" s="16"/>
      <c r="V10916" s="16"/>
      <c r="W10916" s="16" t="s">
        <v>40</v>
      </c>
      <c r="X10916" s="19">
        <v>0.28100000000000003</v>
      </c>
      <c r="Y10916" s="20">
        <v>1.142E-3</v>
      </c>
      <c r="Z10916" s="21">
        <v>4601004090644</v>
      </c>
    </row>
    <row r="10917" spans="1:26" ht="12" customHeight="1" outlineLevel="3" x14ac:dyDescent="0.2">
      <c r="A10917" s="14" t="s">
        <v>20745</v>
      </c>
      <c r="B10917" s="26" t="s">
        <v>20746</v>
      </c>
      <c r="C10917" s="52"/>
      <c r="D10917" s="55">
        <f t="shared" si="170"/>
        <v>0</v>
      </c>
      <c r="E10917" s="63" t="str">
        <f>HYPERLINK("https://www.sds-group.ru/product/girlyanda-set-1-5h1-5m-prozrachnyy-pvh-150-led-teplyy-belyy-215-126/", "Инфо")</f>
        <v>Инфо</v>
      </c>
      <c r="F10917" s="16" t="s">
        <v>39</v>
      </c>
      <c r="G10917" s="15"/>
      <c r="H10917" s="15"/>
      <c r="I10917" s="15"/>
      <c r="J10917" s="17">
        <v>330</v>
      </c>
      <c r="K10917" s="15"/>
      <c r="L10917" s="17">
        <v>1</v>
      </c>
      <c r="M10917" s="17">
        <v>48</v>
      </c>
      <c r="N10917" s="17">
        <v>1</v>
      </c>
      <c r="O10917" s="18">
        <v>1363.22</v>
      </c>
      <c r="P10917" s="18">
        <v>1117.3900000000001</v>
      </c>
      <c r="Q10917" s="18">
        <v>954.25</v>
      </c>
      <c r="R10917" s="18">
        <v>782.17</v>
      </c>
      <c r="S10917" s="18">
        <v>926.99</v>
      </c>
      <c r="T10917" s="18">
        <v>759.83</v>
      </c>
      <c r="U10917" s="16"/>
      <c r="V10917" s="16"/>
      <c r="W10917" s="16"/>
      <c r="X10917" s="19">
        <v>0.29599999999999999</v>
      </c>
      <c r="Y10917" s="20">
        <v>1.3470000000000001E-3</v>
      </c>
      <c r="Z10917" s="21">
        <v>4601004090569</v>
      </c>
    </row>
    <row r="10918" spans="1:26" ht="12" customHeight="1" outlineLevel="3" x14ac:dyDescent="0.2">
      <c r="A10918" s="14" t="s">
        <v>20747</v>
      </c>
      <c r="B10918" s="26" t="s">
        <v>20748</v>
      </c>
      <c r="C10918" s="52"/>
      <c r="D10918" s="55">
        <f t="shared" si="170"/>
        <v>0</v>
      </c>
      <c r="E10918" s="63" t="str">
        <f>HYPERLINK("https://www.sds-group.ru/product/girlyanda-set-1-8h1-5m-prozrachnyy-pvh-180-led-belyy-215-135/", "Инфо")</f>
        <v>Инфо</v>
      </c>
      <c r="F10918" s="16" t="s">
        <v>39</v>
      </c>
      <c r="G10918" s="15"/>
      <c r="H10918" s="15"/>
      <c r="I10918" s="15"/>
      <c r="J10918" s="17">
        <v>434</v>
      </c>
      <c r="K10918" s="15"/>
      <c r="L10918" s="17">
        <v>1</v>
      </c>
      <c r="M10918" s="17">
        <v>48</v>
      </c>
      <c r="N10918" s="17">
        <v>1</v>
      </c>
      <c r="O10918" s="18">
        <v>1623.86</v>
      </c>
      <c r="P10918" s="18">
        <v>1331.03</v>
      </c>
      <c r="Q10918" s="18">
        <v>1282.8499999999999</v>
      </c>
      <c r="R10918" s="18">
        <v>1051.52</v>
      </c>
      <c r="S10918" s="18">
        <v>1104.22</v>
      </c>
      <c r="T10918" s="18">
        <v>905.1</v>
      </c>
      <c r="U10918" s="16"/>
      <c r="V10918" s="16"/>
      <c r="W10918" s="16" t="s">
        <v>40</v>
      </c>
      <c r="X10918" s="19">
        <v>0.32900000000000001</v>
      </c>
      <c r="Y10918" s="20">
        <v>1.776E-3</v>
      </c>
      <c r="Z10918" s="21">
        <v>4601004015470</v>
      </c>
    </row>
    <row r="10919" spans="1:26" ht="12" customHeight="1" outlineLevel="3" x14ac:dyDescent="0.2">
      <c r="A10919" s="14" t="s">
        <v>20749</v>
      </c>
      <c r="B10919" s="26" t="s">
        <v>20750</v>
      </c>
      <c r="C10919" s="52"/>
      <c r="D10919" s="55">
        <f t="shared" si="170"/>
        <v>0</v>
      </c>
      <c r="E10919" s="63" t="str">
        <f>HYPERLINK("https://www.sds-group.ru/product/girlyanda-set-1-8h1-5m-prozrachnyy-pvh-180-led-multikolor-215-139/", "Инфо")</f>
        <v>Инфо</v>
      </c>
      <c r="F10919" s="16" t="s">
        <v>39</v>
      </c>
      <c r="G10919" s="15"/>
      <c r="H10919" s="15"/>
      <c r="I10919" s="15"/>
      <c r="J10919" s="17">
        <v>246</v>
      </c>
      <c r="K10919" s="15"/>
      <c r="L10919" s="17">
        <v>1</v>
      </c>
      <c r="M10919" s="17">
        <v>48</v>
      </c>
      <c r="N10919" s="17">
        <v>1</v>
      </c>
      <c r="O10919" s="18">
        <v>1623.86</v>
      </c>
      <c r="P10919" s="18">
        <v>1331.03</v>
      </c>
      <c r="Q10919" s="18">
        <v>1282.8499999999999</v>
      </c>
      <c r="R10919" s="18">
        <v>1051.52</v>
      </c>
      <c r="S10919" s="18">
        <v>1104.22</v>
      </c>
      <c r="T10919" s="18">
        <v>905.1</v>
      </c>
      <c r="U10919" s="16"/>
      <c r="V10919" s="16"/>
      <c r="W10919" s="16" t="s">
        <v>40</v>
      </c>
      <c r="X10919" s="19">
        <v>0.309</v>
      </c>
      <c r="Y10919" s="20">
        <v>1.547E-3</v>
      </c>
      <c r="Z10919" s="21">
        <v>4601004015487</v>
      </c>
    </row>
    <row r="10920" spans="1:26" ht="12" customHeight="1" outlineLevel="3" x14ac:dyDescent="0.2">
      <c r="A10920" s="14" t="s">
        <v>20751</v>
      </c>
      <c r="B10920" s="26" t="s">
        <v>20752</v>
      </c>
      <c r="C10920" s="52"/>
      <c r="D10920" s="55">
        <f t="shared" si="170"/>
        <v>0</v>
      </c>
      <c r="E10920" s="63" t="str">
        <f>HYPERLINK("https://www.sds-group.ru/product/girlyanda-set-1-8h1-5m-prozrachnyy-pvh-180-led-siniy-215-133/", "Инфо")</f>
        <v>Инфо</v>
      </c>
      <c r="F10920" s="16" t="s">
        <v>39</v>
      </c>
      <c r="G10920" s="15"/>
      <c r="H10920" s="15"/>
      <c r="I10920" s="15"/>
      <c r="J10920" s="17">
        <v>282</v>
      </c>
      <c r="K10920" s="15"/>
      <c r="L10920" s="17">
        <v>1</v>
      </c>
      <c r="M10920" s="17">
        <v>48</v>
      </c>
      <c r="N10920" s="17">
        <v>1</v>
      </c>
      <c r="O10920" s="18">
        <v>1623.86</v>
      </c>
      <c r="P10920" s="18">
        <v>1331.03</v>
      </c>
      <c r="Q10920" s="18">
        <v>1282.8499999999999</v>
      </c>
      <c r="R10920" s="18">
        <v>1051.52</v>
      </c>
      <c r="S10920" s="18">
        <v>1104.22</v>
      </c>
      <c r="T10920" s="18">
        <v>905.1</v>
      </c>
      <c r="U10920" s="16"/>
      <c r="V10920" s="16"/>
      <c r="W10920" s="16" t="s">
        <v>40</v>
      </c>
      <c r="X10920" s="19">
        <v>0.312</v>
      </c>
      <c r="Y10920" s="20">
        <v>1.4710000000000001E-3</v>
      </c>
      <c r="Z10920" s="21">
        <v>4601004090576</v>
      </c>
    </row>
    <row r="10921" spans="1:26" ht="12" customHeight="1" outlineLevel="3" x14ac:dyDescent="0.2">
      <c r="A10921" s="14" t="s">
        <v>20753</v>
      </c>
      <c r="B10921" s="26" t="s">
        <v>20754</v>
      </c>
      <c r="C10921" s="52"/>
      <c r="D10921" s="55">
        <f t="shared" si="170"/>
        <v>0</v>
      </c>
      <c r="E10921" s="63" t="str">
        <f>HYPERLINK("https://www.sds-group.ru/product/girlyanda-set-1-8h1-5m-prozrachnyy-pvh-180-led-teplyy-belyy-215-136/", "Инфо")</f>
        <v>Инфо</v>
      </c>
      <c r="F10921" s="16" t="s">
        <v>39</v>
      </c>
      <c r="G10921" s="15"/>
      <c r="H10921" s="15"/>
      <c r="I10921" s="15"/>
      <c r="J10921" s="17">
        <v>74</v>
      </c>
      <c r="K10921" s="15"/>
      <c r="L10921" s="17">
        <v>1</v>
      </c>
      <c r="M10921" s="17">
        <v>48</v>
      </c>
      <c r="N10921" s="17">
        <v>1</v>
      </c>
      <c r="O10921" s="18">
        <v>1623.86</v>
      </c>
      <c r="P10921" s="18">
        <v>1331.03</v>
      </c>
      <c r="Q10921" s="18">
        <v>1282.8499999999999</v>
      </c>
      <c r="R10921" s="18">
        <v>1051.52</v>
      </c>
      <c r="S10921" s="18">
        <v>1104.22</v>
      </c>
      <c r="T10921" s="18">
        <v>905.1</v>
      </c>
      <c r="U10921" s="16"/>
      <c r="V10921" s="16"/>
      <c r="W10921" s="16" t="s">
        <v>40</v>
      </c>
      <c r="X10921" s="19">
        <v>0.29199999999999998</v>
      </c>
      <c r="Y10921" s="20">
        <v>1.534E-3</v>
      </c>
      <c r="Z10921" s="21">
        <v>4601004090521</v>
      </c>
    </row>
    <row r="10922" spans="1:26" ht="12" customHeight="1" outlineLevel="3" x14ac:dyDescent="0.2">
      <c r="A10922" s="14" t="s">
        <v>20755</v>
      </c>
      <c r="B10922" s="26" t="s">
        <v>20756</v>
      </c>
      <c r="C10922" s="52"/>
      <c r="D10922" s="55">
        <f t="shared" si="170"/>
        <v>0</v>
      </c>
      <c r="E10922" s="63" t="str">
        <f>HYPERLINK("https://www.sds-group.ru/product/girlyanda-set-1h1-5m-prozrachnyy-pvh-96-led-multikolor-215-119-6/", "Инфо")</f>
        <v>Инфо</v>
      </c>
      <c r="F10922" s="16" t="s">
        <v>39</v>
      </c>
      <c r="G10922" s="15"/>
      <c r="H10922" s="15"/>
      <c r="I10922" s="15"/>
      <c r="J10922" s="17">
        <v>453</v>
      </c>
      <c r="K10922" s="15"/>
      <c r="L10922" s="17">
        <v>1</v>
      </c>
      <c r="M10922" s="17">
        <v>48</v>
      </c>
      <c r="N10922" s="17">
        <v>1</v>
      </c>
      <c r="O10922" s="18">
        <v>1076.94</v>
      </c>
      <c r="P10922" s="18">
        <v>882.74</v>
      </c>
      <c r="Q10922" s="18">
        <v>753.86</v>
      </c>
      <c r="R10922" s="18">
        <v>617.91999999999996</v>
      </c>
      <c r="S10922" s="18">
        <v>732.32</v>
      </c>
      <c r="T10922" s="18">
        <v>600.26</v>
      </c>
      <c r="U10922" s="16"/>
      <c r="V10922" s="16"/>
      <c r="W10922" s="16"/>
      <c r="X10922" s="19">
        <v>0.20699999999999999</v>
      </c>
      <c r="Y10922" s="20">
        <v>1.3179999999999999E-3</v>
      </c>
      <c r="Z10922" s="21">
        <v>4601004009899</v>
      </c>
    </row>
    <row r="10923" spans="1:26" ht="12.95" customHeight="1" outlineLevel="2" x14ac:dyDescent="0.2">
      <c r="A10923" s="76" t="s">
        <v>20757</v>
      </c>
      <c r="B10923" s="76"/>
      <c r="C10923" s="77"/>
      <c r="D10923" s="58"/>
      <c r="E10923" s="68"/>
      <c r="F10923" s="13"/>
      <c r="G10923" s="13"/>
      <c r="H10923" s="13"/>
      <c r="I10923" s="13"/>
      <c r="J10923" s="13"/>
      <c r="K10923" s="13"/>
      <c r="L10923" s="13"/>
      <c r="M10923" s="13"/>
      <c r="N10923" s="13"/>
      <c r="O10923" s="13"/>
      <c r="P10923" s="13"/>
      <c r="Q10923" s="13"/>
      <c r="R10923" s="13"/>
      <c r="S10923" s="13"/>
      <c r="T10923" s="13"/>
      <c r="U10923" s="13"/>
      <c r="V10923" s="13"/>
      <c r="W10923" s="13"/>
      <c r="X10923" s="13"/>
      <c r="Y10923" s="13"/>
      <c r="Z10923" s="13"/>
    </row>
    <row r="10924" spans="1:26" ht="12.95" customHeight="1" outlineLevel="3" x14ac:dyDescent="0.2">
      <c r="A10924" s="76" t="s">
        <v>20758</v>
      </c>
      <c r="B10924" s="76"/>
      <c r="C10924" s="77"/>
      <c r="D10924" s="58"/>
      <c r="E10924" s="68"/>
      <c r="F10924" s="13"/>
      <c r="G10924" s="13"/>
      <c r="H10924" s="13"/>
      <c r="I10924" s="13"/>
      <c r="J10924" s="13"/>
      <c r="K10924" s="13"/>
      <c r="L10924" s="13"/>
      <c r="M10924" s="13"/>
      <c r="N10924" s="13"/>
      <c r="O10924" s="13"/>
      <c r="P10924" s="13"/>
      <c r="Q10924" s="13"/>
      <c r="R10924" s="13"/>
      <c r="S10924" s="13"/>
      <c r="T10924" s="13"/>
      <c r="U10924" s="13"/>
      <c r="V10924" s="13"/>
      <c r="W10924" s="13"/>
      <c r="X10924" s="13"/>
      <c r="Y10924" s="13"/>
      <c r="Z10924" s="13"/>
    </row>
    <row r="10925" spans="1:26" ht="12" customHeight="1" outlineLevel="4" x14ac:dyDescent="0.2">
      <c r="A10925" s="14" t="s">
        <v>20759</v>
      </c>
      <c r="B10925" s="26" t="s">
        <v>20760</v>
      </c>
      <c r="C10925" s="52"/>
      <c r="D10925" s="55">
        <f t="shared" si="170"/>
        <v>0</v>
      </c>
      <c r="E10925" s="63" t="str">
        <f>HYPERLINK("https://www.sds-group.ru/product/girlyanda-tvinkl-layt-4-m-prozrachnyy-pvh-25-led-tsvet-multikolor-303-169/", "Инфо")</f>
        <v>Инфо</v>
      </c>
      <c r="F10925" s="16" t="s">
        <v>39</v>
      </c>
      <c r="G10925" s="15"/>
      <c r="H10925" s="15"/>
      <c r="I10925" s="15"/>
      <c r="J10925" s="17">
        <v>112</v>
      </c>
      <c r="K10925" s="15"/>
      <c r="L10925" s="17">
        <v>5</v>
      </c>
      <c r="M10925" s="17">
        <v>100</v>
      </c>
      <c r="N10925" s="17">
        <v>5</v>
      </c>
      <c r="O10925" s="18">
        <v>342.38</v>
      </c>
      <c r="P10925" s="18">
        <v>280.64</v>
      </c>
      <c r="Q10925" s="18">
        <v>256.79000000000002</v>
      </c>
      <c r="R10925" s="18">
        <v>210.48</v>
      </c>
      <c r="S10925" s="18">
        <v>232.82</v>
      </c>
      <c r="T10925" s="18">
        <v>190.84</v>
      </c>
      <c r="U10925" s="16"/>
      <c r="V10925" s="16"/>
      <c r="W10925" s="16" t="s">
        <v>40</v>
      </c>
      <c r="X10925" s="19">
        <v>0.11600000000000001</v>
      </c>
      <c r="Y10925" s="20">
        <v>6.4000000000000005E-4</v>
      </c>
      <c r="Z10925" s="21">
        <v>4601004131590</v>
      </c>
    </row>
    <row r="10926" spans="1:26" ht="12" customHeight="1" outlineLevel="4" x14ac:dyDescent="0.2">
      <c r="A10926" s="32" t="s">
        <v>20761</v>
      </c>
      <c r="B10926" s="74" t="s">
        <v>20762</v>
      </c>
      <c r="C10926" s="50"/>
      <c r="D10926" s="53">
        <f t="shared" si="170"/>
        <v>0</v>
      </c>
      <c r="E10926" s="60" t="str">
        <f>HYPERLINK("https://www.sds-group.ru/product/girlyanda-tvinkl-layt-4-m-prozrachnyy-pvh-25-led-tsvet-teplyy-belyy-303-166/", "Инфо")</f>
        <v>Инфо</v>
      </c>
      <c r="F10926" s="34" t="s">
        <v>39</v>
      </c>
      <c r="G10926" s="33"/>
      <c r="H10926" s="33" t="s">
        <v>40</v>
      </c>
      <c r="I10926" s="33"/>
      <c r="J10926" s="34" t="s">
        <v>100</v>
      </c>
      <c r="K10926" s="33"/>
      <c r="L10926" s="35">
        <v>1</v>
      </c>
      <c r="M10926" s="35">
        <v>100</v>
      </c>
      <c r="N10926" s="35">
        <v>1</v>
      </c>
      <c r="O10926" s="36">
        <v>342.38</v>
      </c>
      <c r="P10926" s="36">
        <v>280.64</v>
      </c>
      <c r="Q10926" s="36">
        <v>256.79000000000002</v>
      </c>
      <c r="R10926" s="36">
        <v>210.48</v>
      </c>
      <c r="S10926" s="36">
        <v>232.82</v>
      </c>
      <c r="T10926" s="36">
        <v>190.84</v>
      </c>
      <c r="U10926" s="34"/>
      <c r="V10926" s="34"/>
      <c r="W10926" s="34" t="s">
        <v>40</v>
      </c>
      <c r="X10926" s="37">
        <v>0.11600000000000001</v>
      </c>
      <c r="Y10926" s="38">
        <v>6.2500000000000001E-4</v>
      </c>
      <c r="Z10926" s="21">
        <v>4601004131583</v>
      </c>
    </row>
    <row r="10927" spans="1:26" ht="12" customHeight="1" outlineLevel="4" x14ac:dyDescent="0.2">
      <c r="A10927" s="14" t="s">
        <v>20763</v>
      </c>
      <c r="B10927" s="26" t="s">
        <v>20764</v>
      </c>
      <c r="C10927" s="52"/>
      <c r="D10927" s="55">
        <f t="shared" si="170"/>
        <v>0</v>
      </c>
      <c r="E10927" s="63" t="str">
        <f>HYPERLINK("https://www.sds-group.ru/product/girlyanda-tvinkl-layt-4-m-25-led-prozrachnyy-pvh-tsvet-svecheniya-belyy-neon-night-303-165/", "Инфо")</f>
        <v>Инфо</v>
      </c>
      <c r="F10927" s="16" t="s">
        <v>39</v>
      </c>
      <c r="G10927" s="15"/>
      <c r="H10927" s="15"/>
      <c r="I10927" s="15"/>
      <c r="J10927" s="17">
        <v>180</v>
      </c>
      <c r="K10927" s="15"/>
      <c r="L10927" s="17">
        <v>1</v>
      </c>
      <c r="M10927" s="17">
        <v>100</v>
      </c>
      <c r="N10927" s="17">
        <v>1</v>
      </c>
      <c r="O10927" s="18">
        <v>342.38</v>
      </c>
      <c r="P10927" s="18">
        <v>280.64</v>
      </c>
      <c r="Q10927" s="18">
        <v>256.79000000000002</v>
      </c>
      <c r="R10927" s="18">
        <v>210.48</v>
      </c>
      <c r="S10927" s="18">
        <v>232.82</v>
      </c>
      <c r="T10927" s="18">
        <v>190.84</v>
      </c>
      <c r="U10927" s="16"/>
      <c r="V10927" s="16"/>
      <c r="W10927" s="16" t="s">
        <v>40</v>
      </c>
      <c r="X10927" s="19">
        <v>0.113</v>
      </c>
      <c r="Y10927" s="20">
        <v>6.4099999999999997E-4</v>
      </c>
      <c r="Z10927" s="21">
        <v>4601004183353</v>
      </c>
    </row>
    <row r="10928" spans="1:26" ht="12" customHeight="1" outlineLevel="4" x14ac:dyDescent="0.2">
      <c r="A10928" s="14" t="s">
        <v>20765</v>
      </c>
      <c r="B10928" s="26" t="s">
        <v>20766</v>
      </c>
      <c r="C10928" s="52"/>
      <c r="D10928" s="55">
        <f t="shared" si="170"/>
        <v>0</v>
      </c>
      <c r="E10928" s="63" t="str">
        <f>HYPERLINK("https://www.sds-group.ru/product/girlyanda-tvinkl-layt-4-m-temno-zelenyy-pvh-25-led-tsvet-belyy-303-015/", "Инфо")</f>
        <v>Инфо</v>
      </c>
      <c r="F10928" s="16" t="s">
        <v>39</v>
      </c>
      <c r="G10928" s="15"/>
      <c r="H10928" s="15"/>
      <c r="I10928" s="15"/>
      <c r="J10928" s="17">
        <v>71</v>
      </c>
      <c r="K10928" s="15" t="s">
        <v>4926</v>
      </c>
      <c r="L10928" s="17">
        <v>1</v>
      </c>
      <c r="M10928" s="17">
        <v>100</v>
      </c>
      <c r="N10928" s="17">
        <v>1</v>
      </c>
      <c r="O10928" s="18">
        <v>342.38</v>
      </c>
      <c r="P10928" s="18">
        <v>280.64</v>
      </c>
      <c r="Q10928" s="18">
        <v>239.67</v>
      </c>
      <c r="R10928" s="18">
        <v>196.45</v>
      </c>
      <c r="S10928" s="18">
        <v>232.82</v>
      </c>
      <c r="T10928" s="18">
        <v>190.84</v>
      </c>
      <c r="U10928" s="16"/>
      <c r="V10928" s="16"/>
      <c r="W10928" s="16"/>
      <c r="X10928" s="19">
        <v>0.128</v>
      </c>
      <c r="Y10928" s="20">
        <v>6.3599999999999996E-4</v>
      </c>
      <c r="Z10928" s="21">
        <v>4601004015517</v>
      </c>
    </row>
    <row r="10929" spans="1:26" ht="12" customHeight="1" outlineLevel="4" x14ac:dyDescent="0.2">
      <c r="A10929" s="14" t="s">
        <v>20767</v>
      </c>
      <c r="B10929" s="26" t="s">
        <v>20768</v>
      </c>
      <c r="C10929" s="52"/>
      <c r="D10929" s="55">
        <f t="shared" si="170"/>
        <v>0</v>
      </c>
      <c r="E10929" s="63" t="str">
        <f>HYPERLINK("https://www.sds-group.ru/product/girlyanda-tvinkl-layt-4-m-temno-zelenyy-pvh-25-led-tsvet-multikolor-303-019/", "Инфо")</f>
        <v>Инфо</v>
      </c>
      <c r="F10929" s="16" t="s">
        <v>39</v>
      </c>
      <c r="G10929" s="15"/>
      <c r="H10929" s="15"/>
      <c r="I10929" s="15"/>
      <c r="J10929" s="17">
        <v>2</v>
      </c>
      <c r="K10929" s="15"/>
      <c r="L10929" s="17">
        <v>1</v>
      </c>
      <c r="M10929" s="17">
        <v>100</v>
      </c>
      <c r="N10929" s="17">
        <v>1</v>
      </c>
      <c r="O10929" s="18">
        <v>342.38</v>
      </c>
      <c r="P10929" s="18">
        <v>280.64</v>
      </c>
      <c r="Q10929" s="18">
        <v>256.79000000000002</v>
      </c>
      <c r="R10929" s="18">
        <v>210.48</v>
      </c>
      <c r="S10929" s="18">
        <v>232.82</v>
      </c>
      <c r="T10929" s="18">
        <v>190.84</v>
      </c>
      <c r="U10929" s="16"/>
      <c r="V10929" s="16"/>
      <c r="W10929" s="16" t="s">
        <v>40</v>
      </c>
      <c r="X10929" s="19">
        <v>0.128</v>
      </c>
      <c r="Y10929" s="20">
        <v>6.3699999999999998E-4</v>
      </c>
      <c r="Z10929" s="21">
        <v>4601004015531</v>
      </c>
    </row>
    <row r="10930" spans="1:26" ht="12" customHeight="1" outlineLevel="4" x14ac:dyDescent="0.2">
      <c r="A10930" s="14" t="s">
        <v>20769</v>
      </c>
      <c r="B10930" s="26" t="s">
        <v>20770</v>
      </c>
      <c r="C10930" s="52"/>
      <c r="D10930" s="55">
        <f t="shared" si="170"/>
        <v>0</v>
      </c>
      <c r="E10930" s="63" t="str">
        <f>HYPERLINK("https://www.sds-group.ru/product/girlyanda-tvinkl-layt-4-m-temno-zelenyy-pvh-25-led-tsvet-siniy-303-013/", "Инфо")</f>
        <v>Инфо</v>
      </c>
      <c r="F10930" s="16" t="s">
        <v>39</v>
      </c>
      <c r="G10930" s="15"/>
      <c r="H10930" s="15"/>
      <c r="I10930" s="15"/>
      <c r="J10930" s="17">
        <v>301</v>
      </c>
      <c r="K10930" s="15"/>
      <c r="L10930" s="17">
        <v>5</v>
      </c>
      <c r="M10930" s="17">
        <v>100</v>
      </c>
      <c r="N10930" s="17">
        <v>5</v>
      </c>
      <c r="O10930" s="18">
        <v>342.38</v>
      </c>
      <c r="P10930" s="18">
        <v>280.64</v>
      </c>
      <c r="Q10930" s="18">
        <v>256.79000000000002</v>
      </c>
      <c r="R10930" s="18">
        <v>210.48</v>
      </c>
      <c r="S10930" s="18">
        <v>232.82</v>
      </c>
      <c r="T10930" s="18">
        <v>190.84</v>
      </c>
      <c r="U10930" s="16"/>
      <c r="V10930" s="16"/>
      <c r="W10930" s="16" t="s">
        <v>40</v>
      </c>
      <c r="X10930" s="19">
        <v>0.129</v>
      </c>
      <c r="Y10930" s="20">
        <v>6.2600000000000004E-4</v>
      </c>
      <c r="Z10930" s="21">
        <v>4601004090606</v>
      </c>
    </row>
    <row r="10931" spans="1:26" ht="12" customHeight="1" outlineLevel="4" x14ac:dyDescent="0.2">
      <c r="A10931" s="14" t="s">
        <v>20771</v>
      </c>
      <c r="B10931" s="26" t="s">
        <v>20772</v>
      </c>
      <c r="C10931" s="52"/>
      <c r="D10931" s="55">
        <f t="shared" si="170"/>
        <v>0</v>
      </c>
      <c r="E10931" s="63" t="str">
        <f>HYPERLINK("https://www.sds-group.ru/product/girlyanda-tvinkl-layt-4-m-temno-zelenyy-pvh-25-led-tsvet-teplyy-belyy-303-016/", "Инфо")</f>
        <v>Инфо</v>
      </c>
      <c r="F10931" s="16" t="s">
        <v>39</v>
      </c>
      <c r="G10931" s="15"/>
      <c r="H10931" s="15"/>
      <c r="I10931" s="15"/>
      <c r="J10931" s="17">
        <v>211</v>
      </c>
      <c r="K10931" s="15"/>
      <c r="L10931" s="17">
        <v>5</v>
      </c>
      <c r="M10931" s="17">
        <v>100</v>
      </c>
      <c r="N10931" s="17">
        <v>5</v>
      </c>
      <c r="O10931" s="18">
        <v>402.91</v>
      </c>
      <c r="P10931" s="18">
        <v>330.25</v>
      </c>
      <c r="Q10931" s="18">
        <v>282.04000000000002</v>
      </c>
      <c r="R10931" s="18">
        <v>231.18</v>
      </c>
      <c r="S10931" s="18">
        <v>273.98</v>
      </c>
      <c r="T10931" s="18">
        <v>224.57</v>
      </c>
      <c r="U10931" s="16"/>
      <c r="V10931" s="16"/>
      <c r="W10931" s="16"/>
      <c r="X10931" s="19">
        <v>0.129</v>
      </c>
      <c r="Y10931" s="20">
        <v>6.6500000000000001E-4</v>
      </c>
      <c r="Z10931" s="21">
        <v>4601004015524</v>
      </c>
    </row>
    <row r="10932" spans="1:26" ht="12.95" customHeight="1" outlineLevel="3" x14ac:dyDescent="0.2">
      <c r="A10932" s="76" t="s">
        <v>20773</v>
      </c>
      <c r="B10932" s="76"/>
      <c r="C10932" s="77"/>
      <c r="D10932" s="58"/>
      <c r="E10932" s="68"/>
      <c r="F10932" s="13"/>
      <c r="G10932" s="13"/>
      <c r="H10932" s="13"/>
      <c r="I10932" s="13"/>
      <c r="J10932" s="13"/>
      <c r="K10932" s="13"/>
      <c r="L10932" s="13"/>
      <c r="M10932" s="13"/>
      <c r="N10932" s="13"/>
      <c r="O10932" s="13"/>
      <c r="P10932" s="13"/>
      <c r="Q10932" s="13"/>
      <c r="R10932" s="13"/>
      <c r="S10932" s="13"/>
      <c r="T10932" s="13"/>
      <c r="U10932" s="13"/>
      <c r="V10932" s="13"/>
      <c r="W10932" s="13"/>
      <c r="X10932" s="13"/>
      <c r="Y10932" s="13"/>
      <c r="Z10932" s="13"/>
    </row>
    <row r="10933" spans="1:26" ht="12" customHeight="1" outlineLevel="4" x14ac:dyDescent="0.2">
      <c r="A10933" s="14" t="s">
        <v>20774</v>
      </c>
      <c r="B10933" s="26" t="s">
        <v>20775</v>
      </c>
      <c r="C10933" s="52"/>
      <c r="D10933" s="55">
        <f t="shared" si="170"/>
        <v>0</v>
      </c>
      <c r="E10933" s="63" t="str">
        <f>HYPERLINK("https://www.sds-group.ru/product/girlyanda-tvinkl-layt-6-m-prozrachnyy-pvh-40-led-tsvet-belyy-303-175/", "Инфо")</f>
        <v>Инфо</v>
      </c>
      <c r="F10933" s="16" t="s">
        <v>39</v>
      </c>
      <c r="G10933" s="15"/>
      <c r="H10933" s="15"/>
      <c r="I10933" s="15"/>
      <c r="J10933" s="17">
        <v>391</v>
      </c>
      <c r="K10933" s="15"/>
      <c r="L10933" s="17">
        <v>5</v>
      </c>
      <c r="M10933" s="17">
        <v>100</v>
      </c>
      <c r="N10933" s="17">
        <v>5</v>
      </c>
      <c r="O10933" s="18">
        <v>399.75</v>
      </c>
      <c r="P10933" s="18">
        <v>327.66000000000003</v>
      </c>
      <c r="Q10933" s="18">
        <v>299.81</v>
      </c>
      <c r="R10933" s="18">
        <v>245.75</v>
      </c>
      <c r="S10933" s="18">
        <v>271.83</v>
      </c>
      <c r="T10933" s="18">
        <v>222.81</v>
      </c>
      <c r="U10933" s="16"/>
      <c r="V10933" s="16"/>
      <c r="W10933" s="16" t="s">
        <v>40</v>
      </c>
      <c r="X10933" s="19">
        <v>0.13700000000000001</v>
      </c>
      <c r="Y10933" s="20">
        <v>6.3299999999999999E-4</v>
      </c>
      <c r="Z10933" s="21">
        <v>4601004131606</v>
      </c>
    </row>
    <row r="10934" spans="1:26" ht="12" customHeight="1" outlineLevel="4" x14ac:dyDescent="0.2">
      <c r="A10934" s="14" t="s">
        <v>20776</v>
      </c>
      <c r="B10934" s="26" t="s">
        <v>20777</v>
      </c>
      <c r="C10934" s="52"/>
      <c r="D10934" s="55">
        <f t="shared" si="170"/>
        <v>0</v>
      </c>
      <c r="E10934" s="63" t="str">
        <f>HYPERLINK("https://www.sds-group.ru/product/girlyanda-tvinkl-layt-6-m-prozrachnyy-pvh-40-led-tsvet-multikolor-303-179/", "Инфо")</f>
        <v>Инфо</v>
      </c>
      <c r="F10934" s="16" t="s">
        <v>39</v>
      </c>
      <c r="G10934" s="15"/>
      <c r="H10934" s="15"/>
      <c r="I10934" s="15"/>
      <c r="J10934" s="17">
        <v>78</v>
      </c>
      <c r="K10934" s="15"/>
      <c r="L10934" s="17">
        <v>5</v>
      </c>
      <c r="M10934" s="17">
        <v>100</v>
      </c>
      <c r="N10934" s="17">
        <v>5</v>
      </c>
      <c r="O10934" s="18">
        <v>399.75</v>
      </c>
      <c r="P10934" s="18">
        <v>327.66000000000003</v>
      </c>
      <c r="Q10934" s="18">
        <v>279.83</v>
      </c>
      <c r="R10934" s="18">
        <v>229.37</v>
      </c>
      <c r="S10934" s="18">
        <v>271.83</v>
      </c>
      <c r="T10934" s="18">
        <v>222.81</v>
      </c>
      <c r="U10934" s="16"/>
      <c r="V10934" s="16"/>
      <c r="W10934" s="16"/>
      <c r="X10934" s="19">
        <v>0.13700000000000001</v>
      </c>
      <c r="Y10934" s="20">
        <v>6.2200000000000005E-4</v>
      </c>
      <c r="Z10934" s="21">
        <v>4601004131620</v>
      </c>
    </row>
    <row r="10935" spans="1:26" ht="12" customHeight="1" outlineLevel="4" x14ac:dyDescent="0.2">
      <c r="A10935" s="32" t="s">
        <v>20778</v>
      </c>
      <c r="B10935" s="74" t="s">
        <v>20779</v>
      </c>
      <c r="C10935" s="50"/>
      <c r="D10935" s="53">
        <f t="shared" si="170"/>
        <v>0</v>
      </c>
      <c r="E10935" s="60" t="str">
        <f>HYPERLINK("https://www.sds-group.ru/product/girlyanda-tvinkl-layt-6-m-prozrachnyy-pvh-40-led-tsvet-teplyy-belyy-303-176/", "Инфо")</f>
        <v>Инфо</v>
      </c>
      <c r="F10935" s="34" t="s">
        <v>39</v>
      </c>
      <c r="G10935" s="33"/>
      <c r="H10935" s="33" t="s">
        <v>40</v>
      </c>
      <c r="I10935" s="33"/>
      <c r="J10935" s="35">
        <v>29</v>
      </c>
      <c r="K10935" s="33"/>
      <c r="L10935" s="35">
        <v>1</v>
      </c>
      <c r="M10935" s="35">
        <v>100</v>
      </c>
      <c r="N10935" s="35">
        <v>1</v>
      </c>
      <c r="O10935" s="36">
        <v>399.75</v>
      </c>
      <c r="P10935" s="36">
        <v>327.66000000000003</v>
      </c>
      <c r="Q10935" s="36">
        <v>279.83</v>
      </c>
      <c r="R10935" s="36">
        <v>229.37</v>
      </c>
      <c r="S10935" s="36">
        <v>271.83</v>
      </c>
      <c r="T10935" s="36">
        <v>222.81</v>
      </c>
      <c r="U10935" s="34"/>
      <c r="V10935" s="34"/>
      <c r="W10935" s="34"/>
      <c r="X10935" s="37">
        <v>0.13700000000000001</v>
      </c>
      <c r="Y10935" s="38">
        <v>4.8500000000000003E-4</v>
      </c>
      <c r="Z10935" s="21">
        <v>4601004131613</v>
      </c>
    </row>
    <row r="10936" spans="1:26" ht="12" customHeight="1" outlineLevel="4" x14ac:dyDescent="0.2">
      <c r="A10936" s="14" t="s">
        <v>20780</v>
      </c>
      <c r="B10936" s="26" t="s">
        <v>20781</v>
      </c>
      <c r="C10936" s="52"/>
      <c r="D10936" s="55">
        <f t="shared" si="170"/>
        <v>0</v>
      </c>
      <c r="E10936" s="63" t="str">
        <f>HYPERLINK("https://www.sds-group.ru/product/girlyanda-tvinkl-layt-6-m-temno-zelenyy-pvh-40-led-tsvet-belyy-303-025/", "Инфо")</f>
        <v>Инфо</v>
      </c>
      <c r="F10936" s="16" t="s">
        <v>39</v>
      </c>
      <c r="G10936" s="15"/>
      <c r="H10936" s="15"/>
      <c r="I10936" s="15"/>
      <c r="J10936" s="22">
        <v>1093</v>
      </c>
      <c r="K10936" s="15"/>
      <c r="L10936" s="17">
        <v>5</v>
      </c>
      <c r="M10936" s="17">
        <v>100</v>
      </c>
      <c r="N10936" s="17">
        <v>5</v>
      </c>
      <c r="O10936" s="18">
        <v>399.75</v>
      </c>
      <c r="P10936" s="18">
        <v>327.66000000000003</v>
      </c>
      <c r="Q10936" s="18">
        <v>299.81</v>
      </c>
      <c r="R10936" s="18">
        <v>245.75</v>
      </c>
      <c r="S10936" s="18">
        <v>271.83</v>
      </c>
      <c r="T10936" s="18">
        <v>222.81</v>
      </c>
      <c r="U10936" s="16"/>
      <c r="V10936" s="16"/>
      <c r="W10936" s="16" t="s">
        <v>40</v>
      </c>
      <c r="X10936" s="19">
        <v>0.155</v>
      </c>
      <c r="Y10936" s="20">
        <v>6.29E-4</v>
      </c>
      <c r="Z10936" s="21">
        <v>4601004015548</v>
      </c>
    </row>
    <row r="10937" spans="1:26" ht="12" customHeight="1" outlineLevel="4" x14ac:dyDescent="0.2">
      <c r="A10937" s="14" t="s">
        <v>20782</v>
      </c>
      <c r="B10937" s="26" t="s">
        <v>20783</v>
      </c>
      <c r="C10937" s="52"/>
      <c r="D10937" s="55">
        <f t="shared" si="170"/>
        <v>0</v>
      </c>
      <c r="E10937" s="63" t="str">
        <f>HYPERLINK("https://www.sds-group.ru/product/girlyanda-tvinkl-layt-6-m-temno-zelenyy-pvh-40-led-tsvet-multikolor-303-029/", "Инфо")</f>
        <v>Инфо</v>
      </c>
      <c r="F10937" s="16" t="s">
        <v>39</v>
      </c>
      <c r="G10937" s="15"/>
      <c r="H10937" s="15"/>
      <c r="I10937" s="15"/>
      <c r="J10937" s="17">
        <v>274</v>
      </c>
      <c r="K10937" s="15"/>
      <c r="L10937" s="17">
        <v>5</v>
      </c>
      <c r="M10937" s="17">
        <v>100</v>
      </c>
      <c r="N10937" s="17">
        <v>5</v>
      </c>
      <c r="O10937" s="18">
        <v>399.75</v>
      </c>
      <c r="P10937" s="18">
        <v>327.66000000000003</v>
      </c>
      <c r="Q10937" s="18">
        <v>279.83</v>
      </c>
      <c r="R10937" s="18">
        <v>229.37</v>
      </c>
      <c r="S10937" s="18">
        <v>271.83</v>
      </c>
      <c r="T10937" s="18">
        <v>222.81</v>
      </c>
      <c r="U10937" s="16"/>
      <c r="V10937" s="16"/>
      <c r="W10937" s="16"/>
      <c r="X10937" s="19">
        <v>0.156</v>
      </c>
      <c r="Y10937" s="20">
        <v>6.2799999999999998E-4</v>
      </c>
      <c r="Z10937" s="21">
        <v>4601004015562</v>
      </c>
    </row>
    <row r="10938" spans="1:26" ht="12" customHeight="1" outlineLevel="4" x14ac:dyDescent="0.2">
      <c r="A10938" s="14" t="s">
        <v>20784</v>
      </c>
      <c r="B10938" s="26" t="s">
        <v>20785</v>
      </c>
      <c r="C10938" s="52"/>
      <c r="D10938" s="55">
        <f t="shared" si="170"/>
        <v>0</v>
      </c>
      <c r="E10938" s="63" t="str">
        <f>HYPERLINK("https://www.sds-group.ru/product/girlyanda-tvinkl-layt-6-m-temno-zelenyy-pvh-40-led-tsvet-siniy-303-023/", "Инфо")</f>
        <v>Инфо</v>
      </c>
      <c r="F10938" s="16" t="s">
        <v>39</v>
      </c>
      <c r="G10938" s="15"/>
      <c r="H10938" s="15"/>
      <c r="I10938" s="15"/>
      <c r="J10938" s="17">
        <v>791</v>
      </c>
      <c r="K10938" s="15"/>
      <c r="L10938" s="17">
        <v>5</v>
      </c>
      <c r="M10938" s="17">
        <v>100</v>
      </c>
      <c r="N10938" s="17">
        <v>5</v>
      </c>
      <c r="O10938" s="18">
        <v>399.75</v>
      </c>
      <c r="P10938" s="18">
        <v>327.66000000000003</v>
      </c>
      <c r="Q10938" s="18">
        <v>299.81</v>
      </c>
      <c r="R10938" s="18">
        <v>245.75</v>
      </c>
      <c r="S10938" s="18">
        <v>271.83</v>
      </c>
      <c r="T10938" s="18">
        <v>222.81</v>
      </c>
      <c r="U10938" s="16"/>
      <c r="V10938" s="16"/>
      <c r="W10938" s="16" t="s">
        <v>40</v>
      </c>
      <c r="X10938" s="19">
        <v>0.157</v>
      </c>
      <c r="Y10938" s="20">
        <v>6.2500000000000001E-4</v>
      </c>
      <c r="Z10938" s="21">
        <v>4601004090613</v>
      </c>
    </row>
    <row r="10939" spans="1:26" ht="12" customHeight="1" outlineLevel="4" x14ac:dyDescent="0.2">
      <c r="A10939" s="14" t="s">
        <v>20786</v>
      </c>
      <c r="B10939" s="26" t="s">
        <v>20787</v>
      </c>
      <c r="C10939" s="52"/>
      <c r="D10939" s="55">
        <f t="shared" si="170"/>
        <v>0</v>
      </c>
      <c r="E10939" s="63" t="str">
        <f>HYPERLINK("https://www.sds-group.ru/product/girlyanda-tvinkl-layt-6-m-temno-zelenyy-pvh-40-led-tsvet-teplyy-belyy-303-026/", "Инфо")</f>
        <v>Инфо</v>
      </c>
      <c r="F10939" s="16" t="s">
        <v>39</v>
      </c>
      <c r="G10939" s="15"/>
      <c r="H10939" s="15"/>
      <c r="I10939" s="15"/>
      <c r="J10939" s="17">
        <v>28</v>
      </c>
      <c r="K10939" s="15" t="s">
        <v>4926</v>
      </c>
      <c r="L10939" s="17">
        <v>5</v>
      </c>
      <c r="M10939" s="17">
        <v>100</v>
      </c>
      <c r="N10939" s="17">
        <v>5</v>
      </c>
      <c r="O10939" s="18">
        <v>399.75</v>
      </c>
      <c r="P10939" s="18">
        <v>327.66000000000003</v>
      </c>
      <c r="Q10939" s="18">
        <v>279.83</v>
      </c>
      <c r="R10939" s="18">
        <v>229.37</v>
      </c>
      <c r="S10939" s="18">
        <v>271.83</v>
      </c>
      <c r="T10939" s="18">
        <v>222.81</v>
      </c>
      <c r="U10939" s="16"/>
      <c r="V10939" s="16"/>
      <c r="W10939" s="16"/>
      <c r="X10939" s="19">
        <v>0.157</v>
      </c>
      <c r="Y10939" s="20">
        <v>6.2600000000000004E-4</v>
      </c>
      <c r="Z10939" s="21">
        <v>4601004015555</v>
      </c>
    </row>
    <row r="10940" spans="1:26" ht="12.95" customHeight="1" outlineLevel="3" x14ac:dyDescent="0.2">
      <c r="A10940" s="76" t="s">
        <v>20788</v>
      </c>
      <c r="B10940" s="76"/>
      <c r="C10940" s="77"/>
      <c r="D10940" s="58"/>
      <c r="E10940" s="68"/>
      <c r="F10940" s="13"/>
      <c r="G10940" s="13"/>
      <c r="H10940" s="13"/>
      <c r="I10940" s="13"/>
      <c r="J10940" s="13"/>
      <c r="K10940" s="13"/>
      <c r="L10940" s="13"/>
      <c r="M10940" s="13"/>
      <c r="N10940" s="13"/>
      <c r="O10940" s="13"/>
      <c r="P10940" s="13"/>
      <c r="Q10940" s="13"/>
      <c r="R10940" s="13"/>
      <c r="S10940" s="13"/>
      <c r="T10940" s="13"/>
      <c r="U10940" s="13"/>
      <c r="V10940" s="13"/>
      <c r="W10940" s="13"/>
      <c r="X10940" s="13"/>
      <c r="Y10940" s="13"/>
      <c r="Z10940" s="13"/>
    </row>
    <row r="10941" spans="1:26" ht="12" customHeight="1" outlineLevel="4" x14ac:dyDescent="0.2">
      <c r="A10941" s="32" t="s">
        <v>20789</v>
      </c>
      <c r="B10941" s="74" t="s">
        <v>20790</v>
      </c>
      <c r="C10941" s="50"/>
      <c r="D10941" s="53">
        <f t="shared" si="170"/>
        <v>0</v>
      </c>
      <c r="E10941" s="60" t="str">
        <f>HYPERLINK("https://www.sds-group.ru/product/girlyanda-svetodiodnaya-universalnaya-100-led-belyy-10-metrov-prozrachnyy-pvh-s-kontrollerom-304-025/", "Инфо")</f>
        <v>Инфо</v>
      </c>
      <c r="F10941" s="34" t="s">
        <v>39</v>
      </c>
      <c r="G10941" s="33"/>
      <c r="H10941" s="33" t="s">
        <v>40</v>
      </c>
      <c r="I10941" s="33"/>
      <c r="J10941" s="35">
        <v>138</v>
      </c>
      <c r="K10941" s="33"/>
      <c r="L10941" s="35">
        <v>1</v>
      </c>
      <c r="M10941" s="35">
        <v>60</v>
      </c>
      <c r="N10941" s="35">
        <v>1</v>
      </c>
      <c r="O10941" s="36">
        <v>672.41</v>
      </c>
      <c r="P10941" s="36">
        <v>551.16</v>
      </c>
      <c r="Q10941" s="36">
        <v>537.92999999999995</v>
      </c>
      <c r="R10941" s="36">
        <v>440.93</v>
      </c>
      <c r="S10941" s="36">
        <v>457.24</v>
      </c>
      <c r="T10941" s="36">
        <v>374.79</v>
      </c>
      <c r="U10941" s="34"/>
      <c r="V10941" s="34"/>
      <c r="W10941" s="34" t="s">
        <v>40</v>
      </c>
      <c r="X10941" s="37">
        <v>0.14899999999999999</v>
      </c>
      <c r="Y10941" s="38">
        <v>7.4799999999999997E-4</v>
      </c>
      <c r="Z10941" s="21">
        <v>4601004258082</v>
      </c>
    </row>
    <row r="10942" spans="1:26" ht="12" customHeight="1" outlineLevel="4" x14ac:dyDescent="0.2">
      <c r="A10942" s="32" t="s">
        <v>20791</v>
      </c>
      <c r="B10942" s="74" t="s">
        <v>20792</v>
      </c>
      <c r="C10942" s="50"/>
      <c r="D10942" s="53">
        <f t="shared" si="170"/>
        <v>0</v>
      </c>
      <c r="E10942" s="60" t="str">
        <f>HYPERLINK("https://www.sds-group.ru/product/girlyanda-svetodiodnaya-universalnaya-100-led-multikolor-10-metrov-prozrachnyy-pvh-s-kontrol-304-029/", "Инфо")</f>
        <v>Инфо</v>
      </c>
      <c r="F10942" s="34" t="s">
        <v>39</v>
      </c>
      <c r="G10942" s="33"/>
      <c r="H10942" s="33" t="s">
        <v>40</v>
      </c>
      <c r="I10942" s="33"/>
      <c r="J10942" s="35">
        <v>22</v>
      </c>
      <c r="K10942" s="33"/>
      <c r="L10942" s="35">
        <v>1</v>
      </c>
      <c r="M10942" s="35">
        <v>60</v>
      </c>
      <c r="N10942" s="35">
        <v>1</v>
      </c>
      <c r="O10942" s="36">
        <v>672.41</v>
      </c>
      <c r="P10942" s="36">
        <v>551.16</v>
      </c>
      <c r="Q10942" s="36">
        <v>537.92999999999995</v>
      </c>
      <c r="R10942" s="36">
        <v>440.93</v>
      </c>
      <c r="S10942" s="36">
        <v>457.24</v>
      </c>
      <c r="T10942" s="36">
        <v>374.79</v>
      </c>
      <c r="U10942" s="34"/>
      <c r="V10942" s="34"/>
      <c r="W10942" s="34" t="s">
        <v>40</v>
      </c>
      <c r="X10942" s="37">
        <v>0.15</v>
      </c>
      <c r="Y10942" s="38">
        <v>7.36E-4</v>
      </c>
      <c r="Z10942" s="21">
        <v>4601004257962</v>
      </c>
    </row>
    <row r="10943" spans="1:26" ht="12" customHeight="1" outlineLevel="4" x14ac:dyDescent="0.2">
      <c r="A10943" s="14" t="s">
        <v>20793</v>
      </c>
      <c r="B10943" s="26" t="s">
        <v>20794</v>
      </c>
      <c r="C10943" s="52"/>
      <c r="D10943" s="55">
        <f t="shared" si="170"/>
        <v>0</v>
      </c>
      <c r="E10943" s="63" t="str">
        <f>HYPERLINK("https://www.sds-group.ru/product/girlyanda-svetodiodnaya-universalnaya-100-led-teplyy-belyy-10-metrov-prozrachnyy-pvh-s-kontr-303-063/", "Инфо")</f>
        <v>Инфо</v>
      </c>
      <c r="F10943" s="16" t="s">
        <v>39</v>
      </c>
      <c r="G10943" s="15"/>
      <c r="H10943" s="15"/>
      <c r="I10943" s="15"/>
      <c r="J10943" s="17">
        <v>164</v>
      </c>
      <c r="K10943" s="15"/>
      <c r="L10943" s="17">
        <v>1</v>
      </c>
      <c r="M10943" s="17">
        <v>100</v>
      </c>
      <c r="N10943" s="17">
        <v>1</v>
      </c>
      <c r="O10943" s="18">
        <v>672.41</v>
      </c>
      <c r="P10943" s="18">
        <v>551.16</v>
      </c>
      <c r="Q10943" s="18">
        <v>537.92999999999995</v>
      </c>
      <c r="R10943" s="18">
        <v>440.93</v>
      </c>
      <c r="S10943" s="18">
        <v>457.24</v>
      </c>
      <c r="T10943" s="18">
        <v>374.79</v>
      </c>
      <c r="U10943" s="16"/>
      <c r="V10943" s="16"/>
      <c r="W10943" s="16" t="s">
        <v>40</v>
      </c>
      <c r="X10943" s="19">
        <v>0.14899999999999999</v>
      </c>
      <c r="Y10943" s="20">
        <v>7.4200000000000004E-4</v>
      </c>
      <c r="Z10943" s="21">
        <v>4601004130654</v>
      </c>
    </row>
    <row r="10944" spans="1:26" ht="12" customHeight="1" outlineLevel="4" x14ac:dyDescent="0.2">
      <c r="A10944" s="14" t="s">
        <v>20795</v>
      </c>
      <c r="B10944" s="26" t="s">
        <v>20796</v>
      </c>
      <c r="C10944" s="52"/>
      <c r="D10944" s="55">
        <f t="shared" si="170"/>
        <v>0</v>
      </c>
      <c r="E10944" s="63" t="str">
        <f>HYPERLINK("https://www.sds-group.ru/product/girlyanda-svetodiodnaya-universalnaya-120-led-multikolor-12-metrov-s-kontrollerom-303-105/", "Инфо")</f>
        <v>Инфо</v>
      </c>
      <c r="F10944" s="16" t="s">
        <v>39</v>
      </c>
      <c r="G10944" s="15"/>
      <c r="H10944" s="15"/>
      <c r="I10944" s="15"/>
      <c r="J10944" s="17">
        <v>1</v>
      </c>
      <c r="K10944" s="15" t="s">
        <v>8890</v>
      </c>
      <c r="L10944" s="17">
        <v>1</v>
      </c>
      <c r="M10944" s="17">
        <v>100</v>
      </c>
      <c r="N10944" s="17">
        <v>1</v>
      </c>
      <c r="O10944" s="18">
        <v>672.41</v>
      </c>
      <c r="P10944" s="18">
        <v>551.16</v>
      </c>
      <c r="Q10944" s="18">
        <v>470.69</v>
      </c>
      <c r="R10944" s="18">
        <v>385.81</v>
      </c>
      <c r="S10944" s="18">
        <v>457.24</v>
      </c>
      <c r="T10944" s="18">
        <v>374.79</v>
      </c>
      <c r="U10944" s="16"/>
      <c r="V10944" s="16"/>
      <c r="W10944" s="16"/>
      <c r="X10944" s="19">
        <v>0.245</v>
      </c>
      <c r="Y10944" s="20">
        <v>8.8199999999999997E-4</v>
      </c>
      <c r="Z10944" s="21">
        <v>4601004130487</v>
      </c>
    </row>
    <row r="10945" spans="1:26" ht="12" customHeight="1" outlineLevel="4" x14ac:dyDescent="0.2">
      <c r="A10945" s="14" t="s">
        <v>20797</v>
      </c>
      <c r="B10945" s="26" t="s">
        <v>20798</v>
      </c>
      <c r="C10945" s="52"/>
      <c r="D10945" s="55">
        <f t="shared" si="170"/>
        <v>0</v>
      </c>
      <c r="E10945" s="63" t="str">
        <f>HYPERLINK("https://www.sds-group.ru/product/girlyanda-tvinkl-layt-10-m-prozrachnyy-pvh-80-led-beloe-svechenie-neon-night-303-185/", "Инфо")</f>
        <v>Инфо</v>
      </c>
      <c r="F10945" s="16" t="s">
        <v>39</v>
      </c>
      <c r="G10945" s="15"/>
      <c r="H10945" s="15"/>
      <c r="I10945" s="15"/>
      <c r="J10945" s="17">
        <v>506</v>
      </c>
      <c r="K10945" s="15"/>
      <c r="L10945" s="17">
        <v>1</v>
      </c>
      <c r="M10945" s="17">
        <v>60</v>
      </c>
      <c r="N10945" s="17">
        <v>1</v>
      </c>
      <c r="O10945" s="18">
        <v>571.54999999999995</v>
      </c>
      <c r="P10945" s="18">
        <v>468.48</v>
      </c>
      <c r="Q10945" s="18">
        <v>428.66</v>
      </c>
      <c r="R10945" s="18">
        <v>351.36</v>
      </c>
      <c r="S10945" s="18">
        <v>388.65</v>
      </c>
      <c r="T10945" s="18">
        <v>318.57</v>
      </c>
      <c r="U10945" s="16"/>
      <c r="V10945" s="16"/>
      <c r="W10945" s="16" t="s">
        <v>40</v>
      </c>
      <c r="X10945" s="19">
        <v>0.19</v>
      </c>
      <c r="Y10945" s="20">
        <v>8.03E-4</v>
      </c>
      <c r="Z10945" s="21">
        <v>4601004180338</v>
      </c>
    </row>
    <row r="10946" spans="1:26" ht="12" customHeight="1" outlineLevel="4" x14ac:dyDescent="0.2">
      <c r="A10946" s="32" t="s">
        <v>20799</v>
      </c>
      <c r="B10946" s="74" t="s">
        <v>20800</v>
      </c>
      <c r="C10946" s="50"/>
      <c r="D10946" s="53">
        <f t="shared" si="170"/>
        <v>0</v>
      </c>
      <c r="E10946" s="60" t="str">
        <f>HYPERLINK("https://www.sds-group.ru/product/girlyanda-tvinkl-layt-10-m-prozrachnyy-pvh-80-led-tsvet-multikolor-303-189/", "Инфо")</f>
        <v>Инфо</v>
      </c>
      <c r="F10946" s="34" t="s">
        <v>39</v>
      </c>
      <c r="G10946" s="33"/>
      <c r="H10946" s="33" t="s">
        <v>40</v>
      </c>
      <c r="I10946" s="33"/>
      <c r="J10946" s="34" t="s">
        <v>100</v>
      </c>
      <c r="K10946" s="33"/>
      <c r="L10946" s="35">
        <v>1</v>
      </c>
      <c r="M10946" s="35">
        <v>60</v>
      </c>
      <c r="N10946" s="35">
        <v>1</v>
      </c>
      <c r="O10946" s="36">
        <v>571.54999999999995</v>
      </c>
      <c r="P10946" s="36">
        <v>468.48</v>
      </c>
      <c r="Q10946" s="36">
        <v>428.66</v>
      </c>
      <c r="R10946" s="36">
        <v>351.36</v>
      </c>
      <c r="S10946" s="36">
        <v>388.65</v>
      </c>
      <c r="T10946" s="36">
        <v>318.57</v>
      </c>
      <c r="U10946" s="34"/>
      <c r="V10946" s="34"/>
      <c r="W10946" s="34" t="s">
        <v>40</v>
      </c>
      <c r="X10946" s="37">
        <v>0.189</v>
      </c>
      <c r="Y10946" s="38">
        <v>7.94E-4</v>
      </c>
      <c r="Z10946" s="21">
        <v>4601004131644</v>
      </c>
    </row>
    <row r="10947" spans="1:26" ht="12" customHeight="1" outlineLevel="4" x14ac:dyDescent="0.2">
      <c r="A10947" s="32" t="s">
        <v>20801</v>
      </c>
      <c r="B10947" s="74" t="s">
        <v>20802</v>
      </c>
      <c r="C10947" s="50"/>
      <c r="D10947" s="53">
        <f t="shared" si="170"/>
        <v>0</v>
      </c>
      <c r="E10947" s="60" t="str">
        <f>HYPERLINK("https://www.sds-group.ru/product/girlyanda-tvinkl-layt-10-m-prozrachnyy-pvh-80-led-tsvet-teplyy-belyy-303-186/", "Инфо")</f>
        <v>Инфо</v>
      </c>
      <c r="F10947" s="34" t="s">
        <v>39</v>
      </c>
      <c r="G10947" s="33"/>
      <c r="H10947" s="33" t="s">
        <v>40</v>
      </c>
      <c r="I10947" s="33"/>
      <c r="J10947" s="35">
        <v>41</v>
      </c>
      <c r="K10947" s="33"/>
      <c r="L10947" s="35">
        <v>1</v>
      </c>
      <c r="M10947" s="35">
        <v>60</v>
      </c>
      <c r="N10947" s="35">
        <v>1</v>
      </c>
      <c r="O10947" s="36">
        <v>571.54999999999995</v>
      </c>
      <c r="P10947" s="36">
        <v>468.48</v>
      </c>
      <c r="Q10947" s="36">
        <v>400.09</v>
      </c>
      <c r="R10947" s="36">
        <v>327.94</v>
      </c>
      <c r="S10947" s="36">
        <v>388.65</v>
      </c>
      <c r="T10947" s="36">
        <v>318.57</v>
      </c>
      <c r="U10947" s="34"/>
      <c r="V10947" s="34"/>
      <c r="W10947" s="34"/>
      <c r="X10947" s="37">
        <v>0.187</v>
      </c>
      <c r="Y10947" s="38">
        <v>7.9799999999999999E-4</v>
      </c>
      <c r="Z10947" s="21">
        <v>4601004131637</v>
      </c>
    </row>
    <row r="10948" spans="1:26" ht="12" customHeight="1" outlineLevel="4" x14ac:dyDescent="0.2">
      <c r="A10948" s="14" t="s">
        <v>20803</v>
      </c>
      <c r="B10948" s="26" t="s">
        <v>20804</v>
      </c>
      <c r="C10948" s="52"/>
      <c r="D10948" s="55">
        <f t="shared" si="170"/>
        <v>0</v>
      </c>
      <c r="E10948" s="63" t="str">
        <f>HYPERLINK("https://www.sds-group.ru/product/girlyanda-tvinkl-layt-10-m-temno-zelenyy-pvh-80-led-tsvet-belyy-303-045/", "Инфо")</f>
        <v>Инфо</v>
      </c>
      <c r="F10948" s="16" t="s">
        <v>39</v>
      </c>
      <c r="G10948" s="15"/>
      <c r="H10948" s="15"/>
      <c r="I10948" s="15"/>
      <c r="J10948" s="17">
        <v>680</v>
      </c>
      <c r="K10948" s="15"/>
      <c r="L10948" s="17">
        <v>1</v>
      </c>
      <c r="M10948" s="17">
        <v>60</v>
      </c>
      <c r="N10948" s="17">
        <v>1</v>
      </c>
      <c r="O10948" s="18">
        <v>571.54999999999995</v>
      </c>
      <c r="P10948" s="18">
        <v>468.48</v>
      </c>
      <c r="Q10948" s="18">
        <v>428.66</v>
      </c>
      <c r="R10948" s="18">
        <v>351.36</v>
      </c>
      <c r="S10948" s="18">
        <v>388.65</v>
      </c>
      <c r="T10948" s="18">
        <v>318.57</v>
      </c>
      <c r="U10948" s="16"/>
      <c r="V10948" s="16"/>
      <c r="W10948" s="16" t="s">
        <v>40</v>
      </c>
      <c r="X10948" s="19">
        <v>0.214</v>
      </c>
      <c r="Y10948" s="20">
        <v>8.03E-4</v>
      </c>
      <c r="Z10948" s="21">
        <v>4601004014961</v>
      </c>
    </row>
    <row r="10949" spans="1:26" ht="12" customHeight="1" outlineLevel="4" x14ac:dyDescent="0.2">
      <c r="A10949" s="14" t="s">
        <v>20805</v>
      </c>
      <c r="B10949" s="26" t="s">
        <v>20806</v>
      </c>
      <c r="C10949" s="52"/>
      <c r="D10949" s="55">
        <f t="shared" si="170"/>
        <v>0</v>
      </c>
      <c r="E10949" s="63" t="str">
        <f>HYPERLINK("https://www.sds-group.ru/product/girlyanda-tvinkl-layt-10-m-temno-zelenyy-pvh-80-led-tsvet-multikolor-303-049/", "Инфо")</f>
        <v>Инфо</v>
      </c>
      <c r="F10949" s="16" t="s">
        <v>39</v>
      </c>
      <c r="G10949" s="15"/>
      <c r="H10949" s="15"/>
      <c r="I10949" s="15"/>
      <c r="J10949" s="17">
        <v>212</v>
      </c>
      <c r="K10949" s="15"/>
      <c r="L10949" s="17">
        <v>1</v>
      </c>
      <c r="M10949" s="17">
        <v>60</v>
      </c>
      <c r="N10949" s="17">
        <v>1</v>
      </c>
      <c r="O10949" s="18">
        <v>571.54999999999995</v>
      </c>
      <c r="P10949" s="18">
        <v>468.48</v>
      </c>
      <c r="Q10949" s="18">
        <v>428.66</v>
      </c>
      <c r="R10949" s="18">
        <v>351.36</v>
      </c>
      <c r="S10949" s="18">
        <v>388.65</v>
      </c>
      <c r="T10949" s="18">
        <v>318.57</v>
      </c>
      <c r="U10949" s="16"/>
      <c r="V10949" s="16"/>
      <c r="W10949" s="16" t="s">
        <v>40</v>
      </c>
      <c r="X10949" s="19">
        <v>0.214</v>
      </c>
      <c r="Y10949" s="20">
        <v>7.94E-4</v>
      </c>
      <c r="Z10949" s="21">
        <v>4601004014985</v>
      </c>
    </row>
    <row r="10950" spans="1:26" ht="12" customHeight="1" outlineLevel="4" x14ac:dyDescent="0.2">
      <c r="A10950" s="14" t="s">
        <v>20807</v>
      </c>
      <c r="B10950" s="26" t="s">
        <v>20808</v>
      </c>
      <c r="C10950" s="52"/>
      <c r="D10950" s="55">
        <f t="shared" si="170"/>
        <v>0</v>
      </c>
      <c r="E10950" s="63" t="str">
        <f>HYPERLINK("https://www.sds-group.ru/product/girlyanda-tvinkl-layt-10-m-temno-zelenyy-pvh-80-led-tsvet-siniy-303-043/", "Инфо")</f>
        <v>Инфо</v>
      </c>
      <c r="F10950" s="16" t="s">
        <v>39</v>
      </c>
      <c r="G10950" s="15"/>
      <c r="H10950" s="15"/>
      <c r="I10950" s="15"/>
      <c r="J10950" s="17">
        <v>285</v>
      </c>
      <c r="K10950" s="15"/>
      <c r="L10950" s="17">
        <v>1</v>
      </c>
      <c r="M10950" s="17">
        <v>48</v>
      </c>
      <c r="N10950" s="17">
        <v>1</v>
      </c>
      <c r="O10950" s="18">
        <v>571.54999999999995</v>
      </c>
      <c r="P10950" s="18">
        <v>468.48</v>
      </c>
      <c r="Q10950" s="18">
        <v>428.66</v>
      </c>
      <c r="R10950" s="18">
        <v>351.36</v>
      </c>
      <c r="S10950" s="18">
        <v>388.65</v>
      </c>
      <c r="T10950" s="18">
        <v>318.57</v>
      </c>
      <c r="U10950" s="16"/>
      <c r="V10950" s="16"/>
      <c r="W10950" s="16" t="s">
        <v>40</v>
      </c>
      <c r="X10950" s="19">
        <v>0.215</v>
      </c>
      <c r="Y10950" s="20">
        <v>7.8700000000000005E-4</v>
      </c>
      <c r="Z10950" s="21">
        <v>4601004090620</v>
      </c>
    </row>
    <row r="10951" spans="1:26" ht="12" customHeight="1" outlineLevel="4" x14ac:dyDescent="0.2">
      <c r="A10951" s="14" t="s">
        <v>20809</v>
      </c>
      <c r="B10951" s="26" t="s">
        <v>20810</v>
      </c>
      <c r="C10951" s="52"/>
      <c r="D10951" s="55">
        <f t="shared" si="170"/>
        <v>0</v>
      </c>
      <c r="E10951" s="63" t="str">
        <f>HYPERLINK("https://www.sds-group.ru/product/girlyanda-tvinkl-layt-10-m-temno-zelenyy-pvh-80-led-tsvet-teplyy-belyy-303-046/", "Инфо")</f>
        <v>Инфо</v>
      </c>
      <c r="F10951" s="16" t="s">
        <v>39</v>
      </c>
      <c r="G10951" s="15"/>
      <c r="H10951" s="15"/>
      <c r="I10951" s="15"/>
      <c r="J10951" s="17">
        <v>492</v>
      </c>
      <c r="K10951" s="15"/>
      <c r="L10951" s="17">
        <v>1</v>
      </c>
      <c r="M10951" s="17">
        <v>60</v>
      </c>
      <c r="N10951" s="17">
        <v>1</v>
      </c>
      <c r="O10951" s="18">
        <v>571.54999999999995</v>
      </c>
      <c r="P10951" s="18">
        <v>468.48</v>
      </c>
      <c r="Q10951" s="18">
        <v>428.66</v>
      </c>
      <c r="R10951" s="18">
        <v>351.36</v>
      </c>
      <c r="S10951" s="18">
        <v>388.65</v>
      </c>
      <c r="T10951" s="18">
        <v>318.57</v>
      </c>
      <c r="U10951" s="16"/>
      <c r="V10951" s="16"/>
      <c r="W10951" s="16" t="s">
        <v>40</v>
      </c>
      <c r="X10951" s="19">
        <v>0.214</v>
      </c>
      <c r="Y10951" s="20">
        <v>7.94E-4</v>
      </c>
      <c r="Z10951" s="21">
        <v>4601004014978</v>
      </c>
    </row>
    <row r="10952" spans="1:26" ht="12.95" customHeight="1" outlineLevel="3" x14ac:dyDescent="0.2">
      <c r="A10952" s="76" t="s">
        <v>20811</v>
      </c>
      <c r="B10952" s="76"/>
      <c r="C10952" s="77"/>
      <c r="D10952" s="58"/>
      <c r="E10952" s="68"/>
      <c r="F10952" s="13"/>
      <c r="G10952" s="13"/>
      <c r="H10952" s="13"/>
      <c r="I10952" s="13"/>
      <c r="J10952" s="13"/>
      <c r="K10952" s="13"/>
      <c r="L10952" s="13"/>
      <c r="M10952" s="13"/>
      <c r="N10952" s="13"/>
      <c r="O10952" s="13"/>
      <c r="P10952" s="13"/>
      <c r="Q10952" s="13"/>
      <c r="R10952" s="13"/>
      <c r="S10952" s="13"/>
      <c r="T10952" s="13"/>
      <c r="U10952" s="13"/>
      <c r="V10952" s="13"/>
      <c r="W10952" s="13"/>
      <c r="X10952" s="13"/>
      <c r="Y10952" s="13"/>
      <c r="Z10952" s="13"/>
    </row>
    <row r="10953" spans="1:26" ht="12" customHeight="1" outlineLevel="4" x14ac:dyDescent="0.2">
      <c r="A10953" s="32" t="s">
        <v>20812</v>
      </c>
      <c r="B10953" s="74" t="s">
        <v>20813</v>
      </c>
      <c r="C10953" s="50"/>
      <c r="D10953" s="53">
        <f t="shared" ref="D10953:D11016" si="171">C10953*(O10953-O10953*$G$3)</f>
        <v>0</v>
      </c>
      <c r="E10953" s="60" t="str">
        <f>HYPERLINK("https://www.sds-group.ru/product/girlyanda-svetodiodnaya-universalnaya-300-led-multikolor-15-metrov-s-kontrollerom-303-109/", "Инфо")</f>
        <v>Инфо</v>
      </c>
      <c r="F10953" s="34" t="s">
        <v>39</v>
      </c>
      <c r="G10953" s="33"/>
      <c r="H10953" s="33" t="s">
        <v>40</v>
      </c>
      <c r="I10953" s="33"/>
      <c r="J10953" s="35">
        <v>17</v>
      </c>
      <c r="K10953" s="33"/>
      <c r="L10953" s="35">
        <v>1</v>
      </c>
      <c r="M10953" s="35">
        <v>24</v>
      </c>
      <c r="N10953" s="35">
        <v>1</v>
      </c>
      <c r="O10953" s="36">
        <v>1363.22</v>
      </c>
      <c r="P10953" s="36">
        <v>1117.3900000000001</v>
      </c>
      <c r="Q10953" s="36">
        <v>1076.94</v>
      </c>
      <c r="R10953" s="36">
        <v>882.74</v>
      </c>
      <c r="S10953" s="36">
        <v>926.99</v>
      </c>
      <c r="T10953" s="36">
        <v>759.83</v>
      </c>
      <c r="U10953" s="34"/>
      <c r="V10953" s="34"/>
      <c r="W10953" s="34" t="s">
        <v>40</v>
      </c>
      <c r="X10953" s="37">
        <v>0.36399999999999999</v>
      </c>
      <c r="Y10953" s="38">
        <v>1.477E-3</v>
      </c>
      <c r="Z10953" s="21">
        <v>4601004130500</v>
      </c>
    </row>
    <row r="10954" spans="1:26" ht="12" customHeight="1" outlineLevel="4" x14ac:dyDescent="0.2">
      <c r="A10954" s="14" t="s">
        <v>20814</v>
      </c>
      <c r="B10954" s="26" t="s">
        <v>20815</v>
      </c>
      <c r="C10954" s="52"/>
      <c r="D10954" s="55">
        <f t="shared" si="171"/>
        <v>0</v>
      </c>
      <c r="E10954" s="63" t="str">
        <f>HYPERLINK("https://www.sds-group.ru/product/girlyanda-tvinkl-layt-15-m-prozrachnyy-pvh-120-led-beloe-svechenie-neon-night-303-195/", "Инфо")</f>
        <v>Инфо</v>
      </c>
      <c r="F10954" s="16" t="s">
        <v>39</v>
      </c>
      <c r="G10954" s="15"/>
      <c r="H10954" s="15"/>
      <c r="I10954" s="15"/>
      <c r="J10954" s="17">
        <v>202</v>
      </c>
      <c r="K10954" s="15"/>
      <c r="L10954" s="17">
        <v>1</v>
      </c>
      <c r="M10954" s="17">
        <v>60</v>
      </c>
      <c r="N10954" s="17">
        <v>1</v>
      </c>
      <c r="O10954" s="18">
        <v>705.25</v>
      </c>
      <c r="P10954" s="18">
        <v>578.07000000000005</v>
      </c>
      <c r="Q10954" s="18">
        <v>528.94000000000005</v>
      </c>
      <c r="R10954" s="18">
        <v>433.56</v>
      </c>
      <c r="S10954" s="18">
        <v>479.57</v>
      </c>
      <c r="T10954" s="18">
        <v>393.09</v>
      </c>
      <c r="U10954" s="16"/>
      <c r="V10954" s="16"/>
      <c r="W10954" s="16" t="s">
        <v>40</v>
      </c>
      <c r="X10954" s="19">
        <v>0.252</v>
      </c>
      <c r="Y10954" s="20">
        <v>1.003E-3</v>
      </c>
      <c r="Z10954" s="21">
        <v>4601004180345</v>
      </c>
    </row>
    <row r="10955" spans="1:26" ht="12" customHeight="1" outlineLevel="4" x14ac:dyDescent="0.2">
      <c r="A10955" s="14" t="s">
        <v>20816</v>
      </c>
      <c r="B10955" s="26" t="s">
        <v>20817</v>
      </c>
      <c r="C10955" s="52"/>
      <c r="D10955" s="55">
        <f t="shared" si="171"/>
        <v>0</v>
      </c>
      <c r="E10955" s="63" t="str">
        <f>HYPERLINK("https://www.sds-group.ru/product/girlyanda-tvinkl-layt-15-m-prozrachnyy-pvh-120-led-tsvet-multikolor-303-199/", "Инфо")</f>
        <v>Инфо</v>
      </c>
      <c r="F10955" s="16" t="s">
        <v>39</v>
      </c>
      <c r="G10955" s="15"/>
      <c r="H10955" s="15"/>
      <c r="I10955" s="15"/>
      <c r="J10955" s="17">
        <v>276</v>
      </c>
      <c r="K10955" s="15"/>
      <c r="L10955" s="17">
        <v>1</v>
      </c>
      <c r="M10955" s="17">
        <v>60</v>
      </c>
      <c r="N10955" s="17">
        <v>1</v>
      </c>
      <c r="O10955" s="18">
        <v>705.25</v>
      </c>
      <c r="P10955" s="18">
        <v>578.07000000000005</v>
      </c>
      <c r="Q10955" s="18">
        <v>528.94000000000005</v>
      </c>
      <c r="R10955" s="18">
        <v>433.56</v>
      </c>
      <c r="S10955" s="18">
        <v>479.57</v>
      </c>
      <c r="T10955" s="18">
        <v>393.09</v>
      </c>
      <c r="U10955" s="16"/>
      <c r="V10955" s="16"/>
      <c r="W10955" s="16" t="s">
        <v>40</v>
      </c>
      <c r="X10955" s="19">
        <v>0.25600000000000001</v>
      </c>
      <c r="Y10955" s="20">
        <v>9.9700000000000006E-4</v>
      </c>
      <c r="Z10955" s="21">
        <v>4601004131668</v>
      </c>
    </row>
    <row r="10956" spans="1:26" ht="12" customHeight="1" outlineLevel="4" x14ac:dyDescent="0.2">
      <c r="A10956" s="14" t="s">
        <v>20818</v>
      </c>
      <c r="B10956" s="26" t="s">
        <v>20819</v>
      </c>
      <c r="C10956" s="52"/>
      <c r="D10956" s="55">
        <f t="shared" si="171"/>
        <v>0</v>
      </c>
      <c r="E10956" s="63" t="str">
        <f>HYPERLINK("https://www.sds-group.ru/product/girlyanda-tvinkl-layt-15-m-prozrachnyy-pvh-120-led-tsvet-teplyy-belyy-303-196/", "Инфо")</f>
        <v>Инфо</v>
      </c>
      <c r="F10956" s="16" t="s">
        <v>39</v>
      </c>
      <c r="G10956" s="15"/>
      <c r="H10956" s="15"/>
      <c r="I10956" s="15"/>
      <c r="J10956" s="16" t="s">
        <v>100</v>
      </c>
      <c r="K10956" s="15"/>
      <c r="L10956" s="17">
        <v>1</v>
      </c>
      <c r="M10956" s="17">
        <v>60</v>
      </c>
      <c r="N10956" s="17">
        <v>1</v>
      </c>
      <c r="O10956" s="18">
        <v>705.25</v>
      </c>
      <c r="P10956" s="18">
        <v>578.07000000000005</v>
      </c>
      <c r="Q10956" s="18">
        <v>528.94000000000005</v>
      </c>
      <c r="R10956" s="18">
        <v>433.56</v>
      </c>
      <c r="S10956" s="18">
        <v>479.57</v>
      </c>
      <c r="T10956" s="18">
        <v>393.09</v>
      </c>
      <c r="U10956" s="16"/>
      <c r="V10956" s="16"/>
      <c r="W10956" s="16" t="s">
        <v>40</v>
      </c>
      <c r="X10956" s="19">
        <v>0.251</v>
      </c>
      <c r="Y10956" s="20">
        <v>9.7999999999999997E-4</v>
      </c>
      <c r="Z10956" s="21">
        <v>4601004131651</v>
      </c>
    </row>
    <row r="10957" spans="1:26" ht="12" customHeight="1" outlineLevel="4" x14ac:dyDescent="0.2">
      <c r="A10957" s="14" t="s">
        <v>20820</v>
      </c>
      <c r="B10957" s="26" t="s">
        <v>20821</v>
      </c>
      <c r="C10957" s="52"/>
      <c r="D10957" s="55">
        <f t="shared" si="171"/>
        <v>0</v>
      </c>
      <c r="E10957" s="63" t="str">
        <f>HYPERLINK("https://www.sds-group.ru/product/girlyanda-tvinkl-layt-15-m-temno-zelenyy-pvh-120-led-tsvet-belyy-303-055/", "Инфо")</f>
        <v>Инфо</v>
      </c>
      <c r="F10957" s="16" t="s">
        <v>39</v>
      </c>
      <c r="G10957" s="15"/>
      <c r="H10957" s="15"/>
      <c r="I10957" s="15"/>
      <c r="J10957" s="17">
        <v>423</v>
      </c>
      <c r="K10957" s="15"/>
      <c r="L10957" s="17">
        <v>1</v>
      </c>
      <c r="M10957" s="17">
        <v>60</v>
      </c>
      <c r="N10957" s="17">
        <v>1</v>
      </c>
      <c r="O10957" s="18">
        <v>705.25</v>
      </c>
      <c r="P10957" s="18">
        <v>578.07000000000005</v>
      </c>
      <c r="Q10957" s="18">
        <v>528.94000000000005</v>
      </c>
      <c r="R10957" s="18">
        <v>433.56</v>
      </c>
      <c r="S10957" s="18">
        <v>479.57</v>
      </c>
      <c r="T10957" s="18">
        <v>393.09</v>
      </c>
      <c r="U10957" s="16"/>
      <c r="V10957" s="16"/>
      <c r="W10957" s="16" t="s">
        <v>40</v>
      </c>
      <c r="X10957" s="19">
        <v>0.28999999999999998</v>
      </c>
      <c r="Y10957" s="20">
        <v>9.7900000000000005E-4</v>
      </c>
      <c r="Z10957" s="21">
        <v>4601004015579</v>
      </c>
    </row>
    <row r="10958" spans="1:26" ht="12" customHeight="1" outlineLevel="4" x14ac:dyDescent="0.2">
      <c r="A10958" s="32" t="s">
        <v>20822</v>
      </c>
      <c r="B10958" s="74" t="s">
        <v>20823</v>
      </c>
      <c r="C10958" s="50"/>
      <c r="D10958" s="53">
        <f t="shared" si="171"/>
        <v>0</v>
      </c>
      <c r="E10958" s="60" t="str">
        <f>HYPERLINK("https://www.sds-group.ru/product/girlyanda-tvinkl-layt-15-m-temno-zelenyy-pvh-120-led-tsvet-multikolor-303-059/", "Инфо")</f>
        <v>Инфо</v>
      </c>
      <c r="F10958" s="34" t="s">
        <v>39</v>
      </c>
      <c r="G10958" s="33"/>
      <c r="H10958" s="33" t="s">
        <v>40</v>
      </c>
      <c r="I10958" s="33"/>
      <c r="J10958" s="35">
        <v>20</v>
      </c>
      <c r="K10958" s="33"/>
      <c r="L10958" s="35">
        <v>1</v>
      </c>
      <c r="M10958" s="35">
        <v>60</v>
      </c>
      <c r="N10958" s="35">
        <v>1</v>
      </c>
      <c r="O10958" s="36">
        <v>705.25</v>
      </c>
      <c r="P10958" s="36">
        <v>578.07000000000005</v>
      </c>
      <c r="Q10958" s="36">
        <v>493.68</v>
      </c>
      <c r="R10958" s="36">
        <v>404.66</v>
      </c>
      <c r="S10958" s="36">
        <v>479.57</v>
      </c>
      <c r="T10958" s="36">
        <v>393.09</v>
      </c>
      <c r="U10958" s="34"/>
      <c r="V10958" s="34"/>
      <c r="W10958" s="34"/>
      <c r="X10958" s="37">
        <v>0.28899999999999998</v>
      </c>
      <c r="Y10958" s="38">
        <v>9.9799999999999997E-4</v>
      </c>
      <c r="Z10958" s="21">
        <v>4601004015593</v>
      </c>
    </row>
    <row r="10959" spans="1:26" ht="12" customHeight="1" outlineLevel="4" x14ac:dyDescent="0.2">
      <c r="A10959" s="14" t="s">
        <v>20824</v>
      </c>
      <c r="B10959" s="26" t="s">
        <v>20825</v>
      </c>
      <c r="C10959" s="52"/>
      <c r="D10959" s="55">
        <f t="shared" si="171"/>
        <v>0</v>
      </c>
      <c r="E10959" s="63" t="str">
        <f>HYPERLINK("https://www.sds-group.ru/product/girlyanda-tvinkl-layt-15-m-temno-zelenyy-pvh-120-led-tsvet-siniy-303-053/", "Инфо")</f>
        <v>Инфо</v>
      </c>
      <c r="F10959" s="16" t="s">
        <v>39</v>
      </c>
      <c r="G10959" s="15"/>
      <c r="H10959" s="15"/>
      <c r="I10959" s="15"/>
      <c r="J10959" s="17">
        <v>176</v>
      </c>
      <c r="K10959" s="15"/>
      <c r="L10959" s="17">
        <v>1</v>
      </c>
      <c r="M10959" s="17">
        <v>60</v>
      </c>
      <c r="N10959" s="17">
        <v>1</v>
      </c>
      <c r="O10959" s="18">
        <v>705.25</v>
      </c>
      <c r="P10959" s="18">
        <v>578.07000000000005</v>
      </c>
      <c r="Q10959" s="18">
        <v>528.94000000000005</v>
      </c>
      <c r="R10959" s="18">
        <v>433.56</v>
      </c>
      <c r="S10959" s="18">
        <v>479.57</v>
      </c>
      <c r="T10959" s="18">
        <v>393.09</v>
      </c>
      <c r="U10959" s="16"/>
      <c r="V10959" s="16"/>
      <c r="W10959" s="16" t="s">
        <v>40</v>
      </c>
      <c r="X10959" s="19">
        <v>0.29099999999999998</v>
      </c>
      <c r="Y10959" s="20">
        <v>9.8700000000000003E-4</v>
      </c>
      <c r="Z10959" s="21">
        <v>4601004090637</v>
      </c>
    </row>
    <row r="10960" spans="1:26" ht="12" customHeight="1" outlineLevel="4" x14ac:dyDescent="0.2">
      <c r="A10960" s="14" t="s">
        <v>20826</v>
      </c>
      <c r="B10960" s="26" t="s">
        <v>20827</v>
      </c>
      <c r="C10960" s="52"/>
      <c r="D10960" s="55">
        <f t="shared" si="171"/>
        <v>0</v>
      </c>
      <c r="E10960" s="63" t="str">
        <f>HYPERLINK("https://www.sds-group.ru/product/girlyanda-tvinkl-layt-15-m-temno-zelenyy-pvh-120-led-tsvet-teplyy-belyy-303-056/", "Инфо")</f>
        <v>Инфо</v>
      </c>
      <c r="F10960" s="16" t="s">
        <v>39</v>
      </c>
      <c r="G10960" s="15"/>
      <c r="H10960" s="15"/>
      <c r="I10960" s="15"/>
      <c r="J10960" s="17">
        <v>240</v>
      </c>
      <c r="K10960" s="15"/>
      <c r="L10960" s="17">
        <v>1</v>
      </c>
      <c r="M10960" s="17">
        <v>60</v>
      </c>
      <c r="N10960" s="17">
        <v>1</v>
      </c>
      <c r="O10960" s="18">
        <v>705.25</v>
      </c>
      <c r="P10960" s="18">
        <v>578.07000000000005</v>
      </c>
      <c r="Q10960" s="18">
        <v>528.94000000000005</v>
      </c>
      <c r="R10960" s="18">
        <v>433.56</v>
      </c>
      <c r="S10960" s="18">
        <v>479.57</v>
      </c>
      <c r="T10960" s="18">
        <v>393.09</v>
      </c>
      <c r="U10960" s="16"/>
      <c r="V10960" s="16"/>
      <c r="W10960" s="16" t="s">
        <v>40</v>
      </c>
      <c r="X10960" s="19">
        <v>0.29199999999999998</v>
      </c>
      <c r="Y10960" s="20">
        <v>9.8999999999999999E-4</v>
      </c>
      <c r="Z10960" s="21">
        <v>4601004015586</v>
      </c>
    </row>
    <row r="10961" spans="1:26" ht="12.95" customHeight="1" outlineLevel="3" x14ac:dyDescent="0.2">
      <c r="A10961" s="76" t="s">
        <v>20828</v>
      </c>
      <c r="B10961" s="76"/>
      <c r="C10961" s="77"/>
      <c r="D10961" s="58"/>
      <c r="E10961" s="68"/>
      <c r="F10961" s="13"/>
      <c r="G10961" s="13"/>
      <c r="H10961" s="13"/>
      <c r="I10961" s="13"/>
      <c r="J10961" s="13"/>
      <c r="K10961" s="13"/>
      <c r="L10961" s="13"/>
      <c r="M10961" s="13"/>
      <c r="N10961" s="13"/>
      <c r="O10961" s="13"/>
      <c r="P10961" s="13"/>
      <c r="Q10961" s="13"/>
      <c r="R10961" s="13"/>
      <c r="S10961" s="13"/>
      <c r="T10961" s="13"/>
      <c r="U10961" s="13"/>
      <c r="V10961" s="13"/>
      <c r="W10961" s="13"/>
      <c r="X10961" s="13"/>
      <c r="Y10961" s="13"/>
      <c r="Z10961" s="13"/>
    </row>
    <row r="10962" spans="1:26" ht="12" customHeight="1" outlineLevel="4" x14ac:dyDescent="0.2">
      <c r="A10962" s="14" t="s">
        <v>20829</v>
      </c>
      <c r="B10962" s="26" t="s">
        <v>20830</v>
      </c>
      <c r="C10962" s="52"/>
      <c r="D10962" s="55">
        <f t="shared" si="171"/>
        <v>0</v>
      </c>
      <c r="E10962" s="63" t="str">
        <f>HYPERLINK("https://www.sds-group.ru/product/girlyanda-svetodiodnaya-universalnaya-200-led-belye-20-metrov-s-kontrollerom-303-106/", "Инфо")</f>
        <v>Инфо</v>
      </c>
      <c r="F10962" s="16" t="s">
        <v>39</v>
      </c>
      <c r="G10962" s="15"/>
      <c r="H10962" s="15"/>
      <c r="I10962" s="15"/>
      <c r="J10962" s="17">
        <v>221</v>
      </c>
      <c r="K10962" s="15"/>
      <c r="L10962" s="17">
        <v>1</v>
      </c>
      <c r="M10962" s="17">
        <v>24</v>
      </c>
      <c r="N10962" s="17">
        <v>1</v>
      </c>
      <c r="O10962" s="18">
        <v>1076.94</v>
      </c>
      <c r="P10962" s="18">
        <v>882.74</v>
      </c>
      <c r="Q10962" s="18">
        <v>861.55</v>
      </c>
      <c r="R10962" s="18">
        <v>706.19</v>
      </c>
      <c r="S10962" s="18">
        <v>732.32</v>
      </c>
      <c r="T10962" s="18">
        <v>600.26</v>
      </c>
      <c r="U10962" s="16"/>
      <c r="V10962" s="16"/>
      <c r="W10962" s="16" t="s">
        <v>40</v>
      </c>
      <c r="X10962" s="19">
        <v>0.31</v>
      </c>
      <c r="Y10962" s="20">
        <v>1.1770000000000001E-3</v>
      </c>
      <c r="Z10962" s="21">
        <v>4601004130494</v>
      </c>
    </row>
    <row r="10963" spans="1:26" ht="12" customHeight="1" outlineLevel="4" x14ac:dyDescent="0.2">
      <c r="A10963" s="32" t="s">
        <v>20831</v>
      </c>
      <c r="B10963" s="74" t="s">
        <v>20832</v>
      </c>
      <c r="C10963" s="50"/>
      <c r="D10963" s="53">
        <f t="shared" si="171"/>
        <v>0</v>
      </c>
      <c r="E10963" s="60" t="str">
        <f>HYPERLINK("https://www.sds-group.ru/product/girlyanda-svetodiodnaya-universalnaya-200-led-multikolor-20-metrov-s-kontrollerom-304-119/", "Инфо")</f>
        <v>Инфо</v>
      </c>
      <c r="F10963" s="34" t="s">
        <v>39</v>
      </c>
      <c r="G10963" s="33"/>
      <c r="H10963" s="33" t="s">
        <v>40</v>
      </c>
      <c r="I10963" s="33"/>
      <c r="J10963" s="35">
        <v>72</v>
      </c>
      <c r="K10963" s="33"/>
      <c r="L10963" s="35">
        <v>1</v>
      </c>
      <c r="M10963" s="35">
        <v>24</v>
      </c>
      <c r="N10963" s="35">
        <v>1</v>
      </c>
      <c r="O10963" s="36">
        <v>1076.94</v>
      </c>
      <c r="P10963" s="36">
        <v>882.74</v>
      </c>
      <c r="Q10963" s="36">
        <v>861.55</v>
      </c>
      <c r="R10963" s="36">
        <v>706.19</v>
      </c>
      <c r="S10963" s="36">
        <v>732.32</v>
      </c>
      <c r="T10963" s="36">
        <v>600.26</v>
      </c>
      <c r="U10963" s="34"/>
      <c r="V10963" s="34"/>
      <c r="W10963" s="34" t="s">
        <v>40</v>
      </c>
      <c r="X10963" s="37">
        <v>0.311</v>
      </c>
      <c r="Y10963" s="38">
        <v>1.163E-3</v>
      </c>
      <c r="Z10963" s="21">
        <v>4601004258006</v>
      </c>
    </row>
    <row r="10964" spans="1:26" ht="12" customHeight="1" outlineLevel="4" x14ac:dyDescent="0.2">
      <c r="A10964" s="32" t="s">
        <v>20833</v>
      </c>
      <c r="B10964" s="74" t="s">
        <v>20834</v>
      </c>
      <c r="C10964" s="50"/>
      <c r="D10964" s="53">
        <f t="shared" si="171"/>
        <v>0</v>
      </c>
      <c r="E10964" s="60" t="str">
        <f>HYPERLINK("https://www.sds-group.ru/product/girlyanda-svetodiodnaya-universalnaya-200-led-teplyy-belyy-20-metrov-s-kontrollerom-304-116/", "Инфо")</f>
        <v>Инфо</v>
      </c>
      <c r="F10964" s="34" t="s">
        <v>39</v>
      </c>
      <c r="G10964" s="33"/>
      <c r="H10964" s="33" t="s">
        <v>40</v>
      </c>
      <c r="I10964" s="33"/>
      <c r="J10964" s="35">
        <v>1</v>
      </c>
      <c r="K10964" s="33"/>
      <c r="L10964" s="35">
        <v>1</v>
      </c>
      <c r="M10964" s="35">
        <v>24</v>
      </c>
      <c r="N10964" s="35">
        <v>1</v>
      </c>
      <c r="O10964" s="36">
        <v>1076.94</v>
      </c>
      <c r="P10964" s="36">
        <v>882.74</v>
      </c>
      <c r="Q10964" s="36">
        <v>861.55</v>
      </c>
      <c r="R10964" s="36">
        <v>706.19</v>
      </c>
      <c r="S10964" s="36">
        <v>732.32</v>
      </c>
      <c r="T10964" s="36">
        <v>600.26</v>
      </c>
      <c r="U10964" s="34"/>
      <c r="V10964" s="34"/>
      <c r="W10964" s="34" t="s">
        <v>40</v>
      </c>
      <c r="X10964" s="37">
        <v>0.31</v>
      </c>
      <c r="Y10964" s="38">
        <v>1.178E-3</v>
      </c>
      <c r="Z10964" s="21">
        <v>4601004257986</v>
      </c>
    </row>
    <row r="10965" spans="1:26" ht="12" customHeight="1" outlineLevel="4" x14ac:dyDescent="0.2">
      <c r="A10965" s="14" t="s">
        <v>20835</v>
      </c>
      <c r="B10965" s="26" t="s">
        <v>20836</v>
      </c>
      <c r="C10965" s="52"/>
      <c r="D10965" s="55">
        <f t="shared" si="171"/>
        <v>0</v>
      </c>
      <c r="E10965" s="63" t="str">
        <f>HYPERLINK("https://www.sds-group.ru/product/girlyanda-tvinkl-layt-20-m-prozrachnyy-pvh-160-led-tsvet-belyy-303-305/", "Инфо")</f>
        <v>Инфо</v>
      </c>
      <c r="F10965" s="16" t="s">
        <v>39</v>
      </c>
      <c r="G10965" s="15"/>
      <c r="H10965" s="15"/>
      <c r="I10965" s="15"/>
      <c r="J10965" s="17">
        <v>95</v>
      </c>
      <c r="K10965" s="15"/>
      <c r="L10965" s="17">
        <v>1</v>
      </c>
      <c r="M10965" s="17">
        <v>36</v>
      </c>
      <c r="N10965" s="17">
        <v>1</v>
      </c>
      <c r="O10965" s="18">
        <v>915.39</v>
      </c>
      <c r="P10965" s="18">
        <v>750.32</v>
      </c>
      <c r="Q10965" s="18">
        <v>686.54</v>
      </c>
      <c r="R10965" s="18">
        <v>562.74</v>
      </c>
      <c r="S10965" s="18">
        <v>622.47</v>
      </c>
      <c r="T10965" s="18">
        <v>510.22</v>
      </c>
      <c r="U10965" s="16"/>
      <c r="V10965" s="16"/>
      <c r="W10965" s="16" t="s">
        <v>40</v>
      </c>
      <c r="X10965" s="19">
        <v>0.317</v>
      </c>
      <c r="Y10965" s="20">
        <v>1.444E-3</v>
      </c>
      <c r="Z10965" s="21">
        <v>4601004258020</v>
      </c>
    </row>
    <row r="10966" spans="1:26" ht="12" customHeight="1" outlineLevel="4" x14ac:dyDescent="0.2">
      <c r="A10966" s="14" t="s">
        <v>20837</v>
      </c>
      <c r="B10966" s="26" t="s">
        <v>20838</v>
      </c>
      <c r="C10966" s="52"/>
      <c r="D10966" s="55">
        <f t="shared" si="171"/>
        <v>0</v>
      </c>
      <c r="E10966" s="63" t="str">
        <f>HYPERLINK("https://www.sds-group.ru/product/girlyanda-tvinkl-layt-20-m-prozrachnyy-pvh-160-led-tsvet-multikolor-303-309/", "Инфо")</f>
        <v>Инфо</v>
      </c>
      <c r="F10966" s="16" t="s">
        <v>39</v>
      </c>
      <c r="G10966" s="15"/>
      <c r="H10966" s="15"/>
      <c r="I10966" s="15"/>
      <c r="J10966" s="17">
        <v>243</v>
      </c>
      <c r="K10966" s="15"/>
      <c r="L10966" s="17">
        <v>1</v>
      </c>
      <c r="M10966" s="17">
        <v>36</v>
      </c>
      <c r="N10966" s="17">
        <v>1</v>
      </c>
      <c r="O10966" s="18">
        <v>915.39</v>
      </c>
      <c r="P10966" s="18">
        <v>750.32</v>
      </c>
      <c r="Q10966" s="18">
        <v>686.54</v>
      </c>
      <c r="R10966" s="18">
        <v>562.74</v>
      </c>
      <c r="S10966" s="18">
        <v>622.47</v>
      </c>
      <c r="T10966" s="18">
        <v>510.22</v>
      </c>
      <c r="U10966" s="16"/>
      <c r="V10966" s="16"/>
      <c r="W10966" s="16" t="s">
        <v>40</v>
      </c>
      <c r="X10966" s="19">
        <v>0.318</v>
      </c>
      <c r="Y10966" s="20">
        <v>1.4760000000000001E-3</v>
      </c>
      <c r="Z10966" s="21">
        <v>4601004258068</v>
      </c>
    </row>
    <row r="10967" spans="1:26" ht="12" customHeight="1" outlineLevel="4" x14ac:dyDescent="0.2">
      <c r="A10967" s="14" t="s">
        <v>20839</v>
      </c>
      <c r="B10967" s="26" t="s">
        <v>20840</v>
      </c>
      <c r="C10967" s="52"/>
      <c r="D10967" s="55">
        <f t="shared" si="171"/>
        <v>0</v>
      </c>
      <c r="E10967" s="63" t="str">
        <f>HYPERLINK("https://www.sds-group.ru/product/girlyanda-tvinkl-layt-20-m-prozrachnyy-pvh-160-led-tsvet-teplyy-belyy-303-306/", "Инфо")</f>
        <v>Инфо</v>
      </c>
      <c r="F10967" s="16" t="s">
        <v>39</v>
      </c>
      <c r="G10967" s="15"/>
      <c r="H10967" s="15"/>
      <c r="I10967" s="15"/>
      <c r="J10967" s="17">
        <v>69</v>
      </c>
      <c r="K10967" s="15"/>
      <c r="L10967" s="17">
        <v>1</v>
      </c>
      <c r="M10967" s="17">
        <v>36</v>
      </c>
      <c r="N10967" s="17">
        <v>1</v>
      </c>
      <c r="O10967" s="18">
        <v>915.39</v>
      </c>
      <c r="P10967" s="18">
        <v>750.32</v>
      </c>
      <c r="Q10967" s="18">
        <v>686.54</v>
      </c>
      <c r="R10967" s="18">
        <v>562.74</v>
      </c>
      <c r="S10967" s="18">
        <v>622.47</v>
      </c>
      <c r="T10967" s="18">
        <v>510.22</v>
      </c>
      <c r="U10967" s="16"/>
      <c r="V10967" s="16"/>
      <c r="W10967" s="16" t="s">
        <v>40</v>
      </c>
      <c r="X10967" s="19">
        <v>0.317</v>
      </c>
      <c r="Y10967" s="20">
        <v>1.4610000000000001E-3</v>
      </c>
      <c r="Z10967" s="21">
        <v>4601004258044</v>
      </c>
    </row>
    <row r="10968" spans="1:26" ht="12" customHeight="1" outlineLevel="4" x14ac:dyDescent="0.2">
      <c r="A10968" s="32" t="s">
        <v>20841</v>
      </c>
      <c r="B10968" s="74" t="s">
        <v>20842</v>
      </c>
      <c r="C10968" s="50"/>
      <c r="D10968" s="53">
        <f t="shared" si="171"/>
        <v>0</v>
      </c>
      <c r="E10968" s="60" t="str">
        <f>HYPERLINK("https://www.sds-group.ru/product/girlyanda-tvinkl-layt-20-m-temno-zelenyy-pvh-160-led-tsvet-belyy-303-115/", "Инфо")</f>
        <v>Инфо</v>
      </c>
      <c r="F10968" s="34" t="s">
        <v>39</v>
      </c>
      <c r="G10968" s="33"/>
      <c r="H10968" s="33" t="s">
        <v>40</v>
      </c>
      <c r="I10968" s="33"/>
      <c r="J10968" s="34" t="s">
        <v>100</v>
      </c>
      <c r="K10968" s="33"/>
      <c r="L10968" s="35">
        <v>1</v>
      </c>
      <c r="M10968" s="35">
        <v>48</v>
      </c>
      <c r="N10968" s="35">
        <v>1</v>
      </c>
      <c r="O10968" s="36">
        <v>915.39</v>
      </c>
      <c r="P10968" s="36">
        <v>750.32</v>
      </c>
      <c r="Q10968" s="36">
        <v>686.54</v>
      </c>
      <c r="R10968" s="36">
        <v>562.74</v>
      </c>
      <c r="S10968" s="36">
        <v>622.47</v>
      </c>
      <c r="T10968" s="36">
        <v>510.22</v>
      </c>
      <c r="U10968" s="34"/>
      <c r="V10968" s="34"/>
      <c r="W10968" s="34" t="s">
        <v>40</v>
      </c>
      <c r="X10968" s="37">
        <v>0.35899999999999999</v>
      </c>
      <c r="Y10968" s="38">
        <v>1.4630000000000001E-3</v>
      </c>
      <c r="Z10968" s="21">
        <v>4601004148734</v>
      </c>
    </row>
    <row r="10969" spans="1:26" ht="12" customHeight="1" outlineLevel="4" x14ac:dyDescent="0.2">
      <c r="A10969" s="14" t="s">
        <v>20843</v>
      </c>
      <c r="B10969" s="26" t="s">
        <v>20844</v>
      </c>
      <c r="C10969" s="52"/>
      <c r="D10969" s="55">
        <f t="shared" si="171"/>
        <v>0</v>
      </c>
      <c r="E10969" s="63" t="str">
        <f>HYPERLINK("https://www.sds-group.ru/product/girlyanda-tvinkl-layt-20-m-temno-zelenyy-pvh-160-led-tsvet-multikolor-303-119/", "Инфо")</f>
        <v>Инфо</v>
      </c>
      <c r="F10969" s="16" t="s">
        <v>39</v>
      </c>
      <c r="G10969" s="15"/>
      <c r="H10969" s="15"/>
      <c r="I10969" s="15"/>
      <c r="J10969" s="17">
        <v>285</v>
      </c>
      <c r="K10969" s="15"/>
      <c r="L10969" s="17">
        <v>1</v>
      </c>
      <c r="M10969" s="17">
        <v>36</v>
      </c>
      <c r="N10969" s="17">
        <v>1</v>
      </c>
      <c r="O10969" s="18">
        <v>915.39</v>
      </c>
      <c r="P10969" s="18">
        <v>750.32</v>
      </c>
      <c r="Q10969" s="18">
        <v>686.54</v>
      </c>
      <c r="R10969" s="18">
        <v>562.74</v>
      </c>
      <c r="S10969" s="18">
        <v>622.47</v>
      </c>
      <c r="T10969" s="18">
        <v>510.22</v>
      </c>
      <c r="U10969" s="16"/>
      <c r="V10969" s="16"/>
      <c r="W10969" s="16" t="s">
        <v>40</v>
      </c>
      <c r="X10969" s="19">
        <v>0.371</v>
      </c>
      <c r="Y10969" s="20">
        <v>1.4779999999999999E-3</v>
      </c>
      <c r="Z10969" s="21">
        <v>4601004148628</v>
      </c>
    </row>
    <row r="10970" spans="1:26" ht="12" customHeight="1" outlineLevel="4" x14ac:dyDescent="0.2">
      <c r="A10970" s="14" t="s">
        <v>20845</v>
      </c>
      <c r="B10970" s="26" t="s">
        <v>20846</v>
      </c>
      <c r="C10970" s="52"/>
      <c r="D10970" s="55">
        <f t="shared" si="171"/>
        <v>0</v>
      </c>
      <c r="E10970" s="63" t="str">
        <f>HYPERLINK("https://www.sds-group.ru/product/girlyanda-tvinkl-layt-20-m-temno-zelenyy-pvh-160-led-tsvet-teplyy-belyy-303-116/", "Инфо")</f>
        <v>Инфо</v>
      </c>
      <c r="F10970" s="16" t="s">
        <v>39</v>
      </c>
      <c r="G10970" s="15"/>
      <c r="H10970" s="15"/>
      <c r="I10970" s="15"/>
      <c r="J10970" s="17">
        <v>83</v>
      </c>
      <c r="K10970" s="15"/>
      <c r="L10970" s="17">
        <v>1</v>
      </c>
      <c r="M10970" s="17">
        <v>48</v>
      </c>
      <c r="N10970" s="17">
        <v>1</v>
      </c>
      <c r="O10970" s="18">
        <v>915.39</v>
      </c>
      <c r="P10970" s="18">
        <v>750.32</v>
      </c>
      <c r="Q10970" s="18">
        <v>686.54</v>
      </c>
      <c r="R10970" s="18">
        <v>562.74</v>
      </c>
      <c r="S10970" s="18">
        <v>622.47</v>
      </c>
      <c r="T10970" s="18">
        <v>510.22</v>
      </c>
      <c r="U10970" s="16"/>
      <c r="V10970" s="16"/>
      <c r="W10970" s="16" t="s">
        <v>40</v>
      </c>
      <c r="X10970" s="19">
        <v>0.36099999999999999</v>
      </c>
      <c r="Y10970" s="20">
        <v>1.4660000000000001E-3</v>
      </c>
      <c r="Z10970" s="21">
        <v>4601004148741</v>
      </c>
    </row>
    <row r="10971" spans="1:26" ht="12.95" customHeight="1" outlineLevel="2" x14ac:dyDescent="0.2">
      <c r="A10971" s="76" t="s">
        <v>20847</v>
      </c>
      <c r="B10971" s="76"/>
      <c r="C10971" s="77"/>
      <c r="D10971" s="58"/>
      <c r="E10971" s="68"/>
      <c r="F10971" s="13"/>
      <c r="G10971" s="13"/>
      <c r="H10971" s="13"/>
      <c r="I10971" s="13"/>
      <c r="J10971" s="13"/>
      <c r="K10971" s="13"/>
      <c r="L10971" s="13"/>
      <c r="M10971" s="13"/>
      <c r="N10971" s="13"/>
      <c r="O10971" s="13"/>
      <c r="P10971" s="13"/>
      <c r="Q10971" s="13"/>
      <c r="R10971" s="13"/>
      <c r="S10971" s="13"/>
      <c r="T10971" s="13"/>
      <c r="U10971" s="13"/>
      <c r="V10971" s="13"/>
      <c r="W10971" s="13"/>
      <c r="X10971" s="13"/>
      <c r="Y10971" s="13"/>
      <c r="Z10971" s="13"/>
    </row>
    <row r="10972" spans="1:26" ht="12" customHeight="1" outlineLevel="3" x14ac:dyDescent="0.2">
      <c r="A10972" s="14" t="s">
        <v>20848</v>
      </c>
      <c r="B10972" s="26" t="s">
        <v>20849</v>
      </c>
      <c r="C10972" s="52"/>
      <c r="D10972" s="55">
        <f t="shared" si="171"/>
        <v>0</v>
      </c>
      <c r="E10972" s="63" t="str">
        <f>HYPERLINK("https://www.sds-group.ru/product/girlyanda-svetodiodnaya-iz-rosy-s-makushkoy-na-elku-9-nitey-h-2m-200led-effekt-vodopada-tepl-315-896/", "Инфо")</f>
        <v>Инфо</v>
      </c>
      <c r="F10972" s="16" t="s">
        <v>39</v>
      </c>
      <c r="G10972" s="15"/>
      <c r="H10972" s="15"/>
      <c r="I10972" s="15"/>
      <c r="J10972" s="17">
        <v>5</v>
      </c>
      <c r="K10972" s="15" t="s">
        <v>6174</v>
      </c>
      <c r="L10972" s="17">
        <v>1</v>
      </c>
      <c r="M10972" s="17">
        <v>36</v>
      </c>
      <c r="N10972" s="17">
        <v>1</v>
      </c>
      <c r="O10972" s="18">
        <v>1738.3</v>
      </c>
      <c r="P10972" s="18">
        <v>1424.84</v>
      </c>
      <c r="Q10972" s="18">
        <v>1390.64</v>
      </c>
      <c r="R10972" s="18">
        <v>1139.8699999999999</v>
      </c>
      <c r="S10972" s="18">
        <v>1182.04</v>
      </c>
      <c r="T10972" s="18">
        <v>968.89</v>
      </c>
      <c r="U10972" s="16"/>
      <c r="V10972" s="16"/>
      <c r="W10972" s="16" t="s">
        <v>40</v>
      </c>
      <c r="X10972" s="19">
        <v>0.41</v>
      </c>
      <c r="Y10972" s="20">
        <v>3.3050000000000002E-3</v>
      </c>
      <c r="Z10972" s="21">
        <v>4601004283527</v>
      </c>
    </row>
    <row r="10973" spans="1:26" ht="12" customHeight="1" outlineLevel="3" x14ac:dyDescent="0.2">
      <c r="A10973" s="32" t="s">
        <v>20850</v>
      </c>
      <c r="B10973" s="74" t="s">
        <v>20851</v>
      </c>
      <c r="C10973" s="50"/>
      <c r="D10973" s="53">
        <f t="shared" si="171"/>
        <v>0</v>
      </c>
      <c r="E10973" s="60" t="str">
        <f>HYPERLINK("https://www.sds-group.ru/product/elochnaya-girlyanda-s-koltsom-7-nitey-po-1-5-metra-tsvet-diodov-belyy-ne-soedinyaetsya-235-075/", "Инфо")</f>
        <v>Инфо</v>
      </c>
      <c r="F10973" s="34" t="s">
        <v>39</v>
      </c>
      <c r="G10973" s="33"/>
      <c r="H10973" s="33" t="s">
        <v>40</v>
      </c>
      <c r="I10973" s="33"/>
      <c r="J10973" s="34" t="s">
        <v>100</v>
      </c>
      <c r="K10973" s="33"/>
      <c r="L10973" s="35">
        <v>1</v>
      </c>
      <c r="M10973" s="35">
        <v>48</v>
      </c>
      <c r="N10973" s="35">
        <v>1</v>
      </c>
      <c r="O10973" s="36">
        <v>1363.22</v>
      </c>
      <c r="P10973" s="36">
        <v>1117.3900000000001</v>
      </c>
      <c r="Q10973" s="36">
        <v>1076.94</v>
      </c>
      <c r="R10973" s="36">
        <v>882.74</v>
      </c>
      <c r="S10973" s="36">
        <v>926.99</v>
      </c>
      <c r="T10973" s="36">
        <v>759.83</v>
      </c>
      <c r="U10973" s="34"/>
      <c r="V10973" s="34"/>
      <c r="W10973" s="34" t="s">
        <v>40</v>
      </c>
      <c r="X10973" s="37">
        <v>0.20399999999999999</v>
      </c>
      <c r="Y10973" s="38">
        <v>1.1770000000000001E-3</v>
      </c>
      <c r="Z10973" s="21">
        <v>4601004148635</v>
      </c>
    </row>
    <row r="10974" spans="1:26" ht="12" customHeight="1" outlineLevel="3" x14ac:dyDescent="0.2">
      <c r="A10974" s="32" t="s">
        <v>20852</v>
      </c>
      <c r="B10974" s="74" t="s">
        <v>20853</v>
      </c>
      <c r="C10974" s="50"/>
      <c r="D10974" s="53">
        <f t="shared" si="171"/>
        <v>0</v>
      </c>
      <c r="E10974" s="60" t="str">
        <f>HYPERLINK("https://www.sds-group.ru/product/elochnaya-girlyanda-s-koltsom-7-nitey-po-1-5-metra-tsvet-diodov-multikolor-ne-soedinyaetsya-235-079/", "Инфо")</f>
        <v>Инфо</v>
      </c>
      <c r="F10974" s="34" t="s">
        <v>39</v>
      </c>
      <c r="G10974" s="33"/>
      <c r="H10974" s="33" t="s">
        <v>40</v>
      </c>
      <c r="I10974" s="33"/>
      <c r="J10974" s="35">
        <v>49</v>
      </c>
      <c r="K10974" s="33"/>
      <c r="L10974" s="35">
        <v>1</v>
      </c>
      <c r="M10974" s="35">
        <v>36</v>
      </c>
      <c r="N10974" s="35">
        <v>1</v>
      </c>
      <c r="O10974" s="36">
        <v>1363.22</v>
      </c>
      <c r="P10974" s="36">
        <v>1117.3900000000001</v>
      </c>
      <c r="Q10974" s="36">
        <v>1076.94</v>
      </c>
      <c r="R10974" s="36">
        <v>882.74</v>
      </c>
      <c r="S10974" s="36">
        <v>926.99</v>
      </c>
      <c r="T10974" s="36">
        <v>759.83</v>
      </c>
      <c r="U10974" s="34"/>
      <c r="V10974" s="34"/>
      <c r="W10974" s="34" t="s">
        <v>40</v>
      </c>
      <c r="X10974" s="37">
        <v>0.20599999999999999</v>
      </c>
      <c r="Y10974" s="38">
        <v>1.0349999999999999E-3</v>
      </c>
      <c r="Z10974" s="21">
        <v>4601004148659</v>
      </c>
    </row>
    <row r="10975" spans="1:26" ht="12" customHeight="1" outlineLevel="3" x14ac:dyDescent="0.2">
      <c r="A10975" s="14" t="s">
        <v>20854</v>
      </c>
      <c r="B10975" s="26" t="s">
        <v>20855</v>
      </c>
      <c r="C10975" s="52"/>
      <c r="D10975" s="55">
        <f t="shared" si="171"/>
        <v>0</v>
      </c>
      <c r="E10975" s="63" t="str">
        <f>HYPERLINK("https://www.sds-group.ru/product/elochnaya-girlyanda-s-koltsom-7-nitey-po-1-5-metra-tsvet-diodov-teplyy-belyy-ne-soedinyaetsy-235-076/", "Инфо")</f>
        <v>Инфо</v>
      </c>
      <c r="F10975" s="16" t="s">
        <v>39</v>
      </c>
      <c r="G10975" s="15"/>
      <c r="H10975" s="15"/>
      <c r="I10975" s="15"/>
      <c r="J10975" s="16" t="s">
        <v>100</v>
      </c>
      <c r="K10975" s="15"/>
      <c r="L10975" s="17">
        <v>1</v>
      </c>
      <c r="M10975" s="17">
        <v>48</v>
      </c>
      <c r="N10975" s="17">
        <v>1</v>
      </c>
      <c r="O10975" s="18">
        <v>1363.22</v>
      </c>
      <c r="P10975" s="18">
        <v>1117.3900000000001</v>
      </c>
      <c r="Q10975" s="18">
        <v>1076.94</v>
      </c>
      <c r="R10975" s="18">
        <v>882.74</v>
      </c>
      <c r="S10975" s="18">
        <v>926.99</v>
      </c>
      <c r="T10975" s="18">
        <v>759.83</v>
      </c>
      <c r="U10975" s="16"/>
      <c r="V10975" s="16"/>
      <c r="W10975" s="16" t="s">
        <v>40</v>
      </c>
      <c r="X10975" s="19">
        <v>0.20899999999999999</v>
      </c>
      <c r="Y10975" s="20">
        <v>9.3499999999999996E-4</v>
      </c>
      <c r="Z10975" s="21">
        <v>4601004148642</v>
      </c>
    </row>
    <row r="10976" spans="1:26" ht="12" customHeight="1" outlineLevel="3" x14ac:dyDescent="0.2">
      <c r="A10976" s="14" t="s">
        <v>20856</v>
      </c>
      <c r="B10976" s="26" t="s">
        <v>20857</v>
      </c>
      <c r="C10976" s="52"/>
      <c r="D10976" s="55">
        <f t="shared" si="171"/>
        <v>0</v>
      </c>
      <c r="E10976" s="63" t="str">
        <f>HYPERLINK("https://www.sds-group.ru/product/elochnaya-girlyanda-s-koltsom-7-nitey-po-1-8-metra-tsvet-diodov-belyy-ne-soedinyaetsya-235-085/", "Инфо")</f>
        <v>Инфо</v>
      </c>
      <c r="F10976" s="16" t="s">
        <v>39</v>
      </c>
      <c r="G10976" s="15"/>
      <c r="H10976" s="15"/>
      <c r="I10976" s="15"/>
      <c r="J10976" s="17">
        <v>101</v>
      </c>
      <c r="K10976" s="15"/>
      <c r="L10976" s="17">
        <v>1</v>
      </c>
      <c r="M10976" s="17">
        <v>48</v>
      </c>
      <c r="N10976" s="17">
        <v>1</v>
      </c>
      <c r="O10976" s="18">
        <v>1623.86</v>
      </c>
      <c r="P10976" s="18">
        <v>1331.03</v>
      </c>
      <c r="Q10976" s="18">
        <v>1282.8499999999999</v>
      </c>
      <c r="R10976" s="18">
        <v>1051.52</v>
      </c>
      <c r="S10976" s="18">
        <v>1104.22</v>
      </c>
      <c r="T10976" s="18">
        <v>905.1</v>
      </c>
      <c r="U10976" s="16"/>
      <c r="V10976" s="16"/>
      <c r="W10976" s="16" t="s">
        <v>40</v>
      </c>
      <c r="X10976" s="19">
        <v>0.23300000000000001</v>
      </c>
      <c r="Y10976" s="20">
        <v>1.1310000000000001E-3</v>
      </c>
      <c r="Z10976" s="21">
        <v>4601004148666</v>
      </c>
    </row>
    <row r="10977" spans="1:26" ht="12" customHeight="1" outlineLevel="3" x14ac:dyDescent="0.2">
      <c r="A10977" s="14" t="s">
        <v>20858</v>
      </c>
      <c r="B10977" s="26" t="s">
        <v>20859</v>
      </c>
      <c r="C10977" s="52"/>
      <c r="D10977" s="55">
        <f t="shared" si="171"/>
        <v>0</v>
      </c>
      <c r="E10977" s="63" t="str">
        <f>HYPERLINK("https://www.sds-group.ru/product/elochnaya-girlyanda-s-koltsom-7-nitey-po-1-8-metra-tsvet-diodov-multikolor-ne-soedinyaetsya-235-089/", "Инфо")</f>
        <v>Инфо</v>
      </c>
      <c r="F10977" s="16" t="s">
        <v>39</v>
      </c>
      <c r="G10977" s="15"/>
      <c r="H10977" s="15"/>
      <c r="I10977" s="15"/>
      <c r="J10977" s="17">
        <v>228</v>
      </c>
      <c r="K10977" s="15"/>
      <c r="L10977" s="17">
        <v>1</v>
      </c>
      <c r="M10977" s="17">
        <v>48</v>
      </c>
      <c r="N10977" s="17">
        <v>1</v>
      </c>
      <c r="O10977" s="18">
        <v>1623.86</v>
      </c>
      <c r="P10977" s="18">
        <v>1331.03</v>
      </c>
      <c r="Q10977" s="18">
        <v>1136.7</v>
      </c>
      <c r="R10977" s="18">
        <v>931.72</v>
      </c>
      <c r="S10977" s="18">
        <v>1104.22</v>
      </c>
      <c r="T10977" s="18">
        <v>905.1</v>
      </c>
      <c r="U10977" s="16"/>
      <c r="V10977" s="16"/>
      <c r="W10977" s="16"/>
      <c r="X10977" s="19">
        <v>0.23400000000000001</v>
      </c>
      <c r="Y10977" s="20">
        <v>9.2000000000000003E-4</v>
      </c>
      <c r="Z10977" s="21">
        <v>4601004148680</v>
      </c>
    </row>
    <row r="10978" spans="1:26" ht="12" customHeight="1" outlineLevel="3" x14ac:dyDescent="0.2">
      <c r="A10978" s="32" t="s">
        <v>20860</v>
      </c>
      <c r="B10978" s="74" t="s">
        <v>20861</v>
      </c>
      <c r="C10978" s="50"/>
      <c r="D10978" s="53">
        <f t="shared" si="171"/>
        <v>0</v>
      </c>
      <c r="E10978" s="60" t="str">
        <f>HYPERLINK("https://www.sds-group.ru/product/elochnaya-girlyanda-s-koltsom-7-nitey-po-1-8-metra-tsvet-diodov-teplyy-belyy-ne-soedinyaetsy-235-086/", "Инфо")</f>
        <v>Инфо</v>
      </c>
      <c r="F10978" s="34" t="s">
        <v>39</v>
      </c>
      <c r="G10978" s="33"/>
      <c r="H10978" s="33" t="s">
        <v>40</v>
      </c>
      <c r="I10978" s="33"/>
      <c r="J10978" s="35">
        <v>34</v>
      </c>
      <c r="K10978" s="33"/>
      <c r="L10978" s="35">
        <v>1</v>
      </c>
      <c r="M10978" s="35">
        <v>48</v>
      </c>
      <c r="N10978" s="35">
        <v>1</v>
      </c>
      <c r="O10978" s="36">
        <v>1623.86</v>
      </c>
      <c r="P10978" s="36">
        <v>1331.03</v>
      </c>
      <c r="Q10978" s="36">
        <v>1282.8499999999999</v>
      </c>
      <c r="R10978" s="36">
        <v>1051.52</v>
      </c>
      <c r="S10978" s="36">
        <v>1104.22</v>
      </c>
      <c r="T10978" s="36">
        <v>905.1</v>
      </c>
      <c r="U10978" s="34"/>
      <c r="V10978" s="34"/>
      <c r="W10978" s="34" t="s">
        <v>40</v>
      </c>
      <c r="X10978" s="37">
        <v>0.29699999999999999</v>
      </c>
      <c r="Y10978" s="38">
        <v>1.683E-3</v>
      </c>
      <c r="Z10978" s="21">
        <v>4601004148673</v>
      </c>
    </row>
    <row r="10979" spans="1:26" ht="12.95" customHeight="1" outlineLevel="2" x14ac:dyDescent="0.2">
      <c r="A10979" s="76" t="s">
        <v>20862</v>
      </c>
      <c r="B10979" s="76"/>
      <c r="C10979" s="77"/>
      <c r="D10979" s="58"/>
      <c r="E10979" s="68"/>
      <c r="F10979" s="13"/>
      <c r="G10979" s="13"/>
      <c r="H10979" s="13"/>
      <c r="I10979" s="13"/>
      <c r="J10979" s="13"/>
      <c r="K10979" s="13"/>
      <c r="L10979" s="13"/>
      <c r="M10979" s="13"/>
      <c r="N10979" s="13"/>
      <c r="O10979" s="13"/>
      <c r="P10979" s="13"/>
      <c r="Q10979" s="13"/>
      <c r="R10979" s="13"/>
      <c r="S10979" s="13"/>
      <c r="T10979" s="13"/>
      <c r="U10979" s="13"/>
      <c r="V10979" s="13"/>
      <c r="W10979" s="13"/>
      <c r="X10979" s="13"/>
      <c r="Y10979" s="13"/>
      <c r="Z10979" s="13"/>
    </row>
    <row r="10980" spans="1:26" ht="12" customHeight="1" outlineLevel="3" x14ac:dyDescent="0.2">
      <c r="A10980" s="32" t="s">
        <v>20863</v>
      </c>
      <c r="B10980" s="74" t="s">
        <v>20864</v>
      </c>
      <c r="C10980" s="50"/>
      <c r="D10980" s="53">
        <f t="shared" si="171"/>
        <v>0</v>
      </c>
      <c r="E10980" s="60" t="str">
        <f>HYPERLINK("https://www.sds-group.ru/product/girlyanda-mishura-led-3-m-prozrachnyy-pvh-288-diodov-tsvet-belyy-303-605/", "Инфо")</f>
        <v>Инфо</v>
      </c>
      <c r="F10980" s="34" t="s">
        <v>39</v>
      </c>
      <c r="G10980" s="33"/>
      <c r="H10980" s="33" t="s">
        <v>40</v>
      </c>
      <c r="I10980" s="33"/>
      <c r="J10980" s="35">
        <v>28</v>
      </c>
      <c r="K10980" s="33"/>
      <c r="L10980" s="35">
        <v>1</v>
      </c>
      <c r="M10980" s="35">
        <v>24</v>
      </c>
      <c r="N10980" s="35">
        <v>1</v>
      </c>
      <c r="O10980" s="36">
        <v>2086.04</v>
      </c>
      <c r="P10980" s="36">
        <v>1709.87</v>
      </c>
      <c r="Q10980" s="36">
        <v>1606.25</v>
      </c>
      <c r="R10980" s="36">
        <v>1316.6</v>
      </c>
      <c r="S10980" s="36">
        <v>1418.51</v>
      </c>
      <c r="T10980" s="36">
        <v>1162.71</v>
      </c>
      <c r="U10980" s="34"/>
      <c r="V10980" s="34"/>
      <c r="W10980" s="34" t="s">
        <v>40</v>
      </c>
      <c r="X10980" s="37">
        <v>0.47499999999999998</v>
      </c>
      <c r="Y10980" s="38">
        <v>1.9780000000000002E-3</v>
      </c>
      <c r="Z10980" s="21">
        <v>4601004015029</v>
      </c>
    </row>
    <row r="10981" spans="1:26" ht="12" customHeight="1" outlineLevel="3" x14ac:dyDescent="0.2">
      <c r="A10981" s="32" t="s">
        <v>20865</v>
      </c>
      <c r="B10981" s="74" t="s">
        <v>20866</v>
      </c>
      <c r="C10981" s="50"/>
      <c r="D10981" s="53">
        <f t="shared" si="171"/>
        <v>0</v>
      </c>
      <c r="E10981" s="60" t="str">
        <f>HYPERLINK("https://www.sds-group.ru/product/girlyanda-mishura-led-3-m-prozrachnyy-pvh-288-diodov-tsvet-zheltyy-303-601/", "Инфо")</f>
        <v>Инфо</v>
      </c>
      <c r="F10981" s="34" t="s">
        <v>39</v>
      </c>
      <c r="G10981" s="33"/>
      <c r="H10981" s="33" t="s">
        <v>40</v>
      </c>
      <c r="I10981" s="33"/>
      <c r="J10981" s="34" t="s">
        <v>100</v>
      </c>
      <c r="K10981" s="33"/>
      <c r="L10981" s="35">
        <v>1</v>
      </c>
      <c r="M10981" s="35">
        <v>24</v>
      </c>
      <c r="N10981" s="35">
        <v>1</v>
      </c>
      <c r="O10981" s="36">
        <v>1888.63</v>
      </c>
      <c r="P10981" s="36">
        <v>1548.06</v>
      </c>
      <c r="Q10981" s="36">
        <v>1322.04</v>
      </c>
      <c r="R10981" s="36">
        <v>1083.6400000000001</v>
      </c>
      <c r="S10981" s="36">
        <v>1284.27</v>
      </c>
      <c r="T10981" s="36">
        <v>1052.68</v>
      </c>
      <c r="U10981" s="34"/>
      <c r="V10981" s="34"/>
      <c r="W10981" s="34"/>
      <c r="X10981" s="37">
        <v>0.441</v>
      </c>
      <c r="Y10981" s="38">
        <v>1.846E-3</v>
      </c>
      <c r="Z10981" s="21">
        <v>4601004015050</v>
      </c>
    </row>
    <row r="10982" spans="1:26" ht="12" customHeight="1" outlineLevel="3" x14ac:dyDescent="0.2">
      <c r="A10982" s="32" t="s">
        <v>20867</v>
      </c>
      <c r="B10982" s="74" t="s">
        <v>20868</v>
      </c>
      <c r="C10982" s="50"/>
      <c r="D10982" s="53">
        <f t="shared" si="171"/>
        <v>0</v>
      </c>
      <c r="E10982" s="60" t="str">
        <f>HYPERLINK("https://www.sds-group.ru/product/girlyanda-mishura-led-3-m-prozrachnyy-pvh-288-diodov-tsvet-zelenyy-303-604/", "Инфо")</f>
        <v>Инфо</v>
      </c>
      <c r="F10982" s="34" t="s">
        <v>39</v>
      </c>
      <c r="G10982" s="33"/>
      <c r="H10982" s="33" t="s">
        <v>40</v>
      </c>
      <c r="I10982" s="33"/>
      <c r="J10982" s="35">
        <v>29</v>
      </c>
      <c r="K10982" s="33"/>
      <c r="L10982" s="35">
        <v>1</v>
      </c>
      <c r="M10982" s="35">
        <v>10</v>
      </c>
      <c r="N10982" s="35">
        <v>1</v>
      </c>
      <c r="O10982" s="36">
        <v>1888.63</v>
      </c>
      <c r="P10982" s="36">
        <v>1548.06</v>
      </c>
      <c r="Q10982" s="36">
        <v>1322.04</v>
      </c>
      <c r="R10982" s="36">
        <v>1083.6400000000001</v>
      </c>
      <c r="S10982" s="36">
        <v>1284.27</v>
      </c>
      <c r="T10982" s="36">
        <v>1052.68</v>
      </c>
      <c r="U10982" s="34"/>
      <c r="V10982" s="34"/>
      <c r="W10982" s="34"/>
      <c r="X10982" s="37">
        <v>0.44600000000000001</v>
      </c>
      <c r="Y10982" s="38">
        <v>1.859E-3</v>
      </c>
      <c r="Z10982" s="21">
        <v>4601004015067</v>
      </c>
    </row>
    <row r="10983" spans="1:26" ht="12" customHeight="1" outlineLevel="3" x14ac:dyDescent="0.2">
      <c r="A10983" s="32" t="s">
        <v>20869</v>
      </c>
      <c r="B10983" s="74" t="s">
        <v>20870</v>
      </c>
      <c r="C10983" s="50"/>
      <c r="D10983" s="53">
        <f t="shared" si="171"/>
        <v>0</v>
      </c>
      <c r="E10983" s="60" t="str">
        <f>HYPERLINK("https://www.sds-group.ru/product/girlyanda-mishura-led-3-m-prozrachnyy-pvh-288-diodov-tsvet-krasnyy-303-602/", "Инфо")</f>
        <v>Инфо</v>
      </c>
      <c r="F10983" s="34" t="s">
        <v>39</v>
      </c>
      <c r="G10983" s="33"/>
      <c r="H10983" s="33" t="s">
        <v>40</v>
      </c>
      <c r="I10983" s="33"/>
      <c r="J10983" s="34" t="s">
        <v>100</v>
      </c>
      <c r="K10983" s="33"/>
      <c r="L10983" s="35">
        <v>1</v>
      </c>
      <c r="M10983" s="35">
        <v>10</v>
      </c>
      <c r="N10983" s="35">
        <v>1</v>
      </c>
      <c r="O10983" s="36">
        <v>1619.28</v>
      </c>
      <c r="P10983" s="36">
        <v>1327.28</v>
      </c>
      <c r="Q10983" s="36">
        <v>1133.5</v>
      </c>
      <c r="R10983" s="36">
        <v>929.1</v>
      </c>
      <c r="S10983" s="36">
        <v>1101.1099999999999</v>
      </c>
      <c r="T10983" s="36">
        <v>902.55</v>
      </c>
      <c r="U10983" s="34"/>
      <c r="V10983" s="34"/>
      <c r="W10983" s="34"/>
      <c r="X10983" s="37">
        <v>0.442</v>
      </c>
      <c r="Y10983" s="38">
        <v>1.879E-3</v>
      </c>
      <c r="Z10983" s="21">
        <v>4601004015043</v>
      </c>
    </row>
    <row r="10984" spans="1:26" ht="12" customHeight="1" outlineLevel="3" x14ac:dyDescent="0.2">
      <c r="A10984" s="32" t="s">
        <v>20871</v>
      </c>
      <c r="B10984" s="74" t="s">
        <v>20872</v>
      </c>
      <c r="C10984" s="50"/>
      <c r="D10984" s="53">
        <f t="shared" si="171"/>
        <v>0</v>
      </c>
      <c r="E10984" s="60" t="str">
        <f>HYPERLINK("https://www.sds-group.ru/product/girlyanda-mishura-led-3-m-prozrachnyy-pvh-288-diodov-tsvet-rozovyy-303-607/", "Инфо")</f>
        <v>Инфо</v>
      </c>
      <c r="F10984" s="34" t="s">
        <v>39</v>
      </c>
      <c r="G10984" s="33"/>
      <c r="H10984" s="33" t="s">
        <v>40</v>
      </c>
      <c r="I10984" s="33"/>
      <c r="J10984" s="35">
        <v>21</v>
      </c>
      <c r="K10984" s="33"/>
      <c r="L10984" s="35">
        <v>1</v>
      </c>
      <c r="M10984" s="35">
        <v>24</v>
      </c>
      <c r="N10984" s="35">
        <v>1</v>
      </c>
      <c r="O10984" s="36">
        <v>1888.63</v>
      </c>
      <c r="P10984" s="36">
        <v>1548.06</v>
      </c>
      <c r="Q10984" s="36">
        <v>1322.04</v>
      </c>
      <c r="R10984" s="36">
        <v>1083.6400000000001</v>
      </c>
      <c r="S10984" s="36">
        <v>1284.27</v>
      </c>
      <c r="T10984" s="36">
        <v>1052.68</v>
      </c>
      <c r="U10984" s="34"/>
      <c r="V10984" s="34"/>
      <c r="W10984" s="34"/>
      <c r="X10984" s="37">
        <v>0.44400000000000001</v>
      </c>
      <c r="Y10984" s="38">
        <v>1.9040000000000001E-3</v>
      </c>
      <c r="Z10984" s="21">
        <v>4601004015074</v>
      </c>
    </row>
    <row r="10985" spans="1:26" ht="12" customHeight="1" outlineLevel="3" x14ac:dyDescent="0.2">
      <c r="A10985" s="32" t="s">
        <v>20873</v>
      </c>
      <c r="B10985" s="74" t="s">
        <v>20874</v>
      </c>
      <c r="C10985" s="50"/>
      <c r="D10985" s="53">
        <f t="shared" si="171"/>
        <v>0</v>
      </c>
      <c r="E10985" s="60" t="str">
        <f>HYPERLINK("https://www.sds-group.ru/product/girlyanda-mishura-led-3-m-prozrachnyy-pvh-288-diodov-tsvet-siniy-303-603/", "Инфо")</f>
        <v>Инфо</v>
      </c>
      <c r="F10985" s="34" t="s">
        <v>39</v>
      </c>
      <c r="G10985" s="33"/>
      <c r="H10985" s="33" t="s">
        <v>40</v>
      </c>
      <c r="I10985" s="33"/>
      <c r="J10985" s="35">
        <v>15</v>
      </c>
      <c r="K10985" s="33"/>
      <c r="L10985" s="35">
        <v>1</v>
      </c>
      <c r="M10985" s="35">
        <v>10</v>
      </c>
      <c r="N10985" s="35">
        <v>1</v>
      </c>
      <c r="O10985" s="36">
        <v>2086.04</v>
      </c>
      <c r="P10985" s="36">
        <v>1709.87</v>
      </c>
      <c r="Q10985" s="36">
        <v>1606.25</v>
      </c>
      <c r="R10985" s="36">
        <v>1316.6</v>
      </c>
      <c r="S10985" s="36">
        <v>1418.51</v>
      </c>
      <c r="T10985" s="36">
        <v>1162.71</v>
      </c>
      <c r="U10985" s="34"/>
      <c r="V10985" s="34"/>
      <c r="W10985" s="34" t="s">
        <v>40</v>
      </c>
      <c r="X10985" s="37">
        <v>0.443</v>
      </c>
      <c r="Y10985" s="38">
        <v>1.836E-3</v>
      </c>
      <c r="Z10985" s="21">
        <v>4601004015036</v>
      </c>
    </row>
    <row r="10986" spans="1:26" ht="12" customHeight="1" outlineLevel="3" x14ac:dyDescent="0.2">
      <c r="A10986" s="32" t="s">
        <v>20875</v>
      </c>
      <c r="B10986" s="74" t="s">
        <v>20876</v>
      </c>
      <c r="C10986" s="50"/>
      <c r="D10986" s="53">
        <f t="shared" si="171"/>
        <v>0</v>
      </c>
      <c r="E10986" s="60" t="str">
        <f>HYPERLINK("https://www.sds-group.ru/product/girlyanda-mishura-led-3-m-prozrachnyy-pvh-288-diodov-tsvet-teplyy-belyy-303-606/", "Инфо")</f>
        <v>Инфо</v>
      </c>
      <c r="F10986" s="34" t="s">
        <v>39</v>
      </c>
      <c r="G10986" s="33"/>
      <c r="H10986" s="33" t="s">
        <v>40</v>
      </c>
      <c r="I10986" s="33"/>
      <c r="J10986" s="35">
        <v>7</v>
      </c>
      <c r="K10986" s="33"/>
      <c r="L10986" s="35">
        <v>1</v>
      </c>
      <c r="M10986" s="35">
        <v>24</v>
      </c>
      <c r="N10986" s="35">
        <v>1</v>
      </c>
      <c r="O10986" s="36">
        <v>2086.04</v>
      </c>
      <c r="P10986" s="36">
        <v>1709.87</v>
      </c>
      <c r="Q10986" s="36">
        <v>1606.25</v>
      </c>
      <c r="R10986" s="36">
        <v>1316.6</v>
      </c>
      <c r="S10986" s="36">
        <v>1418.51</v>
      </c>
      <c r="T10986" s="36">
        <v>1162.71</v>
      </c>
      <c r="U10986" s="34"/>
      <c r="V10986" s="34"/>
      <c r="W10986" s="34" t="s">
        <v>40</v>
      </c>
      <c r="X10986" s="37">
        <v>0.443</v>
      </c>
      <c r="Y10986" s="38">
        <v>1.8309999999999999E-3</v>
      </c>
      <c r="Z10986" s="21">
        <v>4601004090583</v>
      </c>
    </row>
    <row r="10987" spans="1:26" ht="12" customHeight="1" outlineLevel="3" x14ac:dyDescent="0.2">
      <c r="A10987" s="32" t="s">
        <v>20877</v>
      </c>
      <c r="B10987" s="74" t="s">
        <v>20878</v>
      </c>
      <c r="C10987" s="50"/>
      <c r="D10987" s="53">
        <f t="shared" si="171"/>
        <v>0</v>
      </c>
      <c r="E10987" s="60" t="str">
        <f>HYPERLINK("https://www.sds-group.ru/product/girlyanda-mishura-led-3-m-temno-zelenyy-pvh-288-diodov-tsvet-belyy-teplyy-belyy-303-608/", "Инфо")</f>
        <v>Инфо</v>
      </c>
      <c r="F10987" s="34" t="s">
        <v>39</v>
      </c>
      <c r="G10987" s="33"/>
      <c r="H10987" s="33" t="s">
        <v>40</v>
      </c>
      <c r="I10987" s="33"/>
      <c r="J10987" s="34" t="s">
        <v>100</v>
      </c>
      <c r="K10987" s="33"/>
      <c r="L10987" s="35">
        <v>1</v>
      </c>
      <c r="M10987" s="35">
        <v>24</v>
      </c>
      <c r="N10987" s="35">
        <v>1</v>
      </c>
      <c r="O10987" s="36">
        <v>2366.04</v>
      </c>
      <c r="P10987" s="36">
        <v>1939.38</v>
      </c>
      <c r="Q10987" s="36">
        <v>1821.85</v>
      </c>
      <c r="R10987" s="36">
        <v>1493.32</v>
      </c>
      <c r="S10987" s="36">
        <v>1608.91</v>
      </c>
      <c r="T10987" s="36">
        <v>1318.78</v>
      </c>
      <c r="U10987" s="34"/>
      <c r="V10987" s="34"/>
      <c r="W10987" s="34" t="s">
        <v>40</v>
      </c>
      <c r="X10987" s="37">
        <v>0.48499999999999999</v>
      </c>
      <c r="Y10987" s="38">
        <v>1.854E-3</v>
      </c>
      <c r="Z10987" s="21">
        <v>4601004148727</v>
      </c>
    </row>
    <row r="10988" spans="1:26" ht="12" customHeight="1" outlineLevel="3" x14ac:dyDescent="0.2">
      <c r="A10988" s="32" t="s">
        <v>20879</v>
      </c>
      <c r="B10988" s="74" t="s">
        <v>20880</v>
      </c>
      <c r="C10988" s="50"/>
      <c r="D10988" s="53">
        <f t="shared" si="171"/>
        <v>0</v>
      </c>
      <c r="E10988" s="60" t="str">
        <f>HYPERLINK("https://www.sds-group.ru/product/girlyanda-mishura-led-6-m-prozrachnyy-pvh-576-diodov-tsvet-belyy-303-615/", "Инфо")</f>
        <v>Инфо</v>
      </c>
      <c r="F10988" s="34" t="s">
        <v>39</v>
      </c>
      <c r="G10988" s="33"/>
      <c r="H10988" s="33" t="s">
        <v>40</v>
      </c>
      <c r="I10988" s="33"/>
      <c r="J10988" s="34" t="s">
        <v>100</v>
      </c>
      <c r="K10988" s="33"/>
      <c r="L10988" s="35">
        <v>1</v>
      </c>
      <c r="M10988" s="35">
        <v>12</v>
      </c>
      <c r="N10988" s="35">
        <v>1</v>
      </c>
      <c r="O10988" s="36">
        <v>4415.45</v>
      </c>
      <c r="P10988" s="36">
        <v>3619.22</v>
      </c>
      <c r="Q10988" s="36">
        <v>3223.28</v>
      </c>
      <c r="R10988" s="36">
        <v>2642.03</v>
      </c>
      <c r="S10988" s="36">
        <v>3002.51</v>
      </c>
      <c r="T10988" s="36">
        <v>2461.0700000000002</v>
      </c>
      <c r="U10988" s="34"/>
      <c r="V10988" s="34"/>
      <c r="W10988" s="34" t="s">
        <v>40</v>
      </c>
      <c r="X10988" s="37">
        <v>0.83199999999999996</v>
      </c>
      <c r="Y10988" s="38">
        <v>3.552E-3</v>
      </c>
      <c r="Z10988" s="21">
        <v>4601004015081</v>
      </c>
    </row>
    <row r="10989" spans="1:26" ht="12" customHeight="1" outlineLevel="3" x14ac:dyDescent="0.2">
      <c r="A10989" s="32" t="s">
        <v>20881</v>
      </c>
      <c r="B10989" s="74" t="s">
        <v>20882</v>
      </c>
      <c r="C10989" s="50"/>
      <c r="D10989" s="53">
        <f t="shared" si="171"/>
        <v>0</v>
      </c>
      <c r="E10989" s="60" t="str">
        <f>HYPERLINK("https://www.sds-group.ru/product/girlyanda-mishura-led-6-m-prozrachnyy-pvh-576-diodov-tsvet-zelenyy-303-614/", "Инфо")</f>
        <v>Инфо</v>
      </c>
      <c r="F10989" s="34" t="s">
        <v>39</v>
      </c>
      <c r="G10989" s="33"/>
      <c r="H10989" s="33" t="s">
        <v>40</v>
      </c>
      <c r="I10989" s="33"/>
      <c r="J10989" s="35">
        <v>13</v>
      </c>
      <c r="K10989" s="33"/>
      <c r="L10989" s="35">
        <v>1</v>
      </c>
      <c r="M10989" s="35">
        <v>5</v>
      </c>
      <c r="N10989" s="35">
        <v>1</v>
      </c>
      <c r="O10989" s="36">
        <v>4415.45</v>
      </c>
      <c r="P10989" s="36">
        <v>3619.22</v>
      </c>
      <c r="Q10989" s="36">
        <v>3090.82</v>
      </c>
      <c r="R10989" s="36">
        <v>2533.46</v>
      </c>
      <c r="S10989" s="36">
        <v>3002.51</v>
      </c>
      <c r="T10989" s="36">
        <v>2461.0700000000002</v>
      </c>
      <c r="U10989" s="34"/>
      <c r="V10989" s="34"/>
      <c r="W10989" s="34"/>
      <c r="X10989" s="37">
        <v>1.083</v>
      </c>
      <c r="Y10989" s="38">
        <v>3.1029999999999999E-3</v>
      </c>
      <c r="Z10989" s="21">
        <v>4601004015128</v>
      </c>
    </row>
    <row r="10990" spans="1:26" ht="12" customHeight="1" outlineLevel="3" x14ac:dyDescent="0.2">
      <c r="A10990" s="32" t="s">
        <v>20883</v>
      </c>
      <c r="B10990" s="74" t="s">
        <v>20884</v>
      </c>
      <c r="C10990" s="50"/>
      <c r="D10990" s="53">
        <f t="shared" si="171"/>
        <v>0</v>
      </c>
      <c r="E10990" s="60" t="str">
        <f>HYPERLINK("https://www.sds-group.ru/product/girlyanda-mishura-led-6-m-prozrachnyy-pvh-576-diodov-tsvet-krasnyy-303-612/", "Инфо")</f>
        <v>Инфо</v>
      </c>
      <c r="F10990" s="34" t="s">
        <v>39</v>
      </c>
      <c r="G10990" s="33"/>
      <c r="H10990" s="33" t="s">
        <v>40</v>
      </c>
      <c r="I10990" s="33"/>
      <c r="J10990" s="35">
        <v>30</v>
      </c>
      <c r="K10990" s="33"/>
      <c r="L10990" s="35">
        <v>1</v>
      </c>
      <c r="M10990" s="35">
        <v>5</v>
      </c>
      <c r="N10990" s="35">
        <v>1</v>
      </c>
      <c r="O10990" s="36">
        <v>2748.21</v>
      </c>
      <c r="P10990" s="36">
        <v>2252.63</v>
      </c>
      <c r="Q10990" s="36">
        <v>1923.75</v>
      </c>
      <c r="R10990" s="36">
        <v>1576.84</v>
      </c>
      <c r="S10990" s="36">
        <v>1868.78</v>
      </c>
      <c r="T10990" s="36">
        <v>1531.79</v>
      </c>
      <c r="U10990" s="34"/>
      <c r="V10990" s="34"/>
      <c r="W10990" s="34"/>
      <c r="X10990" s="37">
        <v>0.754</v>
      </c>
      <c r="Y10990" s="38">
        <v>2.4420000000000002E-3</v>
      </c>
      <c r="Z10990" s="21">
        <v>4601004015104</v>
      </c>
    </row>
    <row r="10991" spans="1:26" ht="12" customHeight="1" outlineLevel="3" x14ac:dyDescent="0.2">
      <c r="A10991" s="32" t="s">
        <v>20885</v>
      </c>
      <c r="B10991" s="74" t="s">
        <v>20886</v>
      </c>
      <c r="C10991" s="50"/>
      <c r="D10991" s="53">
        <f t="shared" si="171"/>
        <v>0</v>
      </c>
      <c r="E10991" s="60" t="str">
        <f>HYPERLINK("https://www.sds-group.ru/product/girlyanda-mishura-led-6-m-prozrachnyy-pvh-576-diodov-tsvet-rozovyy-303-617/", "Инфо")</f>
        <v>Инфо</v>
      </c>
      <c r="F10991" s="34" t="s">
        <v>39</v>
      </c>
      <c r="G10991" s="33"/>
      <c r="H10991" s="33" t="s">
        <v>40</v>
      </c>
      <c r="I10991" s="33"/>
      <c r="J10991" s="35">
        <v>11</v>
      </c>
      <c r="K10991" s="33"/>
      <c r="L10991" s="35">
        <v>1</v>
      </c>
      <c r="M10991" s="35">
        <v>5</v>
      </c>
      <c r="N10991" s="35">
        <v>1</v>
      </c>
      <c r="O10991" s="36">
        <v>3775.21</v>
      </c>
      <c r="P10991" s="36">
        <v>3094.43</v>
      </c>
      <c r="Q10991" s="36">
        <v>2642.65</v>
      </c>
      <c r="R10991" s="36">
        <v>2166.11</v>
      </c>
      <c r="S10991" s="36">
        <v>2567.14</v>
      </c>
      <c r="T10991" s="36">
        <v>2104.21</v>
      </c>
      <c r="U10991" s="34"/>
      <c r="V10991" s="34"/>
      <c r="W10991" s="34"/>
      <c r="X10991" s="37">
        <v>1.083</v>
      </c>
      <c r="Y10991" s="38">
        <v>3.1029999999999999E-3</v>
      </c>
      <c r="Z10991" s="21">
        <v>4601004015111</v>
      </c>
    </row>
    <row r="10992" spans="1:26" ht="12" customHeight="1" outlineLevel="3" x14ac:dyDescent="0.2">
      <c r="A10992" s="32" t="s">
        <v>20887</v>
      </c>
      <c r="B10992" s="74" t="s">
        <v>20888</v>
      </c>
      <c r="C10992" s="50"/>
      <c r="D10992" s="53">
        <f t="shared" si="171"/>
        <v>0</v>
      </c>
      <c r="E10992" s="60" t="str">
        <f>HYPERLINK("https://www.sds-group.ru/product/girlyanda-mishura-led-6-m-prozrachnyy-pvh-576-diodov-tsvet-siniy-303-613/", "Инфо")</f>
        <v>Инфо</v>
      </c>
      <c r="F10992" s="34" t="s">
        <v>39</v>
      </c>
      <c r="G10992" s="33"/>
      <c r="H10992" s="33" t="s">
        <v>40</v>
      </c>
      <c r="I10992" s="33"/>
      <c r="J10992" s="35">
        <v>8</v>
      </c>
      <c r="K10992" s="33"/>
      <c r="L10992" s="35">
        <v>1</v>
      </c>
      <c r="M10992" s="35">
        <v>5</v>
      </c>
      <c r="N10992" s="35">
        <v>1</v>
      </c>
      <c r="O10992" s="36">
        <v>4415.45</v>
      </c>
      <c r="P10992" s="36">
        <v>3619.22</v>
      </c>
      <c r="Q10992" s="36">
        <v>3090.82</v>
      </c>
      <c r="R10992" s="36">
        <v>2533.46</v>
      </c>
      <c r="S10992" s="36">
        <v>3002.51</v>
      </c>
      <c r="T10992" s="36">
        <v>2461.0700000000002</v>
      </c>
      <c r="U10992" s="34"/>
      <c r="V10992" s="34"/>
      <c r="W10992" s="34"/>
      <c r="X10992" s="37">
        <v>0.69599999999999995</v>
      </c>
      <c r="Y10992" s="38">
        <v>3.2759999999999998E-3</v>
      </c>
      <c r="Z10992" s="21">
        <v>4601004015098</v>
      </c>
    </row>
    <row r="10993" spans="1:26" ht="12.95" customHeight="1" outlineLevel="2" x14ac:dyDescent="0.2">
      <c r="A10993" s="76" t="s">
        <v>20889</v>
      </c>
      <c r="B10993" s="76"/>
      <c r="C10993" s="77"/>
      <c r="D10993" s="58"/>
      <c r="E10993" s="68"/>
      <c r="F10993" s="13"/>
      <c r="G10993" s="13"/>
      <c r="H10993" s="13"/>
      <c r="I10993" s="13"/>
      <c r="J10993" s="13"/>
      <c r="K10993" s="13"/>
      <c r="L10993" s="13"/>
      <c r="M10993" s="13"/>
      <c r="N10993" s="13"/>
      <c r="O10993" s="13"/>
      <c r="P10993" s="13"/>
      <c r="Q10993" s="13"/>
      <c r="R10993" s="13"/>
      <c r="S10993" s="13"/>
      <c r="T10993" s="13"/>
      <c r="U10993" s="13"/>
      <c r="V10993" s="13"/>
      <c r="W10993" s="13"/>
      <c r="X10993" s="13"/>
      <c r="Y10993" s="13"/>
      <c r="Z10993" s="13"/>
    </row>
    <row r="10994" spans="1:26" ht="12" customHeight="1" outlineLevel="3" x14ac:dyDescent="0.2">
      <c r="A10994" s="14" t="s">
        <v>20890</v>
      </c>
      <c r="B10994" s="26" t="s">
        <v>20891</v>
      </c>
      <c r="C10994" s="52"/>
      <c r="D10994" s="55">
        <f t="shared" si="171"/>
        <v>0</v>
      </c>
      <c r="E10994" s="63" t="str">
        <f>HYPERLINK("https://www.sds-group.ru/product/girlyanda-klaster-led-3-m-temno-zelenyy-pvh-ip20-288-diodov-tsvet-belyy-303-625/", "Инфо")</f>
        <v>Инфо</v>
      </c>
      <c r="F10994" s="16" t="s">
        <v>39</v>
      </c>
      <c r="G10994" s="15"/>
      <c r="H10994" s="15"/>
      <c r="I10994" s="15"/>
      <c r="J10994" s="17">
        <v>149</v>
      </c>
      <c r="K10994" s="15"/>
      <c r="L10994" s="17">
        <v>1</v>
      </c>
      <c r="M10994" s="17">
        <v>24</v>
      </c>
      <c r="N10994" s="17">
        <v>1</v>
      </c>
      <c r="O10994" s="18">
        <v>2086.04</v>
      </c>
      <c r="P10994" s="18">
        <v>1709.87</v>
      </c>
      <c r="Q10994" s="18">
        <v>1606.25</v>
      </c>
      <c r="R10994" s="18">
        <v>1316.6</v>
      </c>
      <c r="S10994" s="18">
        <v>1418.51</v>
      </c>
      <c r="T10994" s="18">
        <v>1162.71</v>
      </c>
      <c r="U10994" s="16"/>
      <c r="V10994" s="16"/>
      <c r="W10994" s="16" t="s">
        <v>40</v>
      </c>
      <c r="X10994" s="19">
        <v>0.40100000000000002</v>
      </c>
      <c r="Y10994" s="20">
        <v>1.2030000000000001E-3</v>
      </c>
      <c r="Z10994" s="21">
        <v>4601004148697</v>
      </c>
    </row>
    <row r="10995" spans="1:26" ht="12" customHeight="1" outlineLevel="3" x14ac:dyDescent="0.2">
      <c r="A10995" s="14" t="s">
        <v>20892</v>
      </c>
      <c r="B10995" s="26" t="s">
        <v>20893</v>
      </c>
      <c r="C10995" s="52"/>
      <c r="D10995" s="55">
        <f t="shared" si="171"/>
        <v>0</v>
      </c>
      <c r="E10995" s="63" t="str">
        <f>HYPERLINK("https://www.sds-group.ru/product/girlyanda-klaster-led-3-m-temno-zelenyy-pvh-ip20-288-diodov-tsvet-teplyy-belyy-303-626/", "Инфо")</f>
        <v>Инфо</v>
      </c>
      <c r="F10995" s="16" t="s">
        <v>39</v>
      </c>
      <c r="G10995" s="15"/>
      <c r="H10995" s="15"/>
      <c r="I10995" s="15"/>
      <c r="J10995" s="17">
        <v>107</v>
      </c>
      <c r="K10995" s="15"/>
      <c r="L10995" s="17">
        <v>1</v>
      </c>
      <c r="M10995" s="17">
        <v>24</v>
      </c>
      <c r="N10995" s="17">
        <v>1</v>
      </c>
      <c r="O10995" s="18">
        <v>2086.04</v>
      </c>
      <c r="P10995" s="18">
        <v>1709.87</v>
      </c>
      <c r="Q10995" s="18">
        <v>1606.25</v>
      </c>
      <c r="R10995" s="18">
        <v>1316.6</v>
      </c>
      <c r="S10995" s="18">
        <v>1418.51</v>
      </c>
      <c r="T10995" s="18">
        <v>1162.71</v>
      </c>
      <c r="U10995" s="16"/>
      <c r="V10995" s="16"/>
      <c r="W10995" s="16" t="s">
        <v>40</v>
      </c>
      <c r="X10995" s="19">
        <v>0.36399999999999999</v>
      </c>
      <c r="Y10995" s="20">
        <v>1.5709999999999999E-3</v>
      </c>
      <c r="Z10995" s="21">
        <v>4601004148703</v>
      </c>
    </row>
    <row r="10996" spans="1:26" ht="12" customHeight="1" outlineLevel="3" x14ac:dyDescent="0.2">
      <c r="A10996" s="32" t="s">
        <v>20894</v>
      </c>
      <c r="B10996" s="74" t="s">
        <v>20895</v>
      </c>
      <c r="C10996" s="50"/>
      <c r="D10996" s="53">
        <f t="shared" si="171"/>
        <v>0</v>
      </c>
      <c r="E10996" s="60" t="str">
        <f>HYPERLINK("https://www.sds-group.ru/product/girlyanda-klaster-led-3-m-temno-zelenyy-pvh-ip20-288-diodov-tsvet-multikolor-303-629/", "Инфо")</f>
        <v>Инфо</v>
      </c>
      <c r="F10996" s="34" t="s">
        <v>39</v>
      </c>
      <c r="G10996" s="33"/>
      <c r="H10996" s="33" t="s">
        <v>40</v>
      </c>
      <c r="I10996" s="33"/>
      <c r="J10996" s="34" t="s">
        <v>100</v>
      </c>
      <c r="K10996" s="33"/>
      <c r="L10996" s="35">
        <v>1</v>
      </c>
      <c r="M10996" s="35">
        <v>24</v>
      </c>
      <c r="N10996" s="35">
        <v>1</v>
      </c>
      <c r="O10996" s="36">
        <v>2086.04</v>
      </c>
      <c r="P10996" s="36">
        <v>1709.87</v>
      </c>
      <c r="Q10996" s="36">
        <v>1606.25</v>
      </c>
      <c r="R10996" s="36">
        <v>1316.6</v>
      </c>
      <c r="S10996" s="36">
        <v>1418.51</v>
      </c>
      <c r="T10996" s="36">
        <v>1162.71</v>
      </c>
      <c r="U10996" s="34"/>
      <c r="V10996" s="34"/>
      <c r="W10996" s="34" t="s">
        <v>40</v>
      </c>
      <c r="X10996" s="37">
        <v>0.36599999999999999</v>
      </c>
      <c r="Y10996" s="38">
        <v>1.5139999999999999E-3</v>
      </c>
      <c r="Z10996" s="21">
        <v>4601004148710</v>
      </c>
    </row>
    <row r="10997" spans="1:26" ht="12.95" customHeight="1" outlineLevel="2" x14ac:dyDescent="0.2">
      <c r="A10997" s="76" t="s">
        <v>20896</v>
      </c>
      <c r="B10997" s="76"/>
      <c r="C10997" s="77"/>
      <c r="D10997" s="58"/>
      <c r="E10997" s="68"/>
      <c r="F10997" s="13"/>
      <c r="G10997" s="13"/>
      <c r="H10997" s="13"/>
      <c r="I10997" s="13"/>
      <c r="J10997" s="13"/>
      <c r="K10997" s="13"/>
      <c r="L10997" s="13"/>
      <c r="M10997" s="13"/>
      <c r="N10997" s="13"/>
      <c r="O10997" s="13"/>
      <c r="P10997" s="13"/>
      <c r="Q10997" s="13"/>
      <c r="R10997" s="13"/>
      <c r="S10997" s="13"/>
      <c r="T10997" s="13"/>
      <c r="U10997" s="13"/>
      <c r="V10997" s="13"/>
      <c r="W10997" s="13"/>
      <c r="X10997" s="13"/>
      <c r="Y10997" s="13"/>
      <c r="Z10997" s="13"/>
    </row>
    <row r="10998" spans="1:26" ht="12" customHeight="1" outlineLevel="3" x14ac:dyDescent="0.2">
      <c r="A10998" s="32" t="s">
        <v>20897</v>
      </c>
      <c r="B10998" s="74" t="s">
        <v>20898</v>
      </c>
      <c r="C10998" s="50"/>
      <c r="D10998" s="53">
        <f t="shared" si="171"/>
        <v>0</v>
      </c>
      <c r="E10998" s="60" t="str">
        <f>HYPERLINK("https://www.sds-group.ru/product/girlyanda-shariki-15mm-5m-temno-zelenyy-pvh-30-diodov-tsvet-rgb-303-539/", "Инфо")</f>
        <v>Инфо</v>
      </c>
      <c r="F10998" s="34" t="s">
        <v>39</v>
      </c>
      <c r="G10998" s="33"/>
      <c r="H10998" s="33" t="s">
        <v>40</v>
      </c>
      <c r="I10998" s="33"/>
      <c r="J10998" s="35">
        <v>63</v>
      </c>
      <c r="K10998" s="33"/>
      <c r="L10998" s="35">
        <v>1</v>
      </c>
      <c r="M10998" s="35">
        <v>36</v>
      </c>
      <c r="N10998" s="35">
        <v>1</v>
      </c>
      <c r="O10998" s="36">
        <v>1076.94</v>
      </c>
      <c r="P10998" s="36">
        <v>882.74</v>
      </c>
      <c r="Q10998" s="36">
        <v>861.55</v>
      </c>
      <c r="R10998" s="36">
        <v>706.19</v>
      </c>
      <c r="S10998" s="36">
        <v>732.32</v>
      </c>
      <c r="T10998" s="36">
        <v>600.26</v>
      </c>
      <c r="U10998" s="34"/>
      <c r="V10998" s="34"/>
      <c r="W10998" s="34" t="s">
        <v>40</v>
      </c>
      <c r="X10998" s="37">
        <v>0.217</v>
      </c>
      <c r="Y10998" s="38">
        <v>1.132E-3</v>
      </c>
      <c r="Z10998" s="21">
        <v>4601004014992</v>
      </c>
    </row>
    <row r="10999" spans="1:26" ht="12" customHeight="1" outlineLevel="3" x14ac:dyDescent="0.2">
      <c r="A10999" s="14" t="s">
        <v>20899</v>
      </c>
      <c r="B10999" s="26" t="s">
        <v>20900</v>
      </c>
      <c r="C10999" s="52"/>
      <c r="D10999" s="55">
        <f t="shared" si="171"/>
        <v>0</v>
      </c>
      <c r="E10999" s="63" t="str">
        <f>HYPERLINK("https://www.sds-group.ru/product/girlyanda-shariki-18mm-5m-temno-zelenyy-pvh-30-diodov-tsvet-rgb-303-549/", "Инфо")</f>
        <v>Инфо</v>
      </c>
      <c r="F10999" s="16" t="s">
        <v>39</v>
      </c>
      <c r="G10999" s="15"/>
      <c r="H10999" s="15"/>
      <c r="I10999" s="15"/>
      <c r="J10999" s="17">
        <v>210</v>
      </c>
      <c r="K10999" s="15"/>
      <c r="L10999" s="17">
        <v>1</v>
      </c>
      <c r="M10999" s="17">
        <v>24</v>
      </c>
      <c r="N10999" s="17">
        <v>1</v>
      </c>
      <c r="O10999" s="18">
        <v>1076.94</v>
      </c>
      <c r="P10999" s="18">
        <v>882.74</v>
      </c>
      <c r="Q10999" s="18">
        <v>861.55</v>
      </c>
      <c r="R10999" s="18">
        <v>706.19</v>
      </c>
      <c r="S10999" s="18">
        <v>732.32</v>
      </c>
      <c r="T10999" s="18">
        <v>600.26</v>
      </c>
      <c r="U10999" s="16"/>
      <c r="V10999" s="16"/>
      <c r="W10999" s="16" t="s">
        <v>40</v>
      </c>
      <c r="X10999" s="19">
        <v>0.25</v>
      </c>
      <c r="Y10999" s="20">
        <v>1.191E-3</v>
      </c>
      <c r="Z10999" s="21">
        <v>4601004015005</v>
      </c>
    </row>
    <row r="11000" spans="1:26" ht="12" customHeight="1" outlineLevel="3" x14ac:dyDescent="0.2">
      <c r="A11000" s="32" t="s">
        <v>20901</v>
      </c>
      <c r="B11000" s="74" t="s">
        <v>20902</v>
      </c>
      <c r="C11000" s="50"/>
      <c r="D11000" s="53">
        <f t="shared" si="171"/>
        <v>0</v>
      </c>
      <c r="E11000" s="60" t="str">
        <f>HYPERLINK("https://www.sds-group.ru/product/girlyanda-shariki-18-mm-5-m-temno-zelenyy-pvh-30-diodov-tsvet-rgb-303-540/", "Инфо")</f>
        <v>Инфо</v>
      </c>
      <c r="F11000" s="34" t="s">
        <v>39</v>
      </c>
      <c r="G11000" s="33"/>
      <c r="H11000" s="33" t="s">
        <v>40</v>
      </c>
      <c r="I11000" s="33"/>
      <c r="J11000" s="35">
        <v>88</v>
      </c>
      <c r="K11000" s="33"/>
      <c r="L11000" s="35">
        <v>1</v>
      </c>
      <c r="M11000" s="35">
        <v>24</v>
      </c>
      <c r="N11000" s="35">
        <v>1</v>
      </c>
      <c r="O11000" s="36">
        <v>1076.94</v>
      </c>
      <c r="P11000" s="36">
        <v>882.74</v>
      </c>
      <c r="Q11000" s="36">
        <v>753.86</v>
      </c>
      <c r="R11000" s="36">
        <v>617.91999999999996</v>
      </c>
      <c r="S11000" s="36">
        <v>732.32</v>
      </c>
      <c r="T11000" s="36">
        <v>600.26</v>
      </c>
      <c r="U11000" s="34"/>
      <c r="V11000" s="34"/>
      <c r="W11000" s="34"/>
      <c r="X11000" s="37">
        <v>0.39100000000000001</v>
      </c>
      <c r="Y11000" s="38">
        <v>1.7849999999999999E-3</v>
      </c>
      <c r="Z11000" s="21">
        <v>4601004227361</v>
      </c>
    </row>
    <row r="11001" spans="1:26" ht="12" customHeight="1" outlineLevel="3" x14ac:dyDescent="0.2">
      <c r="A11001" s="14" t="s">
        <v>20903</v>
      </c>
      <c r="B11001" s="26" t="s">
        <v>20904</v>
      </c>
      <c r="C11001" s="52"/>
      <c r="D11001" s="55">
        <f t="shared" si="171"/>
        <v>0</v>
      </c>
      <c r="E11001" s="63" t="str">
        <f>HYPERLINK("https://www.sds-group.ru/product/girlyanda-shariki-25mm-5m-temno-zelenyy-pvh-25-diodov-tsvet-rgb-303-559/", "Инфо")</f>
        <v>Инфо</v>
      </c>
      <c r="F11001" s="16" t="s">
        <v>39</v>
      </c>
      <c r="G11001" s="15"/>
      <c r="H11001" s="15"/>
      <c r="I11001" s="15"/>
      <c r="J11001" s="16" t="s">
        <v>100</v>
      </c>
      <c r="K11001" s="15"/>
      <c r="L11001" s="17">
        <v>1</v>
      </c>
      <c r="M11001" s="17">
        <v>24</v>
      </c>
      <c r="N11001" s="17">
        <v>1</v>
      </c>
      <c r="O11001" s="18">
        <v>1076.94</v>
      </c>
      <c r="P11001" s="18">
        <v>882.74</v>
      </c>
      <c r="Q11001" s="18">
        <v>753.86</v>
      </c>
      <c r="R11001" s="18">
        <v>617.91999999999996</v>
      </c>
      <c r="S11001" s="18">
        <v>732.32</v>
      </c>
      <c r="T11001" s="18">
        <v>600.26</v>
      </c>
      <c r="U11001" s="16"/>
      <c r="V11001" s="16"/>
      <c r="W11001" s="16"/>
      <c r="X11001" s="19">
        <v>0.34899999999999998</v>
      </c>
      <c r="Y11001" s="20">
        <v>1.709E-3</v>
      </c>
      <c r="Z11001" s="21">
        <v>4601004015012</v>
      </c>
    </row>
    <row r="11002" spans="1:26" ht="12" customHeight="1" outlineLevel="3" x14ac:dyDescent="0.2">
      <c r="A11002" s="14" t="s">
        <v>20905</v>
      </c>
      <c r="B11002" s="26" t="s">
        <v>20906</v>
      </c>
      <c r="C11002" s="52"/>
      <c r="D11002" s="55">
        <f t="shared" si="171"/>
        <v>0</v>
      </c>
      <c r="E11002" s="63" t="str">
        <f>HYPERLINK("https://www.sds-group.ru/product/girlyanda-shariki-25-mm-5m-temno-zelenyy-pvh-25-diodov-tsvet-belyy-bez-kontrollera-303-555/", "Инфо")</f>
        <v>Инфо</v>
      </c>
      <c r="F11002" s="16" t="s">
        <v>39</v>
      </c>
      <c r="G11002" s="15"/>
      <c r="H11002" s="15"/>
      <c r="I11002" s="15"/>
      <c r="J11002" s="17">
        <v>232</v>
      </c>
      <c r="K11002" s="15"/>
      <c r="L11002" s="17">
        <v>1</v>
      </c>
      <c r="M11002" s="17">
        <v>24</v>
      </c>
      <c r="N11002" s="17">
        <v>1</v>
      </c>
      <c r="O11002" s="18">
        <v>1076.94</v>
      </c>
      <c r="P11002" s="18">
        <v>882.74</v>
      </c>
      <c r="Q11002" s="18">
        <v>861.55</v>
      </c>
      <c r="R11002" s="18">
        <v>706.19</v>
      </c>
      <c r="S11002" s="18">
        <v>732.32</v>
      </c>
      <c r="T11002" s="18">
        <v>600.26</v>
      </c>
      <c r="U11002" s="16"/>
      <c r="V11002" s="16"/>
      <c r="W11002" s="16" t="s">
        <v>40</v>
      </c>
      <c r="X11002" s="19">
        <v>0.39</v>
      </c>
      <c r="Y11002" s="20">
        <v>1.258E-3</v>
      </c>
      <c r="Z11002" s="21">
        <v>4601004091870</v>
      </c>
    </row>
    <row r="11003" spans="1:26" ht="12" customHeight="1" outlineLevel="3" x14ac:dyDescent="0.2">
      <c r="A11003" s="14" t="s">
        <v>20907</v>
      </c>
      <c r="B11003" s="26" t="s">
        <v>20908</v>
      </c>
      <c r="C11003" s="52"/>
      <c r="D11003" s="55">
        <f t="shared" si="171"/>
        <v>0</v>
      </c>
      <c r="E11003" s="63" t="str">
        <f>HYPERLINK("https://www.sds-group.ru/product/girlyanda-shariki-25-mm-5-m-temno-zelenyy-pvh-25-diodov-tsvet-rgb-303-550/", "Инфо")</f>
        <v>Инфо</v>
      </c>
      <c r="F11003" s="16" t="s">
        <v>39</v>
      </c>
      <c r="G11003" s="15"/>
      <c r="H11003" s="15"/>
      <c r="I11003" s="15"/>
      <c r="J11003" s="16" t="s">
        <v>100</v>
      </c>
      <c r="K11003" s="15"/>
      <c r="L11003" s="17">
        <v>1</v>
      </c>
      <c r="M11003" s="17">
        <v>24</v>
      </c>
      <c r="N11003" s="17">
        <v>1</v>
      </c>
      <c r="O11003" s="18">
        <v>1076.94</v>
      </c>
      <c r="P11003" s="18">
        <v>882.74</v>
      </c>
      <c r="Q11003" s="18">
        <v>861.55</v>
      </c>
      <c r="R11003" s="18">
        <v>706.19</v>
      </c>
      <c r="S11003" s="18">
        <v>732.32</v>
      </c>
      <c r="T11003" s="18">
        <v>600.26</v>
      </c>
      <c r="U11003" s="16"/>
      <c r="V11003" s="16"/>
      <c r="W11003" s="16" t="s">
        <v>40</v>
      </c>
      <c r="X11003" s="19">
        <v>0.442</v>
      </c>
      <c r="Y11003" s="20">
        <v>1.812E-3</v>
      </c>
      <c r="Z11003" s="21">
        <v>4601004227354</v>
      </c>
    </row>
    <row r="11004" spans="1:26" ht="12" customHeight="1" outlineLevel="3" x14ac:dyDescent="0.2">
      <c r="A11004" s="32" t="s">
        <v>20909</v>
      </c>
      <c r="B11004" s="74" t="s">
        <v>20910</v>
      </c>
      <c r="C11004" s="50"/>
      <c r="D11004" s="53">
        <f t="shared" si="171"/>
        <v>0</v>
      </c>
      <c r="E11004" s="60" t="str">
        <f>HYPERLINK("https://www.sds-group.ru/product/girlyanda-shariki-30mm-5m-temno-zelenyy-pvh-25-diodov-tsvet-rgb-303-569/", "Инфо")</f>
        <v>Инфо</v>
      </c>
      <c r="F11004" s="34" t="s">
        <v>39</v>
      </c>
      <c r="G11004" s="33"/>
      <c r="H11004" s="33" t="s">
        <v>40</v>
      </c>
      <c r="I11004" s="33"/>
      <c r="J11004" s="35">
        <v>36</v>
      </c>
      <c r="K11004" s="33"/>
      <c r="L11004" s="35">
        <v>1</v>
      </c>
      <c r="M11004" s="35">
        <v>60</v>
      </c>
      <c r="N11004" s="35">
        <v>1</v>
      </c>
      <c r="O11004" s="36">
        <v>1076.94</v>
      </c>
      <c r="P11004" s="36">
        <v>882.74</v>
      </c>
      <c r="Q11004" s="36">
        <v>753.86</v>
      </c>
      <c r="R11004" s="36">
        <v>617.91999999999996</v>
      </c>
      <c r="S11004" s="36">
        <v>732.32</v>
      </c>
      <c r="T11004" s="36">
        <v>600.26</v>
      </c>
      <c r="U11004" s="34"/>
      <c r="V11004" s="34"/>
      <c r="W11004" s="34"/>
      <c r="X11004" s="37">
        <v>0.443</v>
      </c>
      <c r="Y11004" s="38">
        <v>1.8090000000000001E-3</v>
      </c>
      <c r="Z11004" s="21">
        <v>4601004015609</v>
      </c>
    </row>
    <row r="11005" spans="1:26" ht="12.95" customHeight="1" outlineLevel="2" x14ac:dyDescent="0.2">
      <c r="A11005" s="76" t="s">
        <v>20911</v>
      </c>
      <c r="B11005" s="76"/>
      <c r="C11005" s="77"/>
      <c r="D11005" s="58"/>
      <c r="E11005" s="68"/>
      <c r="F11005" s="13"/>
      <c r="G11005" s="13"/>
      <c r="H11005" s="13"/>
      <c r="I11005" s="13"/>
      <c r="J11005" s="13"/>
      <c r="K11005" s="13"/>
      <c r="L11005" s="13"/>
      <c r="M11005" s="13"/>
      <c r="N11005" s="13"/>
      <c r="O11005" s="13"/>
      <c r="P11005" s="13"/>
      <c r="Q11005" s="13"/>
      <c r="R11005" s="13"/>
      <c r="S11005" s="13"/>
      <c r="T11005" s="13"/>
      <c r="U11005" s="13"/>
      <c r="V11005" s="13"/>
      <c r="W11005" s="13"/>
      <c r="X11005" s="13"/>
      <c r="Y11005" s="13"/>
      <c r="Z11005" s="13"/>
    </row>
    <row r="11006" spans="1:26" ht="12" customHeight="1" outlineLevel="3" x14ac:dyDescent="0.2">
      <c r="A11006" s="14" t="s">
        <v>20912</v>
      </c>
      <c r="B11006" s="26" t="s">
        <v>20913</v>
      </c>
      <c r="C11006" s="52"/>
      <c r="D11006" s="55">
        <f t="shared" si="171"/>
        <v>0</v>
      </c>
      <c r="E11006" s="63" t="str">
        <f>HYPERLINK("https://www.sds-group.ru/product/tvinkl-wi-fi-18-m-temno-zelenyy-pvh-120-led-rgb-ne-soedinyaetsya-245-011/", "Инфо")</f>
        <v>Инфо</v>
      </c>
      <c r="F11006" s="16" t="s">
        <v>39</v>
      </c>
      <c r="G11006" s="15"/>
      <c r="H11006" s="15"/>
      <c r="I11006" s="15"/>
      <c r="J11006" s="17">
        <v>49</v>
      </c>
      <c r="K11006" s="15"/>
      <c r="L11006" s="17">
        <v>1</v>
      </c>
      <c r="M11006" s="17">
        <v>30</v>
      </c>
      <c r="N11006" s="17">
        <v>1</v>
      </c>
      <c r="O11006" s="18">
        <v>8107.3</v>
      </c>
      <c r="P11006" s="18">
        <v>6645.33</v>
      </c>
      <c r="Q11006" s="18">
        <v>5918.33</v>
      </c>
      <c r="R11006" s="18">
        <v>4851.09</v>
      </c>
      <c r="S11006" s="18">
        <v>5512.96</v>
      </c>
      <c r="T11006" s="18">
        <v>4518.82</v>
      </c>
      <c r="U11006" s="16"/>
      <c r="V11006" s="16"/>
      <c r="W11006" s="16" t="s">
        <v>40</v>
      </c>
      <c r="X11006" s="19">
        <v>0.41399999999999998</v>
      </c>
      <c r="Y11006" s="20">
        <v>1.8519999999999999E-3</v>
      </c>
      <c r="Z11006" s="21">
        <v>4601004246515</v>
      </c>
    </row>
    <row r="11007" spans="1:26" ht="12" customHeight="1" outlineLevel="3" x14ac:dyDescent="0.2">
      <c r="A11007" s="14" t="s">
        <v>20914</v>
      </c>
      <c r="B11007" s="26" t="s">
        <v>20915</v>
      </c>
      <c r="C11007" s="52"/>
      <c r="D11007" s="55">
        <f t="shared" si="171"/>
        <v>0</v>
      </c>
      <c r="E11007" s="64"/>
      <c r="F11007" s="16" t="s">
        <v>39</v>
      </c>
      <c r="G11007" s="15"/>
      <c r="H11007" s="15"/>
      <c r="I11007" s="15"/>
      <c r="J11007" s="16" t="s">
        <v>100</v>
      </c>
      <c r="K11007" s="15" t="s">
        <v>7336</v>
      </c>
      <c r="L11007" s="17">
        <v>1</v>
      </c>
      <c r="M11007" s="17">
        <v>20</v>
      </c>
      <c r="N11007" s="17">
        <v>1</v>
      </c>
      <c r="O11007" s="18">
        <v>7368.94</v>
      </c>
      <c r="P11007" s="18">
        <v>6040.11</v>
      </c>
      <c r="Q11007" s="18">
        <v>5158.26</v>
      </c>
      <c r="R11007" s="18">
        <v>4228.08</v>
      </c>
      <c r="S11007" s="18">
        <v>5010.88</v>
      </c>
      <c r="T11007" s="18">
        <v>4107.28</v>
      </c>
      <c r="U11007" s="16"/>
      <c r="V11007" s="16"/>
      <c r="W11007" s="16"/>
      <c r="X11007" s="19">
        <v>0.48899999999999999</v>
      </c>
      <c r="Y11007" s="20">
        <v>2.519E-3</v>
      </c>
      <c r="Z11007" s="21">
        <v>4601004337022</v>
      </c>
    </row>
    <row r="11008" spans="1:26" ht="12" customHeight="1" outlineLevel="3" x14ac:dyDescent="0.2">
      <c r="A11008" s="14" t="s">
        <v>20916</v>
      </c>
      <c r="B11008" s="26" t="s">
        <v>20917</v>
      </c>
      <c r="C11008" s="52"/>
      <c r="D11008" s="55">
        <f t="shared" si="171"/>
        <v>0</v>
      </c>
      <c r="E11008" s="63" t="str">
        <f>HYPERLINK("https://www.sds-group.ru/product/umnaya-girlyanda-rosa-s-krupnymi-kaplyami-10m-100-led-rgb-myagkiy-prozrachnyy-provod-ip20-us-245-019/", "Инфо")</f>
        <v>Инфо</v>
      </c>
      <c r="F11008" s="16" t="s">
        <v>39</v>
      </c>
      <c r="G11008" s="15"/>
      <c r="H11008" s="15"/>
      <c r="I11008" s="15"/>
      <c r="J11008" s="16" t="s">
        <v>100</v>
      </c>
      <c r="K11008" s="15"/>
      <c r="L11008" s="17">
        <v>1</v>
      </c>
      <c r="M11008" s="17">
        <v>60</v>
      </c>
      <c r="N11008" s="17">
        <v>1</v>
      </c>
      <c r="O11008" s="18">
        <v>1363.22</v>
      </c>
      <c r="P11008" s="18">
        <v>1117.3900000000001</v>
      </c>
      <c r="Q11008" s="18">
        <v>1076.94</v>
      </c>
      <c r="R11008" s="18">
        <v>882.74</v>
      </c>
      <c r="S11008" s="18">
        <v>926.99</v>
      </c>
      <c r="T11008" s="18">
        <v>759.83</v>
      </c>
      <c r="U11008" s="16"/>
      <c r="V11008" s="16"/>
      <c r="W11008" s="16" t="s">
        <v>40</v>
      </c>
      <c r="X11008" s="19">
        <v>0.14499999999999999</v>
      </c>
      <c r="Y11008" s="20">
        <v>5.22E-4</v>
      </c>
      <c r="Z11008" s="21">
        <v>4601004284036</v>
      </c>
    </row>
    <row r="11009" spans="1:26" ht="12" customHeight="1" outlineLevel="3" x14ac:dyDescent="0.2">
      <c r="A11009" s="14" t="s">
        <v>20918</v>
      </c>
      <c r="B11009" s="26" t="s">
        <v>20917</v>
      </c>
      <c r="C11009" s="52"/>
      <c r="D11009" s="55">
        <f t="shared" si="171"/>
        <v>0</v>
      </c>
      <c r="E11009" s="64"/>
      <c r="F11009" s="16" t="s">
        <v>39</v>
      </c>
      <c r="G11009" s="15"/>
      <c r="H11009" s="15"/>
      <c r="I11009" s="15"/>
      <c r="J11009" s="16" t="s">
        <v>100</v>
      </c>
      <c r="K11009" s="15" t="s">
        <v>7336</v>
      </c>
      <c r="L11009" s="17">
        <v>1</v>
      </c>
      <c r="M11009" s="17">
        <v>150</v>
      </c>
      <c r="N11009" s="17">
        <v>1</v>
      </c>
      <c r="O11009" s="18">
        <v>1064.55</v>
      </c>
      <c r="P11009" s="18">
        <v>872.58</v>
      </c>
      <c r="Q11009" s="18">
        <v>745.19</v>
      </c>
      <c r="R11009" s="18">
        <v>610.80999999999995</v>
      </c>
      <c r="S11009" s="18">
        <v>723.89</v>
      </c>
      <c r="T11009" s="18">
        <v>593.35</v>
      </c>
      <c r="U11009" s="16"/>
      <c r="V11009" s="16"/>
      <c r="W11009" s="16"/>
      <c r="X11009" s="19">
        <v>0.14699999999999999</v>
      </c>
      <c r="Y11009" s="20">
        <v>4.8700000000000002E-4</v>
      </c>
      <c r="Z11009" s="21">
        <v>4601004337190</v>
      </c>
    </row>
    <row r="11010" spans="1:26" ht="12" customHeight="1" outlineLevel="3" x14ac:dyDescent="0.2">
      <c r="A11010" s="14" t="s">
        <v>20919</v>
      </c>
      <c r="B11010" s="26" t="s">
        <v>20920</v>
      </c>
      <c r="C11010" s="52"/>
      <c r="D11010" s="55">
        <f t="shared" si="171"/>
        <v>0</v>
      </c>
      <c r="E11010" s="64"/>
      <c r="F11010" s="16" t="s">
        <v>39</v>
      </c>
      <c r="G11010" s="15"/>
      <c r="H11010" s="15"/>
      <c r="I11010" s="15"/>
      <c r="J11010" s="16" t="s">
        <v>100</v>
      </c>
      <c r="K11010" s="15" t="s">
        <v>7336</v>
      </c>
      <c r="L11010" s="17">
        <v>1</v>
      </c>
      <c r="M11010" s="17">
        <v>100</v>
      </c>
      <c r="N11010" s="17">
        <v>1</v>
      </c>
      <c r="O11010" s="18">
        <v>2007.81</v>
      </c>
      <c r="P11010" s="18">
        <v>1645.75</v>
      </c>
      <c r="Q11010" s="18">
        <v>1405.47</v>
      </c>
      <c r="R11010" s="18">
        <v>1152.02</v>
      </c>
      <c r="S11010" s="18">
        <v>1365.31</v>
      </c>
      <c r="T11010" s="18">
        <v>1119.1099999999999</v>
      </c>
      <c r="U11010" s="16"/>
      <c r="V11010" s="16"/>
      <c r="W11010" s="16"/>
      <c r="X11010" s="19">
        <v>0.45400000000000001</v>
      </c>
      <c r="Y11010" s="20">
        <v>1.193E-3</v>
      </c>
      <c r="Z11010" s="21">
        <v>4601004308121</v>
      </c>
    </row>
    <row r="11011" spans="1:26" ht="12" customHeight="1" outlineLevel="3" x14ac:dyDescent="0.2">
      <c r="A11011" s="14" t="s">
        <v>20921</v>
      </c>
      <c r="B11011" s="26" t="s">
        <v>20922</v>
      </c>
      <c r="C11011" s="52"/>
      <c r="D11011" s="55">
        <f t="shared" si="171"/>
        <v>0</v>
      </c>
      <c r="E11011" s="64"/>
      <c r="F11011" s="16" t="s">
        <v>39</v>
      </c>
      <c r="G11011" s="15"/>
      <c r="H11011" s="15"/>
      <c r="I11011" s="15"/>
      <c r="J11011" s="17">
        <v>3</v>
      </c>
      <c r="K11011" s="15" t="s">
        <v>7336</v>
      </c>
      <c r="L11011" s="17">
        <v>1</v>
      </c>
      <c r="M11011" s="17">
        <v>50</v>
      </c>
      <c r="N11011" s="17">
        <v>1</v>
      </c>
      <c r="O11011" s="18">
        <v>2860.35</v>
      </c>
      <c r="P11011" s="18">
        <v>2344.5500000000002</v>
      </c>
      <c r="Q11011" s="18">
        <v>2002.25</v>
      </c>
      <c r="R11011" s="18">
        <v>1641.19</v>
      </c>
      <c r="S11011" s="18">
        <v>1945.04</v>
      </c>
      <c r="T11011" s="18">
        <v>1594.3</v>
      </c>
      <c r="U11011" s="16"/>
      <c r="V11011" s="16"/>
      <c r="W11011" s="16"/>
      <c r="X11011" s="19">
        <v>0.45300000000000001</v>
      </c>
      <c r="Y11011" s="20">
        <v>1.0740000000000001E-3</v>
      </c>
      <c r="Z11011" s="21">
        <v>4601004337152</v>
      </c>
    </row>
    <row r="11012" spans="1:26" ht="12" customHeight="1" outlineLevel="3" x14ac:dyDescent="0.2">
      <c r="A11012" s="14" t="s">
        <v>20923</v>
      </c>
      <c r="B11012" s="26" t="s">
        <v>20924</v>
      </c>
      <c r="C11012" s="52"/>
      <c r="D11012" s="55">
        <f t="shared" si="171"/>
        <v>0</v>
      </c>
      <c r="E11012" s="64"/>
      <c r="F11012" s="16" t="s">
        <v>39</v>
      </c>
      <c r="G11012" s="15"/>
      <c r="H11012" s="15"/>
      <c r="I11012" s="15"/>
      <c r="J11012" s="16" t="s">
        <v>100</v>
      </c>
      <c r="K11012" s="15" t="s">
        <v>7336</v>
      </c>
      <c r="L11012" s="17">
        <v>1</v>
      </c>
      <c r="M11012" s="17">
        <v>20</v>
      </c>
      <c r="N11012" s="17">
        <v>1</v>
      </c>
      <c r="O11012" s="18">
        <v>2860.35</v>
      </c>
      <c r="P11012" s="18">
        <v>2344.5500000000002</v>
      </c>
      <c r="Q11012" s="18">
        <v>2002.25</v>
      </c>
      <c r="R11012" s="18">
        <v>1641.19</v>
      </c>
      <c r="S11012" s="18">
        <v>1945.04</v>
      </c>
      <c r="T11012" s="18">
        <v>1594.3</v>
      </c>
      <c r="U11012" s="16"/>
      <c r="V11012" s="16"/>
      <c r="W11012" s="16"/>
      <c r="X11012" s="19">
        <v>0.41699999999999998</v>
      </c>
      <c r="Y11012" s="20">
        <v>3.2299999999999998E-3</v>
      </c>
      <c r="Z11012" s="21">
        <v>4601004337015</v>
      </c>
    </row>
    <row r="11013" spans="1:26" ht="12" customHeight="1" outlineLevel="3" x14ac:dyDescent="0.2">
      <c r="A11013" s="14" t="s">
        <v>20925</v>
      </c>
      <c r="B11013" s="26" t="s">
        <v>20926</v>
      </c>
      <c r="C11013" s="52"/>
      <c r="D11013" s="55">
        <f t="shared" si="171"/>
        <v>0</v>
      </c>
      <c r="E11013" s="64"/>
      <c r="F11013" s="16" t="s">
        <v>39</v>
      </c>
      <c r="G11013" s="15"/>
      <c r="H11013" s="15"/>
      <c r="I11013" s="15"/>
      <c r="J11013" s="16" t="s">
        <v>100</v>
      </c>
      <c r="K11013" s="15" t="s">
        <v>7336</v>
      </c>
      <c r="L11013" s="17">
        <v>1</v>
      </c>
      <c r="M11013" s="17">
        <v>20</v>
      </c>
      <c r="N11013" s="17">
        <v>1</v>
      </c>
      <c r="O11013" s="18">
        <v>2786.04</v>
      </c>
      <c r="P11013" s="18">
        <v>2283.64</v>
      </c>
      <c r="Q11013" s="18">
        <v>1950.23</v>
      </c>
      <c r="R11013" s="18">
        <v>1598.55</v>
      </c>
      <c r="S11013" s="18">
        <v>1894.51</v>
      </c>
      <c r="T11013" s="18">
        <v>1552.88</v>
      </c>
      <c r="U11013" s="16"/>
      <c r="V11013" s="16"/>
      <c r="W11013" s="16"/>
      <c r="X11013" s="19">
        <v>0.80500000000000005</v>
      </c>
      <c r="Y11013" s="20">
        <v>2.7499999999999998E-3</v>
      </c>
      <c r="Z11013" s="21">
        <v>4601004311268</v>
      </c>
    </row>
    <row r="11014" spans="1:26" ht="12.95" customHeight="1" outlineLevel="2" x14ac:dyDescent="0.2">
      <c r="A11014" s="76" t="s">
        <v>20927</v>
      </c>
      <c r="B11014" s="76"/>
      <c r="C11014" s="77"/>
      <c r="D11014" s="58"/>
      <c r="E11014" s="68"/>
      <c r="F11014" s="13"/>
      <c r="G11014" s="13"/>
      <c r="H11014" s="13"/>
      <c r="I11014" s="13"/>
      <c r="J11014" s="13"/>
      <c r="K11014" s="13"/>
      <c r="L11014" s="13"/>
      <c r="M11014" s="13"/>
      <c r="N11014" s="13"/>
      <c r="O11014" s="13"/>
      <c r="P11014" s="13"/>
      <c r="Q11014" s="13"/>
      <c r="R11014" s="13"/>
      <c r="S11014" s="13"/>
      <c r="T11014" s="13"/>
      <c r="U11014" s="13"/>
      <c r="V11014" s="13"/>
      <c r="W11014" s="13"/>
      <c r="X11014" s="13"/>
      <c r="Y11014" s="13"/>
      <c r="Z11014" s="13"/>
    </row>
    <row r="11015" spans="1:26" ht="12.95" customHeight="1" outlineLevel="3" x14ac:dyDescent="0.2">
      <c r="A11015" s="76" t="s">
        <v>20928</v>
      </c>
      <c r="B11015" s="76"/>
      <c r="C11015" s="77"/>
      <c r="D11015" s="58"/>
      <c r="E11015" s="68"/>
      <c r="F11015" s="13"/>
      <c r="G11015" s="13"/>
      <c r="H11015" s="13"/>
      <c r="I11015" s="13"/>
      <c r="J11015" s="13"/>
      <c r="K11015" s="13"/>
      <c r="L11015" s="13"/>
      <c r="M11015" s="13"/>
      <c r="N11015" s="13"/>
      <c r="O11015" s="13"/>
      <c r="P11015" s="13"/>
      <c r="Q11015" s="13"/>
      <c r="R11015" s="13"/>
      <c r="S11015" s="13"/>
      <c r="T11015" s="13"/>
      <c r="U11015" s="13"/>
      <c r="V11015" s="13"/>
      <c r="W11015" s="13"/>
      <c r="X11015" s="13"/>
      <c r="Y11015" s="13"/>
      <c r="Z11015" s="13"/>
    </row>
    <row r="11016" spans="1:26" ht="12" customHeight="1" outlineLevel="4" x14ac:dyDescent="0.2">
      <c r="A11016" s="14" t="s">
        <v>20929</v>
      </c>
      <c r="B11016" s="26" t="s">
        <v>20930</v>
      </c>
      <c r="C11016" s="52"/>
      <c r="D11016" s="55">
        <f t="shared" si="171"/>
        <v>0</v>
      </c>
      <c r="E11016" s="64"/>
      <c r="F11016" s="16" t="s">
        <v>39</v>
      </c>
      <c r="G11016" s="15"/>
      <c r="H11016" s="15"/>
      <c r="I11016" s="15"/>
      <c r="J11016" s="16" t="s">
        <v>100</v>
      </c>
      <c r="K11016" s="15" t="s">
        <v>11098</v>
      </c>
      <c r="L11016" s="17">
        <v>1</v>
      </c>
      <c r="M11016" s="17">
        <v>6</v>
      </c>
      <c r="N11016" s="17">
        <v>1</v>
      </c>
      <c r="O11016" s="18">
        <v>2860.35</v>
      </c>
      <c r="P11016" s="18">
        <v>2344.5500000000002</v>
      </c>
      <c r="Q11016" s="18">
        <v>2002.25</v>
      </c>
      <c r="R11016" s="18">
        <v>1641.19</v>
      </c>
      <c r="S11016" s="18">
        <v>1945.04</v>
      </c>
      <c r="T11016" s="18">
        <v>1594.3</v>
      </c>
      <c r="U11016" s="16"/>
      <c r="V11016" s="16"/>
      <c r="W11016" s="16"/>
      <c r="X11016" s="19">
        <v>1.8009999999999999</v>
      </c>
      <c r="Y11016" s="20">
        <v>7.1500000000000001E-3</v>
      </c>
      <c r="Z11016" s="21">
        <v>4601004337176</v>
      </c>
    </row>
    <row r="11017" spans="1:26" ht="12" customHeight="1" outlineLevel="4" x14ac:dyDescent="0.2">
      <c r="A11017" s="32" t="s">
        <v>20931</v>
      </c>
      <c r="B11017" s="74" t="s">
        <v>20932</v>
      </c>
      <c r="C11017" s="50"/>
      <c r="D11017" s="53">
        <f t="shared" ref="D11017:D11080" si="172">C11017*(O11017-O11017*$G$3)</f>
        <v>0</v>
      </c>
      <c r="E11017" s="60" t="str">
        <f>HYPERLINK("https://www.sds-group.ru/product/dekorativnyy-svetilnik-delfiny-s-konfetti-usb-neon-night-501-173/", "Инфо")</f>
        <v>Инфо</v>
      </c>
      <c r="F11017" s="34" t="s">
        <v>39</v>
      </c>
      <c r="G11017" s="33"/>
      <c r="H11017" s="33" t="s">
        <v>40</v>
      </c>
      <c r="I11017" s="33"/>
      <c r="J11017" s="35">
        <v>57</v>
      </c>
      <c r="K11017" s="33"/>
      <c r="L11017" s="35">
        <v>1</v>
      </c>
      <c r="M11017" s="35">
        <v>6</v>
      </c>
      <c r="N11017" s="35">
        <v>1</v>
      </c>
      <c r="O11017" s="36">
        <v>2366.04</v>
      </c>
      <c r="P11017" s="36">
        <v>1939.38</v>
      </c>
      <c r="Q11017" s="36">
        <v>1656.23</v>
      </c>
      <c r="R11017" s="36">
        <v>1357.57</v>
      </c>
      <c r="S11017" s="36">
        <v>1608.91</v>
      </c>
      <c r="T11017" s="36">
        <v>1318.78</v>
      </c>
      <c r="U11017" s="34"/>
      <c r="V11017" s="34"/>
      <c r="W11017" s="34"/>
      <c r="X11017" s="37">
        <v>1.7390000000000001</v>
      </c>
      <c r="Y11017" s="38">
        <v>6.221E-3</v>
      </c>
      <c r="Z11017" s="21">
        <v>4601004180673</v>
      </c>
    </row>
    <row r="11018" spans="1:26" ht="12" customHeight="1" outlineLevel="4" x14ac:dyDescent="0.2">
      <c r="A11018" s="32" t="s">
        <v>20933</v>
      </c>
      <c r="B11018" s="74" t="s">
        <v>20934</v>
      </c>
      <c r="C11018" s="50"/>
      <c r="D11018" s="53">
        <f t="shared" si="172"/>
        <v>0</v>
      </c>
      <c r="E11018" s="60" t="str">
        <f>HYPERLINK("https://www.sds-group.ru/product/dekorativnyy-svetilnik-edinorog-s-konfetti-i-melodiey-usb-neon-night-501-186/", "Инфо")</f>
        <v>Инфо</v>
      </c>
      <c r="F11018" s="34" t="s">
        <v>39</v>
      </c>
      <c r="G11018" s="33"/>
      <c r="H11018" s="33" t="s">
        <v>40</v>
      </c>
      <c r="I11018" s="33"/>
      <c r="J11018" s="34" t="s">
        <v>100</v>
      </c>
      <c r="K11018" s="33"/>
      <c r="L11018" s="35">
        <v>1</v>
      </c>
      <c r="M11018" s="35">
        <v>6</v>
      </c>
      <c r="N11018" s="35">
        <v>1</v>
      </c>
      <c r="O11018" s="36">
        <v>4415.45</v>
      </c>
      <c r="P11018" s="36">
        <v>3619.22</v>
      </c>
      <c r="Q11018" s="36">
        <v>3090.82</v>
      </c>
      <c r="R11018" s="36">
        <v>2533.46</v>
      </c>
      <c r="S11018" s="36">
        <v>3002.51</v>
      </c>
      <c r="T11018" s="36">
        <v>2461.0700000000002</v>
      </c>
      <c r="U11018" s="34"/>
      <c r="V11018" s="34"/>
      <c r="W11018" s="34"/>
      <c r="X11018" s="37">
        <v>1.8819999999999999</v>
      </c>
      <c r="Y11018" s="38">
        <v>5.4619999999999998E-3</v>
      </c>
      <c r="Z11018" s="21">
        <v>4601004184008</v>
      </c>
    </row>
    <row r="11019" spans="1:26" ht="12" customHeight="1" outlineLevel="4" x14ac:dyDescent="0.2">
      <c r="A11019" s="14" t="s">
        <v>20935</v>
      </c>
      <c r="B11019" s="26" t="s">
        <v>20936</v>
      </c>
      <c r="C11019" s="52"/>
      <c r="D11019" s="55">
        <f t="shared" si="172"/>
        <v>0</v>
      </c>
      <c r="E11019" s="64"/>
      <c r="F11019" s="16" t="s">
        <v>39</v>
      </c>
      <c r="G11019" s="15"/>
      <c r="H11019" s="15"/>
      <c r="I11019" s="15"/>
      <c r="J11019" s="16" t="s">
        <v>100</v>
      </c>
      <c r="K11019" s="15" t="s">
        <v>11098</v>
      </c>
      <c r="L11019" s="17">
        <v>1</v>
      </c>
      <c r="M11019" s="17">
        <v>6</v>
      </c>
      <c r="N11019" s="17">
        <v>1</v>
      </c>
      <c r="O11019" s="18">
        <v>4416.6499999999996</v>
      </c>
      <c r="P11019" s="18">
        <v>3620.2</v>
      </c>
      <c r="Q11019" s="18">
        <v>3091.66</v>
      </c>
      <c r="R11019" s="18">
        <v>2534.15</v>
      </c>
      <c r="S11019" s="18">
        <v>3003.32</v>
      </c>
      <c r="T11019" s="18">
        <v>2461.7399999999998</v>
      </c>
      <c r="U11019" s="16"/>
      <c r="V11019" s="16"/>
      <c r="W11019" s="16"/>
      <c r="X11019" s="19">
        <v>1.6919999999999999</v>
      </c>
      <c r="Y11019" s="20">
        <v>1.0776000000000001E-2</v>
      </c>
      <c r="Z11019" s="21">
        <v>4601004337183</v>
      </c>
    </row>
    <row r="11020" spans="1:26" ht="12" customHeight="1" outlineLevel="4" x14ac:dyDescent="0.2">
      <c r="A11020" s="14" t="s">
        <v>20937</v>
      </c>
      <c r="B11020" s="26" t="s">
        <v>20938</v>
      </c>
      <c r="C11020" s="52"/>
      <c r="D11020" s="55">
        <f t="shared" si="172"/>
        <v>0</v>
      </c>
      <c r="E11020" s="64"/>
      <c r="F11020" s="16" t="s">
        <v>39</v>
      </c>
      <c r="G11020" s="15"/>
      <c r="H11020" s="15"/>
      <c r="I11020" s="15"/>
      <c r="J11020" s="16" t="s">
        <v>100</v>
      </c>
      <c r="K11020" s="15" t="s">
        <v>11098</v>
      </c>
      <c r="L11020" s="17">
        <v>1</v>
      </c>
      <c r="M11020" s="17">
        <v>8</v>
      </c>
      <c r="N11020" s="17">
        <v>1</v>
      </c>
      <c r="O11020" s="18">
        <v>2860.35</v>
      </c>
      <c r="P11020" s="18">
        <v>2344.5500000000002</v>
      </c>
      <c r="Q11020" s="18">
        <v>2002.25</v>
      </c>
      <c r="R11020" s="18">
        <v>1641.19</v>
      </c>
      <c r="S11020" s="18">
        <v>1945.04</v>
      </c>
      <c r="T11020" s="18">
        <v>1594.3</v>
      </c>
      <c r="U11020" s="16"/>
      <c r="V11020" s="16"/>
      <c r="W11020" s="16"/>
      <c r="X11020" s="19">
        <v>1.7669999999999999</v>
      </c>
      <c r="Y11020" s="20">
        <v>7.3090000000000004E-3</v>
      </c>
      <c r="Z11020" s="21">
        <v>4601004337145</v>
      </c>
    </row>
    <row r="11021" spans="1:26" ht="12" customHeight="1" outlineLevel="4" x14ac:dyDescent="0.2">
      <c r="A11021" s="32" t="s">
        <v>20939</v>
      </c>
      <c r="B11021" s="74" t="s">
        <v>20940</v>
      </c>
      <c r="C11021" s="50"/>
      <c r="D11021" s="53">
        <f t="shared" si="172"/>
        <v>0</v>
      </c>
      <c r="E11021" s="60" t="str">
        <f>HYPERLINK("https://www.sds-group.ru/product/dekorativnyy-svetilnik-kolokolchik-s-effektom-snegopada-neon-night-501-068/", "Инфо")</f>
        <v>Инфо</v>
      </c>
      <c r="F11021" s="34" t="s">
        <v>39</v>
      </c>
      <c r="G11021" s="33"/>
      <c r="H11021" s="33" t="s">
        <v>40</v>
      </c>
      <c r="I11021" s="33"/>
      <c r="J11021" s="35">
        <v>60</v>
      </c>
      <c r="K11021" s="33"/>
      <c r="L11021" s="35">
        <v>1</v>
      </c>
      <c r="M11021" s="35">
        <v>8</v>
      </c>
      <c r="N11021" s="35">
        <v>1</v>
      </c>
      <c r="O11021" s="36">
        <v>2860.35</v>
      </c>
      <c r="P11021" s="36">
        <v>2344.5500000000002</v>
      </c>
      <c r="Q11021" s="36">
        <v>2002.25</v>
      </c>
      <c r="R11021" s="36">
        <v>1641.19</v>
      </c>
      <c r="S11021" s="36">
        <v>1945.04</v>
      </c>
      <c r="T11021" s="36">
        <v>1594.3</v>
      </c>
      <c r="U11021" s="34"/>
      <c r="V11021" s="34"/>
      <c r="W11021" s="34"/>
      <c r="X11021" s="37">
        <v>1.2130000000000001</v>
      </c>
      <c r="Y11021" s="38">
        <v>8.548E-3</v>
      </c>
      <c r="Z11021" s="21">
        <v>4601004180703</v>
      </c>
    </row>
    <row r="11022" spans="1:26" ht="12" customHeight="1" outlineLevel="4" x14ac:dyDescent="0.2">
      <c r="A11022" s="32" t="s">
        <v>20941</v>
      </c>
      <c r="B11022" s="74" t="s">
        <v>20942</v>
      </c>
      <c r="C11022" s="50"/>
      <c r="D11022" s="53">
        <f t="shared" si="172"/>
        <v>0</v>
      </c>
      <c r="E11022" s="60" t="str">
        <f>HYPERLINK("https://www.sds-group.ru/product/dekorativnyy-svetilnik-mayak-siniy-s-konfetti-i-podsvetkoy-usb-neon-night-501-171/", "Инфо")</f>
        <v>Инфо</v>
      </c>
      <c r="F11022" s="34" t="s">
        <v>39</v>
      </c>
      <c r="G11022" s="33"/>
      <c r="H11022" s="33" t="s">
        <v>40</v>
      </c>
      <c r="I11022" s="33"/>
      <c r="J11022" s="35">
        <v>1</v>
      </c>
      <c r="K11022" s="33"/>
      <c r="L11022" s="35">
        <v>1</v>
      </c>
      <c r="M11022" s="35">
        <v>6</v>
      </c>
      <c r="N11022" s="35">
        <v>1</v>
      </c>
      <c r="O11022" s="36">
        <v>3677.09</v>
      </c>
      <c r="P11022" s="36">
        <v>3014.01</v>
      </c>
      <c r="Q11022" s="36">
        <v>2573.96</v>
      </c>
      <c r="R11022" s="36">
        <v>2109.8000000000002</v>
      </c>
      <c r="S11022" s="36">
        <v>2500.42</v>
      </c>
      <c r="T11022" s="36">
        <v>2049.52</v>
      </c>
      <c r="U11022" s="34"/>
      <c r="V11022" s="34"/>
      <c r="W11022" s="34"/>
      <c r="X11022" s="37">
        <v>1.516</v>
      </c>
      <c r="Y11022" s="38">
        <v>1.1963E-2</v>
      </c>
      <c r="Z11022" s="21">
        <v>4601004180628</v>
      </c>
    </row>
    <row r="11023" spans="1:26" ht="12" customHeight="1" outlineLevel="4" x14ac:dyDescent="0.2">
      <c r="A11023" s="14" t="s">
        <v>20943</v>
      </c>
      <c r="B11023" s="26" t="s">
        <v>20944</v>
      </c>
      <c r="C11023" s="52"/>
      <c r="D11023" s="55">
        <f t="shared" si="172"/>
        <v>0</v>
      </c>
      <c r="E11023" s="63" t="str">
        <f>HYPERLINK("https://www.sds-group.ru/product/dekorativnyy-svetilnik-podsvechnik-s-effektom-snegopada-neon-night-501-164/", "Инфо")</f>
        <v>Инфо</v>
      </c>
      <c r="F11023" s="16" t="s">
        <v>39</v>
      </c>
      <c r="G11023" s="15"/>
      <c r="H11023" s="15"/>
      <c r="I11023" s="15"/>
      <c r="J11023" s="16" t="s">
        <v>100</v>
      </c>
      <c r="K11023" s="15" t="s">
        <v>9932</v>
      </c>
      <c r="L11023" s="17">
        <v>1</v>
      </c>
      <c r="M11023" s="17">
        <v>4</v>
      </c>
      <c r="N11023" s="17">
        <v>1</v>
      </c>
      <c r="O11023" s="18">
        <v>4415.45</v>
      </c>
      <c r="P11023" s="18">
        <v>3619.22</v>
      </c>
      <c r="Q11023" s="18">
        <v>3090.82</v>
      </c>
      <c r="R11023" s="18">
        <v>2533.46</v>
      </c>
      <c r="S11023" s="18">
        <v>3002.51</v>
      </c>
      <c r="T11023" s="18">
        <v>2461.0700000000002</v>
      </c>
      <c r="U11023" s="16"/>
      <c r="V11023" s="16"/>
      <c r="W11023" s="16"/>
      <c r="X11023" s="19">
        <v>2.5179999999999998</v>
      </c>
      <c r="Y11023" s="20">
        <v>1.6306999999999999E-2</v>
      </c>
      <c r="Z11023" s="21">
        <v>4601004180741</v>
      </c>
    </row>
    <row r="11024" spans="1:26" ht="12" customHeight="1" outlineLevel="4" x14ac:dyDescent="0.2">
      <c r="A11024" s="14" t="s">
        <v>20945</v>
      </c>
      <c r="B11024" s="26" t="s">
        <v>20946</v>
      </c>
      <c r="C11024" s="52"/>
      <c r="D11024" s="55">
        <f t="shared" si="172"/>
        <v>0</v>
      </c>
      <c r="E11024" s="64"/>
      <c r="F11024" s="16" t="s">
        <v>39</v>
      </c>
      <c r="G11024" s="15"/>
      <c r="H11024" s="15"/>
      <c r="I11024" s="15"/>
      <c r="J11024" s="16" t="s">
        <v>100</v>
      </c>
      <c r="K11024" s="15" t="s">
        <v>11098</v>
      </c>
      <c r="L11024" s="17">
        <v>1</v>
      </c>
      <c r="M11024" s="17">
        <v>6</v>
      </c>
      <c r="N11024" s="17">
        <v>1</v>
      </c>
      <c r="O11024" s="18">
        <v>2860.35</v>
      </c>
      <c r="P11024" s="18">
        <v>2344.5500000000002</v>
      </c>
      <c r="Q11024" s="18">
        <v>2002.25</v>
      </c>
      <c r="R11024" s="18">
        <v>1641.19</v>
      </c>
      <c r="S11024" s="18">
        <v>1945.04</v>
      </c>
      <c r="T11024" s="18">
        <v>1594.3</v>
      </c>
      <c r="U11024" s="16"/>
      <c r="V11024" s="16"/>
      <c r="W11024" s="16"/>
      <c r="X11024" s="19">
        <v>1.034</v>
      </c>
      <c r="Y11024" s="20">
        <v>6.6769999999999998E-3</v>
      </c>
      <c r="Z11024" s="21">
        <v>4601004337039</v>
      </c>
    </row>
    <row r="11025" spans="1:26" ht="12" customHeight="1" outlineLevel="4" x14ac:dyDescent="0.2">
      <c r="A11025" s="32" t="s">
        <v>20947</v>
      </c>
      <c r="B11025" s="74" t="s">
        <v>20948</v>
      </c>
      <c r="C11025" s="50"/>
      <c r="D11025" s="53">
        <f t="shared" si="172"/>
        <v>0</v>
      </c>
      <c r="E11025" s="60" t="str">
        <f>HYPERLINK("https://www.sds-group.ru/product/dekorativnyy-svetilnik-siyanie-s-konfetti-usb-neon-night-501-060/", "Инфо")</f>
        <v>Инфо</v>
      </c>
      <c r="F11025" s="34" t="s">
        <v>39</v>
      </c>
      <c r="G11025" s="33"/>
      <c r="H11025" s="33" t="s">
        <v>40</v>
      </c>
      <c r="I11025" s="33"/>
      <c r="J11025" s="35">
        <v>38</v>
      </c>
      <c r="K11025" s="33"/>
      <c r="L11025" s="35">
        <v>1</v>
      </c>
      <c r="M11025" s="35">
        <v>6</v>
      </c>
      <c r="N11025" s="35">
        <v>1</v>
      </c>
      <c r="O11025" s="36">
        <v>2646.05</v>
      </c>
      <c r="P11025" s="36">
        <v>2168.89</v>
      </c>
      <c r="Q11025" s="36">
        <v>1852.24</v>
      </c>
      <c r="R11025" s="36">
        <v>1518.23</v>
      </c>
      <c r="S11025" s="36">
        <v>1799.31</v>
      </c>
      <c r="T11025" s="36">
        <v>1474.84</v>
      </c>
      <c r="U11025" s="34"/>
      <c r="V11025" s="34"/>
      <c r="W11025" s="34"/>
      <c r="X11025" s="37">
        <v>1.468</v>
      </c>
      <c r="Y11025" s="38">
        <v>7.5420000000000001E-3</v>
      </c>
      <c r="Z11025" s="21">
        <v>4601004180680</v>
      </c>
    </row>
    <row r="11026" spans="1:26" ht="12" customHeight="1" outlineLevel="4" x14ac:dyDescent="0.2">
      <c r="A11026" s="14" t="s">
        <v>20949</v>
      </c>
      <c r="B11026" s="26" t="s">
        <v>20950</v>
      </c>
      <c r="C11026" s="52"/>
      <c r="D11026" s="55">
        <f t="shared" si="172"/>
        <v>0</v>
      </c>
      <c r="E11026" s="64"/>
      <c r="F11026" s="16" t="s">
        <v>39</v>
      </c>
      <c r="G11026" s="15"/>
      <c r="H11026" s="15"/>
      <c r="I11026" s="15"/>
      <c r="J11026" s="16" t="s">
        <v>100</v>
      </c>
      <c r="K11026" s="15" t="s">
        <v>11098</v>
      </c>
      <c r="L11026" s="17">
        <v>1</v>
      </c>
      <c r="M11026" s="17">
        <v>6</v>
      </c>
      <c r="N11026" s="17">
        <v>1</v>
      </c>
      <c r="O11026" s="18">
        <v>2860.35</v>
      </c>
      <c r="P11026" s="18">
        <v>2344.5500000000002</v>
      </c>
      <c r="Q11026" s="18">
        <v>2002.25</v>
      </c>
      <c r="R11026" s="18">
        <v>1641.19</v>
      </c>
      <c r="S11026" s="18">
        <v>1945.04</v>
      </c>
      <c r="T11026" s="18">
        <v>1594.3</v>
      </c>
      <c r="U11026" s="16"/>
      <c r="V11026" s="16"/>
      <c r="W11026" s="16"/>
      <c r="X11026" s="19">
        <v>1.8120000000000001</v>
      </c>
      <c r="Y11026" s="20">
        <v>7.2189999999999997E-3</v>
      </c>
      <c r="Z11026" s="21">
        <v>4601004337169</v>
      </c>
    </row>
    <row r="11027" spans="1:26" ht="12" customHeight="1" outlineLevel="4" x14ac:dyDescent="0.2">
      <c r="A11027" s="32" t="s">
        <v>20951</v>
      </c>
      <c r="B11027" s="74" t="s">
        <v>20952</v>
      </c>
      <c r="C11027" s="50"/>
      <c r="D11027" s="53">
        <f t="shared" si="172"/>
        <v>0</v>
      </c>
      <c r="E11027" s="60" t="str">
        <f>HYPERLINK("https://www.sds-group.ru/product/dekorativnyy-svetilnik-feya-s-konfetti-i-melodiey-usb-neon-night-501-184/", "Инфо")</f>
        <v>Инфо</v>
      </c>
      <c r="F11027" s="34" t="s">
        <v>39</v>
      </c>
      <c r="G11027" s="33"/>
      <c r="H11027" s="33" t="s">
        <v>40</v>
      </c>
      <c r="I11027" s="33"/>
      <c r="J11027" s="34" t="s">
        <v>100</v>
      </c>
      <c r="K11027" s="33"/>
      <c r="L11027" s="35">
        <v>1</v>
      </c>
      <c r="M11027" s="35">
        <v>6</v>
      </c>
      <c r="N11027" s="35">
        <v>1</v>
      </c>
      <c r="O11027" s="36">
        <v>4415.45</v>
      </c>
      <c r="P11027" s="36">
        <v>3619.22</v>
      </c>
      <c r="Q11027" s="36">
        <v>3090.82</v>
      </c>
      <c r="R11027" s="36">
        <v>2533.46</v>
      </c>
      <c r="S11027" s="36">
        <v>3002.51</v>
      </c>
      <c r="T11027" s="36">
        <v>2461.0700000000002</v>
      </c>
      <c r="U11027" s="34"/>
      <c r="V11027" s="34"/>
      <c r="W11027" s="34"/>
      <c r="X11027" s="37">
        <v>1.891</v>
      </c>
      <c r="Y11027" s="38">
        <v>5.718E-3</v>
      </c>
      <c r="Z11027" s="21">
        <v>4601004183995</v>
      </c>
    </row>
    <row r="11028" spans="1:26" ht="12" customHeight="1" outlineLevel="4" x14ac:dyDescent="0.2">
      <c r="A11028" s="14" t="s">
        <v>20953</v>
      </c>
      <c r="B11028" s="26" t="s">
        <v>20954</v>
      </c>
      <c r="C11028" s="52"/>
      <c r="D11028" s="55">
        <f t="shared" si="172"/>
        <v>0</v>
      </c>
      <c r="E11028" s="63" t="str">
        <f>HYPERLINK("https://www.sds-group.ru/product/dekorativnyy-led-fonar-s-effektom-snegopada-i-podsvetkoy-ded-moroz-teploe-beloe-svechenie-ne-501-062/", "Инфо")</f>
        <v>Инфо</v>
      </c>
      <c r="F11028" s="16" t="s">
        <v>39</v>
      </c>
      <c r="G11028" s="15"/>
      <c r="H11028" s="15"/>
      <c r="I11028" s="15"/>
      <c r="J11028" s="16" t="s">
        <v>100</v>
      </c>
      <c r="K11028" s="15" t="s">
        <v>11098</v>
      </c>
      <c r="L11028" s="17">
        <v>1</v>
      </c>
      <c r="M11028" s="17">
        <v>6</v>
      </c>
      <c r="N11028" s="17">
        <v>1</v>
      </c>
      <c r="O11028" s="18">
        <v>2860.35</v>
      </c>
      <c r="P11028" s="18">
        <v>2344.5500000000002</v>
      </c>
      <c r="Q11028" s="18">
        <v>2002.25</v>
      </c>
      <c r="R11028" s="18">
        <v>1641.19</v>
      </c>
      <c r="S11028" s="18">
        <v>1945.04</v>
      </c>
      <c r="T11028" s="18">
        <v>1594.3</v>
      </c>
      <c r="U11028" s="16"/>
      <c r="V11028" s="16"/>
      <c r="W11028" s="16"/>
      <c r="X11028" s="19">
        <v>1.802</v>
      </c>
      <c r="Y11028" s="20">
        <v>7.1859999999999997E-3</v>
      </c>
      <c r="Z11028" s="21">
        <v>4601004089440</v>
      </c>
    </row>
    <row r="11029" spans="1:26" ht="12" customHeight="1" outlineLevel="4" x14ac:dyDescent="0.2">
      <c r="A11029" s="32" t="s">
        <v>20955</v>
      </c>
      <c r="B11029" s="74" t="s">
        <v>20956</v>
      </c>
      <c r="C11029" s="50"/>
      <c r="D11029" s="53">
        <f t="shared" si="172"/>
        <v>0</v>
      </c>
      <c r="E11029" s="60" t="str">
        <f>HYPERLINK("https://www.sds-group.ru/product/dekorativnyy-fonar-s-effektom-snegopada-i-podsvetkoy-novyy-god-501-161/", "Инфо")</f>
        <v>Инфо</v>
      </c>
      <c r="F11029" s="34" t="s">
        <v>39</v>
      </c>
      <c r="G11029" s="33"/>
      <c r="H11029" s="33" t="s">
        <v>40</v>
      </c>
      <c r="I11029" s="33"/>
      <c r="J11029" s="35">
        <v>30</v>
      </c>
      <c r="K11029" s="33"/>
      <c r="L11029" s="35">
        <v>1</v>
      </c>
      <c r="M11029" s="35">
        <v>6</v>
      </c>
      <c r="N11029" s="35">
        <v>1</v>
      </c>
      <c r="O11029" s="36">
        <v>2860.35</v>
      </c>
      <c r="P11029" s="36">
        <v>2344.5500000000002</v>
      </c>
      <c r="Q11029" s="36">
        <v>2145.2600000000002</v>
      </c>
      <c r="R11029" s="36">
        <v>1758.41</v>
      </c>
      <c r="S11029" s="36">
        <v>1945.04</v>
      </c>
      <c r="T11029" s="36">
        <v>1594.3</v>
      </c>
      <c r="U11029" s="34"/>
      <c r="V11029" s="34"/>
      <c r="W11029" s="34" t="s">
        <v>40</v>
      </c>
      <c r="X11029" s="37">
        <v>1.8819999999999999</v>
      </c>
      <c r="Y11029" s="38">
        <v>7.4830000000000001E-3</v>
      </c>
      <c r="Z11029" s="21">
        <v>4601004252356</v>
      </c>
    </row>
    <row r="11030" spans="1:26" ht="12" customHeight="1" outlineLevel="4" x14ac:dyDescent="0.2">
      <c r="A11030" s="14" t="s">
        <v>20957</v>
      </c>
      <c r="B11030" s="26" t="s">
        <v>20958</v>
      </c>
      <c r="C11030" s="52"/>
      <c r="D11030" s="55">
        <f t="shared" si="172"/>
        <v>0</v>
      </c>
      <c r="E11030" s="63" t="str">
        <f>HYPERLINK("https://www.sds-group.ru/product/dekorativnyy-fonar-s-effektom-snegopada-i-podsvetkoy-rozhdestvenskiy-les-belyy-501-165/", "Инфо")</f>
        <v>Инфо</v>
      </c>
      <c r="F11030" s="16" t="s">
        <v>39</v>
      </c>
      <c r="G11030" s="15"/>
      <c r="H11030" s="15"/>
      <c r="I11030" s="15"/>
      <c r="J11030" s="17">
        <v>5</v>
      </c>
      <c r="K11030" s="15"/>
      <c r="L11030" s="17">
        <v>1</v>
      </c>
      <c r="M11030" s="17">
        <v>8</v>
      </c>
      <c r="N11030" s="17">
        <v>1</v>
      </c>
      <c r="O11030" s="18">
        <v>4415.45</v>
      </c>
      <c r="P11030" s="18">
        <v>3619.22</v>
      </c>
      <c r="Q11030" s="18">
        <v>3223.28</v>
      </c>
      <c r="R11030" s="18">
        <v>2642.03</v>
      </c>
      <c r="S11030" s="18">
        <v>3002.51</v>
      </c>
      <c r="T11030" s="18">
        <v>2461.0700000000002</v>
      </c>
      <c r="U11030" s="16"/>
      <c r="V11030" s="16"/>
      <c r="W11030" s="16" t="s">
        <v>40</v>
      </c>
      <c r="X11030" s="19">
        <v>1.8660000000000001</v>
      </c>
      <c r="Y11030" s="20">
        <v>9.7359999999999999E-3</v>
      </c>
      <c r="Z11030" s="21">
        <v>4601004254749</v>
      </c>
    </row>
    <row r="11031" spans="1:26" ht="12" customHeight="1" outlineLevel="4" x14ac:dyDescent="0.2">
      <c r="A11031" s="14" t="s">
        <v>20959</v>
      </c>
      <c r="B11031" s="26" t="s">
        <v>20960</v>
      </c>
      <c r="C11031" s="52"/>
      <c r="D11031" s="55">
        <f t="shared" si="172"/>
        <v>0</v>
      </c>
      <c r="E11031" s="63" t="str">
        <f>HYPERLINK("https://www.sds-group.ru/product/dekorativnyy-fonar-s-effektom-snegopada-i-podsvetkoy-rozhdestvo-belyy-501-065/", "Инфо")</f>
        <v>Инфо</v>
      </c>
      <c r="F11031" s="16" t="s">
        <v>39</v>
      </c>
      <c r="G11031" s="15"/>
      <c r="H11031" s="15"/>
      <c r="I11031" s="15"/>
      <c r="J11031" s="17">
        <v>1</v>
      </c>
      <c r="K11031" s="15" t="s">
        <v>11098</v>
      </c>
      <c r="L11031" s="17">
        <v>1</v>
      </c>
      <c r="M11031" s="17">
        <v>6</v>
      </c>
      <c r="N11031" s="17">
        <v>1</v>
      </c>
      <c r="O11031" s="18">
        <v>2860.35</v>
      </c>
      <c r="P11031" s="18">
        <v>2344.5500000000002</v>
      </c>
      <c r="Q11031" s="18">
        <v>2002.25</v>
      </c>
      <c r="R11031" s="18">
        <v>1641.19</v>
      </c>
      <c r="S11031" s="18">
        <v>1945.04</v>
      </c>
      <c r="T11031" s="18">
        <v>1594.3</v>
      </c>
      <c r="U11031" s="16"/>
      <c r="V11031" s="16"/>
      <c r="W11031" s="16"/>
      <c r="X11031" s="19">
        <v>1.466</v>
      </c>
      <c r="Y11031" s="20">
        <v>7.234E-3</v>
      </c>
      <c r="Z11031" s="21">
        <v>4601004146594</v>
      </c>
    </row>
    <row r="11032" spans="1:26" ht="12" customHeight="1" outlineLevel="4" x14ac:dyDescent="0.2">
      <c r="A11032" s="14" t="s">
        <v>20961</v>
      </c>
      <c r="B11032" s="26" t="s">
        <v>20962</v>
      </c>
      <c r="C11032" s="52"/>
      <c r="D11032" s="55">
        <f t="shared" si="172"/>
        <v>0</v>
      </c>
      <c r="E11032" s="63" t="str">
        <f>HYPERLINK("https://www.sds-group.ru/product/dekorativnyy-led-fonar-s-effektom-snegopada-i-podsvetkoy-santa-klaus-usb-teploe-beloe-sveche-501-066/", "Инфо")</f>
        <v>Инфо</v>
      </c>
      <c r="F11032" s="16" t="s">
        <v>39</v>
      </c>
      <c r="G11032" s="15"/>
      <c r="H11032" s="15"/>
      <c r="I11032" s="15"/>
      <c r="J11032" s="16" t="s">
        <v>100</v>
      </c>
      <c r="K11032" s="15" t="s">
        <v>11098</v>
      </c>
      <c r="L11032" s="17">
        <v>1</v>
      </c>
      <c r="M11032" s="17">
        <v>6</v>
      </c>
      <c r="N11032" s="17">
        <v>1</v>
      </c>
      <c r="O11032" s="18">
        <v>2860.35</v>
      </c>
      <c r="P11032" s="18">
        <v>2344.5500000000002</v>
      </c>
      <c r="Q11032" s="18">
        <v>2002.25</v>
      </c>
      <c r="R11032" s="18">
        <v>1641.19</v>
      </c>
      <c r="S11032" s="18">
        <v>1945.04</v>
      </c>
      <c r="T11032" s="18">
        <v>1594.3</v>
      </c>
      <c r="U11032" s="16"/>
      <c r="V11032" s="16"/>
      <c r="W11032" s="16"/>
      <c r="X11032" s="19">
        <v>1.4239999999999999</v>
      </c>
      <c r="Y11032" s="20">
        <v>8.5649999999999997E-3</v>
      </c>
      <c r="Z11032" s="21">
        <v>4601004146600</v>
      </c>
    </row>
    <row r="11033" spans="1:26" ht="12" customHeight="1" outlineLevel="4" x14ac:dyDescent="0.2">
      <c r="A11033" s="14" t="s">
        <v>20963</v>
      </c>
      <c r="B11033" s="26" t="s">
        <v>20964</v>
      </c>
      <c r="C11033" s="52"/>
      <c r="D11033" s="55">
        <f t="shared" si="172"/>
        <v>0</v>
      </c>
      <c r="E11033" s="64"/>
      <c r="F11033" s="16" t="s">
        <v>39</v>
      </c>
      <c r="G11033" s="15"/>
      <c r="H11033" s="15"/>
      <c r="I11033" s="15"/>
      <c r="J11033" s="16" t="s">
        <v>100</v>
      </c>
      <c r="K11033" s="15" t="s">
        <v>11098</v>
      </c>
      <c r="L11033" s="17">
        <v>1</v>
      </c>
      <c r="M11033" s="17">
        <v>6</v>
      </c>
      <c r="N11033" s="17">
        <v>1</v>
      </c>
      <c r="O11033" s="18">
        <v>2860.35</v>
      </c>
      <c r="P11033" s="18">
        <v>2344.5500000000002</v>
      </c>
      <c r="Q11033" s="18">
        <v>2145.2600000000002</v>
      </c>
      <c r="R11033" s="18">
        <v>1758.41</v>
      </c>
      <c r="S11033" s="18">
        <v>1945.04</v>
      </c>
      <c r="T11033" s="18">
        <v>1594.3</v>
      </c>
      <c r="U11033" s="16"/>
      <c r="V11033" s="16"/>
      <c r="W11033" s="16" t="s">
        <v>40</v>
      </c>
      <c r="X11033" s="19">
        <v>1.798</v>
      </c>
      <c r="Y11033" s="20">
        <v>7.1630000000000001E-3</v>
      </c>
      <c r="Z11033" s="21">
        <v>4601004335998</v>
      </c>
    </row>
    <row r="11034" spans="1:26" ht="12" customHeight="1" outlineLevel="4" x14ac:dyDescent="0.2">
      <c r="A11034" s="14" t="s">
        <v>20965</v>
      </c>
      <c r="B11034" s="26" t="s">
        <v>20966</v>
      </c>
      <c r="C11034" s="52"/>
      <c r="D11034" s="55">
        <f t="shared" si="172"/>
        <v>0</v>
      </c>
      <c r="E11034" s="63" t="str">
        <f>HYPERLINK("https://www.sds-group.ru/product/dekorativnyy-fonar-s-effektom-snegopada-i-podsvetkoy-snegoviki-belyy-501-061/", "Инфо")</f>
        <v>Инфо</v>
      </c>
      <c r="F11034" s="16" t="s">
        <v>39</v>
      </c>
      <c r="G11034" s="15"/>
      <c r="H11034" s="15"/>
      <c r="I11034" s="15"/>
      <c r="J11034" s="17">
        <v>2</v>
      </c>
      <c r="K11034" s="15" t="s">
        <v>9932</v>
      </c>
      <c r="L11034" s="17">
        <v>1</v>
      </c>
      <c r="M11034" s="17">
        <v>8</v>
      </c>
      <c r="N11034" s="17">
        <v>1</v>
      </c>
      <c r="O11034" s="18">
        <v>2646.05</v>
      </c>
      <c r="P11034" s="18">
        <v>2168.89</v>
      </c>
      <c r="Q11034" s="18">
        <v>1852.24</v>
      </c>
      <c r="R11034" s="18">
        <v>1518.23</v>
      </c>
      <c r="S11034" s="18">
        <v>1799.31</v>
      </c>
      <c r="T11034" s="18">
        <v>1474.84</v>
      </c>
      <c r="U11034" s="16"/>
      <c r="V11034" s="16"/>
      <c r="W11034" s="16"/>
      <c r="X11034" s="19">
        <v>1.107</v>
      </c>
      <c r="Y11034" s="20">
        <v>4.7869999999999996E-3</v>
      </c>
      <c r="Z11034" s="21">
        <v>4601004089464</v>
      </c>
    </row>
    <row r="11035" spans="1:26" ht="12" customHeight="1" outlineLevel="4" x14ac:dyDescent="0.2">
      <c r="A11035" s="14" t="s">
        <v>20967</v>
      </c>
      <c r="B11035" s="26" t="s">
        <v>20968</v>
      </c>
      <c r="C11035" s="52"/>
      <c r="D11035" s="55">
        <f t="shared" si="172"/>
        <v>0</v>
      </c>
      <c r="E11035" s="63" t="str">
        <f>HYPERLINK("https://www.sds-group.ru/product/svetilnik-dekorativniy-figura-bashnya-s-effektom-snegopada-i-podsvetkoy-neon-night-31170/", "Инфо")</f>
        <v>Инфо</v>
      </c>
      <c r="F11035" s="16" t="s">
        <v>39</v>
      </c>
      <c r="G11035" s="15"/>
      <c r="H11035" s="15"/>
      <c r="I11035" s="15"/>
      <c r="J11035" s="17">
        <v>558</v>
      </c>
      <c r="K11035" s="15" t="s">
        <v>1277</v>
      </c>
      <c r="L11035" s="17">
        <v>1</v>
      </c>
      <c r="M11035" s="17">
        <v>48</v>
      </c>
      <c r="N11035" s="17">
        <v>1</v>
      </c>
      <c r="O11035" s="18">
        <v>1076.94</v>
      </c>
      <c r="P11035" s="18">
        <v>882.74</v>
      </c>
      <c r="Q11035" s="18">
        <v>861.55</v>
      </c>
      <c r="R11035" s="18">
        <v>706.19</v>
      </c>
      <c r="S11035" s="18">
        <v>732.32</v>
      </c>
      <c r="T11035" s="18">
        <v>600.26</v>
      </c>
      <c r="U11035" s="16"/>
      <c r="V11035" s="16"/>
      <c r="W11035" s="16" t="s">
        <v>40</v>
      </c>
      <c r="X11035" s="19">
        <v>0.248</v>
      </c>
      <c r="Y11035" s="20">
        <v>9.9799999999999997E-4</v>
      </c>
      <c r="Z11035" s="21">
        <v>4601004308152</v>
      </c>
    </row>
    <row r="11036" spans="1:26" ht="12" customHeight="1" outlineLevel="4" x14ac:dyDescent="0.2">
      <c r="A11036" s="14" t="s">
        <v>20969</v>
      </c>
      <c r="B11036" s="26" t="s">
        <v>20970</v>
      </c>
      <c r="C11036" s="52"/>
      <c r="D11036" s="55">
        <f t="shared" si="172"/>
        <v>0</v>
      </c>
      <c r="E11036" s="63" t="str">
        <f>HYPERLINK("https://www.sds-group.ru/product/svetilnik-dekorativnyy-figura-elochnyy-shar-s-effektom-snegopada-i-podsvetkoy-neon-night-501-160/", "Инфо")</f>
        <v>Инфо</v>
      </c>
      <c r="F11036" s="16" t="s">
        <v>39</v>
      </c>
      <c r="G11036" s="15"/>
      <c r="H11036" s="15"/>
      <c r="I11036" s="15"/>
      <c r="J11036" s="17">
        <v>278</v>
      </c>
      <c r="K11036" s="15" t="s">
        <v>1277</v>
      </c>
      <c r="L11036" s="17">
        <v>1</v>
      </c>
      <c r="M11036" s="17">
        <v>36</v>
      </c>
      <c r="N11036" s="17">
        <v>1</v>
      </c>
      <c r="O11036" s="18">
        <v>1076.94</v>
      </c>
      <c r="P11036" s="18">
        <v>882.74</v>
      </c>
      <c r="Q11036" s="18">
        <v>861.55</v>
      </c>
      <c r="R11036" s="18">
        <v>706.19</v>
      </c>
      <c r="S11036" s="18">
        <v>732.32</v>
      </c>
      <c r="T11036" s="18">
        <v>600.26</v>
      </c>
      <c r="U11036" s="16"/>
      <c r="V11036" s="16"/>
      <c r="W11036" s="16" t="s">
        <v>40</v>
      </c>
      <c r="X11036" s="19">
        <v>0.311</v>
      </c>
      <c r="Y11036" s="20">
        <v>9.2299999999999999E-4</v>
      </c>
      <c r="Z11036" s="21">
        <v>4601004308213</v>
      </c>
    </row>
    <row r="11037" spans="1:26" ht="12" customHeight="1" outlineLevel="4" x14ac:dyDescent="0.2">
      <c r="A11037" s="14" t="s">
        <v>20971</v>
      </c>
      <c r="B11037" s="26" t="s">
        <v>20972</v>
      </c>
      <c r="C11037" s="52"/>
      <c r="D11037" s="55">
        <f t="shared" si="172"/>
        <v>0</v>
      </c>
      <c r="E11037" s="63" t="str">
        <f>HYPERLINK("https://www.sds-group.ru/product/svetilnik-dekorativnyy-figura-zvezda-s-effektom-snegopada-i-podsvetkoy-neon-night-501-182/", "Инфо")</f>
        <v>Инфо</v>
      </c>
      <c r="F11037" s="16" t="s">
        <v>39</v>
      </c>
      <c r="G11037" s="15"/>
      <c r="H11037" s="15"/>
      <c r="I11037" s="15"/>
      <c r="J11037" s="16" t="s">
        <v>100</v>
      </c>
      <c r="K11037" s="15"/>
      <c r="L11037" s="17">
        <v>1</v>
      </c>
      <c r="M11037" s="17">
        <v>24</v>
      </c>
      <c r="N11037" s="17">
        <v>1</v>
      </c>
      <c r="O11037" s="18">
        <v>1226.76</v>
      </c>
      <c r="P11037" s="18">
        <v>1005.54</v>
      </c>
      <c r="Q11037" s="18">
        <v>969.14</v>
      </c>
      <c r="R11037" s="18">
        <v>794.38</v>
      </c>
      <c r="S11037" s="18">
        <v>834.2</v>
      </c>
      <c r="T11037" s="18">
        <v>683.77</v>
      </c>
      <c r="U11037" s="16"/>
      <c r="V11037" s="16"/>
      <c r="W11037" s="16" t="s">
        <v>40</v>
      </c>
      <c r="X11037" s="19">
        <v>0.51400000000000001</v>
      </c>
      <c r="Y11037" s="20">
        <v>1.4779999999999999E-3</v>
      </c>
      <c r="Z11037" s="21">
        <v>4601004308176</v>
      </c>
    </row>
    <row r="11038" spans="1:26" ht="12" customHeight="1" outlineLevel="4" x14ac:dyDescent="0.2">
      <c r="A11038" s="14" t="s">
        <v>20973</v>
      </c>
      <c r="B11038" s="26" t="s">
        <v>20974</v>
      </c>
      <c r="C11038" s="52"/>
      <c r="D11038" s="55">
        <f t="shared" si="172"/>
        <v>0</v>
      </c>
      <c r="E11038" s="63" t="str">
        <f>HYPERLINK("https://www.sds-group.ru/product/svetilnik-dekorativnyy-mashina-s-podsvetkoy-i-konfetti-pitanie-ot-usb-neon-night-501-169/", "Инфо")</f>
        <v>Инфо</v>
      </c>
      <c r="F11038" s="16" t="s">
        <v>39</v>
      </c>
      <c r="G11038" s="15"/>
      <c r="H11038" s="15"/>
      <c r="I11038" s="15"/>
      <c r="J11038" s="16" t="s">
        <v>100</v>
      </c>
      <c r="K11038" s="15"/>
      <c r="L11038" s="17">
        <v>1</v>
      </c>
      <c r="M11038" s="17">
        <v>6</v>
      </c>
      <c r="N11038" s="17">
        <v>1</v>
      </c>
      <c r="O11038" s="18">
        <v>3677.09</v>
      </c>
      <c r="P11038" s="18">
        <v>3014.01</v>
      </c>
      <c r="Q11038" s="18">
        <v>2684.28</v>
      </c>
      <c r="R11038" s="18">
        <v>2200.23</v>
      </c>
      <c r="S11038" s="18">
        <v>2500.42</v>
      </c>
      <c r="T11038" s="18">
        <v>2049.52</v>
      </c>
      <c r="U11038" s="16"/>
      <c r="V11038" s="16"/>
      <c r="W11038" s="16" t="s">
        <v>40</v>
      </c>
      <c r="X11038" s="19">
        <v>1.052</v>
      </c>
      <c r="Y11038" s="20">
        <v>8.8859999999999998E-3</v>
      </c>
      <c r="Z11038" s="21">
        <v>4601004304789</v>
      </c>
    </row>
    <row r="11039" spans="1:26" ht="12" customHeight="1" outlineLevel="4" x14ac:dyDescent="0.2">
      <c r="A11039" s="14" t="s">
        <v>20975</v>
      </c>
      <c r="B11039" s="26" t="s">
        <v>20976</v>
      </c>
      <c r="C11039" s="52"/>
      <c r="D11039" s="55">
        <f t="shared" si="172"/>
        <v>0</v>
      </c>
      <c r="E11039" s="63" t="str">
        <f>HYPERLINK("https://www.sds-group.ru/product/svetilnik-dekorativnyy-novogodnyaya-elka-s-podsvetkoy-i-konfetti-pitanie-ot-usb-neon-night-501-180/", "Инфо")</f>
        <v>Инфо</v>
      </c>
      <c r="F11039" s="16" t="s">
        <v>39</v>
      </c>
      <c r="G11039" s="15"/>
      <c r="H11039" s="15"/>
      <c r="I11039" s="15"/>
      <c r="J11039" s="17">
        <v>59</v>
      </c>
      <c r="K11039" s="15" t="s">
        <v>11098</v>
      </c>
      <c r="L11039" s="17">
        <v>1</v>
      </c>
      <c r="M11039" s="17">
        <v>6</v>
      </c>
      <c r="N11039" s="17">
        <v>1</v>
      </c>
      <c r="O11039" s="18">
        <v>3346.05</v>
      </c>
      <c r="P11039" s="18">
        <v>2742.66</v>
      </c>
      <c r="Q11039" s="18">
        <v>2442.62</v>
      </c>
      <c r="R11039" s="18">
        <v>2002.15</v>
      </c>
      <c r="S11039" s="18">
        <v>2275.31</v>
      </c>
      <c r="T11039" s="18">
        <v>1865.01</v>
      </c>
      <c r="U11039" s="16"/>
      <c r="V11039" s="16"/>
      <c r="W11039" s="16" t="s">
        <v>40</v>
      </c>
      <c r="X11039" s="19">
        <v>1.84</v>
      </c>
      <c r="Y11039" s="20">
        <v>2.1007000000000001E-2</v>
      </c>
      <c r="Z11039" s="21">
        <v>4601004304697</v>
      </c>
    </row>
    <row r="11040" spans="1:26" ht="12" customHeight="1" outlineLevel="4" x14ac:dyDescent="0.2">
      <c r="A11040" s="14" t="s">
        <v>20977</v>
      </c>
      <c r="B11040" s="26" t="s">
        <v>20978</v>
      </c>
      <c r="C11040" s="52"/>
      <c r="D11040" s="55">
        <f t="shared" si="172"/>
        <v>0</v>
      </c>
      <c r="E11040" s="63" t="str">
        <f>HYPERLINK("https://www.sds-group.ru/product/svetilnik-dekorativnyy-figura-telefonnaya-budka-s-effektom-snegopada-i-podsvetkoy-neon-night-501-185/", "Инфо")</f>
        <v>Инфо</v>
      </c>
      <c r="F11040" s="16" t="s">
        <v>39</v>
      </c>
      <c r="G11040" s="15"/>
      <c r="H11040" s="15"/>
      <c r="I11040" s="15"/>
      <c r="J11040" s="17">
        <v>94</v>
      </c>
      <c r="K11040" s="15" t="s">
        <v>1277</v>
      </c>
      <c r="L11040" s="17">
        <v>1</v>
      </c>
      <c r="M11040" s="17">
        <v>48</v>
      </c>
      <c r="N11040" s="17">
        <v>1</v>
      </c>
      <c r="O11040" s="18">
        <v>807.43</v>
      </c>
      <c r="P11040" s="18">
        <v>661.83</v>
      </c>
      <c r="Q11040" s="18">
        <v>645.94000000000005</v>
      </c>
      <c r="R11040" s="18">
        <v>529.46</v>
      </c>
      <c r="S11040" s="18">
        <v>549.04999999999995</v>
      </c>
      <c r="T11040" s="18">
        <v>450.04</v>
      </c>
      <c r="U11040" s="16"/>
      <c r="V11040" s="16"/>
      <c r="W11040" s="16" t="s">
        <v>40</v>
      </c>
      <c r="X11040" s="19">
        <v>0.217</v>
      </c>
      <c r="Y11040" s="20">
        <v>6.2600000000000004E-4</v>
      </c>
      <c r="Z11040" s="21">
        <v>4601004308190</v>
      </c>
    </row>
    <row r="11041" spans="1:26" ht="12" customHeight="1" outlineLevel="4" x14ac:dyDescent="0.2">
      <c r="A11041" s="14" t="s">
        <v>20979</v>
      </c>
      <c r="B11041" s="26" t="s">
        <v>20980</v>
      </c>
      <c r="C11041" s="52"/>
      <c r="D11041" s="55">
        <f t="shared" si="172"/>
        <v>0</v>
      </c>
      <c r="E11041" s="63" t="str">
        <f>HYPERLINK("https://www.sds-group.ru/product/svetilnik-dekorativnyy-figura-fonarik-s-effektom-snegopada-i-podsvetkoy-neon-night-501-183/", "Инфо")</f>
        <v>Инфо</v>
      </c>
      <c r="F11041" s="16" t="s">
        <v>39</v>
      </c>
      <c r="G11041" s="15"/>
      <c r="H11041" s="15"/>
      <c r="I11041" s="15"/>
      <c r="J11041" s="17">
        <v>235</v>
      </c>
      <c r="K11041" s="15" t="s">
        <v>1277</v>
      </c>
      <c r="L11041" s="17">
        <v>1</v>
      </c>
      <c r="M11041" s="17">
        <v>36</v>
      </c>
      <c r="N11041" s="17">
        <v>1</v>
      </c>
      <c r="O11041" s="18">
        <v>1076.94</v>
      </c>
      <c r="P11041" s="18">
        <v>882.74</v>
      </c>
      <c r="Q11041" s="18">
        <v>861.55</v>
      </c>
      <c r="R11041" s="18">
        <v>706.19</v>
      </c>
      <c r="S11041" s="18">
        <v>732.32</v>
      </c>
      <c r="T11041" s="18">
        <v>600.26</v>
      </c>
      <c r="U11041" s="16"/>
      <c r="V11041" s="16"/>
      <c r="W11041" s="16" t="s">
        <v>40</v>
      </c>
      <c r="X11041" s="19">
        <v>0.27900000000000003</v>
      </c>
      <c r="Y11041" s="20">
        <v>1.034E-3</v>
      </c>
      <c r="Z11041" s="21">
        <v>4601004308206</v>
      </c>
    </row>
    <row r="11042" spans="1:26" ht="12.95" customHeight="1" outlineLevel="3" x14ac:dyDescent="0.2">
      <c r="A11042" s="76" t="s">
        <v>20981</v>
      </c>
      <c r="B11042" s="76"/>
      <c r="C11042" s="77"/>
      <c r="D11042" s="58"/>
      <c r="E11042" s="68"/>
      <c r="F11042" s="13"/>
      <c r="G11042" s="13"/>
      <c r="H11042" s="13"/>
      <c r="I11042" s="13"/>
      <c r="J11042" s="13"/>
      <c r="K11042" s="13"/>
      <c r="L11042" s="13"/>
      <c r="M11042" s="13"/>
      <c r="N11042" s="13"/>
      <c r="O11042" s="13"/>
      <c r="P11042" s="13"/>
      <c r="Q11042" s="13"/>
      <c r="R11042" s="13"/>
      <c r="S11042" s="13"/>
      <c r="T11042" s="13"/>
      <c r="U11042" s="13"/>
      <c r="V11042" s="13"/>
      <c r="W11042" s="13"/>
      <c r="X11042" s="13"/>
      <c r="Y11042" s="13"/>
      <c r="Z11042" s="13"/>
    </row>
    <row r="11043" spans="1:26" ht="12" customHeight="1" outlineLevel="4" x14ac:dyDescent="0.2">
      <c r="A11043" s="32" t="s">
        <v>20982</v>
      </c>
      <c r="B11043" s="74" t="s">
        <v>20983</v>
      </c>
      <c r="C11043" s="50"/>
      <c r="D11043" s="53">
        <f t="shared" si="172"/>
        <v>0</v>
      </c>
      <c r="E11043" s="60" t="str">
        <f>HYPERLINK("https://www.sds-group.ru/product/dekorativnyy-fonar-na-podstavke-so-svechkoy-bronzovyy-korpus-razmer-14-5h17h31sm-tsvet-teply-513-058/", "Инфо")</f>
        <v>Инфо</v>
      </c>
      <c r="F11043" s="34" t="s">
        <v>39</v>
      </c>
      <c r="G11043" s="33"/>
      <c r="H11043" s="33" t="s">
        <v>40</v>
      </c>
      <c r="I11043" s="33"/>
      <c r="J11043" s="35">
        <v>6</v>
      </c>
      <c r="K11043" s="33"/>
      <c r="L11043" s="35">
        <v>1</v>
      </c>
      <c r="M11043" s="35">
        <v>6</v>
      </c>
      <c r="N11043" s="35">
        <v>1</v>
      </c>
      <c r="O11043" s="36">
        <v>1363.22</v>
      </c>
      <c r="P11043" s="36">
        <v>1117.3900000000001</v>
      </c>
      <c r="Q11043" s="36">
        <v>1076.94</v>
      </c>
      <c r="R11043" s="36">
        <v>882.74</v>
      </c>
      <c r="S11043" s="36">
        <v>926.99</v>
      </c>
      <c r="T11043" s="36">
        <v>759.83</v>
      </c>
      <c r="U11043" s="34"/>
      <c r="V11043" s="34"/>
      <c r="W11043" s="34" t="s">
        <v>40</v>
      </c>
      <c r="X11043" s="37">
        <v>0.56899999999999995</v>
      </c>
      <c r="Y11043" s="38">
        <v>1.0281999999999999E-2</v>
      </c>
      <c r="Z11043" s="21">
        <v>4601004279223</v>
      </c>
    </row>
    <row r="11044" spans="1:26" ht="12" customHeight="1" outlineLevel="4" x14ac:dyDescent="0.2">
      <c r="A11044" s="14" t="s">
        <v>20984</v>
      </c>
      <c r="B11044" s="26" t="s">
        <v>20985</v>
      </c>
      <c r="C11044" s="52"/>
      <c r="D11044" s="55">
        <f t="shared" si="172"/>
        <v>0</v>
      </c>
      <c r="E11044" s="63" t="str">
        <f>HYPERLINK("https://www.sds-group.ru/product/dekorativnyy-fonar-na-solnechnoy-bataree-20h20h22-sm-chernyy-pletenyy-korpus-teplyy-belyy-ts-501-143/", "Инфо")</f>
        <v>Инфо</v>
      </c>
      <c r="F11044" s="16" t="s">
        <v>39</v>
      </c>
      <c r="G11044" s="15"/>
      <c r="H11044" s="15"/>
      <c r="I11044" s="15"/>
      <c r="J11044" s="17">
        <v>40</v>
      </c>
      <c r="K11044" s="15"/>
      <c r="L11044" s="17">
        <v>1</v>
      </c>
      <c r="M11044" s="17">
        <v>4</v>
      </c>
      <c r="N11044" s="17">
        <v>1</v>
      </c>
      <c r="O11044" s="18">
        <v>1363.22</v>
      </c>
      <c r="P11044" s="18">
        <v>1117.3900000000001</v>
      </c>
      <c r="Q11044" s="18">
        <v>954.25</v>
      </c>
      <c r="R11044" s="18">
        <v>782.17</v>
      </c>
      <c r="S11044" s="18">
        <v>926.99</v>
      </c>
      <c r="T11044" s="18">
        <v>759.83</v>
      </c>
      <c r="U11044" s="16"/>
      <c r="V11044" s="16"/>
      <c r="W11044" s="16"/>
      <c r="X11044" s="19">
        <v>0.65200000000000002</v>
      </c>
      <c r="Y11044" s="20">
        <v>1.1502999999999999E-2</v>
      </c>
      <c r="Z11044" s="21">
        <v>4601004181304</v>
      </c>
    </row>
    <row r="11045" spans="1:26" ht="12" customHeight="1" outlineLevel="4" x14ac:dyDescent="0.2">
      <c r="A11045" s="14" t="s">
        <v>20986</v>
      </c>
      <c r="B11045" s="26" t="s">
        <v>20987</v>
      </c>
      <c r="C11045" s="52"/>
      <c r="D11045" s="55">
        <f t="shared" si="172"/>
        <v>0</v>
      </c>
      <c r="E11045" s="63" t="str">
        <f>HYPERLINK("https://www.sds-group.ru/product/dekorativnyy-fonar-s-lampochkoy-belyy-korpus-razmer-10-5h10-5h24-sm-tsvet-teplyy-belyy-513-052/", "Инфо")</f>
        <v>Инфо</v>
      </c>
      <c r="F11045" s="16" t="s">
        <v>39</v>
      </c>
      <c r="G11045" s="15"/>
      <c r="H11045" s="15"/>
      <c r="I11045" s="15"/>
      <c r="J11045" s="17">
        <v>3</v>
      </c>
      <c r="K11045" s="15" t="s">
        <v>6174</v>
      </c>
      <c r="L11045" s="17">
        <v>1</v>
      </c>
      <c r="M11045" s="17">
        <v>12</v>
      </c>
      <c r="N11045" s="17">
        <v>1</v>
      </c>
      <c r="O11045" s="18">
        <v>941.92</v>
      </c>
      <c r="P11045" s="18">
        <v>772.07</v>
      </c>
      <c r="Q11045" s="18">
        <v>659.34</v>
      </c>
      <c r="R11045" s="18">
        <v>540.44000000000005</v>
      </c>
      <c r="S11045" s="18">
        <v>640.51</v>
      </c>
      <c r="T11045" s="18">
        <v>525.01</v>
      </c>
      <c r="U11045" s="16"/>
      <c r="V11045" s="16"/>
      <c r="W11045" s="16"/>
      <c r="X11045" s="19">
        <v>0.40100000000000002</v>
      </c>
      <c r="Y11045" s="20">
        <v>3.604E-3</v>
      </c>
      <c r="Z11045" s="21">
        <v>4601004132665</v>
      </c>
    </row>
    <row r="11046" spans="1:26" ht="12" customHeight="1" outlineLevel="4" x14ac:dyDescent="0.2">
      <c r="A11046" s="14" t="s">
        <v>20988</v>
      </c>
      <c r="B11046" s="26" t="s">
        <v>20989</v>
      </c>
      <c r="C11046" s="52"/>
      <c r="D11046" s="55">
        <f t="shared" si="172"/>
        <v>0</v>
      </c>
      <c r="E11046" s="63" t="str">
        <f>HYPERLINK("https://www.sds-group.ru/product/dekorativnyy-fonar-s-lampochkoy-bronzovyy-korpus-razmer-10-5h10-5h22-5-sm-tsvet-teplyy-belyy-513-053/", "Инфо")</f>
        <v>Инфо</v>
      </c>
      <c r="F11046" s="16" t="s">
        <v>39</v>
      </c>
      <c r="G11046" s="15"/>
      <c r="H11046" s="15"/>
      <c r="I11046" s="15"/>
      <c r="J11046" s="16" t="s">
        <v>100</v>
      </c>
      <c r="K11046" s="15" t="s">
        <v>6174</v>
      </c>
      <c r="L11046" s="17">
        <v>1</v>
      </c>
      <c r="M11046" s="17">
        <v>12</v>
      </c>
      <c r="N11046" s="17">
        <v>1</v>
      </c>
      <c r="O11046" s="18">
        <v>941.92</v>
      </c>
      <c r="P11046" s="18">
        <v>772.07</v>
      </c>
      <c r="Q11046" s="18">
        <v>659.34</v>
      </c>
      <c r="R11046" s="18">
        <v>540.44000000000005</v>
      </c>
      <c r="S11046" s="18">
        <v>640.51</v>
      </c>
      <c r="T11046" s="18">
        <v>525.01</v>
      </c>
      <c r="U11046" s="16"/>
      <c r="V11046" s="16"/>
      <c r="W11046" s="16"/>
      <c r="X11046" s="19">
        <v>0.38900000000000001</v>
      </c>
      <c r="Y11046" s="20">
        <v>3.5400000000000002E-3</v>
      </c>
      <c r="Z11046" s="21">
        <v>4601004132672</v>
      </c>
    </row>
    <row r="11047" spans="1:26" ht="12" customHeight="1" outlineLevel="4" x14ac:dyDescent="0.2">
      <c r="A11047" s="14" t="s">
        <v>20990</v>
      </c>
      <c r="B11047" s="26" t="s">
        <v>20991</v>
      </c>
      <c r="C11047" s="52"/>
      <c r="D11047" s="55">
        <f t="shared" si="172"/>
        <v>0</v>
      </c>
      <c r="E11047" s="63" t="str">
        <f>HYPERLINK("https://www.sds-group.ru/product/dekorativnyy-fonar-s-mashinoy-chernyy-korpus-razmer-14h14h21-sm-tsvet-teplyy-belyy-pitanie-2-513-040/", "Инфо")</f>
        <v>Инфо</v>
      </c>
      <c r="F11047" s="16" t="s">
        <v>39</v>
      </c>
      <c r="G11047" s="15"/>
      <c r="H11047" s="15"/>
      <c r="I11047" s="15"/>
      <c r="J11047" s="16" t="s">
        <v>100</v>
      </c>
      <c r="K11047" s="15" t="s">
        <v>6174</v>
      </c>
      <c r="L11047" s="17">
        <v>1</v>
      </c>
      <c r="M11047" s="17">
        <v>6</v>
      </c>
      <c r="N11047" s="17">
        <v>1</v>
      </c>
      <c r="O11047" s="18">
        <v>2007.81</v>
      </c>
      <c r="P11047" s="18">
        <v>1645.75</v>
      </c>
      <c r="Q11047" s="18">
        <v>1405.47</v>
      </c>
      <c r="R11047" s="18">
        <v>1152.02</v>
      </c>
      <c r="S11047" s="18">
        <v>1365.31</v>
      </c>
      <c r="T11047" s="18">
        <v>1119.1099999999999</v>
      </c>
      <c r="U11047" s="16"/>
      <c r="V11047" s="16"/>
      <c r="W11047" s="16"/>
      <c r="X11047" s="19">
        <v>0.74099999999999999</v>
      </c>
      <c r="Y11047" s="20">
        <v>5.2269999999999999E-3</v>
      </c>
      <c r="Z11047" s="21">
        <v>4601004337138</v>
      </c>
    </row>
    <row r="11048" spans="1:26" ht="12" customHeight="1" outlineLevel="4" x14ac:dyDescent="0.2">
      <c r="A11048" s="14" t="s">
        <v>20992</v>
      </c>
      <c r="B11048" s="26" t="s">
        <v>20993</v>
      </c>
      <c r="C11048" s="52"/>
      <c r="D11048" s="55">
        <f t="shared" si="172"/>
        <v>0</v>
      </c>
      <c r="E11048" s="63" t="str">
        <f>HYPERLINK("https://www.sds-group.ru/product/dekorativnyy-fonar-s-rosoy-belyy-korpus-razmer-10-7h10-7h23-5-sm-tsvet-teplyy-belyy-513-050/", "Инфо")</f>
        <v>Инфо</v>
      </c>
      <c r="F11048" s="16" t="s">
        <v>39</v>
      </c>
      <c r="G11048" s="15"/>
      <c r="H11048" s="15"/>
      <c r="I11048" s="15"/>
      <c r="J11048" s="16" t="s">
        <v>100</v>
      </c>
      <c r="K11048" s="15" t="s">
        <v>6174</v>
      </c>
      <c r="L11048" s="17">
        <v>1</v>
      </c>
      <c r="M11048" s="17">
        <v>12</v>
      </c>
      <c r="N11048" s="17">
        <v>1</v>
      </c>
      <c r="O11048" s="18">
        <v>941.92</v>
      </c>
      <c r="P11048" s="18">
        <v>772.07</v>
      </c>
      <c r="Q11048" s="18">
        <v>659.34</v>
      </c>
      <c r="R11048" s="18">
        <v>540.44000000000005</v>
      </c>
      <c r="S11048" s="18">
        <v>640.51</v>
      </c>
      <c r="T11048" s="18">
        <v>525.01</v>
      </c>
      <c r="U11048" s="16"/>
      <c r="V11048" s="16"/>
      <c r="W11048" s="16"/>
      <c r="X11048" s="19">
        <v>0.32300000000000001</v>
      </c>
      <c r="Y11048" s="20">
        <v>3.5339999999999998E-3</v>
      </c>
      <c r="Z11048" s="21">
        <v>4601004227422</v>
      </c>
    </row>
    <row r="11049" spans="1:26" ht="12" customHeight="1" outlineLevel="4" x14ac:dyDescent="0.2">
      <c r="A11049" s="14" t="s">
        <v>20994</v>
      </c>
      <c r="B11049" s="26" t="s">
        <v>20995</v>
      </c>
      <c r="C11049" s="52"/>
      <c r="D11049" s="55">
        <f t="shared" si="172"/>
        <v>0</v>
      </c>
      <c r="E11049" s="63" t="str">
        <f>HYPERLINK("https://www.sds-group.ru/product/dekorativnyy-fonar-s-tremya-svechkami-bronzovyy-korpus-razmer-14x14x27-sm-tsvet-teplyy-belyy-513-048/", "Инфо")</f>
        <v>Инфо</v>
      </c>
      <c r="F11049" s="16" t="s">
        <v>39</v>
      </c>
      <c r="G11049" s="15"/>
      <c r="H11049" s="15"/>
      <c r="I11049" s="15"/>
      <c r="J11049" s="16" t="s">
        <v>100</v>
      </c>
      <c r="K11049" s="15" t="s">
        <v>11098</v>
      </c>
      <c r="L11049" s="17">
        <v>1</v>
      </c>
      <c r="M11049" s="17">
        <v>6</v>
      </c>
      <c r="N11049" s="17">
        <v>1</v>
      </c>
      <c r="O11049" s="18">
        <v>1760.31</v>
      </c>
      <c r="P11049" s="18">
        <v>1442.88</v>
      </c>
      <c r="Q11049" s="18">
        <v>1232.22</v>
      </c>
      <c r="R11049" s="18">
        <v>1010.02</v>
      </c>
      <c r="S11049" s="18">
        <v>1197.01</v>
      </c>
      <c r="T11049" s="18">
        <v>981.16</v>
      </c>
      <c r="U11049" s="16"/>
      <c r="V11049" s="16"/>
      <c r="W11049" s="16"/>
      <c r="X11049" s="19">
        <v>0.81499999999999995</v>
      </c>
      <c r="Y11049" s="20">
        <v>6.7869999999999996E-3</v>
      </c>
      <c r="Z11049" s="21">
        <v>4601004227415</v>
      </c>
    </row>
    <row r="11050" spans="1:26" ht="12" customHeight="1" outlineLevel="4" x14ac:dyDescent="0.2">
      <c r="A11050" s="32" t="s">
        <v>20996</v>
      </c>
      <c r="B11050" s="74" t="s">
        <v>20997</v>
      </c>
      <c r="C11050" s="50"/>
      <c r="D11050" s="53">
        <f t="shared" si="172"/>
        <v>0</v>
      </c>
      <c r="E11050" s="60" t="str">
        <f>HYPERLINK("https://www.sds-group.ru/product/dekorativnyy-fonar-s-sharikami-12h12h20-6-sm-belyy-korpus-teplyy-belyy-tsvet-svecheniya-neon-513-062/", "Инфо")</f>
        <v>Инфо</v>
      </c>
      <c r="F11050" s="34" t="s">
        <v>39</v>
      </c>
      <c r="G11050" s="33"/>
      <c r="H11050" s="33" t="s">
        <v>40</v>
      </c>
      <c r="I11050" s="33"/>
      <c r="J11050" s="35">
        <v>60</v>
      </c>
      <c r="K11050" s="33"/>
      <c r="L11050" s="35">
        <v>1</v>
      </c>
      <c r="M11050" s="35">
        <v>12</v>
      </c>
      <c r="N11050" s="35">
        <v>1</v>
      </c>
      <c r="O11050" s="36">
        <v>941.92</v>
      </c>
      <c r="P11050" s="36">
        <v>772.07</v>
      </c>
      <c r="Q11050" s="36">
        <v>659.34</v>
      </c>
      <c r="R11050" s="36">
        <v>540.44000000000005</v>
      </c>
      <c r="S11050" s="36">
        <v>640.51</v>
      </c>
      <c r="T11050" s="36">
        <v>525.01</v>
      </c>
      <c r="U11050" s="34"/>
      <c r="V11050" s="34"/>
      <c r="W11050" s="34"/>
      <c r="X11050" s="37">
        <v>0.40799999999999997</v>
      </c>
      <c r="Y11050" s="38">
        <v>3.3519999999999999E-3</v>
      </c>
      <c r="Z11050" s="21">
        <v>4601004179677</v>
      </c>
    </row>
    <row r="11051" spans="1:26" ht="12" customHeight="1" outlineLevel="4" x14ac:dyDescent="0.2">
      <c r="A11051" s="32" t="s">
        <v>20998</v>
      </c>
      <c r="B11051" s="74" t="s">
        <v>20999</v>
      </c>
      <c r="C11051" s="50"/>
      <c r="D11051" s="53">
        <f t="shared" si="172"/>
        <v>0</v>
      </c>
      <c r="E11051" s="60" t="str">
        <f>HYPERLINK("https://www.sds-group.ru/product/dekorativnyy-fonar-s-sharikami-12h12h20-6-sm-chernyy-korpus-teplyy-belyy-tsvet-svecheniya-ne-513-061/", "Инфо")</f>
        <v>Инфо</v>
      </c>
      <c r="F11051" s="34" t="s">
        <v>39</v>
      </c>
      <c r="G11051" s="33"/>
      <c r="H11051" s="33" t="s">
        <v>40</v>
      </c>
      <c r="I11051" s="33"/>
      <c r="J11051" s="34" t="s">
        <v>100</v>
      </c>
      <c r="K11051" s="33"/>
      <c r="L11051" s="35">
        <v>1</v>
      </c>
      <c r="M11051" s="35">
        <v>12</v>
      </c>
      <c r="N11051" s="35">
        <v>1</v>
      </c>
      <c r="O11051" s="36">
        <v>941.92</v>
      </c>
      <c r="P11051" s="36">
        <v>772.07</v>
      </c>
      <c r="Q11051" s="36">
        <v>659.34</v>
      </c>
      <c r="R11051" s="36">
        <v>540.44000000000005</v>
      </c>
      <c r="S11051" s="36">
        <v>640.51</v>
      </c>
      <c r="T11051" s="36">
        <v>525.01</v>
      </c>
      <c r="U11051" s="34"/>
      <c r="V11051" s="34"/>
      <c r="W11051" s="34"/>
      <c r="X11051" s="37">
        <v>0.38800000000000001</v>
      </c>
      <c r="Y11051" s="38">
        <v>3.192E-3</v>
      </c>
      <c r="Z11051" s="21">
        <v>4601004179660</v>
      </c>
    </row>
    <row r="11052" spans="1:26" ht="12" customHeight="1" outlineLevel="4" x14ac:dyDescent="0.2">
      <c r="A11052" s="32" t="s">
        <v>21000</v>
      </c>
      <c r="B11052" s="74" t="s">
        <v>21001</v>
      </c>
      <c r="C11052" s="50"/>
      <c r="D11052" s="53">
        <f t="shared" si="172"/>
        <v>0</v>
      </c>
      <c r="E11052" s="60" t="str">
        <f>HYPERLINK("https://www.sds-group.ru/product/dekorativnyy-fonar-11h11h22-5-sm-chernyy-korpus-tsvet-svecheniya-rgb-s-effektom-mertsaniya-n-513-064/", "Инфо")</f>
        <v>Инфо</v>
      </c>
      <c r="F11052" s="34" t="s">
        <v>39</v>
      </c>
      <c r="G11052" s="33"/>
      <c r="H11052" s="33" t="s">
        <v>40</v>
      </c>
      <c r="I11052" s="33"/>
      <c r="J11052" s="34" t="s">
        <v>100</v>
      </c>
      <c r="K11052" s="33"/>
      <c r="L11052" s="35">
        <v>1</v>
      </c>
      <c r="M11052" s="35">
        <v>12</v>
      </c>
      <c r="N11052" s="35">
        <v>1</v>
      </c>
      <c r="O11052" s="36">
        <v>941.92</v>
      </c>
      <c r="P11052" s="36">
        <v>772.07</v>
      </c>
      <c r="Q11052" s="36">
        <v>659.34</v>
      </c>
      <c r="R11052" s="36">
        <v>540.44000000000005</v>
      </c>
      <c r="S11052" s="36">
        <v>640.51</v>
      </c>
      <c r="T11052" s="36">
        <v>525.01</v>
      </c>
      <c r="U11052" s="34"/>
      <c r="V11052" s="34"/>
      <c r="W11052" s="34"/>
      <c r="X11052" s="37">
        <v>0.38900000000000001</v>
      </c>
      <c r="Y11052" s="38">
        <v>3.3960000000000001E-3</v>
      </c>
      <c r="Z11052" s="21">
        <v>4601004179684</v>
      </c>
    </row>
    <row r="11053" spans="1:26" ht="12" customHeight="1" outlineLevel="4" x14ac:dyDescent="0.2">
      <c r="A11053" s="32" t="s">
        <v>21002</v>
      </c>
      <c r="B11053" s="74" t="s">
        <v>21003</v>
      </c>
      <c r="C11053" s="50"/>
      <c r="D11053" s="53">
        <f t="shared" si="172"/>
        <v>0</v>
      </c>
      <c r="E11053" s="60" t="str">
        <f>HYPERLINK("https://www.sds-group.ru/product/dekorativnyy-fonar-11h11h22-5-sm-chernyy-korpus-teplyy-belyy-tsvet-svecheniya-s-effektom-mer-513-065/", "Инфо")</f>
        <v>Инфо</v>
      </c>
      <c r="F11053" s="34" t="s">
        <v>39</v>
      </c>
      <c r="G11053" s="33"/>
      <c r="H11053" s="33" t="s">
        <v>40</v>
      </c>
      <c r="I11053" s="33"/>
      <c r="J11053" s="35">
        <v>2</v>
      </c>
      <c r="K11053" s="33"/>
      <c r="L11053" s="35">
        <v>1</v>
      </c>
      <c r="M11053" s="35">
        <v>12</v>
      </c>
      <c r="N11053" s="35">
        <v>1</v>
      </c>
      <c r="O11053" s="36">
        <v>941.92</v>
      </c>
      <c r="P11053" s="36">
        <v>772.07</v>
      </c>
      <c r="Q11053" s="36">
        <v>659.34</v>
      </c>
      <c r="R11053" s="36">
        <v>540.44000000000005</v>
      </c>
      <c r="S11053" s="36">
        <v>640.51</v>
      </c>
      <c r="T11053" s="36">
        <v>525.01</v>
      </c>
      <c r="U11053" s="34"/>
      <c r="V11053" s="34"/>
      <c r="W11053" s="34"/>
      <c r="X11053" s="37">
        <v>0.39200000000000002</v>
      </c>
      <c r="Y11053" s="38">
        <v>3.2569999999999999E-3</v>
      </c>
      <c r="Z11053" s="21">
        <v>4601004179691</v>
      </c>
    </row>
    <row r="11054" spans="1:26" ht="12" customHeight="1" outlineLevel="4" x14ac:dyDescent="0.2">
      <c r="A11054" s="32" t="s">
        <v>21004</v>
      </c>
      <c r="B11054" s="74" t="s">
        <v>21005</v>
      </c>
      <c r="C11054" s="50"/>
      <c r="D11054" s="53">
        <f t="shared" si="172"/>
        <v>0</v>
      </c>
      <c r="E11054" s="60" t="str">
        <f>HYPERLINK("https://www.sds-group.ru/product/dekorativnyy-fonar-12h12h20-6-sm-belyy-korpus-teplyy-belyy-tsvet-svecheniya-s-effektom-plame-513-067/", "Инфо")</f>
        <v>Инфо</v>
      </c>
      <c r="F11054" s="34" t="s">
        <v>39</v>
      </c>
      <c r="G11054" s="33"/>
      <c r="H11054" s="33" t="s">
        <v>40</v>
      </c>
      <c r="I11054" s="33"/>
      <c r="J11054" s="35">
        <v>3</v>
      </c>
      <c r="K11054" s="33"/>
      <c r="L11054" s="35">
        <v>1</v>
      </c>
      <c r="M11054" s="35">
        <v>12</v>
      </c>
      <c r="N11054" s="35">
        <v>1</v>
      </c>
      <c r="O11054" s="36">
        <v>1076.94</v>
      </c>
      <c r="P11054" s="36">
        <v>882.74</v>
      </c>
      <c r="Q11054" s="36">
        <v>753.86</v>
      </c>
      <c r="R11054" s="36">
        <v>617.91999999999996</v>
      </c>
      <c r="S11054" s="36">
        <v>732.32</v>
      </c>
      <c r="T11054" s="36">
        <v>600.26</v>
      </c>
      <c r="U11054" s="34"/>
      <c r="V11054" s="34"/>
      <c r="W11054" s="34"/>
      <c r="X11054" s="37">
        <v>0.40699999999999997</v>
      </c>
      <c r="Y11054" s="38">
        <v>3.3419999999999999E-3</v>
      </c>
      <c r="Z11054" s="21">
        <v>4601004179714</v>
      </c>
    </row>
    <row r="11055" spans="1:26" ht="12" customHeight="1" outlineLevel="4" x14ac:dyDescent="0.2">
      <c r="A11055" s="32" t="s">
        <v>21006</v>
      </c>
      <c r="B11055" s="74" t="s">
        <v>21007</v>
      </c>
      <c r="C11055" s="50"/>
      <c r="D11055" s="53">
        <f t="shared" si="172"/>
        <v>0</v>
      </c>
      <c r="E11055" s="60" t="str">
        <f>HYPERLINK("https://www.sds-group.ru/product/dekorativnyy-fonar-so-svechkoy-9-5sm-tsvet-korpusa-belyy-chernyy-tsvet-svecheniya-teplyy-bel-513-069/", "Инфо")</f>
        <v>Инфо</v>
      </c>
      <c r="F11055" s="34" t="s">
        <v>39</v>
      </c>
      <c r="G11055" s="33"/>
      <c r="H11055" s="33" t="s">
        <v>40</v>
      </c>
      <c r="I11055" s="33"/>
      <c r="J11055" s="35">
        <v>18</v>
      </c>
      <c r="K11055" s="33"/>
      <c r="L11055" s="35">
        <v>12</v>
      </c>
      <c r="M11055" s="35">
        <v>48</v>
      </c>
      <c r="N11055" s="35">
        <v>12</v>
      </c>
      <c r="O11055" s="36">
        <v>268.16000000000003</v>
      </c>
      <c r="P11055" s="36">
        <v>219.8</v>
      </c>
      <c r="Q11055" s="36">
        <v>214.53</v>
      </c>
      <c r="R11055" s="36">
        <v>175.84</v>
      </c>
      <c r="S11055" s="36">
        <v>182.35</v>
      </c>
      <c r="T11055" s="36">
        <v>149.47</v>
      </c>
      <c r="U11055" s="34"/>
      <c r="V11055" s="34"/>
      <c r="W11055" s="34" t="s">
        <v>40</v>
      </c>
      <c r="X11055" s="37">
        <v>3.2000000000000001E-2</v>
      </c>
      <c r="Y11055" s="38">
        <v>2.7099999999999997E-4</v>
      </c>
      <c r="Z11055" s="21">
        <v>4601004308923</v>
      </c>
    </row>
    <row r="11056" spans="1:26" ht="12" customHeight="1" outlineLevel="4" x14ac:dyDescent="0.2">
      <c r="A11056" s="14" t="s">
        <v>21008</v>
      </c>
      <c r="B11056" s="26" t="s">
        <v>21009</v>
      </c>
      <c r="C11056" s="52"/>
      <c r="D11056" s="55">
        <f t="shared" si="172"/>
        <v>0</v>
      </c>
      <c r="E11056" s="63" t="str">
        <f>HYPERLINK("https://www.sds-group.ru/product/dekorativnyy-fonar-so-svechkoy-i-shishkoy-chernyy-korpus-razmer-10-7x10-7x23-5-sm-tsvet-tepl-513-047/", "Инфо")</f>
        <v>Инфо</v>
      </c>
      <c r="F11056" s="16" t="s">
        <v>39</v>
      </c>
      <c r="G11056" s="15"/>
      <c r="H11056" s="15"/>
      <c r="I11056" s="15"/>
      <c r="J11056" s="17">
        <v>1</v>
      </c>
      <c r="K11056" s="15" t="s">
        <v>6174</v>
      </c>
      <c r="L11056" s="17">
        <v>1</v>
      </c>
      <c r="M11056" s="17">
        <v>12</v>
      </c>
      <c r="N11056" s="17">
        <v>1</v>
      </c>
      <c r="O11056" s="18">
        <v>1363.22</v>
      </c>
      <c r="P11056" s="18">
        <v>1117.3900000000001</v>
      </c>
      <c r="Q11056" s="18">
        <v>954.25</v>
      </c>
      <c r="R11056" s="18">
        <v>782.17</v>
      </c>
      <c r="S11056" s="18">
        <v>926.99</v>
      </c>
      <c r="T11056" s="18">
        <v>759.83</v>
      </c>
      <c r="U11056" s="16"/>
      <c r="V11056" s="16"/>
      <c r="W11056" s="16"/>
      <c r="X11056" s="19">
        <v>0.40699999999999997</v>
      </c>
      <c r="Y11056" s="20">
        <v>3.6020000000000002E-3</v>
      </c>
      <c r="Z11056" s="21">
        <v>4601004227408</v>
      </c>
    </row>
    <row r="11057" spans="1:26" ht="12" customHeight="1" outlineLevel="4" x14ac:dyDescent="0.2">
      <c r="A11057" s="14" t="s">
        <v>21010</v>
      </c>
      <c r="B11057" s="26" t="s">
        <v>21011</v>
      </c>
      <c r="C11057" s="52"/>
      <c r="D11057" s="55">
        <f t="shared" si="172"/>
        <v>0</v>
      </c>
      <c r="E11057" s="63" t="str">
        <f>HYPERLINK("https://www.sds-group.ru/product/dekorativnyy-fonar-so-svechkoy-belyy-korpus-so-snezhinkoy-razmer-12h12h18-sm-tsvet-teplyy-be-513-043/", "Инфо")</f>
        <v>Инфо</v>
      </c>
      <c r="F11057" s="16" t="s">
        <v>39</v>
      </c>
      <c r="G11057" s="15"/>
      <c r="H11057" s="15"/>
      <c r="I11057" s="15"/>
      <c r="J11057" s="16" t="s">
        <v>100</v>
      </c>
      <c r="K11057" s="15" t="s">
        <v>19339</v>
      </c>
      <c r="L11057" s="17">
        <v>1</v>
      </c>
      <c r="M11057" s="17">
        <v>12</v>
      </c>
      <c r="N11057" s="17">
        <v>1</v>
      </c>
      <c r="O11057" s="18">
        <v>1076.94</v>
      </c>
      <c r="P11057" s="18">
        <v>882.74</v>
      </c>
      <c r="Q11057" s="18">
        <v>753.86</v>
      </c>
      <c r="R11057" s="18">
        <v>617.91999999999996</v>
      </c>
      <c r="S11057" s="18">
        <v>732.32</v>
      </c>
      <c r="T11057" s="18">
        <v>600.26</v>
      </c>
      <c r="U11057" s="16"/>
      <c r="V11057" s="16"/>
      <c r="W11057" s="16"/>
      <c r="X11057" s="19">
        <v>0.46100000000000002</v>
      </c>
      <c r="Y11057" s="20">
        <v>3.496E-3</v>
      </c>
      <c r="Z11057" s="21">
        <v>4601004147065</v>
      </c>
    </row>
    <row r="11058" spans="1:26" ht="12" customHeight="1" outlineLevel="4" x14ac:dyDescent="0.2">
      <c r="A11058" s="14" t="s">
        <v>21012</v>
      </c>
      <c r="B11058" s="26" t="s">
        <v>21013</v>
      </c>
      <c r="C11058" s="52"/>
      <c r="D11058" s="55">
        <f t="shared" si="172"/>
        <v>0</v>
      </c>
      <c r="E11058" s="63" t="str">
        <f>HYPERLINK("https://www.sds-group.ru/product/dekorativnyy-fonar-so-svechkoy-belyy-korpus-razmer-10-5h10-5h22-35-sm-tsvet-teplyy-belyy-513-054/", "Инфо")</f>
        <v>Инфо</v>
      </c>
      <c r="F11058" s="16" t="s">
        <v>39</v>
      </c>
      <c r="G11058" s="15"/>
      <c r="H11058" s="15"/>
      <c r="I11058" s="15"/>
      <c r="J11058" s="16" t="s">
        <v>100</v>
      </c>
      <c r="K11058" s="15" t="s">
        <v>6174</v>
      </c>
      <c r="L11058" s="17">
        <v>1</v>
      </c>
      <c r="M11058" s="17">
        <v>12</v>
      </c>
      <c r="N11058" s="17">
        <v>1</v>
      </c>
      <c r="O11058" s="18">
        <v>941.92</v>
      </c>
      <c r="P11058" s="18">
        <v>772.07</v>
      </c>
      <c r="Q11058" s="18">
        <v>659.34</v>
      </c>
      <c r="R11058" s="18">
        <v>540.44000000000005</v>
      </c>
      <c r="S11058" s="18">
        <v>640.51</v>
      </c>
      <c r="T11058" s="18">
        <v>525.01</v>
      </c>
      <c r="U11058" s="16"/>
      <c r="V11058" s="16"/>
      <c r="W11058" s="16"/>
      <c r="X11058" s="19">
        <v>0.39600000000000002</v>
      </c>
      <c r="Y11058" s="20">
        <v>3.5370000000000002E-3</v>
      </c>
      <c r="Z11058" s="21">
        <v>4601004132689</v>
      </c>
    </row>
    <row r="11059" spans="1:26" ht="12" customHeight="1" outlineLevel="4" x14ac:dyDescent="0.2">
      <c r="A11059" s="14" t="s">
        <v>21014</v>
      </c>
      <c r="B11059" s="26" t="s">
        <v>21015</v>
      </c>
      <c r="C11059" s="52"/>
      <c r="D11059" s="55">
        <f t="shared" si="172"/>
        <v>0</v>
      </c>
      <c r="E11059" s="63" t="str">
        <f>HYPERLINK("https://www.sds-group.ru/product/dekorativnyy-fonar-so-svechkoy-belyy-korpus-razmer-10-5h10-5h24-sm-tsvet-teplyy-belyy-513-042/", "Инфо")</f>
        <v>Инфо</v>
      </c>
      <c r="F11059" s="16" t="s">
        <v>39</v>
      </c>
      <c r="G11059" s="15"/>
      <c r="H11059" s="15"/>
      <c r="I11059" s="15"/>
      <c r="J11059" s="17">
        <v>1</v>
      </c>
      <c r="K11059" s="15" t="s">
        <v>6174</v>
      </c>
      <c r="L11059" s="17">
        <v>1</v>
      </c>
      <c r="M11059" s="17">
        <v>12</v>
      </c>
      <c r="N11059" s="17">
        <v>1</v>
      </c>
      <c r="O11059" s="18">
        <v>1226.76</v>
      </c>
      <c r="P11059" s="18">
        <v>1005.54</v>
      </c>
      <c r="Q11059" s="18">
        <v>858.73</v>
      </c>
      <c r="R11059" s="18">
        <v>703.88</v>
      </c>
      <c r="S11059" s="18">
        <v>834.2</v>
      </c>
      <c r="T11059" s="18">
        <v>683.77</v>
      </c>
      <c r="U11059" s="16"/>
      <c r="V11059" s="16"/>
      <c r="W11059" s="16"/>
      <c r="X11059" s="19">
        <v>0.316</v>
      </c>
      <c r="Y11059" s="20">
        <v>3.604E-3</v>
      </c>
      <c r="Z11059" s="21">
        <v>4601004132702</v>
      </c>
    </row>
    <row r="11060" spans="1:26" ht="12" customHeight="1" outlineLevel="4" x14ac:dyDescent="0.2">
      <c r="A11060" s="14" t="s">
        <v>21016</v>
      </c>
      <c r="B11060" s="26" t="s">
        <v>21017</v>
      </c>
      <c r="C11060" s="52"/>
      <c r="D11060" s="55">
        <f t="shared" si="172"/>
        <v>0</v>
      </c>
      <c r="E11060" s="63" t="str">
        <f>HYPERLINK("https://www.sds-group.ru/product/dekorativnyy-fonar-so-svechoy-14x14x29-sm-belyy-korpus-teplyy-belyy-tsvet-svecheniya-neon-ni-513-046/", "Инфо")</f>
        <v>Инфо</v>
      </c>
      <c r="F11060" s="16" t="s">
        <v>39</v>
      </c>
      <c r="G11060" s="15"/>
      <c r="H11060" s="15"/>
      <c r="I11060" s="15"/>
      <c r="J11060" s="16" t="s">
        <v>100</v>
      </c>
      <c r="K11060" s="15" t="s">
        <v>6174</v>
      </c>
      <c r="L11060" s="17">
        <v>1</v>
      </c>
      <c r="M11060" s="17">
        <v>6</v>
      </c>
      <c r="N11060" s="17">
        <v>1</v>
      </c>
      <c r="O11060" s="18">
        <v>1226.76</v>
      </c>
      <c r="P11060" s="18">
        <v>1005.54</v>
      </c>
      <c r="Q11060" s="18">
        <v>858.73</v>
      </c>
      <c r="R11060" s="18">
        <v>703.88</v>
      </c>
      <c r="S11060" s="18">
        <v>834.2</v>
      </c>
      <c r="T11060" s="18">
        <v>683.77</v>
      </c>
      <c r="U11060" s="16"/>
      <c r="V11060" s="16"/>
      <c r="W11060" s="16"/>
      <c r="X11060" s="19">
        <v>0.755</v>
      </c>
      <c r="Y11060" s="20">
        <v>7.3039999999999997E-3</v>
      </c>
      <c r="Z11060" s="21">
        <v>4601004180864</v>
      </c>
    </row>
    <row r="11061" spans="1:26" ht="12" customHeight="1" outlineLevel="4" x14ac:dyDescent="0.2">
      <c r="A11061" s="14" t="s">
        <v>21018</v>
      </c>
      <c r="B11061" s="26" t="s">
        <v>21019</v>
      </c>
      <c r="C11061" s="52"/>
      <c r="D11061" s="55">
        <f t="shared" si="172"/>
        <v>0</v>
      </c>
      <c r="E11061" s="63" t="str">
        <f>HYPERLINK("https://www.sds-group.ru/product/dekorativnyy-fonar-so-svechkoy-korpus-iz-dereva-razmer-14h14h35cm-tsvet-teplyy-belyy-513-075/", "Инфо")</f>
        <v>Инфо</v>
      </c>
      <c r="F11061" s="16" t="s">
        <v>39</v>
      </c>
      <c r="G11061" s="15"/>
      <c r="H11061" s="15"/>
      <c r="I11061" s="15"/>
      <c r="J11061" s="17">
        <v>298</v>
      </c>
      <c r="K11061" s="15"/>
      <c r="L11061" s="17">
        <v>1</v>
      </c>
      <c r="M11061" s="17">
        <v>4</v>
      </c>
      <c r="N11061" s="17">
        <v>1</v>
      </c>
      <c r="O11061" s="18">
        <v>3677.09</v>
      </c>
      <c r="P11061" s="18">
        <v>3014.01</v>
      </c>
      <c r="Q11061" s="18">
        <v>2684.28</v>
      </c>
      <c r="R11061" s="18">
        <v>2200.23</v>
      </c>
      <c r="S11061" s="18">
        <v>2500.42</v>
      </c>
      <c r="T11061" s="18">
        <v>2049.52</v>
      </c>
      <c r="U11061" s="16"/>
      <c r="V11061" s="16"/>
      <c r="W11061" s="16" t="s">
        <v>40</v>
      </c>
      <c r="X11061" s="19">
        <v>1.119</v>
      </c>
      <c r="Y11061" s="20">
        <v>9.4979999999999995E-3</v>
      </c>
      <c r="Z11061" s="21">
        <v>4601004280052</v>
      </c>
    </row>
    <row r="11062" spans="1:26" ht="12" customHeight="1" outlineLevel="4" x14ac:dyDescent="0.2">
      <c r="A11062" s="32" t="s">
        <v>21020</v>
      </c>
      <c r="B11062" s="74" t="s">
        <v>21021</v>
      </c>
      <c r="C11062" s="50"/>
      <c r="D11062" s="53">
        <f t="shared" si="172"/>
        <v>0</v>
      </c>
      <c r="E11062" s="60" t="str">
        <f>HYPERLINK("https://www.sds-group.ru/product/dekorativnyy-fonar-so-svechkoy-krasnyy-korpus-razmer-10-5h10-5h24sm-tsvet-teplyy-belyy-513-059/", "Инфо")</f>
        <v>Инфо</v>
      </c>
      <c r="F11062" s="34" t="s">
        <v>39</v>
      </c>
      <c r="G11062" s="33"/>
      <c r="H11062" s="33" t="s">
        <v>40</v>
      </c>
      <c r="I11062" s="33"/>
      <c r="J11062" s="34" t="s">
        <v>100</v>
      </c>
      <c r="K11062" s="33"/>
      <c r="L11062" s="35">
        <v>1</v>
      </c>
      <c r="M11062" s="35">
        <v>12</v>
      </c>
      <c r="N11062" s="35">
        <v>1</v>
      </c>
      <c r="O11062" s="36">
        <v>807.43</v>
      </c>
      <c r="P11062" s="36">
        <v>661.83</v>
      </c>
      <c r="Q11062" s="36">
        <v>645.94000000000005</v>
      </c>
      <c r="R11062" s="36">
        <v>529.46</v>
      </c>
      <c r="S11062" s="36">
        <v>549.04999999999995</v>
      </c>
      <c r="T11062" s="36">
        <v>450.04</v>
      </c>
      <c r="U11062" s="34"/>
      <c r="V11062" s="34"/>
      <c r="W11062" s="34" t="s">
        <v>40</v>
      </c>
      <c r="X11062" s="37">
        <v>0.41</v>
      </c>
      <c r="Y11062" s="38">
        <v>3.5530000000000002E-3</v>
      </c>
      <c r="Z11062" s="21">
        <v>4601004279346</v>
      </c>
    </row>
    <row r="11063" spans="1:26" ht="12" customHeight="1" outlineLevel="4" x14ac:dyDescent="0.2">
      <c r="A11063" s="14" t="s">
        <v>21022</v>
      </c>
      <c r="B11063" s="26" t="s">
        <v>21023</v>
      </c>
      <c r="C11063" s="52"/>
      <c r="D11063" s="55">
        <f t="shared" si="172"/>
        <v>0</v>
      </c>
      <c r="E11063" s="63" t="str">
        <f>HYPERLINK("https://www.sds-group.ru/product/dekorativnyy-fonar-so-svechkoy-krasnyy-korpus-razmer-13-5h13-5h30-5-sm-tsvet-teplyy-belyy-513-041/", "Инфо")</f>
        <v>Инфо</v>
      </c>
      <c r="F11063" s="16" t="s">
        <v>39</v>
      </c>
      <c r="G11063" s="15"/>
      <c r="H11063" s="15"/>
      <c r="I11063" s="15"/>
      <c r="J11063" s="17">
        <v>1</v>
      </c>
      <c r="K11063" s="15" t="s">
        <v>11098</v>
      </c>
      <c r="L11063" s="17">
        <v>1</v>
      </c>
      <c r="M11063" s="17">
        <v>6</v>
      </c>
      <c r="N11063" s="17">
        <v>1</v>
      </c>
      <c r="O11063" s="18">
        <v>1623.86</v>
      </c>
      <c r="P11063" s="18">
        <v>1331.03</v>
      </c>
      <c r="Q11063" s="18">
        <v>1136.7</v>
      </c>
      <c r="R11063" s="18">
        <v>931.72</v>
      </c>
      <c r="S11063" s="18">
        <v>1104.22</v>
      </c>
      <c r="T11063" s="18">
        <v>905.1</v>
      </c>
      <c r="U11063" s="16"/>
      <c r="V11063" s="16"/>
      <c r="W11063" s="16"/>
      <c r="X11063" s="19">
        <v>0.495</v>
      </c>
      <c r="Y11063" s="20">
        <v>6.3749999999999996E-3</v>
      </c>
      <c r="Z11063" s="21">
        <v>4601004132696</v>
      </c>
    </row>
    <row r="11064" spans="1:26" ht="12" customHeight="1" outlineLevel="4" x14ac:dyDescent="0.2">
      <c r="A11064" s="14" t="s">
        <v>21024</v>
      </c>
      <c r="B11064" s="26" t="s">
        <v>21025</v>
      </c>
      <c r="C11064" s="52"/>
      <c r="D11064" s="55">
        <f t="shared" si="172"/>
        <v>0</v>
      </c>
      <c r="E11064" s="63" t="str">
        <f>HYPERLINK("https://www.sds-group.ru/product/dekorativnyy-fonar-so-svechkoy-pletenyy-korpus-belyy-razmer-14h14h16-5-sm-tsvet-teplyy-belyy-513-057/", "Инфо")</f>
        <v>Инфо</v>
      </c>
      <c r="F11064" s="16" t="s">
        <v>39</v>
      </c>
      <c r="G11064" s="15"/>
      <c r="H11064" s="15"/>
      <c r="I11064" s="15"/>
      <c r="J11064" s="17">
        <v>30</v>
      </c>
      <c r="K11064" s="15"/>
      <c r="L11064" s="17">
        <v>1</v>
      </c>
      <c r="M11064" s="17">
        <v>12</v>
      </c>
      <c r="N11064" s="17">
        <v>1</v>
      </c>
      <c r="O11064" s="18">
        <v>941.92</v>
      </c>
      <c r="P11064" s="18">
        <v>772.07</v>
      </c>
      <c r="Q11064" s="18">
        <v>659.34</v>
      </c>
      <c r="R11064" s="18">
        <v>540.44000000000005</v>
      </c>
      <c r="S11064" s="18">
        <v>640.51</v>
      </c>
      <c r="T11064" s="18">
        <v>525.01</v>
      </c>
      <c r="U11064" s="16"/>
      <c r="V11064" s="16"/>
      <c r="W11064" s="16"/>
      <c r="X11064" s="19">
        <v>0.317</v>
      </c>
      <c r="Y11064" s="20">
        <v>3.9439999999999996E-3</v>
      </c>
      <c r="Z11064" s="21">
        <v>4601004230576</v>
      </c>
    </row>
    <row r="11065" spans="1:26" ht="12" customHeight="1" outlineLevel="4" x14ac:dyDescent="0.2">
      <c r="A11065" s="14" t="s">
        <v>21026</v>
      </c>
      <c r="B11065" s="26" t="s">
        <v>21027</v>
      </c>
      <c r="C11065" s="52"/>
      <c r="D11065" s="55">
        <f t="shared" si="172"/>
        <v>0</v>
      </c>
      <c r="E11065" s="63" t="str">
        <f>HYPERLINK("https://www.sds-group.ru/product/dekorativnyy-fonar-so-svechkoy-pletenyy-korpus-bronza-razmer-14h14h16-5-sm-tsvet-teplyy-bely-513-055/", "Инфо")</f>
        <v>Инфо</v>
      </c>
      <c r="F11065" s="16" t="s">
        <v>39</v>
      </c>
      <c r="G11065" s="15"/>
      <c r="H11065" s="15"/>
      <c r="I11065" s="15"/>
      <c r="J11065" s="16" t="s">
        <v>100</v>
      </c>
      <c r="K11065" s="15"/>
      <c r="L11065" s="17">
        <v>1</v>
      </c>
      <c r="M11065" s="17">
        <v>12</v>
      </c>
      <c r="N11065" s="17">
        <v>1</v>
      </c>
      <c r="O11065" s="18">
        <v>941.92</v>
      </c>
      <c r="P11065" s="18">
        <v>772.07</v>
      </c>
      <c r="Q11065" s="18">
        <v>659.34</v>
      </c>
      <c r="R11065" s="18">
        <v>540.44000000000005</v>
      </c>
      <c r="S11065" s="18">
        <v>640.51</v>
      </c>
      <c r="T11065" s="18">
        <v>525.01</v>
      </c>
      <c r="U11065" s="16"/>
      <c r="V11065" s="16"/>
      <c r="W11065" s="16"/>
      <c r="X11065" s="19">
        <v>0.31900000000000001</v>
      </c>
      <c r="Y11065" s="20">
        <v>4.1289999999999999E-3</v>
      </c>
      <c r="Z11065" s="21">
        <v>4601004147072</v>
      </c>
    </row>
    <row r="11066" spans="1:26" ht="12" customHeight="1" outlineLevel="4" x14ac:dyDescent="0.2">
      <c r="A11066" s="14" t="s">
        <v>21028</v>
      </c>
      <c r="B11066" s="26" t="s">
        <v>21029</v>
      </c>
      <c r="C11066" s="52"/>
      <c r="D11066" s="55">
        <f t="shared" si="172"/>
        <v>0</v>
      </c>
      <c r="E11066" s="63" t="str">
        <f>HYPERLINK("https://www.sds-group.ru/product/dekorativnyy-fonar-so-svechkoy-chernyy-korpus-razmer-10-5h10-5h24-sm-tsvet-teplyy-belyy-513-051/", "Инфо")</f>
        <v>Инфо</v>
      </c>
      <c r="F11066" s="16" t="s">
        <v>39</v>
      </c>
      <c r="G11066" s="15"/>
      <c r="H11066" s="15"/>
      <c r="I11066" s="15"/>
      <c r="J11066" s="16" t="s">
        <v>100</v>
      </c>
      <c r="K11066" s="15" t="s">
        <v>6174</v>
      </c>
      <c r="L11066" s="17">
        <v>1</v>
      </c>
      <c r="M11066" s="17">
        <v>12</v>
      </c>
      <c r="N11066" s="17">
        <v>1</v>
      </c>
      <c r="O11066" s="18">
        <v>753.53</v>
      </c>
      <c r="P11066" s="18">
        <v>617.65</v>
      </c>
      <c r="Q11066" s="18">
        <v>602.82000000000005</v>
      </c>
      <c r="R11066" s="18">
        <v>494.11</v>
      </c>
      <c r="S11066" s="18">
        <v>512.4</v>
      </c>
      <c r="T11066" s="18">
        <v>420</v>
      </c>
      <c r="U11066" s="16"/>
      <c r="V11066" s="16"/>
      <c r="W11066" s="16" t="s">
        <v>40</v>
      </c>
      <c r="X11066" s="19">
        <v>0.39100000000000001</v>
      </c>
      <c r="Y11066" s="20">
        <v>3.483E-3</v>
      </c>
      <c r="Z11066" s="21">
        <v>4601004132719</v>
      </c>
    </row>
    <row r="11067" spans="1:26" ht="12" customHeight="1" outlineLevel="4" x14ac:dyDescent="0.2">
      <c r="A11067" s="32" t="s">
        <v>21030</v>
      </c>
      <c r="B11067" s="74" t="s">
        <v>21031</v>
      </c>
      <c r="C11067" s="50"/>
      <c r="D11067" s="53">
        <f t="shared" si="172"/>
        <v>0</v>
      </c>
      <c r="E11067" s="60" t="str">
        <f>HYPERLINK("https://www.sds-group.ru/product/dekorativnyy-fonar-so-svechoy-14x14x29-sm-chernyy-korpus-teplyy-belyy-tsvet-svecheniya-neon--513-045/", "Инфо")</f>
        <v>Инфо</v>
      </c>
      <c r="F11067" s="34" t="s">
        <v>39</v>
      </c>
      <c r="G11067" s="33"/>
      <c r="H11067" s="33" t="s">
        <v>40</v>
      </c>
      <c r="I11067" s="33"/>
      <c r="J11067" s="35">
        <v>1</v>
      </c>
      <c r="K11067" s="33"/>
      <c r="L11067" s="35">
        <v>1</v>
      </c>
      <c r="M11067" s="35">
        <v>6</v>
      </c>
      <c r="N11067" s="35">
        <v>1</v>
      </c>
      <c r="O11067" s="36">
        <v>1226.76</v>
      </c>
      <c r="P11067" s="36">
        <v>1005.54</v>
      </c>
      <c r="Q11067" s="36">
        <v>858.73</v>
      </c>
      <c r="R11067" s="36">
        <v>703.88</v>
      </c>
      <c r="S11067" s="36">
        <v>834.2</v>
      </c>
      <c r="T11067" s="36">
        <v>683.77</v>
      </c>
      <c r="U11067" s="34"/>
      <c r="V11067" s="34"/>
      <c r="W11067" s="34"/>
      <c r="X11067" s="37">
        <v>0.77100000000000002</v>
      </c>
      <c r="Y11067" s="38">
        <v>7.6290000000000004E-3</v>
      </c>
      <c r="Z11067" s="21">
        <v>4601004180857</v>
      </c>
    </row>
    <row r="11068" spans="1:26" ht="12" customHeight="1" outlineLevel="4" x14ac:dyDescent="0.2">
      <c r="A11068" s="14" t="s">
        <v>21032</v>
      </c>
      <c r="B11068" s="26" t="s">
        <v>21033</v>
      </c>
      <c r="C11068" s="52"/>
      <c r="D11068" s="55">
        <f t="shared" si="172"/>
        <v>0</v>
      </c>
      <c r="E11068" s="63" t="str">
        <f>HYPERLINK("https://www.sds-group.ru/product/nabor-iz-3-fonarey-so-svechkoy-5-5h5-5h12-5-sm-tsvet-korpusa-belyy-krasnyy-chernyy-tsvet-sve-513-020/", "Инфо")</f>
        <v>Инфо</v>
      </c>
      <c r="F11068" s="16" t="s">
        <v>4698</v>
      </c>
      <c r="G11068" s="15"/>
      <c r="H11068" s="15"/>
      <c r="I11068" s="15"/>
      <c r="J11068" s="16" t="s">
        <v>100</v>
      </c>
      <c r="K11068" s="15"/>
      <c r="L11068" s="17">
        <v>1</v>
      </c>
      <c r="M11068" s="17">
        <v>100</v>
      </c>
      <c r="N11068" s="17">
        <v>1</v>
      </c>
      <c r="O11068" s="18">
        <v>915.24</v>
      </c>
      <c r="P11068" s="18">
        <v>750.2</v>
      </c>
      <c r="Q11068" s="18">
        <v>640.66999999999996</v>
      </c>
      <c r="R11068" s="18">
        <v>525.14</v>
      </c>
      <c r="S11068" s="18">
        <v>622.36</v>
      </c>
      <c r="T11068" s="18">
        <v>510.13</v>
      </c>
      <c r="U11068" s="16"/>
      <c r="V11068" s="16"/>
      <c r="W11068" s="16"/>
      <c r="X11068" s="19">
        <v>0.26900000000000002</v>
      </c>
      <c r="Y11068" s="20">
        <v>1.683E-3</v>
      </c>
      <c r="Z11068" s="21">
        <v>4601004337206</v>
      </c>
    </row>
    <row r="11069" spans="1:26" ht="12" customHeight="1" outlineLevel="4" x14ac:dyDescent="0.2">
      <c r="A11069" s="14" t="s">
        <v>21034</v>
      </c>
      <c r="B11069" s="26" t="s">
        <v>21035</v>
      </c>
      <c r="C11069" s="52"/>
      <c r="D11069" s="55">
        <f t="shared" si="172"/>
        <v>0</v>
      </c>
      <c r="E11069" s="63" t="str">
        <f>HYPERLINK("https://www.sds-group.ru/product/fonar-dekorativnyy-figura-s-tremya-svechami-belyy-korpus-24h24h40-sm-teplyy-belyy-neon-night-513-071/", "Инфо")</f>
        <v>Инфо</v>
      </c>
      <c r="F11069" s="16" t="s">
        <v>39</v>
      </c>
      <c r="G11069" s="15"/>
      <c r="H11069" s="15"/>
      <c r="I11069" s="15"/>
      <c r="J11069" s="16" t="s">
        <v>100</v>
      </c>
      <c r="K11069" s="15" t="s">
        <v>11098</v>
      </c>
      <c r="L11069" s="17">
        <v>1</v>
      </c>
      <c r="M11069" s="17">
        <v>4</v>
      </c>
      <c r="N11069" s="17">
        <v>1</v>
      </c>
      <c r="O11069" s="18">
        <v>3677.09</v>
      </c>
      <c r="P11069" s="18">
        <v>3014.01</v>
      </c>
      <c r="Q11069" s="18">
        <v>2573.96</v>
      </c>
      <c r="R11069" s="18">
        <v>2109.8000000000002</v>
      </c>
      <c r="S11069" s="18">
        <v>2500.42</v>
      </c>
      <c r="T11069" s="18">
        <v>2049.52</v>
      </c>
      <c r="U11069" s="16"/>
      <c r="V11069" s="16"/>
      <c r="W11069" s="16"/>
      <c r="X11069" s="19">
        <v>1.946</v>
      </c>
      <c r="Y11069" s="20">
        <v>2.7515000000000001E-2</v>
      </c>
      <c r="Z11069" s="21">
        <v>4601004308183</v>
      </c>
    </row>
    <row r="11070" spans="1:26" ht="12" customHeight="1" outlineLevel="4" x14ac:dyDescent="0.2">
      <c r="A11070" s="32" t="s">
        <v>21036</v>
      </c>
      <c r="B11070" s="74" t="s">
        <v>21037</v>
      </c>
      <c r="C11070" s="50"/>
      <c r="D11070" s="53">
        <f t="shared" si="172"/>
        <v>0</v>
      </c>
      <c r="E11070" s="60" t="str">
        <f>HYPERLINK("https://www.sds-group.ru/product/fonar-dekorativnyy-figura-so-svechkoy-5-5h5-5h12-5sm-tsvet-korpusa-belyy-krasnyy-chernyy-tsv-513-068/", "Инфо")</f>
        <v>Инфо</v>
      </c>
      <c r="F11070" s="34" t="s">
        <v>39</v>
      </c>
      <c r="G11070" s="33"/>
      <c r="H11070" s="33" t="s">
        <v>40</v>
      </c>
      <c r="I11070" s="33"/>
      <c r="J11070" s="35">
        <v>178</v>
      </c>
      <c r="K11070" s="33"/>
      <c r="L11070" s="35">
        <v>12</v>
      </c>
      <c r="M11070" s="35">
        <v>240</v>
      </c>
      <c r="N11070" s="35">
        <v>12</v>
      </c>
      <c r="O11070" s="36">
        <v>322.32</v>
      </c>
      <c r="P11070" s="36">
        <v>264.2</v>
      </c>
      <c r="Q11070" s="36">
        <v>273.97000000000003</v>
      </c>
      <c r="R11070" s="36">
        <v>224.57</v>
      </c>
      <c r="S11070" s="36">
        <v>219.18</v>
      </c>
      <c r="T11070" s="36">
        <v>179.66</v>
      </c>
      <c r="U11070" s="34"/>
      <c r="V11070" s="34"/>
      <c r="W11070" s="34" t="s">
        <v>40</v>
      </c>
      <c r="X11070" s="37">
        <v>6.5000000000000002E-2</v>
      </c>
      <c r="Y11070" s="38">
        <v>4.35E-4</v>
      </c>
      <c r="Z11070" s="21">
        <v>4601004311152</v>
      </c>
    </row>
    <row r="11071" spans="1:26" ht="12" customHeight="1" outlineLevel="4" x14ac:dyDescent="0.2">
      <c r="A11071" s="14" t="s">
        <v>21038</v>
      </c>
      <c r="B11071" s="26" t="s">
        <v>21039</v>
      </c>
      <c r="C11071" s="52"/>
      <c r="D11071" s="55">
        <f t="shared" si="172"/>
        <v>0</v>
      </c>
      <c r="E11071" s="63" t="str">
        <f>HYPERLINK("https://www.sds-group.ru/product/fonar-dekorativnyy-figura-so-svechkoy-9h5h13sm-tsvet-korpusa-bronzovyy-tsvet-svecheniya-tepl-513-076/", "Инфо")</f>
        <v>Инфо</v>
      </c>
      <c r="F11071" s="16" t="s">
        <v>39</v>
      </c>
      <c r="G11071" s="15"/>
      <c r="H11071" s="15"/>
      <c r="I11071" s="15"/>
      <c r="J11071" s="17">
        <v>2</v>
      </c>
      <c r="K11071" s="15" t="s">
        <v>1277</v>
      </c>
      <c r="L11071" s="17">
        <v>12</v>
      </c>
      <c r="M11071" s="17">
        <v>240</v>
      </c>
      <c r="N11071" s="17">
        <v>12</v>
      </c>
      <c r="O11071" s="18">
        <v>645.73</v>
      </c>
      <c r="P11071" s="18">
        <v>529.29</v>
      </c>
      <c r="Q11071" s="18">
        <v>452.01</v>
      </c>
      <c r="R11071" s="18">
        <v>370.5</v>
      </c>
      <c r="S11071" s="18">
        <v>439.1</v>
      </c>
      <c r="T11071" s="18">
        <v>359.92</v>
      </c>
      <c r="U11071" s="16"/>
      <c r="V11071" s="16"/>
      <c r="W11071" s="16"/>
      <c r="X11071" s="19">
        <v>0.12</v>
      </c>
      <c r="Y11071" s="20">
        <v>8.2299999999999995E-4</v>
      </c>
      <c r="Z11071" s="21">
        <v>4601004311145</v>
      </c>
    </row>
    <row r="11072" spans="1:26" ht="12" customHeight="1" outlineLevel="4" x14ac:dyDescent="0.2">
      <c r="A11072" s="32" t="s">
        <v>21040</v>
      </c>
      <c r="B11072" s="74" t="s">
        <v>21041</v>
      </c>
      <c r="C11072" s="50"/>
      <c r="D11072" s="53">
        <f t="shared" si="172"/>
        <v>0</v>
      </c>
      <c r="E11072" s="60" t="str">
        <f>HYPERLINK("https://www.sds-group.ru/product/fonar-dekorativnyy-so-svechkoy-korpus-iz-dereva-bezhevyy-15h15h38cm-teplyy-belyy-neon-night-513-073/", "Инфо")</f>
        <v>Инфо</v>
      </c>
      <c r="F11072" s="34" t="s">
        <v>39</v>
      </c>
      <c r="G11072" s="33"/>
      <c r="H11072" s="33" t="s">
        <v>40</v>
      </c>
      <c r="I11072" s="33"/>
      <c r="J11072" s="35">
        <v>2</v>
      </c>
      <c r="K11072" s="33"/>
      <c r="L11072" s="35">
        <v>1</v>
      </c>
      <c r="M11072" s="35">
        <v>4</v>
      </c>
      <c r="N11072" s="35">
        <v>1</v>
      </c>
      <c r="O11072" s="36">
        <v>3677.09</v>
      </c>
      <c r="P11072" s="36">
        <v>3014.01</v>
      </c>
      <c r="Q11072" s="36">
        <v>2573.96</v>
      </c>
      <c r="R11072" s="36">
        <v>2109.8000000000002</v>
      </c>
      <c r="S11072" s="36">
        <v>2500.42</v>
      </c>
      <c r="T11072" s="36">
        <v>2049.52</v>
      </c>
      <c r="U11072" s="34"/>
      <c r="V11072" s="34"/>
      <c r="W11072" s="34"/>
      <c r="X11072" s="37">
        <v>1.2709999999999999</v>
      </c>
      <c r="Y11072" s="38">
        <v>9.5809999999999992E-3</v>
      </c>
      <c r="Z11072" s="21">
        <v>4601004304765</v>
      </c>
    </row>
    <row r="11073" spans="1:26" ht="12" customHeight="1" outlineLevel="4" x14ac:dyDescent="0.2">
      <c r="A11073" s="32" t="s">
        <v>21042</v>
      </c>
      <c r="B11073" s="74" t="s">
        <v>21043</v>
      </c>
      <c r="C11073" s="50"/>
      <c r="D11073" s="53">
        <f t="shared" si="172"/>
        <v>0</v>
      </c>
      <c r="E11073" s="60" t="str">
        <f>HYPERLINK("https://www.sds-group.ru/product/fonar-dekorativnyy-so-svechkoy-korpus-iz-dereva-korichnevyy-15h15h38cm-teplyy-belyy-neon-nig-513-074/", "Инфо")</f>
        <v>Инфо</v>
      </c>
      <c r="F11073" s="34" t="s">
        <v>39</v>
      </c>
      <c r="G11073" s="33"/>
      <c r="H11073" s="33" t="s">
        <v>40</v>
      </c>
      <c r="I11073" s="33"/>
      <c r="J11073" s="35">
        <v>9</v>
      </c>
      <c r="K11073" s="33"/>
      <c r="L11073" s="35">
        <v>1</v>
      </c>
      <c r="M11073" s="35">
        <v>4</v>
      </c>
      <c r="N11073" s="35">
        <v>1</v>
      </c>
      <c r="O11073" s="36">
        <v>3677.09</v>
      </c>
      <c r="P11073" s="36">
        <v>3014.01</v>
      </c>
      <c r="Q11073" s="36">
        <v>2573.96</v>
      </c>
      <c r="R11073" s="36">
        <v>2109.8000000000002</v>
      </c>
      <c r="S11073" s="36">
        <v>2500.42</v>
      </c>
      <c r="T11073" s="36">
        <v>2049.52</v>
      </c>
      <c r="U11073" s="34"/>
      <c r="V11073" s="34"/>
      <c r="W11073" s="34"/>
      <c r="X11073" s="37">
        <v>1.254</v>
      </c>
      <c r="Y11073" s="38">
        <v>9.3200000000000002E-3</v>
      </c>
      <c r="Z11073" s="21">
        <v>4601004304758</v>
      </c>
    </row>
    <row r="11074" spans="1:26" ht="12.95" customHeight="1" outlineLevel="3" x14ac:dyDescent="0.2">
      <c r="A11074" s="76" t="s">
        <v>21044</v>
      </c>
      <c r="B11074" s="76"/>
      <c r="C11074" s="77"/>
      <c r="D11074" s="58"/>
      <c r="E11074" s="68"/>
      <c r="F11074" s="13"/>
      <c r="G11074" s="13"/>
      <c r="H11074" s="13"/>
      <c r="I11074" s="13"/>
      <c r="J11074" s="13"/>
      <c r="K11074" s="13"/>
      <c r="L11074" s="13"/>
      <c r="M11074" s="13"/>
      <c r="N11074" s="13"/>
      <c r="O11074" s="13"/>
      <c r="P11074" s="13"/>
      <c r="Q11074" s="13"/>
      <c r="R11074" s="13"/>
      <c r="S11074" s="13"/>
      <c r="T11074" s="13"/>
      <c r="U11074" s="13"/>
      <c r="V11074" s="13"/>
      <c r="W11074" s="13"/>
      <c r="X11074" s="13"/>
      <c r="Y11074" s="13"/>
      <c r="Z11074" s="13"/>
    </row>
    <row r="11075" spans="1:26" ht="12" customHeight="1" outlineLevel="4" x14ac:dyDescent="0.2">
      <c r="A11075" s="32" t="s">
        <v>21045</v>
      </c>
      <c r="B11075" s="74" t="s">
        <v>21046</v>
      </c>
      <c r="C11075" s="50"/>
      <c r="D11075" s="53">
        <f t="shared" si="172"/>
        <v>0</v>
      </c>
      <c r="E11075" s="60" t="str">
        <f>HYPERLINK("https://www.sds-group.ru/product/dekorativnyy-svetilnik-lava-10h16-5-sm-batareyki-3haa-ne-v-komplekte-511-036/", "Инфо")</f>
        <v>Инфо</v>
      </c>
      <c r="F11075" s="34" t="s">
        <v>39</v>
      </c>
      <c r="G11075" s="33"/>
      <c r="H11075" s="33" t="s">
        <v>40</v>
      </c>
      <c r="I11075" s="33"/>
      <c r="J11075" s="34" t="s">
        <v>100</v>
      </c>
      <c r="K11075" s="33"/>
      <c r="L11075" s="35">
        <v>1</v>
      </c>
      <c r="M11075" s="35">
        <v>12</v>
      </c>
      <c r="N11075" s="35">
        <v>1</v>
      </c>
      <c r="O11075" s="36">
        <v>1363.22</v>
      </c>
      <c r="P11075" s="36">
        <v>1117.3900000000001</v>
      </c>
      <c r="Q11075" s="36">
        <v>954.25</v>
      </c>
      <c r="R11075" s="36">
        <v>782.17</v>
      </c>
      <c r="S11075" s="36">
        <v>926.99</v>
      </c>
      <c r="T11075" s="36">
        <v>759.83</v>
      </c>
      <c r="U11075" s="34"/>
      <c r="V11075" s="34"/>
      <c r="W11075" s="34"/>
      <c r="X11075" s="37">
        <v>0.35199999999999998</v>
      </c>
      <c r="Y11075" s="38">
        <v>4.3229999999999996E-3</v>
      </c>
      <c r="Z11075" s="21">
        <v>4601004151314</v>
      </c>
    </row>
    <row r="11076" spans="1:26" ht="12" customHeight="1" outlineLevel="4" x14ac:dyDescent="0.2">
      <c r="A11076" s="32" t="s">
        <v>21047</v>
      </c>
      <c r="B11076" s="74" t="s">
        <v>21048</v>
      </c>
      <c r="C11076" s="50"/>
      <c r="D11076" s="53">
        <f t="shared" si="172"/>
        <v>0</v>
      </c>
      <c r="E11076" s="60" t="str">
        <f>HYPERLINK("https://www.sds-group.ru/product/dekorativnyy-svetilnik-lava-15h21-sm-batareyki-3haa-ne-v-komplekte-511-037/", "Инфо")</f>
        <v>Инфо</v>
      </c>
      <c r="F11076" s="34" t="s">
        <v>39</v>
      </c>
      <c r="G11076" s="33"/>
      <c r="H11076" s="33" t="s">
        <v>40</v>
      </c>
      <c r="I11076" s="33"/>
      <c r="J11076" s="35">
        <v>35</v>
      </c>
      <c r="K11076" s="33"/>
      <c r="L11076" s="35">
        <v>1</v>
      </c>
      <c r="M11076" s="35">
        <v>4</v>
      </c>
      <c r="N11076" s="35">
        <v>1</v>
      </c>
      <c r="O11076" s="36">
        <v>2086.04</v>
      </c>
      <c r="P11076" s="36">
        <v>1709.87</v>
      </c>
      <c r="Q11076" s="36">
        <v>1606.25</v>
      </c>
      <c r="R11076" s="36">
        <v>1316.6</v>
      </c>
      <c r="S11076" s="36">
        <v>1418.51</v>
      </c>
      <c r="T11076" s="36">
        <v>1162.71</v>
      </c>
      <c r="U11076" s="34"/>
      <c r="V11076" s="34"/>
      <c r="W11076" s="34" t="s">
        <v>40</v>
      </c>
      <c r="X11076" s="37">
        <v>0.73799999999999999</v>
      </c>
      <c r="Y11076" s="38">
        <v>7.9920000000000008E-3</v>
      </c>
      <c r="Z11076" s="21">
        <v>4601004151321</v>
      </c>
    </row>
    <row r="11077" spans="1:26" ht="12" customHeight="1" outlineLevel="4" x14ac:dyDescent="0.2">
      <c r="A11077" s="32" t="s">
        <v>21049</v>
      </c>
      <c r="B11077" s="74" t="s">
        <v>21050</v>
      </c>
      <c r="C11077" s="50"/>
      <c r="D11077" s="53">
        <f t="shared" si="172"/>
        <v>0</v>
      </c>
      <c r="E11077" s="60" t="str">
        <f>HYPERLINK("https://www.sds-group.ru/product/dekorativniy-svetilnik-lava-oslash-7-5h11-sm-batareyki-3haa-ne-v-komplekte-20070/", "Инфо")</f>
        <v>Инфо</v>
      </c>
      <c r="F11077" s="34" t="s">
        <v>39</v>
      </c>
      <c r="G11077" s="33"/>
      <c r="H11077" s="33" t="s">
        <v>40</v>
      </c>
      <c r="I11077" s="33"/>
      <c r="J11077" s="34" t="s">
        <v>100</v>
      </c>
      <c r="K11077" s="33"/>
      <c r="L11077" s="35">
        <v>1</v>
      </c>
      <c r="M11077" s="35">
        <v>24</v>
      </c>
      <c r="N11077" s="35">
        <v>1</v>
      </c>
      <c r="O11077" s="36">
        <v>914.38</v>
      </c>
      <c r="P11077" s="36">
        <v>749.49</v>
      </c>
      <c r="Q11077" s="36">
        <v>640.07000000000005</v>
      </c>
      <c r="R11077" s="36">
        <v>524.65</v>
      </c>
      <c r="S11077" s="36">
        <v>621.78</v>
      </c>
      <c r="T11077" s="36">
        <v>509.66</v>
      </c>
      <c r="U11077" s="34"/>
      <c r="V11077" s="34"/>
      <c r="W11077" s="34"/>
      <c r="X11077" s="37">
        <v>0.188</v>
      </c>
      <c r="Y11077" s="38">
        <v>1.8799999999999999E-3</v>
      </c>
      <c r="Z11077" s="21">
        <v>4601004151307</v>
      </c>
    </row>
    <row r="11078" spans="1:26" ht="12" customHeight="1" outlineLevel="4" x14ac:dyDescent="0.2">
      <c r="A11078" s="32" t="s">
        <v>21051</v>
      </c>
      <c r="B11078" s="74" t="s">
        <v>21052</v>
      </c>
      <c r="C11078" s="50"/>
      <c r="D11078" s="53">
        <f t="shared" si="172"/>
        <v>0</v>
      </c>
      <c r="E11078" s="60" t="str">
        <f>HYPERLINK("https://www.sds-group.ru/product/dekorativnyy-svetilnik-kubok-12-5h12-5h33sm-rabotaet-ot-batareek-2haa-v-komplekt-ne-vhodyat--511-029/", "Инфо")</f>
        <v>Инфо</v>
      </c>
      <c r="F11078" s="34" t="s">
        <v>39</v>
      </c>
      <c r="G11078" s="33"/>
      <c r="H11078" s="33" t="s">
        <v>40</v>
      </c>
      <c r="I11078" s="33"/>
      <c r="J11078" s="34" t="s">
        <v>100</v>
      </c>
      <c r="K11078" s="33"/>
      <c r="L11078" s="35">
        <v>1</v>
      </c>
      <c r="M11078" s="35">
        <v>12</v>
      </c>
      <c r="N11078" s="35">
        <v>1</v>
      </c>
      <c r="O11078" s="36">
        <v>1760.31</v>
      </c>
      <c r="P11078" s="36">
        <v>1442.88</v>
      </c>
      <c r="Q11078" s="36">
        <v>1390.64</v>
      </c>
      <c r="R11078" s="36">
        <v>1139.8699999999999</v>
      </c>
      <c r="S11078" s="36">
        <v>1197.01</v>
      </c>
      <c r="T11078" s="36">
        <v>981.16</v>
      </c>
      <c r="U11078" s="34"/>
      <c r="V11078" s="34"/>
      <c r="W11078" s="34" t="s">
        <v>40</v>
      </c>
      <c r="X11078" s="37">
        <v>0.50900000000000001</v>
      </c>
      <c r="Y11078" s="38">
        <v>7.901E-3</v>
      </c>
      <c r="Z11078" s="21">
        <v>4601004279391</v>
      </c>
    </row>
    <row r="11079" spans="1:26" ht="12" customHeight="1" outlineLevel="4" x14ac:dyDescent="0.2">
      <c r="A11079" s="14" t="s">
        <v>21053</v>
      </c>
      <c r="B11079" s="26" t="s">
        <v>21054</v>
      </c>
      <c r="C11079" s="52"/>
      <c r="D11079" s="55">
        <f t="shared" si="172"/>
        <v>0</v>
      </c>
      <c r="E11079" s="63" t="str">
        <f>HYPERLINK("https://www.sds-group.ru/product/svetodiodnyy-kamin-avangard-s-effektom-zhivogo-ognya-30h13h30-sm-batareyki-3hs-ne-v-komplekt-511-004/", "Инфо")</f>
        <v>Инфо</v>
      </c>
      <c r="F11079" s="16" t="s">
        <v>39</v>
      </c>
      <c r="G11079" s="15"/>
      <c r="H11079" s="15"/>
      <c r="I11079" s="15"/>
      <c r="J11079" s="16" t="s">
        <v>100</v>
      </c>
      <c r="K11079" s="15" t="s">
        <v>11098</v>
      </c>
      <c r="L11079" s="17">
        <v>1</v>
      </c>
      <c r="M11079" s="17">
        <v>6</v>
      </c>
      <c r="N11079" s="17">
        <v>1</v>
      </c>
      <c r="O11079" s="18">
        <v>3677.09</v>
      </c>
      <c r="P11079" s="18">
        <v>3014.01</v>
      </c>
      <c r="Q11079" s="18">
        <v>2573.96</v>
      </c>
      <c r="R11079" s="18">
        <v>2109.8000000000002</v>
      </c>
      <c r="S11079" s="18">
        <v>2500.42</v>
      </c>
      <c r="T11079" s="18">
        <v>2049.52</v>
      </c>
      <c r="U11079" s="16"/>
      <c r="V11079" s="16"/>
      <c r="W11079" s="16"/>
      <c r="X11079" s="19">
        <v>1.508</v>
      </c>
      <c r="Y11079" s="20">
        <v>1.8935E-2</v>
      </c>
      <c r="Z11079" s="21">
        <v>4601004230651</v>
      </c>
    </row>
    <row r="11080" spans="1:26" ht="12" customHeight="1" outlineLevel="4" x14ac:dyDescent="0.2">
      <c r="A11080" s="14" t="s">
        <v>21055</v>
      </c>
      <c r="B11080" s="26" t="s">
        <v>21056</v>
      </c>
      <c r="C11080" s="52"/>
      <c r="D11080" s="55">
        <f t="shared" si="172"/>
        <v>0</v>
      </c>
      <c r="E11080" s="63" t="str">
        <f>HYPERLINK("https://www.sds-group.ru/product/svetodiodnyy-kamin-vintazh-mini-s-effektom-zhivogo-ognya-24-8h12-7h30-sm-batareyki-3hs-ne-v--511-023/", "Инфо")</f>
        <v>Инфо</v>
      </c>
      <c r="F11080" s="16" t="s">
        <v>39</v>
      </c>
      <c r="G11080" s="15"/>
      <c r="H11080" s="15"/>
      <c r="I11080" s="15"/>
      <c r="J11080" s="17">
        <v>1</v>
      </c>
      <c r="K11080" s="15" t="s">
        <v>11098</v>
      </c>
      <c r="L11080" s="17">
        <v>1</v>
      </c>
      <c r="M11080" s="17">
        <v>6</v>
      </c>
      <c r="N11080" s="17">
        <v>1</v>
      </c>
      <c r="O11080" s="18">
        <v>2786.04</v>
      </c>
      <c r="P11080" s="18">
        <v>2283.64</v>
      </c>
      <c r="Q11080" s="18">
        <v>1950.23</v>
      </c>
      <c r="R11080" s="18">
        <v>1598.55</v>
      </c>
      <c r="S11080" s="18">
        <v>1894.51</v>
      </c>
      <c r="T11080" s="18">
        <v>1552.88</v>
      </c>
      <c r="U11080" s="16"/>
      <c r="V11080" s="16"/>
      <c r="W11080" s="16"/>
      <c r="X11080" s="19">
        <v>0.94399999999999995</v>
      </c>
      <c r="Y11080" s="20">
        <v>1.286E-2</v>
      </c>
      <c r="Z11080" s="21">
        <v>4601004200500</v>
      </c>
    </row>
    <row r="11081" spans="1:26" ht="12" customHeight="1" outlineLevel="4" x14ac:dyDescent="0.2">
      <c r="A11081" s="14" t="s">
        <v>21057</v>
      </c>
      <c r="B11081" s="26" t="s">
        <v>21058</v>
      </c>
      <c r="C11081" s="52"/>
      <c r="D11081" s="55">
        <f t="shared" ref="D11081:D11144" si="173">C11081*(O11081-O11081*$G$3)</f>
        <v>0</v>
      </c>
      <c r="E11081" s="63" t="str">
        <f>HYPERLINK("https://www.sds-group.ru/product/svetodiodnyy-kamin-vintazh-mini-s-effektom-zhivogo-ognya-24-8h12-7h30-sm-batareyki-3hs-ne-v--511-022/", "Инфо")</f>
        <v>Инфо</v>
      </c>
      <c r="F11081" s="16" t="s">
        <v>39</v>
      </c>
      <c r="G11081" s="15"/>
      <c r="H11081" s="15"/>
      <c r="I11081" s="15"/>
      <c r="J11081" s="17">
        <v>1</v>
      </c>
      <c r="K11081" s="15" t="s">
        <v>11098</v>
      </c>
      <c r="L11081" s="17">
        <v>1</v>
      </c>
      <c r="M11081" s="17">
        <v>6</v>
      </c>
      <c r="N11081" s="17">
        <v>1</v>
      </c>
      <c r="O11081" s="18">
        <v>2646.05</v>
      </c>
      <c r="P11081" s="18">
        <v>2168.89</v>
      </c>
      <c r="Q11081" s="18">
        <v>1852.24</v>
      </c>
      <c r="R11081" s="18">
        <v>1518.23</v>
      </c>
      <c r="S11081" s="18">
        <v>1799.31</v>
      </c>
      <c r="T11081" s="18">
        <v>1474.84</v>
      </c>
      <c r="U11081" s="16"/>
      <c r="V11081" s="16"/>
      <c r="W11081" s="16"/>
      <c r="X11081" s="19">
        <v>0.95</v>
      </c>
      <c r="Y11081" s="20">
        <v>1.2815E-2</v>
      </c>
      <c r="Z11081" s="21">
        <v>4601004200494</v>
      </c>
    </row>
    <row r="11082" spans="1:26" ht="12" customHeight="1" outlineLevel="4" x14ac:dyDescent="0.2">
      <c r="A11082" s="14" t="s">
        <v>21059</v>
      </c>
      <c r="B11082" s="26" t="s">
        <v>21060</v>
      </c>
      <c r="C11082" s="52"/>
      <c r="D11082" s="55">
        <f t="shared" si="173"/>
        <v>0</v>
      </c>
      <c r="E11082" s="63" t="str">
        <f>HYPERLINK("https://www.sds-group.ru/product/svetodiodnyy-kamin-vintazh-s-effektom-zhivogo-ognya-30h16h35-5-sm-batareyki-3hs-ne-v-komplek-511-032/", "Инфо")</f>
        <v>Инфо</v>
      </c>
      <c r="F11082" s="16" t="s">
        <v>39</v>
      </c>
      <c r="G11082" s="15"/>
      <c r="H11082" s="15"/>
      <c r="I11082" s="15"/>
      <c r="J11082" s="17">
        <v>1</v>
      </c>
      <c r="K11082" s="15" t="s">
        <v>1058</v>
      </c>
      <c r="L11082" s="17">
        <v>1</v>
      </c>
      <c r="M11082" s="17">
        <v>4</v>
      </c>
      <c r="N11082" s="17">
        <v>1</v>
      </c>
      <c r="O11082" s="18">
        <v>5153.82</v>
      </c>
      <c r="P11082" s="18">
        <v>4224.4399999999996</v>
      </c>
      <c r="Q11082" s="18">
        <v>3607.67</v>
      </c>
      <c r="R11082" s="18">
        <v>2957.11</v>
      </c>
      <c r="S11082" s="18">
        <v>3504.6</v>
      </c>
      <c r="T11082" s="18">
        <v>2872.62</v>
      </c>
      <c r="U11082" s="16"/>
      <c r="V11082" s="16"/>
      <c r="W11082" s="16"/>
      <c r="X11082" s="19">
        <v>1.403</v>
      </c>
      <c r="Y11082" s="20">
        <v>2.5394E-2</v>
      </c>
      <c r="Z11082" s="21">
        <v>4601004151352</v>
      </c>
    </row>
    <row r="11083" spans="1:26" ht="12" customHeight="1" outlineLevel="4" x14ac:dyDescent="0.2">
      <c r="A11083" s="14" t="s">
        <v>21061</v>
      </c>
      <c r="B11083" s="26" t="s">
        <v>21062</v>
      </c>
      <c r="C11083" s="52"/>
      <c r="D11083" s="55">
        <f t="shared" si="173"/>
        <v>0</v>
      </c>
      <c r="E11083" s="63" t="str">
        <f>HYPERLINK("https://www.sds-group.ru/product/svetodiodnyy-kamin-volshebnyy-fonar-s-effektom-zhivogo-ognya-11h11h24-5-sm-batareyki-3haa-ne-511-026/", "Инфо")</f>
        <v>Инфо</v>
      </c>
      <c r="F11083" s="16" t="s">
        <v>39</v>
      </c>
      <c r="G11083" s="15"/>
      <c r="H11083" s="15"/>
      <c r="I11083" s="15"/>
      <c r="J11083" s="16" t="s">
        <v>100</v>
      </c>
      <c r="K11083" s="15" t="s">
        <v>11098</v>
      </c>
      <c r="L11083" s="17">
        <v>1</v>
      </c>
      <c r="M11083" s="17">
        <v>12</v>
      </c>
      <c r="N11083" s="17">
        <v>1</v>
      </c>
      <c r="O11083" s="18">
        <v>1076.94</v>
      </c>
      <c r="P11083" s="18">
        <v>882.74</v>
      </c>
      <c r="Q11083" s="18">
        <v>753.86</v>
      </c>
      <c r="R11083" s="18">
        <v>617.91999999999996</v>
      </c>
      <c r="S11083" s="18">
        <v>732.32</v>
      </c>
      <c r="T11083" s="18">
        <v>600.26</v>
      </c>
      <c r="U11083" s="16"/>
      <c r="V11083" s="16"/>
      <c r="W11083" s="16"/>
      <c r="X11083" s="19">
        <v>0.38700000000000001</v>
      </c>
      <c r="Y11083" s="20">
        <v>4.3080000000000002E-3</v>
      </c>
      <c r="Z11083" s="21">
        <v>4601004230644</v>
      </c>
    </row>
    <row r="11084" spans="1:26" ht="12" customHeight="1" outlineLevel="4" x14ac:dyDescent="0.2">
      <c r="A11084" s="14" t="s">
        <v>21063</v>
      </c>
      <c r="B11084" s="26" t="s">
        <v>21064</v>
      </c>
      <c r="C11084" s="52"/>
      <c r="D11084" s="55">
        <f t="shared" si="173"/>
        <v>0</v>
      </c>
      <c r="E11084" s="63" t="str">
        <f>HYPERLINK("https://www.sds-group.ru/product/svetodiodnyy-kamin-grand-shale-s-effektom-zhivogo-ognya-45h18h56sm-rabotaet-ot-batareek-3hs--511-024/", "Инфо")</f>
        <v>Инфо</v>
      </c>
      <c r="F11084" s="16" t="s">
        <v>39</v>
      </c>
      <c r="G11084" s="15"/>
      <c r="H11084" s="15"/>
      <c r="I11084" s="15"/>
      <c r="J11084" s="17">
        <v>1</v>
      </c>
      <c r="K11084" s="15" t="s">
        <v>11098</v>
      </c>
      <c r="L11084" s="17">
        <v>1</v>
      </c>
      <c r="M11084" s="17">
        <v>3</v>
      </c>
      <c r="N11084" s="17">
        <v>1</v>
      </c>
      <c r="O11084" s="18">
        <v>9584.0400000000009</v>
      </c>
      <c r="P11084" s="18">
        <v>7855.77</v>
      </c>
      <c r="Q11084" s="18">
        <v>6708.83</v>
      </c>
      <c r="R11084" s="18">
        <v>5499.04</v>
      </c>
      <c r="S11084" s="18">
        <v>6517.15</v>
      </c>
      <c r="T11084" s="18">
        <v>5341.93</v>
      </c>
      <c r="U11084" s="16"/>
      <c r="V11084" s="16"/>
      <c r="W11084" s="16"/>
      <c r="X11084" s="19">
        <v>3.97</v>
      </c>
      <c r="Y11084" s="20">
        <v>5.1344000000000001E-2</v>
      </c>
      <c r="Z11084" s="21">
        <v>4601004279254</v>
      </c>
    </row>
    <row r="11085" spans="1:26" ht="12" customHeight="1" outlineLevel="4" x14ac:dyDescent="0.2">
      <c r="A11085" s="14" t="s">
        <v>21065</v>
      </c>
      <c r="B11085" s="26" t="s">
        <v>21066</v>
      </c>
      <c r="C11085" s="52"/>
      <c r="D11085" s="55">
        <f t="shared" si="173"/>
        <v>0</v>
      </c>
      <c r="E11085" s="63" t="str">
        <f>HYPERLINK("https://www.sds-group.ru/product/svetodiodnyy-kamin-kantri-s-effektom-zhivogo-ognya-12h12h18-5-sm-batareyki-3haa-ne-v-komplek-511-031/", "Инфо")</f>
        <v>Инфо</v>
      </c>
      <c r="F11085" s="16" t="s">
        <v>39</v>
      </c>
      <c r="G11085" s="15"/>
      <c r="H11085" s="15"/>
      <c r="I11085" s="15"/>
      <c r="J11085" s="16" t="s">
        <v>100</v>
      </c>
      <c r="K11085" s="15" t="s">
        <v>1058</v>
      </c>
      <c r="L11085" s="17">
        <v>1</v>
      </c>
      <c r="M11085" s="17">
        <v>12</v>
      </c>
      <c r="N11085" s="17">
        <v>1</v>
      </c>
      <c r="O11085" s="18">
        <v>1363.22</v>
      </c>
      <c r="P11085" s="18">
        <v>1117.3900000000001</v>
      </c>
      <c r="Q11085" s="18">
        <v>954.25</v>
      </c>
      <c r="R11085" s="18">
        <v>782.17</v>
      </c>
      <c r="S11085" s="18">
        <v>926.99</v>
      </c>
      <c r="T11085" s="18">
        <v>759.83</v>
      </c>
      <c r="U11085" s="16"/>
      <c r="V11085" s="16"/>
      <c r="W11085" s="16"/>
      <c r="X11085" s="19">
        <v>0.39800000000000002</v>
      </c>
      <c r="Y11085" s="20">
        <v>3.6129999999999999E-3</v>
      </c>
      <c r="Z11085" s="21">
        <v>4601004151369</v>
      </c>
    </row>
    <row r="11086" spans="1:26" ht="12" customHeight="1" outlineLevel="4" x14ac:dyDescent="0.2">
      <c r="A11086" s="14" t="s">
        <v>21067</v>
      </c>
      <c r="B11086" s="26" t="s">
        <v>21068</v>
      </c>
      <c r="C11086" s="52"/>
      <c r="D11086" s="55">
        <f t="shared" si="173"/>
        <v>0</v>
      </c>
      <c r="E11086" s="63" t="str">
        <f>HYPERLINK("https://www.sds-group.ru/product/svetodiodnyy-kamin-klassika-s-effektom-zhivogo-ognya-33h12h24-sm-batareyki-3hs-ne-v-komplekt-511-030/", "Инфо")</f>
        <v>Инфо</v>
      </c>
      <c r="F11086" s="16" t="s">
        <v>39</v>
      </c>
      <c r="G11086" s="15"/>
      <c r="H11086" s="15"/>
      <c r="I11086" s="15"/>
      <c r="J11086" s="16" t="s">
        <v>100</v>
      </c>
      <c r="K11086" s="15" t="s">
        <v>1058</v>
      </c>
      <c r="L11086" s="17">
        <v>1</v>
      </c>
      <c r="M11086" s="17">
        <v>5</v>
      </c>
      <c r="N11086" s="17">
        <v>1</v>
      </c>
      <c r="O11086" s="18">
        <v>3066.05</v>
      </c>
      <c r="P11086" s="18">
        <v>2513.16</v>
      </c>
      <c r="Q11086" s="18">
        <v>2146.2399999999998</v>
      </c>
      <c r="R11086" s="18">
        <v>1759.21</v>
      </c>
      <c r="S11086" s="18">
        <v>2084.91</v>
      </c>
      <c r="T11086" s="18">
        <v>1708.94</v>
      </c>
      <c r="U11086" s="16"/>
      <c r="V11086" s="16"/>
      <c r="W11086" s="16"/>
      <c r="X11086" s="19">
        <v>1.3340000000000001</v>
      </c>
      <c r="Y11086" s="20">
        <v>1.7086E-2</v>
      </c>
      <c r="Z11086" s="21">
        <v>4601004151338</v>
      </c>
    </row>
    <row r="11087" spans="1:26" ht="12" customHeight="1" outlineLevel="4" x14ac:dyDescent="0.2">
      <c r="A11087" s="14" t="s">
        <v>21069</v>
      </c>
      <c r="B11087" s="26" t="s">
        <v>21070</v>
      </c>
      <c r="C11087" s="52"/>
      <c r="D11087" s="55">
        <f t="shared" si="173"/>
        <v>0</v>
      </c>
      <c r="E11087" s="63" t="str">
        <f>HYPERLINK("https://www.sds-group.ru/product/svetodiodniy-kamin-launj-s-effektom-jivogo-ognya-35-3h12-4h33-7-sm-s-adapterom-pitaniya-i-batareykami-4-h-aa-ne-v-komplekte-neon-night-24196/", "Инфо")</f>
        <v>Инфо</v>
      </c>
      <c r="F11087" s="16" t="s">
        <v>39</v>
      </c>
      <c r="G11087" s="15"/>
      <c r="H11087" s="15"/>
      <c r="I11087" s="15"/>
      <c r="J11087" s="17">
        <v>54</v>
      </c>
      <c r="K11087" s="15"/>
      <c r="L11087" s="17">
        <v>1</v>
      </c>
      <c r="M11087" s="17">
        <v>4</v>
      </c>
      <c r="N11087" s="17">
        <v>1</v>
      </c>
      <c r="O11087" s="18">
        <v>4415.45</v>
      </c>
      <c r="P11087" s="18">
        <v>3619.22</v>
      </c>
      <c r="Q11087" s="18">
        <v>3090.82</v>
      </c>
      <c r="R11087" s="18">
        <v>2533.46</v>
      </c>
      <c r="S11087" s="18">
        <v>3002.51</v>
      </c>
      <c r="T11087" s="18">
        <v>2461.0700000000002</v>
      </c>
      <c r="U11087" s="16"/>
      <c r="V11087" s="16"/>
      <c r="W11087" s="16"/>
      <c r="X11087" s="19">
        <v>1.3129999999999999</v>
      </c>
      <c r="Y11087" s="20">
        <v>1.3316E-2</v>
      </c>
      <c r="Z11087" s="21">
        <v>4601004180611</v>
      </c>
    </row>
    <row r="11088" spans="1:26" ht="12" customHeight="1" outlineLevel="4" x14ac:dyDescent="0.2">
      <c r="A11088" s="14" t="s">
        <v>21071</v>
      </c>
      <c r="B11088" s="26" t="s">
        <v>21072</v>
      </c>
      <c r="C11088" s="52"/>
      <c r="D11088" s="55">
        <f t="shared" si="173"/>
        <v>0</v>
      </c>
      <c r="E11088" s="63" t="str">
        <f>HYPERLINK("https://www.sds-group.ru/product/svetodiodnyy-kamin-loft-usb-s-effektom-zhivogo-ognya-17h10h24-5-sm-neon-night-511-034/", "Инфо")</f>
        <v>Инфо</v>
      </c>
      <c r="F11088" s="16" t="s">
        <v>39</v>
      </c>
      <c r="G11088" s="15"/>
      <c r="H11088" s="15"/>
      <c r="I11088" s="15"/>
      <c r="J11088" s="17">
        <v>172</v>
      </c>
      <c r="K11088" s="15" t="s">
        <v>11098</v>
      </c>
      <c r="L11088" s="17">
        <v>1</v>
      </c>
      <c r="M11088" s="17">
        <v>6</v>
      </c>
      <c r="N11088" s="17">
        <v>1</v>
      </c>
      <c r="O11088" s="18">
        <v>2506.04</v>
      </c>
      <c r="P11088" s="18">
        <v>2054.13</v>
      </c>
      <c r="Q11088" s="18">
        <v>1929.65</v>
      </c>
      <c r="R11088" s="18">
        <v>1581.68</v>
      </c>
      <c r="S11088" s="18">
        <v>1704.11</v>
      </c>
      <c r="T11088" s="18">
        <v>1396.81</v>
      </c>
      <c r="U11088" s="16"/>
      <c r="V11088" s="16"/>
      <c r="W11088" s="16" t="s">
        <v>40</v>
      </c>
      <c r="X11088" s="19">
        <v>0.74299999999999999</v>
      </c>
      <c r="Y11088" s="20">
        <v>9.1389999999999996E-3</v>
      </c>
      <c r="Z11088" s="21">
        <v>4601004151291</v>
      </c>
    </row>
    <row r="11089" spans="1:26" ht="12" customHeight="1" outlineLevel="4" x14ac:dyDescent="0.2">
      <c r="A11089" s="14" t="s">
        <v>21073</v>
      </c>
      <c r="B11089" s="26" t="s">
        <v>21074</v>
      </c>
      <c r="C11089" s="52"/>
      <c r="D11089" s="55">
        <f t="shared" si="173"/>
        <v>0</v>
      </c>
      <c r="E11089" s="64"/>
      <c r="F11089" s="16" t="s">
        <v>39</v>
      </c>
      <c r="G11089" s="15"/>
      <c r="H11089" s="15"/>
      <c r="I11089" s="15"/>
      <c r="J11089" s="17">
        <v>72</v>
      </c>
      <c r="K11089" s="15"/>
      <c r="L11089" s="17">
        <v>1</v>
      </c>
      <c r="M11089" s="17">
        <v>6</v>
      </c>
      <c r="N11089" s="17">
        <v>1</v>
      </c>
      <c r="O11089" s="18">
        <v>2506.04</v>
      </c>
      <c r="P11089" s="18">
        <v>2054.13</v>
      </c>
      <c r="Q11089" s="18">
        <v>1929.65</v>
      </c>
      <c r="R11089" s="18">
        <v>1581.68</v>
      </c>
      <c r="S11089" s="18">
        <v>1704.11</v>
      </c>
      <c r="T11089" s="18">
        <v>1396.81</v>
      </c>
      <c r="U11089" s="16"/>
      <c r="V11089" s="16"/>
      <c r="W11089" s="16" t="s">
        <v>40</v>
      </c>
      <c r="X11089" s="19">
        <v>0.73</v>
      </c>
      <c r="Y11089" s="20">
        <v>8.6660000000000001E-3</v>
      </c>
      <c r="Z11089" s="21">
        <v>4601004343849</v>
      </c>
    </row>
    <row r="11090" spans="1:26" ht="12" customHeight="1" outlineLevel="4" x14ac:dyDescent="0.2">
      <c r="A11090" s="14" t="s">
        <v>21075</v>
      </c>
      <c r="B11090" s="26" t="s">
        <v>21076</v>
      </c>
      <c r="C11090" s="52"/>
      <c r="D11090" s="55">
        <f t="shared" si="173"/>
        <v>0</v>
      </c>
      <c r="E11090" s="63" t="str">
        <f>HYPERLINK("https://www.sds-group.ru/product/svetodiodnyy-kamin-nuar-s-effektom-zhivogo-ognya-16h14h29-sm-pitanie-3haa-ne-v-komplekte-neo-511-005/", "Инфо")</f>
        <v>Инфо</v>
      </c>
      <c r="F11090" s="16" t="s">
        <v>39</v>
      </c>
      <c r="G11090" s="15"/>
      <c r="H11090" s="15"/>
      <c r="I11090" s="15"/>
      <c r="J11090" s="16" t="s">
        <v>100</v>
      </c>
      <c r="K11090" s="15" t="s">
        <v>6174</v>
      </c>
      <c r="L11090" s="17">
        <v>1</v>
      </c>
      <c r="M11090" s="17">
        <v>6</v>
      </c>
      <c r="N11090" s="17">
        <v>1</v>
      </c>
      <c r="O11090" s="18">
        <v>1334.05</v>
      </c>
      <c r="P11090" s="18">
        <v>1093.48</v>
      </c>
      <c r="Q11090" s="18">
        <v>933.84</v>
      </c>
      <c r="R11090" s="18">
        <v>765.44</v>
      </c>
      <c r="S11090" s="18">
        <v>907.15</v>
      </c>
      <c r="T11090" s="18">
        <v>743.57</v>
      </c>
      <c r="U11090" s="16"/>
      <c r="V11090" s="16"/>
      <c r="W11090" s="16"/>
      <c r="X11090" s="19">
        <v>0.59399999999999997</v>
      </c>
      <c r="Y11090" s="20">
        <v>7.77E-3</v>
      </c>
      <c r="Z11090" s="21">
        <v>4601004337121</v>
      </c>
    </row>
    <row r="11091" spans="1:26" ht="12" customHeight="1" outlineLevel="4" x14ac:dyDescent="0.2">
      <c r="A11091" s="14" t="s">
        <v>21077</v>
      </c>
      <c r="B11091" s="26" t="s">
        <v>21078</v>
      </c>
      <c r="C11091" s="52"/>
      <c r="D11091" s="55">
        <f t="shared" si="173"/>
        <v>0</v>
      </c>
      <c r="E11091" s="63" t="str">
        <f>HYPERLINK("https://www.sds-group.ru/product/svetodiodnyy-kamin-retro-s-effektom-zhivogo-ognya-60-3h11h36-8sm-rabotaet-ot-batareek-3hs-v--511-002/", "Инфо")</f>
        <v>Инфо</v>
      </c>
      <c r="F11091" s="16" t="s">
        <v>39</v>
      </c>
      <c r="G11091" s="15"/>
      <c r="H11091" s="15"/>
      <c r="I11091" s="15"/>
      <c r="J11091" s="17">
        <v>21</v>
      </c>
      <c r="K11091" s="15" t="s">
        <v>1058</v>
      </c>
      <c r="L11091" s="17">
        <v>1</v>
      </c>
      <c r="M11091" s="17">
        <v>4</v>
      </c>
      <c r="N11091" s="17">
        <v>1</v>
      </c>
      <c r="O11091" s="18">
        <v>7370.01</v>
      </c>
      <c r="P11091" s="18">
        <v>6040.99</v>
      </c>
      <c r="Q11091" s="18">
        <v>5159.01</v>
      </c>
      <c r="R11091" s="18">
        <v>4228.7</v>
      </c>
      <c r="S11091" s="18">
        <v>5011.6099999999997</v>
      </c>
      <c r="T11091" s="18">
        <v>4107.88</v>
      </c>
      <c r="U11091" s="16"/>
      <c r="V11091" s="16"/>
      <c r="W11091" s="16"/>
      <c r="X11091" s="19">
        <v>3.76</v>
      </c>
      <c r="Y11091" s="20">
        <v>4.3153999999999998E-2</v>
      </c>
      <c r="Z11091" s="21">
        <v>4601004279247</v>
      </c>
    </row>
    <row r="11092" spans="1:26" ht="12" customHeight="1" outlineLevel="4" x14ac:dyDescent="0.2">
      <c r="A11092" s="14" t="s">
        <v>21079</v>
      </c>
      <c r="B11092" s="26" t="s">
        <v>21080</v>
      </c>
      <c r="C11092" s="52"/>
      <c r="D11092" s="55">
        <f t="shared" si="173"/>
        <v>0</v>
      </c>
      <c r="E11092" s="63" t="str">
        <f>HYPERLINK("https://www.sds-group.ru/product/svetodiodnyy-kamin-rozhdestvo-s-effektom-zhivogo-ognya-15h14h26sm-batareyki-2hs-ne-v-komplek-511-027/", "Инфо")</f>
        <v>Инфо</v>
      </c>
      <c r="F11092" s="16" t="s">
        <v>39</v>
      </c>
      <c r="G11092" s="15"/>
      <c r="H11092" s="15"/>
      <c r="I11092" s="15"/>
      <c r="J11092" s="17">
        <v>1</v>
      </c>
      <c r="K11092" s="15" t="s">
        <v>1058</v>
      </c>
      <c r="L11092" s="17">
        <v>1</v>
      </c>
      <c r="M11092" s="17">
        <v>6</v>
      </c>
      <c r="N11092" s="17">
        <v>1</v>
      </c>
      <c r="O11092" s="18">
        <v>1760.31</v>
      </c>
      <c r="P11092" s="18">
        <v>1442.88</v>
      </c>
      <c r="Q11092" s="18">
        <v>1390.64</v>
      </c>
      <c r="R11092" s="18">
        <v>1139.8699999999999</v>
      </c>
      <c r="S11092" s="18">
        <v>1197.01</v>
      </c>
      <c r="T11092" s="18">
        <v>981.16</v>
      </c>
      <c r="U11092" s="16"/>
      <c r="V11092" s="16"/>
      <c r="W11092" s="16" t="s">
        <v>40</v>
      </c>
      <c r="X11092" s="19">
        <v>0.72899999999999998</v>
      </c>
      <c r="Y11092" s="20">
        <v>1.1242E-2</v>
      </c>
      <c r="Z11092" s="21">
        <v>4601004283985</v>
      </c>
    </row>
    <row r="11093" spans="1:26" ht="12" customHeight="1" outlineLevel="4" x14ac:dyDescent="0.2">
      <c r="A11093" s="14" t="s">
        <v>21081</v>
      </c>
      <c r="B11093" s="26" t="s">
        <v>21082</v>
      </c>
      <c r="C11093" s="52"/>
      <c r="D11093" s="55">
        <f t="shared" si="173"/>
        <v>0</v>
      </c>
      <c r="E11093" s="63" t="str">
        <f>HYPERLINK("https://www.sds-group.ru/product/dekorativnyy-kamin-skandi-s-effektom-zhivogo-ognya-18h9h16-sm-batareyki-3hs-ne-v-komplekte-511-033/", "Инфо")</f>
        <v>Инфо</v>
      </c>
      <c r="F11093" s="16" t="s">
        <v>39</v>
      </c>
      <c r="G11093" s="15"/>
      <c r="H11093" s="15"/>
      <c r="I11093" s="15"/>
      <c r="J11093" s="17">
        <v>1</v>
      </c>
      <c r="K11093" s="15" t="s">
        <v>1058</v>
      </c>
      <c r="L11093" s="17">
        <v>1</v>
      </c>
      <c r="M11093" s="17">
        <v>10</v>
      </c>
      <c r="N11093" s="17">
        <v>1</v>
      </c>
      <c r="O11093" s="18">
        <v>1623.86</v>
      </c>
      <c r="P11093" s="18">
        <v>1331.03</v>
      </c>
      <c r="Q11093" s="18">
        <v>1136.7</v>
      </c>
      <c r="R11093" s="18">
        <v>931.72</v>
      </c>
      <c r="S11093" s="18">
        <v>1104.22</v>
      </c>
      <c r="T11093" s="18">
        <v>905.1</v>
      </c>
      <c r="U11093" s="16"/>
      <c r="V11093" s="16"/>
      <c r="W11093" s="16"/>
      <c r="X11093" s="19">
        <v>0.47299999999999998</v>
      </c>
      <c r="Y11093" s="20">
        <v>3.9680000000000002E-3</v>
      </c>
      <c r="Z11093" s="21">
        <v>4601004151345</v>
      </c>
    </row>
    <row r="11094" spans="1:26" ht="12" customHeight="1" outlineLevel="4" x14ac:dyDescent="0.2">
      <c r="A11094" s="14" t="s">
        <v>21083</v>
      </c>
      <c r="B11094" s="26" t="s">
        <v>21084</v>
      </c>
      <c r="C11094" s="52"/>
      <c r="D11094" s="55">
        <f t="shared" si="173"/>
        <v>0</v>
      </c>
      <c r="E11094" s="63" t="str">
        <f>HYPERLINK("https://www.sds-group.ru/product/svetodiodnyy-kamin-starinnye-chasy-s-effektom-zhivogo-ognya-14-7x11-7x25-sm-bronza-batareyki-511-021/", "Инфо")</f>
        <v>Инфо</v>
      </c>
      <c r="F11094" s="16" t="s">
        <v>39</v>
      </c>
      <c r="G11094" s="15"/>
      <c r="H11094" s="15"/>
      <c r="I11094" s="15"/>
      <c r="J11094" s="16" t="s">
        <v>100</v>
      </c>
      <c r="K11094" s="15" t="s">
        <v>11098</v>
      </c>
      <c r="L11094" s="17">
        <v>1</v>
      </c>
      <c r="M11094" s="17">
        <v>8</v>
      </c>
      <c r="N11094" s="17">
        <v>1</v>
      </c>
      <c r="O11094" s="18">
        <v>2646.05</v>
      </c>
      <c r="P11094" s="18">
        <v>2168.89</v>
      </c>
      <c r="Q11094" s="18">
        <v>2037.46</v>
      </c>
      <c r="R11094" s="18">
        <v>1670.05</v>
      </c>
      <c r="S11094" s="18">
        <v>1799.31</v>
      </c>
      <c r="T11094" s="18">
        <v>1474.84</v>
      </c>
      <c r="U11094" s="16"/>
      <c r="V11094" s="16"/>
      <c r="W11094" s="16" t="s">
        <v>40</v>
      </c>
      <c r="X11094" s="19">
        <v>0.74</v>
      </c>
      <c r="Y11094" s="20">
        <v>8.9230000000000004E-3</v>
      </c>
      <c r="Z11094" s="21">
        <v>4601004179653</v>
      </c>
    </row>
    <row r="11095" spans="1:26" ht="12" customHeight="1" outlineLevel="4" x14ac:dyDescent="0.2">
      <c r="A11095" s="14" t="s">
        <v>21085</v>
      </c>
      <c r="B11095" s="26" t="s">
        <v>21086</v>
      </c>
      <c r="C11095" s="52"/>
      <c r="D11095" s="55">
        <f t="shared" si="173"/>
        <v>0</v>
      </c>
      <c r="E11095" s="63" t="str">
        <f>HYPERLINK("https://www.sds-group.ru/product/svetodiodnyy-kamin-starinnye-chasy-s-effektom-zhivogo-ognya-14-7x11-7x25-sm-chernyy-batareyk-511-020/", "Инфо")</f>
        <v>Инфо</v>
      </c>
      <c r="F11095" s="16" t="s">
        <v>39</v>
      </c>
      <c r="G11095" s="15"/>
      <c r="H11095" s="15"/>
      <c r="I11095" s="15"/>
      <c r="J11095" s="16" t="s">
        <v>100</v>
      </c>
      <c r="K11095" s="15" t="s">
        <v>11098</v>
      </c>
      <c r="L11095" s="17">
        <v>1</v>
      </c>
      <c r="M11095" s="17">
        <v>6</v>
      </c>
      <c r="N11095" s="17">
        <v>1</v>
      </c>
      <c r="O11095" s="18">
        <v>2646.05</v>
      </c>
      <c r="P11095" s="18">
        <v>2168.89</v>
      </c>
      <c r="Q11095" s="18">
        <v>1852.24</v>
      </c>
      <c r="R11095" s="18">
        <v>1518.23</v>
      </c>
      <c r="S11095" s="18">
        <v>1799.31</v>
      </c>
      <c r="T11095" s="18">
        <v>1474.84</v>
      </c>
      <c r="U11095" s="16"/>
      <c r="V11095" s="16"/>
      <c r="W11095" s="16"/>
      <c r="X11095" s="19">
        <v>0.74199999999999999</v>
      </c>
      <c r="Y11095" s="20">
        <v>8.7799999999999996E-3</v>
      </c>
      <c r="Z11095" s="21">
        <v>4601004179646</v>
      </c>
    </row>
    <row r="11096" spans="1:26" ht="12" customHeight="1" outlineLevel="4" x14ac:dyDescent="0.2">
      <c r="A11096" s="14" t="s">
        <v>21087</v>
      </c>
      <c r="B11096" s="26" t="s">
        <v>21088</v>
      </c>
      <c r="C11096" s="52"/>
      <c r="D11096" s="55">
        <f t="shared" si="173"/>
        <v>0</v>
      </c>
      <c r="E11096" s="63" t="str">
        <f>HYPERLINK("https://www.sds-group.ru/product/svetodiodnyy-kamin-fyuzhn-s-effektom-zhivogo-ognya-14-7x11-7x25-sm-batareyki-2hs-ne-v-komple-511-038/", "Инфо")</f>
        <v>Инфо</v>
      </c>
      <c r="F11096" s="16" t="s">
        <v>39</v>
      </c>
      <c r="G11096" s="15"/>
      <c r="H11096" s="15"/>
      <c r="I11096" s="15"/>
      <c r="J11096" s="16" t="s">
        <v>100</v>
      </c>
      <c r="K11096" s="15" t="s">
        <v>11098</v>
      </c>
      <c r="L11096" s="17">
        <v>1</v>
      </c>
      <c r="M11096" s="17">
        <v>6</v>
      </c>
      <c r="N11096" s="17">
        <v>1</v>
      </c>
      <c r="O11096" s="18">
        <v>2086.04</v>
      </c>
      <c r="P11096" s="18">
        <v>1709.87</v>
      </c>
      <c r="Q11096" s="18">
        <v>1606.25</v>
      </c>
      <c r="R11096" s="18">
        <v>1316.6</v>
      </c>
      <c r="S11096" s="18">
        <v>1418.51</v>
      </c>
      <c r="T11096" s="18">
        <v>1162.71</v>
      </c>
      <c r="U11096" s="16"/>
      <c r="V11096" s="16"/>
      <c r="W11096" s="16" t="s">
        <v>40</v>
      </c>
      <c r="X11096" s="19">
        <v>0.68500000000000005</v>
      </c>
      <c r="Y11096" s="20">
        <v>8.4320000000000003E-3</v>
      </c>
      <c r="Z11096" s="21">
        <v>4601004240223</v>
      </c>
    </row>
    <row r="11097" spans="1:26" ht="12" customHeight="1" outlineLevel="4" x14ac:dyDescent="0.2">
      <c r="A11097" s="14" t="s">
        <v>21089</v>
      </c>
      <c r="B11097" s="26" t="s">
        <v>21090</v>
      </c>
      <c r="C11097" s="52"/>
      <c r="D11097" s="55">
        <f t="shared" si="173"/>
        <v>0</v>
      </c>
      <c r="E11097" s="63" t="str">
        <f>HYPERLINK("https://www.sds-group.ru/product/svetodiodnyy-kamin-fyuzhn-s-effektom-zhivogo-ognya-14-7x11-7x25-sm-batareyki-2hs-ne-v-komple-511-039/", "Инфо")</f>
        <v>Инфо</v>
      </c>
      <c r="F11097" s="16" t="s">
        <v>39</v>
      </c>
      <c r="G11097" s="15"/>
      <c r="H11097" s="15"/>
      <c r="I11097" s="15"/>
      <c r="J11097" s="17">
        <v>10</v>
      </c>
      <c r="K11097" s="15"/>
      <c r="L11097" s="17">
        <v>1</v>
      </c>
      <c r="M11097" s="17">
        <v>8</v>
      </c>
      <c r="N11097" s="17">
        <v>1</v>
      </c>
      <c r="O11097" s="18">
        <v>2086.04</v>
      </c>
      <c r="P11097" s="18">
        <v>1709.87</v>
      </c>
      <c r="Q11097" s="18">
        <v>1460.23</v>
      </c>
      <c r="R11097" s="18">
        <v>1196.9100000000001</v>
      </c>
      <c r="S11097" s="18">
        <v>1418.51</v>
      </c>
      <c r="T11097" s="18">
        <v>1162.71</v>
      </c>
      <c r="U11097" s="16"/>
      <c r="V11097" s="16"/>
      <c r="W11097" s="16"/>
      <c r="X11097" s="19">
        <v>0.75700000000000001</v>
      </c>
      <c r="Y11097" s="20">
        <v>8.6149999999999994E-3</v>
      </c>
      <c r="Z11097" s="21">
        <v>4601004179639</v>
      </c>
    </row>
    <row r="11098" spans="1:26" ht="12" customHeight="1" outlineLevel="4" x14ac:dyDescent="0.2">
      <c r="A11098" s="14" t="s">
        <v>21091</v>
      </c>
      <c r="B11098" s="26" t="s">
        <v>21092</v>
      </c>
      <c r="C11098" s="52"/>
      <c r="D11098" s="55">
        <f t="shared" si="173"/>
        <v>0</v>
      </c>
      <c r="E11098" s="63" t="str">
        <f>HYPERLINK("https://www.sds-group.ru/product/svetodiodnyy-kamin-haytek-s-effektom-zhivogo-ognya-60h10h20-sm-batareyki-3hs-ne-v-komplekte--511-001/", "Инфо")</f>
        <v>Инфо</v>
      </c>
      <c r="F11098" s="16" t="s">
        <v>39</v>
      </c>
      <c r="G11098" s="15"/>
      <c r="H11098" s="15"/>
      <c r="I11098" s="15"/>
      <c r="J11098" s="16" t="s">
        <v>100</v>
      </c>
      <c r="K11098" s="15" t="s">
        <v>11098</v>
      </c>
      <c r="L11098" s="17">
        <v>1</v>
      </c>
      <c r="M11098" s="17">
        <v>4</v>
      </c>
      <c r="N11098" s="17">
        <v>1</v>
      </c>
      <c r="O11098" s="18">
        <v>5892.19</v>
      </c>
      <c r="P11098" s="18">
        <v>4829.66</v>
      </c>
      <c r="Q11098" s="18">
        <v>4124.53</v>
      </c>
      <c r="R11098" s="18">
        <v>3380.76</v>
      </c>
      <c r="S11098" s="18">
        <v>4006.69</v>
      </c>
      <c r="T11098" s="18">
        <v>3284.17</v>
      </c>
      <c r="U11098" s="16"/>
      <c r="V11098" s="16"/>
      <c r="W11098" s="16"/>
      <c r="X11098" s="19">
        <v>2.4889999999999999</v>
      </c>
      <c r="Y11098" s="20">
        <v>2.1888999999999999E-2</v>
      </c>
      <c r="Z11098" s="21">
        <v>4601004230668</v>
      </c>
    </row>
    <row r="11099" spans="1:26" ht="12" customHeight="1" outlineLevel="4" x14ac:dyDescent="0.2">
      <c r="A11099" s="14" t="s">
        <v>21093</v>
      </c>
      <c r="B11099" s="26" t="s">
        <v>21094</v>
      </c>
      <c r="C11099" s="52"/>
      <c r="D11099" s="55">
        <f t="shared" si="173"/>
        <v>0</v>
      </c>
      <c r="E11099" s="63" t="str">
        <f>HYPERLINK("https://www.sds-group.ru/product/svetodiodnyy-kamin-shale-s-effektom-zhivogo-ognya-30h13h28-sm-batareyki-3hs-ne-v-komplekte-i-511-006/", "Инфо")</f>
        <v>Инфо</v>
      </c>
      <c r="F11099" s="16" t="s">
        <v>39</v>
      </c>
      <c r="G11099" s="15"/>
      <c r="H11099" s="15"/>
      <c r="I11099" s="15"/>
      <c r="J11099" s="16" t="s">
        <v>100</v>
      </c>
      <c r="K11099" s="15" t="s">
        <v>1058</v>
      </c>
      <c r="L11099" s="17">
        <v>1</v>
      </c>
      <c r="M11099" s="17">
        <v>4</v>
      </c>
      <c r="N11099" s="17">
        <v>1</v>
      </c>
      <c r="O11099" s="18">
        <v>3381.73</v>
      </c>
      <c r="P11099" s="18">
        <v>2771.91</v>
      </c>
      <c r="Q11099" s="18">
        <v>2367.21</v>
      </c>
      <c r="R11099" s="18">
        <v>1940.34</v>
      </c>
      <c r="S11099" s="18">
        <v>2299.58</v>
      </c>
      <c r="T11099" s="18">
        <v>1884.9</v>
      </c>
      <c r="U11099" s="16"/>
      <c r="V11099" s="16"/>
      <c r="W11099" s="16"/>
      <c r="X11099" s="19">
        <v>1.4339999999999999</v>
      </c>
      <c r="Y11099" s="20">
        <v>1.8974000000000001E-2</v>
      </c>
      <c r="Z11099" s="21">
        <v>4601004230637</v>
      </c>
    </row>
    <row r="11100" spans="1:26" ht="12.95" customHeight="1" outlineLevel="3" x14ac:dyDescent="0.2">
      <c r="A11100" s="76" t="s">
        <v>21095</v>
      </c>
      <c r="B11100" s="76"/>
      <c r="C11100" s="77"/>
      <c r="D11100" s="58"/>
      <c r="E11100" s="68"/>
      <c r="F11100" s="13"/>
      <c r="G11100" s="13"/>
      <c r="H11100" s="13"/>
      <c r="I11100" s="13"/>
      <c r="J11100" s="13"/>
      <c r="K11100" s="13"/>
      <c r="L11100" s="13"/>
      <c r="M11100" s="13"/>
      <c r="N11100" s="13"/>
      <c r="O11100" s="13"/>
      <c r="P11100" s="13"/>
      <c r="Q11100" s="13"/>
      <c r="R11100" s="13"/>
      <c r="S11100" s="13"/>
      <c r="T11100" s="13"/>
      <c r="U11100" s="13"/>
      <c r="V11100" s="13"/>
      <c r="W11100" s="13"/>
      <c r="X11100" s="13"/>
      <c r="Y11100" s="13"/>
      <c r="Z11100" s="13"/>
    </row>
    <row r="11101" spans="1:26" ht="12" customHeight="1" outlineLevel="4" x14ac:dyDescent="0.2">
      <c r="A11101" s="32" t="s">
        <v>21096</v>
      </c>
      <c r="B11101" s="74" t="s">
        <v>21097</v>
      </c>
      <c r="C11101" s="50"/>
      <c r="D11101" s="53">
        <f t="shared" si="173"/>
        <v>0</v>
      </c>
      <c r="E11101" s="60" t="str">
        <f>HYPERLINK("https://www.sds-group.ru/product/derevyannaya-figura-s-podsvetkoy-zvezda-dvoynaya-30h4h30-sm-504-027/", "Инфо")</f>
        <v>Инфо</v>
      </c>
      <c r="F11101" s="34" t="s">
        <v>39</v>
      </c>
      <c r="G11101" s="33"/>
      <c r="H11101" s="33" t="s">
        <v>40</v>
      </c>
      <c r="I11101" s="33"/>
      <c r="J11101" s="34" t="s">
        <v>100</v>
      </c>
      <c r="K11101" s="33"/>
      <c r="L11101" s="35">
        <v>1</v>
      </c>
      <c r="M11101" s="35">
        <v>12</v>
      </c>
      <c r="N11101" s="35">
        <v>1</v>
      </c>
      <c r="O11101" s="36">
        <v>1623.86</v>
      </c>
      <c r="P11101" s="36">
        <v>1331.03</v>
      </c>
      <c r="Q11101" s="36">
        <v>1136.7</v>
      </c>
      <c r="R11101" s="36">
        <v>931.72</v>
      </c>
      <c r="S11101" s="36">
        <v>1104.22</v>
      </c>
      <c r="T11101" s="36">
        <v>905.1</v>
      </c>
      <c r="U11101" s="34"/>
      <c r="V11101" s="34"/>
      <c r="W11101" s="34"/>
      <c r="X11101" s="37">
        <v>0.66600000000000004</v>
      </c>
      <c r="Y11101" s="38">
        <v>5.5880000000000001E-3</v>
      </c>
      <c r="Z11101" s="21">
        <v>4601004145306</v>
      </c>
    </row>
    <row r="11102" spans="1:26" ht="12" customHeight="1" outlineLevel="4" x14ac:dyDescent="0.2">
      <c r="A11102" s="14" t="s">
        <v>21098</v>
      </c>
      <c r="B11102" s="26" t="s">
        <v>21099</v>
      </c>
      <c r="C11102" s="52"/>
      <c r="D11102" s="55">
        <f t="shared" si="173"/>
        <v>0</v>
      </c>
      <c r="E11102" s="63" t="str">
        <f>HYPERLINK("https://www.sds-group.ru/product/derevyannaya-figurka-gnom-s-noskom-15h4h17-sm-neon-night-504-009/", "Инфо")</f>
        <v>Инфо</v>
      </c>
      <c r="F11102" s="16" t="s">
        <v>39</v>
      </c>
      <c r="G11102" s="15"/>
      <c r="H11102" s="15"/>
      <c r="I11102" s="15"/>
      <c r="J11102" s="17">
        <v>249</v>
      </c>
      <c r="K11102" s="15"/>
      <c r="L11102" s="17">
        <v>5</v>
      </c>
      <c r="M11102" s="17">
        <v>24</v>
      </c>
      <c r="N11102" s="17">
        <v>5</v>
      </c>
      <c r="O11102" s="18">
        <v>402.91</v>
      </c>
      <c r="P11102" s="18">
        <v>330.25</v>
      </c>
      <c r="Q11102" s="18">
        <v>322.33</v>
      </c>
      <c r="R11102" s="18">
        <v>264.2</v>
      </c>
      <c r="S11102" s="18">
        <v>273.98</v>
      </c>
      <c r="T11102" s="18">
        <v>224.57</v>
      </c>
      <c r="U11102" s="16"/>
      <c r="V11102" s="16"/>
      <c r="W11102" s="16" t="s">
        <v>40</v>
      </c>
      <c r="X11102" s="19">
        <v>6.9000000000000006E-2</v>
      </c>
      <c r="Y11102" s="20">
        <v>9.5299999999999996E-4</v>
      </c>
      <c r="Z11102" s="21">
        <v>4601004180833</v>
      </c>
    </row>
    <row r="11103" spans="1:26" ht="12" customHeight="1" outlineLevel="4" x14ac:dyDescent="0.2">
      <c r="A11103" s="32" t="s">
        <v>21100</v>
      </c>
      <c r="B11103" s="74" t="s">
        <v>21101</v>
      </c>
      <c r="C11103" s="50"/>
      <c r="D11103" s="53">
        <f t="shared" si="173"/>
        <v>0</v>
      </c>
      <c r="E11103" s="60" t="str">
        <f>HYPERLINK("https://www.sds-group.ru/product/derevyannaya-figurka-gnomik-17h4h15-sm-504-004/", "Инфо")</f>
        <v>Инфо</v>
      </c>
      <c r="F11103" s="34" t="s">
        <v>39</v>
      </c>
      <c r="G11103" s="33"/>
      <c r="H11103" s="33" t="s">
        <v>40</v>
      </c>
      <c r="I11103" s="33"/>
      <c r="J11103" s="35">
        <v>12</v>
      </c>
      <c r="K11103" s="33"/>
      <c r="L11103" s="35">
        <v>1</v>
      </c>
      <c r="M11103" s="35">
        <v>48</v>
      </c>
      <c r="N11103" s="35">
        <v>1</v>
      </c>
      <c r="O11103" s="36">
        <v>537.92999999999995</v>
      </c>
      <c r="P11103" s="36">
        <v>440.93</v>
      </c>
      <c r="Q11103" s="36">
        <v>376.55</v>
      </c>
      <c r="R11103" s="36">
        <v>308.64999999999998</v>
      </c>
      <c r="S11103" s="36">
        <v>365.79</v>
      </c>
      <c r="T11103" s="36">
        <v>299.83</v>
      </c>
      <c r="U11103" s="34"/>
      <c r="V11103" s="34"/>
      <c r="W11103" s="34"/>
      <c r="X11103" s="37">
        <v>0.105</v>
      </c>
      <c r="Y11103" s="38">
        <v>1.797E-3</v>
      </c>
      <c r="Z11103" s="21">
        <v>4601004145238</v>
      </c>
    </row>
    <row r="11104" spans="1:26" ht="12" customHeight="1" outlineLevel="4" x14ac:dyDescent="0.2">
      <c r="A11104" s="14" t="s">
        <v>21102</v>
      </c>
      <c r="B11104" s="26" t="s">
        <v>21103</v>
      </c>
      <c r="C11104" s="52"/>
      <c r="D11104" s="55">
        <f t="shared" si="173"/>
        <v>0</v>
      </c>
      <c r="E11104" s="63" t="str">
        <f>HYPERLINK("https://www.sds-group.ru/product/derevyannaya-figurka-gnomik-borodach-7x4-5x18-sm-neon-night-504-008/", "Инфо")</f>
        <v>Инфо</v>
      </c>
      <c r="F11104" s="16" t="s">
        <v>39</v>
      </c>
      <c r="G11104" s="15"/>
      <c r="H11104" s="15"/>
      <c r="I11104" s="15"/>
      <c r="J11104" s="17">
        <v>327</v>
      </c>
      <c r="K11104" s="15"/>
      <c r="L11104" s="17">
        <v>1</v>
      </c>
      <c r="M11104" s="17">
        <v>192</v>
      </c>
      <c r="N11104" s="17">
        <v>1</v>
      </c>
      <c r="O11104" s="18">
        <v>402.91</v>
      </c>
      <c r="P11104" s="18">
        <v>330.25</v>
      </c>
      <c r="Q11104" s="18">
        <v>322.33</v>
      </c>
      <c r="R11104" s="18">
        <v>264.2</v>
      </c>
      <c r="S11104" s="18">
        <v>273.98</v>
      </c>
      <c r="T11104" s="18">
        <v>224.57</v>
      </c>
      <c r="U11104" s="16"/>
      <c r="V11104" s="16"/>
      <c r="W11104" s="16" t="s">
        <v>40</v>
      </c>
      <c r="X11104" s="19">
        <v>3.5999999999999997E-2</v>
      </c>
      <c r="Y11104" s="20">
        <v>3.3700000000000001E-4</v>
      </c>
      <c r="Z11104" s="21">
        <v>4601004180765</v>
      </c>
    </row>
    <row r="11105" spans="1:26" ht="12" customHeight="1" outlineLevel="4" x14ac:dyDescent="0.2">
      <c r="A11105" s="32" t="s">
        <v>21104</v>
      </c>
      <c r="B11105" s="74" t="s">
        <v>21105</v>
      </c>
      <c r="C11105" s="50"/>
      <c r="D11105" s="53">
        <f t="shared" si="173"/>
        <v>0</v>
      </c>
      <c r="E11105" s="60" t="str">
        <f>HYPERLINK("https://www.sds-group.ru/product/derevyannaya-figurka-igrushechnyy-poni-belyy-25h5-5h26-5-sm-504-044/", "Инфо")</f>
        <v>Инфо</v>
      </c>
      <c r="F11105" s="34" t="s">
        <v>39</v>
      </c>
      <c r="G11105" s="33"/>
      <c r="H11105" s="33" t="s">
        <v>40</v>
      </c>
      <c r="I11105" s="33"/>
      <c r="J11105" s="34" t="s">
        <v>100</v>
      </c>
      <c r="K11105" s="33"/>
      <c r="L11105" s="35">
        <v>1</v>
      </c>
      <c r="M11105" s="35">
        <v>8</v>
      </c>
      <c r="N11105" s="35">
        <v>1</v>
      </c>
      <c r="O11105" s="36">
        <v>1378.75</v>
      </c>
      <c r="P11105" s="36">
        <v>1130.1199999999999</v>
      </c>
      <c r="Q11105" s="36">
        <v>965.13</v>
      </c>
      <c r="R11105" s="36">
        <v>791.09</v>
      </c>
      <c r="S11105" s="36">
        <v>937.55</v>
      </c>
      <c r="T11105" s="36">
        <v>768.48</v>
      </c>
      <c r="U11105" s="34"/>
      <c r="V11105" s="34"/>
      <c r="W11105" s="34"/>
      <c r="X11105" s="37">
        <v>0.29899999999999999</v>
      </c>
      <c r="Y11105" s="38">
        <v>5.4590000000000003E-3</v>
      </c>
      <c r="Z11105" s="21">
        <v>4601004145283</v>
      </c>
    </row>
    <row r="11106" spans="1:26" ht="12" customHeight="1" outlineLevel="4" x14ac:dyDescent="0.2">
      <c r="A11106" s="32" t="s">
        <v>21106</v>
      </c>
      <c r="B11106" s="74" t="s">
        <v>21107</v>
      </c>
      <c r="C11106" s="50"/>
      <c r="D11106" s="53">
        <f t="shared" si="173"/>
        <v>0</v>
      </c>
      <c r="E11106" s="60" t="str">
        <f>HYPERLINK("https://www.sds-group.ru/product/derevyannaya-figurka-rozhdestvenskiy-olen-rozovyy-10-5x4x18-sm-504-006/", "Инфо")</f>
        <v>Инфо</v>
      </c>
      <c r="F11106" s="34" t="s">
        <v>39</v>
      </c>
      <c r="G11106" s="33"/>
      <c r="H11106" s="33" t="s">
        <v>40</v>
      </c>
      <c r="I11106" s="33"/>
      <c r="J11106" s="35">
        <v>2</v>
      </c>
      <c r="K11106" s="33"/>
      <c r="L11106" s="35">
        <v>1</v>
      </c>
      <c r="M11106" s="35">
        <v>48</v>
      </c>
      <c r="N11106" s="35">
        <v>1</v>
      </c>
      <c r="O11106" s="36">
        <v>537.92999999999995</v>
      </c>
      <c r="P11106" s="36">
        <v>440.93</v>
      </c>
      <c r="Q11106" s="36">
        <v>376.55</v>
      </c>
      <c r="R11106" s="36">
        <v>308.64999999999998</v>
      </c>
      <c r="S11106" s="36">
        <v>365.79</v>
      </c>
      <c r="T11106" s="36">
        <v>299.83</v>
      </c>
      <c r="U11106" s="34"/>
      <c r="V11106" s="34"/>
      <c r="W11106" s="34"/>
      <c r="X11106" s="37">
        <v>7.8E-2</v>
      </c>
      <c r="Y11106" s="38">
        <v>1.413E-3</v>
      </c>
      <c r="Z11106" s="21">
        <v>4601004145252</v>
      </c>
    </row>
    <row r="11107" spans="1:26" ht="12" customHeight="1" outlineLevel="4" x14ac:dyDescent="0.2">
      <c r="A11107" s="32" t="s">
        <v>21108</v>
      </c>
      <c r="B11107" s="74" t="s">
        <v>21109</v>
      </c>
      <c r="C11107" s="50"/>
      <c r="D11107" s="53">
        <f t="shared" si="173"/>
        <v>0</v>
      </c>
      <c r="E11107" s="60" t="str">
        <f>HYPERLINK("https://www.sds-group.ru/product/derevyannaya-figurka-s-podsvetkoy-volshebnyy-fonarik-13-8x11x11-sm-504-023/", "Инфо")</f>
        <v>Инфо</v>
      </c>
      <c r="F11107" s="34" t="s">
        <v>39</v>
      </c>
      <c r="G11107" s="33"/>
      <c r="H11107" s="33" t="s">
        <v>40</v>
      </c>
      <c r="I11107" s="33"/>
      <c r="J11107" s="34" t="s">
        <v>100</v>
      </c>
      <c r="K11107" s="33"/>
      <c r="L11107" s="35">
        <v>1</v>
      </c>
      <c r="M11107" s="35">
        <v>36</v>
      </c>
      <c r="N11107" s="35">
        <v>1</v>
      </c>
      <c r="O11107" s="36">
        <v>807.43</v>
      </c>
      <c r="P11107" s="36">
        <v>661.83</v>
      </c>
      <c r="Q11107" s="36">
        <v>565.20000000000005</v>
      </c>
      <c r="R11107" s="36">
        <v>463.28</v>
      </c>
      <c r="S11107" s="36">
        <v>549.04999999999995</v>
      </c>
      <c r="T11107" s="36">
        <v>450.04</v>
      </c>
      <c r="U11107" s="34"/>
      <c r="V11107" s="34"/>
      <c r="W11107" s="34"/>
      <c r="X11107" s="37">
        <v>0.14000000000000001</v>
      </c>
      <c r="Y11107" s="38">
        <v>2.313E-3</v>
      </c>
      <c r="Z11107" s="21">
        <v>4601004129986</v>
      </c>
    </row>
    <row r="11108" spans="1:26" ht="12" customHeight="1" outlineLevel="4" x14ac:dyDescent="0.2">
      <c r="A11108" s="32" t="s">
        <v>21110</v>
      </c>
      <c r="B11108" s="74" t="s">
        <v>21111</v>
      </c>
      <c r="C11108" s="50"/>
      <c r="D11108" s="53">
        <f t="shared" si="173"/>
        <v>0</v>
      </c>
      <c r="E11108" s="60" t="str">
        <f>HYPERLINK("https://www.sds-group.ru/product/derevyannaya-figurka-s-podsvetkoy-elochka-11-5x5x19-sm-504-012/", "Инфо")</f>
        <v>Инфо</v>
      </c>
      <c r="F11108" s="34" t="s">
        <v>39</v>
      </c>
      <c r="G11108" s="33"/>
      <c r="H11108" s="33" t="s">
        <v>40</v>
      </c>
      <c r="I11108" s="33"/>
      <c r="J11108" s="35">
        <v>3</v>
      </c>
      <c r="K11108" s="33"/>
      <c r="L11108" s="35">
        <v>1</v>
      </c>
      <c r="M11108" s="35">
        <v>48</v>
      </c>
      <c r="N11108" s="35">
        <v>1</v>
      </c>
      <c r="O11108" s="36">
        <v>753.53</v>
      </c>
      <c r="P11108" s="36">
        <v>617.65</v>
      </c>
      <c r="Q11108" s="36">
        <v>527.47</v>
      </c>
      <c r="R11108" s="36">
        <v>432.35</v>
      </c>
      <c r="S11108" s="36">
        <v>512.4</v>
      </c>
      <c r="T11108" s="36">
        <v>420</v>
      </c>
      <c r="U11108" s="34"/>
      <c r="V11108" s="34"/>
      <c r="W11108" s="34"/>
      <c r="X11108" s="37">
        <v>0.14299999999999999</v>
      </c>
      <c r="Y11108" s="38">
        <v>1.977E-3</v>
      </c>
      <c r="Z11108" s="21">
        <v>4601004129931</v>
      </c>
    </row>
    <row r="11109" spans="1:26" ht="12" customHeight="1" outlineLevel="4" x14ac:dyDescent="0.2">
      <c r="A11109" s="32" t="s">
        <v>21112</v>
      </c>
      <c r="B11109" s="74" t="s">
        <v>21113</v>
      </c>
      <c r="C11109" s="50"/>
      <c r="D11109" s="53">
        <f t="shared" si="173"/>
        <v>0</v>
      </c>
      <c r="E11109" s="60" t="str">
        <f>HYPERLINK("https://www.sds-group.ru/product/derevyannaya-figurka-s-podsvetkoy-elochka-9x5x19-sm-504-011/", "Инфо")</f>
        <v>Инфо</v>
      </c>
      <c r="F11109" s="34" t="s">
        <v>39</v>
      </c>
      <c r="G11109" s="33"/>
      <c r="H11109" s="33" t="s">
        <v>40</v>
      </c>
      <c r="I11109" s="33"/>
      <c r="J11109" s="34" t="s">
        <v>100</v>
      </c>
      <c r="K11109" s="33"/>
      <c r="L11109" s="35">
        <v>1</v>
      </c>
      <c r="M11109" s="35">
        <v>72</v>
      </c>
      <c r="N11109" s="35">
        <v>1</v>
      </c>
      <c r="O11109" s="36">
        <v>634.4</v>
      </c>
      <c r="P11109" s="36">
        <v>520</v>
      </c>
      <c r="Q11109" s="36">
        <v>444.08</v>
      </c>
      <c r="R11109" s="36">
        <v>364</v>
      </c>
      <c r="S11109" s="36">
        <v>431.39</v>
      </c>
      <c r="T11109" s="36">
        <v>353.6</v>
      </c>
      <c r="U11109" s="34"/>
      <c r="V11109" s="34"/>
      <c r="W11109" s="34"/>
      <c r="X11109" s="37">
        <v>7.4999999999999997E-2</v>
      </c>
      <c r="Y11109" s="38">
        <v>7.9100000000000004E-4</v>
      </c>
      <c r="Z11109" s="21">
        <v>4601004129900</v>
      </c>
    </row>
    <row r="11110" spans="1:26" ht="12" customHeight="1" outlineLevel="4" x14ac:dyDescent="0.2">
      <c r="A11110" s="32" t="s">
        <v>21114</v>
      </c>
      <c r="B11110" s="74" t="s">
        <v>21115</v>
      </c>
      <c r="C11110" s="50"/>
      <c r="D11110" s="53">
        <f t="shared" si="173"/>
        <v>0</v>
      </c>
      <c r="E11110" s="60" t="str">
        <f>HYPERLINK("https://www.sds-group.ru/product/derevyannaya-figurka-s-podsvetkoy-elochka-s-olenem-12x6x21-5-sm-504-002/", "Инфо")</f>
        <v>Инфо</v>
      </c>
      <c r="F11110" s="34" t="s">
        <v>39</v>
      </c>
      <c r="G11110" s="33"/>
      <c r="H11110" s="33" t="s">
        <v>40</v>
      </c>
      <c r="I11110" s="33"/>
      <c r="J11110" s="34" t="s">
        <v>100</v>
      </c>
      <c r="K11110" s="33"/>
      <c r="L11110" s="35">
        <v>1</v>
      </c>
      <c r="M11110" s="35">
        <v>36</v>
      </c>
      <c r="N11110" s="35">
        <v>1</v>
      </c>
      <c r="O11110" s="36">
        <v>753.53</v>
      </c>
      <c r="P11110" s="36">
        <v>617.65</v>
      </c>
      <c r="Q11110" s="36">
        <v>527.47</v>
      </c>
      <c r="R11110" s="36">
        <v>432.35</v>
      </c>
      <c r="S11110" s="36">
        <v>512.4</v>
      </c>
      <c r="T11110" s="36">
        <v>420</v>
      </c>
      <c r="U11110" s="34"/>
      <c r="V11110" s="34"/>
      <c r="W11110" s="34"/>
      <c r="X11110" s="37">
        <v>0.185</v>
      </c>
      <c r="Y11110" s="38">
        <v>2.7550000000000001E-3</v>
      </c>
      <c r="Z11110" s="21">
        <v>4601004129894</v>
      </c>
    </row>
    <row r="11111" spans="1:26" ht="12" customHeight="1" outlineLevel="4" x14ac:dyDescent="0.2">
      <c r="A11111" s="32" t="s">
        <v>21116</v>
      </c>
      <c r="B11111" s="74" t="s">
        <v>21117</v>
      </c>
      <c r="C11111" s="50"/>
      <c r="D11111" s="53">
        <f t="shared" si="173"/>
        <v>0</v>
      </c>
      <c r="E11111" s="60" t="str">
        <f>HYPERLINK("https://www.sds-group.ru/product/derevyannaya-figurka-s-podsvetkoy-zvezdochka-24x13x3-6-sm-504-022/", "Инфо")</f>
        <v>Инфо</v>
      </c>
      <c r="F11111" s="34" t="s">
        <v>39</v>
      </c>
      <c r="G11111" s="33"/>
      <c r="H11111" s="33" t="s">
        <v>40</v>
      </c>
      <c r="I11111" s="33"/>
      <c r="J11111" s="35">
        <v>5</v>
      </c>
      <c r="K11111" s="33"/>
      <c r="L11111" s="35">
        <v>1</v>
      </c>
      <c r="M11111" s="35">
        <v>128</v>
      </c>
      <c r="N11111" s="35">
        <v>1</v>
      </c>
      <c r="O11111" s="36">
        <v>807.43</v>
      </c>
      <c r="P11111" s="36">
        <v>661.83</v>
      </c>
      <c r="Q11111" s="36">
        <v>645.94000000000005</v>
      </c>
      <c r="R11111" s="36">
        <v>529.46</v>
      </c>
      <c r="S11111" s="36">
        <v>549.04999999999995</v>
      </c>
      <c r="T11111" s="36">
        <v>450.04</v>
      </c>
      <c r="U11111" s="34"/>
      <c r="V11111" s="34"/>
      <c r="W11111" s="34" t="s">
        <v>40</v>
      </c>
      <c r="X11111" s="37">
        <v>9.0999999999999998E-2</v>
      </c>
      <c r="Y11111" s="38">
        <v>3.0000000000000001E-6</v>
      </c>
      <c r="Z11111" s="21">
        <v>4601004129993</v>
      </c>
    </row>
    <row r="11112" spans="1:26" ht="12" customHeight="1" outlineLevel="4" x14ac:dyDescent="0.2">
      <c r="A11112" s="32" t="s">
        <v>21118</v>
      </c>
      <c r="B11112" s="74" t="s">
        <v>21119</v>
      </c>
      <c r="C11112" s="50"/>
      <c r="D11112" s="53">
        <f t="shared" si="173"/>
        <v>0</v>
      </c>
      <c r="E11112" s="60" t="str">
        <f>HYPERLINK("https://www.sds-group.ru/product/derevyannaya-figurka-s-podsvetkoy-rozhdestvenskaya-skazka-44-5x6x24-sm-504-021/", "Инфо")</f>
        <v>Инфо</v>
      </c>
      <c r="F11112" s="34" t="s">
        <v>39</v>
      </c>
      <c r="G11112" s="33"/>
      <c r="H11112" s="33" t="s">
        <v>40</v>
      </c>
      <c r="I11112" s="33"/>
      <c r="J11112" s="34" t="s">
        <v>100</v>
      </c>
      <c r="K11112" s="33"/>
      <c r="L11112" s="35">
        <v>1</v>
      </c>
      <c r="M11112" s="35">
        <v>6</v>
      </c>
      <c r="N11112" s="35">
        <v>1</v>
      </c>
      <c r="O11112" s="36">
        <v>2086.04</v>
      </c>
      <c r="P11112" s="36">
        <v>1709.87</v>
      </c>
      <c r="Q11112" s="36">
        <v>1460.23</v>
      </c>
      <c r="R11112" s="36">
        <v>1196.9100000000001</v>
      </c>
      <c r="S11112" s="36">
        <v>1418.51</v>
      </c>
      <c r="T11112" s="36">
        <v>1162.71</v>
      </c>
      <c r="U11112" s="34"/>
      <c r="V11112" s="34"/>
      <c r="W11112" s="34"/>
      <c r="X11112" s="37">
        <v>0.55000000000000004</v>
      </c>
      <c r="Y11112" s="38">
        <v>9.2110000000000004E-3</v>
      </c>
      <c r="Z11112" s="21">
        <v>4601004130005</v>
      </c>
    </row>
    <row r="11113" spans="1:26" ht="12" customHeight="1" outlineLevel="4" x14ac:dyDescent="0.2">
      <c r="A11113" s="32" t="s">
        <v>21120</v>
      </c>
      <c r="B11113" s="74" t="s">
        <v>21121</v>
      </c>
      <c r="C11113" s="50"/>
      <c r="D11113" s="53">
        <f t="shared" si="173"/>
        <v>0</v>
      </c>
      <c r="E11113" s="60" t="str">
        <f>HYPERLINK("https://www.sds-group.ru/product/derevyannaya-figurka-s-podsvetkoy-rozhdestvenskiy-olen-11h5h47-sm-504-007/", "Инфо")</f>
        <v>Инфо</v>
      </c>
      <c r="F11113" s="34" t="s">
        <v>39</v>
      </c>
      <c r="G11113" s="33"/>
      <c r="H11113" s="33" t="s">
        <v>40</v>
      </c>
      <c r="I11113" s="33"/>
      <c r="J11113" s="35">
        <v>13</v>
      </c>
      <c r="K11113" s="33"/>
      <c r="L11113" s="35">
        <v>1</v>
      </c>
      <c r="M11113" s="35">
        <v>24</v>
      </c>
      <c r="N11113" s="35">
        <v>1</v>
      </c>
      <c r="O11113" s="36">
        <v>1363.22</v>
      </c>
      <c r="P11113" s="36">
        <v>1117.3900000000001</v>
      </c>
      <c r="Q11113" s="36">
        <v>954.25</v>
      </c>
      <c r="R11113" s="36">
        <v>782.17</v>
      </c>
      <c r="S11113" s="36">
        <v>926.99</v>
      </c>
      <c r="T11113" s="36">
        <v>759.83</v>
      </c>
      <c r="U11113" s="34"/>
      <c r="V11113" s="34"/>
      <c r="W11113" s="34"/>
      <c r="X11113" s="37">
        <v>0.27600000000000002</v>
      </c>
      <c r="Y11113" s="38">
        <v>3.8400000000000001E-3</v>
      </c>
      <c r="Z11113" s="21">
        <v>4601004145269</v>
      </c>
    </row>
    <row r="11114" spans="1:26" ht="12" customHeight="1" outlineLevel="4" x14ac:dyDescent="0.2">
      <c r="A11114" s="32" t="s">
        <v>21122</v>
      </c>
      <c r="B11114" s="74" t="s">
        <v>21123</v>
      </c>
      <c r="C11114" s="50"/>
      <c r="D11114" s="53">
        <f t="shared" si="173"/>
        <v>0</v>
      </c>
      <c r="E11114" s="60" t="str">
        <f>HYPERLINK("https://www.sds-group.ru/product/derevyannaya-figurka-s-podsvetkoy-semeystvo-oleney-30h5h15-7-sm-504-026/", "Инфо")</f>
        <v>Инфо</v>
      </c>
      <c r="F11114" s="34" t="s">
        <v>39</v>
      </c>
      <c r="G11114" s="33"/>
      <c r="H11114" s="33" t="s">
        <v>40</v>
      </c>
      <c r="I11114" s="33"/>
      <c r="J11114" s="34" t="s">
        <v>100</v>
      </c>
      <c r="K11114" s="33"/>
      <c r="L11114" s="35">
        <v>1</v>
      </c>
      <c r="M11114" s="35">
        <v>12</v>
      </c>
      <c r="N11114" s="35">
        <v>1</v>
      </c>
      <c r="O11114" s="36">
        <v>1623.86</v>
      </c>
      <c r="P11114" s="36">
        <v>1331.03</v>
      </c>
      <c r="Q11114" s="36">
        <v>1136.7</v>
      </c>
      <c r="R11114" s="36">
        <v>931.72</v>
      </c>
      <c r="S11114" s="36">
        <v>1104.22</v>
      </c>
      <c r="T11114" s="36">
        <v>905.1</v>
      </c>
      <c r="U11114" s="34"/>
      <c r="V11114" s="34"/>
      <c r="W11114" s="34"/>
      <c r="X11114" s="37">
        <v>0.22700000000000001</v>
      </c>
      <c r="Y11114" s="38">
        <v>3.4970000000000001E-3</v>
      </c>
      <c r="Z11114" s="21">
        <v>4601004145276</v>
      </c>
    </row>
    <row r="11115" spans="1:26" ht="12" customHeight="1" outlineLevel="4" x14ac:dyDescent="0.2">
      <c r="A11115" s="14" t="s">
        <v>21124</v>
      </c>
      <c r="B11115" s="26" t="s">
        <v>21125</v>
      </c>
      <c r="C11115" s="52"/>
      <c r="D11115" s="55">
        <f t="shared" si="173"/>
        <v>0</v>
      </c>
      <c r="E11115" s="63" t="str">
        <f>HYPERLINK("https://www.sds-group.ru/product/derevyannaya-figurka-s-podsvetkoy-snegovik-18-sm-neon-night-504-017/", "Инфо")</f>
        <v>Инфо</v>
      </c>
      <c r="F11115" s="16" t="s">
        <v>39</v>
      </c>
      <c r="G11115" s="15"/>
      <c r="H11115" s="15"/>
      <c r="I11115" s="15"/>
      <c r="J11115" s="17">
        <v>365</v>
      </c>
      <c r="K11115" s="15"/>
      <c r="L11115" s="17">
        <v>1</v>
      </c>
      <c r="M11115" s="17">
        <v>96</v>
      </c>
      <c r="N11115" s="17">
        <v>1</v>
      </c>
      <c r="O11115" s="18">
        <v>672.41</v>
      </c>
      <c r="P11115" s="18">
        <v>551.16</v>
      </c>
      <c r="Q11115" s="18">
        <v>537.92999999999995</v>
      </c>
      <c r="R11115" s="18">
        <v>440.93</v>
      </c>
      <c r="S11115" s="18">
        <v>457.24</v>
      </c>
      <c r="T11115" s="18">
        <v>374.79</v>
      </c>
      <c r="U11115" s="16"/>
      <c r="V11115" s="16"/>
      <c r="W11115" s="16" t="s">
        <v>40</v>
      </c>
      <c r="X11115" s="19">
        <v>0.08</v>
      </c>
      <c r="Y11115" s="20">
        <v>8.6799999999999996E-4</v>
      </c>
      <c r="Z11115" s="21">
        <v>4601004180789</v>
      </c>
    </row>
    <row r="11116" spans="1:26" ht="12" customHeight="1" outlineLevel="4" x14ac:dyDescent="0.2">
      <c r="A11116" s="32" t="s">
        <v>21126</v>
      </c>
      <c r="B11116" s="74" t="s">
        <v>21127</v>
      </c>
      <c r="C11116" s="50"/>
      <c r="D11116" s="53">
        <f t="shared" si="173"/>
        <v>0</v>
      </c>
      <c r="E11116" s="60" t="str">
        <f>HYPERLINK("https://www.sds-group.ru/product/derevyannye-prischepki-zvezdochki-16x4-5x1-3-cm-biryuzovye-6-sht-neon-night-504-033/", "Инфо")</f>
        <v>Инфо</v>
      </c>
      <c r="F11116" s="34" t="s">
        <v>39</v>
      </c>
      <c r="G11116" s="33"/>
      <c r="H11116" s="33" t="s">
        <v>40</v>
      </c>
      <c r="I11116" s="33"/>
      <c r="J11116" s="35">
        <v>12</v>
      </c>
      <c r="K11116" s="33"/>
      <c r="L11116" s="35">
        <v>1</v>
      </c>
      <c r="M11116" s="35">
        <v>300</v>
      </c>
      <c r="N11116" s="35">
        <v>1</v>
      </c>
      <c r="O11116" s="36">
        <v>188.97</v>
      </c>
      <c r="P11116" s="36">
        <v>154.88999999999999</v>
      </c>
      <c r="Q11116" s="36">
        <v>132.28</v>
      </c>
      <c r="R11116" s="36">
        <v>108.43</v>
      </c>
      <c r="S11116" s="36">
        <v>128.5</v>
      </c>
      <c r="T11116" s="36">
        <v>105.33</v>
      </c>
      <c r="U11116" s="34"/>
      <c r="V11116" s="34"/>
      <c r="W11116" s="34"/>
      <c r="X11116" s="37">
        <v>0.02</v>
      </c>
      <c r="Y11116" s="38">
        <v>1.6200000000000001E-4</v>
      </c>
      <c r="Z11116" s="21">
        <v>4601004180819</v>
      </c>
    </row>
    <row r="11117" spans="1:26" ht="12" customHeight="1" outlineLevel="4" x14ac:dyDescent="0.2">
      <c r="A11117" s="14" t="s">
        <v>21128</v>
      </c>
      <c r="B11117" s="26" t="s">
        <v>21129</v>
      </c>
      <c r="C11117" s="52"/>
      <c r="D11117" s="55">
        <f t="shared" si="173"/>
        <v>0</v>
      </c>
      <c r="E11117" s="63" t="str">
        <f>HYPERLINK("https://www.sds-group.ru/product/derevyannye-prischepki-zvezdochki-16x4-5x1-3-cm-rozovye-6-sht-neon-night-504-034/", "Инфо")</f>
        <v>Инфо</v>
      </c>
      <c r="F11117" s="16" t="s">
        <v>39</v>
      </c>
      <c r="G11117" s="15"/>
      <c r="H11117" s="15"/>
      <c r="I11117" s="15"/>
      <c r="J11117" s="17">
        <v>12</v>
      </c>
      <c r="K11117" s="15"/>
      <c r="L11117" s="17">
        <v>1</v>
      </c>
      <c r="M11117" s="17">
        <v>300</v>
      </c>
      <c r="N11117" s="17">
        <v>1</v>
      </c>
      <c r="O11117" s="18">
        <v>188.97</v>
      </c>
      <c r="P11117" s="18">
        <v>154.88999999999999</v>
      </c>
      <c r="Q11117" s="18">
        <v>160.62</v>
      </c>
      <c r="R11117" s="18">
        <v>131.66</v>
      </c>
      <c r="S11117" s="18">
        <v>128.5</v>
      </c>
      <c r="T11117" s="18">
        <v>105.33</v>
      </c>
      <c r="U11117" s="16"/>
      <c r="V11117" s="16"/>
      <c r="W11117" s="16" t="s">
        <v>40</v>
      </c>
      <c r="X11117" s="19">
        <v>2.1000000000000001E-2</v>
      </c>
      <c r="Y11117" s="20">
        <v>1.6200000000000001E-4</v>
      </c>
      <c r="Z11117" s="21">
        <v>4601004180826</v>
      </c>
    </row>
    <row r="11118" spans="1:26" ht="12.95" customHeight="1" outlineLevel="3" x14ac:dyDescent="0.2">
      <c r="A11118" s="76" t="s">
        <v>21130</v>
      </c>
      <c r="B11118" s="76"/>
      <c r="C11118" s="77"/>
      <c r="D11118" s="58"/>
      <c r="E11118" s="68"/>
      <c r="F11118" s="13"/>
      <c r="G11118" s="13"/>
      <c r="H11118" s="13"/>
      <c r="I11118" s="13"/>
      <c r="J11118" s="13"/>
      <c r="K11118" s="13"/>
      <c r="L11118" s="13"/>
      <c r="M11118" s="13"/>
      <c r="N11118" s="13"/>
      <c r="O11118" s="13"/>
      <c r="P11118" s="13"/>
      <c r="Q11118" s="13"/>
      <c r="R11118" s="13"/>
      <c r="S11118" s="13"/>
      <c r="T11118" s="13"/>
      <c r="U11118" s="13"/>
      <c r="V11118" s="13"/>
      <c r="W11118" s="13"/>
      <c r="X11118" s="13"/>
      <c r="Y11118" s="13"/>
      <c r="Z11118" s="13"/>
    </row>
    <row r="11119" spans="1:26" ht="12" customHeight="1" outlineLevel="4" x14ac:dyDescent="0.2">
      <c r="A11119" s="32" t="s">
        <v>21131</v>
      </c>
      <c r="B11119" s="74" t="s">
        <v>21132</v>
      </c>
      <c r="C11119" s="50"/>
      <c r="D11119" s="53">
        <f t="shared" si="173"/>
        <v>0</v>
      </c>
      <c r="E11119" s="60" t="str">
        <f>HYPERLINK("https://www.sds-group.ru/product/keramicheskaya-figurka-ded-moroz-v-sanyah-30-5h12-2h17-2-sm-505-029/", "Инфо")</f>
        <v>Инфо</v>
      </c>
      <c r="F11119" s="34" t="s">
        <v>39</v>
      </c>
      <c r="G11119" s="33"/>
      <c r="H11119" s="33" t="s">
        <v>40</v>
      </c>
      <c r="I11119" s="33"/>
      <c r="J11119" s="35">
        <v>14</v>
      </c>
      <c r="K11119" s="33"/>
      <c r="L11119" s="35">
        <v>1</v>
      </c>
      <c r="M11119" s="35">
        <v>8</v>
      </c>
      <c r="N11119" s="35">
        <v>1</v>
      </c>
      <c r="O11119" s="36">
        <v>1629.96</v>
      </c>
      <c r="P11119" s="36">
        <v>1336.03</v>
      </c>
      <c r="Q11119" s="36">
        <v>1140.97</v>
      </c>
      <c r="R11119" s="36">
        <v>935.22</v>
      </c>
      <c r="S11119" s="36">
        <v>1108.3699999999999</v>
      </c>
      <c r="T11119" s="36">
        <v>908.5</v>
      </c>
      <c r="U11119" s="34"/>
      <c r="V11119" s="34"/>
      <c r="W11119" s="34"/>
      <c r="X11119" s="37">
        <v>1.292</v>
      </c>
      <c r="Y11119" s="38">
        <v>7.1520000000000004E-3</v>
      </c>
      <c r="Z11119" s="21">
        <v>4601004146419</v>
      </c>
    </row>
    <row r="11120" spans="1:26" ht="12" customHeight="1" outlineLevel="4" x14ac:dyDescent="0.2">
      <c r="A11120" s="32" t="s">
        <v>21133</v>
      </c>
      <c r="B11120" s="74" t="s">
        <v>21134</v>
      </c>
      <c r="C11120" s="50"/>
      <c r="D11120" s="53">
        <f t="shared" si="173"/>
        <v>0</v>
      </c>
      <c r="E11120" s="60" t="str">
        <f>HYPERLINK("https://www.sds-group.ru/product/keramicheskaya-figurka-ded-moroz-na-kone-35h15h39-8-sm-505-012/", "Инфо")</f>
        <v>Инфо</v>
      </c>
      <c r="F11120" s="34" t="s">
        <v>39</v>
      </c>
      <c r="G11120" s="33"/>
      <c r="H11120" s="33" t="s">
        <v>40</v>
      </c>
      <c r="I11120" s="33"/>
      <c r="J11120" s="34" t="s">
        <v>100</v>
      </c>
      <c r="K11120" s="33"/>
      <c r="L11120" s="35">
        <v>2</v>
      </c>
      <c r="M11120" s="35">
        <v>2</v>
      </c>
      <c r="N11120" s="35">
        <v>2</v>
      </c>
      <c r="O11120" s="36">
        <v>4777.12</v>
      </c>
      <c r="P11120" s="36">
        <v>3915.67</v>
      </c>
      <c r="Q11120" s="36">
        <v>3343.98</v>
      </c>
      <c r="R11120" s="36">
        <v>2740.97</v>
      </c>
      <c r="S11120" s="36">
        <v>3248.44</v>
      </c>
      <c r="T11120" s="36">
        <v>2662.66</v>
      </c>
      <c r="U11120" s="34"/>
      <c r="V11120" s="34"/>
      <c r="W11120" s="34"/>
      <c r="X11120" s="37">
        <v>3.4980000000000002</v>
      </c>
      <c r="Y11120" s="38">
        <v>2.6505999999999998E-2</v>
      </c>
      <c r="Z11120" s="21">
        <v>4601004146471</v>
      </c>
    </row>
    <row r="11121" spans="1:26" ht="12" customHeight="1" outlineLevel="4" x14ac:dyDescent="0.2">
      <c r="A11121" s="32" t="s">
        <v>21135</v>
      </c>
      <c r="B11121" s="74" t="s">
        <v>21136</v>
      </c>
      <c r="C11121" s="50"/>
      <c r="D11121" s="53">
        <f t="shared" si="173"/>
        <v>0</v>
      </c>
      <c r="E11121" s="60" t="str">
        <f>HYPERLINK("https://www.sds-group.ru/product/keramicheskaya-figurka-domik-8x7x11-sm-505-022/", "Инфо")</f>
        <v>Инфо</v>
      </c>
      <c r="F11121" s="34" t="s">
        <v>39</v>
      </c>
      <c r="G11121" s="33"/>
      <c r="H11121" s="33" t="s">
        <v>40</v>
      </c>
      <c r="I11121" s="33"/>
      <c r="J11121" s="34" t="s">
        <v>100</v>
      </c>
      <c r="K11121" s="33"/>
      <c r="L11121" s="35">
        <v>1</v>
      </c>
      <c r="M11121" s="35">
        <v>72</v>
      </c>
      <c r="N11121" s="35">
        <v>1</v>
      </c>
      <c r="O11121" s="36">
        <v>402.91</v>
      </c>
      <c r="P11121" s="36">
        <v>330.25</v>
      </c>
      <c r="Q11121" s="36">
        <v>282.04000000000002</v>
      </c>
      <c r="R11121" s="36">
        <v>231.18</v>
      </c>
      <c r="S11121" s="36">
        <v>273.98</v>
      </c>
      <c r="T11121" s="36">
        <v>224.57</v>
      </c>
      <c r="U11121" s="34"/>
      <c r="V11121" s="34"/>
      <c r="W11121" s="34"/>
      <c r="X11121" s="37">
        <v>0.19900000000000001</v>
      </c>
      <c r="Y11121" s="38">
        <v>7.54E-4</v>
      </c>
      <c r="Z11121" s="21">
        <v>4601004131118</v>
      </c>
    </row>
    <row r="11122" spans="1:26" ht="12" customHeight="1" outlineLevel="4" x14ac:dyDescent="0.2">
      <c r="A11122" s="32" t="s">
        <v>21137</v>
      </c>
      <c r="B11122" s="74" t="s">
        <v>21138</v>
      </c>
      <c r="C11122" s="50"/>
      <c r="D11122" s="53">
        <f t="shared" si="173"/>
        <v>0</v>
      </c>
      <c r="E11122" s="60" t="str">
        <f>HYPERLINK("https://www.sds-group.ru/product/keramicheskaya-figurka-domik-so-snegovikom-26-2h9-5h23-3-sm-505-007/", "Инфо")</f>
        <v>Инфо</v>
      </c>
      <c r="F11122" s="34" t="s">
        <v>39</v>
      </c>
      <c r="G11122" s="33"/>
      <c r="H11122" s="33" t="s">
        <v>40</v>
      </c>
      <c r="I11122" s="33"/>
      <c r="J11122" s="34" t="s">
        <v>100</v>
      </c>
      <c r="K11122" s="33"/>
      <c r="L11122" s="35">
        <v>1</v>
      </c>
      <c r="M11122" s="35">
        <v>10</v>
      </c>
      <c r="N11122" s="35">
        <v>1</v>
      </c>
      <c r="O11122" s="36">
        <v>1584.28</v>
      </c>
      <c r="P11122" s="36">
        <v>1298.5899999999999</v>
      </c>
      <c r="Q11122" s="36">
        <v>1109</v>
      </c>
      <c r="R11122" s="36">
        <v>909.02</v>
      </c>
      <c r="S11122" s="36">
        <v>1077.31</v>
      </c>
      <c r="T11122" s="36">
        <v>883.04</v>
      </c>
      <c r="U11122" s="34"/>
      <c r="V11122" s="34"/>
      <c r="W11122" s="34"/>
      <c r="X11122" s="37">
        <v>1.196</v>
      </c>
      <c r="Y11122" s="38">
        <v>7.7790000000000003E-3</v>
      </c>
      <c r="Z11122" s="21">
        <v>4601004146440</v>
      </c>
    </row>
    <row r="11123" spans="1:26" ht="12" customHeight="1" outlineLevel="4" x14ac:dyDescent="0.2">
      <c r="A11123" s="32" t="s">
        <v>21139</v>
      </c>
      <c r="B11123" s="74" t="s">
        <v>21140</v>
      </c>
      <c r="C11123" s="50"/>
      <c r="D11123" s="53">
        <f t="shared" si="173"/>
        <v>0</v>
      </c>
      <c r="E11123" s="60" t="str">
        <f>HYPERLINK("https://www.sds-group.ru/product/keramicheskiy-podsvechnik-parovoz-17-1h7-1h14-7-sm-501-070/", "Инфо")</f>
        <v>Инфо</v>
      </c>
      <c r="F11123" s="34" t="s">
        <v>39</v>
      </c>
      <c r="G11123" s="33"/>
      <c r="H11123" s="33" t="s">
        <v>40</v>
      </c>
      <c r="I11123" s="33"/>
      <c r="J11123" s="34" t="s">
        <v>100</v>
      </c>
      <c r="K11123" s="33"/>
      <c r="L11123" s="35">
        <v>1</v>
      </c>
      <c r="M11123" s="35">
        <v>24</v>
      </c>
      <c r="N11123" s="35">
        <v>1</v>
      </c>
      <c r="O11123" s="36">
        <v>577.70000000000005</v>
      </c>
      <c r="P11123" s="36">
        <v>473.52</v>
      </c>
      <c r="Q11123" s="36">
        <v>404.39</v>
      </c>
      <c r="R11123" s="36">
        <v>331.47</v>
      </c>
      <c r="S11123" s="36">
        <v>392.84</v>
      </c>
      <c r="T11123" s="36">
        <v>322</v>
      </c>
      <c r="U11123" s="34"/>
      <c r="V11123" s="34"/>
      <c r="W11123" s="34"/>
      <c r="X11123" s="37">
        <v>0.57499999999999996</v>
      </c>
      <c r="Y11123" s="38">
        <v>2.0720000000000001E-3</v>
      </c>
      <c r="Z11123" s="21">
        <v>4601004146501</v>
      </c>
    </row>
    <row r="11124" spans="1:26" ht="12" customHeight="1" outlineLevel="4" x14ac:dyDescent="0.2">
      <c r="A11124" s="32" t="s">
        <v>21141</v>
      </c>
      <c r="B11124" s="74" t="s">
        <v>21142</v>
      </c>
      <c r="C11124" s="50"/>
      <c r="D11124" s="53">
        <f t="shared" si="173"/>
        <v>0</v>
      </c>
      <c r="E11124" s="60" t="str">
        <f>HYPERLINK("https://www.sds-group.ru/product/keramicheskiy-podsvechnik-svechka-12-5h6h19-3-sm-501-074/", "Инфо")</f>
        <v>Инфо</v>
      </c>
      <c r="F11124" s="34" t="s">
        <v>39</v>
      </c>
      <c r="G11124" s="33"/>
      <c r="H11124" s="33" t="s">
        <v>40</v>
      </c>
      <c r="I11124" s="33"/>
      <c r="J11124" s="34" t="s">
        <v>100</v>
      </c>
      <c r="K11124" s="33"/>
      <c r="L11124" s="35">
        <v>1</v>
      </c>
      <c r="M11124" s="35">
        <v>24</v>
      </c>
      <c r="N11124" s="35">
        <v>1</v>
      </c>
      <c r="O11124" s="36">
        <v>467.94</v>
      </c>
      <c r="P11124" s="36">
        <v>383.56</v>
      </c>
      <c r="Q11124" s="36">
        <v>327.56</v>
      </c>
      <c r="R11124" s="36">
        <v>268.49</v>
      </c>
      <c r="S11124" s="36">
        <v>318.2</v>
      </c>
      <c r="T11124" s="36">
        <v>260.82</v>
      </c>
      <c r="U11124" s="34"/>
      <c r="V11124" s="34"/>
      <c r="W11124" s="34"/>
      <c r="X11124" s="37">
        <v>0.55000000000000004</v>
      </c>
      <c r="Y11124" s="38">
        <v>1.7589999999999999E-3</v>
      </c>
      <c r="Z11124" s="21">
        <v>4601004146549</v>
      </c>
    </row>
    <row r="11125" spans="1:26" ht="12.95" customHeight="1" outlineLevel="3" x14ac:dyDescent="0.2">
      <c r="A11125" s="76" t="s">
        <v>21143</v>
      </c>
      <c r="B11125" s="76"/>
      <c r="C11125" s="77"/>
      <c r="D11125" s="58"/>
      <c r="E11125" s="68"/>
      <c r="F11125" s="13"/>
      <c r="G11125" s="13"/>
      <c r="H11125" s="13"/>
      <c r="I11125" s="13"/>
      <c r="J11125" s="13"/>
      <c r="K11125" s="13"/>
      <c r="L11125" s="13"/>
      <c r="M11125" s="13"/>
      <c r="N11125" s="13"/>
      <c r="O11125" s="13"/>
      <c r="P11125" s="13"/>
      <c r="Q11125" s="13"/>
      <c r="R11125" s="13"/>
      <c r="S11125" s="13"/>
      <c r="T11125" s="13"/>
      <c r="U11125" s="13"/>
      <c r="V11125" s="13"/>
      <c r="W11125" s="13"/>
      <c r="X11125" s="13"/>
      <c r="Y11125" s="13"/>
      <c r="Z11125" s="13"/>
    </row>
    <row r="11126" spans="1:26" ht="12" customHeight="1" outlineLevel="4" x14ac:dyDescent="0.2">
      <c r="A11126" s="14" t="s">
        <v>21144</v>
      </c>
      <c r="B11126" s="26" t="s">
        <v>21145</v>
      </c>
      <c r="C11126" s="52"/>
      <c r="D11126" s="55">
        <f t="shared" si="173"/>
        <v>0</v>
      </c>
      <c r="E11126" s="63" t="str">
        <f>HYPERLINK("https://www.sds-group.ru/product/svetodiodnaya-podvesnaya-figura-zvezda-na-metallicheskom-karkase-tsvet-teplyy-belyy-neon-nig-501-057/", "Инфо")</f>
        <v>Инфо</v>
      </c>
      <c r="F11126" s="16" t="s">
        <v>39</v>
      </c>
      <c r="G11126" s="15"/>
      <c r="H11126" s="15"/>
      <c r="I11126" s="15"/>
      <c r="J11126" s="22">
        <v>1152</v>
      </c>
      <c r="K11126" s="15"/>
      <c r="L11126" s="17">
        <v>1</v>
      </c>
      <c r="M11126" s="17">
        <v>15</v>
      </c>
      <c r="N11126" s="17">
        <v>1</v>
      </c>
      <c r="O11126" s="18">
        <v>537.92999999999995</v>
      </c>
      <c r="P11126" s="18">
        <v>440.93</v>
      </c>
      <c r="Q11126" s="18">
        <v>430.34</v>
      </c>
      <c r="R11126" s="18">
        <v>352.74</v>
      </c>
      <c r="S11126" s="18">
        <v>365.79</v>
      </c>
      <c r="T11126" s="18">
        <v>299.83</v>
      </c>
      <c r="U11126" s="16"/>
      <c r="V11126" s="16"/>
      <c r="W11126" s="16" t="s">
        <v>40</v>
      </c>
      <c r="X11126" s="19">
        <v>0.126</v>
      </c>
      <c r="Y11126" s="20">
        <v>1.6459999999999999E-3</v>
      </c>
      <c r="Z11126" s="21">
        <v>4601004310292</v>
      </c>
    </row>
    <row r="11127" spans="1:26" ht="12" customHeight="1" outlineLevel="4" x14ac:dyDescent="0.2">
      <c r="A11127" s="14" t="s">
        <v>21146</v>
      </c>
      <c r="B11127" s="26" t="s">
        <v>21147</v>
      </c>
      <c r="C11127" s="52"/>
      <c r="D11127" s="55">
        <f t="shared" si="173"/>
        <v>0</v>
      </c>
      <c r="E11127" s="63" t="str">
        <f>HYPERLINK("https://www.sds-group.ru/product/svetodiodnaya-podvesnaya-figura-snezhinka-na-metallicheskom-karkase-tsvet-teplyy-belyy-neon--501-056/", "Инфо")</f>
        <v>Инфо</v>
      </c>
      <c r="F11127" s="16" t="s">
        <v>39</v>
      </c>
      <c r="G11127" s="15"/>
      <c r="H11127" s="15"/>
      <c r="I11127" s="15"/>
      <c r="J11127" s="17">
        <v>48</v>
      </c>
      <c r="K11127" s="15" t="s">
        <v>6174</v>
      </c>
      <c r="L11127" s="17">
        <v>1</v>
      </c>
      <c r="M11127" s="17">
        <v>15</v>
      </c>
      <c r="N11127" s="17">
        <v>1</v>
      </c>
      <c r="O11127" s="18">
        <v>1226.76</v>
      </c>
      <c r="P11127" s="18">
        <v>1005.54</v>
      </c>
      <c r="Q11127" s="18">
        <v>969.14</v>
      </c>
      <c r="R11127" s="18">
        <v>794.38</v>
      </c>
      <c r="S11127" s="18">
        <v>834.2</v>
      </c>
      <c r="T11127" s="18">
        <v>683.77</v>
      </c>
      <c r="U11127" s="16"/>
      <c r="V11127" s="16"/>
      <c r="W11127" s="16" t="s">
        <v>40</v>
      </c>
      <c r="X11127" s="19">
        <v>0.14499999999999999</v>
      </c>
      <c r="Y11127" s="20">
        <v>1.637E-3</v>
      </c>
      <c r="Z11127" s="21">
        <v>4601004310285</v>
      </c>
    </row>
    <row r="11128" spans="1:26" ht="12.95" customHeight="1" outlineLevel="3" x14ac:dyDescent="0.2">
      <c r="A11128" s="76" t="s">
        <v>21148</v>
      </c>
      <c r="B11128" s="76"/>
      <c r="C11128" s="77"/>
      <c r="D11128" s="58"/>
      <c r="E11128" s="68"/>
      <c r="F11128" s="13"/>
      <c r="G11128" s="13"/>
      <c r="H11128" s="13"/>
      <c r="I11128" s="13"/>
      <c r="J11128" s="13"/>
      <c r="K11128" s="13"/>
      <c r="L11128" s="13"/>
      <c r="M11128" s="13"/>
      <c r="N11128" s="13"/>
      <c r="O11128" s="13"/>
      <c r="P11128" s="13"/>
      <c r="Q11128" s="13"/>
      <c r="R11128" s="13"/>
      <c r="S11128" s="13"/>
      <c r="T11128" s="13"/>
      <c r="U11128" s="13"/>
      <c r="V11128" s="13"/>
      <c r="W11128" s="13"/>
      <c r="X11128" s="13"/>
      <c r="Y11128" s="13"/>
      <c r="Z11128" s="13"/>
    </row>
    <row r="11129" spans="1:26" ht="12" customHeight="1" outlineLevel="4" x14ac:dyDescent="0.2">
      <c r="A11129" s="14" t="s">
        <v>21149</v>
      </c>
      <c r="B11129" s="26" t="s">
        <v>21150</v>
      </c>
      <c r="C11129" s="52"/>
      <c r="D11129" s="55">
        <f t="shared" si="173"/>
        <v>0</v>
      </c>
      <c r="E11129" s="63" t="str">
        <f>HYPERLINK("https://www.sds-group.ru/product/gnomik-v-novogodnem-kolpake-20sm-tsvet-svecheniya-teplyy-belyy-pitanie-3xlr1130-v-komplekte--513-017/", "Инфо")</f>
        <v>Инфо</v>
      </c>
      <c r="F11129" s="16" t="s">
        <v>39</v>
      </c>
      <c r="G11129" s="15"/>
      <c r="H11129" s="15"/>
      <c r="I11129" s="15"/>
      <c r="J11129" s="17">
        <v>31</v>
      </c>
      <c r="K11129" s="15" t="s">
        <v>21151</v>
      </c>
      <c r="L11129" s="17">
        <v>12</v>
      </c>
      <c r="M11129" s="17">
        <v>48</v>
      </c>
      <c r="N11129" s="17">
        <v>12</v>
      </c>
      <c r="O11129" s="18">
        <v>403.18</v>
      </c>
      <c r="P11129" s="18">
        <v>330.48</v>
      </c>
      <c r="Q11129" s="18">
        <v>322.54000000000002</v>
      </c>
      <c r="R11129" s="18">
        <v>264.38</v>
      </c>
      <c r="S11129" s="18">
        <v>274.16000000000003</v>
      </c>
      <c r="T11129" s="18">
        <v>224.72</v>
      </c>
      <c r="U11129" s="16"/>
      <c r="V11129" s="16"/>
      <c r="W11129" s="16" t="s">
        <v>40</v>
      </c>
      <c r="X11129" s="19">
        <v>5.8000000000000003E-2</v>
      </c>
      <c r="Y11129" s="20">
        <v>7.5699999999999997E-4</v>
      </c>
      <c r="Z11129" s="21">
        <v>4601004308930</v>
      </c>
    </row>
    <row r="11130" spans="1:26" ht="12" customHeight="1" outlineLevel="4" x14ac:dyDescent="0.2">
      <c r="A11130" s="14" t="s">
        <v>21152</v>
      </c>
      <c r="B11130" s="26" t="s">
        <v>21153</v>
      </c>
      <c r="C11130" s="52"/>
      <c r="D11130" s="55">
        <f t="shared" si="173"/>
        <v>0</v>
      </c>
      <c r="E11130" s="63" t="str">
        <f>HYPERLINK("https://www.sds-group.ru/product/figura-svetodiodnaya-elochka-15-sm-rgb-513-022/", "Инфо")</f>
        <v>Инфо</v>
      </c>
      <c r="F11130" s="16" t="s">
        <v>39</v>
      </c>
      <c r="G11130" s="15"/>
      <c r="H11130" s="15"/>
      <c r="I11130" s="15"/>
      <c r="J11130" s="17">
        <v>28</v>
      </c>
      <c r="K11130" s="15" t="s">
        <v>6181</v>
      </c>
      <c r="L11130" s="17">
        <v>5</v>
      </c>
      <c r="M11130" s="17">
        <v>72</v>
      </c>
      <c r="N11130" s="17">
        <v>5</v>
      </c>
      <c r="O11130" s="18">
        <v>315.8</v>
      </c>
      <c r="P11130" s="18">
        <v>258.85000000000002</v>
      </c>
      <c r="Q11130" s="18">
        <v>221.06</v>
      </c>
      <c r="R11130" s="18">
        <v>181.2</v>
      </c>
      <c r="S11130" s="18">
        <v>214.74</v>
      </c>
      <c r="T11130" s="18">
        <v>176.02</v>
      </c>
      <c r="U11130" s="16"/>
      <c r="V11130" s="16"/>
      <c r="W11130" s="16"/>
      <c r="X11130" s="19">
        <v>7.6999999999999999E-2</v>
      </c>
      <c r="Y11130" s="20">
        <v>6.8999999999999997E-4</v>
      </c>
      <c r="Z11130" s="21">
        <v>4601004016545</v>
      </c>
    </row>
    <row r="11131" spans="1:26" ht="12" customHeight="1" outlineLevel="4" x14ac:dyDescent="0.2">
      <c r="A11131" s="14" t="s">
        <v>21154</v>
      </c>
      <c r="B11131" s="26" t="s">
        <v>21155</v>
      </c>
      <c r="C11131" s="52"/>
      <c r="D11131" s="55">
        <f t="shared" si="173"/>
        <v>0</v>
      </c>
      <c r="E11131" s="63" t="str">
        <f>HYPERLINK("https://www.sds-group.ru/product/figura-svetodiodnaya-elochka-20-sm-rgb-513-023/", "Инфо")</f>
        <v>Инфо</v>
      </c>
      <c r="F11131" s="16" t="s">
        <v>39</v>
      </c>
      <c r="G11131" s="15"/>
      <c r="H11131" s="15"/>
      <c r="I11131" s="15"/>
      <c r="J11131" s="17">
        <v>7</v>
      </c>
      <c r="K11131" s="15" t="s">
        <v>6181</v>
      </c>
      <c r="L11131" s="17">
        <v>5</v>
      </c>
      <c r="M11131" s="17">
        <v>96</v>
      </c>
      <c r="N11131" s="17">
        <v>5</v>
      </c>
      <c r="O11131" s="18">
        <v>537.92999999999995</v>
      </c>
      <c r="P11131" s="18">
        <v>440.93</v>
      </c>
      <c r="Q11131" s="18">
        <v>376.55</v>
      </c>
      <c r="R11131" s="18">
        <v>308.64999999999998</v>
      </c>
      <c r="S11131" s="18">
        <v>365.79</v>
      </c>
      <c r="T11131" s="18">
        <v>299.83</v>
      </c>
      <c r="U11131" s="16"/>
      <c r="V11131" s="16"/>
      <c r="W11131" s="16"/>
      <c r="X11131" s="19">
        <v>0.11</v>
      </c>
      <c r="Y11131" s="20">
        <v>7.9900000000000001E-4</v>
      </c>
      <c r="Z11131" s="21">
        <v>4601004016552</v>
      </c>
    </row>
    <row r="11132" spans="1:26" ht="12" customHeight="1" outlineLevel="4" x14ac:dyDescent="0.2">
      <c r="A11132" s="32" t="s">
        <v>21156</v>
      </c>
      <c r="B11132" s="74" t="s">
        <v>21157</v>
      </c>
      <c r="C11132" s="50"/>
      <c r="D11132" s="53">
        <f t="shared" si="173"/>
        <v>0</v>
      </c>
      <c r="E11132" s="60" t="str">
        <f>HYPERLINK("https://www.sds-group.ru/product/figura-svetodiodnaya-elochka-25-sm-rgb-513-024/", "Инфо")</f>
        <v>Инфо</v>
      </c>
      <c r="F11132" s="34" t="s">
        <v>39</v>
      </c>
      <c r="G11132" s="33"/>
      <c r="H11132" s="33" t="s">
        <v>40</v>
      </c>
      <c r="I11132" s="33"/>
      <c r="J11132" s="35">
        <v>1</v>
      </c>
      <c r="K11132" s="33"/>
      <c r="L11132" s="35">
        <v>1</v>
      </c>
      <c r="M11132" s="35">
        <v>12</v>
      </c>
      <c r="N11132" s="35">
        <v>1</v>
      </c>
      <c r="O11132" s="36">
        <v>807.43</v>
      </c>
      <c r="P11132" s="36">
        <v>661.83</v>
      </c>
      <c r="Q11132" s="36">
        <v>565.20000000000005</v>
      </c>
      <c r="R11132" s="36">
        <v>463.28</v>
      </c>
      <c r="S11132" s="36">
        <v>549.04999999999995</v>
      </c>
      <c r="T11132" s="36">
        <v>450.04</v>
      </c>
      <c r="U11132" s="34"/>
      <c r="V11132" s="34"/>
      <c r="W11132" s="34"/>
      <c r="X11132" s="37">
        <v>0.20699999999999999</v>
      </c>
      <c r="Y11132" s="38">
        <v>2.3879999999999999E-3</v>
      </c>
      <c r="Z11132" s="21">
        <v>4601004016569</v>
      </c>
    </row>
    <row r="11133" spans="1:26" ht="12" customHeight="1" outlineLevel="4" x14ac:dyDescent="0.2">
      <c r="A11133" s="32" t="s">
        <v>21158</v>
      </c>
      <c r="B11133" s="74" t="s">
        <v>21159</v>
      </c>
      <c r="C11133" s="50"/>
      <c r="D11133" s="53">
        <f t="shared" si="173"/>
        <v>0</v>
      </c>
      <c r="E11133" s="60" t="str">
        <f>HYPERLINK("https://www.sds-group.ru/product/figura-svetodiodnaya-na-podstavke-elochka-kristall-rgb-501-051/", "Инфо")</f>
        <v>Инфо</v>
      </c>
      <c r="F11133" s="34" t="s">
        <v>39</v>
      </c>
      <c r="G11133" s="33"/>
      <c r="H11133" s="33" t="s">
        <v>40</v>
      </c>
      <c r="I11133" s="33"/>
      <c r="J11133" s="34" t="s">
        <v>100</v>
      </c>
      <c r="K11133" s="33"/>
      <c r="L11133" s="35">
        <v>1</v>
      </c>
      <c r="M11133" s="35">
        <v>96</v>
      </c>
      <c r="N11133" s="35">
        <v>1</v>
      </c>
      <c r="O11133" s="36">
        <v>254.05</v>
      </c>
      <c r="P11133" s="36">
        <v>208.24</v>
      </c>
      <c r="Q11133" s="36">
        <v>177.84</v>
      </c>
      <c r="R11133" s="36">
        <v>145.77000000000001</v>
      </c>
      <c r="S11133" s="36">
        <v>172.75</v>
      </c>
      <c r="T11133" s="36">
        <v>141.6</v>
      </c>
      <c r="U11133" s="34"/>
      <c r="V11133" s="34"/>
      <c r="W11133" s="34"/>
      <c r="X11133" s="37">
        <v>3.3000000000000002E-2</v>
      </c>
      <c r="Y11133" s="38">
        <v>2.14E-4</v>
      </c>
      <c r="Z11133" s="21">
        <v>4601004089457</v>
      </c>
    </row>
    <row r="11134" spans="1:26" ht="12" customHeight="1" outlineLevel="4" x14ac:dyDescent="0.2">
      <c r="A11134" s="14" t="s">
        <v>21160</v>
      </c>
      <c r="B11134" s="26" t="s">
        <v>21161</v>
      </c>
      <c r="C11134" s="52"/>
      <c r="D11134" s="55">
        <f t="shared" si="173"/>
        <v>0</v>
      </c>
      <c r="E11134" s="63" t="str">
        <f>HYPERLINK("https://www.sds-group.ru/product/metallicheskaya-3d-figura-elochka-45sm-tsvet-svecheniya-teplyy-belyy-pitanie-3haa-ne-v-kompl-513-029/", "Инфо")</f>
        <v>Инфо</v>
      </c>
      <c r="F11134" s="16" t="s">
        <v>39</v>
      </c>
      <c r="G11134" s="15"/>
      <c r="H11134" s="15"/>
      <c r="I11134" s="15"/>
      <c r="J11134" s="16" t="s">
        <v>100</v>
      </c>
      <c r="K11134" s="15"/>
      <c r="L11134" s="17">
        <v>1</v>
      </c>
      <c r="M11134" s="17">
        <v>4</v>
      </c>
      <c r="N11134" s="17">
        <v>1</v>
      </c>
      <c r="O11134" s="18">
        <v>1738.3</v>
      </c>
      <c r="P11134" s="18">
        <v>1424.84</v>
      </c>
      <c r="Q11134" s="18">
        <v>1216.81</v>
      </c>
      <c r="R11134" s="18">
        <v>997.39</v>
      </c>
      <c r="S11134" s="18">
        <v>1182.04</v>
      </c>
      <c r="T11134" s="18">
        <v>968.89</v>
      </c>
      <c r="U11134" s="16"/>
      <c r="V11134" s="16"/>
      <c r="W11134" s="16"/>
      <c r="X11134" s="19">
        <v>0.57199999999999995</v>
      </c>
      <c r="Y11134" s="20">
        <v>1.7326999999999999E-2</v>
      </c>
      <c r="Z11134" s="21">
        <v>4601004305083</v>
      </c>
    </row>
    <row r="11135" spans="1:26" ht="12" customHeight="1" outlineLevel="4" x14ac:dyDescent="0.2">
      <c r="A11135" s="14" t="s">
        <v>21162</v>
      </c>
      <c r="B11135" s="26" t="s">
        <v>21163</v>
      </c>
      <c r="C11135" s="52"/>
      <c r="D11135" s="55">
        <f t="shared" si="173"/>
        <v>0</v>
      </c>
      <c r="E11135" s="63" t="str">
        <f>HYPERLINK("https://www.sds-group.ru/product/metallicheskaya-3d-figura-zvezda-35sm-tsvet-svecheniya-teplyy-belyy-pitanie-3haa-ne-v-komple-513-706/", "Инфо")</f>
        <v>Инфо</v>
      </c>
      <c r="F11135" s="16" t="s">
        <v>39</v>
      </c>
      <c r="G11135" s="15"/>
      <c r="H11135" s="15"/>
      <c r="I11135" s="15"/>
      <c r="J11135" s="17">
        <v>13</v>
      </c>
      <c r="K11135" s="15"/>
      <c r="L11135" s="17">
        <v>1</v>
      </c>
      <c r="M11135" s="17">
        <v>8</v>
      </c>
      <c r="N11135" s="17">
        <v>1</v>
      </c>
      <c r="O11135" s="18">
        <v>2786.04</v>
      </c>
      <c r="P11135" s="18">
        <v>2283.64</v>
      </c>
      <c r="Q11135" s="18">
        <v>2145.25</v>
      </c>
      <c r="R11135" s="18">
        <v>1758.4</v>
      </c>
      <c r="S11135" s="18">
        <v>1894.51</v>
      </c>
      <c r="T11135" s="18">
        <v>1552.88</v>
      </c>
      <c r="U11135" s="16"/>
      <c r="V11135" s="16"/>
      <c r="W11135" s="16" t="s">
        <v>40</v>
      </c>
      <c r="X11135" s="19">
        <v>0.49399999999999999</v>
      </c>
      <c r="Y11135" s="20">
        <v>8.9119999999999998E-3</v>
      </c>
      <c r="Z11135" s="21">
        <v>4601004305113</v>
      </c>
    </row>
    <row r="11136" spans="1:26" ht="12" customHeight="1" outlineLevel="4" x14ac:dyDescent="0.2">
      <c r="A11136" s="32" t="s">
        <v>21164</v>
      </c>
      <c r="B11136" s="74" t="s">
        <v>21165</v>
      </c>
      <c r="C11136" s="50"/>
      <c r="D11136" s="53">
        <f t="shared" si="173"/>
        <v>0</v>
      </c>
      <c r="E11136" s="60" t="str">
        <f>HYPERLINK("https://www.sds-group.ru/product/figura-svetodiodnaya-na-podstavke-mishka-2d-rgb-501-047/", "Инфо")</f>
        <v>Инфо</v>
      </c>
      <c r="F11136" s="34" t="s">
        <v>39</v>
      </c>
      <c r="G11136" s="33"/>
      <c r="H11136" s="33" t="s">
        <v>40</v>
      </c>
      <c r="I11136" s="33"/>
      <c r="J11136" s="34" t="s">
        <v>100</v>
      </c>
      <c r="K11136" s="33"/>
      <c r="L11136" s="35">
        <v>1</v>
      </c>
      <c r="M11136" s="35">
        <v>96</v>
      </c>
      <c r="N11136" s="35">
        <v>1</v>
      </c>
      <c r="O11136" s="36">
        <v>216.31</v>
      </c>
      <c r="P11136" s="36">
        <v>177.3</v>
      </c>
      <c r="Q11136" s="36">
        <v>151.41999999999999</v>
      </c>
      <c r="R11136" s="36">
        <v>124.11</v>
      </c>
      <c r="S11136" s="36">
        <v>147.09</v>
      </c>
      <c r="T11136" s="36">
        <v>120.57</v>
      </c>
      <c r="U11136" s="34"/>
      <c r="V11136" s="34"/>
      <c r="W11136" s="34"/>
      <c r="X11136" s="37">
        <v>0.04</v>
      </c>
      <c r="Y11136" s="38">
        <v>3.2000000000000003E-4</v>
      </c>
      <c r="Z11136" s="21">
        <v>4601004034723</v>
      </c>
    </row>
    <row r="11137" spans="1:26" ht="12" customHeight="1" outlineLevel="4" x14ac:dyDescent="0.2">
      <c r="A11137" s="14" t="s">
        <v>21166</v>
      </c>
      <c r="B11137" s="26" t="s">
        <v>21167</v>
      </c>
      <c r="C11137" s="52"/>
      <c r="D11137" s="55">
        <f t="shared" si="173"/>
        <v>0</v>
      </c>
      <c r="E11137" s="64"/>
      <c r="F11137" s="16" t="s">
        <v>4698</v>
      </c>
      <c r="G11137" s="15"/>
      <c r="H11137" s="15"/>
      <c r="I11137" s="15"/>
      <c r="J11137" s="16" t="s">
        <v>100</v>
      </c>
      <c r="K11137" s="15" t="s">
        <v>21151</v>
      </c>
      <c r="L11137" s="17">
        <v>1</v>
      </c>
      <c r="M11137" s="17">
        <v>25</v>
      </c>
      <c r="N11137" s="17">
        <v>1</v>
      </c>
      <c r="O11137" s="18">
        <v>1333.51</v>
      </c>
      <c r="P11137" s="18">
        <v>1093.04</v>
      </c>
      <c r="Q11137" s="18">
        <v>933.46</v>
      </c>
      <c r="R11137" s="18">
        <v>765.13</v>
      </c>
      <c r="S11137" s="18">
        <v>906.79</v>
      </c>
      <c r="T11137" s="18">
        <v>743.27</v>
      </c>
      <c r="U11137" s="16"/>
      <c r="V11137" s="16"/>
      <c r="W11137" s="16"/>
      <c r="X11137" s="19">
        <v>0.188</v>
      </c>
      <c r="Y11137" s="20">
        <v>1.7420000000000001E-3</v>
      </c>
      <c r="Z11137" s="21">
        <v>4601004337046</v>
      </c>
    </row>
    <row r="11138" spans="1:26" ht="12" customHeight="1" outlineLevel="4" x14ac:dyDescent="0.2">
      <c r="A11138" s="32" t="s">
        <v>21168</v>
      </c>
      <c r="B11138" s="74" t="s">
        <v>21169</v>
      </c>
      <c r="C11138" s="50"/>
      <c r="D11138" s="53">
        <f t="shared" si="173"/>
        <v>0</v>
      </c>
      <c r="E11138" s="60" t="str">
        <f>HYPERLINK("https://www.sds-group.ru/product/figura-svetodiodnaya-na-podstavke-pingvin-kristall-rgb-501-052/", "Инфо")</f>
        <v>Инфо</v>
      </c>
      <c r="F11138" s="34" t="s">
        <v>39</v>
      </c>
      <c r="G11138" s="33"/>
      <c r="H11138" s="33" t="s">
        <v>40</v>
      </c>
      <c r="I11138" s="33"/>
      <c r="J11138" s="34" t="s">
        <v>100</v>
      </c>
      <c r="K11138" s="33"/>
      <c r="L11138" s="35">
        <v>1</v>
      </c>
      <c r="M11138" s="35">
        <v>96</v>
      </c>
      <c r="N11138" s="35">
        <v>1</v>
      </c>
      <c r="O11138" s="36">
        <v>157.69</v>
      </c>
      <c r="P11138" s="36">
        <v>129.25</v>
      </c>
      <c r="Q11138" s="36">
        <v>110.38</v>
      </c>
      <c r="R11138" s="36">
        <v>90.48</v>
      </c>
      <c r="S11138" s="36">
        <v>107.23</v>
      </c>
      <c r="T11138" s="36">
        <v>87.89</v>
      </c>
      <c r="U11138" s="34"/>
      <c r="V11138" s="34"/>
      <c r="W11138" s="34"/>
      <c r="X11138" s="37">
        <v>4.3999999999999997E-2</v>
      </c>
      <c r="Y11138" s="38">
        <v>3.88E-4</v>
      </c>
      <c r="Z11138" s="21">
        <v>4601004089402</v>
      </c>
    </row>
    <row r="11139" spans="1:26" ht="12" customHeight="1" outlineLevel="4" x14ac:dyDescent="0.2">
      <c r="A11139" s="32" t="s">
        <v>21170</v>
      </c>
      <c r="B11139" s="74" t="s">
        <v>21171</v>
      </c>
      <c r="C11139" s="50"/>
      <c r="D11139" s="53">
        <f t="shared" si="173"/>
        <v>0</v>
      </c>
      <c r="E11139" s="60" t="str">
        <f>HYPERLINK("https://www.sds-group.ru/product/figura-svetodiodnaya-na-podstavke-santa-klaus-rgb-501-040/", "Инфо")</f>
        <v>Инфо</v>
      </c>
      <c r="F11139" s="34" t="s">
        <v>39</v>
      </c>
      <c r="G11139" s="33"/>
      <c r="H11139" s="33" t="s">
        <v>40</v>
      </c>
      <c r="I11139" s="33"/>
      <c r="J11139" s="34" t="s">
        <v>100</v>
      </c>
      <c r="K11139" s="33"/>
      <c r="L11139" s="35">
        <v>1</v>
      </c>
      <c r="M11139" s="35">
        <v>96</v>
      </c>
      <c r="N11139" s="35">
        <v>1</v>
      </c>
      <c r="O11139" s="36">
        <v>252.47</v>
      </c>
      <c r="P11139" s="36">
        <v>206.94</v>
      </c>
      <c r="Q11139" s="36">
        <v>176.73</v>
      </c>
      <c r="R11139" s="36">
        <v>144.86000000000001</v>
      </c>
      <c r="S11139" s="36">
        <v>171.68</v>
      </c>
      <c r="T11139" s="36">
        <v>140.72</v>
      </c>
      <c r="U11139" s="34"/>
      <c r="V11139" s="34"/>
      <c r="W11139" s="34"/>
      <c r="X11139" s="37">
        <v>6.0999999999999999E-2</v>
      </c>
      <c r="Y11139" s="38">
        <v>4.15E-4</v>
      </c>
      <c r="Z11139" s="21">
        <v>4601004034655</v>
      </c>
    </row>
    <row r="11140" spans="1:26" ht="12" customHeight="1" outlineLevel="4" x14ac:dyDescent="0.2">
      <c r="A11140" s="14" t="s">
        <v>21172</v>
      </c>
      <c r="B11140" s="26" t="s">
        <v>21173</v>
      </c>
      <c r="C11140" s="52"/>
      <c r="D11140" s="55">
        <f t="shared" si="173"/>
        <v>0</v>
      </c>
      <c r="E11140" s="63" t="str">
        <f>HYPERLINK("https://www.sds-group.ru/product/svetodiodnaya-figura-olen-21sm-tsvet-svecheniya-teplyy-belyy-pitanie-2haa-ne-v-komplekte-neo-503-225/", "Инфо")</f>
        <v>Инфо</v>
      </c>
      <c r="F11140" s="16" t="s">
        <v>39</v>
      </c>
      <c r="G11140" s="15"/>
      <c r="H11140" s="15"/>
      <c r="I11140" s="15"/>
      <c r="J11140" s="16" t="s">
        <v>100</v>
      </c>
      <c r="K11140" s="15" t="s">
        <v>8890</v>
      </c>
      <c r="L11140" s="17">
        <v>1</v>
      </c>
      <c r="M11140" s="17">
        <v>16</v>
      </c>
      <c r="N11140" s="17">
        <v>1</v>
      </c>
      <c r="O11140" s="18">
        <v>1067.24</v>
      </c>
      <c r="P11140" s="18">
        <v>874.79</v>
      </c>
      <c r="Q11140" s="18">
        <v>747.07</v>
      </c>
      <c r="R11140" s="18">
        <v>612.35</v>
      </c>
      <c r="S11140" s="18">
        <v>725.72</v>
      </c>
      <c r="T11140" s="18">
        <v>594.85</v>
      </c>
      <c r="U11140" s="16"/>
      <c r="V11140" s="16"/>
      <c r="W11140" s="16"/>
      <c r="X11140" s="19">
        <v>0.13900000000000001</v>
      </c>
      <c r="Y11140" s="20">
        <v>2.1440000000000001E-3</v>
      </c>
      <c r="Z11140" s="21">
        <v>4601004336414</v>
      </c>
    </row>
    <row r="11141" spans="1:26" ht="12" customHeight="1" outlineLevel="4" x14ac:dyDescent="0.2">
      <c r="A11141" s="14" t="s">
        <v>21174</v>
      </c>
      <c r="B11141" s="26" t="s">
        <v>21175</v>
      </c>
      <c r="C11141" s="52"/>
      <c r="D11141" s="55">
        <f t="shared" si="173"/>
        <v>0</v>
      </c>
      <c r="E11141" s="63" t="str">
        <f>HYPERLINK("https://www.sds-group.ru/product/svetodiodnaya-figura-olen-34sm-tsvet-svecheniya-teplyy-belyy-pitanie-2haa-ne-v-komplekte-neo-503-226/", "Инфо")</f>
        <v>Инфо</v>
      </c>
      <c r="F11141" s="16" t="s">
        <v>39</v>
      </c>
      <c r="G11141" s="15"/>
      <c r="H11141" s="15"/>
      <c r="I11141" s="15"/>
      <c r="J11141" s="17">
        <v>42</v>
      </c>
      <c r="K11141" s="15" t="s">
        <v>8890</v>
      </c>
      <c r="L11141" s="17">
        <v>1</v>
      </c>
      <c r="M11141" s="17">
        <v>4</v>
      </c>
      <c r="N11141" s="17">
        <v>1</v>
      </c>
      <c r="O11141" s="18">
        <v>1390.65</v>
      </c>
      <c r="P11141" s="18">
        <v>1139.8800000000001</v>
      </c>
      <c r="Q11141" s="18">
        <v>1112.52</v>
      </c>
      <c r="R11141" s="18">
        <v>911.9</v>
      </c>
      <c r="S11141" s="18">
        <v>945.64</v>
      </c>
      <c r="T11141" s="18">
        <v>775.11</v>
      </c>
      <c r="U11141" s="16"/>
      <c r="V11141" s="16"/>
      <c r="W11141" s="16" t="s">
        <v>40</v>
      </c>
      <c r="X11141" s="19">
        <v>0.39</v>
      </c>
      <c r="Y11141" s="20">
        <v>8.5059999999999997E-3</v>
      </c>
      <c r="Z11141" s="21">
        <v>4601004335790</v>
      </c>
    </row>
    <row r="11142" spans="1:26" ht="12" customHeight="1" outlineLevel="4" x14ac:dyDescent="0.2">
      <c r="A11142" s="14" t="s">
        <v>21176</v>
      </c>
      <c r="B11142" s="26" t="s">
        <v>21177</v>
      </c>
      <c r="C11142" s="52"/>
      <c r="D11142" s="55">
        <f t="shared" si="173"/>
        <v>0</v>
      </c>
      <c r="E11142" s="63" t="str">
        <f>HYPERLINK("https://www.sds-group.ru/product/svetodiodnaya-figura-olen-37sm-tsvet-svecheniya-teplyy-belyy-pitanie-3haa-ne-v-komplekte-neo-503-227/", "Инфо")</f>
        <v>Инфо</v>
      </c>
      <c r="F11142" s="16" t="s">
        <v>39</v>
      </c>
      <c r="G11142" s="15"/>
      <c r="H11142" s="15"/>
      <c r="I11142" s="15"/>
      <c r="J11142" s="17">
        <v>6</v>
      </c>
      <c r="K11142" s="15" t="s">
        <v>8890</v>
      </c>
      <c r="L11142" s="17">
        <v>1</v>
      </c>
      <c r="M11142" s="17">
        <v>4</v>
      </c>
      <c r="N11142" s="17">
        <v>1</v>
      </c>
      <c r="O11142" s="18">
        <v>1606.25</v>
      </c>
      <c r="P11142" s="18">
        <v>1316.6</v>
      </c>
      <c r="Q11142" s="18">
        <v>1285</v>
      </c>
      <c r="R11142" s="18">
        <v>1053.28</v>
      </c>
      <c r="S11142" s="18">
        <v>1092.25</v>
      </c>
      <c r="T11142" s="18">
        <v>895.29</v>
      </c>
      <c r="U11142" s="16"/>
      <c r="V11142" s="16"/>
      <c r="W11142" s="16" t="s">
        <v>40</v>
      </c>
      <c r="X11142" s="19">
        <v>0.57099999999999995</v>
      </c>
      <c r="Y11142" s="20">
        <v>1.5781E-2</v>
      </c>
      <c r="Z11142" s="21">
        <v>4601004336407</v>
      </c>
    </row>
    <row r="11143" spans="1:26" ht="12" customHeight="1" outlineLevel="4" x14ac:dyDescent="0.2">
      <c r="A11143" s="14" t="s">
        <v>21178</v>
      </c>
      <c r="B11143" s="26" t="s">
        <v>21179</v>
      </c>
      <c r="C11143" s="52"/>
      <c r="D11143" s="55">
        <f t="shared" si="173"/>
        <v>0</v>
      </c>
      <c r="E11143" s="63" t="str">
        <f>HYPERLINK("https://www.sds-group.ru/product/svetodiodnaya-figura-olen-50sm-tsvet-svecheniya-teplyy-belyy-pitanie-3haa-ne-v-komplekte-neo-503-228/", "Инфо")</f>
        <v>Инфо</v>
      </c>
      <c r="F11143" s="16" t="s">
        <v>39</v>
      </c>
      <c r="G11143" s="15"/>
      <c r="H11143" s="15"/>
      <c r="I11143" s="15"/>
      <c r="J11143" s="16" t="s">
        <v>100</v>
      </c>
      <c r="K11143" s="15" t="s">
        <v>8890</v>
      </c>
      <c r="L11143" s="17">
        <v>1</v>
      </c>
      <c r="M11143" s="17">
        <v>4</v>
      </c>
      <c r="N11143" s="17">
        <v>1</v>
      </c>
      <c r="O11143" s="18">
        <v>3234.06</v>
      </c>
      <c r="P11143" s="18">
        <v>2650.87</v>
      </c>
      <c r="Q11143" s="18">
        <v>2263.84</v>
      </c>
      <c r="R11143" s="18">
        <v>1855.61</v>
      </c>
      <c r="S11143" s="18">
        <v>2199.16</v>
      </c>
      <c r="T11143" s="18">
        <v>1802.59</v>
      </c>
      <c r="U11143" s="16"/>
      <c r="V11143" s="16"/>
      <c r="W11143" s="16"/>
      <c r="X11143" s="19">
        <v>0.751</v>
      </c>
      <c r="Y11143" s="20">
        <v>2.5613E-2</v>
      </c>
      <c r="Z11143" s="21">
        <v>4601004336353</v>
      </c>
    </row>
    <row r="11144" spans="1:26" ht="12" customHeight="1" outlineLevel="4" x14ac:dyDescent="0.2">
      <c r="A11144" s="14" t="s">
        <v>21180</v>
      </c>
      <c r="B11144" s="26" t="s">
        <v>21181</v>
      </c>
      <c r="C11144" s="52"/>
      <c r="D11144" s="55">
        <f t="shared" si="173"/>
        <v>0</v>
      </c>
      <c r="E11144" s="63" t="str">
        <f>HYPERLINK("https://www.sds-group.ru/product/svetodiodnye-figury-podarki-15-20-25-sm-tsvet-svecheniya-teplyy-belyy-pitanie-2haa-3haa-3haa-503-325/", "Инфо")</f>
        <v>Инфо</v>
      </c>
      <c r="F11144" s="16" t="s">
        <v>974</v>
      </c>
      <c r="G11144" s="15"/>
      <c r="H11144" s="15"/>
      <c r="I11144" s="15"/>
      <c r="J11144" s="16" t="s">
        <v>100</v>
      </c>
      <c r="K11144" s="15" t="s">
        <v>8890</v>
      </c>
      <c r="L11144" s="17">
        <v>1</v>
      </c>
      <c r="M11144" s="17">
        <v>4</v>
      </c>
      <c r="N11144" s="17">
        <v>1</v>
      </c>
      <c r="O11144" s="18">
        <v>6996.35</v>
      </c>
      <c r="P11144" s="18">
        <v>5734.71</v>
      </c>
      <c r="Q11144" s="18">
        <v>4897.45</v>
      </c>
      <c r="R11144" s="18">
        <v>4014.3</v>
      </c>
      <c r="S11144" s="18">
        <v>4757.5200000000004</v>
      </c>
      <c r="T11144" s="18">
        <v>3899.61</v>
      </c>
      <c r="U11144" s="16"/>
      <c r="V11144" s="16"/>
      <c r="W11144" s="16"/>
      <c r="X11144" s="19">
        <v>1.0940000000000001</v>
      </c>
      <c r="Y11144" s="20">
        <v>2.5760000000000002E-2</v>
      </c>
      <c r="Z11144" s="21">
        <v>4601004336438</v>
      </c>
    </row>
    <row r="11145" spans="1:26" ht="12" customHeight="1" outlineLevel="4" x14ac:dyDescent="0.2">
      <c r="A11145" s="14" t="s">
        <v>21182</v>
      </c>
      <c r="B11145" s="26" t="s">
        <v>21183</v>
      </c>
      <c r="C11145" s="52"/>
      <c r="D11145" s="55">
        <f t="shared" ref="D11145:D11207" si="174">C11145*(O11145-O11145*$G$3)</f>
        <v>0</v>
      </c>
      <c r="E11145" s="63" t="str">
        <f>HYPERLINK("https://www.sds-group.ru/product/svetodiodnye-figury-podarki-v-forme-tsilindra-15-20-25-sm-tsvet-svecheniya-teplyy-belyy-pita-503-326/", "Инфо")</f>
        <v>Инфо</v>
      </c>
      <c r="F11145" s="16" t="s">
        <v>974</v>
      </c>
      <c r="G11145" s="15"/>
      <c r="H11145" s="15"/>
      <c r="I11145" s="15"/>
      <c r="J11145" s="16" t="s">
        <v>100</v>
      </c>
      <c r="K11145" s="15" t="s">
        <v>8890</v>
      </c>
      <c r="L11145" s="17">
        <v>1</v>
      </c>
      <c r="M11145" s="17">
        <v>4</v>
      </c>
      <c r="N11145" s="17">
        <v>1</v>
      </c>
      <c r="O11145" s="18">
        <v>6996.35</v>
      </c>
      <c r="P11145" s="18">
        <v>5734.71</v>
      </c>
      <c r="Q11145" s="18">
        <v>4897.45</v>
      </c>
      <c r="R11145" s="18">
        <v>4014.3</v>
      </c>
      <c r="S11145" s="18">
        <v>4757.5200000000004</v>
      </c>
      <c r="T11145" s="18">
        <v>3899.61</v>
      </c>
      <c r="U11145" s="16"/>
      <c r="V11145" s="16"/>
      <c r="W11145" s="16"/>
      <c r="X11145" s="19">
        <v>1.0549999999999999</v>
      </c>
      <c r="Y11145" s="20">
        <v>2.6488999999999999E-2</v>
      </c>
      <c r="Z11145" s="21">
        <v>4601004336421</v>
      </c>
    </row>
    <row r="11146" spans="1:26" ht="12" customHeight="1" outlineLevel="4" x14ac:dyDescent="0.2">
      <c r="A11146" s="32" t="s">
        <v>21184</v>
      </c>
      <c r="B11146" s="74" t="s">
        <v>21185</v>
      </c>
      <c r="C11146" s="50"/>
      <c r="D11146" s="53">
        <f t="shared" si="174"/>
        <v>0</v>
      </c>
      <c r="E11146" s="60" t="str">
        <f>HYPERLINK("https://www.sds-group.ru/product/figura-svetodiodnaya-na-podstavke-snezhinka-rgb-501-055/", "Инфо")</f>
        <v>Инфо</v>
      </c>
      <c r="F11146" s="34" t="s">
        <v>39</v>
      </c>
      <c r="G11146" s="33"/>
      <c r="H11146" s="33" t="s">
        <v>40</v>
      </c>
      <c r="I11146" s="33"/>
      <c r="J11146" s="34" t="s">
        <v>100</v>
      </c>
      <c r="K11146" s="33"/>
      <c r="L11146" s="35">
        <v>1</v>
      </c>
      <c r="M11146" s="35">
        <v>96</v>
      </c>
      <c r="N11146" s="35">
        <v>1</v>
      </c>
      <c r="O11146" s="36">
        <v>254.05</v>
      </c>
      <c r="P11146" s="36">
        <v>208.24</v>
      </c>
      <c r="Q11146" s="36">
        <v>177.84</v>
      </c>
      <c r="R11146" s="36">
        <v>145.77000000000001</v>
      </c>
      <c r="S11146" s="36">
        <v>172.75</v>
      </c>
      <c r="T11146" s="36">
        <v>141.6</v>
      </c>
      <c r="U11146" s="34"/>
      <c r="V11146" s="34"/>
      <c r="W11146" s="34"/>
      <c r="X11146" s="37">
        <v>3.5999999999999997E-2</v>
      </c>
      <c r="Y11146" s="38">
        <v>3.3500000000000001E-4</v>
      </c>
      <c r="Z11146" s="21">
        <v>4601004089433</v>
      </c>
    </row>
    <row r="11147" spans="1:26" ht="12" customHeight="1" outlineLevel="4" x14ac:dyDescent="0.2">
      <c r="A11147" s="14" t="s">
        <v>21186</v>
      </c>
      <c r="B11147" s="26" t="s">
        <v>21187</v>
      </c>
      <c r="C11147" s="52"/>
      <c r="D11147" s="55">
        <f t="shared" si="174"/>
        <v>0</v>
      </c>
      <c r="E11147" s="64"/>
      <c r="F11147" s="16" t="s">
        <v>39</v>
      </c>
      <c r="G11147" s="15"/>
      <c r="H11147" s="15"/>
      <c r="I11147" s="15"/>
      <c r="J11147" s="16" t="s">
        <v>100</v>
      </c>
      <c r="K11147" s="15" t="s">
        <v>11098</v>
      </c>
      <c r="L11147" s="17">
        <v>1</v>
      </c>
      <c r="M11147" s="17">
        <v>8</v>
      </c>
      <c r="N11147" s="17">
        <v>1</v>
      </c>
      <c r="O11147" s="18">
        <v>3677.09</v>
      </c>
      <c r="P11147" s="18">
        <v>3014.01</v>
      </c>
      <c r="Q11147" s="18">
        <v>2573.96</v>
      </c>
      <c r="R11147" s="18">
        <v>2109.8000000000002</v>
      </c>
      <c r="S11147" s="18">
        <v>2500.42</v>
      </c>
      <c r="T11147" s="18">
        <v>2049.52</v>
      </c>
      <c r="U11147" s="16"/>
      <c r="V11147" s="16"/>
      <c r="W11147" s="16"/>
      <c r="X11147" s="19">
        <v>1.4219999999999999</v>
      </c>
      <c r="Y11147" s="20">
        <v>9.8799999999999999E-3</v>
      </c>
      <c r="Z11147" s="21">
        <v>4601004337060</v>
      </c>
    </row>
    <row r="11148" spans="1:26" ht="12" customHeight="1" outlineLevel="4" x14ac:dyDescent="0.2">
      <c r="A11148" s="14" t="s">
        <v>21188</v>
      </c>
      <c r="B11148" s="26" t="s">
        <v>21189</v>
      </c>
      <c r="C11148" s="52"/>
      <c r="D11148" s="55">
        <f t="shared" si="174"/>
        <v>0</v>
      </c>
      <c r="E11148" s="64"/>
      <c r="F11148" s="16" t="s">
        <v>39</v>
      </c>
      <c r="G11148" s="15"/>
      <c r="H11148" s="15"/>
      <c r="I11148" s="15"/>
      <c r="J11148" s="16" t="s">
        <v>100</v>
      </c>
      <c r="K11148" s="15" t="s">
        <v>11098</v>
      </c>
      <c r="L11148" s="17">
        <v>1</v>
      </c>
      <c r="M11148" s="17">
        <v>6</v>
      </c>
      <c r="N11148" s="17">
        <v>1</v>
      </c>
      <c r="O11148" s="18">
        <v>3677.09</v>
      </c>
      <c r="P11148" s="18">
        <v>3014.01</v>
      </c>
      <c r="Q11148" s="18">
        <v>2573.96</v>
      </c>
      <c r="R11148" s="18">
        <v>2109.8000000000002</v>
      </c>
      <c r="S11148" s="18">
        <v>2500.42</v>
      </c>
      <c r="T11148" s="18">
        <v>2049.52</v>
      </c>
      <c r="U11148" s="16"/>
      <c r="V11148" s="16"/>
      <c r="W11148" s="16"/>
      <c r="X11148" s="19">
        <v>1.6579999999999999</v>
      </c>
      <c r="Y11148" s="20">
        <v>1.3187000000000001E-2</v>
      </c>
      <c r="Z11148" s="21">
        <v>4601004337084</v>
      </c>
    </row>
    <row r="11149" spans="1:26" ht="12" customHeight="1" outlineLevel="4" x14ac:dyDescent="0.2">
      <c r="A11149" s="14" t="s">
        <v>21190</v>
      </c>
      <c r="B11149" s="26" t="s">
        <v>21191</v>
      </c>
      <c r="C11149" s="52"/>
      <c r="D11149" s="55">
        <f t="shared" si="174"/>
        <v>0</v>
      </c>
      <c r="E11149" s="63" t="str">
        <f>HYPERLINK("https://www.sds-group.ru/product/figura-na-podstavke-elochka-25-sm-rgb-pitanie-2haaa-ne-v-komplekte-neon-night-513-032/", "Инфо")</f>
        <v>Инфо</v>
      </c>
      <c r="F11149" s="16" t="s">
        <v>39</v>
      </c>
      <c r="G11149" s="15"/>
      <c r="H11149" s="15"/>
      <c r="I11149" s="15"/>
      <c r="J11149" s="16" t="s">
        <v>100</v>
      </c>
      <c r="K11149" s="15" t="s">
        <v>11098</v>
      </c>
      <c r="L11149" s="17">
        <v>5</v>
      </c>
      <c r="M11149" s="17">
        <v>24</v>
      </c>
      <c r="N11149" s="17">
        <v>5</v>
      </c>
      <c r="O11149" s="18">
        <v>537.92999999999995</v>
      </c>
      <c r="P11149" s="18">
        <v>440.93</v>
      </c>
      <c r="Q11149" s="18">
        <v>376.55</v>
      </c>
      <c r="R11149" s="18">
        <v>308.64999999999998</v>
      </c>
      <c r="S11149" s="18">
        <v>365.79</v>
      </c>
      <c r="T11149" s="18">
        <v>299.83</v>
      </c>
      <c r="U11149" s="16"/>
      <c r="V11149" s="16"/>
      <c r="W11149" s="16"/>
      <c r="X11149" s="19">
        <v>0.123</v>
      </c>
      <c r="Y11149" s="20">
        <v>1.755E-3</v>
      </c>
      <c r="Z11149" s="21">
        <v>4601004129184</v>
      </c>
    </row>
    <row r="11150" spans="1:26" ht="12" customHeight="1" outlineLevel="4" x14ac:dyDescent="0.2">
      <c r="A11150" s="14" t="s">
        <v>21192</v>
      </c>
      <c r="B11150" s="26" t="s">
        <v>21193</v>
      </c>
      <c r="C11150" s="52"/>
      <c r="D11150" s="55">
        <f t="shared" si="174"/>
        <v>0</v>
      </c>
      <c r="E11150" s="64"/>
      <c r="F11150" s="16" t="s">
        <v>39</v>
      </c>
      <c r="G11150" s="15"/>
      <c r="H11150" s="15"/>
      <c r="I11150" s="15"/>
      <c r="J11150" s="16" t="s">
        <v>100</v>
      </c>
      <c r="K11150" s="15" t="s">
        <v>11098</v>
      </c>
      <c r="L11150" s="17">
        <v>1</v>
      </c>
      <c r="M11150" s="17">
        <v>12</v>
      </c>
      <c r="N11150" s="17">
        <v>1</v>
      </c>
      <c r="O11150" s="18">
        <v>807.17</v>
      </c>
      <c r="P11150" s="18">
        <v>661.61</v>
      </c>
      <c r="Q11150" s="18">
        <v>565.02</v>
      </c>
      <c r="R11150" s="18">
        <v>463.13</v>
      </c>
      <c r="S11150" s="18">
        <v>548.88</v>
      </c>
      <c r="T11150" s="18">
        <v>449.9</v>
      </c>
      <c r="U11150" s="16"/>
      <c r="V11150" s="16"/>
      <c r="W11150" s="16"/>
      <c r="X11150" s="19">
        <v>0.253</v>
      </c>
      <c r="Y11150" s="20">
        <v>4.4299999999999999E-3</v>
      </c>
      <c r="Z11150" s="21">
        <v>4601004337091</v>
      </c>
    </row>
    <row r="11151" spans="1:26" ht="12" customHeight="1" outlineLevel="4" x14ac:dyDescent="0.2">
      <c r="A11151" s="14" t="s">
        <v>21194</v>
      </c>
      <c r="B11151" s="26" t="s">
        <v>21195</v>
      </c>
      <c r="C11151" s="52"/>
      <c r="D11151" s="55">
        <f t="shared" si="174"/>
        <v>0</v>
      </c>
      <c r="E11151" s="64"/>
      <c r="F11151" s="16" t="s">
        <v>39</v>
      </c>
      <c r="G11151" s="15"/>
      <c r="H11151" s="15"/>
      <c r="I11151" s="15"/>
      <c r="J11151" s="16" t="s">
        <v>100</v>
      </c>
      <c r="K11151" s="15" t="s">
        <v>11098</v>
      </c>
      <c r="L11151" s="17">
        <v>1</v>
      </c>
      <c r="M11151" s="17">
        <v>12</v>
      </c>
      <c r="N11151" s="17">
        <v>1</v>
      </c>
      <c r="O11151" s="18">
        <v>1334.05</v>
      </c>
      <c r="P11151" s="18">
        <v>1093.48</v>
      </c>
      <c r="Q11151" s="18">
        <v>933.84</v>
      </c>
      <c r="R11151" s="18">
        <v>765.44</v>
      </c>
      <c r="S11151" s="18">
        <v>907.15</v>
      </c>
      <c r="T11151" s="18">
        <v>743.57</v>
      </c>
      <c r="U11151" s="16"/>
      <c r="V11151" s="16"/>
      <c r="W11151" s="16"/>
      <c r="X11151" s="19">
        <v>0.44600000000000001</v>
      </c>
      <c r="Y11151" s="20">
        <v>7.8790000000000006E-3</v>
      </c>
      <c r="Z11151" s="21">
        <v>4601004337077</v>
      </c>
    </row>
    <row r="11152" spans="1:26" ht="12" customHeight="1" outlineLevel="4" x14ac:dyDescent="0.2">
      <c r="A11152" s="14" t="s">
        <v>21196</v>
      </c>
      <c r="B11152" s="26" t="s">
        <v>21197</v>
      </c>
      <c r="C11152" s="52"/>
      <c r="D11152" s="55">
        <f t="shared" si="174"/>
        <v>0</v>
      </c>
      <c r="E11152" s="64"/>
      <c r="F11152" s="16" t="s">
        <v>39</v>
      </c>
      <c r="G11152" s="15"/>
      <c r="H11152" s="15"/>
      <c r="I11152" s="15"/>
      <c r="J11152" s="16" t="s">
        <v>100</v>
      </c>
      <c r="K11152" s="15" t="s">
        <v>11098</v>
      </c>
      <c r="L11152" s="17">
        <v>1</v>
      </c>
      <c r="M11152" s="17">
        <v>12</v>
      </c>
      <c r="N11152" s="17">
        <v>1</v>
      </c>
      <c r="O11152" s="18">
        <v>3677.09</v>
      </c>
      <c r="P11152" s="18">
        <v>3014.01</v>
      </c>
      <c r="Q11152" s="18">
        <v>2573.96</v>
      </c>
      <c r="R11152" s="18">
        <v>2109.8000000000002</v>
      </c>
      <c r="S11152" s="18">
        <v>2500.42</v>
      </c>
      <c r="T11152" s="18">
        <v>2049.52</v>
      </c>
      <c r="U11152" s="16"/>
      <c r="V11152" s="16"/>
      <c r="W11152" s="16"/>
      <c r="X11152" s="19">
        <v>1.133</v>
      </c>
      <c r="Y11152" s="20">
        <v>8.4139999999999996E-3</v>
      </c>
      <c r="Z11152" s="21">
        <v>4601004337053</v>
      </c>
    </row>
    <row r="11153" spans="1:26" ht="12" customHeight="1" outlineLevel="4" x14ac:dyDescent="0.2">
      <c r="A11153" s="14" t="s">
        <v>21198</v>
      </c>
      <c r="B11153" s="26" t="s">
        <v>21199</v>
      </c>
      <c r="C11153" s="52"/>
      <c r="D11153" s="55">
        <f t="shared" si="174"/>
        <v>0</v>
      </c>
      <c r="E11153" s="63" t="str">
        <f>HYPERLINK("https://www.sds-group.ru/product/figura-na-podstavke-elochka-so-zvezdoy-37-sm-rgb-pitanie-4xaaa-i-provod-usb-neon-night-513-026/", "Инфо")</f>
        <v>Инфо</v>
      </c>
      <c r="F11153" s="16" t="s">
        <v>39</v>
      </c>
      <c r="G11153" s="15"/>
      <c r="H11153" s="15"/>
      <c r="I11153" s="15"/>
      <c r="J11153" s="17">
        <v>11</v>
      </c>
      <c r="K11153" s="15" t="s">
        <v>11098</v>
      </c>
      <c r="L11153" s="17">
        <v>1</v>
      </c>
      <c r="M11153" s="17">
        <v>12</v>
      </c>
      <c r="N11153" s="17">
        <v>1</v>
      </c>
      <c r="O11153" s="18">
        <v>2086.04</v>
      </c>
      <c r="P11153" s="18">
        <v>1709.87</v>
      </c>
      <c r="Q11153" s="18">
        <v>1460.23</v>
      </c>
      <c r="R11153" s="18">
        <v>1196.9100000000001</v>
      </c>
      <c r="S11153" s="18">
        <v>1418.51</v>
      </c>
      <c r="T11153" s="18">
        <v>1162.71</v>
      </c>
      <c r="U11153" s="16"/>
      <c r="V11153" s="16"/>
      <c r="W11153" s="16"/>
      <c r="X11153" s="19">
        <v>0.67600000000000005</v>
      </c>
      <c r="Y11153" s="20">
        <v>8.7670000000000005E-3</v>
      </c>
      <c r="Z11153" s="21">
        <v>4601004129191</v>
      </c>
    </row>
    <row r="11154" spans="1:26" ht="12" customHeight="1" outlineLevel="4" x14ac:dyDescent="0.2">
      <c r="A11154" s="14" t="s">
        <v>21200</v>
      </c>
      <c r="B11154" s="26" t="s">
        <v>21201</v>
      </c>
      <c r="C11154" s="52"/>
      <c r="D11154" s="55">
        <f t="shared" si="174"/>
        <v>0</v>
      </c>
      <c r="E11154" s="63" t="str">
        <f>HYPERLINK("https://www.sds-group.ru/product/figura-na-podstavke-elochka-so-zvezdoy-37-sm-teplyy-belyy-pitanie-4xaaa-i-provod-usb-neon-ni-513-027/", "Инфо")</f>
        <v>Инфо</v>
      </c>
      <c r="F11154" s="16" t="s">
        <v>39</v>
      </c>
      <c r="G11154" s="15"/>
      <c r="H11154" s="15"/>
      <c r="I11154" s="15"/>
      <c r="J11154" s="17">
        <v>22</v>
      </c>
      <c r="K11154" s="15" t="s">
        <v>11098</v>
      </c>
      <c r="L11154" s="17">
        <v>1</v>
      </c>
      <c r="M11154" s="17">
        <v>12</v>
      </c>
      <c r="N11154" s="17">
        <v>1</v>
      </c>
      <c r="O11154" s="18">
        <v>2086.04</v>
      </c>
      <c r="P11154" s="18">
        <v>1709.87</v>
      </c>
      <c r="Q11154" s="18">
        <v>1606.25</v>
      </c>
      <c r="R11154" s="18">
        <v>1316.6</v>
      </c>
      <c r="S11154" s="18">
        <v>1418.51</v>
      </c>
      <c r="T11154" s="18">
        <v>1162.71</v>
      </c>
      <c r="U11154" s="16"/>
      <c r="V11154" s="16"/>
      <c r="W11154" s="16" t="s">
        <v>40</v>
      </c>
      <c r="X11154" s="19">
        <v>0.64900000000000002</v>
      </c>
      <c r="Y11154" s="20">
        <v>8.4840000000000002E-3</v>
      </c>
      <c r="Z11154" s="21">
        <v>4601004303942</v>
      </c>
    </row>
    <row r="11155" spans="1:26" ht="12" customHeight="1" outlineLevel="4" x14ac:dyDescent="0.2">
      <c r="A11155" s="14" t="s">
        <v>21202</v>
      </c>
      <c r="B11155" s="26" t="s">
        <v>21203</v>
      </c>
      <c r="C11155" s="52"/>
      <c r="D11155" s="55">
        <f t="shared" si="174"/>
        <v>0</v>
      </c>
      <c r="E11155" s="63" t="str">
        <f>HYPERLINK("https://www.sds-group.ru/product/figura-na-podstavke-el-51-sm-belyy-pitanie-3xaaa-ne-v-komplekte-neon-night-513-033/", "Инфо")</f>
        <v>Инфо</v>
      </c>
      <c r="F11155" s="16" t="s">
        <v>39</v>
      </c>
      <c r="G11155" s="15"/>
      <c r="H11155" s="15"/>
      <c r="I11155" s="15"/>
      <c r="J11155" s="16" t="s">
        <v>100</v>
      </c>
      <c r="K11155" s="15" t="s">
        <v>11098</v>
      </c>
      <c r="L11155" s="17">
        <v>1</v>
      </c>
      <c r="M11155" s="17">
        <v>3</v>
      </c>
      <c r="N11155" s="17">
        <v>1</v>
      </c>
      <c r="O11155" s="18">
        <v>3677.09</v>
      </c>
      <c r="P11155" s="18">
        <v>3014.01</v>
      </c>
      <c r="Q11155" s="18">
        <v>2573.96</v>
      </c>
      <c r="R11155" s="18">
        <v>2109.8000000000002</v>
      </c>
      <c r="S11155" s="18">
        <v>2500.42</v>
      </c>
      <c r="T11155" s="18">
        <v>2049.52</v>
      </c>
      <c r="U11155" s="16"/>
      <c r="V11155" s="16"/>
      <c r="W11155" s="16"/>
      <c r="X11155" s="19">
        <v>1.08</v>
      </c>
      <c r="Y11155" s="20">
        <v>3.8545999999999997E-2</v>
      </c>
      <c r="Z11155" s="21">
        <v>4601004129221</v>
      </c>
    </row>
    <row r="11156" spans="1:26" ht="12" customHeight="1" outlineLevel="4" x14ac:dyDescent="0.2">
      <c r="A11156" s="14" t="s">
        <v>21204</v>
      </c>
      <c r="B11156" s="26" t="s">
        <v>21205</v>
      </c>
      <c r="C11156" s="52"/>
      <c r="D11156" s="55">
        <f t="shared" si="174"/>
        <v>0</v>
      </c>
      <c r="E11156" s="63" t="str">
        <f>HYPERLINK("https://www.sds-group.ru/product/figura-svetodiodnaya-na-podstavke-novogodniy-poezd-s-melodiey-30-5sm-rgb-neon-night-513-025/", "Инфо")</f>
        <v>Инфо</v>
      </c>
      <c r="F11156" s="16" t="s">
        <v>39</v>
      </c>
      <c r="G11156" s="15"/>
      <c r="H11156" s="15"/>
      <c r="I11156" s="15"/>
      <c r="J11156" s="17">
        <v>1</v>
      </c>
      <c r="K11156" s="15"/>
      <c r="L11156" s="17">
        <v>1</v>
      </c>
      <c r="M11156" s="17">
        <v>6</v>
      </c>
      <c r="N11156" s="17">
        <v>1</v>
      </c>
      <c r="O11156" s="18">
        <v>3579.03</v>
      </c>
      <c r="P11156" s="18">
        <v>2933.63</v>
      </c>
      <c r="Q11156" s="18">
        <v>2684.27</v>
      </c>
      <c r="R11156" s="18">
        <v>2200.2199999999998</v>
      </c>
      <c r="S11156" s="18">
        <v>2433.7399999999998</v>
      </c>
      <c r="T11156" s="18">
        <v>1994.87</v>
      </c>
      <c r="U11156" s="16"/>
      <c r="V11156" s="16"/>
      <c r="W11156" s="16" t="s">
        <v>40</v>
      </c>
      <c r="X11156" s="19">
        <v>0.84299999999999997</v>
      </c>
      <c r="Y11156" s="20">
        <v>1.3436E-2</v>
      </c>
      <c r="Z11156" s="21">
        <v>4601004310872</v>
      </c>
    </row>
    <row r="11157" spans="1:26" ht="12" customHeight="1" outlineLevel="4" x14ac:dyDescent="0.2">
      <c r="A11157" s="32" t="s">
        <v>21206</v>
      </c>
      <c r="B11157" s="74" t="s">
        <v>21207</v>
      </c>
      <c r="C11157" s="50"/>
      <c r="D11157" s="53">
        <f t="shared" si="174"/>
        <v>0</v>
      </c>
      <c r="E11157" s="60" t="str">
        <f>HYPERLINK("https://www.sds-group.ru/product/figura-svetodiodnaya-s-novym-godom-35-led-krasnye-42x19-sm-501-003/", "Инфо")</f>
        <v>Инфо</v>
      </c>
      <c r="F11157" s="34" t="s">
        <v>39</v>
      </c>
      <c r="G11157" s="33"/>
      <c r="H11157" s="33" t="s">
        <v>40</v>
      </c>
      <c r="I11157" s="33"/>
      <c r="J11157" s="35">
        <v>140</v>
      </c>
      <c r="K11157" s="33"/>
      <c r="L11157" s="35">
        <v>1</v>
      </c>
      <c r="M11157" s="35">
        <v>40</v>
      </c>
      <c r="N11157" s="35">
        <v>1</v>
      </c>
      <c r="O11157" s="36">
        <v>1064.1300000000001</v>
      </c>
      <c r="P11157" s="36">
        <v>872.24</v>
      </c>
      <c r="Q11157" s="36">
        <v>744.89</v>
      </c>
      <c r="R11157" s="36">
        <v>610.57000000000005</v>
      </c>
      <c r="S11157" s="36">
        <v>723.61</v>
      </c>
      <c r="T11157" s="36">
        <v>593.12</v>
      </c>
      <c r="U11157" s="34"/>
      <c r="V11157" s="34"/>
      <c r="W11157" s="34"/>
      <c r="X11157" s="37">
        <v>0.27600000000000002</v>
      </c>
      <c r="Y11157" s="38">
        <v>2.0709999999999999E-3</v>
      </c>
      <c r="Z11157" s="21">
        <v>4601004130685</v>
      </c>
    </row>
    <row r="11158" spans="1:26" ht="12" customHeight="1" outlineLevel="4" x14ac:dyDescent="0.2">
      <c r="A11158" s="32" t="s">
        <v>21208</v>
      </c>
      <c r="B11158" s="74" t="s">
        <v>21209</v>
      </c>
      <c r="C11158" s="50"/>
      <c r="D11158" s="53">
        <f t="shared" si="174"/>
        <v>0</v>
      </c>
      <c r="E11158" s="60" t="str">
        <f>HYPERLINK("https://www.sds-group.ru/product/figura-svetodiodnaya-s-novym-godom-35led-tsvet-svecheniya-multikolor-rg-rb-razmer-42x19sm-501-004/", "Инфо")</f>
        <v>Инфо</v>
      </c>
      <c r="F11158" s="34" t="s">
        <v>39</v>
      </c>
      <c r="G11158" s="33"/>
      <c r="H11158" s="33" t="s">
        <v>40</v>
      </c>
      <c r="I11158" s="33"/>
      <c r="J11158" s="35">
        <v>97</v>
      </c>
      <c r="K11158" s="33"/>
      <c r="L11158" s="35">
        <v>1</v>
      </c>
      <c r="M11158" s="35">
        <v>40</v>
      </c>
      <c r="N11158" s="35">
        <v>1</v>
      </c>
      <c r="O11158" s="36">
        <v>1064.1300000000001</v>
      </c>
      <c r="P11158" s="36">
        <v>872.24</v>
      </c>
      <c r="Q11158" s="36">
        <v>744.89</v>
      </c>
      <c r="R11158" s="36">
        <v>610.57000000000005</v>
      </c>
      <c r="S11158" s="36">
        <v>723.61</v>
      </c>
      <c r="T11158" s="36">
        <v>593.12</v>
      </c>
      <c r="U11158" s="34"/>
      <c r="V11158" s="34"/>
      <c r="W11158" s="34"/>
      <c r="X11158" s="37">
        <v>0.23300000000000001</v>
      </c>
      <c r="Y11158" s="38">
        <v>2.1719999999999999E-3</v>
      </c>
      <c r="Z11158" s="21">
        <v>4601004281332</v>
      </c>
    </row>
    <row r="11159" spans="1:26" ht="12" customHeight="1" outlineLevel="4" x14ac:dyDescent="0.2">
      <c r="A11159" s="32" t="s">
        <v>21210</v>
      </c>
      <c r="B11159" s="74" t="s">
        <v>21211</v>
      </c>
      <c r="C11159" s="50"/>
      <c r="D11159" s="53">
        <f t="shared" si="174"/>
        <v>0</v>
      </c>
      <c r="E11159" s="60" t="str">
        <f>HYPERLINK("https://www.sds-group.ru/product/figura-svetodiodnaya-snegovik-17sm-rgb-513-018/", "Инфо")</f>
        <v>Инфо</v>
      </c>
      <c r="F11159" s="34" t="s">
        <v>39</v>
      </c>
      <c r="G11159" s="33"/>
      <c r="H11159" s="33" t="s">
        <v>40</v>
      </c>
      <c r="I11159" s="33"/>
      <c r="J11159" s="35">
        <v>5</v>
      </c>
      <c r="K11159" s="33"/>
      <c r="L11159" s="35">
        <v>5</v>
      </c>
      <c r="M11159" s="35">
        <v>24</v>
      </c>
      <c r="N11159" s="35">
        <v>5</v>
      </c>
      <c r="O11159" s="36">
        <v>440.53</v>
      </c>
      <c r="P11159" s="36">
        <v>361.09</v>
      </c>
      <c r="Q11159" s="36">
        <v>352.42</v>
      </c>
      <c r="R11159" s="36">
        <v>288.87</v>
      </c>
      <c r="S11159" s="36">
        <v>299.56</v>
      </c>
      <c r="T11159" s="36">
        <v>245.54</v>
      </c>
      <c r="U11159" s="34"/>
      <c r="V11159" s="34"/>
      <c r="W11159" s="34" t="s">
        <v>40</v>
      </c>
      <c r="X11159" s="37">
        <v>9.1999999999999998E-2</v>
      </c>
      <c r="Y11159" s="38">
        <v>9.1E-4</v>
      </c>
      <c r="Z11159" s="21">
        <v>4601004091924</v>
      </c>
    </row>
    <row r="11160" spans="1:26" ht="12" customHeight="1" outlineLevel="4" x14ac:dyDescent="0.2">
      <c r="A11160" s="14" t="s">
        <v>21212</v>
      </c>
      <c r="B11160" s="26" t="s">
        <v>21213</v>
      </c>
      <c r="C11160" s="52"/>
      <c r="D11160" s="55">
        <f t="shared" si="174"/>
        <v>0</v>
      </c>
      <c r="E11160" s="63" t="str">
        <f>HYPERLINK("https://www.sds-group.ru/product/figura-svetodiodnaya-snezhok-rgb-14-sm-513-014/", "Инфо")</f>
        <v>Инфо</v>
      </c>
      <c r="F11160" s="16" t="s">
        <v>39</v>
      </c>
      <c r="G11160" s="15"/>
      <c r="H11160" s="15"/>
      <c r="I11160" s="15"/>
      <c r="J11160" s="16" t="s">
        <v>100</v>
      </c>
      <c r="K11160" s="15" t="s">
        <v>6181</v>
      </c>
      <c r="L11160" s="17">
        <v>1</v>
      </c>
      <c r="M11160" s="17">
        <v>12</v>
      </c>
      <c r="N11160" s="17">
        <v>1</v>
      </c>
      <c r="O11160" s="18">
        <v>821.58</v>
      </c>
      <c r="P11160" s="18">
        <v>673.43</v>
      </c>
      <c r="Q11160" s="18">
        <v>575.11</v>
      </c>
      <c r="R11160" s="18">
        <v>471.4</v>
      </c>
      <c r="S11160" s="18">
        <v>558.66999999999996</v>
      </c>
      <c r="T11160" s="18">
        <v>457.93</v>
      </c>
      <c r="U11160" s="16"/>
      <c r="V11160" s="16"/>
      <c r="W11160" s="16"/>
      <c r="X11160" s="19">
        <v>0.23599999999999999</v>
      </c>
      <c r="Y11160" s="20">
        <v>3.235E-3</v>
      </c>
      <c r="Z11160" s="21">
        <v>4601004131965</v>
      </c>
    </row>
    <row r="11161" spans="1:26" ht="12" customHeight="1" outlineLevel="4" x14ac:dyDescent="0.2">
      <c r="A11161" s="14" t="s">
        <v>21214</v>
      </c>
      <c r="B11161" s="26" t="s">
        <v>21215</v>
      </c>
      <c r="C11161" s="52"/>
      <c r="D11161" s="55">
        <f t="shared" si="174"/>
        <v>0</v>
      </c>
      <c r="E11161" s="63" t="str">
        <f>HYPERLINK("https://www.sds-group.ru/product/figura-svetodiodnaya-snezhok-rgb-10-sm-513-012/", "Инфо")</f>
        <v>Инфо</v>
      </c>
      <c r="F11161" s="16" t="s">
        <v>39</v>
      </c>
      <c r="G11161" s="15"/>
      <c r="H11161" s="15"/>
      <c r="I11161" s="15"/>
      <c r="J11161" s="16" t="s">
        <v>100</v>
      </c>
      <c r="K11161" s="15" t="s">
        <v>6181</v>
      </c>
      <c r="L11161" s="17">
        <v>5</v>
      </c>
      <c r="M11161" s="17">
        <v>24</v>
      </c>
      <c r="N11161" s="17">
        <v>5</v>
      </c>
      <c r="O11161" s="18">
        <v>440.53</v>
      </c>
      <c r="P11161" s="18">
        <v>361.09</v>
      </c>
      <c r="Q11161" s="18">
        <v>308.37</v>
      </c>
      <c r="R11161" s="18">
        <v>252.76</v>
      </c>
      <c r="S11161" s="18">
        <v>299.56</v>
      </c>
      <c r="T11161" s="18">
        <v>245.54</v>
      </c>
      <c r="U11161" s="16"/>
      <c r="V11161" s="16"/>
      <c r="W11161" s="16"/>
      <c r="X11161" s="19">
        <v>0.121</v>
      </c>
      <c r="Y11161" s="20">
        <v>1.238E-3</v>
      </c>
      <c r="Z11161" s="21">
        <v>4601004131958</v>
      </c>
    </row>
    <row r="11162" spans="1:26" ht="12" customHeight="1" outlineLevel="4" x14ac:dyDescent="0.2">
      <c r="A11162" s="14" t="s">
        <v>21216</v>
      </c>
      <c r="B11162" s="26" t="s">
        <v>21217</v>
      </c>
      <c r="C11162" s="52"/>
      <c r="D11162" s="55">
        <f t="shared" si="174"/>
        <v>0</v>
      </c>
      <c r="E11162" s="63" t="str">
        <f>HYPERLINK("https://www.sds-group.ru/product/figura-svetodiodnaya-snezhok-rgb-8-sm-513-011/", "Инфо")</f>
        <v>Инфо</v>
      </c>
      <c r="F11162" s="16" t="s">
        <v>39</v>
      </c>
      <c r="G11162" s="15"/>
      <c r="H11162" s="15"/>
      <c r="I11162" s="15"/>
      <c r="J11162" s="16" t="s">
        <v>100</v>
      </c>
      <c r="K11162" s="15" t="s">
        <v>6181</v>
      </c>
      <c r="L11162" s="17">
        <v>1</v>
      </c>
      <c r="M11162" s="17">
        <v>48</v>
      </c>
      <c r="N11162" s="17">
        <v>1</v>
      </c>
      <c r="O11162" s="18">
        <v>349.06</v>
      </c>
      <c r="P11162" s="18">
        <v>286.11</v>
      </c>
      <c r="Q11162" s="18">
        <v>244.34</v>
      </c>
      <c r="R11162" s="18">
        <v>200.28</v>
      </c>
      <c r="S11162" s="18">
        <v>237.36</v>
      </c>
      <c r="T11162" s="18">
        <v>194.56</v>
      </c>
      <c r="U11162" s="16"/>
      <c r="V11162" s="16"/>
      <c r="W11162" s="16"/>
      <c r="X11162" s="19">
        <v>7.9000000000000001E-2</v>
      </c>
      <c r="Y11162" s="20">
        <v>5.9500000000000004E-4</v>
      </c>
      <c r="Z11162" s="21">
        <v>4601004131989</v>
      </c>
    </row>
    <row r="11163" spans="1:26" ht="12.95" customHeight="1" outlineLevel="3" x14ac:dyDescent="0.2">
      <c r="A11163" s="76" t="s">
        <v>21218</v>
      </c>
      <c r="B11163" s="76"/>
      <c r="C11163" s="77"/>
      <c r="D11163" s="58"/>
      <c r="E11163" s="68"/>
      <c r="F11163" s="13"/>
      <c r="G11163" s="13"/>
      <c r="H11163" s="13"/>
      <c r="I11163" s="13"/>
      <c r="J11163" s="13"/>
      <c r="K11163" s="13"/>
      <c r="L11163" s="13"/>
      <c r="M11163" s="13"/>
      <c r="N11163" s="13"/>
      <c r="O11163" s="13"/>
      <c r="P11163" s="13"/>
      <c r="Q11163" s="13"/>
      <c r="R11163" s="13"/>
      <c r="S11163" s="13"/>
      <c r="T11163" s="13"/>
      <c r="U11163" s="13"/>
      <c r="V11163" s="13"/>
      <c r="W11163" s="13"/>
      <c r="X11163" s="13"/>
      <c r="Y11163" s="13"/>
      <c r="Z11163" s="13"/>
    </row>
    <row r="11164" spans="1:26" ht="12" customHeight="1" outlineLevel="4" x14ac:dyDescent="0.2">
      <c r="A11164" s="14" t="s">
        <v>21219</v>
      </c>
      <c r="B11164" s="26" t="s">
        <v>21220</v>
      </c>
      <c r="C11164" s="52"/>
      <c r="D11164" s="55">
        <f t="shared" si="174"/>
        <v>0</v>
      </c>
      <c r="E11164" s="63" t="str">
        <f>HYPERLINK("https://www.sds-group.ru/product/disko-lampa-svetodiodnaya-e27-podstavka-s-tsokolem-e27-v-komplekte-230-v-601-251/", "Инфо")</f>
        <v>Инфо</v>
      </c>
      <c r="F11164" s="16" t="s">
        <v>39</v>
      </c>
      <c r="G11164" s="15"/>
      <c r="H11164" s="15"/>
      <c r="I11164" s="15"/>
      <c r="J11164" s="16" t="s">
        <v>100</v>
      </c>
      <c r="K11164" s="15" t="s">
        <v>21221</v>
      </c>
      <c r="L11164" s="17">
        <v>5</v>
      </c>
      <c r="M11164" s="17">
        <v>48</v>
      </c>
      <c r="N11164" s="17">
        <v>5</v>
      </c>
      <c r="O11164" s="18">
        <v>537.92999999999995</v>
      </c>
      <c r="P11164" s="18">
        <v>440.93</v>
      </c>
      <c r="Q11164" s="18">
        <v>430.34</v>
      </c>
      <c r="R11164" s="18">
        <v>352.74</v>
      </c>
      <c r="S11164" s="18">
        <v>365.79</v>
      </c>
      <c r="T11164" s="18">
        <v>299.83</v>
      </c>
      <c r="U11164" s="16"/>
      <c r="V11164" s="16"/>
      <c r="W11164" s="16" t="s">
        <v>40</v>
      </c>
      <c r="X11164" s="19">
        <v>0.19500000000000001</v>
      </c>
      <c r="Y11164" s="20">
        <v>1.3359999999999999E-3</v>
      </c>
      <c r="Z11164" s="21">
        <v>4601004015784</v>
      </c>
    </row>
    <row r="11165" spans="1:26" ht="12" customHeight="1" outlineLevel="4" x14ac:dyDescent="0.2">
      <c r="A11165" s="14" t="s">
        <v>21222</v>
      </c>
      <c r="B11165" s="26" t="s">
        <v>21223</v>
      </c>
      <c r="C11165" s="52"/>
      <c r="D11165" s="55">
        <f t="shared" si="174"/>
        <v>0</v>
      </c>
      <c r="E11165" s="63" t="str">
        <f>HYPERLINK("https://www.sds-group.ru/product/disko-lampa-svetodiodnaya-e27-s-perehodnikom-v-rozetku-proektsiya-zvezdy-230v-neon-night-601-259/", "Инфо")</f>
        <v>Инфо</v>
      </c>
      <c r="F11165" s="16" t="s">
        <v>39</v>
      </c>
      <c r="G11165" s="15"/>
      <c r="H11165" s="15"/>
      <c r="I11165" s="15"/>
      <c r="J11165" s="17">
        <v>48</v>
      </c>
      <c r="K11165" s="15"/>
      <c r="L11165" s="17">
        <v>5</v>
      </c>
      <c r="M11165" s="17">
        <v>50</v>
      </c>
      <c r="N11165" s="17">
        <v>5</v>
      </c>
      <c r="O11165" s="18">
        <v>322.32</v>
      </c>
      <c r="P11165" s="18">
        <v>264.2</v>
      </c>
      <c r="Q11165" s="18">
        <v>225.62</v>
      </c>
      <c r="R11165" s="18">
        <v>184.93</v>
      </c>
      <c r="S11165" s="18">
        <v>219.18</v>
      </c>
      <c r="T11165" s="18">
        <v>179.66</v>
      </c>
      <c r="U11165" s="16"/>
      <c r="V11165" s="16"/>
      <c r="W11165" s="16"/>
      <c r="X11165" s="19">
        <v>0.108</v>
      </c>
      <c r="Y11165" s="20">
        <v>8.6799999999999996E-4</v>
      </c>
      <c r="Z11165" s="21">
        <v>4601004305120</v>
      </c>
    </row>
    <row r="11166" spans="1:26" ht="12" customHeight="1" outlineLevel="4" x14ac:dyDescent="0.2">
      <c r="A11166" s="14" t="s">
        <v>21224</v>
      </c>
      <c r="B11166" s="26" t="s">
        <v>21225</v>
      </c>
      <c r="C11166" s="52"/>
      <c r="D11166" s="55">
        <f t="shared" si="174"/>
        <v>0</v>
      </c>
      <c r="E11166" s="63" t="str">
        <f>HYPERLINK("https://www.sds-group.ru/product/disko-lampa-svetodiodnaya-e27-230-v-601-253/", "Инфо")</f>
        <v>Инфо</v>
      </c>
      <c r="F11166" s="16" t="s">
        <v>39</v>
      </c>
      <c r="G11166" s="15"/>
      <c r="H11166" s="15"/>
      <c r="I11166" s="15"/>
      <c r="J11166" s="16" t="s">
        <v>100</v>
      </c>
      <c r="K11166" s="15" t="s">
        <v>21221</v>
      </c>
      <c r="L11166" s="17">
        <v>5</v>
      </c>
      <c r="M11166" s="17">
        <v>50</v>
      </c>
      <c r="N11166" s="17">
        <v>5</v>
      </c>
      <c r="O11166" s="18">
        <v>322.32</v>
      </c>
      <c r="P11166" s="18">
        <v>264.2</v>
      </c>
      <c r="Q11166" s="18">
        <v>273.97000000000003</v>
      </c>
      <c r="R11166" s="18">
        <v>224.57</v>
      </c>
      <c r="S11166" s="18">
        <v>219.18</v>
      </c>
      <c r="T11166" s="18">
        <v>179.66</v>
      </c>
      <c r="U11166" s="16"/>
      <c r="V11166" s="16"/>
      <c r="W11166" s="16" t="s">
        <v>40</v>
      </c>
      <c r="X11166" s="19">
        <v>0.11700000000000001</v>
      </c>
      <c r="Y11166" s="20">
        <v>1.103E-3</v>
      </c>
      <c r="Z11166" s="21">
        <v>4601004058309</v>
      </c>
    </row>
    <row r="11167" spans="1:26" ht="12" customHeight="1" outlineLevel="4" x14ac:dyDescent="0.2">
      <c r="A11167" s="14" t="s">
        <v>21226</v>
      </c>
      <c r="B11167" s="26" t="s">
        <v>21227</v>
      </c>
      <c r="C11167" s="52"/>
      <c r="D11167" s="55">
        <f t="shared" si="174"/>
        <v>0</v>
      </c>
      <c r="E11167" s="63" t="str">
        <f>HYPERLINK("https://www.sds-group.ru/product/disko-lampa-svetodiodnaya-v-kompaktnom-korpuse-230-v-601-252/", "Инфо")</f>
        <v>Инфо</v>
      </c>
      <c r="F11167" s="16" t="s">
        <v>39</v>
      </c>
      <c r="G11167" s="15"/>
      <c r="H11167" s="15"/>
      <c r="I11167" s="15"/>
      <c r="J11167" s="17">
        <v>236</v>
      </c>
      <c r="K11167" s="15" t="s">
        <v>8890</v>
      </c>
      <c r="L11167" s="17">
        <v>5</v>
      </c>
      <c r="M11167" s="17">
        <v>50</v>
      </c>
      <c r="N11167" s="17">
        <v>5</v>
      </c>
      <c r="O11167" s="18">
        <v>537.92999999999995</v>
      </c>
      <c r="P11167" s="18">
        <v>440.93</v>
      </c>
      <c r="Q11167" s="18">
        <v>376.55</v>
      </c>
      <c r="R11167" s="18">
        <v>308.64999999999998</v>
      </c>
      <c r="S11167" s="18">
        <v>365.79</v>
      </c>
      <c r="T11167" s="18">
        <v>299.83</v>
      </c>
      <c r="U11167" s="16"/>
      <c r="V11167" s="16"/>
      <c r="W11167" s="16"/>
      <c r="X11167" s="19">
        <v>0.17199999999999999</v>
      </c>
      <c r="Y11167" s="20">
        <v>1.2110000000000001E-3</v>
      </c>
      <c r="Z11167" s="21">
        <v>4601004015791</v>
      </c>
    </row>
    <row r="11168" spans="1:26" ht="12" customHeight="1" outlineLevel="4" x14ac:dyDescent="0.2">
      <c r="A11168" s="14" t="s">
        <v>21228</v>
      </c>
      <c r="B11168" s="26" t="s">
        <v>21229</v>
      </c>
      <c r="C11168" s="52"/>
      <c r="D11168" s="55">
        <f t="shared" si="174"/>
        <v>0</v>
      </c>
      <c r="E11168" s="63" t="str">
        <f>HYPERLINK("https://www.sds-group.ru/product/disko-lampa-svetodiodnaya-dvoynaya-e27-podstavka-s-tsokolem-e27-v-komplekte-230-v-601-250/", "Инфо")</f>
        <v>Инфо</v>
      </c>
      <c r="F11168" s="16" t="s">
        <v>39</v>
      </c>
      <c r="G11168" s="15"/>
      <c r="H11168" s="15"/>
      <c r="I11168" s="15"/>
      <c r="J11168" s="16" t="s">
        <v>100</v>
      </c>
      <c r="K11168" s="15" t="s">
        <v>8890</v>
      </c>
      <c r="L11168" s="17">
        <v>1</v>
      </c>
      <c r="M11168" s="17">
        <v>50</v>
      </c>
      <c r="N11168" s="17">
        <v>1</v>
      </c>
      <c r="O11168" s="18">
        <v>753.53</v>
      </c>
      <c r="P11168" s="18">
        <v>617.65</v>
      </c>
      <c r="Q11168" s="18">
        <v>527.47</v>
      </c>
      <c r="R11168" s="18">
        <v>432.35</v>
      </c>
      <c r="S11168" s="18">
        <v>512.4</v>
      </c>
      <c r="T11168" s="18">
        <v>420</v>
      </c>
      <c r="U11168" s="16"/>
      <c r="V11168" s="16"/>
      <c r="W11168" s="16"/>
      <c r="X11168" s="19">
        <v>0.215</v>
      </c>
      <c r="Y11168" s="20">
        <v>1.67E-3</v>
      </c>
      <c r="Z11168" s="21">
        <v>4601004147096</v>
      </c>
    </row>
    <row r="11169" spans="1:26" ht="12" customHeight="1" outlineLevel="4" x14ac:dyDescent="0.2">
      <c r="A11169" s="14" t="s">
        <v>21230</v>
      </c>
      <c r="B11169" s="26" t="s">
        <v>21231</v>
      </c>
      <c r="C11169" s="52"/>
      <c r="D11169" s="55">
        <f t="shared" si="174"/>
        <v>0</v>
      </c>
      <c r="E11169" s="63" t="str">
        <f>HYPERLINK("https://www.sds-group.ru/product/disko-lampa-letayuschaya-tarelka-36led-230-v-601-256/", "Инфо")</f>
        <v>Инфо</v>
      </c>
      <c r="F11169" s="16" t="s">
        <v>39</v>
      </c>
      <c r="G11169" s="15"/>
      <c r="H11169" s="15"/>
      <c r="I11169" s="15"/>
      <c r="J11169" s="16" t="s">
        <v>100</v>
      </c>
      <c r="K11169" s="15" t="s">
        <v>8890</v>
      </c>
      <c r="L11169" s="17">
        <v>1</v>
      </c>
      <c r="M11169" s="17">
        <v>50</v>
      </c>
      <c r="N11169" s="17">
        <v>1</v>
      </c>
      <c r="O11169" s="18">
        <v>1076.94</v>
      </c>
      <c r="P11169" s="18">
        <v>882.74</v>
      </c>
      <c r="Q11169" s="18">
        <v>753.86</v>
      </c>
      <c r="R11169" s="18">
        <v>617.91999999999996</v>
      </c>
      <c r="S11169" s="18">
        <v>732.32</v>
      </c>
      <c r="T11169" s="18">
        <v>600.26</v>
      </c>
      <c r="U11169" s="16"/>
      <c r="V11169" s="16"/>
      <c r="W11169" s="16"/>
      <c r="X11169" s="19">
        <v>0.216</v>
      </c>
      <c r="Y11169" s="20">
        <v>1.8190000000000001E-3</v>
      </c>
      <c r="Z11169" s="21">
        <v>4601004147102</v>
      </c>
    </row>
    <row r="11170" spans="1:26" ht="12" customHeight="1" outlineLevel="4" x14ac:dyDescent="0.2">
      <c r="A11170" s="14" t="s">
        <v>21232</v>
      </c>
      <c r="B11170" s="26" t="s">
        <v>21233</v>
      </c>
      <c r="C11170" s="52"/>
      <c r="D11170" s="55">
        <f t="shared" si="174"/>
        <v>0</v>
      </c>
      <c r="E11170" s="63" t="str">
        <f>HYPERLINK("https://www.sds-group.ru/product/disko-lampa-letayuschaya-tarelka-48-led-chernyy-korpus-230v-neon-night-601-260/", "Инфо")</f>
        <v>Инфо</v>
      </c>
      <c r="F11170" s="16" t="s">
        <v>39</v>
      </c>
      <c r="G11170" s="15"/>
      <c r="H11170" s="15"/>
      <c r="I11170" s="15"/>
      <c r="J11170" s="16" t="s">
        <v>100</v>
      </c>
      <c r="K11170" s="15" t="s">
        <v>4013</v>
      </c>
      <c r="L11170" s="17">
        <v>1</v>
      </c>
      <c r="M11170" s="17">
        <v>100</v>
      </c>
      <c r="N11170" s="17">
        <v>1</v>
      </c>
      <c r="O11170" s="18">
        <v>537.66</v>
      </c>
      <c r="P11170" s="18">
        <v>440.7</v>
      </c>
      <c r="Q11170" s="18">
        <v>376.36</v>
      </c>
      <c r="R11170" s="18">
        <v>308.49</v>
      </c>
      <c r="S11170" s="18">
        <v>365.61</v>
      </c>
      <c r="T11170" s="18">
        <v>299.68</v>
      </c>
      <c r="U11170" s="16"/>
      <c r="V11170" s="16"/>
      <c r="W11170" s="16"/>
      <c r="X11170" s="19">
        <v>0.14099999999999999</v>
      </c>
      <c r="Y11170" s="20">
        <v>7.1000000000000002E-4</v>
      </c>
      <c r="Z11170" s="21">
        <v>4601004309463</v>
      </c>
    </row>
    <row r="11171" spans="1:26" ht="12" customHeight="1" outlineLevel="4" x14ac:dyDescent="0.2">
      <c r="A11171" s="14" t="s">
        <v>21234</v>
      </c>
      <c r="B11171" s="26" t="s">
        <v>21235</v>
      </c>
      <c r="C11171" s="52"/>
      <c r="D11171" s="55">
        <f t="shared" si="174"/>
        <v>0</v>
      </c>
      <c r="E11171" s="63" t="str">
        <f>HYPERLINK("https://www.sds-group.ru/product/disko-shar-nochnik-proektor-svetodiodnyy-s-distantsionnym-upravleniem-usb-neon-night-601-526/", "Инфо")</f>
        <v>Инфо</v>
      </c>
      <c r="F11171" s="16" t="s">
        <v>39</v>
      </c>
      <c r="G11171" s="15"/>
      <c r="H11171" s="15"/>
      <c r="I11171" s="15"/>
      <c r="J11171" s="16" t="s">
        <v>100</v>
      </c>
      <c r="K11171" s="15" t="s">
        <v>21221</v>
      </c>
      <c r="L11171" s="17">
        <v>1</v>
      </c>
      <c r="M11171" s="17">
        <v>100</v>
      </c>
      <c r="N11171" s="17">
        <v>1</v>
      </c>
      <c r="O11171" s="18">
        <v>807.43</v>
      </c>
      <c r="P11171" s="18">
        <v>661.83</v>
      </c>
      <c r="Q11171" s="18">
        <v>565.20000000000005</v>
      </c>
      <c r="R11171" s="18">
        <v>463.28</v>
      </c>
      <c r="S11171" s="18">
        <v>549.04999999999995</v>
      </c>
      <c r="T11171" s="18">
        <v>450.04</v>
      </c>
      <c r="U11171" s="16"/>
      <c r="V11171" s="16"/>
      <c r="W11171" s="16"/>
      <c r="X11171" s="19">
        <v>0.189</v>
      </c>
      <c r="Y11171" s="20">
        <v>1.1659999999999999E-3</v>
      </c>
      <c r="Z11171" s="21">
        <v>4601004305106</v>
      </c>
    </row>
    <row r="11172" spans="1:26" ht="12" customHeight="1" outlineLevel="4" x14ac:dyDescent="0.2">
      <c r="A11172" s="14" t="s">
        <v>21236</v>
      </c>
      <c r="B11172" s="26" t="s">
        <v>21237</v>
      </c>
      <c r="C11172" s="52"/>
      <c r="D11172" s="55">
        <f t="shared" si="174"/>
        <v>0</v>
      </c>
      <c r="E11172" s="63" t="str">
        <f>HYPERLINK("https://www.sds-group.ru/product/svetodiodnaya-sistema-disko-shar-s-pultom-du-i-bluetooth-230-v-601-257/", "Инфо")</f>
        <v>Инфо</v>
      </c>
      <c r="F11172" s="16" t="s">
        <v>39</v>
      </c>
      <c r="G11172" s="15"/>
      <c r="H11172" s="15"/>
      <c r="I11172" s="15"/>
      <c r="J11172" s="16" t="s">
        <v>100</v>
      </c>
      <c r="K11172" s="15" t="s">
        <v>8890</v>
      </c>
      <c r="L11172" s="17">
        <v>1</v>
      </c>
      <c r="M11172" s="17">
        <v>20</v>
      </c>
      <c r="N11172" s="17">
        <v>1</v>
      </c>
      <c r="O11172" s="18">
        <v>1076.94</v>
      </c>
      <c r="P11172" s="18">
        <v>882.74</v>
      </c>
      <c r="Q11172" s="18">
        <v>753.86</v>
      </c>
      <c r="R11172" s="18">
        <v>617.91999999999996</v>
      </c>
      <c r="S11172" s="18">
        <v>732.32</v>
      </c>
      <c r="T11172" s="18">
        <v>600.26</v>
      </c>
      <c r="U11172" s="16"/>
      <c r="V11172" s="16"/>
      <c r="W11172" s="16"/>
      <c r="X11172" s="19">
        <v>0.376</v>
      </c>
      <c r="Y11172" s="20">
        <v>5.0959999999999998E-3</v>
      </c>
      <c r="Z11172" s="21">
        <v>4601004041950</v>
      </c>
    </row>
    <row r="11173" spans="1:26" ht="12.95" customHeight="1" outlineLevel="3" x14ac:dyDescent="0.2">
      <c r="A11173" s="76" t="s">
        <v>21238</v>
      </c>
      <c r="B11173" s="76"/>
      <c r="C11173" s="77"/>
      <c r="D11173" s="58"/>
      <c r="E11173" s="68"/>
      <c r="F11173" s="13"/>
      <c r="G11173" s="13"/>
      <c r="H11173" s="13"/>
      <c r="I11173" s="13"/>
      <c r="J11173" s="13"/>
      <c r="K11173" s="13"/>
      <c r="L11173" s="13"/>
      <c r="M11173" s="13"/>
      <c r="N11173" s="13"/>
      <c r="O11173" s="13"/>
      <c r="P11173" s="13"/>
      <c r="Q11173" s="13"/>
      <c r="R11173" s="13"/>
      <c r="S11173" s="13"/>
      <c r="T11173" s="13"/>
      <c r="U11173" s="13"/>
      <c r="V11173" s="13"/>
      <c r="W11173" s="13"/>
      <c r="X11173" s="13"/>
      <c r="Y11173" s="13"/>
      <c r="Z11173" s="13"/>
    </row>
    <row r="11174" spans="1:26" ht="12" customHeight="1" outlineLevel="4" x14ac:dyDescent="0.2">
      <c r="A11174" s="32" t="s">
        <v>21239</v>
      </c>
      <c r="B11174" s="74" t="s">
        <v>21240</v>
      </c>
      <c r="C11174" s="50"/>
      <c r="D11174" s="53">
        <f t="shared" si="174"/>
        <v>0</v>
      </c>
      <c r="E11174" s="60" t="str">
        <f>HYPERLINK("https://www.sds-group.ru/product/led-proektor-zvezdy-220-v-neon-night-601-268/", "Инфо")</f>
        <v>Инфо</v>
      </c>
      <c r="F11174" s="34" t="s">
        <v>39</v>
      </c>
      <c r="G11174" s="33"/>
      <c r="H11174" s="33" t="s">
        <v>40</v>
      </c>
      <c r="I11174" s="33"/>
      <c r="J11174" s="35">
        <v>5</v>
      </c>
      <c r="K11174" s="33"/>
      <c r="L11174" s="35">
        <v>1</v>
      </c>
      <c r="M11174" s="35">
        <v>16</v>
      </c>
      <c r="N11174" s="35">
        <v>1</v>
      </c>
      <c r="O11174" s="36">
        <v>2684.27</v>
      </c>
      <c r="P11174" s="36">
        <v>2200.2199999999998</v>
      </c>
      <c r="Q11174" s="36">
        <v>1878.99</v>
      </c>
      <c r="R11174" s="36">
        <v>1540.16</v>
      </c>
      <c r="S11174" s="36">
        <v>1825.3</v>
      </c>
      <c r="T11174" s="36">
        <v>1496.15</v>
      </c>
      <c r="U11174" s="34"/>
      <c r="V11174" s="34"/>
      <c r="W11174" s="34"/>
      <c r="X11174" s="37">
        <v>0.57899999999999996</v>
      </c>
      <c r="Y11174" s="38">
        <v>3.627E-3</v>
      </c>
      <c r="Z11174" s="21">
        <v>4601004180994</v>
      </c>
    </row>
    <row r="11175" spans="1:26" ht="12" customHeight="1" outlineLevel="4" x14ac:dyDescent="0.2">
      <c r="A11175" s="14" t="s">
        <v>21241</v>
      </c>
      <c r="B11175" s="26" t="s">
        <v>21242</v>
      </c>
      <c r="C11175" s="52"/>
      <c r="D11175" s="55">
        <f t="shared" si="174"/>
        <v>0</v>
      </c>
      <c r="E11175" s="63" t="str">
        <f>HYPERLINK("https://www.sds-group.ru/product/led-proektor-12-smennyh-slaydov-tsvet-rgbw-12v-601-262/", "Инфо")</f>
        <v>Инфо</v>
      </c>
      <c r="F11175" s="16" t="s">
        <v>39</v>
      </c>
      <c r="G11175" s="15"/>
      <c r="H11175" s="15"/>
      <c r="I11175" s="15"/>
      <c r="J11175" s="17">
        <v>28</v>
      </c>
      <c r="K11175" s="15"/>
      <c r="L11175" s="17">
        <v>1</v>
      </c>
      <c r="M11175" s="17">
        <v>20</v>
      </c>
      <c r="N11175" s="17">
        <v>1</v>
      </c>
      <c r="O11175" s="18">
        <v>3438.88</v>
      </c>
      <c r="P11175" s="18">
        <v>2818.75</v>
      </c>
      <c r="Q11175" s="18">
        <v>2510.38</v>
      </c>
      <c r="R11175" s="18">
        <v>2057.69</v>
      </c>
      <c r="S11175" s="18">
        <v>2338.44</v>
      </c>
      <c r="T11175" s="18">
        <v>1916.75</v>
      </c>
      <c r="U11175" s="16"/>
      <c r="V11175" s="16"/>
      <c r="W11175" s="16" t="s">
        <v>40</v>
      </c>
      <c r="X11175" s="19">
        <v>0.59099999999999997</v>
      </c>
      <c r="Y11175" s="20">
        <v>3.457E-3</v>
      </c>
      <c r="Z11175" s="21">
        <v>4601004096325</v>
      </c>
    </row>
    <row r="11176" spans="1:26" ht="12" customHeight="1" outlineLevel="4" x14ac:dyDescent="0.2">
      <c r="A11176" s="32" t="s">
        <v>21243</v>
      </c>
      <c r="B11176" s="74" t="s">
        <v>21244</v>
      </c>
      <c r="C11176" s="50"/>
      <c r="D11176" s="53">
        <f t="shared" si="174"/>
        <v>0</v>
      </c>
      <c r="E11176" s="60" t="str">
        <f>HYPERLINK("https://www.sds-group.ru/product/led-proektor-belye-snezhinki-230v-601-263/", "Инфо")</f>
        <v>Инфо</v>
      </c>
      <c r="F11176" s="34" t="s">
        <v>39</v>
      </c>
      <c r="G11176" s="33"/>
      <c r="H11176" s="33" t="s">
        <v>40</v>
      </c>
      <c r="I11176" s="33"/>
      <c r="J11176" s="35">
        <v>6</v>
      </c>
      <c r="K11176" s="33"/>
      <c r="L11176" s="35">
        <v>1</v>
      </c>
      <c r="M11176" s="35">
        <v>12</v>
      </c>
      <c r="N11176" s="35">
        <v>1</v>
      </c>
      <c r="O11176" s="36">
        <v>2360.86</v>
      </c>
      <c r="P11176" s="36">
        <v>1935.13</v>
      </c>
      <c r="Q11176" s="36">
        <v>1817.86</v>
      </c>
      <c r="R11176" s="36">
        <v>1490.05</v>
      </c>
      <c r="S11176" s="36">
        <v>1605.38</v>
      </c>
      <c r="T11176" s="36">
        <v>1315.89</v>
      </c>
      <c r="U11176" s="34"/>
      <c r="V11176" s="34"/>
      <c r="W11176" s="34" t="s">
        <v>40</v>
      </c>
      <c r="X11176" s="37">
        <v>0.46100000000000002</v>
      </c>
      <c r="Y11176" s="38">
        <v>3.042E-3</v>
      </c>
      <c r="Z11176" s="21">
        <v>4601004096332</v>
      </c>
    </row>
    <row r="11177" spans="1:26" ht="12" customHeight="1" outlineLevel="4" x14ac:dyDescent="0.2">
      <c r="A11177" s="14" t="s">
        <v>21245</v>
      </c>
      <c r="B11177" s="26" t="s">
        <v>21246</v>
      </c>
      <c r="C11177" s="52"/>
      <c r="D11177" s="55">
        <f t="shared" si="174"/>
        <v>0</v>
      </c>
      <c r="E11177" s="63" t="str">
        <f>HYPERLINK("https://www.sds-group.ru/product/lazernyy-proektor-neon-night-s-pultom-upravleniya-razlichnye-rezhimy-proektsii-230-v-transfo-601-261/", "Инфо")</f>
        <v>Инфо</v>
      </c>
      <c r="F11177" s="16" t="s">
        <v>39</v>
      </c>
      <c r="G11177" s="15"/>
      <c r="H11177" s="15"/>
      <c r="I11177" s="15"/>
      <c r="J11177" s="17">
        <v>82</v>
      </c>
      <c r="K11177" s="15"/>
      <c r="L11177" s="17">
        <v>1</v>
      </c>
      <c r="M11177" s="17">
        <v>20</v>
      </c>
      <c r="N11177" s="17">
        <v>1</v>
      </c>
      <c r="O11177" s="18">
        <v>4301.3</v>
      </c>
      <c r="P11177" s="18">
        <v>3525.66</v>
      </c>
      <c r="Q11177" s="18">
        <v>3010.91</v>
      </c>
      <c r="R11177" s="18">
        <v>2467.96</v>
      </c>
      <c r="S11177" s="18">
        <v>2924.88</v>
      </c>
      <c r="T11177" s="18">
        <v>2397.44</v>
      </c>
      <c r="U11177" s="16"/>
      <c r="V11177" s="16"/>
      <c r="W11177" s="16"/>
      <c r="X11177" s="19">
        <v>0.57099999999999995</v>
      </c>
      <c r="Y11177" s="20">
        <v>3.4280000000000001E-3</v>
      </c>
      <c r="Z11177" s="21">
        <v>4601004093379</v>
      </c>
    </row>
    <row r="11178" spans="1:26" ht="12" customHeight="1" outlineLevel="4" x14ac:dyDescent="0.2">
      <c r="A11178" s="14" t="s">
        <v>21247</v>
      </c>
      <c r="B11178" s="26" t="s">
        <v>21248</v>
      </c>
      <c r="C11178" s="52"/>
      <c r="D11178" s="55">
        <f t="shared" si="174"/>
        <v>0</v>
      </c>
      <c r="E11178" s="63" t="str">
        <f>HYPERLINK("https://www.sds-group.ru/product/lazernyy-proektor-meteoritnyy-dozhd-s-pultom-du-neon-night-601-291/", "Инфо")</f>
        <v>Инфо</v>
      </c>
      <c r="F11178" s="16" t="s">
        <v>39</v>
      </c>
      <c r="G11178" s="15"/>
      <c r="H11178" s="15"/>
      <c r="I11178" s="15"/>
      <c r="J11178" s="17">
        <v>22</v>
      </c>
      <c r="K11178" s="15"/>
      <c r="L11178" s="17">
        <v>1</v>
      </c>
      <c r="M11178" s="17">
        <v>20</v>
      </c>
      <c r="N11178" s="17">
        <v>1</v>
      </c>
      <c r="O11178" s="18">
        <v>4301.3</v>
      </c>
      <c r="P11178" s="18">
        <v>3525.66</v>
      </c>
      <c r="Q11178" s="18">
        <v>3139.95</v>
      </c>
      <c r="R11178" s="18">
        <v>2573.73</v>
      </c>
      <c r="S11178" s="18">
        <v>2924.88</v>
      </c>
      <c r="T11178" s="18">
        <v>2397.44</v>
      </c>
      <c r="U11178" s="16"/>
      <c r="V11178" s="16"/>
      <c r="W11178" s="16" t="s">
        <v>40</v>
      </c>
      <c r="X11178" s="19">
        <v>0.67</v>
      </c>
      <c r="Y11178" s="20">
        <v>6.7210000000000004E-3</v>
      </c>
      <c r="Z11178" s="21">
        <v>4601004180352</v>
      </c>
    </row>
    <row r="11179" spans="1:26" ht="12" customHeight="1" outlineLevel="4" x14ac:dyDescent="0.2">
      <c r="A11179" s="32" t="s">
        <v>21249</v>
      </c>
      <c r="B11179" s="74" t="s">
        <v>21250</v>
      </c>
      <c r="C11179" s="50"/>
      <c r="D11179" s="53">
        <f t="shared" si="174"/>
        <v>0</v>
      </c>
      <c r="E11179" s="60" t="str">
        <f>HYPERLINK("https://www.sds-group.ru/product/lazernyy-proektor-s-effektom-severnoe-siyanie-s-pultom-du-220-v-601-264/", "Инфо")</f>
        <v>Инфо</v>
      </c>
      <c r="F11179" s="34" t="s">
        <v>39</v>
      </c>
      <c r="G11179" s="33"/>
      <c r="H11179" s="33" t="s">
        <v>40</v>
      </c>
      <c r="I11179" s="33"/>
      <c r="J11179" s="34" t="s">
        <v>100</v>
      </c>
      <c r="K11179" s="33"/>
      <c r="L11179" s="35">
        <v>1</v>
      </c>
      <c r="M11179" s="35">
        <v>12</v>
      </c>
      <c r="N11179" s="35">
        <v>1</v>
      </c>
      <c r="O11179" s="36">
        <v>3546.69</v>
      </c>
      <c r="P11179" s="36">
        <v>2907.12</v>
      </c>
      <c r="Q11179" s="36">
        <v>2482.6799999999998</v>
      </c>
      <c r="R11179" s="36">
        <v>2034.98</v>
      </c>
      <c r="S11179" s="36">
        <v>2411.75</v>
      </c>
      <c r="T11179" s="36">
        <v>1976.84</v>
      </c>
      <c r="U11179" s="34"/>
      <c r="V11179" s="34"/>
      <c r="W11179" s="34"/>
      <c r="X11179" s="37">
        <v>0.51200000000000001</v>
      </c>
      <c r="Y11179" s="38">
        <v>2.4480000000000001E-3</v>
      </c>
      <c r="Z11179" s="21">
        <v>4601004149281</v>
      </c>
    </row>
    <row r="11180" spans="1:26" ht="12" customHeight="1" outlineLevel="4" x14ac:dyDescent="0.2">
      <c r="A11180" s="14" t="s">
        <v>21251</v>
      </c>
      <c r="B11180" s="26" t="s">
        <v>21252</v>
      </c>
      <c r="C11180" s="52"/>
      <c r="D11180" s="55">
        <f t="shared" si="174"/>
        <v>0</v>
      </c>
      <c r="E11180" s="63" t="str">
        <f>HYPERLINK("https://www.sds-group.ru/product/svetodiodnyy-nochnik-proektor-melony-601-525/", "Инфо")</f>
        <v>Инфо</v>
      </c>
      <c r="F11180" s="16" t="s">
        <v>39</v>
      </c>
      <c r="G11180" s="15"/>
      <c r="H11180" s="15"/>
      <c r="I11180" s="15"/>
      <c r="J11180" s="17">
        <v>17</v>
      </c>
      <c r="K11180" s="15"/>
      <c r="L11180" s="17">
        <v>1</v>
      </c>
      <c r="M11180" s="17">
        <v>40</v>
      </c>
      <c r="N11180" s="17">
        <v>1</v>
      </c>
      <c r="O11180" s="18">
        <v>3115.48</v>
      </c>
      <c r="P11180" s="18">
        <v>2553.67</v>
      </c>
      <c r="Q11180" s="18">
        <v>2180.84</v>
      </c>
      <c r="R11180" s="18">
        <v>1787.57</v>
      </c>
      <c r="S11180" s="18">
        <v>2118.5300000000002</v>
      </c>
      <c r="T11180" s="18">
        <v>1736.5</v>
      </c>
      <c r="U11180" s="16"/>
      <c r="V11180" s="16"/>
      <c r="W11180" s="16"/>
      <c r="X11180" s="19">
        <v>0.48799999999999999</v>
      </c>
      <c r="Y11180" s="20">
        <v>2.6800000000000001E-3</v>
      </c>
      <c r="Z11180" s="21">
        <v>4601004252790</v>
      </c>
    </row>
    <row r="11181" spans="1:26" ht="12.95" customHeight="1" outlineLevel="3" x14ac:dyDescent="0.2">
      <c r="A11181" s="76" t="s">
        <v>21253</v>
      </c>
      <c r="B11181" s="76"/>
      <c r="C11181" s="77"/>
      <c r="D11181" s="58"/>
      <c r="E11181" s="68"/>
      <c r="F11181" s="13"/>
      <c r="G11181" s="13"/>
      <c r="H11181" s="13"/>
      <c r="I11181" s="13"/>
      <c r="J11181" s="13"/>
      <c r="K11181" s="13"/>
      <c r="L11181" s="13"/>
      <c r="M11181" s="13"/>
      <c r="N11181" s="13"/>
      <c r="O11181" s="13"/>
      <c r="P11181" s="13"/>
      <c r="Q11181" s="13"/>
      <c r="R11181" s="13"/>
      <c r="S11181" s="13"/>
      <c r="T11181" s="13"/>
      <c r="U11181" s="13"/>
      <c r="V11181" s="13"/>
      <c r="W11181" s="13"/>
      <c r="X11181" s="13"/>
      <c r="Y11181" s="13"/>
      <c r="Z11181" s="13"/>
    </row>
    <row r="11182" spans="1:26" ht="12" customHeight="1" outlineLevel="4" x14ac:dyDescent="0.2">
      <c r="A11182" s="32" t="s">
        <v>21254</v>
      </c>
      <c r="B11182" s="74" t="s">
        <v>21255</v>
      </c>
      <c r="C11182" s="50"/>
      <c r="D11182" s="53">
        <f t="shared" si="174"/>
        <v>0</v>
      </c>
      <c r="E11182" s="60" t="str">
        <f>HYPERLINK("https://www.sds-group.ru/product/silikonovyy-nochnik-edinorog-usb-s-3-rezhimami-rgb-svechenie-neon-night-503-003/", "Инфо")</f>
        <v>Инфо</v>
      </c>
      <c r="F11182" s="34" t="s">
        <v>39</v>
      </c>
      <c r="G11182" s="33"/>
      <c r="H11182" s="33" t="s">
        <v>40</v>
      </c>
      <c r="I11182" s="33"/>
      <c r="J11182" s="34" t="s">
        <v>100</v>
      </c>
      <c r="K11182" s="33"/>
      <c r="L11182" s="35">
        <v>1</v>
      </c>
      <c r="M11182" s="35">
        <v>48</v>
      </c>
      <c r="N11182" s="35">
        <v>1</v>
      </c>
      <c r="O11182" s="36">
        <v>1363.22</v>
      </c>
      <c r="P11182" s="36">
        <v>1117.3900000000001</v>
      </c>
      <c r="Q11182" s="36">
        <v>954.25</v>
      </c>
      <c r="R11182" s="36">
        <v>782.17</v>
      </c>
      <c r="S11182" s="36">
        <v>926.99</v>
      </c>
      <c r="T11182" s="36">
        <v>759.83</v>
      </c>
      <c r="U11182" s="34"/>
      <c r="V11182" s="34"/>
      <c r="W11182" s="34"/>
      <c r="X11182" s="37">
        <v>0.35799999999999998</v>
      </c>
      <c r="Y11182" s="38">
        <v>3.4819999999999999E-3</v>
      </c>
      <c r="Z11182" s="21">
        <v>4601004148918</v>
      </c>
    </row>
    <row r="11183" spans="1:26" ht="12" customHeight="1" outlineLevel="4" x14ac:dyDescent="0.2">
      <c r="A11183" s="32" t="s">
        <v>21256</v>
      </c>
      <c r="B11183" s="74" t="s">
        <v>21257</v>
      </c>
      <c r="C11183" s="50"/>
      <c r="D11183" s="53">
        <f t="shared" si="174"/>
        <v>0</v>
      </c>
      <c r="E11183" s="60" t="str">
        <f>HYPERLINK("https://www.sds-group.ru/product/silikonovyy-nochnik-lebed-neon-night-503-004/", "Инфо")</f>
        <v>Инфо</v>
      </c>
      <c r="F11183" s="34" t="s">
        <v>39</v>
      </c>
      <c r="G11183" s="33"/>
      <c r="H11183" s="33" t="s">
        <v>40</v>
      </c>
      <c r="I11183" s="33"/>
      <c r="J11183" s="35">
        <v>1</v>
      </c>
      <c r="K11183" s="33"/>
      <c r="L11183" s="35">
        <v>1</v>
      </c>
      <c r="M11183" s="35">
        <v>60</v>
      </c>
      <c r="N11183" s="35">
        <v>1</v>
      </c>
      <c r="O11183" s="36">
        <v>1363.22</v>
      </c>
      <c r="P11183" s="36">
        <v>1117.3900000000001</v>
      </c>
      <c r="Q11183" s="36">
        <v>954.25</v>
      </c>
      <c r="R11183" s="36">
        <v>782.17</v>
      </c>
      <c r="S11183" s="36">
        <v>926.99</v>
      </c>
      <c r="T11183" s="36">
        <v>759.83</v>
      </c>
      <c r="U11183" s="34"/>
      <c r="V11183" s="34"/>
      <c r="W11183" s="34"/>
      <c r="X11183" s="37">
        <v>0.33700000000000002</v>
      </c>
      <c r="Y11183" s="38">
        <v>3.437E-3</v>
      </c>
      <c r="Z11183" s="21">
        <v>4601004173514</v>
      </c>
    </row>
    <row r="11184" spans="1:26" ht="12" customHeight="1" outlineLevel="4" x14ac:dyDescent="0.2">
      <c r="A11184" s="32" t="s">
        <v>21258</v>
      </c>
      <c r="B11184" s="74" t="s">
        <v>21259</v>
      </c>
      <c r="C11184" s="50"/>
      <c r="D11184" s="53">
        <f t="shared" si="174"/>
        <v>0</v>
      </c>
      <c r="E11184" s="60" t="str">
        <f>HYPERLINK("https://www.sds-group.ru/product/silikonovyy-nochnik-shark-503-018/", "Инфо")</f>
        <v>Инфо</v>
      </c>
      <c r="F11184" s="34" t="s">
        <v>39</v>
      </c>
      <c r="G11184" s="33"/>
      <c r="H11184" s="33" t="s">
        <v>40</v>
      </c>
      <c r="I11184" s="33"/>
      <c r="J11184" s="35">
        <v>3</v>
      </c>
      <c r="K11184" s="33"/>
      <c r="L11184" s="35">
        <v>1</v>
      </c>
      <c r="M11184" s="35">
        <v>48</v>
      </c>
      <c r="N11184" s="35">
        <v>1</v>
      </c>
      <c r="O11184" s="36">
        <v>1363.22</v>
      </c>
      <c r="P11184" s="36">
        <v>1117.3900000000001</v>
      </c>
      <c r="Q11184" s="36">
        <v>954.25</v>
      </c>
      <c r="R11184" s="36">
        <v>782.17</v>
      </c>
      <c r="S11184" s="36">
        <v>926.99</v>
      </c>
      <c r="T11184" s="36">
        <v>759.83</v>
      </c>
      <c r="U11184" s="34"/>
      <c r="V11184" s="34"/>
      <c r="W11184" s="34"/>
      <c r="X11184" s="37">
        <v>0.29499999999999998</v>
      </c>
      <c r="Y11184" s="38">
        <v>3.369E-3</v>
      </c>
      <c r="Z11184" s="21">
        <v>4601004224940</v>
      </c>
    </row>
    <row r="11185" spans="1:26" ht="12.95" customHeight="1" outlineLevel="3" x14ac:dyDescent="0.2">
      <c r="A11185" s="76" t="s">
        <v>21260</v>
      </c>
      <c r="B11185" s="76"/>
      <c r="C11185" s="77"/>
      <c r="D11185" s="58"/>
      <c r="E11185" s="68"/>
      <c r="F11185" s="13"/>
      <c r="G11185" s="13"/>
      <c r="H11185" s="13"/>
      <c r="I11185" s="13"/>
      <c r="J11185" s="13"/>
      <c r="K11185" s="13"/>
      <c r="L11185" s="13"/>
      <c r="M11185" s="13"/>
      <c r="N11185" s="13"/>
      <c r="O11185" s="13"/>
      <c r="P11185" s="13"/>
      <c r="Q11185" s="13"/>
      <c r="R11185" s="13"/>
      <c r="S11185" s="13"/>
      <c r="T11185" s="13"/>
      <c r="U11185" s="13"/>
      <c r="V11185" s="13"/>
      <c r="W11185" s="13"/>
      <c r="X11185" s="13"/>
      <c r="Y11185" s="13"/>
      <c r="Z11185" s="13"/>
    </row>
    <row r="11186" spans="1:26" ht="12" customHeight="1" outlineLevel="4" x14ac:dyDescent="0.2">
      <c r="A11186" s="14" t="s">
        <v>21261</v>
      </c>
      <c r="B11186" s="26" t="s">
        <v>21262</v>
      </c>
      <c r="C11186" s="52"/>
      <c r="D11186" s="55">
        <f t="shared" si="174"/>
        <v>0</v>
      </c>
      <c r="E11186" s="63" t="str">
        <f>HYPERLINK("https://www.sds-group.ru/product/novogodnyaya-gorka-7-svechek-tsvet-korpusa-belyy-tsvet-svecheniya-teplyy-belyy-501-081/", "Инфо")</f>
        <v>Инфо</v>
      </c>
      <c r="F11186" s="16" t="s">
        <v>39</v>
      </c>
      <c r="G11186" s="15"/>
      <c r="H11186" s="15"/>
      <c r="I11186" s="15"/>
      <c r="J11186" s="17">
        <v>1</v>
      </c>
      <c r="K11186" s="15"/>
      <c r="L11186" s="17">
        <v>1</v>
      </c>
      <c r="M11186" s="17">
        <v>10</v>
      </c>
      <c r="N11186" s="17">
        <v>1</v>
      </c>
      <c r="O11186" s="18">
        <v>1760.31</v>
      </c>
      <c r="P11186" s="18">
        <v>1442.88</v>
      </c>
      <c r="Q11186" s="18">
        <v>1232.22</v>
      </c>
      <c r="R11186" s="18">
        <v>1010.02</v>
      </c>
      <c r="S11186" s="18">
        <v>1197.01</v>
      </c>
      <c r="T11186" s="18">
        <v>981.16</v>
      </c>
      <c r="U11186" s="16"/>
      <c r="V11186" s="16"/>
      <c r="W11186" s="16"/>
      <c r="X11186" s="19">
        <v>0.61099999999999999</v>
      </c>
      <c r="Y11186" s="20">
        <v>1.027E-2</v>
      </c>
      <c r="Z11186" s="21">
        <v>4601004091894</v>
      </c>
    </row>
    <row r="11187" spans="1:26" ht="12" customHeight="1" outlineLevel="4" x14ac:dyDescent="0.2">
      <c r="A11187" s="14" t="s">
        <v>21263</v>
      </c>
      <c r="B11187" s="26" t="s">
        <v>21264</v>
      </c>
      <c r="C11187" s="52"/>
      <c r="D11187" s="55">
        <f t="shared" si="174"/>
        <v>0</v>
      </c>
      <c r="E11187" s="63" t="str">
        <f>HYPERLINK("https://www.sds-group.ru/product/novogodnyaya-gorka-7-svechek-tsvet-korpusa-krasnyy-tsvet-svecheniya-teplyy-belyy-501-082/", "Инфо")</f>
        <v>Инфо</v>
      </c>
      <c r="F11187" s="16" t="s">
        <v>39</v>
      </c>
      <c r="G11187" s="15"/>
      <c r="H11187" s="15"/>
      <c r="I11187" s="15"/>
      <c r="J11187" s="17">
        <v>25</v>
      </c>
      <c r="K11187" s="15"/>
      <c r="L11187" s="17">
        <v>1</v>
      </c>
      <c r="M11187" s="17">
        <v>10</v>
      </c>
      <c r="N11187" s="17">
        <v>1</v>
      </c>
      <c r="O11187" s="18">
        <v>1760.31</v>
      </c>
      <c r="P11187" s="18">
        <v>1442.88</v>
      </c>
      <c r="Q11187" s="18">
        <v>1390.64</v>
      </c>
      <c r="R11187" s="18">
        <v>1139.8699999999999</v>
      </c>
      <c r="S11187" s="18">
        <v>1197.01</v>
      </c>
      <c r="T11187" s="18">
        <v>981.16</v>
      </c>
      <c r="U11187" s="16"/>
      <c r="V11187" s="16"/>
      <c r="W11187" s="16" t="s">
        <v>40</v>
      </c>
      <c r="X11187" s="19">
        <v>0.57199999999999995</v>
      </c>
      <c r="Y11187" s="20">
        <v>8.9119999999999998E-3</v>
      </c>
      <c r="Z11187" s="21">
        <v>4601004091917</v>
      </c>
    </row>
    <row r="11188" spans="1:26" ht="12" customHeight="1" outlineLevel="4" x14ac:dyDescent="0.2">
      <c r="A11188" s="14" t="s">
        <v>21265</v>
      </c>
      <c r="B11188" s="26" t="s">
        <v>21266</v>
      </c>
      <c r="C11188" s="52"/>
      <c r="D11188" s="55">
        <f t="shared" si="174"/>
        <v>0</v>
      </c>
      <c r="E11188" s="63" t="str">
        <f>HYPERLINK("https://www.sds-group.ru/product/figura-na-podstavke-podsvechnik-so-svechkami-50-sm-513-034/", "Инфо")</f>
        <v>Инфо</v>
      </c>
      <c r="F11188" s="16" t="s">
        <v>39</v>
      </c>
      <c r="G11188" s="15"/>
      <c r="H11188" s="15"/>
      <c r="I11188" s="15"/>
      <c r="J11188" s="16" t="s">
        <v>100</v>
      </c>
      <c r="K11188" s="15" t="s">
        <v>11098</v>
      </c>
      <c r="L11188" s="17">
        <v>1</v>
      </c>
      <c r="M11188" s="17">
        <v>6</v>
      </c>
      <c r="N11188" s="17">
        <v>1</v>
      </c>
      <c r="O11188" s="18">
        <v>2786.04</v>
      </c>
      <c r="P11188" s="18">
        <v>2283.64</v>
      </c>
      <c r="Q11188" s="18">
        <v>1950.23</v>
      </c>
      <c r="R11188" s="18">
        <v>1598.55</v>
      </c>
      <c r="S11188" s="18">
        <v>1894.51</v>
      </c>
      <c r="T11188" s="18">
        <v>1552.88</v>
      </c>
      <c r="U11188" s="16"/>
      <c r="V11188" s="16"/>
      <c r="W11188" s="16"/>
      <c r="X11188" s="19">
        <v>0.72399999999999998</v>
      </c>
      <c r="Y11188" s="20">
        <v>1.856E-2</v>
      </c>
      <c r="Z11188" s="21">
        <v>4601004129177</v>
      </c>
    </row>
    <row r="11189" spans="1:26" ht="12.95" customHeight="1" outlineLevel="3" x14ac:dyDescent="0.2">
      <c r="A11189" s="76" t="s">
        <v>21267</v>
      </c>
      <c r="B11189" s="76"/>
      <c r="C11189" s="77"/>
      <c r="D11189" s="58"/>
      <c r="E11189" s="68"/>
      <c r="F11189" s="13"/>
      <c r="G11189" s="13"/>
      <c r="H11189" s="13"/>
      <c r="I11189" s="13"/>
      <c r="J11189" s="13"/>
      <c r="K11189" s="13"/>
      <c r="L11189" s="13"/>
      <c r="M11189" s="13"/>
      <c r="N11189" s="13"/>
      <c r="O11189" s="13"/>
      <c r="P11189" s="13"/>
      <c r="Q11189" s="13"/>
      <c r="R11189" s="13"/>
      <c r="S11189" s="13"/>
      <c r="T11189" s="13"/>
      <c r="U11189" s="13"/>
      <c r="V11189" s="13"/>
      <c r="W11189" s="13"/>
      <c r="X11189" s="13"/>
      <c r="Y11189" s="13"/>
      <c r="Z11189" s="13"/>
    </row>
    <row r="11190" spans="1:26" ht="12" customHeight="1" outlineLevel="4" x14ac:dyDescent="0.2">
      <c r="A11190" s="32" t="s">
        <v>21268</v>
      </c>
      <c r="B11190" s="74" t="s">
        <v>21269</v>
      </c>
      <c r="C11190" s="50"/>
      <c r="D11190" s="53">
        <f t="shared" si="174"/>
        <v>0</v>
      </c>
      <c r="E11190" s="60" t="str">
        <f>HYPERLINK("https://www.sds-group.ru/product/akrilovaya-svetodiodnaya-figura-belka-17-5h12h18-sm-4-5-v-3-batareyki-aaa-ne-vhodyat-v-kompl-513-341/", "Инфо")</f>
        <v>Инфо</v>
      </c>
      <c r="F11190" s="34" t="s">
        <v>39</v>
      </c>
      <c r="G11190" s="33"/>
      <c r="H11190" s="33" t="s">
        <v>40</v>
      </c>
      <c r="I11190" s="33"/>
      <c r="J11190" s="35">
        <v>3</v>
      </c>
      <c r="K11190" s="33"/>
      <c r="L11190" s="35">
        <v>1</v>
      </c>
      <c r="M11190" s="35">
        <v>8</v>
      </c>
      <c r="N11190" s="35">
        <v>1</v>
      </c>
      <c r="O11190" s="36">
        <v>1584.28</v>
      </c>
      <c r="P11190" s="36">
        <v>1298.5899999999999</v>
      </c>
      <c r="Q11190" s="36">
        <v>1109</v>
      </c>
      <c r="R11190" s="36">
        <v>909.02</v>
      </c>
      <c r="S11190" s="36">
        <v>1077.31</v>
      </c>
      <c r="T11190" s="36">
        <v>883.04</v>
      </c>
      <c r="U11190" s="34"/>
      <c r="V11190" s="34"/>
      <c r="W11190" s="34"/>
      <c r="X11190" s="37">
        <v>0.33400000000000002</v>
      </c>
      <c r="Y11190" s="38">
        <v>3.3709999999999999E-3</v>
      </c>
      <c r="Z11190" s="21">
        <v>4601004003477</v>
      </c>
    </row>
    <row r="11191" spans="1:26" ht="12" customHeight="1" outlineLevel="4" x14ac:dyDescent="0.2">
      <c r="A11191" s="32" t="s">
        <v>21270</v>
      </c>
      <c r="B11191" s="74" t="s">
        <v>21271</v>
      </c>
      <c r="C11191" s="50"/>
      <c r="D11191" s="53">
        <f t="shared" si="174"/>
        <v>0</v>
      </c>
      <c r="E11191" s="60" t="str">
        <f>HYPERLINK("https://www.sds-group.ru/product/akrilovaya-svetodiodnaya-figura-belyy-mishka-20-sm-4-5-v-3-batareyki-aa-ne-vhodyat-v-komplek-513-247/", "Инфо")</f>
        <v>Инфо</v>
      </c>
      <c r="F11191" s="34" t="s">
        <v>39</v>
      </c>
      <c r="G11191" s="33"/>
      <c r="H11191" s="33" t="s">
        <v>40</v>
      </c>
      <c r="I11191" s="33"/>
      <c r="J11191" s="34" t="s">
        <v>100</v>
      </c>
      <c r="K11191" s="33"/>
      <c r="L11191" s="35">
        <v>1</v>
      </c>
      <c r="M11191" s="35">
        <v>8</v>
      </c>
      <c r="N11191" s="35">
        <v>1</v>
      </c>
      <c r="O11191" s="36">
        <v>1760.31</v>
      </c>
      <c r="P11191" s="36">
        <v>1442.88</v>
      </c>
      <c r="Q11191" s="36">
        <v>1232.22</v>
      </c>
      <c r="R11191" s="36">
        <v>1010.02</v>
      </c>
      <c r="S11191" s="36">
        <v>1197.01</v>
      </c>
      <c r="T11191" s="36">
        <v>981.16</v>
      </c>
      <c r="U11191" s="34"/>
      <c r="V11191" s="34"/>
      <c r="W11191" s="34"/>
      <c r="X11191" s="37">
        <v>0.61399999999999999</v>
      </c>
      <c r="Y11191" s="38">
        <v>6.28E-3</v>
      </c>
      <c r="Z11191" s="21">
        <v>4601004003217</v>
      </c>
    </row>
    <row r="11192" spans="1:26" ht="12" customHeight="1" outlineLevel="4" x14ac:dyDescent="0.2">
      <c r="A11192" s="32" t="s">
        <v>21272</v>
      </c>
      <c r="B11192" s="74" t="s">
        <v>21273</v>
      </c>
      <c r="C11192" s="50"/>
      <c r="D11192" s="53">
        <f t="shared" si="174"/>
        <v>0</v>
      </c>
      <c r="E11192" s="60" t="str">
        <f>HYPERLINK("https://www.sds-group.ru/product/akrilovaya-svetodiodnaya-figura-lisenok-28h15h26-sm-batareyki-2haa-ne-vhodyat-v-komplekt-30--513-316/", "Инфо")</f>
        <v>Инфо</v>
      </c>
      <c r="F11192" s="34" t="s">
        <v>39</v>
      </c>
      <c r="G11192" s="33"/>
      <c r="H11192" s="33" t="s">
        <v>40</v>
      </c>
      <c r="I11192" s="33"/>
      <c r="J11192" s="35">
        <v>1</v>
      </c>
      <c r="K11192" s="33"/>
      <c r="L11192" s="35">
        <v>1</v>
      </c>
      <c r="M11192" s="35">
        <v>12</v>
      </c>
      <c r="N11192" s="35">
        <v>1</v>
      </c>
      <c r="O11192" s="36">
        <v>2786.04</v>
      </c>
      <c r="P11192" s="36">
        <v>2283.64</v>
      </c>
      <c r="Q11192" s="36">
        <v>1950.23</v>
      </c>
      <c r="R11192" s="36">
        <v>1598.55</v>
      </c>
      <c r="S11192" s="36">
        <v>1894.51</v>
      </c>
      <c r="T11192" s="36">
        <v>1552.88</v>
      </c>
      <c r="U11192" s="34"/>
      <c r="V11192" s="34"/>
      <c r="W11192" s="34"/>
      <c r="X11192" s="37">
        <v>0.79</v>
      </c>
      <c r="Y11192" s="38">
        <v>1.3398E-2</v>
      </c>
      <c r="Z11192" s="21">
        <v>4601004180192</v>
      </c>
    </row>
    <row r="11193" spans="1:26" ht="12" customHeight="1" outlineLevel="4" x14ac:dyDescent="0.2">
      <c r="A11193" s="32" t="s">
        <v>21274</v>
      </c>
      <c r="B11193" s="74" t="s">
        <v>21275</v>
      </c>
      <c r="C11193" s="50"/>
      <c r="D11193" s="53">
        <f t="shared" si="174"/>
        <v>0</v>
      </c>
      <c r="E11193" s="60" t="str">
        <f>HYPERLINK("https://www.sds-group.ru/product/akrilovaya-svetodiodnaya-figura-medved-34-5h12h17-sm-4-5-v-3-batareyki-aa-ne-vhodyat-v-kompl-513-315/", "Инфо")</f>
        <v>Инфо</v>
      </c>
      <c r="F11193" s="34" t="s">
        <v>39</v>
      </c>
      <c r="G11193" s="33"/>
      <c r="H11193" s="33" t="s">
        <v>40</v>
      </c>
      <c r="I11193" s="33"/>
      <c r="J11193" s="34" t="s">
        <v>100</v>
      </c>
      <c r="K11193" s="33"/>
      <c r="L11193" s="35">
        <v>1</v>
      </c>
      <c r="M11193" s="35">
        <v>4</v>
      </c>
      <c r="N11193" s="35">
        <v>1</v>
      </c>
      <c r="O11193" s="36">
        <v>2786.04</v>
      </c>
      <c r="P11193" s="36">
        <v>2283.64</v>
      </c>
      <c r="Q11193" s="36">
        <v>1950.23</v>
      </c>
      <c r="R11193" s="36">
        <v>1598.55</v>
      </c>
      <c r="S11193" s="36">
        <v>1894.51</v>
      </c>
      <c r="T11193" s="36">
        <v>1552.88</v>
      </c>
      <c r="U11193" s="34"/>
      <c r="V11193" s="34"/>
      <c r="W11193" s="34"/>
      <c r="X11193" s="37">
        <v>1.518</v>
      </c>
      <c r="Y11193" s="38">
        <v>2.5846000000000001E-2</v>
      </c>
      <c r="Z11193" s="21">
        <v>4601004003491</v>
      </c>
    </row>
    <row r="11194" spans="1:26" ht="12" customHeight="1" outlineLevel="4" x14ac:dyDescent="0.2">
      <c r="A11194" s="14" t="s">
        <v>21276</v>
      </c>
      <c r="B11194" s="26" t="s">
        <v>21277</v>
      </c>
      <c r="C11194" s="52"/>
      <c r="D11194" s="55">
        <f t="shared" si="174"/>
        <v>0</v>
      </c>
      <c r="E11194" s="63" t="str">
        <f>HYPERLINK("https://www.sds-group.ru/product/akrilovaya-svetodiodnaya-figura-medvezhonok-24h11h18-sm-4-5-v-3-batareyki-aa-ne-vhodyat-v-ko-513-312/", "Инфо")</f>
        <v>Инфо</v>
      </c>
      <c r="F11194" s="16" t="s">
        <v>39</v>
      </c>
      <c r="G11194" s="15"/>
      <c r="H11194" s="15"/>
      <c r="I11194" s="15"/>
      <c r="J11194" s="16" t="s">
        <v>100</v>
      </c>
      <c r="K11194" s="15"/>
      <c r="L11194" s="17">
        <v>1</v>
      </c>
      <c r="M11194" s="17">
        <v>4</v>
      </c>
      <c r="N11194" s="17">
        <v>1</v>
      </c>
      <c r="O11194" s="18">
        <v>1980.02</v>
      </c>
      <c r="P11194" s="18">
        <v>1622.97</v>
      </c>
      <c r="Q11194" s="18">
        <v>1386.01</v>
      </c>
      <c r="R11194" s="18">
        <v>1136.07</v>
      </c>
      <c r="S11194" s="18">
        <v>1346.41</v>
      </c>
      <c r="T11194" s="18">
        <v>1103.6099999999999</v>
      </c>
      <c r="U11194" s="16"/>
      <c r="V11194" s="16"/>
      <c r="W11194" s="16"/>
      <c r="X11194" s="19">
        <v>0.76600000000000001</v>
      </c>
      <c r="Y11194" s="20">
        <v>7.5259999999999997E-3</v>
      </c>
      <c r="Z11194" s="21">
        <v>4601004003453</v>
      </c>
    </row>
    <row r="11195" spans="1:26" ht="12" customHeight="1" outlineLevel="4" x14ac:dyDescent="0.2">
      <c r="A11195" s="32" t="s">
        <v>21278</v>
      </c>
      <c r="B11195" s="74" t="s">
        <v>21279</v>
      </c>
      <c r="C11195" s="50"/>
      <c r="D11195" s="53">
        <f t="shared" si="174"/>
        <v>0</v>
      </c>
      <c r="E11195" s="60" t="str">
        <f>HYPERLINK("https://www.sds-group.ru/product/akrilovaya-svetodiodnaya-figura-medvezhonok-12h22h13-sm-4-5-v-3-batareyki-aa-ne-vhodyat-v-ko-513-311/", "Инфо")</f>
        <v>Инфо</v>
      </c>
      <c r="F11195" s="34" t="s">
        <v>39</v>
      </c>
      <c r="G11195" s="33"/>
      <c r="H11195" s="33" t="s">
        <v>40</v>
      </c>
      <c r="I11195" s="33"/>
      <c r="J11195" s="35">
        <v>7</v>
      </c>
      <c r="K11195" s="33"/>
      <c r="L11195" s="35">
        <v>1</v>
      </c>
      <c r="M11195" s="35">
        <v>4</v>
      </c>
      <c r="N11195" s="35">
        <v>1</v>
      </c>
      <c r="O11195" s="36">
        <v>1760.31</v>
      </c>
      <c r="P11195" s="36">
        <v>1442.88</v>
      </c>
      <c r="Q11195" s="36">
        <v>1232.22</v>
      </c>
      <c r="R11195" s="36">
        <v>1010.02</v>
      </c>
      <c r="S11195" s="36">
        <v>1197.01</v>
      </c>
      <c r="T11195" s="36">
        <v>981.16</v>
      </c>
      <c r="U11195" s="34"/>
      <c r="V11195" s="34"/>
      <c r="W11195" s="34"/>
      <c r="X11195" s="37">
        <v>0.39900000000000002</v>
      </c>
      <c r="Y11195" s="38">
        <v>4.2789999999999998E-3</v>
      </c>
      <c r="Z11195" s="21">
        <v>4601004003446</v>
      </c>
    </row>
    <row r="11196" spans="1:26" ht="12" customHeight="1" outlineLevel="4" x14ac:dyDescent="0.2">
      <c r="A11196" s="32" t="s">
        <v>21280</v>
      </c>
      <c r="B11196" s="74" t="s">
        <v>21281</v>
      </c>
      <c r="C11196" s="50"/>
      <c r="D11196" s="53">
        <f t="shared" si="174"/>
        <v>0</v>
      </c>
      <c r="E11196" s="60" t="str">
        <f>HYPERLINK("https://www.sds-group.ru/product/akrilovaya-svetodiodnaya-figura-ovtsa-30sm-56-svetodiodov-ip65-24v-neon-night-513-401/", "Инфо")</f>
        <v>Инфо</v>
      </c>
      <c r="F11196" s="34" t="s">
        <v>39</v>
      </c>
      <c r="G11196" s="33"/>
      <c r="H11196" s="33" t="s">
        <v>40</v>
      </c>
      <c r="I11196" s="33"/>
      <c r="J11196" s="34" t="s">
        <v>100</v>
      </c>
      <c r="K11196" s="33"/>
      <c r="L11196" s="35">
        <v>1</v>
      </c>
      <c r="M11196" s="35">
        <v>1</v>
      </c>
      <c r="N11196" s="35">
        <v>1</v>
      </c>
      <c r="O11196" s="36">
        <v>2134.87</v>
      </c>
      <c r="P11196" s="36">
        <v>1749.89</v>
      </c>
      <c r="Q11196" s="36">
        <v>1494.41</v>
      </c>
      <c r="R11196" s="36">
        <v>1224.93</v>
      </c>
      <c r="S11196" s="36">
        <v>1451.71</v>
      </c>
      <c r="T11196" s="36">
        <v>1189.93</v>
      </c>
      <c r="U11196" s="34"/>
      <c r="V11196" s="34"/>
      <c r="W11196" s="34"/>
      <c r="X11196" s="37">
        <v>3.0590000000000002</v>
      </c>
      <c r="Y11196" s="38">
        <v>5.3096999999999998E-2</v>
      </c>
      <c r="Z11196" s="21">
        <v>4601004016989</v>
      </c>
    </row>
    <row r="11197" spans="1:26" ht="12" customHeight="1" outlineLevel="4" x14ac:dyDescent="0.2">
      <c r="A11197" s="32" t="s">
        <v>21282</v>
      </c>
      <c r="B11197" s="74" t="s">
        <v>21283</v>
      </c>
      <c r="C11197" s="50"/>
      <c r="D11197" s="53">
        <f t="shared" si="174"/>
        <v>0</v>
      </c>
      <c r="E11197" s="60" t="str">
        <f>HYPERLINK("https://www.sds-group.ru/product/akrilovaya-svetodiodnaya-figura-olenenok-v-sharfe-20h17h30-sm-24-svetodioda-batareyki-2haa-n-513-314/", "Инфо")</f>
        <v>Инфо</v>
      </c>
      <c r="F11197" s="34" t="s">
        <v>39</v>
      </c>
      <c r="G11197" s="33"/>
      <c r="H11197" s="33" t="s">
        <v>40</v>
      </c>
      <c r="I11197" s="33"/>
      <c r="J11197" s="35">
        <v>7</v>
      </c>
      <c r="K11197" s="33"/>
      <c r="L11197" s="35">
        <v>1</v>
      </c>
      <c r="M11197" s="35">
        <v>12</v>
      </c>
      <c r="N11197" s="35">
        <v>1</v>
      </c>
      <c r="O11197" s="36">
        <v>2507.44</v>
      </c>
      <c r="P11197" s="36">
        <v>2055.2800000000002</v>
      </c>
      <c r="Q11197" s="36">
        <v>1755.21</v>
      </c>
      <c r="R11197" s="36">
        <v>1438.7</v>
      </c>
      <c r="S11197" s="36">
        <v>1705.06</v>
      </c>
      <c r="T11197" s="36">
        <v>1397.59</v>
      </c>
      <c r="U11197" s="34"/>
      <c r="V11197" s="34"/>
      <c r="W11197" s="34"/>
      <c r="X11197" s="37">
        <v>1.0680000000000001</v>
      </c>
      <c r="Y11197" s="38">
        <v>1.7188999999999999E-2</v>
      </c>
      <c r="Z11197" s="21">
        <v>4601004180185</v>
      </c>
    </row>
    <row r="11198" spans="1:26" ht="12" customHeight="1" outlineLevel="4" x14ac:dyDescent="0.2">
      <c r="A11198" s="32" t="s">
        <v>21284</v>
      </c>
      <c r="B11198" s="74" t="s">
        <v>21285</v>
      </c>
      <c r="C11198" s="50"/>
      <c r="D11198" s="53">
        <f t="shared" si="174"/>
        <v>0</v>
      </c>
      <c r="E11198" s="60" t="str">
        <f>HYPERLINK("https://www.sds-group.ru/product/akrilovaya-svetodiodnaya-figura-pingvinenok-19h14-5h25-sm-20-svetodiodov-batareyki-2haa-ne-v-513-323/", "Инфо")</f>
        <v>Инфо</v>
      </c>
      <c r="F11198" s="34" t="s">
        <v>39</v>
      </c>
      <c r="G11198" s="33"/>
      <c r="H11198" s="33" t="s">
        <v>40</v>
      </c>
      <c r="I11198" s="33"/>
      <c r="J11198" s="35">
        <v>3</v>
      </c>
      <c r="K11198" s="33"/>
      <c r="L11198" s="35">
        <v>1</v>
      </c>
      <c r="M11198" s="35">
        <v>12</v>
      </c>
      <c r="N11198" s="35">
        <v>1</v>
      </c>
      <c r="O11198" s="36">
        <v>2786.04</v>
      </c>
      <c r="P11198" s="36">
        <v>2283.64</v>
      </c>
      <c r="Q11198" s="36">
        <v>1950.23</v>
      </c>
      <c r="R11198" s="36">
        <v>1598.55</v>
      </c>
      <c r="S11198" s="36">
        <v>1894.51</v>
      </c>
      <c r="T11198" s="36">
        <v>1552.88</v>
      </c>
      <c r="U11198" s="34"/>
      <c r="V11198" s="34"/>
      <c r="W11198" s="34"/>
      <c r="X11198" s="37">
        <v>0.71699999999999997</v>
      </c>
      <c r="Y11198" s="38">
        <v>1.0156999999999999E-2</v>
      </c>
      <c r="Z11198" s="21">
        <v>4601004180154</v>
      </c>
    </row>
    <row r="11199" spans="1:26" ht="12" customHeight="1" outlineLevel="4" x14ac:dyDescent="0.2">
      <c r="A11199" s="32" t="s">
        <v>21286</v>
      </c>
      <c r="B11199" s="74" t="s">
        <v>21287</v>
      </c>
      <c r="C11199" s="50"/>
      <c r="D11199" s="53">
        <f t="shared" si="174"/>
        <v>0</v>
      </c>
      <c r="E11199" s="60" t="str">
        <f>HYPERLINK("https://www.sds-group.ru/product/akrilovaya-svetodiodnaya-figura-santa-klaus-privetstvuet-30-sm-40-svetodiodov-ip65-ponizhayu-513-273/", "Инфо")</f>
        <v>Инфо</v>
      </c>
      <c r="F11199" s="34" t="s">
        <v>39</v>
      </c>
      <c r="G11199" s="33"/>
      <c r="H11199" s="33" t="s">
        <v>40</v>
      </c>
      <c r="I11199" s="33"/>
      <c r="J11199" s="34" t="s">
        <v>100</v>
      </c>
      <c r="K11199" s="33"/>
      <c r="L11199" s="35">
        <v>1</v>
      </c>
      <c r="M11199" s="35">
        <v>6</v>
      </c>
      <c r="N11199" s="35">
        <v>1</v>
      </c>
      <c r="O11199" s="36">
        <v>4295.6099999999997</v>
      </c>
      <c r="P11199" s="36">
        <v>3520.99</v>
      </c>
      <c r="Q11199" s="36">
        <v>3006.93</v>
      </c>
      <c r="R11199" s="36">
        <v>2464.6999999999998</v>
      </c>
      <c r="S11199" s="36">
        <v>2921.01</v>
      </c>
      <c r="T11199" s="36">
        <v>2394.27</v>
      </c>
      <c r="U11199" s="34"/>
      <c r="V11199" s="34"/>
      <c r="W11199" s="34"/>
      <c r="X11199" s="37">
        <v>1.377</v>
      </c>
      <c r="Y11199" s="38">
        <v>1.6948999999999999E-2</v>
      </c>
      <c r="Z11199" s="21">
        <v>4601004003347</v>
      </c>
    </row>
    <row r="11200" spans="1:26" ht="12" customHeight="1" outlineLevel="4" x14ac:dyDescent="0.2">
      <c r="A11200" s="32" t="s">
        <v>21288</v>
      </c>
      <c r="B11200" s="74" t="s">
        <v>21289</v>
      </c>
      <c r="C11200" s="50"/>
      <c r="D11200" s="53">
        <f t="shared" si="174"/>
        <v>0</v>
      </c>
      <c r="E11200" s="60" t="str">
        <f>HYPERLINK("https://www.sds-group.ru/product/akrilovaya-svetodiodnaya-figura-severnyy-olen-45-sm-100-svetodiodov-ip65-ponizhayuschiy-tran-513-270/", "Инфо")</f>
        <v>Инфо</v>
      </c>
      <c r="F11200" s="34" t="s">
        <v>39</v>
      </c>
      <c r="G11200" s="33"/>
      <c r="H11200" s="33" t="s">
        <v>40</v>
      </c>
      <c r="I11200" s="33"/>
      <c r="J11200" s="34" t="s">
        <v>100</v>
      </c>
      <c r="K11200" s="33"/>
      <c r="L11200" s="35">
        <v>1</v>
      </c>
      <c r="M11200" s="35">
        <v>4</v>
      </c>
      <c r="N11200" s="35">
        <v>1</v>
      </c>
      <c r="O11200" s="36">
        <v>8613.3799999999992</v>
      </c>
      <c r="P11200" s="36">
        <v>7060.15</v>
      </c>
      <c r="Q11200" s="36">
        <v>6029.37</v>
      </c>
      <c r="R11200" s="36">
        <v>4942.1099999999997</v>
      </c>
      <c r="S11200" s="36">
        <v>5857.1</v>
      </c>
      <c r="T11200" s="36">
        <v>4800.8999999999996</v>
      </c>
      <c r="U11200" s="34"/>
      <c r="V11200" s="34"/>
      <c r="W11200" s="34"/>
      <c r="X11200" s="37">
        <v>1.7150000000000001</v>
      </c>
      <c r="Y11200" s="38">
        <v>4.5430999999999999E-2</v>
      </c>
      <c r="Z11200" s="21">
        <v>4601004003323</v>
      </c>
    </row>
    <row r="11201" spans="1:26" ht="12.95" customHeight="1" outlineLevel="3" x14ac:dyDescent="0.2">
      <c r="A11201" s="76" t="s">
        <v>21290</v>
      </c>
      <c r="B11201" s="76"/>
      <c r="C11201" s="77"/>
      <c r="D11201" s="58"/>
      <c r="E11201" s="68"/>
      <c r="F11201" s="13"/>
      <c r="G11201" s="13"/>
      <c r="H11201" s="13"/>
      <c r="I11201" s="13"/>
      <c r="J11201" s="13"/>
      <c r="K11201" s="13"/>
      <c r="L11201" s="13"/>
      <c r="M11201" s="13"/>
      <c r="N11201" s="13"/>
      <c r="O11201" s="13"/>
      <c r="P11201" s="13"/>
      <c r="Q11201" s="13"/>
      <c r="R11201" s="13"/>
      <c r="S11201" s="13"/>
      <c r="T11201" s="13"/>
      <c r="U11201" s="13"/>
      <c r="V11201" s="13"/>
      <c r="W11201" s="13"/>
      <c r="X11201" s="13"/>
      <c r="Y11201" s="13"/>
      <c r="Z11201" s="13"/>
    </row>
    <row r="11202" spans="1:26" ht="12" customHeight="1" outlineLevel="4" x14ac:dyDescent="0.2">
      <c r="A11202" s="14" t="s">
        <v>21291</v>
      </c>
      <c r="B11202" s="26" t="s">
        <v>21292</v>
      </c>
      <c r="C11202" s="52"/>
      <c r="D11202" s="55">
        <f t="shared" si="174"/>
        <v>0</v>
      </c>
      <c r="E11202" s="63" t="str">
        <f>HYPERLINK("https://www.sds-group.ru/product/verhushka-na-elku-zvezda-20sm-tsvet-krasnyy-neon-night-501-005/", "Инфо")</f>
        <v>Инфо</v>
      </c>
      <c r="F11202" s="16" t="s">
        <v>39</v>
      </c>
      <c r="G11202" s="15"/>
      <c r="H11202" s="15"/>
      <c r="I11202" s="15"/>
      <c r="J11202" s="17">
        <v>18</v>
      </c>
      <c r="K11202" s="15" t="s">
        <v>8890</v>
      </c>
      <c r="L11202" s="17">
        <v>10</v>
      </c>
      <c r="M11202" s="17">
        <v>600</v>
      </c>
      <c r="N11202" s="17">
        <v>10</v>
      </c>
      <c r="O11202" s="18">
        <v>139.6</v>
      </c>
      <c r="P11202" s="18">
        <v>114.43</v>
      </c>
      <c r="Q11202" s="18">
        <v>97.72</v>
      </c>
      <c r="R11202" s="18">
        <v>80.099999999999994</v>
      </c>
      <c r="S11202" s="18">
        <v>94.93</v>
      </c>
      <c r="T11202" s="18">
        <v>77.81</v>
      </c>
      <c r="U11202" s="16"/>
      <c r="V11202" s="16"/>
      <c r="W11202" s="16"/>
      <c r="X11202" s="19">
        <v>3.2000000000000001E-2</v>
      </c>
      <c r="Y11202" s="20">
        <v>2.1100000000000001E-4</v>
      </c>
      <c r="Z11202" s="21">
        <v>4601004283657</v>
      </c>
    </row>
    <row r="11203" spans="1:26" ht="12" customHeight="1" outlineLevel="4" x14ac:dyDescent="0.2">
      <c r="A11203" s="14" t="s">
        <v>21293</v>
      </c>
      <c r="B11203" s="26" t="s">
        <v>21294</v>
      </c>
      <c r="C11203" s="52"/>
      <c r="D11203" s="55">
        <f t="shared" si="174"/>
        <v>0</v>
      </c>
      <c r="E11203" s="63" t="str">
        <f>HYPERLINK("https://www.sds-group.ru/product/svetodiodnaya-figura-na-elku-zvezda-22sm-tsvet-svecheniya-teplyy-belyy-postoyannoe-svechenie-501-006/", "Инфо")</f>
        <v>Инфо</v>
      </c>
      <c r="F11203" s="16" t="s">
        <v>39</v>
      </c>
      <c r="G11203" s="15"/>
      <c r="H11203" s="15"/>
      <c r="I11203" s="15"/>
      <c r="J11203" s="16" t="s">
        <v>100</v>
      </c>
      <c r="K11203" s="15" t="s">
        <v>8890</v>
      </c>
      <c r="L11203" s="17">
        <v>5</v>
      </c>
      <c r="M11203" s="17">
        <v>40</v>
      </c>
      <c r="N11203" s="17">
        <v>5</v>
      </c>
      <c r="O11203" s="18">
        <v>537.92999999999995</v>
      </c>
      <c r="P11203" s="18">
        <v>440.93</v>
      </c>
      <c r="Q11203" s="18">
        <v>376.55</v>
      </c>
      <c r="R11203" s="18">
        <v>308.64999999999998</v>
      </c>
      <c r="S11203" s="18">
        <v>365.79</v>
      </c>
      <c r="T11203" s="18">
        <v>299.83</v>
      </c>
      <c r="U11203" s="16"/>
      <c r="V11203" s="16"/>
      <c r="W11203" s="16"/>
      <c r="X11203" s="19">
        <v>0.17100000000000001</v>
      </c>
      <c r="Y11203" s="20">
        <v>2.15E-3</v>
      </c>
      <c r="Z11203" s="21">
        <v>4601004283640</v>
      </c>
    </row>
    <row r="11204" spans="1:26" ht="12" customHeight="1" outlineLevel="4" x14ac:dyDescent="0.2">
      <c r="A11204" s="14" t="s">
        <v>21295</v>
      </c>
      <c r="B11204" s="26" t="s">
        <v>21296</v>
      </c>
      <c r="C11204" s="52"/>
      <c r="D11204" s="55">
        <f t="shared" si="174"/>
        <v>0</v>
      </c>
      <c r="E11204" s="64"/>
      <c r="F11204" s="16" t="s">
        <v>39</v>
      </c>
      <c r="G11204" s="15"/>
      <c r="H11204" s="15"/>
      <c r="I11204" s="15"/>
      <c r="J11204" s="16" t="s">
        <v>100</v>
      </c>
      <c r="K11204" s="15" t="s">
        <v>8890</v>
      </c>
      <c r="L11204" s="17">
        <v>1</v>
      </c>
      <c r="M11204" s="17">
        <v>12</v>
      </c>
      <c r="N11204" s="17">
        <v>1</v>
      </c>
      <c r="O11204" s="18">
        <v>1067.24</v>
      </c>
      <c r="P11204" s="18">
        <v>874.79</v>
      </c>
      <c r="Q11204" s="18">
        <v>747.07</v>
      </c>
      <c r="R11204" s="18">
        <v>612.35</v>
      </c>
      <c r="S11204" s="18">
        <v>725.72</v>
      </c>
      <c r="T11204" s="18">
        <v>594.85</v>
      </c>
      <c r="U11204" s="16"/>
      <c r="V11204" s="16"/>
      <c r="W11204" s="16"/>
      <c r="X11204" s="19">
        <v>0.19</v>
      </c>
      <c r="Y11204" s="20">
        <v>3.143E-3</v>
      </c>
      <c r="Z11204" s="21">
        <v>4601004336360</v>
      </c>
    </row>
    <row r="11205" spans="1:26" ht="12" customHeight="1" outlineLevel="4" x14ac:dyDescent="0.2">
      <c r="A11205" s="14" t="s">
        <v>21297</v>
      </c>
      <c r="B11205" s="26" t="s">
        <v>21298</v>
      </c>
      <c r="C11205" s="52"/>
      <c r="D11205" s="55">
        <f t="shared" si="174"/>
        <v>0</v>
      </c>
      <c r="E11205" s="63" t="str">
        <f>HYPERLINK("https://www.sds-group.ru/product/svetodiodnaya-figura-na-elku-zvezda-krasnaya-15sm-10led-postoyannoe-svechenie-230v-neon-nigh-501-007/", "Инфо")</f>
        <v>Инфо</v>
      </c>
      <c r="F11205" s="16" t="s">
        <v>39</v>
      </c>
      <c r="G11205" s="15"/>
      <c r="H11205" s="15"/>
      <c r="I11205" s="15"/>
      <c r="J11205" s="16" t="s">
        <v>100</v>
      </c>
      <c r="K11205" s="15" t="s">
        <v>8890</v>
      </c>
      <c r="L11205" s="17">
        <v>5</v>
      </c>
      <c r="M11205" s="17">
        <v>48</v>
      </c>
      <c r="N11205" s="17">
        <v>5</v>
      </c>
      <c r="O11205" s="18">
        <v>315.82</v>
      </c>
      <c r="P11205" s="18">
        <v>258.87</v>
      </c>
      <c r="Q11205" s="18">
        <v>221.07</v>
      </c>
      <c r="R11205" s="18">
        <v>181.2</v>
      </c>
      <c r="S11205" s="18">
        <v>214.76</v>
      </c>
      <c r="T11205" s="18">
        <v>176.03</v>
      </c>
      <c r="U11205" s="16"/>
      <c r="V11205" s="16"/>
      <c r="W11205" s="16"/>
      <c r="X11205" s="19">
        <v>8.2000000000000003E-2</v>
      </c>
      <c r="Y11205" s="20">
        <v>1.0039999999999999E-3</v>
      </c>
      <c r="Z11205" s="21">
        <v>4601004283671</v>
      </c>
    </row>
    <row r="11206" spans="1:26" ht="12" customHeight="1" outlineLevel="4" x14ac:dyDescent="0.2">
      <c r="A11206" s="14" t="s">
        <v>21299</v>
      </c>
      <c r="B11206" s="26" t="s">
        <v>21300</v>
      </c>
      <c r="C11206" s="52"/>
      <c r="D11206" s="55">
        <f t="shared" si="174"/>
        <v>0</v>
      </c>
      <c r="E11206" s="63" t="str">
        <f>HYPERLINK("https://www.sds-group.ru/product/figura-svetodiodnaya-zvezda-na-elku-tsvet-rgb-10-led-17-sm-501-002/", "Инфо")</f>
        <v>Инфо</v>
      </c>
      <c r="F11206" s="16" t="s">
        <v>39</v>
      </c>
      <c r="G11206" s="15"/>
      <c r="H11206" s="15"/>
      <c r="I11206" s="15"/>
      <c r="J11206" s="17">
        <v>20</v>
      </c>
      <c r="K11206" s="15" t="s">
        <v>6174</v>
      </c>
      <c r="L11206" s="17">
        <v>5</v>
      </c>
      <c r="M11206" s="17">
        <v>40</v>
      </c>
      <c r="N11206" s="17">
        <v>5</v>
      </c>
      <c r="O11206" s="18">
        <v>315.68</v>
      </c>
      <c r="P11206" s="18">
        <v>258.75</v>
      </c>
      <c r="Q11206" s="18">
        <v>220.98</v>
      </c>
      <c r="R11206" s="18">
        <v>181.13</v>
      </c>
      <c r="S11206" s="18">
        <v>214.66</v>
      </c>
      <c r="T11206" s="18">
        <v>175.95</v>
      </c>
      <c r="U11206" s="16"/>
      <c r="V11206" s="16"/>
      <c r="W11206" s="16"/>
      <c r="X11206" s="19">
        <v>0.129</v>
      </c>
      <c r="Y11206" s="20">
        <v>1.199E-3</v>
      </c>
      <c r="Z11206" s="21">
        <v>4601004130692</v>
      </c>
    </row>
    <row r="11207" spans="1:26" ht="12" customHeight="1" outlineLevel="4" x14ac:dyDescent="0.2">
      <c r="A11207" s="14" t="s">
        <v>21301</v>
      </c>
      <c r="B11207" s="26" t="s">
        <v>21302</v>
      </c>
      <c r="C11207" s="52"/>
      <c r="D11207" s="55">
        <f t="shared" si="174"/>
        <v>0</v>
      </c>
      <c r="E11207" s="63" t="str">
        <f>HYPERLINK("https://www.sds-group.ru/product/figura-svetodiodnaya-zvezda-na-elku-tsvet-rgb-31-led-22-sm-501-001/", "Инфо")</f>
        <v>Инфо</v>
      </c>
      <c r="F11207" s="16" t="s">
        <v>39</v>
      </c>
      <c r="G11207" s="15"/>
      <c r="H11207" s="15"/>
      <c r="I11207" s="15"/>
      <c r="J11207" s="16" t="s">
        <v>100</v>
      </c>
      <c r="K11207" s="15" t="s">
        <v>6181</v>
      </c>
      <c r="L11207" s="17">
        <v>1</v>
      </c>
      <c r="M11207" s="17">
        <v>48</v>
      </c>
      <c r="N11207" s="17">
        <v>1</v>
      </c>
      <c r="O11207" s="18">
        <v>807.43</v>
      </c>
      <c r="P11207" s="18">
        <v>661.83</v>
      </c>
      <c r="Q11207" s="18">
        <v>565.20000000000005</v>
      </c>
      <c r="R11207" s="18">
        <v>463.28</v>
      </c>
      <c r="S11207" s="18">
        <v>549.04999999999995</v>
      </c>
      <c r="T11207" s="18">
        <v>450.04</v>
      </c>
      <c r="U11207" s="16"/>
      <c r="V11207" s="16"/>
      <c r="W11207" s="16"/>
      <c r="X11207" s="19">
        <v>0.14799999999999999</v>
      </c>
      <c r="Y11207" s="20">
        <v>2.0400000000000001E-3</v>
      </c>
      <c r="Z11207" s="21">
        <v>4601004130708</v>
      </c>
    </row>
    <row r="11208" spans="1:26" ht="12.95" customHeight="1" outlineLevel="2" x14ac:dyDescent="0.2">
      <c r="A11208" s="76" t="s">
        <v>21303</v>
      </c>
      <c r="B11208" s="76"/>
      <c r="C11208" s="77"/>
      <c r="D11208" s="58"/>
      <c r="E11208" s="68"/>
      <c r="F11208" s="13"/>
      <c r="G11208" s="13"/>
      <c r="H11208" s="13"/>
      <c r="I11208" s="13"/>
      <c r="J11208" s="13"/>
      <c r="K11208" s="13"/>
      <c r="L11208" s="13"/>
      <c r="M11208" s="13"/>
      <c r="N11208" s="13"/>
      <c r="O11208" s="13"/>
      <c r="P11208" s="13"/>
      <c r="Q11208" s="13"/>
      <c r="R11208" s="13"/>
      <c r="S11208" s="13"/>
      <c r="T11208" s="13"/>
      <c r="U11208" s="13"/>
      <c r="V11208" s="13"/>
      <c r="W11208" s="13"/>
      <c r="X11208" s="13"/>
      <c r="Y11208" s="13"/>
      <c r="Z11208" s="13"/>
    </row>
    <row r="11209" spans="1:26" ht="12.95" customHeight="1" outlineLevel="3" x14ac:dyDescent="0.2">
      <c r="A11209" s="76" t="s">
        <v>21304</v>
      </c>
      <c r="B11209" s="76"/>
      <c r="C11209" s="77"/>
      <c r="D11209" s="58"/>
      <c r="E11209" s="68"/>
      <c r="F11209" s="13"/>
      <c r="G11209" s="13"/>
      <c r="H11209" s="13"/>
      <c r="I11209" s="13"/>
      <c r="J11209" s="13"/>
      <c r="K11209" s="13"/>
      <c r="L11209" s="13"/>
      <c r="M11209" s="13"/>
      <c r="N11209" s="13"/>
      <c r="O11209" s="13"/>
      <c r="P11209" s="13"/>
      <c r="Q11209" s="13"/>
      <c r="R11209" s="13"/>
      <c r="S11209" s="13"/>
      <c r="T11209" s="13"/>
      <c r="U11209" s="13"/>
      <c r="V11209" s="13"/>
      <c r="W11209" s="13"/>
      <c r="X11209" s="13"/>
      <c r="Y11209" s="13"/>
      <c r="Z11209" s="13"/>
    </row>
    <row r="11210" spans="1:26" ht="12" customHeight="1" outlineLevel="4" x14ac:dyDescent="0.2">
      <c r="A11210" s="14" t="s">
        <v>21305</v>
      </c>
      <c r="B11210" s="26" t="s">
        <v>21306</v>
      </c>
      <c r="C11210" s="52"/>
      <c r="D11210" s="55">
        <f t="shared" ref="D11210:D11272" si="175">C11210*(O11210-O11210*$G$3)</f>
        <v>0</v>
      </c>
      <c r="E11210" s="63" t="str">
        <f>HYPERLINK("https://www.sds-group.ru/product/girlyanda-elovaya-2-7m-diametr-20sm-vetki-pvh-neon-nigh-307-214/", "Инфо")</f>
        <v>Инфо</v>
      </c>
      <c r="F11210" s="16" t="s">
        <v>39</v>
      </c>
      <c r="G11210" s="15"/>
      <c r="H11210" s="15"/>
      <c r="I11210" s="15"/>
      <c r="J11210" s="16" t="s">
        <v>100</v>
      </c>
      <c r="K11210" s="15" t="s">
        <v>4183</v>
      </c>
      <c r="L11210" s="17">
        <v>1</v>
      </c>
      <c r="M11210" s="17">
        <v>12</v>
      </c>
      <c r="N11210" s="17">
        <v>1</v>
      </c>
      <c r="O11210" s="18">
        <v>1363.22</v>
      </c>
      <c r="P11210" s="18">
        <v>1117.3900000000001</v>
      </c>
      <c r="Q11210" s="18">
        <v>954.25</v>
      </c>
      <c r="R11210" s="18">
        <v>782.17</v>
      </c>
      <c r="S11210" s="18">
        <v>926.99</v>
      </c>
      <c r="T11210" s="18">
        <v>759.83</v>
      </c>
      <c r="U11210" s="16"/>
      <c r="V11210" s="16"/>
      <c r="W11210" s="16"/>
      <c r="X11210" s="19">
        <v>0.70299999999999996</v>
      </c>
      <c r="Y11210" s="20">
        <v>7.1209999999999997E-3</v>
      </c>
      <c r="Z11210" s="21">
        <v>4601004311275</v>
      </c>
    </row>
    <row r="11211" spans="1:26" ht="12" customHeight="1" outlineLevel="4" x14ac:dyDescent="0.2">
      <c r="A11211" s="32" t="s">
        <v>21307</v>
      </c>
      <c r="B11211" s="74" t="s">
        <v>21308</v>
      </c>
      <c r="C11211" s="50"/>
      <c r="D11211" s="53">
        <f t="shared" si="175"/>
        <v>0</v>
      </c>
      <c r="E11211" s="60" t="str">
        <f>HYPERLINK("https://www.sds-group.ru/product/girlyanda-elovaya-2-7m-diametr-30sm-vetki-litye-neon-night-307-213/", "Инфо")</f>
        <v>Инфо</v>
      </c>
      <c r="F11211" s="34" t="s">
        <v>39</v>
      </c>
      <c r="G11211" s="33"/>
      <c r="H11211" s="33" t="s">
        <v>40</v>
      </c>
      <c r="I11211" s="33"/>
      <c r="J11211" s="35">
        <v>11</v>
      </c>
      <c r="K11211" s="33"/>
      <c r="L11211" s="35">
        <v>1</v>
      </c>
      <c r="M11211" s="35">
        <v>6</v>
      </c>
      <c r="N11211" s="35">
        <v>1</v>
      </c>
      <c r="O11211" s="36">
        <v>4804.3599999999997</v>
      </c>
      <c r="P11211" s="36">
        <v>3938</v>
      </c>
      <c r="Q11211" s="36">
        <v>3363.05</v>
      </c>
      <c r="R11211" s="36">
        <v>2756.6</v>
      </c>
      <c r="S11211" s="36">
        <v>3266.96</v>
      </c>
      <c r="T11211" s="36">
        <v>2677.84</v>
      </c>
      <c r="U11211" s="34"/>
      <c r="V11211" s="34"/>
      <c r="W11211" s="34"/>
      <c r="X11211" s="37">
        <v>1.367</v>
      </c>
      <c r="Y11211" s="38">
        <v>4.3404999999999999E-2</v>
      </c>
      <c r="Z11211" s="21">
        <v>4601004132757</v>
      </c>
    </row>
    <row r="11212" spans="1:26" ht="12" customHeight="1" outlineLevel="4" x14ac:dyDescent="0.2">
      <c r="A11212" s="14" t="s">
        <v>21309</v>
      </c>
      <c r="B11212" s="26" t="s">
        <v>21310</v>
      </c>
      <c r="C11212" s="52"/>
      <c r="D11212" s="55">
        <f t="shared" si="175"/>
        <v>0</v>
      </c>
      <c r="E11212" s="63" t="str">
        <f>HYPERLINK("https://www.sds-group.ru/product/girlyanda-elovaya-2-7m-diametr-30sm-vetki-litye-pvh-neon-night-307-212/", "Инфо")</f>
        <v>Инфо</v>
      </c>
      <c r="F11212" s="16" t="s">
        <v>39</v>
      </c>
      <c r="G11212" s="15"/>
      <c r="H11212" s="15"/>
      <c r="I11212" s="15"/>
      <c r="J11212" s="17">
        <v>62</v>
      </c>
      <c r="K11212" s="15"/>
      <c r="L11212" s="17">
        <v>1</v>
      </c>
      <c r="M11212" s="17">
        <v>12</v>
      </c>
      <c r="N11212" s="17">
        <v>1</v>
      </c>
      <c r="O11212" s="18">
        <v>3960.59</v>
      </c>
      <c r="P11212" s="18">
        <v>3246.39</v>
      </c>
      <c r="Q11212" s="18">
        <v>2891.23</v>
      </c>
      <c r="R11212" s="18">
        <v>2369.86</v>
      </c>
      <c r="S11212" s="18">
        <v>2693.2</v>
      </c>
      <c r="T11212" s="18">
        <v>2207.54</v>
      </c>
      <c r="U11212" s="16"/>
      <c r="V11212" s="16"/>
      <c r="W11212" s="16" t="s">
        <v>40</v>
      </c>
      <c r="X11212" s="19">
        <v>1.202</v>
      </c>
      <c r="Y11212" s="20">
        <v>1.1775000000000001E-2</v>
      </c>
      <c r="Z11212" s="21">
        <v>4601004132740</v>
      </c>
    </row>
    <row r="11213" spans="1:26" ht="12" customHeight="1" outlineLevel="4" x14ac:dyDescent="0.2">
      <c r="A11213" s="14" t="s">
        <v>21311</v>
      </c>
      <c r="B11213" s="26" t="s">
        <v>21312</v>
      </c>
      <c r="C11213" s="52"/>
      <c r="D11213" s="55">
        <f t="shared" si="175"/>
        <v>0</v>
      </c>
      <c r="E11213" s="63" t="str">
        <f>HYPERLINK("https://www.sds-group.ru/product/girlyanda-elovaya-2-7m-diametr-36sm-neon-night-307-211/", "Инфо")</f>
        <v>Инфо</v>
      </c>
      <c r="F11213" s="16" t="s">
        <v>39</v>
      </c>
      <c r="G11213" s="15"/>
      <c r="H11213" s="15"/>
      <c r="I11213" s="15"/>
      <c r="J11213" s="16" t="s">
        <v>100</v>
      </c>
      <c r="K11213" s="15" t="s">
        <v>4183</v>
      </c>
      <c r="L11213" s="17">
        <v>1</v>
      </c>
      <c r="M11213" s="17">
        <v>6</v>
      </c>
      <c r="N11213" s="17">
        <v>1</v>
      </c>
      <c r="O11213" s="18">
        <v>1923.14</v>
      </c>
      <c r="P11213" s="18">
        <v>1576.34</v>
      </c>
      <c r="Q11213" s="18">
        <v>1519.28</v>
      </c>
      <c r="R11213" s="18">
        <v>1245.31</v>
      </c>
      <c r="S11213" s="18">
        <v>1307.74</v>
      </c>
      <c r="T11213" s="18">
        <v>1071.92</v>
      </c>
      <c r="U11213" s="16"/>
      <c r="V11213" s="16"/>
      <c r="W11213" s="16" t="s">
        <v>40</v>
      </c>
      <c r="X11213" s="19">
        <v>1.218</v>
      </c>
      <c r="Y11213" s="20">
        <v>1.3090000000000001E-3</v>
      </c>
      <c r="Z11213" s="21">
        <v>4601004004009</v>
      </c>
    </row>
    <row r="11214" spans="1:26" ht="12" customHeight="1" outlineLevel="4" x14ac:dyDescent="0.2">
      <c r="A11214" s="14" t="s">
        <v>21313</v>
      </c>
      <c r="B11214" s="26" t="s">
        <v>21314</v>
      </c>
      <c r="C11214" s="52"/>
      <c r="D11214" s="55">
        <f t="shared" si="175"/>
        <v>0</v>
      </c>
      <c r="E11214" s="63" t="str">
        <f>HYPERLINK("https://www.sds-group.ru/product/girlyanda-elovaya-2-7m-diametr-41sm-teploe-beloe-svechenie-80-led-neon-night-307-115/", "Инфо")</f>
        <v>Инфо</v>
      </c>
      <c r="F11214" s="16" t="s">
        <v>39</v>
      </c>
      <c r="G11214" s="15"/>
      <c r="H11214" s="15"/>
      <c r="I11214" s="15"/>
      <c r="J11214" s="17">
        <v>109</v>
      </c>
      <c r="K11214" s="15" t="s">
        <v>4183</v>
      </c>
      <c r="L11214" s="17">
        <v>1</v>
      </c>
      <c r="M11214" s="17">
        <v>12</v>
      </c>
      <c r="N11214" s="17">
        <v>1</v>
      </c>
      <c r="O11214" s="18">
        <v>6400.39</v>
      </c>
      <c r="P11214" s="18">
        <v>5246.22</v>
      </c>
      <c r="Q11214" s="18">
        <v>4672.28</v>
      </c>
      <c r="R11214" s="18">
        <v>3829.74</v>
      </c>
      <c r="S11214" s="18">
        <v>4352.2700000000004</v>
      </c>
      <c r="T11214" s="18">
        <v>3567.43</v>
      </c>
      <c r="U11214" s="16"/>
      <c r="V11214" s="16"/>
      <c r="W11214" s="16" t="s">
        <v>40</v>
      </c>
      <c r="X11214" s="19">
        <v>1.278</v>
      </c>
      <c r="Y11214" s="20">
        <v>7.0390000000000001E-3</v>
      </c>
      <c r="Z11214" s="21">
        <v>4601004012868</v>
      </c>
    </row>
    <row r="11215" spans="1:26" ht="12" customHeight="1" outlineLevel="4" x14ac:dyDescent="0.2">
      <c r="A11215" s="32" t="s">
        <v>21315</v>
      </c>
      <c r="B11215" s="74" t="s">
        <v>21316</v>
      </c>
      <c r="C11215" s="50"/>
      <c r="D11215" s="53">
        <f t="shared" si="175"/>
        <v>0</v>
      </c>
      <c r="E11215" s="60" t="str">
        <f>HYPERLINK("https://www.sds-group.ru/product/girlyanda-elovaya-belosnezhnaya-2-7m-diametr-36sm-neon-night-307-121/", "Инфо")</f>
        <v>Инфо</v>
      </c>
      <c r="F11215" s="34" t="s">
        <v>39</v>
      </c>
      <c r="G11215" s="33"/>
      <c r="H11215" s="33" t="s">
        <v>40</v>
      </c>
      <c r="I11215" s="33"/>
      <c r="J11215" s="34" t="s">
        <v>100</v>
      </c>
      <c r="K11215" s="33"/>
      <c r="L11215" s="35">
        <v>1</v>
      </c>
      <c r="M11215" s="35">
        <v>6</v>
      </c>
      <c r="N11215" s="35">
        <v>1</v>
      </c>
      <c r="O11215" s="36">
        <v>2828.67</v>
      </c>
      <c r="P11215" s="36">
        <v>2318.58</v>
      </c>
      <c r="Q11215" s="36">
        <v>2178.08</v>
      </c>
      <c r="R11215" s="36">
        <v>1785.31</v>
      </c>
      <c r="S11215" s="36">
        <v>1923.5</v>
      </c>
      <c r="T11215" s="36">
        <v>1576.64</v>
      </c>
      <c r="U11215" s="34"/>
      <c r="V11215" s="34"/>
      <c r="W11215" s="34" t="s">
        <v>40</v>
      </c>
      <c r="X11215" s="37">
        <v>1.1830000000000001</v>
      </c>
      <c r="Y11215" s="38">
        <v>1.9063E-2</v>
      </c>
      <c r="Z11215" s="21">
        <v>4601004090477</v>
      </c>
    </row>
    <row r="11216" spans="1:26" ht="12" customHeight="1" outlineLevel="4" x14ac:dyDescent="0.2">
      <c r="A11216" s="14" t="s">
        <v>21317</v>
      </c>
      <c r="B11216" s="26" t="s">
        <v>21318</v>
      </c>
      <c r="C11216" s="52"/>
      <c r="D11216" s="55">
        <f t="shared" si="175"/>
        <v>0</v>
      </c>
      <c r="E11216" s="63" t="str">
        <f>HYPERLINK("https://www.sds-group.ru/product/girlyanda-elovaya-s-shishkami-2-7m-diametr-36sm-pvh-neon-night-307-221/", "Инфо")</f>
        <v>Инфо</v>
      </c>
      <c r="F11216" s="16" t="s">
        <v>39</v>
      </c>
      <c r="G11216" s="15"/>
      <c r="H11216" s="15"/>
      <c r="I11216" s="15"/>
      <c r="J11216" s="17">
        <v>1</v>
      </c>
      <c r="K11216" s="15" t="s">
        <v>4183</v>
      </c>
      <c r="L11216" s="17">
        <v>1</v>
      </c>
      <c r="M11216" s="17">
        <v>16</v>
      </c>
      <c r="N11216" s="17">
        <v>1</v>
      </c>
      <c r="O11216" s="18">
        <v>2828.67</v>
      </c>
      <c r="P11216" s="18">
        <v>2318.58</v>
      </c>
      <c r="Q11216" s="18">
        <v>2178.08</v>
      </c>
      <c r="R11216" s="18">
        <v>1785.31</v>
      </c>
      <c r="S11216" s="18">
        <v>1923.5</v>
      </c>
      <c r="T11216" s="18">
        <v>1576.64</v>
      </c>
      <c r="U11216" s="16"/>
      <c r="V11216" s="16"/>
      <c r="W11216" s="16" t="s">
        <v>40</v>
      </c>
      <c r="X11216" s="19">
        <v>0.749</v>
      </c>
      <c r="Y11216" s="20">
        <v>6.6829999999999997E-3</v>
      </c>
      <c r="Z11216" s="21">
        <v>4601004004016</v>
      </c>
    </row>
    <row r="11217" spans="1:26" ht="12.95" customHeight="1" outlineLevel="3" x14ac:dyDescent="0.2">
      <c r="A11217" s="76" t="s">
        <v>21319</v>
      </c>
      <c r="B11217" s="76"/>
      <c r="C11217" s="77"/>
      <c r="D11217" s="58"/>
      <c r="E11217" s="68"/>
      <c r="F11217" s="13"/>
      <c r="G11217" s="13"/>
      <c r="H11217" s="13"/>
      <c r="I11217" s="13"/>
      <c r="J11217" s="13"/>
      <c r="K11217" s="13"/>
      <c r="L11217" s="13"/>
      <c r="M11217" s="13"/>
      <c r="N11217" s="13"/>
      <c r="O11217" s="13"/>
      <c r="P11217" s="13"/>
      <c r="Q11217" s="13"/>
      <c r="R11217" s="13"/>
      <c r="S11217" s="13"/>
      <c r="T11217" s="13"/>
      <c r="U11217" s="13"/>
      <c r="V11217" s="13"/>
      <c r="W11217" s="13"/>
      <c r="X11217" s="13"/>
      <c r="Y11217" s="13"/>
      <c r="Z11217" s="13"/>
    </row>
    <row r="11218" spans="1:26" ht="12" customHeight="1" outlineLevel="4" x14ac:dyDescent="0.2">
      <c r="A11218" s="14" t="s">
        <v>21320</v>
      </c>
      <c r="B11218" s="26" t="s">
        <v>21321</v>
      </c>
      <c r="C11218" s="52"/>
      <c r="D11218" s="55">
        <f t="shared" si="175"/>
        <v>0</v>
      </c>
      <c r="E11218" s="63" t="str">
        <f>HYPERLINK("https://www.sds-group.ru/product/elovyy-venok-neon-night-30-sm-pvh-307-141/", "Инфо")</f>
        <v>Инфо</v>
      </c>
      <c r="F11218" s="16" t="s">
        <v>39</v>
      </c>
      <c r="G11218" s="15"/>
      <c r="H11218" s="15"/>
      <c r="I11218" s="15"/>
      <c r="J11218" s="17">
        <v>1</v>
      </c>
      <c r="K11218" s="15" t="s">
        <v>4183</v>
      </c>
      <c r="L11218" s="17">
        <v>1</v>
      </c>
      <c r="M11218" s="17">
        <v>24</v>
      </c>
      <c r="N11218" s="17">
        <v>1</v>
      </c>
      <c r="O11218" s="18">
        <v>608.20000000000005</v>
      </c>
      <c r="P11218" s="18">
        <v>498.52</v>
      </c>
      <c r="Q11218" s="18">
        <v>425.74</v>
      </c>
      <c r="R11218" s="18">
        <v>348.97</v>
      </c>
      <c r="S11218" s="18">
        <v>413.58</v>
      </c>
      <c r="T11218" s="18">
        <v>339</v>
      </c>
      <c r="U11218" s="16"/>
      <c r="V11218" s="16"/>
      <c r="W11218" s="16"/>
      <c r="X11218" s="19">
        <v>0.22</v>
      </c>
      <c r="Y11218" s="20">
        <v>2.529E-3</v>
      </c>
      <c r="Z11218" s="21">
        <v>4601004090392</v>
      </c>
    </row>
    <row r="11219" spans="1:26" ht="12" customHeight="1" outlineLevel="4" x14ac:dyDescent="0.2">
      <c r="A11219" s="32" t="s">
        <v>21322</v>
      </c>
      <c r="B11219" s="74" t="s">
        <v>21323</v>
      </c>
      <c r="C11219" s="50"/>
      <c r="D11219" s="53">
        <f t="shared" si="175"/>
        <v>0</v>
      </c>
      <c r="E11219" s="60" t="str">
        <f>HYPERLINK("https://www.sds-group.ru/product/elovyy-venok-neon-night-45sm-pvh-307-142/", "Инфо")</f>
        <v>Инфо</v>
      </c>
      <c r="F11219" s="34" t="s">
        <v>39</v>
      </c>
      <c r="G11219" s="33"/>
      <c r="H11219" s="33" t="s">
        <v>40</v>
      </c>
      <c r="I11219" s="33"/>
      <c r="J11219" s="35">
        <v>6</v>
      </c>
      <c r="K11219" s="33"/>
      <c r="L11219" s="35">
        <v>1</v>
      </c>
      <c r="M11219" s="35">
        <v>12</v>
      </c>
      <c r="N11219" s="35">
        <v>1</v>
      </c>
      <c r="O11219" s="36">
        <v>1217.9100000000001</v>
      </c>
      <c r="P11219" s="36">
        <v>998.29</v>
      </c>
      <c r="Q11219" s="36">
        <v>852.54</v>
      </c>
      <c r="R11219" s="36">
        <v>698.8</v>
      </c>
      <c r="S11219" s="36">
        <v>828.18</v>
      </c>
      <c r="T11219" s="36">
        <v>678.84</v>
      </c>
      <c r="U11219" s="34"/>
      <c r="V11219" s="34"/>
      <c r="W11219" s="34"/>
      <c r="X11219" s="37">
        <v>0.373</v>
      </c>
      <c r="Y11219" s="38">
        <v>1.7375000000000002E-2</v>
      </c>
      <c r="Z11219" s="21">
        <v>4601004090408</v>
      </c>
    </row>
    <row r="11220" spans="1:26" ht="12" customHeight="1" outlineLevel="4" x14ac:dyDescent="0.2">
      <c r="A11220" s="14" t="s">
        <v>21324</v>
      </c>
      <c r="B11220" s="26" t="s">
        <v>21325</v>
      </c>
      <c r="C11220" s="52"/>
      <c r="D11220" s="55">
        <f t="shared" si="175"/>
        <v>0</v>
      </c>
      <c r="E11220" s="63" t="str">
        <f>HYPERLINK("https://www.sds-group.ru/product/elovyy-venok-neon-night-60sm-pvh-307-143/", "Инфо")</f>
        <v>Инфо</v>
      </c>
      <c r="F11220" s="16" t="s">
        <v>39</v>
      </c>
      <c r="G11220" s="15"/>
      <c r="H11220" s="15"/>
      <c r="I11220" s="15"/>
      <c r="J11220" s="16" t="s">
        <v>100</v>
      </c>
      <c r="K11220" s="15"/>
      <c r="L11220" s="17">
        <v>1</v>
      </c>
      <c r="M11220" s="17">
        <v>10</v>
      </c>
      <c r="N11220" s="17">
        <v>1</v>
      </c>
      <c r="O11220" s="18">
        <v>1980.02</v>
      </c>
      <c r="P11220" s="18">
        <v>1622.97</v>
      </c>
      <c r="Q11220" s="18">
        <v>1524.62</v>
      </c>
      <c r="R11220" s="18">
        <v>1249.69</v>
      </c>
      <c r="S11220" s="18">
        <v>1346.41</v>
      </c>
      <c r="T11220" s="18">
        <v>1103.6099999999999</v>
      </c>
      <c r="U11220" s="16"/>
      <c r="V11220" s="16"/>
      <c r="W11220" s="16" t="s">
        <v>40</v>
      </c>
      <c r="X11220" s="19">
        <v>0.65500000000000003</v>
      </c>
      <c r="Y11220" s="20">
        <v>1.3115E-2</v>
      </c>
      <c r="Z11220" s="21">
        <v>4601004090415</v>
      </c>
    </row>
    <row r="11221" spans="1:26" ht="12" customHeight="1" outlineLevel="4" x14ac:dyDescent="0.2">
      <c r="A11221" s="14" t="s">
        <v>21326</v>
      </c>
      <c r="B11221" s="26" t="s">
        <v>21327</v>
      </c>
      <c r="C11221" s="52"/>
      <c r="D11221" s="55">
        <f t="shared" si="175"/>
        <v>0</v>
      </c>
      <c r="E11221" s="63" t="str">
        <f>HYPERLINK("https://www.sds-group.ru/product/elovyy-venok-s-shishkami-neon-night-45sm-litoy-307-144/", "Инфо")</f>
        <v>Инфо</v>
      </c>
      <c r="F11221" s="16" t="s">
        <v>39</v>
      </c>
      <c r="G11221" s="15"/>
      <c r="H11221" s="15"/>
      <c r="I11221" s="15"/>
      <c r="J11221" s="16" t="s">
        <v>100</v>
      </c>
      <c r="K11221" s="15"/>
      <c r="L11221" s="17">
        <v>1</v>
      </c>
      <c r="M11221" s="17">
        <v>8</v>
      </c>
      <c r="N11221" s="17">
        <v>1</v>
      </c>
      <c r="O11221" s="18">
        <v>3961.56</v>
      </c>
      <c r="P11221" s="18">
        <v>3247.18</v>
      </c>
      <c r="Q11221" s="18">
        <v>2773.09</v>
      </c>
      <c r="R11221" s="18">
        <v>2273.02</v>
      </c>
      <c r="S11221" s="18">
        <v>2693.86</v>
      </c>
      <c r="T11221" s="18">
        <v>2208.08</v>
      </c>
      <c r="U11221" s="16"/>
      <c r="V11221" s="16"/>
      <c r="W11221" s="16"/>
      <c r="X11221" s="19">
        <v>0.78400000000000003</v>
      </c>
      <c r="Y11221" s="20">
        <v>1.3416000000000001E-2</v>
      </c>
      <c r="Z11221" s="21">
        <v>4601004090422</v>
      </c>
    </row>
    <row r="11222" spans="1:26" ht="12" customHeight="1" outlineLevel="4" x14ac:dyDescent="0.2">
      <c r="A11222" s="32" t="s">
        <v>21328</v>
      </c>
      <c r="B11222" s="74" t="s">
        <v>21329</v>
      </c>
      <c r="C11222" s="50"/>
      <c r="D11222" s="53">
        <f t="shared" si="175"/>
        <v>0</v>
      </c>
      <c r="E11222" s="60" t="str">
        <f>HYPERLINK("https://www.sds-group.ru/product/zasnezhennyy-elovyy-venok-neon-night-30-sm-pvh-307-146/", "Инфо")</f>
        <v>Инфо</v>
      </c>
      <c r="F11222" s="34" t="s">
        <v>39</v>
      </c>
      <c r="G11222" s="33"/>
      <c r="H11222" s="33" t="s">
        <v>40</v>
      </c>
      <c r="I11222" s="33"/>
      <c r="J11222" s="35">
        <v>18</v>
      </c>
      <c r="K11222" s="33"/>
      <c r="L11222" s="35">
        <v>1</v>
      </c>
      <c r="M11222" s="35">
        <v>24</v>
      </c>
      <c r="N11222" s="35">
        <v>1</v>
      </c>
      <c r="O11222" s="36">
        <v>913.04</v>
      </c>
      <c r="P11222" s="36">
        <v>748.39</v>
      </c>
      <c r="Q11222" s="36">
        <v>730.43</v>
      </c>
      <c r="R11222" s="36">
        <v>598.71</v>
      </c>
      <c r="S11222" s="36">
        <v>620.87</v>
      </c>
      <c r="T11222" s="36">
        <v>508.91</v>
      </c>
      <c r="U11222" s="34"/>
      <c r="V11222" s="34"/>
      <c r="W11222" s="34" t="s">
        <v>40</v>
      </c>
      <c r="X11222" s="37">
        <v>0.14000000000000001</v>
      </c>
      <c r="Y11222" s="38">
        <v>5.5929999999999999E-3</v>
      </c>
      <c r="Z11222" s="21">
        <v>4601004180895</v>
      </c>
    </row>
    <row r="11223" spans="1:26" ht="12" customHeight="1" outlineLevel="4" x14ac:dyDescent="0.2">
      <c r="A11223" s="32" t="s">
        <v>21330</v>
      </c>
      <c r="B11223" s="74" t="s">
        <v>21331</v>
      </c>
      <c r="C11223" s="50"/>
      <c r="D11223" s="53">
        <f t="shared" si="175"/>
        <v>0</v>
      </c>
      <c r="E11223" s="60" t="str">
        <f>HYPERLINK("https://www.sds-group.ru/product/zasnezhennyy-elovyy-venok-neon-night-45-sm-pvh-307-147/", "Инфо")</f>
        <v>Инфо</v>
      </c>
      <c r="F11223" s="34" t="s">
        <v>39</v>
      </c>
      <c r="G11223" s="33"/>
      <c r="H11223" s="33" t="s">
        <v>40</v>
      </c>
      <c r="I11223" s="33"/>
      <c r="J11223" s="35">
        <v>29</v>
      </c>
      <c r="K11223" s="33"/>
      <c r="L11223" s="35">
        <v>1</v>
      </c>
      <c r="M11223" s="35">
        <v>12</v>
      </c>
      <c r="N11223" s="35">
        <v>1</v>
      </c>
      <c r="O11223" s="36">
        <v>1598.97</v>
      </c>
      <c r="P11223" s="36">
        <v>1310.6300000000001</v>
      </c>
      <c r="Q11223" s="36">
        <v>1119.28</v>
      </c>
      <c r="R11223" s="36">
        <v>917.44</v>
      </c>
      <c r="S11223" s="36">
        <v>1087.3</v>
      </c>
      <c r="T11223" s="36">
        <v>891.23</v>
      </c>
      <c r="U11223" s="34"/>
      <c r="V11223" s="34"/>
      <c r="W11223" s="34"/>
      <c r="X11223" s="37">
        <v>0.47799999999999998</v>
      </c>
      <c r="Y11223" s="38">
        <v>8.1189999999999995E-3</v>
      </c>
      <c r="Z11223" s="21">
        <v>4601004180901</v>
      </c>
    </row>
    <row r="11224" spans="1:26" ht="12" customHeight="1" outlineLevel="4" x14ac:dyDescent="0.2">
      <c r="A11224" s="32" t="s">
        <v>21332</v>
      </c>
      <c r="B11224" s="74" t="s">
        <v>21333</v>
      </c>
      <c r="C11224" s="50"/>
      <c r="D11224" s="53">
        <f t="shared" si="175"/>
        <v>0</v>
      </c>
      <c r="E11224" s="60" t="str">
        <f>HYPERLINK("https://www.sds-group.ru/product/zasnezhennyy-elovyy-venok-neon-night-60-sm-pvh-307-148/", "Инфо")</f>
        <v>Инфо</v>
      </c>
      <c r="F11224" s="34" t="s">
        <v>39</v>
      </c>
      <c r="G11224" s="33"/>
      <c r="H11224" s="33" t="s">
        <v>40</v>
      </c>
      <c r="I11224" s="33"/>
      <c r="J11224" s="35">
        <v>10</v>
      </c>
      <c r="K11224" s="33"/>
      <c r="L11224" s="35">
        <v>1</v>
      </c>
      <c r="M11224" s="35">
        <v>10</v>
      </c>
      <c r="N11224" s="35">
        <v>1</v>
      </c>
      <c r="O11224" s="36">
        <v>2284.88</v>
      </c>
      <c r="P11224" s="36">
        <v>1872.85</v>
      </c>
      <c r="Q11224" s="36">
        <v>1759.36</v>
      </c>
      <c r="R11224" s="36">
        <v>1442.1</v>
      </c>
      <c r="S11224" s="36">
        <v>1553.72</v>
      </c>
      <c r="T11224" s="36">
        <v>1273.54</v>
      </c>
      <c r="U11224" s="34"/>
      <c r="V11224" s="34"/>
      <c r="W11224" s="34" t="s">
        <v>40</v>
      </c>
      <c r="X11224" s="37">
        <v>0.77300000000000002</v>
      </c>
      <c r="Y11224" s="38">
        <v>1.6088999999999999E-2</v>
      </c>
      <c r="Z11224" s="21">
        <v>4601004180918</v>
      </c>
    </row>
    <row r="11225" spans="1:26" ht="12.95" customHeight="1" outlineLevel="3" x14ac:dyDescent="0.2">
      <c r="A11225" s="76" t="s">
        <v>21334</v>
      </c>
      <c r="B11225" s="76"/>
      <c r="C11225" s="77"/>
      <c r="D11225" s="58"/>
      <c r="E11225" s="68"/>
      <c r="F11225" s="13"/>
      <c r="G11225" s="13"/>
      <c r="H11225" s="13"/>
      <c r="I11225" s="13"/>
      <c r="J11225" s="13"/>
      <c r="K11225" s="13"/>
      <c r="L11225" s="13"/>
      <c r="M11225" s="13"/>
      <c r="N11225" s="13"/>
      <c r="O11225" s="13"/>
      <c r="P11225" s="13"/>
      <c r="Q11225" s="13"/>
      <c r="R11225" s="13"/>
      <c r="S11225" s="13"/>
      <c r="T11225" s="13"/>
      <c r="U11225" s="13"/>
      <c r="V11225" s="13"/>
      <c r="W11225" s="13"/>
      <c r="X11225" s="13"/>
      <c r="Y11225" s="13"/>
      <c r="Z11225" s="13"/>
    </row>
    <row r="11226" spans="1:26" ht="12" customHeight="1" outlineLevel="4" x14ac:dyDescent="0.2">
      <c r="A11226" s="32" t="s">
        <v>21335</v>
      </c>
      <c r="B11226" s="74" t="s">
        <v>21336</v>
      </c>
      <c r="C11226" s="50"/>
      <c r="D11226" s="53">
        <f t="shared" si="175"/>
        <v>0</v>
      </c>
      <c r="E11226" s="60" t="str">
        <f>HYPERLINK("https://www.sds-group.ru/product/elochka-30sm-v-pletenom-meshochke-pvh-533-331/", "Инфо")</f>
        <v>Инфо</v>
      </c>
      <c r="F11226" s="34" t="s">
        <v>39</v>
      </c>
      <c r="G11226" s="33"/>
      <c r="H11226" s="33" t="s">
        <v>40</v>
      </c>
      <c r="I11226" s="33"/>
      <c r="J11226" s="35">
        <v>29</v>
      </c>
      <c r="K11226" s="33"/>
      <c r="L11226" s="35">
        <v>1</v>
      </c>
      <c r="M11226" s="35">
        <v>36</v>
      </c>
      <c r="N11226" s="35">
        <v>1</v>
      </c>
      <c r="O11226" s="36">
        <v>684.4</v>
      </c>
      <c r="P11226" s="36">
        <v>560.98</v>
      </c>
      <c r="Q11226" s="36">
        <v>547.52</v>
      </c>
      <c r="R11226" s="36">
        <v>448.79</v>
      </c>
      <c r="S11226" s="36">
        <v>465.39</v>
      </c>
      <c r="T11226" s="36">
        <v>381.47</v>
      </c>
      <c r="U11226" s="34"/>
      <c r="V11226" s="34"/>
      <c r="W11226" s="34" t="s">
        <v>40</v>
      </c>
      <c r="X11226" s="37">
        <v>0.375</v>
      </c>
      <c r="Y11226" s="38">
        <v>2.9989999999999999E-3</v>
      </c>
      <c r="Z11226" s="21">
        <v>4601004090439</v>
      </c>
    </row>
    <row r="11227" spans="1:26" ht="12" customHeight="1" outlineLevel="4" x14ac:dyDescent="0.2">
      <c r="A11227" s="32" t="s">
        <v>21337</v>
      </c>
      <c r="B11227" s="74" t="s">
        <v>21338</v>
      </c>
      <c r="C11227" s="50"/>
      <c r="D11227" s="53">
        <f t="shared" si="175"/>
        <v>0</v>
      </c>
      <c r="E11227" s="60" t="str">
        <f>HYPERLINK("https://www.sds-group.ru/product/elochka-45sm-v-plastikovom-gorshke-litaya-533-334/", "Инфо")</f>
        <v>Инфо</v>
      </c>
      <c r="F11227" s="34" t="s">
        <v>39</v>
      </c>
      <c r="G11227" s="33"/>
      <c r="H11227" s="33" t="s">
        <v>40</v>
      </c>
      <c r="I11227" s="33"/>
      <c r="J11227" s="35">
        <v>24</v>
      </c>
      <c r="K11227" s="33"/>
      <c r="L11227" s="35">
        <v>1</v>
      </c>
      <c r="M11227" s="35">
        <v>24</v>
      </c>
      <c r="N11227" s="35">
        <v>1</v>
      </c>
      <c r="O11227" s="36">
        <v>2437.3000000000002</v>
      </c>
      <c r="P11227" s="36">
        <v>1997.79</v>
      </c>
      <c r="Q11227" s="36">
        <v>1706.11</v>
      </c>
      <c r="R11227" s="36">
        <v>1398.45</v>
      </c>
      <c r="S11227" s="36">
        <v>1657.36</v>
      </c>
      <c r="T11227" s="36">
        <v>1358.49</v>
      </c>
      <c r="U11227" s="34"/>
      <c r="V11227" s="34"/>
      <c r="W11227" s="34"/>
      <c r="X11227" s="37">
        <v>0.54700000000000004</v>
      </c>
      <c r="Y11227" s="38">
        <v>1.0501E-2</v>
      </c>
      <c r="Z11227" s="21">
        <v>4601004090460</v>
      </c>
    </row>
    <row r="11228" spans="1:26" ht="12" customHeight="1" outlineLevel="4" x14ac:dyDescent="0.2">
      <c r="A11228" s="14" t="s">
        <v>21339</v>
      </c>
      <c r="B11228" s="26" t="s">
        <v>21340</v>
      </c>
      <c r="C11228" s="52"/>
      <c r="D11228" s="55">
        <f t="shared" si="175"/>
        <v>0</v>
      </c>
      <c r="E11228" s="63" t="str">
        <f>HYPERLINK("https://www.sds-group.ru/product/elochka-45sm-v-pletenom-meshochke-pvh-533-332/", "Инфо")</f>
        <v>Инфо</v>
      </c>
      <c r="F11228" s="16" t="s">
        <v>39</v>
      </c>
      <c r="G11228" s="15"/>
      <c r="H11228" s="15"/>
      <c r="I11228" s="15"/>
      <c r="J11228" s="17">
        <v>171</v>
      </c>
      <c r="K11228" s="15"/>
      <c r="L11228" s="17">
        <v>1</v>
      </c>
      <c r="M11228" s="17">
        <v>24</v>
      </c>
      <c r="N11228" s="17">
        <v>1</v>
      </c>
      <c r="O11228" s="18">
        <v>913.04</v>
      </c>
      <c r="P11228" s="18">
        <v>748.39</v>
      </c>
      <c r="Q11228" s="18">
        <v>730.43</v>
      </c>
      <c r="R11228" s="18">
        <v>598.71</v>
      </c>
      <c r="S11228" s="18">
        <v>620.87</v>
      </c>
      <c r="T11228" s="18">
        <v>508.91</v>
      </c>
      <c r="U11228" s="16"/>
      <c r="V11228" s="16"/>
      <c r="W11228" s="16" t="s">
        <v>40</v>
      </c>
      <c r="X11228" s="19">
        <v>0.51800000000000002</v>
      </c>
      <c r="Y11228" s="20">
        <v>2.4859999999999999E-3</v>
      </c>
      <c r="Z11228" s="21">
        <v>4601004090446</v>
      </c>
    </row>
    <row r="11229" spans="1:26" ht="12" customHeight="1" outlineLevel="4" x14ac:dyDescent="0.2">
      <c r="A11229" s="32" t="s">
        <v>21341</v>
      </c>
      <c r="B11229" s="74" t="s">
        <v>21342</v>
      </c>
      <c r="C11229" s="50"/>
      <c r="D11229" s="53">
        <f t="shared" si="175"/>
        <v>0</v>
      </c>
      <c r="E11229" s="60" t="str">
        <f>HYPERLINK("https://www.sds-group.ru/product/elochka-60sm-v-pletenom-meshochke-pvh-533-333/", "Инфо")</f>
        <v>Инфо</v>
      </c>
      <c r="F11229" s="34" t="s">
        <v>39</v>
      </c>
      <c r="G11229" s="33"/>
      <c r="H11229" s="33" t="s">
        <v>40</v>
      </c>
      <c r="I11229" s="33"/>
      <c r="J11229" s="35">
        <v>21</v>
      </c>
      <c r="K11229" s="33"/>
      <c r="L11229" s="35">
        <v>1</v>
      </c>
      <c r="M11229" s="35">
        <v>24</v>
      </c>
      <c r="N11229" s="35">
        <v>1</v>
      </c>
      <c r="O11229" s="36">
        <v>1370.32</v>
      </c>
      <c r="P11229" s="36">
        <v>1123.21</v>
      </c>
      <c r="Q11229" s="36">
        <v>1082.55</v>
      </c>
      <c r="R11229" s="36">
        <v>887.34</v>
      </c>
      <c r="S11229" s="36">
        <v>931.82</v>
      </c>
      <c r="T11229" s="36">
        <v>763.79</v>
      </c>
      <c r="U11229" s="34"/>
      <c r="V11229" s="34"/>
      <c r="W11229" s="34" t="s">
        <v>40</v>
      </c>
      <c r="X11229" s="37">
        <v>0.80400000000000005</v>
      </c>
      <c r="Y11229" s="38">
        <v>4.9800000000000001E-3</v>
      </c>
      <c r="Z11229" s="21">
        <v>4601004090453</v>
      </c>
    </row>
    <row r="11230" spans="1:26" ht="12" customHeight="1" outlineLevel="4" x14ac:dyDescent="0.2">
      <c r="A11230" s="14" t="s">
        <v>21343</v>
      </c>
      <c r="B11230" s="26" t="s">
        <v>21344</v>
      </c>
      <c r="C11230" s="52"/>
      <c r="D11230" s="55">
        <f t="shared" si="175"/>
        <v>0</v>
      </c>
      <c r="E11230" s="63" t="str">
        <f>HYPERLINK("https://www.sds-group.ru/product/elochka-vysota-30sm-pitanie-ot-usb-zelenaya-533-325/", "Инфо")</f>
        <v>Инфо</v>
      </c>
      <c r="F11230" s="16" t="s">
        <v>39</v>
      </c>
      <c r="G11230" s="15"/>
      <c r="H11230" s="15"/>
      <c r="I11230" s="15"/>
      <c r="J11230" s="16" t="s">
        <v>100</v>
      </c>
      <c r="K11230" s="15"/>
      <c r="L11230" s="17">
        <v>1</v>
      </c>
      <c r="M11230" s="17">
        <v>40</v>
      </c>
      <c r="N11230" s="17">
        <v>1</v>
      </c>
      <c r="O11230" s="18">
        <v>821.58</v>
      </c>
      <c r="P11230" s="18">
        <v>673.43</v>
      </c>
      <c r="Q11230" s="18">
        <v>575.11</v>
      </c>
      <c r="R11230" s="18">
        <v>471.4</v>
      </c>
      <c r="S11230" s="18">
        <v>558.66999999999996</v>
      </c>
      <c r="T11230" s="18">
        <v>457.93</v>
      </c>
      <c r="U11230" s="16"/>
      <c r="V11230" s="16"/>
      <c r="W11230" s="16"/>
      <c r="X11230" s="19">
        <v>0.308</v>
      </c>
      <c r="Y11230" s="20">
        <v>6.731E-3</v>
      </c>
      <c r="Z11230" s="21">
        <v>4601004012837</v>
      </c>
    </row>
    <row r="11231" spans="1:26" ht="12.95" customHeight="1" outlineLevel="2" x14ac:dyDescent="0.2">
      <c r="A11231" s="76" t="s">
        <v>21345</v>
      </c>
      <c r="B11231" s="76"/>
      <c r="C11231" s="77"/>
      <c r="D11231" s="58"/>
      <c r="E11231" s="68"/>
      <c r="F11231" s="13"/>
      <c r="G11231" s="13"/>
      <c r="H11231" s="13"/>
      <c r="I11231" s="13"/>
      <c r="J11231" s="13"/>
      <c r="K11231" s="13"/>
      <c r="L11231" s="13"/>
      <c r="M11231" s="13"/>
      <c r="N11231" s="13"/>
      <c r="O11231" s="13"/>
      <c r="P11231" s="13"/>
      <c r="Q11231" s="13"/>
      <c r="R11231" s="13"/>
      <c r="S11231" s="13"/>
      <c r="T11231" s="13"/>
      <c r="U11231" s="13"/>
      <c r="V11231" s="13"/>
      <c r="W11231" s="13"/>
      <c r="X11231" s="13"/>
      <c r="Y11231" s="13"/>
      <c r="Z11231" s="13"/>
    </row>
    <row r="11232" spans="1:26" ht="12" customHeight="1" outlineLevel="3" x14ac:dyDescent="0.2">
      <c r="A11232" s="14" t="s">
        <v>21346</v>
      </c>
      <c r="B11232" s="26" t="s">
        <v>21347</v>
      </c>
      <c r="C11232" s="52"/>
      <c r="D11232" s="55">
        <f t="shared" si="175"/>
        <v>0</v>
      </c>
      <c r="E11232" s="63" t="str">
        <f>HYPERLINK("https://www.sds-group.ru/product/nabor-dlya-sozdaniya-neonovyh-figur-neon-night-kreativ-120-led-1-m-zelenyy-131-014-1/", "Инфо")</f>
        <v>Инфо</v>
      </c>
      <c r="F11232" s="16" t="s">
        <v>39</v>
      </c>
      <c r="G11232" s="15"/>
      <c r="H11232" s="15"/>
      <c r="I11232" s="15"/>
      <c r="J11232" s="17">
        <v>5</v>
      </c>
      <c r="K11232" s="15"/>
      <c r="L11232" s="17">
        <v>1</v>
      </c>
      <c r="M11232" s="17">
        <v>48</v>
      </c>
      <c r="N11232" s="17">
        <v>1</v>
      </c>
      <c r="O11232" s="18">
        <v>1076.94</v>
      </c>
      <c r="P11232" s="18">
        <v>882.74</v>
      </c>
      <c r="Q11232" s="18">
        <v>861.55</v>
      </c>
      <c r="R11232" s="18">
        <v>706.19</v>
      </c>
      <c r="S11232" s="18">
        <v>732.32</v>
      </c>
      <c r="T11232" s="18">
        <v>600.26</v>
      </c>
      <c r="U11232" s="16"/>
      <c r="V11232" s="16"/>
      <c r="W11232" s="16" t="s">
        <v>40</v>
      </c>
      <c r="X11232" s="19">
        <v>0.154</v>
      </c>
      <c r="Y11232" s="20">
        <v>3.6699999999999998E-4</v>
      </c>
      <c r="Z11232" s="21">
        <v>4601004172968</v>
      </c>
    </row>
    <row r="11233" spans="1:26" ht="12" customHeight="1" outlineLevel="3" x14ac:dyDescent="0.2">
      <c r="A11233" s="32" t="s">
        <v>21348</v>
      </c>
      <c r="B11233" s="74" t="s">
        <v>21349</v>
      </c>
      <c r="C11233" s="50"/>
      <c r="D11233" s="53">
        <f t="shared" si="175"/>
        <v>0</v>
      </c>
      <c r="E11233" s="60" t="str">
        <f>HYPERLINK("https://www.sds-group.ru/product/nabor-dlya-sozdaniya-neonovyh-figur-neon-night-kreativ-180-led-1-5-m-zheltyy-131-021-1/", "Инфо")</f>
        <v>Инфо</v>
      </c>
      <c r="F11233" s="34" t="s">
        <v>39</v>
      </c>
      <c r="G11233" s="33"/>
      <c r="H11233" s="33" t="s">
        <v>40</v>
      </c>
      <c r="I11233" s="33"/>
      <c r="J11233" s="35">
        <v>2</v>
      </c>
      <c r="K11233" s="33"/>
      <c r="L11233" s="35">
        <v>1</v>
      </c>
      <c r="M11233" s="35">
        <v>48</v>
      </c>
      <c r="N11233" s="35">
        <v>1</v>
      </c>
      <c r="O11233" s="36">
        <v>1606.25</v>
      </c>
      <c r="P11233" s="36">
        <v>1316.6</v>
      </c>
      <c r="Q11233" s="36">
        <v>1124.3800000000001</v>
      </c>
      <c r="R11233" s="36">
        <v>921.62</v>
      </c>
      <c r="S11233" s="36">
        <v>1092.25</v>
      </c>
      <c r="T11233" s="36">
        <v>895.29</v>
      </c>
      <c r="U11233" s="34"/>
      <c r="V11233" s="34"/>
      <c r="W11233" s="34"/>
      <c r="X11233" s="37">
        <v>0.215</v>
      </c>
      <c r="Y11233" s="38">
        <v>6.69E-4</v>
      </c>
      <c r="Z11233" s="21">
        <v>4601004172975</v>
      </c>
    </row>
    <row r="11234" spans="1:26" ht="12" customHeight="1" outlineLevel="3" x14ac:dyDescent="0.2">
      <c r="A11234" s="14" t="s">
        <v>21350</v>
      </c>
      <c r="B11234" s="26" t="s">
        <v>21351</v>
      </c>
      <c r="C11234" s="52"/>
      <c r="D11234" s="55">
        <f t="shared" si="175"/>
        <v>0</v>
      </c>
      <c r="E11234" s="63" t="str">
        <f>HYPERLINK("https://www.sds-group.ru/product/nabor-dlya-sozdaniya-neonovyh-figur-neon-night-kreativ-240-led-2-m-tsvet-zelenyy-131-034-1/", "Инфо")</f>
        <v>Инфо</v>
      </c>
      <c r="F11234" s="16" t="s">
        <v>39</v>
      </c>
      <c r="G11234" s="15"/>
      <c r="H11234" s="15"/>
      <c r="I11234" s="15"/>
      <c r="J11234" s="17">
        <v>452</v>
      </c>
      <c r="K11234" s="15"/>
      <c r="L11234" s="17">
        <v>1</v>
      </c>
      <c r="M11234" s="17">
        <v>36</v>
      </c>
      <c r="N11234" s="17">
        <v>1</v>
      </c>
      <c r="O11234" s="18">
        <v>1760.31</v>
      </c>
      <c r="P11234" s="18">
        <v>1442.88</v>
      </c>
      <c r="Q11234" s="18">
        <v>1390.64</v>
      </c>
      <c r="R11234" s="18">
        <v>1139.8699999999999</v>
      </c>
      <c r="S11234" s="18">
        <v>1197.01</v>
      </c>
      <c r="T11234" s="18">
        <v>981.16</v>
      </c>
      <c r="U11234" s="16"/>
      <c r="V11234" s="16"/>
      <c r="W11234" s="16" t="s">
        <v>40</v>
      </c>
      <c r="X11234" s="19">
        <v>0.26800000000000002</v>
      </c>
      <c r="Y11234" s="20">
        <v>8.0199999999999998E-4</v>
      </c>
      <c r="Z11234" s="21">
        <v>4601004227378</v>
      </c>
    </row>
    <row r="11235" spans="1:26" ht="12" customHeight="1" outlineLevel="3" x14ac:dyDescent="0.2">
      <c r="A11235" s="14" t="s">
        <v>21352</v>
      </c>
      <c r="B11235" s="26" t="s">
        <v>21353</v>
      </c>
      <c r="C11235" s="52"/>
      <c r="D11235" s="55">
        <f t="shared" si="175"/>
        <v>0</v>
      </c>
      <c r="E11235" s="63" t="str">
        <f>HYPERLINK("https://www.sds-group.ru/product/nabor-dlya-sozdaniya-neonovyh-figur-neon-night-kreativ-90-led-0-75-m-zelenyy-131-004-1/", "Инфо")</f>
        <v>Инфо</v>
      </c>
      <c r="F11235" s="16" t="s">
        <v>39</v>
      </c>
      <c r="G11235" s="15"/>
      <c r="H11235" s="15"/>
      <c r="I11235" s="15"/>
      <c r="J11235" s="17">
        <v>214</v>
      </c>
      <c r="K11235" s="15"/>
      <c r="L11235" s="17">
        <v>1</v>
      </c>
      <c r="M11235" s="17">
        <v>108</v>
      </c>
      <c r="N11235" s="17">
        <v>1</v>
      </c>
      <c r="O11235" s="18">
        <v>861.33</v>
      </c>
      <c r="P11235" s="18">
        <v>706.01</v>
      </c>
      <c r="Q11235" s="18">
        <v>689.06</v>
      </c>
      <c r="R11235" s="18">
        <v>564.79999999999995</v>
      </c>
      <c r="S11235" s="18">
        <v>585.70000000000005</v>
      </c>
      <c r="T11235" s="18">
        <v>480.08</v>
      </c>
      <c r="U11235" s="16"/>
      <c r="V11235" s="16"/>
      <c r="W11235" s="16" t="s">
        <v>40</v>
      </c>
      <c r="X11235" s="19">
        <v>0.14199999999999999</v>
      </c>
      <c r="Y11235" s="20">
        <v>3.1599999999999998E-4</v>
      </c>
      <c r="Z11235" s="21">
        <v>4601004172920</v>
      </c>
    </row>
    <row r="11236" spans="1:26" ht="12.95" customHeight="1" outlineLevel="1" x14ac:dyDescent="0.2">
      <c r="A11236" s="78" t="s">
        <v>21354</v>
      </c>
      <c r="B11236" s="78"/>
      <c r="C11236" s="79"/>
      <c r="D11236" s="57"/>
      <c r="E11236" s="67"/>
      <c r="F11236" s="12"/>
      <c r="G11236" s="12"/>
      <c r="H11236" s="12"/>
      <c r="I11236" s="12"/>
      <c r="J11236" s="12"/>
      <c r="K11236" s="12"/>
      <c r="L11236" s="12"/>
      <c r="M11236" s="12"/>
      <c r="N11236" s="12"/>
      <c r="O11236" s="12"/>
      <c r="P11236" s="12"/>
      <c r="Q11236" s="12"/>
      <c r="R11236" s="12"/>
      <c r="S11236" s="12"/>
      <c r="T11236" s="12"/>
      <c r="U11236" s="12"/>
      <c r="V11236" s="12"/>
      <c r="W11236" s="12"/>
      <c r="X11236" s="12"/>
      <c r="Y11236" s="12"/>
      <c r="Z11236" s="12"/>
    </row>
    <row r="11237" spans="1:26" ht="12.95" customHeight="1" outlineLevel="2" x14ac:dyDescent="0.2">
      <c r="A11237" s="76" t="s">
        <v>21355</v>
      </c>
      <c r="B11237" s="76"/>
      <c r="C11237" s="77"/>
      <c r="D11237" s="58"/>
      <c r="E11237" s="68"/>
      <c r="F11237" s="13"/>
      <c r="G11237" s="13"/>
      <c r="H11237" s="13"/>
      <c r="I11237" s="13"/>
      <c r="J11237" s="13"/>
      <c r="K11237" s="13"/>
      <c r="L11237" s="13"/>
      <c r="M11237" s="13"/>
      <c r="N11237" s="13"/>
      <c r="O11237" s="13"/>
      <c r="P11237" s="13"/>
      <c r="Q11237" s="13"/>
      <c r="R11237" s="13"/>
      <c r="S11237" s="13"/>
      <c r="T11237" s="13"/>
      <c r="U11237" s="13"/>
      <c r="V11237" s="13"/>
      <c r="W11237" s="13"/>
      <c r="X11237" s="13"/>
      <c r="Y11237" s="13"/>
      <c r="Z11237" s="13"/>
    </row>
    <row r="11238" spans="1:26" ht="12" customHeight="1" outlineLevel="3" x14ac:dyDescent="0.2">
      <c r="A11238" s="14" t="s">
        <v>21356</v>
      </c>
      <c r="B11238" s="26" t="s">
        <v>21357</v>
      </c>
      <c r="C11238" s="52"/>
      <c r="D11238" s="55">
        <f t="shared" si="175"/>
        <v>0</v>
      </c>
      <c r="E11238" s="63" t="str">
        <f>HYPERLINK("https://www.sds-group.ru/product/girlyanda-svetodiodnaya-aysikl-bahroma-10h0-6m-s-effektom-mertsaniya-prozrachnyy-provod-ip44-255-545/", "Инфо")</f>
        <v>Инфо</v>
      </c>
      <c r="F11238" s="16" t="s">
        <v>39</v>
      </c>
      <c r="G11238" s="15"/>
      <c r="H11238" s="15"/>
      <c r="I11238" s="15"/>
      <c r="J11238" s="17">
        <v>13</v>
      </c>
      <c r="K11238" s="15" t="s">
        <v>4013</v>
      </c>
      <c r="L11238" s="17">
        <v>1</v>
      </c>
      <c r="M11238" s="17">
        <v>12</v>
      </c>
      <c r="N11238" s="17">
        <v>1</v>
      </c>
      <c r="O11238" s="18">
        <v>4096.33</v>
      </c>
      <c r="P11238" s="18">
        <v>3357.65</v>
      </c>
      <c r="Q11238" s="18">
        <v>2990.32</v>
      </c>
      <c r="R11238" s="18">
        <v>2451.08</v>
      </c>
      <c r="S11238" s="18">
        <v>2539.7199999999998</v>
      </c>
      <c r="T11238" s="18">
        <v>2081.7399999999998</v>
      </c>
      <c r="U11238" s="16"/>
      <c r="V11238" s="16"/>
      <c r="W11238" s="16" t="s">
        <v>40</v>
      </c>
      <c r="X11238" s="19">
        <v>0.59499999999999997</v>
      </c>
      <c r="Y11238" s="20">
        <v>2.4710000000000001E-3</v>
      </c>
      <c r="Z11238" s="21">
        <v>4601004283374</v>
      </c>
    </row>
    <row r="11239" spans="1:26" ht="12" customHeight="1" outlineLevel="3" x14ac:dyDescent="0.2">
      <c r="A11239" s="14" t="s">
        <v>21358</v>
      </c>
      <c r="B11239" s="26" t="s">
        <v>21359</v>
      </c>
      <c r="C11239" s="52"/>
      <c r="D11239" s="55">
        <f t="shared" si="175"/>
        <v>0</v>
      </c>
      <c r="E11239" s="63" t="str">
        <f>HYPERLINK("https://www.sds-group.ru/product/girlyanda-svetodiodnaya-aysikl-bahroma-10h0-6m-s-effektom-mertsaniya-prozrachnyy-provod-ip44-255-546/", "Инфо")</f>
        <v>Инфо</v>
      </c>
      <c r="F11239" s="16" t="s">
        <v>39</v>
      </c>
      <c r="G11239" s="15"/>
      <c r="H11239" s="15"/>
      <c r="I11239" s="15"/>
      <c r="J11239" s="16" t="s">
        <v>100</v>
      </c>
      <c r="K11239" s="15" t="s">
        <v>4013</v>
      </c>
      <c r="L11239" s="17">
        <v>1</v>
      </c>
      <c r="M11239" s="17">
        <v>12</v>
      </c>
      <c r="N11239" s="17">
        <v>1</v>
      </c>
      <c r="O11239" s="18">
        <v>4096.33</v>
      </c>
      <c r="P11239" s="18">
        <v>3357.65</v>
      </c>
      <c r="Q11239" s="18">
        <v>2990.32</v>
      </c>
      <c r="R11239" s="18">
        <v>2451.08</v>
      </c>
      <c r="S11239" s="18">
        <v>2539.7199999999998</v>
      </c>
      <c r="T11239" s="18">
        <v>2081.7399999999998</v>
      </c>
      <c r="U11239" s="16"/>
      <c r="V11239" s="16"/>
      <c r="W11239" s="16" t="s">
        <v>40</v>
      </c>
      <c r="X11239" s="19">
        <v>0.59299999999999997</v>
      </c>
      <c r="Y11239" s="20">
        <v>2.5000000000000001E-3</v>
      </c>
      <c r="Z11239" s="21">
        <v>4601004283190</v>
      </c>
    </row>
    <row r="11240" spans="1:26" ht="12" customHeight="1" outlineLevel="3" x14ac:dyDescent="0.2">
      <c r="A11240" s="14" t="s">
        <v>21360</v>
      </c>
      <c r="B11240" s="26" t="s">
        <v>21361</v>
      </c>
      <c r="C11240" s="52"/>
      <c r="D11240" s="55">
        <f t="shared" si="175"/>
        <v>0</v>
      </c>
      <c r="E11240" s="63" t="str">
        <f>HYPERLINK("https://www.sds-group.ru/product/girlyanda-svetodiodnaya-aysikl-bahroma-25h0-6m-c-effektom-mertsaniya-prozrachnyy-provod-ip44-255-595/", "Инфо")</f>
        <v>Инфо</v>
      </c>
      <c r="F11240" s="16" t="s">
        <v>39</v>
      </c>
      <c r="G11240" s="15"/>
      <c r="H11240" s="15"/>
      <c r="I11240" s="15"/>
      <c r="J11240" s="17">
        <v>3</v>
      </c>
      <c r="K11240" s="15"/>
      <c r="L11240" s="17">
        <v>1</v>
      </c>
      <c r="M11240" s="17">
        <v>8</v>
      </c>
      <c r="N11240" s="17">
        <v>1</v>
      </c>
      <c r="O11240" s="18">
        <v>7538.59</v>
      </c>
      <c r="P11240" s="18">
        <v>6179.17</v>
      </c>
      <c r="Q11240" s="18">
        <v>5503.17</v>
      </c>
      <c r="R11240" s="18">
        <v>4510.8</v>
      </c>
      <c r="S11240" s="18">
        <v>4673.93</v>
      </c>
      <c r="T11240" s="18">
        <v>3831.09</v>
      </c>
      <c r="U11240" s="16"/>
      <c r="V11240" s="16"/>
      <c r="W11240" s="16" t="s">
        <v>40</v>
      </c>
      <c r="X11240" s="19">
        <v>1.1399999999999999</v>
      </c>
      <c r="Y11240" s="20">
        <v>4.3439999999999998E-3</v>
      </c>
      <c r="Z11240" s="21">
        <v>4601004283336</v>
      </c>
    </row>
    <row r="11241" spans="1:26" ht="12" customHeight="1" outlineLevel="3" x14ac:dyDescent="0.2">
      <c r="A11241" s="14" t="s">
        <v>21362</v>
      </c>
      <c r="B11241" s="26" t="s">
        <v>21363</v>
      </c>
      <c r="C11241" s="52"/>
      <c r="D11241" s="55">
        <f t="shared" si="175"/>
        <v>0</v>
      </c>
      <c r="E11241" s="63" t="str">
        <f>HYPERLINK("https://www.sds-group.ru/product/girlyanda-svetodiodnaya-aysikl-bahroma-25h0-6m-c-effektom-mertsaniya-prozrachnyy-provod-ip44-255-596/", "Инфо")</f>
        <v>Инфо</v>
      </c>
      <c r="F11241" s="16" t="s">
        <v>39</v>
      </c>
      <c r="G11241" s="15"/>
      <c r="H11241" s="15"/>
      <c r="I11241" s="15"/>
      <c r="J11241" s="17">
        <v>97</v>
      </c>
      <c r="K11241" s="15" t="s">
        <v>4013</v>
      </c>
      <c r="L11241" s="17">
        <v>1</v>
      </c>
      <c r="M11241" s="17">
        <v>8</v>
      </c>
      <c r="N11241" s="17">
        <v>1</v>
      </c>
      <c r="O11241" s="18">
        <v>7538.59</v>
      </c>
      <c r="P11241" s="18">
        <v>6179.17</v>
      </c>
      <c r="Q11241" s="18">
        <v>5503.17</v>
      </c>
      <c r="R11241" s="18">
        <v>4510.8</v>
      </c>
      <c r="S11241" s="18">
        <v>4673.93</v>
      </c>
      <c r="T11241" s="18">
        <v>3831.09</v>
      </c>
      <c r="U11241" s="16"/>
      <c r="V11241" s="16"/>
      <c r="W11241" s="16" t="s">
        <v>40</v>
      </c>
      <c r="X11241" s="19">
        <v>1.155</v>
      </c>
      <c r="Y11241" s="20">
        <v>4.2100000000000002E-3</v>
      </c>
      <c r="Z11241" s="21">
        <v>4601004283350</v>
      </c>
    </row>
    <row r="11242" spans="1:26" ht="12" customHeight="1" outlineLevel="3" x14ac:dyDescent="0.2">
      <c r="A11242" s="14" t="s">
        <v>21364</v>
      </c>
      <c r="B11242" s="26" t="s">
        <v>21365</v>
      </c>
      <c r="C11242" s="52"/>
      <c r="D11242" s="55">
        <f t="shared" si="175"/>
        <v>0</v>
      </c>
      <c r="E11242" s="63" t="str">
        <f>HYPERLINK("https://www.sds-group.ru/product/girlyanda-svetodiodnaya-aysikl-bahroma-5h0-6m-s-effektom-mertsaniya-prozrachnyy-provod-ip44--255-525/", "Инфо")</f>
        <v>Инфо</v>
      </c>
      <c r="F11242" s="16" t="s">
        <v>39</v>
      </c>
      <c r="G11242" s="15"/>
      <c r="H11242" s="15"/>
      <c r="I11242" s="15"/>
      <c r="J11242" s="16" t="s">
        <v>100</v>
      </c>
      <c r="K11242" s="15" t="s">
        <v>4013</v>
      </c>
      <c r="L11242" s="17">
        <v>1</v>
      </c>
      <c r="M11242" s="17">
        <v>24</v>
      </c>
      <c r="N11242" s="17">
        <v>1</v>
      </c>
      <c r="O11242" s="18">
        <v>2329.96</v>
      </c>
      <c r="P11242" s="18">
        <v>1909.8</v>
      </c>
      <c r="Q11242" s="18">
        <v>1794.07</v>
      </c>
      <c r="R11242" s="18">
        <v>1470.55</v>
      </c>
      <c r="S11242" s="18">
        <v>1444.58</v>
      </c>
      <c r="T11242" s="18">
        <v>1184.08</v>
      </c>
      <c r="U11242" s="16"/>
      <c r="V11242" s="16"/>
      <c r="W11242" s="16" t="s">
        <v>40</v>
      </c>
      <c r="X11242" s="19">
        <v>0.41099999999999998</v>
      </c>
      <c r="Y11242" s="20">
        <v>1.957E-3</v>
      </c>
      <c r="Z11242" s="21">
        <v>4601004283176</v>
      </c>
    </row>
    <row r="11243" spans="1:26" ht="12" customHeight="1" outlineLevel="3" x14ac:dyDescent="0.2">
      <c r="A11243" s="14" t="s">
        <v>21366</v>
      </c>
      <c r="B11243" s="26" t="s">
        <v>21367</v>
      </c>
      <c r="C11243" s="52"/>
      <c r="D11243" s="55">
        <f t="shared" si="175"/>
        <v>0</v>
      </c>
      <c r="E11243" s="63" t="str">
        <f>HYPERLINK("https://www.sds-group.ru/product/girlyanda-svetodiodnaya-aysikl-bahroma-5h0-6m-s-effektom-mertsaniya-prozrachnyy-provod-ip44--255-526/", "Инфо")</f>
        <v>Инфо</v>
      </c>
      <c r="F11243" s="16" t="s">
        <v>39</v>
      </c>
      <c r="G11243" s="15"/>
      <c r="H11243" s="15"/>
      <c r="I11243" s="15"/>
      <c r="J11243" s="16" t="s">
        <v>100</v>
      </c>
      <c r="K11243" s="15" t="s">
        <v>4013</v>
      </c>
      <c r="L11243" s="17">
        <v>1</v>
      </c>
      <c r="M11243" s="17">
        <v>24</v>
      </c>
      <c r="N11243" s="17">
        <v>1</v>
      </c>
      <c r="O11243" s="18">
        <v>2329.96</v>
      </c>
      <c r="P11243" s="18">
        <v>1909.8</v>
      </c>
      <c r="Q11243" s="18">
        <v>1794.07</v>
      </c>
      <c r="R11243" s="18">
        <v>1470.55</v>
      </c>
      <c r="S11243" s="18">
        <v>1444.58</v>
      </c>
      <c r="T11243" s="18">
        <v>1184.08</v>
      </c>
      <c r="U11243" s="16"/>
      <c r="V11243" s="16"/>
      <c r="W11243" s="16" t="s">
        <v>40</v>
      </c>
      <c r="X11243" s="19">
        <v>0.377</v>
      </c>
      <c r="Y11243" s="20">
        <v>1.513E-3</v>
      </c>
      <c r="Z11243" s="21">
        <v>4601004283329</v>
      </c>
    </row>
    <row r="11244" spans="1:26" ht="12" customHeight="1" outlineLevel="3" x14ac:dyDescent="0.2">
      <c r="A11244" s="14" t="s">
        <v>21368</v>
      </c>
      <c r="B11244" s="26" t="s">
        <v>21369</v>
      </c>
      <c r="C11244" s="52"/>
      <c r="D11244" s="55">
        <f t="shared" si="175"/>
        <v>0</v>
      </c>
      <c r="E11244" s="63" t="str">
        <f>HYPERLINK("https://www.sds-group.ru/product/girlyanda-multishariki-20m-200led-diametr-15mm-ip44-zelenyy-provod-svechenie-multi-rg-rb-mig-303-609/", "Инфо")</f>
        <v>Инфо</v>
      </c>
      <c r="F11244" s="16" t="s">
        <v>39</v>
      </c>
      <c r="G11244" s="15"/>
      <c r="H11244" s="15"/>
      <c r="I11244" s="15"/>
      <c r="J11244" s="16" t="s">
        <v>100</v>
      </c>
      <c r="K11244" s="15"/>
      <c r="L11244" s="17">
        <v>1</v>
      </c>
      <c r="M11244" s="17">
        <v>24</v>
      </c>
      <c r="N11244" s="17">
        <v>1</v>
      </c>
      <c r="O11244" s="18">
        <v>4915.95</v>
      </c>
      <c r="P11244" s="18">
        <v>4029.47</v>
      </c>
      <c r="Q11244" s="18">
        <v>3588.64</v>
      </c>
      <c r="R11244" s="18">
        <v>2941.51</v>
      </c>
      <c r="S11244" s="18">
        <v>3047.89</v>
      </c>
      <c r="T11244" s="18">
        <v>2498.27</v>
      </c>
      <c r="U11244" s="16"/>
      <c r="V11244" s="16"/>
      <c r="W11244" s="16" t="s">
        <v>40</v>
      </c>
      <c r="X11244" s="19">
        <v>1.232</v>
      </c>
      <c r="Y11244" s="20">
        <v>5.463E-3</v>
      </c>
      <c r="Z11244" s="21">
        <v>4601004283565</v>
      </c>
    </row>
    <row r="11245" spans="1:26" ht="12" customHeight="1" outlineLevel="3" x14ac:dyDescent="0.2">
      <c r="A11245" s="14" t="s">
        <v>21370</v>
      </c>
      <c r="B11245" s="26" t="s">
        <v>21371</v>
      </c>
      <c r="C11245" s="52"/>
      <c r="D11245" s="55">
        <f t="shared" si="175"/>
        <v>0</v>
      </c>
      <c r="E11245" s="63" t="str">
        <f>HYPERLINK("https://www.sds-group.ru/product/girlyanda-dozhd-svetodiodnyy-2h1-5m-effekt-mertsaniya-prozrachnyy-provod-ip44-230v-diody-bel-235-515/", "Инфо")</f>
        <v>Инфо</v>
      </c>
      <c r="F11245" s="16" t="s">
        <v>39</v>
      </c>
      <c r="G11245" s="15"/>
      <c r="H11245" s="15"/>
      <c r="I11245" s="15"/>
      <c r="J11245" s="17">
        <v>419</v>
      </c>
      <c r="K11245" s="15"/>
      <c r="L11245" s="17">
        <v>1</v>
      </c>
      <c r="M11245" s="17">
        <v>24</v>
      </c>
      <c r="N11245" s="17">
        <v>1</v>
      </c>
      <c r="O11245" s="18">
        <v>2329.96</v>
      </c>
      <c r="P11245" s="18">
        <v>1909.8</v>
      </c>
      <c r="Q11245" s="18">
        <v>1794.07</v>
      </c>
      <c r="R11245" s="18">
        <v>1470.55</v>
      </c>
      <c r="S11245" s="18">
        <v>1444.58</v>
      </c>
      <c r="T11245" s="18">
        <v>1184.08</v>
      </c>
      <c r="U11245" s="16"/>
      <c r="V11245" s="16"/>
      <c r="W11245" s="16" t="s">
        <v>40</v>
      </c>
      <c r="X11245" s="19">
        <v>0.49299999999999999</v>
      </c>
      <c r="Y11245" s="20">
        <v>2.4729999999999999E-3</v>
      </c>
      <c r="Z11245" s="21">
        <v>4601004283183</v>
      </c>
    </row>
    <row r="11246" spans="1:26" ht="12" customHeight="1" outlineLevel="3" x14ac:dyDescent="0.2">
      <c r="A11246" s="14" t="s">
        <v>21372</v>
      </c>
      <c r="B11246" s="26" t="s">
        <v>21373</v>
      </c>
      <c r="C11246" s="52"/>
      <c r="D11246" s="55">
        <f t="shared" si="175"/>
        <v>0</v>
      </c>
      <c r="E11246" s="63" t="str">
        <f>HYPERLINK("https://www.sds-group.ru/product/girlyanda-dozhd-svetodiodnyy-2h1-5m-effekt-mertsaniya-prozrachnyy-provod-ip44-230v-diody-tep-235-516/", "Инфо")</f>
        <v>Инфо</v>
      </c>
      <c r="F11246" s="16" t="s">
        <v>39</v>
      </c>
      <c r="G11246" s="15"/>
      <c r="H11246" s="15"/>
      <c r="I11246" s="15"/>
      <c r="J11246" s="16" t="s">
        <v>100</v>
      </c>
      <c r="K11246" s="15" t="s">
        <v>4013</v>
      </c>
      <c r="L11246" s="17">
        <v>1</v>
      </c>
      <c r="M11246" s="17">
        <v>24</v>
      </c>
      <c r="N11246" s="17">
        <v>1</v>
      </c>
      <c r="O11246" s="18">
        <v>2329.96</v>
      </c>
      <c r="P11246" s="18">
        <v>1909.8</v>
      </c>
      <c r="Q11246" s="18">
        <v>1794.07</v>
      </c>
      <c r="R11246" s="18">
        <v>1470.55</v>
      </c>
      <c r="S11246" s="18">
        <v>1444.58</v>
      </c>
      <c r="T11246" s="18">
        <v>1184.08</v>
      </c>
      <c r="U11246" s="16"/>
      <c r="V11246" s="16"/>
      <c r="W11246" s="16" t="s">
        <v>40</v>
      </c>
      <c r="X11246" s="19">
        <v>0.49299999999999999</v>
      </c>
      <c r="Y11246" s="20">
        <v>2.4450000000000001E-3</v>
      </c>
      <c r="Z11246" s="21">
        <v>4601004283275</v>
      </c>
    </row>
    <row r="11247" spans="1:26" ht="12" customHeight="1" outlineLevel="3" x14ac:dyDescent="0.2">
      <c r="A11247" s="14" t="s">
        <v>21374</v>
      </c>
      <c r="B11247" s="26" t="s">
        <v>21375</v>
      </c>
      <c r="C11247" s="52"/>
      <c r="D11247" s="55">
        <f t="shared" si="175"/>
        <v>0</v>
      </c>
      <c r="E11247" s="63" t="str">
        <f>HYPERLINK("https://www.sds-group.ru/product/girlyanda-dozhd-svetodiodnyy-2h3m-effekt-mertsaniya-prozrachnyy-provod-ip44-230v-diody-belye-235-555/", "Инфо")</f>
        <v>Инфо</v>
      </c>
      <c r="F11247" s="16" t="s">
        <v>39</v>
      </c>
      <c r="G11247" s="15"/>
      <c r="H11247" s="15"/>
      <c r="I11247" s="15"/>
      <c r="J11247" s="16" t="s">
        <v>100</v>
      </c>
      <c r="K11247" s="15" t="s">
        <v>4013</v>
      </c>
      <c r="L11247" s="17">
        <v>1</v>
      </c>
      <c r="M11247" s="17">
        <v>12</v>
      </c>
      <c r="N11247" s="17">
        <v>1</v>
      </c>
      <c r="O11247" s="18">
        <v>4096.3100000000004</v>
      </c>
      <c r="P11247" s="18">
        <v>3357.63</v>
      </c>
      <c r="Q11247" s="18">
        <v>2990.31</v>
      </c>
      <c r="R11247" s="18">
        <v>2451.0700000000002</v>
      </c>
      <c r="S11247" s="18">
        <v>2539.71</v>
      </c>
      <c r="T11247" s="18">
        <v>2081.73</v>
      </c>
      <c r="U11247" s="16"/>
      <c r="V11247" s="16"/>
      <c r="W11247" s="16" t="s">
        <v>40</v>
      </c>
      <c r="X11247" s="19">
        <v>0.73399999999999999</v>
      </c>
      <c r="Y11247" s="20">
        <v>3.5760000000000002E-3</v>
      </c>
      <c r="Z11247" s="21">
        <v>4601004283237</v>
      </c>
    </row>
    <row r="11248" spans="1:26" ht="12" customHeight="1" outlineLevel="3" x14ac:dyDescent="0.2">
      <c r="A11248" s="14" t="s">
        <v>21376</v>
      </c>
      <c r="B11248" s="26" t="s">
        <v>21377</v>
      </c>
      <c r="C11248" s="52"/>
      <c r="D11248" s="55">
        <f t="shared" si="175"/>
        <v>0</v>
      </c>
      <c r="E11248" s="63" t="str">
        <f>HYPERLINK("https://www.sds-group.ru/product/girlyanda-dozhd-svetodiodnyy-2h3m-effekt-mertsaniya-prozrachnyy-provod-ip44-230v-diody-teply-235-556/", "Инфо")</f>
        <v>Инфо</v>
      </c>
      <c r="F11248" s="16" t="s">
        <v>39</v>
      </c>
      <c r="G11248" s="15"/>
      <c r="H11248" s="15"/>
      <c r="I11248" s="15"/>
      <c r="J11248" s="16" t="s">
        <v>100</v>
      </c>
      <c r="K11248" s="15" t="s">
        <v>4013</v>
      </c>
      <c r="L11248" s="17">
        <v>1</v>
      </c>
      <c r="M11248" s="17">
        <v>12</v>
      </c>
      <c r="N11248" s="17">
        <v>1</v>
      </c>
      <c r="O11248" s="18">
        <v>4096.3100000000004</v>
      </c>
      <c r="P11248" s="18">
        <v>3357.63</v>
      </c>
      <c r="Q11248" s="18">
        <v>2990.31</v>
      </c>
      <c r="R11248" s="18">
        <v>2451.0700000000002</v>
      </c>
      <c r="S11248" s="18">
        <v>2539.71</v>
      </c>
      <c r="T11248" s="18">
        <v>2081.73</v>
      </c>
      <c r="U11248" s="16"/>
      <c r="V11248" s="16"/>
      <c r="W11248" s="16" t="s">
        <v>40</v>
      </c>
      <c r="X11248" s="19">
        <v>0.73199999999999998</v>
      </c>
      <c r="Y11248" s="20">
        <v>3.5799999999999998E-3</v>
      </c>
      <c r="Z11248" s="21">
        <v>4601004283213</v>
      </c>
    </row>
    <row r="11249" spans="1:26" ht="12" customHeight="1" outlineLevel="3" x14ac:dyDescent="0.2">
      <c r="A11249" s="14" t="s">
        <v>21378</v>
      </c>
      <c r="B11249" s="26" t="s">
        <v>21379</v>
      </c>
      <c r="C11249" s="52"/>
      <c r="D11249" s="55">
        <f t="shared" si="175"/>
        <v>0</v>
      </c>
      <c r="E11249" s="64"/>
      <c r="F11249" s="16" t="s">
        <v>39</v>
      </c>
      <c r="G11249" s="15"/>
      <c r="H11249" s="15"/>
      <c r="I11249" s="15"/>
      <c r="J11249" s="17">
        <v>29</v>
      </c>
      <c r="K11249" s="15"/>
      <c r="L11249" s="17">
        <v>1</v>
      </c>
      <c r="M11249" s="17">
        <v>24</v>
      </c>
      <c r="N11249" s="17">
        <v>1</v>
      </c>
      <c r="O11249" s="18">
        <v>2695.92</v>
      </c>
      <c r="P11249" s="18">
        <v>2209.77</v>
      </c>
      <c r="Q11249" s="18">
        <v>2075.86</v>
      </c>
      <c r="R11249" s="18">
        <v>1701.52</v>
      </c>
      <c r="S11249" s="18">
        <v>1671.47</v>
      </c>
      <c r="T11249" s="18">
        <v>1370.06</v>
      </c>
      <c r="U11249" s="16"/>
      <c r="V11249" s="16"/>
      <c r="W11249" s="16" t="s">
        <v>40</v>
      </c>
      <c r="X11249" s="19">
        <v>0.59399999999999997</v>
      </c>
      <c r="Y11249" s="20">
        <v>3.0209999999999998E-3</v>
      </c>
      <c r="Z11249" s="21">
        <v>4601004335318</v>
      </c>
    </row>
    <row r="11250" spans="1:26" ht="12" customHeight="1" outlineLevel="3" x14ac:dyDescent="0.2">
      <c r="A11250" s="14" t="s">
        <v>21380</v>
      </c>
      <c r="B11250" s="26" t="s">
        <v>21381</v>
      </c>
      <c r="C11250" s="52"/>
      <c r="D11250" s="55">
        <f t="shared" si="175"/>
        <v>0</v>
      </c>
      <c r="E11250" s="64"/>
      <c r="F11250" s="16" t="s">
        <v>39</v>
      </c>
      <c r="G11250" s="15"/>
      <c r="H11250" s="15"/>
      <c r="I11250" s="15"/>
      <c r="J11250" s="16" t="s">
        <v>100</v>
      </c>
      <c r="K11250" s="15"/>
      <c r="L11250" s="17">
        <v>1</v>
      </c>
      <c r="M11250" s="17">
        <v>24</v>
      </c>
      <c r="N11250" s="17">
        <v>1</v>
      </c>
      <c r="O11250" s="18">
        <v>2695.92</v>
      </c>
      <c r="P11250" s="18">
        <v>2209.77</v>
      </c>
      <c r="Q11250" s="18">
        <v>2075.86</v>
      </c>
      <c r="R11250" s="18">
        <v>1701.52</v>
      </c>
      <c r="S11250" s="18">
        <v>1671.47</v>
      </c>
      <c r="T11250" s="18">
        <v>1370.06</v>
      </c>
      <c r="U11250" s="16"/>
      <c r="V11250" s="16"/>
      <c r="W11250" s="16" t="s">
        <v>40</v>
      </c>
      <c r="X11250" s="19">
        <v>0.58899999999999997</v>
      </c>
      <c r="Y11250" s="20">
        <v>3.019E-3</v>
      </c>
      <c r="Z11250" s="21">
        <v>4601004335332</v>
      </c>
    </row>
    <row r="11251" spans="1:26" ht="12" customHeight="1" outlineLevel="3" x14ac:dyDescent="0.2">
      <c r="A11251" s="14" t="s">
        <v>21382</v>
      </c>
      <c r="B11251" s="26" t="s">
        <v>21383</v>
      </c>
      <c r="C11251" s="52"/>
      <c r="D11251" s="55">
        <f t="shared" si="175"/>
        <v>0</v>
      </c>
      <c r="E11251" s="64"/>
      <c r="F11251" s="16" t="s">
        <v>39</v>
      </c>
      <c r="G11251" s="15"/>
      <c r="H11251" s="15"/>
      <c r="I11251" s="15"/>
      <c r="J11251" s="16" t="s">
        <v>100</v>
      </c>
      <c r="K11251" s="15"/>
      <c r="L11251" s="17">
        <v>1</v>
      </c>
      <c r="M11251" s="17">
        <v>24</v>
      </c>
      <c r="N11251" s="17">
        <v>1</v>
      </c>
      <c r="O11251" s="18">
        <v>2695.92</v>
      </c>
      <c r="P11251" s="18">
        <v>2209.77</v>
      </c>
      <c r="Q11251" s="18">
        <v>2075.86</v>
      </c>
      <c r="R11251" s="18">
        <v>1701.52</v>
      </c>
      <c r="S11251" s="18">
        <v>1671.47</v>
      </c>
      <c r="T11251" s="18">
        <v>1370.06</v>
      </c>
      <c r="U11251" s="16"/>
      <c r="V11251" s="16"/>
      <c r="W11251" s="16" t="s">
        <v>40</v>
      </c>
      <c r="X11251" s="19">
        <v>0.59399999999999997</v>
      </c>
      <c r="Y11251" s="20">
        <v>3.0899999999999999E-3</v>
      </c>
      <c r="Z11251" s="21">
        <v>4601004335325</v>
      </c>
    </row>
    <row r="11252" spans="1:26" ht="12" customHeight="1" outlineLevel="3" x14ac:dyDescent="0.2">
      <c r="A11252" s="14" t="s">
        <v>21384</v>
      </c>
      <c r="B11252" s="26" t="s">
        <v>21385</v>
      </c>
      <c r="C11252" s="52"/>
      <c r="D11252" s="55">
        <f t="shared" si="175"/>
        <v>0</v>
      </c>
      <c r="E11252" s="64"/>
      <c r="F11252" s="16" t="s">
        <v>39</v>
      </c>
      <c r="G11252" s="15"/>
      <c r="H11252" s="15"/>
      <c r="I11252" s="15"/>
      <c r="J11252" s="17">
        <v>73</v>
      </c>
      <c r="K11252" s="15"/>
      <c r="L11252" s="17">
        <v>1</v>
      </c>
      <c r="M11252" s="17">
        <v>24</v>
      </c>
      <c r="N11252" s="17">
        <v>1</v>
      </c>
      <c r="O11252" s="18">
        <v>2695.92</v>
      </c>
      <c r="P11252" s="18">
        <v>2209.77</v>
      </c>
      <c r="Q11252" s="18">
        <v>2075.86</v>
      </c>
      <c r="R11252" s="18">
        <v>1701.52</v>
      </c>
      <c r="S11252" s="18">
        <v>1671.47</v>
      </c>
      <c r="T11252" s="18">
        <v>1370.06</v>
      </c>
      <c r="U11252" s="16"/>
      <c r="V11252" s="16"/>
      <c r="W11252" s="16" t="s">
        <v>40</v>
      </c>
      <c r="X11252" s="19">
        <v>0.59199999999999997</v>
      </c>
      <c r="Y11252" s="20">
        <v>3.1020000000000002E-3</v>
      </c>
      <c r="Z11252" s="21">
        <v>4601004335486</v>
      </c>
    </row>
    <row r="11253" spans="1:26" ht="12" customHeight="1" outlineLevel="3" x14ac:dyDescent="0.2">
      <c r="A11253" s="14" t="s">
        <v>21386</v>
      </c>
      <c r="B11253" s="26" t="s">
        <v>21387</v>
      </c>
      <c r="C11253" s="52"/>
      <c r="D11253" s="55">
        <f t="shared" si="175"/>
        <v>0</v>
      </c>
      <c r="E11253" s="63" t="str">
        <f>HYPERLINK("https://www.sds-group.ru/product/girlyanda-multishariki-17-5-mm-10-m-80-led-multi-temno-zelenyy-pvh-ip65-dinamika-230v-ne-s-303-509-6/", "Инфо")</f>
        <v>Инфо</v>
      </c>
      <c r="F11253" s="16" t="s">
        <v>39</v>
      </c>
      <c r="G11253" s="15"/>
      <c r="H11253" s="15"/>
      <c r="I11253" s="15"/>
      <c r="J11253" s="16" t="s">
        <v>100</v>
      </c>
      <c r="K11253" s="15" t="s">
        <v>4013</v>
      </c>
      <c r="L11253" s="17">
        <v>1</v>
      </c>
      <c r="M11253" s="17">
        <v>24</v>
      </c>
      <c r="N11253" s="17">
        <v>1</v>
      </c>
      <c r="O11253" s="18">
        <v>3261.83</v>
      </c>
      <c r="P11253" s="18">
        <v>2673.63</v>
      </c>
      <c r="Q11253" s="18">
        <v>2381.14</v>
      </c>
      <c r="R11253" s="18">
        <v>1951.75</v>
      </c>
      <c r="S11253" s="18">
        <v>2022.33</v>
      </c>
      <c r="T11253" s="18">
        <v>1657.65</v>
      </c>
      <c r="U11253" s="16"/>
      <c r="V11253" s="16"/>
      <c r="W11253" s="16" t="s">
        <v>40</v>
      </c>
      <c r="X11253" s="19">
        <v>0.57499999999999996</v>
      </c>
      <c r="Y11253" s="20">
        <v>3.444E-3</v>
      </c>
      <c r="Z11253" s="21">
        <v>4601004008571</v>
      </c>
    </row>
    <row r="11254" spans="1:26" ht="12" customHeight="1" outlineLevel="3" x14ac:dyDescent="0.2">
      <c r="A11254" s="14" t="s">
        <v>21388</v>
      </c>
      <c r="B11254" s="26" t="s">
        <v>21389</v>
      </c>
      <c r="C11254" s="52"/>
      <c r="D11254" s="55">
        <f t="shared" si="175"/>
        <v>0</v>
      </c>
      <c r="E11254" s="63" t="str">
        <f>HYPERLINK("https://www.sds-group.ru/product/girlyanda-nit-10m-s-effektom-mertsaniya-prozrachnyy-provod-ip44-230v-diody-belye-75led-neon--305-525/", "Инфо")</f>
        <v>Инфо</v>
      </c>
      <c r="F11254" s="16" t="s">
        <v>39</v>
      </c>
      <c r="G11254" s="15"/>
      <c r="H11254" s="15"/>
      <c r="I11254" s="15"/>
      <c r="J11254" s="16" t="s">
        <v>100</v>
      </c>
      <c r="K11254" s="15" t="s">
        <v>4013</v>
      </c>
      <c r="L11254" s="17">
        <v>1</v>
      </c>
      <c r="M11254" s="17">
        <v>24</v>
      </c>
      <c r="N11254" s="17">
        <v>1</v>
      </c>
      <c r="O11254" s="18">
        <v>1513.48</v>
      </c>
      <c r="P11254" s="18">
        <v>1240.56</v>
      </c>
      <c r="Q11254" s="18">
        <v>1195.6500000000001</v>
      </c>
      <c r="R11254" s="18">
        <v>980.04</v>
      </c>
      <c r="S11254" s="18">
        <v>938.36</v>
      </c>
      <c r="T11254" s="18">
        <v>769.15</v>
      </c>
      <c r="U11254" s="16"/>
      <c r="V11254" s="16"/>
      <c r="W11254" s="16" t="s">
        <v>40</v>
      </c>
      <c r="X11254" s="19">
        <v>0.36</v>
      </c>
      <c r="Y11254" s="20">
        <v>1.622E-3</v>
      </c>
      <c r="Z11254" s="21">
        <v>4601004283282</v>
      </c>
    </row>
    <row r="11255" spans="1:26" ht="12" customHeight="1" outlineLevel="3" x14ac:dyDescent="0.2">
      <c r="A11255" s="14" t="s">
        <v>21390</v>
      </c>
      <c r="B11255" s="26" t="s">
        <v>21391</v>
      </c>
      <c r="C11255" s="52"/>
      <c r="D11255" s="55">
        <f t="shared" si="175"/>
        <v>0</v>
      </c>
      <c r="E11255" s="63" t="str">
        <f>HYPERLINK("https://www.sds-group.ru/product/girlyanda-nit-10m-s-effektom-mertsaniya-prozrachnyy-provod-ip44-230v-diody-teplye-belye-75le-305-526/", "Инфо")</f>
        <v>Инфо</v>
      </c>
      <c r="F11255" s="16" t="s">
        <v>39</v>
      </c>
      <c r="G11255" s="15"/>
      <c r="H11255" s="15"/>
      <c r="I11255" s="15"/>
      <c r="J11255" s="16" t="s">
        <v>100</v>
      </c>
      <c r="K11255" s="15" t="s">
        <v>4013</v>
      </c>
      <c r="L11255" s="17">
        <v>1</v>
      </c>
      <c r="M11255" s="17">
        <v>24</v>
      </c>
      <c r="N11255" s="17">
        <v>1</v>
      </c>
      <c r="O11255" s="18">
        <v>1513.48</v>
      </c>
      <c r="P11255" s="18">
        <v>1240.56</v>
      </c>
      <c r="Q11255" s="18">
        <v>1195.6500000000001</v>
      </c>
      <c r="R11255" s="18">
        <v>980.04</v>
      </c>
      <c r="S11255" s="18">
        <v>938.36</v>
      </c>
      <c r="T11255" s="18">
        <v>769.15</v>
      </c>
      <c r="U11255" s="16"/>
      <c r="V11255" s="16"/>
      <c r="W11255" s="16" t="s">
        <v>40</v>
      </c>
      <c r="X11255" s="19">
        <v>0.36</v>
      </c>
      <c r="Y11255" s="20">
        <v>1.6310000000000001E-3</v>
      </c>
      <c r="Z11255" s="21">
        <v>4601004283343</v>
      </c>
    </row>
    <row r="11256" spans="1:26" ht="12" customHeight="1" outlineLevel="3" x14ac:dyDescent="0.2">
      <c r="A11256" s="14" t="s">
        <v>21392</v>
      </c>
      <c r="B11256" s="26" t="s">
        <v>21393</v>
      </c>
      <c r="C11256" s="52"/>
      <c r="D11256" s="55">
        <f t="shared" si="175"/>
        <v>0</v>
      </c>
      <c r="E11256" s="63" t="str">
        <f>HYPERLINK("https://www.sds-group.ru/product/girlyanda-nit-20m-s-effektom-mertsaniya-prozrachnyy-provod-ip44-230v-diody-belye-150led-neon-305-565/", "Инфо")</f>
        <v>Инфо</v>
      </c>
      <c r="F11256" s="16" t="s">
        <v>39</v>
      </c>
      <c r="G11256" s="15"/>
      <c r="H11256" s="15"/>
      <c r="I11256" s="15"/>
      <c r="J11256" s="17">
        <v>171</v>
      </c>
      <c r="K11256" s="15" t="s">
        <v>4013</v>
      </c>
      <c r="L11256" s="17">
        <v>1</v>
      </c>
      <c r="M11256" s="17">
        <v>24</v>
      </c>
      <c r="N11256" s="17">
        <v>1</v>
      </c>
      <c r="O11256" s="18">
        <v>2329.96</v>
      </c>
      <c r="P11256" s="18">
        <v>1909.8</v>
      </c>
      <c r="Q11256" s="18">
        <v>1794.07</v>
      </c>
      <c r="R11256" s="18">
        <v>1470.55</v>
      </c>
      <c r="S11256" s="18">
        <v>1444.58</v>
      </c>
      <c r="T11256" s="18">
        <v>1184.08</v>
      </c>
      <c r="U11256" s="16"/>
      <c r="V11256" s="16"/>
      <c r="W11256" s="16" t="s">
        <v>40</v>
      </c>
      <c r="X11256" s="19">
        <v>0.51</v>
      </c>
      <c r="Y11256" s="20">
        <v>2.3879999999999999E-3</v>
      </c>
      <c r="Z11256" s="21">
        <v>4601004283305</v>
      </c>
    </row>
    <row r="11257" spans="1:26" ht="12" customHeight="1" outlineLevel="3" x14ac:dyDescent="0.2">
      <c r="A11257" s="14" t="s">
        <v>21394</v>
      </c>
      <c r="B11257" s="26" t="s">
        <v>21395</v>
      </c>
      <c r="C11257" s="52"/>
      <c r="D11257" s="55">
        <f t="shared" si="175"/>
        <v>0</v>
      </c>
      <c r="E11257" s="63" t="str">
        <f>HYPERLINK("https://www.sds-group.ru/product/girlyanda-nit-20m-s-effektom-mertsaniya-prozrachnyy-provod-ip44-230v-diody-teplye-belye-150l-305-566/", "Инфо")</f>
        <v>Инфо</v>
      </c>
      <c r="F11257" s="16" t="s">
        <v>39</v>
      </c>
      <c r="G11257" s="15"/>
      <c r="H11257" s="15"/>
      <c r="I11257" s="15"/>
      <c r="J11257" s="16" t="s">
        <v>100</v>
      </c>
      <c r="K11257" s="15" t="s">
        <v>4013</v>
      </c>
      <c r="L11257" s="17">
        <v>1</v>
      </c>
      <c r="M11257" s="17">
        <v>24</v>
      </c>
      <c r="N11257" s="17">
        <v>1</v>
      </c>
      <c r="O11257" s="18">
        <v>2329.96</v>
      </c>
      <c r="P11257" s="18">
        <v>1909.8</v>
      </c>
      <c r="Q11257" s="18">
        <v>1794.07</v>
      </c>
      <c r="R11257" s="18">
        <v>1470.55</v>
      </c>
      <c r="S11257" s="18">
        <v>1444.58</v>
      </c>
      <c r="T11257" s="18">
        <v>1184.08</v>
      </c>
      <c r="U11257" s="16"/>
      <c r="V11257" s="16"/>
      <c r="W11257" s="16" t="s">
        <v>40</v>
      </c>
      <c r="X11257" s="19">
        <v>0.50900000000000001</v>
      </c>
      <c r="Y11257" s="20">
        <v>2.3609999999999998E-3</v>
      </c>
      <c r="Z11257" s="21">
        <v>4601004283381</v>
      </c>
    </row>
    <row r="11258" spans="1:26" ht="12.95" customHeight="1" outlineLevel="2" x14ac:dyDescent="0.2">
      <c r="A11258" s="76" t="s">
        <v>21396</v>
      </c>
      <c r="B11258" s="76"/>
      <c r="C11258" s="77"/>
      <c r="D11258" s="58"/>
      <c r="E11258" s="68"/>
      <c r="F11258" s="13"/>
      <c r="G11258" s="13"/>
      <c r="H11258" s="13"/>
      <c r="I11258" s="13"/>
      <c r="J11258" s="13"/>
      <c r="K11258" s="13"/>
      <c r="L11258" s="13"/>
      <c r="M11258" s="13"/>
      <c r="N11258" s="13"/>
      <c r="O11258" s="13"/>
      <c r="P11258" s="13"/>
      <c r="Q11258" s="13"/>
      <c r="R11258" s="13"/>
      <c r="S11258" s="13"/>
      <c r="T11258" s="13"/>
      <c r="U11258" s="13"/>
      <c r="V11258" s="13"/>
      <c r="W11258" s="13"/>
      <c r="X11258" s="13"/>
      <c r="Y11258" s="13"/>
      <c r="Z11258" s="13"/>
    </row>
    <row r="11259" spans="1:26" ht="12" customHeight="1" outlineLevel="3" x14ac:dyDescent="0.2">
      <c r="A11259" s="32" t="s">
        <v>21397</v>
      </c>
      <c r="B11259" s="74" t="s">
        <v>21398</v>
      </c>
      <c r="C11259" s="50"/>
      <c r="D11259" s="53">
        <f t="shared" si="175"/>
        <v>0</v>
      </c>
      <c r="E11259" s="60" t="str">
        <f>HYPERLINK("https://www.sds-group.ru/product/girlyanda-rosa-10m-100led-rgb-ip44-na-batareykah-3haa-s-pultom-44-rezhima-neon-night-303-259/", "Инфо")</f>
        <v>Инфо</v>
      </c>
      <c r="F11259" s="34" t="s">
        <v>39</v>
      </c>
      <c r="G11259" s="33"/>
      <c r="H11259" s="33" t="s">
        <v>40</v>
      </c>
      <c r="I11259" s="33"/>
      <c r="J11259" s="34" t="s">
        <v>100</v>
      </c>
      <c r="K11259" s="33"/>
      <c r="L11259" s="35">
        <v>1</v>
      </c>
      <c r="M11259" s="35">
        <v>100</v>
      </c>
      <c r="N11259" s="35">
        <v>1</v>
      </c>
      <c r="O11259" s="36">
        <v>2086.04</v>
      </c>
      <c r="P11259" s="36">
        <v>1709.87</v>
      </c>
      <c r="Q11259" s="36">
        <v>1460.23</v>
      </c>
      <c r="R11259" s="36">
        <v>1196.9100000000001</v>
      </c>
      <c r="S11259" s="36">
        <v>1293.3399999999999</v>
      </c>
      <c r="T11259" s="36">
        <v>1060.1099999999999</v>
      </c>
      <c r="U11259" s="34"/>
      <c r="V11259" s="34"/>
      <c r="W11259" s="34"/>
      <c r="X11259" s="37">
        <v>0.14199999999999999</v>
      </c>
      <c r="Y11259" s="38">
        <v>6.0999999999999999E-5</v>
      </c>
      <c r="Z11259" s="21">
        <v>4601004283947</v>
      </c>
    </row>
    <row r="11260" spans="1:26" ht="12" customHeight="1" outlineLevel="3" x14ac:dyDescent="0.2">
      <c r="A11260" s="14" t="s">
        <v>21399</v>
      </c>
      <c r="B11260" s="26" t="s">
        <v>21400</v>
      </c>
      <c r="C11260" s="52"/>
      <c r="D11260" s="55">
        <f t="shared" si="175"/>
        <v>0</v>
      </c>
      <c r="E11260" s="63" t="str">
        <f>HYPERLINK("https://www.sds-group.ru/product/girlyanda-rosa-10m-100led-teplyy-belyy-ip44-na-batareykah-3haa-s-pultom-8-rezhimov-neon-nigh-303-256/", "Инфо")</f>
        <v>Инфо</v>
      </c>
      <c r="F11260" s="16" t="s">
        <v>39</v>
      </c>
      <c r="G11260" s="15"/>
      <c r="H11260" s="15"/>
      <c r="I11260" s="15"/>
      <c r="J11260" s="16" t="s">
        <v>100</v>
      </c>
      <c r="K11260" s="15" t="s">
        <v>6174</v>
      </c>
      <c r="L11260" s="17">
        <v>1</v>
      </c>
      <c r="M11260" s="17">
        <v>100</v>
      </c>
      <c r="N11260" s="17">
        <v>1</v>
      </c>
      <c r="O11260" s="18">
        <v>672.41</v>
      </c>
      <c r="P11260" s="18">
        <v>551.16</v>
      </c>
      <c r="Q11260" s="18">
        <v>470.69</v>
      </c>
      <c r="R11260" s="18">
        <v>385.81</v>
      </c>
      <c r="S11260" s="18">
        <v>416.89</v>
      </c>
      <c r="T11260" s="18">
        <v>341.71</v>
      </c>
      <c r="U11260" s="16"/>
      <c r="V11260" s="16"/>
      <c r="W11260" s="16"/>
      <c r="X11260" s="19">
        <v>0.10199999999999999</v>
      </c>
      <c r="Y11260" s="20">
        <v>5.7399999999999997E-4</v>
      </c>
      <c r="Z11260" s="21">
        <v>4601004284005</v>
      </c>
    </row>
    <row r="11261" spans="1:26" ht="12" customHeight="1" outlineLevel="3" x14ac:dyDescent="0.2">
      <c r="A11261" s="14" t="s">
        <v>21401</v>
      </c>
      <c r="B11261" s="26" t="s">
        <v>21402</v>
      </c>
      <c r="C11261" s="52"/>
      <c r="D11261" s="55">
        <f t="shared" si="175"/>
        <v>0</v>
      </c>
      <c r="E11261" s="63" t="str">
        <f>HYPERLINK("https://www.sds-group.ru/product/girlyanda-rosa-20m-200led-teplyy-belyy-ip44-na-batareykah-3haa-s-pultom-8-rezhimov-neon-nigh-303-257/", "Инфо")</f>
        <v>Инфо</v>
      </c>
      <c r="F11261" s="16" t="s">
        <v>39</v>
      </c>
      <c r="G11261" s="15"/>
      <c r="H11261" s="15"/>
      <c r="I11261" s="15"/>
      <c r="J11261" s="16" t="s">
        <v>100</v>
      </c>
      <c r="K11261" s="15" t="s">
        <v>6174</v>
      </c>
      <c r="L11261" s="17">
        <v>1</v>
      </c>
      <c r="M11261" s="17">
        <v>100</v>
      </c>
      <c r="N11261" s="17">
        <v>1</v>
      </c>
      <c r="O11261" s="18">
        <v>941.92</v>
      </c>
      <c r="P11261" s="18">
        <v>772.07</v>
      </c>
      <c r="Q11261" s="18">
        <v>659.34</v>
      </c>
      <c r="R11261" s="18">
        <v>540.44000000000005</v>
      </c>
      <c r="S11261" s="18">
        <v>583.99</v>
      </c>
      <c r="T11261" s="18">
        <v>478.68</v>
      </c>
      <c r="U11261" s="16"/>
      <c r="V11261" s="16"/>
      <c r="W11261" s="16"/>
      <c r="X11261" s="19">
        <v>0.111</v>
      </c>
      <c r="Y11261" s="20">
        <v>4.7199999999999998E-4</v>
      </c>
      <c r="Z11261" s="21">
        <v>4601004311121</v>
      </c>
    </row>
    <row r="11262" spans="1:26" ht="12" customHeight="1" outlineLevel="3" x14ac:dyDescent="0.2">
      <c r="A11262" s="14" t="s">
        <v>21403</v>
      </c>
      <c r="B11262" s="26" t="s">
        <v>21404</v>
      </c>
      <c r="C11262" s="52"/>
      <c r="D11262" s="55">
        <f t="shared" si="175"/>
        <v>0</v>
      </c>
      <c r="E11262" s="63" t="str">
        <f>HYPERLINK("https://www.sds-group.ru/product/girlyanda-rosa-s-transformatorom-100-m-1000-led-teploe-beloe-svechenie-neon-night-303-236/", "Инфо")</f>
        <v>Инфо</v>
      </c>
      <c r="F11262" s="16" t="s">
        <v>39</v>
      </c>
      <c r="G11262" s="15"/>
      <c r="H11262" s="15"/>
      <c r="I11262" s="15"/>
      <c r="J11262" s="17">
        <v>42</v>
      </c>
      <c r="K11262" s="15" t="s">
        <v>6174</v>
      </c>
      <c r="L11262" s="17">
        <v>1</v>
      </c>
      <c r="M11262" s="17">
        <v>36</v>
      </c>
      <c r="N11262" s="17">
        <v>1</v>
      </c>
      <c r="O11262" s="18">
        <v>3579.03</v>
      </c>
      <c r="P11262" s="18">
        <v>2933.63</v>
      </c>
      <c r="Q11262" s="18">
        <v>2684.27</v>
      </c>
      <c r="R11262" s="18">
        <v>2200.2199999999998</v>
      </c>
      <c r="S11262" s="18">
        <v>2219</v>
      </c>
      <c r="T11262" s="18">
        <v>1818.85</v>
      </c>
      <c r="U11262" s="16"/>
      <c r="V11262" s="16"/>
      <c r="W11262" s="16" t="s">
        <v>40</v>
      </c>
      <c r="X11262" s="19">
        <v>0.439</v>
      </c>
      <c r="Y11262" s="20">
        <v>1.124E-3</v>
      </c>
      <c r="Z11262" s="21">
        <v>4601004254800</v>
      </c>
    </row>
    <row r="11263" spans="1:26" ht="12" customHeight="1" outlineLevel="3" x14ac:dyDescent="0.2">
      <c r="A11263" s="32" t="s">
        <v>21405</v>
      </c>
      <c r="B11263" s="74" t="s">
        <v>21406</v>
      </c>
      <c r="C11263" s="50"/>
      <c r="D11263" s="53">
        <f t="shared" si="175"/>
        <v>0</v>
      </c>
      <c r="E11263" s="60" t="str">
        <f>HYPERLINK("https://www.sds-group.ru/product/girlyanda-rosa-s-transformatorom-20-m-200-led-tsvet-svecheniya-multikolor-neon-night-303-209/", "Инфо")</f>
        <v>Инфо</v>
      </c>
      <c r="F11263" s="34" t="s">
        <v>39</v>
      </c>
      <c r="G11263" s="33"/>
      <c r="H11263" s="33" t="s">
        <v>40</v>
      </c>
      <c r="I11263" s="33"/>
      <c r="J11263" s="35">
        <v>28</v>
      </c>
      <c r="K11263" s="33"/>
      <c r="L11263" s="35">
        <v>1</v>
      </c>
      <c r="M11263" s="35">
        <v>48</v>
      </c>
      <c r="N11263" s="35">
        <v>1</v>
      </c>
      <c r="O11263" s="36">
        <v>1606.25</v>
      </c>
      <c r="P11263" s="36">
        <v>1316.6</v>
      </c>
      <c r="Q11263" s="36">
        <v>1124.3800000000001</v>
      </c>
      <c r="R11263" s="36">
        <v>921.62</v>
      </c>
      <c r="S11263" s="36">
        <v>995.88</v>
      </c>
      <c r="T11263" s="36">
        <v>816.3</v>
      </c>
      <c r="U11263" s="34"/>
      <c r="V11263" s="34"/>
      <c r="W11263" s="34"/>
      <c r="X11263" s="37">
        <v>0.192</v>
      </c>
      <c r="Y11263" s="38">
        <v>1.2030000000000001E-3</v>
      </c>
      <c r="Z11263" s="21">
        <v>4601004254756</v>
      </c>
    </row>
    <row r="11264" spans="1:26" ht="12" customHeight="1" outlineLevel="3" x14ac:dyDescent="0.2">
      <c r="A11264" s="32" t="s">
        <v>21407</v>
      </c>
      <c r="B11264" s="74" t="s">
        <v>21408</v>
      </c>
      <c r="C11264" s="50"/>
      <c r="D11264" s="53">
        <f t="shared" si="175"/>
        <v>0</v>
      </c>
      <c r="E11264" s="60" t="str">
        <f>HYPERLINK("https://www.sds-group.ru/product/girlyanda-rosa-s-transformatorom-30-m-300-led-beloe-svechenie-neon-night-303-215/", "Инфо")</f>
        <v>Инфо</v>
      </c>
      <c r="F11264" s="34" t="s">
        <v>39</v>
      </c>
      <c r="G11264" s="33"/>
      <c r="H11264" s="33" t="s">
        <v>40</v>
      </c>
      <c r="I11264" s="33"/>
      <c r="J11264" s="35">
        <v>84</v>
      </c>
      <c r="K11264" s="33"/>
      <c r="L11264" s="35">
        <v>1</v>
      </c>
      <c r="M11264" s="35">
        <v>100</v>
      </c>
      <c r="N11264" s="35">
        <v>1</v>
      </c>
      <c r="O11264" s="36">
        <v>1929.66</v>
      </c>
      <c r="P11264" s="36">
        <v>1581.69</v>
      </c>
      <c r="Q11264" s="36">
        <v>1350.76</v>
      </c>
      <c r="R11264" s="36">
        <v>1107.18</v>
      </c>
      <c r="S11264" s="36">
        <v>1196.3900000000001</v>
      </c>
      <c r="T11264" s="36">
        <v>980.65</v>
      </c>
      <c r="U11264" s="34"/>
      <c r="V11264" s="34"/>
      <c r="W11264" s="34"/>
      <c r="X11264" s="37">
        <v>0.19</v>
      </c>
      <c r="Y11264" s="38">
        <v>1.315E-3</v>
      </c>
      <c r="Z11264" s="21">
        <v>4601004184138</v>
      </c>
    </row>
    <row r="11265" spans="1:26" ht="12" customHeight="1" outlineLevel="3" x14ac:dyDescent="0.2">
      <c r="A11265" s="14" t="s">
        <v>21409</v>
      </c>
      <c r="B11265" s="26" t="s">
        <v>21410</v>
      </c>
      <c r="C11265" s="52"/>
      <c r="D11265" s="55">
        <f t="shared" si="175"/>
        <v>0</v>
      </c>
      <c r="E11265" s="63" t="str">
        <f>HYPERLINK("https://www.sds-group.ru/product/girlyanda-rosa-s-transformatorom-30-m-300-led-teploe-beloe-svechenie-neon-night-303-216/", "Инфо")</f>
        <v>Инфо</v>
      </c>
      <c r="F11265" s="16" t="s">
        <v>39</v>
      </c>
      <c r="G11265" s="15"/>
      <c r="H11265" s="15"/>
      <c r="I11265" s="15"/>
      <c r="J11265" s="16" t="s">
        <v>100</v>
      </c>
      <c r="K11265" s="15" t="s">
        <v>6174</v>
      </c>
      <c r="L11265" s="17">
        <v>1</v>
      </c>
      <c r="M11265" s="17">
        <v>48</v>
      </c>
      <c r="N11265" s="17">
        <v>1</v>
      </c>
      <c r="O11265" s="18">
        <v>1929.66</v>
      </c>
      <c r="P11265" s="18">
        <v>1581.69</v>
      </c>
      <c r="Q11265" s="18">
        <v>1485.84</v>
      </c>
      <c r="R11265" s="18">
        <v>1217.9000000000001</v>
      </c>
      <c r="S11265" s="18">
        <v>1196.3900000000001</v>
      </c>
      <c r="T11265" s="18">
        <v>980.65</v>
      </c>
      <c r="U11265" s="16"/>
      <c r="V11265" s="16"/>
      <c r="W11265" s="16" t="s">
        <v>40</v>
      </c>
      <c r="X11265" s="19">
        <v>0.18</v>
      </c>
      <c r="Y11265" s="20">
        <v>1.312E-3</v>
      </c>
      <c r="Z11265" s="21">
        <v>4601004184121</v>
      </c>
    </row>
    <row r="11266" spans="1:26" ht="12" customHeight="1" outlineLevel="3" x14ac:dyDescent="0.2">
      <c r="A11266" s="32" t="s">
        <v>21411</v>
      </c>
      <c r="B11266" s="74" t="s">
        <v>21412</v>
      </c>
      <c r="C11266" s="50"/>
      <c r="D11266" s="53">
        <f t="shared" si="175"/>
        <v>0</v>
      </c>
      <c r="E11266" s="60" t="str">
        <f>HYPERLINK("https://www.sds-group.ru/product/girlyanda-rosa-s-transformatorom-20-m-200-led-beloe-svechenie-neon-night-303-205/", "Инфо")</f>
        <v>Инфо</v>
      </c>
      <c r="F11266" s="34" t="s">
        <v>39</v>
      </c>
      <c r="G11266" s="33"/>
      <c r="H11266" s="33" t="s">
        <v>40</v>
      </c>
      <c r="I11266" s="33"/>
      <c r="J11266" s="35">
        <v>4</v>
      </c>
      <c r="K11266" s="33"/>
      <c r="L11266" s="35">
        <v>1</v>
      </c>
      <c r="M11266" s="35">
        <v>48</v>
      </c>
      <c r="N11266" s="35">
        <v>1</v>
      </c>
      <c r="O11266" s="36">
        <v>1606.25</v>
      </c>
      <c r="P11266" s="36">
        <v>1316.6</v>
      </c>
      <c r="Q11266" s="36">
        <v>1124.3800000000001</v>
      </c>
      <c r="R11266" s="36">
        <v>921.62</v>
      </c>
      <c r="S11266" s="36">
        <v>995.88</v>
      </c>
      <c r="T11266" s="36">
        <v>816.3</v>
      </c>
      <c r="U11266" s="34"/>
      <c r="V11266" s="34"/>
      <c r="W11266" s="34"/>
      <c r="X11266" s="37">
        <v>0.19400000000000001</v>
      </c>
      <c r="Y11266" s="38">
        <v>1.1670000000000001E-3</v>
      </c>
      <c r="Z11266" s="21">
        <v>4601004184114</v>
      </c>
    </row>
    <row r="11267" spans="1:26" ht="12" customHeight="1" outlineLevel="3" x14ac:dyDescent="0.2">
      <c r="A11267" s="32" t="s">
        <v>21413</v>
      </c>
      <c r="B11267" s="74" t="s">
        <v>21414</v>
      </c>
      <c r="C11267" s="50"/>
      <c r="D11267" s="53">
        <f t="shared" si="175"/>
        <v>0</v>
      </c>
      <c r="E11267" s="60" t="str">
        <f>HYPERLINK("https://www.sds-group.ru/product/girlyanda-rosa-feyerverk-s-transformatorom-20-m-1000-led-beloe-svechenie-303-245/", "Инфо")</f>
        <v>Инфо</v>
      </c>
      <c r="F11267" s="34" t="s">
        <v>39</v>
      </c>
      <c r="G11267" s="33"/>
      <c r="H11267" s="33" t="s">
        <v>40</v>
      </c>
      <c r="I11267" s="33"/>
      <c r="J11267" s="35">
        <v>10</v>
      </c>
      <c r="K11267" s="33"/>
      <c r="L11267" s="35">
        <v>1</v>
      </c>
      <c r="M11267" s="35">
        <v>48</v>
      </c>
      <c r="N11267" s="35">
        <v>1</v>
      </c>
      <c r="O11267" s="36">
        <v>4841.3900000000003</v>
      </c>
      <c r="P11267" s="36">
        <v>3968.35</v>
      </c>
      <c r="Q11267" s="36">
        <v>3388.97</v>
      </c>
      <c r="R11267" s="36">
        <v>2777.84</v>
      </c>
      <c r="S11267" s="36">
        <v>3001.66</v>
      </c>
      <c r="T11267" s="36">
        <v>2460.38</v>
      </c>
      <c r="U11267" s="34"/>
      <c r="V11267" s="34"/>
      <c r="W11267" s="34"/>
      <c r="X11267" s="37">
        <v>0.39400000000000002</v>
      </c>
      <c r="Y11267" s="38">
        <v>1.17E-4</v>
      </c>
      <c r="Z11267" s="21">
        <v>4601004254817</v>
      </c>
    </row>
    <row r="11268" spans="1:26" ht="12" customHeight="1" outlineLevel="3" x14ac:dyDescent="0.2">
      <c r="A11268" s="14" t="s">
        <v>21415</v>
      </c>
      <c r="B11268" s="26" t="s">
        <v>21416</v>
      </c>
      <c r="C11268" s="52"/>
      <c r="D11268" s="55">
        <f t="shared" si="175"/>
        <v>0</v>
      </c>
      <c r="E11268" s="64"/>
      <c r="F11268" s="16" t="s">
        <v>39</v>
      </c>
      <c r="G11268" s="15"/>
      <c r="H11268" s="15"/>
      <c r="I11268" s="15"/>
      <c r="J11268" s="17">
        <v>133</v>
      </c>
      <c r="K11268" s="15"/>
      <c r="L11268" s="17">
        <v>1</v>
      </c>
      <c r="M11268" s="17">
        <v>24</v>
      </c>
      <c r="N11268" s="17">
        <v>1</v>
      </c>
      <c r="O11268" s="18">
        <v>8493.93</v>
      </c>
      <c r="P11268" s="18">
        <v>6962.24</v>
      </c>
      <c r="Q11268" s="18">
        <v>6200.57</v>
      </c>
      <c r="R11268" s="18">
        <v>5082.43</v>
      </c>
      <c r="S11268" s="18">
        <v>5266.24</v>
      </c>
      <c r="T11268" s="18">
        <v>4316.59</v>
      </c>
      <c r="U11268" s="16"/>
      <c r="V11268" s="16"/>
      <c r="W11268" s="16" t="s">
        <v>40</v>
      </c>
      <c r="X11268" s="19">
        <v>0.50600000000000001</v>
      </c>
      <c r="Y11268" s="20">
        <v>2.892E-3</v>
      </c>
      <c r="Z11268" s="21">
        <v>4601004335776</v>
      </c>
    </row>
    <row r="11269" spans="1:26" ht="12" customHeight="1" outlineLevel="3" x14ac:dyDescent="0.2">
      <c r="A11269" s="14" t="s">
        <v>21417</v>
      </c>
      <c r="B11269" s="26" t="s">
        <v>21418</v>
      </c>
      <c r="C11269" s="52"/>
      <c r="D11269" s="55">
        <f t="shared" si="175"/>
        <v>0</v>
      </c>
      <c r="E11269" s="64"/>
      <c r="F11269" s="16" t="s">
        <v>39</v>
      </c>
      <c r="G11269" s="15"/>
      <c r="H11269" s="15"/>
      <c r="I11269" s="15"/>
      <c r="J11269" s="17">
        <v>78</v>
      </c>
      <c r="K11269" s="15"/>
      <c r="L11269" s="17">
        <v>1</v>
      </c>
      <c r="M11269" s="17">
        <v>24</v>
      </c>
      <c r="N11269" s="17">
        <v>1</v>
      </c>
      <c r="O11269" s="18">
        <v>8493.93</v>
      </c>
      <c r="P11269" s="18">
        <v>6962.24</v>
      </c>
      <c r="Q11269" s="18">
        <v>6200.57</v>
      </c>
      <c r="R11269" s="18">
        <v>5082.43</v>
      </c>
      <c r="S11269" s="18">
        <v>5266.24</v>
      </c>
      <c r="T11269" s="18">
        <v>4316.59</v>
      </c>
      <c r="U11269" s="16"/>
      <c r="V11269" s="16"/>
      <c r="W11269" s="16" t="s">
        <v>40</v>
      </c>
      <c r="X11269" s="19">
        <v>0.50700000000000001</v>
      </c>
      <c r="Y11269" s="20">
        <v>2.8340000000000001E-3</v>
      </c>
      <c r="Z11269" s="21">
        <v>4601004335653</v>
      </c>
    </row>
    <row r="11270" spans="1:26" ht="12" customHeight="1" outlineLevel="3" x14ac:dyDescent="0.2">
      <c r="A11270" s="14" t="s">
        <v>21419</v>
      </c>
      <c r="B11270" s="26" t="s">
        <v>21420</v>
      </c>
      <c r="C11270" s="52"/>
      <c r="D11270" s="55">
        <f t="shared" si="175"/>
        <v>0</v>
      </c>
      <c r="E11270" s="64"/>
      <c r="F11270" s="16" t="s">
        <v>39</v>
      </c>
      <c r="G11270" s="15"/>
      <c r="H11270" s="15"/>
      <c r="I11270" s="15"/>
      <c r="J11270" s="17">
        <v>194</v>
      </c>
      <c r="K11270" s="15"/>
      <c r="L11270" s="17">
        <v>1</v>
      </c>
      <c r="M11270" s="17">
        <v>24</v>
      </c>
      <c r="N11270" s="17">
        <v>1</v>
      </c>
      <c r="O11270" s="18">
        <v>8493.93</v>
      </c>
      <c r="P11270" s="18">
        <v>6962.24</v>
      </c>
      <c r="Q11270" s="18">
        <v>6200.57</v>
      </c>
      <c r="R11270" s="18">
        <v>5082.43</v>
      </c>
      <c r="S11270" s="18">
        <v>5266.24</v>
      </c>
      <c r="T11270" s="18">
        <v>4316.59</v>
      </c>
      <c r="U11270" s="16"/>
      <c r="V11270" s="16"/>
      <c r="W11270" s="16" t="s">
        <v>40</v>
      </c>
      <c r="X11270" s="19">
        <v>0.51800000000000002</v>
      </c>
      <c r="Y11270" s="20">
        <v>2.869E-3</v>
      </c>
      <c r="Z11270" s="21">
        <v>4601004335578</v>
      </c>
    </row>
    <row r="11271" spans="1:26" ht="12" customHeight="1" outlineLevel="3" x14ac:dyDescent="0.2">
      <c r="A11271" s="14" t="s">
        <v>21421</v>
      </c>
      <c r="B11271" s="26" t="s">
        <v>21422</v>
      </c>
      <c r="C11271" s="52"/>
      <c r="D11271" s="55">
        <f t="shared" si="175"/>
        <v>0</v>
      </c>
      <c r="E11271" s="63" t="str">
        <f>HYPERLINK("https://www.sds-group.ru/product/girlyanda-svetodiodnaya-rosa-feyerverk-c-transformatorom-6m-600-led-belyy-ip44-230v-s-pultom-303-425/", "Инфо")</f>
        <v>Инфо</v>
      </c>
      <c r="F11271" s="16" t="s">
        <v>39</v>
      </c>
      <c r="G11271" s="15"/>
      <c r="H11271" s="15"/>
      <c r="I11271" s="15"/>
      <c r="J11271" s="17">
        <v>495</v>
      </c>
      <c r="K11271" s="15"/>
      <c r="L11271" s="17">
        <v>1</v>
      </c>
      <c r="M11271" s="17">
        <v>48</v>
      </c>
      <c r="N11271" s="17">
        <v>1</v>
      </c>
      <c r="O11271" s="18">
        <v>3230.83</v>
      </c>
      <c r="P11271" s="18">
        <v>2648.22</v>
      </c>
      <c r="Q11271" s="18">
        <v>2358.5100000000002</v>
      </c>
      <c r="R11271" s="18">
        <v>1933.2</v>
      </c>
      <c r="S11271" s="18">
        <v>2003.11</v>
      </c>
      <c r="T11271" s="18">
        <v>1641.89</v>
      </c>
      <c r="U11271" s="16"/>
      <c r="V11271" s="16"/>
      <c r="W11271" s="16" t="s">
        <v>40</v>
      </c>
      <c r="X11271" s="19">
        <v>0.26400000000000001</v>
      </c>
      <c r="Y11271" s="20">
        <v>1.268E-3</v>
      </c>
      <c r="Z11271" s="21">
        <v>4601004335752</v>
      </c>
    </row>
    <row r="11272" spans="1:26" ht="12" customHeight="1" outlineLevel="3" x14ac:dyDescent="0.2">
      <c r="A11272" s="14" t="s">
        <v>21423</v>
      </c>
      <c r="B11272" s="26" t="s">
        <v>21424</v>
      </c>
      <c r="C11272" s="52"/>
      <c r="D11272" s="55">
        <f t="shared" si="175"/>
        <v>0</v>
      </c>
      <c r="E11272" s="64"/>
      <c r="F11272" s="16" t="s">
        <v>39</v>
      </c>
      <c r="G11272" s="15"/>
      <c r="H11272" s="15"/>
      <c r="I11272" s="15"/>
      <c r="J11272" s="16" t="s">
        <v>100</v>
      </c>
      <c r="K11272" s="15"/>
      <c r="L11272" s="17">
        <v>1</v>
      </c>
      <c r="M11272" s="17">
        <v>48</v>
      </c>
      <c r="N11272" s="17">
        <v>1</v>
      </c>
      <c r="O11272" s="18">
        <v>3230.83</v>
      </c>
      <c r="P11272" s="18">
        <v>2648.22</v>
      </c>
      <c r="Q11272" s="18">
        <v>2358.5100000000002</v>
      </c>
      <c r="R11272" s="18">
        <v>1933.2</v>
      </c>
      <c r="S11272" s="18">
        <v>2003.11</v>
      </c>
      <c r="T11272" s="18">
        <v>1641.89</v>
      </c>
      <c r="U11272" s="16"/>
      <c r="V11272" s="16"/>
      <c r="W11272" s="16" t="s">
        <v>40</v>
      </c>
      <c r="X11272" s="19">
        <v>0.26200000000000001</v>
      </c>
      <c r="Y11272" s="20">
        <v>1.273E-3</v>
      </c>
      <c r="Z11272" s="21">
        <v>4601004335615</v>
      </c>
    </row>
    <row r="11273" spans="1:26" ht="12" customHeight="1" outlineLevel="3" x14ac:dyDescent="0.2">
      <c r="A11273" s="14" t="s">
        <v>21425</v>
      </c>
      <c r="B11273" s="26" t="s">
        <v>21426</v>
      </c>
      <c r="C11273" s="52"/>
      <c r="D11273" s="55">
        <f t="shared" ref="D11273:D11335" si="176">C11273*(O11273-O11273*$G$3)</f>
        <v>0</v>
      </c>
      <c r="E11273" s="64"/>
      <c r="F11273" s="16" t="s">
        <v>39</v>
      </c>
      <c r="G11273" s="15"/>
      <c r="H11273" s="15"/>
      <c r="I11273" s="15"/>
      <c r="J11273" s="17">
        <v>536</v>
      </c>
      <c r="K11273" s="15"/>
      <c r="L11273" s="17">
        <v>1</v>
      </c>
      <c r="M11273" s="17">
        <v>48</v>
      </c>
      <c r="N11273" s="17">
        <v>1</v>
      </c>
      <c r="O11273" s="18">
        <v>3230.83</v>
      </c>
      <c r="P11273" s="18">
        <v>2648.22</v>
      </c>
      <c r="Q11273" s="18">
        <v>2358.5100000000002</v>
      </c>
      <c r="R11273" s="18">
        <v>1933.2</v>
      </c>
      <c r="S11273" s="18">
        <v>2003.11</v>
      </c>
      <c r="T11273" s="18">
        <v>1641.89</v>
      </c>
      <c r="U11273" s="16"/>
      <c r="V11273" s="16"/>
      <c r="W11273" s="16" t="s">
        <v>40</v>
      </c>
      <c r="X11273" s="19">
        <v>0.26400000000000001</v>
      </c>
      <c r="Y11273" s="20">
        <v>1.3159999999999999E-3</v>
      </c>
      <c r="Z11273" s="21">
        <v>4601004335721</v>
      </c>
    </row>
    <row r="11274" spans="1:26" ht="12" customHeight="1" outlineLevel="3" x14ac:dyDescent="0.2">
      <c r="A11274" s="14" t="s">
        <v>21427</v>
      </c>
      <c r="B11274" s="26" t="s">
        <v>21428</v>
      </c>
      <c r="C11274" s="52"/>
      <c r="D11274" s="55">
        <f t="shared" si="176"/>
        <v>0</v>
      </c>
      <c r="E11274" s="63" t="str">
        <f>HYPERLINK("https://www.sds-group.ru/product/girlyanda-svetodiodnaya-rosa-feyerverk-c-transformatorom-6m-600-led-yantarnyy-ip44-230v-s-pu-303-428/", "Инфо")</f>
        <v>Инфо</v>
      </c>
      <c r="F11274" s="16" t="s">
        <v>39</v>
      </c>
      <c r="G11274" s="15"/>
      <c r="H11274" s="15"/>
      <c r="I11274" s="15"/>
      <c r="J11274" s="17">
        <v>146</v>
      </c>
      <c r="K11274" s="15"/>
      <c r="L11274" s="17">
        <v>1</v>
      </c>
      <c r="M11274" s="17">
        <v>48</v>
      </c>
      <c r="N11274" s="17">
        <v>1</v>
      </c>
      <c r="O11274" s="18">
        <v>3230.83</v>
      </c>
      <c r="P11274" s="18">
        <v>2648.22</v>
      </c>
      <c r="Q11274" s="18">
        <v>2358.5100000000002</v>
      </c>
      <c r="R11274" s="18">
        <v>1933.2</v>
      </c>
      <c r="S11274" s="18">
        <v>2003.11</v>
      </c>
      <c r="T11274" s="18">
        <v>1641.89</v>
      </c>
      <c r="U11274" s="16"/>
      <c r="V11274" s="16"/>
      <c r="W11274" s="16" t="s">
        <v>40</v>
      </c>
      <c r="X11274" s="19">
        <v>0.26200000000000001</v>
      </c>
      <c r="Y11274" s="20">
        <v>1.3179999999999999E-3</v>
      </c>
      <c r="Z11274" s="21">
        <v>4601004335684</v>
      </c>
    </row>
    <row r="11275" spans="1:26" ht="12.95" customHeight="1" outlineLevel="2" x14ac:dyDescent="0.2">
      <c r="A11275" s="76" t="s">
        <v>21429</v>
      </c>
      <c r="B11275" s="76"/>
      <c r="C11275" s="77"/>
      <c r="D11275" s="58"/>
      <c r="E11275" s="68"/>
      <c r="F11275" s="13"/>
      <c r="G11275" s="13"/>
      <c r="H11275" s="13"/>
      <c r="I11275" s="13"/>
      <c r="J11275" s="13"/>
      <c r="K11275" s="13"/>
      <c r="L11275" s="13"/>
      <c r="M11275" s="13"/>
      <c r="N11275" s="13"/>
      <c r="O11275" s="13"/>
      <c r="P11275" s="13"/>
      <c r="Q11275" s="13"/>
      <c r="R11275" s="13"/>
      <c r="S11275" s="13"/>
      <c r="T11275" s="13"/>
      <c r="U11275" s="13"/>
      <c r="V11275" s="13"/>
      <c r="W11275" s="13"/>
      <c r="X11275" s="13"/>
      <c r="Y11275" s="13"/>
      <c r="Z11275" s="13"/>
    </row>
    <row r="11276" spans="1:26" ht="12.95" customHeight="1" outlineLevel="3" x14ac:dyDescent="0.2">
      <c r="A11276" s="76" t="s">
        <v>21430</v>
      </c>
      <c r="B11276" s="76"/>
      <c r="C11276" s="77"/>
      <c r="D11276" s="58"/>
      <c r="E11276" s="68"/>
      <c r="F11276" s="13"/>
      <c r="G11276" s="13"/>
      <c r="H11276" s="13"/>
      <c r="I11276" s="13"/>
      <c r="J11276" s="13"/>
      <c r="K11276" s="13"/>
      <c r="L11276" s="13"/>
      <c r="M11276" s="13"/>
      <c r="N11276" s="13"/>
      <c r="O11276" s="13"/>
      <c r="P11276" s="13"/>
      <c r="Q11276" s="13"/>
      <c r="R11276" s="13"/>
      <c r="S11276" s="13"/>
      <c r="T11276" s="13"/>
      <c r="U11276" s="13"/>
      <c r="V11276" s="13"/>
      <c r="W11276" s="13"/>
      <c r="X11276" s="13"/>
      <c r="Y11276" s="13"/>
      <c r="Z11276" s="13"/>
    </row>
    <row r="11277" spans="1:26" ht="12" customHeight="1" outlineLevel="4" x14ac:dyDescent="0.2">
      <c r="A11277" s="32" t="s">
        <v>21431</v>
      </c>
      <c r="B11277" s="74" t="s">
        <v>21432</v>
      </c>
      <c r="C11277" s="50"/>
      <c r="D11277" s="53">
        <f t="shared" si="176"/>
        <v>0</v>
      </c>
      <c r="E11277" s="60" t="str">
        <f>HYPERLINK("https://www.sds-group.ru/product/nabor-belt-layt-10-m-belyy-kauchuk-30-lamp-tsvet-belyy-ip65-soedinyaetsya-331-305/", "Инфо")</f>
        <v>Инфо</v>
      </c>
      <c r="F11277" s="34" t="s">
        <v>39</v>
      </c>
      <c r="G11277" s="33"/>
      <c r="H11277" s="33" t="s">
        <v>40</v>
      </c>
      <c r="I11277" s="33"/>
      <c r="J11277" s="35">
        <v>8</v>
      </c>
      <c r="K11277" s="33"/>
      <c r="L11277" s="35">
        <v>1</v>
      </c>
      <c r="M11277" s="35">
        <v>4</v>
      </c>
      <c r="N11277" s="35">
        <v>1</v>
      </c>
      <c r="O11277" s="36">
        <v>8723.23</v>
      </c>
      <c r="P11277" s="36">
        <v>7150.19</v>
      </c>
      <c r="Q11277" s="36">
        <v>6106.26</v>
      </c>
      <c r="R11277" s="36">
        <v>5005.13</v>
      </c>
      <c r="S11277" s="36">
        <v>5408.4</v>
      </c>
      <c r="T11277" s="36">
        <v>4433.1099999999997</v>
      </c>
      <c r="U11277" s="34"/>
      <c r="V11277" s="34"/>
      <c r="W11277" s="34"/>
      <c r="X11277" s="37">
        <v>2.722</v>
      </c>
      <c r="Y11277" s="38">
        <v>1.8166000000000002E-2</v>
      </c>
      <c r="Z11277" s="21">
        <v>4601004032934</v>
      </c>
    </row>
    <row r="11278" spans="1:26" ht="12" customHeight="1" outlineLevel="4" x14ac:dyDescent="0.2">
      <c r="A11278" s="32" t="s">
        <v>21433</v>
      </c>
      <c r="B11278" s="74" t="s">
        <v>21434</v>
      </c>
      <c r="C11278" s="50"/>
      <c r="D11278" s="53">
        <f t="shared" si="176"/>
        <v>0</v>
      </c>
      <c r="E11278" s="60" t="str">
        <f>HYPERLINK("https://www.sds-group.ru/product/nabor-belt-layt-10-m-belyy-kauchuk-30-lamp-tsvet-krasnyy-ip65-soedinyaetsya-331-302/", "Инфо")</f>
        <v>Инфо</v>
      </c>
      <c r="F11278" s="34" t="s">
        <v>39</v>
      </c>
      <c r="G11278" s="33"/>
      <c r="H11278" s="33" t="s">
        <v>40</v>
      </c>
      <c r="I11278" s="33"/>
      <c r="J11278" s="35">
        <v>5</v>
      </c>
      <c r="K11278" s="33"/>
      <c r="L11278" s="35">
        <v>1</v>
      </c>
      <c r="M11278" s="35">
        <v>5</v>
      </c>
      <c r="N11278" s="35">
        <v>1</v>
      </c>
      <c r="O11278" s="36">
        <v>4859.42</v>
      </c>
      <c r="P11278" s="36">
        <v>3983.13</v>
      </c>
      <c r="Q11278" s="36">
        <v>3401.59</v>
      </c>
      <c r="R11278" s="36">
        <v>2788.19</v>
      </c>
      <c r="S11278" s="36">
        <v>3012.84</v>
      </c>
      <c r="T11278" s="36">
        <v>2469.54</v>
      </c>
      <c r="U11278" s="34"/>
      <c r="V11278" s="34"/>
      <c r="W11278" s="34"/>
      <c r="X11278" s="37">
        <v>1.2</v>
      </c>
      <c r="Y11278" s="38">
        <v>8.345E-3</v>
      </c>
      <c r="Z11278" s="21">
        <v>4601004032903</v>
      </c>
    </row>
    <row r="11279" spans="1:26" ht="12" customHeight="1" outlineLevel="4" x14ac:dyDescent="0.2">
      <c r="A11279" s="14" t="s">
        <v>21435</v>
      </c>
      <c r="B11279" s="26" t="s">
        <v>21436</v>
      </c>
      <c r="C11279" s="52"/>
      <c r="D11279" s="55">
        <f t="shared" si="176"/>
        <v>0</v>
      </c>
      <c r="E11279" s="63" t="str">
        <f>HYPERLINK("https://www.sds-group.ru/product/nabor-belt-layt-10-m-belyy-kauchuk-30-lamp-tsvet-teplyy-belyy-ip65-soedinyaetsya-331-306/", "Инфо")</f>
        <v>Инфо</v>
      </c>
      <c r="F11279" s="16" t="s">
        <v>39</v>
      </c>
      <c r="G11279" s="15"/>
      <c r="H11279" s="15"/>
      <c r="I11279" s="15"/>
      <c r="J11279" s="17">
        <v>9</v>
      </c>
      <c r="K11279" s="15" t="s">
        <v>4013</v>
      </c>
      <c r="L11279" s="17">
        <v>1</v>
      </c>
      <c r="M11279" s="17">
        <v>4</v>
      </c>
      <c r="N11279" s="17">
        <v>1</v>
      </c>
      <c r="O11279" s="18">
        <v>10769.42</v>
      </c>
      <c r="P11279" s="18">
        <v>8827.39</v>
      </c>
      <c r="Q11279" s="18">
        <v>7861.68</v>
      </c>
      <c r="R11279" s="18">
        <v>6444</v>
      </c>
      <c r="S11279" s="18">
        <v>6677.04</v>
      </c>
      <c r="T11279" s="18">
        <v>5472.98</v>
      </c>
      <c r="U11279" s="16"/>
      <c r="V11279" s="16"/>
      <c r="W11279" s="16" t="s">
        <v>40</v>
      </c>
      <c r="X11279" s="19">
        <v>2.0920000000000001</v>
      </c>
      <c r="Y11279" s="20">
        <v>1.8641999999999999E-2</v>
      </c>
      <c r="Z11279" s="21">
        <v>4601004032941</v>
      </c>
    </row>
    <row r="11280" spans="1:26" ht="12" customHeight="1" outlineLevel="4" x14ac:dyDescent="0.2">
      <c r="A11280" s="32" t="s">
        <v>21437</v>
      </c>
      <c r="B11280" s="74" t="s">
        <v>21438</v>
      </c>
      <c r="C11280" s="50"/>
      <c r="D11280" s="53">
        <f t="shared" si="176"/>
        <v>0</v>
      </c>
      <c r="E11280" s="60" t="str">
        <f>HYPERLINK("https://www.sds-group.ru/product/nabor-belt-layt-10-m-chernyy-kauchuk-30-lamp-tsvet-belyy-ip65-soedinyaetsya-331-325/", "Инфо")</f>
        <v>Инфо</v>
      </c>
      <c r="F11280" s="34" t="s">
        <v>39</v>
      </c>
      <c r="G11280" s="33"/>
      <c r="H11280" s="33" t="s">
        <v>40</v>
      </c>
      <c r="I11280" s="33"/>
      <c r="J11280" s="35">
        <v>1</v>
      </c>
      <c r="K11280" s="33"/>
      <c r="L11280" s="35">
        <v>1</v>
      </c>
      <c r="M11280" s="35">
        <v>4</v>
      </c>
      <c r="N11280" s="35">
        <v>1</v>
      </c>
      <c r="O11280" s="36">
        <v>10769.42</v>
      </c>
      <c r="P11280" s="36">
        <v>8827.39</v>
      </c>
      <c r="Q11280" s="36">
        <v>7861.68</v>
      </c>
      <c r="R11280" s="36">
        <v>6444</v>
      </c>
      <c r="S11280" s="36">
        <v>6677.04</v>
      </c>
      <c r="T11280" s="36">
        <v>5472.98</v>
      </c>
      <c r="U11280" s="34"/>
      <c r="V11280" s="34"/>
      <c r="W11280" s="34" t="s">
        <v>40</v>
      </c>
      <c r="X11280" s="37">
        <v>2.7589999999999999</v>
      </c>
      <c r="Y11280" s="38">
        <v>1.7662000000000001E-2</v>
      </c>
      <c r="Z11280" s="21">
        <v>4601004014886</v>
      </c>
    </row>
    <row r="11281" spans="1:26" ht="12" customHeight="1" outlineLevel="4" x14ac:dyDescent="0.2">
      <c r="A11281" s="32" t="s">
        <v>21439</v>
      </c>
      <c r="B11281" s="74" t="s">
        <v>21440</v>
      </c>
      <c r="C11281" s="50"/>
      <c r="D11281" s="53">
        <f t="shared" si="176"/>
        <v>0</v>
      </c>
      <c r="E11281" s="60" t="str">
        <f>HYPERLINK("https://www.sds-group.ru/product/nabor-belt-layt-10-m-chernyy-kauchuk-30-lamp-tsvet-krasnyy-ip65-soedinyaetsya-331-322/", "Инфо")</f>
        <v>Инфо</v>
      </c>
      <c r="F11281" s="34" t="s">
        <v>39</v>
      </c>
      <c r="G11281" s="33"/>
      <c r="H11281" s="33" t="s">
        <v>40</v>
      </c>
      <c r="I11281" s="33"/>
      <c r="J11281" s="35">
        <v>9</v>
      </c>
      <c r="K11281" s="33"/>
      <c r="L11281" s="35">
        <v>1</v>
      </c>
      <c r="M11281" s="35">
        <v>4</v>
      </c>
      <c r="N11281" s="35">
        <v>1</v>
      </c>
      <c r="O11281" s="36">
        <v>7850.91</v>
      </c>
      <c r="P11281" s="36">
        <v>6435.17</v>
      </c>
      <c r="Q11281" s="36">
        <v>5495.64</v>
      </c>
      <c r="R11281" s="36">
        <v>4504.62</v>
      </c>
      <c r="S11281" s="36">
        <v>4867.5600000000004</v>
      </c>
      <c r="T11281" s="36">
        <v>3989.8</v>
      </c>
      <c r="U11281" s="34"/>
      <c r="V11281" s="34"/>
      <c r="W11281" s="34"/>
      <c r="X11281" s="37">
        <v>2.4710000000000001</v>
      </c>
      <c r="Y11281" s="38">
        <v>1.6598999999999999E-2</v>
      </c>
      <c r="Z11281" s="21">
        <v>4601004014947</v>
      </c>
    </row>
    <row r="11282" spans="1:26" ht="12" customHeight="1" outlineLevel="4" x14ac:dyDescent="0.2">
      <c r="A11282" s="32" t="s">
        <v>21441</v>
      </c>
      <c r="B11282" s="74" t="s">
        <v>21442</v>
      </c>
      <c r="C11282" s="50"/>
      <c r="D11282" s="53">
        <f t="shared" si="176"/>
        <v>0</v>
      </c>
      <c r="E11282" s="60" t="str">
        <f>HYPERLINK("https://www.sds-group.ru/product/nabor-belt-layt-10-m-chernyy-kauchuk-30-lamp-tsvet-siniy-ip65-soedinyaetsya-331-323/", "Инфо")</f>
        <v>Инфо</v>
      </c>
      <c r="F11282" s="34" t="s">
        <v>39</v>
      </c>
      <c r="G11282" s="33"/>
      <c r="H11282" s="33" t="s">
        <v>40</v>
      </c>
      <c r="I11282" s="33"/>
      <c r="J11282" s="34" t="s">
        <v>100</v>
      </c>
      <c r="K11282" s="33"/>
      <c r="L11282" s="35">
        <v>1</v>
      </c>
      <c r="M11282" s="35">
        <v>10</v>
      </c>
      <c r="N11282" s="35">
        <v>1</v>
      </c>
      <c r="O11282" s="36">
        <v>5999.28</v>
      </c>
      <c r="P11282" s="36">
        <v>4917.4399999999996</v>
      </c>
      <c r="Q11282" s="36">
        <v>4199.5</v>
      </c>
      <c r="R11282" s="36">
        <v>3442.21</v>
      </c>
      <c r="S11282" s="36">
        <v>3719.55</v>
      </c>
      <c r="T11282" s="36">
        <v>3048.81</v>
      </c>
      <c r="U11282" s="34"/>
      <c r="V11282" s="34"/>
      <c r="W11282" s="34"/>
      <c r="X11282" s="37">
        <v>2.8210000000000002</v>
      </c>
      <c r="Y11282" s="38">
        <v>1.3525000000000001E-2</v>
      </c>
      <c r="Z11282" s="21">
        <v>4601004014930</v>
      </c>
    </row>
    <row r="11283" spans="1:26" ht="12" customHeight="1" outlineLevel="4" x14ac:dyDescent="0.2">
      <c r="A11283" s="14" t="s">
        <v>21443</v>
      </c>
      <c r="B11283" s="26" t="s">
        <v>21444</v>
      </c>
      <c r="C11283" s="52"/>
      <c r="D11283" s="55">
        <f t="shared" si="176"/>
        <v>0</v>
      </c>
      <c r="E11283" s="63" t="str">
        <f>HYPERLINK("https://www.sds-group.ru/product/nabor-belt-layt-10-m-chernyy-kauchuk-30-lamp-tsvet-teplyy-belyy-ip65-soedinyaetsya-331-326/", "Инфо")</f>
        <v>Инфо</v>
      </c>
      <c r="F11283" s="16" t="s">
        <v>39</v>
      </c>
      <c r="G11283" s="15"/>
      <c r="H11283" s="15"/>
      <c r="I11283" s="15"/>
      <c r="J11283" s="16" t="s">
        <v>100</v>
      </c>
      <c r="K11283" s="15" t="s">
        <v>4013</v>
      </c>
      <c r="L11283" s="17">
        <v>1</v>
      </c>
      <c r="M11283" s="17">
        <v>4</v>
      </c>
      <c r="N11283" s="17">
        <v>1</v>
      </c>
      <c r="O11283" s="18">
        <v>10769.42</v>
      </c>
      <c r="P11283" s="18">
        <v>8827.39</v>
      </c>
      <c r="Q11283" s="18">
        <v>7861.68</v>
      </c>
      <c r="R11283" s="18">
        <v>6444</v>
      </c>
      <c r="S11283" s="18">
        <v>6677.04</v>
      </c>
      <c r="T11283" s="18">
        <v>5472.98</v>
      </c>
      <c r="U11283" s="16"/>
      <c r="V11283" s="16"/>
      <c r="W11283" s="16" t="s">
        <v>40</v>
      </c>
      <c r="X11283" s="19">
        <v>2.7959999999999998</v>
      </c>
      <c r="Y11283" s="20">
        <v>1.7323999999999999E-2</v>
      </c>
      <c r="Z11283" s="21">
        <v>4601004014893</v>
      </c>
    </row>
    <row r="11284" spans="1:26" ht="12" customHeight="1" outlineLevel="4" x14ac:dyDescent="0.2">
      <c r="A11284" s="14" t="s">
        <v>21445</v>
      </c>
      <c r="B11284" s="26" t="s">
        <v>21446</v>
      </c>
      <c r="C11284" s="52"/>
      <c r="D11284" s="55">
        <f t="shared" si="176"/>
        <v>0</v>
      </c>
      <c r="E11284" s="63" t="str">
        <f>HYPERLINK("https://www.sds-group.ru/product/ulichnaya-girlyanda-loft-10m-chernyy-kauchuk-20-prozrachnyh-lamp-h-5-led-vlagostoykaya-ip44-331-357/", "Инфо")</f>
        <v>Инфо</v>
      </c>
      <c r="F11284" s="16" t="s">
        <v>39</v>
      </c>
      <c r="G11284" s="15"/>
      <c r="H11284" s="15"/>
      <c r="I11284" s="15"/>
      <c r="J11284" s="16" t="s">
        <v>100</v>
      </c>
      <c r="K11284" s="15"/>
      <c r="L11284" s="17">
        <v>1</v>
      </c>
      <c r="M11284" s="17">
        <v>6</v>
      </c>
      <c r="N11284" s="17">
        <v>1</v>
      </c>
      <c r="O11284" s="18">
        <v>4419.88</v>
      </c>
      <c r="P11284" s="18">
        <v>3622.85</v>
      </c>
      <c r="Q11284" s="18">
        <v>3093.92</v>
      </c>
      <c r="R11284" s="18">
        <v>2536</v>
      </c>
      <c r="S11284" s="18">
        <v>2740.33</v>
      </c>
      <c r="T11284" s="18">
        <v>2246.17</v>
      </c>
      <c r="U11284" s="16"/>
      <c r="V11284" s="16"/>
      <c r="W11284" s="16"/>
      <c r="X11284" s="19">
        <v>2.016</v>
      </c>
      <c r="Y11284" s="20">
        <v>1.8697999999999999E-2</v>
      </c>
      <c r="Z11284" s="21">
        <v>4601004237544</v>
      </c>
    </row>
    <row r="11285" spans="1:26" ht="12" customHeight="1" outlineLevel="4" x14ac:dyDescent="0.2">
      <c r="A11285" s="14" t="s">
        <v>21447</v>
      </c>
      <c r="B11285" s="26" t="s">
        <v>21448</v>
      </c>
      <c r="C11285" s="52"/>
      <c r="D11285" s="55">
        <f t="shared" si="176"/>
        <v>0</v>
      </c>
      <c r="E11285" s="63" t="str">
        <f>HYPERLINK("https://www.sds-group.ru/product/ulichnaya-girlyanda-loft-10m-chernyy-kauchuk-20-prozrachnyh-lamp-teplyy-belyy-vlagostoykaya--331-355/", "Инфо")</f>
        <v>Инфо</v>
      </c>
      <c r="F11285" s="16" t="s">
        <v>39</v>
      </c>
      <c r="G11285" s="15"/>
      <c r="H11285" s="15"/>
      <c r="I11285" s="15"/>
      <c r="J11285" s="16" t="s">
        <v>100</v>
      </c>
      <c r="K11285" s="15" t="s">
        <v>1277</v>
      </c>
      <c r="L11285" s="17">
        <v>1</v>
      </c>
      <c r="M11285" s="17">
        <v>20</v>
      </c>
      <c r="N11285" s="17">
        <v>1</v>
      </c>
      <c r="O11285" s="18">
        <v>4419.88</v>
      </c>
      <c r="P11285" s="18">
        <v>3622.85</v>
      </c>
      <c r="Q11285" s="18">
        <v>3226.51</v>
      </c>
      <c r="R11285" s="18">
        <v>2644.68</v>
      </c>
      <c r="S11285" s="18">
        <v>2740.33</v>
      </c>
      <c r="T11285" s="18">
        <v>2246.17</v>
      </c>
      <c r="U11285" s="16"/>
      <c r="V11285" s="16"/>
      <c r="W11285" s="16" t="s">
        <v>40</v>
      </c>
      <c r="X11285" s="19">
        <v>1.2</v>
      </c>
      <c r="Y11285" s="20">
        <v>7.5940000000000001E-3</v>
      </c>
      <c r="Z11285" s="21">
        <v>4601004273160</v>
      </c>
    </row>
    <row r="11286" spans="1:26" ht="12.95" customHeight="1" outlineLevel="3" x14ac:dyDescent="0.2">
      <c r="A11286" s="76" t="s">
        <v>21449</v>
      </c>
      <c r="B11286" s="76"/>
      <c r="C11286" s="77"/>
      <c r="D11286" s="58"/>
      <c r="E11286" s="68"/>
      <c r="F11286" s="13"/>
      <c r="G11286" s="13"/>
      <c r="H11286" s="13"/>
      <c r="I11286" s="13"/>
      <c r="J11286" s="13"/>
      <c r="K11286" s="13"/>
      <c r="L11286" s="13"/>
      <c r="M11286" s="13"/>
      <c r="N11286" s="13"/>
      <c r="O11286" s="13"/>
      <c r="P11286" s="13"/>
      <c r="Q11286" s="13"/>
      <c r="R11286" s="13"/>
      <c r="S11286" s="13"/>
      <c r="T11286" s="13"/>
      <c r="U11286" s="13"/>
      <c r="V11286" s="13"/>
      <c r="W11286" s="13"/>
      <c r="X11286" s="13"/>
      <c r="Y11286" s="13"/>
      <c r="Z11286" s="13"/>
    </row>
    <row r="11287" spans="1:26" ht="12" customHeight="1" outlineLevel="4" x14ac:dyDescent="0.2">
      <c r="A11287" s="14" t="s">
        <v>21450</v>
      </c>
      <c r="B11287" s="26" t="s">
        <v>21451</v>
      </c>
      <c r="C11287" s="52"/>
      <c r="D11287" s="55">
        <f t="shared" si="176"/>
        <v>0</v>
      </c>
      <c r="E11287" s="63" t="str">
        <f>HYPERLINK("https://www.sds-group.ru/product/belt-layt-10m-belyy-kauchuk-shag-50sm-20-patronov-ip44-331-332/", "Инфо")</f>
        <v>Инфо</v>
      </c>
      <c r="F11287" s="16" t="s">
        <v>39</v>
      </c>
      <c r="G11287" s="15"/>
      <c r="H11287" s="15"/>
      <c r="I11287" s="15"/>
      <c r="J11287" s="17">
        <v>232</v>
      </c>
      <c r="K11287" s="15"/>
      <c r="L11287" s="17">
        <v>1</v>
      </c>
      <c r="M11287" s="17">
        <v>8</v>
      </c>
      <c r="N11287" s="17">
        <v>1</v>
      </c>
      <c r="O11287" s="18">
        <v>6022.27</v>
      </c>
      <c r="P11287" s="18">
        <v>4936.29</v>
      </c>
      <c r="Q11287" s="18">
        <v>4215.59</v>
      </c>
      <c r="R11287" s="18">
        <v>3455.4</v>
      </c>
      <c r="S11287" s="18">
        <v>3733.81</v>
      </c>
      <c r="T11287" s="18">
        <v>3060.5</v>
      </c>
      <c r="U11287" s="16"/>
      <c r="V11287" s="16"/>
      <c r="W11287" s="16"/>
      <c r="X11287" s="19">
        <v>1.9219999999999999</v>
      </c>
      <c r="Y11287" s="20">
        <v>8.3090000000000004E-3</v>
      </c>
      <c r="Z11287" s="21">
        <v>4601004226944</v>
      </c>
    </row>
    <row r="11288" spans="1:26" ht="12" customHeight="1" outlineLevel="4" x14ac:dyDescent="0.2">
      <c r="A11288" s="32" t="s">
        <v>21452</v>
      </c>
      <c r="B11288" s="74" t="s">
        <v>21453</v>
      </c>
      <c r="C11288" s="50"/>
      <c r="D11288" s="53">
        <f t="shared" si="176"/>
        <v>0</v>
      </c>
      <c r="E11288" s="60" t="str">
        <f>HYPERLINK("https://www.sds-group.ru/product/belt-layt-10m-belyy-kauchuk-shag-50sm-20-podvesnyh-patronov-ip44-331-336/", "Инфо")</f>
        <v>Инфо</v>
      </c>
      <c r="F11288" s="34" t="s">
        <v>39</v>
      </c>
      <c r="G11288" s="33"/>
      <c r="H11288" s="33" t="s">
        <v>40</v>
      </c>
      <c r="I11288" s="33"/>
      <c r="J11288" s="35">
        <v>9</v>
      </c>
      <c r="K11288" s="33"/>
      <c r="L11288" s="35">
        <v>1</v>
      </c>
      <c r="M11288" s="35">
        <v>4</v>
      </c>
      <c r="N11288" s="35">
        <v>1</v>
      </c>
      <c r="O11288" s="36">
        <v>7227.08</v>
      </c>
      <c r="P11288" s="36">
        <v>5923.84</v>
      </c>
      <c r="Q11288" s="36">
        <v>5275.77</v>
      </c>
      <c r="R11288" s="36">
        <v>4324.3999999999996</v>
      </c>
      <c r="S11288" s="36">
        <v>4480.79</v>
      </c>
      <c r="T11288" s="36">
        <v>3672.78</v>
      </c>
      <c r="U11288" s="34"/>
      <c r="V11288" s="34"/>
      <c r="W11288" s="34" t="s">
        <v>40</v>
      </c>
      <c r="X11288" s="37">
        <v>2.419</v>
      </c>
      <c r="Y11288" s="38">
        <v>9.1009999999999997E-3</v>
      </c>
      <c r="Z11288" s="21">
        <v>4601004226883</v>
      </c>
    </row>
    <row r="11289" spans="1:26" ht="12" customHeight="1" outlineLevel="4" x14ac:dyDescent="0.2">
      <c r="A11289" s="14" t="s">
        <v>21454</v>
      </c>
      <c r="B11289" s="26" t="s">
        <v>21455</v>
      </c>
      <c r="C11289" s="52"/>
      <c r="D11289" s="55">
        <f t="shared" si="176"/>
        <v>0</v>
      </c>
      <c r="E11289" s="63" t="str">
        <f>HYPERLINK("https://www.sds-group.ru/product/belt-layt-20m-belyy-kauchuk-shag-50sm-40-patronov-ip44-331-334/", "Инфо")</f>
        <v>Инфо</v>
      </c>
      <c r="F11289" s="16" t="s">
        <v>39</v>
      </c>
      <c r="G11289" s="15"/>
      <c r="H11289" s="15"/>
      <c r="I11289" s="15"/>
      <c r="J11289" s="17">
        <v>70</v>
      </c>
      <c r="K11289" s="15"/>
      <c r="L11289" s="17">
        <v>1</v>
      </c>
      <c r="M11289" s="17">
        <v>4</v>
      </c>
      <c r="N11289" s="17">
        <v>1</v>
      </c>
      <c r="O11289" s="18">
        <v>8478.09</v>
      </c>
      <c r="P11289" s="18">
        <v>6949.25</v>
      </c>
      <c r="Q11289" s="18">
        <v>6189.01</v>
      </c>
      <c r="R11289" s="18">
        <v>5072.96</v>
      </c>
      <c r="S11289" s="18">
        <v>5256.42</v>
      </c>
      <c r="T11289" s="18">
        <v>4308.54</v>
      </c>
      <c r="U11289" s="16"/>
      <c r="V11289" s="16"/>
      <c r="W11289" s="16" t="s">
        <v>40</v>
      </c>
      <c r="X11289" s="19">
        <v>3.3839999999999999</v>
      </c>
      <c r="Y11289" s="20">
        <v>1.3469999999999999E-2</v>
      </c>
      <c r="Z11289" s="21">
        <v>4601004226920</v>
      </c>
    </row>
    <row r="11290" spans="1:26" ht="12" customHeight="1" outlineLevel="4" x14ac:dyDescent="0.2">
      <c r="A11290" s="14" t="s">
        <v>21456</v>
      </c>
      <c r="B11290" s="26" t="s">
        <v>21457</v>
      </c>
      <c r="C11290" s="52"/>
      <c r="D11290" s="55">
        <f t="shared" si="176"/>
        <v>0</v>
      </c>
      <c r="E11290" s="63" t="str">
        <f>HYPERLINK("https://www.sds-group.ru/product/belt-layt-20m-belyy-kauchuk-shag-50sm-40-podvesnyh-patronov-ip44-331-338/", "Инфо")</f>
        <v>Инфо</v>
      </c>
      <c r="F11290" s="16" t="s">
        <v>39</v>
      </c>
      <c r="G11290" s="15"/>
      <c r="H11290" s="15"/>
      <c r="I11290" s="15"/>
      <c r="J11290" s="17">
        <v>74</v>
      </c>
      <c r="K11290" s="15"/>
      <c r="L11290" s="17">
        <v>1</v>
      </c>
      <c r="M11290" s="17">
        <v>4</v>
      </c>
      <c r="N11290" s="17">
        <v>1</v>
      </c>
      <c r="O11290" s="18">
        <v>9270.43</v>
      </c>
      <c r="P11290" s="18">
        <v>7598.71</v>
      </c>
      <c r="Q11290" s="18">
        <v>6767.41</v>
      </c>
      <c r="R11290" s="18">
        <v>5547.06</v>
      </c>
      <c r="S11290" s="18">
        <v>5747.67</v>
      </c>
      <c r="T11290" s="18">
        <v>4711.2</v>
      </c>
      <c r="U11290" s="16"/>
      <c r="V11290" s="16"/>
      <c r="W11290" s="16" t="s">
        <v>40</v>
      </c>
      <c r="X11290" s="19">
        <v>3.7719999999999998</v>
      </c>
      <c r="Y11290" s="20">
        <v>1.1794000000000001E-2</v>
      </c>
      <c r="Z11290" s="21">
        <v>4601004273177</v>
      </c>
    </row>
    <row r="11291" spans="1:26" ht="12" customHeight="1" outlineLevel="4" x14ac:dyDescent="0.2">
      <c r="A11291" s="14" t="s">
        <v>21458</v>
      </c>
      <c r="B11291" s="26" t="s">
        <v>21459</v>
      </c>
      <c r="C11291" s="52"/>
      <c r="D11291" s="55">
        <f t="shared" si="176"/>
        <v>0</v>
      </c>
      <c r="E11291" s="63" t="str">
        <f>HYPERLINK("https://www.sds-group.ru/product/belt-layt-20m-chernyy-kauchuk-shag-50sm-40-patronov-ip44-331-333/", "Инфо")</f>
        <v>Инфо</v>
      </c>
      <c r="F11291" s="16" t="s">
        <v>39</v>
      </c>
      <c r="G11291" s="15"/>
      <c r="H11291" s="15"/>
      <c r="I11291" s="15"/>
      <c r="J11291" s="17">
        <v>1</v>
      </c>
      <c r="K11291" s="15"/>
      <c r="L11291" s="17">
        <v>1</v>
      </c>
      <c r="M11291" s="17">
        <v>4</v>
      </c>
      <c r="N11291" s="17">
        <v>1</v>
      </c>
      <c r="O11291" s="18">
        <v>11013.59</v>
      </c>
      <c r="P11291" s="18">
        <v>9027.5300000000007</v>
      </c>
      <c r="Q11291" s="18">
        <v>8039.92</v>
      </c>
      <c r="R11291" s="18">
        <v>6590.1</v>
      </c>
      <c r="S11291" s="18">
        <v>6828.43</v>
      </c>
      <c r="T11291" s="18">
        <v>5597.07</v>
      </c>
      <c r="U11291" s="16"/>
      <c r="V11291" s="16"/>
      <c r="W11291" s="16" t="s">
        <v>40</v>
      </c>
      <c r="X11291" s="19">
        <v>3.5649999999999999</v>
      </c>
      <c r="Y11291" s="20">
        <v>1.8092E-2</v>
      </c>
      <c r="Z11291" s="21">
        <v>4601004226937</v>
      </c>
    </row>
    <row r="11292" spans="1:26" ht="12.95" customHeight="1" outlineLevel="2" x14ac:dyDescent="0.2">
      <c r="A11292" s="76" t="s">
        <v>21460</v>
      </c>
      <c r="B11292" s="76"/>
      <c r="C11292" s="77"/>
      <c r="D11292" s="58"/>
      <c r="E11292" s="68"/>
      <c r="F11292" s="13"/>
      <c r="G11292" s="13"/>
      <c r="H11292" s="13"/>
      <c r="I11292" s="13"/>
      <c r="J11292" s="13"/>
      <c r="K11292" s="13"/>
      <c r="L11292" s="13"/>
      <c r="M11292" s="13"/>
      <c r="N11292" s="13"/>
      <c r="O11292" s="13"/>
      <c r="P11292" s="13"/>
      <c r="Q11292" s="13"/>
      <c r="R11292" s="13"/>
      <c r="S11292" s="13"/>
      <c r="T11292" s="13"/>
      <c r="U11292" s="13"/>
      <c r="V11292" s="13"/>
      <c r="W11292" s="13"/>
      <c r="X11292" s="13"/>
      <c r="Y11292" s="13"/>
      <c r="Z11292" s="13"/>
    </row>
    <row r="11293" spans="1:26" ht="12" customHeight="1" outlineLevel="3" x14ac:dyDescent="0.2">
      <c r="A11293" s="14" t="s">
        <v>21461</v>
      </c>
      <c r="B11293" s="26" t="s">
        <v>21462</v>
      </c>
      <c r="C11293" s="52"/>
      <c r="D11293" s="55">
        <f t="shared" si="176"/>
        <v>0</v>
      </c>
      <c r="E11293" s="63" t="str">
        <f>HYPERLINK("https://www.sds-group.ru/product/dyuralayt-led-svechenie-s-dinamikoy-2w-rgb-13mm-36led-m-14m-245-119/", "Инфо")</f>
        <v>Инфо</v>
      </c>
      <c r="F11293" s="16" t="s">
        <v>39</v>
      </c>
      <c r="G11293" s="15"/>
      <c r="H11293" s="15"/>
      <c r="I11293" s="15"/>
      <c r="J11293" s="17">
        <v>20</v>
      </c>
      <c r="K11293" s="15"/>
      <c r="L11293" s="17">
        <v>1</v>
      </c>
      <c r="M11293" s="17">
        <v>5</v>
      </c>
      <c r="N11293" s="17">
        <v>1</v>
      </c>
      <c r="O11293" s="18">
        <v>18899.419999999998</v>
      </c>
      <c r="P11293" s="18">
        <v>15491.33</v>
      </c>
      <c r="Q11293" s="18">
        <v>13796.58</v>
      </c>
      <c r="R11293" s="18">
        <v>11308.67</v>
      </c>
      <c r="S11293" s="18">
        <v>11717.64</v>
      </c>
      <c r="T11293" s="18">
        <v>9604.6200000000008</v>
      </c>
      <c r="U11293" s="16"/>
      <c r="V11293" s="16"/>
      <c r="W11293" s="16" t="s">
        <v>40</v>
      </c>
      <c r="X11293" s="19">
        <v>2.27</v>
      </c>
      <c r="Y11293" s="20">
        <v>4.8339999999999998E-3</v>
      </c>
      <c r="Z11293" s="21">
        <v>4601004090750</v>
      </c>
    </row>
    <row r="11294" spans="1:26" ht="12" customHeight="1" outlineLevel="3" x14ac:dyDescent="0.2">
      <c r="A11294" s="32" t="s">
        <v>21463</v>
      </c>
      <c r="B11294" s="74" t="s">
        <v>21464</v>
      </c>
      <c r="C11294" s="50"/>
      <c r="D11294" s="53">
        <f t="shared" si="176"/>
        <v>0</v>
      </c>
      <c r="E11294" s="60" t="str">
        <f>HYPERLINK("https://www.sds-group.ru/product/dyuralayt-led-svechenie-s-dinamikoy-2w-rgb-13mm-36led-m-6m-245-109/", "Инфо")</f>
        <v>Инфо</v>
      </c>
      <c r="F11294" s="34" t="s">
        <v>39</v>
      </c>
      <c r="G11294" s="33"/>
      <c r="H11294" s="33" t="s">
        <v>40</v>
      </c>
      <c r="I11294" s="33"/>
      <c r="J11294" s="34" t="s">
        <v>100</v>
      </c>
      <c r="K11294" s="33"/>
      <c r="L11294" s="35">
        <v>1</v>
      </c>
      <c r="M11294" s="35">
        <v>10</v>
      </c>
      <c r="N11294" s="35">
        <v>1</v>
      </c>
      <c r="O11294" s="36">
        <v>8381.9500000000007</v>
      </c>
      <c r="P11294" s="36">
        <v>6870.45</v>
      </c>
      <c r="Q11294" s="36">
        <v>6118.82</v>
      </c>
      <c r="R11294" s="36">
        <v>5015.43</v>
      </c>
      <c r="S11294" s="36">
        <v>5196.8100000000004</v>
      </c>
      <c r="T11294" s="36">
        <v>4259.68</v>
      </c>
      <c r="U11294" s="34"/>
      <c r="V11294" s="34"/>
      <c r="W11294" s="34" t="s">
        <v>40</v>
      </c>
      <c r="X11294" s="37">
        <v>1.0309999999999999</v>
      </c>
      <c r="Y11294" s="38">
        <v>3.075E-3</v>
      </c>
      <c r="Z11294" s="21">
        <v>4601004090514</v>
      </c>
    </row>
    <row r="11295" spans="1:26" ht="12" customHeight="1" outlineLevel="3" x14ac:dyDescent="0.2">
      <c r="A11295" s="32" t="s">
        <v>21465</v>
      </c>
      <c r="B11295" s="74" t="s">
        <v>21466</v>
      </c>
      <c r="C11295" s="50"/>
      <c r="D11295" s="53">
        <f t="shared" si="176"/>
        <v>0</v>
      </c>
      <c r="E11295" s="60" t="str">
        <f>HYPERLINK("https://www.sds-group.ru/product/kontroller-dlya-naborov-trehzhilnogo-svetodiodnogo-dyuralayta-6m-i-14m-do-30m-123-031/", "Инфо")</f>
        <v>Инфо</v>
      </c>
      <c r="F11295" s="34" t="s">
        <v>39</v>
      </c>
      <c r="G11295" s="33"/>
      <c r="H11295" s="33" t="s">
        <v>40</v>
      </c>
      <c r="I11295" s="33"/>
      <c r="J11295" s="35">
        <v>222</v>
      </c>
      <c r="K11295" s="33"/>
      <c r="L11295" s="35">
        <v>1</v>
      </c>
      <c r="M11295" s="35">
        <v>12</v>
      </c>
      <c r="N11295" s="35">
        <v>1</v>
      </c>
      <c r="O11295" s="36">
        <v>831.36</v>
      </c>
      <c r="P11295" s="36">
        <v>681.44</v>
      </c>
      <c r="Q11295" s="36">
        <v>581.95000000000005</v>
      </c>
      <c r="R11295" s="36">
        <v>477.01</v>
      </c>
      <c r="S11295" s="36">
        <v>515.44000000000005</v>
      </c>
      <c r="T11295" s="36">
        <v>422.49</v>
      </c>
      <c r="U11295" s="34"/>
      <c r="V11295" s="34"/>
      <c r="W11295" s="34"/>
      <c r="X11295" s="37">
        <v>0.42599999999999999</v>
      </c>
      <c r="Y11295" s="38">
        <v>1.459E-3</v>
      </c>
      <c r="Z11295" s="21">
        <v>4601004089372</v>
      </c>
    </row>
    <row r="11296" spans="1:26" ht="12" customHeight="1" outlineLevel="3" x14ac:dyDescent="0.2">
      <c r="A11296" s="14" t="s">
        <v>21467</v>
      </c>
      <c r="B11296" s="26" t="s">
        <v>21468</v>
      </c>
      <c r="C11296" s="52"/>
      <c r="D11296" s="55">
        <f t="shared" si="176"/>
        <v>0</v>
      </c>
      <c r="E11296" s="63" t="str">
        <f>HYPERLINK("https://www.sds-group.ru/product/dyuralayt-led-fiksing-2w-24-led-m-multi-rygb-10-m-121-329-10/", "Инфо")</f>
        <v>Инфо</v>
      </c>
      <c r="F11296" s="16" t="s">
        <v>39</v>
      </c>
      <c r="G11296" s="15"/>
      <c r="H11296" s="15"/>
      <c r="I11296" s="15"/>
      <c r="J11296" s="17">
        <v>1</v>
      </c>
      <c r="K11296" s="15"/>
      <c r="L11296" s="17">
        <v>1</v>
      </c>
      <c r="M11296" s="17">
        <v>10</v>
      </c>
      <c r="N11296" s="17">
        <v>1</v>
      </c>
      <c r="O11296" s="18">
        <v>3550.01</v>
      </c>
      <c r="P11296" s="18">
        <v>2909.84</v>
      </c>
      <c r="Q11296" s="18">
        <v>2485.0100000000002</v>
      </c>
      <c r="R11296" s="18">
        <v>2036.89</v>
      </c>
      <c r="S11296" s="18">
        <v>2201.0100000000002</v>
      </c>
      <c r="T11296" s="18">
        <v>1804.11</v>
      </c>
      <c r="U11296" s="16"/>
      <c r="V11296" s="16"/>
      <c r="W11296" s="16"/>
      <c r="X11296" s="19">
        <v>1.323</v>
      </c>
      <c r="Y11296" s="20">
        <v>3.392E-3</v>
      </c>
      <c r="Z11296" s="21">
        <v>4601004234291</v>
      </c>
    </row>
    <row r="11297" spans="1:26" ht="12" customHeight="1" outlineLevel="3" x14ac:dyDescent="0.2">
      <c r="A11297" s="32" t="s">
        <v>21469</v>
      </c>
      <c r="B11297" s="74" t="s">
        <v>21470</v>
      </c>
      <c r="C11297" s="50"/>
      <c r="D11297" s="53">
        <f t="shared" si="176"/>
        <v>0</v>
      </c>
      <c r="E11297" s="60" t="str">
        <f>HYPERLINK("https://www.sds-group.ru/product/dyuralayt-led-fiksing-2w-24-led-m-multi-rygb-20-m-121-329-20/", "Инфо")</f>
        <v>Инфо</v>
      </c>
      <c r="F11297" s="34" t="s">
        <v>39</v>
      </c>
      <c r="G11297" s="33"/>
      <c r="H11297" s="33" t="s">
        <v>40</v>
      </c>
      <c r="I11297" s="33"/>
      <c r="J11297" s="35">
        <v>1</v>
      </c>
      <c r="K11297" s="33"/>
      <c r="L11297" s="35">
        <v>1</v>
      </c>
      <c r="M11297" s="35">
        <v>5</v>
      </c>
      <c r="N11297" s="35">
        <v>1</v>
      </c>
      <c r="O11297" s="36">
        <v>6247.98</v>
      </c>
      <c r="P11297" s="36">
        <v>5121.3</v>
      </c>
      <c r="Q11297" s="36">
        <v>4373.59</v>
      </c>
      <c r="R11297" s="36">
        <v>3584.91</v>
      </c>
      <c r="S11297" s="36">
        <v>3873.75</v>
      </c>
      <c r="T11297" s="36">
        <v>3175.2</v>
      </c>
      <c r="U11297" s="34"/>
      <c r="V11297" s="34"/>
      <c r="W11297" s="34"/>
      <c r="X11297" s="37">
        <v>2.476</v>
      </c>
      <c r="Y11297" s="38">
        <v>7.2030000000000002E-3</v>
      </c>
      <c r="Z11297" s="21">
        <v>4601004234345</v>
      </c>
    </row>
    <row r="11298" spans="1:26" ht="12" customHeight="1" outlineLevel="3" x14ac:dyDescent="0.2">
      <c r="A11298" s="32" t="s">
        <v>21471</v>
      </c>
      <c r="B11298" s="74" t="s">
        <v>21472</v>
      </c>
      <c r="C11298" s="50"/>
      <c r="D11298" s="53">
        <f t="shared" si="176"/>
        <v>0</v>
      </c>
      <c r="E11298" s="60" t="str">
        <f>HYPERLINK("https://www.sds-group.ru/product/dyuralayt-led-fiksing-2w-24-led-m-teplyy-belyy-10-m-121-326-10/", "Инфо")</f>
        <v>Инфо</v>
      </c>
      <c r="F11298" s="34" t="s">
        <v>39</v>
      </c>
      <c r="G11298" s="33"/>
      <c r="H11298" s="33" t="s">
        <v>40</v>
      </c>
      <c r="I11298" s="33"/>
      <c r="J11298" s="35">
        <v>3</v>
      </c>
      <c r="K11298" s="33"/>
      <c r="L11298" s="35">
        <v>1</v>
      </c>
      <c r="M11298" s="35">
        <v>10</v>
      </c>
      <c r="N11298" s="35">
        <v>1</v>
      </c>
      <c r="O11298" s="36">
        <v>3550.01</v>
      </c>
      <c r="P11298" s="36">
        <v>2909.84</v>
      </c>
      <c r="Q11298" s="36">
        <v>2485.0100000000002</v>
      </c>
      <c r="R11298" s="36">
        <v>2036.89</v>
      </c>
      <c r="S11298" s="36">
        <v>2201.0100000000002</v>
      </c>
      <c r="T11298" s="36">
        <v>1804.11</v>
      </c>
      <c r="U11298" s="34"/>
      <c r="V11298" s="34"/>
      <c r="W11298" s="34"/>
      <c r="X11298" s="37">
        <v>1.329</v>
      </c>
      <c r="Y11298" s="38">
        <v>3.692E-3</v>
      </c>
      <c r="Z11298" s="21">
        <v>4601004234352</v>
      </c>
    </row>
    <row r="11299" spans="1:26" ht="12" customHeight="1" outlineLevel="3" x14ac:dyDescent="0.2">
      <c r="A11299" s="32" t="s">
        <v>21473</v>
      </c>
      <c r="B11299" s="74" t="s">
        <v>21474</v>
      </c>
      <c r="C11299" s="50"/>
      <c r="D11299" s="53">
        <f t="shared" si="176"/>
        <v>0</v>
      </c>
      <c r="E11299" s="60" t="str">
        <f>HYPERLINK("https://www.sds-group.ru/product/dyuralayt-led-fiksing-2w-24-led-m-teplyy-belyy-20-m-121-326-20/", "Инфо")</f>
        <v>Инфо</v>
      </c>
      <c r="F11299" s="34" t="s">
        <v>39</v>
      </c>
      <c r="G11299" s="33"/>
      <c r="H11299" s="33" t="s">
        <v>40</v>
      </c>
      <c r="I11299" s="33"/>
      <c r="J11299" s="34" t="s">
        <v>100</v>
      </c>
      <c r="K11299" s="33"/>
      <c r="L11299" s="35">
        <v>1</v>
      </c>
      <c r="M11299" s="35">
        <v>5</v>
      </c>
      <c r="N11299" s="35">
        <v>1</v>
      </c>
      <c r="O11299" s="36">
        <v>6247.98</v>
      </c>
      <c r="P11299" s="36">
        <v>5121.3</v>
      </c>
      <c r="Q11299" s="36">
        <v>4373.59</v>
      </c>
      <c r="R11299" s="36">
        <v>3584.91</v>
      </c>
      <c r="S11299" s="36">
        <v>3873.75</v>
      </c>
      <c r="T11299" s="36">
        <v>3175.2</v>
      </c>
      <c r="U11299" s="34"/>
      <c r="V11299" s="34"/>
      <c r="W11299" s="34"/>
      <c r="X11299" s="37">
        <v>2.3559999999999999</v>
      </c>
      <c r="Y11299" s="38">
        <v>6.2830000000000004E-3</v>
      </c>
      <c r="Z11299" s="21">
        <v>4601004234338</v>
      </c>
    </row>
    <row r="11300" spans="1:26" ht="12" customHeight="1" outlineLevel="3" x14ac:dyDescent="0.2">
      <c r="A11300" s="14" t="s">
        <v>21475</v>
      </c>
      <c r="B11300" s="26" t="s">
        <v>21476</v>
      </c>
      <c r="C11300" s="52"/>
      <c r="D11300" s="55">
        <f t="shared" si="176"/>
        <v>0</v>
      </c>
      <c r="E11300" s="63" t="str">
        <f>HYPERLINK("https://www.sds-group.ru/product/dyuralayt-led-fiksing-2w-24-led-m-belyy-25-m-121-323-14/", "Инфо")</f>
        <v>Инфо</v>
      </c>
      <c r="F11300" s="16" t="s">
        <v>39</v>
      </c>
      <c r="G11300" s="15"/>
      <c r="H11300" s="15"/>
      <c r="I11300" s="15"/>
      <c r="J11300" s="17">
        <v>204</v>
      </c>
      <c r="K11300" s="15"/>
      <c r="L11300" s="17">
        <v>1</v>
      </c>
      <c r="M11300" s="17">
        <v>4</v>
      </c>
      <c r="N11300" s="17">
        <v>1</v>
      </c>
      <c r="O11300" s="18">
        <v>7619.81</v>
      </c>
      <c r="P11300" s="18">
        <v>6245.75</v>
      </c>
      <c r="Q11300" s="18">
        <v>5333.87</v>
      </c>
      <c r="R11300" s="18">
        <v>4372.0200000000004</v>
      </c>
      <c r="S11300" s="18">
        <v>4724.28</v>
      </c>
      <c r="T11300" s="18">
        <v>3872.36</v>
      </c>
      <c r="U11300" s="16"/>
      <c r="V11300" s="16"/>
      <c r="W11300" s="16"/>
      <c r="X11300" s="19">
        <v>2.927</v>
      </c>
      <c r="Y11300" s="20">
        <v>7.6030000000000004E-3</v>
      </c>
      <c r="Z11300" s="21">
        <v>4601004233263</v>
      </c>
    </row>
    <row r="11301" spans="1:26" ht="12" customHeight="1" outlineLevel="3" x14ac:dyDescent="0.2">
      <c r="A11301" s="14" t="s">
        <v>21477</v>
      </c>
      <c r="B11301" s="26" t="s">
        <v>21478</v>
      </c>
      <c r="C11301" s="52"/>
      <c r="D11301" s="55">
        <f t="shared" si="176"/>
        <v>0</v>
      </c>
      <c r="E11301" s="63" t="str">
        <f>HYPERLINK("https://www.sds-group.ru/product/dyuralayt-led-fiksing-2w-24-led-m-multikolor-rygb-25-m-121-328-14/", "Инфо")</f>
        <v>Инфо</v>
      </c>
      <c r="F11301" s="16" t="s">
        <v>39</v>
      </c>
      <c r="G11301" s="15"/>
      <c r="H11301" s="15"/>
      <c r="I11301" s="15"/>
      <c r="J11301" s="17">
        <v>284</v>
      </c>
      <c r="K11301" s="15"/>
      <c r="L11301" s="17">
        <v>1</v>
      </c>
      <c r="M11301" s="17">
        <v>4</v>
      </c>
      <c r="N11301" s="17">
        <v>1</v>
      </c>
      <c r="O11301" s="18">
        <v>7619.81</v>
      </c>
      <c r="P11301" s="18">
        <v>6245.75</v>
      </c>
      <c r="Q11301" s="18">
        <v>5333.87</v>
      </c>
      <c r="R11301" s="18">
        <v>4372.0200000000004</v>
      </c>
      <c r="S11301" s="18">
        <v>4724.28</v>
      </c>
      <c r="T11301" s="18">
        <v>3872.36</v>
      </c>
      <c r="U11301" s="16"/>
      <c r="V11301" s="16"/>
      <c r="W11301" s="16"/>
      <c r="X11301" s="19">
        <v>2.88</v>
      </c>
      <c r="Y11301" s="20">
        <v>7.4910000000000003E-3</v>
      </c>
      <c r="Z11301" s="21">
        <v>4601004233287</v>
      </c>
    </row>
    <row r="11302" spans="1:26" ht="12" customHeight="1" outlineLevel="3" x14ac:dyDescent="0.2">
      <c r="A11302" s="14" t="s">
        <v>21479</v>
      </c>
      <c r="B11302" s="26" t="s">
        <v>21480</v>
      </c>
      <c r="C11302" s="52"/>
      <c r="D11302" s="55">
        <f t="shared" si="176"/>
        <v>0</v>
      </c>
      <c r="E11302" s="63" t="str">
        <f>HYPERLINK("https://www.sds-group.ru/product/dyuralayt-led-fiksing-2w-24-led-m-teplyy-belyy-25-m-121-327-14/", "Инфо")</f>
        <v>Инфо</v>
      </c>
      <c r="F11302" s="16" t="s">
        <v>39</v>
      </c>
      <c r="G11302" s="15"/>
      <c r="H11302" s="15"/>
      <c r="I11302" s="15"/>
      <c r="J11302" s="16" t="s">
        <v>100</v>
      </c>
      <c r="K11302" s="15"/>
      <c r="L11302" s="17">
        <v>1</v>
      </c>
      <c r="M11302" s="17">
        <v>4</v>
      </c>
      <c r="N11302" s="17">
        <v>1</v>
      </c>
      <c r="O11302" s="18">
        <v>7619.81</v>
      </c>
      <c r="P11302" s="18">
        <v>6245.75</v>
      </c>
      <c r="Q11302" s="18">
        <v>5333.87</v>
      </c>
      <c r="R11302" s="18">
        <v>4372.0200000000004</v>
      </c>
      <c r="S11302" s="18">
        <v>4724.28</v>
      </c>
      <c r="T11302" s="18">
        <v>3872.36</v>
      </c>
      <c r="U11302" s="16"/>
      <c r="V11302" s="16"/>
      <c r="W11302" s="16"/>
      <c r="X11302" s="19">
        <v>3.028</v>
      </c>
      <c r="Y11302" s="20">
        <v>6.9550000000000002E-3</v>
      </c>
      <c r="Z11302" s="21">
        <v>4601004233270</v>
      </c>
    </row>
    <row r="11303" spans="1:26" ht="12" customHeight="1" outlineLevel="3" x14ac:dyDescent="0.2">
      <c r="A11303" s="32" t="s">
        <v>21481</v>
      </c>
      <c r="B11303" s="74" t="s">
        <v>21482</v>
      </c>
      <c r="C11303" s="50"/>
      <c r="D11303" s="53">
        <f t="shared" si="176"/>
        <v>0</v>
      </c>
      <c r="E11303" s="60" t="str">
        <f>HYPERLINK("https://www.sds-group.ru/product/dyuralayt-led-svechenie-s-dinamikoy-3w-24-led-m-teplyy-belyy-6m-121-326-06/", "Инфо")</f>
        <v>Инфо</v>
      </c>
      <c r="F11303" s="34" t="s">
        <v>39</v>
      </c>
      <c r="G11303" s="33"/>
      <c r="H11303" s="33" t="s">
        <v>40</v>
      </c>
      <c r="I11303" s="33"/>
      <c r="J11303" s="35">
        <v>36</v>
      </c>
      <c r="K11303" s="33"/>
      <c r="L11303" s="35">
        <v>1</v>
      </c>
      <c r="M11303" s="35">
        <v>10</v>
      </c>
      <c r="N11303" s="35">
        <v>1</v>
      </c>
      <c r="O11303" s="36">
        <v>2130.96</v>
      </c>
      <c r="P11303" s="36">
        <v>1746.69</v>
      </c>
      <c r="Q11303" s="36">
        <v>1491.67</v>
      </c>
      <c r="R11303" s="36">
        <v>1222.68</v>
      </c>
      <c r="S11303" s="36">
        <v>1321.2</v>
      </c>
      <c r="T11303" s="36">
        <v>1082.95</v>
      </c>
      <c r="U11303" s="34"/>
      <c r="V11303" s="34"/>
      <c r="W11303" s="34"/>
      <c r="X11303" s="37">
        <v>1.089</v>
      </c>
      <c r="Y11303" s="38">
        <v>3.669E-3</v>
      </c>
      <c r="Z11303" s="21">
        <v>4601004089846</v>
      </c>
    </row>
    <row r="11304" spans="1:26" ht="12.95" customHeight="1" outlineLevel="2" x14ac:dyDescent="0.2">
      <c r="A11304" s="76" t="s">
        <v>21483</v>
      </c>
      <c r="B11304" s="76"/>
      <c r="C11304" s="77"/>
      <c r="D11304" s="58"/>
      <c r="E11304" s="68"/>
      <c r="F11304" s="13"/>
      <c r="G11304" s="13"/>
      <c r="H11304" s="13"/>
      <c r="I11304" s="13"/>
      <c r="J11304" s="13"/>
      <c r="K11304" s="13"/>
      <c r="L11304" s="13"/>
      <c r="M11304" s="13"/>
      <c r="N11304" s="13"/>
      <c r="O11304" s="13"/>
      <c r="P11304" s="13"/>
      <c r="Q11304" s="13"/>
      <c r="R11304" s="13"/>
      <c r="S11304" s="13"/>
      <c r="T11304" s="13"/>
      <c r="U11304" s="13"/>
      <c r="V11304" s="13"/>
      <c r="W11304" s="13"/>
      <c r="X11304" s="13"/>
      <c r="Y11304" s="13"/>
      <c r="Z11304" s="13"/>
    </row>
    <row r="11305" spans="1:26" ht="12" customHeight="1" outlineLevel="3" x14ac:dyDescent="0.2">
      <c r="A11305" s="14" t="s">
        <v>21484</v>
      </c>
      <c r="B11305" s="26" t="s">
        <v>21485</v>
      </c>
      <c r="C11305" s="52"/>
      <c r="D11305" s="55">
        <f t="shared" si="176"/>
        <v>0</v>
      </c>
      <c r="E11305" s="63" t="str">
        <f>HYPERLINK("https://www.sds-group.ru/product/gibkiy-neon-neon-night-smd-8h16-mm-odnostoronniy-belyy-120-led-m-nabor-10-m-s-komplektom-pod-131-003/", "Инфо")</f>
        <v>Инфо</v>
      </c>
      <c r="F11305" s="16" t="s">
        <v>39</v>
      </c>
      <c r="G11305" s="15"/>
      <c r="H11305" s="15"/>
      <c r="I11305" s="15"/>
      <c r="J11305" s="16" t="s">
        <v>100</v>
      </c>
      <c r="K11305" s="15" t="s">
        <v>21151</v>
      </c>
      <c r="L11305" s="17">
        <v>1</v>
      </c>
      <c r="M11305" s="17">
        <v>10</v>
      </c>
      <c r="N11305" s="17">
        <v>1</v>
      </c>
      <c r="O11305" s="18">
        <v>3395.76</v>
      </c>
      <c r="P11305" s="18">
        <v>2783.41</v>
      </c>
      <c r="Q11305" s="18">
        <v>2377.0300000000002</v>
      </c>
      <c r="R11305" s="18">
        <v>1948.39</v>
      </c>
      <c r="S11305" s="18">
        <v>2309.12</v>
      </c>
      <c r="T11305" s="18">
        <v>1892.72</v>
      </c>
      <c r="U11305" s="16"/>
      <c r="V11305" s="16"/>
      <c r="W11305" s="16"/>
      <c r="X11305" s="19">
        <v>1.94</v>
      </c>
      <c r="Y11305" s="20">
        <v>6.28E-3</v>
      </c>
      <c r="Z11305" s="21">
        <v>4601004246492</v>
      </c>
    </row>
    <row r="11306" spans="1:26" ht="12" customHeight="1" outlineLevel="3" x14ac:dyDescent="0.2">
      <c r="A11306" s="14" t="s">
        <v>21486</v>
      </c>
      <c r="B11306" s="26" t="s">
        <v>21487</v>
      </c>
      <c r="C11306" s="52"/>
      <c r="D11306" s="55">
        <f t="shared" si="176"/>
        <v>0</v>
      </c>
      <c r="E11306" s="63" t="str">
        <f>HYPERLINK("https://www.sds-group.ru/product/gibkiy-neon-neon-night-led-smd-8h16-mm-odnostoronniy-belyy-120-led-m-20-m-131-007/", "Инфо")</f>
        <v>Инфо</v>
      </c>
      <c r="F11306" s="16" t="s">
        <v>39</v>
      </c>
      <c r="G11306" s="15"/>
      <c r="H11306" s="15"/>
      <c r="I11306" s="15"/>
      <c r="J11306" s="16" t="s">
        <v>100</v>
      </c>
      <c r="K11306" s="15" t="s">
        <v>21151</v>
      </c>
      <c r="L11306" s="17">
        <v>1</v>
      </c>
      <c r="M11306" s="17">
        <v>1</v>
      </c>
      <c r="N11306" s="17">
        <v>1</v>
      </c>
      <c r="O11306" s="18">
        <v>6791.53</v>
      </c>
      <c r="P11306" s="18">
        <v>5566.83</v>
      </c>
      <c r="Q11306" s="18">
        <v>4754.07</v>
      </c>
      <c r="R11306" s="18">
        <v>3896.78</v>
      </c>
      <c r="S11306" s="18">
        <v>4618.24</v>
      </c>
      <c r="T11306" s="18">
        <v>3785.44</v>
      </c>
      <c r="U11306" s="16"/>
      <c r="V11306" s="16"/>
      <c r="W11306" s="16"/>
      <c r="X11306" s="19">
        <v>3.766</v>
      </c>
      <c r="Y11306" s="20">
        <v>8.9300000000000004E-3</v>
      </c>
      <c r="Z11306" s="21">
        <v>4601004197961</v>
      </c>
    </row>
    <row r="11307" spans="1:26" ht="12" customHeight="1" outlineLevel="3" x14ac:dyDescent="0.2">
      <c r="A11307" s="14" t="s">
        <v>21488</v>
      </c>
      <c r="B11307" s="26" t="s">
        <v>21489</v>
      </c>
      <c r="C11307" s="52"/>
      <c r="D11307" s="55">
        <f t="shared" si="176"/>
        <v>0</v>
      </c>
      <c r="E11307" s="63" t="str">
        <f>HYPERLINK("https://www.sds-group.ru/product/gibkiy-neon-neon-night-smd-8h16-mm-odnostoronniy-teplyy-belyy-120-led-m-nabor-10-m-s-komplek-131-004/", "Инфо")</f>
        <v>Инфо</v>
      </c>
      <c r="F11307" s="16" t="s">
        <v>39</v>
      </c>
      <c r="G11307" s="15"/>
      <c r="H11307" s="15"/>
      <c r="I11307" s="15"/>
      <c r="J11307" s="16" t="s">
        <v>100</v>
      </c>
      <c r="K11307" s="15" t="s">
        <v>21151</v>
      </c>
      <c r="L11307" s="17">
        <v>1</v>
      </c>
      <c r="M11307" s="17">
        <v>10</v>
      </c>
      <c r="N11307" s="17">
        <v>1</v>
      </c>
      <c r="O11307" s="18">
        <v>3395.76</v>
      </c>
      <c r="P11307" s="18">
        <v>2783.41</v>
      </c>
      <c r="Q11307" s="18">
        <v>2377.0300000000002</v>
      </c>
      <c r="R11307" s="18">
        <v>1948.39</v>
      </c>
      <c r="S11307" s="18">
        <v>2309.12</v>
      </c>
      <c r="T11307" s="18">
        <v>1892.72</v>
      </c>
      <c r="U11307" s="16"/>
      <c r="V11307" s="16"/>
      <c r="W11307" s="16"/>
      <c r="X11307" s="19">
        <v>1.891</v>
      </c>
      <c r="Y11307" s="20">
        <v>6.3270000000000002E-3</v>
      </c>
      <c r="Z11307" s="21">
        <v>4601004246508</v>
      </c>
    </row>
    <row r="11308" spans="1:26" ht="12" customHeight="1" outlineLevel="3" x14ac:dyDescent="0.2">
      <c r="A11308" s="14" t="s">
        <v>21490</v>
      </c>
      <c r="B11308" s="26" t="s">
        <v>21491</v>
      </c>
      <c r="C11308" s="52"/>
      <c r="D11308" s="55">
        <f t="shared" si="176"/>
        <v>0</v>
      </c>
      <c r="E11308" s="63" t="str">
        <f>HYPERLINK("https://www.sds-group.ru/product/gibkiy-neon-neon-night-led-smd-8h16-mm-odnostoronniy-teplyy-belyy-120-led-m-20-m-131-008/", "Инфо")</f>
        <v>Инфо</v>
      </c>
      <c r="F11308" s="16" t="s">
        <v>39</v>
      </c>
      <c r="G11308" s="15"/>
      <c r="H11308" s="15"/>
      <c r="I11308" s="15"/>
      <c r="J11308" s="16" t="s">
        <v>100</v>
      </c>
      <c r="K11308" s="15" t="s">
        <v>21151</v>
      </c>
      <c r="L11308" s="17">
        <v>1</v>
      </c>
      <c r="M11308" s="17">
        <v>1</v>
      </c>
      <c r="N11308" s="17">
        <v>1</v>
      </c>
      <c r="O11308" s="18">
        <v>6791.53</v>
      </c>
      <c r="P11308" s="18">
        <v>5566.83</v>
      </c>
      <c r="Q11308" s="18">
        <v>4754.07</v>
      </c>
      <c r="R11308" s="18">
        <v>3896.78</v>
      </c>
      <c r="S11308" s="18">
        <v>4618.24</v>
      </c>
      <c r="T11308" s="18">
        <v>3785.44</v>
      </c>
      <c r="U11308" s="16"/>
      <c r="V11308" s="16"/>
      <c r="W11308" s="16"/>
      <c r="X11308" s="19">
        <v>4.242</v>
      </c>
      <c r="Y11308" s="20">
        <v>1.107E-2</v>
      </c>
      <c r="Z11308" s="21">
        <v>4601004197978</v>
      </c>
    </row>
    <row r="11309" spans="1:26" ht="12" customHeight="1" outlineLevel="3" x14ac:dyDescent="0.2">
      <c r="A11309" s="14" t="s">
        <v>21492</v>
      </c>
      <c r="B11309" s="26" t="s">
        <v>21493</v>
      </c>
      <c r="C11309" s="52"/>
      <c r="D11309" s="55">
        <f t="shared" si="176"/>
        <v>0</v>
      </c>
      <c r="E11309" s="63" t="str">
        <f>HYPERLINK("https://www.sds-group.ru/product/gibkiy-neon-led-smd-8h16-mm-odnostoronniy-belyy-120-led-m-5-m-131-005/", "Инфо")</f>
        <v>Инфо</v>
      </c>
      <c r="F11309" s="16" t="s">
        <v>39</v>
      </c>
      <c r="G11309" s="15"/>
      <c r="H11309" s="15"/>
      <c r="I11309" s="15"/>
      <c r="J11309" s="16" t="s">
        <v>100</v>
      </c>
      <c r="K11309" s="15" t="s">
        <v>21151</v>
      </c>
      <c r="L11309" s="17">
        <v>1</v>
      </c>
      <c r="M11309" s="17">
        <v>20</v>
      </c>
      <c r="N11309" s="17">
        <v>1</v>
      </c>
      <c r="O11309" s="18">
        <v>1573.37</v>
      </c>
      <c r="P11309" s="18">
        <v>1289.6500000000001</v>
      </c>
      <c r="Q11309" s="18">
        <v>1101.3599999999999</v>
      </c>
      <c r="R11309" s="18">
        <v>902.75</v>
      </c>
      <c r="S11309" s="18">
        <v>1069.8900000000001</v>
      </c>
      <c r="T11309" s="18">
        <v>876.96</v>
      </c>
      <c r="U11309" s="16"/>
      <c r="V11309" s="16"/>
      <c r="W11309" s="16"/>
      <c r="X11309" s="19">
        <v>0.95599999999999996</v>
      </c>
      <c r="Y11309" s="20">
        <v>2.47E-3</v>
      </c>
      <c r="Z11309" s="21">
        <v>4601004161801</v>
      </c>
    </row>
    <row r="11310" spans="1:26" ht="12" customHeight="1" outlineLevel="3" x14ac:dyDescent="0.2">
      <c r="A11310" s="14" t="s">
        <v>21494</v>
      </c>
      <c r="B11310" s="26" t="s">
        <v>21495</v>
      </c>
      <c r="C11310" s="52"/>
      <c r="D11310" s="55">
        <f t="shared" si="176"/>
        <v>0</v>
      </c>
      <c r="E11310" s="63" t="str">
        <f>HYPERLINK("https://www.sds-group.ru/product/gibkiy-neon-led-smd-8h16-mm-odnostoronniy-teplyy-belyy-120-led-m-5-m-131-006/", "Инфо")</f>
        <v>Инфо</v>
      </c>
      <c r="F11310" s="16" t="s">
        <v>39</v>
      </c>
      <c r="G11310" s="15"/>
      <c r="H11310" s="15"/>
      <c r="I11310" s="15"/>
      <c r="J11310" s="16" t="s">
        <v>100</v>
      </c>
      <c r="K11310" s="15" t="s">
        <v>21151</v>
      </c>
      <c r="L11310" s="17">
        <v>1</v>
      </c>
      <c r="M11310" s="17">
        <v>20</v>
      </c>
      <c r="N11310" s="17">
        <v>1</v>
      </c>
      <c r="O11310" s="18">
        <v>1573.37</v>
      </c>
      <c r="P11310" s="18">
        <v>1289.6500000000001</v>
      </c>
      <c r="Q11310" s="18">
        <v>1101.3599999999999</v>
      </c>
      <c r="R11310" s="18">
        <v>902.75</v>
      </c>
      <c r="S11310" s="18">
        <v>1069.8900000000001</v>
      </c>
      <c r="T11310" s="18">
        <v>876.96</v>
      </c>
      <c r="U11310" s="16"/>
      <c r="V11310" s="16"/>
      <c r="W11310" s="16"/>
      <c r="X11310" s="19">
        <v>0.95699999999999996</v>
      </c>
      <c r="Y11310" s="20">
        <v>2.4729999999999999E-3</v>
      </c>
      <c r="Z11310" s="21">
        <v>4601004161795</v>
      </c>
    </row>
    <row r="11311" spans="1:26" ht="12.95" customHeight="1" outlineLevel="2" x14ac:dyDescent="0.2">
      <c r="A11311" s="76" t="s">
        <v>21496</v>
      </c>
      <c r="B11311" s="76"/>
      <c r="C11311" s="77"/>
      <c r="D11311" s="58"/>
      <c r="E11311" s="68"/>
      <c r="F11311" s="13"/>
      <c r="G11311" s="13"/>
      <c r="H11311" s="13"/>
      <c r="I11311" s="13"/>
      <c r="J11311" s="13"/>
      <c r="K11311" s="13"/>
      <c r="L11311" s="13"/>
      <c r="M11311" s="13"/>
      <c r="N11311" s="13"/>
      <c r="O11311" s="13"/>
      <c r="P11311" s="13"/>
      <c r="Q11311" s="13"/>
      <c r="R11311" s="13"/>
      <c r="S11311" s="13"/>
      <c r="T11311" s="13"/>
      <c r="U11311" s="13"/>
      <c r="V11311" s="13"/>
      <c r="W11311" s="13"/>
      <c r="X11311" s="13"/>
      <c r="Y11311" s="13"/>
      <c r="Z11311" s="13"/>
    </row>
    <row r="11312" spans="1:26" ht="12" customHeight="1" outlineLevel="3" x14ac:dyDescent="0.2">
      <c r="A11312" s="14" t="s">
        <v>21497</v>
      </c>
      <c r="B11312" s="26" t="s">
        <v>21498</v>
      </c>
      <c r="C11312" s="52"/>
      <c r="D11312" s="55">
        <f t="shared" si="176"/>
        <v>0</v>
      </c>
      <c r="E11312" s="63" t="str">
        <f>HYPERLINK("https://www.sds-group.ru/product/svetodiodnoe-derevo-sakura-vysota-1-5-m-diametr-krony-1-4m-rgb-svetodiody-kontroller-ip65-po-531-109/", "Инфо")</f>
        <v>Инфо</v>
      </c>
      <c r="F11312" s="16" t="s">
        <v>39</v>
      </c>
      <c r="G11312" s="15"/>
      <c r="H11312" s="15"/>
      <c r="I11312" s="24">
        <v>-150</v>
      </c>
      <c r="J11312" s="16" t="s">
        <v>100</v>
      </c>
      <c r="K11312" s="15"/>
      <c r="L11312" s="17">
        <v>1</v>
      </c>
      <c r="M11312" s="17">
        <v>1</v>
      </c>
      <c r="N11312" s="17">
        <v>1</v>
      </c>
      <c r="O11312" s="18">
        <v>123812.63</v>
      </c>
      <c r="P11312" s="18">
        <v>101485.75999999999</v>
      </c>
      <c r="Q11312" s="18">
        <v>90383.22</v>
      </c>
      <c r="R11312" s="18">
        <v>74084.61</v>
      </c>
      <c r="S11312" s="18">
        <v>76763.83</v>
      </c>
      <c r="T11312" s="18">
        <v>62921.17</v>
      </c>
      <c r="U11312" s="16"/>
      <c r="V11312" s="16"/>
      <c r="W11312" s="16" t="s">
        <v>40</v>
      </c>
      <c r="X11312" s="19">
        <v>22</v>
      </c>
      <c r="Y11312" s="20">
        <v>0.193333</v>
      </c>
      <c r="Z11312" s="21">
        <v>2000032768204</v>
      </c>
    </row>
    <row r="11313" spans="1:26" ht="12" customHeight="1" outlineLevel="3" x14ac:dyDescent="0.2">
      <c r="A11313" s="14" t="s">
        <v>21499</v>
      </c>
      <c r="B11313" s="26" t="s">
        <v>21500</v>
      </c>
      <c r="C11313" s="52"/>
      <c r="D11313" s="55">
        <f t="shared" si="176"/>
        <v>0</v>
      </c>
      <c r="E11313" s="63" t="str">
        <f>HYPERLINK("https://www.sds-group.ru/product/svetodiodnoe-derevo-sakura-vysota-1-5m-diametr-krony-1-8m-belye-svetodiody-ip-65-ponizhayusc-531-105/", "Инфо")</f>
        <v>Инфо</v>
      </c>
      <c r="F11313" s="16" t="s">
        <v>39</v>
      </c>
      <c r="G11313" s="15"/>
      <c r="H11313" s="15"/>
      <c r="I11313" s="15"/>
      <c r="J11313" s="16" t="s">
        <v>100</v>
      </c>
      <c r="K11313" s="15" t="s">
        <v>11098</v>
      </c>
      <c r="L11313" s="17">
        <v>1</v>
      </c>
      <c r="M11313" s="17">
        <v>1</v>
      </c>
      <c r="N11313" s="17">
        <v>1</v>
      </c>
      <c r="O11313" s="18">
        <v>63697.51</v>
      </c>
      <c r="P11313" s="18">
        <v>52211.07</v>
      </c>
      <c r="Q11313" s="18">
        <v>46499.18</v>
      </c>
      <c r="R11313" s="18">
        <v>38114.080000000002</v>
      </c>
      <c r="S11313" s="18">
        <v>39492.46</v>
      </c>
      <c r="T11313" s="18">
        <v>32370.87</v>
      </c>
      <c r="U11313" s="16"/>
      <c r="V11313" s="16"/>
      <c r="W11313" s="16" t="s">
        <v>40</v>
      </c>
      <c r="X11313" s="19">
        <v>18</v>
      </c>
      <c r="Y11313" s="20">
        <v>0.15</v>
      </c>
      <c r="Z11313" s="21">
        <v>4601004001909</v>
      </c>
    </row>
    <row r="11314" spans="1:26" ht="12" customHeight="1" outlineLevel="3" x14ac:dyDescent="0.2">
      <c r="A11314" s="14" t="s">
        <v>21501</v>
      </c>
      <c r="B11314" s="26" t="s">
        <v>21502</v>
      </c>
      <c r="C11314" s="52"/>
      <c r="D11314" s="55">
        <f t="shared" si="176"/>
        <v>0</v>
      </c>
      <c r="E11314" s="63" t="str">
        <f>HYPERLINK("https://www.sds-group.ru/product/svetodiodnoe-derevo-sakura-vysota-1-5m-diametr-krony-1-8m-zelenye-svetodiody-ip-65-ponizhayu-531-104/", "Инфо")</f>
        <v>Инфо</v>
      </c>
      <c r="F11314" s="16" t="s">
        <v>39</v>
      </c>
      <c r="G11314" s="15"/>
      <c r="H11314" s="15"/>
      <c r="I11314" s="15"/>
      <c r="J11314" s="16" t="s">
        <v>100</v>
      </c>
      <c r="K11314" s="15" t="s">
        <v>11098</v>
      </c>
      <c r="L11314" s="17">
        <v>1</v>
      </c>
      <c r="M11314" s="17">
        <v>1</v>
      </c>
      <c r="N11314" s="17">
        <v>1</v>
      </c>
      <c r="O11314" s="18">
        <v>63697.51</v>
      </c>
      <c r="P11314" s="18">
        <v>52211.07</v>
      </c>
      <c r="Q11314" s="18">
        <v>46499.18</v>
      </c>
      <c r="R11314" s="18">
        <v>38114.080000000002</v>
      </c>
      <c r="S11314" s="18">
        <v>39492.46</v>
      </c>
      <c r="T11314" s="18">
        <v>32370.87</v>
      </c>
      <c r="U11314" s="16"/>
      <c r="V11314" s="16"/>
      <c r="W11314" s="16" t="s">
        <v>40</v>
      </c>
      <c r="X11314" s="19">
        <v>17</v>
      </c>
      <c r="Y11314" s="20">
        <v>9.5713999999999994E-2</v>
      </c>
      <c r="Z11314" s="21">
        <v>4601004001893</v>
      </c>
    </row>
    <row r="11315" spans="1:26" ht="12" customHeight="1" outlineLevel="3" x14ac:dyDescent="0.2">
      <c r="A11315" s="32" t="s">
        <v>21503</v>
      </c>
      <c r="B11315" s="74" t="s">
        <v>21504</v>
      </c>
      <c r="C11315" s="50"/>
      <c r="D11315" s="53">
        <f t="shared" si="176"/>
        <v>0</v>
      </c>
      <c r="E11315" s="60" t="str">
        <f>HYPERLINK("https://www.sds-group.ru/product/svetodiodnoe-derevo-sakura-vysota-1-5m-diametr-krony-1-8m-krasnye-svetodiody-ip-65-ponizhayu-531-102/", "Инфо")</f>
        <v>Инфо</v>
      </c>
      <c r="F11315" s="34" t="s">
        <v>39</v>
      </c>
      <c r="G11315" s="33"/>
      <c r="H11315" s="33" t="s">
        <v>40</v>
      </c>
      <c r="I11315" s="33"/>
      <c r="J11315" s="35">
        <v>7</v>
      </c>
      <c r="K11315" s="33"/>
      <c r="L11315" s="35">
        <v>1</v>
      </c>
      <c r="M11315" s="35">
        <v>1</v>
      </c>
      <c r="N11315" s="35">
        <v>1</v>
      </c>
      <c r="O11315" s="36">
        <v>60091.99</v>
      </c>
      <c r="P11315" s="36">
        <v>49255.73</v>
      </c>
      <c r="Q11315" s="36">
        <v>43867.15</v>
      </c>
      <c r="R11315" s="36">
        <v>35956.68</v>
      </c>
      <c r="S11315" s="36">
        <v>37257.03</v>
      </c>
      <c r="T11315" s="36">
        <v>30538.55</v>
      </c>
      <c r="U11315" s="34"/>
      <c r="V11315" s="34"/>
      <c r="W11315" s="34" t="s">
        <v>40</v>
      </c>
      <c r="X11315" s="37">
        <v>18</v>
      </c>
      <c r="Y11315" s="38">
        <v>9.8750000000000004E-2</v>
      </c>
      <c r="Z11315" s="21">
        <v>4601004001879</v>
      </c>
    </row>
    <row r="11316" spans="1:26" ht="12" customHeight="1" outlineLevel="3" x14ac:dyDescent="0.2">
      <c r="A11316" s="14" t="s">
        <v>21505</v>
      </c>
      <c r="B11316" s="26" t="s">
        <v>21506</v>
      </c>
      <c r="C11316" s="52"/>
      <c r="D11316" s="55">
        <f t="shared" si="176"/>
        <v>0</v>
      </c>
      <c r="E11316" s="63" t="str">
        <f>HYPERLINK("https://www.sds-group.ru/product/svetodiodnoe-derevo-sakura-vysota-1-5m-diametr-krony-1-8m-sinie-svetodiody-ip-65-ponizhayusc-531-103/", "Инфо")</f>
        <v>Инфо</v>
      </c>
      <c r="F11316" s="16" t="s">
        <v>39</v>
      </c>
      <c r="G11316" s="15"/>
      <c r="H11316" s="15"/>
      <c r="I11316" s="15"/>
      <c r="J11316" s="16" t="s">
        <v>100</v>
      </c>
      <c r="K11316" s="15"/>
      <c r="L11316" s="17">
        <v>1</v>
      </c>
      <c r="M11316" s="17">
        <v>1</v>
      </c>
      <c r="N11316" s="17">
        <v>1</v>
      </c>
      <c r="O11316" s="18">
        <v>63697.51</v>
      </c>
      <c r="P11316" s="18">
        <v>52211.07</v>
      </c>
      <c r="Q11316" s="18">
        <v>46499.18</v>
      </c>
      <c r="R11316" s="18">
        <v>38114.080000000002</v>
      </c>
      <c r="S11316" s="18">
        <v>39492.46</v>
      </c>
      <c r="T11316" s="18">
        <v>32370.87</v>
      </c>
      <c r="U11316" s="16"/>
      <c r="V11316" s="16"/>
      <c r="W11316" s="16" t="s">
        <v>40</v>
      </c>
      <c r="X11316" s="19">
        <v>17</v>
      </c>
      <c r="Y11316" s="20">
        <v>0.15</v>
      </c>
      <c r="Z11316" s="21">
        <v>4601004001862</v>
      </c>
    </row>
    <row r="11317" spans="1:26" ht="12" customHeight="1" outlineLevel="3" x14ac:dyDescent="0.2">
      <c r="A11317" s="14" t="s">
        <v>21507</v>
      </c>
      <c r="B11317" s="26" t="s">
        <v>21508</v>
      </c>
      <c r="C11317" s="52"/>
      <c r="D11317" s="55">
        <f t="shared" si="176"/>
        <v>0</v>
      </c>
      <c r="E11317" s="63" t="str">
        <f>HYPERLINK("https://www.sds-group.ru/product/svetodiodnoe-derevo-sakura-vysota-1-5m-diametr-krony-1-8m-fioletovye-svetodiody-ip-65-ponizh-531-106/", "Инфо")</f>
        <v>Инфо</v>
      </c>
      <c r="F11317" s="16" t="s">
        <v>39</v>
      </c>
      <c r="G11317" s="15"/>
      <c r="H11317" s="15"/>
      <c r="I11317" s="15"/>
      <c r="J11317" s="16" t="s">
        <v>100</v>
      </c>
      <c r="K11317" s="15" t="s">
        <v>11098</v>
      </c>
      <c r="L11317" s="17">
        <v>1</v>
      </c>
      <c r="M11317" s="17">
        <v>1</v>
      </c>
      <c r="N11317" s="17">
        <v>1</v>
      </c>
      <c r="O11317" s="18">
        <v>63697.51</v>
      </c>
      <c r="P11317" s="18">
        <v>52211.07</v>
      </c>
      <c r="Q11317" s="18">
        <v>46499.18</v>
      </c>
      <c r="R11317" s="18">
        <v>38114.080000000002</v>
      </c>
      <c r="S11317" s="18">
        <v>39492.46</v>
      </c>
      <c r="T11317" s="18">
        <v>32370.87</v>
      </c>
      <c r="U11317" s="16"/>
      <c r="V11317" s="16"/>
      <c r="W11317" s="16" t="s">
        <v>40</v>
      </c>
      <c r="X11317" s="19">
        <v>16.600000000000001</v>
      </c>
      <c r="Y11317" s="20">
        <v>7.3800000000000004E-2</v>
      </c>
      <c r="Z11317" s="21">
        <v>4601004297425</v>
      </c>
    </row>
    <row r="11318" spans="1:26" ht="12" customHeight="1" outlineLevel="3" x14ac:dyDescent="0.2">
      <c r="A11318" s="14" t="s">
        <v>21509</v>
      </c>
      <c r="B11318" s="26" t="s">
        <v>21510</v>
      </c>
      <c r="C11318" s="52"/>
      <c r="D11318" s="55">
        <f t="shared" si="176"/>
        <v>0</v>
      </c>
      <c r="E11318" s="63" t="str">
        <f>HYPERLINK("https://www.sds-group.ru/product/svetodiodnoe-derevo-sakura-vysota-1-5m-diametr-krony-1-8m-zheltye-svetodiody-ip-65-ponizhayu-531-101/", "Инфо")</f>
        <v>Инфо</v>
      </c>
      <c r="F11318" s="16" t="s">
        <v>39</v>
      </c>
      <c r="G11318" s="15"/>
      <c r="H11318" s="15"/>
      <c r="I11318" s="15"/>
      <c r="J11318" s="17">
        <v>1</v>
      </c>
      <c r="K11318" s="15"/>
      <c r="L11318" s="17">
        <v>1</v>
      </c>
      <c r="M11318" s="17">
        <v>1</v>
      </c>
      <c r="N11318" s="17">
        <v>1</v>
      </c>
      <c r="O11318" s="18">
        <v>63697.51</v>
      </c>
      <c r="P11318" s="18">
        <v>52211.07</v>
      </c>
      <c r="Q11318" s="18">
        <v>46499.18</v>
      </c>
      <c r="R11318" s="18">
        <v>38114.080000000002</v>
      </c>
      <c r="S11318" s="18">
        <v>39492.46</v>
      </c>
      <c r="T11318" s="18">
        <v>32370.87</v>
      </c>
      <c r="U11318" s="16"/>
      <c r="V11318" s="16"/>
      <c r="W11318" s="16" t="s">
        <v>40</v>
      </c>
      <c r="X11318" s="19">
        <v>17</v>
      </c>
      <c r="Y11318" s="20">
        <v>9.1666999999999998E-2</v>
      </c>
      <c r="Z11318" s="21">
        <v>4601004001886</v>
      </c>
    </row>
    <row r="11319" spans="1:26" ht="12" customHeight="1" outlineLevel="3" x14ac:dyDescent="0.2">
      <c r="A11319" s="14" t="s">
        <v>21511</v>
      </c>
      <c r="B11319" s="26" t="s">
        <v>21512</v>
      </c>
      <c r="C11319" s="52"/>
      <c r="D11319" s="55">
        <f t="shared" si="176"/>
        <v>0</v>
      </c>
      <c r="E11319" s="63" t="str">
        <f>HYPERLINK("https://www.sds-group.ru/product/svetodiodnoe-derevo-sakura-vysota-2-4-m-diametr-krony-1-7-m-zelenye-diody-ip65-ponizhayuschi-531-324/", "Инфо")</f>
        <v>Инфо</v>
      </c>
      <c r="F11319" s="16" t="s">
        <v>39</v>
      </c>
      <c r="G11319" s="15"/>
      <c r="H11319" s="15"/>
      <c r="I11319" s="24">
        <v>-150</v>
      </c>
      <c r="J11319" s="16" t="s">
        <v>100</v>
      </c>
      <c r="K11319" s="15"/>
      <c r="L11319" s="17">
        <v>1</v>
      </c>
      <c r="M11319" s="17">
        <v>1</v>
      </c>
      <c r="N11319" s="17">
        <v>1</v>
      </c>
      <c r="O11319" s="18">
        <v>48073.59</v>
      </c>
      <c r="P11319" s="18">
        <v>39404.58</v>
      </c>
      <c r="Q11319" s="18">
        <v>35093.72</v>
      </c>
      <c r="R11319" s="18">
        <v>28765.34</v>
      </c>
      <c r="S11319" s="18">
        <v>29805.63</v>
      </c>
      <c r="T11319" s="18">
        <v>24430.84</v>
      </c>
      <c r="U11319" s="16"/>
      <c r="V11319" s="16"/>
      <c r="W11319" s="16" t="s">
        <v>40</v>
      </c>
      <c r="X11319" s="19">
        <v>14.8</v>
      </c>
      <c r="Y11319" s="20">
        <v>9.425E-2</v>
      </c>
      <c r="Z11319" s="21">
        <v>2000031017075</v>
      </c>
    </row>
    <row r="11320" spans="1:26" ht="12" customHeight="1" outlineLevel="3" x14ac:dyDescent="0.2">
      <c r="A11320" s="14" t="s">
        <v>21513</v>
      </c>
      <c r="B11320" s="26" t="s">
        <v>21514</v>
      </c>
      <c r="C11320" s="52"/>
      <c r="D11320" s="55">
        <f t="shared" si="176"/>
        <v>0</v>
      </c>
      <c r="E11320" s="63" t="str">
        <f>HYPERLINK("https://www.sds-group.ru/product/svetodiodnoe-derevo-sakura-vysota-2-4-m-diametr-krony-1-7m-krasnye-diody-ip65-ponizhayuschiy-531-322/", "Инфо")</f>
        <v>Инфо</v>
      </c>
      <c r="F11320" s="16" t="s">
        <v>39</v>
      </c>
      <c r="G11320" s="15"/>
      <c r="H11320" s="15"/>
      <c r="I11320" s="15" t="s">
        <v>21515</v>
      </c>
      <c r="J11320" s="16" t="s">
        <v>100</v>
      </c>
      <c r="K11320" s="15"/>
      <c r="L11320" s="17">
        <v>1</v>
      </c>
      <c r="M11320" s="17">
        <v>1</v>
      </c>
      <c r="N11320" s="17">
        <v>1</v>
      </c>
      <c r="O11320" s="18">
        <v>48073.59</v>
      </c>
      <c r="P11320" s="18">
        <v>39404.58</v>
      </c>
      <c r="Q11320" s="18">
        <v>35093.72</v>
      </c>
      <c r="R11320" s="18">
        <v>28765.34</v>
      </c>
      <c r="S11320" s="18">
        <v>29805.63</v>
      </c>
      <c r="T11320" s="18">
        <v>24430.84</v>
      </c>
      <c r="U11320" s="16"/>
      <c r="V11320" s="16"/>
      <c r="W11320" s="16" t="s">
        <v>40</v>
      </c>
      <c r="X11320" s="19">
        <v>18</v>
      </c>
      <c r="Y11320" s="20">
        <v>0.3</v>
      </c>
      <c r="Z11320" s="21">
        <v>2000031017051</v>
      </c>
    </row>
    <row r="11321" spans="1:26" ht="12" customHeight="1" outlineLevel="3" x14ac:dyDescent="0.2">
      <c r="A11321" s="14" t="s">
        <v>21516</v>
      </c>
      <c r="B11321" s="26" t="s">
        <v>21517</v>
      </c>
      <c r="C11321" s="52"/>
      <c r="D11321" s="55">
        <f t="shared" si="176"/>
        <v>0</v>
      </c>
      <c r="E11321" s="63" t="str">
        <f>HYPERLINK("https://www.sds-group.ru/product/svetodiodnoe-derevo-sakura-vysota-2-4-m-diametr-krony-2-0-m-belye-svetodiody-ip65-ponizhayus-531-125/", "Инфо")</f>
        <v>Инфо</v>
      </c>
      <c r="F11321" s="16" t="s">
        <v>39</v>
      </c>
      <c r="G11321" s="15"/>
      <c r="H11321" s="15"/>
      <c r="I11321" s="15"/>
      <c r="J11321" s="17">
        <v>3</v>
      </c>
      <c r="K11321" s="15" t="s">
        <v>11098</v>
      </c>
      <c r="L11321" s="17">
        <v>1</v>
      </c>
      <c r="M11321" s="17">
        <v>1</v>
      </c>
      <c r="N11321" s="17">
        <v>1</v>
      </c>
      <c r="O11321" s="18">
        <v>120303.8</v>
      </c>
      <c r="P11321" s="18">
        <v>98609.67</v>
      </c>
      <c r="Q11321" s="18">
        <v>87821.77</v>
      </c>
      <c r="R11321" s="18">
        <v>71985.06</v>
      </c>
      <c r="S11321" s="18">
        <v>74588.36</v>
      </c>
      <c r="T11321" s="18">
        <v>61138</v>
      </c>
      <c r="U11321" s="16"/>
      <c r="V11321" s="16"/>
      <c r="W11321" s="16" t="s">
        <v>40</v>
      </c>
      <c r="X11321" s="19">
        <v>38.280999999999999</v>
      </c>
      <c r="Y11321" s="20">
        <v>0.33937499999999998</v>
      </c>
      <c r="Z11321" s="21">
        <v>4601004236714</v>
      </c>
    </row>
    <row r="11322" spans="1:26" ht="12" customHeight="1" outlineLevel="3" x14ac:dyDescent="0.2">
      <c r="A11322" s="14" t="s">
        <v>21518</v>
      </c>
      <c r="B11322" s="26" t="s">
        <v>21519</v>
      </c>
      <c r="C11322" s="52"/>
      <c r="D11322" s="55">
        <f t="shared" si="176"/>
        <v>0</v>
      </c>
      <c r="E11322" s="63" t="str">
        <f>HYPERLINK("https://www.sds-group.ru/product/svetodiodnoe-derevo-sakura-vysota-2-4m-diametr-krony-2-0m-zheltye-svetodiody-ip65-ponizhayus-531-121/", "Инфо")</f>
        <v>Инфо</v>
      </c>
      <c r="F11322" s="16" t="s">
        <v>39</v>
      </c>
      <c r="G11322" s="15"/>
      <c r="H11322" s="15"/>
      <c r="I11322" s="15" t="s">
        <v>21515</v>
      </c>
      <c r="J11322" s="16" t="s">
        <v>100</v>
      </c>
      <c r="K11322" s="15"/>
      <c r="L11322" s="17">
        <v>1</v>
      </c>
      <c r="M11322" s="17">
        <v>1</v>
      </c>
      <c r="N11322" s="17">
        <v>1</v>
      </c>
      <c r="O11322" s="18">
        <v>113494.15</v>
      </c>
      <c r="P11322" s="18">
        <v>93027.99</v>
      </c>
      <c r="Q11322" s="18">
        <v>82850.73</v>
      </c>
      <c r="R11322" s="18">
        <v>67910.429999999993</v>
      </c>
      <c r="S11322" s="18">
        <v>70366.37</v>
      </c>
      <c r="T11322" s="18">
        <v>57677.35</v>
      </c>
      <c r="U11322" s="16"/>
      <c r="V11322" s="16"/>
      <c r="W11322" s="16" t="s">
        <v>40</v>
      </c>
      <c r="X11322" s="19">
        <v>35.1</v>
      </c>
      <c r="Y11322" s="20">
        <v>0.30049999999999999</v>
      </c>
      <c r="Z11322" s="21">
        <v>4601004298071</v>
      </c>
    </row>
    <row r="11323" spans="1:26" ht="12" customHeight="1" outlineLevel="3" x14ac:dyDescent="0.2">
      <c r="A11323" s="14" t="s">
        <v>21520</v>
      </c>
      <c r="B11323" s="26" t="s">
        <v>21521</v>
      </c>
      <c r="C11323" s="52"/>
      <c r="D11323" s="55">
        <f t="shared" si="176"/>
        <v>0</v>
      </c>
      <c r="E11323" s="63" t="str">
        <f>HYPERLINK("https://www.sds-group.ru/product/svetodiodnoe-derevo-sakura-vysota-2-4m-diametr-krony-2-0m-zelenye-svetodiody-ip65-ponizhayus-531-124/", "Инфо")</f>
        <v>Инфо</v>
      </c>
      <c r="F11323" s="16" t="s">
        <v>39</v>
      </c>
      <c r="G11323" s="15"/>
      <c r="H11323" s="15"/>
      <c r="I11323" s="15" t="s">
        <v>21515</v>
      </c>
      <c r="J11323" s="16" t="s">
        <v>100</v>
      </c>
      <c r="K11323" s="15"/>
      <c r="L11323" s="17">
        <v>1</v>
      </c>
      <c r="M11323" s="17">
        <v>1</v>
      </c>
      <c r="N11323" s="17">
        <v>1</v>
      </c>
      <c r="O11323" s="18">
        <v>113494.15</v>
      </c>
      <c r="P11323" s="18">
        <v>93027.99</v>
      </c>
      <c r="Q11323" s="18">
        <v>82850.73</v>
      </c>
      <c r="R11323" s="18">
        <v>67910.429999999993</v>
      </c>
      <c r="S11323" s="18">
        <v>70366.37</v>
      </c>
      <c r="T11323" s="18">
        <v>57677.35</v>
      </c>
      <c r="U11323" s="16"/>
      <c r="V11323" s="16"/>
      <c r="W11323" s="16" t="s">
        <v>40</v>
      </c>
      <c r="X11323" s="19">
        <v>39.299999999999997</v>
      </c>
      <c r="Y11323" s="20">
        <v>0.33</v>
      </c>
      <c r="Z11323" s="21">
        <v>4601004283770</v>
      </c>
    </row>
    <row r="11324" spans="1:26" ht="12" customHeight="1" outlineLevel="3" x14ac:dyDescent="0.2">
      <c r="A11324" s="14" t="s">
        <v>21522</v>
      </c>
      <c r="B11324" s="26" t="s">
        <v>21523</v>
      </c>
      <c r="C11324" s="52"/>
      <c r="D11324" s="55">
        <f t="shared" si="176"/>
        <v>0</v>
      </c>
      <c r="E11324" s="63" t="str">
        <f>HYPERLINK("https://www.sds-group.ru/product/svetodiodnoe-derevo-sakura-vysota-2-4m-diametr-krony-2-0-krasnye-svetodiody-ip-65-ponizhayus-531-122/", "Инфо")</f>
        <v>Инфо</v>
      </c>
      <c r="F11324" s="16" t="s">
        <v>39</v>
      </c>
      <c r="G11324" s="15"/>
      <c r="H11324" s="15"/>
      <c r="I11324" s="15" t="s">
        <v>21515</v>
      </c>
      <c r="J11324" s="16" t="s">
        <v>100</v>
      </c>
      <c r="K11324" s="15"/>
      <c r="L11324" s="17">
        <v>1</v>
      </c>
      <c r="M11324" s="17">
        <v>1</v>
      </c>
      <c r="N11324" s="17">
        <v>1</v>
      </c>
      <c r="O11324" s="18">
        <v>113494.15</v>
      </c>
      <c r="P11324" s="18">
        <v>93027.99</v>
      </c>
      <c r="Q11324" s="18">
        <v>82850.73</v>
      </c>
      <c r="R11324" s="18">
        <v>67910.429999999993</v>
      </c>
      <c r="S11324" s="18">
        <v>70366.37</v>
      </c>
      <c r="T11324" s="18">
        <v>57677.35</v>
      </c>
      <c r="U11324" s="16"/>
      <c r="V11324" s="16"/>
      <c r="W11324" s="16" t="s">
        <v>40</v>
      </c>
      <c r="X11324" s="19">
        <v>32.299999999999997</v>
      </c>
      <c r="Y11324" s="20">
        <v>0.32135999999999998</v>
      </c>
      <c r="Z11324" s="21">
        <v>2000031060255</v>
      </c>
    </row>
    <row r="11325" spans="1:26" ht="12" customHeight="1" outlineLevel="3" x14ac:dyDescent="0.2">
      <c r="A11325" s="14" t="s">
        <v>21524</v>
      </c>
      <c r="B11325" s="26" t="s">
        <v>21525</v>
      </c>
      <c r="C11325" s="52"/>
      <c r="D11325" s="55">
        <f t="shared" si="176"/>
        <v>0</v>
      </c>
      <c r="E11325" s="63" t="str">
        <f>HYPERLINK("https://www.sds-group.ru/product/svetodiodnoe-derevo-sakura-vysota-2-4m-diametr-krony-2-0m-sinie-svetodiody-ip-65-ponizhayusc-531-123/", "Инфо")</f>
        <v>Инфо</v>
      </c>
      <c r="F11325" s="16" t="s">
        <v>39</v>
      </c>
      <c r="G11325" s="15"/>
      <c r="H11325" s="15"/>
      <c r="I11325" s="15"/>
      <c r="J11325" s="16" t="s">
        <v>100</v>
      </c>
      <c r="K11325" s="15" t="s">
        <v>11098</v>
      </c>
      <c r="L11325" s="17">
        <v>1</v>
      </c>
      <c r="M11325" s="17">
        <v>1</v>
      </c>
      <c r="N11325" s="17">
        <v>1</v>
      </c>
      <c r="O11325" s="18">
        <v>110644.74</v>
      </c>
      <c r="P11325" s="18">
        <v>90692.41</v>
      </c>
      <c r="Q11325" s="18">
        <v>80770.66</v>
      </c>
      <c r="R11325" s="18">
        <v>66205.460000000006</v>
      </c>
      <c r="S11325" s="18">
        <v>68599.740000000005</v>
      </c>
      <c r="T11325" s="18">
        <v>56229.3</v>
      </c>
      <c r="U11325" s="16"/>
      <c r="V11325" s="16"/>
      <c r="W11325" s="16" t="s">
        <v>40</v>
      </c>
      <c r="X11325" s="19">
        <v>38.274999999999999</v>
      </c>
      <c r="Y11325" s="20">
        <v>0.33875</v>
      </c>
      <c r="Z11325" s="21">
        <v>4601004297432</v>
      </c>
    </row>
    <row r="11326" spans="1:26" ht="12" customHeight="1" outlineLevel="3" x14ac:dyDescent="0.2">
      <c r="A11326" s="14" t="s">
        <v>21526</v>
      </c>
      <c r="B11326" s="26" t="s">
        <v>21527</v>
      </c>
      <c r="C11326" s="52"/>
      <c r="D11326" s="55">
        <f t="shared" si="176"/>
        <v>0</v>
      </c>
      <c r="E11326" s="63" t="str">
        <f>HYPERLINK("https://www.sds-group.ru/product/svetodiodnoe-derevo-sakura-vysota-2-4m-diametr-krony-2-0m-fioletovye-diody-ip-65-ponizhayusc-531-126/", "Инфо")</f>
        <v>Инфо</v>
      </c>
      <c r="F11326" s="16" t="s">
        <v>39</v>
      </c>
      <c r="G11326" s="15"/>
      <c r="H11326" s="15"/>
      <c r="I11326" s="15"/>
      <c r="J11326" s="16" t="s">
        <v>100</v>
      </c>
      <c r="K11326" s="15" t="s">
        <v>11098</v>
      </c>
      <c r="L11326" s="17">
        <v>1</v>
      </c>
      <c r="M11326" s="17">
        <v>1</v>
      </c>
      <c r="N11326" s="17">
        <v>1</v>
      </c>
      <c r="O11326" s="18">
        <v>110644.74</v>
      </c>
      <c r="P11326" s="18">
        <v>90692.41</v>
      </c>
      <c r="Q11326" s="18">
        <v>80770.66</v>
      </c>
      <c r="R11326" s="18">
        <v>66205.460000000006</v>
      </c>
      <c r="S11326" s="18">
        <v>68599.740000000005</v>
      </c>
      <c r="T11326" s="18">
        <v>56229.3</v>
      </c>
      <c r="U11326" s="16"/>
      <c r="V11326" s="16"/>
      <c r="W11326" s="16" t="s">
        <v>40</v>
      </c>
      <c r="X11326" s="19">
        <v>38.274000000000001</v>
      </c>
      <c r="Y11326" s="20">
        <v>0.338947</v>
      </c>
      <c r="Z11326" s="21">
        <v>4601004278615</v>
      </c>
    </row>
    <row r="11327" spans="1:26" ht="12" customHeight="1" outlineLevel="3" x14ac:dyDescent="0.2">
      <c r="A11327" s="14" t="s">
        <v>21528</v>
      </c>
      <c r="B11327" s="26" t="s">
        <v>21529</v>
      </c>
      <c r="C11327" s="52"/>
      <c r="D11327" s="55">
        <f t="shared" si="176"/>
        <v>0</v>
      </c>
      <c r="E11327" s="63" t="str">
        <f>HYPERLINK("https://www.sds-group.ru/product/svetodiodnoe-derevo-sakura-vysota-2-4m-diametr-krony-2-0m-rgb-svetodiody-kontroller-ip65-pon-531-129/", "Инфо")</f>
        <v>Инфо</v>
      </c>
      <c r="F11327" s="16" t="s">
        <v>39</v>
      </c>
      <c r="G11327" s="15"/>
      <c r="H11327" s="15"/>
      <c r="I11327" s="15" t="s">
        <v>21515</v>
      </c>
      <c r="J11327" s="16" t="s">
        <v>100</v>
      </c>
      <c r="K11327" s="15"/>
      <c r="L11327" s="17">
        <v>1</v>
      </c>
      <c r="M11327" s="17">
        <v>1</v>
      </c>
      <c r="N11327" s="17">
        <v>1</v>
      </c>
      <c r="O11327" s="18">
        <v>208086.34</v>
      </c>
      <c r="P11327" s="18">
        <v>170562.57</v>
      </c>
      <c r="Q11327" s="18">
        <v>151903.03</v>
      </c>
      <c r="R11327" s="18">
        <v>124510.68</v>
      </c>
      <c r="S11327" s="18">
        <v>129013.53</v>
      </c>
      <c r="T11327" s="18">
        <v>105748.8</v>
      </c>
      <c r="U11327" s="16"/>
      <c r="V11327" s="16"/>
      <c r="W11327" s="16" t="s">
        <v>40</v>
      </c>
      <c r="X11327" s="19">
        <v>45</v>
      </c>
      <c r="Y11327" s="20">
        <v>0.40200000000000002</v>
      </c>
      <c r="Z11327" s="21">
        <v>2000032768198</v>
      </c>
    </row>
    <row r="11328" spans="1:26" ht="12" customHeight="1" outlineLevel="3" x14ac:dyDescent="0.2">
      <c r="A11328" s="14" t="s">
        <v>21530</v>
      </c>
      <c r="B11328" s="26" t="s">
        <v>21531</v>
      </c>
      <c r="C11328" s="52"/>
      <c r="D11328" s="55">
        <f t="shared" si="176"/>
        <v>0</v>
      </c>
      <c r="E11328" s="63" t="str">
        <f>HYPERLINK("https://www.sds-group.ru/product/svetodiodnoe-derevo-sakura-1728led-vysota-3-6m-diametr-krony-3-0m-belye-svetodiody-ip-65-pon-531-215/", "Инфо")</f>
        <v>Инфо</v>
      </c>
      <c r="F11328" s="16" t="s">
        <v>39</v>
      </c>
      <c r="G11328" s="15"/>
      <c r="H11328" s="15"/>
      <c r="I11328" s="15" t="s">
        <v>21515</v>
      </c>
      <c r="J11328" s="16" t="s">
        <v>100</v>
      </c>
      <c r="K11328" s="15"/>
      <c r="L11328" s="17">
        <v>1</v>
      </c>
      <c r="M11328" s="17">
        <v>1</v>
      </c>
      <c r="N11328" s="17">
        <v>1</v>
      </c>
      <c r="O11328" s="18">
        <v>113494.15</v>
      </c>
      <c r="P11328" s="18">
        <v>93027.99</v>
      </c>
      <c r="Q11328" s="18">
        <v>82850.73</v>
      </c>
      <c r="R11328" s="18">
        <v>67910.429999999993</v>
      </c>
      <c r="S11328" s="18">
        <v>70366.37</v>
      </c>
      <c r="T11328" s="18">
        <v>57677.35</v>
      </c>
      <c r="U11328" s="16"/>
      <c r="V11328" s="16"/>
      <c r="W11328" s="16" t="s">
        <v>40</v>
      </c>
      <c r="X11328" s="19">
        <v>39</v>
      </c>
      <c r="Y11328" s="20">
        <v>0.40600000000000003</v>
      </c>
      <c r="Z11328" s="21">
        <v>2000031060620</v>
      </c>
    </row>
    <row r="11329" spans="1:26" ht="12" customHeight="1" outlineLevel="3" x14ac:dyDescent="0.2">
      <c r="A11329" s="14" t="s">
        <v>21532</v>
      </c>
      <c r="B11329" s="26" t="s">
        <v>21533</v>
      </c>
      <c r="C11329" s="52"/>
      <c r="D11329" s="55">
        <f t="shared" si="176"/>
        <v>0</v>
      </c>
      <c r="E11329" s="63" t="str">
        <f>HYPERLINK("https://www.sds-group.ru/product/svetodiodnoe-derevo-sakura-vysota-3-6m-diametr-krony-3-0-sinie-svetodiody-ip-65-ponizhayusch-531-213/", "Инфо")</f>
        <v>Инфо</v>
      </c>
      <c r="F11329" s="16" t="s">
        <v>39</v>
      </c>
      <c r="G11329" s="15"/>
      <c r="H11329" s="15"/>
      <c r="I11329" s="15" t="s">
        <v>21515</v>
      </c>
      <c r="J11329" s="16" t="s">
        <v>100</v>
      </c>
      <c r="K11329" s="15"/>
      <c r="L11329" s="17">
        <v>1</v>
      </c>
      <c r="M11329" s="17">
        <v>1</v>
      </c>
      <c r="N11329" s="17">
        <v>1</v>
      </c>
      <c r="O11329" s="18">
        <v>104381.83</v>
      </c>
      <c r="P11329" s="18">
        <v>85558.88</v>
      </c>
      <c r="Q11329" s="18">
        <v>76198.740000000005</v>
      </c>
      <c r="R11329" s="18">
        <v>62457.98</v>
      </c>
      <c r="S11329" s="18">
        <v>64716.73</v>
      </c>
      <c r="T11329" s="18">
        <v>53046.5</v>
      </c>
      <c r="U11329" s="16"/>
      <c r="V11329" s="16"/>
      <c r="W11329" s="16" t="s">
        <v>40</v>
      </c>
      <c r="X11329" s="19">
        <v>33.479999999999997</v>
      </c>
      <c r="Y11329" s="20">
        <v>0.36720000000000003</v>
      </c>
      <c r="Z11329" s="21">
        <v>2000031060613</v>
      </c>
    </row>
    <row r="11330" spans="1:26" ht="12" customHeight="1" outlineLevel="3" x14ac:dyDescent="0.2">
      <c r="A11330" s="14" t="s">
        <v>21534</v>
      </c>
      <c r="B11330" s="26" t="s">
        <v>21535</v>
      </c>
      <c r="C11330" s="52"/>
      <c r="D11330" s="55">
        <f t="shared" si="176"/>
        <v>0</v>
      </c>
      <c r="E11330" s="63" t="str">
        <f>HYPERLINK("https://www.sds-group.ru/product/svetodiodnoe-derevo-sakura-1728led-vysota-3-6m-diametr-krony-3-0m-fioletovye-svetodiody-ip-6-531-216/", "Инфо")</f>
        <v>Инфо</v>
      </c>
      <c r="F11330" s="16" t="s">
        <v>39</v>
      </c>
      <c r="G11330" s="15"/>
      <c r="H11330" s="15"/>
      <c r="I11330" s="15" t="s">
        <v>21515</v>
      </c>
      <c r="J11330" s="16" t="s">
        <v>100</v>
      </c>
      <c r="K11330" s="15"/>
      <c r="L11330" s="17">
        <v>1</v>
      </c>
      <c r="M11330" s="17">
        <v>1</v>
      </c>
      <c r="N11330" s="17">
        <v>1</v>
      </c>
      <c r="O11330" s="18">
        <v>113494.15</v>
      </c>
      <c r="P11330" s="18">
        <v>93027.99</v>
      </c>
      <c r="Q11330" s="18">
        <v>82850.73</v>
      </c>
      <c r="R11330" s="18">
        <v>67910.429999999993</v>
      </c>
      <c r="S11330" s="18">
        <v>70366.37</v>
      </c>
      <c r="T11330" s="18">
        <v>57677.35</v>
      </c>
      <c r="U11330" s="16"/>
      <c r="V11330" s="16"/>
      <c r="W11330" s="16" t="s">
        <v>40</v>
      </c>
      <c r="X11330" s="19">
        <v>32.299999999999997</v>
      </c>
      <c r="Y11330" s="20">
        <v>0.274057</v>
      </c>
      <c r="Z11330" s="21">
        <v>2000031060637</v>
      </c>
    </row>
    <row r="11331" spans="1:26" ht="12" customHeight="1" outlineLevel="3" x14ac:dyDescent="0.2">
      <c r="A11331" s="14" t="s">
        <v>21536</v>
      </c>
      <c r="B11331" s="26" t="s">
        <v>21537</v>
      </c>
      <c r="C11331" s="52"/>
      <c r="D11331" s="55">
        <f t="shared" si="176"/>
        <v>0</v>
      </c>
      <c r="E11331" s="63" t="str">
        <f>HYPERLINK("https://www.sds-group.ru/product/svetodiodnoe-derevo-sakura-6921led-vysota-3-6m-diametr-krony-3-0m-belye-svetodiody-ip-65-pon-531-235/", "Инфо")</f>
        <v>Инфо</v>
      </c>
      <c r="F11331" s="16" t="s">
        <v>39</v>
      </c>
      <c r="G11331" s="15"/>
      <c r="H11331" s="15"/>
      <c r="I11331" s="15" t="s">
        <v>21515</v>
      </c>
      <c r="J11331" s="16" t="s">
        <v>100</v>
      </c>
      <c r="K11331" s="15"/>
      <c r="L11331" s="17">
        <v>1</v>
      </c>
      <c r="M11331" s="17">
        <v>1</v>
      </c>
      <c r="N11331" s="17">
        <v>1</v>
      </c>
      <c r="O11331" s="18">
        <v>357714.5</v>
      </c>
      <c r="P11331" s="18">
        <v>293208.61</v>
      </c>
      <c r="Q11331" s="18">
        <v>261131.59</v>
      </c>
      <c r="R11331" s="18">
        <v>214042.29</v>
      </c>
      <c r="S11331" s="18">
        <v>221782.99</v>
      </c>
      <c r="T11331" s="18">
        <v>181789.34</v>
      </c>
      <c r="U11331" s="16"/>
      <c r="V11331" s="16"/>
      <c r="W11331" s="16" t="s">
        <v>40</v>
      </c>
      <c r="X11331" s="19">
        <v>36.5</v>
      </c>
      <c r="Y11331" s="20">
        <v>0.51666699999999999</v>
      </c>
      <c r="Z11331" s="21">
        <v>4601004278998</v>
      </c>
    </row>
    <row r="11332" spans="1:26" ht="12" customHeight="1" outlineLevel="3" x14ac:dyDescent="0.2">
      <c r="A11332" s="14" t="s">
        <v>21538</v>
      </c>
      <c r="B11332" s="26" t="s">
        <v>21539</v>
      </c>
      <c r="C11332" s="52"/>
      <c r="D11332" s="55">
        <f t="shared" si="176"/>
        <v>0</v>
      </c>
      <c r="E11332" s="63" t="str">
        <f>HYPERLINK("https://www.sds-group.ru/product/svetodiodnoe-derevo-sakura-vysota-3-6m-diametr-krony3-0m-krasnye-svetodiody-ip65-ponizhayusc-531-232/", "Инфо")</f>
        <v>Инфо</v>
      </c>
      <c r="F11332" s="16" t="s">
        <v>39</v>
      </c>
      <c r="G11332" s="15"/>
      <c r="H11332" s="15"/>
      <c r="I11332" s="15" t="s">
        <v>21515</v>
      </c>
      <c r="J11332" s="16" t="s">
        <v>100</v>
      </c>
      <c r="K11332" s="15"/>
      <c r="L11332" s="17">
        <v>1</v>
      </c>
      <c r="M11332" s="17">
        <v>1</v>
      </c>
      <c r="N11332" s="17">
        <v>1</v>
      </c>
      <c r="O11332" s="18">
        <v>317031.67</v>
      </c>
      <c r="P11332" s="18">
        <v>259862.02</v>
      </c>
      <c r="Q11332" s="18">
        <v>231433.12</v>
      </c>
      <c r="R11332" s="18">
        <v>189699.28</v>
      </c>
      <c r="S11332" s="18">
        <v>196559.64</v>
      </c>
      <c r="T11332" s="18">
        <v>161114.46</v>
      </c>
      <c r="U11332" s="16"/>
      <c r="V11332" s="16"/>
      <c r="W11332" s="16" t="s">
        <v>40</v>
      </c>
      <c r="X11332" s="19">
        <v>93.9</v>
      </c>
      <c r="Y11332" s="20">
        <v>0.64</v>
      </c>
      <c r="Z11332" s="21">
        <v>4601004297449</v>
      </c>
    </row>
    <row r="11333" spans="1:26" ht="12" customHeight="1" outlineLevel="3" x14ac:dyDescent="0.2">
      <c r="A11333" s="14" t="s">
        <v>21540</v>
      </c>
      <c r="B11333" s="26" t="s">
        <v>21541</v>
      </c>
      <c r="C11333" s="52"/>
      <c r="D11333" s="55">
        <f t="shared" si="176"/>
        <v>0</v>
      </c>
      <c r="E11333" s="63" t="str">
        <f>HYPERLINK("https://www.sds-group.ru/product/svetodiodnoe-derevo-sakura-vysota-3-6m-diametr-krony-3-0m-sinie-svetodiody-ip65-ponizhayusch-531-233/", "Инфо")</f>
        <v>Инфо</v>
      </c>
      <c r="F11333" s="16" t="s">
        <v>39</v>
      </c>
      <c r="G11333" s="15"/>
      <c r="H11333" s="15"/>
      <c r="I11333" s="24">
        <v>-150</v>
      </c>
      <c r="J11333" s="16" t="s">
        <v>100</v>
      </c>
      <c r="K11333" s="15"/>
      <c r="L11333" s="17">
        <v>1</v>
      </c>
      <c r="M11333" s="17">
        <v>1</v>
      </c>
      <c r="N11333" s="17">
        <v>1</v>
      </c>
      <c r="O11333" s="18">
        <v>299086.48</v>
      </c>
      <c r="P11333" s="18">
        <v>245152.85</v>
      </c>
      <c r="Q11333" s="18">
        <v>218333.13</v>
      </c>
      <c r="R11333" s="18">
        <v>178961.58</v>
      </c>
      <c r="S11333" s="18">
        <v>185433.62</v>
      </c>
      <c r="T11333" s="18">
        <v>151994.76999999999</v>
      </c>
      <c r="U11333" s="16"/>
      <c r="V11333" s="16"/>
      <c r="W11333" s="16" t="s">
        <v>40</v>
      </c>
      <c r="X11333" s="19">
        <v>150</v>
      </c>
      <c r="Y11333" s="20">
        <v>0.82499999999999996</v>
      </c>
      <c r="Z11333" s="21">
        <v>4601004298057</v>
      </c>
    </row>
    <row r="11334" spans="1:26" ht="12" customHeight="1" outlineLevel="3" x14ac:dyDescent="0.2">
      <c r="A11334" s="14" t="s">
        <v>21542</v>
      </c>
      <c r="B11334" s="26" t="s">
        <v>21543</v>
      </c>
      <c r="C11334" s="52"/>
      <c r="D11334" s="55">
        <f t="shared" si="176"/>
        <v>0</v>
      </c>
      <c r="E11334" s="63" t="str">
        <f>HYPERLINK("https://www.sds-group.ru/product/svetodiodnoe-derevo-sakura-6921led-vysota-3-6m-diametr-krony-3-0m-fioletovye-svetodiody-ip-6-531-236/", "Инфо")</f>
        <v>Инфо</v>
      </c>
      <c r="F11334" s="16" t="s">
        <v>39</v>
      </c>
      <c r="G11334" s="15"/>
      <c r="H11334" s="15"/>
      <c r="I11334" s="24">
        <v>-150</v>
      </c>
      <c r="J11334" s="16" t="s">
        <v>100</v>
      </c>
      <c r="K11334" s="15"/>
      <c r="L11334" s="17">
        <v>1</v>
      </c>
      <c r="M11334" s="17">
        <v>1</v>
      </c>
      <c r="N11334" s="17">
        <v>1</v>
      </c>
      <c r="O11334" s="18">
        <v>357714.5</v>
      </c>
      <c r="P11334" s="18">
        <v>293208.61</v>
      </c>
      <c r="Q11334" s="18">
        <v>261131.59</v>
      </c>
      <c r="R11334" s="18">
        <v>214042.29</v>
      </c>
      <c r="S11334" s="18">
        <v>221782.99</v>
      </c>
      <c r="T11334" s="18">
        <v>181789.34</v>
      </c>
      <c r="U11334" s="16"/>
      <c r="V11334" s="16"/>
      <c r="W11334" s="16" t="s">
        <v>40</v>
      </c>
      <c r="X11334" s="19">
        <v>140</v>
      </c>
      <c r="Y11334" s="20">
        <v>0.64200000000000002</v>
      </c>
      <c r="Z11334" s="21">
        <v>2000031060354</v>
      </c>
    </row>
    <row r="11335" spans="1:26" ht="12" customHeight="1" outlineLevel="3" x14ac:dyDescent="0.2">
      <c r="A11335" s="14" t="s">
        <v>21544</v>
      </c>
      <c r="B11335" s="26" t="s">
        <v>21545</v>
      </c>
      <c r="C11335" s="52"/>
      <c r="D11335" s="55">
        <f t="shared" si="176"/>
        <v>0</v>
      </c>
      <c r="E11335" s="63" t="str">
        <f>HYPERLINK("https://www.sds-group.ru/product/svetodiodnoe-derevo-sakura-vysota-3-6m-diametr-krony-3-0m-zelenye-svetodiody-ip-65-ponizhayu-531-234/", "Инфо")</f>
        <v>Инфо</v>
      </c>
      <c r="F11335" s="16" t="s">
        <v>39</v>
      </c>
      <c r="G11335" s="15"/>
      <c r="H11335" s="15"/>
      <c r="I11335" s="24">
        <v>-150</v>
      </c>
      <c r="J11335" s="16" t="s">
        <v>100</v>
      </c>
      <c r="K11335" s="15"/>
      <c r="L11335" s="17">
        <v>1</v>
      </c>
      <c r="M11335" s="17">
        <v>1</v>
      </c>
      <c r="N11335" s="17">
        <v>1</v>
      </c>
      <c r="O11335" s="18">
        <v>357714.5</v>
      </c>
      <c r="P11335" s="18">
        <v>293208.61</v>
      </c>
      <c r="Q11335" s="18">
        <v>261131.59</v>
      </c>
      <c r="R11335" s="18">
        <v>214042.29</v>
      </c>
      <c r="S11335" s="18">
        <v>221782.99</v>
      </c>
      <c r="T11335" s="18">
        <v>181789.34</v>
      </c>
      <c r="U11335" s="16"/>
      <c r="V11335" s="16"/>
      <c r="W11335" s="16" t="s">
        <v>40</v>
      </c>
      <c r="X11335" s="19">
        <v>150</v>
      </c>
      <c r="Y11335" s="20">
        <v>0.82499999999999996</v>
      </c>
      <c r="Z11335" s="21">
        <v>4601004298064</v>
      </c>
    </row>
    <row r="11336" spans="1:26" ht="12.95" customHeight="1" outlineLevel="2" x14ac:dyDescent="0.2">
      <c r="A11336" s="76" t="s">
        <v>21546</v>
      </c>
      <c r="B11336" s="76"/>
      <c r="C11336" s="77"/>
      <c r="D11336" s="58"/>
      <c r="E11336" s="68"/>
      <c r="F11336" s="13"/>
      <c r="G11336" s="13"/>
      <c r="H11336" s="13"/>
      <c r="I11336" s="13"/>
      <c r="J11336" s="13"/>
      <c r="K11336" s="13"/>
      <c r="L11336" s="13"/>
      <c r="M11336" s="13"/>
      <c r="N11336" s="13"/>
      <c r="O11336" s="13"/>
      <c r="P11336" s="13"/>
      <c r="Q11336" s="13"/>
      <c r="R11336" s="13"/>
      <c r="S11336" s="13"/>
      <c r="T11336" s="13"/>
      <c r="U11336" s="13"/>
      <c r="V11336" s="13"/>
      <c r="W11336" s="13"/>
      <c r="X11336" s="13"/>
      <c r="Y11336" s="13"/>
      <c r="Z11336" s="13"/>
    </row>
    <row r="11337" spans="1:26" ht="12.95" customHeight="1" outlineLevel="3" x14ac:dyDescent="0.2">
      <c r="A11337" s="76" t="s">
        <v>21547</v>
      </c>
      <c r="B11337" s="76"/>
      <c r="C11337" s="77"/>
      <c r="D11337" s="58"/>
      <c r="E11337" s="68"/>
      <c r="F11337" s="13"/>
      <c r="G11337" s="13"/>
      <c r="H11337" s="13"/>
      <c r="I11337" s="13"/>
      <c r="J11337" s="13"/>
      <c r="K11337" s="13"/>
      <c r="L11337" s="13"/>
      <c r="M11337" s="13"/>
      <c r="N11337" s="13"/>
      <c r="O11337" s="13"/>
      <c r="P11337" s="13"/>
      <c r="Q11337" s="13"/>
      <c r="R11337" s="13"/>
      <c r="S11337" s="13"/>
      <c r="T11337" s="13"/>
      <c r="U11337" s="13"/>
      <c r="V11337" s="13"/>
      <c r="W11337" s="13"/>
      <c r="X11337" s="13"/>
      <c r="Y11337" s="13"/>
      <c r="Z11337" s="13"/>
    </row>
    <row r="11338" spans="1:26" ht="12" customHeight="1" outlineLevel="4" x14ac:dyDescent="0.2">
      <c r="A11338" s="14" t="s">
        <v>21548</v>
      </c>
      <c r="B11338" s="26" t="s">
        <v>21549</v>
      </c>
      <c r="C11338" s="52"/>
      <c r="D11338" s="55">
        <f t="shared" ref="D11338:D11399" si="177">C11338*(O11338-O11338*$G$3)</f>
        <v>0</v>
      </c>
      <c r="E11338" s="63" t="str">
        <f>HYPERLINK("https://www.sds-group.ru/product/akrilovaya-svetodiodnaya-figura-snegovik-v-sinih-varezhkah-31h25h59-sm-ip65-ponizhayuschiy-t-513-283/", "Инфо")</f>
        <v>Инфо</v>
      </c>
      <c r="F11338" s="16" t="s">
        <v>39</v>
      </c>
      <c r="G11338" s="15"/>
      <c r="H11338" s="15"/>
      <c r="I11338" s="15"/>
      <c r="J11338" s="16" t="s">
        <v>100</v>
      </c>
      <c r="K11338" s="15" t="s">
        <v>6174</v>
      </c>
      <c r="L11338" s="17">
        <v>1</v>
      </c>
      <c r="M11338" s="17">
        <v>2</v>
      </c>
      <c r="N11338" s="17">
        <v>1</v>
      </c>
      <c r="O11338" s="18">
        <v>11735.22</v>
      </c>
      <c r="P11338" s="18">
        <v>9619.0300000000007</v>
      </c>
      <c r="Q11338" s="18">
        <v>8214.65</v>
      </c>
      <c r="R11338" s="18">
        <v>6733.32</v>
      </c>
      <c r="S11338" s="18">
        <v>7979.95</v>
      </c>
      <c r="T11338" s="18">
        <v>6540.94</v>
      </c>
      <c r="U11338" s="16"/>
      <c r="V11338" s="16"/>
      <c r="W11338" s="16"/>
      <c r="X11338" s="19">
        <v>2.891</v>
      </c>
      <c r="Y11338" s="20">
        <v>6.0617999999999998E-2</v>
      </c>
      <c r="Z11338" s="21">
        <v>4601004180260</v>
      </c>
    </row>
    <row r="11339" spans="1:26" ht="12.95" customHeight="1" outlineLevel="3" x14ac:dyDescent="0.2">
      <c r="A11339" s="76" t="s">
        <v>21550</v>
      </c>
      <c r="B11339" s="76"/>
      <c r="C11339" s="77"/>
      <c r="D11339" s="58"/>
      <c r="E11339" s="68"/>
      <c r="F11339" s="13"/>
      <c r="G11339" s="13"/>
      <c r="H11339" s="13"/>
      <c r="I11339" s="13"/>
      <c r="J11339" s="13"/>
      <c r="K11339" s="13"/>
      <c r="L11339" s="13"/>
      <c r="M11339" s="13"/>
      <c r="N11339" s="13"/>
      <c r="O11339" s="13"/>
      <c r="P11339" s="13"/>
      <c r="Q11339" s="13"/>
      <c r="R11339" s="13"/>
      <c r="S11339" s="13"/>
      <c r="T11339" s="13"/>
      <c r="U11339" s="13"/>
      <c r="V11339" s="13"/>
      <c r="W11339" s="13"/>
      <c r="X11339" s="13"/>
      <c r="Y11339" s="13"/>
      <c r="Z11339" s="13"/>
    </row>
    <row r="11340" spans="1:26" ht="12" customHeight="1" outlineLevel="4" x14ac:dyDescent="0.2">
      <c r="A11340" s="14" t="s">
        <v>21551</v>
      </c>
      <c r="B11340" s="26" t="s">
        <v>21552</v>
      </c>
      <c r="C11340" s="52"/>
      <c r="D11340" s="55">
        <f t="shared" si="177"/>
        <v>0</v>
      </c>
      <c r="E11340" s="63" t="str">
        <f>HYPERLINK("https://www.sds-group.ru/product/3d-figura-naduvnaya-ded-moroz-privetstvuet-razmer-180-sm-vnutrennyaya-podsvetka-5-led-kompre-511-114/", "Инфо")</f>
        <v>Инфо</v>
      </c>
      <c r="F11340" s="16" t="s">
        <v>39</v>
      </c>
      <c r="G11340" s="15"/>
      <c r="H11340" s="15"/>
      <c r="I11340" s="15"/>
      <c r="J11340" s="16" t="s">
        <v>100</v>
      </c>
      <c r="K11340" s="15" t="s">
        <v>8890</v>
      </c>
      <c r="L11340" s="17">
        <v>1</v>
      </c>
      <c r="M11340" s="17">
        <v>6</v>
      </c>
      <c r="N11340" s="17">
        <v>1</v>
      </c>
      <c r="O11340" s="18">
        <v>8604</v>
      </c>
      <c r="P11340" s="18">
        <v>7052.46</v>
      </c>
      <c r="Q11340" s="18">
        <v>6280.92</v>
      </c>
      <c r="R11340" s="18">
        <v>5148.3</v>
      </c>
      <c r="S11340" s="18">
        <v>5850.72</v>
      </c>
      <c r="T11340" s="18">
        <v>4795.67</v>
      </c>
      <c r="U11340" s="16"/>
      <c r="V11340" s="16"/>
      <c r="W11340" s="16" t="s">
        <v>40</v>
      </c>
      <c r="X11340" s="19">
        <v>1.34</v>
      </c>
      <c r="Y11340" s="20">
        <v>7.1590000000000004E-3</v>
      </c>
      <c r="Z11340" s="21">
        <v>4601004060005</v>
      </c>
    </row>
    <row r="11341" spans="1:26" ht="12" customHeight="1" outlineLevel="4" x14ac:dyDescent="0.2">
      <c r="A11341" s="14" t="s">
        <v>21553</v>
      </c>
      <c r="B11341" s="26" t="s">
        <v>21554</v>
      </c>
      <c r="C11341" s="52"/>
      <c r="D11341" s="55">
        <f t="shared" si="177"/>
        <v>0</v>
      </c>
      <c r="E11341" s="63" t="str">
        <f>HYPERLINK("https://www.sds-group.ru/product/3d-figura-naduvnaya-snegovik-s-metloy-razmer-180-sm-vnutrennyaya-podsvetka-4-led-kompressor--511-122/", "Инфо")</f>
        <v>Инфо</v>
      </c>
      <c r="F11341" s="16" t="s">
        <v>39</v>
      </c>
      <c r="G11341" s="15"/>
      <c r="H11341" s="15"/>
      <c r="I11341" s="15"/>
      <c r="J11341" s="16" t="s">
        <v>100</v>
      </c>
      <c r="K11341" s="15" t="s">
        <v>8890</v>
      </c>
      <c r="L11341" s="17">
        <v>1</v>
      </c>
      <c r="M11341" s="17">
        <v>6</v>
      </c>
      <c r="N11341" s="17">
        <v>1</v>
      </c>
      <c r="O11341" s="18">
        <v>10896.84</v>
      </c>
      <c r="P11341" s="18">
        <v>8931.84</v>
      </c>
      <c r="Q11341" s="18">
        <v>7954.69</v>
      </c>
      <c r="R11341" s="18">
        <v>6520.24</v>
      </c>
      <c r="S11341" s="18">
        <v>7409.85</v>
      </c>
      <c r="T11341" s="18">
        <v>6073.65</v>
      </c>
      <c r="U11341" s="16"/>
      <c r="V11341" s="16"/>
      <c r="W11341" s="16" t="s">
        <v>40</v>
      </c>
      <c r="X11341" s="19">
        <v>1.6819999999999999</v>
      </c>
      <c r="Y11341" s="20">
        <v>8.6650000000000008E-3</v>
      </c>
      <c r="Z11341" s="21">
        <v>4601004003972</v>
      </c>
    </row>
    <row r="11342" spans="1:26" ht="12" customHeight="1" outlineLevel="4" x14ac:dyDescent="0.2">
      <c r="A11342" s="14" t="s">
        <v>21555</v>
      </c>
      <c r="B11342" s="26" t="s">
        <v>21556</v>
      </c>
      <c r="C11342" s="52"/>
      <c r="D11342" s="55">
        <f t="shared" si="177"/>
        <v>0</v>
      </c>
      <c r="E11342" s="63" t="str">
        <f>HYPERLINK("https://www.sds-group.ru/product/3d-figura-naduvnaya-snegurochka-razmer-300sm-vnutrennyaya-podsvetka-9led-kompressor-s-adapte-511-056/", "Инфо")</f>
        <v>Инфо</v>
      </c>
      <c r="F11342" s="16" t="s">
        <v>39</v>
      </c>
      <c r="G11342" s="15"/>
      <c r="H11342" s="15"/>
      <c r="I11342" s="15"/>
      <c r="J11342" s="17">
        <v>75</v>
      </c>
      <c r="K11342" s="15"/>
      <c r="L11342" s="17">
        <v>1</v>
      </c>
      <c r="M11342" s="17">
        <v>1</v>
      </c>
      <c r="N11342" s="17">
        <v>1</v>
      </c>
      <c r="O11342" s="18">
        <v>14750.98</v>
      </c>
      <c r="P11342" s="18">
        <v>12090.97</v>
      </c>
      <c r="Q11342" s="18">
        <v>10768.22</v>
      </c>
      <c r="R11342" s="18">
        <v>8826.41</v>
      </c>
      <c r="S11342" s="18">
        <v>10030.67</v>
      </c>
      <c r="T11342" s="18">
        <v>8221.86</v>
      </c>
      <c r="U11342" s="16"/>
      <c r="V11342" s="16"/>
      <c r="W11342" s="16" t="s">
        <v>40</v>
      </c>
      <c r="X11342" s="19">
        <v>2.5470000000000002</v>
      </c>
      <c r="Y11342" s="20">
        <v>1.0926E-2</v>
      </c>
      <c r="Z11342" s="21">
        <v>4601004284333</v>
      </c>
    </row>
    <row r="11343" spans="1:26" ht="12.95" customHeight="1" outlineLevel="3" x14ac:dyDescent="0.2">
      <c r="A11343" s="76" t="s">
        <v>21557</v>
      </c>
      <c r="B11343" s="76"/>
      <c r="C11343" s="77"/>
      <c r="D11343" s="58"/>
      <c r="E11343" s="68"/>
      <c r="F11343" s="13"/>
      <c r="G11343" s="13"/>
      <c r="H11343" s="13"/>
      <c r="I11343" s="13"/>
      <c r="J11343" s="13"/>
      <c r="K11343" s="13"/>
      <c r="L11343" s="13"/>
      <c r="M11343" s="13"/>
      <c r="N11343" s="13"/>
      <c r="O11343" s="13"/>
      <c r="P11343" s="13"/>
      <c r="Q11343" s="13"/>
      <c r="R11343" s="13"/>
      <c r="S11343" s="13"/>
      <c r="T11343" s="13"/>
      <c r="U11343" s="13"/>
      <c r="V11343" s="13"/>
      <c r="W11343" s="13"/>
      <c r="X11343" s="13"/>
      <c r="Y11343" s="13"/>
      <c r="Z11343" s="13"/>
    </row>
    <row r="11344" spans="1:26" ht="12" customHeight="1" outlineLevel="4" x14ac:dyDescent="0.2">
      <c r="A11344" s="14" t="s">
        <v>21558</v>
      </c>
      <c r="B11344" s="26" t="s">
        <v>21559</v>
      </c>
      <c r="C11344" s="52"/>
      <c r="D11344" s="55">
        <f t="shared" si="177"/>
        <v>0</v>
      </c>
      <c r="E11344" s="63" t="str">
        <f>HYPERLINK("https://www.sds-group.ru/product/svetodiodnaya-figura-beguschiy-olen-88sm-tsvet-svecheniya-teplyy-belyy-pitanie-ot-transforma-501-375/", "Инфо")</f>
        <v>Инфо</v>
      </c>
      <c r="F11344" s="16" t="s">
        <v>39</v>
      </c>
      <c r="G11344" s="15"/>
      <c r="H11344" s="15"/>
      <c r="I11344" s="15"/>
      <c r="J11344" s="16" t="s">
        <v>100</v>
      </c>
      <c r="K11344" s="15" t="s">
        <v>8890</v>
      </c>
      <c r="L11344" s="17">
        <v>1</v>
      </c>
      <c r="M11344" s="17">
        <v>2</v>
      </c>
      <c r="N11344" s="17">
        <v>1</v>
      </c>
      <c r="O11344" s="18">
        <v>11292.53</v>
      </c>
      <c r="P11344" s="18">
        <v>9256.17</v>
      </c>
      <c r="Q11344" s="18">
        <v>8469.4</v>
      </c>
      <c r="R11344" s="18">
        <v>6942.13</v>
      </c>
      <c r="S11344" s="18">
        <v>7678.92</v>
      </c>
      <c r="T11344" s="18">
        <v>6294.2</v>
      </c>
      <c r="U11344" s="16"/>
      <c r="V11344" s="16"/>
      <c r="W11344" s="16" t="s">
        <v>40</v>
      </c>
      <c r="X11344" s="19">
        <v>2.8490000000000002</v>
      </c>
      <c r="Y11344" s="20">
        <v>8.1816E-2</v>
      </c>
      <c r="Z11344" s="21">
        <v>4601004336377</v>
      </c>
    </row>
    <row r="11345" spans="1:26" ht="12" customHeight="1" outlineLevel="4" x14ac:dyDescent="0.2">
      <c r="A11345" s="14" t="s">
        <v>21560</v>
      </c>
      <c r="B11345" s="26" t="s">
        <v>21561</v>
      </c>
      <c r="C11345" s="52"/>
      <c r="D11345" s="55">
        <f t="shared" si="177"/>
        <v>0</v>
      </c>
      <c r="E11345" s="63" t="str">
        <f>HYPERLINK("https://www.sds-group.ru/product/svetodiodnaya-figura-olenenok-107sm-tsvet-svecheniya-teplyy-belyy-pitanie-ot-transformatora--501-371/", "Инфо")</f>
        <v>Инфо</v>
      </c>
      <c r="F11345" s="16" t="s">
        <v>39</v>
      </c>
      <c r="G11345" s="15"/>
      <c r="H11345" s="15"/>
      <c r="I11345" s="15"/>
      <c r="J11345" s="16" t="s">
        <v>100</v>
      </c>
      <c r="K11345" s="15" t="s">
        <v>8890</v>
      </c>
      <c r="L11345" s="17">
        <v>1</v>
      </c>
      <c r="M11345" s="17">
        <v>1</v>
      </c>
      <c r="N11345" s="17">
        <v>1</v>
      </c>
      <c r="O11345" s="18">
        <v>14119.2</v>
      </c>
      <c r="P11345" s="18">
        <v>11573.11</v>
      </c>
      <c r="Q11345" s="18">
        <v>10589.4</v>
      </c>
      <c r="R11345" s="18">
        <v>8679.84</v>
      </c>
      <c r="S11345" s="18">
        <v>9601.06</v>
      </c>
      <c r="T11345" s="18">
        <v>7869.72</v>
      </c>
      <c r="U11345" s="16"/>
      <c r="V11345" s="16"/>
      <c r="W11345" s="16" t="s">
        <v>40</v>
      </c>
      <c r="X11345" s="19">
        <v>2.109</v>
      </c>
      <c r="Y11345" s="20">
        <v>3.7595000000000003E-2</v>
      </c>
      <c r="Z11345" s="21">
        <v>4601004336391</v>
      </c>
    </row>
    <row r="11346" spans="1:26" ht="12" customHeight="1" outlineLevel="4" x14ac:dyDescent="0.2">
      <c r="A11346" s="14" t="s">
        <v>21562</v>
      </c>
      <c r="B11346" s="26" t="s">
        <v>21563</v>
      </c>
      <c r="C11346" s="52"/>
      <c r="D11346" s="55">
        <f t="shared" si="177"/>
        <v>0</v>
      </c>
      <c r="E11346" s="63" t="str">
        <f>HYPERLINK("https://www.sds-group.ru/product/svetodiodnaya-figura-oleniha-155sm-tsvet-svecheniya-teplyy-belyy-pitanie-ot-transformatora-i-501-372/", "Инфо")</f>
        <v>Инфо</v>
      </c>
      <c r="F11346" s="16" t="s">
        <v>39</v>
      </c>
      <c r="G11346" s="15"/>
      <c r="H11346" s="15"/>
      <c r="I11346" s="15"/>
      <c r="J11346" s="17">
        <v>16</v>
      </c>
      <c r="K11346" s="15" t="s">
        <v>8890</v>
      </c>
      <c r="L11346" s="17">
        <v>1</v>
      </c>
      <c r="M11346" s="17">
        <v>1</v>
      </c>
      <c r="N11346" s="17">
        <v>1</v>
      </c>
      <c r="O11346" s="18">
        <v>22599.200000000001</v>
      </c>
      <c r="P11346" s="18">
        <v>18523.93</v>
      </c>
      <c r="Q11346" s="18">
        <v>16949.400000000001</v>
      </c>
      <c r="R11346" s="18">
        <v>13892.95</v>
      </c>
      <c r="S11346" s="18">
        <v>15367.46</v>
      </c>
      <c r="T11346" s="18">
        <v>12596.28</v>
      </c>
      <c r="U11346" s="16"/>
      <c r="V11346" s="16"/>
      <c r="W11346" s="16" t="s">
        <v>40</v>
      </c>
      <c r="X11346" s="19">
        <v>4.5819999999999999</v>
      </c>
      <c r="Y11346" s="20">
        <v>0.119197</v>
      </c>
      <c r="Z11346" s="21">
        <v>4601004336346</v>
      </c>
    </row>
    <row r="11347" spans="1:26" ht="12" customHeight="1" outlineLevel="4" x14ac:dyDescent="0.2">
      <c r="A11347" s="14" t="s">
        <v>21564</v>
      </c>
      <c r="B11347" s="26" t="s">
        <v>21565</v>
      </c>
      <c r="C11347" s="52"/>
      <c r="D11347" s="55">
        <f t="shared" si="177"/>
        <v>0</v>
      </c>
      <c r="E11347" s="63" t="str">
        <f>HYPERLINK("https://www.sds-group.ru/product/svetodiodnaya-figura-olen-180sm-tsvet-svecheniya-teplyy-belyy-pitanie-ot-transformatora-ip44-501-373/", "Инфо")</f>
        <v>Инфо</v>
      </c>
      <c r="F11347" s="16" t="s">
        <v>39</v>
      </c>
      <c r="G11347" s="15"/>
      <c r="H11347" s="15"/>
      <c r="I11347" s="15"/>
      <c r="J11347" s="17">
        <v>14</v>
      </c>
      <c r="K11347" s="15" t="s">
        <v>8890</v>
      </c>
      <c r="L11347" s="17">
        <v>1</v>
      </c>
      <c r="M11347" s="17">
        <v>1</v>
      </c>
      <c r="N11347" s="17">
        <v>1</v>
      </c>
      <c r="O11347" s="18">
        <v>28252.53</v>
      </c>
      <c r="P11347" s="18">
        <v>23157.81</v>
      </c>
      <c r="Q11347" s="18">
        <v>21189.4</v>
      </c>
      <c r="R11347" s="18">
        <v>17368.36</v>
      </c>
      <c r="S11347" s="18">
        <v>19211.72</v>
      </c>
      <c r="T11347" s="18">
        <v>15747.31</v>
      </c>
      <c r="U11347" s="16"/>
      <c r="V11347" s="16"/>
      <c r="W11347" s="16" t="s">
        <v>40</v>
      </c>
      <c r="X11347" s="19">
        <v>5.1580000000000004</v>
      </c>
      <c r="Y11347" s="20">
        <v>0.122418</v>
      </c>
      <c r="Z11347" s="21">
        <v>4601004336384</v>
      </c>
    </row>
    <row r="11348" spans="1:26" ht="12.95" customHeight="1" outlineLevel="1" x14ac:dyDescent="0.2">
      <c r="A11348" s="78" t="s">
        <v>21566</v>
      </c>
      <c r="B11348" s="78"/>
      <c r="C11348" s="79"/>
      <c r="D11348" s="57"/>
      <c r="E11348" s="67"/>
      <c r="F11348" s="12"/>
      <c r="G11348" s="12"/>
      <c r="H11348" s="12"/>
      <c r="I11348" s="12"/>
      <c r="J11348" s="12"/>
      <c r="K11348" s="12"/>
      <c r="L11348" s="12"/>
      <c r="M11348" s="12"/>
      <c r="N11348" s="12"/>
      <c r="O11348" s="12"/>
      <c r="P11348" s="12"/>
      <c r="Q11348" s="12"/>
      <c r="R11348" s="12"/>
      <c r="S11348" s="12"/>
      <c r="T11348" s="12"/>
      <c r="U11348" s="12"/>
      <c r="V11348" s="12"/>
      <c r="W11348" s="12"/>
      <c r="X11348" s="12"/>
      <c r="Y11348" s="12"/>
      <c r="Z11348" s="12"/>
    </row>
    <row r="11349" spans="1:26" ht="12.95" customHeight="1" outlineLevel="2" x14ac:dyDescent="0.2">
      <c r="A11349" s="76" t="s">
        <v>21567</v>
      </c>
      <c r="B11349" s="76"/>
      <c r="C11349" s="77"/>
      <c r="D11349" s="58"/>
      <c r="E11349" s="68"/>
      <c r="F11349" s="13"/>
      <c r="G11349" s="13"/>
      <c r="H11349" s="13"/>
      <c r="I11349" s="13"/>
      <c r="J11349" s="13"/>
      <c r="K11349" s="13"/>
      <c r="L11349" s="13"/>
      <c r="M11349" s="13"/>
      <c r="N11349" s="13"/>
      <c r="O11349" s="13"/>
      <c r="P11349" s="13"/>
      <c r="Q11349" s="13"/>
      <c r="R11349" s="13"/>
      <c r="S11349" s="13"/>
      <c r="T11349" s="13"/>
      <c r="U11349" s="13"/>
      <c r="V11349" s="13"/>
      <c r="W11349" s="13"/>
      <c r="X11349" s="13"/>
      <c r="Y11349" s="13"/>
      <c r="Z11349" s="13"/>
    </row>
    <row r="11350" spans="1:26" ht="12.95" customHeight="1" outlineLevel="3" x14ac:dyDescent="0.2">
      <c r="A11350" s="76" t="s">
        <v>21568</v>
      </c>
      <c r="B11350" s="76"/>
      <c r="C11350" s="77"/>
      <c r="D11350" s="58"/>
      <c r="E11350" s="68"/>
      <c r="F11350" s="13"/>
      <c r="G11350" s="13"/>
      <c r="H11350" s="13"/>
      <c r="I11350" s="13"/>
      <c r="J11350" s="13"/>
      <c r="K11350" s="13"/>
      <c r="L11350" s="13"/>
      <c r="M11350" s="13"/>
      <c r="N11350" s="13"/>
      <c r="O11350" s="13"/>
      <c r="P11350" s="13"/>
      <c r="Q11350" s="13"/>
      <c r="R11350" s="13"/>
      <c r="S11350" s="13"/>
      <c r="T11350" s="13"/>
      <c r="U11350" s="13"/>
      <c r="V11350" s="13"/>
      <c r="W11350" s="13"/>
      <c r="X11350" s="13"/>
      <c r="Y11350" s="13"/>
      <c r="Z11350" s="13"/>
    </row>
    <row r="11351" spans="1:26" ht="12" customHeight="1" outlineLevel="4" x14ac:dyDescent="0.2">
      <c r="A11351" s="14" t="s">
        <v>21569</v>
      </c>
      <c r="B11351" s="26" t="s">
        <v>21570</v>
      </c>
      <c r="C11351" s="52"/>
      <c r="D11351" s="55">
        <f t="shared" si="177"/>
        <v>0</v>
      </c>
      <c r="E11351" s="63" t="str">
        <f>HYPERLINK("https://www.sds-group.ru/product/dyuralayt-led-dvuhzhilnyy-230v-10mm-24-led-m-belyy-postoyannoe-svechenie-modul-1m-buhta-10-121-125-3/", "Инфо")</f>
        <v>Инфо</v>
      </c>
      <c r="F11351" s="16" t="s">
        <v>1767</v>
      </c>
      <c r="G11351" s="15"/>
      <c r="H11351" s="15"/>
      <c r="I11351" s="15"/>
      <c r="J11351" s="16" t="s">
        <v>100</v>
      </c>
      <c r="K11351" s="15"/>
      <c r="L11351" s="17">
        <v>100</v>
      </c>
      <c r="M11351" s="17">
        <v>100</v>
      </c>
      <c r="N11351" s="17">
        <v>100</v>
      </c>
      <c r="O11351" s="18">
        <v>311.27999999999997</v>
      </c>
      <c r="P11351" s="18">
        <v>255.15</v>
      </c>
      <c r="Q11351" s="18">
        <v>311.27999999999997</v>
      </c>
      <c r="R11351" s="18">
        <v>255.15</v>
      </c>
      <c r="S11351" s="18">
        <v>186.77</v>
      </c>
      <c r="T11351" s="18">
        <v>153.09</v>
      </c>
      <c r="U11351" s="16"/>
      <c r="V11351" s="16"/>
      <c r="W11351" s="16" t="s">
        <v>40</v>
      </c>
      <c r="X11351" s="19">
        <v>8.6999999999999994E-2</v>
      </c>
      <c r="Y11351" s="20">
        <v>2.41E-4</v>
      </c>
      <c r="Z11351" s="21">
        <v>4601004089358</v>
      </c>
    </row>
    <row r="11352" spans="1:26" ht="12" customHeight="1" outlineLevel="4" x14ac:dyDescent="0.2">
      <c r="A11352" s="14" t="s">
        <v>21571</v>
      </c>
      <c r="B11352" s="26" t="s">
        <v>21572</v>
      </c>
      <c r="C11352" s="52"/>
      <c r="D11352" s="55">
        <f t="shared" si="177"/>
        <v>0</v>
      </c>
      <c r="E11352" s="63" t="str">
        <f>HYPERLINK("https://www.sds-group.ru/product/dyuralayt-led-dvuhzhilnyy-230v-10mm-24-led-m-siniy-postoyannoe-svechenie-modul-2m-buhta-10-121-123-3/", "Инфо")</f>
        <v>Инфо</v>
      </c>
      <c r="F11352" s="16" t="s">
        <v>1767</v>
      </c>
      <c r="G11352" s="15"/>
      <c r="H11352" s="15"/>
      <c r="I11352" s="15"/>
      <c r="J11352" s="16" t="s">
        <v>100</v>
      </c>
      <c r="K11352" s="15"/>
      <c r="L11352" s="17">
        <v>100</v>
      </c>
      <c r="M11352" s="17">
        <v>100</v>
      </c>
      <c r="N11352" s="17">
        <v>100</v>
      </c>
      <c r="O11352" s="18">
        <v>311.27999999999997</v>
      </c>
      <c r="P11352" s="18">
        <v>255.15</v>
      </c>
      <c r="Q11352" s="18">
        <v>311.27999999999997</v>
      </c>
      <c r="R11352" s="18">
        <v>255.15</v>
      </c>
      <c r="S11352" s="18">
        <v>186.77</v>
      </c>
      <c r="T11352" s="18">
        <v>153.09</v>
      </c>
      <c r="U11352" s="16"/>
      <c r="V11352" s="16"/>
      <c r="W11352" s="16" t="s">
        <v>40</v>
      </c>
      <c r="X11352" s="19">
        <v>9.5000000000000001E-2</v>
      </c>
      <c r="Y11352" s="20">
        <v>1.8799999999999999E-4</v>
      </c>
      <c r="Z11352" s="21">
        <v>4601004089389</v>
      </c>
    </row>
    <row r="11353" spans="1:26" ht="12" customHeight="1" outlineLevel="4" x14ac:dyDescent="0.2">
      <c r="A11353" s="14" t="s">
        <v>21573</v>
      </c>
      <c r="B11353" s="26" t="s">
        <v>21574</v>
      </c>
      <c r="C11353" s="52"/>
      <c r="D11353" s="55">
        <f t="shared" si="177"/>
        <v>0</v>
      </c>
      <c r="E11353" s="63" t="str">
        <f>HYPERLINK("https://www.sds-group.ru/product/dyuralayt-led-dvuhzhilnyy-230v-10mm-24-led-m-teplyy-belyy-postoyannoe-svechenie-modul-2m-b-121-126-3/", "Инфо")</f>
        <v>Инфо</v>
      </c>
      <c r="F11353" s="16" t="s">
        <v>1767</v>
      </c>
      <c r="G11353" s="15"/>
      <c r="H11353" s="15"/>
      <c r="I11353" s="15"/>
      <c r="J11353" s="16" t="s">
        <v>100</v>
      </c>
      <c r="K11353" s="15"/>
      <c r="L11353" s="17">
        <v>100</v>
      </c>
      <c r="M11353" s="17">
        <v>100</v>
      </c>
      <c r="N11353" s="17">
        <v>100</v>
      </c>
      <c r="O11353" s="18">
        <v>311.27999999999997</v>
      </c>
      <c r="P11353" s="18">
        <v>255.15</v>
      </c>
      <c r="Q11353" s="18">
        <v>311.27999999999997</v>
      </c>
      <c r="R11353" s="18">
        <v>255.15</v>
      </c>
      <c r="S11353" s="18">
        <v>186.77</v>
      </c>
      <c r="T11353" s="18">
        <v>153.09</v>
      </c>
      <c r="U11353" s="16"/>
      <c r="V11353" s="16"/>
      <c r="W11353" s="16" t="s">
        <v>40</v>
      </c>
      <c r="X11353" s="19">
        <v>9.4E-2</v>
      </c>
      <c r="Y11353" s="20">
        <v>1.8599999999999999E-4</v>
      </c>
      <c r="Z11353" s="21">
        <v>4601004089365</v>
      </c>
    </row>
    <row r="11354" spans="1:26" ht="12" customHeight="1" outlineLevel="4" x14ac:dyDescent="0.2">
      <c r="A11354" s="14" t="s">
        <v>21575</v>
      </c>
      <c r="B11354" s="26" t="s">
        <v>21576</v>
      </c>
      <c r="C11354" s="52"/>
      <c r="D11354" s="55">
        <f t="shared" si="177"/>
        <v>0</v>
      </c>
      <c r="E11354" s="63" t="str">
        <f>HYPERLINK("https://www.sds-group.ru/product/dyuralayt-led-dvuhzhilnyy-230v-13mm-24-led-m-belyy-postoyannoe-svechenie-modul-1m-buhta-10-121-125-4/", "Инфо")</f>
        <v>Инфо</v>
      </c>
      <c r="F11354" s="16" t="s">
        <v>1767</v>
      </c>
      <c r="G11354" s="15"/>
      <c r="H11354" s="15"/>
      <c r="I11354" s="15"/>
      <c r="J11354" s="16" t="s">
        <v>100</v>
      </c>
      <c r="K11354" s="15"/>
      <c r="L11354" s="17">
        <v>100</v>
      </c>
      <c r="M11354" s="17">
        <v>100</v>
      </c>
      <c r="N11354" s="17">
        <v>100</v>
      </c>
      <c r="O11354" s="18">
        <v>345.86</v>
      </c>
      <c r="P11354" s="18">
        <v>283.49</v>
      </c>
      <c r="Q11354" s="18">
        <v>345.86</v>
      </c>
      <c r="R11354" s="18">
        <v>283.49</v>
      </c>
      <c r="S11354" s="18">
        <v>207.52</v>
      </c>
      <c r="T11354" s="18">
        <v>170.1</v>
      </c>
      <c r="U11354" s="16"/>
      <c r="V11354" s="16"/>
      <c r="W11354" s="16" t="s">
        <v>40</v>
      </c>
      <c r="X11354" s="19">
        <v>0.14099999999999999</v>
      </c>
      <c r="Y11354" s="20">
        <v>2.9100000000000003E-4</v>
      </c>
      <c r="Z11354" s="21">
        <v>4601004060579</v>
      </c>
    </row>
    <row r="11355" spans="1:26" ht="12" customHeight="1" outlineLevel="4" x14ac:dyDescent="0.2">
      <c r="A11355" s="14" t="s">
        <v>21577</v>
      </c>
      <c r="B11355" s="26" t="s">
        <v>21578</v>
      </c>
      <c r="C11355" s="52"/>
      <c r="D11355" s="55">
        <f t="shared" si="177"/>
        <v>0</v>
      </c>
      <c r="E11355" s="63" t="str">
        <f>HYPERLINK("https://www.sds-group.ru/product/dyuralayt-led-dvuhzhilnyy-230v-13mm-24-led-m-zelenyy-postoyannoe-svechenie-modul-2m-buhta--121-124-4/", "Инфо")</f>
        <v>Инфо</v>
      </c>
      <c r="F11355" s="16" t="s">
        <v>1767</v>
      </c>
      <c r="G11355" s="15"/>
      <c r="H11355" s="15"/>
      <c r="I11355" s="15"/>
      <c r="J11355" s="16" t="s">
        <v>100</v>
      </c>
      <c r="K11355" s="15"/>
      <c r="L11355" s="17">
        <v>100</v>
      </c>
      <c r="M11355" s="17">
        <v>100</v>
      </c>
      <c r="N11355" s="17">
        <v>100</v>
      </c>
      <c r="O11355" s="18">
        <v>345.86</v>
      </c>
      <c r="P11355" s="18">
        <v>283.49</v>
      </c>
      <c r="Q11355" s="18">
        <v>345.86</v>
      </c>
      <c r="R11355" s="18">
        <v>283.49</v>
      </c>
      <c r="S11355" s="18">
        <v>207.52</v>
      </c>
      <c r="T11355" s="18">
        <v>170.1</v>
      </c>
      <c r="U11355" s="16"/>
      <c r="V11355" s="16"/>
      <c r="W11355" s="16" t="s">
        <v>40</v>
      </c>
      <c r="X11355" s="19">
        <v>0.14799999999999999</v>
      </c>
      <c r="Y11355" s="20">
        <v>2.72E-4</v>
      </c>
      <c r="Z11355" s="21">
        <v>4601004083912</v>
      </c>
    </row>
    <row r="11356" spans="1:26" ht="12" customHeight="1" outlineLevel="4" x14ac:dyDescent="0.2">
      <c r="A11356" s="14" t="s">
        <v>21579</v>
      </c>
      <c r="B11356" s="26" t="s">
        <v>21580</v>
      </c>
      <c r="C11356" s="52"/>
      <c r="D11356" s="55">
        <f t="shared" si="177"/>
        <v>0</v>
      </c>
      <c r="E11356" s="63" t="str">
        <f>HYPERLINK("https://www.sds-group.ru/product/dyuralayt-led-dvuhzhilnyy-230v-13mm-24-led-m-siniy-postoyannoe-svechenie-modul-2m-buhta-10-121-123-4/", "Инфо")</f>
        <v>Инфо</v>
      </c>
      <c r="F11356" s="16" t="s">
        <v>1767</v>
      </c>
      <c r="G11356" s="15"/>
      <c r="H11356" s="15"/>
      <c r="I11356" s="15"/>
      <c r="J11356" s="16" t="s">
        <v>100</v>
      </c>
      <c r="K11356" s="15"/>
      <c r="L11356" s="17">
        <v>100</v>
      </c>
      <c r="M11356" s="17">
        <v>100</v>
      </c>
      <c r="N11356" s="17">
        <v>100</v>
      </c>
      <c r="O11356" s="18">
        <v>345.86</v>
      </c>
      <c r="P11356" s="18">
        <v>283.49</v>
      </c>
      <c r="Q11356" s="18">
        <v>345.86</v>
      </c>
      <c r="R11356" s="18">
        <v>283.49</v>
      </c>
      <c r="S11356" s="18">
        <v>207.52</v>
      </c>
      <c r="T11356" s="18">
        <v>170.1</v>
      </c>
      <c r="U11356" s="16"/>
      <c r="V11356" s="16"/>
      <c r="W11356" s="16" t="s">
        <v>40</v>
      </c>
      <c r="X11356" s="19">
        <v>0.14799999999999999</v>
      </c>
      <c r="Y11356" s="20">
        <v>2.8600000000000001E-4</v>
      </c>
      <c r="Z11356" s="21">
        <v>4601004060586</v>
      </c>
    </row>
    <row r="11357" spans="1:26" ht="12" customHeight="1" outlineLevel="4" x14ac:dyDescent="0.2">
      <c r="A11357" s="14" t="s">
        <v>21581</v>
      </c>
      <c r="B11357" s="26" t="s">
        <v>21582</v>
      </c>
      <c r="C11357" s="52"/>
      <c r="D11357" s="55">
        <f t="shared" si="177"/>
        <v>0</v>
      </c>
      <c r="E11357" s="63" t="str">
        <f>HYPERLINK("https://www.sds-group.ru/product/dyuralayt-led-dvuhzhilnyy-230v-13mm-24-led-m-teplyy-belyy-postoyannoe-svechenie-modul-1m-b-121-126-4/", "Инфо")</f>
        <v>Инфо</v>
      </c>
      <c r="F11357" s="16" t="s">
        <v>1767</v>
      </c>
      <c r="G11357" s="15"/>
      <c r="H11357" s="15"/>
      <c r="I11357" s="15"/>
      <c r="J11357" s="16" t="s">
        <v>100</v>
      </c>
      <c r="K11357" s="15"/>
      <c r="L11357" s="17">
        <v>100</v>
      </c>
      <c r="M11357" s="17">
        <v>100</v>
      </c>
      <c r="N11357" s="17">
        <v>100</v>
      </c>
      <c r="O11357" s="18">
        <v>345.86</v>
      </c>
      <c r="P11357" s="18">
        <v>283.49</v>
      </c>
      <c r="Q11357" s="18">
        <v>345.86</v>
      </c>
      <c r="R11357" s="18">
        <v>283.49</v>
      </c>
      <c r="S11357" s="18">
        <v>207.52</v>
      </c>
      <c r="T11357" s="18">
        <v>170.1</v>
      </c>
      <c r="U11357" s="16"/>
      <c r="V11357" s="16"/>
      <c r="W11357" s="16" t="s">
        <v>40</v>
      </c>
      <c r="X11357" s="19">
        <v>0.14000000000000001</v>
      </c>
      <c r="Y11357" s="20">
        <v>2.99E-4</v>
      </c>
      <c r="Z11357" s="21">
        <v>4601004060562</v>
      </c>
    </row>
    <row r="11358" spans="1:26" ht="12" customHeight="1" outlineLevel="4" x14ac:dyDescent="0.2">
      <c r="A11358" s="32" t="s">
        <v>21583</v>
      </c>
      <c r="B11358" s="74" t="s">
        <v>21584</v>
      </c>
      <c r="C11358" s="50"/>
      <c r="D11358" s="53">
        <f t="shared" si="177"/>
        <v>0</v>
      </c>
      <c r="E11358" s="60" t="str">
        <f>HYPERLINK("https://www.sds-group.ru/product/dyuralayt-led-dvuhzhilnyy-230v-13mm-30-led-m-krasnyy-postoyannoe-svechenie-modul-1m-buhta--121-122-6/", "Инфо")</f>
        <v>Инфо</v>
      </c>
      <c r="F11358" s="34" t="s">
        <v>1767</v>
      </c>
      <c r="G11358" s="33"/>
      <c r="H11358" s="33" t="s">
        <v>40</v>
      </c>
      <c r="I11358" s="33"/>
      <c r="J11358" s="34" t="s">
        <v>100</v>
      </c>
      <c r="K11358" s="33"/>
      <c r="L11358" s="35">
        <v>100</v>
      </c>
      <c r="M11358" s="35">
        <v>100</v>
      </c>
      <c r="N11358" s="35">
        <v>100</v>
      </c>
      <c r="O11358" s="36">
        <v>332.81</v>
      </c>
      <c r="P11358" s="36">
        <v>272.8</v>
      </c>
      <c r="Q11358" s="36">
        <v>232.97</v>
      </c>
      <c r="R11358" s="36">
        <v>190.96</v>
      </c>
      <c r="S11358" s="36">
        <v>199.69</v>
      </c>
      <c r="T11358" s="36">
        <v>163.68</v>
      </c>
      <c r="U11358" s="34"/>
      <c r="V11358" s="34"/>
      <c r="W11358" s="34"/>
      <c r="X11358" s="37">
        <v>0.14899999999999999</v>
      </c>
      <c r="Y11358" s="38">
        <v>2.81E-4</v>
      </c>
      <c r="Z11358" s="21">
        <v>4601004082335</v>
      </c>
    </row>
    <row r="11359" spans="1:26" ht="12" customHeight="1" outlineLevel="4" x14ac:dyDescent="0.2">
      <c r="A11359" s="14" t="s">
        <v>21585</v>
      </c>
      <c r="B11359" s="26" t="s">
        <v>21586</v>
      </c>
      <c r="C11359" s="52"/>
      <c r="D11359" s="55">
        <f t="shared" si="177"/>
        <v>0</v>
      </c>
      <c r="E11359" s="63" t="str">
        <f>HYPERLINK("https://www.sds-group.ru/product/dyuralayt-led-dvuhzhilnyy-230v-13mm-36-led-m-belyy-postoyannoe-svechenie-modul-1m-buhta-100m-121-125/", "Инфо")</f>
        <v>Инфо</v>
      </c>
      <c r="F11359" s="16" t="s">
        <v>1767</v>
      </c>
      <c r="G11359" s="15"/>
      <c r="H11359" s="15"/>
      <c r="I11359" s="15"/>
      <c r="J11359" s="16" t="s">
        <v>100</v>
      </c>
      <c r="K11359" s="15" t="s">
        <v>16163</v>
      </c>
      <c r="L11359" s="17">
        <v>100</v>
      </c>
      <c r="M11359" s="17">
        <v>100</v>
      </c>
      <c r="N11359" s="17">
        <v>100</v>
      </c>
      <c r="O11359" s="18">
        <v>497.14</v>
      </c>
      <c r="P11359" s="18">
        <v>407.49</v>
      </c>
      <c r="Q11359" s="18">
        <v>497.14</v>
      </c>
      <c r="R11359" s="18">
        <v>407.49</v>
      </c>
      <c r="S11359" s="18">
        <v>298.27999999999997</v>
      </c>
      <c r="T11359" s="18">
        <v>244.49</v>
      </c>
      <c r="U11359" s="16"/>
      <c r="V11359" s="16"/>
      <c r="W11359" s="16" t="s">
        <v>40</v>
      </c>
      <c r="X11359" s="19">
        <v>0.16700000000000001</v>
      </c>
      <c r="Y11359" s="20">
        <v>2.9700000000000001E-4</v>
      </c>
      <c r="Z11359" s="21">
        <v>4601004003576</v>
      </c>
    </row>
    <row r="11360" spans="1:26" ht="12" customHeight="1" outlineLevel="4" x14ac:dyDescent="0.2">
      <c r="A11360" s="14" t="s">
        <v>21587</v>
      </c>
      <c r="B11360" s="26" t="s">
        <v>21588</v>
      </c>
      <c r="C11360" s="52"/>
      <c r="D11360" s="55">
        <f t="shared" si="177"/>
        <v>0</v>
      </c>
      <c r="E11360" s="63" t="str">
        <f>HYPERLINK("https://www.sds-group.ru/product/dyuralayt-led-dvuhzhilnyy-230v-13mm-36-led-m-zheltyy-postoyannoe-svechenie-modul-1m-buhta-10-121-121/", "Инфо")</f>
        <v>Инфо</v>
      </c>
      <c r="F11360" s="16" t="s">
        <v>1767</v>
      </c>
      <c r="G11360" s="15"/>
      <c r="H11360" s="15"/>
      <c r="I11360" s="15"/>
      <c r="J11360" s="16" t="s">
        <v>100</v>
      </c>
      <c r="K11360" s="15" t="s">
        <v>6744</v>
      </c>
      <c r="L11360" s="17">
        <v>100</v>
      </c>
      <c r="M11360" s="17">
        <v>100</v>
      </c>
      <c r="N11360" s="17">
        <v>100</v>
      </c>
      <c r="O11360" s="18">
        <v>497.14</v>
      </c>
      <c r="P11360" s="18">
        <v>407.49</v>
      </c>
      <c r="Q11360" s="18">
        <v>497.14</v>
      </c>
      <c r="R11360" s="18">
        <v>407.49</v>
      </c>
      <c r="S11360" s="18">
        <v>298.27999999999997</v>
      </c>
      <c r="T11360" s="18">
        <v>244.49</v>
      </c>
      <c r="U11360" s="16"/>
      <c r="V11360" s="16"/>
      <c r="W11360" s="16" t="s">
        <v>40</v>
      </c>
      <c r="X11360" s="19">
        <v>0.16</v>
      </c>
      <c r="Y11360" s="20">
        <v>3.01E-4</v>
      </c>
      <c r="Z11360" s="21">
        <v>4601004003569</v>
      </c>
    </row>
    <row r="11361" spans="1:26" ht="12" customHeight="1" outlineLevel="4" x14ac:dyDescent="0.2">
      <c r="A11361" s="14" t="s">
        <v>21589</v>
      </c>
      <c r="B11361" s="26" t="s">
        <v>21590</v>
      </c>
      <c r="C11361" s="52"/>
      <c r="D11361" s="55">
        <f t="shared" si="177"/>
        <v>0</v>
      </c>
      <c r="E11361" s="63" t="str">
        <f>HYPERLINK("https://www.sds-group.ru/product/dyuralayt-led-dvuhzhilnyy-230v-13mm-36-led-m-zelenyy-postoyannoe-svechenie-modul-1m-buhta-10-121-124/", "Инфо")</f>
        <v>Инфо</v>
      </c>
      <c r="F11361" s="16" t="s">
        <v>1767</v>
      </c>
      <c r="G11361" s="15"/>
      <c r="H11361" s="15"/>
      <c r="I11361" s="15"/>
      <c r="J11361" s="16" t="s">
        <v>100</v>
      </c>
      <c r="K11361" s="15" t="s">
        <v>6744</v>
      </c>
      <c r="L11361" s="17">
        <v>100</v>
      </c>
      <c r="M11361" s="17">
        <v>100</v>
      </c>
      <c r="N11361" s="17">
        <v>100</v>
      </c>
      <c r="O11361" s="18">
        <v>497.14</v>
      </c>
      <c r="P11361" s="18">
        <v>407.49</v>
      </c>
      <c r="Q11361" s="18">
        <v>497.14</v>
      </c>
      <c r="R11361" s="18">
        <v>407.49</v>
      </c>
      <c r="S11361" s="18">
        <v>298.27999999999997</v>
      </c>
      <c r="T11361" s="18">
        <v>244.49</v>
      </c>
      <c r="U11361" s="16"/>
      <c r="V11361" s="16"/>
      <c r="W11361" s="16" t="s">
        <v>40</v>
      </c>
      <c r="X11361" s="19">
        <v>0.16600000000000001</v>
      </c>
      <c r="Y11361" s="20">
        <v>2.9700000000000001E-4</v>
      </c>
      <c r="Z11361" s="21">
        <v>4601004282605</v>
      </c>
    </row>
    <row r="11362" spans="1:26" ht="12" customHeight="1" outlineLevel="4" x14ac:dyDescent="0.2">
      <c r="A11362" s="14" t="s">
        <v>21591</v>
      </c>
      <c r="B11362" s="26" t="s">
        <v>21592</v>
      </c>
      <c r="C11362" s="52"/>
      <c r="D11362" s="55">
        <f t="shared" si="177"/>
        <v>0</v>
      </c>
      <c r="E11362" s="63" t="str">
        <f>HYPERLINK("https://www.sds-group.ru/product/dyuralayt-led-dvuhzhilnyy-230v-13mm-36-led-m-krasnyy-postoyannoe-svechenie-modul-1m-buhta-10-121-122/", "Инфо")</f>
        <v>Инфо</v>
      </c>
      <c r="F11362" s="16" t="s">
        <v>1767</v>
      </c>
      <c r="G11362" s="15"/>
      <c r="H11362" s="15"/>
      <c r="I11362" s="15"/>
      <c r="J11362" s="16" t="s">
        <v>100</v>
      </c>
      <c r="K11362" s="15" t="s">
        <v>6434</v>
      </c>
      <c r="L11362" s="17">
        <v>100</v>
      </c>
      <c r="M11362" s="17">
        <v>100</v>
      </c>
      <c r="N11362" s="17">
        <v>100</v>
      </c>
      <c r="O11362" s="18">
        <v>497.14</v>
      </c>
      <c r="P11362" s="18">
        <v>407.49</v>
      </c>
      <c r="Q11362" s="18">
        <v>497.14</v>
      </c>
      <c r="R11362" s="18">
        <v>407.49</v>
      </c>
      <c r="S11362" s="18">
        <v>298.27999999999997</v>
      </c>
      <c r="T11362" s="18">
        <v>244.49</v>
      </c>
      <c r="U11362" s="16"/>
      <c r="V11362" s="16"/>
      <c r="W11362" s="16" t="s">
        <v>40</v>
      </c>
      <c r="X11362" s="19">
        <v>0.16700000000000001</v>
      </c>
      <c r="Y11362" s="20">
        <v>2.9599999999999998E-4</v>
      </c>
      <c r="Z11362" s="21">
        <v>4601004003514</v>
      </c>
    </row>
    <row r="11363" spans="1:26" ht="12" customHeight="1" outlineLevel="4" x14ac:dyDescent="0.2">
      <c r="A11363" s="14" t="s">
        <v>21593</v>
      </c>
      <c r="B11363" s="26" t="s">
        <v>21594</v>
      </c>
      <c r="C11363" s="52"/>
      <c r="D11363" s="55">
        <f t="shared" si="177"/>
        <v>0</v>
      </c>
      <c r="E11363" s="63" t="str">
        <f>HYPERLINK("https://www.sds-group.ru/product/dyuralayt-led-dvuhzhilnyy-230v-13mm-36-led-m-siniy-postoyannoe-svechenie-modul-1m-buhta-100m-121-123/", "Инфо")</f>
        <v>Инфо</v>
      </c>
      <c r="F11363" s="16" t="s">
        <v>1767</v>
      </c>
      <c r="G11363" s="15"/>
      <c r="H11363" s="15"/>
      <c r="I11363" s="15"/>
      <c r="J11363" s="16" t="s">
        <v>100</v>
      </c>
      <c r="K11363" s="15" t="s">
        <v>6744</v>
      </c>
      <c r="L11363" s="17">
        <v>100</v>
      </c>
      <c r="M11363" s="17">
        <v>100</v>
      </c>
      <c r="N11363" s="17">
        <v>100</v>
      </c>
      <c r="O11363" s="18">
        <v>497.14</v>
      </c>
      <c r="P11363" s="18">
        <v>407.49</v>
      </c>
      <c r="Q11363" s="18">
        <v>497.14</v>
      </c>
      <c r="R11363" s="18">
        <v>407.49</v>
      </c>
      <c r="S11363" s="18">
        <v>298.27999999999997</v>
      </c>
      <c r="T11363" s="18">
        <v>244.49</v>
      </c>
      <c r="U11363" s="16"/>
      <c r="V11363" s="16"/>
      <c r="W11363" s="16" t="s">
        <v>40</v>
      </c>
      <c r="X11363" s="19">
        <v>0.16700000000000001</v>
      </c>
      <c r="Y11363" s="20">
        <v>3.01E-4</v>
      </c>
      <c r="Z11363" s="21">
        <v>4601004003538</v>
      </c>
    </row>
    <row r="11364" spans="1:26" ht="12" customHeight="1" outlineLevel="4" x14ac:dyDescent="0.2">
      <c r="A11364" s="14" t="s">
        <v>21595</v>
      </c>
      <c r="B11364" s="26" t="s">
        <v>21596</v>
      </c>
      <c r="C11364" s="52"/>
      <c r="D11364" s="55">
        <f t="shared" si="177"/>
        <v>0</v>
      </c>
      <c r="E11364" s="63" t="str">
        <f>HYPERLINK("https://www.sds-group.ru/product/dyuralayt-led-dvuhzhilnyy-230v-13mm-36-led-m-teplyy-belyy-postoyannoe-svechenie-modul-1m-buh-121-126/", "Инфо")</f>
        <v>Инфо</v>
      </c>
      <c r="F11364" s="16" t="s">
        <v>1767</v>
      </c>
      <c r="G11364" s="15"/>
      <c r="H11364" s="15"/>
      <c r="I11364" s="15"/>
      <c r="J11364" s="17">
        <v>300</v>
      </c>
      <c r="K11364" s="15" t="s">
        <v>16163</v>
      </c>
      <c r="L11364" s="17">
        <v>100</v>
      </c>
      <c r="M11364" s="17">
        <v>100</v>
      </c>
      <c r="N11364" s="17">
        <v>100</v>
      </c>
      <c r="O11364" s="18">
        <v>497.14</v>
      </c>
      <c r="P11364" s="18">
        <v>407.49</v>
      </c>
      <c r="Q11364" s="18">
        <v>497.14</v>
      </c>
      <c r="R11364" s="18">
        <v>407.49</v>
      </c>
      <c r="S11364" s="18">
        <v>298.27999999999997</v>
      </c>
      <c r="T11364" s="18">
        <v>244.49</v>
      </c>
      <c r="U11364" s="16"/>
      <c r="V11364" s="16"/>
      <c r="W11364" s="16" t="s">
        <v>40</v>
      </c>
      <c r="X11364" s="19">
        <v>0.16500000000000001</v>
      </c>
      <c r="Y11364" s="20">
        <v>2.9599999999999998E-4</v>
      </c>
      <c r="Z11364" s="21">
        <v>4601004082311</v>
      </c>
    </row>
    <row r="11365" spans="1:26" ht="12" customHeight="1" outlineLevel="4" x14ac:dyDescent="0.2">
      <c r="A11365" s="14" t="s">
        <v>21597</v>
      </c>
      <c r="B11365" s="26" t="s">
        <v>21598</v>
      </c>
      <c r="C11365" s="52"/>
      <c r="D11365" s="55">
        <f t="shared" si="177"/>
        <v>0</v>
      </c>
      <c r="E11365" s="63" t="str">
        <f>HYPERLINK("https://www.sds-group.ru/product/dyuralayt-led-dvuhzhilnyy-24v-13mm-36-led-m-belyy-postoyannoe-svechenie-modul-0-5m-buhta-100-121-155/", "Инфо")</f>
        <v>Инфо</v>
      </c>
      <c r="F11365" s="16" t="s">
        <v>1767</v>
      </c>
      <c r="G11365" s="15"/>
      <c r="H11365" s="15"/>
      <c r="I11365" s="15"/>
      <c r="J11365" s="22">
        <v>2400</v>
      </c>
      <c r="K11365" s="15" t="s">
        <v>16163</v>
      </c>
      <c r="L11365" s="17">
        <v>100</v>
      </c>
      <c r="M11365" s="17">
        <v>100</v>
      </c>
      <c r="N11365" s="17">
        <v>100</v>
      </c>
      <c r="O11365" s="18">
        <v>573.20000000000005</v>
      </c>
      <c r="P11365" s="18">
        <v>469.84</v>
      </c>
      <c r="Q11365" s="18">
        <v>573.20000000000005</v>
      </c>
      <c r="R11365" s="18">
        <v>469.84</v>
      </c>
      <c r="S11365" s="18">
        <v>343.92</v>
      </c>
      <c r="T11365" s="18">
        <v>281.89999999999998</v>
      </c>
      <c r="U11365" s="16"/>
      <c r="V11365" s="16"/>
      <c r="W11365" s="16" t="s">
        <v>40</v>
      </c>
      <c r="X11365" s="19">
        <v>0.16300000000000001</v>
      </c>
      <c r="Y11365" s="20">
        <v>2.99E-4</v>
      </c>
      <c r="Z11365" s="21">
        <v>4601004236691</v>
      </c>
    </row>
    <row r="11366" spans="1:26" ht="12" customHeight="1" outlineLevel="4" x14ac:dyDescent="0.2">
      <c r="A11366" s="14" t="s">
        <v>21599</v>
      </c>
      <c r="B11366" s="26" t="s">
        <v>21600</v>
      </c>
      <c r="C11366" s="52"/>
      <c r="D11366" s="55">
        <f t="shared" si="177"/>
        <v>0</v>
      </c>
      <c r="E11366" s="63" t="str">
        <f>HYPERLINK("https://www.sds-group.ru/product/dyuralayt-led-dvuhzhilnyy-24v-13mm-36-led-m-teplyy-belyy-postoyannoe-svechenie-modul-0-5m-bu-121-166/", "Инфо")</f>
        <v>Инфо</v>
      </c>
      <c r="F11366" s="16" t="s">
        <v>1767</v>
      </c>
      <c r="G11366" s="15"/>
      <c r="H11366" s="15"/>
      <c r="I11366" s="15"/>
      <c r="J11366" s="16" t="s">
        <v>100</v>
      </c>
      <c r="K11366" s="15" t="s">
        <v>16163</v>
      </c>
      <c r="L11366" s="17">
        <v>100</v>
      </c>
      <c r="M11366" s="17">
        <v>100</v>
      </c>
      <c r="N11366" s="17">
        <v>100</v>
      </c>
      <c r="O11366" s="18">
        <v>573.20000000000005</v>
      </c>
      <c r="P11366" s="18">
        <v>469.84</v>
      </c>
      <c r="Q11366" s="18">
        <v>573.20000000000005</v>
      </c>
      <c r="R11366" s="18">
        <v>469.84</v>
      </c>
      <c r="S11366" s="18">
        <v>343.92</v>
      </c>
      <c r="T11366" s="18">
        <v>281.89999999999998</v>
      </c>
      <c r="U11366" s="16"/>
      <c r="V11366" s="16"/>
      <c r="W11366" s="16" t="s">
        <v>40</v>
      </c>
      <c r="X11366" s="19">
        <v>0.159</v>
      </c>
      <c r="Y11366" s="20">
        <v>2.9599999999999998E-4</v>
      </c>
      <c r="Z11366" s="21">
        <v>4601004330412</v>
      </c>
    </row>
    <row r="11367" spans="1:26" ht="12.95" customHeight="1" outlineLevel="3" x14ac:dyDescent="0.2">
      <c r="A11367" s="76" t="s">
        <v>21601</v>
      </c>
      <c r="B11367" s="76"/>
      <c r="C11367" s="77"/>
      <c r="D11367" s="58"/>
      <c r="E11367" s="68"/>
      <c r="F11367" s="13"/>
      <c r="G11367" s="13"/>
      <c r="H11367" s="13"/>
      <c r="I11367" s="13"/>
      <c r="J11367" s="13"/>
      <c r="K11367" s="13"/>
      <c r="L11367" s="13"/>
      <c r="M11367" s="13"/>
      <c r="N11367" s="13"/>
      <c r="O11367" s="13"/>
      <c r="P11367" s="13"/>
      <c r="Q11367" s="13"/>
      <c r="R11367" s="13"/>
      <c r="S11367" s="13"/>
      <c r="T11367" s="13"/>
      <c r="U11367" s="13"/>
      <c r="V11367" s="13"/>
      <c r="W11367" s="13"/>
      <c r="X11367" s="13"/>
      <c r="Y11367" s="13"/>
      <c r="Z11367" s="13"/>
    </row>
    <row r="11368" spans="1:26" ht="12" customHeight="1" outlineLevel="4" x14ac:dyDescent="0.2">
      <c r="A11368" s="14" t="s">
        <v>21602</v>
      </c>
      <c r="B11368" s="26" t="s">
        <v>21603</v>
      </c>
      <c r="C11368" s="52"/>
      <c r="D11368" s="55">
        <f t="shared" si="177"/>
        <v>0</v>
      </c>
      <c r="E11368" s="63" t="str">
        <f>HYPERLINK("https://www.sds-group.ru/product/dyuralayt-led-trehzhilnyy-230v-13mm-24-led-m-belyy-svechenie-s-dinamikoy-modul-2m-buhta-10-121-325-4/", "Инфо")</f>
        <v>Инфо</v>
      </c>
      <c r="F11368" s="16" t="s">
        <v>1767</v>
      </c>
      <c r="G11368" s="15"/>
      <c r="H11368" s="15"/>
      <c r="I11368" s="15"/>
      <c r="J11368" s="16" t="s">
        <v>100</v>
      </c>
      <c r="K11368" s="15"/>
      <c r="L11368" s="17">
        <v>100</v>
      </c>
      <c r="M11368" s="17">
        <v>100</v>
      </c>
      <c r="N11368" s="17">
        <v>100</v>
      </c>
      <c r="O11368" s="18">
        <v>438.1</v>
      </c>
      <c r="P11368" s="18">
        <v>359.1</v>
      </c>
      <c r="Q11368" s="18">
        <v>438.1</v>
      </c>
      <c r="R11368" s="18">
        <v>359.1</v>
      </c>
      <c r="S11368" s="18">
        <v>262.86</v>
      </c>
      <c r="T11368" s="18">
        <v>215.46</v>
      </c>
      <c r="U11368" s="16"/>
      <c r="V11368" s="16"/>
      <c r="W11368" s="16" t="s">
        <v>40</v>
      </c>
      <c r="X11368" s="19">
        <v>0.156</v>
      </c>
      <c r="Y11368" s="20">
        <v>2.8499999999999999E-4</v>
      </c>
      <c r="Z11368" s="21">
        <v>4601004083981</v>
      </c>
    </row>
    <row r="11369" spans="1:26" ht="12" customHeight="1" outlineLevel="4" x14ac:dyDescent="0.2">
      <c r="A11369" s="14" t="s">
        <v>21604</v>
      </c>
      <c r="B11369" s="26" t="s">
        <v>21605</v>
      </c>
      <c r="C11369" s="52"/>
      <c r="D11369" s="55">
        <f t="shared" si="177"/>
        <v>0</v>
      </c>
      <c r="E11369" s="63" t="str">
        <f>HYPERLINK("https://www.sds-group.ru/product/dyuralayt-led-trehzhilnyy-230v-13mm-24-led-m-multi-rygb-svechenie-s-dinamikoy-modul-4m-buh-121-329-4/", "Инфо")</f>
        <v>Инфо</v>
      </c>
      <c r="F11369" s="16" t="s">
        <v>1767</v>
      </c>
      <c r="G11369" s="15"/>
      <c r="H11369" s="15"/>
      <c r="I11369" s="15"/>
      <c r="J11369" s="16" t="s">
        <v>100</v>
      </c>
      <c r="K11369" s="15"/>
      <c r="L11369" s="17">
        <v>100</v>
      </c>
      <c r="M11369" s="17">
        <v>100</v>
      </c>
      <c r="N11369" s="17">
        <v>100</v>
      </c>
      <c r="O11369" s="18">
        <v>438.1</v>
      </c>
      <c r="P11369" s="18">
        <v>359.1</v>
      </c>
      <c r="Q11369" s="18">
        <v>438.1</v>
      </c>
      <c r="R11369" s="18">
        <v>359.1</v>
      </c>
      <c r="S11369" s="18">
        <v>262.86</v>
      </c>
      <c r="T11369" s="18">
        <v>215.46</v>
      </c>
      <c r="U11369" s="16"/>
      <c r="V11369" s="16"/>
      <c r="W11369" s="16" t="s">
        <v>40</v>
      </c>
      <c r="X11369" s="19">
        <v>0.152</v>
      </c>
      <c r="Y11369" s="20">
        <v>2.7399999999999999E-4</v>
      </c>
      <c r="Z11369" s="21">
        <v>4601004084001</v>
      </c>
    </row>
    <row r="11370" spans="1:26" ht="12" customHeight="1" outlineLevel="4" x14ac:dyDescent="0.2">
      <c r="A11370" s="32" t="s">
        <v>21606</v>
      </c>
      <c r="B11370" s="74" t="s">
        <v>21607</v>
      </c>
      <c r="C11370" s="50"/>
      <c r="D11370" s="53">
        <f t="shared" si="177"/>
        <v>0</v>
      </c>
      <c r="E11370" s="60" t="str">
        <f>HYPERLINK("https://www.sds-group.ru/product/dyuralayt-led-trehzhilnyy-230v-13mm-24-led-m-siniy-svechenie-s-dinamikoy-modul-4m-buhta-10-121-323-4/", "Инфо")</f>
        <v>Инфо</v>
      </c>
      <c r="F11370" s="34" t="s">
        <v>1767</v>
      </c>
      <c r="G11370" s="33"/>
      <c r="H11370" s="33" t="s">
        <v>40</v>
      </c>
      <c r="I11370" s="33"/>
      <c r="J11370" s="35">
        <v>100</v>
      </c>
      <c r="K11370" s="33"/>
      <c r="L11370" s="35">
        <v>100</v>
      </c>
      <c r="M11370" s="35">
        <v>100</v>
      </c>
      <c r="N11370" s="35">
        <v>100</v>
      </c>
      <c r="O11370" s="36">
        <v>438.1</v>
      </c>
      <c r="P11370" s="36">
        <v>359.1</v>
      </c>
      <c r="Q11370" s="36">
        <v>438.1</v>
      </c>
      <c r="R11370" s="36">
        <v>359.1</v>
      </c>
      <c r="S11370" s="36">
        <v>262.86</v>
      </c>
      <c r="T11370" s="36">
        <v>215.46</v>
      </c>
      <c r="U11370" s="34"/>
      <c r="V11370" s="34"/>
      <c r="W11370" s="34" t="s">
        <v>40</v>
      </c>
      <c r="X11370" s="37">
        <v>0.13</v>
      </c>
      <c r="Y11370" s="38">
        <v>2.7799999999999998E-4</v>
      </c>
      <c r="Z11370" s="21">
        <v>4601004083967</v>
      </c>
    </row>
    <row r="11371" spans="1:26" ht="12" customHeight="1" outlineLevel="4" x14ac:dyDescent="0.2">
      <c r="A11371" s="32" t="s">
        <v>21608</v>
      </c>
      <c r="B11371" s="74" t="s">
        <v>21609</v>
      </c>
      <c r="C11371" s="50"/>
      <c r="D11371" s="53">
        <f t="shared" si="177"/>
        <v>0</v>
      </c>
      <c r="E11371" s="60" t="str">
        <f>HYPERLINK("https://www.sds-group.ru/product/dyuralayt-led-trehzhilnyy-230v-13mm-24-led-m-teplyy-belyy-svechenie-s-dinamikoy-modul-4m-b-121-326-4/", "Инфо")</f>
        <v>Инфо</v>
      </c>
      <c r="F11371" s="34" t="s">
        <v>1767</v>
      </c>
      <c r="G11371" s="33"/>
      <c r="H11371" s="33" t="s">
        <v>40</v>
      </c>
      <c r="I11371" s="33"/>
      <c r="J11371" s="35">
        <v>100</v>
      </c>
      <c r="K11371" s="33"/>
      <c r="L11371" s="35">
        <v>100</v>
      </c>
      <c r="M11371" s="35">
        <v>100</v>
      </c>
      <c r="N11371" s="35">
        <v>100</v>
      </c>
      <c r="O11371" s="36">
        <v>438.1</v>
      </c>
      <c r="P11371" s="36">
        <v>359.1</v>
      </c>
      <c r="Q11371" s="36">
        <v>306.67</v>
      </c>
      <c r="R11371" s="36">
        <v>251.37</v>
      </c>
      <c r="S11371" s="36">
        <v>262.86</v>
      </c>
      <c r="T11371" s="36">
        <v>215.46</v>
      </c>
      <c r="U11371" s="34"/>
      <c r="V11371" s="34"/>
      <c r="W11371" s="34"/>
      <c r="X11371" s="37">
        <v>0.155</v>
      </c>
      <c r="Y11371" s="38">
        <v>2.7999999999999998E-4</v>
      </c>
      <c r="Z11371" s="21">
        <v>4601004083998</v>
      </c>
    </row>
    <row r="11372" spans="1:26" ht="12" customHeight="1" outlineLevel="4" x14ac:dyDescent="0.2">
      <c r="A11372" s="14" t="s">
        <v>21610</v>
      </c>
      <c r="B11372" s="26" t="s">
        <v>21611</v>
      </c>
      <c r="C11372" s="52"/>
      <c r="D11372" s="55">
        <f t="shared" si="177"/>
        <v>0</v>
      </c>
      <c r="E11372" s="63" t="str">
        <f>HYPERLINK("https://www.sds-group.ru/product/dyuralayt-led-trehzhilnyy-230v-13mm-36-led-m-belyy-svechenie-s-dinamikoy-modul-1m-buhta-100m-121-325/", "Инфо")</f>
        <v>Инфо</v>
      </c>
      <c r="F11372" s="16" t="s">
        <v>1767</v>
      </c>
      <c r="G11372" s="15"/>
      <c r="H11372" s="15"/>
      <c r="I11372" s="15"/>
      <c r="J11372" s="16" t="s">
        <v>100</v>
      </c>
      <c r="K11372" s="15" t="s">
        <v>16163</v>
      </c>
      <c r="L11372" s="17">
        <v>100</v>
      </c>
      <c r="M11372" s="17">
        <v>100</v>
      </c>
      <c r="N11372" s="17">
        <v>100</v>
      </c>
      <c r="O11372" s="18">
        <v>610.55999999999995</v>
      </c>
      <c r="P11372" s="18">
        <v>500.46</v>
      </c>
      <c r="Q11372" s="18">
        <v>610.55999999999995</v>
      </c>
      <c r="R11372" s="18">
        <v>500.46</v>
      </c>
      <c r="S11372" s="18">
        <v>366.34</v>
      </c>
      <c r="T11372" s="18">
        <v>300.27999999999997</v>
      </c>
      <c r="U11372" s="16"/>
      <c r="V11372" s="16"/>
      <c r="W11372" s="16" t="s">
        <v>40</v>
      </c>
      <c r="X11372" s="19">
        <v>0.17599999999999999</v>
      </c>
      <c r="Y11372" s="20">
        <v>3.0299999999999999E-4</v>
      </c>
      <c r="Z11372" s="21">
        <v>4610003606732</v>
      </c>
    </row>
    <row r="11373" spans="1:26" ht="12" customHeight="1" outlineLevel="4" x14ac:dyDescent="0.2">
      <c r="A11373" s="14" t="s">
        <v>21612</v>
      </c>
      <c r="B11373" s="26" t="s">
        <v>21613</v>
      </c>
      <c r="C11373" s="52"/>
      <c r="D11373" s="55">
        <f t="shared" si="177"/>
        <v>0</v>
      </c>
      <c r="E11373" s="63" t="str">
        <f>HYPERLINK("https://www.sds-group.ru/product/dyuralayt-led-trehzhilnyy-230v-13mm-36-led-m-krasnyy-svechenie-s-dinamikoy-modul-1m-buhta-10-121-322/", "Инфо")</f>
        <v>Инфо</v>
      </c>
      <c r="F11373" s="16" t="s">
        <v>1767</v>
      </c>
      <c r="G11373" s="15"/>
      <c r="H11373" s="15"/>
      <c r="I11373" s="15"/>
      <c r="J11373" s="22">
        <v>1000</v>
      </c>
      <c r="K11373" s="15"/>
      <c r="L11373" s="17">
        <v>100</v>
      </c>
      <c r="M11373" s="17">
        <v>100</v>
      </c>
      <c r="N11373" s="17">
        <v>100</v>
      </c>
      <c r="O11373" s="18">
        <v>610.55999999999995</v>
      </c>
      <c r="P11373" s="18">
        <v>500.46</v>
      </c>
      <c r="Q11373" s="18">
        <v>610.55999999999995</v>
      </c>
      <c r="R11373" s="18">
        <v>500.46</v>
      </c>
      <c r="S11373" s="18">
        <v>366.34</v>
      </c>
      <c r="T11373" s="18">
        <v>300.27999999999997</v>
      </c>
      <c r="U11373" s="16"/>
      <c r="V11373" s="16"/>
      <c r="W11373" s="16" t="s">
        <v>40</v>
      </c>
      <c r="X11373" s="19">
        <v>0.16800000000000001</v>
      </c>
      <c r="Y11373" s="20">
        <v>2.6200000000000003E-4</v>
      </c>
      <c r="Z11373" s="21">
        <v>4601004003552</v>
      </c>
    </row>
    <row r="11374" spans="1:26" ht="12" customHeight="1" outlineLevel="4" x14ac:dyDescent="0.2">
      <c r="A11374" s="14" t="s">
        <v>21614</v>
      </c>
      <c r="B11374" s="26" t="s">
        <v>21615</v>
      </c>
      <c r="C11374" s="52"/>
      <c r="D11374" s="55">
        <f t="shared" si="177"/>
        <v>0</v>
      </c>
      <c r="E11374" s="63" t="str">
        <f>HYPERLINK("https://www.sds-group.ru/product/dyuralayt-led-trehzhilnyy-230v-13mm-36-led-m-multi-rygb-svechenie-s-dinamikoy-modul-1m-buhta-121-329/", "Инфо")</f>
        <v>Инфо</v>
      </c>
      <c r="F11374" s="16" t="s">
        <v>1767</v>
      </c>
      <c r="G11374" s="15"/>
      <c r="H11374" s="15"/>
      <c r="I11374" s="15"/>
      <c r="J11374" s="16" t="s">
        <v>100</v>
      </c>
      <c r="K11374" s="15" t="s">
        <v>16163</v>
      </c>
      <c r="L11374" s="17">
        <v>100</v>
      </c>
      <c r="M11374" s="17">
        <v>100</v>
      </c>
      <c r="N11374" s="17">
        <v>100</v>
      </c>
      <c r="O11374" s="18">
        <v>610.55999999999995</v>
      </c>
      <c r="P11374" s="18">
        <v>500.46</v>
      </c>
      <c r="Q11374" s="18">
        <v>610.55999999999995</v>
      </c>
      <c r="R11374" s="18">
        <v>500.46</v>
      </c>
      <c r="S11374" s="18">
        <v>366.34</v>
      </c>
      <c r="T11374" s="18">
        <v>300.27999999999997</v>
      </c>
      <c r="U11374" s="16"/>
      <c r="V11374" s="16"/>
      <c r="W11374" s="16" t="s">
        <v>40</v>
      </c>
      <c r="X11374" s="19">
        <v>0.17299999999999999</v>
      </c>
      <c r="Y11374" s="20">
        <v>2.8699999999999998E-4</v>
      </c>
      <c r="Z11374" s="21">
        <v>4610003606725</v>
      </c>
    </row>
    <row r="11375" spans="1:26" ht="12" customHeight="1" outlineLevel="4" x14ac:dyDescent="0.2">
      <c r="A11375" s="14" t="s">
        <v>21616</v>
      </c>
      <c r="B11375" s="26" t="s">
        <v>21617</v>
      </c>
      <c r="C11375" s="52"/>
      <c r="D11375" s="55">
        <f t="shared" si="177"/>
        <v>0</v>
      </c>
      <c r="E11375" s="63" t="str">
        <f>HYPERLINK("https://www.sds-group.ru/product/dyuralayt-led-trehzhilnyy-230v-13mm-36led-m-siniy-svechenie-s-dinamikoy-modul-4m-buhta-100m--121-323/", "Инфо")</f>
        <v>Инфо</v>
      </c>
      <c r="F11375" s="16" t="s">
        <v>1767</v>
      </c>
      <c r="G11375" s="15"/>
      <c r="H11375" s="15"/>
      <c r="I11375" s="15"/>
      <c r="J11375" s="16" t="s">
        <v>100</v>
      </c>
      <c r="K11375" s="15" t="s">
        <v>16163</v>
      </c>
      <c r="L11375" s="17">
        <v>100</v>
      </c>
      <c r="M11375" s="17">
        <v>100</v>
      </c>
      <c r="N11375" s="17">
        <v>100</v>
      </c>
      <c r="O11375" s="18">
        <v>610.55999999999995</v>
      </c>
      <c r="P11375" s="18">
        <v>500.46</v>
      </c>
      <c r="Q11375" s="18">
        <v>610.55999999999995</v>
      </c>
      <c r="R11375" s="18">
        <v>500.46</v>
      </c>
      <c r="S11375" s="18">
        <v>366.34</v>
      </c>
      <c r="T11375" s="18">
        <v>300.27999999999997</v>
      </c>
      <c r="U11375" s="16"/>
      <c r="V11375" s="16"/>
      <c r="W11375" s="16" t="s">
        <v>40</v>
      </c>
      <c r="X11375" s="19">
        <v>0.16800000000000001</v>
      </c>
      <c r="Y11375" s="20">
        <v>2.7799999999999998E-4</v>
      </c>
      <c r="Z11375" s="21">
        <v>4601004003583</v>
      </c>
    </row>
    <row r="11376" spans="1:26" ht="12.95" customHeight="1" outlineLevel="3" x14ac:dyDescent="0.2">
      <c r="A11376" s="76" t="s">
        <v>21618</v>
      </c>
      <c r="B11376" s="76"/>
      <c r="C11376" s="77"/>
      <c r="D11376" s="58"/>
      <c r="E11376" s="68"/>
      <c r="F11376" s="13"/>
      <c r="G11376" s="13"/>
      <c r="H11376" s="13"/>
      <c r="I11376" s="13"/>
      <c r="J11376" s="13"/>
      <c r="K11376" s="13"/>
      <c r="L11376" s="13"/>
      <c r="M11376" s="13"/>
      <c r="N11376" s="13"/>
      <c r="O11376" s="13"/>
      <c r="P11376" s="13"/>
      <c r="Q11376" s="13"/>
      <c r="R11376" s="13"/>
      <c r="S11376" s="13"/>
      <c r="T11376" s="13"/>
      <c r="U11376" s="13"/>
      <c r="V11376" s="13"/>
      <c r="W11376" s="13"/>
      <c r="X11376" s="13"/>
      <c r="Y11376" s="13"/>
      <c r="Z11376" s="13"/>
    </row>
    <row r="11377" spans="1:26" ht="12" customHeight="1" outlineLevel="4" x14ac:dyDescent="0.2">
      <c r="A11377" s="14" t="s">
        <v>21619</v>
      </c>
      <c r="B11377" s="26" t="s">
        <v>21620</v>
      </c>
      <c r="C11377" s="52"/>
      <c r="D11377" s="55">
        <f t="shared" si="177"/>
        <v>0</v>
      </c>
      <c r="E11377" s="63" t="str">
        <f>HYPERLINK("https://www.sds-group.ru/product/dyuralayt-led-dvuhzhilnyy-230v-13mm-36-led-m-belyy-effekt-mertsaniya-modul-1m-buhta-100m-neo-121-255/", "Инфо")</f>
        <v>Инфо</v>
      </c>
      <c r="F11377" s="16" t="s">
        <v>1767</v>
      </c>
      <c r="G11377" s="15"/>
      <c r="H11377" s="15"/>
      <c r="I11377" s="15"/>
      <c r="J11377" s="16" t="s">
        <v>100</v>
      </c>
      <c r="K11377" s="15" t="s">
        <v>16163</v>
      </c>
      <c r="L11377" s="17">
        <v>100</v>
      </c>
      <c r="M11377" s="17">
        <v>100</v>
      </c>
      <c r="N11377" s="17">
        <v>100</v>
      </c>
      <c r="O11377" s="18">
        <v>559.04999999999995</v>
      </c>
      <c r="P11377" s="18">
        <v>458.24</v>
      </c>
      <c r="Q11377" s="18">
        <v>559.04999999999995</v>
      </c>
      <c r="R11377" s="18">
        <v>458.24</v>
      </c>
      <c r="S11377" s="18">
        <v>335.43</v>
      </c>
      <c r="T11377" s="18">
        <v>274.94</v>
      </c>
      <c r="U11377" s="16"/>
      <c r="V11377" s="16"/>
      <c r="W11377" s="16" t="s">
        <v>40</v>
      </c>
      <c r="X11377" s="19">
        <v>0.16500000000000001</v>
      </c>
      <c r="Y11377" s="20">
        <v>2.8200000000000002E-4</v>
      </c>
      <c r="Z11377" s="21">
        <v>4601004082427</v>
      </c>
    </row>
    <row r="11378" spans="1:26" ht="12" customHeight="1" outlineLevel="4" x14ac:dyDescent="0.2">
      <c r="A11378" s="14" t="s">
        <v>21621</v>
      </c>
      <c r="B11378" s="26" t="s">
        <v>21622</v>
      </c>
      <c r="C11378" s="52"/>
      <c r="D11378" s="55">
        <f t="shared" si="177"/>
        <v>0</v>
      </c>
      <c r="E11378" s="63" t="str">
        <f>HYPERLINK("https://www.sds-group.ru/product/dyuralayt-led-dvuhzhilnyy-230v-13mm-36-led-m-siniy-effekt-mertsaniya-modul-1m-buhta-100m-neo-121-253/", "Инфо")</f>
        <v>Инфо</v>
      </c>
      <c r="F11378" s="16" t="s">
        <v>1767</v>
      </c>
      <c r="G11378" s="15"/>
      <c r="H11378" s="15"/>
      <c r="I11378" s="15"/>
      <c r="J11378" s="16" t="s">
        <v>100</v>
      </c>
      <c r="K11378" s="15"/>
      <c r="L11378" s="17">
        <v>100</v>
      </c>
      <c r="M11378" s="17">
        <v>100</v>
      </c>
      <c r="N11378" s="17">
        <v>100</v>
      </c>
      <c r="O11378" s="18">
        <v>559.04999999999995</v>
      </c>
      <c r="P11378" s="18">
        <v>458.24</v>
      </c>
      <c r="Q11378" s="18">
        <v>559.04999999999995</v>
      </c>
      <c r="R11378" s="18">
        <v>458.24</v>
      </c>
      <c r="S11378" s="18">
        <v>335.43</v>
      </c>
      <c r="T11378" s="18">
        <v>274.94</v>
      </c>
      <c r="U11378" s="16"/>
      <c r="V11378" s="16"/>
      <c r="W11378" s="16" t="s">
        <v>40</v>
      </c>
      <c r="X11378" s="19">
        <v>0.16</v>
      </c>
      <c r="Y11378" s="20">
        <v>2.99E-4</v>
      </c>
      <c r="Z11378" s="21">
        <v>4601004082434</v>
      </c>
    </row>
    <row r="11379" spans="1:26" ht="12" customHeight="1" outlineLevel="4" x14ac:dyDescent="0.2">
      <c r="A11379" s="14" t="s">
        <v>21623</v>
      </c>
      <c r="B11379" s="26" t="s">
        <v>21624</v>
      </c>
      <c r="C11379" s="52"/>
      <c r="D11379" s="55">
        <f t="shared" si="177"/>
        <v>0</v>
      </c>
      <c r="E11379" s="63" t="str">
        <f>HYPERLINK("https://www.sds-group.ru/product/dyuralayt-led-dvuhzhilnyy-230v-13mm-36-led-m-teplyy-belyy-effekt-mertsaniya-modul-2m-buhta-1-121-256/", "Инфо")</f>
        <v>Инфо</v>
      </c>
      <c r="F11379" s="16" t="s">
        <v>1767</v>
      </c>
      <c r="G11379" s="15"/>
      <c r="H11379" s="15"/>
      <c r="I11379" s="15"/>
      <c r="J11379" s="16" t="s">
        <v>100</v>
      </c>
      <c r="K11379" s="15" t="s">
        <v>16163</v>
      </c>
      <c r="L11379" s="17">
        <v>100</v>
      </c>
      <c r="M11379" s="17">
        <v>100</v>
      </c>
      <c r="N11379" s="17">
        <v>100</v>
      </c>
      <c r="O11379" s="18">
        <v>559.04999999999995</v>
      </c>
      <c r="P11379" s="18">
        <v>458.24</v>
      </c>
      <c r="Q11379" s="18">
        <v>559.04999999999995</v>
      </c>
      <c r="R11379" s="18">
        <v>458.24</v>
      </c>
      <c r="S11379" s="18">
        <v>335.43</v>
      </c>
      <c r="T11379" s="18">
        <v>274.94</v>
      </c>
      <c r="U11379" s="16"/>
      <c r="V11379" s="16"/>
      <c r="W11379" s="16" t="s">
        <v>40</v>
      </c>
      <c r="X11379" s="19">
        <v>0.16600000000000001</v>
      </c>
      <c r="Y11379" s="20">
        <v>2.9100000000000003E-4</v>
      </c>
      <c r="Z11379" s="21">
        <v>4601004082458</v>
      </c>
    </row>
    <row r="11380" spans="1:26" ht="12.95" customHeight="1" outlineLevel="3" x14ac:dyDescent="0.2">
      <c r="A11380" s="76" t="s">
        <v>21625</v>
      </c>
      <c r="B11380" s="76"/>
      <c r="C11380" s="77"/>
      <c r="D11380" s="58"/>
      <c r="E11380" s="68"/>
      <c r="F11380" s="13"/>
      <c r="G11380" s="13"/>
      <c r="H11380" s="13"/>
      <c r="I11380" s="13"/>
      <c r="J11380" s="13"/>
      <c r="K11380" s="13"/>
      <c r="L11380" s="13"/>
      <c r="M11380" s="13"/>
      <c r="N11380" s="13"/>
      <c r="O11380" s="13"/>
      <c r="P11380" s="13"/>
      <c r="Q11380" s="13"/>
      <c r="R11380" s="13"/>
      <c r="S11380" s="13"/>
      <c r="T11380" s="13"/>
      <c r="U11380" s="13"/>
      <c r="V11380" s="13"/>
      <c r="W11380" s="13"/>
      <c r="X11380" s="13"/>
      <c r="Y11380" s="13"/>
      <c r="Z11380" s="13"/>
    </row>
    <row r="11381" spans="1:26" ht="12" customHeight="1" outlineLevel="4" x14ac:dyDescent="0.2">
      <c r="A11381" s="14" t="s">
        <v>21626</v>
      </c>
      <c r="B11381" s="26" t="s">
        <v>21627</v>
      </c>
      <c r="C11381" s="52"/>
      <c r="D11381" s="55">
        <f t="shared" si="177"/>
        <v>0</v>
      </c>
      <c r="E11381" s="63" t="str">
        <f>HYPERLINK("https://www.sds-group.ru/product/l-konnektor-dlya-dvuhzhilnogo-dyuralayta-13mm-tsena-za-1-sht-124-311/", "Инфо")</f>
        <v>Инфо</v>
      </c>
      <c r="F11381" s="16" t="s">
        <v>39</v>
      </c>
      <c r="G11381" s="15"/>
      <c r="H11381" s="15"/>
      <c r="I11381" s="15"/>
      <c r="J11381" s="16" t="s">
        <v>100</v>
      </c>
      <c r="K11381" s="15"/>
      <c r="L11381" s="17">
        <v>10</v>
      </c>
      <c r="M11381" s="17">
        <v>500</v>
      </c>
      <c r="N11381" s="17">
        <v>10</v>
      </c>
      <c r="O11381" s="18">
        <v>239.79</v>
      </c>
      <c r="P11381" s="18">
        <v>196.55</v>
      </c>
      <c r="Q11381" s="18">
        <v>239.79</v>
      </c>
      <c r="R11381" s="18">
        <v>196.55</v>
      </c>
      <c r="S11381" s="18">
        <v>148.66999999999999</v>
      </c>
      <c r="T11381" s="18">
        <v>121.86</v>
      </c>
      <c r="U11381" s="16"/>
      <c r="V11381" s="16"/>
      <c r="W11381" s="16" t="s">
        <v>40</v>
      </c>
      <c r="X11381" s="19">
        <v>1.2999999999999999E-2</v>
      </c>
      <c r="Y11381" s="20">
        <v>6.6000000000000005E-5</v>
      </c>
      <c r="Z11381" s="21">
        <v>4601004117433</v>
      </c>
    </row>
    <row r="11382" spans="1:26" ht="12" customHeight="1" outlineLevel="4" x14ac:dyDescent="0.2">
      <c r="A11382" s="14" t="s">
        <v>21628</v>
      </c>
      <c r="B11382" s="26" t="s">
        <v>21629</v>
      </c>
      <c r="C11382" s="52"/>
      <c r="D11382" s="55">
        <f t="shared" si="177"/>
        <v>0</v>
      </c>
      <c r="E11382" s="63" t="str">
        <f>HYPERLINK("https://www.sds-group.ru/product/l-konnektor-dlya-trehzhilnogo-dyuralayta-13mm-tsena-za-1-sht-124-321/", "Инфо")</f>
        <v>Инфо</v>
      </c>
      <c r="F11382" s="16" t="s">
        <v>39</v>
      </c>
      <c r="G11382" s="15"/>
      <c r="H11382" s="15"/>
      <c r="I11382" s="15"/>
      <c r="J11382" s="16" t="s">
        <v>100</v>
      </c>
      <c r="K11382" s="15"/>
      <c r="L11382" s="17">
        <v>2</v>
      </c>
      <c r="M11382" s="17">
        <v>500</v>
      </c>
      <c r="N11382" s="17">
        <v>2</v>
      </c>
      <c r="O11382" s="18">
        <v>239.79</v>
      </c>
      <c r="P11382" s="18">
        <v>196.55</v>
      </c>
      <c r="Q11382" s="18">
        <v>239.79</v>
      </c>
      <c r="R11382" s="18">
        <v>196.55</v>
      </c>
      <c r="S11382" s="18">
        <v>148.66999999999999</v>
      </c>
      <c r="T11382" s="18">
        <v>121.86</v>
      </c>
      <c r="U11382" s="16"/>
      <c r="V11382" s="16"/>
      <c r="W11382" s="16" t="s">
        <v>40</v>
      </c>
      <c r="X11382" s="19">
        <v>1.6E-2</v>
      </c>
      <c r="Y11382" s="20">
        <v>8.5000000000000006E-5</v>
      </c>
      <c r="Z11382" s="21">
        <v>4601004311220</v>
      </c>
    </row>
    <row r="11383" spans="1:26" ht="12" customHeight="1" outlineLevel="4" x14ac:dyDescent="0.2">
      <c r="A11383" s="14" t="s">
        <v>21630</v>
      </c>
      <c r="B11383" s="26" t="s">
        <v>21631</v>
      </c>
      <c r="C11383" s="52"/>
      <c r="D11383" s="55">
        <f t="shared" si="177"/>
        <v>0</v>
      </c>
      <c r="E11383" s="63" t="str">
        <f>HYPERLINK("https://www.sds-group.ru/product/t-konnektor-dlya-trehzhilnogo-dyuralayta-13mm-tsena-za-1-sht-124-221/", "Инфо")</f>
        <v>Инфо</v>
      </c>
      <c r="F11383" s="16" t="s">
        <v>39</v>
      </c>
      <c r="G11383" s="15"/>
      <c r="H11383" s="15"/>
      <c r="I11383" s="15"/>
      <c r="J11383" s="16" t="s">
        <v>100</v>
      </c>
      <c r="K11383" s="15"/>
      <c r="L11383" s="17">
        <v>1</v>
      </c>
      <c r="M11383" s="17">
        <v>500</v>
      </c>
      <c r="N11383" s="17">
        <v>1</v>
      </c>
      <c r="O11383" s="18">
        <v>380.52</v>
      </c>
      <c r="P11383" s="18">
        <v>311.89999999999998</v>
      </c>
      <c r="Q11383" s="18">
        <v>380.52</v>
      </c>
      <c r="R11383" s="18">
        <v>311.89999999999998</v>
      </c>
      <c r="S11383" s="18">
        <v>235.92</v>
      </c>
      <c r="T11383" s="18">
        <v>193.38</v>
      </c>
      <c r="U11383" s="16"/>
      <c r="V11383" s="16"/>
      <c r="W11383" s="16" t="s">
        <v>40</v>
      </c>
      <c r="X11383" s="19">
        <v>3.2000000000000001E-2</v>
      </c>
      <c r="Y11383" s="20">
        <v>1.44E-4</v>
      </c>
      <c r="Z11383" s="21">
        <v>4601004280809</v>
      </c>
    </row>
    <row r="11384" spans="1:26" ht="12" customHeight="1" outlineLevel="4" x14ac:dyDescent="0.2">
      <c r="A11384" s="32" t="s">
        <v>21632</v>
      </c>
      <c r="B11384" s="74" t="s">
        <v>21633</v>
      </c>
      <c r="C11384" s="50"/>
      <c r="D11384" s="53">
        <f t="shared" si="177"/>
        <v>0</v>
      </c>
      <c r="E11384" s="60" t="str">
        <f>HYPERLINK("https://www.sds-group.ru/product/zaglushka-dlya-dyuralayta-10-mm-tsena-za-1-sht-104-200/", "Инфо")</f>
        <v>Инфо</v>
      </c>
      <c r="F11384" s="34" t="s">
        <v>39</v>
      </c>
      <c r="G11384" s="33"/>
      <c r="H11384" s="33" t="s">
        <v>40</v>
      </c>
      <c r="I11384" s="33"/>
      <c r="J11384" s="39">
        <v>6940</v>
      </c>
      <c r="K11384" s="33"/>
      <c r="L11384" s="35">
        <v>10</v>
      </c>
      <c r="M11384" s="39">
        <v>1000</v>
      </c>
      <c r="N11384" s="35">
        <v>10</v>
      </c>
      <c r="O11384" s="36">
        <v>5.72</v>
      </c>
      <c r="P11384" s="36">
        <v>4.6900000000000004</v>
      </c>
      <c r="Q11384" s="36">
        <v>4</v>
      </c>
      <c r="R11384" s="36">
        <v>3.28</v>
      </c>
      <c r="S11384" s="36">
        <v>3.55</v>
      </c>
      <c r="T11384" s="36">
        <v>2.91</v>
      </c>
      <c r="U11384" s="34"/>
      <c r="V11384" s="34"/>
      <c r="W11384" s="34"/>
      <c r="X11384" s="37">
        <v>8.9999999999999993E-3</v>
      </c>
      <c r="Y11384" s="38">
        <v>6.8999999999999997E-5</v>
      </c>
      <c r="Z11384" s="21">
        <v>2000321585505</v>
      </c>
    </row>
    <row r="11385" spans="1:26" ht="12" customHeight="1" outlineLevel="4" x14ac:dyDescent="0.2">
      <c r="A11385" s="14" t="s">
        <v>21634</v>
      </c>
      <c r="B11385" s="26" t="s">
        <v>21635</v>
      </c>
      <c r="C11385" s="52"/>
      <c r="D11385" s="55">
        <f t="shared" si="177"/>
        <v>0</v>
      </c>
      <c r="E11385" s="63" t="str">
        <f>HYPERLINK("https://www.sds-group.ru/product/zaglushka-dlya-dyuralayta-13-mm-tsena-za-1-sht-104-201/", "Инфо")</f>
        <v>Инфо</v>
      </c>
      <c r="F11385" s="16" t="s">
        <v>39</v>
      </c>
      <c r="G11385" s="15"/>
      <c r="H11385" s="15"/>
      <c r="I11385" s="15"/>
      <c r="J11385" s="22">
        <v>8650</v>
      </c>
      <c r="K11385" s="15" t="s">
        <v>16163</v>
      </c>
      <c r="L11385" s="17">
        <v>10</v>
      </c>
      <c r="M11385" s="22">
        <v>3000</v>
      </c>
      <c r="N11385" s="17">
        <v>10</v>
      </c>
      <c r="O11385" s="18">
        <v>12.69</v>
      </c>
      <c r="P11385" s="18">
        <v>10.4</v>
      </c>
      <c r="Q11385" s="18">
        <v>12.69</v>
      </c>
      <c r="R11385" s="18">
        <v>10.4</v>
      </c>
      <c r="S11385" s="18">
        <v>7.87</v>
      </c>
      <c r="T11385" s="18">
        <v>6.45</v>
      </c>
      <c r="U11385" s="16"/>
      <c r="V11385" s="16"/>
      <c r="W11385" s="16" t="s">
        <v>40</v>
      </c>
      <c r="X11385" s="19">
        <v>3.0000000000000001E-3</v>
      </c>
      <c r="Y11385" s="20">
        <v>9.0000000000000002E-6</v>
      </c>
      <c r="Z11385" s="21">
        <v>4601004082793</v>
      </c>
    </row>
    <row r="11386" spans="1:26" ht="12" customHeight="1" outlineLevel="4" x14ac:dyDescent="0.2">
      <c r="A11386" s="32" t="s">
        <v>21636</v>
      </c>
      <c r="B11386" s="74" t="s">
        <v>21637</v>
      </c>
      <c r="C11386" s="50"/>
      <c r="D11386" s="53">
        <f t="shared" si="177"/>
        <v>0</v>
      </c>
      <c r="E11386" s="60" t="str">
        <f>HYPERLINK("https://www.sds-group.ru/product/zaglushka-dlya-dyuralayta-diametr-13-mm-gibkogo-neona-12h12mm-tsena-za-1-sht-134-039/", "Инфо")</f>
        <v>Инфо</v>
      </c>
      <c r="F11386" s="34" t="s">
        <v>39</v>
      </c>
      <c r="G11386" s="33"/>
      <c r="H11386" s="33" t="s">
        <v>40</v>
      </c>
      <c r="I11386" s="33"/>
      <c r="J11386" s="34" t="s">
        <v>100</v>
      </c>
      <c r="K11386" s="33"/>
      <c r="L11386" s="35">
        <v>10</v>
      </c>
      <c r="M11386" s="35">
        <v>200</v>
      </c>
      <c r="N11386" s="35">
        <v>10</v>
      </c>
      <c r="O11386" s="36">
        <v>33.58</v>
      </c>
      <c r="P11386" s="36">
        <v>27.52</v>
      </c>
      <c r="Q11386" s="36">
        <v>23.51</v>
      </c>
      <c r="R11386" s="36">
        <v>19.27</v>
      </c>
      <c r="S11386" s="36">
        <v>20.82</v>
      </c>
      <c r="T11386" s="36">
        <v>17.07</v>
      </c>
      <c r="U11386" s="34"/>
      <c r="V11386" s="34"/>
      <c r="W11386" s="34"/>
      <c r="X11386" s="37">
        <v>3.0000000000000001E-3</v>
      </c>
      <c r="Y11386" s="38">
        <v>2.5000000000000001E-5</v>
      </c>
      <c r="Z11386" s="21">
        <v>4601004090316</v>
      </c>
    </row>
    <row r="11387" spans="1:26" ht="12" customHeight="1" outlineLevel="4" x14ac:dyDescent="0.2">
      <c r="A11387" s="14" t="s">
        <v>21638</v>
      </c>
      <c r="B11387" s="26" t="s">
        <v>21639</v>
      </c>
      <c r="C11387" s="52"/>
      <c r="D11387" s="55">
        <f t="shared" si="177"/>
        <v>0</v>
      </c>
      <c r="E11387" s="63" t="str">
        <f>HYPERLINK("https://www.sds-group.ru/product/klipsy-krokodil-13-mm-100-sht-v-upakovke-104-312/", "Инфо")</f>
        <v>Инфо</v>
      </c>
      <c r="F11387" s="16" t="s">
        <v>1001</v>
      </c>
      <c r="G11387" s="15"/>
      <c r="H11387" s="15"/>
      <c r="I11387" s="15"/>
      <c r="J11387" s="16" t="s">
        <v>100</v>
      </c>
      <c r="K11387" s="15" t="s">
        <v>4926</v>
      </c>
      <c r="L11387" s="17">
        <v>1</v>
      </c>
      <c r="M11387" s="17">
        <v>100</v>
      </c>
      <c r="N11387" s="17">
        <v>1</v>
      </c>
      <c r="O11387" s="18">
        <v>1268.17</v>
      </c>
      <c r="P11387" s="18">
        <v>1039.48</v>
      </c>
      <c r="Q11387" s="18">
        <v>1268.17</v>
      </c>
      <c r="R11387" s="18">
        <v>1039.48</v>
      </c>
      <c r="S11387" s="18">
        <v>786.27</v>
      </c>
      <c r="T11387" s="18">
        <v>644.48</v>
      </c>
      <c r="U11387" s="16"/>
      <c r="V11387" s="16"/>
      <c r="W11387" s="16" t="s">
        <v>40</v>
      </c>
      <c r="X11387" s="19">
        <v>0.14399999999999999</v>
      </c>
      <c r="Y11387" s="20">
        <v>8.6899999999999998E-4</v>
      </c>
      <c r="Z11387" s="21">
        <v>4601004082755</v>
      </c>
    </row>
    <row r="11388" spans="1:26" ht="12" customHeight="1" outlineLevel="4" x14ac:dyDescent="0.2">
      <c r="A11388" s="14" t="s">
        <v>21640</v>
      </c>
      <c r="B11388" s="26" t="s">
        <v>21641</v>
      </c>
      <c r="C11388" s="52"/>
      <c r="D11388" s="55">
        <f t="shared" si="177"/>
        <v>0</v>
      </c>
      <c r="E11388" s="63" t="str">
        <f>HYPERLINK("https://www.sds-group.ru/product/konnektor-dlya-dvuhzhilnogo-dyuralayta-13mm-tsena-za-1-sht-124-111/", "Инфо")</f>
        <v>Инфо</v>
      </c>
      <c r="F11388" s="16" t="s">
        <v>39</v>
      </c>
      <c r="G11388" s="15"/>
      <c r="H11388" s="15"/>
      <c r="I11388" s="15"/>
      <c r="J11388" s="22">
        <v>2783</v>
      </c>
      <c r="K11388" s="15"/>
      <c r="L11388" s="17">
        <v>10</v>
      </c>
      <c r="M11388" s="17">
        <v>500</v>
      </c>
      <c r="N11388" s="17">
        <v>10</v>
      </c>
      <c r="O11388" s="18">
        <v>172.01</v>
      </c>
      <c r="P11388" s="18">
        <v>140.99</v>
      </c>
      <c r="Q11388" s="18">
        <v>172.01</v>
      </c>
      <c r="R11388" s="18">
        <v>140.99</v>
      </c>
      <c r="S11388" s="18">
        <v>106.65</v>
      </c>
      <c r="T11388" s="18">
        <v>87.42</v>
      </c>
      <c r="U11388" s="16"/>
      <c r="V11388" s="16"/>
      <c r="W11388" s="16" t="s">
        <v>40</v>
      </c>
      <c r="X11388" s="19">
        <v>1.4E-2</v>
      </c>
      <c r="Y11388" s="20">
        <v>3.4999999999999997E-5</v>
      </c>
      <c r="Z11388" s="21">
        <v>4601004280786</v>
      </c>
    </row>
    <row r="11389" spans="1:26" ht="12" customHeight="1" outlineLevel="4" x14ac:dyDescent="0.2">
      <c r="A11389" s="14" t="s">
        <v>21642</v>
      </c>
      <c r="B11389" s="26" t="s">
        <v>21643</v>
      </c>
      <c r="C11389" s="52"/>
      <c r="D11389" s="55">
        <f t="shared" si="177"/>
        <v>0</v>
      </c>
      <c r="E11389" s="63" t="str">
        <f>HYPERLINK("https://www.sds-group.ru/product/konnektor-dlya-trehzhilnogo-dyuralayta-13mm-tsena-za-1-sht-124-121/", "Инфо")</f>
        <v>Инфо</v>
      </c>
      <c r="F11389" s="16" t="s">
        <v>39</v>
      </c>
      <c r="G11389" s="15"/>
      <c r="H11389" s="15"/>
      <c r="I11389" s="15"/>
      <c r="J11389" s="17">
        <v>481</v>
      </c>
      <c r="K11389" s="15" t="s">
        <v>4899</v>
      </c>
      <c r="L11389" s="17">
        <v>10</v>
      </c>
      <c r="M11389" s="17">
        <v>500</v>
      </c>
      <c r="N11389" s="17">
        <v>10</v>
      </c>
      <c r="O11389" s="18">
        <v>197.72</v>
      </c>
      <c r="P11389" s="18">
        <v>162.07</v>
      </c>
      <c r="Q11389" s="18">
        <v>197.72</v>
      </c>
      <c r="R11389" s="18">
        <v>162.07</v>
      </c>
      <c r="S11389" s="18">
        <v>122.59</v>
      </c>
      <c r="T11389" s="18">
        <v>100.48</v>
      </c>
      <c r="U11389" s="16"/>
      <c r="V11389" s="16"/>
      <c r="W11389" s="16" t="s">
        <v>40</v>
      </c>
      <c r="X11389" s="19">
        <v>2.5000000000000001E-2</v>
      </c>
      <c r="Y11389" s="20">
        <v>9.1000000000000003E-5</v>
      </c>
      <c r="Z11389" s="21">
        <v>4601004280793</v>
      </c>
    </row>
    <row r="11390" spans="1:26" ht="12" customHeight="1" outlineLevel="4" x14ac:dyDescent="0.2">
      <c r="A11390" s="14" t="s">
        <v>21644</v>
      </c>
      <c r="B11390" s="26" t="s">
        <v>21645</v>
      </c>
      <c r="C11390" s="52"/>
      <c r="D11390" s="55">
        <f t="shared" si="177"/>
        <v>0</v>
      </c>
      <c r="E11390" s="63" t="str">
        <f>HYPERLINK("https://www.sds-group.ru/product/konnektor-s-provodom-dlya-dvuhzhilnogo-dyuralayta-diametr-13mm-konnektor-s-igolkoy-zaglushka-124-018/", "Инфо")</f>
        <v>Инфо</v>
      </c>
      <c r="F11390" s="16" t="s">
        <v>39</v>
      </c>
      <c r="G11390" s="15"/>
      <c r="H11390" s="15"/>
      <c r="I11390" s="15"/>
      <c r="J11390" s="17">
        <v>671</v>
      </c>
      <c r="K11390" s="15" t="s">
        <v>16163</v>
      </c>
      <c r="L11390" s="17">
        <v>1</v>
      </c>
      <c r="M11390" s="17">
        <v>200</v>
      </c>
      <c r="N11390" s="17">
        <v>1</v>
      </c>
      <c r="O11390" s="18">
        <v>425.71</v>
      </c>
      <c r="P11390" s="18">
        <v>348.94</v>
      </c>
      <c r="Q11390" s="18">
        <v>425.71</v>
      </c>
      <c r="R11390" s="18">
        <v>348.94</v>
      </c>
      <c r="S11390" s="18">
        <v>263.94</v>
      </c>
      <c r="T11390" s="18">
        <v>216.34</v>
      </c>
      <c r="U11390" s="16"/>
      <c r="V11390" s="16"/>
      <c r="W11390" s="16" t="s">
        <v>40</v>
      </c>
      <c r="X11390" s="19">
        <v>3.9E-2</v>
      </c>
      <c r="Y11390" s="20">
        <v>1.36E-4</v>
      </c>
      <c r="Z11390" s="21">
        <v>4601004286887</v>
      </c>
    </row>
    <row r="11391" spans="1:26" ht="12" customHeight="1" outlineLevel="4" x14ac:dyDescent="0.2">
      <c r="A11391" s="14" t="s">
        <v>21646</v>
      </c>
      <c r="B11391" s="26" t="s">
        <v>21647</v>
      </c>
      <c r="C11391" s="52"/>
      <c r="D11391" s="55">
        <f t="shared" si="177"/>
        <v>0</v>
      </c>
      <c r="E11391" s="63" t="str">
        <f>HYPERLINK("https://www.sds-group.ru/product/kontroller-dlya-trehzhilnogo-svetodiodnogo-dyuralayta-13-mm-do-100-m-123-034/", "Инфо")</f>
        <v>Инфо</v>
      </c>
      <c r="F11391" s="16" t="s">
        <v>39</v>
      </c>
      <c r="G11391" s="15"/>
      <c r="H11391" s="15"/>
      <c r="I11391" s="15"/>
      <c r="J11391" s="17">
        <v>394</v>
      </c>
      <c r="K11391" s="15"/>
      <c r="L11391" s="17">
        <v>1</v>
      </c>
      <c r="M11391" s="17">
        <v>24</v>
      </c>
      <c r="N11391" s="17">
        <v>1</v>
      </c>
      <c r="O11391" s="18">
        <v>1701.65</v>
      </c>
      <c r="P11391" s="18">
        <v>1394.8</v>
      </c>
      <c r="Q11391" s="18">
        <v>1701.65</v>
      </c>
      <c r="R11391" s="18">
        <v>1394.8</v>
      </c>
      <c r="S11391" s="18">
        <v>1055.02</v>
      </c>
      <c r="T11391" s="18">
        <v>864.77</v>
      </c>
      <c r="U11391" s="16"/>
      <c r="V11391" s="16"/>
      <c r="W11391" s="16" t="s">
        <v>40</v>
      </c>
      <c r="X11391" s="19">
        <v>0.438</v>
      </c>
      <c r="Y11391" s="20">
        <v>1.915E-3</v>
      </c>
      <c r="Z11391" s="21">
        <v>4601004003613</v>
      </c>
    </row>
    <row r="11392" spans="1:26" ht="12" customHeight="1" outlineLevel="4" x14ac:dyDescent="0.2">
      <c r="A11392" s="32" t="s">
        <v>21648</v>
      </c>
      <c r="B11392" s="74" t="s">
        <v>21649</v>
      </c>
      <c r="C11392" s="50"/>
      <c r="D11392" s="53">
        <f t="shared" si="177"/>
        <v>0</v>
      </c>
      <c r="E11392" s="60" t="str">
        <f>HYPERLINK("https://www.sds-group.ru/product/kontroller-dlya-trehzhilnogo-svetodiodnogo-dyuralayta-13-mm-do-50-m-123-032/", "Инфо")</f>
        <v>Инфо</v>
      </c>
      <c r="F11392" s="34" t="s">
        <v>39</v>
      </c>
      <c r="G11392" s="33"/>
      <c r="H11392" s="33" t="s">
        <v>40</v>
      </c>
      <c r="I11392" s="33"/>
      <c r="J11392" s="35">
        <v>12</v>
      </c>
      <c r="K11392" s="33"/>
      <c r="L11392" s="35">
        <v>1</v>
      </c>
      <c r="M11392" s="35">
        <v>24</v>
      </c>
      <c r="N11392" s="35">
        <v>1</v>
      </c>
      <c r="O11392" s="36">
        <v>1314.29</v>
      </c>
      <c r="P11392" s="36">
        <v>1077.29</v>
      </c>
      <c r="Q11392" s="36">
        <v>1314.29</v>
      </c>
      <c r="R11392" s="36">
        <v>1077.29</v>
      </c>
      <c r="S11392" s="36">
        <v>814.86</v>
      </c>
      <c r="T11392" s="36">
        <v>667.92</v>
      </c>
      <c r="U11392" s="34"/>
      <c r="V11392" s="34"/>
      <c r="W11392" s="34" t="s">
        <v>40</v>
      </c>
      <c r="X11392" s="37">
        <v>0.433</v>
      </c>
      <c r="Y11392" s="38">
        <v>1.132E-3</v>
      </c>
      <c r="Z11392" s="21">
        <v>4601004120495</v>
      </c>
    </row>
    <row r="11393" spans="1:26" ht="12" customHeight="1" outlineLevel="4" x14ac:dyDescent="0.2">
      <c r="A11393" s="14" t="s">
        <v>21650</v>
      </c>
      <c r="B11393" s="26" t="s">
        <v>21651</v>
      </c>
      <c r="C11393" s="52"/>
      <c r="D11393" s="55">
        <f t="shared" si="177"/>
        <v>0</v>
      </c>
      <c r="E11393" s="63" t="str">
        <f>HYPERLINK("https://www.sds-group.ru/product/profil-plastikovyy-dlya-dyuralayta-kruglogo-gibkogo-neona-16mm-1-m-tsena-za-1-sht-104-411/", "Инфо")</f>
        <v>Инфо</v>
      </c>
      <c r="F11393" s="16" t="s">
        <v>39</v>
      </c>
      <c r="G11393" s="15"/>
      <c r="H11393" s="15"/>
      <c r="I11393" s="15"/>
      <c r="J11393" s="16" t="s">
        <v>100</v>
      </c>
      <c r="K11393" s="15"/>
      <c r="L11393" s="17">
        <v>10</v>
      </c>
      <c r="M11393" s="17">
        <v>200</v>
      </c>
      <c r="N11393" s="17">
        <v>10</v>
      </c>
      <c r="O11393" s="18">
        <v>145.26</v>
      </c>
      <c r="P11393" s="18">
        <v>119.07</v>
      </c>
      <c r="Q11393" s="18">
        <v>145.26</v>
      </c>
      <c r="R11393" s="18">
        <v>119.07</v>
      </c>
      <c r="S11393" s="18">
        <v>90.06</v>
      </c>
      <c r="T11393" s="18">
        <v>73.819999999999993</v>
      </c>
      <c r="U11393" s="16"/>
      <c r="V11393" s="16"/>
      <c r="W11393" s="16" t="s">
        <v>40</v>
      </c>
      <c r="X11393" s="19">
        <v>5.0999999999999997E-2</v>
      </c>
      <c r="Y11393" s="20">
        <v>2.8499999999999999E-4</v>
      </c>
      <c r="Z11393" s="21">
        <v>4601004082748</v>
      </c>
    </row>
    <row r="11394" spans="1:26" ht="12" customHeight="1" outlineLevel="4" x14ac:dyDescent="0.2">
      <c r="A11394" s="14" t="s">
        <v>21652</v>
      </c>
      <c r="B11394" s="26" t="s">
        <v>21653</v>
      </c>
      <c r="C11394" s="52"/>
      <c r="D11394" s="55">
        <f t="shared" si="177"/>
        <v>0</v>
      </c>
      <c r="E11394" s="63" t="str">
        <f>HYPERLINK("https://www.sds-group.ru/product/ustanovochnyy-nabor-dlya-dyuralayta-2w-diametr-10mm-blok-pitaniya-pvh-s-diodnym-mostom-i-v-124-021-3/", "Инфо")</f>
        <v>Инфо</v>
      </c>
      <c r="F11394" s="16" t="s">
        <v>39</v>
      </c>
      <c r="G11394" s="15"/>
      <c r="H11394" s="15"/>
      <c r="I11394" s="15"/>
      <c r="J11394" s="17">
        <v>96</v>
      </c>
      <c r="K11394" s="15"/>
      <c r="L11394" s="17">
        <v>1</v>
      </c>
      <c r="M11394" s="17">
        <v>100</v>
      </c>
      <c r="N11394" s="17">
        <v>1</v>
      </c>
      <c r="O11394" s="18">
        <v>800.1</v>
      </c>
      <c r="P11394" s="18">
        <v>655.82</v>
      </c>
      <c r="Q11394" s="18">
        <v>800.1</v>
      </c>
      <c r="R11394" s="18">
        <v>655.82</v>
      </c>
      <c r="S11394" s="18">
        <v>496.06</v>
      </c>
      <c r="T11394" s="18">
        <v>406.61</v>
      </c>
      <c r="U11394" s="16"/>
      <c r="V11394" s="16"/>
      <c r="W11394" s="16" t="s">
        <v>40</v>
      </c>
      <c r="X11394" s="19">
        <v>0.13400000000000001</v>
      </c>
      <c r="Y11394" s="20">
        <v>4.2700000000000002E-4</v>
      </c>
      <c r="Z11394" s="21">
        <v>4601004089396</v>
      </c>
    </row>
    <row r="11395" spans="1:26" ht="12" customHeight="1" outlineLevel="4" x14ac:dyDescent="0.2">
      <c r="A11395" s="14" t="s">
        <v>21654</v>
      </c>
      <c r="B11395" s="26" t="s">
        <v>21655</v>
      </c>
      <c r="C11395" s="52"/>
      <c r="D11395" s="55">
        <f t="shared" si="177"/>
        <v>0</v>
      </c>
      <c r="E11395" s="63" t="str">
        <f>HYPERLINK("https://www.sds-group.ru/product/ustanovochnyy-nabor-dlya-dyuralayta-2w-diametr-13mm-blok-pitaniya-pvh-s-diodnym-mostom-i-vil-124-011/", "Инфо")</f>
        <v>Инфо</v>
      </c>
      <c r="F11395" s="16" t="s">
        <v>39</v>
      </c>
      <c r="G11395" s="15"/>
      <c r="H11395" s="15"/>
      <c r="I11395" s="15"/>
      <c r="J11395" s="22">
        <v>1461</v>
      </c>
      <c r="K11395" s="15" t="s">
        <v>16163</v>
      </c>
      <c r="L11395" s="17">
        <v>1</v>
      </c>
      <c r="M11395" s="17">
        <v>100</v>
      </c>
      <c r="N11395" s="17">
        <v>1</v>
      </c>
      <c r="O11395" s="18">
        <v>800.1</v>
      </c>
      <c r="P11395" s="18">
        <v>655.82</v>
      </c>
      <c r="Q11395" s="18">
        <v>800.1</v>
      </c>
      <c r="R11395" s="18">
        <v>655.82</v>
      </c>
      <c r="S11395" s="18">
        <v>496.06</v>
      </c>
      <c r="T11395" s="18">
        <v>406.61</v>
      </c>
      <c r="U11395" s="16"/>
      <c r="V11395" s="16"/>
      <c r="W11395" s="16" t="s">
        <v>40</v>
      </c>
      <c r="X11395" s="19">
        <v>0.12</v>
      </c>
      <c r="Y11395" s="20">
        <v>4.2200000000000001E-4</v>
      </c>
      <c r="Z11395" s="21">
        <v>4601004003590</v>
      </c>
    </row>
    <row r="11396" spans="1:26" ht="12" customHeight="1" outlineLevel="4" x14ac:dyDescent="0.2">
      <c r="A11396" s="14" t="s">
        <v>21656</v>
      </c>
      <c r="B11396" s="26" t="s">
        <v>21657</v>
      </c>
      <c r="C11396" s="52"/>
      <c r="D11396" s="55">
        <f t="shared" si="177"/>
        <v>0</v>
      </c>
      <c r="E11396" s="63" t="str">
        <f>HYPERLINK("https://www.sds-group.ru/product/ustanovochnyy-nabor-dlya-dyuralayta-3w-diametr-13mm-blok-pitaniya-pvh-s-diodnym-mostom-i-vil-124-021/", "Инфо")</f>
        <v>Инфо</v>
      </c>
      <c r="F11396" s="16" t="s">
        <v>39</v>
      </c>
      <c r="G11396" s="15"/>
      <c r="H11396" s="15"/>
      <c r="I11396" s="15"/>
      <c r="J11396" s="17">
        <v>47</v>
      </c>
      <c r="K11396" s="15" t="s">
        <v>16163</v>
      </c>
      <c r="L11396" s="17">
        <v>1</v>
      </c>
      <c r="M11396" s="17">
        <v>100</v>
      </c>
      <c r="N11396" s="17">
        <v>1</v>
      </c>
      <c r="O11396" s="18">
        <v>800.1</v>
      </c>
      <c r="P11396" s="18">
        <v>655.82</v>
      </c>
      <c r="Q11396" s="18">
        <v>800.1</v>
      </c>
      <c r="R11396" s="18">
        <v>655.82</v>
      </c>
      <c r="S11396" s="18">
        <v>496.06</v>
      </c>
      <c r="T11396" s="18">
        <v>406.61</v>
      </c>
      <c r="U11396" s="16"/>
      <c r="V11396" s="16"/>
      <c r="W11396" s="16" t="s">
        <v>40</v>
      </c>
      <c r="X11396" s="19">
        <v>0.13200000000000001</v>
      </c>
      <c r="Y11396" s="20">
        <v>2.9700000000000001E-4</v>
      </c>
      <c r="Z11396" s="21">
        <v>4601004003606</v>
      </c>
    </row>
    <row r="11397" spans="1:26" ht="12.95" customHeight="1" outlineLevel="2" x14ac:dyDescent="0.2">
      <c r="A11397" s="76" t="s">
        <v>21658</v>
      </c>
      <c r="B11397" s="76"/>
      <c r="C11397" s="77"/>
      <c r="D11397" s="58"/>
      <c r="E11397" s="68"/>
      <c r="F11397" s="13"/>
      <c r="G11397" s="13"/>
      <c r="H11397" s="13"/>
      <c r="I11397" s="13"/>
      <c r="J11397" s="13"/>
      <c r="K11397" s="13"/>
      <c r="L11397" s="13"/>
      <c r="M11397" s="13"/>
      <c r="N11397" s="13"/>
      <c r="O11397" s="13"/>
      <c r="P11397" s="13"/>
      <c r="Q11397" s="13"/>
      <c r="R11397" s="13"/>
      <c r="S11397" s="13"/>
      <c r="T11397" s="13"/>
      <c r="U11397" s="13"/>
      <c r="V11397" s="13"/>
      <c r="W11397" s="13"/>
      <c r="X11397" s="13"/>
      <c r="Y11397" s="13"/>
      <c r="Z11397" s="13"/>
    </row>
    <row r="11398" spans="1:26" ht="12.95" customHeight="1" outlineLevel="3" x14ac:dyDescent="0.2">
      <c r="A11398" s="76" t="s">
        <v>21659</v>
      </c>
      <c r="B11398" s="76"/>
      <c r="C11398" s="77"/>
      <c r="D11398" s="58"/>
      <c r="E11398" s="68"/>
      <c r="F11398" s="13"/>
      <c r="G11398" s="13"/>
      <c r="H11398" s="13"/>
      <c r="I11398" s="13"/>
      <c r="J11398" s="13"/>
      <c r="K11398" s="13"/>
      <c r="L11398" s="13"/>
      <c r="M11398" s="13"/>
      <c r="N11398" s="13"/>
      <c r="O11398" s="13"/>
      <c r="P11398" s="13"/>
      <c r="Q11398" s="13"/>
      <c r="R11398" s="13"/>
      <c r="S11398" s="13"/>
      <c r="T11398" s="13"/>
      <c r="U11398" s="13"/>
      <c r="V11398" s="13"/>
      <c r="W11398" s="13"/>
      <c r="X11398" s="13"/>
      <c r="Y11398" s="13"/>
      <c r="Z11398" s="13"/>
    </row>
    <row r="11399" spans="1:26" ht="12" customHeight="1" outlineLevel="4" x14ac:dyDescent="0.2">
      <c r="A11399" s="32" t="s">
        <v>21660</v>
      </c>
      <c r="B11399" s="74" t="s">
        <v>21661</v>
      </c>
      <c r="C11399" s="50"/>
      <c r="D11399" s="53">
        <f t="shared" si="177"/>
        <v>0</v>
      </c>
      <c r="E11399" s="60" t="str">
        <f>HYPERLINK("https://www.sds-group.ru/product/gibkiy-neon-dip-12x26mm-odnostoronniy-80-led-m-siniy-buhta-50m-5-komplektov-podklyucheniya-n-131-013/", "Инфо")</f>
        <v>Инфо</v>
      </c>
      <c r="F11399" s="34" t="s">
        <v>1767</v>
      </c>
      <c r="G11399" s="33"/>
      <c r="H11399" s="33" t="s">
        <v>40</v>
      </c>
      <c r="I11399" s="33"/>
      <c r="J11399" s="34" t="s">
        <v>100</v>
      </c>
      <c r="K11399" s="33"/>
      <c r="L11399" s="35">
        <v>50</v>
      </c>
      <c r="M11399" s="35">
        <v>50</v>
      </c>
      <c r="N11399" s="35">
        <v>50</v>
      </c>
      <c r="O11399" s="36">
        <v>1830.79</v>
      </c>
      <c r="P11399" s="36">
        <v>1500.65</v>
      </c>
      <c r="Q11399" s="36">
        <v>1281.55</v>
      </c>
      <c r="R11399" s="36">
        <v>1050.45</v>
      </c>
      <c r="S11399" s="36">
        <v>1135.0899999999999</v>
      </c>
      <c r="T11399" s="36">
        <v>930.4</v>
      </c>
      <c r="U11399" s="34"/>
      <c r="V11399" s="34"/>
      <c r="W11399" s="34"/>
      <c r="X11399" s="37">
        <v>0.438</v>
      </c>
      <c r="Y11399" s="38">
        <v>7.7800000000000015E-4</v>
      </c>
      <c r="Z11399" s="21">
        <v>2000031062525</v>
      </c>
    </row>
    <row r="11400" spans="1:26" ht="12.95" customHeight="1" outlineLevel="3" x14ac:dyDescent="0.2">
      <c r="A11400" s="76" t="s">
        <v>21662</v>
      </c>
      <c r="B11400" s="76"/>
      <c r="C11400" s="77"/>
      <c r="D11400" s="58"/>
      <c r="E11400" s="68"/>
      <c r="F11400" s="13"/>
      <c r="G11400" s="13"/>
      <c r="H11400" s="13"/>
      <c r="I11400" s="13"/>
      <c r="J11400" s="13"/>
      <c r="K11400" s="13"/>
      <c r="L11400" s="13"/>
      <c r="M11400" s="13"/>
      <c r="N11400" s="13"/>
      <c r="O11400" s="13"/>
      <c r="P11400" s="13"/>
      <c r="Q11400" s="13"/>
      <c r="R11400" s="13"/>
      <c r="S11400" s="13"/>
      <c r="T11400" s="13"/>
      <c r="U11400" s="13"/>
      <c r="V11400" s="13"/>
      <c r="W11400" s="13"/>
      <c r="X11400" s="13"/>
      <c r="Y11400" s="13"/>
      <c r="Z11400" s="13"/>
    </row>
    <row r="11401" spans="1:26" ht="12" customHeight="1" outlineLevel="4" x14ac:dyDescent="0.2">
      <c r="A11401" s="14" t="s">
        <v>21663</v>
      </c>
      <c r="B11401" s="26" t="s">
        <v>21664</v>
      </c>
      <c r="C11401" s="52"/>
      <c r="D11401" s="55">
        <f t="shared" ref="D11401:D11461" si="178">C11401*(O11401-O11401*$G$3)</f>
        <v>0</v>
      </c>
      <c r="E11401" s="63" t="str">
        <f>HYPERLINK("https://www.sds-group.ru/product/gibkiy-neon-15h26mm-odnostoronniy-120-led-m-belyy-230v-buhta-50m-c-komplektom-podklyucheniya-131-055/", "Инфо")</f>
        <v>Инфо</v>
      </c>
      <c r="F11401" s="16" t="s">
        <v>1767</v>
      </c>
      <c r="G11401" s="15"/>
      <c r="H11401" s="15"/>
      <c r="I11401" s="15"/>
      <c r="J11401" s="16" t="s">
        <v>100</v>
      </c>
      <c r="K11401" s="15" t="s">
        <v>1277</v>
      </c>
      <c r="L11401" s="17">
        <v>50</v>
      </c>
      <c r="M11401" s="17">
        <v>50</v>
      </c>
      <c r="N11401" s="17">
        <v>50</v>
      </c>
      <c r="O11401" s="18">
        <v>1252.3599999999999</v>
      </c>
      <c r="P11401" s="18">
        <v>1026.52</v>
      </c>
      <c r="Q11401" s="18">
        <v>1252.3599999999999</v>
      </c>
      <c r="R11401" s="18">
        <v>1026.52</v>
      </c>
      <c r="S11401" s="18">
        <v>776.46</v>
      </c>
      <c r="T11401" s="18">
        <v>636.44000000000005</v>
      </c>
      <c r="U11401" s="16"/>
      <c r="V11401" s="16"/>
      <c r="W11401" s="16" t="s">
        <v>40</v>
      </c>
      <c r="X11401" s="19">
        <v>0.379</v>
      </c>
      <c r="Y11401" s="20">
        <v>7.3099999999999999E-4</v>
      </c>
      <c r="Z11401" s="21">
        <v>4601004086555</v>
      </c>
    </row>
    <row r="11402" spans="1:26" ht="12" customHeight="1" outlineLevel="4" x14ac:dyDescent="0.2">
      <c r="A11402" s="14" t="s">
        <v>21665</v>
      </c>
      <c r="B11402" s="26" t="s">
        <v>21666</v>
      </c>
      <c r="C11402" s="52"/>
      <c r="D11402" s="55">
        <f t="shared" si="178"/>
        <v>0</v>
      </c>
      <c r="E11402" s="63" t="str">
        <f>HYPERLINK("https://www.sds-group.ru/product/gibkiy-neon-15h26mm-odnostoronniy-120-led-m-teplyy-belyy-230v-buhta-50m-c-komplektom-podklyu-131-056/", "Инфо")</f>
        <v>Инфо</v>
      </c>
      <c r="F11402" s="16" t="s">
        <v>1767</v>
      </c>
      <c r="G11402" s="15"/>
      <c r="H11402" s="15"/>
      <c r="I11402" s="15"/>
      <c r="J11402" s="17">
        <v>50</v>
      </c>
      <c r="K11402" s="15" t="s">
        <v>1277</v>
      </c>
      <c r="L11402" s="17">
        <v>50</v>
      </c>
      <c r="M11402" s="17">
        <v>50</v>
      </c>
      <c r="N11402" s="17">
        <v>50</v>
      </c>
      <c r="O11402" s="18">
        <v>1252.3599999999999</v>
      </c>
      <c r="P11402" s="18">
        <v>1026.52</v>
      </c>
      <c r="Q11402" s="18">
        <v>1252.3599999999999</v>
      </c>
      <c r="R11402" s="18">
        <v>1026.52</v>
      </c>
      <c r="S11402" s="18">
        <v>776.46</v>
      </c>
      <c r="T11402" s="18">
        <v>636.44000000000005</v>
      </c>
      <c r="U11402" s="16"/>
      <c r="V11402" s="16"/>
      <c r="W11402" s="16" t="s">
        <v>40</v>
      </c>
      <c r="X11402" s="19">
        <v>0.371</v>
      </c>
      <c r="Y11402" s="20">
        <v>7.27E-4</v>
      </c>
      <c r="Z11402" s="21">
        <v>4601004086456</v>
      </c>
    </row>
    <row r="11403" spans="1:26" ht="12.95" customHeight="1" outlineLevel="3" x14ac:dyDescent="0.2">
      <c r="A11403" s="76" t="s">
        <v>21667</v>
      </c>
      <c r="B11403" s="76"/>
      <c r="C11403" s="77"/>
      <c r="D11403" s="58"/>
      <c r="E11403" s="68"/>
      <c r="F11403" s="13"/>
      <c r="G11403" s="13"/>
      <c r="H11403" s="13"/>
      <c r="I11403" s="13"/>
      <c r="J11403" s="13"/>
      <c r="K11403" s="13"/>
      <c r="L11403" s="13"/>
      <c r="M11403" s="13"/>
      <c r="N11403" s="13"/>
      <c r="O11403" s="13"/>
      <c r="P11403" s="13"/>
      <c r="Q11403" s="13"/>
      <c r="R11403" s="13"/>
      <c r="S11403" s="13"/>
      <c r="T11403" s="13"/>
      <c r="U11403" s="13"/>
      <c r="V11403" s="13"/>
      <c r="W11403" s="13"/>
      <c r="X11403" s="13"/>
      <c r="Y11403" s="13"/>
      <c r="Z11403" s="13"/>
    </row>
    <row r="11404" spans="1:26" ht="12" customHeight="1" outlineLevel="4" x14ac:dyDescent="0.2">
      <c r="A11404" s="14" t="s">
        <v>21668</v>
      </c>
      <c r="B11404" s="26" t="s">
        <v>21669</v>
      </c>
      <c r="C11404" s="52"/>
      <c r="D11404" s="55">
        <f t="shared" si="178"/>
        <v>0</v>
      </c>
      <c r="E11404" s="63" t="str">
        <f>HYPERLINK("https://www.sds-group.ru/product/gibkiy-neon-16h16mm-forma-d-144-led-m-belyy-230v-buhta-50m-c-komplektom-podklyucheniya-neon--131-085/", "Инфо")</f>
        <v>Инфо</v>
      </c>
      <c r="F11404" s="16" t="s">
        <v>1767</v>
      </c>
      <c r="G11404" s="15"/>
      <c r="H11404" s="15"/>
      <c r="I11404" s="15"/>
      <c r="J11404" s="22">
        <v>3100</v>
      </c>
      <c r="K11404" s="15"/>
      <c r="L11404" s="17">
        <v>50</v>
      </c>
      <c r="M11404" s="17">
        <v>50</v>
      </c>
      <c r="N11404" s="17">
        <v>50</v>
      </c>
      <c r="O11404" s="18">
        <v>717.46</v>
      </c>
      <c r="P11404" s="18">
        <v>588.08000000000004</v>
      </c>
      <c r="Q11404" s="18">
        <v>717.46</v>
      </c>
      <c r="R11404" s="18">
        <v>588.08000000000004</v>
      </c>
      <c r="S11404" s="18">
        <v>444.83</v>
      </c>
      <c r="T11404" s="18">
        <v>364.61</v>
      </c>
      <c r="U11404" s="16"/>
      <c r="V11404" s="16"/>
      <c r="W11404" s="16" t="s">
        <v>40</v>
      </c>
      <c r="X11404" s="19">
        <v>0.223</v>
      </c>
      <c r="Y11404" s="20">
        <v>4.5600000000000003E-4</v>
      </c>
      <c r="Z11404" s="21">
        <v>4601004162044</v>
      </c>
    </row>
    <row r="11405" spans="1:26" ht="12" customHeight="1" outlineLevel="4" x14ac:dyDescent="0.2">
      <c r="A11405" s="14" t="s">
        <v>21670</v>
      </c>
      <c r="B11405" s="26" t="s">
        <v>21671</v>
      </c>
      <c r="C11405" s="52"/>
      <c r="D11405" s="55">
        <f t="shared" si="178"/>
        <v>0</v>
      </c>
      <c r="E11405" s="63" t="str">
        <f>HYPERLINK("https://www.sds-group.ru/product/gibkiy-neon-16h16mm-forma-d-144-led-m-zheltyy-230v-buhta-50m-c-komplektom-podklyucheniya-neo-131-081/", "Инфо")</f>
        <v>Инфо</v>
      </c>
      <c r="F11405" s="16" t="s">
        <v>1767</v>
      </c>
      <c r="G11405" s="15"/>
      <c r="H11405" s="15"/>
      <c r="I11405" s="15"/>
      <c r="J11405" s="16" t="s">
        <v>100</v>
      </c>
      <c r="K11405" s="15" t="s">
        <v>11098</v>
      </c>
      <c r="L11405" s="17">
        <v>50</v>
      </c>
      <c r="M11405" s="17">
        <v>50</v>
      </c>
      <c r="N11405" s="17">
        <v>50</v>
      </c>
      <c r="O11405" s="18">
        <v>717.46</v>
      </c>
      <c r="P11405" s="18">
        <v>588.08000000000004</v>
      </c>
      <c r="Q11405" s="18">
        <v>717.46</v>
      </c>
      <c r="R11405" s="18">
        <v>588.08000000000004</v>
      </c>
      <c r="S11405" s="18">
        <v>444.83</v>
      </c>
      <c r="T11405" s="18">
        <v>364.61</v>
      </c>
      <c r="U11405" s="16"/>
      <c r="V11405" s="16"/>
      <c r="W11405" s="16" t="s">
        <v>40</v>
      </c>
      <c r="X11405" s="19">
        <v>0.223</v>
      </c>
      <c r="Y11405" s="20">
        <v>4.6799999999999999E-4</v>
      </c>
      <c r="Z11405" s="21">
        <v>4601004162013</v>
      </c>
    </row>
    <row r="11406" spans="1:26" ht="12" customHeight="1" outlineLevel="4" x14ac:dyDescent="0.2">
      <c r="A11406" s="14" t="s">
        <v>21672</v>
      </c>
      <c r="B11406" s="26" t="s">
        <v>21673</v>
      </c>
      <c r="C11406" s="52"/>
      <c r="D11406" s="55">
        <f t="shared" si="178"/>
        <v>0</v>
      </c>
      <c r="E11406" s="63" t="str">
        <f>HYPERLINK("https://www.sds-group.ru/product/gibkiy-neon-16h16mm-forma-d-144-led-m-krasnyy-230v-buhta-50m-c-komplektom-podklyucheniya-neo-131-082/", "Инфо")</f>
        <v>Инфо</v>
      </c>
      <c r="F11406" s="16" t="s">
        <v>1767</v>
      </c>
      <c r="G11406" s="15"/>
      <c r="H11406" s="15"/>
      <c r="I11406" s="15"/>
      <c r="J11406" s="17">
        <v>750</v>
      </c>
      <c r="K11406" s="15"/>
      <c r="L11406" s="17">
        <v>50</v>
      </c>
      <c r="M11406" s="17">
        <v>50</v>
      </c>
      <c r="N11406" s="17">
        <v>50</v>
      </c>
      <c r="O11406" s="18">
        <v>717.46</v>
      </c>
      <c r="P11406" s="18">
        <v>588.08000000000004</v>
      </c>
      <c r="Q11406" s="18">
        <v>717.46</v>
      </c>
      <c r="R11406" s="18">
        <v>588.08000000000004</v>
      </c>
      <c r="S11406" s="18">
        <v>444.83</v>
      </c>
      <c r="T11406" s="18">
        <v>364.61</v>
      </c>
      <c r="U11406" s="16"/>
      <c r="V11406" s="16"/>
      <c r="W11406" s="16" t="s">
        <v>40</v>
      </c>
      <c r="X11406" s="19">
        <v>0.223</v>
      </c>
      <c r="Y11406" s="20">
        <v>4.5899999999999999E-4</v>
      </c>
      <c r="Z11406" s="21">
        <v>4601004162020</v>
      </c>
    </row>
    <row r="11407" spans="1:26" ht="12" customHeight="1" outlineLevel="4" x14ac:dyDescent="0.2">
      <c r="A11407" s="14" t="s">
        <v>21674</v>
      </c>
      <c r="B11407" s="26" t="s">
        <v>21675</v>
      </c>
      <c r="C11407" s="52"/>
      <c r="D11407" s="55">
        <f t="shared" si="178"/>
        <v>0</v>
      </c>
      <c r="E11407" s="63" t="str">
        <f>HYPERLINK("https://www.sds-group.ru/product/gibkiy-neon-16h16mm-forma-d-144-led-m-siniy-230v-buhta-50m-c-komplektom-podklyucheniya-neon--131-083/", "Инфо")</f>
        <v>Инфо</v>
      </c>
      <c r="F11407" s="16" t="s">
        <v>1767</v>
      </c>
      <c r="G11407" s="15"/>
      <c r="H11407" s="15"/>
      <c r="I11407" s="15"/>
      <c r="J11407" s="22">
        <v>2800</v>
      </c>
      <c r="K11407" s="15" t="s">
        <v>11098</v>
      </c>
      <c r="L11407" s="17">
        <v>50</v>
      </c>
      <c r="M11407" s="17">
        <v>50</v>
      </c>
      <c r="N11407" s="17">
        <v>50</v>
      </c>
      <c r="O11407" s="18">
        <v>717.46</v>
      </c>
      <c r="P11407" s="18">
        <v>588.08000000000004</v>
      </c>
      <c r="Q11407" s="18">
        <v>717.46</v>
      </c>
      <c r="R11407" s="18">
        <v>588.08000000000004</v>
      </c>
      <c r="S11407" s="18">
        <v>444.83</v>
      </c>
      <c r="T11407" s="18">
        <v>364.61</v>
      </c>
      <c r="U11407" s="16"/>
      <c r="V11407" s="16"/>
      <c r="W11407" s="16" t="s">
        <v>40</v>
      </c>
      <c r="X11407" s="19">
        <v>0.218</v>
      </c>
      <c r="Y11407" s="20">
        <v>4.6700000000000002E-4</v>
      </c>
      <c r="Z11407" s="21">
        <v>4601004162037</v>
      </c>
    </row>
    <row r="11408" spans="1:26" ht="12" customHeight="1" outlineLevel="4" x14ac:dyDescent="0.2">
      <c r="A11408" s="14" t="s">
        <v>21676</v>
      </c>
      <c r="B11408" s="26" t="s">
        <v>21677</v>
      </c>
      <c r="C11408" s="52"/>
      <c r="D11408" s="55">
        <f t="shared" si="178"/>
        <v>0</v>
      </c>
      <c r="E11408" s="63" t="str">
        <f>HYPERLINK("https://www.sds-group.ru/product/gibkiy-neon-16h16mm-forma-d-144-led-m-teplyy-belyy-230v-buhta-50m-c-komplektom-podklyucheniy-131-086/", "Инфо")</f>
        <v>Инфо</v>
      </c>
      <c r="F11408" s="16" t="s">
        <v>1767</v>
      </c>
      <c r="G11408" s="15"/>
      <c r="H11408" s="15"/>
      <c r="I11408" s="15"/>
      <c r="J11408" s="22">
        <v>4499</v>
      </c>
      <c r="K11408" s="15" t="s">
        <v>11098</v>
      </c>
      <c r="L11408" s="17">
        <v>50</v>
      </c>
      <c r="M11408" s="17">
        <v>50</v>
      </c>
      <c r="N11408" s="17">
        <v>50</v>
      </c>
      <c r="O11408" s="18">
        <v>717.46</v>
      </c>
      <c r="P11408" s="18">
        <v>588.08000000000004</v>
      </c>
      <c r="Q11408" s="18">
        <v>717.46</v>
      </c>
      <c r="R11408" s="18">
        <v>588.08000000000004</v>
      </c>
      <c r="S11408" s="18">
        <v>444.83</v>
      </c>
      <c r="T11408" s="18">
        <v>364.61</v>
      </c>
      <c r="U11408" s="16"/>
      <c r="V11408" s="16"/>
      <c r="W11408" s="16" t="s">
        <v>40</v>
      </c>
      <c r="X11408" s="19">
        <v>0.223</v>
      </c>
      <c r="Y11408" s="20">
        <v>4.6700000000000002E-4</v>
      </c>
      <c r="Z11408" s="21">
        <v>4601004162051</v>
      </c>
    </row>
    <row r="11409" spans="1:26" ht="12.95" customHeight="1" outlineLevel="3" x14ac:dyDescent="0.2">
      <c r="A11409" s="76" t="s">
        <v>21678</v>
      </c>
      <c r="B11409" s="76"/>
      <c r="C11409" s="77"/>
      <c r="D11409" s="58"/>
      <c r="E11409" s="68"/>
      <c r="F11409" s="13"/>
      <c r="G11409" s="13"/>
      <c r="H11409" s="13"/>
      <c r="I11409" s="13"/>
      <c r="J11409" s="13"/>
      <c r="K11409" s="13"/>
      <c r="L11409" s="13"/>
      <c r="M11409" s="13"/>
      <c r="N11409" s="13"/>
      <c r="O11409" s="13"/>
      <c r="P11409" s="13"/>
      <c r="Q11409" s="13"/>
      <c r="R11409" s="13"/>
      <c r="S11409" s="13"/>
      <c r="T11409" s="13"/>
      <c r="U11409" s="13"/>
      <c r="V11409" s="13"/>
      <c r="W11409" s="13"/>
      <c r="X11409" s="13"/>
      <c r="Y11409" s="13"/>
      <c r="Z11409" s="13"/>
    </row>
    <row r="11410" spans="1:26" ht="12" customHeight="1" outlineLevel="4" x14ac:dyDescent="0.2">
      <c r="A11410" s="14" t="s">
        <v>21679</v>
      </c>
      <c r="B11410" s="26" t="s">
        <v>21680</v>
      </c>
      <c r="C11410" s="52"/>
      <c r="D11410" s="55">
        <f t="shared" si="178"/>
        <v>0</v>
      </c>
      <c r="E11410" s="63" t="str">
        <f>HYPERLINK("https://www.sds-group.ru/product/gibkiy-neon-8h16mm-dvuhstoronniy-120-led-m-belyy-230v-buhta-100m-s-komplektom-podklyucheniya-131-095/", "Инфо")</f>
        <v>Инфо</v>
      </c>
      <c r="F11410" s="16" t="s">
        <v>1767</v>
      </c>
      <c r="G11410" s="15"/>
      <c r="H11410" s="15"/>
      <c r="I11410" s="15"/>
      <c r="J11410" s="22">
        <v>6250</v>
      </c>
      <c r="K11410" s="15" t="s">
        <v>21151</v>
      </c>
      <c r="L11410" s="17">
        <v>100</v>
      </c>
      <c r="M11410" s="17">
        <v>100</v>
      </c>
      <c r="N11410" s="17">
        <v>100</v>
      </c>
      <c r="O11410" s="18">
        <v>523.79999999999995</v>
      </c>
      <c r="P11410" s="18">
        <v>429.34</v>
      </c>
      <c r="Q11410" s="18">
        <v>523.79999999999995</v>
      </c>
      <c r="R11410" s="18">
        <v>429.34</v>
      </c>
      <c r="S11410" s="18">
        <v>324.76</v>
      </c>
      <c r="T11410" s="18">
        <v>266.2</v>
      </c>
      <c r="U11410" s="16"/>
      <c r="V11410" s="16"/>
      <c r="W11410" s="16" t="s">
        <v>40</v>
      </c>
      <c r="X11410" s="19">
        <v>0.152</v>
      </c>
      <c r="Y11410" s="20">
        <v>2.8600000000000001E-4</v>
      </c>
      <c r="Z11410" s="21">
        <v>4601004161825</v>
      </c>
    </row>
    <row r="11411" spans="1:26" ht="12" customHeight="1" outlineLevel="4" x14ac:dyDescent="0.2">
      <c r="A11411" s="14" t="s">
        <v>21681</v>
      </c>
      <c r="B11411" s="26" t="s">
        <v>21682</v>
      </c>
      <c r="C11411" s="52"/>
      <c r="D11411" s="55">
        <f t="shared" si="178"/>
        <v>0</v>
      </c>
      <c r="E11411" s="63" t="str">
        <f>HYPERLINK("https://www.sds-group.ru/product/gibkiy-neon-8h16mm-dvuhstoronniy-120-led-m-belyy-24v-buhta-50m-3-komplekta-podklyucheniya-ne-131-115/", "Инфо")</f>
        <v>Инфо</v>
      </c>
      <c r="F11411" s="16" t="s">
        <v>1767</v>
      </c>
      <c r="G11411" s="15"/>
      <c r="H11411" s="15"/>
      <c r="I11411" s="15"/>
      <c r="J11411" s="22">
        <v>2750</v>
      </c>
      <c r="K11411" s="15" t="s">
        <v>21151</v>
      </c>
      <c r="L11411" s="17">
        <v>50</v>
      </c>
      <c r="M11411" s="17">
        <v>50</v>
      </c>
      <c r="N11411" s="17">
        <v>50</v>
      </c>
      <c r="O11411" s="18">
        <v>523.80999999999995</v>
      </c>
      <c r="P11411" s="18">
        <v>429.35</v>
      </c>
      <c r="Q11411" s="18">
        <v>523.80999999999995</v>
      </c>
      <c r="R11411" s="18">
        <v>429.35</v>
      </c>
      <c r="S11411" s="18">
        <v>324.76</v>
      </c>
      <c r="T11411" s="18">
        <v>266.2</v>
      </c>
      <c r="U11411" s="16"/>
      <c r="V11411" s="16"/>
      <c r="W11411" s="16" t="s">
        <v>40</v>
      </c>
      <c r="X11411" s="19">
        <v>0.13800000000000001</v>
      </c>
      <c r="Y11411" s="20">
        <v>3.1E-4</v>
      </c>
      <c r="Z11411" s="21">
        <v>4601004285644</v>
      </c>
    </row>
    <row r="11412" spans="1:26" ht="12" customHeight="1" outlineLevel="4" x14ac:dyDescent="0.2">
      <c r="A11412" s="14" t="s">
        <v>21683</v>
      </c>
      <c r="B11412" s="26" t="s">
        <v>21684</v>
      </c>
      <c r="C11412" s="52"/>
      <c r="D11412" s="55">
        <f t="shared" si="178"/>
        <v>0</v>
      </c>
      <c r="E11412" s="63" t="str">
        <f>HYPERLINK("https://www.sds-group.ru/product/gibkiy-neon-8h16mm-dvuhstoronniy-120-led-m-zheltyy-230v-buhta-100m-s-komplektom-podklyucheni-131-091/", "Инфо")</f>
        <v>Инфо</v>
      </c>
      <c r="F11412" s="16" t="s">
        <v>1767</v>
      </c>
      <c r="G11412" s="15"/>
      <c r="H11412" s="15"/>
      <c r="I11412" s="15"/>
      <c r="J11412" s="16" t="s">
        <v>100</v>
      </c>
      <c r="K11412" s="15"/>
      <c r="L11412" s="17">
        <v>100</v>
      </c>
      <c r="M11412" s="17">
        <v>100</v>
      </c>
      <c r="N11412" s="17">
        <v>100</v>
      </c>
      <c r="O11412" s="18">
        <v>523.79999999999995</v>
      </c>
      <c r="P11412" s="18">
        <v>429.34</v>
      </c>
      <c r="Q11412" s="18">
        <v>523.79999999999995</v>
      </c>
      <c r="R11412" s="18">
        <v>429.34</v>
      </c>
      <c r="S11412" s="18">
        <v>324.76</v>
      </c>
      <c r="T11412" s="18">
        <v>266.2</v>
      </c>
      <c r="U11412" s="16"/>
      <c r="V11412" s="16"/>
      <c r="W11412" s="16" t="s">
        <v>40</v>
      </c>
      <c r="X11412" s="19">
        <v>0.153</v>
      </c>
      <c r="Y11412" s="20">
        <v>2.9E-4</v>
      </c>
      <c r="Z11412" s="21">
        <v>4601004252424</v>
      </c>
    </row>
    <row r="11413" spans="1:26" ht="12" customHeight="1" outlineLevel="4" x14ac:dyDescent="0.2">
      <c r="A11413" s="14" t="s">
        <v>21685</v>
      </c>
      <c r="B11413" s="26" t="s">
        <v>21686</v>
      </c>
      <c r="C11413" s="52"/>
      <c r="D11413" s="55">
        <f t="shared" si="178"/>
        <v>0</v>
      </c>
      <c r="E11413" s="63" t="str">
        <f>HYPERLINK("https://www.sds-group.ru/product/gibkiy-neon-8h16mm-dvuhstoronniy-120-led-m-krasnyy-230v-buhta-100m-s-komplektom-podklyucheni-131-092/", "Инфо")</f>
        <v>Инфо</v>
      </c>
      <c r="F11413" s="16" t="s">
        <v>1767</v>
      </c>
      <c r="G11413" s="15"/>
      <c r="H11413" s="15"/>
      <c r="I11413" s="15"/>
      <c r="J11413" s="22">
        <v>1800</v>
      </c>
      <c r="K11413" s="15"/>
      <c r="L11413" s="17">
        <v>100</v>
      </c>
      <c r="M11413" s="17">
        <v>100</v>
      </c>
      <c r="N11413" s="17">
        <v>100</v>
      </c>
      <c r="O11413" s="18">
        <v>523.79999999999995</v>
      </c>
      <c r="P11413" s="18">
        <v>429.34</v>
      </c>
      <c r="Q11413" s="18">
        <v>523.79999999999995</v>
      </c>
      <c r="R11413" s="18">
        <v>429.34</v>
      </c>
      <c r="S11413" s="18">
        <v>324.76</v>
      </c>
      <c r="T11413" s="18">
        <v>266.2</v>
      </c>
      <c r="U11413" s="16"/>
      <c r="V11413" s="16"/>
      <c r="W11413" s="16" t="s">
        <v>40</v>
      </c>
      <c r="X11413" s="19">
        <v>0.154</v>
      </c>
      <c r="Y11413" s="20">
        <v>2.9E-4</v>
      </c>
      <c r="Z11413" s="21">
        <v>4601004161832</v>
      </c>
    </row>
    <row r="11414" spans="1:26" ht="12" customHeight="1" outlineLevel="4" x14ac:dyDescent="0.2">
      <c r="A11414" s="14" t="s">
        <v>21687</v>
      </c>
      <c r="B11414" s="26" t="s">
        <v>21688</v>
      </c>
      <c r="C11414" s="52"/>
      <c r="D11414" s="55">
        <f t="shared" si="178"/>
        <v>0</v>
      </c>
      <c r="E11414" s="63" t="str">
        <f>HYPERLINK("https://www.sds-group.ru/product/gibkiy-neon-8h16mm-dvuhstoronniy-120-led-m-siniy-230v-buhta-100m-s-komplektom-podklyucheniya-131-093/", "Инфо")</f>
        <v>Инфо</v>
      </c>
      <c r="F11414" s="16" t="s">
        <v>1767</v>
      </c>
      <c r="G11414" s="15"/>
      <c r="H11414" s="15"/>
      <c r="I11414" s="15"/>
      <c r="J11414" s="16" t="s">
        <v>100</v>
      </c>
      <c r="K11414" s="15" t="s">
        <v>21151</v>
      </c>
      <c r="L11414" s="17">
        <v>100</v>
      </c>
      <c r="M11414" s="17">
        <v>100</v>
      </c>
      <c r="N11414" s="17">
        <v>100</v>
      </c>
      <c r="O11414" s="18">
        <v>523.79999999999995</v>
      </c>
      <c r="P11414" s="18">
        <v>429.34</v>
      </c>
      <c r="Q11414" s="18">
        <v>523.79999999999995</v>
      </c>
      <c r="R11414" s="18">
        <v>429.34</v>
      </c>
      <c r="S11414" s="18">
        <v>324.76</v>
      </c>
      <c r="T11414" s="18">
        <v>266.2</v>
      </c>
      <c r="U11414" s="16"/>
      <c r="V11414" s="16"/>
      <c r="W11414" s="16" t="s">
        <v>40</v>
      </c>
      <c r="X11414" s="19">
        <v>0.152</v>
      </c>
      <c r="Y11414" s="20">
        <v>2.8800000000000001E-4</v>
      </c>
      <c r="Z11414" s="21">
        <v>4601004161849</v>
      </c>
    </row>
    <row r="11415" spans="1:26" ht="12" customHeight="1" outlineLevel="4" x14ac:dyDescent="0.2">
      <c r="A11415" s="14" t="s">
        <v>21689</v>
      </c>
      <c r="B11415" s="26" t="s">
        <v>21690</v>
      </c>
      <c r="C11415" s="52"/>
      <c r="D11415" s="55">
        <f t="shared" si="178"/>
        <v>0</v>
      </c>
      <c r="E11415" s="63" t="str">
        <f>HYPERLINK("https://www.sds-group.ru/product/gibkiy-neon-8h16mm-dvuhstoronniy-120-led-m-teplyy-belyy-230v-buhta-100m-s-komplektom-podklyu-131-096/", "Инфо")</f>
        <v>Инфо</v>
      </c>
      <c r="F11415" s="16" t="s">
        <v>1767</v>
      </c>
      <c r="G11415" s="15"/>
      <c r="H11415" s="15"/>
      <c r="I11415" s="15"/>
      <c r="J11415" s="22">
        <v>7200</v>
      </c>
      <c r="K11415" s="15" t="s">
        <v>21151</v>
      </c>
      <c r="L11415" s="17">
        <v>100</v>
      </c>
      <c r="M11415" s="17">
        <v>100</v>
      </c>
      <c r="N11415" s="17">
        <v>100</v>
      </c>
      <c r="O11415" s="18">
        <v>523.79999999999995</v>
      </c>
      <c r="P11415" s="18">
        <v>429.34</v>
      </c>
      <c r="Q11415" s="18">
        <v>523.79999999999995</v>
      </c>
      <c r="R11415" s="18">
        <v>429.34</v>
      </c>
      <c r="S11415" s="18">
        <v>324.76</v>
      </c>
      <c r="T11415" s="18">
        <v>266.2</v>
      </c>
      <c r="U11415" s="16"/>
      <c r="V11415" s="16"/>
      <c r="W11415" s="16" t="s">
        <v>40</v>
      </c>
      <c r="X11415" s="19">
        <v>0.153</v>
      </c>
      <c r="Y11415" s="20">
        <v>2.7700000000000001E-4</v>
      </c>
      <c r="Z11415" s="21">
        <v>4601004161818</v>
      </c>
    </row>
    <row r="11416" spans="1:26" ht="12" customHeight="1" outlineLevel="4" x14ac:dyDescent="0.2">
      <c r="A11416" s="14" t="s">
        <v>21691</v>
      </c>
      <c r="B11416" s="26" t="s">
        <v>21692</v>
      </c>
      <c r="C11416" s="52"/>
      <c r="D11416" s="55">
        <f t="shared" si="178"/>
        <v>0</v>
      </c>
      <c r="E11416" s="63" t="str">
        <f>HYPERLINK("https://www.sds-group.ru/product/gibkiy-neon-8h16mm-dvuhstoronniy-120-led-m-teplyy-belyy-24v-buhta-50m-3-komplekta-podklyuche-131-116/", "Инфо")</f>
        <v>Инфо</v>
      </c>
      <c r="F11416" s="16" t="s">
        <v>1767</v>
      </c>
      <c r="G11416" s="15"/>
      <c r="H11416" s="15"/>
      <c r="I11416" s="15"/>
      <c r="J11416" s="22">
        <v>6050</v>
      </c>
      <c r="K11416" s="15"/>
      <c r="L11416" s="17">
        <v>50</v>
      </c>
      <c r="M11416" s="17">
        <v>50</v>
      </c>
      <c r="N11416" s="17">
        <v>50</v>
      </c>
      <c r="O11416" s="18">
        <v>523.80999999999995</v>
      </c>
      <c r="P11416" s="18">
        <v>429.35</v>
      </c>
      <c r="Q11416" s="18">
        <v>523.80999999999995</v>
      </c>
      <c r="R11416" s="18">
        <v>429.35</v>
      </c>
      <c r="S11416" s="18">
        <v>324.76</v>
      </c>
      <c r="T11416" s="18">
        <v>266.2</v>
      </c>
      <c r="U11416" s="16"/>
      <c r="V11416" s="16"/>
      <c r="W11416" s="16" t="s">
        <v>40</v>
      </c>
      <c r="X11416" s="19">
        <v>0.13600000000000001</v>
      </c>
      <c r="Y11416" s="20">
        <v>2.9599999999999998E-4</v>
      </c>
      <c r="Z11416" s="21">
        <v>4601004285194</v>
      </c>
    </row>
    <row r="11417" spans="1:26" ht="12" customHeight="1" outlineLevel="4" x14ac:dyDescent="0.2">
      <c r="A11417" s="14" t="s">
        <v>21693</v>
      </c>
      <c r="B11417" s="26" t="s">
        <v>21694</v>
      </c>
      <c r="C11417" s="52"/>
      <c r="D11417" s="55">
        <f t="shared" si="178"/>
        <v>0</v>
      </c>
      <c r="E11417" s="63" t="str">
        <f>HYPERLINK("https://www.sds-group.ru/product/gibkiy-neon-8h16mm-odnostoronniy-120-led-m-belyy-230v-buhta-100m-s-komplektom-podklyucheniya-131-045/", "Инфо")</f>
        <v>Инфо</v>
      </c>
      <c r="F11417" s="16" t="s">
        <v>1767</v>
      </c>
      <c r="G11417" s="15"/>
      <c r="H11417" s="15"/>
      <c r="I11417" s="15"/>
      <c r="J11417" s="16" t="s">
        <v>100</v>
      </c>
      <c r="K11417" s="15" t="s">
        <v>21151</v>
      </c>
      <c r="L11417" s="17">
        <v>100</v>
      </c>
      <c r="M11417" s="17">
        <v>100</v>
      </c>
      <c r="N11417" s="17">
        <v>100</v>
      </c>
      <c r="O11417" s="18">
        <v>479.98</v>
      </c>
      <c r="P11417" s="18">
        <v>393.43</v>
      </c>
      <c r="Q11417" s="18">
        <v>479.98</v>
      </c>
      <c r="R11417" s="18">
        <v>393.43</v>
      </c>
      <c r="S11417" s="18">
        <v>297.58999999999997</v>
      </c>
      <c r="T11417" s="18">
        <v>243.93</v>
      </c>
      <c r="U11417" s="16"/>
      <c r="V11417" s="16"/>
      <c r="W11417" s="16" t="s">
        <v>40</v>
      </c>
      <c r="X11417" s="19">
        <v>0.152</v>
      </c>
      <c r="Y11417" s="20">
        <v>2.7799999999999998E-4</v>
      </c>
      <c r="Z11417" s="21">
        <v>4601004163201</v>
      </c>
    </row>
    <row r="11418" spans="1:26" ht="12" customHeight="1" outlineLevel="4" x14ac:dyDescent="0.2">
      <c r="A11418" s="14" t="s">
        <v>21695</v>
      </c>
      <c r="B11418" s="26" t="s">
        <v>21696</v>
      </c>
      <c r="C11418" s="52"/>
      <c r="D11418" s="55">
        <f t="shared" si="178"/>
        <v>0</v>
      </c>
      <c r="E11418" s="63" t="str">
        <f>HYPERLINK("https://www.sds-group.ru/product/gibkiy-neon-8h16mm-odnostoronniy-120-led-m-belyy-24v-buhta-50m-3-komplekta-podklyucheniya-ne-131-125/", "Инфо")</f>
        <v>Инфо</v>
      </c>
      <c r="F11418" s="16" t="s">
        <v>1767</v>
      </c>
      <c r="G11418" s="15"/>
      <c r="H11418" s="15"/>
      <c r="I11418" s="15"/>
      <c r="J11418" s="16" t="s">
        <v>100</v>
      </c>
      <c r="K11418" s="15"/>
      <c r="L11418" s="17">
        <v>50</v>
      </c>
      <c r="M11418" s="17">
        <v>50</v>
      </c>
      <c r="N11418" s="17">
        <v>50</v>
      </c>
      <c r="O11418" s="18">
        <v>639.9</v>
      </c>
      <c r="P11418" s="18">
        <v>524.51</v>
      </c>
      <c r="Q11418" s="18">
        <v>639.9</v>
      </c>
      <c r="R11418" s="18">
        <v>524.51</v>
      </c>
      <c r="S11418" s="18">
        <v>396.74</v>
      </c>
      <c r="T11418" s="18">
        <v>325.2</v>
      </c>
      <c r="U11418" s="16"/>
      <c r="V11418" s="16"/>
      <c r="W11418" s="16" t="s">
        <v>40</v>
      </c>
      <c r="X11418" s="19">
        <v>0.17399999999999999</v>
      </c>
      <c r="Y11418" s="20">
        <v>3.2699999999999998E-4</v>
      </c>
      <c r="Z11418" s="21">
        <v>4601004295216</v>
      </c>
    </row>
    <row r="11419" spans="1:26" ht="12" customHeight="1" outlineLevel="4" x14ac:dyDescent="0.2">
      <c r="A11419" s="14" t="s">
        <v>21697</v>
      </c>
      <c r="B11419" s="26" t="s">
        <v>21698</v>
      </c>
      <c r="C11419" s="52"/>
      <c r="D11419" s="55">
        <f t="shared" si="178"/>
        <v>0</v>
      </c>
      <c r="E11419" s="63" t="str">
        <f>HYPERLINK("https://www.sds-group.ru/product/gibkiy-neon-8h16mm-odnostoronniy-120-led-m-zelenyy-230v-buhta-100m-s-komplektom-podklyucheni-131-044/", "Инфо")</f>
        <v>Инфо</v>
      </c>
      <c r="F11419" s="16" t="s">
        <v>1767</v>
      </c>
      <c r="G11419" s="15"/>
      <c r="H11419" s="15"/>
      <c r="I11419" s="15"/>
      <c r="J11419" s="16" t="s">
        <v>100</v>
      </c>
      <c r="K11419" s="15"/>
      <c r="L11419" s="17">
        <v>100</v>
      </c>
      <c r="M11419" s="17">
        <v>100</v>
      </c>
      <c r="N11419" s="17">
        <v>100</v>
      </c>
      <c r="O11419" s="18">
        <v>479.98</v>
      </c>
      <c r="P11419" s="18">
        <v>393.43</v>
      </c>
      <c r="Q11419" s="18">
        <v>479.98</v>
      </c>
      <c r="R11419" s="18">
        <v>393.43</v>
      </c>
      <c r="S11419" s="18">
        <v>297.58999999999997</v>
      </c>
      <c r="T11419" s="18">
        <v>243.93</v>
      </c>
      <c r="U11419" s="16"/>
      <c r="V11419" s="16"/>
      <c r="W11419" s="16" t="s">
        <v>40</v>
      </c>
      <c r="X11419" s="19">
        <v>0.152</v>
      </c>
      <c r="Y11419" s="20">
        <v>2.9E-4</v>
      </c>
      <c r="Z11419" s="21">
        <v>4601004322875</v>
      </c>
    </row>
    <row r="11420" spans="1:26" ht="12" customHeight="1" outlineLevel="4" x14ac:dyDescent="0.2">
      <c r="A11420" s="14" t="s">
        <v>21699</v>
      </c>
      <c r="B11420" s="26" t="s">
        <v>21700</v>
      </c>
      <c r="C11420" s="52"/>
      <c r="D11420" s="55">
        <f t="shared" si="178"/>
        <v>0</v>
      </c>
      <c r="E11420" s="63" t="str">
        <f>HYPERLINK("https://www.sds-group.ru/product/gibkiy-neon-8h16mm-odnostoronniy-120-led-m-krasnyy-230v-buhta-100m-s-komplektom-podklyucheni-131-042/", "Инфо")</f>
        <v>Инфо</v>
      </c>
      <c r="F11420" s="16" t="s">
        <v>1767</v>
      </c>
      <c r="G11420" s="15"/>
      <c r="H11420" s="15"/>
      <c r="I11420" s="15"/>
      <c r="J11420" s="22">
        <v>2000</v>
      </c>
      <c r="K11420" s="15"/>
      <c r="L11420" s="17">
        <v>100</v>
      </c>
      <c r="M11420" s="17">
        <v>100</v>
      </c>
      <c r="N11420" s="17">
        <v>100</v>
      </c>
      <c r="O11420" s="18">
        <v>479.98</v>
      </c>
      <c r="P11420" s="18">
        <v>393.43</v>
      </c>
      <c r="Q11420" s="18">
        <v>479.98</v>
      </c>
      <c r="R11420" s="18">
        <v>393.43</v>
      </c>
      <c r="S11420" s="18">
        <v>297.58999999999997</v>
      </c>
      <c r="T11420" s="18">
        <v>243.93</v>
      </c>
      <c r="U11420" s="16"/>
      <c r="V11420" s="16"/>
      <c r="W11420" s="16" t="s">
        <v>40</v>
      </c>
      <c r="X11420" s="19">
        <v>0.151</v>
      </c>
      <c r="Y11420" s="20">
        <v>2.9300000000000002E-4</v>
      </c>
      <c r="Z11420" s="21">
        <v>4601004322868</v>
      </c>
    </row>
    <row r="11421" spans="1:26" ht="12" customHeight="1" outlineLevel="4" x14ac:dyDescent="0.2">
      <c r="A11421" s="14" t="s">
        <v>21701</v>
      </c>
      <c r="B11421" s="26" t="s">
        <v>21702</v>
      </c>
      <c r="C11421" s="52"/>
      <c r="D11421" s="55">
        <f t="shared" si="178"/>
        <v>0</v>
      </c>
      <c r="E11421" s="63" t="str">
        <f>HYPERLINK("https://www.sds-group.ru/product/gibkiy-neon-8h16mm-odnostoronniy-120-led-m-siniy-230v-buhta-100m-s-komplektom-podklyucheniya-131-043/", "Инфо")</f>
        <v>Инфо</v>
      </c>
      <c r="F11421" s="16" t="s">
        <v>1767</v>
      </c>
      <c r="G11421" s="15"/>
      <c r="H11421" s="15"/>
      <c r="I11421" s="15"/>
      <c r="J11421" s="16" t="s">
        <v>100</v>
      </c>
      <c r="K11421" s="15"/>
      <c r="L11421" s="17">
        <v>100</v>
      </c>
      <c r="M11421" s="17">
        <v>100</v>
      </c>
      <c r="N11421" s="17">
        <v>100</v>
      </c>
      <c r="O11421" s="18">
        <v>479.98</v>
      </c>
      <c r="P11421" s="18">
        <v>393.43</v>
      </c>
      <c r="Q11421" s="18">
        <v>479.98</v>
      </c>
      <c r="R11421" s="18">
        <v>393.43</v>
      </c>
      <c r="S11421" s="18">
        <v>297.58999999999997</v>
      </c>
      <c r="T11421" s="18">
        <v>243.93</v>
      </c>
      <c r="U11421" s="16"/>
      <c r="V11421" s="16"/>
      <c r="W11421" s="16" t="s">
        <v>40</v>
      </c>
      <c r="X11421" s="19">
        <v>0.155</v>
      </c>
      <c r="Y11421" s="20">
        <v>2.9300000000000002E-4</v>
      </c>
      <c r="Z11421" s="21">
        <v>4601004163218</v>
      </c>
    </row>
    <row r="11422" spans="1:26" ht="12" customHeight="1" outlineLevel="4" x14ac:dyDescent="0.2">
      <c r="A11422" s="14" t="s">
        <v>21703</v>
      </c>
      <c r="B11422" s="26" t="s">
        <v>21704</v>
      </c>
      <c r="C11422" s="52"/>
      <c r="D11422" s="55">
        <f t="shared" si="178"/>
        <v>0</v>
      </c>
      <c r="E11422" s="63" t="str">
        <f>HYPERLINK("https://www.sds-group.ru/product/gibkiy-neon-8h16mm-odnostoronniy-120-led-m-teplyy-belyy-230v-buhta-100m-s-komplektom-podklyu-131-046/", "Инфо")</f>
        <v>Инфо</v>
      </c>
      <c r="F11422" s="16" t="s">
        <v>1767</v>
      </c>
      <c r="G11422" s="15"/>
      <c r="H11422" s="15"/>
      <c r="I11422" s="15"/>
      <c r="J11422" s="22">
        <v>1300</v>
      </c>
      <c r="K11422" s="15" t="s">
        <v>21151</v>
      </c>
      <c r="L11422" s="17">
        <v>100</v>
      </c>
      <c r="M11422" s="17">
        <v>100</v>
      </c>
      <c r="N11422" s="17">
        <v>100</v>
      </c>
      <c r="O11422" s="18">
        <v>479.98</v>
      </c>
      <c r="P11422" s="18">
        <v>393.43</v>
      </c>
      <c r="Q11422" s="18">
        <v>479.98</v>
      </c>
      <c r="R11422" s="18">
        <v>393.43</v>
      </c>
      <c r="S11422" s="18">
        <v>297.58999999999997</v>
      </c>
      <c r="T11422" s="18">
        <v>243.93</v>
      </c>
      <c r="U11422" s="16"/>
      <c r="V11422" s="16"/>
      <c r="W11422" s="16" t="s">
        <v>40</v>
      </c>
      <c r="X11422" s="19">
        <v>0.151</v>
      </c>
      <c r="Y11422" s="20">
        <v>2.9100000000000003E-4</v>
      </c>
      <c r="Z11422" s="21">
        <v>4601004160606</v>
      </c>
    </row>
    <row r="11423" spans="1:26" ht="12" customHeight="1" outlineLevel="4" x14ac:dyDescent="0.2">
      <c r="A11423" s="14" t="s">
        <v>21705</v>
      </c>
      <c r="B11423" s="26" t="s">
        <v>21706</v>
      </c>
      <c r="C11423" s="52"/>
      <c r="D11423" s="55">
        <f t="shared" si="178"/>
        <v>0</v>
      </c>
      <c r="E11423" s="63" t="str">
        <f>HYPERLINK("https://www.sds-group.ru/product/gibkiy-neon-8h16mm-odnostoronniy-120-led-m-teplyy-belyy-24v-buhta-50m-3-komplekta-podklyuche-131-126/", "Инфо")</f>
        <v>Инфо</v>
      </c>
      <c r="F11423" s="16" t="s">
        <v>1767</v>
      </c>
      <c r="G11423" s="15"/>
      <c r="H11423" s="15"/>
      <c r="I11423" s="15"/>
      <c r="J11423" s="16" t="s">
        <v>100</v>
      </c>
      <c r="K11423" s="15" t="s">
        <v>21151</v>
      </c>
      <c r="L11423" s="17">
        <v>50</v>
      </c>
      <c r="M11423" s="17">
        <v>50</v>
      </c>
      <c r="N11423" s="17">
        <v>50</v>
      </c>
      <c r="O11423" s="18">
        <v>639.9</v>
      </c>
      <c r="P11423" s="18">
        <v>524.51</v>
      </c>
      <c r="Q11423" s="18">
        <v>639.9</v>
      </c>
      <c r="R11423" s="18">
        <v>524.51</v>
      </c>
      <c r="S11423" s="18">
        <v>396.74</v>
      </c>
      <c r="T11423" s="18">
        <v>325.2</v>
      </c>
      <c r="U11423" s="16"/>
      <c r="V11423" s="16"/>
      <c r="W11423" s="16" t="s">
        <v>40</v>
      </c>
      <c r="X11423" s="19">
        <v>0.16200000000000001</v>
      </c>
      <c r="Y11423" s="20">
        <v>3.4200000000000002E-4</v>
      </c>
      <c r="Z11423" s="21">
        <v>4601004295209</v>
      </c>
    </row>
    <row r="11424" spans="1:26" ht="12.95" customHeight="1" outlineLevel="3" x14ac:dyDescent="0.2">
      <c r="A11424" s="76" t="s">
        <v>21707</v>
      </c>
      <c r="B11424" s="76"/>
      <c r="C11424" s="77"/>
      <c r="D11424" s="58"/>
      <c r="E11424" s="68"/>
      <c r="F11424" s="13"/>
      <c r="G11424" s="13"/>
      <c r="H11424" s="13"/>
      <c r="I11424" s="13"/>
      <c r="J11424" s="13"/>
      <c r="K11424" s="13"/>
      <c r="L11424" s="13"/>
      <c r="M11424" s="13"/>
      <c r="N11424" s="13"/>
      <c r="O11424" s="13"/>
      <c r="P11424" s="13"/>
      <c r="Q11424" s="13"/>
      <c r="R11424" s="13"/>
      <c r="S11424" s="13"/>
      <c r="T11424" s="13"/>
      <c r="U11424" s="13"/>
      <c r="V11424" s="13"/>
      <c r="W11424" s="13"/>
      <c r="X11424" s="13"/>
      <c r="Y11424" s="13"/>
      <c r="Z11424" s="13"/>
    </row>
    <row r="11425" spans="1:26" ht="12" customHeight="1" outlineLevel="4" x14ac:dyDescent="0.2">
      <c r="A11425" s="14" t="s">
        <v>21708</v>
      </c>
      <c r="B11425" s="26" t="s">
        <v>21709</v>
      </c>
      <c r="C11425" s="52"/>
      <c r="D11425" s="55">
        <f t="shared" si="178"/>
        <v>0</v>
      </c>
      <c r="E11425" s="63" t="str">
        <f>HYPERLINK("https://www.sds-group.ru/product/gibkiy-neon-diametr-16mm-kruglyy-144-led-m-belyy-230v-buhta-50m-s-komplektom-podklyucheniya--131-315/", "Инфо")</f>
        <v>Инфо</v>
      </c>
      <c r="F11425" s="16" t="s">
        <v>1767</v>
      </c>
      <c r="G11425" s="15"/>
      <c r="H11425" s="15"/>
      <c r="I11425" s="15"/>
      <c r="J11425" s="16" t="s">
        <v>100</v>
      </c>
      <c r="K11425" s="15" t="s">
        <v>11098</v>
      </c>
      <c r="L11425" s="17">
        <v>50</v>
      </c>
      <c r="M11425" s="17">
        <v>50</v>
      </c>
      <c r="N11425" s="17">
        <v>50</v>
      </c>
      <c r="O11425" s="18">
        <v>717.46</v>
      </c>
      <c r="P11425" s="18">
        <v>588.08000000000004</v>
      </c>
      <c r="Q11425" s="18">
        <v>717.46</v>
      </c>
      <c r="R11425" s="18">
        <v>588.08000000000004</v>
      </c>
      <c r="S11425" s="18">
        <v>444.83</v>
      </c>
      <c r="T11425" s="18">
        <v>364.61</v>
      </c>
      <c r="U11425" s="16"/>
      <c r="V11425" s="16"/>
      <c r="W11425" s="16" t="s">
        <v>40</v>
      </c>
      <c r="X11425" s="19">
        <v>0.20200000000000001</v>
      </c>
      <c r="Y11425" s="20">
        <v>4.6799999999999999E-4</v>
      </c>
      <c r="Z11425" s="21">
        <v>4601004233300</v>
      </c>
    </row>
    <row r="11426" spans="1:26" ht="12" customHeight="1" outlineLevel="4" x14ac:dyDescent="0.2">
      <c r="A11426" s="14" t="s">
        <v>21710</v>
      </c>
      <c r="B11426" s="26" t="s">
        <v>21711</v>
      </c>
      <c r="C11426" s="52"/>
      <c r="D11426" s="55">
        <f t="shared" si="178"/>
        <v>0</v>
      </c>
      <c r="E11426" s="63" t="str">
        <f>HYPERLINK("https://www.sds-group.ru/product/gibkiy-neon-diametr-16mm-kruglyy-144-led-m-teplyy-belyy-230v-buhta-50m-s-komplektom-podklyuc-131-316/", "Инфо")</f>
        <v>Инфо</v>
      </c>
      <c r="F11426" s="16" t="s">
        <v>1767</v>
      </c>
      <c r="G11426" s="15"/>
      <c r="H11426" s="15"/>
      <c r="I11426" s="15"/>
      <c r="J11426" s="16" t="s">
        <v>100</v>
      </c>
      <c r="K11426" s="15" t="s">
        <v>11098</v>
      </c>
      <c r="L11426" s="17">
        <v>50</v>
      </c>
      <c r="M11426" s="17">
        <v>50</v>
      </c>
      <c r="N11426" s="17">
        <v>50</v>
      </c>
      <c r="O11426" s="18">
        <v>717.46</v>
      </c>
      <c r="P11426" s="18">
        <v>588.08000000000004</v>
      </c>
      <c r="Q11426" s="18">
        <v>717.46</v>
      </c>
      <c r="R11426" s="18">
        <v>588.08000000000004</v>
      </c>
      <c r="S11426" s="18">
        <v>444.83</v>
      </c>
      <c r="T11426" s="18">
        <v>364.61</v>
      </c>
      <c r="U11426" s="16"/>
      <c r="V11426" s="16"/>
      <c r="W11426" s="16" t="s">
        <v>40</v>
      </c>
      <c r="X11426" s="19">
        <v>0.21</v>
      </c>
      <c r="Y11426" s="20">
        <v>4.7199999999999998E-4</v>
      </c>
      <c r="Z11426" s="21">
        <v>4601004233294</v>
      </c>
    </row>
    <row r="11427" spans="1:26" ht="12.95" customHeight="1" outlineLevel="3" x14ac:dyDescent="0.2">
      <c r="A11427" s="76" t="s">
        <v>21712</v>
      </c>
      <c r="B11427" s="76"/>
      <c r="C11427" s="77"/>
      <c r="D11427" s="58"/>
      <c r="E11427" s="68"/>
      <c r="F11427" s="13"/>
      <c r="G11427" s="13"/>
      <c r="H11427" s="13"/>
      <c r="I11427" s="13"/>
      <c r="J11427" s="13"/>
      <c r="K11427" s="13"/>
      <c r="L11427" s="13"/>
      <c r="M11427" s="13"/>
      <c r="N11427" s="13"/>
      <c r="O11427" s="13"/>
      <c r="P11427" s="13"/>
      <c r="Q11427" s="13"/>
      <c r="R11427" s="13"/>
      <c r="S11427" s="13"/>
      <c r="T11427" s="13"/>
      <c r="U11427" s="13"/>
      <c r="V11427" s="13"/>
      <c r="W11427" s="13"/>
      <c r="X11427" s="13"/>
      <c r="Y11427" s="13"/>
      <c r="Z11427" s="13"/>
    </row>
    <row r="11428" spans="1:26" ht="12" customHeight="1" outlineLevel="4" x14ac:dyDescent="0.2">
      <c r="A11428" s="32" t="s">
        <v>21713</v>
      </c>
      <c r="B11428" s="74" t="s">
        <v>21714</v>
      </c>
      <c r="C11428" s="50"/>
      <c r="D11428" s="53">
        <f t="shared" si="178"/>
        <v>0</v>
      </c>
      <c r="E11428" s="60" t="str">
        <f>HYPERLINK("https://www.sds-group.ru/product/gibkiy-neon-diametr-19mm-kruglyy-96-led-m-rozovyy-230v-buhta-50m-3-komplekta-podklyucheniya--131-037/", "Инфо")</f>
        <v>Инфо</v>
      </c>
      <c r="F11428" s="34" t="s">
        <v>1767</v>
      </c>
      <c r="G11428" s="33"/>
      <c r="H11428" s="33" t="s">
        <v>40</v>
      </c>
      <c r="I11428" s="33"/>
      <c r="J11428" s="34" t="s">
        <v>100</v>
      </c>
      <c r="K11428" s="33"/>
      <c r="L11428" s="35">
        <v>50</v>
      </c>
      <c r="M11428" s="35">
        <v>50</v>
      </c>
      <c r="N11428" s="35">
        <v>50</v>
      </c>
      <c r="O11428" s="36">
        <v>1597.53</v>
      </c>
      <c r="P11428" s="36">
        <v>1309.45</v>
      </c>
      <c r="Q11428" s="36">
        <v>1118.27</v>
      </c>
      <c r="R11428" s="36">
        <v>916.61</v>
      </c>
      <c r="S11428" s="36">
        <v>990.47</v>
      </c>
      <c r="T11428" s="36">
        <v>811.86</v>
      </c>
      <c r="U11428" s="34"/>
      <c r="V11428" s="34"/>
      <c r="W11428" s="34"/>
      <c r="X11428" s="37">
        <v>0.39600000000000002</v>
      </c>
      <c r="Y11428" s="38">
        <v>7.7800000000000015E-4</v>
      </c>
      <c r="Z11428" s="21">
        <v>2000031066783</v>
      </c>
    </row>
    <row r="11429" spans="1:26" ht="12.95" customHeight="1" outlineLevel="3" x14ac:dyDescent="0.2">
      <c r="A11429" s="76" t="s">
        <v>21715</v>
      </c>
      <c r="B11429" s="76"/>
      <c r="C11429" s="77"/>
      <c r="D11429" s="58"/>
      <c r="E11429" s="68"/>
      <c r="F11429" s="13"/>
      <c r="G11429" s="13"/>
      <c r="H11429" s="13"/>
      <c r="I11429" s="13"/>
      <c r="J11429" s="13"/>
      <c r="K11429" s="13"/>
      <c r="L11429" s="13"/>
      <c r="M11429" s="13"/>
      <c r="N11429" s="13"/>
      <c r="O11429" s="13"/>
      <c r="P11429" s="13"/>
      <c r="Q11429" s="13"/>
      <c r="R11429" s="13"/>
      <c r="S11429" s="13"/>
      <c r="T11429" s="13"/>
      <c r="U11429" s="13"/>
      <c r="V11429" s="13"/>
      <c r="W11429" s="13"/>
      <c r="X11429" s="13"/>
      <c r="Y11429" s="13"/>
      <c r="Z11429" s="13"/>
    </row>
    <row r="11430" spans="1:26" ht="12" customHeight="1" outlineLevel="4" x14ac:dyDescent="0.2">
      <c r="A11430" s="14" t="s">
        <v>21716</v>
      </c>
      <c r="B11430" s="26" t="s">
        <v>21717</v>
      </c>
      <c r="C11430" s="52"/>
      <c r="D11430" s="55">
        <f t="shared" si="178"/>
        <v>0</v>
      </c>
      <c r="E11430" s="63" t="str">
        <f>HYPERLINK("https://www.sds-group.ru/product/l-konnektor-dlya-dvuhstoronnego-gibkogo-neona-8h16mm-tsena-za-1-sht-134-063/", "Инфо")</f>
        <v>Инфо</v>
      </c>
      <c r="F11430" s="16" t="s">
        <v>39</v>
      </c>
      <c r="G11430" s="15"/>
      <c r="H11430" s="15"/>
      <c r="I11430" s="15"/>
      <c r="J11430" s="16" t="s">
        <v>100</v>
      </c>
      <c r="K11430" s="15" t="s">
        <v>21151</v>
      </c>
      <c r="L11430" s="17">
        <v>5</v>
      </c>
      <c r="M11430" s="17">
        <v>100</v>
      </c>
      <c r="N11430" s="17">
        <v>5</v>
      </c>
      <c r="O11430" s="18">
        <v>438.76</v>
      </c>
      <c r="P11430" s="18">
        <v>359.64</v>
      </c>
      <c r="Q11430" s="18">
        <v>438.76</v>
      </c>
      <c r="R11430" s="18">
        <v>359.64</v>
      </c>
      <c r="S11430" s="18">
        <v>272.02999999999997</v>
      </c>
      <c r="T11430" s="18">
        <v>222.98</v>
      </c>
      <c r="U11430" s="16"/>
      <c r="V11430" s="16"/>
      <c r="W11430" s="16" t="s">
        <v>40</v>
      </c>
      <c r="X11430" s="19">
        <v>0.02</v>
      </c>
      <c r="Y11430" s="20">
        <v>7.7000000000000001E-5</v>
      </c>
      <c r="Z11430" s="21">
        <v>4601004277717</v>
      </c>
    </row>
    <row r="11431" spans="1:26" ht="12" customHeight="1" outlineLevel="4" x14ac:dyDescent="0.2">
      <c r="A11431" s="14" t="s">
        <v>21718</v>
      </c>
      <c r="B11431" s="26" t="s">
        <v>21719</v>
      </c>
      <c r="C11431" s="52"/>
      <c r="D11431" s="55">
        <f t="shared" si="178"/>
        <v>0</v>
      </c>
      <c r="E11431" s="63" t="str">
        <f>HYPERLINK("https://www.sds-group.ru/product/l-konnektor-dlya-odnostoronnego-gibkogo-neona-8h16mm-tsena-za-1-sht-29888/", "Инфо")</f>
        <v>Инфо</v>
      </c>
      <c r="F11431" s="16" t="s">
        <v>39</v>
      </c>
      <c r="G11431" s="15"/>
      <c r="H11431" s="15"/>
      <c r="I11431" s="15"/>
      <c r="J11431" s="16" t="s">
        <v>100</v>
      </c>
      <c r="K11431" s="15" t="s">
        <v>21151</v>
      </c>
      <c r="L11431" s="17">
        <v>1</v>
      </c>
      <c r="M11431" s="17">
        <v>100</v>
      </c>
      <c r="N11431" s="17">
        <v>1</v>
      </c>
      <c r="O11431" s="18">
        <v>487.5</v>
      </c>
      <c r="P11431" s="18">
        <v>399.59</v>
      </c>
      <c r="Q11431" s="18">
        <v>487.5</v>
      </c>
      <c r="R11431" s="18">
        <v>399.59</v>
      </c>
      <c r="S11431" s="18">
        <v>302.25</v>
      </c>
      <c r="T11431" s="18">
        <v>247.75</v>
      </c>
      <c r="U11431" s="16"/>
      <c r="V11431" s="16"/>
      <c r="W11431" s="16" t="s">
        <v>40</v>
      </c>
      <c r="X11431" s="19">
        <v>1.7999999999999999E-2</v>
      </c>
      <c r="Y11431" s="20">
        <v>1.5799999999999999E-4</v>
      </c>
      <c r="Z11431" s="21">
        <v>4601004277663</v>
      </c>
    </row>
    <row r="11432" spans="1:26" ht="12" customHeight="1" outlineLevel="4" x14ac:dyDescent="0.2">
      <c r="A11432" s="14" t="s">
        <v>21720</v>
      </c>
      <c r="B11432" s="26" t="s">
        <v>21721</v>
      </c>
      <c r="C11432" s="52"/>
      <c r="D11432" s="55">
        <f t="shared" si="178"/>
        <v>0</v>
      </c>
      <c r="E11432" s="63" t="str">
        <f>HYPERLINK("https://www.sds-group.ru/product/t-konnektor-dlya-dvuhstoronnego-gibkogo-neona-8h16mm-tsena-za-1-sht-134-062/", "Инфо")</f>
        <v>Инфо</v>
      </c>
      <c r="F11432" s="16" t="s">
        <v>39</v>
      </c>
      <c r="G11432" s="15"/>
      <c r="H11432" s="15"/>
      <c r="I11432" s="15"/>
      <c r="J11432" s="17">
        <v>361</v>
      </c>
      <c r="K11432" s="15"/>
      <c r="L11432" s="17">
        <v>5</v>
      </c>
      <c r="M11432" s="17">
        <v>100</v>
      </c>
      <c r="N11432" s="17">
        <v>5</v>
      </c>
      <c r="O11432" s="18">
        <v>487.5</v>
      </c>
      <c r="P11432" s="18">
        <v>399.59</v>
      </c>
      <c r="Q11432" s="18">
        <v>487.5</v>
      </c>
      <c r="R11432" s="18">
        <v>399.59</v>
      </c>
      <c r="S11432" s="18">
        <v>302.25</v>
      </c>
      <c r="T11432" s="18">
        <v>247.75</v>
      </c>
      <c r="U11432" s="16"/>
      <c r="V11432" s="16"/>
      <c r="W11432" s="16" t="s">
        <v>40</v>
      </c>
      <c r="X11432" s="19">
        <v>2.7E-2</v>
      </c>
      <c r="Y11432" s="20">
        <v>1.1E-4</v>
      </c>
      <c r="Z11432" s="21">
        <v>4601004277694</v>
      </c>
    </row>
    <row r="11433" spans="1:26" ht="12" customHeight="1" outlineLevel="4" x14ac:dyDescent="0.2">
      <c r="A11433" s="14" t="s">
        <v>21722</v>
      </c>
      <c r="B11433" s="26" t="s">
        <v>21723</v>
      </c>
      <c r="C11433" s="52"/>
      <c r="D11433" s="55">
        <f t="shared" si="178"/>
        <v>0</v>
      </c>
      <c r="E11433" s="63" t="str">
        <f>HYPERLINK("https://www.sds-group.ru/product/t-konnektor-dlya-odnostoronnego-gibkogo-neona-8h16mm-tsena-za-1-sht-29887/", "Инфо")</f>
        <v>Инфо</v>
      </c>
      <c r="F11433" s="16" t="s">
        <v>39</v>
      </c>
      <c r="G11433" s="15"/>
      <c r="H11433" s="15"/>
      <c r="I11433" s="15"/>
      <c r="J11433" s="16" t="s">
        <v>100</v>
      </c>
      <c r="K11433" s="15" t="s">
        <v>6939</v>
      </c>
      <c r="L11433" s="17">
        <v>1</v>
      </c>
      <c r="M11433" s="17">
        <v>100</v>
      </c>
      <c r="N11433" s="17">
        <v>1</v>
      </c>
      <c r="O11433" s="18">
        <v>487.5</v>
      </c>
      <c r="P11433" s="18">
        <v>399.59</v>
      </c>
      <c r="Q11433" s="18">
        <v>487.5</v>
      </c>
      <c r="R11433" s="18">
        <v>399.59</v>
      </c>
      <c r="S11433" s="18">
        <v>302.25</v>
      </c>
      <c r="T11433" s="18">
        <v>247.75</v>
      </c>
      <c r="U11433" s="16"/>
      <c r="V11433" s="16"/>
      <c r="W11433" s="16" t="s">
        <v>40</v>
      </c>
      <c r="X11433" s="19">
        <v>2.5000000000000001E-2</v>
      </c>
      <c r="Y11433" s="20">
        <v>5.0699999999999996E-4</v>
      </c>
      <c r="Z11433" s="21">
        <v>4601004277670</v>
      </c>
    </row>
    <row r="11434" spans="1:26" ht="12" customHeight="1" outlineLevel="4" x14ac:dyDescent="0.2">
      <c r="A11434" s="14" t="s">
        <v>21724</v>
      </c>
      <c r="B11434" s="26" t="s">
        <v>21725</v>
      </c>
      <c r="C11434" s="52"/>
      <c r="D11434" s="55">
        <f t="shared" si="178"/>
        <v>0</v>
      </c>
      <c r="E11434" s="63" t="str">
        <f>HYPERLINK("https://www.sds-group.ru/product/zaglushka-dlya-gibkogo-neona-15h26-mm-tsena-za-1-sht-134-038/", "Инфо")</f>
        <v>Инфо</v>
      </c>
      <c r="F11434" s="16" t="s">
        <v>39</v>
      </c>
      <c r="G11434" s="15"/>
      <c r="H11434" s="15"/>
      <c r="I11434" s="15"/>
      <c r="J11434" s="22">
        <v>2220</v>
      </c>
      <c r="K11434" s="15"/>
      <c r="L11434" s="17">
        <v>10</v>
      </c>
      <c r="M11434" s="17">
        <v>500</v>
      </c>
      <c r="N11434" s="17">
        <v>10</v>
      </c>
      <c r="O11434" s="18">
        <v>51.19</v>
      </c>
      <c r="P11434" s="18">
        <v>41.96</v>
      </c>
      <c r="Q11434" s="18">
        <v>51.19</v>
      </c>
      <c r="R11434" s="18">
        <v>41.96</v>
      </c>
      <c r="S11434" s="18">
        <v>31.74</v>
      </c>
      <c r="T11434" s="18">
        <v>26.02</v>
      </c>
      <c r="U11434" s="16"/>
      <c r="V11434" s="16"/>
      <c r="W11434" s="16" t="s">
        <v>40</v>
      </c>
      <c r="X11434" s="19">
        <v>5.0000000000000001E-3</v>
      </c>
      <c r="Y11434" s="20">
        <v>2.1999999999999999E-5</v>
      </c>
      <c r="Z11434" s="21">
        <v>4601004090309</v>
      </c>
    </row>
    <row r="11435" spans="1:26" ht="12" customHeight="1" outlineLevel="4" x14ac:dyDescent="0.2">
      <c r="A11435" s="14" t="s">
        <v>21726</v>
      </c>
      <c r="B11435" s="26" t="s">
        <v>21727</v>
      </c>
      <c r="C11435" s="52"/>
      <c r="D11435" s="55">
        <f t="shared" si="178"/>
        <v>0</v>
      </c>
      <c r="E11435" s="63" t="str">
        <f>HYPERLINK("https://www.sds-group.ru/product/zaglushka-dlya-gibkogo-neona-neon-night-tsilindricheskaya-tsena-za-1-sht-134-093/", "Инфо")</f>
        <v>Инфо</v>
      </c>
      <c r="F11435" s="16" t="s">
        <v>39</v>
      </c>
      <c r="G11435" s="15"/>
      <c r="H11435" s="15"/>
      <c r="I11435" s="15"/>
      <c r="J11435" s="22">
        <v>1660</v>
      </c>
      <c r="K11435" s="15"/>
      <c r="L11435" s="17">
        <v>10</v>
      </c>
      <c r="M11435" s="17">
        <v>500</v>
      </c>
      <c r="N11435" s="17">
        <v>10</v>
      </c>
      <c r="O11435" s="18">
        <v>51.19</v>
      </c>
      <c r="P11435" s="18">
        <v>41.96</v>
      </c>
      <c r="Q11435" s="18">
        <v>51.19</v>
      </c>
      <c r="R11435" s="18">
        <v>41.96</v>
      </c>
      <c r="S11435" s="18">
        <v>31.74</v>
      </c>
      <c r="T11435" s="18">
        <v>26.02</v>
      </c>
      <c r="U11435" s="16"/>
      <c r="V11435" s="16"/>
      <c r="W11435" s="16" t="s">
        <v>40</v>
      </c>
      <c r="X11435" s="19">
        <v>2E-3</v>
      </c>
      <c r="Y11435" s="20">
        <v>2.3E-5</v>
      </c>
      <c r="Z11435" s="21">
        <v>4601004284616</v>
      </c>
    </row>
    <row r="11436" spans="1:26" ht="12" customHeight="1" outlineLevel="4" x14ac:dyDescent="0.2">
      <c r="A11436" s="14" t="s">
        <v>21728</v>
      </c>
      <c r="B11436" s="26" t="s">
        <v>21729</v>
      </c>
      <c r="C11436" s="52"/>
      <c r="D11436" s="55">
        <f t="shared" si="178"/>
        <v>0</v>
      </c>
      <c r="E11436" s="63" t="str">
        <f>HYPERLINK("https://www.sds-group.ru/product/zaglushka-dlya-gibkogo-neona-8h16-mm-tsena-za-1-sht-134-091/", "Инфо")</f>
        <v>Инфо</v>
      </c>
      <c r="F11436" s="16" t="s">
        <v>39</v>
      </c>
      <c r="G11436" s="15"/>
      <c r="H11436" s="15"/>
      <c r="I11436" s="15"/>
      <c r="J11436" s="22">
        <v>3810</v>
      </c>
      <c r="K11436" s="15" t="s">
        <v>21151</v>
      </c>
      <c r="L11436" s="17">
        <v>10</v>
      </c>
      <c r="M11436" s="17">
        <v>800</v>
      </c>
      <c r="N11436" s="17">
        <v>10</v>
      </c>
      <c r="O11436" s="18">
        <v>51.19</v>
      </c>
      <c r="P11436" s="18">
        <v>41.96</v>
      </c>
      <c r="Q11436" s="18">
        <v>51.19</v>
      </c>
      <c r="R11436" s="18">
        <v>41.96</v>
      </c>
      <c r="S11436" s="18">
        <v>31.74</v>
      </c>
      <c r="T11436" s="18">
        <v>26.02</v>
      </c>
      <c r="U11436" s="16"/>
      <c r="V11436" s="16"/>
      <c r="W11436" s="16" t="s">
        <v>40</v>
      </c>
      <c r="X11436" s="19">
        <v>2E-3</v>
      </c>
      <c r="Y11436" s="20">
        <v>1.2E-5</v>
      </c>
      <c r="Z11436" s="21">
        <v>4601004161962</v>
      </c>
    </row>
    <row r="11437" spans="1:26" ht="12" customHeight="1" outlineLevel="4" x14ac:dyDescent="0.2">
      <c r="A11437" s="14" t="s">
        <v>21730</v>
      </c>
      <c r="B11437" s="26" t="s">
        <v>21731</v>
      </c>
      <c r="C11437" s="52"/>
      <c r="D11437" s="55">
        <f t="shared" si="178"/>
        <v>0</v>
      </c>
      <c r="E11437" s="63" t="str">
        <f>HYPERLINK("https://www.sds-group.ru/product/zaglushka-dlya-gibkogo-neona-formy-d-16h16-mm-tsena-za-1-sht-134-092/", "Инфо")</f>
        <v>Инфо</v>
      </c>
      <c r="F11437" s="16" t="s">
        <v>39</v>
      </c>
      <c r="G11437" s="15"/>
      <c r="H11437" s="15"/>
      <c r="I11437" s="15"/>
      <c r="J11437" s="16" t="s">
        <v>100</v>
      </c>
      <c r="K11437" s="15"/>
      <c r="L11437" s="17">
        <v>10</v>
      </c>
      <c r="M11437" s="17">
        <v>500</v>
      </c>
      <c r="N11437" s="17">
        <v>10</v>
      </c>
      <c r="O11437" s="18">
        <v>51.19</v>
      </c>
      <c r="P11437" s="18">
        <v>41.96</v>
      </c>
      <c r="Q11437" s="18">
        <v>51.19</v>
      </c>
      <c r="R11437" s="18">
        <v>41.96</v>
      </c>
      <c r="S11437" s="18">
        <v>31.74</v>
      </c>
      <c r="T11437" s="18">
        <v>26.02</v>
      </c>
      <c r="U11437" s="16"/>
      <c r="V11437" s="16"/>
      <c r="W11437" s="16" t="s">
        <v>40</v>
      </c>
      <c r="X11437" s="19">
        <v>7.0000000000000001E-3</v>
      </c>
      <c r="Y11437" s="20">
        <v>2.4000000000000001E-5</v>
      </c>
      <c r="Z11437" s="21">
        <v>4601004161979</v>
      </c>
    </row>
    <row r="11438" spans="1:26" ht="12" customHeight="1" outlineLevel="4" x14ac:dyDescent="0.2">
      <c r="A11438" s="14" t="s">
        <v>21732</v>
      </c>
      <c r="B11438" s="26" t="s">
        <v>21733</v>
      </c>
      <c r="C11438" s="52"/>
      <c r="D11438" s="55">
        <f t="shared" si="178"/>
        <v>0</v>
      </c>
      <c r="E11438" s="63" t="str">
        <f>HYPERLINK("https://www.sds-group.ru/product/klipsa-plastikovaya-dlya-dvuhstoronnego-gibkogo-neona-8h16-mm-tsena-za-1-sht-134-085/", "Инфо")</f>
        <v>Инфо</v>
      </c>
      <c r="F11438" s="16" t="s">
        <v>39</v>
      </c>
      <c r="G11438" s="15"/>
      <c r="H11438" s="15"/>
      <c r="I11438" s="15"/>
      <c r="J11438" s="22">
        <v>3400</v>
      </c>
      <c r="K11438" s="15"/>
      <c r="L11438" s="17">
        <v>10</v>
      </c>
      <c r="M11438" s="22">
        <v>2000</v>
      </c>
      <c r="N11438" s="17">
        <v>10</v>
      </c>
      <c r="O11438" s="18">
        <v>47.9</v>
      </c>
      <c r="P11438" s="18">
        <v>39.26</v>
      </c>
      <c r="Q11438" s="18">
        <v>47.9</v>
      </c>
      <c r="R11438" s="18">
        <v>39.26</v>
      </c>
      <c r="S11438" s="18">
        <v>29.7</v>
      </c>
      <c r="T11438" s="18">
        <v>24.34</v>
      </c>
      <c r="U11438" s="16"/>
      <c r="V11438" s="16"/>
      <c r="W11438" s="16" t="s">
        <v>40</v>
      </c>
      <c r="X11438" s="19">
        <v>1E-3</v>
      </c>
      <c r="Y11438" s="20">
        <v>7.9999999999999996E-6</v>
      </c>
      <c r="Z11438" s="21">
        <v>4601004161931</v>
      </c>
    </row>
    <row r="11439" spans="1:26" ht="12" customHeight="1" outlineLevel="4" x14ac:dyDescent="0.2">
      <c r="A11439" s="14" t="s">
        <v>21734</v>
      </c>
      <c r="B11439" s="26" t="s">
        <v>21735</v>
      </c>
      <c r="C11439" s="52"/>
      <c r="D11439" s="55">
        <f t="shared" si="178"/>
        <v>0</v>
      </c>
      <c r="E11439" s="63" t="str">
        <f>HYPERLINK("https://www.sds-group.ru/product/konnektor-dlya-gibkogo-neona-15h26mm-provod-kauchuk-dlina-20-sm-tsena-za-1-sht-134-002/", "Инфо")</f>
        <v>Инфо</v>
      </c>
      <c r="F11439" s="16" t="s">
        <v>39</v>
      </c>
      <c r="G11439" s="15"/>
      <c r="H11439" s="15"/>
      <c r="I11439" s="15"/>
      <c r="J11439" s="17">
        <v>551</v>
      </c>
      <c r="K11439" s="15"/>
      <c r="L11439" s="17">
        <v>5</v>
      </c>
      <c r="M11439" s="17">
        <v>100</v>
      </c>
      <c r="N11439" s="17">
        <v>5</v>
      </c>
      <c r="O11439" s="18">
        <v>477.69</v>
      </c>
      <c r="P11439" s="18">
        <v>391.55</v>
      </c>
      <c r="Q11439" s="18">
        <v>477.69</v>
      </c>
      <c r="R11439" s="18">
        <v>391.55</v>
      </c>
      <c r="S11439" s="18">
        <v>296.17</v>
      </c>
      <c r="T11439" s="18">
        <v>242.76</v>
      </c>
      <c r="U11439" s="16"/>
      <c r="V11439" s="16"/>
      <c r="W11439" s="16" t="s">
        <v>40</v>
      </c>
      <c r="X11439" s="19">
        <v>7.0999999999999994E-2</v>
      </c>
      <c r="Y11439" s="20">
        <v>2.9500000000000001E-4</v>
      </c>
      <c r="Z11439" s="21">
        <v>4601004281202</v>
      </c>
    </row>
    <row r="11440" spans="1:26" ht="12" customHeight="1" outlineLevel="4" x14ac:dyDescent="0.2">
      <c r="A11440" s="14" t="s">
        <v>21736</v>
      </c>
      <c r="B11440" s="26" t="s">
        <v>21737</v>
      </c>
      <c r="C11440" s="52"/>
      <c r="D11440" s="55">
        <f t="shared" si="178"/>
        <v>0</v>
      </c>
      <c r="E11440" s="63" t="str">
        <f>HYPERLINK("https://www.sds-group.ru/product/konnektor-dlya-soedineniya-gibkogo-neona-360-provod-kauchuk-dlina-20-sm-neon-night-134-009/", "Инфо")</f>
        <v>Инфо</v>
      </c>
      <c r="F11440" s="16" t="s">
        <v>39</v>
      </c>
      <c r="G11440" s="15"/>
      <c r="H11440" s="15"/>
      <c r="I11440" s="15"/>
      <c r="J11440" s="22">
        <v>1452</v>
      </c>
      <c r="K11440" s="15"/>
      <c r="L11440" s="17">
        <v>5</v>
      </c>
      <c r="M11440" s="17">
        <v>100</v>
      </c>
      <c r="N11440" s="17">
        <v>5</v>
      </c>
      <c r="O11440" s="18">
        <v>479.78</v>
      </c>
      <c r="P11440" s="18">
        <v>393.26</v>
      </c>
      <c r="Q11440" s="18">
        <v>479.78</v>
      </c>
      <c r="R11440" s="18">
        <v>393.26</v>
      </c>
      <c r="S11440" s="18">
        <v>297.45999999999998</v>
      </c>
      <c r="T11440" s="18">
        <v>243.82</v>
      </c>
      <c r="U11440" s="16"/>
      <c r="V11440" s="16"/>
      <c r="W11440" s="16" t="s">
        <v>40</v>
      </c>
      <c r="X11440" s="19">
        <v>3.1E-2</v>
      </c>
      <c r="Y11440" s="20">
        <v>3.1000000000000001E-5</v>
      </c>
      <c r="Z11440" s="21">
        <v>4601004233331</v>
      </c>
    </row>
    <row r="11441" spans="1:26" ht="12" customHeight="1" outlineLevel="4" x14ac:dyDescent="0.2">
      <c r="A11441" s="14" t="s">
        <v>21738</v>
      </c>
      <c r="B11441" s="26" t="s">
        <v>21739</v>
      </c>
      <c r="C11441" s="52"/>
      <c r="D11441" s="55">
        <f t="shared" si="178"/>
        <v>0</v>
      </c>
      <c r="E11441" s="63" t="str">
        <f>HYPERLINK("https://www.sds-group.ru/product/konnektor-dlya-gibkogo-neona-formy-d-16h16-mm-provod-pvh-dlina-20-sm-tsena-za-1-sht-134-008/", "Инфо")</f>
        <v>Инфо</v>
      </c>
      <c r="F11441" s="16" t="s">
        <v>39</v>
      </c>
      <c r="G11441" s="15"/>
      <c r="H11441" s="15"/>
      <c r="I11441" s="15"/>
      <c r="J11441" s="22">
        <v>1122</v>
      </c>
      <c r="K11441" s="15"/>
      <c r="L11441" s="17">
        <v>5</v>
      </c>
      <c r="M11441" s="17">
        <v>100</v>
      </c>
      <c r="N11441" s="17">
        <v>5</v>
      </c>
      <c r="O11441" s="18">
        <v>551.45000000000005</v>
      </c>
      <c r="P11441" s="18">
        <v>452.01</v>
      </c>
      <c r="Q11441" s="18">
        <v>551.45000000000005</v>
      </c>
      <c r="R11441" s="18">
        <v>452.01</v>
      </c>
      <c r="S11441" s="18">
        <v>341.9</v>
      </c>
      <c r="T11441" s="18">
        <v>280.25</v>
      </c>
      <c r="U11441" s="16"/>
      <c r="V11441" s="16"/>
      <c r="W11441" s="16" t="s">
        <v>40</v>
      </c>
      <c r="X11441" s="19">
        <v>3.5999999999999997E-2</v>
      </c>
      <c r="Y11441" s="20">
        <v>3.4099999999999999E-4</v>
      </c>
      <c r="Z11441" s="21">
        <v>4601004278295</v>
      </c>
    </row>
    <row r="11442" spans="1:26" ht="12" customHeight="1" outlineLevel="4" x14ac:dyDescent="0.2">
      <c r="A11442" s="14" t="s">
        <v>21740</v>
      </c>
      <c r="B11442" s="26" t="s">
        <v>21741</v>
      </c>
      <c r="C11442" s="52"/>
      <c r="D11442" s="55">
        <f t="shared" si="178"/>
        <v>0</v>
      </c>
      <c r="E11442" s="63" t="str">
        <f>HYPERLINK("https://www.sds-group.ru/product/konnektor-dlya-dvuhstoronnego-gibkogo-neona-8h16-mm-provod-kauchuk-dlina-20-sm-neon-night-134-006/", "Инфо")</f>
        <v>Инфо</v>
      </c>
      <c r="F11442" s="16" t="s">
        <v>39</v>
      </c>
      <c r="G11442" s="15"/>
      <c r="H11442" s="15"/>
      <c r="I11442" s="15"/>
      <c r="J11442" s="17">
        <v>10</v>
      </c>
      <c r="K11442" s="15"/>
      <c r="L11442" s="17">
        <v>5</v>
      </c>
      <c r="M11442" s="17">
        <v>100</v>
      </c>
      <c r="N11442" s="17">
        <v>5</v>
      </c>
      <c r="O11442" s="18">
        <v>551.45000000000005</v>
      </c>
      <c r="P11442" s="18">
        <v>452.01</v>
      </c>
      <c r="Q11442" s="18">
        <v>551.45000000000005</v>
      </c>
      <c r="R11442" s="18">
        <v>452.01</v>
      </c>
      <c r="S11442" s="18">
        <v>341.9</v>
      </c>
      <c r="T11442" s="18">
        <v>280.25</v>
      </c>
      <c r="U11442" s="16"/>
      <c r="V11442" s="16"/>
      <c r="W11442" s="16" t="s">
        <v>40</v>
      </c>
      <c r="X11442" s="19">
        <v>2.5000000000000001E-2</v>
      </c>
      <c r="Y11442" s="20">
        <v>6.3999999999999997E-5</v>
      </c>
      <c r="Z11442" s="21">
        <v>4601004283923</v>
      </c>
    </row>
    <row r="11443" spans="1:26" ht="12" customHeight="1" outlineLevel="4" x14ac:dyDescent="0.2">
      <c r="A11443" s="14" t="s">
        <v>21742</v>
      </c>
      <c r="B11443" s="26" t="s">
        <v>21743</v>
      </c>
      <c r="C11443" s="52"/>
      <c r="D11443" s="55">
        <f t="shared" si="178"/>
        <v>0</v>
      </c>
      <c r="E11443" s="63" t="str">
        <f>HYPERLINK("https://www.sds-group.ru/product/konnektor-dlya-odnostoronnego-gibkogo-neona-8h16-mm-provod-kauchuk-dlina-20-sm-neon-night-134-007/", "Инфо")</f>
        <v>Инфо</v>
      </c>
      <c r="F11443" s="16" t="s">
        <v>39</v>
      </c>
      <c r="G11443" s="15"/>
      <c r="H11443" s="15"/>
      <c r="I11443" s="15"/>
      <c r="J11443" s="22">
        <v>2094</v>
      </c>
      <c r="K11443" s="15"/>
      <c r="L11443" s="17">
        <v>5</v>
      </c>
      <c r="M11443" s="17">
        <v>200</v>
      </c>
      <c r="N11443" s="17">
        <v>5</v>
      </c>
      <c r="O11443" s="18">
        <v>599.61</v>
      </c>
      <c r="P11443" s="18">
        <v>491.48</v>
      </c>
      <c r="Q11443" s="18">
        <v>599.61</v>
      </c>
      <c r="R11443" s="18">
        <v>491.48</v>
      </c>
      <c r="S11443" s="18">
        <v>371.76</v>
      </c>
      <c r="T11443" s="18">
        <v>304.72000000000003</v>
      </c>
      <c r="U11443" s="16"/>
      <c r="V11443" s="16"/>
      <c r="W11443" s="16" t="s">
        <v>40</v>
      </c>
      <c r="X11443" s="19">
        <v>3.7999999999999999E-2</v>
      </c>
      <c r="Y11443" s="20">
        <v>1.55E-4</v>
      </c>
      <c r="Z11443" s="21">
        <v>4601004278301</v>
      </c>
    </row>
    <row r="11444" spans="1:26" ht="12" customHeight="1" outlineLevel="4" x14ac:dyDescent="0.2">
      <c r="A11444" s="14" t="s">
        <v>21744</v>
      </c>
      <c r="B11444" s="26" t="s">
        <v>21745</v>
      </c>
      <c r="C11444" s="52"/>
      <c r="D11444" s="55">
        <f t="shared" si="178"/>
        <v>0</v>
      </c>
      <c r="E11444" s="63" t="str">
        <f>HYPERLINK("https://www.sds-group.ru/product/konnektor-s-provodom-dlya-dvuhstoronnego-neona-8h16mm-provod-kauchuk-neon-night-134-051/", "Инфо")</f>
        <v>Инфо</v>
      </c>
      <c r="F11444" s="16" t="s">
        <v>39</v>
      </c>
      <c r="G11444" s="15"/>
      <c r="H11444" s="15"/>
      <c r="I11444" s="15"/>
      <c r="J11444" s="22">
        <v>4066</v>
      </c>
      <c r="K11444" s="15"/>
      <c r="L11444" s="17">
        <v>5</v>
      </c>
      <c r="M11444" s="17">
        <v>100</v>
      </c>
      <c r="N11444" s="17">
        <v>5</v>
      </c>
      <c r="O11444" s="18">
        <v>425.71</v>
      </c>
      <c r="P11444" s="18">
        <v>348.94</v>
      </c>
      <c r="Q11444" s="18">
        <v>425.71</v>
      </c>
      <c r="R11444" s="18">
        <v>348.94</v>
      </c>
      <c r="S11444" s="18">
        <v>263.94</v>
      </c>
      <c r="T11444" s="18">
        <v>216.34</v>
      </c>
      <c r="U11444" s="16"/>
      <c r="V11444" s="16"/>
      <c r="W11444" s="16" t="s">
        <v>40</v>
      </c>
      <c r="X11444" s="19">
        <v>2.3E-2</v>
      </c>
      <c r="Y11444" s="20">
        <v>6.7999999999999999E-5</v>
      </c>
      <c r="Z11444" s="21">
        <v>4601004286863</v>
      </c>
    </row>
    <row r="11445" spans="1:26" ht="12" customHeight="1" outlineLevel="4" x14ac:dyDescent="0.2">
      <c r="A11445" s="14" t="s">
        <v>21746</v>
      </c>
      <c r="B11445" s="26" t="s">
        <v>21747</v>
      </c>
      <c r="C11445" s="52"/>
      <c r="D11445" s="55">
        <f t="shared" si="178"/>
        <v>0</v>
      </c>
      <c r="E11445" s="63" t="str">
        <f>HYPERLINK("https://www.sds-group.ru/product/konnektor-s-provodom-dlya-odnostoronnego-neona-8h16mm-provod-kauchuk-neon-night-134-050/", "Инфо")</f>
        <v>Инфо</v>
      </c>
      <c r="F11445" s="16" t="s">
        <v>39</v>
      </c>
      <c r="G11445" s="15"/>
      <c r="H11445" s="15"/>
      <c r="I11445" s="15"/>
      <c r="J11445" s="22">
        <v>3372</v>
      </c>
      <c r="K11445" s="15"/>
      <c r="L11445" s="17">
        <v>5</v>
      </c>
      <c r="M11445" s="17">
        <v>100</v>
      </c>
      <c r="N11445" s="17">
        <v>5</v>
      </c>
      <c r="O11445" s="18">
        <v>425.71</v>
      </c>
      <c r="P11445" s="18">
        <v>348.94</v>
      </c>
      <c r="Q11445" s="18">
        <v>425.71</v>
      </c>
      <c r="R11445" s="18">
        <v>348.94</v>
      </c>
      <c r="S11445" s="18">
        <v>263.94</v>
      </c>
      <c r="T11445" s="18">
        <v>216.34</v>
      </c>
      <c r="U11445" s="16"/>
      <c r="V11445" s="16"/>
      <c r="W11445" s="16" t="s">
        <v>40</v>
      </c>
      <c r="X11445" s="19">
        <v>2.7E-2</v>
      </c>
      <c r="Y11445" s="20">
        <v>1.7200000000000001E-4</v>
      </c>
      <c r="Z11445" s="21">
        <v>4601004286870</v>
      </c>
    </row>
    <row r="11446" spans="1:26" ht="12" customHeight="1" outlineLevel="4" x14ac:dyDescent="0.2">
      <c r="A11446" s="14" t="s">
        <v>21748</v>
      </c>
      <c r="B11446" s="26" t="s">
        <v>21749</v>
      </c>
      <c r="C11446" s="52"/>
      <c r="D11446" s="55">
        <f t="shared" si="178"/>
        <v>0</v>
      </c>
      <c r="E11446" s="63" t="str">
        <f>HYPERLINK("https://www.sds-group.ru/product/konnektor-igly-s-termousad-plenkoy-dlya-neona-15x26-mm-134-032/", "Инфо")</f>
        <v>Инфо</v>
      </c>
      <c r="F11446" s="16" t="s">
        <v>39</v>
      </c>
      <c r="G11446" s="15"/>
      <c r="H11446" s="15"/>
      <c r="I11446" s="15"/>
      <c r="J11446" s="16" t="s">
        <v>100</v>
      </c>
      <c r="K11446" s="15"/>
      <c r="L11446" s="17">
        <v>10</v>
      </c>
      <c r="M11446" s="22">
        <v>2000</v>
      </c>
      <c r="N11446" s="17">
        <v>10</v>
      </c>
      <c r="O11446" s="18">
        <v>132.46</v>
      </c>
      <c r="P11446" s="18">
        <v>108.57</v>
      </c>
      <c r="Q11446" s="18">
        <v>132.46</v>
      </c>
      <c r="R11446" s="18">
        <v>108.57</v>
      </c>
      <c r="S11446" s="18">
        <v>82.13</v>
      </c>
      <c r="T11446" s="18">
        <v>67.319999999999993</v>
      </c>
      <c r="U11446" s="16"/>
      <c r="V11446" s="16"/>
      <c r="W11446" s="16" t="s">
        <v>40</v>
      </c>
      <c r="X11446" s="19">
        <v>8.9999999999999993E-3</v>
      </c>
      <c r="Y11446" s="20">
        <v>3.1999999999999999E-5</v>
      </c>
      <c r="Z11446" s="21">
        <v>4601004281219</v>
      </c>
    </row>
    <row r="11447" spans="1:26" ht="12" customHeight="1" outlineLevel="4" x14ac:dyDescent="0.2">
      <c r="A11447" s="14" t="s">
        <v>21750</v>
      </c>
      <c r="B11447" s="26" t="s">
        <v>21751</v>
      </c>
      <c r="C11447" s="52"/>
      <c r="D11447" s="55">
        <f t="shared" si="178"/>
        <v>0</v>
      </c>
      <c r="E11447" s="63" t="str">
        <f>HYPERLINK("https://www.sds-group.ru/product/konnektor-igly-s-termousad-plenkoy-dlya-neona-8x16-mm-16h16-mm-134-040/", "Инфо")</f>
        <v>Инфо</v>
      </c>
      <c r="F11447" s="16" t="s">
        <v>39</v>
      </c>
      <c r="G11447" s="15"/>
      <c r="H11447" s="15"/>
      <c r="I11447" s="15"/>
      <c r="J11447" s="17">
        <v>20</v>
      </c>
      <c r="K11447" s="15" t="s">
        <v>6939</v>
      </c>
      <c r="L11447" s="17">
        <v>10</v>
      </c>
      <c r="M11447" s="22">
        <v>3000</v>
      </c>
      <c r="N11447" s="17">
        <v>10</v>
      </c>
      <c r="O11447" s="18">
        <v>86.5</v>
      </c>
      <c r="P11447" s="18">
        <v>70.900000000000006</v>
      </c>
      <c r="Q11447" s="18">
        <v>86.5</v>
      </c>
      <c r="R11447" s="18">
        <v>70.900000000000006</v>
      </c>
      <c r="S11447" s="18">
        <v>53.63</v>
      </c>
      <c r="T11447" s="18">
        <v>43.96</v>
      </c>
      <c r="U11447" s="16"/>
      <c r="V11447" s="16"/>
      <c r="W11447" s="16" t="s">
        <v>40</v>
      </c>
      <c r="X11447" s="19">
        <v>3.0000000000000001E-3</v>
      </c>
      <c r="Y11447" s="20">
        <v>9.0000000000000002E-6</v>
      </c>
      <c r="Z11447" s="21">
        <v>4601004278318</v>
      </c>
    </row>
    <row r="11448" spans="1:26" ht="12" customHeight="1" outlineLevel="4" x14ac:dyDescent="0.2">
      <c r="A11448" s="32" t="s">
        <v>21752</v>
      </c>
      <c r="B11448" s="74" t="s">
        <v>21753</v>
      </c>
      <c r="C11448" s="50"/>
      <c r="D11448" s="53">
        <f t="shared" si="178"/>
        <v>0</v>
      </c>
      <c r="E11448" s="60" t="str">
        <f>HYPERLINK("https://www.sds-group.ru/product/kontroller-dlya-gibkogo-neona-4w-4-h-zhilnyy-rgb-133-012/", "Инфо")</f>
        <v>Инфо</v>
      </c>
      <c r="F11448" s="34" t="s">
        <v>39</v>
      </c>
      <c r="G11448" s="33"/>
      <c r="H11448" s="33" t="s">
        <v>40</v>
      </c>
      <c r="I11448" s="33"/>
      <c r="J11448" s="35">
        <v>14</v>
      </c>
      <c r="K11448" s="33"/>
      <c r="L11448" s="35">
        <v>1</v>
      </c>
      <c r="M11448" s="35">
        <v>3</v>
      </c>
      <c r="N11448" s="35">
        <v>1</v>
      </c>
      <c r="O11448" s="36">
        <v>10591.04</v>
      </c>
      <c r="P11448" s="36">
        <v>8681.18</v>
      </c>
      <c r="Q11448" s="36">
        <v>7413.73</v>
      </c>
      <c r="R11448" s="36">
        <v>6076.83</v>
      </c>
      <c r="S11448" s="36">
        <v>6566.44</v>
      </c>
      <c r="T11448" s="36">
        <v>5382.33</v>
      </c>
      <c r="U11448" s="34"/>
      <c r="V11448" s="34"/>
      <c r="W11448" s="34"/>
      <c r="X11448" s="37">
        <v>1.4339999999999999</v>
      </c>
      <c r="Y11448" s="38">
        <v>6.5900000000000004E-3</v>
      </c>
      <c r="Z11448" s="21">
        <v>4601004014329</v>
      </c>
    </row>
    <row r="11449" spans="1:26" ht="12" customHeight="1" outlineLevel="4" x14ac:dyDescent="0.2">
      <c r="A11449" s="32" t="s">
        <v>21754</v>
      </c>
      <c r="B11449" s="74" t="s">
        <v>21755</v>
      </c>
      <c r="C11449" s="50"/>
      <c r="D11449" s="53">
        <f t="shared" si="178"/>
        <v>0</v>
      </c>
      <c r="E11449" s="60" t="str">
        <f>HYPERLINK("https://www.sds-group.ru/product/profil-alyuminievyy-anodirovannyy-dlya-gibkogo-neona-15h26mm-1m-neon-night-134-045/", "Инфо")</f>
        <v>Инфо</v>
      </c>
      <c r="F11449" s="34" t="s">
        <v>39</v>
      </c>
      <c r="G11449" s="33"/>
      <c r="H11449" s="33" t="s">
        <v>40</v>
      </c>
      <c r="I11449" s="33"/>
      <c r="J11449" s="34" t="s">
        <v>100</v>
      </c>
      <c r="K11449" s="33"/>
      <c r="L11449" s="35">
        <v>1</v>
      </c>
      <c r="M11449" s="35">
        <v>100</v>
      </c>
      <c r="N11449" s="35">
        <v>1</v>
      </c>
      <c r="O11449" s="36">
        <v>384.21</v>
      </c>
      <c r="P11449" s="36">
        <v>314.93</v>
      </c>
      <c r="Q11449" s="36">
        <v>268.95</v>
      </c>
      <c r="R11449" s="36">
        <v>220.45</v>
      </c>
      <c r="S11449" s="36">
        <v>238.21</v>
      </c>
      <c r="T11449" s="36">
        <v>195.25</v>
      </c>
      <c r="U11449" s="34"/>
      <c r="V11449" s="34"/>
      <c r="W11449" s="34"/>
      <c r="X11449" s="37">
        <v>9.7000000000000003E-2</v>
      </c>
      <c r="Y11449" s="38">
        <v>2.2000000000000001E-4</v>
      </c>
      <c r="Z11449" s="21">
        <v>4601004086371</v>
      </c>
    </row>
    <row r="11450" spans="1:26" ht="12" customHeight="1" outlineLevel="4" x14ac:dyDescent="0.2">
      <c r="A11450" s="14" t="s">
        <v>21756</v>
      </c>
      <c r="B11450" s="26" t="s">
        <v>21757</v>
      </c>
      <c r="C11450" s="52"/>
      <c r="D11450" s="55">
        <f t="shared" si="178"/>
        <v>0</v>
      </c>
      <c r="E11450" s="63" t="str">
        <f>HYPERLINK("https://www.sds-group.ru/product/profil-alyuminievyy-anodirovannyy-dlya-gibkogo-neona-15h26mm-2m-neon-night-134-090/", "Инфо")</f>
        <v>Инфо</v>
      </c>
      <c r="F11450" s="16" t="s">
        <v>39</v>
      </c>
      <c r="G11450" s="15"/>
      <c r="H11450" s="15"/>
      <c r="I11450" s="15"/>
      <c r="J11450" s="22">
        <v>1831</v>
      </c>
      <c r="K11450" s="15" t="s">
        <v>995</v>
      </c>
      <c r="L11450" s="17">
        <v>1</v>
      </c>
      <c r="M11450" s="17">
        <v>100</v>
      </c>
      <c r="N11450" s="17">
        <v>1</v>
      </c>
      <c r="O11450" s="18">
        <v>769.6</v>
      </c>
      <c r="P11450" s="18">
        <v>630.82000000000005</v>
      </c>
      <c r="Q11450" s="18">
        <v>769.6</v>
      </c>
      <c r="R11450" s="18">
        <v>630.82000000000005</v>
      </c>
      <c r="S11450" s="18">
        <v>477.15</v>
      </c>
      <c r="T11450" s="18">
        <v>391.11</v>
      </c>
      <c r="U11450" s="16"/>
      <c r="V11450" s="16"/>
      <c r="W11450" s="16" t="s">
        <v>40</v>
      </c>
      <c r="X11450" s="19">
        <v>0.23899999999999999</v>
      </c>
      <c r="Y11450" s="20">
        <v>4.6799999999999999E-4</v>
      </c>
      <c r="Z11450" s="21">
        <v>4601004308138</v>
      </c>
    </row>
    <row r="11451" spans="1:26" ht="12" customHeight="1" outlineLevel="4" x14ac:dyDescent="0.2">
      <c r="A11451" s="14" t="s">
        <v>21758</v>
      </c>
      <c r="B11451" s="26" t="s">
        <v>21759</v>
      </c>
      <c r="C11451" s="52"/>
      <c r="D11451" s="55">
        <f t="shared" si="178"/>
        <v>0</v>
      </c>
      <c r="E11451" s="63" t="str">
        <f>HYPERLINK("https://www.sds-group.ru/product/profil-alyuminievyy-anodirovannyy-dlya-gibkogo-neona-16h16mm-2m-134-088/", "Инфо")</f>
        <v>Инфо</v>
      </c>
      <c r="F11451" s="16" t="s">
        <v>39</v>
      </c>
      <c r="G11451" s="15"/>
      <c r="H11451" s="15"/>
      <c r="I11451" s="15"/>
      <c r="J11451" s="16" t="s">
        <v>100</v>
      </c>
      <c r="K11451" s="15" t="s">
        <v>995</v>
      </c>
      <c r="L11451" s="17">
        <v>1</v>
      </c>
      <c r="M11451" s="17">
        <v>100</v>
      </c>
      <c r="N11451" s="17">
        <v>1</v>
      </c>
      <c r="O11451" s="18">
        <v>651.02</v>
      </c>
      <c r="P11451" s="18">
        <v>533.62</v>
      </c>
      <c r="Q11451" s="18">
        <v>651.02</v>
      </c>
      <c r="R11451" s="18">
        <v>533.62</v>
      </c>
      <c r="S11451" s="18">
        <v>403.63</v>
      </c>
      <c r="T11451" s="18">
        <v>330.84</v>
      </c>
      <c r="U11451" s="16"/>
      <c r="V11451" s="16"/>
      <c r="W11451" s="16" t="s">
        <v>40</v>
      </c>
      <c r="X11451" s="19">
        <v>0.20100000000000001</v>
      </c>
      <c r="Y11451" s="20">
        <v>4.0000000000000002E-4</v>
      </c>
      <c r="Z11451" s="21">
        <v>4601004303812</v>
      </c>
    </row>
    <row r="11452" spans="1:26" ht="12" customHeight="1" outlineLevel="4" x14ac:dyDescent="0.2">
      <c r="A11452" s="14" t="s">
        <v>21760</v>
      </c>
      <c r="B11452" s="26" t="s">
        <v>21761</v>
      </c>
      <c r="C11452" s="52"/>
      <c r="D11452" s="55">
        <f t="shared" si="178"/>
        <v>0</v>
      </c>
      <c r="E11452" s="63" t="str">
        <f>HYPERLINK("https://www.sds-group.ru/product/profil-alyuminievyy-anodirovannyy-dlya-gibkogo-neona-8h16mm-2m-neon-night-134-080/", "Инфо")</f>
        <v>Инфо</v>
      </c>
      <c r="F11452" s="16" t="s">
        <v>39</v>
      </c>
      <c r="G11452" s="15"/>
      <c r="H11452" s="15"/>
      <c r="I11452" s="15"/>
      <c r="J11452" s="16" t="s">
        <v>100</v>
      </c>
      <c r="K11452" s="15" t="s">
        <v>995</v>
      </c>
      <c r="L11452" s="17">
        <v>5</v>
      </c>
      <c r="M11452" s="17">
        <v>100</v>
      </c>
      <c r="N11452" s="17">
        <v>5</v>
      </c>
      <c r="O11452" s="18">
        <v>420.43</v>
      </c>
      <c r="P11452" s="18">
        <v>344.61</v>
      </c>
      <c r="Q11452" s="18">
        <v>420.43</v>
      </c>
      <c r="R11452" s="18">
        <v>344.61</v>
      </c>
      <c r="S11452" s="18">
        <v>260.67</v>
      </c>
      <c r="T11452" s="18">
        <v>213.66</v>
      </c>
      <c r="U11452" s="16"/>
      <c r="V11452" s="16"/>
      <c r="W11452" s="16" t="s">
        <v>40</v>
      </c>
      <c r="X11452" s="19">
        <v>0.17199999999999999</v>
      </c>
      <c r="Y11452" s="20">
        <v>2.8400000000000002E-4</v>
      </c>
      <c r="Z11452" s="21">
        <v>4601004161887</v>
      </c>
    </row>
    <row r="11453" spans="1:26" ht="12" customHeight="1" outlineLevel="4" x14ac:dyDescent="0.2">
      <c r="A11453" s="14" t="s">
        <v>21762</v>
      </c>
      <c r="B11453" s="26" t="s">
        <v>21763</v>
      </c>
      <c r="C11453" s="52"/>
      <c r="D11453" s="55">
        <f t="shared" si="178"/>
        <v>0</v>
      </c>
      <c r="E11453" s="63" t="str">
        <f>HYPERLINK("https://www.sds-group.ru/product/profil-alyuminievyy-anodirovannyy-dlya-gibkogo-neona-8h16mm-2m-korichnevyy-neon-night-134-098/", "Инфо")</f>
        <v>Инфо</v>
      </c>
      <c r="F11453" s="16" t="s">
        <v>39</v>
      </c>
      <c r="G11453" s="15"/>
      <c r="H11453" s="15"/>
      <c r="I11453" s="15"/>
      <c r="J11453" s="22">
        <v>1365</v>
      </c>
      <c r="K11453" s="15" t="s">
        <v>995</v>
      </c>
      <c r="L11453" s="17">
        <v>1</v>
      </c>
      <c r="M11453" s="17">
        <v>100</v>
      </c>
      <c r="N11453" s="17">
        <v>1</v>
      </c>
      <c r="O11453" s="18">
        <v>651.02</v>
      </c>
      <c r="P11453" s="18">
        <v>533.62</v>
      </c>
      <c r="Q11453" s="18">
        <v>651.02</v>
      </c>
      <c r="R11453" s="18">
        <v>533.62</v>
      </c>
      <c r="S11453" s="18">
        <v>403.63</v>
      </c>
      <c r="T11453" s="18">
        <v>330.84</v>
      </c>
      <c r="U11453" s="16"/>
      <c r="V11453" s="16"/>
      <c r="W11453" s="16" t="s">
        <v>40</v>
      </c>
      <c r="X11453" s="19">
        <v>0.191</v>
      </c>
      <c r="Y11453" s="20">
        <v>2.9E-4</v>
      </c>
      <c r="Z11453" s="21">
        <v>4601004332287</v>
      </c>
    </row>
    <row r="11454" spans="1:26" ht="12" customHeight="1" outlineLevel="4" x14ac:dyDescent="0.2">
      <c r="A11454" s="14" t="s">
        <v>21764</v>
      </c>
      <c r="B11454" s="26" t="s">
        <v>21765</v>
      </c>
      <c r="C11454" s="52"/>
      <c r="D11454" s="55">
        <f t="shared" si="178"/>
        <v>0</v>
      </c>
      <c r="E11454" s="63" t="str">
        <f>HYPERLINK("https://www.sds-group.ru/product/profil-alyuminievyy-anodirovannyy-dlya-gibkogo-neona-8h16mm-2m-chernyy-neon-night-134-083/", "Инфо")</f>
        <v>Инфо</v>
      </c>
      <c r="F11454" s="16" t="s">
        <v>39</v>
      </c>
      <c r="G11454" s="15"/>
      <c r="H11454" s="15"/>
      <c r="I11454" s="15"/>
      <c r="J11454" s="16" t="s">
        <v>100</v>
      </c>
      <c r="K11454" s="15" t="s">
        <v>995</v>
      </c>
      <c r="L11454" s="17">
        <v>1</v>
      </c>
      <c r="M11454" s="17">
        <v>100</v>
      </c>
      <c r="N11454" s="17">
        <v>1</v>
      </c>
      <c r="O11454" s="18">
        <v>651.02</v>
      </c>
      <c r="P11454" s="18">
        <v>533.62</v>
      </c>
      <c r="Q11454" s="18">
        <v>651.02</v>
      </c>
      <c r="R11454" s="18">
        <v>533.62</v>
      </c>
      <c r="S11454" s="18">
        <v>403.63</v>
      </c>
      <c r="T11454" s="18">
        <v>330.84</v>
      </c>
      <c r="U11454" s="16"/>
      <c r="V11454" s="16"/>
      <c r="W11454" s="16" t="s">
        <v>40</v>
      </c>
      <c r="X11454" s="19">
        <v>0.19</v>
      </c>
      <c r="Y11454" s="20">
        <v>2.9E-4</v>
      </c>
      <c r="Z11454" s="21">
        <v>4601004310315</v>
      </c>
    </row>
    <row r="11455" spans="1:26" ht="12" customHeight="1" outlineLevel="4" x14ac:dyDescent="0.2">
      <c r="A11455" s="32" t="s">
        <v>21766</v>
      </c>
      <c r="B11455" s="74" t="s">
        <v>21767</v>
      </c>
      <c r="C11455" s="50"/>
      <c r="D11455" s="53">
        <f t="shared" si="178"/>
        <v>0</v>
      </c>
      <c r="E11455" s="60" t="str">
        <f>HYPERLINK("https://www.sds-group.ru/product/profil-plastikovyy-dlya-kruglogo-gibkogo-neona-16mm-dyuralayta-neona-7h12mm-1m-neon-night-134-047/", "Инфо")</f>
        <v>Инфо</v>
      </c>
      <c r="F11455" s="34" t="s">
        <v>39</v>
      </c>
      <c r="G11455" s="33"/>
      <c r="H11455" s="33" t="s">
        <v>40</v>
      </c>
      <c r="I11455" s="33"/>
      <c r="J11455" s="35">
        <v>9</v>
      </c>
      <c r="K11455" s="33"/>
      <c r="L11455" s="35">
        <v>10</v>
      </c>
      <c r="M11455" s="35">
        <v>200</v>
      </c>
      <c r="N11455" s="35">
        <v>10</v>
      </c>
      <c r="O11455" s="36">
        <v>105.8</v>
      </c>
      <c r="P11455" s="36">
        <v>86.72</v>
      </c>
      <c r="Q11455" s="36">
        <v>74.06</v>
      </c>
      <c r="R11455" s="36">
        <v>60.7</v>
      </c>
      <c r="S11455" s="36">
        <v>65.599999999999994</v>
      </c>
      <c r="T11455" s="36">
        <v>53.77</v>
      </c>
      <c r="U11455" s="34"/>
      <c r="V11455" s="34"/>
      <c r="W11455" s="34"/>
      <c r="X11455" s="37">
        <v>3.3000000000000002E-2</v>
      </c>
      <c r="Y11455" s="38">
        <v>2.03E-4</v>
      </c>
      <c r="Z11455" s="21">
        <v>4601004086302</v>
      </c>
    </row>
    <row r="11456" spans="1:26" ht="12" customHeight="1" outlineLevel="4" x14ac:dyDescent="0.2">
      <c r="A11456" s="14" t="s">
        <v>21768</v>
      </c>
      <c r="B11456" s="26" t="s">
        <v>21769</v>
      </c>
      <c r="C11456" s="52"/>
      <c r="D11456" s="55">
        <f t="shared" si="178"/>
        <v>0</v>
      </c>
      <c r="E11456" s="63" t="str">
        <f>HYPERLINK("https://www.sds-group.ru/product/korob-plastikoviy-dlya-gibkogo-neona-oslash-16-mm-dlina-1-metr-27793/", "Инфо")</f>
        <v>Инфо</v>
      </c>
      <c r="F11456" s="16" t="s">
        <v>39</v>
      </c>
      <c r="G11456" s="15"/>
      <c r="H11456" s="15"/>
      <c r="I11456" s="15"/>
      <c r="J11456" s="16" t="s">
        <v>100</v>
      </c>
      <c r="K11456" s="15" t="s">
        <v>11098</v>
      </c>
      <c r="L11456" s="17">
        <v>1</v>
      </c>
      <c r="M11456" s="17">
        <v>100</v>
      </c>
      <c r="N11456" s="17">
        <v>1</v>
      </c>
      <c r="O11456" s="18">
        <v>385.48</v>
      </c>
      <c r="P11456" s="18">
        <v>315.97000000000003</v>
      </c>
      <c r="Q11456" s="18">
        <v>385.48</v>
      </c>
      <c r="R11456" s="18">
        <v>315.97000000000003</v>
      </c>
      <c r="S11456" s="18">
        <v>239</v>
      </c>
      <c r="T11456" s="18">
        <v>195.9</v>
      </c>
      <c r="U11456" s="16"/>
      <c r="V11456" s="16"/>
      <c r="W11456" s="16" t="s">
        <v>40</v>
      </c>
      <c r="X11456" s="19">
        <v>0.23200000000000001</v>
      </c>
      <c r="Y11456" s="20">
        <v>2.7999999999999998E-4</v>
      </c>
      <c r="Z11456" s="21">
        <v>4601004233348</v>
      </c>
    </row>
    <row r="11457" spans="1:26" ht="12" customHeight="1" outlineLevel="4" x14ac:dyDescent="0.2">
      <c r="A11457" s="14" t="s">
        <v>21770</v>
      </c>
      <c r="B11457" s="26" t="s">
        <v>21771</v>
      </c>
      <c r="C11457" s="52"/>
      <c r="D11457" s="55">
        <f t="shared" si="178"/>
        <v>0</v>
      </c>
      <c r="E11457" s="63" t="str">
        <f>HYPERLINK("https://www.sds-group.ru/product/ustanovochnyy-nabor-dlya-gibkogo-neona-16h16mm-formy-d-blok-pitaniya-kauchuk-s-diodnym-mosto-134-501/", "Инфо")</f>
        <v>Инфо</v>
      </c>
      <c r="F11457" s="16" t="s">
        <v>39</v>
      </c>
      <c r="G11457" s="15"/>
      <c r="H11457" s="15"/>
      <c r="I11457" s="15"/>
      <c r="J11457" s="22">
        <v>1817</v>
      </c>
      <c r="K11457" s="15"/>
      <c r="L11457" s="17">
        <v>1</v>
      </c>
      <c r="M11457" s="17">
        <v>100</v>
      </c>
      <c r="N11457" s="17">
        <v>1</v>
      </c>
      <c r="O11457" s="18">
        <v>1119.3499999999999</v>
      </c>
      <c r="P11457" s="18">
        <v>917.5</v>
      </c>
      <c r="Q11457" s="18">
        <v>1119.3499999999999</v>
      </c>
      <c r="R11457" s="18">
        <v>917.5</v>
      </c>
      <c r="S11457" s="18">
        <v>694</v>
      </c>
      <c r="T11457" s="18">
        <v>568.85</v>
      </c>
      <c r="U11457" s="16"/>
      <c r="V11457" s="16"/>
      <c r="W11457" s="16" t="s">
        <v>40</v>
      </c>
      <c r="X11457" s="19">
        <v>0.23499999999999999</v>
      </c>
      <c r="Y11457" s="20">
        <v>4.9600000000000002E-4</v>
      </c>
      <c r="Z11457" s="21">
        <v>4601004295193</v>
      </c>
    </row>
    <row r="11458" spans="1:26" ht="12" customHeight="1" outlineLevel="4" x14ac:dyDescent="0.2">
      <c r="A11458" s="14" t="s">
        <v>21772</v>
      </c>
      <c r="B11458" s="26" t="s">
        <v>21773</v>
      </c>
      <c r="C11458" s="52"/>
      <c r="D11458" s="55">
        <f t="shared" si="178"/>
        <v>0</v>
      </c>
      <c r="E11458" s="63" t="str">
        <f>HYPERLINK("https://www.sds-group.ru/product/ustanovochnyy-nabor-dlya-dvuhstoronnego-gibkogo-neona-8h16mm-blok-pitaniya-kauchuk-s-diodnym-134-502/", "Инфо")</f>
        <v>Инфо</v>
      </c>
      <c r="F11458" s="16" t="s">
        <v>39</v>
      </c>
      <c r="G11458" s="15"/>
      <c r="H11458" s="15"/>
      <c r="I11458" s="15"/>
      <c r="J11458" s="22">
        <v>1792</v>
      </c>
      <c r="K11458" s="15" t="s">
        <v>21151</v>
      </c>
      <c r="L11458" s="17">
        <v>1</v>
      </c>
      <c r="M11458" s="17">
        <v>100</v>
      </c>
      <c r="N11458" s="17">
        <v>1</v>
      </c>
      <c r="O11458" s="18">
        <v>1119.3499999999999</v>
      </c>
      <c r="P11458" s="18">
        <v>917.5</v>
      </c>
      <c r="Q11458" s="18">
        <v>1119.3499999999999</v>
      </c>
      <c r="R11458" s="18">
        <v>917.5</v>
      </c>
      <c r="S11458" s="18">
        <v>694</v>
      </c>
      <c r="T11458" s="18">
        <v>568.85</v>
      </c>
      <c r="U11458" s="16"/>
      <c r="V11458" s="16"/>
      <c r="W11458" s="16" t="s">
        <v>40</v>
      </c>
      <c r="X11458" s="19">
        <v>0.20499999999999999</v>
      </c>
      <c r="Y11458" s="20">
        <v>3.9399999999999998E-4</v>
      </c>
      <c r="Z11458" s="21">
        <v>4601004295223</v>
      </c>
    </row>
    <row r="11459" spans="1:26" ht="12" customHeight="1" outlineLevel="4" x14ac:dyDescent="0.2">
      <c r="A11459" s="14" t="s">
        <v>21774</v>
      </c>
      <c r="B11459" s="26" t="s">
        <v>21775</v>
      </c>
      <c r="C11459" s="52"/>
      <c r="D11459" s="55">
        <f t="shared" si="178"/>
        <v>0</v>
      </c>
      <c r="E11459" s="63" t="str">
        <f>HYPERLINK("https://www.sds-group.ru/product/ustanovochnyy-nabor-dlya-gibkogo-neona-360-diametr-16-mm-provod-pvh-230v-134-012/", "Инфо")</f>
        <v>Инфо</v>
      </c>
      <c r="F11459" s="16" t="s">
        <v>39</v>
      </c>
      <c r="G11459" s="15"/>
      <c r="H11459" s="15"/>
      <c r="I11459" s="15"/>
      <c r="J11459" s="17">
        <v>511</v>
      </c>
      <c r="K11459" s="15"/>
      <c r="L11459" s="17">
        <v>5</v>
      </c>
      <c r="M11459" s="17">
        <v>100</v>
      </c>
      <c r="N11459" s="17">
        <v>5</v>
      </c>
      <c r="O11459" s="18">
        <v>514.55999999999995</v>
      </c>
      <c r="P11459" s="18">
        <v>421.77</v>
      </c>
      <c r="Q11459" s="18">
        <v>514.55999999999995</v>
      </c>
      <c r="R11459" s="18">
        <v>421.77</v>
      </c>
      <c r="S11459" s="18">
        <v>319.02999999999997</v>
      </c>
      <c r="T11459" s="18">
        <v>261.5</v>
      </c>
      <c r="U11459" s="16"/>
      <c r="V11459" s="16"/>
      <c r="W11459" s="16" t="s">
        <v>40</v>
      </c>
      <c r="X11459" s="19">
        <v>8.2000000000000003E-2</v>
      </c>
      <c r="Y11459" s="20">
        <v>3.3E-4</v>
      </c>
      <c r="Z11459" s="21">
        <v>4601004233317</v>
      </c>
    </row>
    <row r="11460" spans="1:26" ht="12" customHeight="1" outlineLevel="4" x14ac:dyDescent="0.2">
      <c r="A11460" s="14" t="s">
        <v>21776</v>
      </c>
      <c r="B11460" s="26" t="s">
        <v>21777</v>
      </c>
      <c r="C11460" s="52"/>
      <c r="D11460" s="55">
        <f t="shared" si="178"/>
        <v>0</v>
      </c>
      <c r="E11460" s="63" t="str">
        <f>HYPERLINK("https://www.sds-group.ru/product/ustanovochnyy-nabor-dlya-odnostoronnego-gibkogo-neona-15h26mm-blok-pitaniya-kauchuk-s-diodny-134-504/", "Инфо")</f>
        <v>Инфо</v>
      </c>
      <c r="F11460" s="16" t="s">
        <v>39</v>
      </c>
      <c r="G11460" s="15"/>
      <c r="H11460" s="15"/>
      <c r="I11460" s="15"/>
      <c r="J11460" s="17">
        <v>253</v>
      </c>
      <c r="K11460" s="15" t="s">
        <v>1277</v>
      </c>
      <c r="L11460" s="17">
        <v>1</v>
      </c>
      <c r="M11460" s="17">
        <v>100</v>
      </c>
      <c r="N11460" s="17">
        <v>1</v>
      </c>
      <c r="O11460" s="18">
        <v>1119.3499999999999</v>
      </c>
      <c r="P11460" s="18">
        <v>917.5</v>
      </c>
      <c r="Q11460" s="18">
        <v>1119.3499999999999</v>
      </c>
      <c r="R11460" s="18">
        <v>917.5</v>
      </c>
      <c r="S11460" s="18">
        <v>694</v>
      </c>
      <c r="T11460" s="18">
        <v>568.85</v>
      </c>
      <c r="U11460" s="16"/>
      <c r="V11460" s="16"/>
      <c r="W11460" s="16" t="s">
        <v>40</v>
      </c>
      <c r="X11460" s="19">
        <v>0.19900000000000001</v>
      </c>
      <c r="Y11460" s="20">
        <v>4.7600000000000002E-4</v>
      </c>
      <c r="Z11460" s="21">
        <v>4601004295247</v>
      </c>
    </row>
    <row r="11461" spans="1:26" ht="12" customHeight="1" outlineLevel="4" x14ac:dyDescent="0.2">
      <c r="A11461" s="14" t="s">
        <v>21778</v>
      </c>
      <c r="B11461" s="26" t="s">
        <v>21779</v>
      </c>
      <c r="C11461" s="52"/>
      <c r="D11461" s="55">
        <f t="shared" si="178"/>
        <v>0</v>
      </c>
      <c r="E11461" s="63" t="str">
        <f>HYPERLINK("https://www.sds-group.ru/product/ustanovochnyy-nabor-dlya-odnostoronnego-gibkogo-neona-8h16mm-blok-pitaniya-kauchuk-s-diodnym-134-503/", "Инфо")</f>
        <v>Инфо</v>
      </c>
      <c r="F11461" s="16" t="s">
        <v>39</v>
      </c>
      <c r="G11461" s="15"/>
      <c r="H11461" s="15"/>
      <c r="I11461" s="15"/>
      <c r="J11461" s="17">
        <v>664</v>
      </c>
      <c r="K11461" s="15" t="s">
        <v>21151</v>
      </c>
      <c r="L11461" s="17">
        <v>1</v>
      </c>
      <c r="M11461" s="17">
        <v>100</v>
      </c>
      <c r="N11461" s="17">
        <v>1</v>
      </c>
      <c r="O11461" s="18">
        <v>1119.3499999999999</v>
      </c>
      <c r="P11461" s="18">
        <v>917.5</v>
      </c>
      <c r="Q11461" s="18">
        <v>1119.3499999999999</v>
      </c>
      <c r="R11461" s="18">
        <v>917.5</v>
      </c>
      <c r="S11461" s="18">
        <v>694</v>
      </c>
      <c r="T11461" s="18">
        <v>568.85</v>
      </c>
      <c r="U11461" s="16"/>
      <c r="V11461" s="16"/>
      <c r="W11461" s="16" t="s">
        <v>40</v>
      </c>
      <c r="X11461" s="19">
        <v>0.20399999999999999</v>
      </c>
      <c r="Y11461" s="20">
        <v>4.73E-4</v>
      </c>
      <c r="Z11461" s="21">
        <v>4601004295230</v>
      </c>
    </row>
    <row r="11462" spans="1:26" ht="12.95" customHeight="1" outlineLevel="2" x14ac:dyDescent="0.2">
      <c r="A11462" s="76" t="s">
        <v>21780</v>
      </c>
      <c r="B11462" s="76"/>
      <c r="C11462" s="77"/>
      <c r="D11462" s="58"/>
      <c r="E11462" s="68"/>
      <c r="F11462" s="13"/>
      <c r="G11462" s="13"/>
      <c r="H11462" s="13"/>
      <c r="I11462" s="13"/>
      <c r="J11462" s="13"/>
      <c r="K11462" s="13"/>
      <c r="L11462" s="13"/>
      <c r="M11462" s="13"/>
      <c r="N11462" s="13"/>
      <c r="O11462" s="13"/>
      <c r="P11462" s="13"/>
      <c r="Q11462" s="13"/>
      <c r="R11462" s="13"/>
      <c r="S11462" s="13"/>
      <c r="T11462" s="13"/>
      <c r="U11462" s="13"/>
      <c r="V11462" s="13"/>
      <c r="W11462" s="13"/>
      <c r="X11462" s="13"/>
      <c r="Y11462" s="13"/>
      <c r="Z11462" s="13"/>
    </row>
    <row r="11463" spans="1:26" ht="12.95" customHeight="1" outlineLevel="3" x14ac:dyDescent="0.2">
      <c r="A11463" s="76" t="s">
        <v>21781</v>
      </c>
      <c r="B11463" s="76"/>
      <c r="C11463" s="77"/>
      <c r="D11463" s="58"/>
      <c r="E11463" s="68"/>
      <c r="F11463" s="13"/>
      <c r="G11463" s="13"/>
      <c r="H11463" s="13"/>
      <c r="I11463" s="13"/>
      <c r="J11463" s="13"/>
      <c r="K11463" s="13"/>
      <c r="L11463" s="13"/>
      <c r="M11463" s="13"/>
      <c r="N11463" s="13"/>
      <c r="O11463" s="13"/>
      <c r="P11463" s="13"/>
      <c r="Q11463" s="13"/>
      <c r="R11463" s="13"/>
      <c r="S11463" s="13"/>
      <c r="T11463" s="13"/>
      <c r="U11463" s="13"/>
      <c r="V11463" s="13"/>
      <c r="W11463" s="13"/>
      <c r="X11463" s="13"/>
      <c r="Y11463" s="13"/>
      <c r="Z11463" s="13"/>
    </row>
    <row r="11464" spans="1:26" ht="12.95" customHeight="1" outlineLevel="4" x14ac:dyDescent="0.2">
      <c r="A11464" s="76" t="s">
        <v>21782</v>
      </c>
      <c r="B11464" s="76"/>
      <c r="C11464" s="77"/>
      <c r="D11464" s="58"/>
      <c r="E11464" s="68"/>
      <c r="F11464" s="13"/>
      <c r="G11464" s="13"/>
      <c r="H11464" s="13"/>
      <c r="I11464" s="13"/>
      <c r="J11464" s="13"/>
      <c r="K11464" s="13"/>
      <c r="L11464" s="13"/>
      <c r="M11464" s="13"/>
      <c r="N11464" s="13"/>
      <c r="O11464" s="13"/>
      <c r="P11464" s="13"/>
      <c r="Q11464" s="13"/>
      <c r="R11464" s="13"/>
      <c r="S11464" s="13"/>
      <c r="T11464" s="13"/>
      <c r="U11464" s="13"/>
      <c r="V11464" s="13"/>
      <c r="W11464" s="13"/>
      <c r="X11464" s="13"/>
      <c r="Y11464" s="13"/>
      <c r="Z11464" s="13"/>
    </row>
    <row r="11465" spans="1:26" ht="12" customHeight="1" outlineLevel="5" x14ac:dyDescent="0.2">
      <c r="A11465" s="14" t="s">
        <v>21783</v>
      </c>
      <c r="B11465" s="26" t="s">
        <v>21784</v>
      </c>
      <c r="C11465" s="52"/>
      <c r="D11465" s="55">
        <f t="shared" ref="D11465:D11528" si="179">C11465*(O11465-O11465*$G$3)</f>
        <v>0</v>
      </c>
      <c r="E11465" s="63" t="str">
        <f>HYPERLINK("https://www.sds-group.ru/product/girlyanda-svetodiodnaya-zanaves-2x0-8m-160-led-belyy-prozrachnyy-pvh-ip65-postoyannoe-sveche-235-105/", "Инфо")</f>
        <v>Инфо</v>
      </c>
      <c r="F11465" s="16" t="s">
        <v>39</v>
      </c>
      <c r="G11465" s="15"/>
      <c r="H11465" s="15"/>
      <c r="I11465" s="15"/>
      <c r="J11465" s="17">
        <v>150</v>
      </c>
      <c r="K11465" s="15"/>
      <c r="L11465" s="17">
        <v>1</v>
      </c>
      <c r="M11465" s="17">
        <v>30</v>
      </c>
      <c r="N11465" s="17">
        <v>1</v>
      </c>
      <c r="O11465" s="18">
        <v>3973.21</v>
      </c>
      <c r="P11465" s="18">
        <v>3256.73</v>
      </c>
      <c r="Q11465" s="18">
        <v>3973.21</v>
      </c>
      <c r="R11465" s="18">
        <v>3256.73</v>
      </c>
      <c r="S11465" s="18">
        <v>2463.39</v>
      </c>
      <c r="T11465" s="18">
        <v>2019.17</v>
      </c>
      <c r="U11465" s="16"/>
      <c r="V11465" s="16"/>
      <c r="W11465" s="16" t="s">
        <v>40</v>
      </c>
      <c r="X11465" s="19">
        <v>0.77600000000000002</v>
      </c>
      <c r="Y11465" s="20">
        <v>2.5230000000000001E-3</v>
      </c>
      <c r="Z11465" s="21">
        <v>4601004091962</v>
      </c>
    </row>
    <row r="11466" spans="1:26" ht="12" customHeight="1" outlineLevel="5" x14ac:dyDescent="0.2">
      <c r="A11466" s="32" t="s">
        <v>21785</v>
      </c>
      <c r="B11466" s="74" t="s">
        <v>21786</v>
      </c>
      <c r="C11466" s="50"/>
      <c r="D11466" s="53">
        <f t="shared" si="179"/>
        <v>0</v>
      </c>
      <c r="E11466" s="60" t="str">
        <f>HYPERLINK("https://www.sds-group.ru/product/girlyanda-svetodiodnaya-zanaves-2x0-8m-160-led-zelenyy-prozrachnyy-pvh-ip65-postoyannoe-svec-235-104/", "Инфо")</f>
        <v>Инфо</v>
      </c>
      <c r="F11466" s="34" t="s">
        <v>39</v>
      </c>
      <c r="G11466" s="33"/>
      <c r="H11466" s="33" t="s">
        <v>40</v>
      </c>
      <c r="I11466" s="33"/>
      <c r="J11466" s="34" t="s">
        <v>100</v>
      </c>
      <c r="K11466" s="33"/>
      <c r="L11466" s="35">
        <v>1</v>
      </c>
      <c r="M11466" s="35">
        <v>20</v>
      </c>
      <c r="N11466" s="35">
        <v>1</v>
      </c>
      <c r="O11466" s="36">
        <v>4008.97</v>
      </c>
      <c r="P11466" s="36">
        <v>3286.04</v>
      </c>
      <c r="Q11466" s="36">
        <v>2806.28</v>
      </c>
      <c r="R11466" s="36">
        <v>2300.23</v>
      </c>
      <c r="S11466" s="36">
        <v>2485.56</v>
      </c>
      <c r="T11466" s="36">
        <v>2037.34</v>
      </c>
      <c r="U11466" s="34"/>
      <c r="V11466" s="34"/>
      <c r="W11466" s="34"/>
      <c r="X11466" s="37">
        <v>1</v>
      </c>
      <c r="Y11466" s="38">
        <v>5.4130000000000003E-3</v>
      </c>
      <c r="Z11466" s="21">
        <v>4601004091955</v>
      </c>
    </row>
    <row r="11467" spans="1:26" ht="12" customHeight="1" outlineLevel="5" x14ac:dyDescent="0.2">
      <c r="A11467" s="32" t="s">
        <v>21787</v>
      </c>
      <c r="B11467" s="74" t="s">
        <v>21788</v>
      </c>
      <c r="C11467" s="50"/>
      <c r="D11467" s="53">
        <f t="shared" si="179"/>
        <v>0</v>
      </c>
      <c r="E11467" s="60" t="str">
        <f>HYPERLINK("https://www.sds-group.ru/product/girlyanda-svetodiodnaya-zanaves-2x0-8m-160-led-krasnyy-prozrachnyy-pvh-ip65-postoyannoe-svec-235-102/", "Инфо")</f>
        <v>Инфо</v>
      </c>
      <c r="F11467" s="34" t="s">
        <v>39</v>
      </c>
      <c r="G11467" s="33"/>
      <c r="H11467" s="33" t="s">
        <v>40</v>
      </c>
      <c r="I11467" s="33"/>
      <c r="J11467" s="35">
        <v>11</v>
      </c>
      <c r="K11467" s="33"/>
      <c r="L11467" s="35">
        <v>1</v>
      </c>
      <c r="M11467" s="35">
        <v>20</v>
      </c>
      <c r="N11467" s="35">
        <v>1</v>
      </c>
      <c r="O11467" s="36">
        <v>3063.45</v>
      </c>
      <c r="P11467" s="36">
        <v>2511.02</v>
      </c>
      <c r="Q11467" s="36">
        <v>2144.42</v>
      </c>
      <c r="R11467" s="36">
        <v>1757.72</v>
      </c>
      <c r="S11467" s="36">
        <v>1899.34</v>
      </c>
      <c r="T11467" s="36">
        <v>1556.84</v>
      </c>
      <c r="U11467" s="34"/>
      <c r="V11467" s="34"/>
      <c r="W11467" s="34"/>
      <c r="X11467" s="37">
        <v>1</v>
      </c>
      <c r="Y11467" s="38">
        <v>5.4130000000000003E-3</v>
      </c>
      <c r="Z11467" s="21">
        <v>4601004091931</v>
      </c>
    </row>
    <row r="11468" spans="1:26" ht="12" customHeight="1" outlineLevel="5" x14ac:dyDescent="0.2">
      <c r="A11468" s="32" t="s">
        <v>21789</v>
      </c>
      <c r="B11468" s="74" t="s">
        <v>21790</v>
      </c>
      <c r="C11468" s="50"/>
      <c r="D11468" s="53">
        <f t="shared" si="179"/>
        <v>0</v>
      </c>
      <c r="E11468" s="60" t="str">
        <f>HYPERLINK("https://www.sds-group.ru/product/girlyanda-svetodiodnaya-zanaves-2x0-8m-160-led-siniy-prozrachnyy-pvh-ip65-postoyannoe-sveche-235-103/", "Инфо")</f>
        <v>Инфо</v>
      </c>
      <c r="F11468" s="34" t="s">
        <v>39</v>
      </c>
      <c r="G11468" s="33"/>
      <c r="H11468" s="33" t="s">
        <v>40</v>
      </c>
      <c r="I11468" s="33"/>
      <c r="J11468" s="35">
        <v>61</v>
      </c>
      <c r="K11468" s="33"/>
      <c r="L11468" s="35">
        <v>1</v>
      </c>
      <c r="M11468" s="35">
        <v>20</v>
      </c>
      <c r="N11468" s="35">
        <v>1</v>
      </c>
      <c r="O11468" s="36">
        <v>3973.21</v>
      </c>
      <c r="P11468" s="36">
        <v>3256.73</v>
      </c>
      <c r="Q11468" s="36">
        <v>3973.21</v>
      </c>
      <c r="R11468" s="36">
        <v>3256.73</v>
      </c>
      <c r="S11468" s="36">
        <v>2463.39</v>
      </c>
      <c r="T11468" s="36">
        <v>2019.17</v>
      </c>
      <c r="U11468" s="34"/>
      <c r="V11468" s="34"/>
      <c r="W11468" s="34" t="s">
        <v>40</v>
      </c>
      <c r="X11468" s="37">
        <v>0.70699999999999996</v>
      </c>
      <c r="Y11468" s="38">
        <v>3.0539999999999999E-3</v>
      </c>
      <c r="Z11468" s="21">
        <v>4601004091948</v>
      </c>
    </row>
    <row r="11469" spans="1:26" ht="12" customHeight="1" outlineLevel="5" x14ac:dyDescent="0.2">
      <c r="A11469" s="14" t="s">
        <v>21791</v>
      </c>
      <c r="B11469" s="26" t="s">
        <v>21792</v>
      </c>
      <c r="C11469" s="52"/>
      <c r="D11469" s="55">
        <f t="shared" si="179"/>
        <v>0</v>
      </c>
      <c r="E11469" s="63" t="str">
        <f>HYPERLINK("https://www.sds-group.ru/product/girlyanda-svetodiodnaya-zanaves-2h0-8m-160-led-teplyy-belyy-prozrachnyy-pvh-ip65-postoyannoe-235-106/", "Инфо")</f>
        <v>Инфо</v>
      </c>
      <c r="F11469" s="16" t="s">
        <v>39</v>
      </c>
      <c r="G11469" s="15"/>
      <c r="H11469" s="15"/>
      <c r="I11469" s="15"/>
      <c r="J11469" s="17">
        <v>138</v>
      </c>
      <c r="K11469" s="15"/>
      <c r="L11469" s="17">
        <v>1</v>
      </c>
      <c r="M11469" s="17">
        <v>20</v>
      </c>
      <c r="N11469" s="17">
        <v>1</v>
      </c>
      <c r="O11469" s="18">
        <v>3973.21</v>
      </c>
      <c r="P11469" s="18">
        <v>3256.73</v>
      </c>
      <c r="Q11469" s="18">
        <v>3973.21</v>
      </c>
      <c r="R11469" s="18">
        <v>3256.73</v>
      </c>
      <c r="S11469" s="18">
        <v>2463.39</v>
      </c>
      <c r="T11469" s="18">
        <v>2019.17</v>
      </c>
      <c r="U11469" s="16"/>
      <c r="V11469" s="16"/>
      <c r="W11469" s="16" t="s">
        <v>40</v>
      </c>
      <c r="X11469" s="19">
        <v>0.78700000000000003</v>
      </c>
      <c r="Y11469" s="20">
        <v>2.777E-3</v>
      </c>
      <c r="Z11469" s="21">
        <v>4601004091979</v>
      </c>
    </row>
    <row r="11470" spans="1:26" ht="12" customHeight="1" outlineLevel="5" x14ac:dyDescent="0.2">
      <c r="A11470" s="14" t="s">
        <v>21793</v>
      </c>
      <c r="B11470" s="26" t="s">
        <v>21794</v>
      </c>
      <c r="C11470" s="52"/>
      <c r="D11470" s="55">
        <f t="shared" si="179"/>
        <v>0</v>
      </c>
      <c r="E11470" s="63" t="str">
        <f>HYPERLINK("https://www.sds-group.ru/product/girlyanda-svetodiodnaya-zanaves-2h0-8m-160-led-teplyy-belyy-prozrachnyy-pvh-ip65-effekt-mert-235-336/", "Инфо")</f>
        <v>Инфо</v>
      </c>
      <c r="F11470" s="16" t="s">
        <v>39</v>
      </c>
      <c r="G11470" s="15"/>
      <c r="H11470" s="15"/>
      <c r="I11470" s="15"/>
      <c r="J11470" s="17">
        <v>77</v>
      </c>
      <c r="K11470" s="15" t="s">
        <v>1519</v>
      </c>
      <c r="L11470" s="17">
        <v>1</v>
      </c>
      <c r="M11470" s="17">
        <v>20</v>
      </c>
      <c r="N11470" s="17">
        <v>1</v>
      </c>
      <c r="O11470" s="18">
        <v>4722.01</v>
      </c>
      <c r="P11470" s="18">
        <v>3870.5</v>
      </c>
      <c r="Q11470" s="18">
        <v>4722.01</v>
      </c>
      <c r="R11470" s="18">
        <v>3870.5</v>
      </c>
      <c r="S11470" s="18">
        <v>2927.65</v>
      </c>
      <c r="T11470" s="18">
        <v>2399.71</v>
      </c>
      <c r="U11470" s="16"/>
      <c r="V11470" s="16"/>
      <c r="W11470" s="16" t="s">
        <v>40</v>
      </c>
      <c r="X11470" s="19">
        <v>0.79</v>
      </c>
      <c r="Y11470" s="20">
        <v>2.7000000000000001E-3</v>
      </c>
      <c r="Z11470" s="21">
        <v>4601004225114</v>
      </c>
    </row>
    <row r="11471" spans="1:26" ht="12" customHeight="1" outlineLevel="5" x14ac:dyDescent="0.2">
      <c r="A11471" s="14" t="s">
        <v>21795</v>
      </c>
      <c r="B11471" s="26" t="s">
        <v>21796</v>
      </c>
      <c r="C11471" s="52"/>
      <c r="D11471" s="55">
        <f t="shared" si="179"/>
        <v>0</v>
      </c>
      <c r="E11471" s="63" t="str">
        <f>HYPERLINK("https://www.sds-group.ru/product/girlyanda-svetodiodnaya-zanaves-2h0-8m-160-led-teplyy-belyy-chernyy-pvh-ip65-postoyannoe-sve-235-286/", "Инфо")</f>
        <v>Инфо</v>
      </c>
      <c r="F11471" s="16" t="s">
        <v>39</v>
      </c>
      <c r="G11471" s="15"/>
      <c r="H11471" s="15"/>
      <c r="I11471" s="15"/>
      <c r="J11471" s="17">
        <v>131</v>
      </c>
      <c r="K11471" s="15"/>
      <c r="L11471" s="17">
        <v>1</v>
      </c>
      <c r="M11471" s="17">
        <v>20</v>
      </c>
      <c r="N11471" s="17">
        <v>1</v>
      </c>
      <c r="O11471" s="18">
        <v>3973.21</v>
      </c>
      <c r="P11471" s="18">
        <v>3256.73</v>
      </c>
      <c r="Q11471" s="18">
        <v>3973.21</v>
      </c>
      <c r="R11471" s="18">
        <v>3256.73</v>
      </c>
      <c r="S11471" s="18">
        <v>2463.39</v>
      </c>
      <c r="T11471" s="18">
        <v>2019.17</v>
      </c>
      <c r="U11471" s="16"/>
      <c r="V11471" s="16"/>
      <c r="W11471" s="16" t="s">
        <v>40</v>
      </c>
      <c r="X11471" s="19">
        <v>0.73</v>
      </c>
      <c r="Y11471" s="20">
        <v>2.7030000000000001E-3</v>
      </c>
      <c r="Z11471" s="21">
        <v>4601004225138</v>
      </c>
    </row>
    <row r="11472" spans="1:26" ht="12.95" customHeight="1" outlineLevel="4" x14ac:dyDescent="0.2">
      <c r="A11472" s="76" t="s">
        <v>21797</v>
      </c>
      <c r="B11472" s="76"/>
      <c r="C11472" s="77"/>
      <c r="D11472" s="58"/>
      <c r="E11472" s="68"/>
      <c r="F11472" s="13"/>
      <c r="G11472" s="13"/>
      <c r="H11472" s="13"/>
      <c r="I11472" s="13"/>
      <c r="J11472" s="13"/>
      <c r="K11472" s="13"/>
      <c r="L11472" s="13"/>
      <c r="M11472" s="13"/>
      <c r="N11472" s="13"/>
      <c r="O11472" s="13"/>
      <c r="P11472" s="13"/>
      <c r="Q11472" s="13"/>
      <c r="R11472" s="13"/>
      <c r="S11472" s="13"/>
      <c r="T11472" s="13"/>
      <c r="U11472" s="13"/>
      <c r="V11472" s="13"/>
      <c r="W11472" s="13"/>
      <c r="X11472" s="13"/>
      <c r="Y11472" s="13"/>
      <c r="Z11472" s="13"/>
    </row>
    <row r="11473" spans="1:26" ht="12" customHeight="1" outlineLevel="5" x14ac:dyDescent="0.2">
      <c r="A11473" s="14" t="s">
        <v>21798</v>
      </c>
      <c r="B11473" s="26" t="s">
        <v>21799</v>
      </c>
      <c r="C11473" s="52"/>
      <c r="D11473" s="55">
        <f t="shared" si="179"/>
        <v>0</v>
      </c>
      <c r="E11473" s="63" t="str">
        <f>HYPERLINK("https://www.sds-group.ru/product/girlyanda-svetodiodnaya-zanaves-2h1-5m-192-led-belyy-prozrachnyy-pvh-ip65-postoyannoe-svec-235-305-6/", "Инфо")</f>
        <v>Инфо</v>
      </c>
      <c r="F11473" s="16" t="s">
        <v>39</v>
      </c>
      <c r="G11473" s="15"/>
      <c r="H11473" s="15"/>
      <c r="I11473" s="15"/>
      <c r="J11473" s="17">
        <v>13</v>
      </c>
      <c r="K11473" s="15" t="s">
        <v>1277</v>
      </c>
      <c r="L11473" s="17">
        <v>1</v>
      </c>
      <c r="M11473" s="17">
        <v>10</v>
      </c>
      <c r="N11473" s="17">
        <v>1</v>
      </c>
      <c r="O11473" s="18">
        <v>5597.1</v>
      </c>
      <c r="P11473" s="18">
        <v>4587.79</v>
      </c>
      <c r="Q11473" s="18">
        <v>5597.1</v>
      </c>
      <c r="R11473" s="18">
        <v>4587.79</v>
      </c>
      <c r="S11473" s="18">
        <v>3470.2</v>
      </c>
      <c r="T11473" s="18">
        <v>2844.43</v>
      </c>
      <c r="U11473" s="16"/>
      <c r="V11473" s="16"/>
      <c r="W11473" s="16" t="s">
        <v>40</v>
      </c>
      <c r="X11473" s="19">
        <v>1.5820000000000001</v>
      </c>
      <c r="Y11473" s="20">
        <v>5.3249999999999999E-3</v>
      </c>
      <c r="Z11473" s="21">
        <v>4601004016460</v>
      </c>
    </row>
    <row r="11474" spans="1:26" ht="12" customHeight="1" outlineLevel="5" x14ac:dyDescent="0.2">
      <c r="A11474" s="14" t="s">
        <v>21800</v>
      </c>
      <c r="B11474" s="26" t="s">
        <v>21801</v>
      </c>
      <c r="C11474" s="52"/>
      <c r="D11474" s="55">
        <f t="shared" si="179"/>
        <v>0</v>
      </c>
      <c r="E11474" s="63" t="str">
        <f>HYPERLINK("https://www.sds-group.ru/product/girlyanda-svetodiodnaya-zanaves-2h1-5m-192-led-belyy-prozrachnyy-pvh-ip65-effekt-mertsaniy-235-315-6/", "Инфо")</f>
        <v>Инфо</v>
      </c>
      <c r="F11474" s="16" t="s">
        <v>39</v>
      </c>
      <c r="G11474" s="15"/>
      <c r="H11474" s="15"/>
      <c r="I11474" s="15"/>
      <c r="J11474" s="16" t="s">
        <v>100</v>
      </c>
      <c r="K11474" s="15"/>
      <c r="L11474" s="17">
        <v>1</v>
      </c>
      <c r="M11474" s="17">
        <v>6</v>
      </c>
      <c r="N11474" s="17">
        <v>1</v>
      </c>
      <c r="O11474" s="18">
        <v>5992.93</v>
      </c>
      <c r="P11474" s="18">
        <v>4912.24</v>
      </c>
      <c r="Q11474" s="18">
        <v>5992.93</v>
      </c>
      <c r="R11474" s="18">
        <v>4912.24</v>
      </c>
      <c r="S11474" s="18">
        <v>3715.62</v>
      </c>
      <c r="T11474" s="18">
        <v>3045.59</v>
      </c>
      <c r="U11474" s="16"/>
      <c r="V11474" s="16"/>
      <c r="W11474" s="16" t="s">
        <v>40</v>
      </c>
      <c r="X11474" s="19">
        <v>1.5549999999999999</v>
      </c>
      <c r="Y11474" s="20">
        <v>5.1789999999999996E-3</v>
      </c>
      <c r="Z11474" s="21">
        <v>4601004254992</v>
      </c>
    </row>
    <row r="11475" spans="1:26" ht="12" customHeight="1" outlineLevel="5" x14ac:dyDescent="0.2">
      <c r="A11475" s="14" t="s">
        <v>21802</v>
      </c>
      <c r="B11475" s="26" t="s">
        <v>21803</v>
      </c>
      <c r="C11475" s="52"/>
      <c r="D11475" s="55">
        <f t="shared" si="179"/>
        <v>0</v>
      </c>
      <c r="E11475" s="63" t="str">
        <f>HYPERLINK("https://www.sds-group.ru/product/girlyanda-svetodiodnaya-zanaves-2h1-5m-192-led-zheltyy-prozrachnyy-pvh-ip65-postoyannoe-sv-235-301-6/", "Инфо")</f>
        <v>Инфо</v>
      </c>
      <c r="F11475" s="16" t="s">
        <v>39</v>
      </c>
      <c r="G11475" s="15"/>
      <c r="H11475" s="15"/>
      <c r="I11475" s="15"/>
      <c r="J11475" s="17">
        <v>123</v>
      </c>
      <c r="K11475" s="15"/>
      <c r="L11475" s="17">
        <v>1</v>
      </c>
      <c r="M11475" s="17">
        <v>20</v>
      </c>
      <c r="N11475" s="17">
        <v>1</v>
      </c>
      <c r="O11475" s="18">
        <v>4778.25</v>
      </c>
      <c r="P11475" s="18">
        <v>3916.6</v>
      </c>
      <c r="Q11475" s="18">
        <v>4778.25</v>
      </c>
      <c r="R11475" s="18">
        <v>3916.6</v>
      </c>
      <c r="S11475" s="18">
        <v>2962.52</v>
      </c>
      <c r="T11475" s="18">
        <v>2428.3000000000002</v>
      </c>
      <c r="U11475" s="16"/>
      <c r="V11475" s="16"/>
      <c r="W11475" s="16" t="s">
        <v>40</v>
      </c>
      <c r="X11475" s="19">
        <v>0.92500000000000004</v>
      </c>
      <c r="Y11475" s="20">
        <v>4.5399999999999998E-3</v>
      </c>
      <c r="Z11475" s="21">
        <v>4601004016415</v>
      </c>
    </row>
    <row r="11476" spans="1:26" ht="12" customHeight="1" outlineLevel="5" x14ac:dyDescent="0.2">
      <c r="A11476" s="32" t="s">
        <v>21804</v>
      </c>
      <c r="B11476" s="74" t="s">
        <v>21805</v>
      </c>
      <c r="C11476" s="50"/>
      <c r="D11476" s="53">
        <f t="shared" si="179"/>
        <v>0</v>
      </c>
      <c r="E11476" s="60" t="str">
        <f>HYPERLINK("https://www.sds-group.ru/product/girlyanda-svetodiodnaya-zanaves-2h1-5m-192-led-krasnyy-prozrachnyy-pvh-ip65-postoyannoe-sv-235-302-6/", "Инфо")</f>
        <v>Инфо</v>
      </c>
      <c r="F11476" s="34" t="s">
        <v>39</v>
      </c>
      <c r="G11476" s="33"/>
      <c r="H11476" s="33" t="s">
        <v>40</v>
      </c>
      <c r="I11476" s="33"/>
      <c r="J11476" s="35">
        <v>6</v>
      </c>
      <c r="K11476" s="33"/>
      <c r="L11476" s="35">
        <v>1</v>
      </c>
      <c r="M11476" s="35">
        <v>5</v>
      </c>
      <c r="N11476" s="35">
        <v>1</v>
      </c>
      <c r="O11476" s="36">
        <v>5280.28</v>
      </c>
      <c r="P11476" s="36">
        <v>4328.1000000000004</v>
      </c>
      <c r="Q11476" s="36">
        <v>3696.2</v>
      </c>
      <c r="R11476" s="36">
        <v>3029.67</v>
      </c>
      <c r="S11476" s="36">
        <v>3273.77</v>
      </c>
      <c r="T11476" s="36">
        <v>2683.42</v>
      </c>
      <c r="U11476" s="34"/>
      <c r="V11476" s="34"/>
      <c r="W11476" s="34"/>
      <c r="X11476" s="37">
        <v>1.9470000000000001</v>
      </c>
      <c r="Y11476" s="38">
        <v>8.9759999999999996E-3</v>
      </c>
      <c r="Z11476" s="21">
        <v>4601004016422</v>
      </c>
    </row>
    <row r="11477" spans="1:26" ht="12" customHeight="1" outlineLevel="5" x14ac:dyDescent="0.2">
      <c r="A11477" s="32" t="s">
        <v>21806</v>
      </c>
      <c r="B11477" s="74" t="s">
        <v>21807</v>
      </c>
      <c r="C11477" s="50"/>
      <c r="D11477" s="53">
        <f t="shared" si="179"/>
        <v>0</v>
      </c>
      <c r="E11477" s="60" t="str">
        <f>HYPERLINK("https://www.sds-group.ru/product/girlyanda-svetodiodnaya-zanaves-2h1-5m-192-led-multikolor-prozrachnyy-pvh-ip65-postoyannoe-235-309-6/", "Инфо")</f>
        <v>Инфо</v>
      </c>
      <c r="F11477" s="34" t="s">
        <v>39</v>
      </c>
      <c r="G11477" s="33"/>
      <c r="H11477" s="33" t="s">
        <v>40</v>
      </c>
      <c r="I11477" s="33"/>
      <c r="J11477" s="35">
        <v>18</v>
      </c>
      <c r="K11477" s="33"/>
      <c r="L11477" s="35">
        <v>1</v>
      </c>
      <c r="M11477" s="35">
        <v>5</v>
      </c>
      <c r="N11477" s="35">
        <v>1</v>
      </c>
      <c r="O11477" s="36">
        <v>5280.28</v>
      </c>
      <c r="P11477" s="36">
        <v>4328.1000000000004</v>
      </c>
      <c r="Q11477" s="36">
        <v>3696.2</v>
      </c>
      <c r="R11477" s="36">
        <v>3029.67</v>
      </c>
      <c r="S11477" s="36">
        <v>3273.77</v>
      </c>
      <c r="T11477" s="36">
        <v>2683.42</v>
      </c>
      <c r="U11477" s="34"/>
      <c r="V11477" s="34"/>
      <c r="W11477" s="34"/>
      <c r="X11477" s="37">
        <v>1.877</v>
      </c>
      <c r="Y11477" s="38">
        <v>1.2186000000000001E-2</v>
      </c>
      <c r="Z11477" s="21">
        <v>4601004016453</v>
      </c>
    </row>
    <row r="11478" spans="1:26" ht="12" customHeight="1" outlineLevel="5" x14ac:dyDescent="0.2">
      <c r="A11478" s="14" t="s">
        <v>21808</v>
      </c>
      <c r="B11478" s="26" t="s">
        <v>21809</v>
      </c>
      <c r="C11478" s="52"/>
      <c r="D11478" s="55">
        <f t="shared" si="179"/>
        <v>0</v>
      </c>
      <c r="E11478" s="63" t="str">
        <f>HYPERLINK("https://www.sds-group.ru/product/girlyanda-svetodiodnaya-zanaves-2h1-5m-192-led-siniy-prozrachnyy-pvh-ip65-postoyannoe-svec-235-303-6/", "Инфо")</f>
        <v>Инфо</v>
      </c>
      <c r="F11478" s="16" t="s">
        <v>39</v>
      </c>
      <c r="G11478" s="15"/>
      <c r="H11478" s="15"/>
      <c r="I11478" s="15"/>
      <c r="J11478" s="16" t="s">
        <v>100</v>
      </c>
      <c r="K11478" s="15" t="s">
        <v>1519</v>
      </c>
      <c r="L11478" s="17">
        <v>1</v>
      </c>
      <c r="M11478" s="17">
        <v>5</v>
      </c>
      <c r="N11478" s="17">
        <v>1</v>
      </c>
      <c r="O11478" s="18">
        <v>5597.1</v>
      </c>
      <c r="P11478" s="18">
        <v>4587.79</v>
      </c>
      <c r="Q11478" s="18">
        <v>5597.1</v>
      </c>
      <c r="R11478" s="18">
        <v>4587.79</v>
      </c>
      <c r="S11478" s="18">
        <v>3470.2</v>
      </c>
      <c r="T11478" s="18">
        <v>2844.43</v>
      </c>
      <c r="U11478" s="16"/>
      <c r="V11478" s="16"/>
      <c r="W11478" s="16" t="s">
        <v>40</v>
      </c>
      <c r="X11478" s="19">
        <v>0.91800000000000004</v>
      </c>
      <c r="Y11478" s="20">
        <v>4.5399999999999998E-3</v>
      </c>
      <c r="Z11478" s="21">
        <v>4601004016439</v>
      </c>
    </row>
    <row r="11479" spans="1:26" ht="12" customHeight="1" outlineLevel="5" x14ac:dyDescent="0.2">
      <c r="A11479" s="14" t="s">
        <v>21810</v>
      </c>
      <c r="B11479" s="26" t="s">
        <v>21811</v>
      </c>
      <c r="C11479" s="52"/>
      <c r="D11479" s="55">
        <f t="shared" si="179"/>
        <v>0</v>
      </c>
      <c r="E11479" s="63" t="str">
        <f>HYPERLINK("https://www.sds-group.ru/product/girlyanda-svetodiodnaya-zanaves-2h1-5m-192-led-teplyy-belyy-prozrachnyy-pvh-ip65-postoyann-235-306-6/", "Инфо")</f>
        <v>Инфо</v>
      </c>
      <c r="F11479" s="16" t="s">
        <v>39</v>
      </c>
      <c r="G11479" s="15"/>
      <c r="H11479" s="15"/>
      <c r="I11479" s="15"/>
      <c r="J11479" s="17">
        <v>10</v>
      </c>
      <c r="K11479" s="15"/>
      <c r="L11479" s="17">
        <v>1</v>
      </c>
      <c r="M11479" s="17">
        <v>8</v>
      </c>
      <c r="N11479" s="17">
        <v>1</v>
      </c>
      <c r="O11479" s="18">
        <v>5597.09</v>
      </c>
      <c r="P11479" s="18">
        <v>4587.78</v>
      </c>
      <c r="Q11479" s="18">
        <v>5597.09</v>
      </c>
      <c r="R11479" s="18">
        <v>4587.78</v>
      </c>
      <c r="S11479" s="18">
        <v>3470.2</v>
      </c>
      <c r="T11479" s="18">
        <v>2844.43</v>
      </c>
      <c r="U11479" s="16"/>
      <c r="V11479" s="16"/>
      <c r="W11479" s="16" t="s">
        <v>40</v>
      </c>
      <c r="X11479" s="19">
        <v>1.534</v>
      </c>
      <c r="Y11479" s="20">
        <v>4.3889999999999997E-3</v>
      </c>
      <c r="Z11479" s="21">
        <v>4601004016477</v>
      </c>
    </row>
    <row r="11480" spans="1:26" ht="12" customHeight="1" outlineLevel="5" x14ac:dyDescent="0.2">
      <c r="A11480" s="14" t="s">
        <v>21812</v>
      </c>
      <c r="B11480" s="26" t="s">
        <v>21813</v>
      </c>
      <c r="C11480" s="52"/>
      <c r="D11480" s="55">
        <f t="shared" si="179"/>
        <v>0</v>
      </c>
      <c r="E11480" s="63" t="str">
        <f>HYPERLINK("https://www.sds-group.ru/product/girlyanda-svetodiodnaya-zanaves-2h1-5m-192-led-teplyy-belyy-prozrachnyy-pvh-ip65-effekt-me-235-316-6/", "Инфо")</f>
        <v>Инфо</v>
      </c>
      <c r="F11480" s="16" t="s">
        <v>39</v>
      </c>
      <c r="G11480" s="15"/>
      <c r="H11480" s="15"/>
      <c r="I11480" s="15"/>
      <c r="J11480" s="17">
        <v>21</v>
      </c>
      <c r="K11480" s="15"/>
      <c r="L11480" s="17">
        <v>1</v>
      </c>
      <c r="M11480" s="17">
        <v>6</v>
      </c>
      <c r="N11480" s="17">
        <v>1</v>
      </c>
      <c r="O11480" s="18">
        <v>5992.93</v>
      </c>
      <c r="P11480" s="18">
        <v>4912.24</v>
      </c>
      <c r="Q11480" s="18">
        <v>5992.93</v>
      </c>
      <c r="R11480" s="18">
        <v>4912.24</v>
      </c>
      <c r="S11480" s="18">
        <v>3715.62</v>
      </c>
      <c r="T11480" s="18">
        <v>3045.59</v>
      </c>
      <c r="U11480" s="16"/>
      <c r="V11480" s="16"/>
      <c r="W11480" s="16" t="s">
        <v>40</v>
      </c>
      <c r="X11480" s="19">
        <v>1.6519999999999999</v>
      </c>
      <c r="Y11480" s="20">
        <v>4.0879999999999996E-3</v>
      </c>
      <c r="Z11480" s="21">
        <v>4601004255012</v>
      </c>
    </row>
    <row r="11481" spans="1:26" ht="12" customHeight="1" outlineLevel="5" x14ac:dyDescent="0.2">
      <c r="A11481" s="14" t="s">
        <v>21814</v>
      </c>
      <c r="B11481" s="26" t="s">
        <v>21815</v>
      </c>
      <c r="C11481" s="52"/>
      <c r="D11481" s="55">
        <f t="shared" si="179"/>
        <v>0</v>
      </c>
      <c r="E11481" s="63" t="str">
        <f>HYPERLINK("https://www.sds-group.ru/product/girlyanda-svetodiodnaya-zanaves-2h1-5m-300-led-rgb-prozrachnyy-pvh-ip65-dlya-svecheniya-s-di-245-309/", "Инфо")</f>
        <v>Инфо</v>
      </c>
      <c r="F11481" s="16" t="s">
        <v>39</v>
      </c>
      <c r="G11481" s="15"/>
      <c r="H11481" s="15"/>
      <c r="I11481" s="15"/>
      <c r="J11481" s="17">
        <v>31</v>
      </c>
      <c r="K11481" s="15"/>
      <c r="L11481" s="17">
        <v>1</v>
      </c>
      <c r="M11481" s="17">
        <v>5</v>
      </c>
      <c r="N11481" s="17">
        <v>1</v>
      </c>
      <c r="O11481" s="18">
        <v>22052.3</v>
      </c>
      <c r="P11481" s="18">
        <v>18075.66</v>
      </c>
      <c r="Q11481" s="18">
        <v>22052.3</v>
      </c>
      <c r="R11481" s="18">
        <v>18075.66</v>
      </c>
      <c r="S11481" s="18">
        <v>13672.43</v>
      </c>
      <c r="T11481" s="18">
        <v>11206.91</v>
      </c>
      <c r="U11481" s="16"/>
      <c r="V11481" s="16"/>
      <c r="W11481" s="16" t="s">
        <v>40</v>
      </c>
      <c r="X11481" s="19">
        <v>1.462</v>
      </c>
      <c r="Y11481" s="20">
        <v>6.4289999999999998E-3</v>
      </c>
      <c r="Z11481" s="21">
        <v>4601004090484</v>
      </c>
    </row>
    <row r="11482" spans="1:26" ht="12" customHeight="1" outlineLevel="5" x14ac:dyDescent="0.2">
      <c r="A11482" s="14" t="s">
        <v>21816</v>
      </c>
      <c r="B11482" s="26" t="s">
        <v>21817</v>
      </c>
      <c r="C11482" s="52"/>
      <c r="D11482" s="55">
        <f t="shared" si="179"/>
        <v>0</v>
      </c>
      <c r="E11482" s="63" t="str">
        <f>HYPERLINK("https://www.sds-group.ru/product/girlyanda-svetodiodnaya-zanaves-2h1-5m-300-led-belyy-belyy-pvh-ip65-postoyannoe-svechenie-23-235-115/", "Инфо")</f>
        <v>Инфо</v>
      </c>
      <c r="F11482" s="16" t="s">
        <v>39</v>
      </c>
      <c r="G11482" s="15"/>
      <c r="H11482" s="15"/>
      <c r="I11482" s="15"/>
      <c r="J11482" s="17">
        <v>22</v>
      </c>
      <c r="K11482" s="15" t="s">
        <v>1277</v>
      </c>
      <c r="L11482" s="17">
        <v>1</v>
      </c>
      <c r="M11482" s="17">
        <v>5</v>
      </c>
      <c r="N11482" s="17">
        <v>1</v>
      </c>
      <c r="O11482" s="18">
        <v>7638.42</v>
      </c>
      <c r="P11482" s="18">
        <v>6261</v>
      </c>
      <c r="Q11482" s="18">
        <v>7638.42</v>
      </c>
      <c r="R11482" s="18">
        <v>6261</v>
      </c>
      <c r="S11482" s="18">
        <v>4735.82</v>
      </c>
      <c r="T11482" s="18">
        <v>3881.82</v>
      </c>
      <c r="U11482" s="16"/>
      <c r="V11482" s="16"/>
      <c r="W11482" s="16" t="s">
        <v>40</v>
      </c>
      <c r="X11482" s="19">
        <v>1.38</v>
      </c>
      <c r="Y11482" s="20">
        <v>5.2649999999999997E-3</v>
      </c>
      <c r="Z11482" s="21">
        <v>4601004001701</v>
      </c>
    </row>
    <row r="11483" spans="1:26" ht="12" customHeight="1" outlineLevel="5" x14ac:dyDescent="0.2">
      <c r="A11483" s="14" t="s">
        <v>21818</v>
      </c>
      <c r="B11483" s="26" t="s">
        <v>21819</v>
      </c>
      <c r="C11483" s="52"/>
      <c r="D11483" s="55">
        <f t="shared" si="179"/>
        <v>0</v>
      </c>
      <c r="E11483" s="63" t="str">
        <f>HYPERLINK("https://www.sds-group.ru/product/girlyanda-svetodiodnaya-zanaves-2h1-5m-300-led-belyy-belyy-pvh-ip65-effekt-mertsaniya-230v-n-235-221/", "Инфо")</f>
        <v>Инфо</v>
      </c>
      <c r="F11483" s="16" t="s">
        <v>39</v>
      </c>
      <c r="G11483" s="15"/>
      <c r="H11483" s="15"/>
      <c r="I11483" s="15"/>
      <c r="J11483" s="17">
        <v>23</v>
      </c>
      <c r="K11483" s="15" t="s">
        <v>1277</v>
      </c>
      <c r="L11483" s="17">
        <v>1</v>
      </c>
      <c r="M11483" s="17">
        <v>5</v>
      </c>
      <c r="N11483" s="17">
        <v>1</v>
      </c>
      <c r="O11483" s="18">
        <v>8127.29</v>
      </c>
      <c r="P11483" s="18">
        <v>6661.71</v>
      </c>
      <c r="Q11483" s="18">
        <v>8127.29</v>
      </c>
      <c r="R11483" s="18">
        <v>6661.71</v>
      </c>
      <c r="S11483" s="18">
        <v>5038.92</v>
      </c>
      <c r="T11483" s="18">
        <v>4130.26</v>
      </c>
      <c r="U11483" s="16"/>
      <c r="V11483" s="16"/>
      <c r="W11483" s="16" t="s">
        <v>40</v>
      </c>
      <c r="X11483" s="19">
        <v>1.39</v>
      </c>
      <c r="Y11483" s="20">
        <v>5.071E-3</v>
      </c>
      <c r="Z11483" s="21">
        <v>4610003609818</v>
      </c>
    </row>
    <row r="11484" spans="1:26" ht="12" customHeight="1" outlineLevel="5" x14ac:dyDescent="0.2">
      <c r="A11484" s="14" t="s">
        <v>21820</v>
      </c>
      <c r="B11484" s="26" t="s">
        <v>21821</v>
      </c>
      <c r="C11484" s="52"/>
      <c r="D11484" s="55">
        <f t="shared" si="179"/>
        <v>0</v>
      </c>
      <c r="E11484" s="63" t="str">
        <f>HYPERLINK("https://www.sds-group.ru/product/girlyanda-svetodiodnaya-zanaves-2h1-5m-300-led-belyy-prozrachnyy-pvh-ip65-postoyannoe-sveche-235-305/", "Инфо")</f>
        <v>Инфо</v>
      </c>
      <c r="F11484" s="16" t="s">
        <v>39</v>
      </c>
      <c r="G11484" s="15"/>
      <c r="H11484" s="15"/>
      <c r="I11484" s="15"/>
      <c r="J11484" s="17">
        <v>15</v>
      </c>
      <c r="K11484" s="15" t="s">
        <v>1277</v>
      </c>
      <c r="L11484" s="17">
        <v>1</v>
      </c>
      <c r="M11484" s="17">
        <v>5</v>
      </c>
      <c r="N11484" s="17">
        <v>1</v>
      </c>
      <c r="O11484" s="18">
        <v>7638.42</v>
      </c>
      <c r="P11484" s="18">
        <v>6261</v>
      </c>
      <c r="Q11484" s="18">
        <v>7638.42</v>
      </c>
      <c r="R11484" s="18">
        <v>6261</v>
      </c>
      <c r="S11484" s="18">
        <v>4735.82</v>
      </c>
      <c r="T11484" s="18">
        <v>3881.82</v>
      </c>
      <c r="U11484" s="16"/>
      <c r="V11484" s="16"/>
      <c r="W11484" s="16" t="s">
        <v>40</v>
      </c>
      <c r="X11484" s="19">
        <v>1.2969999999999999</v>
      </c>
      <c r="Y11484" s="20">
        <v>5.2599999999999999E-3</v>
      </c>
      <c r="Z11484" s="21">
        <v>4601004003699</v>
      </c>
    </row>
    <row r="11485" spans="1:26" ht="12" customHeight="1" outlineLevel="5" x14ac:dyDescent="0.2">
      <c r="A11485" s="32" t="s">
        <v>21822</v>
      </c>
      <c r="B11485" s="74" t="s">
        <v>21823</v>
      </c>
      <c r="C11485" s="50"/>
      <c r="D11485" s="53">
        <f t="shared" si="179"/>
        <v>0</v>
      </c>
      <c r="E11485" s="60" t="str">
        <f>HYPERLINK("https://www.sds-group.ru/product/girlyanda-svetodiodnaya-zanaves-2h1-5m-300-led-belyy-chernyy-pvh-ip65-postoyannoe-svechenie--235-125/", "Инфо")</f>
        <v>Инфо</v>
      </c>
      <c r="F11485" s="34" t="s">
        <v>39</v>
      </c>
      <c r="G11485" s="33"/>
      <c r="H11485" s="33" t="s">
        <v>40</v>
      </c>
      <c r="I11485" s="33"/>
      <c r="J11485" s="35">
        <v>20</v>
      </c>
      <c r="K11485" s="33"/>
      <c r="L11485" s="35">
        <v>1</v>
      </c>
      <c r="M11485" s="35">
        <v>10</v>
      </c>
      <c r="N11485" s="35">
        <v>1</v>
      </c>
      <c r="O11485" s="36">
        <v>7638.42</v>
      </c>
      <c r="P11485" s="36">
        <v>6261</v>
      </c>
      <c r="Q11485" s="36">
        <v>7638.42</v>
      </c>
      <c r="R11485" s="36">
        <v>6261</v>
      </c>
      <c r="S11485" s="36">
        <v>4735.82</v>
      </c>
      <c r="T11485" s="36">
        <v>3881.82</v>
      </c>
      <c r="U11485" s="34"/>
      <c r="V11485" s="34"/>
      <c r="W11485" s="34" t="s">
        <v>40</v>
      </c>
      <c r="X11485" s="37">
        <v>1.3819999999999999</v>
      </c>
      <c r="Y11485" s="38">
        <v>5.352E-3</v>
      </c>
      <c r="Z11485" s="21">
        <v>4610003609610</v>
      </c>
    </row>
    <row r="11486" spans="1:26" ht="12" customHeight="1" outlineLevel="5" x14ac:dyDescent="0.2">
      <c r="A11486" s="14" t="s">
        <v>21824</v>
      </c>
      <c r="B11486" s="26" t="s">
        <v>21825</v>
      </c>
      <c r="C11486" s="52"/>
      <c r="D11486" s="55">
        <f t="shared" si="179"/>
        <v>0</v>
      </c>
      <c r="E11486" s="63" t="str">
        <f>HYPERLINK("https://www.sds-group.ru/product/girlyanda-svetodiodnaya-zanaves-2h1-5m-300-led-belyy-chernyy-pvh-ip65-effekt-mertsaniya-230v-235-231/", "Инфо")</f>
        <v>Инфо</v>
      </c>
      <c r="F11486" s="16" t="s">
        <v>39</v>
      </c>
      <c r="G11486" s="15"/>
      <c r="H11486" s="15"/>
      <c r="I11486" s="15"/>
      <c r="J11486" s="17">
        <v>37</v>
      </c>
      <c r="K11486" s="15"/>
      <c r="L11486" s="17">
        <v>1</v>
      </c>
      <c r="M11486" s="17">
        <v>16</v>
      </c>
      <c r="N11486" s="17">
        <v>1</v>
      </c>
      <c r="O11486" s="18">
        <v>8127.29</v>
      </c>
      <c r="P11486" s="18">
        <v>6661.71</v>
      </c>
      <c r="Q11486" s="18">
        <v>8127.29</v>
      </c>
      <c r="R11486" s="18">
        <v>6661.71</v>
      </c>
      <c r="S11486" s="18">
        <v>5038.92</v>
      </c>
      <c r="T11486" s="18">
        <v>4130.26</v>
      </c>
      <c r="U11486" s="16"/>
      <c r="V11486" s="16"/>
      <c r="W11486" s="16" t="s">
        <v>40</v>
      </c>
      <c r="X11486" s="19">
        <v>1.375</v>
      </c>
      <c r="Y11486" s="20">
        <v>5.4229999999999999E-3</v>
      </c>
      <c r="Z11486" s="21">
        <v>4610003609863</v>
      </c>
    </row>
    <row r="11487" spans="1:26" ht="12" customHeight="1" outlineLevel="5" x14ac:dyDescent="0.2">
      <c r="A11487" s="14" t="s">
        <v>21826</v>
      </c>
      <c r="B11487" s="26" t="s">
        <v>21827</v>
      </c>
      <c r="C11487" s="52"/>
      <c r="D11487" s="55">
        <f t="shared" si="179"/>
        <v>0</v>
      </c>
      <c r="E11487" s="63" t="str">
        <f>HYPERLINK("https://www.sds-group.ru/product/girlyanda-svetodiodnaya-zanaves-2h1-5m-300-led-siniy-belyy-pvh-ip65-effekt-mertsaniya-230v-n-235-223/", "Инфо")</f>
        <v>Инфо</v>
      </c>
      <c r="F11487" s="16" t="s">
        <v>39</v>
      </c>
      <c r="G11487" s="15"/>
      <c r="H11487" s="15"/>
      <c r="I11487" s="15"/>
      <c r="J11487" s="17">
        <v>76</v>
      </c>
      <c r="K11487" s="15"/>
      <c r="L11487" s="17">
        <v>1</v>
      </c>
      <c r="M11487" s="17">
        <v>16</v>
      </c>
      <c r="N11487" s="17">
        <v>1</v>
      </c>
      <c r="O11487" s="18">
        <v>8127.29</v>
      </c>
      <c r="P11487" s="18">
        <v>6661.71</v>
      </c>
      <c r="Q11487" s="18">
        <v>8127.29</v>
      </c>
      <c r="R11487" s="18">
        <v>6661.71</v>
      </c>
      <c r="S11487" s="18">
        <v>5038.92</v>
      </c>
      <c r="T11487" s="18">
        <v>4130.26</v>
      </c>
      <c r="U11487" s="16"/>
      <c r="V11487" s="16"/>
      <c r="W11487" s="16" t="s">
        <v>40</v>
      </c>
      <c r="X11487" s="19">
        <v>1.319</v>
      </c>
      <c r="Y11487" s="20">
        <v>4.8149999999999998E-3</v>
      </c>
      <c r="Z11487" s="21">
        <v>4610003609825</v>
      </c>
    </row>
    <row r="11488" spans="1:26" ht="12" customHeight="1" outlineLevel="5" x14ac:dyDescent="0.2">
      <c r="A11488" s="14" t="s">
        <v>21828</v>
      </c>
      <c r="B11488" s="26" t="s">
        <v>21829</v>
      </c>
      <c r="C11488" s="52"/>
      <c r="D11488" s="55">
        <f t="shared" si="179"/>
        <v>0</v>
      </c>
      <c r="E11488" s="63" t="str">
        <f>HYPERLINK("https://www.sds-group.ru/product/girlyanda-svetodiodnaya-zanaves-2h1-5m-300-led-teplyy-belyy-belyy-pvh-ip65-postoyannoe-svech-235-116/", "Инфо")</f>
        <v>Инфо</v>
      </c>
      <c r="F11488" s="16" t="s">
        <v>39</v>
      </c>
      <c r="G11488" s="15"/>
      <c r="H11488" s="15"/>
      <c r="I11488" s="15"/>
      <c r="J11488" s="17">
        <v>68</v>
      </c>
      <c r="K11488" s="15"/>
      <c r="L11488" s="17">
        <v>1</v>
      </c>
      <c r="M11488" s="17">
        <v>6</v>
      </c>
      <c r="N11488" s="17">
        <v>1</v>
      </c>
      <c r="O11488" s="18">
        <v>7638.42</v>
      </c>
      <c r="P11488" s="18">
        <v>6261</v>
      </c>
      <c r="Q11488" s="18">
        <v>7638.42</v>
      </c>
      <c r="R11488" s="18">
        <v>6261</v>
      </c>
      <c r="S11488" s="18">
        <v>4735.82</v>
      </c>
      <c r="T11488" s="18">
        <v>3881.82</v>
      </c>
      <c r="U11488" s="16"/>
      <c r="V11488" s="16"/>
      <c r="W11488" s="16" t="s">
        <v>40</v>
      </c>
      <c r="X11488" s="19">
        <v>1.2629999999999999</v>
      </c>
      <c r="Y11488" s="20">
        <v>4.9350000000000002E-3</v>
      </c>
      <c r="Z11488" s="21">
        <v>4610003609566</v>
      </c>
    </row>
    <row r="11489" spans="1:26" ht="12" customHeight="1" outlineLevel="5" x14ac:dyDescent="0.2">
      <c r="A11489" s="14" t="s">
        <v>21830</v>
      </c>
      <c r="B11489" s="26" t="s">
        <v>21831</v>
      </c>
      <c r="C11489" s="52"/>
      <c r="D11489" s="55">
        <f t="shared" si="179"/>
        <v>0</v>
      </c>
      <c r="E11489" s="63" t="str">
        <f>HYPERLINK("https://www.sds-group.ru/product/girlyanda-svetodiodnaya-zanaves-2h1-5m-300-led-teplyy-belyy-prozrachnyy-pvh-ip65-postoyannoe-235-306/", "Инфо")</f>
        <v>Инфо</v>
      </c>
      <c r="F11489" s="16" t="s">
        <v>39</v>
      </c>
      <c r="G11489" s="15"/>
      <c r="H11489" s="15"/>
      <c r="I11489" s="15"/>
      <c r="J11489" s="17">
        <v>23</v>
      </c>
      <c r="K11489" s="15" t="s">
        <v>1519</v>
      </c>
      <c r="L11489" s="17">
        <v>1</v>
      </c>
      <c r="M11489" s="17">
        <v>6</v>
      </c>
      <c r="N11489" s="17">
        <v>1</v>
      </c>
      <c r="O11489" s="18">
        <v>7638.42</v>
      </c>
      <c r="P11489" s="18">
        <v>6261</v>
      </c>
      <c r="Q11489" s="18">
        <v>7638.42</v>
      </c>
      <c r="R11489" s="18">
        <v>6261</v>
      </c>
      <c r="S11489" s="18">
        <v>4735.82</v>
      </c>
      <c r="T11489" s="18">
        <v>3881.82</v>
      </c>
      <c r="U11489" s="16"/>
      <c r="V11489" s="16"/>
      <c r="W11489" s="16" t="s">
        <v>40</v>
      </c>
      <c r="X11489" s="19">
        <v>2.13</v>
      </c>
      <c r="Y11489" s="20">
        <v>6.0049999999999999E-3</v>
      </c>
      <c r="Z11489" s="21">
        <v>4610003609467</v>
      </c>
    </row>
    <row r="11490" spans="1:26" ht="12" customHeight="1" outlineLevel="5" x14ac:dyDescent="0.2">
      <c r="A11490" s="14" t="s">
        <v>21832</v>
      </c>
      <c r="B11490" s="26" t="s">
        <v>21833</v>
      </c>
      <c r="C11490" s="52"/>
      <c r="D11490" s="55">
        <f t="shared" si="179"/>
        <v>0</v>
      </c>
      <c r="E11490" s="63" t="str">
        <f>HYPERLINK("https://www.sds-group.ru/product/girlyanda-svetodiodnaya-zanaves-2h1-5m-300-led-teplyy-belyy-prozrachnyy-pvh-ip65-effekt-mert-235-316/", "Инфо")</f>
        <v>Инфо</v>
      </c>
      <c r="F11490" s="16" t="s">
        <v>39</v>
      </c>
      <c r="G11490" s="15"/>
      <c r="H11490" s="15"/>
      <c r="I11490" s="15"/>
      <c r="J11490" s="17">
        <v>73</v>
      </c>
      <c r="K11490" s="15" t="s">
        <v>1519</v>
      </c>
      <c r="L11490" s="17">
        <v>1</v>
      </c>
      <c r="M11490" s="17">
        <v>6</v>
      </c>
      <c r="N11490" s="17">
        <v>1</v>
      </c>
      <c r="O11490" s="18">
        <v>8127.29</v>
      </c>
      <c r="P11490" s="18">
        <v>6661.71</v>
      </c>
      <c r="Q11490" s="18">
        <v>8127.29</v>
      </c>
      <c r="R11490" s="18">
        <v>6661.71</v>
      </c>
      <c r="S11490" s="18">
        <v>5038.92</v>
      </c>
      <c r="T11490" s="18">
        <v>4130.26</v>
      </c>
      <c r="U11490" s="16"/>
      <c r="V11490" s="16"/>
      <c r="W11490" s="16" t="s">
        <v>40</v>
      </c>
      <c r="X11490" s="19">
        <v>2.133</v>
      </c>
      <c r="Y11490" s="20">
        <v>6.019E-3</v>
      </c>
      <c r="Z11490" s="21">
        <v>4601004015241</v>
      </c>
    </row>
    <row r="11491" spans="1:26" ht="12" customHeight="1" outlineLevel="5" x14ac:dyDescent="0.2">
      <c r="A11491" s="14" t="s">
        <v>21834</v>
      </c>
      <c r="B11491" s="26" t="s">
        <v>21835</v>
      </c>
      <c r="C11491" s="52"/>
      <c r="D11491" s="55">
        <f t="shared" si="179"/>
        <v>0</v>
      </c>
      <c r="E11491" s="63" t="str">
        <f>HYPERLINK("https://www.sds-group.ru/product/girlyanda-svetodiodnaya-zanaves-2h1-5m-300-led-teplyy-belyy-chernyy-pvh-ip65-postoyannoe-sve-235-126/", "Инфо")</f>
        <v>Инфо</v>
      </c>
      <c r="F11491" s="16" t="s">
        <v>39</v>
      </c>
      <c r="G11491" s="15"/>
      <c r="H11491" s="15"/>
      <c r="I11491" s="15"/>
      <c r="J11491" s="17">
        <v>79</v>
      </c>
      <c r="K11491" s="15"/>
      <c r="L11491" s="17">
        <v>1</v>
      </c>
      <c r="M11491" s="17">
        <v>10</v>
      </c>
      <c r="N11491" s="17">
        <v>1</v>
      </c>
      <c r="O11491" s="18">
        <v>7638.42</v>
      </c>
      <c r="P11491" s="18">
        <v>6261</v>
      </c>
      <c r="Q11491" s="18">
        <v>7638.42</v>
      </c>
      <c r="R11491" s="18">
        <v>6261</v>
      </c>
      <c r="S11491" s="18">
        <v>4735.82</v>
      </c>
      <c r="T11491" s="18">
        <v>3881.82</v>
      </c>
      <c r="U11491" s="16"/>
      <c r="V11491" s="16"/>
      <c r="W11491" s="16" t="s">
        <v>40</v>
      </c>
      <c r="X11491" s="19">
        <v>1.2789999999999999</v>
      </c>
      <c r="Y11491" s="20">
        <v>4.9389999999999998E-3</v>
      </c>
      <c r="Z11491" s="21">
        <v>4610003609627</v>
      </c>
    </row>
    <row r="11492" spans="1:26" ht="12" customHeight="1" outlineLevel="5" x14ac:dyDescent="0.2">
      <c r="A11492" s="32" t="s">
        <v>21836</v>
      </c>
      <c r="B11492" s="74" t="s">
        <v>21837</v>
      </c>
      <c r="C11492" s="50"/>
      <c r="D11492" s="53">
        <f t="shared" si="179"/>
        <v>0</v>
      </c>
      <c r="E11492" s="60" t="str">
        <f>HYPERLINK("https://www.sds-group.ru/product/girlyanda-svetodiodnaya-zanaves-2h1-5m-360-led-zheltyy-belyy-pvh-ip65-postoyannoe-svechenie--235-111/", "Инфо")</f>
        <v>Инфо</v>
      </c>
      <c r="F11492" s="34" t="s">
        <v>39</v>
      </c>
      <c r="G11492" s="33"/>
      <c r="H11492" s="33" t="s">
        <v>40</v>
      </c>
      <c r="I11492" s="33"/>
      <c r="J11492" s="34" t="s">
        <v>100</v>
      </c>
      <c r="K11492" s="33"/>
      <c r="L11492" s="35">
        <v>1</v>
      </c>
      <c r="M11492" s="35">
        <v>5</v>
      </c>
      <c r="N11492" s="35">
        <v>1</v>
      </c>
      <c r="O11492" s="36">
        <v>4743.67</v>
      </c>
      <c r="P11492" s="36">
        <v>3888.25</v>
      </c>
      <c r="Q11492" s="36">
        <v>3320.57</v>
      </c>
      <c r="R11492" s="36">
        <v>2721.78</v>
      </c>
      <c r="S11492" s="36">
        <v>2941.08</v>
      </c>
      <c r="T11492" s="36">
        <v>2410.7199999999998</v>
      </c>
      <c r="U11492" s="34"/>
      <c r="V11492" s="34"/>
      <c r="W11492" s="34"/>
      <c r="X11492" s="37">
        <v>2.58</v>
      </c>
      <c r="Y11492" s="38">
        <v>1.1616E-2</v>
      </c>
      <c r="Z11492" s="21">
        <v>4610003609528</v>
      </c>
    </row>
    <row r="11493" spans="1:26" ht="12" customHeight="1" outlineLevel="5" x14ac:dyDescent="0.2">
      <c r="A11493" s="32" t="s">
        <v>21838</v>
      </c>
      <c r="B11493" s="74" t="s">
        <v>21839</v>
      </c>
      <c r="C11493" s="50"/>
      <c r="D11493" s="53">
        <f t="shared" si="179"/>
        <v>0</v>
      </c>
      <c r="E11493" s="60" t="str">
        <f>HYPERLINK("https://www.sds-group.ru/product/girlyanda-svetodiodnaya-zanaves-2h1-5m-360-led-zheltyy-chernyy-pvh-ip65-postoyannoe-svecheni-235-121/", "Инфо")</f>
        <v>Инфо</v>
      </c>
      <c r="F11493" s="34" t="s">
        <v>39</v>
      </c>
      <c r="G11493" s="33"/>
      <c r="H11493" s="33" t="s">
        <v>40</v>
      </c>
      <c r="I11493" s="33"/>
      <c r="J11493" s="34" t="s">
        <v>100</v>
      </c>
      <c r="K11493" s="33"/>
      <c r="L11493" s="35">
        <v>1</v>
      </c>
      <c r="M11493" s="35">
        <v>3</v>
      </c>
      <c r="N11493" s="35">
        <v>1</v>
      </c>
      <c r="O11493" s="36">
        <v>7638.42</v>
      </c>
      <c r="P11493" s="36">
        <v>6261</v>
      </c>
      <c r="Q11493" s="36">
        <v>5346.89</v>
      </c>
      <c r="R11493" s="36">
        <v>4382.7</v>
      </c>
      <c r="S11493" s="36">
        <v>4735.82</v>
      </c>
      <c r="T11493" s="36">
        <v>3881.82</v>
      </c>
      <c r="U11493" s="34"/>
      <c r="V11493" s="34"/>
      <c r="W11493" s="34"/>
      <c r="X11493" s="37">
        <v>4.5599999999999996</v>
      </c>
      <c r="Y11493" s="38">
        <v>1.1616E-2</v>
      </c>
      <c r="Z11493" s="21">
        <v>4610003609573</v>
      </c>
    </row>
    <row r="11494" spans="1:26" ht="12" customHeight="1" outlineLevel="5" x14ac:dyDescent="0.2">
      <c r="A11494" s="32" t="s">
        <v>21840</v>
      </c>
      <c r="B11494" s="74" t="s">
        <v>21841</v>
      </c>
      <c r="C11494" s="50"/>
      <c r="D11494" s="53">
        <f t="shared" si="179"/>
        <v>0</v>
      </c>
      <c r="E11494" s="60" t="str">
        <f>HYPERLINK("https://www.sds-group.ru/product/girlyanda-svetodiodnaya-zanaves-2h1-5m-360-led-zelenyy-belyy-pvh-ip65-postoyannoe-svechenie--235-114/", "Инфо")</f>
        <v>Инфо</v>
      </c>
      <c r="F11494" s="34" t="s">
        <v>39</v>
      </c>
      <c r="G11494" s="33"/>
      <c r="H11494" s="33" t="s">
        <v>40</v>
      </c>
      <c r="I11494" s="33"/>
      <c r="J11494" s="34" t="s">
        <v>100</v>
      </c>
      <c r="K11494" s="33"/>
      <c r="L11494" s="35">
        <v>1</v>
      </c>
      <c r="M11494" s="35">
        <v>6</v>
      </c>
      <c r="N11494" s="35">
        <v>1</v>
      </c>
      <c r="O11494" s="36">
        <v>7206.06</v>
      </c>
      <c r="P11494" s="36">
        <v>5906.61</v>
      </c>
      <c r="Q11494" s="36">
        <v>5044.24</v>
      </c>
      <c r="R11494" s="36">
        <v>4134.62</v>
      </c>
      <c r="S11494" s="36">
        <v>4467.76</v>
      </c>
      <c r="T11494" s="36">
        <v>3662.1</v>
      </c>
      <c r="U11494" s="34"/>
      <c r="V11494" s="34"/>
      <c r="W11494" s="34"/>
      <c r="X11494" s="37">
        <v>2.4300000000000002</v>
      </c>
      <c r="Y11494" s="38">
        <v>1.0749999999999999E-2</v>
      </c>
      <c r="Z11494" s="21">
        <v>4610003609559</v>
      </c>
    </row>
    <row r="11495" spans="1:26" ht="12" customHeight="1" outlineLevel="5" x14ac:dyDescent="0.2">
      <c r="A11495" s="32" t="s">
        <v>21842</v>
      </c>
      <c r="B11495" s="74" t="s">
        <v>21843</v>
      </c>
      <c r="C11495" s="50"/>
      <c r="D11495" s="53">
        <f t="shared" si="179"/>
        <v>0</v>
      </c>
      <c r="E11495" s="60" t="str">
        <f>HYPERLINK("https://www.sds-group.ru/product/girlyanda-svetodiodnaya-zanaves-2h1-5m-360-led-zelenyy-prozrachnyy-pvh-ip65-postoyannoe-svec-235-304/", "Инфо")</f>
        <v>Инфо</v>
      </c>
      <c r="F11495" s="34" t="s">
        <v>39</v>
      </c>
      <c r="G11495" s="33"/>
      <c r="H11495" s="33" t="s">
        <v>40</v>
      </c>
      <c r="I11495" s="33"/>
      <c r="J11495" s="35">
        <v>5</v>
      </c>
      <c r="K11495" s="33"/>
      <c r="L11495" s="35">
        <v>1</v>
      </c>
      <c r="M11495" s="35">
        <v>3</v>
      </c>
      <c r="N11495" s="35">
        <v>1</v>
      </c>
      <c r="O11495" s="36">
        <v>7206.06</v>
      </c>
      <c r="P11495" s="36">
        <v>5906.61</v>
      </c>
      <c r="Q11495" s="36">
        <v>5044.24</v>
      </c>
      <c r="R11495" s="36">
        <v>4134.62</v>
      </c>
      <c r="S11495" s="36">
        <v>4467.76</v>
      </c>
      <c r="T11495" s="36">
        <v>3662.1</v>
      </c>
      <c r="U11495" s="34"/>
      <c r="V11495" s="34"/>
      <c r="W11495" s="34"/>
      <c r="X11495" s="37">
        <v>2.4180000000000001</v>
      </c>
      <c r="Y11495" s="38">
        <v>1.0749999999999999E-2</v>
      </c>
      <c r="Z11495" s="21">
        <v>4610003609450</v>
      </c>
    </row>
    <row r="11496" spans="1:26" ht="12" customHeight="1" outlineLevel="5" x14ac:dyDescent="0.2">
      <c r="A11496" s="32" t="s">
        <v>21844</v>
      </c>
      <c r="B11496" s="74" t="s">
        <v>21845</v>
      </c>
      <c r="C11496" s="50"/>
      <c r="D11496" s="53">
        <f t="shared" si="179"/>
        <v>0</v>
      </c>
      <c r="E11496" s="60" t="str">
        <f>HYPERLINK("https://www.sds-group.ru/product/girlyanda-svetodiodnaya-zanaves-2h1-5m-360-led-siniy-belyy-pvh-ip65-postoyannoe-svechenie-23-235-113/", "Инфо")</f>
        <v>Инфо</v>
      </c>
      <c r="F11496" s="34" t="s">
        <v>39</v>
      </c>
      <c r="G11496" s="33"/>
      <c r="H11496" s="33" t="s">
        <v>40</v>
      </c>
      <c r="I11496" s="33"/>
      <c r="J11496" s="35">
        <v>12</v>
      </c>
      <c r="K11496" s="33"/>
      <c r="L11496" s="35">
        <v>1</v>
      </c>
      <c r="M11496" s="35">
        <v>3</v>
      </c>
      <c r="N11496" s="35">
        <v>1</v>
      </c>
      <c r="O11496" s="36">
        <v>7638.42</v>
      </c>
      <c r="P11496" s="36">
        <v>6261</v>
      </c>
      <c r="Q11496" s="36">
        <v>5346.89</v>
      </c>
      <c r="R11496" s="36">
        <v>4382.7</v>
      </c>
      <c r="S11496" s="36">
        <v>4735.82</v>
      </c>
      <c r="T11496" s="36">
        <v>3881.82</v>
      </c>
      <c r="U11496" s="34"/>
      <c r="V11496" s="34"/>
      <c r="W11496" s="34"/>
      <c r="X11496" s="37">
        <v>1.72</v>
      </c>
      <c r="Y11496" s="38">
        <v>6.6E-3</v>
      </c>
      <c r="Z11496" s="21">
        <v>4610003609542</v>
      </c>
    </row>
    <row r="11497" spans="1:26" ht="12" customHeight="1" outlineLevel="5" x14ac:dyDescent="0.2">
      <c r="A11497" s="32" t="s">
        <v>21846</v>
      </c>
      <c r="B11497" s="74" t="s">
        <v>21847</v>
      </c>
      <c r="C11497" s="50"/>
      <c r="D11497" s="53">
        <f t="shared" si="179"/>
        <v>0</v>
      </c>
      <c r="E11497" s="60" t="str">
        <f>HYPERLINK("https://www.sds-group.ru/product/dojd-zanaves-2h1-5m-cherniy-pvh-ip54-360-led-sinie-shnur-pitaniya-v-komplekte-30122/", "Инфо")</f>
        <v>Инфо</v>
      </c>
      <c r="F11497" s="34" t="s">
        <v>39</v>
      </c>
      <c r="G11497" s="33"/>
      <c r="H11497" s="33" t="s">
        <v>40</v>
      </c>
      <c r="I11497" s="33"/>
      <c r="J11497" s="35">
        <v>9</v>
      </c>
      <c r="K11497" s="33"/>
      <c r="L11497" s="35">
        <v>1</v>
      </c>
      <c r="M11497" s="35">
        <v>10</v>
      </c>
      <c r="N11497" s="35">
        <v>1</v>
      </c>
      <c r="O11497" s="36">
        <v>4213.7299999999996</v>
      </c>
      <c r="P11497" s="36">
        <v>3453.88</v>
      </c>
      <c r="Q11497" s="36">
        <v>2949.61</v>
      </c>
      <c r="R11497" s="36">
        <v>2417.71</v>
      </c>
      <c r="S11497" s="36">
        <v>2612.5100000000002</v>
      </c>
      <c r="T11497" s="36">
        <v>2141.4</v>
      </c>
      <c r="U11497" s="34"/>
      <c r="V11497" s="34"/>
      <c r="W11497" s="34"/>
      <c r="X11497" s="37">
        <v>2.1749999999999998</v>
      </c>
      <c r="Y11497" s="38">
        <v>1.2905E-2</v>
      </c>
      <c r="Z11497" s="21">
        <v>4601004291126</v>
      </c>
    </row>
    <row r="11498" spans="1:26" ht="12" customHeight="1" outlineLevel="5" x14ac:dyDescent="0.2">
      <c r="A11498" s="32" t="s">
        <v>21848</v>
      </c>
      <c r="B11498" s="74" t="s">
        <v>21849</v>
      </c>
      <c r="C11498" s="50"/>
      <c r="D11498" s="53">
        <f t="shared" si="179"/>
        <v>0</v>
      </c>
      <c r="E11498" s="60" t="str">
        <f>HYPERLINK("https://www.sds-group.ru/product/girlyanda-svetodiodnaya-zanaves-2h2m-200-led-rgb-prozrachnyy-pvh-ip65-svechenie-s-dinamikoy--235-349/", "Инфо")</f>
        <v>Инфо</v>
      </c>
      <c r="F11498" s="34" t="s">
        <v>39</v>
      </c>
      <c r="G11498" s="33"/>
      <c r="H11498" s="33" t="s">
        <v>40</v>
      </c>
      <c r="I11498" s="33"/>
      <c r="J11498" s="35">
        <v>9</v>
      </c>
      <c r="K11498" s="33"/>
      <c r="L11498" s="35">
        <v>1</v>
      </c>
      <c r="M11498" s="35">
        <v>10</v>
      </c>
      <c r="N11498" s="35">
        <v>1</v>
      </c>
      <c r="O11498" s="36">
        <v>4046.07</v>
      </c>
      <c r="P11498" s="36">
        <v>3316.45</v>
      </c>
      <c r="Q11498" s="36">
        <v>2832.25</v>
      </c>
      <c r="R11498" s="36">
        <v>2321.52</v>
      </c>
      <c r="S11498" s="36">
        <v>2508.56</v>
      </c>
      <c r="T11498" s="36">
        <v>2056.1999999999998</v>
      </c>
      <c r="U11498" s="34"/>
      <c r="V11498" s="34"/>
      <c r="W11498" s="34"/>
      <c r="X11498" s="37">
        <v>0.99</v>
      </c>
      <c r="Y11498" s="38">
        <v>4.0540000000000003E-3</v>
      </c>
      <c r="Z11498" s="21">
        <v>4601004034136</v>
      </c>
    </row>
    <row r="11499" spans="1:26" ht="12.95" customHeight="1" outlineLevel="4" x14ac:dyDescent="0.2">
      <c r="A11499" s="76" t="s">
        <v>21850</v>
      </c>
      <c r="B11499" s="76"/>
      <c r="C11499" s="77"/>
      <c r="D11499" s="58"/>
      <c r="E11499" s="68"/>
      <c r="F11499" s="13"/>
      <c r="G11499" s="13"/>
      <c r="H11499" s="13"/>
      <c r="I11499" s="13"/>
      <c r="J11499" s="13"/>
      <c r="K11499" s="13"/>
      <c r="L11499" s="13"/>
      <c r="M11499" s="13"/>
      <c r="N11499" s="13"/>
      <c r="O11499" s="13"/>
      <c r="P11499" s="13"/>
      <c r="Q11499" s="13"/>
      <c r="R11499" s="13"/>
      <c r="S11499" s="13"/>
      <c r="T11499" s="13"/>
      <c r="U11499" s="13"/>
      <c r="V11499" s="13"/>
      <c r="W11499" s="13"/>
      <c r="X11499" s="13"/>
      <c r="Y11499" s="13"/>
      <c r="Z11499" s="13"/>
    </row>
    <row r="11500" spans="1:26" ht="12" customHeight="1" outlineLevel="5" x14ac:dyDescent="0.2">
      <c r="A11500" s="32" t="s">
        <v>21851</v>
      </c>
      <c r="B11500" s="74" t="s">
        <v>21852</v>
      </c>
      <c r="C11500" s="50"/>
      <c r="D11500" s="53">
        <f t="shared" si="179"/>
        <v>0</v>
      </c>
      <c r="E11500" s="60" t="str">
        <f>HYPERLINK("https://www.sds-group.ru/product/girlyanda-svetodiodniy-dojd-2h3m-postoyannoe-svechenie-prozrachniy-provod-230-v-diodi-krasnie-6585/", "Инфо")</f>
        <v>Инфо</v>
      </c>
      <c r="F11500" s="34" t="s">
        <v>39</v>
      </c>
      <c r="G11500" s="33"/>
      <c r="H11500" s="33" t="s">
        <v>40</v>
      </c>
      <c r="I11500" s="33"/>
      <c r="J11500" s="35">
        <v>2</v>
      </c>
      <c r="K11500" s="33"/>
      <c r="L11500" s="35">
        <v>1</v>
      </c>
      <c r="M11500" s="35">
        <v>10</v>
      </c>
      <c r="N11500" s="35">
        <v>1</v>
      </c>
      <c r="O11500" s="36">
        <v>9172.68</v>
      </c>
      <c r="P11500" s="36">
        <v>7518.59</v>
      </c>
      <c r="Q11500" s="36">
        <v>6420.88</v>
      </c>
      <c r="R11500" s="36">
        <v>5263.02</v>
      </c>
      <c r="S11500" s="36">
        <v>5687.06</v>
      </c>
      <c r="T11500" s="36">
        <v>4661.5200000000004</v>
      </c>
      <c r="U11500" s="34"/>
      <c r="V11500" s="34"/>
      <c r="W11500" s="34"/>
      <c r="X11500" s="37">
        <v>2.44</v>
      </c>
      <c r="Y11500" s="38">
        <v>1.4801E-2</v>
      </c>
      <c r="Z11500" s="21">
        <v>4601004015814</v>
      </c>
    </row>
    <row r="11501" spans="1:26" ht="12" customHeight="1" outlineLevel="5" x14ac:dyDescent="0.2">
      <c r="A11501" s="14" t="s">
        <v>21853</v>
      </c>
      <c r="B11501" s="26" t="s">
        <v>21854</v>
      </c>
      <c r="C11501" s="52"/>
      <c r="D11501" s="55">
        <f t="shared" si="179"/>
        <v>0</v>
      </c>
      <c r="E11501" s="63" t="str">
        <f>HYPERLINK("https://www.sds-group.ru/product/girlyanda-svetodiodnaya-zanaves-2h3m-448-led-belyy-prozrachnyy-pvh-ip65-postoyannoe-sveche-235-155-6/", "Инфо")</f>
        <v>Инфо</v>
      </c>
      <c r="F11501" s="16" t="s">
        <v>39</v>
      </c>
      <c r="G11501" s="15"/>
      <c r="H11501" s="15"/>
      <c r="I11501" s="15"/>
      <c r="J11501" s="17">
        <v>12</v>
      </c>
      <c r="K11501" s="15" t="s">
        <v>1277</v>
      </c>
      <c r="L11501" s="17">
        <v>1</v>
      </c>
      <c r="M11501" s="17">
        <v>4</v>
      </c>
      <c r="N11501" s="17">
        <v>1</v>
      </c>
      <c r="O11501" s="18">
        <v>11343.56</v>
      </c>
      <c r="P11501" s="18">
        <v>9298</v>
      </c>
      <c r="Q11501" s="18">
        <v>11343.56</v>
      </c>
      <c r="R11501" s="18">
        <v>9298</v>
      </c>
      <c r="S11501" s="18">
        <v>7033.01</v>
      </c>
      <c r="T11501" s="18">
        <v>5764.76</v>
      </c>
      <c r="U11501" s="16"/>
      <c r="V11501" s="16"/>
      <c r="W11501" s="16" t="s">
        <v>40</v>
      </c>
      <c r="X11501" s="19">
        <v>2.48</v>
      </c>
      <c r="Y11501" s="20">
        <v>1.2338E-2</v>
      </c>
      <c r="Z11501" s="21">
        <v>4601004015852</v>
      </c>
    </row>
    <row r="11502" spans="1:26" ht="12" customHeight="1" outlineLevel="5" x14ac:dyDescent="0.2">
      <c r="A11502" s="14" t="s">
        <v>21855</v>
      </c>
      <c r="B11502" s="26" t="s">
        <v>21856</v>
      </c>
      <c r="C11502" s="52"/>
      <c r="D11502" s="55">
        <f t="shared" si="179"/>
        <v>0</v>
      </c>
      <c r="E11502" s="63" t="str">
        <f>HYPERLINK("https://www.sds-group.ru/product/girlyanda-svetodiodnaya-zanaves-2h3m-448-led-belyy-prozrachnyy-pvh-ip65-effekt-mertsaniya--235-135-6/", "Инфо")</f>
        <v>Инфо</v>
      </c>
      <c r="F11502" s="16" t="s">
        <v>39</v>
      </c>
      <c r="G11502" s="15"/>
      <c r="H11502" s="15"/>
      <c r="I11502" s="15"/>
      <c r="J11502" s="16" t="s">
        <v>100</v>
      </c>
      <c r="K11502" s="15" t="s">
        <v>1277</v>
      </c>
      <c r="L11502" s="17">
        <v>1</v>
      </c>
      <c r="M11502" s="17">
        <v>8</v>
      </c>
      <c r="N11502" s="17">
        <v>1</v>
      </c>
      <c r="O11502" s="18">
        <v>12069.55</v>
      </c>
      <c r="P11502" s="18">
        <v>9893.07</v>
      </c>
      <c r="Q11502" s="18">
        <v>12069.55</v>
      </c>
      <c r="R11502" s="18">
        <v>9893.07</v>
      </c>
      <c r="S11502" s="18">
        <v>7483.12</v>
      </c>
      <c r="T11502" s="18">
        <v>6133.7</v>
      </c>
      <c r="U11502" s="16"/>
      <c r="V11502" s="16"/>
      <c r="W11502" s="16" t="s">
        <v>40</v>
      </c>
      <c r="X11502" s="19">
        <v>2.464</v>
      </c>
      <c r="Y11502" s="20">
        <v>1.2302E-2</v>
      </c>
      <c r="Z11502" s="21">
        <v>4601004259881</v>
      </c>
    </row>
    <row r="11503" spans="1:26" ht="12" customHeight="1" outlineLevel="5" x14ac:dyDescent="0.2">
      <c r="A11503" s="14" t="s">
        <v>21857</v>
      </c>
      <c r="B11503" s="26" t="s">
        <v>21858</v>
      </c>
      <c r="C11503" s="52"/>
      <c r="D11503" s="55">
        <f t="shared" si="179"/>
        <v>0</v>
      </c>
      <c r="E11503" s="63" t="str">
        <f>HYPERLINK("https://www.sds-group.ru/product/girlyanda-svetodiodnaya-zanaves-2h3m-448-led-zheltyy-prozrachnyy-pvh-ip65-postoyannoe-svec-235-151-6/", "Инфо")</f>
        <v>Инфо</v>
      </c>
      <c r="F11503" s="16" t="s">
        <v>39</v>
      </c>
      <c r="G11503" s="15"/>
      <c r="H11503" s="15"/>
      <c r="I11503" s="15"/>
      <c r="J11503" s="17">
        <v>8</v>
      </c>
      <c r="K11503" s="15" t="s">
        <v>1519</v>
      </c>
      <c r="L11503" s="17">
        <v>1</v>
      </c>
      <c r="M11503" s="17">
        <v>6</v>
      </c>
      <c r="N11503" s="17">
        <v>1</v>
      </c>
      <c r="O11503" s="18">
        <v>11343.56</v>
      </c>
      <c r="P11503" s="18">
        <v>9298</v>
      </c>
      <c r="Q11503" s="18">
        <v>11343.56</v>
      </c>
      <c r="R11503" s="18">
        <v>9298</v>
      </c>
      <c r="S11503" s="18">
        <v>7033.01</v>
      </c>
      <c r="T11503" s="18">
        <v>5764.76</v>
      </c>
      <c r="U11503" s="16"/>
      <c r="V11503" s="16"/>
      <c r="W11503" s="16" t="s">
        <v>40</v>
      </c>
      <c r="X11503" s="19">
        <v>2.6030000000000002</v>
      </c>
      <c r="Y11503" s="20">
        <v>7.3600000000000002E-3</v>
      </c>
      <c r="Z11503" s="21">
        <v>4601004015807</v>
      </c>
    </row>
    <row r="11504" spans="1:26" ht="12" customHeight="1" outlineLevel="5" x14ac:dyDescent="0.2">
      <c r="A11504" s="14" t="s">
        <v>21859</v>
      </c>
      <c r="B11504" s="26" t="s">
        <v>21860</v>
      </c>
      <c r="C11504" s="52"/>
      <c r="D11504" s="55">
        <f t="shared" si="179"/>
        <v>0</v>
      </c>
      <c r="E11504" s="63" t="str">
        <f>HYPERLINK("https://www.sds-group.ru/product/girlyanda-svetodiodnaya-zanaves-2h3m-448-led-multikolor-prozrachnyy-pvh-ip65-postoyannoe-s-235-159-6/", "Инфо")</f>
        <v>Инфо</v>
      </c>
      <c r="F11504" s="16" t="s">
        <v>39</v>
      </c>
      <c r="G11504" s="15"/>
      <c r="H11504" s="15"/>
      <c r="I11504" s="15"/>
      <c r="J11504" s="17">
        <v>55</v>
      </c>
      <c r="K11504" s="15"/>
      <c r="L11504" s="17">
        <v>1</v>
      </c>
      <c r="M11504" s="17">
        <v>10</v>
      </c>
      <c r="N11504" s="17">
        <v>1</v>
      </c>
      <c r="O11504" s="18">
        <v>11343.56</v>
      </c>
      <c r="P11504" s="18">
        <v>9298</v>
      </c>
      <c r="Q11504" s="18">
        <v>11343.56</v>
      </c>
      <c r="R11504" s="18">
        <v>9298</v>
      </c>
      <c r="S11504" s="18">
        <v>7033.01</v>
      </c>
      <c r="T11504" s="18">
        <v>5764.76</v>
      </c>
      <c r="U11504" s="16"/>
      <c r="V11504" s="16"/>
      <c r="W11504" s="16" t="s">
        <v>40</v>
      </c>
      <c r="X11504" s="19">
        <v>1.798</v>
      </c>
      <c r="Y11504" s="20">
        <v>6.8989999999999998E-3</v>
      </c>
      <c r="Z11504" s="21">
        <v>4601004015845</v>
      </c>
    </row>
    <row r="11505" spans="1:26" ht="12" customHeight="1" outlineLevel="5" x14ac:dyDescent="0.2">
      <c r="A11505" s="14" t="s">
        <v>21861</v>
      </c>
      <c r="B11505" s="26" t="s">
        <v>21862</v>
      </c>
      <c r="C11505" s="52"/>
      <c r="D11505" s="55">
        <f t="shared" si="179"/>
        <v>0</v>
      </c>
      <c r="E11505" s="63" t="str">
        <f>HYPERLINK("https://www.sds-group.ru/product/girlyanda-svetodiodnaya-zanaves-2h3m-448-led-siniy-prozrachnyy-pvh-ip65-postoyannoe-sveche-235-153-6/", "Инфо")</f>
        <v>Инфо</v>
      </c>
      <c r="F11505" s="16" t="s">
        <v>39</v>
      </c>
      <c r="G11505" s="15"/>
      <c r="H11505" s="15"/>
      <c r="I11505" s="15"/>
      <c r="J11505" s="16" t="s">
        <v>100</v>
      </c>
      <c r="K11505" s="15"/>
      <c r="L11505" s="17">
        <v>1</v>
      </c>
      <c r="M11505" s="17">
        <v>8</v>
      </c>
      <c r="N11505" s="17">
        <v>1</v>
      </c>
      <c r="O11505" s="18">
        <v>11343.56</v>
      </c>
      <c r="P11505" s="18">
        <v>9298</v>
      </c>
      <c r="Q11505" s="18">
        <v>11343.56</v>
      </c>
      <c r="R11505" s="18">
        <v>9298</v>
      </c>
      <c r="S11505" s="18">
        <v>7033.01</v>
      </c>
      <c r="T11505" s="18">
        <v>5764.76</v>
      </c>
      <c r="U11505" s="16"/>
      <c r="V11505" s="16"/>
      <c r="W11505" s="16" t="s">
        <v>40</v>
      </c>
      <c r="X11505" s="19">
        <v>1.798</v>
      </c>
      <c r="Y11505" s="20">
        <v>6.7980000000000002E-3</v>
      </c>
      <c r="Z11505" s="21">
        <v>4601004015821</v>
      </c>
    </row>
    <row r="11506" spans="1:26" ht="12" customHeight="1" outlineLevel="5" x14ac:dyDescent="0.2">
      <c r="A11506" s="14" t="s">
        <v>21863</v>
      </c>
      <c r="B11506" s="26" t="s">
        <v>21864</v>
      </c>
      <c r="C11506" s="52"/>
      <c r="D11506" s="55">
        <f t="shared" si="179"/>
        <v>0</v>
      </c>
      <c r="E11506" s="63" t="str">
        <f>HYPERLINK("https://www.sds-group.ru/product/girlyanda-svetodiodnaya-zanaves-2h3m-448-led-teplyy-belyy-prozrachnyy-pvh-ip65-postoyannoe-235-156-6/", "Инфо")</f>
        <v>Инфо</v>
      </c>
      <c r="F11506" s="16" t="s">
        <v>39</v>
      </c>
      <c r="G11506" s="15"/>
      <c r="H11506" s="15"/>
      <c r="I11506" s="15"/>
      <c r="J11506" s="17">
        <v>161</v>
      </c>
      <c r="K11506" s="15" t="s">
        <v>1519</v>
      </c>
      <c r="L11506" s="17">
        <v>1</v>
      </c>
      <c r="M11506" s="17">
        <v>4</v>
      </c>
      <c r="N11506" s="17">
        <v>1</v>
      </c>
      <c r="O11506" s="18">
        <v>11343.56</v>
      </c>
      <c r="P11506" s="18">
        <v>9298</v>
      </c>
      <c r="Q11506" s="18">
        <v>11343.56</v>
      </c>
      <c r="R11506" s="18">
        <v>9298</v>
      </c>
      <c r="S11506" s="18">
        <v>7033.01</v>
      </c>
      <c r="T11506" s="18">
        <v>5764.76</v>
      </c>
      <c r="U11506" s="16"/>
      <c r="V11506" s="16"/>
      <c r="W11506" s="16" t="s">
        <v>40</v>
      </c>
      <c r="X11506" s="19">
        <v>2.6480000000000001</v>
      </c>
      <c r="Y11506" s="20">
        <v>1.1998999999999999E-2</v>
      </c>
      <c r="Z11506" s="21">
        <v>4601004015869</v>
      </c>
    </row>
    <row r="11507" spans="1:26" ht="12" customHeight="1" outlineLevel="5" x14ac:dyDescent="0.2">
      <c r="A11507" s="14" t="s">
        <v>21865</v>
      </c>
      <c r="B11507" s="26" t="s">
        <v>21866</v>
      </c>
      <c r="C11507" s="52"/>
      <c r="D11507" s="55">
        <f t="shared" si="179"/>
        <v>0</v>
      </c>
      <c r="E11507" s="63" t="str">
        <f>HYPERLINK("https://www.sds-group.ru/product/girlyanda-svetodiodnaya-zanaves-2h3m-448-led-teplyy-belyy-prozrachnyy-pvh-ip65-effekt-mert-235-136-6/", "Инфо")</f>
        <v>Инфо</v>
      </c>
      <c r="F11507" s="16" t="s">
        <v>39</v>
      </c>
      <c r="G11507" s="15"/>
      <c r="H11507" s="15"/>
      <c r="I11507" s="15"/>
      <c r="J11507" s="17">
        <v>133</v>
      </c>
      <c r="K11507" s="15"/>
      <c r="L11507" s="17">
        <v>1</v>
      </c>
      <c r="M11507" s="17">
        <v>4</v>
      </c>
      <c r="N11507" s="17">
        <v>1</v>
      </c>
      <c r="O11507" s="18">
        <v>12069.55</v>
      </c>
      <c r="P11507" s="18">
        <v>9893.07</v>
      </c>
      <c r="Q11507" s="18">
        <v>12069.55</v>
      </c>
      <c r="R11507" s="18">
        <v>9893.07</v>
      </c>
      <c r="S11507" s="18">
        <v>7483.12</v>
      </c>
      <c r="T11507" s="18">
        <v>6133.7</v>
      </c>
      <c r="U11507" s="16"/>
      <c r="V11507" s="16"/>
      <c r="W11507" s="16" t="s">
        <v>40</v>
      </c>
      <c r="X11507" s="19">
        <v>2.3250000000000002</v>
      </c>
      <c r="Y11507" s="20">
        <v>8.3719999999999992E-3</v>
      </c>
      <c r="Z11507" s="21">
        <v>4601004259898</v>
      </c>
    </row>
    <row r="11508" spans="1:26" ht="12" customHeight="1" outlineLevel="5" x14ac:dyDescent="0.2">
      <c r="A11508" s="14" t="s">
        <v>21867</v>
      </c>
      <c r="B11508" s="26" t="s">
        <v>21868</v>
      </c>
      <c r="C11508" s="52"/>
      <c r="D11508" s="55">
        <f t="shared" si="179"/>
        <v>0</v>
      </c>
      <c r="E11508" s="63" t="str">
        <f>HYPERLINK("https://www.sds-group.ru/product/girlyanda-svetodiodnaya-zanaves-2h3m-600-led-belyy-belyy-pvh-ip65-postoyannoe-svechenie-230v-235-135/", "Инфо")</f>
        <v>Инфо</v>
      </c>
      <c r="F11508" s="16" t="s">
        <v>39</v>
      </c>
      <c r="G11508" s="15"/>
      <c r="H11508" s="15"/>
      <c r="I11508" s="15"/>
      <c r="J11508" s="17">
        <v>7</v>
      </c>
      <c r="K11508" s="15" t="s">
        <v>1277</v>
      </c>
      <c r="L11508" s="17">
        <v>1</v>
      </c>
      <c r="M11508" s="17">
        <v>6</v>
      </c>
      <c r="N11508" s="17">
        <v>1</v>
      </c>
      <c r="O11508" s="18">
        <v>13693</v>
      </c>
      <c r="P11508" s="18">
        <v>11223.77</v>
      </c>
      <c r="Q11508" s="18">
        <v>13693</v>
      </c>
      <c r="R11508" s="18">
        <v>11223.77</v>
      </c>
      <c r="S11508" s="18">
        <v>8489.66</v>
      </c>
      <c r="T11508" s="18">
        <v>6958.74</v>
      </c>
      <c r="U11508" s="16"/>
      <c r="V11508" s="16"/>
      <c r="W11508" s="16" t="s">
        <v>40</v>
      </c>
      <c r="X11508" s="19">
        <v>2.9670000000000001</v>
      </c>
      <c r="Y11508" s="20">
        <v>2.5965999999999999E-2</v>
      </c>
      <c r="Z11508" s="21">
        <v>4601004003682</v>
      </c>
    </row>
    <row r="11509" spans="1:26" ht="12" customHeight="1" outlineLevel="5" x14ac:dyDescent="0.2">
      <c r="A11509" s="14" t="s">
        <v>21869</v>
      </c>
      <c r="B11509" s="26" t="s">
        <v>21870</v>
      </c>
      <c r="C11509" s="52"/>
      <c r="D11509" s="55">
        <f t="shared" si="179"/>
        <v>0</v>
      </c>
      <c r="E11509" s="63" t="str">
        <f>HYPERLINK("https://www.sds-group.ru/product/girlyanda-svetodiodnaya-zanaves-2h3m-600-led-belyy-belyy-pvh-ip65-effekt-mertsaniya-230v-nuz-235-211/", "Инфо")</f>
        <v>Инфо</v>
      </c>
      <c r="F11509" s="16" t="s">
        <v>39</v>
      </c>
      <c r="G11509" s="15"/>
      <c r="H11509" s="15"/>
      <c r="I11509" s="15"/>
      <c r="J11509" s="17">
        <v>186</v>
      </c>
      <c r="K11509" s="15"/>
      <c r="L11509" s="17">
        <v>1</v>
      </c>
      <c r="M11509" s="17">
        <v>6</v>
      </c>
      <c r="N11509" s="17">
        <v>1</v>
      </c>
      <c r="O11509" s="18">
        <v>14569.34</v>
      </c>
      <c r="P11509" s="18">
        <v>11942.08</v>
      </c>
      <c r="Q11509" s="18">
        <v>14569.34</v>
      </c>
      <c r="R11509" s="18">
        <v>11942.08</v>
      </c>
      <c r="S11509" s="18">
        <v>9032.99</v>
      </c>
      <c r="T11509" s="18">
        <v>7404.09</v>
      </c>
      <c r="U11509" s="16"/>
      <c r="V11509" s="16"/>
      <c r="W11509" s="16" t="s">
        <v>40</v>
      </c>
      <c r="X11509" s="19">
        <v>3.2490000000000001</v>
      </c>
      <c r="Y11509" s="20">
        <v>1.2617E-2</v>
      </c>
      <c r="Z11509" s="21">
        <v>4610003609207</v>
      </c>
    </row>
    <row r="11510" spans="1:26" ht="12" customHeight="1" outlineLevel="5" x14ac:dyDescent="0.2">
      <c r="A11510" s="14" t="s">
        <v>21871</v>
      </c>
      <c r="B11510" s="26" t="s">
        <v>21872</v>
      </c>
      <c r="C11510" s="52"/>
      <c r="D11510" s="55">
        <f t="shared" si="179"/>
        <v>0</v>
      </c>
      <c r="E11510" s="63" t="str">
        <f>HYPERLINK("https://www.sds-group.ru/product/girlyanda-svetodiodnaya-zanaves-2h3m-600-led-belyy-prozrachnyy-pvh-ip65-postoyannoe-svecheni-235-155/", "Инфо")</f>
        <v>Инфо</v>
      </c>
      <c r="F11510" s="16" t="s">
        <v>39</v>
      </c>
      <c r="G11510" s="15"/>
      <c r="H11510" s="15"/>
      <c r="I11510" s="15"/>
      <c r="J11510" s="17">
        <v>105</v>
      </c>
      <c r="K11510" s="15"/>
      <c r="L11510" s="17">
        <v>1</v>
      </c>
      <c r="M11510" s="17">
        <v>6</v>
      </c>
      <c r="N11510" s="17">
        <v>1</v>
      </c>
      <c r="O11510" s="18">
        <v>13693</v>
      </c>
      <c r="P11510" s="18">
        <v>11223.77</v>
      </c>
      <c r="Q11510" s="18">
        <v>13693</v>
      </c>
      <c r="R11510" s="18">
        <v>11223.77</v>
      </c>
      <c r="S11510" s="18">
        <v>8489.66</v>
      </c>
      <c r="T11510" s="18">
        <v>6958.74</v>
      </c>
      <c r="U11510" s="16"/>
      <c r="V11510" s="16"/>
      <c r="W11510" s="16" t="s">
        <v>40</v>
      </c>
      <c r="X11510" s="19">
        <v>2.9809999999999999</v>
      </c>
      <c r="Y11510" s="20">
        <v>8.8529999999999998E-3</v>
      </c>
      <c r="Z11510" s="21">
        <v>4610003609405</v>
      </c>
    </row>
    <row r="11511" spans="1:26" ht="12" customHeight="1" outlineLevel="5" x14ac:dyDescent="0.2">
      <c r="A11511" s="14" t="s">
        <v>21873</v>
      </c>
      <c r="B11511" s="26" t="s">
        <v>21874</v>
      </c>
      <c r="C11511" s="52"/>
      <c r="D11511" s="55">
        <f t="shared" si="179"/>
        <v>0</v>
      </c>
      <c r="E11511" s="63" t="str">
        <f>HYPERLINK("https://www.sds-group.ru/product/girlyanda-svetodiodnaya-zanaves-2h3m-760-led-belyy-chernyy-pvh-ip65-postoyannoe-svechenie-23-235-145/", "Инфо")</f>
        <v>Инфо</v>
      </c>
      <c r="F11511" s="16" t="s">
        <v>39</v>
      </c>
      <c r="G11511" s="15"/>
      <c r="H11511" s="15"/>
      <c r="I11511" s="15"/>
      <c r="J11511" s="17">
        <v>2</v>
      </c>
      <c r="K11511" s="15" t="s">
        <v>1277</v>
      </c>
      <c r="L11511" s="17">
        <v>1</v>
      </c>
      <c r="M11511" s="17">
        <v>6</v>
      </c>
      <c r="N11511" s="17">
        <v>1</v>
      </c>
      <c r="O11511" s="18">
        <v>13693</v>
      </c>
      <c r="P11511" s="18">
        <v>11223.77</v>
      </c>
      <c r="Q11511" s="18">
        <v>13693</v>
      </c>
      <c r="R11511" s="18">
        <v>11223.77</v>
      </c>
      <c r="S11511" s="18">
        <v>8489.66</v>
      </c>
      <c r="T11511" s="18">
        <v>6958.74</v>
      </c>
      <c r="U11511" s="16"/>
      <c r="V11511" s="16"/>
      <c r="W11511" s="16" t="s">
        <v>40</v>
      </c>
      <c r="X11511" s="19">
        <v>3.2850000000000001</v>
      </c>
      <c r="Y11511" s="20">
        <v>1.6579E-2</v>
      </c>
      <c r="Z11511" s="21">
        <v>4610003609504</v>
      </c>
    </row>
    <row r="11512" spans="1:26" ht="12" customHeight="1" outlineLevel="5" x14ac:dyDescent="0.2">
      <c r="A11512" s="14" t="s">
        <v>21875</v>
      </c>
      <c r="B11512" s="26" t="s">
        <v>21876</v>
      </c>
      <c r="C11512" s="52"/>
      <c r="D11512" s="55">
        <f t="shared" si="179"/>
        <v>0</v>
      </c>
      <c r="E11512" s="63" t="str">
        <f>HYPERLINK("https://www.sds-group.ru/product/girlyanda-svetodiodnaya-zanaves-2h3m-600-led-belyy-chernyy-pvh-ip65-effekt-mertsaniya-230v-n-235-201/", "Инфо")</f>
        <v>Инфо</v>
      </c>
      <c r="F11512" s="16" t="s">
        <v>39</v>
      </c>
      <c r="G11512" s="15"/>
      <c r="H11512" s="15"/>
      <c r="I11512" s="15"/>
      <c r="J11512" s="17">
        <v>33</v>
      </c>
      <c r="K11512" s="15"/>
      <c r="L11512" s="17">
        <v>1</v>
      </c>
      <c r="M11512" s="17">
        <v>6</v>
      </c>
      <c r="N11512" s="17">
        <v>1</v>
      </c>
      <c r="O11512" s="18">
        <v>14569.34</v>
      </c>
      <c r="P11512" s="18">
        <v>11942.08</v>
      </c>
      <c r="Q11512" s="18">
        <v>14569.34</v>
      </c>
      <c r="R11512" s="18">
        <v>11942.08</v>
      </c>
      <c r="S11512" s="18">
        <v>9032.99</v>
      </c>
      <c r="T11512" s="18">
        <v>7404.09</v>
      </c>
      <c r="U11512" s="16"/>
      <c r="V11512" s="16"/>
      <c r="W11512" s="16" t="s">
        <v>40</v>
      </c>
      <c r="X11512" s="19">
        <v>3.254</v>
      </c>
      <c r="Y11512" s="20">
        <v>1.2312999999999999E-2</v>
      </c>
      <c r="Z11512" s="21">
        <v>4601004008793</v>
      </c>
    </row>
    <row r="11513" spans="1:26" ht="12" customHeight="1" outlineLevel="5" x14ac:dyDescent="0.2">
      <c r="A11513" s="14" t="s">
        <v>21877</v>
      </c>
      <c r="B11513" s="26" t="s">
        <v>21878</v>
      </c>
      <c r="C11513" s="52"/>
      <c r="D11513" s="55">
        <f t="shared" si="179"/>
        <v>0</v>
      </c>
      <c r="E11513" s="63" t="str">
        <f>HYPERLINK("https://www.sds-group.ru/product/girlyanda-svetodiodnaya-zanaves-2h3m-600-led-teplyy-belyy-belyy-pvh-ip65-postoyannoe-svechen-235-136/", "Инфо")</f>
        <v>Инфо</v>
      </c>
      <c r="F11513" s="16" t="s">
        <v>39</v>
      </c>
      <c r="G11513" s="15"/>
      <c r="H11513" s="15"/>
      <c r="I11513" s="15"/>
      <c r="J11513" s="17">
        <v>30</v>
      </c>
      <c r="K11513" s="15" t="s">
        <v>1519</v>
      </c>
      <c r="L11513" s="17">
        <v>1</v>
      </c>
      <c r="M11513" s="17">
        <v>6</v>
      </c>
      <c r="N11513" s="17">
        <v>1</v>
      </c>
      <c r="O11513" s="18">
        <v>13693</v>
      </c>
      <c r="P11513" s="18">
        <v>11223.77</v>
      </c>
      <c r="Q11513" s="18">
        <v>13693</v>
      </c>
      <c r="R11513" s="18">
        <v>11223.77</v>
      </c>
      <c r="S11513" s="18">
        <v>8489.66</v>
      </c>
      <c r="T11513" s="18">
        <v>6958.74</v>
      </c>
      <c r="U11513" s="16"/>
      <c r="V11513" s="16"/>
      <c r="W11513" s="16" t="s">
        <v>40</v>
      </c>
      <c r="X11513" s="19">
        <v>3.294</v>
      </c>
      <c r="Y11513" s="20">
        <v>9.8890000000000002E-3</v>
      </c>
      <c r="Z11513" s="21">
        <v>4610003609252</v>
      </c>
    </row>
    <row r="11514" spans="1:26" ht="12" customHeight="1" outlineLevel="5" x14ac:dyDescent="0.2">
      <c r="A11514" s="14" t="s">
        <v>21879</v>
      </c>
      <c r="B11514" s="26" t="s">
        <v>21880</v>
      </c>
      <c r="C11514" s="52"/>
      <c r="D11514" s="55">
        <f t="shared" si="179"/>
        <v>0</v>
      </c>
      <c r="E11514" s="63" t="str">
        <f>HYPERLINK("https://www.sds-group.ru/product/girlyanda-svetodiodnaya-zanaves-2h3m-600-led-teplyy-belyy-belyy-pvh-ip65-effekt-mertsaniya-2-235-366/", "Инфо")</f>
        <v>Инфо</v>
      </c>
      <c r="F11514" s="16" t="s">
        <v>39</v>
      </c>
      <c r="G11514" s="15"/>
      <c r="H11514" s="15"/>
      <c r="I11514" s="15"/>
      <c r="J11514" s="17">
        <v>55</v>
      </c>
      <c r="K11514" s="15" t="s">
        <v>1519</v>
      </c>
      <c r="L11514" s="17">
        <v>1</v>
      </c>
      <c r="M11514" s="17">
        <v>6</v>
      </c>
      <c r="N11514" s="17">
        <v>1</v>
      </c>
      <c r="O11514" s="18">
        <v>14569.34</v>
      </c>
      <c r="P11514" s="18">
        <v>11942.08</v>
      </c>
      <c r="Q11514" s="18">
        <v>14569.34</v>
      </c>
      <c r="R11514" s="18">
        <v>11942.08</v>
      </c>
      <c r="S11514" s="18">
        <v>9032.99</v>
      </c>
      <c r="T11514" s="18">
        <v>7404.09</v>
      </c>
      <c r="U11514" s="16"/>
      <c r="V11514" s="16"/>
      <c r="W11514" s="16" t="s">
        <v>40</v>
      </c>
      <c r="X11514" s="19">
        <v>3.3290000000000002</v>
      </c>
      <c r="Y11514" s="20">
        <v>9.5849999999999998E-3</v>
      </c>
      <c r="Z11514" s="21">
        <v>4601004225152</v>
      </c>
    </row>
    <row r="11515" spans="1:26" ht="12" customHeight="1" outlineLevel="5" x14ac:dyDescent="0.2">
      <c r="A11515" s="14" t="s">
        <v>21881</v>
      </c>
      <c r="B11515" s="26" t="s">
        <v>21882</v>
      </c>
      <c r="C11515" s="52"/>
      <c r="D11515" s="55">
        <f t="shared" si="179"/>
        <v>0</v>
      </c>
      <c r="E11515" s="63" t="str">
        <f>HYPERLINK("https://www.sds-group.ru/product/girlyanda-svetodiodnaya-zanaves-2h3m-600-led-teplyy-belyy-prozrachnyy-pvh-ip65-postoyannoe-s-235-156/", "Инфо")</f>
        <v>Инфо</v>
      </c>
      <c r="F11515" s="16" t="s">
        <v>39</v>
      </c>
      <c r="G11515" s="15"/>
      <c r="H11515" s="15"/>
      <c r="I11515" s="15"/>
      <c r="J11515" s="16" t="s">
        <v>100</v>
      </c>
      <c r="K11515" s="15" t="s">
        <v>1519</v>
      </c>
      <c r="L11515" s="17">
        <v>1</v>
      </c>
      <c r="M11515" s="17">
        <v>4</v>
      </c>
      <c r="N11515" s="17">
        <v>1</v>
      </c>
      <c r="O11515" s="18">
        <v>13693</v>
      </c>
      <c r="P11515" s="18">
        <v>11223.77</v>
      </c>
      <c r="Q11515" s="18">
        <v>13693</v>
      </c>
      <c r="R11515" s="18">
        <v>11223.77</v>
      </c>
      <c r="S11515" s="18">
        <v>8489.66</v>
      </c>
      <c r="T11515" s="18">
        <v>6958.74</v>
      </c>
      <c r="U11515" s="16"/>
      <c r="V11515" s="16"/>
      <c r="W11515" s="16" t="s">
        <v>40</v>
      </c>
      <c r="X11515" s="19">
        <v>3.202</v>
      </c>
      <c r="Y11515" s="20">
        <v>1.0444999999999999E-2</v>
      </c>
      <c r="Z11515" s="21">
        <v>4610003609412</v>
      </c>
    </row>
    <row r="11516" spans="1:26" ht="12" customHeight="1" outlineLevel="5" x14ac:dyDescent="0.2">
      <c r="A11516" s="14" t="s">
        <v>21883</v>
      </c>
      <c r="B11516" s="26" t="s">
        <v>21884</v>
      </c>
      <c r="C11516" s="52"/>
      <c r="D11516" s="55">
        <f t="shared" si="179"/>
        <v>0</v>
      </c>
      <c r="E11516" s="63" t="str">
        <f>HYPERLINK("https://www.sds-group.ru/product/girlyanda-svetodiodnaya-zanaves-2h3m-600-led-teplyy-belyy-prozrachnyy-pvh-ip65-effekt-mertsa-235-326/", "Инфо")</f>
        <v>Инфо</v>
      </c>
      <c r="F11516" s="16" t="s">
        <v>39</v>
      </c>
      <c r="G11516" s="15"/>
      <c r="H11516" s="15"/>
      <c r="I11516" s="15"/>
      <c r="J11516" s="16" t="s">
        <v>100</v>
      </c>
      <c r="K11516" s="15" t="s">
        <v>1519</v>
      </c>
      <c r="L11516" s="17">
        <v>1</v>
      </c>
      <c r="M11516" s="17">
        <v>6</v>
      </c>
      <c r="N11516" s="17">
        <v>1</v>
      </c>
      <c r="O11516" s="18">
        <v>14569.34</v>
      </c>
      <c r="P11516" s="18">
        <v>11942.08</v>
      </c>
      <c r="Q11516" s="18">
        <v>14569.34</v>
      </c>
      <c r="R11516" s="18">
        <v>11942.08</v>
      </c>
      <c r="S11516" s="18">
        <v>9032.99</v>
      </c>
      <c r="T11516" s="18">
        <v>7404.09</v>
      </c>
      <c r="U11516" s="16"/>
      <c r="V11516" s="16"/>
      <c r="W11516" s="16" t="s">
        <v>40</v>
      </c>
      <c r="X11516" s="19">
        <v>3.08</v>
      </c>
      <c r="Y11516" s="20">
        <v>1.0061E-2</v>
      </c>
      <c r="Z11516" s="21">
        <v>4601004083677</v>
      </c>
    </row>
    <row r="11517" spans="1:26" ht="12" customHeight="1" outlineLevel="5" x14ac:dyDescent="0.2">
      <c r="A11517" s="14" t="s">
        <v>21885</v>
      </c>
      <c r="B11517" s="26" t="s">
        <v>21886</v>
      </c>
      <c r="C11517" s="52"/>
      <c r="D11517" s="55">
        <f t="shared" si="179"/>
        <v>0</v>
      </c>
      <c r="E11517" s="63" t="str">
        <f>HYPERLINK("https://www.sds-group.ru/product/girlyanda-svetodiodnaya-zanaves-2h3m-600-led-teplyy-belyy-chernyy-pvh-ip65-postoyannoe-svech-235-146/", "Инфо")</f>
        <v>Инфо</v>
      </c>
      <c r="F11517" s="16" t="s">
        <v>39</v>
      </c>
      <c r="G11517" s="15"/>
      <c r="H11517" s="15"/>
      <c r="I11517" s="15"/>
      <c r="J11517" s="16" t="s">
        <v>100</v>
      </c>
      <c r="K11517" s="15" t="s">
        <v>1519</v>
      </c>
      <c r="L11517" s="17">
        <v>1</v>
      </c>
      <c r="M11517" s="17">
        <v>4</v>
      </c>
      <c r="N11517" s="17">
        <v>1</v>
      </c>
      <c r="O11517" s="18">
        <v>13693</v>
      </c>
      <c r="P11517" s="18">
        <v>11223.77</v>
      </c>
      <c r="Q11517" s="18">
        <v>13693</v>
      </c>
      <c r="R11517" s="18">
        <v>11223.77</v>
      </c>
      <c r="S11517" s="18">
        <v>8489.66</v>
      </c>
      <c r="T11517" s="18">
        <v>6958.74</v>
      </c>
      <c r="U11517" s="16"/>
      <c r="V11517" s="16"/>
      <c r="W11517" s="16" t="s">
        <v>40</v>
      </c>
      <c r="X11517" s="19">
        <v>3.3180000000000001</v>
      </c>
      <c r="Y11517" s="20">
        <v>1.0116999999999999E-2</v>
      </c>
      <c r="Z11517" s="21">
        <v>4610003609511</v>
      </c>
    </row>
    <row r="11518" spans="1:26" ht="12" customHeight="1" outlineLevel="5" x14ac:dyDescent="0.2">
      <c r="A11518" s="14" t="s">
        <v>21887</v>
      </c>
      <c r="B11518" s="26" t="s">
        <v>21888</v>
      </c>
      <c r="C11518" s="52"/>
      <c r="D11518" s="55">
        <f t="shared" si="179"/>
        <v>0</v>
      </c>
      <c r="E11518" s="63" t="str">
        <f>HYPERLINK("https://www.sds-group.ru/product/girlyanda-svetodiodnaya-zanaves-2h3m-760-led-siniy-chernyy-pvh-ip65-postoyannoe-svechenie-23-235-143/", "Инфо")</f>
        <v>Инфо</v>
      </c>
      <c r="F11518" s="16" t="s">
        <v>39</v>
      </c>
      <c r="G11518" s="15"/>
      <c r="H11518" s="15"/>
      <c r="I11518" s="15"/>
      <c r="J11518" s="17">
        <v>28</v>
      </c>
      <c r="K11518" s="15"/>
      <c r="L11518" s="17">
        <v>1</v>
      </c>
      <c r="M11518" s="17">
        <v>6</v>
      </c>
      <c r="N11518" s="17">
        <v>1</v>
      </c>
      <c r="O11518" s="18">
        <v>13693</v>
      </c>
      <c r="P11518" s="18">
        <v>11223.77</v>
      </c>
      <c r="Q11518" s="18">
        <v>13693</v>
      </c>
      <c r="R11518" s="18">
        <v>11223.77</v>
      </c>
      <c r="S11518" s="18">
        <v>8489.66</v>
      </c>
      <c r="T11518" s="18">
        <v>6958.74</v>
      </c>
      <c r="U11518" s="16"/>
      <c r="V11518" s="16"/>
      <c r="W11518" s="16" t="s">
        <v>40</v>
      </c>
      <c r="X11518" s="19">
        <v>2.5289999999999999</v>
      </c>
      <c r="Y11518" s="20">
        <v>1.6055E-2</v>
      </c>
      <c r="Z11518" s="21">
        <v>4601004003675</v>
      </c>
    </row>
    <row r="11519" spans="1:26" ht="12.95" customHeight="1" outlineLevel="4" x14ac:dyDescent="0.2">
      <c r="A11519" s="76" t="s">
        <v>21889</v>
      </c>
      <c r="B11519" s="76"/>
      <c r="C11519" s="77"/>
      <c r="D11519" s="58"/>
      <c r="E11519" s="68"/>
      <c r="F11519" s="13"/>
      <c r="G11519" s="13"/>
      <c r="H11519" s="13"/>
      <c r="I11519" s="13"/>
      <c r="J11519" s="13"/>
      <c r="K11519" s="13"/>
      <c r="L11519" s="13"/>
      <c r="M11519" s="13"/>
      <c r="N11519" s="13"/>
      <c r="O11519" s="13"/>
      <c r="P11519" s="13"/>
      <c r="Q11519" s="13"/>
      <c r="R11519" s="13"/>
      <c r="S11519" s="13"/>
      <c r="T11519" s="13"/>
      <c r="U11519" s="13"/>
      <c r="V11519" s="13"/>
      <c r="W11519" s="13"/>
      <c r="X11519" s="13"/>
      <c r="Y11519" s="13"/>
      <c r="Z11519" s="13"/>
    </row>
    <row r="11520" spans="1:26" ht="12" customHeight="1" outlineLevel="5" x14ac:dyDescent="0.2">
      <c r="A11520" s="14" t="s">
        <v>21890</v>
      </c>
      <c r="B11520" s="26" t="s">
        <v>21891</v>
      </c>
      <c r="C11520" s="52"/>
      <c r="D11520" s="55">
        <f t="shared" si="179"/>
        <v>0</v>
      </c>
      <c r="E11520" s="63" t="str">
        <f>HYPERLINK("https://www.sds-group.ru/product/girlyanda-svetodiodnaya-zanaves-2h3m-240-led-belyy-prozrachnyy-pvh-ip65-effekt-vodopada-24v--235-435/", "Инфо")</f>
        <v>Инфо</v>
      </c>
      <c r="F11520" s="16" t="s">
        <v>39</v>
      </c>
      <c r="G11520" s="15"/>
      <c r="H11520" s="15"/>
      <c r="I11520" s="15"/>
      <c r="J11520" s="17">
        <v>12</v>
      </c>
      <c r="K11520" s="15" t="s">
        <v>1519</v>
      </c>
      <c r="L11520" s="17">
        <v>1</v>
      </c>
      <c r="M11520" s="17">
        <v>5</v>
      </c>
      <c r="N11520" s="17">
        <v>1</v>
      </c>
      <c r="O11520" s="18">
        <v>11130.99</v>
      </c>
      <c r="P11520" s="18">
        <v>9123.76</v>
      </c>
      <c r="Q11520" s="18">
        <v>11130.99</v>
      </c>
      <c r="R11520" s="18">
        <v>9123.76</v>
      </c>
      <c r="S11520" s="18">
        <v>6901.21</v>
      </c>
      <c r="T11520" s="18">
        <v>5656.73</v>
      </c>
      <c r="U11520" s="16"/>
      <c r="V11520" s="16"/>
      <c r="W11520" s="16" t="s">
        <v>40</v>
      </c>
      <c r="X11520" s="19">
        <v>2.54</v>
      </c>
      <c r="Y11520" s="20">
        <v>6.3600000000000002E-3</v>
      </c>
      <c r="Z11520" s="21">
        <v>4601004008779</v>
      </c>
    </row>
    <row r="11521" spans="1:26" ht="12" customHeight="1" outlineLevel="5" x14ac:dyDescent="0.2">
      <c r="A11521" s="14" t="s">
        <v>21892</v>
      </c>
      <c r="B11521" s="26" t="s">
        <v>21893</v>
      </c>
      <c r="C11521" s="52"/>
      <c r="D11521" s="55">
        <f t="shared" si="179"/>
        <v>0</v>
      </c>
      <c r="E11521" s="63" t="str">
        <f>HYPERLINK("https://www.sds-group.ru/product/girlyanda-svetodiodnaya-zanaves-2h6m-360-led-belyy-prozrachnyy-pvh-ip65-effekt-vodopada-24v--235-465/", "Инфо")</f>
        <v>Инфо</v>
      </c>
      <c r="F11521" s="16" t="s">
        <v>39</v>
      </c>
      <c r="G11521" s="15"/>
      <c r="H11521" s="15"/>
      <c r="I11521" s="15"/>
      <c r="J11521" s="16" t="s">
        <v>100</v>
      </c>
      <c r="K11521" s="15" t="s">
        <v>1519</v>
      </c>
      <c r="L11521" s="17">
        <v>1</v>
      </c>
      <c r="M11521" s="17">
        <v>6</v>
      </c>
      <c r="N11521" s="17">
        <v>1</v>
      </c>
      <c r="O11521" s="18">
        <v>18275.78</v>
      </c>
      <c r="P11521" s="18">
        <v>14980.15</v>
      </c>
      <c r="Q11521" s="18">
        <v>18275.78</v>
      </c>
      <c r="R11521" s="18">
        <v>14980.15</v>
      </c>
      <c r="S11521" s="18">
        <v>11330.98</v>
      </c>
      <c r="T11521" s="18">
        <v>9287.69</v>
      </c>
      <c r="U11521" s="16"/>
      <c r="V11521" s="16"/>
      <c r="W11521" s="16" t="s">
        <v>40</v>
      </c>
      <c r="X11521" s="19">
        <v>3.5459999999999998</v>
      </c>
      <c r="Y11521" s="20">
        <v>1.2399E-2</v>
      </c>
      <c r="Z11521" s="21">
        <v>4601004016484</v>
      </c>
    </row>
    <row r="11522" spans="1:26" ht="12" customHeight="1" outlineLevel="5" x14ac:dyDescent="0.2">
      <c r="A11522" s="14" t="s">
        <v>21894</v>
      </c>
      <c r="B11522" s="26" t="s">
        <v>21895</v>
      </c>
      <c r="C11522" s="52"/>
      <c r="D11522" s="55">
        <f t="shared" si="179"/>
        <v>0</v>
      </c>
      <c r="E11522" s="63" t="str">
        <f>HYPERLINK("https://www.sds-group.ru/product/girlyanda-svetodiodnaya-zanaves-2h9m-480-led-belyy-prozrachnyy-pvh-ip65-effekt-vodopada-24v--235-495/", "Инфо")</f>
        <v>Инфо</v>
      </c>
      <c r="F11522" s="16" t="s">
        <v>39</v>
      </c>
      <c r="G11522" s="15"/>
      <c r="H11522" s="15"/>
      <c r="I11522" s="15"/>
      <c r="J11522" s="16" t="s">
        <v>100</v>
      </c>
      <c r="K11522" s="15" t="s">
        <v>1519</v>
      </c>
      <c r="L11522" s="17">
        <v>1</v>
      </c>
      <c r="M11522" s="17">
        <v>5</v>
      </c>
      <c r="N11522" s="17">
        <v>1</v>
      </c>
      <c r="O11522" s="18">
        <v>22429.72</v>
      </c>
      <c r="P11522" s="18">
        <v>18385.02</v>
      </c>
      <c r="Q11522" s="18">
        <v>22429.72</v>
      </c>
      <c r="R11522" s="18">
        <v>18385.02</v>
      </c>
      <c r="S11522" s="18">
        <v>13906.43</v>
      </c>
      <c r="T11522" s="18">
        <v>11398.71</v>
      </c>
      <c r="U11522" s="16"/>
      <c r="V11522" s="16"/>
      <c r="W11522" s="16" t="s">
        <v>40</v>
      </c>
      <c r="X11522" s="19">
        <v>5.0279999999999996</v>
      </c>
      <c r="Y11522" s="20">
        <v>1.6414999999999999E-2</v>
      </c>
      <c r="Z11522" s="21">
        <v>4601004058170</v>
      </c>
    </row>
    <row r="11523" spans="1:26" ht="12.95" customHeight="1" outlineLevel="4" x14ac:dyDescent="0.2">
      <c r="A11523" s="76" t="s">
        <v>21896</v>
      </c>
      <c r="B11523" s="76"/>
      <c r="C11523" s="77"/>
      <c r="D11523" s="58"/>
      <c r="E11523" s="68"/>
      <c r="F11523" s="13"/>
      <c r="G11523" s="13"/>
      <c r="H11523" s="13"/>
      <c r="I11523" s="13"/>
      <c r="J11523" s="13"/>
      <c r="K11523" s="13"/>
      <c r="L11523" s="13"/>
      <c r="M11523" s="13"/>
      <c r="N11523" s="13"/>
      <c r="O11523" s="13"/>
      <c r="P11523" s="13"/>
      <c r="Q11523" s="13"/>
      <c r="R11523" s="13"/>
      <c r="S11523" s="13"/>
      <c r="T11523" s="13"/>
      <c r="U11523" s="13"/>
      <c r="V11523" s="13"/>
      <c r="W11523" s="13"/>
      <c r="X11523" s="13"/>
      <c r="Y11523" s="13"/>
      <c r="Z11523" s="13"/>
    </row>
    <row r="11524" spans="1:26" ht="12" customHeight="1" outlineLevel="5" x14ac:dyDescent="0.2">
      <c r="A11524" s="14" t="s">
        <v>21897</v>
      </c>
      <c r="B11524" s="26" t="s">
        <v>21898</v>
      </c>
      <c r="C11524" s="52"/>
      <c r="D11524" s="55">
        <f t="shared" si="179"/>
        <v>0</v>
      </c>
      <c r="E11524" s="63" t="str">
        <f>HYPERLINK("https://www.sds-group.ru/product/girlyanda-svetodiodnaya-zanaves-2h6m-768-led-belyy-prozrachnyy-pvh-ip65-postoyannoe-svecheni-235-175/", "Инфо")</f>
        <v>Инфо</v>
      </c>
      <c r="F11524" s="16" t="s">
        <v>39</v>
      </c>
      <c r="G11524" s="15"/>
      <c r="H11524" s="15"/>
      <c r="I11524" s="15"/>
      <c r="J11524" s="17">
        <v>77</v>
      </c>
      <c r="K11524" s="15" t="s">
        <v>1277</v>
      </c>
      <c r="L11524" s="17">
        <v>1</v>
      </c>
      <c r="M11524" s="17">
        <v>6</v>
      </c>
      <c r="N11524" s="17">
        <v>1</v>
      </c>
      <c r="O11524" s="18">
        <v>21547.55</v>
      </c>
      <c r="P11524" s="18">
        <v>17661.93</v>
      </c>
      <c r="Q11524" s="18">
        <v>21547.55</v>
      </c>
      <c r="R11524" s="18">
        <v>17661.93</v>
      </c>
      <c r="S11524" s="18">
        <v>13359.48</v>
      </c>
      <c r="T11524" s="18">
        <v>10950.39</v>
      </c>
      <c r="U11524" s="16"/>
      <c r="V11524" s="16"/>
      <c r="W11524" s="16" t="s">
        <v>40</v>
      </c>
      <c r="X11524" s="19">
        <v>3.7160000000000002</v>
      </c>
      <c r="Y11524" s="20">
        <v>1.2459E-2</v>
      </c>
      <c r="Z11524" s="21">
        <v>4610003609696</v>
      </c>
    </row>
    <row r="11525" spans="1:26" ht="12" customHeight="1" outlineLevel="5" x14ac:dyDescent="0.2">
      <c r="A11525" s="14" t="s">
        <v>21899</v>
      </c>
      <c r="B11525" s="26" t="s">
        <v>21900</v>
      </c>
      <c r="C11525" s="52"/>
      <c r="D11525" s="55">
        <f t="shared" si="179"/>
        <v>0</v>
      </c>
      <c r="E11525" s="63" t="str">
        <f>HYPERLINK("https://www.sds-group.ru/product/girlyanda-zanaves-2h6m-768-led-belyy-prozrachnyy-pvh-ip65-effekt-mertsaniya-230v-nuzhen-blok-235-385/", "Инфо")</f>
        <v>Инфо</v>
      </c>
      <c r="F11525" s="16" t="s">
        <v>39</v>
      </c>
      <c r="G11525" s="15"/>
      <c r="H11525" s="15"/>
      <c r="I11525" s="15"/>
      <c r="J11525" s="17">
        <v>49</v>
      </c>
      <c r="K11525" s="15" t="s">
        <v>1277</v>
      </c>
      <c r="L11525" s="17">
        <v>1</v>
      </c>
      <c r="M11525" s="17">
        <v>2</v>
      </c>
      <c r="N11525" s="17">
        <v>1</v>
      </c>
      <c r="O11525" s="18">
        <v>22712.11</v>
      </c>
      <c r="P11525" s="18">
        <v>18616.48</v>
      </c>
      <c r="Q11525" s="18">
        <v>22712.11</v>
      </c>
      <c r="R11525" s="18">
        <v>18616.48</v>
      </c>
      <c r="S11525" s="18">
        <v>14081.51</v>
      </c>
      <c r="T11525" s="18">
        <v>11542.22</v>
      </c>
      <c r="U11525" s="16"/>
      <c r="V11525" s="16"/>
      <c r="W11525" s="16" t="s">
        <v>40</v>
      </c>
      <c r="X11525" s="19">
        <v>3.649</v>
      </c>
      <c r="Y11525" s="20">
        <v>1.0496999999999999E-2</v>
      </c>
      <c r="Z11525" s="21">
        <v>4601004337947</v>
      </c>
    </row>
    <row r="11526" spans="1:26" ht="12" customHeight="1" outlineLevel="5" x14ac:dyDescent="0.2">
      <c r="A11526" s="14" t="s">
        <v>21901</v>
      </c>
      <c r="B11526" s="26" t="s">
        <v>21902</v>
      </c>
      <c r="C11526" s="52"/>
      <c r="D11526" s="55">
        <f t="shared" si="179"/>
        <v>0</v>
      </c>
      <c r="E11526" s="63" t="str">
        <f>HYPERLINK("https://www.sds-group.ru/product/girlyanda-svetodiodnaya-zanaves-2h6m-768-led-belyy-chernyy-pvh-ip65-postoyannoe-svechenie-23-235-165/", "Инфо")</f>
        <v>Инфо</v>
      </c>
      <c r="F11526" s="16" t="s">
        <v>39</v>
      </c>
      <c r="G11526" s="15"/>
      <c r="H11526" s="15"/>
      <c r="I11526" s="15"/>
      <c r="J11526" s="17">
        <v>5</v>
      </c>
      <c r="K11526" s="15" t="s">
        <v>1277</v>
      </c>
      <c r="L11526" s="17">
        <v>1</v>
      </c>
      <c r="M11526" s="17">
        <v>6</v>
      </c>
      <c r="N11526" s="17">
        <v>1</v>
      </c>
      <c r="O11526" s="18">
        <v>21547.55</v>
      </c>
      <c r="P11526" s="18">
        <v>17661.93</v>
      </c>
      <c r="Q11526" s="18">
        <v>21547.55</v>
      </c>
      <c r="R11526" s="18">
        <v>17661.93</v>
      </c>
      <c r="S11526" s="18">
        <v>13359.48</v>
      </c>
      <c r="T11526" s="18">
        <v>10950.39</v>
      </c>
      <c r="U11526" s="16"/>
      <c r="V11526" s="16"/>
      <c r="W11526" s="16" t="s">
        <v>40</v>
      </c>
      <c r="X11526" s="19">
        <v>3.9969999999999999</v>
      </c>
      <c r="Y11526" s="20">
        <v>1.2898E-2</v>
      </c>
      <c r="Z11526" s="21">
        <v>4610003609672</v>
      </c>
    </row>
    <row r="11527" spans="1:26" ht="12" customHeight="1" outlineLevel="5" x14ac:dyDescent="0.2">
      <c r="A11527" s="14" t="s">
        <v>21903</v>
      </c>
      <c r="B11527" s="26" t="s">
        <v>21904</v>
      </c>
      <c r="C11527" s="52"/>
      <c r="D11527" s="55">
        <f t="shared" si="179"/>
        <v>0</v>
      </c>
      <c r="E11527" s="63" t="str">
        <f>HYPERLINK("https://www.sds-group.ru/product/girlyanda-svetodiodnaya-zanaves-2h6m-768-led-siniy-prozrachnyy-pvh-ip65-postoyannoe-svecheni-235-173/", "Инфо")</f>
        <v>Инфо</v>
      </c>
      <c r="F11527" s="16" t="s">
        <v>39</v>
      </c>
      <c r="G11527" s="15"/>
      <c r="H11527" s="15"/>
      <c r="I11527" s="15"/>
      <c r="J11527" s="17">
        <v>6</v>
      </c>
      <c r="K11527" s="15" t="s">
        <v>1519</v>
      </c>
      <c r="L11527" s="17">
        <v>1</v>
      </c>
      <c r="M11527" s="17">
        <v>4</v>
      </c>
      <c r="N11527" s="17">
        <v>1</v>
      </c>
      <c r="O11527" s="18">
        <v>21547.55</v>
      </c>
      <c r="P11527" s="18">
        <v>17661.93</v>
      </c>
      <c r="Q11527" s="18">
        <v>21547.55</v>
      </c>
      <c r="R11527" s="18">
        <v>17661.93</v>
      </c>
      <c r="S11527" s="18">
        <v>13359.48</v>
      </c>
      <c r="T11527" s="18">
        <v>10950.39</v>
      </c>
      <c r="U11527" s="16"/>
      <c r="V11527" s="16"/>
      <c r="W11527" s="16" t="s">
        <v>40</v>
      </c>
      <c r="X11527" s="19">
        <v>4.0369999999999999</v>
      </c>
      <c r="Y11527" s="20">
        <v>1.2127000000000001E-2</v>
      </c>
      <c r="Z11527" s="21">
        <v>4610003609689</v>
      </c>
    </row>
    <row r="11528" spans="1:26" ht="12" customHeight="1" outlineLevel="5" x14ac:dyDescent="0.2">
      <c r="A11528" s="14" t="s">
        <v>21905</v>
      </c>
      <c r="B11528" s="26" t="s">
        <v>21906</v>
      </c>
      <c r="C11528" s="52"/>
      <c r="D11528" s="55">
        <f t="shared" si="179"/>
        <v>0</v>
      </c>
      <c r="E11528" s="63" t="str">
        <f>HYPERLINK("https://www.sds-group.ru/product/girlyanda-svetodiodnaya-zanaves-2h6m-768-led-teplyy-belyy-belyy-pvh-ip65-postoyannoe-svechen-235-296/", "Инфо")</f>
        <v>Инфо</v>
      </c>
      <c r="F11528" s="16" t="s">
        <v>39</v>
      </c>
      <c r="G11528" s="15"/>
      <c r="H11528" s="15"/>
      <c r="I11528" s="15"/>
      <c r="J11528" s="17">
        <v>39</v>
      </c>
      <c r="K11528" s="15" t="s">
        <v>1519</v>
      </c>
      <c r="L11528" s="17">
        <v>1</v>
      </c>
      <c r="M11528" s="17">
        <v>6</v>
      </c>
      <c r="N11528" s="17">
        <v>1</v>
      </c>
      <c r="O11528" s="18">
        <v>21547.55</v>
      </c>
      <c r="P11528" s="18">
        <v>17661.93</v>
      </c>
      <c r="Q11528" s="18">
        <v>21547.55</v>
      </c>
      <c r="R11528" s="18">
        <v>17661.93</v>
      </c>
      <c r="S11528" s="18">
        <v>13359.48</v>
      </c>
      <c r="T11528" s="18">
        <v>10950.39</v>
      </c>
      <c r="U11528" s="16"/>
      <c r="V11528" s="16"/>
      <c r="W11528" s="16" t="s">
        <v>40</v>
      </c>
      <c r="X11528" s="19">
        <v>4.0259999999999998</v>
      </c>
      <c r="Y11528" s="20">
        <v>1.0323000000000001E-2</v>
      </c>
      <c r="Z11528" s="21">
        <v>4601004225183</v>
      </c>
    </row>
    <row r="11529" spans="1:26" ht="12" customHeight="1" outlineLevel="5" x14ac:dyDescent="0.2">
      <c r="A11529" s="14" t="s">
        <v>21907</v>
      </c>
      <c r="B11529" s="26" t="s">
        <v>21908</v>
      </c>
      <c r="C11529" s="52"/>
      <c r="D11529" s="55">
        <f t="shared" ref="D11529:D11592" si="180">C11529*(O11529-O11529*$G$3)</f>
        <v>0</v>
      </c>
      <c r="E11529" s="63" t="str">
        <f>HYPERLINK("https://www.sds-group.ru/product/girlyanda-svetodiodnaya-zanaves-2h6m-768-led-teplyy-belyy-belyy-pvh-ip65-effekt-mertsaniya-2-235-396/", "Инфо")</f>
        <v>Инфо</v>
      </c>
      <c r="F11529" s="16" t="s">
        <v>39</v>
      </c>
      <c r="G11529" s="15"/>
      <c r="H11529" s="15"/>
      <c r="I11529" s="15"/>
      <c r="J11529" s="17">
        <v>1</v>
      </c>
      <c r="K11529" s="15" t="s">
        <v>1519</v>
      </c>
      <c r="L11529" s="17">
        <v>1</v>
      </c>
      <c r="M11529" s="17">
        <v>6</v>
      </c>
      <c r="N11529" s="17">
        <v>1</v>
      </c>
      <c r="O11529" s="18">
        <v>22712.11</v>
      </c>
      <c r="P11529" s="18">
        <v>18616.48</v>
      </c>
      <c r="Q11529" s="18">
        <v>22712.11</v>
      </c>
      <c r="R11529" s="18">
        <v>18616.48</v>
      </c>
      <c r="S11529" s="18">
        <v>14081.51</v>
      </c>
      <c r="T11529" s="18">
        <v>11542.22</v>
      </c>
      <c r="U11529" s="16"/>
      <c r="V11529" s="16"/>
      <c r="W11529" s="16" t="s">
        <v>40</v>
      </c>
      <c r="X11529" s="19">
        <v>3.6869999999999998</v>
      </c>
      <c r="Y11529" s="20">
        <v>1.1743999999999999E-2</v>
      </c>
      <c r="Z11529" s="21">
        <v>4601004225190</v>
      </c>
    </row>
    <row r="11530" spans="1:26" ht="12" customHeight="1" outlineLevel="5" x14ac:dyDescent="0.2">
      <c r="A11530" s="14" t="s">
        <v>21909</v>
      </c>
      <c r="B11530" s="26" t="s">
        <v>21910</v>
      </c>
      <c r="C11530" s="52"/>
      <c r="D11530" s="55">
        <f t="shared" si="180"/>
        <v>0</v>
      </c>
      <c r="E11530" s="63" t="str">
        <f>HYPERLINK("https://www.sds-group.ru/product/girlyanda-svetodiodnaya-zanaves-2h6m-768-led-teplyy-belyy-prozrachnyy-pvh-ip65-postoyannoe-s-235-176/", "Инфо")</f>
        <v>Инфо</v>
      </c>
      <c r="F11530" s="16" t="s">
        <v>39</v>
      </c>
      <c r="G11530" s="15"/>
      <c r="H11530" s="15"/>
      <c r="I11530" s="15"/>
      <c r="J11530" s="17">
        <v>44</v>
      </c>
      <c r="K11530" s="15" t="s">
        <v>1519</v>
      </c>
      <c r="L11530" s="17">
        <v>1</v>
      </c>
      <c r="M11530" s="17">
        <v>4</v>
      </c>
      <c r="N11530" s="17">
        <v>1</v>
      </c>
      <c r="O11530" s="18">
        <v>21547.55</v>
      </c>
      <c r="P11530" s="18">
        <v>17661.93</v>
      </c>
      <c r="Q11530" s="18">
        <v>21547.55</v>
      </c>
      <c r="R11530" s="18">
        <v>17661.93</v>
      </c>
      <c r="S11530" s="18">
        <v>13359.48</v>
      </c>
      <c r="T11530" s="18">
        <v>10950.39</v>
      </c>
      <c r="U11530" s="16"/>
      <c r="V11530" s="16"/>
      <c r="W11530" s="16" t="s">
        <v>40</v>
      </c>
      <c r="X11530" s="19">
        <v>4.827</v>
      </c>
      <c r="Y11530" s="20">
        <v>6.2853000000000006E-2</v>
      </c>
      <c r="Z11530" s="21">
        <v>4601004015166</v>
      </c>
    </row>
    <row r="11531" spans="1:26" ht="12" customHeight="1" outlineLevel="5" x14ac:dyDescent="0.2">
      <c r="A11531" s="14" t="s">
        <v>21911</v>
      </c>
      <c r="B11531" s="26" t="s">
        <v>21912</v>
      </c>
      <c r="C11531" s="52"/>
      <c r="D11531" s="55">
        <f t="shared" si="180"/>
        <v>0</v>
      </c>
      <c r="E11531" s="63" t="str">
        <f>HYPERLINK("https://www.sds-group.ru/product/girlyanda-svetodiodnaya-zanaves-2h6m-768-led-teplyy-belyy-prozrachnyy-pvh-ip65-effekt-mertsa-235-386/", "Инфо")</f>
        <v>Инфо</v>
      </c>
      <c r="F11531" s="16" t="s">
        <v>39</v>
      </c>
      <c r="G11531" s="15"/>
      <c r="H11531" s="15"/>
      <c r="I11531" s="15"/>
      <c r="J11531" s="17">
        <v>1</v>
      </c>
      <c r="K11531" s="15" t="s">
        <v>1519</v>
      </c>
      <c r="L11531" s="17">
        <v>1</v>
      </c>
      <c r="M11531" s="17">
        <v>6</v>
      </c>
      <c r="N11531" s="17">
        <v>1</v>
      </c>
      <c r="O11531" s="18">
        <v>22712.11</v>
      </c>
      <c r="P11531" s="18">
        <v>18616.48</v>
      </c>
      <c r="Q11531" s="18">
        <v>22712.11</v>
      </c>
      <c r="R11531" s="18">
        <v>18616.48</v>
      </c>
      <c r="S11531" s="18">
        <v>14081.51</v>
      </c>
      <c r="T11531" s="18">
        <v>11542.22</v>
      </c>
      <c r="U11531" s="16"/>
      <c r="V11531" s="16"/>
      <c r="W11531" s="16" t="s">
        <v>40</v>
      </c>
      <c r="X11531" s="19">
        <v>3.7069999999999999</v>
      </c>
      <c r="Y11531" s="20">
        <v>9.4710000000000003E-3</v>
      </c>
      <c r="Z11531" s="21">
        <v>4601004225176</v>
      </c>
    </row>
    <row r="11532" spans="1:26" ht="12" customHeight="1" outlineLevel="5" x14ac:dyDescent="0.2">
      <c r="A11532" s="14" t="s">
        <v>21913</v>
      </c>
      <c r="B11532" s="26" t="s">
        <v>21914</v>
      </c>
      <c r="C11532" s="52"/>
      <c r="D11532" s="55">
        <f t="shared" si="180"/>
        <v>0</v>
      </c>
      <c r="E11532" s="63" t="str">
        <f>HYPERLINK("https://www.sds-group.ru/product/girlyanda-svetodiodnaya-zanaves-2h6m-768-led-teplyy-belyy-chernyy-pvh-ip65-postoyannoe-svech-235-376/", "Инфо")</f>
        <v>Инфо</v>
      </c>
      <c r="F11532" s="16" t="s">
        <v>39</v>
      </c>
      <c r="G11532" s="15"/>
      <c r="H11532" s="15"/>
      <c r="I11532" s="15"/>
      <c r="J11532" s="17">
        <v>14</v>
      </c>
      <c r="K11532" s="15" t="s">
        <v>1519</v>
      </c>
      <c r="L11532" s="17">
        <v>1</v>
      </c>
      <c r="M11532" s="17">
        <v>6</v>
      </c>
      <c r="N11532" s="17">
        <v>1</v>
      </c>
      <c r="O11532" s="18">
        <v>21547.55</v>
      </c>
      <c r="P11532" s="18">
        <v>17661.93</v>
      </c>
      <c r="Q11532" s="18">
        <v>21547.55</v>
      </c>
      <c r="R11532" s="18">
        <v>17661.93</v>
      </c>
      <c r="S11532" s="18">
        <v>13359.48</v>
      </c>
      <c r="T11532" s="18">
        <v>10950.39</v>
      </c>
      <c r="U11532" s="16"/>
      <c r="V11532" s="16"/>
      <c r="W11532" s="16" t="s">
        <v>40</v>
      </c>
      <c r="X11532" s="19">
        <v>4.0430000000000001</v>
      </c>
      <c r="Y11532" s="20">
        <v>1.0382000000000001E-2</v>
      </c>
      <c r="Z11532" s="21">
        <v>4601004225169</v>
      </c>
    </row>
    <row r="11533" spans="1:26" ht="12.95" customHeight="1" outlineLevel="4" x14ac:dyDescent="0.2">
      <c r="A11533" s="76" t="s">
        <v>21915</v>
      </c>
      <c r="B11533" s="76"/>
      <c r="C11533" s="77"/>
      <c r="D11533" s="58"/>
      <c r="E11533" s="68"/>
      <c r="F11533" s="13"/>
      <c r="G11533" s="13"/>
      <c r="H11533" s="13"/>
      <c r="I11533" s="13"/>
      <c r="J11533" s="13"/>
      <c r="K11533" s="13"/>
      <c r="L11533" s="13"/>
      <c r="M11533" s="13"/>
      <c r="N11533" s="13"/>
      <c r="O11533" s="13"/>
      <c r="P11533" s="13"/>
      <c r="Q11533" s="13"/>
      <c r="R11533" s="13"/>
      <c r="S11533" s="13"/>
      <c r="T11533" s="13"/>
      <c r="U11533" s="13"/>
      <c r="V11533" s="13"/>
      <c r="W11533" s="13"/>
      <c r="X11533" s="13"/>
      <c r="Y11533" s="13"/>
      <c r="Z11533" s="13"/>
    </row>
    <row r="11534" spans="1:26" ht="12" customHeight="1" outlineLevel="5" x14ac:dyDescent="0.2">
      <c r="A11534" s="14" t="s">
        <v>21916</v>
      </c>
      <c r="B11534" s="26" t="s">
        <v>21917</v>
      </c>
      <c r="C11534" s="52"/>
      <c r="D11534" s="55">
        <f t="shared" si="180"/>
        <v>0</v>
      </c>
      <c r="E11534" s="63" t="str">
        <f>HYPERLINK("https://www.sds-group.ru/product/girlyanda-svetodiodnaya-zanaves-2h9m-1200-led-teplyy-belyy-prozrachnyy-pvh-ip65-effekt-merts-235-696/", "Инфо")</f>
        <v>Инфо</v>
      </c>
      <c r="F11534" s="16" t="s">
        <v>39</v>
      </c>
      <c r="G11534" s="15"/>
      <c r="H11534" s="15"/>
      <c r="I11534" s="15"/>
      <c r="J11534" s="17">
        <v>7</v>
      </c>
      <c r="K11534" s="15" t="s">
        <v>1519</v>
      </c>
      <c r="L11534" s="17">
        <v>1</v>
      </c>
      <c r="M11534" s="17">
        <v>2</v>
      </c>
      <c r="N11534" s="17">
        <v>1</v>
      </c>
      <c r="O11534" s="18">
        <v>32467.58</v>
      </c>
      <c r="P11534" s="18">
        <v>26612.77</v>
      </c>
      <c r="Q11534" s="18">
        <v>32467.58</v>
      </c>
      <c r="R11534" s="18">
        <v>26612.77</v>
      </c>
      <c r="S11534" s="18">
        <v>20129.900000000001</v>
      </c>
      <c r="T11534" s="18">
        <v>16499.919999999998</v>
      </c>
      <c r="U11534" s="16"/>
      <c r="V11534" s="16"/>
      <c r="W11534" s="16" t="s">
        <v>40</v>
      </c>
      <c r="X11534" s="19">
        <v>5.3109999999999999</v>
      </c>
      <c r="Y11534" s="20">
        <v>1.4900999999999999E-2</v>
      </c>
      <c r="Z11534" s="21">
        <v>4601004302679</v>
      </c>
    </row>
    <row r="11535" spans="1:26" ht="12" customHeight="1" outlineLevel="5" x14ac:dyDescent="0.2">
      <c r="A11535" s="14" t="s">
        <v>21918</v>
      </c>
      <c r="B11535" s="26" t="s">
        <v>21919</v>
      </c>
      <c r="C11535" s="52"/>
      <c r="D11535" s="55">
        <f t="shared" si="180"/>
        <v>0</v>
      </c>
      <c r="E11535" s="63" t="str">
        <f>HYPERLINK("https://www.sds-group.ru/product/girlyanda-svetodiodnaya-zanaves-2h9m-1200-led-belyy-prozrachnyy-pvh-ip65-postoyannoe-svechen-235-195/", "Инфо")</f>
        <v>Инфо</v>
      </c>
      <c r="F11535" s="16" t="s">
        <v>39</v>
      </c>
      <c r="G11535" s="15"/>
      <c r="H11535" s="15"/>
      <c r="I11535" s="15"/>
      <c r="J11535" s="17">
        <v>1</v>
      </c>
      <c r="K11535" s="15" t="s">
        <v>1277</v>
      </c>
      <c r="L11535" s="17">
        <v>1</v>
      </c>
      <c r="M11535" s="17">
        <v>2</v>
      </c>
      <c r="N11535" s="17">
        <v>1</v>
      </c>
      <c r="O11535" s="18">
        <v>30618.79</v>
      </c>
      <c r="P11535" s="18">
        <v>25097.37</v>
      </c>
      <c r="Q11535" s="18">
        <v>30618.79</v>
      </c>
      <c r="R11535" s="18">
        <v>25097.37</v>
      </c>
      <c r="S11535" s="18">
        <v>18983.650000000001</v>
      </c>
      <c r="T11535" s="18">
        <v>15560.37</v>
      </c>
      <c r="U11535" s="16"/>
      <c r="V11535" s="16"/>
      <c r="W11535" s="16" t="s">
        <v>40</v>
      </c>
      <c r="X11535" s="19">
        <v>5.2290000000000001</v>
      </c>
      <c r="Y11535" s="20">
        <v>1.7687999999999999E-2</v>
      </c>
      <c r="Z11535" s="21">
        <v>4601004015203</v>
      </c>
    </row>
    <row r="11536" spans="1:26" ht="12" customHeight="1" outlineLevel="5" x14ac:dyDescent="0.2">
      <c r="A11536" s="14" t="s">
        <v>21920</v>
      </c>
      <c r="B11536" s="26" t="s">
        <v>21921</v>
      </c>
      <c r="C11536" s="52"/>
      <c r="D11536" s="55">
        <f t="shared" si="180"/>
        <v>0</v>
      </c>
      <c r="E11536" s="63" t="str">
        <f>HYPERLINK("https://www.sds-group.ru/product/girlyanda-zanaves-2h9m-1200-led-belyy-prozrachnyy-pvh-ip65-effekt-mertsaniya-230v-soedinyaet-235-695/", "Инфо")</f>
        <v>Инфо</v>
      </c>
      <c r="F11536" s="16" t="s">
        <v>39</v>
      </c>
      <c r="G11536" s="15"/>
      <c r="H11536" s="15"/>
      <c r="I11536" s="15"/>
      <c r="J11536" s="17">
        <v>9</v>
      </c>
      <c r="K11536" s="15" t="s">
        <v>1277</v>
      </c>
      <c r="L11536" s="17">
        <v>1</v>
      </c>
      <c r="M11536" s="17">
        <v>4</v>
      </c>
      <c r="N11536" s="17">
        <v>1</v>
      </c>
      <c r="O11536" s="18">
        <v>32467.59</v>
      </c>
      <c r="P11536" s="18">
        <v>26612.78</v>
      </c>
      <c r="Q11536" s="18">
        <v>32467.59</v>
      </c>
      <c r="R11536" s="18">
        <v>26612.78</v>
      </c>
      <c r="S11536" s="18">
        <v>20129.91</v>
      </c>
      <c r="T11536" s="18">
        <v>16499.93</v>
      </c>
      <c r="U11536" s="16"/>
      <c r="V11536" s="16"/>
      <c r="W11536" s="16" t="s">
        <v>40</v>
      </c>
      <c r="X11536" s="19">
        <v>4.9279999999999999</v>
      </c>
      <c r="Y11536" s="20">
        <v>1.7757999999999999E-2</v>
      </c>
      <c r="Z11536" s="21">
        <v>4601004337954</v>
      </c>
    </row>
    <row r="11537" spans="1:26" ht="12" customHeight="1" outlineLevel="5" x14ac:dyDescent="0.2">
      <c r="A11537" s="14" t="s">
        <v>21922</v>
      </c>
      <c r="B11537" s="26" t="s">
        <v>21923</v>
      </c>
      <c r="C11537" s="52"/>
      <c r="D11537" s="55">
        <f t="shared" si="180"/>
        <v>0</v>
      </c>
      <c r="E11537" s="63" t="str">
        <f>HYPERLINK("https://www.sds-group.ru/product/girlyanda-svetodiodnaya-zanaves-2h9m-1200-led-teplyy-belyy-prozrachnyy-pvh-ip65-postoyannoe--235-196/", "Инфо")</f>
        <v>Инфо</v>
      </c>
      <c r="F11537" s="16" t="s">
        <v>39</v>
      </c>
      <c r="G11537" s="15"/>
      <c r="H11537" s="15"/>
      <c r="I11537" s="15"/>
      <c r="J11537" s="17">
        <v>22</v>
      </c>
      <c r="K11537" s="15" t="s">
        <v>1519</v>
      </c>
      <c r="L11537" s="17">
        <v>1</v>
      </c>
      <c r="M11537" s="17">
        <v>6</v>
      </c>
      <c r="N11537" s="17">
        <v>1</v>
      </c>
      <c r="O11537" s="18">
        <v>30618.79</v>
      </c>
      <c r="P11537" s="18">
        <v>25097.37</v>
      </c>
      <c r="Q11537" s="18">
        <v>30618.79</v>
      </c>
      <c r="R11537" s="18">
        <v>25097.37</v>
      </c>
      <c r="S11537" s="18">
        <v>18983.650000000001</v>
      </c>
      <c r="T11537" s="18">
        <v>15560.37</v>
      </c>
      <c r="U11537" s="16"/>
      <c r="V11537" s="16"/>
      <c r="W11537" s="16" t="s">
        <v>40</v>
      </c>
      <c r="X11537" s="19">
        <v>5.46</v>
      </c>
      <c r="Y11537" s="20">
        <v>1.2584E-2</v>
      </c>
      <c r="Z11537" s="21">
        <v>4601004015210</v>
      </c>
    </row>
    <row r="11538" spans="1:26" ht="12" customHeight="1" outlineLevel="5" x14ac:dyDescent="0.2">
      <c r="A11538" s="32" t="s">
        <v>21924</v>
      </c>
      <c r="B11538" s="74" t="s">
        <v>21925</v>
      </c>
      <c r="C11538" s="50"/>
      <c r="D11538" s="53">
        <f t="shared" si="180"/>
        <v>0</v>
      </c>
      <c r="E11538" s="60" t="str">
        <f>HYPERLINK("https://www.sds-group.ru/product/girlyanda-svetodiodnaya-zanaves-2h9m-2200-led-krasnyy-chernyy-pvh-ip44-effekt-mertsaniya-220-235-187/", "Инфо")</f>
        <v>Инфо</v>
      </c>
      <c r="F11538" s="34" t="s">
        <v>39</v>
      </c>
      <c r="G11538" s="33"/>
      <c r="H11538" s="33" t="s">
        <v>40</v>
      </c>
      <c r="I11538" s="33"/>
      <c r="J11538" s="34" t="s">
        <v>100</v>
      </c>
      <c r="K11538" s="33"/>
      <c r="L11538" s="35">
        <v>1</v>
      </c>
      <c r="M11538" s="35">
        <v>1</v>
      </c>
      <c r="N11538" s="35">
        <v>1</v>
      </c>
      <c r="O11538" s="36">
        <v>17584.14</v>
      </c>
      <c r="P11538" s="36">
        <v>14413.23</v>
      </c>
      <c r="Q11538" s="36">
        <v>12308.9</v>
      </c>
      <c r="R11538" s="36">
        <v>10089.26</v>
      </c>
      <c r="S11538" s="36">
        <v>10902.17</v>
      </c>
      <c r="T11538" s="36">
        <v>8936.2000000000007</v>
      </c>
      <c r="U11538" s="34"/>
      <c r="V11538" s="34"/>
      <c r="W11538" s="34"/>
      <c r="X11538" s="37">
        <v>12</v>
      </c>
      <c r="Y11538" s="38">
        <v>2.7E-2</v>
      </c>
      <c r="Z11538" s="21">
        <v>2000030961898</v>
      </c>
    </row>
    <row r="11539" spans="1:26" ht="12.95" customHeight="1" outlineLevel="3" x14ac:dyDescent="0.2">
      <c r="A11539" s="76" t="s">
        <v>21926</v>
      </c>
      <c r="B11539" s="76"/>
      <c r="C11539" s="77"/>
      <c r="D11539" s="58"/>
      <c r="E11539" s="68"/>
      <c r="F11539" s="13"/>
      <c r="G11539" s="13"/>
      <c r="H11539" s="13"/>
      <c r="I11539" s="13"/>
      <c r="J11539" s="13"/>
      <c r="K11539" s="13"/>
      <c r="L11539" s="13"/>
      <c r="M11539" s="13"/>
      <c r="N11539" s="13"/>
      <c r="O11539" s="13"/>
      <c r="P11539" s="13"/>
      <c r="Q11539" s="13"/>
      <c r="R11539" s="13"/>
      <c r="S11539" s="13"/>
      <c r="T11539" s="13"/>
      <c r="U11539" s="13"/>
      <c r="V11539" s="13"/>
      <c r="W11539" s="13"/>
      <c r="X11539" s="13"/>
      <c r="Y11539" s="13"/>
      <c r="Z11539" s="13"/>
    </row>
    <row r="11540" spans="1:26" ht="12.95" customHeight="1" outlineLevel="4" x14ac:dyDescent="0.2">
      <c r="A11540" s="76" t="s">
        <v>21927</v>
      </c>
      <c r="B11540" s="76"/>
      <c r="C11540" s="77"/>
      <c r="D11540" s="58"/>
      <c r="E11540" s="68"/>
      <c r="F11540" s="13"/>
      <c r="G11540" s="13"/>
      <c r="H11540" s="13"/>
      <c r="I11540" s="13"/>
      <c r="J11540" s="13"/>
      <c r="K11540" s="13"/>
      <c r="L11540" s="13"/>
      <c r="M11540" s="13"/>
      <c r="N11540" s="13"/>
      <c r="O11540" s="13"/>
      <c r="P11540" s="13"/>
      <c r="Q11540" s="13"/>
      <c r="R11540" s="13"/>
      <c r="S11540" s="13"/>
      <c r="T11540" s="13"/>
      <c r="U11540" s="13"/>
      <c r="V11540" s="13"/>
      <c r="W11540" s="13"/>
      <c r="X11540" s="13"/>
      <c r="Y11540" s="13"/>
      <c r="Z11540" s="13"/>
    </row>
    <row r="11541" spans="1:26" ht="12" customHeight="1" outlineLevel="5" x14ac:dyDescent="0.2">
      <c r="A11541" s="32" t="s">
        <v>21928</v>
      </c>
      <c r="B11541" s="74" t="s">
        <v>21929</v>
      </c>
      <c r="C11541" s="50"/>
      <c r="D11541" s="53">
        <f t="shared" si="180"/>
        <v>0</v>
      </c>
      <c r="E11541" s="60" t="str">
        <f>HYPERLINK("https://www.sds-group.ru/product/girlyanda-svetodiodnaya-zanaves-2h1-5m-360-led-belyy-chernyy-kauchuk-ip67-postoyannoe-sveche-237-125/", "Инфо")</f>
        <v>Инфо</v>
      </c>
      <c r="F11541" s="34" t="s">
        <v>39</v>
      </c>
      <c r="G11541" s="33"/>
      <c r="H11541" s="33" t="s">
        <v>40</v>
      </c>
      <c r="I11541" s="33"/>
      <c r="J11541" s="34" t="s">
        <v>100</v>
      </c>
      <c r="K11541" s="33"/>
      <c r="L11541" s="35">
        <v>1</v>
      </c>
      <c r="M11541" s="35">
        <v>3</v>
      </c>
      <c r="N11541" s="35">
        <v>1</v>
      </c>
      <c r="O11541" s="36">
        <v>6387.94</v>
      </c>
      <c r="P11541" s="36">
        <v>5236.0200000000004</v>
      </c>
      <c r="Q11541" s="36">
        <v>4471.5600000000004</v>
      </c>
      <c r="R11541" s="36">
        <v>3665.21</v>
      </c>
      <c r="S11541" s="36">
        <v>3960.52</v>
      </c>
      <c r="T11541" s="36">
        <v>3246.33</v>
      </c>
      <c r="U11541" s="34"/>
      <c r="V11541" s="34"/>
      <c r="W11541" s="34"/>
      <c r="X11541" s="37">
        <v>3.5329999999999999</v>
      </c>
      <c r="Y11541" s="38">
        <v>1.4033E-2</v>
      </c>
      <c r="Z11541" s="21">
        <v>4601004087606</v>
      </c>
    </row>
    <row r="11542" spans="1:26" ht="12" customHeight="1" outlineLevel="5" x14ac:dyDescent="0.2">
      <c r="A11542" s="32" t="s">
        <v>21930</v>
      </c>
      <c r="B11542" s="74" t="s">
        <v>21931</v>
      </c>
      <c r="C11542" s="50"/>
      <c r="D11542" s="53">
        <f t="shared" si="180"/>
        <v>0</v>
      </c>
      <c r="E11542" s="60" t="str">
        <f>HYPERLINK("https://www.sds-group.ru/product/girlyanda-svetodiodnaya-zanaves-2h1-5m-360-led-zelenyy-chernyy-kauchuk-ip67-postoyannoe-svec-237-124/", "Инфо")</f>
        <v>Инфо</v>
      </c>
      <c r="F11542" s="34" t="s">
        <v>39</v>
      </c>
      <c r="G11542" s="33"/>
      <c r="H11542" s="33" t="s">
        <v>40</v>
      </c>
      <c r="I11542" s="33"/>
      <c r="J11542" s="34" t="s">
        <v>100</v>
      </c>
      <c r="K11542" s="33"/>
      <c r="L11542" s="35">
        <v>1</v>
      </c>
      <c r="M11542" s="35">
        <v>3</v>
      </c>
      <c r="N11542" s="35">
        <v>1</v>
      </c>
      <c r="O11542" s="36">
        <v>6387.94</v>
      </c>
      <c r="P11542" s="36">
        <v>5236.0200000000004</v>
      </c>
      <c r="Q11542" s="36">
        <v>4471.5600000000004</v>
      </c>
      <c r="R11542" s="36">
        <v>3665.21</v>
      </c>
      <c r="S11542" s="36">
        <v>3960.52</v>
      </c>
      <c r="T11542" s="36">
        <v>3246.33</v>
      </c>
      <c r="U11542" s="34"/>
      <c r="V11542" s="34"/>
      <c r="W11542" s="34"/>
      <c r="X11542" s="37">
        <v>3.5</v>
      </c>
      <c r="Y11542" s="38">
        <v>1.4033E-2</v>
      </c>
      <c r="Z11542" s="21">
        <v>4601004087590</v>
      </c>
    </row>
    <row r="11543" spans="1:26" ht="12" customHeight="1" outlineLevel="5" x14ac:dyDescent="0.2">
      <c r="A11543" s="32" t="s">
        <v>21932</v>
      </c>
      <c r="B11543" s="74" t="s">
        <v>21933</v>
      </c>
      <c r="C11543" s="50"/>
      <c r="D11543" s="53">
        <f t="shared" si="180"/>
        <v>0</v>
      </c>
      <c r="E11543" s="60" t="str">
        <f>HYPERLINK("https://www.sds-group.ru/product/girlyanda-svetodiodnaya-zanaves-2h1-5m-360-led-siniy-belyy-kauchuk-ip67-postoyannoe-svecheni-237-113/", "Инфо")</f>
        <v>Инфо</v>
      </c>
      <c r="F11543" s="34" t="s">
        <v>39</v>
      </c>
      <c r="G11543" s="33"/>
      <c r="H11543" s="33" t="s">
        <v>40</v>
      </c>
      <c r="I11543" s="33"/>
      <c r="J11543" s="34" t="s">
        <v>100</v>
      </c>
      <c r="K11543" s="33"/>
      <c r="L11543" s="35">
        <v>1</v>
      </c>
      <c r="M11543" s="35">
        <v>3</v>
      </c>
      <c r="N11543" s="35">
        <v>1</v>
      </c>
      <c r="O11543" s="36">
        <v>6387.94</v>
      </c>
      <c r="P11543" s="36">
        <v>5236.0200000000004</v>
      </c>
      <c r="Q11543" s="36">
        <v>4471.5600000000004</v>
      </c>
      <c r="R11543" s="36">
        <v>3665.21</v>
      </c>
      <c r="S11543" s="36">
        <v>3960.52</v>
      </c>
      <c r="T11543" s="36">
        <v>3246.33</v>
      </c>
      <c r="U11543" s="34"/>
      <c r="V11543" s="34"/>
      <c r="W11543" s="34"/>
      <c r="X11543" s="37">
        <v>3.5329999999999999</v>
      </c>
      <c r="Y11543" s="38">
        <v>1.4033E-2</v>
      </c>
      <c r="Z11543" s="21">
        <v>4601004087521</v>
      </c>
    </row>
    <row r="11544" spans="1:26" ht="12.95" customHeight="1" outlineLevel="4" x14ac:dyDescent="0.2">
      <c r="A11544" s="76" t="s">
        <v>21934</v>
      </c>
      <c r="B11544" s="76"/>
      <c r="C11544" s="77"/>
      <c r="D11544" s="58"/>
      <c r="E11544" s="68"/>
      <c r="F11544" s="13"/>
      <c r="G11544" s="13"/>
      <c r="H11544" s="13"/>
      <c r="I11544" s="13"/>
      <c r="J11544" s="13"/>
      <c r="K11544" s="13"/>
      <c r="L11544" s="13"/>
      <c r="M11544" s="13"/>
      <c r="N11544" s="13"/>
      <c r="O11544" s="13"/>
      <c r="P11544" s="13"/>
      <c r="Q11544" s="13"/>
      <c r="R11544" s="13"/>
      <c r="S11544" s="13"/>
      <c r="T11544" s="13"/>
      <c r="U11544" s="13"/>
      <c r="V11544" s="13"/>
      <c r="W11544" s="13"/>
      <c r="X11544" s="13"/>
      <c r="Y11544" s="13"/>
      <c r="Z11544" s="13"/>
    </row>
    <row r="11545" spans="1:26" ht="12" customHeight="1" outlineLevel="5" x14ac:dyDescent="0.2">
      <c r="A11545" s="32" t="s">
        <v>21935</v>
      </c>
      <c r="B11545" s="74" t="s">
        <v>21936</v>
      </c>
      <c r="C11545" s="50"/>
      <c r="D11545" s="53">
        <f t="shared" si="180"/>
        <v>0</v>
      </c>
      <c r="E11545" s="60" t="str">
        <f>HYPERLINK("https://www.sds-group.ru/product/girlyanda-svetodiodnaya-zanaves-2h3m-760-led-belyy-chernyy-kauchuk-ip67-postoyannoe-svecheni-237-145/", "Инфо")</f>
        <v>Инфо</v>
      </c>
      <c r="F11545" s="34" t="s">
        <v>39</v>
      </c>
      <c r="G11545" s="33"/>
      <c r="H11545" s="33" t="s">
        <v>40</v>
      </c>
      <c r="I11545" s="33"/>
      <c r="J11545" s="34" t="s">
        <v>100</v>
      </c>
      <c r="K11545" s="33"/>
      <c r="L11545" s="35">
        <v>1</v>
      </c>
      <c r="M11545" s="35">
        <v>3</v>
      </c>
      <c r="N11545" s="35">
        <v>1</v>
      </c>
      <c r="O11545" s="36">
        <v>20877.990000000002</v>
      </c>
      <c r="P11545" s="36">
        <v>17113.11</v>
      </c>
      <c r="Q11545" s="36">
        <v>14614.59</v>
      </c>
      <c r="R11545" s="36">
        <v>11979.17</v>
      </c>
      <c r="S11545" s="36">
        <v>12944.35</v>
      </c>
      <c r="T11545" s="36">
        <v>10610.12</v>
      </c>
      <c r="U11545" s="34"/>
      <c r="V11545" s="34"/>
      <c r="W11545" s="34"/>
      <c r="X11545" s="37">
        <v>5.65</v>
      </c>
      <c r="Y11545" s="38">
        <v>2.3810000000000001E-2</v>
      </c>
      <c r="Z11545" s="21">
        <v>4601004003668</v>
      </c>
    </row>
    <row r="11546" spans="1:26" ht="12.95" customHeight="1" outlineLevel="4" x14ac:dyDescent="0.2">
      <c r="A11546" s="76" t="s">
        <v>21937</v>
      </c>
      <c r="B11546" s="76"/>
      <c r="C11546" s="77"/>
      <c r="D11546" s="58"/>
      <c r="E11546" s="68"/>
      <c r="F11546" s="13"/>
      <c r="G11546" s="13"/>
      <c r="H11546" s="13"/>
      <c r="I11546" s="13"/>
      <c r="J11546" s="13"/>
      <c r="K11546" s="13"/>
      <c r="L11546" s="13"/>
      <c r="M11546" s="13"/>
      <c r="N11546" s="13"/>
      <c r="O11546" s="13"/>
      <c r="P11546" s="13"/>
      <c r="Q11546" s="13"/>
      <c r="R11546" s="13"/>
      <c r="S11546" s="13"/>
      <c r="T11546" s="13"/>
      <c r="U11546" s="13"/>
      <c r="V11546" s="13"/>
      <c r="W11546" s="13"/>
      <c r="X11546" s="13"/>
      <c r="Y11546" s="13"/>
      <c r="Z11546" s="13"/>
    </row>
    <row r="11547" spans="1:26" ht="12" customHeight="1" outlineLevel="5" x14ac:dyDescent="0.2">
      <c r="A11547" s="32" t="s">
        <v>21938</v>
      </c>
      <c r="B11547" s="74" t="s">
        <v>21939</v>
      </c>
      <c r="C11547" s="50"/>
      <c r="D11547" s="53">
        <f t="shared" si="180"/>
        <v>0</v>
      </c>
      <c r="E11547" s="60" t="str">
        <f>HYPERLINK("https://www.sds-group.ru/product/girlyanda-svetodiodnyy-dozhd-2h6m-postoyannoe-svechenie-chernyy-provod-kauchuk-230-v-diody-b-237-165/", "Инфо")</f>
        <v>Инфо</v>
      </c>
      <c r="F11547" s="34" t="s">
        <v>39</v>
      </c>
      <c r="G11547" s="33"/>
      <c r="H11547" s="33" t="s">
        <v>40</v>
      </c>
      <c r="I11547" s="33"/>
      <c r="J11547" s="34" t="s">
        <v>100</v>
      </c>
      <c r="K11547" s="33"/>
      <c r="L11547" s="35">
        <v>1</v>
      </c>
      <c r="M11547" s="35">
        <v>1</v>
      </c>
      <c r="N11547" s="35">
        <v>1</v>
      </c>
      <c r="O11547" s="36">
        <v>18149.95</v>
      </c>
      <c r="P11547" s="36">
        <v>14877.01</v>
      </c>
      <c r="Q11547" s="36">
        <v>12704.97</v>
      </c>
      <c r="R11547" s="36">
        <v>10413.91</v>
      </c>
      <c r="S11547" s="36">
        <v>11252.97</v>
      </c>
      <c r="T11547" s="36">
        <v>9223.75</v>
      </c>
      <c r="U11547" s="34"/>
      <c r="V11547" s="34"/>
      <c r="W11547" s="34"/>
      <c r="X11547" s="37">
        <v>10.5</v>
      </c>
      <c r="Y11547" s="38">
        <v>4.1066999999999999E-2</v>
      </c>
      <c r="Z11547" s="21">
        <v>4601004015180</v>
      </c>
    </row>
    <row r="11548" spans="1:26" ht="12.95" customHeight="1" outlineLevel="3" x14ac:dyDescent="0.2">
      <c r="A11548" s="76" t="s">
        <v>21940</v>
      </c>
      <c r="B11548" s="76"/>
      <c r="C11548" s="77"/>
      <c r="D11548" s="58"/>
      <c r="E11548" s="68"/>
      <c r="F11548" s="13"/>
      <c r="G11548" s="13"/>
      <c r="H11548" s="13"/>
      <c r="I11548" s="13"/>
      <c r="J11548" s="13"/>
      <c r="K11548" s="13"/>
      <c r="L11548" s="13"/>
      <c r="M11548" s="13"/>
      <c r="N11548" s="13"/>
      <c r="O11548" s="13"/>
      <c r="P11548" s="13"/>
      <c r="Q11548" s="13"/>
      <c r="R11548" s="13"/>
      <c r="S11548" s="13"/>
      <c r="T11548" s="13"/>
      <c r="U11548" s="13"/>
      <c r="V11548" s="13"/>
      <c r="W11548" s="13"/>
      <c r="X11548" s="13"/>
      <c r="Y11548" s="13"/>
      <c r="Z11548" s="13"/>
    </row>
    <row r="11549" spans="1:26" ht="12" customHeight="1" outlineLevel="4" x14ac:dyDescent="0.2">
      <c r="A11549" s="32" t="s">
        <v>21941</v>
      </c>
      <c r="B11549" s="74" t="s">
        <v>21942</v>
      </c>
      <c r="C11549" s="50"/>
      <c r="D11549" s="53">
        <f t="shared" si="180"/>
        <v>0</v>
      </c>
      <c r="E11549" s="60" t="str">
        <f>HYPERLINK("https://www.sds-group.ru/product/kontroller-24-v-245-901/", "Инфо")</f>
        <v>Инфо</v>
      </c>
      <c r="F11549" s="34" t="s">
        <v>39</v>
      </c>
      <c r="G11549" s="33"/>
      <c r="H11549" s="33" t="s">
        <v>40</v>
      </c>
      <c r="I11549" s="33"/>
      <c r="J11549" s="35">
        <v>9</v>
      </c>
      <c r="K11549" s="33"/>
      <c r="L11549" s="35">
        <v>1</v>
      </c>
      <c r="M11549" s="35">
        <v>40</v>
      </c>
      <c r="N11549" s="35">
        <v>1</v>
      </c>
      <c r="O11549" s="36">
        <v>2494.1</v>
      </c>
      <c r="P11549" s="36">
        <v>2044.34</v>
      </c>
      <c r="Q11549" s="36">
        <v>1745.87</v>
      </c>
      <c r="R11549" s="36">
        <v>1431.04</v>
      </c>
      <c r="S11549" s="36">
        <v>1496.46</v>
      </c>
      <c r="T11549" s="36">
        <v>1226.6099999999999</v>
      </c>
      <c r="U11549" s="34"/>
      <c r="V11549" s="34"/>
      <c r="W11549" s="34"/>
      <c r="X11549" s="37">
        <v>0.29399999999999998</v>
      </c>
      <c r="Y11549" s="38">
        <v>1.075E-3</v>
      </c>
      <c r="Z11549" s="21">
        <v>4601004016644</v>
      </c>
    </row>
    <row r="11550" spans="1:26" ht="12" customHeight="1" outlineLevel="4" x14ac:dyDescent="0.2">
      <c r="A11550" s="32" t="s">
        <v>21943</v>
      </c>
      <c r="B11550" s="74" t="s">
        <v>21944</v>
      </c>
      <c r="C11550" s="50"/>
      <c r="D11550" s="53">
        <f t="shared" si="180"/>
        <v>0</v>
      </c>
      <c r="E11550" s="60" t="str">
        <f>HYPERLINK("https://www.sds-group.ru/product/transformator-blok-pitaniya-24v-100w-245-911/", "Инфо")</f>
        <v>Инфо</v>
      </c>
      <c r="F11550" s="34" t="s">
        <v>39</v>
      </c>
      <c r="G11550" s="33"/>
      <c r="H11550" s="33" t="s">
        <v>40</v>
      </c>
      <c r="I11550" s="33"/>
      <c r="J11550" s="34" t="s">
        <v>100</v>
      </c>
      <c r="K11550" s="33"/>
      <c r="L11550" s="35">
        <v>1</v>
      </c>
      <c r="M11550" s="35">
        <v>8</v>
      </c>
      <c r="N11550" s="35">
        <v>1</v>
      </c>
      <c r="O11550" s="36">
        <v>11347.58</v>
      </c>
      <c r="P11550" s="36">
        <v>9301.2999999999993</v>
      </c>
      <c r="Q11550" s="36">
        <v>7943.31</v>
      </c>
      <c r="R11550" s="36">
        <v>6510.91</v>
      </c>
      <c r="S11550" s="36">
        <v>6808.55</v>
      </c>
      <c r="T11550" s="36">
        <v>5580.78</v>
      </c>
      <c r="U11550" s="34"/>
      <c r="V11550" s="34"/>
      <c r="W11550" s="34"/>
      <c r="X11550" s="37">
        <v>1.363</v>
      </c>
      <c r="Y11550" s="38">
        <v>3.7320000000000001E-3</v>
      </c>
      <c r="Z11550" s="21">
        <v>4601004016699</v>
      </c>
    </row>
    <row r="11551" spans="1:26" ht="12" customHeight="1" outlineLevel="4" x14ac:dyDescent="0.2">
      <c r="A11551" s="32" t="s">
        <v>21945</v>
      </c>
      <c r="B11551" s="74" t="s">
        <v>21946</v>
      </c>
      <c r="C11551" s="50"/>
      <c r="D11551" s="53">
        <f t="shared" si="180"/>
        <v>0</v>
      </c>
      <c r="E11551" s="60" t="str">
        <f>HYPERLINK("https://www.sds-group.ru/product/girlyanda-led-umnyy-dozhd-3-sektsii-1x3-m-4x3-nitey-30w-24v-8-kanalov-672-belyh-dioda-ip65-245-335/", "Инфо")</f>
        <v>Инфо</v>
      </c>
      <c r="F11551" s="34" t="s">
        <v>39</v>
      </c>
      <c r="G11551" s="33"/>
      <c r="H11551" s="33" t="s">
        <v>40</v>
      </c>
      <c r="I11551" s="33"/>
      <c r="J11551" s="34" t="s">
        <v>100</v>
      </c>
      <c r="K11551" s="33"/>
      <c r="L11551" s="35">
        <v>1</v>
      </c>
      <c r="M11551" s="35">
        <v>3</v>
      </c>
      <c r="N11551" s="35">
        <v>1</v>
      </c>
      <c r="O11551" s="36">
        <v>15472.31</v>
      </c>
      <c r="P11551" s="36">
        <v>12682.22</v>
      </c>
      <c r="Q11551" s="36">
        <v>10830.62</v>
      </c>
      <c r="R11551" s="36">
        <v>8877.56</v>
      </c>
      <c r="S11551" s="36">
        <v>9283.39</v>
      </c>
      <c r="T11551" s="36">
        <v>7609.34</v>
      </c>
      <c r="U11551" s="34"/>
      <c r="V11551" s="34"/>
      <c r="W11551" s="34"/>
      <c r="X11551" s="37">
        <v>4.3540000000000001</v>
      </c>
      <c r="Y11551" s="38">
        <v>1.9726E-2</v>
      </c>
      <c r="Z11551" s="21">
        <v>2000030966022</v>
      </c>
    </row>
    <row r="11552" spans="1:26" ht="12.95" customHeight="1" outlineLevel="2" x14ac:dyDescent="0.2">
      <c r="A11552" s="76" t="s">
        <v>21947</v>
      </c>
      <c r="B11552" s="76"/>
      <c r="C11552" s="77"/>
      <c r="D11552" s="58"/>
      <c r="E11552" s="68"/>
      <c r="F11552" s="13"/>
      <c r="G11552" s="13"/>
      <c r="H11552" s="13"/>
      <c r="I11552" s="13"/>
      <c r="J11552" s="13"/>
      <c r="K11552" s="13"/>
      <c r="L11552" s="13"/>
      <c r="M11552" s="13"/>
      <c r="N11552" s="13"/>
      <c r="O11552" s="13"/>
      <c r="P11552" s="13"/>
      <c r="Q11552" s="13"/>
      <c r="R11552" s="13"/>
      <c r="S11552" s="13"/>
      <c r="T11552" s="13"/>
      <c r="U11552" s="13"/>
      <c r="V11552" s="13"/>
      <c r="W11552" s="13"/>
      <c r="X11552" s="13"/>
      <c r="Y11552" s="13"/>
      <c r="Z11552" s="13"/>
    </row>
    <row r="11553" spans="1:26" ht="12.95" customHeight="1" outlineLevel="3" x14ac:dyDescent="0.2">
      <c r="A11553" s="76" t="s">
        <v>21948</v>
      </c>
      <c r="B11553" s="76"/>
      <c r="C11553" s="77"/>
      <c r="D11553" s="58"/>
      <c r="E11553" s="68"/>
      <c r="F11553" s="13"/>
      <c r="G11553" s="13"/>
      <c r="H11553" s="13"/>
      <c r="I11553" s="13"/>
      <c r="J11553" s="13"/>
      <c r="K11553" s="13"/>
      <c r="L11553" s="13"/>
      <c r="M11553" s="13"/>
      <c r="N11553" s="13"/>
      <c r="O11553" s="13"/>
      <c r="P11553" s="13"/>
      <c r="Q11553" s="13"/>
      <c r="R11553" s="13"/>
      <c r="S11553" s="13"/>
      <c r="T11553" s="13"/>
      <c r="U11553" s="13"/>
      <c r="V11553" s="13"/>
      <c r="W11553" s="13"/>
      <c r="X11553" s="13"/>
      <c r="Y11553" s="13"/>
      <c r="Z11553" s="13"/>
    </row>
    <row r="11554" spans="1:26" ht="12.95" customHeight="1" outlineLevel="4" x14ac:dyDescent="0.2">
      <c r="A11554" s="76" t="s">
        <v>21949</v>
      </c>
      <c r="B11554" s="76"/>
      <c r="C11554" s="77"/>
      <c r="D11554" s="58"/>
      <c r="E11554" s="68"/>
      <c r="F11554" s="13"/>
      <c r="G11554" s="13"/>
      <c r="H11554" s="13"/>
      <c r="I11554" s="13"/>
      <c r="J11554" s="13"/>
      <c r="K11554" s="13"/>
      <c r="L11554" s="13"/>
      <c r="M11554" s="13"/>
      <c r="N11554" s="13"/>
      <c r="O11554" s="13"/>
      <c r="P11554" s="13"/>
      <c r="Q11554" s="13"/>
      <c r="R11554" s="13"/>
      <c r="S11554" s="13"/>
      <c r="T11554" s="13"/>
      <c r="U11554" s="13"/>
      <c r="V11554" s="13"/>
      <c r="W11554" s="13"/>
      <c r="X11554" s="13"/>
      <c r="Y11554" s="13"/>
      <c r="Z11554" s="13"/>
    </row>
    <row r="11555" spans="1:26" ht="12" customHeight="1" outlineLevel="5" x14ac:dyDescent="0.2">
      <c r="A11555" s="14" t="s">
        <v>21950</v>
      </c>
      <c r="B11555" s="26" t="s">
        <v>21951</v>
      </c>
      <c r="C11555" s="52"/>
      <c r="D11555" s="55">
        <f t="shared" si="180"/>
        <v>0</v>
      </c>
      <c r="E11555" s="63" t="str">
        <f>HYPERLINK("https://www.sds-group.ru/product/girlyanda-svetodiodnaya-bahroma-aysikl-1-8h0-5m-48-led-belyy-belyy-pvh-ip65-postoyannoe-svec-255-025/", "Инфо")</f>
        <v>Инфо</v>
      </c>
      <c r="F11555" s="16" t="s">
        <v>39</v>
      </c>
      <c r="G11555" s="15"/>
      <c r="H11555" s="15"/>
      <c r="I11555" s="15"/>
      <c r="J11555" s="17">
        <v>287</v>
      </c>
      <c r="K11555" s="15"/>
      <c r="L11555" s="17">
        <v>1</v>
      </c>
      <c r="M11555" s="17">
        <v>20</v>
      </c>
      <c r="N11555" s="17">
        <v>1</v>
      </c>
      <c r="O11555" s="18">
        <v>1446.26</v>
      </c>
      <c r="P11555" s="18">
        <v>1185.46</v>
      </c>
      <c r="Q11555" s="18">
        <v>1446.26</v>
      </c>
      <c r="R11555" s="18">
        <v>1185.46</v>
      </c>
      <c r="S11555" s="18">
        <v>896.68</v>
      </c>
      <c r="T11555" s="18">
        <v>734.98</v>
      </c>
      <c r="U11555" s="16"/>
      <c r="V11555" s="16"/>
      <c r="W11555" s="16" t="s">
        <v>40</v>
      </c>
      <c r="X11555" s="19">
        <v>0.38600000000000001</v>
      </c>
      <c r="Y11555" s="20">
        <v>4.1599999999999996E-3</v>
      </c>
      <c r="Z11555" s="21">
        <v>4601004025882</v>
      </c>
    </row>
    <row r="11556" spans="1:26" ht="12" customHeight="1" outlineLevel="5" x14ac:dyDescent="0.2">
      <c r="A11556" s="14" t="s">
        <v>21952</v>
      </c>
      <c r="B11556" s="26" t="s">
        <v>21953</v>
      </c>
      <c r="C11556" s="52"/>
      <c r="D11556" s="55">
        <f t="shared" si="180"/>
        <v>0</v>
      </c>
      <c r="E11556" s="63" t="str">
        <f>HYPERLINK("https://www.sds-group.ru/product/girlyanda-svetodiodnaya-bahroma-aysikl-1-8h0-5m-48-led-siniy-belyy-pvh-ip65-postoyannoe-svec-255-023/", "Инфо")</f>
        <v>Инфо</v>
      </c>
      <c r="F11556" s="16" t="s">
        <v>39</v>
      </c>
      <c r="G11556" s="15"/>
      <c r="H11556" s="15"/>
      <c r="I11556" s="15"/>
      <c r="J11556" s="17">
        <v>44</v>
      </c>
      <c r="K11556" s="15"/>
      <c r="L11556" s="17">
        <v>1</v>
      </c>
      <c r="M11556" s="17">
        <v>30</v>
      </c>
      <c r="N11556" s="17">
        <v>1</v>
      </c>
      <c r="O11556" s="18">
        <v>1446.26</v>
      </c>
      <c r="P11556" s="18">
        <v>1185.46</v>
      </c>
      <c r="Q11556" s="18">
        <v>1446.26</v>
      </c>
      <c r="R11556" s="18">
        <v>1185.46</v>
      </c>
      <c r="S11556" s="18">
        <v>896.68</v>
      </c>
      <c r="T11556" s="18">
        <v>734.98</v>
      </c>
      <c r="U11556" s="16"/>
      <c r="V11556" s="16"/>
      <c r="W11556" s="16" t="s">
        <v>40</v>
      </c>
      <c r="X11556" s="19">
        <v>0.40600000000000003</v>
      </c>
      <c r="Y11556" s="20">
        <v>8.9800000000000004E-4</v>
      </c>
      <c r="Z11556" s="21">
        <v>4601004025875</v>
      </c>
    </row>
    <row r="11557" spans="1:26" ht="12" customHeight="1" outlineLevel="5" x14ac:dyDescent="0.2">
      <c r="A11557" s="32" t="s">
        <v>21954</v>
      </c>
      <c r="B11557" s="74" t="s">
        <v>21955</v>
      </c>
      <c r="C11557" s="50"/>
      <c r="D11557" s="53">
        <f t="shared" si="180"/>
        <v>0</v>
      </c>
      <c r="E11557" s="60" t="str">
        <f>HYPERLINK("https://www.sds-group.ru/product/girlyanda-svetodiodnaya-bahroma-aysikl-1-8h0-5m-48-led-teplyy-belyy-belyy-pvh-ip65-postoyann-255-026/", "Инфо")</f>
        <v>Инфо</v>
      </c>
      <c r="F11557" s="34" t="s">
        <v>39</v>
      </c>
      <c r="G11557" s="33"/>
      <c r="H11557" s="33" t="s">
        <v>40</v>
      </c>
      <c r="I11557" s="33"/>
      <c r="J11557" s="35">
        <v>14</v>
      </c>
      <c r="K11557" s="33"/>
      <c r="L11557" s="35">
        <v>1</v>
      </c>
      <c r="M11557" s="35">
        <v>30</v>
      </c>
      <c r="N11557" s="35">
        <v>1</v>
      </c>
      <c r="O11557" s="36">
        <v>1446.26</v>
      </c>
      <c r="P11557" s="36">
        <v>1185.46</v>
      </c>
      <c r="Q11557" s="36">
        <v>1446.26</v>
      </c>
      <c r="R11557" s="36">
        <v>1185.46</v>
      </c>
      <c r="S11557" s="36">
        <v>896.68</v>
      </c>
      <c r="T11557" s="36">
        <v>734.98</v>
      </c>
      <c r="U11557" s="34"/>
      <c r="V11557" s="34"/>
      <c r="W11557" s="34" t="s">
        <v>40</v>
      </c>
      <c r="X11557" s="37">
        <v>0.39700000000000002</v>
      </c>
      <c r="Y11557" s="38">
        <v>1.178E-3</v>
      </c>
      <c r="Z11557" s="21">
        <v>4601004025899</v>
      </c>
    </row>
    <row r="11558" spans="1:26" ht="12.95" customHeight="1" outlineLevel="4" x14ac:dyDescent="0.2">
      <c r="A11558" s="76" t="s">
        <v>21956</v>
      </c>
      <c r="B11558" s="76"/>
      <c r="C11558" s="77"/>
      <c r="D11558" s="58"/>
      <c r="E11558" s="68"/>
      <c r="F11558" s="13"/>
      <c r="G11558" s="13"/>
      <c r="H11558" s="13"/>
      <c r="I11558" s="13"/>
      <c r="J11558" s="13"/>
      <c r="K11558" s="13"/>
      <c r="L11558" s="13"/>
      <c r="M11558" s="13"/>
      <c r="N11558" s="13"/>
      <c r="O11558" s="13"/>
      <c r="P11558" s="13"/>
      <c r="Q11558" s="13"/>
      <c r="R11558" s="13"/>
      <c r="S11558" s="13"/>
      <c r="T11558" s="13"/>
      <c r="U11558" s="13"/>
      <c r="V11558" s="13"/>
      <c r="W11558" s="13"/>
      <c r="X11558" s="13"/>
      <c r="Y11558" s="13"/>
      <c r="Z11558" s="13"/>
    </row>
    <row r="11559" spans="1:26" ht="12" customHeight="1" outlineLevel="5" x14ac:dyDescent="0.2">
      <c r="A11559" s="14" t="s">
        <v>21957</v>
      </c>
      <c r="B11559" s="26" t="s">
        <v>21958</v>
      </c>
      <c r="C11559" s="52"/>
      <c r="D11559" s="55">
        <f t="shared" si="180"/>
        <v>0</v>
      </c>
      <c r="E11559" s="63" t="str">
        <f>HYPERLINK("https://www.sds-group.ru/product/girlyanda-svetodiodnaya-bahroma-aysikl-2-4h0-6m-76-led-belyy-belyy-pvh-ip65-postoyannoe-sv-255-034-6/", "Инфо")</f>
        <v>Инфо</v>
      </c>
      <c r="F11559" s="16" t="s">
        <v>39</v>
      </c>
      <c r="G11559" s="15"/>
      <c r="H11559" s="15"/>
      <c r="I11559" s="15"/>
      <c r="J11559" s="17">
        <v>256</v>
      </c>
      <c r="K11559" s="15"/>
      <c r="L11559" s="17">
        <v>1</v>
      </c>
      <c r="M11559" s="17">
        <v>20</v>
      </c>
      <c r="N11559" s="17">
        <v>1</v>
      </c>
      <c r="O11559" s="18">
        <v>2150.66</v>
      </c>
      <c r="P11559" s="18">
        <v>1762.84</v>
      </c>
      <c r="Q11559" s="18">
        <v>2150.66</v>
      </c>
      <c r="R11559" s="18">
        <v>1762.84</v>
      </c>
      <c r="S11559" s="18">
        <v>1333.41</v>
      </c>
      <c r="T11559" s="18">
        <v>1092.96</v>
      </c>
      <c r="U11559" s="16"/>
      <c r="V11559" s="16"/>
      <c r="W11559" s="16" t="s">
        <v>40</v>
      </c>
      <c r="X11559" s="19">
        <v>0.53</v>
      </c>
      <c r="Y11559" s="20">
        <v>1.7650000000000001E-3</v>
      </c>
      <c r="Z11559" s="21">
        <v>4601004008892</v>
      </c>
    </row>
    <row r="11560" spans="1:26" ht="12" customHeight="1" outlineLevel="5" x14ac:dyDescent="0.2">
      <c r="A11560" s="32" t="s">
        <v>21959</v>
      </c>
      <c r="B11560" s="74" t="s">
        <v>21960</v>
      </c>
      <c r="C11560" s="50"/>
      <c r="D11560" s="53">
        <f t="shared" si="180"/>
        <v>0</v>
      </c>
      <c r="E11560" s="60" t="str">
        <f>HYPERLINK("https://www.sds-group.ru/product/girlyanda-svetodiodnaya-bahroma-aysikl-2-4h0-6m-76-led-siniy-belyy-pvh-ip65-postoyannoe-sv-255-033-6/", "Инфо")</f>
        <v>Инфо</v>
      </c>
      <c r="F11560" s="34" t="s">
        <v>39</v>
      </c>
      <c r="G11560" s="33"/>
      <c r="H11560" s="33" t="s">
        <v>40</v>
      </c>
      <c r="I11560" s="33"/>
      <c r="J11560" s="35">
        <v>25</v>
      </c>
      <c r="K11560" s="33"/>
      <c r="L11560" s="35">
        <v>1</v>
      </c>
      <c r="M11560" s="35">
        <v>24</v>
      </c>
      <c r="N11560" s="35">
        <v>1</v>
      </c>
      <c r="O11560" s="36">
        <v>2150.66</v>
      </c>
      <c r="P11560" s="36">
        <v>1762.84</v>
      </c>
      <c r="Q11560" s="36">
        <v>1505.46</v>
      </c>
      <c r="R11560" s="36">
        <v>1233.98</v>
      </c>
      <c r="S11560" s="36">
        <v>1333.41</v>
      </c>
      <c r="T11560" s="36">
        <v>1092.96</v>
      </c>
      <c r="U11560" s="34"/>
      <c r="V11560" s="34"/>
      <c r="W11560" s="34"/>
      <c r="X11560" s="37">
        <v>0.51900000000000002</v>
      </c>
      <c r="Y11560" s="38">
        <v>1.653E-3</v>
      </c>
      <c r="Z11560" s="21">
        <v>4601004008885</v>
      </c>
    </row>
    <row r="11561" spans="1:26" ht="12" customHeight="1" outlineLevel="5" x14ac:dyDescent="0.2">
      <c r="A11561" s="32" t="s">
        <v>21961</v>
      </c>
      <c r="B11561" s="74" t="s">
        <v>21962</v>
      </c>
      <c r="C11561" s="50"/>
      <c r="D11561" s="53">
        <f t="shared" si="180"/>
        <v>0</v>
      </c>
      <c r="E11561" s="60" t="str">
        <f>HYPERLINK("https://www.sds-group.ru/product/girlyanda-svetodiodnaya-bahroma-aysikl-2-4h0-6m-76-led-teplyy-belyy-belyy-pvh-ip65-postoya-255-037-6/", "Инфо")</f>
        <v>Инфо</v>
      </c>
      <c r="F11561" s="34" t="s">
        <v>39</v>
      </c>
      <c r="G11561" s="33"/>
      <c r="H11561" s="33" t="s">
        <v>40</v>
      </c>
      <c r="I11561" s="33"/>
      <c r="J11561" s="34" t="s">
        <v>100</v>
      </c>
      <c r="K11561" s="33"/>
      <c r="L11561" s="35">
        <v>1</v>
      </c>
      <c r="M11561" s="35">
        <v>24</v>
      </c>
      <c r="N11561" s="35">
        <v>1</v>
      </c>
      <c r="O11561" s="36">
        <v>2150.66</v>
      </c>
      <c r="P11561" s="36">
        <v>1762.84</v>
      </c>
      <c r="Q11561" s="36">
        <v>1505.46</v>
      </c>
      <c r="R11561" s="36">
        <v>1233.98</v>
      </c>
      <c r="S11561" s="36">
        <v>1333.41</v>
      </c>
      <c r="T11561" s="36">
        <v>1092.96</v>
      </c>
      <c r="U11561" s="34"/>
      <c r="V11561" s="34"/>
      <c r="W11561" s="34"/>
      <c r="X11561" s="37">
        <v>0.52500000000000002</v>
      </c>
      <c r="Y11561" s="38">
        <v>1.642E-3</v>
      </c>
      <c r="Z11561" s="21">
        <v>4601004015937</v>
      </c>
    </row>
    <row r="11562" spans="1:26" ht="12" customHeight="1" outlineLevel="5" x14ac:dyDescent="0.2">
      <c r="A11562" s="32" t="s">
        <v>21963</v>
      </c>
      <c r="B11562" s="74" t="s">
        <v>21964</v>
      </c>
      <c r="C11562" s="50"/>
      <c r="D11562" s="53">
        <f t="shared" si="180"/>
        <v>0</v>
      </c>
      <c r="E11562" s="60" t="str">
        <f>HYPERLINK("https://www.sds-group.ru/product/girlyanda-svetodiodnaya-bahroma-aysikl-2-4h0-6m-88-led-belyy-belyy-pvh-ip65-postoyannoe-svec-255-034/", "Инфо")</f>
        <v>Инфо</v>
      </c>
      <c r="F11562" s="34" t="s">
        <v>39</v>
      </c>
      <c r="G11562" s="33"/>
      <c r="H11562" s="33" t="s">
        <v>40</v>
      </c>
      <c r="I11562" s="33"/>
      <c r="J11562" s="35">
        <v>50</v>
      </c>
      <c r="K11562" s="33"/>
      <c r="L11562" s="35">
        <v>1</v>
      </c>
      <c r="M11562" s="35">
        <v>20</v>
      </c>
      <c r="N11562" s="35">
        <v>1</v>
      </c>
      <c r="O11562" s="36">
        <v>2194.58</v>
      </c>
      <c r="P11562" s="36">
        <v>1798.84</v>
      </c>
      <c r="Q11562" s="36">
        <v>1536.21</v>
      </c>
      <c r="R11562" s="36">
        <v>1259.19</v>
      </c>
      <c r="S11562" s="36">
        <v>1360.64</v>
      </c>
      <c r="T11562" s="36">
        <v>1115.28</v>
      </c>
      <c r="U11562" s="34"/>
      <c r="V11562" s="34"/>
      <c r="W11562" s="34"/>
      <c r="X11562" s="37">
        <v>0.57099999999999995</v>
      </c>
      <c r="Y11562" s="38">
        <v>1.756E-3</v>
      </c>
      <c r="Z11562" s="21">
        <v>4601004001732</v>
      </c>
    </row>
    <row r="11563" spans="1:26" ht="12" customHeight="1" outlineLevel="5" x14ac:dyDescent="0.2">
      <c r="A11563" s="14" t="s">
        <v>21965</v>
      </c>
      <c r="B11563" s="26" t="s">
        <v>21966</v>
      </c>
      <c r="C11563" s="52"/>
      <c r="D11563" s="55">
        <f t="shared" si="180"/>
        <v>0</v>
      </c>
      <c r="E11563" s="63" t="str">
        <f>HYPERLINK("https://www.sds-group.ru/product/girlyanda-svetodiodnaya-bahroma-aysikl-2-4h0-6m-88-led-belyy-belyy-pvh-ip65-effekt-mertsaniy-255-036/", "Инфо")</f>
        <v>Инфо</v>
      </c>
      <c r="F11563" s="16" t="s">
        <v>39</v>
      </c>
      <c r="G11563" s="15"/>
      <c r="H11563" s="15"/>
      <c r="I11563" s="15"/>
      <c r="J11563" s="17">
        <v>482</v>
      </c>
      <c r="K11563" s="15"/>
      <c r="L11563" s="17">
        <v>1</v>
      </c>
      <c r="M11563" s="17">
        <v>20</v>
      </c>
      <c r="N11563" s="17">
        <v>1</v>
      </c>
      <c r="O11563" s="18">
        <v>2332.0300000000002</v>
      </c>
      <c r="P11563" s="18">
        <v>1911.5</v>
      </c>
      <c r="Q11563" s="18">
        <v>2332.0300000000002</v>
      </c>
      <c r="R11563" s="18">
        <v>1911.5</v>
      </c>
      <c r="S11563" s="18">
        <v>1445.86</v>
      </c>
      <c r="T11563" s="18">
        <v>1185.1300000000001</v>
      </c>
      <c r="U11563" s="16"/>
      <c r="V11563" s="16"/>
      <c r="W11563" s="16" t="s">
        <v>40</v>
      </c>
      <c r="X11563" s="19">
        <v>0.56999999999999995</v>
      </c>
      <c r="Y11563" s="20">
        <v>1.735E-3</v>
      </c>
      <c r="Z11563" s="21">
        <v>4601004003736</v>
      </c>
    </row>
    <row r="11564" spans="1:26" ht="12" customHeight="1" outlineLevel="5" x14ac:dyDescent="0.2">
      <c r="A11564" s="32" t="s">
        <v>21967</v>
      </c>
      <c r="B11564" s="74" t="s">
        <v>21968</v>
      </c>
      <c r="C11564" s="50"/>
      <c r="D11564" s="53">
        <f t="shared" si="180"/>
        <v>0</v>
      </c>
      <c r="E11564" s="60" t="str">
        <f>HYPERLINK("https://www.sds-group.ru/product/girlyanda-svetodiodnaya-bahroma-aysikl-2-4h0-6m-88-led-belyy-prozrachnyy-pvh-ip65-postoyanno-255-055/", "Инфо")</f>
        <v>Инфо</v>
      </c>
      <c r="F11564" s="34" t="s">
        <v>39</v>
      </c>
      <c r="G11564" s="33"/>
      <c r="H11564" s="33" t="s">
        <v>40</v>
      </c>
      <c r="I11564" s="33"/>
      <c r="J11564" s="34" t="s">
        <v>100</v>
      </c>
      <c r="K11564" s="33"/>
      <c r="L11564" s="35">
        <v>1</v>
      </c>
      <c r="M11564" s="35">
        <v>20</v>
      </c>
      <c r="N11564" s="35">
        <v>1</v>
      </c>
      <c r="O11564" s="36">
        <v>2194.58</v>
      </c>
      <c r="P11564" s="36">
        <v>1798.84</v>
      </c>
      <c r="Q11564" s="36">
        <v>1536.21</v>
      </c>
      <c r="R11564" s="36">
        <v>1259.19</v>
      </c>
      <c r="S11564" s="36">
        <v>1360.64</v>
      </c>
      <c r="T11564" s="36">
        <v>1115.28</v>
      </c>
      <c r="U11564" s="34"/>
      <c r="V11564" s="34"/>
      <c r="W11564" s="34"/>
      <c r="X11564" s="37">
        <v>0.55000000000000004</v>
      </c>
      <c r="Y11564" s="38">
        <v>1.5759999999999999E-3</v>
      </c>
      <c r="Z11564" s="21">
        <v>4601004083639</v>
      </c>
    </row>
    <row r="11565" spans="1:26" ht="12" customHeight="1" outlineLevel="5" x14ac:dyDescent="0.2">
      <c r="A11565" s="32" t="s">
        <v>21969</v>
      </c>
      <c r="B11565" s="74" t="s">
        <v>21970</v>
      </c>
      <c r="C11565" s="50"/>
      <c r="D11565" s="53">
        <f t="shared" si="180"/>
        <v>0</v>
      </c>
      <c r="E11565" s="60" t="str">
        <f>HYPERLINK("https://www.sds-group.ru/product/girlyanda-svetodiodnaya-bahroma-aysikl-2-4h0-6m-88-led-belyy-chernyy-pvh-ip65-postoyannoe-sv-255-032/", "Инфо")</f>
        <v>Инфо</v>
      </c>
      <c r="F11565" s="34" t="s">
        <v>39</v>
      </c>
      <c r="G11565" s="33"/>
      <c r="H11565" s="33" t="s">
        <v>40</v>
      </c>
      <c r="I11565" s="33"/>
      <c r="J11565" s="35">
        <v>13</v>
      </c>
      <c r="K11565" s="33"/>
      <c r="L11565" s="35">
        <v>1</v>
      </c>
      <c r="M11565" s="35">
        <v>20</v>
      </c>
      <c r="N11565" s="35">
        <v>1</v>
      </c>
      <c r="O11565" s="36">
        <v>2194.58</v>
      </c>
      <c r="P11565" s="36">
        <v>1798.84</v>
      </c>
      <c r="Q11565" s="36">
        <v>1536.21</v>
      </c>
      <c r="R11565" s="36">
        <v>1259.19</v>
      </c>
      <c r="S11565" s="36">
        <v>1360.64</v>
      </c>
      <c r="T11565" s="36">
        <v>1115.28</v>
      </c>
      <c r="U11565" s="34"/>
      <c r="V11565" s="34"/>
      <c r="W11565" s="34"/>
      <c r="X11565" s="37">
        <v>0.56999999999999995</v>
      </c>
      <c r="Y11565" s="38">
        <v>1.7750000000000001E-3</v>
      </c>
      <c r="Z11565" s="21">
        <v>4601004001749</v>
      </c>
    </row>
    <row r="11566" spans="1:26" ht="12" customHeight="1" outlineLevel="5" x14ac:dyDescent="0.2">
      <c r="A11566" s="32" t="s">
        <v>21971</v>
      </c>
      <c r="B11566" s="74" t="s">
        <v>21972</v>
      </c>
      <c r="C11566" s="50"/>
      <c r="D11566" s="53">
        <f t="shared" si="180"/>
        <v>0</v>
      </c>
      <c r="E11566" s="60" t="str">
        <f>HYPERLINK("https://www.sds-group.ru/product/girlyanda-svetodiodnaya-bahroma-aysikl-2-4h0-6m-88-led-zelenyy-prozrachnyy-pvh-ip65-postoyan-255-054/", "Инфо")</f>
        <v>Инфо</v>
      </c>
      <c r="F11566" s="34" t="s">
        <v>39</v>
      </c>
      <c r="G11566" s="33"/>
      <c r="H11566" s="33" t="s">
        <v>40</v>
      </c>
      <c r="I11566" s="33"/>
      <c r="J11566" s="34" t="s">
        <v>100</v>
      </c>
      <c r="K11566" s="33"/>
      <c r="L11566" s="35">
        <v>1</v>
      </c>
      <c r="M11566" s="35">
        <v>10</v>
      </c>
      <c r="N11566" s="35">
        <v>1</v>
      </c>
      <c r="O11566" s="36">
        <v>2070.36</v>
      </c>
      <c r="P11566" s="36">
        <v>1697.02</v>
      </c>
      <c r="Q11566" s="36">
        <v>1449.25</v>
      </c>
      <c r="R11566" s="36">
        <v>1187.9100000000001</v>
      </c>
      <c r="S11566" s="36">
        <v>1283.6199999999999</v>
      </c>
      <c r="T11566" s="36">
        <v>1052.1500000000001</v>
      </c>
      <c r="U11566" s="34"/>
      <c r="V11566" s="34"/>
      <c r="W11566" s="34"/>
      <c r="X11566" s="37">
        <v>0.63</v>
      </c>
      <c r="Y11566" s="38">
        <v>2.2100000000000002E-3</v>
      </c>
      <c r="Z11566" s="21">
        <v>4601004083622</v>
      </c>
    </row>
    <row r="11567" spans="1:26" ht="12" customHeight="1" outlineLevel="5" x14ac:dyDescent="0.2">
      <c r="A11567" s="32" t="s">
        <v>21973</v>
      </c>
      <c r="B11567" s="74" t="s">
        <v>21974</v>
      </c>
      <c r="C11567" s="50"/>
      <c r="D11567" s="53">
        <f t="shared" si="180"/>
        <v>0</v>
      </c>
      <c r="E11567" s="60" t="str">
        <f>HYPERLINK("https://www.sds-group.ru/product/girlyanda-svetodiodnaya-bahroma-aysikl-2-4h0-6m-88-led-siniy-belyy-pvh-ip65-effekt-mertsaniy-255-035/", "Инфо")</f>
        <v>Инфо</v>
      </c>
      <c r="F11567" s="34" t="s">
        <v>39</v>
      </c>
      <c r="G11567" s="33"/>
      <c r="H11567" s="33" t="s">
        <v>40</v>
      </c>
      <c r="I11567" s="33"/>
      <c r="J11567" s="35">
        <v>8</v>
      </c>
      <c r="K11567" s="33"/>
      <c r="L11567" s="35">
        <v>1</v>
      </c>
      <c r="M11567" s="35">
        <v>24</v>
      </c>
      <c r="N11567" s="35">
        <v>1</v>
      </c>
      <c r="O11567" s="36">
        <v>2332.0300000000002</v>
      </c>
      <c r="P11567" s="36">
        <v>1911.5</v>
      </c>
      <c r="Q11567" s="36">
        <v>1632.42</v>
      </c>
      <c r="R11567" s="36">
        <v>1338.05</v>
      </c>
      <c r="S11567" s="36">
        <v>1445.86</v>
      </c>
      <c r="T11567" s="36">
        <v>1185.1300000000001</v>
      </c>
      <c r="U11567" s="34"/>
      <c r="V11567" s="34"/>
      <c r="W11567" s="34"/>
      <c r="X11567" s="37">
        <v>0.57499999999999996</v>
      </c>
      <c r="Y11567" s="38">
        <v>1.7910000000000001E-3</v>
      </c>
      <c r="Z11567" s="21">
        <v>4601004015913</v>
      </c>
    </row>
    <row r="11568" spans="1:26" ht="12" customHeight="1" outlineLevel="5" x14ac:dyDescent="0.2">
      <c r="A11568" s="32" t="s">
        <v>21975</v>
      </c>
      <c r="B11568" s="74" t="s">
        <v>21976</v>
      </c>
      <c r="C11568" s="50"/>
      <c r="D11568" s="53">
        <f t="shared" si="180"/>
        <v>0</v>
      </c>
      <c r="E11568" s="60" t="str">
        <f>HYPERLINK("https://www.sds-group.ru/product/girlyanda-svetodiodnaya-bahroma-aysikl-2-4h0-6m-88-led-teplyy-belyy-belyy-pvh-ip65-postoyann-255-037/", "Инфо")</f>
        <v>Инфо</v>
      </c>
      <c r="F11568" s="34" t="s">
        <v>39</v>
      </c>
      <c r="G11568" s="33"/>
      <c r="H11568" s="33" t="s">
        <v>40</v>
      </c>
      <c r="I11568" s="33"/>
      <c r="J11568" s="35">
        <v>22</v>
      </c>
      <c r="K11568" s="33"/>
      <c r="L11568" s="35">
        <v>1</v>
      </c>
      <c r="M11568" s="35">
        <v>24</v>
      </c>
      <c r="N11568" s="35">
        <v>1</v>
      </c>
      <c r="O11568" s="36">
        <v>2194.58</v>
      </c>
      <c r="P11568" s="36">
        <v>1798.84</v>
      </c>
      <c r="Q11568" s="36">
        <v>1536.21</v>
      </c>
      <c r="R11568" s="36">
        <v>1259.19</v>
      </c>
      <c r="S11568" s="36">
        <v>1360.64</v>
      </c>
      <c r="T11568" s="36">
        <v>1115.28</v>
      </c>
      <c r="U11568" s="34"/>
      <c r="V11568" s="34"/>
      <c r="W11568" s="34"/>
      <c r="X11568" s="37">
        <v>0.56399999999999995</v>
      </c>
      <c r="Y11568" s="38">
        <v>1.7359999999999999E-3</v>
      </c>
      <c r="Z11568" s="21">
        <v>4601004015920</v>
      </c>
    </row>
    <row r="11569" spans="1:26" ht="12" customHeight="1" outlineLevel="5" x14ac:dyDescent="0.2">
      <c r="A11569" s="32" t="s">
        <v>21977</v>
      </c>
      <c r="B11569" s="74" t="s">
        <v>21978</v>
      </c>
      <c r="C11569" s="50"/>
      <c r="D11569" s="53">
        <f t="shared" si="180"/>
        <v>0</v>
      </c>
      <c r="E11569" s="60" t="str">
        <f>HYPERLINK("https://www.sds-group.ru/product/girlyanda-svetodiodnaya-bahroma-aysikl-2-4h0-6m-88-led-teplyy-belyy-prozrachnyy-pvh-ip65-pos-255-056/", "Инфо")</f>
        <v>Инфо</v>
      </c>
      <c r="F11569" s="34" t="s">
        <v>39</v>
      </c>
      <c r="G11569" s="33"/>
      <c r="H11569" s="33" t="s">
        <v>40</v>
      </c>
      <c r="I11569" s="33"/>
      <c r="J11569" s="35">
        <v>29</v>
      </c>
      <c r="K11569" s="33"/>
      <c r="L11569" s="35">
        <v>1</v>
      </c>
      <c r="M11569" s="35">
        <v>20</v>
      </c>
      <c r="N11569" s="35">
        <v>1</v>
      </c>
      <c r="O11569" s="36">
        <v>2194.58</v>
      </c>
      <c r="P11569" s="36">
        <v>1798.84</v>
      </c>
      <c r="Q11569" s="36">
        <v>1536.21</v>
      </c>
      <c r="R11569" s="36">
        <v>1259.19</v>
      </c>
      <c r="S11569" s="36">
        <v>1360.64</v>
      </c>
      <c r="T11569" s="36">
        <v>1115.28</v>
      </c>
      <c r="U11569" s="34"/>
      <c r="V11569" s="34"/>
      <c r="W11569" s="34"/>
      <c r="X11569" s="37">
        <v>0.438</v>
      </c>
      <c r="Y11569" s="38">
        <v>1.5629999999999999E-3</v>
      </c>
      <c r="Z11569" s="21">
        <v>4601004083646</v>
      </c>
    </row>
    <row r="11570" spans="1:26" ht="12" customHeight="1" outlineLevel="5" x14ac:dyDescent="0.2">
      <c r="A11570" s="32" t="s">
        <v>21979</v>
      </c>
      <c r="B11570" s="74" t="s">
        <v>21980</v>
      </c>
      <c r="C11570" s="50"/>
      <c r="D11570" s="53">
        <f t="shared" si="180"/>
        <v>0</v>
      </c>
      <c r="E11570" s="60" t="str">
        <f>HYPERLINK("https://www.sds-group.ru/product/girlyanda-svetodiodnaya-bahroma-aysikl-2-4h0-6m-88-led-teplyy-belyy-chernyy-pvh-ip65-postoya-255-046/", "Инфо")</f>
        <v>Инфо</v>
      </c>
      <c r="F11570" s="34" t="s">
        <v>39</v>
      </c>
      <c r="G11570" s="33"/>
      <c r="H11570" s="33" t="s">
        <v>40</v>
      </c>
      <c r="I11570" s="33"/>
      <c r="J11570" s="35">
        <v>18</v>
      </c>
      <c r="K11570" s="33"/>
      <c r="L11570" s="35">
        <v>1</v>
      </c>
      <c r="M11570" s="35">
        <v>20</v>
      </c>
      <c r="N11570" s="35">
        <v>1</v>
      </c>
      <c r="O11570" s="36">
        <v>2194.58</v>
      </c>
      <c r="P11570" s="36">
        <v>1798.84</v>
      </c>
      <c r="Q11570" s="36">
        <v>1536.21</v>
      </c>
      <c r="R11570" s="36">
        <v>1259.19</v>
      </c>
      <c r="S11570" s="36">
        <v>1360.64</v>
      </c>
      <c r="T11570" s="36">
        <v>1115.28</v>
      </c>
      <c r="U11570" s="34"/>
      <c r="V11570" s="34"/>
      <c r="W11570" s="34"/>
      <c r="X11570" s="37">
        <v>0.46700000000000003</v>
      </c>
      <c r="Y11570" s="38">
        <v>1.3849999999999999E-3</v>
      </c>
      <c r="Z11570" s="21">
        <v>4601004083585</v>
      </c>
    </row>
    <row r="11571" spans="1:26" ht="12.95" customHeight="1" outlineLevel="4" x14ac:dyDescent="0.2">
      <c r="A11571" s="76" t="s">
        <v>21981</v>
      </c>
      <c r="B11571" s="76"/>
      <c r="C11571" s="77"/>
      <c r="D11571" s="58"/>
      <c r="E11571" s="68"/>
      <c r="F11571" s="13"/>
      <c r="G11571" s="13"/>
      <c r="H11571" s="13"/>
      <c r="I11571" s="13"/>
      <c r="J11571" s="13"/>
      <c r="K11571" s="13"/>
      <c r="L11571" s="13"/>
      <c r="M11571" s="13"/>
      <c r="N11571" s="13"/>
      <c r="O11571" s="13"/>
      <c r="P11571" s="13"/>
      <c r="Q11571" s="13"/>
      <c r="R11571" s="13"/>
      <c r="S11571" s="13"/>
      <c r="T11571" s="13"/>
      <c r="U11571" s="13"/>
      <c r="V11571" s="13"/>
      <c r="W11571" s="13"/>
      <c r="X11571" s="13"/>
      <c r="Y11571" s="13"/>
      <c r="Z11571" s="13"/>
    </row>
    <row r="11572" spans="1:26" ht="12" customHeight="1" outlineLevel="5" x14ac:dyDescent="0.2">
      <c r="A11572" s="14" t="s">
        <v>21982</v>
      </c>
      <c r="B11572" s="26" t="s">
        <v>21983</v>
      </c>
      <c r="C11572" s="52"/>
      <c r="D11572" s="55">
        <f t="shared" si="180"/>
        <v>0</v>
      </c>
      <c r="E11572" s="63" t="str">
        <f>HYPERLINK("https://www.sds-group.ru/product/girlyanda-svetodiodnaya-bahroma-aysikl-4-8h0-6m-152-led-belyy-belyy-pvh-ip65-postoyannoe-s-255-137-6/", "Инфо")</f>
        <v>Инфо</v>
      </c>
      <c r="F11572" s="16" t="s">
        <v>39</v>
      </c>
      <c r="G11572" s="15"/>
      <c r="H11572" s="15"/>
      <c r="I11572" s="15"/>
      <c r="J11572" s="17">
        <v>83</v>
      </c>
      <c r="K11572" s="15" t="s">
        <v>1277</v>
      </c>
      <c r="L11572" s="17">
        <v>1</v>
      </c>
      <c r="M11572" s="17">
        <v>20</v>
      </c>
      <c r="N11572" s="17">
        <v>1</v>
      </c>
      <c r="O11572" s="18">
        <v>4301.3</v>
      </c>
      <c r="P11572" s="18">
        <v>3525.66</v>
      </c>
      <c r="Q11572" s="18">
        <v>4301.3</v>
      </c>
      <c r="R11572" s="18">
        <v>3525.66</v>
      </c>
      <c r="S11572" s="18">
        <v>2666.81</v>
      </c>
      <c r="T11572" s="18">
        <v>2185.91</v>
      </c>
      <c r="U11572" s="16"/>
      <c r="V11572" s="16"/>
      <c r="W11572" s="16" t="s">
        <v>40</v>
      </c>
      <c r="X11572" s="19">
        <v>0.86599999999999999</v>
      </c>
      <c r="Y11572" s="20">
        <v>2.5479999999999999E-3</v>
      </c>
      <c r="Z11572" s="21">
        <v>4601004008922</v>
      </c>
    </row>
    <row r="11573" spans="1:26" ht="12" customHeight="1" outlineLevel="5" x14ac:dyDescent="0.2">
      <c r="A11573" s="14" t="s">
        <v>21984</v>
      </c>
      <c r="B11573" s="26" t="s">
        <v>21985</v>
      </c>
      <c r="C11573" s="52"/>
      <c r="D11573" s="55">
        <f t="shared" si="180"/>
        <v>0</v>
      </c>
      <c r="E11573" s="63" t="str">
        <f>HYPERLINK("https://www.sds-group.ru/product/girlyanda-svetodiodnaya-bahroma-aysikl-4-8h0-6m-152-led-siniy-belyy-pvh-ip65-postoyannoe-s-255-136-6/", "Инфо")</f>
        <v>Инфо</v>
      </c>
      <c r="F11573" s="16" t="s">
        <v>39</v>
      </c>
      <c r="G11573" s="15"/>
      <c r="H11573" s="15"/>
      <c r="I11573" s="15"/>
      <c r="J11573" s="17">
        <v>25</v>
      </c>
      <c r="K11573" s="15"/>
      <c r="L11573" s="17">
        <v>1</v>
      </c>
      <c r="M11573" s="17">
        <v>20</v>
      </c>
      <c r="N11573" s="17">
        <v>1</v>
      </c>
      <c r="O11573" s="18">
        <v>4301.3</v>
      </c>
      <c r="P11573" s="18">
        <v>3525.66</v>
      </c>
      <c r="Q11573" s="18">
        <v>4301.3</v>
      </c>
      <c r="R11573" s="18">
        <v>3525.66</v>
      </c>
      <c r="S11573" s="18">
        <v>2666.81</v>
      </c>
      <c r="T11573" s="18">
        <v>2185.91</v>
      </c>
      <c r="U11573" s="16"/>
      <c r="V11573" s="16"/>
      <c r="W11573" s="16" t="s">
        <v>40</v>
      </c>
      <c r="X11573" s="19">
        <v>0.878</v>
      </c>
      <c r="Y11573" s="20">
        <v>2.6419999999999998E-3</v>
      </c>
      <c r="Z11573" s="21">
        <v>4601004008908</v>
      </c>
    </row>
    <row r="11574" spans="1:26" ht="12" customHeight="1" outlineLevel="5" x14ac:dyDescent="0.2">
      <c r="A11574" s="14" t="s">
        <v>21986</v>
      </c>
      <c r="B11574" s="26" t="s">
        <v>21987</v>
      </c>
      <c r="C11574" s="52"/>
      <c r="D11574" s="55">
        <f t="shared" si="180"/>
        <v>0</v>
      </c>
      <c r="E11574" s="63" t="str">
        <f>HYPERLINK("https://www.sds-group.ru/product/girlyanda-svetodiodnaya-bahroma-aysikl-4-8h0-6m-152-led-teplyy-belyy-belyy-pvh-ip65-postoy-255-138-6/", "Инфо")</f>
        <v>Инфо</v>
      </c>
      <c r="F11574" s="16" t="s">
        <v>39</v>
      </c>
      <c r="G11574" s="15"/>
      <c r="H11574" s="15"/>
      <c r="I11574" s="15"/>
      <c r="J11574" s="17">
        <v>99</v>
      </c>
      <c r="K11574" s="15" t="s">
        <v>1519</v>
      </c>
      <c r="L11574" s="17">
        <v>1</v>
      </c>
      <c r="M11574" s="17">
        <v>20</v>
      </c>
      <c r="N11574" s="17">
        <v>1</v>
      </c>
      <c r="O11574" s="18">
        <v>4301.3</v>
      </c>
      <c r="P11574" s="18">
        <v>3525.66</v>
      </c>
      <c r="Q11574" s="18">
        <v>4301.3</v>
      </c>
      <c r="R11574" s="18">
        <v>3525.66</v>
      </c>
      <c r="S11574" s="18">
        <v>2666.81</v>
      </c>
      <c r="T11574" s="18">
        <v>2185.91</v>
      </c>
      <c r="U11574" s="16"/>
      <c r="V11574" s="16"/>
      <c r="W11574" s="16" t="s">
        <v>40</v>
      </c>
      <c r="X11574" s="19">
        <v>0.89600000000000002</v>
      </c>
      <c r="Y11574" s="20">
        <v>2.7009999999999998E-3</v>
      </c>
      <c r="Z11574" s="21">
        <v>4601004015982</v>
      </c>
    </row>
    <row r="11575" spans="1:26" ht="12" customHeight="1" outlineLevel="5" x14ac:dyDescent="0.2">
      <c r="A11575" s="14" t="s">
        <v>21988</v>
      </c>
      <c r="B11575" s="26" t="s">
        <v>21989</v>
      </c>
      <c r="C11575" s="52"/>
      <c r="D11575" s="55">
        <f t="shared" si="180"/>
        <v>0</v>
      </c>
      <c r="E11575" s="63" t="str">
        <f>HYPERLINK("https://www.sds-group.ru/product/girlyanda-svetodiodnaya-bahroma-aysikl-4-8h0-6m-176-led-rgb-prozrachnyy-pvh-ip65-svechenie-s-245-209/", "Инфо")</f>
        <v>Инфо</v>
      </c>
      <c r="F11575" s="16" t="s">
        <v>39</v>
      </c>
      <c r="G11575" s="15"/>
      <c r="H11575" s="15"/>
      <c r="I11575" s="15"/>
      <c r="J11575" s="17">
        <v>10</v>
      </c>
      <c r="K11575" s="15" t="s">
        <v>11098</v>
      </c>
      <c r="L11575" s="17">
        <v>1</v>
      </c>
      <c r="M11575" s="17">
        <v>20</v>
      </c>
      <c r="N11575" s="17">
        <v>1</v>
      </c>
      <c r="O11575" s="18">
        <v>9152.39</v>
      </c>
      <c r="P11575" s="18">
        <v>7501.96</v>
      </c>
      <c r="Q11575" s="18">
        <v>9152.39</v>
      </c>
      <c r="R11575" s="18">
        <v>7501.96</v>
      </c>
      <c r="S11575" s="18">
        <v>5674.48</v>
      </c>
      <c r="T11575" s="18">
        <v>4651.21</v>
      </c>
      <c r="U11575" s="16"/>
      <c r="V11575" s="16"/>
      <c r="W11575" s="16" t="s">
        <v>40</v>
      </c>
      <c r="X11575" s="19">
        <v>0.76500000000000001</v>
      </c>
      <c r="Y11575" s="20">
        <v>2.5690000000000001E-3</v>
      </c>
      <c r="Z11575" s="21">
        <v>4601004090507</v>
      </c>
    </row>
    <row r="11576" spans="1:26" ht="12" customHeight="1" outlineLevel="5" x14ac:dyDescent="0.2">
      <c r="A11576" s="14" t="s">
        <v>21990</v>
      </c>
      <c r="B11576" s="26" t="s">
        <v>21991</v>
      </c>
      <c r="C11576" s="52"/>
      <c r="D11576" s="55">
        <f t="shared" si="180"/>
        <v>0</v>
      </c>
      <c r="E11576" s="63" t="str">
        <f>HYPERLINK("https://www.sds-group.ru/product/girlyanda-svetodiodnaya-bahroma-aysikl-4-8h0-6m-176-led-rgb-chernyy-pvh-ip65-svechenie-s-din-245-208/", "Инфо")</f>
        <v>Инфо</v>
      </c>
      <c r="F11576" s="16" t="s">
        <v>39</v>
      </c>
      <c r="G11576" s="15"/>
      <c r="H11576" s="15"/>
      <c r="I11576" s="15"/>
      <c r="J11576" s="16" t="s">
        <v>100</v>
      </c>
      <c r="K11576" s="15"/>
      <c r="L11576" s="17">
        <v>1</v>
      </c>
      <c r="M11576" s="17">
        <v>20</v>
      </c>
      <c r="N11576" s="17">
        <v>1</v>
      </c>
      <c r="O11576" s="18">
        <v>9152.39</v>
      </c>
      <c r="P11576" s="18">
        <v>7501.96</v>
      </c>
      <c r="Q11576" s="18">
        <v>9152.39</v>
      </c>
      <c r="R11576" s="18">
        <v>7501.96</v>
      </c>
      <c r="S11576" s="18">
        <v>5674.48</v>
      </c>
      <c r="T11576" s="18">
        <v>4651.21</v>
      </c>
      <c r="U11576" s="16"/>
      <c r="V11576" s="16"/>
      <c r="W11576" s="16" t="s">
        <v>40</v>
      </c>
      <c r="X11576" s="19">
        <v>0.871</v>
      </c>
      <c r="Y11576" s="20">
        <v>2.7000000000000001E-3</v>
      </c>
      <c r="Z11576" s="21">
        <v>4601004279353</v>
      </c>
    </row>
    <row r="11577" spans="1:26" ht="12" customHeight="1" outlineLevel="5" x14ac:dyDescent="0.2">
      <c r="A11577" s="14" t="s">
        <v>21992</v>
      </c>
      <c r="B11577" s="26" t="s">
        <v>21993</v>
      </c>
      <c r="C11577" s="52"/>
      <c r="D11577" s="55">
        <f t="shared" si="180"/>
        <v>0</v>
      </c>
      <c r="E11577" s="63" t="str">
        <f>HYPERLINK("https://www.sds-group.ru/product/girlyanda-svetodiodnaya-bahroma-aysikl-4-8h0-6m-176-led-belyy-belyy-pvh-ip65-postoyannoe-sve-255-137/", "Инфо")</f>
        <v>Инфо</v>
      </c>
      <c r="F11577" s="16" t="s">
        <v>39</v>
      </c>
      <c r="G11577" s="15"/>
      <c r="H11577" s="15"/>
      <c r="I11577" s="15"/>
      <c r="J11577" s="17">
        <v>17</v>
      </c>
      <c r="K11577" s="15"/>
      <c r="L11577" s="17">
        <v>1</v>
      </c>
      <c r="M11577" s="17">
        <v>20</v>
      </c>
      <c r="N11577" s="17">
        <v>1</v>
      </c>
      <c r="O11577" s="18">
        <v>4389.16</v>
      </c>
      <c r="P11577" s="18">
        <v>3597.67</v>
      </c>
      <c r="Q11577" s="18">
        <v>4389.16</v>
      </c>
      <c r="R11577" s="18">
        <v>3597.67</v>
      </c>
      <c r="S11577" s="18">
        <v>2721.28</v>
      </c>
      <c r="T11577" s="18">
        <v>2230.56</v>
      </c>
      <c r="U11577" s="16"/>
      <c r="V11577" s="16"/>
      <c r="W11577" s="16" t="s">
        <v>40</v>
      </c>
      <c r="X11577" s="19">
        <v>0.94499999999999995</v>
      </c>
      <c r="Y11577" s="20">
        <v>2.385E-3</v>
      </c>
      <c r="Z11577" s="21">
        <v>4601004003651</v>
      </c>
    </row>
    <row r="11578" spans="1:26" ht="12" customHeight="1" outlineLevel="5" x14ac:dyDescent="0.2">
      <c r="A11578" s="14" t="s">
        <v>21994</v>
      </c>
      <c r="B11578" s="26" t="s">
        <v>21995</v>
      </c>
      <c r="C11578" s="52"/>
      <c r="D11578" s="55">
        <f t="shared" si="180"/>
        <v>0</v>
      </c>
      <c r="E11578" s="63" t="str">
        <f>HYPERLINK("https://www.sds-group.ru/product/girlyanda-svetodiodnaya-bahroma-aysikl-4-8h0-6m-176-led-belyy-belyy-pvh-ip65-effekt-mertsani-255-165/", "Инфо")</f>
        <v>Инфо</v>
      </c>
      <c r="F11578" s="16" t="s">
        <v>39</v>
      </c>
      <c r="G11578" s="15"/>
      <c r="H11578" s="15"/>
      <c r="I11578" s="15"/>
      <c r="J11578" s="16" t="s">
        <v>100</v>
      </c>
      <c r="K11578" s="15" t="s">
        <v>1277</v>
      </c>
      <c r="L11578" s="17">
        <v>1</v>
      </c>
      <c r="M11578" s="17">
        <v>20</v>
      </c>
      <c r="N11578" s="17">
        <v>1</v>
      </c>
      <c r="O11578" s="18">
        <v>4664.0600000000004</v>
      </c>
      <c r="P11578" s="18">
        <v>3823</v>
      </c>
      <c r="Q11578" s="18">
        <v>4664.0600000000004</v>
      </c>
      <c r="R11578" s="18">
        <v>3823</v>
      </c>
      <c r="S11578" s="18">
        <v>2891.72</v>
      </c>
      <c r="T11578" s="18">
        <v>2370.2600000000002</v>
      </c>
      <c r="U11578" s="16"/>
      <c r="V11578" s="16"/>
      <c r="W11578" s="16" t="s">
        <v>40</v>
      </c>
      <c r="X11578" s="19">
        <v>0.93500000000000005</v>
      </c>
      <c r="Y11578" s="20">
        <v>2.4989999999999999E-3</v>
      </c>
      <c r="Z11578" s="21">
        <v>4601004095359</v>
      </c>
    </row>
    <row r="11579" spans="1:26" ht="12" customHeight="1" outlineLevel="5" x14ac:dyDescent="0.2">
      <c r="A11579" s="14" t="s">
        <v>21996</v>
      </c>
      <c r="B11579" s="26" t="s">
        <v>21997</v>
      </c>
      <c r="C11579" s="52"/>
      <c r="D11579" s="55">
        <f t="shared" si="180"/>
        <v>0</v>
      </c>
      <c r="E11579" s="63" t="str">
        <f>HYPERLINK("https://www.sds-group.ru/product/girlyanda-svetodiodnaya-bahroma-aysikl-4-8h0-6m-176-led-belyy-prozrachnyy-pvh-ip65-postoyann-255-145/", "Инфо")</f>
        <v>Инфо</v>
      </c>
      <c r="F11579" s="16" t="s">
        <v>39</v>
      </c>
      <c r="G11579" s="15"/>
      <c r="H11579" s="15"/>
      <c r="I11579" s="15"/>
      <c r="J11579" s="17">
        <v>82</v>
      </c>
      <c r="K11579" s="15"/>
      <c r="L11579" s="17">
        <v>1</v>
      </c>
      <c r="M11579" s="17">
        <v>20</v>
      </c>
      <c r="N11579" s="17">
        <v>1</v>
      </c>
      <c r="O11579" s="18">
        <v>4389.16</v>
      </c>
      <c r="P11579" s="18">
        <v>3597.67</v>
      </c>
      <c r="Q11579" s="18">
        <v>4389.16</v>
      </c>
      <c r="R11579" s="18">
        <v>3597.67</v>
      </c>
      <c r="S11579" s="18">
        <v>2721.28</v>
      </c>
      <c r="T11579" s="18">
        <v>2230.56</v>
      </c>
      <c r="U11579" s="16"/>
      <c r="V11579" s="16"/>
      <c r="W11579" s="16" t="s">
        <v>40</v>
      </c>
      <c r="X11579" s="19">
        <v>0.89300000000000002</v>
      </c>
      <c r="Y11579" s="20">
        <v>2.5149999999999999E-3</v>
      </c>
      <c r="Z11579" s="21">
        <v>4601004003637</v>
      </c>
    </row>
    <row r="11580" spans="1:26" ht="12" customHeight="1" outlineLevel="5" x14ac:dyDescent="0.2">
      <c r="A11580" s="14" t="s">
        <v>21998</v>
      </c>
      <c r="B11580" s="26" t="s">
        <v>21999</v>
      </c>
      <c r="C11580" s="52"/>
      <c r="D11580" s="55">
        <f t="shared" si="180"/>
        <v>0</v>
      </c>
      <c r="E11580" s="63" t="str">
        <f>HYPERLINK("https://www.sds-group.ru/product/girlyanda-svetodiodnaya-bahroma-aysikl-4-8h0-6m-176-led-belyy-prozrachnyy-pvh-ip65-effekt-me-255-185/", "Инфо")</f>
        <v>Инфо</v>
      </c>
      <c r="F11580" s="16" t="s">
        <v>39</v>
      </c>
      <c r="G11580" s="15"/>
      <c r="H11580" s="15"/>
      <c r="I11580" s="15"/>
      <c r="J11580" s="16" t="s">
        <v>100</v>
      </c>
      <c r="K11580" s="15"/>
      <c r="L11580" s="17">
        <v>1</v>
      </c>
      <c r="M11580" s="17">
        <v>30</v>
      </c>
      <c r="N11580" s="17">
        <v>1</v>
      </c>
      <c r="O11580" s="18">
        <v>4664.0600000000004</v>
      </c>
      <c r="P11580" s="18">
        <v>3823</v>
      </c>
      <c r="Q11580" s="18">
        <v>4664.0600000000004</v>
      </c>
      <c r="R11580" s="18">
        <v>3823</v>
      </c>
      <c r="S11580" s="18">
        <v>2891.72</v>
      </c>
      <c r="T11580" s="18">
        <v>2370.2600000000002</v>
      </c>
      <c r="U11580" s="16"/>
      <c r="V11580" s="16"/>
      <c r="W11580" s="16" t="s">
        <v>40</v>
      </c>
      <c r="X11580" s="19">
        <v>0.81299999999999994</v>
      </c>
      <c r="Y11580" s="20">
        <v>2.6069999999999999E-3</v>
      </c>
      <c r="Z11580" s="21">
        <v>4601004303393</v>
      </c>
    </row>
    <row r="11581" spans="1:26" ht="12" customHeight="1" outlineLevel="5" x14ac:dyDescent="0.2">
      <c r="A11581" s="14" t="s">
        <v>22000</v>
      </c>
      <c r="B11581" s="26" t="s">
        <v>22001</v>
      </c>
      <c r="C11581" s="52"/>
      <c r="D11581" s="55">
        <f t="shared" si="180"/>
        <v>0</v>
      </c>
      <c r="E11581" s="63" t="str">
        <f>HYPERLINK("https://www.sds-group.ru/product/girlyanda-svetodiodnaya-bahroma-aysikl-4-8h0-6m-176-led-belyy-chernyy-pvh-ip65-postoyannoe-s-255-135/", "Инфо")</f>
        <v>Инфо</v>
      </c>
      <c r="F11581" s="16" t="s">
        <v>39</v>
      </c>
      <c r="G11581" s="15"/>
      <c r="H11581" s="15"/>
      <c r="I11581" s="15"/>
      <c r="J11581" s="16" t="s">
        <v>100</v>
      </c>
      <c r="K11581" s="15" t="s">
        <v>1277</v>
      </c>
      <c r="L11581" s="17">
        <v>1</v>
      </c>
      <c r="M11581" s="17">
        <v>30</v>
      </c>
      <c r="N11581" s="17">
        <v>1</v>
      </c>
      <c r="O11581" s="18">
        <v>4389.16</v>
      </c>
      <c r="P11581" s="18">
        <v>3597.67</v>
      </c>
      <c r="Q11581" s="18">
        <v>4389.16</v>
      </c>
      <c r="R11581" s="18">
        <v>3597.67</v>
      </c>
      <c r="S11581" s="18">
        <v>2721.28</v>
      </c>
      <c r="T11581" s="18">
        <v>2230.56</v>
      </c>
      <c r="U11581" s="16"/>
      <c r="V11581" s="16"/>
      <c r="W11581" s="16" t="s">
        <v>40</v>
      </c>
      <c r="X11581" s="19">
        <v>0.96499999999999997</v>
      </c>
      <c r="Y11581" s="20">
        <v>2.5669999999999998E-3</v>
      </c>
      <c r="Z11581" s="21">
        <v>4601004003798</v>
      </c>
    </row>
    <row r="11582" spans="1:26" ht="12" customHeight="1" outlineLevel="5" x14ac:dyDescent="0.2">
      <c r="A11582" s="14" t="s">
        <v>22002</v>
      </c>
      <c r="B11582" s="26" t="s">
        <v>22003</v>
      </c>
      <c r="C11582" s="52"/>
      <c r="D11582" s="55">
        <f t="shared" si="180"/>
        <v>0</v>
      </c>
      <c r="E11582" s="63" t="str">
        <f>HYPERLINK("https://www.sds-group.ru/product/girlyanda-svetodiodnaya-bahroma-aysikl-4-8h0-6m-176-led-belyy-chernyy-pvh-ip65-effekt-mertsa-255-175/", "Инфо")</f>
        <v>Инфо</v>
      </c>
      <c r="F11582" s="16" t="s">
        <v>39</v>
      </c>
      <c r="G11582" s="15"/>
      <c r="H11582" s="15"/>
      <c r="I11582" s="15"/>
      <c r="J11582" s="17">
        <v>24</v>
      </c>
      <c r="K11582" s="15" t="s">
        <v>1277</v>
      </c>
      <c r="L11582" s="17">
        <v>1</v>
      </c>
      <c r="M11582" s="17">
        <v>30</v>
      </c>
      <c r="N11582" s="17">
        <v>1</v>
      </c>
      <c r="O11582" s="18">
        <v>4664.0600000000004</v>
      </c>
      <c r="P11582" s="18">
        <v>3823</v>
      </c>
      <c r="Q11582" s="18">
        <v>4664.0600000000004</v>
      </c>
      <c r="R11582" s="18">
        <v>3823</v>
      </c>
      <c r="S11582" s="18">
        <v>2891.72</v>
      </c>
      <c r="T11582" s="18">
        <v>2370.2600000000002</v>
      </c>
      <c r="U11582" s="16"/>
      <c r="V11582" s="16"/>
      <c r="W11582" s="16" t="s">
        <v>40</v>
      </c>
      <c r="X11582" s="19">
        <v>0.94199999999999995</v>
      </c>
      <c r="Y11582" s="20">
        <v>2.4880000000000002E-3</v>
      </c>
      <c r="Z11582" s="21">
        <v>4601004225206</v>
      </c>
    </row>
    <row r="11583" spans="1:26" ht="12" customHeight="1" outlineLevel="5" x14ac:dyDescent="0.2">
      <c r="A11583" s="14" t="s">
        <v>22004</v>
      </c>
      <c r="B11583" s="26" t="s">
        <v>22005</v>
      </c>
      <c r="C11583" s="52"/>
      <c r="D11583" s="55">
        <f t="shared" si="180"/>
        <v>0</v>
      </c>
      <c r="E11583" s="63" t="str">
        <f>HYPERLINK("https://www.sds-group.ru/product/girlyanda-svetodiodnaya-bahroma-aysikl-4-8h0-6m-176-led-zheltyy-belyy-pvh-ip65-effekt-mertsa-255-161/", "Инфо")</f>
        <v>Инфо</v>
      </c>
      <c r="F11583" s="16" t="s">
        <v>39</v>
      </c>
      <c r="G11583" s="15"/>
      <c r="H11583" s="15"/>
      <c r="I11583" s="15"/>
      <c r="J11583" s="17">
        <v>68</v>
      </c>
      <c r="K11583" s="15" t="s">
        <v>1519</v>
      </c>
      <c r="L11583" s="17">
        <v>1</v>
      </c>
      <c r="M11583" s="17">
        <v>30</v>
      </c>
      <c r="N11583" s="17">
        <v>1</v>
      </c>
      <c r="O11583" s="18">
        <v>4664.0600000000004</v>
      </c>
      <c r="P11583" s="18">
        <v>3823</v>
      </c>
      <c r="Q11583" s="18">
        <v>4664.0600000000004</v>
      </c>
      <c r="R11583" s="18">
        <v>3823</v>
      </c>
      <c r="S11583" s="18">
        <v>2891.72</v>
      </c>
      <c r="T11583" s="18">
        <v>2370.2600000000002</v>
      </c>
      <c r="U11583" s="16"/>
      <c r="V11583" s="16"/>
      <c r="W11583" s="16" t="s">
        <v>40</v>
      </c>
      <c r="X11583" s="19">
        <v>0.99199999999999999</v>
      </c>
      <c r="Y11583" s="20">
        <v>2.879E-3</v>
      </c>
      <c r="Z11583" s="21">
        <v>4601004095373</v>
      </c>
    </row>
    <row r="11584" spans="1:26" ht="12" customHeight="1" outlineLevel="5" x14ac:dyDescent="0.2">
      <c r="A11584" s="14" t="s">
        <v>22006</v>
      </c>
      <c r="B11584" s="26" t="s">
        <v>22007</v>
      </c>
      <c r="C11584" s="52"/>
      <c r="D11584" s="55">
        <f t="shared" si="180"/>
        <v>0</v>
      </c>
      <c r="E11584" s="63" t="str">
        <f>HYPERLINK("https://www.sds-group.ru/product/girlyanda-svetodiodnaya-bahroma-aysikl-4-8h0-6m-176-led-zheltyy-prozrachnyy-pvh-ip65-postoya-255-141/", "Инфо")</f>
        <v>Инфо</v>
      </c>
      <c r="F11584" s="16" t="s">
        <v>39</v>
      </c>
      <c r="G11584" s="15"/>
      <c r="H11584" s="15"/>
      <c r="I11584" s="15"/>
      <c r="J11584" s="17">
        <v>20</v>
      </c>
      <c r="K11584" s="15" t="s">
        <v>1519</v>
      </c>
      <c r="L11584" s="17">
        <v>1</v>
      </c>
      <c r="M11584" s="17">
        <v>30</v>
      </c>
      <c r="N11584" s="17">
        <v>1</v>
      </c>
      <c r="O11584" s="18">
        <v>4389.16</v>
      </c>
      <c r="P11584" s="18">
        <v>3597.67</v>
      </c>
      <c r="Q11584" s="18">
        <v>4389.16</v>
      </c>
      <c r="R11584" s="18">
        <v>3597.67</v>
      </c>
      <c r="S11584" s="18">
        <v>2721.28</v>
      </c>
      <c r="T11584" s="18">
        <v>2230.56</v>
      </c>
      <c r="U11584" s="16"/>
      <c r="V11584" s="16"/>
      <c r="W11584" s="16" t="s">
        <v>40</v>
      </c>
      <c r="X11584" s="19">
        <v>0.93600000000000005</v>
      </c>
      <c r="Y11584" s="20">
        <v>2.9009999999999999E-3</v>
      </c>
      <c r="Z11584" s="21">
        <v>4601004015999</v>
      </c>
    </row>
    <row r="11585" spans="1:26" ht="12" customHeight="1" outlineLevel="5" x14ac:dyDescent="0.2">
      <c r="A11585" s="14" t="s">
        <v>22008</v>
      </c>
      <c r="B11585" s="26" t="s">
        <v>22009</v>
      </c>
      <c r="C11585" s="52"/>
      <c r="D11585" s="55">
        <f t="shared" si="180"/>
        <v>0</v>
      </c>
      <c r="E11585" s="63" t="str">
        <f>HYPERLINK("https://www.sds-group.ru/product/girlyanda-svetodiodnaya-bahroma-aysikl-4-8h0-6m-176-led-zheltyy-chernyy-pvh-ip65-postoyannoe-255-131/", "Инфо")</f>
        <v>Инфо</v>
      </c>
      <c r="F11585" s="16" t="s">
        <v>39</v>
      </c>
      <c r="G11585" s="15"/>
      <c r="H11585" s="15"/>
      <c r="I11585" s="15"/>
      <c r="J11585" s="17">
        <v>105</v>
      </c>
      <c r="K11585" s="15" t="s">
        <v>1519</v>
      </c>
      <c r="L11585" s="17">
        <v>1</v>
      </c>
      <c r="M11585" s="17">
        <v>30</v>
      </c>
      <c r="N11585" s="17">
        <v>1</v>
      </c>
      <c r="O11585" s="18">
        <v>4389.16</v>
      </c>
      <c r="P11585" s="18">
        <v>3597.67</v>
      </c>
      <c r="Q11585" s="18">
        <v>4389.16</v>
      </c>
      <c r="R11585" s="18">
        <v>3597.67</v>
      </c>
      <c r="S11585" s="18">
        <v>2721.28</v>
      </c>
      <c r="T11585" s="18">
        <v>2230.56</v>
      </c>
      <c r="U11585" s="16"/>
      <c r="V11585" s="16"/>
      <c r="W11585" s="16" t="s">
        <v>40</v>
      </c>
      <c r="X11585" s="19">
        <v>1.0049999999999999</v>
      </c>
      <c r="Y11585" s="20">
        <v>2.9859999999999999E-3</v>
      </c>
      <c r="Z11585" s="21">
        <v>4601004015951</v>
      </c>
    </row>
    <row r="11586" spans="1:26" ht="12" customHeight="1" outlineLevel="5" x14ac:dyDescent="0.2">
      <c r="A11586" s="14" t="s">
        <v>22010</v>
      </c>
      <c r="B11586" s="26" t="s">
        <v>22011</v>
      </c>
      <c r="C11586" s="52"/>
      <c r="D11586" s="55">
        <f t="shared" si="180"/>
        <v>0</v>
      </c>
      <c r="E11586" s="63" t="str">
        <f>HYPERLINK("https://www.sds-group.ru/product/girlyanda-svetodiodnaya-bahroma-aysikl-4-8h0-6m-176-led-zelenyy-belyy-pvh-ip65-effekt-mertsa-255-164/", "Инфо")</f>
        <v>Инфо</v>
      </c>
      <c r="F11586" s="16" t="s">
        <v>39</v>
      </c>
      <c r="G11586" s="15"/>
      <c r="H11586" s="15"/>
      <c r="I11586" s="15"/>
      <c r="J11586" s="17">
        <v>47</v>
      </c>
      <c r="K11586" s="15"/>
      <c r="L11586" s="17">
        <v>1</v>
      </c>
      <c r="M11586" s="17">
        <v>30</v>
      </c>
      <c r="N11586" s="17">
        <v>1</v>
      </c>
      <c r="O11586" s="18">
        <v>4664.0600000000004</v>
      </c>
      <c r="P11586" s="18">
        <v>3823</v>
      </c>
      <c r="Q11586" s="18">
        <v>4664.0600000000004</v>
      </c>
      <c r="R11586" s="18">
        <v>3823</v>
      </c>
      <c r="S11586" s="18">
        <v>2891.72</v>
      </c>
      <c r="T11586" s="18">
        <v>2370.2600000000002</v>
      </c>
      <c r="U11586" s="16"/>
      <c r="V11586" s="16"/>
      <c r="W11586" s="16" t="s">
        <v>40</v>
      </c>
      <c r="X11586" s="19">
        <v>0.98499999999999999</v>
      </c>
      <c r="Y11586" s="20">
        <v>2.9740000000000001E-3</v>
      </c>
      <c r="Z11586" s="21">
        <v>4601004095342</v>
      </c>
    </row>
    <row r="11587" spans="1:26" ht="12" customHeight="1" outlineLevel="5" x14ac:dyDescent="0.2">
      <c r="A11587" s="32" t="s">
        <v>22012</v>
      </c>
      <c r="B11587" s="74" t="s">
        <v>22013</v>
      </c>
      <c r="C11587" s="50"/>
      <c r="D11587" s="53">
        <f t="shared" si="180"/>
        <v>0</v>
      </c>
      <c r="E11587" s="60" t="str">
        <f>HYPERLINK("https://www.sds-group.ru/product/girlyanda-aysikl-bahroma-svetodiodniy-4-8-h-0-6-m-prozrachniy-provod-230-v-diodi-zelenie-176-led-neon-night-2861/", "Инфо")</f>
        <v>Инфо</v>
      </c>
      <c r="F11587" s="34" t="s">
        <v>39</v>
      </c>
      <c r="G11587" s="33"/>
      <c r="H11587" s="33" t="s">
        <v>40</v>
      </c>
      <c r="I11587" s="33"/>
      <c r="J11587" s="34" t="s">
        <v>100</v>
      </c>
      <c r="K11587" s="33"/>
      <c r="L11587" s="35">
        <v>1</v>
      </c>
      <c r="M11587" s="35">
        <v>10</v>
      </c>
      <c r="N11587" s="35">
        <v>1</v>
      </c>
      <c r="O11587" s="36">
        <v>4140.72</v>
      </c>
      <c r="P11587" s="36">
        <v>3394.03</v>
      </c>
      <c r="Q11587" s="36">
        <v>2898.5</v>
      </c>
      <c r="R11587" s="36">
        <v>2375.8200000000002</v>
      </c>
      <c r="S11587" s="36">
        <v>2567.25</v>
      </c>
      <c r="T11587" s="36">
        <v>2104.3000000000002</v>
      </c>
      <c r="U11587" s="34"/>
      <c r="V11587" s="34"/>
      <c r="W11587" s="34"/>
      <c r="X11587" s="37">
        <v>1.0249999999999999</v>
      </c>
      <c r="Y11587" s="38">
        <v>3.8300000000000001E-3</v>
      </c>
      <c r="Z11587" s="21">
        <v>4601004016026</v>
      </c>
    </row>
    <row r="11588" spans="1:26" ht="12" customHeight="1" outlineLevel="5" x14ac:dyDescent="0.2">
      <c r="A11588" s="14" t="s">
        <v>22014</v>
      </c>
      <c r="B11588" s="26" t="s">
        <v>22015</v>
      </c>
      <c r="C11588" s="52"/>
      <c r="D11588" s="55">
        <f t="shared" si="180"/>
        <v>0</v>
      </c>
      <c r="E11588" s="63" t="str">
        <f>HYPERLINK("https://www.sds-group.ru/product/girlyanda-svetodiodnaya-bahroma-aysikl-4-8h0-6m-176-led-siniy-belyy-pvh-ip65-postoyannoe-sve-255-136/", "Инфо")</f>
        <v>Инфо</v>
      </c>
      <c r="F11588" s="16" t="s">
        <v>39</v>
      </c>
      <c r="G11588" s="15"/>
      <c r="H11588" s="15"/>
      <c r="I11588" s="15"/>
      <c r="J11588" s="17">
        <v>94</v>
      </c>
      <c r="K11588" s="15"/>
      <c r="L11588" s="17">
        <v>1</v>
      </c>
      <c r="M11588" s="17">
        <v>30</v>
      </c>
      <c r="N11588" s="17">
        <v>1</v>
      </c>
      <c r="O11588" s="18">
        <v>4389.16</v>
      </c>
      <c r="P11588" s="18">
        <v>3597.67</v>
      </c>
      <c r="Q11588" s="18">
        <v>4389.16</v>
      </c>
      <c r="R11588" s="18">
        <v>3597.67</v>
      </c>
      <c r="S11588" s="18">
        <v>2721.28</v>
      </c>
      <c r="T11588" s="18">
        <v>2230.56</v>
      </c>
      <c r="U11588" s="16"/>
      <c r="V11588" s="16"/>
      <c r="W11588" s="16" t="s">
        <v>40</v>
      </c>
      <c r="X11588" s="19">
        <v>0.98399999999999999</v>
      </c>
      <c r="Y11588" s="20">
        <v>2.8999999999999998E-3</v>
      </c>
      <c r="Z11588" s="21">
        <v>4601004003705</v>
      </c>
    </row>
    <row r="11589" spans="1:26" ht="12" customHeight="1" outlineLevel="5" x14ac:dyDescent="0.2">
      <c r="A11589" s="14" t="s">
        <v>22016</v>
      </c>
      <c r="B11589" s="26" t="s">
        <v>22017</v>
      </c>
      <c r="C11589" s="52"/>
      <c r="D11589" s="55">
        <f t="shared" si="180"/>
        <v>0</v>
      </c>
      <c r="E11589" s="63" t="str">
        <f>HYPERLINK("https://www.sds-group.ru/product/girlyanda-svetodiodnaya-bahroma-aysikl-4-8h0-6m-176-led-siniy-belyy-pvh-ip65-effekt-mertsani-255-163/", "Инфо")</f>
        <v>Инфо</v>
      </c>
      <c r="F11589" s="16" t="s">
        <v>39</v>
      </c>
      <c r="G11589" s="15"/>
      <c r="H11589" s="15"/>
      <c r="I11589" s="15"/>
      <c r="J11589" s="17">
        <v>27</v>
      </c>
      <c r="K11589" s="15" t="s">
        <v>1519</v>
      </c>
      <c r="L11589" s="17">
        <v>1</v>
      </c>
      <c r="M11589" s="17">
        <v>30</v>
      </c>
      <c r="N11589" s="17">
        <v>1</v>
      </c>
      <c r="O11589" s="18">
        <v>4664.0600000000004</v>
      </c>
      <c r="P11589" s="18">
        <v>3823</v>
      </c>
      <c r="Q11589" s="18">
        <v>4664.0600000000004</v>
      </c>
      <c r="R11589" s="18">
        <v>3823</v>
      </c>
      <c r="S11589" s="18">
        <v>2891.72</v>
      </c>
      <c r="T11589" s="18">
        <v>2370.2600000000002</v>
      </c>
      <c r="U11589" s="16"/>
      <c r="V11589" s="16"/>
      <c r="W11589" s="16" t="s">
        <v>40</v>
      </c>
      <c r="X11589" s="19">
        <v>0.99099999999999999</v>
      </c>
      <c r="Y11589" s="20">
        <v>2.947E-3</v>
      </c>
      <c r="Z11589" s="21">
        <v>4601004095335</v>
      </c>
    </row>
    <row r="11590" spans="1:26" ht="12" customHeight="1" outlineLevel="5" x14ac:dyDescent="0.2">
      <c r="A11590" s="14" t="s">
        <v>22018</v>
      </c>
      <c r="B11590" s="26" t="s">
        <v>22019</v>
      </c>
      <c r="C11590" s="52"/>
      <c r="D11590" s="55">
        <f t="shared" si="180"/>
        <v>0</v>
      </c>
      <c r="E11590" s="63" t="str">
        <f>HYPERLINK("https://www.sds-group.ru/product/girlyanda-svetodiodnaya-bahroma-aysikl-4-8h0-6m-176-led-siniy-prozrachnyy-pvh-ip65-postoyann-255-143/", "Инфо")</f>
        <v>Инфо</v>
      </c>
      <c r="F11590" s="16" t="s">
        <v>39</v>
      </c>
      <c r="G11590" s="15"/>
      <c r="H11590" s="15"/>
      <c r="I11590" s="15"/>
      <c r="J11590" s="17">
        <v>30</v>
      </c>
      <c r="K11590" s="15" t="s">
        <v>1519</v>
      </c>
      <c r="L11590" s="17">
        <v>1</v>
      </c>
      <c r="M11590" s="17">
        <v>30</v>
      </c>
      <c r="N11590" s="17">
        <v>1</v>
      </c>
      <c r="O11590" s="18">
        <v>4389.16</v>
      </c>
      <c r="P11590" s="18">
        <v>3597.67</v>
      </c>
      <c r="Q11590" s="18">
        <v>4389.16</v>
      </c>
      <c r="R11590" s="18">
        <v>3597.67</v>
      </c>
      <c r="S11590" s="18">
        <v>2721.28</v>
      </c>
      <c r="T11590" s="18">
        <v>2230.56</v>
      </c>
      <c r="U11590" s="16"/>
      <c r="V11590" s="16"/>
      <c r="W11590" s="16" t="s">
        <v>40</v>
      </c>
      <c r="X11590" s="19">
        <v>0.94099999999999995</v>
      </c>
      <c r="Y11590" s="20">
        <v>7.94E-4</v>
      </c>
      <c r="Z11590" s="21">
        <v>4601004016019</v>
      </c>
    </row>
    <row r="11591" spans="1:26" ht="12" customHeight="1" outlineLevel="5" x14ac:dyDescent="0.2">
      <c r="A11591" s="14" t="s">
        <v>22020</v>
      </c>
      <c r="B11591" s="26" t="s">
        <v>22021</v>
      </c>
      <c r="C11591" s="52"/>
      <c r="D11591" s="55">
        <f t="shared" si="180"/>
        <v>0</v>
      </c>
      <c r="E11591" s="63" t="str">
        <f>HYPERLINK("https://www.sds-group.ru/product/girlyanda-svetodiodnaya-bahroma-aysikl-4-8h0-6m-176-led-siniy-chernyy-pvh-ip65-postoyannoe-s-255-133/", "Инфо")</f>
        <v>Инфо</v>
      </c>
      <c r="F11591" s="16" t="s">
        <v>39</v>
      </c>
      <c r="G11591" s="15"/>
      <c r="H11591" s="15"/>
      <c r="I11591" s="15"/>
      <c r="J11591" s="16" t="s">
        <v>100</v>
      </c>
      <c r="K11591" s="15" t="s">
        <v>1519</v>
      </c>
      <c r="L11591" s="17">
        <v>1</v>
      </c>
      <c r="M11591" s="17">
        <v>30</v>
      </c>
      <c r="N11591" s="17">
        <v>1</v>
      </c>
      <c r="O11591" s="18">
        <v>4389.16</v>
      </c>
      <c r="P11591" s="18">
        <v>3597.67</v>
      </c>
      <c r="Q11591" s="18">
        <v>4389.16</v>
      </c>
      <c r="R11591" s="18">
        <v>3597.67</v>
      </c>
      <c r="S11591" s="18">
        <v>2721.28</v>
      </c>
      <c r="T11591" s="18">
        <v>2230.56</v>
      </c>
      <c r="U11591" s="16"/>
      <c r="V11591" s="16"/>
      <c r="W11591" s="16" t="s">
        <v>40</v>
      </c>
      <c r="X11591" s="19">
        <v>1.006</v>
      </c>
      <c r="Y11591" s="20">
        <v>7.2259999999999998E-3</v>
      </c>
      <c r="Z11591" s="21">
        <v>4601004003620</v>
      </c>
    </row>
    <row r="11592" spans="1:26" ht="12" customHeight="1" outlineLevel="5" x14ac:dyDescent="0.2">
      <c r="A11592" s="14" t="s">
        <v>22022</v>
      </c>
      <c r="B11592" s="26" t="s">
        <v>22023</v>
      </c>
      <c r="C11592" s="52"/>
      <c r="D11592" s="55">
        <f t="shared" si="180"/>
        <v>0</v>
      </c>
      <c r="E11592" s="63" t="str">
        <f>HYPERLINK("https://www.sds-group.ru/product/girlyanda-svetodiodnaya-bahroma-aysikl-4-8h0-6m-176-led-siniy-chernyy-pvh-ip65-effekt-mertsa-255-173/", "Инфо")</f>
        <v>Инфо</v>
      </c>
      <c r="F11592" s="16" t="s">
        <v>39</v>
      </c>
      <c r="G11592" s="15"/>
      <c r="H11592" s="15"/>
      <c r="I11592" s="15"/>
      <c r="J11592" s="17">
        <v>2</v>
      </c>
      <c r="K11592" s="15"/>
      <c r="L11592" s="17">
        <v>1</v>
      </c>
      <c r="M11592" s="17">
        <v>30</v>
      </c>
      <c r="N11592" s="17">
        <v>1</v>
      </c>
      <c r="O11592" s="18">
        <v>4664.0600000000004</v>
      </c>
      <c r="P11592" s="18">
        <v>3823</v>
      </c>
      <c r="Q11592" s="18">
        <v>4664.0600000000004</v>
      </c>
      <c r="R11592" s="18">
        <v>3823</v>
      </c>
      <c r="S11592" s="18">
        <v>2891.72</v>
      </c>
      <c r="T11592" s="18">
        <v>2370.2600000000002</v>
      </c>
      <c r="U11592" s="16"/>
      <c r="V11592" s="16"/>
      <c r="W11592" s="16" t="s">
        <v>40</v>
      </c>
      <c r="X11592" s="19">
        <v>0.96499999999999997</v>
      </c>
      <c r="Y11592" s="20">
        <v>4.6629999999999996E-3</v>
      </c>
      <c r="Z11592" s="21">
        <v>4601004279377</v>
      </c>
    </row>
    <row r="11593" spans="1:26" ht="12" customHeight="1" outlineLevel="5" x14ac:dyDescent="0.2">
      <c r="A11593" s="14" t="s">
        <v>22024</v>
      </c>
      <c r="B11593" s="26" t="s">
        <v>22025</v>
      </c>
      <c r="C11593" s="52"/>
      <c r="D11593" s="55">
        <f t="shared" ref="D11593:D11656" si="181">C11593*(O11593-O11593*$G$3)</f>
        <v>0</v>
      </c>
      <c r="E11593" s="63" t="str">
        <f>HYPERLINK("https://www.sds-group.ru/product/girlyanda-svetodiodnaya-bahroma-aysikl-4-8h0-6m-176-led-teplyy-belyy-belyy-pvh-ip65-postoyan-255-138/", "Инфо")</f>
        <v>Инфо</v>
      </c>
      <c r="F11593" s="16" t="s">
        <v>39</v>
      </c>
      <c r="G11593" s="15"/>
      <c r="H11593" s="15"/>
      <c r="I11593" s="15"/>
      <c r="J11593" s="17">
        <v>267</v>
      </c>
      <c r="K11593" s="15"/>
      <c r="L11593" s="17">
        <v>1</v>
      </c>
      <c r="M11593" s="17">
        <v>20</v>
      </c>
      <c r="N11593" s="17">
        <v>1</v>
      </c>
      <c r="O11593" s="18">
        <v>4389.16</v>
      </c>
      <c r="P11593" s="18">
        <v>3597.67</v>
      </c>
      <c r="Q11593" s="18">
        <v>4389.16</v>
      </c>
      <c r="R11593" s="18">
        <v>3597.67</v>
      </c>
      <c r="S11593" s="18">
        <v>2721.28</v>
      </c>
      <c r="T11593" s="18">
        <v>2230.56</v>
      </c>
      <c r="U11593" s="16"/>
      <c r="V11593" s="16"/>
      <c r="W11593" s="16" t="s">
        <v>40</v>
      </c>
      <c r="X11593" s="19">
        <v>0.873</v>
      </c>
      <c r="Y11593" s="20">
        <v>2.5230000000000001E-3</v>
      </c>
      <c r="Z11593" s="21">
        <v>4601004015975</v>
      </c>
    </row>
    <row r="11594" spans="1:26" ht="12" customHeight="1" outlineLevel="5" x14ac:dyDescent="0.2">
      <c r="A11594" s="14" t="s">
        <v>22026</v>
      </c>
      <c r="B11594" s="26" t="s">
        <v>22027</v>
      </c>
      <c r="C11594" s="52"/>
      <c r="D11594" s="55">
        <f t="shared" si="181"/>
        <v>0</v>
      </c>
      <c r="E11594" s="63" t="str">
        <f>HYPERLINK("https://www.sds-group.ru/product/girlyanda-svetodiodnaya-bahroma-aysikl-4-8h0-6m-176-led-teplyy-belyy-belyy-pvh-ip65-effekt-m-255-166/", "Инфо")</f>
        <v>Инфо</v>
      </c>
      <c r="F11594" s="16" t="s">
        <v>39</v>
      </c>
      <c r="G11594" s="15"/>
      <c r="H11594" s="15"/>
      <c r="I11594" s="15"/>
      <c r="J11594" s="17">
        <v>40</v>
      </c>
      <c r="K11594" s="15" t="s">
        <v>1519</v>
      </c>
      <c r="L11594" s="17">
        <v>1</v>
      </c>
      <c r="M11594" s="17">
        <v>20</v>
      </c>
      <c r="N11594" s="17">
        <v>1</v>
      </c>
      <c r="O11594" s="18">
        <v>4664.0600000000004</v>
      </c>
      <c r="P11594" s="18">
        <v>3823</v>
      </c>
      <c r="Q11594" s="18">
        <v>4664.0600000000004</v>
      </c>
      <c r="R11594" s="18">
        <v>3823</v>
      </c>
      <c r="S11594" s="18">
        <v>2891.72</v>
      </c>
      <c r="T11594" s="18">
        <v>2370.2600000000002</v>
      </c>
      <c r="U11594" s="16"/>
      <c r="V11594" s="16"/>
      <c r="W11594" s="16" t="s">
        <v>40</v>
      </c>
      <c r="X11594" s="19">
        <v>0.98599999999999999</v>
      </c>
      <c r="Y11594" s="20">
        <v>3.032E-3</v>
      </c>
      <c r="Z11594" s="21">
        <v>4601004095366</v>
      </c>
    </row>
    <row r="11595" spans="1:26" ht="12" customHeight="1" outlineLevel="5" x14ac:dyDescent="0.2">
      <c r="A11595" s="14" t="s">
        <v>22028</v>
      </c>
      <c r="B11595" s="26" t="s">
        <v>22029</v>
      </c>
      <c r="C11595" s="52"/>
      <c r="D11595" s="55">
        <f t="shared" si="181"/>
        <v>0</v>
      </c>
      <c r="E11595" s="63" t="str">
        <f>HYPERLINK("https://www.sds-group.ru/product/girlyanda-svetodiodnaya-bahroma-aysikl-4-8h0-6m-176-led-teplyy-belyy-prozrachnyy-pvh-ip65-po-255-146/", "Инфо")</f>
        <v>Инфо</v>
      </c>
      <c r="F11595" s="16" t="s">
        <v>39</v>
      </c>
      <c r="G11595" s="15"/>
      <c r="H11595" s="15"/>
      <c r="I11595" s="15"/>
      <c r="J11595" s="16" t="s">
        <v>100</v>
      </c>
      <c r="K11595" s="15" t="s">
        <v>1519</v>
      </c>
      <c r="L11595" s="17">
        <v>1</v>
      </c>
      <c r="M11595" s="17">
        <v>20</v>
      </c>
      <c r="N11595" s="17">
        <v>1</v>
      </c>
      <c r="O11595" s="18">
        <v>4389.16</v>
      </c>
      <c r="P11595" s="18">
        <v>3597.67</v>
      </c>
      <c r="Q11595" s="18">
        <v>4389.16</v>
      </c>
      <c r="R11595" s="18">
        <v>3597.67</v>
      </c>
      <c r="S11595" s="18">
        <v>2721.28</v>
      </c>
      <c r="T11595" s="18">
        <v>2230.56</v>
      </c>
      <c r="U11595" s="16"/>
      <c r="V11595" s="16"/>
      <c r="W11595" s="16" t="s">
        <v>40</v>
      </c>
      <c r="X11595" s="19">
        <v>0.93799999999999994</v>
      </c>
      <c r="Y11595" s="20">
        <v>2.9250000000000001E-3</v>
      </c>
      <c r="Z11595" s="21">
        <v>4601004016033</v>
      </c>
    </row>
    <row r="11596" spans="1:26" ht="12" customHeight="1" outlineLevel="5" x14ac:dyDescent="0.2">
      <c r="A11596" s="14" t="s">
        <v>22030</v>
      </c>
      <c r="B11596" s="26" t="s">
        <v>22031</v>
      </c>
      <c r="C11596" s="52"/>
      <c r="D11596" s="55">
        <f t="shared" si="181"/>
        <v>0</v>
      </c>
      <c r="E11596" s="63" t="str">
        <f>HYPERLINK("https://www.sds-group.ru/product/girlyanda-svetodiodnaya-bahroma-aysikl-4-8h0-6m-176-led-teplyy-belyy-prozrachnyy-pvh-ip65-ef-255-186/", "Инфо")</f>
        <v>Инфо</v>
      </c>
      <c r="F11596" s="16" t="s">
        <v>39</v>
      </c>
      <c r="G11596" s="15"/>
      <c r="H11596" s="15"/>
      <c r="I11596" s="15"/>
      <c r="J11596" s="17">
        <v>360</v>
      </c>
      <c r="K11596" s="15"/>
      <c r="L11596" s="17">
        <v>1</v>
      </c>
      <c r="M11596" s="17">
        <v>16</v>
      </c>
      <c r="N11596" s="17">
        <v>1</v>
      </c>
      <c r="O11596" s="18">
        <v>4664.0600000000004</v>
      </c>
      <c r="P11596" s="18">
        <v>3823</v>
      </c>
      <c r="Q11596" s="18">
        <v>4664.0600000000004</v>
      </c>
      <c r="R11596" s="18">
        <v>3823</v>
      </c>
      <c r="S11596" s="18">
        <v>2891.72</v>
      </c>
      <c r="T11596" s="18">
        <v>2370.2600000000002</v>
      </c>
      <c r="U11596" s="16"/>
      <c r="V11596" s="16"/>
      <c r="W11596" s="16" t="s">
        <v>40</v>
      </c>
      <c r="X11596" s="19">
        <v>0.82199999999999995</v>
      </c>
      <c r="Y11596" s="20">
        <v>2.617E-3</v>
      </c>
      <c r="Z11596" s="21">
        <v>4601004303379</v>
      </c>
    </row>
    <row r="11597" spans="1:26" ht="12" customHeight="1" outlineLevel="5" x14ac:dyDescent="0.2">
      <c r="A11597" s="14" t="s">
        <v>22032</v>
      </c>
      <c r="B11597" s="26" t="s">
        <v>22033</v>
      </c>
      <c r="C11597" s="52"/>
      <c r="D11597" s="55">
        <f t="shared" si="181"/>
        <v>0</v>
      </c>
      <c r="E11597" s="63" t="str">
        <f>HYPERLINK("https://www.sds-group.ru/product/girlyanda-svetodiodnaya-bahroma-aysikl-4-8h0-6m-176-led-teplyy-belyy-chernyy-pvh-ip65-postoy-255-156/", "Инфо")</f>
        <v>Инфо</v>
      </c>
      <c r="F11597" s="16" t="s">
        <v>39</v>
      </c>
      <c r="G11597" s="15"/>
      <c r="H11597" s="15"/>
      <c r="I11597" s="15"/>
      <c r="J11597" s="17">
        <v>14</v>
      </c>
      <c r="K11597" s="15" t="s">
        <v>1519</v>
      </c>
      <c r="L11597" s="17">
        <v>1</v>
      </c>
      <c r="M11597" s="17">
        <v>20</v>
      </c>
      <c r="N11597" s="17">
        <v>1</v>
      </c>
      <c r="O11597" s="18">
        <v>4389.16</v>
      </c>
      <c r="P11597" s="18">
        <v>3597.67</v>
      </c>
      <c r="Q11597" s="18">
        <v>4389.16</v>
      </c>
      <c r="R11597" s="18">
        <v>3597.67</v>
      </c>
      <c r="S11597" s="18">
        <v>2721.28</v>
      </c>
      <c r="T11597" s="18">
        <v>2230.56</v>
      </c>
      <c r="U11597" s="16"/>
      <c r="V11597" s="16"/>
      <c r="W11597" s="16" t="s">
        <v>40</v>
      </c>
      <c r="X11597" s="19">
        <v>0.99399999999999999</v>
      </c>
      <c r="Y11597" s="20">
        <v>2.9369999999999999E-3</v>
      </c>
      <c r="Z11597" s="21">
        <v>4601004083653</v>
      </c>
    </row>
    <row r="11598" spans="1:26" ht="12" customHeight="1" outlineLevel="5" x14ac:dyDescent="0.2">
      <c r="A11598" s="14" t="s">
        <v>22034</v>
      </c>
      <c r="B11598" s="26" t="s">
        <v>22035</v>
      </c>
      <c r="C11598" s="52"/>
      <c r="D11598" s="55">
        <f t="shared" si="181"/>
        <v>0</v>
      </c>
      <c r="E11598" s="63" t="str">
        <f>HYPERLINK("https://www.sds-group.ru/product/girlyanda-svetodiodnaya-bahroma-aysikl-4-8h0-6m-176-led-teplyy-belyy-chernyy-pvh-ip65-effekt-255-176/", "Инфо")</f>
        <v>Инфо</v>
      </c>
      <c r="F11598" s="16" t="s">
        <v>39</v>
      </c>
      <c r="G11598" s="15"/>
      <c r="H11598" s="15"/>
      <c r="I11598" s="15"/>
      <c r="J11598" s="16" t="s">
        <v>100</v>
      </c>
      <c r="K11598" s="15" t="s">
        <v>1519</v>
      </c>
      <c r="L11598" s="17">
        <v>1</v>
      </c>
      <c r="M11598" s="17">
        <v>20</v>
      </c>
      <c r="N11598" s="17">
        <v>1</v>
      </c>
      <c r="O11598" s="18">
        <v>4664.0600000000004</v>
      </c>
      <c r="P11598" s="18">
        <v>3823</v>
      </c>
      <c r="Q11598" s="18">
        <v>4664.0600000000004</v>
      </c>
      <c r="R11598" s="18">
        <v>3823</v>
      </c>
      <c r="S11598" s="18">
        <v>2891.72</v>
      </c>
      <c r="T11598" s="18">
        <v>2370.2600000000002</v>
      </c>
      <c r="U11598" s="16"/>
      <c r="V11598" s="16"/>
      <c r="W11598" s="16" t="s">
        <v>40</v>
      </c>
      <c r="X11598" s="19">
        <v>0.998</v>
      </c>
      <c r="Y11598" s="20">
        <v>3.0249999999999999E-3</v>
      </c>
      <c r="Z11598" s="21">
        <v>4601004225213</v>
      </c>
    </row>
    <row r="11599" spans="1:26" ht="12.95" customHeight="1" outlineLevel="3" x14ac:dyDescent="0.2">
      <c r="A11599" s="76" t="s">
        <v>22036</v>
      </c>
      <c r="B11599" s="76"/>
      <c r="C11599" s="77"/>
      <c r="D11599" s="58"/>
      <c r="E11599" s="68"/>
      <c r="F11599" s="13"/>
      <c r="G11599" s="13"/>
      <c r="H11599" s="13"/>
      <c r="I11599" s="13"/>
      <c r="J11599" s="13"/>
      <c r="K11599" s="13"/>
      <c r="L11599" s="13"/>
      <c r="M11599" s="13"/>
      <c r="N11599" s="13"/>
      <c r="O11599" s="13"/>
      <c r="P11599" s="13"/>
      <c r="Q11599" s="13"/>
      <c r="R11599" s="13"/>
      <c r="S11599" s="13"/>
      <c r="T11599" s="13"/>
      <c r="U11599" s="13"/>
      <c r="V11599" s="13"/>
      <c r="W11599" s="13"/>
      <c r="X11599" s="13"/>
      <c r="Y11599" s="13"/>
      <c r="Z11599" s="13"/>
    </row>
    <row r="11600" spans="1:26" ht="12.95" customHeight="1" outlineLevel="4" x14ac:dyDescent="0.2">
      <c r="A11600" s="76" t="s">
        <v>22037</v>
      </c>
      <c r="B11600" s="76"/>
      <c r="C11600" s="77"/>
      <c r="D11600" s="58"/>
      <c r="E11600" s="68"/>
      <c r="F11600" s="13"/>
      <c r="G11600" s="13"/>
      <c r="H11600" s="13"/>
      <c r="I11600" s="13"/>
      <c r="J11600" s="13"/>
      <c r="K11600" s="13"/>
      <c r="L11600" s="13"/>
      <c r="M11600" s="13"/>
      <c r="N11600" s="13"/>
      <c r="O11600" s="13"/>
      <c r="P11600" s="13"/>
      <c r="Q11600" s="13"/>
      <c r="R11600" s="13"/>
      <c r="S11600" s="13"/>
      <c r="T11600" s="13"/>
      <c r="U11600" s="13"/>
      <c r="V11600" s="13"/>
      <c r="W11600" s="13"/>
      <c r="X11600" s="13"/>
      <c r="Y11600" s="13"/>
      <c r="Z11600" s="13"/>
    </row>
    <row r="11601" spans="1:26" ht="12" customHeight="1" outlineLevel="5" x14ac:dyDescent="0.2">
      <c r="A11601" s="32" t="s">
        <v>22038</v>
      </c>
      <c r="B11601" s="74" t="s">
        <v>22039</v>
      </c>
      <c r="C11601" s="50"/>
      <c r="D11601" s="53">
        <f t="shared" si="181"/>
        <v>0</v>
      </c>
      <c r="E11601" s="60" t="str">
        <f>HYPERLINK("https://www.sds-group.ru/product/girlyanda-svetodiodnaya-bahroma-aysikl-3-2h0-9m-120-led-teplyy-belyy-belyy-kauchuk-3-3mm-ip6-255-466/", "Инфо")</f>
        <v>Инфо</v>
      </c>
      <c r="F11601" s="34" t="s">
        <v>39</v>
      </c>
      <c r="G11601" s="33"/>
      <c r="H11601" s="33" t="s">
        <v>40</v>
      </c>
      <c r="I11601" s="33"/>
      <c r="J11601" s="35">
        <v>2</v>
      </c>
      <c r="K11601" s="33"/>
      <c r="L11601" s="35">
        <v>1</v>
      </c>
      <c r="M11601" s="35">
        <v>10</v>
      </c>
      <c r="N11601" s="35">
        <v>1</v>
      </c>
      <c r="O11601" s="36">
        <v>5601.99</v>
      </c>
      <c r="P11601" s="36">
        <v>4591.8</v>
      </c>
      <c r="Q11601" s="36">
        <v>3921.39</v>
      </c>
      <c r="R11601" s="36">
        <v>3214.25</v>
      </c>
      <c r="S11601" s="36">
        <v>3473.23</v>
      </c>
      <c r="T11601" s="36">
        <v>2846.91</v>
      </c>
      <c r="U11601" s="34"/>
      <c r="V11601" s="34"/>
      <c r="W11601" s="34"/>
      <c r="X11601" s="37">
        <v>0.97</v>
      </c>
      <c r="Y11601" s="38">
        <v>4.6389999999999999E-3</v>
      </c>
      <c r="Z11601" s="21">
        <v>4601004302662</v>
      </c>
    </row>
    <row r="11602" spans="1:26" ht="12" customHeight="1" outlineLevel="5" x14ac:dyDescent="0.2">
      <c r="A11602" s="32" t="s">
        <v>22040</v>
      </c>
      <c r="B11602" s="74" t="s">
        <v>22041</v>
      </c>
      <c r="C11602" s="50"/>
      <c r="D11602" s="53">
        <f t="shared" si="181"/>
        <v>0</v>
      </c>
      <c r="E11602" s="60" t="str">
        <f>HYPERLINK("https://www.sds-group.ru/product/girlyanda-svetodiodnaya-bahroma-aysikl-3-2h0-9m-120-led-teplyy-belyy-chernyy-kauchuk-3-3mm-i-255-336/", "Инфо")</f>
        <v>Инфо</v>
      </c>
      <c r="F11602" s="34" t="s">
        <v>39</v>
      </c>
      <c r="G11602" s="33"/>
      <c r="H11602" s="33" t="s">
        <v>40</v>
      </c>
      <c r="I11602" s="33"/>
      <c r="J11602" s="35">
        <v>11</v>
      </c>
      <c r="K11602" s="33"/>
      <c r="L11602" s="35">
        <v>1</v>
      </c>
      <c r="M11602" s="35">
        <v>15</v>
      </c>
      <c r="N11602" s="35">
        <v>1</v>
      </c>
      <c r="O11602" s="36">
        <v>5601.99</v>
      </c>
      <c r="P11602" s="36">
        <v>4591.8</v>
      </c>
      <c r="Q11602" s="36">
        <v>3921.39</v>
      </c>
      <c r="R11602" s="36">
        <v>3214.25</v>
      </c>
      <c r="S11602" s="36">
        <v>3473.23</v>
      </c>
      <c r="T11602" s="36">
        <v>2846.91</v>
      </c>
      <c r="U11602" s="34"/>
      <c r="V11602" s="34"/>
      <c r="W11602" s="34"/>
      <c r="X11602" s="37">
        <v>1.167</v>
      </c>
      <c r="Y11602" s="38">
        <v>4.091E-3</v>
      </c>
      <c r="Z11602" s="21">
        <v>4601004225084</v>
      </c>
    </row>
    <row r="11603" spans="1:26" ht="12.95" customHeight="1" outlineLevel="4" x14ac:dyDescent="0.2">
      <c r="A11603" s="76" t="s">
        <v>22042</v>
      </c>
      <c r="B11603" s="76"/>
      <c r="C11603" s="77"/>
      <c r="D11603" s="58"/>
      <c r="E11603" s="68"/>
      <c r="F11603" s="13"/>
      <c r="G11603" s="13"/>
      <c r="H11603" s="13"/>
      <c r="I11603" s="13"/>
      <c r="J11603" s="13"/>
      <c r="K11603" s="13"/>
      <c r="L11603" s="13"/>
      <c r="M11603" s="13"/>
      <c r="N11603" s="13"/>
      <c r="O11603" s="13"/>
      <c r="P11603" s="13"/>
      <c r="Q11603" s="13"/>
      <c r="R11603" s="13"/>
      <c r="S11603" s="13"/>
      <c r="T11603" s="13"/>
      <c r="U11603" s="13"/>
      <c r="V11603" s="13"/>
      <c r="W11603" s="13"/>
      <c r="X11603" s="13"/>
      <c r="Y11603" s="13"/>
      <c r="Z11603" s="13"/>
    </row>
    <row r="11604" spans="1:26" ht="12" customHeight="1" outlineLevel="5" x14ac:dyDescent="0.2">
      <c r="A11604" s="14" t="s">
        <v>22043</v>
      </c>
      <c r="B11604" s="26" t="s">
        <v>22044</v>
      </c>
      <c r="C11604" s="52"/>
      <c r="D11604" s="55">
        <f t="shared" si="181"/>
        <v>0</v>
      </c>
      <c r="E11604" s="63" t="str">
        <f>HYPERLINK("https://www.sds-group.ru/product/girlyanda-svetodiodnaya-bahroma-aysikl-4-0h0-6m-128-led-belyy-belyy-kauchuk-3-3-mm-ip67-post-255-205/", "Инфо")</f>
        <v>Инфо</v>
      </c>
      <c r="F11604" s="16" t="s">
        <v>39</v>
      </c>
      <c r="G11604" s="15"/>
      <c r="H11604" s="15"/>
      <c r="I11604" s="15"/>
      <c r="J11604" s="17">
        <v>49</v>
      </c>
      <c r="K11604" s="15"/>
      <c r="L11604" s="17">
        <v>1</v>
      </c>
      <c r="M11604" s="17">
        <v>20</v>
      </c>
      <c r="N11604" s="17">
        <v>1</v>
      </c>
      <c r="O11604" s="18">
        <v>5605.7</v>
      </c>
      <c r="P11604" s="18">
        <v>4594.84</v>
      </c>
      <c r="Q11604" s="18">
        <v>5605.7</v>
      </c>
      <c r="R11604" s="18">
        <v>4594.84</v>
      </c>
      <c r="S11604" s="18">
        <v>3475.53</v>
      </c>
      <c r="T11604" s="18">
        <v>2848.8</v>
      </c>
      <c r="U11604" s="16"/>
      <c r="V11604" s="16"/>
      <c r="W11604" s="16" t="s">
        <v>40</v>
      </c>
      <c r="X11604" s="19">
        <v>1.0760000000000001</v>
      </c>
      <c r="Y11604" s="20">
        <v>4.1580000000000002E-3</v>
      </c>
      <c r="Z11604" s="21">
        <v>4601004087729</v>
      </c>
    </row>
    <row r="11605" spans="1:26" ht="12" customHeight="1" outlineLevel="5" x14ac:dyDescent="0.2">
      <c r="A11605" s="14" t="s">
        <v>22045</v>
      </c>
      <c r="B11605" s="26" t="s">
        <v>22046</v>
      </c>
      <c r="C11605" s="52"/>
      <c r="D11605" s="55">
        <f t="shared" si="181"/>
        <v>0</v>
      </c>
      <c r="E11605" s="63" t="str">
        <f>HYPERLINK("https://www.sds-group.ru/product/girlyanda-svetodiodnaya-bahroma-aysikl-4-0h0-6m-128-led-belyy-belyy-kauchuk-3-3mm-ip67-effek-255-355/", "Инфо")</f>
        <v>Инфо</v>
      </c>
      <c r="F11605" s="16" t="s">
        <v>39</v>
      </c>
      <c r="G11605" s="15"/>
      <c r="H11605" s="15"/>
      <c r="I11605" s="15"/>
      <c r="J11605" s="17">
        <v>8</v>
      </c>
      <c r="K11605" s="15"/>
      <c r="L11605" s="17">
        <v>1</v>
      </c>
      <c r="M11605" s="17">
        <v>15</v>
      </c>
      <c r="N11605" s="17">
        <v>1</v>
      </c>
      <c r="O11605" s="18">
        <v>5857.96</v>
      </c>
      <c r="P11605" s="18">
        <v>4801.6099999999997</v>
      </c>
      <c r="Q11605" s="18">
        <v>5857.96</v>
      </c>
      <c r="R11605" s="18">
        <v>4801.6099999999997</v>
      </c>
      <c r="S11605" s="18">
        <v>3631.94</v>
      </c>
      <c r="T11605" s="18">
        <v>2977</v>
      </c>
      <c r="U11605" s="16"/>
      <c r="V11605" s="16"/>
      <c r="W11605" s="16" t="s">
        <v>40</v>
      </c>
      <c r="X11605" s="19">
        <v>1.204</v>
      </c>
      <c r="Y11605" s="20">
        <v>4.0020000000000003E-3</v>
      </c>
      <c r="Z11605" s="21">
        <v>4601004225091</v>
      </c>
    </row>
    <row r="11606" spans="1:26" ht="12" customHeight="1" outlineLevel="5" x14ac:dyDescent="0.2">
      <c r="A11606" s="14" t="s">
        <v>22047</v>
      </c>
      <c r="B11606" s="26" t="s">
        <v>22048</v>
      </c>
      <c r="C11606" s="52"/>
      <c r="D11606" s="55">
        <f t="shared" si="181"/>
        <v>0</v>
      </c>
      <c r="E11606" s="63" t="str">
        <f>HYPERLINK("https://www.sds-group.ru/product/girlyanda-svetodiodnaya-bahroma-aysikl-4-0h0-6m-128-led-belyy-chernyy-kauchuk-3-3mm-ip67-pos-255-225/", "Инфо")</f>
        <v>Инфо</v>
      </c>
      <c r="F11606" s="16" t="s">
        <v>39</v>
      </c>
      <c r="G11606" s="15"/>
      <c r="H11606" s="15"/>
      <c r="I11606" s="15"/>
      <c r="J11606" s="17">
        <v>355</v>
      </c>
      <c r="K11606" s="15" t="s">
        <v>6174</v>
      </c>
      <c r="L11606" s="17">
        <v>1</v>
      </c>
      <c r="M11606" s="17">
        <v>15</v>
      </c>
      <c r="N11606" s="17">
        <v>1</v>
      </c>
      <c r="O11606" s="18">
        <v>5605.7</v>
      </c>
      <c r="P11606" s="18">
        <v>4594.84</v>
      </c>
      <c r="Q11606" s="18">
        <v>5605.7</v>
      </c>
      <c r="R11606" s="18">
        <v>4594.84</v>
      </c>
      <c r="S11606" s="18">
        <v>3475.53</v>
      </c>
      <c r="T11606" s="18">
        <v>2848.8</v>
      </c>
      <c r="U11606" s="16"/>
      <c r="V11606" s="16"/>
      <c r="W11606" s="16" t="s">
        <v>40</v>
      </c>
      <c r="X11606" s="19">
        <v>1.252</v>
      </c>
      <c r="Y11606" s="20">
        <v>4.6249999999999998E-3</v>
      </c>
      <c r="Z11606" s="21">
        <v>4601004003712</v>
      </c>
    </row>
    <row r="11607" spans="1:26" ht="12" customHeight="1" outlineLevel="5" x14ac:dyDescent="0.2">
      <c r="A11607" s="14" t="s">
        <v>22049</v>
      </c>
      <c r="B11607" s="26" t="s">
        <v>22050</v>
      </c>
      <c r="C11607" s="52"/>
      <c r="D11607" s="55">
        <f t="shared" si="181"/>
        <v>0</v>
      </c>
      <c r="E11607" s="63" t="str">
        <f>HYPERLINK("https://www.sds-group.ru/product/girlyanda-svetodiodnaya-bahroma-aysikl-4-0h0-6m-128-led-belyy-chernyy-kauchuk-3-3mm-ip67-eff-255-235/", "Инфо")</f>
        <v>Инфо</v>
      </c>
      <c r="F11607" s="16" t="s">
        <v>39</v>
      </c>
      <c r="G11607" s="15"/>
      <c r="H11607" s="15"/>
      <c r="I11607" s="15"/>
      <c r="J11607" s="17">
        <v>59</v>
      </c>
      <c r="K11607" s="15" t="s">
        <v>6174</v>
      </c>
      <c r="L11607" s="17">
        <v>1</v>
      </c>
      <c r="M11607" s="17">
        <v>20</v>
      </c>
      <c r="N11607" s="17">
        <v>1</v>
      </c>
      <c r="O11607" s="18">
        <v>5857.96</v>
      </c>
      <c r="P11607" s="18">
        <v>4801.6099999999997</v>
      </c>
      <c r="Q11607" s="18">
        <v>5857.96</v>
      </c>
      <c r="R11607" s="18">
        <v>4801.6099999999997</v>
      </c>
      <c r="S11607" s="18">
        <v>3631.94</v>
      </c>
      <c r="T11607" s="18">
        <v>2977</v>
      </c>
      <c r="U11607" s="16"/>
      <c r="V11607" s="16"/>
      <c r="W11607" s="16" t="s">
        <v>40</v>
      </c>
      <c r="X11607" s="19">
        <v>1.2110000000000001</v>
      </c>
      <c r="Y11607" s="20">
        <v>4.0169999999999997E-3</v>
      </c>
      <c r="Z11607" s="21">
        <v>4601004089013</v>
      </c>
    </row>
    <row r="11608" spans="1:26" ht="12" customHeight="1" outlineLevel="5" x14ac:dyDescent="0.2">
      <c r="A11608" s="14" t="s">
        <v>22051</v>
      </c>
      <c r="B11608" s="26" t="s">
        <v>22052</v>
      </c>
      <c r="C11608" s="52"/>
      <c r="D11608" s="55">
        <f t="shared" si="181"/>
        <v>0</v>
      </c>
      <c r="E11608" s="63" t="str">
        <f>HYPERLINK("https://www.sds-group.ru/product/girlyanda-svetodiodnaya-bahroma-aysikl-4-0h0-6m-128-led-zheltyy-belyy-kauchuk-2-3mm-ip67-pos-255-201/", "Инфо")</f>
        <v>Инфо</v>
      </c>
      <c r="F11608" s="16" t="s">
        <v>39</v>
      </c>
      <c r="G11608" s="15"/>
      <c r="H11608" s="15"/>
      <c r="I11608" s="15"/>
      <c r="J11608" s="16" t="s">
        <v>100</v>
      </c>
      <c r="K11608" s="15" t="s">
        <v>4013</v>
      </c>
      <c r="L11608" s="17">
        <v>1</v>
      </c>
      <c r="M11608" s="17">
        <v>20</v>
      </c>
      <c r="N11608" s="17">
        <v>1</v>
      </c>
      <c r="O11608" s="18">
        <v>5605.7</v>
      </c>
      <c r="P11608" s="18">
        <v>4594.84</v>
      </c>
      <c r="Q11608" s="18">
        <v>5605.7</v>
      </c>
      <c r="R11608" s="18">
        <v>4594.84</v>
      </c>
      <c r="S11608" s="18">
        <v>3475.53</v>
      </c>
      <c r="T11608" s="18">
        <v>2848.8</v>
      </c>
      <c r="U11608" s="16"/>
      <c r="V11608" s="16"/>
      <c r="W11608" s="16" t="s">
        <v>40</v>
      </c>
      <c r="X11608" s="19">
        <v>0.76200000000000001</v>
      </c>
      <c r="Y11608" s="20">
        <v>4.202E-3</v>
      </c>
      <c r="Z11608" s="21">
        <v>4601004087682</v>
      </c>
    </row>
    <row r="11609" spans="1:26" ht="12" customHeight="1" outlineLevel="5" x14ac:dyDescent="0.2">
      <c r="A11609" s="14" t="s">
        <v>22053</v>
      </c>
      <c r="B11609" s="26" t="s">
        <v>22054</v>
      </c>
      <c r="C11609" s="52"/>
      <c r="D11609" s="55">
        <f t="shared" si="181"/>
        <v>0</v>
      </c>
      <c r="E11609" s="63" t="str">
        <f>HYPERLINK("https://www.sds-group.ru/product/girlyanda-svetodiodnaya-bahroma-aysikl-4-0h0-6m-128-led-zheltyy-chernyy-kauchuk-2-3mm-ip67-p-255-221/", "Инфо")</f>
        <v>Инфо</v>
      </c>
      <c r="F11609" s="16" t="s">
        <v>39</v>
      </c>
      <c r="G11609" s="15"/>
      <c r="H11609" s="15"/>
      <c r="I11609" s="15"/>
      <c r="J11609" s="16" t="s">
        <v>100</v>
      </c>
      <c r="K11609" s="15" t="s">
        <v>6174</v>
      </c>
      <c r="L11609" s="17">
        <v>1</v>
      </c>
      <c r="M11609" s="17">
        <v>20</v>
      </c>
      <c r="N11609" s="17">
        <v>1</v>
      </c>
      <c r="O11609" s="18">
        <v>5605.7</v>
      </c>
      <c r="P11609" s="18">
        <v>4594.84</v>
      </c>
      <c r="Q11609" s="18">
        <v>5605.7</v>
      </c>
      <c r="R11609" s="18">
        <v>4594.84</v>
      </c>
      <c r="S11609" s="18">
        <v>3475.53</v>
      </c>
      <c r="T11609" s="18">
        <v>2848.8</v>
      </c>
      <c r="U11609" s="16"/>
      <c r="V11609" s="16"/>
      <c r="W11609" s="16" t="s">
        <v>40</v>
      </c>
      <c r="X11609" s="19">
        <v>1.3340000000000001</v>
      </c>
      <c r="Y11609" s="20">
        <v>4.0639999999999999E-3</v>
      </c>
      <c r="Z11609" s="21">
        <v>4601004014701</v>
      </c>
    </row>
    <row r="11610" spans="1:26" ht="12" customHeight="1" outlineLevel="5" x14ac:dyDescent="0.2">
      <c r="A11610" s="14" t="s">
        <v>22055</v>
      </c>
      <c r="B11610" s="26" t="s">
        <v>22056</v>
      </c>
      <c r="C11610" s="52"/>
      <c r="D11610" s="55">
        <f t="shared" si="181"/>
        <v>0</v>
      </c>
      <c r="E11610" s="63" t="str">
        <f>HYPERLINK("https://www.sds-group.ru/product/girlyanda-svetodiodnaya-bahroma-aysikl-4-0h0-6m-128-led-zheltyy-chernyy-kauchuk-3-3mm-ip67-e-255-231/", "Инфо")</f>
        <v>Инфо</v>
      </c>
      <c r="F11610" s="16" t="s">
        <v>39</v>
      </c>
      <c r="G11610" s="15"/>
      <c r="H11610" s="15"/>
      <c r="I11610" s="15"/>
      <c r="J11610" s="16" t="s">
        <v>100</v>
      </c>
      <c r="K11610" s="15" t="s">
        <v>6174</v>
      </c>
      <c r="L11610" s="17">
        <v>1</v>
      </c>
      <c r="M11610" s="17">
        <v>20</v>
      </c>
      <c r="N11610" s="17">
        <v>1</v>
      </c>
      <c r="O11610" s="18">
        <v>5857.96</v>
      </c>
      <c r="P11610" s="18">
        <v>4801.6099999999997</v>
      </c>
      <c r="Q11610" s="18">
        <v>5857.96</v>
      </c>
      <c r="R11610" s="18">
        <v>4801.6099999999997</v>
      </c>
      <c r="S11610" s="18">
        <v>3631.94</v>
      </c>
      <c r="T11610" s="18">
        <v>2977</v>
      </c>
      <c r="U11610" s="16"/>
      <c r="V11610" s="16"/>
      <c r="W11610" s="16" t="s">
        <v>40</v>
      </c>
      <c r="X11610" s="19">
        <v>1.3280000000000001</v>
      </c>
      <c r="Y11610" s="20">
        <v>4.2329999999999998E-3</v>
      </c>
      <c r="Z11610" s="21">
        <v>4601004089006</v>
      </c>
    </row>
    <row r="11611" spans="1:26" ht="12" customHeight="1" outlineLevel="5" x14ac:dyDescent="0.2">
      <c r="A11611" s="14" t="s">
        <v>22057</v>
      </c>
      <c r="B11611" s="26" t="s">
        <v>22058</v>
      </c>
      <c r="C11611" s="52"/>
      <c r="D11611" s="55">
        <f t="shared" si="181"/>
        <v>0</v>
      </c>
      <c r="E11611" s="63" t="str">
        <f>HYPERLINK("https://www.sds-group.ru/product/girlyanda-aysikl-bahroma-svetodiodniy-4-0-h-0-6-m-s-effektom-mertsaniya-cherniy-provod-kauchuk-230-v-diodi-zelenie-128-led-neon-night-14326/", "Инфо")</f>
        <v>Инфо</v>
      </c>
      <c r="F11611" s="16" t="s">
        <v>39</v>
      </c>
      <c r="G11611" s="15"/>
      <c r="H11611" s="15"/>
      <c r="I11611" s="15"/>
      <c r="J11611" s="17">
        <v>97</v>
      </c>
      <c r="K11611" s="15"/>
      <c r="L11611" s="17">
        <v>1</v>
      </c>
      <c r="M11611" s="17">
        <v>1</v>
      </c>
      <c r="N11611" s="17">
        <v>1</v>
      </c>
      <c r="O11611" s="18">
        <v>5857.96</v>
      </c>
      <c r="P11611" s="18">
        <v>4801.6099999999997</v>
      </c>
      <c r="Q11611" s="18">
        <v>5857.96</v>
      </c>
      <c r="R11611" s="18">
        <v>4801.6099999999997</v>
      </c>
      <c r="S11611" s="18">
        <v>3631.94</v>
      </c>
      <c r="T11611" s="18">
        <v>2977</v>
      </c>
      <c r="U11611" s="16"/>
      <c r="V11611" s="16"/>
      <c r="W11611" s="16" t="s">
        <v>40</v>
      </c>
      <c r="X11611" s="19">
        <v>1.109</v>
      </c>
      <c r="Y11611" s="20">
        <v>4.3439999999999998E-3</v>
      </c>
      <c r="Z11611" s="21">
        <v>4601004087811</v>
      </c>
    </row>
    <row r="11612" spans="1:26" ht="12" customHeight="1" outlineLevel="5" x14ac:dyDescent="0.2">
      <c r="A11612" s="14" t="s">
        <v>22059</v>
      </c>
      <c r="B11612" s="26" t="s">
        <v>22060</v>
      </c>
      <c r="C11612" s="52"/>
      <c r="D11612" s="55">
        <f t="shared" si="181"/>
        <v>0</v>
      </c>
      <c r="E11612" s="63" t="str">
        <f>HYPERLINK("https://www.sds-group.ru/product/girlyanda-svetodiodnaya-bahroma-aysikl-4-0h0-6m-128-led-krasnyy-chernyy-kauchuk-3-3mm-ip67-e-255-232/", "Инфо")</f>
        <v>Инфо</v>
      </c>
      <c r="F11612" s="16" t="s">
        <v>39</v>
      </c>
      <c r="G11612" s="15"/>
      <c r="H11612" s="15"/>
      <c r="I11612" s="15"/>
      <c r="J11612" s="16" t="s">
        <v>100</v>
      </c>
      <c r="K11612" s="15"/>
      <c r="L11612" s="17">
        <v>1</v>
      </c>
      <c r="M11612" s="17">
        <v>5</v>
      </c>
      <c r="N11612" s="17">
        <v>1</v>
      </c>
      <c r="O11612" s="18">
        <v>5857.96</v>
      </c>
      <c r="P11612" s="18">
        <v>4801.6099999999997</v>
      </c>
      <c r="Q11612" s="18">
        <v>5857.96</v>
      </c>
      <c r="R11612" s="18">
        <v>4801.6099999999997</v>
      </c>
      <c r="S11612" s="18">
        <v>3631.94</v>
      </c>
      <c r="T11612" s="18">
        <v>2977</v>
      </c>
      <c r="U11612" s="16"/>
      <c r="V11612" s="16"/>
      <c r="W11612" s="16" t="s">
        <v>40</v>
      </c>
      <c r="X11612" s="19">
        <v>1.095</v>
      </c>
      <c r="Y11612" s="20">
        <v>4.3439999999999998E-3</v>
      </c>
      <c r="Z11612" s="21">
        <v>4601004087804</v>
      </c>
    </row>
    <row r="11613" spans="1:26" ht="12" customHeight="1" outlineLevel="5" x14ac:dyDescent="0.2">
      <c r="A11613" s="14" t="s">
        <v>22061</v>
      </c>
      <c r="B11613" s="26" t="s">
        <v>22062</v>
      </c>
      <c r="C11613" s="52"/>
      <c r="D11613" s="55">
        <f t="shared" si="181"/>
        <v>0</v>
      </c>
      <c r="E11613" s="63" t="str">
        <f>HYPERLINK("https://www.sds-group.ru/product/girlyanda-svetodiodnaya-bahroma-aysikl-4-0h0-6m-128-led-siniy-belyy-kauchuk-2-3mm-ip67-effek-255-353/", "Инфо")</f>
        <v>Инфо</v>
      </c>
      <c r="F11613" s="16" t="s">
        <v>39</v>
      </c>
      <c r="G11613" s="15"/>
      <c r="H11613" s="15"/>
      <c r="I11613" s="15"/>
      <c r="J11613" s="16" t="s">
        <v>100</v>
      </c>
      <c r="K11613" s="15" t="s">
        <v>6174</v>
      </c>
      <c r="L11613" s="17">
        <v>1</v>
      </c>
      <c r="M11613" s="17">
        <v>10</v>
      </c>
      <c r="N11613" s="17">
        <v>1</v>
      </c>
      <c r="O11613" s="18">
        <v>5857.96</v>
      </c>
      <c r="P11613" s="18">
        <v>4801.6099999999997</v>
      </c>
      <c r="Q11613" s="18">
        <v>5857.96</v>
      </c>
      <c r="R11613" s="18">
        <v>4801.6099999999997</v>
      </c>
      <c r="S11613" s="18">
        <v>3631.94</v>
      </c>
      <c r="T11613" s="18">
        <v>2977</v>
      </c>
      <c r="U11613" s="16"/>
      <c r="V11613" s="16"/>
      <c r="W11613" s="16" t="s">
        <v>40</v>
      </c>
      <c r="X11613" s="19">
        <v>1.331</v>
      </c>
      <c r="Y11613" s="20">
        <v>4.2119999999999996E-3</v>
      </c>
      <c r="Z11613" s="21">
        <v>4601004254978</v>
      </c>
    </row>
    <row r="11614" spans="1:26" ht="12" customHeight="1" outlineLevel="5" x14ac:dyDescent="0.2">
      <c r="A11614" s="14" t="s">
        <v>22063</v>
      </c>
      <c r="B11614" s="26" t="s">
        <v>22064</v>
      </c>
      <c r="C11614" s="52"/>
      <c r="D11614" s="55">
        <f t="shared" si="181"/>
        <v>0</v>
      </c>
      <c r="E11614" s="63" t="str">
        <f>HYPERLINK("https://www.sds-group.ru/product/girlyanda-svetodiodnaya-bahroma-aysikl-4-0h0-6m-128-led-siniy-belyy-kauchuk-3-3mm-ip67-posto-255-203/", "Инфо")</f>
        <v>Инфо</v>
      </c>
      <c r="F11614" s="16" t="s">
        <v>39</v>
      </c>
      <c r="G11614" s="15"/>
      <c r="H11614" s="15"/>
      <c r="I11614" s="15"/>
      <c r="J11614" s="17">
        <v>100</v>
      </c>
      <c r="K11614" s="15"/>
      <c r="L11614" s="17">
        <v>1</v>
      </c>
      <c r="M11614" s="17">
        <v>20</v>
      </c>
      <c r="N11614" s="17">
        <v>1</v>
      </c>
      <c r="O11614" s="18">
        <v>5605.7</v>
      </c>
      <c r="P11614" s="18">
        <v>4594.84</v>
      </c>
      <c r="Q11614" s="18">
        <v>5605.7</v>
      </c>
      <c r="R11614" s="18">
        <v>4594.84</v>
      </c>
      <c r="S11614" s="18">
        <v>3475.53</v>
      </c>
      <c r="T11614" s="18">
        <v>2848.8</v>
      </c>
      <c r="U11614" s="16"/>
      <c r="V11614" s="16"/>
      <c r="W11614" s="16" t="s">
        <v>40</v>
      </c>
      <c r="X11614" s="19">
        <v>1.0940000000000001</v>
      </c>
      <c r="Y11614" s="20">
        <v>4.3210000000000002E-3</v>
      </c>
      <c r="Z11614" s="21">
        <v>4601004087705</v>
      </c>
    </row>
    <row r="11615" spans="1:26" ht="12" customHeight="1" outlineLevel="5" x14ac:dyDescent="0.2">
      <c r="A11615" s="14" t="s">
        <v>22065</v>
      </c>
      <c r="B11615" s="26" t="s">
        <v>22066</v>
      </c>
      <c r="C11615" s="52"/>
      <c r="D11615" s="55">
        <f t="shared" si="181"/>
        <v>0</v>
      </c>
      <c r="E11615" s="63" t="str">
        <f>HYPERLINK("https://www.sds-group.ru/product/girlyanda-svetodiodnaya-bahroma-aysikl-4-0h0-6m-128-led-siniy-chernyy-kauchuk-2-3mm-ip67-pos-255-223/", "Инфо")</f>
        <v>Инфо</v>
      </c>
      <c r="F11615" s="16" t="s">
        <v>39</v>
      </c>
      <c r="G11615" s="15"/>
      <c r="H11615" s="15"/>
      <c r="I11615" s="15"/>
      <c r="J11615" s="16" t="s">
        <v>100</v>
      </c>
      <c r="K11615" s="15" t="s">
        <v>4013</v>
      </c>
      <c r="L11615" s="17">
        <v>1</v>
      </c>
      <c r="M11615" s="17">
        <v>10</v>
      </c>
      <c r="N11615" s="17">
        <v>1</v>
      </c>
      <c r="O11615" s="18">
        <v>5605.7</v>
      </c>
      <c r="P11615" s="18">
        <v>4594.84</v>
      </c>
      <c r="Q11615" s="18">
        <v>5605.7</v>
      </c>
      <c r="R11615" s="18">
        <v>4594.84</v>
      </c>
      <c r="S11615" s="18">
        <v>3475.53</v>
      </c>
      <c r="T11615" s="18">
        <v>2848.8</v>
      </c>
      <c r="U11615" s="16"/>
      <c r="V11615" s="16"/>
      <c r="W11615" s="16" t="s">
        <v>40</v>
      </c>
      <c r="X11615" s="19">
        <v>0.76200000000000001</v>
      </c>
      <c r="Y11615" s="20">
        <v>4.1180000000000001E-3</v>
      </c>
      <c r="Z11615" s="21">
        <v>4601004003729</v>
      </c>
    </row>
    <row r="11616" spans="1:26" ht="12" customHeight="1" outlineLevel="5" x14ac:dyDescent="0.2">
      <c r="A11616" s="14" t="s">
        <v>22067</v>
      </c>
      <c r="B11616" s="26" t="s">
        <v>22068</v>
      </c>
      <c r="C11616" s="52"/>
      <c r="D11616" s="55">
        <f t="shared" si="181"/>
        <v>0</v>
      </c>
      <c r="E11616" s="63" t="str">
        <f>HYPERLINK("https://www.sds-group.ru/product/girlyanda-svetodiodnaya-bahroma-aysikl-4-0h0-6m-128-led-siniy-chernyy-kauchuk-2-3mm-ip67-eff-255-233/", "Инфо")</f>
        <v>Инфо</v>
      </c>
      <c r="F11616" s="16" t="s">
        <v>39</v>
      </c>
      <c r="G11616" s="15"/>
      <c r="H11616" s="15"/>
      <c r="I11616" s="15"/>
      <c r="J11616" s="17">
        <v>13</v>
      </c>
      <c r="K11616" s="15" t="s">
        <v>6174</v>
      </c>
      <c r="L11616" s="17">
        <v>1</v>
      </c>
      <c r="M11616" s="17">
        <v>20</v>
      </c>
      <c r="N11616" s="17">
        <v>1</v>
      </c>
      <c r="O11616" s="18">
        <v>5857.96</v>
      </c>
      <c r="P11616" s="18">
        <v>4801.6099999999997</v>
      </c>
      <c r="Q11616" s="18">
        <v>5857.96</v>
      </c>
      <c r="R11616" s="18">
        <v>4801.6099999999997</v>
      </c>
      <c r="S11616" s="18">
        <v>3631.94</v>
      </c>
      <c r="T11616" s="18">
        <v>2977</v>
      </c>
      <c r="U11616" s="16"/>
      <c r="V11616" s="16"/>
      <c r="W11616" s="16" t="s">
        <v>40</v>
      </c>
      <c r="X11616" s="19">
        <v>1.3260000000000001</v>
      </c>
      <c r="Y11616" s="20">
        <v>4.1180000000000001E-3</v>
      </c>
      <c r="Z11616" s="21">
        <v>4601004088993</v>
      </c>
    </row>
    <row r="11617" spans="1:26" ht="12" customHeight="1" outlineLevel="5" x14ac:dyDescent="0.2">
      <c r="A11617" s="14" t="s">
        <v>22069</v>
      </c>
      <c r="B11617" s="26" t="s">
        <v>22070</v>
      </c>
      <c r="C11617" s="52"/>
      <c r="D11617" s="55">
        <f t="shared" si="181"/>
        <v>0</v>
      </c>
      <c r="E11617" s="63" t="str">
        <f>HYPERLINK("https://www.sds-group.ru/product/bahroma-aysikl-4-0h0-6m-128-led-teplyy-belyy-belyy-kauchuk-2-3mm-ip67-postoyannoe-svecheni-255-206-6/", "Инфо")</f>
        <v>Инфо</v>
      </c>
      <c r="F11617" s="16" t="s">
        <v>39</v>
      </c>
      <c r="G11617" s="15"/>
      <c r="H11617" s="15"/>
      <c r="I11617" s="15"/>
      <c r="J11617" s="16" t="s">
        <v>100</v>
      </c>
      <c r="K11617" s="15" t="s">
        <v>4013</v>
      </c>
      <c r="L11617" s="17">
        <v>1</v>
      </c>
      <c r="M11617" s="17">
        <v>10</v>
      </c>
      <c r="N11617" s="17">
        <v>1</v>
      </c>
      <c r="O11617" s="18">
        <v>4716.58</v>
      </c>
      <c r="P11617" s="18">
        <v>3866.05</v>
      </c>
      <c r="Q11617" s="18">
        <v>4716.58</v>
      </c>
      <c r="R11617" s="18">
        <v>3866.05</v>
      </c>
      <c r="S11617" s="18">
        <v>3207.27</v>
      </c>
      <c r="T11617" s="18">
        <v>2628.91</v>
      </c>
      <c r="U11617" s="16"/>
      <c r="V11617" s="16"/>
      <c r="W11617" s="16" t="s">
        <v>40</v>
      </c>
      <c r="X11617" s="19">
        <v>0.67300000000000004</v>
      </c>
      <c r="Y11617" s="20">
        <v>2.199E-3</v>
      </c>
      <c r="Z11617" s="21">
        <v>4601004342828</v>
      </c>
    </row>
    <row r="11618" spans="1:26" ht="12" customHeight="1" outlineLevel="5" x14ac:dyDescent="0.2">
      <c r="A11618" s="14" t="s">
        <v>22071</v>
      </c>
      <c r="B11618" s="26" t="s">
        <v>22072</v>
      </c>
      <c r="C11618" s="52"/>
      <c r="D11618" s="55">
        <f t="shared" si="181"/>
        <v>0</v>
      </c>
      <c r="E11618" s="63" t="str">
        <f>HYPERLINK("https://www.sds-group.ru/product/bahroma-aysikl-4-0h0-6m-128-led-teplyy-belyy-belyy-kauchuk-2-3mm-ip67-effekt-mertsaniya-23-255-356-6/", "Инфо")</f>
        <v>Инфо</v>
      </c>
      <c r="F11618" s="16" t="s">
        <v>39</v>
      </c>
      <c r="G11618" s="15"/>
      <c r="H11618" s="15"/>
      <c r="I11618" s="15"/>
      <c r="J11618" s="16" t="s">
        <v>100</v>
      </c>
      <c r="K11618" s="15" t="s">
        <v>4013</v>
      </c>
      <c r="L11618" s="17">
        <v>1</v>
      </c>
      <c r="M11618" s="17">
        <v>10</v>
      </c>
      <c r="N11618" s="17">
        <v>1</v>
      </c>
      <c r="O11618" s="18">
        <v>4928.82</v>
      </c>
      <c r="P11618" s="18">
        <v>4040.02</v>
      </c>
      <c r="Q11618" s="18">
        <v>4928.82</v>
      </c>
      <c r="R11618" s="18">
        <v>4040.02</v>
      </c>
      <c r="S11618" s="18">
        <v>3351.6</v>
      </c>
      <c r="T11618" s="18">
        <v>2747.21</v>
      </c>
      <c r="U11618" s="16"/>
      <c r="V11618" s="16"/>
      <c r="W11618" s="16" t="s">
        <v>40</v>
      </c>
      <c r="X11618" s="19">
        <v>0.67300000000000004</v>
      </c>
      <c r="Y11618" s="20">
        <v>2.2169999999999998E-3</v>
      </c>
      <c r="Z11618" s="21">
        <v>4601004342835</v>
      </c>
    </row>
    <row r="11619" spans="1:26" ht="12" customHeight="1" outlineLevel="5" x14ac:dyDescent="0.2">
      <c r="A11619" s="14" t="s">
        <v>22073</v>
      </c>
      <c r="B11619" s="26" t="s">
        <v>22074</v>
      </c>
      <c r="C11619" s="52"/>
      <c r="D11619" s="55">
        <f t="shared" si="181"/>
        <v>0</v>
      </c>
      <c r="E11619" s="63" t="str">
        <f>HYPERLINK("https://www.sds-group.ru/product/girlyanda-svetodiodnaya-bahroma-aysikl-4-0h0-6m-128-led-teplyy-belyy-belyy-kauchuk-3-3mm-ip6-255-206/", "Инфо")</f>
        <v>Инфо</v>
      </c>
      <c r="F11619" s="16" t="s">
        <v>39</v>
      </c>
      <c r="G11619" s="15"/>
      <c r="H11619" s="15"/>
      <c r="I11619" s="15"/>
      <c r="J11619" s="17">
        <v>144</v>
      </c>
      <c r="K11619" s="15" t="s">
        <v>6174</v>
      </c>
      <c r="L11619" s="17">
        <v>1</v>
      </c>
      <c r="M11619" s="17">
        <v>20</v>
      </c>
      <c r="N11619" s="17">
        <v>1</v>
      </c>
      <c r="O11619" s="18">
        <v>5605.7</v>
      </c>
      <c r="P11619" s="18">
        <v>4594.84</v>
      </c>
      <c r="Q11619" s="18">
        <v>5605.7</v>
      </c>
      <c r="R11619" s="18">
        <v>4594.84</v>
      </c>
      <c r="S11619" s="18">
        <v>3475.53</v>
      </c>
      <c r="T11619" s="18">
        <v>2848.8</v>
      </c>
      <c r="U11619" s="16"/>
      <c r="V11619" s="16"/>
      <c r="W11619" s="16" t="s">
        <v>40</v>
      </c>
      <c r="X11619" s="19">
        <v>1.2450000000000001</v>
      </c>
      <c r="Y11619" s="20">
        <v>4.7219999999999996E-3</v>
      </c>
      <c r="Z11619" s="21">
        <v>4601004087736</v>
      </c>
    </row>
    <row r="11620" spans="1:26" ht="12" customHeight="1" outlineLevel="5" x14ac:dyDescent="0.2">
      <c r="A11620" s="14" t="s">
        <v>22075</v>
      </c>
      <c r="B11620" s="26" t="s">
        <v>22076</v>
      </c>
      <c r="C11620" s="52"/>
      <c r="D11620" s="55">
        <f t="shared" si="181"/>
        <v>0</v>
      </c>
      <c r="E11620" s="63" t="str">
        <f>HYPERLINK("https://www.sds-group.ru/product/girlyanda-svetodiodnaya-bahroma-aysikl-4-0h0-6m-128-led-teplyy-belyy-belyy-kauchuk-3-3mm-ip6-255-356/", "Инфо")</f>
        <v>Инфо</v>
      </c>
      <c r="F11620" s="16" t="s">
        <v>39</v>
      </c>
      <c r="G11620" s="15"/>
      <c r="H11620" s="15"/>
      <c r="I11620" s="15"/>
      <c r="J11620" s="17">
        <v>33</v>
      </c>
      <c r="K11620" s="15" t="s">
        <v>6174</v>
      </c>
      <c r="L11620" s="17">
        <v>1</v>
      </c>
      <c r="M11620" s="17">
        <v>15</v>
      </c>
      <c r="N11620" s="17">
        <v>1</v>
      </c>
      <c r="O11620" s="18">
        <v>5857.96</v>
      </c>
      <c r="P11620" s="18">
        <v>4801.6099999999997</v>
      </c>
      <c r="Q11620" s="18">
        <v>5857.96</v>
      </c>
      <c r="R11620" s="18">
        <v>4801.6099999999997</v>
      </c>
      <c r="S11620" s="18">
        <v>3631.94</v>
      </c>
      <c r="T11620" s="18">
        <v>2977</v>
      </c>
      <c r="U11620" s="16"/>
      <c r="V11620" s="16"/>
      <c r="W11620" s="16" t="s">
        <v>40</v>
      </c>
      <c r="X11620" s="19">
        <v>1.222</v>
      </c>
      <c r="Y11620" s="20">
        <v>4.071E-3</v>
      </c>
      <c r="Z11620" s="21">
        <v>4601004225107</v>
      </c>
    </row>
    <row r="11621" spans="1:26" ht="12" customHeight="1" outlineLevel="5" x14ac:dyDescent="0.2">
      <c r="A11621" s="32" t="s">
        <v>22077</v>
      </c>
      <c r="B11621" s="74" t="s">
        <v>22078</v>
      </c>
      <c r="C11621" s="50"/>
      <c r="D11621" s="53">
        <f t="shared" si="181"/>
        <v>0</v>
      </c>
      <c r="E11621" s="60" t="str">
        <f>HYPERLINK("https://www.sds-group.ru/product/girlyanda-svetodiodnaya-bahroma-aysikl-4-0h0-6m-128-led-teplyy-belyy-chernyy-kauchuk-2-3mm-255-226-6/", "Инфо")</f>
        <v>Инфо</v>
      </c>
      <c r="F11621" s="34" t="s">
        <v>39</v>
      </c>
      <c r="G11621" s="33"/>
      <c r="H11621" s="33" t="s">
        <v>40</v>
      </c>
      <c r="I11621" s="33"/>
      <c r="J11621" s="35">
        <v>22</v>
      </c>
      <c r="K11621" s="33"/>
      <c r="L11621" s="35">
        <v>1</v>
      </c>
      <c r="M11621" s="35">
        <v>15</v>
      </c>
      <c r="N11621" s="35">
        <v>1</v>
      </c>
      <c r="O11621" s="36">
        <v>4716.58</v>
      </c>
      <c r="P11621" s="36">
        <v>3866.05</v>
      </c>
      <c r="Q11621" s="36">
        <v>3301.61</v>
      </c>
      <c r="R11621" s="36">
        <v>2706.24</v>
      </c>
      <c r="S11621" s="36">
        <v>2924.28</v>
      </c>
      <c r="T11621" s="36">
        <v>2396.9499999999998</v>
      </c>
      <c r="U11621" s="34"/>
      <c r="V11621" s="34"/>
      <c r="W11621" s="34"/>
      <c r="X11621" s="37">
        <v>0.65600000000000003</v>
      </c>
      <c r="Y11621" s="38">
        <v>2.3370000000000001E-3</v>
      </c>
      <c r="Z11621" s="21">
        <v>4601004280069</v>
      </c>
    </row>
    <row r="11622" spans="1:26" ht="12" customHeight="1" outlineLevel="5" x14ac:dyDescent="0.2">
      <c r="A11622" s="32" t="s">
        <v>22079</v>
      </c>
      <c r="B11622" s="74" t="s">
        <v>22080</v>
      </c>
      <c r="C11622" s="50"/>
      <c r="D11622" s="53">
        <f t="shared" si="181"/>
        <v>0</v>
      </c>
      <c r="E11622" s="60" t="str">
        <f>HYPERLINK("https://www.sds-group.ru/product/girlyanda-svetodiodnaya-bahroma-aysikl-4-0h0-6m-128-led-teplyy-belyy-chernyy-kauchuk-2-3mm-255-236-6/", "Инфо")</f>
        <v>Инфо</v>
      </c>
      <c r="F11622" s="34" t="s">
        <v>39</v>
      </c>
      <c r="G11622" s="33"/>
      <c r="H11622" s="33" t="s">
        <v>40</v>
      </c>
      <c r="I11622" s="33"/>
      <c r="J11622" s="35">
        <v>2</v>
      </c>
      <c r="K11622" s="33"/>
      <c r="L11622" s="35">
        <v>1</v>
      </c>
      <c r="M11622" s="35">
        <v>25</v>
      </c>
      <c r="N11622" s="35">
        <v>1</v>
      </c>
      <c r="O11622" s="36">
        <v>4928.82</v>
      </c>
      <c r="P11622" s="36">
        <v>4040.02</v>
      </c>
      <c r="Q11622" s="36">
        <v>3450.17</v>
      </c>
      <c r="R11622" s="36">
        <v>2828.01</v>
      </c>
      <c r="S11622" s="36">
        <v>3055.87</v>
      </c>
      <c r="T11622" s="36">
        <v>2504.81</v>
      </c>
      <c r="U11622" s="34"/>
      <c r="V11622" s="34"/>
      <c r="W11622" s="34"/>
      <c r="X11622" s="37">
        <v>0.65600000000000003</v>
      </c>
      <c r="Y11622" s="38">
        <v>2.3180000000000002E-3</v>
      </c>
      <c r="Z11622" s="21">
        <v>4601004280076</v>
      </c>
    </row>
    <row r="11623" spans="1:26" ht="12" customHeight="1" outlineLevel="5" x14ac:dyDescent="0.2">
      <c r="A11623" s="14" t="s">
        <v>22081</v>
      </c>
      <c r="B11623" s="26" t="s">
        <v>22082</v>
      </c>
      <c r="C11623" s="52"/>
      <c r="D11623" s="55">
        <f t="shared" si="181"/>
        <v>0</v>
      </c>
      <c r="E11623" s="63" t="str">
        <f>HYPERLINK("https://www.sds-group.ru/product/girlyanda-svetodiodnaya-bahroma-aysikl-4-0h0-6m-128-led-teplyy-belyy-chernyy-kauchuk-3-3mm-i-255-226/", "Инфо")</f>
        <v>Инфо</v>
      </c>
      <c r="F11623" s="16" t="s">
        <v>39</v>
      </c>
      <c r="G11623" s="15"/>
      <c r="H11623" s="15"/>
      <c r="I11623" s="15"/>
      <c r="J11623" s="17">
        <v>104</v>
      </c>
      <c r="K11623" s="15" t="s">
        <v>6174</v>
      </c>
      <c r="L11623" s="17">
        <v>1</v>
      </c>
      <c r="M11623" s="17">
        <v>15</v>
      </c>
      <c r="N11623" s="17">
        <v>1</v>
      </c>
      <c r="O11623" s="18">
        <v>5605.7</v>
      </c>
      <c r="P11623" s="18">
        <v>4594.84</v>
      </c>
      <c r="Q11623" s="18">
        <v>5605.7</v>
      </c>
      <c r="R11623" s="18">
        <v>4594.84</v>
      </c>
      <c r="S11623" s="18">
        <v>3475.53</v>
      </c>
      <c r="T11623" s="18">
        <v>2848.8</v>
      </c>
      <c r="U11623" s="16"/>
      <c r="V11623" s="16"/>
      <c r="W11623" s="16" t="s">
        <v>40</v>
      </c>
      <c r="X11623" s="19">
        <v>1.2430000000000001</v>
      </c>
      <c r="Y11623" s="20">
        <v>4.607E-3</v>
      </c>
      <c r="Z11623" s="21">
        <v>4601004014756</v>
      </c>
    </row>
    <row r="11624" spans="1:26" ht="12" customHeight="1" outlineLevel="5" x14ac:dyDescent="0.2">
      <c r="A11624" s="14" t="s">
        <v>22083</v>
      </c>
      <c r="B11624" s="26" t="s">
        <v>22084</v>
      </c>
      <c r="C11624" s="52"/>
      <c r="D11624" s="55">
        <f t="shared" si="181"/>
        <v>0</v>
      </c>
      <c r="E11624" s="63" t="str">
        <f>HYPERLINK("https://www.sds-group.ru/product/girlyanda-svetodiodnaya-bahroma-aysikl-4-0h0-6m-128-led-teplyy-belyy-chernyy-kauchuk-3-3mm-i-255-236/", "Инфо")</f>
        <v>Инфо</v>
      </c>
      <c r="F11624" s="16" t="s">
        <v>39</v>
      </c>
      <c r="G11624" s="15"/>
      <c r="H11624" s="15"/>
      <c r="I11624" s="15"/>
      <c r="J11624" s="17">
        <v>814</v>
      </c>
      <c r="K11624" s="15" t="s">
        <v>6174</v>
      </c>
      <c r="L11624" s="17">
        <v>1</v>
      </c>
      <c r="M11624" s="17">
        <v>20</v>
      </c>
      <c r="N11624" s="17">
        <v>1</v>
      </c>
      <c r="O11624" s="18">
        <v>5857.96</v>
      </c>
      <c r="P11624" s="18">
        <v>4801.6099999999997</v>
      </c>
      <c r="Q11624" s="18">
        <v>5857.96</v>
      </c>
      <c r="R11624" s="18">
        <v>4801.6099999999997</v>
      </c>
      <c r="S11624" s="18">
        <v>3631.94</v>
      </c>
      <c r="T11624" s="18">
        <v>2977</v>
      </c>
      <c r="U11624" s="16"/>
      <c r="V11624" s="16"/>
      <c r="W11624" s="16" t="s">
        <v>40</v>
      </c>
      <c r="X11624" s="19">
        <v>1.2150000000000001</v>
      </c>
      <c r="Y11624" s="20">
        <v>4.1089999999999998E-3</v>
      </c>
      <c r="Z11624" s="21">
        <v>4601004087828</v>
      </c>
    </row>
    <row r="11625" spans="1:26" ht="12.95" customHeight="1" outlineLevel="4" x14ac:dyDescent="0.2">
      <c r="A11625" s="76" t="s">
        <v>22085</v>
      </c>
      <c r="B11625" s="76"/>
      <c r="C11625" s="77"/>
      <c r="D11625" s="58"/>
      <c r="E11625" s="68"/>
      <c r="F11625" s="13"/>
      <c r="G11625" s="13"/>
      <c r="H11625" s="13"/>
      <c r="I11625" s="13"/>
      <c r="J11625" s="13"/>
      <c r="K11625" s="13"/>
      <c r="L11625" s="13"/>
      <c r="M11625" s="13"/>
      <c r="N11625" s="13"/>
      <c r="O11625" s="13"/>
      <c r="P11625" s="13"/>
      <c r="Q11625" s="13"/>
      <c r="R11625" s="13"/>
      <c r="S11625" s="13"/>
      <c r="T11625" s="13"/>
      <c r="U11625" s="13"/>
      <c r="V11625" s="13"/>
      <c r="W11625" s="13"/>
      <c r="X11625" s="13"/>
      <c r="Y11625" s="13"/>
      <c r="Z11625" s="13"/>
    </row>
    <row r="11626" spans="1:26" ht="12" customHeight="1" outlineLevel="5" x14ac:dyDescent="0.2">
      <c r="A11626" s="14" t="s">
        <v>22086</v>
      </c>
      <c r="B11626" s="26" t="s">
        <v>22087</v>
      </c>
      <c r="C11626" s="52"/>
      <c r="D11626" s="55">
        <f t="shared" si="181"/>
        <v>0</v>
      </c>
      <c r="E11626" s="63" t="str">
        <f>HYPERLINK("https://www.sds-group.ru/product/girlyanda-svetodiodnaya-bahroma-aysikl-5h0-7m-152-led-belyy-chernyy-kauchuk-2-3mm-ip67-posto-255-315/", "Инфо")</f>
        <v>Инфо</v>
      </c>
      <c r="F11626" s="16" t="s">
        <v>39</v>
      </c>
      <c r="G11626" s="15"/>
      <c r="H11626" s="15"/>
      <c r="I11626" s="15"/>
      <c r="J11626" s="17">
        <v>47</v>
      </c>
      <c r="K11626" s="15"/>
      <c r="L11626" s="17">
        <v>1</v>
      </c>
      <c r="M11626" s="17">
        <v>16</v>
      </c>
      <c r="N11626" s="17">
        <v>1</v>
      </c>
      <c r="O11626" s="18">
        <v>6723.61</v>
      </c>
      <c r="P11626" s="18">
        <v>5511.16</v>
      </c>
      <c r="Q11626" s="18">
        <v>4706.53</v>
      </c>
      <c r="R11626" s="18">
        <v>3857.81</v>
      </c>
      <c r="S11626" s="18">
        <v>4168.6400000000003</v>
      </c>
      <c r="T11626" s="18">
        <v>3416.92</v>
      </c>
      <c r="U11626" s="16"/>
      <c r="V11626" s="16"/>
      <c r="W11626" s="16"/>
      <c r="X11626" s="19">
        <v>1.492</v>
      </c>
      <c r="Y11626" s="20">
        <v>4.7860000000000003E-3</v>
      </c>
      <c r="Z11626" s="21">
        <v>4601004254930</v>
      </c>
    </row>
    <row r="11627" spans="1:26" ht="12" customHeight="1" outlineLevel="5" x14ac:dyDescent="0.2">
      <c r="A11627" s="14" t="s">
        <v>22088</v>
      </c>
      <c r="B11627" s="26" t="s">
        <v>22089</v>
      </c>
      <c r="C11627" s="52"/>
      <c r="D11627" s="55">
        <f t="shared" si="181"/>
        <v>0</v>
      </c>
      <c r="E11627" s="63" t="str">
        <f>HYPERLINK("https://www.sds-group.ru/product/girlyanda-svetodiodnaya-bahroma-aysikl-5h0-7m-152-led-belyy-chernyy-kauchuk-2-3mm-ip67-effek-255-365/", "Инфо")</f>
        <v>Инфо</v>
      </c>
      <c r="F11627" s="16" t="s">
        <v>39</v>
      </c>
      <c r="G11627" s="15"/>
      <c r="H11627" s="15"/>
      <c r="I11627" s="15"/>
      <c r="J11627" s="16" t="s">
        <v>100</v>
      </c>
      <c r="K11627" s="15"/>
      <c r="L11627" s="17">
        <v>1</v>
      </c>
      <c r="M11627" s="17">
        <v>16</v>
      </c>
      <c r="N11627" s="17">
        <v>1</v>
      </c>
      <c r="O11627" s="18">
        <v>7180.15</v>
      </c>
      <c r="P11627" s="18">
        <v>5885.37</v>
      </c>
      <c r="Q11627" s="18">
        <v>5026.1099999999997</v>
      </c>
      <c r="R11627" s="18">
        <v>4119.76</v>
      </c>
      <c r="S11627" s="18">
        <v>4451.6899999999996</v>
      </c>
      <c r="T11627" s="18">
        <v>3648.93</v>
      </c>
      <c r="U11627" s="16"/>
      <c r="V11627" s="16"/>
      <c r="W11627" s="16"/>
      <c r="X11627" s="19">
        <v>1.4910000000000001</v>
      </c>
      <c r="Y11627" s="20">
        <v>4.6870000000000002E-3</v>
      </c>
      <c r="Z11627" s="21">
        <v>4601004254916</v>
      </c>
    </row>
    <row r="11628" spans="1:26" ht="12" customHeight="1" outlineLevel="5" x14ac:dyDescent="0.2">
      <c r="A11628" s="14" t="s">
        <v>22090</v>
      </c>
      <c r="B11628" s="26" t="s">
        <v>22091</v>
      </c>
      <c r="C11628" s="52"/>
      <c r="D11628" s="55">
        <f t="shared" si="181"/>
        <v>0</v>
      </c>
      <c r="E11628" s="63" t="str">
        <f>HYPERLINK("https://www.sds-group.ru/product/girlyanda-svetodiodnaya-bahroma-aysikl-5h0-7m-152-led-teplyy-belyy-belyy-kauchuk-2-3mm-ip67--255-376/", "Инфо")</f>
        <v>Инфо</v>
      </c>
      <c r="F11628" s="16" t="s">
        <v>39</v>
      </c>
      <c r="G11628" s="15"/>
      <c r="H11628" s="15"/>
      <c r="I11628" s="15"/>
      <c r="J11628" s="16" t="s">
        <v>100</v>
      </c>
      <c r="K11628" s="15" t="s">
        <v>4013</v>
      </c>
      <c r="L11628" s="17">
        <v>1</v>
      </c>
      <c r="M11628" s="17">
        <v>16</v>
      </c>
      <c r="N11628" s="17">
        <v>1</v>
      </c>
      <c r="O11628" s="18">
        <v>6723.61</v>
      </c>
      <c r="P11628" s="18">
        <v>5511.16</v>
      </c>
      <c r="Q11628" s="18">
        <v>4706.53</v>
      </c>
      <c r="R11628" s="18">
        <v>3857.81</v>
      </c>
      <c r="S11628" s="18">
        <v>4168.6400000000003</v>
      </c>
      <c r="T11628" s="18">
        <v>3416.92</v>
      </c>
      <c r="U11628" s="16"/>
      <c r="V11628" s="16"/>
      <c r="W11628" s="16"/>
      <c r="X11628" s="19">
        <v>1.508</v>
      </c>
      <c r="Y11628" s="20">
        <v>5.0429999999999997E-3</v>
      </c>
      <c r="Z11628" s="21">
        <v>4601004254893</v>
      </c>
    </row>
    <row r="11629" spans="1:26" ht="12" customHeight="1" outlineLevel="5" x14ac:dyDescent="0.2">
      <c r="A11629" s="14" t="s">
        <v>22092</v>
      </c>
      <c r="B11629" s="26" t="s">
        <v>22093</v>
      </c>
      <c r="C11629" s="52"/>
      <c r="D11629" s="55">
        <f t="shared" si="181"/>
        <v>0</v>
      </c>
      <c r="E11629" s="63" t="str">
        <f>HYPERLINK("https://www.sds-group.ru/product/girlyanda-svetodiodnaya-bahroma-aysikl-5h0-7m-152-led-teplyy-belyy-belyy-kauchuk-2-3mm-ip67--255-386/", "Инфо")</f>
        <v>Инфо</v>
      </c>
      <c r="F11629" s="16" t="s">
        <v>39</v>
      </c>
      <c r="G11629" s="15"/>
      <c r="H11629" s="15"/>
      <c r="I11629" s="15"/>
      <c r="J11629" s="16" t="s">
        <v>100</v>
      </c>
      <c r="K11629" s="15" t="s">
        <v>4013</v>
      </c>
      <c r="L11629" s="17">
        <v>1</v>
      </c>
      <c r="M11629" s="17">
        <v>16</v>
      </c>
      <c r="N11629" s="17">
        <v>1</v>
      </c>
      <c r="O11629" s="18">
        <v>7180.15</v>
      </c>
      <c r="P11629" s="18">
        <v>5885.37</v>
      </c>
      <c r="Q11629" s="18">
        <v>5026.1099999999997</v>
      </c>
      <c r="R11629" s="18">
        <v>4119.76</v>
      </c>
      <c r="S11629" s="18">
        <v>4451.6899999999996</v>
      </c>
      <c r="T11629" s="18">
        <v>3648.93</v>
      </c>
      <c r="U11629" s="16"/>
      <c r="V11629" s="16"/>
      <c r="W11629" s="16"/>
      <c r="X11629" s="19">
        <v>1.5029999999999999</v>
      </c>
      <c r="Y11629" s="20">
        <v>3.692E-3</v>
      </c>
      <c r="Z11629" s="21">
        <v>4601004254879</v>
      </c>
    </row>
    <row r="11630" spans="1:26" ht="12" customHeight="1" outlineLevel="5" x14ac:dyDescent="0.2">
      <c r="A11630" s="14" t="s">
        <v>22094</v>
      </c>
      <c r="B11630" s="26" t="s">
        <v>22095</v>
      </c>
      <c r="C11630" s="52"/>
      <c r="D11630" s="55">
        <f t="shared" si="181"/>
        <v>0</v>
      </c>
      <c r="E11630" s="63" t="str">
        <f>HYPERLINK("https://www.sds-group.ru/product/girlyanda-svetodiodnaya-bahroma-aysikl-5h0-7m-152-led-teplyy-belyy-chernyy-kauchuk-2-3mm-ip6-255-316/", "Инфо")</f>
        <v>Инфо</v>
      </c>
      <c r="F11630" s="16" t="s">
        <v>39</v>
      </c>
      <c r="G11630" s="15"/>
      <c r="H11630" s="15"/>
      <c r="I11630" s="15"/>
      <c r="J11630" s="17">
        <v>11</v>
      </c>
      <c r="K11630" s="15" t="s">
        <v>4013</v>
      </c>
      <c r="L11630" s="17">
        <v>1</v>
      </c>
      <c r="M11630" s="17">
        <v>16</v>
      </c>
      <c r="N11630" s="17">
        <v>1</v>
      </c>
      <c r="O11630" s="18">
        <v>6723.61</v>
      </c>
      <c r="P11630" s="18">
        <v>5511.16</v>
      </c>
      <c r="Q11630" s="18">
        <v>4706.53</v>
      </c>
      <c r="R11630" s="18">
        <v>3857.81</v>
      </c>
      <c r="S11630" s="18">
        <v>4168.6400000000003</v>
      </c>
      <c r="T11630" s="18">
        <v>3416.92</v>
      </c>
      <c r="U11630" s="16"/>
      <c r="V11630" s="16"/>
      <c r="W11630" s="16"/>
      <c r="X11630" s="19">
        <v>0.86699999999999999</v>
      </c>
      <c r="Y11630" s="20">
        <v>4.3039999999999997E-3</v>
      </c>
      <c r="Z11630" s="21">
        <v>4601004180321</v>
      </c>
    </row>
    <row r="11631" spans="1:26" ht="12" customHeight="1" outlineLevel="5" x14ac:dyDescent="0.2">
      <c r="A11631" s="14" t="s">
        <v>22096</v>
      </c>
      <c r="B11631" s="26" t="s">
        <v>22097</v>
      </c>
      <c r="C11631" s="52"/>
      <c r="D11631" s="55">
        <f t="shared" si="181"/>
        <v>0</v>
      </c>
      <c r="E11631" s="63" t="str">
        <f>HYPERLINK("https://www.sds-group.ru/product/girlyanda-svetodiodnaya-bahroma-aysikl-5h0-7m-152-led-teplyy-belyy-chernyy-kauchuk-2-3mm-ip6-255-306/", "Инфо")</f>
        <v>Инфо</v>
      </c>
      <c r="F11631" s="16" t="s">
        <v>39</v>
      </c>
      <c r="G11631" s="15"/>
      <c r="H11631" s="15"/>
      <c r="I11631" s="15"/>
      <c r="J11631" s="17">
        <v>6</v>
      </c>
      <c r="K11631" s="15" t="s">
        <v>4013</v>
      </c>
      <c r="L11631" s="17">
        <v>1</v>
      </c>
      <c r="M11631" s="17">
        <v>16</v>
      </c>
      <c r="N11631" s="17">
        <v>1</v>
      </c>
      <c r="O11631" s="18">
        <v>7180.15</v>
      </c>
      <c r="P11631" s="18">
        <v>5885.37</v>
      </c>
      <c r="Q11631" s="18">
        <v>5026.1099999999997</v>
      </c>
      <c r="R11631" s="18">
        <v>4119.76</v>
      </c>
      <c r="S11631" s="18">
        <v>4451.6899999999996</v>
      </c>
      <c r="T11631" s="18">
        <v>3648.93</v>
      </c>
      <c r="U11631" s="16"/>
      <c r="V11631" s="16"/>
      <c r="W11631" s="16"/>
      <c r="X11631" s="19">
        <v>1.492</v>
      </c>
      <c r="Y11631" s="20">
        <v>5.0010000000000002E-3</v>
      </c>
      <c r="Z11631" s="21">
        <v>4601004225220</v>
      </c>
    </row>
    <row r="11632" spans="1:26" ht="12.95" customHeight="1" outlineLevel="4" x14ac:dyDescent="0.2">
      <c r="A11632" s="76" t="s">
        <v>22098</v>
      </c>
      <c r="B11632" s="76"/>
      <c r="C11632" s="77"/>
      <c r="D11632" s="58"/>
      <c r="E11632" s="68"/>
      <c r="F11632" s="13"/>
      <c r="G11632" s="13"/>
      <c r="H11632" s="13"/>
      <c r="I11632" s="13"/>
      <c r="J11632" s="13"/>
      <c r="K11632" s="13"/>
      <c r="L11632" s="13"/>
      <c r="M11632" s="13"/>
      <c r="N11632" s="13"/>
      <c r="O11632" s="13"/>
      <c r="P11632" s="13"/>
      <c r="Q11632" s="13"/>
      <c r="R11632" s="13"/>
      <c r="S11632" s="13"/>
      <c r="T11632" s="13"/>
      <c r="U11632" s="13"/>
      <c r="V11632" s="13"/>
      <c r="W11632" s="13"/>
      <c r="X11632" s="13"/>
      <c r="Y11632" s="13"/>
      <c r="Z11632" s="13"/>
    </row>
    <row r="11633" spans="1:26" ht="12" customHeight="1" outlineLevel="5" x14ac:dyDescent="0.2">
      <c r="A11633" s="14" t="s">
        <v>22099</v>
      </c>
      <c r="B11633" s="26" t="s">
        <v>22100</v>
      </c>
      <c r="C11633" s="52"/>
      <c r="D11633" s="55">
        <f t="shared" si="181"/>
        <v>0</v>
      </c>
      <c r="E11633" s="63" t="str">
        <f>HYPERLINK("https://www.sds-group.ru/product/girlyanda-svetodiodnaya-bahroma-aysikl-5-6x0-9m-240-led-belyy-belyy-kauchuk-3-3mm-ip67-posto-255-285/", "Инфо")</f>
        <v>Инфо</v>
      </c>
      <c r="F11633" s="16" t="s">
        <v>39</v>
      </c>
      <c r="G11633" s="15"/>
      <c r="H11633" s="15"/>
      <c r="I11633" s="15"/>
      <c r="J11633" s="16" t="s">
        <v>100</v>
      </c>
      <c r="K11633" s="15"/>
      <c r="L11633" s="17">
        <v>1</v>
      </c>
      <c r="M11633" s="17">
        <v>10</v>
      </c>
      <c r="N11633" s="17">
        <v>1</v>
      </c>
      <c r="O11633" s="18">
        <v>9055.3700000000008</v>
      </c>
      <c r="P11633" s="18">
        <v>7422.43</v>
      </c>
      <c r="Q11633" s="18">
        <v>9055.3700000000008</v>
      </c>
      <c r="R11633" s="18">
        <v>7422.43</v>
      </c>
      <c r="S11633" s="18">
        <v>5614.33</v>
      </c>
      <c r="T11633" s="18">
        <v>4601.91</v>
      </c>
      <c r="U11633" s="16"/>
      <c r="V11633" s="16"/>
      <c r="W11633" s="16" t="s">
        <v>40</v>
      </c>
      <c r="X11633" s="19">
        <v>2.0070000000000001</v>
      </c>
      <c r="Y11633" s="20">
        <v>7.8919999999999997E-3</v>
      </c>
      <c r="Z11633" s="21">
        <v>4601004087781</v>
      </c>
    </row>
    <row r="11634" spans="1:26" ht="12" customHeight="1" outlineLevel="5" x14ac:dyDescent="0.2">
      <c r="A11634" s="14" t="s">
        <v>22101</v>
      </c>
      <c r="B11634" s="26" t="s">
        <v>22102</v>
      </c>
      <c r="C11634" s="52"/>
      <c r="D11634" s="55">
        <f t="shared" si="181"/>
        <v>0</v>
      </c>
      <c r="E11634" s="63" t="str">
        <f>HYPERLINK("https://www.sds-group.ru/product/girlyanda-svetodiodnaya-bahroma-aysikl-5-6x0-9m-240-led-belyy-belyy-kauchuk-3-3mm-ip67-effek-255-265/", "Инфо")</f>
        <v>Инфо</v>
      </c>
      <c r="F11634" s="16" t="s">
        <v>39</v>
      </c>
      <c r="G11634" s="15"/>
      <c r="H11634" s="15"/>
      <c r="I11634" s="15"/>
      <c r="J11634" s="17">
        <v>49</v>
      </c>
      <c r="K11634" s="15" t="s">
        <v>6174</v>
      </c>
      <c r="L11634" s="17">
        <v>1</v>
      </c>
      <c r="M11634" s="17">
        <v>10</v>
      </c>
      <c r="N11634" s="17">
        <v>1</v>
      </c>
      <c r="O11634" s="18">
        <v>9659.06</v>
      </c>
      <c r="P11634" s="18">
        <v>7917.26</v>
      </c>
      <c r="Q11634" s="18">
        <v>9659.06</v>
      </c>
      <c r="R11634" s="18">
        <v>7917.26</v>
      </c>
      <c r="S11634" s="18">
        <v>5988.62</v>
      </c>
      <c r="T11634" s="18">
        <v>4908.7</v>
      </c>
      <c r="U11634" s="16"/>
      <c r="V11634" s="16"/>
      <c r="W11634" s="16" t="s">
        <v>40</v>
      </c>
      <c r="X11634" s="19">
        <v>2.0169999999999999</v>
      </c>
      <c r="Y11634" s="20">
        <v>7.6490000000000004E-3</v>
      </c>
      <c r="Z11634" s="21">
        <v>4601004033146</v>
      </c>
    </row>
    <row r="11635" spans="1:26" ht="12" customHeight="1" outlineLevel="5" x14ac:dyDescent="0.2">
      <c r="A11635" s="14" t="s">
        <v>22103</v>
      </c>
      <c r="B11635" s="26" t="s">
        <v>22104</v>
      </c>
      <c r="C11635" s="52"/>
      <c r="D11635" s="55">
        <f t="shared" si="181"/>
        <v>0</v>
      </c>
      <c r="E11635" s="63" t="str">
        <f>HYPERLINK("https://www.sds-group.ru/product/girlyanda-svetodiodnaya-bahroma-aysikl-5-6x0-9m-240-led-belyy-chernyy-kauchuk-3-3mm-ip67-pos-255-245/", "Инфо")</f>
        <v>Инфо</v>
      </c>
      <c r="F11635" s="16" t="s">
        <v>39</v>
      </c>
      <c r="G11635" s="15"/>
      <c r="H11635" s="15"/>
      <c r="I11635" s="15"/>
      <c r="J11635" s="17">
        <v>159</v>
      </c>
      <c r="K11635" s="15" t="s">
        <v>6174</v>
      </c>
      <c r="L11635" s="17">
        <v>1</v>
      </c>
      <c r="M11635" s="17">
        <v>10</v>
      </c>
      <c r="N11635" s="17">
        <v>1</v>
      </c>
      <c r="O11635" s="18">
        <v>9055.3700000000008</v>
      </c>
      <c r="P11635" s="18">
        <v>7422.43</v>
      </c>
      <c r="Q11635" s="18">
        <v>9055.3700000000008</v>
      </c>
      <c r="R11635" s="18">
        <v>7422.43</v>
      </c>
      <c r="S11635" s="18">
        <v>5614.33</v>
      </c>
      <c r="T11635" s="18">
        <v>4601.91</v>
      </c>
      <c r="U11635" s="16"/>
      <c r="V11635" s="16"/>
      <c r="W11635" s="16" t="s">
        <v>40</v>
      </c>
      <c r="X11635" s="19">
        <v>1.9770000000000001</v>
      </c>
      <c r="Y11635" s="20">
        <v>7.7029999999999998E-3</v>
      </c>
      <c r="Z11635" s="21">
        <v>4601004001756</v>
      </c>
    </row>
    <row r="11636" spans="1:26" ht="12" customHeight="1" outlineLevel="5" x14ac:dyDescent="0.2">
      <c r="A11636" s="14" t="s">
        <v>22105</v>
      </c>
      <c r="B11636" s="26" t="s">
        <v>22106</v>
      </c>
      <c r="C11636" s="52"/>
      <c r="D11636" s="55">
        <f t="shared" si="181"/>
        <v>0</v>
      </c>
      <c r="E11636" s="63" t="str">
        <f>HYPERLINK("https://www.sds-group.ru/product/girlyanda-svetodiodnaya-bahroma-aysikl-5-6x0-9m-240-led-belyy-chernyy-kauchuk-3-3mm-ip67-eff-255-255/", "Инфо")</f>
        <v>Инфо</v>
      </c>
      <c r="F11636" s="16" t="s">
        <v>39</v>
      </c>
      <c r="G11636" s="15"/>
      <c r="H11636" s="15"/>
      <c r="I11636" s="15"/>
      <c r="J11636" s="17">
        <v>82</v>
      </c>
      <c r="K11636" s="15" t="s">
        <v>6174</v>
      </c>
      <c r="L11636" s="17">
        <v>1</v>
      </c>
      <c r="M11636" s="17">
        <v>10</v>
      </c>
      <c r="N11636" s="17">
        <v>1</v>
      </c>
      <c r="O11636" s="18">
        <v>9659.06</v>
      </c>
      <c r="P11636" s="18">
        <v>7917.26</v>
      </c>
      <c r="Q11636" s="18">
        <v>9659.06</v>
      </c>
      <c r="R11636" s="18">
        <v>7917.26</v>
      </c>
      <c r="S11636" s="18">
        <v>5988.62</v>
      </c>
      <c r="T11636" s="18">
        <v>4908.7</v>
      </c>
      <c r="U11636" s="16"/>
      <c r="V11636" s="16"/>
      <c r="W11636" s="16" t="s">
        <v>40</v>
      </c>
      <c r="X11636" s="19">
        <v>2.06</v>
      </c>
      <c r="Y11636" s="20">
        <v>7.6540000000000002E-3</v>
      </c>
      <c r="Z11636" s="21">
        <v>4601004014817</v>
      </c>
    </row>
    <row r="11637" spans="1:26" ht="12" customHeight="1" outlineLevel="5" x14ac:dyDescent="0.2">
      <c r="A11637" s="14" t="s">
        <v>22107</v>
      </c>
      <c r="B11637" s="26" t="s">
        <v>22108</v>
      </c>
      <c r="C11637" s="52"/>
      <c r="D11637" s="55">
        <f t="shared" si="181"/>
        <v>0</v>
      </c>
      <c r="E11637" s="63" t="str">
        <f>HYPERLINK("https://www.sds-group.ru/product/girlyanda-svetodiodnaya-bahroma-aysikl-5-6x0-9m-240-led-zheltyy-chernyy-kauchuk-2-3mm-ip67-p-255-241/", "Инфо")</f>
        <v>Инфо</v>
      </c>
      <c r="F11637" s="16" t="s">
        <v>39</v>
      </c>
      <c r="G11637" s="15"/>
      <c r="H11637" s="15"/>
      <c r="I11637" s="15"/>
      <c r="J11637" s="17">
        <v>72</v>
      </c>
      <c r="K11637" s="15"/>
      <c r="L11637" s="17">
        <v>1</v>
      </c>
      <c r="M11637" s="17">
        <v>10</v>
      </c>
      <c r="N11637" s="17">
        <v>1</v>
      </c>
      <c r="O11637" s="18">
        <v>9055.3700000000008</v>
      </c>
      <c r="P11637" s="18">
        <v>7422.43</v>
      </c>
      <c r="Q11637" s="18">
        <v>9055.3700000000008</v>
      </c>
      <c r="R11637" s="18">
        <v>7422.43</v>
      </c>
      <c r="S11637" s="18">
        <v>5614.33</v>
      </c>
      <c r="T11637" s="18">
        <v>4601.91</v>
      </c>
      <c r="U11637" s="16"/>
      <c r="V11637" s="16"/>
      <c r="W11637" s="16" t="s">
        <v>40</v>
      </c>
      <c r="X11637" s="19">
        <v>2.2799999999999998</v>
      </c>
      <c r="Y11637" s="20">
        <v>8.2269999999999999E-3</v>
      </c>
      <c r="Z11637" s="21">
        <v>4601004014763</v>
      </c>
    </row>
    <row r="11638" spans="1:26" ht="12" customHeight="1" outlineLevel="5" x14ac:dyDescent="0.2">
      <c r="A11638" s="14" t="s">
        <v>22109</v>
      </c>
      <c r="B11638" s="26" t="s">
        <v>22110</v>
      </c>
      <c r="C11638" s="52"/>
      <c r="D11638" s="55">
        <f t="shared" si="181"/>
        <v>0</v>
      </c>
      <c r="E11638" s="63" t="str">
        <f>HYPERLINK("https://www.sds-group.ru/product/girlyanda-svetodiodnaya-bahroma-aysikl-5-6x0-9m-240-led-siniy-belyy-kauchuk-2-3mm-ip67-posto-255-283/", "Инфо")</f>
        <v>Инфо</v>
      </c>
      <c r="F11638" s="16" t="s">
        <v>39</v>
      </c>
      <c r="G11638" s="15"/>
      <c r="H11638" s="15"/>
      <c r="I11638" s="15"/>
      <c r="J11638" s="17">
        <v>58</v>
      </c>
      <c r="K11638" s="15"/>
      <c r="L11638" s="17">
        <v>1</v>
      </c>
      <c r="M11638" s="17">
        <v>5</v>
      </c>
      <c r="N11638" s="17">
        <v>1</v>
      </c>
      <c r="O11638" s="18">
        <v>9055.3700000000008</v>
      </c>
      <c r="P11638" s="18">
        <v>7422.43</v>
      </c>
      <c r="Q11638" s="18">
        <v>9055.3700000000008</v>
      </c>
      <c r="R11638" s="18">
        <v>7422.43</v>
      </c>
      <c r="S11638" s="18">
        <v>5614.33</v>
      </c>
      <c r="T11638" s="18">
        <v>4601.91</v>
      </c>
      <c r="U11638" s="16"/>
      <c r="V11638" s="16"/>
      <c r="W11638" s="16" t="s">
        <v>40</v>
      </c>
      <c r="X11638" s="19">
        <v>2.2519999999999998</v>
      </c>
      <c r="Y11638" s="20">
        <v>8.1589999999999996E-3</v>
      </c>
      <c r="Z11638" s="21">
        <v>4601004087767</v>
      </c>
    </row>
    <row r="11639" spans="1:26" ht="12" customHeight="1" outlineLevel="5" x14ac:dyDescent="0.2">
      <c r="A11639" s="14" t="s">
        <v>22111</v>
      </c>
      <c r="B11639" s="26" t="s">
        <v>22112</v>
      </c>
      <c r="C11639" s="52"/>
      <c r="D11639" s="55">
        <f t="shared" si="181"/>
        <v>0</v>
      </c>
      <c r="E11639" s="63" t="str">
        <f>HYPERLINK("https://www.sds-group.ru/product/girlyanda-svetodiodnaya-bahroma-aysikl-5-6x0-9m-240-led-siniy-belyy-kauchuk-3-3mm-ip67-effek-255-263/", "Инфо")</f>
        <v>Инфо</v>
      </c>
      <c r="F11639" s="16" t="s">
        <v>39</v>
      </c>
      <c r="G11639" s="15"/>
      <c r="H11639" s="15"/>
      <c r="I11639" s="15"/>
      <c r="J11639" s="17">
        <v>141</v>
      </c>
      <c r="K11639" s="15"/>
      <c r="L11639" s="17">
        <v>1</v>
      </c>
      <c r="M11639" s="17">
        <v>16</v>
      </c>
      <c r="N11639" s="17">
        <v>1</v>
      </c>
      <c r="O11639" s="18">
        <v>9659.06</v>
      </c>
      <c r="P11639" s="18">
        <v>7917.26</v>
      </c>
      <c r="Q11639" s="18">
        <v>9659.06</v>
      </c>
      <c r="R11639" s="18">
        <v>7917.26</v>
      </c>
      <c r="S11639" s="18">
        <v>5988.62</v>
      </c>
      <c r="T11639" s="18">
        <v>4908.7</v>
      </c>
      <c r="U11639" s="16"/>
      <c r="V11639" s="16"/>
      <c r="W11639" s="16" t="s">
        <v>40</v>
      </c>
      <c r="X11639" s="19">
        <v>2.0110000000000001</v>
      </c>
      <c r="Y11639" s="20">
        <v>7.9120000000000006E-3</v>
      </c>
      <c r="Z11639" s="21">
        <v>4601004302693</v>
      </c>
    </row>
    <row r="11640" spans="1:26" ht="12" customHeight="1" outlineLevel="5" x14ac:dyDescent="0.2">
      <c r="A11640" s="14" t="s">
        <v>22113</v>
      </c>
      <c r="B11640" s="26" t="s">
        <v>22114</v>
      </c>
      <c r="C11640" s="52"/>
      <c r="D11640" s="55">
        <f t="shared" si="181"/>
        <v>0</v>
      </c>
      <c r="E11640" s="63" t="str">
        <f>HYPERLINK("https://www.sds-group.ru/product/girlyanda-svetodiodnaya-bahroma-aysikl-5-6x0-9m-240-led-siniy-chernyy-kauchuk-3-3mm-ip67-pos-255-243/", "Инфо")</f>
        <v>Инфо</v>
      </c>
      <c r="F11640" s="16" t="s">
        <v>39</v>
      </c>
      <c r="G11640" s="15"/>
      <c r="H11640" s="15"/>
      <c r="I11640" s="15"/>
      <c r="J11640" s="17">
        <v>51</v>
      </c>
      <c r="K11640" s="15" t="s">
        <v>6174</v>
      </c>
      <c r="L11640" s="17">
        <v>1</v>
      </c>
      <c r="M11640" s="17">
        <v>3</v>
      </c>
      <c r="N11640" s="17">
        <v>1</v>
      </c>
      <c r="O11640" s="18">
        <v>9055.3700000000008</v>
      </c>
      <c r="P11640" s="18">
        <v>7422.43</v>
      </c>
      <c r="Q11640" s="18">
        <v>9055.3700000000008</v>
      </c>
      <c r="R11640" s="18">
        <v>7422.43</v>
      </c>
      <c r="S11640" s="18">
        <v>5614.33</v>
      </c>
      <c r="T11640" s="18">
        <v>4601.91</v>
      </c>
      <c r="U11640" s="16"/>
      <c r="V11640" s="16"/>
      <c r="W11640" s="16" t="s">
        <v>40</v>
      </c>
      <c r="X11640" s="19">
        <v>2.2890000000000001</v>
      </c>
      <c r="Y11640" s="20">
        <v>7.8059999999999996E-3</v>
      </c>
      <c r="Z11640" s="21">
        <v>4601004003644</v>
      </c>
    </row>
    <row r="11641" spans="1:26" ht="12" customHeight="1" outlineLevel="5" x14ac:dyDescent="0.2">
      <c r="A11641" s="14" t="s">
        <v>22115</v>
      </c>
      <c r="B11641" s="26" t="s">
        <v>22116</v>
      </c>
      <c r="C11641" s="52"/>
      <c r="D11641" s="55">
        <f t="shared" si="181"/>
        <v>0</v>
      </c>
      <c r="E11641" s="63" t="str">
        <f>HYPERLINK("https://www.sds-group.ru/product/girlyanda-svetodiodnaya-bahroma-aysikl-5-6x0-9m-240-led-siniy-chernyy-kauchuk-3-3mm-ip67-eff-255-253/", "Инфо")</f>
        <v>Инфо</v>
      </c>
      <c r="F11641" s="16" t="s">
        <v>39</v>
      </c>
      <c r="G11641" s="15"/>
      <c r="H11641" s="15"/>
      <c r="I11641" s="15"/>
      <c r="J11641" s="17">
        <v>195</v>
      </c>
      <c r="K11641" s="15"/>
      <c r="L11641" s="17">
        <v>1</v>
      </c>
      <c r="M11641" s="17">
        <v>10</v>
      </c>
      <c r="N11641" s="17">
        <v>1</v>
      </c>
      <c r="O11641" s="18">
        <v>9659.06</v>
      </c>
      <c r="P11641" s="18">
        <v>7917.26</v>
      </c>
      <c r="Q11641" s="18">
        <v>9659.06</v>
      </c>
      <c r="R11641" s="18">
        <v>7917.26</v>
      </c>
      <c r="S11641" s="18">
        <v>5988.62</v>
      </c>
      <c r="T11641" s="18">
        <v>4908.7</v>
      </c>
      <c r="U11641" s="16"/>
      <c r="V11641" s="16"/>
      <c r="W11641" s="16" t="s">
        <v>40</v>
      </c>
      <c r="X11641" s="19">
        <v>1.9930000000000001</v>
      </c>
      <c r="Y11641" s="20">
        <v>7.9039999999999996E-3</v>
      </c>
      <c r="Z11641" s="21">
        <v>4601004033139</v>
      </c>
    </row>
    <row r="11642" spans="1:26" ht="12" customHeight="1" outlineLevel="5" x14ac:dyDescent="0.2">
      <c r="A11642" s="14" t="s">
        <v>22117</v>
      </c>
      <c r="B11642" s="26" t="s">
        <v>22118</v>
      </c>
      <c r="C11642" s="52"/>
      <c r="D11642" s="55">
        <f t="shared" si="181"/>
        <v>0</v>
      </c>
      <c r="E11642" s="63" t="str">
        <f>HYPERLINK("https://www.sds-group.ru/product/girlyanda-svetodiodnaya-bahroma-aysikl-5-6x0-9m-240-led-teplyy-belyy-belyy-kauchuk-3-3mm-ip6-255-286/", "Инфо")</f>
        <v>Инфо</v>
      </c>
      <c r="F11642" s="16" t="s">
        <v>39</v>
      </c>
      <c r="G11642" s="15"/>
      <c r="H11642" s="15"/>
      <c r="I11642" s="15"/>
      <c r="J11642" s="17">
        <v>194</v>
      </c>
      <c r="K11642" s="15" t="s">
        <v>6174</v>
      </c>
      <c r="L11642" s="17">
        <v>1</v>
      </c>
      <c r="M11642" s="17">
        <v>10</v>
      </c>
      <c r="N11642" s="17">
        <v>1</v>
      </c>
      <c r="O11642" s="18">
        <v>9055.3700000000008</v>
      </c>
      <c r="P11642" s="18">
        <v>7422.43</v>
      </c>
      <c r="Q11642" s="18">
        <v>9055.3700000000008</v>
      </c>
      <c r="R11642" s="18">
        <v>7422.43</v>
      </c>
      <c r="S11642" s="18">
        <v>5614.33</v>
      </c>
      <c r="T11642" s="18">
        <v>4601.91</v>
      </c>
      <c r="U11642" s="16"/>
      <c r="V11642" s="16"/>
      <c r="W11642" s="16" t="s">
        <v>40</v>
      </c>
      <c r="X11642" s="19">
        <v>1.986</v>
      </c>
      <c r="Y11642" s="20">
        <v>7.5969999999999996E-3</v>
      </c>
      <c r="Z11642" s="21">
        <v>4601004087798</v>
      </c>
    </row>
    <row r="11643" spans="1:26" ht="12" customHeight="1" outlineLevel="5" x14ac:dyDescent="0.2">
      <c r="A11643" s="14" t="s">
        <v>22119</v>
      </c>
      <c r="B11643" s="26" t="s">
        <v>22120</v>
      </c>
      <c r="C11643" s="52"/>
      <c r="D11643" s="55">
        <f t="shared" si="181"/>
        <v>0</v>
      </c>
      <c r="E11643" s="63" t="str">
        <f>HYPERLINK("https://www.sds-group.ru/product/girlyanda-svetodiodnaya-bahroma-aysikl-5-6x0-9m-240-led-teplyy-belyy-belyy-kauchuk-3-3mm-ip6-255-266/", "Инфо")</f>
        <v>Инфо</v>
      </c>
      <c r="F11643" s="16" t="s">
        <v>39</v>
      </c>
      <c r="G11643" s="15"/>
      <c r="H11643" s="15"/>
      <c r="I11643" s="15"/>
      <c r="J11643" s="17">
        <v>5</v>
      </c>
      <c r="K11643" s="15" t="s">
        <v>6174</v>
      </c>
      <c r="L11643" s="17">
        <v>1</v>
      </c>
      <c r="M11643" s="17">
        <v>20</v>
      </c>
      <c r="N11643" s="17">
        <v>1</v>
      </c>
      <c r="O11643" s="18">
        <v>9659.06</v>
      </c>
      <c r="P11643" s="18">
        <v>7917.26</v>
      </c>
      <c r="Q11643" s="18">
        <v>9659.06</v>
      </c>
      <c r="R11643" s="18">
        <v>7917.26</v>
      </c>
      <c r="S11643" s="18">
        <v>5988.62</v>
      </c>
      <c r="T11643" s="18">
        <v>4908.7</v>
      </c>
      <c r="U11643" s="16"/>
      <c r="V11643" s="16"/>
      <c r="W11643" s="16" t="s">
        <v>40</v>
      </c>
      <c r="X11643" s="19">
        <v>2.08</v>
      </c>
      <c r="Y11643" s="20">
        <v>7.6239999999999997E-3</v>
      </c>
      <c r="Z11643" s="21">
        <v>4601004033153</v>
      </c>
    </row>
    <row r="11644" spans="1:26" ht="12" customHeight="1" outlineLevel="5" x14ac:dyDescent="0.2">
      <c r="A11644" s="14" t="s">
        <v>22121</v>
      </c>
      <c r="B11644" s="26" t="s">
        <v>22122</v>
      </c>
      <c r="C11644" s="52"/>
      <c r="D11644" s="55">
        <f t="shared" si="181"/>
        <v>0</v>
      </c>
      <c r="E11644" s="63" t="str">
        <f>HYPERLINK("https://www.sds-group.ru/product/girlyanda-svetodiodnaya-bahroma-aysikl-5-6x0-9m-240-led-teplyy-belyy-chernyy-kauchuk-3-3mm-i-255-246/", "Инфо")</f>
        <v>Инфо</v>
      </c>
      <c r="F11644" s="16" t="s">
        <v>39</v>
      </c>
      <c r="G11644" s="15"/>
      <c r="H11644" s="15"/>
      <c r="I11644" s="15"/>
      <c r="J11644" s="17">
        <v>10</v>
      </c>
      <c r="K11644" s="15" t="s">
        <v>6174</v>
      </c>
      <c r="L11644" s="17">
        <v>1</v>
      </c>
      <c r="M11644" s="17">
        <v>10</v>
      </c>
      <c r="N11644" s="17">
        <v>1</v>
      </c>
      <c r="O11644" s="18">
        <v>9055.3700000000008</v>
      </c>
      <c r="P11644" s="18">
        <v>7422.43</v>
      </c>
      <c r="Q11644" s="18">
        <v>9055.3700000000008</v>
      </c>
      <c r="R11644" s="18">
        <v>7422.43</v>
      </c>
      <c r="S11644" s="18">
        <v>5614.33</v>
      </c>
      <c r="T11644" s="18">
        <v>4601.91</v>
      </c>
      <c r="U11644" s="16"/>
      <c r="V11644" s="16"/>
      <c r="W11644" s="16" t="s">
        <v>40</v>
      </c>
      <c r="X11644" s="19">
        <v>1.978</v>
      </c>
      <c r="Y11644" s="20">
        <v>7.9330000000000008E-3</v>
      </c>
      <c r="Z11644" s="21">
        <v>4601004014800</v>
      </c>
    </row>
    <row r="11645" spans="1:26" ht="12" customHeight="1" outlineLevel="5" x14ac:dyDescent="0.2">
      <c r="A11645" s="14" t="s">
        <v>22123</v>
      </c>
      <c r="B11645" s="26" t="s">
        <v>22124</v>
      </c>
      <c r="C11645" s="52"/>
      <c r="D11645" s="55">
        <f t="shared" si="181"/>
        <v>0</v>
      </c>
      <c r="E11645" s="63" t="str">
        <f>HYPERLINK("https://www.sds-group.ru/product/girlyanda-svetodiodnaya-bahroma-aysikl-5-6x0-9m-240-led-teplyy-belyy-chernyy-kauchuk-3-3mm-i-255-256/", "Инфо")</f>
        <v>Инфо</v>
      </c>
      <c r="F11645" s="16" t="s">
        <v>39</v>
      </c>
      <c r="G11645" s="15"/>
      <c r="H11645" s="15"/>
      <c r="I11645" s="15"/>
      <c r="J11645" s="17">
        <v>277</v>
      </c>
      <c r="K11645" s="15" t="s">
        <v>6174</v>
      </c>
      <c r="L11645" s="17">
        <v>1</v>
      </c>
      <c r="M11645" s="17">
        <v>10</v>
      </c>
      <c r="N11645" s="17">
        <v>1</v>
      </c>
      <c r="O11645" s="18">
        <v>9659.06</v>
      </c>
      <c r="P11645" s="18">
        <v>7917.26</v>
      </c>
      <c r="Q11645" s="18">
        <v>9659.06</v>
      </c>
      <c r="R11645" s="18">
        <v>7917.26</v>
      </c>
      <c r="S11645" s="18">
        <v>5988.62</v>
      </c>
      <c r="T11645" s="18">
        <v>4908.7</v>
      </c>
      <c r="U11645" s="16"/>
      <c r="V11645" s="16"/>
      <c r="W11645" s="16" t="s">
        <v>40</v>
      </c>
      <c r="X11645" s="19">
        <v>1.988</v>
      </c>
      <c r="Y11645" s="20">
        <v>7.8689999999999993E-3</v>
      </c>
      <c r="Z11645" s="21">
        <v>4601004014824</v>
      </c>
    </row>
    <row r="11646" spans="1:26" ht="12.95" customHeight="1" outlineLevel="2" x14ac:dyDescent="0.2">
      <c r="A11646" s="76" t="s">
        <v>22125</v>
      </c>
      <c r="B11646" s="76"/>
      <c r="C11646" s="77"/>
      <c r="D11646" s="58"/>
      <c r="E11646" s="68"/>
      <c r="F11646" s="13"/>
      <c r="G11646" s="13"/>
      <c r="H11646" s="13"/>
      <c r="I11646" s="13"/>
      <c r="J11646" s="13"/>
      <c r="K11646" s="13"/>
      <c r="L11646" s="13"/>
      <c r="M11646" s="13"/>
      <c r="N11646" s="13"/>
      <c r="O11646" s="13"/>
      <c r="P11646" s="13"/>
      <c r="Q11646" s="13"/>
      <c r="R11646" s="13"/>
      <c r="S11646" s="13"/>
      <c r="T11646" s="13"/>
      <c r="U11646" s="13"/>
      <c r="V11646" s="13"/>
      <c r="W11646" s="13"/>
      <c r="X11646" s="13"/>
      <c r="Y11646" s="13"/>
      <c r="Z11646" s="13"/>
    </row>
    <row r="11647" spans="1:26" ht="12.95" customHeight="1" outlineLevel="3" x14ac:dyDescent="0.2">
      <c r="A11647" s="76" t="s">
        <v>22126</v>
      </c>
      <c r="B11647" s="76"/>
      <c r="C11647" s="77"/>
      <c r="D11647" s="58"/>
      <c r="E11647" s="68"/>
      <c r="F11647" s="13"/>
      <c r="G11647" s="13"/>
      <c r="H11647" s="13"/>
      <c r="I11647" s="13"/>
      <c r="J11647" s="13"/>
      <c r="K11647" s="13"/>
      <c r="L11647" s="13"/>
      <c r="M11647" s="13"/>
      <c r="N11647" s="13"/>
      <c r="O11647" s="13"/>
      <c r="P11647" s="13"/>
      <c r="Q11647" s="13"/>
      <c r="R11647" s="13"/>
      <c r="S11647" s="13"/>
      <c r="T11647" s="13"/>
      <c r="U11647" s="13"/>
      <c r="V11647" s="13"/>
      <c r="W11647" s="13"/>
      <c r="X11647" s="13"/>
      <c r="Y11647" s="13"/>
      <c r="Z11647" s="13"/>
    </row>
    <row r="11648" spans="1:26" ht="12.95" customHeight="1" outlineLevel="4" x14ac:dyDescent="0.2">
      <c r="A11648" s="76" t="s">
        <v>22127</v>
      </c>
      <c r="B11648" s="76"/>
      <c r="C11648" s="77"/>
      <c r="D11648" s="58"/>
      <c r="E11648" s="68"/>
      <c r="F11648" s="13"/>
      <c r="G11648" s="13"/>
      <c r="H11648" s="13"/>
      <c r="I11648" s="13"/>
      <c r="J11648" s="13"/>
      <c r="K11648" s="13"/>
      <c r="L11648" s="13"/>
      <c r="M11648" s="13"/>
      <c r="N11648" s="13"/>
      <c r="O11648" s="13"/>
      <c r="P11648" s="13"/>
      <c r="Q11648" s="13"/>
      <c r="R11648" s="13"/>
      <c r="S11648" s="13"/>
      <c r="T11648" s="13"/>
      <c r="U11648" s="13"/>
      <c r="V11648" s="13"/>
      <c r="W11648" s="13"/>
      <c r="X11648" s="13"/>
      <c r="Y11648" s="13"/>
      <c r="Z11648" s="13"/>
    </row>
    <row r="11649" spans="1:26" ht="12" customHeight="1" outlineLevel="5" x14ac:dyDescent="0.2">
      <c r="A11649" s="32" t="s">
        <v>22128</v>
      </c>
      <c r="B11649" s="74" t="s">
        <v>22129</v>
      </c>
      <c r="C11649" s="50"/>
      <c r="D11649" s="53">
        <f t="shared" si="181"/>
        <v>0</v>
      </c>
      <c r="E11649" s="60" t="str">
        <f>HYPERLINK("https://www.sds-group.ru/product/girlyanda-svetodiodnaya-set-2h0-7m-176-led-belyy-siniy-chernyy-pvh-ip65-svechenie-s-dinamiko-215-012/", "Инфо")</f>
        <v>Инфо</v>
      </c>
      <c r="F11649" s="34" t="s">
        <v>39</v>
      </c>
      <c r="G11649" s="33"/>
      <c r="H11649" s="33" t="s">
        <v>40</v>
      </c>
      <c r="I11649" s="33"/>
      <c r="J11649" s="35">
        <v>3</v>
      </c>
      <c r="K11649" s="33"/>
      <c r="L11649" s="35">
        <v>1</v>
      </c>
      <c r="M11649" s="35">
        <v>10</v>
      </c>
      <c r="N11649" s="35">
        <v>1</v>
      </c>
      <c r="O11649" s="36">
        <v>4112.8999999999996</v>
      </c>
      <c r="P11649" s="36">
        <v>3371.23</v>
      </c>
      <c r="Q11649" s="36">
        <v>2879.03</v>
      </c>
      <c r="R11649" s="36">
        <v>2359.86</v>
      </c>
      <c r="S11649" s="36">
        <v>2796.77</v>
      </c>
      <c r="T11649" s="36">
        <v>2292.4299999999998</v>
      </c>
      <c r="U11649" s="34"/>
      <c r="V11649" s="34"/>
      <c r="W11649" s="34"/>
      <c r="X11649" s="37">
        <v>1.4</v>
      </c>
      <c r="Y11649" s="38">
        <v>6.2500000000000003E-3</v>
      </c>
      <c r="Z11649" s="21">
        <v>4601004013247</v>
      </c>
    </row>
    <row r="11650" spans="1:26" ht="12" customHeight="1" outlineLevel="5" x14ac:dyDescent="0.2">
      <c r="A11650" s="32" t="s">
        <v>22130</v>
      </c>
      <c r="B11650" s="74" t="s">
        <v>22131</v>
      </c>
      <c r="C11650" s="50"/>
      <c r="D11650" s="53">
        <f t="shared" si="181"/>
        <v>0</v>
      </c>
      <c r="E11650" s="60" t="str">
        <f>HYPERLINK("https://www.sds-group.ru/product/girlyanda-svetodiodnaya-set-2h0-7m-176-led-krasnyy-siniy-chernyy-pvh-ip65-svechenie-s-dinami-215-013/", "Инфо")</f>
        <v>Инфо</v>
      </c>
      <c r="F11650" s="34" t="s">
        <v>39</v>
      </c>
      <c r="G11650" s="33"/>
      <c r="H11650" s="33" t="s">
        <v>40</v>
      </c>
      <c r="I11650" s="33"/>
      <c r="J11650" s="35">
        <v>73</v>
      </c>
      <c r="K11650" s="33"/>
      <c r="L11650" s="35">
        <v>1</v>
      </c>
      <c r="M11650" s="35">
        <v>10</v>
      </c>
      <c r="N11650" s="35">
        <v>1</v>
      </c>
      <c r="O11650" s="36">
        <v>2185.46</v>
      </c>
      <c r="P11650" s="36">
        <v>1791.36</v>
      </c>
      <c r="Q11650" s="36">
        <v>1529.82</v>
      </c>
      <c r="R11650" s="36">
        <v>1253.95</v>
      </c>
      <c r="S11650" s="36">
        <v>1486.11</v>
      </c>
      <c r="T11650" s="36">
        <v>1218.1199999999999</v>
      </c>
      <c r="U11650" s="34"/>
      <c r="V11650" s="34"/>
      <c r="W11650" s="34"/>
      <c r="X11650" s="37">
        <v>1.22</v>
      </c>
      <c r="Y11650" s="38">
        <v>4.5999999999999999E-3</v>
      </c>
      <c r="Z11650" s="21">
        <v>4601004001565</v>
      </c>
    </row>
    <row r="11651" spans="1:26" ht="12.95" customHeight="1" outlineLevel="4" x14ac:dyDescent="0.2">
      <c r="A11651" s="76" t="s">
        <v>22132</v>
      </c>
      <c r="B11651" s="76"/>
      <c r="C11651" s="77"/>
      <c r="D11651" s="58"/>
      <c r="E11651" s="68"/>
      <c r="F11651" s="13"/>
      <c r="G11651" s="13"/>
      <c r="H11651" s="13"/>
      <c r="I11651" s="13"/>
      <c r="J11651" s="13"/>
      <c r="K11651" s="13"/>
      <c r="L11651" s="13"/>
      <c r="M11651" s="13"/>
      <c r="N11651" s="13"/>
      <c r="O11651" s="13"/>
      <c r="P11651" s="13"/>
      <c r="Q11651" s="13"/>
      <c r="R11651" s="13"/>
      <c r="S11651" s="13"/>
      <c r="T11651" s="13"/>
      <c r="U11651" s="13"/>
      <c r="V11651" s="13"/>
      <c r="W11651" s="13"/>
      <c r="X11651" s="13"/>
      <c r="Y11651" s="13"/>
      <c r="Z11651" s="13"/>
    </row>
    <row r="11652" spans="1:26" ht="12" customHeight="1" outlineLevel="5" x14ac:dyDescent="0.2">
      <c r="A11652" s="14" t="s">
        <v>22133</v>
      </c>
      <c r="B11652" s="26" t="s">
        <v>22134</v>
      </c>
      <c r="C11652" s="52"/>
      <c r="D11652" s="55">
        <f t="shared" si="181"/>
        <v>0</v>
      </c>
      <c r="E11652" s="63" t="str">
        <f>HYPERLINK("https://www.sds-group.ru/product/girlyanda-svetodiodnaya-set-2h1-5m-288-led-belyy-prozrachnyy-pvh-ip65-svechenie-s-dinamikoy--215-045/", "Инфо")</f>
        <v>Инфо</v>
      </c>
      <c r="F11652" s="16" t="s">
        <v>39</v>
      </c>
      <c r="G11652" s="15"/>
      <c r="H11652" s="15"/>
      <c r="I11652" s="15"/>
      <c r="J11652" s="16" t="s">
        <v>100</v>
      </c>
      <c r="K11652" s="15" t="s">
        <v>1055</v>
      </c>
      <c r="L11652" s="17">
        <v>1</v>
      </c>
      <c r="M11652" s="17">
        <v>10</v>
      </c>
      <c r="N11652" s="17">
        <v>1</v>
      </c>
      <c r="O11652" s="18">
        <v>10133.969999999999</v>
      </c>
      <c r="P11652" s="18">
        <v>8306.5300000000007</v>
      </c>
      <c r="Q11652" s="18">
        <v>10133.969999999999</v>
      </c>
      <c r="R11652" s="18">
        <v>8306.5300000000007</v>
      </c>
      <c r="S11652" s="18">
        <v>6283.06</v>
      </c>
      <c r="T11652" s="18">
        <v>5150.05</v>
      </c>
      <c r="U11652" s="16"/>
      <c r="V11652" s="16"/>
      <c r="W11652" s="16" t="s">
        <v>40</v>
      </c>
      <c r="X11652" s="19">
        <v>1.522</v>
      </c>
      <c r="Y11652" s="20">
        <v>2.601E-3</v>
      </c>
      <c r="Z11652" s="21">
        <v>4601004092259</v>
      </c>
    </row>
    <row r="11653" spans="1:26" ht="12" customHeight="1" outlineLevel="5" x14ac:dyDescent="0.2">
      <c r="A11653" s="14" t="s">
        <v>22135</v>
      </c>
      <c r="B11653" s="26" t="s">
        <v>22136</v>
      </c>
      <c r="C11653" s="52"/>
      <c r="D11653" s="55">
        <f t="shared" si="181"/>
        <v>0</v>
      </c>
      <c r="E11653" s="63" t="str">
        <f>HYPERLINK("https://www.sds-group.ru/product/girlyanda-svetodiodnaya-set-2h1-5m-288-led-belyy-chernyy-pvh-ip65-svechenie-s-dinamikoy-230v-215-021/", "Инфо")</f>
        <v>Инфо</v>
      </c>
      <c r="F11653" s="16" t="s">
        <v>39</v>
      </c>
      <c r="G11653" s="15"/>
      <c r="H11653" s="15"/>
      <c r="I11653" s="15"/>
      <c r="J11653" s="17">
        <v>95</v>
      </c>
      <c r="K11653" s="15"/>
      <c r="L11653" s="17">
        <v>1</v>
      </c>
      <c r="M11653" s="17">
        <v>10</v>
      </c>
      <c r="N11653" s="17">
        <v>1</v>
      </c>
      <c r="O11653" s="18">
        <v>10133.969999999999</v>
      </c>
      <c r="P11653" s="18">
        <v>8306.5300000000007</v>
      </c>
      <c r="Q11653" s="18">
        <v>10133.969999999999</v>
      </c>
      <c r="R11653" s="18">
        <v>8306.5300000000007</v>
      </c>
      <c r="S11653" s="18">
        <v>6283.06</v>
      </c>
      <c r="T11653" s="18">
        <v>5150.05</v>
      </c>
      <c r="U11653" s="16"/>
      <c r="V11653" s="16"/>
      <c r="W11653" s="16" t="s">
        <v>40</v>
      </c>
      <c r="X11653" s="19">
        <v>1.514</v>
      </c>
      <c r="Y11653" s="20">
        <v>7.8919999999999997E-3</v>
      </c>
      <c r="Z11653" s="21">
        <v>4601004001589</v>
      </c>
    </row>
    <row r="11654" spans="1:26" ht="12" customHeight="1" outlineLevel="5" x14ac:dyDescent="0.2">
      <c r="A11654" s="32" t="s">
        <v>22137</v>
      </c>
      <c r="B11654" s="74" t="s">
        <v>22138</v>
      </c>
      <c r="C11654" s="50"/>
      <c r="D11654" s="53">
        <f t="shared" si="181"/>
        <v>0</v>
      </c>
      <c r="E11654" s="60" t="str">
        <f>HYPERLINK("https://www.sds-group.ru/product/girlyanda-svetodiodnaya-set-2h1-5m-288-led-belyy-siniy-chernyy-pvh-ip65-svechenie-s-dinamiko-215-022/", "Инфо")</f>
        <v>Инфо</v>
      </c>
      <c r="F11654" s="34" t="s">
        <v>39</v>
      </c>
      <c r="G11654" s="33"/>
      <c r="H11654" s="33" t="s">
        <v>40</v>
      </c>
      <c r="I11654" s="33"/>
      <c r="J11654" s="34" t="s">
        <v>100</v>
      </c>
      <c r="K11654" s="33"/>
      <c r="L11654" s="35">
        <v>1</v>
      </c>
      <c r="M11654" s="35">
        <v>10</v>
      </c>
      <c r="N11654" s="35">
        <v>1</v>
      </c>
      <c r="O11654" s="36">
        <v>9560.35</v>
      </c>
      <c r="P11654" s="36">
        <v>7836.35</v>
      </c>
      <c r="Q11654" s="36">
        <v>9560.35</v>
      </c>
      <c r="R11654" s="36">
        <v>7836.35</v>
      </c>
      <c r="S11654" s="36">
        <v>5927.42</v>
      </c>
      <c r="T11654" s="36">
        <v>4858.54</v>
      </c>
      <c r="U11654" s="34"/>
      <c r="V11654" s="34"/>
      <c r="W11654" s="34" t="s">
        <v>40</v>
      </c>
      <c r="X11654" s="37">
        <v>1.716</v>
      </c>
      <c r="Y11654" s="38">
        <v>1.6785999999999999E-2</v>
      </c>
      <c r="Z11654" s="21">
        <v>4601004001596</v>
      </c>
    </row>
    <row r="11655" spans="1:26" ht="12" customHeight="1" outlineLevel="5" x14ac:dyDescent="0.2">
      <c r="A11655" s="32" t="s">
        <v>22139</v>
      </c>
      <c r="B11655" s="74" t="s">
        <v>22140</v>
      </c>
      <c r="C11655" s="50"/>
      <c r="D11655" s="53">
        <f t="shared" si="181"/>
        <v>0</v>
      </c>
      <c r="E11655" s="60" t="str">
        <f>HYPERLINK("https://www.sds-group.ru/product/girlyanda-svetodiodnaya-set-2h1-5m-288-led-krasnyy-siniy-chernyy-pvh-ip65-svechenie-s-dinami-215-023/", "Инфо")</f>
        <v>Инфо</v>
      </c>
      <c r="F11655" s="34" t="s">
        <v>39</v>
      </c>
      <c r="G11655" s="33"/>
      <c r="H11655" s="33" t="s">
        <v>40</v>
      </c>
      <c r="I11655" s="33"/>
      <c r="J11655" s="35">
        <v>169</v>
      </c>
      <c r="K11655" s="33"/>
      <c r="L11655" s="35">
        <v>1</v>
      </c>
      <c r="M11655" s="35">
        <v>10</v>
      </c>
      <c r="N11655" s="35">
        <v>1</v>
      </c>
      <c r="O11655" s="36">
        <v>5080.7700000000004</v>
      </c>
      <c r="P11655" s="36">
        <v>4164.57</v>
      </c>
      <c r="Q11655" s="36">
        <v>3556.54</v>
      </c>
      <c r="R11655" s="36">
        <v>2915.2</v>
      </c>
      <c r="S11655" s="36">
        <v>3150.08</v>
      </c>
      <c r="T11655" s="36">
        <v>2582.0300000000002</v>
      </c>
      <c r="U11655" s="34"/>
      <c r="V11655" s="34"/>
      <c r="W11655" s="34"/>
      <c r="X11655" s="37">
        <v>1.5860000000000001</v>
      </c>
      <c r="Y11655" s="38">
        <v>5.6129999999999999E-3</v>
      </c>
      <c r="Z11655" s="21">
        <v>4601004001572</v>
      </c>
    </row>
    <row r="11656" spans="1:26" ht="12" customHeight="1" outlineLevel="5" x14ac:dyDescent="0.2">
      <c r="A11656" s="32" t="s">
        <v>22141</v>
      </c>
      <c r="B11656" s="74" t="s">
        <v>22142</v>
      </c>
      <c r="C11656" s="50"/>
      <c r="D11656" s="53">
        <f t="shared" si="181"/>
        <v>0</v>
      </c>
      <c r="E11656" s="60" t="str">
        <f>HYPERLINK("https://www.sds-group.ru/product/girlyanda-svetodiodnaya-set-2h1-5m-288-led-multi-chernyy-pvh-ip65-postoyannoe-svechenie-230v-215-029/", "Инфо")</f>
        <v>Инфо</v>
      </c>
      <c r="F11656" s="34" t="s">
        <v>39</v>
      </c>
      <c r="G11656" s="33"/>
      <c r="H11656" s="33" t="s">
        <v>40</v>
      </c>
      <c r="I11656" s="33"/>
      <c r="J11656" s="35">
        <v>14</v>
      </c>
      <c r="K11656" s="33"/>
      <c r="L11656" s="35">
        <v>1</v>
      </c>
      <c r="M11656" s="35">
        <v>10</v>
      </c>
      <c r="N11656" s="35">
        <v>1</v>
      </c>
      <c r="O11656" s="36">
        <v>10133.969999999999</v>
      </c>
      <c r="P11656" s="36">
        <v>8306.5300000000007</v>
      </c>
      <c r="Q11656" s="36">
        <v>10133.969999999999</v>
      </c>
      <c r="R11656" s="36">
        <v>8306.5300000000007</v>
      </c>
      <c r="S11656" s="36">
        <v>6283.06</v>
      </c>
      <c r="T11656" s="36">
        <v>5150.05</v>
      </c>
      <c r="U11656" s="34"/>
      <c r="V11656" s="34"/>
      <c r="W11656" s="34" t="s">
        <v>40</v>
      </c>
      <c r="X11656" s="37">
        <v>1.6120000000000001</v>
      </c>
      <c r="Y11656" s="38">
        <v>6.0419999999999996E-3</v>
      </c>
      <c r="Z11656" s="21">
        <v>4601004001602</v>
      </c>
    </row>
    <row r="11657" spans="1:26" ht="12" customHeight="1" outlineLevel="5" x14ac:dyDescent="0.2">
      <c r="A11657" s="32" t="s">
        <v>22143</v>
      </c>
      <c r="B11657" s="74" t="s">
        <v>22144</v>
      </c>
      <c r="C11657" s="50"/>
      <c r="D11657" s="53">
        <f t="shared" ref="D11657:D11720" si="182">C11657*(O11657-O11657*$G$3)</f>
        <v>0</v>
      </c>
      <c r="E11657" s="60" t="str">
        <f>HYPERLINK("https://www.sds-group.ru/product/girlyanda-svetodiodnaya-set-2h1-5m-288-led-siniy-prozrachnyy-pvh-ip65-svechenie-s-dinamikoy--215-043/", "Инфо")</f>
        <v>Инфо</v>
      </c>
      <c r="F11657" s="34" t="s">
        <v>39</v>
      </c>
      <c r="G11657" s="33"/>
      <c r="H11657" s="33" t="s">
        <v>40</v>
      </c>
      <c r="I11657" s="33"/>
      <c r="J11657" s="35">
        <v>39</v>
      </c>
      <c r="K11657" s="33"/>
      <c r="L11657" s="35">
        <v>1</v>
      </c>
      <c r="M11657" s="35">
        <v>20</v>
      </c>
      <c r="N11657" s="35">
        <v>1</v>
      </c>
      <c r="O11657" s="36">
        <v>9560.35</v>
      </c>
      <c r="P11657" s="36">
        <v>7836.35</v>
      </c>
      <c r="Q11657" s="36">
        <v>9560.35</v>
      </c>
      <c r="R11657" s="36">
        <v>7836.35</v>
      </c>
      <c r="S11657" s="36">
        <v>5927.42</v>
      </c>
      <c r="T11657" s="36">
        <v>4858.54</v>
      </c>
      <c r="U11657" s="34"/>
      <c r="V11657" s="34"/>
      <c r="W11657" s="34" t="s">
        <v>40</v>
      </c>
      <c r="X11657" s="37">
        <v>1.5269999999999999</v>
      </c>
      <c r="Y11657" s="38">
        <v>5.8430000000000001E-3</v>
      </c>
      <c r="Z11657" s="21">
        <v>4601004092235</v>
      </c>
    </row>
    <row r="11658" spans="1:26" ht="12" customHeight="1" outlineLevel="5" x14ac:dyDescent="0.2">
      <c r="A11658" s="14" t="s">
        <v>22145</v>
      </c>
      <c r="B11658" s="26" t="s">
        <v>22146</v>
      </c>
      <c r="C11658" s="52"/>
      <c r="D11658" s="55">
        <f t="shared" si="182"/>
        <v>0</v>
      </c>
      <c r="E11658" s="63" t="str">
        <f>HYPERLINK("https://www.sds-group.ru/product/girlyanda-svetodiodnaya-set-2h1-5m-288-led-teplyy-belyy-prozrachnyy-pvh-ip65-svechenie-s-din-215-046/", "Инфо")</f>
        <v>Инфо</v>
      </c>
      <c r="F11658" s="16" t="s">
        <v>39</v>
      </c>
      <c r="G11658" s="15"/>
      <c r="H11658" s="15"/>
      <c r="I11658" s="15"/>
      <c r="J11658" s="17">
        <v>69</v>
      </c>
      <c r="K11658" s="15"/>
      <c r="L11658" s="17">
        <v>1</v>
      </c>
      <c r="M11658" s="17">
        <v>20</v>
      </c>
      <c r="N11658" s="17">
        <v>1</v>
      </c>
      <c r="O11658" s="18">
        <v>10133.969999999999</v>
      </c>
      <c r="P11658" s="18">
        <v>8306.5300000000007</v>
      </c>
      <c r="Q11658" s="18">
        <v>10133.969999999999</v>
      </c>
      <c r="R11658" s="18">
        <v>8306.5300000000007</v>
      </c>
      <c r="S11658" s="18">
        <v>6283.06</v>
      </c>
      <c r="T11658" s="18">
        <v>5150.05</v>
      </c>
      <c r="U11658" s="16"/>
      <c r="V11658" s="16"/>
      <c r="W11658" s="16" t="s">
        <v>40</v>
      </c>
      <c r="X11658" s="19">
        <v>1.5229999999999999</v>
      </c>
      <c r="Y11658" s="20">
        <v>6.6220000000000003E-3</v>
      </c>
      <c r="Z11658" s="21">
        <v>4601004092266</v>
      </c>
    </row>
    <row r="11659" spans="1:26" ht="12" customHeight="1" outlineLevel="5" x14ac:dyDescent="0.2">
      <c r="A11659" s="14" t="s">
        <v>22147</v>
      </c>
      <c r="B11659" s="26" t="s">
        <v>22148</v>
      </c>
      <c r="C11659" s="52"/>
      <c r="D11659" s="55">
        <f t="shared" si="182"/>
        <v>0</v>
      </c>
      <c r="E11659" s="63" t="str">
        <f>HYPERLINK("https://www.sds-group.ru/product/girlyanda-svetodiodnaya-set-2h1-5m-288-led-teplyy-belyy-chernyy-pvh-ip65-svechenie-s-dinamik-215-026/", "Инфо")</f>
        <v>Инфо</v>
      </c>
      <c r="F11659" s="16" t="s">
        <v>39</v>
      </c>
      <c r="G11659" s="15"/>
      <c r="H11659" s="15"/>
      <c r="I11659" s="15"/>
      <c r="J11659" s="17">
        <v>124</v>
      </c>
      <c r="K11659" s="15"/>
      <c r="L11659" s="17">
        <v>1</v>
      </c>
      <c r="M11659" s="17">
        <v>20</v>
      </c>
      <c r="N11659" s="17">
        <v>1</v>
      </c>
      <c r="O11659" s="18">
        <v>10133.969999999999</v>
      </c>
      <c r="P11659" s="18">
        <v>8306.5300000000007</v>
      </c>
      <c r="Q11659" s="18">
        <v>10133.969999999999</v>
      </c>
      <c r="R11659" s="18">
        <v>8306.5300000000007</v>
      </c>
      <c r="S11659" s="18">
        <v>6283.06</v>
      </c>
      <c r="T11659" s="18">
        <v>5150.05</v>
      </c>
      <c r="U11659" s="16"/>
      <c r="V11659" s="16"/>
      <c r="W11659" s="16" t="s">
        <v>40</v>
      </c>
      <c r="X11659" s="19">
        <v>1.6080000000000001</v>
      </c>
      <c r="Y11659" s="20">
        <v>6.0740000000000004E-3</v>
      </c>
      <c r="Z11659" s="21">
        <v>4601004092273</v>
      </c>
    </row>
    <row r="11660" spans="1:26" ht="12" customHeight="1" outlineLevel="5" x14ac:dyDescent="0.2">
      <c r="A11660" s="32" t="s">
        <v>22149</v>
      </c>
      <c r="B11660" s="74" t="s">
        <v>22150</v>
      </c>
      <c r="C11660" s="50"/>
      <c r="D11660" s="53">
        <f t="shared" si="182"/>
        <v>0</v>
      </c>
      <c r="E11660" s="60" t="str">
        <f>HYPERLINK("https://www.sds-group.ru/product/girlyanda-set-2h1-5m-svechenie-s-dinamikoy-prozrachnyy-pvh-288-led-230-v-tsvet-zheltyy-215-041/", "Инфо")</f>
        <v>Инфо</v>
      </c>
      <c r="F11660" s="34" t="s">
        <v>39</v>
      </c>
      <c r="G11660" s="33"/>
      <c r="H11660" s="33" t="s">
        <v>40</v>
      </c>
      <c r="I11660" s="33"/>
      <c r="J11660" s="34" t="s">
        <v>100</v>
      </c>
      <c r="K11660" s="33"/>
      <c r="L11660" s="35">
        <v>1</v>
      </c>
      <c r="M11660" s="35">
        <v>20</v>
      </c>
      <c r="N11660" s="35">
        <v>1</v>
      </c>
      <c r="O11660" s="36">
        <v>5053.3999999999996</v>
      </c>
      <c r="P11660" s="36">
        <v>4142.13</v>
      </c>
      <c r="Q11660" s="36">
        <v>3537.38</v>
      </c>
      <c r="R11660" s="36">
        <v>2899.49</v>
      </c>
      <c r="S11660" s="36">
        <v>3133.11</v>
      </c>
      <c r="T11660" s="36">
        <v>2568.12</v>
      </c>
      <c r="U11660" s="34"/>
      <c r="V11660" s="34"/>
      <c r="W11660" s="34"/>
      <c r="X11660" s="37">
        <v>1.0149999999999999</v>
      </c>
      <c r="Y11660" s="38">
        <v>6.3610000000000003E-3</v>
      </c>
      <c r="Z11660" s="21">
        <v>4601004093133</v>
      </c>
    </row>
    <row r="11661" spans="1:26" ht="12.95" customHeight="1" outlineLevel="4" x14ac:dyDescent="0.2">
      <c r="A11661" s="76" t="s">
        <v>22151</v>
      </c>
      <c r="B11661" s="76"/>
      <c r="C11661" s="77"/>
      <c r="D11661" s="58"/>
      <c r="E11661" s="68"/>
      <c r="F11661" s="13"/>
      <c r="G11661" s="13"/>
      <c r="H11661" s="13"/>
      <c r="I11661" s="13"/>
      <c r="J11661" s="13"/>
      <c r="K11661" s="13"/>
      <c r="L11661" s="13"/>
      <c r="M11661" s="13"/>
      <c r="N11661" s="13"/>
      <c r="O11661" s="13"/>
      <c r="P11661" s="13"/>
      <c r="Q11661" s="13"/>
      <c r="R11661" s="13"/>
      <c r="S11661" s="13"/>
      <c r="T11661" s="13"/>
      <c r="U11661" s="13"/>
      <c r="V11661" s="13"/>
      <c r="W11661" s="13"/>
      <c r="X11661" s="13"/>
      <c r="Y11661" s="13"/>
      <c r="Z11661" s="13"/>
    </row>
    <row r="11662" spans="1:26" ht="12" customHeight="1" outlineLevel="5" x14ac:dyDescent="0.2">
      <c r="A11662" s="32" t="s">
        <v>22152</v>
      </c>
      <c r="B11662" s="74" t="s">
        <v>22153</v>
      </c>
      <c r="C11662" s="50"/>
      <c r="D11662" s="53">
        <f t="shared" si="182"/>
        <v>0</v>
      </c>
      <c r="E11662" s="60" t="str">
        <f>HYPERLINK("https://www.sds-group.ru/product/girlyanda-svetodiodnaya-set-1h1-5m-160-led-belyy-chernyy-pvh-ip65-svechenie-s-dinamikoy-230v-215-115/", "Инфо")</f>
        <v>Инфо</v>
      </c>
      <c r="F11662" s="34" t="s">
        <v>39</v>
      </c>
      <c r="G11662" s="33"/>
      <c r="H11662" s="33" t="s">
        <v>40</v>
      </c>
      <c r="I11662" s="33"/>
      <c r="J11662" s="35">
        <v>12</v>
      </c>
      <c r="K11662" s="33"/>
      <c r="L11662" s="35">
        <v>1</v>
      </c>
      <c r="M11662" s="35">
        <v>10</v>
      </c>
      <c r="N11662" s="35">
        <v>1</v>
      </c>
      <c r="O11662" s="36">
        <v>5134.33</v>
      </c>
      <c r="P11662" s="36">
        <v>4208.47</v>
      </c>
      <c r="Q11662" s="36">
        <v>5134.33</v>
      </c>
      <c r="R11662" s="36">
        <v>4208.47</v>
      </c>
      <c r="S11662" s="36">
        <v>3183.28</v>
      </c>
      <c r="T11662" s="36">
        <v>2609.25</v>
      </c>
      <c r="U11662" s="34"/>
      <c r="V11662" s="34"/>
      <c r="W11662" s="34" t="s">
        <v>40</v>
      </c>
      <c r="X11662" s="37">
        <v>0.74</v>
      </c>
      <c r="Y11662" s="38">
        <v>2.6419999999999998E-3</v>
      </c>
      <c r="Z11662" s="21">
        <v>4601004086203</v>
      </c>
    </row>
    <row r="11663" spans="1:26" ht="12" customHeight="1" outlineLevel="5" x14ac:dyDescent="0.2">
      <c r="A11663" s="14" t="s">
        <v>22154</v>
      </c>
      <c r="B11663" s="26" t="s">
        <v>22155</v>
      </c>
      <c r="C11663" s="52"/>
      <c r="D11663" s="55">
        <f t="shared" si="182"/>
        <v>0</v>
      </c>
      <c r="E11663" s="63" t="str">
        <f>HYPERLINK("https://www.sds-group.ru/product/girlyanda-svetodiodnaya-set-1h1-5m-160-led-multi-chernyy-pvh-ip65-svechenie-s-dinamikoy-230v-215-119/", "Инфо")</f>
        <v>Инфо</v>
      </c>
      <c r="F11663" s="16" t="s">
        <v>39</v>
      </c>
      <c r="G11663" s="15"/>
      <c r="H11663" s="15"/>
      <c r="I11663" s="15"/>
      <c r="J11663" s="16" t="s">
        <v>100</v>
      </c>
      <c r="K11663" s="15"/>
      <c r="L11663" s="17">
        <v>1</v>
      </c>
      <c r="M11663" s="17">
        <v>10</v>
      </c>
      <c r="N11663" s="17">
        <v>1</v>
      </c>
      <c r="O11663" s="18">
        <v>3487.7</v>
      </c>
      <c r="P11663" s="18">
        <v>2858.77</v>
      </c>
      <c r="Q11663" s="18">
        <v>3487.7</v>
      </c>
      <c r="R11663" s="18">
        <v>2858.77</v>
      </c>
      <c r="S11663" s="18">
        <v>2162.37</v>
      </c>
      <c r="T11663" s="18">
        <v>1772.43</v>
      </c>
      <c r="U11663" s="16"/>
      <c r="V11663" s="16"/>
      <c r="W11663" s="16" t="s">
        <v>40</v>
      </c>
      <c r="X11663" s="19">
        <v>0.98399999999999999</v>
      </c>
      <c r="Y11663" s="20">
        <v>3.8809999999999999E-3</v>
      </c>
      <c r="Z11663" s="21">
        <v>4601004002104</v>
      </c>
    </row>
    <row r="11664" spans="1:26" ht="12" customHeight="1" outlineLevel="5" x14ac:dyDescent="0.2">
      <c r="A11664" s="32" t="s">
        <v>22156</v>
      </c>
      <c r="B11664" s="74" t="s">
        <v>22157</v>
      </c>
      <c r="C11664" s="50"/>
      <c r="D11664" s="53">
        <f t="shared" si="182"/>
        <v>0</v>
      </c>
      <c r="E11664" s="60" t="str">
        <f>HYPERLINK("https://www.sds-group.ru/product/girlyanda-svetodiodnaya-set-1h1-5m-160-led-teplyy-belyy-chernyy-pvh-ip65-svechenie-s-dinamik-215-116/", "Инфо")</f>
        <v>Инфо</v>
      </c>
      <c r="F11664" s="34" t="s">
        <v>39</v>
      </c>
      <c r="G11664" s="33"/>
      <c r="H11664" s="33" t="s">
        <v>40</v>
      </c>
      <c r="I11664" s="33"/>
      <c r="J11664" s="35">
        <v>43</v>
      </c>
      <c r="K11664" s="33"/>
      <c r="L11664" s="35">
        <v>1</v>
      </c>
      <c r="M11664" s="35">
        <v>10</v>
      </c>
      <c r="N11664" s="35">
        <v>1</v>
      </c>
      <c r="O11664" s="36">
        <v>5134.33</v>
      </c>
      <c r="P11664" s="36">
        <v>4208.47</v>
      </c>
      <c r="Q11664" s="36">
        <v>5134.33</v>
      </c>
      <c r="R11664" s="36">
        <v>4208.47</v>
      </c>
      <c r="S11664" s="36">
        <v>3183.28</v>
      </c>
      <c r="T11664" s="36">
        <v>2609.25</v>
      </c>
      <c r="U11664" s="34"/>
      <c r="V11664" s="34"/>
      <c r="W11664" s="34" t="s">
        <v>40</v>
      </c>
      <c r="X11664" s="37">
        <v>1.018</v>
      </c>
      <c r="Y11664" s="38">
        <v>3.5980000000000001E-3</v>
      </c>
      <c r="Z11664" s="21">
        <v>4601004086210</v>
      </c>
    </row>
    <row r="11665" spans="1:26" ht="12.95" customHeight="1" outlineLevel="4" x14ac:dyDescent="0.2">
      <c r="A11665" s="76" t="s">
        <v>22158</v>
      </c>
      <c r="B11665" s="76"/>
      <c r="C11665" s="77"/>
      <c r="D11665" s="58"/>
      <c r="E11665" s="68"/>
      <c r="F11665" s="13"/>
      <c r="G11665" s="13"/>
      <c r="H11665" s="13"/>
      <c r="I11665" s="13"/>
      <c r="J11665" s="13"/>
      <c r="K11665" s="13"/>
      <c r="L11665" s="13"/>
      <c r="M11665" s="13"/>
      <c r="N11665" s="13"/>
      <c r="O11665" s="13"/>
      <c r="P11665" s="13"/>
      <c r="Q11665" s="13"/>
      <c r="R11665" s="13"/>
      <c r="S11665" s="13"/>
      <c r="T11665" s="13"/>
      <c r="U11665" s="13"/>
      <c r="V11665" s="13"/>
      <c r="W11665" s="13"/>
      <c r="X11665" s="13"/>
      <c r="Y11665" s="13"/>
      <c r="Z11665" s="13"/>
    </row>
    <row r="11666" spans="1:26" ht="12" customHeight="1" outlineLevel="5" x14ac:dyDescent="0.2">
      <c r="A11666" s="32" t="s">
        <v>22159</v>
      </c>
      <c r="B11666" s="74" t="s">
        <v>22160</v>
      </c>
      <c r="C11666" s="50"/>
      <c r="D11666" s="53">
        <f t="shared" si="182"/>
        <v>0</v>
      </c>
      <c r="E11666" s="60" t="str">
        <f>HYPERLINK("https://www.sds-group.ru/product/girlyanda-svetodiodnaya-set-treugolnaya-1-5h2h2m-136-led-belyy-prozrachnyy-pvh-ip65-svecheni-215-055/", "Инфо")</f>
        <v>Инфо</v>
      </c>
      <c r="F11666" s="34" t="s">
        <v>39</v>
      </c>
      <c r="G11666" s="33"/>
      <c r="H11666" s="33" t="s">
        <v>40</v>
      </c>
      <c r="I11666" s="33"/>
      <c r="J11666" s="35">
        <v>14</v>
      </c>
      <c r="K11666" s="33"/>
      <c r="L11666" s="35">
        <v>1</v>
      </c>
      <c r="M11666" s="35">
        <v>10</v>
      </c>
      <c r="N11666" s="35">
        <v>1</v>
      </c>
      <c r="O11666" s="36">
        <v>4729.53</v>
      </c>
      <c r="P11666" s="36">
        <v>3876.66</v>
      </c>
      <c r="Q11666" s="36">
        <v>3310.67</v>
      </c>
      <c r="R11666" s="36">
        <v>2713.66</v>
      </c>
      <c r="S11666" s="36">
        <v>2932.31</v>
      </c>
      <c r="T11666" s="36">
        <v>2403.5300000000002</v>
      </c>
      <c r="U11666" s="34"/>
      <c r="V11666" s="34"/>
      <c r="W11666" s="34"/>
      <c r="X11666" s="37">
        <v>0.95699999999999996</v>
      </c>
      <c r="Y11666" s="38">
        <v>3.4919999999999999E-3</v>
      </c>
      <c r="Z11666" s="21">
        <v>4601004257474</v>
      </c>
    </row>
    <row r="11667" spans="1:26" ht="12" customHeight="1" outlineLevel="5" x14ac:dyDescent="0.2">
      <c r="A11667" s="32" t="s">
        <v>22161</v>
      </c>
      <c r="B11667" s="74" t="s">
        <v>22162</v>
      </c>
      <c r="C11667" s="50"/>
      <c r="D11667" s="53">
        <f t="shared" si="182"/>
        <v>0</v>
      </c>
      <c r="E11667" s="60" t="str">
        <f>HYPERLINK("https://www.sds-group.ru/product/girlyanda-svetodiodnaya-set-treugolnaya-1-5h2h2m-136-led-belyy-chernyy-pvh-ip65-svechenie-s--215-005/", "Инфо")</f>
        <v>Инфо</v>
      </c>
      <c r="F11667" s="34" t="s">
        <v>39</v>
      </c>
      <c r="G11667" s="33"/>
      <c r="H11667" s="33" t="s">
        <v>40</v>
      </c>
      <c r="I11667" s="33"/>
      <c r="J11667" s="35">
        <v>3</v>
      </c>
      <c r="K11667" s="33"/>
      <c r="L11667" s="35">
        <v>1</v>
      </c>
      <c r="M11667" s="35">
        <v>10</v>
      </c>
      <c r="N11667" s="35">
        <v>1</v>
      </c>
      <c r="O11667" s="36">
        <v>5546.96</v>
      </c>
      <c r="P11667" s="36">
        <v>4546.6899999999996</v>
      </c>
      <c r="Q11667" s="36">
        <v>3882.87</v>
      </c>
      <c r="R11667" s="36">
        <v>3182.68</v>
      </c>
      <c r="S11667" s="36">
        <v>3439.12</v>
      </c>
      <c r="T11667" s="36">
        <v>2818.95</v>
      </c>
      <c r="U11667" s="34"/>
      <c r="V11667" s="34"/>
      <c r="W11667" s="34"/>
      <c r="X11667" s="37">
        <v>1.0209999999999999</v>
      </c>
      <c r="Y11667" s="38">
        <v>3.8530000000000001E-3</v>
      </c>
      <c r="Z11667" s="21">
        <v>4601004093089</v>
      </c>
    </row>
    <row r="11668" spans="1:26" ht="12" customHeight="1" outlineLevel="5" x14ac:dyDescent="0.2">
      <c r="A11668" s="32" t="s">
        <v>22163</v>
      </c>
      <c r="B11668" s="74" t="s">
        <v>22164</v>
      </c>
      <c r="C11668" s="50"/>
      <c r="D11668" s="53">
        <f t="shared" si="182"/>
        <v>0</v>
      </c>
      <c r="E11668" s="60" t="str">
        <f>HYPERLINK("https://www.sds-group.ru/product/girlyanda-svetodiodnaya-set-treugolnaya-1-5h2h2m-136-led-multi-prozrachnyy-pvh-ip65-svecheni-215-059/", "Инфо")</f>
        <v>Инфо</v>
      </c>
      <c r="F11668" s="34" t="s">
        <v>39</v>
      </c>
      <c r="G11668" s="33"/>
      <c r="H11668" s="33" t="s">
        <v>40</v>
      </c>
      <c r="I11668" s="33"/>
      <c r="J11668" s="35">
        <v>34</v>
      </c>
      <c r="K11668" s="33"/>
      <c r="L11668" s="35">
        <v>1</v>
      </c>
      <c r="M11668" s="35">
        <v>10</v>
      </c>
      <c r="N11668" s="35">
        <v>1</v>
      </c>
      <c r="O11668" s="36">
        <v>3433.37</v>
      </c>
      <c r="P11668" s="36">
        <v>2814.24</v>
      </c>
      <c r="Q11668" s="36">
        <v>2403.36</v>
      </c>
      <c r="R11668" s="36">
        <v>1969.97</v>
      </c>
      <c r="S11668" s="36">
        <v>2128.69</v>
      </c>
      <c r="T11668" s="36">
        <v>1744.83</v>
      </c>
      <c r="U11668" s="34"/>
      <c r="V11668" s="34"/>
      <c r="W11668" s="34"/>
      <c r="X11668" s="37">
        <v>0.95299999999999996</v>
      </c>
      <c r="Y11668" s="38">
        <v>3.4329999999999999E-3</v>
      </c>
      <c r="Z11668" s="21">
        <v>4601004257498</v>
      </c>
    </row>
    <row r="11669" spans="1:26" ht="12" customHeight="1" outlineLevel="5" x14ac:dyDescent="0.2">
      <c r="A11669" s="32" t="s">
        <v>22165</v>
      </c>
      <c r="B11669" s="74" t="s">
        <v>22166</v>
      </c>
      <c r="C11669" s="50"/>
      <c r="D11669" s="53">
        <f t="shared" si="182"/>
        <v>0</v>
      </c>
      <c r="E11669" s="60" t="str">
        <f>HYPERLINK("https://www.sds-group.ru/product/girlyanda-svetodiodnaya-set-treugolnaya-1-5h2h2m-136-led-multi-chernyy-pvh-ip65-svechenie-s--215-009/", "Инфо")</f>
        <v>Инфо</v>
      </c>
      <c r="F11669" s="34" t="s">
        <v>39</v>
      </c>
      <c r="G11669" s="33"/>
      <c r="H11669" s="33" t="s">
        <v>40</v>
      </c>
      <c r="I11669" s="33"/>
      <c r="J11669" s="35">
        <v>63</v>
      </c>
      <c r="K11669" s="33"/>
      <c r="L11669" s="35">
        <v>1</v>
      </c>
      <c r="M11669" s="35">
        <v>10</v>
      </c>
      <c r="N11669" s="35">
        <v>1</v>
      </c>
      <c r="O11669" s="36">
        <v>4480.6000000000004</v>
      </c>
      <c r="P11669" s="36">
        <v>3672.62</v>
      </c>
      <c r="Q11669" s="36">
        <v>3136.42</v>
      </c>
      <c r="R11669" s="36">
        <v>2570.84</v>
      </c>
      <c r="S11669" s="36">
        <v>2777.97</v>
      </c>
      <c r="T11669" s="36">
        <v>2277.02</v>
      </c>
      <c r="U11669" s="34"/>
      <c r="V11669" s="34"/>
      <c r="W11669" s="34"/>
      <c r="X11669" s="37">
        <v>1.016</v>
      </c>
      <c r="Y11669" s="38">
        <v>4.3319999999999999E-3</v>
      </c>
      <c r="Z11669" s="21">
        <v>4601004093102</v>
      </c>
    </row>
    <row r="11670" spans="1:26" ht="12" customHeight="1" outlineLevel="5" x14ac:dyDescent="0.2">
      <c r="A11670" s="32" t="s">
        <v>22167</v>
      </c>
      <c r="B11670" s="74" t="s">
        <v>22168</v>
      </c>
      <c r="C11670" s="50"/>
      <c r="D11670" s="53">
        <f t="shared" si="182"/>
        <v>0</v>
      </c>
      <c r="E11670" s="60" t="str">
        <f>HYPERLINK("https://www.sds-group.ru/product/girlyanda-svetodiodnaya-set-treugolnaya-1-5h2h2m-136-led-teplyy-belyy-chernyy-pvh-ip65-svech-215-006/", "Инфо")</f>
        <v>Инфо</v>
      </c>
      <c r="F11670" s="34" t="s">
        <v>39</v>
      </c>
      <c r="G11670" s="33"/>
      <c r="H11670" s="33" t="s">
        <v>40</v>
      </c>
      <c r="I11670" s="33"/>
      <c r="J11670" s="35">
        <v>37</v>
      </c>
      <c r="K11670" s="33"/>
      <c r="L11670" s="35">
        <v>1</v>
      </c>
      <c r="M11670" s="35">
        <v>10</v>
      </c>
      <c r="N11670" s="35">
        <v>1</v>
      </c>
      <c r="O11670" s="36">
        <v>3639.37</v>
      </c>
      <c r="P11670" s="36">
        <v>2983.09</v>
      </c>
      <c r="Q11670" s="36">
        <v>2547.56</v>
      </c>
      <c r="R11670" s="36">
        <v>2088.16</v>
      </c>
      <c r="S11670" s="36">
        <v>2256.41</v>
      </c>
      <c r="T11670" s="36">
        <v>1849.52</v>
      </c>
      <c r="U11670" s="34"/>
      <c r="V11670" s="34"/>
      <c r="W11670" s="34"/>
      <c r="X11670" s="37">
        <v>1.016</v>
      </c>
      <c r="Y11670" s="38">
        <v>2.2409999999999999E-3</v>
      </c>
      <c r="Z11670" s="21">
        <v>4601004093096</v>
      </c>
    </row>
    <row r="11671" spans="1:26" ht="12.95" customHeight="1" outlineLevel="4" x14ac:dyDescent="0.2">
      <c r="A11671" s="76" t="s">
        <v>22169</v>
      </c>
      <c r="B11671" s="76"/>
      <c r="C11671" s="77"/>
      <c r="D11671" s="58"/>
      <c r="E11671" s="68"/>
      <c r="F11671" s="13"/>
      <c r="G11671" s="13"/>
      <c r="H11671" s="13"/>
      <c r="I11671" s="13"/>
      <c r="J11671" s="13"/>
      <c r="K11671" s="13"/>
      <c r="L11671" s="13"/>
      <c r="M11671" s="13"/>
      <c r="N11671" s="13"/>
      <c r="O11671" s="13"/>
      <c r="P11671" s="13"/>
      <c r="Q11671" s="13"/>
      <c r="R11671" s="13"/>
      <c r="S11671" s="13"/>
      <c r="T11671" s="13"/>
      <c r="U11671" s="13"/>
      <c r="V11671" s="13"/>
      <c r="W11671" s="13"/>
      <c r="X11671" s="13"/>
      <c r="Y11671" s="13"/>
      <c r="Z11671" s="13"/>
    </row>
    <row r="11672" spans="1:26" ht="12" customHeight="1" outlineLevel="5" x14ac:dyDescent="0.2">
      <c r="A11672" s="32" t="s">
        <v>22170</v>
      </c>
      <c r="B11672" s="74" t="s">
        <v>22171</v>
      </c>
      <c r="C11672" s="50"/>
      <c r="D11672" s="53">
        <f t="shared" si="182"/>
        <v>0</v>
      </c>
      <c r="E11672" s="60" t="str">
        <f>HYPERLINK("https://www.sds-group.ru/product/girlyanda-svetodiodnaya-set-2-5h2-5m-432-led-belyy-chernyy-pvh-ip65-svechenie-s-dinamikoy-23-215-031/", "Инфо")</f>
        <v>Инфо</v>
      </c>
      <c r="F11672" s="34" t="s">
        <v>39</v>
      </c>
      <c r="G11672" s="33"/>
      <c r="H11672" s="33" t="s">
        <v>40</v>
      </c>
      <c r="I11672" s="33"/>
      <c r="J11672" s="35">
        <v>3</v>
      </c>
      <c r="K11672" s="33"/>
      <c r="L11672" s="35">
        <v>1</v>
      </c>
      <c r="M11672" s="35">
        <v>5</v>
      </c>
      <c r="N11672" s="35">
        <v>1</v>
      </c>
      <c r="O11672" s="36">
        <v>12200.92</v>
      </c>
      <c r="P11672" s="36">
        <v>10000.75</v>
      </c>
      <c r="Q11672" s="36">
        <v>12200.92</v>
      </c>
      <c r="R11672" s="36">
        <v>10000.75</v>
      </c>
      <c r="S11672" s="36">
        <v>7564.57</v>
      </c>
      <c r="T11672" s="36">
        <v>6200.47</v>
      </c>
      <c r="U11672" s="34"/>
      <c r="V11672" s="34"/>
      <c r="W11672" s="34" t="s">
        <v>40</v>
      </c>
      <c r="X11672" s="37">
        <v>2.5990000000000002</v>
      </c>
      <c r="Y11672" s="38">
        <v>9.1549999999999999E-3</v>
      </c>
      <c r="Z11672" s="21">
        <v>4601004013254</v>
      </c>
    </row>
    <row r="11673" spans="1:26" ht="12" customHeight="1" outlineLevel="5" x14ac:dyDescent="0.2">
      <c r="A11673" s="32" t="s">
        <v>22172</v>
      </c>
      <c r="B11673" s="74" t="s">
        <v>22173</v>
      </c>
      <c r="C11673" s="50"/>
      <c r="D11673" s="53">
        <f t="shared" si="182"/>
        <v>0</v>
      </c>
      <c r="E11673" s="60" t="str">
        <f>HYPERLINK("https://www.sds-group.ru/product/girlyanda-svetodiodnaya-set-2-5h2-5m-432-led-belyy-siniy-chernyy-pvh-ip65-postoyannoe-sveche-215-032/", "Инфо")</f>
        <v>Инфо</v>
      </c>
      <c r="F11673" s="34" t="s">
        <v>39</v>
      </c>
      <c r="G11673" s="33"/>
      <c r="H11673" s="33" t="s">
        <v>40</v>
      </c>
      <c r="I11673" s="33"/>
      <c r="J11673" s="34" t="s">
        <v>100</v>
      </c>
      <c r="K11673" s="33"/>
      <c r="L11673" s="35">
        <v>1</v>
      </c>
      <c r="M11673" s="35">
        <v>5</v>
      </c>
      <c r="N11673" s="35">
        <v>1</v>
      </c>
      <c r="O11673" s="36">
        <v>12823.99</v>
      </c>
      <c r="P11673" s="36">
        <v>10511.47</v>
      </c>
      <c r="Q11673" s="36">
        <v>8976.7900000000009</v>
      </c>
      <c r="R11673" s="36">
        <v>7358.02</v>
      </c>
      <c r="S11673" s="36">
        <v>7950.87</v>
      </c>
      <c r="T11673" s="36">
        <v>6517.11</v>
      </c>
      <c r="U11673" s="34"/>
      <c r="V11673" s="34"/>
      <c r="W11673" s="34"/>
      <c r="X11673" s="37">
        <v>2.548</v>
      </c>
      <c r="Y11673" s="38">
        <v>9.0840000000000001E-3</v>
      </c>
      <c r="Z11673" s="21">
        <v>4601004003743</v>
      </c>
    </row>
    <row r="11674" spans="1:26" ht="12" customHeight="1" outlineLevel="5" x14ac:dyDescent="0.2">
      <c r="A11674" s="14" t="s">
        <v>22174</v>
      </c>
      <c r="B11674" s="26" t="s">
        <v>22175</v>
      </c>
      <c r="C11674" s="52"/>
      <c r="D11674" s="55">
        <f t="shared" si="182"/>
        <v>0</v>
      </c>
      <c r="E11674" s="63" t="str">
        <f>HYPERLINK("https://www.sds-group.ru/product/girlyanda-svetodiodnaya-set-2-5h2-5m-432-led-krasnyy-siniy-chernyy-pvh-ip65-svechenie-s-dina-215-033/", "Инфо")</f>
        <v>Инфо</v>
      </c>
      <c r="F11674" s="16" t="s">
        <v>39</v>
      </c>
      <c r="G11674" s="15"/>
      <c r="H11674" s="15"/>
      <c r="I11674" s="15"/>
      <c r="J11674" s="17">
        <v>14</v>
      </c>
      <c r="K11674" s="15"/>
      <c r="L11674" s="17">
        <v>1</v>
      </c>
      <c r="M11674" s="17">
        <v>10</v>
      </c>
      <c r="N11674" s="17">
        <v>1</v>
      </c>
      <c r="O11674" s="18">
        <v>12200.92</v>
      </c>
      <c r="P11674" s="18">
        <v>10000.75</v>
      </c>
      <c r="Q11674" s="18">
        <v>12200.92</v>
      </c>
      <c r="R11674" s="18">
        <v>10000.75</v>
      </c>
      <c r="S11674" s="18">
        <v>7564.57</v>
      </c>
      <c r="T11674" s="18">
        <v>6200.47</v>
      </c>
      <c r="U11674" s="16"/>
      <c r="V11674" s="16"/>
      <c r="W11674" s="16" t="s">
        <v>40</v>
      </c>
      <c r="X11674" s="19">
        <v>3.4340000000000002</v>
      </c>
      <c r="Y11674" s="20">
        <v>1.2968E-2</v>
      </c>
      <c r="Z11674" s="21">
        <v>4601004003750</v>
      </c>
    </row>
    <row r="11675" spans="1:26" ht="12.95" customHeight="1" outlineLevel="3" x14ac:dyDescent="0.2">
      <c r="A11675" s="76" t="s">
        <v>22176</v>
      </c>
      <c r="B11675" s="76"/>
      <c r="C11675" s="77"/>
      <c r="D11675" s="58"/>
      <c r="E11675" s="68"/>
      <c r="F11675" s="13"/>
      <c r="G11675" s="13"/>
      <c r="H11675" s="13"/>
      <c r="I11675" s="13"/>
      <c r="J11675" s="13"/>
      <c r="K11675" s="13"/>
      <c r="L11675" s="13"/>
      <c r="M11675" s="13"/>
      <c r="N11675" s="13"/>
      <c r="O11675" s="13"/>
      <c r="P11675" s="13"/>
      <c r="Q11675" s="13"/>
      <c r="R11675" s="13"/>
      <c r="S11675" s="13"/>
      <c r="T11675" s="13"/>
      <c r="U11675" s="13"/>
      <c r="V11675" s="13"/>
      <c r="W11675" s="13"/>
      <c r="X11675" s="13"/>
      <c r="Y11675" s="13"/>
      <c r="Z11675" s="13"/>
    </row>
    <row r="11676" spans="1:26" ht="12.95" customHeight="1" outlineLevel="4" x14ac:dyDescent="0.2">
      <c r="A11676" s="76" t="s">
        <v>22177</v>
      </c>
      <c r="B11676" s="76"/>
      <c r="C11676" s="77"/>
      <c r="D11676" s="58"/>
      <c r="E11676" s="68"/>
      <c r="F11676" s="13"/>
      <c r="G11676" s="13"/>
      <c r="H11676" s="13"/>
      <c r="I11676" s="13"/>
      <c r="J11676" s="13"/>
      <c r="K11676" s="13"/>
      <c r="L11676" s="13"/>
      <c r="M11676" s="13"/>
      <c r="N11676" s="13"/>
      <c r="O11676" s="13"/>
      <c r="P11676" s="13"/>
      <c r="Q11676" s="13"/>
      <c r="R11676" s="13"/>
      <c r="S11676" s="13"/>
      <c r="T11676" s="13"/>
      <c r="U11676" s="13"/>
      <c r="V11676" s="13"/>
      <c r="W11676" s="13"/>
      <c r="X11676" s="13"/>
      <c r="Y11676" s="13"/>
      <c r="Z11676" s="13"/>
    </row>
    <row r="11677" spans="1:26" ht="12" customHeight="1" outlineLevel="5" x14ac:dyDescent="0.2">
      <c r="A11677" s="32" t="s">
        <v>22178</v>
      </c>
      <c r="B11677" s="74" t="s">
        <v>22179</v>
      </c>
      <c r="C11677" s="50"/>
      <c r="D11677" s="53">
        <f t="shared" si="182"/>
        <v>0</v>
      </c>
      <c r="E11677" s="60" t="str">
        <f>HYPERLINK("https://www.sds-group.ru/product/girlyanda-svetodiodnaya-set-2x1-5m-288-led-belyy-chernyy-kauchuk-ip67-postoyannoe-svechenie--217-115/", "Инфо")</f>
        <v>Инфо</v>
      </c>
      <c r="F11677" s="34" t="s">
        <v>39</v>
      </c>
      <c r="G11677" s="33"/>
      <c r="H11677" s="33" t="s">
        <v>40</v>
      </c>
      <c r="I11677" s="33"/>
      <c r="J11677" s="34" t="s">
        <v>100</v>
      </c>
      <c r="K11677" s="33"/>
      <c r="L11677" s="35">
        <v>1</v>
      </c>
      <c r="M11677" s="35">
        <v>10</v>
      </c>
      <c r="N11677" s="35">
        <v>1</v>
      </c>
      <c r="O11677" s="36">
        <v>10618.24</v>
      </c>
      <c r="P11677" s="36">
        <v>8703.48</v>
      </c>
      <c r="Q11677" s="36">
        <v>7432.77</v>
      </c>
      <c r="R11677" s="36">
        <v>6092.43</v>
      </c>
      <c r="S11677" s="36">
        <v>6583.31</v>
      </c>
      <c r="T11677" s="36">
        <v>5396.16</v>
      </c>
      <c r="U11677" s="34"/>
      <c r="V11677" s="34"/>
      <c r="W11677" s="34"/>
      <c r="X11677" s="37">
        <v>2.0529999999999999</v>
      </c>
      <c r="Y11677" s="38">
        <v>5.2680000000000001E-3</v>
      </c>
      <c r="Z11677" s="21">
        <v>4601004012509</v>
      </c>
    </row>
    <row r="11678" spans="1:26" ht="12" customHeight="1" outlineLevel="5" x14ac:dyDescent="0.2">
      <c r="A11678" s="32" t="s">
        <v>22180</v>
      </c>
      <c r="B11678" s="74" t="s">
        <v>22181</v>
      </c>
      <c r="C11678" s="50"/>
      <c r="D11678" s="53">
        <f t="shared" si="182"/>
        <v>0</v>
      </c>
      <c r="E11678" s="60" t="str">
        <f>HYPERLINK("https://www.sds-group.ru/product/girlyanda-svetodiodnaya-set-2x1-5m-288-led-multi-chernyy-kauchuk-ip67-postoyannoe-svechenie--217-119/", "Инфо")</f>
        <v>Инфо</v>
      </c>
      <c r="F11678" s="34" t="s">
        <v>39</v>
      </c>
      <c r="G11678" s="33"/>
      <c r="H11678" s="33" t="s">
        <v>40</v>
      </c>
      <c r="I11678" s="33"/>
      <c r="J11678" s="34" t="s">
        <v>100</v>
      </c>
      <c r="K11678" s="33"/>
      <c r="L11678" s="35">
        <v>1</v>
      </c>
      <c r="M11678" s="35">
        <v>6</v>
      </c>
      <c r="N11678" s="35">
        <v>1</v>
      </c>
      <c r="O11678" s="36">
        <v>9556.41</v>
      </c>
      <c r="P11678" s="36">
        <v>7833.12</v>
      </c>
      <c r="Q11678" s="36">
        <v>6689.49</v>
      </c>
      <c r="R11678" s="36">
        <v>5483.19</v>
      </c>
      <c r="S11678" s="36">
        <v>5924.97</v>
      </c>
      <c r="T11678" s="36">
        <v>4856.53</v>
      </c>
      <c r="U11678" s="34"/>
      <c r="V11678" s="34"/>
      <c r="W11678" s="34"/>
      <c r="X11678" s="37">
        <v>1.8540000000000001</v>
      </c>
      <c r="Y11678" s="38">
        <v>6.7879999999999998E-3</v>
      </c>
      <c r="Z11678" s="21">
        <v>4601004012516</v>
      </c>
    </row>
    <row r="11679" spans="1:26" ht="12.95" customHeight="1" outlineLevel="4" x14ac:dyDescent="0.2">
      <c r="A11679" s="76" t="s">
        <v>22182</v>
      </c>
      <c r="B11679" s="76"/>
      <c r="C11679" s="77"/>
      <c r="D11679" s="58"/>
      <c r="E11679" s="68"/>
      <c r="F11679" s="13"/>
      <c r="G11679" s="13"/>
      <c r="H11679" s="13"/>
      <c r="I11679" s="13"/>
      <c r="J11679" s="13"/>
      <c r="K11679" s="13"/>
      <c r="L11679" s="13"/>
      <c r="M11679" s="13"/>
      <c r="N11679" s="13"/>
      <c r="O11679" s="13"/>
      <c r="P11679" s="13"/>
      <c r="Q11679" s="13"/>
      <c r="R11679" s="13"/>
      <c r="S11679" s="13"/>
      <c r="T11679" s="13"/>
      <c r="U11679" s="13"/>
      <c r="V11679" s="13"/>
      <c r="W11679" s="13"/>
      <c r="X11679" s="13"/>
      <c r="Y11679" s="13"/>
      <c r="Z11679" s="13"/>
    </row>
    <row r="11680" spans="1:26" ht="12" customHeight="1" outlineLevel="5" x14ac:dyDescent="0.2">
      <c r="A11680" s="14" t="s">
        <v>22183</v>
      </c>
      <c r="B11680" s="26" t="s">
        <v>22184</v>
      </c>
      <c r="C11680" s="52"/>
      <c r="D11680" s="55">
        <f t="shared" si="182"/>
        <v>0</v>
      </c>
      <c r="E11680" s="63" t="str">
        <f>HYPERLINK("https://www.sds-group.ru/product/girlyanda-svetodiodnaya-set-2x3m-432-led-belyy-belyy-kauchuk-ip67-postoyannoe-svechenie-230v-217-145/", "Инфо")</f>
        <v>Инфо</v>
      </c>
      <c r="F11680" s="16" t="s">
        <v>39</v>
      </c>
      <c r="G11680" s="15"/>
      <c r="H11680" s="15"/>
      <c r="I11680" s="15"/>
      <c r="J11680" s="17">
        <v>20</v>
      </c>
      <c r="K11680" s="15" t="s">
        <v>11098</v>
      </c>
      <c r="L11680" s="17">
        <v>1</v>
      </c>
      <c r="M11680" s="17">
        <v>8</v>
      </c>
      <c r="N11680" s="17">
        <v>1</v>
      </c>
      <c r="O11680" s="18">
        <v>20103.57</v>
      </c>
      <c r="P11680" s="18">
        <v>16478.34</v>
      </c>
      <c r="Q11680" s="18">
        <v>20103.57</v>
      </c>
      <c r="R11680" s="18">
        <v>16478.34</v>
      </c>
      <c r="S11680" s="18">
        <v>12464.21</v>
      </c>
      <c r="T11680" s="18">
        <v>10216.57</v>
      </c>
      <c r="U11680" s="16"/>
      <c r="V11680" s="16"/>
      <c r="W11680" s="16" t="s">
        <v>40</v>
      </c>
      <c r="X11680" s="19">
        <v>2.8730000000000002</v>
      </c>
      <c r="Y11680" s="20">
        <v>9.4389999999999995E-3</v>
      </c>
      <c r="Z11680" s="21">
        <v>4601004087477</v>
      </c>
    </row>
    <row r="11681" spans="1:26" ht="12" customHeight="1" outlineLevel="5" x14ac:dyDescent="0.2">
      <c r="A11681" s="14" t="s">
        <v>22185</v>
      </c>
      <c r="B11681" s="26" t="s">
        <v>22186</v>
      </c>
      <c r="C11681" s="52"/>
      <c r="D11681" s="55">
        <f t="shared" si="182"/>
        <v>0</v>
      </c>
      <c r="E11681" s="63" t="str">
        <f>HYPERLINK("https://www.sds-group.ru/product/girlyanda-svetodiodnaya-set-2x3m-432-led-belyy-chernyy-kauchuk-ip67-postoyannoe-svechenie-23-217-125/", "Инфо")</f>
        <v>Инфо</v>
      </c>
      <c r="F11681" s="16" t="s">
        <v>39</v>
      </c>
      <c r="G11681" s="15"/>
      <c r="H11681" s="15"/>
      <c r="I11681" s="15"/>
      <c r="J11681" s="16" t="s">
        <v>100</v>
      </c>
      <c r="K11681" s="15" t="s">
        <v>11098</v>
      </c>
      <c r="L11681" s="17">
        <v>1</v>
      </c>
      <c r="M11681" s="17">
        <v>7</v>
      </c>
      <c r="N11681" s="17">
        <v>1</v>
      </c>
      <c r="O11681" s="18">
        <v>20103.57</v>
      </c>
      <c r="P11681" s="18">
        <v>16478.34</v>
      </c>
      <c r="Q11681" s="18">
        <v>20103.57</v>
      </c>
      <c r="R11681" s="18">
        <v>16478.34</v>
      </c>
      <c r="S11681" s="18">
        <v>12464.21</v>
      </c>
      <c r="T11681" s="18">
        <v>10216.57</v>
      </c>
      <c r="U11681" s="16"/>
      <c r="V11681" s="16"/>
      <c r="W11681" s="16" t="s">
        <v>40</v>
      </c>
      <c r="X11681" s="19">
        <v>2.851</v>
      </c>
      <c r="Y11681" s="20">
        <v>9.3900000000000008E-3</v>
      </c>
      <c r="Z11681" s="21">
        <v>4601004012530</v>
      </c>
    </row>
    <row r="11682" spans="1:26" ht="12" customHeight="1" outlineLevel="5" x14ac:dyDescent="0.2">
      <c r="A11682" s="14" t="s">
        <v>22187</v>
      </c>
      <c r="B11682" s="26" t="s">
        <v>22188</v>
      </c>
      <c r="C11682" s="52"/>
      <c r="D11682" s="55">
        <f t="shared" si="182"/>
        <v>0</v>
      </c>
      <c r="E11682" s="63" t="str">
        <f>HYPERLINK("https://www.sds-group.ru/product/girlyanda-svetodiodnaya-set-2x3m-432-led-multi-chernyy-kauchuk-ip67-postoyannoe-svechenie-23-217-129/", "Инфо")</f>
        <v>Инфо</v>
      </c>
      <c r="F11682" s="16" t="s">
        <v>39</v>
      </c>
      <c r="G11682" s="15"/>
      <c r="H11682" s="15"/>
      <c r="I11682" s="15"/>
      <c r="J11682" s="17">
        <v>70</v>
      </c>
      <c r="K11682" s="15"/>
      <c r="L11682" s="17">
        <v>1</v>
      </c>
      <c r="M11682" s="17">
        <v>7</v>
      </c>
      <c r="N11682" s="17">
        <v>1</v>
      </c>
      <c r="O11682" s="18">
        <v>20103.57</v>
      </c>
      <c r="P11682" s="18">
        <v>16478.34</v>
      </c>
      <c r="Q11682" s="18">
        <v>20103.57</v>
      </c>
      <c r="R11682" s="18">
        <v>16478.34</v>
      </c>
      <c r="S11682" s="18">
        <v>12464.21</v>
      </c>
      <c r="T11682" s="18">
        <v>10216.57</v>
      </c>
      <c r="U11682" s="16"/>
      <c r="V11682" s="16"/>
      <c r="W11682" s="16" t="s">
        <v>40</v>
      </c>
      <c r="X11682" s="19">
        <v>2.8530000000000002</v>
      </c>
      <c r="Y11682" s="20">
        <v>9.4570000000000001E-3</v>
      </c>
      <c r="Z11682" s="21">
        <v>4601004012554</v>
      </c>
    </row>
    <row r="11683" spans="1:26" ht="12" customHeight="1" outlineLevel="5" x14ac:dyDescent="0.2">
      <c r="A11683" s="14" t="s">
        <v>22189</v>
      </c>
      <c r="B11683" s="26" t="s">
        <v>22190</v>
      </c>
      <c r="C11683" s="52"/>
      <c r="D11683" s="55">
        <f t="shared" si="182"/>
        <v>0</v>
      </c>
      <c r="E11683" s="63" t="str">
        <f>HYPERLINK("https://www.sds-group.ru/product/girlyanda-svetodiodnaya-set-2x3m-432-led-teplyy-belyy-belyy-kauchuk-ip67-postoyannoe-svechen-217-146/", "Инфо")</f>
        <v>Инфо</v>
      </c>
      <c r="F11683" s="16" t="s">
        <v>39</v>
      </c>
      <c r="G11683" s="15"/>
      <c r="H11683" s="15"/>
      <c r="I11683" s="15"/>
      <c r="J11683" s="16" t="s">
        <v>100</v>
      </c>
      <c r="K11683" s="15"/>
      <c r="L11683" s="17">
        <v>1</v>
      </c>
      <c r="M11683" s="17">
        <v>7</v>
      </c>
      <c r="N11683" s="17">
        <v>1</v>
      </c>
      <c r="O11683" s="18">
        <v>20103.57</v>
      </c>
      <c r="P11683" s="18">
        <v>16478.34</v>
      </c>
      <c r="Q11683" s="18">
        <v>20103.57</v>
      </c>
      <c r="R11683" s="18">
        <v>16478.34</v>
      </c>
      <c r="S11683" s="18">
        <v>12464.21</v>
      </c>
      <c r="T11683" s="18">
        <v>10216.57</v>
      </c>
      <c r="U11683" s="16"/>
      <c r="V11683" s="16"/>
      <c r="W11683" s="16" t="s">
        <v>40</v>
      </c>
      <c r="X11683" s="19">
        <v>2.8780000000000001</v>
      </c>
      <c r="Y11683" s="20">
        <v>9.3519999999999992E-3</v>
      </c>
      <c r="Z11683" s="21">
        <v>4601004087484</v>
      </c>
    </row>
    <row r="11684" spans="1:26" ht="12" customHeight="1" outlineLevel="5" x14ac:dyDescent="0.2">
      <c r="A11684" s="14" t="s">
        <v>22191</v>
      </c>
      <c r="B11684" s="26" t="s">
        <v>22192</v>
      </c>
      <c r="C11684" s="52"/>
      <c r="D11684" s="55">
        <f t="shared" si="182"/>
        <v>0</v>
      </c>
      <c r="E11684" s="63" t="str">
        <f>HYPERLINK("https://www.sds-group.ru/product/girlyanda-svetodiodnaya-set-2x3m-432-led-teplyy-belyy-chernyy-kauchuk-ip67-postoyannoe-svech-217-126/", "Инфо")</f>
        <v>Инфо</v>
      </c>
      <c r="F11684" s="16" t="s">
        <v>39</v>
      </c>
      <c r="G11684" s="15"/>
      <c r="H11684" s="15"/>
      <c r="I11684" s="15"/>
      <c r="J11684" s="17">
        <v>157</v>
      </c>
      <c r="K11684" s="15"/>
      <c r="L11684" s="17">
        <v>1</v>
      </c>
      <c r="M11684" s="17">
        <v>7</v>
      </c>
      <c r="N11684" s="17">
        <v>1</v>
      </c>
      <c r="O11684" s="18">
        <v>20103.57</v>
      </c>
      <c r="P11684" s="18">
        <v>16478.34</v>
      </c>
      <c r="Q11684" s="18">
        <v>20103.57</v>
      </c>
      <c r="R11684" s="18">
        <v>16478.34</v>
      </c>
      <c r="S11684" s="18">
        <v>12464.21</v>
      </c>
      <c r="T11684" s="18">
        <v>10216.57</v>
      </c>
      <c r="U11684" s="16"/>
      <c r="V11684" s="16"/>
      <c r="W11684" s="16" t="s">
        <v>40</v>
      </c>
      <c r="X11684" s="19">
        <v>2.8530000000000002</v>
      </c>
      <c r="Y11684" s="20">
        <v>9.4140000000000005E-3</v>
      </c>
      <c r="Z11684" s="21">
        <v>4601004012547</v>
      </c>
    </row>
    <row r="11685" spans="1:26" ht="12.95" customHeight="1" outlineLevel="4" x14ac:dyDescent="0.2">
      <c r="A11685" s="76" t="s">
        <v>22193</v>
      </c>
      <c r="B11685" s="76"/>
      <c r="C11685" s="77"/>
      <c r="D11685" s="58"/>
      <c r="E11685" s="68"/>
      <c r="F11685" s="13"/>
      <c r="G11685" s="13"/>
      <c r="H11685" s="13"/>
      <c r="I11685" s="13"/>
      <c r="J11685" s="13"/>
      <c r="K11685" s="13"/>
      <c r="L11685" s="13"/>
      <c r="M11685" s="13"/>
      <c r="N11685" s="13"/>
      <c r="O11685" s="13"/>
      <c r="P11685" s="13"/>
      <c r="Q11685" s="13"/>
      <c r="R11685" s="13"/>
      <c r="S11685" s="13"/>
      <c r="T11685" s="13"/>
      <c r="U11685" s="13"/>
      <c r="V11685" s="13"/>
      <c r="W11685" s="13"/>
      <c r="X11685" s="13"/>
      <c r="Y11685" s="13"/>
      <c r="Z11685" s="13"/>
    </row>
    <row r="11686" spans="1:26" ht="12" customHeight="1" outlineLevel="5" x14ac:dyDescent="0.2">
      <c r="A11686" s="32" t="s">
        <v>22194</v>
      </c>
      <c r="B11686" s="74" t="s">
        <v>22195</v>
      </c>
      <c r="C11686" s="50"/>
      <c r="D11686" s="53">
        <f t="shared" si="182"/>
        <v>0</v>
      </c>
      <c r="E11686" s="60" t="str">
        <f>HYPERLINK("https://www.sds-group.ru/product/girlyanda-svetodiodnaya-set-2x4m-560-led-belyy-chernyy-kauchuk-ip67-postoyannoe-svechenie-23-217-135/", "Инфо")</f>
        <v>Инфо</v>
      </c>
      <c r="F11686" s="34" t="s">
        <v>39</v>
      </c>
      <c r="G11686" s="33"/>
      <c r="H11686" s="33" t="s">
        <v>40</v>
      </c>
      <c r="I11686" s="33"/>
      <c r="J11686" s="35">
        <v>3</v>
      </c>
      <c r="K11686" s="33"/>
      <c r="L11686" s="35">
        <v>1</v>
      </c>
      <c r="M11686" s="35">
        <v>5</v>
      </c>
      <c r="N11686" s="35">
        <v>1</v>
      </c>
      <c r="O11686" s="36">
        <v>20544.98</v>
      </c>
      <c r="P11686" s="36">
        <v>16840.150000000001</v>
      </c>
      <c r="Q11686" s="36">
        <v>14381.49</v>
      </c>
      <c r="R11686" s="36">
        <v>11788.11</v>
      </c>
      <c r="S11686" s="36">
        <v>12737.89</v>
      </c>
      <c r="T11686" s="36">
        <v>10440.89</v>
      </c>
      <c r="U11686" s="34"/>
      <c r="V11686" s="34"/>
      <c r="W11686" s="34"/>
      <c r="X11686" s="37">
        <v>3.5779999999999998</v>
      </c>
      <c r="Y11686" s="38">
        <v>1.0087E-2</v>
      </c>
      <c r="Z11686" s="21">
        <v>4601004012578</v>
      </c>
    </row>
    <row r="11687" spans="1:26" ht="12.95" customHeight="1" outlineLevel="2" x14ac:dyDescent="0.2">
      <c r="A11687" s="76" t="s">
        <v>22196</v>
      </c>
      <c r="B11687" s="76"/>
      <c r="C11687" s="77"/>
      <c r="D11687" s="58"/>
      <c r="E11687" s="68"/>
      <c r="F11687" s="13"/>
      <c r="G11687" s="13"/>
      <c r="H11687" s="13"/>
      <c r="I11687" s="13"/>
      <c r="J11687" s="13"/>
      <c r="K11687" s="13"/>
      <c r="L11687" s="13"/>
      <c r="M11687" s="13"/>
      <c r="N11687" s="13"/>
      <c r="O11687" s="13"/>
      <c r="P11687" s="13"/>
      <c r="Q11687" s="13"/>
      <c r="R11687" s="13"/>
      <c r="S11687" s="13"/>
      <c r="T11687" s="13"/>
      <c r="U11687" s="13"/>
      <c r="V11687" s="13"/>
      <c r="W11687" s="13"/>
      <c r="X11687" s="13"/>
      <c r="Y11687" s="13"/>
      <c r="Z11687" s="13"/>
    </row>
    <row r="11688" spans="1:26" ht="12.95" customHeight="1" outlineLevel="3" x14ac:dyDescent="0.2">
      <c r="A11688" s="76" t="s">
        <v>22197</v>
      </c>
      <c r="B11688" s="76"/>
      <c r="C11688" s="77"/>
      <c r="D11688" s="58"/>
      <c r="E11688" s="68"/>
      <c r="F11688" s="13"/>
      <c r="G11688" s="13"/>
      <c r="H11688" s="13"/>
      <c r="I11688" s="13"/>
      <c r="J11688" s="13"/>
      <c r="K11688" s="13"/>
      <c r="L11688" s="13"/>
      <c r="M11688" s="13"/>
      <c r="N11688" s="13"/>
      <c r="O11688" s="13"/>
      <c r="P11688" s="13"/>
      <c r="Q11688" s="13"/>
      <c r="R11688" s="13"/>
      <c r="S11688" s="13"/>
      <c r="T11688" s="13"/>
      <c r="U11688" s="13"/>
      <c r="V11688" s="13"/>
      <c r="W11688" s="13"/>
      <c r="X11688" s="13"/>
      <c r="Y11688" s="13"/>
      <c r="Z11688" s="13"/>
    </row>
    <row r="11689" spans="1:26" ht="12" customHeight="1" outlineLevel="4" x14ac:dyDescent="0.2">
      <c r="A11689" s="14" t="s">
        <v>22198</v>
      </c>
      <c r="B11689" s="26" t="s">
        <v>22199</v>
      </c>
      <c r="C11689" s="52"/>
      <c r="D11689" s="55">
        <f t="shared" si="182"/>
        <v>0</v>
      </c>
      <c r="E11689" s="63" t="str">
        <f>HYPERLINK("https://www.sds-group.ru/product/girlyanda-svetodiodnaya-nit-10m-100-led-rgb-prozrachnyy-pvh-ip65-svechenie-s-dinamikoy-230v--245-409/", "Инфо")</f>
        <v>Инфо</v>
      </c>
      <c r="F11689" s="16" t="s">
        <v>39</v>
      </c>
      <c r="G11689" s="15"/>
      <c r="H11689" s="15"/>
      <c r="I11689" s="15"/>
      <c r="J11689" s="16" t="s">
        <v>100</v>
      </c>
      <c r="K11689" s="15" t="s">
        <v>11098</v>
      </c>
      <c r="L11689" s="17">
        <v>1</v>
      </c>
      <c r="M11689" s="17">
        <v>30</v>
      </c>
      <c r="N11689" s="17">
        <v>1</v>
      </c>
      <c r="O11689" s="18">
        <v>6040.62</v>
      </c>
      <c r="P11689" s="18">
        <v>4951.33</v>
      </c>
      <c r="Q11689" s="18">
        <v>6040.62</v>
      </c>
      <c r="R11689" s="18">
        <v>4951.33</v>
      </c>
      <c r="S11689" s="18">
        <v>3745.18</v>
      </c>
      <c r="T11689" s="18">
        <v>3069.82</v>
      </c>
      <c r="U11689" s="16"/>
      <c r="V11689" s="16"/>
      <c r="W11689" s="16" t="s">
        <v>40</v>
      </c>
      <c r="X11689" s="19">
        <v>0.47499999999999998</v>
      </c>
      <c r="Y11689" s="20">
        <v>1.495E-3</v>
      </c>
      <c r="Z11689" s="21">
        <v>4601004090545</v>
      </c>
    </row>
    <row r="11690" spans="1:26" ht="12" customHeight="1" outlineLevel="4" x14ac:dyDescent="0.2">
      <c r="A11690" s="14" t="s">
        <v>22200</v>
      </c>
      <c r="B11690" s="26" t="s">
        <v>22201</v>
      </c>
      <c r="C11690" s="52"/>
      <c r="D11690" s="55">
        <f t="shared" si="182"/>
        <v>0</v>
      </c>
      <c r="E11690" s="63" t="str">
        <f>HYPERLINK("https://www.sds-group.ru/product/girlyanda-svetodiodnaya-nit-10m-100-led-rgb-chernyy-pvh-ip65-svechenie-s-dinamikoy-230v-soed-245-408/", "Инфо")</f>
        <v>Инфо</v>
      </c>
      <c r="F11690" s="16" t="s">
        <v>39</v>
      </c>
      <c r="G11690" s="15"/>
      <c r="H11690" s="15"/>
      <c r="I11690" s="15"/>
      <c r="J11690" s="17">
        <v>3</v>
      </c>
      <c r="K11690" s="15" t="s">
        <v>11098</v>
      </c>
      <c r="L11690" s="17">
        <v>1</v>
      </c>
      <c r="M11690" s="17">
        <v>30</v>
      </c>
      <c r="N11690" s="17">
        <v>1</v>
      </c>
      <c r="O11690" s="18">
        <v>5752.97</v>
      </c>
      <c r="P11690" s="18">
        <v>4715.55</v>
      </c>
      <c r="Q11690" s="18">
        <v>5752.97</v>
      </c>
      <c r="R11690" s="18">
        <v>4715.55</v>
      </c>
      <c r="S11690" s="18">
        <v>3566.84</v>
      </c>
      <c r="T11690" s="18">
        <v>2923.64</v>
      </c>
      <c r="U11690" s="16"/>
      <c r="V11690" s="16"/>
      <c r="W11690" s="16" t="s">
        <v>40</v>
      </c>
      <c r="X11690" s="19">
        <v>0.54400000000000004</v>
      </c>
      <c r="Y11690" s="20">
        <v>1.632E-3</v>
      </c>
      <c r="Z11690" s="21">
        <v>4601004279384</v>
      </c>
    </row>
    <row r="11691" spans="1:26" ht="12" customHeight="1" outlineLevel="4" x14ac:dyDescent="0.2">
      <c r="A11691" s="14" t="s">
        <v>22202</v>
      </c>
      <c r="B11691" s="26" t="s">
        <v>22203</v>
      </c>
      <c r="C11691" s="52"/>
      <c r="D11691" s="55">
        <f t="shared" si="182"/>
        <v>0</v>
      </c>
      <c r="E11691" s="63" t="str">
        <f>HYPERLINK("https://www.sds-group.ru/product/girlyanda-svetodiodnaya-nit-10m-100-led-belyy-belyy-pvh-ip65-postoyannoe-svechenie-230v-soed-305-165/", "Инфо")</f>
        <v>Инфо</v>
      </c>
      <c r="F11691" s="16" t="s">
        <v>39</v>
      </c>
      <c r="G11691" s="15"/>
      <c r="H11691" s="15"/>
      <c r="I11691" s="15"/>
      <c r="J11691" s="17">
        <v>115</v>
      </c>
      <c r="K11691" s="15" t="s">
        <v>1277</v>
      </c>
      <c r="L11691" s="17">
        <v>1</v>
      </c>
      <c r="M11691" s="17">
        <v>50</v>
      </c>
      <c r="N11691" s="17">
        <v>1</v>
      </c>
      <c r="O11691" s="18">
        <v>3220.56</v>
      </c>
      <c r="P11691" s="18">
        <v>2639.8</v>
      </c>
      <c r="Q11691" s="18">
        <v>3220.56</v>
      </c>
      <c r="R11691" s="18">
        <v>2639.8</v>
      </c>
      <c r="S11691" s="18">
        <v>1996.75</v>
      </c>
      <c r="T11691" s="18">
        <v>1636.68</v>
      </c>
      <c r="U11691" s="16"/>
      <c r="V11691" s="16"/>
      <c r="W11691" s="16" t="s">
        <v>40</v>
      </c>
      <c r="X11691" s="19">
        <v>0.51300000000000001</v>
      </c>
      <c r="Y11691" s="20">
        <v>3.8730000000000001E-3</v>
      </c>
      <c r="Z11691" s="21">
        <v>4601004092532</v>
      </c>
    </row>
    <row r="11692" spans="1:26" ht="12" customHeight="1" outlineLevel="4" x14ac:dyDescent="0.2">
      <c r="A11692" s="14" t="s">
        <v>22204</v>
      </c>
      <c r="B11692" s="26" t="s">
        <v>22205</v>
      </c>
      <c r="C11692" s="52"/>
      <c r="D11692" s="55">
        <f t="shared" si="182"/>
        <v>0</v>
      </c>
      <c r="E11692" s="63" t="str">
        <f>HYPERLINK("https://www.sds-group.ru/product/girlyanda-svetodiodnaya-nit-10m-100-led-belyy-belyy-pvh-ip65-postoyannoe-svechenie-24v-soedi-305-135/", "Инфо")</f>
        <v>Инфо</v>
      </c>
      <c r="F11692" s="16" t="s">
        <v>39</v>
      </c>
      <c r="G11692" s="15"/>
      <c r="H11692" s="15"/>
      <c r="I11692" s="15"/>
      <c r="J11692" s="17">
        <v>1</v>
      </c>
      <c r="K11692" s="15" t="s">
        <v>1277</v>
      </c>
      <c r="L11692" s="17">
        <v>1</v>
      </c>
      <c r="M11692" s="17">
        <v>50</v>
      </c>
      <c r="N11692" s="17">
        <v>1</v>
      </c>
      <c r="O11692" s="18">
        <v>3324.62</v>
      </c>
      <c r="P11692" s="18">
        <v>2725.1</v>
      </c>
      <c r="Q11692" s="18">
        <v>3324.62</v>
      </c>
      <c r="R11692" s="18">
        <v>2725.1</v>
      </c>
      <c r="S11692" s="18">
        <v>2061.2600000000002</v>
      </c>
      <c r="T11692" s="18">
        <v>1689.56</v>
      </c>
      <c r="U11692" s="16"/>
      <c r="V11692" s="16"/>
      <c r="W11692" s="16" t="s">
        <v>40</v>
      </c>
      <c r="X11692" s="19">
        <v>0.55900000000000005</v>
      </c>
      <c r="Y11692" s="20">
        <v>1.9220000000000001E-3</v>
      </c>
      <c r="Z11692" s="21">
        <v>4601004092327</v>
      </c>
    </row>
    <row r="11693" spans="1:26" ht="12" customHeight="1" outlineLevel="4" x14ac:dyDescent="0.2">
      <c r="A11693" s="14" t="s">
        <v>22206</v>
      </c>
      <c r="B11693" s="26" t="s">
        <v>22207</v>
      </c>
      <c r="C11693" s="52"/>
      <c r="D11693" s="55">
        <f t="shared" si="182"/>
        <v>0</v>
      </c>
      <c r="E11693" s="63" t="str">
        <f>HYPERLINK("https://www.sds-group.ru/product/girlyanda-svetodiodnaya-nit-10m-100-led-belyy-belyy-pvh-ip65-effekt-mertsaniya-230v-soedinya-305-265/", "Инфо")</f>
        <v>Инфо</v>
      </c>
      <c r="F11693" s="16" t="s">
        <v>39</v>
      </c>
      <c r="G11693" s="15"/>
      <c r="H11693" s="15"/>
      <c r="I11693" s="15"/>
      <c r="J11693" s="17">
        <v>11</v>
      </c>
      <c r="K11693" s="15" t="s">
        <v>1277</v>
      </c>
      <c r="L11693" s="17">
        <v>1</v>
      </c>
      <c r="M11693" s="17">
        <v>20</v>
      </c>
      <c r="N11693" s="17">
        <v>1</v>
      </c>
      <c r="O11693" s="18">
        <v>3272.87</v>
      </c>
      <c r="P11693" s="18">
        <v>2682.68</v>
      </c>
      <c r="Q11693" s="18">
        <v>3272.87</v>
      </c>
      <c r="R11693" s="18">
        <v>2682.68</v>
      </c>
      <c r="S11693" s="18">
        <v>2029.18</v>
      </c>
      <c r="T11693" s="18">
        <v>1663.26</v>
      </c>
      <c r="U11693" s="16"/>
      <c r="V11693" s="16"/>
      <c r="W11693" s="16" t="s">
        <v>40</v>
      </c>
      <c r="X11693" s="19">
        <v>0.52800000000000002</v>
      </c>
      <c r="Y11693" s="20">
        <v>1.7570000000000001E-3</v>
      </c>
      <c r="Z11693" s="21">
        <v>4601004092921</v>
      </c>
    </row>
    <row r="11694" spans="1:26" ht="12" customHeight="1" outlineLevel="4" x14ac:dyDescent="0.2">
      <c r="A11694" s="14" t="s">
        <v>22208</v>
      </c>
      <c r="B11694" s="26" t="s">
        <v>22209</v>
      </c>
      <c r="C11694" s="52"/>
      <c r="D11694" s="55">
        <f t="shared" si="182"/>
        <v>0</v>
      </c>
      <c r="E11694" s="63" t="str">
        <f>HYPERLINK("https://www.sds-group.ru/product/girlyanda-svetodiodnaya-nit-10m-100-led-belyy-belyy-pvh-ip65-effekt-mertsaniya-24v-soedinyae-305-235/", "Инфо")</f>
        <v>Инфо</v>
      </c>
      <c r="F11694" s="16" t="s">
        <v>39</v>
      </c>
      <c r="G11694" s="15"/>
      <c r="H11694" s="15"/>
      <c r="I11694" s="15"/>
      <c r="J11694" s="17">
        <v>101</v>
      </c>
      <c r="K11694" s="15" t="s">
        <v>21221</v>
      </c>
      <c r="L11694" s="17">
        <v>1</v>
      </c>
      <c r="M11694" s="17">
        <v>20</v>
      </c>
      <c r="N11694" s="17">
        <v>1</v>
      </c>
      <c r="O11694" s="18">
        <v>3734.17</v>
      </c>
      <c r="P11694" s="18">
        <v>3060.8</v>
      </c>
      <c r="Q11694" s="18">
        <v>3734.17</v>
      </c>
      <c r="R11694" s="18">
        <v>3060.8</v>
      </c>
      <c r="S11694" s="18">
        <v>2315.19</v>
      </c>
      <c r="T11694" s="18">
        <v>1897.7</v>
      </c>
      <c r="U11694" s="16"/>
      <c r="V11694" s="16"/>
      <c r="W11694" s="16" t="s">
        <v>40</v>
      </c>
      <c r="X11694" s="19">
        <v>0.501</v>
      </c>
      <c r="Y11694" s="20">
        <v>1.7359999999999999E-3</v>
      </c>
      <c r="Z11694" s="21">
        <v>4601004092747</v>
      </c>
    </row>
    <row r="11695" spans="1:26" ht="12" customHeight="1" outlineLevel="4" x14ac:dyDescent="0.2">
      <c r="A11695" s="14" t="s">
        <v>22210</v>
      </c>
      <c r="B11695" s="26" t="s">
        <v>22211</v>
      </c>
      <c r="C11695" s="52"/>
      <c r="D11695" s="55">
        <f t="shared" si="182"/>
        <v>0</v>
      </c>
      <c r="E11695" s="63" t="str">
        <f>HYPERLINK("https://www.sds-group.ru/product/girlyanda-svetodiodnaya-nit-10m-100-led-belyy-prozrachnyy-pvh-ip65-postoyannoe-svechenie-230-305-185/", "Инфо")</f>
        <v>Инфо</v>
      </c>
      <c r="F11695" s="16" t="s">
        <v>39</v>
      </c>
      <c r="G11695" s="15"/>
      <c r="H11695" s="15"/>
      <c r="I11695" s="15"/>
      <c r="J11695" s="16" t="s">
        <v>100</v>
      </c>
      <c r="K11695" s="15"/>
      <c r="L11695" s="17">
        <v>1</v>
      </c>
      <c r="M11695" s="17">
        <v>50</v>
      </c>
      <c r="N11695" s="17">
        <v>1</v>
      </c>
      <c r="O11695" s="18">
        <v>3220.56</v>
      </c>
      <c r="P11695" s="18">
        <v>2639.8</v>
      </c>
      <c r="Q11695" s="18">
        <v>3220.56</v>
      </c>
      <c r="R11695" s="18">
        <v>2639.8</v>
      </c>
      <c r="S11695" s="18">
        <v>1996.75</v>
      </c>
      <c r="T11695" s="18">
        <v>1636.68</v>
      </c>
      <c r="U11695" s="16"/>
      <c r="V11695" s="16"/>
      <c r="W11695" s="16" t="s">
        <v>40</v>
      </c>
      <c r="X11695" s="19">
        <v>0.47299999999999998</v>
      </c>
      <c r="Y11695" s="20">
        <v>2.1979999999999999E-3</v>
      </c>
      <c r="Z11695" s="21">
        <v>4601004092679</v>
      </c>
    </row>
    <row r="11696" spans="1:26" ht="12" customHeight="1" outlineLevel="4" x14ac:dyDescent="0.2">
      <c r="A11696" s="14" t="s">
        <v>22212</v>
      </c>
      <c r="B11696" s="26" t="s">
        <v>22213</v>
      </c>
      <c r="C11696" s="52"/>
      <c r="D11696" s="55">
        <f t="shared" si="182"/>
        <v>0</v>
      </c>
      <c r="E11696" s="63" t="str">
        <f>HYPERLINK("https://www.sds-group.ru/product/girlyanda-svetodiodnaya-nit-10m-100-led-belyy-prozrachnyy-pvh-ip65-postoyannoe-svechenie-24v-305-155/", "Инфо")</f>
        <v>Инфо</v>
      </c>
      <c r="F11696" s="16" t="s">
        <v>39</v>
      </c>
      <c r="G11696" s="15"/>
      <c r="H11696" s="15"/>
      <c r="I11696" s="15"/>
      <c r="J11696" s="17">
        <v>852</v>
      </c>
      <c r="K11696" s="15"/>
      <c r="L11696" s="17">
        <v>1</v>
      </c>
      <c r="M11696" s="17">
        <v>20</v>
      </c>
      <c r="N11696" s="17">
        <v>1</v>
      </c>
      <c r="O11696" s="18">
        <v>3324.62</v>
      </c>
      <c r="P11696" s="18">
        <v>2725.1</v>
      </c>
      <c r="Q11696" s="18">
        <v>3324.62</v>
      </c>
      <c r="R11696" s="18">
        <v>2725.1</v>
      </c>
      <c r="S11696" s="18">
        <v>2061.2600000000002</v>
      </c>
      <c r="T11696" s="18">
        <v>1689.56</v>
      </c>
      <c r="U11696" s="16"/>
      <c r="V11696" s="16"/>
      <c r="W11696" s="16" t="s">
        <v>40</v>
      </c>
      <c r="X11696" s="19">
        <v>0.49199999999999999</v>
      </c>
      <c r="Y11696" s="20">
        <v>1.696E-3</v>
      </c>
      <c r="Z11696" s="21">
        <v>4601004092464</v>
      </c>
    </row>
    <row r="11697" spans="1:26" ht="12" customHeight="1" outlineLevel="4" x14ac:dyDescent="0.2">
      <c r="A11697" s="14" t="s">
        <v>22214</v>
      </c>
      <c r="B11697" s="26" t="s">
        <v>22215</v>
      </c>
      <c r="C11697" s="52"/>
      <c r="D11697" s="55">
        <f t="shared" si="182"/>
        <v>0</v>
      </c>
      <c r="E11697" s="63" t="str">
        <f>HYPERLINK("https://www.sds-group.ru/product/girlyanda-svetodiodnaya-nit-10m-100-led-belyy-prozrachnyy-pvh-ip65-effekt-mertsaniya-230v-so-305-285/", "Инфо")</f>
        <v>Инфо</v>
      </c>
      <c r="F11697" s="16" t="s">
        <v>39</v>
      </c>
      <c r="G11697" s="15"/>
      <c r="H11697" s="15"/>
      <c r="I11697" s="15"/>
      <c r="J11697" s="17">
        <v>2</v>
      </c>
      <c r="K11697" s="15" t="s">
        <v>1277</v>
      </c>
      <c r="L11697" s="17">
        <v>1</v>
      </c>
      <c r="M11697" s="17">
        <v>20</v>
      </c>
      <c r="N11697" s="17">
        <v>1</v>
      </c>
      <c r="O11697" s="18">
        <v>3272.87</v>
      </c>
      <c r="P11697" s="18">
        <v>2682.68</v>
      </c>
      <c r="Q11697" s="18">
        <v>3272.87</v>
      </c>
      <c r="R11697" s="18">
        <v>2682.68</v>
      </c>
      <c r="S11697" s="18">
        <v>2029.18</v>
      </c>
      <c r="T11697" s="18">
        <v>1663.26</v>
      </c>
      <c r="U11697" s="16"/>
      <c r="V11697" s="16"/>
      <c r="W11697" s="16" t="s">
        <v>40</v>
      </c>
      <c r="X11697" s="19">
        <v>0.495</v>
      </c>
      <c r="Y11697" s="20">
        <v>1.7340000000000001E-3</v>
      </c>
      <c r="Z11697" s="21">
        <v>4601004093034</v>
      </c>
    </row>
    <row r="11698" spans="1:26" ht="12" customHeight="1" outlineLevel="4" x14ac:dyDescent="0.2">
      <c r="A11698" s="14" t="s">
        <v>22216</v>
      </c>
      <c r="B11698" s="26" t="s">
        <v>22217</v>
      </c>
      <c r="C11698" s="52"/>
      <c r="D11698" s="55">
        <f t="shared" si="182"/>
        <v>0</v>
      </c>
      <c r="E11698" s="63" t="str">
        <f>HYPERLINK("https://www.sds-group.ru/product/girlyanda-svetodiodnaya-nit-10m-100-led-belyy-prozrachnyy-pvh-ip65-effekt-mertsaniya-24v-soe-305-255/", "Инфо")</f>
        <v>Инфо</v>
      </c>
      <c r="F11698" s="16" t="s">
        <v>39</v>
      </c>
      <c r="G11698" s="15"/>
      <c r="H11698" s="15"/>
      <c r="I11698" s="15"/>
      <c r="J11698" s="16" t="s">
        <v>100</v>
      </c>
      <c r="K11698" s="15"/>
      <c r="L11698" s="17">
        <v>1</v>
      </c>
      <c r="M11698" s="17">
        <v>20</v>
      </c>
      <c r="N11698" s="17">
        <v>1</v>
      </c>
      <c r="O11698" s="18">
        <v>3734.17</v>
      </c>
      <c r="P11698" s="18">
        <v>3060.8</v>
      </c>
      <c r="Q11698" s="18">
        <v>3734.17</v>
      </c>
      <c r="R11698" s="18">
        <v>3060.8</v>
      </c>
      <c r="S11698" s="18">
        <v>2315.19</v>
      </c>
      <c r="T11698" s="18">
        <v>1897.7</v>
      </c>
      <c r="U11698" s="16"/>
      <c r="V11698" s="16"/>
      <c r="W11698" s="16" t="s">
        <v>40</v>
      </c>
      <c r="X11698" s="19">
        <v>0.49399999999999999</v>
      </c>
      <c r="Y11698" s="20">
        <v>1.7359999999999999E-3</v>
      </c>
      <c r="Z11698" s="21">
        <v>4601004092860</v>
      </c>
    </row>
    <row r="11699" spans="1:26" ht="12" customHeight="1" outlineLevel="4" x14ac:dyDescent="0.2">
      <c r="A11699" s="14" t="s">
        <v>22218</v>
      </c>
      <c r="B11699" s="26" t="s">
        <v>22219</v>
      </c>
      <c r="C11699" s="52"/>
      <c r="D11699" s="55">
        <f t="shared" si="182"/>
        <v>0</v>
      </c>
      <c r="E11699" s="63" t="str">
        <f>HYPERLINK("https://www.sds-group.ru/product/girlyanda-svetodiodnaya-nit-10m-100-led-belyy-chernyy-pvh-ip65-postoyannoe-svechenie-230v-so-305-175/", "Инфо")</f>
        <v>Инфо</v>
      </c>
      <c r="F11699" s="16" t="s">
        <v>39</v>
      </c>
      <c r="G11699" s="15"/>
      <c r="H11699" s="15"/>
      <c r="I11699" s="15"/>
      <c r="J11699" s="17">
        <v>192</v>
      </c>
      <c r="K11699" s="15" t="s">
        <v>1277</v>
      </c>
      <c r="L11699" s="17">
        <v>1</v>
      </c>
      <c r="M11699" s="17">
        <v>25</v>
      </c>
      <c r="N11699" s="17">
        <v>1</v>
      </c>
      <c r="O11699" s="18">
        <v>3220.56</v>
      </c>
      <c r="P11699" s="18">
        <v>2639.8</v>
      </c>
      <c r="Q11699" s="18">
        <v>3220.56</v>
      </c>
      <c r="R11699" s="18">
        <v>2639.8</v>
      </c>
      <c r="S11699" s="18">
        <v>1996.75</v>
      </c>
      <c r="T11699" s="18">
        <v>1636.68</v>
      </c>
      <c r="U11699" s="16"/>
      <c r="V11699" s="16"/>
      <c r="W11699" s="16" t="s">
        <v>40</v>
      </c>
      <c r="X11699" s="19">
        <v>0.51</v>
      </c>
      <c r="Y11699" s="20">
        <v>4.0800000000000003E-3</v>
      </c>
      <c r="Z11699" s="21">
        <v>4601004092600</v>
      </c>
    </row>
    <row r="11700" spans="1:26" ht="12" customHeight="1" outlineLevel="4" x14ac:dyDescent="0.2">
      <c r="A11700" s="14" t="s">
        <v>22220</v>
      </c>
      <c r="B11700" s="26" t="s">
        <v>22221</v>
      </c>
      <c r="C11700" s="52"/>
      <c r="D11700" s="55">
        <f t="shared" si="182"/>
        <v>0</v>
      </c>
      <c r="E11700" s="63" t="str">
        <f>HYPERLINK("https://www.sds-group.ru/product/girlyanda-svetodiodnaya-nit-10m-100-led-belyy-chernyy-pvh-ip65-postoyannoe-svechenie-24v-soe-305-145/", "Инфо")</f>
        <v>Инфо</v>
      </c>
      <c r="F11700" s="16" t="s">
        <v>39</v>
      </c>
      <c r="G11700" s="15"/>
      <c r="H11700" s="15"/>
      <c r="I11700" s="15"/>
      <c r="J11700" s="17">
        <v>2</v>
      </c>
      <c r="K11700" s="15"/>
      <c r="L11700" s="17">
        <v>1</v>
      </c>
      <c r="M11700" s="17">
        <v>25</v>
      </c>
      <c r="N11700" s="17">
        <v>1</v>
      </c>
      <c r="O11700" s="18">
        <v>3324.62</v>
      </c>
      <c r="P11700" s="18">
        <v>2725.1</v>
      </c>
      <c r="Q11700" s="18">
        <v>3324.62</v>
      </c>
      <c r="R11700" s="18">
        <v>2725.1</v>
      </c>
      <c r="S11700" s="18">
        <v>2061.2600000000002</v>
      </c>
      <c r="T11700" s="18">
        <v>1689.56</v>
      </c>
      <c r="U11700" s="16"/>
      <c r="V11700" s="16"/>
      <c r="W11700" s="16" t="s">
        <v>40</v>
      </c>
      <c r="X11700" s="19">
        <v>0.52200000000000002</v>
      </c>
      <c r="Y11700" s="20">
        <v>1.537E-3</v>
      </c>
      <c r="Z11700" s="21">
        <v>4601004092396</v>
      </c>
    </row>
    <row r="11701" spans="1:26" ht="12" customHeight="1" outlineLevel="4" x14ac:dyDescent="0.2">
      <c r="A11701" s="14" t="s">
        <v>22222</v>
      </c>
      <c r="B11701" s="26" t="s">
        <v>22223</v>
      </c>
      <c r="C11701" s="52"/>
      <c r="D11701" s="55">
        <f t="shared" si="182"/>
        <v>0</v>
      </c>
      <c r="E11701" s="63" t="str">
        <f>HYPERLINK("https://www.sds-group.ru/product/girlyanda-svetodiodnaya-nit-10m-100-led-belyy-chernyy-pvh-ip65-effekt-mertsaniya-230v-soedin-305-275/", "Инфо")</f>
        <v>Инфо</v>
      </c>
      <c r="F11701" s="16" t="s">
        <v>39</v>
      </c>
      <c r="G11701" s="15"/>
      <c r="H11701" s="15"/>
      <c r="I11701" s="15"/>
      <c r="J11701" s="17">
        <v>92</v>
      </c>
      <c r="K11701" s="15" t="s">
        <v>1277</v>
      </c>
      <c r="L11701" s="17">
        <v>1</v>
      </c>
      <c r="M11701" s="17">
        <v>20</v>
      </c>
      <c r="N11701" s="17">
        <v>1</v>
      </c>
      <c r="O11701" s="18">
        <v>3272.87</v>
      </c>
      <c r="P11701" s="18">
        <v>2682.68</v>
      </c>
      <c r="Q11701" s="18">
        <v>3272.87</v>
      </c>
      <c r="R11701" s="18">
        <v>2682.68</v>
      </c>
      <c r="S11701" s="18">
        <v>2029.18</v>
      </c>
      <c r="T11701" s="18">
        <v>1663.26</v>
      </c>
      <c r="U11701" s="16"/>
      <c r="V11701" s="16"/>
      <c r="W11701" s="16" t="s">
        <v>40</v>
      </c>
      <c r="X11701" s="19">
        <v>0.52700000000000002</v>
      </c>
      <c r="Y11701" s="20">
        <v>1.751E-3</v>
      </c>
      <c r="Z11701" s="21">
        <v>4601004092983</v>
      </c>
    </row>
    <row r="11702" spans="1:26" ht="12" customHeight="1" outlineLevel="4" x14ac:dyDescent="0.2">
      <c r="A11702" s="32" t="s">
        <v>22224</v>
      </c>
      <c r="B11702" s="74" t="s">
        <v>22225</v>
      </c>
      <c r="C11702" s="50"/>
      <c r="D11702" s="53">
        <f t="shared" si="182"/>
        <v>0</v>
      </c>
      <c r="E11702" s="60" t="str">
        <f>HYPERLINK("https://www.sds-group.ru/product/girlyanda-svetodiodnaya-nit-10m-100-led-belyy-chernyy-pvh-ip65-effekt-mertsaniya-24v-soediny-305-245/", "Инфо")</f>
        <v>Инфо</v>
      </c>
      <c r="F11702" s="34" t="s">
        <v>39</v>
      </c>
      <c r="G11702" s="33"/>
      <c r="H11702" s="33" t="s">
        <v>40</v>
      </c>
      <c r="I11702" s="33"/>
      <c r="J11702" s="35">
        <v>14</v>
      </c>
      <c r="K11702" s="33"/>
      <c r="L11702" s="35">
        <v>1</v>
      </c>
      <c r="M11702" s="35">
        <v>25</v>
      </c>
      <c r="N11702" s="35">
        <v>1</v>
      </c>
      <c r="O11702" s="36">
        <v>3734.17</v>
      </c>
      <c r="P11702" s="36">
        <v>3060.8</v>
      </c>
      <c r="Q11702" s="36">
        <v>2613.92</v>
      </c>
      <c r="R11702" s="36">
        <v>2142.56</v>
      </c>
      <c r="S11702" s="36">
        <v>2315.19</v>
      </c>
      <c r="T11702" s="36">
        <v>1897.7</v>
      </c>
      <c r="U11702" s="34"/>
      <c r="V11702" s="34"/>
      <c r="W11702" s="34"/>
      <c r="X11702" s="37">
        <v>0.51300000000000001</v>
      </c>
      <c r="Y11702" s="38">
        <v>4.6010000000000001E-3</v>
      </c>
      <c r="Z11702" s="21">
        <v>4601004092808</v>
      </c>
    </row>
    <row r="11703" spans="1:26" ht="12" customHeight="1" outlineLevel="4" x14ac:dyDescent="0.2">
      <c r="A11703" s="14" t="s">
        <v>22226</v>
      </c>
      <c r="B11703" s="26" t="s">
        <v>22227</v>
      </c>
      <c r="C11703" s="52"/>
      <c r="D11703" s="55">
        <f t="shared" si="182"/>
        <v>0</v>
      </c>
      <c r="E11703" s="63" t="str">
        <f>HYPERLINK("https://www.sds-group.ru/product/girlyanda-svetodiodnaya-nit-10m-100-led-zheltyy-prozrachnyy-pvh-ip65-postoyannoe-svechenie-2-305-181/", "Инфо")</f>
        <v>Инфо</v>
      </c>
      <c r="F11703" s="16" t="s">
        <v>39</v>
      </c>
      <c r="G11703" s="15"/>
      <c r="H11703" s="15"/>
      <c r="I11703" s="15"/>
      <c r="J11703" s="17">
        <v>30</v>
      </c>
      <c r="K11703" s="15" t="s">
        <v>1519</v>
      </c>
      <c r="L11703" s="17">
        <v>1</v>
      </c>
      <c r="M11703" s="17">
        <v>25</v>
      </c>
      <c r="N11703" s="17">
        <v>1</v>
      </c>
      <c r="O11703" s="18">
        <v>3220.56</v>
      </c>
      <c r="P11703" s="18">
        <v>2639.8</v>
      </c>
      <c r="Q11703" s="18">
        <v>3220.56</v>
      </c>
      <c r="R11703" s="18">
        <v>2639.8</v>
      </c>
      <c r="S11703" s="18">
        <v>1996.75</v>
      </c>
      <c r="T11703" s="18">
        <v>1636.68</v>
      </c>
      <c r="U11703" s="16"/>
      <c r="V11703" s="16"/>
      <c r="W11703" s="16" t="s">
        <v>40</v>
      </c>
      <c r="X11703" s="19">
        <v>0.498</v>
      </c>
      <c r="Y11703" s="20">
        <v>1.5950000000000001E-3</v>
      </c>
      <c r="Z11703" s="21">
        <v>4601004092631</v>
      </c>
    </row>
    <row r="11704" spans="1:26" ht="12" customHeight="1" outlineLevel="4" x14ac:dyDescent="0.2">
      <c r="A11704" s="14" t="s">
        <v>22228</v>
      </c>
      <c r="B11704" s="26" t="s">
        <v>22229</v>
      </c>
      <c r="C11704" s="52"/>
      <c r="D11704" s="55">
        <f t="shared" si="182"/>
        <v>0</v>
      </c>
      <c r="E11704" s="63" t="str">
        <f>HYPERLINK("https://www.sds-group.ru/product/girlyanda-svetodiodnaya-nit-10m-100-led-zheltyy-prozrachnyy-pvh-ip65-postoyannoe-svechenie-2-305-151/", "Инфо")</f>
        <v>Инфо</v>
      </c>
      <c r="F11704" s="16" t="s">
        <v>39</v>
      </c>
      <c r="G11704" s="15"/>
      <c r="H11704" s="15"/>
      <c r="I11704" s="15"/>
      <c r="J11704" s="17">
        <v>35</v>
      </c>
      <c r="K11704" s="15" t="s">
        <v>1519</v>
      </c>
      <c r="L11704" s="17">
        <v>1</v>
      </c>
      <c r="M11704" s="17">
        <v>25</v>
      </c>
      <c r="N11704" s="17">
        <v>1</v>
      </c>
      <c r="O11704" s="18">
        <v>3324.62</v>
      </c>
      <c r="P11704" s="18">
        <v>2725.1</v>
      </c>
      <c r="Q11704" s="18">
        <v>3324.62</v>
      </c>
      <c r="R11704" s="18">
        <v>2725.1</v>
      </c>
      <c r="S11704" s="18">
        <v>2061.2600000000002</v>
      </c>
      <c r="T11704" s="18">
        <v>1689.56</v>
      </c>
      <c r="U11704" s="16"/>
      <c r="V11704" s="16"/>
      <c r="W11704" s="16" t="s">
        <v>40</v>
      </c>
      <c r="X11704" s="19">
        <v>0.49</v>
      </c>
      <c r="Y11704" s="20">
        <v>1.598E-3</v>
      </c>
      <c r="Z11704" s="21">
        <v>4601004092426</v>
      </c>
    </row>
    <row r="11705" spans="1:26" ht="12" customHeight="1" outlineLevel="4" x14ac:dyDescent="0.2">
      <c r="A11705" s="14" t="s">
        <v>22230</v>
      </c>
      <c r="B11705" s="26" t="s">
        <v>22231</v>
      </c>
      <c r="C11705" s="52"/>
      <c r="D11705" s="55">
        <f t="shared" si="182"/>
        <v>0</v>
      </c>
      <c r="E11705" s="63" t="str">
        <f>HYPERLINK("https://www.sds-group.ru/product/girlyanda-svetodiodnaya-nit-10m-100-led-zheltyy-prozrachnyy-pvh-ip65-effekt-mertsaniya-230v--305-281/", "Инфо")</f>
        <v>Инфо</v>
      </c>
      <c r="F11705" s="16" t="s">
        <v>39</v>
      </c>
      <c r="G11705" s="15"/>
      <c r="H11705" s="15"/>
      <c r="I11705" s="15"/>
      <c r="J11705" s="16" t="s">
        <v>100</v>
      </c>
      <c r="K11705" s="15" t="s">
        <v>1519</v>
      </c>
      <c r="L11705" s="17">
        <v>1</v>
      </c>
      <c r="M11705" s="17">
        <v>25</v>
      </c>
      <c r="N11705" s="17">
        <v>1</v>
      </c>
      <c r="O11705" s="18">
        <v>3272.87</v>
      </c>
      <c r="P11705" s="18">
        <v>2682.68</v>
      </c>
      <c r="Q11705" s="18">
        <v>3272.87</v>
      </c>
      <c r="R11705" s="18">
        <v>2682.68</v>
      </c>
      <c r="S11705" s="18">
        <v>2029.18</v>
      </c>
      <c r="T11705" s="18">
        <v>1663.26</v>
      </c>
      <c r="U11705" s="16"/>
      <c r="V11705" s="16"/>
      <c r="W11705" s="16" t="s">
        <v>40</v>
      </c>
      <c r="X11705" s="19">
        <v>0.497</v>
      </c>
      <c r="Y11705" s="20">
        <v>1.544E-3</v>
      </c>
      <c r="Z11705" s="21">
        <v>4601004093126</v>
      </c>
    </row>
    <row r="11706" spans="1:26" ht="12" customHeight="1" outlineLevel="4" x14ac:dyDescent="0.2">
      <c r="A11706" s="14" t="s">
        <v>22232</v>
      </c>
      <c r="B11706" s="26" t="s">
        <v>22233</v>
      </c>
      <c r="C11706" s="52"/>
      <c r="D11706" s="55">
        <f t="shared" si="182"/>
        <v>0</v>
      </c>
      <c r="E11706" s="63" t="str">
        <f>HYPERLINK("https://www.sds-group.ru/product/girlyanda-svetodiodnaya-nit-10m-100-led-zheltyy-prozrachnyy-pvh-ip65-effekt-mertsaniya-24v-s-305-251/", "Инфо")</f>
        <v>Инфо</v>
      </c>
      <c r="F11706" s="16" t="s">
        <v>39</v>
      </c>
      <c r="G11706" s="15"/>
      <c r="H11706" s="15"/>
      <c r="I11706" s="15"/>
      <c r="J11706" s="17">
        <v>133</v>
      </c>
      <c r="K11706" s="15"/>
      <c r="L11706" s="17">
        <v>1</v>
      </c>
      <c r="M11706" s="17">
        <v>50</v>
      </c>
      <c r="N11706" s="17">
        <v>1</v>
      </c>
      <c r="O11706" s="18">
        <v>3734.17</v>
      </c>
      <c r="P11706" s="18">
        <v>3060.8</v>
      </c>
      <c r="Q11706" s="18">
        <v>3734.17</v>
      </c>
      <c r="R11706" s="18">
        <v>3060.8</v>
      </c>
      <c r="S11706" s="18">
        <v>2315.19</v>
      </c>
      <c r="T11706" s="18">
        <v>1897.7</v>
      </c>
      <c r="U11706" s="16"/>
      <c r="V11706" s="16"/>
      <c r="W11706" s="16" t="s">
        <v>40</v>
      </c>
      <c r="X11706" s="19">
        <v>0.46800000000000003</v>
      </c>
      <c r="Y11706" s="20">
        <v>1.6280000000000001E-3</v>
      </c>
      <c r="Z11706" s="21">
        <v>4601004092822</v>
      </c>
    </row>
    <row r="11707" spans="1:26" ht="12" customHeight="1" outlineLevel="4" x14ac:dyDescent="0.2">
      <c r="A11707" s="14" t="s">
        <v>22234</v>
      </c>
      <c r="B11707" s="26" t="s">
        <v>22235</v>
      </c>
      <c r="C11707" s="52"/>
      <c r="D11707" s="55">
        <f t="shared" si="182"/>
        <v>0</v>
      </c>
      <c r="E11707" s="63" t="str">
        <f>HYPERLINK("https://www.sds-group.ru/product/girlyanda-svetodiodnaya-nit-10m-100-led-zheltyy-chernyy-pvh-ip65-postoyannoe-svechenie-230v--305-171/", "Инфо")</f>
        <v>Инфо</v>
      </c>
      <c r="F11707" s="16" t="s">
        <v>39</v>
      </c>
      <c r="G11707" s="15"/>
      <c r="H11707" s="15"/>
      <c r="I11707" s="15"/>
      <c r="J11707" s="17">
        <v>72</v>
      </c>
      <c r="K11707" s="15" t="s">
        <v>1519</v>
      </c>
      <c r="L11707" s="17">
        <v>1</v>
      </c>
      <c r="M11707" s="17">
        <v>50</v>
      </c>
      <c r="N11707" s="17">
        <v>1</v>
      </c>
      <c r="O11707" s="18">
        <v>3220.56</v>
      </c>
      <c r="P11707" s="18">
        <v>2639.8</v>
      </c>
      <c r="Q11707" s="18">
        <v>3220.56</v>
      </c>
      <c r="R11707" s="18">
        <v>2639.8</v>
      </c>
      <c r="S11707" s="18">
        <v>1996.75</v>
      </c>
      <c r="T11707" s="18">
        <v>1636.68</v>
      </c>
      <c r="U11707" s="16"/>
      <c r="V11707" s="16"/>
      <c r="W11707" s="16" t="s">
        <v>40</v>
      </c>
      <c r="X11707" s="19">
        <v>0.53900000000000003</v>
      </c>
      <c r="Y11707" s="20">
        <v>1.5679999999999999E-3</v>
      </c>
      <c r="Z11707" s="21">
        <v>4601004092563</v>
      </c>
    </row>
    <row r="11708" spans="1:26" ht="12" customHeight="1" outlineLevel="4" x14ac:dyDescent="0.2">
      <c r="A11708" s="32" t="s">
        <v>22236</v>
      </c>
      <c r="B11708" s="74" t="s">
        <v>22237</v>
      </c>
      <c r="C11708" s="50"/>
      <c r="D11708" s="53">
        <f t="shared" si="182"/>
        <v>0</v>
      </c>
      <c r="E11708" s="60" t="str">
        <f>HYPERLINK("https://www.sds-group.ru/product/girlyanda-svetodiodnaya-nit-10m-100-led-zheltyy-chernyy-pvh-ip65-effekt-mertsaniya-24v-soedi-305-241/", "Инфо")</f>
        <v>Инфо</v>
      </c>
      <c r="F11708" s="34" t="s">
        <v>39</v>
      </c>
      <c r="G11708" s="33"/>
      <c r="H11708" s="33" t="s">
        <v>40</v>
      </c>
      <c r="I11708" s="33"/>
      <c r="J11708" s="35">
        <v>9</v>
      </c>
      <c r="K11708" s="33"/>
      <c r="L11708" s="35">
        <v>1</v>
      </c>
      <c r="M11708" s="35">
        <v>20</v>
      </c>
      <c r="N11708" s="35">
        <v>1</v>
      </c>
      <c r="O11708" s="36">
        <v>3734.17</v>
      </c>
      <c r="P11708" s="36">
        <v>3060.8</v>
      </c>
      <c r="Q11708" s="36">
        <v>2613.92</v>
      </c>
      <c r="R11708" s="36">
        <v>2142.56</v>
      </c>
      <c r="S11708" s="36">
        <v>2315.19</v>
      </c>
      <c r="T11708" s="36">
        <v>1897.7</v>
      </c>
      <c r="U11708" s="34"/>
      <c r="V11708" s="34"/>
      <c r="W11708" s="34"/>
      <c r="X11708" s="37">
        <v>0.48599999999999999</v>
      </c>
      <c r="Y11708" s="38">
        <v>1.769E-3</v>
      </c>
      <c r="Z11708" s="21">
        <v>4601004092761</v>
      </c>
    </row>
    <row r="11709" spans="1:26" ht="12" customHeight="1" outlineLevel="4" x14ac:dyDescent="0.2">
      <c r="A11709" s="14" t="s">
        <v>22238</v>
      </c>
      <c r="B11709" s="26" t="s">
        <v>22239</v>
      </c>
      <c r="C11709" s="52"/>
      <c r="D11709" s="55">
        <f t="shared" si="182"/>
        <v>0</v>
      </c>
      <c r="E11709" s="63" t="str">
        <f>HYPERLINK("https://www.sds-group.ru/product/girlyanda-svetodiodnaya-nit-10m-100-led-zelenyy-prozrachnyy-pvh-ip65-postoyannoe-svechenie-2-305-184/", "Инфо")</f>
        <v>Инфо</v>
      </c>
      <c r="F11709" s="16" t="s">
        <v>39</v>
      </c>
      <c r="G11709" s="15"/>
      <c r="H11709" s="15"/>
      <c r="I11709" s="15"/>
      <c r="J11709" s="16" t="s">
        <v>100</v>
      </c>
      <c r="K11709" s="15" t="s">
        <v>1519</v>
      </c>
      <c r="L11709" s="17">
        <v>1</v>
      </c>
      <c r="M11709" s="17">
        <v>50</v>
      </c>
      <c r="N11709" s="17">
        <v>1</v>
      </c>
      <c r="O11709" s="18">
        <v>3220.56</v>
      </c>
      <c r="P11709" s="18">
        <v>2639.8</v>
      </c>
      <c r="Q11709" s="18">
        <v>3220.56</v>
      </c>
      <c r="R11709" s="18">
        <v>2639.8</v>
      </c>
      <c r="S11709" s="18">
        <v>1996.75</v>
      </c>
      <c r="T11709" s="18">
        <v>1636.68</v>
      </c>
      <c r="U11709" s="16"/>
      <c r="V11709" s="16"/>
      <c r="W11709" s="16" t="s">
        <v>40</v>
      </c>
      <c r="X11709" s="19">
        <v>0.54900000000000004</v>
      </c>
      <c r="Y11709" s="20">
        <v>2.405E-3</v>
      </c>
      <c r="Z11709" s="21">
        <v>4601004092662</v>
      </c>
    </row>
    <row r="11710" spans="1:26" ht="12" customHeight="1" outlineLevel="4" x14ac:dyDescent="0.2">
      <c r="A11710" s="14" t="s">
        <v>22240</v>
      </c>
      <c r="B11710" s="26" t="s">
        <v>22241</v>
      </c>
      <c r="C11710" s="52"/>
      <c r="D11710" s="55">
        <f t="shared" si="182"/>
        <v>0</v>
      </c>
      <c r="E11710" s="63" t="str">
        <f>HYPERLINK("https://www.sds-group.ru/product/girlyanda-nit-10m-postoyannoe-svechenie-prozrachniy-pvh-24v-tsvet-zelyoniy-14846/", "Инфо")</f>
        <v>Инфо</v>
      </c>
      <c r="F11710" s="16" t="s">
        <v>39</v>
      </c>
      <c r="G11710" s="15"/>
      <c r="H11710" s="15"/>
      <c r="I11710" s="15"/>
      <c r="J11710" s="16" t="s">
        <v>100</v>
      </c>
      <c r="K11710" s="15" t="s">
        <v>1519</v>
      </c>
      <c r="L11710" s="17">
        <v>1</v>
      </c>
      <c r="M11710" s="17">
        <v>40</v>
      </c>
      <c r="N11710" s="17">
        <v>1</v>
      </c>
      <c r="O11710" s="18">
        <v>3324.62</v>
      </c>
      <c r="P11710" s="18">
        <v>2725.1</v>
      </c>
      <c r="Q11710" s="18">
        <v>3324.62</v>
      </c>
      <c r="R11710" s="18">
        <v>2725.1</v>
      </c>
      <c r="S11710" s="18">
        <v>2061.2600000000002</v>
      </c>
      <c r="T11710" s="18">
        <v>1689.56</v>
      </c>
      <c r="U11710" s="16"/>
      <c r="V11710" s="16"/>
      <c r="W11710" s="16" t="s">
        <v>40</v>
      </c>
      <c r="X11710" s="19">
        <v>0.503</v>
      </c>
      <c r="Y11710" s="20">
        <v>2.4009999999999999E-3</v>
      </c>
      <c r="Z11710" s="21">
        <v>4601004092457</v>
      </c>
    </row>
    <row r="11711" spans="1:26" ht="12" customHeight="1" outlineLevel="4" x14ac:dyDescent="0.2">
      <c r="A11711" s="14" t="s">
        <v>22242</v>
      </c>
      <c r="B11711" s="26" t="s">
        <v>22243</v>
      </c>
      <c r="C11711" s="52"/>
      <c r="D11711" s="55">
        <f t="shared" si="182"/>
        <v>0</v>
      </c>
      <c r="E11711" s="63" t="str">
        <f>HYPERLINK("https://www.sds-group.ru/product/girlyanda-svetodiodnaya-nit-10m-100-led-zelenyy-prozrachnyy-pvh-ip65-effekt-mertsaniya-230v--305-284/", "Инфо")</f>
        <v>Инфо</v>
      </c>
      <c r="F11711" s="16" t="s">
        <v>39</v>
      </c>
      <c r="G11711" s="15"/>
      <c r="H11711" s="15"/>
      <c r="I11711" s="15"/>
      <c r="J11711" s="16" t="s">
        <v>100</v>
      </c>
      <c r="K11711" s="15" t="s">
        <v>1519</v>
      </c>
      <c r="L11711" s="17">
        <v>1</v>
      </c>
      <c r="M11711" s="17">
        <v>20</v>
      </c>
      <c r="N11711" s="17">
        <v>1</v>
      </c>
      <c r="O11711" s="18">
        <v>3272.87</v>
      </c>
      <c r="P11711" s="18">
        <v>2682.68</v>
      </c>
      <c r="Q11711" s="18">
        <v>3272.87</v>
      </c>
      <c r="R11711" s="18">
        <v>2682.68</v>
      </c>
      <c r="S11711" s="18">
        <v>2029.18</v>
      </c>
      <c r="T11711" s="18">
        <v>1663.26</v>
      </c>
      <c r="U11711" s="16"/>
      <c r="V11711" s="16"/>
      <c r="W11711" s="16" t="s">
        <v>40</v>
      </c>
      <c r="X11711" s="19">
        <v>0.54700000000000004</v>
      </c>
      <c r="Y11711" s="20">
        <v>2.4060000000000002E-3</v>
      </c>
      <c r="Z11711" s="21">
        <v>4601004093027</v>
      </c>
    </row>
    <row r="11712" spans="1:26" ht="12" customHeight="1" outlineLevel="4" x14ac:dyDescent="0.2">
      <c r="A11712" s="14" t="s">
        <v>22244</v>
      </c>
      <c r="B11712" s="26" t="s">
        <v>22245</v>
      </c>
      <c r="C11712" s="52"/>
      <c r="D11712" s="55">
        <f t="shared" si="182"/>
        <v>0</v>
      </c>
      <c r="E11712" s="63" t="str">
        <f>HYPERLINK("https://www.sds-group.ru/product/girlyanda-svetodiodnaya-nit-10m-100-led-zelenyy-prozrachnyy-pvh-ip65-effekt-mertsaniya-24v-s-305-254/", "Инфо")</f>
        <v>Инфо</v>
      </c>
      <c r="F11712" s="16" t="s">
        <v>39</v>
      </c>
      <c r="G11712" s="15"/>
      <c r="H11712" s="15"/>
      <c r="I11712" s="15"/>
      <c r="J11712" s="17">
        <v>1</v>
      </c>
      <c r="K11712" s="15" t="s">
        <v>6744</v>
      </c>
      <c r="L11712" s="17">
        <v>1</v>
      </c>
      <c r="M11712" s="17">
        <v>25</v>
      </c>
      <c r="N11712" s="17">
        <v>1</v>
      </c>
      <c r="O11712" s="18">
        <v>3734.17</v>
      </c>
      <c r="P11712" s="18">
        <v>3060.8</v>
      </c>
      <c r="Q11712" s="18">
        <v>3734.17</v>
      </c>
      <c r="R11712" s="18">
        <v>3060.8</v>
      </c>
      <c r="S11712" s="18">
        <v>2315.19</v>
      </c>
      <c r="T11712" s="18">
        <v>1897.7</v>
      </c>
      <c r="U11712" s="16"/>
      <c r="V11712" s="16"/>
      <c r="W11712" s="16" t="s">
        <v>40</v>
      </c>
      <c r="X11712" s="19">
        <v>0.49399999999999999</v>
      </c>
      <c r="Y11712" s="20">
        <v>1.5900000000000001E-3</v>
      </c>
      <c r="Z11712" s="21">
        <v>4601004092853</v>
      </c>
    </row>
    <row r="11713" spans="1:26" ht="12" customHeight="1" outlineLevel="4" x14ac:dyDescent="0.2">
      <c r="A11713" s="32" t="s">
        <v>22246</v>
      </c>
      <c r="B11713" s="74" t="s">
        <v>22247</v>
      </c>
      <c r="C11713" s="50"/>
      <c r="D11713" s="53">
        <f t="shared" si="182"/>
        <v>0</v>
      </c>
      <c r="E11713" s="60" t="str">
        <f>HYPERLINK("https://www.sds-group.ru/product/girlyanda-svetodiodnaya-nit-10m-100-led-krasnyy-belyy-pvh-ip65-postoyannoe-svechenie-230v-so-305-162/", "Инфо")</f>
        <v>Инфо</v>
      </c>
      <c r="F11713" s="34" t="s">
        <v>39</v>
      </c>
      <c r="G11713" s="33"/>
      <c r="H11713" s="33" t="s">
        <v>40</v>
      </c>
      <c r="I11713" s="33"/>
      <c r="J11713" s="35">
        <v>5</v>
      </c>
      <c r="K11713" s="33"/>
      <c r="L11713" s="35">
        <v>1</v>
      </c>
      <c r="M11713" s="35">
        <v>20</v>
      </c>
      <c r="N11713" s="35">
        <v>1</v>
      </c>
      <c r="O11713" s="36">
        <v>3220.56</v>
      </c>
      <c r="P11713" s="36">
        <v>2639.8</v>
      </c>
      <c r="Q11713" s="36">
        <v>2254.39</v>
      </c>
      <c r="R11713" s="36">
        <v>1847.86</v>
      </c>
      <c r="S11713" s="36">
        <v>1996.75</v>
      </c>
      <c r="T11713" s="36">
        <v>1636.68</v>
      </c>
      <c r="U11713" s="34"/>
      <c r="V11713" s="34"/>
      <c r="W11713" s="34"/>
      <c r="X11713" s="37">
        <v>0.59299999999999997</v>
      </c>
      <c r="Y11713" s="38">
        <v>2.398E-3</v>
      </c>
      <c r="Z11713" s="21">
        <v>4601004092501</v>
      </c>
    </row>
    <row r="11714" spans="1:26" ht="12" customHeight="1" outlineLevel="4" x14ac:dyDescent="0.2">
      <c r="A11714" s="14" t="s">
        <v>22248</v>
      </c>
      <c r="B11714" s="26" t="s">
        <v>22249</v>
      </c>
      <c r="C11714" s="52"/>
      <c r="D11714" s="55">
        <f t="shared" si="182"/>
        <v>0</v>
      </c>
      <c r="E11714" s="63" t="str">
        <f>HYPERLINK("https://www.sds-group.ru/product/girlyanda-svetodiodnaya-nit-10m-100-led-krasnyy-belyy-pvh-ip65-effekt-mertsaniya-230v-soedin-305-262/", "Инфо")</f>
        <v>Инфо</v>
      </c>
      <c r="F11714" s="16" t="s">
        <v>39</v>
      </c>
      <c r="G11714" s="15"/>
      <c r="H11714" s="15"/>
      <c r="I11714" s="15"/>
      <c r="J11714" s="17">
        <v>5</v>
      </c>
      <c r="K11714" s="15" t="s">
        <v>1519</v>
      </c>
      <c r="L11714" s="17">
        <v>1</v>
      </c>
      <c r="M11714" s="17">
        <v>25</v>
      </c>
      <c r="N11714" s="17">
        <v>1</v>
      </c>
      <c r="O11714" s="18">
        <v>3272.87</v>
      </c>
      <c r="P11714" s="18">
        <v>2682.68</v>
      </c>
      <c r="Q11714" s="18">
        <v>3272.87</v>
      </c>
      <c r="R11714" s="18">
        <v>2682.68</v>
      </c>
      <c r="S11714" s="18">
        <v>2029.18</v>
      </c>
      <c r="T11714" s="18">
        <v>1663.26</v>
      </c>
      <c r="U11714" s="16"/>
      <c r="V11714" s="16"/>
      <c r="W11714" s="16" t="s">
        <v>40</v>
      </c>
      <c r="X11714" s="19">
        <v>0.53200000000000003</v>
      </c>
      <c r="Y11714" s="20">
        <v>1.567E-3</v>
      </c>
      <c r="Z11714" s="21">
        <v>4601004092891</v>
      </c>
    </row>
    <row r="11715" spans="1:26" ht="12" customHeight="1" outlineLevel="4" x14ac:dyDescent="0.2">
      <c r="A11715" s="14" t="s">
        <v>22250</v>
      </c>
      <c r="B11715" s="26" t="s">
        <v>22251</v>
      </c>
      <c r="C11715" s="52"/>
      <c r="D11715" s="55">
        <f t="shared" si="182"/>
        <v>0</v>
      </c>
      <c r="E11715" s="63" t="str">
        <f>HYPERLINK("https://www.sds-group.ru/product/girlyanda-svetodiodnaya-nit-10m-100-led-krasnyy-prozrachnyy-pvh-ip65-postoyannoe-svechenie-2-305-182/", "Инфо")</f>
        <v>Инфо</v>
      </c>
      <c r="F11715" s="16" t="s">
        <v>39</v>
      </c>
      <c r="G11715" s="15"/>
      <c r="H11715" s="15"/>
      <c r="I11715" s="15"/>
      <c r="J11715" s="17">
        <v>7</v>
      </c>
      <c r="K11715" s="15" t="s">
        <v>1519</v>
      </c>
      <c r="L11715" s="17">
        <v>1</v>
      </c>
      <c r="M11715" s="17">
        <v>25</v>
      </c>
      <c r="N11715" s="17">
        <v>1</v>
      </c>
      <c r="O11715" s="18">
        <v>3220.56</v>
      </c>
      <c r="P11715" s="18">
        <v>2639.8</v>
      </c>
      <c r="Q11715" s="18">
        <v>3220.56</v>
      </c>
      <c r="R11715" s="18">
        <v>2639.8</v>
      </c>
      <c r="S11715" s="18">
        <v>1996.75</v>
      </c>
      <c r="T11715" s="18">
        <v>1636.68</v>
      </c>
      <c r="U11715" s="16"/>
      <c r="V11715" s="16"/>
      <c r="W11715" s="16" t="s">
        <v>40</v>
      </c>
      <c r="X11715" s="19">
        <v>0.48699999999999999</v>
      </c>
      <c r="Y11715" s="20">
        <v>1.534E-3</v>
      </c>
      <c r="Z11715" s="21">
        <v>4601004092648</v>
      </c>
    </row>
    <row r="11716" spans="1:26" ht="12" customHeight="1" outlineLevel="4" x14ac:dyDescent="0.2">
      <c r="A11716" s="14" t="s">
        <v>22252</v>
      </c>
      <c r="B11716" s="26" t="s">
        <v>22253</v>
      </c>
      <c r="C11716" s="52"/>
      <c r="D11716" s="55">
        <f t="shared" si="182"/>
        <v>0</v>
      </c>
      <c r="E11716" s="63" t="str">
        <f>HYPERLINK("https://www.sds-group.ru/product/girlyanda-svetodiodnaya-nit-10m-100-led-krasnyy-prozrachnyy-pvh-ip65-effekt-mertsaniya-230v--305-282/", "Инфо")</f>
        <v>Инфо</v>
      </c>
      <c r="F11716" s="16" t="s">
        <v>39</v>
      </c>
      <c r="G11716" s="15"/>
      <c r="H11716" s="15"/>
      <c r="I11716" s="15"/>
      <c r="J11716" s="17">
        <v>156</v>
      </c>
      <c r="K11716" s="15" t="s">
        <v>1519</v>
      </c>
      <c r="L11716" s="17">
        <v>1</v>
      </c>
      <c r="M11716" s="17">
        <v>25</v>
      </c>
      <c r="N11716" s="17">
        <v>1</v>
      </c>
      <c r="O11716" s="18">
        <v>3272.87</v>
      </c>
      <c r="P11716" s="18">
        <v>2682.68</v>
      </c>
      <c r="Q11716" s="18">
        <v>3272.87</v>
      </c>
      <c r="R11716" s="18">
        <v>2682.68</v>
      </c>
      <c r="S11716" s="18">
        <v>2029.18</v>
      </c>
      <c r="T11716" s="18">
        <v>1663.26</v>
      </c>
      <c r="U11716" s="16"/>
      <c r="V11716" s="16"/>
      <c r="W11716" s="16" t="s">
        <v>40</v>
      </c>
      <c r="X11716" s="19">
        <v>0.49</v>
      </c>
      <c r="Y11716" s="20">
        <v>1.5950000000000001E-3</v>
      </c>
      <c r="Z11716" s="21">
        <v>4601004093003</v>
      </c>
    </row>
    <row r="11717" spans="1:26" ht="12" customHeight="1" outlineLevel="4" x14ac:dyDescent="0.2">
      <c r="A11717" s="14" t="s">
        <v>22254</v>
      </c>
      <c r="B11717" s="26" t="s">
        <v>22255</v>
      </c>
      <c r="C11717" s="52"/>
      <c r="D11717" s="55">
        <f t="shared" si="182"/>
        <v>0</v>
      </c>
      <c r="E11717" s="63" t="str">
        <f>HYPERLINK("https://www.sds-group.ru/product/girlyanda-svetodiodnaya-nit-10m-100-led-krasnyy-prozrachnyy-pvh-ip65-effekt-mertsaniya-24v-s-305-252/", "Инфо")</f>
        <v>Инфо</v>
      </c>
      <c r="F11717" s="16" t="s">
        <v>39</v>
      </c>
      <c r="G11717" s="15"/>
      <c r="H11717" s="15"/>
      <c r="I11717" s="15"/>
      <c r="J11717" s="17">
        <v>223</v>
      </c>
      <c r="K11717" s="15" t="s">
        <v>6744</v>
      </c>
      <c r="L11717" s="17">
        <v>1</v>
      </c>
      <c r="M11717" s="17">
        <v>25</v>
      </c>
      <c r="N11717" s="17">
        <v>1</v>
      </c>
      <c r="O11717" s="18">
        <v>3734.17</v>
      </c>
      <c r="P11717" s="18">
        <v>3060.8</v>
      </c>
      <c r="Q11717" s="18">
        <v>3734.17</v>
      </c>
      <c r="R11717" s="18">
        <v>3060.8</v>
      </c>
      <c r="S11717" s="18">
        <v>2315.19</v>
      </c>
      <c r="T11717" s="18">
        <v>1897.7</v>
      </c>
      <c r="U11717" s="16"/>
      <c r="V11717" s="16"/>
      <c r="W11717" s="16" t="s">
        <v>40</v>
      </c>
      <c r="X11717" s="19">
        <v>0.49</v>
      </c>
      <c r="Y11717" s="20">
        <v>1.5479999999999999E-3</v>
      </c>
      <c r="Z11717" s="21">
        <v>4601004092839</v>
      </c>
    </row>
    <row r="11718" spans="1:26" ht="12" customHeight="1" outlineLevel="4" x14ac:dyDescent="0.2">
      <c r="A11718" s="14" t="s">
        <v>22256</v>
      </c>
      <c r="B11718" s="26" t="s">
        <v>22257</v>
      </c>
      <c r="C11718" s="52"/>
      <c r="D11718" s="55">
        <f t="shared" si="182"/>
        <v>0</v>
      </c>
      <c r="E11718" s="63" t="str">
        <f>HYPERLINK("https://www.sds-group.ru/product/girlyanda-svetodiodnaya-nit-10m-100-led-multikolor-belyy-pvh-ip65-postoyannoe-svechenie-230v-305-169/", "Инфо")</f>
        <v>Инфо</v>
      </c>
      <c r="F11718" s="16" t="s">
        <v>39</v>
      </c>
      <c r="G11718" s="15"/>
      <c r="H11718" s="15"/>
      <c r="I11718" s="15"/>
      <c r="J11718" s="17">
        <v>7</v>
      </c>
      <c r="K11718" s="15" t="s">
        <v>1519</v>
      </c>
      <c r="L11718" s="17">
        <v>1</v>
      </c>
      <c r="M11718" s="17">
        <v>50</v>
      </c>
      <c r="N11718" s="17">
        <v>1</v>
      </c>
      <c r="O11718" s="18">
        <v>3220.56</v>
      </c>
      <c r="P11718" s="18">
        <v>2639.8</v>
      </c>
      <c r="Q11718" s="18">
        <v>3220.56</v>
      </c>
      <c r="R11718" s="18">
        <v>2639.8</v>
      </c>
      <c r="S11718" s="18">
        <v>1996.75</v>
      </c>
      <c r="T11718" s="18">
        <v>1636.68</v>
      </c>
      <c r="U11718" s="16"/>
      <c r="V11718" s="16"/>
      <c r="W11718" s="16" t="s">
        <v>40</v>
      </c>
      <c r="X11718" s="19">
        <v>0.59299999999999997</v>
      </c>
      <c r="Y11718" s="20">
        <v>2.4099999999999998E-3</v>
      </c>
      <c r="Z11718" s="21">
        <v>4601004092556</v>
      </c>
    </row>
    <row r="11719" spans="1:26" ht="12" customHeight="1" outlineLevel="4" x14ac:dyDescent="0.2">
      <c r="A11719" s="14" t="s">
        <v>22258</v>
      </c>
      <c r="B11719" s="26" t="s">
        <v>22259</v>
      </c>
      <c r="C11719" s="52"/>
      <c r="D11719" s="55">
        <f t="shared" si="182"/>
        <v>0</v>
      </c>
      <c r="E11719" s="63" t="str">
        <f>HYPERLINK("https://www.sds-group.ru/product/girlyanda-svetodiodnaya-nit-10m-100-led-multikolor-prozrachnyy-pvh-ip65-postoyannoe-svecheni-305-189/", "Инфо")</f>
        <v>Инфо</v>
      </c>
      <c r="F11719" s="16" t="s">
        <v>39</v>
      </c>
      <c r="G11719" s="15"/>
      <c r="H11719" s="15"/>
      <c r="I11719" s="15"/>
      <c r="J11719" s="17">
        <v>13</v>
      </c>
      <c r="K11719" s="15" t="s">
        <v>1519</v>
      </c>
      <c r="L11719" s="17">
        <v>1</v>
      </c>
      <c r="M11719" s="17">
        <v>25</v>
      </c>
      <c r="N11719" s="17">
        <v>1</v>
      </c>
      <c r="O11719" s="18">
        <v>3220.56</v>
      </c>
      <c r="P11719" s="18">
        <v>2639.8</v>
      </c>
      <c r="Q11719" s="18">
        <v>3220.56</v>
      </c>
      <c r="R11719" s="18">
        <v>2639.8</v>
      </c>
      <c r="S11719" s="18">
        <v>1996.75</v>
      </c>
      <c r="T11719" s="18">
        <v>1636.68</v>
      </c>
      <c r="U11719" s="16"/>
      <c r="V11719" s="16"/>
      <c r="W11719" s="16" t="s">
        <v>40</v>
      </c>
      <c r="X11719" s="19">
        <v>0.48499999999999999</v>
      </c>
      <c r="Y11719" s="20">
        <v>1.519E-3</v>
      </c>
      <c r="Z11719" s="21">
        <v>4601004092693</v>
      </c>
    </row>
    <row r="11720" spans="1:26" ht="12" customHeight="1" outlineLevel="4" x14ac:dyDescent="0.2">
      <c r="A11720" s="14" t="s">
        <v>22260</v>
      </c>
      <c r="B11720" s="26" t="s">
        <v>22261</v>
      </c>
      <c r="C11720" s="52"/>
      <c r="D11720" s="55">
        <f t="shared" si="182"/>
        <v>0</v>
      </c>
      <c r="E11720" s="63" t="str">
        <f>HYPERLINK("https://www.sds-group.ru/product/girlyanda-svetodiodnaya-nit-10m-100-led-multikolor-chernyy-pvh-ip65-postoyannoe-svechenie-23-305-179/", "Инфо")</f>
        <v>Инфо</v>
      </c>
      <c r="F11720" s="16" t="s">
        <v>39</v>
      </c>
      <c r="G11720" s="15"/>
      <c r="H11720" s="15"/>
      <c r="I11720" s="15"/>
      <c r="J11720" s="17">
        <v>11</v>
      </c>
      <c r="K11720" s="15" t="s">
        <v>1519</v>
      </c>
      <c r="L11720" s="17">
        <v>1</v>
      </c>
      <c r="M11720" s="17">
        <v>50</v>
      </c>
      <c r="N11720" s="17">
        <v>1</v>
      </c>
      <c r="O11720" s="18">
        <v>3220.56</v>
      </c>
      <c r="P11720" s="18">
        <v>2639.8</v>
      </c>
      <c r="Q11720" s="18">
        <v>3220.56</v>
      </c>
      <c r="R11720" s="18">
        <v>2639.8</v>
      </c>
      <c r="S11720" s="18">
        <v>1996.75</v>
      </c>
      <c r="T11720" s="18">
        <v>1636.68</v>
      </c>
      <c r="U11720" s="16"/>
      <c r="V11720" s="16"/>
      <c r="W11720" s="16" t="s">
        <v>40</v>
      </c>
      <c r="X11720" s="19">
        <v>0.55800000000000005</v>
      </c>
      <c r="Y11720" s="20">
        <v>1.596E-3</v>
      </c>
      <c r="Z11720" s="21">
        <v>4601004092624</v>
      </c>
    </row>
    <row r="11721" spans="1:26" ht="12" customHeight="1" outlineLevel="4" x14ac:dyDescent="0.2">
      <c r="A11721" s="14" t="s">
        <v>22262</v>
      </c>
      <c r="B11721" s="26" t="s">
        <v>22263</v>
      </c>
      <c r="C11721" s="52"/>
      <c r="D11721" s="55">
        <f t="shared" ref="D11721:D11784" si="183">C11721*(O11721-O11721*$G$3)</f>
        <v>0</v>
      </c>
      <c r="E11721" s="63" t="str">
        <f>HYPERLINK("https://www.sds-group.ru/product/girlyanda-svetodiodnaya-nit-10m-100-led-siniy-belyy-pvh-ip65-effekt-mertsaniya-230v-soedinya-305-263/", "Инфо")</f>
        <v>Инфо</v>
      </c>
      <c r="F11721" s="16" t="s">
        <v>39</v>
      </c>
      <c r="G11721" s="15"/>
      <c r="H11721" s="15"/>
      <c r="I11721" s="15"/>
      <c r="J11721" s="17">
        <v>77</v>
      </c>
      <c r="K11721" s="15" t="s">
        <v>1519</v>
      </c>
      <c r="L11721" s="17">
        <v>1</v>
      </c>
      <c r="M11721" s="17">
        <v>25</v>
      </c>
      <c r="N11721" s="17">
        <v>1</v>
      </c>
      <c r="O11721" s="18">
        <v>3272.87</v>
      </c>
      <c r="P11721" s="18">
        <v>2682.68</v>
      </c>
      <c r="Q11721" s="18">
        <v>3272.87</v>
      </c>
      <c r="R11721" s="18">
        <v>2682.68</v>
      </c>
      <c r="S11721" s="18">
        <v>2029.18</v>
      </c>
      <c r="T11721" s="18">
        <v>1663.26</v>
      </c>
      <c r="U11721" s="16"/>
      <c r="V11721" s="16"/>
      <c r="W11721" s="16" t="s">
        <v>40</v>
      </c>
      <c r="X11721" s="19">
        <v>0.52800000000000002</v>
      </c>
      <c r="Y11721" s="20">
        <v>1.5939999999999999E-3</v>
      </c>
      <c r="Z11721" s="21">
        <v>4601004092907</v>
      </c>
    </row>
    <row r="11722" spans="1:26" ht="12" customHeight="1" outlineLevel="4" x14ac:dyDescent="0.2">
      <c r="A11722" s="14" t="s">
        <v>22264</v>
      </c>
      <c r="B11722" s="26" t="s">
        <v>22265</v>
      </c>
      <c r="C11722" s="52"/>
      <c r="D11722" s="55">
        <f t="shared" si="183"/>
        <v>0</v>
      </c>
      <c r="E11722" s="63" t="str">
        <f>HYPERLINK("https://www.sds-group.ru/product/girlyanda-svetodiodnaya-nit-10m-100-led-siniy-prozrachnyy-pvh-ip65-postoyannoe-svechenie-230-305-183/", "Инфо")</f>
        <v>Инфо</v>
      </c>
      <c r="F11722" s="16" t="s">
        <v>39</v>
      </c>
      <c r="G11722" s="15"/>
      <c r="H11722" s="15"/>
      <c r="I11722" s="15"/>
      <c r="J11722" s="17">
        <v>32</v>
      </c>
      <c r="K11722" s="15" t="s">
        <v>1519</v>
      </c>
      <c r="L11722" s="17">
        <v>1</v>
      </c>
      <c r="M11722" s="17">
        <v>25</v>
      </c>
      <c r="N11722" s="17">
        <v>1</v>
      </c>
      <c r="O11722" s="18">
        <v>3220.56</v>
      </c>
      <c r="P11722" s="18">
        <v>2639.8</v>
      </c>
      <c r="Q11722" s="18">
        <v>3220.56</v>
      </c>
      <c r="R11722" s="18">
        <v>2639.8</v>
      </c>
      <c r="S11722" s="18">
        <v>1996.75</v>
      </c>
      <c r="T11722" s="18">
        <v>1636.68</v>
      </c>
      <c r="U11722" s="16"/>
      <c r="V11722" s="16"/>
      <c r="W11722" s="16" t="s">
        <v>40</v>
      </c>
      <c r="X11722" s="19">
        <v>0.48799999999999999</v>
      </c>
      <c r="Y11722" s="20">
        <v>1.555E-3</v>
      </c>
      <c r="Z11722" s="21">
        <v>4601004092655</v>
      </c>
    </row>
    <row r="11723" spans="1:26" ht="12" customHeight="1" outlineLevel="4" x14ac:dyDescent="0.2">
      <c r="A11723" s="14" t="s">
        <v>22266</v>
      </c>
      <c r="B11723" s="26" t="s">
        <v>22267</v>
      </c>
      <c r="C11723" s="52"/>
      <c r="D11723" s="55">
        <f t="shared" si="183"/>
        <v>0</v>
      </c>
      <c r="E11723" s="63" t="str">
        <f>HYPERLINK("https://www.sds-group.ru/product/girlyanda-svetodiodnaya-nit-10m-100-led-siniy-prozrachnyy-pvh-ip65-effekt-mertsaniya-230v-so-305-283/", "Инфо")</f>
        <v>Инфо</v>
      </c>
      <c r="F11723" s="16" t="s">
        <v>39</v>
      </c>
      <c r="G11723" s="15"/>
      <c r="H11723" s="15"/>
      <c r="I11723" s="15"/>
      <c r="J11723" s="17">
        <v>202</v>
      </c>
      <c r="K11723" s="15" t="s">
        <v>1519</v>
      </c>
      <c r="L11723" s="17">
        <v>1</v>
      </c>
      <c r="M11723" s="17">
        <v>25</v>
      </c>
      <c r="N11723" s="17">
        <v>1</v>
      </c>
      <c r="O11723" s="18">
        <v>3272.87</v>
      </c>
      <c r="P11723" s="18">
        <v>2682.68</v>
      </c>
      <c r="Q11723" s="18">
        <v>3272.87</v>
      </c>
      <c r="R11723" s="18">
        <v>2682.68</v>
      </c>
      <c r="S11723" s="18">
        <v>2029.18</v>
      </c>
      <c r="T11723" s="18">
        <v>1663.26</v>
      </c>
      <c r="U11723" s="16"/>
      <c r="V11723" s="16"/>
      <c r="W11723" s="16" t="s">
        <v>40</v>
      </c>
      <c r="X11723" s="19">
        <v>0.49299999999999999</v>
      </c>
      <c r="Y11723" s="20">
        <v>1.572E-3</v>
      </c>
      <c r="Z11723" s="21">
        <v>4601004093010</v>
      </c>
    </row>
    <row r="11724" spans="1:26" ht="12" customHeight="1" outlineLevel="4" x14ac:dyDescent="0.2">
      <c r="A11724" s="14" t="s">
        <v>22268</v>
      </c>
      <c r="B11724" s="26" t="s">
        <v>22269</v>
      </c>
      <c r="C11724" s="52"/>
      <c r="D11724" s="55">
        <f t="shared" si="183"/>
        <v>0</v>
      </c>
      <c r="E11724" s="63" t="str">
        <f>HYPERLINK("https://www.sds-group.ru/product/girlyanda-svetodiodnaya-nit-10m-100-led-siniy-prozrachnyy-pvh-ip65-effekt-mertsaniya-24v-soe-305-253/", "Инфо")</f>
        <v>Инфо</v>
      </c>
      <c r="F11724" s="16" t="s">
        <v>39</v>
      </c>
      <c r="G11724" s="15"/>
      <c r="H11724" s="15"/>
      <c r="I11724" s="15"/>
      <c r="J11724" s="17">
        <v>463</v>
      </c>
      <c r="K11724" s="15" t="s">
        <v>6744</v>
      </c>
      <c r="L11724" s="17">
        <v>1</v>
      </c>
      <c r="M11724" s="17">
        <v>25</v>
      </c>
      <c r="N11724" s="17">
        <v>1</v>
      </c>
      <c r="O11724" s="18">
        <v>3734.17</v>
      </c>
      <c r="P11724" s="18">
        <v>3060.8</v>
      </c>
      <c r="Q11724" s="18">
        <v>3734.17</v>
      </c>
      <c r="R11724" s="18">
        <v>3060.8</v>
      </c>
      <c r="S11724" s="18">
        <v>2315.19</v>
      </c>
      <c r="T11724" s="18">
        <v>1897.7</v>
      </c>
      <c r="U11724" s="16"/>
      <c r="V11724" s="16"/>
      <c r="W11724" s="16" t="s">
        <v>40</v>
      </c>
      <c r="X11724" s="19">
        <v>0.48899999999999999</v>
      </c>
      <c r="Y11724" s="20">
        <v>1.5759999999999999E-3</v>
      </c>
      <c r="Z11724" s="21">
        <v>4601004092846</v>
      </c>
    </row>
    <row r="11725" spans="1:26" ht="12" customHeight="1" outlineLevel="4" x14ac:dyDescent="0.2">
      <c r="A11725" s="14" t="s">
        <v>22270</v>
      </c>
      <c r="B11725" s="26" t="s">
        <v>22271</v>
      </c>
      <c r="C11725" s="52"/>
      <c r="D11725" s="55">
        <f t="shared" si="183"/>
        <v>0</v>
      </c>
      <c r="E11725" s="63" t="str">
        <f>HYPERLINK("https://www.sds-group.ru/product/girlyanda-svetodiodnaya-nit-10m-100-led-siniy-chernyy-pvh-ip65-effekt-mertsaniya-230v-soedin-305-273/", "Инфо")</f>
        <v>Инфо</v>
      </c>
      <c r="F11725" s="16" t="s">
        <v>39</v>
      </c>
      <c r="G11725" s="15"/>
      <c r="H11725" s="15"/>
      <c r="I11725" s="15"/>
      <c r="J11725" s="17">
        <v>91</v>
      </c>
      <c r="K11725" s="15" t="s">
        <v>1519</v>
      </c>
      <c r="L11725" s="17">
        <v>1</v>
      </c>
      <c r="M11725" s="17">
        <v>25</v>
      </c>
      <c r="N11725" s="17">
        <v>1</v>
      </c>
      <c r="O11725" s="18">
        <v>3272.87</v>
      </c>
      <c r="P11725" s="18">
        <v>2682.68</v>
      </c>
      <c r="Q11725" s="18">
        <v>3272.87</v>
      </c>
      <c r="R11725" s="18">
        <v>2682.68</v>
      </c>
      <c r="S11725" s="18">
        <v>2029.18</v>
      </c>
      <c r="T11725" s="18">
        <v>1663.26</v>
      </c>
      <c r="U11725" s="16"/>
      <c r="V11725" s="16"/>
      <c r="W11725" s="16" t="s">
        <v>40</v>
      </c>
      <c r="X11725" s="19">
        <v>0.52900000000000003</v>
      </c>
      <c r="Y11725" s="20">
        <v>1.5629999999999999E-3</v>
      </c>
      <c r="Z11725" s="21">
        <v>4601004092969</v>
      </c>
    </row>
    <row r="11726" spans="1:26" ht="12" customHeight="1" outlineLevel="4" x14ac:dyDescent="0.2">
      <c r="A11726" s="14" t="s">
        <v>22272</v>
      </c>
      <c r="B11726" s="26" t="s">
        <v>22273</v>
      </c>
      <c r="C11726" s="52"/>
      <c r="D11726" s="55">
        <f t="shared" si="183"/>
        <v>0</v>
      </c>
      <c r="E11726" s="63" t="str">
        <f>HYPERLINK("https://www.sds-group.ru/product/girlyanda-svetodiodnaya-nit-10m-100-led-teplyy-belyy-ip65-belyy-pvh-postoyannoe-svechenie-23-305-166/", "Инфо")</f>
        <v>Инфо</v>
      </c>
      <c r="F11726" s="16" t="s">
        <v>39</v>
      </c>
      <c r="G11726" s="15"/>
      <c r="H11726" s="15"/>
      <c r="I11726" s="15"/>
      <c r="J11726" s="17">
        <v>84</v>
      </c>
      <c r="K11726" s="15" t="s">
        <v>1519</v>
      </c>
      <c r="L11726" s="17">
        <v>1</v>
      </c>
      <c r="M11726" s="17">
        <v>20</v>
      </c>
      <c r="N11726" s="17">
        <v>1</v>
      </c>
      <c r="O11726" s="18">
        <v>3220.56</v>
      </c>
      <c r="P11726" s="18">
        <v>2639.8</v>
      </c>
      <c r="Q11726" s="18">
        <v>3220.56</v>
      </c>
      <c r="R11726" s="18">
        <v>2639.8</v>
      </c>
      <c r="S11726" s="18">
        <v>1996.75</v>
      </c>
      <c r="T11726" s="18">
        <v>1636.68</v>
      </c>
      <c r="U11726" s="16"/>
      <c r="V11726" s="16"/>
      <c r="W11726" s="16" t="s">
        <v>40</v>
      </c>
      <c r="X11726" s="19">
        <v>0.54100000000000004</v>
      </c>
      <c r="Y11726" s="20">
        <v>1.885E-3</v>
      </c>
      <c r="Z11726" s="21">
        <v>4601004092549</v>
      </c>
    </row>
    <row r="11727" spans="1:26" ht="12" customHeight="1" outlineLevel="4" x14ac:dyDescent="0.2">
      <c r="A11727" s="14" t="s">
        <v>22274</v>
      </c>
      <c r="B11727" s="26" t="s">
        <v>22275</v>
      </c>
      <c r="C11727" s="52"/>
      <c r="D11727" s="55">
        <f t="shared" si="183"/>
        <v>0</v>
      </c>
      <c r="E11727" s="63" t="str">
        <f>HYPERLINK("https://www.sds-group.ru/product/girlyanda-svetodiodnaya-nit-10m-100-led-teplyy-belyy-ip65-belyy-pvh-postoyannoe-svechenie-24-305-136/", "Инфо")</f>
        <v>Инфо</v>
      </c>
      <c r="F11727" s="16" t="s">
        <v>39</v>
      </c>
      <c r="G11727" s="15"/>
      <c r="H11727" s="15"/>
      <c r="I11727" s="15"/>
      <c r="J11727" s="17">
        <v>18</v>
      </c>
      <c r="K11727" s="15" t="s">
        <v>1519</v>
      </c>
      <c r="L11727" s="17">
        <v>1</v>
      </c>
      <c r="M11727" s="17">
        <v>20</v>
      </c>
      <c r="N11727" s="17">
        <v>1</v>
      </c>
      <c r="O11727" s="18">
        <v>3324.62</v>
      </c>
      <c r="P11727" s="18">
        <v>2725.1</v>
      </c>
      <c r="Q11727" s="18">
        <v>3324.62</v>
      </c>
      <c r="R11727" s="18">
        <v>2725.1</v>
      </c>
      <c r="S11727" s="18">
        <v>2061.2600000000002</v>
      </c>
      <c r="T11727" s="18">
        <v>1689.56</v>
      </c>
      <c r="U11727" s="16"/>
      <c r="V11727" s="16"/>
      <c r="W11727" s="16" t="s">
        <v>40</v>
      </c>
      <c r="X11727" s="19">
        <v>0.52600000000000002</v>
      </c>
      <c r="Y11727" s="20">
        <v>1.4840000000000001E-3</v>
      </c>
      <c r="Z11727" s="21">
        <v>4601004092334</v>
      </c>
    </row>
    <row r="11728" spans="1:26" ht="12" customHeight="1" outlineLevel="4" x14ac:dyDescent="0.2">
      <c r="A11728" s="14" t="s">
        <v>22276</v>
      </c>
      <c r="B11728" s="26" t="s">
        <v>22277</v>
      </c>
      <c r="C11728" s="52"/>
      <c r="D11728" s="55">
        <f t="shared" si="183"/>
        <v>0</v>
      </c>
      <c r="E11728" s="63" t="str">
        <f>HYPERLINK("https://www.sds-group.ru/product/girlyanda-svetodiodnaya-nit-10m-100-led-teplyy-belyy-belyy-pvh-ip65-effekt-mertsaniya-230v-s-305-266/", "Инфо")</f>
        <v>Инфо</v>
      </c>
      <c r="F11728" s="16" t="s">
        <v>39</v>
      </c>
      <c r="G11728" s="15"/>
      <c r="H11728" s="15"/>
      <c r="I11728" s="15"/>
      <c r="J11728" s="17">
        <v>30</v>
      </c>
      <c r="K11728" s="15" t="s">
        <v>1519</v>
      </c>
      <c r="L11728" s="17">
        <v>1</v>
      </c>
      <c r="M11728" s="17">
        <v>25</v>
      </c>
      <c r="N11728" s="17">
        <v>1</v>
      </c>
      <c r="O11728" s="18">
        <v>3272.87</v>
      </c>
      <c r="P11728" s="18">
        <v>2682.68</v>
      </c>
      <c r="Q11728" s="18">
        <v>3272.87</v>
      </c>
      <c r="R11728" s="18">
        <v>2682.68</v>
      </c>
      <c r="S11728" s="18">
        <v>2029.18</v>
      </c>
      <c r="T11728" s="18">
        <v>1663.26</v>
      </c>
      <c r="U11728" s="16"/>
      <c r="V11728" s="16"/>
      <c r="W11728" s="16" t="s">
        <v>40</v>
      </c>
      <c r="X11728" s="19">
        <v>0.53100000000000003</v>
      </c>
      <c r="Y11728" s="20">
        <v>1.6379999999999999E-3</v>
      </c>
      <c r="Z11728" s="21">
        <v>4601004092938</v>
      </c>
    </row>
    <row r="11729" spans="1:26" ht="12" customHeight="1" outlineLevel="4" x14ac:dyDescent="0.2">
      <c r="A11729" s="14" t="s">
        <v>22278</v>
      </c>
      <c r="B11729" s="26" t="s">
        <v>22279</v>
      </c>
      <c r="C11729" s="52"/>
      <c r="D11729" s="55">
        <f t="shared" si="183"/>
        <v>0</v>
      </c>
      <c r="E11729" s="63" t="str">
        <f>HYPERLINK("https://www.sds-group.ru/product/girlyanda-svetodiodnaya-nit-10m-100-led-teplyy-belyy-belyy-pvh-ip65-effekt-mertsaniya-24v-so-305-236/", "Инфо")</f>
        <v>Инфо</v>
      </c>
      <c r="F11729" s="16" t="s">
        <v>39</v>
      </c>
      <c r="G11729" s="15"/>
      <c r="H11729" s="15"/>
      <c r="I11729" s="15"/>
      <c r="J11729" s="16" t="s">
        <v>100</v>
      </c>
      <c r="K11729" s="15" t="s">
        <v>1519</v>
      </c>
      <c r="L11729" s="17">
        <v>1</v>
      </c>
      <c r="M11729" s="17">
        <v>25</v>
      </c>
      <c r="N11729" s="17">
        <v>1</v>
      </c>
      <c r="O11729" s="18">
        <v>3734.17</v>
      </c>
      <c r="P11729" s="18">
        <v>3060.8</v>
      </c>
      <c r="Q11729" s="18">
        <v>3734.17</v>
      </c>
      <c r="R11729" s="18">
        <v>3060.8</v>
      </c>
      <c r="S11729" s="18">
        <v>2315.19</v>
      </c>
      <c r="T11729" s="18">
        <v>1897.7</v>
      </c>
      <c r="U11729" s="16"/>
      <c r="V11729" s="16"/>
      <c r="W11729" s="16" t="s">
        <v>40</v>
      </c>
      <c r="X11729" s="19">
        <v>0.51900000000000002</v>
      </c>
      <c r="Y11729" s="20">
        <v>1.637E-3</v>
      </c>
      <c r="Z11729" s="21">
        <v>4601004092754</v>
      </c>
    </row>
    <row r="11730" spans="1:26" ht="12" customHeight="1" outlineLevel="4" x14ac:dyDescent="0.2">
      <c r="A11730" s="14" t="s">
        <v>22280</v>
      </c>
      <c r="B11730" s="26" t="s">
        <v>22281</v>
      </c>
      <c r="C11730" s="52"/>
      <c r="D11730" s="55">
        <f t="shared" si="183"/>
        <v>0</v>
      </c>
      <c r="E11730" s="63" t="str">
        <f>HYPERLINK("https://www.sds-group.ru/product/girlyanda-svetodiodnaya-nit-10m-100-led-teplyy-belyy-prozrachnyy-pvh-ip65-postoyannoe-sveche-305-186/", "Инфо")</f>
        <v>Инфо</v>
      </c>
      <c r="F11730" s="16" t="s">
        <v>39</v>
      </c>
      <c r="G11730" s="15"/>
      <c r="H11730" s="15"/>
      <c r="I11730" s="15"/>
      <c r="J11730" s="22">
        <v>1589</v>
      </c>
      <c r="K11730" s="15" t="s">
        <v>1519</v>
      </c>
      <c r="L11730" s="17">
        <v>1</v>
      </c>
      <c r="M11730" s="17">
        <v>25</v>
      </c>
      <c r="N11730" s="17">
        <v>1</v>
      </c>
      <c r="O11730" s="18">
        <v>3220.56</v>
      </c>
      <c r="P11730" s="18">
        <v>2639.8</v>
      </c>
      <c r="Q11730" s="18">
        <v>3220.56</v>
      </c>
      <c r="R11730" s="18">
        <v>2639.8</v>
      </c>
      <c r="S11730" s="18">
        <v>1996.75</v>
      </c>
      <c r="T11730" s="18">
        <v>1636.68</v>
      </c>
      <c r="U11730" s="16"/>
      <c r="V11730" s="16"/>
      <c r="W11730" s="16" t="s">
        <v>40</v>
      </c>
      <c r="X11730" s="19">
        <v>0.496</v>
      </c>
      <c r="Y11730" s="20">
        <v>1.567E-3</v>
      </c>
      <c r="Z11730" s="21">
        <v>4601004092686</v>
      </c>
    </row>
    <row r="11731" spans="1:26" ht="12" customHeight="1" outlineLevel="4" x14ac:dyDescent="0.2">
      <c r="A11731" s="14" t="s">
        <v>22282</v>
      </c>
      <c r="B11731" s="26" t="s">
        <v>22283</v>
      </c>
      <c r="C11731" s="52"/>
      <c r="D11731" s="55">
        <f t="shared" si="183"/>
        <v>0</v>
      </c>
      <c r="E11731" s="63" t="str">
        <f>HYPERLINK("https://www.sds-group.ru/product/girlyanda-svetodiodnaya-nit-10m-100-led-teplyy-belyy-prozrachnyy-pvh-ip65-postoyannoe-sveche-305-156/", "Инфо")</f>
        <v>Инфо</v>
      </c>
      <c r="F11731" s="16" t="s">
        <v>39</v>
      </c>
      <c r="G11731" s="15"/>
      <c r="H11731" s="15"/>
      <c r="I11731" s="15"/>
      <c r="J11731" s="17">
        <v>435</v>
      </c>
      <c r="K11731" s="15" t="s">
        <v>1519</v>
      </c>
      <c r="L11731" s="17">
        <v>1</v>
      </c>
      <c r="M11731" s="17">
        <v>25</v>
      </c>
      <c r="N11731" s="17">
        <v>1</v>
      </c>
      <c r="O11731" s="18">
        <v>3324.62</v>
      </c>
      <c r="P11731" s="18">
        <v>2725.1</v>
      </c>
      <c r="Q11731" s="18">
        <v>3324.62</v>
      </c>
      <c r="R11731" s="18">
        <v>2725.1</v>
      </c>
      <c r="S11731" s="18">
        <v>2061.2600000000002</v>
      </c>
      <c r="T11731" s="18">
        <v>1689.56</v>
      </c>
      <c r="U11731" s="16"/>
      <c r="V11731" s="16"/>
      <c r="W11731" s="16" t="s">
        <v>40</v>
      </c>
      <c r="X11731" s="19">
        <v>0.48899999999999999</v>
      </c>
      <c r="Y11731" s="20">
        <v>1.5969999999999999E-3</v>
      </c>
      <c r="Z11731" s="21">
        <v>4601004092471</v>
      </c>
    </row>
    <row r="11732" spans="1:26" ht="12" customHeight="1" outlineLevel="4" x14ac:dyDescent="0.2">
      <c r="A11732" s="14" t="s">
        <v>22284</v>
      </c>
      <c r="B11732" s="26" t="s">
        <v>22285</v>
      </c>
      <c r="C11732" s="52"/>
      <c r="D11732" s="55">
        <f t="shared" si="183"/>
        <v>0</v>
      </c>
      <c r="E11732" s="63" t="str">
        <f>HYPERLINK("https://www.sds-group.ru/product/girlyanda-svetodiodnaya-nit-10m-100-led-teplyy-belyy-prozrachnyy-pvh-ip65-effekt-mertsaniya--305-286/", "Инфо")</f>
        <v>Инфо</v>
      </c>
      <c r="F11732" s="16" t="s">
        <v>39</v>
      </c>
      <c r="G11732" s="15"/>
      <c r="H11732" s="15"/>
      <c r="I11732" s="15"/>
      <c r="J11732" s="17">
        <v>12</v>
      </c>
      <c r="K11732" s="15" t="s">
        <v>1519</v>
      </c>
      <c r="L11732" s="17">
        <v>1</v>
      </c>
      <c r="M11732" s="17">
        <v>25</v>
      </c>
      <c r="N11732" s="17">
        <v>1</v>
      </c>
      <c r="O11732" s="18">
        <v>3272.87</v>
      </c>
      <c r="P11732" s="18">
        <v>2682.68</v>
      </c>
      <c r="Q11732" s="18">
        <v>3272.87</v>
      </c>
      <c r="R11732" s="18">
        <v>2682.68</v>
      </c>
      <c r="S11732" s="18">
        <v>2029.18</v>
      </c>
      <c r="T11732" s="18">
        <v>1663.26</v>
      </c>
      <c r="U11732" s="16"/>
      <c r="V11732" s="16"/>
      <c r="W11732" s="16" t="s">
        <v>40</v>
      </c>
      <c r="X11732" s="19">
        <v>0.49099999999999999</v>
      </c>
      <c r="Y11732" s="20">
        <v>1.5740000000000001E-3</v>
      </c>
      <c r="Z11732" s="21">
        <v>4601004093041</v>
      </c>
    </row>
    <row r="11733" spans="1:26" ht="12" customHeight="1" outlineLevel="4" x14ac:dyDescent="0.2">
      <c r="A11733" s="14" t="s">
        <v>22286</v>
      </c>
      <c r="B11733" s="26" t="s">
        <v>22287</v>
      </c>
      <c r="C11733" s="52"/>
      <c r="D11733" s="55">
        <f t="shared" si="183"/>
        <v>0</v>
      </c>
      <c r="E11733" s="63" t="str">
        <f>HYPERLINK("https://www.sds-group.ru/product/girlyanda-svetodiodnaya-nit-10m-100-led-teplyy-belyy-prozrachnyy-pvh-ip65-effekt-mertsaniya--305-256/", "Инфо")</f>
        <v>Инфо</v>
      </c>
      <c r="F11733" s="16" t="s">
        <v>39</v>
      </c>
      <c r="G11733" s="15"/>
      <c r="H11733" s="15"/>
      <c r="I11733" s="15"/>
      <c r="J11733" s="17">
        <v>5</v>
      </c>
      <c r="K11733" s="15" t="s">
        <v>1519</v>
      </c>
      <c r="L11733" s="17">
        <v>1</v>
      </c>
      <c r="M11733" s="17">
        <v>25</v>
      </c>
      <c r="N11733" s="17">
        <v>1</v>
      </c>
      <c r="O11733" s="18">
        <v>3734.16</v>
      </c>
      <c r="P11733" s="18">
        <v>3060.79</v>
      </c>
      <c r="Q11733" s="18">
        <v>3734.16</v>
      </c>
      <c r="R11733" s="18">
        <v>3060.79</v>
      </c>
      <c r="S11733" s="18">
        <v>2315.1799999999998</v>
      </c>
      <c r="T11733" s="18">
        <v>1897.69</v>
      </c>
      <c r="U11733" s="16"/>
      <c r="V11733" s="16"/>
      <c r="W11733" s="16" t="s">
        <v>40</v>
      </c>
      <c r="X11733" s="19">
        <v>0.49</v>
      </c>
      <c r="Y11733" s="20">
        <v>1.526E-3</v>
      </c>
      <c r="Z11733" s="21">
        <v>4601004092877</v>
      </c>
    </row>
    <row r="11734" spans="1:26" ht="12" customHeight="1" outlineLevel="4" x14ac:dyDescent="0.2">
      <c r="A11734" s="14" t="s">
        <v>22288</v>
      </c>
      <c r="B11734" s="26" t="s">
        <v>22289</v>
      </c>
      <c r="C11734" s="52"/>
      <c r="D11734" s="55">
        <f t="shared" si="183"/>
        <v>0</v>
      </c>
      <c r="E11734" s="63" t="str">
        <f>HYPERLINK("https://www.sds-group.ru/product/girlyanda-svetodiodnaya-nit-10m-100-led-teplyy-belyy-chernyy-pvh-ip65-postoyannoe-svechenie--305-176/", "Инфо")</f>
        <v>Инфо</v>
      </c>
      <c r="F11734" s="16" t="s">
        <v>39</v>
      </c>
      <c r="G11734" s="15"/>
      <c r="H11734" s="15"/>
      <c r="I11734" s="15"/>
      <c r="J11734" s="16" t="s">
        <v>100</v>
      </c>
      <c r="K11734" s="15" t="s">
        <v>1519</v>
      </c>
      <c r="L11734" s="17">
        <v>1</v>
      </c>
      <c r="M11734" s="17">
        <v>25</v>
      </c>
      <c r="N11734" s="17">
        <v>1</v>
      </c>
      <c r="O11734" s="18">
        <v>3220.56</v>
      </c>
      <c r="P11734" s="18">
        <v>2639.8</v>
      </c>
      <c r="Q11734" s="18">
        <v>3220.56</v>
      </c>
      <c r="R11734" s="18">
        <v>2639.8</v>
      </c>
      <c r="S11734" s="18">
        <v>1996.75</v>
      </c>
      <c r="T11734" s="18">
        <v>1636.68</v>
      </c>
      <c r="U11734" s="16"/>
      <c r="V11734" s="16"/>
      <c r="W11734" s="16" t="s">
        <v>40</v>
      </c>
      <c r="X11734" s="19">
        <v>0.53200000000000003</v>
      </c>
      <c r="Y11734" s="20">
        <v>1.6310000000000001E-3</v>
      </c>
      <c r="Z11734" s="21">
        <v>4601004092617</v>
      </c>
    </row>
    <row r="11735" spans="1:26" ht="12" customHeight="1" outlineLevel="4" x14ac:dyDescent="0.2">
      <c r="A11735" s="14" t="s">
        <v>22290</v>
      </c>
      <c r="B11735" s="26" t="s">
        <v>22291</v>
      </c>
      <c r="C11735" s="52"/>
      <c r="D11735" s="55">
        <f t="shared" si="183"/>
        <v>0</v>
      </c>
      <c r="E11735" s="63" t="str">
        <f>HYPERLINK("https://www.sds-group.ru/product/girlyanda-svetodiodnaya-nit-10m-100-led-teplyy-belyy-chernyy-pvh-ip65-postoyannoe-svechenie--305-146/", "Инфо")</f>
        <v>Инфо</v>
      </c>
      <c r="F11735" s="16" t="s">
        <v>39</v>
      </c>
      <c r="G11735" s="15"/>
      <c r="H11735" s="15"/>
      <c r="I11735" s="15"/>
      <c r="J11735" s="17">
        <v>7</v>
      </c>
      <c r="K11735" s="15" t="s">
        <v>1519</v>
      </c>
      <c r="L11735" s="17">
        <v>1</v>
      </c>
      <c r="M11735" s="17">
        <v>20</v>
      </c>
      <c r="N11735" s="17">
        <v>1</v>
      </c>
      <c r="O11735" s="18">
        <v>3324.62</v>
      </c>
      <c r="P11735" s="18">
        <v>2725.1</v>
      </c>
      <c r="Q11735" s="18">
        <v>3324.62</v>
      </c>
      <c r="R11735" s="18">
        <v>2725.1</v>
      </c>
      <c r="S11735" s="18">
        <v>2061.2600000000002</v>
      </c>
      <c r="T11735" s="18">
        <v>1689.56</v>
      </c>
      <c r="U11735" s="16"/>
      <c r="V11735" s="16"/>
      <c r="W11735" s="16" t="s">
        <v>40</v>
      </c>
      <c r="X11735" s="19">
        <v>0.53600000000000003</v>
      </c>
      <c r="Y11735" s="20">
        <v>1.4940000000000001E-3</v>
      </c>
      <c r="Z11735" s="21">
        <v>4601004092402</v>
      </c>
    </row>
    <row r="11736" spans="1:26" ht="12" customHeight="1" outlineLevel="4" x14ac:dyDescent="0.2">
      <c r="A11736" s="14" t="s">
        <v>22292</v>
      </c>
      <c r="B11736" s="26" t="s">
        <v>22293</v>
      </c>
      <c r="C11736" s="52"/>
      <c r="D11736" s="55">
        <f t="shared" si="183"/>
        <v>0</v>
      </c>
      <c r="E11736" s="63" t="str">
        <f>HYPERLINK("https://www.sds-group.ru/product/girlyanda-svetodiodnaya-nit-10m-100-led-teplyy-belyy-chernyy-pvh-ip65-effekt-mertsaniya-230v-305-276/", "Инфо")</f>
        <v>Инфо</v>
      </c>
      <c r="F11736" s="16" t="s">
        <v>39</v>
      </c>
      <c r="G11736" s="15"/>
      <c r="H11736" s="15"/>
      <c r="I11736" s="15"/>
      <c r="J11736" s="17">
        <v>25</v>
      </c>
      <c r="K11736" s="15" t="s">
        <v>1519</v>
      </c>
      <c r="L11736" s="17">
        <v>1</v>
      </c>
      <c r="M11736" s="17">
        <v>25</v>
      </c>
      <c r="N11736" s="17">
        <v>1</v>
      </c>
      <c r="O11736" s="18">
        <v>3272.87</v>
      </c>
      <c r="P11736" s="18">
        <v>2682.68</v>
      </c>
      <c r="Q11736" s="18">
        <v>3272.87</v>
      </c>
      <c r="R11736" s="18">
        <v>2682.68</v>
      </c>
      <c r="S11736" s="18">
        <v>2029.18</v>
      </c>
      <c r="T11736" s="18">
        <v>1663.26</v>
      </c>
      <c r="U11736" s="16"/>
      <c r="V11736" s="16"/>
      <c r="W11736" s="16" t="s">
        <v>40</v>
      </c>
      <c r="X11736" s="19">
        <v>0.53100000000000003</v>
      </c>
      <c r="Y11736" s="20">
        <v>1.6199999999999999E-3</v>
      </c>
      <c r="Z11736" s="21">
        <v>4601004092990</v>
      </c>
    </row>
    <row r="11737" spans="1:26" ht="12" customHeight="1" outlineLevel="4" x14ac:dyDescent="0.2">
      <c r="A11737" s="14" t="s">
        <v>22294</v>
      </c>
      <c r="B11737" s="26" t="s">
        <v>22295</v>
      </c>
      <c r="C11737" s="52"/>
      <c r="D11737" s="55">
        <f t="shared" si="183"/>
        <v>0</v>
      </c>
      <c r="E11737" s="63" t="str">
        <f>HYPERLINK("https://www.sds-group.ru/product/girlyanda-svetodiodnaya-nit-10m-100-led-teplyy-belyy-chernyy-pvh-ip65-effekt-mertsaniya-24v--305-246/", "Инфо")</f>
        <v>Инфо</v>
      </c>
      <c r="F11737" s="16" t="s">
        <v>39</v>
      </c>
      <c r="G11737" s="15"/>
      <c r="H11737" s="15"/>
      <c r="I11737" s="15"/>
      <c r="J11737" s="17">
        <v>61</v>
      </c>
      <c r="K11737" s="15" t="s">
        <v>1519</v>
      </c>
      <c r="L11737" s="17">
        <v>1</v>
      </c>
      <c r="M11737" s="17">
        <v>25</v>
      </c>
      <c r="N11737" s="17">
        <v>1</v>
      </c>
      <c r="O11737" s="18">
        <v>3734.17</v>
      </c>
      <c r="P11737" s="18">
        <v>3060.8</v>
      </c>
      <c r="Q11737" s="18">
        <v>3734.17</v>
      </c>
      <c r="R11737" s="18">
        <v>3060.8</v>
      </c>
      <c r="S11737" s="18">
        <v>2315.19</v>
      </c>
      <c r="T11737" s="18">
        <v>1897.7</v>
      </c>
      <c r="U11737" s="16"/>
      <c r="V11737" s="16"/>
      <c r="W11737" s="16" t="s">
        <v>40</v>
      </c>
      <c r="X11737" s="19">
        <v>0.53400000000000003</v>
      </c>
      <c r="Y11737" s="20">
        <v>1.634E-3</v>
      </c>
      <c r="Z11737" s="21">
        <v>4601004092815</v>
      </c>
    </row>
    <row r="11738" spans="1:26" ht="12" customHeight="1" outlineLevel="4" x14ac:dyDescent="0.2">
      <c r="A11738" s="14" t="s">
        <v>22296</v>
      </c>
      <c r="B11738" s="26" t="s">
        <v>22297</v>
      </c>
      <c r="C11738" s="52"/>
      <c r="D11738" s="55">
        <f t="shared" si="183"/>
        <v>0</v>
      </c>
      <c r="E11738" s="63" t="str">
        <f>HYPERLINK("https://www.sds-group.ru/product/girlyanda-svetodiodnaya-nit-10m-200-led-belyy-prozrachnyy-pvh-ip65-postoyannoe-svechenie-230-305-195/", "Инфо")</f>
        <v>Инфо</v>
      </c>
      <c r="F11738" s="16" t="s">
        <v>39</v>
      </c>
      <c r="G11738" s="15"/>
      <c r="H11738" s="15"/>
      <c r="I11738" s="15"/>
      <c r="J11738" s="17">
        <v>257</v>
      </c>
      <c r="K11738" s="15"/>
      <c r="L11738" s="17">
        <v>1</v>
      </c>
      <c r="M11738" s="17">
        <v>12</v>
      </c>
      <c r="N11738" s="17">
        <v>1</v>
      </c>
      <c r="O11738" s="18">
        <v>5072.68</v>
      </c>
      <c r="P11738" s="18">
        <v>4157.93</v>
      </c>
      <c r="Q11738" s="18">
        <v>5072.68</v>
      </c>
      <c r="R11738" s="18">
        <v>4157.93</v>
      </c>
      <c r="S11738" s="18">
        <v>3145.06</v>
      </c>
      <c r="T11738" s="18">
        <v>2577.92</v>
      </c>
      <c r="U11738" s="16"/>
      <c r="V11738" s="16"/>
      <c r="W11738" s="16" t="s">
        <v>40</v>
      </c>
      <c r="X11738" s="19">
        <v>0.71699999999999997</v>
      </c>
      <c r="Y11738" s="20">
        <v>2.2829999999999999E-3</v>
      </c>
      <c r="Z11738" s="21">
        <v>4601004180567</v>
      </c>
    </row>
    <row r="11739" spans="1:26" ht="12" customHeight="1" outlineLevel="4" x14ac:dyDescent="0.2">
      <c r="A11739" s="14" t="s">
        <v>22298</v>
      </c>
      <c r="B11739" s="26" t="s">
        <v>22299</v>
      </c>
      <c r="C11739" s="52"/>
      <c r="D11739" s="55">
        <f t="shared" si="183"/>
        <v>0</v>
      </c>
      <c r="E11739" s="63" t="str">
        <f>HYPERLINK("https://www.sds-group.ru/product/girlyanda-svetodiodnaya-nit-10m-200-led-belyy-prozrachnyy-pvh-ip65-effekt-mertsaniya-230v-so-305-295/", "Инфо")</f>
        <v>Инфо</v>
      </c>
      <c r="F11739" s="16" t="s">
        <v>39</v>
      </c>
      <c r="G11739" s="15"/>
      <c r="H11739" s="15"/>
      <c r="I11739" s="15"/>
      <c r="J11739" s="17">
        <v>2</v>
      </c>
      <c r="K11739" s="15" t="s">
        <v>1277</v>
      </c>
      <c r="L11739" s="17">
        <v>1</v>
      </c>
      <c r="M11739" s="17">
        <v>20</v>
      </c>
      <c r="N11739" s="17">
        <v>1</v>
      </c>
      <c r="O11739" s="18">
        <v>5496.94</v>
      </c>
      <c r="P11739" s="18">
        <v>4505.6899999999996</v>
      </c>
      <c r="Q11739" s="18">
        <v>5496.94</v>
      </c>
      <c r="R11739" s="18">
        <v>4505.6899999999996</v>
      </c>
      <c r="S11739" s="18">
        <v>3408.1</v>
      </c>
      <c r="T11739" s="18">
        <v>2793.52</v>
      </c>
      <c r="U11739" s="16"/>
      <c r="V11739" s="16"/>
      <c r="W11739" s="16" t="s">
        <v>40</v>
      </c>
      <c r="X11739" s="19">
        <v>0.69799999999999995</v>
      </c>
      <c r="Y11739" s="20">
        <v>2.5469999999999998E-3</v>
      </c>
      <c r="Z11739" s="21">
        <v>4601004184442</v>
      </c>
    </row>
    <row r="11740" spans="1:26" ht="12" customHeight="1" outlineLevel="4" x14ac:dyDescent="0.2">
      <c r="A11740" s="14" t="s">
        <v>22300</v>
      </c>
      <c r="B11740" s="26" t="s">
        <v>22301</v>
      </c>
      <c r="C11740" s="52"/>
      <c r="D11740" s="55">
        <f t="shared" si="183"/>
        <v>0</v>
      </c>
      <c r="E11740" s="63" t="str">
        <f>HYPERLINK("https://www.sds-group.ru/product/girlyanda-svetodiodnaya-nit-10m-200-led-belyy-prozrachnyy-pvh-ip65-effekt-mertsaniya-24v-soe-305-395/", "Инфо")</f>
        <v>Инфо</v>
      </c>
      <c r="F11740" s="16" t="s">
        <v>39</v>
      </c>
      <c r="G11740" s="15"/>
      <c r="H11740" s="15"/>
      <c r="I11740" s="15"/>
      <c r="J11740" s="17">
        <v>86</v>
      </c>
      <c r="K11740" s="15" t="s">
        <v>1277</v>
      </c>
      <c r="L11740" s="17">
        <v>1</v>
      </c>
      <c r="M11740" s="17">
        <v>40</v>
      </c>
      <c r="N11740" s="17">
        <v>1</v>
      </c>
      <c r="O11740" s="18">
        <v>6273</v>
      </c>
      <c r="P11740" s="18">
        <v>5141.8</v>
      </c>
      <c r="Q11740" s="18">
        <v>6273</v>
      </c>
      <c r="R11740" s="18">
        <v>5141.8</v>
      </c>
      <c r="S11740" s="18">
        <v>3889.26</v>
      </c>
      <c r="T11740" s="18">
        <v>3187.92</v>
      </c>
      <c r="U11740" s="16"/>
      <c r="V11740" s="16"/>
      <c r="W11740" s="16" t="s">
        <v>40</v>
      </c>
      <c r="X11740" s="19">
        <v>0.66900000000000004</v>
      </c>
      <c r="Y11740" s="20">
        <v>4.3309999999999998E-3</v>
      </c>
      <c r="Z11740" s="21">
        <v>4601004303386</v>
      </c>
    </row>
    <row r="11741" spans="1:26" ht="12" customHeight="1" outlineLevel="4" x14ac:dyDescent="0.2">
      <c r="A11741" s="14" t="s">
        <v>22302</v>
      </c>
      <c r="B11741" s="26" t="s">
        <v>22303</v>
      </c>
      <c r="C11741" s="52"/>
      <c r="D11741" s="55">
        <f t="shared" si="183"/>
        <v>0</v>
      </c>
      <c r="E11741" s="63" t="str">
        <f>HYPERLINK("https://www.sds-group.ru/product/girlyanda-svetodiodnaya-nit-10m-200-led-teplyy-belyy-prozrachnyy-pvh-ip65-postoyannoe-sveche-305-386/", "Инфо")</f>
        <v>Инфо</v>
      </c>
      <c r="F11741" s="16" t="s">
        <v>39</v>
      </c>
      <c r="G11741" s="15"/>
      <c r="H11741" s="15"/>
      <c r="I11741" s="15"/>
      <c r="J11741" s="16" t="s">
        <v>100</v>
      </c>
      <c r="K11741" s="15" t="s">
        <v>1519</v>
      </c>
      <c r="L11741" s="17">
        <v>1</v>
      </c>
      <c r="M11741" s="17">
        <v>20</v>
      </c>
      <c r="N11741" s="17">
        <v>1</v>
      </c>
      <c r="O11741" s="18">
        <v>5496.94</v>
      </c>
      <c r="P11741" s="18">
        <v>4505.6899999999996</v>
      </c>
      <c r="Q11741" s="18">
        <v>5496.94</v>
      </c>
      <c r="R11741" s="18">
        <v>4505.6899999999996</v>
      </c>
      <c r="S11741" s="18">
        <v>3408.1</v>
      </c>
      <c r="T11741" s="18">
        <v>2793.52</v>
      </c>
      <c r="U11741" s="16"/>
      <c r="V11741" s="16"/>
      <c r="W11741" s="16" t="s">
        <v>40</v>
      </c>
      <c r="X11741" s="19">
        <v>0.68500000000000005</v>
      </c>
      <c r="Y11741" s="20">
        <v>1.781E-3</v>
      </c>
      <c r="Z11741" s="21">
        <v>4601004303362</v>
      </c>
    </row>
    <row r="11742" spans="1:26" ht="12" customHeight="1" outlineLevel="4" x14ac:dyDescent="0.2">
      <c r="A11742" s="14" t="s">
        <v>22304</v>
      </c>
      <c r="B11742" s="26" t="s">
        <v>22305</v>
      </c>
      <c r="C11742" s="52"/>
      <c r="D11742" s="55">
        <f t="shared" si="183"/>
        <v>0</v>
      </c>
      <c r="E11742" s="63" t="str">
        <f>HYPERLINK("https://www.sds-group.ru/product/girlyanda-svetodiodnaya-nit-10m-200-led-teplyy-belyy-prozrachnyy-pvh-ip65-effekt-mertsaniya--305-296/", "Инфо")</f>
        <v>Инфо</v>
      </c>
      <c r="F11742" s="16" t="s">
        <v>39</v>
      </c>
      <c r="G11742" s="15"/>
      <c r="H11742" s="15"/>
      <c r="I11742" s="15"/>
      <c r="J11742" s="17">
        <v>51</v>
      </c>
      <c r="K11742" s="15" t="s">
        <v>1519</v>
      </c>
      <c r="L11742" s="17">
        <v>1</v>
      </c>
      <c r="M11742" s="17">
        <v>15</v>
      </c>
      <c r="N11742" s="17">
        <v>1</v>
      </c>
      <c r="O11742" s="18">
        <v>5496.94</v>
      </c>
      <c r="P11742" s="18">
        <v>4505.6899999999996</v>
      </c>
      <c r="Q11742" s="18">
        <v>5496.94</v>
      </c>
      <c r="R11742" s="18">
        <v>4505.6899999999996</v>
      </c>
      <c r="S11742" s="18">
        <v>3408.1</v>
      </c>
      <c r="T11742" s="18">
        <v>2793.52</v>
      </c>
      <c r="U11742" s="16"/>
      <c r="V11742" s="16"/>
      <c r="W11742" s="16" t="s">
        <v>40</v>
      </c>
      <c r="X11742" s="19">
        <v>0.70599999999999996</v>
      </c>
      <c r="Y11742" s="20">
        <v>2.1450000000000002E-3</v>
      </c>
      <c r="Z11742" s="21">
        <v>4601004184459</v>
      </c>
    </row>
    <row r="11743" spans="1:26" ht="12" customHeight="1" outlineLevel="4" x14ac:dyDescent="0.2">
      <c r="A11743" s="14" t="s">
        <v>22306</v>
      </c>
      <c r="B11743" s="26" t="s">
        <v>22307</v>
      </c>
      <c r="C11743" s="52"/>
      <c r="D11743" s="55">
        <f t="shared" si="183"/>
        <v>0</v>
      </c>
      <c r="E11743" s="63" t="str">
        <f>HYPERLINK("https://www.sds-group.ru/product/girlyanda-svetodiodnaya-nit-10m-200-led-teplyy-belyy-prozrachnyy-pvh-ip65-effekt-mertsaniya--305-396/", "Инфо")</f>
        <v>Инфо</v>
      </c>
      <c r="F11743" s="16" t="s">
        <v>39</v>
      </c>
      <c r="G11743" s="15"/>
      <c r="H11743" s="15"/>
      <c r="I11743" s="15"/>
      <c r="J11743" s="17">
        <v>220</v>
      </c>
      <c r="K11743" s="15"/>
      <c r="L11743" s="17">
        <v>1</v>
      </c>
      <c r="M11743" s="17">
        <v>20</v>
      </c>
      <c r="N11743" s="17">
        <v>1</v>
      </c>
      <c r="O11743" s="18">
        <v>6273</v>
      </c>
      <c r="P11743" s="18">
        <v>5141.8</v>
      </c>
      <c r="Q11743" s="18">
        <v>6273</v>
      </c>
      <c r="R11743" s="18">
        <v>5141.8</v>
      </c>
      <c r="S11743" s="18">
        <v>3889.26</v>
      </c>
      <c r="T11743" s="18">
        <v>3187.92</v>
      </c>
      <c r="U11743" s="16"/>
      <c r="V11743" s="16"/>
      <c r="W11743" s="16" t="s">
        <v>40</v>
      </c>
      <c r="X11743" s="19">
        <v>0.69199999999999995</v>
      </c>
      <c r="Y11743" s="20">
        <v>1.7149999999999999E-3</v>
      </c>
      <c r="Z11743" s="21">
        <v>4601004303409</v>
      </c>
    </row>
    <row r="11744" spans="1:26" ht="12" customHeight="1" outlineLevel="4" x14ac:dyDescent="0.2">
      <c r="A11744" s="14" t="s">
        <v>22308</v>
      </c>
      <c r="B11744" s="26" t="s">
        <v>22309</v>
      </c>
      <c r="C11744" s="52"/>
      <c r="D11744" s="55">
        <f t="shared" si="183"/>
        <v>0</v>
      </c>
      <c r="E11744" s="63" t="str">
        <f>HYPERLINK("https://www.sds-group.ru/product/girlyanda-nit-10m-postoyannoe-svechenie-prozrachnyy-pvh-24v-tsvet-krasnyy-305-152/", "Инфо")</f>
        <v>Инфо</v>
      </c>
      <c r="F11744" s="16" t="s">
        <v>39</v>
      </c>
      <c r="G11744" s="15"/>
      <c r="H11744" s="15"/>
      <c r="I11744" s="15"/>
      <c r="J11744" s="17">
        <v>258</v>
      </c>
      <c r="K11744" s="15"/>
      <c r="L11744" s="17">
        <v>1</v>
      </c>
      <c r="M11744" s="17">
        <v>25</v>
      </c>
      <c r="N11744" s="17">
        <v>1</v>
      </c>
      <c r="O11744" s="18">
        <v>3324.62</v>
      </c>
      <c r="P11744" s="18">
        <v>2725.1</v>
      </c>
      <c r="Q11744" s="18">
        <v>3324.62</v>
      </c>
      <c r="R11744" s="18">
        <v>2725.1</v>
      </c>
      <c r="S11744" s="18">
        <v>2061.2600000000002</v>
      </c>
      <c r="T11744" s="18">
        <v>1689.56</v>
      </c>
      <c r="U11744" s="16"/>
      <c r="V11744" s="16"/>
      <c r="W11744" s="16" t="s">
        <v>40</v>
      </c>
      <c r="X11744" s="19">
        <v>0.48899999999999999</v>
      </c>
      <c r="Y11744" s="20">
        <v>1.4120000000000001E-3</v>
      </c>
      <c r="Z11744" s="21">
        <v>4601004092433</v>
      </c>
    </row>
    <row r="11745" spans="1:26" ht="12" customHeight="1" outlineLevel="4" x14ac:dyDescent="0.2">
      <c r="A11745" s="14" t="s">
        <v>22310</v>
      </c>
      <c r="B11745" s="26" t="s">
        <v>22311</v>
      </c>
      <c r="C11745" s="52"/>
      <c r="D11745" s="55">
        <f t="shared" si="183"/>
        <v>0</v>
      </c>
      <c r="E11745" s="63" t="str">
        <f>HYPERLINK("https://www.sds-group.ru/product/girlyanda-nit-10m-postoyannoe-svechenie-prozrachnyy-pvh-24v-tsvet-siniy-305-153/", "Инфо")</f>
        <v>Инфо</v>
      </c>
      <c r="F11745" s="16" t="s">
        <v>39</v>
      </c>
      <c r="G11745" s="15"/>
      <c r="H11745" s="15"/>
      <c r="I11745" s="15"/>
      <c r="J11745" s="17">
        <v>300</v>
      </c>
      <c r="K11745" s="15"/>
      <c r="L11745" s="17">
        <v>1</v>
      </c>
      <c r="M11745" s="17">
        <v>25</v>
      </c>
      <c r="N11745" s="17">
        <v>1</v>
      </c>
      <c r="O11745" s="18">
        <v>3324.62</v>
      </c>
      <c r="P11745" s="18">
        <v>2725.1</v>
      </c>
      <c r="Q11745" s="18">
        <v>3324.62</v>
      </c>
      <c r="R11745" s="18">
        <v>2725.1</v>
      </c>
      <c r="S11745" s="18">
        <v>2061.2600000000002</v>
      </c>
      <c r="T11745" s="18">
        <v>1689.56</v>
      </c>
      <c r="U11745" s="16"/>
      <c r="V11745" s="16"/>
      <c r="W11745" s="16" t="s">
        <v>40</v>
      </c>
      <c r="X11745" s="19">
        <v>0.49199999999999999</v>
      </c>
      <c r="Y11745" s="20">
        <v>1.524E-3</v>
      </c>
      <c r="Z11745" s="21">
        <v>4601004092440</v>
      </c>
    </row>
    <row r="11746" spans="1:26" ht="12.95" customHeight="1" outlineLevel="3" x14ac:dyDescent="0.2">
      <c r="A11746" s="76" t="s">
        <v>22312</v>
      </c>
      <c r="B11746" s="76"/>
      <c r="C11746" s="77"/>
      <c r="D11746" s="58"/>
      <c r="E11746" s="68"/>
      <c r="F11746" s="13"/>
      <c r="G11746" s="13"/>
      <c r="H11746" s="13"/>
      <c r="I11746" s="13"/>
      <c r="J11746" s="13"/>
      <c r="K11746" s="13"/>
      <c r="L11746" s="13"/>
      <c r="M11746" s="13"/>
      <c r="N11746" s="13"/>
      <c r="O11746" s="13"/>
      <c r="P11746" s="13"/>
      <c r="Q11746" s="13"/>
      <c r="R11746" s="13"/>
      <c r="S11746" s="13"/>
      <c r="T11746" s="13"/>
      <c r="U11746" s="13"/>
      <c r="V11746" s="13"/>
      <c r="W11746" s="13"/>
      <c r="X11746" s="13"/>
      <c r="Y11746" s="13"/>
      <c r="Z11746" s="13"/>
    </row>
    <row r="11747" spans="1:26" ht="12" customHeight="1" outlineLevel="4" x14ac:dyDescent="0.2">
      <c r="A11747" s="32" t="s">
        <v>22313</v>
      </c>
      <c r="B11747" s="74" t="s">
        <v>22314</v>
      </c>
      <c r="C11747" s="50"/>
      <c r="D11747" s="53">
        <f t="shared" si="183"/>
        <v>0</v>
      </c>
      <c r="E11747" s="60" t="str">
        <f>HYPERLINK("https://www.sds-group.ru/product/girlyanda-svetodiodnaya-nit-10m-200-led-belyy-chernyy-kauchuk-ip67-effekt-mertsaniya-230v-so-315-195/", "Инфо")</f>
        <v>Инфо</v>
      </c>
      <c r="F11747" s="34" t="s">
        <v>39</v>
      </c>
      <c r="G11747" s="33"/>
      <c r="H11747" s="33" t="s">
        <v>40</v>
      </c>
      <c r="I11747" s="33"/>
      <c r="J11747" s="35">
        <v>4</v>
      </c>
      <c r="K11747" s="33"/>
      <c r="L11747" s="35">
        <v>1</v>
      </c>
      <c r="M11747" s="35">
        <v>10</v>
      </c>
      <c r="N11747" s="35">
        <v>1</v>
      </c>
      <c r="O11747" s="36">
        <v>6528.05</v>
      </c>
      <c r="P11747" s="36">
        <v>5350.86</v>
      </c>
      <c r="Q11747" s="36">
        <v>4569.6400000000003</v>
      </c>
      <c r="R11747" s="36">
        <v>3745.61</v>
      </c>
      <c r="S11747" s="36">
        <v>4047.39</v>
      </c>
      <c r="T11747" s="36">
        <v>3317.53</v>
      </c>
      <c r="U11747" s="34"/>
      <c r="V11747" s="34"/>
      <c r="W11747" s="34"/>
      <c r="X11747" s="37">
        <v>1.278</v>
      </c>
      <c r="Y11747" s="38">
        <v>6.0499999999999998E-3</v>
      </c>
      <c r="Z11747" s="21">
        <v>4601004179820</v>
      </c>
    </row>
    <row r="11748" spans="1:26" ht="12" customHeight="1" outlineLevel="4" x14ac:dyDescent="0.2">
      <c r="A11748" s="14" t="s">
        <v>22315</v>
      </c>
      <c r="B11748" s="26" t="s">
        <v>22316</v>
      </c>
      <c r="C11748" s="52"/>
      <c r="D11748" s="55">
        <f t="shared" si="183"/>
        <v>0</v>
      </c>
      <c r="E11748" s="63" t="str">
        <f>HYPERLINK("https://www.sds-group.ru/product/girlyanda-svetodiodnaya-nit-10m-200-led-teplyy-belyy-chernyy-kauchuk-ip67-postoyannoe-sveche-315-216/", "Инфо")</f>
        <v>Инфо</v>
      </c>
      <c r="F11748" s="16" t="s">
        <v>39</v>
      </c>
      <c r="G11748" s="15"/>
      <c r="H11748" s="15"/>
      <c r="I11748" s="15"/>
      <c r="J11748" s="17">
        <v>133</v>
      </c>
      <c r="K11748" s="15"/>
      <c r="L11748" s="17">
        <v>1</v>
      </c>
      <c r="M11748" s="17">
        <v>20</v>
      </c>
      <c r="N11748" s="17">
        <v>1</v>
      </c>
      <c r="O11748" s="18">
        <v>6750.19</v>
      </c>
      <c r="P11748" s="18">
        <v>5532.94</v>
      </c>
      <c r="Q11748" s="18">
        <v>6750.19</v>
      </c>
      <c r="R11748" s="18">
        <v>5532.94</v>
      </c>
      <c r="S11748" s="18">
        <v>4185.12</v>
      </c>
      <c r="T11748" s="18">
        <v>3430.43</v>
      </c>
      <c r="U11748" s="16"/>
      <c r="V11748" s="16"/>
      <c r="W11748" s="16" t="s">
        <v>40</v>
      </c>
      <c r="X11748" s="19">
        <v>1.175</v>
      </c>
      <c r="Y11748" s="20">
        <v>4.731E-3</v>
      </c>
      <c r="Z11748" s="21">
        <v>4601004179790</v>
      </c>
    </row>
    <row r="11749" spans="1:26" ht="12" customHeight="1" outlineLevel="4" x14ac:dyDescent="0.2">
      <c r="A11749" s="14" t="s">
        <v>22317</v>
      </c>
      <c r="B11749" s="26" t="s">
        <v>22318</v>
      </c>
      <c r="C11749" s="52"/>
      <c r="D11749" s="55">
        <f t="shared" si="183"/>
        <v>0</v>
      </c>
      <c r="E11749" s="63" t="str">
        <f>HYPERLINK("https://www.sds-group.ru/product/girlyanda-svetodiodnaya-nit-10m-200-led-teplyy-belyy-chernyy-kauchuk-ip67-effekt-mertsaniya--315-196/", "Инфо")</f>
        <v>Инфо</v>
      </c>
      <c r="F11749" s="16" t="s">
        <v>39</v>
      </c>
      <c r="G11749" s="15"/>
      <c r="H11749" s="15"/>
      <c r="I11749" s="15"/>
      <c r="J11749" s="17">
        <v>106</v>
      </c>
      <c r="K11749" s="15"/>
      <c r="L11749" s="17">
        <v>1</v>
      </c>
      <c r="M11749" s="17">
        <v>20</v>
      </c>
      <c r="N11749" s="17">
        <v>1</v>
      </c>
      <c r="O11749" s="18">
        <v>7688.59</v>
      </c>
      <c r="P11749" s="18">
        <v>6302.12</v>
      </c>
      <c r="Q11749" s="18">
        <v>7688.59</v>
      </c>
      <c r="R11749" s="18">
        <v>6302.12</v>
      </c>
      <c r="S11749" s="18">
        <v>4766.93</v>
      </c>
      <c r="T11749" s="18">
        <v>3907.32</v>
      </c>
      <c r="U11749" s="16"/>
      <c r="V11749" s="16"/>
      <c r="W11749" s="16" t="s">
        <v>40</v>
      </c>
      <c r="X11749" s="19">
        <v>1.101</v>
      </c>
      <c r="Y11749" s="20">
        <v>4.5069999999999997E-3</v>
      </c>
      <c r="Z11749" s="21">
        <v>4601004179806</v>
      </c>
    </row>
    <row r="11750" spans="1:26" ht="12" customHeight="1" outlineLevel="4" x14ac:dyDescent="0.2">
      <c r="A11750" s="32" t="s">
        <v>22319</v>
      </c>
      <c r="B11750" s="74" t="s">
        <v>22320</v>
      </c>
      <c r="C11750" s="50"/>
      <c r="D11750" s="53">
        <f t="shared" si="183"/>
        <v>0</v>
      </c>
      <c r="E11750" s="60" t="str">
        <f>HYPERLINK("https://www.sds-group.ru/product/girlyanda-svetodiodnaya-nit-12m-120-led-teplyy-belyy-chernyy-kauchuk-ip67-postoyannoe-sveche-315-136/", "Инфо")</f>
        <v>Инфо</v>
      </c>
      <c r="F11750" s="34" t="s">
        <v>39</v>
      </c>
      <c r="G11750" s="33"/>
      <c r="H11750" s="33" t="s">
        <v>40</v>
      </c>
      <c r="I11750" s="33"/>
      <c r="J11750" s="34" t="s">
        <v>100</v>
      </c>
      <c r="K11750" s="33"/>
      <c r="L11750" s="35">
        <v>1</v>
      </c>
      <c r="M11750" s="35">
        <v>10</v>
      </c>
      <c r="N11750" s="35">
        <v>1</v>
      </c>
      <c r="O11750" s="36">
        <v>4258.29</v>
      </c>
      <c r="P11750" s="36">
        <v>3490.4</v>
      </c>
      <c r="Q11750" s="36">
        <v>2980.8</v>
      </c>
      <c r="R11750" s="36">
        <v>2443.2800000000002</v>
      </c>
      <c r="S11750" s="36">
        <v>2640.14</v>
      </c>
      <c r="T11750" s="36">
        <v>2164.0500000000002</v>
      </c>
      <c r="U11750" s="34"/>
      <c r="V11750" s="34"/>
      <c r="W11750" s="34"/>
      <c r="X11750" s="37">
        <v>1.01</v>
      </c>
      <c r="Y11750" s="38">
        <v>4.2509999999999996E-3</v>
      </c>
      <c r="Z11750" s="21">
        <v>4601004012592</v>
      </c>
    </row>
    <row r="11751" spans="1:26" ht="12" customHeight="1" outlineLevel="4" x14ac:dyDescent="0.2">
      <c r="A11751" s="14" t="s">
        <v>22321</v>
      </c>
      <c r="B11751" s="26" t="s">
        <v>22322</v>
      </c>
      <c r="C11751" s="52"/>
      <c r="D11751" s="55">
        <f t="shared" si="183"/>
        <v>0</v>
      </c>
      <c r="E11751" s="63" t="str">
        <f>HYPERLINK("https://www.sds-group.ru/product/girlyanda-svetodiodnaya-nit-20m-200-led-belyy-belyy-kauchuk-ip67-postoyannoe-svechenie-230v--315-145/", "Инфо")</f>
        <v>Инфо</v>
      </c>
      <c r="F11751" s="16" t="s">
        <v>39</v>
      </c>
      <c r="G11751" s="15"/>
      <c r="H11751" s="15"/>
      <c r="I11751" s="15"/>
      <c r="J11751" s="17">
        <v>92</v>
      </c>
      <c r="K11751" s="15" t="s">
        <v>6174</v>
      </c>
      <c r="L11751" s="17">
        <v>1</v>
      </c>
      <c r="M11751" s="17">
        <v>12</v>
      </c>
      <c r="N11751" s="17">
        <v>1</v>
      </c>
      <c r="O11751" s="18">
        <v>7806.86</v>
      </c>
      <c r="P11751" s="18">
        <v>6399.07</v>
      </c>
      <c r="Q11751" s="18">
        <v>7806.86</v>
      </c>
      <c r="R11751" s="18">
        <v>6399.07</v>
      </c>
      <c r="S11751" s="18">
        <v>4840.25</v>
      </c>
      <c r="T11751" s="18">
        <v>3967.42</v>
      </c>
      <c r="U11751" s="16"/>
      <c r="V11751" s="16"/>
      <c r="W11751" s="16" t="s">
        <v>40</v>
      </c>
      <c r="X11751" s="19">
        <v>1.4610000000000001</v>
      </c>
      <c r="Y11751" s="20">
        <v>5.7679999999999997E-3</v>
      </c>
      <c r="Z11751" s="21">
        <v>4601004016798</v>
      </c>
    </row>
    <row r="11752" spans="1:26" ht="12" customHeight="1" outlineLevel="4" x14ac:dyDescent="0.2">
      <c r="A11752" s="14" t="s">
        <v>22323</v>
      </c>
      <c r="B11752" s="26" t="s">
        <v>22324</v>
      </c>
      <c r="C11752" s="52"/>
      <c r="D11752" s="55">
        <f t="shared" si="183"/>
        <v>0</v>
      </c>
      <c r="E11752" s="63" t="str">
        <f>HYPERLINK("https://www.sds-group.ru/product/girlyanda-svetodiodnaya-nit-20m-200-led-belyy-belyy-kauchuk-ip67-postoyannoe-svechenie-24v-s-315-505/", "Инфо")</f>
        <v>Инфо</v>
      </c>
      <c r="F11752" s="16" t="s">
        <v>39</v>
      </c>
      <c r="G11752" s="15"/>
      <c r="H11752" s="15"/>
      <c r="I11752" s="15"/>
      <c r="J11752" s="17">
        <v>316</v>
      </c>
      <c r="K11752" s="15"/>
      <c r="L11752" s="17">
        <v>1</v>
      </c>
      <c r="M11752" s="17">
        <v>12</v>
      </c>
      <c r="N11752" s="17">
        <v>1</v>
      </c>
      <c r="O11752" s="18">
        <v>8249</v>
      </c>
      <c r="P11752" s="18">
        <v>6761.48</v>
      </c>
      <c r="Q11752" s="18">
        <v>8249</v>
      </c>
      <c r="R11752" s="18">
        <v>6761.48</v>
      </c>
      <c r="S11752" s="18">
        <v>5114.38</v>
      </c>
      <c r="T11752" s="18">
        <v>4192.1099999999997</v>
      </c>
      <c r="U11752" s="16"/>
      <c r="V11752" s="16"/>
      <c r="W11752" s="16" t="s">
        <v>40</v>
      </c>
      <c r="X11752" s="19">
        <v>1.5820000000000001</v>
      </c>
      <c r="Y11752" s="20">
        <v>6.1219999999999998E-3</v>
      </c>
      <c r="Z11752" s="21">
        <v>4601004224988</v>
      </c>
    </row>
    <row r="11753" spans="1:26" ht="12" customHeight="1" outlineLevel="4" x14ac:dyDescent="0.2">
      <c r="A11753" s="14" t="s">
        <v>22325</v>
      </c>
      <c r="B11753" s="26" t="s">
        <v>22326</v>
      </c>
      <c r="C11753" s="52"/>
      <c r="D11753" s="55">
        <f t="shared" si="183"/>
        <v>0</v>
      </c>
      <c r="E11753" s="63" t="str">
        <f>HYPERLINK("https://www.sds-group.ru/product/girlyanda-svetodiodnaya-nit-20m-200-led-belyy-belyy-kauchuk-ip67-effekt-mertsaniya-230v-soed-315-185/", "Инфо")</f>
        <v>Инфо</v>
      </c>
      <c r="F11753" s="16" t="s">
        <v>39</v>
      </c>
      <c r="G11753" s="15"/>
      <c r="H11753" s="15"/>
      <c r="I11753" s="15"/>
      <c r="J11753" s="17">
        <v>97</v>
      </c>
      <c r="K11753" s="15" t="s">
        <v>6174</v>
      </c>
      <c r="L11753" s="17">
        <v>1</v>
      </c>
      <c r="M11753" s="17">
        <v>12</v>
      </c>
      <c r="N11753" s="17">
        <v>1</v>
      </c>
      <c r="O11753" s="18">
        <v>8043.43</v>
      </c>
      <c r="P11753" s="18">
        <v>6592.98</v>
      </c>
      <c r="Q11753" s="18">
        <v>8043.43</v>
      </c>
      <c r="R11753" s="18">
        <v>6592.98</v>
      </c>
      <c r="S11753" s="18">
        <v>4986.93</v>
      </c>
      <c r="T11753" s="18">
        <v>4087.65</v>
      </c>
      <c r="U11753" s="16"/>
      <c r="V11753" s="16"/>
      <c r="W11753" s="16" t="s">
        <v>40</v>
      </c>
      <c r="X11753" s="19">
        <v>1.585</v>
      </c>
      <c r="Y11753" s="20">
        <v>5.4219999999999997E-3</v>
      </c>
      <c r="Z11753" s="21">
        <v>4601004087934</v>
      </c>
    </row>
    <row r="11754" spans="1:26" ht="12" customHeight="1" outlineLevel="4" x14ac:dyDescent="0.2">
      <c r="A11754" s="14" t="s">
        <v>22327</v>
      </c>
      <c r="B11754" s="26" t="s">
        <v>22328</v>
      </c>
      <c r="C11754" s="52"/>
      <c r="D11754" s="55">
        <f t="shared" si="183"/>
        <v>0</v>
      </c>
      <c r="E11754" s="63" t="str">
        <f>HYPERLINK("https://www.sds-group.ru/product/girlyanda-svetodiodnaya-nit-20m-200-led-belyy-belyy-kauchuk-ip67-effekt-mertsaniya-24v-soedi-315-535/", "Инфо")</f>
        <v>Инфо</v>
      </c>
      <c r="F11754" s="16" t="s">
        <v>39</v>
      </c>
      <c r="G11754" s="15"/>
      <c r="H11754" s="15"/>
      <c r="I11754" s="15"/>
      <c r="J11754" s="17">
        <v>175</v>
      </c>
      <c r="K11754" s="15" t="s">
        <v>6174</v>
      </c>
      <c r="L11754" s="17">
        <v>1</v>
      </c>
      <c r="M11754" s="17">
        <v>12</v>
      </c>
      <c r="N11754" s="17">
        <v>1</v>
      </c>
      <c r="O11754" s="18">
        <v>9089.33</v>
      </c>
      <c r="P11754" s="18">
        <v>7450.27</v>
      </c>
      <c r="Q11754" s="18">
        <v>9089.33</v>
      </c>
      <c r="R11754" s="18">
        <v>7450.27</v>
      </c>
      <c r="S11754" s="18">
        <v>5635.38</v>
      </c>
      <c r="T11754" s="18">
        <v>4619.16</v>
      </c>
      <c r="U11754" s="16"/>
      <c r="V11754" s="16"/>
      <c r="W11754" s="16" t="s">
        <v>40</v>
      </c>
      <c r="X11754" s="19">
        <v>1.5840000000000001</v>
      </c>
      <c r="Y11754" s="20">
        <v>5.9969999999999997E-3</v>
      </c>
      <c r="Z11754" s="21">
        <v>4601004225046</v>
      </c>
    </row>
    <row r="11755" spans="1:26" ht="12" customHeight="1" outlineLevel="4" x14ac:dyDescent="0.2">
      <c r="A11755" s="14" t="s">
        <v>22329</v>
      </c>
      <c r="B11755" s="26" t="s">
        <v>22330</v>
      </c>
      <c r="C11755" s="52"/>
      <c r="D11755" s="55">
        <f t="shared" si="183"/>
        <v>0</v>
      </c>
      <c r="E11755" s="63" t="str">
        <f>HYPERLINK("https://www.sds-group.ru/product/girlyanda-svetodiodnaya-nit-20m-200-led-belyy-chernyy-kauchuk-ip67-100-mertsanie-230v-soedin-315-165/", "Инфо")</f>
        <v>Инфо</v>
      </c>
      <c r="F11755" s="16" t="s">
        <v>39</v>
      </c>
      <c r="G11755" s="15"/>
      <c r="H11755" s="15"/>
      <c r="I11755" s="15"/>
      <c r="J11755" s="17">
        <v>91</v>
      </c>
      <c r="K11755" s="15"/>
      <c r="L11755" s="17">
        <v>1</v>
      </c>
      <c r="M11755" s="17">
        <v>5</v>
      </c>
      <c r="N11755" s="17">
        <v>1</v>
      </c>
      <c r="O11755" s="18">
        <v>12200.92</v>
      </c>
      <c r="P11755" s="18">
        <v>10000.75</v>
      </c>
      <c r="Q11755" s="18">
        <v>12200.92</v>
      </c>
      <c r="R11755" s="18">
        <v>10000.75</v>
      </c>
      <c r="S11755" s="18">
        <v>7564.57</v>
      </c>
      <c r="T11755" s="18">
        <v>6200.47</v>
      </c>
      <c r="U11755" s="16"/>
      <c r="V11755" s="16"/>
      <c r="W11755" s="16" t="s">
        <v>40</v>
      </c>
      <c r="X11755" s="19">
        <v>1.6140000000000001</v>
      </c>
      <c r="Y11755" s="20">
        <v>5.2449999999999997E-3</v>
      </c>
      <c r="Z11755" s="21">
        <v>4601004012615</v>
      </c>
    </row>
    <row r="11756" spans="1:26" ht="12" customHeight="1" outlineLevel="4" x14ac:dyDescent="0.2">
      <c r="A11756" s="14" t="s">
        <v>22331</v>
      </c>
      <c r="B11756" s="26" t="s">
        <v>22332</v>
      </c>
      <c r="C11756" s="52"/>
      <c r="D11756" s="55">
        <f t="shared" si="183"/>
        <v>0</v>
      </c>
      <c r="E11756" s="63" t="str">
        <f>HYPERLINK("https://www.sds-group.ru/product/girlyanda-svetodiodnaya-nit-20m-200-led-belyy-chernyy-kauchuk-ip67-postoyannoe-svechenie-230-315-155/", "Инфо")</f>
        <v>Инфо</v>
      </c>
      <c r="F11756" s="16" t="s">
        <v>39</v>
      </c>
      <c r="G11756" s="15"/>
      <c r="H11756" s="15"/>
      <c r="I11756" s="15"/>
      <c r="J11756" s="16" t="s">
        <v>100</v>
      </c>
      <c r="K11756" s="15"/>
      <c r="L11756" s="17">
        <v>1</v>
      </c>
      <c r="M11756" s="17">
        <v>12</v>
      </c>
      <c r="N11756" s="17">
        <v>1</v>
      </c>
      <c r="O11756" s="18">
        <v>7806.86</v>
      </c>
      <c r="P11756" s="18">
        <v>6399.07</v>
      </c>
      <c r="Q11756" s="18">
        <v>7806.86</v>
      </c>
      <c r="R11756" s="18">
        <v>6399.07</v>
      </c>
      <c r="S11756" s="18">
        <v>4840.25</v>
      </c>
      <c r="T11756" s="18">
        <v>3967.42</v>
      </c>
      <c r="U11756" s="16"/>
      <c r="V11756" s="16"/>
      <c r="W11756" s="16" t="s">
        <v>40</v>
      </c>
      <c r="X11756" s="19">
        <v>1.579</v>
      </c>
      <c r="Y11756" s="20">
        <v>6.0020000000000004E-3</v>
      </c>
      <c r="Z11756" s="21">
        <v>4610003606848</v>
      </c>
    </row>
    <row r="11757" spans="1:26" ht="12" customHeight="1" outlineLevel="4" x14ac:dyDescent="0.2">
      <c r="A11757" s="14" t="s">
        <v>22333</v>
      </c>
      <c r="B11757" s="26" t="s">
        <v>22334</v>
      </c>
      <c r="C11757" s="52"/>
      <c r="D11757" s="55">
        <f t="shared" si="183"/>
        <v>0</v>
      </c>
      <c r="E11757" s="63" t="str">
        <f>HYPERLINK("https://www.sds-group.ru/product/girlyanda-svetodiodnaya-nit-20m-200-led-belyy-chernyy-kauchuk-ip67-effekt-mertsaniya-230v-so-315-175/", "Инфо")</f>
        <v>Инфо</v>
      </c>
      <c r="F11757" s="16" t="s">
        <v>39</v>
      </c>
      <c r="G11757" s="15"/>
      <c r="H11757" s="15"/>
      <c r="I11757" s="15"/>
      <c r="J11757" s="16" t="s">
        <v>100</v>
      </c>
      <c r="K11757" s="15" t="s">
        <v>6174</v>
      </c>
      <c r="L11757" s="17">
        <v>1</v>
      </c>
      <c r="M11757" s="17">
        <v>12</v>
      </c>
      <c r="N11757" s="17">
        <v>1</v>
      </c>
      <c r="O11757" s="18">
        <v>8043.43</v>
      </c>
      <c r="P11757" s="18">
        <v>6592.98</v>
      </c>
      <c r="Q11757" s="18">
        <v>8043.43</v>
      </c>
      <c r="R11757" s="18">
        <v>6592.98</v>
      </c>
      <c r="S11757" s="18">
        <v>4986.93</v>
      </c>
      <c r="T11757" s="18">
        <v>4087.65</v>
      </c>
      <c r="U11757" s="16"/>
      <c r="V11757" s="16"/>
      <c r="W11757" s="16" t="s">
        <v>40</v>
      </c>
      <c r="X11757" s="19">
        <v>1.569</v>
      </c>
      <c r="Y11757" s="20">
        <v>5.705E-3</v>
      </c>
      <c r="Z11757" s="21">
        <v>4601004016866</v>
      </c>
    </row>
    <row r="11758" spans="1:26" ht="12" customHeight="1" outlineLevel="4" x14ac:dyDescent="0.2">
      <c r="A11758" s="14" t="s">
        <v>22335</v>
      </c>
      <c r="B11758" s="26" t="s">
        <v>22336</v>
      </c>
      <c r="C11758" s="52"/>
      <c r="D11758" s="55">
        <f t="shared" si="183"/>
        <v>0</v>
      </c>
      <c r="E11758" s="63" t="str">
        <f>HYPERLINK("https://www.sds-group.ru/product/girlyanda-svetodiodnaya-nit-20m-200-led-belyy-chernyy-kauchuk-ip67-effekt-mertsaniya-24v-soe-315-525/", "Инфо")</f>
        <v>Инфо</v>
      </c>
      <c r="F11758" s="16" t="s">
        <v>39</v>
      </c>
      <c r="G11758" s="15"/>
      <c r="H11758" s="15"/>
      <c r="I11758" s="15"/>
      <c r="J11758" s="17">
        <v>144</v>
      </c>
      <c r="K11758" s="15"/>
      <c r="L11758" s="17">
        <v>1</v>
      </c>
      <c r="M11758" s="17">
        <v>12</v>
      </c>
      <c r="N11758" s="17">
        <v>1</v>
      </c>
      <c r="O11758" s="18">
        <v>9089.33</v>
      </c>
      <c r="P11758" s="18">
        <v>7450.27</v>
      </c>
      <c r="Q11758" s="18">
        <v>9089.33</v>
      </c>
      <c r="R11758" s="18">
        <v>7450.27</v>
      </c>
      <c r="S11758" s="18">
        <v>5635.38</v>
      </c>
      <c r="T11758" s="18">
        <v>4619.16</v>
      </c>
      <c r="U11758" s="16"/>
      <c r="V11758" s="16"/>
      <c r="W11758" s="16" t="s">
        <v>40</v>
      </c>
      <c r="X11758" s="19">
        <v>1.61</v>
      </c>
      <c r="Y11758" s="20">
        <v>5.9940000000000002E-3</v>
      </c>
      <c r="Z11758" s="21">
        <v>4601004225022</v>
      </c>
    </row>
    <row r="11759" spans="1:26" ht="12" customHeight="1" outlineLevel="4" x14ac:dyDescent="0.2">
      <c r="A11759" s="14" t="s">
        <v>22337</v>
      </c>
      <c r="B11759" s="26" t="s">
        <v>22338</v>
      </c>
      <c r="C11759" s="52"/>
      <c r="D11759" s="55">
        <f t="shared" si="183"/>
        <v>0</v>
      </c>
      <c r="E11759" s="64"/>
      <c r="F11759" s="16" t="s">
        <v>39</v>
      </c>
      <c r="G11759" s="15"/>
      <c r="H11759" s="15"/>
      <c r="I11759" s="15"/>
      <c r="J11759" s="17">
        <v>149</v>
      </c>
      <c r="K11759" s="15"/>
      <c r="L11759" s="17">
        <v>1</v>
      </c>
      <c r="M11759" s="17">
        <v>10</v>
      </c>
      <c r="N11759" s="17">
        <v>1</v>
      </c>
      <c r="O11759" s="18">
        <v>8043.43</v>
      </c>
      <c r="P11759" s="18">
        <v>6592.98</v>
      </c>
      <c r="Q11759" s="18">
        <v>8043.43</v>
      </c>
      <c r="R11759" s="18">
        <v>6592.98</v>
      </c>
      <c r="S11759" s="18">
        <v>4986.93</v>
      </c>
      <c r="T11759" s="18">
        <v>4087.65</v>
      </c>
      <c r="U11759" s="16"/>
      <c r="V11759" s="16"/>
      <c r="W11759" s="16" t="s">
        <v>40</v>
      </c>
      <c r="X11759" s="19">
        <v>1.73</v>
      </c>
      <c r="Y11759" s="20">
        <v>5.4999999999999997E-3</v>
      </c>
      <c r="Z11759" s="21">
        <v>4601004346239</v>
      </c>
    </row>
    <row r="11760" spans="1:26" ht="12" customHeight="1" outlineLevel="4" x14ac:dyDescent="0.2">
      <c r="A11760" s="14" t="s">
        <v>22339</v>
      </c>
      <c r="B11760" s="26" t="s">
        <v>22340</v>
      </c>
      <c r="C11760" s="52"/>
      <c r="D11760" s="55">
        <f t="shared" si="183"/>
        <v>0</v>
      </c>
      <c r="E11760" s="63" t="str">
        <f>HYPERLINK("https://www.sds-group.ru/product/girlyanda-svetodiodnaya-nit-20m-200-led-zelenyy-chernyy-kauchuk-ip67-postoyannoe-svechenie-2-315-154/", "Инфо")</f>
        <v>Инфо</v>
      </c>
      <c r="F11760" s="16" t="s">
        <v>39</v>
      </c>
      <c r="G11760" s="15"/>
      <c r="H11760" s="15"/>
      <c r="I11760" s="15"/>
      <c r="J11760" s="17">
        <v>97</v>
      </c>
      <c r="K11760" s="15"/>
      <c r="L11760" s="17">
        <v>1</v>
      </c>
      <c r="M11760" s="17">
        <v>10</v>
      </c>
      <c r="N11760" s="17">
        <v>1</v>
      </c>
      <c r="O11760" s="18">
        <v>7806.86</v>
      </c>
      <c r="P11760" s="18">
        <v>6399.07</v>
      </c>
      <c r="Q11760" s="18">
        <v>7806.86</v>
      </c>
      <c r="R11760" s="18">
        <v>6399.07</v>
      </c>
      <c r="S11760" s="18">
        <v>4840.25</v>
      </c>
      <c r="T11760" s="18">
        <v>3967.42</v>
      </c>
      <c r="U11760" s="16"/>
      <c r="V11760" s="16"/>
      <c r="W11760" s="16" t="s">
        <v>40</v>
      </c>
      <c r="X11760" s="19">
        <v>1.6559999999999999</v>
      </c>
      <c r="Y11760" s="20">
        <v>5.3319999999999999E-3</v>
      </c>
      <c r="Z11760" s="21">
        <v>4601004016842</v>
      </c>
    </row>
    <row r="11761" spans="1:26" ht="12" customHeight="1" outlineLevel="4" x14ac:dyDescent="0.2">
      <c r="A11761" s="14" t="s">
        <v>22341</v>
      </c>
      <c r="B11761" s="26" t="s">
        <v>22342</v>
      </c>
      <c r="C11761" s="52"/>
      <c r="D11761" s="55">
        <f t="shared" si="183"/>
        <v>0</v>
      </c>
      <c r="E11761" s="63" t="str">
        <f>HYPERLINK("https://www.sds-group.ru/product/girlyanda-svetodiodnaya-nit-20m-200-led-krasnyy-belyy-kauchuk-ip67-effekt-mertsaniya-230v-so-315-182/", "Инфо")</f>
        <v>Инфо</v>
      </c>
      <c r="F11761" s="16" t="s">
        <v>39</v>
      </c>
      <c r="G11761" s="15"/>
      <c r="H11761" s="15"/>
      <c r="I11761" s="15"/>
      <c r="J11761" s="17">
        <v>149</v>
      </c>
      <c r="K11761" s="15"/>
      <c r="L11761" s="17">
        <v>1</v>
      </c>
      <c r="M11761" s="17">
        <v>10</v>
      </c>
      <c r="N11761" s="17">
        <v>1</v>
      </c>
      <c r="O11761" s="18">
        <v>8043.43</v>
      </c>
      <c r="P11761" s="18">
        <v>6592.98</v>
      </c>
      <c r="Q11761" s="18">
        <v>5630.4</v>
      </c>
      <c r="R11761" s="18">
        <v>4615.08</v>
      </c>
      <c r="S11761" s="18">
        <v>4986.93</v>
      </c>
      <c r="T11761" s="18">
        <v>4087.65</v>
      </c>
      <c r="U11761" s="16"/>
      <c r="V11761" s="16"/>
      <c r="W11761" s="16"/>
      <c r="X11761" s="19">
        <v>1.774</v>
      </c>
      <c r="Y11761" s="20">
        <v>5.3730000000000002E-3</v>
      </c>
      <c r="Z11761" s="21">
        <v>4601004087903</v>
      </c>
    </row>
    <row r="11762" spans="1:26" ht="12" customHeight="1" outlineLevel="4" x14ac:dyDescent="0.2">
      <c r="A11762" s="14" t="s">
        <v>22343</v>
      </c>
      <c r="B11762" s="26" t="s">
        <v>22344</v>
      </c>
      <c r="C11762" s="52"/>
      <c r="D11762" s="55">
        <f t="shared" si="183"/>
        <v>0</v>
      </c>
      <c r="E11762" s="63" t="str">
        <f>HYPERLINK("https://www.sds-group.ru/product/girlyanda-svetodiodnaya-nit-20m-200-led-multikolor-chernyy-kauchuk-ip67-postoyannoe-svecheni-315-159/", "Инфо")</f>
        <v>Инфо</v>
      </c>
      <c r="F11762" s="16" t="s">
        <v>39</v>
      </c>
      <c r="G11762" s="15"/>
      <c r="H11762" s="15"/>
      <c r="I11762" s="15"/>
      <c r="J11762" s="17">
        <v>41</v>
      </c>
      <c r="K11762" s="15" t="s">
        <v>6174</v>
      </c>
      <c r="L11762" s="17">
        <v>1</v>
      </c>
      <c r="M11762" s="17">
        <v>10</v>
      </c>
      <c r="N11762" s="17">
        <v>1</v>
      </c>
      <c r="O11762" s="18">
        <v>7806.86</v>
      </c>
      <c r="P11762" s="18">
        <v>6399.07</v>
      </c>
      <c r="Q11762" s="18">
        <v>7806.86</v>
      </c>
      <c r="R11762" s="18">
        <v>6399.07</v>
      </c>
      <c r="S11762" s="18">
        <v>4840.25</v>
      </c>
      <c r="T11762" s="18">
        <v>3967.42</v>
      </c>
      <c r="U11762" s="16"/>
      <c r="V11762" s="16"/>
      <c r="W11762" s="16" t="s">
        <v>40</v>
      </c>
      <c r="X11762" s="19">
        <v>1.726</v>
      </c>
      <c r="Y11762" s="20">
        <v>5.4419999999999998E-3</v>
      </c>
      <c r="Z11762" s="21">
        <v>4610003606855</v>
      </c>
    </row>
    <row r="11763" spans="1:26" ht="12" customHeight="1" outlineLevel="4" x14ac:dyDescent="0.2">
      <c r="A11763" s="14" t="s">
        <v>22345</v>
      </c>
      <c r="B11763" s="26" t="s">
        <v>22346</v>
      </c>
      <c r="C11763" s="52"/>
      <c r="D11763" s="55">
        <f t="shared" si="183"/>
        <v>0</v>
      </c>
      <c r="E11763" s="63" t="str">
        <f>HYPERLINK("https://www.sds-group.ru/product/girlyanda-svetodiodnaya-nit-20m-200-led-siniy-belyy-kauchuk-ip67-postoyannoe-svechenie-230v--315-143/", "Инфо")</f>
        <v>Инфо</v>
      </c>
      <c r="F11763" s="16" t="s">
        <v>39</v>
      </c>
      <c r="G11763" s="15"/>
      <c r="H11763" s="15"/>
      <c r="I11763" s="15"/>
      <c r="J11763" s="17">
        <v>59</v>
      </c>
      <c r="K11763" s="15"/>
      <c r="L11763" s="17">
        <v>1</v>
      </c>
      <c r="M11763" s="17">
        <v>10</v>
      </c>
      <c r="N11763" s="17">
        <v>1</v>
      </c>
      <c r="O11763" s="18">
        <v>7806.86</v>
      </c>
      <c r="P11763" s="18">
        <v>6399.07</v>
      </c>
      <c r="Q11763" s="18">
        <v>7806.86</v>
      </c>
      <c r="R11763" s="18">
        <v>6399.07</v>
      </c>
      <c r="S11763" s="18">
        <v>4840.25</v>
      </c>
      <c r="T11763" s="18">
        <v>3967.42</v>
      </c>
      <c r="U11763" s="16"/>
      <c r="V11763" s="16"/>
      <c r="W11763" s="16" t="s">
        <v>40</v>
      </c>
      <c r="X11763" s="19">
        <v>1.6519999999999999</v>
      </c>
      <c r="Y11763" s="20">
        <v>5.4739999999999997E-3</v>
      </c>
      <c r="Z11763" s="21">
        <v>4601004087873</v>
      </c>
    </row>
    <row r="11764" spans="1:26" ht="12" customHeight="1" outlineLevel="4" x14ac:dyDescent="0.2">
      <c r="A11764" s="14" t="s">
        <v>22347</v>
      </c>
      <c r="B11764" s="26" t="s">
        <v>22348</v>
      </c>
      <c r="C11764" s="52"/>
      <c r="D11764" s="55">
        <f t="shared" si="183"/>
        <v>0</v>
      </c>
      <c r="E11764" s="63" t="str">
        <f>HYPERLINK("https://www.sds-group.ru/product/girlyanda-svetodiodnaya-nit-20m-200-led-siniy-belyy-kauchuk-ip67-effekt-mertsaniya-230v-soed-315-183/", "Инфо")</f>
        <v>Инфо</v>
      </c>
      <c r="F11764" s="16" t="s">
        <v>39</v>
      </c>
      <c r="G11764" s="15"/>
      <c r="H11764" s="15"/>
      <c r="I11764" s="15"/>
      <c r="J11764" s="17">
        <v>174</v>
      </c>
      <c r="K11764" s="15"/>
      <c r="L11764" s="17">
        <v>1</v>
      </c>
      <c r="M11764" s="17">
        <v>10</v>
      </c>
      <c r="N11764" s="17">
        <v>1</v>
      </c>
      <c r="O11764" s="18">
        <v>8043.43</v>
      </c>
      <c r="P11764" s="18">
        <v>6592.98</v>
      </c>
      <c r="Q11764" s="18">
        <v>8043.43</v>
      </c>
      <c r="R11764" s="18">
        <v>6592.98</v>
      </c>
      <c r="S11764" s="18">
        <v>4986.93</v>
      </c>
      <c r="T11764" s="18">
        <v>4087.65</v>
      </c>
      <c r="U11764" s="16"/>
      <c r="V11764" s="16"/>
      <c r="W11764" s="16" t="s">
        <v>40</v>
      </c>
      <c r="X11764" s="19">
        <v>1.633</v>
      </c>
      <c r="Y11764" s="20">
        <v>5.3249999999999999E-3</v>
      </c>
      <c r="Z11764" s="21">
        <v>4601004087910</v>
      </c>
    </row>
    <row r="11765" spans="1:26" ht="12" customHeight="1" outlineLevel="4" x14ac:dyDescent="0.2">
      <c r="A11765" s="14" t="s">
        <v>22349</v>
      </c>
      <c r="B11765" s="26" t="s">
        <v>22350</v>
      </c>
      <c r="C11765" s="52"/>
      <c r="D11765" s="55">
        <f t="shared" si="183"/>
        <v>0</v>
      </c>
      <c r="E11765" s="63" t="str">
        <f>HYPERLINK("https://www.sds-group.ru/product/girlyanda-svetodiodnaya-nit-20m-200-led-siniy-chernyy-kauchuk-ip67-postoyannoe-svechenie-230-315-153/", "Инфо")</f>
        <v>Инфо</v>
      </c>
      <c r="F11765" s="16" t="s">
        <v>39</v>
      </c>
      <c r="G11765" s="15"/>
      <c r="H11765" s="15"/>
      <c r="I11765" s="15"/>
      <c r="J11765" s="17">
        <v>120</v>
      </c>
      <c r="K11765" s="15"/>
      <c r="L11765" s="17">
        <v>1</v>
      </c>
      <c r="M11765" s="17">
        <v>10</v>
      </c>
      <c r="N11765" s="17">
        <v>1</v>
      </c>
      <c r="O11765" s="18">
        <v>7806.86</v>
      </c>
      <c r="P11765" s="18">
        <v>6399.07</v>
      </c>
      <c r="Q11765" s="18">
        <v>7806.86</v>
      </c>
      <c r="R11765" s="18">
        <v>6399.07</v>
      </c>
      <c r="S11765" s="18">
        <v>4840.25</v>
      </c>
      <c r="T11765" s="18">
        <v>3967.42</v>
      </c>
      <c r="U11765" s="16"/>
      <c r="V11765" s="16"/>
      <c r="W11765" s="16" t="s">
        <v>40</v>
      </c>
      <c r="X11765" s="19">
        <v>1.712</v>
      </c>
      <c r="Y11765" s="20">
        <v>5.4159999999999998E-3</v>
      </c>
      <c r="Z11765" s="21">
        <v>4610003606862</v>
      </c>
    </row>
    <row r="11766" spans="1:26" ht="12" customHeight="1" outlineLevel="4" x14ac:dyDescent="0.2">
      <c r="A11766" s="14" t="s">
        <v>22351</v>
      </c>
      <c r="B11766" s="26" t="s">
        <v>22352</v>
      </c>
      <c r="C11766" s="52"/>
      <c r="D11766" s="55">
        <f t="shared" si="183"/>
        <v>0</v>
      </c>
      <c r="E11766" s="63" t="str">
        <f>HYPERLINK("https://www.sds-group.ru/product/girlyanda-svetodiodnaya-nit-20m-200-led-siniy-chernyy-kauchuk-ip67-effekt-mertsaniya-soediny-315-173/", "Инфо")</f>
        <v>Инфо</v>
      </c>
      <c r="F11766" s="16" t="s">
        <v>39</v>
      </c>
      <c r="G11766" s="15"/>
      <c r="H11766" s="15"/>
      <c r="I11766" s="15"/>
      <c r="J11766" s="17">
        <v>114</v>
      </c>
      <c r="K11766" s="15"/>
      <c r="L11766" s="17">
        <v>1</v>
      </c>
      <c r="M11766" s="17">
        <v>10</v>
      </c>
      <c r="N11766" s="17">
        <v>1</v>
      </c>
      <c r="O11766" s="18">
        <v>8043.43</v>
      </c>
      <c r="P11766" s="18">
        <v>6592.98</v>
      </c>
      <c r="Q11766" s="18">
        <v>8043.43</v>
      </c>
      <c r="R11766" s="18">
        <v>6592.98</v>
      </c>
      <c r="S11766" s="18">
        <v>4986.93</v>
      </c>
      <c r="T11766" s="18">
        <v>4087.65</v>
      </c>
      <c r="U11766" s="16"/>
      <c r="V11766" s="16"/>
      <c r="W11766" s="16" t="s">
        <v>40</v>
      </c>
      <c r="X11766" s="19">
        <v>1.716</v>
      </c>
      <c r="Y11766" s="20">
        <v>5.3749999999999996E-3</v>
      </c>
      <c r="Z11766" s="21">
        <v>4601004302631</v>
      </c>
    </row>
    <row r="11767" spans="1:26" ht="12" customHeight="1" outlineLevel="4" x14ac:dyDescent="0.2">
      <c r="A11767" s="14" t="s">
        <v>22353</v>
      </c>
      <c r="B11767" s="26" t="s">
        <v>22354</v>
      </c>
      <c r="C11767" s="52"/>
      <c r="D11767" s="55">
        <f t="shared" si="183"/>
        <v>0</v>
      </c>
      <c r="E11767" s="63" t="str">
        <f>HYPERLINK("https://www.sds-group.ru/product/girlyanda-svetodiodnaya-nit-20m-200-led-teplyy-belyy-belyy-kauchuk-ip67-postoyannoe-svecheni-315-146/", "Инфо")</f>
        <v>Инфо</v>
      </c>
      <c r="F11767" s="16" t="s">
        <v>39</v>
      </c>
      <c r="G11767" s="15"/>
      <c r="H11767" s="15"/>
      <c r="I11767" s="15"/>
      <c r="J11767" s="17">
        <v>191</v>
      </c>
      <c r="K11767" s="15" t="s">
        <v>6174</v>
      </c>
      <c r="L11767" s="17">
        <v>1</v>
      </c>
      <c r="M11767" s="17">
        <v>10</v>
      </c>
      <c r="N11767" s="17">
        <v>1</v>
      </c>
      <c r="O11767" s="18">
        <v>7806.86</v>
      </c>
      <c r="P11767" s="18">
        <v>6399.07</v>
      </c>
      <c r="Q11767" s="18">
        <v>7806.86</v>
      </c>
      <c r="R11767" s="18">
        <v>6399.07</v>
      </c>
      <c r="S11767" s="18">
        <v>4840.25</v>
      </c>
      <c r="T11767" s="18">
        <v>3967.42</v>
      </c>
      <c r="U11767" s="16"/>
      <c r="V11767" s="16"/>
      <c r="W11767" s="16" t="s">
        <v>40</v>
      </c>
      <c r="X11767" s="19">
        <v>1.7589999999999999</v>
      </c>
      <c r="Y11767" s="20">
        <v>5.3270000000000001E-3</v>
      </c>
      <c r="Z11767" s="21">
        <v>4601004016804</v>
      </c>
    </row>
    <row r="11768" spans="1:26" ht="12" customHeight="1" outlineLevel="4" x14ac:dyDescent="0.2">
      <c r="A11768" s="14" t="s">
        <v>22355</v>
      </c>
      <c r="B11768" s="26" t="s">
        <v>22356</v>
      </c>
      <c r="C11768" s="52"/>
      <c r="D11768" s="55">
        <f t="shared" si="183"/>
        <v>0</v>
      </c>
      <c r="E11768" s="63" t="str">
        <f>HYPERLINK("https://www.sds-group.ru/product/girlyanda-svetodiodnaya-nit-20m-200-led-teplyy-belyy-belyy-kauchuk-ip67-postoyannoe-svecheni-315-506/", "Инфо")</f>
        <v>Инфо</v>
      </c>
      <c r="F11768" s="16" t="s">
        <v>39</v>
      </c>
      <c r="G11768" s="15"/>
      <c r="H11768" s="15"/>
      <c r="I11768" s="15"/>
      <c r="J11768" s="17">
        <v>146</v>
      </c>
      <c r="K11768" s="15" t="s">
        <v>6174</v>
      </c>
      <c r="L11768" s="17">
        <v>1</v>
      </c>
      <c r="M11768" s="17">
        <v>12</v>
      </c>
      <c r="N11768" s="17">
        <v>1</v>
      </c>
      <c r="O11768" s="18">
        <v>8249</v>
      </c>
      <c r="P11768" s="18">
        <v>6761.48</v>
      </c>
      <c r="Q11768" s="18">
        <v>8249</v>
      </c>
      <c r="R11768" s="18">
        <v>6761.48</v>
      </c>
      <c r="S11768" s="18">
        <v>5114.38</v>
      </c>
      <c r="T11768" s="18">
        <v>4192.1099999999997</v>
      </c>
      <c r="U11768" s="16"/>
      <c r="V11768" s="16"/>
      <c r="W11768" s="16" t="s">
        <v>40</v>
      </c>
      <c r="X11768" s="19">
        <v>1.581</v>
      </c>
      <c r="Y11768" s="20">
        <v>6.1549999999999999E-3</v>
      </c>
      <c r="Z11768" s="21">
        <v>4601004224995</v>
      </c>
    </row>
    <row r="11769" spans="1:26" ht="12" customHeight="1" outlineLevel="4" x14ac:dyDescent="0.2">
      <c r="A11769" s="14" t="s">
        <v>22357</v>
      </c>
      <c r="B11769" s="26" t="s">
        <v>22358</v>
      </c>
      <c r="C11769" s="52"/>
      <c r="D11769" s="55">
        <f t="shared" si="183"/>
        <v>0</v>
      </c>
      <c r="E11769" s="63" t="str">
        <f>HYPERLINK("https://www.sds-group.ru/product/girlyanda-svetodiodnaya-nit-20m-200-led-teplyy-belyy-belyy-kauchuk-ip67-effekt-mertsaniya-23-315-186/", "Инфо")</f>
        <v>Инфо</v>
      </c>
      <c r="F11769" s="16" t="s">
        <v>39</v>
      </c>
      <c r="G11769" s="15"/>
      <c r="H11769" s="15"/>
      <c r="I11769" s="15"/>
      <c r="J11769" s="16" t="s">
        <v>100</v>
      </c>
      <c r="K11769" s="15" t="s">
        <v>6174</v>
      </c>
      <c r="L11769" s="17">
        <v>1</v>
      </c>
      <c r="M11769" s="17">
        <v>12</v>
      </c>
      <c r="N11769" s="17">
        <v>1</v>
      </c>
      <c r="O11769" s="18">
        <v>8043.43</v>
      </c>
      <c r="P11769" s="18">
        <v>6592.98</v>
      </c>
      <c r="Q11769" s="18">
        <v>8043.43</v>
      </c>
      <c r="R11769" s="18">
        <v>6592.98</v>
      </c>
      <c r="S11769" s="18">
        <v>4986.93</v>
      </c>
      <c r="T11769" s="18">
        <v>4087.65</v>
      </c>
      <c r="U11769" s="16"/>
      <c r="V11769" s="16"/>
      <c r="W11769" s="16" t="s">
        <v>40</v>
      </c>
      <c r="X11769" s="19">
        <v>1.585</v>
      </c>
      <c r="Y11769" s="20">
        <v>4.3340000000000002E-3</v>
      </c>
      <c r="Z11769" s="21">
        <v>4601004087941</v>
      </c>
    </row>
    <row r="11770" spans="1:26" ht="12" customHeight="1" outlineLevel="4" x14ac:dyDescent="0.2">
      <c r="A11770" s="14" t="s">
        <v>22359</v>
      </c>
      <c r="B11770" s="26" t="s">
        <v>22360</v>
      </c>
      <c r="C11770" s="52"/>
      <c r="D11770" s="55">
        <f t="shared" si="183"/>
        <v>0</v>
      </c>
      <c r="E11770" s="63" t="str">
        <f>HYPERLINK("https://www.sds-group.ru/product/girlyanda-svetodiodnaya-nit-20m-200-led-teplyy-belyy-belyy-kauchuk-ip67-effekt-mertsaniya-24-315-536/", "Инфо")</f>
        <v>Инфо</v>
      </c>
      <c r="F11770" s="16" t="s">
        <v>39</v>
      </c>
      <c r="G11770" s="15"/>
      <c r="H11770" s="15"/>
      <c r="I11770" s="15"/>
      <c r="J11770" s="17">
        <v>33</v>
      </c>
      <c r="K11770" s="15" t="s">
        <v>6174</v>
      </c>
      <c r="L11770" s="17">
        <v>1</v>
      </c>
      <c r="M11770" s="17">
        <v>12</v>
      </c>
      <c r="N11770" s="17">
        <v>1</v>
      </c>
      <c r="O11770" s="18">
        <v>9089.33</v>
      </c>
      <c r="P11770" s="18">
        <v>7450.27</v>
      </c>
      <c r="Q11770" s="18">
        <v>9089.33</v>
      </c>
      <c r="R11770" s="18">
        <v>7450.27</v>
      </c>
      <c r="S11770" s="18">
        <v>5635.38</v>
      </c>
      <c r="T11770" s="18">
        <v>4619.16</v>
      </c>
      <c r="U11770" s="16"/>
      <c r="V11770" s="16"/>
      <c r="W11770" s="16" t="s">
        <v>40</v>
      </c>
      <c r="X11770" s="19">
        <v>1.5820000000000001</v>
      </c>
      <c r="Y11770" s="20">
        <v>5.9740000000000001E-3</v>
      </c>
      <c r="Z11770" s="21">
        <v>4601004225053</v>
      </c>
    </row>
    <row r="11771" spans="1:26" ht="12" customHeight="1" outlineLevel="4" x14ac:dyDescent="0.2">
      <c r="A11771" s="14" t="s">
        <v>22361</v>
      </c>
      <c r="B11771" s="26" t="s">
        <v>22362</v>
      </c>
      <c r="C11771" s="52"/>
      <c r="D11771" s="55">
        <f t="shared" si="183"/>
        <v>0</v>
      </c>
      <c r="E11771" s="63" t="str">
        <f>HYPERLINK("https://www.sds-group.ru/product/girlyanda-svetodiodnaya-nit-20m-200-led-teplyy-belyy-chernyy-kauchuk-ip67-100-mertsanie-230v-315-166/", "Инфо")</f>
        <v>Инфо</v>
      </c>
      <c r="F11771" s="16" t="s">
        <v>39</v>
      </c>
      <c r="G11771" s="15"/>
      <c r="H11771" s="15"/>
      <c r="I11771" s="15"/>
      <c r="J11771" s="17">
        <v>112</v>
      </c>
      <c r="K11771" s="15" t="s">
        <v>6174</v>
      </c>
      <c r="L11771" s="17">
        <v>1</v>
      </c>
      <c r="M11771" s="17">
        <v>5</v>
      </c>
      <c r="N11771" s="17">
        <v>1</v>
      </c>
      <c r="O11771" s="18">
        <v>12200.92</v>
      </c>
      <c r="P11771" s="18">
        <v>10000.75</v>
      </c>
      <c r="Q11771" s="18">
        <v>12200.92</v>
      </c>
      <c r="R11771" s="18">
        <v>10000.75</v>
      </c>
      <c r="S11771" s="18">
        <v>7564.57</v>
      </c>
      <c r="T11771" s="18">
        <v>6200.47</v>
      </c>
      <c r="U11771" s="16"/>
      <c r="V11771" s="16"/>
      <c r="W11771" s="16" t="s">
        <v>40</v>
      </c>
      <c r="X11771" s="19">
        <v>1.7270000000000001</v>
      </c>
      <c r="Y11771" s="20">
        <v>5.5649999999999996E-3</v>
      </c>
      <c r="Z11771" s="21">
        <v>4601004016859</v>
      </c>
    </row>
    <row r="11772" spans="1:26" ht="12" customHeight="1" outlineLevel="4" x14ac:dyDescent="0.2">
      <c r="A11772" s="14" t="s">
        <v>22363</v>
      </c>
      <c r="B11772" s="26" t="s">
        <v>22364</v>
      </c>
      <c r="C11772" s="52"/>
      <c r="D11772" s="55">
        <f t="shared" si="183"/>
        <v>0</v>
      </c>
      <c r="E11772" s="63" t="str">
        <f>HYPERLINK("https://www.sds-group.ru/product/girlyanda-svetodiodnaya-nit-20m-200-led-teplyy-belyy-chernyy-kauchuk-ip67-postoyannoe-sveche-315-156/", "Инфо")</f>
        <v>Инфо</v>
      </c>
      <c r="F11772" s="16" t="s">
        <v>39</v>
      </c>
      <c r="G11772" s="15"/>
      <c r="H11772" s="15"/>
      <c r="I11772" s="15"/>
      <c r="J11772" s="17">
        <v>151</v>
      </c>
      <c r="K11772" s="15" t="s">
        <v>6174</v>
      </c>
      <c r="L11772" s="17">
        <v>1</v>
      </c>
      <c r="M11772" s="17">
        <v>12</v>
      </c>
      <c r="N11772" s="17">
        <v>1</v>
      </c>
      <c r="O11772" s="18">
        <v>7806.86</v>
      </c>
      <c r="P11772" s="18">
        <v>6399.07</v>
      </c>
      <c r="Q11772" s="18">
        <v>7806.86</v>
      </c>
      <c r="R11772" s="18">
        <v>6399.07</v>
      </c>
      <c r="S11772" s="18">
        <v>4840.25</v>
      </c>
      <c r="T11772" s="18">
        <v>3967.42</v>
      </c>
      <c r="U11772" s="16"/>
      <c r="V11772" s="16"/>
      <c r="W11772" s="16" t="s">
        <v>40</v>
      </c>
      <c r="X11772" s="19">
        <v>1.577</v>
      </c>
      <c r="Y11772" s="20">
        <v>5.6030000000000003E-3</v>
      </c>
      <c r="Z11772" s="21">
        <v>4601004012608</v>
      </c>
    </row>
    <row r="11773" spans="1:26" ht="12" customHeight="1" outlineLevel="4" x14ac:dyDescent="0.2">
      <c r="A11773" s="14" t="s">
        <v>22365</v>
      </c>
      <c r="B11773" s="26" t="s">
        <v>22366</v>
      </c>
      <c r="C11773" s="52"/>
      <c r="D11773" s="55">
        <f t="shared" si="183"/>
        <v>0</v>
      </c>
      <c r="E11773" s="63" t="str">
        <f>HYPERLINK("https://www.sds-group.ru/product/girlyanda-svetodiodnaya-nit-20m-200-led-teplyy-belyy-chernyy-kauchuk-ip67-postoyannoe-sveche-315-516/", "Инфо")</f>
        <v>Инфо</v>
      </c>
      <c r="F11773" s="16" t="s">
        <v>39</v>
      </c>
      <c r="G11773" s="15"/>
      <c r="H11773" s="15"/>
      <c r="I11773" s="15"/>
      <c r="J11773" s="17">
        <v>179</v>
      </c>
      <c r="K11773" s="15" t="s">
        <v>6174</v>
      </c>
      <c r="L11773" s="17">
        <v>1</v>
      </c>
      <c r="M11773" s="17">
        <v>12</v>
      </c>
      <c r="N11773" s="17">
        <v>1</v>
      </c>
      <c r="O11773" s="18">
        <v>8249</v>
      </c>
      <c r="P11773" s="18">
        <v>6761.48</v>
      </c>
      <c r="Q11773" s="18">
        <v>8249</v>
      </c>
      <c r="R11773" s="18">
        <v>6761.48</v>
      </c>
      <c r="S11773" s="18">
        <v>5114.38</v>
      </c>
      <c r="T11773" s="18">
        <v>4192.1099999999997</v>
      </c>
      <c r="U11773" s="16"/>
      <c r="V11773" s="16"/>
      <c r="W11773" s="16" t="s">
        <v>40</v>
      </c>
      <c r="X11773" s="19">
        <v>1.605</v>
      </c>
      <c r="Y11773" s="20">
        <v>6.1139999999999996E-3</v>
      </c>
      <c r="Z11773" s="21">
        <v>4601004225015</v>
      </c>
    </row>
    <row r="11774" spans="1:26" ht="12" customHeight="1" outlineLevel="4" x14ac:dyDescent="0.2">
      <c r="A11774" s="14" t="s">
        <v>22367</v>
      </c>
      <c r="B11774" s="26" t="s">
        <v>22368</v>
      </c>
      <c r="C11774" s="52"/>
      <c r="D11774" s="55">
        <f t="shared" si="183"/>
        <v>0</v>
      </c>
      <c r="E11774" s="63" t="str">
        <f>HYPERLINK("https://www.sds-group.ru/product/girlyanda-svetodiodnaya-nit-20m-200-led-teplyy-belyy-chernyy-kauchuk-ip67-effekt-mertsaniya--315-176/", "Инфо")</f>
        <v>Инфо</v>
      </c>
      <c r="F11774" s="16" t="s">
        <v>39</v>
      </c>
      <c r="G11774" s="15"/>
      <c r="H11774" s="15"/>
      <c r="I11774" s="15"/>
      <c r="J11774" s="17">
        <v>176</v>
      </c>
      <c r="K11774" s="15" t="s">
        <v>6174</v>
      </c>
      <c r="L11774" s="17">
        <v>1</v>
      </c>
      <c r="M11774" s="17">
        <v>12</v>
      </c>
      <c r="N11774" s="17">
        <v>1</v>
      </c>
      <c r="O11774" s="18">
        <v>8043.43</v>
      </c>
      <c r="P11774" s="18">
        <v>6592.98</v>
      </c>
      <c r="Q11774" s="18">
        <v>8043.43</v>
      </c>
      <c r="R11774" s="18">
        <v>6592.98</v>
      </c>
      <c r="S11774" s="18">
        <v>4986.93</v>
      </c>
      <c r="T11774" s="18">
        <v>4087.65</v>
      </c>
      <c r="U11774" s="16"/>
      <c r="V11774" s="16"/>
      <c r="W11774" s="16" t="s">
        <v>40</v>
      </c>
      <c r="X11774" s="19">
        <v>1.5740000000000001</v>
      </c>
      <c r="Y11774" s="20">
        <v>5.6639999999999998E-3</v>
      </c>
      <c r="Z11774" s="21">
        <v>4601004016873</v>
      </c>
    </row>
    <row r="11775" spans="1:26" ht="12" customHeight="1" outlineLevel="4" x14ac:dyDescent="0.2">
      <c r="A11775" s="14" t="s">
        <v>22369</v>
      </c>
      <c r="B11775" s="26" t="s">
        <v>22370</v>
      </c>
      <c r="C11775" s="52"/>
      <c r="D11775" s="55">
        <f t="shared" si="183"/>
        <v>0</v>
      </c>
      <c r="E11775" s="63" t="str">
        <f>HYPERLINK("https://www.sds-group.ru/product/girlyanda-svetodiodnaya-nit-20m-200-led-teplyy-belyy-chernyy-kauchuk-ip67-effekt-mertsaniya--315-526/", "Инфо")</f>
        <v>Инфо</v>
      </c>
      <c r="F11775" s="16" t="s">
        <v>39</v>
      </c>
      <c r="G11775" s="15"/>
      <c r="H11775" s="15"/>
      <c r="I11775" s="15"/>
      <c r="J11775" s="17">
        <v>114</v>
      </c>
      <c r="K11775" s="15" t="s">
        <v>6174</v>
      </c>
      <c r="L11775" s="17">
        <v>1</v>
      </c>
      <c r="M11775" s="17">
        <v>12</v>
      </c>
      <c r="N11775" s="17">
        <v>1</v>
      </c>
      <c r="O11775" s="18">
        <v>9089.33</v>
      </c>
      <c r="P11775" s="18">
        <v>7450.27</v>
      </c>
      <c r="Q11775" s="18">
        <v>9089.33</v>
      </c>
      <c r="R11775" s="18">
        <v>7450.27</v>
      </c>
      <c r="S11775" s="18">
        <v>5635.38</v>
      </c>
      <c r="T11775" s="18">
        <v>4619.16</v>
      </c>
      <c r="U11775" s="16"/>
      <c r="V11775" s="16"/>
      <c r="W11775" s="16" t="s">
        <v>40</v>
      </c>
      <c r="X11775" s="19">
        <v>1.593</v>
      </c>
      <c r="Y11775" s="20">
        <v>6.0299999999999998E-3</v>
      </c>
      <c r="Z11775" s="21">
        <v>4601004225039</v>
      </c>
    </row>
    <row r="11776" spans="1:26" ht="12.95" customHeight="1" outlineLevel="3" x14ac:dyDescent="0.2">
      <c r="A11776" s="76" t="s">
        <v>22371</v>
      </c>
      <c r="B11776" s="76"/>
      <c r="C11776" s="77"/>
      <c r="D11776" s="58"/>
      <c r="E11776" s="68"/>
      <c r="F11776" s="13"/>
      <c r="G11776" s="13"/>
      <c r="H11776" s="13"/>
      <c r="I11776" s="13"/>
      <c r="J11776" s="13"/>
      <c r="K11776" s="13"/>
      <c r="L11776" s="13"/>
      <c r="M11776" s="13"/>
      <c r="N11776" s="13"/>
      <c r="O11776" s="13"/>
      <c r="P11776" s="13"/>
      <c r="Q11776" s="13"/>
      <c r="R11776" s="13"/>
      <c r="S11776" s="13"/>
      <c r="T11776" s="13"/>
      <c r="U11776" s="13"/>
      <c r="V11776" s="13"/>
      <c r="W11776" s="13"/>
      <c r="X11776" s="13"/>
      <c r="Y11776" s="13"/>
      <c r="Z11776" s="13"/>
    </row>
    <row r="11777" spans="1:26" ht="12" customHeight="1" outlineLevel="4" x14ac:dyDescent="0.2">
      <c r="A11777" s="14" t="s">
        <v>22372</v>
      </c>
      <c r="B11777" s="26" t="s">
        <v>22373</v>
      </c>
      <c r="C11777" s="52"/>
      <c r="D11777" s="55">
        <f t="shared" si="183"/>
        <v>0</v>
      </c>
      <c r="E11777" s="63" t="str">
        <f>HYPERLINK("https://www.sds-group.ru/product/girlyanda-svetodiodnaya-multishariki-13mm-20m-200-led-rgb-chernyy-pvh-ip65-bystraya-smena--303-509-1/", "Инфо")</f>
        <v>Инфо</v>
      </c>
      <c r="F11777" s="16" t="s">
        <v>39</v>
      </c>
      <c r="G11777" s="15"/>
      <c r="H11777" s="15"/>
      <c r="I11777" s="15"/>
      <c r="J11777" s="16" t="s">
        <v>100</v>
      </c>
      <c r="K11777" s="15" t="s">
        <v>1055</v>
      </c>
      <c r="L11777" s="17">
        <v>1</v>
      </c>
      <c r="M11777" s="17">
        <v>10</v>
      </c>
      <c r="N11777" s="17">
        <v>1</v>
      </c>
      <c r="O11777" s="18">
        <v>12325.44</v>
      </c>
      <c r="P11777" s="18">
        <v>10102.82</v>
      </c>
      <c r="Q11777" s="18">
        <v>12325.44</v>
      </c>
      <c r="R11777" s="18">
        <v>10102.82</v>
      </c>
      <c r="S11777" s="18">
        <v>7641.77</v>
      </c>
      <c r="T11777" s="18">
        <v>6263.75</v>
      </c>
      <c r="U11777" s="16"/>
      <c r="V11777" s="16"/>
      <c r="W11777" s="16" t="s">
        <v>40</v>
      </c>
      <c r="X11777" s="19">
        <v>1.4450000000000001</v>
      </c>
      <c r="Y11777" s="20">
        <v>5.156E-3</v>
      </c>
      <c r="Z11777" s="21">
        <v>4601004015760</v>
      </c>
    </row>
    <row r="11778" spans="1:26" ht="12" customHeight="1" outlineLevel="4" x14ac:dyDescent="0.2">
      <c r="A11778" s="14" t="s">
        <v>22374</v>
      </c>
      <c r="B11778" s="26" t="s">
        <v>22375</v>
      </c>
      <c r="C11778" s="52"/>
      <c r="D11778" s="55">
        <f t="shared" si="183"/>
        <v>0</v>
      </c>
      <c r="E11778" s="63" t="str">
        <f>HYPERLINK("https://www.sds-group.ru/product/girlyanda-svetodiodnaya-multishariki-17-5mm-10m-100-led-rgb-chernyy-pvh-ip65-bystraya-smen-303-509-2/", "Инфо")</f>
        <v>Инфо</v>
      </c>
      <c r="F11778" s="16" t="s">
        <v>39</v>
      </c>
      <c r="G11778" s="15"/>
      <c r="H11778" s="15"/>
      <c r="I11778" s="15"/>
      <c r="J11778" s="17">
        <v>9</v>
      </c>
      <c r="K11778" s="15" t="s">
        <v>1055</v>
      </c>
      <c r="L11778" s="17">
        <v>1</v>
      </c>
      <c r="M11778" s="17">
        <v>8</v>
      </c>
      <c r="N11778" s="17">
        <v>1</v>
      </c>
      <c r="O11778" s="18">
        <v>6846.87</v>
      </c>
      <c r="P11778" s="18">
        <v>5612.19</v>
      </c>
      <c r="Q11778" s="18">
        <v>6846.87</v>
      </c>
      <c r="R11778" s="18">
        <v>5612.19</v>
      </c>
      <c r="S11778" s="18">
        <v>4245.0600000000004</v>
      </c>
      <c r="T11778" s="18">
        <v>3479.56</v>
      </c>
      <c r="U11778" s="16"/>
      <c r="V11778" s="16"/>
      <c r="W11778" s="16" t="s">
        <v>40</v>
      </c>
      <c r="X11778" s="19">
        <v>1.0229999999999999</v>
      </c>
      <c r="Y11778" s="20">
        <v>3.8769999999999998E-3</v>
      </c>
      <c r="Z11778" s="21">
        <v>4601004003828</v>
      </c>
    </row>
    <row r="11779" spans="1:26" ht="12" customHeight="1" outlineLevel="4" x14ac:dyDescent="0.2">
      <c r="A11779" s="14" t="s">
        <v>22376</v>
      </c>
      <c r="B11779" s="26" t="s">
        <v>22377</v>
      </c>
      <c r="C11779" s="52"/>
      <c r="D11779" s="55">
        <f t="shared" si="183"/>
        <v>0</v>
      </c>
      <c r="E11779" s="63" t="str">
        <f>HYPERLINK("https://www.sds-group.ru/product/girlyanda-svetodiodnaya-multishariki-17-5mm-10m-100-led-rgb-chernyy-pvh-ip65-medlennaya-sm-303-509-4/", "Инфо")</f>
        <v>Инфо</v>
      </c>
      <c r="F11779" s="16" t="s">
        <v>39</v>
      </c>
      <c r="G11779" s="15"/>
      <c r="H11779" s="15"/>
      <c r="I11779" s="15"/>
      <c r="J11779" s="17">
        <v>112</v>
      </c>
      <c r="K11779" s="15"/>
      <c r="L11779" s="17">
        <v>1</v>
      </c>
      <c r="M11779" s="17">
        <v>8</v>
      </c>
      <c r="N11779" s="17">
        <v>1</v>
      </c>
      <c r="O11779" s="18">
        <v>6520.83</v>
      </c>
      <c r="P11779" s="18">
        <v>5344.94</v>
      </c>
      <c r="Q11779" s="18">
        <v>6520.83</v>
      </c>
      <c r="R11779" s="18">
        <v>5344.94</v>
      </c>
      <c r="S11779" s="18">
        <v>4042.91</v>
      </c>
      <c r="T11779" s="18">
        <v>3313.86</v>
      </c>
      <c r="U11779" s="16"/>
      <c r="V11779" s="16"/>
      <c r="W11779" s="16" t="s">
        <v>40</v>
      </c>
      <c r="X11779" s="19">
        <v>0.97799999999999998</v>
      </c>
      <c r="Y11779" s="20">
        <v>3.068E-3</v>
      </c>
      <c r="Z11779" s="21">
        <v>4601004302709</v>
      </c>
    </row>
    <row r="11780" spans="1:26" ht="12" customHeight="1" outlineLevel="4" x14ac:dyDescent="0.2">
      <c r="A11780" s="14" t="s">
        <v>22378</v>
      </c>
      <c r="B11780" s="26" t="s">
        <v>22379</v>
      </c>
      <c r="C11780" s="52"/>
      <c r="D11780" s="55">
        <f t="shared" si="183"/>
        <v>0</v>
      </c>
      <c r="E11780" s="63" t="str">
        <f>HYPERLINK("https://www.sds-group.ru/product/girlyanda-svetodiodnaya-multishariki-17-5mm-20m-200-led-rgb-chernyy-pvh-ip65-bystraya-smena--303-509/", "Инфо")</f>
        <v>Инфо</v>
      </c>
      <c r="F11780" s="16" t="s">
        <v>39</v>
      </c>
      <c r="G11780" s="15"/>
      <c r="H11780" s="15"/>
      <c r="I11780" s="15"/>
      <c r="J11780" s="17">
        <v>104</v>
      </c>
      <c r="K11780" s="15"/>
      <c r="L11780" s="17">
        <v>1</v>
      </c>
      <c r="M11780" s="17">
        <v>6</v>
      </c>
      <c r="N11780" s="17">
        <v>1</v>
      </c>
      <c r="O11780" s="18">
        <v>11847.44</v>
      </c>
      <c r="P11780" s="18">
        <v>9711.02</v>
      </c>
      <c r="Q11780" s="18">
        <v>11847.44</v>
      </c>
      <c r="R11780" s="18">
        <v>9711.02</v>
      </c>
      <c r="S11780" s="18">
        <v>7345.41</v>
      </c>
      <c r="T11780" s="18">
        <v>6020.83</v>
      </c>
      <c r="U11780" s="16"/>
      <c r="V11780" s="16"/>
      <c r="W11780" s="16" t="s">
        <v>40</v>
      </c>
      <c r="X11780" s="19">
        <v>1.9350000000000001</v>
      </c>
      <c r="Y11780" s="20">
        <v>6.3800000000000003E-3</v>
      </c>
      <c r="Z11780" s="21">
        <v>4601004015746</v>
      </c>
    </row>
    <row r="11781" spans="1:26" ht="12" customHeight="1" outlineLevel="4" x14ac:dyDescent="0.2">
      <c r="A11781" s="14" t="s">
        <v>22380</v>
      </c>
      <c r="B11781" s="26" t="s">
        <v>22381</v>
      </c>
      <c r="C11781" s="52"/>
      <c r="D11781" s="55">
        <f t="shared" si="183"/>
        <v>0</v>
      </c>
      <c r="E11781" s="63" t="str">
        <f>HYPERLINK("https://www.sds-group.ru/product/girlyanda-svetodiodnaya-multishariki-17-5mm-20m-200-led-rgb-chernyy-pvh-ip65-bystraya-smena--303-529/", "Инфо")</f>
        <v>Инфо</v>
      </c>
      <c r="F11781" s="16" t="s">
        <v>39</v>
      </c>
      <c r="G11781" s="15"/>
      <c r="H11781" s="15"/>
      <c r="I11781" s="15"/>
      <c r="J11781" s="16" t="s">
        <v>100</v>
      </c>
      <c r="K11781" s="15" t="s">
        <v>1055</v>
      </c>
      <c r="L11781" s="17">
        <v>1</v>
      </c>
      <c r="M11781" s="17">
        <v>10</v>
      </c>
      <c r="N11781" s="17">
        <v>1</v>
      </c>
      <c r="O11781" s="18">
        <v>14940.17</v>
      </c>
      <c r="P11781" s="18">
        <v>12246.04</v>
      </c>
      <c r="Q11781" s="18">
        <v>14940.17</v>
      </c>
      <c r="R11781" s="18">
        <v>12246.04</v>
      </c>
      <c r="S11781" s="18">
        <v>9262.91</v>
      </c>
      <c r="T11781" s="18">
        <v>7592.55</v>
      </c>
      <c r="U11781" s="16"/>
      <c r="V11781" s="16"/>
      <c r="W11781" s="16" t="s">
        <v>40</v>
      </c>
      <c r="X11781" s="19">
        <v>2.2570000000000001</v>
      </c>
      <c r="Y11781" s="20">
        <v>6.195E-3</v>
      </c>
      <c r="Z11781" s="21">
        <v>4610003607128</v>
      </c>
    </row>
    <row r="11782" spans="1:26" ht="12" customHeight="1" outlineLevel="4" x14ac:dyDescent="0.2">
      <c r="A11782" s="14" t="s">
        <v>22382</v>
      </c>
      <c r="B11782" s="26" t="s">
        <v>22383</v>
      </c>
      <c r="C11782" s="52"/>
      <c r="D11782" s="55">
        <f t="shared" si="183"/>
        <v>0</v>
      </c>
      <c r="E11782" s="63" t="str">
        <f>HYPERLINK("https://www.sds-group.ru/product/girlyanda-svetodiodnaya-multishariki-17-5mm-20m-200-led-belyy-chernyy-pvh-ip65-postoyannoe-s-303-505/", "Инфо")</f>
        <v>Инфо</v>
      </c>
      <c r="F11782" s="16" t="s">
        <v>39</v>
      </c>
      <c r="G11782" s="15"/>
      <c r="H11782" s="15"/>
      <c r="I11782" s="15"/>
      <c r="J11782" s="17">
        <v>92</v>
      </c>
      <c r="K11782" s="15"/>
      <c r="L11782" s="17">
        <v>1</v>
      </c>
      <c r="M11782" s="17">
        <v>10</v>
      </c>
      <c r="N11782" s="17">
        <v>1</v>
      </c>
      <c r="O11782" s="18">
        <v>10134.030000000001</v>
      </c>
      <c r="P11782" s="18">
        <v>8306.58</v>
      </c>
      <c r="Q11782" s="18">
        <v>10134.030000000001</v>
      </c>
      <c r="R11782" s="18">
        <v>8306.58</v>
      </c>
      <c r="S11782" s="18">
        <v>6283.1</v>
      </c>
      <c r="T11782" s="18">
        <v>5150.08</v>
      </c>
      <c r="U11782" s="16"/>
      <c r="V11782" s="16"/>
      <c r="W11782" s="16" t="s">
        <v>40</v>
      </c>
      <c r="X11782" s="19">
        <v>1.538</v>
      </c>
      <c r="Y11782" s="20">
        <v>6.2319999999999997E-3</v>
      </c>
      <c r="Z11782" s="21">
        <v>4610003607036</v>
      </c>
    </row>
    <row r="11783" spans="1:26" ht="12" customHeight="1" outlineLevel="4" x14ac:dyDescent="0.2">
      <c r="A11783" s="32" t="s">
        <v>22384</v>
      </c>
      <c r="B11783" s="74" t="s">
        <v>22385</v>
      </c>
      <c r="C11783" s="50"/>
      <c r="D11783" s="53">
        <f t="shared" si="183"/>
        <v>0</v>
      </c>
      <c r="E11783" s="60" t="str">
        <f>HYPERLINK("https://www.sds-group.ru/product/girlyanda-svetodiodnaya-multishariki-17-5mm-20m-200-led-krasnyy-chernyy-pvh-ip65-postoyannoe-303-502/", "Инфо")</f>
        <v>Инфо</v>
      </c>
      <c r="F11783" s="34" t="s">
        <v>39</v>
      </c>
      <c r="G11783" s="33"/>
      <c r="H11783" s="33" t="s">
        <v>40</v>
      </c>
      <c r="I11783" s="33"/>
      <c r="J11783" s="35">
        <v>6</v>
      </c>
      <c r="K11783" s="33"/>
      <c r="L11783" s="35">
        <v>1</v>
      </c>
      <c r="M11783" s="35">
        <v>10</v>
      </c>
      <c r="N11783" s="35">
        <v>1</v>
      </c>
      <c r="O11783" s="36">
        <v>7387.71</v>
      </c>
      <c r="P11783" s="36">
        <v>6055.5</v>
      </c>
      <c r="Q11783" s="36">
        <v>5171.3999999999996</v>
      </c>
      <c r="R11783" s="36">
        <v>4238.8500000000004</v>
      </c>
      <c r="S11783" s="36">
        <v>4580.38</v>
      </c>
      <c r="T11783" s="36">
        <v>3754.41</v>
      </c>
      <c r="U11783" s="34"/>
      <c r="V11783" s="34"/>
      <c r="W11783" s="34"/>
      <c r="X11783" s="37">
        <v>1.546</v>
      </c>
      <c r="Y11783" s="38">
        <v>6.1919999999999996E-3</v>
      </c>
      <c r="Z11783" s="21">
        <v>4601004015722</v>
      </c>
    </row>
    <row r="11784" spans="1:26" ht="12" customHeight="1" outlineLevel="4" x14ac:dyDescent="0.2">
      <c r="A11784" s="14" t="s">
        <v>22386</v>
      </c>
      <c r="B11784" s="26" t="s">
        <v>22387</v>
      </c>
      <c r="C11784" s="52"/>
      <c r="D11784" s="55">
        <f t="shared" si="183"/>
        <v>0</v>
      </c>
      <c r="E11784" s="63" t="str">
        <f>HYPERLINK("https://www.sds-group.ru/product/girlyanda-svetodiodnaya-multishariki-17-5mm-23mm-17-5mm-45mm-10m-80-led-rgb-chernyy-pvh-ip65-303-589/", "Инфо")</f>
        <v>Инфо</v>
      </c>
      <c r="F11784" s="16" t="s">
        <v>39</v>
      </c>
      <c r="G11784" s="15"/>
      <c r="H11784" s="15"/>
      <c r="I11784" s="15"/>
      <c r="J11784" s="17">
        <v>24</v>
      </c>
      <c r="K11784" s="15"/>
      <c r="L11784" s="17">
        <v>1</v>
      </c>
      <c r="M11784" s="17">
        <v>20</v>
      </c>
      <c r="N11784" s="17">
        <v>1</v>
      </c>
      <c r="O11784" s="18">
        <v>10798.63</v>
      </c>
      <c r="P11784" s="18">
        <v>8851.34</v>
      </c>
      <c r="Q11784" s="18">
        <v>10798.63</v>
      </c>
      <c r="R11784" s="18">
        <v>8851.34</v>
      </c>
      <c r="S11784" s="18">
        <v>6695.15</v>
      </c>
      <c r="T11784" s="18">
        <v>5487.83</v>
      </c>
      <c r="U11784" s="16"/>
      <c r="V11784" s="16"/>
      <c r="W11784" s="16" t="s">
        <v>40</v>
      </c>
      <c r="X11784" s="19">
        <v>1.5940000000000001</v>
      </c>
      <c r="Y11784" s="20">
        <v>4.1260000000000003E-3</v>
      </c>
      <c r="Z11784" s="21">
        <v>4601004033375</v>
      </c>
    </row>
    <row r="11785" spans="1:26" ht="12" customHeight="1" outlineLevel="4" x14ac:dyDescent="0.2">
      <c r="A11785" s="14" t="s">
        <v>22388</v>
      </c>
      <c r="B11785" s="26" t="s">
        <v>22389</v>
      </c>
      <c r="C11785" s="52"/>
      <c r="D11785" s="55">
        <f t="shared" ref="D11785:D11848" si="184">C11785*(O11785-O11785*$G$3)</f>
        <v>0</v>
      </c>
      <c r="E11785" s="63" t="str">
        <f>HYPERLINK("https://www.sds-group.ru/product/girlyanda-svetodiodnaya-multishariki-23mm-10m-80-led-rgb-chernyy-pvh-ip65-bystraya-smena-tsv-303-519/", "Инфо")</f>
        <v>Инфо</v>
      </c>
      <c r="F11785" s="16" t="s">
        <v>39</v>
      </c>
      <c r="G11785" s="15"/>
      <c r="H11785" s="15"/>
      <c r="I11785" s="15"/>
      <c r="J11785" s="17">
        <v>42</v>
      </c>
      <c r="K11785" s="15" t="s">
        <v>1055</v>
      </c>
      <c r="L11785" s="17">
        <v>1</v>
      </c>
      <c r="M11785" s="17">
        <v>20</v>
      </c>
      <c r="N11785" s="17">
        <v>1</v>
      </c>
      <c r="O11785" s="18">
        <v>6846.87</v>
      </c>
      <c r="P11785" s="18">
        <v>5612.19</v>
      </c>
      <c r="Q11785" s="18">
        <v>6846.87</v>
      </c>
      <c r="R11785" s="18">
        <v>5612.19</v>
      </c>
      <c r="S11785" s="18">
        <v>4245.0600000000004</v>
      </c>
      <c r="T11785" s="18">
        <v>3479.56</v>
      </c>
      <c r="U11785" s="16"/>
      <c r="V11785" s="16"/>
      <c r="W11785" s="16" t="s">
        <v>40</v>
      </c>
      <c r="X11785" s="19">
        <v>1.22</v>
      </c>
      <c r="Y11785" s="20">
        <v>4.646E-3</v>
      </c>
      <c r="Z11785" s="21">
        <v>4601004015753</v>
      </c>
    </row>
    <row r="11786" spans="1:26" ht="12" customHeight="1" outlineLevel="4" x14ac:dyDescent="0.2">
      <c r="A11786" s="32" t="s">
        <v>22390</v>
      </c>
      <c r="B11786" s="74" t="s">
        <v>22391</v>
      </c>
      <c r="C11786" s="50"/>
      <c r="D11786" s="53">
        <f t="shared" si="184"/>
        <v>0</v>
      </c>
      <c r="E11786" s="60" t="str">
        <f>HYPERLINK("https://www.sds-group.ru/product/girlyanda-svetodiodnaya-multishariki-23mm-10m-80-led-belyy-chernyy-pvh-ip65-postoyannoe-svec-303-515/", "Инфо")</f>
        <v>Инфо</v>
      </c>
      <c r="F11786" s="34" t="s">
        <v>39</v>
      </c>
      <c r="G11786" s="33"/>
      <c r="H11786" s="33" t="s">
        <v>40</v>
      </c>
      <c r="I11786" s="33"/>
      <c r="J11786" s="35">
        <v>9</v>
      </c>
      <c r="K11786" s="33"/>
      <c r="L11786" s="35">
        <v>1</v>
      </c>
      <c r="M11786" s="35">
        <v>20</v>
      </c>
      <c r="N11786" s="35">
        <v>1</v>
      </c>
      <c r="O11786" s="36">
        <v>5813.43</v>
      </c>
      <c r="P11786" s="36">
        <v>4765.1099999999997</v>
      </c>
      <c r="Q11786" s="36">
        <v>4069.4</v>
      </c>
      <c r="R11786" s="36">
        <v>3335.57</v>
      </c>
      <c r="S11786" s="36">
        <v>3604.33</v>
      </c>
      <c r="T11786" s="36">
        <v>2954.37</v>
      </c>
      <c r="U11786" s="34"/>
      <c r="V11786" s="34"/>
      <c r="W11786" s="34"/>
      <c r="X11786" s="37">
        <v>1.115</v>
      </c>
      <c r="Y11786" s="38">
        <v>4.7029999999999997E-3</v>
      </c>
      <c r="Z11786" s="21">
        <v>4601004082861</v>
      </c>
    </row>
    <row r="11787" spans="1:26" ht="12" customHeight="1" outlineLevel="4" x14ac:dyDescent="0.2">
      <c r="A11787" s="14" t="s">
        <v>22392</v>
      </c>
      <c r="B11787" s="26" t="s">
        <v>22393</v>
      </c>
      <c r="C11787" s="52"/>
      <c r="D11787" s="55">
        <f t="shared" si="184"/>
        <v>0</v>
      </c>
      <c r="E11787" s="63" t="str">
        <f>HYPERLINK("https://www.sds-group.ru/product/girlyanda-svetodiodnaya-multishariki-23mm-10m-80-led-teplyy-belyy-chernyy-pvh-ip65-postoyann-303-516/", "Инфо")</f>
        <v>Инфо</v>
      </c>
      <c r="F11787" s="16" t="s">
        <v>39</v>
      </c>
      <c r="G11787" s="15"/>
      <c r="H11787" s="15"/>
      <c r="I11787" s="15"/>
      <c r="J11787" s="17">
        <v>4</v>
      </c>
      <c r="K11787" s="15" t="s">
        <v>1055</v>
      </c>
      <c r="L11787" s="17">
        <v>1</v>
      </c>
      <c r="M11787" s="17">
        <v>20</v>
      </c>
      <c r="N11787" s="17">
        <v>1</v>
      </c>
      <c r="O11787" s="18">
        <v>5813.43</v>
      </c>
      <c r="P11787" s="18">
        <v>4765.1099999999997</v>
      </c>
      <c r="Q11787" s="18">
        <v>5813.43</v>
      </c>
      <c r="R11787" s="18">
        <v>4765.1099999999997</v>
      </c>
      <c r="S11787" s="18">
        <v>3604.33</v>
      </c>
      <c r="T11787" s="18">
        <v>2954.37</v>
      </c>
      <c r="U11787" s="16"/>
      <c r="V11787" s="16"/>
      <c r="W11787" s="16" t="s">
        <v>40</v>
      </c>
      <c r="X11787" s="19">
        <v>1.1339999999999999</v>
      </c>
      <c r="Y11787" s="20">
        <v>4.6160000000000003E-3</v>
      </c>
      <c r="Z11787" s="21">
        <v>4601004093058</v>
      </c>
    </row>
    <row r="11788" spans="1:26" ht="12" customHeight="1" outlineLevel="4" x14ac:dyDescent="0.2">
      <c r="A11788" s="14" t="s">
        <v>22394</v>
      </c>
      <c r="B11788" s="26" t="s">
        <v>22395</v>
      </c>
      <c r="C11788" s="52"/>
      <c r="D11788" s="55">
        <f t="shared" si="184"/>
        <v>0</v>
      </c>
      <c r="E11788" s="63" t="str">
        <f>HYPERLINK("https://www.sds-group.ru/product/girlyanda-svetodiodnaya-multishariki-38mm-10m-40-led-rgb-chernyy-pvh-ip65-bystraya-smena-tsv-303-579/", "Инфо")</f>
        <v>Инфо</v>
      </c>
      <c r="F11788" s="16" t="s">
        <v>39</v>
      </c>
      <c r="G11788" s="15"/>
      <c r="H11788" s="15"/>
      <c r="I11788" s="15"/>
      <c r="J11788" s="17">
        <v>30</v>
      </c>
      <c r="K11788" s="15" t="s">
        <v>1055</v>
      </c>
      <c r="L11788" s="17">
        <v>1</v>
      </c>
      <c r="M11788" s="17">
        <v>10</v>
      </c>
      <c r="N11788" s="17">
        <v>1</v>
      </c>
      <c r="O11788" s="18">
        <v>7989.47</v>
      </c>
      <c r="P11788" s="18">
        <v>6548.75</v>
      </c>
      <c r="Q11788" s="18">
        <v>7989.47</v>
      </c>
      <c r="R11788" s="18">
        <v>6548.75</v>
      </c>
      <c r="S11788" s="18">
        <v>4953.47</v>
      </c>
      <c r="T11788" s="18">
        <v>4060.22</v>
      </c>
      <c r="U11788" s="16"/>
      <c r="V11788" s="16"/>
      <c r="W11788" s="16" t="s">
        <v>40</v>
      </c>
      <c r="X11788" s="19">
        <v>1.5049999999999999</v>
      </c>
      <c r="Y11788" s="20">
        <v>4.6799999999999999E-4</v>
      </c>
      <c r="Z11788" s="21">
        <v>4601004015777</v>
      </c>
    </row>
    <row r="11789" spans="1:26" ht="12" customHeight="1" outlineLevel="4" x14ac:dyDescent="0.2">
      <c r="A11789" s="14" t="s">
        <v>22396</v>
      </c>
      <c r="B11789" s="26" t="s">
        <v>22397</v>
      </c>
      <c r="C11789" s="52"/>
      <c r="D11789" s="55">
        <f t="shared" si="184"/>
        <v>0</v>
      </c>
      <c r="E11789" s="63" t="str">
        <f>HYPERLINK("https://www.sds-group.ru/product/girlyanda-svetodiodnaya-multishariki-38mm-10m-40-led-belyy-chernyy-pvh-ip65-postoyannoe-svec-303-575/", "Инфо")</f>
        <v>Инфо</v>
      </c>
      <c r="F11789" s="16" t="s">
        <v>39</v>
      </c>
      <c r="G11789" s="15"/>
      <c r="H11789" s="15"/>
      <c r="I11789" s="15"/>
      <c r="J11789" s="17">
        <v>21</v>
      </c>
      <c r="K11789" s="15"/>
      <c r="L11789" s="17">
        <v>1</v>
      </c>
      <c r="M11789" s="17">
        <v>10</v>
      </c>
      <c r="N11789" s="17">
        <v>1</v>
      </c>
      <c r="O11789" s="18">
        <v>7595.19</v>
      </c>
      <c r="P11789" s="18">
        <v>6225.57</v>
      </c>
      <c r="Q11789" s="18">
        <v>7595.19</v>
      </c>
      <c r="R11789" s="18">
        <v>6225.57</v>
      </c>
      <c r="S11789" s="18">
        <v>4709.0200000000004</v>
      </c>
      <c r="T11789" s="18">
        <v>3859.85</v>
      </c>
      <c r="U11789" s="16"/>
      <c r="V11789" s="16"/>
      <c r="W11789" s="16" t="s">
        <v>40</v>
      </c>
      <c r="X11789" s="19">
        <v>1.5649999999999999</v>
      </c>
      <c r="Y11789" s="20">
        <v>6.3280000000000003E-3</v>
      </c>
      <c r="Z11789" s="21">
        <v>4601004033382</v>
      </c>
    </row>
    <row r="11790" spans="1:26" ht="12.95" customHeight="1" outlineLevel="3" x14ac:dyDescent="0.2">
      <c r="A11790" s="76" t="s">
        <v>22398</v>
      </c>
      <c r="B11790" s="76"/>
      <c r="C11790" s="77"/>
      <c r="D11790" s="58"/>
      <c r="E11790" s="68"/>
      <c r="F11790" s="13"/>
      <c r="G11790" s="13"/>
      <c r="H11790" s="13"/>
      <c r="I11790" s="13"/>
      <c r="J11790" s="13"/>
      <c r="K11790" s="13"/>
      <c r="L11790" s="13"/>
      <c r="M11790" s="13"/>
      <c r="N11790" s="13"/>
      <c r="O11790" s="13"/>
      <c r="P11790" s="13"/>
      <c r="Q11790" s="13"/>
      <c r="R11790" s="13"/>
      <c r="S11790" s="13"/>
      <c r="T11790" s="13"/>
      <c r="U11790" s="13"/>
      <c r="V11790" s="13"/>
      <c r="W11790" s="13"/>
      <c r="X11790" s="13"/>
      <c r="Y11790" s="13"/>
      <c r="Z11790" s="13"/>
    </row>
    <row r="11791" spans="1:26" ht="12" customHeight="1" outlineLevel="4" x14ac:dyDescent="0.2">
      <c r="A11791" s="14" t="s">
        <v>22399</v>
      </c>
      <c r="B11791" s="26" t="s">
        <v>22400</v>
      </c>
      <c r="C11791" s="52"/>
      <c r="D11791" s="55">
        <f t="shared" si="184"/>
        <v>0</v>
      </c>
      <c r="E11791" s="63" t="str">
        <f>HYPERLINK("https://www.sds-group.ru/product/girlyanda-svetodiodnaya-multishariki-17-5mm-10m-80-led-rgb-chernyy-kauchuk-ip67-bystraya-sme-303-679/", "Инфо")</f>
        <v>Инфо</v>
      </c>
      <c r="F11791" s="16" t="s">
        <v>39</v>
      </c>
      <c r="G11791" s="15"/>
      <c r="H11791" s="15"/>
      <c r="I11791" s="15"/>
      <c r="J11791" s="16" t="s">
        <v>100</v>
      </c>
      <c r="K11791" s="15" t="s">
        <v>1055</v>
      </c>
      <c r="L11791" s="17">
        <v>1</v>
      </c>
      <c r="M11791" s="17">
        <v>20</v>
      </c>
      <c r="N11791" s="17">
        <v>1</v>
      </c>
      <c r="O11791" s="18">
        <v>7551.16</v>
      </c>
      <c r="P11791" s="18">
        <v>6189.48</v>
      </c>
      <c r="Q11791" s="18">
        <v>7551.16</v>
      </c>
      <c r="R11791" s="18">
        <v>6189.48</v>
      </c>
      <c r="S11791" s="18">
        <v>4681.72</v>
      </c>
      <c r="T11791" s="18">
        <v>3837.48</v>
      </c>
      <c r="U11791" s="16"/>
      <c r="V11791" s="16"/>
      <c r="W11791" s="16" t="s">
        <v>40</v>
      </c>
      <c r="X11791" s="19">
        <v>1.194</v>
      </c>
      <c r="Y11791" s="20">
        <v>9.0080000000000004E-3</v>
      </c>
      <c r="Z11791" s="21">
        <v>4601004254954</v>
      </c>
    </row>
    <row r="11792" spans="1:26" ht="12" customHeight="1" outlineLevel="4" x14ac:dyDescent="0.2">
      <c r="A11792" s="14" t="s">
        <v>22401</v>
      </c>
      <c r="B11792" s="26" t="s">
        <v>22402</v>
      </c>
      <c r="C11792" s="52"/>
      <c r="D11792" s="55">
        <f t="shared" si="184"/>
        <v>0</v>
      </c>
      <c r="E11792" s="63" t="str">
        <f>HYPERLINK("https://www.sds-group.ru/product/girlyanda-svetodiodnaya-multishariki-23mm-10m-80-led-rgb-chernyy-kauchuk-ip67-bystraya-smena-303-599/", "Инфо")</f>
        <v>Инфо</v>
      </c>
      <c r="F11792" s="16" t="s">
        <v>39</v>
      </c>
      <c r="G11792" s="15"/>
      <c r="H11792" s="15"/>
      <c r="I11792" s="15"/>
      <c r="J11792" s="17">
        <v>172</v>
      </c>
      <c r="K11792" s="15" t="s">
        <v>1055</v>
      </c>
      <c r="L11792" s="17">
        <v>1</v>
      </c>
      <c r="M11792" s="17">
        <v>20</v>
      </c>
      <c r="N11792" s="17">
        <v>1</v>
      </c>
      <c r="O11792" s="18">
        <v>7967.47</v>
      </c>
      <c r="P11792" s="18">
        <v>6530.71</v>
      </c>
      <c r="Q11792" s="18">
        <v>7967.47</v>
      </c>
      <c r="R11792" s="18">
        <v>6530.71</v>
      </c>
      <c r="S11792" s="18">
        <v>4939.83</v>
      </c>
      <c r="T11792" s="18">
        <v>4049.04</v>
      </c>
      <c r="U11792" s="16"/>
      <c r="V11792" s="16"/>
      <c r="W11792" s="16" t="s">
        <v>40</v>
      </c>
      <c r="X11792" s="19">
        <v>1.371</v>
      </c>
      <c r="Y11792" s="20">
        <v>5.5189999999999996E-3</v>
      </c>
      <c r="Z11792" s="21">
        <v>4601004093072</v>
      </c>
    </row>
    <row r="11793" spans="1:26" ht="12" customHeight="1" outlineLevel="4" x14ac:dyDescent="0.2">
      <c r="A11793" s="14" t="s">
        <v>22403</v>
      </c>
      <c r="B11793" s="26" t="s">
        <v>22404</v>
      </c>
      <c r="C11793" s="52"/>
      <c r="D11793" s="55">
        <f t="shared" si="184"/>
        <v>0</v>
      </c>
      <c r="E11793" s="63" t="str">
        <f>HYPERLINK("https://www.sds-group.ru/product/girlyanda-svetodiodnaya-multishariki-23mm-10m-80-led-belyy-chernyy-kauchuk-ip67-postoyannoe--303-595/", "Инфо")</f>
        <v>Инфо</v>
      </c>
      <c r="F11793" s="16" t="s">
        <v>39</v>
      </c>
      <c r="G11793" s="15"/>
      <c r="H11793" s="15"/>
      <c r="I11793" s="15"/>
      <c r="J11793" s="17">
        <v>40</v>
      </c>
      <c r="K11793" s="15"/>
      <c r="L11793" s="17">
        <v>1</v>
      </c>
      <c r="M11793" s="17">
        <v>20</v>
      </c>
      <c r="N11793" s="17">
        <v>1</v>
      </c>
      <c r="O11793" s="18">
        <v>6224.32</v>
      </c>
      <c r="P11793" s="18">
        <v>5101.8999999999996</v>
      </c>
      <c r="Q11793" s="18">
        <v>6224.32</v>
      </c>
      <c r="R11793" s="18">
        <v>5101.8999999999996</v>
      </c>
      <c r="S11793" s="18">
        <v>3859.08</v>
      </c>
      <c r="T11793" s="18">
        <v>3163.18</v>
      </c>
      <c r="U11793" s="16"/>
      <c r="V11793" s="16"/>
      <c r="W11793" s="16" t="s">
        <v>40</v>
      </c>
      <c r="X11793" s="19">
        <v>1.407</v>
      </c>
      <c r="Y11793" s="20">
        <v>3.9069999999999999E-3</v>
      </c>
      <c r="Z11793" s="21">
        <v>4601004093065</v>
      </c>
    </row>
    <row r="11794" spans="1:26" ht="12" customHeight="1" outlineLevel="4" x14ac:dyDescent="0.2">
      <c r="A11794" s="14" t="s">
        <v>22405</v>
      </c>
      <c r="B11794" s="26" t="s">
        <v>22406</v>
      </c>
      <c r="C11794" s="52"/>
      <c r="D11794" s="55">
        <f t="shared" si="184"/>
        <v>0</v>
      </c>
      <c r="E11794" s="63" t="str">
        <f>HYPERLINK("https://www.sds-group.ru/product/girlyanda-svetodiodnaya-multishariki-23mm-10m-80-led-teplyy-belyy-chernyy-kauchuk-ip67-posto-303-596/", "Инфо")</f>
        <v>Инфо</v>
      </c>
      <c r="F11794" s="16" t="s">
        <v>39</v>
      </c>
      <c r="G11794" s="15"/>
      <c r="H11794" s="15"/>
      <c r="I11794" s="15"/>
      <c r="J11794" s="17">
        <v>4</v>
      </c>
      <c r="K11794" s="15" t="s">
        <v>1055</v>
      </c>
      <c r="L11794" s="17">
        <v>1</v>
      </c>
      <c r="M11794" s="17">
        <v>8</v>
      </c>
      <c r="N11794" s="17">
        <v>1</v>
      </c>
      <c r="O11794" s="18">
        <v>5874.44</v>
      </c>
      <c r="P11794" s="18">
        <v>4815.1099999999997</v>
      </c>
      <c r="Q11794" s="18">
        <v>5874.44</v>
      </c>
      <c r="R11794" s="18">
        <v>4815.1099999999997</v>
      </c>
      <c r="S11794" s="18">
        <v>3642.15</v>
      </c>
      <c r="T11794" s="18">
        <v>2985.37</v>
      </c>
      <c r="U11794" s="16"/>
      <c r="V11794" s="16"/>
      <c r="W11794" s="16" t="s">
        <v>40</v>
      </c>
      <c r="X11794" s="19">
        <v>1.22</v>
      </c>
      <c r="Y11794" s="20">
        <v>4.4689999999999999E-3</v>
      </c>
      <c r="Z11794" s="21">
        <v>4601004280854</v>
      </c>
    </row>
    <row r="11795" spans="1:26" ht="12" customHeight="1" outlineLevel="4" x14ac:dyDescent="0.2">
      <c r="A11795" s="14" t="s">
        <v>22407</v>
      </c>
      <c r="B11795" s="26" t="s">
        <v>22408</v>
      </c>
      <c r="C11795" s="52"/>
      <c r="D11795" s="55">
        <f t="shared" si="184"/>
        <v>0</v>
      </c>
      <c r="E11795" s="63" t="str">
        <f>HYPERLINK("https://www.sds-group.ru/product/girlyanda-svetodiodnaya-multishishki-23mm-10m-80-led-rgb-chernyy-kauchuk-ip67-bystraya-sme-303-509-3/", "Инфо")</f>
        <v>Инфо</v>
      </c>
      <c r="F11795" s="16" t="s">
        <v>39</v>
      </c>
      <c r="G11795" s="15"/>
      <c r="H11795" s="15"/>
      <c r="I11795" s="15"/>
      <c r="J11795" s="17">
        <v>40</v>
      </c>
      <c r="K11795" s="15"/>
      <c r="L11795" s="17">
        <v>1</v>
      </c>
      <c r="M11795" s="17">
        <v>20</v>
      </c>
      <c r="N11795" s="17">
        <v>1</v>
      </c>
      <c r="O11795" s="18">
        <v>6821.97</v>
      </c>
      <c r="P11795" s="18">
        <v>5591.78</v>
      </c>
      <c r="Q11795" s="18">
        <v>6821.97</v>
      </c>
      <c r="R11795" s="18">
        <v>5591.78</v>
      </c>
      <c r="S11795" s="18">
        <v>4229.62</v>
      </c>
      <c r="T11795" s="18">
        <v>3466.9</v>
      </c>
      <c r="U11795" s="16"/>
      <c r="V11795" s="16"/>
      <c r="W11795" s="16" t="s">
        <v>40</v>
      </c>
      <c r="X11795" s="19">
        <v>1.397</v>
      </c>
      <c r="Y11795" s="20">
        <v>5.3769999999999998E-3</v>
      </c>
      <c r="Z11795" s="21">
        <v>4601004096356</v>
      </c>
    </row>
    <row r="11796" spans="1:26" ht="12.95" customHeight="1" outlineLevel="3" x14ac:dyDescent="0.2">
      <c r="A11796" s="76" t="s">
        <v>22409</v>
      </c>
      <c r="B11796" s="76"/>
      <c r="C11796" s="77"/>
      <c r="D11796" s="58"/>
      <c r="E11796" s="68"/>
      <c r="F11796" s="13"/>
      <c r="G11796" s="13"/>
      <c r="H11796" s="13"/>
      <c r="I11796" s="13"/>
      <c r="J11796" s="13"/>
      <c r="K11796" s="13"/>
      <c r="L11796" s="13"/>
      <c r="M11796" s="13"/>
      <c r="N11796" s="13"/>
      <c r="O11796" s="13"/>
      <c r="P11796" s="13"/>
      <c r="Q11796" s="13"/>
      <c r="R11796" s="13"/>
      <c r="S11796" s="13"/>
      <c r="T11796" s="13"/>
      <c r="U11796" s="13"/>
      <c r="V11796" s="13"/>
      <c r="W11796" s="13"/>
      <c r="X11796" s="13"/>
      <c r="Y11796" s="13"/>
      <c r="Z11796" s="13"/>
    </row>
    <row r="11797" spans="1:26" ht="12" customHeight="1" outlineLevel="4" x14ac:dyDescent="0.2">
      <c r="A11797" s="32" t="s">
        <v>22410</v>
      </c>
      <c r="B11797" s="74" t="s">
        <v>22411</v>
      </c>
      <c r="C11797" s="50"/>
      <c r="D11797" s="53">
        <f t="shared" si="184"/>
        <v>0</v>
      </c>
      <c r="E11797" s="60" t="str">
        <f>HYPERLINK("https://www.sds-group.ru/product/girlyanda-nit-upravlyaemaya-10m-100-led-belyy-chernyy-pvh-ip65-svechenie-s-dinamikoy-230v-nu-303-135/", "Инфо")</f>
        <v>Инфо</v>
      </c>
      <c r="F11797" s="34" t="s">
        <v>39</v>
      </c>
      <c r="G11797" s="33"/>
      <c r="H11797" s="33" t="s">
        <v>40</v>
      </c>
      <c r="I11797" s="33"/>
      <c r="J11797" s="35">
        <v>33</v>
      </c>
      <c r="K11797" s="33"/>
      <c r="L11797" s="35">
        <v>1</v>
      </c>
      <c r="M11797" s="35">
        <v>10</v>
      </c>
      <c r="N11797" s="35">
        <v>1</v>
      </c>
      <c r="O11797" s="36">
        <v>2909.03</v>
      </c>
      <c r="P11797" s="36">
        <v>2384.4499999999998</v>
      </c>
      <c r="Q11797" s="36">
        <v>2036.32</v>
      </c>
      <c r="R11797" s="36">
        <v>1669.11</v>
      </c>
      <c r="S11797" s="36">
        <v>1803.6</v>
      </c>
      <c r="T11797" s="36">
        <v>1478.36</v>
      </c>
      <c r="U11797" s="34"/>
      <c r="V11797" s="34"/>
      <c r="W11797" s="34"/>
      <c r="X11797" s="37">
        <v>0.73499999999999999</v>
      </c>
      <c r="Y11797" s="38">
        <v>3.1480000000000002E-3</v>
      </c>
      <c r="Z11797" s="21">
        <v>4610003606954</v>
      </c>
    </row>
    <row r="11798" spans="1:26" ht="12" customHeight="1" outlineLevel="4" x14ac:dyDescent="0.2">
      <c r="A11798" s="32" t="s">
        <v>22412</v>
      </c>
      <c r="B11798" s="74" t="s">
        <v>22413</v>
      </c>
      <c r="C11798" s="50"/>
      <c r="D11798" s="53">
        <f t="shared" si="184"/>
        <v>0</v>
      </c>
      <c r="E11798" s="60" t="str">
        <f>HYPERLINK("https://www.sds-group.ru/product/girlyanda-nit-upravlyaemaya-10m-100-led-krasnyy-chernyy-pvh-ip65-svechenie-s-dinamikoy-230v--303-132/", "Инфо")</f>
        <v>Инфо</v>
      </c>
      <c r="F11798" s="34" t="s">
        <v>39</v>
      </c>
      <c r="G11798" s="33"/>
      <c r="H11798" s="33" t="s">
        <v>40</v>
      </c>
      <c r="I11798" s="33"/>
      <c r="J11798" s="35">
        <v>9</v>
      </c>
      <c r="K11798" s="33"/>
      <c r="L11798" s="35">
        <v>1</v>
      </c>
      <c r="M11798" s="35">
        <v>10</v>
      </c>
      <c r="N11798" s="35">
        <v>1</v>
      </c>
      <c r="O11798" s="36">
        <v>2618.15</v>
      </c>
      <c r="P11798" s="36">
        <v>2146.02</v>
      </c>
      <c r="Q11798" s="36">
        <v>1832.71</v>
      </c>
      <c r="R11798" s="36">
        <v>1502.22</v>
      </c>
      <c r="S11798" s="36">
        <v>1623.25</v>
      </c>
      <c r="T11798" s="36">
        <v>1330.53</v>
      </c>
      <c r="U11798" s="34"/>
      <c r="V11798" s="34"/>
      <c r="W11798" s="34"/>
      <c r="X11798" s="37">
        <v>0.749</v>
      </c>
      <c r="Y11798" s="38">
        <v>3.2929999999999999E-3</v>
      </c>
      <c r="Z11798" s="21">
        <v>4610003606978</v>
      </c>
    </row>
    <row r="11799" spans="1:26" ht="12" customHeight="1" outlineLevel="4" x14ac:dyDescent="0.2">
      <c r="A11799" s="14" t="s">
        <v>22414</v>
      </c>
      <c r="B11799" s="26" t="s">
        <v>22415</v>
      </c>
      <c r="C11799" s="52"/>
      <c r="D11799" s="55">
        <f t="shared" si="184"/>
        <v>0</v>
      </c>
      <c r="E11799" s="63" t="str">
        <f>HYPERLINK("https://www.sds-group.ru/product/girlyanda-nit-upravlyaemaya-10m-100-led-multikolor-rgyb-chernyy-pvh-ip65-svechenie-s-dinamik-303-139/", "Инфо")</f>
        <v>Инфо</v>
      </c>
      <c r="F11799" s="16" t="s">
        <v>39</v>
      </c>
      <c r="G11799" s="15"/>
      <c r="H11799" s="15"/>
      <c r="I11799" s="15"/>
      <c r="J11799" s="16" t="s">
        <v>100</v>
      </c>
      <c r="K11799" s="15" t="s">
        <v>1055</v>
      </c>
      <c r="L11799" s="17">
        <v>1</v>
      </c>
      <c r="M11799" s="17">
        <v>10</v>
      </c>
      <c r="N11799" s="17">
        <v>1</v>
      </c>
      <c r="O11799" s="18">
        <v>2909.03</v>
      </c>
      <c r="P11799" s="18">
        <v>2384.4499999999998</v>
      </c>
      <c r="Q11799" s="18">
        <v>2036.32</v>
      </c>
      <c r="R11799" s="18">
        <v>1669.11</v>
      </c>
      <c r="S11799" s="18">
        <v>1803.6</v>
      </c>
      <c r="T11799" s="18">
        <v>1478.36</v>
      </c>
      <c r="U11799" s="16"/>
      <c r="V11799" s="16"/>
      <c r="W11799" s="16"/>
      <c r="X11799" s="19">
        <v>0.751</v>
      </c>
      <c r="Y11799" s="20">
        <v>3.1199999999999999E-3</v>
      </c>
      <c r="Z11799" s="21">
        <v>4610003606985</v>
      </c>
    </row>
    <row r="11800" spans="1:26" ht="12" customHeight="1" outlineLevel="4" x14ac:dyDescent="0.2">
      <c r="A11800" s="32" t="s">
        <v>22416</v>
      </c>
      <c r="B11800" s="74" t="s">
        <v>22417</v>
      </c>
      <c r="C11800" s="50"/>
      <c r="D11800" s="53">
        <f t="shared" si="184"/>
        <v>0</v>
      </c>
      <c r="E11800" s="60" t="str">
        <f>HYPERLINK("https://www.sds-group.ru/product/girlyanda-nit-upravlyaemaya-10m-100-led-siniy-chernyy-pvh-ip65-svechenie-s-dinamikoy-230v-ko-303-133/", "Инфо")</f>
        <v>Инфо</v>
      </c>
      <c r="F11800" s="34" t="s">
        <v>39</v>
      </c>
      <c r="G11800" s="33"/>
      <c r="H11800" s="33" t="s">
        <v>40</v>
      </c>
      <c r="I11800" s="33"/>
      <c r="J11800" s="34" t="s">
        <v>100</v>
      </c>
      <c r="K11800" s="33"/>
      <c r="L11800" s="35">
        <v>1</v>
      </c>
      <c r="M11800" s="35">
        <v>10</v>
      </c>
      <c r="N11800" s="35">
        <v>1</v>
      </c>
      <c r="O11800" s="36">
        <v>2909.03</v>
      </c>
      <c r="P11800" s="36">
        <v>2384.4499999999998</v>
      </c>
      <c r="Q11800" s="36">
        <v>2036.32</v>
      </c>
      <c r="R11800" s="36">
        <v>1669.11</v>
      </c>
      <c r="S11800" s="36">
        <v>1803.6</v>
      </c>
      <c r="T11800" s="36">
        <v>1478.36</v>
      </c>
      <c r="U11800" s="34"/>
      <c r="V11800" s="34"/>
      <c r="W11800" s="34"/>
      <c r="X11800" s="37">
        <v>0.748</v>
      </c>
      <c r="Y11800" s="38">
        <v>2.3E-5</v>
      </c>
      <c r="Z11800" s="21">
        <v>4610003606992</v>
      </c>
    </row>
    <row r="11801" spans="1:26" ht="12" customHeight="1" outlineLevel="4" x14ac:dyDescent="0.2">
      <c r="A11801" s="32" t="s">
        <v>22418</v>
      </c>
      <c r="B11801" s="74" t="s">
        <v>22419</v>
      </c>
      <c r="C11801" s="50"/>
      <c r="D11801" s="53">
        <f t="shared" si="184"/>
        <v>0</v>
      </c>
      <c r="E11801" s="60" t="str">
        <f>HYPERLINK("https://www.sds-group.ru/product/girlyanda-nit-upravlyaemaya-10m-100-led-teplyy-belyy-chernyy-pvh-ip65-svechenie-s-dinamikoy--303-136/", "Инфо")</f>
        <v>Инфо</v>
      </c>
      <c r="F11801" s="34" t="s">
        <v>39</v>
      </c>
      <c r="G11801" s="33"/>
      <c r="H11801" s="33" t="s">
        <v>40</v>
      </c>
      <c r="I11801" s="33"/>
      <c r="J11801" s="35">
        <v>6</v>
      </c>
      <c r="K11801" s="33"/>
      <c r="L11801" s="35">
        <v>1</v>
      </c>
      <c r="M11801" s="35">
        <v>20</v>
      </c>
      <c r="N11801" s="35">
        <v>1</v>
      </c>
      <c r="O11801" s="36">
        <v>2909.03</v>
      </c>
      <c r="P11801" s="36">
        <v>2384.4499999999998</v>
      </c>
      <c r="Q11801" s="36">
        <v>2036.32</v>
      </c>
      <c r="R11801" s="36">
        <v>1669.11</v>
      </c>
      <c r="S11801" s="36">
        <v>1803.6</v>
      </c>
      <c r="T11801" s="36">
        <v>1478.36</v>
      </c>
      <c r="U11801" s="34"/>
      <c r="V11801" s="34"/>
      <c r="W11801" s="34"/>
      <c r="X11801" s="37">
        <v>0.747</v>
      </c>
      <c r="Y11801" s="38">
        <v>3.444E-3</v>
      </c>
      <c r="Z11801" s="21">
        <v>4660008013103</v>
      </c>
    </row>
    <row r="11802" spans="1:26" ht="12" customHeight="1" outlineLevel="4" x14ac:dyDescent="0.2">
      <c r="A11802" s="14" t="s">
        <v>22420</v>
      </c>
      <c r="B11802" s="26" t="s">
        <v>22421</v>
      </c>
      <c r="C11802" s="52"/>
      <c r="D11802" s="55">
        <f t="shared" si="184"/>
        <v>0</v>
      </c>
      <c r="E11802" s="63" t="str">
        <f>HYPERLINK("https://www.sds-group.ru/product/girlyanda-nit-upravlyaemaya-20m-200-led-belyy-chernyy-pvh-ip65-svechenie-s-dinamikoy-230v-nu-303-145/", "Инфо")</f>
        <v>Инфо</v>
      </c>
      <c r="F11802" s="16" t="s">
        <v>39</v>
      </c>
      <c r="G11802" s="15"/>
      <c r="H11802" s="15"/>
      <c r="I11802" s="15"/>
      <c r="J11802" s="17">
        <v>62</v>
      </c>
      <c r="K11802" s="15" t="s">
        <v>1055</v>
      </c>
      <c r="L11802" s="17">
        <v>1</v>
      </c>
      <c r="M11802" s="17">
        <v>10</v>
      </c>
      <c r="N11802" s="17">
        <v>1</v>
      </c>
      <c r="O11802" s="18">
        <v>5319.88</v>
      </c>
      <c r="P11802" s="18">
        <v>4360.5600000000004</v>
      </c>
      <c r="Q11802" s="18">
        <v>5319.88</v>
      </c>
      <c r="R11802" s="18">
        <v>4360.5600000000004</v>
      </c>
      <c r="S11802" s="18">
        <v>3298.33</v>
      </c>
      <c r="T11802" s="18">
        <v>2703.55</v>
      </c>
      <c r="U11802" s="16"/>
      <c r="V11802" s="16"/>
      <c r="W11802" s="16" t="s">
        <v>40</v>
      </c>
      <c r="X11802" s="19">
        <v>1.25</v>
      </c>
      <c r="Y11802" s="20">
        <v>4.888E-3</v>
      </c>
      <c r="Z11802" s="21">
        <v>4610003607005</v>
      </c>
    </row>
    <row r="11803" spans="1:26" ht="12" customHeight="1" outlineLevel="4" x14ac:dyDescent="0.2">
      <c r="A11803" s="14" t="s">
        <v>22422</v>
      </c>
      <c r="B11803" s="26" t="s">
        <v>22423</v>
      </c>
      <c r="C11803" s="52"/>
      <c r="D11803" s="55">
        <f t="shared" si="184"/>
        <v>0</v>
      </c>
      <c r="E11803" s="63" t="str">
        <f>HYPERLINK("https://www.sds-group.ru/product/girlyanda-nit-upravlyaemaya-20m-200-led-multikolor-rgyb-chernyy-pvh-ip65-svechenie-s-dinamik-303-149/", "Инфо")</f>
        <v>Инфо</v>
      </c>
      <c r="F11803" s="16" t="s">
        <v>39</v>
      </c>
      <c r="G11803" s="15"/>
      <c r="H11803" s="15"/>
      <c r="I11803" s="15"/>
      <c r="J11803" s="17">
        <v>4</v>
      </c>
      <c r="K11803" s="15" t="s">
        <v>1055</v>
      </c>
      <c r="L11803" s="17">
        <v>1</v>
      </c>
      <c r="M11803" s="17">
        <v>10</v>
      </c>
      <c r="N11803" s="17">
        <v>1</v>
      </c>
      <c r="O11803" s="18">
        <v>5319.88</v>
      </c>
      <c r="P11803" s="18">
        <v>4360.5600000000004</v>
      </c>
      <c r="Q11803" s="18">
        <v>5319.88</v>
      </c>
      <c r="R11803" s="18">
        <v>4360.5600000000004</v>
      </c>
      <c r="S11803" s="18">
        <v>3298.33</v>
      </c>
      <c r="T11803" s="18">
        <v>2703.55</v>
      </c>
      <c r="U11803" s="16"/>
      <c r="V11803" s="16"/>
      <c r="W11803" s="16" t="s">
        <v>40</v>
      </c>
      <c r="X11803" s="19">
        <v>1.2709999999999999</v>
      </c>
      <c r="Y11803" s="20">
        <v>4.7809999999999997E-3</v>
      </c>
      <c r="Z11803" s="21">
        <v>4610003607012</v>
      </c>
    </row>
    <row r="11804" spans="1:26" ht="12" customHeight="1" outlineLevel="4" x14ac:dyDescent="0.2">
      <c r="A11804" s="14" t="s">
        <v>22424</v>
      </c>
      <c r="B11804" s="26" t="s">
        <v>22425</v>
      </c>
      <c r="C11804" s="52"/>
      <c r="D11804" s="55">
        <f t="shared" si="184"/>
        <v>0</v>
      </c>
      <c r="E11804" s="63" t="str">
        <f>HYPERLINK("https://www.sds-group.ru/product/girlyanda-nit-upravlyaemaya-20m-200-led-teplyy-belyy-chernyy-pvh-ip65-svechenie-s-dinamikoy--303-146/", "Инфо")</f>
        <v>Инфо</v>
      </c>
      <c r="F11804" s="16" t="s">
        <v>39</v>
      </c>
      <c r="G11804" s="15"/>
      <c r="H11804" s="15"/>
      <c r="I11804" s="15"/>
      <c r="J11804" s="17">
        <v>31</v>
      </c>
      <c r="K11804" s="15" t="s">
        <v>1055</v>
      </c>
      <c r="L11804" s="17">
        <v>1</v>
      </c>
      <c r="M11804" s="17">
        <v>10</v>
      </c>
      <c r="N11804" s="17">
        <v>1</v>
      </c>
      <c r="O11804" s="18">
        <v>5319.88</v>
      </c>
      <c r="P11804" s="18">
        <v>4360.5600000000004</v>
      </c>
      <c r="Q11804" s="18">
        <v>5319.88</v>
      </c>
      <c r="R11804" s="18">
        <v>4360.5600000000004</v>
      </c>
      <c r="S11804" s="18">
        <v>3298.33</v>
      </c>
      <c r="T11804" s="18">
        <v>2703.55</v>
      </c>
      <c r="U11804" s="16"/>
      <c r="V11804" s="16"/>
      <c r="W11804" s="16" t="s">
        <v>40</v>
      </c>
      <c r="X11804" s="19">
        <v>1.2569999999999999</v>
      </c>
      <c r="Y11804" s="20">
        <v>4.8199999999999996E-3</v>
      </c>
      <c r="Z11804" s="21">
        <v>4601004255074</v>
      </c>
    </row>
    <row r="11805" spans="1:26" ht="12.95" customHeight="1" outlineLevel="3" x14ac:dyDescent="0.2">
      <c r="A11805" s="76" t="s">
        <v>22426</v>
      </c>
      <c r="B11805" s="76"/>
      <c r="C11805" s="77"/>
      <c r="D11805" s="58"/>
      <c r="E11805" s="68"/>
      <c r="F11805" s="13"/>
      <c r="G11805" s="13"/>
      <c r="H11805" s="13"/>
      <c r="I11805" s="13"/>
      <c r="J11805" s="13"/>
      <c r="K11805" s="13"/>
      <c r="L11805" s="13"/>
      <c r="M11805" s="13"/>
      <c r="N11805" s="13"/>
      <c r="O11805" s="13"/>
      <c r="P11805" s="13"/>
      <c r="Q11805" s="13"/>
      <c r="R11805" s="13"/>
      <c r="S11805" s="13"/>
      <c r="T11805" s="13"/>
      <c r="U11805" s="13"/>
      <c r="V11805" s="13"/>
      <c r="W11805" s="13"/>
      <c r="X11805" s="13"/>
      <c r="Y11805" s="13"/>
      <c r="Z11805" s="13"/>
    </row>
    <row r="11806" spans="1:26" ht="12" customHeight="1" outlineLevel="4" x14ac:dyDescent="0.2">
      <c r="A11806" s="14" t="s">
        <v>22427</v>
      </c>
      <c r="B11806" s="26" t="s">
        <v>22428</v>
      </c>
      <c r="C11806" s="52"/>
      <c r="D11806" s="55">
        <f t="shared" si="184"/>
        <v>0</v>
      </c>
      <c r="E11806" s="63" t="str">
        <f>HYPERLINK("https://www.sds-group.ru/product/girlyanda-nit-upravlyaemaya-20m-240-led-multikolor-chernyy-kauchuk-ip67-svechenie-s-dinamiko-303-329/", "Инфо")</f>
        <v>Инфо</v>
      </c>
      <c r="F11806" s="16" t="s">
        <v>39</v>
      </c>
      <c r="G11806" s="15"/>
      <c r="H11806" s="15"/>
      <c r="I11806" s="15"/>
      <c r="J11806" s="17">
        <v>139</v>
      </c>
      <c r="K11806" s="15"/>
      <c r="L11806" s="17">
        <v>1</v>
      </c>
      <c r="M11806" s="17">
        <v>10</v>
      </c>
      <c r="N11806" s="17">
        <v>1</v>
      </c>
      <c r="O11806" s="18">
        <v>14786.55</v>
      </c>
      <c r="P11806" s="18">
        <v>12120.12</v>
      </c>
      <c r="Q11806" s="18">
        <v>14786.55</v>
      </c>
      <c r="R11806" s="18">
        <v>12120.12</v>
      </c>
      <c r="S11806" s="18">
        <v>9167.66</v>
      </c>
      <c r="T11806" s="18">
        <v>7514.48</v>
      </c>
      <c r="U11806" s="16"/>
      <c r="V11806" s="16"/>
      <c r="W11806" s="16" t="s">
        <v>40</v>
      </c>
      <c r="X11806" s="19">
        <v>2.4729999999999999</v>
      </c>
      <c r="Y11806" s="20">
        <v>3.3939999999999999E-3</v>
      </c>
      <c r="Z11806" s="21">
        <v>4610003606794</v>
      </c>
    </row>
    <row r="11807" spans="1:26" ht="12" customHeight="1" outlineLevel="4" x14ac:dyDescent="0.2">
      <c r="A11807" s="14" t="s">
        <v>22429</v>
      </c>
      <c r="B11807" s="26" t="s">
        <v>22430</v>
      </c>
      <c r="C11807" s="52"/>
      <c r="D11807" s="55">
        <f t="shared" si="184"/>
        <v>0</v>
      </c>
      <c r="E11807" s="63" t="str">
        <f>HYPERLINK("https://www.sds-group.ru/product/girlyanda-nit-upravlyaemaya-20m-240-led-teplyy-belyy-chernyy-kauchuk-ip67-svechenie-s-dinami-303-326/", "Инфо")</f>
        <v>Инфо</v>
      </c>
      <c r="F11807" s="16" t="s">
        <v>39</v>
      </c>
      <c r="G11807" s="15"/>
      <c r="H11807" s="15"/>
      <c r="I11807" s="15"/>
      <c r="J11807" s="17">
        <v>49</v>
      </c>
      <c r="K11807" s="15"/>
      <c r="L11807" s="17">
        <v>1</v>
      </c>
      <c r="M11807" s="17">
        <v>10</v>
      </c>
      <c r="N11807" s="17">
        <v>1</v>
      </c>
      <c r="O11807" s="18">
        <v>14786.55</v>
      </c>
      <c r="P11807" s="18">
        <v>12120.12</v>
      </c>
      <c r="Q11807" s="18">
        <v>14786.55</v>
      </c>
      <c r="R11807" s="18">
        <v>12120.12</v>
      </c>
      <c r="S11807" s="18">
        <v>9167.66</v>
      </c>
      <c r="T11807" s="18">
        <v>7514.48</v>
      </c>
      <c r="U11807" s="16"/>
      <c r="V11807" s="16"/>
      <c r="W11807" s="16" t="s">
        <v>40</v>
      </c>
      <c r="X11807" s="19">
        <v>2.4500000000000002</v>
      </c>
      <c r="Y11807" s="20">
        <v>7.4520000000000003E-3</v>
      </c>
      <c r="Z11807" s="21">
        <v>4601004016736</v>
      </c>
    </row>
    <row r="11808" spans="1:26" ht="12.95" customHeight="1" outlineLevel="3" x14ac:dyDescent="0.2">
      <c r="A11808" s="76" t="s">
        <v>22431</v>
      </c>
      <c r="B11808" s="76"/>
      <c r="C11808" s="77"/>
      <c r="D11808" s="58"/>
      <c r="E11808" s="68"/>
      <c r="F11808" s="13"/>
      <c r="G11808" s="13"/>
      <c r="H11808" s="13"/>
      <c r="I11808" s="13"/>
      <c r="J11808" s="13"/>
      <c r="K11808" s="13"/>
      <c r="L11808" s="13"/>
      <c r="M11808" s="13"/>
      <c r="N11808" s="13"/>
      <c r="O11808" s="13"/>
      <c r="P11808" s="13"/>
      <c r="Q11808" s="13"/>
      <c r="R11808" s="13"/>
      <c r="S11808" s="13"/>
      <c r="T11808" s="13"/>
      <c r="U11808" s="13"/>
      <c r="V11808" s="13"/>
      <c r="W11808" s="13"/>
      <c r="X11808" s="13"/>
      <c r="Y11808" s="13"/>
      <c r="Z11808" s="13"/>
    </row>
    <row r="11809" spans="1:26" ht="12" customHeight="1" outlineLevel="4" x14ac:dyDescent="0.2">
      <c r="A11809" s="32" t="s">
        <v>22432</v>
      </c>
      <c r="B11809" s="74" t="s">
        <v>22433</v>
      </c>
      <c r="C11809" s="50"/>
      <c r="D11809" s="53">
        <f t="shared" si="184"/>
        <v>0</v>
      </c>
      <c r="E11809" s="60" t="str">
        <f>HYPERLINK("https://www.sds-group.ru/product/girlyanda-svetodiodnaya-klaster-10m-200-led-belyy-prozrachnyy-pvh-ip65-postoyannoe-svechenie-303-635/", "Инфо")</f>
        <v>Инфо</v>
      </c>
      <c r="F11809" s="34" t="s">
        <v>39</v>
      </c>
      <c r="G11809" s="33"/>
      <c r="H11809" s="33" t="s">
        <v>40</v>
      </c>
      <c r="I11809" s="33"/>
      <c r="J11809" s="35">
        <v>26</v>
      </c>
      <c r="K11809" s="33"/>
      <c r="L11809" s="35">
        <v>1</v>
      </c>
      <c r="M11809" s="35">
        <v>10</v>
      </c>
      <c r="N11809" s="35">
        <v>1</v>
      </c>
      <c r="O11809" s="36">
        <v>6457.34</v>
      </c>
      <c r="P11809" s="36">
        <v>5292.9</v>
      </c>
      <c r="Q11809" s="36">
        <v>6457.34</v>
      </c>
      <c r="R11809" s="36">
        <v>5292.9</v>
      </c>
      <c r="S11809" s="36">
        <v>4003.55</v>
      </c>
      <c r="T11809" s="36">
        <v>3281.6</v>
      </c>
      <c r="U11809" s="34"/>
      <c r="V11809" s="34"/>
      <c r="W11809" s="34" t="s">
        <v>40</v>
      </c>
      <c r="X11809" s="37">
        <v>1.0620000000000001</v>
      </c>
      <c r="Y11809" s="38">
        <v>4.81E-3</v>
      </c>
      <c r="Z11809" s="21">
        <v>4601004154148</v>
      </c>
    </row>
    <row r="11810" spans="1:26" ht="12" customHeight="1" outlineLevel="4" x14ac:dyDescent="0.2">
      <c r="A11810" s="14" t="s">
        <v>22434</v>
      </c>
      <c r="B11810" s="26" t="s">
        <v>22435</v>
      </c>
      <c r="C11810" s="52"/>
      <c r="D11810" s="55">
        <f t="shared" si="184"/>
        <v>0</v>
      </c>
      <c r="E11810" s="63" t="str">
        <f>HYPERLINK("https://www.sds-group.ru/product/girlyanda-svetodiodnaya-klaster-10m-200-led-teplyy-belyy-prozrachnyy-pvh-ip65-postoyannoe-sv-303-636/", "Инфо")</f>
        <v>Инфо</v>
      </c>
      <c r="F11810" s="16" t="s">
        <v>39</v>
      </c>
      <c r="G11810" s="15"/>
      <c r="H11810" s="15"/>
      <c r="I11810" s="15"/>
      <c r="J11810" s="17">
        <v>58</v>
      </c>
      <c r="K11810" s="15"/>
      <c r="L11810" s="17">
        <v>1</v>
      </c>
      <c r="M11810" s="17">
        <v>10</v>
      </c>
      <c r="N11810" s="17">
        <v>1</v>
      </c>
      <c r="O11810" s="18">
        <v>6457.34</v>
      </c>
      <c r="P11810" s="18">
        <v>5292.9</v>
      </c>
      <c r="Q11810" s="18">
        <v>6457.34</v>
      </c>
      <c r="R11810" s="18">
        <v>5292.9</v>
      </c>
      <c r="S11810" s="18">
        <v>4003.55</v>
      </c>
      <c r="T11810" s="18">
        <v>3281.6</v>
      </c>
      <c r="U11810" s="16"/>
      <c r="V11810" s="16"/>
      <c r="W11810" s="16" t="s">
        <v>40</v>
      </c>
      <c r="X11810" s="19">
        <v>0.66</v>
      </c>
      <c r="Y11810" s="20">
        <v>1.7589999999999999E-3</v>
      </c>
      <c r="Z11810" s="21">
        <v>4601004154162</v>
      </c>
    </row>
    <row r="11811" spans="1:26" ht="12" customHeight="1" outlineLevel="4" x14ac:dyDescent="0.2">
      <c r="A11811" s="32" t="s">
        <v>22436</v>
      </c>
      <c r="B11811" s="74" t="s">
        <v>22437</v>
      </c>
      <c r="C11811" s="50"/>
      <c r="D11811" s="53">
        <f t="shared" si="184"/>
        <v>0</v>
      </c>
      <c r="E11811" s="60" t="str">
        <f>HYPERLINK("https://www.sds-group.ru/product/girlyanda-svetodiodnaya-klaster-10m-400-led-belyy-prozrachnyy-pvh-ip65-postoyannoe-svechenie-303-645/", "Инфо")</f>
        <v>Инфо</v>
      </c>
      <c r="F11811" s="34" t="s">
        <v>39</v>
      </c>
      <c r="G11811" s="33"/>
      <c r="H11811" s="33" t="s">
        <v>40</v>
      </c>
      <c r="I11811" s="33"/>
      <c r="J11811" s="35">
        <v>32</v>
      </c>
      <c r="K11811" s="33"/>
      <c r="L11811" s="35">
        <v>1</v>
      </c>
      <c r="M11811" s="35">
        <v>8</v>
      </c>
      <c r="N11811" s="35">
        <v>1</v>
      </c>
      <c r="O11811" s="36">
        <v>8962.4</v>
      </c>
      <c r="P11811" s="36">
        <v>7346.23</v>
      </c>
      <c r="Q11811" s="36">
        <v>6273.68</v>
      </c>
      <c r="R11811" s="36">
        <v>5142.3599999999997</v>
      </c>
      <c r="S11811" s="36">
        <v>5556.69</v>
      </c>
      <c r="T11811" s="36">
        <v>4554.66</v>
      </c>
      <c r="U11811" s="34"/>
      <c r="V11811" s="34"/>
      <c r="W11811" s="34"/>
      <c r="X11811" s="37">
        <v>1.359</v>
      </c>
      <c r="Y11811" s="38">
        <v>4.6610000000000002E-3</v>
      </c>
      <c r="Z11811" s="21">
        <v>4601004180598</v>
      </c>
    </row>
    <row r="11812" spans="1:26" ht="12.95" customHeight="1" outlineLevel="3" x14ac:dyDescent="0.2">
      <c r="A11812" s="76" t="s">
        <v>22438</v>
      </c>
      <c r="B11812" s="76"/>
      <c r="C11812" s="77"/>
      <c r="D11812" s="58"/>
      <c r="E11812" s="68"/>
      <c r="F11812" s="13"/>
      <c r="G11812" s="13"/>
      <c r="H11812" s="13"/>
      <c r="I11812" s="13"/>
      <c r="J11812" s="13"/>
      <c r="K11812" s="13"/>
      <c r="L11812" s="13"/>
      <c r="M11812" s="13"/>
      <c r="N11812" s="13"/>
      <c r="O11812" s="13"/>
      <c r="P11812" s="13"/>
      <c r="Q11812" s="13"/>
      <c r="R11812" s="13"/>
      <c r="S11812" s="13"/>
      <c r="T11812" s="13"/>
      <c r="U11812" s="13"/>
      <c r="V11812" s="13"/>
      <c r="W11812" s="13"/>
      <c r="X11812" s="13"/>
      <c r="Y11812" s="13"/>
      <c r="Z11812" s="13"/>
    </row>
    <row r="11813" spans="1:26" ht="12" customHeight="1" outlineLevel="4" x14ac:dyDescent="0.2">
      <c r="A11813" s="32" t="s">
        <v>22439</v>
      </c>
      <c r="B11813" s="74" t="s">
        <v>22440</v>
      </c>
      <c r="C11813" s="50"/>
      <c r="D11813" s="53">
        <f t="shared" si="184"/>
        <v>0</v>
      </c>
      <c r="E11813" s="60" t="str">
        <f>HYPERLINK("https://www.sds-group.ru/product/girlyanda-svetodiodnaya-klaster-10m-200-led-belyy-chernyy-kauchuk-ip67-postoyannoe-svechenie-315-255/", "Инфо")</f>
        <v>Инфо</v>
      </c>
      <c r="F11813" s="34" t="s">
        <v>39</v>
      </c>
      <c r="G11813" s="33"/>
      <c r="H11813" s="33" t="s">
        <v>40</v>
      </c>
      <c r="I11813" s="33"/>
      <c r="J11813" s="35">
        <v>11</v>
      </c>
      <c r="K11813" s="33"/>
      <c r="L11813" s="35">
        <v>1</v>
      </c>
      <c r="M11813" s="35">
        <v>20</v>
      </c>
      <c r="N11813" s="35">
        <v>1</v>
      </c>
      <c r="O11813" s="36">
        <v>7535.36</v>
      </c>
      <c r="P11813" s="36">
        <v>6176.52</v>
      </c>
      <c r="Q11813" s="36">
        <v>5274.75</v>
      </c>
      <c r="R11813" s="36">
        <v>4323.57</v>
      </c>
      <c r="S11813" s="36">
        <v>4671.92</v>
      </c>
      <c r="T11813" s="36">
        <v>3829.44</v>
      </c>
      <c r="U11813" s="34"/>
      <c r="V11813" s="34"/>
      <c r="W11813" s="34"/>
      <c r="X11813" s="37">
        <v>1.401</v>
      </c>
      <c r="Y11813" s="38">
        <v>6.1989999999999996E-3</v>
      </c>
      <c r="Z11813" s="21">
        <v>4601004179837</v>
      </c>
    </row>
    <row r="11814" spans="1:26" ht="12" customHeight="1" outlineLevel="4" x14ac:dyDescent="0.2">
      <c r="A11814" s="14" t="s">
        <v>22441</v>
      </c>
      <c r="B11814" s="26" t="s">
        <v>22442</v>
      </c>
      <c r="C11814" s="52"/>
      <c r="D11814" s="55">
        <f t="shared" si="184"/>
        <v>0</v>
      </c>
      <c r="E11814" s="63" t="str">
        <f>HYPERLINK("https://www.sds-group.ru/product/girlyanda-svetodiodnaya-klaster-10m-200-led-teplyy-belyy-chernyy-kauchuk-ip67-postoyannoe-sv-315-256/", "Инфо")</f>
        <v>Инфо</v>
      </c>
      <c r="F11814" s="16" t="s">
        <v>39</v>
      </c>
      <c r="G11814" s="15"/>
      <c r="H11814" s="15"/>
      <c r="I11814" s="15"/>
      <c r="J11814" s="17">
        <v>194</v>
      </c>
      <c r="K11814" s="15"/>
      <c r="L11814" s="17">
        <v>1</v>
      </c>
      <c r="M11814" s="17">
        <v>20</v>
      </c>
      <c r="N11814" s="17">
        <v>1</v>
      </c>
      <c r="O11814" s="18">
        <v>7535.36</v>
      </c>
      <c r="P11814" s="18">
        <v>6176.52</v>
      </c>
      <c r="Q11814" s="18">
        <v>7535.36</v>
      </c>
      <c r="R11814" s="18">
        <v>6176.52</v>
      </c>
      <c r="S11814" s="18">
        <v>4671.92</v>
      </c>
      <c r="T11814" s="18">
        <v>3829.44</v>
      </c>
      <c r="U11814" s="16"/>
      <c r="V11814" s="16"/>
      <c r="W11814" s="16" t="s">
        <v>40</v>
      </c>
      <c r="X11814" s="19">
        <v>1.196</v>
      </c>
      <c r="Y11814" s="20">
        <v>4.3779999999999999E-3</v>
      </c>
      <c r="Z11814" s="21">
        <v>4601004179844</v>
      </c>
    </row>
    <row r="11815" spans="1:26" ht="12.95" customHeight="1" outlineLevel="2" x14ac:dyDescent="0.2">
      <c r="A11815" s="76" t="s">
        <v>22443</v>
      </c>
      <c r="B11815" s="76"/>
      <c r="C11815" s="77"/>
      <c r="D11815" s="58"/>
      <c r="E11815" s="68"/>
      <c r="F11815" s="13"/>
      <c r="G11815" s="13"/>
      <c r="H11815" s="13"/>
      <c r="I11815" s="13"/>
      <c r="J11815" s="13"/>
      <c r="K11815" s="13"/>
      <c r="L11815" s="13"/>
      <c r="M11815" s="13"/>
      <c r="N11815" s="13"/>
      <c r="O11815" s="13"/>
      <c r="P11815" s="13"/>
      <c r="Q11815" s="13"/>
      <c r="R11815" s="13"/>
      <c r="S11815" s="13"/>
      <c r="T11815" s="13"/>
      <c r="U11815" s="13"/>
      <c r="V11815" s="13"/>
      <c r="W11815" s="13"/>
      <c r="X11815" s="13"/>
      <c r="Y11815" s="13"/>
      <c r="Z11815" s="13"/>
    </row>
    <row r="11816" spans="1:26" ht="12.95" customHeight="1" outlineLevel="3" x14ac:dyDescent="0.2">
      <c r="A11816" s="76" t="s">
        <v>22444</v>
      </c>
      <c r="B11816" s="76"/>
      <c r="C11816" s="77"/>
      <c r="D11816" s="58"/>
      <c r="E11816" s="68"/>
      <c r="F11816" s="13"/>
      <c r="G11816" s="13"/>
      <c r="H11816" s="13"/>
      <c r="I11816" s="13"/>
      <c r="J11816" s="13"/>
      <c r="K11816" s="13"/>
      <c r="L11816" s="13"/>
      <c r="M11816" s="13"/>
      <c r="N11816" s="13"/>
      <c r="O11816" s="13"/>
      <c r="P11816" s="13"/>
      <c r="Q11816" s="13"/>
      <c r="R11816" s="13"/>
      <c r="S11816" s="13"/>
      <c r="T11816" s="13"/>
      <c r="U11816" s="13"/>
      <c r="V11816" s="13"/>
      <c r="W11816" s="13"/>
      <c r="X11816" s="13"/>
      <c r="Y11816" s="13"/>
      <c r="Z11816" s="13"/>
    </row>
    <row r="11817" spans="1:26" ht="12.95" customHeight="1" outlineLevel="4" x14ac:dyDescent="0.2">
      <c r="A11817" s="76" t="s">
        <v>22445</v>
      </c>
      <c r="B11817" s="76"/>
      <c r="C11817" s="77"/>
      <c r="D11817" s="58"/>
      <c r="E11817" s="68"/>
      <c r="F11817" s="13"/>
      <c r="G11817" s="13"/>
      <c r="H11817" s="13"/>
      <c r="I11817" s="13"/>
      <c r="J11817" s="13"/>
      <c r="K11817" s="13"/>
      <c r="L11817" s="13"/>
      <c r="M11817" s="13"/>
      <c r="N11817" s="13"/>
      <c r="O11817" s="13"/>
      <c r="P11817" s="13"/>
      <c r="Q11817" s="13"/>
      <c r="R11817" s="13"/>
      <c r="S11817" s="13"/>
      <c r="T11817" s="13"/>
      <c r="U11817" s="13"/>
      <c r="V11817" s="13"/>
      <c r="W11817" s="13"/>
      <c r="X11817" s="13"/>
      <c r="Y11817" s="13"/>
      <c r="Z11817" s="13"/>
    </row>
    <row r="11818" spans="1:26" ht="12" customHeight="1" outlineLevel="5" x14ac:dyDescent="0.2">
      <c r="A11818" s="14" t="s">
        <v>22446</v>
      </c>
      <c r="B11818" s="26" t="s">
        <v>22447</v>
      </c>
      <c r="C11818" s="52"/>
      <c r="D11818" s="55">
        <f t="shared" si="184"/>
        <v>0</v>
      </c>
      <c r="E11818" s="63" t="str">
        <f>HYPERLINK("https://www.sds-group.ru/product/girlyanda-led-cliplight-multishariki-24v-3-niti-po-20-m-medlennaya-smena-tsveta-tsvet-diodov-323-619/", "Инфо")</f>
        <v>Инфо</v>
      </c>
      <c r="F11818" s="16" t="s">
        <v>39</v>
      </c>
      <c r="G11818" s="15"/>
      <c r="H11818" s="15"/>
      <c r="I11818" s="15"/>
      <c r="J11818" s="17">
        <v>34</v>
      </c>
      <c r="K11818" s="15"/>
      <c r="L11818" s="17">
        <v>1</v>
      </c>
      <c r="M11818" s="17">
        <v>2</v>
      </c>
      <c r="N11818" s="17">
        <v>1</v>
      </c>
      <c r="O11818" s="18">
        <v>26251.51</v>
      </c>
      <c r="P11818" s="18">
        <v>21517.63</v>
      </c>
      <c r="Q11818" s="18">
        <v>26251.51</v>
      </c>
      <c r="R11818" s="18">
        <v>21517.63</v>
      </c>
      <c r="S11818" s="18">
        <v>16275.94</v>
      </c>
      <c r="T11818" s="18">
        <v>13340.93</v>
      </c>
      <c r="U11818" s="16"/>
      <c r="V11818" s="16"/>
      <c r="W11818" s="16" t="s">
        <v>40</v>
      </c>
      <c r="X11818" s="19">
        <v>4.6539999999999999</v>
      </c>
      <c r="Y11818" s="20">
        <v>1.487E-2</v>
      </c>
      <c r="Z11818" s="21">
        <v>4601004014503</v>
      </c>
    </row>
    <row r="11819" spans="1:26" ht="12" customHeight="1" outlineLevel="5" x14ac:dyDescent="0.2">
      <c r="A11819" s="32" t="s">
        <v>22448</v>
      </c>
      <c r="B11819" s="74" t="s">
        <v>22449</v>
      </c>
      <c r="C11819" s="50"/>
      <c r="D11819" s="53">
        <f t="shared" si="184"/>
        <v>0</v>
      </c>
      <c r="E11819" s="60" t="str">
        <f>HYPERLINK("https://www.sds-group.ru/product/girlyanda-led-cliplight-shariki-24v-3-niti-po-20-m-tsvet-diodov-belyy-323-615/", "Инфо")</f>
        <v>Инфо</v>
      </c>
      <c r="F11819" s="34" t="s">
        <v>39</v>
      </c>
      <c r="G11819" s="33"/>
      <c r="H11819" s="33" t="s">
        <v>40</v>
      </c>
      <c r="I11819" s="33"/>
      <c r="J11819" s="34" t="s">
        <v>100</v>
      </c>
      <c r="K11819" s="33"/>
      <c r="L11819" s="35">
        <v>1</v>
      </c>
      <c r="M11819" s="35">
        <v>2</v>
      </c>
      <c r="N11819" s="35">
        <v>1</v>
      </c>
      <c r="O11819" s="36">
        <v>6739.4</v>
      </c>
      <c r="P11819" s="36">
        <v>5524.1</v>
      </c>
      <c r="Q11819" s="36">
        <v>4717.58</v>
      </c>
      <c r="R11819" s="36">
        <v>3866.87</v>
      </c>
      <c r="S11819" s="36">
        <v>4178.43</v>
      </c>
      <c r="T11819" s="36">
        <v>3424.94</v>
      </c>
      <c r="U11819" s="34"/>
      <c r="V11819" s="34"/>
      <c r="W11819" s="34"/>
      <c r="X11819" s="37">
        <v>3.25</v>
      </c>
      <c r="Y11819" s="38">
        <v>1.1258000000000001E-2</v>
      </c>
      <c r="Z11819" s="21">
        <v>4601004014497</v>
      </c>
    </row>
    <row r="11820" spans="1:26" ht="12" customHeight="1" outlineLevel="5" x14ac:dyDescent="0.2">
      <c r="A11820" s="14" t="s">
        <v>22450</v>
      </c>
      <c r="B11820" s="26" t="s">
        <v>22451</v>
      </c>
      <c r="C11820" s="52"/>
      <c r="D11820" s="55">
        <f t="shared" si="184"/>
        <v>0</v>
      </c>
      <c r="E11820" s="63" t="str">
        <f>HYPERLINK("https://www.sds-group.ru/product/girlyanda-led-cliplight-24v-3-niti-po-10-metrov-tsvet-diodov-belyy-323-315/", "Инфо")</f>
        <v>Инфо</v>
      </c>
      <c r="F11820" s="16" t="s">
        <v>39</v>
      </c>
      <c r="G11820" s="15"/>
      <c r="H11820" s="15"/>
      <c r="I11820" s="15"/>
      <c r="J11820" s="17">
        <v>7</v>
      </c>
      <c r="K11820" s="15" t="s">
        <v>1055</v>
      </c>
      <c r="L11820" s="17">
        <v>1</v>
      </c>
      <c r="M11820" s="17">
        <v>10</v>
      </c>
      <c r="N11820" s="17">
        <v>1</v>
      </c>
      <c r="O11820" s="18">
        <v>13032.07</v>
      </c>
      <c r="P11820" s="18">
        <v>10682.02</v>
      </c>
      <c r="Q11820" s="18">
        <v>13032.07</v>
      </c>
      <c r="R11820" s="18">
        <v>10682.02</v>
      </c>
      <c r="S11820" s="18">
        <v>8079.88</v>
      </c>
      <c r="T11820" s="18">
        <v>6622.85</v>
      </c>
      <c r="U11820" s="16"/>
      <c r="V11820" s="16"/>
      <c r="W11820" s="16" t="s">
        <v>40</v>
      </c>
      <c r="X11820" s="19">
        <v>2.2429999999999999</v>
      </c>
      <c r="Y11820" s="20">
        <v>6.561E-3</v>
      </c>
      <c r="Z11820" s="21">
        <v>4601004033399</v>
      </c>
    </row>
    <row r="11821" spans="1:26" ht="12" customHeight="1" outlineLevel="5" x14ac:dyDescent="0.2">
      <c r="A11821" s="32" t="s">
        <v>22452</v>
      </c>
      <c r="B11821" s="74" t="s">
        <v>22453</v>
      </c>
      <c r="C11821" s="50"/>
      <c r="D11821" s="53">
        <f t="shared" si="184"/>
        <v>0</v>
      </c>
      <c r="E11821" s="60" t="str">
        <f>HYPERLINK("https://www.sds-group.ru/product/girlyanda-led-cliplight-24v-3-niti-po-10-metrov-tsvet-diodov-multi-323-319/", "Инфо")</f>
        <v>Инфо</v>
      </c>
      <c r="F11821" s="34" t="s">
        <v>39</v>
      </c>
      <c r="G11821" s="33"/>
      <c r="H11821" s="33" t="s">
        <v>40</v>
      </c>
      <c r="I11821" s="33"/>
      <c r="J11821" s="34" t="s">
        <v>100</v>
      </c>
      <c r="K11821" s="33"/>
      <c r="L11821" s="35">
        <v>1</v>
      </c>
      <c r="M11821" s="35">
        <v>10</v>
      </c>
      <c r="N11821" s="35">
        <v>1</v>
      </c>
      <c r="O11821" s="36">
        <v>13032.07</v>
      </c>
      <c r="P11821" s="36">
        <v>10682.02</v>
      </c>
      <c r="Q11821" s="36">
        <v>13032.07</v>
      </c>
      <c r="R11821" s="36">
        <v>10682.02</v>
      </c>
      <c r="S11821" s="36">
        <v>8079.88</v>
      </c>
      <c r="T11821" s="36">
        <v>6622.85</v>
      </c>
      <c r="U11821" s="34"/>
      <c r="V11821" s="34"/>
      <c r="W11821" s="34" t="s">
        <v>40</v>
      </c>
      <c r="X11821" s="37">
        <v>2.0099999999999998</v>
      </c>
      <c r="Y11821" s="38">
        <v>1.1790999999999999E-2</v>
      </c>
      <c r="Z11821" s="21">
        <v>4601004033412</v>
      </c>
    </row>
    <row r="11822" spans="1:26" ht="12" customHeight="1" outlineLevel="5" x14ac:dyDescent="0.2">
      <c r="A11822" s="14" t="s">
        <v>22454</v>
      </c>
      <c r="B11822" s="26" t="s">
        <v>22455</v>
      </c>
      <c r="C11822" s="52"/>
      <c r="D11822" s="55">
        <f t="shared" si="184"/>
        <v>0</v>
      </c>
      <c r="E11822" s="63" t="str">
        <f>HYPERLINK("https://www.sds-group.ru/product/girlyanda-led-cliplight-24v-3-niti-po-10-metrov-tsvet-diodov-teplyy-belyy-323-316/", "Инфо")</f>
        <v>Инфо</v>
      </c>
      <c r="F11822" s="16" t="s">
        <v>39</v>
      </c>
      <c r="G11822" s="15"/>
      <c r="H11822" s="15"/>
      <c r="I11822" s="15"/>
      <c r="J11822" s="17">
        <v>71</v>
      </c>
      <c r="K11822" s="15"/>
      <c r="L11822" s="17">
        <v>1</v>
      </c>
      <c r="M11822" s="17">
        <v>10</v>
      </c>
      <c r="N11822" s="17">
        <v>1</v>
      </c>
      <c r="O11822" s="18">
        <v>13032.07</v>
      </c>
      <c r="P11822" s="18">
        <v>10682.02</v>
      </c>
      <c r="Q11822" s="18">
        <v>13032.07</v>
      </c>
      <c r="R11822" s="18">
        <v>10682.02</v>
      </c>
      <c r="S11822" s="18">
        <v>8079.88</v>
      </c>
      <c r="T11822" s="18">
        <v>6622.85</v>
      </c>
      <c r="U11822" s="16"/>
      <c r="V11822" s="16"/>
      <c r="W11822" s="16" t="s">
        <v>40</v>
      </c>
      <c r="X11822" s="19">
        <v>2.1789999999999998</v>
      </c>
      <c r="Y11822" s="20">
        <v>6.5690000000000002E-3</v>
      </c>
      <c r="Z11822" s="21">
        <v>4601004033405</v>
      </c>
    </row>
    <row r="11823" spans="1:26" ht="12" customHeight="1" outlineLevel="5" x14ac:dyDescent="0.2">
      <c r="A11823" s="14" t="s">
        <v>22456</v>
      </c>
      <c r="B11823" s="26" t="s">
        <v>22457</v>
      </c>
      <c r="C11823" s="52"/>
      <c r="D11823" s="55">
        <f t="shared" si="184"/>
        <v>0</v>
      </c>
      <c r="E11823" s="63" t="str">
        <f>HYPERLINK("https://www.sds-group.ru/product/girlyanda-led-cliplight-24v-3-niti-po-20-m-svechenie-s-dinamikoy-tsvet-diodov-belyy-323-305/", "Инфо")</f>
        <v>Инфо</v>
      </c>
      <c r="F11823" s="16" t="s">
        <v>39</v>
      </c>
      <c r="G11823" s="15"/>
      <c r="H11823" s="15"/>
      <c r="I11823" s="15"/>
      <c r="J11823" s="16" t="s">
        <v>100</v>
      </c>
      <c r="K11823" s="15"/>
      <c r="L11823" s="17">
        <v>1</v>
      </c>
      <c r="M11823" s="17">
        <v>3</v>
      </c>
      <c r="N11823" s="17">
        <v>1</v>
      </c>
      <c r="O11823" s="18">
        <v>20038.240000000002</v>
      </c>
      <c r="P11823" s="18">
        <v>16424.79</v>
      </c>
      <c r="Q11823" s="18">
        <v>20038.240000000002</v>
      </c>
      <c r="R11823" s="18">
        <v>16424.79</v>
      </c>
      <c r="S11823" s="18">
        <v>12423.71</v>
      </c>
      <c r="T11823" s="18">
        <v>10183.370000000001</v>
      </c>
      <c r="U11823" s="16"/>
      <c r="V11823" s="16"/>
      <c r="W11823" s="16" t="s">
        <v>40</v>
      </c>
      <c r="X11823" s="19">
        <v>4.657</v>
      </c>
      <c r="Y11823" s="20">
        <v>1.4428E-2</v>
      </c>
      <c r="Z11823" s="21">
        <v>4601004003880</v>
      </c>
    </row>
    <row r="11824" spans="1:26" ht="12" customHeight="1" outlineLevel="5" x14ac:dyDescent="0.2">
      <c r="A11824" s="32" t="s">
        <v>22458</v>
      </c>
      <c r="B11824" s="74" t="s">
        <v>22459</v>
      </c>
      <c r="C11824" s="50"/>
      <c r="D11824" s="53">
        <f t="shared" si="184"/>
        <v>0</v>
      </c>
      <c r="E11824" s="60" t="str">
        <f>HYPERLINK("https://www.sds-group.ru/product/girlyanda-led-cliplight-24v-3-niti-po-20-m-svechenie-s-dinamikoy-tsvet-diodov-zheltyy-323-301/", "Инфо")</f>
        <v>Инфо</v>
      </c>
      <c r="F11824" s="34" t="s">
        <v>39</v>
      </c>
      <c r="G11824" s="33"/>
      <c r="H11824" s="33" t="s">
        <v>40</v>
      </c>
      <c r="I11824" s="33"/>
      <c r="J11824" s="34" t="s">
        <v>100</v>
      </c>
      <c r="K11824" s="33"/>
      <c r="L11824" s="35">
        <v>1</v>
      </c>
      <c r="M11824" s="35">
        <v>3</v>
      </c>
      <c r="N11824" s="35">
        <v>1</v>
      </c>
      <c r="O11824" s="36">
        <v>20038.240000000002</v>
      </c>
      <c r="P11824" s="36">
        <v>16424.79</v>
      </c>
      <c r="Q11824" s="36">
        <v>20038.240000000002</v>
      </c>
      <c r="R11824" s="36">
        <v>16424.79</v>
      </c>
      <c r="S11824" s="36">
        <v>12423.71</v>
      </c>
      <c r="T11824" s="36">
        <v>10183.370000000001</v>
      </c>
      <c r="U11824" s="34"/>
      <c r="V11824" s="34"/>
      <c r="W11824" s="34" t="s">
        <v>40</v>
      </c>
      <c r="X11824" s="37">
        <v>4.4889999999999999</v>
      </c>
      <c r="Y11824" s="38">
        <v>1.4019999999999999E-2</v>
      </c>
      <c r="Z11824" s="21">
        <v>4601004014343</v>
      </c>
    </row>
    <row r="11825" spans="1:26" ht="12" customHeight="1" outlineLevel="5" x14ac:dyDescent="0.2">
      <c r="A11825" s="32" t="s">
        <v>22460</v>
      </c>
      <c r="B11825" s="74" t="s">
        <v>22461</v>
      </c>
      <c r="C11825" s="50"/>
      <c r="D11825" s="53">
        <f t="shared" si="184"/>
        <v>0</v>
      </c>
      <c r="E11825" s="60" t="str">
        <f>HYPERLINK("https://www.sds-group.ru/product/girlyanda-led-cliplight-24v-3-niti-po-20-m-svechenie-s-dinamikoy-tsvet-diodov-krasnyy-323-302/", "Инфо")</f>
        <v>Инфо</v>
      </c>
      <c r="F11825" s="34" t="s">
        <v>39</v>
      </c>
      <c r="G11825" s="33"/>
      <c r="H11825" s="33" t="s">
        <v>40</v>
      </c>
      <c r="I11825" s="33"/>
      <c r="J11825" s="35">
        <v>8</v>
      </c>
      <c r="K11825" s="33"/>
      <c r="L11825" s="35">
        <v>1</v>
      </c>
      <c r="M11825" s="35">
        <v>2</v>
      </c>
      <c r="N11825" s="35">
        <v>1</v>
      </c>
      <c r="O11825" s="36">
        <v>16230.97</v>
      </c>
      <c r="P11825" s="36">
        <v>13304.07</v>
      </c>
      <c r="Q11825" s="36">
        <v>11361.68</v>
      </c>
      <c r="R11825" s="36">
        <v>9312.85</v>
      </c>
      <c r="S11825" s="36">
        <v>10063.200000000001</v>
      </c>
      <c r="T11825" s="36">
        <v>8248.52</v>
      </c>
      <c r="U11825" s="34"/>
      <c r="V11825" s="34"/>
      <c r="W11825" s="34"/>
      <c r="X11825" s="37">
        <v>4.2720000000000002</v>
      </c>
      <c r="Y11825" s="38">
        <v>1.1873E-2</v>
      </c>
      <c r="Z11825" s="21">
        <v>4601004014350</v>
      </c>
    </row>
    <row r="11826" spans="1:26" ht="12" customHeight="1" outlineLevel="5" x14ac:dyDescent="0.2">
      <c r="A11826" s="14" t="s">
        <v>22462</v>
      </c>
      <c r="B11826" s="26" t="s">
        <v>22463</v>
      </c>
      <c r="C11826" s="52"/>
      <c r="D11826" s="55">
        <f t="shared" si="184"/>
        <v>0</v>
      </c>
      <c r="E11826" s="63" t="str">
        <f>HYPERLINK("https://www.sds-group.ru/product/girlyanda-led-cliplight-24v-3-niti-po-20-m-svechenie-s-dinamikoy-tsvet-diodov-multi-323-309/", "Инфо")</f>
        <v>Инфо</v>
      </c>
      <c r="F11826" s="16" t="s">
        <v>39</v>
      </c>
      <c r="G11826" s="15"/>
      <c r="H11826" s="15"/>
      <c r="I11826" s="15"/>
      <c r="J11826" s="16" t="s">
        <v>100</v>
      </c>
      <c r="K11826" s="15"/>
      <c r="L11826" s="17">
        <v>1</v>
      </c>
      <c r="M11826" s="17">
        <v>3</v>
      </c>
      <c r="N11826" s="17">
        <v>1</v>
      </c>
      <c r="O11826" s="18">
        <v>20038.240000000002</v>
      </c>
      <c r="P11826" s="18">
        <v>16424.79</v>
      </c>
      <c r="Q11826" s="18">
        <v>20038.240000000002</v>
      </c>
      <c r="R11826" s="18">
        <v>16424.79</v>
      </c>
      <c r="S11826" s="18">
        <v>12423.71</v>
      </c>
      <c r="T11826" s="18">
        <v>10183.370000000001</v>
      </c>
      <c r="U11826" s="16"/>
      <c r="V11826" s="16"/>
      <c r="W11826" s="16" t="s">
        <v>40</v>
      </c>
      <c r="X11826" s="19">
        <v>4.71</v>
      </c>
      <c r="Y11826" s="20">
        <v>1.4727000000000001E-2</v>
      </c>
      <c r="Z11826" s="21">
        <v>4601004003873</v>
      </c>
    </row>
    <row r="11827" spans="1:26" ht="12" customHeight="1" outlineLevel="5" x14ac:dyDescent="0.2">
      <c r="A11827" s="14" t="s">
        <v>22464</v>
      </c>
      <c r="B11827" s="26" t="s">
        <v>22465</v>
      </c>
      <c r="C11827" s="52"/>
      <c r="D11827" s="55">
        <f t="shared" si="184"/>
        <v>0</v>
      </c>
      <c r="E11827" s="63" t="str">
        <f>HYPERLINK("https://www.sds-group.ru/product/girlyanda-led-cliplight-24v-3-niti-po-20-m-svechenie-s-dinamikoy-tsvet-diodov-siniy-323-303/", "Инфо")</f>
        <v>Инфо</v>
      </c>
      <c r="F11827" s="16" t="s">
        <v>39</v>
      </c>
      <c r="G11827" s="15"/>
      <c r="H11827" s="15"/>
      <c r="I11827" s="15"/>
      <c r="J11827" s="17">
        <v>56</v>
      </c>
      <c r="K11827" s="15"/>
      <c r="L11827" s="17">
        <v>1</v>
      </c>
      <c r="M11827" s="17">
        <v>4</v>
      </c>
      <c r="N11827" s="17">
        <v>1</v>
      </c>
      <c r="O11827" s="18">
        <v>20038.240000000002</v>
      </c>
      <c r="P11827" s="18">
        <v>16424.79</v>
      </c>
      <c r="Q11827" s="18">
        <v>20038.240000000002</v>
      </c>
      <c r="R11827" s="18">
        <v>16424.79</v>
      </c>
      <c r="S11827" s="18">
        <v>12423.71</v>
      </c>
      <c r="T11827" s="18">
        <v>10183.370000000001</v>
      </c>
      <c r="U11827" s="16"/>
      <c r="V11827" s="16"/>
      <c r="W11827" s="16" t="s">
        <v>40</v>
      </c>
      <c r="X11827" s="19">
        <v>4.4649999999999999</v>
      </c>
      <c r="Y11827" s="20">
        <v>1.3886000000000001E-2</v>
      </c>
      <c r="Z11827" s="21">
        <v>4601004003897</v>
      </c>
    </row>
    <row r="11828" spans="1:26" ht="12.95" customHeight="1" outlineLevel="4" x14ac:dyDescent="0.2">
      <c r="A11828" s="76" t="s">
        <v>22466</v>
      </c>
      <c r="B11828" s="76"/>
      <c r="C11828" s="77"/>
      <c r="D11828" s="58"/>
      <c r="E11828" s="68"/>
      <c r="F11828" s="13"/>
      <c r="G11828" s="13"/>
      <c r="H11828" s="13"/>
      <c r="I11828" s="13"/>
      <c r="J11828" s="13"/>
      <c r="K11828" s="13"/>
      <c r="L11828" s="13"/>
      <c r="M11828" s="13"/>
      <c r="N11828" s="13"/>
      <c r="O11828" s="13"/>
      <c r="P11828" s="13"/>
      <c r="Q11828" s="13"/>
      <c r="R11828" s="13"/>
      <c r="S11828" s="13"/>
      <c r="T11828" s="13"/>
      <c r="U11828" s="13"/>
      <c r="V11828" s="13"/>
      <c r="W11828" s="13"/>
      <c r="X11828" s="13"/>
      <c r="Y11828" s="13"/>
      <c r="Z11828" s="13"/>
    </row>
    <row r="11829" spans="1:26" ht="12" customHeight="1" outlineLevel="5" x14ac:dyDescent="0.2">
      <c r="A11829" s="14" t="s">
        <v>22467</v>
      </c>
      <c r="B11829" s="26" t="s">
        <v>22468</v>
      </c>
      <c r="C11829" s="52"/>
      <c r="D11829" s="55">
        <f t="shared" si="184"/>
        <v>0</v>
      </c>
      <c r="E11829" s="63" t="str">
        <f>HYPERLINK("https://www.sds-group.ru/product/girlyanda-led-cliplight-24v-5-nitey-po-20-metrov-tsvet-diodov-belyy-323-505/", "Инфо")</f>
        <v>Инфо</v>
      </c>
      <c r="F11829" s="16" t="s">
        <v>39</v>
      </c>
      <c r="G11829" s="15"/>
      <c r="H11829" s="15"/>
      <c r="I11829" s="15"/>
      <c r="J11829" s="16" t="s">
        <v>100</v>
      </c>
      <c r="K11829" s="15"/>
      <c r="L11829" s="17">
        <v>1</v>
      </c>
      <c r="M11829" s="17">
        <v>2</v>
      </c>
      <c r="N11829" s="17">
        <v>1</v>
      </c>
      <c r="O11829" s="18">
        <v>24954.01</v>
      </c>
      <c r="P11829" s="18">
        <v>20454.11</v>
      </c>
      <c r="Q11829" s="18">
        <v>24954.01</v>
      </c>
      <c r="R11829" s="18">
        <v>20454.11</v>
      </c>
      <c r="S11829" s="18">
        <v>15471.49</v>
      </c>
      <c r="T11829" s="18">
        <v>12681.55</v>
      </c>
      <c r="U11829" s="16"/>
      <c r="V11829" s="16"/>
      <c r="W11829" s="16" t="s">
        <v>40</v>
      </c>
      <c r="X11829" s="19">
        <v>5.8280000000000003</v>
      </c>
      <c r="Y11829" s="20">
        <v>1.736E-2</v>
      </c>
      <c r="Z11829" s="21">
        <v>4601004003835</v>
      </c>
    </row>
    <row r="11830" spans="1:26" ht="12" customHeight="1" outlineLevel="5" x14ac:dyDescent="0.2">
      <c r="A11830" s="14" t="s">
        <v>22469</v>
      </c>
      <c r="B11830" s="26" t="s">
        <v>22470</v>
      </c>
      <c r="C11830" s="52"/>
      <c r="D11830" s="55">
        <f t="shared" si="184"/>
        <v>0</v>
      </c>
      <c r="E11830" s="63" t="str">
        <f>HYPERLINK("https://www.sds-group.ru/product/girlyanda-led-cliplight-24v-5-nitey-po-20-metrov-tsvet-diodov-zheltyy-323-501/", "Инфо")</f>
        <v>Инфо</v>
      </c>
      <c r="F11830" s="16" t="s">
        <v>39</v>
      </c>
      <c r="G11830" s="15"/>
      <c r="H11830" s="15"/>
      <c r="I11830" s="15"/>
      <c r="J11830" s="16" t="s">
        <v>100</v>
      </c>
      <c r="K11830" s="15" t="s">
        <v>1055</v>
      </c>
      <c r="L11830" s="17">
        <v>1</v>
      </c>
      <c r="M11830" s="17">
        <v>4</v>
      </c>
      <c r="N11830" s="17">
        <v>1</v>
      </c>
      <c r="O11830" s="18">
        <v>24954.01</v>
      </c>
      <c r="P11830" s="18">
        <v>20454.11</v>
      </c>
      <c r="Q11830" s="18">
        <v>24954.01</v>
      </c>
      <c r="R11830" s="18">
        <v>20454.11</v>
      </c>
      <c r="S11830" s="18">
        <v>15471.49</v>
      </c>
      <c r="T11830" s="18">
        <v>12681.55</v>
      </c>
      <c r="U11830" s="16"/>
      <c r="V11830" s="16"/>
      <c r="W11830" s="16" t="s">
        <v>40</v>
      </c>
      <c r="X11830" s="19">
        <v>5.4340000000000002</v>
      </c>
      <c r="Y11830" s="20">
        <v>1.685E-2</v>
      </c>
      <c r="Z11830" s="21">
        <v>4601004014374</v>
      </c>
    </row>
    <row r="11831" spans="1:26" ht="12" customHeight="1" outlineLevel="5" x14ac:dyDescent="0.2">
      <c r="A11831" s="14" t="s">
        <v>22471</v>
      </c>
      <c r="B11831" s="26" t="s">
        <v>22472</v>
      </c>
      <c r="C11831" s="52"/>
      <c r="D11831" s="55">
        <f t="shared" si="184"/>
        <v>0</v>
      </c>
      <c r="E11831" s="63" t="str">
        <f>HYPERLINK("https://www.sds-group.ru/product/girlyanda-led-cliplight-24v-5-nitey-po-20-metrov-tsvet-diodov-multi-323-509/", "Инфо")</f>
        <v>Инфо</v>
      </c>
      <c r="F11831" s="16" t="s">
        <v>39</v>
      </c>
      <c r="G11831" s="15"/>
      <c r="H11831" s="15"/>
      <c r="I11831" s="15"/>
      <c r="J11831" s="17">
        <v>5</v>
      </c>
      <c r="K11831" s="15" t="s">
        <v>1055</v>
      </c>
      <c r="L11831" s="17">
        <v>1</v>
      </c>
      <c r="M11831" s="17">
        <v>2</v>
      </c>
      <c r="N11831" s="17">
        <v>1</v>
      </c>
      <c r="O11831" s="18">
        <v>24954.01</v>
      </c>
      <c r="P11831" s="18">
        <v>20454.11</v>
      </c>
      <c r="Q11831" s="18">
        <v>24954.01</v>
      </c>
      <c r="R11831" s="18">
        <v>20454.11</v>
      </c>
      <c r="S11831" s="18">
        <v>15471.49</v>
      </c>
      <c r="T11831" s="18">
        <v>12681.55</v>
      </c>
      <c r="U11831" s="16"/>
      <c r="V11831" s="16"/>
      <c r="W11831" s="16" t="s">
        <v>40</v>
      </c>
      <c r="X11831" s="19">
        <v>5.4340000000000002</v>
      </c>
      <c r="Y11831" s="20">
        <v>1.6570999999999999E-2</v>
      </c>
      <c r="Z11831" s="21">
        <v>4601004003859</v>
      </c>
    </row>
    <row r="11832" spans="1:26" ht="12" customHeight="1" outlineLevel="5" x14ac:dyDescent="0.2">
      <c r="A11832" s="14" t="s">
        <v>22473</v>
      </c>
      <c r="B11832" s="26" t="s">
        <v>22474</v>
      </c>
      <c r="C11832" s="52"/>
      <c r="D11832" s="55">
        <f t="shared" si="184"/>
        <v>0</v>
      </c>
      <c r="E11832" s="63" t="str">
        <f>HYPERLINK("https://www.sds-group.ru/product/girlyanda-led-cliplight-24v-5-nitey-po-20-metrov-tsvet-diodov-siniy-323-503/", "Инфо")</f>
        <v>Инфо</v>
      </c>
      <c r="F11832" s="16" t="s">
        <v>39</v>
      </c>
      <c r="G11832" s="15"/>
      <c r="H11832" s="15"/>
      <c r="I11832" s="15"/>
      <c r="J11832" s="16" t="s">
        <v>100</v>
      </c>
      <c r="K11832" s="15"/>
      <c r="L11832" s="17">
        <v>1</v>
      </c>
      <c r="M11832" s="17">
        <v>2</v>
      </c>
      <c r="N11832" s="17">
        <v>1</v>
      </c>
      <c r="O11832" s="18">
        <v>24954.01</v>
      </c>
      <c r="P11832" s="18">
        <v>20454.11</v>
      </c>
      <c r="Q11832" s="18">
        <v>24954.01</v>
      </c>
      <c r="R11832" s="18">
        <v>20454.11</v>
      </c>
      <c r="S11832" s="18">
        <v>15471.49</v>
      </c>
      <c r="T11832" s="18">
        <v>12681.55</v>
      </c>
      <c r="U11832" s="16"/>
      <c r="V11832" s="16"/>
      <c r="W11832" s="16" t="s">
        <v>40</v>
      </c>
      <c r="X11832" s="19">
        <v>5.81</v>
      </c>
      <c r="Y11832" s="20">
        <v>1.7513999999999998E-2</v>
      </c>
      <c r="Z11832" s="21">
        <v>4601004003842</v>
      </c>
    </row>
    <row r="11833" spans="1:26" ht="12" customHeight="1" outlineLevel="5" x14ac:dyDescent="0.2">
      <c r="A11833" s="14" t="s">
        <v>22475</v>
      </c>
      <c r="B11833" s="26" t="s">
        <v>22476</v>
      </c>
      <c r="C11833" s="52"/>
      <c r="D11833" s="55">
        <f t="shared" si="184"/>
        <v>0</v>
      </c>
      <c r="E11833" s="63" t="str">
        <f>HYPERLINK("https://www.sds-group.ru/product/girlyanda-led-cliplight-24v-5-nitey-po-20-metrov-tsvet-diodov-teplyy-belyy-323-506/", "Инфо")</f>
        <v>Инфо</v>
      </c>
      <c r="F11833" s="16" t="s">
        <v>39</v>
      </c>
      <c r="G11833" s="15"/>
      <c r="H11833" s="15"/>
      <c r="I11833" s="15"/>
      <c r="J11833" s="17">
        <v>59</v>
      </c>
      <c r="K11833" s="15"/>
      <c r="L11833" s="17">
        <v>1</v>
      </c>
      <c r="M11833" s="17">
        <v>2</v>
      </c>
      <c r="N11833" s="17">
        <v>1</v>
      </c>
      <c r="O11833" s="18">
        <v>24954.01</v>
      </c>
      <c r="P11833" s="18">
        <v>20454.11</v>
      </c>
      <c r="Q11833" s="18">
        <v>24954.01</v>
      </c>
      <c r="R11833" s="18">
        <v>20454.11</v>
      </c>
      <c r="S11833" s="18">
        <v>15471.49</v>
      </c>
      <c r="T11833" s="18">
        <v>12681.55</v>
      </c>
      <c r="U11833" s="16"/>
      <c r="V11833" s="16"/>
      <c r="W11833" s="16" t="s">
        <v>40</v>
      </c>
      <c r="X11833" s="19">
        <v>5.681</v>
      </c>
      <c r="Y11833" s="20">
        <v>1.0692E-2</v>
      </c>
      <c r="Z11833" s="21">
        <v>4601004014404</v>
      </c>
    </row>
    <row r="11834" spans="1:26" ht="12" customHeight="1" outlineLevel="5" x14ac:dyDescent="0.2">
      <c r="A11834" s="14" t="s">
        <v>22477</v>
      </c>
      <c r="B11834" s="26" t="s">
        <v>22478</v>
      </c>
      <c r="C11834" s="52"/>
      <c r="D11834" s="55">
        <f t="shared" si="184"/>
        <v>0</v>
      </c>
      <c r="E11834" s="63" t="str">
        <f>HYPERLINK("https://www.sds-group.ru/product/girlyanda-led-cliplight-24v-5-nitey-po-20-metrov-tsvet-diodov-belyy-flashing-belyy-323-605/", "Инфо")</f>
        <v>Инфо</v>
      </c>
      <c r="F11834" s="16" t="s">
        <v>39</v>
      </c>
      <c r="G11834" s="15"/>
      <c r="H11834" s="15"/>
      <c r="I11834" s="15"/>
      <c r="J11834" s="16" t="s">
        <v>100</v>
      </c>
      <c r="K11834" s="15"/>
      <c r="L11834" s="17">
        <v>1</v>
      </c>
      <c r="M11834" s="17">
        <v>2</v>
      </c>
      <c r="N11834" s="17">
        <v>1</v>
      </c>
      <c r="O11834" s="18">
        <v>26450.3</v>
      </c>
      <c r="P11834" s="18">
        <v>21680.57</v>
      </c>
      <c r="Q11834" s="18">
        <v>26450.3</v>
      </c>
      <c r="R11834" s="18">
        <v>21680.57</v>
      </c>
      <c r="S11834" s="18">
        <v>16399.189999999999</v>
      </c>
      <c r="T11834" s="18">
        <v>13441.96</v>
      </c>
      <c r="U11834" s="16"/>
      <c r="V11834" s="16"/>
      <c r="W11834" s="16" t="s">
        <v>40</v>
      </c>
      <c r="X11834" s="19">
        <v>5.1180000000000003</v>
      </c>
      <c r="Y11834" s="20">
        <v>1.3488E-2</v>
      </c>
      <c r="Z11834" s="21">
        <v>4601004003866</v>
      </c>
    </row>
    <row r="11835" spans="1:26" ht="12" customHeight="1" outlineLevel="5" x14ac:dyDescent="0.2">
      <c r="A11835" s="32" t="s">
        <v>22479</v>
      </c>
      <c r="B11835" s="74" t="s">
        <v>22480</v>
      </c>
      <c r="C11835" s="50"/>
      <c r="D11835" s="53">
        <f t="shared" si="184"/>
        <v>0</v>
      </c>
      <c r="E11835" s="60" t="str">
        <f>HYPERLINK("https://www.sds-group.ru/product/girlyanda-led-cliplight-24v-5-nitey-po-20-metrov-tsvet-diodov-zheltyy-flashing-belyy-323-601/", "Инфо")</f>
        <v>Инфо</v>
      </c>
      <c r="F11835" s="34" t="s">
        <v>39</v>
      </c>
      <c r="G11835" s="33"/>
      <c r="H11835" s="33" t="s">
        <v>40</v>
      </c>
      <c r="I11835" s="33"/>
      <c r="J11835" s="34" t="s">
        <v>100</v>
      </c>
      <c r="K11835" s="33"/>
      <c r="L11835" s="35">
        <v>1</v>
      </c>
      <c r="M11835" s="35">
        <v>2</v>
      </c>
      <c r="N11835" s="35">
        <v>1</v>
      </c>
      <c r="O11835" s="36">
        <v>22457.8</v>
      </c>
      <c r="P11835" s="36">
        <v>18408.03</v>
      </c>
      <c r="Q11835" s="36">
        <v>15720.46</v>
      </c>
      <c r="R11835" s="36">
        <v>12885.62</v>
      </c>
      <c r="S11835" s="36">
        <v>13923.84</v>
      </c>
      <c r="T11835" s="36">
        <v>11412.98</v>
      </c>
      <c r="U11835" s="34"/>
      <c r="V11835" s="34"/>
      <c r="W11835" s="34"/>
      <c r="X11835" s="37">
        <v>5.0620000000000003</v>
      </c>
      <c r="Y11835" s="38">
        <v>1.3547999999999999E-2</v>
      </c>
      <c r="Z11835" s="21">
        <v>4601004014428</v>
      </c>
    </row>
    <row r="11836" spans="1:26" ht="12" customHeight="1" outlineLevel="5" x14ac:dyDescent="0.2">
      <c r="A11836" s="14" t="s">
        <v>22481</v>
      </c>
      <c r="B11836" s="26" t="s">
        <v>22482</v>
      </c>
      <c r="C11836" s="52"/>
      <c r="D11836" s="55">
        <f t="shared" si="184"/>
        <v>0</v>
      </c>
      <c r="E11836" s="63" t="str">
        <f>HYPERLINK("https://www.sds-group.ru/product/girlyanda-led-cliplight-24v-5-nitey-po-20-metrov-tsvet-diodov-siniy-flashing-belyy-323-603/", "Инфо")</f>
        <v>Инфо</v>
      </c>
      <c r="F11836" s="16" t="s">
        <v>39</v>
      </c>
      <c r="G11836" s="15"/>
      <c r="H11836" s="15"/>
      <c r="I11836" s="15"/>
      <c r="J11836" s="17">
        <v>74</v>
      </c>
      <c r="K11836" s="15"/>
      <c r="L11836" s="17">
        <v>1</v>
      </c>
      <c r="M11836" s="17">
        <v>2</v>
      </c>
      <c r="N11836" s="17">
        <v>1</v>
      </c>
      <c r="O11836" s="18">
        <v>26450.3</v>
      </c>
      <c r="P11836" s="18">
        <v>21680.57</v>
      </c>
      <c r="Q11836" s="18">
        <v>26450.3</v>
      </c>
      <c r="R11836" s="18">
        <v>21680.57</v>
      </c>
      <c r="S11836" s="18">
        <v>16399.189999999999</v>
      </c>
      <c r="T11836" s="18">
        <v>13441.96</v>
      </c>
      <c r="U11836" s="16"/>
      <c r="V11836" s="16"/>
      <c r="W11836" s="16" t="s">
        <v>40</v>
      </c>
      <c r="X11836" s="19">
        <v>5.827</v>
      </c>
      <c r="Y11836" s="20">
        <v>1.7337999999999999E-2</v>
      </c>
      <c r="Z11836" s="21">
        <v>4601004014442</v>
      </c>
    </row>
    <row r="11837" spans="1:26" ht="12" customHeight="1" outlineLevel="5" x14ac:dyDescent="0.2">
      <c r="A11837" s="14" t="s">
        <v>22483</v>
      </c>
      <c r="B11837" s="26" t="s">
        <v>22484</v>
      </c>
      <c r="C11837" s="52"/>
      <c r="D11837" s="55">
        <f t="shared" si="184"/>
        <v>0</v>
      </c>
      <c r="E11837" s="63" t="str">
        <f>HYPERLINK("https://www.sds-group.ru/product/girlyanda-led-cliplight-24v-5-nitey-po-20-metrov-tsvet-diodov-teplyy-belyy-flashing-belyy-323-606/", "Инфо")</f>
        <v>Инфо</v>
      </c>
      <c r="F11837" s="16" t="s">
        <v>39</v>
      </c>
      <c r="G11837" s="15"/>
      <c r="H11837" s="15"/>
      <c r="I11837" s="15"/>
      <c r="J11837" s="16" t="s">
        <v>100</v>
      </c>
      <c r="K11837" s="15" t="s">
        <v>1055</v>
      </c>
      <c r="L11837" s="17">
        <v>1</v>
      </c>
      <c r="M11837" s="17">
        <v>2</v>
      </c>
      <c r="N11837" s="17">
        <v>1</v>
      </c>
      <c r="O11837" s="18">
        <v>26450.3</v>
      </c>
      <c r="P11837" s="18">
        <v>21680.57</v>
      </c>
      <c r="Q11837" s="18">
        <v>26450.3</v>
      </c>
      <c r="R11837" s="18">
        <v>21680.57</v>
      </c>
      <c r="S11837" s="18">
        <v>16399.189999999999</v>
      </c>
      <c r="T11837" s="18">
        <v>13441.96</v>
      </c>
      <c r="U11837" s="16"/>
      <c r="V11837" s="16"/>
      <c r="W11837" s="16" t="s">
        <v>40</v>
      </c>
      <c r="X11837" s="19">
        <v>5.4379999999999997</v>
      </c>
      <c r="Y11837" s="20">
        <v>1.6853E-2</v>
      </c>
      <c r="Z11837" s="21">
        <v>4601004014466</v>
      </c>
    </row>
    <row r="11838" spans="1:26" ht="12.95" customHeight="1" outlineLevel="3" x14ac:dyDescent="0.2">
      <c r="A11838" s="76" t="s">
        <v>22485</v>
      </c>
      <c r="B11838" s="76"/>
      <c r="C11838" s="77"/>
      <c r="D11838" s="58"/>
      <c r="E11838" s="68"/>
      <c r="F11838" s="13"/>
      <c r="G11838" s="13"/>
      <c r="H11838" s="13"/>
      <c r="I11838" s="13"/>
      <c r="J11838" s="13"/>
      <c r="K11838" s="13"/>
      <c r="L11838" s="13"/>
      <c r="M11838" s="13"/>
      <c r="N11838" s="13"/>
      <c r="O11838" s="13"/>
      <c r="P11838" s="13"/>
      <c r="Q11838" s="13"/>
      <c r="R11838" s="13"/>
      <c r="S11838" s="13"/>
      <c r="T11838" s="13"/>
      <c r="U11838" s="13"/>
      <c r="V11838" s="13"/>
      <c r="W11838" s="13"/>
      <c r="X11838" s="13"/>
      <c r="Y11838" s="13"/>
      <c r="Z11838" s="13"/>
    </row>
    <row r="11839" spans="1:26" ht="12" customHeight="1" outlineLevel="4" x14ac:dyDescent="0.2">
      <c r="A11839" s="14" t="s">
        <v>22486</v>
      </c>
      <c r="B11839" s="26" t="s">
        <v>22487</v>
      </c>
      <c r="C11839" s="52"/>
      <c r="D11839" s="55">
        <f t="shared" si="184"/>
        <v>0</v>
      </c>
      <c r="E11839" s="63" t="str">
        <f>HYPERLINK("https://www.sds-group.ru/product/girlyanda-led-klip-layt-12-v-prozrachnyy-pvh-150-mm-tsvet-diodov-belyy-flashing-belyy-325-165/", "Инфо")</f>
        <v>Инфо</v>
      </c>
      <c r="F11839" s="16" t="s">
        <v>1767</v>
      </c>
      <c r="G11839" s="15"/>
      <c r="H11839" s="15"/>
      <c r="I11839" s="15"/>
      <c r="J11839" s="17">
        <v>100</v>
      </c>
      <c r="K11839" s="15" t="s">
        <v>1055</v>
      </c>
      <c r="L11839" s="17">
        <v>100</v>
      </c>
      <c r="M11839" s="17">
        <v>100</v>
      </c>
      <c r="N11839" s="17">
        <v>100</v>
      </c>
      <c r="O11839" s="18">
        <v>495.74</v>
      </c>
      <c r="P11839" s="18">
        <v>406.34</v>
      </c>
      <c r="Q11839" s="18">
        <v>495.74</v>
      </c>
      <c r="R11839" s="18">
        <v>406.34</v>
      </c>
      <c r="S11839" s="18">
        <v>307.36</v>
      </c>
      <c r="T11839" s="18">
        <v>251.93</v>
      </c>
      <c r="U11839" s="16"/>
      <c r="V11839" s="16"/>
      <c r="W11839" s="16" t="s">
        <v>40</v>
      </c>
      <c r="X11839" s="19">
        <v>5.7000000000000002E-2</v>
      </c>
      <c r="Y11839" s="20">
        <v>2.2499999999999999E-4</v>
      </c>
      <c r="Z11839" s="21">
        <v>4601004225121</v>
      </c>
    </row>
    <row r="11840" spans="1:26" ht="12" customHeight="1" outlineLevel="4" x14ac:dyDescent="0.2">
      <c r="A11840" s="14" t="s">
        <v>22488</v>
      </c>
      <c r="B11840" s="26" t="s">
        <v>22489</v>
      </c>
      <c r="C11840" s="52"/>
      <c r="D11840" s="55">
        <f t="shared" si="184"/>
        <v>0</v>
      </c>
      <c r="E11840" s="63" t="str">
        <f>HYPERLINK("https://www.sds-group.ru/product/girlyanda-led-klip-layt-12-v-prozrachnyy-pvh-150-mm-tsvet-diodov-teplyy-belyy-flashing-belyy-325-166/", "Инфо")</f>
        <v>Инфо</v>
      </c>
      <c r="F11840" s="16" t="s">
        <v>1767</v>
      </c>
      <c r="G11840" s="15"/>
      <c r="H11840" s="15"/>
      <c r="I11840" s="15"/>
      <c r="J11840" s="16" t="s">
        <v>100</v>
      </c>
      <c r="K11840" s="15" t="s">
        <v>1055</v>
      </c>
      <c r="L11840" s="17">
        <v>100</v>
      </c>
      <c r="M11840" s="17">
        <v>100</v>
      </c>
      <c r="N11840" s="17">
        <v>100</v>
      </c>
      <c r="O11840" s="18">
        <v>495.74</v>
      </c>
      <c r="P11840" s="18">
        <v>406.34</v>
      </c>
      <c r="Q11840" s="18">
        <v>495.74</v>
      </c>
      <c r="R11840" s="18">
        <v>406.34</v>
      </c>
      <c r="S11840" s="18">
        <v>307.36</v>
      </c>
      <c r="T11840" s="18">
        <v>251.93</v>
      </c>
      <c r="U11840" s="16"/>
      <c r="V11840" s="16"/>
      <c r="W11840" s="16" t="s">
        <v>40</v>
      </c>
      <c r="X11840" s="19">
        <v>5.7000000000000002E-2</v>
      </c>
      <c r="Y11840" s="20">
        <v>2.3599999999999999E-4</v>
      </c>
      <c r="Z11840" s="21">
        <v>4601004224971</v>
      </c>
    </row>
    <row r="11841" spans="1:26" ht="12" customHeight="1" outlineLevel="4" x14ac:dyDescent="0.2">
      <c r="A11841" s="14" t="s">
        <v>22490</v>
      </c>
      <c r="B11841" s="26" t="s">
        <v>22491</v>
      </c>
      <c r="C11841" s="52"/>
      <c r="D11841" s="55">
        <f t="shared" si="184"/>
        <v>0</v>
      </c>
      <c r="E11841" s="63" t="str">
        <f>HYPERLINK("https://www.sds-group.ru/product/girlyanda-led-cliplight-12v-150-mm-tsvet-diodov-belyy-325-125/", "Инфо")</f>
        <v>Инфо</v>
      </c>
      <c r="F11841" s="16" t="s">
        <v>1767</v>
      </c>
      <c r="G11841" s="15"/>
      <c r="H11841" s="15"/>
      <c r="I11841" s="15"/>
      <c r="J11841" s="16" t="s">
        <v>100</v>
      </c>
      <c r="K11841" s="15"/>
      <c r="L11841" s="17">
        <v>100</v>
      </c>
      <c r="M11841" s="17">
        <v>100</v>
      </c>
      <c r="N11841" s="17">
        <v>100</v>
      </c>
      <c r="O11841" s="18">
        <v>446.99</v>
      </c>
      <c r="P11841" s="18">
        <v>366.39</v>
      </c>
      <c r="Q11841" s="18">
        <v>446.99</v>
      </c>
      <c r="R11841" s="18">
        <v>366.39</v>
      </c>
      <c r="S11841" s="18">
        <v>277.13</v>
      </c>
      <c r="T11841" s="18">
        <v>227.16</v>
      </c>
      <c r="U11841" s="16"/>
      <c r="V11841" s="16"/>
      <c r="W11841" s="16" t="s">
        <v>40</v>
      </c>
      <c r="X11841" s="19">
        <v>5.7000000000000002E-2</v>
      </c>
      <c r="Y11841" s="20">
        <v>2.1900000000000001E-4</v>
      </c>
      <c r="Z11841" s="21">
        <v>4610003607210</v>
      </c>
    </row>
    <row r="11842" spans="1:26" ht="12" customHeight="1" outlineLevel="4" x14ac:dyDescent="0.2">
      <c r="A11842" s="14" t="s">
        <v>22492</v>
      </c>
      <c r="B11842" s="26" t="s">
        <v>22493</v>
      </c>
      <c r="C11842" s="52"/>
      <c r="D11842" s="55">
        <f t="shared" si="184"/>
        <v>0</v>
      </c>
      <c r="E11842" s="63" t="str">
        <f>HYPERLINK("https://www.sds-group.ru/product/girlyanda-led-cliplight-12v-150-mm-tsvet-diodov-zheltyy-325-121/", "Инфо")</f>
        <v>Инфо</v>
      </c>
      <c r="F11842" s="16" t="s">
        <v>1767</v>
      </c>
      <c r="G11842" s="15"/>
      <c r="H11842" s="15"/>
      <c r="I11842" s="15"/>
      <c r="J11842" s="16" t="s">
        <v>100</v>
      </c>
      <c r="K11842" s="15" t="s">
        <v>1055</v>
      </c>
      <c r="L11842" s="17">
        <v>100</v>
      </c>
      <c r="M11842" s="17">
        <v>100</v>
      </c>
      <c r="N11842" s="17">
        <v>100</v>
      </c>
      <c r="O11842" s="18">
        <v>446.99</v>
      </c>
      <c r="P11842" s="18">
        <v>366.39</v>
      </c>
      <c r="Q11842" s="18">
        <v>446.99</v>
      </c>
      <c r="R11842" s="18">
        <v>366.39</v>
      </c>
      <c r="S11842" s="18">
        <v>277.13</v>
      </c>
      <c r="T11842" s="18">
        <v>227.16</v>
      </c>
      <c r="U11842" s="16"/>
      <c r="V11842" s="16"/>
      <c r="W11842" s="16" t="s">
        <v>40</v>
      </c>
      <c r="X11842" s="19">
        <v>5.7000000000000002E-2</v>
      </c>
      <c r="Y11842" s="20">
        <v>2.2699999999999999E-4</v>
      </c>
      <c r="Z11842" s="21">
        <v>4610003607173</v>
      </c>
    </row>
    <row r="11843" spans="1:26" ht="12" customHeight="1" outlineLevel="4" x14ac:dyDescent="0.2">
      <c r="A11843" s="14" t="s">
        <v>22494</v>
      </c>
      <c r="B11843" s="26" t="s">
        <v>22495</v>
      </c>
      <c r="C11843" s="52"/>
      <c r="D11843" s="55">
        <f t="shared" si="184"/>
        <v>0</v>
      </c>
      <c r="E11843" s="63" t="str">
        <f>HYPERLINK("https://www.sds-group.ru/product/girlyanda-led-cliplight-12v-150-mm-tsvet-diodov-multi-325-129/", "Инфо")</f>
        <v>Инфо</v>
      </c>
      <c r="F11843" s="16" t="s">
        <v>1767</v>
      </c>
      <c r="G11843" s="15"/>
      <c r="H11843" s="15"/>
      <c r="I11843" s="15"/>
      <c r="J11843" s="16" t="s">
        <v>100</v>
      </c>
      <c r="K11843" s="15" t="s">
        <v>1055</v>
      </c>
      <c r="L11843" s="17">
        <v>100</v>
      </c>
      <c r="M11843" s="17">
        <v>100</v>
      </c>
      <c r="N11843" s="17">
        <v>100</v>
      </c>
      <c r="O11843" s="18">
        <v>446.99</v>
      </c>
      <c r="P11843" s="18">
        <v>366.39</v>
      </c>
      <c r="Q11843" s="18">
        <v>446.99</v>
      </c>
      <c r="R11843" s="18">
        <v>366.39</v>
      </c>
      <c r="S11843" s="18">
        <v>277.13</v>
      </c>
      <c r="T11843" s="18">
        <v>227.16</v>
      </c>
      <c r="U11843" s="16"/>
      <c r="V11843" s="16"/>
      <c r="W11843" s="16" t="s">
        <v>40</v>
      </c>
      <c r="X11843" s="19">
        <v>5.8000000000000003E-2</v>
      </c>
      <c r="Y11843" s="20">
        <v>2.3800000000000001E-4</v>
      </c>
      <c r="Z11843" s="21">
        <v>4610003607227</v>
      </c>
    </row>
    <row r="11844" spans="1:26" ht="12" customHeight="1" outlineLevel="4" x14ac:dyDescent="0.2">
      <c r="A11844" s="14" t="s">
        <v>22496</v>
      </c>
      <c r="B11844" s="26" t="s">
        <v>22497</v>
      </c>
      <c r="C11844" s="52"/>
      <c r="D11844" s="55">
        <f t="shared" si="184"/>
        <v>0</v>
      </c>
      <c r="E11844" s="63" t="str">
        <f>HYPERLINK("https://www.sds-group.ru/product/girlyanda-led-cliplight-12v-150-mm-tsvet-diodov-siniy-325-123/", "Инфо")</f>
        <v>Инфо</v>
      </c>
      <c r="F11844" s="16" t="s">
        <v>1767</v>
      </c>
      <c r="G11844" s="15"/>
      <c r="H11844" s="15"/>
      <c r="I11844" s="15"/>
      <c r="J11844" s="22">
        <v>2200</v>
      </c>
      <c r="K11844" s="15" t="s">
        <v>1055</v>
      </c>
      <c r="L11844" s="17">
        <v>100</v>
      </c>
      <c r="M11844" s="17">
        <v>100</v>
      </c>
      <c r="N11844" s="17">
        <v>100</v>
      </c>
      <c r="O11844" s="18">
        <v>446.99</v>
      </c>
      <c r="P11844" s="18">
        <v>366.39</v>
      </c>
      <c r="Q11844" s="18">
        <v>446.99</v>
      </c>
      <c r="R11844" s="18">
        <v>366.39</v>
      </c>
      <c r="S11844" s="18">
        <v>277.13</v>
      </c>
      <c r="T11844" s="18">
        <v>227.16</v>
      </c>
      <c r="U11844" s="16"/>
      <c r="V11844" s="16"/>
      <c r="W11844" s="16" t="s">
        <v>40</v>
      </c>
      <c r="X11844" s="19">
        <v>5.8000000000000003E-2</v>
      </c>
      <c r="Y11844" s="20">
        <v>2.3499999999999999E-4</v>
      </c>
      <c r="Z11844" s="21">
        <v>4610003607197</v>
      </c>
    </row>
    <row r="11845" spans="1:26" ht="12" customHeight="1" outlineLevel="4" x14ac:dyDescent="0.2">
      <c r="A11845" s="14" t="s">
        <v>22498</v>
      </c>
      <c r="B11845" s="26" t="s">
        <v>22499</v>
      </c>
      <c r="C11845" s="52"/>
      <c r="D11845" s="55">
        <f t="shared" si="184"/>
        <v>0</v>
      </c>
      <c r="E11845" s="63" t="str">
        <f>HYPERLINK("https://www.sds-group.ru/product/girlyanda-led-cliplight-12v-150-mm-tsvet-diodov-teplyy-belyy-325-126/", "Инфо")</f>
        <v>Инфо</v>
      </c>
      <c r="F11845" s="16" t="s">
        <v>1767</v>
      </c>
      <c r="G11845" s="15"/>
      <c r="H11845" s="15"/>
      <c r="I11845" s="15"/>
      <c r="J11845" s="22">
        <v>1200</v>
      </c>
      <c r="K11845" s="15" t="s">
        <v>1055</v>
      </c>
      <c r="L11845" s="17">
        <v>100</v>
      </c>
      <c r="M11845" s="17">
        <v>100</v>
      </c>
      <c r="N11845" s="17">
        <v>100</v>
      </c>
      <c r="O11845" s="18">
        <v>446.99</v>
      </c>
      <c r="P11845" s="18">
        <v>366.39</v>
      </c>
      <c r="Q11845" s="18">
        <v>446.99</v>
      </c>
      <c r="R11845" s="18">
        <v>366.39</v>
      </c>
      <c r="S11845" s="18">
        <v>277.13</v>
      </c>
      <c r="T11845" s="18">
        <v>227.16</v>
      </c>
      <c r="U11845" s="16"/>
      <c r="V11845" s="16"/>
      <c r="W11845" s="16" t="s">
        <v>40</v>
      </c>
      <c r="X11845" s="19">
        <v>5.6000000000000001E-2</v>
      </c>
      <c r="Y11845" s="20">
        <v>2.0599999999999999E-4</v>
      </c>
      <c r="Z11845" s="21">
        <v>4601004033214</v>
      </c>
    </row>
    <row r="11846" spans="1:26" ht="12" customHeight="1" outlineLevel="4" x14ac:dyDescent="0.2">
      <c r="A11846" s="14" t="s">
        <v>22500</v>
      </c>
      <c r="B11846" s="26" t="s">
        <v>22501</v>
      </c>
      <c r="C11846" s="52"/>
      <c r="D11846" s="55">
        <f t="shared" si="184"/>
        <v>0</v>
      </c>
      <c r="E11846" s="63" t="str">
        <f>HYPERLINK("https://www.sds-group.ru/product/girlyanda-led-cliplight-12v-150-mm-tsvet-diodov-belyy-flashing-belyy-325-145/", "Инфо")</f>
        <v>Инфо</v>
      </c>
      <c r="F11846" s="16" t="s">
        <v>1767</v>
      </c>
      <c r="G11846" s="15"/>
      <c r="H11846" s="15"/>
      <c r="I11846" s="15"/>
      <c r="J11846" s="17">
        <v>900</v>
      </c>
      <c r="K11846" s="15" t="s">
        <v>1055</v>
      </c>
      <c r="L11846" s="17">
        <v>100</v>
      </c>
      <c r="M11846" s="17">
        <v>100</v>
      </c>
      <c r="N11846" s="17">
        <v>100</v>
      </c>
      <c r="O11846" s="18">
        <v>495.74</v>
      </c>
      <c r="P11846" s="18">
        <v>406.34</v>
      </c>
      <c r="Q11846" s="18">
        <v>495.74</v>
      </c>
      <c r="R11846" s="18">
        <v>406.34</v>
      </c>
      <c r="S11846" s="18">
        <v>307.36</v>
      </c>
      <c r="T11846" s="18">
        <v>251.93</v>
      </c>
      <c r="U11846" s="16"/>
      <c r="V11846" s="16"/>
      <c r="W11846" s="16" t="s">
        <v>40</v>
      </c>
      <c r="X11846" s="19">
        <v>5.7000000000000002E-2</v>
      </c>
      <c r="Y11846" s="20">
        <v>2.3599999999999999E-4</v>
      </c>
      <c r="Z11846" s="21">
        <v>4601004033221</v>
      </c>
    </row>
    <row r="11847" spans="1:26" ht="12" customHeight="1" outlineLevel="4" x14ac:dyDescent="0.2">
      <c r="A11847" s="14" t="s">
        <v>22502</v>
      </c>
      <c r="B11847" s="26" t="s">
        <v>22503</v>
      </c>
      <c r="C11847" s="52"/>
      <c r="D11847" s="55">
        <f t="shared" si="184"/>
        <v>0</v>
      </c>
      <c r="E11847" s="63" t="str">
        <f>HYPERLINK("https://www.sds-group.ru/product/girlyanda-led-clip-light-12v-shag-150-mm-tsvet-diodov-teplyy-belyy-flashing-belyy-325-146/", "Инфо")</f>
        <v>Инфо</v>
      </c>
      <c r="F11847" s="16" t="s">
        <v>1767</v>
      </c>
      <c r="G11847" s="15"/>
      <c r="H11847" s="15"/>
      <c r="I11847" s="15"/>
      <c r="J11847" s="16" t="s">
        <v>100</v>
      </c>
      <c r="K11847" s="15" t="s">
        <v>1055</v>
      </c>
      <c r="L11847" s="17">
        <v>100</v>
      </c>
      <c r="M11847" s="17">
        <v>100</v>
      </c>
      <c r="N11847" s="17">
        <v>100</v>
      </c>
      <c r="O11847" s="18">
        <v>495.74</v>
      </c>
      <c r="P11847" s="18">
        <v>406.34</v>
      </c>
      <c r="Q11847" s="18">
        <v>495.74</v>
      </c>
      <c r="R11847" s="18">
        <v>406.34</v>
      </c>
      <c r="S11847" s="18">
        <v>307.36</v>
      </c>
      <c r="T11847" s="18">
        <v>251.93</v>
      </c>
      <c r="U11847" s="16"/>
      <c r="V11847" s="16"/>
      <c r="W11847" s="16" t="s">
        <v>40</v>
      </c>
      <c r="X11847" s="19">
        <v>5.8999999999999997E-2</v>
      </c>
      <c r="Y11847" s="20">
        <v>2.3599999999999999E-4</v>
      </c>
      <c r="Z11847" s="21">
        <v>4601004033238</v>
      </c>
    </row>
    <row r="11848" spans="1:26" ht="12" customHeight="1" outlineLevel="4" x14ac:dyDescent="0.2">
      <c r="A11848" s="14" t="s">
        <v>22504</v>
      </c>
      <c r="B11848" s="26" t="s">
        <v>22505</v>
      </c>
      <c r="C11848" s="52"/>
      <c r="D11848" s="55">
        <f t="shared" si="184"/>
        <v>0</v>
      </c>
      <c r="E11848" s="63" t="str">
        <f>HYPERLINK("https://www.sds-group.ru/product/girlyanda-led-klip-layt-12-v-prozrachnyy-pvh-150-mm-tsvet-diodov-belyy-325-155/", "Инфо")</f>
        <v>Инфо</v>
      </c>
      <c r="F11848" s="16" t="s">
        <v>1767</v>
      </c>
      <c r="G11848" s="15"/>
      <c r="H11848" s="15"/>
      <c r="I11848" s="15"/>
      <c r="J11848" s="16" t="s">
        <v>100</v>
      </c>
      <c r="K11848" s="15" t="s">
        <v>1055</v>
      </c>
      <c r="L11848" s="17">
        <v>100</v>
      </c>
      <c r="M11848" s="17">
        <v>100</v>
      </c>
      <c r="N11848" s="17">
        <v>100</v>
      </c>
      <c r="O11848" s="18">
        <v>446.99</v>
      </c>
      <c r="P11848" s="18">
        <v>366.39</v>
      </c>
      <c r="Q11848" s="18">
        <v>446.99</v>
      </c>
      <c r="R11848" s="18">
        <v>366.39</v>
      </c>
      <c r="S11848" s="18">
        <v>277.13</v>
      </c>
      <c r="T11848" s="18">
        <v>227.16</v>
      </c>
      <c r="U11848" s="16"/>
      <c r="V11848" s="16"/>
      <c r="W11848" s="16" t="s">
        <v>40</v>
      </c>
      <c r="X11848" s="19">
        <v>5.8000000000000003E-2</v>
      </c>
      <c r="Y11848" s="20">
        <v>2.3800000000000001E-4</v>
      </c>
      <c r="Z11848" s="21">
        <v>4601004144378</v>
      </c>
    </row>
    <row r="11849" spans="1:26" ht="12" customHeight="1" outlineLevel="4" x14ac:dyDescent="0.2">
      <c r="A11849" s="14" t="s">
        <v>22506</v>
      </c>
      <c r="B11849" s="26" t="s">
        <v>22507</v>
      </c>
      <c r="C11849" s="52"/>
      <c r="D11849" s="55">
        <f t="shared" ref="D11849:D11912" si="185">C11849*(O11849-O11849*$G$3)</f>
        <v>0</v>
      </c>
      <c r="E11849" s="63" t="str">
        <f>HYPERLINK("https://www.sds-group.ru/product/girlyanda-led-klip-layt-12-v-prozrachnyy-pvh-150-mm-tsvet-diodov-teplyy-belyy-325-156/", "Инфо")</f>
        <v>Инфо</v>
      </c>
      <c r="F11849" s="16" t="s">
        <v>1767</v>
      </c>
      <c r="G11849" s="15"/>
      <c r="H11849" s="15"/>
      <c r="I11849" s="15"/>
      <c r="J11849" s="16" t="s">
        <v>100</v>
      </c>
      <c r="K11849" s="15" t="s">
        <v>1055</v>
      </c>
      <c r="L11849" s="17">
        <v>100</v>
      </c>
      <c r="M11849" s="17">
        <v>100</v>
      </c>
      <c r="N11849" s="17">
        <v>100</v>
      </c>
      <c r="O11849" s="18">
        <v>446.99</v>
      </c>
      <c r="P11849" s="18">
        <v>366.39</v>
      </c>
      <c r="Q11849" s="18">
        <v>446.99</v>
      </c>
      <c r="R11849" s="18">
        <v>366.39</v>
      </c>
      <c r="S11849" s="18">
        <v>277.13</v>
      </c>
      <c r="T11849" s="18">
        <v>227.16</v>
      </c>
      <c r="U11849" s="16"/>
      <c r="V11849" s="16"/>
      <c r="W11849" s="16" t="s">
        <v>40</v>
      </c>
      <c r="X11849" s="19">
        <v>5.8000000000000003E-2</v>
      </c>
      <c r="Y11849" s="20">
        <v>2.3599999999999999E-4</v>
      </c>
      <c r="Z11849" s="21">
        <v>4601004144385</v>
      </c>
    </row>
    <row r="11850" spans="1:26" ht="12.95" customHeight="1" outlineLevel="2" x14ac:dyDescent="0.2">
      <c r="A11850" s="76" t="s">
        <v>22508</v>
      </c>
      <c r="B11850" s="76"/>
      <c r="C11850" s="77"/>
      <c r="D11850" s="58"/>
      <c r="E11850" s="68"/>
      <c r="F11850" s="13"/>
      <c r="G11850" s="13"/>
      <c r="H11850" s="13"/>
      <c r="I11850" s="13"/>
      <c r="J11850" s="13"/>
      <c r="K11850" s="13"/>
      <c r="L11850" s="13"/>
      <c r="M11850" s="13"/>
      <c r="N11850" s="13"/>
      <c r="O11850" s="13"/>
      <c r="P11850" s="13"/>
      <c r="Q11850" s="13"/>
      <c r="R11850" s="13"/>
      <c r="S11850" s="13"/>
      <c r="T11850" s="13"/>
      <c r="U11850" s="13"/>
      <c r="V11850" s="13"/>
      <c r="W11850" s="13"/>
      <c r="X11850" s="13"/>
      <c r="Y11850" s="13"/>
      <c r="Z11850" s="13"/>
    </row>
    <row r="11851" spans="1:26" ht="12" customHeight="1" outlineLevel="3" x14ac:dyDescent="0.2">
      <c r="A11851" s="14" t="s">
        <v>22509</v>
      </c>
      <c r="B11851" s="26" t="s">
        <v>22510</v>
      </c>
      <c r="C11851" s="52"/>
      <c r="D11851" s="55">
        <f t="shared" si="185"/>
        <v>0</v>
      </c>
      <c r="E11851" s="63" t="str">
        <f>HYPERLINK("https://www.sds-group.ru/product/girlyanda-tayuschie-sosulki-komplekt-10-sht-h-100sm-shag-100sm-960-led-belyy-chernyy-kauchuk-256-429/", "Инфо")</f>
        <v>Инфо</v>
      </c>
      <c r="F11851" s="16" t="s">
        <v>39</v>
      </c>
      <c r="G11851" s="15"/>
      <c r="H11851" s="15"/>
      <c r="I11851" s="15"/>
      <c r="J11851" s="17">
        <v>19</v>
      </c>
      <c r="K11851" s="15"/>
      <c r="L11851" s="17">
        <v>1</v>
      </c>
      <c r="M11851" s="17">
        <v>10</v>
      </c>
      <c r="N11851" s="17">
        <v>1</v>
      </c>
      <c r="O11851" s="18">
        <v>18551</v>
      </c>
      <c r="P11851" s="18">
        <v>15205.74</v>
      </c>
      <c r="Q11851" s="18">
        <v>18551</v>
      </c>
      <c r="R11851" s="18">
        <v>15205.74</v>
      </c>
      <c r="S11851" s="18">
        <v>11501.62</v>
      </c>
      <c r="T11851" s="18">
        <v>9427.56</v>
      </c>
      <c r="U11851" s="16"/>
      <c r="V11851" s="16"/>
      <c r="W11851" s="16" t="s">
        <v>40</v>
      </c>
      <c r="X11851" s="19">
        <v>2.3460000000000001</v>
      </c>
      <c r="Y11851" s="20">
        <v>1.506E-2</v>
      </c>
      <c r="Z11851" s="21">
        <v>4601004183865</v>
      </c>
    </row>
    <row r="11852" spans="1:26" ht="12" customHeight="1" outlineLevel="3" x14ac:dyDescent="0.2">
      <c r="A11852" s="14" t="s">
        <v>22511</v>
      </c>
      <c r="B11852" s="26" t="s">
        <v>22512</v>
      </c>
      <c r="C11852" s="52"/>
      <c r="D11852" s="55">
        <f t="shared" si="185"/>
        <v>0</v>
      </c>
      <c r="E11852" s="63" t="str">
        <f>HYPERLINK("https://www.sds-group.ru/product/girlyanda-tayuschie-sosulki-komplekt-10-sht-h-100sm-shag-100sm-960-led-teplyy-belyy-belyy-ka-256-428/", "Инфо")</f>
        <v>Инфо</v>
      </c>
      <c r="F11852" s="16" t="s">
        <v>39</v>
      </c>
      <c r="G11852" s="15"/>
      <c r="H11852" s="15"/>
      <c r="I11852" s="15"/>
      <c r="J11852" s="17">
        <v>95</v>
      </c>
      <c r="K11852" s="15" t="s">
        <v>11098</v>
      </c>
      <c r="L11852" s="17">
        <v>1</v>
      </c>
      <c r="M11852" s="17">
        <v>10</v>
      </c>
      <c r="N11852" s="17">
        <v>1</v>
      </c>
      <c r="O11852" s="18">
        <v>18551</v>
      </c>
      <c r="P11852" s="18">
        <v>15205.74</v>
      </c>
      <c r="Q11852" s="18">
        <v>18551</v>
      </c>
      <c r="R11852" s="18">
        <v>15205.74</v>
      </c>
      <c r="S11852" s="18">
        <v>11501.62</v>
      </c>
      <c r="T11852" s="18">
        <v>9427.56</v>
      </c>
      <c r="U11852" s="16"/>
      <c r="V11852" s="16"/>
      <c r="W11852" s="16" t="s">
        <v>40</v>
      </c>
      <c r="X11852" s="19">
        <v>2.5299999999999998</v>
      </c>
      <c r="Y11852" s="20">
        <v>1.6500000000000001E-2</v>
      </c>
      <c r="Z11852" s="21">
        <v>4601004335295</v>
      </c>
    </row>
    <row r="11853" spans="1:26" ht="12" customHeight="1" outlineLevel="3" x14ac:dyDescent="0.2">
      <c r="A11853" s="14" t="s">
        <v>22513</v>
      </c>
      <c r="B11853" s="26" t="s">
        <v>22514</v>
      </c>
      <c r="C11853" s="52"/>
      <c r="D11853" s="55">
        <f t="shared" si="185"/>
        <v>0</v>
      </c>
      <c r="E11853" s="63" t="str">
        <f>HYPERLINK("https://www.sds-group.ru/product/girlyanda-tayuschie-sosulki-komplekt-10-sht-h-100sm-shag-100sm-960-led-teplyy-belyy-chernyy--256-422/", "Инфо")</f>
        <v>Инфо</v>
      </c>
      <c r="F11853" s="16" t="s">
        <v>39</v>
      </c>
      <c r="G11853" s="15"/>
      <c r="H11853" s="15"/>
      <c r="I11853" s="15"/>
      <c r="J11853" s="16" t="s">
        <v>100</v>
      </c>
      <c r="K11853" s="15" t="s">
        <v>11098</v>
      </c>
      <c r="L11853" s="17">
        <v>1</v>
      </c>
      <c r="M11853" s="17">
        <v>10</v>
      </c>
      <c r="N11853" s="17">
        <v>1</v>
      </c>
      <c r="O11853" s="18">
        <v>18551</v>
      </c>
      <c r="P11853" s="18">
        <v>15205.74</v>
      </c>
      <c r="Q11853" s="18">
        <v>18551</v>
      </c>
      <c r="R11853" s="18">
        <v>15205.74</v>
      </c>
      <c r="S11853" s="18">
        <v>11501.62</v>
      </c>
      <c r="T11853" s="18">
        <v>9427.56</v>
      </c>
      <c r="U11853" s="16"/>
      <c r="V11853" s="16"/>
      <c r="W11853" s="16" t="s">
        <v>40</v>
      </c>
      <c r="X11853" s="19">
        <v>2.5299999999999998</v>
      </c>
      <c r="Y11853" s="20">
        <v>1.6500000000000001E-2</v>
      </c>
      <c r="Z11853" s="21">
        <v>4601004335288</v>
      </c>
    </row>
    <row r="11854" spans="1:26" ht="12" customHeight="1" outlineLevel="3" x14ac:dyDescent="0.2">
      <c r="A11854" s="14" t="s">
        <v>22515</v>
      </c>
      <c r="B11854" s="26" t="s">
        <v>22516</v>
      </c>
      <c r="C11854" s="52"/>
      <c r="D11854" s="55">
        <f t="shared" si="185"/>
        <v>0</v>
      </c>
      <c r="E11854" s="63" t="str">
        <f>HYPERLINK("https://www.sds-group.ru/product/girlyanda-tayuschie-sosulki-komplekt-10-sht-h-30sm-shag-100sm-420-led-belyy-chernyy-kauchuk--256-425/", "Инфо")</f>
        <v>Инфо</v>
      </c>
      <c r="F11854" s="16" t="s">
        <v>39</v>
      </c>
      <c r="G11854" s="15"/>
      <c r="H11854" s="15"/>
      <c r="I11854" s="15"/>
      <c r="J11854" s="17">
        <v>346</v>
      </c>
      <c r="K11854" s="15" t="s">
        <v>11098</v>
      </c>
      <c r="L11854" s="17">
        <v>1</v>
      </c>
      <c r="M11854" s="17">
        <v>10</v>
      </c>
      <c r="N11854" s="17">
        <v>1</v>
      </c>
      <c r="O11854" s="18">
        <v>13944.08</v>
      </c>
      <c r="P11854" s="18">
        <v>11429.57</v>
      </c>
      <c r="Q11854" s="18">
        <v>13944.08</v>
      </c>
      <c r="R11854" s="18">
        <v>11429.57</v>
      </c>
      <c r="S11854" s="18">
        <v>8645.33</v>
      </c>
      <c r="T11854" s="18">
        <v>7086.34</v>
      </c>
      <c r="U11854" s="16"/>
      <c r="V11854" s="16"/>
      <c r="W11854" s="16" t="s">
        <v>40</v>
      </c>
      <c r="X11854" s="19">
        <v>1.8</v>
      </c>
      <c r="Y11854" s="20">
        <v>9.9410000000000002E-3</v>
      </c>
      <c r="Z11854" s="21">
        <v>4601004154186</v>
      </c>
    </row>
    <row r="11855" spans="1:26" ht="12" customHeight="1" outlineLevel="3" x14ac:dyDescent="0.2">
      <c r="A11855" s="14" t="s">
        <v>22517</v>
      </c>
      <c r="B11855" s="26" t="s">
        <v>22518</v>
      </c>
      <c r="C11855" s="52"/>
      <c r="D11855" s="55">
        <f t="shared" si="185"/>
        <v>0</v>
      </c>
      <c r="E11855" s="63" t="str">
        <f>HYPERLINK("https://www.sds-group.ru/product/girlyanda-tayuschie-sosulki-komplekt-10-sht-h-50sm-shag-100sm-600-led-belyy-chernyy-kauchuk--256-426/", "Инфо")</f>
        <v>Инфо</v>
      </c>
      <c r="F11855" s="16" t="s">
        <v>39</v>
      </c>
      <c r="G11855" s="15"/>
      <c r="H11855" s="15"/>
      <c r="I11855" s="15"/>
      <c r="J11855" s="17">
        <v>96</v>
      </c>
      <c r="K11855" s="15" t="s">
        <v>11098</v>
      </c>
      <c r="L11855" s="17">
        <v>1</v>
      </c>
      <c r="M11855" s="17">
        <v>10</v>
      </c>
      <c r="N11855" s="17">
        <v>1</v>
      </c>
      <c r="O11855" s="18">
        <v>14155.8</v>
      </c>
      <c r="P11855" s="18">
        <v>11603.11</v>
      </c>
      <c r="Q11855" s="18">
        <v>14155.8</v>
      </c>
      <c r="R11855" s="18">
        <v>11603.11</v>
      </c>
      <c r="S11855" s="18">
        <v>8776.6</v>
      </c>
      <c r="T11855" s="18">
        <v>7193.93</v>
      </c>
      <c r="U11855" s="16"/>
      <c r="V11855" s="16"/>
      <c r="W11855" s="16" t="s">
        <v>40</v>
      </c>
      <c r="X11855" s="19">
        <v>1.978</v>
      </c>
      <c r="Y11855" s="20">
        <v>1.0061E-2</v>
      </c>
      <c r="Z11855" s="21">
        <v>4601004154155</v>
      </c>
    </row>
    <row r="11856" spans="1:26" ht="12" customHeight="1" outlineLevel="3" x14ac:dyDescent="0.2">
      <c r="A11856" s="14" t="s">
        <v>22519</v>
      </c>
      <c r="B11856" s="26" t="s">
        <v>22520</v>
      </c>
      <c r="C11856" s="52"/>
      <c r="D11856" s="55">
        <f t="shared" si="185"/>
        <v>0</v>
      </c>
      <c r="E11856" s="63" t="str">
        <f>HYPERLINK("https://www.sds-group.ru/product/girlyanda-tayuschie-sosulki-komplekt-10-sht-h-50sm-shag-100sm-600-led-teplyy-belyy-belyy-kau-256-423/", "Инфо")</f>
        <v>Инфо</v>
      </c>
      <c r="F11856" s="16" t="s">
        <v>39</v>
      </c>
      <c r="G11856" s="15"/>
      <c r="H11856" s="15"/>
      <c r="I11856" s="15"/>
      <c r="J11856" s="17">
        <v>167</v>
      </c>
      <c r="K11856" s="15" t="s">
        <v>11098</v>
      </c>
      <c r="L11856" s="17">
        <v>1</v>
      </c>
      <c r="M11856" s="17">
        <v>10</v>
      </c>
      <c r="N11856" s="17">
        <v>1</v>
      </c>
      <c r="O11856" s="18">
        <v>14155.8</v>
      </c>
      <c r="P11856" s="18">
        <v>11603.11</v>
      </c>
      <c r="Q11856" s="18">
        <v>14155.8</v>
      </c>
      <c r="R11856" s="18">
        <v>11603.11</v>
      </c>
      <c r="S11856" s="18">
        <v>8776.6</v>
      </c>
      <c r="T11856" s="18">
        <v>7193.93</v>
      </c>
      <c r="U11856" s="16"/>
      <c r="V11856" s="16"/>
      <c r="W11856" s="16" t="s">
        <v>40</v>
      </c>
      <c r="X11856" s="19">
        <v>2.0009999999999999</v>
      </c>
      <c r="Y11856" s="20">
        <v>9.9769999999999998E-3</v>
      </c>
      <c r="Z11856" s="21">
        <v>4601004303416</v>
      </c>
    </row>
    <row r="11857" spans="1:26" ht="12" customHeight="1" outlineLevel="3" x14ac:dyDescent="0.2">
      <c r="A11857" s="14" t="s">
        <v>22521</v>
      </c>
      <c r="B11857" s="26" t="s">
        <v>22522</v>
      </c>
      <c r="C11857" s="52"/>
      <c r="D11857" s="55">
        <f t="shared" si="185"/>
        <v>0</v>
      </c>
      <c r="E11857" s="63" t="str">
        <f>HYPERLINK("https://www.sds-group.ru/product/girlyanda-tayuschie-sosulki-komplekt-10-sht-h-50sm-shag-100sm-600-led-teplyy-belyy-chernyy-k-256-427/", "Инфо")</f>
        <v>Инфо</v>
      </c>
      <c r="F11857" s="16" t="s">
        <v>39</v>
      </c>
      <c r="G11857" s="15"/>
      <c r="H11857" s="15"/>
      <c r="I11857" s="15"/>
      <c r="J11857" s="16" t="s">
        <v>100</v>
      </c>
      <c r="K11857" s="15" t="s">
        <v>11098</v>
      </c>
      <c r="L11857" s="17">
        <v>1</v>
      </c>
      <c r="M11857" s="17">
        <v>10</v>
      </c>
      <c r="N11857" s="17">
        <v>1</v>
      </c>
      <c r="O11857" s="18">
        <v>14155.8</v>
      </c>
      <c r="P11857" s="18">
        <v>11603.11</v>
      </c>
      <c r="Q11857" s="18">
        <v>14155.8</v>
      </c>
      <c r="R11857" s="18">
        <v>11603.11</v>
      </c>
      <c r="S11857" s="18">
        <v>8776.6</v>
      </c>
      <c r="T11857" s="18">
        <v>7193.93</v>
      </c>
      <c r="U11857" s="16"/>
      <c r="V11857" s="16"/>
      <c r="W11857" s="16" t="s">
        <v>40</v>
      </c>
      <c r="X11857" s="19">
        <v>1.9750000000000001</v>
      </c>
      <c r="Y11857" s="20">
        <v>9.0930000000000004E-3</v>
      </c>
      <c r="Z11857" s="21">
        <v>4601004295629</v>
      </c>
    </row>
    <row r="11858" spans="1:26" ht="12" customHeight="1" outlineLevel="3" x14ac:dyDescent="0.2">
      <c r="A11858" s="14" t="s">
        <v>22523</v>
      </c>
      <c r="B11858" s="26" t="s">
        <v>22524</v>
      </c>
      <c r="C11858" s="52"/>
      <c r="D11858" s="55">
        <f t="shared" si="185"/>
        <v>0</v>
      </c>
      <c r="E11858" s="63" t="str">
        <f>HYPERLINK("https://www.sds-group.ru/product/sosulka-svetodiodnaya-e27-100sm-dvuhstoronnyaya-60x2-led-belyy-ip65-230v-neon-night-256-163/", "Инфо")</f>
        <v>Инфо</v>
      </c>
      <c r="F11858" s="16" t="s">
        <v>39</v>
      </c>
      <c r="G11858" s="15"/>
      <c r="H11858" s="15"/>
      <c r="I11858" s="15"/>
      <c r="J11858" s="16" t="s">
        <v>100</v>
      </c>
      <c r="K11858" s="15"/>
      <c r="L11858" s="17">
        <v>1</v>
      </c>
      <c r="M11858" s="17">
        <v>50</v>
      </c>
      <c r="N11858" s="17">
        <v>1</v>
      </c>
      <c r="O11858" s="18">
        <v>2424.08</v>
      </c>
      <c r="P11858" s="18">
        <v>1986.95</v>
      </c>
      <c r="Q11858" s="18">
        <v>2424.08</v>
      </c>
      <c r="R11858" s="18">
        <v>1986.95</v>
      </c>
      <c r="S11858" s="18">
        <v>1502.93</v>
      </c>
      <c r="T11858" s="18">
        <v>1231.9100000000001</v>
      </c>
      <c r="U11858" s="16"/>
      <c r="V11858" s="16"/>
      <c r="W11858" s="16" t="s">
        <v>40</v>
      </c>
      <c r="X11858" s="19">
        <v>0.23400000000000001</v>
      </c>
      <c r="Y11858" s="20">
        <v>1.423E-3</v>
      </c>
      <c r="Z11858" s="21">
        <v>4601004034945</v>
      </c>
    </row>
    <row r="11859" spans="1:26" ht="12" customHeight="1" outlineLevel="3" x14ac:dyDescent="0.2">
      <c r="A11859" s="32" t="s">
        <v>22525</v>
      </c>
      <c r="B11859" s="74" t="s">
        <v>22526</v>
      </c>
      <c r="C11859" s="50"/>
      <c r="D11859" s="53">
        <f t="shared" si="185"/>
        <v>0</v>
      </c>
      <c r="E11859" s="60" t="str">
        <f>HYPERLINK("https://www.sds-group.ru/product/sosulka-svetodiodnaya-e27-50sm-dvuhstoronnyaya-48x2-led-belyy-ip65-230v-neon-night-256-162/", "Инфо")</f>
        <v>Инфо</v>
      </c>
      <c r="F11859" s="34" t="s">
        <v>39</v>
      </c>
      <c r="G11859" s="33"/>
      <c r="H11859" s="33" t="s">
        <v>40</v>
      </c>
      <c r="I11859" s="33"/>
      <c r="J11859" s="35">
        <v>129</v>
      </c>
      <c r="K11859" s="33"/>
      <c r="L11859" s="35">
        <v>1</v>
      </c>
      <c r="M11859" s="35">
        <v>50</v>
      </c>
      <c r="N11859" s="35">
        <v>1</v>
      </c>
      <c r="O11859" s="36">
        <v>1524.29</v>
      </c>
      <c r="P11859" s="36">
        <v>1249.42</v>
      </c>
      <c r="Q11859" s="36">
        <v>1524.29</v>
      </c>
      <c r="R11859" s="36">
        <v>1249.42</v>
      </c>
      <c r="S11859" s="36">
        <v>945.06</v>
      </c>
      <c r="T11859" s="36">
        <v>774.64</v>
      </c>
      <c r="U11859" s="34"/>
      <c r="V11859" s="34"/>
      <c r="W11859" s="34" t="s">
        <v>40</v>
      </c>
      <c r="X11859" s="37">
        <v>0.113</v>
      </c>
      <c r="Y11859" s="38">
        <v>7.5799999999999999E-4</v>
      </c>
      <c r="Z11859" s="21">
        <v>4601004034938</v>
      </c>
    </row>
    <row r="11860" spans="1:26" ht="12.95" customHeight="1" outlineLevel="2" x14ac:dyDescent="0.2">
      <c r="A11860" s="76" t="s">
        <v>22527</v>
      </c>
      <c r="B11860" s="76"/>
      <c r="C11860" s="77"/>
      <c r="D11860" s="58"/>
      <c r="E11860" s="68"/>
      <c r="F11860" s="13"/>
      <c r="G11860" s="13"/>
      <c r="H11860" s="13"/>
      <c r="I11860" s="13"/>
      <c r="J11860" s="13"/>
      <c r="K11860" s="13"/>
      <c r="L11860" s="13"/>
      <c r="M11860" s="13"/>
      <c r="N11860" s="13"/>
      <c r="O11860" s="13"/>
      <c r="P11860" s="13"/>
      <c r="Q11860" s="13"/>
      <c r="R11860" s="13"/>
      <c r="S11860" s="13"/>
      <c r="T11860" s="13"/>
      <c r="U11860" s="13"/>
      <c r="V11860" s="13"/>
      <c r="W11860" s="13"/>
      <c r="X11860" s="13"/>
      <c r="Y11860" s="13"/>
      <c r="Z11860" s="13"/>
    </row>
    <row r="11861" spans="1:26" ht="12.95" customHeight="1" outlineLevel="3" x14ac:dyDescent="0.2">
      <c r="A11861" s="76" t="s">
        <v>22528</v>
      </c>
      <c r="B11861" s="76"/>
      <c r="C11861" s="77"/>
      <c r="D11861" s="58"/>
      <c r="E11861" s="68"/>
      <c r="F11861" s="13"/>
      <c r="G11861" s="13"/>
      <c r="H11861" s="13"/>
      <c r="I11861" s="13"/>
      <c r="J11861" s="13"/>
      <c r="K11861" s="13"/>
      <c r="L11861" s="13"/>
      <c r="M11861" s="13"/>
      <c r="N11861" s="13"/>
      <c r="O11861" s="13"/>
      <c r="P11861" s="13"/>
      <c r="Q11861" s="13"/>
      <c r="R11861" s="13"/>
      <c r="S11861" s="13"/>
      <c r="T11861" s="13"/>
      <c r="U11861" s="13"/>
      <c r="V11861" s="13"/>
      <c r="W11861" s="13"/>
      <c r="X11861" s="13"/>
      <c r="Y11861" s="13"/>
      <c r="Z11861" s="13"/>
    </row>
    <row r="11862" spans="1:26" ht="12" customHeight="1" outlineLevel="4" x14ac:dyDescent="0.2">
      <c r="A11862" s="14" t="s">
        <v>22529</v>
      </c>
      <c r="B11862" s="26" t="s">
        <v>22530</v>
      </c>
      <c r="C11862" s="52"/>
      <c r="D11862" s="55">
        <f t="shared" si="185"/>
        <v>0</v>
      </c>
      <c r="E11862" s="63" t="str">
        <f>HYPERLINK("https://www.sds-group.ru/product/girlyanda-belt-layt-2-zhily-100m-shag-15sm-667-patronov-e27-ip65-belyy-ploskiy-provod-kauchu-331-251/", "Инфо")</f>
        <v>Инфо</v>
      </c>
      <c r="F11862" s="16" t="s">
        <v>1767</v>
      </c>
      <c r="G11862" s="15"/>
      <c r="H11862" s="15"/>
      <c r="I11862" s="15"/>
      <c r="J11862" s="22">
        <v>1300</v>
      </c>
      <c r="K11862" s="15"/>
      <c r="L11862" s="17">
        <v>100</v>
      </c>
      <c r="M11862" s="17">
        <v>100</v>
      </c>
      <c r="N11862" s="17">
        <v>100</v>
      </c>
      <c r="O11862" s="18">
        <v>1390.65</v>
      </c>
      <c r="P11862" s="18">
        <v>1139.8800000000001</v>
      </c>
      <c r="Q11862" s="18">
        <v>1390.65</v>
      </c>
      <c r="R11862" s="18">
        <v>1139.8800000000001</v>
      </c>
      <c r="S11862" s="18">
        <v>834.39</v>
      </c>
      <c r="T11862" s="18">
        <v>683.93</v>
      </c>
      <c r="U11862" s="16"/>
      <c r="V11862" s="16"/>
      <c r="W11862" s="16" t="s">
        <v>40</v>
      </c>
      <c r="X11862" s="19">
        <v>0.32</v>
      </c>
      <c r="Y11862" s="20">
        <v>1.366E-3</v>
      </c>
      <c r="Z11862" s="21">
        <v>4601004131866</v>
      </c>
    </row>
    <row r="11863" spans="1:26" ht="12" customHeight="1" outlineLevel="4" x14ac:dyDescent="0.2">
      <c r="A11863" s="14" t="s">
        <v>22531</v>
      </c>
      <c r="B11863" s="26" t="s">
        <v>22532</v>
      </c>
      <c r="C11863" s="52"/>
      <c r="D11863" s="55">
        <f t="shared" si="185"/>
        <v>0</v>
      </c>
      <c r="E11863" s="63" t="str">
        <f>HYPERLINK("https://www.sds-group.ru/product/girlyanda-belt-layt-2-zhily-100m-shag-40sm-225-podvesnyh-patronov-e27-ip65-chernyy-kruglyy-p-331-231/", "Инфо")</f>
        <v>Инфо</v>
      </c>
      <c r="F11863" s="16" t="s">
        <v>1767</v>
      </c>
      <c r="G11863" s="15"/>
      <c r="H11863" s="15"/>
      <c r="I11863" s="15"/>
      <c r="J11863" s="16" t="s">
        <v>100</v>
      </c>
      <c r="K11863" s="15"/>
      <c r="L11863" s="17">
        <v>100</v>
      </c>
      <c r="M11863" s="17">
        <v>100</v>
      </c>
      <c r="N11863" s="17">
        <v>100</v>
      </c>
      <c r="O11863" s="18">
        <v>632.28</v>
      </c>
      <c r="P11863" s="18">
        <v>518.26</v>
      </c>
      <c r="Q11863" s="18">
        <v>632.28</v>
      </c>
      <c r="R11863" s="18">
        <v>518.26</v>
      </c>
      <c r="S11863" s="18">
        <v>379.37</v>
      </c>
      <c r="T11863" s="18">
        <v>310.95999999999998</v>
      </c>
      <c r="U11863" s="16"/>
      <c r="V11863" s="16"/>
      <c r="W11863" s="16" t="s">
        <v>40</v>
      </c>
      <c r="X11863" s="19">
        <v>0.22</v>
      </c>
      <c r="Y11863" s="20">
        <v>7.2999999999999996E-4</v>
      </c>
      <c r="Z11863" s="21">
        <v>4601004257658</v>
      </c>
    </row>
    <row r="11864" spans="1:26" ht="12" customHeight="1" outlineLevel="4" x14ac:dyDescent="0.2">
      <c r="A11864" s="14" t="s">
        <v>22533</v>
      </c>
      <c r="B11864" s="26" t="s">
        <v>22534</v>
      </c>
      <c r="C11864" s="52"/>
      <c r="D11864" s="55">
        <f t="shared" si="185"/>
        <v>0</v>
      </c>
      <c r="E11864" s="63" t="str">
        <f>HYPERLINK("https://www.sds-group.ru/product/girlyanda-belt-layt-2-zhily-50m-shag-20sm-250-patronov-e27-ip65-chernyy-kruglyy-provod-pvh-n-331-243/", "Инфо")</f>
        <v>Инфо</v>
      </c>
      <c r="F11864" s="16" t="s">
        <v>1767</v>
      </c>
      <c r="G11864" s="15"/>
      <c r="H11864" s="15"/>
      <c r="I11864" s="15"/>
      <c r="J11864" s="22">
        <v>4850</v>
      </c>
      <c r="K11864" s="15"/>
      <c r="L11864" s="17">
        <v>50</v>
      </c>
      <c r="M11864" s="17">
        <v>50</v>
      </c>
      <c r="N11864" s="17">
        <v>50</v>
      </c>
      <c r="O11864" s="18">
        <v>953.84</v>
      </c>
      <c r="P11864" s="18">
        <v>781.84</v>
      </c>
      <c r="Q11864" s="18">
        <v>953.84</v>
      </c>
      <c r="R11864" s="18">
        <v>781.84</v>
      </c>
      <c r="S11864" s="18">
        <v>572.29999999999995</v>
      </c>
      <c r="T11864" s="18">
        <v>469.1</v>
      </c>
      <c r="U11864" s="16"/>
      <c r="V11864" s="16"/>
      <c r="W11864" s="16" t="s">
        <v>40</v>
      </c>
      <c r="X11864" s="19">
        <v>0.28499999999999998</v>
      </c>
      <c r="Y11864" s="20">
        <v>4.1800000000000002E-4</v>
      </c>
      <c r="Z11864" s="21">
        <v>4601004302686</v>
      </c>
    </row>
    <row r="11865" spans="1:26" ht="12" customHeight="1" outlineLevel="4" x14ac:dyDescent="0.2">
      <c r="A11865" s="14" t="s">
        <v>22535</v>
      </c>
      <c r="B11865" s="26" t="s">
        <v>22536</v>
      </c>
      <c r="C11865" s="52"/>
      <c r="D11865" s="55">
        <f t="shared" si="185"/>
        <v>0</v>
      </c>
      <c r="E11865" s="63" t="str">
        <f>HYPERLINK("https://www.sds-group.ru/product/girlyanda-belt-layt-2-zhily-50m-shag-20sm-250-patronov-e27-ip65-chernyy-ploskiy-provod-kauch-331-211/", "Инфо")</f>
        <v>Инфо</v>
      </c>
      <c r="F11865" s="16" t="s">
        <v>1767</v>
      </c>
      <c r="G11865" s="15"/>
      <c r="H11865" s="15"/>
      <c r="I11865" s="15"/>
      <c r="J11865" s="22">
        <v>5500</v>
      </c>
      <c r="K11865" s="15"/>
      <c r="L11865" s="17">
        <v>50</v>
      </c>
      <c r="M11865" s="17">
        <v>50</v>
      </c>
      <c r="N11865" s="17">
        <v>50</v>
      </c>
      <c r="O11865" s="18">
        <v>1173.97</v>
      </c>
      <c r="P11865" s="18">
        <v>962.27</v>
      </c>
      <c r="Q11865" s="18">
        <v>1173.97</v>
      </c>
      <c r="R11865" s="18">
        <v>962.27</v>
      </c>
      <c r="S11865" s="18">
        <v>704.38</v>
      </c>
      <c r="T11865" s="18">
        <v>577.36</v>
      </c>
      <c r="U11865" s="16"/>
      <c r="V11865" s="16"/>
      <c r="W11865" s="16" t="s">
        <v>40</v>
      </c>
      <c r="X11865" s="19">
        <v>0.28100000000000003</v>
      </c>
      <c r="Y11865" s="20">
        <v>1.2539999999999999E-3</v>
      </c>
      <c r="Z11865" s="21">
        <v>4610003607326</v>
      </c>
    </row>
    <row r="11866" spans="1:26" ht="12" customHeight="1" outlineLevel="4" x14ac:dyDescent="0.2">
      <c r="A11866" s="14" t="s">
        <v>22537</v>
      </c>
      <c r="B11866" s="26" t="s">
        <v>22538</v>
      </c>
      <c r="C11866" s="52"/>
      <c r="D11866" s="55">
        <f t="shared" si="185"/>
        <v>0</v>
      </c>
      <c r="E11866" s="63" t="str">
        <f>HYPERLINK("https://www.sds-group.ru/product/girlyanda-belt-layt-2-zhily-50m-shag-20sm-250-patronov-e27-ip65-chernyy-ploskiy-provod-pvh-p-331-261/", "Инфо")</f>
        <v>Инфо</v>
      </c>
      <c r="F11866" s="16" t="s">
        <v>1767</v>
      </c>
      <c r="G11866" s="15"/>
      <c r="H11866" s="15"/>
      <c r="I11866" s="15"/>
      <c r="J11866" s="16" t="s">
        <v>100</v>
      </c>
      <c r="K11866" s="15" t="s">
        <v>1055</v>
      </c>
      <c r="L11866" s="17">
        <v>50</v>
      </c>
      <c r="M11866" s="17">
        <v>50</v>
      </c>
      <c r="N11866" s="17">
        <v>50</v>
      </c>
      <c r="O11866" s="18">
        <v>753.53</v>
      </c>
      <c r="P11866" s="18">
        <v>617.65</v>
      </c>
      <c r="Q11866" s="18">
        <v>753.53</v>
      </c>
      <c r="R11866" s="18">
        <v>617.65</v>
      </c>
      <c r="S11866" s="18">
        <v>452.12</v>
      </c>
      <c r="T11866" s="18">
        <v>370.59</v>
      </c>
      <c r="U11866" s="16"/>
      <c r="V11866" s="16"/>
      <c r="W11866" s="16" t="s">
        <v>40</v>
      </c>
      <c r="X11866" s="19">
        <v>0.32200000000000001</v>
      </c>
      <c r="Y11866" s="20">
        <v>1.284E-3</v>
      </c>
      <c r="Z11866" s="21">
        <v>4601004337435</v>
      </c>
    </row>
    <row r="11867" spans="1:26" ht="12" customHeight="1" outlineLevel="4" x14ac:dyDescent="0.2">
      <c r="A11867" s="14" t="s">
        <v>22539</v>
      </c>
      <c r="B11867" s="26" t="s">
        <v>22540</v>
      </c>
      <c r="C11867" s="52"/>
      <c r="D11867" s="55">
        <f t="shared" si="185"/>
        <v>0</v>
      </c>
      <c r="E11867" s="63" t="str">
        <f>HYPERLINK("https://www.sds-group.ru/product/girlyanda-belt-layt-2-zhily-50m-shag-20sm-250-patronov-e27-ip65-belyy-ploskiy-provod-kauchuk-331-254/", "Инфо")</f>
        <v>Инфо</v>
      </c>
      <c r="F11867" s="16" t="s">
        <v>1767</v>
      </c>
      <c r="G11867" s="15"/>
      <c r="H11867" s="15"/>
      <c r="I11867" s="15"/>
      <c r="J11867" s="22">
        <v>2100</v>
      </c>
      <c r="K11867" s="15"/>
      <c r="L11867" s="17">
        <v>50</v>
      </c>
      <c r="M11867" s="17">
        <v>50</v>
      </c>
      <c r="N11867" s="17">
        <v>50</v>
      </c>
      <c r="O11867" s="18">
        <v>1173.97</v>
      </c>
      <c r="P11867" s="18">
        <v>962.27</v>
      </c>
      <c r="Q11867" s="18">
        <v>1173.97</v>
      </c>
      <c r="R11867" s="18">
        <v>962.27</v>
      </c>
      <c r="S11867" s="18">
        <v>704.38</v>
      </c>
      <c r="T11867" s="18">
        <v>577.36</v>
      </c>
      <c r="U11867" s="16"/>
      <c r="V11867" s="16"/>
      <c r="W11867" s="16" t="s">
        <v>40</v>
      </c>
      <c r="X11867" s="19">
        <v>0.27900000000000003</v>
      </c>
      <c r="Y11867" s="20">
        <v>1.248E-3</v>
      </c>
      <c r="Z11867" s="21">
        <v>4601004257429</v>
      </c>
    </row>
    <row r="11868" spans="1:26" ht="12" customHeight="1" outlineLevel="4" x14ac:dyDescent="0.2">
      <c r="A11868" s="14" t="s">
        <v>22541</v>
      </c>
      <c r="B11868" s="26" t="s">
        <v>22542</v>
      </c>
      <c r="C11868" s="52"/>
      <c r="D11868" s="55">
        <f t="shared" si="185"/>
        <v>0</v>
      </c>
      <c r="E11868" s="63" t="str">
        <f>HYPERLINK("https://www.sds-group.ru/product/girlyanda-belt-layt-2-zhily-50m-shag-40sm-125-patronov-e27-ip65-belyy-kruglyy-provod-pvh-neo-331-242/", "Инфо")</f>
        <v>Инфо</v>
      </c>
      <c r="F11868" s="16" t="s">
        <v>1767</v>
      </c>
      <c r="G11868" s="15"/>
      <c r="H11868" s="15"/>
      <c r="I11868" s="15"/>
      <c r="J11868" s="16" t="s">
        <v>100</v>
      </c>
      <c r="K11868" s="15"/>
      <c r="L11868" s="17">
        <v>50</v>
      </c>
      <c r="M11868" s="17">
        <v>50</v>
      </c>
      <c r="N11868" s="17">
        <v>50</v>
      </c>
      <c r="O11868" s="18">
        <v>568</v>
      </c>
      <c r="P11868" s="18">
        <v>465.57</v>
      </c>
      <c r="Q11868" s="18">
        <v>568</v>
      </c>
      <c r="R11868" s="18">
        <v>465.57</v>
      </c>
      <c r="S11868" s="18">
        <v>340.8</v>
      </c>
      <c r="T11868" s="18">
        <v>279.33999999999997</v>
      </c>
      <c r="U11868" s="16"/>
      <c r="V11868" s="16"/>
      <c r="W11868" s="16" t="s">
        <v>40</v>
      </c>
      <c r="X11868" s="19">
        <v>0.17699999999999999</v>
      </c>
      <c r="Y11868" s="20">
        <v>4.5000000000000003E-5</v>
      </c>
      <c r="Z11868" s="21">
        <v>4601004302655</v>
      </c>
    </row>
    <row r="11869" spans="1:26" ht="12" customHeight="1" outlineLevel="4" x14ac:dyDescent="0.2">
      <c r="A11869" s="14" t="s">
        <v>22543</v>
      </c>
      <c r="B11869" s="26" t="s">
        <v>22544</v>
      </c>
      <c r="C11869" s="52"/>
      <c r="D11869" s="55">
        <f t="shared" si="185"/>
        <v>0</v>
      </c>
      <c r="E11869" s="63" t="str">
        <f>HYPERLINK("https://www.sds-group.ru/product/girlyanda-belt-layt-2-zhily-50m-shag-40sm-125-patronov-e27-ip65-belyy-ploskiy-provod-kauchuk-331-252/", "Инфо")</f>
        <v>Инфо</v>
      </c>
      <c r="F11869" s="16" t="s">
        <v>1767</v>
      </c>
      <c r="G11869" s="15"/>
      <c r="H11869" s="15"/>
      <c r="I11869" s="15"/>
      <c r="J11869" s="16" t="s">
        <v>100</v>
      </c>
      <c r="K11869" s="15"/>
      <c r="L11869" s="17">
        <v>50</v>
      </c>
      <c r="M11869" s="17">
        <v>50</v>
      </c>
      <c r="N11869" s="17">
        <v>50</v>
      </c>
      <c r="O11869" s="18">
        <v>793.33</v>
      </c>
      <c r="P11869" s="18">
        <v>650.27</v>
      </c>
      <c r="Q11869" s="18">
        <v>793.33</v>
      </c>
      <c r="R11869" s="18">
        <v>650.27</v>
      </c>
      <c r="S11869" s="18">
        <v>476</v>
      </c>
      <c r="T11869" s="18">
        <v>390.16</v>
      </c>
      <c r="U11869" s="16"/>
      <c r="V11869" s="16"/>
      <c r="W11869" s="16" t="s">
        <v>40</v>
      </c>
      <c r="X11869" s="19">
        <v>0.191</v>
      </c>
      <c r="Y11869" s="20">
        <v>7.7700000000000002E-4</v>
      </c>
      <c r="Z11869" s="21">
        <v>4601004339613</v>
      </c>
    </row>
    <row r="11870" spans="1:26" ht="12" customHeight="1" outlineLevel="4" x14ac:dyDescent="0.2">
      <c r="A11870" s="14" t="s">
        <v>22545</v>
      </c>
      <c r="B11870" s="26" t="s">
        <v>22546</v>
      </c>
      <c r="C11870" s="52"/>
      <c r="D11870" s="55">
        <f t="shared" si="185"/>
        <v>0</v>
      </c>
      <c r="E11870" s="63" t="str">
        <f>HYPERLINK("https://www.sds-group.ru/product/girlyanda-belt-layt-2-zhily-50m-shag-40sm-125-patronov-e27-ip65-chernyy-kruglyy-provod-pvh-n-331-241/", "Инфо")</f>
        <v>Инфо</v>
      </c>
      <c r="F11870" s="16" t="s">
        <v>1767</v>
      </c>
      <c r="G11870" s="15"/>
      <c r="H11870" s="15"/>
      <c r="I11870" s="15"/>
      <c r="J11870" s="16" t="s">
        <v>100</v>
      </c>
      <c r="K11870" s="15"/>
      <c r="L11870" s="17">
        <v>50</v>
      </c>
      <c r="M11870" s="17">
        <v>50</v>
      </c>
      <c r="N11870" s="17">
        <v>50</v>
      </c>
      <c r="O11870" s="18">
        <v>568</v>
      </c>
      <c r="P11870" s="18">
        <v>465.57</v>
      </c>
      <c r="Q11870" s="18">
        <v>568</v>
      </c>
      <c r="R11870" s="18">
        <v>465.57</v>
      </c>
      <c r="S11870" s="18">
        <v>340.8</v>
      </c>
      <c r="T11870" s="18">
        <v>279.33999999999997</v>
      </c>
      <c r="U11870" s="16"/>
      <c r="V11870" s="16"/>
      <c r="W11870" s="16" t="s">
        <v>40</v>
      </c>
      <c r="X11870" s="19">
        <v>0.17899999999999999</v>
      </c>
      <c r="Y11870" s="20">
        <v>7.1400000000000001E-4</v>
      </c>
      <c r="Z11870" s="21">
        <v>4601004286856</v>
      </c>
    </row>
    <row r="11871" spans="1:26" ht="12" customHeight="1" outlineLevel="4" x14ac:dyDescent="0.2">
      <c r="A11871" s="14" t="s">
        <v>22547</v>
      </c>
      <c r="B11871" s="26" t="s">
        <v>22548</v>
      </c>
      <c r="C11871" s="52"/>
      <c r="D11871" s="55">
        <f t="shared" si="185"/>
        <v>0</v>
      </c>
      <c r="E11871" s="63" t="str">
        <f>HYPERLINK("https://www.sds-group.ru/product/girlyanda-belt-layt-2-zhily-50m-shag-40sm-125-patronov-e27-ip65-chernyy-ploskiy-provod-kauch-331-212/", "Инфо")</f>
        <v>Инфо</v>
      </c>
      <c r="F11871" s="16" t="s">
        <v>1767</v>
      </c>
      <c r="G11871" s="15"/>
      <c r="H11871" s="15"/>
      <c r="I11871" s="15"/>
      <c r="J11871" s="16" t="s">
        <v>100</v>
      </c>
      <c r="K11871" s="15"/>
      <c r="L11871" s="17">
        <v>50</v>
      </c>
      <c r="M11871" s="17">
        <v>50</v>
      </c>
      <c r="N11871" s="17">
        <v>50</v>
      </c>
      <c r="O11871" s="18">
        <v>793.33</v>
      </c>
      <c r="P11871" s="18">
        <v>650.27</v>
      </c>
      <c r="Q11871" s="18">
        <v>793.33</v>
      </c>
      <c r="R11871" s="18">
        <v>650.27</v>
      </c>
      <c r="S11871" s="18">
        <v>476</v>
      </c>
      <c r="T11871" s="18">
        <v>390.16</v>
      </c>
      <c r="U11871" s="16"/>
      <c r="V11871" s="16"/>
      <c r="W11871" s="16" t="s">
        <v>40</v>
      </c>
      <c r="X11871" s="19">
        <v>0.22</v>
      </c>
      <c r="Y11871" s="20">
        <v>9.1E-4</v>
      </c>
      <c r="Z11871" s="21">
        <v>4610003607333</v>
      </c>
    </row>
    <row r="11872" spans="1:26" ht="12" customHeight="1" outlineLevel="4" x14ac:dyDescent="0.2">
      <c r="A11872" s="14" t="s">
        <v>22549</v>
      </c>
      <c r="B11872" s="26" t="s">
        <v>22550</v>
      </c>
      <c r="C11872" s="52"/>
      <c r="D11872" s="55">
        <f t="shared" si="185"/>
        <v>0</v>
      </c>
      <c r="E11872" s="63" t="str">
        <f>HYPERLINK("https://www.sds-group.ru/product/girlyanda-belt-layt-2-zhily-50m-shag-40sm-125-patronov-e27-ip65-chernyy-ploskiy-provod-pvh-p-331-262/", "Инфо")</f>
        <v>Инфо</v>
      </c>
      <c r="F11872" s="16" t="s">
        <v>1767</v>
      </c>
      <c r="G11872" s="15"/>
      <c r="H11872" s="15"/>
      <c r="I11872" s="15"/>
      <c r="J11872" s="16" t="s">
        <v>100</v>
      </c>
      <c r="K11872" s="15" t="s">
        <v>1055</v>
      </c>
      <c r="L11872" s="17">
        <v>50</v>
      </c>
      <c r="M11872" s="17">
        <v>50</v>
      </c>
      <c r="N11872" s="17">
        <v>50</v>
      </c>
      <c r="O11872" s="18">
        <v>452.77</v>
      </c>
      <c r="P11872" s="18">
        <v>371.12</v>
      </c>
      <c r="Q11872" s="18">
        <v>452.77</v>
      </c>
      <c r="R11872" s="18">
        <v>371.12</v>
      </c>
      <c r="S11872" s="18">
        <v>271.66000000000003</v>
      </c>
      <c r="T11872" s="18">
        <v>222.67</v>
      </c>
      <c r="U11872" s="16"/>
      <c r="V11872" s="16"/>
      <c r="W11872" s="16" t="s">
        <v>40</v>
      </c>
      <c r="X11872" s="19">
        <v>0.21199999999999999</v>
      </c>
      <c r="Y11872" s="20">
        <v>7.6300000000000001E-4</v>
      </c>
      <c r="Z11872" s="21">
        <v>4601004337428</v>
      </c>
    </row>
    <row r="11873" spans="1:26" ht="12" customHeight="1" outlineLevel="4" x14ac:dyDescent="0.2">
      <c r="A11873" s="14" t="s">
        <v>22551</v>
      </c>
      <c r="B11873" s="26" t="s">
        <v>22552</v>
      </c>
      <c r="C11873" s="52"/>
      <c r="D11873" s="55">
        <f t="shared" si="185"/>
        <v>0</v>
      </c>
      <c r="E11873" s="63" t="str">
        <f>HYPERLINK("https://www.sds-group.ru/product/girlyanda-belt-layt-2-zhily-50m-shag-50sm-100-patronov-e27-ip65-chernyy-ploskiy-provod-kauch-331-213/", "Инфо")</f>
        <v>Инфо</v>
      </c>
      <c r="F11873" s="16" t="s">
        <v>1767</v>
      </c>
      <c r="G11873" s="15"/>
      <c r="H11873" s="15"/>
      <c r="I11873" s="15"/>
      <c r="J11873" s="22">
        <v>2800</v>
      </c>
      <c r="K11873" s="15"/>
      <c r="L11873" s="17">
        <v>50</v>
      </c>
      <c r="M11873" s="17">
        <v>50</v>
      </c>
      <c r="N11873" s="17">
        <v>50</v>
      </c>
      <c r="O11873" s="18">
        <v>651.02</v>
      </c>
      <c r="P11873" s="18">
        <v>533.62</v>
      </c>
      <c r="Q11873" s="18">
        <v>455.71</v>
      </c>
      <c r="R11873" s="18">
        <v>373.53</v>
      </c>
      <c r="S11873" s="18">
        <v>390.61</v>
      </c>
      <c r="T11873" s="18">
        <v>320.17</v>
      </c>
      <c r="U11873" s="16"/>
      <c r="V11873" s="16"/>
      <c r="W11873" s="16"/>
      <c r="X11873" s="19">
        <v>0.18</v>
      </c>
      <c r="Y11873" s="20">
        <v>7.0899999999999999E-4</v>
      </c>
      <c r="Z11873" s="21">
        <v>4610003607340</v>
      </c>
    </row>
    <row r="11874" spans="1:26" ht="12" customHeight="1" outlineLevel="4" x14ac:dyDescent="0.2">
      <c r="A11874" s="14" t="s">
        <v>22553</v>
      </c>
      <c r="B11874" s="26" t="s">
        <v>22554</v>
      </c>
      <c r="C11874" s="52"/>
      <c r="D11874" s="55">
        <f t="shared" si="185"/>
        <v>0</v>
      </c>
      <c r="E11874" s="63" t="str">
        <f>HYPERLINK("https://www.sds-group.ru/product/kabel-girlyandy-belt-layt-2-zhily-2h1-5mm-100m-neon-night-331-210/", "Инфо")</f>
        <v>Инфо</v>
      </c>
      <c r="F11874" s="16" t="s">
        <v>39</v>
      </c>
      <c r="G11874" s="15"/>
      <c r="H11874" s="15"/>
      <c r="I11874" s="15"/>
      <c r="J11874" s="16" t="s">
        <v>100</v>
      </c>
      <c r="K11874" s="15"/>
      <c r="L11874" s="17">
        <v>1</v>
      </c>
      <c r="M11874" s="17">
        <v>1</v>
      </c>
      <c r="N11874" s="17">
        <v>1</v>
      </c>
      <c r="O11874" s="18">
        <v>31251.8</v>
      </c>
      <c r="P11874" s="18">
        <v>25616.23</v>
      </c>
      <c r="Q11874" s="18">
        <v>31251.8</v>
      </c>
      <c r="R11874" s="18">
        <v>25616.23</v>
      </c>
      <c r="S11874" s="18">
        <v>18751.080000000002</v>
      </c>
      <c r="T11874" s="18">
        <v>15369.74</v>
      </c>
      <c r="U11874" s="16"/>
      <c r="V11874" s="16"/>
      <c r="W11874" s="16" t="s">
        <v>40</v>
      </c>
      <c r="X11874" s="19">
        <v>14.725</v>
      </c>
      <c r="Y11874" s="20">
        <v>2.0164000000000001E-2</v>
      </c>
      <c r="Z11874" s="21">
        <v>4601004016125</v>
      </c>
    </row>
    <row r="11875" spans="1:26" ht="12" customHeight="1" outlineLevel="4" x14ac:dyDescent="0.2">
      <c r="A11875" s="32" t="s">
        <v>22555</v>
      </c>
      <c r="B11875" s="74" t="s">
        <v>22556</v>
      </c>
      <c r="C11875" s="50"/>
      <c r="D11875" s="53">
        <f t="shared" si="185"/>
        <v>0</v>
      </c>
      <c r="E11875" s="60" t="str">
        <f>HYPERLINK("https://www.sds-group.ru/product/nabor-evro-belt-layt-2-zhily-100m-shag-40sm-225-led-lamp-belyy-45mm-6-led-ploskiy-provod-kau-331-345/", "Инфо")</f>
        <v>Инфо</v>
      </c>
      <c r="F11875" s="34" t="s">
        <v>1767</v>
      </c>
      <c r="G11875" s="33"/>
      <c r="H11875" s="33" t="s">
        <v>40</v>
      </c>
      <c r="I11875" s="33"/>
      <c r="J11875" s="34" t="s">
        <v>100</v>
      </c>
      <c r="K11875" s="33"/>
      <c r="L11875" s="35">
        <v>100</v>
      </c>
      <c r="M11875" s="35">
        <v>100</v>
      </c>
      <c r="N11875" s="35">
        <v>100</v>
      </c>
      <c r="O11875" s="36">
        <v>903.62</v>
      </c>
      <c r="P11875" s="36">
        <v>740.67</v>
      </c>
      <c r="Q11875" s="36">
        <v>632.53</v>
      </c>
      <c r="R11875" s="36">
        <v>518.47</v>
      </c>
      <c r="S11875" s="36">
        <v>542.16999999999996</v>
      </c>
      <c r="T11875" s="36">
        <v>444.4</v>
      </c>
      <c r="U11875" s="34"/>
      <c r="V11875" s="34"/>
      <c r="W11875" s="34"/>
      <c r="X11875" s="37">
        <v>0.19800000000000001</v>
      </c>
      <c r="Y11875" s="38">
        <v>9.2599999999999996E-4</v>
      </c>
      <c r="Z11875" s="21">
        <v>4601004061309</v>
      </c>
    </row>
    <row r="11876" spans="1:26" ht="12.95" customHeight="1" outlineLevel="3" x14ac:dyDescent="0.2">
      <c r="A11876" s="76" t="s">
        <v>22557</v>
      </c>
      <c r="B11876" s="76"/>
      <c r="C11876" s="77"/>
      <c r="D11876" s="58"/>
      <c r="E11876" s="68"/>
      <c r="F11876" s="13"/>
      <c r="G11876" s="13"/>
      <c r="H11876" s="13"/>
      <c r="I11876" s="13"/>
      <c r="J11876" s="13"/>
      <c r="K11876" s="13"/>
      <c r="L11876" s="13"/>
      <c r="M11876" s="13"/>
      <c r="N11876" s="13"/>
      <c r="O11876" s="13"/>
      <c r="P11876" s="13"/>
      <c r="Q11876" s="13"/>
      <c r="R11876" s="13"/>
      <c r="S11876" s="13"/>
      <c r="T11876" s="13"/>
      <c r="U11876" s="13"/>
      <c r="V11876" s="13"/>
      <c r="W11876" s="13"/>
      <c r="X11876" s="13"/>
      <c r="Y11876" s="13"/>
      <c r="Z11876" s="13"/>
    </row>
    <row r="11877" spans="1:26" ht="12" customHeight="1" outlineLevel="4" x14ac:dyDescent="0.2">
      <c r="A11877" s="14" t="s">
        <v>22558</v>
      </c>
      <c r="B11877" s="26" t="s">
        <v>22559</v>
      </c>
      <c r="C11877" s="52"/>
      <c r="D11877" s="55">
        <f t="shared" si="185"/>
        <v>0</v>
      </c>
      <c r="E11877" s="63" t="str">
        <f>HYPERLINK("https://www.sds-group.ru/product/girlyanda-belt-light-5-zhil-100m-shag-15sm-667-patronov-e27-ip65-seryy-provod-neon-night-331-221/", "Инфо")</f>
        <v>Инфо</v>
      </c>
      <c r="F11877" s="16" t="s">
        <v>1767</v>
      </c>
      <c r="G11877" s="15"/>
      <c r="H11877" s="15"/>
      <c r="I11877" s="15"/>
      <c r="J11877" s="17">
        <v>100</v>
      </c>
      <c r="K11877" s="15"/>
      <c r="L11877" s="17">
        <v>100</v>
      </c>
      <c r="M11877" s="17">
        <v>100</v>
      </c>
      <c r="N11877" s="17">
        <v>100</v>
      </c>
      <c r="O11877" s="18">
        <v>1768.76</v>
      </c>
      <c r="P11877" s="18">
        <v>1449.8</v>
      </c>
      <c r="Q11877" s="18">
        <v>1768.76</v>
      </c>
      <c r="R11877" s="18">
        <v>1449.8</v>
      </c>
      <c r="S11877" s="18">
        <v>1061.26</v>
      </c>
      <c r="T11877" s="18">
        <v>869.89</v>
      </c>
      <c r="U11877" s="16"/>
      <c r="V11877" s="16"/>
      <c r="W11877" s="16" t="s">
        <v>40</v>
      </c>
      <c r="X11877" s="19">
        <v>0.41899999999999998</v>
      </c>
      <c r="Y11877" s="20">
        <v>1.8029999999999999E-3</v>
      </c>
      <c r="Z11877" s="21">
        <v>4610003607319</v>
      </c>
    </row>
    <row r="11878" spans="1:26" ht="12.95" customHeight="1" outlineLevel="3" x14ac:dyDescent="0.2">
      <c r="A11878" s="76" t="s">
        <v>22560</v>
      </c>
      <c r="B11878" s="76"/>
      <c r="C11878" s="77"/>
      <c r="D11878" s="58"/>
      <c r="E11878" s="68"/>
      <c r="F11878" s="13"/>
      <c r="G11878" s="13"/>
      <c r="H11878" s="13"/>
      <c r="I11878" s="13"/>
      <c r="J11878" s="13"/>
      <c r="K11878" s="13"/>
      <c r="L11878" s="13"/>
      <c r="M11878" s="13"/>
      <c r="N11878" s="13"/>
      <c r="O11878" s="13"/>
      <c r="P11878" s="13"/>
      <c r="Q11878" s="13"/>
      <c r="R11878" s="13"/>
      <c r="S11878" s="13"/>
      <c r="T11878" s="13"/>
      <c r="U11878" s="13"/>
      <c r="V11878" s="13"/>
      <c r="W11878" s="13"/>
      <c r="X11878" s="13"/>
      <c r="Y11878" s="13"/>
      <c r="Z11878" s="13"/>
    </row>
    <row r="11879" spans="1:26" ht="12" customHeight="1" outlineLevel="4" x14ac:dyDescent="0.2">
      <c r="A11879" s="14" t="s">
        <v>22561</v>
      </c>
      <c r="B11879" s="26" t="s">
        <v>22562</v>
      </c>
      <c r="C11879" s="52"/>
      <c r="D11879" s="55">
        <f t="shared" si="185"/>
        <v>0</v>
      </c>
      <c r="E11879" s="63" t="str">
        <f>HYPERLINK("https://www.sds-group.ru/product/blok-pitaniya-dlya-podklyucheniya-dvuhzhilnoy-girlyandy-belt-light-shnur-pitaniya-1-5m-s-vil-331-003/", "Инфо")</f>
        <v>Инфо</v>
      </c>
      <c r="F11879" s="16" t="s">
        <v>39</v>
      </c>
      <c r="G11879" s="15"/>
      <c r="H11879" s="15"/>
      <c r="I11879" s="15"/>
      <c r="J11879" s="22">
        <v>1226</v>
      </c>
      <c r="K11879" s="15"/>
      <c r="L11879" s="17">
        <v>1</v>
      </c>
      <c r="M11879" s="17">
        <v>50</v>
      </c>
      <c r="N11879" s="17">
        <v>1</v>
      </c>
      <c r="O11879" s="18">
        <v>1071.42</v>
      </c>
      <c r="P11879" s="18">
        <v>878.21</v>
      </c>
      <c r="Q11879" s="18">
        <v>1071.42</v>
      </c>
      <c r="R11879" s="18">
        <v>878.21</v>
      </c>
      <c r="S11879" s="18">
        <v>642.85</v>
      </c>
      <c r="T11879" s="18">
        <v>526.92999999999995</v>
      </c>
      <c r="U11879" s="16"/>
      <c r="V11879" s="16"/>
      <c r="W11879" s="16" t="s">
        <v>40</v>
      </c>
      <c r="X11879" s="19">
        <v>0.27200000000000002</v>
      </c>
      <c r="Y11879" s="20">
        <v>1.0269999999999999E-3</v>
      </c>
      <c r="Z11879" s="21">
        <v>4601004016088</v>
      </c>
    </row>
    <row r="11880" spans="1:26" ht="12" customHeight="1" outlineLevel="4" x14ac:dyDescent="0.2">
      <c r="A11880" s="32" t="s">
        <v>22563</v>
      </c>
      <c r="B11880" s="74" t="s">
        <v>22564</v>
      </c>
      <c r="C11880" s="50"/>
      <c r="D11880" s="53">
        <f t="shared" si="185"/>
        <v>0</v>
      </c>
      <c r="E11880" s="60" t="str">
        <f>HYPERLINK("https://www.sds-group.ru/product/zaglushka-dlya-dvuhzhilnoy-girlyandy-belt-light-10-sht-up-neon-night-331-008/", "Инфо")</f>
        <v>Инфо</v>
      </c>
      <c r="F11880" s="34" t="s">
        <v>39</v>
      </c>
      <c r="G11880" s="33"/>
      <c r="H11880" s="33" t="s">
        <v>40</v>
      </c>
      <c r="I11880" s="33"/>
      <c r="J11880" s="34" t="s">
        <v>100</v>
      </c>
      <c r="K11880" s="33"/>
      <c r="L11880" s="35">
        <v>10</v>
      </c>
      <c r="M11880" s="39">
        <v>1000</v>
      </c>
      <c r="N11880" s="35">
        <v>10</v>
      </c>
      <c r="O11880" s="36">
        <v>115.7</v>
      </c>
      <c r="P11880" s="36">
        <v>94.84</v>
      </c>
      <c r="Q11880" s="36">
        <v>80.989999999999995</v>
      </c>
      <c r="R11880" s="36">
        <v>66.39</v>
      </c>
      <c r="S11880" s="36">
        <v>69.42</v>
      </c>
      <c r="T11880" s="36">
        <v>56.9</v>
      </c>
      <c r="U11880" s="34"/>
      <c r="V11880" s="34"/>
      <c r="W11880" s="34"/>
      <c r="X11880" s="37">
        <v>1.4E-2</v>
      </c>
      <c r="Y11880" s="38">
        <v>6.7000000000000002E-5</v>
      </c>
      <c r="Z11880" s="21">
        <v>4601004016101</v>
      </c>
    </row>
    <row r="11881" spans="1:26" ht="12" customHeight="1" outlineLevel="4" x14ac:dyDescent="0.2">
      <c r="A11881" s="14" t="s">
        <v>22565</v>
      </c>
      <c r="B11881" s="26" t="s">
        <v>22566</v>
      </c>
      <c r="C11881" s="52"/>
      <c r="D11881" s="55">
        <f t="shared" si="185"/>
        <v>0</v>
      </c>
      <c r="E11881" s="63" t="str">
        <f>HYPERLINK("https://www.sds-group.ru/product/kontroller-imlamp4d-ac-3500-dlya-belt-layta-i-svetodiodnyh-lamp-220v-3500vt-4-kanala-h-4-0a--332-116/", "Инфо")</f>
        <v>Инфо</v>
      </c>
      <c r="F11881" s="16" t="s">
        <v>39</v>
      </c>
      <c r="G11881" s="15"/>
      <c r="H11881" s="15"/>
      <c r="I11881" s="15"/>
      <c r="J11881" s="17">
        <v>15</v>
      </c>
      <c r="K11881" s="15"/>
      <c r="L11881" s="17">
        <v>1</v>
      </c>
      <c r="M11881" s="17">
        <v>1</v>
      </c>
      <c r="N11881" s="17">
        <v>1</v>
      </c>
      <c r="O11881" s="18">
        <v>17613.87</v>
      </c>
      <c r="P11881" s="18">
        <v>14437.6</v>
      </c>
      <c r="Q11881" s="18">
        <v>17613.87</v>
      </c>
      <c r="R11881" s="18">
        <v>14437.6</v>
      </c>
      <c r="S11881" s="18">
        <v>11977.43</v>
      </c>
      <c r="T11881" s="18">
        <v>9817.57</v>
      </c>
      <c r="U11881" s="16"/>
      <c r="V11881" s="16"/>
      <c r="W11881" s="16" t="s">
        <v>40</v>
      </c>
      <c r="X11881" s="19">
        <v>0.875</v>
      </c>
      <c r="Y11881" s="20">
        <v>1.817E-3</v>
      </c>
      <c r="Z11881" s="21">
        <v>4601004062375</v>
      </c>
    </row>
    <row r="11882" spans="1:26" ht="12" customHeight="1" outlineLevel="4" x14ac:dyDescent="0.2">
      <c r="A11882" s="32" t="s">
        <v>22567</v>
      </c>
      <c r="B11882" s="74" t="s">
        <v>22568</v>
      </c>
      <c r="C11882" s="50"/>
      <c r="D11882" s="53">
        <f t="shared" si="185"/>
        <v>0</v>
      </c>
      <c r="E11882" s="60" t="str">
        <f>HYPERLINK("https://www.sds-group.ru/product/kontroller-imlamp4d-ac-7000-dlya-belt-layta-i-svetodiodnyh-lamp-220v-7000vt-4-kanala-h-8-0a--332-119/", "Инфо")</f>
        <v>Инфо</v>
      </c>
      <c r="F11882" s="34" t="s">
        <v>39</v>
      </c>
      <c r="G11882" s="33"/>
      <c r="H11882" s="33" t="s">
        <v>40</v>
      </c>
      <c r="I11882" s="33"/>
      <c r="J11882" s="35">
        <v>1</v>
      </c>
      <c r="K11882" s="33"/>
      <c r="L11882" s="35">
        <v>1</v>
      </c>
      <c r="M11882" s="35">
        <v>1</v>
      </c>
      <c r="N11882" s="35">
        <v>1</v>
      </c>
      <c r="O11882" s="36">
        <v>26175.759999999998</v>
      </c>
      <c r="P11882" s="36">
        <v>21455.54</v>
      </c>
      <c r="Q11882" s="36">
        <v>18323.03</v>
      </c>
      <c r="R11882" s="36">
        <v>15018.88</v>
      </c>
      <c r="S11882" s="36">
        <v>17799.52</v>
      </c>
      <c r="T11882" s="36">
        <v>14589.77</v>
      </c>
      <c r="U11882" s="34"/>
      <c r="V11882" s="34"/>
      <c r="W11882" s="34"/>
      <c r="X11882" s="37">
        <v>1.696</v>
      </c>
      <c r="Y11882" s="38">
        <v>3.8579999999999999E-3</v>
      </c>
      <c r="Z11882" s="21">
        <v>4601004125575</v>
      </c>
    </row>
    <row r="11883" spans="1:26" ht="12" customHeight="1" outlineLevel="4" x14ac:dyDescent="0.2">
      <c r="A11883" s="14" t="s">
        <v>22569</v>
      </c>
      <c r="B11883" s="26" t="s">
        <v>22570</v>
      </c>
      <c r="C11883" s="52"/>
      <c r="D11883" s="55">
        <f t="shared" si="185"/>
        <v>0</v>
      </c>
      <c r="E11883" s="63" t="str">
        <f>HYPERLINK("https://www.sds-group.ru/product/patron-e27-dlya-dvuhzhilnoy-girlyandy-belt-light-neon-night-331-001/", "Инфо")</f>
        <v>Инфо</v>
      </c>
      <c r="F11883" s="16" t="s">
        <v>39</v>
      </c>
      <c r="G11883" s="15"/>
      <c r="H11883" s="15"/>
      <c r="I11883" s="15"/>
      <c r="J11883" s="22">
        <v>5752</v>
      </c>
      <c r="K11883" s="15"/>
      <c r="L11883" s="17">
        <v>1</v>
      </c>
      <c r="M11883" s="17">
        <v>500</v>
      </c>
      <c r="N11883" s="17">
        <v>1</v>
      </c>
      <c r="O11883" s="18">
        <v>199.53</v>
      </c>
      <c r="P11883" s="18">
        <v>163.55000000000001</v>
      </c>
      <c r="Q11883" s="18">
        <v>199.53</v>
      </c>
      <c r="R11883" s="18">
        <v>163.55000000000001</v>
      </c>
      <c r="S11883" s="18">
        <v>119.72</v>
      </c>
      <c r="T11883" s="18">
        <v>98.13</v>
      </c>
      <c r="U11883" s="16"/>
      <c r="V11883" s="16"/>
      <c r="W11883" s="16" t="s">
        <v>40</v>
      </c>
      <c r="X11883" s="19">
        <v>4.7E-2</v>
      </c>
      <c r="Y11883" s="20">
        <v>2.05E-4</v>
      </c>
      <c r="Z11883" s="21">
        <v>4601004016071</v>
      </c>
    </row>
    <row r="11884" spans="1:26" ht="12.95" customHeight="1" outlineLevel="2" x14ac:dyDescent="0.2">
      <c r="A11884" s="76" t="s">
        <v>22571</v>
      </c>
      <c r="B11884" s="76"/>
      <c r="C11884" s="77"/>
      <c r="D11884" s="58"/>
      <c r="E11884" s="68"/>
      <c r="F11884" s="13"/>
      <c r="G11884" s="13"/>
      <c r="H11884" s="13"/>
      <c r="I11884" s="13"/>
      <c r="J11884" s="13"/>
      <c r="K11884" s="13"/>
      <c r="L11884" s="13"/>
      <c r="M11884" s="13"/>
      <c r="N11884" s="13"/>
      <c r="O11884" s="13"/>
      <c r="P11884" s="13"/>
      <c r="Q11884" s="13"/>
      <c r="R11884" s="13"/>
      <c r="S11884" s="13"/>
      <c r="T11884" s="13"/>
      <c r="U11884" s="13"/>
      <c r="V11884" s="13"/>
      <c r="W11884" s="13"/>
      <c r="X11884" s="13"/>
      <c r="Y11884" s="13"/>
      <c r="Z11884" s="13"/>
    </row>
    <row r="11885" spans="1:26" ht="12.95" customHeight="1" outlineLevel="3" x14ac:dyDescent="0.2">
      <c r="A11885" s="76" t="s">
        <v>22572</v>
      </c>
      <c r="B11885" s="76"/>
      <c r="C11885" s="77"/>
      <c r="D11885" s="58"/>
      <c r="E11885" s="68"/>
      <c r="F11885" s="13"/>
      <c r="G11885" s="13"/>
      <c r="H11885" s="13"/>
      <c r="I11885" s="13"/>
      <c r="J11885" s="13"/>
      <c r="K11885" s="13"/>
      <c r="L11885" s="13"/>
      <c r="M11885" s="13"/>
      <c r="N11885" s="13"/>
      <c r="O11885" s="13"/>
      <c r="P11885" s="13"/>
      <c r="Q11885" s="13"/>
      <c r="R11885" s="13"/>
      <c r="S11885" s="13"/>
      <c r="T11885" s="13"/>
      <c r="U11885" s="13"/>
      <c r="V11885" s="13"/>
      <c r="W11885" s="13"/>
      <c r="X11885" s="13"/>
      <c r="Y11885" s="13"/>
      <c r="Z11885" s="13"/>
    </row>
    <row r="11886" spans="1:26" ht="12" customHeight="1" outlineLevel="4" x14ac:dyDescent="0.2">
      <c r="A11886" s="32" t="s">
        <v>22573</v>
      </c>
      <c r="B11886" s="74" t="s">
        <v>22574</v>
      </c>
      <c r="C11886" s="50"/>
      <c r="D11886" s="53">
        <f t="shared" si="185"/>
        <v>0</v>
      </c>
      <c r="E11886" s="60" t="str">
        <f>HYPERLINK("https://www.sds-group.ru/product/lampa-nakalivaniya-diametr-45mm-e27-10vt-zheltaya-kolba-230v-neon-night-401-111/", "Инфо")</f>
        <v>Инфо</v>
      </c>
      <c r="F11886" s="34" t="s">
        <v>39</v>
      </c>
      <c r="G11886" s="33"/>
      <c r="H11886" s="33" t="s">
        <v>40</v>
      </c>
      <c r="I11886" s="33"/>
      <c r="J11886" s="34" t="s">
        <v>100</v>
      </c>
      <c r="K11886" s="33"/>
      <c r="L11886" s="35">
        <v>1</v>
      </c>
      <c r="M11886" s="35">
        <v>100</v>
      </c>
      <c r="N11886" s="35">
        <v>1</v>
      </c>
      <c r="O11886" s="36">
        <v>98.36</v>
      </c>
      <c r="P11886" s="36">
        <v>80.62</v>
      </c>
      <c r="Q11886" s="36">
        <v>68.849999999999994</v>
      </c>
      <c r="R11886" s="36">
        <v>56.43</v>
      </c>
      <c r="S11886" s="36">
        <v>60.98</v>
      </c>
      <c r="T11886" s="36">
        <v>49.98</v>
      </c>
      <c r="U11886" s="34"/>
      <c r="V11886" s="34"/>
      <c r="W11886" s="34"/>
      <c r="X11886" s="37">
        <v>2.5999999999999999E-2</v>
      </c>
      <c r="Y11886" s="38">
        <v>1.75E-4</v>
      </c>
      <c r="Z11886" s="21">
        <v>4610003607395</v>
      </c>
    </row>
    <row r="11887" spans="1:26" ht="12.95" customHeight="1" outlineLevel="3" x14ac:dyDescent="0.2">
      <c r="A11887" s="76" t="s">
        <v>22575</v>
      </c>
      <c r="B11887" s="76"/>
      <c r="C11887" s="77"/>
      <c r="D11887" s="58"/>
      <c r="E11887" s="68"/>
      <c r="F11887" s="13"/>
      <c r="G11887" s="13"/>
      <c r="H11887" s="13"/>
      <c r="I11887" s="13"/>
      <c r="J11887" s="13"/>
      <c r="K11887" s="13"/>
      <c r="L11887" s="13"/>
      <c r="M11887" s="13"/>
      <c r="N11887" s="13"/>
      <c r="O11887" s="13"/>
      <c r="P11887" s="13"/>
      <c r="Q11887" s="13"/>
      <c r="R11887" s="13"/>
      <c r="S11887" s="13"/>
      <c r="T11887" s="13"/>
      <c r="U11887" s="13"/>
      <c r="V11887" s="13"/>
      <c r="W11887" s="13"/>
      <c r="X11887" s="13"/>
      <c r="Y11887" s="13"/>
      <c r="Z11887" s="13"/>
    </row>
    <row r="11888" spans="1:26" ht="12" customHeight="1" outlineLevel="4" x14ac:dyDescent="0.2">
      <c r="A11888" s="14" t="s">
        <v>22576</v>
      </c>
      <c r="B11888" s="26" t="s">
        <v>22577</v>
      </c>
      <c r="C11888" s="52"/>
      <c r="D11888" s="55">
        <f t="shared" si="185"/>
        <v>0</v>
      </c>
      <c r="E11888" s="63" t="str">
        <f>HYPERLINK("https://www.sds-group.ru/product/lampa-svetodiodnaya-diametr-45mm-e27-3-led-1vt-rgb-230v-neon-night-405-513/", "Инфо")</f>
        <v>Инфо</v>
      </c>
      <c r="F11888" s="16" t="s">
        <v>39</v>
      </c>
      <c r="G11888" s="15"/>
      <c r="H11888" s="15"/>
      <c r="I11888" s="15"/>
      <c r="J11888" s="22">
        <v>4288</v>
      </c>
      <c r="K11888" s="15"/>
      <c r="L11888" s="17">
        <v>10</v>
      </c>
      <c r="M11888" s="17">
        <v>100</v>
      </c>
      <c r="N11888" s="17">
        <v>10</v>
      </c>
      <c r="O11888" s="18">
        <v>354.56</v>
      </c>
      <c r="P11888" s="18">
        <v>290.62</v>
      </c>
      <c r="Q11888" s="18">
        <v>354.56</v>
      </c>
      <c r="R11888" s="18">
        <v>290.62</v>
      </c>
      <c r="S11888" s="18">
        <v>219.83</v>
      </c>
      <c r="T11888" s="18">
        <v>180.19</v>
      </c>
      <c r="U11888" s="16"/>
      <c r="V11888" s="16"/>
      <c r="W11888" s="16" t="s">
        <v>40</v>
      </c>
      <c r="X11888" s="19">
        <v>2.3E-2</v>
      </c>
      <c r="Y11888" s="20">
        <v>2.1599999999999999E-4</v>
      </c>
      <c r="Z11888" s="21">
        <v>4601004285132</v>
      </c>
    </row>
    <row r="11889" spans="1:26" ht="12" customHeight="1" outlineLevel="4" x14ac:dyDescent="0.2">
      <c r="A11889" s="14" t="s">
        <v>22578</v>
      </c>
      <c r="B11889" s="26" t="s">
        <v>22579</v>
      </c>
      <c r="C11889" s="52"/>
      <c r="D11889" s="55">
        <f t="shared" si="185"/>
        <v>0</v>
      </c>
      <c r="E11889" s="63" t="str">
        <f>HYPERLINK("https://www.sds-group.ru/product/lampa-svetodiodnaya-diametr-45mm-e27-5-led-2vt-belyy-230v-neon-night-405-115/", "Инфо")</f>
        <v>Инфо</v>
      </c>
      <c r="F11889" s="16" t="s">
        <v>39</v>
      </c>
      <c r="G11889" s="15"/>
      <c r="H11889" s="15"/>
      <c r="I11889" s="15"/>
      <c r="J11889" s="22">
        <v>10447</v>
      </c>
      <c r="K11889" s="15"/>
      <c r="L11889" s="17">
        <v>10</v>
      </c>
      <c r="M11889" s="17">
        <v>200</v>
      </c>
      <c r="N11889" s="17">
        <v>10</v>
      </c>
      <c r="O11889" s="18">
        <v>132.81</v>
      </c>
      <c r="P11889" s="18">
        <v>108.86</v>
      </c>
      <c r="Q11889" s="18">
        <v>132.81</v>
      </c>
      <c r="R11889" s="18">
        <v>108.86</v>
      </c>
      <c r="S11889" s="18">
        <v>82.34</v>
      </c>
      <c r="T11889" s="18">
        <v>67.489999999999995</v>
      </c>
      <c r="U11889" s="16"/>
      <c r="V11889" s="16"/>
      <c r="W11889" s="16" t="s">
        <v>40</v>
      </c>
      <c r="X11889" s="19">
        <v>0.02</v>
      </c>
      <c r="Y11889" s="20">
        <v>1.9699999999999999E-4</v>
      </c>
      <c r="Z11889" s="21">
        <v>4610003607494</v>
      </c>
    </row>
    <row r="11890" spans="1:26" ht="12" customHeight="1" outlineLevel="4" x14ac:dyDescent="0.2">
      <c r="A11890" s="14" t="s">
        <v>22580</v>
      </c>
      <c r="B11890" s="26" t="s">
        <v>22581</v>
      </c>
      <c r="C11890" s="52"/>
      <c r="D11890" s="55">
        <f t="shared" si="185"/>
        <v>0</v>
      </c>
      <c r="E11890" s="63" t="str">
        <f>HYPERLINK("https://www.sds-group.ru/product/lampa-svetodiodnaya-diametr-45mm-e27-5-led-2vt-zheltyy-230v-neon-night-405-111/", "Инфо")</f>
        <v>Инфо</v>
      </c>
      <c r="F11890" s="16" t="s">
        <v>39</v>
      </c>
      <c r="G11890" s="15"/>
      <c r="H11890" s="15"/>
      <c r="I11890" s="15"/>
      <c r="J11890" s="22">
        <v>5857</v>
      </c>
      <c r="K11890" s="15"/>
      <c r="L11890" s="17">
        <v>10</v>
      </c>
      <c r="M11890" s="17">
        <v>100</v>
      </c>
      <c r="N11890" s="17">
        <v>10</v>
      </c>
      <c r="O11890" s="18">
        <v>132.81</v>
      </c>
      <c r="P11890" s="18">
        <v>108.86</v>
      </c>
      <c r="Q11890" s="18">
        <v>132.81</v>
      </c>
      <c r="R11890" s="18">
        <v>108.86</v>
      </c>
      <c r="S11890" s="18">
        <v>82.34</v>
      </c>
      <c r="T11890" s="18">
        <v>67.489999999999995</v>
      </c>
      <c r="U11890" s="16"/>
      <c r="V11890" s="16"/>
      <c r="W11890" s="16" t="s">
        <v>40</v>
      </c>
      <c r="X11890" s="19">
        <v>1.6E-2</v>
      </c>
      <c r="Y11890" s="20">
        <v>1.83E-4</v>
      </c>
      <c r="Z11890" s="21">
        <v>4610003607500</v>
      </c>
    </row>
    <row r="11891" spans="1:26" ht="12" customHeight="1" outlineLevel="4" x14ac:dyDescent="0.2">
      <c r="A11891" s="14" t="s">
        <v>22582</v>
      </c>
      <c r="B11891" s="26" t="s">
        <v>22583</v>
      </c>
      <c r="C11891" s="52"/>
      <c r="D11891" s="55">
        <f t="shared" si="185"/>
        <v>0</v>
      </c>
      <c r="E11891" s="63" t="str">
        <f>HYPERLINK("https://www.sds-group.ru/product/lampa-svetodiodnaya-diametr-45mm-e27-5-led-2vt-zelenyy-230v-neon-night-405-114/", "Инфо")</f>
        <v>Инфо</v>
      </c>
      <c r="F11891" s="16" t="s">
        <v>39</v>
      </c>
      <c r="G11891" s="15"/>
      <c r="H11891" s="15"/>
      <c r="I11891" s="15"/>
      <c r="J11891" s="17">
        <v>342</v>
      </c>
      <c r="K11891" s="15"/>
      <c r="L11891" s="17">
        <v>10</v>
      </c>
      <c r="M11891" s="17">
        <v>100</v>
      </c>
      <c r="N11891" s="17">
        <v>10</v>
      </c>
      <c r="O11891" s="18">
        <v>132.81</v>
      </c>
      <c r="P11891" s="18">
        <v>108.86</v>
      </c>
      <c r="Q11891" s="18">
        <v>132.81</v>
      </c>
      <c r="R11891" s="18">
        <v>108.86</v>
      </c>
      <c r="S11891" s="18">
        <v>82.34</v>
      </c>
      <c r="T11891" s="18">
        <v>67.489999999999995</v>
      </c>
      <c r="U11891" s="16"/>
      <c r="V11891" s="16"/>
      <c r="W11891" s="16" t="s">
        <v>40</v>
      </c>
      <c r="X11891" s="19">
        <v>1.4999999999999999E-2</v>
      </c>
      <c r="Y11891" s="20">
        <v>1.8599999999999999E-4</v>
      </c>
      <c r="Z11891" s="21">
        <v>4610003607517</v>
      </c>
    </row>
    <row r="11892" spans="1:26" ht="12" customHeight="1" outlineLevel="4" x14ac:dyDescent="0.2">
      <c r="A11892" s="14" t="s">
        <v>22584</v>
      </c>
      <c r="B11892" s="26" t="s">
        <v>22585</v>
      </c>
      <c r="C11892" s="52"/>
      <c r="D11892" s="55">
        <f t="shared" si="185"/>
        <v>0</v>
      </c>
      <c r="E11892" s="63" t="str">
        <f>HYPERLINK("https://www.sds-group.ru/product/lampa-svetodiodnaya-diametr-45mm-e27-5-led-2vt-krasnyy-230v-neon-night-405-112/", "Инфо")</f>
        <v>Инфо</v>
      </c>
      <c r="F11892" s="16" t="s">
        <v>39</v>
      </c>
      <c r="G11892" s="15"/>
      <c r="H11892" s="15"/>
      <c r="I11892" s="15"/>
      <c r="J11892" s="16" t="s">
        <v>100</v>
      </c>
      <c r="K11892" s="15"/>
      <c r="L11892" s="17">
        <v>10</v>
      </c>
      <c r="M11892" s="17">
        <v>100</v>
      </c>
      <c r="N11892" s="17">
        <v>10</v>
      </c>
      <c r="O11892" s="18">
        <v>132.81</v>
      </c>
      <c r="P11892" s="18">
        <v>108.86</v>
      </c>
      <c r="Q11892" s="18">
        <v>132.81</v>
      </c>
      <c r="R11892" s="18">
        <v>108.86</v>
      </c>
      <c r="S11892" s="18">
        <v>82.34</v>
      </c>
      <c r="T11892" s="18">
        <v>67.489999999999995</v>
      </c>
      <c r="U11892" s="16"/>
      <c r="V11892" s="16"/>
      <c r="W11892" s="16" t="s">
        <v>40</v>
      </c>
      <c r="X11892" s="19">
        <v>1.4999999999999999E-2</v>
      </c>
      <c r="Y11892" s="20">
        <v>1.8100000000000001E-4</v>
      </c>
      <c r="Z11892" s="21">
        <v>4610003607524</v>
      </c>
    </row>
    <row r="11893" spans="1:26" ht="12" customHeight="1" outlineLevel="4" x14ac:dyDescent="0.2">
      <c r="A11893" s="14" t="s">
        <v>22586</v>
      </c>
      <c r="B11893" s="26" t="s">
        <v>22587</v>
      </c>
      <c r="C11893" s="52"/>
      <c r="D11893" s="55">
        <f t="shared" si="185"/>
        <v>0</v>
      </c>
      <c r="E11893" s="63" t="str">
        <f>HYPERLINK("https://www.sds-group.ru/product/lampa-svetodiodnaya-diametr-45mm-e27-5-led-2vt-siniy-230v-neon-night-405-113/", "Инфо")</f>
        <v>Инфо</v>
      </c>
      <c r="F11893" s="16" t="s">
        <v>39</v>
      </c>
      <c r="G11893" s="15"/>
      <c r="H11893" s="15"/>
      <c r="I11893" s="15"/>
      <c r="J11893" s="22">
        <v>2600</v>
      </c>
      <c r="K11893" s="15"/>
      <c r="L11893" s="17">
        <v>10</v>
      </c>
      <c r="M11893" s="17">
        <v>100</v>
      </c>
      <c r="N11893" s="17">
        <v>10</v>
      </c>
      <c r="O11893" s="18">
        <v>132.81</v>
      </c>
      <c r="P11893" s="18">
        <v>108.86</v>
      </c>
      <c r="Q11893" s="18">
        <v>132.81</v>
      </c>
      <c r="R11893" s="18">
        <v>108.86</v>
      </c>
      <c r="S11893" s="18">
        <v>82.34</v>
      </c>
      <c r="T11893" s="18">
        <v>67.489999999999995</v>
      </c>
      <c r="U11893" s="16"/>
      <c r="V11893" s="16"/>
      <c r="W11893" s="16" t="s">
        <v>40</v>
      </c>
      <c r="X11893" s="19">
        <v>1.6E-2</v>
      </c>
      <c r="Y11893" s="20">
        <v>1.8200000000000001E-4</v>
      </c>
      <c r="Z11893" s="21">
        <v>4610003607531</v>
      </c>
    </row>
    <row r="11894" spans="1:26" ht="12" customHeight="1" outlineLevel="4" x14ac:dyDescent="0.2">
      <c r="A11894" s="14" t="s">
        <v>22588</v>
      </c>
      <c r="B11894" s="26" t="s">
        <v>22589</v>
      </c>
      <c r="C11894" s="52"/>
      <c r="D11894" s="55">
        <f t="shared" si="185"/>
        <v>0</v>
      </c>
      <c r="E11894" s="63" t="str">
        <f>HYPERLINK("https://www.sds-group.ru/product/lampa-svetodiodnaya-diametr-45mm-e27-5-led-2vt-teplyy-belyy-230v-neon-night-405-116/", "Инфо")</f>
        <v>Инфо</v>
      </c>
      <c r="F11894" s="16" t="s">
        <v>39</v>
      </c>
      <c r="G11894" s="15"/>
      <c r="H11894" s="15"/>
      <c r="I11894" s="15"/>
      <c r="J11894" s="22">
        <v>61447</v>
      </c>
      <c r="K11894" s="15"/>
      <c r="L11894" s="17">
        <v>10</v>
      </c>
      <c r="M11894" s="17">
        <v>100</v>
      </c>
      <c r="N11894" s="17">
        <v>10</v>
      </c>
      <c r="O11894" s="18">
        <v>132.81</v>
      </c>
      <c r="P11894" s="18">
        <v>108.86</v>
      </c>
      <c r="Q11894" s="18">
        <v>132.81</v>
      </c>
      <c r="R11894" s="18">
        <v>108.86</v>
      </c>
      <c r="S11894" s="18">
        <v>82.34</v>
      </c>
      <c r="T11894" s="18">
        <v>67.489999999999995</v>
      </c>
      <c r="U11894" s="16"/>
      <c r="V11894" s="16"/>
      <c r="W11894" s="16" t="s">
        <v>40</v>
      </c>
      <c r="X11894" s="19">
        <v>0.02</v>
      </c>
      <c r="Y11894" s="20">
        <v>1.9100000000000001E-4</v>
      </c>
      <c r="Z11894" s="21">
        <v>4601004013759</v>
      </c>
    </row>
    <row r="11895" spans="1:26" ht="12.95" customHeight="1" outlineLevel="3" x14ac:dyDescent="0.2">
      <c r="A11895" s="76" t="s">
        <v>22590</v>
      </c>
      <c r="B11895" s="76"/>
      <c r="C11895" s="77"/>
      <c r="D11895" s="58"/>
      <c r="E11895" s="68"/>
      <c r="F11895" s="13"/>
      <c r="G11895" s="13"/>
      <c r="H11895" s="13"/>
      <c r="I11895" s="13"/>
      <c r="J11895" s="13"/>
      <c r="K11895" s="13"/>
      <c r="L11895" s="13"/>
      <c r="M11895" s="13"/>
      <c r="N11895" s="13"/>
      <c r="O11895" s="13"/>
      <c r="P11895" s="13"/>
      <c r="Q11895" s="13"/>
      <c r="R11895" s="13"/>
      <c r="S11895" s="13"/>
      <c r="T11895" s="13"/>
      <c r="U11895" s="13"/>
      <c r="V11895" s="13"/>
      <c r="W11895" s="13"/>
      <c r="X11895" s="13"/>
      <c r="Y11895" s="13"/>
      <c r="Z11895" s="13"/>
    </row>
    <row r="11896" spans="1:26" ht="12" customHeight="1" outlineLevel="4" x14ac:dyDescent="0.2">
      <c r="A11896" s="14" t="s">
        <v>22591</v>
      </c>
      <c r="B11896" s="26" t="s">
        <v>22592</v>
      </c>
      <c r="C11896" s="52"/>
      <c r="D11896" s="55">
        <f t="shared" si="185"/>
        <v>0</v>
      </c>
      <c r="E11896" s="63" t="str">
        <f>HYPERLINK("https://www.sds-group.ru/product/retro-lampa-svetodiodnaya-diametr-45mm-e27-6-led-2vt-teplyy-belyy-prozrachnaya-kolba-230v-ne-405-126/", "Инфо")</f>
        <v>Инфо</v>
      </c>
      <c r="F11896" s="16" t="s">
        <v>39</v>
      </c>
      <c r="G11896" s="15"/>
      <c r="H11896" s="15"/>
      <c r="I11896" s="15"/>
      <c r="J11896" s="22">
        <v>19741</v>
      </c>
      <c r="K11896" s="15"/>
      <c r="L11896" s="17">
        <v>10</v>
      </c>
      <c r="M11896" s="17">
        <v>100</v>
      </c>
      <c r="N11896" s="17">
        <v>10</v>
      </c>
      <c r="O11896" s="18">
        <v>164.7</v>
      </c>
      <c r="P11896" s="18">
        <v>135</v>
      </c>
      <c r="Q11896" s="18">
        <v>164.7</v>
      </c>
      <c r="R11896" s="18">
        <v>135</v>
      </c>
      <c r="S11896" s="18">
        <v>102.11</v>
      </c>
      <c r="T11896" s="18">
        <v>83.7</v>
      </c>
      <c r="U11896" s="16"/>
      <c r="V11896" s="16"/>
      <c r="W11896" s="16" t="s">
        <v>40</v>
      </c>
      <c r="X11896" s="19">
        <v>1.9E-2</v>
      </c>
      <c r="Y11896" s="20">
        <v>1.8699999999999999E-4</v>
      </c>
      <c r="Z11896" s="21">
        <v>4601004013841</v>
      </c>
    </row>
    <row r="11897" spans="1:26" ht="12" customHeight="1" outlineLevel="4" x14ac:dyDescent="0.2">
      <c r="A11897" s="14" t="s">
        <v>22593</v>
      </c>
      <c r="B11897" s="26" t="s">
        <v>22594</v>
      </c>
      <c r="C11897" s="52"/>
      <c r="D11897" s="55">
        <f t="shared" si="185"/>
        <v>0</v>
      </c>
      <c r="E11897" s="63" t="str">
        <f>HYPERLINK("https://www.sds-group.ru/product/retro-lampa-svetodiodnaya-diametr-45mm-e27-6-led-2vt-belyy-prozrachnaya-kolba-230v-neon-nigh-405-125/", "Инфо")</f>
        <v>Инфо</v>
      </c>
      <c r="F11897" s="16" t="s">
        <v>39</v>
      </c>
      <c r="G11897" s="15"/>
      <c r="H11897" s="15"/>
      <c r="I11897" s="15"/>
      <c r="J11897" s="22">
        <v>2000</v>
      </c>
      <c r="K11897" s="15"/>
      <c r="L11897" s="17">
        <v>10</v>
      </c>
      <c r="M11897" s="17">
        <v>100</v>
      </c>
      <c r="N11897" s="17">
        <v>10</v>
      </c>
      <c r="O11897" s="18">
        <v>219.04</v>
      </c>
      <c r="P11897" s="18">
        <v>179.54</v>
      </c>
      <c r="Q11897" s="18">
        <v>219.04</v>
      </c>
      <c r="R11897" s="18">
        <v>179.54</v>
      </c>
      <c r="S11897" s="18">
        <v>135.80000000000001</v>
      </c>
      <c r="T11897" s="18">
        <v>111.31</v>
      </c>
      <c r="U11897" s="16"/>
      <c r="V11897" s="16"/>
      <c r="W11897" s="16" t="s">
        <v>40</v>
      </c>
      <c r="X11897" s="19">
        <v>1.9E-2</v>
      </c>
      <c r="Y11897" s="20">
        <v>1.8200000000000001E-4</v>
      </c>
      <c r="Z11897" s="21">
        <v>4601004013834</v>
      </c>
    </row>
    <row r="11898" spans="1:26" ht="12" customHeight="1" outlineLevel="4" x14ac:dyDescent="0.2">
      <c r="A11898" s="32" t="s">
        <v>22595</v>
      </c>
      <c r="B11898" s="74" t="s">
        <v>22596</v>
      </c>
      <c r="C11898" s="50"/>
      <c r="D11898" s="53">
        <f t="shared" si="185"/>
        <v>0</v>
      </c>
      <c r="E11898" s="60" t="str">
        <f>HYPERLINK("https://www.sds-group.ru/product/retro-lampa-svetodiodnaya-diametr-45mm-e27-6-led-2vt-siniy-prozrachnaya-kolba-230v-neon-nigh-405-123/", "Инфо")</f>
        <v>Инфо</v>
      </c>
      <c r="F11898" s="34" t="s">
        <v>39</v>
      </c>
      <c r="G11898" s="33"/>
      <c r="H11898" s="33" t="s">
        <v>40</v>
      </c>
      <c r="I11898" s="33"/>
      <c r="J11898" s="35">
        <v>31</v>
      </c>
      <c r="K11898" s="33"/>
      <c r="L11898" s="35">
        <v>1</v>
      </c>
      <c r="M11898" s="35">
        <v>100</v>
      </c>
      <c r="N11898" s="35">
        <v>1</v>
      </c>
      <c r="O11898" s="36">
        <v>134.97</v>
      </c>
      <c r="P11898" s="36">
        <v>110.63</v>
      </c>
      <c r="Q11898" s="36">
        <v>94.48</v>
      </c>
      <c r="R11898" s="36">
        <v>77.44</v>
      </c>
      <c r="S11898" s="36">
        <v>83.68</v>
      </c>
      <c r="T11898" s="36">
        <v>68.59</v>
      </c>
      <c r="U11898" s="34"/>
      <c r="V11898" s="34"/>
      <c r="W11898" s="34"/>
      <c r="X11898" s="37">
        <v>2.1999999999999999E-2</v>
      </c>
      <c r="Y11898" s="38">
        <v>1.5899999999999999E-4</v>
      </c>
      <c r="Z11898" s="21">
        <v>4601004013810</v>
      </c>
    </row>
    <row r="11899" spans="1:26" ht="12.95" customHeight="1" outlineLevel="3" x14ac:dyDescent="0.2">
      <c r="A11899" s="76" t="s">
        <v>22597</v>
      </c>
      <c r="B11899" s="76"/>
      <c r="C11899" s="77"/>
      <c r="D11899" s="58"/>
      <c r="E11899" s="68"/>
      <c r="F11899" s="13"/>
      <c r="G11899" s="13"/>
      <c r="H11899" s="13"/>
      <c r="I11899" s="13"/>
      <c r="J11899" s="13"/>
      <c r="K11899" s="13"/>
      <c r="L11899" s="13"/>
      <c r="M11899" s="13"/>
      <c r="N11899" s="13"/>
      <c r="O11899" s="13"/>
      <c r="P11899" s="13"/>
      <c r="Q11899" s="13"/>
      <c r="R11899" s="13"/>
      <c r="S11899" s="13"/>
      <c r="T11899" s="13"/>
      <c r="U11899" s="13"/>
      <c r="V11899" s="13"/>
      <c r="W11899" s="13"/>
      <c r="X11899" s="13"/>
      <c r="Y11899" s="13"/>
      <c r="Z11899" s="13"/>
    </row>
    <row r="11900" spans="1:26" ht="12" customHeight="1" outlineLevel="4" x14ac:dyDescent="0.2">
      <c r="A11900" s="32" t="s">
        <v>22598</v>
      </c>
      <c r="B11900" s="74" t="s">
        <v>22599</v>
      </c>
      <c r="C11900" s="50"/>
      <c r="D11900" s="53">
        <f t="shared" si="185"/>
        <v>0</v>
      </c>
      <c r="E11900" s="60" t="str">
        <f>HYPERLINK("https://www.sds-group.ru/product/lampa-svetodiodnaya-diametr-50mm-e27-9-led-1vt-belyy-prozrachnaya-kolba-230v-neon-night-405-215/", "Инфо")</f>
        <v>Инфо</v>
      </c>
      <c r="F11900" s="34" t="s">
        <v>39</v>
      </c>
      <c r="G11900" s="33"/>
      <c r="H11900" s="33" t="s">
        <v>40</v>
      </c>
      <c r="I11900" s="33"/>
      <c r="J11900" s="39">
        <v>1331</v>
      </c>
      <c r="K11900" s="33"/>
      <c r="L11900" s="35">
        <v>1</v>
      </c>
      <c r="M11900" s="35">
        <v>100</v>
      </c>
      <c r="N11900" s="35">
        <v>1</v>
      </c>
      <c r="O11900" s="36">
        <v>167.18</v>
      </c>
      <c r="P11900" s="36">
        <v>137.03</v>
      </c>
      <c r="Q11900" s="36">
        <v>117.03</v>
      </c>
      <c r="R11900" s="36">
        <v>95.93</v>
      </c>
      <c r="S11900" s="36">
        <v>103.65</v>
      </c>
      <c r="T11900" s="36">
        <v>84.96</v>
      </c>
      <c r="U11900" s="34"/>
      <c r="V11900" s="34"/>
      <c r="W11900" s="34"/>
      <c r="X11900" s="37">
        <v>4.4999999999999998E-2</v>
      </c>
      <c r="Y11900" s="38">
        <v>2.5399999999999999E-4</v>
      </c>
      <c r="Z11900" s="21">
        <v>4610003607555</v>
      </c>
    </row>
    <row r="11901" spans="1:26" ht="12" customHeight="1" outlineLevel="4" x14ac:dyDescent="0.2">
      <c r="A11901" s="32" t="s">
        <v>22600</v>
      </c>
      <c r="B11901" s="74" t="s">
        <v>22601</v>
      </c>
      <c r="C11901" s="50"/>
      <c r="D11901" s="53">
        <f t="shared" si="185"/>
        <v>0</v>
      </c>
      <c r="E11901" s="60" t="str">
        <f>HYPERLINK("https://www.sds-group.ru/product/lampa-svetodiodnaya-diametr-50mm-e27-9-led-1vt-krasnyy-prozrachnaya-kolba-230v-neon-night-405-212/", "Инфо")</f>
        <v>Инфо</v>
      </c>
      <c r="F11901" s="34" t="s">
        <v>39</v>
      </c>
      <c r="G11901" s="33"/>
      <c r="H11901" s="33" t="s">
        <v>40</v>
      </c>
      <c r="I11901" s="33"/>
      <c r="J11901" s="39">
        <v>1311</v>
      </c>
      <c r="K11901" s="33"/>
      <c r="L11901" s="35">
        <v>1</v>
      </c>
      <c r="M11901" s="35">
        <v>100</v>
      </c>
      <c r="N11901" s="35">
        <v>1</v>
      </c>
      <c r="O11901" s="36">
        <v>186.3</v>
      </c>
      <c r="P11901" s="36">
        <v>152.69999999999999</v>
      </c>
      <c r="Q11901" s="36">
        <v>130.41</v>
      </c>
      <c r="R11901" s="36">
        <v>106.89</v>
      </c>
      <c r="S11901" s="36">
        <v>115.51</v>
      </c>
      <c r="T11901" s="36">
        <v>94.68</v>
      </c>
      <c r="U11901" s="34"/>
      <c r="V11901" s="34"/>
      <c r="W11901" s="34"/>
      <c r="X11901" s="37">
        <v>4.4999999999999998E-2</v>
      </c>
      <c r="Y11901" s="38">
        <v>2.6499999999999999E-4</v>
      </c>
      <c r="Z11901" s="21">
        <v>4610003607579</v>
      </c>
    </row>
    <row r="11902" spans="1:26" ht="12" customHeight="1" outlineLevel="4" x14ac:dyDescent="0.2">
      <c r="A11902" s="32" t="s">
        <v>22602</v>
      </c>
      <c r="B11902" s="74" t="s">
        <v>22603</v>
      </c>
      <c r="C11902" s="50"/>
      <c r="D11902" s="53">
        <f t="shared" si="185"/>
        <v>0</v>
      </c>
      <c r="E11902" s="60" t="str">
        <f>HYPERLINK("https://www.sds-group.ru/product/lampa-svetodiodnaya-diametr-50mm-e27-9-led-1vt-teplyy-belyy-prozrachnaya-kolba-230v-neon-nig-405-216/", "Инфо")</f>
        <v>Инфо</v>
      </c>
      <c r="F11902" s="34" t="s">
        <v>39</v>
      </c>
      <c r="G11902" s="33"/>
      <c r="H11902" s="33" t="s">
        <v>40</v>
      </c>
      <c r="I11902" s="33"/>
      <c r="J11902" s="35">
        <v>672</v>
      </c>
      <c r="K11902" s="33"/>
      <c r="L11902" s="35">
        <v>1</v>
      </c>
      <c r="M11902" s="35">
        <v>100</v>
      </c>
      <c r="N11902" s="35">
        <v>1</v>
      </c>
      <c r="O11902" s="36">
        <v>315.38</v>
      </c>
      <c r="P11902" s="36">
        <v>258.51</v>
      </c>
      <c r="Q11902" s="36">
        <v>220.77</v>
      </c>
      <c r="R11902" s="36">
        <v>180.96</v>
      </c>
      <c r="S11902" s="36">
        <v>195.54</v>
      </c>
      <c r="T11902" s="36">
        <v>160.28</v>
      </c>
      <c r="U11902" s="34"/>
      <c r="V11902" s="34"/>
      <c r="W11902" s="34"/>
      <c r="X11902" s="37">
        <v>4.9000000000000002E-2</v>
      </c>
      <c r="Y11902" s="38">
        <v>2.4399999999999999E-4</v>
      </c>
      <c r="Z11902" s="21">
        <v>4601004013766</v>
      </c>
    </row>
    <row r="11903" spans="1:26" ht="12.95" customHeight="1" outlineLevel="3" x14ac:dyDescent="0.2">
      <c r="A11903" s="76" t="s">
        <v>22604</v>
      </c>
      <c r="B11903" s="76"/>
      <c r="C11903" s="77"/>
      <c r="D11903" s="58"/>
      <c r="E11903" s="68"/>
      <c r="F11903" s="13"/>
      <c r="G11903" s="13"/>
      <c r="H11903" s="13"/>
      <c r="I11903" s="13"/>
      <c r="J11903" s="13"/>
      <c r="K11903" s="13"/>
      <c r="L11903" s="13"/>
      <c r="M11903" s="13"/>
      <c r="N11903" s="13"/>
      <c r="O11903" s="13"/>
      <c r="P11903" s="13"/>
      <c r="Q11903" s="13"/>
      <c r="R11903" s="13"/>
      <c r="S11903" s="13"/>
      <c r="T11903" s="13"/>
      <c r="U11903" s="13"/>
      <c r="V11903" s="13"/>
      <c r="W11903" s="13"/>
      <c r="X11903" s="13"/>
      <c r="Y11903" s="13"/>
      <c r="Z11903" s="13"/>
    </row>
    <row r="11904" spans="1:26" ht="12" customHeight="1" outlineLevel="4" x14ac:dyDescent="0.2">
      <c r="A11904" s="14" t="s">
        <v>22605</v>
      </c>
      <c r="B11904" s="26" t="s">
        <v>22606</v>
      </c>
      <c r="C11904" s="52"/>
      <c r="D11904" s="55">
        <f t="shared" si="185"/>
        <v>0</v>
      </c>
      <c r="E11904" s="63" t="str">
        <f>HYPERLINK("https://www.sds-group.ru/product/lampa-svetodiodnaya-diametr-45mm-e27-7led-2vt-belyy-matovaya-kolba-24v-neon-night-405-625/", "Инфо")</f>
        <v>Инфо</v>
      </c>
      <c r="F11904" s="16" t="s">
        <v>39</v>
      </c>
      <c r="G11904" s="15"/>
      <c r="H11904" s="15"/>
      <c r="I11904" s="15"/>
      <c r="J11904" s="22">
        <v>4161</v>
      </c>
      <c r="K11904" s="15"/>
      <c r="L11904" s="17">
        <v>10</v>
      </c>
      <c r="M11904" s="17">
        <v>100</v>
      </c>
      <c r="N11904" s="17">
        <v>10</v>
      </c>
      <c r="O11904" s="18">
        <v>145.79</v>
      </c>
      <c r="P11904" s="18">
        <v>119.5</v>
      </c>
      <c r="Q11904" s="18">
        <v>145.79</v>
      </c>
      <c r="R11904" s="18">
        <v>119.5</v>
      </c>
      <c r="S11904" s="18">
        <v>90.39</v>
      </c>
      <c r="T11904" s="18">
        <v>74.09</v>
      </c>
      <c r="U11904" s="16"/>
      <c r="V11904" s="16"/>
      <c r="W11904" s="16" t="s">
        <v>40</v>
      </c>
      <c r="X11904" s="19">
        <v>1.6E-2</v>
      </c>
      <c r="Y11904" s="20">
        <v>1.8699999999999999E-4</v>
      </c>
      <c r="Z11904" s="21">
        <v>4601004302778</v>
      </c>
    </row>
    <row r="11905" spans="1:26" ht="12" customHeight="1" outlineLevel="4" x14ac:dyDescent="0.2">
      <c r="A11905" s="14" t="s">
        <v>22607</v>
      </c>
      <c r="B11905" s="26" t="s">
        <v>22608</v>
      </c>
      <c r="C11905" s="52"/>
      <c r="D11905" s="55">
        <f t="shared" si="185"/>
        <v>0</v>
      </c>
      <c r="E11905" s="63" t="str">
        <f>HYPERLINK("https://www.sds-group.ru/product/lampa-svetodiodnaya-diametr-45mm-e27-7led-2vt-teplyy-belyy-matovaya-kolba-24v-neon-night-405-626/", "Инфо")</f>
        <v>Инфо</v>
      </c>
      <c r="F11905" s="16" t="s">
        <v>39</v>
      </c>
      <c r="G11905" s="15"/>
      <c r="H11905" s="15"/>
      <c r="I11905" s="15"/>
      <c r="J11905" s="22">
        <v>5320</v>
      </c>
      <c r="K11905" s="15"/>
      <c r="L11905" s="17">
        <v>10</v>
      </c>
      <c r="M11905" s="17">
        <v>100</v>
      </c>
      <c r="N11905" s="17">
        <v>10</v>
      </c>
      <c r="O11905" s="18">
        <v>145.79</v>
      </c>
      <c r="P11905" s="18">
        <v>119.5</v>
      </c>
      <c r="Q11905" s="18">
        <v>145.79</v>
      </c>
      <c r="R11905" s="18">
        <v>119.5</v>
      </c>
      <c r="S11905" s="18">
        <v>90.39</v>
      </c>
      <c r="T11905" s="18">
        <v>74.09</v>
      </c>
      <c r="U11905" s="16"/>
      <c r="V11905" s="16"/>
      <c r="W11905" s="16" t="s">
        <v>40</v>
      </c>
      <c r="X11905" s="19">
        <v>1.7000000000000001E-2</v>
      </c>
      <c r="Y11905" s="20">
        <v>1.84E-4</v>
      </c>
      <c r="Z11905" s="21">
        <v>4601004281325</v>
      </c>
    </row>
    <row r="11906" spans="1:26" ht="12" customHeight="1" outlineLevel="4" x14ac:dyDescent="0.2">
      <c r="A11906" s="32" t="s">
        <v>22609</v>
      </c>
      <c r="B11906" s="74" t="s">
        <v>22610</v>
      </c>
      <c r="C11906" s="50"/>
      <c r="D11906" s="53">
        <f t="shared" si="185"/>
        <v>0</v>
      </c>
      <c r="E11906" s="60" t="str">
        <f>HYPERLINK("https://www.sds-group.ru/product/lampa-svetodiodnaya-diametr-50mm-e27-10-led-1vt-zelenyy-prozrachnaya-kolba-24v-postoyannoe-n-405-614/", "Инфо")</f>
        <v>Инфо</v>
      </c>
      <c r="F11906" s="34" t="s">
        <v>39</v>
      </c>
      <c r="G11906" s="33"/>
      <c r="H11906" s="33" t="s">
        <v>40</v>
      </c>
      <c r="I11906" s="33"/>
      <c r="J11906" s="39">
        <v>1100</v>
      </c>
      <c r="K11906" s="33"/>
      <c r="L11906" s="35">
        <v>1</v>
      </c>
      <c r="M11906" s="35">
        <v>100</v>
      </c>
      <c r="N11906" s="35">
        <v>1</v>
      </c>
      <c r="O11906" s="36">
        <v>92.39</v>
      </c>
      <c r="P11906" s="36">
        <v>75.73</v>
      </c>
      <c r="Q11906" s="36">
        <v>64.67</v>
      </c>
      <c r="R11906" s="36">
        <v>53.01</v>
      </c>
      <c r="S11906" s="36">
        <v>57.28</v>
      </c>
      <c r="T11906" s="36">
        <v>46.95</v>
      </c>
      <c r="U11906" s="34"/>
      <c r="V11906" s="34"/>
      <c r="W11906" s="34"/>
      <c r="X11906" s="37">
        <v>3.7999999999999999E-2</v>
      </c>
      <c r="Y11906" s="38">
        <v>1.65E-4</v>
      </c>
      <c r="Z11906" s="21">
        <v>4610003607456</v>
      </c>
    </row>
    <row r="11907" spans="1:26" ht="12" customHeight="1" outlineLevel="4" x14ac:dyDescent="0.2">
      <c r="A11907" s="32" t="s">
        <v>22611</v>
      </c>
      <c r="B11907" s="74" t="s">
        <v>22612</v>
      </c>
      <c r="C11907" s="50"/>
      <c r="D11907" s="53">
        <f t="shared" si="185"/>
        <v>0</v>
      </c>
      <c r="E11907" s="60" t="str">
        <f>HYPERLINK("https://www.sds-group.ru/product/lampa-shar-e27-10-led-50mm-krasnaya-24v-postoyannoe-napryazhenie-405-612/", "Инфо")</f>
        <v>Инфо</v>
      </c>
      <c r="F11907" s="34" t="s">
        <v>39</v>
      </c>
      <c r="G11907" s="33"/>
      <c r="H11907" s="33" t="s">
        <v>40</v>
      </c>
      <c r="I11907" s="33"/>
      <c r="J11907" s="35">
        <v>1</v>
      </c>
      <c r="K11907" s="33"/>
      <c r="L11907" s="35">
        <v>1</v>
      </c>
      <c r="M11907" s="35">
        <v>100</v>
      </c>
      <c r="N11907" s="35">
        <v>1</v>
      </c>
      <c r="O11907" s="36">
        <v>178.26</v>
      </c>
      <c r="P11907" s="36">
        <v>146.11000000000001</v>
      </c>
      <c r="Q11907" s="36">
        <v>124.78</v>
      </c>
      <c r="R11907" s="36">
        <v>102.28</v>
      </c>
      <c r="S11907" s="36">
        <v>110.52</v>
      </c>
      <c r="T11907" s="36">
        <v>90.59</v>
      </c>
      <c r="U11907" s="34"/>
      <c r="V11907" s="34"/>
      <c r="W11907" s="34"/>
      <c r="X11907" s="37">
        <v>4.1000000000000002E-2</v>
      </c>
      <c r="Y11907" s="38">
        <v>1.6200000000000001E-4</v>
      </c>
      <c r="Z11907" s="21">
        <v>4610003607463</v>
      </c>
    </row>
    <row r="11908" spans="1:26" ht="12.95" customHeight="1" outlineLevel="3" x14ac:dyDescent="0.2">
      <c r="A11908" s="76" t="s">
        <v>22613</v>
      </c>
      <c r="B11908" s="76"/>
      <c r="C11908" s="77"/>
      <c r="D11908" s="58"/>
      <c r="E11908" s="68"/>
      <c r="F11908" s="13"/>
      <c r="G11908" s="13"/>
      <c r="H11908" s="13"/>
      <c r="I11908" s="13"/>
      <c r="J11908" s="13"/>
      <c r="K11908" s="13"/>
      <c r="L11908" s="13"/>
      <c r="M11908" s="13"/>
      <c r="N11908" s="13"/>
      <c r="O11908" s="13"/>
      <c r="P11908" s="13"/>
      <c r="Q11908" s="13"/>
      <c r="R11908" s="13"/>
      <c r="S11908" s="13"/>
      <c r="T11908" s="13"/>
      <c r="U11908" s="13"/>
      <c r="V11908" s="13"/>
      <c r="W11908" s="13"/>
      <c r="X11908" s="13"/>
      <c r="Y11908" s="13"/>
      <c r="Z11908" s="13"/>
    </row>
    <row r="11909" spans="1:26" ht="12" customHeight="1" outlineLevel="4" x14ac:dyDescent="0.2">
      <c r="A11909" s="32" t="s">
        <v>22614</v>
      </c>
      <c r="B11909" s="74" t="s">
        <v>22615</v>
      </c>
      <c r="C11909" s="50"/>
      <c r="D11909" s="53">
        <f t="shared" si="185"/>
        <v>0</v>
      </c>
      <c r="E11909" s="60" t="str">
        <f>HYPERLINK("https://www.sds-group.ru/product/lampa-shar-svetodiodnaya-diametr-100mm-e27-12-led-2vt-krasnyy-matovaya-kolba-230v-neon-night-405-132/", "Инфо")</f>
        <v>Инфо</v>
      </c>
      <c r="F11909" s="34" t="s">
        <v>39</v>
      </c>
      <c r="G11909" s="33"/>
      <c r="H11909" s="33" t="s">
        <v>40</v>
      </c>
      <c r="I11909" s="33"/>
      <c r="J11909" s="35">
        <v>174</v>
      </c>
      <c r="K11909" s="33"/>
      <c r="L11909" s="35">
        <v>1</v>
      </c>
      <c r="M11909" s="35">
        <v>100</v>
      </c>
      <c r="N11909" s="35">
        <v>1</v>
      </c>
      <c r="O11909" s="36">
        <v>300.81</v>
      </c>
      <c r="P11909" s="36">
        <v>246.57</v>
      </c>
      <c r="Q11909" s="36">
        <v>210.57</v>
      </c>
      <c r="R11909" s="36">
        <v>172.6</v>
      </c>
      <c r="S11909" s="36">
        <v>186.5</v>
      </c>
      <c r="T11909" s="36">
        <v>152.87</v>
      </c>
      <c r="U11909" s="34"/>
      <c r="V11909" s="34"/>
      <c r="W11909" s="34"/>
      <c r="X11909" s="37">
        <v>9.8000000000000004E-2</v>
      </c>
      <c r="Y11909" s="38">
        <v>1.4599999999999999E-3</v>
      </c>
      <c r="Z11909" s="21">
        <v>4601004034020</v>
      </c>
    </row>
    <row r="11910" spans="1:26" ht="12" customHeight="1" outlineLevel="4" x14ac:dyDescent="0.2">
      <c r="A11910" s="32" t="s">
        <v>22616</v>
      </c>
      <c r="B11910" s="74" t="s">
        <v>22617</v>
      </c>
      <c r="C11910" s="50"/>
      <c r="D11910" s="53">
        <f t="shared" si="185"/>
        <v>0</v>
      </c>
      <c r="E11910" s="60" t="str">
        <f>HYPERLINK("https://www.sds-group.ru/product/lampa-shar-svetodiodnaya-diametr-100mm-e27-12-led-2vt-siniy-matovaya-kolba-230v-neon-night-405-133/", "Инфо")</f>
        <v>Инфо</v>
      </c>
      <c r="F11910" s="34" t="s">
        <v>39</v>
      </c>
      <c r="G11910" s="33"/>
      <c r="H11910" s="33" t="s">
        <v>40</v>
      </c>
      <c r="I11910" s="33"/>
      <c r="J11910" s="35">
        <v>188</v>
      </c>
      <c r="K11910" s="33"/>
      <c r="L11910" s="35">
        <v>1</v>
      </c>
      <c r="M11910" s="35">
        <v>100</v>
      </c>
      <c r="N11910" s="35">
        <v>1</v>
      </c>
      <c r="O11910" s="36">
        <v>284.99</v>
      </c>
      <c r="P11910" s="36">
        <v>233.6</v>
      </c>
      <c r="Q11910" s="36">
        <v>199.49</v>
      </c>
      <c r="R11910" s="36">
        <v>163.52000000000001</v>
      </c>
      <c r="S11910" s="36">
        <v>176.69</v>
      </c>
      <c r="T11910" s="36">
        <v>144.83000000000001</v>
      </c>
      <c r="U11910" s="34"/>
      <c r="V11910" s="34"/>
      <c r="W11910" s="34"/>
      <c r="X11910" s="37">
        <v>0.114</v>
      </c>
      <c r="Y11910" s="38">
        <v>1.536E-3</v>
      </c>
      <c r="Z11910" s="21">
        <v>4601004034044</v>
      </c>
    </row>
    <row r="11911" spans="1:26" ht="12.95" customHeight="1" outlineLevel="3" x14ac:dyDescent="0.2">
      <c r="A11911" s="76" t="s">
        <v>22618</v>
      </c>
      <c r="B11911" s="76"/>
      <c r="C11911" s="77"/>
      <c r="D11911" s="58"/>
      <c r="E11911" s="68"/>
      <c r="F11911" s="13"/>
      <c r="G11911" s="13"/>
      <c r="H11911" s="13"/>
      <c r="I11911" s="13"/>
      <c r="J11911" s="13"/>
      <c r="K11911" s="13"/>
      <c r="L11911" s="13"/>
      <c r="M11911" s="13"/>
      <c r="N11911" s="13"/>
      <c r="O11911" s="13"/>
      <c r="P11911" s="13"/>
      <c r="Q11911" s="13"/>
      <c r="R11911" s="13"/>
      <c r="S11911" s="13"/>
      <c r="T11911" s="13"/>
      <c r="U11911" s="13"/>
      <c r="V11911" s="13"/>
      <c r="W11911" s="13"/>
      <c r="X11911" s="13"/>
      <c r="Y11911" s="13"/>
      <c r="Z11911" s="13"/>
    </row>
    <row r="11912" spans="1:26" ht="12" customHeight="1" outlineLevel="4" x14ac:dyDescent="0.2">
      <c r="A11912" s="32" t="s">
        <v>22619</v>
      </c>
      <c r="B11912" s="74" t="s">
        <v>22620</v>
      </c>
      <c r="C11912" s="50"/>
      <c r="D11912" s="53">
        <f t="shared" si="185"/>
        <v>0</v>
      </c>
      <c r="E11912" s="60" t="str">
        <f>HYPERLINK("https://www.sds-group.ru/product/led-lampa-strob-vmeste-s-patronom-dlya-belt-layta-50mm-belaya-405-155/", "Инфо")</f>
        <v>Инфо</v>
      </c>
      <c r="F11912" s="34" t="s">
        <v>39</v>
      </c>
      <c r="G11912" s="33"/>
      <c r="H11912" s="33" t="s">
        <v>40</v>
      </c>
      <c r="I11912" s="33"/>
      <c r="J11912" s="35">
        <v>1</v>
      </c>
      <c r="K11912" s="33"/>
      <c r="L11912" s="35">
        <v>1</v>
      </c>
      <c r="M11912" s="35">
        <v>100</v>
      </c>
      <c r="N11912" s="35">
        <v>1</v>
      </c>
      <c r="O11912" s="36">
        <v>338.71</v>
      </c>
      <c r="P11912" s="36">
        <v>277.63</v>
      </c>
      <c r="Q11912" s="36">
        <v>237.1</v>
      </c>
      <c r="R11912" s="36">
        <v>194.34</v>
      </c>
      <c r="S11912" s="36">
        <v>210</v>
      </c>
      <c r="T11912" s="36">
        <v>172.13</v>
      </c>
      <c r="U11912" s="34"/>
      <c r="V11912" s="34"/>
      <c r="W11912" s="34"/>
      <c r="X11912" s="37">
        <v>6.0999999999999999E-2</v>
      </c>
      <c r="Y11912" s="38">
        <v>2.9E-4</v>
      </c>
      <c r="Z11912" s="21">
        <v>4601004061293</v>
      </c>
    </row>
    <row r="11913" spans="1:26" ht="12" customHeight="1" outlineLevel="4" x14ac:dyDescent="0.2">
      <c r="A11913" s="32" t="s">
        <v>22621</v>
      </c>
      <c r="B11913" s="74" t="s">
        <v>22622</v>
      </c>
      <c r="C11913" s="50"/>
      <c r="D11913" s="53">
        <f t="shared" ref="D11913:D11975" si="186">C11913*(O11913-O11913*$G$3)</f>
        <v>0</v>
      </c>
      <c r="E11913" s="60" t="str">
        <f>HYPERLINK("https://www.sds-group.ru/product/lampa-shar-svetodiodnaya-s-patronom-dlya-kabelya-belt-layt-diametr-45mm-6-led-1vt-zelenyy-ze-405-144/", "Инфо")</f>
        <v>Инфо</v>
      </c>
      <c r="F11913" s="34" t="s">
        <v>39</v>
      </c>
      <c r="G11913" s="33"/>
      <c r="H11913" s="33" t="s">
        <v>40</v>
      </c>
      <c r="I11913" s="33"/>
      <c r="J11913" s="35">
        <v>137</v>
      </c>
      <c r="K11913" s="33"/>
      <c r="L11913" s="35">
        <v>1</v>
      </c>
      <c r="M11913" s="35">
        <v>100</v>
      </c>
      <c r="N11913" s="35">
        <v>1</v>
      </c>
      <c r="O11913" s="36">
        <v>230.95</v>
      </c>
      <c r="P11913" s="36">
        <v>189.3</v>
      </c>
      <c r="Q11913" s="36">
        <v>161.66999999999999</v>
      </c>
      <c r="R11913" s="36">
        <v>132.52000000000001</v>
      </c>
      <c r="S11913" s="36">
        <v>143.19</v>
      </c>
      <c r="T11913" s="36">
        <v>117.37</v>
      </c>
      <c r="U11913" s="34"/>
      <c r="V11913" s="34"/>
      <c r="W11913" s="34"/>
      <c r="X11913" s="37">
        <v>3.1E-2</v>
      </c>
      <c r="Y11913" s="38">
        <v>1.76E-4</v>
      </c>
      <c r="Z11913" s="21">
        <v>4601004090194</v>
      </c>
    </row>
    <row r="11914" spans="1:26" ht="12" customHeight="1" outlineLevel="4" x14ac:dyDescent="0.2">
      <c r="A11914" s="32" t="s">
        <v>22623</v>
      </c>
      <c r="B11914" s="74" t="s">
        <v>22624</v>
      </c>
      <c r="C11914" s="50"/>
      <c r="D11914" s="53">
        <f t="shared" si="186"/>
        <v>0</v>
      </c>
      <c r="E11914" s="60" t="str">
        <f>HYPERLINK("https://www.sds-group.ru/product/lampa-shar-svetodiodnaya-s-patronom-dlya-kabelya-belt-layt-diametr-45mm-6-led-1vt-siniy-siny-405-143/", "Инфо")</f>
        <v>Инфо</v>
      </c>
      <c r="F11914" s="34" t="s">
        <v>39</v>
      </c>
      <c r="G11914" s="33"/>
      <c r="H11914" s="33" t="s">
        <v>40</v>
      </c>
      <c r="I11914" s="33"/>
      <c r="J11914" s="35">
        <v>1</v>
      </c>
      <c r="K11914" s="33"/>
      <c r="L11914" s="35">
        <v>1</v>
      </c>
      <c r="M11914" s="35">
        <v>100</v>
      </c>
      <c r="N11914" s="35">
        <v>1</v>
      </c>
      <c r="O11914" s="36">
        <v>187.08</v>
      </c>
      <c r="P11914" s="36">
        <v>153.34</v>
      </c>
      <c r="Q11914" s="36">
        <v>130.96</v>
      </c>
      <c r="R11914" s="36">
        <v>107.34</v>
      </c>
      <c r="S11914" s="36">
        <v>115.99</v>
      </c>
      <c r="T11914" s="36">
        <v>95.07</v>
      </c>
      <c r="U11914" s="34"/>
      <c r="V11914" s="34"/>
      <c r="W11914" s="34"/>
      <c r="X11914" s="37">
        <v>3.1E-2</v>
      </c>
      <c r="Y11914" s="38">
        <v>1.85E-4</v>
      </c>
      <c r="Z11914" s="21">
        <v>4601004090187</v>
      </c>
    </row>
    <row r="11915" spans="1:26" ht="12.95" customHeight="1" outlineLevel="3" x14ac:dyDescent="0.2">
      <c r="A11915" s="76" t="s">
        <v>22625</v>
      </c>
      <c r="B11915" s="76"/>
      <c r="C11915" s="77"/>
      <c r="D11915" s="58"/>
      <c r="E11915" s="68"/>
      <c r="F11915" s="13"/>
      <c r="G11915" s="13"/>
      <c r="H11915" s="13"/>
      <c r="I11915" s="13"/>
      <c r="J11915" s="13"/>
      <c r="K11915" s="13"/>
      <c r="L11915" s="13"/>
      <c r="M11915" s="13"/>
      <c r="N11915" s="13"/>
      <c r="O11915" s="13"/>
      <c r="P11915" s="13"/>
      <c r="Q11915" s="13"/>
      <c r="R11915" s="13"/>
      <c r="S11915" s="13"/>
      <c r="T11915" s="13"/>
      <c r="U11915" s="13"/>
      <c r="V11915" s="13"/>
      <c r="W11915" s="13"/>
      <c r="X11915" s="13"/>
      <c r="Y11915" s="13"/>
      <c r="Z11915" s="13"/>
    </row>
    <row r="11916" spans="1:26" ht="12" customHeight="1" outlineLevel="4" x14ac:dyDescent="0.2">
      <c r="A11916" s="40" t="s">
        <v>22626</v>
      </c>
      <c r="B11916" s="75" t="s">
        <v>22627</v>
      </c>
      <c r="C11916" s="51"/>
      <c r="D11916" s="54">
        <f t="shared" si="186"/>
        <v>0</v>
      </c>
      <c r="E11916" s="62"/>
      <c r="F11916" s="42" t="s">
        <v>39</v>
      </c>
      <c r="G11916" s="41" t="s">
        <v>40</v>
      </c>
      <c r="H11916" s="41"/>
      <c r="I11916" s="41"/>
      <c r="J11916" s="47">
        <v>5000</v>
      </c>
      <c r="K11916" s="41"/>
      <c r="L11916" s="43">
        <v>1</v>
      </c>
      <c r="M11916" s="43">
        <v>100</v>
      </c>
      <c r="N11916" s="43">
        <v>1</v>
      </c>
      <c r="O11916" s="44">
        <v>210.42</v>
      </c>
      <c r="P11916" s="44">
        <v>172.48</v>
      </c>
      <c r="Q11916" s="44">
        <v>210.42</v>
      </c>
      <c r="R11916" s="44">
        <v>172.48</v>
      </c>
      <c r="S11916" s="44">
        <v>130.46</v>
      </c>
      <c r="T11916" s="44">
        <v>106.93</v>
      </c>
      <c r="U11916" s="42"/>
      <c r="V11916" s="42"/>
      <c r="W11916" s="42" t="s">
        <v>40</v>
      </c>
      <c r="X11916" s="45">
        <v>0.02</v>
      </c>
      <c r="Y11916" s="46">
        <v>1.83E-4</v>
      </c>
      <c r="Z11916" s="21">
        <v>4601004352377</v>
      </c>
    </row>
    <row r="11917" spans="1:26" ht="12" customHeight="1" outlineLevel="4" x14ac:dyDescent="0.2">
      <c r="A11917" s="14" t="s">
        <v>22628</v>
      </c>
      <c r="B11917" s="26" t="s">
        <v>22629</v>
      </c>
      <c r="C11917" s="52"/>
      <c r="D11917" s="55">
        <f t="shared" si="186"/>
        <v>0</v>
      </c>
      <c r="E11917" s="63" t="str">
        <f>HYPERLINK("https://www.sds-group.ru/product/retro-lampa-filamentnaya-g45-e27-2-led-2vt-teplyy-belyy-230v-ip65-neon-night-601-802/", "Инфо")</f>
        <v>Инфо</v>
      </c>
      <c r="F11917" s="16" t="s">
        <v>39</v>
      </c>
      <c r="G11917" s="15"/>
      <c r="H11917" s="15"/>
      <c r="I11917" s="15"/>
      <c r="J11917" s="22">
        <v>21701</v>
      </c>
      <c r="K11917" s="15"/>
      <c r="L11917" s="17">
        <v>10</v>
      </c>
      <c r="M11917" s="17">
        <v>100</v>
      </c>
      <c r="N11917" s="17">
        <v>10</v>
      </c>
      <c r="O11917" s="18">
        <v>210.42</v>
      </c>
      <c r="P11917" s="18">
        <v>172.48</v>
      </c>
      <c r="Q11917" s="18">
        <v>210.42</v>
      </c>
      <c r="R11917" s="18">
        <v>172.48</v>
      </c>
      <c r="S11917" s="18">
        <v>130.46</v>
      </c>
      <c r="T11917" s="18">
        <v>106.93</v>
      </c>
      <c r="U11917" s="16"/>
      <c r="V11917" s="16"/>
      <c r="W11917" s="16" t="s">
        <v>40</v>
      </c>
      <c r="X11917" s="19">
        <v>0.02</v>
      </c>
      <c r="Y11917" s="20">
        <v>1.8900000000000001E-4</v>
      </c>
      <c r="Z11917" s="21">
        <v>4601004233355</v>
      </c>
    </row>
    <row r="11918" spans="1:26" ht="12" customHeight="1" outlineLevel="4" x14ac:dyDescent="0.2">
      <c r="A11918" s="14" t="s">
        <v>22630</v>
      </c>
      <c r="B11918" s="26" t="s">
        <v>22631</v>
      </c>
      <c r="C11918" s="52"/>
      <c r="D11918" s="55">
        <f t="shared" si="186"/>
        <v>0</v>
      </c>
      <c r="E11918" s="63" t="str">
        <f>HYPERLINK("https://www.sds-group.ru/product/retro-lampa-filamentnaya-st45-e27-2-led-2vt-teplyy-belyy-230v-ip65-neon-night-601-801/", "Инфо")</f>
        <v>Инфо</v>
      </c>
      <c r="F11918" s="16" t="s">
        <v>39</v>
      </c>
      <c r="G11918" s="15"/>
      <c r="H11918" s="15"/>
      <c r="I11918" s="15"/>
      <c r="J11918" s="16" t="s">
        <v>100</v>
      </c>
      <c r="K11918" s="15"/>
      <c r="L11918" s="17">
        <v>10</v>
      </c>
      <c r="M11918" s="17">
        <v>100</v>
      </c>
      <c r="N11918" s="17">
        <v>10</v>
      </c>
      <c r="O11918" s="18">
        <v>210.42</v>
      </c>
      <c r="P11918" s="18">
        <v>172.48</v>
      </c>
      <c r="Q11918" s="18">
        <v>210.42</v>
      </c>
      <c r="R11918" s="18">
        <v>172.48</v>
      </c>
      <c r="S11918" s="18">
        <v>130.46</v>
      </c>
      <c r="T11918" s="18">
        <v>106.93</v>
      </c>
      <c r="U11918" s="16"/>
      <c r="V11918" s="16"/>
      <c r="W11918" s="16" t="s">
        <v>40</v>
      </c>
      <c r="X11918" s="19">
        <v>2.3E-2</v>
      </c>
      <c r="Y11918" s="20">
        <v>2.3000000000000001E-4</v>
      </c>
      <c r="Z11918" s="21">
        <v>4601004095410</v>
      </c>
    </row>
    <row r="11919" spans="1:26" ht="12.95" customHeight="1" outlineLevel="3" x14ac:dyDescent="0.2">
      <c r="A11919" s="76" t="s">
        <v>22632</v>
      </c>
      <c r="B11919" s="76"/>
      <c r="C11919" s="77"/>
      <c r="D11919" s="58"/>
      <c r="E11919" s="68"/>
      <c r="F11919" s="13"/>
      <c r="G11919" s="13"/>
      <c r="H11919" s="13"/>
      <c r="I11919" s="13"/>
      <c r="J11919" s="13"/>
      <c r="K11919" s="13"/>
      <c r="L11919" s="13"/>
      <c r="M11919" s="13"/>
      <c r="N11919" s="13"/>
      <c r="O11919" s="13"/>
      <c r="P11919" s="13"/>
      <c r="Q11919" s="13"/>
      <c r="R11919" s="13"/>
      <c r="S11919" s="13"/>
      <c r="T11919" s="13"/>
      <c r="U11919" s="13"/>
      <c r="V11919" s="13"/>
      <c r="W11919" s="13"/>
      <c r="X11919" s="13"/>
      <c r="Y11919" s="13"/>
      <c r="Z11919" s="13"/>
    </row>
    <row r="11920" spans="1:26" ht="12" customHeight="1" outlineLevel="4" x14ac:dyDescent="0.2">
      <c r="A11920" s="14" t="s">
        <v>22633</v>
      </c>
      <c r="B11920" s="26" t="s">
        <v>22634</v>
      </c>
      <c r="C11920" s="52"/>
      <c r="D11920" s="55">
        <f t="shared" si="186"/>
        <v>0</v>
      </c>
      <c r="E11920" s="63" t="str">
        <f>HYPERLINK("https://www.sds-group.ru/product/lampa-strob-svetodiodnaya-nakladnaya-30-led-3-5vt-belyy-230v-neon-night-415-115/", "Инфо")</f>
        <v>Инфо</v>
      </c>
      <c r="F11920" s="16" t="s">
        <v>39</v>
      </c>
      <c r="G11920" s="15"/>
      <c r="H11920" s="15"/>
      <c r="I11920" s="15"/>
      <c r="J11920" s="16" t="s">
        <v>100</v>
      </c>
      <c r="K11920" s="15"/>
      <c r="L11920" s="17">
        <v>1</v>
      </c>
      <c r="M11920" s="17">
        <v>100</v>
      </c>
      <c r="N11920" s="17">
        <v>1</v>
      </c>
      <c r="O11920" s="18">
        <v>646.21</v>
      </c>
      <c r="P11920" s="18">
        <v>529.67999999999995</v>
      </c>
      <c r="Q11920" s="18">
        <v>646.21</v>
      </c>
      <c r="R11920" s="18">
        <v>529.67999999999995</v>
      </c>
      <c r="S11920" s="18">
        <v>400.65</v>
      </c>
      <c r="T11920" s="18">
        <v>328.4</v>
      </c>
      <c r="U11920" s="16"/>
      <c r="V11920" s="16"/>
      <c r="W11920" s="16" t="s">
        <v>40</v>
      </c>
      <c r="X11920" s="19">
        <v>7.5999999999999998E-2</v>
      </c>
      <c r="Y11920" s="20">
        <v>5.2899999999999996E-4</v>
      </c>
      <c r="Z11920" s="21">
        <v>4601004003903</v>
      </c>
    </row>
    <row r="11921" spans="1:26" ht="12" customHeight="1" outlineLevel="4" x14ac:dyDescent="0.2">
      <c r="A11921" s="14" t="s">
        <v>22635</v>
      </c>
      <c r="B11921" s="26" t="s">
        <v>22636</v>
      </c>
      <c r="C11921" s="52"/>
      <c r="D11921" s="55">
        <f t="shared" si="186"/>
        <v>0</v>
      </c>
      <c r="E11921" s="63" t="str">
        <f>HYPERLINK("https://www.sds-group.ru/product/lampa-strob-svetodiodnaya-diametr-50-e27-18-led-2-5vt-belyy-230v-neon-night-411-125/", "Инфо")</f>
        <v>Инфо</v>
      </c>
      <c r="F11921" s="16" t="s">
        <v>39</v>
      </c>
      <c r="G11921" s="15"/>
      <c r="H11921" s="15"/>
      <c r="I11921" s="15"/>
      <c r="J11921" s="22">
        <v>9990</v>
      </c>
      <c r="K11921" s="15"/>
      <c r="L11921" s="17">
        <v>5</v>
      </c>
      <c r="M11921" s="17">
        <v>100</v>
      </c>
      <c r="N11921" s="17">
        <v>5</v>
      </c>
      <c r="O11921" s="18">
        <v>557.95000000000005</v>
      </c>
      <c r="P11921" s="18">
        <v>457.34</v>
      </c>
      <c r="Q11921" s="18">
        <v>557.95000000000005</v>
      </c>
      <c r="R11921" s="18">
        <v>457.34</v>
      </c>
      <c r="S11921" s="18">
        <v>345.93</v>
      </c>
      <c r="T11921" s="18">
        <v>283.55</v>
      </c>
      <c r="U11921" s="16"/>
      <c r="V11921" s="16"/>
      <c r="W11921" s="16" t="s">
        <v>40</v>
      </c>
      <c r="X11921" s="19">
        <v>4.5999999999999999E-2</v>
      </c>
      <c r="Y11921" s="20">
        <v>2.52E-4</v>
      </c>
      <c r="Z11921" s="21">
        <v>4610003608026</v>
      </c>
    </row>
    <row r="11922" spans="1:26" ht="12" customHeight="1" outlineLevel="4" x14ac:dyDescent="0.2">
      <c r="A11922" s="32" t="s">
        <v>22637</v>
      </c>
      <c r="B11922" s="74" t="s">
        <v>22638</v>
      </c>
      <c r="C11922" s="50"/>
      <c r="D11922" s="53">
        <f t="shared" si="186"/>
        <v>0</v>
      </c>
      <c r="E11922" s="60" t="str">
        <f>HYPERLINK("https://www.sds-group.ru/product/lampa-strob-svetodiodnaya-diametr-50-e27-18-led-2-5vt-siniy-230v-neon-night-411-123/", "Инфо")</f>
        <v>Инфо</v>
      </c>
      <c r="F11922" s="34" t="s">
        <v>39</v>
      </c>
      <c r="G11922" s="33"/>
      <c r="H11922" s="33" t="s">
        <v>40</v>
      </c>
      <c r="I11922" s="33"/>
      <c r="J11922" s="34" t="s">
        <v>100</v>
      </c>
      <c r="K11922" s="33"/>
      <c r="L11922" s="35">
        <v>1</v>
      </c>
      <c r="M11922" s="35">
        <v>100</v>
      </c>
      <c r="N11922" s="35">
        <v>1</v>
      </c>
      <c r="O11922" s="36">
        <v>557.95000000000005</v>
      </c>
      <c r="P11922" s="36">
        <v>457.34</v>
      </c>
      <c r="Q11922" s="36">
        <v>390.57</v>
      </c>
      <c r="R11922" s="36">
        <v>320.14</v>
      </c>
      <c r="S11922" s="36">
        <v>345.93</v>
      </c>
      <c r="T11922" s="36">
        <v>283.55</v>
      </c>
      <c r="U11922" s="34"/>
      <c r="V11922" s="34"/>
      <c r="W11922" s="34"/>
      <c r="X11922" s="37">
        <v>0.05</v>
      </c>
      <c r="Y11922" s="38">
        <v>2.5500000000000002E-4</v>
      </c>
      <c r="Z11922" s="21">
        <v>4601004013605</v>
      </c>
    </row>
    <row r="11923" spans="1:26" ht="12.95" customHeight="1" outlineLevel="2" x14ac:dyDescent="0.2">
      <c r="A11923" s="76" t="s">
        <v>22639</v>
      </c>
      <c r="B11923" s="76"/>
      <c r="C11923" s="77"/>
      <c r="D11923" s="58"/>
      <c r="E11923" s="68"/>
      <c r="F11923" s="13"/>
      <c r="G11923" s="13"/>
      <c r="H11923" s="13"/>
      <c r="I11923" s="13"/>
      <c r="J11923" s="13"/>
      <c r="K11923" s="13"/>
      <c r="L11923" s="13"/>
      <c r="M11923" s="13"/>
      <c r="N11923" s="13"/>
      <c r="O11923" s="13"/>
      <c r="P11923" s="13"/>
      <c r="Q11923" s="13"/>
      <c r="R11923" s="13"/>
      <c r="S11923" s="13"/>
      <c r="T11923" s="13"/>
      <c r="U11923" s="13"/>
      <c r="V11923" s="13"/>
      <c r="W11923" s="13"/>
      <c r="X11923" s="13"/>
      <c r="Y11923" s="13"/>
      <c r="Z11923" s="13"/>
    </row>
    <row r="11924" spans="1:26" ht="12.95" customHeight="1" outlineLevel="3" x14ac:dyDescent="0.2">
      <c r="A11924" s="76" t="s">
        <v>22640</v>
      </c>
      <c r="B11924" s="76"/>
      <c r="C11924" s="77"/>
      <c r="D11924" s="58"/>
      <c r="E11924" s="68"/>
      <c r="F11924" s="13"/>
      <c r="G11924" s="13"/>
      <c r="H11924" s="13"/>
      <c r="I11924" s="13"/>
      <c r="J11924" s="13"/>
      <c r="K11924" s="13"/>
      <c r="L11924" s="13"/>
      <c r="M11924" s="13"/>
      <c r="N11924" s="13"/>
      <c r="O11924" s="13"/>
      <c r="P11924" s="13"/>
      <c r="Q11924" s="13"/>
      <c r="R11924" s="13"/>
      <c r="S11924" s="13"/>
      <c r="T11924" s="13"/>
      <c r="U11924" s="13"/>
      <c r="V11924" s="13"/>
      <c r="W11924" s="13"/>
      <c r="X11924" s="13"/>
      <c r="Y11924" s="13"/>
      <c r="Z11924" s="13"/>
    </row>
    <row r="11925" spans="1:26" ht="24" customHeight="1" outlineLevel="4" x14ac:dyDescent="0.2">
      <c r="A11925" s="14" t="s">
        <v>22641</v>
      </c>
      <c r="B11925" s="26" t="s">
        <v>22642</v>
      </c>
      <c r="C11925" s="52"/>
      <c r="D11925" s="55">
        <f t="shared" si="186"/>
        <v>0</v>
      </c>
      <c r="E11925" s="63" t="str">
        <f>HYPERLINK("https://www.sds-group.ru/product/el-evro-2-karkasnaya-16m-hvoya-plenka-533-318/", "Инфо")</f>
        <v>Инфо</v>
      </c>
      <c r="F11925" s="16" t="s">
        <v>39</v>
      </c>
      <c r="G11925" s="15"/>
      <c r="H11925" s="15"/>
      <c r="I11925" s="15" t="s">
        <v>22643</v>
      </c>
      <c r="J11925" s="16" t="s">
        <v>100</v>
      </c>
      <c r="K11925" s="15"/>
      <c r="L11925" s="17">
        <v>1</v>
      </c>
      <c r="M11925" s="17">
        <v>1</v>
      </c>
      <c r="N11925" s="17">
        <v>1</v>
      </c>
      <c r="O11925" s="18">
        <v>2376652.73</v>
      </c>
      <c r="P11925" s="18">
        <v>1948076.01</v>
      </c>
      <c r="Q11925" s="18">
        <v>2376652.73</v>
      </c>
      <c r="R11925" s="18">
        <v>1948076.01</v>
      </c>
      <c r="S11925" s="18">
        <v>1616123.86</v>
      </c>
      <c r="T11925" s="18">
        <v>1324691.69</v>
      </c>
      <c r="U11925" s="16"/>
      <c r="V11925" s="16"/>
      <c r="W11925" s="16" t="s">
        <v>40</v>
      </c>
      <c r="X11925" s="27">
        <v>1485</v>
      </c>
      <c r="Y11925" s="20">
        <v>6.1</v>
      </c>
      <c r="Z11925" s="25"/>
    </row>
    <row r="11926" spans="1:26" ht="12" customHeight="1" outlineLevel="4" x14ac:dyDescent="0.2">
      <c r="A11926" s="14" t="s">
        <v>22644</v>
      </c>
      <c r="B11926" s="26" t="s">
        <v>22645</v>
      </c>
      <c r="C11926" s="52"/>
      <c r="D11926" s="55">
        <f t="shared" si="186"/>
        <v>0</v>
      </c>
      <c r="E11926" s="63" t="str">
        <f>HYPERLINK("https://www.sds-group.ru/product/el-evro-2-karkasnaya-10m-hvoya-plenka-533-307/", "Инфо")</f>
        <v>Инфо</v>
      </c>
      <c r="F11926" s="16" t="s">
        <v>39</v>
      </c>
      <c r="G11926" s="15"/>
      <c r="H11926" s="15"/>
      <c r="I11926" s="15" t="s">
        <v>22643</v>
      </c>
      <c r="J11926" s="16" t="s">
        <v>100</v>
      </c>
      <c r="K11926" s="15"/>
      <c r="L11926" s="17">
        <v>1</v>
      </c>
      <c r="M11926" s="17">
        <v>1</v>
      </c>
      <c r="N11926" s="17">
        <v>1</v>
      </c>
      <c r="O11926" s="18">
        <v>991575</v>
      </c>
      <c r="P11926" s="18">
        <v>812766.39</v>
      </c>
      <c r="Q11926" s="18">
        <v>991575</v>
      </c>
      <c r="R11926" s="18">
        <v>812766.39</v>
      </c>
      <c r="S11926" s="18">
        <v>674271</v>
      </c>
      <c r="T11926" s="18">
        <v>552681.15</v>
      </c>
      <c r="U11926" s="16"/>
      <c r="V11926" s="16"/>
      <c r="W11926" s="16" t="s">
        <v>40</v>
      </c>
      <c r="X11926" s="19">
        <v>570</v>
      </c>
      <c r="Y11926" s="20">
        <v>2.9</v>
      </c>
      <c r="Z11926" s="21">
        <v>2000030959314</v>
      </c>
    </row>
    <row r="11927" spans="1:26" ht="24" customHeight="1" outlineLevel="4" x14ac:dyDescent="0.2">
      <c r="A11927" s="14" t="s">
        <v>22646</v>
      </c>
      <c r="B11927" s="26" t="s">
        <v>22647</v>
      </c>
      <c r="C11927" s="52"/>
      <c r="D11927" s="55">
        <f t="shared" si="186"/>
        <v>0</v>
      </c>
      <c r="E11927" s="63" t="str">
        <f>HYPERLINK("https://www.sds-group.ru/product/el-evro-2-karkasnaya-12m-hvoya-plenka-533-308/", "Инфо")</f>
        <v>Инфо</v>
      </c>
      <c r="F11927" s="16" t="s">
        <v>39</v>
      </c>
      <c r="G11927" s="15"/>
      <c r="H11927" s="15"/>
      <c r="I11927" s="15" t="s">
        <v>22643</v>
      </c>
      <c r="J11927" s="16" t="s">
        <v>100</v>
      </c>
      <c r="K11927" s="15"/>
      <c r="L11927" s="17">
        <v>1</v>
      </c>
      <c r="M11927" s="17">
        <v>1</v>
      </c>
      <c r="N11927" s="17">
        <v>1</v>
      </c>
      <c r="O11927" s="18">
        <v>1432953</v>
      </c>
      <c r="P11927" s="18">
        <v>1174551.6399999999</v>
      </c>
      <c r="Q11927" s="18">
        <v>1432953</v>
      </c>
      <c r="R11927" s="18">
        <v>1174551.6399999999</v>
      </c>
      <c r="S11927" s="18">
        <v>974408.04</v>
      </c>
      <c r="T11927" s="18">
        <v>798695.11</v>
      </c>
      <c r="U11927" s="16"/>
      <c r="V11927" s="16"/>
      <c r="W11927" s="16" t="s">
        <v>40</v>
      </c>
      <c r="X11927" s="19">
        <v>850</v>
      </c>
      <c r="Y11927" s="20">
        <v>4</v>
      </c>
      <c r="Z11927" s="21">
        <v>2000030959321</v>
      </c>
    </row>
    <row r="11928" spans="1:26" ht="24" customHeight="1" outlineLevel="4" x14ac:dyDescent="0.2">
      <c r="A11928" s="14" t="s">
        <v>22648</v>
      </c>
      <c r="B11928" s="26" t="s">
        <v>22649</v>
      </c>
      <c r="C11928" s="52"/>
      <c r="D11928" s="55">
        <f t="shared" si="186"/>
        <v>0</v>
      </c>
      <c r="E11928" s="63" t="str">
        <f>HYPERLINK("https://www.sds-group.ru/product/el-evro-2-karkasnaya-15m-hvoya-plenka-533-311/", "Инфо")</f>
        <v>Инфо</v>
      </c>
      <c r="F11928" s="16" t="s">
        <v>39</v>
      </c>
      <c r="G11928" s="15"/>
      <c r="H11928" s="15"/>
      <c r="I11928" s="15" t="s">
        <v>22643</v>
      </c>
      <c r="J11928" s="16" t="s">
        <v>100</v>
      </c>
      <c r="K11928" s="15"/>
      <c r="L11928" s="17">
        <v>1</v>
      </c>
      <c r="M11928" s="17">
        <v>1</v>
      </c>
      <c r="N11928" s="17">
        <v>1</v>
      </c>
      <c r="O11928" s="18">
        <v>2287233</v>
      </c>
      <c r="P11928" s="18">
        <v>1874781.15</v>
      </c>
      <c r="Q11928" s="18">
        <v>2287233</v>
      </c>
      <c r="R11928" s="18">
        <v>1874781.15</v>
      </c>
      <c r="S11928" s="18">
        <v>1555318.44</v>
      </c>
      <c r="T11928" s="18">
        <v>1274851.18</v>
      </c>
      <c r="U11928" s="16"/>
      <c r="V11928" s="16"/>
      <c r="W11928" s="16" t="s">
        <v>40</v>
      </c>
      <c r="X11928" s="27">
        <v>1300</v>
      </c>
      <c r="Y11928" s="20">
        <v>5.5</v>
      </c>
      <c r="Z11928" s="25"/>
    </row>
    <row r="11929" spans="1:26" ht="12" customHeight="1" outlineLevel="4" x14ac:dyDescent="0.2">
      <c r="A11929" s="14" t="s">
        <v>22650</v>
      </c>
      <c r="B11929" s="26" t="s">
        <v>22651</v>
      </c>
      <c r="C11929" s="52"/>
      <c r="D11929" s="55">
        <f t="shared" si="186"/>
        <v>0</v>
      </c>
      <c r="E11929" s="63" t="str">
        <f>HYPERLINK("https://www.sds-group.ru/product/el-evro-2-karkasnaya-4m-hvoya-plenka-533-309/", "Инфо")</f>
        <v>Инфо</v>
      </c>
      <c r="F11929" s="16" t="s">
        <v>39</v>
      </c>
      <c r="G11929" s="15"/>
      <c r="H11929" s="15"/>
      <c r="I11929" s="15" t="s">
        <v>22643</v>
      </c>
      <c r="J11929" s="16" t="s">
        <v>100</v>
      </c>
      <c r="K11929" s="15"/>
      <c r="L11929" s="17">
        <v>1</v>
      </c>
      <c r="M11929" s="17">
        <v>1</v>
      </c>
      <c r="N11929" s="17">
        <v>1</v>
      </c>
      <c r="O11929" s="18">
        <v>197298</v>
      </c>
      <c r="P11929" s="18">
        <v>161719.67000000001</v>
      </c>
      <c r="Q11929" s="18">
        <v>197298</v>
      </c>
      <c r="R11929" s="18">
        <v>161719.67000000001</v>
      </c>
      <c r="S11929" s="18">
        <v>134162.64000000001</v>
      </c>
      <c r="T11929" s="18">
        <v>109969.38</v>
      </c>
      <c r="U11929" s="16"/>
      <c r="V11929" s="16"/>
      <c r="W11929" s="16" t="s">
        <v>40</v>
      </c>
      <c r="X11929" s="19">
        <v>87</v>
      </c>
      <c r="Y11929" s="20">
        <v>0.75</v>
      </c>
      <c r="Z11929" s="21">
        <v>2000030965698</v>
      </c>
    </row>
    <row r="11930" spans="1:26" ht="12" customHeight="1" outlineLevel="4" x14ac:dyDescent="0.2">
      <c r="A11930" s="14" t="s">
        <v>22652</v>
      </c>
      <c r="B11930" s="26" t="s">
        <v>22653</v>
      </c>
      <c r="C11930" s="52"/>
      <c r="D11930" s="55">
        <f t="shared" si="186"/>
        <v>0</v>
      </c>
      <c r="E11930" s="63" t="str">
        <f>HYPERLINK("https://www.sds-group.ru/product/el-evro-2-karkasnaya-8m-hvoya-plenka-533-306/", "Инфо")</f>
        <v>Инфо</v>
      </c>
      <c r="F11930" s="16" t="s">
        <v>39</v>
      </c>
      <c r="G11930" s="15"/>
      <c r="H11930" s="15"/>
      <c r="I11930" s="15" t="s">
        <v>22643</v>
      </c>
      <c r="J11930" s="16" t="s">
        <v>100</v>
      </c>
      <c r="K11930" s="15"/>
      <c r="L11930" s="17">
        <v>1</v>
      </c>
      <c r="M11930" s="17">
        <v>1</v>
      </c>
      <c r="N11930" s="17">
        <v>1</v>
      </c>
      <c r="O11930" s="18">
        <v>603894.6</v>
      </c>
      <c r="P11930" s="18">
        <v>494995.57</v>
      </c>
      <c r="Q11930" s="18">
        <v>603894.6</v>
      </c>
      <c r="R11930" s="18">
        <v>494995.57</v>
      </c>
      <c r="S11930" s="18">
        <v>410648.33</v>
      </c>
      <c r="T11930" s="18">
        <v>336596.99</v>
      </c>
      <c r="U11930" s="16"/>
      <c r="V11930" s="16"/>
      <c r="W11930" s="16" t="s">
        <v>40</v>
      </c>
      <c r="X11930" s="19">
        <v>345</v>
      </c>
      <c r="Y11930" s="20">
        <v>1.7</v>
      </c>
      <c r="Z11930" s="21">
        <v>2000030959307</v>
      </c>
    </row>
    <row r="11931" spans="1:26" ht="24" customHeight="1" outlineLevel="4" x14ac:dyDescent="0.2">
      <c r="A11931" s="14" t="s">
        <v>22654</v>
      </c>
      <c r="B11931" s="26" t="s">
        <v>22655</v>
      </c>
      <c r="C11931" s="52"/>
      <c r="D11931" s="55">
        <f t="shared" si="186"/>
        <v>0</v>
      </c>
      <c r="E11931" s="63" t="str">
        <f>HYPERLINK("https://www.sds-group.ru/product/el-karkasnaya-uralskaya-10m-hvoya-plenka-533-300/", "Инфо")</f>
        <v>Инфо</v>
      </c>
      <c r="F11931" s="16" t="s">
        <v>39</v>
      </c>
      <c r="G11931" s="15"/>
      <c r="H11931" s="15"/>
      <c r="I11931" s="15" t="s">
        <v>22643</v>
      </c>
      <c r="J11931" s="16" t="s">
        <v>100</v>
      </c>
      <c r="K11931" s="15"/>
      <c r="L11931" s="17">
        <v>1</v>
      </c>
      <c r="M11931" s="17">
        <v>1</v>
      </c>
      <c r="N11931" s="17">
        <v>1</v>
      </c>
      <c r="O11931" s="18">
        <v>1143357.17</v>
      </c>
      <c r="P11931" s="18">
        <v>937178.01</v>
      </c>
      <c r="Q11931" s="18">
        <v>1143357.17</v>
      </c>
      <c r="R11931" s="18">
        <v>937178.01</v>
      </c>
      <c r="S11931" s="18">
        <v>777482.88</v>
      </c>
      <c r="T11931" s="18">
        <v>637281.05000000005</v>
      </c>
      <c r="U11931" s="16"/>
      <c r="V11931" s="16"/>
      <c r="W11931" s="16" t="s">
        <v>40</v>
      </c>
      <c r="X11931" s="19">
        <v>712.64</v>
      </c>
      <c r="Y11931" s="20">
        <v>7.2864000000000004</v>
      </c>
      <c r="Z11931" s="25"/>
    </row>
    <row r="11932" spans="1:26" ht="24" customHeight="1" outlineLevel="4" x14ac:dyDescent="0.2">
      <c r="A11932" s="14" t="s">
        <v>22656</v>
      </c>
      <c r="B11932" s="26" t="s">
        <v>22657</v>
      </c>
      <c r="C11932" s="52"/>
      <c r="D11932" s="55">
        <f t="shared" si="186"/>
        <v>0</v>
      </c>
      <c r="E11932" s="63" t="str">
        <f>HYPERLINK("https://www.sds-group.ru/product/el-karkasnaya-uralskaya-12m-hvoya-plenka-533-316/", "Инфо")</f>
        <v>Инфо</v>
      </c>
      <c r="F11932" s="16" t="s">
        <v>39</v>
      </c>
      <c r="G11932" s="15"/>
      <c r="H11932" s="15"/>
      <c r="I11932" s="15" t="s">
        <v>22643</v>
      </c>
      <c r="J11932" s="16" t="s">
        <v>100</v>
      </c>
      <c r="K11932" s="15"/>
      <c r="L11932" s="17">
        <v>1</v>
      </c>
      <c r="M11932" s="17">
        <v>1</v>
      </c>
      <c r="N11932" s="17">
        <v>1</v>
      </c>
      <c r="O11932" s="18">
        <v>1661116.95</v>
      </c>
      <c r="P11932" s="18">
        <v>1361571.27</v>
      </c>
      <c r="Q11932" s="18">
        <v>1661116.95</v>
      </c>
      <c r="R11932" s="18">
        <v>1361571.27</v>
      </c>
      <c r="S11932" s="18">
        <v>1129559.53</v>
      </c>
      <c r="T11932" s="18">
        <v>925868.47</v>
      </c>
      <c r="U11932" s="16"/>
      <c r="V11932" s="16"/>
      <c r="W11932" s="16" t="s">
        <v>40</v>
      </c>
      <c r="X11932" s="19">
        <v>935.78</v>
      </c>
      <c r="Y11932" s="20">
        <v>4.79</v>
      </c>
      <c r="Z11932" s="25"/>
    </row>
    <row r="11933" spans="1:26" ht="12" customHeight="1" outlineLevel="4" x14ac:dyDescent="0.2">
      <c r="A11933" s="14" t="s">
        <v>22658</v>
      </c>
      <c r="B11933" s="26" t="s">
        <v>22659</v>
      </c>
      <c r="C11933" s="52"/>
      <c r="D11933" s="55">
        <f t="shared" si="186"/>
        <v>0</v>
      </c>
      <c r="E11933" s="63" t="str">
        <f>HYPERLINK("https://www.sds-group.ru/product/el-karkasnaya-uralskaya-6m-hvoya-plenka-533-320/", "Инфо")</f>
        <v>Инфо</v>
      </c>
      <c r="F11933" s="16" t="s">
        <v>39</v>
      </c>
      <c r="G11933" s="15"/>
      <c r="H11933" s="15"/>
      <c r="I11933" s="15" t="s">
        <v>22643</v>
      </c>
      <c r="J11933" s="16" t="s">
        <v>100</v>
      </c>
      <c r="K11933" s="15"/>
      <c r="L11933" s="17">
        <v>1</v>
      </c>
      <c r="M11933" s="17">
        <v>1</v>
      </c>
      <c r="N11933" s="17">
        <v>1</v>
      </c>
      <c r="O11933" s="18">
        <v>356661.9</v>
      </c>
      <c r="P11933" s="18">
        <v>292345.82</v>
      </c>
      <c r="Q11933" s="18">
        <v>356661.9</v>
      </c>
      <c r="R11933" s="18">
        <v>292345.82</v>
      </c>
      <c r="S11933" s="18">
        <v>242530.09</v>
      </c>
      <c r="T11933" s="18">
        <v>198795.16</v>
      </c>
      <c r="U11933" s="16"/>
      <c r="V11933" s="16"/>
      <c r="W11933" s="16" t="s">
        <v>40</v>
      </c>
      <c r="X11933" s="19">
        <v>163.5</v>
      </c>
      <c r="Y11933" s="20">
        <v>1.2090000000000001</v>
      </c>
      <c r="Z11933" s="21">
        <v>2000321607900</v>
      </c>
    </row>
    <row r="11934" spans="1:26" ht="12" customHeight="1" outlineLevel="4" x14ac:dyDescent="0.2">
      <c r="A11934" s="14" t="s">
        <v>22660</v>
      </c>
      <c r="B11934" s="26" t="s">
        <v>22661</v>
      </c>
      <c r="C11934" s="52"/>
      <c r="D11934" s="55">
        <f t="shared" si="186"/>
        <v>0</v>
      </c>
      <c r="E11934" s="63" t="str">
        <f>HYPERLINK("https://www.sds-group.ru/product/sosna-evro-2-karkasnaya-6m-hvoya-leska-533-315/", "Инфо")</f>
        <v>Инфо</v>
      </c>
      <c r="F11934" s="16" t="s">
        <v>39</v>
      </c>
      <c r="G11934" s="15"/>
      <c r="H11934" s="15"/>
      <c r="I11934" s="15" t="s">
        <v>22643</v>
      </c>
      <c r="J11934" s="16" t="s">
        <v>100</v>
      </c>
      <c r="K11934" s="15"/>
      <c r="L11934" s="17">
        <v>1</v>
      </c>
      <c r="M11934" s="17">
        <v>1</v>
      </c>
      <c r="N11934" s="17">
        <v>1</v>
      </c>
      <c r="O11934" s="18">
        <v>401715</v>
      </c>
      <c r="P11934" s="18">
        <v>329274.59000000003</v>
      </c>
      <c r="Q11934" s="18">
        <v>401715</v>
      </c>
      <c r="R11934" s="18">
        <v>329274.59000000003</v>
      </c>
      <c r="S11934" s="18">
        <v>273166.2</v>
      </c>
      <c r="T11934" s="18">
        <v>223906.72</v>
      </c>
      <c r="U11934" s="16"/>
      <c r="V11934" s="16"/>
      <c r="W11934" s="16" t="s">
        <v>40</v>
      </c>
      <c r="X11934" s="19">
        <v>172.44</v>
      </c>
      <c r="Y11934" s="20">
        <v>2.35</v>
      </c>
      <c r="Z11934" s="25"/>
    </row>
    <row r="11935" spans="1:26" ht="12.95" customHeight="1" outlineLevel="3" x14ac:dyDescent="0.2">
      <c r="A11935" s="76" t="s">
        <v>22662</v>
      </c>
      <c r="B11935" s="76"/>
      <c r="C11935" s="77"/>
      <c r="D11935" s="58"/>
      <c r="E11935" s="68"/>
      <c r="F11935" s="13"/>
      <c r="G11935" s="13"/>
      <c r="H11935" s="13"/>
      <c r="I11935" s="13"/>
      <c r="J11935" s="13"/>
      <c r="K11935" s="13"/>
      <c r="L11935" s="13"/>
      <c r="M11935" s="13"/>
      <c r="N11935" s="13"/>
      <c r="O11935" s="13"/>
      <c r="P11935" s="13"/>
      <c r="Q11935" s="13"/>
      <c r="R11935" s="13"/>
      <c r="S11935" s="13"/>
      <c r="T11935" s="13"/>
      <c r="U11935" s="13"/>
      <c r="V11935" s="13"/>
      <c r="W11935" s="13"/>
      <c r="X11935" s="13"/>
      <c r="Y11935" s="13"/>
      <c r="Z11935" s="13"/>
    </row>
    <row r="11936" spans="1:26" ht="12" customHeight="1" outlineLevel="4" x14ac:dyDescent="0.2">
      <c r="A11936" s="14" t="s">
        <v>22663</v>
      </c>
      <c r="B11936" s="26" t="s">
        <v>22664</v>
      </c>
      <c r="C11936" s="52"/>
      <c r="D11936" s="55">
        <f t="shared" si="186"/>
        <v>0</v>
      </c>
      <c r="E11936" s="63" t="str">
        <f>HYPERLINK("https://www.sds-group.ru/product/el-alpiyskaya-stvolovaya-3-m-hvoya-plenka-533-329/", "Инфо")</f>
        <v>Инфо</v>
      </c>
      <c r="F11936" s="16" t="s">
        <v>39</v>
      </c>
      <c r="G11936" s="15"/>
      <c r="H11936" s="15"/>
      <c r="I11936" s="15" t="s">
        <v>22665</v>
      </c>
      <c r="J11936" s="16" t="s">
        <v>100</v>
      </c>
      <c r="K11936" s="15"/>
      <c r="L11936" s="17">
        <v>1</v>
      </c>
      <c r="M11936" s="17">
        <v>1</v>
      </c>
      <c r="N11936" s="17">
        <v>1</v>
      </c>
      <c r="O11936" s="18">
        <v>81512.55</v>
      </c>
      <c r="P11936" s="18">
        <v>66813.570000000007</v>
      </c>
      <c r="Q11936" s="18">
        <v>81512.55</v>
      </c>
      <c r="R11936" s="18">
        <v>66813.570000000007</v>
      </c>
      <c r="S11936" s="18">
        <v>55428.53</v>
      </c>
      <c r="T11936" s="18">
        <v>45433.22</v>
      </c>
      <c r="U11936" s="16"/>
      <c r="V11936" s="16"/>
      <c r="W11936" s="16" t="s">
        <v>40</v>
      </c>
      <c r="X11936" s="19">
        <v>27.28</v>
      </c>
      <c r="Y11936" s="20">
        <v>0.47</v>
      </c>
      <c r="Z11936" s="21">
        <v>2000321645513</v>
      </c>
    </row>
    <row r="11937" spans="1:26" ht="12" customHeight="1" outlineLevel="4" x14ac:dyDescent="0.2">
      <c r="A11937" s="14" t="s">
        <v>22666</v>
      </c>
      <c r="B11937" s="26" t="s">
        <v>22667</v>
      </c>
      <c r="C11937" s="52"/>
      <c r="D11937" s="55">
        <f t="shared" si="186"/>
        <v>0</v>
      </c>
      <c r="E11937" s="63" t="str">
        <f>HYPERLINK("https://www.sds-group.ru/product/el-alpiyskaya-stvolovaya-5m-hvoya-plenka-neon-night-533-304/", "Инфо")</f>
        <v>Инфо</v>
      </c>
      <c r="F11937" s="16" t="s">
        <v>39</v>
      </c>
      <c r="G11937" s="15"/>
      <c r="H11937" s="15"/>
      <c r="I11937" s="15" t="s">
        <v>22643</v>
      </c>
      <c r="J11937" s="16" t="s">
        <v>100</v>
      </c>
      <c r="K11937" s="15"/>
      <c r="L11937" s="17">
        <v>1</v>
      </c>
      <c r="M11937" s="17">
        <v>1</v>
      </c>
      <c r="N11937" s="17">
        <v>1</v>
      </c>
      <c r="O11937" s="18">
        <v>165567.6</v>
      </c>
      <c r="P11937" s="18">
        <v>135711.15</v>
      </c>
      <c r="Q11937" s="18">
        <v>165567.6</v>
      </c>
      <c r="R11937" s="18">
        <v>135711.15</v>
      </c>
      <c r="S11937" s="18">
        <v>112585.97</v>
      </c>
      <c r="T11937" s="18">
        <v>92283.58</v>
      </c>
      <c r="U11937" s="16"/>
      <c r="V11937" s="16"/>
      <c r="W11937" s="16" t="s">
        <v>40</v>
      </c>
      <c r="X11937" s="19">
        <v>75</v>
      </c>
      <c r="Y11937" s="20">
        <v>0.45</v>
      </c>
      <c r="Z11937" s="21">
        <v>4660015301767</v>
      </c>
    </row>
    <row r="11938" spans="1:26" ht="12" customHeight="1" outlineLevel="4" x14ac:dyDescent="0.2">
      <c r="A11938" s="14" t="s">
        <v>22668</v>
      </c>
      <c r="B11938" s="26" t="s">
        <v>22669</v>
      </c>
      <c r="C11938" s="52"/>
      <c r="D11938" s="55">
        <f t="shared" si="186"/>
        <v>0</v>
      </c>
      <c r="E11938" s="63" t="str">
        <f>HYPERLINK("https://www.sds-group.ru/product/el-alpiyskaya-stvolovaya-6m-hvoya-plenka-533-305/", "Инфо")</f>
        <v>Инфо</v>
      </c>
      <c r="F11938" s="16" t="s">
        <v>39</v>
      </c>
      <c r="G11938" s="15"/>
      <c r="H11938" s="15"/>
      <c r="I11938" s="15" t="s">
        <v>22643</v>
      </c>
      <c r="J11938" s="16" t="s">
        <v>100</v>
      </c>
      <c r="K11938" s="15"/>
      <c r="L11938" s="17">
        <v>1</v>
      </c>
      <c r="M11938" s="17">
        <v>1</v>
      </c>
      <c r="N11938" s="17">
        <v>1</v>
      </c>
      <c r="O11938" s="18">
        <v>227096.1</v>
      </c>
      <c r="P11938" s="18">
        <v>186144.34</v>
      </c>
      <c r="Q11938" s="18">
        <v>227096.1</v>
      </c>
      <c r="R11938" s="18">
        <v>186144.34</v>
      </c>
      <c r="S11938" s="18">
        <v>154425.35</v>
      </c>
      <c r="T11938" s="18">
        <v>126578.16</v>
      </c>
      <c r="U11938" s="16"/>
      <c r="V11938" s="16"/>
      <c r="W11938" s="16" t="s">
        <v>40</v>
      </c>
      <c r="X11938" s="19">
        <v>17</v>
      </c>
      <c r="Y11938" s="20">
        <v>0.53</v>
      </c>
      <c r="Z11938" s="21">
        <v>2000030966732</v>
      </c>
    </row>
    <row r="11939" spans="1:26" ht="12" customHeight="1" outlineLevel="4" x14ac:dyDescent="0.2">
      <c r="A11939" s="14" t="s">
        <v>22670</v>
      </c>
      <c r="B11939" s="26" t="s">
        <v>22671</v>
      </c>
      <c r="C11939" s="52"/>
      <c r="D11939" s="55">
        <f t="shared" si="186"/>
        <v>0</v>
      </c>
      <c r="E11939" s="63" t="str">
        <f>HYPERLINK("https://www.sds-group.ru/product/el-alpiyskaya-stvolovaya-8m-hvoya-plenka-533-328/", "Инфо")</f>
        <v>Инфо</v>
      </c>
      <c r="F11939" s="16" t="s">
        <v>39</v>
      </c>
      <c r="G11939" s="15"/>
      <c r="H11939" s="15"/>
      <c r="I11939" s="15" t="s">
        <v>22643</v>
      </c>
      <c r="J11939" s="16" t="s">
        <v>100</v>
      </c>
      <c r="K11939" s="15"/>
      <c r="L11939" s="17">
        <v>1</v>
      </c>
      <c r="M11939" s="17">
        <v>1</v>
      </c>
      <c r="N11939" s="17">
        <v>1</v>
      </c>
      <c r="O11939" s="18">
        <v>581825.69999999995</v>
      </c>
      <c r="P11939" s="18">
        <v>476906.31</v>
      </c>
      <c r="Q11939" s="18">
        <v>581825.69999999995</v>
      </c>
      <c r="R11939" s="18">
        <v>476906.31</v>
      </c>
      <c r="S11939" s="18">
        <v>395641.48</v>
      </c>
      <c r="T11939" s="18">
        <v>324296.3</v>
      </c>
      <c r="U11939" s="16"/>
      <c r="V11939" s="16"/>
      <c r="W11939" s="16" t="s">
        <v>40</v>
      </c>
      <c r="X11939" s="19">
        <v>418.6</v>
      </c>
      <c r="Y11939" s="20">
        <v>2.3199999999999998</v>
      </c>
      <c r="Z11939" s="21">
        <v>4601004138339</v>
      </c>
    </row>
    <row r="11940" spans="1:26" ht="12" customHeight="1" outlineLevel="4" x14ac:dyDescent="0.2">
      <c r="A11940" s="14" t="s">
        <v>22672</v>
      </c>
      <c r="B11940" s="26" t="s">
        <v>22673</v>
      </c>
      <c r="C11940" s="52"/>
      <c r="D11940" s="55">
        <f t="shared" si="186"/>
        <v>0</v>
      </c>
      <c r="E11940" s="63" t="str">
        <f>HYPERLINK("https://www.sds-group.ru/product/komplekt-ograzhdeniy-dlya-elok-6-m-1-05h1-m-v-komplekte-7-schitov-533-330/", "Инфо")</f>
        <v>Инфо</v>
      </c>
      <c r="F11940" s="16" t="s">
        <v>39</v>
      </c>
      <c r="G11940" s="15"/>
      <c r="H11940" s="15"/>
      <c r="I11940" s="15" t="s">
        <v>22665</v>
      </c>
      <c r="J11940" s="16" t="s">
        <v>100</v>
      </c>
      <c r="K11940" s="15"/>
      <c r="L11940" s="17">
        <v>1</v>
      </c>
      <c r="M11940" s="17">
        <v>7</v>
      </c>
      <c r="N11940" s="17">
        <v>1</v>
      </c>
      <c r="O11940" s="18">
        <v>155709.82</v>
      </c>
      <c r="P11940" s="18">
        <v>127631</v>
      </c>
      <c r="Q11940" s="18">
        <v>155709.82</v>
      </c>
      <c r="R11940" s="18">
        <v>127631</v>
      </c>
      <c r="S11940" s="18">
        <v>96540.09</v>
      </c>
      <c r="T11940" s="18">
        <v>79131.22</v>
      </c>
      <c r="U11940" s="16"/>
      <c r="V11940" s="16"/>
      <c r="W11940" s="16" t="s">
        <v>40</v>
      </c>
      <c r="X11940" s="19">
        <v>14</v>
      </c>
      <c r="Y11940" s="20">
        <v>0.35</v>
      </c>
      <c r="Z11940" s="21">
        <v>4601004162068</v>
      </c>
    </row>
    <row r="11941" spans="1:26" ht="12.95" customHeight="1" outlineLevel="2" x14ac:dyDescent="0.2">
      <c r="A11941" s="76" t="s">
        <v>22674</v>
      </c>
      <c r="B11941" s="76"/>
      <c r="C11941" s="77"/>
      <c r="D11941" s="58"/>
      <c r="E11941" s="68"/>
      <c r="F11941" s="13"/>
      <c r="G11941" s="13"/>
      <c r="H11941" s="13"/>
      <c r="I11941" s="13"/>
      <c r="J11941" s="13"/>
      <c r="K11941" s="13"/>
      <c r="L11941" s="13"/>
      <c r="M11941" s="13"/>
      <c r="N11941" s="13"/>
      <c r="O11941" s="13"/>
      <c r="P11941" s="13"/>
      <c r="Q11941" s="13"/>
      <c r="R11941" s="13"/>
      <c r="S11941" s="13"/>
      <c r="T11941" s="13"/>
      <c r="U11941" s="13"/>
      <c r="V11941" s="13"/>
      <c r="W11941" s="13"/>
      <c r="X11941" s="13"/>
      <c r="Y11941" s="13"/>
      <c r="Z11941" s="13"/>
    </row>
    <row r="11942" spans="1:26" ht="12.95" customHeight="1" outlineLevel="3" x14ac:dyDescent="0.2">
      <c r="A11942" s="76" t="s">
        <v>22675</v>
      </c>
      <c r="B11942" s="76"/>
      <c r="C11942" s="77"/>
      <c r="D11942" s="58"/>
      <c r="E11942" s="68"/>
      <c r="F11942" s="13"/>
      <c r="G11942" s="13"/>
      <c r="H11942" s="13"/>
      <c r="I11942" s="13"/>
      <c r="J11942" s="13"/>
      <c r="K11942" s="13"/>
      <c r="L11942" s="13"/>
      <c r="M11942" s="13"/>
      <c r="N11942" s="13"/>
      <c r="O11942" s="13"/>
      <c r="P11942" s="13"/>
      <c r="Q11942" s="13"/>
      <c r="R11942" s="13"/>
      <c r="S11942" s="13"/>
      <c r="T11942" s="13"/>
      <c r="U11942" s="13"/>
      <c r="V11942" s="13"/>
      <c r="W11942" s="13"/>
      <c r="X11942" s="13"/>
      <c r="Y11942" s="13"/>
      <c r="Z11942" s="13"/>
    </row>
    <row r="11943" spans="1:26" ht="12" customHeight="1" outlineLevel="4" x14ac:dyDescent="0.2">
      <c r="A11943" s="14" t="s">
        <v>22676</v>
      </c>
      <c r="B11943" s="26" t="s">
        <v>22677</v>
      </c>
      <c r="C11943" s="52"/>
      <c r="D11943" s="55">
        <f t="shared" si="186"/>
        <v>0</v>
      </c>
      <c r="E11943" s="63" t="str">
        <f>HYPERLINK("https://www.sds-group.ru/product/elochnaya-figura-shar-10-sm-tsvet-zolotoy-glyantsevyy-502-071/", "Инфо")</f>
        <v>Инфо</v>
      </c>
      <c r="F11943" s="16" t="s">
        <v>39</v>
      </c>
      <c r="G11943" s="15"/>
      <c r="H11943" s="15"/>
      <c r="I11943" s="15"/>
      <c r="J11943" s="17">
        <v>46</v>
      </c>
      <c r="K11943" s="15" t="s">
        <v>1094</v>
      </c>
      <c r="L11943" s="17">
        <v>6</v>
      </c>
      <c r="M11943" s="17">
        <v>72</v>
      </c>
      <c r="N11943" s="17">
        <v>6</v>
      </c>
      <c r="O11943" s="18">
        <v>210.42</v>
      </c>
      <c r="P11943" s="18">
        <v>172.48</v>
      </c>
      <c r="Q11943" s="18">
        <v>210.42</v>
      </c>
      <c r="R11943" s="18">
        <v>172.48</v>
      </c>
      <c r="S11943" s="18">
        <v>130.46</v>
      </c>
      <c r="T11943" s="18">
        <v>106.93</v>
      </c>
      <c r="U11943" s="16"/>
      <c r="V11943" s="16"/>
      <c r="W11943" s="16" t="s">
        <v>40</v>
      </c>
      <c r="X11943" s="19">
        <v>3.4000000000000002E-2</v>
      </c>
      <c r="Y11943" s="20">
        <v>1.0579999999999999E-3</v>
      </c>
      <c r="Z11943" s="21">
        <v>4601004179745</v>
      </c>
    </row>
    <row r="11944" spans="1:26" ht="12" customHeight="1" outlineLevel="4" x14ac:dyDescent="0.2">
      <c r="A11944" s="14" t="s">
        <v>22678</v>
      </c>
      <c r="B11944" s="26" t="s">
        <v>22679</v>
      </c>
      <c r="C11944" s="52"/>
      <c r="D11944" s="55">
        <f t="shared" si="186"/>
        <v>0</v>
      </c>
      <c r="E11944" s="63" t="str">
        <f>HYPERLINK("https://www.sds-group.ru/product/elochnaya-figura-shar-10-sm-tsvet-krasnyy-glyantsevyy-502-072/", "Инфо")</f>
        <v>Инфо</v>
      </c>
      <c r="F11944" s="16" t="s">
        <v>39</v>
      </c>
      <c r="G11944" s="15"/>
      <c r="H11944" s="15"/>
      <c r="I11944" s="15"/>
      <c r="J11944" s="16" t="s">
        <v>100</v>
      </c>
      <c r="K11944" s="15" t="s">
        <v>1094</v>
      </c>
      <c r="L11944" s="17">
        <v>6</v>
      </c>
      <c r="M11944" s="17">
        <v>72</v>
      </c>
      <c r="N11944" s="17">
        <v>6</v>
      </c>
      <c r="O11944" s="18">
        <v>210.42</v>
      </c>
      <c r="P11944" s="18">
        <v>172.48</v>
      </c>
      <c r="Q11944" s="18">
        <v>210.42</v>
      </c>
      <c r="R11944" s="18">
        <v>172.48</v>
      </c>
      <c r="S11944" s="18">
        <v>130.46</v>
      </c>
      <c r="T11944" s="18">
        <v>106.93</v>
      </c>
      <c r="U11944" s="16"/>
      <c r="V11944" s="16"/>
      <c r="W11944" s="16" t="s">
        <v>40</v>
      </c>
      <c r="X11944" s="19">
        <v>3.5000000000000003E-2</v>
      </c>
      <c r="Y11944" s="20">
        <v>1.098E-3</v>
      </c>
      <c r="Z11944" s="21">
        <v>4601004179752</v>
      </c>
    </row>
    <row r="11945" spans="1:26" ht="12" customHeight="1" outlineLevel="4" x14ac:dyDescent="0.2">
      <c r="A11945" s="14" t="s">
        <v>22680</v>
      </c>
      <c r="B11945" s="26" t="s">
        <v>22681</v>
      </c>
      <c r="C11945" s="52"/>
      <c r="D11945" s="55">
        <f t="shared" si="186"/>
        <v>0</v>
      </c>
      <c r="E11945" s="63" t="str">
        <f>HYPERLINK("https://www.sds-group.ru/product/elochnaya-figura-shar-10-sm-tsvet-serebryanyy-glyantsevyy-502-075/", "Инфо")</f>
        <v>Инфо</v>
      </c>
      <c r="F11945" s="16" t="s">
        <v>39</v>
      </c>
      <c r="G11945" s="15"/>
      <c r="H11945" s="15"/>
      <c r="I11945" s="15"/>
      <c r="J11945" s="22">
        <v>1118</v>
      </c>
      <c r="K11945" s="15" t="s">
        <v>1094</v>
      </c>
      <c r="L11945" s="17">
        <v>6</v>
      </c>
      <c r="M11945" s="17">
        <v>72</v>
      </c>
      <c r="N11945" s="17">
        <v>6</v>
      </c>
      <c r="O11945" s="18">
        <v>247.78</v>
      </c>
      <c r="P11945" s="18">
        <v>203.1</v>
      </c>
      <c r="Q11945" s="18">
        <v>247.78</v>
      </c>
      <c r="R11945" s="18">
        <v>203.1</v>
      </c>
      <c r="S11945" s="18">
        <v>153.62</v>
      </c>
      <c r="T11945" s="18">
        <v>125.92</v>
      </c>
      <c r="U11945" s="16"/>
      <c r="V11945" s="16"/>
      <c r="W11945" s="16" t="s">
        <v>40</v>
      </c>
      <c r="X11945" s="19">
        <v>3.5000000000000003E-2</v>
      </c>
      <c r="Y11945" s="20">
        <v>1.0989999999999999E-3</v>
      </c>
      <c r="Z11945" s="21">
        <v>4601004179776</v>
      </c>
    </row>
    <row r="11946" spans="1:26" ht="12" customHeight="1" outlineLevel="4" x14ac:dyDescent="0.2">
      <c r="A11946" s="14" t="s">
        <v>22682</v>
      </c>
      <c r="B11946" s="26" t="s">
        <v>22683</v>
      </c>
      <c r="C11946" s="52"/>
      <c r="D11946" s="55">
        <f t="shared" si="186"/>
        <v>0</v>
      </c>
      <c r="E11946" s="63" t="str">
        <f>HYPERLINK("https://www.sds-group.ru/product/elochnaya-figura-shar-10-sm-tsvet-siniy-glyantsevyy-502-073/", "Инфо")</f>
        <v>Инфо</v>
      </c>
      <c r="F11946" s="16" t="s">
        <v>39</v>
      </c>
      <c r="G11946" s="15"/>
      <c r="H11946" s="15"/>
      <c r="I11946" s="15"/>
      <c r="J11946" s="16" t="s">
        <v>100</v>
      </c>
      <c r="K11946" s="15" t="s">
        <v>1094</v>
      </c>
      <c r="L11946" s="17">
        <v>6</v>
      </c>
      <c r="M11946" s="17">
        <v>192</v>
      </c>
      <c r="N11946" s="17">
        <v>6</v>
      </c>
      <c r="O11946" s="18">
        <v>247.78</v>
      </c>
      <c r="P11946" s="18">
        <v>203.1</v>
      </c>
      <c r="Q11946" s="18">
        <v>247.78</v>
      </c>
      <c r="R11946" s="18">
        <v>203.1</v>
      </c>
      <c r="S11946" s="18">
        <v>153.62</v>
      </c>
      <c r="T11946" s="18">
        <v>125.92</v>
      </c>
      <c r="U11946" s="16"/>
      <c r="V11946" s="16"/>
      <c r="W11946" s="16" t="s">
        <v>40</v>
      </c>
      <c r="X11946" s="19">
        <v>3.4000000000000002E-2</v>
      </c>
      <c r="Y11946" s="20">
        <v>1.0950000000000001E-3</v>
      </c>
      <c r="Z11946" s="21">
        <v>4601004179769</v>
      </c>
    </row>
    <row r="11947" spans="1:26" ht="12" customHeight="1" outlineLevel="4" x14ac:dyDescent="0.2">
      <c r="A11947" s="14" t="s">
        <v>22684</v>
      </c>
      <c r="B11947" s="26" t="s">
        <v>22685</v>
      </c>
      <c r="C11947" s="52"/>
      <c r="D11947" s="55">
        <f t="shared" si="186"/>
        <v>0</v>
      </c>
      <c r="E11947" s="63" t="str">
        <f>HYPERLINK("https://www.sds-group.ru/product/elochnaya-figura-shar-15-sm-tsvet-zolotoy-glyantsevyy-502-021/", "Инфо")</f>
        <v>Инфо</v>
      </c>
      <c r="F11947" s="16" t="s">
        <v>39</v>
      </c>
      <c r="G11947" s="15"/>
      <c r="H11947" s="15"/>
      <c r="I11947" s="15"/>
      <c r="J11947" s="17">
        <v>1</v>
      </c>
      <c r="K11947" s="15" t="s">
        <v>1094</v>
      </c>
      <c r="L11947" s="17">
        <v>1</v>
      </c>
      <c r="M11947" s="17">
        <v>24</v>
      </c>
      <c r="N11947" s="17">
        <v>1</v>
      </c>
      <c r="O11947" s="18">
        <v>534.14</v>
      </c>
      <c r="P11947" s="18">
        <v>437.82</v>
      </c>
      <c r="Q11947" s="18">
        <v>534.14</v>
      </c>
      <c r="R11947" s="18">
        <v>437.82</v>
      </c>
      <c r="S11947" s="18">
        <v>331.17</v>
      </c>
      <c r="T11947" s="18">
        <v>271.45</v>
      </c>
      <c r="U11947" s="16"/>
      <c r="V11947" s="16"/>
      <c r="W11947" s="16" t="s">
        <v>40</v>
      </c>
      <c r="X11947" s="19">
        <v>9.0999999999999998E-2</v>
      </c>
      <c r="Y11947" s="20">
        <v>3.7130000000000002E-3</v>
      </c>
      <c r="Z11947" s="21">
        <v>4601004152854</v>
      </c>
    </row>
    <row r="11948" spans="1:26" ht="12" customHeight="1" outlineLevel="4" x14ac:dyDescent="0.2">
      <c r="A11948" s="14" t="s">
        <v>22686</v>
      </c>
      <c r="B11948" s="26" t="s">
        <v>22687</v>
      </c>
      <c r="C11948" s="52"/>
      <c r="D11948" s="55">
        <f t="shared" si="186"/>
        <v>0</v>
      </c>
      <c r="E11948" s="63" t="str">
        <f>HYPERLINK("https://www.sds-group.ru/product/elochnaya-figura-shar-15-sm-tsvet-krasnyy-glyantsevyy-502-022/", "Инфо")</f>
        <v>Инфо</v>
      </c>
      <c r="F11948" s="16" t="s">
        <v>39</v>
      </c>
      <c r="G11948" s="15"/>
      <c r="H11948" s="15"/>
      <c r="I11948" s="15"/>
      <c r="J11948" s="17">
        <v>12</v>
      </c>
      <c r="K11948" s="15" t="s">
        <v>1094</v>
      </c>
      <c r="L11948" s="17">
        <v>5</v>
      </c>
      <c r="M11948" s="17">
        <v>24</v>
      </c>
      <c r="N11948" s="17">
        <v>5</v>
      </c>
      <c r="O11948" s="18">
        <v>534.14</v>
      </c>
      <c r="P11948" s="18">
        <v>437.82</v>
      </c>
      <c r="Q11948" s="18">
        <v>534.14</v>
      </c>
      <c r="R11948" s="18">
        <v>437.82</v>
      </c>
      <c r="S11948" s="18">
        <v>331.17</v>
      </c>
      <c r="T11948" s="18">
        <v>271.45</v>
      </c>
      <c r="U11948" s="16"/>
      <c r="V11948" s="16"/>
      <c r="W11948" s="16" t="s">
        <v>40</v>
      </c>
      <c r="X11948" s="19">
        <v>9.2999999999999999E-2</v>
      </c>
      <c r="Y11948" s="20">
        <v>3.7680000000000001E-3</v>
      </c>
      <c r="Z11948" s="21">
        <v>4601004152885</v>
      </c>
    </row>
    <row r="11949" spans="1:26" ht="12" customHeight="1" outlineLevel="4" x14ac:dyDescent="0.2">
      <c r="A11949" s="14" t="s">
        <v>22688</v>
      </c>
      <c r="B11949" s="26" t="s">
        <v>22689</v>
      </c>
      <c r="C11949" s="52"/>
      <c r="D11949" s="55">
        <f t="shared" si="186"/>
        <v>0</v>
      </c>
      <c r="E11949" s="63" t="str">
        <f>HYPERLINK("https://www.sds-group.ru/product/elochnaya-figura-shar-15-sm-tsvet-serebryanyy-glyantsevyy-502-025/", "Инфо")</f>
        <v>Инфо</v>
      </c>
      <c r="F11949" s="16" t="s">
        <v>39</v>
      </c>
      <c r="G11949" s="15"/>
      <c r="H11949" s="15"/>
      <c r="I11949" s="15"/>
      <c r="J11949" s="17">
        <v>40</v>
      </c>
      <c r="K11949" s="15" t="s">
        <v>1094</v>
      </c>
      <c r="L11949" s="17">
        <v>1</v>
      </c>
      <c r="M11949" s="17">
        <v>24</v>
      </c>
      <c r="N11949" s="17">
        <v>1</v>
      </c>
      <c r="O11949" s="18">
        <v>534.14</v>
      </c>
      <c r="P11949" s="18">
        <v>437.82</v>
      </c>
      <c r="Q11949" s="18">
        <v>534.14</v>
      </c>
      <c r="R11949" s="18">
        <v>437.82</v>
      </c>
      <c r="S11949" s="18">
        <v>331.17</v>
      </c>
      <c r="T11949" s="18">
        <v>271.45</v>
      </c>
      <c r="U11949" s="16"/>
      <c r="V11949" s="16"/>
      <c r="W11949" s="16" t="s">
        <v>40</v>
      </c>
      <c r="X11949" s="19">
        <v>0.107</v>
      </c>
      <c r="Y11949" s="20">
        <v>4.0600000000000002E-3</v>
      </c>
      <c r="Z11949" s="21">
        <v>4601004152847</v>
      </c>
    </row>
    <row r="11950" spans="1:26" ht="12" customHeight="1" outlineLevel="4" x14ac:dyDescent="0.2">
      <c r="A11950" s="14" t="s">
        <v>22690</v>
      </c>
      <c r="B11950" s="26" t="s">
        <v>22691</v>
      </c>
      <c r="C11950" s="52"/>
      <c r="D11950" s="55">
        <f t="shared" si="186"/>
        <v>0</v>
      </c>
      <c r="E11950" s="63" t="str">
        <f>HYPERLINK("https://www.sds-group.ru/product/elochnaya-figura-shar-15-sm-tsvet-siniy-glyantsevyy-502-023/", "Инфо")</f>
        <v>Инфо</v>
      </c>
      <c r="F11950" s="16" t="s">
        <v>39</v>
      </c>
      <c r="G11950" s="15"/>
      <c r="H11950" s="15"/>
      <c r="I11950" s="15"/>
      <c r="J11950" s="17">
        <v>26</v>
      </c>
      <c r="K11950" s="15" t="s">
        <v>1094</v>
      </c>
      <c r="L11950" s="17">
        <v>5</v>
      </c>
      <c r="M11950" s="17">
        <v>24</v>
      </c>
      <c r="N11950" s="17">
        <v>5</v>
      </c>
      <c r="O11950" s="18">
        <v>534.14</v>
      </c>
      <c r="P11950" s="18">
        <v>437.82</v>
      </c>
      <c r="Q11950" s="18">
        <v>534.14</v>
      </c>
      <c r="R11950" s="18">
        <v>437.82</v>
      </c>
      <c r="S11950" s="18">
        <v>331.17</v>
      </c>
      <c r="T11950" s="18">
        <v>271.45</v>
      </c>
      <c r="U11950" s="16"/>
      <c r="V11950" s="16"/>
      <c r="W11950" s="16" t="s">
        <v>40</v>
      </c>
      <c r="X11950" s="19">
        <v>0.11</v>
      </c>
      <c r="Y11950" s="20">
        <v>4.0899999999999999E-3</v>
      </c>
      <c r="Z11950" s="21">
        <v>4601004152830</v>
      </c>
    </row>
    <row r="11951" spans="1:26" ht="12" customHeight="1" outlineLevel="4" x14ac:dyDescent="0.2">
      <c r="A11951" s="14" t="s">
        <v>22692</v>
      </c>
      <c r="B11951" s="26" t="s">
        <v>22693</v>
      </c>
      <c r="C11951" s="52"/>
      <c r="D11951" s="55">
        <f t="shared" si="186"/>
        <v>0</v>
      </c>
      <c r="E11951" s="63" t="str">
        <f>HYPERLINK("https://www.sds-group.ru/product/elochnaya-figura-shar-20-sm-tsvet-zolotoy-glyantsevyy-502-001/", "Инфо")</f>
        <v>Инфо</v>
      </c>
      <c r="F11951" s="16" t="s">
        <v>39</v>
      </c>
      <c r="G11951" s="15"/>
      <c r="H11951" s="15"/>
      <c r="I11951" s="15"/>
      <c r="J11951" s="16" t="s">
        <v>100</v>
      </c>
      <c r="K11951" s="15" t="s">
        <v>1094</v>
      </c>
      <c r="L11951" s="17">
        <v>1</v>
      </c>
      <c r="M11951" s="17">
        <v>12</v>
      </c>
      <c r="N11951" s="17">
        <v>1</v>
      </c>
      <c r="O11951" s="18">
        <v>1507.35</v>
      </c>
      <c r="P11951" s="18">
        <v>1235.53</v>
      </c>
      <c r="Q11951" s="18">
        <v>1507.35</v>
      </c>
      <c r="R11951" s="18">
        <v>1235.53</v>
      </c>
      <c r="S11951" s="18">
        <v>934.56</v>
      </c>
      <c r="T11951" s="18">
        <v>766.03</v>
      </c>
      <c r="U11951" s="16"/>
      <c r="V11951" s="16"/>
      <c r="W11951" s="16" t="s">
        <v>40</v>
      </c>
      <c r="X11951" s="19">
        <v>0.21299999999999999</v>
      </c>
      <c r="Y11951" s="20">
        <v>9.247E-3</v>
      </c>
      <c r="Z11951" s="21">
        <v>4601004004429</v>
      </c>
    </row>
    <row r="11952" spans="1:26" ht="12" customHeight="1" outlineLevel="4" x14ac:dyDescent="0.2">
      <c r="A11952" s="14" t="s">
        <v>22694</v>
      </c>
      <c r="B11952" s="26" t="s">
        <v>22695</v>
      </c>
      <c r="C11952" s="52"/>
      <c r="D11952" s="55">
        <f t="shared" si="186"/>
        <v>0</v>
      </c>
      <c r="E11952" s="63" t="str">
        <f>HYPERLINK("https://www.sds-group.ru/product/elochnaya-figura-shar-20-sm-tsvet-krasnyy-glyantsevyy-502-002/", "Инфо")</f>
        <v>Инфо</v>
      </c>
      <c r="F11952" s="16" t="s">
        <v>39</v>
      </c>
      <c r="G11952" s="15"/>
      <c r="H11952" s="15"/>
      <c r="I11952" s="15"/>
      <c r="J11952" s="17">
        <v>58</v>
      </c>
      <c r="K11952" s="15" t="s">
        <v>1094</v>
      </c>
      <c r="L11952" s="17">
        <v>1</v>
      </c>
      <c r="M11952" s="17">
        <v>12</v>
      </c>
      <c r="N11952" s="17">
        <v>1</v>
      </c>
      <c r="O11952" s="18">
        <v>1507.35</v>
      </c>
      <c r="P11952" s="18">
        <v>1235.53</v>
      </c>
      <c r="Q11952" s="18">
        <v>1507.35</v>
      </c>
      <c r="R11952" s="18">
        <v>1235.53</v>
      </c>
      <c r="S11952" s="18">
        <v>934.56</v>
      </c>
      <c r="T11952" s="18">
        <v>766.03</v>
      </c>
      <c r="U11952" s="16"/>
      <c r="V11952" s="16"/>
      <c r="W11952" s="16" t="s">
        <v>40</v>
      </c>
      <c r="X11952" s="19">
        <v>0.21099999999999999</v>
      </c>
      <c r="Y11952" s="20">
        <v>9.4900000000000002E-3</v>
      </c>
      <c r="Z11952" s="21">
        <v>4601004004467</v>
      </c>
    </row>
    <row r="11953" spans="1:26" ht="12" customHeight="1" outlineLevel="4" x14ac:dyDescent="0.2">
      <c r="A11953" s="14" t="s">
        <v>22696</v>
      </c>
      <c r="B11953" s="26" t="s">
        <v>22697</v>
      </c>
      <c r="C11953" s="52"/>
      <c r="D11953" s="55">
        <f t="shared" si="186"/>
        <v>0</v>
      </c>
      <c r="E11953" s="63" t="str">
        <f>HYPERLINK("https://www.sds-group.ru/product/elochnaya-figura-shar-20-sm-tsvet-serebryanyy-glyantsevyy-502-005/", "Инфо")</f>
        <v>Инфо</v>
      </c>
      <c r="F11953" s="16" t="s">
        <v>39</v>
      </c>
      <c r="G11953" s="15"/>
      <c r="H11953" s="15"/>
      <c r="I11953" s="15"/>
      <c r="J11953" s="17">
        <v>448</v>
      </c>
      <c r="K11953" s="15"/>
      <c r="L11953" s="17">
        <v>1</v>
      </c>
      <c r="M11953" s="17">
        <v>12</v>
      </c>
      <c r="N11953" s="17">
        <v>1</v>
      </c>
      <c r="O11953" s="18">
        <v>1507.35</v>
      </c>
      <c r="P11953" s="18">
        <v>1235.53</v>
      </c>
      <c r="Q11953" s="18">
        <v>1507.35</v>
      </c>
      <c r="R11953" s="18">
        <v>1235.53</v>
      </c>
      <c r="S11953" s="18">
        <v>934.56</v>
      </c>
      <c r="T11953" s="18">
        <v>766.03</v>
      </c>
      <c r="U11953" s="16"/>
      <c r="V11953" s="16"/>
      <c r="W11953" s="16" t="s">
        <v>40</v>
      </c>
      <c r="X11953" s="19">
        <v>0.218</v>
      </c>
      <c r="Y11953" s="20">
        <v>9.4680000000000007E-3</v>
      </c>
      <c r="Z11953" s="21">
        <v>4601004004474</v>
      </c>
    </row>
    <row r="11954" spans="1:26" ht="12" customHeight="1" outlineLevel="4" x14ac:dyDescent="0.2">
      <c r="A11954" s="14" t="s">
        <v>22698</v>
      </c>
      <c r="B11954" s="26" t="s">
        <v>22699</v>
      </c>
      <c r="C11954" s="52"/>
      <c r="D11954" s="55">
        <f t="shared" si="186"/>
        <v>0</v>
      </c>
      <c r="E11954" s="63" t="str">
        <f>HYPERLINK("https://www.sds-group.ru/product/elochnaya-figura-shar-20-sm-tsvet-siniy-glyantsevyy-502-003/", "Инфо")</f>
        <v>Инфо</v>
      </c>
      <c r="F11954" s="16" t="s">
        <v>39</v>
      </c>
      <c r="G11954" s="15"/>
      <c r="H11954" s="15"/>
      <c r="I11954" s="15"/>
      <c r="J11954" s="17">
        <v>348</v>
      </c>
      <c r="K11954" s="15"/>
      <c r="L11954" s="17">
        <v>1</v>
      </c>
      <c r="M11954" s="17">
        <v>24</v>
      </c>
      <c r="N11954" s="17">
        <v>1</v>
      </c>
      <c r="O11954" s="18">
        <v>1242.74</v>
      </c>
      <c r="P11954" s="18">
        <v>1018.64</v>
      </c>
      <c r="Q11954" s="18">
        <v>1242.74</v>
      </c>
      <c r="R11954" s="18">
        <v>1018.64</v>
      </c>
      <c r="S11954" s="18">
        <v>770.5</v>
      </c>
      <c r="T11954" s="18">
        <v>631.55999999999995</v>
      </c>
      <c r="U11954" s="16"/>
      <c r="V11954" s="16"/>
      <c r="W11954" s="16" t="s">
        <v>40</v>
      </c>
      <c r="X11954" s="19">
        <v>0.2</v>
      </c>
      <c r="Y11954" s="20">
        <v>8.8330000000000006E-3</v>
      </c>
      <c r="Z11954" s="21">
        <v>4601004019249</v>
      </c>
    </row>
    <row r="11955" spans="1:26" ht="12" customHeight="1" outlineLevel="4" x14ac:dyDescent="0.2">
      <c r="A11955" s="14" t="s">
        <v>22700</v>
      </c>
      <c r="B11955" s="26" t="s">
        <v>22701</v>
      </c>
      <c r="C11955" s="52"/>
      <c r="D11955" s="55">
        <f t="shared" si="186"/>
        <v>0</v>
      </c>
      <c r="E11955" s="63" t="str">
        <f>HYPERLINK("https://www.sds-group.ru/product/elochnaya-figura-shar-25-sm-tsvet-zolotoy-glyantsevyy-502-011/", "Инфо")</f>
        <v>Инфо</v>
      </c>
      <c r="F11955" s="16" t="s">
        <v>39</v>
      </c>
      <c r="G11955" s="15"/>
      <c r="H11955" s="15"/>
      <c r="I11955" s="15"/>
      <c r="J11955" s="17">
        <v>8</v>
      </c>
      <c r="K11955" s="15" t="s">
        <v>1094</v>
      </c>
      <c r="L11955" s="17">
        <v>1</v>
      </c>
      <c r="M11955" s="17">
        <v>8</v>
      </c>
      <c r="N11955" s="17">
        <v>1</v>
      </c>
      <c r="O11955" s="18">
        <v>2404.4499999999998</v>
      </c>
      <c r="P11955" s="18">
        <v>1970.86</v>
      </c>
      <c r="Q11955" s="18">
        <v>2404.4499999999998</v>
      </c>
      <c r="R11955" s="18">
        <v>1970.86</v>
      </c>
      <c r="S11955" s="18">
        <v>1490.76</v>
      </c>
      <c r="T11955" s="18">
        <v>1221.93</v>
      </c>
      <c r="U11955" s="16"/>
      <c r="V11955" s="16"/>
      <c r="W11955" s="16" t="s">
        <v>40</v>
      </c>
      <c r="X11955" s="19">
        <v>0.39</v>
      </c>
      <c r="Y11955" s="20">
        <v>1.8574E-2</v>
      </c>
      <c r="Z11955" s="21">
        <v>4601004004412</v>
      </c>
    </row>
    <row r="11956" spans="1:26" ht="12" customHeight="1" outlineLevel="4" x14ac:dyDescent="0.2">
      <c r="A11956" s="14" t="s">
        <v>22702</v>
      </c>
      <c r="B11956" s="26" t="s">
        <v>22703</v>
      </c>
      <c r="C11956" s="52"/>
      <c r="D11956" s="55">
        <f t="shared" si="186"/>
        <v>0</v>
      </c>
      <c r="E11956" s="63" t="str">
        <f>HYPERLINK("https://www.sds-group.ru/product/elochnaya-figura-shar-25-sm-tsvet-krasnyy-glyantsevyy-502-012/", "Инфо")</f>
        <v>Инфо</v>
      </c>
      <c r="F11956" s="16" t="s">
        <v>39</v>
      </c>
      <c r="G11956" s="15"/>
      <c r="H11956" s="15"/>
      <c r="I11956" s="15"/>
      <c r="J11956" s="16" t="s">
        <v>100</v>
      </c>
      <c r="K11956" s="15" t="s">
        <v>1094</v>
      </c>
      <c r="L11956" s="17">
        <v>1</v>
      </c>
      <c r="M11956" s="17">
        <v>8</v>
      </c>
      <c r="N11956" s="17">
        <v>1</v>
      </c>
      <c r="O11956" s="18">
        <v>2404.4499999999998</v>
      </c>
      <c r="P11956" s="18">
        <v>1970.86</v>
      </c>
      <c r="Q11956" s="18">
        <v>2404.4499999999998</v>
      </c>
      <c r="R11956" s="18">
        <v>1970.86</v>
      </c>
      <c r="S11956" s="18">
        <v>1490.76</v>
      </c>
      <c r="T11956" s="18">
        <v>1221.93</v>
      </c>
      <c r="U11956" s="16"/>
      <c r="V11956" s="16"/>
      <c r="W11956" s="16" t="s">
        <v>40</v>
      </c>
      <c r="X11956" s="19">
        <v>0.39</v>
      </c>
      <c r="Y11956" s="20">
        <v>1.8678E-2</v>
      </c>
      <c r="Z11956" s="21">
        <v>4601004004450</v>
      </c>
    </row>
    <row r="11957" spans="1:26" ht="12" customHeight="1" outlineLevel="4" x14ac:dyDescent="0.2">
      <c r="A11957" s="14" t="s">
        <v>22704</v>
      </c>
      <c r="B11957" s="26" t="s">
        <v>22705</v>
      </c>
      <c r="C11957" s="52"/>
      <c r="D11957" s="55">
        <f t="shared" si="186"/>
        <v>0</v>
      </c>
      <c r="E11957" s="63" t="str">
        <f>HYPERLINK("https://www.sds-group.ru/product/elochnaya-figura-shar-25-sm-tsvet-serebryanyy-glyantsevyy-502-015/", "Инфо")</f>
        <v>Инфо</v>
      </c>
      <c r="F11957" s="16" t="s">
        <v>39</v>
      </c>
      <c r="G11957" s="15"/>
      <c r="H11957" s="15"/>
      <c r="I11957" s="15"/>
      <c r="J11957" s="17">
        <v>77</v>
      </c>
      <c r="K11957" s="15"/>
      <c r="L11957" s="17">
        <v>1</v>
      </c>
      <c r="M11957" s="17">
        <v>8</v>
      </c>
      <c r="N11957" s="17">
        <v>1</v>
      </c>
      <c r="O11957" s="18">
        <v>2404.4499999999998</v>
      </c>
      <c r="P11957" s="18">
        <v>1970.86</v>
      </c>
      <c r="Q11957" s="18">
        <v>2404.4499999999998</v>
      </c>
      <c r="R11957" s="18">
        <v>1970.86</v>
      </c>
      <c r="S11957" s="18">
        <v>1490.76</v>
      </c>
      <c r="T11957" s="18">
        <v>1221.93</v>
      </c>
      <c r="U11957" s="16"/>
      <c r="V11957" s="16"/>
      <c r="W11957" s="16" t="s">
        <v>40</v>
      </c>
      <c r="X11957" s="19">
        <v>0.38300000000000001</v>
      </c>
      <c r="Y11957" s="20">
        <v>1.8529E-2</v>
      </c>
      <c r="Z11957" s="21">
        <v>4601004004511</v>
      </c>
    </row>
    <row r="11958" spans="1:26" ht="12" customHeight="1" outlineLevel="4" x14ac:dyDescent="0.2">
      <c r="A11958" s="14" t="s">
        <v>22706</v>
      </c>
      <c r="B11958" s="26" t="s">
        <v>22707</v>
      </c>
      <c r="C11958" s="52"/>
      <c r="D11958" s="55">
        <f t="shared" si="186"/>
        <v>0</v>
      </c>
      <c r="E11958" s="63" t="str">
        <f>HYPERLINK("https://www.sds-group.ru/product/elochnaya-figura-shar-25-sm-tsvet-siniy-glyantsevyy-502-013/", "Инфо")</f>
        <v>Инфо</v>
      </c>
      <c r="F11958" s="16" t="s">
        <v>39</v>
      </c>
      <c r="G11958" s="15"/>
      <c r="H11958" s="15"/>
      <c r="I11958" s="15"/>
      <c r="J11958" s="17">
        <v>9</v>
      </c>
      <c r="K11958" s="15" t="s">
        <v>9986</v>
      </c>
      <c r="L11958" s="17">
        <v>1</v>
      </c>
      <c r="M11958" s="17">
        <v>6</v>
      </c>
      <c r="N11958" s="17">
        <v>1</v>
      </c>
      <c r="O11958" s="18">
        <v>2404.4499999999998</v>
      </c>
      <c r="P11958" s="18">
        <v>1970.86</v>
      </c>
      <c r="Q11958" s="18">
        <v>2404.4499999999998</v>
      </c>
      <c r="R11958" s="18">
        <v>1970.86</v>
      </c>
      <c r="S11958" s="18">
        <v>1490.76</v>
      </c>
      <c r="T11958" s="18">
        <v>1221.93</v>
      </c>
      <c r="U11958" s="16"/>
      <c r="V11958" s="16"/>
      <c r="W11958" s="16" t="s">
        <v>40</v>
      </c>
      <c r="X11958" s="19">
        <v>0.36199999999999999</v>
      </c>
      <c r="Y11958" s="20">
        <v>1.7302000000000001E-2</v>
      </c>
      <c r="Z11958" s="21">
        <v>4601004151987</v>
      </c>
    </row>
    <row r="11959" spans="1:26" ht="12" customHeight="1" outlineLevel="4" x14ac:dyDescent="0.2">
      <c r="A11959" s="14" t="s">
        <v>22708</v>
      </c>
      <c r="B11959" s="26" t="s">
        <v>22709</v>
      </c>
      <c r="C11959" s="52"/>
      <c r="D11959" s="55">
        <f t="shared" si="186"/>
        <v>0</v>
      </c>
      <c r="E11959" s="63" t="str">
        <f>HYPERLINK("https://www.sds-group.ru/product/elochnaya-figura-shar-15-sm-tsvet-zolotoy-matovyy-502-301/", "Инфо")</f>
        <v>Инфо</v>
      </c>
      <c r="F11959" s="16" t="s">
        <v>39</v>
      </c>
      <c r="G11959" s="15"/>
      <c r="H11959" s="15"/>
      <c r="I11959" s="15"/>
      <c r="J11959" s="17">
        <v>8</v>
      </c>
      <c r="K11959" s="15" t="s">
        <v>9986</v>
      </c>
      <c r="L11959" s="17">
        <v>1</v>
      </c>
      <c r="M11959" s="17">
        <v>24</v>
      </c>
      <c r="N11959" s="17">
        <v>1</v>
      </c>
      <c r="O11959" s="18">
        <v>534.14</v>
      </c>
      <c r="P11959" s="18">
        <v>437.82</v>
      </c>
      <c r="Q11959" s="18">
        <v>534.14</v>
      </c>
      <c r="R11959" s="18">
        <v>437.82</v>
      </c>
      <c r="S11959" s="18">
        <v>331.17</v>
      </c>
      <c r="T11959" s="18">
        <v>271.45</v>
      </c>
      <c r="U11959" s="16"/>
      <c r="V11959" s="16"/>
      <c r="W11959" s="16" t="s">
        <v>40</v>
      </c>
      <c r="X11959" s="19">
        <v>0.107</v>
      </c>
      <c r="Y11959" s="20">
        <v>4.0800000000000003E-3</v>
      </c>
      <c r="Z11959" s="21">
        <v>4601004257757</v>
      </c>
    </row>
    <row r="11960" spans="1:26" ht="12" customHeight="1" outlineLevel="4" x14ac:dyDescent="0.2">
      <c r="A11960" s="14" t="s">
        <v>22710</v>
      </c>
      <c r="B11960" s="26" t="s">
        <v>22711</v>
      </c>
      <c r="C11960" s="52"/>
      <c r="D11960" s="55">
        <f t="shared" si="186"/>
        <v>0</v>
      </c>
      <c r="E11960" s="63" t="str">
        <f>HYPERLINK("https://www.sds-group.ru/product/elochnaya-figura-shar-15-sm-tsvet-krasnyy-matovyy-502-302/", "Инфо")</f>
        <v>Инфо</v>
      </c>
      <c r="F11960" s="16" t="s">
        <v>39</v>
      </c>
      <c r="G11960" s="15"/>
      <c r="H11960" s="15"/>
      <c r="I11960" s="15"/>
      <c r="J11960" s="16" t="s">
        <v>100</v>
      </c>
      <c r="K11960" s="15" t="s">
        <v>9986</v>
      </c>
      <c r="L11960" s="17">
        <v>1</v>
      </c>
      <c r="M11960" s="17">
        <v>24</v>
      </c>
      <c r="N11960" s="17">
        <v>1</v>
      </c>
      <c r="O11960" s="18">
        <v>534.14</v>
      </c>
      <c r="P11960" s="18">
        <v>437.82</v>
      </c>
      <c r="Q11960" s="18">
        <v>534.14</v>
      </c>
      <c r="R11960" s="18">
        <v>437.82</v>
      </c>
      <c r="S11960" s="18">
        <v>331.17</v>
      </c>
      <c r="T11960" s="18">
        <v>271.45</v>
      </c>
      <c r="U11960" s="16"/>
      <c r="V11960" s="16"/>
      <c r="W11960" s="16" t="s">
        <v>40</v>
      </c>
      <c r="X11960" s="19">
        <v>5.2999999999999999E-2</v>
      </c>
      <c r="Y11960" s="20">
        <v>4.13E-3</v>
      </c>
      <c r="Z11960" s="21">
        <v>4601004257672</v>
      </c>
    </row>
    <row r="11961" spans="1:26" ht="12" customHeight="1" outlineLevel="4" x14ac:dyDescent="0.2">
      <c r="A11961" s="14" t="s">
        <v>22712</v>
      </c>
      <c r="B11961" s="26" t="s">
        <v>22713</v>
      </c>
      <c r="C11961" s="52"/>
      <c r="D11961" s="55">
        <f t="shared" si="186"/>
        <v>0</v>
      </c>
      <c r="E11961" s="63" t="str">
        <f>HYPERLINK("https://www.sds-group.ru/product/elochnaya-figura-shar-15-sm-tsvet-serebryanyy-matovyy-502-305/", "Инфо")</f>
        <v>Инфо</v>
      </c>
      <c r="F11961" s="16" t="s">
        <v>39</v>
      </c>
      <c r="G11961" s="15"/>
      <c r="H11961" s="15"/>
      <c r="I11961" s="15"/>
      <c r="J11961" s="17">
        <v>11</v>
      </c>
      <c r="K11961" s="15"/>
      <c r="L11961" s="17">
        <v>1</v>
      </c>
      <c r="M11961" s="17">
        <v>64</v>
      </c>
      <c r="N11961" s="17">
        <v>1</v>
      </c>
      <c r="O11961" s="18">
        <v>508.72</v>
      </c>
      <c r="P11961" s="18">
        <v>416.98</v>
      </c>
      <c r="Q11961" s="18">
        <v>508.72</v>
      </c>
      <c r="R11961" s="18">
        <v>416.98</v>
      </c>
      <c r="S11961" s="18">
        <v>315.41000000000003</v>
      </c>
      <c r="T11961" s="18">
        <v>258.52999999999997</v>
      </c>
      <c r="U11961" s="16"/>
      <c r="V11961" s="16"/>
      <c r="W11961" s="16" t="s">
        <v>40</v>
      </c>
      <c r="X11961" s="19">
        <v>8.4000000000000005E-2</v>
      </c>
      <c r="Y11961" s="20">
        <v>2.33E-3</v>
      </c>
      <c r="Z11961" s="21">
        <v>4601004283404</v>
      </c>
    </row>
    <row r="11962" spans="1:26" ht="12" customHeight="1" outlineLevel="4" x14ac:dyDescent="0.2">
      <c r="A11962" s="14" t="s">
        <v>22714</v>
      </c>
      <c r="B11962" s="26" t="s">
        <v>22715</v>
      </c>
      <c r="C11962" s="52"/>
      <c r="D11962" s="55">
        <f t="shared" si="186"/>
        <v>0</v>
      </c>
      <c r="E11962" s="63" t="str">
        <f>HYPERLINK("https://www.sds-group.ru/product/elochnaya-figura-shar-20-sm-tsvet-zolotoy-matovyy-502-251/", "Инфо")</f>
        <v>Инфо</v>
      </c>
      <c r="F11962" s="16" t="s">
        <v>39</v>
      </c>
      <c r="G11962" s="15"/>
      <c r="H11962" s="15"/>
      <c r="I11962" s="15"/>
      <c r="J11962" s="16" t="s">
        <v>100</v>
      </c>
      <c r="K11962" s="15" t="s">
        <v>9986</v>
      </c>
      <c r="L11962" s="17">
        <v>1</v>
      </c>
      <c r="M11962" s="17">
        <v>18</v>
      </c>
      <c r="N11962" s="17">
        <v>1</v>
      </c>
      <c r="O11962" s="18">
        <v>1507.35</v>
      </c>
      <c r="P11962" s="18">
        <v>1235.53</v>
      </c>
      <c r="Q11962" s="18">
        <v>1507.35</v>
      </c>
      <c r="R11962" s="18">
        <v>1235.53</v>
      </c>
      <c r="S11962" s="18">
        <v>934.56</v>
      </c>
      <c r="T11962" s="18">
        <v>766.03</v>
      </c>
      <c r="U11962" s="16"/>
      <c r="V11962" s="16"/>
      <c r="W11962" s="16" t="s">
        <v>40</v>
      </c>
      <c r="X11962" s="19">
        <v>0.20200000000000001</v>
      </c>
      <c r="Y11962" s="20">
        <v>8.6280000000000003E-3</v>
      </c>
      <c r="Z11962" s="21">
        <v>4601004257696</v>
      </c>
    </row>
    <row r="11963" spans="1:26" ht="12" customHeight="1" outlineLevel="4" x14ac:dyDescent="0.2">
      <c r="A11963" s="14" t="s">
        <v>22716</v>
      </c>
      <c r="B11963" s="26" t="s">
        <v>22717</v>
      </c>
      <c r="C11963" s="52"/>
      <c r="D11963" s="55">
        <f t="shared" si="186"/>
        <v>0</v>
      </c>
      <c r="E11963" s="63" t="str">
        <f>HYPERLINK("https://www.sds-group.ru/product/elochnaya-figura-shar-20-sm-tsvet-krasnyy-matovyy-502-252/", "Инфо")</f>
        <v>Инфо</v>
      </c>
      <c r="F11963" s="16" t="s">
        <v>39</v>
      </c>
      <c r="G11963" s="15"/>
      <c r="H11963" s="15"/>
      <c r="I11963" s="15"/>
      <c r="J11963" s="17">
        <v>1</v>
      </c>
      <c r="K11963" s="15" t="s">
        <v>9986</v>
      </c>
      <c r="L11963" s="17">
        <v>1</v>
      </c>
      <c r="M11963" s="17">
        <v>18</v>
      </c>
      <c r="N11963" s="17">
        <v>1</v>
      </c>
      <c r="O11963" s="18">
        <v>1507.35</v>
      </c>
      <c r="P11963" s="18">
        <v>1235.53</v>
      </c>
      <c r="Q11963" s="18">
        <v>1507.35</v>
      </c>
      <c r="R11963" s="18">
        <v>1235.53</v>
      </c>
      <c r="S11963" s="18">
        <v>934.56</v>
      </c>
      <c r="T11963" s="18">
        <v>766.03</v>
      </c>
      <c r="U11963" s="16"/>
      <c r="V11963" s="16"/>
      <c r="W11963" s="16" t="s">
        <v>40</v>
      </c>
      <c r="X11963" s="19">
        <v>0.22600000000000001</v>
      </c>
      <c r="Y11963" s="20">
        <v>8.8030000000000001E-3</v>
      </c>
      <c r="Z11963" s="21">
        <v>4601004257719</v>
      </c>
    </row>
    <row r="11964" spans="1:26" ht="12.95" customHeight="1" outlineLevel="3" x14ac:dyDescent="0.2">
      <c r="A11964" s="76" t="s">
        <v>22718</v>
      </c>
      <c r="B11964" s="76"/>
      <c r="C11964" s="77"/>
      <c r="D11964" s="58"/>
      <c r="E11964" s="68"/>
      <c r="F11964" s="13"/>
      <c r="G11964" s="13"/>
      <c r="H11964" s="13"/>
      <c r="I11964" s="13"/>
      <c r="J11964" s="13"/>
      <c r="K11964" s="13"/>
      <c r="L11964" s="13"/>
      <c r="M11964" s="13"/>
      <c r="N11964" s="13"/>
      <c r="O11964" s="13"/>
      <c r="P11964" s="13"/>
      <c r="Q11964" s="13"/>
      <c r="R11964" s="13"/>
      <c r="S11964" s="13"/>
      <c r="T11964" s="13"/>
      <c r="U11964" s="13"/>
      <c r="V11964" s="13"/>
      <c r="W11964" s="13"/>
      <c r="X11964" s="13"/>
      <c r="Y11964" s="13"/>
      <c r="Z11964" s="13"/>
    </row>
    <row r="11965" spans="1:26" ht="12" customHeight="1" outlineLevel="4" x14ac:dyDescent="0.2">
      <c r="A11965" s="32" t="s">
        <v>22719</v>
      </c>
      <c r="B11965" s="74" t="s">
        <v>22720</v>
      </c>
      <c r="C11965" s="50"/>
      <c r="D11965" s="53">
        <f t="shared" si="186"/>
        <v>0</v>
      </c>
      <c r="E11965" s="60" t="str">
        <f>HYPERLINK("https://www.sds-group.ru/product/elochnaya-figura-karamelnaya-palochka-121-sm-tsvet-fioletovyy-belyy-502-247/", "Инфо")</f>
        <v>Инфо</v>
      </c>
      <c r="F11965" s="34" t="s">
        <v>39</v>
      </c>
      <c r="G11965" s="33"/>
      <c r="H11965" s="33" t="s">
        <v>40</v>
      </c>
      <c r="I11965" s="33"/>
      <c r="J11965" s="34" t="s">
        <v>100</v>
      </c>
      <c r="K11965" s="33"/>
      <c r="L11965" s="35">
        <v>1</v>
      </c>
      <c r="M11965" s="35">
        <v>2</v>
      </c>
      <c r="N11965" s="35">
        <v>1</v>
      </c>
      <c r="O11965" s="36">
        <v>4046.41</v>
      </c>
      <c r="P11965" s="36">
        <v>3316.73</v>
      </c>
      <c r="Q11965" s="36">
        <v>2832.49</v>
      </c>
      <c r="R11965" s="36">
        <v>2321.71</v>
      </c>
      <c r="S11965" s="36">
        <v>2508.77</v>
      </c>
      <c r="T11965" s="36">
        <v>2056.37</v>
      </c>
      <c r="U11965" s="34"/>
      <c r="V11965" s="34"/>
      <c r="W11965" s="34"/>
      <c r="X11965" s="37">
        <v>2.0099999999999998</v>
      </c>
      <c r="Y11965" s="38">
        <v>4.9721000000000001E-2</v>
      </c>
      <c r="Z11965" s="21">
        <v>4601004018723</v>
      </c>
    </row>
    <row r="11966" spans="1:26" ht="12" customHeight="1" outlineLevel="4" x14ac:dyDescent="0.2">
      <c r="A11966" s="32" t="s">
        <v>22721</v>
      </c>
      <c r="B11966" s="74" t="s">
        <v>22722</v>
      </c>
      <c r="C11966" s="50"/>
      <c r="D11966" s="53">
        <f t="shared" si="186"/>
        <v>0</v>
      </c>
      <c r="E11966" s="60" t="str">
        <f>HYPERLINK("https://www.sds-group.ru/product/elochnaya-figura-klubnichka-40-sm-tsvet-bordovyy-502-292/", "Инфо")</f>
        <v>Инфо</v>
      </c>
      <c r="F11966" s="34" t="s">
        <v>39</v>
      </c>
      <c r="G11966" s="33"/>
      <c r="H11966" s="33" t="s">
        <v>40</v>
      </c>
      <c r="I11966" s="33"/>
      <c r="J11966" s="34" t="s">
        <v>100</v>
      </c>
      <c r="K11966" s="33"/>
      <c r="L11966" s="35">
        <v>1</v>
      </c>
      <c r="M11966" s="35">
        <v>12</v>
      </c>
      <c r="N11966" s="35">
        <v>1</v>
      </c>
      <c r="O11966" s="36">
        <v>1010.73</v>
      </c>
      <c r="P11966" s="36">
        <v>828.47</v>
      </c>
      <c r="Q11966" s="36">
        <v>707.51</v>
      </c>
      <c r="R11966" s="36">
        <v>579.92999999999995</v>
      </c>
      <c r="S11966" s="36">
        <v>626.65</v>
      </c>
      <c r="T11966" s="36">
        <v>513.65</v>
      </c>
      <c r="U11966" s="34"/>
      <c r="V11966" s="34"/>
      <c r="W11966" s="34"/>
      <c r="X11966" s="37">
        <v>0.4</v>
      </c>
      <c r="Y11966" s="38">
        <v>1.6624E-2</v>
      </c>
      <c r="Z11966" s="21">
        <v>4601004018839</v>
      </c>
    </row>
    <row r="11967" spans="1:26" ht="12" customHeight="1" outlineLevel="4" x14ac:dyDescent="0.2">
      <c r="A11967" s="32" t="s">
        <v>22723</v>
      </c>
      <c r="B11967" s="74" t="s">
        <v>22724</v>
      </c>
      <c r="C11967" s="50"/>
      <c r="D11967" s="53">
        <f t="shared" si="186"/>
        <v>0</v>
      </c>
      <c r="E11967" s="60" t="str">
        <f>HYPERLINK("https://www.sds-group.ru/product/elochnaya-figura-ledenets-102-sm-tsvet-belyy-krasnyy-i-zelenyy-502-242/", "Инфо")</f>
        <v>Инфо</v>
      </c>
      <c r="F11967" s="34" t="s">
        <v>39</v>
      </c>
      <c r="G11967" s="33"/>
      <c r="H11967" s="33" t="s">
        <v>40</v>
      </c>
      <c r="I11967" s="33"/>
      <c r="J11967" s="34" t="s">
        <v>100</v>
      </c>
      <c r="K11967" s="33"/>
      <c r="L11967" s="35">
        <v>1</v>
      </c>
      <c r="M11967" s="35">
        <v>2</v>
      </c>
      <c r="N11967" s="35">
        <v>1</v>
      </c>
      <c r="O11967" s="36">
        <v>6257.08</v>
      </c>
      <c r="P11967" s="36">
        <v>5128.75</v>
      </c>
      <c r="Q11967" s="36">
        <v>4379.96</v>
      </c>
      <c r="R11967" s="36">
        <v>3590.13</v>
      </c>
      <c r="S11967" s="36">
        <v>3879.39</v>
      </c>
      <c r="T11967" s="36">
        <v>3179.83</v>
      </c>
      <c r="U11967" s="34"/>
      <c r="V11967" s="34"/>
      <c r="W11967" s="34"/>
      <c r="X11967" s="37">
        <v>5.6</v>
      </c>
      <c r="Y11967" s="38">
        <v>0.105755</v>
      </c>
      <c r="Z11967" s="21">
        <v>4601004004320</v>
      </c>
    </row>
    <row r="11968" spans="1:26" ht="12" customHeight="1" outlineLevel="4" x14ac:dyDescent="0.2">
      <c r="A11968" s="32" t="s">
        <v>22725</v>
      </c>
      <c r="B11968" s="74" t="s">
        <v>22726</v>
      </c>
      <c r="C11968" s="50"/>
      <c r="D11968" s="53">
        <f t="shared" si="186"/>
        <v>0</v>
      </c>
      <c r="E11968" s="60" t="str">
        <f>HYPERLINK("https://www.sds-group.ru/product/elochnaya-figura-snezhinka-morozko-66-sm-tsvet-belyy-502-370/", "Инфо")</f>
        <v>Инфо</v>
      </c>
      <c r="F11968" s="34" t="s">
        <v>39</v>
      </c>
      <c r="G11968" s="33"/>
      <c r="H11968" s="33" t="s">
        <v>40</v>
      </c>
      <c r="I11968" s="33"/>
      <c r="J11968" s="34" t="s">
        <v>100</v>
      </c>
      <c r="K11968" s="33"/>
      <c r="L11968" s="35">
        <v>1</v>
      </c>
      <c r="M11968" s="35">
        <v>8</v>
      </c>
      <c r="N11968" s="35">
        <v>1</v>
      </c>
      <c r="O11968" s="36">
        <v>1739.34</v>
      </c>
      <c r="P11968" s="36">
        <v>1425.69</v>
      </c>
      <c r="Q11968" s="36">
        <v>1217.54</v>
      </c>
      <c r="R11968" s="36">
        <v>997.98</v>
      </c>
      <c r="S11968" s="36">
        <v>1078.3900000000001</v>
      </c>
      <c r="T11968" s="36">
        <v>883.93</v>
      </c>
      <c r="U11968" s="34"/>
      <c r="V11968" s="34"/>
      <c r="W11968" s="34"/>
      <c r="X11968" s="37">
        <v>1.1839999999999999</v>
      </c>
      <c r="Y11968" s="38">
        <v>1.4322E-2</v>
      </c>
      <c r="Z11968" s="21">
        <v>4601004018945</v>
      </c>
    </row>
    <row r="11969" spans="1:26" ht="12" customHeight="1" outlineLevel="4" x14ac:dyDescent="0.2">
      <c r="A11969" s="32" t="s">
        <v>22727</v>
      </c>
      <c r="B11969" s="74" t="s">
        <v>22728</v>
      </c>
      <c r="C11969" s="50"/>
      <c r="D11969" s="53">
        <f t="shared" si="186"/>
        <v>0</v>
      </c>
      <c r="E11969" s="60" t="str">
        <f>HYPERLINK("https://www.sds-group.ru/product/elochnaya-figura-snezhinka-reznaya-81-sm-tsvet-serebryanyy-502-375/", "Инфо")</f>
        <v>Инфо</v>
      </c>
      <c r="F11969" s="34" t="s">
        <v>39</v>
      </c>
      <c r="G11969" s="33"/>
      <c r="H11969" s="33" t="s">
        <v>40</v>
      </c>
      <c r="I11969" s="33"/>
      <c r="J11969" s="34" t="s">
        <v>100</v>
      </c>
      <c r="K11969" s="33"/>
      <c r="L11969" s="35">
        <v>1</v>
      </c>
      <c r="M11969" s="35">
        <v>4</v>
      </c>
      <c r="N11969" s="35">
        <v>1</v>
      </c>
      <c r="O11969" s="36">
        <v>2070.29</v>
      </c>
      <c r="P11969" s="36">
        <v>1696.96</v>
      </c>
      <c r="Q11969" s="36">
        <v>1449.2</v>
      </c>
      <c r="R11969" s="36">
        <v>1187.8699999999999</v>
      </c>
      <c r="S11969" s="36">
        <v>1283.58</v>
      </c>
      <c r="T11969" s="36">
        <v>1052.1099999999999</v>
      </c>
      <c r="U11969" s="34"/>
      <c r="V11969" s="34"/>
      <c r="W11969" s="34"/>
      <c r="X11969" s="37">
        <v>1.9179999999999999</v>
      </c>
      <c r="Y11969" s="38">
        <v>2.1579999999999998E-2</v>
      </c>
      <c r="Z11969" s="21">
        <v>4601004004139</v>
      </c>
    </row>
    <row r="11970" spans="1:26" ht="12.95" customHeight="1" outlineLevel="2" x14ac:dyDescent="0.2">
      <c r="A11970" s="76" t="s">
        <v>22729</v>
      </c>
      <c r="B11970" s="76"/>
      <c r="C11970" s="77"/>
      <c r="D11970" s="58"/>
      <c r="E11970" s="68"/>
      <c r="F11970" s="13"/>
      <c r="G11970" s="13"/>
      <c r="H11970" s="13"/>
      <c r="I11970" s="13"/>
      <c r="J11970" s="13"/>
      <c r="K11970" s="13"/>
      <c r="L11970" s="13"/>
      <c r="M11970" s="13"/>
      <c r="N11970" s="13"/>
      <c r="O11970" s="13"/>
      <c r="P11970" s="13"/>
      <c r="Q11970" s="13"/>
      <c r="R11970" s="13"/>
      <c r="S11970" s="13"/>
      <c r="T11970" s="13"/>
      <c r="U11970" s="13"/>
      <c r="V11970" s="13"/>
      <c r="W11970" s="13"/>
      <c r="X11970" s="13"/>
      <c r="Y11970" s="13"/>
      <c r="Z11970" s="13"/>
    </row>
    <row r="11971" spans="1:26" ht="12" customHeight="1" outlineLevel="3" x14ac:dyDescent="0.2">
      <c r="A11971" s="32" t="s">
        <v>22730</v>
      </c>
      <c r="B11971" s="74" t="s">
        <v>22731</v>
      </c>
      <c r="C11971" s="50"/>
      <c r="D11971" s="53">
        <f t="shared" si="186"/>
        <v>0</v>
      </c>
      <c r="E11971" s="60" t="str">
        <f>HYPERLINK("https://www.sds-group.ru/product/akrilovaya-svetodiodnaya-figura-buryy-olen-100-sm-380-svetodiodov-ip-65-ponizhayuschiy-trans-513-305/", "Инфо")</f>
        <v>Инфо</v>
      </c>
      <c r="F11971" s="34" t="s">
        <v>39</v>
      </c>
      <c r="G11971" s="33"/>
      <c r="H11971" s="33" t="s">
        <v>40</v>
      </c>
      <c r="I11971" s="33"/>
      <c r="J11971" s="34" t="s">
        <v>100</v>
      </c>
      <c r="K11971" s="33"/>
      <c r="L11971" s="35">
        <v>1</v>
      </c>
      <c r="M11971" s="35">
        <v>1</v>
      </c>
      <c r="N11971" s="35">
        <v>1</v>
      </c>
      <c r="O11971" s="36">
        <v>38802.67</v>
      </c>
      <c r="P11971" s="36">
        <v>31805.47</v>
      </c>
      <c r="Q11971" s="36">
        <v>27161.87</v>
      </c>
      <c r="R11971" s="36">
        <v>22263.83</v>
      </c>
      <c r="S11971" s="36">
        <v>24057.66</v>
      </c>
      <c r="T11971" s="36">
        <v>19719.39</v>
      </c>
      <c r="U11971" s="34"/>
      <c r="V11971" s="34"/>
      <c r="W11971" s="34"/>
      <c r="X11971" s="37">
        <v>15.58</v>
      </c>
      <c r="Y11971" s="38">
        <v>0.24562200000000001</v>
      </c>
      <c r="Z11971" s="21">
        <v>4601004012684</v>
      </c>
    </row>
    <row r="11972" spans="1:26" ht="12" customHeight="1" outlineLevel="3" x14ac:dyDescent="0.2">
      <c r="A11972" s="32" t="s">
        <v>22732</v>
      </c>
      <c r="B11972" s="74" t="s">
        <v>22733</v>
      </c>
      <c r="C11972" s="50"/>
      <c r="D11972" s="53">
        <f t="shared" si="186"/>
        <v>0</v>
      </c>
      <c r="E11972" s="60" t="str">
        <f>HYPERLINK("https://www.sds-group.ru/product/akrilovaya-svetodiodnaya-figura-privetstvuyuschiy-santa-klaus-76h47h120-sm-ip65-ponizhayusch-513-183/", "Инфо")</f>
        <v>Инфо</v>
      </c>
      <c r="F11972" s="34" t="s">
        <v>39</v>
      </c>
      <c r="G11972" s="33"/>
      <c r="H11972" s="33" t="s">
        <v>40</v>
      </c>
      <c r="I11972" s="33"/>
      <c r="J11972" s="35">
        <v>2</v>
      </c>
      <c r="K11972" s="33"/>
      <c r="L11972" s="35">
        <v>1</v>
      </c>
      <c r="M11972" s="35">
        <v>1</v>
      </c>
      <c r="N11972" s="35">
        <v>1</v>
      </c>
      <c r="O11972" s="36">
        <v>45397.32</v>
      </c>
      <c r="P11972" s="36">
        <v>37210.92</v>
      </c>
      <c r="Q11972" s="36">
        <v>31778.12</v>
      </c>
      <c r="R11972" s="36">
        <v>26047.64</v>
      </c>
      <c r="S11972" s="36">
        <v>28146.34</v>
      </c>
      <c r="T11972" s="36">
        <v>23070.77</v>
      </c>
      <c r="U11972" s="34"/>
      <c r="V11972" s="34"/>
      <c r="W11972" s="34"/>
      <c r="X11972" s="37">
        <v>19.579999999999998</v>
      </c>
      <c r="Y11972" s="38">
        <v>0.49461500000000003</v>
      </c>
      <c r="Z11972" s="21">
        <v>4601004180222</v>
      </c>
    </row>
    <row r="11973" spans="1:26" ht="12" customHeight="1" outlineLevel="3" x14ac:dyDescent="0.2">
      <c r="A11973" s="32" t="s">
        <v>22734</v>
      </c>
      <c r="B11973" s="74" t="s">
        <v>22735</v>
      </c>
      <c r="C11973" s="50"/>
      <c r="D11973" s="53">
        <f t="shared" si="186"/>
        <v>0</v>
      </c>
      <c r="E11973" s="60" t="str">
        <f>HYPERLINK("https://www.sds-group.ru/product/akrilovaya-svetodiodnaya-figura-santa-klaus-210h75h60-sm-ip65-ponizhayuschiy-transformator-v-513-182/", "Инфо")</f>
        <v>Инфо</v>
      </c>
      <c r="F11973" s="34" t="s">
        <v>39</v>
      </c>
      <c r="G11973" s="33"/>
      <c r="H11973" s="33" t="s">
        <v>40</v>
      </c>
      <c r="I11973" s="33"/>
      <c r="J11973" s="34" t="s">
        <v>100</v>
      </c>
      <c r="K11973" s="33"/>
      <c r="L11973" s="35">
        <v>1</v>
      </c>
      <c r="M11973" s="35">
        <v>1</v>
      </c>
      <c r="N11973" s="35">
        <v>1</v>
      </c>
      <c r="O11973" s="36">
        <v>289548.74</v>
      </c>
      <c r="P11973" s="36">
        <v>237335.03</v>
      </c>
      <c r="Q11973" s="36">
        <v>202684.12</v>
      </c>
      <c r="R11973" s="36">
        <v>166134.51999999999</v>
      </c>
      <c r="S11973" s="36">
        <v>179520.22</v>
      </c>
      <c r="T11973" s="36">
        <v>147147.72</v>
      </c>
      <c r="U11973" s="34"/>
      <c r="V11973" s="34"/>
      <c r="W11973" s="34"/>
      <c r="X11973" s="37">
        <v>45</v>
      </c>
      <c r="Y11973" s="38">
        <v>1.22</v>
      </c>
      <c r="Z11973" s="21">
        <v>4601004303829</v>
      </c>
    </row>
    <row r="11974" spans="1:26" ht="12" customHeight="1" outlineLevel="3" x14ac:dyDescent="0.2">
      <c r="A11974" s="14" t="s">
        <v>22736</v>
      </c>
      <c r="B11974" s="26" t="s">
        <v>22737</v>
      </c>
      <c r="C11974" s="52"/>
      <c r="D11974" s="55">
        <f t="shared" si="186"/>
        <v>0</v>
      </c>
      <c r="E11974" s="63" t="str">
        <f>HYPERLINK("https://www.sds-group.ru/product/akrilovaya-svetodiodnaya-figura-severnyy-olen-130-sm-380-svetodiodov-ip65-ponizhayuschiy-tra-513-271/", "Инфо")</f>
        <v>Инфо</v>
      </c>
      <c r="F11974" s="16" t="s">
        <v>39</v>
      </c>
      <c r="G11974" s="15"/>
      <c r="H11974" s="15"/>
      <c r="I11974" s="15"/>
      <c r="J11974" s="16" t="s">
        <v>100</v>
      </c>
      <c r="K11974" s="15"/>
      <c r="L11974" s="17">
        <v>1</v>
      </c>
      <c r="M11974" s="17">
        <v>1</v>
      </c>
      <c r="N11974" s="17">
        <v>1</v>
      </c>
      <c r="O11974" s="18">
        <v>71688.87</v>
      </c>
      <c r="P11974" s="18">
        <v>58761.37</v>
      </c>
      <c r="Q11974" s="18">
        <v>71688.87</v>
      </c>
      <c r="R11974" s="18">
        <v>58761.37</v>
      </c>
      <c r="S11974" s="18">
        <v>44447.1</v>
      </c>
      <c r="T11974" s="18">
        <v>36432.050000000003</v>
      </c>
      <c r="U11974" s="16"/>
      <c r="V11974" s="16"/>
      <c r="W11974" s="16" t="s">
        <v>40</v>
      </c>
      <c r="X11974" s="19">
        <v>16.02</v>
      </c>
      <c r="Y11974" s="20">
        <v>0.32</v>
      </c>
      <c r="Z11974" s="21">
        <v>4601004003415</v>
      </c>
    </row>
    <row r="11975" spans="1:26" ht="12" customHeight="1" outlineLevel="3" x14ac:dyDescent="0.2">
      <c r="A11975" s="32" t="s">
        <v>22738</v>
      </c>
      <c r="B11975" s="74" t="s">
        <v>22739</v>
      </c>
      <c r="C11975" s="50"/>
      <c r="D11975" s="53">
        <f t="shared" si="186"/>
        <v>0</v>
      </c>
      <c r="E11975" s="60" t="str">
        <f>HYPERLINK("https://www.sds-group.ru/product/akrilovaya-svetodiodnaya-figura-snezhnyy-olen-100-sm-380-svetodiodov-ip-65-ponizhayuschiy-tr-513-307/", "Инфо")</f>
        <v>Инфо</v>
      </c>
      <c r="F11975" s="34" t="s">
        <v>39</v>
      </c>
      <c r="G11975" s="33"/>
      <c r="H11975" s="33" t="s">
        <v>40</v>
      </c>
      <c r="I11975" s="33"/>
      <c r="J11975" s="35">
        <v>4</v>
      </c>
      <c r="K11975" s="33"/>
      <c r="L11975" s="35">
        <v>1</v>
      </c>
      <c r="M11975" s="35">
        <v>1</v>
      </c>
      <c r="N11975" s="35">
        <v>1</v>
      </c>
      <c r="O11975" s="36">
        <v>49781.2</v>
      </c>
      <c r="P11975" s="36">
        <v>40804.26</v>
      </c>
      <c r="Q11975" s="36">
        <v>34846.839999999997</v>
      </c>
      <c r="R11975" s="36">
        <v>28562.98</v>
      </c>
      <c r="S11975" s="36">
        <v>30864.34</v>
      </c>
      <c r="T11975" s="36">
        <v>25298.639999999999</v>
      </c>
      <c r="U11975" s="34"/>
      <c r="V11975" s="34"/>
      <c r="W11975" s="34"/>
      <c r="X11975" s="37">
        <v>14.026999999999999</v>
      </c>
      <c r="Y11975" s="38">
        <v>0.19606699999999999</v>
      </c>
      <c r="Z11975" s="21">
        <v>4601004259478</v>
      </c>
    </row>
    <row r="11976" spans="1:26" ht="12.95" customHeight="1" outlineLevel="2" x14ac:dyDescent="0.2">
      <c r="A11976" s="76" t="s">
        <v>22740</v>
      </c>
      <c r="B11976" s="76"/>
      <c r="C11976" s="77"/>
      <c r="D11976" s="58"/>
      <c r="E11976" s="68"/>
      <c r="F11976" s="13"/>
      <c r="G11976" s="13"/>
      <c r="H11976" s="13"/>
      <c r="I11976" s="13"/>
      <c r="J11976" s="13"/>
      <c r="K11976" s="13"/>
      <c r="L11976" s="13"/>
      <c r="M11976" s="13"/>
      <c r="N11976" s="13"/>
      <c r="O11976" s="13"/>
      <c r="P11976" s="13"/>
      <c r="Q11976" s="13"/>
      <c r="R11976" s="13"/>
      <c r="S11976" s="13"/>
      <c r="T11976" s="13"/>
      <c r="U11976" s="13"/>
      <c r="V11976" s="13"/>
      <c r="W11976" s="13"/>
      <c r="X11976" s="13"/>
      <c r="Y11976" s="13"/>
      <c r="Z11976" s="13"/>
    </row>
    <row r="11977" spans="1:26" ht="12.95" customHeight="1" outlineLevel="3" x14ac:dyDescent="0.2">
      <c r="A11977" s="76" t="s">
        <v>22741</v>
      </c>
      <c r="B11977" s="76"/>
      <c r="C11977" s="77"/>
      <c r="D11977" s="58"/>
      <c r="E11977" s="68"/>
      <c r="F11977" s="13"/>
      <c r="G11977" s="13"/>
      <c r="H11977" s="13"/>
      <c r="I11977" s="13"/>
      <c r="J11977" s="13"/>
      <c r="K11977" s="13"/>
      <c r="L11977" s="13"/>
      <c r="M11977" s="13"/>
      <c r="N11977" s="13"/>
      <c r="O11977" s="13"/>
      <c r="P11977" s="13"/>
      <c r="Q11977" s="13"/>
      <c r="R11977" s="13"/>
      <c r="S11977" s="13"/>
      <c r="T11977" s="13"/>
      <c r="U11977" s="13"/>
      <c r="V11977" s="13"/>
      <c r="W11977" s="13"/>
      <c r="X11977" s="13"/>
      <c r="Y11977" s="13"/>
      <c r="Z11977" s="13"/>
    </row>
    <row r="11978" spans="1:26" ht="12" customHeight="1" outlineLevel="4" x14ac:dyDescent="0.2">
      <c r="A11978" s="14" t="s">
        <v>22742</v>
      </c>
      <c r="B11978" s="26" t="s">
        <v>22743</v>
      </c>
      <c r="C11978" s="52"/>
      <c r="D11978" s="55">
        <f t="shared" ref="D11978:D12040" si="187">C11978*(O11978-O11978*$G$3)</f>
        <v>0</v>
      </c>
      <c r="E11978" s="63" t="str">
        <f>HYPERLINK("https://www.sds-group.ru/product/svetodiodnaya-figura-iz-gibkogo-neona-snezhinka-60x60sm-belyy-neon-night-501-325/", "Инфо")</f>
        <v>Инфо</v>
      </c>
      <c r="F11978" s="16" t="s">
        <v>39</v>
      </c>
      <c r="G11978" s="15"/>
      <c r="H11978" s="15"/>
      <c r="I11978" s="15"/>
      <c r="J11978" s="17">
        <v>44</v>
      </c>
      <c r="K11978" s="15"/>
      <c r="L11978" s="17">
        <v>1</v>
      </c>
      <c r="M11978" s="17">
        <v>10</v>
      </c>
      <c r="N11978" s="17">
        <v>1</v>
      </c>
      <c r="O11978" s="18">
        <v>9514.8700000000008</v>
      </c>
      <c r="P11978" s="18">
        <v>7799.07</v>
      </c>
      <c r="Q11978" s="18">
        <v>9514.8700000000008</v>
      </c>
      <c r="R11978" s="18">
        <v>7799.07</v>
      </c>
      <c r="S11978" s="18">
        <v>5899.22</v>
      </c>
      <c r="T11978" s="18">
        <v>4835.43</v>
      </c>
      <c r="U11978" s="16"/>
      <c r="V11978" s="16"/>
      <c r="W11978" s="16" t="s">
        <v>40</v>
      </c>
      <c r="X11978" s="19">
        <v>1.514</v>
      </c>
      <c r="Y11978" s="20">
        <v>1.1424999999999999E-2</v>
      </c>
      <c r="Z11978" s="21">
        <v>4601004180024</v>
      </c>
    </row>
    <row r="11979" spans="1:26" ht="12" customHeight="1" outlineLevel="4" x14ac:dyDescent="0.2">
      <c r="A11979" s="14" t="s">
        <v>22744</v>
      </c>
      <c r="B11979" s="26" t="s">
        <v>22745</v>
      </c>
      <c r="C11979" s="52"/>
      <c r="D11979" s="55">
        <f t="shared" si="187"/>
        <v>0</v>
      </c>
      <c r="E11979" s="63" t="str">
        <f>HYPERLINK("https://www.sds-group.ru/product/svetodiodnaya-figura-iz-gibkogo-neona-snezhinka-60x60sm-siniy-neon-night-501-343/", "Инфо")</f>
        <v>Инфо</v>
      </c>
      <c r="F11979" s="16" t="s">
        <v>39</v>
      </c>
      <c r="G11979" s="15"/>
      <c r="H11979" s="15"/>
      <c r="I11979" s="15"/>
      <c r="J11979" s="17">
        <v>80</v>
      </c>
      <c r="K11979" s="15"/>
      <c r="L11979" s="17">
        <v>1</v>
      </c>
      <c r="M11979" s="17">
        <v>10</v>
      </c>
      <c r="N11979" s="17">
        <v>1</v>
      </c>
      <c r="O11979" s="18">
        <v>9514.8700000000008</v>
      </c>
      <c r="P11979" s="18">
        <v>7799.07</v>
      </c>
      <c r="Q11979" s="18">
        <v>9514.8700000000008</v>
      </c>
      <c r="R11979" s="18">
        <v>7799.07</v>
      </c>
      <c r="S11979" s="18">
        <v>5899.22</v>
      </c>
      <c r="T11979" s="18">
        <v>4835.43</v>
      </c>
      <c r="U11979" s="16"/>
      <c r="V11979" s="16"/>
      <c r="W11979" s="16" t="s">
        <v>40</v>
      </c>
      <c r="X11979" s="19">
        <v>1.4850000000000001</v>
      </c>
      <c r="Y11979" s="20">
        <v>1.1478E-2</v>
      </c>
      <c r="Z11979" s="21">
        <v>4601004257504</v>
      </c>
    </row>
    <row r="11980" spans="1:26" ht="12" customHeight="1" outlineLevel="4" x14ac:dyDescent="0.2">
      <c r="A11980" s="14" t="s">
        <v>22746</v>
      </c>
      <c r="B11980" s="26" t="s">
        <v>22747</v>
      </c>
      <c r="C11980" s="52"/>
      <c r="D11980" s="55">
        <f t="shared" si="187"/>
        <v>0</v>
      </c>
      <c r="E11980" s="63" t="str">
        <f>HYPERLINK("https://www.sds-group.ru/product/svetodiodnaya-figura-iz-gibkogo-neona-snezhinka-60x60sm-teplyy-belyy-neon-night-501-326/", "Инфо")</f>
        <v>Инфо</v>
      </c>
      <c r="F11980" s="16" t="s">
        <v>39</v>
      </c>
      <c r="G11980" s="15"/>
      <c r="H11980" s="15"/>
      <c r="I11980" s="15"/>
      <c r="J11980" s="17">
        <v>8</v>
      </c>
      <c r="K11980" s="15"/>
      <c r="L11980" s="17">
        <v>1</v>
      </c>
      <c r="M11980" s="17">
        <v>10</v>
      </c>
      <c r="N11980" s="17">
        <v>1</v>
      </c>
      <c r="O11980" s="18">
        <v>9514.8700000000008</v>
      </c>
      <c r="P11980" s="18">
        <v>7799.07</v>
      </c>
      <c r="Q11980" s="18">
        <v>9514.8700000000008</v>
      </c>
      <c r="R11980" s="18">
        <v>7799.07</v>
      </c>
      <c r="S11980" s="18">
        <v>5899.22</v>
      </c>
      <c r="T11980" s="18">
        <v>4835.43</v>
      </c>
      <c r="U11980" s="16"/>
      <c r="V11980" s="16"/>
      <c r="W11980" s="16" t="s">
        <v>40</v>
      </c>
      <c r="X11980" s="19">
        <v>1.5489999999999999</v>
      </c>
      <c r="Y11980" s="20">
        <v>1.1233E-2</v>
      </c>
      <c r="Z11980" s="21">
        <v>4601004224926</v>
      </c>
    </row>
    <row r="11981" spans="1:26" ht="12" customHeight="1" outlineLevel="4" x14ac:dyDescent="0.2">
      <c r="A11981" s="14" t="s">
        <v>22748</v>
      </c>
      <c r="B11981" s="26" t="s">
        <v>22749</v>
      </c>
      <c r="C11981" s="52"/>
      <c r="D11981" s="55">
        <f t="shared" si="187"/>
        <v>0</v>
      </c>
      <c r="E11981" s="63" t="str">
        <f>HYPERLINK("https://www.sds-group.ru/product/svetodiodnaya-figura-iz-gibkogo-neona-snezhinka-s-effektom-tayuschih-sosulek-60x60sm-siniy-b-501-223/", "Инфо")</f>
        <v>Инфо</v>
      </c>
      <c r="F11981" s="16" t="s">
        <v>39</v>
      </c>
      <c r="G11981" s="15"/>
      <c r="H11981" s="15"/>
      <c r="I11981" s="15"/>
      <c r="J11981" s="17">
        <v>48</v>
      </c>
      <c r="K11981" s="15" t="s">
        <v>21221</v>
      </c>
      <c r="L11981" s="17">
        <v>1</v>
      </c>
      <c r="M11981" s="17">
        <v>10</v>
      </c>
      <c r="N11981" s="17">
        <v>1</v>
      </c>
      <c r="O11981" s="18">
        <v>10572.24</v>
      </c>
      <c r="P11981" s="18">
        <v>8665.77</v>
      </c>
      <c r="Q11981" s="18">
        <v>10572.24</v>
      </c>
      <c r="R11981" s="18">
        <v>8665.77</v>
      </c>
      <c r="S11981" s="18">
        <v>6554.79</v>
      </c>
      <c r="T11981" s="18">
        <v>5372.78</v>
      </c>
      <c r="U11981" s="16"/>
      <c r="V11981" s="16"/>
      <c r="W11981" s="16" t="s">
        <v>40</v>
      </c>
      <c r="X11981" s="19">
        <v>1.772</v>
      </c>
      <c r="Y11981" s="20">
        <v>1.107E-2</v>
      </c>
      <c r="Z11981" s="21">
        <v>4601004224964</v>
      </c>
    </row>
    <row r="11982" spans="1:26" ht="12" customHeight="1" outlineLevel="4" x14ac:dyDescent="0.2">
      <c r="A11982" s="14" t="s">
        <v>22750</v>
      </c>
      <c r="B11982" s="26" t="s">
        <v>22751</v>
      </c>
      <c r="C11982" s="52"/>
      <c r="D11982" s="55">
        <f t="shared" si="187"/>
        <v>0</v>
      </c>
      <c r="E11982" s="63" t="str">
        <f>HYPERLINK("https://www.sds-group.ru/product/svetodiodnaya-figura-iz-gibkogo-neona-snezhinka-s-effektom-tayuschih-sosulek-60x60sm-teplyy--501-226/", "Инфо")</f>
        <v>Инфо</v>
      </c>
      <c r="F11982" s="16" t="s">
        <v>39</v>
      </c>
      <c r="G11982" s="15"/>
      <c r="H11982" s="15"/>
      <c r="I11982" s="15"/>
      <c r="J11982" s="17">
        <v>76</v>
      </c>
      <c r="K11982" s="15"/>
      <c r="L11982" s="17">
        <v>1</v>
      </c>
      <c r="M11982" s="17">
        <v>10</v>
      </c>
      <c r="N11982" s="17">
        <v>1</v>
      </c>
      <c r="O11982" s="18">
        <v>10572.24</v>
      </c>
      <c r="P11982" s="18">
        <v>8665.77</v>
      </c>
      <c r="Q11982" s="18">
        <v>10572.24</v>
      </c>
      <c r="R11982" s="18">
        <v>8665.77</v>
      </c>
      <c r="S11982" s="18">
        <v>6554.79</v>
      </c>
      <c r="T11982" s="18">
        <v>5372.78</v>
      </c>
      <c r="U11982" s="16"/>
      <c r="V11982" s="16"/>
      <c r="W11982" s="16" t="s">
        <v>40</v>
      </c>
      <c r="X11982" s="19">
        <v>1.8029999999999999</v>
      </c>
      <c r="Y11982" s="20">
        <v>1.1353E-2</v>
      </c>
      <c r="Z11982" s="21">
        <v>4601004180048</v>
      </c>
    </row>
    <row r="11983" spans="1:26" ht="12" customHeight="1" outlineLevel="4" x14ac:dyDescent="0.2">
      <c r="A11983" s="14" t="s">
        <v>22752</v>
      </c>
      <c r="B11983" s="26" t="s">
        <v>22753</v>
      </c>
      <c r="C11983" s="52"/>
      <c r="D11983" s="55">
        <f t="shared" si="187"/>
        <v>0</v>
      </c>
      <c r="E11983" s="63" t="str">
        <f>HYPERLINK("https://www.sds-group.ru/product/svetodiodnaya-figura-iz-dyuralayta-bolshaya-snezhinka-95x95sm-belyy-neon-night-501-333/", "Инфо")</f>
        <v>Инфо</v>
      </c>
      <c r="F11983" s="16" t="s">
        <v>39</v>
      </c>
      <c r="G11983" s="15"/>
      <c r="H11983" s="15"/>
      <c r="I11983" s="15"/>
      <c r="J11983" s="17">
        <v>1</v>
      </c>
      <c r="K11983" s="15" t="s">
        <v>21221</v>
      </c>
      <c r="L11983" s="17">
        <v>1</v>
      </c>
      <c r="M11983" s="17">
        <v>5</v>
      </c>
      <c r="N11983" s="17">
        <v>1</v>
      </c>
      <c r="O11983" s="18">
        <v>13291.23</v>
      </c>
      <c r="P11983" s="18">
        <v>10894.45</v>
      </c>
      <c r="Q11983" s="18">
        <v>13291.23</v>
      </c>
      <c r="R11983" s="18">
        <v>10894.45</v>
      </c>
      <c r="S11983" s="18">
        <v>8240.56</v>
      </c>
      <c r="T11983" s="18">
        <v>6754.56</v>
      </c>
      <c r="U11983" s="16"/>
      <c r="V11983" s="16"/>
      <c r="W11983" s="16" t="s">
        <v>40</v>
      </c>
      <c r="X11983" s="19">
        <v>3.8</v>
      </c>
      <c r="Y11983" s="20">
        <v>3.3250000000000002E-2</v>
      </c>
      <c r="Z11983" s="21">
        <v>4601004001817</v>
      </c>
    </row>
    <row r="11984" spans="1:26" ht="12" customHeight="1" outlineLevel="4" x14ac:dyDescent="0.2">
      <c r="A11984" s="14" t="s">
        <v>22754</v>
      </c>
      <c r="B11984" s="26" t="s">
        <v>22755</v>
      </c>
      <c r="C11984" s="52"/>
      <c r="D11984" s="55">
        <f t="shared" si="187"/>
        <v>0</v>
      </c>
      <c r="E11984" s="63" t="str">
        <f>HYPERLINK("https://www.sds-group.ru/product/svetodiodnaya-figura-iz-dyuralayta-bolshaya-snezhinka-95x95sm-siniy-neon-night-501-332/", "Инфо")</f>
        <v>Инфо</v>
      </c>
      <c r="F11984" s="16" t="s">
        <v>39</v>
      </c>
      <c r="G11984" s="15"/>
      <c r="H11984" s="15"/>
      <c r="I11984" s="15"/>
      <c r="J11984" s="17">
        <v>15</v>
      </c>
      <c r="K11984" s="15" t="s">
        <v>21221</v>
      </c>
      <c r="L11984" s="17">
        <v>1</v>
      </c>
      <c r="M11984" s="17">
        <v>5</v>
      </c>
      <c r="N11984" s="17">
        <v>1</v>
      </c>
      <c r="O11984" s="18">
        <v>13291.23</v>
      </c>
      <c r="P11984" s="18">
        <v>10894.45</v>
      </c>
      <c r="Q11984" s="18">
        <v>13291.23</v>
      </c>
      <c r="R11984" s="18">
        <v>10894.45</v>
      </c>
      <c r="S11984" s="18">
        <v>8240.56</v>
      </c>
      <c r="T11984" s="18">
        <v>6754.56</v>
      </c>
      <c r="U11984" s="16"/>
      <c r="V11984" s="16"/>
      <c r="W11984" s="16" t="s">
        <v>40</v>
      </c>
      <c r="X11984" s="19">
        <v>3.8</v>
      </c>
      <c r="Y11984" s="20">
        <v>3.3269E-2</v>
      </c>
      <c r="Z11984" s="21">
        <v>4601004014077</v>
      </c>
    </row>
    <row r="11985" spans="1:26" ht="12" customHeight="1" outlineLevel="4" x14ac:dyDescent="0.2">
      <c r="A11985" s="32" t="s">
        <v>22756</v>
      </c>
      <c r="B11985" s="74" t="s">
        <v>22757</v>
      </c>
      <c r="C11985" s="50"/>
      <c r="D11985" s="53">
        <f t="shared" si="187"/>
        <v>0</v>
      </c>
      <c r="E11985" s="60" t="str">
        <f>HYPERLINK("https://www.sds-group.ru/product/svetodiodnaya-figura-iz-dyuralayta-bolshaya-snezhinka-95x95sm-teplyy-belyy-neon-night-501-313/", "Инфо")</f>
        <v>Инфо</v>
      </c>
      <c r="F11985" s="34" t="s">
        <v>39</v>
      </c>
      <c r="G11985" s="33"/>
      <c r="H11985" s="33" t="s">
        <v>40</v>
      </c>
      <c r="I11985" s="33"/>
      <c r="J11985" s="34" t="s">
        <v>100</v>
      </c>
      <c r="K11985" s="33"/>
      <c r="L11985" s="35">
        <v>1</v>
      </c>
      <c r="M11985" s="35">
        <v>5</v>
      </c>
      <c r="N11985" s="35">
        <v>1</v>
      </c>
      <c r="O11985" s="36">
        <v>13291.23</v>
      </c>
      <c r="P11985" s="36">
        <v>10894.45</v>
      </c>
      <c r="Q11985" s="36">
        <v>13291.23</v>
      </c>
      <c r="R11985" s="36">
        <v>10894.45</v>
      </c>
      <c r="S11985" s="36">
        <v>8240.56</v>
      </c>
      <c r="T11985" s="36">
        <v>6754.56</v>
      </c>
      <c r="U11985" s="34"/>
      <c r="V11985" s="34"/>
      <c r="W11985" s="34" t="s">
        <v>40</v>
      </c>
      <c r="X11985" s="37">
        <v>3.8</v>
      </c>
      <c r="Y11985" s="38">
        <v>3.3250000000000002E-2</v>
      </c>
      <c r="Z11985" s="21">
        <v>4601004013988</v>
      </c>
    </row>
    <row r="11986" spans="1:26" ht="12" customHeight="1" outlineLevel="4" x14ac:dyDescent="0.2">
      <c r="A11986" s="32" t="s">
        <v>22758</v>
      </c>
      <c r="B11986" s="74" t="s">
        <v>22759</v>
      </c>
      <c r="C11986" s="50"/>
      <c r="D11986" s="53">
        <f t="shared" si="187"/>
        <v>0</v>
      </c>
      <c r="E11986" s="60" t="str">
        <f>HYPERLINK("https://www.sds-group.ru/product/svetodiodnaya-figura-iz-dyuralayta-zvezdochka-30x28sm-belyy-neon-night-501-211-1/", "Инфо")</f>
        <v>Инфо</v>
      </c>
      <c r="F11986" s="34" t="s">
        <v>39</v>
      </c>
      <c r="G11986" s="33"/>
      <c r="H11986" s="33" t="s">
        <v>40</v>
      </c>
      <c r="I11986" s="33"/>
      <c r="J11986" s="35">
        <v>2</v>
      </c>
      <c r="K11986" s="33"/>
      <c r="L11986" s="35">
        <v>1</v>
      </c>
      <c r="M11986" s="35">
        <v>50</v>
      </c>
      <c r="N11986" s="35">
        <v>1</v>
      </c>
      <c r="O11986" s="36">
        <v>928.81</v>
      </c>
      <c r="P11986" s="36">
        <v>761.32</v>
      </c>
      <c r="Q11986" s="36">
        <v>928.81</v>
      </c>
      <c r="R11986" s="36">
        <v>761.32</v>
      </c>
      <c r="S11986" s="36">
        <v>575.86</v>
      </c>
      <c r="T11986" s="36">
        <v>472.02</v>
      </c>
      <c r="U11986" s="34"/>
      <c r="V11986" s="34"/>
      <c r="W11986" s="34" t="s">
        <v>40</v>
      </c>
      <c r="X11986" s="37">
        <v>0.47699999999999998</v>
      </c>
      <c r="Y11986" s="38">
        <v>3.039E-3</v>
      </c>
      <c r="Z11986" s="21">
        <v>4601004008991</v>
      </c>
    </row>
    <row r="11987" spans="1:26" ht="12" customHeight="1" outlineLevel="4" x14ac:dyDescent="0.2">
      <c r="A11987" s="14" t="s">
        <v>22760</v>
      </c>
      <c r="B11987" s="26" t="s">
        <v>22761</v>
      </c>
      <c r="C11987" s="52"/>
      <c r="D11987" s="55">
        <f t="shared" si="187"/>
        <v>0</v>
      </c>
      <c r="E11987" s="63" t="str">
        <f>HYPERLINK("https://www.sds-group.ru/product/svetodiodnaya-figura-iz-dyuralayta-zvezdochka-30x28sm-teplyy-belyy-neon-night-501-211/", "Инфо")</f>
        <v>Инфо</v>
      </c>
      <c r="F11987" s="16" t="s">
        <v>39</v>
      </c>
      <c r="G11987" s="15"/>
      <c r="H11987" s="15"/>
      <c r="I11987" s="15"/>
      <c r="J11987" s="16" t="s">
        <v>100</v>
      </c>
      <c r="K11987" s="15"/>
      <c r="L11987" s="17">
        <v>1</v>
      </c>
      <c r="M11987" s="17">
        <v>10</v>
      </c>
      <c r="N11987" s="17">
        <v>1</v>
      </c>
      <c r="O11987" s="18">
        <v>866.48</v>
      </c>
      <c r="P11987" s="18">
        <v>710.23</v>
      </c>
      <c r="Q11987" s="18">
        <v>866.48</v>
      </c>
      <c r="R11987" s="18">
        <v>710.23</v>
      </c>
      <c r="S11987" s="18">
        <v>537.22</v>
      </c>
      <c r="T11987" s="18">
        <v>440.34</v>
      </c>
      <c r="U11987" s="16"/>
      <c r="V11987" s="16"/>
      <c r="W11987" s="16" t="s">
        <v>40</v>
      </c>
      <c r="X11987" s="19">
        <v>0.46500000000000002</v>
      </c>
      <c r="Y11987" s="20">
        <v>2.4299999999999999E-3</v>
      </c>
      <c r="Z11987" s="21">
        <v>4601004008953</v>
      </c>
    </row>
    <row r="11988" spans="1:26" ht="12" customHeight="1" outlineLevel="4" x14ac:dyDescent="0.2">
      <c r="A11988" s="14" t="s">
        <v>22762</v>
      </c>
      <c r="B11988" s="26" t="s">
        <v>22763</v>
      </c>
      <c r="C11988" s="52"/>
      <c r="D11988" s="55">
        <f t="shared" si="187"/>
        <v>0</v>
      </c>
      <c r="E11988" s="63" t="str">
        <f>HYPERLINK("https://www.sds-group.ru/product/svetodiodnaya-figura-iz-dyuralayta-snezhinka-45x38sm-belyy-neon-night-501-212-1/", "Инфо")</f>
        <v>Инфо</v>
      </c>
      <c r="F11988" s="16" t="s">
        <v>39</v>
      </c>
      <c r="G11988" s="15"/>
      <c r="H11988" s="15"/>
      <c r="I11988" s="15"/>
      <c r="J11988" s="16" t="s">
        <v>100</v>
      </c>
      <c r="K11988" s="15" t="s">
        <v>21221</v>
      </c>
      <c r="L11988" s="17">
        <v>1</v>
      </c>
      <c r="M11988" s="17">
        <v>10</v>
      </c>
      <c r="N11988" s="17">
        <v>1</v>
      </c>
      <c r="O11988" s="18">
        <v>4983.24</v>
      </c>
      <c r="P11988" s="18">
        <v>4084.62</v>
      </c>
      <c r="Q11988" s="18">
        <v>4983.24</v>
      </c>
      <c r="R11988" s="18">
        <v>4084.62</v>
      </c>
      <c r="S11988" s="18">
        <v>3089.61</v>
      </c>
      <c r="T11988" s="18">
        <v>2532.4699999999998</v>
      </c>
      <c r="U11988" s="16"/>
      <c r="V11988" s="16"/>
      <c r="W11988" s="16" t="s">
        <v>40</v>
      </c>
      <c r="X11988" s="19">
        <v>0.97099999999999997</v>
      </c>
      <c r="Y11988" s="20">
        <v>6.1310000000000002E-3</v>
      </c>
      <c r="Z11988" s="21">
        <v>4601004008984</v>
      </c>
    </row>
    <row r="11989" spans="1:26" ht="12" customHeight="1" outlineLevel="4" x14ac:dyDescent="0.2">
      <c r="A11989" s="14" t="s">
        <v>22764</v>
      </c>
      <c r="B11989" s="26" t="s">
        <v>22765</v>
      </c>
      <c r="C11989" s="52"/>
      <c r="D11989" s="55">
        <f t="shared" si="187"/>
        <v>0</v>
      </c>
      <c r="E11989" s="63" t="str">
        <f>HYPERLINK("https://www.sds-group.ru/product/svetodiodnaya-figura-iz-dyuralayta-snezhinka-45x38sm-siniy-neon-night-501-363/", "Инфо")</f>
        <v>Инфо</v>
      </c>
      <c r="F11989" s="16" t="s">
        <v>39</v>
      </c>
      <c r="G11989" s="15"/>
      <c r="H11989" s="15"/>
      <c r="I11989" s="15"/>
      <c r="J11989" s="17">
        <v>36</v>
      </c>
      <c r="K11989" s="15"/>
      <c r="L11989" s="17">
        <v>1</v>
      </c>
      <c r="M11989" s="17">
        <v>20</v>
      </c>
      <c r="N11989" s="17">
        <v>1</v>
      </c>
      <c r="O11989" s="18">
        <v>4983.24</v>
      </c>
      <c r="P11989" s="18">
        <v>4084.62</v>
      </c>
      <c r="Q11989" s="18">
        <v>4983.24</v>
      </c>
      <c r="R11989" s="18">
        <v>4084.62</v>
      </c>
      <c r="S11989" s="18">
        <v>3089.61</v>
      </c>
      <c r="T11989" s="18">
        <v>2532.4699999999998</v>
      </c>
      <c r="U11989" s="16"/>
      <c r="V11989" s="16"/>
      <c r="W11989" s="16" t="s">
        <v>40</v>
      </c>
      <c r="X11989" s="19">
        <v>0.95</v>
      </c>
      <c r="Y11989" s="20">
        <v>2.8699999999999998E-4</v>
      </c>
      <c r="Z11989" s="21">
        <v>4601004257412</v>
      </c>
    </row>
    <row r="11990" spans="1:26" ht="12" customHeight="1" outlineLevel="4" x14ac:dyDescent="0.2">
      <c r="A11990" s="14" t="s">
        <v>22766</v>
      </c>
      <c r="B11990" s="26" t="s">
        <v>22767</v>
      </c>
      <c r="C11990" s="52"/>
      <c r="D11990" s="55">
        <f t="shared" si="187"/>
        <v>0</v>
      </c>
      <c r="E11990" s="63" t="str">
        <f>HYPERLINK("https://www.sds-group.ru/product/svetodiodnaya-figura-iz-dyuralayta-snezhinka-45x38sm-teplyy-belyy-neon-night-501-212/", "Инфо")</f>
        <v>Инфо</v>
      </c>
      <c r="F11990" s="16" t="s">
        <v>39</v>
      </c>
      <c r="G11990" s="15"/>
      <c r="H11990" s="15"/>
      <c r="I11990" s="15"/>
      <c r="J11990" s="17">
        <v>24</v>
      </c>
      <c r="K11990" s="15" t="s">
        <v>21221</v>
      </c>
      <c r="L11990" s="17">
        <v>1</v>
      </c>
      <c r="M11990" s="17">
        <v>10</v>
      </c>
      <c r="N11990" s="17">
        <v>1</v>
      </c>
      <c r="O11990" s="18">
        <v>4983.24</v>
      </c>
      <c r="P11990" s="18">
        <v>4084.62</v>
      </c>
      <c r="Q11990" s="18">
        <v>4983.24</v>
      </c>
      <c r="R11990" s="18">
        <v>4084.62</v>
      </c>
      <c r="S11990" s="18">
        <v>3089.61</v>
      </c>
      <c r="T11990" s="18">
        <v>2532.4699999999998</v>
      </c>
      <c r="U11990" s="16"/>
      <c r="V11990" s="16"/>
      <c r="W11990" s="16" t="s">
        <v>40</v>
      </c>
      <c r="X11990" s="19">
        <v>0.90300000000000002</v>
      </c>
      <c r="Y11990" s="20">
        <v>4.9800000000000001E-3</v>
      </c>
      <c r="Z11990" s="21">
        <v>4601004001824</v>
      </c>
    </row>
    <row r="11991" spans="1:26" ht="12" customHeight="1" outlineLevel="4" x14ac:dyDescent="0.2">
      <c r="A11991" s="14" t="s">
        <v>22768</v>
      </c>
      <c r="B11991" s="26" t="s">
        <v>22769</v>
      </c>
      <c r="C11991" s="52"/>
      <c r="D11991" s="55">
        <f t="shared" si="187"/>
        <v>0</v>
      </c>
      <c r="E11991" s="63" t="str">
        <f>HYPERLINK("https://www.sds-group.ru/product/svetodiodnaya-figura-iz-dyuralayta-snezhinka-55x55sm-belyy-neon-night-501-334/", "Инфо")</f>
        <v>Инфо</v>
      </c>
      <c r="F11991" s="16" t="s">
        <v>39</v>
      </c>
      <c r="G11991" s="15"/>
      <c r="H11991" s="15"/>
      <c r="I11991" s="15"/>
      <c r="J11991" s="16" t="s">
        <v>100</v>
      </c>
      <c r="K11991" s="15" t="s">
        <v>21221</v>
      </c>
      <c r="L11991" s="17">
        <v>1</v>
      </c>
      <c r="M11991" s="17">
        <v>10</v>
      </c>
      <c r="N11991" s="17">
        <v>1</v>
      </c>
      <c r="O11991" s="18">
        <v>6627.43</v>
      </c>
      <c r="P11991" s="18">
        <v>5432.32</v>
      </c>
      <c r="Q11991" s="18">
        <v>6627.43</v>
      </c>
      <c r="R11991" s="18">
        <v>5432.32</v>
      </c>
      <c r="S11991" s="18">
        <v>4109.01</v>
      </c>
      <c r="T11991" s="18">
        <v>3368.04</v>
      </c>
      <c r="U11991" s="16"/>
      <c r="V11991" s="16"/>
      <c r="W11991" s="16" t="s">
        <v>40</v>
      </c>
      <c r="X11991" s="19">
        <v>1.5449999999999999</v>
      </c>
      <c r="Y11991" s="20">
        <v>1.1084E-2</v>
      </c>
      <c r="Z11991" s="21">
        <v>4601004001855</v>
      </c>
    </row>
    <row r="11992" spans="1:26" ht="12" customHeight="1" outlineLevel="4" x14ac:dyDescent="0.2">
      <c r="A11992" s="14" t="s">
        <v>22770</v>
      </c>
      <c r="B11992" s="26" t="s">
        <v>22771</v>
      </c>
      <c r="C11992" s="52"/>
      <c r="D11992" s="55">
        <f t="shared" si="187"/>
        <v>0</v>
      </c>
      <c r="E11992" s="63" t="str">
        <f>HYPERLINK("https://www.sds-group.ru/product/svetodiodnaya-figura-iz-dyuralayta-snezhinka-55x55sm-siniy-neon-night-501-335/", "Инфо")</f>
        <v>Инфо</v>
      </c>
      <c r="F11992" s="16" t="s">
        <v>39</v>
      </c>
      <c r="G11992" s="15"/>
      <c r="H11992" s="15"/>
      <c r="I11992" s="15"/>
      <c r="J11992" s="17">
        <v>60</v>
      </c>
      <c r="K11992" s="15"/>
      <c r="L11992" s="17">
        <v>1</v>
      </c>
      <c r="M11992" s="17">
        <v>15</v>
      </c>
      <c r="N11992" s="17">
        <v>1</v>
      </c>
      <c r="O11992" s="18">
        <v>6627.43</v>
      </c>
      <c r="P11992" s="18">
        <v>5432.32</v>
      </c>
      <c r="Q11992" s="18">
        <v>6627.43</v>
      </c>
      <c r="R11992" s="18">
        <v>5432.32</v>
      </c>
      <c r="S11992" s="18">
        <v>4109.01</v>
      </c>
      <c r="T11992" s="18">
        <v>3368.04</v>
      </c>
      <c r="U11992" s="16"/>
      <c r="V11992" s="16"/>
      <c r="W11992" s="16" t="s">
        <v>40</v>
      </c>
      <c r="X11992" s="19">
        <v>1.556</v>
      </c>
      <c r="Y11992" s="20">
        <v>1.1150999999999999E-2</v>
      </c>
      <c r="Z11992" s="21">
        <v>4601004003910</v>
      </c>
    </row>
    <row r="11993" spans="1:26" ht="12" customHeight="1" outlineLevel="4" x14ac:dyDescent="0.2">
      <c r="A11993" s="14" t="s">
        <v>22772</v>
      </c>
      <c r="B11993" s="26" t="s">
        <v>22773</v>
      </c>
      <c r="C11993" s="52"/>
      <c r="D11993" s="55">
        <f t="shared" si="187"/>
        <v>0</v>
      </c>
      <c r="E11993" s="63" t="str">
        <f>HYPERLINK("https://www.sds-group.ru/product/svetodiodnaya-figura-iz-dyuralayta-snezhinka-55x55sm-teplyy-belyy-neon-night-501-324/", "Инфо")</f>
        <v>Инфо</v>
      </c>
      <c r="F11993" s="16" t="s">
        <v>39</v>
      </c>
      <c r="G11993" s="15"/>
      <c r="H11993" s="15"/>
      <c r="I11993" s="15"/>
      <c r="J11993" s="16" t="s">
        <v>100</v>
      </c>
      <c r="K11993" s="15" t="s">
        <v>21221</v>
      </c>
      <c r="L11993" s="17">
        <v>1</v>
      </c>
      <c r="M11993" s="17">
        <v>10</v>
      </c>
      <c r="N11993" s="17">
        <v>1</v>
      </c>
      <c r="O11993" s="18">
        <v>6224.32</v>
      </c>
      <c r="P11993" s="18">
        <v>5101.8999999999996</v>
      </c>
      <c r="Q11993" s="18">
        <v>6224.32</v>
      </c>
      <c r="R11993" s="18">
        <v>5101.8999999999996</v>
      </c>
      <c r="S11993" s="18">
        <v>3859.08</v>
      </c>
      <c r="T11993" s="18">
        <v>3163.18</v>
      </c>
      <c r="U11993" s="16"/>
      <c r="V11993" s="16"/>
      <c r="W11993" s="16" t="s">
        <v>40</v>
      </c>
      <c r="X11993" s="19">
        <v>1.6859999999999999</v>
      </c>
      <c r="Y11993" s="20">
        <v>8.2590000000000007E-3</v>
      </c>
      <c r="Z11993" s="21">
        <v>4601004008670</v>
      </c>
    </row>
    <row r="11994" spans="1:26" ht="12" customHeight="1" outlineLevel="4" x14ac:dyDescent="0.2">
      <c r="A11994" s="14" t="s">
        <v>22774</v>
      </c>
      <c r="B11994" s="26" t="s">
        <v>22775</v>
      </c>
      <c r="C11994" s="52"/>
      <c r="D11994" s="55">
        <f t="shared" si="187"/>
        <v>0</v>
      </c>
      <c r="E11994" s="63" t="str">
        <f>HYPERLINK("https://www.sds-group.ru/product/svetodiodnaya-figura-iz-dyuralayta-snezhinka-s-kontrollerom-60x60sm-belyy-siniy-neon-night-501-531/", "Инфо")</f>
        <v>Инфо</v>
      </c>
      <c r="F11994" s="16" t="s">
        <v>39</v>
      </c>
      <c r="G11994" s="15"/>
      <c r="H11994" s="15"/>
      <c r="I11994" s="15"/>
      <c r="J11994" s="17">
        <v>50</v>
      </c>
      <c r="K11994" s="15"/>
      <c r="L11994" s="17">
        <v>1</v>
      </c>
      <c r="M11994" s="17">
        <v>5</v>
      </c>
      <c r="N11994" s="17">
        <v>1</v>
      </c>
      <c r="O11994" s="18">
        <v>15859.07</v>
      </c>
      <c r="P11994" s="18">
        <v>12999.24</v>
      </c>
      <c r="Q11994" s="18">
        <v>15859.07</v>
      </c>
      <c r="R11994" s="18">
        <v>12999.24</v>
      </c>
      <c r="S11994" s="18">
        <v>9832.6200000000008</v>
      </c>
      <c r="T11994" s="18">
        <v>8059.52</v>
      </c>
      <c r="U11994" s="16"/>
      <c r="V11994" s="16"/>
      <c r="W11994" s="16" t="s">
        <v>40</v>
      </c>
      <c r="X11994" s="19">
        <v>2.5299999999999998</v>
      </c>
      <c r="Y11994" s="20">
        <v>1.4612E-2</v>
      </c>
      <c r="Z11994" s="21">
        <v>4601004014138</v>
      </c>
    </row>
    <row r="11995" spans="1:26" ht="12" customHeight="1" outlineLevel="4" x14ac:dyDescent="0.2">
      <c r="A11995" s="14" t="s">
        <v>22776</v>
      </c>
      <c r="B11995" s="26" t="s">
        <v>22777</v>
      </c>
      <c r="C11995" s="52"/>
      <c r="D11995" s="55">
        <f t="shared" si="187"/>
        <v>0</v>
      </c>
      <c r="E11995" s="63" t="str">
        <f>HYPERLINK("https://www.sds-group.ru/product/svetodiodnaya-figura-iz-dyuralayta-snezhinka-s-effektom-mertsaniya-55x55sm-belyy-neon-night-501-337/", "Инфо")</f>
        <v>Инфо</v>
      </c>
      <c r="F11995" s="16" t="s">
        <v>39</v>
      </c>
      <c r="G11995" s="15"/>
      <c r="H11995" s="15"/>
      <c r="I11995" s="15"/>
      <c r="J11995" s="16" t="s">
        <v>100</v>
      </c>
      <c r="K11995" s="15"/>
      <c r="L11995" s="17">
        <v>1</v>
      </c>
      <c r="M11995" s="17">
        <v>10</v>
      </c>
      <c r="N11995" s="17">
        <v>1</v>
      </c>
      <c r="O11995" s="18">
        <v>7095.89</v>
      </c>
      <c r="P11995" s="18">
        <v>5816.3</v>
      </c>
      <c r="Q11995" s="18">
        <v>7095.89</v>
      </c>
      <c r="R11995" s="18">
        <v>5816.3</v>
      </c>
      <c r="S11995" s="18">
        <v>4399.45</v>
      </c>
      <c r="T11995" s="18">
        <v>3606.11</v>
      </c>
      <c r="U11995" s="16"/>
      <c r="V11995" s="16"/>
      <c r="W11995" s="16" t="s">
        <v>40</v>
      </c>
      <c r="X11995" s="19">
        <v>1.5089999999999999</v>
      </c>
      <c r="Y11995" s="20">
        <v>1.1173000000000001E-2</v>
      </c>
      <c r="Z11995" s="21">
        <v>4601004001800</v>
      </c>
    </row>
    <row r="11996" spans="1:26" ht="12" customHeight="1" outlineLevel="4" x14ac:dyDescent="0.2">
      <c r="A11996" s="14" t="s">
        <v>22778</v>
      </c>
      <c r="B11996" s="26" t="s">
        <v>22779</v>
      </c>
      <c r="C11996" s="52"/>
      <c r="D11996" s="55">
        <f t="shared" si="187"/>
        <v>0</v>
      </c>
      <c r="E11996" s="63" t="str">
        <f>HYPERLINK("https://www.sds-group.ru/product/svetodiodnaya-figura-iz-dyuralayta-snezhinka-s-effektom-mertsaniya-95x95sm-belyy-neon-night-501-338/", "Инфо")</f>
        <v>Инфо</v>
      </c>
      <c r="F11996" s="16" t="s">
        <v>39</v>
      </c>
      <c r="G11996" s="15"/>
      <c r="H11996" s="15"/>
      <c r="I11996" s="15"/>
      <c r="J11996" s="17">
        <v>1</v>
      </c>
      <c r="K11996" s="15" t="s">
        <v>21221</v>
      </c>
      <c r="L11996" s="17">
        <v>1</v>
      </c>
      <c r="M11996" s="17">
        <v>5</v>
      </c>
      <c r="N11996" s="17">
        <v>1</v>
      </c>
      <c r="O11996" s="18">
        <v>15859.07</v>
      </c>
      <c r="P11996" s="18">
        <v>12999.24</v>
      </c>
      <c r="Q11996" s="18">
        <v>15859.07</v>
      </c>
      <c r="R11996" s="18">
        <v>12999.24</v>
      </c>
      <c r="S11996" s="18">
        <v>9832.6200000000008</v>
      </c>
      <c r="T11996" s="18">
        <v>8059.52</v>
      </c>
      <c r="U11996" s="16"/>
      <c r="V11996" s="16"/>
      <c r="W11996" s="16" t="s">
        <v>40</v>
      </c>
      <c r="X11996" s="19">
        <v>3.8</v>
      </c>
      <c r="Y11996" s="20">
        <v>3.3333000000000002E-2</v>
      </c>
      <c r="Z11996" s="21">
        <v>4601004001794</v>
      </c>
    </row>
    <row r="11997" spans="1:26" ht="12.95" customHeight="1" outlineLevel="3" x14ac:dyDescent="0.2">
      <c r="A11997" s="76" t="s">
        <v>22780</v>
      </c>
      <c r="B11997" s="76"/>
      <c r="C11997" s="77"/>
      <c r="D11997" s="58"/>
      <c r="E11997" s="68"/>
      <c r="F11997" s="13"/>
      <c r="G11997" s="13"/>
      <c r="H11997" s="13"/>
      <c r="I11997" s="13"/>
      <c r="J11997" s="13"/>
      <c r="K11997" s="13"/>
      <c r="L11997" s="13"/>
      <c r="M11997" s="13"/>
      <c r="N11997" s="13"/>
      <c r="O11997" s="13"/>
      <c r="P11997" s="13"/>
      <c r="Q11997" s="13"/>
      <c r="R11997" s="13"/>
      <c r="S11997" s="13"/>
      <c r="T11997" s="13"/>
      <c r="U11997" s="13"/>
      <c r="V11997" s="13"/>
      <c r="W11997" s="13"/>
      <c r="X11997" s="13"/>
      <c r="Y11997" s="13"/>
      <c r="Z11997" s="13"/>
    </row>
    <row r="11998" spans="1:26" ht="12" customHeight="1" outlineLevel="4" x14ac:dyDescent="0.2">
      <c r="A11998" s="14" t="s">
        <v>22781</v>
      </c>
      <c r="B11998" s="26" t="s">
        <v>22782</v>
      </c>
      <c r="C11998" s="52"/>
      <c r="D11998" s="55">
        <f t="shared" si="187"/>
        <v>0</v>
      </c>
      <c r="E11998" s="63" t="str">
        <f>HYPERLINK("https://www.sds-group.ru/product/nadpis-propisnaya-svetodiodnaya-s-novym-godom-krasnaya-230x90-sm-neon-night-501-113/", "Инфо")</f>
        <v>Инфо</v>
      </c>
      <c r="F11998" s="16" t="s">
        <v>39</v>
      </c>
      <c r="G11998" s="15"/>
      <c r="H11998" s="15"/>
      <c r="I11998" s="15"/>
      <c r="J11998" s="17">
        <v>9</v>
      </c>
      <c r="K11998" s="15"/>
      <c r="L11998" s="17">
        <v>1</v>
      </c>
      <c r="M11998" s="17">
        <v>5</v>
      </c>
      <c r="N11998" s="17">
        <v>1</v>
      </c>
      <c r="O11998" s="18">
        <v>36868.720000000001</v>
      </c>
      <c r="P11998" s="18">
        <v>30220.26</v>
      </c>
      <c r="Q11998" s="18">
        <v>36868.720000000001</v>
      </c>
      <c r="R11998" s="18">
        <v>30220.26</v>
      </c>
      <c r="S11998" s="18">
        <v>22858.61</v>
      </c>
      <c r="T11998" s="18">
        <v>18736.57</v>
      </c>
      <c r="U11998" s="16"/>
      <c r="V11998" s="16"/>
      <c r="W11998" s="16" t="s">
        <v>40</v>
      </c>
      <c r="X11998" s="19">
        <v>13</v>
      </c>
      <c r="Y11998" s="20">
        <v>8.4194000000000005E-2</v>
      </c>
      <c r="Z11998" s="21">
        <v>4601004003965</v>
      </c>
    </row>
    <row r="11999" spans="1:26" ht="12" customHeight="1" outlineLevel="4" x14ac:dyDescent="0.2">
      <c r="A11999" s="32" t="s">
        <v>22783</v>
      </c>
      <c r="B11999" s="74" t="s">
        <v>22784</v>
      </c>
      <c r="C11999" s="50"/>
      <c r="D11999" s="53">
        <f t="shared" si="187"/>
        <v>0</v>
      </c>
      <c r="E11999" s="60" t="str">
        <f>HYPERLINK("https://www.sds-group.ru/product/figura-svetovaya-skazochnyy-olen-iz-gibkogo-neona-140h93-sm-1680-led-tsvet-svecheniya-belyy--501-314/", "Инфо")</f>
        <v>Инфо</v>
      </c>
      <c r="F11999" s="34" t="s">
        <v>39</v>
      </c>
      <c r="G11999" s="33"/>
      <c r="H11999" s="33" t="s">
        <v>40</v>
      </c>
      <c r="I11999" s="33"/>
      <c r="J11999" s="35">
        <v>7</v>
      </c>
      <c r="K11999" s="33"/>
      <c r="L11999" s="35">
        <v>1</v>
      </c>
      <c r="M11999" s="35">
        <v>5</v>
      </c>
      <c r="N11999" s="35">
        <v>1</v>
      </c>
      <c r="O11999" s="36">
        <v>33487.620000000003</v>
      </c>
      <c r="P11999" s="36">
        <v>27448.87</v>
      </c>
      <c r="Q11999" s="36">
        <v>33487.620000000003</v>
      </c>
      <c r="R11999" s="36">
        <v>27448.87</v>
      </c>
      <c r="S11999" s="36">
        <v>20762.32</v>
      </c>
      <c r="T11999" s="36">
        <v>17018.3</v>
      </c>
      <c r="U11999" s="34"/>
      <c r="V11999" s="34"/>
      <c r="W11999" s="34" t="s">
        <v>40</v>
      </c>
      <c r="X11999" s="37">
        <v>6.0110000000000001</v>
      </c>
      <c r="Y11999" s="38">
        <v>5.3999999999999999E-2</v>
      </c>
      <c r="Z11999" s="21">
        <v>4601004179929</v>
      </c>
    </row>
    <row r="12000" spans="1:26" ht="12" customHeight="1" outlineLevel="4" x14ac:dyDescent="0.2">
      <c r="A12000" s="14" t="s">
        <v>22785</v>
      </c>
      <c r="B12000" s="26" t="s">
        <v>22786</v>
      </c>
      <c r="C12000" s="52"/>
      <c r="D12000" s="55">
        <f t="shared" si="187"/>
        <v>0</v>
      </c>
      <c r="E12000" s="63" t="str">
        <f>HYPERLINK("https://www.sds-group.ru/product/figura-svetovaya-snezhinka-125h120-sm-200-led-ip65-tsvet-svecheniya-belyy-neon-night-501-359/", "Инфо")</f>
        <v>Инфо</v>
      </c>
      <c r="F12000" s="16" t="s">
        <v>39</v>
      </c>
      <c r="G12000" s="15"/>
      <c r="H12000" s="15"/>
      <c r="I12000" s="15"/>
      <c r="J12000" s="17">
        <v>25</v>
      </c>
      <c r="K12000" s="15"/>
      <c r="L12000" s="17">
        <v>1</v>
      </c>
      <c r="M12000" s="17">
        <v>5</v>
      </c>
      <c r="N12000" s="17">
        <v>1</v>
      </c>
      <c r="O12000" s="18">
        <v>34672.14</v>
      </c>
      <c r="P12000" s="18">
        <v>28419.79</v>
      </c>
      <c r="Q12000" s="18">
        <v>34672.14</v>
      </c>
      <c r="R12000" s="18">
        <v>28419.79</v>
      </c>
      <c r="S12000" s="18">
        <v>21496.73</v>
      </c>
      <c r="T12000" s="18">
        <v>17620.27</v>
      </c>
      <c r="U12000" s="16"/>
      <c r="V12000" s="16"/>
      <c r="W12000" s="16" t="s">
        <v>40</v>
      </c>
      <c r="X12000" s="19">
        <v>7.3</v>
      </c>
      <c r="Y12000" s="20">
        <v>9.5333000000000001E-2</v>
      </c>
      <c r="Z12000" s="21">
        <v>4601004179943</v>
      </c>
    </row>
    <row r="12001" spans="1:26" ht="12" customHeight="1" outlineLevel="4" x14ac:dyDescent="0.2">
      <c r="A12001" s="32" t="s">
        <v>22787</v>
      </c>
      <c r="B12001" s="74" t="s">
        <v>22788</v>
      </c>
      <c r="C12001" s="50"/>
      <c r="D12001" s="53">
        <f t="shared" si="187"/>
        <v>0</v>
      </c>
      <c r="E12001" s="60" t="str">
        <f>HYPERLINK("https://www.sds-group.ru/product/figura-svetovaya-sozvezdie-razmer-55x100sm-svechenie-beloe-neon-night-501-355/", "Инфо")</f>
        <v>Инфо</v>
      </c>
      <c r="F12001" s="34" t="s">
        <v>39</v>
      </c>
      <c r="G12001" s="33"/>
      <c r="H12001" s="33" t="s">
        <v>40</v>
      </c>
      <c r="I12001" s="33"/>
      <c r="J12001" s="35">
        <v>30</v>
      </c>
      <c r="K12001" s="33"/>
      <c r="L12001" s="35">
        <v>1</v>
      </c>
      <c r="M12001" s="35">
        <v>10</v>
      </c>
      <c r="N12001" s="35">
        <v>1</v>
      </c>
      <c r="O12001" s="36">
        <v>5618.55</v>
      </c>
      <c r="P12001" s="36">
        <v>4605.37</v>
      </c>
      <c r="Q12001" s="36">
        <v>3932.99</v>
      </c>
      <c r="R12001" s="36">
        <v>3223.76</v>
      </c>
      <c r="S12001" s="36">
        <v>3483.5</v>
      </c>
      <c r="T12001" s="36">
        <v>2855.33</v>
      </c>
      <c r="U12001" s="34"/>
      <c r="V12001" s="34"/>
      <c r="W12001" s="34"/>
      <c r="X12001" s="37">
        <v>2.6</v>
      </c>
      <c r="Y12001" s="38">
        <v>2.393E-2</v>
      </c>
      <c r="Z12001" s="21">
        <v>4601004017559</v>
      </c>
    </row>
    <row r="12002" spans="1:26" ht="12.95" customHeight="1" outlineLevel="3" x14ac:dyDescent="0.2">
      <c r="A12002" s="76" t="s">
        <v>22789</v>
      </c>
      <c r="B12002" s="76"/>
      <c r="C12002" s="77"/>
      <c r="D12002" s="58"/>
      <c r="E12002" s="68"/>
      <c r="F12002" s="13"/>
      <c r="G12002" s="13"/>
      <c r="H12002" s="13"/>
      <c r="I12002" s="13"/>
      <c r="J12002" s="13"/>
      <c r="K12002" s="13"/>
      <c r="L12002" s="13"/>
      <c r="M12002" s="13"/>
      <c r="N12002" s="13"/>
      <c r="O12002" s="13"/>
      <c r="P12002" s="13"/>
      <c r="Q12002" s="13"/>
      <c r="R12002" s="13"/>
      <c r="S12002" s="13"/>
      <c r="T12002" s="13"/>
      <c r="U12002" s="13"/>
      <c r="V12002" s="13"/>
      <c r="W12002" s="13"/>
      <c r="X12002" s="13"/>
      <c r="Y12002" s="13"/>
      <c r="Z12002" s="13"/>
    </row>
    <row r="12003" spans="1:26" ht="12" customHeight="1" outlineLevel="4" x14ac:dyDescent="0.2">
      <c r="A12003" s="14" t="s">
        <v>22790</v>
      </c>
      <c r="B12003" s="26" t="s">
        <v>22791</v>
      </c>
      <c r="C12003" s="52"/>
      <c r="D12003" s="55">
        <f t="shared" si="187"/>
        <v>0</v>
      </c>
      <c r="E12003" s="63" t="str">
        <f>HYPERLINK("https://www.sds-group.ru/product/figura-obemnaya-olen-115h195sm-528-led-ip65-tsvet-svecheniya-belyy-neon-night-501-237/", "Инфо")</f>
        <v>Инфо</v>
      </c>
      <c r="F12003" s="16" t="s">
        <v>39</v>
      </c>
      <c r="G12003" s="15"/>
      <c r="H12003" s="15"/>
      <c r="I12003" s="15"/>
      <c r="J12003" s="16" t="s">
        <v>100</v>
      </c>
      <c r="K12003" s="15" t="s">
        <v>21221</v>
      </c>
      <c r="L12003" s="17">
        <v>1</v>
      </c>
      <c r="M12003" s="17">
        <v>1</v>
      </c>
      <c r="N12003" s="17">
        <v>1</v>
      </c>
      <c r="O12003" s="18">
        <v>74117.440000000002</v>
      </c>
      <c r="P12003" s="18">
        <v>60752</v>
      </c>
      <c r="Q12003" s="18">
        <v>74117.440000000002</v>
      </c>
      <c r="R12003" s="18">
        <v>60752</v>
      </c>
      <c r="S12003" s="18">
        <v>45952.81</v>
      </c>
      <c r="T12003" s="18">
        <v>37666.239999999998</v>
      </c>
      <c r="U12003" s="16"/>
      <c r="V12003" s="16"/>
      <c r="W12003" s="16" t="s">
        <v>40</v>
      </c>
      <c r="X12003" s="19">
        <v>13.5</v>
      </c>
      <c r="Y12003" s="20">
        <v>0.656667</v>
      </c>
      <c r="Z12003" s="21">
        <v>4601004280847</v>
      </c>
    </row>
    <row r="12004" spans="1:26" ht="12" customHeight="1" outlineLevel="4" x14ac:dyDescent="0.2">
      <c r="A12004" s="14" t="s">
        <v>22792</v>
      </c>
      <c r="B12004" s="26" t="s">
        <v>22793</v>
      </c>
      <c r="C12004" s="52"/>
      <c r="D12004" s="55">
        <f t="shared" si="187"/>
        <v>0</v>
      </c>
      <c r="E12004" s="63" t="str">
        <f>HYPERLINK("https://www.sds-group.ru/product/figura-oleni-s-sanyami-350h195-sm-neon-night-503-112/", "Инфо")</f>
        <v>Инфо</v>
      </c>
      <c r="F12004" s="16" t="s">
        <v>39</v>
      </c>
      <c r="G12004" s="15"/>
      <c r="H12004" s="15"/>
      <c r="I12004" s="15"/>
      <c r="J12004" s="17">
        <v>2</v>
      </c>
      <c r="K12004" s="15" t="s">
        <v>21221</v>
      </c>
      <c r="L12004" s="17">
        <v>1</v>
      </c>
      <c r="M12004" s="17">
        <v>1</v>
      </c>
      <c r="N12004" s="17">
        <v>1</v>
      </c>
      <c r="O12004" s="18">
        <v>295269.68</v>
      </c>
      <c r="P12004" s="18">
        <v>242024.33</v>
      </c>
      <c r="Q12004" s="18">
        <v>295269.68</v>
      </c>
      <c r="R12004" s="18">
        <v>242024.33</v>
      </c>
      <c r="S12004" s="18">
        <v>183067.2</v>
      </c>
      <c r="T12004" s="18">
        <v>150055.07999999999</v>
      </c>
      <c r="U12004" s="16"/>
      <c r="V12004" s="16"/>
      <c r="W12004" s="16" t="s">
        <v>40</v>
      </c>
      <c r="X12004" s="19">
        <v>67.400000000000006</v>
      </c>
      <c r="Y12004" s="20">
        <v>3.87</v>
      </c>
      <c r="Z12004" s="21">
        <v>4601004303805</v>
      </c>
    </row>
    <row r="12005" spans="1:26" ht="12.95" customHeight="1" outlineLevel="3" x14ac:dyDescent="0.2">
      <c r="A12005" s="76" t="s">
        <v>22794</v>
      </c>
      <c r="B12005" s="76"/>
      <c r="C12005" s="77"/>
      <c r="D12005" s="58"/>
      <c r="E12005" s="68"/>
      <c r="F12005" s="13"/>
      <c r="G12005" s="13"/>
      <c r="H12005" s="13"/>
      <c r="I12005" s="13"/>
      <c r="J12005" s="13"/>
      <c r="K12005" s="13"/>
      <c r="L12005" s="13"/>
      <c r="M12005" s="13"/>
      <c r="N12005" s="13"/>
      <c r="O12005" s="13"/>
      <c r="P12005" s="13"/>
      <c r="Q12005" s="13"/>
      <c r="R12005" s="13"/>
      <c r="S12005" s="13"/>
      <c r="T12005" s="13"/>
      <c r="U12005" s="13"/>
      <c r="V12005" s="13"/>
      <c r="W12005" s="13"/>
      <c r="X12005" s="13"/>
      <c r="Y12005" s="13"/>
      <c r="Z12005" s="13"/>
    </row>
    <row r="12006" spans="1:26" ht="12" customHeight="1" outlineLevel="4" x14ac:dyDescent="0.2">
      <c r="A12006" s="14" t="s">
        <v>22795</v>
      </c>
      <c r="B12006" s="26" t="s">
        <v>22796</v>
      </c>
      <c r="C12006" s="52"/>
      <c r="D12006" s="55">
        <f t="shared" si="187"/>
        <v>0</v>
      </c>
      <c r="E12006" s="63" t="str">
        <f>HYPERLINK("https://www.sds-group.ru/product/shar-svetodiodnyy-230v-diametr-30-sm-120-svetodiodov-effekt-mertsaniya-tsvet-belyy-neon-nigh-501-612/", "Инфо")</f>
        <v>Инфо</v>
      </c>
      <c r="F12006" s="16" t="s">
        <v>39</v>
      </c>
      <c r="G12006" s="15"/>
      <c r="H12006" s="15"/>
      <c r="I12006" s="15"/>
      <c r="J12006" s="17">
        <v>22</v>
      </c>
      <c r="K12006" s="15"/>
      <c r="L12006" s="17">
        <v>1</v>
      </c>
      <c r="M12006" s="17">
        <v>5</v>
      </c>
      <c r="N12006" s="17">
        <v>1</v>
      </c>
      <c r="O12006" s="18">
        <v>13291.01</v>
      </c>
      <c r="P12006" s="18">
        <v>10894.27</v>
      </c>
      <c r="Q12006" s="18">
        <v>13291.01</v>
      </c>
      <c r="R12006" s="18">
        <v>10894.27</v>
      </c>
      <c r="S12006" s="18">
        <v>8240.43</v>
      </c>
      <c r="T12006" s="18">
        <v>6754.45</v>
      </c>
      <c r="U12006" s="16"/>
      <c r="V12006" s="16"/>
      <c r="W12006" s="16" t="s">
        <v>40</v>
      </c>
      <c r="X12006" s="19">
        <v>1.569</v>
      </c>
      <c r="Y12006" s="20">
        <v>1.4069E-2</v>
      </c>
      <c r="Z12006" s="21">
        <v>4601004010802</v>
      </c>
    </row>
    <row r="12007" spans="1:26" ht="12" customHeight="1" outlineLevel="4" x14ac:dyDescent="0.2">
      <c r="A12007" s="14" t="s">
        <v>22797</v>
      </c>
      <c r="B12007" s="26" t="s">
        <v>22798</v>
      </c>
      <c r="C12007" s="52"/>
      <c r="D12007" s="55">
        <f t="shared" si="187"/>
        <v>0</v>
      </c>
      <c r="E12007" s="63" t="str">
        <f>HYPERLINK("https://www.sds-group.ru/product/shar-svetodiodnyy-230v-diametr-50-sm-200-svetodiodov-effekt-mertsaniya-tsvet-belyy-neon-nigh-501-613/", "Инфо")</f>
        <v>Инфо</v>
      </c>
      <c r="F12007" s="16" t="s">
        <v>39</v>
      </c>
      <c r="G12007" s="15"/>
      <c r="H12007" s="15"/>
      <c r="I12007" s="15"/>
      <c r="J12007" s="16" t="s">
        <v>100</v>
      </c>
      <c r="K12007" s="15"/>
      <c r="L12007" s="17">
        <v>1</v>
      </c>
      <c r="M12007" s="17">
        <v>8</v>
      </c>
      <c r="N12007" s="17">
        <v>1</v>
      </c>
      <c r="O12007" s="18">
        <v>21165.74</v>
      </c>
      <c r="P12007" s="18">
        <v>17348.97</v>
      </c>
      <c r="Q12007" s="18">
        <v>21165.74</v>
      </c>
      <c r="R12007" s="18">
        <v>17348.97</v>
      </c>
      <c r="S12007" s="18">
        <v>13122.76</v>
      </c>
      <c r="T12007" s="18">
        <v>10756.36</v>
      </c>
      <c r="U12007" s="16"/>
      <c r="V12007" s="16"/>
      <c r="W12007" s="16" t="s">
        <v>40</v>
      </c>
      <c r="X12007" s="19">
        <v>4.6239999999999997</v>
      </c>
      <c r="Y12007" s="20">
        <v>0.10435700000000001</v>
      </c>
      <c r="Z12007" s="21">
        <v>4601004010789</v>
      </c>
    </row>
    <row r="12008" spans="1:26" ht="12" customHeight="1" outlineLevel="4" x14ac:dyDescent="0.2">
      <c r="A12008" s="14" t="s">
        <v>22799</v>
      </c>
      <c r="B12008" s="26" t="s">
        <v>22800</v>
      </c>
      <c r="C12008" s="52"/>
      <c r="D12008" s="55">
        <f t="shared" si="187"/>
        <v>0</v>
      </c>
      <c r="E12008" s="63" t="str">
        <f>HYPERLINK("https://www.sds-group.ru/product/shar-svetodiodnyy-230v-diametr-80-sm-450-svetodiodov-effekt-mertsaniya-tsvet-belyy-neon-nigh-501-614/", "Инфо")</f>
        <v>Инфо</v>
      </c>
      <c r="F12008" s="16" t="s">
        <v>39</v>
      </c>
      <c r="G12008" s="15"/>
      <c r="H12008" s="15"/>
      <c r="I12008" s="15"/>
      <c r="J12008" s="16" t="s">
        <v>100</v>
      </c>
      <c r="K12008" s="15"/>
      <c r="L12008" s="17">
        <v>1</v>
      </c>
      <c r="M12008" s="17">
        <v>1</v>
      </c>
      <c r="N12008" s="17">
        <v>1</v>
      </c>
      <c r="O12008" s="18">
        <v>29891.23</v>
      </c>
      <c r="P12008" s="18">
        <v>24501.01</v>
      </c>
      <c r="Q12008" s="18">
        <v>29891.23</v>
      </c>
      <c r="R12008" s="18">
        <v>24501.01</v>
      </c>
      <c r="S12008" s="18">
        <v>18532.560000000001</v>
      </c>
      <c r="T12008" s="18">
        <v>15190.62</v>
      </c>
      <c r="U12008" s="16"/>
      <c r="V12008" s="16"/>
      <c r="W12008" s="16" t="s">
        <v>40</v>
      </c>
      <c r="X12008" s="19">
        <v>9.5809999999999995</v>
      </c>
      <c r="Y12008" s="20">
        <v>0.41899999999999998</v>
      </c>
      <c r="Z12008" s="21">
        <v>4601004310797</v>
      </c>
    </row>
    <row r="12009" spans="1:26" ht="12" customHeight="1" outlineLevel="4" x14ac:dyDescent="0.2">
      <c r="A12009" s="32" t="s">
        <v>22801</v>
      </c>
      <c r="B12009" s="74" t="s">
        <v>22802</v>
      </c>
      <c r="C12009" s="50"/>
      <c r="D12009" s="53">
        <f t="shared" si="187"/>
        <v>0</v>
      </c>
      <c r="E12009" s="60" t="str">
        <f>HYPERLINK("https://www.sds-group.ru/product/shar-svetodiodnyy-230v-diametr-90-sm-372-svetodioda-tsvet-belyy-501-624/", "Инфо")</f>
        <v>Инфо</v>
      </c>
      <c r="F12009" s="34" t="s">
        <v>39</v>
      </c>
      <c r="G12009" s="33"/>
      <c r="H12009" s="33" t="s">
        <v>40</v>
      </c>
      <c r="I12009" s="33"/>
      <c r="J12009" s="34" t="s">
        <v>100</v>
      </c>
      <c r="K12009" s="33"/>
      <c r="L12009" s="35">
        <v>1</v>
      </c>
      <c r="M12009" s="35">
        <v>1</v>
      </c>
      <c r="N12009" s="35">
        <v>1</v>
      </c>
      <c r="O12009" s="36">
        <v>28542.63</v>
      </c>
      <c r="P12009" s="36">
        <v>23395.599999999999</v>
      </c>
      <c r="Q12009" s="36">
        <v>19979.84</v>
      </c>
      <c r="R12009" s="36">
        <v>16376.92</v>
      </c>
      <c r="S12009" s="36">
        <v>17696.43</v>
      </c>
      <c r="T12009" s="36">
        <v>14505.27</v>
      </c>
      <c r="U12009" s="34"/>
      <c r="V12009" s="34"/>
      <c r="W12009" s="34"/>
      <c r="X12009" s="37">
        <v>9.6</v>
      </c>
      <c r="Y12009" s="38">
        <v>0.48699999999999999</v>
      </c>
      <c r="Z12009" s="21">
        <v>4601004017597</v>
      </c>
    </row>
    <row r="12010" spans="1:26" ht="12.95" customHeight="1" outlineLevel="3" x14ac:dyDescent="0.2">
      <c r="A12010" s="76" t="s">
        <v>22803</v>
      </c>
      <c r="B12010" s="76"/>
      <c r="C12010" s="77"/>
      <c r="D12010" s="58"/>
      <c r="E12010" s="68"/>
      <c r="F12010" s="13"/>
      <c r="G12010" s="13"/>
      <c r="H12010" s="13"/>
      <c r="I12010" s="13"/>
      <c r="J12010" s="13"/>
      <c r="K12010" s="13"/>
      <c r="L12010" s="13"/>
      <c r="M12010" s="13"/>
      <c r="N12010" s="13"/>
      <c r="O12010" s="13"/>
      <c r="P12010" s="13"/>
      <c r="Q12010" s="13"/>
      <c r="R12010" s="13"/>
      <c r="S12010" s="13"/>
      <c r="T12010" s="13"/>
      <c r="U12010" s="13"/>
      <c r="V12010" s="13"/>
      <c r="W12010" s="13"/>
      <c r="X12010" s="13"/>
      <c r="Y12010" s="13"/>
      <c r="Z12010" s="13"/>
    </row>
    <row r="12011" spans="1:26" ht="12" customHeight="1" outlineLevel="4" x14ac:dyDescent="0.2">
      <c r="A12011" s="14" t="s">
        <v>22804</v>
      </c>
      <c r="B12011" s="26" t="s">
        <v>22805</v>
      </c>
      <c r="C12011" s="52"/>
      <c r="D12011" s="55">
        <f t="shared" si="187"/>
        <v>0</v>
      </c>
      <c r="E12011" s="63" t="str">
        <f>HYPERLINK("https://www.sds-group.ru/product/svetodiodnaya-figura-zvezda-100-sm-200-svetodiodov-s-truboy-i-podvesom-tsvet-svecheniya-bely-514-275/", "Инфо")</f>
        <v>Инфо</v>
      </c>
      <c r="F12011" s="16" t="s">
        <v>39</v>
      </c>
      <c r="G12011" s="15"/>
      <c r="H12011" s="15"/>
      <c r="I12011" s="15"/>
      <c r="J12011" s="17">
        <v>1</v>
      </c>
      <c r="K12011" s="15"/>
      <c r="L12011" s="17">
        <v>1</v>
      </c>
      <c r="M12011" s="17">
        <v>5</v>
      </c>
      <c r="N12011" s="17">
        <v>1</v>
      </c>
      <c r="O12011" s="18">
        <v>50299.12</v>
      </c>
      <c r="P12011" s="18">
        <v>41228.79</v>
      </c>
      <c r="Q12011" s="18">
        <v>50299.12</v>
      </c>
      <c r="R12011" s="18">
        <v>41228.79</v>
      </c>
      <c r="S12011" s="18">
        <v>31185.45</v>
      </c>
      <c r="T12011" s="18">
        <v>25561.84</v>
      </c>
      <c r="U12011" s="16"/>
      <c r="V12011" s="16"/>
      <c r="W12011" s="16" t="s">
        <v>40</v>
      </c>
      <c r="X12011" s="19">
        <v>7</v>
      </c>
      <c r="Y12011" s="20">
        <v>0.23799999999999999</v>
      </c>
      <c r="Z12011" s="21">
        <v>4601004257443</v>
      </c>
    </row>
    <row r="12012" spans="1:26" ht="12" customHeight="1" outlineLevel="4" x14ac:dyDescent="0.2">
      <c r="A12012" s="14" t="s">
        <v>22806</v>
      </c>
      <c r="B12012" s="26" t="s">
        <v>22807</v>
      </c>
      <c r="C12012" s="52"/>
      <c r="D12012" s="55">
        <f t="shared" si="187"/>
        <v>0</v>
      </c>
      <c r="E12012" s="63" t="str">
        <f>HYPERLINK("https://www.sds-group.ru/product/svetodiodnaya-figura-zvezda-100-sm-200-svetodiodov-s-truboy-i-podvesom-tsvet-svecheniya-kras-514-274/", "Инфо")</f>
        <v>Инфо</v>
      </c>
      <c r="F12012" s="16" t="s">
        <v>39</v>
      </c>
      <c r="G12012" s="15"/>
      <c r="H12012" s="15"/>
      <c r="I12012" s="15"/>
      <c r="J12012" s="17">
        <v>4</v>
      </c>
      <c r="K12012" s="15"/>
      <c r="L12012" s="17">
        <v>1</v>
      </c>
      <c r="M12012" s="17">
        <v>1</v>
      </c>
      <c r="N12012" s="17">
        <v>1</v>
      </c>
      <c r="O12012" s="18">
        <v>50299.12</v>
      </c>
      <c r="P12012" s="18">
        <v>41228.79</v>
      </c>
      <c r="Q12012" s="18">
        <v>50299.12</v>
      </c>
      <c r="R12012" s="18">
        <v>41228.79</v>
      </c>
      <c r="S12012" s="18">
        <v>31185.45</v>
      </c>
      <c r="T12012" s="18">
        <v>25561.84</v>
      </c>
      <c r="U12012" s="16"/>
      <c r="V12012" s="16"/>
      <c r="W12012" s="16" t="s">
        <v>40</v>
      </c>
      <c r="X12012" s="19">
        <v>6.6</v>
      </c>
      <c r="Y12012" s="20">
        <v>0.23749999999999999</v>
      </c>
      <c r="Z12012" s="21">
        <v>4601004257436</v>
      </c>
    </row>
    <row r="12013" spans="1:26" ht="12" customHeight="1" outlineLevel="4" x14ac:dyDescent="0.2">
      <c r="A12013" s="14" t="s">
        <v>22808</v>
      </c>
      <c r="B12013" s="26" t="s">
        <v>22809</v>
      </c>
      <c r="C12013" s="52"/>
      <c r="D12013" s="55">
        <f t="shared" si="187"/>
        <v>0</v>
      </c>
      <c r="E12013" s="63" t="str">
        <f>HYPERLINK("https://www.sds-group.ru/product/svetodiodnaya-figura-zvezda-50-sm-80-svetodiodov-s-truboy-i-podvesom-tsvet-svecheniya-belyy--514-272/", "Инфо")</f>
        <v>Инфо</v>
      </c>
      <c r="F12013" s="16" t="s">
        <v>39</v>
      </c>
      <c r="G12013" s="15"/>
      <c r="H12013" s="15"/>
      <c r="I12013" s="15"/>
      <c r="J12013" s="17">
        <v>3</v>
      </c>
      <c r="K12013" s="15"/>
      <c r="L12013" s="17">
        <v>1</v>
      </c>
      <c r="M12013" s="17">
        <v>4</v>
      </c>
      <c r="N12013" s="17">
        <v>1</v>
      </c>
      <c r="O12013" s="18">
        <v>21795.3</v>
      </c>
      <c r="P12013" s="18">
        <v>17865</v>
      </c>
      <c r="Q12013" s="18">
        <v>21795.3</v>
      </c>
      <c r="R12013" s="18">
        <v>17865</v>
      </c>
      <c r="S12013" s="18">
        <v>13513.09</v>
      </c>
      <c r="T12013" s="18">
        <v>11076.3</v>
      </c>
      <c r="U12013" s="16"/>
      <c r="V12013" s="16"/>
      <c r="W12013" s="16" t="s">
        <v>40</v>
      </c>
      <c r="X12013" s="19">
        <v>1.857</v>
      </c>
      <c r="Y12013" s="20">
        <v>4.0085999999999997E-2</v>
      </c>
      <c r="Z12013" s="21">
        <v>4601004179905</v>
      </c>
    </row>
    <row r="12014" spans="1:26" ht="12" customHeight="1" outlineLevel="4" x14ac:dyDescent="0.2">
      <c r="A12014" s="14" t="s">
        <v>22810</v>
      </c>
      <c r="B12014" s="26" t="s">
        <v>22811</v>
      </c>
      <c r="C12014" s="52"/>
      <c r="D12014" s="55">
        <f t="shared" si="187"/>
        <v>0</v>
      </c>
      <c r="E12014" s="63" t="str">
        <f>HYPERLINK("https://www.sds-group.ru/product/svetodiodnaya-figura-zvezda-50-sm-80-svetodiodov-s-truboy-i-podvesom-tsvet-svecheniya-teplyy-514-271/", "Инфо")</f>
        <v>Инфо</v>
      </c>
      <c r="F12014" s="16" t="s">
        <v>39</v>
      </c>
      <c r="G12014" s="15"/>
      <c r="H12014" s="15"/>
      <c r="I12014" s="15"/>
      <c r="J12014" s="16" t="s">
        <v>100</v>
      </c>
      <c r="K12014" s="15" t="s">
        <v>1277</v>
      </c>
      <c r="L12014" s="17">
        <v>1</v>
      </c>
      <c r="M12014" s="17">
        <v>4</v>
      </c>
      <c r="N12014" s="17">
        <v>1</v>
      </c>
      <c r="O12014" s="18">
        <v>21795.3</v>
      </c>
      <c r="P12014" s="18">
        <v>17865</v>
      </c>
      <c r="Q12014" s="18">
        <v>21795.3</v>
      </c>
      <c r="R12014" s="18">
        <v>17865</v>
      </c>
      <c r="S12014" s="18">
        <v>13513.09</v>
      </c>
      <c r="T12014" s="18">
        <v>11076.3</v>
      </c>
      <c r="U12014" s="16"/>
      <c r="V12014" s="16"/>
      <c r="W12014" s="16" t="s">
        <v>40</v>
      </c>
      <c r="X12014" s="19">
        <v>1.8979999999999999</v>
      </c>
      <c r="Y12014" s="20">
        <v>4.2472000000000003E-2</v>
      </c>
      <c r="Z12014" s="21">
        <v>4601004179899</v>
      </c>
    </row>
    <row r="12015" spans="1:26" ht="12" customHeight="1" outlineLevel="4" x14ac:dyDescent="0.2">
      <c r="A12015" s="14" t="s">
        <v>22812</v>
      </c>
      <c r="B12015" s="26" t="s">
        <v>22813</v>
      </c>
      <c r="C12015" s="52"/>
      <c r="D12015" s="55">
        <f t="shared" si="187"/>
        <v>0</v>
      </c>
      <c r="E12015" s="63" t="str">
        <f>HYPERLINK("https://www.sds-group.ru/product/svetodiodnaya-figura-zvezda-80-sm-80-svetodiodov-s-truboy-i-podvesom-tsvet-svecheniya-teplyy-514-273/", "Инфо")</f>
        <v>Инфо</v>
      </c>
      <c r="F12015" s="16" t="s">
        <v>39</v>
      </c>
      <c r="G12015" s="15"/>
      <c r="H12015" s="15"/>
      <c r="I12015" s="15"/>
      <c r="J12015" s="17">
        <v>3</v>
      </c>
      <c r="K12015" s="15"/>
      <c r="L12015" s="17">
        <v>1</v>
      </c>
      <c r="M12015" s="17">
        <v>1</v>
      </c>
      <c r="N12015" s="17">
        <v>1</v>
      </c>
      <c r="O12015" s="18">
        <v>38562.17</v>
      </c>
      <c r="P12015" s="18">
        <v>31608.34</v>
      </c>
      <c r="Q12015" s="18">
        <v>38562.17</v>
      </c>
      <c r="R12015" s="18">
        <v>31608.34</v>
      </c>
      <c r="S12015" s="18">
        <v>23908.55</v>
      </c>
      <c r="T12015" s="18">
        <v>19597.169999999998</v>
      </c>
      <c r="U12015" s="16"/>
      <c r="V12015" s="16"/>
      <c r="W12015" s="16" t="s">
        <v>40</v>
      </c>
      <c r="X12015" s="19">
        <v>3.6</v>
      </c>
      <c r="Y12015" s="20">
        <v>2.4799999999999999E-2</v>
      </c>
      <c r="Z12015" s="21">
        <v>4601004179912</v>
      </c>
    </row>
    <row r="12016" spans="1:26" ht="12.95" customHeight="1" outlineLevel="2" x14ac:dyDescent="0.2">
      <c r="A12016" s="76" t="s">
        <v>22814</v>
      </c>
      <c r="B12016" s="76"/>
      <c r="C12016" s="77"/>
      <c r="D12016" s="58"/>
      <c r="E12016" s="68"/>
      <c r="F12016" s="13"/>
      <c r="G12016" s="13"/>
      <c r="H12016" s="13"/>
      <c r="I12016" s="13"/>
      <c r="J12016" s="13"/>
      <c r="K12016" s="13"/>
      <c r="L12016" s="13"/>
      <c r="M12016" s="13"/>
      <c r="N12016" s="13"/>
      <c r="O12016" s="13"/>
      <c r="P12016" s="13"/>
      <c r="Q12016" s="13"/>
      <c r="R12016" s="13"/>
      <c r="S12016" s="13"/>
      <c r="T12016" s="13"/>
      <c r="U12016" s="13"/>
      <c r="V12016" s="13"/>
      <c r="W12016" s="13"/>
      <c r="X12016" s="13"/>
      <c r="Y12016" s="13"/>
      <c r="Z12016" s="13"/>
    </row>
    <row r="12017" spans="1:26" ht="12.95" customHeight="1" outlineLevel="3" x14ac:dyDescent="0.2">
      <c r="A12017" s="76" t="s">
        <v>22815</v>
      </c>
      <c r="B12017" s="76"/>
      <c r="C12017" s="77"/>
      <c r="D12017" s="58"/>
      <c r="E12017" s="68"/>
      <c r="F12017" s="13"/>
      <c r="G12017" s="13"/>
      <c r="H12017" s="13"/>
      <c r="I12017" s="13"/>
      <c r="J12017" s="13"/>
      <c r="K12017" s="13"/>
      <c r="L12017" s="13"/>
      <c r="M12017" s="13"/>
      <c r="N12017" s="13"/>
      <c r="O12017" s="13"/>
      <c r="P12017" s="13"/>
      <c r="Q12017" s="13"/>
      <c r="R12017" s="13"/>
      <c r="S12017" s="13"/>
      <c r="T12017" s="13"/>
      <c r="U12017" s="13"/>
      <c r="V12017" s="13"/>
      <c r="W12017" s="13"/>
      <c r="X12017" s="13"/>
      <c r="Y12017" s="13"/>
      <c r="Z12017" s="13"/>
    </row>
    <row r="12018" spans="1:26" ht="12" customHeight="1" outlineLevel="4" x14ac:dyDescent="0.2">
      <c r="A12018" s="14" t="s">
        <v>22816</v>
      </c>
      <c r="B12018" s="26" t="s">
        <v>22817</v>
      </c>
      <c r="C12018" s="52"/>
      <c r="D12018" s="55">
        <f t="shared" si="187"/>
        <v>0</v>
      </c>
      <c r="E12018" s="63" t="str">
        <f>HYPERLINK("https://www.sds-group.ru/product/blok-pitaniya-transformator-dlya-ulichnyh-girlyand-24v-40vt-alyuminievyy-korpus-ip65-neon-ni-531-311/", "Инфо")</f>
        <v>Инфо</v>
      </c>
      <c r="F12018" s="16" t="s">
        <v>39</v>
      </c>
      <c r="G12018" s="15"/>
      <c r="H12018" s="15"/>
      <c r="I12018" s="15"/>
      <c r="J12018" s="16" t="s">
        <v>100</v>
      </c>
      <c r="K12018" s="15"/>
      <c r="L12018" s="17">
        <v>1</v>
      </c>
      <c r="M12018" s="17">
        <v>30</v>
      </c>
      <c r="N12018" s="17">
        <v>1</v>
      </c>
      <c r="O12018" s="18">
        <v>2607.62</v>
      </c>
      <c r="P12018" s="18">
        <v>2137.39</v>
      </c>
      <c r="Q12018" s="18">
        <v>2607.62</v>
      </c>
      <c r="R12018" s="18">
        <v>2137.39</v>
      </c>
      <c r="S12018" s="18">
        <v>1616.72</v>
      </c>
      <c r="T12018" s="18">
        <v>1325.18</v>
      </c>
      <c r="U12018" s="16"/>
      <c r="V12018" s="16"/>
      <c r="W12018" s="16" t="s">
        <v>40</v>
      </c>
      <c r="X12018" s="19">
        <v>0.33500000000000002</v>
      </c>
      <c r="Y12018" s="20">
        <v>1.23E-3</v>
      </c>
      <c r="Z12018" s="21">
        <v>4601004310230</v>
      </c>
    </row>
    <row r="12019" spans="1:26" ht="12" customHeight="1" outlineLevel="4" x14ac:dyDescent="0.2">
      <c r="A12019" s="14" t="s">
        <v>22818</v>
      </c>
      <c r="B12019" s="26" t="s">
        <v>22819</v>
      </c>
      <c r="C12019" s="52"/>
      <c r="D12019" s="55">
        <f t="shared" si="187"/>
        <v>0</v>
      </c>
      <c r="E12019" s="63" t="str">
        <f>HYPERLINK("https://www.sds-group.ru/product/blok-pitaniya-transformator-dlya-ulichnyh-girlyand-24v-60vt-alyuminievyy-korpus-ip65-neon-ni-531-312/", "Инфо")</f>
        <v>Инфо</v>
      </c>
      <c r="F12019" s="16" t="s">
        <v>39</v>
      </c>
      <c r="G12019" s="15"/>
      <c r="H12019" s="15"/>
      <c r="I12019" s="15"/>
      <c r="J12019" s="17">
        <v>283</v>
      </c>
      <c r="K12019" s="15" t="s">
        <v>5369</v>
      </c>
      <c r="L12019" s="17">
        <v>1</v>
      </c>
      <c r="M12019" s="17">
        <v>30</v>
      </c>
      <c r="N12019" s="17">
        <v>1</v>
      </c>
      <c r="O12019" s="18">
        <v>3912.03</v>
      </c>
      <c r="P12019" s="18">
        <v>3206.58</v>
      </c>
      <c r="Q12019" s="18">
        <v>3912.03</v>
      </c>
      <c r="R12019" s="18">
        <v>3206.58</v>
      </c>
      <c r="S12019" s="18">
        <v>2425.46</v>
      </c>
      <c r="T12019" s="18">
        <v>1988.08</v>
      </c>
      <c r="U12019" s="16"/>
      <c r="V12019" s="16"/>
      <c r="W12019" s="16" t="s">
        <v>40</v>
      </c>
      <c r="X12019" s="19">
        <v>0.42099999999999999</v>
      </c>
      <c r="Y12019" s="20">
        <v>1.2570000000000001E-3</v>
      </c>
      <c r="Z12019" s="21">
        <v>4601004310247</v>
      </c>
    </row>
    <row r="12020" spans="1:26" ht="12" customHeight="1" outlineLevel="4" x14ac:dyDescent="0.2">
      <c r="A12020" s="14" t="s">
        <v>22820</v>
      </c>
      <c r="B12020" s="26" t="s">
        <v>22821</v>
      </c>
      <c r="C12020" s="52"/>
      <c r="D12020" s="55">
        <f t="shared" si="187"/>
        <v>0</v>
      </c>
      <c r="E12020" s="63" t="str">
        <f>HYPERLINK("https://www.sds-group.ru/product/blok-pitaniya-dlya-ulichnyh-girlyand-bez-vilki-4a-belyy-kauchuk-ip65-neon-night-315-004/", "Инфо")</f>
        <v>Инфо</v>
      </c>
      <c r="F12020" s="16" t="s">
        <v>39</v>
      </c>
      <c r="G12020" s="15"/>
      <c r="H12020" s="15"/>
      <c r="I12020" s="15"/>
      <c r="J12020" s="17">
        <v>789</v>
      </c>
      <c r="K12020" s="15" t="s">
        <v>6174</v>
      </c>
      <c r="L12020" s="17">
        <v>1</v>
      </c>
      <c r="M12020" s="17">
        <v>100</v>
      </c>
      <c r="N12020" s="17">
        <v>1</v>
      </c>
      <c r="O12020" s="18">
        <v>852.61</v>
      </c>
      <c r="P12020" s="18">
        <v>698.86</v>
      </c>
      <c r="Q12020" s="18">
        <v>852.61</v>
      </c>
      <c r="R12020" s="18">
        <v>698.86</v>
      </c>
      <c r="S12020" s="18">
        <v>528.62</v>
      </c>
      <c r="T12020" s="18">
        <v>433.3</v>
      </c>
      <c r="U12020" s="16"/>
      <c r="V12020" s="16"/>
      <c r="W12020" s="16" t="s">
        <v>40</v>
      </c>
      <c r="X12020" s="19">
        <v>0.19500000000000001</v>
      </c>
      <c r="Y12020" s="20">
        <v>6.2299999999999996E-4</v>
      </c>
      <c r="Z12020" s="21">
        <v>4601004277830</v>
      </c>
    </row>
    <row r="12021" spans="1:26" ht="12" customHeight="1" outlineLevel="4" x14ac:dyDescent="0.2">
      <c r="A12021" s="14" t="s">
        <v>22822</v>
      </c>
      <c r="B12021" s="26" t="s">
        <v>22823</v>
      </c>
      <c r="C12021" s="52"/>
      <c r="D12021" s="55">
        <f t="shared" si="187"/>
        <v>0</v>
      </c>
      <c r="E12021" s="63" t="str">
        <f>HYPERLINK("https://www.sds-group.ru/product/blok-pitaniya-dlya-ulichnyh-girlyand-bez-vilki-4a-chernyy-kauchuk-ip65-neon-night-315-003/", "Инфо")</f>
        <v>Инфо</v>
      </c>
      <c r="F12021" s="16" t="s">
        <v>39</v>
      </c>
      <c r="G12021" s="15"/>
      <c r="H12021" s="15"/>
      <c r="I12021" s="15"/>
      <c r="J12021" s="17">
        <v>827</v>
      </c>
      <c r="K12021" s="15"/>
      <c r="L12021" s="17">
        <v>1</v>
      </c>
      <c r="M12021" s="17">
        <v>100</v>
      </c>
      <c r="N12021" s="17">
        <v>1</v>
      </c>
      <c r="O12021" s="18">
        <v>852.61</v>
      </c>
      <c r="P12021" s="18">
        <v>698.86</v>
      </c>
      <c r="Q12021" s="18">
        <v>852.61</v>
      </c>
      <c r="R12021" s="18">
        <v>698.86</v>
      </c>
      <c r="S12021" s="18">
        <v>528.62</v>
      </c>
      <c r="T12021" s="18">
        <v>433.3</v>
      </c>
      <c r="U12021" s="16"/>
      <c r="V12021" s="16"/>
      <c r="W12021" s="16" t="s">
        <v>40</v>
      </c>
      <c r="X12021" s="19">
        <v>0.17599999999999999</v>
      </c>
      <c r="Y12021" s="20">
        <v>6.5899999999999997E-4</v>
      </c>
      <c r="Z12021" s="21">
        <v>4601004277823</v>
      </c>
    </row>
    <row r="12022" spans="1:26" ht="12" customHeight="1" outlineLevel="4" x14ac:dyDescent="0.2">
      <c r="A12022" s="14" t="s">
        <v>22824</v>
      </c>
      <c r="B12022" s="26" t="s">
        <v>22825</v>
      </c>
      <c r="C12022" s="52"/>
      <c r="D12022" s="55">
        <f t="shared" si="187"/>
        <v>0</v>
      </c>
      <c r="E12022" s="63" t="str">
        <f>HYPERLINK("https://www.sds-group.ru/product/blok-pitaniya-dlya-ulichnyh-girlyand-230v-3a-belyy-pvh-ip65-neon-night-303-500-1/", "Инфо")</f>
        <v>Инфо</v>
      </c>
      <c r="F12022" s="16" t="s">
        <v>39</v>
      </c>
      <c r="G12022" s="15"/>
      <c r="H12022" s="15"/>
      <c r="I12022" s="15"/>
      <c r="J12022" s="22">
        <v>1617</v>
      </c>
      <c r="K12022" s="15" t="s">
        <v>21221</v>
      </c>
      <c r="L12022" s="17">
        <v>1</v>
      </c>
      <c r="M12022" s="17">
        <v>150</v>
      </c>
      <c r="N12022" s="17">
        <v>1</v>
      </c>
      <c r="O12022" s="18">
        <v>832.98</v>
      </c>
      <c r="P12022" s="18">
        <v>682.77</v>
      </c>
      <c r="Q12022" s="18">
        <v>832.98</v>
      </c>
      <c r="R12022" s="18">
        <v>682.77</v>
      </c>
      <c r="S12022" s="18">
        <v>516.45000000000005</v>
      </c>
      <c r="T12022" s="18">
        <v>423.32</v>
      </c>
      <c r="U12022" s="16"/>
      <c r="V12022" s="16"/>
      <c r="W12022" s="16" t="s">
        <v>40</v>
      </c>
      <c r="X12022" s="19">
        <v>0.13600000000000001</v>
      </c>
      <c r="Y12022" s="20">
        <v>3.4499999999999998E-4</v>
      </c>
      <c r="Z12022" s="21">
        <v>4601004097124</v>
      </c>
    </row>
    <row r="12023" spans="1:26" ht="12" customHeight="1" outlineLevel="4" x14ac:dyDescent="0.2">
      <c r="A12023" s="14" t="s">
        <v>22826</v>
      </c>
      <c r="B12023" s="26" t="s">
        <v>22827</v>
      </c>
      <c r="C12023" s="52"/>
      <c r="D12023" s="55">
        <f t="shared" si="187"/>
        <v>0</v>
      </c>
      <c r="E12023" s="63" t="str">
        <f>HYPERLINK("https://www.sds-group.ru/product/blok-pitaniya-dlya-ulichnyh-girlyand-230v-3a-chernyy-pvh-ip65-neon-night-303-500/", "Инфо")</f>
        <v>Инфо</v>
      </c>
      <c r="F12023" s="16" t="s">
        <v>39</v>
      </c>
      <c r="G12023" s="15"/>
      <c r="H12023" s="15"/>
      <c r="I12023" s="15"/>
      <c r="J12023" s="17">
        <v>300</v>
      </c>
      <c r="K12023" s="15" t="s">
        <v>21221</v>
      </c>
      <c r="L12023" s="17">
        <v>1</v>
      </c>
      <c r="M12023" s="17">
        <v>150</v>
      </c>
      <c r="N12023" s="17">
        <v>1</v>
      </c>
      <c r="O12023" s="18">
        <v>832.98</v>
      </c>
      <c r="P12023" s="18">
        <v>682.77</v>
      </c>
      <c r="Q12023" s="18">
        <v>832.98</v>
      </c>
      <c r="R12023" s="18">
        <v>682.77</v>
      </c>
      <c r="S12023" s="18">
        <v>516.45000000000005</v>
      </c>
      <c r="T12023" s="18">
        <v>423.32</v>
      </c>
      <c r="U12023" s="16"/>
      <c r="V12023" s="16"/>
      <c r="W12023" s="16" t="s">
        <v>40</v>
      </c>
      <c r="X12023" s="19">
        <v>0.13500000000000001</v>
      </c>
      <c r="Y12023" s="20">
        <v>3.59E-4</v>
      </c>
      <c r="Z12023" s="21">
        <v>4601004015715</v>
      </c>
    </row>
    <row r="12024" spans="1:26" ht="12" customHeight="1" outlineLevel="4" x14ac:dyDescent="0.2">
      <c r="A12024" s="14" t="s">
        <v>22828</v>
      </c>
      <c r="B12024" s="26" t="s">
        <v>22829</v>
      </c>
      <c r="C12024" s="52"/>
      <c r="D12024" s="55">
        <f t="shared" si="187"/>
        <v>0</v>
      </c>
      <c r="E12024" s="63" t="str">
        <f>HYPERLINK("https://www.sds-group.ru/product/blok-pitaniya-dlya-ulichnyh-girlyand-230v-4a-belyy-kauchuk-ip67-neon-night-315-001/", "Инфо")</f>
        <v>Инфо</v>
      </c>
      <c r="F12024" s="16" t="s">
        <v>39</v>
      </c>
      <c r="G12024" s="15"/>
      <c r="H12024" s="15"/>
      <c r="I12024" s="15"/>
      <c r="J12024" s="17">
        <v>654</v>
      </c>
      <c r="K12024" s="15" t="s">
        <v>6174</v>
      </c>
      <c r="L12024" s="17">
        <v>1</v>
      </c>
      <c r="M12024" s="17">
        <v>100</v>
      </c>
      <c r="N12024" s="17">
        <v>1</v>
      </c>
      <c r="O12024" s="18">
        <v>957.49</v>
      </c>
      <c r="P12024" s="18">
        <v>784.83</v>
      </c>
      <c r="Q12024" s="18">
        <v>957.49</v>
      </c>
      <c r="R12024" s="18">
        <v>784.83</v>
      </c>
      <c r="S12024" s="18">
        <v>593.64</v>
      </c>
      <c r="T12024" s="18">
        <v>486.59</v>
      </c>
      <c r="U12024" s="16"/>
      <c r="V12024" s="16"/>
      <c r="W12024" s="16" t="s">
        <v>40</v>
      </c>
      <c r="X12024" s="19">
        <v>0.252</v>
      </c>
      <c r="Y12024" s="20">
        <v>7.36E-4</v>
      </c>
      <c r="Z12024" s="21">
        <v>4601004225060</v>
      </c>
    </row>
    <row r="12025" spans="1:26" ht="12" customHeight="1" outlineLevel="4" x14ac:dyDescent="0.2">
      <c r="A12025" s="14" t="s">
        <v>22830</v>
      </c>
      <c r="B12025" s="26" t="s">
        <v>22831</v>
      </c>
      <c r="C12025" s="52"/>
      <c r="D12025" s="55">
        <f t="shared" si="187"/>
        <v>0</v>
      </c>
      <c r="E12025" s="63" t="str">
        <f>HYPERLINK("https://www.sds-group.ru/product/blok-pitaniya-dlya-ulichnyh-girlyand-230v-4a-chernyy-kauchuk-ip67-neon-night-315-000/", "Инфо")</f>
        <v>Инфо</v>
      </c>
      <c r="F12025" s="16" t="s">
        <v>39</v>
      </c>
      <c r="G12025" s="15"/>
      <c r="H12025" s="15"/>
      <c r="I12025" s="15"/>
      <c r="J12025" s="16" t="s">
        <v>100</v>
      </c>
      <c r="K12025" s="15" t="s">
        <v>6174</v>
      </c>
      <c r="L12025" s="17">
        <v>1</v>
      </c>
      <c r="M12025" s="17">
        <v>100</v>
      </c>
      <c r="N12025" s="17">
        <v>1</v>
      </c>
      <c r="O12025" s="18">
        <v>957.49</v>
      </c>
      <c r="P12025" s="18">
        <v>784.83</v>
      </c>
      <c r="Q12025" s="18">
        <v>957.49</v>
      </c>
      <c r="R12025" s="18">
        <v>784.83</v>
      </c>
      <c r="S12025" s="18">
        <v>593.64</v>
      </c>
      <c r="T12025" s="18">
        <v>486.59</v>
      </c>
      <c r="U12025" s="16"/>
      <c r="V12025" s="16"/>
      <c r="W12025" s="16" t="s">
        <v>40</v>
      </c>
      <c r="X12025" s="19">
        <v>0.252</v>
      </c>
      <c r="Y12025" s="20">
        <v>7.3999999999999999E-4</v>
      </c>
      <c r="Z12025" s="21">
        <v>4601004087958</v>
      </c>
    </row>
    <row r="12026" spans="1:26" ht="12" customHeight="1" outlineLevel="4" x14ac:dyDescent="0.2">
      <c r="A12026" s="14" t="s">
        <v>22832</v>
      </c>
      <c r="B12026" s="26" t="s">
        <v>22833</v>
      </c>
      <c r="C12026" s="52"/>
      <c r="D12026" s="55">
        <f t="shared" si="187"/>
        <v>0</v>
      </c>
      <c r="E12026" s="63" t="str">
        <f>HYPERLINK("https://www.sds-group.ru/product/kontroller-dlya-ulichnyh-girlyand-s-postoyannym-svecheniem-professional-8-rezhimov-235-000/", "Инфо")</f>
        <v>Инфо</v>
      </c>
      <c r="F12026" s="16" t="s">
        <v>39</v>
      </c>
      <c r="G12026" s="15"/>
      <c r="H12026" s="15"/>
      <c r="I12026" s="15"/>
      <c r="J12026" s="17">
        <v>66</v>
      </c>
      <c r="K12026" s="15" t="s">
        <v>5369</v>
      </c>
      <c r="L12026" s="17">
        <v>1</v>
      </c>
      <c r="M12026" s="17">
        <v>50</v>
      </c>
      <c r="N12026" s="17">
        <v>1</v>
      </c>
      <c r="O12026" s="18">
        <v>2158.41</v>
      </c>
      <c r="P12026" s="18">
        <v>1769.19</v>
      </c>
      <c r="Q12026" s="18">
        <v>2158.41</v>
      </c>
      <c r="R12026" s="18">
        <v>1769.19</v>
      </c>
      <c r="S12026" s="18">
        <v>1338.21</v>
      </c>
      <c r="T12026" s="18">
        <v>1096.8900000000001</v>
      </c>
      <c r="U12026" s="16"/>
      <c r="V12026" s="16"/>
      <c r="W12026" s="16" t="s">
        <v>40</v>
      </c>
      <c r="X12026" s="19">
        <v>0.17199999999999999</v>
      </c>
      <c r="Y12026" s="20">
        <v>8.0000000000000004E-4</v>
      </c>
      <c r="Z12026" s="21">
        <v>4601004091986</v>
      </c>
    </row>
    <row r="12027" spans="1:26" ht="12" customHeight="1" outlineLevel="4" x14ac:dyDescent="0.2">
      <c r="A12027" s="14" t="s">
        <v>22834</v>
      </c>
      <c r="B12027" s="26" t="s">
        <v>22835</v>
      </c>
      <c r="C12027" s="52"/>
      <c r="D12027" s="55">
        <f t="shared" si="187"/>
        <v>0</v>
      </c>
      <c r="E12027" s="63" t="str">
        <f>HYPERLINK("https://www.sds-group.ru/product/kontroller-s-radiopultom-dlya-rgb-girlyand-245-908/", "Инфо")</f>
        <v>Инфо</v>
      </c>
      <c r="F12027" s="16" t="s">
        <v>39</v>
      </c>
      <c r="G12027" s="15"/>
      <c r="H12027" s="15"/>
      <c r="I12027" s="15"/>
      <c r="J12027" s="17">
        <v>264</v>
      </c>
      <c r="K12027" s="15"/>
      <c r="L12027" s="17">
        <v>1</v>
      </c>
      <c r="M12027" s="17">
        <v>50</v>
      </c>
      <c r="N12027" s="17">
        <v>1</v>
      </c>
      <c r="O12027" s="18">
        <v>6493.77</v>
      </c>
      <c r="P12027" s="18">
        <v>5322.76</v>
      </c>
      <c r="Q12027" s="18">
        <v>6493.77</v>
      </c>
      <c r="R12027" s="18">
        <v>5322.76</v>
      </c>
      <c r="S12027" s="18">
        <v>4026.14</v>
      </c>
      <c r="T12027" s="18">
        <v>3300.11</v>
      </c>
      <c r="U12027" s="16"/>
      <c r="V12027" s="16"/>
      <c r="W12027" s="16" t="s">
        <v>40</v>
      </c>
      <c r="X12027" s="19">
        <v>0.34899999999999998</v>
      </c>
      <c r="Y12027" s="20">
        <v>1.745E-3</v>
      </c>
      <c r="Z12027" s="21">
        <v>4601004257832</v>
      </c>
    </row>
    <row r="12028" spans="1:26" ht="12" customHeight="1" outlineLevel="4" x14ac:dyDescent="0.2">
      <c r="A12028" s="14" t="s">
        <v>22836</v>
      </c>
      <c r="B12028" s="26" t="s">
        <v>22837</v>
      </c>
      <c r="C12028" s="52"/>
      <c r="D12028" s="55">
        <f t="shared" si="187"/>
        <v>0</v>
      </c>
      <c r="E12028" s="63" t="str">
        <f>HYPERLINK("https://www.sds-group.ru/product/kontroller-s-radiopultom-dlya-girlyand-ip44-on-off-taymer-255-000/", "Инфо")</f>
        <v>Инфо</v>
      </c>
      <c r="F12028" s="16" t="s">
        <v>39</v>
      </c>
      <c r="G12028" s="15"/>
      <c r="H12028" s="15"/>
      <c r="I12028" s="15"/>
      <c r="J12028" s="22">
        <v>1450</v>
      </c>
      <c r="K12028" s="15"/>
      <c r="L12028" s="17">
        <v>1</v>
      </c>
      <c r="M12028" s="17">
        <v>24</v>
      </c>
      <c r="N12028" s="17">
        <v>1</v>
      </c>
      <c r="O12028" s="18">
        <v>2308.9699999999998</v>
      </c>
      <c r="P12028" s="18">
        <v>1892.6</v>
      </c>
      <c r="Q12028" s="18">
        <v>2308.9699999999998</v>
      </c>
      <c r="R12028" s="18">
        <v>1892.6</v>
      </c>
      <c r="S12028" s="18">
        <v>1431.56</v>
      </c>
      <c r="T12028" s="18">
        <v>1173.4100000000001</v>
      </c>
      <c r="U12028" s="16"/>
      <c r="V12028" s="16"/>
      <c r="W12028" s="16" t="s">
        <v>40</v>
      </c>
      <c r="X12028" s="19">
        <v>0.17399999999999999</v>
      </c>
      <c r="Y12028" s="20">
        <v>8.4999999999999995E-4</v>
      </c>
      <c r="Z12028" s="21">
        <v>4601004283206</v>
      </c>
    </row>
    <row r="12029" spans="1:26" ht="12" customHeight="1" outlineLevel="4" x14ac:dyDescent="0.2">
      <c r="A12029" s="14" t="s">
        <v>22838</v>
      </c>
      <c r="B12029" s="26" t="s">
        <v>22839</v>
      </c>
      <c r="C12029" s="52"/>
      <c r="D12029" s="55">
        <f t="shared" si="187"/>
        <v>0</v>
      </c>
      <c r="E12029" s="63" t="str">
        <f>HYPERLINK("https://www.sds-group.ru/product/kontroller-s-radiopultom-dlya-ulichnyh-girlyand-set-i-nit-upravlyaemaya-tvinkl-belyy-neon-ni-217-203/", "Инфо")</f>
        <v>Инфо</v>
      </c>
      <c r="F12029" s="16" t="s">
        <v>39</v>
      </c>
      <c r="G12029" s="15"/>
      <c r="H12029" s="15"/>
      <c r="I12029" s="15"/>
      <c r="J12029" s="17">
        <v>221</v>
      </c>
      <c r="K12029" s="15"/>
      <c r="L12029" s="17">
        <v>1</v>
      </c>
      <c r="M12029" s="17">
        <v>20</v>
      </c>
      <c r="N12029" s="17">
        <v>1</v>
      </c>
      <c r="O12029" s="18">
        <v>2370.46</v>
      </c>
      <c r="P12029" s="18">
        <v>1943</v>
      </c>
      <c r="Q12029" s="18">
        <v>2370.46</v>
      </c>
      <c r="R12029" s="18">
        <v>1943</v>
      </c>
      <c r="S12029" s="18">
        <v>1469.69</v>
      </c>
      <c r="T12029" s="18">
        <v>1204.6600000000001</v>
      </c>
      <c r="U12029" s="16"/>
      <c r="V12029" s="16"/>
      <c r="W12029" s="16" t="s">
        <v>40</v>
      </c>
      <c r="X12029" s="19">
        <v>0.318</v>
      </c>
      <c r="Y12029" s="20">
        <v>1.137E-3</v>
      </c>
      <c r="Z12029" s="21">
        <v>4601004283695</v>
      </c>
    </row>
    <row r="12030" spans="1:26" ht="12" customHeight="1" outlineLevel="4" x14ac:dyDescent="0.2">
      <c r="A12030" s="14" t="s">
        <v>22840</v>
      </c>
      <c r="B12030" s="26" t="s">
        <v>22841</v>
      </c>
      <c r="C12030" s="52"/>
      <c r="D12030" s="55">
        <f t="shared" si="187"/>
        <v>0</v>
      </c>
      <c r="E12030" s="63" t="str">
        <f>HYPERLINK("https://www.sds-group.ru/product/kontroller-s-radiopultom-dlya-ulichnyh-girlyand-set-i-nit-upravlyaemaya-tvinkl-chernyy-neon--217-204/", "Инфо")</f>
        <v>Инфо</v>
      </c>
      <c r="F12030" s="16" t="s">
        <v>39</v>
      </c>
      <c r="G12030" s="15"/>
      <c r="H12030" s="15"/>
      <c r="I12030" s="15"/>
      <c r="J12030" s="17">
        <v>859</v>
      </c>
      <c r="K12030" s="15"/>
      <c r="L12030" s="17">
        <v>1</v>
      </c>
      <c r="M12030" s="17">
        <v>20</v>
      </c>
      <c r="N12030" s="17">
        <v>1</v>
      </c>
      <c r="O12030" s="18">
        <v>2370.46</v>
      </c>
      <c r="P12030" s="18">
        <v>1943</v>
      </c>
      <c r="Q12030" s="18">
        <v>2370.46</v>
      </c>
      <c r="R12030" s="18">
        <v>1943</v>
      </c>
      <c r="S12030" s="18">
        <v>1469.69</v>
      </c>
      <c r="T12030" s="18">
        <v>1204.6600000000001</v>
      </c>
      <c r="U12030" s="16"/>
      <c r="V12030" s="16"/>
      <c r="W12030" s="16" t="s">
        <v>40</v>
      </c>
      <c r="X12030" s="19">
        <v>0.32100000000000001</v>
      </c>
      <c r="Y12030" s="20">
        <v>1.0679999999999999E-3</v>
      </c>
      <c r="Z12030" s="21">
        <v>4601004285163</v>
      </c>
    </row>
    <row r="12031" spans="1:26" ht="12" customHeight="1" outlineLevel="4" x14ac:dyDescent="0.2">
      <c r="A12031" s="14" t="s">
        <v>22842</v>
      </c>
      <c r="B12031" s="26" t="s">
        <v>22843</v>
      </c>
      <c r="C12031" s="52"/>
      <c r="D12031" s="55">
        <f t="shared" si="187"/>
        <v>0</v>
      </c>
      <c r="E12031" s="63" t="str">
        <f>HYPERLINK("https://www.sds-group.ru/product/transformator-230-v-24v-40vt-531-100/", "Инфо")</f>
        <v>Инфо</v>
      </c>
      <c r="F12031" s="16" t="s">
        <v>39</v>
      </c>
      <c r="G12031" s="15"/>
      <c r="H12031" s="15"/>
      <c r="I12031" s="15"/>
      <c r="J12031" s="17">
        <v>485</v>
      </c>
      <c r="K12031" s="15" t="s">
        <v>5369</v>
      </c>
      <c r="L12031" s="17">
        <v>1</v>
      </c>
      <c r="M12031" s="17">
        <v>30</v>
      </c>
      <c r="N12031" s="17">
        <v>1</v>
      </c>
      <c r="O12031" s="18">
        <v>3689.22</v>
      </c>
      <c r="P12031" s="18">
        <v>3023.95</v>
      </c>
      <c r="Q12031" s="18">
        <v>3689.22</v>
      </c>
      <c r="R12031" s="18">
        <v>3023.95</v>
      </c>
      <c r="S12031" s="18">
        <v>2287.3200000000002</v>
      </c>
      <c r="T12031" s="18">
        <v>1874.85</v>
      </c>
      <c r="U12031" s="16"/>
      <c r="V12031" s="16"/>
      <c r="W12031" s="16" t="s">
        <v>40</v>
      </c>
      <c r="X12031" s="19">
        <v>1.1339999999999999</v>
      </c>
      <c r="Y12031" s="20">
        <v>2.4680000000000001E-3</v>
      </c>
      <c r="Z12031" s="21">
        <v>4601004093140</v>
      </c>
    </row>
    <row r="12032" spans="1:26" ht="12.95" customHeight="1" outlineLevel="3" x14ac:dyDescent="0.2">
      <c r="A12032" s="76" t="s">
        <v>22844</v>
      </c>
      <c r="B12032" s="76"/>
      <c r="C12032" s="77"/>
      <c r="D12032" s="58"/>
      <c r="E12032" s="68"/>
      <c r="F12032" s="13"/>
      <c r="G12032" s="13"/>
      <c r="H12032" s="13"/>
      <c r="I12032" s="13"/>
      <c r="J12032" s="13"/>
      <c r="K12032" s="13"/>
      <c r="L12032" s="13"/>
      <c r="M12032" s="13"/>
      <c r="N12032" s="13"/>
      <c r="O12032" s="13"/>
      <c r="P12032" s="13"/>
      <c r="Q12032" s="13"/>
      <c r="R12032" s="13"/>
      <c r="S12032" s="13"/>
      <c r="T12032" s="13"/>
      <c r="U12032" s="13"/>
      <c r="V12032" s="13"/>
      <c r="W12032" s="13"/>
      <c r="X12032" s="13"/>
      <c r="Y12032" s="13"/>
      <c r="Z12032" s="13"/>
    </row>
    <row r="12033" spans="1:26" ht="12" customHeight="1" outlineLevel="4" x14ac:dyDescent="0.2">
      <c r="A12033" s="14" t="s">
        <v>22845</v>
      </c>
      <c r="B12033" s="26" t="s">
        <v>22846</v>
      </c>
      <c r="C12033" s="52"/>
      <c r="D12033" s="55">
        <f t="shared" si="187"/>
        <v>0</v>
      </c>
      <c r="E12033" s="63" t="str">
        <f>HYPERLINK("https://www.sds-group.ru/product/konnektor-shnur-s-provodami-papa-mama-2-pin-belyy-kauchuk-neon-night-315-435/", "Инфо")</f>
        <v>Инфо</v>
      </c>
      <c r="F12033" s="16" t="s">
        <v>39</v>
      </c>
      <c r="G12033" s="15"/>
      <c r="H12033" s="15"/>
      <c r="I12033" s="15"/>
      <c r="J12033" s="22">
        <v>1985</v>
      </c>
      <c r="K12033" s="15"/>
      <c r="L12033" s="17">
        <v>1</v>
      </c>
      <c r="M12033" s="17">
        <v>100</v>
      </c>
      <c r="N12033" s="17">
        <v>1</v>
      </c>
      <c r="O12033" s="18">
        <v>413.86</v>
      </c>
      <c r="P12033" s="18">
        <v>339.23</v>
      </c>
      <c r="Q12033" s="18">
        <v>413.86</v>
      </c>
      <c r="R12033" s="18">
        <v>339.23</v>
      </c>
      <c r="S12033" s="18">
        <v>256.58999999999997</v>
      </c>
      <c r="T12033" s="18">
        <v>210.32</v>
      </c>
      <c r="U12033" s="16"/>
      <c r="V12033" s="16"/>
      <c r="W12033" s="16" t="s">
        <v>40</v>
      </c>
      <c r="X12033" s="19">
        <v>5.8000000000000003E-2</v>
      </c>
      <c r="Y12033" s="20">
        <v>2.52E-4</v>
      </c>
      <c r="Z12033" s="21">
        <v>4601004303959</v>
      </c>
    </row>
    <row r="12034" spans="1:26" ht="12" customHeight="1" outlineLevel="4" x14ac:dyDescent="0.2">
      <c r="A12034" s="14" t="s">
        <v>22847</v>
      </c>
      <c r="B12034" s="26" t="s">
        <v>22848</v>
      </c>
      <c r="C12034" s="52"/>
      <c r="D12034" s="55">
        <f t="shared" si="187"/>
        <v>0</v>
      </c>
      <c r="E12034" s="63" t="str">
        <f>HYPERLINK("https://www.sds-group.ru/product/konnektor-shnur-s-provodami-papa-mama-2-pin-chernyy-kauchuk-neon-night-315-436/", "Инфо")</f>
        <v>Инфо</v>
      </c>
      <c r="F12034" s="16" t="s">
        <v>39</v>
      </c>
      <c r="G12034" s="15"/>
      <c r="H12034" s="15"/>
      <c r="I12034" s="15"/>
      <c r="J12034" s="17">
        <v>902</v>
      </c>
      <c r="K12034" s="15"/>
      <c r="L12034" s="17">
        <v>5</v>
      </c>
      <c r="M12034" s="17">
        <v>100</v>
      </c>
      <c r="N12034" s="17">
        <v>5</v>
      </c>
      <c r="O12034" s="18">
        <v>413.86</v>
      </c>
      <c r="P12034" s="18">
        <v>339.23</v>
      </c>
      <c r="Q12034" s="18">
        <v>413.86</v>
      </c>
      <c r="R12034" s="18">
        <v>339.23</v>
      </c>
      <c r="S12034" s="18">
        <v>256.58999999999997</v>
      </c>
      <c r="T12034" s="18">
        <v>210.32</v>
      </c>
      <c r="U12034" s="16"/>
      <c r="V12034" s="16"/>
      <c r="W12034" s="16" t="s">
        <v>40</v>
      </c>
      <c r="X12034" s="19">
        <v>0.06</v>
      </c>
      <c r="Y12034" s="20">
        <v>2.5099999999999998E-4</v>
      </c>
      <c r="Z12034" s="21">
        <v>4601004303980</v>
      </c>
    </row>
    <row r="12035" spans="1:26" ht="12" customHeight="1" outlineLevel="4" x14ac:dyDescent="0.2">
      <c r="A12035" s="14" t="s">
        <v>22849</v>
      </c>
      <c r="B12035" s="26" t="s">
        <v>22850</v>
      </c>
      <c r="C12035" s="52"/>
      <c r="D12035" s="55">
        <f t="shared" si="187"/>
        <v>0</v>
      </c>
      <c r="E12035" s="63" t="str">
        <f>HYPERLINK("https://www.sds-group.ru/product/konnektor-perehodnik-shnur-girlyanda-dyuralayt-neon-night-124-019/", "Инфо")</f>
        <v>Инфо</v>
      </c>
      <c r="F12035" s="16" t="s">
        <v>39</v>
      </c>
      <c r="G12035" s="15"/>
      <c r="H12035" s="15"/>
      <c r="I12035" s="15"/>
      <c r="J12035" s="17">
        <v>404</v>
      </c>
      <c r="K12035" s="15"/>
      <c r="L12035" s="17">
        <v>5</v>
      </c>
      <c r="M12035" s="17">
        <v>100</v>
      </c>
      <c r="N12035" s="17">
        <v>5</v>
      </c>
      <c r="O12035" s="18">
        <v>401.99</v>
      </c>
      <c r="P12035" s="18">
        <v>329.5</v>
      </c>
      <c r="Q12035" s="18">
        <v>401.99</v>
      </c>
      <c r="R12035" s="18">
        <v>329.5</v>
      </c>
      <c r="S12035" s="18">
        <v>249.23</v>
      </c>
      <c r="T12035" s="18">
        <v>204.29</v>
      </c>
      <c r="U12035" s="16"/>
      <c r="V12035" s="16"/>
      <c r="W12035" s="16" t="s">
        <v>40</v>
      </c>
      <c r="X12035" s="19">
        <v>5.6000000000000001E-2</v>
      </c>
      <c r="Y12035" s="20">
        <v>2.34E-4</v>
      </c>
      <c r="Z12035" s="21">
        <v>4601004285156</v>
      </c>
    </row>
    <row r="12036" spans="1:26" ht="12" customHeight="1" outlineLevel="4" x14ac:dyDescent="0.2">
      <c r="A12036" s="14" t="s">
        <v>22851</v>
      </c>
      <c r="B12036" s="26" t="s">
        <v>22852</v>
      </c>
      <c r="C12036" s="52"/>
      <c r="D12036" s="55">
        <f t="shared" si="187"/>
        <v>0</v>
      </c>
      <c r="E12036" s="63" t="str">
        <f>HYPERLINK("https://www.sds-group.ru/product/konnektor-perehodnik-shnur-dyuralayt-girlyanda-neon-night-124-112/", "Инфо")</f>
        <v>Инфо</v>
      </c>
      <c r="F12036" s="16" t="s">
        <v>39</v>
      </c>
      <c r="G12036" s="15"/>
      <c r="H12036" s="15"/>
      <c r="I12036" s="15"/>
      <c r="J12036" s="17">
        <v>751</v>
      </c>
      <c r="K12036" s="15"/>
      <c r="L12036" s="17">
        <v>5</v>
      </c>
      <c r="M12036" s="17">
        <v>100</v>
      </c>
      <c r="N12036" s="17">
        <v>5</v>
      </c>
      <c r="O12036" s="18">
        <v>422.09</v>
      </c>
      <c r="P12036" s="18">
        <v>345.98</v>
      </c>
      <c r="Q12036" s="18">
        <v>422.09</v>
      </c>
      <c r="R12036" s="18">
        <v>345.98</v>
      </c>
      <c r="S12036" s="18">
        <v>261.7</v>
      </c>
      <c r="T12036" s="18">
        <v>214.51</v>
      </c>
      <c r="U12036" s="16"/>
      <c r="V12036" s="16"/>
      <c r="W12036" s="16" t="s">
        <v>40</v>
      </c>
      <c r="X12036" s="19">
        <v>5.8000000000000003E-2</v>
      </c>
      <c r="Y12036" s="20">
        <v>2.2100000000000001E-4</v>
      </c>
      <c r="Z12036" s="21">
        <v>4601004154179</v>
      </c>
    </row>
    <row r="12037" spans="1:26" ht="12" customHeight="1" outlineLevel="4" x14ac:dyDescent="0.2">
      <c r="A12037" s="14" t="s">
        <v>22853</v>
      </c>
      <c r="B12037" s="26" t="s">
        <v>22854</v>
      </c>
      <c r="C12037" s="52"/>
      <c r="D12037" s="55">
        <f t="shared" si="187"/>
        <v>0</v>
      </c>
      <c r="E12037" s="63" t="str">
        <f>HYPERLINK("https://www.sds-group.ru/product/razvetvitel-y-shnur-dlya-ulichnyh-girlyand-1-vhod-2-vyhoda-belyy-pvh-neon-night-315-404/", "Инфо")</f>
        <v>Инфо</v>
      </c>
      <c r="F12037" s="16" t="s">
        <v>39</v>
      </c>
      <c r="G12037" s="15"/>
      <c r="H12037" s="15"/>
      <c r="I12037" s="15"/>
      <c r="J12037" s="17">
        <v>997</v>
      </c>
      <c r="K12037" s="15" t="s">
        <v>6744</v>
      </c>
      <c r="L12037" s="17">
        <v>1</v>
      </c>
      <c r="M12037" s="17">
        <v>100</v>
      </c>
      <c r="N12037" s="17">
        <v>1</v>
      </c>
      <c r="O12037" s="18">
        <v>720.92</v>
      </c>
      <c r="P12037" s="18">
        <v>590.91999999999996</v>
      </c>
      <c r="Q12037" s="18">
        <v>720.92</v>
      </c>
      <c r="R12037" s="18">
        <v>590.91999999999996</v>
      </c>
      <c r="S12037" s="18">
        <v>446.97</v>
      </c>
      <c r="T12037" s="18">
        <v>366.37</v>
      </c>
      <c r="U12037" s="16"/>
      <c r="V12037" s="16"/>
      <c r="W12037" s="16" t="s">
        <v>40</v>
      </c>
      <c r="X12037" s="19">
        <v>0.11700000000000001</v>
      </c>
      <c r="Y12037" s="20">
        <v>2.7700000000000001E-4</v>
      </c>
      <c r="Z12037" s="21">
        <v>4601004183810</v>
      </c>
    </row>
    <row r="12038" spans="1:26" ht="12" customHeight="1" outlineLevel="4" x14ac:dyDescent="0.2">
      <c r="A12038" s="14" t="s">
        <v>22855</v>
      </c>
      <c r="B12038" s="26" t="s">
        <v>22856</v>
      </c>
      <c r="C12038" s="52"/>
      <c r="D12038" s="55">
        <f t="shared" si="187"/>
        <v>0</v>
      </c>
      <c r="E12038" s="63" t="str">
        <f>HYPERLINK("https://www.sds-group.ru/product/razvetvitel-dlya-svetodiodnih-girlyand-1vhod-2-vihoda-professional-7641/", "Инфо")</f>
        <v>Инфо</v>
      </c>
      <c r="F12038" s="16" t="s">
        <v>39</v>
      </c>
      <c r="G12038" s="15"/>
      <c r="H12038" s="15"/>
      <c r="I12038" s="15"/>
      <c r="J12038" s="17">
        <v>979</v>
      </c>
      <c r="K12038" s="15"/>
      <c r="L12038" s="17">
        <v>1</v>
      </c>
      <c r="M12038" s="17">
        <v>50</v>
      </c>
      <c r="N12038" s="17">
        <v>1</v>
      </c>
      <c r="O12038" s="18">
        <v>720.92</v>
      </c>
      <c r="P12038" s="18">
        <v>590.91999999999996</v>
      </c>
      <c r="Q12038" s="18">
        <v>720.92</v>
      </c>
      <c r="R12038" s="18">
        <v>590.91999999999996</v>
      </c>
      <c r="S12038" s="18">
        <v>446.97</v>
      </c>
      <c r="T12038" s="18">
        <v>366.37</v>
      </c>
      <c r="U12038" s="16"/>
      <c r="V12038" s="16"/>
      <c r="W12038" s="16" t="s">
        <v>40</v>
      </c>
      <c r="X12038" s="19">
        <v>0.121</v>
      </c>
      <c r="Y12038" s="20">
        <v>3.4000000000000002E-4</v>
      </c>
      <c r="Z12038" s="21">
        <v>4601004016972</v>
      </c>
    </row>
    <row r="12039" spans="1:26" ht="12" customHeight="1" outlineLevel="4" x14ac:dyDescent="0.2">
      <c r="A12039" s="14" t="s">
        <v>22857</v>
      </c>
      <c r="B12039" s="26" t="s">
        <v>22858</v>
      </c>
      <c r="C12039" s="52"/>
      <c r="D12039" s="55">
        <f t="shared" si="187"/>
        <v>0</v>
      </c>
      <c r="E12039" s="63" t="str">
        <f>HYPERLINK("https://www.sds-group.ru/product/razvetvitel-y-shnur-dlya-ulichnyh-girlyand-1-vhod-3-vyhoda-belyy-pvh-neon-night-315-411/", "Инфо")</f>
        <v>Инфо</v>
      </c>
      <c r="F12039" s="16" t="s">
        <v>39</v>
      </c>
      <c r="G12039" s="15"/>
      <c r="H12039" s="15"/>
      <c r="I12039" s="15"/>
      <c r="J12039" s="22">
        <v>1027</v>
      </c>
      <c r="K12039" s="15" t="s">
        <v>6744</v>
      </c>
      <c r="L12039" s="17">
        <v>1</v>
      </c>
      <c r="M12039" s="17">
        <v>100</v>
      </c>
      <c r="N12039" s="17">
        <v>1</v>
      </c>
      <c r="O12039" s="18">
        <v>971.19</v>
      </c>
      <c r="P12039" s="18">
        <v>796.06</v>
      </c>
      <c r="Q12039" s="18">
        <v>971.19</v>
      </c>
      <c r="R12039" s="18">
        <v>796.06</v>
      </c>
      <c r="S12039" s="18">
        <v>602.14</v>
      </c>
      <c r="T12039" s="18">
        <v>493.56</v>
      </c>
      <c r="U12039" s="16"/>
      <c r="V12039" s="16"/>
      <c r="W12039" s="16" t="s">
        <v>40</v>
      </c>
      <c r="X12039" s="19">
        <v>0.14299999999999999</v>
      </c>
      <c r="Y12039" s="20">
        <v>3.57E-4</v>
      </c>
      <c r="Z12039" s="21">
        <v>4601004303966</v>
      </c>
    </row>
    <row r="12040" spans="1:26" ht="12" customHeight="1" outlineLevel="4" x14ac:dyDescent="0.2">
      <c r="A12040" s="14" t="s">
        <v>22859</v>
      </c>
      <c r="B12040" s="26" t="s">
        <v>22860</v>
      </c>
      <c r="C12040" s="52"/>
      <c r="D12040" s="55">
        <f t="shared" si="187"/>
        <v>0</v>
      </c>
      <c r="E12040" s="63" t="str">
        <f>HYPERLINK("https://www.sds-group.ru/product/razvetvitel-y-shnur-dlya-ulichnyh-girlyand-1-vhod-5-vyhodov-belyy-pvh-neon-night-315-434/", "Инфо")</f>
        <v>Инфо</v>
      </c>
      <c r="F12040" s="16" t="s">
        <v>39</v>
      </c>
      <c r="G12040" s="15"/>
      <c r="H12040" s="15"/>
      <c r="I12040" s="15"/>
      <c r="J12040" s="17">
        <v>631</v>
      </c>
      <c r="K12040" s="15" t="s">
        <v>6744</v>
      </c>
      <c r="L12040" s="17">
        <v>1</v>
      </c>
      <c r="M12040" s="17">
        <v>100</v>
      </c>
      <c r="N12040" s="17">
        <v>1</v>
      </c>
      <c r="O12040" s="18">
        <v>1368.38</v>
      </c>
      <c r="P12040" s="18">
        <v>1121.6199999999999</v>
      </c>
      <c r="Q12040" s="18">
        <v>1368.38</v>
      </c>
      <c r="R12040" s="18">
        <v>1121.6199999999999</v>
      </c>
      <c r="S12040" s="18">
        <v>848.4</v>
      </c>
      <c r="T12040" s="18">
        <v>695.41</v>
      </c>
      <c r="U12040" s="16"/>
      <c r="V12040" s="16"/>
      <c r="W12040" s="16" t="s">
        <v>40</v>
      </c>
      <c r="X12040" s="19">
        <v>0.255</v>
      </c>
      <c r="Y12040" s="20">
        <v>5.71E-4</v>
      </c>
      <c r="Z12040" s="21">
        <v>4601004198036</v>
      </c>
    </row>
    <row r="12041" spans="1:26" ht="12" customHeight="1" outlineLevel="4" x14ac:dyDescent="0.2">
      <c r="A12041" s="14" t="s">
        <v>22861</v>
      </c>
      <c r="B12041" s="26" t="s">
        <v>22862</v>
      </c>
      <c r="C12041" s="52"/>
      <c r="D12041" s="55">
        <f t="shared" ref="D12041:D12047" si="188">C12041*(O12041-O12041*$G$3)</f>
        <v>0</v>
      </c>
      <c r="E12041" s="63" t="str">
        <f>HYPERLINK("https://www.sds-group.ru/product/razvetvitel-shina-dlya-ulichnyh-girlyand-1-vhod-5-vyhodov-250sm-shag-50sm-belyy-pvh-neon-nig-315-408/", "Инфо")</f>
        <v>Инфо</v>
      </c>
      <c r="F12041" s="16" t="s">
        <v>39</v>
      </c>
      <c r="G12041" s="15"/>
      <c r="H12041" s="15"/>
      <c r="I12041" s="15"/>
      <c r="J12041" s="17">
        <v>594</v>
      </c>
      <c r="K12041" s="15" t="s">
        <v>5369</v>
      </c>
      <c r="L12041" s="17">
        <v>1</v>
      </c>
      <c r="M12041" s="17">
        <v>40</v>
      </c>
      <c r="N12041" s="17">
        <v>1</v>
      </c>
      <c r="O12041" s="18">
        <v>2264.31</v>
      </c>
      <c r="P12041" s="18">
        <v>1855.99</v>
      </c>
      <c r="Q12041" s="18">
        <v>2264.31</v>
      </c>
      <c r="R12041" s="18">
        <v>1855.99</v>
      </c>
      <c r="S12041" s="18">
        <v>1403.87</v>
      </c>
      <c r="T12041" s="18">
        <v>1150.71</v>
      </c>
      <c r="U12041" s="16"/>
      <c r="V12041" s="16"/>
      <c r="W12041" s="16" t="s">
        <v>40</v>
      </c>
      <c r="X12041" s="19">
        <v>0.46</v>
      </c>
      <c r="Y12041" s="20">
        <v>1.1130000000000001E-3</v>
      </c>
      <c r="Z12041" s="21">
        <v>4601004257795</v>
      </c>
    </row>
    <row r="12042" spans="1:26" ht="12" customHeight="1" outlineLevel="4" x14ac:dyDescent="0.2">
      <c r="A12042" s="14" t="s">
        <v>22863</v>
      </c>
      <c r="B12042" s="26" t="s">
        <v>22864</v>
      </c>
      <c r="C12042" s="52"/>
      <c r="D12042" s="55">
        <f t="shared" si="188"/>
        <v>0</v>
      </c>
      <c r="E12042" s="63" t="str">
        <f>HYPERLINK("https://www.sds-group.ru/product/razvetvitel-shina-dlya-ulichnyh-girlyand-1-vhod-5-vyhodov-500sm-shag-100sm-belyy-pvh-neon-ni-315-409/", "Инфо")</f>
        <v>Инфо</v>
      </c>
      <c r="F12042" s="16" t="s">
        <v>39</v>
      </c>
      <c r="G12042" s="15"/>
      <c r="H12042" s="15"/>
      <c r="I12042" s="15"/>
      <c r="J12042" s="17">
        <v>299</v>
      </c>
      <c r="K12042" s="15"/>
      <c r="L12042" s="17">
        <v>1</v>
      </c>
      <c r="M12042" s="17">
        <v>20</v>
      </c>
      <c r="N12042" s="17">
        <v>1</v>
      </c>
      <c r="O12042" s="18">
        <v>2717.44</v>
      </c>
      <c r="P12042" s="18">
        <v>2227.41</v>
      </c>
      <c r="Q12042" s="18">
        <v>2717.44</v>
      </c>
      <c r="R12042" s="18">
        <v>2227.41</v>
      </c>
      <c r="S12042" s="18">
        <v>1684.81</v>
      </c>
      <c r="T12042" s="18">
        <v>1380.99</v>
      </c>
      <c r="U12042" s="16"/>
      <c r="V12042" s="16"/>
      <c r="W12042" s="16" t="s">
        <v>40</v>
      </c>
      <c r="X12042" s="19">
        <v>0.52800000000000002</v>
      </c>
      <c r="Y12042" s="20">
        <v>1.815E-3</v>
      </c>
      <c r="Z12042" s="21">
        <v>4601004257818</v>
      </c>
    </row>
    <row r="12043" spans="1:26" ht="12" customHeight="1" outlineLevel="4" x14ac:dyDescent="0.2">
      <c r="A12043" s="14" t="s">
        <v>22865</v>
      </c>
      <c r="B12043" s="26" t="s">
        <v>22866</v>
      </c>
      <c r="C12043" s="52"/>
      <c r="D12043" s="55">
        <f t="shared" si="188"/>
        <v>0</v>
      </c>
      <c r="E12043" s="63" t="str">
        <f>HYPERLINK("https://www.sds-group.ru/product/razvetvitel-shina-dlya-ulichnyh-girlyand-1-vhod-5-vyhodov-55sm-shag-10sm-belyy-pvh-neon-nigh-315-406/", "Инфо")</f>
        <v>Инфо</v>
      </c>
      <c r="F12043" s="16" t="s">
        <v>39</v>
      </c>
      <c r="G12043" s="15"/>
      <c r="H12043" s="15"/>
      <c r="I12043" s="15"/>
      <c r="J12043" s="17">
        <v>178</v>
      </c>
      <c r="K12043" s="15"/>
      <c r="L12043" s="17">
        <v>1</v>
      </c>
      <c r="M12043" s="17">
        <v>50</v>
      </c>
      <c r="N12043" s="17">
        <v>1</v>
      </c>
      <c r="O12043" s="18">
        <v>1509.03</v>
      </c>
      <c r="P12043" s="18">
        <v>1236.9100000000001</v>
      </c>
      <c r="Q12043" s="18">
        <v>1509.03</v>
      </c>
      <c r="R12043" s="18">
        <v>1236.9100000000001</v>
      </c>
      <c r="S12043" s="18">
        <v>935.6</v>
      </c>
      <c r="T12043" s="18">
        <v>766.89</v>
      </c>
      <c r="U12043" s="16"/>
      <c r="V12043" s="16"/>
      <c r="W12043" s="16" t="s">
        <v>40</v>
      </c>
      <c r="X12043" s="19">
        <v>0.29699999999999999</v>
      </c>
      <c r="Y12043" s="20">
        <v>7.6400000000000003E-4</v>
      </c>
      <c r="Z12043" s="21">
        <v>4601004183827</v>
      </c>
    </row>
    <row r="12044" spans="1:26" ht="12" customHeight="1" outlineLevel="4" x14ac:dyDescent="0.2">
      <c r="A12044" s="14" t="s">
        <v>22867</v>
      </c>
      <c r="B12044" s="26" t="s">
        <v>22868</v>
      </c>
      <c r="C12044" s="52"/>
      <c r="D12044" s="55">
        <f t="shared" si="188"/>
        <v>0</v>
      </c>
      <c r="E12044" s="63" t="str">
        <f>HYPERLINK("https://www.sds-group.ru/product/razvetvitel-shina-dlya-ulichnyh-girlyand-1-vhod-20-vyhodov-200sm-shag-10sm-belyy-pvh-neon-ni-315-407/", "Инфо")</f>
        <v>Инфо</v>
      </c>
      <c r="F12044" s="16" t="s">
        <v>39</v>
      </c>
      <c r="G12044" s="15"/>
      <c r="H12044" s="15"/>
      <c r="I12044" s="15"/>
      <c r="J12044" s="17">
        <v>40</v>
      </c>
      <c r="K12044" s="15" t="s">
        <v>5369</v>
      </c>
      <c r="L12044" s="17">
        <v>1</v>
      </c>
      <c r="M12044" s="17">
        <v>15</v>
      </c>
      <c r="N12044" s="17">
        <v>1</v>
      </c>
      <c r="O12044" s="18">
        <v>4983.24</v>
      </c>
      <c r="P12044" s="18">
        <v>4084.62</v>
      </c>
      <c r="Q12044" s="18">
        <v>4983.24</v>
      </c>
      <c r="R12044" s="18">
        <v>4084.62</v>
      </c>
      <c r="S12044" s="18">
        <v>3089.61</v>
      </c>
      <c r="T12044" s="18">
        <v>2532.4699999999998</v>
      </c>
      <c r="U12044" s="16"/>
      <c r="V12044" s="16"/>
      <c r="W12044" s="16" t="s">
        <v>40</v>
      </c>
      <c r="X12044" s="19">
        <v>1.125</v>
      </c>
      <c r="Y12044" s="20">
        <v>3.421E-3</v>
      </c>
      <c r="Z12044" s="21">
        <v>4601004257771</v>
      </c>
    </row>
    <row r="12045" spans="1:26" ht="12" customHeight="1" outlineLevel="4" x14ac:dyDescent="0.2">
      <c r="A12045" s="14" t="s">
        <v>22869</v>
      </c>
      <c r="B12045" s="26" t="s">
        <v>22870</v>
      </c>
      <c r="C12045" s="52"/>
      <c r="D12045" s="55">
        <f t="shared" si="188"/>
        <v>0</v>
      </c>
      <c r="E12045" s="64"/>
      <c r="F12045" s="16" t="s">
        <v>39</v>
      </c>
      <c r="G12045" s="15"/>
      <c r="H12045" s="15"/>
      <c r="I12045" s="15"/>
      <c r="J12045" s="17">
        <v>904</v>
      </c>
      <c r="K12045" s="15"/>
      <c r="L12045" s="17">
        <v>5</v>
      </c>
      <c r="M12045" s="17">
        <v>100</v>
      </c>
      <c r="N12045" s="17">
        <v>5</v>
      </c>
      <c r="O12045" s="18">
        <v>487.49</v>
      </c>
      <c r="P12045" s="18">
        <v>399.58</v>
      </c>
      <c r="Q12045" s="18">
        <v>487.49</v>
      </c>
      <c r="R12045" s="18">
        <v>399.58</v>
      </c>
      <c r="S12045" s="18">
        <v>302.24</v>
      </c>
      <c r="T12045" s="18">
        <v>247.74</v>
      </c>
      <c r="U12045" s="16"/>
      <c r="V12045" s="16"/>
      <c r="W12045" s="16" t="s">
        <v>40</v>
      </c>
      <c r="X12045" s="19">
        <v>8.5999999999999993E-2</v>
      </c>
      <c r="Y12045" s="20">
        <v>3.1E-4</v>
      </c>
      <c r="Z12045" s="21">
        <v>4601004338555</v>
      </c>
    </row>
    <row r="12046" spans="1:26" ht="12" customHeight="1" outlineLevel="4" x14ac:dyDescent="0.2">
      <c r="A12046" s="14" t="s">
        <v>22871</v>
      </c>
      <c r="B12046" s="26" t="s">
        <v>22872</v>
      </c>
      <c r="C12046" s="52"/>
      <c r="D12046" s="55">
        <f t="shared" si="188"/>
        <v>0</v>
      </c>
      <c r="E12046" s="63" t="str">
        <f>HYPERLINK("https://www.sds-group.ru/product/udlinitel-shnur-dlya-podklyucheniya-ulichnyh-girlyand-3m-belyy-pvh-neon-night-315-421/", "Инфо")</f>
        <v>Инфо</v>
      </c>
      <c r="F12046" s="16" t="s">
        <v>39</v>
      </c>
      <c r="G12046" s="15"/>
      <c r="H12046" s="15"/>
      <c r="I12046" s="15"/>
      <c r="J12046" s="17">
        <v>5</v>
      </c>
      <c r="K12046" s="15"/>
      <c r="L12046" s="17">
        <v>1</v>
      </c>
      <c r="M12046" s="17">
        <v>100</v>
      </c>
      <c r="N12046" s="17">
        <v>1</v>
      </c>
      <c r="O12046" s="18">
        <v>919.56</v>
      </c>
      <c r="P12046" s="18">
        <v>753.74</v>
      </c>
      <c r="Q12046" s="18">
        <v>919.56</v>
      </c>
      <c r="R12046" s="18">
        <v>753.74</v>
      </c>
      <c r="S12046" s="18">
        <v>570.13</v>
      </c>
      <c r="T12046" s="18">
        <v>467.32</v>
      </c>
      <c r="U12046" s="16"/>
      <c r="V12046" s="16"/>
      <c r="W12046" s="16" t="s">
        <v>40</v>
      </c>
      <c r="X12046" s="19">
        <v>0.20899999999999999</v>
      </c>
      <c r="Y12046" s="20">
        <v>6.4999999999999997E-4</v>
      </c>
      <c r="Z12046" s="21">
        <v>4601004183834</v>
      </c>
    </row>
    <row r="12047" spans="1:26" ht="12" customHeight="1" outlineLevel="4" x14ac:dyDescent="0.2">
      <c r="A12047" s="14" t="s">
        <v>22873</v>
      </c>
      <c r="B12047" s="26" t="s">
        <v>22874</v>
      </c>
      <c r="C12047" s="52"/>
      <c r="D12047" s="55">
        <f t="shared" si="188"/>
        <v>0</v>
      </c>
      <c r="E12047" s="63" t="str">
        <f>HYPERLINK("https://www.sds-group.ru/product/udlinitel-shnur-dlya-podklyucheniya-ulichnyh-girlyand-3m-chernyy-pvh-neon-night-315-426/", "Инфо")</f>
        <v>Инфо</v>
      </c>
      <c r="F12047" s="16" t="s">
        <v>39</v>
      </c>
      <c r="G12047" s="15"/>
      <c r="H12047" s="15"/>
      <c r="I12047" s="15"/>
      <c r="J12047" s="17">
        <v>748</v>
      </c>
      <c r="K12047" s="15"/>
      <c r="L12047" s="17">
        <v>1</v>
      </c>
      <c r="M12047" s="17">
        <v>100</v>
      </c>
      <c r="N12047" s="17">
        <v>1</v>
      </c>
      <c r="O12047" s="18">
        <v>919.56</v>
      </c>
      <c r="P12047" s="18">
        <v>753.74</v>
      </c>
      <c r="Q12047" s="18">
        <v>919.56</v>
      </c>
      <c r="R12047" s="18">
        <v>753.74</v>
      </c>
      <c r="S12047" s="18">
        <v>570.13</v>
      </c>
      <c r="T12047" s="18">
        <v>467.32</v>
      </c>
      <c r="U12047" s="16"/>
      <c r="V12047" s="16"/>
      <c r="W12047" s="16" t="s">
        <v>40</v>
      </c>
      <c r="X12047" s="19">
        <v>0.189</v>
      </c>
      <c r="Y12047" s="20">
        <v>6.2299999999999996E-4</v>
      </c>
      <c r="Z12047" s="21">
        <v>4601004016941</v>
      </c>
    </row>
  </sheetData>
  <mergeCells count="1358">
    <mergeCell ref="B2:B3"/>
    <mergeCell ref="E2:F2"/>
    <mergeCell ref="G2:H2"/>
    <mergeCell ref="I2:J2"/>
    <mergeCell ref="K2:L2"/>
    <mergeCell ref="E3:F3"/>
    <mergeCell ref="G3:H6"/>
    <mergeCell ref="I3:J6"/>
    <mergeCell ref="K3:L6"/>
    <mergeCell ref="A9:C9"/>
    <mergeCell ref="A10:C10"/>
    <mergeCell ref="A11:C11"/>
    <mergeCell ref="A12:C12"/>
    <mergeCell ref="A26:C26"/>
    <mergeCell ref="A94:C94"/>
    <mergeCell ref="A209:C209"/>
    <mergeCell ref="A322:C322"/>
    <mergeCell ref="A431:C431"/>
    <mergeCell ref="A432:C432"/>
    <mergeCell ref="A451:C451"/>
    <mergeCell ref="A452:C452"/>
    <mergeCell ref="A453:C453"/>
    <mergeCell ref="A475:C475"/>
    <mergeCell ref="A489:C489"/>
    <mergeCell ref="A505:C505"/>
    <mergeCell ref="A525:C525"/>
    <mergeCell ref="A555:C555"/>
    <mergeCell ref="A561:C561"/>
    <mergeCell ref="A562:C562"/>
    <mergeCell ref="A579:C579"/>
    <mergeCell ref="A587:C587"/>
    <mergeCell ref="A609:C609"/>
    <mergeCell ref="A617:C617"/>
    <mergeCell ref="A618:C618"/>
    <mergeCell ref="A623:C623"/>
    <mergeCell ref="A628:C628"/>
    <mergeCell ref="A631:C631"/>
    <mergeCell ref="A635:C635"/>
    <mergeCell ref="A636:C636"/>
    <mergeCell ref="A640:C640"/>
    <mergeCell ref="A657:C657"/>
    <mergeCell ref="A658:C658"/>
    <mergeCell ref="A659:C659"/>
    <mergeCell ref="A665:C665"/>
    <mergeCell ref="A668:C668"/>
    <mergeCell ref="A686:C686"/>
    <mergeCell ref="A700:C700"/>
    <mergeCell ref="A701:C701"/>
    <mergeCell ref="A708:C708"/>
    <mergeCell ref="A709:C709"/>
    <mergeCell ref="A722:C722"/>
    <mergeCell ref="A740:C740"/>
    <mergeCell ref="A741:C741"/>
    <mergeCell ref="A748:C748"/>
    <mergeCell ref="A761:C761"/>
    <mergeCell ref="A762:C762"/>
    <mergeCell ref="A790:C790"/>
    <mergeCell ref="A824:C824"/>
    <mergeCell ref="A825:C825"/>
    <mergeCell ref="A848:C848"/>
    <mergeCell ref="A849:C849"/>
    <mergeCell ref="A859:C859"/>
    <mergeCell ref="A868:C868"/>
    <mergeCell ref="A870:C870"/>
    <mergeCell ref="A877:C877"/>
    <mergeCell ref="A886:C886"/>
    <mergeCell ref="A887:C887"/>
    <mergeCell ref="A888:C888"/>
    <mergeCell ref="A900:C900"/>
    <mergeCell ref="A905:C905"/>
    <mergeCell ref="A911:C911"/>
    <mergeCell ref="A942:C942"/>
    <mergeCell ref="A948:C948"/>
    <mergeCell ref="A949:C949"/>
    <mergeCell ref="A964:C964"/>
    <mergeCell ref="A984:C984"/>
    <mergeCell ref="A986:C986"/>
    <mergeCell ref="A1016:C1016"/>
    <mergeCell ref="A1025:C1025"/>
    <mergeCell ref="A1026:C1026"/>
    <mergeCell ref="A1033:C1033"/>
    <mergeCell ref="A1034:C1034"/>
    <mergeCell ref="A1040:C1040"/>
    <mergeCell ref="A1060:C1060"/>
    <mergeCell ref="A1061:C1061"/>
    <mergeCell ref="A1083:C1083"/>
    <mergeCell ref="A1088:C1088"/>
    <mergeCell ref="A1089:C1089"/>
    <mergeCell ref="A1093:C1093"/>
    <mergeCell ref="A1097:C1097"/>
    <mergeCell ref="A1098:C1098"/>
    <mergeCell ref="A1108:C1108"/>
    <mergeCell ref="A1112:C1112"/>
    <mergeCell ref="A1118:C1118"/>
    <mergeCell ref="A1121:C1121"/>
    <mergeCell ref="A1129:C1129"/>
    <mergeCell ref="A1160:C1160"/>
    <mergeCell ref="A1161:C1161"/>
    <mergeCell ref="A1162:C1162"/>
    <mergeCell ref="A1171:C1171"/>
    <mergeCell ref="A1180:C1180"/>
    <mergeCell ref="A1184:C1184"/>
    <mergeCell ref="A1191:C1191"/>
    <mergeCell ref="A1192:C1192"/>
    <mergeCell ref="A1214:C1214"/>
    <mergeCell ref="A1220:C1220"/>
    <mergeCell ref="A1221:C1221"/>
    <mergeCell ref="A1225:C1225"/>
    <mergeCell ref="A1242:C1242"/>
    <mergeCell ref="A1246:C1246"/>
    <mergeCell ref="A1247:C1247"/>
    <mergeCell ref="A1298:C1298"/>
    <mergeCell ref="A1307:C1307"/>
    <mergeCell ref="A1331:C1331"/>
    <mergeCell ref="A1337:C1337"/>
    <mergeCell ref="A1351:C1351"/>
    <mergeCell ref="A1354:C1354"/>
    <mergeCell ref="A1357:C1357"/>
    <mergeCell ref="A1359:C1359"/>
    <mergeCell ref="A1360:C1360"/>
    <mergeCell ref="A1361:C1361"/>
    <mergeCell ref="A1409:C1409"/>
    <mergeCell ref="A1423:C1423"/>
    <mergeCell ref="A1502:C1502"/>
    <mergeCell ref="A1523:C1523"/>
    <mergeCell ref="A1538:C1538"/>
    <mergeCell ref="A1543:C1543"/>
    <mergeCell ref="A1544:C1544"/>
    <mergeCell ref="A1627:C1627"/>
    <mergeCell ref="A1660:C1660"/>
    <mergeCell ref="A1681:C1681"/>
    <mergeCell ref="A1682:C1682"/>
    <mergeCell ref="A1760:C1760"/>
    <mergeCell ref="A1797:C1797"/>
    <mergeCell ref="A1813:C1813"/>
    <mergeCell ref="A1815:C1815"/>
    <mergeCell ref="A1824:C1824"/>
    <mergeCell ref="A1842:C1842"/>
    <mergeCell ref="A1849:C1849"/>
    <mergeCell ref="A1869:C1869"/>
    <mergeCell ref="A1880:C1880"/>
    <mergeCell ref="A1884:C1884"/>
    <mergeCell ref="A1885:C1885"/>
    <mergeCell ref="A1935:C1935"/>
    <mergeCell ref="A1949:C1949"/>
    <mergeCell ref="A1955:C1955"/>
    <mergeCell ref="A1965:C1965"/>
    <mergeCell ref="A1975:C1975"/>
    <mergeCell ref="A1980:C1980"/>
    <mergeCell ref="A1989:C1989"/>
    <mergeCell ref="A1995:C1995"/>
    <mergeCell ref="A2002:C2002"/>
    <mergeCell ref="A2003:C2003"/>
    <mergeCell ref="A2009:C2009"/>
    <mergeCell ref="A2019:C2019"/>
    <mergeCell ref="A2024:C2024"/>
    <mergeCell ref="A2028:C2028"/>
    <mergeCell ref="A2034:C2034"/>
    <mergeCell ref="A2035:C2035"/>
    <mergeCell ref="A2036:C2036"/>
    <mergeCell ref="A2048:C2048"/>
    <mergeCell ref="A2104:C2104"/>
    <mergeCell ref="A2284:C2284"/>
    <mergeCell ref="A2297:C2297"/>
    <mergeCell ref="A2308:C2308"/>
    <mergeCell ref="A2341:C2341"/>
    <mergeCell ref="A2348:C2348"/>
    <mergeCell ref="A2357:C2357"/>
    <mergeCell ref="A2364:C2364"/>
    <mergeCell ref="A2388:C2388"/>
    <mergeCell ref="A2426:C2426"/>
    <mergeCell ref="A2462:C2462"/>
    <mergeCell ref="A2470:C2470"/>
    <mergeCell ref="A2474:C2474"/>
    <mergeCell ref="A2475:C2475"/>
    <mergeCell ref="A2507:C2507"/>
    <mergeCell ref="A2519:C2519"/>
    <mergeCell ref="A2531:C2531"/>
    <mergeCell ref="A2532:C2532"/>
    <mergeCell ref="A2537:C2537"/>
    <mergeCell ref="A2542:C2542"/>
    <mergeCell ref="A2565:C2565"/>
    <mergeCell ref="A2594:C2594"/>
    <mergeCell ref="A2595:C2595"/>
    <mergeCell ref="A2596:C2596"/>
    <mergeCell ref="A2613:C2613"/>
    <mergeCell ref="A2615:C2615"/>
    <mergeCell ref="A2695:C2695"/>
    <mergeCell ref="A2697:C2697"/>
    <mergeCell ref="A2718:C2718"/>
    <mergeCell ref="A2719:C2719"/>
    <mergeCell ref="A2739:C2739"/>
    <mergeCell ref="A2750:C2750"/>
    <mergeCell ref="A2756:C2756"/>
    <mergeCell ref="A2757:C2757"/>
    <mergeCell ref="A2766:C2766"/>
    <mergeCell ref="A2769:C2769"/>
    <mergeCell ref="A2789:C2789"/>
    <mergeCell ref="A2793:C2793"/>
    <mergeCell ref="A2794:C2794"/>
    <mergeCell ref="A2798:C2798"/>
    <mergeCell ref="A2800:C2800"/>
    <mergeCell ref="A2808:C2808"/>
    <mergeCell ref="A2820:C2820"/>
    <mergeCell ref="A2828:C2828"/>
    <mergeCell ref="A2834:C2834"/>
    <mergeCell ref="A2835:C2835"/>
    <mergeCell ref="A2836:C2836"/>
    <mergeCell ref="A2857:C2857"/>
    <mergeCell ref="A2866:C2866"/>
    <mergeCell ref="A2886:C2886"/>
    <mergeCell ref="A2896:C2896"/>
    <mergeCell ref="A2897:C2897"/>
    <mergeCell ref="A2913:C2913"/>
    <mergeCell ref="A2935:C2935"/>
    <mergeCell ref="A2996:C2996"/>
    <mergeCell ref="A3017:C3017"/>
    <mergeCell ref="A3018:C3018"/>
    <mergeCell ref="A3038:C3038"/>
    <mergeCell ref="A3051:C3051"/>
    <mergeCell ref="A3057:C3057"/>
    <mergeCell ref="A3066:C3066"/>
    <mergeCell ref="A3067:C3067"/>
    <mergeCell ref="A3077:C3077"/>
    <mergeCell ref="A3084:C3084"/>
    <mergeCell ref="A3090:C3090"/>
    <mergeCell ref="A3093:C3093"/>
    <mergeCell ref="A3097:C3097"/>
    <mergeCell ref="A3104:C3104"/>
    <mergeCell ref="A3109:C3109"/>
    <mergeCell ref="A3123:C3123"/>
    <mergeCell ref="A3143:C3143"/>
    <mergeCell ref="A3144:C3144"/>
    <mergeCell ref="A3148:C3148"/>
    <mergeCell ref="A3151:C3151"/>
    <mergeCell ref="A3152:C3152"/>
    <mergeCell ref="A3158:C3158"/>
    <mergeCell ref="A3159:C3159"/>
    <mergeCell ref="A3160:C3160"/>
    <mergeCell ref="A3161:C3161"/>
    <mergeCell ref="A3180:C3180"/>
    <mergeCell ref="A3197:C3197"/>
    <mergeCell ref="A3211:C3211"/>
    <mergeCell ref="A3234:C3234"/>
    <mergeCell ref="A3248:C3248"/>
    <mergeCell ref="A3249:C3249"/>
    <mergeCell ref="A3258:C3258"/>
    <mergeCell ref="A3266:C3266"/>
    <mergeCell ref="A3275:C3275"/>
    <mergeCell ref="A3279:C3279"/>
    <mergeCell ref="A3283:C3283"/>
    <mergeCell ref="A3288:C3288"/>
    <mergeCell ref="A3295:C3295"/>
    <mergeCell ref="A3305:C3305"/>
    <mergeCell ref="A3306:C3306"/>
    <mergeCell ref="A3324:C3324"/>
    <mergeCell ref="A3338:C3338"/>
    <mergeCell ref="A3355:C3355"/>
    <mergeCell ref="A3366:C3366"/>
    <mergeCell ref="A3381:C3381"/>
    <mergeCell ref="A3388:C3388"/>
    <mergeCell ref="A3393:C3393"/>
    <mergeCell ref="A3396:C3396"/>
    <mergeCell ref="A3401:C3401"/>
    <mergeCell ref="A3408:C3408"/>
    <mergeCell ref="A3409:C3409"/>
    <mergeCell ref="A3423:C3423"/>
    <mergeCell ref="A3430:C3430"/>
    <mergeCell ref="A3438:C3438"/>
    <mergeCell ref="A3447:C3447"/>
    <mergeCell ref="A3452:C3452"/>
    <mergeCell ref="A3453:C3453"/>
    <mergeCell ref="A3468:C3468"/>
    <mergeCell ref="A3470:C3470"/>
    <mergeCell ref="A3476:C3476"/>
    <mergeCell ref="A3477:C3477"/>
    <mergeCell ref="A3486:C3486"/>
    <mergeCell ref="A3490:C3490"/>
    <mergeCell ref="A3496:C3496"/>
    <mergeCell ref="A3502:C3502"/>
    <mergeCell ref="A3510:C3510"/>
    <mergeCell ref="A3511:C3511"/>
    <mergeCell ref="A3518:C3518"/>
    <mergeCell ref="A3521:C3521"/>
    <mergeCell ref="A3540:C3540"/>
    <mergeCell ref="A3541:C3541"/>
    <mergeCell ref="A3547:C3547"/>
    <mergeCell ref="A3555:C3555"/>
    <mergeCell ref="A3563:C3563"/>
    <mergeCell ref="A3567:C3567"/>
    <mergeCell ref="A3576:C3576"/>
    <mergeCell ref="A3596:C3596"/>
    <mergeCell ref="A3606:C3606"/>
    <mergeCell ref="A3609:C3609"/>
    <mergeCell ref="A3610:C3610"/>
    <mergeCell ref="A3616:C3616"/>
    <mergeCell ref="A3624:C3624"/>
    <mergeCell ref="A3632:C3632"/>
    <mergeCell ref="A3637:C3637"/>
    <mergeCell ref="A3657:C3657"/>
    <mergeCell ref="A3662:C3662"/>
    <mergeCell ref="A3681:C3681"/>
    <mergeCell ref="A3700:C3700"/>
    <mergeCell ref="A3705:C3705"/>
    <mergeCell ref="A3711:C3711"/>
    <mergeCell ref="A3726:C3726"/>
    <mergeCell ref="A3733:C3733"/>
    <mergeCell ref="A3740:C3740"/>
    <mergeCell ref="A3762:C3762"/>
    <mergeCell ref="A3768:C3768"/>
    <mergeCell ref="A3769:C3769"/>
    <mergeCell ref="A3786:C3786"/>
    <mergeCell ref="A3794:C3794"/>
    <mergeCell ref="A3818:C3818"/>
    <mergeCell ref="A3856:C3856"/>
    <mergeCell ref="A3888:C3888"/>
    <mergeCell ref="A3908:C3908"/>
    <mergeCell ref="A3953:C3953"/>
    <mergeCell ref="A3963:C3963"/>
    <mergeCell ref="A3969:C3969"/>
    <mergeCell ref="A3971:C3971"/>
    <mergeCell ref="A3976:C3976"/>
    <mergeCell ref="A3989:C3989"/>
    <mergeCell ref="A4002:C4002"/>
    <mergeCell ref="A4010:C4010"/>
    <mergeCell ref="A4013:C4013"/>
    <mergeCell ref="A4014:C4014"/>
    <mergeCell ref="A4038:C4038"/>
    <mergeCell ref="A4069:C4069"/>
    <mergeCell ref="A4076:C4076"/>
    <mergeCell ref="A4079:C4079"/>
    <mergeCell ref="A4081:C4081"/>
    <mergeCell ref="A4083:C4083"/>
    <mergeCell ref="A4086:C4086"/>
    <mergeCell ref="A4089:C4089"/>
    <mergeCell ref="A4090:C4090"/>
    <mergeCell ref="A4091:C4091"/>
    <mergeCell ref="A4093:C4093"/>
    <mergeCell ref="A4095:C4095"/>
    <mergeCell ref="A4096:C4096"/>
    <mergeCell ref="A4098:C4098"/>
    <mergeCell ref="A4099:C4099"/>
    <mergeCell ref="A4206:C4206"/>
    <mergeCell ref="A4212:C4212"/>
    <mergeCell ref="A4249:C4249"/>
    <mergeCell ref="A4265:C4265"/>
    <mergeCell ref="A4285:C4285"/>
    <mergeCell ref="A4303:C4303"/>
    <mergeCell ref="A4304:C4304"/>
    <mergeCell ref="A4319:C4319"/>
    <mergeCell ref="A4370:C4370"/>
    <mergeCell ref="A4390:C4390"/>
    <mergeCell ref="A4402:C4402"/>
    <mergeCell ref="A4432:C4432"/>
    <mergeCell ref="A4449:C4449"/>
    <mergeCell ref="A4468:C4468"/>
    <mergeCell ref="A4481:C4481"/>
    <mergeCell ref="A4485:C4485"/>
    <mergeCell ref="A4499:C4499"/>
    <mergeCell ref="A4500:C4500"/>
    <mergeCell ref="A4523:C4523"/>
    <mergeCell ref="A4525:C4525"/>
    <mergeCell ref="A4542:C4542"/>
    <mergeCell ref="A4559:C4559"/>
    <mergeCell ref="A4567:C4567"/>
    <mergeCell ref="A4569:C4569"/>
    <mergeCell ref="A4605:C4605"/>
    <mergeCell ref="A4625:C4625"/>
    <mergeCell ref="A4630:C4630"/>
    <mergeCell ref="A4639:C4639"/>
    <mergeCell ref="A4648:C4648"/>
    <mergeCell ref="A4658:C4658"/>
    <mergeCell ref="A4661:C4661"/>
    <mergeCell ref="A4662:C4662"/>
    <mergeCell ref="A4670:C4670"/>
    <mergeCell ref="A4678:C4678"/>
    <mergeCell ref="A4691:C4691"/>
    <mergeCell ref="A4693:C4693"/>
    <mergeCell ref="A4694:C4694"/>
    <mergeCell ref="A4716:C4716"/>
    <mergeCell ref="A4719:C4719"/>
    <mergeCell ref="A4729:C4729"/>
    <mergeCell ref="A4740:C4740"/>
    <mergeCell ref="A4743:C4743"/>
    <mergeCell ref="A4776:C4776"/>
    <mergeCell ref="A4782:C4782"/>
    <mergeCell ref="A4783:C4783"/>
    <mergeCell ref="A4793:C4793"/>
    <mergeCell ref="A4801:C4801"/>
    <mergeCell ref="A4806:C4806"/>
    <mergeCell ref="A4811:C4811"/>
    <mergeCell ref="A4818:C4818"/>
    <mergeCell ref="A4825:C4825"/>
    <mergeCell ref="A4849:C4849"/>
    <mergeCell ref="A4879:C4879"/>
    <mergeCell ref="A4900:C4900"/>
    <mergeCell ref="A4903:C4903"/>
    <mergeCell ref="A4910:C4910"/>
    <mergeCell ref="A4911:C4911"/>
    <mergeCell ref="A4932:C4932"/>
    <mergeCell ref="A4947:C4947"/>
    <mergeCell ref="A4958:C4958"/>
    <mergeCell ref="A4963:C4963"/>
    <mergeCell ref="A4997:C4997"/>
    <mergeCell ref="A5015:C5015"/>
    <mergeCell ref="A5016:C5016"/>
    <mergeCell ref="A5017:C5017"/>
    <mergeCell ref="A5018:C5018"/>
    <mergeCell ref="A5023:C5023"/>
    <mergeCell ref="A5028:C5028"/>
    <mergeCell ref="A5030:C5030"/>
    <mergeCell ref="A5032:C5032"/>
    <mergeCell ref="A5033:C5033"/>
    <mergeCell ref="A5045:C5045"/>
    <mergeCell ref="A5053:C5053"/>
    <mergeCell ref="A5061:C5061"/>
    <mergeCell ref="A5068:C5068"/>
    <mergeCell ref="A5081:C5081"/>
    <mergeCell ref="A5082:C5082"/>
    <mergeCell ref="A5095:C5095"/>
    <mergeCell ref="A5096:C5096"/>
    <mergeCell ref="A5109:C5109"/>
    <mergeCell ref="A5112:C5112"/>
    <mergeCell ref="A5113:C5113"/>
    <mergeCell ref="A5118:C5118"/>
    <mergeCell ref="A5119:C5119"/>
    <mergeCell ref="A5123:C5123"/>
    <mergeCell ref="A5130:C5130"/>
    <mergeCell ref="A5131:C5131"/>
    <mergeCell ref="A5138:C5138"/>
    <mergeCell ref="A5144:C5144"/>
    <mergeCell ref="A5146:C5146"/>
    <mergeCell ref="A5147:C5147"/>
    <mergeCell ref="A5152:C5152"/>
    <mergeCell ref="A5161:C5161"/>
    <mergeCell ref="A5168:C5168"/>
    <mergeCell ref="A5169:C5169"/>
    <mergeCell ref="A5174:C5174"/>
    <mergeCell ref="A5175:C5175"/>
    <mergeCell ref="A5177:C5177"/>
    <mergeCell ref="A5183:C5183"/>
    <mergeCell ref="A5184:C5184"/>
    <mergeCell ref="A5189:C5189"/>
    <mergeCell ref="A5192:C5192"/>
    <mergeCell ref="A5197:C5197"/>
    <mergeCell ref="A5202:C5202"/>
    <mergeCell ref="A5203:C5203"/>
    <mergeCell ref="A5204:C5204"/>
    <mergeCell ref="A5209:C5209"/>
    <mergeCell ref="A5221:C5221"/>
    <mergeCell ref="A5233:C5233"/>
    <mergeCell ref="A5237:C5237"/>
    <mergeCell ref="A5246:C5246"/>
    <mergeCell ref="A5253:C5253"/>
    <mergeCell ref="A5263:C5263"/>
    <mergeCell ref="A5268:C5268"/>
    <mergeCell ref="A5270:C5270"/>
    <mergeCell ref="A5271:C5271"/>
    <mergeCell ref="A5272:C5272"/>
    <mergeCell ref="A5288:C5288"/>
    <mergeCell ref="A5305:C5305"/>
    <mergeCell ref="A5313:C5313"/>
    <mergeCell ref="A5319:C5319"/>
    <mergeCell ref="A5330:C5330"/>
    <mergeCell ref="A5336:C5336"/>
    <mergeCell ref="A5340:C5340"/>
    <mergeCell ref="A5356:C5356"/>
    <mergeCell ref="A5374:C5374"/>
    <mergeCell ref="A5386:C5386"/>
    <mergeCell ref="A5394:C5394"/>
    <mergeCell ref="A5401:C5401"/>
    <mergeCell ref="A5409:C5409"/>
    <mergeCell ref="A5427:C5427"/>
    <mergeCell ref="A5428:C5428"/>
    <mergeCell ref="A5458:C5458"/>
    <mergeCell ref="A5481:C5481"/>
    <mergeCell ref="A5482:C5482"/>
    <mergeCell ref="A5519:C5519"/>
    <mergeCell ref="A5538:C5538"/>
    <mergeCell ref="A5539:C5539"/>
    <mergeCell ref="A5548:C5548"/>
    <mergeCell ref="A5552:C5552"/>
    <mergeCell ref="A5608:C5608"/>
    <mergeCell ref="A5620:C5620"/>
    <mergeCell ref="A5625:C5625"/>
    <mergeCell ref="A5626:C5626"/>
    <mergeCell ref="A5640:C5640"/>
    <mergeCell ref="A5647:C5647"/>
    <mergeCell ref="A5649:C5649"/>
    <mergeCell ref="A5656:C5656"/>
    <mergeCell ref="A5661:C5661"/>
    <mergeCell ref="A5665:C5665"/>
    <mergeCell ref="A5671:C5671"/>
    <mergeCell ref="A5672:C5672"/>
    <mergeCell ref="A5679:C5679"/>
    <mergeCell ref="A5709:C5709"/>
    <mergeCell ref="A5710:C5710"/>
    <mergeCell ref="A5711:C5711"/>
    <mergeCell ref="A5717:C5717"/>
    <mergeCell ref="A5718:C5718"/>
    <mergeCell ref="A5728:C5728"/>
    <mergeCell ref="A5732:C5732"/>
    <mergeCell ref="A5734:C5734"/>
    <mergeCell ref="A5737:C5737"/>
    <mergeCell ref="A5740:C5740"/>
    <mergeCell ref="A5763:C5763"/>
    <mergeCell ref="A5768:C5768"/>
    <mergeCell ref="A5771:C5771"/>
    <mergeCell ref="A5786:C5786"/>
    <mergeCell ref="A5792:C5792"/>
    <mergeCell ref="A5802:C5802"/>
    <mergeCell ref="A5808:C5808"/>
    <mergeCell ref="A5810:C5810"/>
    <mergeCell ref="A5819:C5819"/>
    <mergeCell ref="A5820:C5820"/>
    <mergeCell ref="A5827:C5827"/>
    <mergeCell ref="A5832:C5832"/>
    <mergeCell ref="A5844:C5844"/>
    <mergeCell ref="A5845:C5845"/>
    <mergeCell ref="A5848:C5848"/>
    <mergeCell ref="A5858:C5858"/>
    <mergeCell ref="A5859:C5859"/>
    <mergeCell ref="A5860:C5860"/>
    <mergeCell ref="A5861:C5861"/>
    <mergeCell ref="A5894:C5894"/>
    <mergeCell ref="A5953:C5953"/>
    <mergeCell ref="A5989:C5989"/>
    <mergeCell ref="A6018:C6018"/>
    <mergeCell ref="A6033:C6033"/>
    <mergeCell ref="A6037:C6037"/>
    <mergeCell ref="A6049:C6049"/>
    <mergeCell ref="A6050:C6050"/>
    <mergeCell ref="A6052:C6052"/>
    <mergeCell ref="A6065:C6065"/>
    <mergeCell ref="A6070:C6070"/>
    <mergeCell ref="A6071:C6071"/>
    <mergeCell ref="A6081:C6081"/>
    <mergeCell ref="A6104:C6104"/>
    <mergeCell ref="A6109:C6109"/>
    <mergeCell ref="A6113:C6113"/>
    <mergeCell ref="A6117:C6117"/>
    <mergeCell ref="A6118:C6118"/>
    <mergeCell ref="A6140:C6140"/>
    <mergeCell ref="A6156:C6156"/>
    <mergeCell ref="A6157:C6157"/>
    <mergeCell ref="A6159:C6159"/>
    <mergeCell ref="A6160:C6160"/>
    <mergeCell ref="A6161:C6161"/>
    <mergeCell ref="A6168:C6168"/>
    <mergeCell ref="A6175:C6175"/>
    <mergeCell ref="A6187:C6187"/>
    <mergeCell ref="A6188:C6188"/>
    <mergeCell ref="A6201:C6201"/>
    <mergeCell ref="A6222:C6222"/>
    <mergeCell ref="A6243:C6243"/>
    <mergeCell ref="A6247:C6247"/>
    <mergeCell ref="A6255:C6255"/>
    <mergeCell ref="A6263:C6263"/>
    <mergeCell ref="A6265:C6265"/>
    <mergeCell ref="A6266:C6266"/>
    <mergeCell ref="A6269:C6269"/>
    <mergeCell ref="A6285:C6285"/>
    <mergeCell ref="A6290:C6290"/>
    <mergeCell ref="A6291:C6291"/>
    <mergeCell ref="A6304:C6304"/>
    <mergeCell ref="A6313:C6313"/>
    <mergeCell ref="A6318:C6318"/>
    <mergeCell ref="A6321:C6321"/>
    <mergeCell ref="A6327:C6327"/>
    <mergeCell ref="A6330:C6330"/>
    <mergeCell ref="A6331:C6331"/>
    <mergeCell ref="A6333:C6333"/>
    <mergeCell ref="A6343:C6343"/>
    <mergeCell ref="A6344:C6344"/>
    <mergeCell ref="A6364:C6364"/>
    <mergeCell ref="A6365:C6365"/>
    <mergeCell ref="A6395:C6395"/>
    <mergeCell ref="A6401:C6401"/>
    <mergeCell ref="A6432:C6432"/>
    <mergeCell ref="A6456:C6456"/>
    <mergeCell ref="A6461:C6461"/>
    <mergeCell ref="A6468:C6468"/>
    <mergeCell ref="A6476:C6476"/>
    <mergeCell ref="A6480:C6480"/>
    <mergeCell ref="A6484:C6484"/>
    <mergeCell ref="A6487:C6487"/>
    <mergeCell ref="A6492:C6492"/>
    <mergeCell ref="A6493:C6493"/>
    <mergeCell ref="A6498:C6498"/>
    <mergeCell ref="A6510:C6510"/>
    <mergeCell ref="A6512:C6512"/>
    <mergeCell ref="A6515:C6515"/>
    <mergeCell ref="A6517:C6517"/>
    <mergeCell ref="A6522:C6522"/>
    <mergeCell ref="A6523:C6523"/>
    <mergeCell ref="A6539:C6539"/>
    <mergeCell ref="A6544:C6544"/>
    <mergeCell ref="A6551:C6551"/>
    <mergeCell ref="A6554:C6554"/>
    <mergeCell ref="A6555:C6555"/>
    <mergeCell ref="A6581:C6581"/>
    <mergeCell ref="A6595:C6595"/>
    <mergeCell ref="A6596:C6596"/>
    <mergeCell ref="A6597:C6597"/>
    <mergeCell ref="A6598:C6598"/>
    <mergeCell ref="A6605:C6605"/>
    <mergeCell ref="A6606:C6606"/>
    <mergeCell ref="A6615:C6615"/>
    <mergeCell ref="A6626:C6626"/>
    <mergeCell ref="A6631:C6631"/>
    <mergeCell ref="A6638:C6638"/>
    <mergeCell ref="A6647:C6647"/>
    <mergeCell ref="A6650:C6650"/>
    <mergeCell ref="A6651:C6651"/>
    <mergeCell ref="A6656:C6656"/>
    <mergeCell ref="A6666:C6666"/>
    <mergeCell ref="A6670:C6670"/>
    <mergeCell ref="A6673:C6673"/>
    <mergeCell ref="A6674:C6674"/>
    <mergeCell ref="A6681:C6681"/>
    <mergeCell ref="A6691:C6691"/>
    <mergeCell ref="A6692:C6692"/>
    <mergeCell ref="A6700:C6700"/>
    <mergeCell ref="A6706:C6706"/>
    <mergeCell ref="A6707:C6707"/>
    <mergeCell ref="A6718:C6718"/>
    <mergeCell ref="A6726:C6726"/>
    <mergeCell ref="A6730:C6730"/>
    <mergeCell ref="A6734:C6734"/>
    <mergeCell ref="A6735:C6735"/>
    <mergeCell ref="A6740:C6740"/>
    <mergeCell ref="A6744:C6744"/>
    <mergeCell ref="A6746:C6746"/>
    <mergeCell ref="A6751:C6751"/>
    <mergeCell ref="A6752:C6752"/>
    <mergeCell ref="A6759:C6759"/>
    <mergeCell ref="A6768:C6768"/>
    <mergeCell ref="A6771:C6771"/>
    <mergeCell ref="A6773:C6773"/>
    <mergeCell ref="A6774:C6774"/>
    <mergeCell ref="A6777:C6777"/>
    <mergeCell ref="A6779:C6779"/>
    <mergeCell ref="A6785:C6785"/>
    <mergeCell ref="A6791:C6791"/>
    <mergeCell ref="A6794:C6794"/>
    <mergeCell ref="A6802:C6802"/>
    <mergeCell ref="A6803:C6803"/>
    <mergeCell ref="A6808:C6808"/>
    <mergeCell ref="A6813:C6813"/>
    <mergeCell ref="A6817:C6817"/>
    <mergeCell ref="A6825:C6825"/>
    <mergeCell ref="A6826:C6826"/>
    <mergeCell ref="A6827:C6827"/>
    <mergeCell ref="A6870:C6870"/>
    <mergeCell ref="A6878:C6878"/>
    <mergeCell ref="A6921:C6921"/>
    <mergeCell ref="A6929:C6929"/>
    <mergeCell ref="A6935:C6935"/>
    <mergeCell ref="A6943:C6943"/>
    <mergeCell ref="A6944:C6944"/>
    <mergeCell ref="A6956:C6956"/>
    <mergeCell ref="A6963:C6963"/>
    <mergeCell ref="A6970:C6970"/>
    <mergeCell ref="A6974:C6974"/>
    <mergeCell ref="A6975:C6975"/>
    <mergeCell ref="A6976:C6976"/>
    <mergeCell ref="A6978:C6978"/>
    <mergeCell ref="A6980:C6980"/>
    <mergeCell ref="A6983:C6983"/>
    <mergeCell ref="A6986:C6986"/>
    <mergeCell ref="A6989:C6989"/>
    <mergeCell ref="A6993:C6993"/>
    <mergeCell ref="A6994:C6994"/>
    <mergeCell ref="A6996:C6996"/>
    <mergeCell ref="A6999:C6999"/>
    <mergeCell ref="A7001:C7001"/>
    <mergeCell ref="A7003:C7003"/>
    <mergeCell ref="A7006:C7006"/>
    <mergeCell ref="A7008:C7008"/>
    <mergeCell ref="A7011:C7011"/>
    <mergeCell ref="A7013:C7013"/>
    <mergeCell ref="A7017:C7017"/>
    <mergeCell ref="A7021:C7021"/>
    <mergeCell ref="A7025:C7025"/>
    <mergeCell ref="A7027:C7027"/>
    <mergeCell ref="A7029:C7029"/>
    <mergeCell ref="A7032:C7032"/>
    <mergeCell ref="A7034:C7034"/>
    <mergeCell ref="A7037:C7037"/>
    <mergeCell ref="A7038:C7038"/>
    <mergeCell ref="A7041:C7041"/>
    <mergeCell ref="A7044:C7044"/>
    <mergeCell ref="A7048:C7048"/>
    <mergeCell ref="A7053:C7053"/>
    <mergeCell ref="A7056:C7056"/>
    <mergeCell ref="A7060:C7060"/>
    <mergeCell ref="A7065:C7065"/>
    <mergeCell ref="A7067:C7067"/>
    <mergeCell ref="A7068:C7068"/>
    <mergeCell ref="A7072:C7072"/>
    <mergeCell ref="A7075:C7075"/>
    <mergeCell ref="A7078:C7078"/>
    <mergeCell ref="A7081:C7081"/>
    <mergeCell ref="A7084:C7084"/>
    <mergeCell ref="A7087:C7087"/>
    <mergeCell ref="A7093:C7093"/>
    <mergeCell ref="A7096:C7096"/>
    <mergeCell ref="A7101:C7101"/>
    <mergeCell ref="A7107:C7107"/>
    <mergeCell ref="A7115:C7115"/>
    <mergeCell ref="A7130:C7130"/>
    <mergeCell ref="A7153:C7153"/>
    <mergeCell ref="A7157:C7157"/>
    <mergeCell ref="A7162:C7162"/>
    <mergeCell ref="A7163:C7163"/>
    <mergeCell ref="A7164:C7164"/>
    <mergeCell ref="A7176:C7176"/>
    <mergeCell ref="A7184:C7184"/>
    <mergeCell ref="A7192:C7192"/>
    <mergeCell ref="A7205:C7205"/>
    <mergeCell ref="A7216:C7216"/>
    <mergeCell ref="A7217:C7217"/>
    <mergeCell ref="A7227:C7227"/>
    <mergeCell ref="A7239:C7239"/>
    <mergeCell ref="A7251:C7251"/>
    <mergeCell ref="A7252:C7252"/>
    <mergeCell ref="A7254:C7254"/>
    <mergeCell ref="A7255:C7255"/>
    <mergeCell ref="A7266:C7266"/>
    <mergeCell ref="A7274:C7274"/>
    <mergeCell ref="A7281:C7281"/>
    <mergeCell ref="A7282:C7282"/>
    <mergeCell ref="A7293:C7293"/>
    <mergeCell ref="A7299:C7299"/>
    <mergeCell ref="A7303:C7303"/>
    <mergeCell ref="A7308:C7308"/>
    <mergeCell ref="A7309:C7309"/>
    <mergeCell ref="A7319:C7319"/>
    <mergeCell ref="A7326:C7326"/>
    <mergeCell ref="A7332:C7332"/>
    <mergeCell ref="A7342:C7342"/>
    <mergeCell ref="A7348:C7348"/>
    <mergeCell ref="A7349:C7349"/>
    <mergeCell ref="A7359:C7359"/>
    <mergeCell ref="A7362:C7362"/>
    <mergeCell ref="A7373:C7373"/>
    <mergeCell ref="A7374:C7374"/>
    <mergeCell ref="A7381:C7381"/>
    <mergeCell ref="A7385:C7385"/>
    <mergeCell ref="A7389:C7389"/>
    <mergeCell ref="A7390:C7390"/>
    <mergeCell ref="A7393:C7393"/>
    <mergeCell ref="A7401:C7401"/>
    <mergeCell ref="A7405:C7405"/>
    <mergeCell ref="A7408:C7408"/>
    <mergeCell ref="A7409:C7409"/>
    <mergeCell ref="A7415:C7415"/>
    <mergeCell ref="A7432:C7432"/>
    <mergeCell ref="A7433:C7433"/>
    <mergeCell ref="A7434:C7434"/>
    <mergeCell ref="A7435:C7435"/>
    <mergeCell ref="A7443:C7443"/>
    <mergeCell ref="A7450:C7450"/>
    <mergeCell ref="A7457:C7457"/>
    <mergeCell ref="A7460:C7460"/>
    <mergeCell ref="A7461:C7461"/>
    <mergeCell ref="A7475:C7475"/>
    <mergeCell ref="A7492:C7492"/>
    <mergeCell ref="A7497:C7497"/>
    <mergeCell ref="A7504:C7504"/>
    <mergeCell ref="A7505:C7505"/>
    <mergeCell ref="A7507:C7507"/>
    <mergeCell ref="A7509:C7509"/>
    <mergeCell ref="A7512:C7512"/>
    <mergeCell ref="A7527:C7527"/>
    <mergeCell ref="A7528:C7528"/>
    <mergeCell ref="A7529:C7529"/>
    <mergeCell ref="A7551:C7551"/>
    <mergeCell ref="A7564:C7564"/>
    <mergeCell ref="A7570:C7570"/>
    <mergeCell ref="A7571:C7571"/>
    <mergeCell ref="A7586:C7586"/>
    <mergeCell ref="A7597:C7597"/>
    <mergeCell ref="A7616:C7616"/>
    <mergeCell ref="A7629:C7629"/>
    <mergeCell ref="A7641:C7641"/>
    <mergeCell ref="A7642:C7642"/>
    <mergeCell ref="A7643:C7643"/>
    <mergeCell ref="A7645:C7645"/>
    <mergeCell ref="A7647:C7647"/>
    <mergeCell ref="A7655:C7655"/>
    <mergeCell ref="A7668:C7668"/>
    <mergeCell ref="A7671:C7671"/>
    <mergeCell ref="A7673:C7673"/>
    <mergeCell ref="A7674:C7674"/>
    <mergeCell ref="A7676:C7676"/>
    <mergeCell ref="A7680:C7680"/>
    <mergeCell ref="A7681:C7681"/>
    <mergeCell ref="A7682:C7682"/>
    <mergeCell ref="A7688:C7688"/>
    <mergeCell ref="A7694:C7694"/>
    <mergeCell ref="A7696:C7696"/>
    <mergeCell ref="A7701:C7701"/>
    <mergeCell ref="A7703:C7703"/>
    <mergeCell ref="A7706:C7706"/>
    <mergeCell ref="A7707:C7707"/>
    <mergeCell ref="A7710:C7710"/>
    <mergeCell ref="A7712:C7712"/>
    <mergeCell ref="A7714:C7714"/>
    <mergeCell ref="A7717:C7717"/>
    <mergeCell ref="A7718:C7718"/>
    <mergeCell ref="A7719:C7719"/>
    <mergeCell ref="A7726:C7726"/>
    <mergeCell ref="A7731:C7731"/>
    <mergeCell ref="A7741:C7741"/>
    <mergeCell ref="A7752:C7752"/>
    <mergeCell ref="A7758:C7758"/>
    <mergeCell ref="A7769:C7769"/>
    <mergeCell ref="A7772:C7772"/>
    <mergeCell ref="A7775:C7775"/>
    <mergeCell ref="A7782:C7782"/>
    <mergeCell ref="A7784:C7784"/>
    <mergeCell ref="A7787:C7787"/>
    <mergeCell ref="A7788:C7788"/>
    <mergeCell ref="A7803:C7803"/>
    <mergeCell ref="A7823:C7823"/>
    <mergeCell ref="A7830:C7830"/>
    <mergeCell ref="A7852:C7852"/>
    <mergeCell ref="A7875:C7875"/>
    <mergeCell ref="A7878:C7878"/>
    <mergeCell ref="A7880:C7880"/>
    <mergeCell ref="A7895:C7895"/>
    <mergeCell ref="A7896:C7896"/>
    <mergeCell ref="A7922:C7922"/>
    <mergeCell ref="A7936:C7936"/>
    <mergeCell ref="A7947:C7947"/>
    <mergeCell ref="A7963:C7963"/>
    <mergeCell ref="A7964:C7964"/>
    <mergeCell ref="A7982:C7982"/>
    <mergeCell ref="A7986:C7986"/>
    <mergeCell ref="A7990:C7990"/>
    <mergeCell ref="A7993:C7993"/>
    <mergeCell ref="A7998:C7998"/>
    <mergeCell ref="A7999:C7999"/>
    <mergeCell ref="A8000:C8000"/>
    <mergeCell ref="A8025:C8025"/>
    <mergeCell ref="A8038:C8038"/>
    <mergeCell ref="A8043:C8043"/>
    <mergeCell ref="A8045:C8045"/>
    <mergeCell ref="A8047:C8047"/>
    <mergeCell ref="A8052:C8052"/>
    <mergeCell ref="A8053:C8053"/>
    <mergeCell ref="A8060:C8060"/>
    <mergeCell ref="A8065:C8065"/>
    <mergeCell ref="A8076:C8076"/>
    <mergeCell ref="A8085:C8085"/>
    <mergeCell ref="A8088:C8088"/>
    <mergeCell ref="A8091:C8091"/>
    <mergeCell ref="A8098:C8098"/>
    <mergeCell ref="A8116:C8116"/>
    <mergeCell ref="A8117:C8117"/>
    <mergeCell ref="A8136:C8136"/>
    <mergeCell ref="A8160:C8160"/>
    <mergeCell ref="A8163:C8163"/>
    <mergeCell ref="A8212:C8212"/>
    <mergeCell ref="A8216:C8216"/>
    <mergeCell ref="A8222:C8222"/>
    <mergeCell ref="A8223:C8223"/>
    <mergeCell ref="A8296:C8296"/>
    <mergeCell ref="A8305:C8305"/>
    <mergeCell ref="A8310:C8310"/>
    <mergeCell ref="A8311:C8311"/>
    <mergeCell ref="A8330:C8330"/>
    <mergeCell ref="A8333:C8333"/>
    <mergeCell ref="A8336:C8336"/>
    <mergeCell ref="A8339:C8339"/>
    <mergeCell ref="A8340:C8340"/>
    <mergeCell ref="A8342:C8342"/>
    <mergeCell ref="A8354:C8354"/>
    <mergeCell ref="A8361:C8361"/>
    <mergeCell ref="A8365:C8365"/>
    <mergeCell ref="A8366:C8366"/>
    <mergeCell ref="A8367:C8367"/>
    <mergeCell ref="A8368:C8368"/>
    <mergeCell ref="A8369:C8369"/>
    <mergeCell ref="A8400:C8400"/>
    <mergeCell ref="A8413:C8413"/>
    <mergeCell ref="A8419:C8419"/>
    <mergeCell ref="A8426:C8426"/>
    <mergeCell ref="A8442:C8442"/>
    <mergeCell ref="A8465:C8465"/>
    <mergeCell ref="A8489:C8489"/>
    <mergeCell ref="A8490:C8490"/>
    <mergeCell ref="A8507:C8507"/>
    <mergeCell ref="A8511:C8511"/>
    <mergeCell ref="A8512:C8512"/>
    <mergeCell ref="A8516:C8516"/>
    <mergeCell ref="A8529:C8529"/>
    <mergeCell ref="A8539:C8539"/>
    <mergeCell ref="A8551:C8551"/>
    <mergeCell ref="A8558:C8558"/>
    <mergeCell ref="A8569:C8569"/>
    <mergeCell ref="A8578:C8578"/>
    <mergeCell ref="A8598:C8598"/>
    <mergeCell ref="A8608:C8608"/>
    <mergeCell ref="A8611:C8611"/>
    <mergeCell ref="A8612:C8612"/>
    <mergeCell ref="A8614:C8614"/>
    <mergeCell ref="A8618:C8618"/>
    <mergeCell ref="A8651:C8651"/>
    <mergeCell ref="A8657:C8657"/>
    <mergeCell ref="A8658:C8658"/>
    <mergeCell ref="A8665:C8665"/>
    <mergeCell ref="A8666:C8666"/>
    <mergeCell ref="A8670:C8670"/>
    <mergeCell ref="A8676:C8676"/>
    <mergeCell ref="A8686:C8686"/>
    <mergeCell ref="A8689:C8689"/>
    <mergeCell ref="A8690:C8690"/>
    <mergeCell ref="A8692:C8692"/>
    <mergeCell ref="A8705:C8705"/>
    <mergeCell ref="A8708:C8708"/>
    <mergeCell ref="A8709:C8709"/>
    <mergeCell ref="A8712:C8712"/>
    <mergeCell ref="A8730:C8730"/>
    <mergeCell ref="A8733:C8733"/>
    <mergeCell ref="A8735:C8735"/>
    <mergeCell ref="A8736:C8736"/>
    <mergeCell ref="A8746:C8746"/>
    <mergeCell ref="A8756:C8756"/>
    <mergeCell ref="A8766:C8766"/>
    <mergeCell ref="A8768:C8768"/>
    <mergeCell ref="A8769:C8769"/>
    <mergeCell ref="A8770:C8770"/>
    <mergeCell ref="A8797:C8797"/>
    <mergeCell ref="A8810:C8810"/>
    <mergeCell ref="A8815:C8815"/>
    <mergeCell ref="A8821:C8821"/>
    <mergeCell ref="A8824:C8824"/>
    <mergeCell ref="A8827:C8827"/>
    <mergeCell ref="A8855:C8855"/>
    <mergeCell ref="A8869:C8869"/>
    <mergeCell ref="A8872:C8872"/>
    <mergeCell ref="A8886:C8886"/>
    <mergeCell ref="A8892:C8892"/>
    <mergeCell ref="A8902:C8902"/>
    <mergeCell ref="A8911:C8911"/>
    <mergeCell ref="A8915:C8915"/>
    <mergeCell ref="A8916:C8916"/>
    <mergeCell ref="A8923:C8923"/>
    <mergeCell ref="A8931:C8931"/>
    <mergeCell ref="A8933:C8933"/>
    <mergeCell ref="A8934:C8934"/>
    <mergeCell ref="A8963:C8963"/>
    <mergeCell ref="A8989:C8989"/>
    <mergeCell ref="A8998:C8998"/>
    <mergeCell ref="A8999:C8999"/>
    <mergeCell ref="A9001:C9001"/>
    <mergeCell ref="A9002:C9002"/>
    <mergeCell ref="A9012:C9012"/>
    <mergeCell ref="A9018:C9018"/>
    <mergeCell ref="A9025:C9025"/>
    <mergeCell ref="A9028:C9028"/>
    <mergeCell ref="A9029:C9029"/>
    <mergeCell ref="A9037:C9037"/>
    <mergeCell ref="A9040:C9040"/>
    <mergeCell ref="A9041:C9041"/>
    <mergeCell ref="A9042:C9042"/>
    <mergeCell ref="A9060:C9060"/>
    <mergeCell ref="A9070:C9070"/>
    <mergeCell ref="A9072:C9072"/>
    <mergeCell ref="A9073:C9073"/>
    <mergeCell ref="A9092:C9092"/>
    <mergeCell ref="A9099:C9099"/>
    <mergeCell ref="A9104:C9104"/>
    <mergeCell ref="A9105:C9105"/>
    <mergeCell ref="A9108:C9108"/>
    <mergeCell ref="A9110:C9110"/>
    <mergeCell ref="A9111:C9111"/>
    <mergeCell ref="A9112:C9112"/>
    <mergeCell ref="A9118:C9118"/>
    <mergeCell ref="A9122:C9122"/>
    <mergeCell ref="A9129:C9129"/>
    <mergeCell ref="A9149:C9149"/>
    <mergeCell ref="A9153:C9153"/>
    <mergeCell ref="A9158:C9158"/>
    <mergeCell ref="A9159:C9159"/>
    <mergeCell ref="A9190:C9190"/>
    <mergeCell ref="A9194:C9194"/>
    <mergeCell ref="A9212:C9212"/>
    <mergeCell ref="A9213:C9213"/>
    <mergeCell ref="A9220:C9220"/>
    <mergeCell ref="A9231:C9231"/>
    <mergeCell ref="A9236:C9236"/>
    <mergeCell ref="A9238:C9238"/>
    <mergeCell ref="A9239:C9239"/>
    <mergeCell ref="A9260:C9260"/>
    <mergeCell ref="A9265:C9265"/>
    <mergeCell ref="A9278:C9278"/>
    <mergeCell ref="A9279:C9279"/>
    <mergeCell ref="A9280:C9280"/>
    <mergeCell ref="A9284:C9284"/>
    <mergeCell ref="A9285:C9285"/>
    <mergeCell ref="A9302:C9302"/>
    <mergeCell ref="A9303:C9303"/>
    <mergeCell ref="A9304:C9304"/>
    <mergeCell ref="A9350:C9350"/>
    <mergeCell ref="A9369:C9369"/>
    <mergeCell ref="A9378:C9378"/>
    <mergeCell ref="A9387:C9387"/>
    <mergeCell ref="A9391:C9391"/>
    <mergeCell ref="A9394:C9394"/>
    <mergeCell ref="A9395:C9395"/>
    <mergeCell ref="A9401:C9401"/>
    <mergeCell ref="A9407:C9407"/>
    <mergeCell ref="A9410:C9410"/>
    <mergeCell ref="A9433:C9433"/>
    <mergeCell ref="A9434:C9434"/>
    <mergeCell ref="A9445:C9445"/>
    <mergeCell ref="A9449:C9449"/>
    <mergeCell ref="A9451:C9451"/>
    <mergeCell ref="A9452:C9452"/>
    <mergeCell ref="A9476:C9476"/>
    <mergeCell ref="A9485:C9485"/>
    <mergeCell ref="A9491:C9491"/>
    <mergeCell ref="A9544:C9544"/>
    <mergeCell ref="A9578:C9578"/>
    <mergeCell ref="A9581:C9581"/>
    <mergeCell ref="A9588:C9588"/>
    <mergeCell ref="A9591:C9591"/>
    <mergeCell ref="A9592:C9592"/>
    <mergeCell ref="A9594:C9594"/>
    <mergeCell ref="A9596:C9596"/>
    <mergeCell ref="A9597:C9597"/>
    <mergeCell ref="A9598:C9598"/>
    <mergeCell ref="A9601:C9601"/>
    <mergeCell ref="A9604:C9604"/>
    <mergeCell ref="A9607:C9607"/>
    <mergeCell ref="A9608:C9608"/>
    <mergeCell ref="A9611:C9611"/>
    <mergeCell ref="A9622:C9622"/>
    <mergeCell ref="A9654:C9654"/>
    <mergeCell ref="A9656:C9656"/>
    <mergeCell ref="A9657:C9657"/>
    <mergeCell ref="A9663:C9663"/>
    <mergeCell ref="A9671:C9671"/>
    <mergeCell ref="A9672:C9672"/>
    <mergeCell ref="A9674:C9674"/>
    <mergeCell ref="A9676:C9676"/>
    <mergeCell ref="A9677:C9677"/>
    <mergeCell ref="A9686:C9686"/>
    <mergeCell ref="A9696:C9696"/>
    <mergeCell ref="A9709:C9709"/>
    <mergeCell ref="A9722:C9722"/>
    <mergeCell ref="A9729:C9729"/>
    <mergeCell ref="A9730:C9730"/>
    <mergeCell ref="A9731:C9731"/>
    <mergeCell ref="A9732:C9732"/>
    <mergeCell ref="A9752:C9752"/>
    <mergeCell ref="A9769:C9769"/>
    <mergeCell ref="A9777:C9777"/>
    <mergeCell ref="A9791:C9791"/>
    <mergeCell ref="A9792:C9792"/>
    <mergeCell ref="A9802:C9802"/>
    <mergeCell ref="A9815:C9815"/>
    <mergeCell ref="A9818:C9818"/>
    <mergeCell ref="A9819:C9819"/>
    <mergeCell ref="A9835:C9835"/>
    <mergeCell ref="A9851:C9851"/>
    <mergeCell ref="A9858:C9858"/>
    <mergeCell ref="A9863:C9863"/>
    <mergeCell ref="A9869:C9869"/>
    <mergeCell ref="A9872:C9872"/>
    <mergeCell ref="A9873:C9873"/>
    <mergeCell ref="A9874:C9874"/>
    <mergeCell ref="A9894:C9894"/>
    <mergeCell ref="A9914:C9914"/>
    <mergeCell ref="A9925:C9925"/>
    <mergeCell ref="A9936:C9936"/>
    <mergeCell ref="A9937:C9937"/>
    <mergeCell ref="A9988:C9988"/>
    <mergeCell ref="A10011:C10011"/>
    <mergeCell ref="A10012:C10012"/>
    <mergeCell ref="A10021:C10021"/>
    <mergeCell ref="A10036:C10036"/>
    <mergeCell ref="A10037:C10037"/>
    <mergeCell ref="A10044:C10044"/>
    <mergeCell ref="A10047:C10047"/>
    <mergeCell ref="A10049:C10049"/>
    <mergeCell ref="A10053:C10053"/>
    <mergeCell ref="A10063:C10063"/>
    <mergeCell ref="A10065:C10065"/>
    <mergeCell ref="A10087:C10087"/>
    <mergeCell ref="A10100:C10100"/>
    <mergeCell ref="A10101:C10101"/>
    <mergeCell ref="A10104:C10104"/>
    <mergeCell ref="A10105:C10105"/>
    <mergeCell ref="A10108:C10108"/>
    <mergeCell ref="A10109:C10109"/>
    <mergeCell ref="A10118:C10118"/>
    <mergeCell ref="A10132:C10132"/>
    <mergeCell ref="A10135:C10135"/>
    <mergeCell ref="A10136:C10136"/>
    <mergeCell ref="A10142:C10142"/>
    <mergeCell ref="A10147:C10147"/>
    <mergeCell ref="A10148:C10148"/>
    <mergeCell ref="A10151:C10151"/>
    <mergeCell ref="A10156:C10156"/>
    <mergeCell ref="A10157:C10157"/>
    <mergeCell ref="A10167:C10167"/>
    <mergeCell ref="A10170:C10170"/>
    <mergeCell ref="A10173:C10173"/>
    <mergeCell ref="A10177:C10177"/>
    <mergeCell ref="A10178:C10178"/>
    <mergeCell ref="A10179:C10179"/>
    <mergeCell ref="A10191:C10191"/>
    <mergeCell ref="A10205:C10205"/>
    <mergeCell ref="A10207:C10207"/>
    <mergeCell ref="A10213:C10213"/>
    <mergeCell ref="A10219:C10219"/>
    <mergeCell ref="A10222:C10222"/>
    <mergeCell ref="A10223:C10223"/>
    <mergeCell ref="A10224:C10224"/>
    <mergeCell ref="A10225:C10225"/>
    <mergeCell ref="A10230:C10230"/>
    <mergeCell ref="A10232:C10232"/>
    <mergeCell ref="A10234:C10234"/>
    <mergeCell ref="A10238:C10238"/>
    <mergeCell ref="A10241:C10241"/>
    <mergeCell ref="A10244:C10244"/>
    <mergeCell ref="A10251:C10251"/>
    <mergeCell ref="A10254:C10254"/>
    <mergeCell ref="A10255:C10255"/>
    <mergeCell ref="A10266:C10266"/>
    <mergeCell ref="A10267:C10267"/>
    <mergeCell ref="A10281:C10281"/>
    <mergeCell ref="A10284:C10284"/>
    <mergeCell ref="A10289:C10289"/>
    <mergeCell ref="A10316:C10316"/>
    <mergeCell ref="A10319:C10319"/>
    <mergeCell ref="A10322:C10322"/>
    <mergeCell ref="A10334:C10334"/>
    <mergeCell ref="A10335:C10335"/>
    <mergeCell ref="A10339:C10339"/>
    <mergeCell ref="A10347:C10347"/>
    <mergeCell ref="A10350:C10350"/>
    <mergeCell ref="A10355:C10355"/>
    <mergeCell ref="A10358:C10358"/>
    <mergeCell ref="A10360:C10360"/>
    <mergeCell ref="A10361:C10361"/>
    <mergeCell ref="A10362:C10362"/>
    <mergeCell ref="A10378:C10378"/>
    <mergeCell ref="A10390:C10390"/>
    <mergeCell ref="A10391:C10391"/>
    <mergeCell ref="A10394:C10394"/>
    <mergeCell ref="A10407:C10407"/>
    <mergeCell ref="A10408:C10408"/>
    <mergeCell ref="A10411:C10411"/>
    <mergeCell ref="A10414:C10414"/>
    <mergeCell ref="A10417:C10417"/>
    <mergeCell ref="A10418:C10418"/>
    <mergeCell ref="A10420:C10420"/>
    <mergeCell ref="A10423:C10423"/>
    <mergeCell ref="A10424:C10424"/>
    <mergeCell ref="A10432:C10432"/>
    <mergeCell ref="A10438:C10438"/>
    <mergeCell ref="A10439:C10439"/>
    <mergeCell ref="A10448:C10448"/>
    <mergeCell ref="A10457:C10457"/>
    <mergeCell ref="A10469:C10469"/>
    <mergeCell ref="A10471:C10471"/>
    <mergeCell ref="A10480:C10480"/>
    <mergeCell ref="A10488:C10488"/>
    <mergeCell ref="A10489:C10489"/>
    <mergeCell ref="A10517:C10517"/>
    <mergeCell ref="A10518:C10518"/>
    <mergeCell ref="A10519:C10519"/>
    <mergeCell ref="A10525:C10525"/>
    <mergeCell ref="A10545:C10545"/>
    <mergeCell ref="A10547:C10547"/>
    <mergeCell ref="A10558:C10558"/>
    <mergeCell ref="A10561:C10561"/>
    <mergeCell ref="A10562:C10562"/>
    <mergeCell ref="A10570:C10570"/>
    <mergeCell ref="A10574:C10574"/>
    <mergeCell ref="A10589:C10589"/>
    <mergeCell ref="A10591:C10591"/>
    <mergeCell ref="A10593:C10593"/>
    <mergeCell ref="A10595:C10595"/>
    <mergeCell ref="A10599:C10599"/>
    <mergeCell ref="A10608:C10608"/>
    <mergeCell ref="A10609:C10609"/>
    <mergeCell ref="A10622:C10622"/>
    <mergeCell ref="A10623:C10623"/>
    <mergeCell ref="A10639:C10639"/>
    <mergeCell ref="A10656:C10656"/>
    <mergeCell ref="A10666:C10666"/>
    <mergeCell ref="A10667:C10667"/>
    <mergeCell ref="A10679:C10679"/>
    <mergeCell ref="A10684:C10684"/>
    <mergeCell ref="A10688:C10688"/>
    <mergeCell ref="A10689:C10689"/>
    <mergeCell ref="A10712:C10712"/>
    <mergeCell ref="A10715:C10715"/>
    <mergeCell ref="A10725:C10725"/>
    <mergeCell ref="A10727:C10727"/>
    <mergeCell ref="A10730:C10730"/>
    <mergeCell ref="A10731:C10731"/>
    <mergeCell ref="A10732:C10732"/>
    <mergeCell ref="A10733:C10733"/>
    <mergeCell ref="A10762:C10762"/>
    <mergeCell ref="A10798:C10798"/>
    <mergeCell ref="A10848:C10848"/>
    <mergeCell ref="A10854:C10854"/>
    <mergeCell ref="A10855:C10855"/>
    <mergeCell ref="A10860:C10860"/>
    <mergeCell ref="A10873:C10873"/>
    <mergeCell ref="A10878:C10878"/>
    <mergeCell ref="A10882:C10882"/>
    <mergeCell ref="A10887:C10887"/>
    <mergeCell ref="A10903:C10903"/>
    <mergeCell ref="A10911:C10911"/>
    <mergeCell ref="A10923:C10923"/>
    <mergeCell ref="A10924:C10924"/>
    <mergeCell ref="A10932:C10932"/>
    <mergeCell ref="A10940:C10940"/>
    <mergeCell ref="A10952:C10952"/>
    <mergeCell ref="A10961:C10961"/>
    <mergeCell ref="A10971:C10971"/>
    <mergeCell ref="A10979:C10979"/>
    <mergeCell ref="A10993:C10993"/>
    <mergeCell ref="A10997:C10997"/>
    <mergeCell ref="A11005:C11005"/>
    <mergeCell ref="A11014:C11014"/>
    <mergeCell ref="A11015:C11015"/>
    <mergeCell ref="A11042:C11042"/>
    <mergeCell ref="A11074:C11074"/>
    <mergeCell ref="A11100:C11100"/>
    <mergeCell ref="A11118:C11118"/>
    <mergeCell ref="A11125:C11125"/>
    <mergeCell ref="A11128:C11128"/>
    <mergeCell ref="A11163:C11163"/>
    <mergeCell ref="A11173:C11173"/>
    <mergeCell ref="A11181:C11181"/>
    <mergeCell ref="A11185:C11185"/>
    <mergeCell ref="A11189:C11189"/>
    <mergeCell ref="A11201:C11201"/>
    <mergeCell ref="A11208:C11208"/>
    <mergeCell ref="A11209:C11209"/>
    <mergeCell ref="A11217:C11217"/>
    <mergeCell ref="A11225:C11225"/>
    <mergeCell ref="A11231:C11231"/>
    <mergeCell ref="A11236:C11236"/>
    <mergeCell ref="A11237:C11237"/>
    <mergeCell ref="A11258:C11258"/>
    <mergeCell ref="A11275:C11275"/>
    <mergeCell ref="A11276:C11276"/>
    <mergeCell ref="A11286:C11286"/>
    <mergeCell ref="A11292:C11292"/>
    <mergeCell ref="A11304:C11304"/>
    <mergeCell ref="A11311:C11311"/>
    <mergeCell ref="A11336:C11336"/>
    <mergeCell ref="A11337:C11337"/>
    <mergeCell ref="A11339:C11339"/>
    <mergeCell ref="A11343:C11343"/>
    <mergeCell ref="A11348:C11348"/>
    <mergeCell ref="A11349:C11349"/>
    <mergeCell ref="A11350:C11350"/>
    <mergeCell ref="A11367:C11367"/>
    <mergeCell ref="A11376:C11376"/>
    <mergeCell ref="A11380:C11380"/>
    <mergeCell ref="A11397:C11397"/>
    <mergeCell ref="A11398:C11398"/>
    <mergeCell ref="A11400:C11400"/>
    <mergeCell ref="A11403:C11403"/>
    <mergeCell ref="A11409:C11409"/>
    <mergeCell ref="A11424:C11424"/>
    <mergeCell ref="A11427:C11427"/>
    <mergeCell ref="A11429:C11429"/>
    <mergeCell ref="A11462:C11462"/>
    <mergeCell ref="A11463:C11463"/>
    <mergeCell ref="A11464:C11464"/>
    <mergeCell ref="A11472:C11472"/>
    <mergeCell ref="A11499:C11499"/>
    <mergeCell ref="A11519:C11519"/>
    <mergeCell ref="A11523:C11523"/>
    <mergeCell ref="A11533:C11533"/>
    <mergeCell ref="A11539:C11539"/>
    <mergeCell ref="A11540:C11540"/>
    <mergeCell ref="A11544:C11544"/>
    <mergeCell ref="A11546:C11546"/>
    <mergeCell ref="A11548:C11548"/>
    <mergeCell ref="A11552:C11552"/>
    <mergeCell ref="A11553:C11553"/>
    <mergeCell ref="A11554:C11554"/>
    <mergeCell ref="A11558:C11558"/>
    <mergeCell ref="A11571:C11571"/>
    <mergeCell ref="A11599:C11599"/>
    <mergeCell ref="A11600:C11600"/>
    <mergeCell ref="A11603:C11603"/>
    <mergeCell ref="A11625:C11625"/>
    <mergeCell ref="A11632:C11632"/>
    <mergeCell ref="A11646:C11646"/>
    <mergeCell ref="A11647:C11647"/>
    <mergeCell ref="A11648:C11648"/>
    <mergeCell ref="A11651:C11651"/>
    <mergeCell ref="A11661:C11661"/>
    <mergeCell ref="A11665:C11665"/>
    <mergeCell ref="A11671:C11671"/>
    <mergeCell ref="A11675:C11675"/>
    <mergeCell ref="A11676:C11676"/>
    <mergeCell ref="A11679:C11679"/>
    <mergeCell ref="A11685:C11685"/>
    <mergeCell ref="A11687:C11687"/>
    <mergeCell ref="A11688:C11688"/>
    <mergeCell ref="A11746:C11746"/>
    <mergeCell ref="A11776:C11776"/>
    <mergeCell ref="A11790:C11790"/>
    <mergeCell ref="A11796:C11796"/>
    <mergeCell ref="A11805:C11805"/>
    <mergeCell ref="A11808:C11808"/>
    <mergeCell ref="A11812:C11812"/>
    <mergeCell ref="A11815:C11815"/>
    <mergeCell ref="A11816:C11816"/>
    <mergeCell ref="A11817:C11817"/>
    <mergeCell ref="A11828:C11828"/>
    <mergeCell ref="A11924:C11924"/>
    <mergeCell ref="A11935:C11935"/>
    <mergeCell ref="A11941:C11941"/>
    <mergeCell ref="A11942:C11942"/>
    <mergeCell ref="A11964:C11964"/>
    <mergeCell ref="A11970:C11970"/>
    <mergeCell ref="A11976:C11976"/>
    <mergeCell ref="A11977:C11977"/>
    <mergeCell ref="A11997:C11997"/>
    <mergeCell ref="A12002:C12002"/>
    <mergeCell ref="A12005:C12005"/>
    <mergeCell ref="A12010:C12010"/>
    <mergeCell ref="A12016:C12016"/>
    <mergeCell ref="A12017:C12017"/>
    <mergeCell ref="A12032:C12032"/>
    <mergeCell ref="A11838:C11838"/>
    <mergeCell ref="A11850:C11850"/>
    <mergeCell ref="A11860:C11860"/>
    <mergeCell ref="A11861:C11861"/>
    <mergeCell ref="A11876:C11876"/>
    <mergeCell ref="A11878:C11878"/>
    <mergeCell ref="A11884:C11884"/>
    <mergeCell ref="A11885:C11885"/>
    <mergeCell ref="A11887:C11887"/>
    <mergeCell ref="A11895:C11895"/>
    <mergeCell ref="A11899:C11899"/>
    <mergeCell ref="A11903:C11903"/>
    <mergeCell ref="A11908:C11908"/>
    <mergeCell ref="A11911:C11911"/>
    <mergeCell ref="A11915:C11915"/>
    <mergeCell ref="A11919:C11919"/>
    <mergeCell ref="A11923:C11923"/>
  </mergeCells>
  <pageMargins left="0.75" right="1" top="0.75" bottom="1" header="0.5" footer="0.5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60818-A2D7-4A2C-A10C-1BEF1746BF10}">
  <sheetPr>
    <tabColor rgb="FF00B050"/>
    <outlinePr summaryBelow="0" summaryRight="0"/>
    <pageSetUpPr autoPageBreaks="0"/>
  </sheetPr>
  <dimension ref="A1:Z825"/>
  <sheetViews>
    <sheetView workbookViewId="0">
      <pane ySplit="8" topLeftCell="A9" activePane="bottomLeft" state="frozenSplit"/>
      <selection pane="bottomLeft"/>
    </sheetView>
  </sheetViews>
  <sheetFormatPr defaultColWidth="10.5" defaultRowHeight="11.45" customHeight="1" outlineLevelRow="5" outlineLevelCol="1" x14ac:dyDescent="0.2"/>
  <cols>
    <col min="1" max="1" width="26.6640625" style="1" customWidth="1"/>
    <col min="2" max="2" width="71.1640625" style="70" customWidth="1"/>
    <col min="3" max="3" width="26.1640625" style="1" customWidth="1" outlineLevel="1"/>
    <col min="4" max="4" width="37.83203125" style="1" customWidth="1" outlineLevel="1"/>
    <col min="5" max="7" width="10.5" style="1" customWidth="1" outlineLevel="1"/>
    <col min="8" max="8" width="12.83203125" style="1" customWidth="1" outlineLevel="1"/>
    <col min="9" max="9" width="18.83203125" style="1" customWidth="1" outlineLevel="1"/>
    <col min="10" max="10" width="12.1640625" style="1" customWidth="1" outlineLevel="1"/>
    <col min="11" max="11" width="13.6640625" style="1" customWidth="1" outlineLevel="1"/>
    <col min="12" max="14" width="10.5" style="1" customWidth="1" outlineLevel="1"/>
    <col min="15" max="15" width="11.1640625" style="1" customWidth="1"/>
    <col min="16" max="16" width="11.6640625" style="1" customWidth="1"/>
    <col min="17" max="17" width="11.33203125" style="1" customWidth="1"/>
    <col min="18" max="18" width="11.1640625" style="1" customWidth="1"/>
    <col min="19" max="19" width="11.33203125" style="1" customWidth="1"/>
    <col min="20" max="20" width="11.1640625" style="1" customWidth="1"/>
    <col min="21" max="21" width="32.6640625" style="1" customWidth="1"/>
    <col min="22" max="22" width="17" style="1" customWidth="1"/>
    <col min="23" max="23" width="22" style="1" customWidth="1"/>
    <col min="24" max="24" width="14.1640625" style="1" customWidth="1" outlineLevel="1"/>
    <col min="25" max="25" width="13.5" style="1" customWidth="1" outlineLevel="1"/>
    <col min="26" max="26" width="30.33203125" style="1" customWidth="1" outlineLevel="1"/>
  </cols>
  <sheetData>
    <row r="1" spans="1:26" ht="11.1" customHeight="1" x14ac:dyDescent="0.2"/>
    <row r="2" spans="1:26" ht="12" customHeight="1" x14ac:dyDescent="0.2">
      <c r="B2" s="84" t="s">
        <v>0</v>
      </c>
      <c r="D2" s="2" t="s">
        <v>1</v>
      </c>
      <c r="E2" s="85">
        <f>SUM(D:D)</f>
        <v>0</v>
      </c>
      <c r="F2" s="86"/>
      <c r="G2" s="87" t="s">
        <v>2</v>
      </c>
      <c r="H2" s="87"/>
      <c r="I2" s="88" t="s">
        <v>3</v>
      </c>
      <c r="J2" s="88"/>
      <c r="K2" s="88" t="s">
        <v>4</v>
      </c>
      <c r="L2" s="88"/>
    </row>
    <row r="3" spans="1:26" ht="12" customHeight="1" x14ac:dyDescent="0.2">
      <c r="B3" s="84"/>
      <c r="D3" s="3" t="s">
        <v>5</v>
      </c>
      <c r="E3" s="85">
        <f>E2-(E2/122%*22%)</f>
        <v>0</v>
      </c>
      <c r="F3" s="86"/>
      <c r="G3" s="89">
        <v>0</v>
      </c>
      <c r="H3" s="90"/>
      <c r="I3" s="92">
        <f>SUMPRODUCT($C:$C,X:X)</f>
        <v>0</v>
      </c>
      <c r="J3" s="93"/>
      <c r="K3" s="92">
        <f>SUMPRODUCT($C:$C,Y:Y)</f>
        <v>0</v>
      </c>
      <c r="L3" s="93"/>
    </row>
    <row r="4" spans="1:26" ht="12.95" customHeight="1" x14ac:dyDescent="0.2">
      <c r="B4" s="71" t="s">
        <v>6</v>
      </c>
      <c r="D4" s="4"/>
      <c r="E4" s="4"/>
      <c r="F4" s="4"/>
      <c r="G4" s="91"/>
      <c r="H4" s="91"/>
      <c r="I4" s="93"/>
      <c r="J4" s="93"/>
      <c r="K4" s="93"/>
      <c r="L4" s="93"/>
    </row>
    <row r="5" spans="1:26" ht="12.95" customHeight="1" x14ac:dyDescent="0.2">
      <c r="B5" s="72" t="s">
        <v>7</v>
      </c>
      <c r="G5" s="91"/>
      <c r="H5" s="91"/>
      <c r="I5" s="93"/>
      <c r="J5" s="93"/>
      <c r="K5" s="93"/>
      <c r="L5" s="93"/>
    </row>
    <row r="6" spans="1:26" ht="11.1" customHeight="1" x14ac:dyDescent="0.2">
      <c r="G6" s="91"/>
      <c r="H6" s="91"/>
      <c r="I6" s="93"/>
      <c r="J6" s="93"/>
      <c r="K6" s="93"/>
      <c r="L6" s="93"/>
    </row>
    <row r="7" spans="1:26" ht="11.1" customHeight="1" x14ac:dyDescent="0.2">
      <c r="A7" s="5"/>
      <c r="B7" s="73" t="s">
        <v>8</v>
      </c>
    </row>
    <row r="8" spans="1:26" s="6" customFormat="1" ht="21.95" customHeight="1" x14ac:dyDescent="0.2">
      <c r="A8" s="7" t="s">
        <v>9</v>
      </c>
      <c r="B8" s="7" t="s">
        <v>10</v>
      </c>
      <c r="C8" s="8" t="s">
        <v>11</v>
      </c>
      <c r="D8" s="8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7" t="s">
        <v>22</v>
      </c>
      <c r="O8" s="9" t="s">
        <v>23</v>
      </c>
      <c r="P8" s="9" t="s">
        <v>24</v>
      </c>
      <c r="Q8" s="7" t="s">
        <v>25</v>
      </c>
      <c r="R8" s="7" t="s">
        <v>26</v>
      </c>
      <c r="S8" s="7" t="s">
        <v>27</v>
      </c>
      <c r="T8" s="7" t="s">
        <v>28</v>
      </c>
      <c r="U8" s="7" t="s">
        <v>29</v>
      </c>
      <c r="V8" s="7" t="s">
        <v>30</v>
      </c>
      <c r="W8" s="7" t="s">
        <v>31</v>
      </c>
      <c r="X8" s="10" t="s">
        <v>3</v>
      </c>
      <c r="Y8" s="10" t="s">
        <v>4</v>
      </c>
      <c r="Z8" s="10" t="s">
        <v>32</v>
      </c>
    </row>
    <row r="9" spans="1:26" ht="12.95" customHeight="1" x14ac:dyDescent="0.2">
      <c r="A9" s="80" t="s">
        <v>33</v>
      </c>
      <c r="B9" s="80"/>
      <c r="C9" s="81"/>
      <c r="D9" s="56"/>
      <c r="E9" s="66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.95" customHeight="1" outlineLevel="1" x14ac:dyDescent="0.2">
      <c r="A10" s="78" t="s">
        <v>34</v>
      </c>
      <c r="B10" s="78"/>
      <c r="C10" s="79"/>
      <c r="D10" s="57"/>
      <c r="E10" s="67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.95" customHeight="1" outlineLevel="2" x14ac:dyDescent="0.2">
      <c r="A11" s="76" t="s">
        <v>35</v>
      </c>
      <c r="B11" s="76"/>
      <c r="C11" s="77"/>
      <c r="D11" s="58"/>
      <c r="E11" s="68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95" customHeight="1" outlineLevel="3" x14ac:dyDescent="0.2">
      <c r="A12" s="76" t="s">
        <v>201</v>
      </c>
      <c r="B12" s="76"/>
      <c r="C12" s="77"/>
      <c r="D12" s="58"/>
      <c r="E12" s="68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" customHeight="1" outlineLevel="4" x14ac:dyDescent="0.2">
      <c r="A13" s="40" t="s">
        <v>202</v>
      </c>
      <c r="B13" s="75" t="s">
        <v>203</v>
      </c>
      <c r="C13" s="51"/>
      <c r="D13" s="54">
        <f t="shared" ref="D13:D76" si="0">C13*(O13-O13*$G$3)</f>
        <v>0</v>
      </c>
      <c r="E13" s="61" t="str">
        <f>HYPERLINK("https://www.sds-group.ru/product/vyvod-kabelya-round-oniks-kranz-KR-78-0736-3/", "Инфо")</f>
        <v>Инфо</v>
      </c>
      <c r="F13" s="42" t="s">
        <v>39</v>
      </c>
      <c r="G13" s="41" t="s">
        <v>40</v>
      </c>
      <c r="H13" s="41"/>
      <c r="I13" s="41"/>
      <c r="J13" s="43">
        <v>627</v>
      </c>
      <c r="K13" s="41"/>
      <c r="L13" s="43">
        <v>1</v>
      </c>
      <c r="M13" s="43">
        <v>80</v>
      </c>
      <c r="N13" s="43">
        <v>1</v>
      </c>
      <c r="O13" s="44">
        <v>872.77</v>
      </c>
      <c r="P13" s="44">
        <v>715.39</v>
      </c>
      <c r="Q13" s="44">
        <v>872.77</v>
      </c>
      <c r="R13" s="44">
        <v>715.39</v>
      </c>
      <c r="S13" s="44">
        <v>698.22</v>
      </c>
      <c r="T13" s="44">
        <v>572.30999999999995</v>
      </c>
      <c r="U13" s="42"/>
      <c r="V13" s="42"/>
      <c r="W13" s="42" t="s">
        <v>40</v>
      </c>
      <c r="X13" s="45">
        <v>0.14599999999999999</v>
      </c>
      <c r="Y13" s="46">
        <v>6.6E-4</v>
      </c>
      <c r="Z13" s="21">
        <v>4601004338623</v>
      </c>
    </row>
    <row r="14" spans="1:26" ht="12" customHeight="1" outlineLevel="4" x14ac:dyDescent="0.2">
      <c r="A14" s="40" t="s">
        <v>204</v>
      </c>
      <c r="B14" s="75" t="s">
        <v>205</v>
      </c>
      <c r="C14" s="51"/>
      <c r="D14" s="54">
        <f t="shared" si="0"/>
        <v>0</v>
      </c>
      <c r="E14" s="61" t="str">
        <f>HYPERLINK("https://www.sds-group.ru/product/vyvod-kabelya-round-perlamutr-kranz-KR-78-0736-1/", "Инфо")</f>
        <v>Инфо</v>
      </c>
      <c r="F14" s="42" t="s">
        <v>39</v>
      </c>
      <c r="G14" s="41" t="s">
        <v>40</v>
      </c>
      <c r="H14" s="41"/>
      <c r="I14" s="41"/>
      <c r="J14" s="43">
        <v>601</v>
      </c>
      <c r="K14" s="41"/>
      <c r="L14" s="43">
        <v>1</v>
      </c>
      <c r="M14" s="43">
        <v>80</v>
      </c>
      <c r="N14" s="43">
        <v>1</v>
      </c>
      <c r="O14" s="44">
        <v>727.72</v>
      </c>
      <c r="P14" s="44">
        <v>596.49</v>
      </c>
      <c r="Q14" s="44">
        <v>727.72</v>
      </c>
      <c r="R14" s="44">
        <v>596.49</v>
      </c>
      <c r="S14" s="44">
        <v>582.17999999999995</v>
      </c>
      <c r="T14" s="44">
        <v>477.2</v>
      </c>
      <c r="U14" s="42"/>
      <c r="V14" s="42"/>
      <c r="W14" s="42" t="s">
        <v>40</v>
      </c>
      <c r="X14" s="45">
        <v>0.14699999999999999</v>
      </c>
      <c r="Y14" s="46">
        <v>6.6799999999999997E-4</v>
      </c>
      <c r="Z14" s="21">
        <v>4601004338630</v>
      </c>
    </row>
    <row r="15" spans="1:26" ht="12" customHeight="1" outlineLevel="4" x14ac:dyDescent="0.2">
      <c r="A15" s="40" t="s">
        <v>206</v>
      </c>
      <c r="B15" s="75" t="s">
        <v>207</v>
      </c>
      <c r="C15" s="51"/>
      <c r="D15" s="54">
        <f t="shared" si="0"/>
        <v>0</v>
      </c>
      <c r="E15" s="62"/>
      <c r="F15" s="42" t="s">
        <v>39</v>
      </c>
      <c r="G15" s="41" t="s">
        <v>40</v>
      </c>
      <c r="H15" s="41"/>
      <c r="I15" s="41"/>
      <c r="J15" s="43">
        <v>279</v>
      </c>
      <c r="K15" s="41"/>
      <c r="L15" s="43">
        <v>1</v>
      </c>
      <c r="M15" s="43">
        <v>80</v>
      </c>
      <c r="N15" s="43">
        <v>1</v>
      </c>
      <c r="O15" s="44">
        <v>850</v>
      </c>
      <c r="P15" s="44">
        <v>696.72</v>
      </c>
      <c r="Q15" s="44">
        <v>850</v>
      </c>
      <c r="R15" s="44">
        <v>696.72</v>
      </c>
      <c r="S15" s="44">
        <v>680</v>
      </c>
      <c r="T15" s="44">
        <v>557.38</v>
      </c>
      <c r="U15" s="42"/>
      <c r="V15" s="42"/>
      <c r="W15" s="42" t="s">
        <v>40</v>
      </c>
      <c r="X15" s="45">
        <v>0.14699999999999999</v>
      </c>
      <c r="Y15" s="46">
        <v>6.6600000000000003E-4</v>
      </c>
      <c r="Z15" s="21">
        <v>4601004338593</v>
      </c>
    </row>
    <row r="16" spans="1:26" ht="12" customHeight="1" outlineLevel="4" x14ac:dyDescent="0.2">
      <c r="A16" s="40" t="s">
        <v>208</v>
      </c>
      <c r="B16" s="75" t="s">
        <v>209</v>
      </c>
      <c r="C16" s="51"/>
      <c r="D16" s="54">
        <f t="shared" si="0"/>
        <v>0</v>
      </c>
      <c r="E16" s="61" t="str">
        <f>HYPERLINK("https://www.sds-group.ru/product/vyvod-kabelya-round-shelk-kranz-KR-78-0736-7/", "Инфо")</f>
        <v>Инфо</v>
      </c>
      <c r="F16" s="42" t="s">
        <v>39</v>
      </c>
      <c r="G16" s="41" t="s">
        <v>40</v>
      </c>
      <c r="H16" s="41"/>
      <c r="I16" s="41"/>
      <c r="J16" s="43">
        <v>105</v>
      </c>
      <c r="K16" s="41" t="s">
        <v>210</v>
      </c>
      <c r="L16" s="43">
        <v>1</v>
      </c>
      <c r="M16" s="43">
        <v>100</v>
      </c>
      <c r="N16" s="43">
        <v>1</v>
      </c>
      <c r="O16" s="44">
        <v>850</v>
      </c>
      <c r="P16" s="44">
        <v>696.72</v>
      </c>
      <c r="Q16" s="44">
        <v>850</v>
      </c>
      <c r="R16" s="44">
        <v>696.72</v>
      </c>
      <c r="S16" s="44">
        <v>680</v>
      </c>
      <c r="T16" s="44">
        <v>557.38</v>
      </c>
      <c r="U16" s="42"/>
      <c r="V16" s="42"/>
      <c r="W16" s="42" t="s">
        <v>40</v>
      </c>
      <c r="X16" s="45">
        <v>0.14499999999999999</v>
      </c>
      <c r="Y16" s="46">
        <v>6.6500000000000001E-4</v>
      </c>
      <c r="Z16" s="21">
        <v>4601004346048</v>
      </c>
    </row>
    <row r="17" spans="1:26" ht="12" customHeight="1" outlineLevel="4" x14ac:dyDescent="0.2">
      <c r="A17" s="40" t="s">
        <v>217</v>
      </c>
      <c r="B17" s="75" t="s">
        <v>218</v>
      </c>
      <c r="C17" s="51"/>
      <c r="D17" s="54">
        <f t="shared" si="0"/>
        <v>0</v>
      </c>
      <c r="E17" s="61" t="str">
        <f>HYPERLINK("https://www.sds-group.ru/product/vyklyuchatel-round-1-kl-10a-s-u-shelk-kranz-KR-78-0705-7/", "Инфо")</f>
        <v>Инфо</v>
      </c>
      <c r="F17" s="42" t="s">
        <v>39</v>
      </c>
      <c r="G17" s="41" t="s">
        <v>40</v>
      </c>
      <c r="H17" s="41"/>
      <c r="I17" s="41"/>
      <c r="J17" s="43">
        <v>965</v>
      </c>
      <c r="K17" s="41" t="s">
        <v>210</v>
      </c>
      <c r="L17" s="43">
        <v>1</v>
      </c>
      <c r="M17" s="43">
        <v>100</v>
      </c>
      <c r="N17" s="43">
        <v>1</v>
      </c>
      <c r="O17" s="44">
        <v>909.72</v>
      </c>
      <c r="P17" s="44">
        <v>745.67</v>
      </c>
      <c r="Q17" s="44">
        <v>909.72</v>
      </c>
      <c r="R17" s="44">
        <v>745.67</v>
      </c>
      <c r="S17" s="44">
        <v>727.78</v>
      </c>
      <c r="T17" s="44">
        <v>596.54</v>
      </c>
      <c r="U17" s="42"/>
      <c r="V17" s="42"/>
      <c r="W17" s="42" t="s">
        <v>40</v>
      </c>
      <c r="X17" s="45">
        <v>0.152</v>
      </c>
      <c r="Y17" s="46">
        <v>5.1699999999999999E-4</v>
      </c>
      <c r="Z17" s="21">
        <v>4601004345423</v>
      </c>
    </row>
    <row r="18" spans="1:26" ht="12" customHeight="1" outlineLevel="4" x14ac:dyDescent="0.2">
      <c r="A18" s="40" t="s">
        <v>225</v>
      </c>
      <c r="B18" s="75" t="s">
        <v>226</v>
      </c>
      <c r="C18" s="51"/>
      <c r="D18" s="54">
        <f t="shared" si="0"/>
        <v>0</v>
      </c>
      <c r="E18" s="61" t="str">
        <f>HYPERLINK("https://www.sds-group.ru/product/vyklyuchatel-round-1-kl-vozvratnyy-10a-s-u-shelk-kranz-KR-78-0712-7/", "Инфо")</f>
        <v>Инфо</v>
      </c>
      <c r="F18" s="42" t="s">
        <v>39</v>
      </c>
      <c r="G18" s="41" t="s">
        <v>40</v>
      </c>
      <c r="H18" s="41"/>
      <c r="I18" s="41"/>
      <c r="J18" s="43">
        <v>217</v>
      </c>
      <c r="K18" s="41" t="s">
        <v>210</v>
      </c>
      <c r="L18" s="43">
        <v>1</v>
      </c>
      <c r="M18" s="43">
        <v>100</v>
      </c>
      <c r="N18" s="43">
        <v>1</v>
      </c>
      <c r="O18" s="44">
        <v>1436.08</v>
      </c>
      <c r="P18" s="44">
        <v>1177.1099999999999</v>
      </c>
      <c r="Q18" s="44">
        <v>1436.08</v>
      </c>
      <c r="R18" s="44">
        <v>1177.1099999999999</v>
      </c>
      <c r="S18" s="44">
        <v>1148.8599999999999</v>
      </c>
      <c r="T18" s="44">
        <v>941.69</v>
      </c>
      <c r="U18" s="42"/>
      <c r="V18" s="42"/>
      <c r="W18" s="42" t="s">
        <v>40</v>
      </c>
      <c r="X18" s="45">
        <v>0.152</v>
      </c>
      <c r="Y18" s="46">
        <v>5.1599999999999997E-4</v>
      </c>
      <c r="Z18" s="21">
        <v>4601004345560</v>
      </c>
    </row>
    <row r="19" spans="1:26" ht="12" customHeight="1" outlineLevel="4" x14ac:dyDescent="0.2">
      <c r="A19" s="40" t="s">
        <v>233</v>
      </c>
      <c r="B19" s="75" t="s">
        <v>234</v>
      </c>
      <c r="C19" s="51"/>
      <c r="D19" s="54">
        <f t="shared" si="0"/>
        <v>0</v>
      </c>
      <c r="E19" s="61" t="str">
        <f>HYPERLINK("https://www.sds-group.ru/product/vyklyuchatel-round-1-kl-perekrestnyy-pereklyuchatel-10a-s-u-shelk-kranz-KR-78-0710-7/", "Инфо")</f>
        <v>Инфо</v>
      </c>
      <c r="F19" s="42" t="s">
        <v>39</v>
      </c>
      <c r="G19" s="41" t="s">
        <v>40</v>
      </c>
      <c r="H19" s="41"/>
      <c r="I19" s="41"/>
      <c r="J19" s="43">
        <v>29</v>
      </c>
      <c r="K19" s="41" t="s">
        <v>210</v>
      </c>
      <c r="L19" s="43">
        <v>1</v>
      </c>
      <c r="M19" s="43">
        <v>100</v>
      </c>
      <c r="N19" s="43">
        <v>1</v>
      </c>
      <c r="O19" s="44">
        <v>1772.01</v>
      </c>
      <c r="P19" s="44">
        <v>1452.47</v>
      </c>
      <c r="Q19" s="44">
        <v>1772.01</v>
      </c>
      <c r="R19" s="44">
        <v>1452.47</v>
      </c>
      <c r="S19" s="44">
        <v>1417.61</v>
      </c>
      <c r="T19" s="44">
        <v>1161.98</v>
      </c>
      <c r="U19" s="42"/>
      <c r="V19" s="42"/>
      <c r="W19" s="42" t="s">
        <v>40</v>
      </c>
      <c r="X19" s="45">
        <v>0.151</v>
      </c>
      <c r="Y19" s="46">
        <v>5.4299999999999997E-4</v>
      </c>
      <c r="Z19" s="21">
        <v>4601004345522</v>
      </c>
    </row>
    <row r="20" spans="1:26" ht="12" customHeight="1" outlineLevel="4" x14ac:dyDescent="0.2">
      <c r="A20" s="40" t="s">
        <v>247</v>
      </c>
      <c r="B20" s="75" t="s">
        <v>248</v>
      </c>
      <c r="C20" s="51"/>
      <c r="D20" s="54">
        <f t="shared" si="0"/>
        <v>0</v>
      </c>
      <c r="E20" s="61" t="str">
        <f>HYPERLINK("https://www.sds-group.ru/product/vyklyuchatel-round-1-kl-prohodnoy-pereklyuchatel-10a-s-u-shelk-kranz-KR-78-0708-7/", "Инфо")</f>
        <v>Инфо</v>
      </c>
      <c r="F20" s="42" t="s">
        <v>39</v>
      </c>
      <c r="G20" s="41" t="s">
        <v>40</v>
      </c>
      <c r="H20" s="41"/>
      <c r="I20" s="41"/>
      <c r="J20" s="43">
        <v>62</v>
      </c>
      <c r="K20" s="41" t="s">
        <v>210</v>
      </c>
      <c r="L20" s="43">
        <v>1</v>
      </c>
      <c r="M20" s="43">
        <v>100</v>
      </c>
      <c r="N20" s="43">
        <v>1</v>
      </c>
      <c r="O20" s="44">
        <v>1240.4000000000001</v>
      </c>
      <c r="P20" s="44">
        <v>1016.72</v>
      </c>
      <c r="Q20" s="44">
        <v>1240.4000000000001</v>
      </c>
      <c r="R20" s="44">
        <v>1016.72</v>
      </c>
      <c r="S20" s="44">
        <v>992.32</v>
      </c>
      <c r="T20" s="44">
        <v>813.38</v>
      </c>
      <c r="U20" s="42"/>
      <c r="V20" s="42"/>
      <c r="W20" s="42" t="s">
        <v>40</v>
      </c>
      <c r="X20" s="45">
        <v>0.154</v>
      </c>
      <c r="Y20" s="46">
        <v>5.2899999999999996E-4</v>
      </c>
      <c r="Z20" s="21">
        <v>4601004345485</v>
      </c>
    </row>
    <row r="21" spans="1:26" ht="12" customHeight="1" outlineLevel="4" x14ac:dyDescent="0.2">
      <c r="A21" s="40" t="s">
        <v>255</v>
      </c>
      <c r="B21" s="75" t="s">
        <v>256</v>
      </c>
      <c r="C21" s="51"/>
      <c r="D21" s="54">
        <f t="shared" si="0"/>
        <v>0</v>
      </c>
      <c r="E21" s="61" t="str">
        <f>HYPERLINK("https://www.sds-group.ru/product/vyklyuchatel-round-1-kl-prohodnoy-pereklyuchatel-s-podsvetkoy-10a-s-u-shelk-kranz-KR-78-0716-7/", "Инфо")</f>
        <v>Инфо</v>
      </c>
      <c r="F21" s="42" t="s">
        <v>39</v>
      </c>
      <c r="G21" s="41" t="s">
        <v>40</v>
      </c>
      <c r="H21" s="41"/>
      <c r="I21" s="41"/>
      <c r="J21" s="43">
        <v>65</v>
      </c>
      <c r="K21" s="41" t="s">
        <v>210</v>
      </c>
      <c r="L21" s="43">
        <v>1</v>
      </c>
      <c r="M21" s="43">
        <v>100</v>
      </c>
      <c r="N21" s="43">
        <v>1</v>
      </c>
      <c r="O21" s="44">
        <v>1352.43</v>
      </c>
      <c r="P21" s="44">
        <v>1108.55</v>
      </c>
      <c r="Q21" s="44">
        <v>1352.43</v>
      </c>
      <c r="R21" s="44">
        <v>1108.55</v>
      </c>
      <c r="S21" s="44">
        <v>1081.94</v>
      </c>
      <c r="T21" s="44">
        <v>886.84</v>
      </c>
      <c r="U21" s="42"/>
      <c r="V21" s="42"/>
      <c r="W21" s="42" t="s">
        <v>40</v>
      </c>
      <c r="X21" s="45">
        <v>0.153</v>
      </c>
      <c r="Y21" s="46">
        <v>5.3499999999999999E-4</v>
      </c>
      <c r="Z21" s="21">
        <v>4601004345645</v>
      </c>
    </row>
    <row r="22" spans="1:26" ht="12" customHeight="1" outlineLevel="4" x14ac:dyDescent="0.2">
      <c r="A22" s="40" t="s">
        <v>263</v>
      </c>
      <c r="B22" s="75" t="s">
        <v>264</v>
      </c>
      <c r="C22" s="51"/>
      <c r="D22" s="54">
        <f t="shared" si="0"/>
        <v>0</v>
      </c>
      <c r="E22" s="61" t="str">
        <f>HYPERLINK("https://www.sds-group.ru/product/vyklyuchatel-round-1-kl-s-podsvetkoy-10a-s-u-shelk-kranz-KR-78-0713-7/", "Инфо")</f>
        <v>Инфо</v>
      </c>
      <c r="F22" s="42" t="s">
        <v>39</v>
      </c>
      <c r="G22" s="41" t="s">
        <v>40</v>
      </c>
      <c r="H22" s="41"/>
      <c r="I22" s="41"/>
      <c r="J22" s="43">
        <v>429</v>
      </c>
      <c r="K22" s="41" t="s">
        <v>210</v>
      </c>
      <c r="L22" s="43">
        <v>1</v>
      </c>
      <c r="M22" s="43">
        <v>100</v>
      </c>
      <c r="N22" s="43">
        <v>1</v>
      </c>
      <c r="O22" s="44">
        <v>1169.99</v>
      </c>
      <c r="P22" s="44">
        <v>959.01</v>
      </c>
      <c r="Q22" s="44">
        <v>1169.99</v>
      </c>
      <c r="R22" s="44">
        <v>959.01</v>
      </c>
      <c r="S22" s="44">
        <v>935.99</v>
      </c>
      <c r="T22" s="44">
        <v>767.2</v>
      </c>
      <c r="U22" s="42"/>
      <c r="V22" s="42"/>
      <c r="W22" s="42" t="s">
        <v>40</v>
      </c>
      <c r="X22" s="45">
        <v>0.151</v>
      </c>
      <c r="Y22" s="46">
        <v>5.2899999999999996E-4</v>
      </c>
      <c r="Z22" s="21">
        <v>4601004345584</v>
      </c>
    </row>
    <row r="23" spans="1:26" ht="12" customHeight="1" outlineLevel="4" x14ac:dyDescent="0.2">
      <c r="A23" s="40" t="s">
        <v>271</v>
      </c>
      <c r="B23" s="75" t="s">
        <v>272</v>
      </c>
      <c r="C23" s="51"/>
      <c r="D23" s="54">
        <f t="shared" si="0"/>
        <v>0</v>
      </c>
      <c r="E23" s="61" t="str">
        <f>HYPERLINK("https://www.sds-group.ru/product/vyklyuchatel-round-2-kl-10a-s-u-shelk-kranz-KR-78-0706-7/", "Инфо")</f>
        <v>Инфо</v>
      </c>
      <c r="F23" s="42" t="s">
        <v>39</v>
      </c>
      <c r="G23" s="41" t="s">
        <v>40</v>
      </c>
      <c r="H23" s="41"/>
      <c r="I23" s="41"/>
      <c r="J23" s="43">
        <v>110</v>
      </c>
      <c r="K23" s="41" t="s">
        <v>210</v>
      </c>
      <c r="L23" s="43">
        <v>1</v>
      </c>
      <c r="M23" s="43">
        <v>100</v>
      </c>
      <c r="N23" s="43">
        <v>1</v>
      </c>
      <c r="O23" s="44">
        <v>1397.83</v>
      </c>
      <c r="P23" s="44">
        <v>1145.76</v>
      </c>
      <c r="Q23" s="44">
        <v>1397.83</v>
      </c>
      <c r="R23" s="44">
        <v>1145.76</v>
      </c>
      <c r="S23" s="44">
        <v>1118.26</v>
      </c>
      <c r="T23" s="44">
        <v>916.61</v>
      </c>
      <c r="U23" s="42"/>
      <c r="V23" s="42"/>
      <c r="W23" s="42" t="s">
        <v>40</v>
      </c>
      <c r="X23" s="45">
        <v>0.156</v>
      </c>
      <c r="Y23" s="46">
        <v>5.2899999999999996E-4</v>
      </c>
      <c r="Z23" s="21">
        <v>4601004345447</v>
      </c>
    </row>
    <row r="24" spans="1:26" ht="12" customHeight="1" outlineLevel="4" x14ac:dyDescent="0.2">
      <c r="A24" s="40" t="s">
        <v>279</v>
      </c>
      <c r="B24" s="75" t="s">
        <v>280</v>
      </c>
      <c r="C24" s="51"/>
      <c r="D24" s="54">
        <f t="shared" si="0"/>
        <v>0</v>
      </c>
      <c r="E24" s="61" t="str">
        <f>HYPERLINK("https://www.sds-group.ru/product/vyklyuchatel-round-2-kl-dlya-zhalyuzi-vozvratnyy-10a-s-u-shelk-kranz-KR-78-0711-7/", "Инфо")</f>
        <v>Инфо</v>
      </c>
      <c r="F24" s="42" t="s">
        <v>39</v>
      </c>
      <c r="G24" s="41" t="s">
        <v>40</v>
      </c>
      <c r="H24" s="41"/>
      <c r="I24" s="41"/>
      <c r="J24" s="43">
        <v>190</v>
      </c>
      <c r="K24" s="41"/>
      <c r="L24" s="43">
        <v>1</v>
      </c>
      <c r="M24" s="43">
        <v>100</v>
      </c>
      <c r="N24" s="43">
        <v>1</v>
      </c>
      <c r="O24" s="44">
        <v>1455.58</v>
      </c>
      <c r="P24" s="44">
        <v>1193.0999999999999</v>
      </c>
      <c r="Q24" s="44">
        <v>1455.58</v>
      </c>
      <c r="R24" s="44">
        <v>1193.0999999999999</v>
      </c>
      <c r="S24" s="44">
        <v>1164.46</v>
      </c>
      <c r="T24" s="44">
        <v>954.48</v>
      </c>
      <c r="U24" s="42"/>
      <c r="V24" s="42"/>
      <c r="W24" s="42" t="s">
        <v>40</v>
      </c>
      <c r="X24" s="45">
        <v>0.156</v>
      </c>
      <c r="Y24" s="46">
        <v>5.2800000000000004E-4</v>
      </c>
      <c r="Z24" s="21">
        <v>4601004345546</v>
      </c>
    </row>
    <row r="25" spans="1:26" ht="12" customHeight="1" outlineLevel="4" x14ac:dyDescent="0.2">
      <c r="A25" s="40" t="s">
        <v>281</v>
      </c>
      <c r="B25" s="75" t="s">
        <v>282</v>
      </c>
      <c r="C25" s="51"/>
      <c r="D25" s="54">
        <f t="shared" si="0"/>
        <v>0</v>
      </c>
      <c r="E25" s="61" t="str">
        <f>HYPERLINK("https://www.sds-group.ru/product/vyklyuchatel-round-2-kl-perekrestnyy-pereklyuchatel-10a-s-u-oniks-kranz-KR-78-0733-3/", "Инфо")</f>
        <v>Инфо</v>
      </c>
      <c r="F25" s="42" t="s">
        <v>39</v>
      </c>
      <c r="G25" s="41" t="s">
        <v>40</v>
      </c>
      <c r="H25" s="41"/>
      <c r="I25" s="41"/>
      <c r="J25" s="43">
        <v>583</v>
      </c>
      <c r="K25" s="41"/>
      <c r="L25" s="43">
        <v>1</v>
      </c>
      <c r="M25" s="43">
        <v>100</v>
      </c>
      <c r="N25" s="43">
        <v>1</v>
      </c>
      <c r="O25" s="44">
        <v>2667.88</v>
      </c>
      <c r="P25" s="44">
        <v>2186.79</v>
      </c>
      <c r="Q25" s="44">
        <v>2667.88</v>
      </c>
      <c r="R25" s="44">
        <v>2186.79</v>
      </c>
      <c r="S25" s="44">
        <v>2134.3000000000002</v>
      </c>
      <c r="T25" s="44">
        <v>1749.43</v>
      </c>
      <c r="U25" s="42"/>
      <c r="V25" s="42"/>
      <c r="W25" s="42" t="s">
        <v>40</v>
      </c>
      <c r="X25" s="45">
        <v>0.158</v>
      </c>
      <c r="Y25" s="46">
        <v>5.2700000000000002E-4</v>
      </c>
      <c r="Z25" s="21">
        <v>4601004338814</v>
      </c>
    </row>
    <row r="26" spans="1:26" ht="12" customHeight="1" outlineLevel="4" x14ac:dyDescent="0.2">
      <c r="A26" s="40" t="s">
        <v>283</v>
      </c>
      <c r="B26" s="75" t="s">
        <v>284</v>
      </c>
      <c r="C26" s="51"/>
      <c r="D26" s="54">
        <f t="shared" si="0"/>
        <v>0</v>
      </c>
      <c r="E26" s="61" t="str">
        <f>HYPERLINK("https://www.sds-group.ru/product/vyklyuchatel-round-2-kl-perekrestnyy-pereklyuchatel-10a-s-u-perlamutr-kranz-KR-78-0733-1/", "Инфо")</f>
        <v>Инфо</v>
      </c>
      <c r="F26" s="42" t="s">
        <v>39</v>
      </c>
      <c r="G26" s="41" t="s">
        <v>40</v>
      </c>
      <c r="H26" s="41"/>
      <c r="I26" s="41"/>
      <c r="J26" s="43">
        <v>620</v>
      </c>
      <c r="K26" s="41"/>
      <c r="L26" s="43">
        <v>1</v>
      </c>
      <c r="M26" s="43">
        <v>100</v>
      </c>
      <c r="N26" s="43">
        <v>1</v>
      </c>
      <c r="O26" s="44">
        <v>2224.0700000000002</v>
      </c>
      <c r="P26" s="44">
        <v>1823.01</v>
      </c>
      <c r="Q26" s="44">
        <v>2224.0700000000002</v>
      </c>
      <c r="R26" s="44">
        <v>1823.01</v>
      </c>
      <c r="S26" s="44">
        <v>1779.26</v>
      </c>
      <c r="T26" s="44">
        <v>1458.41</v>
      </c>
      <c r="U26" s="42"/>
      <c r="V26" s="42"/>
      <c r="W26" s="42" t="s">
        <v>40</v>
      </c>
      <c r="X26" s="45">
        <v>0.158</v>
      </c>
      <c r="Y26" s="46">
        <v>5.2599999999999999E-4</v>
      </c>
      <c r="Z26" s="21">
        <v>4601004338784</v>
      </c>
    </row>
    <row r="27" spans="1:26" ht="12" customHeight="1" outlineLevel="4" x14ac:dyDescent="0.2">
      <c r="A27" s="40" t="s">
        <v>285</v>
      </c>
      <c r="B27" s="75" t="s">
        <v>286</v>
      </c>
      <c r="C27" s="51"/>
      <c r="D27" s="54">
        <f t="shared" si="0"/>
        <v>0</v>
      </c>
      <c r="E27" s="61" t="str">
        <f>HYPERLINK("https://www.sds-group.ru/product/vyklyuchatel-round-2-kl-perekrestnyy-pereklyuchatel-10a-s-u-titan-kranz-KR-78-0733-2/", "Инфо")</f>
        <v>Инфо</v>
      </c>
      <c r="F27" s="42" t="s">
        <v>39</v>
      </c>
      <c r="G27" s="41" t="s">
        <v>40</v>
      </c>
      <c r="H27" s="41"/>
      <c r="I27" s="41"/>
      <c r="J27" s="47">
        <v>1398</v>
      </c>
      <c r="K27" s="41"/>
      <c r="L27" s="43">
        <v>1</v>
      </c>
      <c r="M27" s="43">
        <v>100</v>
      </c>
      <c r="N27" s="43">
        <v>1</v>
      </c>
      <c r="O27" s="44">
        <v>2598.2800000000002</v>
      </c>
      <c r="P27" s="44">
        <v>2129.7399999999998</v>
      </c>
      <c r="Q27" s="44">
        <v>2598.2800000000002</v>
      </c>
      <c r="R27" s="44">
        <v>2129.7399999999998</v>
      </c>
      <c r="S27" s="44">
        <v>2078.62</v>
      </c>
      <c r="T27" s="44">
        <v>1703.79</v>
      </c>
      <c r="U27" s="42"/>
      <c r="V27" s="42"/>
      <c r="W27" s="42" t="s">
        <v>40</v>
      </c>
      <c r="X27" s="45">
        <v>0.158</v>
      </c>
      <c r="Y27" s="46">
        <v>5.2300000000000003E-4</v>
      </c>
      <c r="Z27" s="21">
        <v>4601004338791</v>
      </c>
    </row>
    <row r="28" spans="1:26" ht="12" customHeight="1" outlineLevel="4" x14ac:dyDescent="0.2">
      <c r="A28" s="40" t="s">
        <v>287</v>
      </c>
      <c r="B28" s="75" t="s">
        <v>288</v>
      </c>
      <c r="C28" s="51"/>
      <c r="D28" s="54">
        <f t="shared" si="0"/>
        <v>0</v>
      </c>
      <c r="E28" s="61" t="str">
        <f>HYPERLINK("https://www.sds-group.ru/product/vyklyuchatel-round-2-kl-perekrestnyy-pereklyuchatel-10a-s-u-shelk-kranz-KR-78-0733-7/", "Инфо")</f>
        <v>Инфо</v>
      </c>
      <c r="F28" s="42" t="s">
        <v>39</v>
      </c>
      <c r="G28" s="41" t="s">
        <v>40</v>
      </c>
      <c r="H28" s="41"/>
      <c r="I28" s="41"/>
      <c r="J28" s="43">
        <v>208</v>
      </c>
      <c r="K28" s="41" t="s">
        <v>210</v>
      </c>
      <c r="L28" s="43">
        <v>1</v>
      </c>
      <c r="M28" s="43">
        <v>100</v>
      </c>
      <c r="N28" s="43">
        <v>1</v>
      </c>
      <c r="O28" s="44">
        <v>2598.2800000000002</v>
      </c>
      <c r="P28" s="44">
        <v>2129.7399999999998</v>
      </c>
      <c r="Q28" s="44">
        <v>2598.2800000000002</v>
      </c>
      <c r="R28" s="44">
        <v>2129.7399999999998</v>
      </c>
      <c r="S28" s="44">
        <v>2078.62</v>
      </c>
      <c r="T28" s="44">
        <v>1703.79</v>
      </c>
      <c r="U28" s="42"/>
      <c r="V28" s="42"/>
      <c r="W28" s="42" t="s">
        <v>40</v>
      </c>
      <c r="X28" s="45">
        <v>0.157</v>
      </c>
      <c r="Y28" s="46">
        <v>5.31E-4</v>
      </c>
      <c r="Z28" s="21">
        <v>4601004345980</v>
      </c>
    </row>
    <row r="29" spans="1:26" ht="12" customHeight="1" outlineLevel="4" x14ac:dyDescent="0.2">
      <c r="A29" s="40" t="s">
        <v>295</v>
      </c>
      <c r="B29" s="75" t="s">
        <v>296</v>
      </c>
      <c r="C29" s="51"/>
      <c r="D29" s="54">
        <f t="shared" si="0"/>
        <v>0</v>
      </c>
      <c r="E29" s="61" t="str">
        <f>HYPERLINK("https://www.sds-group.ru/product/vyklyuchatel-round-2-kl-prohodnoy-pereklyuchatel-10a-s-u-shelk-kranz-KR-78-0709-7/", "Инфо")</f>
        <v>Инфо</v>
      </c>
      <c r="F29" s="42" t="s">
        <v>39</v>
      </c>
      <c r="G29" s="41" t="s">
        <v>40</v>
      </c>
      <c r="H29" s="41"/>
      <c r="I29" s="41"/>
      <c r="J29" s="43">
        <v>79</v>
      </c>
      <c r="K29" s="41" t="s">
        <v>210</v>
      </c>
      <c r="L29" s="43">
        <v>1</v>
      </c>
      <c r="M29" s="43">
        <v>100</v>
      </c>
      <c r="N29" s="43">
        <v>1</v>
      </c>
      <c r="O29" s="44">
        <v>1955.95</v>
      </c>
      <c r="P29" s="44">
        <v>1603.24</v>
      </c>
      <c r="Q29" s="44">
        <v>1955.95</v>
      </c>
      <c r="R29" s="44">
        <v>1603.24</v>
      </c>
      <c r="S29" s="44">
        <v>1564.76</v>
      </c>
      <c r="T29" s="44">
        <v>1282.5899999999999</v>
      </c>
      <c r="U29" s="42"/>
      <c r="V29" s="42"/>
      <c r="W29" s="42" t="s">
        <v>40</v>
      </c>
      <c r="X29" s="45">
        <v>0.16300000000000001</v>
      </c>
      <c r="Y29" s="46">
        <v>5.2599999999999999E-4</v>
      </c>
      <c r="Z29" s="21">
        <v>4601004345508</v>
      </c>
    </row>
    <row r="30" spans="1:26" ht="12" customHeight="1" outlineLevel="4" x14ac:dyDescent="0.2">
      <c r="A30" s="40" t="s">
        <v>297</v>
      </c>
      <c r="B30" s="75" t="s">
        <v>298</v>
      </c>
      <c r="C30" s="51"/>
      <c r="D30" s="54">
        <f t="shared" si="0"/>
        <v>0</v>
      </c>
      <c r="E30" s="61" t="str">
        <f>HYPERLINK("https://www.sds-group.ru/product/vyklyuchatel-round-2-kl-prohodnoy-pereklyuchatel-s-podsvetkoy-10a-s-u-shelk-kranz-KR-78-0717-7/", "Инфо")</f>
        <v>Инфо</v>
      </c>
      <c r="F30" s="42" t="s">
        <v>39</v>
      </c>
      <c r="G30" s="41" t="s">
        <v>40</v>
      </c>
      <c r="H30" s="41"/>
      <c r="I30" s="41"/>
      <c r="J30" s="43">
        <v>156</v>
      </c>
      <c r="K30" s="41" t="s">
        <v>210</v>
      </c>
      <c r="L30" s="43">
        <v>1</v>
      </c>
      <c r="M30" s="43">
        <v>100</v>
      </c>
      <c r="N30" s="43">
        <v>1</v>
      </c>
      <c r="O30" s="44">
        <v>1523.75</v>
      </c>
      <c r="P30" s="44">
        <v>1248.98</v>
      </c>
      <c r="Q30" s="44">
        <v>1523.75</v>
      </c>
      <c r="R30" s="44">
        <v>1248.98</v>
      </c>
      <c r="S30" s="44">
        <v>1219</v>
      </c>
      <c r="T30" s="44">
        <v>999.18</v>
      </c>
      <c r="U30" s="42"/>
      <c r="V30" s="42"/>
      <c r="W30" s="42" t="s">
        <v>40</v>
      </c>
      <c r="X30" s="45">
        <v>0.16400000000000001</v>
      </c>
      <c r="Y30" s="46">
        <v>5.1800000000000001E-4</v>
      </c>
      <c r="Z30" s="21">
        <v>4601004345669</v>
      </c>
    </row>
    <row r="31" spans="1:26" ht="12" customHeight="1" outlineLevel="4" x14ac:dyDescent="0.2">
      <c r="A31" s="40" t="s">
        <v>305</v>
      </c>
      <c r="B31" s="75" t="s">
        <v>306</v>
      </c>
      <c r="C31" s="51"/>
      <c r="D31" s="54">
        <f t="shared" si="0"/>
        <v>0</v>
      </c>
      <c r="E31" s="61" t="str">
        <f>HYPERLINK("https://www.sds-group.ru/product/vyklyuchatel-round-2-kl-s-podsvetkoy-10a-s-u-shelk-kranz-KR-78-0714-7/", "Инфо")</f>
        <v>Инфо</v>
      </c>
      <c r="F31" s="42" t="s">
        <v>39</v>
      </c>
      <c r="G31" s="41" t="s">
        <v>40</v>
      </c>
      <c r="H31" s="41"/>
      <c r="I31" s="41"/>
      <c r="J31" s="43">
        <v>422</v>
      </c>
      <c r="K31" s="41" t="s">
        <v>210</v>
      </c>
      <c r="L31" s="43">
        <v>1</v>
      </c>
      <c r="M31" s="43">
        <v>100</v>
      </c>
      <c r="N31" s="43">
        <v>1</v>
      </c>
      <c r="O31" s="44">
        <v>1783.95</v>
      </c>
      <c r="P31" s="44">
        <v>1462.25</v>
      </c>
      <c r="Q31" s="44">
        <v>1783.95</v>
      </c>
      <c r="R31" s="44">
        <v>1462.25</v>
      </c>
      <c r="S31" s="44">
        <v>1427.16</v>
      </c>
      <c r="T31" s="44">
        <v>1169.8</v>
      </c>
      <c r="U31" s="42"/>
      <c r="V31" s="42"/>
      <c r="W31" s="42" t="s">
        <v>40</v>
      </c>
      <c r="X31" s="45">
        <v>0.155</v>
      </c>
      <c r="Y31" s="46">
        <v>5.2499999999999997E-4</v>
      </c>
      <c r="Z31" s="21">
        <v>4601004345607</v>
      </c>
    </row>
    <row r="32" spans="1:26" ht="12" customHeight="1" outlineLevel="4" x14ac:dyDescent="0.2">
      <c r="A32" s="40" t="s">
        <v>307</v>
      </c>
      <c r="B32" s="75" t="s">
        <v>308</v>
      </c>
      <c r="C32" s="51"/>
      <c r="D32" s="54">
        <f t="shared" si="0"/>
        <v>0</v>
      </c>
      <c r="E32" s="61" t="str">
        <f>HYPERLINK("https://www.sds-group.ru/product/vyklyuchatel-round-3-kl-10a-s-u-oniks-kranz-KR-78-0707-3/", "Инфо")</f>
        <v>Инфо</v>
      </c>
      <c r="F32" s="42" t="s">
        <v>39</v>
      </c>
      <c r="G32" s="41" t="s">
        <v>40</v>
      </c>
      <c r="H32" s="41"/>
      <c r="I32" s="41"/>
      <c r="J32" s="43">
        <v>207</v>
      </c>
      <c r="K32" s="41"/>
      <c r="L32" s="43">
        <v>1</v>
      </c>
      <c r="M32" s="43">
        <v>100</v>
      </c>
      <c r="N32" s="43">
        <v>1</v>
      </c>
      <c r="O32" s="44">
        <v>1554.62</v>
      </c>
      <c r="P32" s="44">
        <v>1274.28</v>
      </c>
      <c r="Q32" s="44">
        <v>1554.62</v>
      </c>
      <c r="R32" s="44">
        <v>1274.28</v>
      </c>
      <c r="S32" s="44">
        <v>1243.7</v>
      </c>
      <c r="T32" s="44">
        <v>1019.43</v>
      </c>
      <c r="U32" s="42"/>
      <c r="V32" s="42"/>
      <c r="W32" s="42" t="s">
        <v>40</v>
      </c>
      <c r="X32" s="45">
        <v>0.161</v>
      </c>
      <c r="Y32" s="46">
        <v>5.2999999999999998E-4</v>
      </c>
      <c r="Z32" s="21">
        <v>4601004323698</v>
      </c>
    </row>
    <row r="33" spans="1:26" ht="12" customHeight="1" outlineLevel="4" x14ac:dyDescent="0.2">
      <c r="A33" s="40" t="s">
        <v>309</v>
      </c>
      <c r="B33" s="75" t="s">
        <v>310</v>
      </c>
      <c r="C33" s="51"/>
      <c r="D33" s="54">
        <f t="shared" si="0"/>
        <v>0</v>
      </c>
      <c r="E33" s="61" t="str">
        <f>HYPERLINK("https://www.sds-group.ru/product/vyklyuchatel-round-3-kl-10a-s-u-perlamutr-kranz-KR-78-0707-1/", "Инфо")</f>
        <v>Инфо</v>
      </c>
      <c r="F33" s="42" t="s">
        <v>39</v>
      </c>
      <c r="G33" s="41" t="s">
        <v>40</v>
      </c>
      <c r="H33" s="41"/>
      <c r="I33" s="41"/>
      <c r="J33" s="43">
        <v>377</v>
      </c>
      <c r="K33" s="41"/>
      <c r="L33" s="43">
        <v>1</v>
      </c>
      <c r="M33" s="43">
        <v>100</v>
      </c>
      <c r="N33" s="43">
        <v>1</v>
      </c>
      <c r="O33" s="44">
        <v>1413.29</v>
      </c>
      <c r="P33" s="44">
        <v>1158.43</v>
      </c>
      <c r="Q33" s="44">
        <v>1413.29</v>
      </c>
      <c r="R33" s="44">
        <v>1158.43</v>
      </c>
      <c r="S33" s="44">
        <v>1130.6300000000001</v>
      </c>
      <c r="T33" s="44">
        <v>926.75</v>
      </c>
      <c r="U33" s="42"/>
      <c r="V33" s="42"/>
      <c r="W33" s="42" t="s">
        <v>40</v>
      </c>
      <c r="X33" s="45">
        <v>0.161</v>
      </c>
      <c r="Y33" s="46">
        <v>5.3899999999999998E-4</v>
      </c>
      <c r="Z33" s="21">
        <v>4601004323735</v>
      </c>
    </row>
    <row r="34" spans="1:26" ht="12" customHeight="1" outlineLevel="4" x14ac:dyDescent="0.2">
      <c r="A34" s="40" t="s">
        <v>311</v>
      </c>
      <c r="B34" s="75" t="s">
        <v>312</v>
      </c>
      <c r="C34" s="51"/>
      <c r="D34" s="54">
        <f t="shared" si="0"/>
        <v>0</v>
      </c>
      <c r="E34" s="61" t="str">
        <f>HYPERLINK("https://www.sds-group.ru/product/vyklyuchatel-round-3-kl-10a-s-u-titan-kranz-KR-78-0707-2/", "Инфо")</f>
        <v>Инфо</v>
      </c>
      <c r="F34" s="42" t="s">
        <v>39</v>
      </c>
      <c r="G34" s="41" t="s">
        <v>40</v>
      </c>
      <c r="H34" s="41"/>
      <c r="I34" s="41"/>
      <c r="J34" s="43">
        <v>218</v>
      </c>
      <c r="K34" s="41"/>
      <c r="L34" s="43">
        <v>1</v>
      </c>
      <c r="M34" s="43">
        <v>100</v>
      </c>
      <c r="N34" s="43">
        <v>1</v>
      </c>
      <c r="O34" s="44">
        <v>1514.06</v>
      </c>
      <c r="P34" s="44">
        <v>1241.03</v>
      </c>
      <c r="Q34" s="44">
        <v>1514.06</v>
      </c>
      <c r="R34" s="44">
        <v>1241.03</v>
      </c>
      <c r="S34" s="44">
        <v>1211.25</v>
      </c>
      <c r="T34" s="44">
        <v>992.83</v>
      </c>
      <c r="U34" s="42"/>
      <c r="V34" s="42"/>
      <c r="W34" s="42" t="s">
        <v>40</v>
      </c>
      <c r="X34" s="45">
        <v>0.16200000000000001</v>
      </c>
      <c r="Y34" s="46">
        <v>5.2499999999999997E-4</v>
      </c>
      <c r="Z34" s="21">
        <v>4601004323704</v>
      </c>
    </row>
    <row r="35" spans="1:26" ht="12" customHeight="1" outlineLevel="4" x14ac:dyDescent="0.2">
      <c r="A35" s="40" t="s">
        <v>313</v>
      </c>
      <c r="B35" s="75" t="s">
        <v>314</v>
      </c>
      <c r="C35" s="51"/>
      <c r="D35" s="54">
        <f t="shared" si="0"/>
        <v>0</v>
      </c>
      <c r="E35" s="61" t="str">
        <f>HYPERLINK("https://www.sds-group.ru/product/vyklyuchatel-round-3-kl-10a-s-u-shelk-kranz-KR-78-0707-7/", "Инфо")</f>
        <v>Инфо</v>
      </c>
      <c r="F35" s="42" t="s">
        <v>39</v>
      </c>
      <c r="G35" s="41" t="s">
        <v>40</v>
      </c>
      <c r="H35" s="41"/>
      <c r="I35" s="41"/>
      <c r="J35" s="43">
        <v>240</v>
      </c>
      <c r="K35" s="41" t="s">
        <v>210</v>
      </c>
      <c r="L35" s="43">
        <v>1</v>
      </c>
      <c r="M35" s="43">
        <v>100</v>
      </c>
      <c r="N35" s="43">
        <v>1</v>
      </c>
      <c r="O35" s="44">
        <v>1514.06</v>
      </c>
      <c r="P35" s="44">
        <v>1241.03</v>
      </c>
      <c r="Q35" s="44">
        <v>1514.06</v>
      </c>
      <c r="R35" s="44">
        <v>1241.03</v>
      </c>
      <c r="S35" s="44">
        <v>1211.25</v>
      </c>
      <c r="T35" s="44">
        <v>992.83</v>
      </c>
      <c r="U35" s="42"/>
      <c r="V35" s="42"/>
      <c r="W35" s="42" t="s">
        <v>40</v>
      </c>
      <c r="X35" s="45">
        <v>0.161</v>
      </c>
      <c r="Y35" s="46">
        <v>5.3300000000000005E-4</v>
      </c>
      <c r="Z35" s="21">
        <v>4601004345461</v>
      </c>
    </row>
    <row r="36" spans="1:26" ht="12" customHeight="1" outlineLevel="4" x14ac:dyDescent="0.2">
      <c r="A36" s="40" t="s">
        <v>315</v>
      </c>
      <c r="B36" s="75" t="s">
        <v>316</v>
      </c>
      <c r="C36" s="51"/>
      <c r="D36" s="54">
        <f t="shared" si="0"/>
        <v>0</v>
      </c>
      <c r="E36" s="61" t="str">
        <f>HYPERLINK("https://www.sds-group.ru/product/zaglushka-round-dekorativnaya-s-supportom-oniks-kranz-KR-78-0735-3/", "Инфо")</f>
        <v>Инфо</v>
      </c>
      <c r="F36" s="42" t="s">
        <v>39</v>
      </c>
      <c r="G36" s="41" t="s">
        <v>40</v>
      </c>
      <c r="H36" s="41"/>
      <c r="I36" s="41"/>
      <c r="J36" s="43">
        <v>418</v>
      </c>
      <c r="K36" s="41"/>
      <c r="L36" s="43">
        <v>1</v>
      </c>
      <c r="M36" s="43">
        <v>100</v>
      </c>
      <c r="N36" s="43">
        <v>1</v>
      </c>
      <c r="O36" s="44">
        <v>441.34</v>
      </c>
      <c r="P36" s="44">
        <v>361.75</v>
      </c>
      <c r="Q36" s="44">
        <v>441.34</v>
      </c>
      <c r="R36" s="44">
        <v>361.75</v>
      </c>
      <c r="S36" s="44">
        <v>353.07</v>
      </c>
      <c r="T36" s="44">
        <v>289.39999999999998</v>
      </c>
      <c r="U36" s="42"/>
      <c r="V36" s="42"/>
      <c r="W36" s="42" t="s">
        <v>40</v>
      </c>
      <c r="X36" s="45">
        <v>0.122</v>
      </c>
      <c r="Y36" s="46">
        <v>5.31E-4</v>
      </c>
      <c r="Z36" s="21">
        <v>4601004338647</v>
      </c>
    </row>
    <row r="37" spans="1:26" ht="12" customHeight="1" outlineLevel="4" x14ac:dyDescent="0.2">
      <c r="A37" s="40" t="s">
        <v>317</v>
      </c>
      <c r="B37" s="75" t="s">
        <v>318</v>
      </c>
      <c r="C37" s="51"/>
      <c r="D37" s="54">
        <f t="shared" si="0"/>
        <v>0</v>
      </c>
      <c r="E37" s="61" t="str">
        <f>HYPERLINK("https://www.sds-group.ru/product/zaglushka-round-dekorativnaya-s-supportom-perlamutr-kranz-KR-78-0735-1/", "Инфо")</f>
        <v>Инфо</v>
      </c>
      <c r="F37" s="42" t="s">
        <v>39</v>
      </c>
      <c r="G37" s="41" t="s">
        <v>40</v>
      </c>
      <c r="H37" s="41"/>
      <c r="I37" s="41"/>
      <c r="J37" s="43">
        <v>382</v>
      </c>
      <c r="K37" s="41"/>
      <c r="L37" s="43">
        <v>1</v>
      </c>
      <c r="M37" s="43">
        <v>100</v>
      </c>
      <c r="N37" s="43">
        <v>1</v>
      </c>
      <c r="O37" s="44">
        <v>368.2</v>
      </c>
      <c r="P37" s="44">
        <v>301.8</v>
      </c>
      <c r="Q37" s="44">
        <v>368.2</v>
      </c>
      <c r="R37" s="44">
        <v>301.8</v>
      </c>
      <c r="S37" s="44">
        <v>294.56</v>
      </c>
      <c r="T37" s="44">
        <v>241.44</v>
      </c>
      <c r="U37" s="42"/>
      <c r="V37" s="42"/>
      <c r="W37" s="42" t="s">
        <v>40</v>
      </c>
      <c r="X37" s="45">
        <v>0.122</v>
      </c>
      <c r="Y37" s="46">
        <v>5.3899999999999998E-4</v>
      </c>
      <c r="Z37" s="21">
        <v>4601004338654</v>
      </c>
    </row>
    <row r="38" spans="1:26" ht="12" customHeight="1" outlineLevel="4" x14ac:dyDescent="0.2">
      <c r="A38" s="40" t="s">
        <v>319</v>
      </c>
      <c r="B38" s="75" t="s">
        <v>320</v>
      </c>
      <c r="C38" s="51"/>
      <c r="D38" s="54">
        <f t="shared" si="0"/>
        <v>0</v>
      </c>
      <c r="E38" s="61" t="str">
        <f>HYPERLINK("https://www.sds-group.ru/product/zaglushka-round-dekorativnaya-s-supportom-titan-kranz-KR-78-0735-2/", "Инфо")</f>
        <v>Инфо</v>
      </c>
      <c r="F38" s="42" t="s">
        <v>39</v>
      </c>
      <c r="G38" s="41" t="s">
        <v>40</v>
      </c>
      <c r="H38" s="41"/>
      <c r="I38" s="41"/>
      <c r="J38" s="43">
        <v>76</v>
      </c>
      <c r="K38" s="41"/>
      <c r="L38" s="43">
        <v>1</v>
      </c>
      <c r="M38" s="43">
        <v>100</v>
      </c>
      <c r="N38" s="43">
        <v>1</v>
      </c>
      <c r="O38" s="44">
        <v>429.83</v>
      </c>
      <c r="P38" s="44">
        <v>352.32</v>
      </c>
      <c r="Q38" s="44">
        <v>429.83</v>
      </c>
      <c r="R38" s="44">
        <v>352.32</v>
      </c>
      <c r="S38" s="44">
        <v>343.86</v>
      </c>
      <c r="T38" s="44">
        <v>281.85000000000002</v>
      </c>
      <c r="U38" s="42"/>
      <c r="V38" s="42"/>
      <c r="W38" s="42" t="s">
        <v>40</v>
      </c>
      <c r="X38" s="45">
        <v>0.121</v>
      </c>
      <c r="Y38" s="46">
        <v>5.2999999999999998E-4</v>
      </c>
      <c r="Z38" s="21">
        <v>4601004338678</v>
      </c>
    </row>
    <row r="39" spans="1:26" ht="12" customHeight="1" outlineLevel="4" x14ac:dyDescent="0.2">
      <c r="A39" s="40" t="s">
        <v>321</v>
      </c>
      <c r="B39" s="75" t="s">
        <v>322</v>
      </c>
      <c r="C39" s="51"/>
      <c r="D39" s="54">
        <f t="shared" si="0"/>
        <v>0</v>
      </c>
      <c r="E39" s="61" t="str">
        <f>HYPERLINK("https://www.sds-group.ru/product/zaglushka-round-dekorativnaya-s-supportom-shelk-kranz-KR-78-0735-7/", "Инфо")</f>
        <v>Инфо</v>
      </c>
      <c r="F39" s="42" t="s">
        <v>39</v>
      </c>
      <c r="G39" s="41" t="s">
        <v>40</v>
      </c>
      <c r="H39" s="41"/>
      <c r="I39" s="41"/>
      <c r="J39" s="43">
        <v>100</v>
      </c>
      <c r="K39" s="41" t="s">
        <v>210</v>
      </c>
      <c r="L39" s="43">
        <v>1</v>
      </c>
      <c r="M39" s="43">
        <v>100</v>
      </c>
      <c r="N39" s="43">
        <v>1</v>
      </c>
      <c r="O39" s="44">
        <v>429.83</v>
      </c>
      <c r="P39" s="44">
        <v>352.32</v>
      </c>
      <c r="Q39" s="44">
        <v>429.83</v>
      </c>
      <c r="R39" s="44">
        <v>352.32</v>
      </c>
      <c r="S39" s="44">
        <v>343.86</v>
      </c>
      <c r="T39" s="44">
        <v>281.85000000000002</v>
      </c>
      <c r="U39" s="42"/>
      <c r="V39" s="42"/>
      <c r="W39" s="42" t="s">
        <v>40</v>
      </c>
      <c r="X39" s="45">
        <v>0.121</v>
      </c>
      <c r="Y39" s="46">
        <v>5.2800000000000004E-4</v>
      </c>
      <c r="Z39" s="21">
        <v>4601004346024</v>
      </c>
    </row>
    <row r="40" spans="1:26" ht="12" customHeight="1" outlineLevel="4" x14ac:dyDescent="0.2">
      <c r="A40" s="40" t="s">
        <v>327</v>
      </c>
      <c r="B40" s="75" t="s">
        <v>328</v>
      </c>
      <c r="C40" s="51"/>
      <c r="D40" s="54">
        <f t="shared" si="0"/>
        <v>0</v>
      </c>
      <c r="E40" s="61" t="str">
        <f>HYPERLINK("https://www.sds-group.ru/product/podsvetka-nastennaya-round-dlya-nog-s-u-shelk-kranz-KR-78-0727-7/", "Инфо")</f>
        <v>Инфо</v>
      </c>
      <c r="F40" s="42" t="s">
        <v>39</v>
      </c>
      <c r="G40" s="41" t="s">
        <v>40</v>
      </c>
      <c r="H40" s="41"/>
      <c r="I40" s="41"/>
      <c r="J40" s="42" t="s">
        <v>100</v>
      </c>
      <c r="K40" s="41" t="s">
        <v>210</v>
      </c>
      <c r="L40" s="43">
        <v>1</v>
      </c>
      <c r="M40" s="43">
        <v>100</v>
      </c>
      <c r="N40" s="43">
        <v>1</v>
      </c>
      <c r="O40" s="44">
        <v>3367.8</v>
      </c>
      <c r="P40" s="44">
        <v>2760.49</v>
      </c>
      <c r="Q40" s="44">
        <v>3367.8</v>
      </c>
      <c r="R40" s="44">
        <v>2760.49</v>
      </c>
      <c r="S40" s="44">
        <v>2694.24</v>
      </c>
      <c r="T40" s="44">
        <v>2208.39</v>
      </c>
      <c r="U40" s="42"/>
      <c r="V40" s="42"/>
      <c r="W40" s="42" t="s">
        <v>40</v>
      </c>
      <c r="X40" s="45">
        <v>0.13100000000000001</v>
      </c>
      <c r="Y40" s="46">
        <v>5.4600000000000004E-4</v>
      </c>
      <c r="Z40" s="21">
        <v>4601004345867</v>
      </c>
    </row>
    <row r="41" spans="1:26" ht="12" customHeight="1" outlineLevel="4" x14ac:dyDescent="0.2">
      <c r="A41" s="40" t="s">
        <v>335</v>
      </c>
      <c r="B41" s="75" t="s">
        <v>336</v>
      </c>
      <c r="C41" s="51"/>
      <c r="D41" s="54">
        <f t="shared" si="0"/>
        <v>0</v>
      </c>
      <c r="E41" s="61" t="str">
        <f>HYPERLINK("https://www.sds-group.ru/product/ramka-round-2-postovaya-shelk-kranz-KR-78-0752-7/", "Инфо")</f>
        <v>Инфо</v>
      </c>
      <c r="F41" s="42" t="s">
        <v>39</v>
      </c>
      <c r="G41" s="41" t="s">
        <v>40</v>
      </c>
      <c r="H41" s="41"/>
      <c r="I41" s="41"/>
      <c r="J41" s="43">
        <v>289</v>
      </c>
      <c r="K41" s="41" t="s">
        <v>210</v>
      </c>
      <c r="L41" s="43">
        <v>1</v>
      </c>
      <c r="M41" s="43">
        <v>200</v>
      </c>
      <c r="N41" s="43">
        <v>1</v>
      </c>
      <c r="O41" s="44">
        <v>408.66</v>
      </c>
      <c r="P41" s="44">
        <v>334.97</v>
      </c>
      <c r="Q41" s="44">
        <v>408.66</v>
      </c>
      <c r="R41" s="44">
        <v>334.97</v>
      </c>
      <c r="S41" s="44">
        <v>326.93</v>
      </c>
      <c r="T41" s="44">
        <v>267.98</v>
      </c>
      <c r="U41" s="42"/>
      <c r="V41" s="42"/>
      <c r="W41" s="42" t="s">
        <v>40</v>
      </c>
      <c r="X41" s="45">
        <v>4.5999999999999999E-2</v>
      </c>
      <c r="Y41" s="46">
        <v>4.37E-4</v>
      </c>
      <c r="Z41" s="21">
        <v>4601004346086</v>
      </c>
    </row>
    <row r="42" spans="1:26" ht="12" customHeight="1" outlineLevel="4" x14ac:dyDescent="0.2">
      <c r="A42" s="40" t="s">
        <v>343</v>
      </c>
      <c r="B42" s="75" t="s">
        <v>344</v>
      </c>
      <c r="C42" s="51"/>
      <c r="D42" s="54">
        <f t="shared" si="0"/>
        <v>0</v>
      </c>
      <c r="E42" s="61" t="str">
        <f>HYPERLINK("https://www.sds-group.ru/product/ramka-round-3-postovaya-shelk-kranz-KR-78-0753-7/", "Инфо")</f>
        <v>Инфо</v>
      </c>
      <c r="F42" s="42" t="s">
        <v>39</v>
      </c>
      <c r="G42" s="41" t="s">
        <v>40</v>
      </c>
      <c r="H42" s="41"/>
      <c r="I42" s="41"/>
      <c r="J42" s="43">
        <v>249</v>
      </c>
      <c r="K42" s="41" t="s">
        <v>210</v>
      </c>
      <c r="L42" s="43">
        <v>1</v>
      </c>
      <c r="M42" s="43">
        <v>100</v>
      </c>
      <c r="N42" s="43">
        <v>1</v>
      </c>
      <c r="O42" s="44">
        <v>730.22</v>
      </c>
      <c r="P42" s="44">
        <v>598.54</v>
      </c>
      <c r="Q42" s="44">
        <v>730.22</v>
      </c>
      <c r="R42" s="44">
        <v>598.54</v>
      </c>
      <c r="S42" s="44">
        <v>584.17999999999995</v>
      </c>
      <c r="T42" s="44">
        <v>478.84</v>
      </c>
      <c r="U42" s="42"/>
      <c r="V42" s="42"/>
      <c r="W42" s="42" t="s">
        <v>40</v>
      </c>
      <c r="X42" s="45">
        <v>7.8E-2</v>
      </c>
      <c r="Y42" s="46">
        <v>8.4999999999999995E-4</v>
      </c>
      <c r="Z42" s="21">
        <v>4601004346109</v>
      </c>
    </row>
    <row r="43" spans="1:26" ht="12" customHeight="1" outlineLevel="4" x14ac:dyDescent="0.2">
      <c r="A43" s="40" t="s">
        <v>351</v>
      </c>
      <c r="B43" s="75" t="s">
        <v>352</v>
      </c>
      <c r="C43" s="51"/>
      <c r="D43" s="54">
        <f t="shared" si="0"/>
        <v>0</v>
      </c>
      <c r="E43" s="61" t="str">
        <f>HYPERLINK("https://www.sds-group.ru/product/ramka-round-4-postovaya-shelk-kranz-KR-78-0754-7/", "Инфо")</f>
        <v>Инфо</v>
      </c>
      <c r="F43" s="42" t="s">
        <v>39</v>
      </c>
      <c r="G43" s="41" t="s">
        <v>40</v>
      </c>
      <c r="H43" s="41"/>
      <c r="I43" s="41"/>
      <c r="J43" s="42" t="s">
        <v>100</v>
      </c>
      <c r="K43" s="41" t="s">
        <v>210</v>
      </c>
      <c r="L43" s="43">
        <v>1</v>
      </c>
      <c r="M43" s="43">
        <v>100</v>
      </c>
      <c r="N43" s="43">
        <v>1</v>
      </c>
      <c r="O43" s="44">
        <v>1054.76</v>
      </c>
      <c r="P43" s="44">
        <v>864.56</v>
      </c>
      <c r="Q43" s="44">
        <v>1054.76</v>
      </c>
      <c r="R43" s="44">
        <v>864.56</v>
      </c>
      <c r="S43" s="44">
        <v>843.81</v>
      </c>
      <c r="T43" s="44">
        <v>691.65</v>
      </c>
      <c r="U43" s="42"/>
      <c r="V43" s="42"/>
      <c r="W43" s="42" t="s">
        <v>40</v>
      </c>
      <c r="X43" s="45">
        <v>8.5000000000000006E-2</v>
      </c>
      <c r="Y43" s="46">
        <v>8.7600000000000004E-4</v>
      </c>
      <c r="Z43" s="21">
        <v>4601004346123</v>
      </c>
    </row>
    <row r="44" spans="1:26" ht="12" customHeight="1" outlineLevel="4" x14ac:dyDescent="0.2">
      <c r="A44" s="40" t="s">
        <v>359</v>
      </c>
      <c r="B44" s="75" t="s">
        <v>360</v>
      </c>
      <c r="C44" s="51"/>
      <c r="D44" s="54">
        <f t="shared" si="0"/>
        <v>0</v>
      </c>
      <c r="E44" s="61" t="str">
        <f>HYPERLINK("https://www.sds-group.ru/product/ramka-round-5-postovaya-shelk-kranz-KR-78-0755-7/", "Инфо")</f>
        <v>Инфо</v>
      </c>
      <c r="F44" s="42" t="s">
        <v>39</v>
      </c>
      <c r="G44" s="41" t="s">
        <v>40</v>
      </c>
      <c r="H44" s="41"/>
      <c r="I44" s="41"/>
      <c r="J44" s="42" t="s">
        <v>100</v>
      </c>
      <c r="K44" s="41" t="s">
        <v>210</v>
      </c>
      <c r="L44" s="43">
        <v>1</v>
      </c>
      <c r="M44" s="43">
        <v>100</v>
      </c>
      <c r="N44" s="43">
        <v>1</v>
      </c>
      <c r="O44" s="44">
        <v>1298.5999999999999</v>
      </c>
      <c r="P44" s="44">
        <v>1064.43</v>
      </c>
      <c r="Q44" s="44">
        <v>1298.5999999999999</v>
      </c>
      <c r="R44" s="44">
        <v>1064.43</v>
      </c>
      <c r="S44" s="44">
        <v>1038.8800000000001</v>
      </c>
      <c r="T44" s="44">
        <v>851.54</v>
      </c>
      <c r="U44" s="42"/>
      <c r="V44" s="42"/>
      <c r="W44" s="42" t="s">
        <v>40</v>
      </c>
      <c r="X44" s="45">
        <v>9.9000000000000005E-2</v>
      </c>
      <c r="Y44" s="46">
        <v>8.8099999999999995E-4</v>
      </c>
      <c r="Z44" s="21">
        <v>4601004346147</v>
      </c>
    </row>
    <row r="45" spans="1:26" ht="12" customHeight="1" outlineLevel="4" x14ac:dyDescent="0.2">
      <c r="A45" s="40" t="s">
        <v>367</v>
      </c>
      <c r="B45" s="75" t="s">
        <v>368</v>
      </c>
      <c r="C45" s="51"/>
      <c r="D45" s="54">
        <f t="shared" si="0"/>
        <v>0</v>
      </c>
      <c r="E45" s="61" t="str">
        <f>HYPERLINK("https://www.sds-group.ru/product/rozetka-round-1-aya-s-z-s-u-z-sh-16a-s-usb-a-c-bystroy-zaryadki-5v-3a-shelk-kranz-KR-78-0704-7/", "Инфо")</f>
        <v>Инфо</v>
      </c>
      <c r="F45" s="42" t="s">
        <v>39</v>
      </c>
      <c r="G45" s="41" t="s">
        <v>40</v>
      </c>
      <c r="H45" s="41"/>
      <c r="I45" s="41"/>
      <c r="J45" s="43">
        <v>78</v>
      </c>
      <c r="K45" s="41" t="s">
        <v>210</v>
      </c>
      <c r="L45" s="43">
        <v>1</v>
      </c>
      <c r="M45" s="43">
        <v>80</v>
      </c>
      <c r="N45" s="43">
        <v>1</v>
      </c>
      <c r="O45" s="44">
        <v>6240.22</v>
      </c>
      <c r="P45" s="44">
        <v>5114.93</v>
      </c>
      <c r="Q45" s="44">
        <v>6240.22</v>
      </c>
      <c r="R45" s="44">
        <v>5114.93</v>
      </c>
      <c r="S45" s="44">
        <v>4992.18</v>
      </c>
      <c r="T45" s="44">
        <v>4091.95</v>
      </c>
      <c r="U45" s="42"/>
      <c r="V45" s="42"/>
      <c r="W45" s="42" t="s">
        <v>40</v>
      </c>
      <c r="X45" s="45">
        <v>0.19400000000000001</v>
      </c>
      <c r="Y45" s="46">
        <v>6.6100000000000002E-4</v>
      </c>
      <c r="Z45" s="21">
        <v>4601004345409</v>
      </c>
    </row>
    <row r="46" spans="1:26" ht="12" customHeight="1" outlineLevel="4" x14ac:dyDescent="0.2">
      <c r="A46" s="40" t="s">
        <v>375</v>
      </c>
      <c r="B46" s="75" t="s">
        <v>376</v>
      </c>
      <c r="C46" s="51"/>
      <c r="D46" s="54">
        <f t="shared" si="0"/>
        <v>0</v>
      </c>
      <c r="E46" s="61" t="str">
        <f>HYPERLINK("https://www.sds-group.ru/product/rozetka-round-1-aya-s-z-s-u-so-shtorkami-16a-shelk-kranz-KR-78-0701-7/", "Инфо")</f>
        <v>Инфо</v>
      </c>
      <c r="F46" s="42" t="s">
        <v>39</v>
      </c>
      <c r="G46" s="41" t="s">
        <v>40</v>
      </c>
      <c r="H46" s="41"/>
      <c r="I46" s="41"/>
      <c r="J46" s="47">
        <v>6701</v>
      </c>
      <c r="K46" s="41" t="s">
        <v>210</v>
      </c>
      <c r="L46" s="43">
        <v>1</v>
      </c>
      <c r="M46" s="43">
        <v>100</v>
      </c>
      <c r="N46" s="43">
        <v>1</v>
      </c>
      <c r="O46" s="44">
        <v>1002.76</v>
      </c>
      <c r="P46" s="44">
        <v>821.93</v>
      </c>
      <c r="Q46" s="44">
        <v>1002.76</v>
      </c>
      <c r="R46" s="44">
        <v>821.93</v>
      </c>
      <c r="S46" s="44">
        <v>802.21</v>
      </c>
      <c r="T46" s="44">
        <v>657.55</v>
      </c>
      <c r="U46" s="42"/>
      <c r="V46" s="42"/>
      <c r="W46" s="42" t="s">
        <v>40</v>
      </c>
      <c r="X46" s="45">
        <v>0.14299999999999999</v>
      </c>
      <c r="Y46" s="46">
        <v>5.2999999999999998E-4</v>
      </c>
      <c r="Z46" s="21">
        <v>4601004345362</v>
      </c>
    </row>
    <row r="47" spans="1:26" ht="12" customHeight="1" outlineLevel="4" x14ac:dyDescent="0.2">
      <c r="A47" s="40" t="s">
        <v>383</v>
      </c>
      <c r="B47" s="75" t="s">
        <v>384</v>
      </c>
      <c r="C47" s="51"/>
      <c r="D47" s="54">
        <f t="shared" si="0"/>
        <v>0</v>
      </c>
      <c r="E47" s="61" t="str">
        <f>HYPERLINK("https://www.sds-group.ru/product/rozetka-round-1-aya-s-z-s-u-so-shtorkami-i-kryshkoy-16a-shelk-kranz-KR-78-0702-7/", "Инфо")</f>
        <v>Инфо</v>
      </c>
      <c r="F47" s="42" t="s">
        <v>39</v>
      </c>
      <c r="G47" s="41" t="s">
        <v>40</v>
      </c>
      <c r="H47" s="41"/>
      <c r="I47" s="41"/>
      <c r="J47" s="43">
        <v>850</v>
      </c>
      <c r="K47" s="41" t="s">
        <v>210</v>
      </c>
      <c r="L47" s="43">
        <v>1</v>
      </c>
      <c r="M47" s="43">
        <v>80</v>
      </c>
      <c r="N47" s="43">
        <v>1</v>
      </c>
      <c r="O47" s="44">
        <v>1414.8</v>
      </c>
      <c r="P47" s="44">
        <v>1159.67</v>
      </c>
      <c r="Q47" s="44">
        <v>1414.8</v>
      </c>
      <c r="R47" s="44">
        <v>1159.67</v>
      </c>
      <c r="S47" s="44">
        <v>1131.8399999999999</v>
      </c>
      <c r="T47" s="44">
        <v>927.74</v>
      </c>
      <c r="U47" s="42"/>
      <c r="V47" s="42"/>
      <c r="W47" s="42" t="s">
        <v>40</v>
      </c>
      <c r="X47" s="45">
        <v>0.161</v>
      </c>
      <c r="Y47" s="46">
        <v>6.6600000000000003E-4</v>
      </c>
      <c r="Z47" s="21">
        <v>4601004345379</v>
      </c>
    </row>
    <row r="48" spans="1:26" ht="12" customHeight="1" outlineLevel="4" x14ac:dyDescent="0.2">
      <c r="A48" s="40" t="s">
        <v>391</v>
      </c>
      <c r="B48" s="75" t="s">
        <v>392</v>
      </c>
      <c r="C48" s="51"/>
      <c r="D48" s="54">
        <f t="shared" si="0"/>
        <v>0</v>
      </c>
      <c r="E48" s="61" t="str">
        <f>HYPERLINK("https://www.sds-group.ru/product/rozetka-round-tv-s-u-shelk-kranz-KR-78-0723-7/", "Инфо")</f>
        <v>Инфо</v>
      </c>
      <c r="F48" s="42" t="s">
        <v>39</v>
      </c>
      <c r="G48" s="41" t="s">
        <v>40</v>
      </c>
      <c r="H48" s="41"/>
      <c r="I48" s="41"/>
      <c r="J48" s="43">
        <v>126</v>
      </c>
      <c r="K48" s="41" t="s">
        <v>210</v>
      </c>
      <c r="L48" s="43">
        <v>1</v>
      </c>
      <c r="M48" s="43">
        <v>100</v>
      </c>
      <c r="N48" s="43">
        <v>1</v>
      </c>
      <c r="O48" s="44">
        <v>1618.66</v>
      </c>
      <c r="P48" s="44">
        <v>1326.77</v>
      </c>
      <c r="Q48" s="44">
        <v>1618.66</v>
      </c>
      <c r="R48" s="44">
        <v>1326.77</v>
      </c>
      <c r="S48" s="44">
        <v>1294.93</v>
      </c>
      <c r="T48" s="44">
        <v>1061.42</v>
      </c>
      <c r="U48" s="42"/>
      <c r="V48" s="42"/>
      <c r="W48" s="42" t="s">
        <v>40</v>
      </c>
      <c r="X48" s="45">
        <v>0.13600000000000001</v>
      </c>
      <c r="Y48" s="46">
        <v>5.2800000000000004E-4</v>
      </c>
      <c r="Z48" s="21">
        <v>4601004345782</v>
      </c>
    </row>
    <row r="49" spans="1:26" ht="12" customHeight="1" outlineLevel="4" x14ac:dyDescent="0.2">
      <c r="A49" s="40" t="s">
        <v>393</v>
      </c>
      <c r="B49" s="75" t="s">
        <v>394</v>
      </c>
      <c r="C49" s="51"/>
      <c r="D49" s="54">
        <f t="shared" si="0"/>
        <v>0</v>
      </c>
      <c r="E49" s="61" t="str">
        <f>HYPERLINK("https://www.sds-group.ru/product/rozetka-round-usb-a-type-c-3a-s-funktsiey-bystroy-zaryadki-oniks-kranz-KR-78-0734-3/", "Инфо")</f>
        <v>Инфо</v>
      </c>
      <c r="F49" s="42" t="s">
        <v>39</v>
      </c>
      <c r="G49" s="41" t="s">
        <v>40</v>
      </c>
      <c r="H49" s="41"/>
      <c r="I49" s="41"/>
      <c r="J49" s="43">
        <v>190</v>
      </c>
      <c r="K49" s="41"/>
      <c r="L49" s="43">
        <v>1</v>
      </c>
      <c r="M49" s="43">
        <v>100</v>
      </c>
      <c r="N49" s="43">
        <v>1</v>
      </c>
      <c r="O49" s="44">
        <v>6196.15</v>
      </c>
      <c r="P49" s="44">
        <v>5078.8100000000004</v>
      </c>
      <c r="Q49" s="44">
        <v>6196.15</v>
      </c>
      <c r="R49" s="44">
        <v>5078.8100000000004</v>
      </c>
      <c r="S49" s="44">
        <v>4956.92</v>
      </c>
      <c r="T49" s="44">
        <v>4063.05</v>
      </c>
      <c r="U49" s="42"/>
      <c r="V49" s="42"/>
      <c r="W49" s="42" t="s">
        <v>40</v>
      </c>
      <c r="X49" s="45">
        <v>0.16600000000000001</v>
      </c>
      <c r="Y49" s="46">
        <v>5.3899999999999998E-4</v>
      </c>
      <c r="Z49" s="21">
        <v>4601004338760</v>
      </c>
    </row>
    <row r="50" spans="1:26" ht="12" customHeight="1" outlineLevel="4" x14ac:dyDescent="0.2">
      <c r="A50" s="40" t="s">
        <v>395</v>
      </c>
      <c r="B50" s="75" t="s">
        <v>396</v>
      </c>
      <c r="C50" s="51"/>
      <c r="D50" s="54">
        <f t="shared" si="0"/>
        <v>0</v>
      </c>
      <c r="E50" s="61" t="str">
        <f>HYPERLINK("https://www.sds-group.ru/product/rozetka-round-usb-a-type-c-3a-s-funktsiey-bystroy-zaryadki-perlamutr-kranz-KR-78-0734-1/", "Инфо")</f>
        <v>Инфо</v>
      </c>
      <c r="F50" s="42" t="s">
        <v>39</v>
      </c>
      <c r="G50" s="41" t="s">
        <v>40</v>
      </c>
      <c r="H50" s="41"/>
      <c r="I50" s="41"/>
      <c r="J50" s="43">
        <v>340</v>
      </c>
      <c r="K50" s="41"/>
      <c r="L50" s="43">
        <v>1</v>
      </c>
      <c r="M50" s="43">
        <v>100</v>
      </c>
      <c r="N50" s="43">
        <v>1</v>
      </c>
      <c r="O50" s="44">
        <v>5258.9</v>
      </c>
      <c r="P50" s="44">
        <v>4310.57</v>
      </c>
      <c r="Q50" s="44">
        <v>5258.9</v>
      </c>
      <c r="R50" s="44">
        <v>4310.57</v>
      </c>
      <c r="S50" s="44">
        <v>4207.12</v>
      </c>
      <c r="T50" s="44">
        <v>3448.46</v>
      </c>
      <c r="U50" s="42"/>
      <c r="V50" s="42"/>
      <c r="W50" s="42" t="s">
        <v>40</v>
      </c>
      <c r="X50" s="45">
        <v>0.16600000000000001</v>
      </c>
      <c r="Y50" s="46">
        <v>5.2999999999999998E-4</v>
      </c>
      <c r="Z50" s="21">
        <v>4601004338777</v>
      </c>
    </row>
    <row r="51" spans="1:26" ht="12" customHeight="1" outlineLevel="4" x14ac:dyDescent="0.2">
      <c r="A51" s="40" t="s">
        <v>397</v>
      </c>
      <c r="B51" s="75" t="s">
        <v>398</v>
      </c>
      <c r="C51" s="51"/>
      <c r="D51" s="54">
        <f t="shared" si="0"/>
        <v>0</v>
      </c>
      <c r="E51" s="61" t="str">
        <f>HYPERLINK("https://www.sds-group.ru/product/rozetka-round-usb-a-type-c-3a-s-funktsiey-bystroy-zaryadki-shelk-kranz-KR-78-0734-7/", "Инфо")</f>
        <v>Инфо</v>
      </c>
      <c r="F51" s="42" t="s">
        <v>39</v>
      </c>
      <c r="G51" s="41" t="s">
        <v>40</v>
      </c>
      <c r="H51" s="41"/>
      <c r="I51" s="41"/>
      <c r="J51" s="42" t="s">
        <v>100</v>
      </c>
      <c r="K51" s="41" t="s">
        <v>210</v>
      </c>
      <c r="L51" s="43">
        <v>1</v>
      </c>
      <c r="M51" s="43">
        <v>100</v>
      </c>
      <c r="N51" s="43">
        <v>1</v>
      </c>
      <c r="O51" s="44">
        <v>6034.51</v>
      </c>
      <c r="P51" s="44">
        <v>4946.32</v>
      </c>
      <c r="Q51" s="44">
        <v>6034.51</v>
      </c>
      <c r="R51" s="44">
        <v>4946.32</v>
      </c>
      <c r="S51" s="44">
        <v>4827.6099999999997</v>
      </c>
      <c r="T51" s="44">
        <v>3957.06</v>
      </c>
      <c r="U51" s="42"/>
      <c r="V51" s="42"/>
      <c r="W51" s="42" t="s">
        <v>40</v>
      </c>
      <c r="X51" s="45">
        <v>0.16500000000000001</v>
      </c>
      <c r="Y51" s="46">
        <v>5.2999999999999998E-4</v>
      </c>
      <c r="Z51" s="21">
        <v>4601004346000</v>
      </c>
    </row>
    <row r="52" spans="1:26" ht="12" customHeight="1" outlineLevel="4" x14ac:dyDescent="0.2">
      <c r="A52" s="40" t="s">
        <v>401</v>
      </c>
      <c r="B52" s="75" t="s">
        <v>402</v>
      </c>
      <c r="C52" s="51"/>
      <c r="D52" s="54">
        <f t="shared" si="0"/>
        <v>0</v>
      </c>
      <c r="E52" s="61" t="str">
        <f>HYPERLINK("https://www.sds-group.ru/product/rozetka-round-kompyuternaya-rj45-kat6-tv-s-u-shelk-kranz-KR-78-0722-7/", "Инфо")</f>
        <v>Инфо</v>
      </c>
      <c r="F52" s="42" t="s">
        <v>39</v>
      </c>
      <c r="G52" s="41" t="s">
        <v>40</v>
      </c>
      <c r="H52" s="41"/>
      <c r="I52" s="41"/>
      <c r="J52" s="43">
        <v>10</v>
      </c>
      <c r="K52" s="41" t="s">
        <v>210</v>
      </c>
      <c r="L52" s="43">
        <v>1</v>
      </c>
      <c r="M52" s="43">
        <v>100</v>
      </c>
      <c r="N52" s="43">
        <v>1</v>
      </c>
      <c r="O52" s="44">
        <v>2771.7</v>
      </c>
      <c r="P52" s="44">
        <v>2271.89</v>
      </c>
      <c r="Q52" s="44">
        <v>2771.7</v>
      </c>
      <c r="R52" s="44">
        <v>2271.89</v>
      </c>
      <c r="S52" s="44">
        <v>2217.36</v>
      </c>
      <c r="T52" s="44">
        <v>1817.51</v>
      </c>
      <c r="U52" s="42"/>
      <c r="V52" s="42"/>
      <c r="W52" s="42" t="s">
        <v>40</v>
      </c>
      <c r="X52" s="45">
        <v>0.14299999999999999</v>
      </c>
      <c r="Y52" s="46">
        <v>5.2899999999999996E-4</v>
      </c>
      <c r="Z52" s="21">
        <v>4601004345768</v>
      </c>
    </row>
    <row r="53" spans="1:26" ht="12" customHeight="1" outlineLevel="4" x14ac:dyDescent="0.2">
      <c r="A53" s="40" t="s">
        <v>409</v>
      </c>
      <c r="B53" s="75" t="s">
        <v>410</v>
      </c>
      <c r="C53" s="51"/>
      <c r="D53" s="54">
        <f t="shared" si="0"/>
        <v>0</v>
      </c>
      <c r="E53" s="61" t="str">
        <f>HYPERLINK("https://www.sds-group.ru/product/rozetka-round-kompyuternaya-rj45-kat6-s-u-shelk-kranz-KR-78-0724-7/", "Инфо")</f>
        <v>Инфо</v>
      </c>
      <c r="F53" s="42" t="s">
        <v>39</v>
      </c>
      <c r="G53" s="41" t="s">
        <v>40</v>
      </c>
      <c r="H53" s="41"/>
      <c r="I53" s="41"/>
      <c r="J53" s="43">
        <v>182</v>
      </c>
      <c r="K53" s="41" t="s">
        <v>210</v>
      </c>
      <c r="L53" s="43">
        <v>1</v>
      </c>
      <c r="M53" s="43">
        <v>100</v>
      </c>
      <c r="N53" s="43">
        <v>1</v>
      </c>
      <c r="O53" s="44">
        <v>2300.21</v>
      </c>
      <c r="P53" s="44">
        <v>1885.42</v>
      </c>
      <c r="Q53" s="44">
        <v>2300.21</v>
      </c>
      <c r="R53" s="44">
        <v>1885.42</v>
      </c>
      <c r="S53" s="44">
        <v>1840.17</v>
      </c>
      <c r="T53" s="44">
        <v>1508.34</v>
      </c>
      <c r="U53" s="42"/>
      <c r="V53" s="42"/>
      <c r="W53" s="42" t="s">
        <v>40</v>
      </c>
      <c r="X53" s="45">
        <v>0.13200000000000001</v>
      </c>
      <c r="Y53" s="46">
        <v>5.2800000000000004E-4</v>
      </c>
      <c r="Z53" s="21">
        <v>4601004345805</v>
      </c>
    </row>
    <row r="54" spans="1:26" ht="12" customHeight="1" outlineLevel="4" x14ac:dyDescent="0.2">
      <c r="A54" s="40" t="s">
        <v>411</v>
      </c>
      <c r="B54" s="75" t="s">
        <v>412</v>
      </c>
      <c r="C54" s="51"/>
      <c r="D54" s="54">
        <f t="shared" si="0"/>
        <v>0</v>
      </c>
      <c r="E54" s="61" t="str">
        <f>HYPERLINK("https://www.sds-group.ru/product/rozetka-round-kompyuternaya-dvoynaya-rj45-rj45-kat6-s-u-oniks-kranz-KR-78-0725-3/", "Инфо")</f>
        <v>Инфо</v>
      </c>
      <c r="F54" s="42" t="s">
        <v>39</v>
      </c>
      <c r="G54" s="41" t="s">
        <v>40</v>
      </c>
      <c r="H54" s="41"/>
      <c r="I54" s="41"/>
      <c r="J54" s="43">
        <v>492</v>
      </c>
      <c r="K54" s="41"/>
      <c r="L54" s="43">
        <v>1</v>
      </c>
      <c r="M54" s="43">
        <v>100</v>
      </c>
      <c r="N54" s="43">
        <v>1</v>
      </c>
      <c r="O54" s="44">
        <v>5475.85</v>
      </c>
      <c r="P54" s="44">
        <v>4488.3999999999996</v>
      </c>
      <c r="Q54" s="44">
        <v>5475.85</v>
      </c>
      <c r="R54" s="44">
        <v>4488.3999999999996</v>
      </c>
      <c r="S54" s="44">
        <v>4380.68</v>
      </c>
      <c r="T54" s="44">
        <v>3590.72</v>
      </c>
      <c r="U54" s="42"/>
      <c r="V54" s="42"/>
      <c r="W54" s="42" t="s">
        <v>40</v>
      </c>
      <c r="X54" s="45">
        <v>0.14000000000000001</v>
      </c>
      <c r="Y54" s="46">
        <v>5.3200000000000003E-4</v>
      </c>
      <c r="Z54" s="21">
        <v>4601004324718</v>
      </c>
    </row>
    <row r="55" spans="1:26" ht="12" customHeight="1" outlineLevel="4" x14ac:dyDescent="0.2">
      <c r="A55" s="40" t="s">
        <v>413</v>
      </c>
      <c r="B55" s="75" t="s">
        <v>414</v>
      </c>
      <c r="C55" s="51"/>
      <c r="D55" s="54">
        <f t="shared" si="0"/>
        <v>0</v>
      </c>
      <c r="E55" s="61" t="str">
        <f>HYPERLINK("https://www.sds-group.ru/product/rozetka-round-kompyuternaya-dvoynaya-rj45-rj45-kat6-s-u-perlamutr-kranz-KR-78-0725-1/", "Инфо")</f>
        <v>Инфо</v>
      </c>
      <c r="F55" s="42" t="s">
        <v>39</v>
      </c>
      <c r="G55" s="41" t="s">
        <v>40</v>
      </c>
      <c r="H55" s="41"/>
      <c r="I55" s="41"/>
      <c r="J55" s="43">
        <v>300</v>
      </c>
      <c r="K55" s="41"/>
      <c r="L55" s="43">
        <v>1</v>
      </c>
      <c r="M55" s="43">
        <v>100</v>
      </c>
      <c r="N55" s="43">
        <v>1</v>
      </c>
      <c r="O55" s="44">
        <v>4570.8599999999997</v>
      </c>
      <c r="P55" s="44">
        <v>3746.61</v>
      </c>
      <c r="Q55" s="44">
        <v>4570.8599999999997</v>
      </c>
      <c r="R55" s="44">
        <v>3746.61</v>
      </c>
      <c r="S55" s="44">
        <v>3656.69</v>
      </c>
      <c r="T55" s="44">
        <v>2997.29</v>
      </c>
      <c r="U55" s="42"/>
      <c r="V55" s="42"/>
      <c r="W55" s="42" t="s">
        <v>40</v>
      </c>
      <c r="X55" s="45">
        <v>0.14000000000000001</v>
      </c>
      <c r="Y55" s="46">
        <v>5.2800000000000004E-4</v>
      </c>
      <c r="Z55" s="21">
        <v>4601004324787</v>
      </c>
    </row>
    <row r="56" spans="1:26" ht="12" customHeight="1" outlineLevel="4" x14ac:dyDescent="0.2">
      <c r="A56" s="40" t="s">
        <v>421</v>
      </c>
      <c r="B56" s="75" t="s">
        <v>422</v>
      </c>
      <c r="C56" s="51"/>
      <c r="D56" s="54">
        <f t="shared" si="0"/>
        <v>0</v>
      </c>
      <c r="E56" s="61" t="str">
        <f>HYPERLINK("https://www.sds-group.ru/product/svetoregulyator-round-dimmer-300vt-s-u-shelk-kranz-KR-78-0732-7/", "Инфо")</f>
        <v>Инфо</v>
      </c>
      <c r="F56" s="42" t="s">
        <v>39</v>
      </c>
      <c r="G56" s="41" t="s">
        <v>40</v>
      </c>
      <c r="H56" s="41"/>
      <c r="I56" s="41"/>
      <c r="J56" s="43">
        <v>58</v>
      </c>
      <c r="K56" s="41" t="s">
        <v>210</v>
      </c>
      <c r="L56" s="43">
        <v>1</v>
      </c>
      <c r="M56" s="43">
        <v>80</v>
      </c>
      <c r="N56" s="43">
        <v>1</v>
      </c>
      <c r="O56" s="44">
        <v>5184.5</v>
      </c>
      <c r="P56" s="44">
        <v>4249.59</v>
      </c>
      <c r="Q56" s="44">
        <v>5184.5</v>
      </c>
      <c r="R56" s="44">
        <v>4249.59</v>
      </c>
      <c r="S56" s="44">
        <v>4147.6000000000004</v>
      </c>
      <c r="T56" s="44">
        <v>3399.67</v>
      </c>
      <c r="U56" s="42"/>
      <c r="V56" s="42"/>
      <c r="W56" s="42" t="s">
        <v>40</v>
      </c>
      <c r="X56" s="45">
        <v>0.17100000000000001</v>
      </c>
      <c r="Y56" s="46">
        <v>6.5799999999999995E-4</v>
      </c>
      <c r="Z56" s="21">
        <v>4601004345966</v>
      </c>
    </row>
    <row r="57" spans="1:26" ht="12" customHeight="1" outlineLevel="4" x14ac:dyDescent="0.2">
      <c r="A57" s="40" t="s">
        <v>429</v>
      </c>
      <c r="B57" s="75" t="s">
        <v>430</v>
      </c>
      <c r="C57" s="51"/>
      <c r="D57" s="54">
        <f t="shared" si="0"/>
        <v>0</v>
      </c>
      <c r="E57" s="61" t="str">
        <f>HYPERLINK("https://www.sds-group.ru/product/termoregulyator-round-wi-fi-s-u-shelk-kranz-KR-78-0728-7/", "Инфо")</f>
        <v>Инфо</v>
      </c>
      <c r="F57" s="42" t="s">
        <v>39</v>
      </c>
      <c r="G57" s="41" t="s">
        <v>40</v>
      </c>
      <c r="H57" s="41"/>
      <c r="I57" s="41"/>
      <c r="J57" s="42" t="s">
        <v>100</v>
      </c>
      <c r="K57" s="41" t="s">
        <v>210</v>
      </c>
      <c r="L57" s="43">
        <v>1</v>
      </c>
      <c r="M57" s="43">
        <v>60</v>
      </c>
      <c r="N57" s="43">
        <v>1</v>
      </c>
      <c r="O57" s="44">
        <v>18119</v>
      </c>
      <c r="P57" s="44">
        <v>14851.64</v>
      </c>
      <c r="Q57" s="44">
        <v>18119</v>
      </c>
      <c r="R57" s="44">
        <v>14851.64</v>
      </c>
      <c r="S57" s="44">
        <v>14495.2</v>
      </c>
      <c r="T57" s="44">
        <v>11881.31</v>
      </c>
      <c r="U57" s="42"/>
      <c r="V57" s="42"/>
      <c r="W57" s="42" t="s">
        <v>40</v>
      </c>
      <c r="X57" s="45">
        <v>0.28199999999999997</v>
      </c>
      <c r="Y57" s="46">
        <v>8.8999999999999995E-4</v>
      </c>
      <c r="Z57" s="21">
        <v>4601004345881</v>
      </c>
    </row>
    <row r="58" spans="1:26" ht="12.95" customHeight="1" outlineLevel="3" x14ac:dyDescent="0.2">
      <c r="A58" s="76" t="s">
        <v>431</v>
      </c>
      <c r="B58" s="76"/>
      <c r="C58" s="77"/>
      <c r="D58" s="58"/>
      <c r="E58" s="68"/>
      <c r="F58" s="30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 spans="1:26" ht="12" customHeight="1" outlineLevel="4" x14ac:dyDescent="0.2">
      <c r="A59" s="40" t="s">
        <v>432</v>
      </c>
      <c r="B59" s="75" t="s">
        <v>433</v>
      </c>
      <c r="C59" s="51"/>
      <c r="D59" s="54">
        <f t="shared" si="0"/>
        <v>0</v>
      </c>
      <c r="E59" s="61" t="str">
        <f>HYPERLINK("https://www.sds-group.ru/product/vyvod-kabelya-strong-grafit-kranz-KR-78-0736-6/", "Инфо")</f>
        <v>Инфо</v>
      </c>
      <c r="F59" s="42" t="s">
        <v>39</v>
      </c>
      <c r="G59" s="41" t="s">
        <v>40</v>
      </c>
      <c r="H59" s="41"/>
      <c r="I59" s="41"/>
      <c r="J59" s="43">
        <v>405</v>
      </c>
      <c r="K59" s="41"/>
      <c r="L59" s="43">
        <v>1</v>
      </c>
      <c r="M59" s="43">
        <v>80</v>
      </c>
      <c r="N59" s="43">
        <v>1</v>
      </c>
      <c r="O59" s="44">
        <v>850</v>
      </c>
      <c r="P59" s="44">
        <v>696.72</v>
      </c>
      <c r="Q59" s="44">
        <v>850</v>
      </c>
      <c r="R59" s="44">
        <v>696.72</v>
      </c>
      <c r="S59" s="44">
        <v>680</v>
      </c>
      <c r="T59" s="44">
        <v>557.38</v>
      </c>
      <c r="U59" s="42"/>
      <c r="V59" s="42"/>
      <c r="W59" s="42" t="s">
        <v>40</v>
      </c>
      <c r="X59" s="45">
        <v>0.14899999999999999</v>
      </c>
      <c r="Y59" s="46">
        <v>6.7900000000000002E-4</v>
      </c>
      <c r="Z59" s="21">
        <v>4601004338661</v>
      </c>
    </row>
    <row r="60" spans="1:26" ht="12" customHeight="1" outlineLevel="4" x14ac:dyDescent="0.2">
      <c r="A60" s="40" t="s">
        <v>434</v>
      </c>
      <c r="B60" s="75" t="s">
        <v>435</v>
      </c>
      <c r="C60" s="51"/>
      <c r="D60" s="54">
        <f t="shared" si="0"/>
        <v>0</v>
      </c>
      <c r="E60" s="61" t="str">
        <f>HYPERLINK("https://www.sds-group.ru/product/vyvod-kabelya-strong-zhemchug-kranz-KR-78-0736-4/", "Инфо")</f>
        <v>Инфо</v>
      </c>
      <c r="F60" s="42" t="s">
        <v>39</v>
      </c>
      <c r="G60" s="41" t="s">
        <v>40</v>
      </c>
      <c r="H60" s="41"/>
      <c r="I60" s="41"/>
      <c r="J60" s="43">
        <v>396</v>
      </c>
      <c r="K60" s="41"/>
      <c r="L60" s="43">
        <v>1</v>
      </c>
      <c r="M60" s="43">
        <v>80</v>
      </c>
      <c r="N60" s="43">
        <v>1</v>
      </c>
      <c r="O60" s="44">
        <v>727.72</v>
      </c>
      <c r="P60" s="44">
        <v>596.49</v>
      </c>
      <c r="Q60" s="44">
        <v>727.72</v>
      </c>
      <c r="R60" s="44">
        <v>596.49</v>
      </c>
      <c r="S60" s="44">
        <v>582.17999999999995</v>
      </c>
      <c r="T60" s="44">
        <v>477.2</v>
      </c>
      <c r="U60" s="42"/>
      <c r="V60" s="42"/>
      <c r="W60" s="42" t="s">
        <v>40</v>
      </c>
      <c r="X60" s="45">
        <v>0.14899999999999999</v>
      </c>
      <c r="Y60" s="46">
        <v>6.7100000000000005E-4</v>
      </c>
      <c r="Z60" s="21">
        <v>4601004338692</v>
      </c>
    </row>
    <row r="61" spans="1:26" ht="12" customHeight="1" outlineLevel="4" x14ac:dyDescent="0.2">
      <c r="A61" s="40" t="s">
        <v>436</v>
      </c>
      <c r="B61" s="75" t="s">
        <v>437</v>
      </c>
      <c r="C61" s="51"/>
      <c r="D61" s="54">
        <f t="shared" si="0"/>
        <v>0</v>
      </c>
      <c r="E61" s="61" t="str">
        <f>HYPERLINK("https://www.sds-group.ru/product/vyvod-kabelya-strong-shelk-kranz-KR-78-0736-8/", "Инфо")</f>
        <v>Инфо</v>
      </c>
      <c r="F61" s="42" t="s">
        <v>39</v>
      </c>
      <c r="G61" s="41" t="s">
        <v>40</v>
      </c>
      <c r="H61" s="41"/>
      <c r="I61" s="41"/>
      <c r="J61" s="43">
        <v>65</v>
      </c>
      <c r="K61" s="41" t="s">
        <v>210</v>
      </c>
      <c r="L61" s="43">
        <v>1</v>
      </c>
      <c r="M61" s="43">
        <v>100</v>
      </c>
      <c r="N61" s="43">
        <v>1</v>
      </c>
      <c r="O61" s="44">
        <v>850</v>
      </c>
      <c r="P61" s="44">
        <v>696.72</v>
      </c>
      <c r="Q61" s="44">
        <v>850</v>
      </c>
      <c r="R61" s="44">
        <v>696.72</v>
      </c>
      <c r="S61" s="44">
        <v>680</v>
      </c>
      <c r="T61" s="44">
        <v>557.38</v>
      </c>
      <c r="U61" s="42"/>
      <c r="V61" s="42"/>
      <c r="W61" s="42" t="s">
        <v>40</v>
      </c>
      <c r="X61" s="45">
        <v>0.14399999999999999</v>
      </c>
      <c r="Y61" s="46">
        <v>6.5700000000000003E-4</v>
      </c>
      <c r="Z61" s="21">
        <v>4601004349766</v>
      </c>
    </row>
    <row r="62" spans="1:26" ht="12" customHeight="1" outlineLevel="4" x14ac:dyDescent="0.2">
      <c r="A62" s="40" t="s">
        <v>444</v>
      </c>
      <c r="B62" s="75" t="s">
        <v>445</v>
      </c>
      <c r="C62" s="51"/>
      <c r="D62" s="54">
        <f t="shared" si="0"/>
        <v>0</v>
      </c>
      <c r="E62" s="61" t="str">
        <f>HYPERLINK("https://www.sds-group.ru/product/vyklyuchatel-strong-1-kl-10a-s-u-shelk-kranz-KR-78-0705-8/", "Инфо")</f>
        <v>Инфо</v>
      </c>
      <c r="F62" s="42" t="s">
        <v>39</v>
      </c>
      <c r="G62" s="41" t="s">
        <v>40</v>
      </c>
      <c r="H62" s="41"/>
      <c r="I62" s="41"/>
      <c r="J62" s="47">
        <v>1072</v>
      </c>
      <c r="K62" s="41" t="s">
        <v>210</v>
      </c>
      <c r="L62" s="43">
        <v>1</v>
      </c>
      <c r="M62" s="43">
        <v>100</v>
      </c>
      <c r="N62" s="43">
        <v>1</v>
      </c>
      <c r="O62" s="44">
        <v>909.72</v>
      </c>
      <c r="P62" s="44">
        <v>745.67</v>
      </c>
      <c r="Q62" s="44">
        <v>909.72</v>
      </c>
      <c r="R62" s="44">
        <v>745.67</v>
      </c>
      <c r="S62" s="44">
        <v>727.78</v>
      </c>
      <c r="T62" s="44">
        <v>596.54</v>
      </c>
      <c r="U62" s="42"/>
      <c r="V62" s="42"/>
      <c r="W62" s="42" t="s">
        <v>40</v>
      </c>
      <c r="X62" s="45">
        <v>0.15</v>
      </c>
      <c r="Y62" s="46">
        <v>5.1599999999999997E-4</v>
      </c>
      <c r="Z62" s="21">
        <v>4601004349568</v>
      </c>
    </row>
    <row r="63" spans="1:26" ht="12" customHeight="1" outlineLevel="4" x14ac:dyDescent="0.2">
      <c r="A63" s="40" t="s">
        <v>452</v>
      </c>
      <c r="B63" s="75" t="s">
        <v>453</v>
      </c>
      <c r="C63" s="51"/>
      <c r="D63" s="54">
        <f t="shared" si="0"/>
        <v>0</v>
      </c>
      <c r="E63" s="61" t="str">
        <f>HYPERLINK("https://www.sds-group.ru/product/vyklyuchatel-strong-1-kl-vozvratnyy-10a-s-u-shelk-kranz-KR-78-0712-8/", "Инфо")</f>
        <v>Инфо</v>
      </c>
      <c r="F63" s="42" t="s">
        <v>39</v>
      </c>
      <c r="G63" s="41" t="s">
        <v>40</v>
      </c>
      <c r="H63" s="41"/>
      <c r="I63" s="41"/>
      <c r="J63" s="43">
        <v>98</v>
      </c>
      <c r="K63" s="41" t="s">
        <v>210</v>
      </c>
      <c r="L63" s="43">
        <v>1</v>
      </c>
      <c r="M63" s="43">
        <v>100</v>
      </c>
      <c r="N63" s="43">
        <v>1</v>
      </c>
      <c r="O63" s="44">
        <v>1436.08</v>
      </c>
      <c r="P63" s="44">
        <v>1177.1099999999999</v>
      </c>
      <c r="Q63" s="44">
        <v>1436.08</v>
      </c>
      <c r="R63" s="44">
        <v>1177.1099999999999</v>
      </c>
      <c r="S63" s="44">
        <v>1148.8599999999999</v>
      </c>
      <c r="T63" s="44">
        <v>941.69</v>
      </c>
      <c r="U63" s="42"/>
      <c r="V63" s="42"/>
      <c r="W63" s="42" t="s">
        <v>40</v>
      </c>
      <c r="X63" s="45">
        <v>0.151</v>
      </c>
      <c r="Y63" s="46">
        <v>5.3200000000000003E-4</v>
      </c>
      <c r="Z63" s="21">
        <v>4601004349421</v>
      </c>
    </row>
    <row r="64" spans="1:26" ht="12" customHeight="1" outlineLevel="4" x14ac:dyDescent="0.2">
      <c r="A64" s="40" t="s">
        <v>460</v>
      </c>
      <c r="B64" s="75" t="s">
        <v>461</v>
      </c>
      <c r="C64" s="51"/>
      <c r="D64" s="54">
        <f t="shared" si="0"/>
        <v>0</v>
      </c>
      <c r="E64" s="61" t="str">
        <f>HYPERLINK("https://www.sds-group.ru/product/vyklyuchatel-strong-1-kl-perekrestnyy-pereklyuchatel-10a-s-u-shelk-kranz-KR-78-0710-8/", "Инфо")</f>
        <v>Инфо</v>
      </c>
      <c r="F64" s="42" t="s">
        <v>39</v>
      </c>
      <c r="G64" s="41" t="s">
        <v>40</v>
      </c>
      <c r="H64" s="41"/>
      <c r="I64" s="41"/>
      <c r="J64" s="42" t="s">
        <v>100</v>
      </c>
      <c r="K64" s="41" t="s">
        <v>210</v>
      </c>
      <c r="L64" s="43">
        <v>1</v>
      </c>
      <c r="M64" s="43">
        <v>100</v>
      </c>
      <c r="N64" s="43">
        <v>1</v>
      </c>
      <c r="O64" s="44">
        <v>1772.01</v>
      </c>
      <c r="P64" s="44">
        <v>1452.47</v>
      </c>
      <c r="Q64" s="44">
        <v>1772.01</v>
      </c>
      <c r="R64" s="44">
        <v>1452.47</v>
      </c>
      <c r="S64" s="44">
        <v>1417.61</v>
      </c>
      <c r="T64" s="44">
        <v>1161.98</v>
      </c>
      <c r="U64" s="42"/>
      <c r="V64" s="42"/>
      <c r="W64" s="42" t="s">
        <v>40</v>
      </c>
      <c r="X64" s="45">
        <v>0.151</v>
      </c>
      <c r="Y64" s="46">
        <v>5.22E-4</v>
      </c>
      <c r="Z64" s="21">
        <v>4601004349469</v>
      </c>
    </row>
    <row r="65" spans="1:26" ht="12" customHeight="1" outlineLevel="4" x14ac:dyDescent="0.2">
      <c r="A65" s="40" t="s">
        <v>474</v>
      </c>
      <c r="B65" s="75" t="s">
        <v>475</v>
      </c>
      <c r="C65" s="51"/>
      <c r="D65" s="54">
        <f t="shared" si="0"/>
        <v>0</v>
      </c>
      <c r="E65" s="61" t="str">
        <f>HYPERLINK("https://www.sds-group.ru/product/vyklyuchatel-strong-1-kl-prohodnoy-pereklyuchatel-10a-s-u-shelk-kranz-KR-78-0708-8/", "Инфо")</f>
        <v>Инфо</v>
      </c>
      <c r="F65" s="42" t="s">
        <v>39</v>
      </c>
      <c r="G65" s="41" t="s">
        <v>40</v>
      </c>
      <c r="H65" s="41"/>
      <c r="I65" s="41"/>
      <c r="J65" s="43">
        <v>266</v>
      </c>
      <c r="K65" s="41" t="s">
        <v>476</v>
      </c>
      <c r="L65" s="43">
        <v>1</v>
      </c>
      <c r="M65" s="43">
        <v>100</v>
      </c>
      <c r="N65" s="43">
        <v>1</v>
      </c>
      <c r="O65" s="44">
        <v>1240.4000000000001</v>
      </c>
      <c r="P65" s="44">
        <v>1016.72</v>
      </c>
      <c r="Q65" s="44">
        <v>1240.4000000000001</v>
      </c>
      <c r="R65" s="44">
        <v>1016.72</v>
      </c>
      <c r="S65" s="44">
        <v>992.32</v>
      </c>
      <c r="T65" s="44">
        <v>813.38</v>
      </c>
      <c r="U65" s="42"/>
      <c r="V65" s="42"/>
      <c r="W65" s="42" t="s">
        <v>40</v>
      </c>
      <c r="X65" s="45">
        <v>0.152</v>
      </c>
      <c r="Y65" s="46">
        <v>5.4199999999999995E-4</v>
      </c>
      <c r="Z65" s="21">
        <v>4601004349506</v>
      </c>
    </row>
    <row r="66" spans="1:26" ht="12" customHeight="1" outlineLevel="4" x14ac:dyDescent="0.2">
      <c r="A66" s="40" t="s">
        <v>483</v>
      </c>
      <c r="B66" s="75" t="s">
        <v>484</v>
      </c>
      <c r="C66" s="51"/>
      <c r="D66" s="54">
        <f t="shared" si="0"/>
        <v>0</v>
      </c>
      <c r="E66" s="61" t="str">
        <f>HYPERLINK("https://www.sds-group.ru/product/vyklyuchatel-strong-1-kl-prohodnoy-pereklyuchatel-s-podsvetkoy-10a-s-u-shelk-kranz-KR-78-0716-8/", "Инфо")</f>
        <v>Инфо</v>
      </c>
      <c r="F66" s="42" t="s">
        <v>39</v>
      </c>
      <c r="G66" s="41" t="s">
        <v>40</v>
      </c>
      <c r="H66" s="41"/>
      <c r="I66" s="41"/>
      <c r="J66" s="43">
        <v>66</v>
      </c>
      <c r="K66" s="41" t="s">
        <v>476</v>
      </c>
      <c r="L66" s="43">
        <v>1</v>
      </c>
      <c r="M66" s="43">
        <v>100</v>
      </c>
      <c r="N66" s="43">
        <v>1</v>
      </c>
      <c r="O66" s="44">
        <v>1352.43</v>
      </c>
      <c r="P66" s="44">
        <v>1108.55</v>
      </c>
      <c r="Q66" s="44">
        <v>1352.43</v>
      </c>
      <c r="R66" s="44">
        <v>1108.55</v>
      </c>
      <c r="S66" s="44">
        <v>1081.94</v>
      </c>
      <c r="T66" s="44">
        <v>886.84</v>
      </c>
      <c r="U66" s="42"/>
      <c r="V66" s="42"/>
      <c r="W66" s="42" t="s">
        <v>40</v>
      </c>
      <c r="X66" s="45">
        <v>0.153</v>
      </c>
      <c r="Y66" s="46">
        <v>5.31E-4</v>
      </c>
      <c r="Z66" s="21">
        <v>4601004349346</v>
      </c>
    </row>
    <row r="67" spans="1:26" ht="12" customHeight="1" outlineLevel="4" x14ac:dyDescent="0.2">
      <c r="A67" s="40" t="s">
        <v>491</v>
      </c>
      <c r="B67" s="75" t="s">
        <v>492</v>
      </c>
      <c r="C67" s="51"/>
      <c r="D67" s="54">
        <f t="shared" si="0"/>
        <v>0</v>
      </c>
      <c r="E67" s="61" t="str">
        <f>HYPERLINK("https://www.sds-group.ru/product/vyklyuchatel-strong-1-kl-s-podsvetkoy-10a-s-u-shelk-kranz-KR-78-0713-8/", "Инфо")</f>
        <v>Инфо</v>
      </c>
      <c r="F67" s="42" t="s">
        <v>39</v>
      </c>
      <c r="G67" s="41" t="s">
        <v>40</v>
      </c>
      <c r="H67" s="41"/>
      <c r="I67" s="41"/>
      <c r="J67" s="43">
        <v>74</v>
      </c>
      <c r="K67" s="41" t="s">
        <v>210</v>
      </c>
      <c r="L67" s="43">
        <v>1</v>
      </c>
      <c r="M67" s="43">
        <v>100</v>
      </c>
      <c r="N67" s="43">
        <v>1</v>
      </c>
      <c r="O67" s="44">
        <v>1169.99</v>
      </c>
      <c r="P67" s="44">
        <v>959.01</v>
      </c>
      <c r="Q67" s="44">
        <v>1169.99</v>
      </c>
      <c r="R67" s="44">
        <v>959.01</v>
      </c>
      <c r="S67" s="44">
        <v>935.99</v>
      </c>
      <c r="T67" s="44">
        <v>767.2</v>
      </c>
      <c r="U67" s="42"/>
      <c r="V67" s="42"/>
      <c r="W67" s="42" t="s">
        <v>40</v>
      </c>
      <c r="X67" s="45">
        <v>0.151</v>
      </c>
      <c r="Y67" s="46">
        <v>5.3799999999999996E-4</v>
      </c>
      <c r="Z67" s="21">
        <v>4601004349407</v>
      </c>
    </row>
    <row r="68" spans="1:26" ht="12" customHeight="1" outlineLevel="4" x14ac:dyDescent="0.2">
      <c r="A68" s="40" t="s">
        <v>499</v>
      </c>
      <c r="B68" s="75" t="s">
        <v>500</v>
      </c>
      <c r="C68" s="51"/>
      <c r="D68" s="54">
        <f t="shared" si="0"/>
        <v>0</v>
      </c>
      <c r="E68" s="61" t="str">
        <f>HYPERLINK("https://www.sds-group.ru/product/vyklyuchatel-strong-2-kl-10a-s-u-shelk-kranz-KR-78-0706-8/", "Инфо")</f>
        <v>Инфо</v>
      </c>
      <c r="F68" s="42" t="s">
        <v>39</v>
      </c>
      <c r="G68" s="41" t="s">
        <v>40</v>
      </c>
      <c r="H68" s="41"/>
      <c r="I68" s="41"/>
      <c r="J68" s="43">
        <v>375</v>
      </c>
      <c r="K68" s="41" t="s">
        <v>210</v>
      </c>
      <c r="L68" s="43">
        <v>1</v>
      </c>
      <c r="M68" s="43">
        <v>100</v>
      </c>
      <c r="N68" s="43">
        <v>1</v>
      </c>
      <c r="O68" s="44">
        <v>1397.83</v>
      </c>
      <c r="P68" s="44">
        <v>1145.76</v>
      </c>
      <c r="Q68" s="44">
        <v>1397.83</v>
      </c>
      <c r="R68" s="44">
        <v>1145.76</v>
      </c>
      <c r="S68" s="44">
        <v>1118.26</v>
      </c>
      <c r="T68" s="44">
        <v>916.61</v>
      </c>
      <c r="U68" s="42"/>
      <c r="V68" s="42"/>
      <c r="W68" s="42" t="s">
        <v>40</v>
      </c>
      <c r="X68" s="45">
        <v>0.156</v>
      </c>
      <c r="Y68" s="46">
        <v>5.31E-4</v>
      </c>
      <c r="Z68" s="21">
        <v>4601004349544</v>
      </c>
    </row>
    <row r="69" spans="1:26" ht="12" customHeight="1" outlineLevel="4" x14ac:dyDescent="0.2">
      <c r="A69" s="40" t="s">
        <v>507</v>
      </c>
      <c r="B69" s="75" t="s">
        <v>508</v>
      </c>
      <c r="C69" s="51"/>
      <c r="D69" s="54">
        <f t="shared" si="0"/>
        <v>0</v>
      </c>
      <c r="E69" s="61" t="str">
        <f>HYPERLINK("https://www.sds-group.ru/product/vyklyuchatel-strong-2-kl-dlya-zhalyuzi-vozvratnyy-10a-s-u-shelk-kranz-KR-78-0711-8/", "Инфо")</f>
        <v>Инфо</v>
      </c>
      <c r="F69" s="42" t="s">
        <v>39</v>
      </c>
      <c r="G69" s="41" t="s">
        <v>40</v>
      </c>
      <c r="H69" s="41"/>
      <c r="I69" s="41"/>
      <c r="J69" s="43">
        <v>197</v>
      </c>
      <c r="K69" s="41"/>
      <c r="L69" s="43">
        <v>1</v>
      </c>
      <c r="M69" s="43">
        <v>100</v>
      </c>
      <c r="N69" s="43">
        <v>1</v>
      </c>
      <c r="O69" s="44">
        <v>1455.58</v>
      </c>
      <c r="P69" s="44">
        <v>1193.0999999999999</v>
      </c>
      <c r="Q69" s="44">
        <v>1455.58</v>
      </c>
      <c r="R69" s="44">
        <v>1193.0999999999999</v>
      </c>
      <c r="S69" s="44">
        <v>1164.46</v>
      </c>
      <c r="T69" s="44">
        <v>954.48</v>
      </c>
      <c r="U69" s="42"/>
      <c r="V69" s="42"/>
      <c r="W69" s="42" t="s">
        <v>40</v>
      </c>
      <c r="X69" s="45">
        <v>0.156</v>
      </c>
      <c r="Y69" s="46">
        <v>5.3499999999999999E-4</v>
      </c>
      <c r="Z69" s="21">
        <v>4601004349445</v>
      </c>
    </row>
    <row r="70" spans="1:26" ht="12" customHeight="1" outlineLevel="4" x14ac:dyDescent="0.2">
      <c r="A70" s="40" t="s">
        <v>509</v>
      </c>
      <c r="B70" s="75" t="s">
        <v>510</v>
      </c>
      <c r="C70" s="51"/>
      <c r="D70" s="54">
        <f t="shared" si="0"/>
        <v>0</v>
      </c>
      <c r="E70" s="61" t="str">
        <f>HYPERLINK("https://www.sds-group.ru/product/vyklyuchatel-strong-2-kl-perekrestnyy-pereklyuchatel-10a-s-u-antratsit-kranz-KR-78-0733-5/", "Инфо")</f>
        <v>Инфо</v>
      </c>
      <c r="F70" s="42" t="s">
        <v>39</v>
      </c>
      <c r="G70" s="41" t="s">
        <v>40</v>
      </c>
      <c r="H70" s="41"/>
      <c r="I70" s="41"/>
      <c r="J70" s="43">
        <v>780</v>
      </c>
      <c r="K70" s="41"/>
      <c r="L70" s="43">
        <v>1</v>
      </c>
      <c r="M70" s="43">
        <v>100</v>
      </c>
      <c r="N70" s="43">
        <v>1</v>
      </c>
      <c r="O70" s="44">
        <v>2667.88</v>
      </c>
      <c r="P70" s="44">
        <v>2186.79</v>
      </c>
      <c r="Q70" s="44">
        <v>2667.88</v>
      </c>
      <c r="R70" s="44">
        <v>2186.79</v>
      </c>
      <c r="S70" s="44">
        <v>2134.3000000000002</v>
      </c>
      <c r="T70" s="44">
        <v>1749.43</v>
      </c>
      <c r="U70" s="42"/>
      <c r="V70" s="42"/>
      <c r="W70" s="42" t="s">
        <v>40</v>
      </c>
      <c r="X70" s="45">
        <v>0.159</v>
      </c>
      <c r="Y70" s="46">
        <v>5.3399999999999997E-4</v>
      </c>
      <c r="Z70" s="21">
        <v>4601004338807</v>
      </c>
    </row>
    <row r="71" spans="1:26" ht="12" customHeight="1" outlineLevel="4" x14ac:dyDescent="0.2">
      <c r="A71" s="40" t="s">
        <v>511</v>
      </c>
      <c r="B71" s="75" t="s">
        <v>512</v>
      </c>
      <c r="C71" s="51"/>
      <c r="D71" s="54">
        <f t="shared" si="0"/>
        <v>0</v>
      </c>
      <c r="E71" s="61" t="str">
        <f>HYPERLINK("https://www.sds-group.ru/product/vyklyuchatel-strong-2-kl-perekrestnyy-pereklyuchatel-10a-s-u-grafit-kranz-KR-78-0733-6/", "Инфо")</f>
        <v>Инфо</v>
      </c>
      <c r="F71" s="42" t="s">
        <v>39</v>
      </c>
      <c r="G71" s="41" t="s">
        <v>40</v>
      </c>
      <c r="H71" s="41"/>
      <c r="I71" s="41"/>
      <c r="J71" s="47">
        <v>1059</v>
      </c>
      <c r="K71" s="41"/>
      <c r="L71" s="43">
        <v>1</v>
      </c>
      <c r="M71" s="43">
        <v>100</v>
      </c>
      <c r="N71" s="43">
        <v>1</v>
      </c>
      <c r="O71" s="44">
        <v>2598.2800000000002</v>
      </c>
      <c r="P71" s="44">
        <v>2129.7399999999998</v>
      </c>
      <c r="Q71" s="44">
        <v>2598.2800000000002</v>
      </c>
      <c r="R71" s="44">
        <v>2129.7399999999998</v>
      </c>
      <c r="S71" s="44">
        <v>2078.62</v>
      </c>
      <c r="T71" s="44">
        <v>1703.79</v>
      </c>
      <c r="U71" s="42"/>
      <c r="V71" s="42"/>
      <c r="W71" s="42" t="s">
        <v>40</v>
      </c>
      <c r="X71" s="45">
        <v>0.159</v>
      </c>
      <c r="Y71" s="46">
        <v>5.2800000000000004E-4</v>
      </c>
      <c r="Z71" s="21">
        <v>4601004338746</v>
      </c>
    </row>
    <row r="72" spans="1:26" ht="12" customHeight="1" outlineLevel="4" x14ac:dyDescent="0.2">
      <c r="A72" s="40" t="s">
        <v>513</v>
      </c>
      <c r="B72" s="75" t="s">
        <v>514</v>
      </c>
      <c r="C72" s="51"/>
      <c r="D72" s="54">
        <f t="shared" si="0"/>
        <v>0</v>
      </c>
      <c r="E72" s="61" t="str">
        <f>HYPERLINK("https://www.sds-group.ru/product/vyklyuchatel-strong-2-kl-perekrestnyy-pereklyuchatel-10a-s-u-zhemchug-kranz-KR-78-0733-4/", "Инфо")</f>
        <v>Инфо</v>
      </c>
      <c r="F72" s="42" t="s">
        <v>39</v>
      </c>
      <c r="G72" s="41" t="s">
        <v>40</v>
      </c>
      <c r="H72" s="41"/>
      <c r="I72" s="41"/>
      <c r="J72" s="43">
        <v>792</v>
      </c>
      <c r="K72" s="41"/>
      <c r="L72" s="43">
        <v>1</v>
      </c>
      <c r="M72" s="43">
        <v>100</v>
      </c>
      <c r="N72" s="43">
        <v>1</v>
      </c>
      <c r="O72" s="44">
        <v>2224.0700000000002</v>
      </c>
      <c r="P72" s="44">
        <v>1823.01</v>
      </c>
      <c r="Q72" s="44">
        <v>2224.0700000000002</v>
      </c>
      <c r="R72" s="44">
        <v>1823.01</v>
      </c>
      <c r="S72" s="44">
        <v>1779.26</v>
      </c>
      <c r="T72" s="44">
        <v>1458.41</v>
      </c>
      <c r="U72" s="42"/>
      <c r="V72" s="42"/>
      <c r="W72" s="42" t="s">
        <v>40</v>
      </c>
      <c r="X72" s="45">
        <v>0.159</v>
      </c>
      <c r="Y72" s="46">
        <v>5.3200000000000003E-4</v>
      </c>
      <c r="Z72" s="21">
        <v>4601004338739</v>
      </c>
    </row>
    <row r="73" spans="1:26" ht="12" customHeight="1" outlineLevel="4" x14ac:dyDescent="0.2">
      <c r="A73" s="40" t="s">
        <v>515</v>
      </c>
      <c r="B73" s="75" t="s">
        <v>516</v>
      </c>
      <c r="C73" s="51"/>
      <c r="D73" s="54">
        <f t="shared" si="0"/>
        <v>0</v>
      </c>
      <c r="E73" s="61" t="str">
        <f>HYPERLINK("https://www.sds-group.ru/product/vyklyuchatel-strong-2-kl-perekrestnyy-pereklyuchatel-10a-s-u-shelk-kranz-KR-78-0733-8/", "Инфо")</f>
        <v>Инфо</v>
      </c>
      <c r="F73" s="42" t="s">
        <v>39</v>
      </c>
      <c r="G73" s="41" t="s">
        <v>40</v>
      </c>
      <c r="H73" s="41"/>
      <c r="I73" s="41"/>
      <c r="J73" s="43">
        <v>290</v>
      </c>
      <c r="K73" s="41"/>
      <c r="L73" s="43">
        <v>1</v>
      </c>
      <c r="M73" s="43">
        <v>100</v>
      </c>
      <c r="N73" s="43">
        <v>1</v>
      </c>
      <c r="O73" s="44">
        <v>2598.2800000000002</v>
      </c>
      <c r="P73" s="44">
        <v>2129.7399999999998</v>
      </c>
      <c r="Q73" s="44">
        <v>2598.2800000000002</v>
      </c>
      <c r="R73" s="44">
        <v>2129.7399999999998</v>
      </c>
      <c r="S73" s="44">
        <v>2078.62</v>
      </c>
      <c r="T73" s="44">
        <v>1703.79</v>
      </c>
      <c r="U73" s="42"/>
      <c r="V73" s="42"/>
      <c r="W73" s="42" t="s">
        <v>40</v>
      </c>
      <c r="X73" s="45">
        <v>0.158</v>
      </c>
      <c r="Y73" s="46">
        <v>5.3300000000000005E-4</v>
      </c>
      <c r="Z73" s="21">
        <v>4601004349247</v>
      </c>
    </row>
    <row r="74" spans="1:26" ht="12" customHeight="1" outlineLevel="4" x14ac:dyDescent="0.2">
      <c r="A74" s="40" t="s">
        <v>523</v>
      </c>
      <c r="B74" s="75" t="s">
        <v>524</v>
      </c>
      <c r="C74" s="51"/>
      <c r="D74" s="54">
        <f t="shared" si="0"/>
        <v>0</v>
      </c>
      <c r="E74" s="61" t="str">
        <f>HYPERLINK("https://www.sds-group.ru/product/vyklyuchatel-strong-2-kl-prohodnoy-pereklyuchatel-10a-s-u-shelk-kranz-KR-78-0709-8/", "Инфо")</f>
        <v>Инфо</v>
      </c>
      <c r="F74" s="42" t="s">
        <v>39</v>
      </c>
      <c r="G74" s="41" t="s">
        <v>40</v>
      </c>
      <c r="H74" s="41"/>
      <c r="I74" s="41"/>
      <c r="J74" s="43">
        <v>441</v>
      </c>
      <c r="K74" s="41" t="s">
        <v>210</v>
      </c>
      <c r="L74" s="43">
        <v>1</v>
      </c>
      <c r="M74" s="43">
        <v>100</v>
      </c>
      <c r="N74" s="43">
        <v>1</v>
      </c>
      <c r="O74" s="44">
        <v>1955.95</v>
      </c>
      <c r="P74" s="44">
        <v>1603.24</v>
      </c>
      <c r="Q74" s="44">
        <v>1955.95</v>
      </c>
      <c r="R74" s="44">
        <v>1603.24</v>
      </c>
      <c r="S74" s="44">
        <v>1564.76</v>
      </c>
      <c r="T74" s="44">
        <v>1282.5899999999999</v>
      </c>
      <c r="U74" s="42"/>
      <c r="V74" s="42"/>
      <c r="W74" s="42" t="s">
        <v>40</v>
      </c>
      <c r="X74" s="45">
        <v>0.16300000000000001</v>
      </c>
      <c r="Y74" s="46">
        <v>5.3200000000000003E-4</v>
      </c>
      <c r="Z74" s="21">
        <v>4601004349483</v>
      </c>
    </row>
    <row r="75" spans="1:26" ht="12" customHeight="1" outlineLevel="4" x14ac:dyDescent="0.2">
      <c r="A75" s="40" t="s">
        <v>525</v>
      </c>
      <c r="B75" s="75" t="s">
        <v>526</v>
      </c>
      <c r="C75" s="51"/>
      <c r="D75" s="54">
        <f t="shared" si="0"/>
        <v>0</v>
      </c>
      <c r="E75" s="61" t="str">
        <f>HYPERLINK("https://www.sds-group.ru/product/vyklyuchatel-strong-2-kl-prohodnoy-pereklyuchatel-s-podsvetkoy-10a-s-u-shelk-kranz-KR-78-0717-8/", "Инфо")</f>
        <v>Инфо</v>
      </c>
      <c r="F75" s="42" t="s">
        <v>39</v>
      </c>
      <c r="G75" s="41" t="s">
        <v>40</v>
      </c>
      <c r="H75" s="41"/>
      <c r="I75" s="41"/>
      <c r="J75" s="43">
        <v>162</v>
      </c>
      <c r="K75" s="41" t="s">
        <v>476</v>
      </c>
      <c r="L75" s="43">
        <v>1</v>
      </c>
      <c r="M75" s="43">
        <v>100</v>
      </c>
      <c r="N75" s="43">
        <v>1</v>
      </c>
      <c r="O75" s="44">
        <v>1523.75</v>
      </c>
      <c r="P75" s="44">
        <v>1248.98</v>
      </c>
      <c r="Q75" s="44">
        <v>1523.75</v>
      </c>
      <c r="R75" s="44">
        <v>1248.98</v>
      </c>
      <c r="S75" s="44">
        <v>1219</v>
      </c>
      <c r="T75" s="44">
        <v>999.18</v>
      </c>
      <c r="U75" s="42"/>
      <c r="V75" s="42"/>
      <c r="W75" s="42" t="s">
        <v>40</v>
      </c>
      <c r="X75" s="45">
        <v>0.16300000000000001</v>
      </c>
      <c r="Y75" s="46">
        <v>5.2700000000000002E-4</v>
      </c>
      <c r="Z75" s="21">
        <v>4601004349322</v>
      </c>
    </row>
    <row r="76" spans="1:26" ht="12" customHeight="1" outlineLevel="4" x14ac:dyDescent="0.2">
      <c r="A76" s="40" t="s">
        <v>533</v>
      </c>
      <c r="B76" s="75" t="s">
        <v>534</v>
      </c>
      <c r="C76" s="51"/>
      <c r="D76" s="54">
        <f t="shared" si="0"/>
        <v>0</v>
      </c>
      <c r="E76" s="61" t="str">
        <f>HYPERLINK("https://www.sds-group.ru/product/vyklyuchatel-strong-2-kl-s-podsvetkoy-10a-s-u-shelk-kranz-KR-78-0714-8/", "Инфо")</f>
        <v>Инфо</v>
      </c>
      <c r="F76" s="42" t="s">
        <v>39</v>
      </c>
      <c r="G76" s="41" t="s">
        <v>40</v>
      </c>
      <c r="H76" s="41"/>
      <c r="I76" s="41"/>
      <c r="J76" s="43">
        <v>199</v>
      </c>
      <c r="K76" s="41" t="s">
        <v>210</v>
      </c>
      <c r="L76" s="43">
        <v>1</v>
      </c>
      <c r="M76" s="43">
        <v>100</v>
      </c>
      <c r="N76" s="43">
        <v>1</v>
      </c>
      <c r="O76" s="44">
        <v>1783.95</v>
      </c>
      <c r="P76" s="44">
        <v>1462.25</v>
      </c>
      <c r="Q76" s="44">
        <v>1783.95</v>
      </c>
      <c r="R76" s="44">
        <v>1462.25</v>
      </c>
      <c r="S76" s="44">
        <v>1427.16</v>
      </c>
      <c r="T76" s="44">
        <v>1169.8</v>
      </c>
      <c r="U76" s="42"/>
      <c r="V76" s="42"/>
      <c r="W76" s="42" t="s">
        <v>40</v>
      </c>
      <c r="X76" s="45">
        <v>0.156</v>
      </c>
      <c r="Y76" s="46">
        <v>5.2599999999999999E-4</v>
      </c>
      <c r="Z76" s="21">
        <v>4601004349384</v>
      </c>
    </row>
    <row r="77" spans="1:26" ht="12" customHeight="1" outlineLevel="4" x14ac:dyDescent="0.2">
      <c r="A77" s="40" t="s">
        <v>535</v>
      </c>
      <c r="B77" s="75" t="s">
        <v>536</v>
      </c>
      <c r="C77" s="51"/>
      <c r="D77" s="54">
        <f t="shared" ref="D77:D140" si="1">C77*(O77-O77*$G$3)</f>
        <v>0</v>
      </c>
      <c r="E77" s="61" t="str">
        <f>HYPERLINK("https://www.sds-group.ru/product/vyklyuchatel-strong-3-kl-10a-s-u-antratsit-kranz-KR-78-0707-5/", "Инфо")</f>
        <v>Инфо</v>
      </c>
      <c r="F77" s="42" t="s">
        <v>39</v>
      </c>
      <c r="G77" s="41" t="s">
        <v>40</v>
      </c>
      <c r="H77" s="41"/>
      <c r="I77" s="41"/>
      <c r="J77" s="43">
        <v>76</v>
      </c>
      <c r="K77" s="41"/>
      <c r="L77" s="43">
        <v>1</v>
      </c>
      <c r="M77" s="43">
        <v>100</v>
      </c>
      <c r="N77" s="43">
        <v>1</v>
      </c>
      <c r="O77" s="44">
        <v>1554.62</v>
      </c>
      <c r="P77" s="44">
        <v>1274.28</v>
      </c>
      <c r="Q77" s="44">
        <v>1554.62</v>
      </c>
      <c r="R77" s="44">
        <v>1274.28</v>
      </c>
      <c r="S77" s="44">
        <v>1243.7</v>
      </c>
      <c r="T77" s="44">
        <v>1019.43</v>
      </c>
      <c r="U77" s="42"/>
      <c r="V77" s="42"/>
      <c r="W77" s="42" t="s">
        <v>40</v>
      </c>
      <c r="X77" s="45">
        <v>0.161</v>
      </c>
      <c r="Y77" s="46">
        <v>5.2999999999999998E-4</v>
      </c>
      <c r="Z77" s="21">
        <v>4601004323711</v>
      </c>
    </row>
    <row r="78" spans="1:26" ht="12" customHeight="1" outlineLevel="4" x14ac:dyDescent="0.2">
      <c r="A78" s="40" t="s">
        <v>537</v>
      </c>
      <c r="B78" s="75" t="s">
        <v>538</v>
      </c>
      <c r="C78" s="51"/>
      <c r="D78" s="54">
        <f t="shared" si="1"/>
        <v>0</v>
      </c>
      <c r="E78" s="61" t="str">
        <f>HYPERLINK("https://www.sds-group.ru/product/vyklyuchatel-strong-3-kl-10a-s-u-grafit-kranz-KR-78-0707-6/", "Инфо")</f>
        <v>Инфо</v>
      </c>
      <c r="F78" s="42" t="s">
        <v>39</v>
      </c>
      <c r="G78" s="41" t="s">
        <v>40</v>
      </c>
      <c r="H78" s="41"/>
      <c r="I78" s="41"/>
      <c r="J78" s="43">
        <v>85</v>
      </c>
      <c r="K78" s="41" t="s">
        <v>476</v>
      </c>
      <c r="L78" s="43">
        <v>1</v>
      </c>
      <c r="M78" s="43">
        <v>100</v>
      </c>
      <c r="N78" s="43">
        <v>1</v>
      </c>
      <c r="O78" s="44">
        <v>1514.06</v>
      </c>
      <c r="P78" s="44">
        <v>1241.03</v>
      </c>
      <c r="Q78" s="44">
        <v>1514.06</v>
      </c>
      <c r="R78" s="44">
        <v>1241.03</v>
      </c>
      <c r="S78" s="44">
        <v>1211.25</v>
      </c>
      <c r="T78" s="44">
        <v>992.83</v>
      </c>
      <c r="U78" s="42"/>
      <c r="V78" s="42"/>
      <c r="W78" s="42" t="s">
        <v>40</v>
      </c>
      <c r="X78" s="45">
        <v>0.161</v>
      </c>
      <c r="Y78" s="46">
        <v>5.2400000000000005E-4</v>
      </c>
      <c r="Z78" s="21">
        <v>4601004323650</v>
      </c>
    </row>
    <row r="79" spans="1:26" ht="12" customHeight="1" outlineLevel="4" x14ac:dyDescent="0.2">
      <c r="A79" s="40" t="s">
        <v>539</v>
      </c>
      <c r="B79" s="75" t="s">
        <v>540</v>
      </c>
      <c r="C79" s="51"/>
      <c r="D79" s="54">
        <f t="shared" si="1"/>
        <v>0</v>
      </c>
      <c r="E79" s="61" t="str">
        <f>HYPERLINK("https://www.sds-group.ru/product/vyklyuchatel-strong-3-kl-10a-s-u-zhemchug-kranz-KR-78-0707-4/", "Инфо")</f>
        <v>Инфо</v>
      </c>
      <c r="F79" s="42" t="s">
        <v>39</v>
      </c>
      <c r="G79" s="41" t="s">
        <v>40</v>
      </c>
      <c r="H79" s="41"/>
      <c r="I79" s="41"/>
      <c r="J79" s="43">
        <v>1</v>
      </c>
      <c r="K79" s="41" t="s">
        <v>210</v>
      </c>
      <c r="L79" s="43">
        <v>1</v>
      </c>
      <c r="M79" s="43">
        <v>100</v>
      </c>
      <c r="N79" s="43">
        <v>1</v>
      </c>
      <c r="O79" s="44">
        <v>1413.29</v>
      </c>
      <c r="P79" s="44">
        <v>1158.43</v>
      </c>
      <c r="Q79" s="44">
        <v>1413.29</v>
      </c>
      <c r="R79" s="44">
        <v>1158.43</v>
      </c>
      <c r="S79" s="44">
        <v>1130.6300000000001</v>
      </c>
      <c r="T79" s="44">
        <v>926.75</v>
      </c>
      <c r="U79" s="42"/>
      <c r="V79" s="42"/>
      <c r="W79" s="42" t="s">
        <v>40</v>
      </c>
      <c r="X79" s="45">
        <v>0.161</v>
      </c>
      <c r="Y79" s="46">
        <v>5.3600000000000002E-4</v>
      </c>
      <c r="Z79" s="21">
        <v>4601004323674</v>
      </c>
    </row>
    <row r="80" spans="1:26" ht="12" customHeight="1" outlineLevel="4" x14ac:dyDescent="0.2">
      <c r="A80" s="40" t="s">
        <v>541</v>
      </c>
      <c r="B80" s="75" t="s">
        <v>542</v>
      </c>
      <c r="C80" s="51"/>
      <c r="D80" s="54">
        <f t="shared" si="1"/>
        <v>0</v>
      </c>
      <c r="E80" s="61" t="str">
        <f>HYPERLINK("https://www.sds-group.ru/product/vyklyuchatel-strong-3-kl-10a-s-u-shelk-kranz-KR-78-0707-8/", "Инфо")</f>
        <v>Инфо</v>
      </c>
      <c r="F80" s="42" t="s">
        <v>39</v>
      </c>
      <c r="G80" s="41" t="s">
        <v>40</v>
      </c>
      <c r="H80" s="41"/>
      <c r="I80" s="41"/>
      <c r="J80" s="43">
        <v>212</v>
      </c>
      <c r="K80" s="41" t="s">
        <v>210</v>
      </c>
      <c r="L80" s="43">
        <v>1</v>
      </c>
      <c r="M80" s="43">
        <v>100</v>
      </c>
      <c r="N80" s="43">
        <v>1</v>
      </c>
      <c r="O80" s="44">
        <v>1514.06</v>
      </c>
      <c r="P80" s="44">
        <v>1241.03</v>
      </c>
      <c r="Q80" s="44">
        <v>1514.06</v>
      </c>
      <c r="R80" s="44">
        <v>1241.03</v>
      </c>
      <c r="S80" s="44">
        <v>1211.25</v>
      </c>
      <c r="T80" s="44">
        <v>992.83</v>
      </c>
      <c r="U80" s="42"/>
      <c r="V80" s="42"/>
      <c r="W80" s="42" t="s">
        <v>40</v>
      </c>
      <c r="X80" s="45">
        <v>0.16</v>
      </c>
      <c r="Y80" s="46">
        <v>5.31E-4</v>
      </c>
      <c r="Z80" s="21">
        <v>4601004349520</v>
      </c>
    </row>
    <row r="81" spans="1:26" ht="12" customHeight="1" outlineLevel="4" x14ac:dyDescent="0.2">
      <c r="A81" s="40" t="s">
        <v>543</v>
      </c>
      <c r="B81" s="75" t="s">
        <v>544</v>
      </c>
      <c r="C81" s="51"/>
      <c r="D81" s="54">
        <f t="shared" si="1"/>
        <v>0</v>
      </c>
      <c r="E81" s="62"/>
      <c r="F81" s="42" t="s">
        <v>39</v>
      </c>
      <c r="G81" s="41" t="s">
        <v>40</v>
      </c>
      <c r="H81" s="41"/>
      <c r="I81" s="41"/>
      <c r="J81" s="43">
        <v>319</v>
      </c>
      <c r="K81" s="41"/>
      <c r="L81" s="43">
        <v>1</v>
      </c>
      <c r="M81" s="43">
        <v>80</v>
      </c>
      <c r="N81" s="43">
        <v>1</v>
      </c>
      <c r="O81" s="44">
        <v>2544</v>
      </c>
      <c r="P81" s="44">
        <v>2085.25</v>
      </c>
      <c r="Q81" s="44">
        <v>2544</v>
      </c>
      <c r="R81" s="44">
        <v>2085.25</v>
      </c>
      <c r="S81" s="44">
        <v>2035.2</v>
      </c>
      <c r="T81" s="44">
        <v>1668.2</v>
      </c>
      <c r="U81" s="42"/>
      <c r="V81" s="42"/>
      <c r="W81" s="42" t="s">
        <v>40</v>
      </c>
      <c r="X81" s="45">
        <v>0.189</v>
      </c>
      <c r="Y81" s="46">
        <v>6.4400000000000004E-4</v>
      </c>
      <c r="Z81" s="21">
        <v>4601004354524</v>
      </c>
    </row>
    <row r="82" spans="1:26" ht="12" customHeight="1" outlineLevel="4" x14ac:dyDescent="0.2">
      <c r="A82" s="40" t="s">
        <v>545</v>
      </c>
      <c r="B82" s="75" t="s">
        <v>546</v>
      </c>
      <c r="C82" s="51"/>
      <c r="D82" s="54">
        <f t="shared" si="1"/>
        <v>0</v>
      </c>
      <c r="E82" s="62"/>
      <c r="F82" s="42" t="s">
        <v>39</v>
      </c>
      <c r="G82" s="41" t="s">
        <v>40</v>
      </c>
      <c r="H82" s="41"/>
      <c r="I82" s="41"/>
      <c r="J82" s="43">
        <v>319</v>
      </c>
      <c r="K82" s="41"/>
      <c r="L82" s="43">
        <v>1</v>
      </c>
      <c r="M82" s="43">
        <v>80</v>
      </c>
      <c r="N82" s="43">
        <v>1</v>
      </c>
      <c r="O82" s="44">
        <v>2968</v>
      </c>
      <c r="P82" s="44">
        <v>2432.79</v>
      </c>
      <c r="Q82" s="44">
        <v>2968</v>
      </c>
      <c r="R82" s="44">
        <v>2432.79</v>
      </c>
      <c r="S82" s="44">
        <v>2374.4</v>
      </c>
      <c r="T82" s="44">
        <v>1946.23</v>
      </c>
      <c r="U82" s="42"/>
      <c r="V82" s="42"/>
      <c r="W82" s="42" t="s">
        <v>40</v>
      </c>
      <c r="X82" s="45">
        <v>0.191</v>
      </c>
      <c r="Y82" s="46">
        <v>6.4899999999999995E-4</v>
      </c>
      <c r="Z82" s="21">
        <v>4601004354494</v>
      </c>
    </row>
    <row r="83" spans="1:26" ht="12" customHeight="1" outlineLevel="4" x14ac:dyDescent="0.2">
      <c r="A83" s="40" t="s">
        <v>547</v>
      </c>
      <c r="B83" s="75" t="s">
        <v>548</v>
      </c>
      <c r="C83" s="51"/>
      <c r="D83" s="54">
        <f t="shared" si="1"/>
        <v>0</v>
      </c>
      <c r="E83" s="62"/>
      <c r="F83" s="42" t="s">
        <v>39</v>
      </c>
      <c r="G83" s="41" t="s">
        <v>40</v>
      </c>
      <c r="H83" s="41"/>
      <c r="I83" s="41"/>
      <c r="J83" s="43">
        <v>320</v>
      </c>
      <c r="K83" s="41"/>
      <c r="L83" s="43">
        <v>1</v>
      </c>
      <c r="M83" s="43">
        <v>80</v>
      </c>
      <c r="N83" s="43">
        <v>1</v>
      </c>
      <c r="O83" s="44">
        <v>3074</v>
      </c>
      <c r="P83" s="44">
        <v>2519.67</v>
      </c>
      <c r="Q83" s="44">
        <v>3074</v>
      </c>
      <c r="R83" s="44">
        <v>2519.67</v>
      </c>
      <c r="S83" s="44">
        <v>2459.1999999999998</v>
      </c>
      <c r="T83" s="44">
        <v>2015.74</v>
      </c>
      <c r="U83" s="42"/>
      <c r="V83" s="42"/>
      <c r="W83" s="42" t="s">
        <v>40</v>
      </c>
      <c r="X83" s="45">
        <v>0.189</v>
      </c>
      <c r="Y83" s="46">
        <v>6.3900000000000003E-4</v>
      </c>
      <c r="Z83" s="21">
        <v>4601004354517</v>
      </c>
    </row>
    <row r="84" spans="1:26" ht="12" customHeight="1" outlineLevel="4" x14ac:dyDescent="0.2">
      <c r="A84" s="40" t="s">
        <v>549</v>
      </c>
      <c r="B84" s="75" t="s">
        <v>550</v>
      </c>
      <c r="C84" s="51"/>
      <c r="D84" s="54">
        <f t="shared" si="1"/>
        <v>0</v>
      </c>
      <c r="E84" s="62"/>
      <c r="F84" s="42" t="s">
        <v>39</v>
      </c>
      <c r="G84" s="41" t="s">
        <v>40</v>
      </c>
      <c r="H84" s="41"/>
      <c r="I84" s="41"/>
      <c r="J84" s="43">
        <v>319</v>
      </c>
      <c r="K84" s="41"/>
      <c r="L84" s="43">
        <v>1</v>
      </c>
      <c r="M84" s="43">
        <v>80</v>
      </c>
      <c r="N84" s="43">
        <v>1</v>
      </c>
      <c r="O84" s="44">
        <v>2968</v>
      </c>
      <c r="P84" s="44">
        <v>2432.79</v>
      </c>
      <c r="Q84" s="44">
        <v>2968</v>
      </c>
      <c r="R84" s="44">
        <v>2432.79</v>
      </c>
      <c r="S84" s="44">
        <v>2374.4</v>
      </c>
      <c r="T84" s="44">
        <v>1946.23</v>
      </c>
      <c r="U84" s="42"/>
      <c r="V84" s="42"/>
      <c r="W84" s="42" t="s">
        <v>40</v>
      </c>
      <c r="X84" s="45">
        <v>0.19</v>
      </c>
      <c r="Y84" s="46">
        <v>6.4899999999999995E-4</v>
      </c>
      <c r="Z84" s="21">
        <v>4601004354500</v>
      </c>
    </row>
    <row r="85" spans="1:26" ht="12" customHeight="1" outlineLevel="4" x14ac:dyDescent="0.2">
      <c r="A85" s="40" t="s">
        <v>551</v>
      </c>
      <c r="B85" s="75" t="s">
        <v>552</v>
      </c>
      <c r="C85" s="51"/>
      <c r="D85" s="54">
        <f t="shared" si="1"/>
        <v>0</v>
      </c>
      <c r="E85" s="61" t="str">
        <f>HYPERLINK("https://www.sds-group.ru/product/zaglushka-strong-dekorativnaya-s-supportom-antratsit-kranz-KR-78-0735-5/", "Инфо")</f>
        <v>Инфо</v>
      </c>
      <c r="F85" s="42" t="s">
        <v>39</v>
      </c>
      <c r="G85" s="41" t="s">
        <v>40</v>
      </c>
      <c r="H85" s="41"/>
      <c r="I85" s="41"/>
      <c r="J85" s="43">
        <v>77</v>
      </c>
      <c r="K85" s="41"/>
      <c r="L85" s="43">
        <v>10</v>
      </c>
      <c r="M85" s="43">
        <v>100</v>
      </c>
      <c r="N85" s="43">
        <v>10</v>
      </c>
      <c r="O85" s="44">
        <v>441.34</v>
      </c>
      <c r="P85" s="44">
        <v>361.75</v>
      </c>
      <c r="Q85" s="44">
        <v>441.34</v>
      </c>
      <c r="R85" s="44">
        <v>361.75</v>
      </c>
      <c r="S85" s="44">
        <v>353.07</v>
      </c>
      <c r="T85" s="44">
        <v>289.39999999999998</v>
      </c>
      <c r="U85" s="42"/>
      <c r="V85" s="42"/>
      <c r="W85" s="42" t="s">
        <v>40</v>
      </c>
      <c r="X85" s="45">
        <v>0.122</v>
      </c>
      <c r="Y85" s="46">
        <v>5.3300000000000005E-4</v>
      </c>
      <c r="Z85" s="21">
        <v>4601004338708</v>
      </c>
    </row>
    <row r="86" spans="1:26" ht="12" customHeight="1" outlineLevel="4" x14ac:dyDescent="0.2">
      <c r="A86" s="40" t="s">
        <v>553</v>
      </c>
      <c r="B86" s="75" t="s">
        <v>554</v>
      </c>
      <c r="C86" s="51"/>
      <c r="D86" s="54">
        <f t="shared" si="1"/>
        <v>0</v>
      </c>
      <c r="E86" s="61" t="str">
        <f>HYPERLINK("https://www.sds-group.ru/product/zaglushka-strong-dekorativnaya-s-supportom-grafit-kranz-KR-78-0735-6/", "Инфо")</f>
        <v>Инфо</v>
      </c>
      <c r="F86" s="42" t="s">
        <v>39</v>
      </c>
      <c r="G86" s="41" t="s">
        <v>40</v>
      </c>
      <c r="H86" s="41"/>
      <c r="I86" s="41"/>
      <c r="J86" s="43">
        <v>341</v>
      </c>
      <c r="K86" s="41"/>
      <c r="L86" s="43">
        <v>10</v>
      </c>
      <c r="M86" s="43">
        <v>100</v>
      </c>
      <c r="N86" s="43">
        <v>10</v>
      </c>
      <c r="O86" s="44">
        <v>429.83</v>
      </c>
      <c r="P86" s="44">
        <v>352.32</v>
      </c>
      <c r="Q86" s="44">
        <v>429.83</v>
      </c>
      <c r="R86" s="44">
        <v>352.32</v>
      </c>
      <c r="S86" s="44">
        <v>343.86</v>
      </c>
      <c r="T86" s="44">
        <v>281.85000000000002</v>
      </c>
      <c r="U86" s="42"/>
      <c r="V86" s="42"/>
      <c r="W86" s="42" t="s">
        <v>40</v>
      </c>
      <c r="X86" s="45">
        <v>0.121</v>
      </c>
      <c r="Y86" s="46">
        <v>5.3899999999999998E-4</v>
      </c>
      <c r="Z86" s="21">
        <v>4601004338715</v>
      </c>
    </row>
    <row r="87" spans="1:26" ht="12" customHeight="1" outlineLevel="4" x14ac:dyDescent="0.2">
      <c r="A87" s="40" t="s">
        <v>555</v>
      </c>
      <c r="B87" s="75" t="s">
        <v>556</v>
      </c>
      <c r="C87" s="51"/>
      <c r="D87" s="54">
        <f t="shared" si="1"/>
        <v>0</v>
      </c>
      <c r="E87" s="61" t="str">
        <f>HYPERLINK("https://www.sds-group.ru/product/zaglushka-strong-dekorativnaya-s-supportom-zhemchug-kranz-KR-78-0735-4/", "Инфо")</f>
        <v>Инфо</v>
      </c>
      <c r="F87" s="42" t="s">
        <v>39</v>
      </c>
      <c r="G87" s="41" t="s">
        <v>40</v>
      </c>
      <c r="H87" s="41"/>
      <c r="I87" s="41"/>
      <c r="J87" s="43">
        <v>298</v>
      </c>
      <c r="K87" s="41"/>
      <c r="L87" s="43">
        <v>1</v>
      </c>
      <c r="M87" s="43">
        <v>100</v>
      </c>
      <c r="N87" s="43">
        <v>1</v>
      </c>
      <c r="O87" s="44">
        <v>368.2</v>
      </c>
      <c r="P87" s="44">
        <v>301.8</v>
      </c>
      <c r="Q87" s="44">
        <v>368.2</v>
      </c>
      <c r="R87" s="44">
        <v>301.8</v>
      </c>
      <c r="S87" s="44">
        <v>294.56</v>
      </c>
      <c r="T87" s="44">
        <v>241.44</v>
      </c>
      <c r="U87" s="42"/>
      <c r="V87" s="42"/>
      <c r="W87" s="42" t="s">
        <v>40</v>
      </c>
      <c r="X87" s="45">
        <v>0.122</v>
      </c>
      <c r="Y87" s="46">
        <v>5.3600000000000002E-4</v>
      </c>
      <c r="Z87" s="21">
        <v>4601004338722</v>
      </c>
    </row>
    <row r="88" spans="1:26" ht="12" customHeight="1" outlineLevel="4" x14ac:dyDescent="0.2">
      <c r="A88" s="40" t="s">
        <v>557</v>
      </c>
      <c r="B88" s="75" t="s">
        <v>558</v>
      </c>
      <c r="C88" s="51"/>
      <c r="D88" s="54">
        <f t="shared" si="1"/>
        <v>0</v>
      </c>
      <c r="E88" s="61" t="str">
        <f>HYPERLINK("https://www.sds-group.ru/product/zaglushka-strong-dekorativnaya-s-supportom-shelk-kranz-KR-78-0735-8/", "Инфо")</f>
        <v>Инфо</v>
      </c>
      <c r="F88" s="42" t="s">
        <v>39</v>
      </c>
      <c r="G88" s="41" t="s">
        <v>40</v>
      </c>
      <c r="H88" s="41"/>
      <c r="I88" s="41"/>
      <c r="J88" s="42" t="s">
        <v>100</v>
      </c>
      <c r="K88" s="41" t="s">
        <v>210</v>
      </c>
      <c r="L88" s="43">
        <v>1</v>
      </c>
      <c r="M88" s="43">
        <v>100</v>
      </c>
      <c r="N88" s="43">
        <v>1</v>
      </c>
      <c r="O88" s="44">
        <v>429.83</v>
      </c>
      <c r="P88" s="44">
        <v>352.32</v>
      </c>
      <c r="Q88" s="44">
        <v>429.83</v>
      </c>
      <c r="R88" s="44">
        <v>352.32</v>
      </c>
      <c r="S88" s="44">
        <v>343.86</v>
      </c>
      <c r="T88" s="44">
        <v>281.85000000000002</v>
      </c>
      <c r="U88" s="42"/>
      <c r="V88" s="42"/>
      <c r="W88" s="42" t="s">
        <v>40</v>
      </c>
      <c r="X88" s="45">
        <v>0.122</v>
      </c>
      <c r="Y88" s="46">
        <v>5.2700000000000002E-4</v>
      </c>
      <c r="Z88" s="21">
        <v>4601004349759</v>
      </c>
    </row>
    <row r="89" spans="1:26" ht="12" customHeight="1" outlineLevel="4" x14ac:dyDescent="0.2">
      <c r="A89" s="40" t="s">
        <v>561</v>
      </c>
      <c r="B89" s="75" t="s">
        <v>562</v>
      </c>
      <c r="C89" s="51"/>
      <c r="D89" s="54">
        <f t="shared" si="1"/>
        <v>0</v>
      </c>
      <c r="E89" s="61" t="str">
        <f>HYPERLINK("https://www.sds-group.ru/product/podsvetka-nastennaya-strong-dlya-nog-s-u-shelk-kranz-KR-78-0727-8/", "Инфо")</f>
        <v>Инфо</v>
      </c>
      <c r="F89" s="42" t="s">
        <v>39</v>
      </c>
      <c r="G89" s="41" t="s">
        <v>40</v>
      </c>
      <c r="H89" s="41"/>
      <c r="I89" s="41"/>
      <c r="J89" s="42" t="s">
        <v>100</v>
      </c>
      <c r="K89" s="41" t="s">
        <v>476</v>
      </c>
      <c r="L89" s="43">
        <v>1</v>
      </c>
      <c r="M89" s="43">
        <v>100</v>
      </c>
      <c r="N89" s="43">
        <v>1</v>
      </c>
      <c r="O89" s="44">
        <v>3367.8</v>
      </c>
      <c r="P89" s="44">
        <v>2760.49</v>
      </c>
      <c r="Q89" s="44">
        <v>3367.8</v>
      </c>
      <c r="R89" s="44">
        <v>2760.49</v>
      </c>
      <c r="S89" s="44">
        <v>2694.24</v>
      </c>
      <c r="T89" s="44">
        <v>2208.39</v>
      </c>
      <c r="U89" s="42"/>
      <c r="V89" s="42"/>
      <c r="W89" s="42" t="s">
        <v>40</v>
      </c>
      <c r="X89" s="45">
        <v>0.13100000000000001</v>
      </c>
      <c r="Y89" s="46">
        <v>5.4600000000000004E-4</v>
      </c>
      <c r="Z89" s="21">
        <v>4601004348967</v>
      </c>
    </row>
    <row r="90" spans="1:26" ht="12" customHeight="1" outlineLevel="4" x14ac:dyDescent="0.2">
      <c r="A90" s="40" t="s">
        <v>569</v>
      </c>
      <c r="B90" s="75" t="s">
        <v>570</v>
      </c>
      <c r="C90" s="51"/>
      <c r="D90" s="54">
        <f t="shared" si="1"/>
        <v>0</v>
      </c>
      <c r="E90" s="61" t="str">
        <f>HYPERLINK("https://www.sds-group.ru/product/ramka-strong-2-postovaya-shelk-kranz-KR-78-0752-8/", "Инфо")</f>
        <v>Инфо</v>
      </c>
      <c r="F90" s="42" t="s">
        <v>39</v>
      </c>
      <c r="G90" s="41" t="s">
        <v>40</v>
      </c>
      <c r="H90" s="41"/>
      <c r="I90" s="41"/>
      <c r="J90" s="47">
        <v>1094</v>
      </c>
      <c r="K90" s="41" t="s">
        <v>210</v>
      </c>
      <c r="L90" s="43">
        <v>1</v>
      </c>
      <c r="M90" s="43">
        <v>200</v>
      </c>
      <c r="N90" s="43">
        <v>1</v>
      </c>
      <c r="O90" s="44">
        <v>408.66</v>
      </c>
      <c r="P90" s="44">
        <v>334.97</v>
      </c>
      <c r="Q90" s="44">
        <v>408.66</v>
      </c>
      <c r="R90" s="44">
        <v>334.97</v>
      </c>
      <c r="S90" s="44">
        <v>326.93</v>
      </c>
      <c r="T90" s="44">
        <v>267.98</v>
      </c>
      <c r="U90" s="42"/>
      <c r="V90" s="42"/>
      <c r="W90" s="42" t="s">
        <v>40</v>
      </c>
      <c r="X90" s="45">
        <v>4.5999999999999999E-2</v>
      </c>
      <c r="Y90" s="46">
        <v>4.37E-4</v>
      </c>
      <c r="Z90" s="21">
        <v>4601004349728</v>
      </c>
    </row>
    <row r="91" spans="1:26" ht="12" customHeight="1" outlineLevel="4" x14ac:dyDescent="0.2">
      <c r="A91" s="40" t="s">
        <v>577</v>
      </c>
      <c r="B91" s="75" t="s">
        <v>578</v>
      </c>
      <c r="C91" s="51"/>
      <c r="D91" s="54">
        <f t="shared" si="1"/>
        <v>0</v>
      </c>
      <c r="E91" s="61" t="str">
        <f>HYPERLINK("https://www.sds-group.ru/product/ramka-strong-3-postovaya-shelk-kranz-KR-78-0753-8/", "Инфо")</f>
        <v>Инфо</v>
      </c>
      <c r="F91" s="42" t="s">
        <v>39</v>
      </c>
      <c r="G91" s="41" t="s">
        <v>40</v>
      </c>
      <c r="H91" s="41"/>
      <c r="I91" s="41"/>
      <c r="J91" s="43">
        <v>804</v>
      </c>
      <c r="K91" s="41" t="s">
        <v>210</v>
      </c>
      <c r="L91" s="43">
        <v>1</v>
      </c>
      <c r="M91" s="43">
        <v>100</v>
      </c>
      <c r="N91" s="43">
        <v>1</v>
      </c>
      <c r="O91" s="44">
        <v>730.22</v>
      </c>
      <c r="P91" s="44">
        <v>598.54</v>
      </c>
      <c r="Q91" s="44">
        <v>730.22</v>
      </c>
      <c r="R91" s="44">
        <v>598.54</v>
      </c>
      <c r="S91" s="44">
        <v>584.17999999999995</v>
      </c>
      <c r="T91" s="44">
        <v>478.84</v>
      </c>
      <c r="U91" s="42"/>
      <c r="V91" s="42"/>
      <c r="W91" s="42" t="s">
        <v>40</v>
      </c>
      <c r="X91" s="45">
        <v>7.0000000000000007E-2</v>
      </c>
      <c r="Y91" s="46">
        <v>8.7900000000000001E-4</v>
      </c>
      <c r="Z91" s="21">
        <v>4601004349704</v>
      </c>
    </row>
    <row r="92" spans="1:26" ht="12" customHeight="1" outlineLevel="4" x14ac:dyDescent="0.2">
      <c r="A92" s="40" t="s">
        <v>585</v>
      </c>
      <c r="B92" s="75" t="s">
        <v>586</v>
      </c>
      <c r="C92" s="51"/>
      <c r="D92" s="54">
        <f t="shared" si="1"/>
        <v>0</v>
      </c>
      <c r="E92" s="61" t="str">
        <f>HYPERLINK("https://www.sds-group.ru/product/ramka-strong-4-postovaya-shelk-kranz-KR-78-0754-8/", "Инфо")</f>
        <v>Инфо</v>
      </c>
      <c r="F92" s="42" t="s">
        <v>39</v>
      </c>
      <c r="G92" s="41" t="s">
        <v>40</v>
      </c>
      <c r="H92" s="41"/>
      <c r="I92" s="41"/>
      <c r="J92" s="43">
        <v>186</v>
      </c>
      <c r="K92" s="41" t="s">
        <v>210</v>
      </c>
      <c r="L92" s="43">
        <v>1</v>
      </c>
      <c r="M92" s="43">
        <v>100</v>
      </c>
      <c r="N92" s="43">
        <v>1</v>
      </c>
      <c r="O92" s="44">
        <v>1054.76</v>
      </c>
      <c r="P92" s="44">
        <v>864.56</v>
      </c>
      <c r="Q92" s="44">
        <v>1054.76</v>
      </c>
      <c r="R92" s="44">
        <v>864.56</v>
      </c>
      <c r="S92" s="44">
        <v>843.81</v>
      </c>
      <c r="T92" s="44">
        <v>691.65</v>
      </c>
      <c r="U92" s="42"/>
      <c r="V92" s="42"/>
      <c r="W92" s="42" t="s">
        <v>40</v>
      </c>
      <c r="X92" s="45">
        <v>8.2000000000000003E-2</v>
      </c>
      <c r="Y92" s="46">
        <v>8.7399999999999999E-4</v>
      </c>
      <c r="Z92" s="21">
        <v>4601004349681</v>
      </c>
    </row>
    <row r="93" spans="1:26" ht="12" customHeight="1" outlineLevel="4" x14ac:dyDescent="0.2">
      <c r="A93" s="40" t="s">
        <v>593</v>
      </c>
      <c r="B93" s="75" t="s">
        <v>594</v>
      </c>
      <c r="C93" s="51"/>
      <c r="D93" s="54">
        <f t="shared" si="1"/>
        <v>0</v>
      </c>
      <c r="E93" s="61" t="str">
        <f>HYPERLINK("https://www.sds-group.ru/product/ramka-strong-5-postovaya-shelk-kranz-KR-78-0755-8/", "Инфо")</f>
        <v>Инфо</v>
      </c>
      <c r="F93" s="42" t="s">
        <v>39</v>
      </c>
      <c r="G93" s="41" t="s">
        <v>40</v>
      </c>
      <c r="H93" s="41"/>
      <c r="I93" s="41"/>
      <c r="J93" s="43">
        <v>17</v>
      </c>
      <c r="K93" s="41" t="s">
        <v>210</v>
      </c>
      <c r="L93" s="43">
        <v>1</v>
      </c>
      <c r="M93" s="43">
        <v>100</v>
      </c>
      <c r="N93" s="43">
        <v>1</v>
      </c>
      <c r="O93" s="44">
        <v>1298.5999999999999</v>
      </c>
      <c r="P93" s="44">
        <v>1064.43</v>
      </c>
      <c r="Q93" s="44">
        <v>1298.5999999999999</v>
      </c>
      <c r="R93" s="44">
        <v>1064.43</v>
      </c>
      <c r="S93" s="44">
        <v>1038.8800000000001</v>
      </c>
      <c r="T93" s="44">
        <v>851.54</v>
      </c>
      <c r="U93" s="42"/>
      <c r="V93" s="42"/>
      <c r="W93" s="42" t="s">
        <v>40</v>
      </c>
      <c r="X93" s="45">
        <v>9.4E-2</v>
      </c>
      <c r="Y93" s="46">
        <v>8.7799999999999998E-4</v>
      </c>
      <c r="Z93" s="21">
        <v>4601004349667</v>
      </c>
    </row>
    <row r="94" spans="1:26" ht="12" customHeight="1" outlineLevel="4" x14ac:dyDescent="0.2">
      <c r="A94" s="40" t="s">
        <v>599</v>
      </c>
      <c r="B94" s="75" t="s">
        <v>600</v>
      </c>
      <c r="C94" s="51"/>
      <c r="D94" s="54">
        <f t="shared" si="1"/>
        <v>0</v>
      </c>
      <c r="E94" s="61" t="str">
        <f>HYPERLINK("https://www.sds-group.ru/product/rozetka-strong-1-aya-s-z-s-u-z-sh-16a-s-usb-a-c-bystroy-zaryadki-5v-3a-shelk-kranz-KR-78-0704-8/", "Инфо")</f>
        <v>Инфо</v>
      </c>
      <c r="F94" s="42" t="s">
        <v>39</v>
      </c>
      <c r="G94" s="41" t="s">
        <v>40</v>
      </c>
      <c r="H94" s="41"/>
      <c r="I94" s="41"/>
      <c r="J94" s="43">
        <v>2</v>
      </c>
      <c r="K94" s="41" t="s">
        <v>210</v>
      </c>
      <c r="L94" s="43">
        <v>1</v>
      </c>
      <c r="M94" s="43">
        <v>80</v>
      </c>
      <c r="N94" s="43">
        <v>1</v>
      </c>
      <c r="O94" s="44">
        <v>6240.22</v>
      </c>
      <c r="P94" s="44">
        <v>5114.93</v>
      </c>
      <c r="Q94" s="44">
        <v>6240.22</v>
      </c>
      <c r="R94" s="44">
        <v>5114.93</v>
      </c>
      <c r="S94" s="44">
        <v>4992.18</v>
      </c>
      <c r="T94" s="44">
        <v>4091.95</v>
      </c>
      <c r="U94" s="42"/>
      <c r="V94" s="42"/>
      <c r="W94" s="42" t="s">
        <v>40</v>
      </c>
      <c r="X94" s="45">
        <v>0.19400000000000001</v>
      </c>
      <c r="Y94" s="46">
        <v>6.5099999999999999E-4</v>
      </c>
      <c r="Z94" s="21">
        <v>4601004348981</v>
      </c>
    </row>
    <row r="95" spans="1:26" ht="12" customHeight="1" outlineLevel="4" x14ac:dyDescent="0.2">
      <c r="A95" s="40" t="s">
        <v>607</v>
      </c>
      <c r="B95" s="75" t="s">
        <v>608</v>
      </c>
      <c r="C95" s="51"/>
      <c r="D95" s="54">
        <f t="shared" si="1"/>
        <v>0</v>
      </c>
      <c r="E95" s="61" t="str">
        <f>HYPERLINK("https://www.sds-group.ru/product/rozetka-strong-1-aya-s-z-s-u-so-shtorkami-16a-shelk-kranz-KR-78-0701-8/", "Инфо")</f>
        <v>Инфо</v>
      </c>
      <c r="F95" s="42" t="s">
        <v>39</v>
      </c>
      <c r="G95" s="41" t="s">
        <v>40</v>
      </c>
      <c r="H95" s="41"/>
      <c r="I95" s="41"/>
      <c r="J95" s="42" t="s">
        <v>100</v>
      </c>
      <c r="K95" s="41" t="s">
        <v>210</v>
      </c>
      <c r="L95" s="43">
        <v>1</v>
      </c>
      <c r="M95" s="43">
        <v>100</v>
      </c>
      <c r="N95" s="43">
        <v>1</v>
      </c>
      <c r="O95" s="44">
        <v>1002.76</v>
      </c>
      <c r="P95" s="44">
        <v>821.93</v>
      </c>
      <c r="Q95" s="44">
        <v>1002.76</v>
      </c>
      <c r="R95" s="44">
        <v>821.93</v>
      </c>
      <c r="S95" s="44">
        <v>802.21</v>
      </c>
      <c r="T95" s="44">
        <v>657.55</v>
      </c>
      <c r="U95" s="42"/>
      <c r="V95" s="42"/>
      <c r="W95" s="42" t="s">
        <v>40</v>
      </c>
      <c r="X95" s="45">
        <v>0.14299999999999999</v>
      </c>
      <c r="Y95" s="46">
        <v>5.31E-4</v>
      </c>
      <c r="Z95" s="21">
        <v>4601004349025</v>
      </c>
    </row>
    <row r="96" spans="1:26" ht="12" customHeight="1" outlineLevel="4" x14ac:dyDescent="0.2">
      <c r="A96" s="40" t="s">
        <v>613</v>
      </c>
      <c r="B96" s="75" t="s">
        <v>614</v>
      </c>
      <c r="C96" s="51"/>
      <c r="D96" s="54">
        <f t="shared" si="1"/>
        <v>0</v>
      </c>
      <c r="E96" s="61" t="str">
        <f>HYPERLINK("https://www.sds-group.ru/product/rozetka-strong-1-aya-s-z-s-u-so-shtorkami-i-kryshkoy-16a-shelk-kranz-KR-78-0702-8/", "Инфо")</f>
        <v>Инфо</v>
      </c>
      <c r="F96" s="42" t="s">
        <v>39</v>
      </c>
      <c r="G96" s="41" t="s">
        <v>40</v>
      </c>
      <c r="H96" s="41"/>
      <c r="I96" s="41"/>
      <c r="J96" s="43">
        <v>5</v>
      </c>
      <c r="K96" s="41" t="s">
        <v>210</v>
      </c>
      <c r="L96" s="43">
        <v>1</v>
      </c>
      <c r="M96" s="43">
        <v>80</v>
      </c>
      <c r="N96" s="43">
        <v>1</v>
      </c>
      <c r="O96" s="44">
        <v>1414.8</v>
      </c>
      <c r="P96" s="44">
        <v>1159.67</v>
      </c>
      <c r="Q96" s="44">
        <v>1414.8</v>
      </c>
      <c r="R96" s="44">
        <v>1159.67</v>
      </c>
      <c r="S96" s="44">
        <v>1131.8399999999999</v>
      </c>
      <c r="T96" s="44">
        <v>927.74</v>
      </c>
      <c r="U96" s="42"/>
      <c r="V96" s="42"/>
      <c r="W96" s="42" t="s">
        <v>40</v>
      </c>
      <c r="X96" s="45">
        <v>0.16</v>
      </c>
      <c r="Y96" s="46">
        <v>6.69E-4</v>
      </c>
      <c r="Z96" s="21">
        <v>4601004349001</v>
      </c>
    </row>
    <row r="97" spans="1:26" ht="12" customHeight="1" outlineLevel="4" x14ac:dyDescent="0.2">
      <c r="A97" s="40" t="s">
        <v>615</v>
      </c>
      <c r="B97" s="75" t="s">
        <v>616</v>
      </c>
      <c r="C97" s="51"/>
      <c r="D97" s="54">
        <f t="shared" si="1"/>
        <v>0</v>
      </c>
      <c r="E97" s="61" t="str">
        <f>HYPERLINK("https://www.sds-group.ru/product/rozetka-strong-hdmi-s-u-shelk-kranz-KR-78-0730-8/", "Инфо")</f>
        <v>Инфо</v>
      </c>
      <c r="F97" s="42" t="s">
        <v>39</v>
      </c>
      <c r="G97" s="41" t="s">
        <v>40</v>
      </c>
      <c r="H97" s="41"/>
      <c r="I97" s="41"/>
      <c r="J97" s="42" t="s">
        <v>100</v>
      </c>
      <c r="K97" s="41" t="s">
        <v>210</v>
      </c>
      <c r="L97" s="43">
        <v>1</v>
      </c>
      <c r="M97" s="43">
        <v>100</v>
      </c>
      <c r="N97" s="43">
        <v>1</v>
      </c>
      <c r="O97" s="44">
        <v>3386.71</v>
      </c>
      <c r="P97" s="44">
        <v>2775.99</v>
      </c>
      <c r="Q97" s="44">
        <v>3386.71</v>
      </c>
      <c r="R97" s="44">
        <v>2775.99</v>
      </c>
      <c r="S97" s="44">
        <v>2709.37</v>
      </c>
      <c r="T97" s="44">
        <v>2220.8000000000002</v>
      </c>
      <c r="U97" s="42"/>
      <c r="V97" s="42"/>
      <c r="W97" s="42" t="s">
        <v>40</v>
      </c>
      <c r="X97" s="45">
        <v>0.13100000000000001</v>
      </c>
      <c r="Y97" s="46">
        <v>5.3399999999999997E-4</v>
      </c>
      <c r="Z97" s="21">
        <v>4601004349124</v>
      </c>
    </row>
    <row r="98" spans="1:26" ht="12" customHeight="1" outlineLevel="4" x14ac:dyDescent="0.2">
      <c r="A98" s="40" t="s">
        <v>623</v>
      </c>
      <c r="B98" s="75" t="s">
        <v>624</v>
      </c>
      <c r="C98" s="51"/>
      <c r="D98" s="54">
        <f t="shared" si="1"/>
        <v>0</v>
      </c>
      <c r="E98" s="61" t="str">
        <f>HYPERLINK("https://www.sds-group.ru/product/rozetka-strong-tv-s-u-shelk-kranz-KR-78-0723-8/", "Инфо")</f>
        <v>Инфо</v>
      </c>
      <c r="F98" s="42" t="s">
        <v>39</v>
      </c>
      <c r="G98" s="41" t="s">
        <v>40</v>
      </c>
      <c r="H98" s="41"/>
      <c r="I98" s="41"/>
      <c r="J98" s="43">
        <v>40</v>
      </c>
      <c r="K98" s="41" t="s">
        <v>210</v>
      </c>
      <c r="L98" s="43">
        <v>1</v>
      </c>
      <c r="M98" s="43">
        <v>100</v>
      </c>
      <c r="N98" s="43">
        <v>1</v>
      </c>
      <c r="O98" s="44">
        <v>1618.66</v>
      </c>
      <c r="P98" s="44">
        <v>1326.77</v>
      </c>
      <c r="Q98" s="44">
        <v>1618.66</v>
      </c>
      <c r="R98" s="44">
        <v>1326.77</v>
      </c>
      <c r="S98" s="44">
        <v>1294.93</v>
      </c>
      <c r="T98" s="44">
        <v>1061.42</v>
      </c>
      <c r="U98" s="42"/>
      <c r="V98" s="42"/>
      <c r="W98" s="42" t="s">
        <v>40</v>
      </c>
      <c r="X98" s="45">
        <v>0.13500000000000001</v>
      </c>
      <c r="Y98" s="46">
        <v>5.2899999999999996E-4</v>
      </c>
      <c r="Z98" s="21">
        <v>4601004349209</v>
      </c>
    </row>
    <row r="99" spans="1:26" ht="12" customHeight="1" outlineLevel="4" x14ac:dyDescent="0.2">
      <c r="A99" s="40" t="s">
        <v>625</v>
      </c>
      <c r="B99" s="75" t="s">
        <v>626</v>
      </c>
      <c r="C99" s="51"/>
      <c r="D99" s="54">
        <f t="shared" si="1"/>
        <v>0</v>
      </c>
      <c r="E99" s="61" t="str">
        <f>HYPERLINK("https://www.sds-group.ru/product/rozetka-strong-usb-a-type-c-3a-s-funktsiey-bystroy-zaryadki-antratsit-kranz-KR-78-0734-5/", "Инфо")</f>
        <v>Инфо</v>
      </c>
      <c r="F99" s="42" t="s">
        <v>39</v>
      </c>
      <c r="G99" s="41" t="s">
        <v>40</v>
      </c>
      <c r="H99" s="41"/>
      <c r="I99" s="41"/>
      <c r="J99" s="43">
        <v>218</v>
      </c>
      <c r="K99" s="41"/>
      <c r="L99" s="43">
        <v>1</v>
      </c>
      <c r="M99" s="43">
        <v>100</v>
      </c>
      <c r="N99" s="43">
        <v>1</v>
      </c>
      <c r="O99" s="44">
        <v>6196.15</v>
      </c>
      <c r="P99" s="44">
        <v>5078.8100000000004</v>
      </c>
      <c r="Q99" s="44">
        <v>6196.15</v>
      </c>
      <c r="R99" s="44">
        <v>5078.8100000000004</v>
      </c>
      <c r="S99" s="44">
        <v>4956.92</v>
      </c>
      <c r="T99" s="44">
        <v>4063.05</v>
      </c>
      <c r="U99" s="42"/>
      <c r="V99" s="42"/>
      <c r="W99" s="42" t="s">
        <v>40</v>
      </c>
      <c r="X99" s="45">
        <v>0.16700000000000001</v>
      </c>
      <c r="Y99" s="46">
        <v>5.3399999999999997E-4</v>
      </c>
      <c r="Z99" s="21">
        <v>4601004338586</v>
      </c>
    </row>
    <row r="100" spans="1:26" ht="12" customHeight="1" outlineLevel="4" x14ac:dyDescent="0.2">
      <c r="A100" s="40" t="s">
        <v>627</v>
      </c>
      <c r="B100" s="75" t="s">
        <v>628</v>
      </c>
      <c r="C100" s="51"/>
      <c r="D100" s="54">
        <f t="shared" si="1"/>
        <v>0</v>
      </c>
      <c r="E100" s="61" t="str">
        <f>HYPERLINK("https://www.sds-group.ru/product/rozetka-strong-usb-a-type-c-3a-s-funktsiey-bystroy-zaryadki-grafit-kranz-KR-78-0734-6/", "Инфо")</f>
        <v>Инфо</v>
      </c>
      <c r="F100" s="42" t="s">
        <v>39</v>
      </c>
      <c r="G100" s="41" t="s">
        <v>40</v>
      </c>
      <c r="H100" s="41"/>
      <c r="I100" s="41"/>
      <c r="J100" s="43">
        <v>176</v>
      </c>
      <c r="K100" s="41"/>
      <c r="L100" s="43">
        <v>1</v>
      </c>
      <c r="M100" s="43">
        <v>100</v>
      </c>
      <c r="N100" s="43">
        <v>1</v>
      </c>
      <c r="O100" s="44">
        <v>6034.51</v>
      </c>
      <c r="P100" s="44">
        <v>4946.32</v>
      </c>
      <c r="Q100" s="44">
        <v>6034.51</v>
      </c>
      <c r="R100" s="44">
        <v>4946.32</v>
      </c>
      <c r="S100" s="44">
        <v>4827.6099999999997</v>
      </c>
      <c r="T100" s="44">
        <v>3957.06</v>
      </c>
      <c r="U100" s="42"/>
      <c r="V100" s="42"/>
      <c r="W100" s="42" t="s">
        <v>40</v>
      </c>
      <c r="X100" s="45">
        <v>0.16400000000000001</v>
      </c>
      <c r="Y100" s="46">
        <v>5.4600000000000004E-4</v>
      </c>
      <c r="Z100" s="21">
        <v>4601004338609</v>
      </c>
    </row>
    <row r="101" spans="1:26" ht="12" customHeight="1" outlineLevel="4" x14ac:dyDescent="0.2">
      <c r="A101" s="40" t="s">
        <v>635</v>
      </c>
      <c r="B101" s="75" t="s">
        <v>636</v>
      </c>
      <c r="C101" s="51"/>
      <c r="D101" s="54">
        <f t="shared" si="1"/>
        <v>0</v>
      </c>
      <c r="E101" s="61" t="str">
        <f>HYPERLINK("https://www.sds-group.ru/product/rozetka-strong-kompyuternaya-rj45-kat6-s-u-shelk-kranz-KR-78-0724-8/", "Инфо")</f>
        <v>Инфо</v>
      </c>
      <c r="F101" s="42" t="s">
        <v>39</v>
      </c>
      <c r="G101" s="41" t="s">
        <v>40</v>
      </c>
      <c r="H101" s="41"/>
      <c r="I101" s="41"/>
      <c r="J101" s="42" t="s">
        <v>100</v>
      </c>
      <c r="K101" s="41" t="s">
        <v>210</v>
      </c>
      <c r="L101" s="43">
        <v>1</v>
      </c>
      <c r="M101" s="43">
        <v>100</v>
      </c>
      <c r="N101" s="43">
        <v>1</v>
      </c>
      <c r="O101" s="44">
        <v>2320.75</v>
      </c>
      <c r="P101" s="44">
        <v>1902.25</v>
      </c>
      <c r="Q101" s="44">
        <v>2320.75</v>
      </c>
      <c r="R101" s="44">
        <v>1902.25</v>
      </c>
      <c r="S101" s="44">
        <v>1856.6</v>
      </c>
      <c r="T101" s="44">
        <v>1521.8</v>
      </c>
      <c r="U101" s="42"/>
      <c r="V101" s="42"/>
      <c r="W101" s="42" t="s">
        <v>40</v>
      </c>
      <c r="X101" s="45">
        <v>0.13200000000000001</v>
      </c>
      <c r="Y101" s="46">
        <v>5.1999999999999995E-4</v>
      </c>
      <c r="Z101" s="21">
        <v>4601004349186</v>
      </c>
    </row>
    <row r="102" spans="1:26" ht="12" customHeight="1" outlineLevel="4" x14ac:dyDescent="0.2">
      <c r="A102" s="40" t="s">
        <v>637</v>
      </c>
      <c r="B102" s="75" t="s">
        <v>638</v>
      </c>
      <c r="C102" s="51"/>
      <c r="D102" s="54">
        <f t="shared" si="1"/>
        <v>0</v>
      </c>
      <c r="E102" s="61" t="str">
        <f>HYPERLINK("https://www.sds-group.ru/product/rozetka-strong-kompyuternaya-dvoynaya-rj45-rj45-kat6-s-u-antratsit-kranz-KR-78-0725-5/", "Инфо")</f>
        <v>Инфо</v>
      </c>
      <c r="F102" s="42" t="s">
        <v>39</v>
      </c>
      <c r="G102" s="41" t="s">
        <v>40</v>
      </c>
      <c r="H102" s="41"/>
      <c r="I102" s="41"/>
      <c r="J102" s="43">
        <v>196</v>
      </c>
      <c r="K102" s="41"/>
      <c r="L102" s="43">
        <v>1</v>
      </c>
      <c r="M102" s="43">
        <v>100</v>
      </c>
      <c r="N102" s="43">
        <v>1</v>
      </c>
      <c r="O102" s="44">
        <v>5475.85</v>
      </c>
      <c r="P102" s="44">
        <v>4488.3999999999996</v>
      </c>
      <c r="Q102" s="44">
        <v>5475.85</v>
      </c>
      <c r="R102" s="44">
        <v>4488.3999999999996</v>
      </c>
      <c r="S102" s="44">
        <v>4380.68</v>
      </c>
      <c r="T102" s="44">
        <v>3590.72</v>
      </c>
      <c r="U102" s="42"/>
      <c r="V102" s="42"/>
      <c r="W102" s="42" t="s">
        <v>40</v>
      </c>
      <c r="X102" s="45">
        <v>0.14000000000000001</v>
      </c>
      <c r="Y102" s="46">
        <v>5.3200000000000003E-4</v>
      </c>
      <c r="Z102" s="21">
        <v>4601004324619</v>
      </c>
    </row>
    <row r="103" spans="1:26" ht="12" customHeight="1" outlineLevel="4" x14ac:dyDescent="0.2">
      <c r="A103" s="40" t="s">
        <v>639</v>
      </c>
      <c r="B103" s="75" t="s">
        <v>640</v>
      </c>
      <c r="C103" s="51"/>
      <c r="D103" s="54">
        <f t="shared" si="1"/>
        <v>0</v>
      </c>
      <c r="E103" s="61" t="str">
        <f>HYPERLINK("https://www.sds-group.ru/product/rozetka-strong-kompyuternaya-dvoynaya-rj45-rj45-kat6-s-u-zhemchug-kranz-KR-78-0725-4/", "Инфо")</f>
        <v>Инфо</v>
      </c>
      <c r="F103" s="42" t="s">
        <v>39</v>
      </c>
      <c r="G103" s="41" t="s">
        <v>40</v>
      </c>
      <c r="H103" s="41"/>
      <c r="I103" s="41"/>
      <c r="J103" s="43">
        <v>100</v>
      </c>
      <c r="K103" s="41"/>
      <c r="L103" s="43">
        <v>1</v>
      </c>
      <c r="M103" s="43">
        <v>100</v>
      </c>
      <c r="N103" s="43">
        <v>1</v>
      </c>
      <c r="O103" s="44">
        <v>4570.8599999999997</v>
      </c>
      <c r="P103" s="44">
        <v>3746.61</v>
      </c>
      <c r="Q103" s="44">
        <v>4570.8599999999997</v>
      </c>
      <c r="R103" s="44">
        <v>3746.61</v>
      </c>
      <c r="S103" s="44">
        <v>3656.69</v>
      </c>
      <c r="T103" s="44">
        <v>2997.29</v>
      </c>
      <c r="U103" s="42"/>
      <c r="V103" s="42"/>
      <c r="W103" s="42" t="s">
        <v>40</v>
      </c>
      <c r="X103" s="45">
        <v>0.13900000000000001</v>
      </c>
      <c r="Y103" s="46">
        <v>5.2899999999999996E-4</v>
      </c>
      <c r="Z103" s="21">
        <v>4601004324633</v>
      </c>
    </row>
    <row r="104" spans="1:26" ht="12" customHeight="1" outlineLevel="4" x14ac:dyDescent="0.2">
      <c r="A104" s="40" t="s">
        <v>647</v>
      </c>
      <c r="B104" s="75" t="s">
        <v>648</v>
      </c>
      <c r="C104" s="51"/>
      <c r="D104" s="54">
        <f t="shared" si="1"/>
        <v>0</v>
      </c>
      <c r="E104" s="61" t="str">
        <f>HYPERLINK("https://www.sds-group.ru/product/svetoregulyator-strong-dimmer-300vt-s-u-shelk-kranz-KR-78-0732-8/", "Инфо")</f>
        <v>Инфо</v>
      </c>
      <c r="F104" s="42" t="s">
        <v>39</v>
      </c>
      <c r="G104" s="41" t="s">
        <v>40</v>
      </c>
      <c r="H104" s="41"/>
      <c r="I104" s="41"/>
      <c r="J104" s="42" t="s">
        <v>100</v>
      </c>
      <c r="K104" s="41" t="s">
        <v>210</v>
      </c>
      <c r="L104" s="43">
        <v>1</v>
      </c>
      <c r="M104" s="43">
        <v>80</v>
      </c>
      <c r="N104" s="43">
        <v>1</v>
      </c>
      <c r="O104" s="44">
        <v>5184.5</v>
      </c>
      <c r="P104" s="44">
        <v>4249.59</v>
      </c>
      <c r="Q104" s="44">
        <v>5184.5</v>
      </c>
      <c r="R104" s="44">
        <v>4249.59</v>
      </c>
      <c r="S104" s="44">
        <v>4147.6000000000004</v>
      </c>
      <c r="T104" s="44">
        <v>3399.67</v>
      </c>
      <c r="U104" s="42"/>
      <c r="V104" s="42"/>
      <c r="W104" s="42" t="s">
        <v>40</v>
      </c>
      <c r="X104" s="45">
        <v>0.17100000000000001</v>
      </c>
      <c r="Y104" s="46">
        <v>6.5799999999999995E-4</v>
      </c>
      <c r="Z104" s="21">
        <v>4601004349582</v>
      </c>
    </row>
    <row r="105" spans="1:26" ht="12" customHeight="1" outlineLevel="4" x14ac:dyDescent="0.2">
      <c r="A105" s="40" t="s">
        <v>655</v>
      </c>
      <c r="B105" s="75" t="s">
        <v>656</v>
      </c>
      <c r="C105" s="51"/>
      <c r="D105" s="54">
        <f t="shared" si="1"/>
        <v>0</v>
      </c>
      <c r="E105" s="61" t="str">
        <f>HYPERLINK("https://www.sds-group.ru/product/termoregulyator-strong-wi-fi-s-u-shelk-kranz-KR-78-0728-8/", "Инфо")</f>
        <v>Инфо</v>
      </c>
      <c r="F105" s="42" t="s">
        <v>39</v>
      </c>
      <c r="G105" s="41" t="s">
        <v>40</v>
      </c>
      <c r="H105" s="41"/>
      <c r="I105" s="41"/>
      <c r="J105" s="43">
        <v>99</v>
      </c>
      <c r="K105" s="41" t="s">
        <v>210</v>
      </c>
      <c r="L105" s="43">
        <v>1</v>
      </c>
      <c r="M105" s="43">
        <v>60</v>
      </c>
      <c r="N105" s="43">
        <v>1</v>
      </c>
      <c r="O105" s="44">
        <v>18119</v>
      </c>
      <c r="P105" s="44">
        <v>14851.64</v>
      </c>
      <c r="Q105" s="44">
        <v>18119</v>
      </c>
      <c r="R105" s="44">
        <v>14851.64</v>
      </c>
      <c r="S105" s="44">
        <v>14495.2</v>
      </c>
      <c r="T105" s="44">
        <v>11881.31</v>
      </c>
      <c r="U105" s="42"/>
      <c r="V105" s="42"/>
      <c r="W105" s="42" t="s">
        <v>40</v>
      </c>
      <c r="X105" s="45">
        <v>0.28199999999999997</v>
      </c>
      <c r="Y105" s="46">
        <v>8.8599999999999996E-4</v>
      </c>
      <c r="Z105" s="21">
        <v>4601004349643</v>
      </c>
    </row>
    <row r="106" spans="1:26" ht="12.95" customHeight="1" outlineLevel="3" x14ac:dyDescent="0.2">
      <c r="A106" s="76" t="s">
        <v>657</v>
      </c>
      <c r="B106" s="76"/>
      <c r="C106" s="77"/>
      <c r="D106" s="58"/>
      <c r="E106" s="68"/>
      <c r="F106" s="30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 spans="1:26" ht="12" customHeight="1" outlineLevel="4" x14ac:dyDescent="0.2">
      <c r="A107" s="40" t="s">
        <v>658</v>
      </c>
      <c r="B107" s="75" t="s">
        <v>659</v>
      </c>
      <c r="C107" s="51"/>
      <c r="D107" s="54">
        <f t="shared" si="1"/>
        <v>0</v>
      </c>
      <c r="E107" s="62"/>
      <c r="F107" s="42" t="s">
        <v>39</v>
      </c>
      <c r="G107" s="41" t="s">
        <v>40</v>
      </c>
      <c r="H107" s="41"/>
      <c r="I107" s="41"/>
      <c r="J107" s="43">
        <v>336</v>
      </c>
      <c r="K107" s="41"/>
      <c r="L107" s="43">
        <v>1</v>
      </c>
      <c r="M107" s="43">
        <v>100</v>
      </c>
      <c r="N107" s="43">
        <v>1</v>
      </c>
      <c r="O107" s="44">
        <v>872.77</v>
      </c>
      <c r="P107" s="44">
        <v>715.39</v>
      </c>
      <c r="Q107" s="44">
        <v>872.77</v>
      </c>
      <c r="R107" s="44">
        <v>715.39</v>
      </c>
      <c r="S107" s="44">
        <v>698.22</v>
      </c>
      <c r="T107" s="44">
        <v>572.30999999999995</v>
      </c>
      <c r="U107" s="42"/>
      <c r="V107" s="42"/>
      <c r="W107" s="42" t="s">
        <v>40</v>
      </c>
      <c r="X107" s="45">
        <v>0.14899999999999999</v>
      </c>
      <c r="Y107" s="46">
        <v>5.3600000000000002E-4</v>
      </c>
      <c r="Z107" s="21">
        <v>4601004346215</v>
      </c>
    </row>
    <row r="108" spans="1:26" ht="12" customHeight="1" outlineLevel="4" x14ac:dyDescent="0.2">
      <c r="A108" s="40" t="s">
        <v>660</v>
      </c>
      <c r="B108" s="75" t="s">
        <v>661</v>
      </c>
      <c r="C108" s="51"/>
      <c r="D108" s="54">
        <f t="shared" si="1"/>
        <v>0</v>
      </c>
      <c r="E108" s="62"/>
      <c r="F108" s="42" t="s">
        <v>39</v>
      </c>
      <c r="G108" s="41" t="s">
        <v>40</v>
      </c>
      <c r="H108" s="41"/>
      <c r="I108" s="41"/>
      <c r="J108" s="43">
        <v>236</v>
      </c>
      <c r="K108" s="41" t="s">
        <v>662</v>
      </c>
      <c r="L108" s="43">
        <v>1</v>
      </c>
      <c r="M108" s="43">
        <v>100</v>
      </c>
      <c r="N108" s="43">
        <v>1</v>
      </c>
      <c r="O108" s="44">
        <v>850</v>
      </c>
      <c r="P108" s="44">
        <v>696.72</v>
      </c>
      <c r="Q108" s="44">
        <v>850</v>
      </c>
      <c r="R108" s="44">
        <v>696.72</v>
      </c>
      <c r="S108" s="44">
        <v>680</v>
      </c>
      <c r="T108" s="44">
        <v>557.38</v>
      </c>
      <c r="U108" s="42"/>
      <c r="V108" s="42"/>
      <c r="W108" s="42" t="s">
        <v>40</v>
      </c>
      <c r="X108" s="45">
        <v>0.14899999999999999</v>
      </c>
      <c r="Y108" s="46">
        <v>5.3200000000000003E-4</v>
      </c>
      <c r="Z108" s="21">
        <v>4601004346178</v>
      </c>
    </row>
    <row r="109" spans="1:26" ht="12" customHeight="1" outlineLevel="4" x14ac:dyDescent="0.2">
      <c r="A109" s="40" t="s">
        <v>663</v>
      </c>
      <c r="B109" s="75" t="s">
        <v>664</v>
      </c>
      <c r="C109" s="51"/>
      <c r="D109" s="54">
        <f t="shared" si="1"/>
        <v>0</v>
      </c>
      <c r="E109" s="62"/>
      <c r="F109" s="42" t="s">
        <v>39</v>
      </c>
      <c r="G109" s="41" t="s">
        <v>40</v>
      </c>
      <c r="H109" s="41"/>
      <c r="I109" s="41"/>
      <c r="J109" s="43">
        <v>430</v>
      </c>
      <c r="K109" s="41"/>
      <c r="L109" s="43">
        <v>1</v>
      </c>
      <c r="M109" s="43">
        <v>100</v>
      </c>
      <c r="N109" s="43">
        <v>1</v>
      </c>
      <c r="O109" s="44">
        <v>727.72</v>
      </c>
      <c r="P109" s="44">
        <v>596.49</v>
      </c>
      <c r="Q109" s="44">
        <v>727.72</v>
      </c>
      <c r="R109" s="44">
        <v>596.49</v>
      </c>
      <c r="S109" s="44">
        <v>582.17999999999995</v>
      </c>
      <c r="T109" s="44">
        <v>477.2</v>
      </c>
      <c r="U109" s="42"/>
      <c r="V109" s="42"/>
      <c r="W109" s="42" t="s">
        <v>40</v>
      </c>
      <c r="X109" s="45">
        <v>0.14899999999999999</v>
      </c>
      <c r="Y109" s="46">
        <v>5.3200000000000003E-4</v>
      </c>
      <c r="Z109" s="21">
        <v>4601004346154</v>
      </c>
    </row>
    <row r="110" spans="1:26" ht="12" customHeight="1" outlineLevel="4" x14ac:dyDescent="0.2">
      <c r="A110" s="40" t="s">
        <v>665</v>
      </c>
      <c r="B110" s="75" t="s">
        <v>666</v>
      </c>
      <c r="C110" s="51"/>
      <c r="D110" s="54">
        <f t="shared" si="1"/>
        <v>0</v>
      </c>
      <c r="E110" s="62"/>
      <c r="F110" s="42" t="s">
        <v>39</v>
      </c>
      <c r="G110" s="41" t="s">
        <v>40</v>
      </c>
      <c r="H110" s="41"/>
      <c r="I110" s="41"/>
      <c r="J110" s="43">
        <v>428</v>
      </c>
      <c r="K110" s="41"/>
      <c r="L110" s="43">
        <v>1</v>
      </c>
      <c r="M110" s="43">
        <v>100</v>
      </c>
      <c r="N110" s="43">
        <v>1</v>
      </c>
      <c r="O110" s="44">
        <v>850</v>
      </c>
      <c r="P110" s="44">
        <v>696.72</v>
      </c>
      <c r="Q110" s="44">
        <v>850</v>
      </c>
      <c r="R110" s="44">
        <v>696.72</v>
      </c>
      <c r="S110" s="44">
        <v>680</v>
      </c>
      <c r="T110" s="44">
        <v>557.38</v>
      </c>
      <c r="U110" s="42"/>
      <c r="V110" s="42"/>
      <c r="W110" s="42" t="s">
        <v>40</v>
      </c>
      <c r="X110" s="45">
        <v>0.14899999999999999</v>
      </c>
      <c r="Y110" s="46">
        <v>5.2599999999999999E-4</v>
      </c>
      <c r="Z110" s="21">
        <v>4601004346192</v>
      </c>
    </row>
    <row r="111" spans="1:26" ht="12" customHeight="1" outlineLevel="4" x14ac:dyDescent="0.2">
      <c r="A111" s="40" t="s">
        <v>667</v>
      </c>
      <c r="B111" s="75" t="s">
        <v>668</v>
      </c>
      <c r="C111" s="51"/>
      <c r="D111" s="54">
        <f t="shared" si="1"/>
        <v>0</v>
      </c>
      <c r="E111" s="62"/>
      <c r="F111" s="42" t="s">
        <v>39</v>
      </c>
      <c r="G111" s="41" t="s">
        <v>40</v>
      </c>
      <c r="H111" s="41"/>
      <c r="I111" s="41"/>
      <c r="J111" s="47">
        <v>3242</v>
      </c>
      <c r="K111" s="41" t="s">
        <v>662</v>
      </c>
      <c r="L111" s="43">
        <v>1</v>
      </c>
      <c r="M111" s="43">
        <v>100</v>
      </c>
      <c r="N111" s="43">
        <v>1</v>
      </c>
      <c r="O111" s="44">
        <v>917.88</v>
      </c>
      <c r="P111" s="44">
        <v>752.36</v>
      </c>
      <c r="Q111" s="44">
        <v>917.88</v>
      </c>
      <c r="R111" s="44">
        <v>752.36</v>
      </c>
      <c r="S111" s="44">
        <v>734.3</v>
      </c>
      <c r="T111" s="44">
        <v>601.89</v>
      </c>
      <c r="U111" s="42"/>
      <c r="V111" s="42"/>
      <c r="W111" s="42" t="s">
        <v>40</v>
      </c>
      <c r="X111" s="45">
        <v>0.17</v>
      </c>
      <c r="Y111" s="46">
        <v>5.2499999999999997E-4</v>
      </c>
      <c r="Z111" s="21">
        <v>4601004346253</v>
      </c>
    </row>
    <row r="112" spans="1:26" ht="12" customHeight="1" outlineLevel="4" x14ac:dyDescent="0.2">
      <c r="A112" s="40" t="s">
        <v>669</v>
      </c>
      <c r="B112" s="75" t="s">
        <v>670</v>
      </c>
      <c r="C112" s="51"/>
      <c r="D112" s="54">
        <f t="shared" si="1"/>
        <v>0</v>
      </c>
      <c r="E112" s="62"/>
      <c r="F112" s="42" t="s">
        <v>39</v>
      </c>
      <c r="G112" s="41" t="s">
        <v>40</v>
      </c>
      <c r="H112" s="41"/>
      <c r="I112" s="41"/>
      <c r="J112" s="47">
        <v>3374</v>
      </c>
      <c r="K112" s="41" t="s">
        <v>662</v>
      </c>
      <c r="L112" s="43">
        <v>1</v>
      </c>
      <c r="M112" s="43">
        <v>100</v>
      </c>
      <c r="N112" s="43">
        <v>1</v>
      </c>
      <c r="O112" s="44">
        <v>909.72</v>
      </c>
      <c r="P112" s="44">
        <v>745.67</v>
      </c>
      <c r="Q112" s="44">
        <v>909.72</v>
      </c>
      <c r="R112" s="44">
        <v>745.67</v>
      </c>
      <c r="S112" s="44">
        <v>727.78</v>
      </c>
      <c r="T112" s="44">
        <v>596.54</v>
      </c>
      <c r="U112" s="42"/>
      <c r="V112" s="42"/>
      <c r="W112" s="42" t="s">
        <v>40</v>
      </c>
      <c r="X112" s="45">
        <v>0.17</v>
      </c>
      <c r="Y112" s="46">
        <v>5.2599999999999999E-4</v>
      </c>
      <c r="Z112" s="21">
        <v>4601004346291</v>
      </c>
    </row>
    <row r="113" spans="1:26" ht="12" customHeight="1" outlineLevel="4" x14ac:dyDescent="0.2">
      <c r="A113" s="40" t="s">
        <v>671</v>
      </c>
      <c r="B113" s="75" t="s">
        <v>672</v>
      </c>
      <c r="C113" s="51"/>
      <c r="D113" s="54">
        <f t="shared" si="1"/>
        <v>0</v>
      </c>
      <c r="E113" s="62"/>
      <c r="F113" s="42" t="s">
        <v>39</v>
      </c>
      <c r="G113" s="41" t="s">
        <v>40</v>
      </c>
      <c r="H113" s="41"/>
      <c r="I113" s="41"/>
      <c r="J113" s="47">
        <v>3470</v>
      </c>
      <c r="K113" s="41" t="s">
        <v>662</v>
      </c>
      <c r="L113" s="43">
        <v>1</v>
      </c>
      <c r="M113" s="43">
        <v>100</v>
      </c>
      <c r="N113" s="43">
        <v>1</v>
      </c>
      <c r="O113" s="44">
        <v>744.58</v>
      </c>
      <c r="P113" s="44">
        <v>610.30999999999995</v>
      </c>
      <c r="Q113" s="44">
        <v>744.58</v>
      </c>
      <c r="R113" s="44">
        <v>610.30999999999995</v>
      </c>
      <c r="S113" s="44">
        <v>595.66</v>
      </c>
      <c r="T113" s="44">
        <v>488.25</v>
      </c>
      <c r="U113" s="42"/>
      <c r="V113" s="42"/>
      <c r="W113" s="42" t="s">
        <v>40</v>
      </c>
      <c r="X113" s="45">
        <v>0.17</v>
      </c>
      <c r="Y113" s="46">
        <v>5.31E-4</v>
      </c>
      <c r="Z113" s="21">
        <v>4601004346314</v>
      </c>
    </row>
    <row r="114" spans="1:26" ht="12" customHeight="1" outlineLevel="4" x14ac:dyDescent="0.2">
      <c r="A114" s="40" t="s">
        <v>673</v>
      </c>
      <c r="B114" s="75" t="s">
        <v>674</v>
      </c>
      <c r="C114" s="51"/>
      <c r="D114" s="54">
        <f t="shared" si="1"/>
        <v>0</v>
      </c>
      <c r="E114" s="62"/>
      <c r="F114" s="42" t="s">
        <v>39</v>
      </c>
      <c r="G114" s="41" t="s">
        <v>40</v>
      </c>
      <c r="H114" s="41"/>
      <c r="I114" s="41"/>
      <c r="J114" s="47">
        <v>3072</v>
      </c>
      <c r="K114" s="41" t="s">
        <v>662</v>
      </c>
      <c r="L114" s="43">
        <v>1</v>
      </c>
      <c r="M114" s="43">
        <v>100</v>
      </c>
      <c r="N114" s="43">
        <v>1</v>
      </c>
      <c r="O114" s="44">
        <v>909.72</v>
      </c>
      <c r="P114" s="44">
        <v>745.67</v>
      </c>
      <c r="Q114" s="44">
        <v>909.72</v>
      </c>
      <c r="R114" s="44">
        <v>745.67</v>
      </c>
      <c r="S114" s="44">
        <v>727.78</v>
      </c>
      <c r="T114" s="44">
        <v>596.54</v>
      </c>
      <c r="U114" s="42"/>
      <c r="V114" s="42"/>
      <c r="W114" s="42" t="s">
        <v>40</v>
      </c>
      <c r="X114" s="45">
        <v>0.17</v>
      </c>
      <c r="Y114" s="46">
        <v>5.2800000000000004E-4</v>
      </c>
      <c r="Z114" s="21">
        <v>4601004346277</v>
      </c>
    </row>
    <row r="115" spans="1:26" ht="12" customHeight="1" outlineLevel="4" x14ac:dyDescent="0.2">
      <c r="A115" s="40" t="s">
        <v>675</v>
      </c>
      <c r="B115" s="75" t="s">
        <v>676</v>
      </c>
      <c r="C115" s="51"/>
      <c r="D115" s="54">
        <f t="shared" si="1"/>
        <v>0</v>
      </c>
      <c r="E115" s="62"/>
      <c r="F115" s="42" t="s">
        <v>39</v>
      </c>
      <c r="G115" s="41" t="s">
        <v>40</v>
      </c>
      <c r="H115" s="41"/>
      <c r="I115" s="41"/>
      <c r="J115" s="43">
        <v>372</v>
      </c>
      <c r="K115" s="41"/>
      <c r="L115" s="43">
        <v>1</v>
      </c>
      <c r="M115" s="43">
        <v>100</v>
      </c>
      <c r="N115" s="43">
        <v>1</v>
      </c>
      <c r="O115" s="44">
        <v>1441.28</v>
      </c>
      <c r="P115" s="44">
        <v>1181.3800000000001</v>
      </c>
      <c r="Q115" s="44">
        <v>1441.28</v>
      </c>
      <c r="R115" s="44">
        <v>1181.3800000000001</v>
      </c>
      <c r="S115" s="44">
        <v>1153.02</v>
      </c>
      <c r="T115" s="44">
        <v>945.1</v>
      </c>
      <c r="U115" s="42"/>
      <c r="V115" s="42"/>
      <c r="W115" s="42" t="s">
        <v>40</v>
      </c>
      <c r="X115" s="45">
        <v>0.17</v>
      </c>
      <c r="Y115" s="46">
        <v>5.2300000000000003E-4</v>
      </c>
      <c r="Z115" s="21">
        <v>4601004346338</v>
      </c>
    </row>
    <row r="116" spans="1:26" ht="12" customHeight="1" outlineLevel="4" x14ac:dyDescent="0.2">
      <c r="A116" s="40" t="s">
        <v>677</v>
      </c>
      <c r="B116" s="75" t="s">
        <v>678</v>
      </c>
      <c r="C116" s="51"/>
      <c r="D116" s="54">
        <f t="shared" si="1"/>
        <v>0</v>
      </c>
      <c r="E116" s="62"/>
      <c r="F116" s="42" t="s">
        <v>39</v>
      </c>
      <c r="G116" s="41" t="s">
        <v>40</v>
      </c>
      <c r="H116" s="41"/>
      <c r="I116" s="41"/>
      <c r="J116" s="43">
        <v>370</v>
      </c>
      <c r="K116" s="41"/>
      <c r="L116" s="43">
        <v>1</v>
      </c>
      <c r="M116" s="43">
        <v>100</v>
      </c>
      <c r="N116" s="43">
        <v>1</v>
      </c>
      <c r="O116" s="44">
        <v>1436.08</v>
      </c>
      <c r="P116" s="44">
        <v>1177.1099999999999</v>
      </c>
      <c r="Q116" s="44">
        <v>1436.08</v>
      </c>
      <c r="R116" s="44">
        <v>1177.1099999999999</v>
      </c>
      <c r="S116" s="44">
        <v>1148.8599999999999</v>
      </c>
      <c r="T116" s="44">
        <v>941.69</v>
      </c>
      <c r="U116" s="42"/>
      <c r="V116" s="42"/>
      <c r="W116" s="42" t="s">
        <v>40</v>
      </c>
      <c r="X116" s="45">
        <v>0.17</v>
      </c>
      <c r="Y116" s="46">
        <v>5.2400000000000005E-4</v>
      </c>
      <c r="Z116" s="21">
        <v>4601004346376</v>
      </c>
    </row>
    <row r="117" spans="1:26" ht="12" customHeight="1" outlineLevel="4" x14ac:dyDescent="0.2">
      <c r="A117" s="40" t="s">
        <v>679</v>
      </c>
      <c r="B117" s="75" t="s">
        <v>680</v>
      </c>
      <c r="C117" s="51"/>
      <c r="D117" s="54">
        <f t="shared" si="1"/>
        <v>0</v>
      </c>
      <c r="E117" s="62"/>
      <c r="F117" s="42" t="s">
        <v>39</v>
      </c>
      <c r="G117" s="41" t="s">
        <v>40</v>
      </c>
      <c r="H117" s="41"/>
      <c r="I117" s="41"/>
      <c r="J117" s="43">
        <v>323</v>
      </c>
      <c r="K117" s="41"/>
      <c r="L117" s="43">
        <v>1</v>
      </c>
      <c r="M117" s="43">
        <v>100</v>
      </c>
      <c r="N117" s="43">
        <v>1</v>
      </c>
      <c r="O117" s="44">
        <v>1212.98</v>
      </c>
      <c r="P117" s="44">
        <v>994.25</v>
      </c>
      <c r="Q117" s="44">
        <v>1212.98</v>
      </c>
      <c r="R117" s="44">
        <v>994.25</v>
      </c>
      <c r="S117" s="44">
        <v>970.38</v>
      </c>
      <c r="T117" s="44">
        <v>795.39</v>
      </c>
      <c r="U117" s="42"/>
      <c r="V117" s="42"/>
      <c r="W117" s="42" t="s">
        <v>40</v>
      </c>
      <c r="X117" s="45">
        <v>0.16900000000000001</v>
      </c>
      <c r="Y117" s="46">
        <v>5.2300000000000003E-4</v>
      </c>
      <c r="Z117" s="21">
        <v>4601004346390</v>
      </c>
    </row>
    <row r="118" spans="1:26" ht="12" customHeight="1" outlineLevel="4" x14ac:dyDescent="0.2">
      <c r="A118" s="40" t="s">
        <v>681</v>
      </c>
      <c r="B118" s="75" t="s">
        <v>682</v>
      </c>
      <c r="C118" s="51"/>
      <c r="D118" s="54">
        <f t="shared" si="1"/>
        <v>0</v>
      </c>
      <c r="E118" s="62"/>
      <c r="F118" s="42" t="s">
        <v>39</v>
      </c>
      <c r="G118" s="41" t="s">
        <v>40</v>
      </c>
      <c r="H118" s="41"/>
      <c r="I118" s="41"/>
      <c r="J118" s="43">
        <v>484</v>
      </c>
      <c r="K118" s="41"/>
      <c r="L118" s="43">
        <v>1</v>
      </c>
      <c r="M118" s="43">
        <v>100</v>
      </c>
      <c r="N118" s="43">
        <v>1</v>
      </c>
      <c r="O118" s="44">
        <v>1436.08</v>
      </c>
      <c r="P118" s="44">
        <v>1177.1099999999999</v>
      </c>
      <c r="Q118" s="44">
        <v>1436.08</v>
      </c>
      <c r="R118" s="44">
        <v>1177.1099999999999</v>
      </c>
      <c r="S118" s="44">
        <v>1148.8599999999999</v>
      </c>
      <c r="T118" s="44">
        <v>941.69</v>
      </c>
      <c r="U118" s="42"/>
      <c r="V118" s="42"/>
      <c r="W118" s="42" t="s">
        <v>40</v>
      </c>
      <c r="X118" s="45">
        <v>0.17</v>
      </c>
      <c r="Y118" s="46">
        <v>5.2499999999999997E-4</v>
      </c>
      <c r="Z118" s="21">
        <v>4601004346352</v>
      </c>
    </row>
    <row r="119" spans="1:26" ht="12" customHeight="1" outlineLevel="4" x14ac:dyDescent="0.2">
      <c r="A119" s="40" t="s">
        <v>683</v>
      </c>
      <c r="B119" s="75" t="s">
        <v>684</v>
      </c>
      <c r="C119" s="51"/>
      <c r="D119" s="54">
        <f t="shared" si="1"/>
        <v>0</v>
      </c>
      <c r="E119" s="62"/>
      <c r="F119" s="42" t="s">
        <v>39</v>
      </c>
      <c r="G119" s="41" t="s">
        <v>40</v>
      </c>
      <c r="H119" s="41"/>
      <c r="I119" s="41"/>
      <c r="J119" s="43">
        <v>338</v>
      </c>
      <c r="K119" s="41"/>
      <c r="L119" s="43">
        <v>1</v>
      </c>
      <c r="M119" s="43">
        <v>100</v>
      </c>
      <c r="N119" s="43">
        <v>1</v>
      </c>
      <c r="O119" s="44">
        <v>1803.23</v>
      </c>
      <c r="P119" s="44">
        <v>1478.06</v>
      </c>
      <c r="Q119" s="44">
        <v>1803.23</v>
      </c>
      <c r="R119" s="44">
        <v>1478.06</v>
      </c>
      <c r="S119" s="44">
        <v>1442.58</v>
      </c>
      <c r="T119" s="44">
        <v>1182.44</v>
      </c>
      <c r="U119" s="42"/>
      <c r="V119" s="42"/>
      <c r="W119" s="42" t="s">
        <v>40</v>
      </c>
      <c r="X119" s="45">
        <v>0.186</v>
      </c>
      <c r="Y119" s="46">
        <v>5.2899999999999996E-4</v>
      </c>
      <c r="Z119" s="21">
        <v>4601004346413</v>
      </c>
    </row>
    <row r="120" spans="1:26" ht="12" customHeight="1" outlineLevel="4" x14ac:dyDescent="0.2">
      <c r="A120" s="40" t="s">
        <v>685</v>
      </c>
      <c r="B120" s="75" t="s">
        <v>686</v>
      </c>
      <c r="C120" s="51"/>
      <c r="D120" s="54">
        <f t="shared" si="1"/>
        <v>0</v>
      </c>
      <c r="E120" s="62"/>
      <c r="F120" s="42" t="s">
        <v>39</v>
      </c>
      <c r="G120" s="41" t="s">
        <v>40</v>
      </c>
      <c r="H120" s="41"/>
      <c r="I120" s="41"/>
      <c r="J120" s="43">
        <v>339</v>
      </c>
      <c r="K120" s="41"/>
      <c r="L120" s="43">
        <v>1</v>
      </c>
      <c r="M120" s="43">
        <v>100</v>
      </c>
      <c r="N120" s="43">
        <v>1</v>
      </c>
      <c r="O120" s="44">
        <v>1772.01</v>
      </c>
      <c r="P120" s="44">
        <v>1452.47</v>
      </c>
      <c r="Q120" s="44">
        <v>1772.01</v>
      </c>
      <c r="R120" s="44">
        <v>1452.47</v>
      </c>
      <c r="S120" s="44">
        <v>1417.61</v>
      </c>
      <c r="T120" s="44">
        <v>1161.98</v>
      </c>
      <c r="U120" s="42"/>
      <c r="V120" s="42"/>
      <c r="W120" s="42" t="s">
        <v>40</v>
      </c>
      <c r="X120" s="45">
        <v>0.186</v>
      </c>
      <c r="Y120" s="46">
        <v>5.2800000000000004E-4</v>
      </c>
      <c r="Z120" s="21">
        <v>4601004346451</v>
      </c>
    </row>
    <row r="121" spans="1:26" ht="12" customHeight="1" outlineLevel="4" x14ac:dyDescent="0.2">
      <c r="A121" s="40" t="s">
        <v>687</v>
      </c>
      <c r="B121" s="75" t="s">
        <v>688</v>
      </c>
      <c r="C121" s="51"/>
      <c r="D121" s="54">
        <f t="shared" si="1"/>
        <v>0</v>
      </c>
      <c r="E121" s="62"/>
      <c r="F121" s="42" t="s">
        <v>39</v>
      </c>
      <c r="G121" s="41" t="s">
        <v>40</v>
      </c>
      <c r="H121" s="41"/>
      <c r="I121" s="41"/>
      <c r="J121" s="43">
        <v>432</v>
      </c>
      <c r="K121" s="41"/>
      <c r="L121" s="43">
        <v>1</v>
      </c>
      <c r="M121" s="43">
        <v>100</v>
      </c>
      <c r="N121" s="43">
        <v>1</v>
      </c>
      <c r="O121" s="44">
        <v>1495.93</v>
      </c>
      <c r="P121" s="44">
        <v>1226.17</v>
      </c>
      <c r="Q121" s="44">
        <v>1495.93</v>
      </c>
      <c r="R121" s="44">
        <v>1226.17</v>
      </c>
      <c r="S121" s="44">
        <v>1196.74</v>
      </c>
      <c r="T121" s="44">
        <v>980.93</v>
      </c>
      <c r="U121" s="42"/>
      <c r="V121" s="42"/>
      <c r="W121" s="42" t="s">
        <v>40</v>
      </c>
      <c r="X121" s="45">
        <v>0.186</v>
      </c>
      <c r="Y121" s="46">
        <v>5.2599999999999999E-4</v>
      </c>
      <c r="Z121" s="21">
        <v>4601004346475</v>
      </c>
    </row>
    <row r="122" spans="1:26" ht="12" customHeight="1" outlineLevel="4" x14ac:dyDescent="0.2">
      <c r="A122" s="40" t="s">
        <v>689</v>
      </c>
      <c r="B122" s="75" t="s">
        <v>690</v>
      </c>
      <c r="C122" s="51"/>
      <c r="D122" s="54">
        <f t="shared" si="1"/>
        <v>0</v>
      </c>
      <c r="E122" s="62"/>
      <c r="F122" s="42" t="s">
        <v>39</v>
      </c>
      <c r="G122" s="41" t="s">
        <v>40</v>
      </c>
      <c r="H122" s="41"/>
      <c r="I122" s="41"/>
      <c r="J122" s="43">
        <v>431</v>
      </c>
      <c r="K122" s="41"/>
      <c r="L122" s="43">
        <v>1</v>
      </c>
      <c r="M122" s="43">
        <v>100</v>
      </c>
      <c r="N122" s="43">
        <v>1</v>
      </c>
      <c r="O122" s="44">
        <v>1772.01</v>
      </c>
      <c r="P122" s="44">
        <v>1452.47</v>
      </c>
      <c r="Q122" s="44">
        <v>1772.01</v>
      </c>
      <c r="R122" s="44">
        <v>1452.47</v>
      </c>
      <c r="S122" s="44">
        <v>1417.61</v>
      </c>
      <c r="T122" s="44">
        <v>1161.98</v>
      </c>
      <c r="U122" s="42"/>
      <c r="V122" s="42"/>
      <c r="W122" s="42" t="s">
        <v>40</v>
      </c>
      <c r="X122" s="45">
        <v>0.186</v>
      </c>
      <c r="Y122" s="46">
        <v>5.2800000000000004E-4</v>
      </c>
      <c r="Z122" s="21">
        <v>4601004346437</v>
      </c>
    </row>
    <row r="123" spans="1:26" ht="12" customHeight="1" outlineLevel="4" x14ac:dyDescent="0.2">
      <c r="A123" s="40" t="s">
        <v>691</v>
      </c>
      <c r="B123" s="75" t="s">
        <v>692</v>
      </c>
      <c r="C123" s="51"/>
      <c r="D123" s="54">
        <f t="shared" si="1"/>
        <v>0</v>
      </c>
      <c r="E123" s="62"/>
      <c r="F123" s="42" t="s">
        <v>39</v>
      </c>
      <c r="G123" s="41" t="s">
        <v>40</v>
      </c>
      <c r="H123" s="41"/>
      <c r="I123" s="41"/>
      <c r="J123" s="43">
        <v>973</v>
      </c>
      <c r="K123" s="41"/>
      <c r="L123" s="43">
        <v>1</v>
      </c>
      <c r="M123" s="43">
        <v>100</v>
      </c>
      <c r="N123" s="43">
        <v>1</v>
      </c>
      <c r="O123" s="44">
        <v>1273.6199999999999</v>
      </c>
      <c r="P123" s="44">
        <v>1043.95</v>
      </c>
      <c r="Q123" s="44">
        <v>1273.6199999999999</v>
      </c>
      <c r="R123" s="44">
        <v>1043.95</v>
      </c>
      <c r="S123" s="44">
        <v>1018.9</v>
      </c>
      <c r="T123" s="44">
        <v>835.16</v>
      </c>
      <c r="U123" s="42"/>
      <c r="V123" s="42"/>
      <c r="W123" s="42" t="s">
        <v>40</v>
      </c>
      <c r="X123" s="45">
        <v>0.17299999999999999</v>
      </c>
      <c r="Y123" s="46">
        <v>5.31E-4</v>
      </c>
      <c r="Z123" s="21">
        <v>4601004346574</v>
      </c>
    </row>
    <row r="124" spans="1:26" ht="12" customHeight="1" outlineLevel="4" x14ac:dyDescent="0.2">
      <c r="A124" s="40" t="s">
        <v>693</v>
      </c>
      <c r="B124" s="75" t="s">
        <v>694</v>
      </c>
      <c r="C124" s="51"/>
      <c r="D124" s="54">
        <f t="shared" si="1"/>
        <v>0</v>
      </c>
      <c r="E124" s="62"/>
      <c r="F124" s="42" t="s">
        <v>39</v>
      </c>
      <c r="G124" s="41" t="s">
        <v>40</v>
      </c>
      <c r="H124" s="41"/>
      <c r="I124" s="41"/>
      <c r="J124" s="43">
        <v>991</v>
      </c>
      <c r="K124" s="41" t="s">
        <v>662</v>
      </c>
      <c r="L124" s="43">
        <v>1</v>
      </c>
      <c r="M124" s="43">
        <v>100</v>
      </c>
      <c r="N124" s="43">
        <v>1</v>
      </c>
      <c r="O124" s="44">
        <v>1240.4000000000001</v>
      </c>
      <c r="P124" s="44">
        <v>1016.72</v>
      </c>
      <c r="Q124" s="44">
        <v>1240.4000000000001</v>
      </c>
      <c r="R124" s="44">
        <v>1016.72</v>
      </c>
      <c r="S124" s="44">
        <v>992.32</v>
      </c>
      <c r="T124" s="44">
        <v>813.38</v>
      </c>
      <c r="U124" s="42"/>
      <c r="V124" s="42"/>
      <c r="W124" s="42" t="s">
        <v>40</v>
      </c>
      <c r="X124" s="45">
        <v>0.17299999999999999</v>
      </c>
      <c r="Y124" s="46">
        <v>5.3200000000000003E-4</v>
      </c>
      <c r="Z124" s="21">
        <v>4601004346611</v>
      </c>
    </row>
    <row r="125" spans="1:26" ht="12" customHeight="1" outlineLevel="4" x14ac:dyDescent="0.2">
      <c r="A125" s="40" t="s">
        <v>695</v>
      </c>
      <c r="B125" s="75" t="s">
        <v>696</v>
      </c>
      <c r="C125" s="51"/>
      <c r="D125" s="54">
        <f t="shared" si="1"/>
        <v>0</v>
      </c>
      <c r="E125" s="62"/>
      <c r="F125" s="42" t="s">
        <v>39</v>
      </c>
      <c r="G125" s="41" t="s">
        <v>40</v>
      </c>
      <c r="H125" s="41"/>
      <c r="I125" s="41"/>
      <c r="J125" s="47">
        <v>1169</v>
      </c>
      <c r="K125" s="41" t="s">
        <v>662</v>
      </c>
      <c r="L125" s="43">
        <v>1</v>
      </c>
      <c r="M125" s="43">
        <v>100</v>
      </c>
      <c r="N125" s="43">
        <v>1</v>
      </c>
      <c r="O125" s="44">
        <v>1047.1400000000001</v>
      </c>
      <c r="P125" s="44">
        <v>858.31</v>
      </c>
      <c r="Q125" s="44">
        <v>1047.1400000000001</v>
      </c>
      <c r="R125" s="44">
        <v>858.31</v>
      </c>
      <c r="S125" s="44">
        <v>837.71</v>
      </c>
      <c r="T125" s="44">
        <v>686.65</v>
      </c>
      <c r="U125" s="42"/>
      <c r="V125" s="42"/>
      <c r="W125" s="42" t="s">
        <v>40</v>
      </c>
      <c r="X125" s="45">
        <v>0.17299999999999999</v>
      </c>
      <c r="Y125" s="46">
        <v>5.3399999999999997E-4</v>
      </c>
      <c r="Z125" s="21">
        <v>4601004346635</v>
      </c>
    </row>
    <row r="126" spans="1:26" ht="12" customHeight="1" outlineLevel="4" x14ac:dyDescent="0.2">
      <c r="A126" s="40" t="s">
        <v>697</v>
      </c>
      <c r="B126" s="75" t="s">
        <v>698</v>
      </c>
      <c r="C126" s="51"/>
      <c r="D126" s="54">
        <f t="shared" si="1"/>
        <v>0</v>
      </c>
      <c r="E126" s="62"/>
      <c r="F126" s="42" t="s">
        <v>39</v>
      </c>
      <c r="G126" s="41" t="s">
        <v>40</v>
      </c>
      <c r="H126" s="41"/>
      <c r="I126" s="41"/>
      <c r="J126" s="47">
        <v>1280</v>
      </c>
      <c r="K126" s="41" t="s">
        <v>662</v>
      </c>
      <c r="L126" s="43">
        <v>1</v>
      </c>
      <c r="M126" s="43">
        <v>100</v>
      </c>
      <c r="N126" s="43">
        <v>1</v>
      </c>
      <c r="O126" s="44">
        <v>1240.4000000000001</v>
      </c>
      <c r="P126" s="44">
        <v>1016.72</v>
      </c>
      <c r="Q126" s="44">
        <v>1240.4000000000001</v>
      </c>
      <c r="R126" s="44">
        <v>1016.72</v>
      </c>
      <c r="S126" s="44">
        <v>992.32</v>
      </c>
      <c r="T126" s="44">
        <v>813.38</v>
      </c>
      <c r="U126" s="42"/>
      <c r="V126" s="42"/>
      <c r="W126" s="42" t="s">
        <v>40</v>
      </c>
      <c r="X126" s="45">
        <v>0.17299999999999999</v>
      </c>
      <c r="Y126" s="46">
        <v>5.2999999999999998E-4</v>
      </c>
      <c r="Z126" s="21">
        <v>4601004346598</v>
      </c>
    </row>
    <row r="127" spans="1:26" ht="12" customHeight="1" outlineLevel="4" x14ac:dyDescent="0.2">
      <c r="A127" s="40" t="s">
        <v>699</v>
      </c>
      <c r="B127" s="75" t="s">
        <v>700</v>
      </c>
      <c r="C127" s="51"/>
      <c r="D127" s="54">
        <f t="shared" si="1"/>
        <v>0</v>
      </c>
      <c r="E127" s="62"/>
      <c r="F127" s="42" t="s">
        <v>39</v>
      </c>
      <c r="G127" s="41" t="s">
        <v>40</v>
      </c>
      <c r="H127" s="41"/>
      <c r="I127" s="41"/>
      <c r="J127" s="43">
        <v>377</v>
      </c>
      <c r="K127" s="41"/>
      <c r="L127" s="43">
        <v>1</v>
      </c>
      <c r="M127" s="43">
        <v>100</v>
      </c>
      <c r="N127" s="43">
        <v>1</v>
      </c>
      <c r="O127" s="44">
        <v>1364.61</v>
      </c>
      <c r="P127" s="44">
        <v>1118.53</v>
      </c>
      <c r="Q127" s="44">
        <v>1364.61</v>
      </c>
      <c r="R127" s="44">
        <v>1118.53</v>
      </c>
      <c r="S127" s="44">
        <v>1091.69</v>
      </c>
      <c r="T127" s="44">
        <v>894.83</v>
      </c>
      <c r="U127" s="42"/>
      <c r="V127" s="42"/>
      <c r="W127" s="42" t="s">
        <v>40</v>
      </c>
      <c r="X127" s="45">
        <v>0.17299999999999999</v>
      </c>
      <c r="Y127" s="46">
        <v>5.1900000000000004E-4</v>
      </c>
      <c r="Z127" s="21">
        <v>4601004346659</v>
      </c>
    </row>
    <row r="128" spans="1:26" ht="12" customHeight="1" outlineLevel="4" x14ac:dyDescent="0.2">
      <c r="A128" s="40" t="s">
        <v>701</v>
      </c>
      <c r="B128" s="75" t="s">
        <v>702</v>
      </c>
      <c r="C128" s="51"/>
      <c r="D128" s="54">
        <f t="shared" si="1"/>
        <v>0</v>
      </c>
      <c r="E128" s="62"/>
      <c r="F128" s="42" t="s">
        <v>39</v>
      </c>
      <c r="G128" s="41" t="s">
        <v>40</v>
      </c>
      <c r="H128" s="41"/>
      <c r="I128" s="41"/>
      <c r="J128" s="43">
        <v>373</v>
      </c>
      <c r="K128" s="41"/>
      <c r="L128" s="43">
        <v>1</v>
      </c>
      <c r="M128" s="43">
        <v>100</v>
      </c>
      <c r="N128" s="43">
        <v>1</v>
      </c>
      <c r="O128" s="44">
        <v>1352.43</v>
      </c>
      <c r="P128" s="44">
        <v>1108.55</v>
      </c>
      <c r="Q128" s="44">
        <v>1352.43</v>
      </c>
      <c r="R128" s="44">
        <v>1108.55</v>
      </c>
      <c r="S128" s="44">
        <v>1081.94</v>
      </c>
      <c r="T128" s="44">
        <v>886.84</v>
      </c>
      <c r="U128" s="42"/>
      <c r="V128" s="42"/>
      <c r="W128" s="42" t="s">
        <v>40</v>
      </c>
      <c r="X128" s="45">
        <v>0.17299999999999999</v>
      </c>
      <c r="Y128" s="46">
        <v>5.22E-4</v>
      </c>
      <c r="Z128" s="21">
        <v>4601004346697</v>
      </c>
    </row>
    <row r="129" spans="1:26" ht="12" customHeight="1" outlineLevel="4" x14ac:dyDescent="0.2">
      <c r="A129" s="40" t="s">
        <v>703</v>
      </c>
      <c r="B129" s="75" t="s">
        <v>704</v>
      </c>
      <c r="C129" s="51"/>
      <c r="D129" s="54">
        <f t="shared" si="1"/>
        <v>0</v>
      </c>
      <c r="E129" s="62"/>
      <c r="F129" s="42" t="s">
        <v>39</v>
      </c>
      <c r="G129" s="41" t="s">
        <v>40</v>
      </c>
      <c r="H129" s="41"/>
      <c r="I129" s="41"/>
      <c r="J129" s="43">
        <v>377</v>
      </c>
      <c r="K129" s="41"/>
      <c r="L129" s="43">
        <v>1</v>
      </c>
      <c r="M129" s="43">
        <v>100</v>
      </c>
      <c r="N129" s="43">
        <v>1</v>
      </c>
      <c r="O129" s="44">
        <v>1121.95</v>
      </c>
      <c r="P129" s="44">
        <v>919.63</v>
      </c>
      <c r="Q129" s="44">
        <v>1121.95</v>
      </c>
      <c r="R129" s="44">
        <v>919.63</v>
      </c>
      <c r="S129" s="44">
        <v>897.56</v>
      </c>
      <c r="T129" s="44">
        <v>735.7</v>
      </c>
      <c r="U129" s="42"/>
      <c r="V129" s="42"/>
      <c r="W129" s="42" t="s">
        <v>40</v>
      </c>
      <c r="X129" s="45">
        <v>0.17299999999999999</v>
      </c>
      <c r="Y129" s="46">
        <v>5.31E-4</v>
      </c>
      <c r="Z129" s="21">
        <v>4601004346710</v>
      </c>
    </row>
    <row r="130" spans="1:26" ht="12" customHeight="1" outlineLevel="4" x14ac:dyDescent="0.2">
      <c r="A130" s="40" t="s">
        <v>705</v>
      </c>
      <c r="B130" s="75" t="s">
        <v>706</v>
      </c>
      <c r="C130" s="51"/>
      <c r="D130" s="54">
        <f t="shared" si="1"/>
        <v>0</v>
      </c>
      <c r="E130" s="62"/>
      <c r="F130" s="42" t="s">
        <v>39</v>
      </c>
      <c r="G130" s="41" t="s">
        <v>40</v>
      </c>
      <c r="H130" s="41"/>
      <c r="I130" s="41"/>
      <c r="J130" s="43">
        <v>377</v>
      </c>
      <c r="K130" s="41"/>
      <c r="L130" s="43">
        <v>1</v>
      </c>
      <c r="M130" s="43">
        <v>100</v>
      </c>
      <c r="N130" s="43">
        <v>1</v>
      </c>
      <c r="O130" s="44">
        <v>1352.43</v>
      </c>
      <c r="P130" s="44">
        <v>1108.55</v>
      </c>
      <c r="Q130" s="44">
        <v>1352.43</v>
      </c>
      <c r="R130" s="44">
        <v>1108.55</v>
      </c>
      <c r="S130" s="44">
        <v>1081.94</v>
      </c>
      <c r="T130" s="44">
        <v>886.84</v>
      </c>
      <c r="U130" s="42"/>
      <c r="V130" s="42"/>
      <c r="W130" s="42" t="s">
        <v>40</v>
      </c>
      <c r="X130" s="45">
        <v>0.17299999999999999</v>
      </c>
      <c r="Y130" s="46">
        <v>5.3300000000000005E-4</v>
      </c>
      <c r="Z130" s="21">
        <v>4601004346673</v>
      </c>
    </row>
    <row r="131" spans="1:26" ht="12" customHeight="1" outlineLevel="4" x14ac:dyDescent="0.2">
      <c r="A131" s="40" t="s">
        <v>707</v>
      </c>
      <c r="B131" s="75" t="s">
        <v>708</v>
      </c>
      <c r="C131" s="51"/>
      <c r="D131" s="54">
        <f t="shared" si="1"/>
        <v>0</v>
      </c>
      <c r="E131" s="62"/>
      <c r="F131" s="42" t="s">
        <v>39</v>
      </c>
      <c r="G131" s="41" t="s">
        <v>40</v>
      </c>
      <c r="H131" s="41"/>
      <c r="I131" s="41"/>
      <c r="J131" s="43">
        <v>369</v>
      </c>
      <c r="K131" s="41" t="s">
        <v>662</v>
      </c>
      <c r="L131" s="43">
        <v>1</v>
      </c>
      <c r="M131" s="43">
        <v>100</v>
      </c>
      <c r="N131" s="43">
        <v>1</v>
      </c>
      <c r="O131" s="44">
        <v>1182.6600000000001</v>
      </c>
      <c r="P131" s="44">
        <v>969.39</v>
      </c>
      <c r="Q131" s="44">
        <v>1182.6600000000001</v>
      </c>
      <c r="R131" s="44">
        <v>969.39</v>
      </c>
      <c r="S131" s="44">
        <v>946.13</v>
      </c>
      <c r="T131" s="44">
        <v>775.52</v>
      </c>
      <c r="U131" s="42"/>
      <c r="V131" s="42"/>
      <c r="W131" s="42" t="s">
        <v>40</v>
      </c>
      <c r="X131" s="45">
        <v>0.17</v>
      </c>
      <c r="Y131" s="46">
        <v>5.2899999999999996E-4</v>
      </c>
      <c r="Z131" s="21">
        <v>4601004346734</v>
      </c>
    </row>
    <row r="132" spans="1:26" ht="12" customHeight="1" outlineLevel="4" x14ac:dyDescent="0.2">
      <c r="A132" s="40" t="s">
        <v>709</v>
      </c>
      <c r="B132" s="75" t="s">
        <v>710</v>
      </c>
      <c r="C132" s="51"/>
      <c r="D132" s="54">
        <f t="shared" si="1"/>
        <v>0</v>
      </c>
      <c r="E132" s="62"/>
      <c r="F132" s="42" t="s">
        <v>39</v>
      </c>
      <c r="G132" s="41" t="s">
        <v>40</v>
      </c>
      <c r="H132" s="41"/>
      <c r="I132" s="41"/>
      <c r="J132" s="43">
        <v>273</v>
      </c>
      <c r="K132" s="41" t="s">
        <v>662</v>
      </c>
      <c r="L132" s="43">
        <v>1</v>
      </c>
      <c r="M132" s="43">
        <v>100</v>
      </c>
      <c r="N132" s="43">
        <v>1</v>
      </c>
      <c r="O132" s="44">
        <v>1169.99</v>
      </c>
      <c r="P132" s="44">
        <v>959.01</v>
      </c>
      <c r="Q132" s="44">
        <v>1169.99</v>
      </c>
      <c r="R132" s="44">
        <v>959.01</v>
      </c>
      <c r="S132" s="44">
        <v>935.99</v>
      </c>
      <c r="T132" s="44">
        <v>767.2</v>
      </c>
      <c r="U132" s="42"/>
      <c r="V132" s="42"/>
      <c r="W132" s="42" t="s">
        <v>40</v>
      </c>
      <c r="X132" s="45">
        <v>0.17</v>
      </c>
      <c r="Y132" s="46">
        <v>5.2999999999999998E-4</v>
      </c>
      <c r="Z132" s="21">
        <v>4601004346772</v>
      </c>
    </row>
    <row r="133" spans="1:26" ht="12" customHeight="1" outlineLevel="4" x14ac:dyDescent="0.2">
      <c r="A133" s="40" t="s">
        <v>711</v>
      </c>
      <c r="B133" s="75" t="s">
        <v>712</v>
      </c>
      <c r="C133" s="51"/>
      <c r="D133" s="54">
        <f t="shared" si="1"/>
        <v>0</v>
      </c>
      <c r="E133" s="62"/>
      <c r="F133" s="42" t="s">
        <v>39</v>
      </c>
      <c r="G133" s="41" t="s">
        <v>40</v>
      </c>
      <c r="H133" s="41"/>
      <c r="I133" s="41"/>
      <c r="J133" s="43">
        <v>606</v>
      </c>
      <c r="K133" s="41" t="s">
        <v>662</v>
      </c>
      <c r="L133" s="43">
        <v>1</v>
      </c>
      <c r="M133" s="43">
        <v>100</v>
      </c>
      <c r="N133" s="43">
        <v>1</v>
      </c>
      <c r="O133" s="44">
        <v>985.55</v>
      </c>
      <c r="P133" s="44">
        <v>807.83</v>
      </c>
      <c r="Q133" s="44">
        <v>985.55</v>
      </c>
      <c r="R133" s="44">
        <v>807.83</v>
      </c>
      <c r="S133" s="44">
        <v>788.44</v>
      </c>
      <c r="T133" s="44">
        <v>646.26</v>
      </c>
      <c r="U133" s="42"/>
      <c r="V133" s="42"/>
      <c r="W133" s="42" t="s">
        <v>40</v>
      </c>
      <c r="X133" s="45">
        <v>0.17</v>
      </c>
      <c r="Y133" s="46">
        <v>5.2999999999999998E-4</v>
      </c>
      <c r="Z133" s="21">
        <v>4601004346796</v>
      </c>
    </row>
    <row r="134" spans="1:26" ht="12" customHeight="1" outlineLevel="4" x14ac:dyDescent="0.2">
      <c r="A134" s="40" t="s">
        <v>713</v>
      </c>
      <c r="B134" s="75" t="s">
        <v>714</v>
      </c>
      <c r="C134" s="51"/>
      <c r="D134" s="54">
        <f t="shared" si="1"/>
        <v>0</v>
      </c>
      <c r="E134" s="62"/>
      <c r="F134" s="42" t="s">
        <v>39</v>
      </c>
      <c r="G134" s="41" t="s">
        <v>40</v>
      </c>
      <c r="H134" s="41"/>
      <c r="I134" s="41"/>
      <c r="J134" s="43">
        <v>669</v>
      </c>
      <c r="K134" s="41" t="s">
        <v>662</v>
      </c>
      <c r="L134" s="43">
        <v>1</v>
      </c>
      <c r="M134" s="43">
        <v>100</v>
      </c>
      <c r="N134" s="43">
        <v>1</v>
      </c>
      <c r="O134" s="44">
        <v>1169.99</v>
      </c>
      <c r="P134" s="44">
        <v>959.01</v>
      </c>
      <c r="Q134" s="44">
        <v>1169.99</v>
      </c>
      <c r="R134" s="44">
        <v>959.01</v>
      </c>
      <c r="S134" s="44">
        <v>935.99</v>
      </c>
      <c r="T134" s="44">
        <v>767.2</v>
      </c>
      <c r="U134" s="42"/>
      <c r="V134" s="42"/>
      <c r="W134" s="42" t="s">
        <v>40</v>
      </c>
      <c r="X134" s="45">
        <v>0.17</v>
      </c>
      <c r="Y134" s="46">
        <v>5.31E-4</v>
      </c>
      <c r="Z134" s="21">
        <v>4601004346758</v>
      </c>
    </row>
    <row r="135" spans="1:26" ht="12" customHeight="1" outlineLevel="4" x14ac:dyDescent="0.2">
      <c r="A135" s="40" t="s">
        <v>715</v>
      </c>
      <c r="B135" s="75" t="s">
        <v>716</v>
      </c>
      <c r="C135" s="51"/>
      <c r="D135" s="54">
        <f t="shared" si="1"/>
        <v>0</v>
      </c>
      <c r="E135" s="62"/>
      <c r="F135" s="42" t="s">
        <v>39</v>
      </c>
      <c r="G135" s="41" t="s">
        <v>40</v>
      </c>
      <c r="H135" s="41"/>
      <c r="I135" s="41"/>
      <c r="J135" s="47">
        <v>2231</v>
      </c>
      <c r="K135" s="41" t="s">
        <v>662</v>
      </c>
      <c r="L135" s="43">
        <v>1</v>
      </c>
      <c r="M135" s="43">
        <v>100</v>
      </c>
      <c r="N135" s="43">
        <v>1</v>
      </c>
      <c r="O135" s="44">
        <v>1410.11</v>
      </c>
      <c r="P135" s="44">
        <v>1155.83</v>
      </c>
      <c r="Q135" s="44">
        <v>1410.11</v>
      </c>
      <c r="R135" s="44">
        <v>1155.83</v>
      </c>
      <c r="S135" s="44">
        <v>1128.0899999999999</v>
      </c>
      <c r="T135" s="44">
        <v>924.66</v>
      </c>
      <c r="U135" s="42"/>
      <c r="V135" s="42"/>
      <c r="W135" s="42" t="s">
        <v>40</v>
      </c>
      <c r="X135" s="45">
        <v>0.17599999999999999</v>
      </c>
      <c r="Y135" s="46">
        <v>5.4600000000000004E-4</v>
      </c>
      <c r="Z135" s="21">
        <v>4601004346819</v>
      </c>
    </row>
    <row r="136" spans="1:26" ht="12" customHeight="1" outlineLevel="4" x14ac:dyDescent="0.2">
      <c r="A136" s="40" t="s">
        <v>717</v>
      </c>
      <c r="B136" s="75" t="s">
        <v>718</v>
      </c>
      <c r="C136" s="51"/>
      <c r="D136" s="54">
        <f t="shared" si="1"/>
        <v>0</v>
      </c>
      <c r="E136" s="62"/>
      <c r="F136" s="42" t="s">
        <v>39</v>
      </c>
      <c r="G136" s="41" t="s">
        <v>40</v>
      </c>
      <c r="H136" s="41"/>
      <c r="I136" s="41"/>
      <c r="J136" s="47">
        <v>2267</v>
      </c>
      <c r="K136" s="41" t="s">
        <v>662</v>
      </c>
      <c r="L136" s="43">
        <v>1</v>
      </c>
      <c r="M136" s="43">
        <v>100</v>
      </c>
      <c r="N136" s="43">
        <v>1</v>
      </c>
      <c r="O136" s="44">
        <v>1397.83</v>
      </c>
      <c r="P136" s="44">
        <v>1145.76</v>
      </c>
      <c r="Q136" s="44">
        <v>1397.83</v>
      </c>
      <c r="R136" s="44">
        <v>1145.76</v>
      </c>
      <c r="S136" s="44">
        <v>1118.26</v>
      </c>
      <c r="T136" s="44">
        <v>916.61</v>
      </c>
      <c r="U136" s="42"/>
      <c r="V136" s="42"/>
      <c r="W136" s="42" t="s">
        <v>40</v>
      </c>
      <c r="X136" s="45">
        <v>0.17599999999999999</v>
      </c>
      <c r="Y136" s="46">
        <v>5.3899999999999998E-4</v>
      </c>
      <c r="Z136" s="21">
        <v>4601004346857</v>
      </c>
    </row>
    <row r="137" spans="1:26" ht="12" customHeight="1" outlineLevel="4" x14ac:dyDescent="0.2">
      <c r="A137" s="40" t="s">
        <v>719</v>
      </c>
      <c r="B137" s="75" t="s">
        <v>720</v>
      </c>
      <c r="C137" s="51"/>
      <c r="D137" s="54">
        <f t="shared" si="1"/>
        <v>0</v>
      </c>
      <c r="E137" s="62"/>
      <c r="F137" s="42" t="s">
        <v>39</v>
      </c>
      <c r="G137" s="41" t="s">
        <v>40</v>
      </c>
      <c r="H137" s="41"/>
      <c r="I137" s="41"/>
      <c r="J137" s="47">
        <v>3180</v>
      </c>
      <c r="K137" s="41" t="s">
        <v>662</v>
      </c>
      <c r="L137" s="43">
        <v>1</v>
      </c>
      <c r="M137" s="43">
        <v>100</v>
      </c>
      <c r="N137" s="43">
        <v>1</v>
      </c>
      <c r="O137" s="44">
        <v>1154.0999999999999</v>
      </c>
      <c r="P137" s="44">
        <v>945.98</v>
      </c>
      <c r="Q137" s="44">
        <v>1154.0999999999999</v>
      </c>
      <c r="R137" s="44">
        <v>945.98</v>
      </c>
      <c r="S137" s="44">
        <v>923.28</v>
      </c>
      <c r="T137" s="44">
        <v>756.79</v>
      </c>
      <c r="U137" s="42"/>
      <c r="V137" s="42"/>
      <c r="W137" s="42" t="s">
        <v>40</v>
      </c>
      <c r="X137" s="45">
        <v>0.17599999999999999</v>
      </c>
      <c r="Y137" s="46">
        <v>5.5099999999999995E-4</v>
      </c>
      <c r="Z137" s="21">
        <v>4601004346871</v>
      </c>
    </row>
    <row r="138" spans="1:26" ht="12" customHeight="1" outlineLevel="4" x14ac:dyDescent="0.2">
      <c r="A138" s="40" t="s">
        <v>721</v>
      </c>
      <c r="B138" s="75" t="s">
        <v>722</v>
      </c>
      <c r="C138" s="51"/>
      <c r="D138" s="54">
        <f t="shared" si="1"/>
        <v>0</v>
      </c>
      <c r="E138" s="62"/>
      <c r="F138" s="42" t="s">
        <v>39</v>
      </c>
      <c r="G138" s="41" t="s">
        <v>40</v>
      </c>
      <c r="H138" s="41"/>
      <c r="I138" s="41"/>
      <c r="J138" s="47">
        <v>2639</v>
      </c>
      <c r="K138" s="41" t="s">
        <v>662</v>
      </c>
      <c r="L138" s="43">
        <v>1</v>
      </c>
      <c r="M138" s="43">
        <v>100</v>
      </c>
      <c r="N138" s="43">
        <v>1</v>
      </c>
      <c r="O138" s="44">
        <v>1397.83</v>
      </c>
      <c r="P138" s="44">
        <v>1145.76</v>
      </c>
      <c r="Q138" s="44">
        <v>1397.83</v>
      </c>
      <c r="R138" s="44">
        <v>1145.76</v>
      </c>
      <c r="S138" s="44">
        <v>1118.26</v>
      </c>
      <c r="T138" s="44">
        <v>916.61</v>
      </c>
      <c r="U138" s="42"/>
      <c r="V138" s="42"/>
      <c r="W138" s="42" t="s">
        <v>40</v>
      </c>
      <c r="X138" s="45">
        <v>0.17599999999999999</v>
      </c>
      <c r="Y138" s="46">
        <v>5.4100000000000003E-4</v>
      </c>
      <c r="Z138" s="21">
        <v>4601004346833</v>
      </c>
    </row>
    <row r="139" spans="1:26" ht="12" customHeight="1" outlineLevel="4" x14ac:dyDescent="0.2">
      <c r="A139" s="40" t="s">
        <v>723</v>
      </c>
      <c r="B139" s="75" t="s">
        <v>724</v>
      </c>
      <c r="C139" s="51"/>
      <c r="D139" s="54">
        <f t="shared" si="1"/>
        <v>0</v>
      </c>
      <c r="E139" s="62"/>
      <c r="F139" s="42" t="s">
        <v>39</v>
      </c>
      <c r="G139" s="41" t="s">
        <v>40</v>
      </c>
      <c r="H139" s="41"/>
      <c r="I139" s="41"/>
      <c r="J139" s="43">
        <v>278</v>
      </c>
      <c r="K139" s="41" t="s">
        <v>662</v>
      </c>
      <c r="L139" s="43">
        <v>1</v>
      </c>
      <c r="M139" s="43">
        <v>100</v>
      </c>
      <c r="N139" s="43">
        <v>1</v>
      </c>
      <c r="O139" s="44">
        <v>1468.58</v>
      </c>
      <c r="P139" s="44">
        <v>1203.75</v>
      </c>
      <c r="Q139" s="44">
        <v>1468.58</v>
      </c>
      <c r="R139" s="44">
        <v>1203.75</v>
      </c>
      <c r="S139" s="44">
        <v>1174.8599999999999</v>
      </c>
      <c r="T139" s="44">
        <v>963</v>
      </c>
      <c r="U139" s="42"/>
      <c r="V139" s="42"/>
      <c r="W139" s="42" t="s">
        <v>40</v>
      </c>
      <c r="X139" s="45">
        <v>0.17699999999999999</v>
      </c>
      <c r="Y139" s="46">
        <v>5.2499999999999997E-4</v>
      </c>
      <c r="Z139" s="21">
        <v>4601004346895</v>
      </c>
    </row>
    <row r="140" spans="1:26" ht="12" customHeight="1" outlineLevel="4" x14ac:dyDescent="0.2">
      <c r="A140" s="40" t="s">
        <v>725</v>
      </c>
      <c r="B140" s="75" t="s">
        <v>726</v>
      </c>
      <c r="C140" s="51"/>
      <c r="D140" s="54">
        <f t="shared" si="1"/>
        <v>0</v>
      </c>
      <c r="E140" s="62"/>
      <c r="F140" s="42" t="s">
        <v>39</v>
      </c>
      <c r="G140" s="41" t="s">
        <v>40</v>
      </c>
      <c r="H140" s="41"/>
      <c r="I140" s="41"/>
      <c r="J140" s="43">
        <v>278</v>
      </c>
      <c r="K140" s="41" t="s">
        <v>662</v>
      </c>
      <c r="L140" s="43">
        <v>1</v>
      </c>
      <c r="M140" s="43">
        <v>100</v>
      </c>
      <c r="N140" s="43">
        <v>1</v>
      </c>
      <c r="O140" s="44">
        <v>1455.58</v>
      </c>
      <c r="P140" s="44">
        <v>1193.0999999999999</v>
      </c>
      <c r="Q140" s="44">
        <v>1455.58</v>
      </c>
      <c r="R140" s="44">
        <v>1193.0999999999999</v>
      </c>
      <c r="S140" s="44">
        <v>1164.46</v>
      </c>
      <c r="T140" s="44">
        <v>954.48</v>
      </c>
      <c r="U140" s="42"/>
      <c r="V140" s="42"/>
      <c r="W140" s="42" t="s">
        <v>40</v>
      </c>
      <c r="X140" s="45">
        <v>0.17599999999999999</v>
      </c>
      <c r="Y140" s="46">
        <v>5.3499999999999999E-4</v>
      </c>
      <c r="Z140" s="21">
        <v>4601004346932</v>
      </c>
    </row>
    <row r="141" spans="1:26" ht="12" customHeight="1" outlineLevel="4" x14ac:dyDescent="0.2">
      <c r="A141" s="40" t="s">
        <v>727</v>
      </c>
      <c r="B141" s="75" t="s">
        <v>728</v>
      </c>
      <c r="C141" s="51"/>
      <c r="D141" s="54">
        <f t="shared" ref="D141:D204" si="2">C141*(O141-O141*$G$3)</f>
        <v>0</v>
      </c>
      <c r="E141" s="62"/>
      <c r="F141" s="42" t="s">
        <v>39</v>
      </c>
      <c r="G141" s="41" t="s">
        <v>40</v>
      </c>
      <c r="H141" s="41"/>
      <c r="I141" s="41"/>
      <c r="J141" s="43">
        <v>375</v>
      </c>
      <c r="K141" s="41" t="s">
        <v>662</v>
      </c>
      <c r="L141" s="43">
        <v>1</v>
      </c>
      <c r="M141" s="43">
        <v>100</v>
      </c>
      <c r="N141" s="43">
        <v>1</v>
      </c>
      <c r="O141" s="44">
        <v>1196.74</v>
      </c>
      <c r="P141" s="44">
        <v>980.93</v>
      </c>
      <c r="Q141" s="44">
        <v>1196.74</v>
      </c>
      <c r="R141" s="44">
        <v>980.93</v>
      </c>
      <c r="S141" s="44">
        <v>957.39</v>
      </c>
      <c r="T141" s="44">
        <v>784.75</v>
      </c>
      <c r="U141" s="42"/>
      <c r="V141" s="42"/>
      <c r="W141" s="42" t="s">
        <v>40</v>
      </c>
      <c r="X141" s="45">
        <v>0.17699999999999999</v>
      </c>
      <c r="Y141" s="46">
        <v>5.4000000000000001E-4</v>
      </c>
      <c r="Z141" s="21">
        <v>4601004346956</v>
      </c>
    </row>
    <row r="142" spans="1:26" ht="12" customHeight="1" outlineLevel="4" x14ac:dyDescent="0.2">
      <c r="A142" s="40" t="s">
        <v>729</v>
      </c>
      <c r="B142" s="75" t="s">
        <v>730</v>
      </c>
      <c r="C142" s="51"/>
      <c r="D142" s="54">
        <f t="shared" si="2"/>
        <v>0</v>
      </c>
      <c r="E142" s="62"/>
      <c r="F142" s="42" t="s">
        <v>39</v>
      </c>
      <c r="G142" s="41" t="s">
        <v>40</v>
      </c>
      <c r="H142" s="41"/>
      <c r="I142" s="41"/>
      <c r="J142" s="43">
        <v>360</v>
      </c>
      <c r="K142" s="41" t="s">
        <v>662</v>
      </c>
      <c r="L142" s="43">
        <v>1</v>
      </c>
      <c r="M142" s="43">
        <v>100</v>
      </c>
      <c r="N142" s="43">
        <v>1</v>
      </c>
      <c r="O142" s="44">
        <v>1455.58</v>
      </c>
      <c r="P142" s="44">
        <v>1193.0999999999999</v>
      </c>
      <c r="Q142" s="44">
        <v>1455.58</v>
      </c>
      <c r="R142" s="44">
        <v>1193.0999999999999</v>
      </c>
      <c r="S142" s="44">
        <v>1164.46</v>
      </c>
      <c r="T142" s="44">
        <v>954.48</v>
      </c>
      <c r="U142" s="42"/>
      <c r="V142" s="42"/>
      <c r="W142" s="42" t="s">
        <v>40</v>
      </c>
      <c r="X142" s="45">
        <v>0.17699999999999999</v>
      </c>
      <c r="Y142" s="46">
        <v>5.1699999999999999E-4</v>
      </c>
      <c r="Z142" s="21">
        <v>4601004346918</v>
      </c>
    </row>
    <row r="143" spans="1:26" ht="12" customHeight="1" outlineLevel="4" x14ac:dyDescent="0.2">
      <c r="A143" s="40" t="s">
        <v>731</v>
      </c>
      <c r="B143" s="75" t="s">
        <v>732</v>
      </c>
      <c r="C143" s="51"/>
      <c r="D143" s="54">
        <f t="shared" si="2"/>
        <v>0</v>
      </c>
      <c r="E143" s="62"/>
      <c r="F143" s="42" t="s">
        <v>39</v>
      </c>
      <c r="G143" s="41" t="s">
        <v>40</v>
      </c>
      <c r="H143" s="41"/>
      <c r="I143" s="41"/>
      <c r="J143" s="43">
        <v>440</v>
      </c>
      <c r="K143" s="41"/>
      <c r="L143" s="43">
        <v>1</v>
      </c>
      <c r="M143" s="43">
        <v>100</v>
      </c>
      <c r="N143" s="43">
        <v>1</v>
      </c>
      <c r="O143" s="44">
        <v>2667.88</v>
      </c>
      <c r="P143" s="44">
        <v>2186.79</v>
      </c>
      <c r="Q143" s="44">
        <v>2667.88</v>
      </c>
      <c r="R143" s="44">
        <v>2186.79</v>
      </c>
      <c r="S143" s="44">
        <v>2134.3000000000002</v>
      </c>
      <c r="T143" s="44">
        <v>1749.43</v>
      </c>
      <c r="U143" s="42"/>
      <c r="V143" s="42"/>
      <c r="W143" s="42" t="s">
        <v>40</v>
      </c>
      <c r="X143" s="45">
        <v>0.193</v>
      </c>
      <c r="Y143" s="46">
        <v>5.1599999999999997E-4</v>
      </c>
      <c r="Z143" s="21">
        <v>4601004346970</v>
      </c>
    </row>
    <row r="144" spans="1:26" ht="12" customHeight="1" outlineLevel="4" x14ac:dyDescent="0.2">
      <c r="A144" s="40" t="s">
        <v>733</v>
      </c>
      <c r="B144" s="75" t="s">
        <v>734</v>
      </c>
      <c r="C144" s="51"/>
      <c r="D144" s="54">
        <f t="shared" si="2"/>
        <v>0</v>
      </c>
      <c r="E144" s="62"/>
      <c r="F144" s="42" t="s">
        <v>39</v>
      </c>
      <c r="G144" s="41" t="s">
        <v>40</v>
      </c>
      <c r="H144" s="41"/>
      <c r="I144" s="41"/>
      <c r="J144" s="43">
        <v>440</v>
      </c>
      <c r="K144" s="41"/>
      <c r="L144" s="43">
        <v>1</v>
      </c>
      <c r="M144" s="43">
        <v>100</v>
      </c>
      <c r="N144" s="43">
        <v>1</v>
      </c>
      <c r="O144" s="44">
        <v>2598.2800000000002</v>
      </c>
      <c r="P144" s="44">
        <v>2129.7399999999998</v>
      </c>
      <c r="Q144" s="44">
        <v>2598.2800000000002</v>
      </c>
      <c r="R144" s="44">
        <v>2129.7399999999998</v>
      </c>
      <c r="S144" s="44">
        <v>2078.62</v>
      </c>
      <c r="T144" s="44">
        <v>1703.79</v>
      </c>
      <c r="U144" s="42"/>
      <c r="V144" s="42"/>
      <c r="W144" s="42" t="s">
        <v>40</v>
      </c>
      <c r="X144" s="45">
        <v>0.193</v>
      </c>
      <c r="Y144" s="46">
        <v>5.1599999999999997E-4</v>
      </c>
      <c r="Z144" s="21">
        <v>4601004347014</v>
      </c>
    </row>
    <row r="145" spans="1:26" ht="12" customHeight="1" outlineLevel="4" x14ac:dyDescent="0.2">
      <c r="A145" s="40" t="s">
        <v>735</v>
      </c>
      <c r="B145" s="75" t="s">
        <v>736</v>
      </c>
      <c r="C145" s="51"/>
      <c r="D145" s="54">
        <f t="shared" si="2"/>
        <v>0</v>
      </c>
      <c r="E145" s="62"/>
      <c r="F145" s="42" t="s">
        <v>39</v>
      </c>
      <c r="G145" s="41" t="s">
        <v>40</v>
      </c>
      <c r="H145" s="41"/>
      <c r="I145" s="41"/>
      <c r="J145" s="43">
        <v>440</v>
      </c>
      <c r="K145" s="41"/>
      <c r="L145" s="43">
        <v>1</v>
      </c>
      <c r="M145" s="43">
        <v>100</v>
      </c>
      <c r="N145" s="43">
        <v>1</v>
      </c>
      <c r="O145" s="44">
        <v>2224.0700000000002</v>
      </c>
      <c r="P145" s="44">
        <v>1823.01</v>
      </c>
      <c r="Q145" s="44">
        <v>2224.0700000000002</v>
      </c>
      <c r="R145" s="44">
        <v>1823.01</v>
      </c>
      <c r="S145" s="44">
        <v>1779.26</v>
      </c>
      <c r="T145" s="44">
        <v>1458.41</v>
      </c>
      <c r="U145" s="42"/>
      <c r="V145" s="42"/>
      <c r="W145" s="42" t="s">
        <v>40</v>
      </c>
      <c r="X145" s="45">
        <v>0.193</v>
      </c>
      <c r="Y145" s="46">
        <v>5.1800000000000001E-4</v>
      </c>
      <c r="Z145" s="21">
        <v>4601004347038</v>
      </c>
    </row>
    <row r="146" spans="1:26" ht="12" customHeight="1" outlineLevel="4" x14ac:dyDescent="0.2">
      <c r="A146" s="40" t="s">
        <v>737</v>
      </c>
      <c r="B146" s="75" t="s">
        <v>738</v>
      </c>
      <c r="C146" s="51"/>
      <c r="D146" s="54">
        <f t="shared" si="2"/>
        <v>0</v>
      </c>
      <c r="E146" s="62"/>
      <c r="F146" s="42" t="s">
        <v>39</v>
      </c>
      <c r="G146" s="41" t="s">
        <v>40</v>
      </c>
      <c r="H146" s="41"/>
      <c r="I146" s="41"/>
      <c r="J146" s="43">
        <v>438</v>
      </c>
      <c r="K146" s="41"/>
      <c r="L146" s="43">
        <v>1</v>
      </c>
      <c r="M146" s="43">
        <v>100</v>
      </c>
      <c r="N146" s="43">
        <v>1</v>
      </c>
      <c r="O146" s="44">
        <v>2598.2800000000002</v>
      </c>
      <c r="P146" s="44">
        <v>2129.7399999999998</v>
      </c>
      <c r="Q146" s="44">
        <v>2598.2800000000002</v>
      </c>
      <c r="R146" s="44">
        <v>2129.7399999999998</v>
      </c>
      <c r="S146" s="44">
        <v>2078.62</v>
      </c>
      <c r="T146" s="44">
        <v>1703.79</v>
      </c>
      <c r="U146" s="42"/>
      <c r="V146" s="42"/>
      <c r="W146" s="42" t="s">
        <v>40</v>
      </c>
      <c r="X146" s="45">
        <v>0.193</v>
      </c>
      <c r="Y146" s="46">
        <v>5.1500000000000005E-4</v>
      </c>
      <c r="Z146" s="21">
        <v>4601004346994</v>
      </c>
    </row>
    <row r="147" spans="1:26" ht="12" customHeight="1" outlineLevel="4" x14ac:dyDescent="0.2">
      <c r="A147" s="40" t="s">
        <v>739</v>
      </c>
      <c r="B147" s="75" t="s">
        <v>740</v>
      </c>
      <c r="C147" s="51"/>
      <c r="D147" s="54">
        <f t="shared" si="2"/>
        <v>0</v>
      </c>
      <c r="E147" s="62"/>
      <c r="F147" s="42" t="s">
        <v>39</v>
      </c>
      <c r="G147" s="41" t="s">
        <v>40</v>
      </c>
      <c r="H147" s="41"/>
      <c r="I147" s="41"/>
      <c r="J147" s="43">
        <v>822</v>
      </c>
      <c r="K147" s="41"/>
      <c r="L147" s="43">
        <v>1</v>
      </c>
      <c r="M147" s="43">
        <v>100</v>
      </c>
      <c r="N147" s="43">
        <v>1</v>
      </c>
      <c r="O147" s="44">
        <v>1973.64</v>
      </c>
      <c r="P147" s="44">
        <v>1617.74</v>
      </c>
      <c r="Q147" s="44">
        <v>1973.64</v>
      </c>
      <c r="R147" s="44">
        <v>1617.74</v>
      </c>
      <c r="S147" s="44">
        <v>1578.91</v>
      </c>
      <c r="T147" s="44">
        <v>1294.19</v>
      </c>
      <c r="U147" s="42"/>
      <c r="V147" s="42"/>
      <c r="W147" s="42" t="s">
        <v>40</v>
      </c>
      <c r="X147" s="45">
        <v>0.185</v>
      </c>
      <c r="Y147" s="46">
        <v>5.3700000000000004E-4</v>
      </c>
      <c r="Z147" s="21">
        <v>4601004347137</v>
      </c>
    </row>
    <row r="148" spans="1:26" ht="12" customHeight="1" outlineLevel="4" x14ac:dyDescent="0.2">
      <c r="A148" s="40" t="s">
        <v>741</v>
      </c>
      <c r="B148" s="75" t="s">
        <v>742</v>
      </c>
      <c r="C148" s="51"/>
      <c r="D148" s="54">
        <f t="shared" si="2"/>
        <v>0</v>
      </c>
      <c r="E148" s="62"/>
      <c r="F148" s="42" t="s">
        <v>39</v>
      </c>
      <c r="G148" s="41" t="s">
        <v>40</v>
      </c>
      <c r="H148" s="41"/>
      <c r="I148" s="41"/>
      <c r="J148" s="43">
        <v>821</v>
      </c>
      <c r="K148" s="41" t="s">
        <v>662</v>
      </c>
      <c r="L148" s="43">
        <v>1</v>
      </c>
      <c r="M148" s="43">
        <v>100</v>
      </c>
      <c r="N148" s="43">
        <v>1</v>
      </c>
      <c r="O148" s="44">
        <v>1955.95</v>
      </c>
      <c r="P148" s="44">
        <v>1603.24</v>
      </c>
      <c r="Q148" s="44">
        <v>1955.95</v>
      </c>
      <c r="R148" s="44">
        <v>1603.24</v>
      </c>
      <c r="S148" s="44">
        <v>1564.76</v>
      </c>
      <c r="T148" s="44">
        <v>1282.5899999999999</v>
      </c>
      <c r="U148" s="42"/>
      <c r="V148" s="42"/>
      <c r="W148" s="42" t="s">
        <v>40</v>
      </c>
      <c r="X148" s="45">
        <v>0.185</v>
      </c>
      <c r="Y148" s="46">
        <v>5.3799999999999996E-4</v>
      </c>
      <c r="Z148" s="21">
        <v>4601004347175</v>
      </c>
    </row>
    <row r="149" spans="1:26" ht="12" customHeight="1" outlineLevel="4" x14ac:dyDescent="0.2">
      <c r="A149" s="40" t="s">
        <v>743</v>
      </c>
      <c r="B149" s="75" t="s">
        <v>744</v>
      </c>
      <c r="C149" s="51"/>
      <c r="D149" s="54">
        <f t="shared" si="2"/>
        <v>0</v>
      </c>
      <c r="E149" s="62"/>
      <c r="F149" s="42" t="s">
        <v>39</v>
      </c>
      <c r="G149" s="41" t="s">
        <v>40</v>
      </c>
      <c r="H149" s="41"/>
      <c r="I149" s="41"/>
      <c r="J149" s="47">
        <v>1011</v>
      </c>
      <c r="K149" s="41" t="s">
        <v>662</v>
      </c>
      <c r="L149" s="43">
        <v>1</v>
      </c>
      <c r="M149" s="43">
        <v>100</v>
      </c>
      <c r="N149" s="43">
        <v>1</v>
      </c>
      <c r="O149" s="44">
        <v>1615.36</v>
      </c>
      <c r="P149" s="44">
        <v>1324.07</v>
      </c>
      <c r="Q149" s="44">
        <v>1615.36</v>
      </c>
      <c r="R149" s="44">
        <v>1324.07</v>
      </c>
      <c r="S149" s="44">
        <v>1292.29</v>
      </c>
      <c r="T149" s="44">
        <v>1059.25</v>
      </c>
      <c r="U149" s="42"/>
      <c r="V149" s="42"/>
      <c r="W149" s="42" t="s">
        <v>40</v>
      </c>
      <c r="X149" s="45">
        <v>0.185</v>
      </c>
      <c r="Y149" s="46">
        <v>5.3799999999999996E-4</v>
      </c>
      <c r="Z149" s="21">
        <v>4601004347199</v>
      </c>
    </row>
    <row r="150" spans="1:26" ht="12" customHeight="1" outlineLevel="4" x14ac:dyDescent="0.2">
      <c r="A150" s="40" t="s">
        <v>745</v>
      </c>
      <c r="B150" s="75" t="s">
        <v>746</v>
      </c>
      <c r="C150" s="51"/>
      <c r="D150" s="54">
        <f t="shared" si="2"/>
        <v>0</v>
      </c>
      <c r="E150" s="62"/>
      <c r="F150" s="42" t="s">
        <v>39</v>
      </c>
      <c r="G150" s="41" t="s">
        <v>40</v>
      </c>
      <c r="H150" s="41"/>
      <c r="I150" s="41"/>
      <c r="J150" s="47">
        <v>1010</v>
      </c>
      <c r="K150" s="41" t="s">
        <v>662</v>
      </c>
      <c r="L150" s="43">
        <v>1</v>
      </c>
      <c r="M150" s="43">
        <v>100</v>
      </c>
      <c r="N150" s="43">
        <v>1</v>
      </c>
      <c r="O150" s="44">
        <v>1955.95</v>
      </c>
      <c r="P150" s="44">
        <v>1603.24</v>
      </c>
      <c r="Q150" s="44">
        <v>1955.95</v>
      </c>
      <c r="R150" s="44">
        <v>1603.24</v>
      </c>
      <c r="S150" s="44">
        <v>1564.76</v>
      </c>
      <c r="T150" s="44">
        <v>1282.5899999999999</v>
      </c>
      <c r="U150" s="42"/>
      <c r="V150" s="42"/>
      <c r="W150" s="42" t="s">
        <v>40</v>
      </c>
      <c r="X150" s="45">
        <v>0.185</v>
      </c>
      <c r="Y150" s="46">
        <v>5.3600000000000002E-4</v>
      </c>
      <c r="Z150" s="21">
        <v>4601004347151</v>
      </c>
    </row>
    <row r="151" spans="1:26" ht="12" customHeight="1" outlineLevel="4" x14ac:dyDescent="0.2">
      <c r="A151" s="40" t="s">
        <v>747</v>
      </c>
      <c r="B151" s="75" t="s">
        <v>748</v>
      </c>
      <c r="C151" s="51"/>
      <c r="D151" s="54">
        <f t="shared" si="2"/>
        <v>0</v>
      </c>
      <c r="E151" s="62"/>
      <c r="F151" s="42" t="s">
        <v>39</v>
      </c>
      <c r="G151" s="41" t="s">
        <v>40</v>
      </c>
      <c r="H151" s="41"/>
      <c r="I151" s="41"/>
      <c r="J151" s="43">
        <v>374</v>
      </c>
      <c r="K151" s="41" t="s">
        <v>662</v>
      </c>
      <c r="L151" s="43">
        <v>1</v>
      </c>
      <c r="M151" s="43">
        <v>100</v>
      </c>
      <c r="N151" s="43">
        <v>1</v>
      </c>
      <c r="O151" s="44">
        <v>1831.73</v>
      </c>
      <c r="P151" s="44">
        <v>1501.42</v>
      </c>
      <c r="Q151" s="44">
        <v>1831.73</v>
      </c>
      <c r="R151" s="44">
        <v>1501.42</v>
      </c>
      <c r="S151" s="44">
        <v>1465.38</v>
      </c>
      <c r="T151" s="44">
        <v>1201.1300000000001</v>
      </c>
      <c r="U151" s="42"/>
      <c r="V151" s="42"/>
      <c r="W151" s="42" t="s">
        <v>40</v>
      </c>
      <c r="X151" s="45">
        <v>0.17699999999999999</v>
      </c>
      <c r="Y151" s="46">
        <v>5.2800000000000004E-4</v>
      </c>
      <c r="Z151" s="21">
        <v>4601004347298</v>
      </c>
    </row>
    <row r="152" spans="1:26" ht="12" customHeight="1" outlineLevel="4" x14ac:dyDescent="0.2">
      <c r="A152" s="40" t="s">
        <v>749</v>
      </c>
      <c r="B152" s="75" t="s">
        <v>750</v>
      </c>
      <c r="C152" s="51"/>
      <c r="D152" s="54">
        <f t="shared" si="2"/>
        <v>0</v>
      </c>
      <c r="E152" s="62"/>
      <c r="F152" s="42" t="s">
        <v>39</v>
      </c>
      <c r="G152" s="41" t="s">
        <v>40</v>
      </c>
      <c r="H152" s="41"/>
      <c r="I152" s="41"/>
      <c r="J152" s="43">
        <v>369</v>
      </c>
      <c r="K152" s="41" t="s">
        <v>662</v>
      </c>
      <c r="L152" s="43">
        <v>1</v>
      </c>
      <c r="M152" s="43">
        <v>100</v>
      </c>
      <c r="N152" s="43">
        <v>1</v>
      </c>
      <c r="O152" s="44">
        <v>1783.95</v>
      </c>
      <c r="P152" s="44">
        <v>1462.25</v>
      </c>
      <c r="Q152" s="44">
        <v>1783.95</v>
      </c>
      <c r="R152" s="44">
        <v>1462.25</v>
      </c>
      <c r="S152" s="44">
        <v>1427.16</v>
      </c>
      <c r="T152" s="44">
        <v>1169.8</v>
      </c>
      <c r="U152" s="42"/>
      <c r="V152" s="42"/>
      <c r="W152" s="42" t="s">
        <v>40</v>
      </c>
      <c r="X152" s="45">
        <v>0.17699999999999999</v>
      </c>
      <c r="Y152" s="46">
        <v>5.2099999999999998E-4</v>
      </c>
      <c r="Z152" s="21">
        <v>4601004347335</v>
      </c>
    </row>
    <row r="153" spans="1:26" ht="12" customHeight="1" outlineLevel="4" x14ac:dyDescent="0.2">
      <c r="A153" s="40" t="s">
        <v>751</v>
      </c>
      <c r="B153" s="75" t="s">
        <v>752</v>
      </c>
      <c r="C153" s="51"/>
      <c r="D153" s="54">
        <f t="shared" si="2"/>
        <v>0</v>
      </c>
      <c r="E153" s="62"/>
      <c r="F153" s="42" t="s">
        <v>39</v>
      </c>
      <c r="G153" s="41" t="s">
        <v>40</v>
      </c>
      <c r="H153" s="41"/>
      <c r="I153" s="41"/>
      <c r="J153" s="43">
        <v>671</v>
      </c>
      <c r="K153" s="41"/>
      <c r="L153" s="43">
        <v>1</v>
      </c>
      <c r="M153" s="43">
        <v>100</v>
      </c>
      <c r="N153" s="43">
        <v>1</v>
      </c>
      <c r="O153" s="44">
        <v>1506.01</v>
      </c>
      <c r="P153" s="44">
        <v>1234.43</v>
      </c>
      <c r="Q153" s="44">
        <v>1506.01</v>
      </c>
      <c r="R153" s="44">
        <v>1234.43</v>
      </c>
      <c r="S153" s="44">
        <v>1204.81</v>
      </c>
      <c r="T153" s="44">
        <v>987.55</v>
      </c>
      <c r="U153" s="42"/>
      <c r="V153" s="42"/>
      <c r="W153" s="42" t="s">
        <v>40</v>
      </c>
      <c r="X153" s="45">
        <v>0.17699999999999999</v>
      </c>
      <c r="Y153" s="46">
        <v>5.2700000000000002E-4</v>
      </c>
      <c r="Z153" s="21">
        <v>4601004347359</v>
      </c>
    </row>
    <row r="154" spans="1:26" ht="12" customHeight="1" outlineLevel="4" x14ac:dyDescent="0.2">
      <c r="A154" s="40" t="s">
        <v>753</v>
      </c>
      <c r="B154" s="75" t="s">
        <v>754</v>
      </c>
      <c r="C154" s="51"/>
      <c r="D154" s="54">
        <f t="shared" si="2"/>
        <v>0</v>
      </c>
      <c r="E154" s="62"/>
      <c r="F154" s="42" t="s">
        <v>39</v>
      </c>
      <c r="G154" s="41" t="s">
        <v>40</v>
      </c>
      <c r="H154" s="41"/>
      <c r="I154" s="41"/>
      <c r="J154" s="43">
        <v>621</v>
      </c>
      <c r="K154" s="41" t="s">
        <v>662</v>
      </c>
      <c r="L154" s="43">
        <v>1</v>
      </c>
      <c r="M154" s="43">
        <v>100</v>
      </c>
      <c r="N154" s="43">
        <v>1</v>
      </c>
      <c r="O154" s="44">
        <v>1783.95</v>
      </c>
      <c r="P154" s="44">
        <v>1462.25</v>
      </c>
      <c r="Q154" s="44">
        <v>1783.95</v>
      </c>
      <c r="R154" s="44">
        <v>1462.25</v>
      </c>
      <c r="S154" s="44">
        <v>1427.16</v>
      </c>
      <c r="T154" s="44">
        <v>1169.8</v>
      </c>
      <c r="U154" s="42"/>
      <c r="V154" s="42"/>
      <c r="W154" s="42" t="s">
        <v>40</v>
      </c>
      <c r="X154" s="45">
        <v>0.17699999999999999</v>
      </c>
      <c r="Y154" s="46">
        <v>5.2599999999999999E-4</v>
      </c>
      <c r="Z154" s="21">
        <v>4601004347311</v>
      </c>
    </row>
    <row r="155" spans="1:26" ht="12" customHeight="1" outlineLevel="4" x14ac:dyDescent="0.2">
      <c r="A155" s="40" t="s">
        <v>755</v>
      </c>
      <c r="B155" s="75" t="s">
        <v>756</v>
      </c>
      <c r="C155" s="51"/>
      <c r="D155" s="54">
        <f t="shared" si="2"/>
        <v>0</v>
      </c>
      <c r="E155" s="62"/>
      <c r="F155" s="42" t="s">
        <v>39</v>
      </c>
      <c r="G155" s="41" t="s">
        <v>40</v>
      </c>
      <c r="H155" s="41"/>
      <c r="I155" s="41"/>
      <c r="J155" s="43">
        <v>144</v>
      </c>
      <c r="K155" s="41" t="s">
        <v>662</v>
      </c>
      <c r="L155" s="43">
        <v>1</v>
      </c>
      <c r="M155" s="43">
        <v>100</v>
      </c>
      <c r="N155" s="43">
        <v>1</v>
      </c>
      <c r="O155" s="44">
        <v>1554.62</v>
      </c>
      <c r="P155" s="44">
        <v>1274.28</v>
      </c>
      <c r="Q155" s="44">
        <v>1554.62</v>
      </c>
      <c r="R155" s="44">
        <v>1274.28</v>
      </c>
      <c r="S155" s="44">
        <v>1243.7</v>
      </c>
      <c r="T155" s="44">
        <v>1019.43</v>
      </c>
      <c r="U155" s="42"/>
      <c r="V155" s="42"/>
      <c r="W155" s="42" t="s">
        <v>40</v>
      </c>
      <c r="X155" s="45">
        <v>0.18099999999999999</v>
      </c>
      <c r="Y155" s="46">
        <v>5.3700000000000004E-4</v>
      </c>
      <c r="Z155" s="21">
        <v>4601004347373</v>
      </c>
    </row>
    <row r="156" spans="1:26" ht="12" customHeight="1" outlineLevel="4" x14ac:dyDescent="0.2">
      <c r="A156" s="40" t="s">
        <v>757</v>
      </c>
      <c r="B156" s="75" t="s">
        <v>758</v>
      </c>
      <c r="C156" s="51"/>
      <c r="D156" s="54">
        <f t="shared" si="2"/>
        <v>0</v>
      </c>
      <c r="E156" s="62"/>
      <c r="F156" s="42" t="s">
        <v>39</v>
      </c>
      <c r="G156" s="41" t="s">
        <v>40</v>
      </c>
      <c r="H156" s="41"/>
      <c r="I156" s="41"/>
      <c r="J156" s="43">
        <v>181</v>
      </c>
      <c r="K156" s="41" t="s">
        <v>662</v>
      </c>
      <c r="L156" s="43">
        <v>1</v>
      </c>
      <c r="M156" s="43">
        <v>100</v>
      </c>
      <c r="N156" s="43">
        <v>1</v>
      </c>
      <c r="O156" s="44">
        <v>1514.06</v>
      </c>
      <c r="P156" s="44">
        <v>1241.03</v>
      </c>
      <c r="Q156" s="44">
        <v>1514.06</v>
      </c>
      <c r="R156" s="44">
        <v>1241.03</v>
      </c>
      <c r="S156" s="44">
        <v>1211.25</v>
      </c>
      <c r="T156" s="44">
        <v>992.83</v>
      </c>
      <c r="U156" s="42"/>
      <c r="V156" s="42"/>
      <c r="W156" s="42" t="s">
        <v>40</v>
      </c>
      <c r="X156" s="45">
        <v>0.18099999999999999</v>
      </c>
      <c r="Y156" s="46">
        <v>5.4100000000000003E-4</v>
      </c>
      <c r="Z156" s="21">
        <v>4601004347410</v>
      </c>
    </row>
    <row r="157" spans="1:26" ht="12" customHeight="1" outlineLevel="4" x14ac:dyDescent="0.2">
      <c r="A157" s="40" t="s">
        <v>759</v>
      </c>
      <c r="B157" s="75" t="s">
        <v>760</v>
      </c>
      <c r="C157" s="51"/>
      <c r="D157" s="54">
        <f t="shared" si="2"/>
        <v>0</v>
      </c>
      <c r="E157" s="62"/>
      <c r="F157" s="42" t="s">
        <v>39</v>
      </c>
      <c r="G157" s="41" t="s">
        <v>40</v>
      </c>
      <c r="H157" s="41"/>
      <c r="I157" s="41"/>
      <c r="J157" s="43">
        <v>294</v>
      </c>
      <c r="K157" s="41" t="s">
        <v>662</v>
      </c>
      <c r="L157" s="43">
        <v>1</v>
      </c>
      <c r="M157" s="43">
        <v>100</v>
      </c>
      <c r="N157" s="43">
        <v>1</v>
      </c>
      <c r="O157" s="44">
        <v>1413.29</v>
      </c>
      <c r="P157" s="44">
        <v>1158.43</v>
      </c>
      <c r="Q157" s="44">
        <v>1413.29</v>
      </c>
      <c r="R157" s="44">
        <v>1158.43</v>
      </c>
      <c r="S157" s="44">
        <v>1130.6300000000001</v>
      </c>
      <c r="T157" s="44">
        <v>926.75</v>
      </c>
      <c r="U157" s="42"/>
      <c r="V157" s="42"/>
      <c r="W157" s="42" t="s">
        <v>40</v>
      </c>
      <c r="X157" s="45">
        <v>0.18099999999999999</v>
      </c>
      <c r="Y157" s="46">
        <v>5.4900000000000001E-4</v>
      </c>
      <c r="Z157" s="21">
        <v>4601004347434</v>
      </c>
    </row>
    <row r="158" spans="1:26" ht="12" customHeight="1" outlineLevel="4" x14ac:dyDescent="0.2">
      <c r="A158" s="40" t="s">
        <v>761</v>
      </c>
      <c r="B158" s="75" t="s">
        <v>762</v>
      </c>
      <c r="C158" s="51"/>
      <c r="D158" s="54">
        <f t="shared" si="2"/>
        <v>0</v>
      </c>
      <c r="E158" s="62"/>
      <c r="F158" s="42" t="s">
        <v>39</v>
      </c>
      <c r="G158" s="41" t="s">
        <v>40</v>
      </c>
      <c r="H158" s="41"/>
      <c r="I158" s="41"/>
      <c r="J158" s="43">
        <v>245</v>
      </c>
      <c r="K158" s="41" t="s">
        <v>662</v>
      </c>
      <c r="L158" s="43">
        <v>1</v>
      </c>
      <c r="M158" s="43">
        <v>100</v>
      </c>
      <c r="N158" s="43">
        <v>1</v>
      </c>
      <c r="O158" s="44">
        <v>1514.06</v>
      </c>
      <c r="P158" s="44">
        <v>1241.03</v>
      </c>
      <c r="Q158" s="44">
        <v>1514.06</v>
      </c>
      <c r="R158" s="44">
        <v>1241.03</v>
      </c>
      <c r="S158" s="44">
        <v>1211.25</v>
      </c>
      <c r="T158" s="44">
        <v>992.83</v>
      </c>
      <c r="U158" s="42"/>
      <c r="V158" s="42"/>
      <c r="W158" s="42" t="s">
        <v>40</v>
      </c>
      <c r="X158" s="45">
        <v>0.18099999999999999</v>
      </c>
      <c r="Y158" s="46">
        <v>5.4500000000000002E-4</v>
      </c>
      <c r="Z158" s="21">
        <v>4601004347397</v>
      </c>
    </row>
    <row r="159" spans="1:26" ht="12" customHeight="1" outlineLevel="4" x14ac:dyDescent="0.2">
      <c r="A159" s="40" t="s">
        <v>763</v>
      </c>
      <c r="B159" s="75" t="s">
        <v>764</v>
      </c>
      <c r="C159" s="51"/>
      <c r="D159" s="54">
        <f t="shared" si="2"/>
        <v>0</v>
      </c>
      <c r="E159" s="62"/>
      <c r="F159" s="42" t="s">
        <v>39</v>
      </c>
      <c r="G159" s="41" t="s">
        <v>40</v>
      </c>
      <c r="H159" s="41"/>
      <c r="I159" s="41"/>
      <c r="J159" s="47">
        <v>3329</v>
      </c>
      <c r="K159" s="41" t="s">
        <v>662</v>
      </c>
      <c r="L159" s="43">
        <v>1</v>
      </c>
      <c r="M159" s="43">
        <v>150</v>
      </c>
      <c r="N159" s="43">
        <v>1</v>
      </c>
      <c r="O159" s="44">
        <v>419.6</v>
      </c>
      <c r="P159" s="44">
        <v>343.93</v>
      </c>
      <c r="Q159" s="44">
        <v>419.6</v>
      </c>
      <c r="R159" s="44">
        <v>343.93</v>
      </c>
      <c r="S159" s="44">
        <v>335.68</v>
      </c>
      <c r="T159" s="44">
        <v>275.14999999999998</v>
      </c>
      <c r="U159" s="42"/>
      <c r="V159" s="42"/>
      <c r="W159" s="42" t="s">
        <v>40</v>
      </c>
      <c r="X159" s="45">
        <v>0.1</v>
      </c>
      <c r="Y159" s="46">
        <v>2.72E-4</v>
      </c>
      <c r="Z159" s="21">
        <v>4601004347533</v>
      </c>
    </row>
    <row r="160" spans="1:26" ht="12" customHeight="1" outlineLevel="4" x14ac:dyDescent="0.2">
      <c r="A160" s="40" t="s">
        <v>765</v>
      </c>
      <c r="B160" s="75" t="s">
        <v>766</v>
      </c>
      <c r="C160" s="51"/>
      <c r="D160" s="54">
        <f t="shared" si="2"/>
        <v>0</v>
      </c>
      <c r="E160" s="62"/>
      <c r="F160" s="42" t="s">
        <v>39</v>
      </c>
      <c r="G160" s="41" t="s">
        <v>40</v>
      </c>
      <c r="H160" s="41"/>
      <c r="I160" s="41"/>
      <c r="J160" s="47">
        <v>3351</v>
      </c>
      <c r="K160" s="41" t="s">
        <v>662</v>
      </c>
      <c r="L160" s="43">
        <v>1</v>
      </c>
      <c r="M160" s="43">
        <v>150</v>
      </c>
      <c r="N160" s="43">
        <v>1</v>
      </c>
      <c r="O160" s="44">
        <v>408.66</v>
      </c>
      <c r="P160" s="44">
        <v>334.97</v>
      </c>
      <c r="Q160" s="44">
        <v>408.66</v>
      </c>
      <c r="R160" s="44">
        <v>334.97</v>
      </c>
      <c r="S160" s="44">
        <v>326.93</v>
      </c>
      <c r="T160" s="44">
        <v>267.98</v>
      </c>
      <c r="U160" s="42"/>
      <c r="V160" s="42"/>
      <c r="W160" s="42" t="s">
        <v>40</v>
      </c>
      <c r="X160" s="45">
        <v>0.1</v>
      </c>
      <c r="Y160" s="46">
        <v>2.72E-4</v>
      </c>
      <c r="Z160" s="21">
        <v>4601004347571</v>
      </c>
    </row>
    <row r="161" spans="1:26" ht="12" customHeight="1" outlineLevel="4" x14ac:dyDescent="0.2">
      <c r="A161" s="40" t="s">
        <v>767</v>
      </c>
      <c r="B161" s="75" t="s">
        <v>768</v>
      </c>
      <c r="C161" s="51"/>
      <c r="D161" s="54">
        <f t="shared" si="2"/>
        <v>0</v>
      </c>
      <c r="E161" s="62"/>
      <c r="F161" s="42" t="s">
        <v>39</v>
      </c>
      <c r="G161" s="41" t="s">
        <v>40</v>
      </c>
      <c r="H161" s="41"/>
      <c r="I161" s="41"/>
      <c r="J161" s="47">
        <v>3863</v>
      </c>
      <c r="K161" s="41" t="s">
        <v>662</v>
      </c>
      <c r="L161" s="43">
        <v>1</v>
      </c>
      <c r="M161" s="43">
        <v>150</v>
      </c>
      <c r="N161" s="43">
        <v>1</v>
      </c>
      <c r="O161" s="44">
        <v>300.25</v>
      </c>
      <c r="P161" s="44">
        <v>246.11</v>
      </c>
      <c r="Q161" s="44">
        <v>300.25</v>
      </c>
      <c r="R161" s="44">
        <v>246.11</v>
      </c>
      <c r="S161" s="44">
        <v>240.2</v>
      </c>
      <c r="T161" s="44">
        <v>196.89</v>
      </c>
      <c r="U161" s="42"/>
      <c r="V161" s="42"/>
      <c r="W161" s="42" t="s">
        <v>40</v>
      </c>
      <c r="X161" s="45">
        <v>0.1</v>
      </c>
      <c r="Y161" s="46">
        <v>2.72E-4</v>
      </c>
      <c r="Z161" s="21">
        <v>4601004347595</v>
      </c>
    </row>
    <row r="162" spans="1:26" ht="12" customHeight="1" outlineLevel="4" x14ac:dyDescent="0.2">
      <c r="A162" s="40" t="s">
        <v>769</v>
      </c>
      <c r="B162" s="75" t="s">
        <v>770</v>
      </c>
      <c r="C162" s="51"/>
      <c r="D162" s="54">
        <f t="shared" si="2"/>
        <v>0</v>
      </c>
      <c r="E162" s="62"/>
      <c r="F162" s="42" t="s">
        <v>39</v>
      </c>
      <c r="G162" s="41" t="s">
        <v>40</v>
      </c>
      <c r="H162" s="41"/>
      <c r="I162" s="41"/>
      <c r="J162" s="47">
        <v>3841</v>
      </c>
      <c r="K162" s="41" t="s">
        <v>662</v>
      </c>
      <c r="L162" s="43">
        <v>1</v>
      </c>
      <c r="M162" s="43">
        <v>150</v>
      </c>
      <c r="N162" s="43">
        <v>1</v>
      </c>
      <c r="O162" s="44">
        <v>408.66</v>
      </c>
      <c r="P162" s="44">
        <v>334.97</v>
      </c>
      <c r="Q162" s="44">
        <v>408.66</v>
      </c>
      <c r="R162" s="44">
        <v>334.97</v>
      </c>
      <c r="S162" s="44">
        <v>326.93</v>
      </c>
      <c r="T162" s="44">
        <v>267.98</v>
      </c>
      <c r="U162" s="42"/>
      <c r="V162" s="42"/>
      <c r="W162" s="42" t="s">
        <v>40</v>
      </c>
      <c r="X162" s="45">
        <v>0.1</v>
      </c>
      <c r="Y162" s="46">
        <v>2.7399999999999999E-4</v>
      </c>
      <c r="Z162" s="21">
        <v>4601004347557</v>
      </c>
    </row>
    <row r="163" spans="1:26" ht="12" customHeight="1" outlineLevel="4" x14ac:dyDescent="0.2">
      <c r="A163" s="40" t="s">
        <v>771</v>
      </c>
      <c r="B163" s="75" t="s">
        <v>772</v>
      </c>
      <c r="C163" s="51"/>
      <c r="D163" s="54">
        <f t="shared" si="2"/>
        <v>0</v>
      </c>
      <c r="E163" s="62"/>
      <c r="F163" s="42" t="s">
        <v>39</v>
      </c>
      <c r="G163" s="41" t="s">
        <v>40</v>
      </c>
      <c r="H163" s="41"/>
      <c r="I163" s="41"/>
      <c r="J163" s="47">
        <v>2290</v>
      </c>
      <c r="K163" s="41" t="s">
        <v>662</v>
      </c>
      <c r="L163" s="43">
        <v>1</v>
      </c>
      <c r="M163" s="43">
        <v>100</v>
      </c>
      <c r="N163" s="43">
        <v>1</v>
      </c>
      <c r="O163" s="44">
        <v>749.78</v>
      </c>
      <c r="P163" s="44">
        <v>614.57000000000005</v>
      </c>
      <c r="Q163" s="44">
        <v>749.78</v>
      </c>
      <c r="R163" s="44">
        <v>614.57000000000005</v>
      </c>
      <c r="S163" s="44">
        <v>599.82000000000005</v>
      </c>
      <c r="T163" s="44">
        <v>491.66</v>
      </c>
      <c r="U163" s="42"/>
      <c r="V163" s="42"/>
      <c r="W163" s="42" t="s">
        <v>40</v>
      </c>
      <c r="X163" s="45">
        <v>0.152</v>
      </c>
      <c r="Y163" s="46">
        <v>4.35E-4</v>
      </c>
      <c r="Z163" s="21">
        <v>4601004347618</v>
      </c>
    </row>
    <row r="164" spans="1:26" ht="12" customHeight="1" outlineLevel="4" x14ac:dyDescent="0.2">
      <c r="A164" s="40" t="s">
        <v>773</v>
      </c>
      <c r="B164" s="75" t="s">
        <v>774</v>
      </c>
      <c r="C164" s="51"/>
      <c r="D164" s="54">
        <f t="shared" si="2"/>
        <v>0</v>
      </c>
      <c r="E164" s="62"/>
      <c r="F164" s="42" t="s">
        <v>39</v>
      </c>
      <c r="G164" s="41" t="s">
        <v>40</v>
      </c>
      <c r="H164" s="41"/>
      <c r="I164" s="41"/>
      <c r="J164" s="47">
        <v>2359</v>
      </c>
      <c r="K164" s="41"/>
      <c r="L164" s="43">
        <v>1</v>
      </c>
      <c r="M164" s="43">
        <v>100</v>
      </c>
      <c r="N164" s="43">
        <v>1</v>
      </c>
      <c r="O164" s="44">
        <v>730.22</v>
      </c>
      <c r="P164" s="44">
        <v>598.54</v>
      </c>
      <c r="Q164" s="44">
        <v>730.22</v>
      </c>
      <c r="R164" s="44">
        <v>598.54</v>
      </c>
      <c r="S164" s="44">
        <v>584.17999999999995</v>
      </c>
      <c r="T164" s="44">
        <v>478.84</v>
      </c>
      <c r="U164" s="42"/>
      <c r="V164" s="42"/>
      <c r="W164" s="42" t="s">
        <v>40</v>
      </c>
      <c r="X164" s="45">
        <v>0.152</v>
      </c>
      <c r="Y164" s="46">
        <v>4.37E-4</v>
      </c>
      <c r="Z164" s="21">
        <v>4601004347656</v>
      </c>
    </row>
    <row r="165" spans="1:26" ht="12" customHeight="1" outlineLevel="4" x14ac:dyDescent="0.2">
      <c r="A165" s="40" t="s">
        <v>775</v>
      </c>
      <c r="B165" s="75" t="s">
        <v>776</v>
      </c>
      <c r="C165" s="51"/>
      <c r="D165" s="54">
        <f t="shared" si="2"/>
        <v>0</v>
      </c>
      <c r="E165" s="62"/>
      <c r="F165" s="42" t="s">
        <v>39</v>
      </c>
      <c r="G165" s="41" t="s">
        <v>40</v>
      </c>
      <c r="H165" s="41"/>
      <c r="I165" s="41"/>
      <c r="J165" s="47">
        <v>2319</v>
      </c>
      <c r="K165" s="41" t="s">
        <v>662</v>
      </c>
      <c r="L165" s="43">
        <v>1</v>
      </c>
      <c r="M165" s="43">
        <v>100</v>
      </c>
      <c r="N165" s="43">
        <v>1</v>
      </c>
      <c r="O165" s="44">
        <v>429.5</v>
      </c>
      <c r="P165" s="44">
        <v>352.05</v>
      </c>
      <c r="Q165" s="44">
        <v>429.5</v>
      </c>
      <c r="R165" s="44">
        <v>352.05</v>
      </c>
      <c r="S165" s="44">
        <v>343.6</v>
      </c>
      <c r="T165" s="44">
        <v>281.64</v>
      </c>
      <c r="U165" s="42"/>
      <c r="V165" s="42"/>
      <c r="W165" s="42" t="s">
        <v>40</v>
      </c>
      <c r="X165" s="45">
        <v>0.152</v>
      </c>
      <c r="Y165" s="46">
        <v>4.37E-4</v>
      </c>
      <c r="Z165" s="21">
        <v>4601004347670</v>
      </c>
    </row>
    <row r="166" spans="1:26" ht="12" customHeight="1" outlineLevel="4" x14ac:dyDescent="0.2">
      <c r="A166" s="40" t="s">
        <v>777</v>
      </c>
      <c r="B166" s="75" t="s">
        <v>778</v>
      </c>
      <c r="C166" s="51"/>
      <c r="D166" s="54">
        <f t="shared" si="2"/>
        <v>0</v>
      </c>
      <c r="E166" s="62"/>
      <c r="F166" s="42" t="s">
        <v>39</v>
      </c>
      <c r="G166" s="41" t="s">
        <v>40</v>
      </c>
      <c r="H166" s="41"/>
      <c r="I166" s="41"/>
      <c r="J166" s="47">
        <v>2403</v>
      </c>
      <c r="K166" s="41" t="s">
        <v>662</v>
      </c>
      <c r="L166" s="43">
        <v>1</v>
      </c>
      <c r="M166" s="43">
        <v>100</v>
      </c>
      <c r="N166" s="43">
        <v>1</v>
      </c>
      <c r="O166" s="44">
        <v>730.22</v>
      </c>
      <c r="P166" s="44">
        <v>598.54</v>
      </c>
      <c r="Q166" s="44">
        <v>730.22</v>
      </c>
      <c r="R166" s="44">
        <v>598.54</v>
      </c>
      <c r="S166" s="44">
        <v>584.17999999999995</v>
      </c>
      <c r="T166" s="44">
        <v>478.84</v>
      </c>
      <c r="U166" s="42"/>
      <c r="V166" s="42"/>
      <c r="W166" s="42" t="s">
        <v>40</v>
      </c>
      <c r="X166" s="45">
        <v>0.152</v>
      </c>
      <c r="Y166" s="46">
        <v>4.37E-4</v>
      </c>
      <c r="Z166" s="21">
        <v>4601004347632</v>
      </c>
    </row>
    <row r="167" spans="1:26" ht="12" customHeight="1" outlineLevel="4" x14ac:dyDescent="0.2">
      <c r="A167" s="40" t="s">
        <v>779</v>
      </c>
      <c r="B167" s="75" t="s">
        <v>780</v>
      </c>
      <c r="C167" s="51"/>
      <c r="D167" s="54">
        <f t="shared" si="2"/>
        <v>0</v>
      </c>
      <c r="E167" s="62"/>
      <c r="F167" s="42" t="s">
        <v>39</v>
      </c>
      <c r="G167" s="41" t="s">
        <v>40</v>
      </c>
      <c r="H167" s="41"/>
      <c r="I167" s="41"/>
      <c r="J167" s="43">
        <v>933</v>
      </c>
      <c r="K167" s="41"/>
      <c r="L167" s="43">
        <v>1</v>
      </c>
      <c r="M167" s="43">
        <v>100</v>
      </c>
      <c r="N167" s="43">
        <v>1</v>
      </c>
      <c r="O167" s="44">
        <v>1083.02</v>
      </c>
      <c r="P167" s="44">
        <v>887.72</v>
      </c>
      <c r="Q167" s="44">
        <v>1083.02</v>
      </c>
      <c r="R167" s="44">
        <v>887.72</v>
      </c>
      <c r="S167" s="44">
        <v>866.42</v>
      </c>
      <c r="T167" s="44">
        <v>710.18</v>
      </c>
      <c r="U167" s="42"/>
      <c r="V167" s="42"/>
      <c r="W167" s="42" t="s">
        <v>40</v>
      </c>
      <c r="X167" s="45">
        <v>0.2</v>
      </c>
      <c r="Y167" s="46">
        <v>5.4900000000000001E-4</v>
      </c>
      <c r="Z167" s="21">
        <v>4601004347694</v>
      </c>
    </row>
    <row r="168" spans="1:26" ht="12" customHeight="1" outlineLevel="4" x14ac:dyDescent="0.2">
      <c r="A168" s="40" t="s">
        <v>781</v>
      </c>
      <c r="B168" s="75" t="s">
        <v>782</v>
      </c>
      <c r="C168" s="51"/>
      <c r="D168" s="54">
        <f t="shared" si="2"/>
        <v>0</v>
      </c>
      <c r="E168" s="62"/>
      <c r="F168" s="42" t="s">
        <v>39</v>
      </c>
      <c r="G168" s="41" t="s">
        <v>40</v>
      </c>
      <c r="H168" s="41"/>
      <c r="I168" s="41"/>
      <c r="J168" s="43">
        <v>969</v>
      </c>
      <c r="K168" s="41"/>
      <c r="L168" s="43">
        <v>1</v>
      </c>
      <c r="M168" s="43">
        <v>100</v>
      </c>
      <c r="N168" s="43">
        <v>1</v>
      </c>
      <c r="O168" s="44">
        <v>1054.76</v>
      </c>
      <c r="P168" s="44">
        <v>864.56</v>
      </c>
      <c r="Q168" s="44">
        <v>1054.76</v>
      </c>
      <c r="R168" s="44">
        <v>864.56</v>
      </c>
      <c r="S168" s="44">
        <v>843.81</v>
      </c>
      <c r="T168" s="44">
        <v>691.65</v>
      </c>
      <c r="U168" s="42"/>
      <c r="V168" s="42"/>
      <c r="W168" s="42" t="s">
        <v>40</v>
      </c>
      <c r="X168" s="45">
        <v>0.2</v>
      </c>
      <c r="Y168" s="46">
        <v>5.6300000000000002E-4</v>
      </c>
      <c r="Z168" s="21">
        <v>4601004347731</v>
      </c>
    </row>
    <row r="169" spans="1:26" ht="12" customHeight="1" outlineLevel="4" x14ac:dyDescent="0.2">
      <c r="A169" s="40" t="s">
        <v>783</v>
      </c>
      <c r="B169" s="75" t="s">
        <v>784</v>
      </c>
      <c r="C169" s="51"/>
      <c r="D169" s="54">
        <f t="shared" si="2"/>
        <v>0</v>
      </c>
      <c r="E169" s="62"/>
      <c r="F169" s="42" t="s">
        <v>39</v>
      </c>
      <c r="G169" s="41" t="s">
        <v>40</v>
      </c>
      <c r="H169" s="41"/>
      <c r="I169" s="41"/>
      <c r="J169" s="43">
        <v>810</v>
      </c>
      <c r="K169" s="41" t="s">
        <v>662</v>
      </c>
      <c r="L169" s="43">
        <v>1</v>
      </c>
      <c r="M169" s="43">
        <v>100</v>
      </c>
      <c r="N169" s="43">
        <v>1</v>
      </c>
      <c r="O169" s="44">
        <v>604.38</v>
      </c>
      <c r="P169" s="44">
        <v>495.39</v>
      </c>
      <c r="Q169" s="44">
        <v>604.38</v>
      </c>
      <c r="R169" s="44">
        <v>495.39</v>
      </c>
      <c r="S169" s="44">
        <v>483.5</v>
      </c>
      <c r="T169" s="44">
        <v>396.31</v>
      </c>
      <c r="U169" s="42"/>
      <c r="V169" s="42"/>
      <c r="W169" s="42" t="s">
        <v>40</v>
      </c>
      <c r="X169" s="45">
        <v>0.2</v>
      </c>
      <c r="Y169" s="46">
        <v>5.5199999999999997E-4</v>
      </c>
      <c r="Z169" s="21">
        <v>4601004347755</v>
      </c>
    </row>
    <row r="170" spans="1:26" ht="12" customHeight="1" outlineLevel="4" x14ac:dyDescent="0.2">
      <c r="A170" s="40" t="s">
        <v>785</v>
      </c>
      <c r="B170" s="75" t="s">
        <v>786</v>
      </c>
      <c r="C170" s="51"/>
      <c r="D170" s="54">
        <f t="shared" si="2"/>
        <v>0</v>
      </c>
      <c r="E170" s="62"/>
      <c r="F170" s="42" t="s">
        <v>39</v>
      </c>
      <c r="G170" s="41" t="s">
        <v>40</v>
      </c>
      <c r="H170" s="41"/>
      <c r="I170" s="41"/>
      <c r="J170" s="43">
        <v>832</v>
      </c>
      <c r="K170" s="41"/>
      <c r="L170" s="43">
        <v>1</v>
      </c>
      <c r="M170" s="43">
        <v>100</v>
      </c>
      <c r="N170" s="43">
        <v>1</v>
      </c>
      <c r="O170" s="44">
        <v>1054.76</v>
      </c>
      <c r="P170" s="44">
        <v>864.56</v>
      </c>
      <c r="Q170" s="44">
        <v>1054.76</v>
      </c>
      <c r="R170" s="44">
        <v>864.56</v>
      </c>
      <c r="S170" s="44">
        <v>843.81</v>
      </c>
      <c r="T170" s="44">
        <v>691.65</v>
      </c>
      <c r="U170" s="42"/>
      <c r="V170" s="42"/>
      <c r="W170" s="42" t="s">
        <v>40</v>
      </c>
      <c r="X170" s="45">
        <v>0.2</v>
      </c>
      <c r="Y170" s="46">
        <v>5.5099999999999995E-4</v>
      </c>
      <c r="Z170" s="21">
        <v>4601004347717</v>
      </c>
    </row>
    <row r="171" spans="1:26" ht="12" customHeight="1" outlineLevel="4" x14ac:dyDescent="0.2">
      <c r="A171" s="40" t="s">
        <v>787</v>
      </c>
      <c r="B171" s="75" t="s">
        <v>788</v>
      </c>
      <c r="C171" s="51"/>
      <c r="D171" s="54">
        <f t="shared" si="2"/>
        <v>0</v>
      </c>
      <c r="E171" s="62"/>
      <c r="F171" s="42" t="s">
        <v>39</v>
      </c>
      <c r="G171" s="41" t="s">
        <v>40</v>
      </c>
      <c r="H171" s="41"/>
      <c r="I171" s="41"/>
      <c r="J171" s="43">
        <v>307</v>
      </c>
      <c r="K171" s="41" t="s">
        <v>662</v>
      </c>
      <c r="L171" s="43">
        <v>1</v>
      </c>
      <c r="M171" s="43">
        <v>60</v>
      </c>
      <c r="N171" s="43">
        <v>1</v>
      </c>
      <c r="O171" s="44">
        <v>1333.37</v>
      </c>
      <c r="P171" s="44">
        <v>1092.93</v>
      </c>
      <c r="Q171" s="44">
        <v>1333.37</v>
      </c>
      <c r="R171" s="44">
        <v>1092.93</v>
      </c>
      <c r="S171" s="44">
        <v>1066.7</v>
      </c>
      <c r="T171" s="44">
        <v>874.34</v>
      </c>
      <c r="U171" s="42"/>
      <c r="V171" s="42"/>
      <c r="W171" s="42" t="s">
        <v>40</v>
      </c>
      <c r="X171" s="45">
        <v>0.249</v>
      </c>
      <c r="Y171" s="46">
        <v>6.87E-4</v>
      </c>
      <c r="Z171" s="21">
        <v>4601004347779</v>
      </c>
    </row>
    <row r="172" spans="1:26" ht="12" customHeight="1" outlineLevel="4" x14ac:dyDescent="0.2">
      <c r="A172" s="40" t="s">
        <v>789</v>
      </c>
      <c r="B172" s="75" t="s">
        <v>790</v>
      </c>
      <c r="C172" s="51"/>
      <c r="D172" s="54">
        <f t="shared" si="2"/>
        <v>0</v>
      </c>
      <c r="E172" s="62"/>
      <c r="F172" s="42" t="s">
        <v>39</v>
      </c>
      <c r="G172" s="41" t="s">
        <v>40</v>
      </c>
      <c r="H172" s="41"/>
      <c r="I172" s="41"/>
      <c r="J172" s="43">
        <v>321</v>
      </c>
      <c r="K172" s="41" t="s">
        <v>662</v>
      </c>
      <c r="L172" s="43">
        <v>1</v>
      </c>
      <c r="M172" s="43">
        <v>60</v>
      </c>
      <c r="N172" s="43">
        <v>1</v>
      </c>
      <c r="O172" s="44">
        <v>1298.5999999999999</v>
      </c>
      <c r="P172" s="44">
        <v>1064.43</v>
      </c>
      <c r="Q172" s="44">
        <v>1298.5999999999999</v>
      </c>
      <c r="R172" s="44">
        <v>1064.43</v>
      </c>
      <c r="S172" s="44">
        <v>1038.8800000000001</v>
      </c>
      <c r="T172" s="44">
        <v>851.54</v>
      </c>
      <c r="U172" s="42"/>
      <c r="V172" s="42"/>
      <c r="W172" s="42" t="s">
        <v>40</v>
      </c>
      <c r="X172" s="45">
        <v>0.249</v>
      </c>
      <c r="Y172" s="46">
        <v>6.8599999999999998E-4</v>
      </c>
      <c r="Z172" s="21">
        <v>4601004347816</v>
      </c>
    </row>
    <row r="173" spans="1:26" ht="12" customHeight="1" outlineLevel="4" x14ac:dyDescent="0.2">
      <c r="A173" s="40" t="s">
        <v>791</v>
      </c>
      <c r="B173" s="75" t="s">
        <v>792</v>
      </c>
      <c r="C173" s="51"/>
      <c r="D173" s="54">
        <f t="shared" si="2"/>
        <v>0</v>
      </c>
      <c r="E173" s="62"/>
      <c r="F173" s="42" t="s">
        <v>39</v>
      </c>
      <c r="G173" s="41" t="s">
        <v>40</v>
      </c>
      <c r="H173" s="41"/>
      <c r="I173" s="41"/>
      <c r="J173" s="43">
        <v>334</v>
      </c>
      <c r="K173" s="41" t="s">
        <v>662</v>
      </c>
      <c r="L173" s="43">
        <v>1</v>
      </c>
      <c r="M173" s="43">
        <v>60</v>
      </c>
      <c r="N173" s="43">
        <v>1</v>
      </c>
      <c r="O173" s="44">
        <v>793.8</v>
      </c>
      <c r="P173" s="44">
        <v>650.66</v>
      </c>
      <c r="Q173" s="44">
        <v>793.8</v>
      </c>
      <c r="R173" s="44">
        <v>650.66</v>
      </c>
      <c r="S173" s="44">
        <v>635.04</v>
      </c>
      <c r="T173" s="44">
        <v>520.52</v>
      </c>
      <c r="U173" s="42"/>
      <c r="V173" s="42"/>
      <c r="W173" s="42" t="s">
        <v>40</v>
      </c>
      <c r="X173" s="45">
        <v>0.249</v>
      </c>
      <c r="Y173" s="46">
        <v>6.9800000000000005E-4</v>
      </c>
      <c r="Z173" s="21">
        <v>4601004347830</v>
      </c>
    </row>
    <row r="174" spans="1:26" ht="12" customHeight="1" outlineLevel="4" x14ac:dyDescent="0.2">
      <c r="A174" s="40" t="s">
        <v>793</v>
      </c>
      <c r="B174" s="75" t="s">
        <v>794</v>
      </c>
      <c r="C174" s="51"/>
      <c r="D174" s="54">
        <f t="shared" si="2"/>
        <v>0</v>
      </c>
      <c r="E174" s="62"/>
      <c r="F174" s="42" t="s">
        <v>39</v>
      </c>
      <c r="G174" s="41" t="s">
        <v>40</v>
      </c>
      <c r="H174" s="41"/>
      <c r="I174" s="41"/>
      <c r="J174" s="43">
        <v>428</v>
      </c>
      <c r="K174" s="41"/>
      <c r="L174" s="43">
        <v>1</v>
      </c>
      <c r="M174" s="43">
        <v>60</v>
      </c>
      <c r="N174" s="43">
        <v>1</v>
      </c>
      <c r="O174" s="44">
        <v>1298.5999999999999</v>
      </c>
      <c r="P174" s="44">
        <v>1064.43</v>
      </c>
      <c r="Q174" s="44">
        <v>1298.5999999999999</v>
      </c>
      <c r="R174" s="44">
        <v>1064.43</v>
      </c>
      <c r="S174" s="44">
        <v>1038.8800000000001</v>
      </c>
      <c r="T174" s="44">
        <v>851.54</v>
      </c>
      <c r="U174" s="42"/>
      <c r="V174" s="42"/>
      <c r="W174" s="42" t="s">
        <v>40</v>
      </c>
      <c r="X174" s="45">
        <v>0.249</v>
      </c>
      <c r="Y174" s="46">
        <v>6.9399999999999996E-4</v>
      </c>
      <c r="Z174" s="21">
        <v>4601004347793</v>
      </c>
    </row>
    <row r="175" spans="1:26" ht="12" customHeight="1" outlineLevel="4" x14ac:dyDescent="0.2">
      <c r="A175" s="40" t="s">
        <v>795</v>
      </c>
      <c r="B175" s="75" t="s">
        <v>796</v>
      </c>
      <c r="C175" s="51"/>
      <c r="D175" s="54">
        <f t="shared" si="2"/>
        <v>0</v>
      </c>
      <c r="E175" s="62"/>
      <c r="F175" s="42" t="s">
        <v>39</v>
      </c>
      <c r="G175" s="41" t="s">
        <v>40</v>
      </c>
      <c r="H175" s="41"/>
      <c r="I175" s="41"/>
      <c r="J175" s="43">
        <v>345</v>
      </c>
      <c r="K175" s="41" t="s">
        <v>662</v>
      </c>
      <c r="L175" s="43">
        <v>1</v>
      </c>
      <c r="M175" s="43">
        <v>80</v>
      </c>
      <c r="N175" s="43">
        <v>1</v>
      </c>
      <c r="O175" s="44">
        <v>6350.68</v>
      </c>
      <c r="P175" s="44">
        <v>5205.4799999999996</v>
      </c>
      <c r="Q175" s="44">
        <v>6350.68</v>
      </c>
      <c r="R175" s="44">
        <v>5205.4799999999996</v>
      </c>
      <c r="S175" s="44">
        <v>5080.54</v>
      </c>
      <c r="T175" s="44">
        <v>4164.38</v>
      </c>
      <c r="U175" s="42"/>
      <c r="V175" s="42"/>
      <c r="W175" s="42" t="s">
        <v>40</v>
      </c>
      <c r="X175" s="45">
        <v>0.20599999999999999</v>
      </c>
      <c r="Y175" s="46">
        <v>6.4300000000000002E-4</v>
      </c>
      <c r="Z175" s="21">
        <v>4601004347939</v>
      </c>
    </row>
    <row r="176" spans="1:26" ht="12" customHeight="1" outlineLevel="4" x14ac:dyDescent="0.2">
      <c r="A176" s="40" t="s">
        <v>797</v>
      </c>
      <c r="B176" s="75" t="s">
        <v>798</v>
      </c>
      <c r="C176" s="51"/>
      <c r="D176" s="54">
        <f t="shared" si="2"/>
        <v>0</v>
      </c>
      <c r="E176" s="62"/>
      <c r="F176" s="42" t="s">
        <v>39</v>
      </c>
      <c r="G176" s="41" t="s">
        <v>40</v>
      </c>
      <c r="H176" s="41"/>
      <c r="I176" s="41"/>
      <c r="J176" s="43">
        <v>223</v>
      </c>
      <c r="K176" s="41" t="s">
        <v>662</v>
      </c>
      <c r="L176" s="43">
        <v>1</v>
      </c>
      <c r="M176" s="43">
        <v>80</v>
      </c>
      <c r="N176" s="43">
        <v>1</v>
      </c>
      <c r="O176" s="44">
        <v>6240.22</v>
      </c>
      <c r="P176" s="44">
        <v>5114.93</v>
      </c>
      <c r="Q176" s="44">
        <v>6240.22</v>
      </c>
      <c r="R176" s="44">
        <v>5114.93</v>
      </c>
      <c r="S176" s="44">
        <v>4992.18</v>
      </c>
      <c r="T176" s="44">
        <v>4091.95</v>
      </c>
      <c r="U176" s="42"/>
      <c r="V176" s="42"/>
      <c r="W176" s="42" t="s">
        <v>40</v>
      </c>
      <c r="X176" s="45">
        <v>0.20599999999999999</v>
      </c>
      <c r="Y176" s="46">
        <v>6.5300000000000004E-4</v>
      </c>
      <c r="Z176" s="21">
        <v>4601004347977</v>
      </c>
    </row>
    <row r="177" spans="1:26" ht="12" customHeight="1" outlineLevel="4" x14ac:dyDescent="0.2">
      <c r="A177" s="40" t="s">
        <v>799</v>
      </c>
      <c r="B177" s="75" t="s">
        <v>800</v>
      </c>
      <c r="C177" s="51"/>
      <c r="D177" s="54">
        <f t="shared" si="2"/>
        <v>0</v>
      </c>
      <c r="E177" s="62"/>
      <c r="F177" s="42" t="s">
        <v>39</v>
      </c>
      <c r="G177" s="41" t="s">
        <v>40</v>
      </c>
      <c r="H177" s="41"/>
      <c r="I177" s="41"/>
      <c r="J177" s="43">
        <v>429</v>
      </c>
      <c r="K177" s="41" t="s">
        <v>662</v>
      </c>
      <c r="L177" s="43">
        <v>1</v>
      </c>
      <c r="M177" s="43">
        <v>80</v>
      </c>
      <c r="N177" s="43">
        <v>1</v>
      </c>
      <c r="O177" s="44">
        <v>5197.7299999999996</v>
      </c>
      <c r="P177" s="44">
        <v>4260.43</v>
      </c>
      <c r="Q177" s="44">
        <v>5197.7299999999996</v>
      </c>
      <c r="R177" s="44">
        <v>4260.43</v>
      </c>
      <c r="S177" s="44">
        <v>4158.18</v>
      </c>
      <c r="T177" s="44">
        <v>3408.34</v>
      </c>
      <c r="U177" s="42"/>
      <c r="V177" s="42"/>
      <c r="W177" s="42" t="s">
        <v>40</v>
      </c>
      <c r="X177" s="45">
        <v>0.20599999999999999</v>
      </c>
      <c r="Y177" s="46">
        <v>6.4499999999999996E-4</v>
      </c>
      <c r="Z177" s="21">
        <v>4601004347991</v>
      </c>
    </row>
    <row r="178" spans="1:26" ht="12" customHeight="1" outlineLevel="4" x14ac:dyDescent="0.2">
      <c r="A178" s="40" t="s">
        <v>801</v>
      </c>
      <c r="B178" s="75" t="s">
        <v>802</v>
      </c>
      <c r="C178" s="51"/>
      <c r="D178" s="54">
        <f t="shared" si="2"/>
        <v>0</v>
      </c>
      <c r="E178" s="62"/>
      <c r="F178" s="42" t="s">
        <v>39</v>
      </c>
      <c r="G178" s="41" t="s">
        <v>40</v>
      </c>
      <c r="H178" s="41"/>
      <c r="I178" s="41"/>
      <c r="J178" s="43">
        <v>242</v>
      </c>
      <c r="K178" s="41"/>
      <c r="L178" s="43">
        <v>1</v>
      </c>
      <c r="M178" s="43">
        <v>80</v>
      </c>
      <c r="N178" s="43">
        <v>1</v>
      </c>
      <c r="O178" s="44">
        <v>6240.22</v>
      </c>
      <c r="P178" s="44">
        <v>5114.93</v>
      </c>
      <c r="Q178" s="44">
        <v>6240.22</v>
      </c>
      <c r="R178" s="44">
        <v>5114.93</v>
      </c>
      <c r="S178" s="44">
        <v>4992.18</v>
      </c>
      <c r="T178" s="44">
        <v>4091.95</v>
      </c>
      <c r="U178" s="42"/>
      <c r="V178" s="42"/>
      <c r="W178" s="42" t="s">
        <v>40</v>
      </c>
      <c r="X178" s="45">
        <v>0.20599999999999999</v>
      </c>
      <c r="Y178" s="46">
        <v>6.4700000000000001E-4</v>
      </c>
      <c r="Z178" s="21">
        <v>4601004347953</v>
      </c>
    </row>
    <row r="179" spans="1:26" ht="12" customHeight="1" outlineLevel="4" x14ac:dyDescent="0.2">
      <c r="A179" s="40" t="s">
        <v>803</v>
      </c>
      <c r="B179" s="75" t="s">
        <v>804</v>
      </c>
      <c r="C179" s="51"/>
      <c r="D179" s="54">
        <f t="shared" si="2"/>
        <v>0</v>
      </c>
      <c r="E179" s="62"/>
      <c r="F179" s="42" t="s">
        <v>39</v>
      </c>
      <c r="G179" s="41" t="s">
        <v>40</v>
      </c>
      <c r="H179" s="41"/>
      <c r="I179" s="41"/>
      <c r="J179" s="47">
        <v>5497</v>
      </c>
      <c r="K179" s="41" t="s">
        <v>662</v>
      </c>
      <c r="L179" s="43">
        <v>1</v>
      </c>
      <c r="M179" s="43">
        <v>100</v>
      </c>
      <c r="N179" s="43">
        <v>1</v>
      </c>
      <c r="O179" s="44">
        <v>1002.76</v>
      </c>
      <c r="P179" s="44">
        <v>821.93</v>
      </c>
      <c r="Q179" s="44">
        <v>1002.76</v>
      </c>
      <c r="R179" s="44">
        <v>821.93</v>
      </c>
      <c r="S179" s="44">
        <v>802.21</v>
      </c>
      <c r="T179" s="44">
        <v>657.55</v>
      </c>
      <c r="U179" s="42"/>
      <c r="V179" s="42"/>
      <c r="W179" s="42" t="s">
        <v>40</v>
      </c>
      <c r="X179" s="45">
        <v>0.17</v>
      </c>
      <c r="Y179" s="46">
        <v>5.2999999999999998E-4</v>
      </c>
      <c r="Z179" s="21">
        <v>4601004348011</v>
      </c>
    </row>
    <row r="180" spans="1:26" ht="12" customHeight="1" outlineLevel="4" x14ac:dyDescent="0.2">
      <c r="A180" s="40" t="s">
        <v>805</v>
      </c>
      <c r="B180" s="75" t="s">
        <v>806</v>
      </c>
      <c r="C180" s="51"/>
      <c r="D180" s="54">
        <f t="shared" si="2"/>
        <v>0</v>
      </c>
      <c r="E180" s="62"/>
      <c r="F180" s="42" t="s">
        <v>39</v>
      </c>
      <c r="G180" s="41" t="s">
        <v>40</v>
      </c>
      <c r="H180" s="41"/>
      <c r="I180" s="41"/>
      <c r="J180" s="47">
        <v>6083</v>
      </c>
      <c r="K180" s="41" t="s">
        <v>662</v>
      </c>
      <c r="L180" s="43">
        <v>1</v>
      </c>
      <c r="M180" s="43">
        <v>100</v>
      </c>
      <c r="N180" s="43">
        <v>1</v>
      </c>
      <c r="O180" s="44">
        <v>1028.71</v>
      </c>
      <c r="P180" s="44">
        <v>843.2</v>
      </c>
      <c r="Q180" s="44">
        <v>1028.71</v>
      </c>
      <c r="R180" s="44">
        <v>843.2</v>
      </c>
      <c r="S180" s="44">
        <v>822.97</v>
      </c>
      <c r="T180" s="44">
        <v>674.57</v>
      </c>
      <c r="U180" s="42"/>
      <c r="V180" s="42"/>
      <c r="W180" s="42" t="s">
        <v>40</v>
      </c>
      <c r="X180" s="45">
        <v>0.17</v>
      </c>
      <c r="Y180" s="46">
        <v>5.3200000000000003E-4</v>
      </c>
      <c r="Z180" s="21">
        <v>4601004348059</v>
      </c>
    </row>
    <row r="181" spans="1:26" ht="12" customHeight="1" outlineLevel="4" x14ac:dyDescent="0.2">
      <c r="A181" s="40" t="s">
        <v>807</v>
      </c>
      <c r="B181" s="75" t="s">
        <v>808</v>
      </c>
      <c r="C181" s="51"/>
      <c r="D181" s="54">
        <f t="shared" si="2"/>
        <v>0</v>
      </c>
      <c r="E181" s="62"/>
      <c r="F181" s="42" t="s">
        <v>39</v>
      </c>
      <c r="G181" s="41" t="s">
        <v>40</v>
      </c>
      <c r="H181" s="41"/>
      <c r="I181" s="41"/>
      <c r="J181" s="47">
        <v>7331</v>
      </c>
      <c r="K181" s="41" t="s">
        <v>662</v>
      </c>
      <c r="L181" s="43">
        <v>1</v>
      </c>
      <c r="M181" s="43">
        <v>100</v>
      </c>
      <c r="N181" s="43">
        <v>1</v>
      </c>
      <c r="O181" s="44">
        <v>841.95</v>
      </c>
      <c r="P181" s="44">
        <v>690.12</v>
      </c>
      <c r="Q181" s="44">
        <v>841.95</v>
      </c>
      <c r="R181" s="44">
        <v>690.12</v>
      </c>
      <c r="S181" s="44">
        <v>673.56</v>
      </c>
      <c r="T181" s="44">
        <v>552.1</v>
      </c>
      <c r="U181" s="42"/>
      <c r="V181" s="42"/>
      <c r="W181" s="42" t="s">
        <v>40</v>
      </c>
      <c r="X181" s="45">
        <v>0.17</v>
      </c>
      <c r="Y181" s="46">
        <v>5.3200000000000003E-4</v>
      </c>
      <c r="Z181" s="21">
        <v>4601004348073</v>
      </c>
    </row>
    <row r="182" spans="1:26" ht="12" customHeight="1" outlineLevel="4" x14ac:dyDescent="0.2">
      <c r="A182" s="40" t="s">
        <v>809</v>
      </c>
      <c r="B182" s="75" t="s">
        <v>810</v>
      </c>
      <c r="C182" s="51"/>
      <c r="D182" s="54">
        <f t="shared" si="2"/>
        <v>0</v>
      </c>
      <c r="E182" s="62"/>
      <c r="F182" s="42" t="s">
        <v>39</v>
      </c>
      <c r="G182" s="41" t="s">
        <v>40</v>
      </c>
      <c r="H182" s="41"/>
      <c r="I182" s="41"/>
      <c r="J182" s="47">
        <v>6641</v>
      </c>
      <c r="K182" s="41" t="s">
        <v>662</v>
      </c>
      <c r="L182" s="43">
        <v>1</v>
      </c>
      <c r="M182" s="43">
        <v>100</v>
      </c>
      <c r="N182" s="43">
        <v>1</v>
      </c>
      <c r="O182" s="44">
        <v>1002.76</v>
      </c>
      <c r="P182" s="44">
        <v>821.93</v>
      </c>
      <c r="Q182" s="44">
        <v>1002.76</v>
      </c>
      <c r="R182" s="44">
        <v>821.93</v>
      </c>
      <c r="S182" s="44">
        <v>802.21</v>
      </c>
      <c r="T182" s="44">
        <v>657.55</v>
      </c>
      <c r="U182" s="42"/>
      <c r="V182" s="42"/>
      <c r="W182" s="42" t="s">
        <v>40</v>
      </c>
      <c r="X182" s="45">
        <v>0.17</v>
      </c>
      <c r="Y182" s="46">
        <v>5.3300000000000005E-4</v>
      </c>
      <c r="Z182" s="21">
        <v>4601004348035</v>
      </c>
    </row>
    <row r="183" spans="1:26" ht="12" customHeight="1" outlineLevel="4" x14ac:dyDescent="0.2">
      <c r="A183" s="40" t="s">
        <v>811</v>
      </c>
      <c r="B183" s="75" t="s">
        <v>812</v>
      </c>
      <c r="C183" s="51"/>
      <c r="D183" s="54">
        <f t="shared" si="2"/>
        <v>0</v>
      </c>
      <c r="E183" s="62"/>
      <c r="F183" s="42" t="s">
        <v>39</v>
      </c>
      <c r="G183" s="41" t="s">
        <v>40</v>
      </c>
      <c r="H183" s="41"/>
      <c r="I183" s="41"/>
      <c r="J183" s="43">
        <v>724</v>
      </c>
      <c r="K183" s="41" t="s">
        <v>662</v>
      </c>
      <c r="L183" s="43">
        <v>1</v>
      </c>
      <c r="M183" s="43">
        <v>100</v>
      </c>
      <c r="N183" s="43">
        <v>1</v>
      </c>
      <c r="O183" s="44">
        <v>1439.83</v>
      </c>
      <c r="P183" s="44">
        <v>1180.19</v>
      </c>
      <c r="Q183" s="44">
        <v>1439.83</v>
      </c>
      <c r="R183" s="44">
        <v>1180.19</v>
      </c>
      <c r="S183" s="44">
        <v>1151.8599999999999</v>
      </c>
      <c r="T183" s="44">
        <v>944.15</v>
      </c>
      <c r="U183" s="42"/>
      <c r="V183" s="42"/>
      <c r="W183" s="42" t="s">
        <v>40</v>
      </c>
      <c r="X183" s="45">
        <v>0.17599999999999999</v>
      </c>
      <c r="Y183" s="46">
        <v>5.2599999999999999E-4</v>
      </c>
      <c r="Z183" s="21">
        <v>4601004348172</v>
      </c>
    </row>
    <row r="184" spans="1:26" ht="12" customHeight="1" outlineLevel="4" x14ac:dyDescent="0.2">
      <c r="A184" s="40" t="s">
        <v>813</v>
      </c>
      <c r="B184" s="75" t="s">
        <v>814</v>
      </c>
      <c r="C184" s="51"/>
      <c r="D184" s="54">
        <f t="shared" si="2"/>
        <v>0</v>
      </c>
      <c r="E184" s="62"/>
      <c r="F184" s="42" t="s">
        <v>39</v>
      </c>
      <c r="G184" s="41" t="s">
        <v>40</v>
      </c>
      <c r="H184" s="41"/>
      <c r="I184" s="41"/>
      <c r="J184" s="43">
        <v>721</v>
      </c>
      <c r="K184" s="41" t="s">
        <v>662</v>
      </c>
      <c r="L184" s="43">
        <v>1</v>
      </c>
      <c r="M184" s="43">
        <v>100</v>
      </c>
      <c r="N184" s="43">
        <v>1</v>
      </c>
      <c r="O184" s="44">
        <v>1414.8</v>
      </c>
      <c r="P184" s="44">
        <v>1159.67</v>
      </c>
      <c r="Q184" s="44">
        <v>1414.8</v>
      </c>
      <c r="R184" s="44">
        <v>1159.67</v>
      </c>
      <c r="S184" s="44">
        <v>1131.8399999999999</v>
      </c>
      <c r="T184" s="44">
        <v>927.74</v>
      </c>
      <c r="U184" s="42"/>
      <c r="V184" s="42"/>
      <c r="W184" s="42" t="s">
        <v>40</v>
      </c>
      <c r="X184" s="45">
        <v>0.17599999999999999</v>
      </c>
      <c r="Y184" s="46">
        <v>5.2800000000000004E-4</v>
      </c>
      <c r="Z184" s="21">
        <v>4601004348219</v>
      </c>
    </row>
    <row r="185" spans="1:26" ht="12" customHeight="1" outlineLevel="4" x14ac:dyDescent="0.2">
      <c r="A185" s="40" t="s">
        <v>815</v>
      </c>
      <c r="B185" s="75" t="s">
        <v>816</v>
      </c>
      <c r="C185" s="51"/>
      <c r="D185" s="54">
        <f t="shared" si="2"/>
        <v>0</v>
      </c>
      <c r="E185" s="62"/>
      <c r="F185" s="42" t="s">
        <v>39</v>
      </c>
      <c r="G185" s="41" t="s">
        <v>40</v>
      </c>
      <c r="H185" s="41"/>
      <c r="I185" s="41"/>
      <c r="J185" s="43">
        <v>910</v>
      </c>
      <c r="K185" s="41"/>
      <c r="L185" s="43">
        <v>1</v>
      </c>
      <c r="M185" s="43">
        <v>100</v>
      </c>
      <c r="N185" s="43">
        <v>1</v>
      </c>
      <c r="O185" s="44">
        <v>1178.46</v>
      </c>
      <c r="P185" s="44">
        <v>965.95</v>
      </c>
      <c r="Q185" s="44">
        <v>1178.46</v>
      </c>
      <c r="R185" s="44">
        <v>965.95</v>
      </c>
      <c r="S185" s="44">
        <v>942.77</v>
      </c>
      <c r="T185" s="44">
        <v>772.76</v>
      </c>
      <c r="U185" s="42"/>
      <c r="V185" s="42"/>
      <c r="W185" s="42" t="s">
        <v>40</v>
      </c>
      <c r="X185" s="45">
        <v>0.17599999999999999</v>
      </c>
      <c r="Y185" s="46">
        <v>5.31E-4</v>
      </c>
      <c r="Z185" s="21">
        <v>4601004348233</v>
      </c>
    </row>
    <row r="186" spans="1:26" ht="12" customHeight="1" outlineLevel="4" x14ac:dyDescent="0.2">
      <c r="A186" s="40" t="s">
        <v>817</v>
      </c>
      <c r="B186" s="75" t="s">
        <v>818</v>
      </c>
      <c r="C186" s="51"/>
      <c r="D186" s="54">
        <f t="shared" si="2"/>
        <v>0</v>
      </c>
      <c r="E186" s="62"/>
      <c r="F186" s="42" t="s">
        <v>39</v>
      </c>
      <c r="G186" s="41" t="s">
        <v>40</v>
      </c>
      <c r="H186" s="41"/>
      <c r="I186" s="41"/>
      <c r="J186" s="43">
        <v>879</v>
      </c>
      <c r="K186" s="41"/>
      <c r="L186" s="43">
        <v>1</v>
      </c>
      <c r="M186" s="43">
        <v>100</v>
      </c>
      <c r="N186" s="43">
        <v>1</v>
      </c>
      <c r="O186" s="44">
        <v>1414.8</v>
      </c>
      <c r="P186" s="44">
        <v>1159.67</v>
      </c>
      <c r="Q186" s="44">
        <v>1414.8</v>
      </c>
      <c r="R186" s="44">
        <v>1159.67</v>
      </c>
      <c r="S186" s="44">
        <v>1131.8399999999999</v>
      </c>
      <c r="T186" s="44">
        <v>927.74</v>
      </c>
      <c r="U186" s="42"/>
      <c r="V186" s="42"/>
      <c r="W186" s="42" t="s">
        <v>40</v>
      </c>
      <c r="X186" s="45">
        <v>0.17599999999999999</v>
      </c>
      <c r="Y186" s="46">
        <v>5.2800000000000004E-4</v>
      </c>
      <c r="Z186" s="21">
        <v>4601004348196</v>
      </c>
    </row>
    <row r="187" spans="1:26" ht="12" customHeight="1" outlineLevel="4" x14ac:dyDescent="0.2">
      <c r="A187" s="40" t="s">
        <v>819</v>
      </c>
      <c r="B187" s="75" t="s">
        <v>820</v>
      </c>
      <c r="C187" s="51"/>
      <c r="D187" s="54">
        <f t="shared" si="2"/>
        <v>0</v>
      </c>
      <c r="E187" s="62"/>
      <c r="F187" s="42" t="s">
        <v>39</v>
      </c>
      <c r="G187" s="41" t="s">
        <v>40</v>
      </c>
      <c r="H187" s="41"/>
      <c r="I187" s="41"/>
      <c r="J187" s="43">
        <v>399</v>
      </c>
      <c r="K187" s="41" t="s">
        <v>662</v>
      </c>
      <c r="L187" s="43">
        <v>1</v>
      </c>
      <c r="M187" s="43">
        <v>80</v>
      </c>
      <c r="N187" s="43">
        <v>1</v>
      </c>
      <c r="O187" s="44">
        <v>1482.94</v>
      </c>
      <c r="P187" s="44">
        <v>1215.52</v>
      </c>
      <c r="Q187" s="44">
        <v>1482.94</v>
      </c>
      <c r="R187" s="44">
        <v>1215.52</v>
      </c>
      <c r="S187" s="44">
        <v>1186.3499999999999</v>
      </c>
      <c r="T187" s="44">
        <v>972.42</v>
      </c>
      <c r="U187" s="42"/>
      <c r="V187" s="42"/>
      <c r="W187" s="42" t="s">
        <v>40</v>
      </c>
      <c r="X187" s="45">
        <v>0.19900000000000001</v>
      </c>
      <c r="Y187" s="46">
        <v>6.6799999999999997E-4</v>
      </c>
      <c r="Z187" s="21">
        <v>4601004348257</v>
      </c>
    </row>
    <row r="188" spans="1:26" ht="12" customHeight="1" outlineLevel="4" x14ac:dyDescent="0.2">
      <c r="A188" s="40" t="s">
        <v>821</v>
      </c>
      <c r="B188" s="75" t="s">
        <v>822</v>
      </c>
      <c r="C188" s="51"/>
      <c r="D188" s="54">
        <f t="shared" si="2"/>
        <v>0</v>
      </c>
      <c r="E188" s="62"/>
      <c r="F188" s="42" t="s">
        <v>39</v>
      </c>
      <c r="G188" s="41" t="s">
        <v>40</v>
      </c>
      <c r="H188" s="41"/>
      <c r="I188" s="41"/>
      <c r="J188" s="43">
        <v>286</v>
      </c>
      <c r="K188" s="41" t="s">
        <v>662</v>
      </c>
      <c r="L188" s="43">
        <v>1</v>
      </c>
      <c r="M188" s="43">
        <v>80</v>
      </c>
      <c r="N188" s="43">
        <v>1</v>
      </c>
      <c r="O188" s="44">
        <v>1482.94</v>
      </c>
      <c r="P188" s="44">
        <v>1215.52</v>
      </c>
      <c r="Q188" s="44">
        <v>1482.94</v>
      </c>
      <c r="R188" s="44">
        <v>1215.52</v>
      </c>
      <c r="S188" s="44">
        <v>1186.3499999999999</v>
      </c>
      <c r="T188" s="44">
        <v>972.42</v>
      </c>
      <c r="U188" s="42"/>
      <c r="V188" s="42"/>
      <c r="W188" s="42" t="s">
        <v>40</v>
      </c>
      <c r="X188" s="45">
        <v>0.19900000000000001</v>
      </c>
      <c r="Y188" s="46">
        <v>6.5799999999999995E-4</v>
      </c>
      <c r="Z188" s="21">
        <v>4601004348295</v>
      </c>
    </row>
    <row r="189" spans="1:26" ht="12" customHeight="1" outlineLevel="4" x14ac:dyDescent="0.2">
      <c r="A189" s="40" t="s">
        <v>823</v>
      </c>
      <c r="B189" s="75" t="s">
        <v>824</v>
      </c>
      <c r="C189" s="51"/>
      <c r="D189" s="54">
        <f t="shared" si="2"/>
        <v>0</v>
      </c>
      <c r="E189" s="62"/>
      <c r="F189" s="42" t="s">
        <v>39</v>
      </c>
      <c r="G189" s="41" t="s">
        <v>40</v>
      </c>
      <c r="H189" s="41"/>
      <c r="I189" s="41"/>
      <c r="J189" s="43">
        <v>393</v>
      </c>
      <c r="K189" s="41" t="s">
        <v>662</v>
      </c>
      <c r="L189" s="43">
        <v>1</v>
      </c>
      <c r="M189" s="43">
        <v>80</v>
      </c>
      <c r="N189" s="43">
        <v>1</v>
      </c>
      <c r="O189" s="44">
        <v>1482.94</v>
      </c>
      <c r="P189" s="44">
        <v>1215.52</v>
      </c>
      <c r="Q189" s="44">
        <v>1482.94</v>
      </c>
      <c r="R189" s="44">
        <v>1215.52</v>
      </c>
      <c r="S189" s="44">
        <v>1186.3499999999999</v>
      </c>
      <c r="T189" s="44">
        <v>972.42</v>
      </c>
      <c r="U189" s="42"/>
      <c r="V189" s="42"/>
      <c r="W189" s="42" t="s">
        <v>40</v>
      </c>
      <c r="X189" s="45">
        <v>0.19900000000000001</v>
      </c>
      <c r="Y189" s="46">
        <v>6.6200000000000015E-4</v>
      </c>
      <c r="Z189" s="21">
        <v>4601004348318</v>
      </c>
    </row>
    <row r="190" spans="1:26" ht="12" customHeight="1" outlineLevel="4" x14ac:dyDescent="0.2">
      <c r="A190" s="40" t="s">
        <v>825</v>
      </c>
      <c r="B190" s="75" t="s">
        <v>826</v>
      </c>
      <c r="C190" s="51"/>
      <c r="D190" s="54">
        <f t="shared" si="2"/>
        <v>0</v>
      </c>
      <c r="E190" s="62"/>
      <c r="F190" s="42" t="s">
        <v>39</v>
      </c>
      <c r="G190" s="41" t="s">
        <v>40</v>
      </c>
      <c r="H190" s="41"/>
      <c r="I190" s="41"/>
      <c r="J190" s="43">
        <v>390</v>
      </c>
      <c r="K190" s="41" t="s">
        <v>662</v>
      </c>
      <c r="L190" s="43">
        <v>1</v>
      </c>
      <c r="M190" s="43">
        <v>80</v>
      </c>
      <c r="N190" s="43">
        <v>1</v>
      </c>
      <c r="O190" s="44">
        <v>1482.94</v>
      </c>
      <c r="P190" s="44">
        <v>1215.52</v>
      </c>
      <c r="Q190" s="44">
        <v>1482.94</v>
      </c>
      <c r="R190" s="44">
        <v>1215.52</v>
      </c>
      <c r="S190" s="44">
        <v>1186.3499999999999</v>
      </c>
      <c r="T190" s="44">
        <v>972.42</v>
      </c>
      <c r="U190" s="42"/>
      <c r="V190" s="42"/>
      <c r="W190" s="42" t="s">
        <v>40</v>
      </c>
      <c r="X190" s="45">
        <v>0.19900000000000001</v>
      </c>
      <c r="Y190" s="46">
        <v>6.6399999999999999E-4</v>
      </c>
      <c r="Z190" s="21">
        <v>4601004348271</v>
      </c>
    </row>
    <row r="191" spans="1:26" ht="12" customHeight="1" outlineLevel="4" x14ac:dyDescent="0.2">
      <c r="A191" s="40" t="s">
        <v>827</v>
      </c>
      <c r="B191" s="75" t="s">
        <v>828</v>
      </c>
      <c r="C191" s="51"/>
      <c r="D191" s="54">
        <f t="shared" si="2"/>
        <v>0</v>
      </c>
      <c r="E191" s="62"/>
      <c r="F191" s="42" t="s">
        <v>39</v>
      </c>
      <c r="G191" s="41" t="s">
        <v>40</v>
      </c>
      <c r="H191" s="41"/>
      <c r="I191" s="41"/>
      <c r="J191" s="43">
        <v>234</v>
      </c>
      <c r="K191" s="41"/>
      <c r="L191" s="43">
        <v>1</v>
      </c>
      <c r="M191" s="43">
        <v>100</v>
      </c>
      <c r="N191" s="43">
        <v>1</v>
      </c>
      <c r="O191" s="44">
        <v>3477.43</v>
      </c>
      <c r="P191" s="44">
        <v>2850.35</v>
      </c>
      <c r="Q191" s="44">
        <v>3477.43</v>
      </c>
      <c r="R191" s="44">
        <v>2850.35</v>
      </c>
      <c r="S191" s="44">
        <v>2781.94</v>
      </c>
      <c r="T191" s="44">
        <v>2280.2800000000002</v>
      </c>
      <c r="U191" s="42"/>
      <c r="V191" s="42"/>
      <c r="W191" s="42" t="s">
        <v>40</v>
      </c>
      <c r="X191" s="45">
        <v>0.154</v>
      </c>
      <c r="Y191" s="46">
        <v>5.2499999999999997E-4</v>
      </c>
      <c r="Z191" s="21">
        <v>4601004348332</v>
      </c>
    </row>
    <row r="192" spans="1:26" ht="12" customHeight="1" outlineLevel="4" x14ac:dyDescent="0.2">
      <c r="A192" s="40" t="s">
        <v>829</v>
      </c>
      <c r="B192" s="75" t="s">
        <v>830</v>
      </c>
      <c r="C192" s="51"/>
      <c r="D192" s="54">
        <f t="shared" si="2"/>
        <v>0</v>
      </c>
      <c r="E192" s="62"/>
      <c r="F192" s="42" t="s">
        <v>39</v>
      </c>
      <c r="G192" s="41" t="s">
        <v>40</v>
      </c>
      <c r="H192" s="41"/>
      <c r="I192" s="41"/>
      <c r="J192" s="43">
        <v>228</v>
      </c>
      <c r="K192" s="41"/>
      <c r="L192" s="43">
        <v>1</v>
      </c>
      <c r="M192" s="43">
        <v>100</v>
      </c>
      <c r="N192" s="43">
        <v>1</v>
      </c>
      <c r="O192" s="44">
        <v>3386.71</v>
      </c>
      <c r="P192" s="44">
        <v>2775.99</v>
      </c>
      <c r="Q192" s="44">
        <v>3386.71</v>
      </c>
      <c r="R192" s="44">
        <v>2775.99</v>
      </c>
      <c r="S192" s="44">
        <v>2709.37</v>
      </c>
      <c r="T192" s="44">
        <v>2220.8000000000002</v>
      </c>
      <c r="U192" s="42"/>
      <c r="V192" s="42"/>
      <c r="W192" s="42" t="s">
        <v>40</v>
      </c>
      <c r="X192" s="45">
        <v>0.153</v>
      </c>
      <c r="Y192" s="46">
        <v>5.31E-4</v>
      </c>
      <c r="Z192" s="21">
        <v>4601004348370</v>
      </c>
    </row>
    <row r="193" spans="1:26" ht="12" customHeight="1" outlineLevel="4" x14ac:dyDescent="0.2">
      <c r="A193" s="40" t="s">
        <v>831</v>
      </c>
      <c r="B193" s="75" t="s">
        <v>832</v>
      </c>
      <c r="C193" s="51"/>
      <c r="D193" s="54">
        <f t="shared" si="2"/>
        <v>0</v>
      </c>
      <c r="E193" s="62"/>
      <c r="F193" s="42" t="s">
        <v>39</v>
      </c>
      <c r="G193" s="41" t="s">
        <v>40</v>
      </c>
      <c r="H193" s="41"/>
      <c r="I193" s="41"/>
      <c r="J193" s="43">
        <v>378</v>
      </c>
      <c r="K193" s="41"/>
      <c r="L193" s="43">
        <v>1</v>
      </c>
      <c r="M193" s="43">
        <v>100</v>
      </c>
      <c r="N193" s="43">
        <v>1</v>
      </c>
      <c r="O193" s="44">
        <v>2897.23</v>
      </c>
      <c r="P193" s="44">
        <v>2374.7800000000002</v>
      </c>
      <c r="Q193" s="44">
        <v>2897.23</v>
      </c>
      <c r="R193" s="44">
        <v>2374.7800000000002</v>
      </c>
      <c r="S193" s="44">
        <v>2317.7800000000002</v>
      </c>
      <c r="T193" s="44">
        <v>1899.82</v>
      </c>
      <c r="U193" s="42"/>
      <c r="V193" s="42"/>
      <c r="W193" s="42" t="s">
        <v>40</v>
      </c>
      <c r="X193" s="45">
        <v>0.153</v>
      </c>
      <c r="Y193" s="46">
        <v>5.2599999999999999E-4</v>
      </c>
      <c r="Z193" s="21">
        <v>4601004348394</v>
      </c>
    </row>
    <row r="194" spans="1:26" ht="12" customHeight="1" outlineLevel="4" x14ac:dyDescent="0.2">
      <c r="A194" s="40" t="s">
        <v>833</v>
      </c>
      <c r="B194" s="75" t="s">
        <v>834</v>
      </c>
      <c r="C194" s="51"/>
      <c r="D194" s="54">
        <f t="shared" si="2"/>
        <v>0</v>
      </c>
      <c r="E194" s="62"/>
      <c r="F194" s="42" t="s">
        <v>39</v>
      </c>
      <c r="G194" s="41" t="s">
        <v>40</v>
      </c>
      <c r="H194" s="41"/>
      <c r="I194" s="41"/>
      <c r="J194" s="43">
        <v>382</v>
      </c>
      <c r="K194" s="41"/>
      <c r="L194" s="43">
        <v>1</v>
      </c>
      <c r="M194" s="43">
        <v>100</v>
      </c>
      <c r="N194" s="43">
        <v>1</v>
      </c>
      <c r="O194" s="44">
        <v>3386.71</v>
      </c>
      <c r="P194" s="44">
        <v>2775.99</v>
      </c>
      <c r="Q194" s="44">
        <v>3386.71</v>
      </c>
      <c r="R194" s="44">
        <v>2775.99</v>
      </c>
      <c r="S194" s="44">
        <v>2709.37</v>
      </c>
      <c r="T194" s="44">
        <v>2220.8000000000002</v>
      </c>
      <c r="U194" s="42"/>
      <c r="V194" s="42"/>
      <c r="W194" s="42" t="s">
        <v>40</v>
      </c>
      <c r="X194" s="45">
        <v>0.154</v>
      </c>
      <c r="Y194" s="46">
        <v>5.2800000000000004E-4</v>
      </c>
      <c r="Z194" s="21">
        <v>4601004348356</v>
      </c>
    </row>
    <row r="195" spans="1:26" ht="12" customHeight="1" outlineLevel="4" x14ac:dyDescent="0.2">
      <c r="A195" s="40" t="s">
        <v>835</v>
      </c>
      <c r="B195" s="75" t="s">
        <v>836</v>
      </c>
      <c r="C195" s="51"/>
      <c r="D195" s="54">
        <f t="shared" si="2"/>
        <v>0</v>
      </c>
      <c r="E195" s="62"/>
      <c r="F195" s="42" t="s">
        <v>39</v>
      </c>
      <c r="G195" s="41" t="s">
        <v>40</v>
      </c>
      <c r="H195" s="41"/>
      <c r="I195" s="41"/>
      <c r="J195" s="43">
        <v>528</v>
      </c>
      <c r="K195" s="41"/>
      <c r="L195" s="43">
        <v>1</v>
      </c>
      <c r="M195" s="43">
        <v>100</v>
      </c>
      <c r="N195" s="43">
        <v>1</v>
      </c>
      <c r="O195" s="44">
        <v>1662.02</v>
      </c>
      <c r="P195" s="44">
        <v>1362.31</v>
      </c>
      <c r="Q195" s="44">
        <v>1662.02</v>
      </c>
      <c r="R195" s="44">
        <v>1362.31</v>
      </c>
      <c r="S195" s="44">
        <v>1329.62</v>
      </c>
      <c r="T195" s="44">
        <v>1089.8499999999999</v>
      </c>
      <c r="U195" s="42"/>
      <c r="V195" s="42"/>
      <c r="W195" s="42" t="s">
        <v>40</v>
      </c>
      <c r="X195" s="45">
        <v>0.151</v>
      </c>
      <c r="Y195" s="46">
        <v>4.5100000000000001E-4</v>
      </c>
      <c r="Z195" s="21">
        <v>4601004348417</v>
      </c>
    </row>
    <row r="196" spans="1:26" ht="12" customHeight="1" outlineLevel="4" x14ac:dyDescent="0.2">
      <c r="A196" s="40" t="s">
        <v>837</v>
      </c>
      <c r="B196" s="75" t="s">
        <v>838</v>
      </c>
      <c r="C196" s="51"/>
      <c r="D196" s="54">
        <f t="shared" si="2"/>
        <v>0</v>
      </c>
      <c r="E196" s="62"/>
      <c r="F196" s="42" t="s">
        <v>39</v>
      </c>
      <c r="G196" s="41" t="s">
        <v>40</v>
      </c>
      <c r="H196" s="41"/>
      <c r="I196" s="41"/>
      <c r="J196" s="43">
        <v>526</v>
      </c>
      <c r="K196" s="41"/>
      <c r="L196" s="43">
        <v>1</v>
      </c>
      <c r="M196" s="43">
        <v>100</v>
      </c>
      <c r="N196" s="43">
        <v>1</v>
      </c>
      <c r="O196" s="44">
        <v>1618.66</v>
      </c>
      <c r="P196" s="44">
        <v>1326.77</v>
      </c>
      <c r="Q196" s="44">
        <v>1618.66</v>
      </c>
      <c r="R196" s="44">
        <v>1326.77</v>
      </c>
      <c r="S196" s="44">
        <v>1294.93</v>
      </c>
      <c r="T196" s="44">
        <v>1061.42</v>
      </c>
      <c r="U196" s="42"/>
      <c r="V196" s="42"/>
      <c r="W196" s="42" t="s">
        <v>40</v>
      </c>
      <c r="X196" s="45">
        <v>0.151</v>
      </c>
      <c r="Y196" s="46">
        <v>4.4900000000000002E-4</v>
      </c>
      <c r="Z196" s="21">
        <v>4601004348455</v>
      </c>
    </row>
    <row r="197" spans="1:26" ht="12" customHeight="1" outlineLevel="4" x14ac:dyDescent="0.2">
      <c r="A197" s="40" t="s">
        <v>839</v>
      </c>
      <c r="B197" s="75" t="s">
        <v>840</v>
      </c>
      <c r="C197" s="51"/>
      <c r="D197" s="54">
        <f t="shared" si="2"/>
        <v>0</v>
      </c>
      <c r="E197" s="62"/>
      <c r="F197" s="42" t="s">
        <v>39</v>
      </c>
      <c r="G197" s="41" t="s">
        <v>40</v>
      </c>
      <c r="H197" s="41"/>
      <c r="I197" s="41"/>
      <c r="J197" s="43">
        <v>575</v>
      </c>
      <c r="K197" s="41"/>
      <c r="L197" s="43">
        <v>1</v>
      </c>
      <c r="M197" s="43">
        <v>100</v>
      </c>
      <c r="N197" s="43">
        <v>1</v>
      </c>
      <c r="O197" s="44">
        <v>1372.66</v>
      </c>
      <c r="P197" s="44">
        <v>1125.1300000000001</v>
      </c>
      <c r="Q197" s="44">
        <v>1372.66</v>
      </c>
      <c r="R197" s="44">
        <v>1125.1300000000001</v>
      </c>
      <c r="S197" s="44">
        <v>1098.1300000000001</v>
      </c>
      <c r="T197" s="44">
        <v>900.11</v>
      </c>
      <c r="U197" s="42"/>
      <c r="V197" s="42"/>
      <c r="W197" s="42" t="s">
        <v>40</v>
      </c>
      <c r="X197" s="45">
        <v>0.151</v>
      </c>
      <c r="Y197" s="46">
        <v>4.46E-4</v>
      </c>
      <c r="Z197" s="21">
        <v>4601004348479</v>
      </c>
    </row>
    <row r="198" spans="1:26" ht="12" customHeight="1" outlineLevel="4" x14ac:dyDescent="0.2">
      <c r="A198" s="40" t="s">
        <v>841</v>
      </c>
      <c r="B198" s="75" t="s">
        <v>842</v>
      </c>
      <c r="C198" s="51"/>
      <c r="D198" s="54">
        <f t="shared" si="2"/>
        <v>0</v>
      </c>
      <c r="E198" s="62"/>
      <c r="F198" s="42" t="s">
        <v>39</v>
      </c>
      <c r="G198" s="41" t="s">
        <v>40</v>
      </c>
      <c r="H198" s="41"/>
      <c r="I198" s="41"/>
      <c r="J198" s="43">
        <v>573</v>
      </c>
      <c r="K198" s="41"/>
      <c r="L198" s="43">
        <v>1</v>
      </c>
      <c r="M198" s="43">
        <v>100</v>
      </c>
      <c r="N198" s="43">
        <v>1</v>
      </c>
      <c r="O198" s="44">
        <v>1618.66</v>
      </c>
      <c r="P198" s="44">
        <v>1326.77</v>
      </c>
      <c r="Q198" s="44">
        <v>1618.66</v>
      </c>
      <c r="R198" s="44">
        <v>1326.77</v>
      </c>
      <c r="S198" s="44">
        <v>1294.93</v>
      </c>
      <c r="T198" s="44">
        <v>1061.42</v>
      </c>
      <c r="U198" s="42"/>
      <c r="V198" s="42"/>
      <c r="W198" s="42" t="s">
        <v>40</v>
      </c>
      <c r="X198" s="45">
        <v>0.151</v>
      </c>
      <c r="Y198" s="46">
        <v>4.4799999999999999E-4</v>
      </c>
      <c r="Z198" s="21">
        <v>4601004348431</v>
      </c>
    </row>
    <row r="199" spans="1:26" ht="12" customHeight="1" outlineLevel="4" x14ac:dyDescent="0.2">
      <c r="A199" s="40" t="s">
        <v>843</v>
      </c>
      <c r="B199" s="75" t="s">
        <v>844</v>
      </c>
      <c r="C199" s="51"/>
      <c r="D199" s="54">
        <f t="shared" si="2"/>
        <v>0</v>
      </c>
      <c r="E199" s="62"/>
      <c r="F199" s="42" t="s">
        <v>39</v>
      </c>
      <c r="G199" s="41" t="s">
        <v>40</v>
      </c>
      <c r="H199" s="41"/>
      <c r="I199" s="41"/>
      <c r="J199" s="43">
        <v>478</v>
      </c>
      <c r="K199" s="41"/>
      <c r="L199" s="43">
        <v>1</v>
      </c>
      <c r="M199" s="43">
        <v>100</v>
      </c>
      <c r="N199" s="43">
        <v>1</v>
      </c>
      <c r="O199" s="44">
        <v>2799.2</v>
      </c>
      <c r="P199" s="44">
        <v>2294.4299999999998</v>
      </c>
      <c r="Q199" s="44">
        <v>2799.2</v>
      </c>
      <c r="R199" s="44">
        <v>2294.4299999999998</v>
      </c>
      <c r="S199" s="44">
        <v>2239.36</v>
      </c>
      <c r="T199" s="44">
        <v>1835.54</v>
      </c>
      <c r="U199" s="42"/>
      <c r="V199" s="42"/>
      <c r="W199" s="42" t="s">
        <v>40</v>
      </c>
      <c r="X199" s="45">
        <v>0.152</v>
      </c>
      <c r="Y199" s="46">
        <v>5.2599999999999999E-4</v>
      </c>
      <c r="Z199" s="21">
        <v>4601004348493</v>
      </c>
    </row>
    <row r="200" spans="1:26" ht="12" customHeight="1" outlineLevel="4" x14ac:dyDescent="0.2">
      <c r="A200" s="40" t="s">
        <v>845</v>
      </c>
      <c r="B200" s="75" t="s">
        <v>846</v>
      </c>
      <c r="C200" s="51"/>
      <c r="D200" s="54">
        <f t="shared" si="2"/>
        <v>0</v>
      </c>
      <c r="E200" s="62"/>
      <c r="F200" s="42" t="s">
        <v>39</v>
      </c>
      <c r="G200" s="41" t="s">
        <v>40</v>
      </c>
      <c r="H200" s="41"/>
      <c r="I200" s="41"/>
      <c r="J200" s="43">
        <v>395</v>
      </c>
      <c r="K200" s="41"/>
      <c r="L200" s="43">
        <v>1</v>
      </c>
      <c r="M200" s="43">
        <v>100</v>
      </c>
      <c r="N200" s="43">
        <v>1</v>
      </c>
      <c r="O200" s="44">
        <v>2771.7</v>
      </c>
      <c r="P200" s="44">
        <v>2271.89</v>
      </c>
      <c r="Q200" s="44">
        <v>2771.7</v>
      </c>
      <c r="R200" s="44">
        <v>2271.89</v>
      </c>
      <c r="S200" s="44">
        <v>2217.36</v>
      </c>
      <c r="T200" s="44">
        <v>1817.51</v>
      </c>
      <c r="U200" s="42"/>
      <c r="V200" s="42"/>
      <c r="W200" s="42" t="s">
        <v>40</v>
      </c>
      <c r="X200" s="45">
        <v>0.152</v>
      </c>
      <c r="Y200" s="46">
        <v>5.2700000000000002E-4</v>
      </c>
      <c r="Z200" s="21">
        <v>4601004348530</v>
      </c>
    </row>
    <row r="201" spans="1:26" ht="12" customHeight="1" outlineLevel="4" x14ac:dyDescent="0.2">
      <c r="A201" s="40" t="s">
        <v>847</v>
      </c>
      <c r="B201" s="75" t="s">
        <v>848</v>
      </c>
      <c r="C201" s="51"/>
      <c r="D201" s="54">
        <f t="shared" si="2"/>
        <v>0</v>
      </c>
      <c r="E201" s="62"/>
      <c r="F201" s="42" t="s">
        <v>39</v>
      </c>
      <c r="G201" s="41" t="s">
        <v>40</v>
      </c>
      <c r="H201" s="41"/>
      <c r="I201" s="41"/>
      <c r="J201" s="43">
        <v>596</v>
      </c>
      <c r="K201" s="41"/>
      <c r="L201" s="43">
        <v>1</v>
      </c>
      <c r="M201" s="43">
        <v>100</v>
      </c>
      <c r="N201" s="43">
        <v>1</v>
      </c>
      <c r="O201" s="44">
        <v>2353.4899999999998</v>
      </c>
      <c r="P201" s="44">
        <v>1929.09</v>
      </c>
      <c r="Q201" s="44">
        <v>2353.4899999999998</v>
      </c>
      <c r="R201" s="44">
        <v>1929.09</v>
      </c>
      <c r="S201" s="44">
        <v>1882.79</v>
      </c>
      <c r="T201" s="44">
        <v>1543.27</v>
      </c>
      <c r="U201" s="42"/>
      <c r="V201" s="42"/>
      <c r="W201" s="42" t="s">
        <v>40</v>
      </c>
      <c r="X201" s="45">
        <v>0.152</v>
      </c>
      <c r="Y201" s="46">
        <v>5.22E-4</v>
      </c>
      <c r="Z201" s="21">
        <v>4601004348554</v>
      </c>
    </row>
    <row r="202" spans="1:26" ht="12" customHeight="1" outlineLevel="4" x14ac:dyDescent="0.2">
      <c r="A202" s="40" t="s">
        <v>849</v>
      </c>
      <c r="B202" s="75" t="s">
        <v>850</v>
      </c>
      <c r="C202" s="51"/>
      <c r="D202" s="54">
        <f t="shared" si="2"/>
        <v>0</v>
      </c>
      <c r="E202" s="62"/>
      <c r="F202" s="42" t="s">
        <v>39</v>
      </c>
      <c r="G202" s="41" t="s">
        <v>40</v>
      </c>
      <c r="H202" s="41"/>
      <c r="I202" s="41"/>
      <c r="J202" s="43">
        <v>496</v>
      </c>
      <c r="K202" s="41"/>
      <c r="L202" s="43">
        <v>1</v>
      </c>
      <c r="M202" s="43">
        <v>100</v>
      </c>
      <c r="N202" s="43">
        <v>1</v>
      </c>
      <c r="O202" s="44">
        <v>2771.7</v>
      </c>
      <c r="P202" s="44">
        <v>2271.89</v>
      </c>
      <c r="Q202" s="44">
        <v>2771.7</v>
      </c>
      <c r="R202" s="44">
        <v>2271.89</v>
      </c>
      <c r="S202" s="44">
        <v>2217.36</v>
      </c>
      <c r="T202" s="44">
        <v>1817.51</v>
      </c>
      <c r="U202" s="42"/>
      <c r="V202" s="42"/>
      <c r="W202" s="42" t="s">
        <v>40</v>
      </c>
      <c r="X202" s="45">
        <v>0.152</v>
      </c>
      <c r="Y202" s="46">
        <v>5.2300000000000003E-4</v>
      </c>
      <c r="Z202" s="21">
        <v>4601004348516</v>
      </c>
    </row>
    <row r="203" spans="1:26" ht="12" customHeight="1" outlineLevel="4" x14ac:dyDescent="0.2">
      <c r="A203" s="40" t="s">
        <v>851</v>
      </c>
      <c r="B203" s="75" t="s">
        <v>852</v>
      </c>
      <c r="C203" s="51"/>
      <c r="D203" s="54">
        <f t="shared" si="2"/>
        <v>0</v>
      </c>
      <c r="E203" s="62"/>
      <c r="F203" s="42" t="s">
        <v>39</v>
      </c>
      <c r="G203" s="41" t="s">
        <v>40</v>
      </c>
      <c r="H203" s="41"/>
      <c r="I203" s="41"/>
      <c r="J203" s="43">
        <v>575</v>
      </c>
      <c r="K203" s="41" t="s">
        <v>662</v>
      </c>
      <c r="L203" s="43">
        <v>1</v>
      </c>
      <c r="M203" s="43">
        <v>100</v>
      </c>
      <c r="N203" s="43">
        <v>1</v>
      </c>
      <c r="O203" s="44">
        <v>2382.91</v>
      </c>
      <c r="P203" s="44">
        <v>1953.2</v>
      </c>
      <c r="Q203" s="44">
        <v>2382.91</v>
      </c>
      <c r="R203" s="44">
        <v>1953.2</v>
      </c>
      <c r="S203" s="44">
        <v>1906.33</v>
      </c>
      <c r="T203" s="44">
        <v>1562.57</v>
      </c>
      <c r="U203" s="42"/>
      <c r="V203" s="42"/>
      <c r="W203" s="42" t="s">
        <v>40</v>
      </c>
      <c r="X203" s="45">
        <v>0.154</v>
      </c>
      <c r="Y203" s="46">
        <v>5.4199999999999995E-4</v>
      </c>
      <c r="Z203" s="21">
        <v>4601004348578</v>
      </c>
    </row>
    <row r="204" spans="1:26" ht="12" customHeight="1" outlineLevel="4" x14ac:dyDescent="0.2">
      <c r="A204" s="40" t="s">
        <v>853</v>
      </c>
      <c r="B204" s="75" t="s">
        <v>854</v>
      </c>
      <c r="C204" s="51"/>
      <c r="D204" s="54">
        <f t="shared" si="2"/>
        <v>0</v>
      </c>
      <c r="E204" s="62"/>
      <c r="F204" s="42" t="s">
        <v>39</v>
      </c>
      <c r="G204" s="41" t="s">
        <v>40</v>
      </c>
      <c r="H204" s="41"/>
      <c r="I204" s="41"/>
      <c r="J204" s="43">
        <v>601</v>
      </c>
      <c r="K204" s="41" t="s">
        <v>662</v>
      </c>
      <c r="L204" s="43">
        <v>1</v>
      </c>
      <c r="M204" s="43">
        <v>100</v>
      </c>
      <c r="N204" s="43">
        <v>1</v>
      </c>
      <c r="O204" s="44">
        <v>2320.75</v>
      </c>
      <c r="P204" s="44">
        <v>1902.25</v>
      </c>
      <c r="Q204" s="44">
        <v>2320.75</v>
      </c>
      <c r="R204" s="44">
        <v>1902.25</v>
      </c>
      <c r="S204" s="44">
        <v>1856.6</v>
      </c>
      <c r="T204" s="44">
        <v>1521.8</v>
      </c>
      <c r="U204" s="42"/>
      <c r="V204" s="42"/>
      <c r="W204" s="42" t="s">
        <v>40</v>
      </c>
      <c r="X204" s="45">
        <v>0.154</v>
      </c>
      <c r="Y204" s="46">
        <v>5.3700000000000004E-4</v>
      </c>
      <c r="Z204" s="21">
        <v>4601004348615</v>
      </c>
    </row>
    <row r="205" spans="1:26" ht="12" customHeight="1" outlineLevel="4" x14ac:dyDescent="0.2">
      <c r="A205" s="40" t="s">
        <v>855</v>
      </c>
      <c r="B205" s="75" t="s">
        <v>856</v>
      </c>
      <c r="C205" s="51"/>
      <c r="D205" s="54">
        <f t="shared" ref="D205:D268" si="3">C205*(O205-O205*$G$3)</f>
        <v>0</v>
      </c>
      <c r="E205" s="62"/>
      <c r="F205" s="42" t="s">
        <v>39</v>
      </c>
      <c r="G205" s="41" t="s">
        <v>40</v>
      </c>
      <c r="H205" s="41"/>
      <c r="I205" s="41"/>
      <c r="J205" s="43">
        <v>610</v>
      </c>
      <c r="K205" s="41" t="s">
        <v>662</v>
      </c>
      <c r="L205" s="43">
        <v>1</v>
      </c>
      <c r="M205" s="43">
        <v>100</v>
      </c>
      <c r="N205" s="43">
        <v>1</v>
      </c>
      <c r="O205" s="44">
        <v>1968.19</v>
      </c>
      <c r="P205" s="44">
        <v>1613.27</v>
      </c>
      <c r="Q205" s="44">
        <v>1968.19</v>
      </c>
      <c r="R205" s="44">
        <v>1613.27</v>
      </c>
      <c r="S205" s="44">
        <v>1574.55</v>
      </c>
      <c r="T205" s="44">
        <v>1290.6099999999999</v>
      </c>
      <c r="U205" s="42"/>
      <c r="V205" s="42"/>
      <c r="W205" s="42" t="s">
        <v>40</v>
      </c>
      <c r="X205" s="45">
        <v>0.154</v>
      </c>
      <c r="Y205" s="46">
        <v>5.3600000000000002E-4</v>
      </c>
      <c r="Z205" s="21">
        <v>4601004348639</v>
      </c>
    </row>
    <row r="206" spans="1:26" ht="12" customHeight="1" outlineLevel="4" x14ac:dyDescent="0.2">
      <c r="A206" s="40" t="s">
        <v>857</v>
      </c>
      <c r="B206" s="75" t="s">
        <v>858</v>
      </c>
      <c r="C206" s="51"/>
      <c r="D206" s="54">
        <f t="shared" si="3"/>
        <v>0</v>
      </c>
      <c r="E206" s="62"/>
      <c r="F206" s="42" t="s">
        <v>39</v>
      </c>
      <c r="G206" s="41" t="s">
        <v>40</v>
      </c>
      <c r="H206" s="41"/>
      <c r="I206" s="41"/>
      <c r="J206" s="43">
        <v>612</v>
      </c>
      <c r="K206" s="41" t="s">
        <v>662</v>
      </c>
      <c r="L206" s="43">
        <v>1</v>
      </c>
      <c r="M206" s="43">
        <v>100</v>
      </c>
      <c r="N206" s="43">
        <v>1</v>
      </c>
      <c r="O206" s="44">
        <v>2320.75</v>
      </c>
      <c r="P206" s="44">
        <v>1902.25</v>
      </c>
      <c r="Q206" s="44">
        <v>2320.75</v>
      </c>
      <c r="R206" s="44">
        <v>1902.25</v>
      </c>
      <c r="S206" s="44">
        <v>1856.6</v>
      </c>
      <c r="T206" s="44">
        <v>1521.8</v>
      </c>
      <c r="U206" s="42"/>
      <c r="V206" s="42"/>
      <c r="W206" s="42" t="s">
        <v>40</v>
      </c>
      <c r="X206" s="45">
        <v>0.154</v>
      </c>
      <c r="Y206" s="46">
        <v>5.4000000000000001E-4</v>
      </c>
      <c r="Z206" s="21">
        <v>4601004348592</v>
      </c>
    </row>
    <row r="207" spans="1:26" ht="12" customHeight="1" outlineLevel="4" x14ac:dyDescent="0.2">
      <c r="A207" s="40" t="s">
        <v>859</v>
      </c>
      <c r="B207" s="75" t="s">
        <v>860</v>
      </c>
      <c r="C207" s="51"/>
      <c r="D207" s="54">
        <f t="shared" si="3"/>
        <v>0</v>
      </c>
      <c r="E207" s="62"/>
      <c r="F207" s="42" t="s">
        <v>39</v>
      </c>
      <c r="G207" s="41" t="s">
        <v>40</v>
      </c>
      <c r="H207" s="41"/>
      <c r="I207" s="41"/>
      <c r="J207" s="43">
        <v>527</v>
      </c>
      <c r="K207" s="41"/>
      <c r="L207" s="43">
        <v>1</v>
      </c>
      <c r="M207" s="43">
        <v>100</v>
      </c>
      <c r="N207" s="43">
        <v>1</v>
      </c>
      <c r="O207" s="44">
        <v>5475.85</v>
      </c>
      <c r="P207" s="44">
        <v>4488.3999999999996</v>
      </c>
      <c r="Q207" s="44">
        <v>5475.85</v>
      </c>
      <c r="R207" s="44">
        <v>4488.3999999999996</v>
      </c>
      <c r="S207" s="44">
        <v>4380.68</v>
      </c>
      <c r="T207" s="44">
        <v>3590.72</v>
      </c>
      <c r="U207" s="42"/>
      <c r="V207" s="42"/>
      <c r="W207" s="42" t="s">
        <v>40</v>
      </c>
      <c r="X207" s="45">
        <v>0.14899999999999999</v>
      </c>
      <c r="Y207" s="46">
        <v>5.2499999999999997E-4</v>
      </c>
      <c r="Z207" s="21">
        <v>4601004348653</v>
      </c>
    </row>
    <row r="208" spans="1:26" ht="12" customHeight="1" outlineLevel="4" x14ac:dyDescent="0.2">
      <c r="A208" s="40" t="s">
        <v>861</v>
      </c>
      <c r="B208" s="75" t="s">
        <v>862</v>
      </c>
      <c r="C208" s="51"/>
      <c r="D208" s="54">
        <f t="shared" si="3"/>
        <v>0</v>
      </c>
      <c r="E208" s="62"/>
      <c r="F208" s="42" t="s">
        <v>39</v>
      </c>
      <c r="G208" s="41" t="s">
        <v>40</v>
      </c>
      <c r="H208" s="41"/>
      <c r="I208" s="41"/>
      <c r="J208" s="43">
        <v>577</v>
      </c>
      <c r="K208" s="41"/>
      <c r="L208" s="43">
        <v>1</v>
      </c>
      <c r="M208" s="43">
        <v>100</v>
      </c>
      <c r="N208" s="43">
        <v>1</v>
      </c>
      <c r="O208" s="44">
        <v>5333.01</v>
      </c>
      <c r="P208" s="44">
        <v>4371.32</v>
      </c>
      <c r="Q208" s="44">
        <v>5333.01</v>
      </c>
      <c r="R208" s="44">
        <v>4371.32</v>
      </c>
      <c r="S208" s="44">
        <v>4266.41</v>
      </c>
      <c r="T208" s="44">
        <v>3497.06</v>
      </c>
      <c r="U208" s="42"/>
      <c r="V208" s="42"/>
      <c r="W208" s="42" t="s">
        <v>40</v>
      </c>
      <c r="X208" s="45">
        <v>0.14899999999999999</v>
      </c>
      <c r="Y208" s="46">
        <v>5.2599999999999999E-4</v>
      </c>
      <c r="Z208" s="21">
        <v>4601004348691</v>
      </c>
    </row>
    <row r="209" spans="1:26" ht="12" customHeight="1" outlineLevel="4" x14ac:dyDescent="0.2">
      <c r="A209" s="40" t="s">
        <v>863</v>
      </c>
      <c r="B209" s="75" t="s">
        <v>864</v>
      </c>
      <c r="C209" s="51"/>
      <c r="D209" s="54">
        <f t="shared" si="3"/>
        <v>0</v>
      </c>
      <c r="E209" s="62"/>
      <c r="F209" s="42" t="s">
        <v>39</v>
      </c>
      <c r="G209" s="41" t="s">
        <v>40</v>
      </c>
      <c r="H209" s="41"/>
      <c r="I209" s="41"/>
      <c r="J209" s="43">
        <v>677</v>
      </c>
      <c r="K209" s="41"/>
      <c r="L209" s="43">
        <v>1</v>
      </c>
      <c r="M209" s="43">
        <v>100</v>
      </c>
      <c r="N209" s="43">
        <v>1</v>
      </c>
      <c r="O209" s="44">
        <v>4570.8599999999997</v>
      </c>
      <c r="P209" s="44">
        <v>3746.61</v>
      </c>
      <c r="Q209" s="44">
        <v>4570.8599999999997</v>
      </c>
      <c r="R209" s="44">
        <v>3746.61</v>
      </c>
      <c r="S209" s="44">
        <v>3656.69</v>
      </c>
      <c r="T209" s="44">
        <v>2997.29</v>
      </c>
      <c r="U209" s="42"/>
      <c r="V209" s="42"/>
      <c r="W209" s="42" t="s">
        <v>40</v>
      </c>
      <c r="X209" s="45">
        <v>0.14899999999999999</v>
      </c>
      <c r="Y209" s="46">
        <v>5.2999999999999998E-4</v>
      </c>
      <c r="Z209" s="21">
        <v>4601004348714</v>
      </c>
    </row>
    <row r="210" spans="1:26" ht="12" customHeight="1" outlineLevel="4" x14ac:dyDescent="0.2">
      <c r="A210" s="40" t="s">
        <v>865</v>
      </c>
      <c r="B210" s="75" t="s">
        <v>866</v>
      </c>
      <c r="C210" s="51"/>
      <c r="D210" s="54">
        <f t="shared" si="3"/>
        <v>0</v>
      </c>
      <c r="E210" s="62"/>
      <c r="F210" s="42" t="s">
        <v>39</v>
      </c>
      <c r="G210" s="41" t="s">
        <v>40</v>
      </c>
      <c r="H210" s="41"/>
      <c r="I210" s="41"/>
      <c r="J210" s="43">
        <v>678</v>
      </c>
      <c r="K210" s="41"/>
      <c r="L210" s="43">
        <v>1</v>
      </c>
      <c r="M210" s="43">
        <v>100</v>
      </c>
      <c r="N210" s="43">
        <v>1</v>
      </c>
      <c r="O210" s="44">
        <v>5333.01</v>
      </c>
      <c r="P210" s="44">
        <v>4371.32</v>
      </c>
      <c r="Q210" s="44">
        <v>5333.01</v>
      </c>
      <c r="R210" s="44">
        <v>4371.32</v>
      </c>
      <c r="S210" s="44">
        <v>4266.41</v>
      </c>
      <c r="T210" s="44">
        <v>3497.06</v>
      </c>
      <c r="U210" s="42"/>
      <c r="V210" s="42"/>
      <c r="W210" s="42" t="s">
        <v>40</v>
      </c>
      <c r="X210" s="45">
        <v>0.14899999999999999</v>
      </c>
      <c r="Y210" s="46">
        <v>5.2899999999999996E-4</v>
      </c>
      <c r="Z210" s="21">
        <v>4601004348677</v>
      </c>
    </row>
    <row r="211" spans="1:26" ht="12" customHeight="1" outlineLevel="4" x14ac:dyDescent="0.2">
      <c r="A211" s="40" t="s">
        <v>867</v>
      </c>
      <c r="B211" s="75" t="s">
        <v>868</v>
      </c>
      <c r="C211" s="51"/>
      <c r="D211" s="54">
        <f t="shared" si="3"/>
        <v>0</v>
      </c>
      <c r="E211" s="62"/>
      <c r="F211" s="42" t="s">
        <v>39</v>
      </c>
      <c r="G211" s="41" t="s">
        <v>40</v>
      </c>
      <c r="H211" s="41"/>
      <c r="I211" s="41"/>
      <c r="J211" s="43">
        <v>305</v>
      </c>
      <c r="K211" s="41"/>
      <c r="L211" s="43">
        <v>1</v>
      </c>
      <c r="M211" s="43">
        <v>80</v>
      </c>
      <c r="N211" s="43">
        <v>1</v>
      </c>
      <c r="O211" s="44">
        <v>5184.5</v>
      </c>
      <c r="P211" s="44">
        <v>4249.59</v>
      </c>
      <c r="Q211" s="44">
        <v>5184.5</v>
      </c>
      <c r="R211" s="44">
        <v>4249.59</v>
      </c>
      <c r="S211" s="44">
        <v>4147.6000000000004</v>
      </c>
      <c r="T211" s="44">
        <v>3399.67</v>
      </c>
      <c r="U211" s="42"/>
      <c r="V211" s="42"/>
      <c r="W211" s="42" t="s">
        <v>40</v>
      </c>
      <c r="X211" s="45">
        <v>0.187</v>
      </c>
      <c r="Y211" s="46">
        <v>6.5799999999999995E-4</v>
      </c>
      <c r="Z211" s="21">
        <v>4601004348813</v>
      </c>
    </row>
    <row r="212" spans="1:26" ht="12" customHeight="1" outlineLevel="4" x14ac:dyDescent="0.2">
      <c r="A212" s="40" t="s">
        <v>869</v>
      </c>
      <c r="B212" s="75" t="s">
        <v>870</v>
      </c>
      <c r="C212" s="51"/>
      <c r="D212" s="54">
        <f t="shared" si="3"/>
        <v>0</v>
      </c>
      <c r="E212" s="62"/>
      <c r="F212" s="42" t="s">
        <v>39</v>
      </c>
      <c r="G212" s="41" t="s">
        <v>40</v>
      </c>
      <c r="H212" s="41"/>
      <c r="I212" s="41"/>
      <c r="J212" s="43">
        <v>304</v>
      </c>
      <c r="K212" s="41"/>
      <c r="L212" s="43">
        <v>1</v>
      </c>
      <c r="M212" s="43">
        <v>80</v>
      </c>
      <c r="N212" s="43">
        <v>1</v>
      </c>
      <c r="O212" s="44">
        <v>5323.37</v>
      </c>
      <c r="P212" s="44">
        <v>4363.42</v>
      </c>
      <c r="Q212" s="44">
        <v>5323.37</v>
      </c>
      <c r="R212" s="44">
        <v>4363.42</v>
      </c>
      <c r="S212" s="44">
        <v>4258.7</v>
      </c>
      <c r="T212" s="44">
        <v>3490.74</v>
      </c>
      <c r="U212" s="42"/>
      <c r="V212" s="42"/>
      <c r="W212" s="42" t="s">
        <v>40</v>
      </c>
      <c r="X212" s="45">
        <v>0.187</v>
      </c>
      <c r="Y212" s="46">
        <v>6.5899999999999997E-4</v>
      </c>
      <c r="Z212" s="21">
        <v>4601004348851</v>
      </c>
    </row>
    <row r="213" spans="1:26" ht="12" customHeight="1" outlineLevel="4" x14ac:dyDescent="0.2">
      <c r="A213" s="40" t="s">
        <v>871</v>
      </c>
      <c r="B213" s="75" t="s">
        <v>872</v>
      </c>
      <c r="C213" s="51"/>
      <c r="D213" s="54">
        <f t="shared" si="3"/>
        <v>0</v>
      </c>
      <c r="E213" s="62"/>
      <c r="F213" s="42" t="s">
        <v>39</v>
      </c>
      <c r="G213" s="41" t="s">
        <v>40</v>
      </c>
      <c r="H213" s="41"/>
      <c r="I213" s="41"/>
      <c r="J213" s="43">
        <v>329</v>
      </c>
      <c r="K213" s="41"/>
      <c r="L213" s="43">
        <v>1</v>
      </c>
      <c r="M213" s="43">
        <v>80</v>
      </c>
      <c r="N213" s="43">
        <v>1</v>
      </c>
      <c r="O213" s="44">
        <v>4801.45</v>
      </c>
      <c r="P213" s="44">
        <v>3935.61</v>
      </c>
      <c r="Q213" s="44">
        <v>4801.45</v>
      </c>
      <c r="R213" s="44">
        <v>3935.61</v>
      </c>
      <c r="S213" s="44">
        <v>3841.16</v>
      </c>
      <c r="T213" s="44">
        <v>3148.49</v>
      </c>
      <c r="U213" s="42"/>
      <c r="V213" s="42"/>
      <c r="W213" s="42" t="s">
        <v>40</v>
      </c>
      <c r="X213" s="45">
        <v>0.187</v>
      </c>
      <c r="Y213" s="46">
        <v>6.5499999999999998E-4</v>
      </c>
      <c r="Z213" s="21">
        <v>4601004348875</v>
      </c>
    </row>
    <row r="214" spans="1:26" ht="12" customHeight="1" outlineLevel="4" x14ac:dyDescent="0.2">
      <c r="A214" s="40" t="s">
        <v>873</v>
      </c>
      <c r="B214" s="75" t="s">
        <v>874</v>
      </c>
      <c r="C214" s="51"/>
      <c r="D214" s="54">
        <f t="shared" si="3"/>
        <v>0</v>
      </c>
      <c r="E214" s="62"/>
      <c r="F214" s="42" t="s">
        <v>39</v>
      </c>
      <c r="G214" s="41" t="s">
        <v>40</v>
      </c>
      <c r="H214" s="41"/>
      <c r="I214" s="41"/>
      <c r="J214" s="43">
        <v>379</v>
      </c>
      <c r="K214" s="41"/>
      <c r="L214" s="43">
        <v>1</v>
      </c>
      <c r="M214" s="43">
        <v>80</v>
      </c>
      <c r="N214" s="43">
        <v>1</v>
      </c>
      <c r="O214" s="44">
        <v>5184.5</v>
      </c>
      <c r="P214" s="44">
        <v>4249.59</v>
      </c>
      <c r="Q214" s="44">
        <v>5184.5</v>
      </c>
      <c r="R214" s="44">
        <v>4249.59</v>
      </c>
      <c r="S214" s="44">
        <v>4147.6000000000004</v>
      </c>
      <c r="T214" s="44">
        <v>3399.67</v>
      </c>
      <c r="U214" s="42"/>
      <c r="V214" s="42"/>
      <c r="W214" s="42" t="s">
        <v>40</v>
      </c>
      <c r="X214" s="45">
        <v>0.187</v>
      </c>
      <c r="Y214" s="46">
        <v>6.5899999999999997E-4</v>
      </c>
      <c r="Z214" s="21">
        <v>4601004348837</v>
      </c>
    </row>
    <row r="215" spans="1:26" ht="12.95" customHeight="1" outlineLevel="1" x14ac:dyDescent="0.2">
      <c r="A215" s="78" t="s">
        <v>915</v>
      </c>
      <c r="B215" s="78"/>
      <c r="C215" s="79"/>
      <c r="D215" s="57"/>
      <c r="E215" s="67"/>
      <c r="F215" s="29"/>
      <c r="G215" s="29"/>
      <c r="H215" s="29"/>
      <c r="I215" s="29"/>
      <c r="J215" s="29"/>
      <c r="K215" s="29"/>
      <c r="L215" s="29"/>
      <c r="M215" s="29"/>
      <c r="N215" s="29"/>
      <c r="O215" s="29"/>
      <c r="P215" s="29"/>
      <c r="Q215" s="29"/>
      <c r="R215" s="29"/>
      <c r="S215" s="29"/>
      <c r="T215" s="29"/>
      <c r="U215" s="29"/>
      <c r="V215" s="29"/>
      <c r="W215" s="29"/>
      <c r="X215" s="29"/>
      <c r="Y215" s="29"/>
      <c r="Z215" s="29"/>
    </row>
    <row r="216" spans="1:26" ht="12.95" customHeight="1" outlineLevel="2" x14ac:dyDescent="0.2">
      <c r="A216" s="76" t="s">
        <v>963</v>
      </c>
      <c r="B216" s="76"/>
      <c r="C216" s="77"/>
      <c r="D216" s="58"/>
      <c r="E216" s="68"/>
      <c r="F216" s="30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 spans="1:26" ht="12" customHeight="1" outlineLevel="3" x14ac:dyDescent="0.2">
      <c r="A217" s="40" t="s">
        <v>972</v>
      </c>
      <c r="B217" s="75" t="s">
        <v>973</v>
      </c>
      <c r="C217" s="51"/>
      <c r="D217" s="54">
        <f t="shared" si="3"/>
        <v>0</v>
      </c>
      <c r="E217" s="62"/>
      <c r="F217" s="42" t="s">
        <v>974</v>
      </c>
      <c r="G217" s="41" t="s">
        <v>40</v>
      </c>
      <c r="H217" s="41"/>
      <c r="I217" s="41"/>
      <c r="J217" s="47">
        <v>7861</v>
      </c>
      <c r="K217" s="41"/>
      <c r="L217" s="43">
        <v>1</v>
      </c>
      <c r="M217" s="43">
        <v>72</v>
      </c>
      <c r="N217" s="43">
        <v>1</v>
      </c>
      <c r="O217" s="44">
        <v>313</v>
      </c>
      <c r="P217" s="44">
        <v>256.56</v>
      </c>
      <c r="Q217" s="44">
        <v>234.75</v>
      </c>
      <c r="R217" s="44">
        <v>192.42</v>
      </c>
      <c r="S217" s="44">
        <v>212.84</v>
      </c>
      <c r="T217" s="44">
        <v>174.46</v>
      </c>
      <c r="U217" s="42"/>
      <c r="V217" s="42"/>
      <c r="W217" s="42" t="s">
        <v>40</v>
      </c>
      <c r="X217" s="45">
        <v>0.185</v>
      </c>
      <c r="Y217" s="46">
        <v>6.7599999999999995E-4</v>
      </c>
      <c r="Z217" s="21">
        <v>4601004339163</v>
      </c>
    </row>
    <row r="218" spans="1:26" ht="12" customHeight="1" outlineLevel="3" x14ac:dyDescent="0.2">
      <c r="A218" s="40" t="s">
        <v>975</v>
      </c>
      <c r="B218" s="75" t="s">
        <v>976</v>
      </c>
      <c r="C218" s="51"/>
      <c r="D218" s="54">
        <f t="shared" si="3"/>
        <v>0</v>
      </c>
      <c r="E218" s="62"/>
      <c r="F218" s="42" t="s">
        <v>974</v>
      </c>
      <c r="G218" s="41" t="s">
        <v>40</v>
      </c>
      <c r="H218" s="41"/>
      <c r="I218" s="41"/>
      <c r="J218" s="47">
        <v>1481</v>
      </c>
      <c r="K218" s="41"/>
      <c r="L218" s="43">
        <v>1</v>
      </c>
      <c r="M218" s="43">
        <v>72</v>
      </c>
      <c r="N218" s="43">
        <v>1</v>
      </c>
      <c r="O218" s="44">
        <v>315.51</v>
      </c>
      <c r="P218" s="44">
        <v>258.61</v>
      </c>
      <c r="Q218" s="44">
        <v>236.63</v>
      </c>
      <c r="R218" s="44">
        <v>193.96</v>
      </c>
      <c r="S218" s="44">
        <v>214.55</v>
      </c>
      <c r="T218" s="44">
        <v>175.86</v>
      </c>
      <c r="U218" s="42"/>
      <c r="V218" s="42"/>
      <c r="W218" s="42" t="s">
        <v>40</v>
      </c>
      <c r="X218" s="45">
        <v>0.20699999999999999</v>
      </c>
      <c r="Y218" s="46">
        <v>6.7500000000000004E-4</v>
      </c>
      <c r="Z218" s="21">
        <v>4601004339149</v>
      </c>
    </row>
    <row r="219" spans="1:26" ht="12" customHeight="1" outlineLevel="3" x14ac:dyDescent="0.2">
      <c r="A219" s="40" t="s">
        <v>977</v>
      </c>
      <c r="B219" s="75" t="s">
        <v>978</v>
      </c>
      <c r="C219" s="51"/>
      <c r="D219" s="54">
        <f t="shared" si="3"/>
        <v>0</v>
      </c>
      <c r="E219" s="62"/>
      <c r="F219" s="42" t="s">
        <v>974</v>
      </c>
      <c r="G219" s="41" t="s">
        <v>40</v>
      </c>
      <c r="H219" s="41"/>
      <c r="I219" s="41"/>
      <c r="J219" s="47">
        <v>1506</v>
      </c>
      <c r="K219" s="41" t="s">
        <v>979</v>
      </c>
      <c r="L219" s="43">
        <v>1</v>
      </c>
      <c r="M219" s="43">
        <v>72</v>
      </c>
      <c r="N219" s="43">
        <v>1</v>
      </c>
      <c r="O219" s="44">
        <v>332.82</v>
      </c>
      <c r="P219" s="44">
        <v>272.8</v>
      </c>
      <c r="Q219" s="44">
        <v>249.62</v>
      </c>
      <c r="R219" s="44">
        <v>204.61</v>
      </c>
      <c r="S219" s="44">
        <v>226.32</v>
      </c>
      <c r="T219" s="44">
        <v>185.51</v>
      </c>
      <c r="U219" s="42"/>
      <c r="V219" s="42"/>
      <c r="W219" s="42" t="s">
        <v>40</v>
      </c>
      <c r="X219" s="45">
        <v>0.223</v>
      </c>
      <c r="Y219" s="46">
        <v>6.3000000000000003E-4</v>
      </c>
      <c r="Z219" s="21">
        <v>4601004339187</v>
      </c>
    </row>
    <row r="220" spans="1:26" ht="12.95" customHeight="1" outlineLevel="2" x14ac:dyDescent="0.2">
      <c r="A220" s="76" t="s">
        <v>1278</v>
      </c>
      <c r="B220" s="76"/>
      <c r="C220" s="77"/>
      <c r="D220" s="58"/>
      <c r="E220" s="68"/>
      <c r="F220" s="30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 spans="1:26" ht="12.95" customHeight="1" outlineLevel="3" x14ac:dyDescent="0.2">
      <c r="A221" s="76" t="s">
        <v>1286</v>
      </c>
      <c r="B221" s="76"/>
      <c r="C221" s="77"/>
      <c r="D221" s="58"/>
      <c r="E221" s="68"/>
      <c r="F221" s="30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 spans="1:26" ht="12" customHeight="1" outlineLevel="4" x14ac:dyDescent="0.2">
      <c r="A222" s="40" t="s">
        <v>1311</v>
      </c>
      <c r="B222" s="75" t="s">
        <v>1312</v>
      </c>
      <c r="C222" s="51"/>
      <c r="D222" s="54">
        <f t="shared" si="3"/>
        <v>0</v>
      </c>
      <c r="E222" s="61" t="str">
        <f>HYPERLINK("https://www.sds-group.ru/product/besprovodnoy-dvernoy-zvonok-kineticheskiy-38-melodiy-150m-ip68-belyy-rexant-73-0003/", "Инфо")</f>
        <v>Инфо</v>
      </c>
      <c r="F222" s="42" t="s">
        <v>39</v>
      </c>
      <c r="G222" s="41" t="s">
        <v>40</v>
      </c>
      <c r="H222" s="41"/>
      <c r="I222" s="41"/>
      <c r="J222" s="47">
        <v>2312</v>
      </c>
      <c r="K222" s="41"/>
      <c r="L222" s="43">
        <v>1</v>
      </c>
      <c r="M222" s="43">
        <v>100</v>
      </c>
      <c r="N222" s="43">
        <v>1</v>
      </c>
      <c r="O222" s="44">
        <v>1261.3699999999999</v>
      </c>
      <c r="P222" s="44">
        <v>1033.9100000000001</v>
      </c>
      <c r="Q222" s="44">
        <v>882.96</v>
      </c>
      <c r="R222" s="44">
        <v>723.74</v>
      </c>
      <c r="S222" s="44">
        <v>857.73</v>
      </c>
      <c r="T222" s="44">
        <v>703.06</v>
      </c>
      <c r="U222" s="42"/>
      <c r="V222" s="42"/>
      <c r="W222" s="42" t="s">
        <v>40</v>
      </c>
      <c r="X222" s="45">
        <v>0.14299999999999999</v>
      </c>
      <c r="Y222" s="46">
        <v>4.3300000000000001E-4</v>
      </c>
      <c r="Z222" s="21">
        <v>4601004339231</v>
      </c>
    </row>
    <row r="223" spans="1:26" ht="12" customHeight="1" outlineLevel="4" x14ac:dyDescent="0.2">
      <c r="A223" s="40" t="s">
        <v>1313</v>
      </c>
      <c r="B223" s="75" t="s">
        <v>1314</v>
      </c>
      <c r="C223" s="51"/>
      <c r="D223" s="54">
        <f t="shared" si="3"/>
        <v>0</v>
      </c>
      <c r="E223" s="61" t="str">
        <f>HYPERLINK("https://www.sds-group.ru/product/besprovodnoy-dvernoy-zvonok-kineticheskiy-38-melodiy-150m-ip68-chernyy-rexant-73-0004/", "Инфо")</f>
        <v>Инфо</v>
      </c>
      <c r="F223" s="42" t="s">
        <v>39</v>
      </c>
      <c r="G223" s="41" t="s">
        <v>40</v>
      </c>
      <c r="H223" s="41"/>
      <c r="I223" s="41"/>
      <c r="J223" s="47">
        <v>7258</v>
      </c>
      <c r="K223" s="41"/>
      <c r="L223" s="43">
        <v>1</v>
      </c>
      <c r="M223" s="43">
        <v>100</v>
      </c>
      <c r="N223" s="43">
        <v>1</v>
      </c>
      <c r="O223" s="44">
        <v>1279.6199999999999</v>
      </c>
      <c r="P223" s="44">
        <v>1048.8699999999999</v>
      </c>
      <c r="Q223" s="44">
        <v>895.73</v>
      </c>
      <c r="R223" s="44">
        <v>734.2</v>
      </c>
      <c r="S223" s="44">
        <v>870.14</v>
      </c>
      <c r="T223" s="44">
        <v>713.23</v>
      </c>
      <c r="U223" s="42"/>
      <c r="V223" s="42"/>
      <c r="W223" s="42" t="s">
        <v>40</v>
      </c>
      <c r="X223" s="45">
        <v>0.14399999999999999</v>
      </c>
      <c r="Y223" s="46">
        <v>8.1800000000000004E-4</v>
      </c>
      <c r="Z223" s="21">
        <v>4601004339217</v>
      </c>
    </row>
    <row r="224" spans="1:26" ht="12" customHeight="1" outlineLevel="4" x14ac:dyDescent="0.2">
      <c r="A224" s="40" t="s">
        <v>1315</v>
      </c>
      <c r="B224" s="75" t="s">
        <v>1316</v>
      </c>
      <c r="C224" s="51"/>
      <c r="D224" s="54">
        <f t="shared" si="3"/>
        <v>0</v>
      </c>
      <c r="E224" s="61" t="str">
        <f>HYPERLINK("https://www.sds-group.ru/product/besprovodnoy-dvernoy-zvonok-s-tsifrovym-kodirovaniem-38-melodiy-200m-ip44-belyy-rexant-73-0001/", "Инфо")</f>
        <v>Инфо</v>
      </c>
      <c r="F224" s="42" t="s">
        <v>39</v>
      </c>
      <c r="G224" s="41" t="s">
        <v>40</v>
      </c>
      <c r="H224" s="41"/>
      <c r="I224" s="41"/>
      <c r="J224" s="47">
        <v>4767</v>
      </c>
      <c r="K224" s="41"/>
      <c r="L224" s="43">
        <v>1</v>
      </c>
      <c r="M224" s="43">
        <v>100</v>
      </c>
      <c r="N224" s="43">
        <v>1</v>
      </c>
      <c r="O224" s="44">
        <v>914.4</v>
      </c>
      <c r="P224" s="44">
        <v>749.51</v>
      </c>
      <c r="Q224" s="44">
        <v>640.08000000000004</v>
      </c>
      <c r="R224" s="44">
        <v>524.66</v>
      </c>
      <c r="S224" s="44">
        <v>621.79</v>
      </c>
      <c r="T224" s="44">
        <v>509.66</v>
      </c>
      <c r="U224" s="42"/>
      <c r="V224" s="42"/>
      <c r="W224" s="42" t="s">
        <v>40</v>
      </c>
      <c r="X224" s="45">
        <v>0.13700000000000001</v>
      </c>
      <c r="Y224" s="46">
        <v>8.1400000000000005E-4</v>
      </c>
      <c r="Z224" s="21">
        <v>4601004339200</v>
      </c>
    </row>
    <row r="225" spans="1:26" ht="12" customHeight="1" outlineLevel="4" x14ac:dyDescent="0.2">
      <c r="A225" s="40" t="s">
        <v>1317</v>
      </c>
      <c r="B225" s="75" t="s">
        <v>1318</v>
      </c>
      <c r="C225" s="51"/>
      <c r="D225" s="54">
        <f t="shared" si="3"/>
        <v>0</v>
      </c>
      <c r="E225" s="61" t="str">
        <f>HYPERLINK("https://www.sds-group.ru/product/besprovodnoy-dvernoy-zvonok-s-tsifrovym-kodirovaniem-38-melodiy-200m-ip44-chernyy-rexant-73-0002/", "Инфо")</f>
        <v>Инфо</v>
      </c>
      <c r="F225" s="42" t="s">
        <v>39</v>
      </c>
      <c r="G225" s="41" t="s">
        <v>40</v>
      </c>
      <c r="H225" s="41"/>
      <c r="I225" s="41"/>
      <c r="J225" s="43">
        <v>695</v>
      </c>
      <c r="K225" s="41"/>
      <c r="L225" s="43">
        <v>1</v>
      </c>
      <c r="M225" s="43">
        <v>100</v>
      </c>
      <c r="N225" s="43">
        <v>1</v>
      </c>
      <c r="O225" s="44">
        <v>916.95</v>
      </c>
      <c r="P225" s="44">
        <v>751.6</v>
      </c>
      <c r="Q225" s="44">
        <v>641.87</v>
      </c>
      <c r="R225" s="44">
        <v>526.12</v>
      </c>
      <c r="S225" s="44">
        <v>623.53</v>
      </c>
      <c r="T225" s="44">
        <v>511.09</v>
      </c>
      <c r="U225" s="42"/>
      <c r="V225" s="42"/>
      <c r="W225" s="42" t="s">
        <v>40</v>
      </c>
      <c r="X225" s="45">
        <v>0.13800000000000001</v>
      </c>
      <c r="Y225" s="46">
        <v>8.1700000000000002E-4</v>
      </c>
      <c r="Z225" s="21">
        <v>4601004339224</v>
      </c>
    </row>
    <row r="226" spans="1:26" ht="12.95" customHeight="1" outlineLevel="1" x14ac:dyDescent="0.2">
      <c r="A226" s="78" t="s">
        <v>1319</v>
      </c>
      <c r="B226" s="78"/>
      <c r="C226" s="79"/>
      <c r="D226" s="57"/>
      <c r="E226" s="67"/>
      <c r="F226" s="29"/>
      <c r="G226" s="29"/>
      <c r="H226" s="29"/>
      <c r="I226" s="29"/>
      <c r="J226" s="29"/>
      <c r="K226" s="29"/>
      <c r="L226" s="29"/>
      <c r="M226" s="29"/>
      <c r="N226" s="29"/>
      <c r="O226" s="29"/>
      <c r="P226" s="29"/>
      <c r="Q226" s="29"/>
      <c r="R226" s="29"/>
      <c r="S226" s="29"/>
      <c r="T226" s="29"/>
      <c r="U226" s="29"/>
      <c r="V226" s="29"/>
      <c r="W226" s="29"/>
      <c r="X226" s="29"/>
      <c r="Y226" s="29"/>
      <c r="Z226" s="29"/>
    </row>
    <row r="227" spans="1:26" ht="12.95" customHeight="1" outlineLevel="2" x14ac:dyDescent="0.2">
      <c r="A227" s="76" t="s">
        <v>1515</v>
      </c>
      <c r="B227" s="76"/>
      <c r="C227" s="77"/>
      <c r="D227" s="58"/>
      <c r="E227" s="68"/>
      <c r="F227" s="30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 spans="1:26" ht="12.95" customHeight="1" outlineLevel="3" x14ac:dyDescent="0.2">
      <c r="A228" s="76" t="s">
        <v>1516</v>
      </c>
      <c r="B228" s="76"/>
      <c r="C228" s="77"/>
      <c r="D228" s="58"/>
      <c r="E228" s="68"/>
      <c r="F228" s="30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 spans="1:26" ht="12" customHeight="1" outlineLevel="4" x14ac:dyDescent="0.2">
      <c r="A229" s="40" t="s">
        <v>1517</v>
      </c>
      <c r="B229" s="75" t="s">
        <v>1518</v>
      </c>
      <c r="C229" s="51"/>
      <c r="D229" s="54">
        <f t="shared" si="3"/>
        <v>0</v>
      </c>
      <c r="E229" s="61" t="str">
        <f>HYPERLINK("https://www.sds-group.ru/product/vilka-vlagozaschischennaya-pryamaya-kompakt-s-z-16a-ip44-kauchuk-chernaya-rexant-111-200/", "Инфо")</f>
        <v>Инфо</v>
      </c>
      <c r="F229" s="42" t="s">
        <v>39</v>
      </c>
      <c r="G229" s="41" t="s">
        <v>40</v>
      </c>
      <c r="H229" s="41"/>
      <c r="I229" s="41"/>
      <c r="J229" s="47">
        <v>16445</v>
      </c>
      <c r="K229" s="41" t="s">
        <v>1519</v>
      </c>
      <c r="L229" s="43">
        <v>10</v>
      </c>
      <c r="M229" s="43">
        <v>160</v>
      </c>
      <c r="N229" s="43">
        <v>10</v>
      </c>
      <c r="O229" s="44">
        <v>155.91999999999999</v>
      </c>
      <c r="P229" s="44">
        <v>127.8</v>
      </c>
      <c r="Q229" s="44">
        <v>124.74</v>
      </c>
      <c r="R229" s="44">
        <v>102.25</v>
      </c>
      <c r="S229" s="44">
        <v>106.03</v>
      </c>
      <c r="T229" s="44">
        <v>86.91</v>
      </c>
      <c r="U229" s="42"/>
      <c r="V229" s="42"/>
      <c r="W229" s="42" t="s">
        <v>40</v>
      </c>
      <c r="X229" s="45">
        <v>5.8000000000000003E-2</v>
      </c>
      <c r="Y229" s="46">
        <v>3.5399999999999999E-4</v>
      </c>
      <c r="Z229" s="21">
        <v>4601004329508</v>
      </c>
    </row>
    <row r="230" spans="1:26" ht="12" customHeight="1" outlineLevel="4" x14ac:dyDescent="0.2">
      <c r="A230" s="40" t="s">
        <v>1520</v>
      </c>
      <c r="B230" s="75" t="s">
        <v>1521</v>
      </c>
      <c r="C230" s="51"/>
      <c r="D230" s="54">
        <f t="shared" si="3"/>
        <v>0</v>
      </c>
      <c r="E230" s="61" t="str">
        <f>HYPERLINK("https://www.sds-group.ru/product/vilka-vlagozaschischennaya-pryamaya-kompakt-s-z-16a-ip44-kauchuk-oranzhevaya-rexant-111-202/", "Инфо")</f>
        <v>Инфо</v>
      </c>
      <c r="F230" s="42" t="s">
        <v>39</v>
      </c>
      <c r="G230" s="41" t="s">
        <v>40</v>
      </c>
      <c r="H230" s="41"/>
      <c r="I230" s="41"/>
      <c r="J230" s="47">
        <v>3333</v>
      </c>
      <c r="K230" s="41"/>
      <c r="L230" s="43">
        <v>10</v>
      </c>
      <c r="M230" s="43">
        <v>160</v>
      </c>
      <c r="N230" s="43">
        <v>10</v>
      </c>
      <c r="O230" s="44">
        <v>176.95</v>
      </c>
      <c r="P230" s="44">
        <v>145.04</v>
      </c>
      <c r="Q230" s="44">
        <v>141.56</v>
      </c>
      <c r="R230" s="44">
        <v>116.03</v>
      </c>
      <c r="S230" s="44">
        <v>120.33</v>
      </c>
      <c r="T230" s="44">
        <v>98.63</v>
      </c>
      <c r="U230" s="42"/>
      <c r="V230" s="42"/>
      <c r="W230" s="42" t="s">
        <v>40</v>
      </c>
      <c r="X230" s="45">
        <v>5.7000000000000002E-2</v>
      </c>
      <c r="Y230" s="46">
        <v>3.5799999999999997E-4</v>
      </c>
      <c r="Z230" s="21">
        <v>4601004329522</v>
      </c>
    </row>
    <row r="231" spans="1:26" ht="12" customHeight="1" outlineLevel="4" x14ac:dyDescent="0.2">
      <c r="A231" s="40" t="s">
        <v>1533</v>
      </c>
      <c r="B231" s="75" t="s">
        <v>1534</v>
      </c>
      <c r="C231" s="51"/>
      <c r="D231" s="54">
        <f t="shared" si="3"/>
        <v>0</v>
      </c>
      <c r="E231" s="61" t="str">
        <f>HYPERLINK("https://www.sds-group.ru/product/rozetka-kolodka-vlagozaschischennaya-s-kryshkoy-1-gnezdo-kompakt-s-3-16a-ip54-kauchuk-oranzh-111-225/", "Инфо")</f>
        <v>Инфо</v>
      </c>
      <c r="F231" s="42" t="s">
        <v>39</v>
      </c>
      <c r="G231" s="41" t="s">
        <v>40</v>
      </c>
      <c r="H231" s="41"/>
      <c r="I231" s="41"/>
      <c r="J231" s="47">
        <v>4214</v>
      </c>
      <c r="K231" s="41"/>
      <c r="L231" s="43">
        <v>5</v>
      </c>
      <c r="M231" s="43">
        <v>60</v>
      </c>
      <c r="N231" s="43">
        <v>5</v>
      </c>
      <c r="O231" s="44">
        <v>317.94</v>
      </c>
      <c r="P231" s="44">
        <v>260.61</v>
      </c>
      <c r="Q231" s="44">
        <v>254.35</v>
      </c>
      <c r="R231" s="44">
        <v>208.48</v>
      </c>
      <c r="S231" s="44">
        <v>216.2</v>
      </c>
      <c r="T231" s="44">
        <v>177.21</v>
      </c>
      <c r="U231" s="42"/>
      <c r="V231" s="42"/>
      <c r="W231" s="42" t="s">
        <v>40</v>
      </c>
      <c r="X231" s="45">
        <v>8.1000000000000003E-2</v>
      </c>
      <c r="Y231" s="46">
        <v>3.77E-4</v>
      </c>
      <c r="Z231" s="21">
        <v>4601004329607</v>
      </c>
    </row>
    <row r="232" spans="1:26" ht="12" customHeight="1" outlineLevel="4" x14ac:dyDescent="0.2">
      <c r="A232" s="40" t="s">
        <v>1535</v>
      </c>
      <c r="B232" s="75" t="s">
        <v>1536</v>
      </c>
      <c r="C232" s="51"/>
      <c r="D232" s="54">
        <f t="shared" si="3"/>
        <v>0</v>
      </c>
      <c r="E232" s="61" t="str">
        <f>HYPERLINK("https://www.sds-group.ru/product/rozetka-kolodka-vlagozaschischennaya-s-kryshkoy-1-gnezdo-kompakt-s-3-16a-ip54-kauchuk-cherna-111-221/", "Инфо")</f>
        <v>Инфо</v>
      </c>
      <c r="F232" s="42" t="s">
        <v>39</v>
      </c>
      <c r="G232" s="41" t="s">
        <v>40</v>
      </c>
      <c r="H232" s="41"/>
      <c r="I232" s="41"/>
      <c r="J232" s="42" t="s">
        <v>100</v>
      </c>
      <c r="K232" s="41" t="s">
        <v>1519</v>
      </c>
      <c r="L232" s="43">
        <v>5</v>
      </c>
      <c r="M232" s="43">
        <v>60</v>
      </c>
      <c r="N232" s="43">
        <v>5</v>
      </c>
      <c r="O232" s="44">
        <v>277.7</v>
      </c>
      <c r="P232" s="44">
        <v>227.62</v>
      </c>
      <c r="Q232" s="44">
        <v>222.16</v>
      </c>
      <c r="R232" s="44">
        <v>182.1</v>
      </c>
      <c r="S232" s="44">
        <v>188.84</v>
      </c>
      <c r="T232" s="44">
        <v>154.79</v>
      </c>
      <c r="U232" s="42"/>
      <c r="V232" s="42"/>
      <c r="W232" s="42" t="s">
        <v>40</v>
      </c>
      <c r="X232" s="45">
        <v>7.8E-2</v>
      </c>
      <c r="Y232" s="46">
        <v>3.8499999999999998E-4</v>
      </c>
      <c r="Z232" s="21">
        <v>4601004329652</v>
      </c>
    </row>
    <row r="233" spans="1:26" ht="12" customHeight="1" outlineLevel="4" x14ac:dyDescent="0.2">
      <c r="A233" s="40" t="s">
        <v>1537</v>
      </c>
      <c r="B233" s="75" t="s">
        <v>1538</v>
      </c>
      <c r="C233" s="51"/>
      <c r="D233" s="54">
        <f t="shared" si="3"/>
        <v>0</v>
      </c>
      <c r="E233" s="61" t="str">
        <f>HYPERLINK("https://www.sds-group.ru/product/rozetka-kolodka-vlagozaschischennaya-s-kryshkoy-2-gnezda-kompakt-s-z-16a-ip54-kauchuk-oranzh-111-226/", "Инфо")</f>
        <v>Инфо</v>
      </c>
      <c r="F233" s="42" t="s">
        <v>39</v>
      </c>
      <c r="G233" s="41" t="s">
        <v>40</v>
      </c>
      <c r="H233" s="41"/>
      <c r="I233" s="41"/>
      <c r="J233" s="47">
        <v>3275</v>
      </c>
      <c r="K233" s="41"/>
      <c r="L233" s="43">
        <v>5</v>
      </c>
      <c r="M233" s="43">
        <v>30</v>
      </c>
      <c r="N233" s="43">
        <v>5</v>
      </c>
      <c r="O233" s="44">
        <v>514.11</v>
      </c>
      <c r="P233" s="44">
        <v>421.4</v>
      </c>
      <c r="Q233" s="44">
        <v>411.29</v>
      </c>
      <c r="R233" s="44">
        <v>337.12</v>
      </c>
      <c r="S233" s="44">
        <v>349.59</v>
      </c>
      <c r="T233" s="44">
        <v>286.55</v>
      </c>
      <c r="U233" s="42"/>
      <c r="V233" s="42"/>
      <c r="W233" s="42" t="s">
        <v>40</v>
      </c>
      <c r="X233" s="45">
        <v>0.14799999999999999</v>
      </c>
      <c r="Y233" s="46">
        <v>7.7899999999999996E-4</v>
      </c>
      <c r="Z233" s="21">
        <v>4601004329591</v>
      </c>
    </row>
    <row r="234" spans="1:26" ht="12" customHeight="1" outlineLevel="4" x14ac:dyDescent="0.2">
      <c r="A234" s="40" t="s">
        <v>1539</v>
      </c>
      <c r="B234" s="75" t="s">
        <v>1540</v>
      </c>
      <c r="C234" s="51"/>
      <c r="D234" s="54">
        <f t="shared" si="3"/>
        <v>0</v>
      </c>
      <c r="E234" s="61" t="str">
        <f>HYPERLINK("https://www.sds-group.ru/product/rozetka-kolodka-vlagozaschischennaya-s-kryshkoy-2-gnezda-kompakt-s-z-16a-ip54-kauchuk-cherna-111-222/", "Инфо")</f>
        <v>Инфо</v>
      </c>
      <c r="F234" s="42" t="s">
        <v>39</v>
      </c>
      <c r="G234" s="41" t="s">
        <v>40</v>
      </c>
      <c r="H234" s="41"/>
      <c r="I234" s="41"/>
      <c r="J234" s="47">
        <v>1297</v>
      </c>
      <c r="K234" s="41" t="s">
        <v>1519</v>
      </c>
      <c r="L234" s="43">
        <v>5</v>
      </c>
      <c r="M234" s="43">
        <v>30</v>
      </c>
      <c r="N234" s="43">
        <v>5</v>
      </c>
      <c r="O234" s="44">
        <v>451.67</v>
      </c>
      <c r="P234" s="44">
        <v>370.22</v>
      </c>
      <c r="Q234" s="44">
        <v>361.34</v>
      </c>
      <c r="R234" s="44">
        <v>296.18</v>
      </c>
      <c r="S234" s="44">
        <v>307.14</v>
      </c>
      <c r="T234" s="44">
        <v>251.75</v>
      </c>
      <c r="U234" s="42"/>
      <c r="V234" s="42"/>
      <c r="W234" s="42" t="s">
        <v>40</v>
      </c>
      <c r="X234" s="45">
        <v>0.14599999999999999</v>
      </c>
      <c r="Y234" s="46">
        <v>7.4399999999999998E-4</v>
      </c>
      <c r="Z234" s="21">
        <v>4601004329614</v>
      </c>
    </row>
    <row r="235" spans="1:26" ht="12" customHeight="1" outlineLevel="4" x14ac:dyDescent="0.2">
      <c r="A235" s="40" t="s">
        <v>1543</v>
      </c>
      <c r="B235" s="75" t="s">
        <v>1544</v>
      </c>
      <c r="C235" s="51"/>
      <c r="D235" s="54">
        <f t="shared" si="3"/>
        <v>0</v>
      </c>
      <c r="E235" s="61" t="str">
        <f>HYPERLINK("https://www.sds-group.ru/product/rozetka-kolodka-vlagozaschischennaya-s-kryshkoy-3-gnezda-kompakt-s-z-16a-ip54-kauchuk-oranzh-111-227/", "Инфо")</f>
        <v>Инфо</v>
      </c>
      <c r="F235" s="42" t="s">
        <v>39</v>
      </c>
      <c r="G235" s="41" t="s">
        <v>40</v>
      </c>
      <c r="H235" s="41"/>
      <c r="I235" s="41"/>
      <c r="J235" s="43">
        <v>1</v>
      </c>
      <c r="K235" s="41" t="s">
        <v>1519</v>
      </c>
      <c r="L235" s="43">
        <v>5</v>
      </c>
      <c r="M235" s="43">
        <v>25</v>
      </c>
      <c r="N235" s="43">
        <v>5</v>
      </c>
      <c r="O235" s="44">
        <v>644.98</v>
      </c>
      <c r="P235" s="44">
        <v>528.66999999999996</v>
      </c>
      <c r="Q235" s="44">
        <v>515.98</v>
      </c>
      <c r="R235" s="44">
        <v>422.93</v>
      </c>
      <c r="S235" s="44">
        <v>438.59</v>
      </c>
      <c r="T235" s="44">
        <v>359.5</v>
      </c>
      <c r="U235" s="42"/>
      <c r="V235" s="42"/>
      <c r="W235" s="42" t="s">
        <v>40</v>
      </c>
      <c r="X235" s="45">
        <v>0.192</v>
      </c>
      <c r="Y235" s="46">
        <v>9.41E-4</v>
      </c>
      <c r="Z235" s="21">
        <v>4601004329638</v>
      </c>
    </row>
    <row r="236" spans="1:26" ht="12" customHeight="1" outlineLevel="4" x14ac:dyDescent="0.2">
      <c r="A236" s="40" t="s">
        <v>1545</v>
      </c>
      <c r="B236" s="75" t="s">
        <v>1546</v>
      </c>
      <c r="C236" s="51"/>
      <c r="D236" s="54">
        <f t="shared" si="3"/>
        <v>0</v>
      </c>
      <c r="E236" s="61" t="str">
        <f>HYPERLINK("https://www.sds-group.ru/product/rozetka-kolodka-vlagozaschischennaya-s-kryshkoy-3-gnezda-kompakt-s-z-16a-ip54-kauchuk-cherna-111-223/", "Инфо")</f>
        <v>Инфо</v>
      </c>
      <c r="F236" s="42" t="s">
        <v>39</v>
      </c>
      <c r="G236" s="41" t="s">
        <v>40</v>
      </c>
      <c r="H236" s="41"/>
      <c r="I236" s="41"/>
      <c r="J236" s="42" t="s">
        <v>100</v>
      </c>
      <c r="K236" s="41" t="s">
        <v>1547</v>
      </c>
      <c r="L236" s="43">
        <v>5</v>
      </c>
      <c r="M236" s="43">
        <v>25</v>
      </c>
      <c r="N236" s="43">
        <v>5</v>
      </c>
      <c r="O236" s="44">
        <v>556.97</v>
      </c>
      <c r="P236" s="44">
        <v>456.53</v>
      </c>
      <c r="Q236" s="44">
        <v>445.58</v>
      </c>
      <c r="R236" s="44">
        <v>365.23</v>
      </c>
      <c r="S236" s="44">
        <v>378.74</v>
      </c>
      <c r="T236" s="44">
        <v>310.44</v>
      </c>
      <c r="U236" s="42"/>
      <c r="V236" s="42"/>
      <c r="W236" s="42" t="s">
        <v>40</v>
      </c>
      <c r="X236" s="45">
        <v>0.191</v>
      </c>
      <c r="Y236" s="46">
        <v>9.1E-4</v>
      </c>
      <c r="Z236" s="21">
        <v>4601004329584</v>
      </c>
    </row>
    <row r="237" spans="1:26" ht="12" customHeight="1" outlineLevel="4" x14ac:dyDescent="0.2">
      <c r="A237" s="40" t="s">
        <v>1553</v>
      </c>
      <c r="B237" s="75" t="s">
        <v>1554</v>
      </c>
      <c r="C237" s="51"/>
      <c r="D237" s="54">
        <f t="shared" si="3"/>
        <v>0</v>
      </c>
      <c r="E237" s="61" t="str">
        <f>HYPERLINK("https://www.sds-group.ru/product/rozetka-kolodka-vlagozaschischennaya-s-kryshkoy-4-gnezda-kompakt-s-z-16a-ip54-kauchuk-oranzh-111-228/", "Инфо")</f>
        <v>Инфо</v>
      </c>
      <c r="F237" s="42" t="s">
        <v>39</v>
      </c>
      <c r="G237" s="41" t="s">
        <v>40</v>
      </c>
      <c r="H237" s="41"/>
      <c r="I237" s="41"/>
      <c r="J237" s="47">
        <v>3986</v>
      </c>
      <c r="K237" s="41"/>
      <c r="L237" s="43">
        <v>1</v>
      </c>
      <c r="M237" s="43">
        <v>20</v>
      </c>
      <c r="N237" s="43">
        <v>1</v>
      </c>
      <c r="O237" s="44">
        <v>825.88</v>
      </c>
      <c r="P237" s="44">
        <v>676.95</v>
      </c>
      <c r="Q237" s="44">
        <v>660.7</v>
      </c>
      <c r="R237" s="44">
        <v>541.55999999999995</v>
      </c>
      <c r="S237" s="44">
        <v>561.6</v>
      </c>
      <c r="T237" s="44">
        <v>460.33</v>
      </c>
      <c r="U237" s="42"/>
      <c r="V237" s="42"/>
      <c r="W237" s="42" t="s">
        <v>40</v>
      </c>
      <c r="X237" s="45">
        <v>0.24299999999999999</v>
      </c>
      <c r="Y237" s="46">
        <v>1.116E-3</v>
      </c>
      <c r="Z237" s="21">
        <v>4601004329645</v>
      </c>
    </row>
    <row r="238" spans="1:26" ht="12" customHeight="1" outlineLevel="4" x14ac:dyDescent="0.2">
      <c r="A238" s="40" t="s">
        <v>1555</v>
      </c>
      <c r="B238" s="75" t="s">
        <v>1556</v>
      </c>
      <c r="C238" s="51"/>
      <c r="D238" s="54">
        <f t="shared" si="3"/>
        <v>0</v>
      </c>
      <c r="E238" s="61" t="str">
        <f>HYPERLINK("https://www.sds-group.ru/product/rozetka-kolodka-vlagozaschischennaya-s-kryshkoy-4-gnezda-kompakt-s-z-16a-ip54-kauchuk-cherna-111-224/", "Инфо")</f>
        <v>Инфо</v>
      </c>
      <c r="F238" s="42" t="s">
        <v>39</v>
      </c>
      <c r="G238" s="41" t="s">
        <v>40</v>
      </c>
      <c r="H238" s="41"/>
      <c r="I238" s="41"/>
      <c r="J238" s="43">
        <v>458</v>
      </c>
      <c r="K238" s="41" t="s">
        <v>1547</v>
      </c>
      <c r="L238" s="43">
        <v>1</v>
      </c>
      <c r="M238" s="43">
        <v>20</v>
      </c>
      <c r="N238" s="43">
        <v>1</v>
      </c>
      <c r="O238" s="44">
        <v>730.63</v>
      </c>
      <c r="P238" s="44">
        <v>598.88</v>
      </c>
      <c r="Q238" s="44">
        <v>584.5</v>
      </c>
      <c r="R238" s="44">
        <v>479.1</v>
      </c>
      <c r="S238" s="44">
        <v>496.83</v>
      </c>
      <c r="T238" s="44">
        <v>407.24</v>
      </c>
      <c r="U238" s="42"/>
      <c r="V238" s="42"/>
      <c r="W238" s="42" t="s">
        <v>40</v>
      </c>
      <c r="X238" s="45">
        <v>0.24</v>
      </c>
      <c r="Y238" s="46">
        <v>1.1050000000000001E-3</v>
      </c>
      <c r="Z238" s="21">
        <v>4601004329621</v>
      </c>
    </row>
    <row r="239" spans="1:26" ht="12.95" customHeight="1" outlineLevel="1" x14ac:dyDescent="0.2">
      <c r="A239" s="78" t="s">
        <v>1762</v>
      </c>
      <c r="B239" s="78"/>
      <c r="C239" s="79"/>
      <c r="D239" s="57"/>
      <c r="E239" s="67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</row>
    <row r="240" spans="1:26" ht="12.95" customHeight="1" outlineLevel="2" x14ac:dyDescent="0.2">
      <c r="A240" s="76" t="s">
        <v>1763</v>
      </c>
      <c r="B240" s="76"/>
      <c r="C240" s="77"/>
      <c r="D240" s="58"/>
      <c r="E240" s="68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.95" customHeight="1" outlineLevel="3" x14ac:dyDescent="0.2">
      <c r="A241" s="76" t="s">
        <v>1870</v>
      </c>
      <c r="B241" s="76"/>
      <c r="C241" s="77"/>
      <c r="D241" s="58"/>
      <c r="E241" s="68"/>
      <c r="F241" s="30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 spans="1:26" ht="12" customHeight="1" outlineLevel="4" x14ac:dyDescent="0.2">
      <c r="A242" s="40" t="s">
        <v>1879</v>
      </c>
      <c r="B242" s="75" t="s">
        <v>1880</v>
      </c>
      <c r="C242" s="51"/>
      <c r="D242" s="54">
        <f t="shared" si="3"/>
        <v>0</v>
      </c>
      <c r="E242" s="61" t="str">
        <f>HYPERLINK("https://www.sds-group.ru/product/kabel-kanal-polukruglyy-usilennyy-13h30mm-belyy-40-m-up-rexant-28-1330-1/", "Инфо")</f>
        <v>Инфо</v>
      </c>
      <c r="F242" s="42" t="s">
        <v>1767</v>
      </c>
      <c r="G242" s="41" t="s">
        <v>40</v>
      </c>
      <c r="H242" s="41" t="s">
        <v>40</v>
      </c>
      <c r="I242" s="41"/>
      <c r="J242" s="43">
        <v>240</v>
      </c>
      <c r="K242" s="41"/>
      <c r="L242" s="43">
        <v>40</v>
      </c>
      <c r="M242" s="43">
        <v>40</v>
      </c>
      <c r="N242" s="43">
        <v>40</v>
      </c>
      <c r="O242" s="44">
        <v>354.56</v>
      </c>
      <c r="P242" s="44">
        <v>290.62</v>
      </c>
      <c r="Q242" s="44">
        <v>248.19</v>
      </c>
      <c r="R242" s="44">
        <v>203.43</v>
      </c>
      <c r="S242" s="44">
        <v>241.1</v>
      </c>
      <c r="T242" s="44">
        <v>197.62</v>
      </c>
      <c r="U242" s="42"/>
      <c r="V242" s="42"/>
      <c r="W242" s="42"/>
      <c r="X242" s="45">
        <v>0.33200000000000002</v>
      </c>
      <c r="Y242" s="46">
        <v>8.8000000000000003E-4</v>
      </c>
      <c r="Z242" s="21">
        <v>4601004311916</v>
      </c>
    </row>
    <row r="243" spans="1:26" ht="12.95" customHeight="1" outlineLevel="2" x14ac:dyDescent="0.2">
      <c r="A243" s="76" t="s">
        <v>2099</v>
      </c>
      <c r="B243" s="76"/>
      <c r="C243" s="77"/>
      <c r="D243" s="58"/>
      <c r="E243" s="68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.95" customHeight="1" outlineLevel="3" x14ac:dyDescent="0.2">
      <c r="A244" s="76" t="s">
        <v>2100</v>
      </c>
      <c r="B244" s="76"/>
      <c r="C244" s="77"/>
      <c r="D244" s="58"/>
      <c r="E244" s="68"/>
      <c r="F244" s="30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 spans="1:26" ht="12" customHeight="1" outlineLevel="4" x14ac:dyDescent="0.2">
      <c r="A245" s="40" t="s">
        <v>2140</v>
      </c>
      <c r="B245" s="75" t="s">
        <v>2141</v>
      </c>
      <c r="C245" s="51"/>
      <c r="D245" s="54">
        <f t="shared" si="3"/>
        <v>0</v>
      </c>
      <c r="E245" s="61" t="str">
        <f>HYPERLINK("https://www.sds-group.ru/product/povorot-gibkiy-gofrirovannyy-16mm-seryy-rexant-28-0316-5/", "Инфо")</f>
        <v>Инфо</v>
      </c>
      <c r="F245" s="42" t="s">
        <v>39</v>
      </c>
      <c r="G245" s="41" t="s">
        <v>40</v>
      </c>
      <c r="H245" s="41" t="s">
        <v>40</v>
      </c>
      <c r="I245" s="41"/>
      <c r="J245" s="47">
        <v>8760</v>
      </c>
      <c r="K245" s="41"/>
      <c r="L245" s="43">
        <v>10</v>
      </c>
      <c r="M245" s="43">
        <v>300</v>
      </c>
      <c r="N245" s="43">
        <v>10</v>
      </c>
      <c r="O245" s="44">
        <v>58.05</v>
      </c>
      <c r="P245" s="44">
        <v>47.58</v>
      </c>
      <c r="Q245" s="44">
        <v>49.34</v>
      </c>
      <c r="R245" s="44">
        <v>40.44</v>
      </c>
      <c r="S245" s="44">
        <v>39.47</v>
      </c>
      <c r="T245" s="44">
        <v>32.35</v>
      </c>
      <c r="U245" s="42"/>
      <c r="V245" s="42"/>
      <c r="W245" s="42" t="s">
        <v>40</v>
      </c>
      <c r="X245" s="45">
        <v>1.4E-2</v>
      </c>
      <c r="Y245" s="46">
        <v>8.0000000000000007E-5</v>
      </c>
      <c r="Z245" s="21">
        <v>4601004342873</v>
      </c>
    </row>
    <row r="246" spans="1:26" ht="12.95" customHeight="1" outlineLevel="2" x14ac:dyDescent="0.2">
      <c r="A246" s="76" t="s">
        <v>2228</v>
      </c>
      <c r="B246" s="76"/>
      <c r="C246" s="77"/>
      <c r="D246" s="58"/>
      <c r="E246" s="68"/>
      <c r="F246" s="30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 spans="1:26" ht="12" customHeight="1" outlineLevel="3" x14ac:dyDescent="0.2">
      <c r="A247" s="40" t="s">
        <v>2243</v>
      </c>
      <c r="B247" s="75" t="s">
        <v>2244</v>
      </c>
      <c r="C247" s="51"/>
      <c r="D247" s="54">
        <f t="shared" si="3"/>
        <v>0</v>
      </c>
      <c r="E247" s="62"/>
      <c r="F247" s="42" t="s">
        <v>39</v>
      </c>
      <c r="G247" s="41" t="s">
        <v>40</v>
      </c>
      <c r="H247" s="41"/>
      <c r="I247" s="41"/>
      <c r="J247" s="47">
        <v>5063</v>
      </c>
      <c r="K247" s="41"/>
      <c r="L247" s="43">
        <v>1</v>
      </c>
      <c r="M247" s="43">
        <v>48</v>
      </c>
      <c r="N247" s="43">
        <v>1</v>
      </c>
      <c r="O247" s="44">
        <v>188</v>
      </c>
      <c r="P247" s="44">
        <v>154.1</v>
      </c>
      <c r="Q247" s="44">
        <v>159.80000000000001</v>
      </c>
      <c r="R247" s="44">
        <v>130.97999999999999</v>
      </c>
      <c r="S247" s="44">
        <v>127.84</v>
      </c>
      <c r="T247" s="44">
        <v>104.79</v>
      </c>
      <c r="U247" s="42"/>
      <c r="V247" s="42"/>
      <c r="W247" s="42" t="s">
        <v>40</v>
      </c>
      <c r="X247" s="45">
        <v>8.5000000000000006E-2</v>
      </c>
      <c r="Y247" s="46">
        <v>5.5800000000000001E-4</v>
      </c>
      <c r="Z247" s="21">
        <v>4601004356900</v>
      </c>
    </row>
    <row r="248" spans="1:26" ht="12" customHeight="1" outlineLevel="3" x14ac:dyDescent="0.2">
      <c r="A248" s="40" t="s">
        <v>2245</v>
      </c>
      <c r="B248" s="75" t="s">
        <v>2246</v>
      </c>
      <c r="C248" s="51"/>
      <c r="D248" s="54">
        <f t="shared" si="3"/>
        <v>0</v>
      </c>
      <c r="E248" s="62"/>
      <c r="F248" s="42" t="s">
        <v>39</v>
      </c>
      <c r="G248" s="41" t="s">
        <v>40</v>
      </c>
      <c r="H248" s="41"/>
      <c r="I248" s="41"/>
      <c r="J248" s="47">
        <v>5504</v>
      </c>
      <c r="K248" s="41"/>
      <c r="L248" s="43">
        <v>1</v>
      </c>
      <c r="M248" s="43">
        <v>80</v>
      </c>
      <c r="N248" s="43">
        <v>1</v>
      </c>
      <c r="O248" s="44">
        <v>152</v>
      </c>
      <c r="P248" s="44">
        <v>124.59</v>
      </c>
      <c r="Q248" s="44">
        <v>129.19999999999999</v>
      </c>
      <c r="R248" s="44">
        <v>105.9</v>
      </c>
      <c r="S248" s="44">
        <v>103.36</v>
      </c>
      <c r="T248" s="44">
        <v>84.72</v>
      </c>
      <c r="U248" s="42"/>
      <c r="V248" s="42"/>
      <c r="W248" s="42" t="s">
        <v>40</v>
      </c>
      <c r="X248" s="45">
        <v>5.3999999999999999E-2</v>
      </c>
      <c r="Y248" s="46">
        <v>3.2400000000000001E-4</v>
      </c>
      <c r="Z248" s="21">
        <v>4601004356894</v>
      </c>
    </row>
    <row r="249" spans="1:26" ht="12.95" customHeight="1" outlineLevel="1" x14ac:dyDescent="0.2">
      <c r="A249" s="78" t="s">
        <v>2673</v>
      </c>
      <c r="B249" s="78"/>
      <c r="C249" s="79"/>
      <c r="D249" s="57"/>
      <c r="E249" s="67"/>
      <c r="F249" s="29"/>
      <c r="G249" s="29"/>
      <c r="H249" s="29"/>
      <c r="I249" s="29"/>
      <c r="J249" s="29"/>
      <c r="K249" s="29"/>
      <c r="L249" s="29"/>
      <c r="M249" s="29"/>
      <c r="N249" s="29"/>
      <c r="O249" s="29"/>
      <c r="P249" s="29"/>
      <c r="Q249" s="29"/>
      <c r="R249" s="29"/>
      <c r="S249" s="29"/>
      <c r="T249" s="29"/>
      <c r="U249" s="29"/>
      <c r="V249" s="29"/>
      <c r="W249" s="29"/>
      <c r="X249" s="29"/>
      <c r="Y249" s="29"/>
      <c r="Z249" s="29"/>
    </row>
    <row r="250" spans="1:26" ht="12.95" customHeight="1" outlineLevel="2" x14ac:dyDescent="0.2">
      <c r="A250" s="76" t="s">
        <v>3038</v>
      </c>
      <c r="B250" s="76"/>
      <c r="C250" s="77"/>
      <c r="D250" s="58"/>
      <c r="E250" s="68"/>
      <c r="F250" s="30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 spans="1:26" ht="12.95" customHeight="1" outlineLevel="3" x14ac:dyDescent="0.2">
      <c r="A251" s="76" t="s">
        <v>3270</v>
      </c>
      <c r="B251" s="76"/>
      <c r="C251" s="77"/>
      <c r="D251" s="58"/>
      <c r="E251" s="68"/>
      <c r="F251" s="30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 spans="1:26" ht="12" customHeight="1" outlineLevel="4" x14ac:dyDescent="0.2">
      <c r="A252" s="40" t="s">
        <v>3305</v>
      </c>
      <c r="B252" s="75" t="s">
        <v>3306</v>
      </c>
      <c r="C252" s="51"/>
      <c r="D252" s="54">
        <f t="shared" si="3"/>
        <v>0</v>
      </c>
      <c r="E252" s="61" t="str">
        <f>HYPERLINK("https://www.sds-group.ru/product/markery-dlya-klemm-smk-222-221d-bez-simvolov-2-5-4-mm-rexant-07-5299/", "Инфо")</f>
        <v>Инфо</v>
      </c>
      <c r="F252" s="42" t="s">
        <v>39</v>
      </c>
      <c r="G252" s="41" t="s">
        <v>40</v>
      </c>
      <c r="H252" s="41" t="s">
        <v>40</v>
      </c>
      <c r="I252" s="41"/>
      <c r="J252" s="47">
        <v>1400</v>
      </c>
      <c r="K252" s="41"/>
      <c r="L252" s="43">
        <v>50</v>
      </c>
      <c r="M252" s="47">
        <v>1500</v>
      </c>
      <c r="N252" s="43">
        <v>50</v>
      </c>
      <c r="O252" s="44">
        <v>13.22</v>
      </c>
      <c r="P252" s="44">
        <v>10.84</v>
      </c>
      <c r="Q252" s="44">
        <v>9.25</v>
      </c>
      <c r="R252" s="44">
        <v>7.58</v>
      </c>
      <c r="S252" s="44">
        <v>8.99</v>
      </c>
      <c r="T252" s="44">
        <v>7.37</v>
      </c>
      <c r="U252" s="42"/>
      <c r="V252" s="42"/>
      <c r="W252" s="42"/>
      <c r="X252" s="45">
        <v>1E-3</v>
      </c>
      <c r="Y252" s="46">
        <v>1.5E-5</v>
      </c>
      <c r="Z252" s="21">
        <v>4601004301467</v>
      </c>
    </row>
    <row r="253" spans="1:26" ht="12" customHeight="1" outlineLevel="4" x14ac:dyDescent="0.2">
      <c r="A253" s="40" t="s">
        <v>3307</v>
      </c>
      <c r="B253" s="75" t="s">
        <v>3308</v>
      </c>
      <c r="C253" s="51"/>
      <c r="D253" s="54">
        <f t="shared" si="3"/>
        <v>0</v>
      </c>
      <c r="E253" s="61" t="str">
        <f>HYPERLINK("https://www.sds-group.ru/product/markery-dlya-klemm-smk-bez-simvolov-6-10-mm-rexant-07-5227/", "Инфо")</f>
        <v>Инфо</v>
      </c>
      <c r="F253" s="42" t="s">
        <v>39</v>
      </c>
      <c r="G253" s="41" t="s">
        <v>40</v>
      </c>
      <c r="H253" s="41" t="s">
        <v>40</v>
      </c>
      <c r="I253" s="41"/>
      <c r="J253" s="47">
        <v>1400</v>
      </c>
      <c r="K253" s="41"/>
      <c r="L253" s="43">
        <v>50</v>
      </c>
      <c r="M253" s="47">
        <v>1500</v>
      </c>
      <c r="N253" s="43">
        <v>50</v>
      </c>
      <c r="O253" s="44">
        <v>15.87</v>
      </c>
      <c r="P253" s="44">
        <v>13.01</v>
      </c>
      <c r="Q253" s="44">
        <v>11.11</v>
      </c>
      <c r="R253" s="44">
        <v>9.11</v>
      </c>
      <c r="S253" s="44">
        <v>10.79</v>
      </c>
      <c r="T253" s="44">
        <v>8.84</v>
      </c>
      <c r="U253" s="42"/>
      <c r="V253" s="42"/>
      <c r="W253" s="42"/>
      <c r="X253" s="45">
        <v>1E-3</v>
      </c>
      <c r="Y253" s="46">
        <v>1.5999999999999999E-5</v>
      </c>
      <c r="Z253" s="21">
        <v>4601004301610</v>
      </c>
    </row>
    <row r="254" spans="1:26" ht="12.95" customHeight="1" outlineLevel="1" x14ac:dyDescent="0.2">
      <c r="A254" s="78" t="s">
        <v>4003</v>
      </c>
      <c r="B254" s="78"/>
      <c r="C254" s="79"/>
      <c r="D254" s="57"/>
      <c r="E254" s="67"/>
      <c r="F254" s="29"/>
      <c r="G254" s="29"/>
      <c r="H254" s="29"/>
      <c r="I254" s="29"/>
      <c r="J254" s="29"/>
      <c r="K254" s="29"/>
      <c r="L254" s="29"/>
      <c r="M254" s="29"/>
      <c r="N254" s="29"/>
      <c r="O254" s="29"/>
      <c r="P254" s="29"/>
      <c r="Q254" s="29"/>
      <c r="R254" s="29"/>
      <c r="S254" s="29"/>
      <c r="T254" s="29"/>
      <c r="U254" s="29"/>
      <c r="V254" s="29"/>
      <c r="W254" s="29"/>
      <c r="X254" s="29"/>
      <c r="Y254" s="29"/>
      <c r="Z254" s="29"/>
    </row>
    <row r="255" spans="1:26" ht="12.95" customHeight="1" outlineLevel="2" x14ac:dyDescent="0.2">
      <c r="A255" s="76" t="s">
        <v>4004</v>
      </c>
      <c r="B255" s="76"/>
      <c r="C255" s="77"/>
      <c r="D255" s="58"/>
      <c r="E255" s="68"/>
      <c r="F255" s="30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 spans="1:26" ht="12.95" customHeight="1" outlineLevel="3" x14ac:dyDescent="0.2">
      <c r="A256" s="76" t="s">
        <v>4538</v>
      </c>
      <c r="B256" s="76"/>
      <c r="C256" s="77"/>
      <c r="D256" s="58"/>
      <c r="E256" s="68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" customHeight="1" outlineLevel="4" x14ac:dyDescent="0.2">
      <c r="A257" s="40" t="s">
        <v>4543</v>
      </c>
      <c r="B257" s="75" t="s">
        <v>4544</v>
      </c>
      <c r="C257" s="51"/>
      <c r="D257" s="54">
        <f t="shared" si="3"/>
        <v>0</v>
      </c>
      <c r="E257" s="61" t="str">
        <f>HYPERLINK("https://www.sds-group.ru/product/trubka-termousazhivaemaya-kleevaya-ttk-3-1-12-4-chernaya-rexant-26-0012-1/", "Инфо")</f>
        <v>Инфо</v>
      </c>
      <c r="F257" s="42" t="s">
        <v>1767</v>
      </c>
      <c r="G257" s="41" t="s">
        <v>40</v>
      </c>
      <c r="H257" s="41"/>
      <c r="I257" s="41"/>
      <c r="J257" s="47">
        <v>12850</v>
      </c>
      <c r="K257" s="41" t="s">
        <v>4008</v>
      </c>
      <c r="L257" s="43">
        <v>25</v>
      </c>
      <c r="M257" s="43">
        <v>150</v>
      </c>
      <c r="N257" s="43">
        <v>25</v>
      </c>
      <c r="O257" s="44">
        <v>128.06</v>
      </c>
      <c r="P257" s="44">
        <v>104.97</v>
      </c>
      <c r="Q257" s="44">
        <v>108.85</v>
      </c>
      <c r="R257" s="44">
        <v>89.22</v>
      </c>
      <c r="S257" s="44">
        <v>87.08</v>
      </c>
      <c r="T257" s="44">
        <v>71.38</v>
      </c>
      <c r="U257" s="42"/>
      <c r="V257" s="42"/>
      <c r="W257" s="42" t="s">
        <v>40</v>
      </c>
      <c r="X257" s="45">
        <v>5.5E-2</v>
      </c>
      <c r="Y257" s="46">
        <v>3.48E-4</v>
      </c>
      <c r="Z257" s="21">
        <v>4601004341371</v>
      </c>
    </row>
    <row r="258" spans="1:26" ht="12" customHeight="1" outlineLevel="4" x14ac:dyDescent="0.2">
      <c r="A258" s="40" t="s">
        <v>4550</v>
      </c>
      <c r="B258" s="75" t="s">
        <v>4551</v>
      </c>
      <c r="C258" s="51"/>
      <c r="D258" s="54">
        <f t="shared" si="3"/>
        <v>0</v>
      </c>
      <c r="E258" s="61" t="str">
        <f>HYPERLINK("https://www.sds-group.ru/product/trubka-termousazhivaemaya-kleevaya-ttk-3-1-18-6-chernaya-rexant-26-0018-1/", "Инфо")</f>
        <v>Инфо</v>
      </c>
      <c r="F258" s="42" t="s">
        <v>1767</v>
      </c>
      <c r="G258" s="41" t="s">
        <v>40</v>
      </c>
      <c r="H258" s="41"/>
      <c r="I258" s="41"/>
      <c r="J258" s="43">
        <v>200</v>
      </c>
      <c r="K258" s="41" t="s">
        <v>4008</v>
      </c>
      <c r="L258" s="43">
        <v>25</v>
      </c>
      <c r="M258" s="43">
        <v>200</v>
      </c>
      <c r="N258" s="43">
        <v>25</v>
      </c>
      <c r="O258" s="44">
        <v>231.84</v>
      </c>
      <c r="P258" s="44">
        <v>190.03</v>
      </c>
      <c r="Q258" s="44">
        <v>197.06</v>
      </c>
      <c r="R258" s="44">
        <v>161.52000000000001</v>
      </c>
      <c r="S258" s="44">
        <v>157.65</v>
      </c>
      <c r="T258" s="44">
        <v>129.22</v>
      </c>
      <c r="U258" s="42"/>
      <c r="V258" s="42"/>
      <c r="W258" s="42" t="s">
        <v>40</v>
      </c>
      <c r="X258" s="45">
        <v>8.6999999999999994E-2</v>
      </c>
      <c r="Y258" s="46">
        <v>3.9300000000000001E-4</v>
      </c>
      <c r="Z258" s="21">
        <v>4601004341456</v>
      </c>
    </row>
    <row r="259" spans="1:26" ht="12" customHeight="1" outlineLevel="4" x14ac:dyDescent="0.2">
      <c r="A259" s="40" t="s">
        <v>4553</v>
      </c>
      <c r="B259" s="75" t="s">
        <v>4554</v>
      </c>
      <c r="C259" s="51"/>
      <c r="D259" s="54">
        <f t="shared" si="3"/>
        <v>0</v>
      </c>
      <c r="E259" s="61" t="str">
        <f>HYPERLINK("https://www.sds-group.ru/product/trubka-termousazhivaemaya-kleevaya-ttk-3-1-20-6-chernaya-rexant-26-0020-1/", "Инфо")</f>
        <v>Инфо</v>
      </c>
      <c r="F259" s="42" t="s">
        <v>1767</v>
      </c>
      <c r="G259" s="41" t="s">
        <v>40</v>
      </c>
      <c r="H259" s="41"/>
      <c r="I259" s="41"/>
      <c r="J259" s="43">
        <v>725</v>
      </c>
      <c r="K259" s="41" t="s">
        <v>4183</v>
      </c>
      <c r="L259" s="43">
        <v>25</v>
      </c>
      <c r="M259" s="43">
        <v>200</v>
      </c>
      <c r="N259" s="43">
        <v>25</v>
      </c>
      <c r="O259" s="44">
        <v>249.81</v>
      </c>
      <c r="P259" s="44">
        <v>204.76</v>
      </c>
      <c r="Q259" s="44">
        <v>212.34</v>
      </c>
      <c r="R259" s="44">
        <v>174.05</v>
      </c>
      <c r="S259" s="44">
        <v>169.87</v>
      </c>
      <c r="T259" s="44">
        <v>139.24</v>
      </c>
      <c r="U259" s="42"/>
      <c r="V259" s="42"/>
      <c r="W259" s="42" t="s">
        <v>40</v>
      </c>
      <c r="X259" s="45">
        <v>8.5000000000000006E-2</v>
      </c>
      <c r="Y259" s="46">
        <v>3.88E-4</v>
      </c>
      <c r="Z259" s="21">
        <v>4601004341449</v>
      </c>
    </row>
    <row r="260" spans="1:26" ht="12" customHeight="1" outlineLevel="4" x14ac:dyDescent="0.2">
      <c r="A260" s="40" t="s">
        <v>4561</v>
      </c>
      <c r="B260" s="75" t="s">
        <v>4562</v>
      </c>
      <c r="C260" s="51"/>
      <c r="D260" s="54">
        <f t="shared" si="3"/>
        <v>0</v>
      </c>
      <c r="E260" s="61" t="str">
        <f>HYPERLINK("https://www.sds-group.ru/product/trubka-termousazhivaemaya-kleevaya-ttk-3-1-25-8-chernaya-rexant-26-0025-1/", "Инфо")</f>
        <v>Инфо</v>
      </c>
      <c r="F260" s="42" t="s">
        <v>1767</v>
      </c>
      <c r="G260" s="41" t="s">
        <v>40</v>
      </c>
      <c r="H260" s="41"/>
      <c r="I260" s="41"/>
      <c r="J260" s="47">
        <v>5550</v>
      </c>
      <c r="K260" s="41" t="s">
        <v>4008</v>
      </c>
      <c r="L260" s="43">
        <v>25</v>
      </c>
      <c r="M260" s="43">
        <v>175</v>
      </c>
      <c r="N260" s="43">
        <v>25</v>
      </c>
      <c r="O260" s="44">
        <v>374.16</v>
      </c>
      <c r="P260" s="44">
        <v>306.69</v>
      </c>
      <c r="Q260" s="44">
        <v>299.33</v>
      </c>
      <c r="R260" s="44">
        <v>245.35</v>
      </c>
      <c r="S260" s="44">
        <v>254.43</v>
      </c>
      <c r="T260" s="44">
        <v>208.55</v>
      </c>
      <c r="U260" s="42"/>
      <c r="V260" s="42"/>
      <c r="W260" s="42" t="s">
        <v>40</v>
      </c>
      <c r="X260" s="45">
        <v>0.11600000000000001</v>
      </c>
      <c r="Y260" s="46">
        <v>4.7699999999999999E-4</v>
      </c>
      <c r="Z260" s="21">
        <v>4601004341432</v>
      </c>
    </row>
    <row r="261" spans="1:26" ht="12" customHeight="1" outlineLevel="4" x14ac:dyDescent="0.2">
      <c r="A261" s="40" t="s">
        <v>4567</v>
      </c>
      <c r="B261" s="75" t="s">
        <v>4568</v>
      </c>
      <c r="C261" s="51"/>
      <c r="D261" s="54">
        <f t="shared" si="3"/>
        <v>0</v>
      </c>
      <c r="E261" s="61" t="str">
        <f>HYPERLINK("https://www.sds-group.ru/product/trubka-termousazhivaemaya-kleevaya-ttk-3-1-3-1-chernaya-rexant-26-0003-1/", "Инфо")</f>
        <v>Инфо</v>
      </c>
      <c r="F261" s="42" t="s">
        <v>1767</v>
      </c>
      <c r="G261" s="41" t="s">
        <v>40</v>
      </c>
      <c r="H261" s="41"/>
      <c r="I261" s="41"/>
      <c r="J261" s="47">
        <v>82800</v>
      </c>
      <c r="K261" s="41"/>
      <c r="L261" s="43">
        <v>200</v>
      </c>
      <c r="M261" s="47">
        <v>2600</v>
      </c>
      <c r="N261" s="43">
        <v>200</v>
      </c>
      <c r="O261" s="44">
        <v>33.17</v>
      </c>
      <c r="P261" s="44">
        <v>27.19</v>
      </c>
      <c r="Q261" s="44">
        <v>28.19</v>
      </c>
      <c r="R261" s="44">
        <v>23.11</v>
      </c>
      <c r="S261" s="44">
        <v>22.56</v>
      </c>
      <c r="T261" s="44">
        <v>18.489999999999998</v>
      </c>
      <c r="U261" s="42"/>
      <c r="V261" s="42"/>
      <c r="W261" s="42" t="s">
        <v>40</v>
      </c>
      <c r="X261" s="45">
        <v>1.2E-2</v>
      </c>
      <c r="Y261" s="46">
        <v>5.0000000000000002E-5</v>
      </c>
      <c r="Z261" s="21">
        <v>4601004341395</v>
      </c>
    </row>
    <row r="262" spans="1:26" ht="12" customHeight="1" outlineLevel="4" x14ac:dyDescent="0.2">
      <c r="A262" s="40" t="s">
        <v>4570</v>
      </c>
      <c r="B262" s="75" t="s">
        <v>4571</v>
      </c>
      <c r="C262" s="51"/>
      <c r="D262" s="54">
        <f t="shared" si="3"/>
        <v>0</v>
      </c>
      <c r="E262" s="61" t="str">
        <f>HYPERLINK("https://www.sds-group.ru/product/trubka-termousazhivaemaya-kleevaya-ttk-3-1-30-10-chernaya-rexant-26-0030-1/", "Инфо")</f>
        <v>Инфо</v>
      </c>
      <c r="F262" s="42" t="s">
        <v>1767</v>
      </c>
      <c r="G262" s="41" t="s">
        <v>40</v>
      </c>
      <c r="H262" s="41"/>
      <c r="I262" s="41"/>
      <c r="J262" s="47">
        <v>3325</v>
      </c>
      <c r="K262" s="41" t="s">
        <v>4008</v>
      </c>
      <c r="L262" s="43">
        <v>25</v>
      </c>
      <c r="M262" s="43">
        <v>150</v>
      </c>
      <c r="N262" s="43">
        <v>25</v>
      </c>
      <c r="O262" s="44">
        <v>448.3</v>
      </c>
      <c r="P262" s="44">
        <v>367.46</v>
      </c>
      <c r="Q262" s="44">
        <v>358.64</v>
      </c>
      <c r="R262" s="44">
        <v>293.97000000000003</v>
      </c>
      <c r="S262" s="44">
        <v>304.83999999999997</v>
      </c>
      <c r="T262" s="44">
        <v>249.87</v>
      </c>
      <c r="U262" s="42"/>
      <c r="V262" s="42"/>
      <c r="W262" s="42" t="s">
        <v>40</v>
      </c>
      <c r="X262" s="45">
        <v>0.13</v>
      </c>
      <c r="Y262" s="46">
        <v>5.7799999999999995E-4</v>
      </c>
      <c r="Z262" s="21">
        <v>4601004341425</v>
      </c>
    </row>
    <row r="263" spans="1:26" ht="12" customHeight="1" outlineLevel="4" x14ac:dyDescent="0.2">
      <c r="A263" s="40" t="s">
        <v>4576</v>
      </c>
      <c r="B263" s="75" t="s">
        <v>4577</v>
      </c>
      <c r="C263" s="51"/>
      <c r="D263" s="54">
        <f t="shared" si="3"/>
        <v>0</v>
      </c>
      <c r="E263" s="61" t="str">
        <f>HYPERLINK("https://www.sds-group.ru/product/trubka-termousazhivaemaya-kleevaya-ttk-3-1-4-8-1-6-chernaya-rexant-26-0004-1/", "Инфо")</f>
        <v>Инфо</v>
      </c>
      <c r="F263" s="42" t="s">
        <v>1767</v>
      </c>
      <c r="G263" s="41" t="s">
        <v>40</v>
      </c>
      <c r="H263" s="41"/>
      <c r="I263" s="41"/>
      <c r="J263" s="47">
        <v>26200</v>
      </c>
      <c r="K263" s="41" t="s">
        <v>4008</v>
      </c>
      <c r="L263" s="43">
        <v>100</v>
      </c>
      <c r="M263" s="47">
        <v>1300</v>
      </c>
      <c r="N263" s="43">
        <v>100</v>
      </c>
      <c r="O263" s="44">
        <v>45.41</v>
      </c>
      <c r="P263" s="44">
        <v>37.22</v>
      </c>
      <c r="Q263" s="44">
        <v>38.6</v>
      </c>
      <c r="R263" s="44">
        <v>31.64</v>
      </c>
      <c r="S263" s="44">
        <v>30.88</v>
      </c>
      <c r="T263" s="44">
        <v>25.31</v>
      </c>
      <c r="U263" s="42"/>
      <c r="V263" s="42"/>
      <c r="W263" s="42" t="s">
        <v>40</v>
      </c>
      <c r="X263" s="45">
        <v>1.7000000000000001E-2</v>
      </c>
      <c r="Y263" s="46">
        <v>1.01E-4</v>
      </c>
      <c r="Z263" s="21">
        <v>4601004341500</v>
      </c>
    </row>
    <row r="264" spans="1:26" ht="12" customHeight="1" outlineLevel="4" x14ac:dyDescent="0.2">
      <c r="A264" s="40" t="s">
        <v>4579</v>
      </c>
      <c r="B264" s="75" t="s">
        <v>4580</v>
      </c>
      <c r="C264" s="51"/>
      <c r="D264" s="54">
        <f t="shared" si="3"/>
        <v>0</v>
      </c>
      <c r="E264" s="61" t="str">
        <f>HYPERLINK("https://www.sds-group.ru/product/trubka-termousazhivaemaya-kleevaya-ttk-3-1-40-13-chernaya-rexant-26-0040-1/", "Инфо")</f>
        <v>Инфо</v>
      </c>
      <c r="F264" s="42" t="s">
        <v>1767</v>
      </c>
      <c r="G264" s="41" t="s">
        <v>40</v>
      </c>
      <c r="H264" s="41"/>
      <c r="I264" s="41"/>
      <c r="J264" s="42" t="s">
        <v>100</v>
      </c>
      <c r="K264" s="41" t="s">
        <v>4008</v>
      </c>
      <c r="L264" s="43">
        <v>25</v>
      </c>
      <c r="M264" s="43">
        <v>100</v>
      </c>
      <c r="N264" s="43">
        <v>25</v>
      </c>
      <c r="O264" s="44">
        <v>538.54</v>
      </c>
      <c r="P264" s="44">
        <v>441.43</v>
      </c>
      <c r="Q264" s="44">
        <v>430.83</v>
      </c>
      <c r="R264" s="44">
        <v>353.14</v>
      </c>
      <c r="S264" s="44">
        <v>366.21</v>
      </c>
      <c r="T264" s="44">
        <v>300.17</v>
      </c>
      <c r="U264" s="42"/>
      <c r="V264" s="42"/>
      <c r="W264" s="42" t="s">
        <v>40</v>
      </c>
      <c r="X264" s="45">
        <v>0.17199999999999999</v>
      </c>
      <c r="Y264" s="46">
        <v>7.2300000000000001E-4</v>
      </c>
      <c r="Z264" s="21">
        <v>4601004341418</v>
      </c>
    </row>
    <row r="265" spans="1:26" ht="12" customHeight="1" outlineLevel="4" x14ac:dyDescent="0.2">
      <c r="A265" s="40" t="s">
        <v>4581</v>
      </c>
      <c r="B265" s="75" t="s">
        <v>4582</v>
      </c>
      <c r="C265" s="51"/>
      <c r="D265" s="54">
        <f t="shared" si="3"/>
        <v>0</v>
      </c>
      <c r="E265" s="61" t="str">
        <f>HYPERLINK("https://www.sds-group.ru/product/trubka-termousazhivaemaya-kleevaya-ttk-3-1-50-17-chernaya-rexant-26-0050-1/", "Инфо")</f>
        <v>Инфо</v>
      </c>
      <c r="F265" s="42" t="s">
        <v>1767</v>
      </c>
      <c r="G265" s="41" t="s">
        <v>40</v>
      </c>
      <c r="H265" s="41"/>
      <c r="I265" s="41"/>
      <c r="J265" s="47">
        <v>1250</v>
      </c>
      <c r="K265" s="41" t="s">
        <v>4008</v>
      </c>
      <c r="L265" s="43">
        <v>25</v>
      </c>
      <c r="M265" s="43">
        <v>100</v>
      </c>
      <c r="N265" s="43">
        <v>25</v>
      </c>
      <c r="O265" s="44">
        <v>749.26</v>
      </c>
      <c r="P265" s="44">
        <v>614.15</v>
      </c>
      <c r="Q265" s="44">
        <v>599.41</v>
      </c>
      <c r="R265" s="44">
        <v>491.32</v>
      </c>
      <c r="S265" s="44">
        <v>509.5</v>
      </c>
      <c r="T265" s="44">
        <v>417.62</v>
      </c>
      <c r="U265" s="42"/>
      <c r="V265" s="42"/>
      <c r="W265" s="42" t="s">
        <v>40</v>
      </c>
      <c r="X265" s="45">
        <v>0.219</v>
      </c>
      <c r="Y265" s="46">
        <v>8.3299999999999997E-4</v>
      </c>
      <c r="Z265" s="21">
        <v>4601004341401</v>
      </c>
    </row>
    <row r="266" spans="1:26" ht="12" customHeight="1" outlineLevel="4" x14ac:dyDescent="0.2">
      <c r="A266" s="40" t="s">
        <v>4587</v>
      </c>
      <c r="B266" s="75" t="s">
        <v>4588</v>
      </c>
      <c r="C266" s="51"/>
      <c r="D266" s="54">
        <f t="shared" si="3"/>
        <v>0</v>
      </c>
      <c r="E266" s="61" t="str">
        <f>HYPERLINK("https://www.sds-group.ru/product/trubka-termousazhivaemaya-kleevaya-ttk-3-1-6-2-chernaya-rexant-26-0006-1/", "Инфо")</f>
        <v>Инфо</v>
      </c>
      <c r="F266" s="42" t="s">
        <v>1767</v>
      </c>
      <c r="G266" s="41" t="s">
        <v>40</v>
      </c>
      <c r="H266" s="41"/>
      <c r="I266" s="41"/>
      <c r="J266" s="47">
        <v>18600</v>
      </c>
      <c r="K266" s="41" t="s">
        <v>4008</v>
      </c>
      <c r="L266" s="43">
        <v>100</v>
      </c>
      <c r="M266" s="47">
        <v>1000</v>
      </c>
      <c r="N266" s="43">
        <v>100</v>
      </c>
      <c r="O266" s="44">
        <v>55.23</v>
      </c>
      <c r="P266" s="44">
        <v>45.27</v>
      </c>
      <c r="Q266" s="44">
        <v>46.95</v>
      </c>
      <c r="R266" s="44">
        <v>38.479999999999997</v>
      </c>
      <c r="S266" s="44">
        <v>37.56</v>
      </c>
      <c r="T266" s="44">
        <v>30.79</v>
      </c>
      <c r="U266" s="42"/>
      <c r="V266" s="42"/>
      <c r="W266" s="42" t="s">
        <v>40</v>
      </c>
      <c r="X266" s="45">
        <v>2.1000000000000001E-2</v>
      </c>
      <c r="Y266" s="46">
        <v>1.3799999999999999E-4</v>
      </c>
      <c r="Z266" s="21">
        <v>4601004341494</v>
      </c>
    </row>
    <row r="267" spans="1:26" ht="12" customHeight="1" outlineLevel="4" x14ac:dyDescent="0.2">
      <c r="A267" s="40" t="s">
        <v>4594</v>
      </c>
      <c r="B267" s="75" t="s">
        <v>4595</v>
      </c>
      <c r="C267" s="51"/>
      <c r="D267" s="54">
        <f t="shared" si="3"/>
        <v>0</v>
      </c>
      <c r="E267" s="61" t="str">
        <f>HYPERLINK("https://www.sds-group.ru/product/trubka-termousazhivaemaya-kleevaya-ttk-3-1-9-3-chernaya-rexant-26-0009-1/", "Инфо")</f>
        <v>Инфо</v>
      </c>
      <c r="F267" s="42" t="s">
        <v>1767</v>
      </c>
      <c r="G267" s="41" t="s">
        <v>40</v>
      </c>
      <c r="H267" s="41"/>
      <c r="I267" s="41"/>
      <c r="J267" s="47">
        <v>3250</v>
      </c>
      <c r="K267" s="41" t="s">
        <v>4183</v>
      </c>
      <c r="L267" s="43">
        <v>50</v>
      </c>
      <c r="M267" s="43">
        <v>350</v>
      </c>
      <c r="N267" s="43">
        <v>50</v>
      </c>
      <c r="O267" s="44">
        <v>82.48</v>
      </c>
      <c r="P267" s="44">
        <v>67.61</v>
      </c>
      <c r="Q267" s="44">
        <v>70.11</v>
      </c>
      <c r="R267" s="44">
        <v>57.47</v>
      </c>
      <c r="S267" s="44">
        <v>56.09</v>
      </c>
      <c r="T267" s="44">
        <v>45.98</v>
      </c>
      <c r="U267" s="42"/>
      <c r="V267" s="42"/>
      <c r="W267" s="42" t="s">
        <v>40</v>
      </c>
      <c r="X267" s="45">
        <v>3.4000000000000002E-2</v>
      </c>
      <c r="Y267" s="46">
        <v>2.5999999999999998E-4</v>
      </c>
      <c r="Z267" s="21">
        <v>4601004341487</v>
      </c>
    </row>
    <row r="268" spans="1:26" ht="12.95" customHeight="1" outlineLevel="3" x14ac:dyDescent="0.2">
      <c r="A268" s="76" t="s">
        <v>4765</v>
      </c>
      <c r="B268" s="76"/>
      <c r="C268" s="77"/>
      <c r="D268" s="58"/>
      <c r="E268" s="68"/>
      <c r="F268" s="30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 spans="1:26" ht="12" customHeight="1" outlineLevel="4" x14ac:dyDescent="0.2">
      <c r="A269" s="40" t="s">
        <v>4766</v>
      </c>
      <c r="B269" s="75" t="s">
        <v>4767</v>
      </c>
      <c r="C269" s="51"/>
      <c r="D269" s="54">
        <f t="shared" ref="D269:D332" si="4">C269*(O269-O269*$G$3)</f>
        <v>0</v>
      </c>
      <c r="E269" s="61" t="str">
        <f>HYPERLINK("https://www.sds-group.ru/product/trubka-termousazhivaemaya-tut-hf-2-1-10-5-belaya-rexant-21-0001-1/", "Инфо")</f>
        <v>Инфо</v>
      </c>
      <c r="F269" s="42" t="s">
        <v>1767</v>
      </c>
      <c r="G269" s="41" t="s">
        <v>40</v>
      </c>
      <c r="H269" s="41"/>
      <c r="I269" s="41"/>
      <c r="J269" s="47">
        <v>1800</v>
      </c>
      <c r="K269" s="41" t="s">
        <v>1094</v>
      </c>
      <c r="L269" s="43">
        <v>100</v>
      </c>
      <c r="M269" s="47">
        <v>1900</v>
      </c>
      <c r="N269" s="43">
        <v>100</v>
      </c>
      <c r="O269" s="44">
        <v>28.17</v>
      </c>
      <c r="P269" s="44">
        <v>23.09</v>
      </c>
      <c r="Q269" s="44">
        <v>23.94</v>
      </c>
      <c r="R269" s="44">
        <v>19.62</v>
      </c>
      <c r="S269" s="44">
        <v>19.16</v>
      </c>
      <c r="T269" s="44">
        <v>15.7</v>
      </c>
      <c r="U269" s="42"/>
      <c r="V269" s="42"/>
      <c r="W269" s="42" t="s">
        <v>40</v>
      </c>
      <c r="X269" s="45">
        <v>1.4E-2</v>
      </c>
      <c r="Y269" s="46">
        <v>6.3E-5</v>
      </c>
      <c r="Z269" s="21">
        <v>4601004341012</v>
      </c>
    </row>
    <row r="270" spans="1:26" ht="12" customHeight="1" outlineLevel="4" x14ac:dyDescent="0.2">
      <c r="A270" s="40" t="s">
        <v>4768</v>
      </c>
      <c r="B270" s="75" t="s">
        <v>4769</v>
      </c>
      <c r="C270" s="51"/>
      <c r="D270" s="54">
        <f t="shared" si="4"/>
        <v>0</v>
      </c>
      <c r="E270" s="61" t="str">
        <f>HYPERLINK("https://www.sds-group.ru/product/trubka-termousazhivaemaya-tut-hf-2-1-10-5-krasnaya-rexant-21-0004-1/", "Инфо")</f>
        <v>Инфо</v>
      </c>
      <c r="F270" s="42" t="s">
        <v>1767</v>
      </c>
      <c r="G270" s="41" t="s">
        <v>40</v>
      </c>
      <c r="H270" s="41"/>
      <c r="I270" s="41"/>
      <c r="J270" s="47">
        <v>1700</v>
      </c>
      <c r="K270" s="41" t="s">
        <v>1094</v>
      </c>
      <c r="L270" s="43">
        <v>100</v>
      </c>
      <c r="M270" s="47">
        <v>1900</v>
      </c>
      <c r="N270" s="43">
        <v>100</v>
      </c>
      <c r="O270" s="44">
        <v>28.17</v>
      </c>
      <c r="P270" s="44">
        <v>23.09</v>
      </c>
      <c r="Q270" s="44">
        <v>23.94</v>
      </c>
      <c r="R270" s="44">
        <v>19.62</v>
      </c>
      <c r="S270" s="44">
        <v>19.16</v>
      </c>
      <c r="T270" s="44">
        <v>15.7</v>
      </c>
      <c r="U270" s="42"/>
      <c r="V270" s="42"/>
      <c r="W270" s="42" t="s">
        <v>40</v>
      </c>
      <c r="X270" s="45">
        <v>1.2999999999999999E-2</v>
      </c>
      <c r="Y270" s="46">
        <v>6.6000000000000005E-5</v>
      </c>
      <c r="Z270" s="21">
        <v>4601004341029</v>
      </c>
    </row>
    <row r="271" spans="1:26" ht="12" customHeight="1" outlineLevel="4" x14ac:dyDescent="0.2">
      <c r="A271" s="40" t="s">
        <v>4770</v>
      </c>
      <c r="B271" s="75" t="s">
        <v>4771</v>
      </c>
      <c r="C271" s="51"/>
      <c r="D271" s="54">
        <f t="shared" si="4"/>
        <v>0</v>
      </c>
      <c r="E271" s="61" t="str">
        <f>HYPERLINK("https://www.sds-group.ru/product/trubka-termousazhivaemaya-tut-hf-2-1-10-5-chernaya-rexant-21-0008-1/", "Инфо")</f>
        <v>Инфо</v>
      </c>
      <c r="F271" s="42" t="s">
        <v>1767</v>
      </c>
      <c r="G271" s="41" t="s">
        <v>40</v>
      </c>
      <c r="H271" s="41"/>
      <c r="I271" s="41"/>
      <c r="J271" s="47">
        <v>1700</v>
      </c>
      <c r="K271" s="41" t="s">
        <v>1094</v>
      </c>
      <c r="L271" s="43">
        <v>100</v>
      </c>
      <c r="M271" s="47">
        <v>1900</v>
      </c>
      <c r="N271" s="43">
        <v>100</v>
      </c>
      <c r="O271" s="44">
        <v>25.56</v>
      </c>
      <c r="P271" s="44">
        <v>20.95</v>
      </c>
      <c r="Q271" s="44">
        <v>21.73</v>
      </c>
      <c r="R271" s="44">
        <v>17.809999999999999</v>
      </c>
      <c r="S271" s="44">
        <v>17.38</v>
      </c>
      <c r="T271" s="44">
        <v>14.25</v>
      </c>
      <c r="U271" s="42"/>
      <c r="V271" s="42"/>
      <c r="W271" s="42" t="s">
        <v>40</v>
      </c>
      <c r="X271" s="45">
        <v>1.2999999999999999E-2</v>
      </c>
      <c r="Y271" s="46">
        <v>7.2999999999999999E-5</v>
      </c>
      <c r="Z271" s="21">
        <v>4601004341036</v>
      </c>
    </row>
    <row r="272" spans="1:26" ht="12" customHeight="1" outlineLevel="4" x14ac:dyDescent="0.2">
      <c r="A272" s="40" t="s">
        <v>4772</v>
      </c>
      <c r="B272" s="75" t="s">
        <v>4773</v>
      </c>
      <c r="C272" s="51"/>
      <c r="D272" s="54">
        <f t="shared" si="4"/>
        <v>0</v>
      </c>
      <c r="E272" s="61" t="str">
        <f>HYPERLINK("https://www.sds-group.ru/product/trubka-termousazhivaemaya-tut-hf-2-1-12-6-belaya-rexant-21-2001-1/", "Инфо")</f>
        <v>Инфо</v>
      </c>
      <c r="F272" s="42" t="s">
        <v>1767</v>
      </c>
      <c r="G272" s="41" t="s">
        <v>40</v>
      </c>
      <c r="H272" s="41"/>
      <c r="I272" s="41"/>
      <c r="J272" s="47">
        <v>1600</v>
      </c>
      <c r="K272" s="41" t="s">
        <v>1094</v>
      </c>
      <c r="L272" s="43">
        <v>100</v>
      </c>
      <c r="M272" s="47">
        <v>1700</v>
      </c>
      <c r="N272" s="43">
        <v>100</v>
      </c>
      <c r="O272" s="44">
        <v>32.5</v>
      </c>
      <c r="P272" s="44">
        <v>26.64</v>
      </c>
      <c r="Q272" s="44">
        <v>27.63</v>
      </c>
      <c r="R272" s="44">
        <v>22.65</v>
      </c>
      <c r="S272" s="44">
        <v>22.1</v>
      </c>
      <c r="T272" s="44">
        <v>18.11</v>
      </c>
      <c r="U272" s="42"/>
      <c r="V272" s="42"/>
      <c r="W272" s="42" t="s">
        <v>40</v>
      </c>
      <c r="X272" s="45">
        <v>1.6E-2</v>
      </c>
      <c r="Y272" s="46">
        <v>6.8999999999999997E-5</v>
      </c>
      <c r="Z272" s="21">
        <v>4601004341081</v>
      </c>
    </row>
    <row r="273" spans="1:26" ht="12" customHeight="1" outlineLevel="4" x14ac:dyDescent="0.2">
      <c r="A273" s="40" t="s">
        <v>4774</v>
      </c>
      <c r="B273" s="75" t="s">
        <v>4775</v>
      </c>
      <c r="C273" s="51"/>
      <c r="D273" s="54">
        <f t="shared" si="4"/>
        <v>0</v>
      </c>
      <c r="E273" s="61" t="str">
        <f>HYPERLINK("https://www.sds-group.ru/product/trubka-termousazhivaemaya-tut-hf-2-1-12-6-krasnaya-rexant-21-2004-1/", "Инфо")</f>
        <v>Инфо</v>
      </c>
      <c r="F273" s="42" t="s">
        <v>1767</v>
      </c>
      <c r="G273" s="41" t="s">
        <v>40</v>
      </c>
      <c r="H273" s="41"/>
      <c r="I273" s="41"/>
      <c r="J273" s="42" t="s">
        <v>100</v>
      </c>
      <c r="K273" s="41" t="s">
        <v>1094</v>
      </c>
      <c r="L273" s="43">
        <v>100</v>
      </c>
      <c r="M273" s="47">
        <v>1700</v>
      </c>
      <c r="N273" s="43">
        <v>100</v>
      </c>
      <c r="O273" s="44">
        <v>32.5</v>
      </c>
      <c r="P273" s="44">
        <v>26.64</v>
      </c>
      <c r="Q273" s="44">
        <v>27.63</v>
      </c>
      <c r="R273" s="44">
        <v>22.65</v>
      </c>
      <c r="S273" s="44">
        <v>22.1</v>
      </c>
      <c r="T273" s="44">
        <v>18.11</v>
      </c>
      <c r="U273" s="42"/>
      <c r="V273" s="42"/>
      <c r="W273" s="42" t="s">
        <v>40</v>
      </c>
      <c r="X273" s="45">
        <v>1.4999999999999999E-2</v>
      </c>
      <c r="Y273" s="46">
        <v>6.0999999999999999E-5</v>
      </c>
      <c r="Z273" s="21">
        <v>4601004341098</v>
      </c>
    </row>
    <row r="274" spans="1:26" ht="12" customHeight="1" outlineLevel="4" x14ac:dyDescent="0.2">
      <c r="A274" s="40" t="s">
        <v>4776</v>
      </c>
      <c r="B274" s="75" t="s">
        <v>4777</v>
      </c>
      <c r="C274" s="51"/>
      <c r="D274" s="54">
        <f t="shared" si="4"/>
        <v>0</v>
      </c>
      <c r="E274" s="61" t="str">
        <f>HYPERLINK("https://www.sds-group.ru/product/trubka-termousazhivaemaya-tut-hf-2-1-12-6-chernaya-rexant-21-2006-1/", "Инфо")</f>
        <v>Инфо</v>
      </c>
      <c r="F274" s="42" t="s">
        <v>1767</v>
      </c>
      <c r="G274" s="41" t="s">
        <v>40</v>
      </c>
      <c r="H274" s="41"/>
      <c r="I274" s="41"/>
      <c r="J274" s="42" t="s">
        <v>100</v>
      </c>
      <c r="K274" s="41" t="s">
        <v>1094</v>
      </c>
      <c r="L274" s="43">
        <v>100</v>
      </c>
      <c r="M274" s="47">
        <v>1700</v>
      </c>
      <c r="N274" s="43">
        <v>100</v>
      </c>
      <c r="O274" s="44">
        <v>29.68</v>
      </c>
      <c r="P274" s="44">
        <v>24.33</v>
      </c>
      <c r="Q274" s="44">
        <v>25.23</v>
      </c>
      <c r="R274" s="44">
        <v>20.68</v>
      </c>
      <c r="S274" s="44">
        <v>20.18</v>
      </c>
      <c r="T274" s="44">
        <v>16.54</v>
      </c>
      <c r="U274" s="42"/>
      <c r="V274" s="42"/>
      <c r="W274" s="42" t="s">
        <v>40</v>
      </c>
      <c r="X274" s="45">
        <v>1.4999999999999999E-2</v>
      </c>
      <c r="Y274" s="46">
        <v>6.9999999999999994E-5</v>
      </c>
      <c r="Z274" s="21">
        <v>4601004341104</v>
      </c>
    </row>
    <row r="275" spans="1:26" ht="12" customHeight="1" outlineLevel="4" x14ac:dyDescent="0.2">
      <c r="A275" s="40" t="s">
        <v>4778</v>
      </c>
      <c r="B275" s="75" t="s">
        <v>4779</v>
      </c>
      <c r="C275" s="51"/>
      <c r="D275" s="54">
        <f t="shared" si="4"/>
        <v>0</v>
      </c>
      <c r="E275" s="61" t="str">
        <f>HYPERLINK("https://www.sds-group.ru/product/trubka-termousazhivaemaya-tut-hf-2-1-16-8-belaya-rexant-21-6001-1/", "Инфо")</f>
        <v>Инфо</v>
      </c>
      <c r="F275" s="42" t="s">
        <v>1767</v>
      </c>
      <c r="G275" s="41" t="s">
        <v>40</v>
      </c>
      <c r="H275" s="41"/>
      <c r="I275" s="41"/>
      <c r="J275" s="47">
        <v>1750</v>
      </c>
      <c r="K275" s="41" t="s">
        <v>1094</v>
      </c>
      <c r="L275" s="43">
        <v>50</v>
      </c>
      <c r="M275" s="43">
        <v>700</v>
      </c>
      <c r="N275" s="43">
        <v>50</v>
      </c>
      <c r="O275" s="44">
        <v>50.68</v>
      </c>
      <c r="P275" s="44">
        <v>41.54</v>
      </c>
      <c r="Q275" s="44">
        <v>43.08</v>
      </c>
      <c r="R275" s="44">
        <v>35.31</v>
      </c>
      <c r="S275" s="44">
        <v>34.46</v>
      </c>
      <c r="T275" s="44">
        <v>28.25</v>
      </c>
      <c r="U275" s="42"/>
      <c r="V275" s="42"/>
      <c r="W275" s="42" t="s">
        <v>40</v>
      </c>
      <c r="X275" s="45">
        <v>2.1999999999999999E-2</v>
      </c>
      <c r="Y275" s="46">
        <v>7.8999999999999996E-5</v>
      </c>
      <c r="Z275" s="21">
        <v>4601004341388</v>
      </c>
    </row>
    <row r="276" spans="1:26" ht="12" customHeight="1" outlineLevel="4" x14ac:dyDescent="0.2">
      <c r="A276" s="40" t="s">
        <v>4780</v>
      </c>
      <c r="B276" s="75" t="s">
        <v>4781</v>
      </c>
      <c r="C276" s="51"/>
      <c r="D276" s="54">
        <f t="shared" si="4"/>
        <v>0</v>
      </c>
      <c r="E276" s="61" t="str">
        <f>HYPERLINK("https://www.sds-group.ru/product/trubka-termousazhivaemaya-tut-hf-2-1-16-8-krasnaya-rexant-21-6004-1/", "Инфо")</f>
        <v>Инфо</v>
      </c>
      <c r="F276" s="42" t="s">
        <v>1767</v>
      </c>
      <c r="G276" s="41" t="s">
        <v>40</v>
      </c>
      <c r="H276" s="41"/>
      <c r="I276" s="41"/>
      <c r="J276" s="43">
        <v>850</v>
      </c>
      <c r="K276" s="41" t="s">
        <v>1094</v>
      </c>
      <c r="L276" s="43">
        <v>50</v>
      </c>
      <c r="M276" s="43">
        <v>700</v>
      </c>
      <c r="N276" s="43">
        <v>50</v>
      </c>
      <c r="O276" s="44">
        <v>50.68</v>
      </c>
      <c r="P276" s="44">
        <v>41.54</v>
      </c>
      <c r="Q276" s="44">
        <v>43.08</v>
      </c>
      <c r="R276" s="44">
        <v>35.31</v>
      </c>
      <c r="S276" s="44">
        <v>34.46</v>
      </c>
      <c r="T276" s="44">
        <v>28.25</v>
      </c>
      <c r="U276" s="42"/>
      <c r="V276" s="42"/>
      <c r="W276" s="42" t="s">
        <v>40</v>
      </c>
      <c r="X276" s="45">
        <v>2.1999999999999999E-2</v>
      </c>
      <c r="Y276" s="46">
        <v>7.8999999999999996E-5</v>
      </c>
      <c r="Z276" s="21">
        <v>4601004341166</v>
      </c>
    </row>
    <row r="277" spans="1:26" ht="12" customHeight="1" outlineLevel="4" x14ac:dyDescent="0.2">
      <c r="A277" s="40" t="s">
        <v>4782</v>
      </c>
      <c r="B277" s="75" t="s">
        <v>4783</v>
      </c>
      <c r="C277" s="51"/>
      <c r="D277" s="54">
        <f t="shared" si="4"/>
        <v>0</v>
      </c>
      <c r="E277" s="61" t="str">
        <f>HYPERLINK("https://www.sds-group.ru/product/trubka-termousazhivaemaya-tut-hf-2-1-16-8-chernaya-rexant-21-6006-1/", "Инфо")</f>
        <v>Инфо</v>
      </c>
      <c r="F277" s="42" t="s">
        <v>1767</v>
      </c>
      <c r="G277" s="41" t="s">
        <v>40</v>
      </c>
      <c r="H277" s="41"/>
      <c r="I277" s="41"/>
      <c r="J277" s="47">
        <v>4450</v>
      </c>
      <c r="K277" s="41" t="s">
        <v>1094</v>
      </c>
      <c r="L277" s="43">
        <v>50</v>
      </c>
      <c r="M277" s="43">
        <v>700</v>
      </c>
      <c r="N277" s="43">
        <v>50</v>
      </c>
      <c r="O277" s="44">
        <v>46.25</v>
      </c>
      <c r="P277" s="44">
        <v>37.909999999999997</v>
      </c>
      <c r="Q277" s="44">
        <v>39.31</v>
      </c>
      <c r="R277" s="44">
        <v>32.22</v>
      </c>
      <c r="S277" s="44">
        <v>31.45</v>
      </c>
      <c r="T277" s="44">
        <v>25.78</v>
      </c>
      <c r="U277" s="42"/>
      <c r="V277" s="42"/>
      <c r="W277" s="42" t="s">
        <v>40</v>
      </c>
      <c r="X277" s="45">
        <v>0.02</v>
      </c>
      <c r="Y277" s="46">
        <v>7.6000000000000004E-5</v>
      </c>
      <c r="Z277" s="21">
        <v>4601004341180</v>
      </c>
    </row>
    <row r="278" spans="1:26" ht="12" customHeight="1" outlineLevel="4" x14ac:dyDescent="0.2">
      <c r="A278" s="40" t="s">
        <v>4784</v>
      </c>
      <c r="B278" s="75" t="s">
        <v>4785</v>
      </c>
      <c r="C278" s="51"/>
      <c r="D278" s="54">
        <f t="shared" si="4"/>
        <v>0</v>
      </c>
      <c r="E278" s="61" t="str">
        <f>HYPERLINK("https://www.sds-group.ru/product/trubka-termousazhivaemaya-tut-hf-2-1-2-1-belaya-rexant-20-2001-1/", "Инфо")</f>
        <v>Инфо</v>
      </c>
      <c r="F278" s="42" t="s">
        <v>1767</v>
      </c>
      <c r="G278" s="41" t="s">
        <v>40</v>
      </c>
      <c r="H278" s="41"/>
      <c r="I278" s="41"/>
      <c r="J278" s="47">
        <v>2400</v>
      </c>
      <c r="K278" s="41" t="s">
        <v>1094</v>
      </c>
      <c r="L278" s="43">
        <v>200</v>
      </c>
      <c r="M278" s="47">
        <v>4000</v>
      </c>
      <c r="N278" s="43">
        <v>200</v>
      </c>
      <c r="O278" s="44">
        <v>9.4600000000000009</v>
      </c>
      <c r="P278" s="44">
        <v>7.75</v>
      </c>
      <c r="Q278" s="44">
        <v>8.0399999999999991</v>
      </c>
      <c r="R278" s="44">
        <v>6.59</v>
      </c>
      <c r="S278" s="44">
        <v>6.43</v>
      </c>
      <c r="T278" s="44">
        <v>5.27</v>
      </c>
      <c r="U278" s="42"/>
      <c r="V278" s="42"/>
      <c r="W278" s="42" t="s">
        <v>40</v>
      </c>
      <c r="X278" s="45">
        <v>3.0000000000000001E-3</v>
      </c>
      <c r="Y278" s="46">
        <v>2.8E-5</v>
      </c>
      <c r="Z278" s="21">
        <v>4601004340800</v>
      </c>
    </row>
    <row r="279" spans="1:26" ht="12" customHeight="1" outlineLevel="4" x14ac:dyDescent="0.2">
      <c r="A279" s="40" t="s">
        <v>4786</v>
      </c>
      <c r="B279" s="75" t="s">
        <v>4787</v>
      </c>
      <c r="C279" s="51"/>
      <c r="D279" s="54">
        <f t="shared" si="4"/>
        <v>0</v>
      </c>
      <c r="E279" s="61" t="str">
        <f>HYPERLINK("https://www.sds-group.ru/product/trubka-termousazhivaemaya-tut-hf-2-1-2-1-krasnaya-rexant-20-2004-1/", "Инфо")</f>
        <v>Инфо</v>
      </c>
      <c r="F279" s="42" t="s">
        <v>1767</v>
      </c>
      <c r="G279" s="41" t="s">
        <v>40</v>
      </c>
      <c r="H279" s="41"/>
      <c r="I279" s="41"/>
      <c r="J279" s="42" t="s">
        <v>100</v>
      </c>
      <c r="K279" s="41" t="s">
        <v>1094</v>
      </c>
      <c r="L279" s="43">
        <v>200</v>
      </c>
      <c r="M279" s="47">
        <v>4000</v>
      </c>
      <c r="N279" s="43">
        <v>200</v>
      </c>
      <c r="O279" s="44">
        <v>9.4600000000000009</v>
      </c>
      <c r="P279" s="44">
        <v>7.75</v>
      </c>
      <c r="Q279" s="44">
        <v>8.0399999999999991</v>
      </c>
      <c r="R279" s="44">
        <v>6.59</v>
      </c>
      <c r="S279" s="44">
        <v>6.43</v>
      </c>
      <c r="T279" s="44">
        <v>5.27</v>
      </c>
      <c r="U279" s="42"/>
      <c r="V279" s="42"/>
      <c r="W279" s="42" t="s">
        <v>40</v>
      </c>
      <c r="X279" s="45">
        <v>3.0000000000000001E-3</v>
      </c>
      <c r="Y279" s="46">
        <v>2.8E-5</v>
      </c>
      <c r="Z279" s="21">
        <v>4601004340589</v>
      </c>
    </row>
    <row r="280" spans="1:26" ht="12" customHeight="1" outlineLevel="4" x14ac:dyDescent="0.2">
      <c r="A280" s="40" t="s">
        <v>4788</v>
      </c>
      <c r="B280" s="75" t="s">
        <v>4789</v>
      </c>
      <c r="C280" s="51"/>
      <c r="D280" s="54">
        <f t="shared" si="4"/>
        <v>0</v>
      </c>
      <c r="E280" s="61" t="str">
        <f>HYPERLINK("https://www.sds-group.ru/product/trubka-termousazhivaemaya-tut-hf-2-1-2-1-chernaya-rexant-20-2006-1/", "Инфо")</f>
        <v>Инфо</v>
      </c>
      <c r="F280" s="42" t="s">
        <v>1767</v>
      </c>
      <c r="G280" s="41" t="s">
        <v>40</v>
      </c>
      <c r="H280" s="41"/>
      <c r="I280" s="41"/>
      <c r="J280" s="47">
        <v>10200</v>
      </c>
      <c r="K280" s="41" t="s">
        <v>1094</v>
      </c>
      <c r="L280" s="43">
        <v>200</v>
      </c>
      <c r="M280" s="47">
        <v>4000</v>
      </c>
      <c r="N280" s="43">
        <v>200</v>
      </c>
      <c r="O280" s="44">
        <v>8.61</v>
      </c>
      <c r="P280" s="44">
        <v>7.06</v>
      </c>
      <c r="Q280" s="44">
        <v>7.32</v>
      </c>
      <c r="R280" s="44">
        <v>6</v>
      </c>
      <c r="S280" s="44">
        <v>5.85</v>
      </c>
      <c r="T280" s="44">
        <v>4.8</v>
      </c>
      <c r="U280" s="42"/>
      <c r="V280" s="42"/>
      <c r="W280" s="42" t="s">
        <v>40</v>
      </c>
      <c r="X280" s="45">
        <v>3.0000000000000001E-3</v>
      </c>
      <c r="Y280" s="46">
        <v>2.8E-5</v>
      </c>
      <c r="Z280" s="21">
        <v>4601004340596</v>
      </c>
    </row>
    <row r="281" spans="1:26" ht="12" customHeight="1" outlineLevel="4" x14ac:dyDescent="0.2">
      <c r="A281" s="40" t="s">
        <v>4790</v>
      </c>
      <c r="B281" s="75" t="s">
        <v>4791</v>
      </c>
      <c r="C281" s="51"/>
      <c r="D281" s="54">
        <f t="shared" si="4"/>
        <v>0</v>
      </c>
      <c r="E281" s="61" t="str">
        <f>HYPERLINK("https://www.sds-group.ru/product/trubka-termousazhivaemaya-tut-hf-2-1-20-10-belaya-rexant-22-0001-1/", "Инфо")</f>
        <v>Инфо</v>
      </c>
      <c r="F281" s="42" t="s">
        <v>1767</v>
      </c>
      <c r="G281" s="41" t="s">
        <v>40</v>
      </c>
      <c r="H281" s="41"/>
      <c r="I281" s="41"/>
      <c r="J281" s="43">
        <v>50</v>
      </c>
      <c r="K281" s="41" t="s">
        <v>1094</v>
      </c>
      <c r="L281" s="43">
        <v>50</v>
      </c>
      <c r="M281" s="43">
        <v>550</v>
      </c>
      <c r="N281" s="43">
        <v>50</v>
      </c>
      <c r="O281" s="44">
        <v>73.91</v>
      </c>
      <c r="P281" s="44">
        <v>60.58</v>
      </c>
      <c r="Q281" s="44">
        <v>62.82</v>
      </c>
      <c r="R281" s="44">
        <v>51.49</v>
      </c>
      <c r="S281" s="44">
        <v>50.26</v>
      </c>
      <c r="T281" s="44">
        <v>41.2</v>
      </c>
      <c r="U281" s="42"/>
      <c r="V281" s="42"/>
      <c r="W281" s="42" t="s">
        <v>40</v>
      </c>
      <c r="X281" s="45">
        <v>0.03</v>
      </c>
      <c r="Y281" s="46">
        <v>8.8999999999999995E-5</v>
      </c>
      <c r="Z281" s="21">
        <v>4601004341302</v>
      </c>
    </row>
    <row r="282" spans="1:26" ht="12" customHeight="1" outlineLevel="4" x14ac:dyDescent="0.2">
      <c r="A282" s="40" t="s">
        <v>4792</v>
      </c>
      <c r="B282" s="75" t="s">
        <v>4793</v>
      </c>
      <c r="C282" s="51"/>
      <c r="D282" s="54">
        <f t="shared" si="4"/>
        <v>0</v>
      </c>
      <c r="E282" s="61" t="str">
        <f>HYPERLINK("https://www.sds-group.ru/product/trubka-termousazhivaemaya-tut-hf-2-1-20-10-krasnaya-rexant-22-0004-1/", "Инфо")</f>
        <v>Инфо</v>
      </c>
      <c r="F282" s="42" t="s">
        <v>1767</v>
      </c>
      <c r="G282" s="41" t="s">
        <v>40</v>
      </c>
      <c r="H282" s="41"/>
      <c r="I282" s="41"/>
      <c r="J282" s="43">
        <v>450</v>
      </c>
      <c r="K282" s="41" t="s">
        <v>1094</v>
      </c>
      <c r="L282" s="43">
        <v>50</v>
      </c>
      <c r="M282" s="43">
        <v>550</v>
      </c>
      <c r="N282" s="43">
        <v>50</v>
      </c>
      <c r="O282" s="44">
        <v>73.91</v>
      </c>
      <c r="P282" s="44">
        <v>60.58</v>
      </c>
      <c r="Q282" s="44">
        <v>62.82</v>
      </c>
      <c r="R282" s="44">
        <v>51.49</v>
      </c>
      <c r="S282" s="44">
        <v>50.26</v>
      </c>
      <c r="T282" s="44">
        <v>41.2</v>
      </c>
      <c r="U282" s="42"/>
      <c r="V282" s="42"/>
      <c r="W282" s="42" t="s">
        <v>40</v>
      </c>
      <c r="X282" s="45">
        <v>2.9000000000000001E-2</v>
      </c>
      <c r="Y282" s="46">
        <v>7.4999999999999993E-5</v>
      </c>
      <c r="Z282" s="21">
        <v>4601004341319</v>
      </c>
    </row>
    <row r="283" spans="1:26" ht="12" customHeight="1" outlineLevel="4" x14ac:dyDescent="0.2">
      <c r="A283" s="40" t="s">
        <v>4794</v>
      </c>
      <c r="B283" s="75" t="s">
        <v>4795</v>
      </c>
      <c r="C283" s="51"/>
      <c r="D283" s="54">
        <f t="shared" si="4"/>
        <v>0</v>
      </c>
      <c r="E283" s="61" t="str">
        <f>HYPERLINK("https://www.sds-group.ru/product/trubka-termousazhivaemaya-tut-hf-2-1-20-10-chernaya-rexant-22-0008-1/", "Инфо")</f>
        <v>Инфо</v>
      </c>
      <c r="F283" s="42" t="s">
        <v>1767</v>
      </c>
      <c r="G283" s="41" t="s">
        <v>40</v>
      </c>
      <c r="H283" s="41"/>
      <c r="I283" s="41"/>
      <c r="J283" s="47">
        <v>2550</v>
      </c>
      <c r="K283" s="41" t="s">
        <v>1094</v>
      </c>
      <c r="L283" s="43">
        <v>50</v>
      </c>
      <c r="M283" s="43">
        <v>550</v>
      </c>
      <c r="N283" s="43">
        <v>50</v>
      </c>
      <c r="O283" s="44">
        <v>67.3</v>
      </c>
      <c r="P283" s="44">
        <v>55.16</v>
      </c>
      <c r="Q283" s="44">
        <v>57.21</v>
      </c>
      <c r="R283" s="44">
        <v>46.89</v>
      </c>
      <c r="S283" s="44">
        <v>45.76</v>
      </c>
      <c r="T283" s="44">
        <v>37.51</v>
      </c>
      <c r="U283" s="42"/>
      <c r="V283" s="42"/>
      <c r="W283" s="42" t="s">
        <v>40</v>
      </c>
      <c r="X283" s="45">
        <v>3.1E-2</v>
      </c>
      <c r="Y283" s="46">
        <v>9.1000000000000003E-5</v>
      </c>
      <c r="Z283" s="21">
        <v>4601004341326</v>
      </c>
    </row>
    <row r="284" spans="1:26" ht="12" customHeight="1" outlineLevel="4" x14ac:dyDescent="0.2">
      <c r="A284" s="40" t="s">
        <v>4796</v>
      </c>
      <c r="B284" s="75" t="s">
        <v>4797</v>
      </c>
      <c r="C284" s="51"/>
      <c r="D284" s="54">
        <f t="shared" si="4"/>
        <v>0</v>
      </c>
      <c r="E284" s="61" t="str">
        <f>HYPERLINK("https://www.sds-group.ru/product/trubka-termousazhivaemaya-tut-hf-2-1-25-12-5-belaya-rexant-22-5001-1/", "Инфо")</f>
        <v>Инфо</v>
      </c>
      <c r="F284" s="42" t="s">
        <v>1767</v>
      </c>
      <c r="G284" s="41" t="s">
        <v>40</v>
      </c>
      <c r="H284" s="41"/>
      <c r="I284" s="41"/>
      <c r="J284" s="43">
        <v>125</v>
      </c>
      <c r="K284" s="41" t="s">
        <v>1094</v>
      </c>
      <c r="L284" s="43">
        <v>25</v>
      </c>
      <c r="M284" s="43">
        <v>250</v>
      </c>
      <c r="N284" s="43">
        <v>25</v>
      </c>
      <c r="O284" s="44">
        <v>102.84</v>
      </c>
      <c r="P284" s="44">
        <v>84.3</v>
      </c>
      <c r="Q284" s="44">
        <v>87.41</v>
      </c>
      <c r="R284" s="44">
        <v>71.650000000000006</v>
      </c>
      <c r="S284" s="44">
        <v>69.930000000000007</v>
      </c>
      <c r="T284" s="44">
        <v>57.32</v>
      </c>
      <c r="U284" s="42"/>
      <c r="V284" s="42"/>
      <c r="W284" s="42" t="s">
        <v>40</v>
      </c>
      <c r="X284" s="45">
        <v>4.3999999999999997E-2</v>
      </c>
      <c r="Y284" s="46">
        <v>1.47E-4</v>
      </c>
      <c r="Z284" s="21">
        <v>4601004341470</v>
      </c>
    </row>
    <row r="285" spans="1:26" ht="12" customHeight="1" outlineLevel="4" x14ac:dyDescent="0.2">
      <c r="A285" s="40" t="s">
        <v>4798</v>
      </c>
      <c r="B285" s="75" t="s">
        <v>4799</v>
      </c>
      <c r="C285" s="51"/>
      <c r="D285" s="54">
        <f t="shared" si="4"/>
        <v>0</v>
      </c>
      <c r="E285" s="61" t="str">
        <f>HYPERLINK("https://www.sds-group.ru/product/trubka-termousazhivaemaya-tut-hf-2-1-25-12-5-krasnaya-rexant-22-5004-1/", "Инфо")</f>
        <v>Инфо</v>
      </c>
      <c r="F285" s="42" t="s">
        <v>1767</v>
      </c>
      <c r="G285" s="41" t="s">
        <v>40</v>
      </c>
      <c r="H285" s="41"/>
      <c r="I285" s="41"/>
      <c r="J285" s="43">
        <v>425</v>
      </c>
      <c r="K285" s="41" t="s">
        <v>1094</v>
      </c>
      <c r="L285" s="43">
        <v>25</v>
      </c>
      <c r="M285" s="43">
        <v>250</v>
      </c>
      <c r="N285" s="43">
        <v>25</v>
      </c>
      <c r="O285" s="44">
        <v>102.84</v>
      </c>
      <c r="P285" s="44">
        <v>84.3</v>
      </c>
      <c r="Q285" s="44">
        <v>87.41</v>
      </c>
      <c r="R285" s="44">
        <v>71.650000000000006</v>
      </c>
      <c r="S285" s="44">
        <v>69.930000000000007</v>
      </c>
      <c r="T285" s="44">
        <v>57.32</v>
      </c>
      <c r="U285" s="42"/>
      <c r="V285" s="42"/>
      <c r="W285" s="42" t="s">
        <v>40</v>
      </c>
      <c r="X285" s="45">
        <v>3.7999999999999999E-2</v>
      </c>
      <c r="Y285" s="46">
        <v>1.4899999999999999E-4</v>
      </c>
      <c r="Z285" s="21">
        <v>4601004341517</v>
      </c>
    </row>
    <row r="286" spans="1:26" ht="12" customHeight="1" outlineLevel="4" x14ac:dyDescent="0.2">
      <c r="A286" s="40" t="s">
        <v>4800</v>
      </c>
      <c r="B286" s="75" t="s">
        <v>4801</v>
      </c>
      <c r="C286" s="51"/>
      <c r="D286" s="54">
        <f t="shared" si="4"/>
        <v>0</v>
      </c>
      <c r="E286" s="61" t="str">
        <f>HYPERLINK("https://www.sds-group.ru/product/trubka-termousazhivaemaya-tut-hf-2-1-25-12-5-chernaya-rexant-22-5008-1/", "Инфо")</f>
        <v>Инфо</v>
      </c>
      <c r="F286" s="42" t="s">
        <v>1767</v>
      </c>
      <c r="G286" s="41" t="s">
        <v>40</v>
      </c>
      <c r="H286" s="41"/>
      <c r="I286" s="41"/>
      <c r="J286" s="47">
        <v>2475</v>
      </c>
      <c r="K286" s="41" t="s">
        <v>1094</v>
      </c>
      <c r="L286" s="43">
        <v>25</v>
      </c>
      <c r="M286" s="43">
        <v>250</v>
      </c>
      <c r="N286" s="43">
        <v>25</v>
      </c>
      <c r="O286" s="44">
        <v>93.77</v>
      </c>
      <c r="P286" s="44">
        <v>76.86</v>
      </c>
      <c r="Q286" s="44">
        <v>79.7</v>
      </c>
      <c r="R286" s="44">
        <v>65.33</v>
      </c>
      <c r="S286" s="44">
        <v>63.76</v>
      </c>
      <c r="T286" s="44">
        <v>52.26</v>
      </c>
      <c r="U286" s="42"/>
      <c r="V286" s="42"/>
      <c r="W286" s="42" t="s">
        <v>40</v>
      </c>
      <c r="X286" s="45">
        <v>3.7999999999999999E-2</v>
      </c>
      <c r="Y286" s="46">
        <v>1.4799999999999999E-4</v>
      </c>
      <c r="Z286" s="21">
        <v>4601004341524</v>
      </c>
    </row>
    <row r="287" spans="1:26" ht="12" customHeight="1" outlineLevel="4" x14ac:dyDescent="0.2">
      <c r="A287" s="40" t="s">
        <v>4802</v>
      </c>
      <c r="B287" s="75" t="s">
        <v>4803</v>
      </c>
      <c r="C287" s="51"/>
      <c r="D287" s="54">
        <f t="shared" si="4"/>
        <v>0</v>
      </c>
      <c r="E287" s="61" t="str">
        <f>HYPERLINK("https://www.sds-group.ru/product/trubka-termousazhivaemaya-tut-hf-2-1-3-1-5-belaya-rexant-20-3001-1/", "Инфо")</f>
        <v>Инфо</v>
      </c>
      <c r="F287" s="42" t="s">
        <v>1767</v>
      </c>
      <c r="G287" s="41" t="s">
        <v>40</v>
      </c>
      <c r="H287" s="41"/>
      <c r="I287" s="41"/>
      <c r="J287" s="47">
        <v>6800</v>
      </c>
      <c r="K287" s="41" t="s">
        <v>1094</v>
      </c>
      <c r="L287" s="43">
        <v>200</v>
      </c>
      <c r="M287" s="47">
        <v>4000</v>
      </c>
      <c r="N287" s="43">
        <v>200</v>
      </c>
      <c r="O287" s="44">
        <v>11.7</v>
      </c>
      <c r="P287" s="44">
        <v>9.59</v>
      </c>
      <c r="Q287" s="44">
        <v>9.9499999999999993</v>
      </c>
      <c r="R287" s="44">
        <v>8.16</v>
      </c>
      <c r="S287" s="44">
        <v>7.96</v>
      </c>
      <c r="T287" s="44">
        <v>6.52</v>
      </c>
      <c r="U287" s="42"/>
      <c r="V287" s="42"/>
      <c r="W287" s="42" t="s">
        <v>40</v>
      </c>
      <c r="X287" s="45">
        <v>4.0000000000000001E-3</v>
      </c>
      <c r="Y287" s="46">
        <v>3.6999999999999998E-5</v>
      </c>
      <c r="Z287" s="21">
        <v>4601004340657</v>
      </c>
    </row>
    <row r="288" spans="1:26" ht="12" customHeight="1" outlineLevel="4" x14ac:dyDescent="0.2">
      <c r="A288" s="40" t="s">
        <v>4804</v>
      </c>
      <c r="B288" s="75" t="s">
        <v>4805</v>
      </c>
      <c r="C288" s="51"/>
      <c r="D288" s="54">
        <f t="shared" si="4"/>
        <v>0</v>
      </c>
      <c r="E288" s="61" t="str">
        <f>HYPERLINK("https://www.sds-group.ru/product/trubka-termousazhivaemaya-tut-hf-2-1-3-1-5-krasnaya-rexant-20-3004-1/", "Инфо")</f>
        <v>Инфо</v>
      </c>
      <c r="F288" s="42" t="s">
        <v>1767</v>
      </c>
      <c r="G288" s="41" t="s">
        <v>40</v>
      </c>
      <c r="H288" s="41"/>
      <c r="I288" s="41"/>
      <c r="J288" s="42" t="s">
        <v>100</v>
      </c>
      <c r="K288" s="41" t="s">
        <v>1094</v>
      </c>
      <c r="L288" s="43">
        <v>200</v>
      </c>
      <c r="M288" s="47">
        <v>4000</v>
      </c>
      <c r="N288" s="43">
        <v>200</v>
      </c>
      <c r="O288" s="44">
        <v>11.7</v>
      </c>
      <c r="P288" s="44">
        <v>9.59</v>
      </c>
      <c r="Q288" s="44">
        <v>9.9499999999999993</v>
      </c>
      <c r="R288" s="44">
        <v>8.16</v>
      </c>
      <c r="S288" s="44">
        <v>7.96</v>
      </c>
      <c r="T288" s="44">
        <v>6.52</v>
      </c>
      <c r="U288" s="42"/>
      <c r="V288" s="42"/>
      <c r="W288" s="42" t="s">
        <v>40</v>
      </c>
      <c r="X288" s="45">
        <v>4.0000000000000001E-3</v>
      </c>
      <c r="Y288" s="46">
        <v>3.6999999999999998E-5</v>
      </c>
      <c r="Z288" s="21">
        <v>4601004340664</v>
      </c>
    </row>
    <row r="289" spans="1:26" ht="12" customHeight="1" outlineLevel="4" x14ac:dyDescent="0.2">
      <c r="A289" s="40" t="s">
        <v>4806</v>
      </c>
      <c r="B289" s="75" t="s">
        <v>4807</v>
      </c>
      <c r="C289" s="51"/>
      <c r="D289" s="54">
        <f t="shared" si="4"/>
        <v>0</v>
      </c>
      <c r="E289" s="61" t="str">
        <f>HYPERLINK("https://www.sds-group.ru/product/trubka-termousazhivaemaya-tut-hf-2-1-3-1-5-chernaya-rexant-20-3006-1/", "Инфо")</f>
        <v>Инфо</v>
      </c>
      <c r="F289" s="42" t="s">
        <v>1767</v>
      </c>
      <c r="G289" s="41" t="s">
        <v>40</v>
      </c>
      <c r="H289" s="41"/>
      <c r="I289" s="41"/>
      <c r="J289" s="42" t="s">
        <v>100</v>
      </c>
      <c r="K289" s="41" t="s">
        <v>1094</v>
      </c>
      <c r="L289" s="43">
        <v>200</v>
      </c>
      <c r="M289" s="47">
        <v>4000</v>
      </c>
      <c r="N289" s="43">
        <v>200</v>
      </c>
      <c r="O289" s="44">
        <v>10.61</v>
      </c>
      <c r="P289" s="44">
        <v>8.6999999999999993</v>
      </c>
      <c r="Q289" s="44">
        <v>9.02</v>
      </c>
      <c r="R289" s="44">
        <v>7.39</v>
      </c>
      <c r="S289" s="44">
        <v>7.21</v>
      </c>
      <c r="T289" s="44">
        <v>5.91</v>
      </c>
      <c r="U289" s="42"/>
      <c r="V289" s="42"/>
      <c r="W289" s="42" t="s">
        <v>40</v>
      </c>
      <c r="X289" s="45">
        <v>4.0000000000000001E-3</v>
      </c>
      <c r="Y289" s="46">
        <v>3.6999999999999998E-5</v>
      </c>
      <c r="Z289" s="21">
        <v>4601004340671</v>
      </c>
    </row>
    <row r="290" spans="1:26" ht="12" customHeight="1" outlineLevel="4" x14ac:dyDescent="0.2">
      <c r="A290" s="40" t="s">
        <v>4808</v>
      </c>
      <c r="B290" s="75" t="s">
        <v>4809</v>
      </c>
      <c r="C290" s="51"/>
      <c r="D290" s="54">
        <f t="shared" si="4"/>
        <v>0</v>
      </c>
      <c r="E290" s="61" t="str">
        <f>HYPERLINK("https://www.sds-group.ru/product/trubka-termousazhivaemaya-tut-hf-2-1-30-15-belaya-rexant-23-0001-1/", "Инфо")</f>
        <v>Инфо</v>
      </c>
      <c r="F290" s="42" t="s">
        <v>1767</v>
      </c>
      <c r="G290" s="41" t="s">
        <v>40</v>
      </c>
      <c r="H290" s="41"/>
      <c r="I290" s="41"/>
      <c r="J290" s="43">
        <v>200</v>
      </c>
      <c r="K290" s="41" t="s">
        <v>1094</v>
      </c>
      <c r="L290" s="43">
        <v>25</v>
      </c>
      <c r="M290" s="43">
        <v>250</v>
      </c>
      <c r="N290" s="43">
        <v>25</v>
      </c>
      <c r="O290" s="44">
        <v>136.58000000000001</v>
      </c>
      <c r="P290" s="44">
        <v>111.95</v>
      </c>
      <c r="Q290" s="44">
        <v>116.09</v>
      </c>
      <c r="R290" s="44">
        <v>95.16</v>
      </c>
      <c r="S290" s="44">
        <v>92.87</v>
      </c>
      <c r="T290" s="44">
        <v>76.12</v>
      </c>
      <c r="U290" s="42"/>
      <c r="V290" s="42"/>
      <c r="W290" s="42" t="s">
        <v>40</v>
      </c>
      <c r="X290" s="45">
        <v>4.9000000000000002E-2</v>
      </c>
      <c r="Y290" s="46">
        <v>1.95E-4</v>
      </c>
      <c r="Z290" s="21">
        <v>4601004341579</v>
      </c>
    </row>
    <row r="291" spans="1:26" ht="12" customHeight="1" outlineLevel="4" x14ac:dyDescent="0.2">
      <c r="A291" s="40" t="s">
        <v>4810</v>
      </c>
      <c r="B291" s="75" t="s">
        <v>4811</v>
      </c>
      <c r="C291" s="51"/>
      <c r="D291" s="54">
        <f t="shared" si="4"/>
        <v>0</v>
      </c>
      <c r="E291" s="61" t="str">
        <f>HYPERLINK("https://www.sds-group.ru/product/trubka-termousazhivaemaya-tut-hf-2-1-30-15-krasnaya-rexant-23-0004-1/", "Инфо")</f>
        <v>Инфо</v>
      </c>
      <c r="F291" s="42" t="s">
        <v>1767</v>
      </c>
      <c r="G291" s="41" t="s">
        <v>40</v>
      </c>
      <c r="H291" s="41"/>
      <c r="I291" s="41"/>
      <c r="J291" s="43">
        <v>75</v>
      </c>
      <c r="K291" s="41" t="s">
        <v>1094</v>
      </c>
      <c r="L291" s="43">
        <v>25</v>
      </c>
      <c r="M291" s="43">
        <v>250</v>
      </c>
      <c r="N291" s="43">
        <v>25</v>
      </c>
      <c r="O291" s="44">
        <v>136.58000000000001</v>
      </c>
      <c r="P291" s="44">
        <v>111.95</v>
      </c>
      <c r="Q291" s="44">
        <v>116.09</v>
      </c>
      <c r="R291" s="44">
        <v>95.16</v>
      </c>
      <c r="S291" s="44">
        <v>92.87</v>
      </c>
      <c r="T291" s="44">
        <v>76.12</v>
      </c>
      <c r="U291" s="42"/>
      <c r="V291" s="42"/>
      <c r="W291" s="42" t="s">
        <v>40</v>
      </c>
      <c r="X291" s="45">
        <v>0.05</v>
      </c>
      <c r="Y291" s="46">
        <v>1.4300000000000001E-4</v>
      </c>
      <c r="Z291" s="21">
        <v>4601004341586</v>
      </c>
    </row>
    <row r="292" spans="1:26" ht="12" customHeight="1" outlineLevel="4" x14ac:dyDescent="0.2">
      <c r="A292" s="40" t="s">
        <v>4812</v>
      </c>
      <c r="B292" s="75" t="s">
        <v>4813</v>
      </c>
      <c r="C292" s="51"/>
      <c r="D292" s="54">
        <f t="shared" si="4"/>
        <v>0</v>
      </c>
      <c r="E292" s="61" t="str">
        <f>HYPERLINK("https://www.sds-group.ru/product/trubka-termousazhivaemaya-tut-hf-2-1-30-15-chernaya-rexant-23-0006-1/", "Инфо")</f>
        <v>Инфо</v>
      </c>
      <c r="F292" s="42" t="s">
        <v>1767</v>
      </c>
      <c r="G292" s="41" t="s">
        <v>40</v>
      </c>
      <c r="H292" s="41"/>
      <c r="I292" s="41"/>
      <c r="J292" s="47">
        <v>1525</v>
      </c>
      <c r="K292" s="41" t="s">
        <v>1094</v>
      </c>
      <c r="L292" s="43">
        <v>25</v>
      </c>
      <c r="M292" s="43">
        <v>250</v>
      </c>
      <c r="N292" s="43">
        <v>25</v>
      </c>
      <c r="O292" s="44">
        <v>123.76</v>
      </c>
      <c r="P292" s="44">
        <v>101.44</v>
      </c>
      <c r="Q292" s="44">
        <v>105.2</v>
      </c>
      <c r="R292" s="44">
        <v>86.23</v>
      </c>
      <c r="S292" s="44">
        <v>84.16</v>
      </c>
      <c r="T292" s="44">
        <v>68.98</v>
      </c>
      <c r="U292" s="42"/>
      <c r="V292" s="42"/>
      <c r="W292" s="42" t="s">
        <v>40</v>
      </c>
      <c r="X292" s="45">
        <v>5.0999999999999997E-2</v>
      </c>
      <c r="Y292" s="46">
        <v>1.4899999999999999E-4</v>
      </c>
      <c r="Z292" s="21">
        <v>4601004341593</v>
      </c>
    </row>
    <row r="293" spans="1:26" ht="12" customHeight="1" outlineLevel="4" x14ac:dyDescent="0.2">
      <c r="A293" s="40" t="s">
        <v>4814</v>
      </c>
      <c r="B293" s="75" t="s">
        <v>4815</v>
      </c>
      <c r="C293" s="51"/>
      <c r="D293" s="54">
        <f t="shared" si="4"/>
        <v>0</v>
      </c>
      <c r="E293" s="61" t="str">
        <f>HYPERLINK("https://www.sds-group.ru/product/trubka-termousazhivaemaya-tut-hf-2-1-4-2-belaya-rexant-20-4001-1/", "Инфо")</f>
        <v>Инфо</v>
      </c>
      <c r="F293" s="42" t="s">
        <v>1767</v>
      </c>
      <c r="G293" s="41" t="s">
        <v>40</v>
      </c>
      <c r="H293" s="41"/>
      <c r="I293" s="41"/>
      <c r="J293" s="47">
        <v>7400</v>
      </c>
      <c r="K293" s="41" t="s">
        <v>1094</v>
      </c>
      <c r="L293" s="43">
        <v>200</v>
      </c>
      <c r="M293" s="47">
        <v>2200</v>
      </c>
      <c r="N293" s="43">
        <v>200</v>
      </c>
      <c r="O293" s="44">
        <v>14.74</v>
      </c>
      <c r="P293" s="44">
        <v>12.08</v>
      </c>
      <c r="Q293" s="44">
        <v>12.53</v>
      </c>
      <c r="R293" s="44">
        <v>10.27</v>
      </c>
      <c r="S293" s="44">
        <v>10.02</v>
      </c>
      <c r="T293" s="44">
        <v>8.2100000000000009</v>
      </c>
      <c r="U293" s="42"/>
      <c r="V293" s="42"/>
      <c r="W293" s="42" t="s">
        <v>40</v>
      </c>
      <c r="X293" s="45">
        <v>6.0000000000000001E-3</v>
      </c>
      <c r="Y293" s="46">
        <v>5.7000000000000003E-5</v>
      </c>
      <c r="Z293" s="21">
        <v>4601004340725</v>
      </c>
    </row>
    <row r="294" spans="1:26" ht="12" customHeight="1" outlineLevel="4" x14ac:dyDescent="0.2">
      <c r="A294" s="40" t="s">
        <v>4816</v>
      </c>
      <c r="B294" s="75" t="s">
        <v>4817</v>
      </c>
      <c r="C294" s="51"/>
      <c r="D294" s="54">
        <f t="shared" si="4"/>
        <v>0</v>
      </c>
      <c r="E294" s="61" t="str">
        <f>HYPERLINK("https://www.sds-group.ru/product/trubka-termousazhivaemaya-tut-hf-2-1-4-2-krasnaya-rexant-20-4004-1/", "Инфо")</f>
        <v>Инфо</v>
      </c>
      <c r="F294" s="42" t="s">
        <v>1767</v>
      </c>
      <c r="G294" s="41" t="s">
        <v>40</v>
      </c>
      <c r="H294" s="41"/>
      <c r="I294" s="41"/>
      <c r="J294" s="47">
        <v>3800</v>
      </c>
      <c r="K294" s="41" t="s">
        <v>1094</v>
      </c>
      <c r="L294" s="43">
        <v>200</v>
      </c>
      <c r="M294" s="47">
        <v>2200</v>
      </c>
      <c r="N294" s="43">
        <v>200</v>
      </c>
      <c r="O294" s="44">
        <v>14.74</v>
      </c>
      <c r="P294" s="44">
        <v>12.08</v>
      </c>
      <c r="Q294" s="44">
        <v>12.53</v>
      </c>
      <c r="R294" s="44">
        <v>10.27</v>
      </c>
      <c r="S294" s="44">
        <v>10.02</v>
      </c>
      <c r="T294" s="44">
        <v>8.2100000000000009</v>
      </c>
      <c r="U294" s="42"/>
      <c r="V294" s="42"/>
      <c r="W294" s="42" t="s">
        <v>40</v>
      </c>
      <c r="X294" s="45">
        <v>6.0000000000000001E-3</v>
      </c>
      <c r="Y294" s="46">
        <v>5.8E-5</v>
      </c>
      <c r="Z294" s="21">
        <v>4601004340732</v>
      </c>
    </row>
    <row r="295" spans="1:26" ht="12" customHeight="1" outlineLevel="4" x14ac:dyDescent="0.2">
      <c r="A295" s="40" t="s">
        <v>4818</v>
      </c>
      <c r="B295" s="75" t="s">
        <v>4819</v>
      </c>
      <c r="C295" s="51"/>
      <c r="D295" s="54">
        <f t="shared" si="4"/>
        <v>0</v>
      </c>
      <c r="E295" s="61" t="str">
        <f>HYPERLINK("https://www.sds-group.ru/product/trubka-termousazhivaemaya-tut-hf-2-1-4-2-chernaya-rexant-20-4006-1/", "Инфо")</f>
        <v>Инфо</v>
      </c>
      <c r="F295" s="42" t="s">
        <v>1767</v>
      </c>
      <c r="G295" s="41" t="s">
        <v>40</v>
      </c>
      <c r="H295" s="41"/>
      <c r="I295" s="41"/>
      <c r="J295" s="47">
        <v>23400</v>
      </c>
      <c r="K295" s="41" t="s">
        <v>1094</v>
      </c>
      <c r="L295" s="43">
        <v>200</v>
      </c>
      <c r="M295" s="47">
        <v>2200</v>
      </c>
      <c r="N295" s="43">
        <v>200</v>
      </c>
      <c r="O295" s="44">
        <v>13.36</v>
      </c>
      <c r="P295" s="44">
        <v>10.95</v>
      </c>
      <c r="Q295" s="44">
        <v>11.36</v>
      </c>
      <c r="R295" s="44">
        <v>9.31</v>
      </c>
      <c r="S295" s="44">
        <v>9.08</v>
      </c>
      <c r="T295" s="44">
        <v>7.44</v>
      </c>
      <c r="U295" s="42"/>
      <c r="V295" s="42"/>
      <c r="W295" s="42" t="s">
        <v>40</v>
      </c>
      <c r="X295" s="45">
        <v>6.0000000000000001E-3</v>
      </c>
      <c r="Y295" s="46">
        <v>5.5000000000000002E-5</v>
      </c>
      <c r="Z295" s="21">
        <v>4601004340749</v>
      </c>
    </row>
    <row r="296" spans="1:26" ht="12" customHeight="1" outlineLevel="4" x14ac:dyDescent="0.2">
      <c r="A296" s="40" t="s">
        <v>4820</v>
      </c>
      <c r="B296" s="75" t="s">
        <v>4821</v>
      </c>
      <c r="C296" s="51"/>
      <c r="D296" s="54">
        <f t="shared" si="4"/>
        <v>0</v>
      </c>
      <c r="E296" s="61" t="str">
        <f>HYPERLINK("https://www.sds-group.ru/product/trubka-termousazhivaemaya-tut-hf-2-1-40-20-krasnaya-rexant-24-0004-1/", "Инфо")</f>
        <v>Инфо</v>
      </c>
      <c r="F296" s="42" t="s">
        <v>1767</v>
      </c>
      <c r="G296" s="41" t="s">
        <v>40</v>
      </c>
      <c r="H296" s="41"/>
      <c r="I296" s="41"/>
      <c r="J296" s="42" t="s">
        <v>100</v>
      </c>
      <c r="K296" s="41" t="s">
        <v>1094</v>
      </c>
      <c r="L296" s="43">
        <v>25</v>
      </c>
      <c r="M296" s="43">
        <v>200</v>
      </c>
      <c r="N296" s="43">
        <v>25</v>
      </c>
      <c r="O296" s="44">
        <v>186.7</v>
      </c>
      <c r="P296" s="44">
        <v>153.03</v>
      </c>
      <c r="Q296" s="44">
        <v>158.69999999999999</v>
      </c>
      <c r="R296" s="44">
        <v>130.08000000000001</v>
      </c>
      <c r="S296" s="44">
        <v>126.96</v>
      </c>
      <c r="T296" s="44">
        <v>104.07</v>
      </c>
      <c r="U296" s="42"/>
      <c r="V296" s="42"/>
      <c r="W296" s="42" t="s">
        <v>40</v>
      </c>
      <c r="X296" s="45">
        <v>7.5999999999999998E-2</v>
      </c>
      <c r="Y296" s="46">
        <v>2.3599999999999999E-4</v>
      </c>
      <c r="Z296" s="21">
        <v>4601004341661</v>
      </c>
    </row>
    <row r="297" spans="1:26" ht="12" customHeight="1" outlineLevel="4" x14ac:dyDescent="0.2">
      <c r="A297" s="40" t="s">
        <v>4822</v>
      </c>
      <c r="B297" s="75" t="s">
        <v>4823</v>
      </c>
      <c r="C297" s="51"/>
      <c r="D297" s="54">
        <f t="shared" si="4"/>
        <v>0</v>
      </c>
      <c r="E297" s="61" t="str">
        <f>HYPERLINK("https://www.sds-group.ru/product/trubka-termousazhivaemaya-tut-hf-2-1-40-20-chernaya-rexant-24-0007-1/", "Инфо")</f>
        <v>Инфо</v>
      </c>
      <c r="F297" s="42" t="s">
        <v>1767</v>
      </c>
      <c r="G297" s="41" t="s">
        <v>40</v>
      </c>
      <c r="H297" s="41"/>
      <c r="I297" s="41"/>
      <c r="J297" s="47">
        <v>1125</v>
      </c>
      <c r="K297" s="41" t="s">
        <v>1094</v>
      </c>
      <c r="L297" s="43">
        <v>25</v>
      </c>
      <c r="M297" s="43">
        <v>200</v>
      </c>
      <c r="N297" s="43">
        <v>25</v>
      </c>
      <c r="O297" s="44">
        <v>169.76</v>
      </c>
      <c r="P297" s="44">
        <v>139.15</v>
      </c>
      <c r="Q297" s="44">
        <v>144.30000000000001</v>
      </c>
      <c r="R297" s="44">
        <v>118.28</v>
      </c>
      <c r="S297" s="44">
        <v>115.44</v>
      </c>
      <c r="T297" s="44">
        <v>94.62</v>
      </c>
      <c r="U297" s="42"/>
      <c r="V297" s="42"/>
      <c r="W297" s="42" t="s">
        <v>40</v>
      </c>
      <c r="X297" s="45">
        <v>7.6999999999999999E-2</v>
      </c>
      <c r="Y297" s="46">
        <v>2.3499999999999999E-4</v>
      </c>
      <c r="Z297" s="21">
        <v>4601004341678</v>
      </c>
    </row>
    <row r="298" spans="1:26" ht="12" customHeight="1" outlineLevel="4" x14ac:dyDescent="0.2">
      <c r="A298" s="40" t="s">
        <v>4824</v>
      </c>
      <c r="B298" s="75" t="s">
        <v>4825</v>
      </c>
      <c r="C298" s="51"/>
      <c r="D298" s="54">
        <f t="shared" si="4"/>
        <v>0</v>
      </c>
      <c r="E298" s="61" t="str">
        <f>HYPERLINK("https://www.sds-group.ru/product/trubka-termousazhivaemaya-tut-hf-2-1-6-3-belaya-rexant-20-6001-1/", "Инфо")</f>
        <v>Инфо</v>
      </c>
      <c r="F298" s="42" t="s">
        <v>1767</v>
      </c>
      <c r="G298" s="41" t="s">
        <v>40</v>
      </c>
      <c r="H298" s="41"/>
      <c r="I298" s="41"/>
      <c r="J298" s="47">
        <v>5200</v>
      </c>
      <c r="K298" s="41" t="s">
        <v>1094</v>
      </c>
      <c r="L298" s="43">
        <v>100</v>
      </c>
      <c r="M298" s="43">
        <v>700</v>
      </c>
      <c r="N298" s="43">
        <v>100</v>
      </c>
      <c r="O298" s="44">
        <v>22.09</v>
      </c>
      <c r="P298" s="44">
        <v>18.11</v>
      </c>
      <c r="Q298" s="44">
        <v>18.78</v>
      </c>
      <c r="R298" s="44">
        <v>15.39</v>
      </c>
      <c r="S298" s="44">
        <v>15.02</v>
      </c>
      <c r="T298" s="44">
        <v>12.31</v>
      </c>
      <c r="U298" s="42"/>
      <c r="V298" s="42"/>
      <c r="W298" s="42" t="s">
        <v>40</v>
      </c>
      <c r="X298" s="45">
        <v>1.0999999999999999E-2</v>
      </c>
      <c r="Y298" s="46">
        <v>1.08E-4</v>
      </c>
      <c r="Z298" s="21">
        <v>4601004340862</v>
      </c>
    </row>
    <row r="299" spans="1:26" ht="12" customHeight="1" outlineLevel="4" x14ac:dyDescent="0.2">
      <c r="A299" s="40" t="s">
        <v>4826</v>
      </c>
      <c r="B299" s="75" t="s">
        <v>4827</v>
      </c>
      <c r="C299" s="51"/>
      <c r="D299" s="54">
        <f t="shared" si="4"/>
        <v>0</v>
      </c>
      <c r="E299" s="61" t="str">
        <f>HYPERLINK("https://www.sds-group.ru/product/trubka-termousazhivaemaya-tut-hf-2-1-6-3-krasnaya-rexant-20-6004-1/", "Инфо")</f>
        <v>Инфо</v>
      </c>
      <c r="F299" s="42" t="s">
        <v>1767</v>
      </c>
      <c r="G299" s="41" t="s">
        <v>40</v>
      </c>
      <c r="H299" s="41"/>
      <c r="I299" s="41"/>
      <c r="J299" s="47">
        <v>3800</v>
      </c>
      <c r="K299" s="41" t="s">
        <v>1094</v>
      </c>
      <c r="L299" s="43">
        <v>100</v>
      </c>
      <c r="M299" s="43">
        <v>700</v>
      </c>
      <c r="N299" s="43">
        <v>100</v>
      </c>
      <c r="O299" s="44">
        <v>22.09</v>
      </c>
      <c r="P299" s="44">
        <v>18.11</v>
      </c>
      <c r="Q299" s="44">
        <v>18.78</v>
      </c>
      <c r="R299" s="44">
        <v>15.39</v>
      </c>
      <c r="S299" s="44">
        <v>15.02</v>
      </c>
      <c r="T299" s="44">
        <v>12.31</v>
      </c>
      <c r="U299" s="42"/>
      <c r="V299" s="42"/>
      <c r="W299" s="42" t="s">
        <v>40</v>
      </c>
      <c r="X299" s="45">
        <v>1.0999999999999999E-2</v>
      </c>
      <c r="Y299" s="46">
        <v>1.07E-4</v>
      </c>
      <c r="Z299" s="21">
        <v>4601004340879</v>
      </c>
    </row>
    <row r="300" spans="1:26" ht="12" customHeight="1" outlineLevel="4" x14ac:dyDescent="0.2">
      <c r="A300" s="40" t="s">
        <v>4828</v>
      </c>
      <c r="B300" s="75" t="s">
        <v>4829</v>
      </c>
      <c r="C300" s="51"/>
      <c r="D300" s="54">
        <f t="shared" si="4"/>
        <v>0</v>
      </c>
      <c r="E300" s="61" t="str">
        <f>HYPERLINK("https://www.sds-group.ru/product/trubka-termousazhivaemaya-tut-hf-2-1-6-3-chernaya-rexant-20-6006-1/", "Инфо")</f>
        <v>Инфо</v>
      </c>
      <c r="F300" s="42" t="s">
        <v>1767</v>
      </c>
      <c r="G300" s="41" t="s">
        <v>40</v>
      </c>
      <c r="H300" s="41"/>
      <c r="I300" s="41"/>
      <c r="J300" s="47">
        <v>15400</v>
      </c>
      <c r="K300" s="41" t="s">
        <v>1094</v>
      </c>
      <c r="L300" s="43">
        <v>100</v>
      </c>
      <c r="M300" s="43">
        <v>700</v>
      </c>
      <c r="N300" s="43">
        <v>100</v>
      </c>
      <c r="O300" s="44">
        <v>20.170000000000002</v>
      </c>
      <c r="P300" s="44">
        <v>16.53</v>
      </c>
      <c r="Q300" s="44">
        <v>17.14</v>
      </c>
      <c r="R300" s="44">
        <v>14.05</v>
      </c>
      <c r="S300" s="44">
        <v>13.72</v>
      </c>
      <c r="T300" s="44">
        <v>11.25</v>
      </c>
      <c r="U300" s="42"/>
      <c r="V300" s="42"/>
      <c r="W300" s="42" t="s">
        <v>40</v>
      </c>
      <c r="X300" s="45">
        <v>1.0999999999999999E-2</v>
      </c>
      <c r="Y300" s="46">
        <v>1.08E-4</v>
      </c>
      <c r="Z300" s="21">
        <v>4601004340886</v>
      </c>
    </row>
    <row r="301" spans="1:26" ht="12" customHeight="1" outlineLevel="4" x14ac:dyDescent="0.2">
      <c r="A301" s="40" t="s">
        <v>4830</v>
      </c>
      <c r="B301" s="75" t="s">
        <v>4831</v>
      </c>
      <c r="C301" s="51"/>
      <c r="D301" s="54">
        <f t="shared" si="4"/>
        <v>0</v>
      </c>
      <c r="E301" s="61" t="str">
        <f>HYPERLINK("https://www.sds-group.ru/product/trubka-termousazhivaemaya-tut-hf-2-1-8-4-belaya-rexant-20-8001-1/", "Инфо")</f>
        <v>Инфо</v>
      </c>
      <c r="F301" s="42" t="s">
        <v>1767</v>
      </c>
      <c r="G301" s="41" t="s">
        <v>40</v>
      </c>
      <c r="H301" s="41"/>
      <c r="I301" s="41"/>
      <c r="J301" s="47">
        <v>2000</v>
      </c>
      <c r="K301" s="41" t="s">
        <v>1094</v>
      </c>
      <c r="L301" s="43">
        <v>100</v>
      </c>
      <c r="M301" s="47">
        <v>2100</v>
      </c>
      <c r="N301" s="43">
        <v>100</v>
      </c>
      <c r="O301" s="44">
        <v>24.57</v>
      </c>
      <c r="P301" s="44">
        <v>20.14</v>
      </c>
      <c r="Q301" s="44">
        <v>20.88</v>
      </c>
      <c r="R301" s="44">
        <v>17.11</v>
      </c>
      <c r="S301" s="44">
        <v>16.71</v>
      </c>
      <c r="T301" s="44">
        <v>13.7</v>
      </c>
      <c r="U301" s="42"/>
      <c r="V301" s="42"/>
      <c r="W301" s="42" t="s">
        <v>40</v>
      </c>
      <c r="X301" s="45">
        <v>1.0999999999999999E-2</v>
      </c>
      <c r="Y301" s="46">
        <v>5.5999999999999999E-5</v>
      </c>
      <c r="Z301" s="21">
        <v>4601004340930</v>
      </c>
    </row>
    <row r="302" spans="1:26" ht="12" customHeight="1" outlineLevel="4" x14ac:dyDescent="0.2">
      <c r="A302" s="40" t="s">
        <v>4832</v>
      </c>
      <c r="B302" s="75" t="s">
        <v>4833</v>
      </c>
      <c r="C302" s="51"/>
      <c r="D302" s="54">
        <f t="shared" si="4"/>
        <v>0</v>
      </c>
      <c r="E302" s="61" t="str">
        <f>HYPERLINK("https://www.sds-group.ru/product/trubka-termousazhivaemaya-tut-hf-2-1-8-4-krasnaya-rexant-20-8004-1/", "Инфо")</f>
        <v>Инфо</v>
      </c>
      <c r="F302" s="42" t="s">
        <v>1767</v>
      </c>
      <c r="G302" s="41" t="s">
        <v>40</v>
      </c>
      <c r="H302" s="41"/>
      <c r="I302" s="41"/>
      <c r="J302" s="47">
        <v>1100</v>
      </c>
      <c r="K302" s="41" t="s">
        <v>1094</v>
      </c>
      <c r="L302" s="43">
        <v>100</v>
      </c>
      <c r="M302" s="47">
        <v>2100</v>
      </c>
      <c r="N302" s="43">
        <v>100</v>
      </c>
      <c r="O302" s="44">
        <v>24.57</v>
      </c>
      <c r="P302" s="44">
        <v>20.14</v>
      </c>
      <c r="Q302" s="44">
        <v>20.88</v>
      </c>
      <c r="R302" s="44">
        <v>17.11</v>
      </c>
      <c r="S302" s="44">
        <v>16.71</v>
      </c>
      <c r="T302" s="44">
        <v>13.7</v>
      </c>
      <c r="U302" s="42"/>
      <c r="V302" s="42"/>
      <c r="W302" s="42" t="s">
        <v>40</v>
      </c>
      <c r="X302" s="45">
        <v>1.0999999999999999E-2</v>
      </c>
      <c r="Y302" s="46">
        <v>5.5000000000000002E-5</v>
      </c>
      <c r="Z302" s="21">
        <v>4601004340947</v>
      </c>
    </row>
    <row r="303" spans="1:26" ht="12" customHeight="1" outlineLevel="4" x14ac:dyDescent="0.2">
      <c r="A303" s="40" t="s">
        <v>4834</v>
      </c>
      <c r="B303" s="75" t="s">
        <v>4835</v>
      </c>
      <c r="C303" s="51"/>
      <c r="D303" s="54">
        <f t="shared" si="4"/>
        <v>0</v>
      </c>
      <c r="E303" s="61" t="str">
        <f>HYPERLINK("https://www.sds-group.ru/product/trubka-termousazhivaemaya-tut-hf-2-1-8-4-chernaya-rexant-20-8006-1/", "Инфо")</f>
        <v>Инфо</v>
      </c>
      <c r="F303" s="42" t="s">
        <v>1767</v>
      </c>
      <c r="G303" s="41" t="s">
        <v>40</v>
      </c>
      <c r="H303" s="41"/>
      <c r="I303" s="41"/>
      <c r="J303" s="42" t="s">
        <v>100</v>
      </c>
      <c r="K303" s="41" t="s">
        <v>1094</v>
      </c>
      <c r="L303" s="43">
        <v>100</v>
      </c>
      <c r="M303" s="47">
        <v>2100</v>
      </c>
      <c r="N303" s="43">
        <v>100</v>
      </c>
      <c r="O303" s="44">
        <v>22.29</v>
      </c>
      <c r="P303" s="44">
        <v>18.27</v>
      </c>
      <c r="Q303" s="44">
        <v>18.95</v>
      </c>
      <c r="R303" s="44">
        <v>15.53</v>
      </c>
      <c r="S303" s="44">
        <v>15.16</v>
      </c>
      <c r="T303" s="44">
        <v>12.43</v>
      </c>
      <c r="U303" s="42"/>
      <c r="V303" s="42"/>
      <c r="W303" s="42" t="s">
        <v>40</v>
      </c>
      <c r="X303" s="45">
        <v>0.01</v>
      </c>
      <c r="Y303" s="46">
        <v>5.7000000000000003E-5</v>
      </c>
      <c r="Z303" s="21">
        <v>4601004340954</v>
      </c>
    </row>
    <row r="304" spans="1:26" ht="12.95" customHeight="1" outlineLevel="2" x14ac:dyDescent="0.2">
      <c r="A304" s="76" t="s">
        <v>4859</v>
      </c>
      <c r="B304" s="76"/>
      <c r="C304" s="77"/>
      <c r="D304" s="58"/>
      <c r="E304" s="68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.95" customHeight="1" outlineLevel="3" x14ac:dyDescent="0.2">
      <c r="A305" s="76" t="s">
        <v>4927</v>
      </c>
      <c r="B305" s="76"/>
      <c r="C305" s="77"/>
      <c r="D305" s="58"/>
      <c r="E305" s="68"/>
      <c r="F305" s="30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 spans="1:26" ht="12" customHeight="1" outlineLevel="4" x14ac:dyDescent="0.2">
      <c r="A306" s="40" t="s">
        <v>4944</v>
      </c>
      <c r="B306" s="75" t="s">
        <v>4945</v>
      </c>
      <c r="C306" s="51"/>
      <c r="D306" s="54">
        <f t="shared" si="4"/>
        <v>0</v>
      </c>
      <c r="E306" s="61" t="str">
        <f>HYPERLINK("https://www.sds-group.ru/product/izolenta-pvh-professionalnaya-0-18h50mm-10m-chernaya-kranz-KR-09-2850/", "Инфо")</f>
        <v>Инфо</v>
      </c>
      <c r="F306" s="42" t="s">
        <v>4839</v>
      </c>
      <c r="G306" s="41" t="s">
        <v>40</v>
      </c>
      <c r="H306" s="41"/>
      <c r="I306" s="41"/>
      <c r="J306" s="43">
        <v>379</v>
      </c>
      <c r="K306" s="41" t="s">
        <v>4926</v>
      </c>
      <c r="L306" s="43">
        <v>5</v>
      </c>
      <c r="M306" s="43">
        <v>100</v>
      </c>
      <c r="N306" s="43">
        <v>5</v>
      </c>
      <c r="O306" s="44">
        <v>136.97</v>
      </c>
      <c r="P306" s="44">
        <v>112.27</v>
      </c>
      <c r="Q306" s="44">
        <v>116.42</v>
      </c>
      <c r="R306" s="44">
        <v>95.43</v>
      </c>
      <c r="S306" s="44">
        <v>93.14</v>
      </c>
      <c r="T306" s="44">
        <v>76.34</v>
      </c>
      <c r="U306" s="42"/>
      <c r="V306" s="42"/>
      <c r="W306" s="42" t="s">
        <v>40</v>
      </c>
      <c r="X306" s="45">
        <v>0.14599999999999999</v>
      </c>
      <c r="Y306" s="46">
        <v>2.5599999999999999E-4</v>
      </c>
      <c r="Z306" s="21">
        <v>4601004342712</v>
      </c>
    </row>
    <row r="307" spans="1:26" ht="12" customHeight="1" outlineLevel="4" x14ac:dyDescent="0.2">
      <c r="A307" s="40" t="s">
        <v>4946</v>
      </c>
      <c r="B307" s="75" t="s">
        <v>4947</v>
      </c>
      <c r="C307" s="51"/>
      <c r="D307" s="54">
        <f t="shared" si="4"/>
        <v>0</v>
      </c>
      <c r="E307" s="61" t="str">
        <f>HYPERLINK("https://www.sds-group.ru/product/izolenta-pvh-professionalnaya-morozostoykaya-0-18h19mm-20m-chernaya-kranz-KR-09-2826/", "Инфо")</f>
        <v>Инфо</v>
      </c>
      <c r="F307" s="42" t="s">
        <v>4839</v>
      </c>
      <c r="G307" s="41" t="s">
        <v>40</v>
      </c>
      <c r="H307" s="41"/>
      <c r="I307" s="41"/>
      <c r="J307" s="47">
        <v>8073</v>
      </c>
      <c r="K307" s="41"/>
      <c r="L307" s="43">
        <v>5</v>
      </c>
      <c r="M307" s="43">
        <v>120</v>
      </c>
      <c r="N307" s="43">
        <v>5</v>
      </c>
      <c r="O307" s="44">
        <v>331.89</v>
      </c>
      <c r="P307" s="44">
        <v>272.04000000000002</v>
      </c>
      <c r="Q307" s="44">
        <v>302.02</v>
      </c>
      <c r="R307" s="44">
        <v>247.56</v>
      </c>
      <c r="S307" s="44">
        <v>225.69</v>
      </c>
      <c r="T307" s="44">
        <v>184.99</v>
      </c>
      <c r="U307" s="42"/>
      <c r="V307" s="42"/>
      <c r="W307" s="42" t="s">
        <v>40</v>
      </c>
      <c r="X307" s="45">
        <v>0.125</v>
      </c>
      <c r="Y307" s="46">
        <v>2.4699999999999999E-4</v>
      </c>
      <c r="Z307" s="21">
        <v>4601004335271</v>
      </c>
    </row>
    <row r="308" spans="1:26" ht="12" customHeight="1" outlineLevel="4" x14ac:dyDescent="0.2">
      <c r="A308" s="40" t="s">
        <v>4948</v>
      </c>
      <c r="B308" s="75" t="s">
        <v>4949</v>
      </c>
      <c r="C308" s="51"/>
      <c r="D308" s="54">
        <f t="shared" si="4"/>
        <v>0</v>
      </c>
      <c r="E308" s="61" t="str">
        <f>HYPERLINK("https://www.sds-group.ru/product/izolenta-pvh-professionalnaya-termostoykaya-0-18h19mm-20m-chernaya-kranz-KR-09-2816/", "Инфо")</f>
        <v>Инфо</v>
      </c>
      <c r="F308" s="42" t="s">
        <v>4839</v>
      </c>
      <c r="G308" s="41" t="s">
        <v>40</v>
      </c>
      <c r="H308" s="41"/>
      <c r="I308" s="41"/>
      <c r="J308" s="47">
        <v>10181</v>
      </c>
      <c r="K308" s="41"/>
      <c r="L308" s="43">
        <v>5</v>
      </c>
      <c r="M308" s="43">
        <v>120</v>
      </c>
      <c r="N308" s="43">
        <v>5</v>
      </c>
      <c r="O308" s="44">
        <v>289.16000000000003</v>
      </c>
      <c r="P308" s="44">
        <v>237.02</v>
      </c>
      <c r="Q308" s="44">
        <v>263.14</v>
      </c>
      <c r="R308" s="44">
        <v>215.69</v>
      </c>
      <c r="S308" s="44">
        <v>196.63</v>
      </c>
      <c r="T308" s="44">
        <v>161.16999999999999</v>
      </c>
      <c r="U308" s="42"/>
      <c r="V308" s="42"/>
      <c r="W308" s="42" t="s">
        <v>40</v>
      </c>
      <c r="X308" s="45">
        <v>0.127</v>
      </c>
      <c r="Y308" s="46">
        <v>2.5399999999999999E-4</v>
      </c>
      <c r="Z308" s="21">
        <v>4601004335264</v>
      </c>
    </row>
    <row r="309" spans="1:26" ht="12.95" customHeight="1" outlineLevel="1" x14ac:dyDescent="0.2">
      <c r="A309" s="78" t="s">
        <v>5543</v>
      </c>
      <c r="B309" s="78"/>
      <c r="C309" s="79"/>
      <c r="D309" s="57"/>
      <c r="E309" s="67"/>
      <c r="F309" s="29"/>
      <c r="G309" s="29"/>
      <c r="H309" s="29"/>
      <c r="I309" s="29"/>
      <c r="J309" s="29"/>
      <c r="K309" s="29"/>
      <c r="L309" s="29"/>
      <c r="M309" s="29"/>
      <c r="N309" s="29"/>
      <c r="O309" s="29"/>
      <c r="P309" s="29"/>
      <c r="Q309" s="29"/>
      <c r="R309" s="29"/>
      <c r="S309" s="29"/>
      <c r="T309" s="29"/>
      <c r="U309" s="29"/>
      <c r="V309" s="29"/>
      <c r="W309" s="29"/>
      <c r="X309" s="29"/>
      <c r="Y309" s="29"/>
      <c r="Z309" s="29"/>
    </row>
    <row r="310" spans="1:26" ht="12.95" customHeight="1" outlineLevel="2" x14ac:dyDescent="0.2">
      <c r="A310" s="76" t="s">
        <v>5544</v>
      </c>
      <c r="B310" s="76"/>
      <c r="C310" s="77"/>
      <c r="D310" s="58"/>
      <c r="E310" s="68"/>
      <c r="F310" s="30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 spans="1:26" ht="12.95" customHeight="1" outlineLevel="3" x14ac:dyDescent="0.2">
      <c r="A311" s="76" t="s">
        <v>5586</v>
      </c>
      <c r="B311" s="76"/>
      <c r="C311" s="77"/>
      <c r="D311" s="58"/>
      <c r="E311" s="68"/>
      <c r="F311" s="30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 spans="1:26" ht="12" customHeight="1" outlineLevel="4" x14ac:dyDescent="0.2">
      <c r="A312" s="40" t="s">
        <v>5593</v>
      </c>
      <c r="B312" s="75" t="s">
        <v>5594</v>
      </c>
      <c r="C312" s="51"/>
      <c r="D312" s="54">
        <f t="shared" si="4"/>
        <v>0</v>
      </c>
      <c r="E312" s="61" t="str">
        <f>HYPERLINK("https://www.sds-group.ru/product/korpus-plastikovyy-kmpn-12-ip65-rexant-11-0512/", "Инфо")</f>
        <v>Инфо</v>
      </c>
      <c r="F312" s="42" t="s">
        <v>39</v>
      </c>
      <c r="G312" s="41" t="s">
        <v>40</v>
      </c>
      <c r="H312" s="41"/>
      <c r="I312" s="41"/>
      <c r="J312" s="43">
        <v>772</v>
      </c>
      <c r="K312" s="41"/>
      <c r="L312" s="43">
        <v>1</v>
      </c>
      <c r="M312" s="43">
        <v>20</v>
      </c>
      <c r="N312" s="43">
        <v>1</v>
      </c>
      <c r="O312" s="44">
        <v>2263.73</v>
      </c>
      <c r="P312" s="44">
        <v>1855.52</v>
      </c>
      <c r="Q312" s="44">
        <v>1743.07</v>
      </c>
      <c r="R312" s="44">
        <v>1428.75</v>
      </c>
      <c r="S312" s="44">
        <v>1539.34</v>
      </c>
      <c r="T312" s="44">
        <v>1261.75</v>
      </c>
      <c r="U312" s="42" t="s">
        <v>5589</v>
      </c>
      <c r="V312" s="42" t="s">
        <v>5590</v>
      </c>
      <c r="W312" s="42" t="s">
        <v>40</v>
      </c>
      <c r="X312" s="45">
        <v>1.075</v>
      </c>
      <c r="Y312" s="46">
        <v>5.5599999999999998E-3</v>
      </c>
      <c r="Z312" s="21">
        <v>4601004342019</v>
      </c>
    </row>
    <row r="313" spans="1:26" ht="12" customHeight="1" outlineLevel="4" x14ac:dyDescent="0.2">
      <c r="A313" s="40" t="s">
        <v>5597</v>
      </c>
      <c r="B313" s="75" t="s">
        <v>5598</v>
      </c>
      <c r="C313" s="51"/>
      <c r="D313" s="54">
        <f t="shared" si="4"/>
        <v>0</v>
      </c>
      <c r="E313" s="61" t="str">
        <f>HYPERLINK("https://www.sds-group.ru/product/korpus-plastikovyy-kmpn-8-ip65-rexant-11-0508/", "Инфо")</f>
        <v>Инфо</v>
      </c>
      <c r="F313" s="42" t="s">
        <v>39</v>
      </c>
      <c r="G313" s="41" t="s">
        <v>40</v>
      </c>
      <c r="H313" s="41"/>
      <c r="I313" s="41"/>
      <c r="J313" s="43">
        <v>810</v>
      </c>
      <c r="K313" s="41"/>
      <c r="L313" s="43">
        <v>1</v>
      </c>
      <c r="M313" s="43">
        <v>30</v>
      </c>
      <c r="N313" s="43">
        <v>1</v>
      </c>
      <c r="O313" s="44">
        <v>1420</v>
      </c>
      <c r="P313" s="44">
        <v>1163.93</v>
      </c>
      <c r="Q313" s="44">
        <v>1121.8</v>
      </c>
      <c r="R313" s="44">
        <v>919.51</v>
      </c>
      <c r="S313" s="44">
        <v>965.6</v>
      </c>
      <c r="T313" s="44">
        <v>791.48</v>
      </c>
      <c r="U313" s="42" t="s">
        <v>5589</v>
      </c>
      <c r="V313" s="42" t="s">
        <v>5590</v>
      </c>
      <c r="W313" s="42" t="s">
        <v>40</v>
      </c>
      <c r="X313" s="45">
        <v>0.66</v>
      </c>
      <c r="Y313" s="46">
        <v>3.3040000000000001E-3</v>
      </c>
      <c r="Z313" s="21">
        <v>4601004342002</v>
      </c>
    </row>
    <row r="314" spans="1:26" ht="12" customHeight="1" outlineLevel="4" x14ac:dyDescent="0.2">
      <c r="A314" s="40" t="s">
        <v>5599</v>
      </c>
      <c r="B314" s="75" t="s">
        <v>5600</v>
      </c>
      <c r="C314" s="51"/>
      <c r="D314" s="54">
        <f t="shared" si="4"/>
        <v>0</v>
      </c>
      <c r="E314" s="61" t="str">
        <f>HYPERLINK("https://www.sds-group.ru/product/korpus-plastikovyy-s-kryshkoy-kmpn-2-2-ip30-na-1-2-modulya-belyy-rexant-11-0122/", "Инфо")</f>
        <v>Инфо</v>
      </c>
      <c r="F314" s="42" t="s">
        <v>39</v>
      </c>
      <c r="G314" s="41" t="s">
        <v>40</v>
      </c>
      <c r="H314" s="41"/>
      <c r="I314" s="41"/>
      <c r="J314" s="47">
        <v>5426</v>
      </c>
      <c r="K314" s="41"/>
      <c r="L314" s="43">
        <v>5</v>
      </c>
      <c r="M314" s="43">
        <v>80</v>
      </c>
      <c r="N314" s="43">
        <v>5</v>
      </c>
      <c r="O314" s="44">
        <v>223.96</v>
      </c>
      <c r="P314" s="44">
        <v>183.57</v>
      </c>
      <c r="Q314" s="44">
        <v>190.37</v>
      </c>
      <c r="R314" s="44">
        <v>156.04</v>
      </c>
      <c r="S314" s="44">
        <v>152.29</v>
      </c>
      <c r="T314" s="44">
        <v>124.83</v>
      </c>
      <c r="U314" s="42" t="s">
        <v>5589</v>
      </c>
      <c r="V314" s="42" t="s">
        <v>5590</v>
      </c>
      <c r="W314" s="42" t="s">
        <v>40</v>
      </c>
      <c r="X314" s="45">
        <v>9.2999999999999999E-2</v>
      </c>
      <c r="Y314" s="46">
        <v>6.6399999999999999E-4</v>
      </c>
      <c r="Z314" s="21">
        <v>4601004341968</v>
      </c>
    </row>
    <row r="315" spans="1:26" ht="12" customHeight="1" outlineLevel="4" x14ac:dyDescent="0.2">
      <c r="A315" s="40" t="s">
        <v>5601</v>
      </c>
      <c r="B315" s="75" t="s">
        <v>5602</v>
      </c>
      <c r="C315" s="51"/>
      <c r="D315" s="54">
        <f t="shared" si="4"/>
        <v>0</v>
      </c>
      <c r="E315" s="61" t="str">
        <f>HYPERLINK("https://www.sds-group.ru/product/korpus-plastikovyy-s-kryshkoy-kmpn-2-4-ip30-na-2-4-modulya-belyy-rexant-11-0124/", "Инфо")</f>
        <v>Инфо</v>
      </c>
      <c r="F315" s="42" t="s">
        <v>39</v>
      </c>
      <c r="G315" s="41" t="s">
        <v>40</v>
      </c>
      <c r="H315" s="41"/>
      <c r="I315" s="41"/>
      <c r="J315" s="47">
        <v>4756</v>
      </c>
      <c r="K315" s="41"/>
      <c r="L315" s="43">
        <v>5</v>
      </c>
      <c r="M315" s="43">
        <v>40</v>
      </c>
      <c r="N315" s="43">
        <v>5</v>
      </c>
      <c r="O315" s="44">
        <v>254.87</v>
      </c>
      <c r="P315" s="44">
        <v>208.91</v>
      </c>
      <c r="Q315" s="44">
        <v>216.64</v>
      </c>
      <c r="R315" s="44">
        <v>177.57</v>
      </c>
      <c r="S315" s="44">
        <v>173.31</v>
      </c>
      <c r="T315" s="44">
        <v>142.06</v>
      </c>
      <c r="U315" s="42" t="s">
        <v>5589</v>
      </c>
      <c r="V315" s="42" t="s">
        <v>5590</v>
      </c>
      <c r="W315" s="42" t="s">
        <v>40</v>
      </c>
      <c r="X315" s="45">
        <v>0.13500000000000001</v>
      </c>
      <c r="Y315" s="46">
        <v>1.317E-3</v>
      </c>
      <c r="Z315" s="21">
        <v>4601004341975</v>
      </c>
    </row>
    <row r="316" spans="1:26" ht="12" customHeight="1" outlineLevel="4" x14ac:dyDescent="0.2">
      <c r="A316" s="40" t="s">
        <v>5603</v>
      </c>
      <c r="B316" s="75" t="s">
        <v>5604</v>
      </c>
      <c r="C316" s="51"/>
      <c r="D316" s="54">
        <f t="shared" si="4"/>
        <v>0</v>
      </c>
      <c r="E316" s="61" t="str">
        <f>HYPERLINK("https://www.sds-group.ru/product/korpus-plastikovyy-s-kryshkoy-kmpn-2-6-8-ip30-na-6-8-moduley-belyy-rexant-11-0128/", "Инфо")</f>
        <v>Инфо</v>
      </c>
      <c r="F316" s="42" t="s">
        <v>39</v>
      </c>
      <c r="G316" s="41" t="s">
        <v>40</v>
      </c>
      <c r="H316" s="41"/>
      <c r="I316" s="41"/>
      <c r="J316" s="47">
        <v>1624</v>
      </c>
      <c r="K316" s="41"/>
      <c r="L316" s="43">
        <v>1</v>
      </c>
      <c r="M316" s="43">
        <v>24</v>
      </c>
      <c r="N316" s="43">
        <v>1</v>
      </c>
      <c r="O316" s="44">
        <v>392.2</v>
      </c>
      <c r="P316" s="44">
        <v>321.48</v>
      </c>
      <c r="Q316" s="44">
        <v>333.37</v>
      </c>
      <c r="R316" s="44">
        <v>273.25</v>
      </c>
      <c r="S316" s="44">
        <v>266.7</v>
      </c>
      <c r="T316" s="44">
        <v>218.61</v>
      </c>
      <c r="U316" s="42" t="s">
        <v>5589</v>
      </c>
      <c r="V316" s="42" t="s">
        <v>5590</v>
      </c>
      <c r="W316" s="42" t="s">
        <v>40</v>
      </c>
      <c r="X316" s="45">
        <v>0.22500000000000001</v>
      </c>
      <c r="Y316" s="46">
        <v>2.1879999999999998E-3</v>
      </c>
      <c r="Z316" s="21">
        <v>4601004341982</v>
      </c>
    </row>
    <row r="317" spans="1:26" ht="12.95" customHeight="1" outlineLevel="1" x14ac:dyDescent="0.2">
      <c r="A317" s="78" t="s">
        <v>5663</v>
      </c>
      <c r="B317" s="78"/>
      <c r="C317" s="79"/>
      <c r="D317" s="57"/>
      <c r="E317" s="67"/>
      <c r="F317" s="29"/>
      <c r="G317" s="29"/>
      <c r="H317" s="29"/>
      <c r="I317" s="29"/>
      <c r="J317" s="29"/>
      <c r="K317" s="29"/>
      <c r="L317" s="29"/>
      <c r="M317" s="29"/>
      <c r="N317" s="29"/>
      <c r="O317" s="29"/>
      <c r="P317" s="29"/>
      <c r="Q317" s="29"/>
      <c r="R317" s="29"/>
      <c r="S317" s="29"/>
      <c r="T317" s="29"/>
      <c r="U317" s="29"/>
      <c r="V317" s="29"/>
      <c r="W317" s="29"/>
      <c r="X317" s="29"/>
      <c r="Y317" s="29"/>
      <c r="Z317" s="29"/>
    </row>
    <row r="318" spans="1:26" ht="12.95" customHeight="1" outlineLevel="2" x14ac:dyDescent="0.2">
      <c r="A318" s="76" t="s">
        <v>5695</v>
      </c>
      <c r="B318" s="76"/>
      <c r="C318" s="77"/>
      <c r="D318" s="58"/>
      <c r="E318" s="68"/>
      <c r="F318" s="30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 spans="1:26" ht="12" customHeight="1" outlineLevel="3" x14ac:dyDescent="0.2">
      <c r="A319" s="40" t="s">
        <v>5698</v>
      </c>
      <c r="B319" s="75" t="s">
        <v>5699</v>
      </c>
      <c r="C319" s="51"/>
      <c r="D319" s="54">
        <f t="shared" si="4"/>
        <v>0</v>
      </c>
      <c r="E319" s="62"/>
      <c r="F319" s="42" t="s">
        <v>1001</v>
      </c>
      <c r="G319" s="41" t="s">
        <v>40</v>
      </c>
      <c r="H319" s="41" t="s">
        <v>40</v>
      </c>
      <c r="I319" s="41"/>
      <c r="J319" s="43">
        <v>169</v>
      </c>
      <c r="K319" s="41"/>
      <c r="L319" s="43">
        <v>1</v>
      </c>
      <c r="M319" s="47">
        <v>1500</v>
      </c>
      <c r="N319" s="43">
        <v>1</v>
      </c>
      <c r="O319" s="44">
        <v>343.24</v>
      </c>
      <c r="P319" s="44">
        <v>281.33999999999997</v>
      </c>
      <c r="Q319" s="44">
        <v>291.75</v>
      </c>
      <c r="R319" s="44">
        <v>239.14</v>
      </c>
      <c r="S319" s="44">
        <v>233.4</v>
      </c>
      <c r="T319" s="44">
        <v>191.31</v>
      </c>
      <c r="U319" s="42"/>
      <c r="V319" s="42"/>
      <c r="W319" s="42" t="s">
        <v>40</v>
      </c>
      <c r="X319" s="45">
        <v>2.5999999999999999E-2</v>
      </c>
      <c r="Y319" s="46">
        <v>2.2000000000000001E-4</v>
      </c>
      <c r="Z319" s="21">
        <v>4601004343689</v>
      </c>
    </row>
    <row r="320" spans="1:26" ht="12.95" customHeight="1" x14ac:dyDescent="0.2">
      <c r="A320" s="80" t="s">
        <v>6166</v>
      </c>
      <c r="B320" s="80"/>
      <c r="C320" s="81"/>
      <c r="D320" s="56"/>
      <c r="E320" s="66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  <c r="W320" s="28"/>
      <c r="X320" s="28"/>
      <c r="Y320" s="28"/>
      <c r="Z320" s="28"/>
    </row>
    <row r="321" spans="1:26" ht="12.95" customHeight="1" outlineLevel="1" x14ac:dyDescent="0.2">
      <c r="A321" s="78" t="s">
        <v>6167</v>
      </c>
      <c r="B321" s="78"/>
      <c r="C321" s="79"/>
      <c r="D321" s="57"/>
      <c r="E321" s="67"/>
      <c r="F321" s="29"/>
      <c r="G321" s="29"/>
      <c r="H321" s="29"/>
      <c r="I321" s="29"/>
      <c r="J321" s="29"/>
      <c r="K321" s="29"/>
      <c r="L321" s="29"/>
      <c r="M321" s="29"/>
      <c r="N321" s="29"/>
      <c r="O321" s="29"/>
      <c r="P321" s="29"/>
      <c r="Q321" s="29"/>
      <c r="R321" s="29"/>
      <c r="S321" s="29"/>
      <c r="T321" s="29"/>
      <c r="U321" s="29"/>
      <c r="V321" s="29"/>
      <c r="W321" s="29"/>
      <c r="X321" s="29"/>
      <c r="Y321" s="29"/>
      <c r="Z321" s="29"/>
    </row>
    <row r="322" spans="1:26" ht="12.95" customHeight="1" outlineLevel="2" x14ac:dyDescent="0.2">
      <c r="A322" s="76" t="s">
        <v>6340</v>
      </c>
      <c r="B322" s="76"/>
      <c r="C322" s="77"/>
      <c r="D322" s="58"/>
      <c r="E322" s="68"/>
      <c r="F322" s="30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 spans="1:26" ht="12.95" customHeight="1" outlineLevel="3" x14ac:dyDescent="0.2">
      <c r="A323" s="76" t="s">
        <v>6341</v>
      </c>
      <c r="B323" s="76"/>
      <c r="C323" s="77"/>
      <c r="D323" s="58"/>
      <c r="E323" s="68"/>
      <c r="F323" s="30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 spans="1:26" ht="12" customHeight="1" outlineLevel="4" x14ac:dyDescent="0.2">
      <c r="A324" s="40" t="s">
        <v>6347</v>
      </c>
      <c r="B324" s="75" t="s">
        <v>6348</v>
      </c>
      <c r="C324" s="51"/>
      <c r="D324" s="54">
        <f t="shared" si="4"/>
        <v>0</v>
      </c>
      <c r="E324" s="61" t="str">
        <f>HYPERLINK("https://www.sds-group.ru/product/bokorezy-kombinirovannye-150mm-tehnologiya-legkogo-nazhima-kranz-KR-12-4614-2/", "Инфо")</f>
        <v>Инфо</v>
      </c>
      <c r="F324" s="42" t="s">
        <v>39</v>
      </c>
      <c r="G324" s="41" t="s">
        <v>40</v>
      </c>
      <c r="H324" s="41"/>
      <c r="I324" s="41"/>
      <c r="J324" s="43">
        <v>960</v>
      </c>
      <c r="K324" s="41"/>
      <c r="L324" s="43">
        <v>1</v>
      </c>
      <c r="M324" s="43">
        <v>60</v>
      </c>
      <c r="N324" s="43">
        <v>1</v>
      </c>
      <c r="O324" s="44">
        <v>963.21</v>
      </c>
      <c r="P324" s="44">
        <v>789.52</v>
      </c>
      <c r="Q324" s="44">
        <v>770.57</v>
      </c>
      <c r="R324" s="44">
        <v>631.61</v>
      </c>
      <c r="S324" s="44">
        <v>654.98</v>
      </c>
      <c r="T324" s="44">
        <v>536.87</v>
      </c>
      <c r="U324" s="42"/>
      <c r="V324" s="42"/>
      <c r="W324" s="42" t="s">
        <v>40</v>
      </c>
      <c r="X324" s="45">
        <v>0.27400000000000002</v>
      </c>
      <c r="Y324" s="46">
        <v>5.7899999999999998E-4</v>
      </c>
      <c r="Z324" s="21">
        <v>4601004298040</v>
      </c>
    </row>
    <row r="325" spans="1:26" ht="12" customHeight="1" outlineLevel="4" x14ac:dyDescent="0.2">
      <c r="A325" s="40" t="s">
        <v>6349</v>
      </c>
      <c r="B325" s="75" t="s">
        <v>6350</v>
      </c>
      <c r="C325" s="51"/>
      <c r="D325" s="54">
        <f t="shared" si="4"/>
        <v>0</v>
      </c>
      <c r="E325" s="61" t="str">
        <f>HYPERLINK("https://www.sds-group.ru/product/bokorezy-kombinirovannye-200mm-tehnologiya-legkogo-nazhima-kranz-KR-12-4616-2/", "Инфо")</f>
        <v>Инфо</v>
      </c>
      <c r="F325" s="42" t="s">
        <v>39</v>
      </c>
      <c r="G325" s="41" t="s">
        <v>40</v>
      </c>
      <c r="H325" s="41"/>
      <c r="I325" s="41"/>
      <c r="J325" s="47">
        <v>1194</v>
      </c>
      <c r="K325" s="41"/>
      <c r="L325" s="43">
        <v>1</v>
      </c>
      <c r="M325" s="43">
        <v>60</v>
      </c>
      <c r="N325" s="43">
        <v>1</v>
      </c>
      <c r="O325" s="44">
        <v>1164.48</v>
      </c>
      <c r="P325" s="44">
        <v>954.49</v>
      </c>
      <c r="Q325" s="44">
        <v>931.58</v>
      </c>
      <c r="R325" s="44">
        <v>763.59</v>
      </c>
      <c r="S325" s="44">
        <v>791.85</v>
      </c>
      <c r="T325" s="44">
        <v>649.05999999999995</v>
      </c>
      <c r="U325" s="42"/>
      <c r="V325" s="42"/>
      <c r="W325" s="42" t="s">
        <v>40</v>
      </c>
      <c r="X325" s="45">
        <v>0.36099999999999999</v>
      </c>
      <c r="Y325" s="46">
        <v>7.3300000000000004E-4</v>
      </c>
      <c r="Z325" s="21">
        <v>4601004298033</v>
      </c>
    </row>
    <row r="326" spans="1:26" ht="12.95" customHeight="1" outlineLevel="3" x14ac:dyDescent="0.2">
      <c r="A326" s="76" t="s">
        <v>6360</v>
      </c>
      <c r="B326" s="76"/>
      <c r="C326" s="77"/>
      <c r="D326" s="58"/>
      <c r="E326" s="68"/>
      <c r="F326" s="30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 spans="1:26" ht="12" customHeight="1" outlineLevel="4" x14ac:dyDescent="0.2">
      <c r="A327" s="40" t="s">
        <v>6365</v>
      </c>
      <c r="B327" s="75" t="s">
        <v>6366</v>
      </c>
      <c r="C327" s="51"/>
      <c r="D327" s="54">
        <f t="shared" si="4"/>
        <v>0</v>
      </c>
      <c r="E327" s="61" t="str">
        <f>HYPERLINK("https://www.sds-group.ru/product/ploskogubtsy-kombinirovannye-175mm-tehnologiya-legkogo-nazhima-kranz-KR-12-4611-2/", "Инфо")</f>
        <v>Инфо</v>
      </c>
      <c r="F327" s="42" t="s">
        <v>39</v>
      </c>
      <c r="G327" s="41" t="s">
        <v>40</v>
      </c>
      <c r="H327" s="41"/>
      <c r="I327" s="41"/>
      <c r="J327" s="47">
        <v>2184</v>
      </c>
      <c r="K327" s="41"/>
      <c r="L327" s="43">
        <v>1</v>
      </c>
      <c r="M327" s="43">
        <v>60</v>
      </c>
      <c r="N327" s="43">
        <v>1</v>
      </c>
      <c r="O327" s="44">
        <v>1035.08</v>
      </c>
      <c r="P327" s="44">
        <v>848.43</v>
      </c>
      <c r="Q327" s="44">
        <v>828.06</v>
      </c>
      <c r="R327" s="44">
        <v>678.74</v>
      </c>
      <c r="S327" s="44">
        <v>703.85</v>
      </c>
      <c r="T327" s="44">
        <v>576.92999999999995</v>
      </c>
      <c r="U327" s="42"/>
      <c r="V327" s="42"/>
      <c r="W327" s="42" t="s">
        <v>40</v>
      </c>
      <c r="X327" s="45">
        <v>0.30299999999999999</v>
      </c>
      <c r="Y327" s="46">
        <v>6.8999999999999997E-4</v>
      </c>
      <c r="Z327" s="21">
        <v>4601004338005</v>
      </c>
    </row>
    <row r="328" spans="1:26" ht="12" customHeight="1" outlineLevel="4" x14ac:dyDescent="0.2">
      <c r="A328" s="40" t="s">
        <v>6371</v>
      </c>
      <c r="B328" s="75" t="s">
        <v>6372</v>
      </c>
      <c r="C328" s="51"/>
      <c r="D328" s="54">
        <f t="shared" si="4"/>
        <v>0</v>
      </c>
      <c r="E328" s="61" t="str">
        <f>HYPERLINK("https://www.sds-group.ru/product/ploskogubtsy-kombinirovannye-200mm-tehnologiya-legkogo-nazhima-kranz-KR-12-4613-2/", "Инфо")</f>
        <v>Инфо</v>
      </c>
      <c r="F328" s="42" t="s">
        <v>39</v>
      </c>
      <c r="G328" s="41" t="s">
        <v>40</v>
      </c>
      <c r="H328" s="41"/>
      <c r="I328" s="41"/>
      <c r="J328" s="47">
        <v>1471</v>
      </c>
      <c r="K328" s="41"/>
      <c r="L328" s="43">
        <v>1</v>
      </c>
      <c r="M328" s="43">
        <v>60</v>
      </c>
      <c r="N328" s="43">
        <v>1</v>
      </c>
      <c r="O328" s="44">
        <v>1164.48</v>
      </c>
      <c r="P328" s="44">
        <v>954.49</v>
      </c>
      <c r="Q328" s="44">
        <v>931.58</v>
      </c>
      <c r="R328" s="44">
        <v>763.59</v>
      </c>
      <c r="S328" s="44">
        <v>791.85</v>
      </c>
      <c r="T328" s="44">
        <v>649.05999999999995</v>
      </c>
      <c r="U328" s="42"/>
      <c r="V328" s="42"/>
      <c r="W328" s="42" t="s">
        <v>40</v>
      </c>
      <c r="X328" s="45">
        <v>0.36599999999999999</v>
      </c>
      <c r="Y328" s="46">
        <v>7.6099999999999996E-4</v>
      </c>
      <c r="Z328" s="21">
        <v>4601004298026</v>
      </c>
    </row>
    <row r="329" spans="1:26" ht="12.95" customHeight="1" outlineLevel="2" x14ac:dyDescent="0.2">
      <c r="A329" s="76" t="s">
        <v>6449</v>
      </c>
      <c r="B329" s="76"/>
      <c r="C329" s="77"/>
      <c r="D329" s="58"/>
      <c r="E329" s="68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.95" customHeight="1" outlineLevel="3" x14ac:dyDescent="0.2">
      <c r="A330" s="76" t="s">
        <v>6512</v>
      </c>
      <c r="B330" s="76"/>
      <c r="C330" s="77"/>
      <c r="D330" s="58"/>
      <c r="E330" s="68"/>
      <c r="F330" s="30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 spans="1:26" ht="12" customHeight="1" outlineLevel="4" x14ac:dyDescent="0.2">
      <c r="A331" s="40" t="s">
        <v>6535</v>
      </c>
      <c r="B331" s="75" t="s">
        <v>6536</v>
      </c>
      <c r="C331" s="51"/>
      <c r="D331" s="54">
        <f t="shared" ref="D331:D393" si="5">C331*(O331-O331*$G$3)</f>
        <v>0</v>
      </c>
      <c r="E331" s="61" t="str">
        <f>HYPERLINK("https://www.sds-group.ru/product/nabor-shestigrannyh-udarnyh-tortsevyh-golovok-1-2-38mm-10-predmetov-10-24mm-metallicheski-KR-12-8422/", "Инфо")</f>
        <v>Инфо</v>
      </c>
      <c r="F331" s="42" t="s">
        <v>4698</v>
      </c>
      <c r="G331" s="41" t="s">
        <v>40</v>
      </c>
      <c r="H331" s="41"/>
      <c r="I331" s="41"/>
      <c r="J331" s="43">
        <v>319</v>
      </c>
      <c r="K331" s="41"/>
      <c r="L331" s="43">
        <v>1</v>
      </c>
      <c r="M331" s="43">
        <v>15</v>
      </c>
      <c r="N331" s="43">
        <v>1</v>
      </c>
      <c r="O331" s="44">
        <v>2263.84</v>
      </c>
      <c r="P331" s="44">
        <v>1855.61</v>
      </c>
      <c r="Q331" s="44">
        <v>1584.69</v>
      </c>
      <c r="R331" s="44">
        <v>1298.93</v>
      </c>
      <c r="S331" s="44">
        <v>1539.41</v>
      </c>
      <c r="T331" s="44">
        <v>1261.81</v>
      </c>
      <c r="U331" s="42"/>
      <c r="V331" s="42"/>
      <c r="W331" s="42"/>
      <c r="X331" s="45">
        <v>1.429</v>
      </c>
      <c r="Y331" s="46">
        <v>1.673E-3</v>
      </c>
      <c r="Z331" s="21">
        <v>4601004315792</v>
      </c>
    </row>
    <row r="332" spans="1:26" ht="12" customHeight="1" outlineLevel="4" x14ac:dyDescent="0.2">
      <c r="A332" s="40" t="s">
        <v>6537</v>
      </c>
      <c r="B332" s="75" t="s">
        <v>6538</v>
      </c>
      <c r="C332" s="51"/>
      <c r="D332" s="54">
        <f t="shared" si="5"/>
        <v>0</v>
      </c>
      <c r="E332" s="61" t="str">
        <f>HYPERLINK("https://www.sds-group.ru/product/nabor-shestigrannyh-udarnyh-tortsevyh-golovok-1-2-78mm-12-predmetov-10-24mm-metallicheski-KR-12-8421/", "Инфо")</f>
        <v>Инфо</v>
      </c>
      <c r="F332" s="42" t="s">
        <v>4698</v>
      </c>
      <c r="G332" s="41" t="s">
        <v>40</v>
      </c>
      <c r="H332" s="41"/>
      <c r="I332" s="41"/>
      <c r="J332" s="43">
        <v>242</v>
      </c>
      <c r="K332" s="41" t="s">
        <v>1055</v>
      </c>
      <c r="L332" s="43">
        <v>1</v>
      </c>
      <c r="M332" s="43">
        <v>5</v>
      </c>
      <c r="N332" s="43">
        <v>1</v>
      </c>
      <c r="O332" s="44">
        <v>3975</v>
      </c>
      <c r="P332" s="44">
        <v>3258.2</v>
      </c>
      <c r="Q332" s="44">
        <v>2782.5</v>
      </c>
      <c r="R332" s="44">
        <v>2280.7399999999998</v>
      </c>
      <c r="S332" s="44">
        <v>2703</v>
      </c>
      <c r="T332" s="44">
        <v>2215.5700000000002</v>
      </c>
      <c r="U332" s="42"/>
      <c r="V332" s="42"/>
      <c r="W332" s="42"/>
      <c r="X332" s="45">
        <v>2.9580000000000002</v>
      </c>
      <c r="Y332" s="46">
        <v>2.5509999999999999E-3</v>
      </c>
      <c r="Z332" s="21">
        <v>4601004315785</v>
      </c>
    </row>
    <row r="333" spans="1:26" ht="12" customHeight="1" outlineLevel="4" x14ac:dyDescent="0.2">
      <c r="A333" s="40" t="s">
        <v>6539</v>
      </c>
      <c r="B333" s="75" t="s">
        <v>6540</v>
      </c>
      <c r="C333" s="51"/>
      <c r="D333" s="54">
        <f t="shared" si="5"/>
        <v>0</v>
      </c>
      <c r="E333" s="61" t="str">
        <f>HYPERLINK("https://www.sds-group.ru/product/nabor-shestigrannyh-udarnyh-tortsevyh-golovok-1-2-78mm-20-predmetov-8-32mm-plastikovyy-ke-KR-12-8420/", "Инфо")</f>
        <v>Инфо</v>
      </c>
      <c r="F333" s="42" t="s">
        <v>4698</v>
      </c>
      <c r="G333" s="41" t="s">
        <v>40</v>
      </c>
      <c r="H333" s="41"/>
      <c r="I333" s="41"/>
      <c r="J333" s="42" t="s">
        <v>100</v>
      </c>
      <c r="K333" s="41" t="s">
        <v>1055</v>
      </c>
      <c r="L333" s="43">
        <v>1</v>
      </c>
      <c r="M333" s="43">
        <v>4</v>
      </c>
      <c r="N333" s="43">
        <v>1</v>
      </c>
      <c r="O333" s="44">
        <v>4929</v>
      </c>
      <c r="P333" s="44">
        <v>4040.16</v>
      </c>
      <c r="Q333" s="44">
        <v>3450.3</v>
      </c>
      <c r="R333" s="44">
        <v>2828.11</v>
      </c>
      <c r="S333" s="44">
        <v>3351.72</v>
      </c>
      <c r="T333" s="44">
        <v>2747.31</v>
      </c>
      <c r="U333" s="42"/>
      <c r="V333" s="42"/>
      <c r="W333" s="42"/>
      <c r="X333" s="45">
        <v>5.3769999999999998</v>
      </c>
      <c r="Y333" s="46">
        <v>9.6579999999999999E-3</v>
      </c>
      <c r="Z333" s="21">
        <v>4601004315778</v>
      </c>
    </row>
    <row r="334" spans="1:26" ht="12" customHeight="1" outlineLevel="4" x14ac:dyDescent="0.2">
      <c r="A334" s="40" t="s">
        <v>6541</v>
      </c>
      <c r="B334" s="75" t="s">
        <v>6542</v>
      </c>
      <c r="C334" s="51"/>
      <c r="D334" s="54">
        <f t="shared" si="5"/>
        <v>0</v>
      </c>
      <c r="E334" s="61" t="str">
        <f>HYPERLINK("https://www.sds-group.ru/product/nabor-shestigrannyh-udarnyh-udlinennyh-tortsevyh-golovok-dlya-kolesnyh-diskov-1-2-3-predm-KR-12-8423/", "Инфо")</f>
        <v>Инфо</v>
      </c>
      <c r="F334" s="42" t="s">
        <v>4698</v>
      </c>
      <c r="G334" s="41" t="s">
        <v>40</v>
      </c>
      <c r="H334" s="41"/>
      <c r="I334" s="41"/>
      <c r="J334" s="43">
        <v>113</v>
      </c>
      <c r="K334" s="41" t="s">
        <v>1055</v>
      </c>
      <c r="L334" s="43">
        <v>1</v>
      </c>
      <c r="M334" s="43">
        <v>20</v>
      </c>
      <c r="N334" s="43">
        <v>1</v>
      </c>
      <c r="O334" s="44">
        <v>1272</v>
      </c>
      <c r="P334" s="44">
        <v>1042.6199999999999</v>
      </c>
      <c r="Q334" s="44">
        <v>890.4</v>
      </c>
      <c r="R334" s="44">
        <v>729.84</v>
      </c>
      <c r="S334" s="44">
        <v>864.96</v>
      </c>
      <c r="T334" s="44">
        <v>708.98</v>
      </c>
      <c r="U334" s="42"/>
      <c r="V334" s="42"/>
      <c r="W334" s="42"/>
      <c r="X334" s="45">
        <v>0.746</v>
      </c>
      <c r="Y334" s="46">
        <v>1.3240000000000001E-3</v>
      </c>
      <c r="Z334" s="21">
        <v>4601004315808</v>
      </c>
    </row>
    <row r="335" spans="1:26" ht="12" customHeight="1" outlineLevel="4" x14ac:dyDescent="0.2">
      <c r="A335" s="40" t="s">
        <v>6543</v>
      </c>
      <c r="B335" s="75" t="s">
        <v>6544</v>
      </c>
      <c r="C335" s="51"/>
      <c r="D335" s="54">
        <f t="shared" si="5"/>
        <v>0</v>
      </c>
      <c r="E335" s="61" t="str">
        <f>HYPERLINK("https://www.sds-group.ru/product/perehodnik-udarnyy-f3-4-h-m1-2-kranz-KR-12-8430/", "Инфо")</f>
        <v>Инфо</v>
      </c>
      <c r="F335" s="42" t="s">
        <v>39</v>
      </c>
      <c r="G335" s="41" t="s">
        <v>40</v>
      </c>
      <c r="H335" s="41"/>
      <c r="I335" s="41"/>
      <c r="J335" s="42" t="s">
        <v>100</v>
      </c>
      <c r="K335" s="41" t="s">
        <v>1055</v>
      </c>
      <c r="L335" s="43">
        <v>5</v>
      </c>
      <c r="M335" s="43">
        <v>100</v>
      </c>
      <c r="N335" s="43">
        <v>5</v>
      </c>
      <c r="O335" s="44">
        <v>592.91</v>
      </c>
      <c r="P335" s="44">
        <v>485.99</v>
      </c>
      <c r="Q335" s="44">
        <v>415.04</v>
      </c>
      <c r="R335" s="44">
        <v>340.2</v>
      </c>
      <c r="S335" s="44">
        <v>403.18</v>
      </c>
      <c r="T335" s="44">
        <v>330.48</v>
      </c>
      <c r="U335" s="42"/>
      <c r="V335" s="42"/>
      <c r="W335" s="42"/>
      <c r="X335" s="45">
        <v>0.311</v>
      </c>
      <c r="Y335" s="46">
        <v>2.9300000000000002E-4</v>
      </c>
      <c r="Z335" s="21">
        <v>4601004315815</v>
      </c>
    </row>
    <row r="336" spans="1:26" ht="12" customHeight="1" outlineLevel="4" x14ac:dyDescent="0.2">
      <c r="A336" s="40" t="s">
        <v>6545</v>
      </c>
      <c r="B336" s="75" t="s">
        <v>6546</v>
      </c>
      <c r="C336" s="51"/>
      <c r="D336" s="54">
        <f t="shared" si="5"/>
        <v>0</v>
      </c>
      <c r="E336" s="61" t="str">
        <f>HYPERLINK("https://www.sds-group.ru/product/sharnir-kardannyy-udarnyy-1-2-dr-kranz-KR-12-8431/", "Инфо")</f>
        <v>Инфо</v>
      </c>
      <c r="F336" s="42" t="s">
        <v>39</v>
      </c>
      <c r="G336" s="41" t="s">
        <v>40</v>
      </c>
      <c r="H336" s="41"/>
      <c r="I336" s="41"/>
      <c r="J336" s="43">
        <v>1</v>
      </c>
      <c r="K336" s="41" t="s">
        <v>1055</v>
      </c>
      <c r="L336" s="43">
        <v>1</v>
      </c>
      <c r="M336" s="43">
        <v>200</v>
      </c>
      <c r="N336" s="43">
        <v>1</v>
      </c>
      <c r="O336" s="44">
        <v>754.61</v>
      </c>
      <c r="P336" s="44">
        <v>618.53</v>
      </c>
      <c r="Q336" s="44">
        <v>528.23</v>
      </c>
      <c r="R336" s="44">
        <v>432.98</v>
      </c>
      <c r="S336" s="44">
        <v>513.13</v>
      </c>
      <c r="T336" s="44">
        <v>420.6</v>
      </c>
      <c r="U336" s="42"/>
      <c r="V336" s="42"/>
      <c r="W336" s="42"/>
      <c r="X336" s="45">
        <v>0.18099999999999999</v>
      </c>
      <c r="Y336" s="46">
        <v>1.47E-4</v>
      </c>
      <c r="Z336" s="21">
        <v>4601004315822</v>
      </c>
    </row>
    <row r="337" spans="1:26" ht="12.95" customHeight="1" outlineLevel="1" x14ac:dyDescent="0.2">
      <c r="A337" s="78" t="s">
        <v>7029</v>
      </c>
      <c r="B337" s="78"/>
      <c r="C337" s="79"/>
      <c r="D337" s="57"/>
      <c r="E337" s="67"/>
      <c r="F337" s="29"/>
      <c r="G337" s="29"/>
      <c r="H337" s="29"/>
      <c r="I337" s="29"/>
      <c r="J337" s="29"/>
      <c r="K337" s="29"/>
      <c r="L337" s="29"/>
      <c r="M337" s="29"/>
      <c r="N337" s="29"/>
      <c r="O337" s="29"/>
      <c r="P337" s="29"/>
      <c r="Q337" s="29"/>
      <c r="R337" s="29"/>
      <c r="S337" s="29"/>
      <c r="T337" s="29"/>
      <c r="U337" s="29"/>
      <c r="V337" s="29"/>
      <c r="W337" s="29"/>
      <c r="X337" s="29"/>
      <c r="Y337" s="29"/>
      <c r="Z337" s="29"/>
    </row>
    <row r="338" spans="1:26" ht="12.95" customHeight="1" outlineLevel="2" x14ac:dyDescent="0.2">
      <c r="A338" s="76" t="s">
        <v>7080</v>
      </c>
      <c r="B338" s="76"/>
      <c r="C338" s="77"/>
      <c r="D338" s="58"/>
      <c r="E338" s="68"/>
      <c r="F338" s="30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 spans="1:26" ht="12" customHeight="1" outlineLevel="3" x14ac:dyDescent="0.2">
      <c r="A339" s="40" t="s">
        <v>7083</v>
      </c>
      <c r="B339" s="75" t="s">
        <v>7084</v>
      </c>
      <c r="C339" s="51"/>
      <c r="D339" s="54">
        <f t="shared" si="5"/>
        <v>0</v>
      </c>
      <c r="E339" s="61" t="str">
        <f>HYPERLINK("https://www.sds-group.ru/product/krimper-dlya-obzhima-shtyrevyh-nakonechnikov-0-25-10-mm-rexant-12-3303/", "Инфо")</f>
        <v>Инфо</v>
      </c>
      <c r="F339" s="42" t="s">
        <v>39</v>
      </c>
      <c r="G339" s="41" t="s">
        <v>40</v>
      </c>
      <c r="H339" s="41"/>
      <c r="I339" s="41"/>
      <c r="J339" s="47">
        <v>1451</v>
      </c>
      <c r="K339" s="41" t="s">
        <v>6741</v>
      </c>
      <c r="L339" s="43">
        <v>1</v>
      </c>
      <c r="M339" s="43">
        <v>40</v>
      </c>
      <c r="N339" s="43">
        <v>1</v>
      </c>
      <c r="O339" s="44">
        <v>2048.2399999999998</v>
      </c>
      <c r="P339" s="44">
        <v>1678.89</v>
      </c>
      <c r="Q339" s="44">
        <v>1843.42</v>
      </c>
      <c r="R339" s="44">
        <v>1511</v>
      </c>
      <c r="S339" s="44">
        <v>1392.8</v>
      </c>
      <c r="T339" s="44">
        <v>1141.6400000000001</v>
      </c>
      <c r="U339" s="42"/>
      <c r="V339" s="42"/>
      <c r="W339" s="42" t="s">
        <v>40</v>
      </c>
      <c r="X339" s="45">
        <v>0.48299999999999998</v>
      </c>
      <c r="Y339" s="46">
        <v>1.2279999999999999E-3</v>
      </c>
      <c r="Z339" s="21">
        <v>4601004317222</v>
      </c>
    </row>
    <row r="340" spans="1:26" ht="12" customHeight="1" outlineLevel="3" x14ac:dyDescent="0.2">
      <c r="A340" s="40" t="s">
        <v>7085</v>
      </c>
      <c r="B340" s="75" t="s">
        <v>7086</v>
      </c>
      <c r="C340" s="51"/>
      <c r="D340" s="54">
        <f t="shared" si="5"/>
        <v>0</v>
      </c>
      <c r="E340" s="62"/>
      <c r="F340" s="42" t="s">
        <v>39</v>
      </c>
      <c r="G340" s="41" t="s">
        <v>40</v>
      </c>
      <c r="H340" s="41"/>
      <c r="I340" s="41"/>
      <c r="J340" s="43">
        <v>266</v>
      </c>
      <c r="K340" s="41" t="s">
        <v>6744</v>
      </c>
      <c r="L340" s="43">
        <v>1</v>
      </c>
      <c r="M340" s="43">
        <v>40</v>
      </c>
      <c r="N340" s="43">
        <v>1</v>
      </c>
      <c r="O340" s="44">
        <v>2385</v>
      </c>
      <c r="P340" s="44">
        <v>1954.92</v>
      </c>
      <c r="Q340" s="44">
        <v>2146.5</v>
      </c>
      <c r="R340" s="44">
        <v>1759.43</v>
      </c>
      <c r="S340" s="44">
        <v>1621.8</v>
      </c>
      <c r="T340" s="44">
        <v>1329.34</v>
      </c>
      <c r="U340" s="42"/>
      <c r="V340" s="42"/>
      <c r="W340" s="42" t="s">
        <v>40</v>
      </c>
      <c r="X340" s="45">
        <v>0.49099999999999999</v>
      </c>
      <c r="Y340" s="46">
        <v>9.2500000000000004E-4</v>
      </c>
      <c r="Z340" s="21">
        <v>4601004352346</v>
      </c>
    </row>
    <row r="341" spans="1:26" ht="12" customHeight="1" outlineLevel="3" x14ac:dyDescent="0.2">
      <c r="A341" s="40" t="s">
        <v>7089</v>
      </c>
      <c r="B341" s="75" t="s">
        <v>7090</v>
      </c>
      <c r="C341" s="51"/>
      <c r="D341" s="54">
        <f t="shared" si="5"/>
        <v>0</v>
      </c>
      <c r="E341" s="62"/>
      <c r="F341" s="42" t="s">
        <v>39</v>
      </c>
      <c r="G341" s="41" t="s">
        <v>40</v>
      </c>
      <c r="H341" s="41"/>
      <c r="I341" s="41"/>
      <c r="J341" s="43">
        <v>277</v>
      </c>
      <c r="K341" s="41" t="s">
        <v>6744</v>
      </c>
      <c r="L341" s="43">
        <v>1</v>
      </c>
      <c r="M341" s="43">
        <v>40</v>
      </c>
      <c r="N341" s="43">
        <v>1</v>
      </c>
      <c r="O341" s="44">
        <v>2862</v>
      </c>
      <c r="P341" s="44">
        <v>2345.9</v>
      </c>
      <c r="Q341" s="44">
        <v>2575.8000000000002</v>
      </c>
      <c r="R341" s="44">
        <v>2111.31</v>
      </c>
      <c r="S341" s="44">
        <v>1946.16</v>
      </c>
      <c r="T341" s="44">
        <v>1595.21</v>
      </c>
      <c r="U341" s="42"/>
      <c r="V341" s="42"/>
      <c r="W341" s="42" t="s">
        <v>40</v>
      </c>
      <c r="X341" s="45">
        <v>0.66</v>
      </c>
      <c r="Y341" s="46">
        <v>1.073E-3</v>
      </c>
      <c r="Z341" s="21">
        <v>4601004352353</v>
      </c>
    </row>
    <row r="342" spans="1:26" ht="12.95" customHeight="1" outlineLevel="2" x14ac:dyDescent="0.2">
      <c r="A342" s="76" t="s">
        <v>7263</v>
      </c>
      <c r="B342" s="76"/>
      <c r="C342" s="77"/>
      <c r="D342" s="58"/>
      <c r="E342" s="68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" customHeight="1" outlineLevel="3" x14ac:dyDescent="0.2">
      <c r="A343" s="40" t="s">
        <v>7268</v>
      </c>
      <c r="B343" s="75" t="s">
        <v>7269</v>
      </c>
      <c r="C343" s="51"/>
      <c r="D343" s="54">
        <f t="shared" si="5"/>
        <v>0</v>
      </c>
      <c r="E343" s="61" t="str">
        <f>HYPERLINK("https://www.sds-group.ru/product/instrument-dlya-natyazheniya-stalnoy-lenty-rexant-07-1601/", "Инфо")</f>
        <v>Инфо</v>
      </c>
      <c r="F343" s="42" t="s">
        <v>39</v>
      </c>
      <c r="G343" s="41" t="s">
        <v>40</v>
      </c>
      <c r="H343" s="41"/>
      <c r="I343" s="41"/>
      <c r="J343" s="43">
        <v>71</v>
      </c>
      <c r="K343" s="41" t="s">
        <v>4926</v>
      </c>
      <c r="L343" s="43">
        <v>1</v>
      </c>
      <c r="M343" s="43">
        <v>10</v>
      </c>
      <c r="N343" s="43">
        <v>1</v>
      </c>
      <c r="O343" s="44">
        <v>6768.88</v>
      </c>
      <c r="P343" s="44">
        <v>5548.26</v>
      </c>
      <c r="Q343" s="44">
        <v>6295.06</v>
      </c>
      <c r="R343" s="44">
        <v>5159.8900000000003</v>
      </c>
      <c r="S343" s="44">
        <v>4602.84</v>
      </c>
      <c r="T343" s="44">
        <v>3772.82</v>
      </c>
      <c r="U343" s="42"/>
      <c r="V343" s="42"/>
      <c r="W343" s="42" t="s">
        <v>40</v>
      </c>
      <c r="X343" s="45">
        <v>1.929</v>
      </c>
      <c r="Y343" s="46">
        <v>2.5430000000000001E-3</v>
      </c>
      <c r="Z343" s="21">
        <v>4601004339132</v>
      </c>
    </row>
    <row r="344" spans="1:26" ht="12" customHeight="1" outlineLevel="3" x14ac:dyDescent="0.2">
      <c r="A344" s="40" t="s">
        <v>7270</v>
      </c>
      <c r="B344" s="75" t="s">
        <v>7271</v>
      </c>
      <c r="C344" s="51"/>
      <c r="D344" s="54">
        <f t="shared" si="5"/>
        <v>0</v>
      </c>
      <c r="E344" s="61" t="str">
        <f>HYPERLINK("https://www.sds-group.ru/product/instrument-s-hrapovym-mehanizmom-dlya-natyazheniya-stalnoy-lenty-rexant-07-1600/", "Инфо")</f>
        <v>Инфо</v>
      </c>
      <c r="F344" s="42" t="s">
        <v>39</v>
      </c>
      <c r="G344" s="41" t="s">
        <v>40</v>
      </c>
      <c r="H344" s="41"/>
      <c r="I344" s="41"/>
      <c r="J344" s="43">
        <v>76</v>
      </c>
      <c r="K344" s="41" t="s">
        <v>4926</v>
      </c>
      <c r="L344" s="43">
        <v>1</v>
      </c>
      <c r="M344" s="43">
        <v>10</v>
      </c>
      <c r="N344" s="43">
        <v>1</v>
      </c>
      <c r="O344" s="44">
        <v>7243.21</v>
      </c>
      <c r="P344" s="44">
        <v>5937.06</v>
      </c>
      <c r="Q344" s="44">
        <v>6736.19</v>
      </c>
      <c r="R344" s="44">
        <v>5521.47</v>
      </c>
      <c r="S344" s="44">
        <v>4925.38</v>
      </c>
      <c r="T344" s="44">
        <v>4037.2</v>
      </c>
      <c r="U344" s="42"/>
      <c r="V344" s="42"/>
      <c r="W344" s="42" t="s">
        <v>40</v>
      </c>
      <c r="X344" s="45">
        <v>1.2969999999999999</v>
      </c>
      <c r="Y344" s="46">
        <v>2.5790000000000001E-3</v>
      </c>
      <c r="Z344" s="21">
        <v>4601004339125</v>
      </c>
    </row>
    <row r="345" spans="1:26" ht="12.95" customHeight="1" outlineLevel="2" x14ac:dyDescent="0.2">
      <c r="A345" s="76" t="s">
        <v>7319</v>
      </c>
      <c r="B345" s="76"/>
      <c r="C345" s="77"/>
      <c r="D345" s="58"/>
      <c r="E345" s="68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" customHeight="1" outlineLevel="3" x14ac:dyDescent="0.2">
      <c r="A346" s="40" t="s">
        <v>7320</v>
      </c>
      <c r="B346" s="75" t="s">
        <v>7321</v>
      </c>
      <c r="C346" s="51"/>
      <c r="D346" s="54">
        <f t="shared" si="5"/>
        <v>0</v>
      </c>
      <c r="E346" s="62"/>
      <c r="F346" s="42" t="s">
        <v>39</v>
      </c>
      <c r="G346" s="41" t="s">
        <v>40</v>
      </c>
      <c r="H346" s="41"/>
      <c r="I346" s="41"/>
      <c r="J346" s="43">
        <v>320</v>
      </c>
      <c r="K346" s="41" t="s">
        <v>6744</v>
      </c>
      <c r="L346" s="43">
        <v>1</v>
      </c>
      <c r="M346" s="43">
        <v>30</v>
      </c>
      <c r="N346" s="43">
        <v>1</v>
      </c>
      <c r="O346" s="44">
        <v>2544</v>
      </c>
      <c r="P346" s="44">
        <v>2085.25</v>
      </c>
      <c r="Q346" s="44">
        <v>2289.6</v>
      </c>
      <c r="R346" s="44">
        <v>1876.72</v>
      </c>
      <c r="S346" s="44">
        <v>1729.92</v>
      </c>
      <c r="T346" s="44">
        <v>1417.97</v>
      </c>
      <c r="U346" s="42"/>
      <c r="V346" s="42"/>
      <c r="W346" s="42" t="s">
        <v>40</v>
      </c>
      <c r="X346" s="45">
        <v>0.69899999999999995</v>
      </c>
      <c r="Y346" s="46">
        <v>1.6670000000000001E-3</v>
      </c>
      <c r="Z346" s="21">
        <v>4601004352315</v>
      </c>
    </row>
    <row r="347" spans="1:26" ht="12" customHeight="1" outlineLevel="3" x14ac:dyDescent="0.2">
      <c r="A347" s="40" t="s">
        <v>7322</v>
      </c>
      <c r="B347" s="75" t="s">
        <v>7323</v>
      </c>
      <c r="C347" s="51"/>
      <c r="D347" s="54">
        <f t="shared" si="5"/>
        <v>0</v>
      </c>
      <c r="E347" s="62"/>
      <c r="F347" s="42" t="s">
        <v>39</v>
      </c>
      <c r="G347" s="41" t="s">
        <v>40</v>
      </c>
      <c r="H347" s="41"/>
      <c r="I347" s="41"/>
      <c r="J347" s="43">
        <v>243</v>
      </c>
      <c r="K347" s="41" t="s">
        <v>6744</v>
      </c>
      <c r="L347" s="43">
        <v>1</v>
      </c>
      <c r="M347" s="43">
        <v>20</v>
      </c>
      <c r="N347" s="43">
        <v>1</v>
      </c>
      <c r="O347" s="44">
        <v>8957</v>
      </c>
      <c r="P347" s="44">
        <v>7341.8</v>
      </c>
      <c r="Q347" s="44">
        <v>8061.3</v>
      </c>
      <c r="R347" s="44">
        <v>6607.62</v>
      </c>
      <c r="S347" s="44">
        <v>6090.76</v>
      </c>
      <c r="T347" s="44">
        <v>4992.43</v>
      </c>
      <c r="U347" s="42"/>
      <c r="V347" s="42"/>
      <c r="W347" s="42" t="s">
        <v>40</v>
      </c>
      <c r="X347" s="45">
        <v>1.0249999999999999</v>
      </c>
      <c r="Y347" s="46">
        <v>3.4680000000000002E-3</v>
      </c>
      <c r="Z347" s="21">
        <v>4601004352339</v>
      </c>
    </row>
    <row r="348" spans="1:26" ht="12" customHeight="1" outlineLevel="3" x14ac:dyDescent="0.2">
      <c r="A348" s="40" t="s">
        <v>7324</v>
      </c>
      <c r="B348" s="75" t="s">
        <v>7325</v>
      </c>
      <c r="C348" s="51"/>
      <c r="D348" s="54">
        <f t="shared" si="5"/>
        <v>0</v>
      </c>
      <c r="E348" s="62"/>
      <c r="F348" s="42" t="s">
        <v>39</v>
      </c>
      <c r="G348" s="41" t="s">
        <v>40</v>
      </c>
      <c r="H348" s="41"/>
      <c r="I348" s="41"/>
      <c r="J348" s="43">
        <v>179</v>
      </c>
      <c r="K348" s="41" t="s">
        <v>6744</v>
      </c>
      <c r="L348" s="43">
        <v>1</v>
      </c>
      <c r="M348" s="43">
        <v>20</v>
      </c>
      <c r="N348" s="43">
        <v>1</v>
      </c>
      <c r="O348" s="44">
        <v>4770</v>
      </c>
      <c r="P348" s="44">
        <v>3909.84</v>
      </c>
      <c r="Q348" s="44">
        <v>4293</v>
      </c>
      <c r="R348" s="44">
        <v>3518.85</v>
      </c>
      <c r="S348" s="44">
        <v>3243.6</v>
      </c>
      <c r="T348" s="44">
        <v>2658.69</v>
      </c>
      <c r="U348" s="42"/>
      <c r="V348" s="42"/>
      <c r="W348" s="42" t="s">
        <v>40</v>
      </c>
      <c r="X348" s="45">
        <v>1.0549999999999999</v>
      </c>
      <c r="Y348" s="46">
        <v>3.081E-3</v>
      </c>
      <c r="Z348" s="21">
        <v>4601004352322</v>
      </c>
    </row>
    <row r="349" spans="1:26" ht="12" customHeight="1" outlineLevel="3" x14ac:dyDescent="0.2">
      <c r="A349" s="40" t="s">
        <v>7326</v>
      </c>
      <c r="B349" s="75" t="s">
        <v>7327</v>
      </c>
      <c r="C349" s="51"/>
      <c r="D349" s="54">
        <f t="shared" si="5"/>
        <v>0</v>
      </c>
      <c r="E349" s="62"/>
      <c r="F349" s="42" t="s">
        <v>39</v>
      </c>
      <c r="G349" s="41" t="s">
        <v>40</v>
      </c>
      <c r="H349" s="41"/>
      <c r="I349" s="41"/>
      <c r="J349" s="43">
        <v>554</v>
      </c>
      <c r="K349" s="41" t="s">
        <v>6744</v>
      </c>
      <c r="L349" s="43">
        <v>1</v>
      </c>
      <c r="M349" s="43">
        <v>40</v>
      </c>
      <c r="N349" s="43">
        <v>1</v>
      </c>
      <c r="O349" s="44">
        <v>1855</v>
      </c>
      <c r="P349" s="44">
        <v>1520.49</v>
      </c>
      <c r="Q349" s="44">
        <v>1669.5</v>
      </c>
      <c r="R349" s="44">
        <v>1368.44</v>
      </c>
      <c r="S349" s="44">
        <v>1261.4000000000001</v>
      </c>
      <c r="T349" s="44">
        <v>1033.93</v>
      </c>
      <c r="U349" s="42"/>
      <c r="V349" s="42"/>
      <c r="W349" s="42" t="s">
        <v>40</v>
      </c>
      <c r="X349" s="45">
        <v>0.73799999999999999</v>
      </c>
      <c r="Y349" s="46">
        <v>1.7409999999999999E-3</v>
      </c>
      <c r="Z349" s="21">
        <v>4601004352360</v>
      </c>
    </row>
    <row r="350" spans="1:26" ht="12" customHeight="1" outlineLevel="3" x14ac:dyDescent="0.2">
      <c r="A350" s="40" t="s">
        <v>7328</v>
      </c>
      <c r="B350" s="75" t="s">
        <v>7329</v>
      </c>
      <c r="C350" s="51"/>
      <c r="D350" s="54">
        <f t="shared" si="5"/>
        <v>0</v>
      </c>
      <c r="E350" s="62"/>
      <c r="F350" s="42" t="s">
        <v>39</v>
      </c>
      <c r="G350" s="41" t="s">
        <v>40</v>
      </c>
      <c r="H350" s="41"/>
      <c r="I350" s="41"/>
      <c r="J350" s="43">
        <v>520</v>
      </c>
      <c r="K350" s="41" t="s">
        <v>6744</v>
      </c>
      <c r="L350" s="43">
        <v>1</v>
      </c>
      <c r="M350" s="43">
        <v>30</v>
      </c>
      <c r="N350" s="43">
        <v>1</v>
      </c>
      <c r="O350" s="44">
        <v>2014</v>
      </c>
      <c r="P350" s="44">
        <v>1650.82</v>
      </c>
      <c r="Q350" s="44">
        <v>1812.6</v>
      </c>
      <c r="R350" s="44">
        <v>1485.74</v>
      </c>
      <c r="S350" s="44">
        <v>1369.52</v>
      </c>
      <c r="T350" s="44">
        <v>1122.56</v>
      </c>
      <c r="U350" s="42"/>
      <c r="V350" s="42"/>
      <c r="W350" s="42" t="s">
        <v>40</v>
      </c>
      <c r="X350" s="45">
        <v>0.72499999999999998</v>
      </c>
      <c r="Y350" s="46">
        <v>1.4040000000000001E-3</v>
      </c>
      <c r="Z350" s="21">
        <v>4601004352308</v>
      </c>
    </row>
    <row r="351" spans="1:26" ht="12.95" customHeight="1" outlineLevel="1" x14ac:dyDescent="0.2">
      <c r="A351" s="78" t="s">
        <v>7952</v>
      </c>
      <c r="B351" s="78"/>
      <c r="C351" s="79"/>
      <c r="D351" s="57"/>
      <c r="E351" s="67"/>
      <c r="F351" s="29"/>
      <c r="G351" s="29"/>
      <c r="H351" s="29"/>
      <c r="I351" s="29"/>
      <c r="J351" s="29"/>
      <c r="K351" s="29"/>
      <c r="L351" s="29"/>
      <c r="M351" s="29"/>
      <c r="N351" s="29"/>
      <c r="O351" s="29"/>
      <c r="P351" s="29"/>
      <c r="Q351" s="29"/>
      <c r="R351" s="29"/>
      <c r="S351" s="29"/>
      <c r="T351" s="29"/>
      <c r="U351" s="29"/>
      <c r="V351" s="29"/>
      <c r="W351" s="29"/>
      <c r="X351" s="29"/>
      <c r="Y351" s="29"/>
      <c r="Z351" s="29"/>
    </row>
    <row r="352" spans="1:26" ht="12.95" customHeight="1" outlineLevel="2" x14ac:dyDescent="0.2">
      <c r="A352" s="76" t="s">
        <v>8367</v>
      </c>
      <c r="B352" s="76"/>
      <c r="C352" s="77"/>
      <c r="D352" s="58"/>
      <c r="E352" s="68"/>
      <c r="F352" s="30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 spans="1:26" ht="12.95" customHeight="1" outlineLevel="3" x14ac:dyDescent="0.2">
      <c r="A353" s="76" t="s">
        <v>8498</v>
      </c>
      <c r="B353" s="76"/>
      <c r="C353" s="77"/>
      <c r="D353" s="58"/>
      <c r="E353" s="68"/>
      <c r="F353" s="30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 spans="1:26" ht="12" customHeight="1" outlineLevel="4" x14ac:dyDescent="0.2">
      <c r="A354" s="40" t="s">
        <v>8525</v>
      </c>
      <c r="B354" s="75" t="s">
        <v>8526</v>
      </c>
      <c r="C354" s="51"/>
      <c r="D354" s="54">
        <f t="shared" si="5"/>
        <v>0</v>
      </c>
      <c r="E354" s="61" t="str">
        <f>HYPERLINK("https://www.sds-group.ru/product/sverlo-po-metallu-udarnoe-3mm-kobalt-p6m5k8-din-338-shestigrannyy-hvostovik-1-sht-kranz-KR-91-0543/", "Инфо")</f>
        <v>Инфо</v>
      </c>
      <c r="F354" s="42" t="s">
        <v>39</v>
      </c>
      <c r="G354" s="41" t="s">
        <v>40</v>
      </c>
      <c r="H354" s="41"/>
      <c r="I354" s="41"/>
      <c r="J354" s="43">
        <v>714</v>
      </c>
      <c r="K354" s="41" t="s">
        <v>6939</v>
      </c>
      <c r="L354" s="43">
        <v>5</v>
      </c>
      <c r="M354" s="43">
        <v>150</v>
      </c>
      <c r="N354" s="43">
        <v>5</v>
      </c>
      <c r="O354" s="44">
        <v>377.31</v>
      </c>
      <c r="P354" s="44">
        <v>309.27</v>
      </c>
      <c r="Q354" s="44">
        <v>320.70999999999998</v>
      </c>
      <c r="R354" s="44">
        <v>262.88</v>
      </c>
      <c r="S354" s="44">
        <v>256.57</v>
      </c>
      <c r="T354" s="44">
        <v>210.3</v>
      </c>
      <c r="U354" s="42"/>
      <c r="V354" s="42"/>
      <c r="W354" s="42" t="s">
        <v>40</v>
      </c>
      <c r="X354" s="45">
        <v>2.1000000000000001E-2</v>
      </c>
      <c r="Y354" s="46">
        <v>9.7E-5</v>
      </c>
      <c r="Z354" s="21">
        <v>4601004336063</v>
      </c>
    </row>
    <row r="355" spans="1:26" ht="12" customHeight="1" outlineLevel="4" x14ac:dyDescent="0.2">
      <c r="A355" s="40" t="s">
        <v>8527</v>
      </c>
      <c r="B355" s="75" t="s">
        <v>8528</v>
      </c>
      <c r="C355" s="51"/>
      <c r="D355" s="54">
        <f t="shared" si="5"/>
        <v>0</v>
      </c>
      <c r="E355" s="61" t="str">
        <f>HYPERLINK("https://www.sds-group.ru/product/sverlo-po-metallu-udarnoe-4mm-kobalt-p6m5k8-din-338-shestigrannyy-hvostovik-1-sht-kranz-KR-91-0544/", "Инфо")</f>
        <v>Инфо</v>
      </c>
      <c r="F355" s="42" t="s">
        <v>39</v>
      </c>
      <c r="G355" s="41" t="s">
        <v>40</v>
      </c>
      <c r="H355" s="41"/>
      <c r="I355" s="41"/>
      <c r="J355" s="43">
        <v>464</v>
      </c>
      <c r="K355" s="41" t="s">
        <v>6344</v>
      </c>
      <c r="L355" s="43">
        <v>5</v>
      </c>
      <c r="M355" s="43">
        <v>150</v>
      </c>
      <c r="N355" s="43">
        <v>5</v>
      </c>
      <c r="O355" s="44">
        <v>388.09</v>
      </c>
      <c r="P355" s="44">
        <v>318.11</v>
      </c>
      <c r="Q355" s="44">
        <v>329.88</v>
      </c>
      <c r="R355" s="44">
        <v>270.39</v>
      </c>
      <c r="S355" s="44">
        <v>263.89999999999998</v>
      </c>
      <c r="T355" s="44">
        <v>216.31</v>
      </c>
      <c r="U355" s="42"/>
      <c r="V355" s="42"/>
      <c r="W355" s="42" t="s">
        <v>40</v>
      </c>
      <c r="X355" s="45">
        <v>2.3E-2</v>
      </c>
      <c r="Y355" s="46">
        <v>9.7999999999999997E-5</v>
      </c>
      <c r="Z355" s="21">
        <v>4601004336025</v>
      </c>
    </row>
    <row r="356" spans="1:26" ht="12" customHeight="1" outlineLevel="4" x14ac:dyDescent="0.2">
      <c r="A356" s="40" t="s">
        <v>8529</v>
      </c>
      <c r="B356" s="75" t="s">
        <v>8530</v>
      </c>
      <c r="C356" s="51"/>
      <c r="D356" s="54">
        <f t="shared" si="5"/>
        <v>0</v>
      </c>
      <c r="E356" s="61" t="str">
        <f>HYPERLINK("https://www.sds-group.ru/product/sverlo-po-metallu-udarnoe-5mm-kobalt-p6m5k8-din-338-shestigrannyy-hvostovik-1-sht-kranz-KR-91-0545/", "Инфо")</f>
        <v>Инфо</v>
      </c>
      <c r="F356" s="42" t="s">
        <v>39</v>
      </c>
      <c r="G356" s="41" t="s">
        <v>40</v>
      </c>
      <c r="H356" s="41"/>
      <c r="I356" s="41"/>
      <c r="J356" s="43">
        <v>575</v>
      </c>
      <c r="K356" s="41" t="s">
        <v>6344</v>
      </c>
      <c r="L356" s="43">
        <v>5</v>
      </c>
      <c r="M356" s="43">
        <v>150</v>
      </c>
      <c r="N356" s="43">
        <v>5</v>
      </c>
      <c r="O356" s="44">
        <v>398.87</v>
      </c>
      <c r="P356" s="44">
        <v>326.94</v>
      </c>
      <c r="Q356" s="44">
        <v>339.04</v>
      </c>
      <c r="R356" s="44">
        <v>277.89999999999998</v>
      </c>
      <c r="S356" s="44">
        <v>271.23</v>
      </c>
      <c r="T356" s="44">
        <v>222.32</v>
      </c>
      <c r="U356" s="42"/>
      <c r="V356" s="42"/>
      <c r="W356" s="42" t="s">
        <v>40</v>
      </c>
      <c r="X356" s="45">
        <v>2.4E-2</v>
      </c>
      <c r="Y356" s="46">
        <v>9.6000000000000002E-5</v>
      </c>
      <c r="Z356" s="21">
        <v>4601004336100</v>
      </c>
    </row>
    <row r="357" spans="1:26" ht="12" customHeight="1" outlineLevel="4" x14ac:dyDescent="0.2">
      <c r="A357" s="40" t="s">
        <v>8531</v>
      </c>
      <c r="B357" s="75" t="s">
        <v>8532</v>
      </c>
      <c r="C357" s="51"/>
      <c r="D357" s="54">
        <f t="shared" si="5"/>
        <v>0</v>
      </c>
      <c r="E357" s="61" t="str">
        <f>HYPERLINK("https://www.sds-group.ru/product/sverlo-po-metallu-udarnoe-6mm-kobalt-p6m5k8-din-338-shestigrannyy-hvostovik-1-sht-kranz-KR-91-0546/", "Инфо")</f>
        <v>Инфо</v>
      </c>
      <c r="F357" s="42" t="s">
        <v>39</v>
      </c>
      <c r="G357" s="41" t="s">
        <v>40</v>
      </c>
      <c r="H357" s="41"/>
      <c r="I357" s="41"/>
      <c r="J357" s="43">
        <v>3</v>
      </c>
      <c r="K357" s="41" t="s">
        <v>6939</v>
      </c>
      <c r="L357" s="43">
        <v>1</v>
      </c>
      <c r="M357" s="43">
        <v>150</v>
      </c>
      <c r="N357" s="43">
        <v>1</v>
      </c>
      <c r="O357" s="44">
        <v>409.65</v>
      </c>
      <c r="P357" s="44">
        <v>335.78</v>
      </c>
      <c r="Q357" s="44">
        <v>348.2</v>
      </c>
      <c r="R357" s="44">
        <v>285.41000000000003</v>
      </c>
      <c r="S357" s="44">
        <v>278.56</v>
      </c>
      <c r="T357" s="44">
        <v>228.33</v>
      </c>
      <c r="U357" s="42"/>
      <c r="V357" s="42"/>
      <c r="W357" s="42" t="s">
        <v>40</v>
      </c>
      <c r="X357" s="45">
        <v>2.7E-2</v>
      </c>
      <c r="Y357" s="46">
        <v>9.5000000000000005E-5</v>
      </c>
      <c r="Z357" s="21">
        <v>4601004336117</v>
      </c>
    </row>
    <row r="358" spans="1:26" ht="12" customHeight="1" outlineLevel="4" x14ac:dyDescent="0.2">
      <c r="A358" s="40" t="s">
        <v>8533</v>
      </c>
      <c r="B358" s="75" t="s">
        <v>8534</v>
      </c>
      <c r="C358" s="51"/>
      <c r="D358" s="54">
        <f t="shared" si="5"/>
        <v>0</v>
      </c>
      <c r="E358" s="61" t="str">
        <f>HYPERLINK("https://www.sds-group.ru/product/sverlo-po-metallu-udarnoe-7mm-kobalt-p6m5k8-din-338-shestigrannyy-hvostovik-1-sht-kranz-KR-91-0547/", "Инфо")</f>
        <v>Инфо</v>
      </c>
      <c r="F358" s="42" t="s">
        <v>39</v>
      </c>
      <c r="G358" s="41" t="s">
        <v>40</v>
      </c>
      <c r="H358" s="41"/>
      <c r="I358" s="41"/>
      <c r="J358" s="42" t="s">
        <v>100</v>
      </c>
      <c r="K358" s="41" t="s">
        <v>6939</v>
      </c>
      <c r="L358" s="43">
        <v>5</v>
      </c>
      <c r="M358" s="43">
        <v>100</v>
      </c>
      <c r="N358" s="43">
        <v>5</v>
      </c>
      <c r="O358" s="44">
        <v>431.21</v>
      </c>
      <c r="P358" s="44">
        <v>353.45</v>
      </c>
      <c r="Q358" s="44">
        <v>366.53</v>
      </c>
      <c r="R358" s="44">
        <v>300.43</v>
      </c>
      <c r="S358" s="44">
        <v>293.22000000000003</v>
      </c>
      <c r="T358" s="44">
        <v>240.34</v>
      </c>
      <c r="U358" s="42"/>
      <c r="V358" s="42"/>
      <c r="W358" s="42" t="s">
        <v>40</v>
      </c>
      <c r="X358" s="45">
        <v>3.1E-2</v>
      </c>
      <c r="Y358" s="46">
        <v>9.7999999999999997E-5</v>
      </c>
      <c r="Z358" s="21">
        <v>4601004336018</v>
      </c>
    </row>
    <row r="359" spans="1:26" ht="12" customHeight="1" outlineLevel="4" x14ac:dyDescent="0.2">
      <c r="A359" s="40" t="s">
        <v>8535</v>
      </c>
      <c r="B359" s="75" t="s">
        <v>8536</v>
      </c>
      <c r="C359" s="51"/>
      <c r="D359" s="54">
        <f t="shared" si="5"/>
        <v>0</v>
      </c>
      <c r="E359" s="61" t="str">
        <f>HYPERLINK("https://www.sds-group.ru/product/sverlo-po-metallu-udarnoe-8mm-kobalt-p6m5k8-din-338-shestigrannyy-hvostovik-1-sht-kranz-KR-91-0548/", "Инфо")</f>
        <v>Инфо</v>
      </c>
      <c r="F359" s="42" t="s">
        <v>39</v>
      </c>
      <c r="G359" s="41" t="s">
        <v>40</v>
      </c>
      <c r="H359" s="41"/>
      <c r="I359" s="41"/>
      <c r="J359" s="43">
        <v>208</v>
      </c>
      <c r="K359" s="41" t="s">
        <v>6939</v>
      </c>
      <c r="L359" s="43">
        <v>1</v>
      </c>
      <c r="M359" s="43">
        <v>200</v>
      </c>
      <c r="N359" s="43">
        <v>1</v>
      </c>
      <c r="O359" s="44">
        <v>506.67</v>
      </c>
      <c r="P359" s="44">
        <v>415.3</v>
      </c>
      <c r="Q359" s="44">
        <v>430.67</v>
      </c>
      <c r="R359" s="44">
        <v>353.01</v>
      </c>
      <c r="S359" s="44">
        <v>344.54</v>
      </c>
      <c r="T359" s="44">
        <v>282.41000000000003</v>
      </c>
      <c r="U359" s="42"/>
      <c r="V359" s="42"/>
      <c r="W359" s="42" t="s">
        <v>40</v>
      </c>
      <c r="X359" s="45">
        <v>3.7999999999999999E-2</v>
      </c>
      <c r="Y359" s="46">
        <v>9.7E-5</v>
      </c>
      <c r="Z359" s="21">
        <v>4601004336032</v>
      </c>
    </row>
    <row r="360" spans="1:26" ht="12.95" customHeight="1" outlineLevel="3" x14ac:dyDescent="0.2">
      <c r="A360" s="76" t="s">
        <v>8721</v>
      </c>
      <c r="B360" s="76"/>
      <c r="C360" s="77"/>
      <c r="D360" s="58"/>
      <c r="E360" s="68"/>
      <c r="F360" s="30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 spans="1:26" ht="12" customHeight="1" outlineLevel="4" x14ac:dyDescent="0.2">
      <c r="A361" s="40" t="s">
        <v>8724</v>
      </c>
      <c r="B361" s="75" t="s">
        <v>8725</v>
      </c>
      <c r="C361" s="51"/>
      <c r="D361" s="54">
        <f t="shared" si="5"/>
        <v>0</v>
      </c>
      <c r="E361" s="61" t="str">
        <f>HYPERLINK("https://www.sds-group.ru/product/nabor-sverl-metchikov-m3x1-m4x1-m5x2-m6x2-m8x2-m10x2-r6m5-titan-10-sht-kranz-KR-91-0699/", "Инфо")</f>
        <v>Инфо</v>
      </c>
      <c r="F361" s="42" t="s">
        <v>4698</v>
      </c>
      <c r="G361" s="41" t="s">
        <v>40</v>
      </c>
      <c r="H361" s="41"/>
      <c r="I361" s="41"/>
      <c r="J361" s="43">
        <v>243</v>
      </c>
      <c r="K361" s="41" t="s">
        <v>6344</v>
      </c>
      <c r="L361" s="43">
        <v>1</v>
      </c>
      <c r="M361" s="43">
        <v>64</v>
      </c>
      <c r="N361" s="43">
        <v>1</v>
      </c>
      <c r="O361" s="44">
        <v>3773.07</v>
      </c>
      <c r="P361" s="44">
        <v>3092.68</v>
      </c>
      <c r="Q361" s="44">
        <v>3207.11</v>
      </c>
      <c r="R361" s="44">
        <v>2628.78</v>
      </c>
      <c r="S361" s="44">
        <v>2565.69</v>
      </c>
      <c r="T361" s="44">
        <v>2103.02</v>
      </c>
      <c r="U361" s="42"/>
      <c r="V361" s="42"/>
      <c r="W361" s="42" t="s">
        <v>40</v>
      </c>
      <c r="X361" s="45">
        <v>0.19800000000000001</v>
      </c>
      <c r="Y361" s="46">
        <v>3.01E-4</v>
      </c>
      <c r="Z361" s="21">
        <v>4601004334878</v>
      </c>
    </row>
    <row r="362" spans="1:26" ht="12" customHeight="1" outlineLevel="4" x14ac:dyDescent="0.2">
      <c r="A362" s="40" t="s">
        <v>8726</v>
      </c>
      <c r="B362" s="75" t="s">
        <v>8727</v>
      </c>
      <c r="C362" s="51"/>
      <c r="D362" s="54">
        <f t="shared" si="5"/>
        <v>0</v>
      </c>
      <c r="E362" s="61" t="str">
        <f>HYPERLINK("https://www.sds-group.ru/product/sverlo-metchik-m10-r6m5-titan-kranz-KR-91-0698/", "Инфо")</f>
        <v>Инфо</v>
      </c>
      <c r="F362" s="42" t="s">
        <v>39</v>
      </c>
      <c r="G362" s="41" t="s">
        <v>40</v>
      </c>
      <c r="H362" s="41"/>
      <c r="I362" s="41"/>
      <c r="J362" s="43">
        <v>690</v>
      </c>
      <c r="K362" s="41"/>
      <c r="L362" s="43">
        <v>1</v>
      </c>
      <c r="M362" s="43">
        <v>200</v>
      </c>
      <c r="N362" s="43">
        <v>1</v>
      </c>
      <c r="O362" s="44">
        <v>733.05</v>
      </c>
      <c r="P362" s="44">
        <v>600.86</v>
      </c>
      <c r="Q362" s="44">
        <v>623.09</v>
      </c>
      <c r="R362" s="44">
        <v>510.73</v>
      </c>
      <c r="S362" s="44">
        <v>498.47</v>
      </c>
      <c r="T362" s="44">
        <v>408.58</v>
      </c>
      <c r="U362" s="42"/>
      <c r="V362" s="42"/>
      <c r="W362" s="42" t="s">
        <v>40</v>
      </c>
      <c r="X362" s="45">
        <v>2.5999999999999999E-2</v>
      </c>
      <c r="Y362" s="46">
        <v>9.7E-5</v>
      </c>
      <c r="Z362" s="21">
        <v>4601004334861</v>
      </c>
    </row>
    <row r="363" spans="1:26" ht="12" customHeight="1" outlineLevel="4" x14ac:dyDescent="0.2">
      <c r="A363" s="40" t="s">
        <v>8728</v>
      </c>
      <c r="B363" s="75" t="s">
        <v>8729</v>
      </c>
      <c r="C363" s="51"/>
      <c r="D363" s="54">
        <f t="shared" si="5"/>
        <v>0</v>
      </c>
      <c r="E363" s="61" t="str">
        <f>HYPERLINK("https://www.sds-group.ru/product/sverlo-metchik-m3-r6m5-titan-kranz-KR-91-0693/", "Инфо")</f>
        <v>Инфо</v>
      </c>
      <c r="F363" s="42" t="s">
        <v>39</v>
      </c>
      <c r="G363" s="41" t="s">
        <v>40</v>
      </c>
      <c r="H363" s="41"/>
      <c r="I363" s="41"/>
      <c r="J363" s="43">
        <v>437</v>
      </c>
      <c r="K363" s="41" t="s">
        <v>6344</v>
      </c>
      <c r="L363" s="43">
        <v>1</v>
      </c>
      <c r="M363" s="43">
        <v>200</v>
      </c>
      <c r="N363" s="43">
        <v>1</v>
      </c>
      <c r="O363" s="44">
        <v>539.01</v>
      </c>
      <c r="P363" s="44">
        <v>441.81</v>
      </c>
      <c r="Q363" s="44">
        <v>458.16</v>
      </c>
      <c r="R363" s="44">
        <v>375.54</v>
      </c>
      <c r="S363" s="44">
        <v>366.53</v>
      </c>
      <c r="T363" s="44">
        <v>300.43</v>
      </c>
      <c r="U363" s="42"/>
      <c r="V363" s="42"/>
      <c r="W363" s="42" t="s">
        <v>40</v>
      </c>
      <c r="X363" s="45">
        <v>0.02</v>
      </c>
      <c r="Y363" s="46">
        <v>9.7E-5</v>
      </c>
      <c r="Z363" s="21">
        <v>4601004334816</v>
      </c>
    </row>
    <row r="364" spans="1:26" ht="12" customHeight="1" outlineLevel="4" x14ac:dyDescent="0.2">
      <c r="A364" s="40" t="s">
        <v>8730</v>
      </c>
      <c r="B364" s="75" t="s">
        <v>8731</v>
      </c>
      <c r="C364" s="51"/>
      <c r="D364" s="54">
        <f t="shared" si="5"/>
        <v>0</v>
      </c>
      <c r="E364" s="61" t="str">
        <f>HYPERLINK("https://www.sds-group.ru/product/sverlo-metchik-m4-r6m5-titan-kranz-KR-91-0694/", "Инфо")</f>
        <v>Инфо</v>
      </c>
      <c r="F364" s="42" t="s">
        <v>39</v>
      </c>
      <c r="G364" s="41" t="s">
        <v>40</v>
      </c>
      <c r="H364" s="41"/>
      <c r="I364" s="41"/>
      <c r="J364" s="43">
        <v>545</v>
      </c>
      <c r="K364" s="41"/>
      <c r="L364" s="43">
        <v>1</v>
      </c>
      <c r="M364" s="43">
        <v>200</v>
      </c>
      <c r="N364" s="43">
        <v>1</v>
      </c>
      <c r="O364" s="44">
        <v>582.13</v>
      </c>
      <c r="P364" s="44">
        <v>477.16</v>
      </c>
      <c r="Q364" s="44">
        <v>494.81</v>
      </c>
      <c r="R364" s="44">
        <v>405.58</v>
      </c>
      <c r="S364" s="44">
        <v>395.85</v>
      </c>
      <c r="T364" s="44">
        <v>324.47000000000003</v>
      </c>
      <c r="U364" s="42"/>
      <c r="V364" s="42"/>
      <c r="W364" s="42" t="s">
        <v>40</v>
      </c>
      <c r="X364" s="45">
        <v>0.02</v>
      </c>
      <c r="Y364" s="46">
        <v>9.8999999999999994E-5</v>
      </c>
      <c r="Z364" s="21">
        <v>4601004334762</v>
      </c>
    </row>
    <row r="365" spans="1:26" ht="12" customHeight="1" outlineLevel="4" x14ac:dyDescent="0.2">
      <c r="A365" s="40" t="s">
        <v>8732</v>
      </c>
      <c r="B365" s="75" t="s">
        <v>8733</v>
      </c>
      <c r="C365" s="51"/>
      <c r="D365" s="54">
        <f t="shared" si="5"/>
        <v>0</v>
      </c>
      <c r="E365" s="61" t="str">
        <f>HYPERLINK("https://www.sds-group.ru/product/sverlo-metchik-m5-r6m5-titan-kranz-KR-91-0695/", "Инфо")</f>
        <v>Инфо</v>
      </c>
      <c r="F365" s="42" t="s">
        <v>39</v>
      </c>
      <c r="G365" s="41" t="s">
        <v>40</v>
      </c>
      <c r="H365" s="41"/>
      <c r="I365" s="41"/>
      <c r="J365" s="43">
        <v>762</v>
      </c>
      <c r="K365" s="41" t="s">
        <v>6344</v>
      </c>
      <c r="L365" s="43">
        <v>1</v>
      </c>
      <c r="M365" s="43">
        <v>200</v>
      </c>
      <c r="N365" s="43">
        <v>1</v>
      </c>
      <c r="O365" s="44">
        <v>603.69000000000005</v>
      </c>
      <c r="P365" s="44">
        <v>494.83</v>
      </c>
      <c r="Q365" s="44">
        <v>513.14</v>
      </c>
      <c r="R365" s="44">
        <v>420.61</v>
      </c>
      <c r="S365" s="44">
        <v>410.51</v>
      </c>
      <c r="T365" s="44">
        <v>336.48</v>
      </c>
      <c r="U365" s="42"/>
      <c r="V365" s="42"/>
      <c r="W365" s="42" t="s">
        <v>40</v>
      </c>
      <c r="X365" s="45">
        <v>2.1999999999999999E-2</v>
      </c>
      <c r="Y365" s="46">
        <v>9.7E-5</v>
      </c>
      <c r="Z365" s="21">
        <v>4601004334748</v>
      </c>
    </row>
    <row r="366" spans="1:26" ht="12" customHeight="1" outlineLevel="4" x14ac:dyDescent="0.2">
      <c r="A366" s="40" t="s">
        <v>8734</v>
      </c>
      <c r="B366" s="75" t="s">
        <v>8735</v>
      </c>
      <c r="C366" s="51"/>
      <c r="D366" s="54">
        <f t="shared" si="5"/>
        <v>0</v>
      </c>
      <c r="E366" s="61" t="str">
        <f>HYPERLINK("https://www.sds-group.ru/product/sverlo-metchik-m6-r6m5-titan-kranz-KR-91-0696/", "Инфо")</f>
        <v>Инфо</v>
      </c>
      <c r="F366" s="42" t="s">
        <v>39</v>
      </c>
      <c r="G366" s="41" t="s">
        <v>40</v>
      </c>
      <c r="H366" s="41"/>
      <c r="I366" s="41"/>
      <c r="J366" s="43">
        <v>111</v>
      </c>
      <c r="K366" s="41" t="s">
        <v>6344</v>
      </c>
      <c r="L366" s="43">
        <v>1</v>
      </c>
      <c r="M366" s="43">
        <v>200</v>
      </c>
      <c r="N366" s="43">
        <v>1</v>
      </c>
      <c r="O366" s="44">
        <v>646.80999999999995</v>
      </c>
      <c r="P366" s="44">
        <v>530.16999999999996</v>
      </c>
      <c r="Q366" s="44">
        <v>549.79</v>
      </c>
      <c r="R366" s="44">
        <v>450.65</v>
      </c>
      <c r="S366" s="44">
        <v>439.83</v>
      </c>
      <c r="T366" s="44">
        <v>360.52</v>
      </c>
      <c r="U366" s="42"/>
      <c r="V366" s="42"/>
      <c r="W366" s="42" t="s">
        <v>40</v>
      </c>
      <c r="X366" s="45">
        <v>2.1999999999999999E-2</v>
      </c>
      <c r="Y366" s="46">
        <v>9.7E-5</v>
      </c>
      <c r="Z366" s="21">
        <v>4601004334786</v>
      </c>
    </row>
    <row r="367" spans="1:26" ht="12" customHeight="1" outlineLevel="4" x14ac:dyDescent="0.2">
      <c r="A367" s="40" t="s">
        <v>8736</v>
      </c>
      <c r="B367" s="75" t="s">
        <v>8737</v>
      </c>
      <c r="C367" s="51"/>
      <c r="D367" s="54">
        <f t="shared" si="5"/>
        <v>0</v>
      </c>
      <c r="E367" s="61" t="str">
        <f>HYPERLINK("https://www.sds-group.ru/product/sverlo-metchik-m8-r6m5-titan-kranz-KR-91-0697/", "Инфо")</f>
        <v>Инфо</v>
      </c>
      <c r="F367" s="42" t="s">
        <v>39</v>
      </c>
      <c r="G367" s="41" t="s">
        <v>40</v>
      </c>
      <c r="H367" s="41"/>
      <c r="I367" s="41"/>
      <c r="J367" s="43">
        <v>132</v>
      </c>
      <c r="K367" s="41" t="s">
        <v>6344</v>
      </c>
      <c r="L367" s="43">
        <v>1</v>
      </c>
      <c r="M367" s="43">
        <v>200</v>
      </c>
      <c r="N367" s="43">
        <v>1</v>
      </c>
      <c r="O367" s="44">
        <v>679.15</v>
      </c>
      <c r="P367" s="44">
        <v>556.67999999999995</v>
      </c>
      <c r="Q367" s="44">
        <v>577.28</v>
      </c>
      <c r="R367" s="44">
        <v>473.18</v>
      </c>
      <c r="S367" s="44">
        <v>461.82</v>
      </c>
      <c r="T367" s="44">
        <v>378.54</v>
      </c>
      <c r="U367" s="42"/>
      <c r="V367" s="42"/>
      <c r="W367" s="42" t="s">
        <v>40</v>
      </c>
      <c r="X367" s="45">
        <v>2.4E-2</v>
      </c>
      <c r="Y367" s="46">
        <v>9.5000000000000005E-5</v>
      </c>
      <c r="Z367" s="21">
        <v>4601004334793</v>
      </c>
    </row>
    <row r="368" spans="1:26" ht="12.95" customHeight="1" outlineLevel="2" x14ac:dyDescent="0.2">
      <c r="A368" s="76" t="s">
        <v>9118</v>
      </c>
      <c r="B368" s="76"/>
      <c r="C368" s="77"/>
      <c r="D368" s="58"/>
      <c r="E368" s="68"/>
      <c r="F368" s="30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 spans="1:26" ht="12.95" customHeight="1" outlineLevel="3" x14ac:dyDescent="0.2">
      <c r="A369" s="76" t="s">
        <v>9162</v>
      </c>
      <c r="B369" s="76"/>
      <c r="C369" s="77"/>
      <c r="D369" s="58"/>
      <c r="E369" s="68"/>
      <c r="F369" s="30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 spans="1:26" ht="12" customHeight="1" outlineLevel="4" x14ac:dyDescent="0.2">
      <c r="A370" s="40" t="s">
        <v>9165</v>
      </c>
      <c r="B370" s="75" t="s">
        <v>9166</v>
      </c>
      <c r="C370" s="51"/>
      <c r="D370" s="54">
        <f t="shared" si="5"/>
        <v>0</v>
      </c>
      <c r="E370" s="61" t="str">
        <f>HYPERLINK("https://www.sds-group.ru/product/nabor-sverl-kombinirovannyy-10-predmetov-kranz-KR-92-0470/", "Инфо")</f>
        <v>Инфо</v>
      </c>
      <c r="F370" s="42" t="s">
        <v>39</v>
      </c>
      <c r="G370" s="41" t="s">
        <v>40</v>
      </c>
      <c r="H370" s="41"/>
      <c r="I370" s="41"/>
      <c r="J370" s="43">
        <v>43</v>
      </c>
      <c r="K370" s="41" t="s">
        <v>6344</v>
      </c>
      <c r="L370" s="43">
        <v>1</v>
      </c>
      <c r="M370" s="43">
        <v>35</v>
      </c>
      <c r="N370" s="43">
        <v>1</v>
      </c>
      <c r="O370" s="44">
        <v>1293.6199999999999</v>
      </c>
      <c r="P370" s="44">
        <v>1060.3399999999999</v>
      </c>
      <c r="Q370" s="44">
        <v>1099.58</v>
      </c>
      <c r="R370" s="44">
        <v>901.3</v>
      </c>
      <c r="S370" s="44">
        <v>879.66</v>
      </c>
      <c r="T370" s="44">
        <v>721.03</v>
      </c>
      <c r="U370" s="42"/>
      <c r="V370" s="42"/>
      <c r="W370" s="42" t="s">
        <v>40</v>
      </c>
      <c r="X370" s="45">
        <v>0.27300000000000002</v>
      </c>
      <c r="Y370" s="46">
        <v>5.3300000000000005E-4</v>
      </c>
      <c r="Z370" s="21">
        <v>4601004336094</v>
      </c>
    </row>
    <row r="371" spans="1:26" ht="12.95" customHeight="1" outlineLevel="2" x14ac:dyDescent="0.2">
      <c r="A371" s="76" t="s">
        <v>9288</v>
      </c>
      <c r="B371" s="76"/>
      <c r="C371" s="77"/>
      <c r="D371" s="58"/>
      <c r="E371" s="68"/>
      <c r="F371" s="30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 spans="1:26" ht="12.95" customHeight="1" outlineLevel="3" x14ac:dyDescent="0.2">
      <c r="A372" s="76" t="s">
        <v>9289</v>
      </c>
      <c r="B372" s="76"/>
      <c r="C372" s="77"/>
      <c r="D372" s="58"/>
      <c r="E372" s="68"/>
      <c r="F372" s="30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 spans="1:26" ht="12" customHeight="1" outlineLevel="4" x14ac:dyDescent="0.2">
      <c r="A373" s="40" t="s">
        <v>9306</v>
      </c>
      <c r="B373" s="75" t="s">
        <v>9307</v>
      </c>
      <c r="C373" s="51"/>
      <c r="D373" s="54">
        <f t="shared" si="5"/>
        <v>0</v>
      </c>
      <c r="E373" s="61" t="str">
        <f>HYPERLINK("https://www.sds-group.ru/product/disk-almaznyy-troynoy-segmentnyy-125h22-2mm-suhaya-rezka-kranz-KR-90-0101-3/", "Инфо")</f>
        <v>Инфо</v>
      </c>
      <c r="F373" s="42" t="s">
        <v>39</v>
      </c>
      <c r="G373" s="41" t="s">
        <v>40</v>
      </c>
      <c r="H373" s="41"/>
      <c r="I373" s="41"/>
      <c r="J373" s="43">
        <v>770</v>
      </c>
      <c r="K373" s="41" t="s">
        <v>1058</v>
      </c>
      <c r="L373" s="43">
        <v>1</v>
      </c>
      <c r="M373" s="43">
        <v>50</v>
      </c>
      <c r="N373" s="43">
        <v>1</v>
      </c>
      <c r="O373" s="44">
        <v>4581.59</v>
      </c>
      <c r="P373" s="44">
        <v>3755.4</v>
      </c>
      <c r="Q373" s="44">
        <v>3665.27</v>
      </c>
      <c r="R373" s="44">
        <v>3004.32</v>
      </c>
      <c r="S373" s="44">
        <v>3115.48</v>
      </c>
      <c r="T373" s="44">
        <v>2553.67</v>
      </c>
      <c r="U373" s="42"/>
      <c r="V373" s="42"/>
      <c r="W373" s="42" t="s">
        <v>40</v>
      </c>
      <c r="X373" s="45">
        <v>0.52700000000000002</v>
      </c>
      <c r="Y373" s="46">
        <v>5.04E-4</v>
      </c>
      <c r="Z373" s="21">
        <v>4601004305038</v>
      </c>
    </row>
    <row r="374" spans="1:26" ht="12.95" customHeight="1" outlineLevel="3" x14ac:dyDescent="0.2">
      <c r="A374" s="76" t="s">
        <v>9414</v>
      </c>
      <c r="B374" s="76"/>
      <c r="C374" s="77"/>
      <c r="D374" s="58"/>
      <c r="E374" s="68"/>
      <c r="F374" s="30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 spans="1:26" ht="12" customHeight="1" outlineLevel="4" x14ac:dyDescent="0.2">
      <c r="A375" s="40" t="s">
        <v>9415</v>
      </c>
      <c r="B375" s="75" t="s">
        <v>9416</v>
      </c>
      <c r="C375" s="51"/>
      <c r="D375" s="54">
        <f t="shared" si="5"/>
        <v>0</v>
      </c>
      <c r="E375" s="61" t="str">
        <f>HYPERLINK("https://www.sds-group.ru/product/krug-almaznyy-gibkiy-shlifovalnyy-cherepashka-100mm-p100-suhoe-shlifovanie-kranz-KR-90-0322/", "Инфо")</f>
        <v>Инфо</v>
      </c>
      <c r="F375" s="42" t="s">
        <v>39</v>
      </c>
      <c r="G375" s="41" t="s">
        <v>40</v>
      </c>
      <c r="H375" s="41"/>
      <c r="I375" s="41"/>
      <c r="J375" s="43">
        <v>86</v>
      </c>
      <c r="K375" s="41" t="s">
        <v>662</v>
      </c>
      <c r="L375" s="43">
        <v>1</v>
      </c>
      <c r="M375" s="43">
        <v>100</v>
      </c>
      <c r="N375" s="43">
        <v>1</v>
      </c>
      <c r="O375" s="44">
        <v>539.01</v>
      </c>
      <c r="P375" s="44">
        <v>441.81</v>
      </c>
      <c r="Q375" s="44">
        <v>404.26</v>
      </c>
      <c r="R375" s="44">
        <v>331.36</v>
      </c>
      <c r="S375" s="44">
        <v>366.53</v>
      </c>
      <c r="T375" s="44">
        <v>300.43</v>
      </c>
      <c r="U375" s="42"/>
      <c r="V375" s="42"/>
      <c r="W375" s="42" t="s">
        <v>40</v>
      </c>
      <c r="X375" s="45">
        <v>4.7E-2</v>
      </c>
      <c r="Y375" s="46">
        <v>3.2400000000000001E-4</v>
      </c>
      <c r="Z375" s="21">
        <v>4601004332157</v>
      </c>
    </row>
    <row r="376" spans="1:26" ht="12" customHeight="1" outlineLevel="4" x14ac:dyDescent="0.2">
      <c r="A376" s="40" t="s">
        <v>9417</v>
      </c>
      <c r="B376" s="75" t="s">
        <v>9418</v>
      </c>
      <c r="C376" s="51"/>
      <c r="D376" s="54">
        <f t="shared" si="5"/>
        <v>0</v>
      </c>
      <c r="E376" s="61" t="str">
        <f>HYPERLINK("https://www.sds-group.ru/product/krug-almaznyy-gibkiy-shlifovalnyy-cherepashka-100mm-p100-suhoe-mokroe-shlifovanie-kranz-KR-90-0302/", "Инфо")</f>
        <v>Инфо</v>
      </c>
      <c r="F376" s="42" t="s">
        <v>39</v>
      </c>
      <c r="G376" s="41" t="s">
        <v>40</v>
      </c>
      <c r="H376" s="41"/>
      <c r="I376" s="41"/>
      <c r="J376" s="43">
        <v>37</v>
      </c>
      <c r="K376" s="41" t="s">
        <v>662</v>
      </c>
      <c r="L376" s="43">
        <v>1</v>
      </c>
      <c r="M376" s="43">
        <v>100</v>
      </c>
      <c r="N376" s="43">
        <v>1</v>
      </c>
      <c r="O376" s="44">
        <v>409.65</v>
      </c>
      <c r="P376" s="44">
        <v>335.78</v>
      </c>
      <c r="Q376" s="44">
        <v>307.24</v>
      </c>
      <c r="R376" s="44">
        <v>251.84</v>
      </c>
      <c r="S376" s="44">
        <v>278.56</v>
      </c>
      <c r="T376" s="44">
        <v>228.33</v>
      </c>
      <c r="U376" s="42"/>
      <c r="V376" s="42"/>
      <c r="W376" s="42" t="s">
        <v>40</v>
      </c>
      <c r="X376" s="45">
        <v>5.8999999999999997E-2</v>
      </c>
      <c r="Y376" s="46">
        <v>3.1599999999999998E-4</v>
      </c>
      <c r="Z376" s="21">
        <v>4601004339262</v>
      </c>
    </row>
    <row r="377" spans="1:26" ht="12" customHeight="1" outlineLevel="4" x14ac:dyDescent="0.2">
      <c r="A377" s="40" t="s">
        <v>9419</v>
      </c>
      <c r="B377" s="75" t="s">
        <v>9420</v>
      </c>
      <c r="C377" s="51"/>
      <c r="D377" s="54">
        <f t="shared" si="5"/>
        <v>0</v>
      </c>
      <c r="E377" s="61" t="str">
        <f>HYPERLINK("https://www.sds-group.ru/product/krug-almaznyy-gibkiy-shlifovalnyy-cherepashka-100mm-p1500-suhoe-shlifovanie-kranz-KR-90-0326/", "Инфо")</f>
        <v>Инфо</v>
      </c>
      <c r="F377" s="42" t="s">
        <v>39</v>
      </c>
      <c r="G377" s="41" t="s">
        <v>40</v>
      </c>
      <c r="H377" s="41"/>
      <c r="I377" s="41"/>
      <c r="J377" s="43">
        <v>97</v>
      </c>
      <c r="K377" s="41" t="s">
        <v>1058</v>
      </c>
      <c r="L377" s="43">
        <v>1</v>
      </c>
      <c r="M377" s="43">
        <v>100</v>
      </c>
      <c r="N377" s="43">
        <v>1</v>
      </c>
      <c r="O377" s="44">
        <v>539.01</v>
      </c>
      <c r="P377" s="44">
        <v>441.81</v>
      </c>
      <c r="Q377" s="44">
        <v>404.26</v>
      </c>
      <c r="R377" s="44">
        <v>331.36</v>
      </c>
      <c r="S377" s="44">
        <v>366.53</v>
      </c>
      <c r="T377" s="44">
        <v>300.43</v>
      </c>
      <c r="U377" s="42"/>
      <c r="V377" s="42"/>
      <c r="W377" s="42" t="s">
        <v>40</v>
      </c>
      <c r="X377" s="45">
        <v>4.1000000000000002E-2</v>
      </c>
      <c r="Y377" s="46">
        <v>2.43E-4</v>
      </c>
      <c r="Z377" s="21">
        <v>4601004332218</v>
      </c>
    </row>
    <row r="378" spans="1:26" ht="12" customHeight="1" outlineLevel="4" x14ac:dyDescent="0.2">
      <c r="A378" s="40" t="s">
        <v>9421</v>
      </c>
      <c r="B378" s="75" t="s">
        <v>9422</v>
      </c>
      <c r="C378" s="51"/>
      <c r="D378" s="54">
        <f t="shared" si="5"/>
        <v>0</v>
      </c>
      <c r="E378" s="61" t="str">
        <f>HYPERLINK("https://www.sds-group.ru/product/krug-almaznyy-gibkiy-shlifovalnyy-cherepashka-100mm-p1500-suhoe-mokroe-shlifovanie-kranz-KR-90-0306/", "Инфо")</f>
        <v>Инфо</v>
      </c>
      <c r="F378" s="42" t="s">
        <v>39</v>
      </c>
      <c r="G378" s="41" t="s">
        <v>40</v>
      </c>
      <c r="H378" s="41"/>
      <c r="I378" s="41"/>
      <c r="J378" s="42" t="s">
        <v>100</v>
      </c>
      <c r="K378" s="41" t="s">
        <v>1058</v>
      </c>
      <c r="L378" s="43">
        <v>5</v>
      </c>
      <c r="M378" s="43">
        <v>100</v>
      </c>
      <c r="N378" s="43">
        <v>5</v>
      </c>
      <c r="O378" s="44">
        <v>409.65</v>
      </c>
      <c r="P378" s="44">
        <v>335.78</v>
      </c>
      <c r="Q378" s="44">
        <v>307.24</v>
      </c>
      <c r="R378" s="44">
        <v>251.84</v>
      </c>
      <c r="S378" s="44">
        <v>278.56</v>
      </c>
      <c r="T378" s="44">
        <v>228.33</v>
      </c>
      <c r="U378" s="42"/>
      <c r="V378" s="42"/>
      <c r="W378" s="42" t="s">
        <v>40</v>
      </c>
      <c r="X378" s="45">
        <v>4.9000000000000002E-2</v>
      </c>
      <c r="Y378" s="46">
        <v>2.03E-4</v>
      </c>
      <c r="Z378" s="21">
        <v>4601004339309</v>
      </c>
    </row>
    <row r="379" spans="1:26" ht="12" customHeight="1" outlineLevel="4" x14ac:dyDescent="0.2">
      <c r="A379" s="40" t="s">
        <v>9423</v>
      </c>
      <c r="B379" s="75" t="s">
        <v>9424</v>
      </c>
      <c r="C379" s="51"/>
      <c r="D379" s="54">
        <f t="shared" si="5"/>
        <v>0</v>
      </c>
      <c r="E379" s="61" t="str">
        <f>HYPERLINK("https://www.sds-group.ru/product/krug-almaznyy-gibkiy-shlifovalnyy-cherepashka-100mm-p200-suhoe-shlifovanie-kranz-KR-90-0323/", "Инфо")</f>
        <v>Инфо</v>
      </c>
      <c r="F379" s="42" t="s">
        <v>39</v>
      </c>
      <c r="G379" s="41" t="s">
        <v>40</v>
      </c>
      <c r="H379" s="41"/>
      <c r="I379" s="41"/>
      <c r="J379" s="43">
        <v>157</v>
      </c>
      <c r="K379" s="41" t="s">
        <v>662</v>
      </c>
      <c r="L379" s="43">
        <v>1</v>
      </c>
      <c r="M379" s="43">
        <v>100</v>
      </c>
      <c r="N379" s="43">
        <v>1</v>
      </c>
      <c r="O379" s="44">
        <v>539.01</v>
      </c>
      <c r="P379" s="44">
        <v>441.81</v>
      </c>
      <c r="Q379" s="44">
        <v>404.26</v>
      </c>
      <c r="R379" s="44">
        <v>331.36</v>
      </c>
      <c r="S379" s="44">
        <v>366.53</v>
      </c>
      <c r="T379" s="44">
        <v>300.43</v>
      </c>
      <c r="U379" s="42"/>
      <c r="V379" s="42"/>
      <c r="W379" s="42" t="s">
        <v>40</v>
      </c>
      <c r="X379" s="45">
        <v>4.7E-2</v>
      </c>
      <c r="Y379" s="46">
        <v>3.1100000000000002E-4</v>
      </c>
      <c r="Z379" s="21">
        <v>4601004332195</v>
      </c>
    </row>
    <row r="380" spans="1:26" ht="12" customHeight="1" outlineLevel="4" x14ac:dyDescent="0.2">
      <c r="A380" s="40" t="s">
        <v>9425</v>
      </c>
      <c r="B380" s="75" t="s">
        <v>9426</v>
      </c>
      <c r="C380" s="51"/>
      <c r="D380" s="54">
        <f t="shared" si="5"/>
        <v>0</v>
      </c>
      <c r="E380" s="61" t="str">
        <f>HYPERLINK("https://www.sds-group.ru/product/krug-almaznyy-gibkiy-shlifovalnyy-cherepashka-100mm-p200-suhoe-mokroe-shlifovanie-kranz-KR-90-0303/", "Инфо")</f>
        <v>Инфо</v>
      </c>
      <c r="F380" s="42" t="s">
        <v>39</v>
      </c>
      <c r="G380" s="41" t="s">
        <v>40</v>
      </c>
      <c r="H380" s="41"/>
      <c r="I380" s="41"/>
      <c r="J380" s="43">
        <v>32</v>
      </c>
      <c r="K380" s="41" t="s">
        <v>662</v>
      </c>
      <c r="L380" s="43">
        <v>1</v>
      </c>
      <c r="M380" s="43">
        <v>100</v>
      </c>
      <c r="N380" s="43">
        <v>1</v>
      </c>
      <c r="O380" s="44">
        <v>409.65</v>
      </c>
      <c r="P380" s="44">
        <v>335.78</v>
      </c>
      <c r="Q380" s="44">
        <v>307.24</v>
      </c>
      <c r="R380" s="44">
        <v>251.84</v>
      </c>
      <c r="S380" s="44">
        <v>278.56</v>
      </c>
      <c r="T380" s="44">
        <v>228.33</v>
      </c>
      <c r="U380" s="42"/>
      <c r="V380" s="42"/>
      <c r="W380" s="42" t="s">
        <v>40</v>
      </c>
      <c r="X380" s="45">
        <v>5.7000000000000002E-2</v>
      </c>
      <c r="Y380" s="46">
        <v>3.0800000000000001E-4</v>
      </c>
      <c r="Z380" s="21">
        <v>4601004339279</v>
      </c>
    </row>
    <row r="381" spans="1:26" ht="12" customHeight="1" outlineLevel="4" x14ac:dyDescent="0.2">
      <c r="A381" s="40" t="s">
        <v>9427</v>
      </c>
      <c r="B381" s="75" t="s">
        <v>9428</v>
      </c>
      <c r="C381" s="51"/>
      <c r="D381" s="54">
        <f t="shared" si="5"/>
        <v>0</v>
      </c>
      <c r="E381" s="61" t="str">
        <f>HYPERLINK("https://www.sds-group.ru/product/krug-almaznyy-gibkiy-shlifovalnyy-cherepashka-100mm-p3000-suhoe-shlifovanie-kranz-KR-90-0327/", "Инфо")</f>
        <v>Инфо</v>
      </c>
      <c r="F381" s="42" t="s">
        <v>39</v>
      </c>
      <c r="G381" s="41" t="s">
        <v>40</v>
      </c>
      <c r="H381" s="41"/>
      <c r="I381" s="41"/>
      <c r="J381" s="42" t="s">
        <v>100</v>
      </c>
      <c r="K381" s="41" t="s">
        <v>662</v>
      </c>
      <c r="L381" s="43">
        <v>1</v>
      </c>
      <c r="M381" s="43">
        <v>100</v>
      </c>
      <c r="N381" s="43">
        <v>1</v>
      </c>
      <c r="O381" s="44">
        <v>539.01</v>
      </c>
      <c r="P381" s="44">
        <v>441.81</v>
      </c>
      <c r="Q381" s="44">
        <v>404.26</v>
      </c>
      <c r="R381" s="44">
        <v>331.36</v>
      </c>
      <c r="S381" s="44">
        <v>366.53</v>
      </c>
      <c r="T381" s="44">
        <v>300.43</v>
      </c>
      <c r="U381" s="42"/>
      <c r="V381" s="42"/>
      <c r="W381" s="42" t="s">
        <v>40</v>
      </c>
      <c r="X381" s="45">
        <v>0.04</v>
      </c>
      <c r="Y381" s="46">
        <v>2.0699999999999999E-4</v>
      </c>
      <c r="Z381" s="21">
        <v>4601004332232</v>
      </c>
    </row>
    <row r="382" spans="1:26" ht="12" customHeight="1" outlineLevel="4" x14ac:dyDescent="0.2">
      <c r="A382" s="40" t="s">
        <v>9429</v>
      </c>
      <c r="B382" s="75" t="s">
        <v>9430</v>
      </c>
      <c r="C382" s="51"/>
      <c r="D382" s="54">
        <f t="shared" si="5"/>
        <v>0</v>
      </c>
      <c r="E382" s="61" t="str">
        <f>HYPERLINK("https://www.sds-group.ru/product/krug-almaznyy-gibkiy-shlifovalnyy-cherepashka-100mm-p3000-suhoe-mokroe-shlifovanie-kranz-KR-90-0307/", "Инфо")</f>
        <v>Инфо</v>
      </c>
      <c r="F382" s="42" t="s">
        <v>39</v>
      </c>
      <c r="G382" s="41" t="s">
        <v>40</v>
      </c>
      <c r="H382" s="41"/>
      <c r="I382" s="41"/>
      <c r="J382" s="42" t="s">
        <v>100</v>
      </c>
      <c r="K382" s="41" t="s">
        <v>1058</v>
      </c>
      <c r="L382" s="43">
        <v>5</v>
      </c>
      <c r="M382" s="43">
        <v>100</v>
      </c>
      <c r="N382" s="43">
        <v>5</v>
      </c>
      <c r="O382" s="44">
        <v>366.53</v>
      </c>
      <c r="P382" s="44">
        <v>300.43</v>
      </c>
      <c r="Q382" s="44">
        <v>256.57</v>
      </c>
      <c r="R382" s="44">
        <v>210.3</v>
      </c>
      <c r="S382" s="44">
        <v>249.24</v>
      </c>
      <c r="T382" s="44">
        <v>204.3</v>
      </c>
      <c r="U382" s="42"/>
      <c r="V382" s="42"/>
      <c r="W382" s="42" t="s">
        <v>40</v>
      </c>
      <c r="X382" s="45">
        <v>5.3999999999999999E-2</v>
      </c>
      <c r="Y382" s="46">
        <v>2.42E-4</v>
      </c>
      <c r="Z382" s="21">
        <v>4601004332119</v>
      </c>
    </row>
    <row r="383" spans="1:26" ht="12" customHeight="1" outlineLevel="4" x14ac:dyDescent="0.2">
      <c r="A383" s="40" t="s">
        <v>9431</v>
      </c>
      <c r="B383" s="75" t="s">
        <v>9432</v>
      </c>
      <c r="C383" s="51"/>
      <c r="D383" s="54">
        <f t="shared" si="5"/>
        <v>0</v>
      </c>
      <c r="E383" s="61" t="str">
        <f>HYPERLINK("https://www.sds-group.ru/product/krug-almaznyy-gibkiy-shlifovalnyy-cherepashka-100mm-p400-suhoe-mokroe-shlifovanie-kranz-KR-90-0304/", "Инфо")</f>
        <v>Инфо</v>
      </c>
      <c r="F383" s="42" t="s">
        <v>39</v>
      </c>
      <c r="G383" s="41" t="s">
        <v>40</v>
      </c>
      <c r="H383" s="41"/>
      <c r="I383" s="41"/>
      <c r="J383" s="43">
        <v>41</v>
      </c>
      <c r="K383" s="41" t="s">
        <v>1058</v>
      </c>
      <c r="L383" s="43">
        <v>5</v>
      </c>
      <c r="M383" s="43">
        <v>100</v>
      </c>
      <c r="N383" s="43">
        <v>5</v>
      </c>
      <c r="O383" s="44">
        <v>409.65</v>
      </c>
      <c r="P383" s="44">
        <v>335.78</v>
      </c>
      <c r="Q383" s="44">
        <v>307.24</v>
      </c>
      <c r="R383" s="44">
        <v>251.84</v>
      </c>
      <c r="S383" s="44">
        <v>278.56</v>
      </c>
      <c r="T383" s="44">
        <v>228.33</v>
      </c>
      <c r="U383" s="42"/>
      <c r="V383" s="42"/>
      <c r="W383" s="42" t="s">
        <v>40</v>
      </c>
      <c r="X383" s="45">
        <v>5.6000000000000001E-2</v>
      </c>
      <c r="Y383" s="46">
        <v>3.1E-4</v>
      </c>
      <c r="Z383" s="21">
        <v>4601004339286</v>
      </c>
    </row>
    <row r="384" spans="1:26" ht="12" customHeight="1" outlineLevel="4" x14ac:dyDescent="0.2">
      <c r="A384" s="40" t="s">
        <v>9433</v>
      </c>
      <c r="B384" s="75" t="s">
        <v>9434</v>
      </c>
      <c r="C384" s="51"/>
      <c r="D384" s="54">
        <f t="shared" si="5"/>
        <v>0</v>
      </c>
      <c r="E384" s="61" t="str">
        <f>HYPERLINK("https://www.sds-group.ru/product/krug-almaznyy-gibkiy-shlifovalnyy-cherepashka-100mm-p50-suhoe-shlifovanie-kranz-KR-90-0321/", "Инфо")</f>
        <v>Инфо</v>
      </c>
      <c r="F384" s="42" t="s">
        <v>39</v>
      </c>
      <c r="G384" s="41" t="s">
        <v>40</v>
      </c>
      <c r="H384" s="41"/>
      <c r="I384" s="41"/>
      <c r="J384" s="43">
        <v>524</v>
      </c>
      <c r="K384" s="41"/>
      <c r="L384" s="43">
        <v>1</v>
      </c>
      <c r="M384" s="43">
        <v>100</v>
      </c>
      <c r="N384" s="43">
        <v>1</v>
      </c>
      <c r="O384" s="44">
        <v>539.01</v>
      </c>
      <c r="P384" s="44">
        <v>441.81</v>
      </c>
      <c r="Q384" s="44">
        <v>404.26</v>
      </c>
      <c r="R384" s="44">
        <v>331.36</v>
      </c>
      <c r="S384" s="44">
        <v>366.53</v>
      </c>
      <c r="T384" s="44">
        <v>300.43</v>
      </c>
      <c r="U384" s="42"/>
      <c r="V384" s="42"/>
      <c r="W384" s="42" t="s">
        <v>40</v>
      </c>
      <c r="X384" s="45">
        <v>4.7E-2</v>
      </c>
      <c r="Y384" s="46">
        <v>3.1300000000000002E-4</v>
      </c>
      <c r="Z384" s="21">
        <v>4601004332171</v>
      </c>
    </row>
    <row r="385" spans="1:26" ht="12" customHeight="1" outlineLevel="4" x14ac:dyDescent="0.2">
      <c r="A385" s="40" t="s">
        <v>9435</v>
      </c>
      <c r="B385" s="75" t="s">
        <v>9436</v>
      </c>
      <c r="C385" s="51"/>
      <c r="D385" s="54">
        <f t="shared" si="5"/>
        <v>0</v>
      </c>
      <c r="E385" s="61" t="str">
        <f>HYPERLINK("https://www.sds-group.ru/product/krug-almaznyy-gibkiy-shlifovalnyy-cherepashka-100mm-p50-suhoe-mokroe-shlifovanie-kranz-KR-90-0301/", "Инфо")</f>
        <v>Инфо</v>
      </c>
      <c r="F385" s="42" t="s">
        <v>39</v>
      </c>
      <c r="G385" s="41" t="s">
        <v>40</v>
      </c>
      <c r="H385" s="41"/>
      <c r="I385" s="41"/>
      <c r="J385" s="42" t="s">
        <v>100</v>
      </c>
      <c r="K385" s="41" t="s">
        <v>662</v>
      </c>
      <c r="L385" s="43">
        <v>5</v>
      </c>
      <c r="M385" s="43">
        <v>100</v>
      </c>
      <c r="N385" s="43">
        <v>5</v>
      </c>
      <c r="O385" s="44">
        <v>409.65</v>
      </c>
      <c r="P385" s="44">
        <v>335.78</v>
      </c>
      <c r="Q385" s="44">
        <v>307.24</v>
      </c>
      <c r="R385" s="44">
        <v>251.84</v>
      </c>
      <c r="S385" s="44">
        <v>278.56</v>
      </c>
      <c r="T385" s="44">
        <v>228.33</v>
      </c>
      <c r="U385" s="42"/>
      <c r="V385" s="42"/>
      <c r="W385" s="42" t="s">
        <v>40</v>
      </c>
      <c r="X385" s="45">
        <v>5.8000000000000003E-2</v>
      </c>
      <c r="Y385" s="46">
        <v>3.1E-4</v>
      </c>
      <c r="Z385" s="21">
        <v>4601004339255</v>
      </c>
    </row>
    <row r="386" spans="1:26" ht="12" customHeight="1" outlineLevel="4" x14ac:dyDescent="0.2">
      <c r="A386" s="40" t="s">
        <v>9437</v>
      </c>
      <c r="B386" s="75" t="s">
        <v>9438</v>
      </c>
      <c r="C386" s="51"/>
      <c r="D386" s="54">
        <f t="shared" si="5"/>
        <v>0</v>
      </c>
      <c r="E386" s="61" t="str">
        <f>HYPERLINK("https://www.sds-group.ru/product/krug-almaznyy-gibkiy-shlifovalnyy-cherepashka-100mm-p800-suhoe-mokroe-shlifovanie-kranz-KR-90-0305/", "Инфо")</f>
        <v>Инфо</v>
      </c>
      <c r="F386" s="42" t="s">
        <v>39</v>
      </c>
      <c r="G386" s="41" t="s">
        <v>40</v>
      </c>
      <c r="H386" s="41"/>
      <c r="I386" s="41"/>
      <c r="J386" s="42" t="s">
        <v>100</v>
      </c>
      <c r="K386" s="41" t="s">
        <v>1058</v>
      </c>
      <c r="L386" s="43">
        <v>5</v>
      </c>
      <c r="M386" s="43">
        <v>100</v>
      </c>
      <c r="N386" s="43">
        <v>5</v>
      </c>
      <c r="O386" s="44">
        <v>409.65</v>
      </c>
      <c r="P386" s="44">
        <v>335.78</v>
      </c>
      <c r="Q386" s="44">
        <v>307.24</v>
      </c>
      <c r="R386" s="44">
        <v>251.84</v>
      </c>
      <c r="S386" s="44">
        <v>278.56</v>
      </c>
      <c r="T386" s="44">
        <v>228.33</v>
      </c>
      <c r="U386" s="42"/>
      <c r="V386" s="42"/>
      <c r="W386" s="42" t="s">
        <v>40</v>
      </c>
      <c r="X386" s="45">
        <v>4.3999999999999997E-2</v>
      </c>
      <c r="Y386" s="46">
        <v>2.0799999999999999E-4</v>
      </c>
      <c r="Z386" s="21">
        <v>4601004339293</v>
      </c>
    </row>
    <row r="387" spans="1:26" ht="12" customHeight="1" outlineLevel="4" x14ac:dyDescent="0.2">
      <c r="A387" s="40" t="s">
        <v>9439</v>
      </c>
      <c r="B387" s="75" t="s">
        <v>9440</v>
      </c>
      <c r="C387" s="51"/>
      <c r="D387" s="54">
        <f t="shared" si="5"/>
        <v>0</v>
      </c>
      <c r="E387" s="61" t="str">
        <f>HYPERLINK("https://www.sds-group.ru/product/krug-almaznyy-gibkiy-shlifovalnyy-cherepashka-125mm-p100-suhoe-mokroe-shlifovanie-kranz-KR-90-0309/", "Инфо")</f>
        <v>Инфо</v>
      </c>
      <c r="F387" s="42" t="s">
        <v>39</v>
      </c>
      <c r="G387" s="41" t="s">
        <v>40</v>
      </c>
      <c r="H387" s="41"/>
      <c r="I387" s="41"/>
      <c r="J387" s="43">
        <v>350</v>
      </c>
      <c r="K387" s="41" t="s">
        <v>1058</v>
      </c>
      <c r="L387" s="43">
        <v>1</v>
      </c>
      <c r="M387" s="43">
        <v>100</v>
      </c>
      <c r="N387" s="43">
        <v>1</v>
      </c>
      <c r="O387" s="44">
        <v>754.61</v>
      </c>
      <c r="P387" s="44">
        <v>618.53</v>
      </c>
      <c r="Q387" s="44">
        <v>565.96</v>
      </c>
      <c r="R387" s="44">
        <v>463.9</v>
      </c>
      <c r="S387" s="44">
        <v>513.13</v>
      </c>
      <c r="T387" s="44">
        <v>420.6</v>
      </c>
      <c r="U387" s="42"/>
      <c r="V387" s="42"/>
      <c r="W387" s="42" t="s">
        <v>40</v>
      </c>
      <c r="X387" s="45">
        <v>8.5999999999999993E-2</v>
      </c>
      <c r="Y387" s="46">
        <v>3.7399999999999998E-4</v>
      </c>
      <c r="Z387" s="21">
        <v>4601004332126</v>
      </c>
    </row>
    <row r="388" spans="1:26" ht="12" customHeight="1" outlineLevel="4" x14ac:dyDescent="0.2">
      <c r="A388" s="40" t="s">
        <v>9441</v>
      </c>
      <c r="B388" s="75" t="s">
        <v>9442</v>
      </c>
      <c r="C388" s="51"/>
      <c r="D388" s="54">
        <f t="shared" si="5"/>
        <v>0</v>
      </c>
      <c r="E388" s="61" t="str">
        <f>HYPERLINK("https://www.sds-group.ru/product/krug-almaznyy-gibkiy-shlifovalnyy-cherepashka-125mm-p1500-suhoe-mokroe-shlifovanie-kranz-KR-90-0313/", "Инфо")</f>
        <v>Инфо</v>
      </c>
      <c r="F388" s="42" t="s">
        <v>39</v>
      </c>
      <c r="G388" s="41" t="s">
        <v>40</v>
      </c>
      <c r="H388" s="41"/>
      <c r="I388" s="41"/>
      <c r="J388" s="43">
        <v>190</v>
      </c>
      <c r="K388" s="41" t="s">
        <v>662</v>
      </c>
      <c r="L388" s="43">
        <v>1</v>
      </c>
      <c r="M388" s="43">
        <v>100</v>
      </c>
      <c r="N388" s="43">
        <v>1</v>
      </c>
      <c r="O388" s="44">
        <v>700.71</v>
      </c>
      <c r="P388" s="44">
        <v>574.35</v>
      </c>
      <c r="Q388" s="44">
        <v>525.53</v>
      </c>
      <c r="R388" s="44">
        <v>430.76</v>
      </c>
      <c r="S388" s="44">
        <v>476.48</v>
      </c>
      <c r="T388" s="44">
        <v>390.56</v>
      </c>
      <c r="U388" s="42"/>
      <c r="V388" s="42"/>
      <c r="W388" s="42" t="s">
        <v>40</v>
      </c>
      <c r="X388" s="45">
        <v>7.2999999999999995E-2</v>
      </c>
      <c r="Y388" s="46">
        <v>2.2100000000000001E-4</v>
      </c>
      <c r="Z388" s="21">
        <v>4601004332140</v>
      </c>
    </row>
    <row r="389" spans="1:26" ht="12" customHeight="1" outlineLevel="4" x14ac:dyDescent="0.2">
      <c r="A389" s="40" t="s">
        <v>9443</v>
      </c>
      <c r="B389" s="75" t="s">
        <v>9444</v>
      </c>
      <c r="C389" s="51"/>
      <c r="D389" s="54">
        <f t="shared" si="5"/>
        <v>0</v>
      </c>
      <c r="E389" s="61" t="str">
        <f>HYPERLINK("https://www.sds-group.ru/product/krug-almaznyy-gibkiy-shlifovalnyy-cherepashka-125mm-p200-suhoe-mokroe-shlifovanie-kranz-KR-90-0310/", "Инфо")</f>
        <v>Инфо</v>
      </c>
      <c r="F389" s="42" t="s">
        <v>39</v>
      </c>
      <c r="G389" s="41" t="s">
        <v>40</v>
      </c>
      <c r="H389" s="41"/>
      <c r="I389" s="41"/>
      <c r="J389" s="43">
        <v>18</v>
      </c>
      <c r="K389" s="41" t="s">
        <v>1058</v>
      </c>
      <c r="L389" s="43">
        <v>1</v>
      </c>
      <c r="M389" s="43">
        <v>100</v>
      </c>
      <c r="N389" s="43">
        <v>1</v>
      </c>
      <c r="O389" s="44">
        <v>700.71</v>
      </c>
      <c r="P389" s="44">
        <v>574.35</v>
      </c>
      <c r="Q389" s="44">
        <v>525.53</v>
      </c>
      <c r="R389" s="44">
        <v>430.76</v>
      </c>
      <c r="S389" s="44">
        <v>476.48</v>
      </c>
      <c r="T389" s="44">
        <v>390.56</v>
      </c>
      <c r="U389" s="42"/>
      <c r="V389" s="42"/>
      <c r="W389" s="42" t="s">
        <v>40</v>
      </c>
      <c r="X389" s="45">
        <v>7.5999999999999998E-2</v>
      </c>
      <c r="Y389" s="46">
        <v>2.8299999999999999E-4</v>
      </c>
      <c r="Z389" s="21">
        <v>4601004332256</v>
      </c>
    </row>
    <row r="390" spans="1:26" ht="12" customHeight="1" outlineLevel="4" x14ac:dyDescent="0.2">
      <c r="A390" s="40" t="s">
        <v>9445</v>
      </c>
      <c r="B390" s="75" t="s">
        <v>9446</v>
      </c>
      <c r="C390" s="51"/>
      <c r="D390" s="54">
        <f t="shared" si="5"/>
        <v>0</v>
      </c>
      <c r="E390" s="61" t="str">
        <f>HYPERLINK("https://www.sds-group.ru/product/krug-almaznyy-gibkiy-shlifovalnyy-cherepashka-125mm-p3000-suhoe-mokroe-shlifovanie-kranz-KR-90-0314/", "Инфо")</f>
        <v>Инфо</v>
      </c>
      <c r="F390" s="42" t="s">
        <v>39</v>
      </c>
      <c r="G390" s="41" t="s">
        <v>40</v>
      </c>
      <c r="H390" s="41"/>
      <c r="I390" s="41"/>
      <c r="J390" s="43">
        <v>193</v>
      </c>
      <c r="K390" s="41" t="s">
        <v>662</v>
      </c>
      <c r="L390" s="43">
        <v>1</v>
      </c>
      <c r="M390" s="43">
        <v>100</v>
      </c>
      <c r="N390" s="43">
        <v>1</v>
      </c>
      <c r="O390" s="44">
        <v>700.71</v>
      </c>
      <c r="P390" s="44">
        <v>574.35</v>
      </c>
      <c r="Q390" s="44">
        <v>525.53</v>
      </c>
      <c r="R390" s="44">
        <v>430.76</v>
      </c>
      <c r="S390" s="44">
        <v>476.48</v>
      </c>
      <c r="T390" s="44">
        <v>390.56</v>
      </c>
      <c r="U390" s="42"/>
      <c r="V390" s="42"/>
      <c r="W390" s="42" t="s">
        <v>40</v>
      </c>
      <c r="X390" s="45">
        <v>7.0000000000000007E-2</v>
      </c>
      <c r="Y390" s="46">
        <v>2.8699999999999998E-4</v>
      </c>
      <c r="Z390" s="21">
        <v>4601004332133</v>
      </c>
    </row>
    <row r="391" spans="1:26" ht="12" customHeight="1" outlineLevel="4" x14ac:dyDescent="0.2">
      <c r="A391" s="40" t="s">
        <v>9447</v>
      </c>
      <c r="B391" s="75" t="s">
        <v>9448</v>
      </c>
      <c r="C391" s="51"/>
      <c r="D391" s="54">
        <f t="shared" si="5"/>
        <v>0</v>
      </c>
      <c r="E391" s="61" t="str">
        <f>HYPERLINK("https://www.sds-group.ru/product/krug-almaznyy-gibkiy-shlifovalnyy-cherepashka-125mm-p400-suhoe-mokroe-shlifovanie-kranz-KR-90-0311/", "Инфо")</f>
        <v>Инфо</v>
      </c>
      <c r="F391" s="42" t="s">
        <v>39</v>
      </c>
      <c r="G391" s="41" t="s">
        <v>40</v>
      </c>
      <c r="H391" s="41"/>
      <c r="I391" s="41"/>
      <c r="J391" s="42" t="s">
        <v>100</v>
      </c>
      <c r="K391" s="41" t="s">
        <v>1058</v>
      </c>
      <c r="L391" s="43">
        <v>1</v>
      </c>
      <c r="M391" s="43">
        <v>100</v>
      </c>
      <c r="N391" s="43">
        <v>1</v>
      </c>
      <c r="O391" s="44">
        <v>700.71</v>
      </c>
      <c r="P391" s="44">
        <v>574.35</v>
      </c>
      <c r="Q391" s="44">
        <v>525.53</v>
      </c>
      <c r="R391" s="44">
        <v>430.76</v>
      </c>
      <c r="S391" s="44">
        <v>476.48</v>
      </c>
      <c r="T391" s="44">
        <v>390.56</v>
      </c>
      <c r="U391" s="42"/>
      <c r="V391" s="42"/>
      <c r="W391" s="42" t="s">
        <v>40</v>
      </c>
      <c r="X391" s="45">
        <v>7.6999999999999999E-2</v>
      </c>
      <c r="Y391" s="46">
        <v>2.9700000000000001E-4</v>
      </c>
      <c r="Z391" s="21">
        <v>4601004332188</v>
      </c>
    </row>
    <row r="392" spans="1:26" ht="12" customHeight="1" outlineLevel="4" x14ac:dyDescent="0.2">
      <c r="A392" s="40" t="s">
        <v>9449</v>
      </c>
      <c r="B392" s="75" t="s">
        <v>9450</v>
      </c>
      <c r="C392" s="51"/>
      <c r="D392" s="54">
        <f t="shared" si="5"/>
        <v>0</v>
      </c>
      <c r="E392" s="61" t="str">
        <f>HYPERLINK("https://www.sds-group.ru/product/krug-almaznyy-gibkiy-shlifovalnyy-cherepashka-125mm-p50-suhoe-mokroe-shlifovanie-kranz-KR-90-0308/", "Инфо")</f>
        <v>Инфо</v>
      </c>
      <c r="F392" s="42" t="s">
        <v>39</v>
      </c>
      <c r="G392" s="41" t="s">
        <v>40</v>
      </c>
      <c r="H392" s="41"/>
      <c r="I392" s="41"/>
      <c r="J392" s="42" t="s">
        <v>100</v>
      </c>
      <c r="K392" s="41" t="s">
        <v>1058</v>
      </c>
      <c r="L392" s="43">
        <v>1</v>
      </c>
      <c r="M392" s="43">
        <v>100</v>
      </c>
      <c r="N392" s="43">
        <v>1</v>
      </c>
      <c r="O392" s="44">
        <v>754.61</v>
      </c>
      <c r="P392" s="44">
        <v>618.53</v>
      </c>
      <c r="Q392" s="44">
        <v>565.96</v>
      </c>
      <c r="R392" s="44">
        <v>463.9</v>
      </c>
      <c r="S392" s="44">
        <v>513.13</v>
      </c>
      <c r="T392" s="44">
        <v>420.6</v>
      </c>
      <c r="U392" s="42"/>
      <c r="V392" s="42"/>
      <c r="W392" s="42" t="s">
        <v>40</v>
      </c>
      <c r="X392" s="45">
        <v>8.5000000000000006E-2</v>
      </c>
      <c r="Y392" s="46">
        <v>3.77E-4</v>
      </c>
      <c r="Z392" s="21">
        <v>4601004332249</v>
      </c>
    </row>
    <row r="393" spans="1:26" ht="12" customHeight="1" outlineLevel="4" x14ac:dyDescent="0.2">
      <c r="A393" s="40" t="s">
        <v>9451</v>
      </c>
      <c r="B393" s="75" t="s">
        <v>9452</v>
      </c>
      <c r="C393" s="51"/>
      <c r="D393" s="54">
        <f t="shared" si="5"/>
        <v>0</v>
      </c>
      <c r="E393" s="61" t="str">
        <f>HYPERLINK("https://www.sds-group.ru/product/krug-almaznyy-gibkiy-shlifovalnyy-cherepashka-125mm-p800-suhoe-mokroe-shlifovanie-kranz-KR-90-0312/", "Инфо")</f>
        <v>Инфо</v>
      </c>
      <c r="F393" s="42" t="s">
        <v>39</v>
      </c>
      <c r="G393" s="41" t="s">
        <v>40</v>
      </c>
      <c r="H393" s="41"/>
      <c r="I393" s="41"/>
      <c r="J393" s="43">
        <v>29</v>
      </c>
      <c r="K393" s="41" t="s">
        <v>1058</v>
      </c>
      <c r="L393" s="43">
        <v>1</v>
      </c>
      <c r="M393" s="43">
        <v>100</v>
      </c>
      <c r="N393" s="43">
        <v>1</v>
      </c>
      <c r="O393" s="44">
        <v>700.71</v>
      </c>
      <c r="P393" s="44">
        <v>574.35</v>
      </c>
      <c r="Q393" s="44">
        <v>525.53</v>
      </c>
      <c r="R393" s="44">
        <v>430.76</v>
      </c>
      <c r="S393" s="44">
        <v>476.48</v>
      </c>
      <c r="T393" s="44">
        <v>390.56</v>
      </c>
      <c r="U393" s="42"/>
      <c r="V393" s="42"/>
      <c r="W393" s="42" t="s">
        <v>40</v>
      </c>
      <c r="X393" s="45">
        <v>8.4000000000000005E-2</v>
      </c>
      <c r="Y393" s="46">
        <v>3.77E-4</v>
      </c>
      <c r="Z393" s="21">
        <v>4601004332164</v>
      </c>
    </row>
    <row r="394" spans="1:26" ht="12.95" customHeight="1" outlineLevel="3" x14ac:dyDescent="0.2">
      <c r="A394" s="76" t="s">
        <v>9473</v>
      </c>
      <c r="B394" s="76"/>
      <c r="C394" s="77"/>
      <c r="D394" s="58"/>
      <c r="E394" s="68"/>
      <c r="F394" s="30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 spans="1:26" ht="12" customHeight="1" outlineLevel="4" x14ac:dyDescent="0.2">
      <c r="A395" s="40" t="s">
        <v>9480</v>
      </c>
      <c r="B395" s="75" t="s">
        <v>9481</v>
      </c>
      <c r="C395" s="51"/>
      <c r="D395" s="54">
        <f t="shared" ref="D395:D458" si="6">C395*(O395-O395*$G$3)</f>
        <v>0</v>
      </c>
      <c r="E395" s="61" t="str">
        <f>HYPERLINK("https://www.sds-group.ru/product/koronka-almaznaya-po-betonu-s-pyleudaleniem-68mm-m16-turbo-segment-hvostovik-sds-plus-kra-KR-90-0173/", "Инфо")</f>
        <v>Инфо</v>
      </c>
      <c r="F395" s="42" t="s">
        <v>39</v>
      </c>
      <c r="G395" s="41" t="s">
        <v>40</v>
      </c>
      <c r="H395" s="41"/>
      <c r="I395" s="41"/>
      <c r="J395" s="43">
        <v>297</v>
      </c>
      <c r="K395" s="41" t="s">
        <v>1058</v>
      </c>
      <c r="L395" s="43">
        <v>1</v>
      </c>
      <c r="M395" s="43">
        <v>25</v>
      </c>
      <c r="N395" s="43">
        <v>1</v>
      </c>
      <c r="O395" s="44">
        <v>5066.6899999999996</v>
      </c>
      <c r="P395" s="44">
        <v>4153.0200000000004</v>
      </c>
      <c r="Q395" s="44">
        <v>3800.02</v>
      </c>
      <c r="R395" s="44">
        <v>3114.77</v>
      </c>
      <c r="S395" s="44">
        <v>3445.35</v>
      </c>
      <c r="T395" s="44">
        <v>2824.06</v>
      </c>
      <c r="U395" s="42"/>
      <c r="V395" s="42"/>
      <c r="W395" s="42" t="s">
        <v>40</v>
      </c>
      <c r="X395" s="45">
        <v>0.79300000000000004</v>
      </c>
      <c r="Y395" s="46">
        <v>3.5400000000000002E-3</v>
      </c>
      <c r="Z395" s="21">
        <v>4601004331754</v>
      </c>
    </row>
    <row r="396" spans="1:26" ht="12" customHeight="1" outlineLevel="4" x14ac:dyDescent="0.2">
      <c r="A396" s="40" t="s">
        <v>9482</v>
      </c>
      <c r="B396" s="75" t="s">
        <v>9483</v>
      </c>
      <c r="C396" s="51"/>
      <c r="D396" s="54">
        <f t="shared" si="6"/>
        <v>0</v>
      </c>
      <c r="E396" s="61" t="str">
        <f>HYPERLINK("https://www.sds-group.ru/product/koronka-almaznaya-po-betonu-s-pyleudaleniem-72mm-m16-turbo-segment-hvostovik-sds-plus-kra-KR-90-0175/", "Инфо")</f>
        <v>Инфо</v>
      </c>
      <c r="F396" s="42" t="s">
        <v>39</v>
      </c>
      <c r="G396" s="41" t="s">
        <v>40</v>
      </c>
      <c r="H396" s="41"/>
      <c r="I396" s="41"/>
      <c r="J396" s="43">
        <v>392</v>
      </c>
      <c r="K396" s="41" t="s">
        <v>1058</v>
      </c>
      <c r="L396" s="43">
        <v>1</v>
      </c>
      <c r="M396" s="43">
        <v>25</v>
      </c>
      <c r="N396" s="43">
        <v>1</v>
      </c>
      <c r="O396" s="44">
        <v>5282.3</v>
      </c>
      <c r="P396" s="44">
        <v>4329.75</v>
      </c>
      <c r="Q396" s="44">
        <v>3961.73</v>
      </c>
      <c r="R396" s="44">
        <v>3247.32</v>
      </c>
      <c r="S396" s="44">
        <v>3591.96</v>
      </c>
      <c r="T396" s="44">
        <v>2944.23</v>
      </c>
      <c r="U396" s="42"/>
      <c r="V396" s="42"/>
      <c r="W396" s="42" t="s">
        <v>40</v>
      </c>
      <c r="X396" s="45">
        <v>0.82399999999999995</v>
      </c>
      <c r="Y396" s="46">
        <v>3.5260000000000001E-3</v>
      </c>
      <c r="Z396" s="21">
        <v>4601004331761</v>
      </c>
    </row>
    <row r="397" spans="1:26" ht="12" customHeight="1" outlineLevel="4" x14ac:dyDescent="0.2">
      <c r="A397" s="40" t="s">
        <v>9510</v>
      </c>
      <c r="B397" s="75" t="s">
        <v>9511</v>
      </c>
      <c r="C397" s="51"/>
      <c r="D397" s="54">
        <f t="shared" si="6"/>
        <v>0</v>
      </c>
      <c r="E397" s="61" t="str">
        <f>HYPERLINK("https://www.sds-group.ru/product/sistema-pyleudaleniya-dlya-almaznyh-koronok-po-betonu-s-rezboy-m16-dlya-dreley-i-perfor-KR-90-0170-1/", "Инфо")</f>
        <v>Инфо</v>
      </c>
      <c r="F397" s="42" t="s">
        <v>39</v>
      </c>
      <c r="G397" s="41" t="s">
        <v>40</v>
      </c>
      <c r="H397" s="41"/>
      <c r="I397" s="41"/>
      <c r="J397" s="43">
        <v>632</v>
      </c>
      <c r="K397" s="41" t="s">
        <v>1058</v>
      </c>
      <c r="L397" s="43">
        <v>1</v>
      </c>
      <c r="M397" s="43">
        <v>25</v>
      </c>
      <c r="N397" s="43">
        <v>1</v>
      </c>
      <c r="O397" s="44">
        <v>3880.87</v>
      </c>
      <c r="P397" s="44">
        <v>3181.04</v>
      </c>
      <c r="Q397" s="44">
        <v>3298.74</v>
      </c>
      <c r="R397" s="44">
        <v>2703.89</v>
      </c>
      <c r="S397" s="44">
        <v>2638.99</v>
      </c>
      <c r="T397" s="44">
        <v>2163.11</v>
      </c>
      <c r="U397" s="42"/>
      <c r="V397" s="42"/>
      <c r="W397" s="42" t="s">
        <v>40</v>
      </c>
      <c r="X397" s="45">
        <v>0.47</v>
      </c>
      <c r="Y397" s="46">
        <v>1.106E-3</v>
      </c>
      <c r="Z397" s="21">
        <v>4601004331778</v>
      </c>
    </row>
    <row r="398" spans="1:26" ht="12.95" customHeight="1" outlineLevel="2" x14ac:dyDescent="0.2">
      <c r="A398" s="76" t="s">
        <v>9532</v>
      </c>
      <c r="B398" s="76"/>
      <c r="C398" s="77"/>
      <c r="D398" s="58"/>
      <c r="E398" s="68"/>
      <c r="F398" s="30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 spans="1:26" ht="12.95" customHeight="1" outlineLevel="3" x14ac:dyDescent="0.2">
      <c r="A399" s="76" t="s">
        <v>9533</v>
      </c>
      <c r="B399" s="76"/>
      <c r="C399" s="77"/>
      <c r="D399" s="58"/>
      <c r="E399" s="68"/>
      <c r="F399" s="30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 spans="1:26" ht="12" customHeight="1" outlineLevel="4" x14ac:dyDescent="0.2">
      <c r="A400" s="40" t="s">
        <v>9534</v>
      </c>
      <c r="B400" s="75" t="s">
        <v>9535</v>
      </c>
      <c r="C400" s="51"/>
      <c r="D400" s="54">
        <f t="shared" si="6"/>
        <v>0</v>
      </c>
      <c r="E400" s="61" t="str">
        <f>HYPERLINK("https://www.sds-group.ru/product/krug-zachistnoy-korallovyy-125x22-2mm-kranz-KR-90-0030/", "Инфо")</f>
        <v>Инфо</v>
      </c>
      <c r="F400" s="42" t="s">
        <v>39</v>
      </c>
      <c r="G400" s="41" t="s">
        <v>40</v>
      </c>
      <c r="H400" s="41"/>
      <c r="I400" s="41"/>
      <c r="J400" s="43">
        <v>748</v>
      </c>
      <c r="K400" s="41" t="s">
        <v>1519</v>
      </c>
      <c r="L400" s="43">
        <v>1</v>
      </c>
      <c r="M400" s="43">
        <v>100</v>
      </c>
      <c r="N400" s="43">
        <v>1</v>
      </c>
      <c r="O400" s="44">
        <v>711.49</v>
      </c>
      <c r="P400" s="44">
        <v>583.19000000000005</v>
      </c>
      <c r="Q400" s="44">
        <v>569.19000000000005</v>
      </c>
      <c r="R400" s="44">
        <v>466.55</v>
      </c>
      <c r="S400" s="44">
        <v>483.81</v>
      </c>
      <c r="T400" s="44">
        <v>396.57</v>
      </c>
      <c r="U400" s="42"/>
      <c r="V400" s="42"/>
      <c r="W400" s="42" t="s">
        <v>40</v>
      </c>
      <c r="X400" s="45">
        <v>0.12</v>
      </c>
      <c r="Y400" s="46">
        <v>4.57E-4</v>
      </c>
      <c r="Z400" s="21">
        <v>4601004316904</v>
      </c>
    </row>
    <row r="401" spans="1:26" ht="12" customHeight="1" outlineLevel="4" x14ac:dyDescent="0.2">
      <c r="A401" s="40" t="s">
        <v>9536</v>
      </c>
      <c r="B401" s="75" t="s">
        <v>9537</v>
      </c>
      <c r="C401" s="51"/>
      <c r="D401" s="54">
        <f t="shared" si="6"/>
        <v>0</v>
      </c>
      <c r="E401" s="61" t="str">
        <f>HYPERLINK("https://www.sds-group.ru/product/krug-zachistnoy-korallovyy-keramik-zerno-iz-keramiki-125xm14-bystraya-ustanovka-adapter-KR-90-0030-1/", "Инфо")</f>
        <v>Инфо</v>
      </c>
      <c r="F401" s="42" t="s">
        <v>39</v>
      </c>
      <c r="G401" s="41" t="s">
        <v>40</v>
      </c>
      <c r="H401" s="41"/>
      <c r="I401" s="41"/>
      <c r="J401" s="47">
        <v>1512</v>
      </c>
      <c r="K401" s="41"/>
      <c r="L401" s="43">
        <v>1</v>
      </c>
      <c r="M401" s="43">
        <v>100</v>
      </c>
      <c r="N401" s="43">
        <v>1</v>
      </c>
      <c r="O401" s="44">
        <v>1223.08</v>
      </c>
      <c r="P401" s="44">
        <v>1002.52</v>
      </c>
      <c r="Q401" s="44">
        <v>978.46</v>
      </c>
      <c r="R401" s="44">
        <v>802.02</v>
      </c>
      <c r="S401" s="44">
        <v>831.69</v>
      </c>
      <c r="T401" s="44">
        <v>681.71</v>
      </c>
      <c r="U401" s="42"/>
      <c r="V401" s="42"/>
      <c r="W401" s="42" t="s">
        <v>40</v>
      </c>
      <c r="X401" s="45">
        <v>0.21299999999999999</v>
      </c>
      <c r="Y401" s="46">
        <v>7.3099999999999999E-4</v>
      </c>
      <c r="Z401" s="21">
        <v>4601004316935</v>
      </c>
    </row>
    <row r="402" spans="1:26" ht="12" customHeight="1" outlineLevel="4" x14ac:dyDescent="0.2">
      <c r="A402" s="40" t="s">
        <v>9564</v>
      </c>
      <c r="B402" s="75" t="s">
        <v>9565</v>
      </c>
      <c r="C402" s="51"/>
      <c r="D402" s="54">
        <f t="shared" si="6"/>
        <v>0</v>
      </c>
      <c r="E402" s="61" t="str">
        <f>HYPERLINK("https://www.sds-group.ru/product/krug-lepestkovyy-tortsevoy-tsirkonievyy-p100-125h22-2mm-kranz-KR-90-0016-1/", "Инфо")</f>
        <v>Инфо</v>
      </c>
      <c r="F402" s="42" t="s">
        <v>39</v>
      </c>
      <c r="G402" s="41" t="s">
        <v>40</v>
      </c>
      <c r="H402" s="41"/>
      <c r="I402" s="41"/>
      <c r="J402" s="47">
        <v>2010</v>
      </c>
      <c r="K402" s="41" t="s">
        <v>1519</v>
      </c>
      <c r="L402" s="43">
        <v>5</v>
      </c>
      <c r="M402" s="43">
        <v>100</v>
      </c>
      <c r="N402" s="43">
        <v>5</v>
      </c>
      <c r="O402" s="44">
        <v>204.82</v>
      </c>
      <c r="P402" s="44">
        <v>167.89</v>
      </c>
      <c r="Q402" s="44">
        <v>204.82</v>
      </c>
      <c r="R402" s="44">
        <v>167.89</v>
      </c>
      <c r="S402" s="44">
        <v>139.28</v>
      </c>
      <c r="T402" s="44">
        <v>114.16</v>
      </c>
      <c r="U402" s="42"/>
      <c r="V402" s="42"/>
      <c r="W402" s="42" t="s">
        <v>40</v>
      </c>
      <c r="X402" s="45">
        <v>8.6999999999999994E-2</v>
      </c>
      <c r="Y402" s="46">
        <v>2.2100000000000001E-4</v>
      </c>
      <c r="Z402" s="21">
        <v>4601004316881</v>
      </c>
    </row>
    <row r="403" spans="1:26" ht="12" customHeight="1" outlineLevel="4" x14ac:dyDescent="0.2">
      <c r="A403" s="40" t="s">
        <v>9566</v>
      </c>
      <c r="B403" s="75" t="s">
        <v>9567</v>
      </c>
      <c r="C403" s="51"/>
      <c r="D403" s="54">
        <f t="shared" si="6"/>
        <v>0</v>
      </c>
      <c r="E403" s="61" t="str">
        <f>HYPERLINK("https://www.sds-group.ru/product/krug-lepestkovyy-tortsevoy-tsirkonievyy-p120-125h22-2mm-kranz-KR-90-0017-1/", "Инфо")</f>
        <v>Инфо</v>
      </c>
      <c r="F403" s="42" t="s">
        <v>39</v>
      </c>
      <c r="G403" s="41" t="s">
        <v>40</v>
      </c>
      <c r="H403" s="41"/>
      <c r="I403" s="41"/>
      <c r="J403" s="47">
        <v>2011</v>
      </c>
      <c r="K403" s="41" t="s">
        <v>1519</v>
      </c>
      <c r="L403" s="43">
        <v>5</v>
      </c>
      <c r="M403" s="43">
        <v>100</v>
      </c>
      <c r="N403" s="43">
        <v>5</v>
      </c>
      <c r="O403" s="44">
        <v>207.92</v>
      </c>
      <c r="P403" s="44">
        <v>170.43</v>
      </c>
      <c r="Q403" s="44">
        <v>207.92</v>
      </c>
      <c r="R403" s="44">
        <v>170.43</v>
      </c>
      <c r="S403" s="44">
        <v>141.38999999999999</v>
      </c>
      <c r="T403" s="44">
        <v>115.89</v>
      </c>
      <c r="U403" s="42"/>
      <c r="V403" s="42"/>
      <c r="W403" s="42" t="s">
        <v>40</v>
      </c>
      <c r="X403" s="45">
        <v>8.4000000000000005E-2</v>
      </c>
      <c r="Y403" s="46">
        <v>2.1699999999999999E-4</v>
      </c>
      <c r="Z403" s="21">
        <v>4601004316874</v>
      </c>
    </row>
    <row r="404" spans="1:26" ht="12" customHeight="1" outlineLevel="4" x14ac:dyDescent="0.2">
      <c r="A404" s="40" t="s">
        <v>9568</v>
      </c>
      <c r="B404" s="75" t="s">
        <v>9569</v>
      </c>
      <c r="C404" s="51"/>
      <c r="D404" s="54">
        <f t="shared" si="6"/>
        <v>0</v>
      </c>
      <c r="E404" s="61" t="str">
        <f>HYPERLINK("https://www.sds-group.ru/product/krug-lepestkovyy-tortsevoy-tsirkonievyy-p40-125h22-2mm-kranz-KR-90-0012-1/", "Инфо")</f>
        <v>Инфо</v>
      </c>
      <c r="F404" s="42" t="s">
        <v>39</v>
      </c>
      <c r="G404" s="41" t="s">
        <v>40</v>
      </c>
      <c r="H404" s="41"/>
      <c r="I404" s="41"/>
      <c r="J404" s="47">
        <v>1405</v>
      </c>
      <c r="K404" s="41" t="s">
        <v>1519</v>
      </c>
      <c r="L404" s="43">
        <v>5</v>
      </c>
      <c r="M404" s="43">
        <v>100</v>
      </c>
      <c r="N404" s="43">
        <v>5</v>
      </c>
      <c r="O404" s="44">
        <v>231.78</v>
      </c>
      <c r="P404" s="44">
        <v>189.98</v>
      </c>
      <c r="Q404" s="44">
        <v>231.78</v>
      </c>
      <c r="R404" s="44">
        <v>189.98</v>
      </c>
      <c r="S404" s="44">
        <v>157.61000000000001</v>
      </c>
      <c r="T404" s="44">
        <v>129.19</v>
      </c>
      <c r="U404" s="42"/>
      <c r="V404" s="42"/>
      <c r="W404" s="42" t="s">
        <v>40</v>
      </c>
      <c r="X404" s="45">
        <v>0.10100000000000001</v>
      </c>
      <c r="Y404" s="46">
        <v>2.52E-4</v>
      </c>
      <c r="Z404" s="21">
        <v>4601004316911</v>
      </c>
    </row>
    <row r="405" spans="1:26" ht="12" customHeight="1" outlineLevel="4" x14ac:dyDescent="0.2">
      <c r="A405" s="40" t="s">
        <v>9570</v>
      </c>
      <c r="B405" s="75" t="s">
        <v>9571</v>
      </c>
      <c r="C405" s="51"/>
      <c r="D405" s="54">
        <f t="shared" si="6"/>
        <v>0</v>
      </c>
      <c r="E405" s="61" t="str">
        <f>HYPERLINK("https://www.sds-group.ru/product/krug-lepestkovyy-tortsevoy-tsirkonievyy-p60-125h22-2mm-kranz-KR-90-0013-1/", "Инфо")</f>
        <v>Инфо</v>
      </c>
      <c r="F405" s="42" t="s">
        <v>39</v>
      </c>
      <c r="G405" s="41" t="s">
        <v>40</v>
      </c>
      <c r="H405" s="41"/>
      <c r="I405" s="41"/>
      <c r="J405" s="47">
        <v>1892</v>
      </c>
      <c r="K405" s="41"/>
      <c r="L405" s="43">
        <v>5</v>
      </c>
      <c r="M405" s="43">
        <v>100</v>
      </c>
      <c r="N405" s="43">
        <v>5</v>
      </c>
      <c r="O405" s="44">
        <v>215.6</v>
      </c>
      <c r="P405" s="44">
        <v>176.72</v>
      </c>
      <c r="Q405" s="44">
        <v>215.6</v>
      </c>
      <c r="R405" s="44">
        <v>176.72</v>
      </c>
      <c r="S405" s="44">
        <v>146.61000000000001</v>
      </c>
      <c r="T405" s="44">
        <v>120.17</v>
      </c>
      <c r="U405" s="42"/>
      <c r="V405" s="42"/>
      <c r="W405" s="42" t="s">
        <v>40</v>
      </c>
      <c r="X405" s="45">
        <v>9.9000000000000005E-2</v>
      </c>
      <c r="Y405" s="46">
        <v>2.3900000000000001E-4</v>
      </c>
      <c r="Z405" s="21">
        <v>4601004316898</v>
      </c>
    </row>
    <row r="406" spans="1:26" ht="12" customHeight="1" outlineLevel="4" x14ac:dyDescent="0.2">
      <c r="A406" s="40" t="s">
        <v>9572</v>
      </c>
      <c r="B406" s="75" t="s">
        <v>9573</v>
      </c>
      <c r="C406" s="51"/>
      <c r="D406" s="54">
        <f t="shared" si="6"/>
        <v>0</v>
      </c>
      <c r="E406" s="61" t="str">
        <f>HYPERLINK("https://www.sds-group.ru/product/krug-lepestkovyy-tortsevoy-tsirkonievyy-p80-125h22-2mm-kranz-KR-90-0014-1/", "Инфо")</f>
        <v>Инфо</v>
      </c>
      <c r="F406" s="42" t="s">
        <v>39</v>
      </c>
      <c r="G406" s="41" t="s">
        <v>40</v>
      </c>
      <c r="H406" s="41"/>
      <c r="I406" s="41"/>
      <c r="J406" s="47">
        <v>1761</v>
      </c>
      <c r="K406" s="41" t="s">
        <v>1519</v>
      </c>
      <c r="L406" s="43">
        <v>5</v>
      </c>
      <c r="M406" s="43">
        <v>100</v>
      </c>
      <c r="N406" s="43">
        <v>5</v>
      </c>
      <c r="O406" s="44">
        <v>210.22</v>
      </c>
      <c r="P406" s="44">
        <v>172.31</v>
      </c>
      <c r="Q406" s="44">
        <v>210.22</v>
      </c>
      <c r="R406" s="44">
        <v>172.31</v>
      </c>
      <c r="S406" s="44">
        <v>142.94999999999999</v>
      </c>
      <c r="T406" s="44">
        <v>117.17</v>
      </c>
      <c r="U406" s="42"/>
      <c r="V406" s="42"/>
      <c r="W406" s="42" t="s">
        <v>40</v>
      </c>
      <c r="X406" s="45">
        <v>9.1999999999999998E-2</v>
      </c>
      <c r="Y406" s="46">
        <v>2.2100000000000001E-4</v>
      </c>
      <c r="Z406" s="21">
        <v>4601004316867</v>
      </c>
    </row>
    <row r="407" spans="1:26" ht="12.95" customHeight="1" outlineLevel="3" x14ac:dyDescent="0.2">
      <c r="A407" s="76" t="s">
        <v>9574</v>
      </c>
      <c r="B407" s="76"/>
      <c r="C407" s="77"/>
      <c r="D407" s="58"/>
      <c r="E407" s="68"/>
      <c r="F407" s="30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 spans="1:26" ht="12" customHeight="1" outlineLevel="4" x14ac:dyDescent="0.2">
      <c r="A408" s="40" t="s">
        <v>9587</v>
      </c>
      <c r="B408" s="75" t="s">
        <v>9588</v>
      </c>
      <c r="C408" s="51"/>
      <c r="D408" s="54">
        <f t="shared" si="6"/>
        <v>0</v>
      </c>
      <c r="E408" s="61" t="str">
        <f>HYPERLINK("https://www.sds-group.ru/product/disk-shlifovalnyy-na-setchatoy-osnove-125-mm-r100-5-sht-kranz-KR-90-0042/", "Инфо")</f>
        <v>Инфо</v>
      </c>
      <c r="F408" s="42" t="s">
        <v>1001</v>
      </c>
      <c r="G408" s="41" t="s">
        <v>40</v>
      </c>
      <c r="H408" s="41"/>
      <c r="I408" s="41"/>
      <c r="J408" s="47">
        <v>1877</v>
      </c>
      <c r="K408" s="41" t="s">
        <v>1519</v>
      </c>
      <c r="L408" s="43">
        <v>5</v>
      </c>
      <c r="M408" s="43">
        <v>100</v>
      </c>
      <c r="N408" s="43">
        <v>5</v>
      </c>
      <c r="O408" s="44">
        <v>328.8</v>
      </c>
      <c r="P408" s="44">
        <v>269.51</v>
      </c>
      <c r="Q408" s="44">
        <v>322.22000000000003</v>
      </c>
      <c r="R408" s="44">
        <v>264.11</v>
      </c>
      <c r="S408" s="44">
        <v>223.58</v>
      </c>
      <c r="T408" s="44">
        <v>183.26</v>
      </c>
      <c r="U408" s="42"/>
      <c r="V408" s="42"/>
      <c r="W408" s="42" t="s">
        <v>40</v>
      </c>
      <c r="X408" s="45">
        <v>4.7E-2</v>
      </c>
      <c r="Y408" s="46">
        <v>2.5900000000000001E-4</v>
      </c>
      <c r="Z408" s="21">
        <v>4601004321236</v>
      </c>
    </row>
    <row r="409" spans="1:26" ht="12" customHeight="1" outlineLevel="4" x14ac:dyDescent="0.2">
      <c r="A409" s="40" t="s">
        <v>9589</v>
      </c>
      <c r="B409" s="75" t="s">
        <v>9590</v>
      </c>
      <c r="C409" s="51"/>
      <c r="D409" s="54">
        <f t="shared" si="6"/>
        <v>0</v>
      </c>
      <c r="E409" s="61" t="str">
        <f>HYPERLINK("https://www.sds-group.ru/product/disk-shlifovalnyy-na-setchatoy-osnove-125-mm-r120-5-sht-kranz-KR-90-0043/", "Инфо")</f>
        <v>Инфо</v>
      </c>
      <c r="F409" s="42" t="s">
        <v>1001</v>
      </c>
      <c r="G409" s="41" t="s">
        <v>40</v>
      </c>
      <c r="H409" s="41"/>
      <c r="I409" s="41"/>
      <c r="J409" s="47">
        <v>1329</v>
      </c>
      <c r="K409" s="41" t="s">
        <v>1519</v>
      </c>
      <c r="L409" s="43">
        <v>5</v>
      </c>
      <c r="M409" s="43">
        <v>100</v>
      </c>
      <c r="N409" s="43">
        <v>5</v>
      </c>
      <c r="O409" s="44">
        <v>339.58</v>
      </c>
      <c r="P409" s="44">
        <v>278.33999999999997</v>
      </c>
      <c r="Q409" s="44">
        <v>288.64</v>
      </c>
      <c r="R409" s="44">
        <v>236.59</v>
      </c>
      <c r="S409" s="44">
        <v>230.91</v>
      </c>
      <c r="T409" s="44">
        <v>189.27</v>
      </c>
      <c r="U409" s="42"/>
      <c r="V409" s="42"/>
      <c r="W409" s="42" t="s">
        <v>40</v>
      </c>
      <c r="X409" s="45">
        <v>4.1000000000000002E-2</v>
      </c>
      <c r="Y409" s="46">
        <v>2.63E-4</v>
      </c>
      <c r="Z409" s="21">
        <v>4601004321243</v>
      </c>
    </row>
    <row r="410" spans="1:26" ht="12" customHeight="1" outlineLevel="4" x14ac:dyDescent="0.2">
      <c r="A410" s="40" t="s">
        <v>9591</v>
      </c>
      <c r="B410" s="75" t="s">
        <v>9592</v>
      </c>
      <c r="C410" s="51"/>
      <c r="D410" s="54">
        <f t="shared" si="6"/>
        <v>0</v>
      </c>
      <c r="E410" s="61" t="str">
        <f>HYPERLINK("https://www.sds-group.ru/product/disk-shlifovalnyy-na-setchatoy-osnove-125-mm-r180-5-sht-kranz-KR-90-0044/", "Инфо")</f>
        <v>Инфо</v>
      </c>
      <c r="F410" s="42" t="s">
        <v>1001</v>
      </c>
      <c r="G410" s="41" t="s">
        <v>40</v>
      </c>
      <c r="H410" s="41"/>
      <c r="I410" s="41"/>
      <c r="J410" s="47">
        <v>1518</v>
      </c>
      <c r="K410" s="41" t="s">
        <v>1519</v>
      </c>
      <c r="L410" s="43">
        <v>5</v>
      </c>
      <c r="M410" s="43">
        <v>100</v>
      </c>
      <c r="N410" s="43">
        <v>5</v>
      </c>
      <c r="O410" s="44">
        <v>305.08</v>
      </c>
      <c r="P410" s="44">
        <v>250.07</v>
      </c>
      <c r="Q410" s="44">
        <v>283.72000000000003</v>
      </c>
      <c r="R410" s="44">
        <v>232.56</v>
      </c>
      <c r="S410" s="44">
        <v>207.45</v>
      </c>
      <c r="T410" s="44">
        <v>170.04</v>
      </c>
      <c r="U410" s="42"/>
      <c r="V410" s="42"/>
      <c r="W410" s="42" t="s">
        <v>40</v>
      </c>
      <c r="X410" s="45">
        <v>3.5000000000000003E-2</v>
      </c>
      <c r="Y410" s="46">
        <v>2.6600000000000001E-4</v>
      </c>
      <c r="Z410" s="21">
        <v>4601004321281</v>
      </c>
    </row>
    <row r="411" spans="1:26" ht="12" customHeight="1" outlineLevel="4" x14ac:dyDescent="0.2">
      <c r="A411" s="40" t="s">
        <v>9593</v>
      </c>
      <c r="B411" s="75" t="s">
        <v>9594</v>
      </c>
      <c r="C411" s="51"/>
      <c r="D411" s="54">
        <f t="shared" si="6"/>
        <v>0</v>
      </c>
      <c r="E411" s="61" t="str">
        <f>HYPERLINK("https://www.sds-group.ru/product/disk-shlifovalnyy-na-setchatoy-osnove-125-mm-r240-5-sht-kranz-KR-90-0045/", "Инфо")</f>
        <v>Инфо</v>
      </c>
      <c r="F411" s="42" t="s">
        <v>1001</v>
      </c>
      <c r="G411" s="41" t="s">
        <v>40</v>
      </c>
      <c r="H411" s="41"/>
      <c r="I411" s="41"/>
      <c r="J411" s="47">
        <v>1018</v>
      </c>
      <c r="K411" s="41" t="s">
        <v>1519</v>
      </c>
      <c r="L411" s="43">
        <v>5</v>
      </c>
      <c r="M411" s="43">
        <v>100</v>
      </c>
      <c r="N411" s="43">
        <v>5</v>
      </c>
      <c r="O411" s="44">
        <v>296.45999999999998</v>
      </c>
      <c r="P411" s="44">
        <v>243</v>
      </c>
      <c r="Q411" s="44">
        <v>272.74</v>
      </c>
      <c r="R411" s="44">
        <v>223.56</v>
      </c>
      <c r="S411" s="44">
        <v>201.59</v>
      </c>
      <c r="T411" s="44">
        <v>165.24</v>
      </c>
      <c r="U411" s="42"/>
      <c r="V411" s="42"/>
      <c r="W411" s="42" t="s">
        <v>40</v>
      </c>
      <c r="X411" s="45">
        <v>3.3000000000000002E-2</v>
      </c>
      <c r="Y411" s="46">
        <v>2.6400000000000002E-4</v>
      </c>
      <c r="Z411" s="21">
        <v>4601004321212</v>
      </c>
    </row>
    <row r="412" spans="1:26" ht="12" customHeight="1" outlineLevel="4" x14ac:dyDescent="0.2">
      <c r="A412" s="40" t="s">
        <v>9595</v>
      </c>
      <c r="B412" s="75" t="s">
        <v>9596</v>
      </c>
      <c r="C412" s="51"/>
      <c r="D412" s="54">
        <f t="shared" si="6"/>
        <v>0</v>
      </c>
      <c r="E412" s="61" t="str">
        <f>HYPERLINK("https://www.sds-group.ru/product/disk-shlifovalnyy-na-setchatoy-osnove-125-mm-r320-5-sht-kranz-KR-90-0046/", "Инфо")</f>
        <v>Инфо</v>
      </c>
      <c r="F412" s="42" t="s">
        <v>1001</v>
      </c>
      <c r="G412" s="41" t="s">
        <v>40</v>
      </c>
      <c r="H412" s="41"/>
      <c r="I412" s="41"/>
      <c r="J412" s="47">
        <v>1519</v>
      </c>
      <c r="K412" s="41" t="s">
        <v>1519</v>
      </c>
      <c r="L412" s="43">
        <v>5</v>
      </c>
      <c r="M412" s="43">
        <v>100</v>
      </c>
      <c r="N412" s="43">
        <v>5</v>
      </c>
      <c r="O412" s="44">
        <v>301.85000000000002</v>
      </c>
      <c r="P412" s="44">
        <v>247.42</v>
      </c>
      <c r="Q412" s="44">
        <v>280.72000000000003</v>
      </c>
      <c r="R412" s="44">
        <v>230.1</v>
      </c>
      <c r="S412" s="44">
        <v>205.26</v>
      </c>
      <c r="T412" s="44">
        <v>168.25</v>
      </c>
      <c r="U412" s="42"/>
      <c r="V412" s="42"/>
      <c r="W412" s="42" t="s">
        <v>40</v>
      </c>
      <c r="X412" s="45">
        <v>3.1E-2</v>
      </c>
      <c r="Y412" s="46">
        <v>2.6600000000000001E-4</v>
      </c>
      <c r="Z412" s="21">
        <v>4601004321274</v>
      </c>
    </row>
    <row r="413" spans="1:26" ht="12" customHeight="1" outlineLevel="4" x14ac:dyDescent="0.2">
      <c r="A413" s="40" t="s">
        <v>9597</v>
      </c>
      <c r="B413" s="75" t="s">
        <v>9598</v>
      </c>
      <c r="C413" s="51"/>
      <c r="D413" s="54">
        <f t="shared" si="6"/>
        <v>0</v>
      </c>
      <c r="E413" s="61" t="str">
        <f>HYPERLINK("https://www.sds-group.ru/product/disk-shlifovalnyy-na-setchatoy-osnove-125-mm-r400-5-sht-kranz-KR-90-0047/", "Инфо")</f>
        <v>Инфо</v>
      </c>
      <c r="F413" s="42" t="s">
        <v>1001</v>
      </c>
      <c r="G413" s="41" t="s">
        <v>40</v>
      </c>
      <c r="H413" s="41"/>
      <c r="I413" s="41"/>
      <c r="J413" s="47">
        <v>1389</v>
      </c>
      <c r="K413" s="41" t="s">
        <v>1519</v>
      </c>
      <c r="L413" s="43">
        <v>5</v>
      </c>
      <c r="M413" s="43">
        <v>100</v>
      </c>
      <c r="N413" s="43">
        <v>5</v>
      </c>
      <c r="O413" s="44">
        <v>307.24</v>
      </c>
      <c r="P413" s="44">
        <v>251.84</v>
      </c>
      <c r="Q413" s="44">
        <v>291.88</v>
      </c>
      <c r="R413" s="44">
        <v>239.25</v>
      </c>
      <c r="S413" s="44">
        <v>208.92</v>
      </c>
      <c r="T413" s="44">
        <v>171.25</v>
      </c>
      <c r="U413" s="42"/>
      <c r="V413" s="42"/>
      <c r="W413" s="42" t="s">
        <v>40</v>
      </c>
      <c r="X413" s="45">
        <v>3.2000000000000001E-2</v>
      </c>
      <c r="Y413" s="46">
        <v>2.7099999999999997E-4</v>
      </c>
      <c r="Z413" s="21">
        <v>4601004321267</v>
      </c>
    </row>
    <row r="414" spans="1:26" ht="12" customHeight="1" outlineLevel="4" x14ac:dyDescent="0.2">
      <c r="A414" s="40" t="s">
        <v>9599</v>
      </c>
      <c r="B414" s="75" t="s">
        <v>9600</v>
      </c>
      <c r="C414" s="51"/>
      <c r="D414" s="54">
        <f t="shared" si="6"/>
        <v>0</v>
      </c>
      <c r="E414" s="61" t="str">
        <f>HYPERLINK("https://www.sds-group.ru/product/disk-shlifovalnyy-na-setchatoy-osnove-125-mm-r60-5-sht-kranz-KR-90-0040/", "Инфо")</f>
        <v>Инфо</v>
      </c>
      <c r="F414" s="42" t="s">
        <v>1001</v>
      </c>
      <c r="G414" s="41" t="s">
        <v>40</v>
      </c>
      <c r="H414" s="41"/>
      <c r="I414" s="41"/>
      <c r="J414" s="47">
        <v>1974</v>
      </c>
      <c r="K414" s="41" t="s">
        <v>1519</v>
      </c>
      <c r="L414" s="43">
        <v>5</v>
      </c>
      <c r="M414" s="43">
        <v>100</v>
      </c>
      <c r="N414" s="43">
        <v>5</v>
      </c>
      <c r="O414" s="44">
        <v>323.41000000000003</v>
      </c>
      <c r="P414" s="44">
        <v>265.08999999999997</v>
      </c>
      <c r="Q414" s="44">
        <v>323.41000000000003</v>
      </c>
      <c r="R414" s="44">
        <v>265.08999999999997</v>
      </c>
      <c r="S414" s="44">
        <v>219.92</v>
      </c>
      <c r="T414" s="44">
        <v>180.26</v>
      </c>
      <c r="U414" s="42"/>
      <c r="V414" s="42"/>
      <c r="W414" s="42" t="s">
        <v>40</v>
      </c>
      <c r="X414" s="45">
        <v>4.2000000000000003E-2</v>
      </c>
      <c r="Y414" s="46">
        <v>2.7E-4</v>
      </c>
      <c r="Z414" s="21">
        <v>4601004321250</v>
      </c>
    </row>
    <row r="415" spans="1:26" ht="12" customHeight="1" outlineLevel="4" x14ac:dyDescent="0.2">
      <c r="A415" s="40" t="s">
        <v>9601</v>
      </c>
      <c r="B415" s="75" t="s">
        <v>9602</v>
      </c>
      <c r="C415" s="51"/>
      <c r="D415" s="54">
        <f t="shared" si="6"/>
        <v>0</v>
      </c>
      <c r="E415" s="61" t="str">
        <f>HYPERLINK("https://www.sds-group.ru/product/disk-shlifovalnyy-na-setchatoy-osnove-125-mm-r80-5-sht-kranz-KR-90-0041/", "Инфо")</f>
        <v>Инфо</v>
      </c>
      <c r="F415" s="42" t="s">
        <v>1001</v>
      </c>
      <c r="G415" s="41" t="s">
        <v>40</v>
      </c>
      <c r="H415" s="41"/>
      <c r="I415" s="41"/>
      <c r="J415" s="47">
        <v>1882</v>
      </c>
      <c r="K415" s="41" t="s">
        <v>1519</v>
      </c>
      <c r="L415" s="43">
        <v>5</v>
      </c>
      <c r="M415" s="43">
        <v>100</v>
      </c>
      <c r="N415" s="43">
        <v>5</v>
      </c>
      <c r="O415" s="44">
        <v>323.41000000000003</v>
      </c>
      <c r="P415" s="44">
        <v>265.08999999999997</v>
      </c>
      <c r="Q415" s="44">
        <v>307.24</v>
      </c>
      <c r="R415" s="44">
        <v>251.84</v>
      </c>
      <c r="S415" s="44">
        <v>219.92</v>
      </c>
      <c r="T415" s="44">
        <v>180.26</v>
      </c>
      <c r="U415" s="42"/>
      <c r="V415" s="42"/>
      <c r="W415" s="42" t="s">
        <v>40</v>
      </c>
      <c r="X415" s="45">
        <v>4.8000000000000001E-2</v>
      </c>
      <c r="Y415" s="46">
        <v>2.6699999999999998E-4</v>
      </c>
      <c r="Z415" s="21">
        <v>4601004321229</v>
      </c>
    </row>
    <row r="416" spans="1:26" ht="12.95" customHeight="1" outlineLevel="3" x14ac:dyDescent="0.2">
      <c r="A416" s="76" t="s">
        <v>9624</v>
      </c>
      <c r="B416" s="76"/>
      <c r="C416" s="77"/>
      <c r="D416" s="58"/>
      <c r="E416" s="68"/>
      <c r="F416" s="30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 spans="1:26" ht="12" customHeight="1" outlineLevel="4" x14ac:dyDescent="0.2">
      <c r="A417" s="40" t="s">
        <v>9625</v>
      </c>
      <c r="B417" s="75" t="s">
        <v>9626</v>
      </c>
      <c r="C417" s="51"/>
      <c r="D417" s="54">
        <f t="shared" si="6"/>
        <v>0</v>
      </c>
      <c r="E417" s="61" t="str">
        <f>HYPERLINK("https://www.sds-group.ru/product/nasadka-dlya-dreli-i-ushm-s-lipuchkoy-i-adapterom-100mm-m14-kranz-KR-90-0328/", "Инфо")</f>
        <v>Инфо</v>
      </c>
      <c r="F417" s="42" t="s">
        <v>39</v>
      </c>
      <c r="G417" s="41" t="s">
        <v>40</v>
      </c>
      <c r="H417" s="41"/>
      <c r="I417" s="41"/>
      <c r="J417" s="43">
        <v>488</v>
      </c>
      <c r="K417" s="41" t="s">
        <v>1058</v>
      </c>
      <c r="L417" s="43">
        <v>5</v>
      </c>
      <c r="M417" s="43">
        <v>50</v>
      </c>
      <c r="N417" s="43">
        <v>5</v>
      </c>
      <c r="O417" s="44">
        <v>253.34</v>
      </c>
      <c r="P417" s="44">
        <v>207.66</v>
      </c>
      <c r="Q417" s="44">
        <v>190.01</v>
      </c>
      <c r="R417" s="44">
        <v>155.75</v>
      </c>
      <c r="S417" s="44">
        <v>172.27</v>
      </c>
      <c r="T417" s="44">
        <v>141.19999999999999</v>
      </c>
      <c r="U417" s="42"/>
      <c r="V417" s="42"/>
      <c r="W417" s="42" t="s">
        <v>40</v>
      </c>
      <c r="X417" s="45">
        <v>8.5999999999999993E-2</v>
      </c>
      <c r="Y417" s="46">
        <v>7.9699999999999997E-4</v>
      </c>
      <c r="Z417" s="21">
        <v>4601004332263</v>
      </c>
    </row>
    <row r="418" spans="1:26" ht="12" customHeight="1" outlineLevel="4" x14ac:dyDescent="0.2">
      <c r="A418" s="40" t="s">
        <v>9631</v>
      </c>
      <c r="B418" s="75" t="s">
        <v>9632</v>
      </c>
      <c r="C418" s="51"/>
      <c r="D418" s="54">
        <f t="shared" si="6"/>
        <v>0</v>
      </c>
      <c r="E418" s="61" t="str">
        <f>HYPERLINK("https://www.sds-group.ru/product/tarelka-opornaya-dlya-ekstsentrikovoy-shlifovalnoy-mashiny-125mm-10mm-myagkaya-kranz-KR-91-1183/", "Инфо")</f>
        <v>Инфо</v>
      </c>
      <c r="F418" s="42" t="s">
        <v>39</v>
      </c>
      <c r="G418" s="41" t="s">
        <v>40</v>
      </c>
      <c r="H418" s="41"/>
      <c r="I418" s="41"/>
      <c r="J418" s="43">
        <v>497</v>
      </c>
      <c r="K418" s="41"/>
      <c r="L418" s="43">
        <v>5</v>
      </c>
      <c r="M418" s="43">
        <v>50</v>
      </c>
      <c r="N418" s="43">
        <v>5</v>
      </c>
      <c r="O418" s="44">
        <v>318</v>
      </c>
      <c r="P418" s="44">
        <v>260.66000000000003</v>
      </c>
      <c r="Q418" s="44">
        <v>302.10000000000002</v>
      </c>
      <c r="R418" s="44">
        <v>247.62</v>
      </c>
      <c r="S418" s="44">
        <v>216.24</v>
      </c>
      <c r="T418" s="44">
        <v>177.25</v>
      </c>
      <c r="U418" s="42"/>
      <c r="V418" s="42"/>
      <c r="W418" s="42" t="s">
        <v>40</v>
      </c>
      <c r="X418" s="45">
        <v>0.10100000000000001</v>
      </c>
      <c r="Y418" s="46">
        <v>4.46E-4</v>
      </c>
      <c r="Z418" s="21">
        <v>4601004340565</v>
      </c>
    </row>
    <row r="419" spans="1:26" ht="12.95" customHeight="1" outlineLevel="1" x14ac:dyDescent="0.2">
      <c r="A419" s="78" t="s">
        <v>9735</v>
      </c>
      <c r="B419" s="78"/>
      <c r="C419" s="79"/>
      <c r="D419" s="57"/>
      <c r="E419" s="67"/>
      <c r="F419" s="29"/>
      <c r="G419" s="29"/>
      <c r="H419" s="29"/>
      <c r="I419" s="29"/>
      <c r="J419" s="29"/>
      <c r="K419" s="29"/>
      <c r="L419" s="29"/>
      <c r="M419" s="29"/>
      <c r="N419" s="29"/>
      <c r="O419" s="29"/>
      <c r="P419" s="29"/>
      <c r="Q419" s="29"/>
      <c r="R419" s="29"/>
      <c r="S419" s="29"/>
      <c r="T419" s="29"/>
      <c r="U419" s="29"/>
      <c r="V419" s="29"/>
      <c r="W419" s="29"/>
      <c r="X419" s="29"/>
      <c r="Y419" s="29"/>
      <c r="Z419" s="29"/>
    </row>
    <row r="420" spans="1:26" ht="12.95" customHeight="1" outlineLevel="2" x14ac:dyDescent="0.2">
      <c r="A420" s="76" t="s">
        <v>9736</v>
      </c>
      <c r="B420" s="76"/>
      <c r="C420" s="77"/>
      <c r="D420" s="58"/>
      <c r="E420" s="68"/>
      <c r="F420" s="30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 spans="1:26" ht="12.95" customHeight="1" outlineLevel="3" x14ac:dyDescent="0.2">
      <c r="A421" s="76" t="s">
        <v>9762</v>
      </c>
      <c r="B421" s="76"/>
      <c r="C421" s="77"/>
      <c r="D421" s="58"/>
      <c r="E421" s="68"/>
      <c r="F421" s="30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 spans="1:26" ht="12.95" customHeight="1" outlineLevel="4" x14ac:dyDescent="0.2">
      <c r="A422" s="82" t="s">
        <v>9829</v>
      </c>
      <c r="B422" s="82"/>
      <c r="C422" s="83"/>
      <c r="D422" s="59"/>
      <c r="E422" s="69"/>
      <c r="F422" s="31"/>
      <c r="G422" s="31"/>
      <c r="H422" s="31"/>
      <c r="I422" s="31"/>
      <c r="J422" s="31"/>
      <c r="K422" s="31"/>
      <c r="L422" s="31"/>
      <c r="M422" s="31"/>
      <c r="N422" s="31"/>
      <c r="O422" s="31"/>
      <c r="P422" s="31"/>
      <c r="Q422" s="31"/>
      <c r="R422" s="31"/>
      <c r="S422" s="31"/>
      <c r="T422" s="31"/>
      <c r="U422" s="31"/>
      <c r="V422" s="31"/>
      <c r="W422" s="31"/>
      <c r="X422" s="31"/>
      <c r="Y422" s="31"/>
      <c r="Z422" s="31"/>
    </row>
    <row r="423" spans="1:26" ht="12" customHeight="1" outlineLevel="5" x14ac:dyDescent="0.2">
      <c r="A423" s="40" t="s">
        <v>9840</v>
      </c>
      <c r="B423" s="75" t="s">
        <v>9841</v>
      </c>
      <c r="C423" s="51"/>
      <c r="D423" s="54">
        <f t="shared" si="6"/>
        <v>0</v>
      </c>
      <c r="E423" s="61" t="str">
        <f>HYPERLINK("https://www.sds-group.ru/product/komplekt-svarochnyh-provodov-skr-35-50-25mm-5m-rexant-16-0778/", "Инфо")</f>
        <v>Инфо</v>
      </c>
      <c r="F423" s="42" t="s">
        <v>39</v>
      </c>
      <c r="G423" s="41" t="s">
        <v>40</v>
      </c>
      <c r="H423" s="41"/>
      <c r="I423" s="41"/>
      <c r="J423" s="42" t="s">
        <v>100</v>
      </c>
      <c r="K423" s="41"/>
      <c r="L423" s="43">
        <v>1</v>
      </c>
      <c r="M423" s="43">
        <v>5</v>
      </c>
      <c r="N423" s="43">
        <v>1</v>
      </c>
      <c r="O423" s="44">
        <v>10175.69</v>
      </c>
      <c r="P423" s="44">
        <v>8340.73</v>
      </c>
      <c r="Q423" s="44">
        <v>7428.25</v>
      </c>
      <c r="R423" s="44">
        <v>6088.73</v>
      </c>
      <c r="S423" s="44">
        <v>6919.47</v>
      </c>
      <c r="T423" s="44">
        <v>5671.7</v>
      </c>
      <c r="U423" s="42"/>
      <c r="V423" s="42"/>
      <c r="W423" s="42" t="s">
        <v>40</v>
      </c>
      <c r="X423" s="45">
        <v>3.9550000000000001</v>
      </c>
      <c r="Y423" s="46">
        <v>6.2830000000000004E-3</v>
      </c>
      <c r="Z423" s="21">
        <v>4601004247000</v>
      </c>
    </row>
    <row r="424" spans="1:26" ht="12" customHeight="1" outlineLevel="5" x14ac:dyDescent="0.2">
      <c r="A424" s="40" t="s">
        <v>9852</v>
      </c>
      <c r="B424" s="75" t="s">
        <v>9853</v>
      </c>
      <c r="C424" s="51"/>
      <c r="D424" s="54">
        <f t="shared" si="6"/>
        <v>0</v>
      </c>
      <c r="E424" s="61" t="str">
        <f>HYPERLINK("https://www.sds-group.ru/product/udlinitel-svarochnogo-kabelya-sht-gn-skr-35-50-25mm-3m-rexant-16-0799/", "Инфо")</f>
        <v>Инфо</v>
      </c>
      <c r="F424" s="42" t="s">
        <v>39</v>
      </c>
      <c r="G424" s="41" t="s">
        <v>40</v>
      </c>
      <c r="H424" s="41"/>
      <c r="I424" s="41"/>
      <c r="J424" s="43">
        <v>58</v>
      </c>
      <c r="K424" s="41"/>
      <c r="L424" s="43">
        <v>1</v>
      </c>
      <c r="M424" s="43">
        <v>1</v>
      </c>
      <c r="N424" s="43">
        <v>1</v>
      </c>
      <c r="O424" s="44">
        <v>3812.83</v>
      </c>
      <c r="P424" s="44">
        <v>3125.27</v>
      </c>
      <c r="Q424" s="44">
        <v>3202.78</v>
      </c>
      <c r="R424" s="44">
        <v>2625.23</v>
      </c>
      <c r="S424" s="44">
        <v>2592.7199999999998</v>
      </c>
      <c r="T424" s="44">
        <v>2125.1799999999998</v>
      </c>
      <c r="U424" s="42"/>
      <c r="V424" s="42"/>
      <c r="W424" s="42" t="s">
        <v>40</v>
      </c>
      <c r="X424" s="45">
        <v>1.1599999999999999</v>
      </c>
      <c r="Y424" s="46">
        <v>3.101E-3</v>
      </c>
      <c r="Z424" s="21">
        <v>4601004343351</v>
      </c>
    </row>
    <row r="425" spans="1:26" ht="12.95" customHeight="1" outlineLevel="2" x14ac:dyDescent="0.2">
      <c r="A425" s="76" t="s">
        <v>9921</v>
      </c>
      <c r="B425" s="76"/>
      <c r="C425" s="77"/>
      <c r="D425" s="58"/>
      <c r="E425" s="68"/>
      <c r="F425" s="30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 spans="1:26" ht="12.95" customHeight="1" outlineLevel="3" x14ac:dyDescent="0.2">
      <c r="A426" s="76" t="s">
        <v>9929</v>
      </c>
      <c r="B426" s="76"/>
      <c r="C426" s="77"/>
      <c r="D426" s="58"/>
      <c r="E426" s="68"/>
      <c r="F426" s="30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 spans="1:26" ht="12" customHeight="1" outlineLevel="4" x14ac:dyDescent="0.2">
      <c r="A427" s="40" t="s">
        <v>9930</v>
      </c>
      <c r="B427" s="75" t="s">
        <v>9931</v>
      </c>
      <c r="C427" s="51"/>
      <c r="D427" s="54">
        <f t="shared" si="6"/>
        <v>0</v>
      </c>
      <c r="E427" s="61" t="str">
        <f>HYPERLINK("https://www.sds-group.ru/product/komplekt-odnorazovyh-meshkov-dlya-stroitelnogo-pylesosa-kr15-15l-kranz-KR-16-0002/", "Инфо")</f>
        <v>Инфо</v>
      </c>
      <c r="F427" s="42" t="s">
        <v>974</v>
      </c>
      <c r="G427" s="41" t="s">
        <v>40</v>
      </c>
      <c r="H427" s="41"/>
      <c r="I427" s="41"/>
      <c r="J427" s="47">
        <v>1308</v>
      </c>
      <c r="K427" s="41" t="s">
        <v>9932</v>
      </c>
      <c r="L427" s="43">
        <v>1</v>
      </c>
      <c r="M427" s="43">
        <v>20</v>
      </c>
      <c r="N427" s="43">
        <v>1</v>
      </c>
      <c r="O427" s="44">
        <v>1025.1300000000001</v>
      </c>
      <c r="P427" s="44">
        <v>840.27</v>
      </c>
      <c r="Q427" s="44">
        <v>891.86</v>
      </c>
      <c r="R427" s="44">
        <v>731.03</v>
      </c>
      <c r="S427" s="44">
        <v>697.09</v>
      </c>
      <c r="T427" s="44">
        <v>571.39</v>
      </c>
      <c r="U427" s="42"/>
      <c r="V427" s="42"/>
      <c r="W427" s="42" t="s">
        <v>40</v>
      </c>
      <c r="X427" s="45">
        <v>0.24299999999999999</v>
      </c>
      <c r="Y427" s="46">
        <v>1.9120000000000001E-3</v>
      </c>
      <c r="Z427" s="21">
        <v>4601004331846</v>
      </c>
    </row>
    <row r="428" spans="1:26" ht="12" customHeight="1" outlineLevel="4" x14ac:dyDescent="0.2">
      <c r="A428" s="40" t="s">
        <v>9933</v>
      </c>
      <c r="B428" s="75" t="s">
        <v>9934</v>
      </c>
      <c r="C428" s="51"/>
      <c r="D428" s="54">
        <f t="shared" si="6"/>
        <v>0</v>
      </c>
      <c r="E428" s="61" t="str">
        <f>HYPERLINK("https://www.sds-group.ru/product/komplekt-odnorazovyh-meshkov-dlya-stroitelnogo-pylesosa-kr30-30l-kranz-KR-16-0003/", "Инфо")</f>
        <v>Инфо</v>
      </c>
      <c r="F428" s="42" t="s">
        <v>974</v>
      </c>
      <c r="G428" s="41" t="s">
        <v>40</v>
      </c>
      <c r="H428" s="41"/>
      <c r="I428" s="41"/>
      <c r="J428" s="47">
        <v>1206</v>
      </c>
      <c r="K428" s="41" t="s">
        <v>9932</v>
      </c>
      <c r="L428" s="43">
        <v>1</v>
      </c>
      <c r="M428" s="43">
        <v>20</v>
      </c>
      <c r="N428" s="43">
        <v>1</v>
      </c>
      <c r="O428" s="44">
        <v>1219.76</v>
      </c>
      <c r="P428" s="44">
        <v>999.8</v>
      </c>
      <c r="Q428" s="44">
        <v>1036.8</v>
      </c>
      <c r="R428" s="44">
        <v>849.84</v>
      </c>
      <c r="S428" s="44">
        <v>829.44</v>
      </c>
      <c r="T428" s="44">
        <v>679.87</v>
      </c>
      <c r="U428" s="42"/>
      <c r="V428" s="42"/>
      <c r="W428" s="42" t="s">
        <v>40</v>
      </c>
      <c r="X428" s="45">
        <v>0.33500000000000002</v>
      </c>
      <c r="Y428" s="46">
        <v>3.0699999999999998E-3</v>
      </c>
      <c r="Z428" s="21">
        <v>4601004331860</v>
      </c>
    </row>
    <row r="429" spans="1:26" ht="12" customHeight="1" outlineLevel="4" x14ac:dyDescent="0.2">
      <c r="A429" s="40" t="s">
        <v>9935</v>
      </c>
      <c r="B429" s="75" t="s">
        <v>9936</v>
      </c>
      <c r="C429" s="51"/>
      <c r="D429" s="54">
        <f t="shared" si="6"/>
        <v>0</v>
      </c>
      <c r="E429" s="61" t="str">
        <f>HYPERLINK("https://www.sds-group.ru/product/meshok-tkanevyy-mnogorazovyy-dlya-stroitelnyh-pylesosov-kr1530-15-30l-kranz-KR-16-0004/", "Инфо")</f>
        <v>Инфо</v>
      </c>
      <c r="F429" s="42" t="s">
        <v>39</v>
      </c>
      <c r="G429" s="41" t="s">
        <v>40</v>
      </c>
      <c r="H429" s="41"/>
      <c r="I429" s="41"/>
      <c r="J429" s="43">
        <v>868</v>
      </c>
      <c r="K429" s="41" t="s">
        <v>9932</v>
      </c>
      <c r="L429" s="43">
        <v>1</v>
      </c>
      <c r="M429" s="43">
        <v>200</v>
      </c>
      <c r="N429" s="43">
        <v>1</v>
      </c>
      <c r="O429" s="44">
        <v>694.72</v>
      </c>
      <c r="P429" s="44">
        <v>569.44000000000005</v>
      </c>
      <c r="Q429" s="44">
        <v>625.25</v>
      </c>
      <c r="R429" s="44">
        <v>512.5</v>
      </c>
      <c r="S429" s="44">
        <v>472.41</v>
      </c>
      <c r="T429" s="44">
        <v>387.22</v>
      </c>
      <c r="U429" s="42"/>
      <c r="V429" s="42"/>
      <c r="W429" s="42" t="s">
        <v>40</v>
      </c>
      <c r="X429" s="45">
        <v>0.104</v>
      </c>
      <c r="Y429" s="46">
        <v>9.5200000000000005E-4</v>
      </c>
      <c r="Z429" s="21">
        <v>4601004331853</v>
      </c>
    </row>
    <row r="430" spans="1:26" ht="12" customHeight="1" outlineLevel="4" x14ac:dyDescent="0.2">
      <c r="A430" s="40" t="s">
        <v>9937</v>
      </c>
      <c r="B430" s="75" t="s">
        <v>9938</v>
      </c>
      <c r="C430" s="51"/>
      <c r="D430" s="54">
        <f t="shared" si="6"/>
        <v>0</v>
      </c>
      <c r="E430" s="61" t="str">
        <f>HYPERLINK("https://www.sds-group.ru/product/nasadka-dlya-sbora-pyli-pri-sverlenii-dlya-pylesosa-diametr-15mm-kranz-KR-16-0001/", "Инфо")</f>
        <v>Инфо</v>
      </c>
      <c r="F430" s="42" t="s">
        <v>39</v>
      </c>
      <c r="G430" s="41" t="s">
        <v>40</v>
      </c>
      <c r="H430" s="41"/>
      <c r="I430" s="41"/>
      <c r="J430" s="43">
        <v>595</v>
      </c>
      <c r="K430" s="41" t="s">
        <v>9932</v>
      </c>
      <c r="L430" s="43">
        <v>1</v>
      </c>
      <c r="M430" s="43">
        <v>120</v>
      </c>
      <c r="N430" s="43">
        <v>1</v>
      </c>
      <c r="O430" s="44">
        <v>886.37</v>
      </c>
      <c r="P430" s="44">
        <v>726.53</v>
      </c>
      <c r="Q430" s="44">
        <v>797.73</v>
      </c>
      <c r="R430" s="44">
        <v>653.88</v>
      </c>
      <c r="S430" s="44">
        <v>602.73</v>
      </c>
      <c r="T430" s="44">
        <v>494.04</v>
      </c>
      <c r="U430" s="42"/>
      <c r="V430" s="42"/>
      <c r="W430" s="42" t="s">
        <v>40</v>
      </c>
      <c r="X430" s="45">
        <v>4.9000000000000002E-2</v>
      </c>
      <c r="Y430" s="46">
        <v>5.4100000000000003E-4</v>
      </c>
      <c r="Z430" s="21">
        <v>4601004331815</v>
      </c>
    </row>
    <row r="431" spans="1:26" ht="12" customHeight="1" outlineLevel="4" x14ac:dyDescent="0.2">
      <c r="A431" s="40" t="s">
        <v>9939</v>
      </c>
      <c r="B431" s="75" t="s">
        <v>9940</v>
      </c>
      <c r="C431" s="51"/>
      <c r="D431" s="54">
        <f t="shared" si="6"/>
        <v>0</v>
      </c>
      <c r="E431" s="61" t="str">
        <f>HYPERLINK("https://www.sds-group.ru/product/pylesos-stroitelnyy-kr15-1200vt-15l-4m-kranz-KR-16-1115/", "Инфо")</f>
        <v>Инфо</v>
      </c>
      <c r="F431" s="42" t="s">
        <v>39</v>
      </c>
      <c r="G431" s="41" t="s">
        <v>40</v>
      </c>
      <c r="H431" s="41"/>
      <c r="I431" s="41"/>
      <c r="J431" s="42" t="s">
        <v>100</v>
      </c>
      <c r="K431" s="41" t="s">
        <v>9932</v>
      </c>
      <c r="L431" s="43">
        <v>1</v>
      </c>
      <c r="M431" s="43">
        <v>1</v>
      </c>
      <c r="N431" s="43">
        <v>1</v>
      </c>
      <c r="O431" s="44">
        <v>8789.85</v>
      </c>
      <c r="P431" s="44">
        <v>7204.8</v>
      </c>
      <c r="Q431" s="44">
        <v>6592.39</v>
      </c>
      <c r="R431" s="44">
        <v>5403.6</v>
      </c>
      <c r="S431" s="44">
        <v>5977.1</v>
      </c>
      <c r="T431" s="44">
        <v>4899.26</v>
      </c>
      <c r="U431" s="42"/>
      <c r="V431" s="42"/>
      <c r="W431" s="42" t="s">
        <v>40</v>
      </c>
      <c r="X431" s="45">
        <v>4.9710000000000001</v>
      </c>
      <c r="Y431" s="46">
        <v>3.8317999999999998E-2</v>
      </c>
      <c r="Z431" s="21">
        <v>4601004331839</v>
      </c>
    </row>
    <row r="432" spans="1:26" ht="12" customHeight="1" outlineLevel="4" x14ac:dyDescent="0.2">
      <c r="A432" s="40" t="s">
        <v>9941</v>
      </c>
      <c r="B432" s="75" t="s">
        <v>9942</v>
      </c>
      <c r="C432" s="51"/>
      <c r="D432" s="54">
        <f t="shared" si="6"/>
        <v>0</v>
      </c>
      <c r="E432" s="61" t="str">
        <f>HYPERLINK("https://www.sds-group.ru/product/pylesos-stroitelnyy-kr30-1400vt-30l-4m-kranz-KR-16-1117/", "Инфо")</f>
        <v>Инфо</v>
      </c>
      <c r="F432" s="42" t="s">
        <v>39</v>
      </c>
      <c r="G432" s="41" t="s">
        <v>40</v>
      </c>
      <c r="H432" s="41"/>
      <c r="I432" s="41"/>
      <c r="J432" s="43">
        <v>2</v>
      </c>
      <c r="K432" s="41" t="s">
        <v>9932</v>
      </c>
      <c r="L432" s="43">
        <v>1</v>
      </c>
      <c r="M432" s="43">
        <v>1</v>
      </c>
      <c r="N432" s="43">
        <v>1</v>
      </c>
      <c r="O432" s="44">
        <v>13931.34</v>
      </c>
      <c r="P432" s="44">
        <v>11419.13</v>
      </c>
      <c r="Q432" s="44">
        <v>10448.51</v>
      </c>
      <c r="R432" s="44">
        <v>8564.35</v>
      </c>
      <c r="S432" s="44">
        <v>9473.31</v>
      </c>
      <c r="T432" s="44">
        <v>7765.01</v>
      </c>
      <c r="U432" s="42"/>
      <c r="V432" s="42"/>
      <c r="W432" s="42" t="s">
        <v>40</v>
      </c>
      <c r="X432" s="45">
        <v>7.3079999999999998</v>
      </c>
      <c r="Y432" s="46">
        <v>6.8068000000000004E-2</v>
      </c>
      <c r="Z432" s="21">
        <v>4601004331822</v>
      </c>
    </row>
    <row r="433" spans="1:26" ht="12.95" customHeight="1" outlineLevel="2" x14ac:dyDescent="0.2">
      <c r="A433" s="76" t="s">
        <v>9943</v>
      </c>
      <c r="B433" s="76"/>
      <c r="C433" s="77"/>
      <c r="D433" s="58"/>
      <c r="E433" s="68"/>
      <c r="F433" s="30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 spans="1:26" ht="12.95" customHeight="1" outlineLevel="3" x14ac:dyDescent="0.2">
      <c r="A434" s="76" t="s">
        <v>9944</v>
      </c>
      <c r="B434" s="76"/>
      <c r="C434" s="77"/>
      <c r="D434" s="58"/>
      <c r="E434" s="68"/>
      <c r="F434" s="30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 spans="1:26" ht="12" customHeight="1" outlineLevel="4" x14ac:dyDescent="0.2">
      <c r="A435" s="40" t="s">
        <v>9953</v>
      </c>
      <c r="B435" s="75" t="s">
        <v>9954</v>
      </c>
      <c r="C435" s="51"/>
      <c r="D435" s="54">
        <f t="shared" si="6"/>
        <v>0</v>
      </c>
      <c r="E435" s="61" t="str">
        <f>HYPERLINK("https://www.sds-group.ru/product/generator-benzinovyy-kr8000ea-8kvt-25l-konnektor-avtomatiki-elektrostarter-kranz-KR-16-1139/", "Инфо")</f>
        <v>Инфо</v>
      </c>
      <c r="F435" s="42" t="s">
        <v>39</v>
      </c>
      <c r="G435" s="41" t="s">
        <v>40</v>
      </c>
      <c r="H435" s="41"/>
      <c r="I435" s="41"/>
      <c r="J435" s="43">
        <v>1</v>
      </c>
      <c r="K435" s="41" t="s">
        <v>9950</v>
      </c>
      <c r="L435" s="43">
        <v>1</v>
      </c>
      <c r="M435" s="43">
        <v>1</v>
      </c>
      <c r="N435" s="43">
        <v>1</v>
      </c>
      <c r="O435" s="44">
        <v>119616.93</v>
      </c>
      <c r="P435" s="44">
        <v>98046.66</v>
      </c>
      <c r="Q435" s="44">
        <v>86124.19</v>
      </c>
      <c r="R435" s="44">
        <v>70593.600000000006</v>
      </c>
      <c r="S435" s="44">
        <v>81339.509999999995</v>
      </c>
      <c r="T435" s="44">
        <v>66671.73</v>
      </c>
      <c r="U435" s="42"/>
      <c r="V435" s="42"/>
      <c r="W435" s="42" t="s">
        <v>40</v>
      </c>
      <c r="X435" s="45">
        <v>82.1</v>
      </c>
      <c r="Y435" s="46">
        <v>0.23141999999999999</v>
      </c>
      <c r="Z435" s="21">
        <v>4601004332331</v>
      </c>
    </row>
    <row r="436" spans="1:26" ht="12" customHeight="1" outlineLevel="4" x14ac:dyDescent="0.2">
      <c r="A436" s="40" t="s">
        <v>9955</v>
      </c>
      <c r="B436" s="75" t="s">
        <v>9956</v>
      </c>
      <c r="C436" s="51"/>
      <c r="D436" s="54">
        <f t="shared" si="6"/>
        <v>0</v>
      </c>
      <c r="E436" s="61" t="str">
        <f>HYPERLINK("https://www.sds-group.ru/product/generator-benzinovyy-kr9000ea-3-9kvt-230v-380v-25l-konnektor-avtomatiki-elektrostarter-kr-KR-16-1140/", "Инфо")</f>
        <v>Инфо</v>
      </c>
      <c r="F436" s="42" t="s">
        <v>39</v>
      </c>
      <c r="G436" s="41" t="s">
        <v>40</v>
      </c>
      <c r="H436" s="41"/>
      <c r="I436" s="41"/>
      <c r="J436" s="42" t="s">
        <v>100</v>
      </c>
      <c r="K436" s="41" t="s">
        <v>9950</v>
      </c>
      <c r="L436" s="43">
        <v>1</v>
      </c>
      <c r="M436" s="43">
        <v>1</v>
      </c>
      <c r="N436" s="43">
        <v>1</v>
      </c>
      <c r="O436" s="44">
        <v>148391.51999999999</v>
      </c>
      <c r="P436" s="44">
        <v>121632.39</v>
      </c>
      <c r="Q436" s="44">
        <v>106841.89</v>
      </c>
      <c r="R436" s="44">
        <v>87575.32</v>
      </c>
      <c r="S436" s="44">
        <v>100906.23</v>
      </c>
      <c r="T436" s="44">
        <v>82710.02</v>
      </c>
      <c r="U436" s="42"/>
      <c r="V436" s="42"/>
      <c r="W436" s="42" t="s">
        <v>40</v>
      </c>
      <c r="X436" s="45">
        <v>85.2</v>
      </c>
      <c r="Y436" s="46">
        <v>0.23141999999999999</v>
      </c>
      <c r="Z436" s="21">
        <v>4601004332348</v>
      </c>
    </row>
    <row r="437" spans="1:26" ht="12.95" customHeight="1" outlineLevel="3" x14ac:dyDescent="0.2">
      <c r="A437" s="76" t="s">
        <v>9959</v>
      </c>
      <c r="B437" s="76"/>
      <c r="C437" s="77"/>
      <c r="D437" s="58"/>
      <c r="E437" s="68"/>
      <c r="F437" s="30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 spans="1:26" ht="12" customHeight="1" outlineLevel="4" x14ac:dyDescent="0.2">
      <c r="A438" s="40" t="s">
        <v>9960</v>
      </c>
      <c r="B438" s="75" t="s">
        <v>9961</v>
      </c>
      <c r="C438" s="51"/>
      <c r="D438" s="54">
        <f t="shared" si="6"/>
        <v>0</v>
      </c>
      <c r="E438" s="61" t="str">
        <f>HYPERLINK("https://www.sds-group.ru/product/generator-invertornyy-kr1200i-1-2kvt-230v-2l-zakrytyy-korpus-ruchnoy-start-kranz-KR-16-1145/", "Инфо")</f>
        <v>Инфо</v>
      </c>
      <c r="F438" s="42" t="s">
        <v>39</v>
      </c>
      <c r="G438" s="41" t="s">
        <v>40</v>
      </c>
      <c r="H438" s="41"/>
      <c r="I438" s="41"/>
      <c r="J438" s="43">
        <v>5</v>
      </c>
      <c r="K438" s="41" t="s">
        <v>9950</v>
      </c>
      <c r="L438" s="43">
        <v>1</v>
      </c>
      <c r="M438" s="43">
        <v>1</v>
      </c>
      <c r="N438" s="43">
        <v>1</v>
      </c>
      <c r="O438" s="44">
        <v>39342.300000000003</v>
      </c>
      <c r="P438" s="44">
        <v>32247.79</v>
      </c>
      <c r="Q438" s="44">
        <v>28326.46</v>
      </c>
      <c r="R438" s="44">
        <v>23218.41</v>
      </c>
      <c r="S438" s="44">
        <v>26752.76</v>
      </c>
      <c r="T438" s="44">
        <v>21928.49</v>
      </c>
      <c r="U438" s="42"/>
      <c r="V438" s="42"/>
      <c r="W438" s="42" t="s">
        <v>40</v>
      </c>
      <c r="X438" s="45">
        <v>15.086</v>
      </c>
      <c r="Y438" s="46">
        <v>6.4368999999999996E-2</v>
      </c>
      <c r="Z438" s="21">
        <v>4601004332379</v>
      </c>
    </row>
    <row r="439" spans="1:26" ht="12" customHeight="1" outlineLevel="4" x14ac:dyDescent="0.2">
      <c r="A439" s="40" t="s">
        <v>9968</v>
      </c>
      <c r="B439" s="75" t="s">
        <v>9969</v>
      </c>
      <c r="C439" s="51"/>
      <c r="D439" s="54">
        <f t="shared" si="6"/>
        <v>0</v>
      </c>
      <c r="E439" s="61" t="str">
        <f>HYPERLINK("https://www.sds-group.ru/product/generator-invertornyy-kr5500ie-5-5kvt-230v-10l-zakrytyy-korpus-elektrostarter-kranz-KR-16-1146/", "Инфо")</f>
        <v>Инфо</v>
      </c>
      <c r="F439" s="42" t="s">
        <v>39</v>
      </c>
      <c r="G439" s="41" t="s">
        <v>40</v>
      </c>
      <c r="H439" s="41"/>
      <c r="I439" s="41"/>
      <c r="J439" s="42" t="s">
        <v>100</v>
      </c>
      <c r="K439" s="41" t="s">
        <v>9950</v>
      </c>
      <c r="L439" s="43">
        <v>1</v>
      </c>
      <c r="M439" s="43">
        <v>1</v>
      </c>
      <c r="N439" s="43">
        <v>1</v>
      </c>
      <c r="O439" s="44">
        <v>128423.08</v>
      </c>
      <c r="P439" s="44">
        <v>105264.82</v>
      </c>
      <c r="Q439" s="44">
        <v>92464.62</v>
      </c>
      <c r="R439" s="44">
        <v>75790.67</v>
      </c>
      <c r="S439" s="44">
        <v>87327.69</v>
      </c>
      <c r="T439" s="44">
        <v>71580.070000000007</v>
      </c>
      <c r="U439" s="42"/>
      <c r="V439" s="42"/>
      <c r="W439" s="42" t="s">
        <v>40</v>
      </c>
      <c r="X439" s="45">
        <v>45.1</v>
      </c>
      <c r="Y439" s="46">
        <v>0.17385</v>
      </c>
      <c r="Z439" s="21">
        <v>4601004332355</v>
      </c>
    </row>
    <row r="440" spans="1:26" ht="12.95" customHeight="1" outlineLevel="3" x14ac:dyDescent="0.2">
      <c r="A440" s="76" t="s">
        <v>9970</v>
      </c>
      <c r="B440" s="76"/>
      <c r="C440" s="77"/>
      <c r="D440" s="58"/>
      <c r="E440" s="68"/>
      <c r="F440" s="30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 spans="1:26" ht="12" customHeight="1" outlineLevel="4" x14ac:dyDescent="0.2">
      <c r="A441" s="40" t="s">
        <v>9971</v>
      </c>
      <c r="B441" s="75" t="s">
        <v>9972</v>
      </c>
      <c r="C441" s="51"/>
      <c r="D441" s="54">
        <f t="shared" si="6"/>
        <v>0</v>
      </c>
      <c r="E441" s="61" t="str">
        <f>HYPERLINK("https://www.sds-group.ru/product/generator-dizelnyy-kr8500dea-8-5kvt-230v-16l-konnektor-avtomatiki-elektrostarter-kranz-KR-16-1315/", "Инфо")</f>
        <v>Инфо</v>
      </c>
      <c r="F441" s="42" t="s">
        <v>39</v>
      </c>
      <c r="G441" s="41" t="s">
        <v>40</v>
      </c>
      <c r="H441" s="41"/>
      <c r="I441" s="41"/>
      <c r="J441" s="42" t="s">
        <v>100</v>
      </c>
      <c r="K441" s="41" t="s">
        <v>1266</v>
      </c>
      <c r="L441" s="43">
        <v>1</v>
      </c>
      <c r="M441" s="43">
        <v>1</v>
      </c>
      <c r="N441" s="43">
        <v>1</v>
      </c>
      <c r="O441" s="44">
        <v>193735.38</v>
      </c>
      <c r="P441" s="44">
        <v>158799.49</v>
      </c>
      <c r="Q441" s="44">
        <v>139489.47</v>
      </c>
      <c r="R441" s="44">
        <v>114335.63</v>
      </c>
      <c r="S441" s="44">
        <v>131740.06</v>
      </c>
      <c r="T441" s="44">
        <v>107983.66</v>
      </c>
      <c r="U441" s="42"/>
      <c r="V441" s="42"/>
      <c r="W441" s="42" t="s">
        <v>40</v>
      </c>
      <c r="X441" s="45">
        <v>135</v>
      </c>
      <c r="Y441" s="46">
        <v>0.33650000000000002</v>
      </c>
      <c r="Z441" s="21">
        <v>4601004343559</v>
      </c>
    </row>
    <row r="442" spans="1:26" ht="12.95" customHeight="1" outlineLevel="2" x14ac:dyDescent="0.2">
      <c r="A442" s="76" t="s">
        <v>10014</v>
      </c>
      <c r="B442" s="76"/>
      <c r="C442" s="77"/>
      <c r="D442" s="58"/>
      <c r="E442" s="68"/>
      <c r="F442" s="30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 spans="1:26" ht="12.95" customHeight="1" outlineLevel="3" x14ac:dyDescent="0.2">
      <c r="A443" s="76" t="s">
        <v>10028</v>
      </c>
      <c r="B443" s="76"/>
      <c r="C443" s="77"/>
      <c r="D443" s="58"/>
      <c r="E443" s="68"/>
      <c r="F443" s="30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 spans="1:26" ht="12" customHeight="1" outlineLevel="4" x14ac:dyDescent="0.2">
      <c r="A444" s="40" t="s">
        <v>10029</v>
      </c>
      <c r="B444" s="75" t="s">
        <v>10030</v>
      </c>
      <c r="C444" s="51"/>
      <c r="D444" s="54">
        <f t="shared" si="6"/>
        <v>0</v>
      </c>
      <c r="E444" s="61" t="str">
        <f>HYPERLINK("https://www.sds-group.ru/product/pila-tsepnaya-akkumulyatornaya-kr-4040-besschetochnaya-shina-40sm-2-akb-20vh2-40v-4ach-kr-KR-16-1011/", "Инфо")</f>
        <v>Инфо</v>
      </c>
      <c r="F444" s="42" t="s">
        <v>39</v>
      </c>
      <c r="G444" s="41" t="s">
        <v>40</v>
      </c>
      <c r="H444" s="41"/>
      <c r="I444" s="41"/>
      <c r="J444" s="43">
        <v>152</v>
      </c>
      <c r="K444" s="41"/>
      <c r="L444" s="43">
        <v>1</v>
      </c>
      <c r="M444" s="43">
        <v>2</v>
      </c>
      <c r="N444" s="43">
        <v>1</v>
      </c>
      <c r="O444" s="44">
        <v>29680</v>
      </c>
      <c r="P444" s="44">
        <v>24327.87</v>
      </c>
      <c r="Q444" s="44">
        <v>22853.599999999999</v>
      </c>
      <c r="R444" s="44">
        <v>18732.46</v>
      </c>
      <c r="S444" s="44">
        <v>20182.400000000001</v>
      </c>
      <c r="T444" s="44">
        <v>16542.95</v>
      </c>
      <c r="U444" s="42"/>
      <c r="V444" s="42"/>
      <c r="W444" s="42" t="s">
        <v>40</v>
      </c>
      <c r="X444" s="45">
        <v>6.9249999999999998</v>
      </c>
      <c r="Y444" s="46">
        <v>0.06</v>
      </c>
      <c r="Z444" s="21">
        <v>4601004331723</v>
      </c>
    </row>
    <row r="445" spans="1:26" ht="12.95" customHeight="1" outlineLevel="2" x14ac:dyDescent="0.2">
      <c r="A445" s="76" t="s">
        <v>10054</v>
      </c>
      <c r="B445" s="76"/>
      <c r="C445" s="77"/>
      <c r="D445" s="58"/>
      <c r="E445" s="68"/>
      <c r="F445" s="30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 spans="1:26" ht="12.95" customHeight="1" outlineLevel="3" x14ac:dyDescent="0.2">
      <c r="A446" s="76" t="s">
        <v>10063</v>
      </c>
      <c r="B446" s="76"/>
      <c r="C446" s="77"/>
      <c r="D446" s="58"/>
      <c r="E446" s="68"/>
      <c r="F446" s="30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 spans="1:26" ht="12" customHeight="1" outlineLevel="4" x14ac:dyDescent="0.2">
      <c r="A447" s="40" t="s">
        <v>10064</v>
      </c>
      <c r="B447" s="75" t="s">
        <v>10065</v>
      </c>
      <c r="C447" s="51"/>
      <c r="D447" s="54">
        <f t="shared" si="6"/>
        <v>0</v>
      </c>
      <c r="E447" s="62"/>
      <c r="F447" s="42" t="s">
        <v>39</v>
      </c>
      <c r="G447" s="41" t="s">
        <v>40</v>
      </c>
      <c r="H447" s="41"/>
      <c r="I447" s="41"/>
      <c r="J447" s="47">
        <v>2521</v>
      </c>
      <c r="K447" s="41" t="s">
        <v>995</v>
      </c>
      <c r="L447" s="43">
        <v>1</v>
      </c>
      <c r="M447" s="43">
        <v>120</v>
      </c>
      <c r="N447" s="43">
        <v>1</v>
      </c>
      <c r="O447" s="44">
        <v>634.37</v>
      </c>
      <c r="P447" s="44">
        <v>519.98</v>
      </c>
      <c r="Q447" s="44">
        <v>545.55999999999995</v>
      </c>
      <c r="R447" s="44">
        <v>447.18</v>
      </c>
      <c r="S447" s="44">
        <v>431.37</v>
      </c>
      <c r="T447" s="44">
        <v>353.58</v>
      </c>
      <c r="U447" s="42"/>
      <c r="V447" s="42"/>
      <c r="W447" s="42" t="s">
        <v>40</v>
      </c>
      <c r="X447" s="45">
        <v>0.104</v>
      </c>
      <c r="Y447" s="46">
        <v>2.6200000000000003E-4</v>
      </c>
      <c r="Z447" s="21">
        <v>4601004343566</v>
      </c>
    </row>
    <row r="448" spans="1:26" ht="12.95" customHeight="1" outlineLevel="1" x14ac:dyDescent="0.2">
      <c r="A448" s="78" t="s">
        <v>10072</v>
      </c>
      <c r="B448" s="78"/>
      <c r="C448" s="79"/>
      <c r="D448" s="57"/>
      <c r="E448" s="67"/>
      <c r="F448" s="29"/>
      <c r="G448" s="29"/>
      <c r="H448" s="29"/>
      <c r="I448" s="29"/>
      <c r="J448" s="29"/>
      <c r="K448" s="29"/>
      <c r="L448" s="29"/>
      <c r="M448" s="29"/>
      <c r="N448" s="29"/>
      <c r="O448" s="29"/>
      <c r="P448" s="29"/>
      <c r="Q448" s="29"/>
      <c r="R448" s="29"/>
      <c r="S448" s="29"/>
      <c r="T448" s="29"/>
      <c r="U448" s="29"/>
      <c r="V448" s="29"/>
      <c r="W448" s="29"/>
      <c r="X448" s="29"/>
      <c r="Y448" s="29"/>
      <c r="Z448" s="29"/>
    </row>
    <row r="449" spans="1:26" ht="12.95" customHeight="1" outlineLevel="2" x14ac:dyDescent="0.2">
      <c r="A449" s="76" t="s">
        <v>10073</v>
      </c>
      <c r="B449" s="76"/>
      <c r="C449" s="77"/>
      <c r="D449" s="58"/>
      <c r="E449" s="68"/>
      <c r="F449" s="30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 spans="1:26" ht="12.95" customHeight="1" outlineLevel="3" x14ac:dyDescent="0.2">
      <c r="A450" s="76" t="s">
        <v>10154</v>
      </c>
      <c r="B450" s="76"/>
      <c r="C450" s="77"/>
      <c r="D450" s="58"/>
      <c r="E450" s="68"/>
      <c r="F450" s="30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 spans="1:26" ht="12" customHeight="1" outlineLevel="4" x14ac:dyDescent="0.2">
      <c r="A451" s="40" t="s">
        <v>10155</v>
      </c>
      <c r="B451" s="75" t="s">
        <v>10156</v>
      </c>
      <c r="C451" s="51"/>
      <c r="D451" s="54">
        <f t="shared" si="6"/>
        <v>0</v>
      </c>
      <c r="E451" s="62"/>
      <c r="F451" s="42" t="s">
        <v>39</v>
      </c>
      <c r="G451" s="41" t="s">
        <v>40</v>
      </c>
      <c r="H451" s="41"/>
      <c r="I451" s="41"/>
      <c r="J451" s="43">
        <v>957</v>
      </c>
      <c r="K451" s="41" t="s">
        <v>1126</v>
      </c>
      <c r="L451" s="43">
        <v>1</v>
      </c>
      <c r="M451" s="43">
        <v>20</v>
      </c>
      <c r="N451" s="43">
        <v>1</v>
      </c>
      <c r="O451" s="44">
        <v>1367.4</v>
      </c>
      <c r="P451" s="44">
        <v>1120.82</v>
      </c>
      <c r="Q451" s="44">
        <v>957.18</v>
      </c>
      <c r="R451" s="44">
        <v>784.57</v>
      </c>
      <c r="S451" s="44">
        <v>929.83</v>
      </c>
      <c r="T451" s="44">
        <v>762.16</v>
      </c>
      <c r="U451" s="42"/>
      <c r="V451" s="42"/>
      <c r="W451" s="42" t="s">
        <v>40</v>
      </c>
      <c r="X451" s="45">
        <v>0.22700000000000001</v>
      </c>
      <c r="Y451" s="46">
        <v>1.077E-3</v>
      </c>
      <c r="Z451" s="21">
        <v>4601004351554</v>
      </c>
    </row>
    <row r="452" spans="1:26" ht="12" customHeight="1" outlineLevel="4" x14ac:dyDescent="0.2">
      <c r="A452" s="40" t="s">
        <v>10157</v>
      </c>
      <c r="B452" s="75" t="s">
        <v>10158</v>
      </c>
      <c r="C452" s="51"/>
      <c r="D452" s="54">
        <f t="shared" si="6"/>
        <v>0</v>
      </c>
      <c r="E452" s="62"/>
      <c r="F452" s="42" t="s">
        <v>39</v>
      </c>
      <c r="G452" s="41" t="s">
        <v>40</v>
      </c>
      <c r="H452" s="41"/>
      <c r="I452" s="41"/>
      <c r="J452" s="43">
        <v>250</v>
      </c>
      <c r="K452" s="41" t="s">
        <v>1126</v>
      </c>
      <c r="L452" s="43">
        <v>1</v>
      </c>
      <c r="M452" s="43">
        <v>20</v>
      </c>
      <c r="N452" s="43">
        <v>1</v>
      </c>
      <c r="O452" s="44">
        <v>2830.2</v>
      </c>
      <c r="P452" s="44">
        <v>2319.84</v>
      </c>
      <c r="Q452" s="44">
        <v>2122.65</v>
      </c>
      <c r="R452" s="44">
        <v>1739.88</v>
      </c>
      <c r="S452" s="44">
        <v>1924.54</v>
      </c>
      <c r="T452" s="44">
        <v>1577.49</v>
      </c>
      <c r="U452" s="42"/>
      <c r="V452" s="42"/>
      <c r="W452" s="42" t="s">
        <v>40</v>
      </c>
      <c r="X452" s="45">
        <v>0.37</v>
      </c>
      <c r="Y452" s="46">
        <v>1.3079999999999999E-3</v>
      </c>
      <c r="Z452" s="21">
        <v>4601004351523</v>
      </c>
    </row>
    <row r="453" spans="1:26" ht="12" customHeight="1" outlineLevel="4" x14ac:dyDescent="0.2">
      <c r="A453" s="40" t="s">
        <v>10159</v>
      </c>
      <c r="B453" s="75" t="s">
        <v>10160</v>
      </c>
      <c r="C453" s="51"/>
      <c r="D453" s="54">
        <f t="shared" si="6"/>
        <v>0</v>
      </c>
      <c r="E453" s="62"/>
      <c r="F453" s="42" t="s">
        <v>39</v>
      </c>
      <c r="G453" s="41" t="s">
        <v>40</v>
      </c>
      <c r="H453" s="41"/>
      <c r="I453" s="41"/>
      <c r="J453" s="43">
        <v>454</v>
      </c>
      <c r="K453" s="41" t="s">
        <v>1126</v>
      </c>
      <c r="L453" s="43">
        <v>1</v>
      </c>
      <c r="M453" s="43">
        <v>50</v>
      </c>
      <c r="N453" s="43">
        <v>1</v>
      </c>
      <c r="O453" s="44">
        <v>1722.5</v>
      </c>
      <c r="P453" s="44">
        <v>1411.89</v>
      </c>
      <c r="Q453" s="44">
        <v>1240.2</v>
      </c>
      <c r="R453" s="44">
        <v>1016.56</v>
      </c>
      <c r="S453" s="44">
        <v>1171.3</v>
      </c>
      <c r="T453" s="44">
        <v>960.08</v>
      </c>
      <c r="U453" s="42"/>
      <c r="V453" s="42"/>
      <c r="W453" s="42" t="s">
        <v>40</v>
      </c>
      <c r="X453" s="45">
        <v>0.19400000000000001</v>
      </c>
      <c r="Y453" s="46">
        <v>9.9599999999999992E-4</v>
      </c>
      <c r="Z453" s="21">
        <v>4601004351547</v>
      </c>
    </row>
    <row r="454" spans="1:26" ht="12" customHeight="1" outlineLevel="4" x14ac:dyDescent="0.2">
      <c r="A454" s="40" t="s">
        <v>10161</v>
      </c>
      <c r="B454" s="75" t="s">
        <v>10162</v>
      </c>
      <c r="C454" s="51"/>
      <c r="D454" s="54">
        <f t="shared" si="6"/>
        <v>0</v>
      </c>
      <c r="E454" s="62"/>
      <c r="F454" s="42" t="s">
        <v>39</v>
      </c>
      <c r="G454" s="41" t="s">
        <v>40</v>
      </c>
      <c r="H454" s="41"/>
      <c r="I454" s="41"/>
      <c r="J454" s="43">
        <v>241</v>
      </c>
      <c r="K454" s="41" t="s">
        <v>1126</v>
      </c>
      <c r="L454" s="43">
        <v>1</v>
      </c>
      <c r="M454" s="43">
        <v>25</v>
      </c>
      <c r="N454" s="43">
        <v>1</v>
      </c>
      <c r="O454" s="44">
        <v>4907.8</v>
      </c>
      <c r="P454" s="44">
        <v>4022.79</v>
      </c>
      <c r="Q454" s="44">
        <v>3533.62</v>
      </c>
      <c r="R454" s="44">
        <v>2896.41</v>
      </c>
      <c r="S454" s="44">
        <v>3337.3</v>
      </c>
      <c r="T454" s="44">
        <v>2735.49</v>
      </c>
      <c r="U454" s="42"/>
      <c r="V454" s="42"/>
      <c r="W454" s="42" t="s">
        <v>40</v>
      </c>
      <c r="X454" s="45">
        <v>0.62</v>
      </c>
      <c r="Y454" s="46">
        <v>2.16E-3</v>
      </c>
      <c r="Z454" s="21">
        <v>4601004351530</v>
      </c>
    </row>
    <row r="455" spans="1:26" ht="12" customHeight="1" outlineLevel="4" x14ac:dyDescent="0.2">
      <c r="A455" s="40" t="s">
        <v>10163</v>
      </c>
      <c r="B455" s="75" t="s">
        <v>10164</v>
      </c>
      <c r="C455" s="51"/>
      <c r="D455" s="54">
        <f t="shared" si="6"/>
        <v>0</v>
      </c>
      <c r="E455" s="62"/>
      <c r="F455" s="42" t="s">
        <v>39</v>
      </c>
      <c r="G455" s="41" t="s">
        <v>40</v>
      </c>
      <c r="H455" s="41"/>
      <c r="I455" s="41"/>
      <c r="J455" s="43">
        <v>251</v>
      </c>
      <c r="K455" s="41" t="s">
        <v>1126</v>
      </c>
      <c r="L455" s="43">
        <v>1</v>
      </c>
      <c r="M455" s="43">
        <v>20</v>
      </c>
      <c r="N455" s="43">
        <v>1</v>
      </c>
      <c r="O455" s="44">
        <v>5194</v>
      </c>
      <c r="P455" s="44">
        <v>4257.38</v>
      </c>
      <c r="Q455" s="44">
        <v>3635.8</v>
      </c>
      <c r="R455" s="44">
        <v>2980.16</v>
      </c>
      <c r="S455" s="44">
        <v>3531.92</v>
      </c>
      <c r="T455" s="44">
        <v>2895.02</v>
      </c>
      <c r="U455" s="42"/>
      <c r="V455" s="42"/>
      <c r="W455" s="42" t="s">
        <v>40</v>
      </c>
      <c r="X455" s="45">
        <v>0.95</v>
      </c>
      <c r="Y455" s="46">
        <v>3.4619999999999998E-3</v>
      </c>
      <c r="Z455" s="21">
        <v>4601004351509</v>
      </c>
    </row>
    <row r="456" spans="1:26" ht="12" customHeight="1" outlineLevel="4" x14ac:dyDescent="0.2">
      <c r="A456" s="40" t="s">
        <v>10165</v>
      </c>
      <c r="B456" s="75" t="s">
        <v>10166</v>
      </c>
      <c r="C456" s="51"/>
      <c r="D456" s="54">
        <f t="shared" si="6"/>
        <v>0</v>
      </c>
      <c r="E456" s="62"/>
      <c r="F456" s="42" t="s">
        <v>39</v>
      </c>
      <c r="G456" s="41" t="s">
        <v>40</v>
      </c>
      <c r="H456" s="41"/>
      <c r="I456" s="41"/>
      <c r="J456" s="43">
        <v>252</v>
      </c>
      <c r="K456" s="41" t="s">
        <v>1126</v>
      </c>
      <c r="L456" s="43">
        <v>1</v>
      </c>
      <c r="M456" s="43">
        <v>20</v>
      </c>
      <c r="N456" s="43">
        <v>1</v>
      </c>
      <c r="O456" s="44">
        <v>5724</v>
      </c>
      <c r="P456" s="44">
        <v>4691.8</v>
      </c>
      <c r="Q456" s="44">
        <v>4121.28</v>
      </c>
      <c r="R456" s="44">
        <v>3378.1</v>
      </c>
      <c r="S456" s="44">
        <v>3892.32</v>
      </c>
      <c r="T456" s="44">
        <v>3190.43</v>
      </c>
      <c r="U456" s="42"/>
      <c r="V456" s="42"/>
      <c r="W456" s="42" t="s">
        <v>40</v>
      </c>
      <c r="X456" s="45">
        <v>0.63600000000000001</v>
      </c>
      <c r="Y456" s="46">
        <v>2.4269999999999999E-3</v>
      </c>
      <c r="Z456" s="21">
        <v>4601004351516</v>
      </c>
    </row>
    <row r="457" spans="1:26" ht="12.95" customHeight="1" x14ac:dyDescent="0.2">
      <c r="A457" s="80" t="s">
        <v>11317</v>
      </c>
      <c r="B457" s="80"/>
      <c r="C457" s="81"/>
      <c r="D457" s="56"/>
      <c r="E457" s="66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  <c r="W457" s="28"/>
      <c r="X457" s="28"/>
      <c r="Y457" s="28"/>
      <c r="Z457" s="28"/>
    </row>
    <row r="458" spans="1:26" ht="12.95" customHeight="1" outlineLevel="1" x14ac:dyDescent="0.2">
      <c r="A458" s="78" t="s">
        <v>11318</v>
      </c>
      <c r="B458" s="78"/>
      <c r="C458" s="79"/>
      <c r="D458" s="57"/>
      <c r="E458" s="67"/>
      <c r="F458" s="29"/>
      <c r="G458" s="29"/>
      <c r="H458" s="29"/>
      <c r="I458" s="29"/>
      <c r="J458" s="29"/>
      <c r="K458" s="29"/>
      <c r="L458" s="29"/>
      <c r="M458" s="29"/>
      <c r="N458" s="29"/>
      <c r="O458" s="29"/>
      <c r="P458" s="29"/>
      <c r="Q458" s="29"/>
      <c r="R458" s="29"/>
      <c r="S458" s="29"/>
      <c r="T458" s="29"/>
      <c r="U458" s="29"/>
      <c r="V458" s="29"/>
      <c r="W458" s="29"/>
      <c r="X458" s="29"/>
      <c r="Y458" s="29"/>
      <c r="Z458" s="29"/>
    </row>
    <row r="459" spans="1:26" ht="12.95" customHeight="1" outlineLevel="2" x14ac:dyDescent="0.2">
      <c r="A459" s="76" t="s">
        <v>11319</v>
      </c>
      <c r="B459" s="76"/>
      <c r="C459" s="77"/>
      <c r="D459" s="58"/>
      <c r="E459" s="68"/>
      <c r="F459" s="30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 spans="1:26" ht="12.95" customHeight="1" outlineLevel="3" x14ac:dyDescent="0.2">
      <c r="A460" s="76" t="s">
        <v>11667</v>
      </c>
      <c r="B460" s="76"/>
      <c r="C460" s="77"/>
      <c r="D460" s="58"/>
      <c r="E460" s="68"/>
      <c r="F460" s="30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 spans="1:26" ht="12" customHeight="1" outlineLevel="4" x14ac:dyDescent="0.2">
      <c r="A461" s="40" t="s">
        <v>11684</v>
      </c>
      <c r="B461" s="75" t="s">
        <v>11685</v>
      </c>
      <c r="C461" s="51"/>
      <c r="D461" s="54">
        <f t="shared" ref="D461:D519" si="7">C461*(O461-O461*$G$3)</f>
        <v>0</v>
      </c>
      <c r="E461" s="62"/>
      <c r="F461" s="42" t="s">
        <v>1001</v>
      </c>
      <c r="G461" s="41" t="s">
        <v>40</v>
      </c>
      <c r="H461" s="41"/>
      <c r="I461" s="41"/>
      <c r="J461" s="47">
        <v>2726</v>
      </c>
      <c r="K461" s="41"/>
      <c r="L461" s="43">
        <v>1</v>
      </c>
      <c r="M461" s="47">
        <v>1000</v>
      </c>
      <c r="N461" s="43">
        <v>1</v>
      </c>
      <c r="O461" s="44">
        <v>51.94</v>
      </c>
      <c r="P461" s="44">
        <v>42.57</v>
      </c>
      <c r="Q461" s="44">
        <v>49.34</v>
      </c>
      <c r="R461" s="44">
        <v>40.44</v>
      </c>
      <c r="S461" s="44">
        <v>35.32</v>
      </c>
      <c r="T461" s="44">
        <v>28.95</v>
      </c>
      <c r="U461" s="42"/>
      <c r="V461" s="42"/>
      <c r="W461" s="42" t="s">
        <v>40</v>
      </c>
      <c r="X461" s="45">
        <v>2.1000000000000001E-2</v>
      </c>
      <c r="Y461" s="46">
        <v>8.2000000000000001E-5</v>
      </c>
      <c r="Z461" s="21">
        <v>4601004352261</v>
      </c>
    </row>
    <row r="462" spans="1:26" ht="12" customHeight="1" outlineLevel="4" x14ac:dyDescent="0.2">
      <c r="A462" s="40" t="s">
        <v>11686</v>
      </c>
      <c r="B462" s="75" t="s">
        <v>11687</v>
      </c>
      <c r="C462" s="51"/>
      <c r="D462" s="54">
        <f t="shared" si="7"/>
        <v>0</v>
      </c>
      <c r="E462" s="62"/>
      <c r="F462" s="42" t="s">
        <v>1001</v>
      </c>
      <c r="G462" s="41" t="s">
        <v>40</v>
      </c>
      <c r="H462" s="41"/>
      <c r="I462" s="41"/>
      <c r="J462" s="47">
        <v>2793</v>
      </c>
      <c r="K462" s="41"/>
      <c r="L462" s="43">
        <v>1</v>
      </c>
      <c r="M462" s="43">
        <v>100</v>
      </c>
      <c r="N462" s="43">
        <v>1</v>
      </c>
      <c r="O462" s="44">
        <v>296.8</v>
      </c>
      <c r="P462" s="44">
        <v>243.28</v>
      </c>
      <c r="Q462" s="44">
        <v>252.28</v>
      </c>
      <c r="R462" s="44">
        <v>206.79</v>
      </c>
      <c r="S462" s="44">
        <v>201.82</v>
      </c>
      <c r="T462" s="44">
        <v>165.43</v>
      </c>
      <c r="U462" s="42"/>
      <c r="V462" s="42"/>
      <c r="W462" s="42" t="s">
        <v>40</v>
      </c>
      <c r="X462" s="45">
        <v>0.13400000000000001</v>
      </c>
      <c r="Y462" s="46">
        <v>6.6699999999999995E-4</v>
      </c>
      <c r="Z462" s="21">
        <v>4601004352285</v>
      </c>
    </row>
    <row r="463" spans="1:26" ht="12" customHeight="1" outlineLevel="4" x14ac:dyDescent="0.2">
      <c r="A463" s="40" t="s">
        <v>11688</v>
      </c>
      <c r="B463" s="75" t="s">
        <v>11689</v>
      </c>
      <c r="C463" s="51"/>
      <c r="D463" s="54">
        <f t="shared" si="7"/>
        <v>0</v>
      </c>
      <c r="E463" s="62"/>
      <c r="F463" s="42" t="s">
        <v>1001</v>
      </c>
      <c r="G463" s="41" t="s">
        <v>40</v>
      </c>
      <c r="H463" s="41"/>
      <c r="I463" s="41"/>
      <c r="J463" s="47">
        <v>2665</v>
      </c>
      <c r="K463" s="41"/>
      <c r="L463" s="43">
        <v>1</v>
      </c>
      <c r="M463" s="43">
        <v>200</v>
      </c>
      <c r="N463" s="43">
        <v>1</v>
      </c>
      <c r="O463" s="44">
        <v>148.4</v>
      </c>
      <c r="P463" s="44">
        <v>121.64</v>
      </c>
      <c r="Q463" s="44">
        <v>127.62</v>
      </c>
      <c r="R463" s="44">
        <v>104.61</v>
      </c>
      <c r="S463" s="44">
        <v>100.91</v>
      </c>
      <c r="T463" s="44">
        <v>82.71</v>
      </c>
      <c r="U463" s="42"/>
      <c r="V463" s="42"/>
      <c r="W463" s="42" t="s">
        <v>40</v>
      </c>
      <c r="X463" s="45">
        <v>7.1999999999999995E-2</v>
      </c>
      <c r="Y463" s="46">
        <v>3.1799999999999998E-4</v>
      </c>
      <c r="Z463" s="21">
        <v>4601004352278</v>
      </c>
    </row>
    <row r="464" spans="1:26" ht="12.95" customHeight="1" outlineLevel="2" x14ac:dyDescent="0.2">
      <c r="A464" s="76" t="s">
        <v>11729</v>
      </c>
      <c r="B464" s="76"/>
      <c r="C464" s="77"/>
      <c r="D464" s="58"/>
      <c r="E464" s="68"/>
      <c r="F464" s="30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 spans="1:26" ht="12.95" customHeight="1" outlineLevel="3" x14ac:dyDescent="0.2">
      <c r="A465" s="76" t="s">
        <v>11803</v>
      </c>
      <c r="B465" s="76"/>
      <c r="C465" s="77"/>
      <c r="D465" s="58"/>
      <c r="E465" s="68"/>
      <c r="F465" s="30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 spans="1:26" ht="12" customHeight="1" outlineLevel="4" x14ac:dyDescent="0.2">
      <c r="A466" s="40" t="s">
        <v>11804</v>
      </c>
      <c r="B466" s="75" t="s">
        <v>11805</v>
      </c>
      <c r="C466" s="51"/>
      <c r="D466" s="54">
        <f t="shared" si="7"/>
        <v>0</v>
      </c>
      <c r="E466" s="61" t="str">
        <f>HYPERLINK("https://www.sds-group.ru/product/lenta-stalnaya-rulonnaya-aisi-201-v-kassete-25m-rexant-07-1401/", "Инфо")</f>
        <v>Инфо</v>
      </c>
      <c r="F466" s="42" t="s">
        <v>39</v>
      </c>
      <c r="G466" s="41" t="s">
        <v>40</v>
      </c>
      <c r="H466" s="41"/>
      <c r="I466" s="41"/>
      <c r="J466" s="43">
        <v>573</v>
      </c>
      <c r="K466" s="41"/>
      <c r="L466" s="43">
        <v>1</v>
      </c>
      <c r="M466" s="43">
        <v>5</v>
      </c>
      <c r="N466" s="43">
        <v>1</v>
      </c>
      <c r="O466" s="44">
        <v>2370.56</v>
      </c>
      <c r="P466" s="44">
        <v>1943.08</v>
      </c>
      <c r="Q466" s="44">
        <v>2204.62</v>
      </c>
      <c r="R466" s="44">
        <v>1807.07</v>
      </c>
      <c r="S466" s="44">
        <v>1611.98</v>
      </c>
      <c r="T466" s="44">
        <v>1321.3</v>
      </c>
      <c r="U466" s="42"/>
      <c r="V466" s="42"/>
      <c r="W466" s="42" t="s">
        <v>40</v>
      </c>
      <c r="X466" s="45">
        <v>2.843</v>
      </c>
      <c r="Y466" s="46">
        <v>3.225E-3</v>
      </c>
      <c r="Z466" s="21">
        <v>4601004339064</v>
      </c>
    </row>
    <row r="467" spans="1:26" ht="12" customHeight="1" outlineLevel="4" x14ac:dyDescent="0.2">
      <c r="A467" s="40" t="s">
        <v>11806</v>
      </c>
      <c r="B467" s="75" t="s">
        <v>11807</v>
      </c>
      <c r="C467" s="51"/>
      <c r="D467" s="54">
        <f t="shared" si="7"/>
        <v>0</v>
      </c>
      <c r="E467" s="61" t="str">
        <f>HYPERLINK("https://www.sds-group.ru/product/lenta-stalnaya-rulonnaya-aisi-201-v-kassete-50m-rexant-07-1400/", "Инфо")</f>
        <v>Инфо</v>
      </c>
      <c r="F467" s="42" t="s">
        <v>39</v>
      </c>
      <c r="G467" s="41" t="s">
        <v>40</v>
      </c>
      <c r="H467" s="41"/>
      <c r="I467" s="41"/>
      <c r="J467" s="43">
        <v>436</v>
      </c>
      <c r="K467" s="41"/>
      <c r="L467" s="43">
        <v>1</v>
      </c>
      <c r="M467" s="43">
        <v>5</v>
      </c>
      <c r="N467" s="43">
        <v>1</v>
      </c>
      <c r="O467" s="44">
        <v>3950.95</v>
      </c>
      <c r="P467" s="44">
        <v>3238.48</v>
      </c>
      <c r="Q467" s="44">
        <v>3674.38</v>
      </c>
      <c r="R467" s="44">
        <v>3011.79</v>
      </c>
      <c r="S467" s="44">
        <v>2686.65</v>
      </c>
      <c r="T467" s="44">
        <v>2202.17</v>
      </c>
      <c r="U467" s="42"/>
      <c r="V467" s="42"/>
      <c r="W467" s="42" t="s">
        <v>40</v>
      </c>
      <c r="X467" s="45">
        <v>5.3550000000000004</v>
      </c>
      <c r="Y467" s="46">
        <v>3.2200000000000002E-3</v>
      </c>
      <c r="Z467" s="21">
        <v>4601004339057</v>
      </c>
    </row>
    <row r="468" spans="1:26" ht="12" customHeight="1" outlineLevel="4" x14ac:dyDescent="0.2">
      <c r="A468" s="40" t="s">
        <v>11808</v>
      </c>
      <c r="B468" s="75" t="s">
        <v>11809</v>
      </c>
      <c r="C468" s="51"/>
      <c r="D468" s="54">
        <f t="shared" si="7"/>
        <v>0</v>
      </c>
      <c r="E468" s="61" t="str">
        <f>HYPERLINK("https://www.sds-group.ru/product/lenta-stalnaya-rulonnaya-aisi-304-v-kassete-25m-rexant-07-1403/", "Инфо")</f>
        <v>Инфо</v>
      </c>
      <c r="F468" s="42" t="s">
        <v>39</v>
      </c>
      <c r="G468" s="41" t="s">
        <v>40</v>
      </c>
      <c r="H468" s="41"/>
      <c r="I468" s="41"/>
      <c r="J468" s="47">
        <v>1305</v>
      </c>
      <c r="K468" s="41"/>
      <c r="L468" s="43">
        <v>1</v>
      </c>
      <c r="M468" s="43">
        <v>5</v>
      </c>
      <c r="N468" s="43">
        <v>1</v>
      </c>
      <c r="O468" s="44">
        <v>2904.19</v>
      </c>
      <c r="P468" s="44">
        <v>2380.48</v>
      </c>
      <c r="Q468" s="44">
        <v>2700.9</v>
      </c>
      <c r="R468" s="44">
        <v>2213.85</v>
      </c>
      <c r="S468" s="44">
        <v>1974.85</v>
      </c>
      <c r="T468" s="44">
        <v>1618.73</v>
      </c>
      <c r="U468" s="42"/>
      <c r="V468" s="42"/>
      <c r="W468" s="42" t="s">
        <v>40</v>
      </c>
      <c r="X468" s="45">
        <v>2.851</v>
      </c>
      <c r="Y468" s="46">
        <v>3.1449999999999998E-3</v>
      </c>
      <c r="Z468" s="21">
        <v>4601004339071</v>
      </c>
    </row>
    <row r="469" spans="1:26" ht="12.95" customHeight="1" outlineLevel="3" x14ac:dyDescent="0.2">
      <c r="A469" s="76" t="s">
        <v>11810</v>
      </c>
      <c r="B469" s="76"/>
      <c r="C469" s="77"/>
      <c r="D469" s="58"/>
      <c r="E469" s="68"/>
      <c r="F469" s="30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 spans="1:26" ht="12" customHeight="1" outlineLevel="4" x14ac:dyDescent="0.2">
      <c r="A470" s="40" t="s">
        <v>11811</v>
      </c>
      <c r="B470" s="75" t="s">
        <v>11812</v>
      </c>
      <c r="C470" s="51"/>
      <c r="D470" s="54">
        <f t="shared" si="7"/>
        <v>0</v>
      </c>
      <c r="E470" s="61" t="str">
        <f>HYPERLINK("https://www.sds-group.ru/product/bugel-aisi-201-20-100-sht-up-rexant-07-1501/", "Инфо")</f>
        <v>Инфо</v>
      </c>
      <c r="F470" s="42" t="s">
        <v>1001</v>
      </c>
      <c r="G470" s="41" t="s">
        <v>40</v>
      </c>
      <c r="H470" s="41"/>
      <c r="I470" s="41"/>
      <c r="J470" s="47">
        <v>1008</v>
      </c>
      <c r="K470" s="41"/>
      <c r="L470" s="43">
        <v>1</v>
      </c>
      <c r="M470" s="43">
        <v>20</v>
      </c>
      <c r="N470" s="43">
        <v>1</v>
      </c>
      <c r="O470" s="44">
        <v>1497.37</v>
      </c>
      <c r="P470" s="44">
        <v>1227.3499999999999</v>
      </c>
      <c r="Q470" s="44">
        <v>1392.55</v>
      </c>
      <c r="R470" s="44">
        <v>1141.43</v>
      </c>
      <c r="S470" s="44">
        <v>1018.21</v>
      </c>
      <c r="T470" s="44">
        <v>834.6</v>
      </c>
      <c r="U470" s="42"/>
      <c r="V470" s="42"/>
      <c r="W470" s="42" t="s">
        <v>40</v>
      </c>
      <c r="X470" s="45">
        <v>1.204</v>
      </c>
      <c r="Y470" s="46">
        <v>1.377E-3</v>
      </c>
      <c r="Z470" s="21">
        <v>4601004342095</v>
      </c>
    </row>
    <row r="471" spans="1:26" ht="12" customHeight="1" outlineLevel="4" x14ac:dyDescent="0.2">
      <c r="A471" s="40" t="s">
        <v>11813</v>
      </c>
      <c r="B471" s="75" t="s">
        <v>11814</v>
      </c>
      <c r="C471" s="51"/>
      <c r="D471" s="54">
        <f t="shared" si="7"/>
        <v>0</v>
      </c>
      <c r="E471" s="61" t="str">
        <f>HYPERLINK("https://www.sds-group.ru/product/bugel-aisi-304-20-100-sht-up-rexant-07-1503/", "Инфо")</f>
        <v>Инфо</v>
      </c>
      <c r="F471" s="42" t="s">
        <v>1001</v>
      </c>
      <c r="G471" s="41" t="s">
        <v>40</v>
      </c>
      <c r="H471" s="41"/>
      <c r="I471" s="41"/>
      <c r="J471" s="43">
        <v>531</v>
      </c>
      <c r="K471" s="41"/>
      <c r="L471" s="43">
        <v>1</v>
      </c>
      <c r="M471" s="43">
        <v>20</v>
      </c>
      <c r="N471" s="43">
        <v>1</v>
      </c>
      <c r="O471" s="44">
        <v>2030.99</v>
      </c>
      <c r="P471" s="44">
        <v>1664.75</v>
      </c>
      <c r="Q471" s="44">
        <v>1888.82</v>
      </c>
      <c r="R471" s="44">
        <v>1548.21</v>
      </c>
      <c r="S471" s="44">
        <v>1381.07</v>
      </c>
      <c r="T471" s="44">
        <v>1132.02</v>
      </c>
      <c r="U471" s="42"/>
      <c r="V471" s="42"/>
      <c r="W471" s="42" t="s">
        <v>40</v>
      </c>
      <c r="X471" s="45">
        <v>1.208</v>
      </c>
      <c r="Y471" s="46">
        <v>1.3749999999999999E-3</v>
      </c>
      <c r="Z471" s="21">
        <v>4601004342118</v>
      </c>
    </row>
    <row r="472" spans="1:26" ht="12" customHeight="1" outlineLevel="4" x14ac:dyDescent="0.2">
      <c r="A472" s="40" t="s">
        <v>11815</v>
      </c>
      <c r="B472" s="75" t="s">
        <v>11816</v>
      </c>
      <c r="C472" s="51"/>
      <c r="D472" s="54">
        <f t="shared" si="7"/>
        <v>0</v>
      </c>
      <c r="E472" s="61" t="str">
        <f>HYPERLINK("https://www.sds-group.ru/product/skrepa-bandazhnaya-aisi-304-20-100-sht-up-rexant-07-1502/", "Инфо")</f>
        <v>Инфо</v>
      </c>
      <c r="F472" s="42" t="s">
        <v>1001</v>
      </c>
      <c r="G472" s="41" t="s">
        <v>40</v>
      </c>
      <c r="H472" s="41"/>
      <c r="I472" s="41"/>
      <c r="J472" s="43">
        <v>586</v>
      </c>
      <c r="K472" s="41"/>
      <c r="L472" s="43">
        <v>1</v>
      </c>
      <c r="M472" s="43">
        <v>15</v>
      </c>
      <c r="N472" s="43">
        <v>1</v>
      </c>
      <c r="O472" s="44">
        <v>1962</v>
      </c>
      <c r="P472" s="44">
        <v>1608.2</v>
      </c>
      <c r="Q472" s="44">
        <v>1824.66</v>
      </c>
      <c r="R472" s="44">
        <v>1495.62</v>
      </c>
      <c r="S472" s="44">
        <v>1334.16</v>
      </c>
      <c r="T472" s="44">
        <v>1093.57</v>
      </c>
      <c r="U472" s="42"/>
      <c r="V472" s="42"/>
      <c r="W472" s="42" t="s">
        <v>40</v>
      </c>
      <c r="X472" s="45">
        <v>0.61299999999999999</v>
      </c>
      <c r="Y472" s="46">
        <v>1.145E-3</v>
      </c>
      <c r="Z472" s="21">
        <v>4601004342101</v>
      </c>
    </row>
    <row r="473" spans="1:26" ht="12.95" customHeight="1" outlineLevel="1" x14ac:dyDescent="0.2">
      <c r="A473" s="78" t="s">
        <v>11896</v>
      </c>
      <c r="B473" s="78"/>
      <c r="C473" s="79"/>
      <c r="D473" s="57"/>
      <c r="E473" s="67"/>
      <c r="F473" s="29"/>
      <c r="G473" s="29"/>
      <c r="H473" s="29"/>
      <c r="I473" s="29"/>
      <c r="J473" s="29"/>
      <c r="K473" s="29"/>
      <c r="L473" s="29"/>
      <c r="M473" s="29"/>
      <c r="N473" s="29"/>
      <c r="O473" s="29"/>
      <c r="P473" s="29"/>
      <c r="Q473" s="29"/>
      <c r="R473" s="29"/>
      <c r="S473" s="29"/>
      <c r="T473" s="29"/>
      <c r="U473" s="29"/>
      <c r="V473" s="29"/>
      <c r="W473" s="29"/>
      <c r="X473" s="29"/>
      <c r="Y473" s="29"/>
      <c r="Z473" s="29"/>
    </row>
    <row r="474" spans="1:26" ht="12.95" customHeight="1" outlineLevel="2" x14ac:dyDescent="0.2">
      <c r="A474" s="76" t="s">
        <v>11897</v>
      </c>
      <c r="B474" s="76"/>
      <c r="C474" s="77"/>
      <c r="D474" s="58"/>
      <c r="E474" s="68"/>
      <c r="F474" s="30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 spans="1:26" ht="12.95" customHeight="1" outlineLevel="3" x14ac:dyDescent="0.2">
      <c r="A475" s="76" t="s">
        <v>11911</v>
      </c>
      <c r="B475" s="76"/>
      <c r="C475" s="77"/>
      <c r="D475" s="58"/>
      <c r="E475" s="68"/>
      <c r="F475" s="30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 spans="1:26" ht="12" customHeight="1" outlineLevel="4" x14ac:dyDescent="0.2">
      <c r="A476" s="40" t="s">
        <v>11912</v>
      </c>
      <c r="B476" s="75" t="s">
        <v>11913</v>
      </c>
      <c r="C476" s="51"/>
      <c r="D476" s="54">
        <f t="shared" si="7"/>
        <v>0</v>
      </c>
      <c r="E476" s="61" t="str">
        <f>HYPERLINK("https://www.sds-group.ru/product/ploschadka-pod-styazhku-dlya-pryamogo-montazha-22x16mm-belaya-100-sht-up-rexant-07-2110/", "Инфо")</f>
        <v>Инфо</v>
      </c>
      <c r="F476" s="42" t="s">
        <v>1001</v>
      </c>
      <c r="G476" s="41" t="s">
        <v>40</v>
      </c>
      <c r="H476" s="41"/>
      <c r="I476" s="41"/>
      <c r="J476" s="43">
        <v>624</v>
      </c>
      <c r="K476" s="41"/>
      <c r="L476" s="43">
        <v>5</v>
      </c>
      <c r="M476" s="43">
        <v>10</v>
      </c>
      <c r="N476" s="43">
        <v>5</v>
      </c>
      <c r="O476" s="44">
        <v>328.8</v>
      </c>
      <c r="P476" s="44">
        <v>269.51</v>
      </c>
      <c r="Q476" s="44">
        <v>276.19</v>
      </c>
      <c r="R476" s="44">
        <v>226.39</v>
      </c>
      <c r="S476" s="44">
        <v>223.58</v>
      </c>
      <c r="T476" s="44">
        <v>183.26</v>
      </c>
      <c r="U476" s="42"/>
      <c r="V476" s="42"/>
      <c r="W476" s="42" t="s">
        <v>40</v>
      </c>
      <c r="X476" s="45">
        <v>0.20399999999999999</v>
      </c>
      <c r="Y476" s="46">
        <v>1.0499999999999999E-3</v>
      </c>
      <c r="Z476" s="21">
        <v>4601004342064</v>
      </c>
    </row>
    <row r="477" spans="1:26" ht="12" customHeight="1" outlineLevel="4" x14ac:dyDescent="0.2">
      <c r="A477" s="40" t="s">
        <v>11914</v>
      </c>
      <c r="B477" s="75" t="s">
        <v>11915</v>
      </c>
      <c r="C477" s="51"/>
      <c r="D477" s="54">
        <f t="shared" si="7"/>
        <v>0</v>
      </c>
      <c r="E477" s="61" t="str">
        <f>HYPERLINK("https://www.sds-group.ru/product/ploschadka-pod-styazhku-dlya-pryamogo-montazha-22x16mm-chernaya-100-sht-up-rexant-07-2111/", "Инфо")</f>
        <v>Инфо</v>
      </c>
      <c r="F477" s="42" t="s">
        <v>1001</v>
      </c>
      <c r="G477" s="41" t="s">
        <v>40</v>
      </c>
      <c r="H477" s="41"/>
      <c r="I477" s="41"/>
      <c r="J477" s="47">
        <v>1024</v>
      </c>
      <c r="K477" s="41"/>
      <c r="L477" s="43">
        <v>5</v>
      </c>
      <c r="M477" s="43">
        <v>10</v>
      </c>
      <c r="N477" s="43">
        <v>5</v>
      </c>
      <c r="O477" s="44">
        <v>328.8</v>
      </c>
      <c r="P477" s="44">
        <v>269.51</v>
      </c>
      <c r="Q477" s="44">
        <v>276.19</v>
      </c>
      <c r="R477" s="44">
        <v>226.39</v>
      </c>
      <c r="S477" s="44">
        <v>223.58</v>
      </c>
      <c r="T477" s="44">
        <v>183.26</v>
      </c>
      <c r="U477" s="42"/>
      <c r="V477" s="42"/>
      <c r="W477" s="42" t="s">
        <v>40</v>
      </c>
      <c r="X477" s="45">
        <v>0.20100000000000001</v>
      </c>
      <c r="Y477" s="46">
        <v>1.073E-3</v>
      </c>
      <c r="Z477" s="21">
        <v>4601004342071</v>
      </c>
    </row>
    <row r="478" spans="1:26" ht="12" customHeight="1" outlineLevel="4" x14ac:dyDescent="0.2">
      <c r="A478" s="40" t="s">
        <v>11922</v>
      </c>
      <c r="B478" s="75" t="s">
        <v>11923</v>
      </c>
      <c r="C478" s="51"/>
      <c r="D478" s="54">
        <f t="shared" si="7"/>
        <v>0</v>
      </c>
      <c r="E478" s="61" t="str">
        <f>HYPERLINK("https://www.sds-group.ru/product/ploschadka-pod-styazhku-usilennaya-dlya-pryamogo-montazha-35h35mm-chernaya-50-sht-up-rexant-07-2109/", "Инфо")</f>
        <v>Инфо</v>
      </c>
      <c r="F478" s="42" t="s">
        <v>1001</v>
      </c>
      <c r="G478" s="41" t="s">
        <v>40</v>
      </c>
      <c r="H478" s="41" t="s">
        <v>40</v>
      </c>
      <c r="I478" s="41"/>
      <c r="J478" s="43">
        <v>409</v>
      </c>
      <c r="K478" s="41"/>
      <c r="L478" s="43">
        <v>5</v>
      </c>
      <c r="M478" s="43">
        <v>20</v>
      </c>
      <c r="N478" s="43">
        <v>5</v>
      </c>
      <c r="O478" s="44">
        <v>229.39</v>
      </c>
      <c r="P478" s="44">
        <v>188.02</v>
      </c>
      <c r="Q478" s="44">
        <v>222.51</v>
      </c>
      <c r="R478" s="44">
        <v>182.39</v>
      </c>
      <c r="S478" s="44">
        <v>155.99</v>
      </c>
      <c r="T478" s="44">
        <v>127.86</v>
      </c>
      <c r="U478" s="42"/>
      <c r="V478" s="42"/>
      <c r="W478" s="42" t="s">
        <v>40</v>
      </c>
      <c r="X478" s="45">
        <v>0.27600000000000002</v>
      </c>
      <c r="Y478" s="46">
        <v>1.279E-3</v>
      </c>
      <c r="Z478" s="21">
        <v>4601004342057</v>
      </c>
    </row>
    <row r="479" spans="1:26" ht="12.95" customHeight="1" x14ac:dyDescent="0.2">
      <c r="A479" s="80" t="s">
        <v>12717</v>
      </c>
      <c r="B479" s="80"/>
      <c r="C479" s="81"/>
      <c r="D479" s="56"/>
      <c r="E479" s="66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  <c r="W479" s="28"/>
      <c r="X479" s="28"/>
      <c r="Y479" s="28"/>
      <c r="Z479" s="28"/>
    </row>
    <row r="480" spans="1:26" ht="12.95" customHeight="1" outlineLevel="1" x14ac:dyDescent="0.2">
      <c r="A480" s="78" t="s">
        <v>13405</v>
      </c>
      <c r="B480" s="78"/>
      <c r="C480" s="79"/>
      <c r="D480" s="57"/>
      <c r="E480" s="67"/>
      <c r="F480" s="29"/>
      <c r="G480" s="29"/>
      <c r="H480" s="29"/>
      <c r="I480" s="29"/>
      <c r="J480" s="29"/>
      <c r="K480" s="29"/>
      <c r="L480" s="29"/>
      <c r="M480" s="29"/>
      <c r="N480" s="29"/>
      <c r="O480" s="29"/>
      <c r="P480" s="29"/>
      <c r="Q480" s="29"/>
      <c r="R480" s="29"/>
      <c r="S480" s="29"/>
      <c r="T480" s="29"/>
      <c r="U480" s="29"/>
      <c r="V480" s="29"/>
      <c r="W480" s="29"/>
      <c r="X480" s="29"/>
      <c r="Y480" s="29"/>
      <c r="Z480" s="29"/>
    </row>
    <row r="481" spans="1:26" ht="12.95" customHeight="1" outlineLevel="2" x14ac:dyDescent="0.2">
      <c r="A481" s="76" t="s">
        <v>13511</v>
      </c>
      <c r="B481" s="76"/>
      <c r="C481" s="77"/>
      <c r="D481" s="58"/>
      <c r="E481" s="68"/>
      <c r="F481" s="30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 spans="1:26" ht="12.95" customHeight="1" outlineLevel="3" x14ac:dyDescent="0.2">
      <c r="A482" s="76" t="s">
        <v>13512</v>
      </c>
      <c r="B482" s="76"/>
      <c r="C482" s="77"/>
      <c r="D482" s="58"/>
      <c r="E482" s="68"/>
      <c r="F482" s="30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 spans="1:26" ht="12" customHeight="1" outlineLevel="4" x14ac:dyDescent="0.2">
      <c r="A483" s="40" t="s">
        <v>13515</v>
      </c>
      <c r="B483" s="75" t="s">
        <v>13516</v>
      </c>
      <c r="C483" s="51"/>
      <c r="D483" s="54">
        <f t="shared" si="7"/>
        <v>0</v>
      </c>
      <c r="E483" s="61" t="str">
        <f>HYPERLINK("https://www.sds-group.ru/product/nastennyy-telekommunikatsionnyy-shkaf-19-6u-600-450mm-dver-steklo-s-zadney-stenkoy-razbo-04-0664-112/", "Инфо")</f>
        <v>Инфо</v>
      </c>
      <c r="F483" s="42" t="s">
        <v>39</v>
      </c>
      <c r="G483" s="41" t="s">
        <v>40</v>
      </c>
      <c r="H483" s="41"/>
      <c r="I483" s="41"/>
      <c r="J483" s="42" t="s">
        <v>100</v>
      </c>
      <c r="K483" s="41" t="s">
        <v>6930</v>
      </c>
      <c r="L483" s="43">
        <v>1</v>
      </c>
      <c r="M483" s="43">
        <v>1</v>
      </c>
      <c r="N483" s="43">
        <v>1</v>
      </c>
      <c r="O483" s="44">
        <v>13887.48</v>
      </c>
      <c r="P483" s="44">
        <v>11383.18</v>
      </c>
      <c r="Q483" s="44">
        <v>12359.86</v>
      </c>
      <c r="R483" s="44">
        <v>10131.030000000001</v>
      </c>
      <c r="S483" s="44">
        <v>8332.49</v>
      </c>
      <c r="T483" s="44">
        <v>6829.91</v>
      </c>
      <c r="U483" s="42"/>
      <c r="V483" s="42"/>
      <c r="W483" s="42" t="s">
        <v>40</v>
      </c>
      <c r="X483" s="45">
        <v>14.666</v>
      </c>
      <c r="Y483" s="46">
        <v>4.3519000000000002E-2</v>
      </c>
      <c r="Z483" s="21">
        <v>4601004339354</v>
      </c>
    </row>
    <row r="484" spans="1:26" ht="12.95" customHeight="1" outlineLevel="3" x14ac:dyDescent="0.2">
      <c r="A484" s="76" t="s">
        <v>13517</v>
      </c>
      <c r="B484" s="76"/>
      <c r="C484" s="77"/>
      <c r="D484" s="58"/>
      <c r="E484" s="68"/>
      <c r="F484" s="30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 spans="1:26" ht="12" customHeight="1" outlineLevel="4" x14ac:dyDescent="0.2">
      <c r="A485" s="40" t="s">
        <v>13520</v>
      </c>
      <c r="B485" s="75" t="s">
        <v>13521</v>
      </c>
      <c r="C485" s="51"/>
      <c r="D485" s="54">
        <f t="shared" si="7"/>
        <v>0</v>
      </c>
      <c r="E485" s="61" t="str">
        <f>HYPERLINK("https://www.sds-group.ru/product/nastennyy-telekommunikatsionnyy-shkaf-19-6u-600-600mm-dver-steklo-s-zadney-stenkoy-razbo-04-0666-112/", "Инфо")</f>
        <v>Инфо</v>
      </c>
      <c r="F485" s="42" t="s">
        <v>39</v>
      </c>
      <c r="G485" s="41" t="s">
        <v>40</v>
      </c>
      <c r="H485" s="41"/>
      <c r="I485" s="41"/>
      <c r="J485" s="42" t="s">
        <v>100</v>
      </c>
      <c r="K485" s="41" t="s">
        <v>1519</v>
      </c>
      <c r="L485" s="43">
        <v>1</v>
      </c>
      <c r="M485" s="43">
        <v>1</v>
      </c>
      <c r="N485" s="43">
        <v>1</v>
      </c>
      <c r="O485" s="44">
        <v>15452.28</v>
      </c>
      <c r="P485" s="44">
        <v>12665.8</v>
      </c>
      <c r="Q485" s="44">
        <v>13752.53</v>
      </c>
      <c r="R485" s="44">
        <v>11272.57</v>
      </c>
      <c r="S485" s="44">
        <v>9271.3700000000008</v>
      </c>
      <c r="T485" s="44">
        <v>7599.48</v>
      </c>
      <c r="U485" s="42"/>
      <c r="V485" s="42"/>
      <c r="W485" s="42" t="s">
        <v>40</v>
      </c>
      <c r="X485" s="45">
        <v>16.805</v>
      </c>
      <c r="Y485" s="46">
        <v>9.0867000000000003E-2</v>
      </c>
      <c r="Z485" s="21">
        <v>4601004339361</v>
      </c>
    </row>
    <row r="486" spans="1:26" ht="12.95" customHeight="1" outlineLevel="3" x14ac:dyDescent="0.2">
      <c r="A486" s="76" t="s">
        <v>13522</v>
      </c>
      <c r="B486" s="76"/>
      <c r="C486" s="77"/>
      <c r="D486" s="58"/>
      <c r="E486" s="68"/>
      <c r="F486" s="30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 spans="1:26" ht="12" customHeight="1" outlineLevel="4" x14ac:dyDescent="0.2">
      <c r="A487" s="40" t="s">
        <v>13523</v>
      </c>
      <c r="B487" s="75" t="s">
        <v>13524</v>
      </c>
      <c r="C487" s="51"/>
      <c r="D487" s="54">
        <f t="shared" si="7"/>
        <v>0</v>
      </c>
      <c r="E487" s="61" t="str">
        <f>HYPERLINK("https://www.sds-group.ru/product/nastennyy-telekommunikatsionnyy-shkaf-19-9u-600-450mm-dver-metall-s-zadney-stenkoy-razbo-04-0964-121/", "Инфо")</f>
        <v>Инфо</v>
      </c>
      <c r="F487" s="42" t="s">
        <v>39</v>
      </c>
      <c r="G487" s="41" t="s">
        <v>40</v>
      </c>
      <c r="H487" s="41"/>
      <c r="I487" s="41"/>
      <c r="J487" s="43">
        <v>8</v>
      </c>
      <c r="K487" s="41" t="s">
        <v>1519</v>
      </c>
      <c r="L487" s="43">
        <v>1</v>
      </c>
      <c r="M487" s="43">
        <v>1</v>
      </c>
      <c r="N487" s="43">
        <v>1</v>
      </c>
      <c r="O487" s="44">
        <v>15693.9</v>
      </c>
      <c r="P487" s="44">
        <v>12863.85</v>
      </c>
      <c r="Q487" s="44">
        <v>13967.57</v>
      </c>
      <c r="R487" s="44">
        <v>11448.83</v>
      </c>
      <c r="S487" s="44">
        <v>9416.34</v>
      </c>
      <c r="T487" s="44">
        <v>7718.31</v>
      </c>
      <c r="U487" s="42"/>
      <c r="V487" s="42"/>
      <c r="W487" s="42" t="s">
        <v>40</v>
      </c>
      <c r="X487" s="45">
        <v>17.8</v>
      </c>
      <c r="Y487" s="46">
        <v>5.7000000000000002E-2</v>
      </c>
      <c r="Z487" s="21">
        <v>4601004331310</v>
      </c>
    </row>
    <row r="488" spans="1:26" ht="12.95" customHeight="1" outlineLevel="3" x14ac:dyDescent="0.2">
      <c r="A488" s="76" t="s">
        <v>13529</v>
      </c>
      <c r="B488" s="76"/>
      <c r="C488" s="77"/>
      <c r="D488" s="58"/>
      <c r="E488" s="68"/>
      <c r="F488" s="30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 spans="1:26" ht="12" customHeight="1" outlineLevel="4" x14ac:dyDescent="0.2">
      <c r="A489" s="40" t="s">
        <v>13530</v>
      </c>
      <c r="B489" s="75" t="s">
        <v>13531</v>
      </c>
      <c r="C489" s="51"/>
      <c r="D489" s="54">
        <f t="shared" si="7"/>
        <v>0</v>
      </c>
      <c r="E489" s="61" t="str">
        <f>HYPERLINK("https://www.sds-group.ru/product/nastennyy-telekommunikatsionnyy-shkaf-19-12u-600-600mm-dver-metall-s-zadney-stenkoy-razb-04-1266-121/", "Инфо")</f>
        <v>Инфо</v>
      </c>
      <c r="F489" s="42" t="s">
        <v>39</v>
      </c>
      <c r="G489" s="41" t="s">
        <v>40</v>
      </c>
      <c r="H489" s="41"/>
      <c r="I489" s="41"/>
      <c r="J489" s="43">
        <v>9</v>
      </c>
      <c r="K489" s="41" t="s">
        <v>1519</v>
      </c>
      <c r="L489" s="43">
        <v>1</v>
      </c>
      <c r="M489" s="43">
        <v>1</v>
      </c>
      <c r="N489" s="43">
        <v>1</v>
      </c>
      <c r="O489" s="44">
        <v>19444.79</v>
      </c>
      <c r="P489" s="44">
        <v>15938.35</v>
      </c>
      <c r="Q489" s="44">
        <v>17305.86</v>
      </c>
      <c r="R489" s="44">
        <v>14185.13</v>
      </c>
      <c r="S489" s="44">
        <v>11666.87</v>
      </c>
      <c r="T489" s="44">
        <v>9563.01</v>
      </c>
      <c r="U489" s="42"/>
      <c r="V489" s="42"/>
      <c r="W489" s="42" t="s">
        <v>40</v>
      </c>
      <c r="X489" s="45">
        <v>22.3</v>
      </c>
      <c r="Y489" s="46">
        <v>7.8E-2</v>
      </c>
      <c r="Z489" s="21">
        <v>4601004331327</v>
      </c>
    </row>
    <row r="490" spans="1:26" ht="12" customHeight="1" outlineLevel="4" x14ac:dyDescent="0.2">
      <c r="A490" s="40" t="s">
        <v>13532</v>
      </c>
      <c r="B490" s="75" t="s">
        <v>13533</v>
      </c>
      <c r="C490" s="51"/>
      <c r="D490" s="54">
        <f t="shared" si="7"/>
        <v>0</v>
      </c>
      <c r="E490" s="61" t="str">
        <f>HYPERLINK("https://www.sds-group.ru/product/nastennyy-telekommunikatsionnyy-shkaf-19-12u-600-600mm-dver-metall-s-zadney-stenkoy-razb-04-1266-122/", "Инфо")</f>
        <v>Инфо</v>
      </c>
      <c r="F490" s="42" t="s">
        <v>39</v>
      </c>
      <c r="G490" s="41" t="s">
        <v>40</v>
      </c>
      <c r="H490" s="41"/>
      <c r="I490" s="41"/>
      <c r="J490" s="42" t="s">
        <v>100</v>
      </c>
      <c r="K490" s="41" t="s">
        <v>1519</v>
      </c>
      <c r="L490" s="43">
        <v>1</v>
      </c>
      <c r="M490" s="43">
        <v>1</v>
      </c>
      <c r="N490" s="43">
        <v>1</v>
      </c>
      <c r="O490" s="44">
        <v>19444.79</v>
      </c>
      <c r="P490" s="44">
        <v>15938.35</v>
      </c>
      <c r="Q490" s="44">
        <v>17305.86</v>
      </c>
      <c r="R490" s="44">
        <v>14185.13</v>
      </c>
      <c r="S490" s="44">
        <v>11666.87</v>
      </c>
      <c r="T490" s="44">
        <v>9563.01</v>
      </c>
      <c r="U490" s="42"/>
      <c r="V490" s="42"/>
      <c r="W490" s="42" t="s">
        <v>40</v>
      </c>
      <c r="X490" s="45">
        <v>21.98</v>
      </c>
      <c r="Y490" s="46">
        <v>9.2048000000000005E-2</v>
      </c>
      <c r="Z490" s="21">
        <v>4601004339392</v>
      </c>
    </row>
    <row r="491" spans="1:26" ht="12.95" customHeight="1" outlineLevel="3" x14ac:dyDescent="0.2">
      <c r="A491" s="76" t="s">
        <v>13538</v>
      </c>
      <c r="B491" s="76"/>
      <c r="C491" s="77"/>
      <c r="D491" s="58"/>
      <c r="E491" s="68"/>
      <c r="F491" s="30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 spans="1:26" ht="12" customHeight="1" outlineLevel="4" x14ac:dyDescent="0.2">
      <c r="A492" s="40" t="s">
        <v>13539</v>
      </c>
      <c r="B492" s="75" t="s">
        <v>13540</v>
      </c>
      <c r="C492" s="51"/>
      <c r="D492" s="54">
        <f t="shared" si="7"/>
        <v>0</v>
      </c>
      <c r="E492" s="62"/>
      <c r="F492" s="42" t="s">
        <v>39</v>
      </c>
      <c r="G492" s="41" t="s">
        <v>40</v>
      </c>
      <c r="H492" s="41"/>
      <c r="I492" s="41"/>
      <c r="J492" s="43">
        <v>3</v>
      </c>
      <c r="K492" s="41" t="s">
        <v>1519</v>
      </c>
      <c r="L492" s="43">
        <v>1</v>
      </c>
      <c r="M492" s="43">
        <v>1</v>
      </c>
      <c r="N492" s="43">
        <v>1</v>
      </c>
      <c r="O492" s="44">
        <v>9721.24</v>
      </c>
      <c r="P492" s="44">
        <v>7968.23</v>
      </c>
      <c r="Q492" s="44">
        <v>8651.9</v>
      </c>
      <c r="R492" s="44">
        <v>7091.72</v>
      </c>
      <c r="S492" s="44">
        <v>5832.74</v>
      </c>
      <c r="T492" s="44">
        <v>4780.93</v>
      </c>
      <c r="U492" s="42"/>
      <c r="V492" s="42"/>
      <c r="W492" s="42" t="s">
        <v>40</v>
      </c>
      <c r="X492" s="45">
        <v>9.8490000000000002</v>
      </c>
      <c r="Y492" s="46">
        <v>3.7974000000000001E-2</v>
      </c>
      <c r="Z492" s="21">
        <v>4601004337466</v>
      </c>
    </row>
    <row r="493" spans="1:26" ht="12" customHeight="1" outlineLevel="4" x14ac:dyDescent="0.2">
      <c r="A493" s="40" t="s">
        <v>13541</v>
      </c>
      <c r="B493" s="75" t="s">
        <v>13542</v>
      </c>
      <c r="C493" s="51"/>
      <c r="D493" s="54">
        <f t="shared" si="7"/>
        <v>0</v>
      </c>
      <c r="E493" s="62"/>
      <c r="F493" s="42" t="s">
        <v>39</v>
      </c>
      <c r="G493" s="41" t="s">
        <v>40</v>
      </c>
      <c r="H493" s="41"/>
      <c r="I493" s="41"/>
      <c r="J493" s="42" t="s">
        <v>100</v>
      </c>
      <c r="K493" s="41" t="s">
        <v>6930</v>
      </c>
      <c r="L493" s="43">
        <v>1</v>
      </c>
      <c r="M493" s="43">
        <v>1</v>
      </c>
      <c r="N493" s="43">
        <v>1</v>
      </c>
      <c r="O493" s="44">
        <v>9721.24</v>
      </c>
      <c r="P493" s="44">
        <v>7968.23</v>
      </c>
      <c r="Q493" s="44">
        <v>8651.9</v>
      </c>
      <c r="R493" s="44">
        <v>7091.72</v>
      </c>
      <c r="S493" s="44">
        <v>5832.74</v>
      </c>
      <c r="T493" s="44">
        <v>4780.93</v>
      </c>
      <c r="U493" s="42"/>
      <c r="V493" s="42"/>
      <c r="W493" s="42" t="s">
        <v>40</v>
      </c>
      <c r="X493" s="45">
        <v>10.476000000000001</v>
      </c>
      <c r="Y493" s="46">
        <v>3.7974000000000001E-2</v>
      </c>
      <c r="Z493" s="21">
        <v>4601004337473</v>
      </c>
    </row>
    <row r="494" spans="1:26" ht="12.95" customHeight="1" outlineLevel="3" x14ac:dyDescent="0.2">
      <c r="A494" s="76" t="s">
        <v>13543</v>
      </c>
      <c r="B494" s="76"/>
      <c r="C494" s="77"/>
      <c r="D494" s="58"/>
      <c r="E494" s="68"/>
      <c r="F494" s="30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 spans="1:26" ht="12" customHeight="1" outlineLevel="4" x14ac:dyDescent="0.2">
      <c r="A495" s="40" t="s">
        <v>13544</v>
      </c>
      <c r="B495" s="75" t="s">
        <v>13545</v>
      </c>
      <c r="C495" s="51"/>
      <c r="D495" s="54">
        <f t="shared" si="7"/>
        <v>0</v>
      </c>
      <c r="E495" s="62"/>
      <c r="F495" s="42" t="s">
        <v>39</v>
      </c>
      <c r="G495" s="41" t="s">
        <v>40</v>
      </c>
      <c r="H495" s="41"/>
      <c r="I495" s="41"/>
      <c r="J495" s="43">
        <v>14</v>
      </c>
      <c r="K495" s="41" t="s">
        <v>1519</v>
      </c>
      <c r="L495" s="43">
        <v>1</v>
      </c>
      <c r="M495" s="43">
        <v>1</v>
      </c>
      <c r="N495" s="43">
        <v>1</v>
      </c>
      <c r="O495" s="44">
        <v>13938.88</v>
      </c>
      <c r="P495" s="44">
        <v>11425.31</v>
      </c>
      <c r="Q495" s="44">
        <v>12405.6</v>
      </c>
      <c r="R495" s="44">
        <v>10168.52</v>
      </c>
      <c r="S495" s="44">
        <v>8363.33</v>
      </c>
      <c r="T495" s="44">
        <v>6855.19</v>
      </c>
      <c r="U495" s="42"/>
      <c r="V495" s="42"/>
      <c r="W495" s="42" t="s">
        <v>40</v>
      </c>
      <c r="X495" s="45">
        <v>12.221</v>
      </c>
      <c r="Y495" s="46">
        <v>4.5749999999999999E-2</v>
      </c>
      <c r="Z495" s="21">
        <v>4601004337480</v>
      </c>
    </row>
    <row r="496" spans="1:26" ht="12" customHeight="1" outlineLevel="4" x14ac:dyDescent="0.2">
      <c r="A496" s="40" t="s">
        <v>13546</v>
      </c>
      <c r="B496" s="75" t="s">
        <v>13547</v>
      </c>
      <c r="C496" s="51"/>
      <c r="D496" s="54">
        <f t="shared" si="7"/>
        <v>0</v>
      </c>
      <c r="E496" s="62"/>
      <c r="F496" s="42" t="s">
        <v>39</v>
      </c>
      <c r="G496" s="41" t="s">
        <v>40</v>
      </c>
      <c r="H496" s="41"/>
      <c r="I496" s="41"/>
      <c r="J496" s="42" t="s">
        <v>100</v>
      </c>
      <c r="K496" s="41" t="s">
        <v>1519</v>
      </c>
      <c r="L496" s="43">
        <v>1</v>
      </c>
      <c r="M496" s="43">
        <v>1</v>
      </c>
      <c r="N496" s="43">
        <v>1</v>
      </c>
      <c r="O496" s="44">
        <v>13938.88</v>
      </c>
      <c r="P496" s="44">
        <v>11425.31</v>
      </c>
      <c r="Q496" s="44">
        <v>12405.6</v>
      </c>
      <c r="R496" s="44">
        <v>10168.52</v>
      </c>
      <c r="S496" s="44">
        <v>8363.33</v>
      </c>
      <c r="T496" s="44">
        <v>6855.19</v>
      </c>
      <c r="U496" s="42"/>
      <c r="V496" s="42"/>
      <c r="W496" s="42" t="s">
        <v>40</v>
      </c>
      <c r="X496" s="45">
        <v>11.519</v>
      </c>
      <c r="Y496" s="46">
        <v>4.4443999999999997E-2</v>
      </c>
      <c r="Z496" s="21">
        <v>4601004337497</v>
      </c>
    </row>
    <row r="497" spans="1:26" ht="12" customHeight="1" outlineLevel="4" x14ac:dyDescent="0.2">
      <c r="A497" s="40" t="s">
        <v>13548</v>
      </c>
      <c r="B497" s="75" t="s">
        <v>13549</v>
      </c>
      <c r="C497" s="51"/>
      <c r="D497" s="54">
        <f t="shared" si="7"/>
        <v>0</v>
      </c>
      <c r="E497" s="62"/>
      <c r="F497" s="42" t="s">
        <v>39</v>
      </c>
      <c r="G497" s="41" t="s">
        <v>40</v>
      </c>
      <c r="H497" s="41"/>
      <c r="I497" s="41"/>
      <c r="J497" s="43">
        <v>16</v>
      </c>
      <c r="K497" s="41" t="s">
        <v>1519</v>
      </c>
      <c r="L497" s="43">
        <v>1</v>
      </c>
      <c r="M497" s="43">
        <v>1</v>
      </c>
      <c r="N497" s="43">
        <v>1</v>
      </c>
      <c r="O497" s="44">
        <v>13938.88</v>
      </c>
      <c r="P497" s="44">
        <v>11425.31</v>
      </c>
      <c r="Q497" s="44">
        <v>12405.6</v>
      </c>
      <c r="R497" s="44">
        <v>10168.52</v>
      </c>
      <c r="S497" s="44">
        <v>8363.33</v>
      </c>
      <c r="T497" s="44">
        <v>6855.19</v>
      </c>
      <c r="U497" s="42"/>
      <c r="V497" s="42"/>
      <c r="W497" s="42" t="s">
        <v>40</v>
      </c>
      <c r="X497" s="45">
        <v>12.313000000000001</v>
      </c>
      <c r="Y497" s="46">
        <v>4.8044999999999997E-2</v>
      </c>
      <c r="Z497" s="21">
        <v>4601004337503</v>
      </c>
    </row>
    <row r="498" spans="1:26" ht="12.95" customHeight="1" outlineLevel="3" x14ac:dyDescent="0.2">
      <c r="A498" s="76" t="s">
        <v>13550</v>
      </c>
      <c r="B498" s="76"/>
      <c r="C498" s="77"/>
      <c r="D498" s="58"/>
      <c r="E498" s="68"/>
      <c r="F498" s="30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 spans="1:26" ht="12" customHeight="1" outlineLevel="4" x14ac:dyDescent="0.2">
      <c r="A499" s="40" t="s">
        <v>13551</v>
      </c>
      <c r="B499" s="75" t="s">
        <v>13552</v>
      </c>
      <c r="C499" s="51"/>
      <c r="D499" s="54">
        <f t="shared" si="7"/>
        <v>0</v>
      </c>
      <c r="E499" s="61" t="str">
        <f>HYPERLINK("https://www.sds-group.ru/product/nastennyy-telekommunikatsionnyy-shkaf-19-9u-600-600mm-dver-metall-s-zadney-stenkoy-razbo-04-0966-121/", "Инфо")</f>
        <v>Инфо</v>
      </c>
      <c r="F499" s="42" t="s">
        <v>39</v>
      </c>
      <c r="G499" s="41" t="s">
        <v>40</v>
      </c>
      <c r="H499" s="41"/>
      <c r="I499" s="41"/>
      <c r="J499" s="43">
        <v>19</v>
      </c>
      <c r="K499" s="41" t="s">
        <v>1519</v>
      </c>
      <c r="L499" s="43">
        <v>1</v>
      </c>
      <c r="M499" s="43">
        <v>1</v>
      </c>
      <c r="N499" s="43">
        <v>1</v>
      </c>
      <c r="O499" s="44">
        <v>17385.25</v>
      </c>
      <c r="P499" s="44">
        <v>14250.2</v>
      </c>
      <c r="Q499" s="44">
        <v>15472.87</v>
      </c>
      <c r="R499" s="44">
        <v>12682.68</v>
      </c>
      <c r="S499" s="44">
        <v>10431.15</v>
      </c>
      <c r="T499" s="44">
        <v>8550.1200000000008</v>
      </c>
      <c r="U499" s="42"/>
      <c r="V499" s="42"/>
      <c r="W499" s="42" t="s">
        <v>40</v>
      </c>
      <c r="X499" s="45">
        <v>19.416</v>
      </c>
      <c r="Y499" s="46">
        <v>8.7610999999999994E-2</v>
      </c>
      <c r="Z499" s="21">
        <v>4601004331266</v>
      </c>
    </row>
    <row r="500" spans="1:26" ht="12" customHeight="1" outlineLevel="4" x14ac:dyDescent="0.2">
      <c r="A500" s="40" t="s">
        <v>13553</v>
      </c>
      <c r="B500" s="75" t="s">
        <v>13554</v>
      </c>
      <c r="C500" s="51"/>
      <c r="D500" s="54">
        <f t="shared" si="7"/>
        <v>0</v>
      </c>
      <c r="E500" s="61" t="str">
        <f>HYPERLINK("https://www.sds-group.ru/product/nastennyy-telekommunikatsionnyy-shkaf-19-9u-600-600mm-dver-metall-s-zadney-stenkoy-razbo-04-0966-122/", "Инфо")</f>
        <v>Инфо</v>
      </c>
      <c r="F500" s="42" t="s">
        <v>39</v>
      </c>
      <c r="G500" s="41" t="s">
        <v>40</v>
      </c>
      <c r="H500" s="41"/>
      <c r="I500" s="41"/>
      <c r="J500" s="43">
        <v>18</v>
      </c>
      <c r="K500" s="41" t="s">
        <v>1519</v>
      </c>
      <c r="L500" s="43">
        <v>1</v>
      </c>
      <c r="M500" s="43">
        <v>1</v>
      </c>
      <c r="N500" s="43">
        <v>1</v>
      </c>
      <c r="O500" s="44">
        <v>17385.25</v>
      </c>
      <c r="P500" s="44">
        <v>14250.2</v>
      </c>
      <c r="Q500" s="44">
        <v>15472.87</v>
      </c>
      <c r="R500" s="44">
        <v>12682.68</v>
      </c>
      <c r="S500" s="44">
        <v>10431.15</v>
      </c>
      <c r="T500" s="44">
        <v>8550.1200000000008</v>
      </c>
      <c r="U500" s="42"/>
      <c r="V500" s="42"/>
      <c r="W500" s="42" t="s">
        <v>40</v>
      </c>
      <c r="X500" s="45">
        <v>19.260000000000002</v>
      </c>
      <c r="Y500" s="46">
        <v>8.7222999999999995E-2</v>
      </c>
      <c r="Z500" s="21">
        <v>4601004339378</v>
      </c>
    </row>
    <row r="501" spans="1:26" ht="12.95" customHeight="1" outlineLevel="3" x14ac:dyDescent="0.2">
      <c r="A501" s="76" t="s">
        <v>13559</v>
      </c>
      <c r="B501" s="76"/>
      <c r="C501" s="77"/>
      <c r="D501" s="58"/>
      <c r="E501" s="68"/>
      <c r="F501" s="30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 spans="1:26" ht="12" customHeight="1" outlineLevel="4" x14ac:dyDescent="0.2">
      <c r="A502" s="40" t="s">
        <v>13560</v>
      </c>
      <c r="B502" s="75" t="s">
        <v>13561</v>
      </c>
      <c r="C502" s="51"/>
      <c r="D502" s="54">
        <f t="shared" si="7"/>
        <v>0</v>
      </c>
      <c r="E502" s="62"/>
      <c r="F502" s="42" t="s">
        <v>39</v>
      </c>
      <c r="G502" s="41" t="s">
        <v>40</v>
      </c>
      <c r="H502" s="41"/>
      <c r="I502" s="41"/>
      <c r="J502" s="42" t="s">
        <v>100</v>
      </c>
      <c r="K502" s="41" t="s">
        <v>1519</v>
      </c>
      <c r="L502" s="43">
        <v>1</v>
      </c>
      <c r="M502" s="43">
        <v>1</v>
      </c>
      <c r="N502" s="43">
        <v>1</v>
      </c>
      <c r="O502" s="44">
        <v>34285.31</v>
      </c>
      <c r="P502" s="44">
        <v>28102.71</v>
      </c>
      <c r="Q502" s="44">
        <v>30513.93</v>
      </c>
      <c r="R502" s="44">
        <v>25011.42</v>
      </c>
      <c r="S502" s="44">
        <v>20571.189999999999</v>
      </c>
      <c r="T502" s="44">
        <v>16861.63</v>
      </c>
      <c r="U502" s="42"/>
      <c r="V502" s="42"/>
      <c r="W502" s="42" t="s">
        <v>40</v>
      </c>
      <c r="X502" s="45">
        <v>28.3</v>
      </c>
      <c r="Y502" s="46">
        <v>9.9000000000000005E-2</v>
      </c>
      <c r="Z502" s="21">
        <v>4601004331235</v>
      </c>
    </row>
    <row r="503" spans="1:26" ht="12.95" customHeight="1" outlineLevel="2" x14ac:dyDescent="0.2">
      <c r="A503" s="76" t="s">
        <v>13562</v>
      </c>
      <c r="B503" s="76"/>
      <c r="C503" s="77"/>
      <c r="D503" s="58"/>
      <c r="E503" s="68"/>
      <c r="F503" s="30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 spans="1:26" ht="12.95" customHeight="1" outlineLevel="3" x14ac:dyDescent="0.2">
      <c r="A504" s="76" t="s">
        <v>13563</v>
      </c>
      <c r="B504" s="76"/>
      <c r="C504" s="77"/>
      <c r="D504" s="58"/>
      <c r="E504" s="68"/>
      <c r="F504" s="30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 spans="1:26" ht="12" customHeight="1" outlineLevel="4" x14ac:dyDescent="0.2">
      <c r="A505" s="40" t="s">
        <v>13568</v>
      </c>
      <c r="B505" s="75" t="s">
        <v>13569</v>
      </c>
      <c r="C505" s="51"/>
      <c r="D505" s="54">
        <f t="shared" si="7"/>
        <v>0</v>
      </c>
      <c r="E505" s="61" t="str">
        <f>HYPERLINK("https://www.sds-group.ru/product/shkaf-telekommunikatsionnyy-napolnyy-19-18u-600-600mm-dver-perforatsiya-razbornyy-cherny-04-1866-232/", "Инфо")</f>
        <v>Инфо</v>
      </c>
      <c r="F505" s="42" t="s">
        <v>39</v>
      </c>
      <c r="G505" s="41" t="s">
        <v>40</v>
      </c>
      <c r="H505" s="41"/>
      <c r="I505" s="41"/>
      <c r="J505" s="43">
        <v>5</v>
      </c>
      <c r="K505" s="41" t="s">
        <v>6930</v>
      </c>
      <c r="L505" s="43">
        <v>1</v>
      </c>
      <c r="M505" s="43">
        <v>1</v>
      </c>
      <c r="N505" s="43">
        <v>1</v>
      </c>
      <c r="O505" s="44">
        <v>40024.910000000003</v>
      </c>
      <c r="P505" s="44">
        <v>32807.300000000003</v>
      </c>
      <c r="Q505" s="44">
        <v>35622.17</v>
      </c>
      <c r="R505" s="44">
        <v>29198.5</v>
      </c>
      <c r="S505" s="44">
        <v>24014.95</v>
      </c>
      <c r="T505" s="44">
        <v>19684.39</v>
      </c>
      <c r="U505" s="42"/>
      <c r="V505" s="42"/>
      <c r="W505" s="42" t="s">
        <v>40</v>
      </c>
      <c r="X505" s="45">
        <v>41</v>
      </c>
      <c r="Y505" s="46">
        <v>0.130833</v>
      </c>
      <c r="Z505" s="21">
        <v>4601004339491</v>
      </c>
    </row>
    <row r="506" spans="1:26" ht="12.95" customHeight="1" outlineLevel="3" x14ac:dyDescent="0.2">
      <c r="A506" s="76" t="s">
        <v>13595</v>
      </c>
      <c r="B506" s="76"/>
      <c r="C506" s="77"/>
      <c r="D506" s="58"/>
      <c r="E506" s="68"/>
      <c r="F506" s="30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 spans="1:26" ht="12" customHeight="1" outlineLevel="4" x14ac:dyDescent="0.2">
      <c r="A507" s="40" t="s">
        <v>13602</v>
      </c>
      <c r="B507" s="75" t="s">
        <v>13603</v>
      </c>
      <c r="C507" s="51"/>
      <c r="D507" s="54">
        <f t="shared" si="7"/>
        <v>0</v>
      </c>
      <c r="E507" s="61" t="str">
        <f>HYPERLINK("https://www.sds-group.ru/product/shkaf-telekommunikatsionnyy-napolnyy-19-42u-600-800mm-dver-perforatsiya-razbornyy-seryy--04-4268-231/", "Инфо")</f>
        <v>Инфо</v>
      </c>
      <c r="F507" s="42" t="s">
        <v>39</v>
      </c>
      <c r="G507" s="41" t="s">
        <v>40</v>
      </c>
      <c r="H507" s="41"/>
      <c r="I507" s="41"/>
      <c r="J507" s="42" t="s">
        <v>100</v>
      </c>
      <c r="K507" s="41" t="s">
        <v>6930</v>
      </c>
      <c r="L507" s="43">
        <v>1</v>
      </c>
      <c r="M507" s="43">
        <v>1</v>
      </c>
      <c r="N507" s="43">
        <v>1</v>
      </c>
      <c r="O507" s="44">
        <v>72590.03</v>
      </c>
      <c r="P507" s="44">
        <v>59500.02</v>
      </c>
      <c r="Q507" s="44">
        <v>64605.13</v>
      </c>
      <c r="R507" s="44">
        <v>52955.02</v>
      </c>
      <c r="S507" s="44">
        <v>43554.02</v>
      </c>
      <c r="T507" s="44">
        <v>35700.019999999997</v>
      </c>
      <c r="U507" s="42"/>
      <c r="V507" s="42"/>
      <c r="W507" s="42" t="s">
        <v>40</v>
      </c>
      <c r="X507" s="45">
        <v>79.513999999999996</v>
      </c>
      <c r="Y507" s="46">
        <v>0.46993600000000002</v>
      </c>
      <c r="Z507" s="21">
        <v>4601004331457</v>
      </c>
    </row>
    <row r="508" spans="1:26" ht="12" customHeight="1" outlineLevel="4" x14ac:dyDescent="0.2">
      <c r="A508" s="40" t="s">
        <v>13604</v>
      </c>
      <c r="B508" s="75" t="s">
        <v>13605</v>
      </c>
      <c r="C508" s="51"/>
      <c r="D508" s="54">
        <f t="shared" si="7"/>
        <v>0</v>
      </c>
      <c r="E508" s="61" t="str">
        <f>HYPERLINK("https://www.sds-group.ru/product/shkaf-telekommunikatsionnyy-napolnyy-19-42u-600-800h2055mm-dver-perforatsiya-perforirova-04-4268-232/", "Инфо")</f>
        <v>Инфо</v>
      </c>
      <c r="F508" s="42" t="s">
        <v>39</v>
      </c>
      <c r="G508" s="41" t="s">
        <v>40</v>
      </c>
      <c r="H508" s="41"/>
      <c r="I508" s="41"/>
      <c r="J508" s="42" t="s">
        <v>100</v>
      </c>
      <c r="K508" s="41" t="s">
        <v>6930</v>
      </c>
      <c r="L508" s="43">
        <v>1</v>
      </c>
      <c r="M508" s="43">
        <v>1</v>
      </c>
      <c r="N508" s="43">
        <v>1</v>
      </c>
      <c r="O508" s="44">
        <v>72590.03</v>
      </c>
      <c r="P508" s="44">
        <v>59500.02</v>
      </c>
      <c r="Q508" s="44">
        <v>64605.13</v>
      </c>
      <c r="R508" s="44">
        <v>52955.02</v>
      </c>
      <c r="S508" s="44">
        <v>43554.02</v>
      </c>
      <c r="T508" s="44">
        <v>35700.019999999997</v>
      </c>
      <c r="U508" s="42"/>
      <c r="V508" s="42"/>
      <c r="W508" s="42" t="s">
        <v>40</v>
      </c>
      <c r="X508" s="45">
        <v>80</v>
      </c>
      <c r="Y508" s="46">
        <v>0.84571399999999997</v>
      </c>
      <c r="Z508" s="21">
        <v>4601004337459</v>
      </c>
    </row>
    <row r="509" spans="1:26" ht="12.95" customHeight="1" outlineLevel="3" x14ac:dyDescent="0.2">
      <c r="A509" s="76" t="s">
        <v>13606</v>
      </c>
      <c r="B509" s="76"/>
      <c r="C509" s="77"/>
      <c r="D509" s="58"/>
      <c r="E509" s="68"/>
      <c r="F509" s="30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 spans="1:26" ht="12" customHeight="1" outlineLevel="4" x14ac:dyDescent="0.2">
      <c r="A510" s="40" t="s">
        <v>13609</v>
      </c>
      <c r="B510" s="75" t="s">
        <v>13610</v>
      </c>
      <c r="C510" s="51"/>
      <c r="D510" s="54">
        <f t="shared" si="7"/>
        <v>0</v>
      </c>
      <c r="E510" s="61" t="str">
        <f>HYPERLINK("https://www.sds-group.ru/product/shkaf-telekommunikatsionnyy-napolnyy-19-42u-800-800mm-dver-steklo-razbornyy-seryy-ral-70-04-4288-211/", "Инфо")</f>
        <v>Инфо</v>
      </c>
      <c r="F510" s="42" t="s">
        <v>39</v>
      </c>
      <c r="G510" s="41" t="s">
        <v>40</v>
      </c>
      <c r="H510" s="41"/>
      <c r="I510" s="41"/>
      <c r="J510" s="43">
        <v>3</v>
      </c>
      <c r="K510" s="41" t="s">
        <v>6930</v>
      </c>
      <c r="L510" s="43">
        <v>1</v>
      </c>
      <c r="M510" s="43">
        <v>1</v>
      </c>
      <c r="N510" s="43">
        <v>1</v>
      </c>
      <c r="O510" s="44">
        <v>86166.86</v>
      </c>
      <c r="P510" s="44">
        <v>70628.570000000007</v>
      </c>
      <c r="Q510" s="44">
        <v>76688.509999999995</v>
      </c>
      <c r="R510" s="44">
        <v>62859.43</v>
      </c>
      <c r="S510" s="44">
        <v>51700.12</v>
      </c>
      <c r="T510" s="44">
        <v>42377.15</v>
      </c>
      <c r="U510" s="42"/>
      <c r="V510" s="42"/>
      <c r="W510" s="42" t="s">
        <v>40</v>
      </c>
      <c r="X510" s="45">
        <v>111.889</v>
      </c>
      <c r="Y510" s="46">
        <v>0.39388899999999999</v>
      </c>
      <c r="Z510" s="21">
        <v>4601004331112</v>
      </c>
    </row>
    <row r="511" spans="1:26" ht="12.95" customHeight="1" outlineLevel="2" x14ac:dyDescent="0.2">
      <c r="A511" s="76" t="s">
        <v>13611</v>
      </c>
      <c r="B511" s="76"/>
      <c r="C511" s="77"/>
      <c r="D511" s="58"/>
      <c r="E511" s="68"/>
      <c r="F511" s="30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 spans="1:26" ht="12" customHeight="1" outlineLevel="3" x14ac:dyDescent="0.2">
      <c r="A512" s="40" t="s">
        <v>13616</v>
      </c>
      <c r="B512" s="75" t="s">
        <v>13617</v>
      </c>
      <c r="C512" s="51"/>
      <c r="D512" s="54">
        <f t="shared" si="7"/>
        <v>0</v>
      </c>
      <c r="E512" s="62"/>
      <c r="F512" s="42" t="s">
        <v>39</v>
      </c>
      <c r="G512" s="41" t="s">
        <v>40</v>
      </c>
      <c r="H512" s="41"/>
      <c r="I512" s="41" t="s">
        <v>2135</v>
      </c>
      <c r="J512" s="42" t="s">
        <v>100</v>
      </c>
      <c r="K512" s="41" t="s">
        <v>1888</v>
      </c>
      <c r="L512" s="43">
        <v>1</v>
      </c>
      <c r="M512" s="43">
        <v>1</v>
      </c>
      <c r="N512" s="43">
        <v>1</v>
      </c>
      <c r="O512" s="44">
        <v>15772.8</v>
      </c>
      <c r="P512" s="44">
        <v>12928.52</v>
      </c>
      <c r="Q512" s="44">
        <v>14037.79</v>
      </c>
      <c r="R512" s="44">
        <v>11506.39</v>
      </c>
      <c r="S512" s="44">
        <v>10725.5</v>
      </c>
      <c r="T512" s="44">
        <v>8791.39</v>
      </c>
      <c r="U512" s="42"/>
      <c r="V512" s="42"/>
      <c r="W512" s="42" t="s">
        <v>40</v>
      </c>
      <c r="X512" s="45">
        <v>9.5</v>
      </c>
      <c r="Y512" s="46">
        <v>6.2E-2</v>
      </c>
      <c r="Z512" s="21">
        <v>4601004358669</v>
      </c>
    </row>
    <row r="513" spans="1:26" ht="12.95" customHeight="1" outlineLevel="1" x14ac:dyDescent="0.2">
      <c r="A513" s="78" t="s">
        <v>13736</v>
      </c>
      <c r="B513" s="78"/>
      <c r="C513" s="79"/>
      <c r="D513" s="57"/>
      <c r="E513" s="67"/>
      <c r="F513" s="29"/>
      <c r="G513" s="29"/>
      <c r="H513" s="29"/>
      <c r="I513" s="29"/>
      <c r="J513" s="29"/>
      <c r="K513" s="29"/>
      <c r="L513" s="29"/>
      <c r="M513" s="29"/>
      <c r="N513" s="29"/>
      <c r="O513" s="29"/>
      <c r="P513" s="29"/>
      <c r="Q513" s="29"/>
      <c r="R513" s="29"/>
      <c r="S513" s="29"/>
      <c r="T513" s="29"/>
      <c r="U513" s="29"/>
      <c r="V513" s="29"/>
      <c r="W513" s="29"/>
      <c r="X513" s="29"/>
      <c r="Y513" s="29"/>
      <c r="Z513" s="29"/>
    </row>
    <row r="514" spans="1:26" ht="12.95" customHeight="1" outlineLevel="2" x14ac:dyDescent="0.2">
      <c r="A514" s="76" t="s">
        <v>13737</v>
      </c>
      <c r="B514" s="76"/>
      <c r="C514" s="77"/>
      <c r="D514" s="58"/>
      <c r="E514" s="68"/>
      <c r="F514" s="30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 spans="1:26" ht="12.95" customHeight="1" outlineLevel="3" x14ac:dyDescent="0.2">
      <c r="A515" s="76" t="s">
        <v>13738</v>
      </c>
      <c r="B515" s="76"/>
      <c r="C515" s="77"/>
      <c r="D515" s="58"/>
      <c r="E515" s="68"/>
      <c r="F515" s="30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 spans="1:26" ht="12" customHeight="1" outlineLevel="4" x14ac:dyDescent="0.2">
      <c r="A516" s="40" t="s">
        <v>13743</v>
      </c>
      <c r="B516" s="75" t="s">
        <v>13744</v>
      </c>
      <c r="C516" s="51"/>
      <c r="D516" s="54">
        <f t="shared" si="7"/>
        <v>0</v>
      </c>
      <c r="E516" s="62"/>
      <c r="F516" s="42" t="s">
        <v>39</v>
      </c>
      <c r="G516" s="41" t="s">
        <v>40</v>
      </c>
      <c r="H516" s="41"/>
      <c r="I516" s="41"/>
      <c r="J516" s="43">
        <v>258</v>
      </c>
      <c r="K516" s="41" t="s">
        <v>1094</v>
      </c>
      <c r="L516" s="43">
        <v>1</v>
      </c>
      <c r="M516" s="43">
        <v>1</v>
      </c>
      <c r="N516" s="43">
        <v>1</v>
      </c>
      <c r="O516" s="44">
        <v>350.92</v>
      </c>
      <c r="P516" s="44">
        <v>287.64</v>
      </c>
      <c r="Q516" s="44">
        <v>312.32</v>
      </c>
      <c r="R516" s="44">
        <v>256</v>
      </c>
      <c r="S516" s="44">
        <v>238.63</v>
      </c>
      <c r="T516" s="44">
        <v>195.6</v>
      </c>
      <c r="U516" s="42"/>
      <c r="V516" s="42"/>
      <c r="W516" s="42" t="s">
        <v>40</v>
      </c>
      <c r="X516" s="45">
        <v>1.0999999999999999E-2</v>
      </c>
      <c r="Y516" s="46">
        <v>9.3999999999999994E-5</v>
      </c>
      <c r="Z516" s="21">
        <v>4601004317932</v>
      </c>
    </row>
    <row r="517" spans="1:26" ht="12" customHeight="1" outlineLevel="4" x14ac:dyDescent="0.2">
      <c r="A517" s="40" t="s">
        <v>13745</v>
      </c>
      <c r="B517" s="75" t="s">
        <v>13746</v>
      </c>
      <c r="C517" s="51"/>
      <c r="D517" s="54">
        <f t="shared" si="7"/>
        <v>0</v>
      </c>
      <c r="E517" s="62"/>
      <c r="F517" s="42" t="s">
        <v>39</v>
      </c>
      <c r="G517" s="41" t="s">
        <v>40</v>
      </c>
      <c r="H517" s="41"/>
      <c r="I517" s="41"/>
      <c r="J517" s="43">
        <v>184</v>
      </c>
      <c r="K517" s="41"/>
      <c r="L517" s="43">
        <v>1</v>
      </c>
      <c r="M517" s="43">
        <v>1</v>
      </c>
      <c r="N517" s="43">
        <v>1</v>
      </c>
      <c r="O517" s="44">
        <v>366.31</v>
      </c>
      <c r="P517" s="44">
        <v>300.25</v>
      </c>
      <c r="Q517" s="44">
        <v>326.02</v>
      </c>
      <c r="R517" s="44">
        <v>267.23</v>
      </c>
      <c r="S517" s="44">
        <v>249.09</v>
      </c>
      <c r="T517" s="44">
        <v>204.17</v>
      </c>
      <c r="U517" s="42"/>
      <c r="V517" s="42"/>
      <c r="W517" s="42" t="s">
        <v>40</v>
      </c>
      <c r="X517" s="45">
        <v>1.6E-2</v>
      </c>
      <c r="Y517" s="46">
        <v>2.1100000000000001E-4</v>
      </c>
      <c r="Z517" s="21">
        <v>4601004317314</v>
      </c>
    </row>
    <row r="518" spans="1:26" ht="12" customHeight="1" outlineLevel="4" x14ac:dyDescent="0.2">
      <c r="A518" s="40" t="s">
        <v>13747</v>
      </c>
      <c r="B518" s="75" t="s">
        <v>13748</v>
      </c>
      <c r="C518" s="51"/>
      <c r="D518" s="54">
        <f t="shared" si="7"/>
        <v>0</v>
      </c>
      <c r="E518" s="62"/>
      <c r="F518" s="42" t="s">
        <v>39</v>
      </c>
      <c r="G518" s="41" t="s">
        <v>40</v>
      </c>
      <c r="H518" s="41"/>
      <c r="I518" s="41"/>
      <c r="J518" s="43">
        <v>80</v>
      </c>
      <c r="K518" s="41"/>
      <c r="L518" s="43">
        <v>1</v>
      </c>
      <c r="M518" s="43">
        <v>1</v>
      </c>
      <c r="N518" s="43">
        <v>1</v>
      </c>
      <c r="O518" s="44">
        <v>383.24</v>
      </c>
      <c r="P518" s="44">
        <v>314.13</v>
      </c>
      <c r="Q518" s="44">
        <v>341.08</v>
      </c>
      <c r="R518" s="44">
        <v>279.57</v>
      </c>
      <c r="S518" s="44">
        <v>260.60000000000002</v>
      </c>
      <c r="T518" s="44">
        <v>213.61</v>
      </c>
      <c r="U518" s="42"/>
      <c r="V518" s="42"/>
      <c r="W518" s="42" t="s">
        <v>40</v>
      </c>
      <c r="X518" s="45">
        <v>2.3E-2</v>
      </c>
      <c r="Y518" s="46">
        <v>2.8699999999999998E-4</v>
      </c>
      <c r="Z518" s="21">
        <v>4601004317390</v>
      </c>
    </row>
    <row r="519" spans="1:26" ht="12" customHeight="1" outlineLevel="4" x14ac:dyDescent="0.2">
      <c r="A519" s="40" t="s">
        <v>13749</v>
      </c>
      <c r="B519" s="75" t="s">
        <v>13750</v>
      </c>
      <c r="C519" s="51"/>
      <c r="D519" s="54">
        <f t="shared" si="7"/>
        <v>0</v>
      </c>
      <c r="E519" s="62"/>
      <c r="F519" s="42" t="s">
        <v>39</v>
      </c>
      <c r="G519" s="41" t="s">
        <v>40</v>
      </c>
      <c r="H519" s="41"/>
      <c r="I519" s="41"/>
      <c r="J519" s="43">
        <v>50</v>
      </c>
      <c r="K519" s="41"/>
      <c r="L519" s="43">
        <v>1</v>
      </c>
      <c r="M519" s="43">
        <v>1</v>
      </c>
      <c r="N519" s="43">
        <v>1</v>
      </c>
      <c r="O519" s="44">
        <v>414.03</v>
      </c>
      <c r="P519" s="44">
        <v>339.37</v>
      </c>
      <c r="Q519" s="44">
        <v>368.49</v>
      </c>
      <c r="R519" s="44">
        <v>302.04000000000002</v>
      </c>
      <c r="S519" s="44">
        <v>281.54000000000002</v>
      </c>
      <c r="T519" s="44">
        <v>230.77</v>
      </c>
      <c r="U519" s="42"/>
      <c r="V519" s="42"/>
      <c r="W519" s="42" t="s">
        <v>40</v>
      </c>
      <c r="X519" s="45">
        <v>3.7999999999999999E-2</v>
      </c>
      <c r="Y519" s="46">
        <v>8.5899999999999995E-4</v>
      </c>
      <c r="Z519" s="21">
        <v>4601004317383</v>
      </c>
    </row>
    <row r="520" spans="1:26" ht="12.95" customHeight="1" outlineLevel="3" x14ac:dyDescent="0.2">
      <c r="A520" s="76" t="s">
        <v>13762</v>
      </c>
      <c r="B520" s="76"/>
      <c r="C520" s="77"/>
      <c r="D520" s="58"/>
      <c r="E520" s="68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 spans="1:26" ht="12" customHeight="1" outlineLevel="4" x14ac:dyDescent="0.2">
      <c r="A521" s="40" t="s">
        <v>13767</v>
      </c>
      <c r="B521" s="75" t="s">
        <v>13768</v>
      </c>
      <c r="C521" s="51"/>
      <c r="D521" s="54">
        <f t="shared" ref="D521:D584" si="8">C521*(O521-O521*$G$3)</f>
        <v>0</v>
      </c>
      <c r="E521" s="62"/>
      <c r="F521" s="42" t="s">
        <v>39</v>
      </c>
      <c r="G521" s="41" t="s">
        <v>40</v>
      </c>
      <c r="H521" s="41"/>
      <c r="I521" s="41"/>
      <c r="J521" s="43">
        <v>200</v>
      </c>
      <c r="K521" s="41" t="s">
        <v>1094</v>
      </c>
      <c r="L521" s="43">
        <v>1</v>
      </c>
      <c r="M521" s="43">
        <v>1</v>
      </c>
      <c r="N521" s="43">
        <v>1</v>
      </c>
      <c r="O521" s="44">
        <v>350.92</v>
      </c>
      <c r="P521" s="44">
        <v>287.64</v>
      </c>
      <c r="Q521" s="44">
        <v>312.32</v>
      </c>
      <c r="R521" s="44">
        <v>256</v>
      </c>
      <c r="S521" s="44">
        <v>238.63</v>
      </c>
      <c r="T521" s="44">
        <v>195.6</v>
      </c>
      <c r="U521" s="42"/>
      <c r="V521" s="42"/>
      <c r="W521" s="42" t="s">
        <v>40</v>
      </c>
      <c r="X521" s="45">
        <v>1.2E-2</v>
      </c>
      <c r="Y521" s="46">
        <v>1.5100000000000001E-4</v>
      </c>
      <c r="Z521" s="21">
        <v>4601004317574</v>
      </c>
    </row>
    <row r="522" spans="1:26" ht="12" customHeight="1" outlineLevel="4" x14ac:dyDescent="0.2">
      <c r="A522" s="40" t="s">
        <v>13769</v>
      </c>
      <c r="B522" s="75" t="s">
        <v>13770</v>
      </c>
      <c r="C522" s="51"/>
      <c r="D522" s="54">
        <f t="shared" si="8"/>
        <v>0</v>
      </c>
      <c r="E522" s="62"/>
      <c r="F522" s="42" t="s">
        <v>39</v>
      </c>
      <c r="G522" s="41" t="s">
        <v>40</v>
      </c>
      <c r="H522" s="41"/>
      <c r="I522" s="41"/>
      <c r="J522" s="43">
        <v>150</v>
      </c>
      <c r="K522" s="41"/>
      <c r="L522" s="43">
        <v>1</v>
      </c>
      <c r="M522" s="43">
        <v>1</v>
      </c>
      <c r="N522" s="43">
        <v>1</v>
      </c>
      <c r="O522" s="44">
        <v>366.31</v>
      </c>
      <c r="P522" s="44">
        <v>300.25</v>
      </c>
      <c r="Q522" s="44">
        <v>326.02</v>
      </c>
      <c r="R522" s="44">
        <v>267.23</v>
      </c>
      <c r="S522" s="44">
        <v>249.09</v>
      </c>
      <c r="T522" s="44">
        <v>204.17</v>
      </c>
      <c r="U522" s="42"/>
      <c r="V522" s="42"/>
      <c r="W522" s="42" t="s">
        <v>40</v>
      </c>
      <c r="X522" s="45">
        <v>2.1000000000000001E-2</v>
      </c>
      <c r="Y522" s="46">
        <v>1.55E-4</v>
      </c>
      <c r="Z522" s="21">
        <v>4601004317543</v>
      </c>
    </row>
    <row r="523" spans="1:26" ht="12" customHeight="1" outlineLevel="4" x14ac:dyDescent="0.2">
      <c r="A523" s="40" t="s">
        <v>13771</v>
      </c>
      <c r="B523" s="75" t="s">
        <v>13772</v>
      </c>
      <c r="C523" s="51"/>
      <c r="D523" s="54">
        <f t="shared" si="8"/>
        <v>0</v>
      </c>
      <c r="E523" s="62"/>
      <c r="F523" s="42" t="s">
        <v>39</v>
      </c>
      <c r="G523" s="41" t="s">
        <v>40</v>
      </c>
      <c r="H523" s="41"/>
      <c r="I523" s="41"/>
      <c r="J523" s="43">
        <v>80</v>
      </c>
      <c r="K523" s="41"/>
      <c r="L523" s="43">
        <v>1</v>
      </c>
      <c r="M523" s="43">
        <v>1</v>
      </c>
      <c r="N523" s="43">
        <v>1</v>
      </c>
      <c r="O523" s="44">
        <v>383.24</v>
      </c>
      <c r="P523" s="44">
        <v>314.13</v>
      </c>
      <c r="Q523" s="44">
        <v>341.08</v>
      </c>
      <c r="R523" s="44">
        <v>279.57</v>
      </c>
      <c r="S523" s="44">
        <v>260.60000000000002</v>
      </c>
      <c r="T523" s="44">
        <v>213.61</v>
      </c>
      <c r="U523" s="42"/>
      <c r="V523" s="42"/>
      <c r="W523" s="42" t="s">
        <v>40</v>
      </c>
      <c r="X523" s="45">
        <v>2.3E-2</v>
      </c>
      <c r="Y523" s="46">
        <v>3.6600000000000001E-4</v>
      </c>
      <c r="Z523" s="21">
        <v>4601004317536</v>
      </c>
    </row>
    <row r="524" spans="1:26" ht="12" customHeight="1" outlineLevel="4" x14ac:dyDescent="0.2">
      <c r="A524" s="40" t="s">
        <v>13773</v>
      </c>
      <c r="B524" s="75" t="s">
        <v>13774</v>
      </c>
      <c r="C524" s="51"/>
      <c r="D524" s="54">
        <f t="shared" si="8"/>
        <v>0</v>
      </c>
      <c r="E524" s="62"/>
      <c r="F524" s="42" t="s">
        <v>39</v>
      </c>
      <c r="G524" s="41" t="s">
        <v>40</v>
      </c>
      <c r="H524" s="41"/>
      <c r="I524" s="41"/>
      <c r="J524" s="43">
        <v>50</v>
      </c>
      <c r="K524" s="41"/>
      <c r="L524" s="43">
        <v>1</v>
      </c>
      <c r="M524" s="43">
        <v>1</v>
      </c>
      <c r="N524" s="43">
        <v>1</v>
      </c>
      <c r="O524" s="44">
        <v>414.03</v>
      </c>
      <c r="P524" s="44">
        <v>339.37</v>
      </c>
      <c r="Q524" s="44">
        <v>368.49</v>
      </c>
      <c r="R524" s="44">
        <v>302.04000000000002</v>
      </c>
      <c r="S524" s="44">
        <v>281.54000000000002</v>
      </c>
      <c r="T524" s="44">
        <v>230.77</v>
      </c>
      <c r="U524" s="42"/>
      <c r="V524" s="42"/>
      <c r="W524" s="42" t="s">
        <v>40</v>
      </c>
      <c r="X524" s="45">
        <v>3.9E-2</v>
      </c>
      <c r="Y524" s="46">
        <v>7.9900000000000001E-4</v>
      </c>
      <c r="Z524" s="21">
        <v>4601004317529</v>
      </c>
    </row>
    <row r="525" spans="1:26" ht="12.95" customHeight="1" outlineLevel="3" x14ac:dyDescent="0.2">
      <c r="A525" s="76" t="s">
        <v>13777</v>
      </c>
      <c r="B525" s="76"/>
      <c r="C525" s="77"/>
      <c r="D525" s="58"/>
      <c r="E525" s="68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 spans="1:26" ht="12" customHeight="1" outlineLevel="4" x14ac:dyDescent="0.2">
      <c r="A526" s="40" t="s">
        <v>13782</v>
      </c>
      <c r="B526" s="75" t="s">
        <v>13783</v>
      </c>
      <c r="C526" s="51"/>
      <c r="D526" s="54">
        <f t="shared" si="8"/>
        <v>0</v>
      </c>
      <c r="E526" s="62"/>
      <c r="F526" s="42" t="s">
        <v>39</v>
      </c>
      <c r="G526" s="41" t="s">
        <v>40</v>
      </c>
      <c r="H526" s="41"/>
      <c r="I526" s="41"/>
      <c r="J526" s="43">
        <v>100</v>
      </c>
      <c r="K526" s="41" t="s">
        <v>1094</v>
      </c>
      <c r="L526" s="43">
        <v>1</v>
      </c>
      <c r="M526" s="43">
        <v>1</v>
      </c>
      <c r="N526" s="43">
        <v>1</v>
      </c>
      <c r="O526" s="44">
        <v>350.92</v>
      </c>
      <c r="P526" s="44">
        <v>287.64</v>
      </c>
      <c r="Q526" s="44">
        <v>312.32</v>
      </c>
      <c r="R526" s="44">
        <v>256</v>
      </c>
      <c r="S526" s="44">
        <v>238.63</v>
      </c>
      <c r="T526" s="44">
        <v>195.6</v>
      </c>
      <c r="U526" s="42"/>
      <c r="V526" s="42"/>
      <c r="W526" s="42" t="s">
        <v>40</v>
      </c>
      <c r="X526" s="45">
        <v>1.4E-2</v>
      </c>
      <c r="Y526" s="46">
        <v>3.3E-4</v>
      </c>
      <c r="Z526" s="21">
        <v>4601004320345</v>
      </c>
    </row>
    <row r="527" spans="1:26" ht="12" customHeight="1" outlineLevel="4" x14ac:dyDescent="0.2">
      <c r="A527" s="40" t="s">
        <v>13784</v>
      </c>
      <c r="B527" s="75" t="s">
        <v>13785</v>
      </c>
      <c r="C527" s="51"/>
      <c r="D527" s="54">
        <f t="shared" si="8"/>
        <v>0</v>
      </c>
      <c r="E527" s="62"/>
      <c r="F527" s="42" t="s">
        <v>39</v>
      </c>
      <c r="G527" s="41" t="s">
        <v>40</v>
      </c>
      <c r="H527" s="41"/>
      <c r="I527" s="41"/>
      <c r="J527" s="43">
        <v>306</v>
      </c>
      <c r="K527" s="41"/>
      <c r="L527" s="43">
        <v>1</v>
      </c>
      <c r="M527" s="43">
        <v>1</v>
      </c>
      <c r="N527" s="43">
        <v>1</v>
      </c>
      <c r="O527" s="44">
        <v>366.31</v>
      </c>
      <c r="P527" s="44">
        <v>300.25</v>
      </c>
      <c r="Q527" s="44">
        <v>326.02</v>
      </c>
      <c r="R527" s="44">
        <v>267.23</v>
      </c>
      <c r="S527" s="44">
        <v>249.09</v>
      </c>
      <c r="T527" s="44">
        <v>204.17</v>
      </c>
      <c r="U527" s="42"/>
      <c r="V527" s="42"/>
      <c r="W527" s="42" t="s">
        <v>40</v>
      </c>
      <c r="X527" s="45">
        <v>2.1000000000000001E-2</v>
      </c>
      <c r="Y527" s="46">
        <v>2.63E-4</v>
      </c>
      <c r="Z527" s="21">
        <v>4601004317888</v>
      </c>
    </row>
    <row r="528" spans="1:26" ht="12" customHeight="1" outlineLevel="4" x14ac:dyDescent="0.2">
      <c r="A528" s="40" t="s">
        <v>13786</v>
      </c>
      <c r="B528" s="75" t="s">
        <v>13787</v>
      </c>
      <c r="C528" s="51"/>
      <c r="D528" s="54">
        <f t="shared" si="8"/>
        <v>0</v>
      </c>
      <c r="E528" s="62"/>
      <c r="F528" s="42" t="s">
        <v>39</v>
      </c>
      <c r="G528" s="41" t="s">
        <v>40</v>
      </c>
      <c r="H528" s="41"/>
      <c r="I528" s="41"/>
      <c r="J528" s="43">
        <v>120</v>
      </c>
      <c r="K528" s="41"/>
      <c r="L528" s="43">
        <v>1</v>
      </c>
      <c r="M528" s="43">
        <v>1</v>
      </c>
      <c r="N528" s="43">
        <v>1</v>
      </c>
      <c r="O528" s="44">
        <v>383.24</v>
      </c>
      <c r="P528" s="44">
        <v>314.13</v>
      </c>
      <c r="Q528" s="44">
        <v>341.08</v>
      </c>
      <c r="R528" s="44">
        <v>279.57</v>
      </c>
      <c r="S528" s="44">
        <v>260.60000000000002</v>
      </c>
      <c r="T528" s="44">
        <v>213.61</v>
      </c>
      <c r="U528" s="42"/>
      <c r="V528" s="42"/>
      <c r="W528" s="42" t="s">
        <v>40</v>
      </c>
      <c r="X528" s="45">
        <v>2.5000000000000001E-2</v>
      </c>
      <c r="Y528" s="46">
        <v>3.2000000000000003E-4</v>
      </c>
      <c r="Z528" s="21">
        <v>4601004317857</v>
      </c>
    </row>
    <row r="529" spans="1:26" ht="12" customHeight="1" outlineLevel="4" x14ac:dyDescent="0.2">
      <c r="A529" s="40" t="s">
        <v>13788</v>
      </c>
      <c r="B529" s="75" t="s">
        <v>13789</v>
      </c>
      <c r="C529" s="51"/>
      <c r="D529" s="54">
        <f t="shared" si="8"/>
        <v>0</v>
      </c>
      <c r="E529" s="62"/>
      <c r="F529" s="42" t="s">
        <v>39</v>
      </c>
      <c r="G529" s="41" t="s">
        <v>40</v>
      </c>
      <c r="H529" s="41"/>
      <c r="I529" s="41"/>
      <c r="J529" s="43">
        <v>40</v>
      </c>
      <c r="K529" s="41"/>
      <c r="L529" s="43">
        <v>1</v>
      </c>
      <c r="M529" s="43">
        <v>1</v>
      </c>
      <c r="N529" s="43">
        <v>1</v>
      </c>
      <c r="O529" s="44">
        <v>414.03</v>
      </c>
      <c r="P529" s="44">
        <v>339.37</v>
      </c>
      <c r="Q529" s="44">
        <v>368.49</v>
      </c>
      <c r="R529" s="44">
        <v>302.04000000000002</v>
      </c>
      <c r="S529" s="44">
        <v>281.54000000000002</v>
      </c>
      <c r="T529" s="44">
        <v>230.77</v>
      </c>
      <c r="U529" s="42"/>
      <c r="V529" s="42"/>
      <c r="W529" s="42" t="s">
        <v>40</v>
      </c>
      <c r="X529" s="45">
        <v>3.7999999999999999E-2</v>
      </c>
      <c r="Y529" s="46">
        <v>8.0000000000000004E-4</v>
      </c>
      <c r="Z529" s="21">
        <v>4601004317895</v>
      </c>
    </row>
    <row r="530" spans="1:26" ht="12.95" customHeight="1" outlineLevel="3" x14ac:dyDescent="0.2">
      <c r="A530" s="76" t="s">
        <v>13792</v>
      </c>
      <c r="B530" s="76"/>
      <c r="C530" s="77"/>
      <c r="D530" s="58"/>
      <c r="E530" s="68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 spans="1:26" ht="12" customHeight="1" outlineLevel="4" x14ac:dyDescent="0.2">
      <c r="A531" s="40" t="s">
        <v>13793</v>
      </c>
      <c r="B531" s="75" t="s">
        <v>13794</v>
      </c>
      <c r="C531" s="51"/>
      <c r="D531" s="54">
        <f t="shared" si="8"/>
        <v>0</v>
      </c>
      <c r="E531" s="62"/>
      <c r="F531" s="42" t="s">
        <v>39</v>
      </c>
      <c r="G531" s="41" t="s">
        <v>40</v>
      </c>
      <c r="H531" s="41"/>
      <c r="I531" s="41"/>
      <c r="J531" s="43">
        <v>100</v>
      </c>
      <c r="K531" s="41"/>
      <c r="L531" s="43">
        <v>1</v>
      </c>
      <c r="M531" s="42"/>
      <c r="N531" s="43">
        <v>1</v>
      </c>
      <c r="O531" s="44">
        <v>671.3</v>
      </c>
      <c r="P531" s="44">
        <v>550.25</v>
      </c>
      <c r="Q531" s="44">
        <v>570.61</v>
      </c>
      <c r="R531" s="44">
        <v>467.71</v>
      </c>
      <c r="S531" s="44">
        <v>456.48</v>
      </c>
      <c r="T531" s="44">
        <v>374.16</v>
      </c>
      <c r="U531" s="42"/>
      <c r="V531" s="42"/>
      <c r="W531" s="42" t="s">
        <v>40</v>
      </c>
      <c r="X531" s="45">
        <v>7.0999999999999994E-2</v>
      </c>
      <c r="Y531" s="46">
        <v>5.9900000000000003E-4</v>
      </c>
      <c r="Z531" s="21">
        <v>4601004317925</v>
      </c>
    </row>
    <row r="532" spans="1:26" ht="12" customHeight="1" outlineLevel="4" x14ac:dyDescent="0.2">
      <c r="A532" s="40" t="s">
        <v>13797</v>
      </c>
      <c r="B532" s="75" t="s">
        <v>13798</v>
      </c>
      <c r="C532" s="51"/>
      <c r="D532" s="54">
        <f t="shared" si="8"/>
        <v>0</v>
      </c>
      <c r="E532" s="62"/>
      <c r="F532" s="42" t="s">
        <v>39</v>
      </c>
      <c r="G532" s="41" t="s">
        <v>40</v>
      </c>
      <c r="H532" s="41"/>
      <c r="I532" s="41"/>
      <c r="J532" s="43">
        <v>100</v>
      </c>
      <c r="K532" s="41"/>
      <c r="L532" s="43">
        <v>1</v>
      </c>
      <c r="M532" s="42"/>
      <c r="N532" s="43">
        <v>1</v>
      </c>
      <c r="O532" s="44">
        <v>392.66</v>
      </c>
      <c r="P532" s="44">
        <v>321.85000000000002</v>
      </c>
      <c r="Q532" s="44">
        <v>333.76</v>
      </c>
      <c r="R532" s="44">
        <v>273.57</v>
      </c>
      <c r="S532" s="44">
        <v>267.01</v>
      </c>
      <c r="T532" s="44">
        <v>218.86</v>
      </c>
      <c r="U532" s="42"/>
      <c r="V532" s="42"/>
      <c r="W532" s="42" t="s">
        <v>40</v>
      </c>
      <c r="X532" s="45">
        <v>1.7999999999999999E-2</v>
      </c>
      <c r="Y532" s="46">
        <v>5.9000000000000003E-4</v>
      </c>
      <c r="Z532" s="21">
        <v>4601004317963</v>
      </c>
    </row>
    <row r="533" spans="1:26" ht="12" customHeight="1" outlineLevel="4" x14ac:dyDescent="0.2">
      <c r="A533" s="40" t="s">
        <v>13799</v>
      </c>
      <c r="B533" s="75" t="s">
        <v>13800</v>
      </c>
      <c r="C533" s="51"/>
      <c r="D533" s="54">
        <f t="shared" si="8"/>
        <v>0</v>
      </c>
      <c r="E533" s="62"/>
      <c r="F533" s="42" t="s">
        <v>39</v>
      </c>
      <c r="G533" s="41" t="s">
        <v>40</v>
      </c>
      <c r="H533" s="41"/>
      <c r="I533" s="41"/>
      <c r="J533" s="43">
        <v>200</v>
      </c>
      <c r="K533" s="41"/>
      <c r="L533" s="43">
        <v>1</v>
      </c>
      <c r="M533" s="42"/>
      <c r="N533" s="43">
        <v>1</v>
      </c>
      <c r="O533" s="44">
        <v>425.22</v>
      </c>
      <c r="P533" s="44">
        <v>348.54</v>
      </c>
      <c r="Q533" s="44">
        <v>361.44</v>
      </c>
      <c r="R533" s="44">
        <v>296.26</v>
      </c>
      <c r="S533" s="44">
        <v>289.14999999999998</v>
      </c>
      <c r="T533" s="44">
        <v>237.01</v>
      </c>
      <c r="U533" s="42"/>
      <c r="V533" s="42"/>
      <c r="W533" s="42" t="s">
        <v>40</v>
      </c>
      <c r="X533" s="45">
        <v>2.5000000000000001E-2</v>
      </c>
      <c r="Y533" s="46">
        <v>6.0700000000000001E-4</v>
      </c>
      <c r="Z533" s="21">
        <v>4601004317918</v>
      </c>
    </row>
    <row r="534" spans="1:26" ht="12" customHeight="1" outlineLevel="4" x14ac:dyDescent="0.2">
      <c r="A534" s="40" t="s">
        <v>13801</v>
      </c>
      <c r="B534" s="75" t="s">
        <v>13802</v>
      </c>
      <c r="C534" s="51"/>
      <c r="D534" s="54">
        <f t="shared" si="8"/>
        <v>0</v>
      </c>
      <c r="E534" s="62"/>
      <c r="F534" s="42" t="s">
        <v>39</v>
      </c>
      <c r="G534" s="41" t="s">
        <v>40</v>
      </c>
      <c r="H534" s="41"/>
      <c r="I534" s="41"/>
      <c r="J534" s="43">
        <v>100</v>
      </c>
      <c r="K534" s="41"/>
      <c r="L534" s="43">
        <v>1</v>
      </c>
      <c r="M534" s="42"/>
      <c r="N534" s="43">
        <v>1</v>
      </c>
      <c r="O534" s="44">
        <v>457.79</v>
      </c>
      <c r="P534" s="44">
        <v>375.24</v>
      </c>
      <c r="Q534" s="44">
        <v>389.12</v>
      </c>
      <c r="R534" s="44">
        <v>318.95</v>
      </c>
      <c r="S534" s="44">
        <v>311.3</v>
      </c>
      <c r="T534" s="44">
        <v>255.16</v>
      </c>
      <c r="U534" s="42"/>
      <c r="V534" s="42"/>
      <c r="W534" s="42" t="s">
        <v>40</v>
      </c>
      <c r="X534" s="45">
        <v>2.5999999999999999E-2</v>
      </c>
      <c r="Y534" s="46">
        <v>4.0000000000000002E-4</v>
      </c>
      <c r="Z534" s="21">
        <v>4601004318007</v>
      </c>
    </row>
    <row r="535" spans="1:26" ht="12" customHeight="1" outlineLevel="4" x14ac:dyDescent="0.2">
      <c r="A535" s="40" t="s">
        <v>13803</v>
      </c>
      <c r="B535" s="75" t="s">
        <v>13804</v>
      </c>
      <c r="C535" s="51"/>
      <c r="D535" s="54">
        <f t="shared" si="8"/>
        <v>0</v>
      </c>
      <c r="E535" s="62"/>
      <c r="F535" s="42" t="s">
        <v>39</v>
      </c>
      <c r="G535" s="41" t="s">
        <v>40</v>
      </c>
      <c r="H535" s="41"/>
      <c r="I535" s="41"/>
      <c r="J535" s="43">
        <v>200</v>
      </c>
      <c r="K535" s="41"/>
      <c r="L535" s="43">
        <v>1</v>
      </c>
      <c r="M535" s="42"/>
      <c r="N535" s="43">
        <v>1</v>
      </c>
      <c r="O535" s="44">
        <v>506.65</v>
      </c>
      <c r="P535" s="44">
        <v>415.29</v>
      </c>
      <c r="Q535" s="44">
        <v>430.65</v>
      </c>
      <c r="R535" s="44">
        <v>352.99</v>
      </c>
      <c r="S535" s="44">
        <v>344.52</v>
      </c>
      <c r="T535" s="44">
        <v>282.39</v>
      </c>
      <c r="U535" s="42"/>
      <c r="V535" s="42"/>
      <c r="W535" s="42" t="s">
        <v>40</v>
      </c>
      <c r="X535" s="45">
        <v>0.04</v>
      </c>
      <c r="Y535" s="46">
        <v>6.7100000000000005E-4</v>
      </c>
      <c r="Z535" s="21">
        <v>4601004317994</v>
      </c>
    </row>
    <row r="536" spans="1:26" ht="12.95" customHeight="1" outlineLevel="3" x14ac:dyDescent="0.2">
      <c r="A536" s="76" t="s">
        <v>13817</v>
      </c>
      <c r="B536" s="76"/>
      <c r="C536" s="77"/>
      <c r="D536" s="58"/>
      <c r="E536" s="68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 spans="1:26" ht="12" customHeight="1" outlineLevel="4" x14ac:dyDescent="0.2">
      <c r="A537" s="40" t="s">
        <v>13818</v>
      </c>
      <c r="B537" s="75" t="s">
        <v>13819</v>
      </c>
      <c r="C537" s="51"/>
      <c r="D537" s="54">
        <f t="shared" si="8"/>
        <v>0</v>
      </c>
      <c r="E537" s="62"/>
      <c r="F537" s="42" t="s">
        <v>39</v>
      </c>
      <c r="G537" s="41" t="s">
        <v>40</v>
      </c>
      <c r="H537" s="41"/>
      <c r="I537" s="41"/>
      <c r="J537" s="43">
        <v>100</v>
      </c>
      <c r="K537" s="41" t="s">
        <v>1094</v>
      </c>
      <c r="L537" s="43">
        <v>1</v>
      </c>
      <c r="M537" s="42"/>
      <c r="N537" s="43">
        <v>1</v>
      </c>
      <c r="O537" s="44">
        <v>671.3</v>
      </c>
      <c r="P537" s="44">
        <v>550.25</v>
      </c>
      <c r="Q537" s="44">
        <v>570.61</v>
      </c>
      <c r="R537" s="44">
        <v>467.71</v>
      </c>
      <c r="S537" s="44">
        <v>456.48</v>
      </c>
      <c r="T537" s="44">
        <v>374.16</v>
      </c>
      <c r="U537" s="42"/>
      <c r="V537" s="42"/>
      <c r="W537" s="42" t="s">
        <v>40</v>
      </c>
      <c r="X537" s="45">
        <v>7.6999999999999999E-2</v>
      </c>
      <c r="Y537" s="46">
        <v>7.4799999999999997E-4</v>
      </c>
      <c r="Z537" s="21">
        <v>4601004318052</v>
      </c>
    </row>
    <row r="538" spans="1:26" ht="12" customHeight="1" outlineLevel="4" x14ac:dyDescent="0.2">
      <c r="A538" s="40" t="s">
        <v>13824</v>
      </c>
      <c r="B538" s="75" t="s">
        <v>13825</v>
      </c>
      <c r="C538" s="51"/>
      <c r="D538" s="54">
        <f t="shared" si="8"/>
        <v>0</v>
      </c>
      <c r="E538" s="62"/>
      <c r="F538" s="42" t="s">
        <v>39</v>
      </c>
      <c r="G538" s="41" t="s">
        <v>40</v>
      </c>
      <c r="H538" s="41"/>
      <c r="I538" s="41"/>
      <c r="J538" s="43">
        <v>100</v>
      </c>
      <c r="K538" s="41" t="s">
        <v>1094</v>
      </c>
      <c r="L538" s="43">
        <v>1</v>
      </c>
      <c r="M538" s="42"/>
      <c r="N538" s="43">
        <v>1</v>
      </c>
      <c r="O538" s="44">
        <v>425.22</v>
      </c>
      <c r="P538" s="44">
        <v>348.54</v>
      </c>
      <c r="Q538" s="44">
        <v>361.44</v>
      </c>
      <c r="R538" s="44">
        <v>296.26</v>
      </c>
      <c r="S538" s="44">
        <v>289.14999999999998</v>
      </c>
      <c r="T538" s="44">
        <v>237.01</v>
      </c>
      <c r="U538" s="42"/>
      <c r="V538" s="42"/>
      <c r="W538" s="42" t="s">
        <v>40</v>
      </c>
      <c r="X538" s="45">
        <v>0.02</v>
      </c>
      <c r="Y538" s="46">
        <v>3.8200000000000002E-4</v>
      </c>
      <c r="Z538" s="21">
        <v>4601004318014</v>
      </c>
    </row>
    <row r="539" spans="1:26" ht="12" customHeight="1" outlineLevel="4" x14ac:dyDescent="0.2">
      <c r="A539" s="40" t="s">
        <v>13826</v>
      </c>
      <c r="B539" s="75" t="s">
        <v>13827</v>
      </c>
      <c r="C539" s="51"/>
      <c r="D539" s="54">
        <f t="shared" si="8"/>
        <v>0</v>
      </c>
      <c r="E539" s="62"/>
      <c r="F539" s="42" t="s">
        <v>39</v>
      </c>
      <c r="G539" s="41" t="s">
        <v>40</v>
      </c>
      <c r="H539" s="41"/>
      <c r="I539" s="41"/>
      <c r="J539" s="43">
        <v>100</v>
      </c>
      <c r="K539" s="41" t="s">
        <v>1094</v>
      </c>
      <c r="L539" s="43">
        <v>1</v>
      </c>
      <c r="M539" s="42"/>
      <c r="N539" s="43">
        <v>1</v>
      </c>
      <c r="O539" s="44">
        <v>457.79</v>
      </c>
      <c r="P539" s="44">
        <v>375.24</v>
      </c>
      <c r="Q539" s="44">
        <v>389.12</v>
      </c>
      <c r="R539" s="44">
        <v>318.95</v>
      </c>
      <c r="S539" s="44">
        <v>311.3</v>
      </c>
      <c r="T539" s="44">
        <v>255.16</v>
      </c>
      <c r="U539" s="42"/>
      <c r="V539" s="42"/>
      <c r="W539" s="42" t="s">
        <v>40</v>
      </c>
      <c r="X539" s="45">
        <v>2.7E-2</v>
      </c>
      <c r="Y539" s="46">
        <v>4.46E-4</v>
      </c>
      <c r="Z539" s="21">
        <v>4601004318021</v>
      </c>
    </row>
    <row r="540" spans="1:26" ht="12" customHeight="1" outlineLevel="4" x14ac:dyDescent="0.2">
      <c r="A540" s="40" t="s">
        <v>13828</v>
      </c>
      <c r="B540" s="75" t="s">
        <v>13829</v>
      </c>
      <c r="C540" s="51"/>
      <c r="D540" s="54">
        <f t="shared" si="8"/>
        <v>0</v>
      </c>
      <c r="E540" s="62"/>
      <c r="F540" s="42" t="s">
        <v>39</v>
      </c>
      <c r="G540" s="41" t="s">
        <v>40</v>
      </c>
      <c r="H540" s="41"/>
      <c r="I540" s="41"/>
      <c r="J540" s="43">
        <v>110</v>
      </c>
      <c r="K540" s="41" t="s">
        <v>1094</v>
      </c>
      <c r="L540" s="43">
        <v>1</v>
      </c>
      <c r="M540" s="42"/>
      <c r="N540" s="43">
        <v>1</v>
      </c>
      <c r="O540" s="44">
        <v>506.65</v>
      </c>
      <c r="P540" s="44">
        <v>415.29</v>
      </c>
      <c r="Q540" s="44">
        <v>430.65</v>
      </c>
      <c r="R540" s="44">
        <v>352.99</v>
      </c>
      <c r="S540" s="44">
        <v>344.52</v>
      </c>
      <c r="T540" s="44">
        <v>282.39</v>
      </c>
      <c r="U540" s="42"/>
      <c r="V540" s="42"/>
      <c r="W540" s="42" t="s">
        <v>40</v>
      </c>
      <c r="X540" s="45">
        <v>3.9E-2</v>
      </c>
      <c r="Y540" s="46">
        <v>6.3000000000000003E-4</v>
      </c>
      <c r="Z540" s="21">
        <v>4601004318038</v>
      </c>
    </row>
    <row r="541" spans="1:26" ht="12.95" customHeight="1" outlineLevel="2" x14ac:dyDescent="0.2">
      <c r="A541" s="76" t="s">
        <v>13838</v>
      </c>
      <c r="B541" s="76"/>
      <c r="C541" s="77"/>
      <c r="D541" s="58"/>
      <c r="E541" s="68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 spans="1:26" ht="12.95" customHeight="1" outlineLevel="3" x14ac:dyDescent="0.2">
      <c r="A542" s="76" t="s">
        <v>13839</v>
      </c>
      <c r="B542" s="76"/>
      <c r="C542" s="77"/>
      <c r="D542" s="58"/>
      <c r="E542" s="68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 spans="1:26" ht="12" customHeight="1" outlineLevel="4" x14ac:dyDescent="0.2">
      <c r="A543" s="40" t="s">
        <v>13840</v>
      </c>
      <c r="B543" s="75" t="s">
        <v>13841</v>
      </c>
      <c r="C543" s="51"/>
      <c r="D543" s="54">
        <f t="shared" si="8"/>
        <v>0</v>
      </c>
      <c r="E543" s="62"/>
      <c r="F543" s="42" t="s">
        <v>39</v>
      </c>
      <c r="G543" s="41" t="s">
        <v>40</v>
      </c>
      <c r="H543" s="41"/>
      <c r="I543" s="41"/>
      <c r="J543" s="43">
        <v>150</v>
      </c>
      <c r="K543" s="41" t="s">
        <v>1094</v>
      </c>
      <c r="L543" s="43">
        <v>1</v>
      </c>
      <c r="M543" s="43">
        <v>1</v>
      </c>
      <c r="N543" s="43">
        <v>1</v>
      </c>
      <c r="O543" s="44">
        <v>989.66</v>
      </c>
      <c r="P543" s="44">
        <v>811.2</v>
      </c>
      <c r="Q543" s="44">
        <v>880.8</v>
      </c>
      <c r="R543" s="44">
        <v>721.97</v>
      </c>
      <c r="S543" s="44">
        <v>672.97</v>
      </c>
      <c r="T543" s="44">
        <v>551.61</v>
      </c>
      <c r="U543" s="42"/>
      <c r="V543" s="42"/>
      <c r="W543" s="42" t="s">
        <v>40</v>
      </c>
      <c r="X543" s="45">
        <v>0.13400000000000001</v>
      </c>
      <c r="Y543" s="46">
        <v>1.224E-3</v>
      </c>
      <c r="Z543" s="21">
        <v>4601004318120</v>
      </c>
    </row>
    <row r="544" spans="1:26" ht="12" customHeight="1" outlineLevel="4" x14ac:dyDescent="0.2">
      <c r="A544" s="40" t="s">
        <v>13842</v>
      </c>
      <c r="B544" s="75" t="s">
        <v>13843</v>
      </c>
      <c r="C544" s="51"/>
      <c r="D544" s="54">
        <f t="shared" si="8"/>
        <v>0</v>
      </c>
      <c r="E544" s="62"/>
      <c r="F544" s="42" t="s">
        <v>39</v>
      </c>
      <c r="G544" s="41" t="s">
        <v>40</v>
      </c>
      <c r="H544" s="41"/>
      <c r="I544" s="41"/>
      <c r="J544" s="43">
        <v>100</v>
      </c>
      <c r="K544" s="41"/>
      <c r="L544" s="43">
        <v>1</v>
      </c>
      <c r="M544" s="43">
        <v>1</v>
      </c>
      <c r="N544" s="43">
        <v>1</v>
      </c>
      <c r="O544" s="44">
        <v>1146.6400000000001</v>
      </c>
      <c r="P544" s="44">
        <v>939.87</v>
      </c>
      <c r="Q544" s="44">
        <v>1020.51</v>
      </c>
      <c r="R544" s="44">
        <v>836.48</v>
      </c>
      <c r="S544" s="44">
        <v>779.72</v>
      </c>
      <c r="T544" s="44">
        <v>639.11</v>
      </c>
      <c r="U544" s="42"/>
      <c r="V544" s="42"/>
      <c r="W544" s="42" t="s">
        <v>40</v>
      </c>
      <c r="X544" s="45">
        <v>0.20300000000000001</v>
      </c>
      <c r="Y544" s="46">
        <v>1.913E-3</v>
      </c>
      <c r="Z544" s="21">
        <v>4601004318137</v>
      </c>
    </row>
    <row r="545" spans="1:26" ht="12" customHeight="1" outlineLevel="4" x14ac:dyDescent="0.2">
      <c r="A545" s="40" t="s">
        <v>13844</v>
      </c>
      <c r="B545" s="75" t="s">
        <v>13845</v>
      </c>
      <c r="C545" s="51"/>
      <c r="D545" s="54">
        <f t="shared" si="8"/>
        <v>0</v>
      </c>
      <c r="E545" s="62"/>
      <c r="F545" s="42" t="s">
        <v>39</v>
      </c>
      <c r="G545" s="41" t="s">
        <v>40</v>
      </c>
      <c r="H545" s="41"/>
      <c r="I545" s="41"/>
      <c r="J545" s="43">
        <v>119</v>
      </c>
      <c r="K545" s="41" t="s">
        <v>1094</v>
      </c>
      <c r="L545" s="43">
        <v>1</v>
      </c>
      <c r="M545" s="43">
        <v>1</v>
      </c>
      <c r="N545" s="43">
        <v>1</v>
      </c>
      <c r="O545" s="44">
        <v>703.37</v>
      </c>
      <c r="P545" s="44">
        <v>576.53</v>
      </c>
      <c r="Q545" s="44">
        <v>626</v>
      </c>
      <c r="R545" s="44">
        <v>513.11</v>
      </c>
      <c r="S545" s="44">
        <v>478.29</v>
      </c>
      <c r="T545" s="44">
        <v>392.04</v>
      </c>
      <c r="U545" s="42"/>
      <c r="V545" s="42"/>
      <c r="W545" s="42" t="s">
        <v>40</v>
      </c>
      <c r="X545" s="45">
        <v>2.1000000000000001E-2</v>
      </c>
      <c r="Y545" s="46">
        <v>2.4000000000000001E-4</v>
      </c>
      <c r="Z545" s="21">
        <v>4601004318076</v>
      </c>
    </row>
    <row r="546" spans="1:26" ht="12" customHeight="1" outlineLevel="4" x14ac:dyDescent="0.2">
      <c r="A546" s="40" t="s">
        <v>13846</v>
      </c>
      <c r="B546" s="75" t="s">
        <v>13847</v>
      </c>
      <c r="C546" s="51"/>
      <c r="D546" s="54">
        <f t="shared" si="8"/>
        <v>0</v>
      </c>
      <c r="E546" s="62"/>
      <c r="F546" s="42" t="s">
        <v>39</v>
      </c>
      <c r="G546" s="41" t="s">
        <v>40</v>
      </c>
      <c r="H546" s="41"/>
      <c r="I546" s="41"/>
      <c r="J546" s="43">
        <v>51</v>
      </c>
      <c r="K546" s="41" t="s">
        <v>1094</v>
      </c>
      <c r="L546" s="43">
        <v>1</v>
      </c>
      <c r="M546" s="43">
        <v>1</v>
      </c>
      <c r="N546" s="43">
        <v>1</v>
      </c>
      <c r="O546" s="44">
        <v>734.16</v>
      </c>
      <c r="P546" s="44">
        <v>601.77</v>
      </c>
      <c r="Q546" s="44">
        <v>653.4</v>
      </c>
      <c r="R546" s="44">
        <v>535.57000000000005</v>
      </c>
      <c r="S546" s="44">
        <v>499.23</v>
      </c>
      <c r="T546" s="44">
        <v>409.2</v>
      </c>
      <c r="U546" s="42"/>
      <c r="V546" s="42"/>
      <c r="W546" s="42" t="s">
        <v>40</v>
      </c>
      <c r="X546" s="45">
        <v>3.3000000000000002E-2</v>
      </c>
      <c r="Y546" s="46">
        <v>3.5E-4</v>
      </c>
      <c r="Z546" s="21">
        <v>4601004318083</v>
      </c>
    </row>
    <row r="547" spans="1:26" ht="12" customHeight="1" outlineLevel="4" x14ac:dyDescent="0.2">
      <c r="A547" s="40" t="s">
        <v>13848</v>
      </c>
      <c r="B547" s="75" t="s">
        <v>13849</v>
      </c>
      <c r="C547" s="51"/>
      <c r="D547" s="54">
        <f t="shared" si="8"/>
        <v>0</v>
      </c>
      <c r="E547" s="62"/>
      <c r="F547" s="42" t="s">
        <v>39</v>
      </c>
      <c r="G547" s="41" t="s">
        <v>40</v>
      </c>
      <c r="H547" s="41"/>
      <c r="I547" s="41"/>
      <c r="J547" s="43">
        <v>200</v>
      </c>
      <c r="K547" s="41" t="s">
        <v>1094</v>
      </c>
      <c r="L547" s="43">
        <v>1</v>
      </c>
      <c r="M547" s="43">
        <v>1</v>
      </c>
      <c r="N547" s="43">
        <v>1</v>
      </c>
      <c r="O547" s="44">
        <v>766.49</v>
      </c>
      <c r="P547" s="44">
        <v>628.27</v>
      </c>
      <c r="Q547" s="44">
        <v>682.18</v>
      </c>
      <c r="R547" s="44">
        <v>559.16</v>
      </c>
      <c r="S547" s="44">
        <v>521.21</v>
      </c>
      <c r="T547" s="44">
        <v>427.22</v>
      </c>
      <c r="U547" s="42"/>
      <c r="V547" s="42"/>
      <c r="W547" s="42" t="s">
        <v>40</v>
      </c>
      <c r="X547" s="45">
        <v>4.8000000000000001E-2</v>
      </c>
      <c r="Y547" s="46">
        <v>3.59E-4</v>
      </c>
      <c r="Z547" s="21">
        <v>4601004318106</v>
      </c>
    </row>
    <row r="548" spans="1:26" ht="12" customHeight="1" outlineLevel="4" x14ac:dyDescent="0.2">
      <c r="A548" s="40" t="s">
        <v>13850</v>
      </c>
      <c r="B548" s="75" t="s">
        <v>13851</v>
      </c>
      <c r="C548" s="51"/>
      <c r="D548" s="54">
        <f t="shared" si="8"/>
        <v>0</v>
      </c>
      <c r="E548" s="62"/>
      <c r="F548" s="42" t="s">
        <v>39</v>
      </c>
      <c r="G548" s="41" t="s">
        <v>40</v>
      </c>
      <c r="H548" s="41"/>
      <c r="I548" s="41"/>
      <c r="J548" s="43">
        <v>200</v>
      </c>
      <c r="K548" s="41"/>
      <c r="L548" s="43">
        <v>1</v>
      </c>
      <c r="M548" s="43">
        <v>1</v>
      </c>
      <c r="N548" s="43">
        <v>1</v>
      </c>
      <c r="O548" s="44">
        <v>831.12</v>
      </c>
      <c r="P548" s="44">
        <v>681.25</v>
      </c>
      <c r="Q548" s="44">
        <v>739.7</v>
      </c>
      <c r="R548" s="44">
        <v>606.30999999999995</v>
      </c>
      <c r="S548" s="44">
        <v>565.16</v>
      </c>
      <c r="T548" s="44">
        <v>463.25</v>
      </c>
      <c r="U548" s="42"/>
      <c r="V548" s="42"/>
      <c r="W548" s="42" t="s">
        <v>40</v>
      </c>
      <c r="X548" s="45">
        <v>6.5000000000000002E-2</v>
      </c>
      <c r="Y548" s="46">
        <v>1.0640000000000001E-3</v>
      </c>
      <c r="Z548" s="21">
        <v>4601004318168</v>
      </c>
    </row>
    <row r="549" spans="1:26" ht="12" customHeight="1" outlineLevel="4" x14ac:dyDescent="0.2">
      <c r="A549" s="40" t="s">
        <v>13852</v>
      </c>
      <c r="B549" s="75" t="s">
        <v>13853</v>
      </c>
      <c r="C549" s="51"/>
      <c r="D549" s="54">
        <f t="shared" si="8"/>
        <v>0</v>
      </c>
      <c r="E549" s="62"/>
      <c r="F549" s="42" t="s">
        <v>39</v>
      </c>
      <c r="G549" s="41" t="s">
        <v>40</v>
      </c>
      <c r="H549" s="41"/>
      <c r="I549" s="41"/>
      <c r="J549" s="43">
        <v>50</v>
      </c>
      <c r="K549" s="41"/>
      <c r="L549" s="43">
        <v>1</v>
      </c>
      <c r="M549" s="43">
        <v>1</v>
      </c>
      <c r="N549" s="43">
        <v>1</v>
      </c>
      <c r="O549" s="44">
        <v>894.23</v>
      </c>
      <c r="P549" s="44">
        <v>732.98</v>
      </c>
      <c r="Q549" s="44">
        <v>795.86</v>
      </c>
      <c r="R549" s="44">
        <v>652.34</v>
      </c>
      <c r="S549" s="44">
        <v>608.08000000000004</v>
      </c>
      <c r="T549" s="44">
        <v>498.43</v>
      </c>
      <c r="U549" s="42"/>
      <c r="V549" s="42"/>
      <c r="W549" s="42" t="s">
        <v>40</v>
      </c>
      <c r="X549" s="45">
        <v>9.7000000000000003E-2</v>
      </c>
      <c r="Y549" s="46">
        <v>6.2299999999999996E-4</v>
      </c>
      <c r="Z549" s="21">
        <v>4601004318113</v>
      </c>
    </row>
    <row r="550" spans="1:26" ht="12.95" customHeight="1" outlineLevel="3" x14ac:dyDescent="0.2">
      <c r="A550" s="76" t="s">
        <v>13858</v>
      </c>
      <c r="B550" s="76"/>
      <c r="C550" s="77"/>
      <c r="D550" s="58"/>
      <c r="E550" s="68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 spans="1:26" ht="12" customHeight="1" outlineLevel="4" x14ac:dyDescent="0.2">
      <c r="A551" s="40" t="s">
        <v>13863</v>
      </c>
      <c r="B551" s="75" t="s">
        <v>13864</v>
      </c>
      <c r="C551" s="51"/>
      <c r="D551" s="54">
        <f t="shared" si="8"/>
        <v>0</v>
      </c>
      <c r="E551" s="62"/>
      <c r="F551" s="42" t="s">
        <v>39</v>
      </c>
      <c r="G551" s="41" t="s">
        <v>40</v>
      </c>
      <c r="H551" s="41"/>
      <c r="I551" s="41"/>
      <c r="J551" s="43">
        <v>100</v>
      </c>
      <c r="K551" s="41" t="s">
        <v>1094</v>
      </c>
      <c r="L551" s="43">
        <v>1</v>
      </c>
      <c r="M551" s="43">
        <v>1</v>
      </c>
      <c r="N551" s="43">
        <v>1</v>
      </c>
      <c r="O551" s="44">
        <v>703.37</v>
      </c>
      <c r="P551" s="44">
        <v>576.53</v>
      </c>
      <c r="Q551" s="44">
        <v>626</v>
      </c>
      <c r="R551" s="44">
        <v>513.11</v>
      </c>
      <c r="S551" s="44">
        <v>478.29</v>
      </c>
      <c r="T551" s="44">
        <v>392.04</v>
      </c>
      <c r="U551" s="42"/>
      <c r="V551" s="42"/>
      <c r="W551" s="42" t="s">
        <v>40</v>
      </c>
      <c r="X551" s="45">
        <v>2.5999999999999999E-2</v>
      </c>
      <c r="Y551" s="46">
        <v>3.6299999999999999E-4</v>
      </c>
      <c r="Z551" s="21">
        <v>4601004355583</v>
      </c>
    </row>
    <row r="552" spans="1:26" ht="12" customHeight="1" outlineLevel="4" x14ac:dyDescent="0.2">
      <c r="A552" s="40" t="s">
        <v>13865</v>
      </c>
      <c r="B552" s="75" t="s">
        <v>13866</v>
      </c>
      <c r="C552" s="51"/>
      <c r="D552" s="54">
        <f t="shared" si="8"/>
        <v>0</v>
      </c>
      <c r="E552" s="62"/>
      <c r="F552" s="42" t="s">
        <v>39</v>
      </c>
      <c r="G552" s="41" t="s">
        <v>40</v>
      </c>
      <c r="H552" s="41"/>
      <c r="I552" s="41"/>
      <c r="J552" s="43">
        <v>75</v>
      </c>
      <c r="K552" s="41" t="s">
        <v>1094</v>
      </c>
      <c r="L552" s="43">
        <v>1</v>
      </c>
      <c r="M552" s="43">
        <v>1</v>
      </c>
      <c r="N552" s="43">
        <v>1</v>
      </c>
      <c r="O552" s="44">
        <v>734.16</v>
      </c>
      <c r="P552" s="44">
        <v>601.77</v>
      </c>
      <c r="Q552" s="44">
        <v>653.4</v>
      </c>
      <c r="R552" s="44">
        <v>535.57000000000005</v>
      </c>
      <c r="S552" s="44">
        <v>499.23</v>
      </c>
      <c r="T552" s="44">
        <v>409.2</v>
      </c>
      <c r="U552" s="42"/>
      <c r="V552" s="42"/>
      <c r="W552" s="42" t="s">
        <v>40</v>
      </c>
      <c r="X552" s="45">
        <v>3.5999999999999997E-2</v>
      </c>
      <c r="Y552" s="46">
        <v>5.2599999999999999E-4</v>
      </c>
      <c r="Z552" s="21">
        <v>4601004355576</v>
      </c>
    </row>
    <row r="553" spans="1:26" ht="12" customHeight="1" outlineLevel="4" x14ac:dyDescent="0.2">
      <c r="A553" s="40" t="s">
        <v>13867</v>
      </c>
      <c r="B553" s="75" t="s">
        <v>13868</v>
      </c>
      <c r="C553" s="51"/>
      <c r="D553" s="54">
        <f t="shared" si="8"/>
        <v>0</v>
      </c>
      <c r="E553" s="62"/>
      <c r="F553" s="42" t="s">
        <v>39</v>
      </c>
      <c r="G553" s="41" t="s">
        <v>40</v>
      </c>
      <c r="H553" s="41"/>
      <c r="I553" s="41"/>
      <c r="J553" s="43">
        <v>200</v>
      </c>
      <c r="K553" s="41"/>
      <c r="L553" s="43">
        <v>1</v>
      </c>
      <c r="M553" s="43">
        <v>1</v>
      </c>
      <c r="N553" s="43">
        <v>1</v>
      </c>
      <c r="O553" s="44">
        <v>766.49</v>
      </c>
      <c r="P553" s="44">
        <v>628.27</v>
      </c>
      <c r="Q553" s="44">
        <v>682.18</v>
      </c>
      <c r="R553" s="44">
        <v>559.16</v>
      </c>
      <c r="S553" s="44">
        <v>521.21</v>
      </c>
      <c r="T553" s="44">
        <v>427.22</v>
      </c>
      <c r="U553" s="42"/>
      <c r="V553" s="42"/>
      <c r="W553" s="42" t="s">
        <v>40</v>
      </c>
      <c r="X553" s="45">
        <v>0.05</v>
      </c>
      <c r="Y553" s="46">
        <v>8.5700000000000001E-4</v>
      </c>
      <c r="Z553" s="21">
        <v>4601004355569</v>
      </c>
    </row>
    <row r="554" spans="1:26" ht="12" customHeight="1" outlineLevel="4" x14ac:dyDescent="0.2">
      <c r="A554" s="40" t="s">
        <v>13869</v>
      </c>
      <c r="B554" s="75" t="s">
        <v>13870</v>
      </c>
      <c r="C554" s="51"/>
      <c r="D554" s="54">
        <f t="shared" si="8"/>
        <v>0</v>
      </c>
      <c r="E554" s="62"/>
      <c r="F554" s="42" t="s">
        <v>39</v>
      </c>
      <c r="G554" s="41" t="s">
        <v>40</v>
      </c>
      <c r="H554" s="41"/>
      <c r="I554" s="41"/>
      <c r="J554" s="43">
        <v>50</v>
      </c>
      <c r="K554" s="41"/>
      <c r="L554" s="43">
        <v>1</v>
      </c>
      <c r="M554" s="43">
        <v>1</v>
      </c>
      <c r="N554" s="43">
        <v>1</v>
      </c>
      <c r="O554" s="44">
        <v>831.12</v>
      </c>
      <c r="P554" s="44">
        <v>681.25</v>
      </c>
      <c r="Q554" s="44">
        <v>739.7</v>
      </c>
      <c r="R554" s="44">
        <v>606.30999999999995</v>
      </c>
      <c r="S554" s="44">
        <v>565.16</v>
      </c>
      <c r="T554" s="44">
        <v>463.25</v>
      </c>
      <c r="U554" s="42"/>
      <c r="V554" s="42"/>
      <c r="W554" s="42" t="s">
        <v>40</v>
      </c>
      <c r="X554" s="45">
        <v>7.5999999999999998E-2</v>
      </c>
      <c r="Y554" s="46">
        <v>1.186E-3</v>
      </c>
      <c r="Z554" s="21">
        <v>4601004355552</v>
      </c>
    </row>
    <row r="555" spans="1:26" ht="12.95" customHeight="1" outlineLevel="3" x14ac:dyDescent="0.2">
      <c r="A555" s="76" t="s">
        <v>13881</v>
      </c>
      <c r="B555" s="76"/>
      <c r="C555" s="77"/>
      <c r="D555" s="58"/>
      <c r="E555" s="68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 spans="1:26" ht="12" customHeight="1" outlineLevel="4" x14ac:dyDescent="0.2">
      <c r="A556" s="40" t="s">
        <v>13886</v>
      </c>
      <c r="B556" s="75" t="s">
        <v>13887</v>
      </c>
      <c r="C556" s="51"/>
      <c r="D556" s="54">
        <f t="shared" si="8"/>
        <v>0</v>
      </c>
      <c r="E556" s="62"/>
      <c r="F556" s="42" t="s">
        <v>39</v>
      </c>
      <c r="G556" s="41" t="s">
        <v>40</v>
      </c>
      <c r="H556" s="41"/>
      <c r="I556" s="41"/>
      <c r="J556" s="43">
        <v>60</v>
      </c>
      <c r="K556" s="41" t="s">
        <v>1094</v>
      </c>
      <c r="L556" s="43">
        <v>1</v>
      </c>
      <c r="M556" s="43">
        <v>1</v>
      </c>
      <c r="N556" s="43">
        <v>1</v>
      </c>
      <c r="O556" s="44">
        <v>703.37</v>
      </c>
      <c r="P556" s="44">
        <v>576.53</v>
      </c>
      <c r="Q556" s="44">
        <v>626</v>
      </c>
      <c r="R556" s="44">
        <v>513.11</v>
      </c>
      <c r="S556" s="44">
        <v>478.29</v>
      </c>
      <c r="T556" s="44">
        <v>392.04</v>
      </c>
      <c r="U556" s="42"/>
      <c r="V556" s="42"/>
      <c r="W556" s="42" t="s">
        <v>40</v>
      </c>
      <c r="X556" s="45">
        <v>2.8000000000000001E-2</v>
      </c>
      <c r="Y556" s="46">
        <v>1.7899999999999999E-4</v>
      </c>
      <c r="Z556" s="21">
        <v>4601004318700</v>
      </c>
    </row>
    <row r="557" spans="1:26" ht="12.95" customHeight="1" outlineLevel="2" x14ac:dyDescent="0.2">
      <c r="A557" s="76" t="s">
        <v>13908</v>
      </c>
      <c r="B557" s="76"/>
      <c r="C557" s="77"/>
      <c r="D557" s="58"/>
      <c r="E557" s="68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 spans="1:26" ht="12.95" customHeight="1" outlineLevel="3" x14ac:dyDescent="0.2">
      <c r="A558" s="76" t="s">
        <v>13909</v>
      </c>
      <c r="B558" s="76"/>
      <c r="C558" s="77"/>
      <c r="D558" s="58"/>
      <c r="E558" s="68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 spans="1:26" ht="12" customHeight="1" outlineLevel="4" x14ac:dyDescent="0.2">
      <c r="A559" s="40" t="s">
        <v>13910</v>
      </c>
      <c r="B559" s="75" t="s">
        <v>13911</v>
      </c>
      <c r="C559" s="51"/>
      <c r="D559" s="54">
        <f t="shared" si="8"/>
        <v>0</v>
      </c>
      <c r="E559" s="62"/>
      <c r="F559" s="42" t="s">
        <v>39</v>
      </c>
      <c r="G559" s="41" t="s">
        <v>40</v>
      </c>
      <c r="H559" s="41"/>
      <c r="I559" s="41"/>
      <c r="J559" s="43">
        <v>180</v>
      </c>
      <c r="K559" s="41" t="s">
        <v>1094</v>
      </c>
      <c r="L559" s="43">
        <v>1</v>
      </c>
      <c r="M559" s="43">
        <v>1</v>
      </c>
      <c r="N559" s="43">
        <v>1</v>
      </c>
      <c r="O559" s="44">
        <v>777.26</v>
      </c>
      <c r="P559" s="44">
        <v>637.1</v>
      </c>
      <c r="Q559" s="44">
        <v>691.76</v>
      </c>
      <c r="R559" s="44">
        <v>567.02</v>
      </c>
      <c r="S559" s="44">
        <v>528.54</v>
      </c>
      <c r="T559" s="44">
        <v>433.23</v>
      </c>
      <c r="U559" s="42"/>
      <c r="V559" s="42"/>
      <c r="W559" s="42" t="s">
        <v>40</v>
      </c>
      <c r="X559" s="45">
        <v>2.7E-2</v>
      </c>
      <c r="Y559" s="46">
        <v>4.46E-4</v>
      </c>
      <c r="Z559" s="21">
        <v>4601004355514</v>
      </c>
    </row>
    <row r="560" spans="1:26" ht="12" customHeight="1" outlineLevel="4" x14ac:dyDescent="0.2">
      <c r="A560" s="40" t="s">
        <v>13912</v>
      </c>
      <c r="B560" s="75" t="s">
        <v>13913</v>
      </c>
      <c r="C560" s="51"/>
      <c r="D560" s="54">
        <f t="shared" si="8"/>
        <v>0</v>
      </c>
      <c r="E560" s="62"/>
      <c r="F560" s="42" t="s">
        <v>39</v>
      </c>
      <c r="G560" s="41" t="s">
        <v>40</v>
      </c>
      <c r="H560" s="41"/>
      <c r="I560" s="41"/>
      <c r="J560" s="43">
        <v>140</v>
      </c>
      <c r="K560" s="41"/>
      <c r="L560" s="43">
        <v>1</v>
      </c>
      <c r="M560" s="43">
        <v>1</v>
      </c>
      <c r="N560" s="43">
        <v>1</v>
      </c>
      <c r="O560" s="44">
        <v>1375.98</v>
      </c>
      <c r="P560" s="44">
        <v>1127.8499999999999</v>
      </c>
      <c r="Q560" s="44">
        <v>1224.6199999999999</v>
      </c>
      <c r="R560" s="44">
        <v>1003.79</v>
      </c>
      <c r="S560" s="44">
        <v>935.67</v>
      </c>
      <c r="T560" s="44">
        <v>766.94</v>
      </c>
      <c r="U560" s="42"/>
      <c r="V560" s="42"/>
      <c r="W560" s="42" t="s">
        <v>40</v>
      </c>
      <c r="X560" s="45">
        <v>0.13800000000000001</v>
      </c>
      <c r="Y560" s="46">
        <v>1.3940000000000001E-3</v>
      </c>
      <c r="Z560" s="21">
        <v>4601004319431</v>
      </c>
    </row>
    <row r="561" spans="1:26" ht="12" customHeight="1" outlineLevel="4" x14ac:dyDescent="0.2">
      <c r="A561" s="40" t="s">
        <v>13914</v>
      </c>
      <c r="B561" s="75" t="s">
        <v>13915</v>
      </c>
      <c r="C561" s="51"/>
      <c r="D561" s="54">
        <f t="shared" si="8"/>
        <v>0</v>
      </c>
      <c r="E561" s="62"/>
      <c r="F561" s="42" t="s">
        <v>39</v>
      </c>
      <c r="G561" s="41" t="s">
        <v>40</v>
      </c>
      <c r="H561" s="41"/>
      <c r="I561" s="41"/>
      <c r="J561" s="43">
        <v>125</v>
      </c>
      <c r="K561" s="41"/>
      <c r="L561" s="43">
        <v>1</v>
      </c>
      <c r="M561" s="43">
        <v>1</v>
      </c>
      <c r="N561" s="43">
        <v>1</v>
      </c>
      <c r="O561" s="44">
        <v>1749.98</v>
      </c>
      <c r="P561" s="44">
        <v>1434.41</v>
      </c>
      <c r="Q561" s="44">
        <v>1557.48</v>
      </c>
      <c r="R561" s="44">
        <v>1276.6199999999999</v>
      </c>
      <c r="S561" s="44">
        <v>1189.99</v>
      </c>
      <c r="T561" s="44">
        <v>975.4</v>
      </c>
      <c r="U561" s="42"/>
      <c r="V561" s="42"/>
      <c r="W561" s="42" t="s">
        <v>40</v>
      </c>
      <c r="X561" s="45">
        <v>0.20100000000000001</v>
      </c>
      <c r="Y561" s="46">
        <v>1.392E-3</v>
      </c>
      <c r="Z561" s="21">
        <v>4601004319448</v>
      </c>
    </row>
    <row r="562" spans="1:26" ht="12" customHeight="1" outlineLevel="4" x14ac:dyDescent="0.2">
      <c r="A562" s="40" t="s">
        <v>13916</v>
      </c>
      <c r="B562" s="75" t="s">
        <v>13917</v>
      </c>
      <c r="C562" s="51"/>
      <c r="D562" s="54">
        <f t="shared" si="8"/>
        <v>0</v>
      </c>
      <c r="E562" s="62"/>
      <c r="F562" s="42" t="s">
        <v>39</v>
      </c>
      <c r="G562" s="41" t="s">
        <v>40</v>
      </c>
      <c r="H562" s="41"/>
      <c r="I562" s="41"/>
      <c r="J562" s="43">
        <v>100</v>
      </c>
      <c r="K562" s="41" t="s">
        <v>1094</v>
      </c>
      <c r="L562" s="43">
        <v>1</v>
      </c>
      <c r="M562" s="43">
        <v>1</v>
      </c>
      <c r="N562" s="43">
        <v>1</v>
      </c>
      <c r="O562" s="44">
        <v>703.37</v>
      </c>
      <c r="P562" s="44">
        <v>576.53</v>
      </c>
      <c r="Q562" s="44">
        <v>626</v>
      </c>
      <c r="R562" s="44">
        <v>513.11</v>
      </c>
      <c r="S562" s="44">
        <v>478.29</v>
      </c>
      <c r="T562" s="44">
        <v>392.04</v>
      </c>
      <c r="U562" s="42"/>
      <c r="V562" s="42"/>
      <c r="W562" s="42" t="s">
        <v>40</v>
      </c>
      <c r="X562" s="45">
        <v>2.4E-2</v>
      </c>
      <c r="Y562" s="46">
        <v>5.8600000000000004E-4</v>
      </c>
      <c r="Z562" s="21">
        <v>4601004319394</v>
      </c>
    </row>
    <row r="563" spans="1:26" ht="12" customHeight="1" outlineLevel="4" x14ac:dyDescent="0.2">
      <c r="A563" s="40" t="s">
        <v>13918</v>
      </c>
      <c r="B563" s="75" t="s">
        <v>13919</v>
      </c>
      <c r="C563" s="51"/>
      <c r="D563" s="54">
        <f t="shared" si="8"/>
        <v>0</v>
      </c>
      <c r="E563" s="62"/>
      <c r="F563" s="42" t="s">
        <v>39</v>
      </c>
      <c r="G563" s="41" t="s">
        <v>40</v>
      </c>
      <c r="H563" s="41"/>
      <c r="I563" s="41"/>
      <c r="J563" s="43">
        <v>27</v>
      </c>
      <c r="K563" s="41" t="s">
        <v>1094</v>
      </c>
      <c r="L563" s="43">
        <v>1</v>
      </c>
      <c r="M563" s="43">
        <v>1</v>
      </c>
      <c r="N563" s="43">
        <v>1</v>
      </c>
      <c r="O563" s="44">
        <v>2123.9899999999998</v>
      </c>
      <c r="P563" s="44">
        <v>1740.98</v>
      </c>
      <c r="Q563" s="44">
        <v>1890.35</v>
      </c>
      <c r="R563" s="44">
        <v>1549.47</v>
      </c>
      <c r="S563" s="44">
        <v>1444.31</v>
      </c>
      <c r="T563" s="44">
        <v>1183.8599999999999</v>
      </c>
      <c r="U563" s="42"/>
      <c r="V563" s="42"/>
      <c r="W563" s="42" t="s">
        <v>40</v>
      </c>
      <c r="X563" s="45">
        <v>0.27</v>
      </c>
      <c r="Y563" s="46">
        <v>2.8289999999999999E-3</v>
      </c>
      <c r="Z563" s="21">
        <v>4601004355507</v>
      </c>
    </row>
    <row r="564" spans="1:26" ht="12" customHeight="1" outlineLevel="4" x14ac:dyDescent="0.2">
      <c r="A564" s="40" t="s">
        <v>13920</v>
      </c>
      <c r="B564" s="75" t="s">
        <v>13921</v>
      </c>
      <c r="C564" s="51"/>
      <c r="D564" s="54">
        <f t="shared" si="8"/>
        <v>0</v>
      </c>
      <c r="E564" s="62"/>
      <c r="F564" s="42" t="s">
        <v>39</v>
      </c>
      <c r="G564" s="41" t="s">
        <v>40</v>
      </c>
      <c r="H564" s="41"/>
      <c r="I564" s="41"/>
      <c r="J564" s="43">
        <v>40</v>
      </c>
      <c r="K564" s="41" t="s">
        <v>1094</v>
      </c>
      <c r="L564" s="43">
        <v>1</v>
      </c>
      <c r="M564" s="43">
        <v>1</v>
      </c>
      <c r="N564" s="43">
        <v>1</v>
      </c>
      <c r="O564" s="44">
        <v>2499.5300000000002</v>
      </c>
      <c r="P564" s="44">
        <v>2048.8000000000002</v>
      </c>
      <c r="Q564" s="44">
        <v>2224.58</v>
      </c>
      <c r="R564" s="44">
        <v>1823.43</v>
      </c>
      <c r="S564" s="44">
        <v>1699.68</v>
      </c>
      <c r="T564" s="44">
        <v>1393.18</v>
      </c>
      <c r="U564" s="42"/>
      <c r="V564" s="42"/>
      <c r="W564" s="42" t="s">
        <v>40</v>
      </c>
      <c r="X564" s="45">
        <v>0.33500000000000002</v>
      </c>
      <c r="Y564" s="46">
        <v>2.954E-3</v>
      </c>
      <c r="Z564" s="21">
        <v>4601004355491</v>
      </c>
    </row>
    <row r="565" spans="1:26" ht="12" customHeight="1" outlineLevel="4" x14ac:dyDescent="0.2">
      <c r="A565" s="40" t="s">
        <v>13922</v>
      </c>
      <c r="B565" s="75" t="s">
        <v>13923</v>
      </c>
      <c r="C565" s="51"/>
      <c r="D565" s="54">
        <f t="shared" si="8"/>
        <v>0</v>
      </c>
      <c r="E565" s="62"/>
      <c r="F565" s="42" t="s">
        <v>39</v>
      </c>
      <c r="G565" s="41" t="s">
        <v>40</v>
      </c>
      <c r="H565" s="41"/>
      <c r="I565" s="41"/>
      <c r="J565" s="43">
        <v>340</v>
      </c>
      <c r="K565" s="41" t="s">
        <v>1094</v>
      </c>
      <c r="L565" s="43">
        <v>1</v>
      </c>
      <c r="M565" s="43">
        <v>1</v>
      </c>
      <c r="N565" s="43">
        <v>1</v>
      </c>
      <c r="O565" s="44">
        <v>777.26</v>
      </c>
      <c r="P565" s="44">
        <v>637.1</v>
      </c>
      <c r="Q565" s="44">
        <v>691.76</v>
      </c>
      <c r="R565" s="44">
        <v>567.02</v>
      </c>
      <c r="S565" s="44">
        <v>528.54</v>
      </c>
      <c r="T565" s="44">
        <v>433.23</v>
      </c>
      <c r="U565" s="42"/>
      <c r="V565" s="42"/>
      <c r="W565" s="42" t="s">
        <v>40</v>
      </c>
      <c r="X565" s="45">
        <v>3.5999999999999997E-2</v>
      </c>
      <c r="Y565" s="46">
        <v>4.0200000000000001E-4</v>
      </c>
      <c r="Z565" s="21">
        <v>4601004319400</v>
      </c>
    </row>
    <row r="566" spans="1:26" ht="12" customHeight="1" outlineLevel="4" x14ac:dyDescent="0.2">
      <c r="A566" s="40" t="s">
        <v>13924</v>
      </c>
      <c r="B566" s="75" t="s">
        <v>13925</v>
      </c>
      <c r="C566" s="51"/>
      <c r="D566" s="54">
        <f t="shared" si="8"/>
        <v>0</v>
      </c>
      <c r="E566" s="62"/>
      <c r="F566" s="42" t="s">
        <v>39</v>
      </c>
      <c r="G566" s="41" t="s">
        <v>40</v>
      </c>
      <c r="H566" s="41"/>
      <c r="I566" s="41"/>
      <c r="J566" s="43">
        <v>410</v>
      </c>
      <c r="K566" s="41" t="s">
        <v>1094</v>
      </c>
      <c r="L566" s="43">
        <v>1</v>
      </c>
      <c r="M566" s="43">
        <v>1</v>
      </c>
      <c r="N566" s="43">
        <v>1</v>
      </c>
      <c r="O566" s="44">
        <v>852.67</v>
      </c>
      <c r="P566" s="44">
        <v>698.91</v>
      </c>
      <c r="Q566" s="44">
        <v>758.88</v>
      </c>
      <c r="R566" s="44">
        <v>622.03</v>
      </c>
      <c r="S566" s="44">
        <v>579.82000000000005</v>
      </c>
      <c r="T566" s="44">
        <v>475.26</v>
      </c>
      <c r="U566" s="42"/>
      <c r="V566" s="42"/>
      <c r="W566" s="42" t="s">
        <v>40</v>
      </c>
      <c r="X566" s="45">
        <v>4.7E-2</v>
      </c>
      <c r="Y566" s="46">
        <v>3.68E-4</v>
      </c>
      <c r="Z566" s="21">
        <v>4601004319349</v>
      </c>
    </row>
    <row r="567" spans="1:26" ht="12" customHeight="1" outlineLevel="4" x14ac:dyDescent="0.2">
      <c r="A567" s="40" t="s">
        <v>13926</v>
      </c>
      <c r="B567" s="75" t="s">
        <v>13927</v>
      </c>
      <c r="C567" s="51"/>
      <c r="D567" s="54">
        <f t="shared" si="8"/>
        <v>0</v>
      </c>
      <c r="E567" s="62"/>
      <c r="F567" s="42" t="s">
        <v>39</v>
      </c>
      <c r="G567" s="41" t="s">
        <v>40</v>
      </c>
      <c r="H567" s="41"/>
      <c r="I567" s="41"/>
      <c r="J567" s="43">
        <v>358</v>
      </c>
      <c r="K567" s="41" t="s">
        <v>1094</v>
      </c>
      <c r="L567" s="43">
        <v>1</v>
      </c>
      <c r="M567" s="43">
        <v>1</v>
      </c>
      <c r="N567" s="43">
        <v>1</v>
      </c>
      <c r="O567" s="44">
        <v>1000.43</v>
      </c>
      <c r="P567" s="44">
        <v>820.02</v>
      </c>
      <c r="Q567" s="44">
        <v>890.38</v>
      </c>
      <c r="R567" s="44">
        <v>729.82</v>
      </c>
      <c r="S567" s="44">
        <v>680.29</v>
      </c>
      <c r="T567" s="44">
        <v>557.61</v>
      </c>
      <c r="U567" s="42"/>
      <c r="V567" s="42"/>
      <c r="W567" s="42" t="s">
        <v>40</v>
      </c>
      <c r="X567" s="45">
        <v>7.5999999999999998E-2</v>
      </c>
      <c r="Y567" s="46">
        <v>7.3999999999999999E-4</v>
      </c>
      <c r="Z567" s="21">
        <v>4601004319417</v>
      </c>
    </row>
    <row r="568" spans="1:26" ht="12" customHeight="1" outlineLevel="4" x14ac:dyDescent="0.2">
      <c r="A568" s="40" t="s">
        <v>13928</v>
      </c>
      <c r="B568" s="75" t="s">
        <v>13929</v>
      </c>
      <c r="C568" s="51"/>
      <c r="D568" s="54">
        <f t="shared" si="8"/>
        <v>0</v>
      </c>
      <c r="E568" s="62"/>
      <c r="F568" s="42" t="s">
        <v>39</v>
      </c>
      <c r="G568" s="41" t="s">
        <v>40</v>
      </c>
      <c r="H568" s="41"/>
      <c r="I568" s="41"/>
      <c r="J568" s="43">
        <v>150</v>
      </c>
      <c r="K568" s="41"/>
      <c r="L568" s="43">
        <v>1</v>
      </c>
      <c r="M568" s="43">
        <v>1</v>
      </c>
      <c r="N568" s="43">
        <v>1</v>
      </c>
      <c r="O568" s="44">
        <v>1152.8</v>
      </c>
      <c r="P568" s="44">
        <v>944.92</v>
      </c>
      <c r="Q568" s="44">
        <v>1025.99</v>
      </c>
      <c r="R568" s="44">
        <v>840.98</v>
      </c>
      <c r="S568" s="44">
        <v>783.9</v>
      </c>
      <c r="T568" s="44">
        <v>642.54</v>
      </c>
      <c r="U568" s="42"/>
      <c r="V568" s="42"/>
      <c r="W568" s="42" t="s">
        <v>40</v>
      </c>
      <c r="X568" s="45">
        <v>0.10100000000000001</v>
      </c>
      <c r="Y568" s="46">
        <v>8.5700000000000001E-4</v>
      </c>
      <c r="Z568" s="21">
        <v>4601004319424</v>
      </c>
    </row>
    <row r="569" spans="1:26" ht="12.95" customHeight="1" outlineLevel="3" x14ac:dyDescent="0.2">
      <c r="A569" s="76" t="s">
        <v>13930</v>
      </c>
      <c r="B569" s="76"/>
      <c r="C569" s="77"/>
      <c r="D569" s="58"/>
      <c r="E569" s="68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 spans="1:26" ht="12" customHeight="1" outlineLevel="4" x14ac:dyDescent="0.2">
      <c r="A570" s="40" t="s">
        <v>13935</v>
      </c>
      <c r="B570" s="75" t="s">
        <v>13936</v>
      </c>
      <c r="C570" s="51"/>
      <c r="D570" s="54">
        <f t="shared" si="8"/>
        <v>0</v>
      </c>
      <c r="E570" s="62"/>
      <c r="F570" s="42" t="s">
        <v>39</v>
      </c>
      <c r="G570" s="41" t="s">
        <v>40</v>
      </c>
      <c r="H570" s="41"/>
      <c r="I570" s="41"/>
      <c r="J570" s="43">
        <v>60</v>
      </c>
      <c r="K570" s="41"/>
      <c r="L570" s="43">
        <v>1</v>
      </c>
      <c r="M570" s="43">
        <v>1</v>
      </c>
      <c r="N570" s="43">
        <v>1</v>
      </c>
      <c r="O570" s="44">
        <v>703.37</v>
      </c>
      <c r="P570" s="44">
        <v>576.53</v>
      </c>
      <c r="Q570" s="44">
        <v>626</v>
      </c>
      <c r="R570" s="44">
        <v>513.11</v>
      </c>
      <c r="S570" s="44">
        <v>478.29</v>
      </c>
      <c r="T570" s="44">
        <v>392.04</v>
      </c>
      <c r="U570" s="42"/>
      <c r="V570" s="42"/>
      <c r="W570" s="42" t="s">
        <v>40</v>
      </c>
      <c r="X570" s="45">
        <v>2.5999999999999999E-2</v>
      </c>
      <c r="Y570" s="46">
        <v>3.9199999999999999E-4</v>
      </c>
      <c r="Z570" s="21">
        <v>4601004319455</v>
      </c>
    </row>
    <row r="571" spans="1:26" ht="12" customHeight="1" outlineLevel="4" x14ac:dyDescent="0.2">
      <c r="A571" s="40" t="s">
        <v>13937</v>
      </c>
      <c r="B571" s="75" t="s">
        <v>13938</v>
      </c>
      <c r="C571" s="51"/>
      <c r="D571" s="54">
        <f t="shared" si="8"/>
        <v>0</v>
      </c>
      <c r="E571" s="62"/>
      <c r="F571" s="42" t="s">
        <v>39</v>
      </c>
      <c r="G571" s="41" t="s">
        <v>40</v>
      </c>
      <c r="H571" s="41"/>
      <c r="I571" s="41"/>
      <c r="J571" s="43">
        <v>30</v>
      </c>
      <c r="K571" s="41" t="s">
        <v>1094</v>
      </c>
      <c r="L571" s="43">
        <v>1</v>
      </c>
      <c r="M571" s="43">
        <v>1</v>
      </c>
      <c r="N571" s="43">
        <v>1</v>
      </c>
      <c r="O571" s="44">
        <v>777.26</v>
      </c>
      <c r="P571" s="44">
        <v>637.1</v>
      </c>
      <c r="Q571" s="44">
        <v>691.76</v>
      </c>
      <c r="R571" s="44">
        <v>567.02</v>
      </c>
      <c r="S571" s="44">
        <v>528.54</v>
      </c>
      <c r="T571" s="44">
        <v>433.23</v>
      </c>
      <c r="U571" s="42"/>
      <c r="V571" s="42"/>
      <c r="W571" s="42" t="s">
        <v>40</v>
      </c>
      <c r="X571" s="45">
        <v>3.9E-2</v>
      </c>
      <c r="Y571" s="46">
        <v>4.6099999999999998E-4</v>
      </c>
      <c r="Z571" s="21">
        <v>4601004319462</v>
      </c>
    </row>
    <row r="572" spans="1:26" ht="12" customHeight="1" outlineLevel="4" x14ac:dyDescent="0.2">
      <c r="A572" s="40" t="s">
        <v>13939</v>
      </c>
      <c r="B572" s="75" t="s">
        <v>13940</v>
      </c>
      <c r="C572" s="51"/>
      <c r="D572" s="54">
        <f t="shared" si="8"/>
        <v>0</v>
      </c>
      <c r="E572" s="62"/>
      <c r="F572" s="42" t="s">
        <v>39</v>
      </c>
      <c r="G572" s="41" t="s">
        <v>40</v>
      </c>
      <c r="H572" s="41"/>
      <c r="I572" s="41"/>
      <c r="J572" s="43">
        <v>30</v>
      </c>
      <c r="K572" s="41" t="s">
        <v>1094</v>
      </c>
      <c r="L572" s="43">
        <v>1</v>
      </c>
      <c r="M572" s="43">
        <v>1</v>
      </c>
      <c r="N572" s="43">
        <v>1</v>
      </c>
      <c r="O572" s="44">
        <v>852.67</v>
      </c>
      <c r="P572" s="44">
        <v>698.91</v>
      </c>
      <c r="Q572" s="44">
        <v>758.88</v>
      </c>
      <c r="R572" s="44">
        <v>622.03</v>
      </c>
      <c r="S572" s="44">
        <v>579.82000000000005</v>
      </c>
      <c r="T572" s="44">
        <v>475.26</v>
      </c>
      <c r="U572" s="42"/>
      <c r="V572" s="42"/>
      <c r="W572" s="42" t="s">
        <v>40</v>
      </c>
      <c r="X572" s="45">
        <v>0.05</v>
      </c>
      <c r="Y572" s="46">
        <v>3.6400000000000001E-4</v>
      </c>
      <c r="Z572" s="21">
        <v>4601004319479</v>
      </c>
    </row>
    <row r="573" spans="1:26" ht="12.95" customHeight="1" outlineLevel="2" x14ac:dyDescent="0.2">
      <c r="A573" s="76" t="s">
        <v>13958</v>
      </c>
      <c r="B573" s="76"/>
      <c r="C573" s="77"/>
      <c r="D573" s="58"/>
      <c r="E573" s="68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 spans="1:26" ht="12.95" customHeight="1" outlineLevel="3" x14ac:dyDescent="0.2">
      <c r="A574" s="76" t="s">
        <v>13959</v>
      </c>
      <c r="B574" s="76"/>
      <c r="C574" s="77"/>
      <c r="D574" s="58"/>
      <c r="E574" s="68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 spans="1:26" ht="12" customHeight="1" outlineLevel="4" x14ac:dyDescent="0.2">
      <c r="A575" s="40" t="s">
        <v>13960</v>
      </c>
      <c r="B575" s="75" t="s">
        <v>13961</v>
      </c>
      <c r="C575" s="51"/>
      <c r="D575" s="54">
        <f t="shared" si="8"/>
        <v>0</v>
      </c>
      <c r="E575" s="62"/>
      <c r="F575" s="42" t="s">
        <v>39</v>
      </c>
      <c r="G575" s="41" t="s">
        <v>40</v>
      </c>
      <c r="H575" s="41"/>
      <c r="I575" s="41"/>
      <c r="J575" s="43">
        <v>140</v>
      </c>
      <c r="K575" s="41" t="s">
        <v>1094</v>
      </c>
      <c r="L575" s="43">
        <v>1</v>
      </c>
      <c r="M575" s="43">
        <v>1</v>
      </c>
      <c r="N575" s="43">
        <v>1</v>
      </c>
      <c r="O575" s="44">
        <v>878.84</v>
      </c>
      <c r="P575" s="44">
        <v>720.36</v>
      </c>
      <c r="Q575" s="44">
        <v>782.17</v>
      </c>
      <c r="R575" s="44">
        <v>641.12</v>
      </c>
      <c r="S575" s="44">
        <v>597.61</v>
      </c>
      <c r="T575" s="44">
        <v>489.84</v>
      </c>
      <c r="U575" s="42"/>
      <c r="V575" s="42"/>
      <c r="W575" s="42" t="s">
        <v>40</v>
      </c>
      <c r="X575" s="45">
        <v>1.7999999999999999E-2</v>
      </c>
      <c r="Y575" s="46">
        <v>3.4900000000000003E-4</v>
      </c>
      <c r="Z575" s="21">
        <v>4601004355484</v>
      </c>
    </row>
    <row r="576" spans="1:26" ht="12" customHeight="1" outlineLevel="4" x14ac:dyDescent="0.2">
      <c r="A576" s="40" t="s">
        <v>13962</v>
      </c>
      <c r="B576" s="75" t="s">
        <v>13963</v>
      </c>
      <c r="C576" s="51"/>
      <c r="D576" s="54">
        <f t="shared" si="8"/>
        <v>0</v>
      </c>
      <c r="E576" s="62"/>
      <c r="F576" s="42" t="s">
        <v>39</v>
      </c>
      <c r="G576" s="41" t="s">
        <v>40</v>
      </c>
      <c r="H576" s="41"/>
      <c r="I576" s="41"/>
      <c r="J576" s="43">
        <v>91</v>
      </c>
      <c r="K576" s="41" t="s">
        <v>1094</v>
      </c>
      <c r="L576" s="43">
        <v>1</v>
      </c>
      <c r="M576" s="43">
        <v>1</v>
      </c>
      <c r="N576" s="43">
        <v>1</v>
      </c>
      <c r="O576" s="44">
        <v>2304.06</v>
      </c>
      <c r="P576" s="44">
        <v>1888.57</v>
      </c>
      <c r="Q576" s="44">
        <v>2050.61</v>
      </c>
      <c r="R576" s="44">
        <v>1680.83</v>
      </c>
      <c r="S576" s="44">
        <v>1566.76</v>
      </c>
      <c r="T576" s="44">
        <v>1284.23</v>
      </c>
      <c r="U576" s="42"/>
      <c r="V576" s="42"/>
      <c r="W576" s="42" t="s">
        <v>40</v>
      </c>
      <c r="X576" s="45">
        <v>0.13900000000000001</v>
      </c>
      <c r="Y576" s="46">
        <v>1.286E-3</v>
      </c>
      <c r="Z576" s="21">
        <v>4601004319912</v>
      </c>
    </row>
    <row r="577" spans="1:26" ht="12" customHeight="1" outlineLevel="4" x14ac:dyDescent="0.2">
      <c r="A577" s="40" t="s">
        <v>13964</v>
      </c>
      <c r="B577" s="75" t="s">
        <v>13965</v>
      </c>
      <c r="C577" s="51"/>
      <c r="D577" s="54">
        <f t="shared" si="8"/>
        <v>0</v>
      </c>
      <c r="E577" s="62"/>
      <c r="F577" s="42" t="s">
        <v>39</v>
      </c>
      <c r="G577" s="41" t="s">
        <v>40</v>
      </c>
      <c r="H577" s="41"/>
      <c r="I577" s="41"/>
      <c r="J577" s="43">
        <v>90</v>
      </c>
      <c r="K577" s="41" t="s">
        <v>1094</v>
      </c>
      <c r="L577" s="43">
        <v>1</v>
      </c>
      <c r="M577" s="43">
        <v>1</v>
      </c>
      <c r="N577" s="43">
        <v>1</v>
      </c>
      <c r="O577" s="44">
        <v>3193.67</v>
      </c>
      <c r="P577" s="44">
        <v>2617.7600000000002</v>
      </c>
      <c r="Q577" s="44">
        <v>2842.37</v>
      </c>
      <c r="R577" s="44">
        <v>2329.81</v>
      </c>
      <c r="S577" s="44">
        <v>2171.6999999999998</v>
      </c>
      <c r="T577" s="44">
        <v>1780.08</v>
      </c>
      <c r="U577" s="42"/>
      <c r="V577" s="42"/>
      <c r="W577" s="42" t="s">
        <v>40</v>
      </c>
      <c r="X577" s="45">
        <v>0.19700000000000001</v>
      </c>
      <c r="Y577" s="46">
        <v>1.828E-3</v>
      </c>
      <c r="Z577" s="21">
        <v>4601004319929</v>
      </c>
    </row>
    <row r="578" spans="1:26" ht="12" customHeight="1" outlineLevel="4" x14ac:dyDescent="0.2">
      <c r="A578" s="40" t="s">
        <v>13966</v>
      </c>
      <c r="B578" s="75" t="s">
        <v>13967</v>
      </c>
      <c r="C578" s="51"/>
      <c r="D578" s="54">
        <f t="shared" si="8"/>
        <v>0</v>
      </c>
      <c r="E578" s="62"/>
      <c r="F578" s="42" t="s">
        <v>39</v>
      </c>
      <c r="G578" s="41" t="s">
        <v>40</v>
      </c>
      <c r="H578" s="41"/>
      <c r="I578" s="41"/>
      <c r="J578" s="43">
        <v>230</v>
      </c>
      <c r="K578" s="41" t="s">
        <v>1094</v>
      </c>
      <c r="L578" s="43">
        <v>1</v>
      </c>
      <c r="M578" s="43">
        <v>1</v>
      </c>
      <c r="N578" s="43">
        <v>1</v>
      </c>
      <c r="O578" s="44">
        <v>735.35</v>
      </c>
      <c r="P578" s="44">
        <v>602.75</v>
      </c>
      <c r="Q578" s="44">
        <v>654.46</v>
      </c>
      <c r="R578" s="44">
        <v>536.44000000000005</v>
      </c>
      <c r="S578" s="44">
        <v>500.04</v>
      </c>
      <c r="T578" s="44">
        <v>409.87</v>
      </c>
      <c r="U578" s="42"/>
      <c r="V578" s="42"/>
      <c r="W578" s="42" t="s">
        <v>40</v>
      </c>
      <c r="X578" s="45">
        <v>2.1999999999999999E-2</v>
      </c>
      <c r="Y578" s="46">
        <v>3.3799999999999998E-4</v>
      </c>
      <c r="Z578" s="21">
        <v>4601004319875</v>
      </c>
    </row>
    <row r="579" spans="1:26" ht="12" customHeight="1" outlineLevel="4" x14ac:dyDescent="0.2">
      <c r="A579" s="40" t="s">
        <v>13968</v>
      </c>
      <c r="B579" s="75" t="s">
        <v>13969</v>
      </c>
      <c r="C579" s="51"/>
      <c r="D579" s="54">
        <f t="shared" si="8"/>
        <v>0</v>
      </c>
      <c r="E579" s="62"/>
      <c r="F579" s="42" t="s">
        <v>39</v>
      </c>
      <c r="G579" s="41" t="s">
        <v>40</v>
      </c>
      <c r="H579" s="41"/>
      <c r="I579" s="41"/>
      <c r="J579" s="43">
        <v>35</v>
      </c>
      <c r="K579" s="41" t="s">
        <v>1094</v>
      </c>
      <c r="L579" s="43">
        <v>1</v>
      </c>
      <c r="M579" s="43">
        <v>1</v>
      </c>
      <c r="N579" s="43">
        <v>1</v>
      </c>
      <c r="O579" s="44">
        <v>4083.29</v>
      </c>
      <c r="P579" s="44">
        <v>3346.96</v>
      </c>
      <c r="Q579" s="44">
        <v>3634.13</v>
      </c>
      <c r="R579" s="44">
        <v>2978.8</v>
      </c>
      <c r="S579" s="44">
        <v>2776.64</v>
      </c>
      <c r="T579" s="44">
        <v>2275.9299999999998</v>
      </c>
      <c r="U579" s="42"/>
      <c r="V579" s="42"/>
      <c r="W579" s="42" t="s">
        <v>40</v>
      </c>
      <c r="X579" s="45">
        <v>0.27</v>
      </c>
      <c r="Y579" s="46">
        <v>2.8670000000000002E-3</v>
      </c>
      <c r="Z579" s="21">
        <v>4601004355477</v>
      </c>
    </row>
    <row r="580" spans="1:26" ht="12" customHeight="1" outlineLevel="4" x14ac:dyDescent="0.2">
      <c r="A580" s="40" t="s">
        <v>13970</v>
      </c>
      <c r="B580" s="75" t="s">
        <v>13971</v>
      </c>
      <c r="C580" s="51"/>
      <c r="D580" s="54">
        <f t="shared" si="8"/>
        <v>0</v>
      </c>
      <c r="E580" s="62"/>
      <c r="F580" s="42" t="s">
        <v>39</v>
      </c>
      <c r="G580" s="41" t="s">
        <v>40</v>
      </c>
      <c r="H580" s="41"/>
      <c r="I580" s="41"/>
      <c r="J580" s="43">
        <v>35</v>
      </c>
      <c r="K580" s="41" t="s">
        <v>1094</v>
      </c>
      <c r="L580" s="43">
        <v>1</v>
      </c>
      <c r="M580" s="43">
        <v>1</v>
      </c>
      <c r="N580" s="43">
        <v>1</v>
      </c>
      <c r="O580" s="44">
        <v>4971.3599999999997</v>
      </c>
      <c r="P580" s="44">
        <v>4074.89</v>
      </c>
      <c r="Q580" s="44">
        <v>4424.51</v>
      </c>
      <c r="R580" s="44">
        <v>3626.65</v>
      </c>
      <c r="S580" s="44">
        <v>3380.52</v>
      </c>
      <c r="T580" s="44">
        <v>2770.92</v>
      </c>
      <c r="U580" s="42"/>
      <c r="V580" s="42"/>
      <c r="W580" s="42" t="s">
        <v>40</v>
      </c>
      <c r="X580" s="45">
        <v>0.33500000000000002</v>
      </c>
      <c r="Y580" s="46">
        <v>3.2699999999999999E-3</v>
      </c>
      <c r="Z580" s="21">
        <v>4601004355460</v>
      </c>
    </row>
    <row r="581" spans="1:26" ht="12" customHeight="1" outlineLevel="4" x14ac:dyDescent="0.2">
      <c r="A581" s="40" t="s">
        <v>13972</v>
      </c>
      <c r="B581" s="75" t="s">
        <v>13973</v>
      </c>
      <c r="C581" s="51"/>
      <c r="D581" s="54">
        <f t="shared" si="8"/>
        <v>0</v>
      </c>
      <c r="E581" s="62"/>
      <c r="F581" s="42" t="s">
        <v>39</v>
      </c>
      <c r="G581" s="41" t="s">
        <v>40</v>
      </c>
      <c r="H581" s="41"/>
      <c r="I581" s="41"/>
      <c r="J581" s="43">
        <v>260</v>
      </c>
      <c r="K581" s="41" t="s">
        <v>1094</v>
      </c>
      <c r="L581" s="43">
        <v>1</v>
      </c>
      <c r="M581" s="43">
        <v>1</v>
      </c>
      <c r="N581" s="43">
        <v>1</v>
      </c>
      <c r="O581" s="44">
        <v>878.84</v>
      </c>
      <c r="P581" s="44">
        <v>720.36</v>
      </c>
      <c r="Q581" s="44">
        <v>782.17</v>
      </c>
      <c r="R581" s="44">
        <v>641.12</v>
      </c>
      <c r="S581" s="44">
        <v>597.61</v>
      </c>
      <c r="T581" s="44">
        <v>489.84</v>
      </c>
      <c r="U581" s="42"/>
      <c r="V581" s="42"/>
      <c r="W581" s="42" t="s">
        <v>40</v>
      </c>
      <c r="X581" s="45">
        <v>3.5999999999999997E-2</v>
      </c>
      <c r="Y581" s="46">
        <v>3.6099999999999999E-4</v>
      </c>
      <c r="Z581" s="21">
        <v>4601004319882</v>
      </c>
    </row>
    <row r="582" spans="1:26" ht="12" customHeight="1" outlineLevel="4" x14ac:dyDescent="0.2">
      <c r="A582" s="40" t="s">
        <v>13974</v>
      </c>
      <c r="B582" s="75" t="s">
        <v>13975</v>
      </c>
      <c r="C582" s="51"/>
      <c r="D582" s="54">
        <f t="shared" si="8"/>
        <v>0</v>
      </c>
      <c r="E582" s="62"/>
      <c r="F582" s="42" t="s">
        <v>39</v>
      </c>
      <c r="G582" s="41" t="s">
        <v>40</v>
      </c>
      <c r="H582" s="41"/>
      <c r="I582" s="41"/>
      <c r="J582" s="43">
        <v>289</v>
      </c>
      <c r="K582" s="41" t="s">
        <v>1094</v>
      </c>
      <c r="L582" s="43">
        <v>1</v>
      </c>
      <c r="M582" s="43">
        <v>1</v>
      </c>
      <c r="N582" s="43">
        <v>1</v>
      </c>
      <c r="O582" s="44">
        <v>1058.92</v>
      </c>
      <c r="P582" s="44">
        <v>867.97</v>
      </c>
      <c r="Q582" s="44">
        <v>942.44</v>
      </c>
      <c r="R582" s="44">
        <v>772.49</v>
      </c>
      <c r="S582" s="44">
        <v>720.07</v>
      </c>
      <c r="T582" s="44">
        <v>590.22</v>
      </c>
      <c r="U582" s="42"/>
      <c r="V582" s="42"/>
      <c r="W582" s="42" t="s">
        <v>40</v>
      </c>
      <c r="X582" s="45">
        <v>4.7E-2</v>
      </c>
      <c r="Y582" s="46">
        <v>3.7800000000000003E-4</v>
      </c>
      <c r="Z582" s="21">
        <v>4601004319899</v>
      </c>
    </row>
    <row r="583" spans="1:26" ht="12" customHeight="1" outlineLevel="4" x14ac:dyDescent="0.2">
      <c r="A583" s="40" t="s">
        <v>13976</v>
      </c>
      <c r="B583" s="75" t="s">
        <v>13977</v>
      </c>
      <c r="C583" s="51"/>
      <c r="D583" s="54">
        <f t="shared" si="8"/>
        <v>0</v>
      </c>
      <c r="E583" s="62"/>
      <c r="F583" s="42" t="s">
        <v>39</v>
      </c>
      <c r="G583" s="41" t="s">
        <v>40</v>
      </c>
      <c r="H583" s="41"/>
      <c r="I583" s="41"/>
      <c r="J583" s="43">
        <v>240</v>
      </c>
      <c r="K583" s="41" t="s">
        <v>1094</v>
      </c>
      <c r="L583" s="43">
        <v>1</v>
      </c>
      <c r="M583" s="43">
        <v>1</v>
      </c>
      <c r="N583" s="43">
        <v>1</v>
      </c>
      <c r="O583" s="44">
        <v>1415.99</v>
      </c>
      <c r="P583" s="44">
        <v>1160.6500000000001</v>
      </c>
      <c r="Q583" s="44">
        <v>1260.23</v>
      </c>
      <c r="R583" s="44">
        <v>1032.98</v>
      </c>
      <c r="S583" s="44">
        <v>962.87</v>
      </c>
      <c r="T583" s="44">
        <v>789.24</v>
      </c>
      <c r="U583" s="42"/>
      <c r="V583" s="42"/>
      <c r="W583" s="42" t="s">
        <v>40</v>
      </c>
      <c r="X583" s="45">
        <v>7.6999999999999999E-2</v>
      </c>
      <c r="Y583" s="46">
        <v>8.25E-4</v>
      </c>
      <c r="Z583" s="21">
        <v>4601004319905</v>
      </c>
    </row>
    <row r="584" spans="1:26" ht="12" customHeight="1" outlineLevel="4" x14ac:dyDescent="0.2">
      <c r="A584" s="40" t="s">
        <v>13978</v>
      </c>
      <c r="B584" s="75" t="s">
        <v>13979</v>
      </c>
      <c r="C584" s="51"/>
      <c r="D584" s="54">
        <f t="shared" si="8"/>
        <v>0</v>
      </c>
      <c r="E584" s="62"/>
      <c r="F584" s="42" t="s">
        <v>39</v>
      </c>
      <c r="G584" s="41" t="s">
        <v>40</v>
      </c>
      <c r="H584" s="41"/>
      <c r="I584" s="41"/>
      <c r="J584" s="43">
        <v>60</v>
      </c>
      <c r="K584" s="41"/>
      <c r="L584" s="43">
        <v>1</v>
      </c>
      <c r="M584" s="43">
        <v>1</v>
      </c>
      <c r="N584" s="43">
        <v>1</v>
      </c>
      <c r="O584" s="44">
        <v>1768.45</v>
      </c>
      <c r="P584" s="44">
        <v>1449.55</v>
      </c>
      <c r="Q584" s="44">
        <v>1573.92</v>
      </c>
      <c r="R584" s="44">
        <v>1290.0999999999999</v>
      </c>
      <c r="S584" s="44">
        <v>1202.55</v>
      </c>
      <c r="T584" s="44">
        <v>985.7</v>
      </c>
      <c r="U584" s="42"/>
      <c r="V584" s="42"/>
      <c r="W584" s="42" t="s">
        <v>40</v>
      </c>
      <c r="X584" s="45">
        <v>9.8000000000000004E-2</v>
      </c>
      <c r="Y584" s="46">
        <v>1.23E-3</v>
      </c>
      <c r="Z584" s="21">
        <v>4601004319981</v>
      </c>
    </row>
    <row r="585" spans="1:26" ht="12.95" customHeight="1" outlineLevel="1" x14ac:dyDescent="0.2">
      <c r="A585" s="78" t="s">
        <v>14007</v>
      </c>
      <c r="B585" s="78"/>
      <c r="C585" s="79"/>
      <c r="D585" s="57"/>
      <c r="E585" s="67"/>
      <c r="F585" s="29"/>
      <c r="G585" s="29"/>
      <c r="H585" s="29"/>
      <c r="I585" s="29"/>
      <c r="J585" s="29"/>
      <c r="K585" s="29"/>
      <c r="L585" s="29"/>
      <c r="M585" s="29"/>
      <c r="N585" s="29"/>
      <c r="O585" s="29"/>
      <c r="P585" s="29"/>
      <c r="Q585" s="29"/>
      <c r="R585" s="29"/>
      <c r="S585" s="29"/>
      <c r="T585" s="29"/>
      <c r="U585" s="29"/>
      <c r="V585" s="29"/>
      <c r="W585" s="29"/>
      <c r="X585" s="29"/>
      <c r="Y585" s="29"/>
      <c r="Z585" s="29"/>
    </row>
    <row r="586" spans="1:26" ht="12.95" customHeight="1" outlineLevel="2" x14ac:dyDescent="0.2">
      <c r="A586" s="76" t="s">
        <v>14008</v>
      </c>
      <c r="B586" s="76"/>
      <c r="C586" s="77"/>
      <c r="D586" s="58"/>
      <c r="E586" s="68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 spans="1:26" ht="12" customHeight="1" outlineLevel="3" x14ac:dyDescent="0.2">
      <c r="A587" s="40" t="s">
        <v>14009</v>
      </c>
      <c r="B587" s="75" t="s">
        <v>14010</v>
      </c>
      <c r="C587" s="51"/>
      <c r="D587" s="54">
        <f t="shared" ref="D587:D650" si="9">C587*(O587-O587*$G$3)</f>
        <v>0</v>
      </c>
      <c r="E587" s="62"/>
      <c r="F587" s="42" t="s">
        <v>1767</v>
      </c>
      <c r="G587" s="41" t="s">
        <v>40</v>
      </c>
      <c r="H587" s="41"/>
      <c r="I587" s="41"/>
      <c r="J587" s="47">
        <v>10000</v>
      </c>
      <c r="K587" s="41"/>
      <c r="L587" s="43">
        <v>1</v>
      </c>
      <c r="M587" s="47">
        <v>2000</v>
      </c>
      <c r="N587" s="43">
        <v>1</v>
      </c>
      <c r="O587" s="44">
        <v>216.71</v>
      </c>
      <c r="P587" s="44">
        <v>177.63</v>
      </c>
      <c r="Q587" s="44">
        <v>192.87</v>
      </c>
      <c r="R587" s="44">
        <v>158.09</v>
      </c>
      <c r="S587" s="44">
        <v>147.36000000000001</v>
      </c>
      <c r="T587" s="44">
        <v>120.79</v>
      </c>
      <c r="U587" s="42"/>
      <c r="V587" s="42"/>
      <c r="W587" s="42" t="s">
        <v>40</v>
      </c>
      <c r="X587" s="45">
        <v>0.08</v>
      </c>
      <c r="Y587" s="46">
        <v>1.95E-4</v>
      </c>
      <c r="Z587" s="21">
        <v>4601004356542</v>
      </c>
    </row>
    <row r="588" spans="1:26" ht="12" customHeight="1" outlineLevel="3" x14ac:dyDescent="0.2">
      <c r="A588" s="40" t="s">
        <v>14011</v>
      </c>
      <c r="B588" s="75" t="s">
        <v>14012</v>
      </c>
      <c r="C588" s="51"/>
      <c r="D588" s="54">
        <f t="shared" si="9"/>
        <v>0</v>
      </c>
      <c r="E588" s="62"/>
      <c r="F588" s="42" t="s">
        <v>1767</v>
      </c>
      <c r="G588" s="41" t="s">
        <v>40</v>
      </c>
      <c r="H588" s="41"/>
      <c r="I588" s="41"/>
      <c r="J588" s="47">
        <v>2000</v>
      </c>
      <c r="K588" s="41"/>
      <c r="L588" s="43">
        <v>1</v>
      </c>
      <c r="M588" s="47">
        <v>2000</v>
      </c>
      <c r="N588" s="43">
        <v>1</v>
      </c>
      <c r="O588" s="44">
        <v>97.52</v>
      </c>
      <c r="P588" s="44">
        <v>79.930000000000007</v>
      </c>
      <c r="Q588" s="44">
        <v>86.79</v>
      </c>
      <c r="R588" s="44">
        <v>71.14</v>
      </c>
      <c r="S588" s="44">
        <v>66.31</v>
      </c>
      <c r="T588" s="44">
        <v>54.35</v>
      </c>
      <c r="U588" s="42"/>
      <c r="V588" s="42"/>
      <c r="W588" s="42" t="s">
        <v>40</v>
      </c>
      <c r="X588" s="45">
        <v>4.2000000000000003E-2</v>
      </c>
      <c r="Y588" s="46">
        <v>2.1900000000000001E-4</v>
      </c>
      <c r="Z588" s="21">
        <v>4601004356481</v>
      </c>
    </row>
    <row r="589" spans="1:26" ht="12" customHeight="1" outlineLevel="3" x14ac:dyDescent="0.2">
      <c r="A589" s="40" t="s">
        <v>14013</v>
      </c>
      <c r="B589" s="75" t="s">
        <v>14014</v>
      </c>
      <c r="C589" s="51"/>
      <c r="D589" s="54">
        <f t="shared" si="9"/>
        <v>0</v>
      </c>
      <c r="E589" s="62"/>
      <c r="F589" s="42" t="s">
        <v>1767</v>
      </c>
      <c r="G589" s="41" t="s">
        <v>40</v>
      </c>
      <c r="H589" s="41"/>
      <c r="I589" s="41"/>
      <c r="J589" s="47">
        <v>1000</v>
      </c>
      <c r="K589" s="41"/>
      <c r="L589" s="43">
        <v>1</v>
      </c>
      <c r="M589" s="47">
        <v>2000</v>
      </c>
      <c r="N589" s="43">
        <v>1</v>
      </c>
      <c r="O589" s="44">
        <v>104.66</v>
      </c>
      <c r="P589" s="44">
        <v>85.79</v>
      </c>
      <c r="Q589" s="44">
        <v>93.15</v>
      </c>
      <c r="R589" s="44">
        <v>76.349999999999994</v>
      </c>
      <c r="S589" s="44">
        <v>71.17</v>
      </c>
      <c r="T589" s="44">
        <v>58.34</v>
      </c>
      <c r="U589" s="42"/>
      <c r="V589" s="42"/>
      <c r="W589" s="42" t="s">
        <v>40</v>
      </c>
      <c r="X589" s="45">
        <v>4.2000000000000003E-2</v>
      </c>
      <c r="Y589" s="46">
        <v>2.24E-4</v>
      </c>
      <c r="Z589" s="21">
        <v>4601004356566</v>
      </c>
    </row>
    <row r="590" spans="1:26" ht="12" customHeight="1" outlineLevel="3" x14ac:dyDescent="0.2">
      <c r="A590" s="40" t="s">
        <v>14015</v>
      </c>
      <c r="B590" s="75" t="s">
        <v>14016</v>
      </c>
      <c r="C590" s="51"/>
      <c r="D590" s="54">
        <f t="shared" si="9"/>
        <v>0</v>
      </c>
      <c r="E590" s="62"/>
      <c r="F590" s="42" t="s">
        <v>1767</v>
      </c>
      <c r="G590" s="41" t="s">
        <v>40</v>
      </c>
      <c r="H590" s="41"/>
      <c r="I590" s="41"/>
      <c r="J590" s="47">
        <v>2000</v>
      </c>
      <c r="K590" s="41"/>
      <c r="L590" s="43">
        <v>1</v>
      </c>
      <c r="M590" s="47">
        <v>2000</v>
      </c>
      <c r="N590" s="43">
        <v>1</v>
      </c>
      <c r="O590" s="44">
        <v>143.91</v>
      </c>
      <c r="P590" s="44">
        <v>117.96</v>
      </c>
      <c r="Q590" s="44">
        <v>128.08000000000001</v>
      </c>
      <c r="R590" s="44">
        <v>104.98</v>
      </c>
      <c r="S590" s="44">
        <v>97.86</v>
      </c>
      <c r="T590" s="44">
        <v>80.209999999999994</v>
      </c>
      <c r="U590" s="42"/>
      <c r="V590" s="42"/>
      <c r="W590" s="42" t="s">
        <v>40</v>
      </c>
      <c r="X590" s="45">
        <v>4.1000000000000002E-2</v>
      </c>
      <c r="Y590" s="46">
        <v>2.1699999999999999E-4</v>
      </c>
      <c r="Z590" s="21">
        <v>4601004356528</v>
      </c>
    </row>
    <row r="591" spans="1:26" ht="12" customHeight="1" outlineLevel="3" x14ac:dyDescent="0.2">
      <c r="A591" s="40" t="s">
        <v>14017</v>
      </c>
      <c r="B591" s="75" t="s">
        <v>14018</v>
      </c>
      <c r="C591" s="51"/>
      <c r="D591" s="54">
        <f t="shared" si="9"/>
        <v>0</v>
      </c>
      <c r="E591" s="62"/>
      <c r="F591" s="42" t="s">
        <v>1767</v>
      </c>
      <c r="G591" s="41" t="s">
        <v>40</v>
      </c>
      <c r="H591" s="41"/>
      <c r="I591" s="41"/>
      <c r="J591" s="47">
        <v>2000</v>
      </c>
      <c r="K591" s="41"/>
      <c r="L591" s="43">
        <v>1</v>
      </c>
      <c r="M591" s="47">
        <v>2000</v>
      </c>
      <c r="N591" s="43">
        <v>1</v>
      </c>
      <c r="O591" s="44">
        <v>164.08</v>
      </c>
      <c r="P591" s="44">
        <v>134.49</v>
      </c>
      <c r="Q591" s="44">
        <v>146.03</v>
      </c>
      <c r="R591" s="44">
        <v>119.7</v>
      </c>
      <c r="S591" s="44">
        <v>111.57</v>
      </c>
      <c r="T591" s="44">
        <v>91.45</v>
      </c>
      <c r="U591" s="42"/>
      <c r="V591" s="42"/>
      <c r="W591" s="42" t="s">
        <v>40</v>
      </c>
      <c r="X591" s="45">
        <v>4.2000000000000003E-2</v>
      </c>
      <c r="Y591" s="46">
        <v>2.1900000000000001E-4</v>
      </c>
      <c r="Z591" s="21">
        <v>4601004356603</v>
      </c>
    </row>
    <row r="592" spans="1:26" ht="12" customHeight="1" outlineLevel="3" x14ac:dyDescent="0.2">
      <c r="A592" s="40" t="s">
        <v>14019</v>
      </c>
      <c r="B592" s="75" t="s">
        <v>14020</v>
      </c>
      <c r="C592" s="51"/>
      <c r="D592" s="54">
        <f t="shared" si="9"/>
        <v>0</v>
      </c>
      <c r="E592" s="62"/>
      <c r="F592" s="42" t="s">
        <v>1767</v>
      </c>
      <c r="G592" s="41" t="s">
        <v>40</v>
      </c>
      <c r="H592" s="41"/>
      <c r="I592" s="41"/>
      <c r="J592" s="47">
        <v>2000</v>
      </c>
      <c r="K592" s="41"/>
      <c r="L592" s="43">
        <v>1</v>
      </c>
      <c r="M592" s="47">
        <v>2000</v>
      </c>
      <c r="N592" s="43">
        <v>1</v>
      </c>
      <c r="O592" s="44">
        <v>121.41</v>
      </c>
      <c r="P592" s="44">
        <v>99.52</v>
      </c>
      <c r="Q592" s="44">
        <v>108.05</v>
      </c>
      <c r="R592" s="44">
        <v>88.57</v>
      </c>
      <c r="S592" s="44">
        <v>82.56</v>
      </c>
      <c r="T592" s="44">
        <v>67.67</v>
      </c>
      <c r="U592" s="42"/>
      <c r="V592" s="42"/>
      <c r="W592" s="42" t="s">
        <v>40</v>
      </c>
      <c r="X592" s="45">
        <v>5.2999999999999999E-2</v>
      </c>
      <c r="Y592" s="46">
        <v>2.1900000000000001E-4</v>
      </c>
      <c r="Z592" s="21">
        <v>4601004356498</v>
      </c>
    </row>
    <row r="593" spans="1:26" ht="12" customHeight="1" outlineLevel="3" x14ac:dyDescent="0.2">
      <c r="A593" s="40" t="s">
        <v>14021</v>
      </c>
      <c r="B593" s="75" t="s">
        <v>14022</v>
      </c>
      <c r="C593" s="51"/>
      <c r="D593" s="54">
        <f t="shared" si="9"/>
        <v>0</v>
      </c>
      <c r="E593" s="62"/>
      <c r="F593" s="42" t="s">
        <v>1767</v>
      </c>
      <c r="G593" s="41" t="s">
        <v>40</v>
      </c>
      <c r="H593" s="41"/>
      <c r="I593" s="41"/>
      <c r="J593" s="47">
        <v>10000</v>
      </c>
      <c r="K593" s="41"/>
      <c r="L593" s="43">
        <v>1</v>
      </c>
      <c r="M593" s="47">
        <v>2000</v>
      </c>
      <c r="N593" s="43">
        <v>1</v>
      </c>
      <c r="O593" s="44">
        <v>130.02000000000001</v>
      </c>
      <c r="P593" s="44">
        <v>106.57</v>
      </c>
      <c r="Q593" s="44">
        <v>115.72</v>
      </c>
      <c r="R593" s="44">
        <v>94.85</v>
      </c>
      <c r="S593" s="44">
        <v>88.41</v>
      </c>
      <c r="T593" s="44">
        <v>72.47</v>
      </c>
      <c r="U593" s="42"/>
      <c r="V593" s="42"/>
      <c r="W593" s="42" t="s">
        <v>40</v>
      </c>
      <c r="X593" s="45">
        <v>5.2999999999999999E-2</v>
      </c>
      <c r="Y593" s="46">
        <v>2.24E-4</v>
      </c>
      <c r="Z593" s="21">
        <v>4601004356573</v>
      </c>
    </row>
    <row r="594" spans="1:26" ht="12" customHeight="1" outlineLevel="3" x14ac:dyDescent="0.2">
      <c r="A594" s="40" t="s">
        <v>14023</v>
      </c>
      <c r="B594" s="75" t="s">
        <v>14024</v>
      </c>
      <c r="C594" s="51"/>
      <c r="D594" s="54">
        <f t="shared" si="9"/>
        <v>0</v>
      </c>
      <c r="E594" s="62"/>
      <c r="F594" s="42" t="s">
        <v>1767</v>
      </c>
      <c r="G594" s="41" t="s">
        <v>40</v>
      </c>
      <c r="H594" s="41"/>
      <c r="I594" s="41"/>
      <c r="J594" s="47">
        <v>2000</v>
      </c>
      <c r="K594" s="41"/>
      <c r="L594" s="43">
        <v>1</v>
      </c>
      <c r="M594" s="47">
        <v>2000</v>
      </c>
      <c r="N594" s="43">
        <v>1</v>
      </c>
      <c r="O594" s="44">
        <v>284.23</v>
      </c>
      <c r="P594" s="44">
        <v>232.98</v>
      </c>
      <c r="Q594" s="44">
        <v>252.96</v>
      </c>
      <c r="R594" s="44">
        <v>207.34</v>
      </c>
      <c r="S594" s="44">
        <v>193.28</v>
      </c>
      <c r="T594" s="44">
        <v>158.43</v>
      </c>
      <c r="U594" s="42"/>
      <c r="V594" s="42"/>
      <c r="W594" s="42" t="s">
        <v>40</v>
      </c>
      <c r="X594" s="45">
        <v>5.5E-2</v>
      </c>
      <c r="Y594" s="46">
        <v>2.1900000000000001E-4</v>
      </c>
      <c r="Z594" s="21">
        <v>4601004356535</v>
      </c>
    </row>
    <row r="595" spans="1:26" ht="12" customHeight="1" outlineLevel="3" x14ac:dyDescent="0.2">
      <c r="A595" s="40" t="s">
        <v>14025</v>
      </c>
      <c r="B595" s="75" t="s">
        <v>14026</v>
      </c>
      <c r="C595" s="51"/>
      <c r="D595" s="54">
        <f t="shared" si="9"/>
        <v>0</v>
      </c>
      <c r="E595" s="62"/>
      <c r="F595" s="42" t="s">
        <v>1767</v>
      </c>
      <c r="G595" s="41" t="s">
        <v>40</v>
      </c>
      <c r="H595" s="41"/>
      <c r="I595" s="41"/>
      <c r="J595" s="47">
        <v>2000</v>
      </c>
      <c r="K595" s="41"/>
      <c r="L595" s="43">
        <v>1</v>
      </c>
      <c r="M595" s="47">
        <v>2000</v>
      </c>
      <c r="N595" s="43">
        <v>1</v>
      </c>
      <c r="O595" s="44">
        <v>322.60000000000002</v>
      </c>
      <c r="P595" s="44">
        <v>264.43</v>
      </c>
      <c r="Q595" s="44">
        <v>287.11</v>
      </c>
      <c r="R595" s="44">
        <v>235.34</v>
      </c>
      <c r="S595" s="44">
        <v>219.37</v>
      </c>
      <c r="T595" s="44">
        <v>179.81</v>
      </c>
      <c r="U595" s="42"/>
      <c r="V595" s="42"/>
      <c r="W595" s="42" t="s">
        <v>40</v>
      </c>
      <c r="X595" s="45">
        <v>5.3999999999999999E-2</v>
      </c>
      <c r="Y595" s="46">
        <v>2.1699999999999999E-4</v>
      </c>
      <c r="Z595" s="21">
        <v>4601004356610</v>
      </c>
    </row>
    <row r="596" spans="1:26" ht="12.95" customHeight="1" outlineLevel="1" x14ac:dyDescent="0.2">
      <c r="A596" s="78" t="s">
        <v>14027</v>
      </c>
      <c r="B596" s="78"/>
      <c r="C596" s="79"/>
      <c r="D596" s="57"/>
      <c r="E596" s="67"/>
      <c r="F596" s="29"/>
      <c r="G596" s="29"/>
      <c r="H596" s="29"/>
      <c r="I596" s="29"/>
      <c r="J596" s="29"/>
      <c r="K596" s="29"/>
      <c r="L596" s="29"/>
      <c r="M596" s="29"/>
      <c r="N596" s="29"/>
      <c r="O596" s="29"/>
      <c r="P596" s="29"/>
      <c r="Q596" s="29"/>
      <c r="R596" s="29"/>
      <c r="S596" s="29"/>
      <c r="T596" s="29"/>
      <c r="U596" s="29"/>
      <c r="V596" s="29"/>
      <c r="W596" s="29"/>
      <c r="X596" s="29"/>
      <c r="Y596" s="29"/>
      <c r="Z596" s="29"/>
    </row>
    <row r="597" spans="1:26" ht="12" customHeight="1" outlineLevel="2" x14ac:dyDescent="0.2">
      <c r="A597" s="40" t="s">
        <v>14028</v>
      </c>
      <c r="B597" s="75" t="s">
        <v>14029</v>
      </c>
      <c r="C597" s="51"/>
      <c r="D597" s="54">
        <f t="shared" si="9"/>
        <v>0</v>
      </c>
      <c r="E597" s="62"/>
      <c r="F597" s="42" t="s">
        <v>39</v>
      </c>
      <c r="G597" s="41" t="s">
        <v>40</v>
      </c>
      <c r="H597" s="41"/>
      <c r="I597" s="41"/>
      <c r="J597" s="42" t="s">
        <v>100</v>
      </c>
      <c r="K597" s="41" t="s">
        <v>1094</v>
      </c>
      <c r="L597" s="43">
        <v>1</v>
      </c>
      <c r="M597" s="43">
        <v>500</v>
      </c>
      <c r="N597" s="43">
        <v>1</v>
      </c>
      <c r="O597" s="44">
        <v>157.69</v>
      </c>
      <c r="P597" s="44">
        <v>129.25</v>
      </c>
      <c r="Q597" s="44">
        <v>140.34</v>
      </c>
      <c r="R597" s="44">
        <v>115.03</v>
      </c>
      <c r="S597" s="44">
        <v>107.23</v>
      </c>
      <c r="T597" s="44">
        <v>87.89</v>
      </c>
      <c r="U597" s="42"/>
      <c r="V597" s="42"/>
      <c r="W597" s="42" t="s">
        <v>40</v>
      </c>
      <c r="X597" s="49"/>
      <c r="Y597" s="49"/>
      <c r="Z597" s="21">
        <v>4601004356115</v>
      </c>
    </row>
    <row r="598" spans="1:26" ht="12" customHeight="1" outlineLevel="2" x14ac:dyDescent="0.2">
      <c r="A598" s="40" t="s">
        <v>14030</v>
      </c>
      <c r="B598" s="75" t="s">
        <v>14031</v>
      </c>
      <c r="C598" s="51"/>
      <c r="D598" s="54">
        <f t="shared" si="9"/>
        <v>0</v>
      </c>
      <c r="E598" s="62"/>
      <c r="F598" s="42" t="s">
        <v>39</v>
      </c>
      <c r="G598" s="41" t="s">
        <v>40</v>
      </c>
      <c r="H598" s="41"/>
      <c r="I598" s="41"/>
      <c r="J598" s="42" t="s">
        <v>100</v>
      </c>
      <c r="K598" s="41" t="s">
        <v>1094</v>
      </c>
      <c r="L598" s="43">
        <v>1</v>
      </c>
      <c r="M598" s="43">
        <v>500</v>
      </c>
      <c r="N598" s="43">
        <v>1</v>
      </c>
      <c r="O598" s="44">
        <v>165.13</v>
      </c>
      <c r="P598" s="44">
        <v>135.35</v>
      </c>
      <c r="Q598" s="44">
        <v>146.97</v>
      </c>
      <c r="R598" s="44">
        <v>120.47</v>
      </c>
      <c r="S598" s="44">
        <v>112.29</v>
      </c>
      <c r="T598" s="44">
        <v>92.04</v>
      </c>
      <c r="U598" s="42"/>
      <c r="V598" s="42"/>
      <c r="W598" s="42" t="s">
        <v>40</v>
      </c>
      <c r="X598" s="49"/>
      <c r="Y598" s="49"/>
      <c r="Z598" s="21">
        <v>4601004356139</v>
      </c>
    </row>
    <row r="599" spans="1:26" ht="12" customHeight="1" outlineLevel="2" x14ac:dyDescent="0.2">
      <c r="A599" s="40" t="s">
        <v>14032</v>
      </c>
      <c r="B599" s="75" t="s">
        <v>14033</v>
      </c>
      <c r="C599" s="51"/>
      <c r="D599" s="54">
        <f t="shared" si="9"/>
        <v>0</v>
      </c>
      <c r="E599" s="62"/>
      <c r="F599" s="42" t="s">
        <v>39</v>
      </c>
      <c r="G599" s="41" t="s">
        <v>40</v>
      </c>
      <c r="H599" s="41"/>
      <c r="I599" s="41"/>
      <c r="J599" s="42" t="s">
        <v>100</v>
      </c>
      <c r="K599" s="41" t="s">
        <v>1094</v>
      </c>
      <c r="L599" s="43">
        <v>1</v>
      </c>
      <c r="M599" s="43">
        <v>500</v>
      </c>
      <c r="N599" s="43">
        <v>1</v>
      </c>
      <c r="O599" s="44">
        <v>163.08000000000001</v>
      </c>
      <c r="P599" s="44">
        <v>133.66999999999999</v>
      </c>
      <c r="Q599" s="44">
        <v>145.13999999999999</v>
      </c>
      <c r="R599" s="44">
        <v>118.97</v>
      </c>
      <c r="S599" s="44">
        <v>110.89</v>
      </c>
      <c r="T599" s="44">
        <v>90.89</v>
      </c>
      <c r="U599" s="42"/>
      <c r="V599" s="42"/>
      <c r="W599" s="42" t="s">
        <v>40</v>
      </c>
      <c r="X599" s="49"/>
      <c r="Y599" s="49"/>
      <c r="Z599" s="21">
        <v>4601004356146</v>
      </c>
    </row>
    <row r="600" spans="1:26" ht="12" customHeight="1" outlineLevel="2" x14ac:dyDescent="0.2">
      <c r="A600" s="40" t="s">
        <v>14034</v>
      </c>
      <c r="B600" s="75" t="s">
        <v>14035</v>
      </c>
      <c r="C600" s="51"/>
      <c r="D600" s="54">
        <f t="shared" si="9"/>
        <v>0</v>
      </c>
      <c r="E600" s="62"/>
      <c r="F600" s="42" t="s">
        <v>39</v>
      </c>
      <c r="G600" s="41" t="s">
        <v>40</v>
      </c>
      <c r="H600" s="41"/>
      <c r="I600" s="41"/>
      <c r="J600" s="42" t="s">
        <v>100</v>
      </c>
      <c r="K600" s="41" t="s">
        <v>1094</v>
      </c>
      <c r="L600" s="43">
        <v>1</v>
      </c>
      <c r="M600" s="43">
        <v>500</v>
      </c>
      <c r="N600" s="43">
        <v>1</v>
      </c>
      <c r="O600" s="44">
        <v>167.15</v>
      </c>
      <c r="P600" s="44">
        <v>137.01</v>
      </c>
      <c r="Q600" s="44">
        <v>148.76</v>
      </c>
      <c r="R600" s="44">
        <v>121.93</v>
      </c>
      <c r="S600" s="44">
        <v>113.66</v>
      </c>
      <c r="T600" s="44">
        <v>93.16</v>
      </c>
      <c r="U600" s="42"/>
      <c r="V600" s="42"/>
      <c r="W600" s="42" t="s">
        <v>40</v>
      </c>
      <c r="X600" s="49"/>
      <c r="Y600" s="49"/>
      <c r="Z600" s="21">
        <v>4601004356153</v>
      </c>
    </row>
    <row r="601" spans="1:26" ht="12" customHeight="1" outlineLevel="2" x14ac:dyDescent="0.2">
      <c r="A601" s="40" t="s">
        <v>14036</v>
      </c>
      <c r="B601" s="75" t="s">
        <v>14037</v>
      </c>
      <c r="C601" s="51"/>
      <c r="D601" s="54">
        <f t="shared" si="9"/>
        <v>0</v>
      </c>
      <c r="E601" s="62"/>
      <c r="F601" s="42" t="s">
        <v>39</v>
      </c>
      <c r="G601" s="41" t="s">
        <v>40</v>
      </c>
      <c r="H601" s="41"/>
      <c r="I601" s="41"/>
      <c r="J601" s="42" t="s">
        <v>100</v>
      </c>
      <c r="K601" s="41" t="s">
        <v>1094</v>
      </c>
      <c r="L601" s="43">
        <v>1</v>
      </c>
      <c r="M601" s="43">
        <v>500</v>
      </c>
      <c r="N601" s="43">
        <v>1</v>
      </c>
      <c r="O601" s="44">
        <v>163.08000000000001</v>
      </c>
      <c r="P601" s="44">
        <v>133.66999999999999</v>
      </c>
      <c r="Q601" s="44">
        <v>145.13999999999999</v>
      </c>
      <c r="R601" s="44">
        <v>118.97</v>
      </c>
      <c r="S601" s="44">
        <v>110.89</v>
      </c>
      <c r="T601" s="44">
        <v>90.89</v>
      </c>
      <c r="U601" s="42"/>
      <c r="V601" s="42"/>
      <c r="W601" s="42" t="s">
        <v>40</v>
      </c>
      <c r="X601" s="49"/>
      <c r="Y601" s="49"/>
      <c r="Z601" s="21">
        <v>4601004356160</v>
      </c>
    </row>
    <row r="602" spans="1:26" ht="12" customHeight="1" outlineLevel="2" x14ac:dyDescent="0.2">
      <c r="A602" s="40" t="s">
        <v>14038</v>
      </c>
      <c r="B602" s="75" t="s">
        <v>14039</v>
      </c>
      <c r="C602" s="51"/>
      <c r="D602" s="54">
        <f t="shared" si="9"/>
        <v>0</v>
      </c>
      <c r="E602" s="62"/>
      <c r="F602" s="42" t="s">
        <v>39</v>
      </c>
      <c r="G602" s="41" t="s">
        <v>40</v>
      </c>
      <c r="H602" s="41"/>
      <c r="I602" s="41"/>
      <c r="J602" s="42" t="s">
        <v>100</v>
      </c>
      <c r="K602" s="41" t="s">
        <v>1094</v>
      </c>
      <c r="L602" s="43">
        <v>1</v>
      </c>
      <c r="M602" s="43">
        <v>500</v>
      </c>
      <c r="N602" s="43">
        <v>1</v>
      </c>
      <c r="O602" s="44">
        <v>167.31</v>
      </c>
      <c r="P602" s="44">
        <v>137.13999999999999</v>
      </c>
      <c r="Q602" s="44">
        <v>148.91</v>
      </c>
      <c r="R602" s="44">
        <v>122.06</v>
      </c>
      <c r="S602" s="44">
        <v>113.77</v>
      </c>
      <c r="T602" s="44">
        <v>93.25</v>
      </c>
      <c r="U602" s="42"/>
      <c r="V602" s="42"/>
      <c r="W602" s="42" t="s">
        <v>40</v>
      </c>
      <c r="X602" s="49"/>
      <c r="Y602" s="49"/>
      <c r="Z602" s="21">
        <v>4601004356177</v>
      </c>
    </row>
    <row r="603" spans="1:26" ht="12.95" customHeight="1" outlineLevel="1" x14ac:dyDescent="0.2">
      <c r="A603" s="78" t="s">
        <v>14040</v>
      </c>
      <c r="B603" s="78"/>
      <c r="C603" s="79"/>
      <c r="D603" s="57"/>
      <c r="E603" s="67"/>
      <c r="F603" s="29"/>
      <c r="G603" s="29"/>
      <c r="H603" s="29"/>
      <c r="I603" s="29"/>
      <c r="J603" s="29"/>
      <c r="K603" s="29"/>
      <c r="L603" s="29"/>
      <c r="M603" s="29"/>
      <c r="N603" s="29"/>
      <c r="O603" s="29"/>
      <c r="P603" s="29"/>
      <c r="Q603" s="29"/>
      <c r="R603" s="29"/>
      <c r="S603" s="29"/>
      <c r="T603" s="29"/>
      <c r="U603" s="29"/>
      <c r="V603" s="29"/>
      <c r="W603" s="29"/>
      <c r="X603" s="29"/>
      <c r="Y603" s="29"/>
      <c r="Z603" s="29"/>
    </row>
    <row r="604" spans="1:26" ht="12" customHeight="1" outlineLevel="2" x14ac:dyDescent="0.2">
      <c r="A604" s="40" t="s">
        <v>14041</v>
      </c>
      <c r="B604" s="75" t="s">
        <v>14042</v>
      </c>
      <c r="C604" s="51"/>
      <c r="D604" s="54">
        <f t="shared" si="9"/>
        <v>0</v>
      </c>
      <c r="E604" s="62"/>
      <c r="F604" s="42" t="s">
        <v>39</v>
      </c>
      <c r="G604" s="41" t="s">
        <v>40</v>
      </c>
      <c r="H604" s="41"/>
      <c r="I604" s="41"/>
      <c r="J604" s="42" t="s">
        <v>100</v>
      </c>
      <c r="K604" s="41" t="s">
        <v>1094</v>
      </c>
      <c r="L604" s="43">
        <v>1</v>
      </c>
      <c r="M604" s="43">
        <v>500</v>
      </c>
      <c r="N604" s="43">
        <v>1</v>
      </c>
      <c r="O604" s="44">
        <v>193.65</v>
      </c>
      <c r="P604" s="44">
        <v>158.72999999999999</v>
      </c>
      <c r="Q604" s="44">
        <v>172.35</v>
      </c>
      <c r="R604" s="44">
        <v>141.27000000000001</v>
      </c>
      <c r="S604" s="44">
        <v>131.68</v>
      </c>
      <c r="T604" s="44">
        <v>107.93</v>
      </c>
      <c r="U604" s="42"/>
      <c r="V604" s="42"/>
      <c r="W604" s="42" t="s">
        <v>40</v>
      </c>
      <c r="X604" s="49"/>
      <c r="Y604" s="49"/>
      <c r="Z604" s="21">
        <v>4601004356184</v>
      </c>
    </row>
    <row r="605" spans="1:26" ht="12" customHeight="1" outlineLevel="2" x14ac:dyDescent="0.2">
      <c r="A605" s="40" t="s">
        <v>14043</v>
      </c>
      <c r="B605" s="75" t="s">
        <v>14044</v>
      </c>
      <c r="C605" s="51"/>
      <c r="D605" s="54">
        <f t="shared" si="9"/>
        <v>0</v>
      </c>
      <c r="E605" s="62"/>
      <c r="F605" s="42" t="s">
        <v>39</v>
      </c>
      <c r="G605" s="41" t="s">
        <v>40</v>
      </c>
      <c r="H605" s="41"/>
      <c r="I605" s="41"/>
      <c r="J605" s="43">
        <v>150</v>
      </c>
      <c r="K605" s="41" t="s">
        <v>1094</v>
      </c>
      <c r="L605" s="43">
        <v>1</v>
      </c>
      <c r="M605" s="43">
        <v>500</v>
      </c>
      <c r="N605" s="43">
        <v>1</v>
      </c>
      <c r="O605" s="44">
        <v>179.38</v>
      </c>
      <c r="P605" s="44">
        <v>147.03</v>
      </c>
      <c r="Q605" s="44">
        <v>159.65</v>
      </c>
      <c r="R605" s="44">
        <v>130.86000000000001</v>
      </c>
      <c r="S605" s="44">
        <v>121.98</v>
      </c>
      <c r="T605" s="44">
        <v>99.98</v>
      </c>
      <c r="U605" s="42"/>
      <c r="V605" s="42"/>
      <c r="W605" s="42" t="s">
        <v>40</v>
      </c>
      <c r="X605" s="49"/>
      <c r="Y605" s="49"/>
      <c r="Z605" s="21">
        <v>4601004356191</v>
      </c>
    </row>
    <row r="606" spans="1:26" ht="12" customHeight="1" outlineLevel="2" x14ac:dyDescent="0.2">
      <c r="A606" s="40" t="s">
        <v>14045</v>
      </c>
      <c r="B606" s="75" t="s">
        <v>14046</v>
      </c>
      <c r="C606" s="51"/>
      <c r="D606" s="54">
        <f t="shared" si="9"/>
        <v>0</v>
      </c>
      <c r="E606" s="62"/>
      <c r="F606" s="42" t="s">
        <v>39</v>
      </c>
      <c r="G606" s="41" t="s">
        <v>40</v>
      </c>
      <c r="H606" s="41"/>
      <c r="I606" s="41"/>
      <c r="J606" s="42" t="s">
        <v>100</v>
      </c>
      <c r="K606" s="41" t="s">
        <v>1094</v>
      </c>
      <c r="L606" s="43">
        <v>1</v>
      </c>
      <c r="M606" s="43">
        <v>500</v>
      </c>
      <c r="N606" s="43">
        <v>1</v>
      </c>
      <c r="O606" s="44">
        <v>179.38</v>
      </c>
      <c r="P606" s="44">
        <v>147.03</v>
      </c>
      <c r="Q606" s="44">
        <v>159.65</v>
      </c>
      <c r="R606" s="44">
        <v>130.86000000000001</v>
      </c>
      <c r="S606" s="44">
        <v>121.98</v>
      </c>
      <c r="T606" s="44">
        <v>99.98</v>
      </c>
      <c r="U606" s="42"/>
      <c r="V606" s="42"/>
      <c r="W606" s="42" t="s">
        <v>40</v>
      </c>
      <c r="X606" s="49"/>
      <c r="Y606" s="49"/>
      <c r="Z606" s="21">
        <v>4601004356207</v>
      </c>
    </row>
    <row r="607" spans="1:26" ht="12" customHeight="1" outlineLevel="2" x14ac:dyDescent="0.2">
      <c r="A607" s="40" t="s">
        <v>14047</v>
      </c>
      <c r="B607" s="75" t="s">
        <v>14048</v>
      </c>
      <c r="C607" s="51"/>
      <c r="D607" s="54">
        <f t="shared" si="9"/>
        <v>0</v>
      </c>
      <c r="E607" s="62"/>
      <c r="F607" s="42" t="s">
        <v>39</v>
      </c>
      <c r="G607" s="41" t="s">
        <v>40</v>
      </c>
      <c r="H607" s="41"/>
      <c r="I607" s="41"/>
      <c r="J607" s="43">
        <v>150</v>
      </c>
      <c r="K607" s="41" t="s">
        <v>1094</v>
      </c>
      <c r="L607" s="43">
        <v>1</v>
      </c>
      <c r="M607" s="43">
        <v>500</v>
      </c>
      <c r="N607" s="43">
        <v>1</v>
      </c>
      <c r="O607" s="44">
        <v>267.12</v>
      </c>
      <c r="P607" s="44">
        <v>218.95</v>
      </c>
      <c r="Q607" s="44">
        <v>237.74</v>
      </c>
      <c r="R607" s="44">
        <v>194.87</v>
      </c>
      <c r="S607" s="44">
        <v>181.64</v>
      </c>
      <c r="T607" s="44">
        <v>148.88999999999999</v>
      </c>
      <c r="U607" s="42"/>
      <c r="V607" s="42"/>
      <c r="W607" s="42" t="s">
        <v>40</v>
      </c>
      <c r="X607" s="45">
        <v>1.0999999999999999E-2</v>
      </c>
      <c r="Y607" s="46">
        <v>4.3000000000000002E-5</v>
      </c>
      <c r="Z607" s="21">
        <v>4601004356221</v>
      </c>
    </row>
    <row r="608" spans="1:26" ht="12" customHeight="1" outlineLevel="2" x14ac:dyDescent="0.2">
      <c r="A608" s="40" t="s">
        <v>14049</v>
      </c>
      <c r="B608" s="75" t="s">
        <v>14050</v>
      </c>
      <c r="C608" s="51"/>
      <c r="D608" s="54">
        <f t="shared" si="9"/>
        <v>0</v>
      </c>
      <c r="E608" s="62"/>
      <c r="F608" s="42" t="s">
        <v>39</v>
      </c>
      <c r="G608" s="41" t="s">
        <v>40</v>
      </c>
      <c r="H608" s="41"/>
      <c r="I608" s="41"/>
      <c r="J608" s="43">
        <v>10</v>
      </c>
      <c r="K608" s="41" t="s">
        <v>1094</v>
      </c>
      <c r="L608" s="43">
        <v>1</v>
      </c>
      <c r="M608" s="43">
        <v>500</v>
      </c>
      <c r="N608" s="43">
        <v>1</v>
      </c>
      <c r="O608" s="44">
        <v>267.12</v>
      </c>
      <c r="P608" s="44">
        <v>218.95</v>
      </c>
      <c r="Q608" s="44">
        <v>237.74</v>
      </c>
      <c r="R608" s="44">
        <v>194.87</v>
      </c>
      <c r="S608" s="44">
        <v>181.64</v>
      </c>
      <c r="T608" s="44">
        <v>148.88999999999999</v>
      </c>
      <c r="U608" s="42"/>
      <c r="V608" s="42"/>
      <c r="W608" s="42" t="s">
        <v>40</v>
      </c>
      <c r="X608" s="45">
        <v>1.0999999999999999E-2</v>
      </c>
      <c r="Y608" s="46">
        <v>6.2000000000000003E-5</v>
      </c>
      <c r="Z608" s="21">
        <v>4601004356238</v>
      </c>
    </row>
    <row r="609" spans="1:26" ht="12.95" customHeight="1" outlineLevel="1" x14ac:dyDescent="0.2">
      <c r="A609" s="78" t="s">
        <v>14051</v>
      </c>
      <c r="B609" s="78"/>
      <c r="C609" s="79"/>
      <c r="D609" s="57"/>
      <c r="E609" s="67"/>
      <c r="F609" s="29"/>
      <c r="G609" s="29"/>
      <c r="H609" s="29"/>
      <c r="I609" s="29"/>
      <c r="J609" s="29"/>
      <c r="K609" s="29"/>
      <c r="L609" s="29"/>
      <c r="M609" s="29"/>
      <c r="N609" s="29"/>
      <c r="O609" s="29"/>
      <c r="P609" s="29"/>
      <c r="Q609" s="29"/>
      <c r="R609" s="29"/>
      <c r="S609" s="29"/>
      <c r="T609" s="29"/>
      <c r="U609" s="29"/>
      <c r="V609" s="29"/>
      <c r="W609" s="29"/>
      <c r="X609" s="29"/>
      <c r="Y609" s="29"/>
      <c r="Z609" s="29"/>
    </row>
    <row r="610" spans="1:26" ht="12" customHeight="1" outlineLevel="2" x14ac:dyDescent="0.2">
      <c r="A610" s="40" t="s">
        <v>14052</v>
      </c>
      <c r="B610" s="75" t="s">
        <v>14053</v>
      </c>
      <c r="C610" s="51"/>
      <c r="D610" s="54">
        <f t="shared" si="9"/>
        <v>0</v>
      </c>
      <c r="E610" s="62"/>
      <c r="F610" s="42" t="s">
        <v>39</v>
      </c>
      <c r="G610" s="41" t="s">
        <v>40</v>
      </c>
      <c r="H610" s="41"/>
      <c r="I610" s="41"/>
      <c r="J610" s="43">
        <v>150</v>
      </c>
      <c r="K610" s="41" t="s">
        <v>1094</v>
      </c>
      <c r="L610" s="43">
        <v>10</v>
      </c>
      <c r="M610" s="47">
        <v>1000</v>
      </c>
      <c r="N610" s="43">
        <v>10</v>
      </c>
      <c r="O610" s="44">
        <v>115.43</v>
      </c>
      <c r="P610" s="44">
        <v>94.61</v>
      </c>
      <c r="Q610" s="44">
        <v>102.73</v>
      </c>
      <c r="R610" s="44">
        <v>84.2</v>
      </c>
      <c r="S610" s="44">
        <v>78.489999999999995</v>
      </c>
      <c r="T610" s="44">
        <v>64.34</v>
      </c>
      <c r="U610" s="42"/>
      <c r="V610" s="42"/>
      <c r="W610" s="42" t="s">
        <v>40</v>
      </c>
      <c r="X610" s="45">
        <v>3.0000000000000001E-3</v>
      </c>
      <c r="Y610" s="46">
        <v>2.5999999999999998E-5</v>
      </c>
      <c r="Z610" s="21">
        <v>4601004356283</v>
      </c>
    </row>
    <row r="611" spans="1:26" ht="12" customHeight="1" outlineLevel="2" x14ac:dyDescent="0.2">
      <c r="A611" s="40" t="s">
        <v>14054</v>
      </c>
      <c r="B611" s="75" t="s">
        <v>14055</v>
      </c>
      <c r="C611" s="51"/>
      <c r="D611" s="54">
        <f t="shared" si="9"/>
        <v>0</v>
      </c>
      <c r="E611" s="62"/>
      <c r="F611" s="42" t="s">
        <v>39</v>
      </c>
      <c r="G611" s="41" t="s">
        <v>40</v>
      </c>
      <c r="H611" s="41"/>
      <c r="I611" s="41"/>
      <c r="J611" s="43">
        <v>150</v>
      </c>
      <c r="K611" s="41" t="s">
        <v>1094</v>
      </c>
      <c r="L611" s="43">
        <v>10</v>
      </c>
      <c r="M611" s="47">
        <v>1000</v>
      </c>
      <c r="N611" s="43">
        <v>10</v>
      </c>
      <c r="O611" s="44">
        <v>154.94</v>
      </c>
      <c r="P611" s="44">
        <v>127</v>
      </c>
      <c r="Q611" s="44">
        <v>137.9</v>
      </c>
      <c r="R611" s="44">
        <v>113.03</v>
      </c>
      <c r="S611" s="44">
        <v>105.36</v>
      </c>
      <c r="T611" s="44">
        <v>86.36</v>
      </c>
      <c r="U611" s="42"/>
      <c r="V611" s="42"/>
      <c r="W611" s="42" t="s">
        <v>40</v>
      </c>
      <c r="X611" s="45">
        <v>3.0000000000000001E-3</v>
      </c>
      <c r="Y611" s="46">
        <v>4.1E-5</v>
      </c>
      <c r="Z611" s="21">
        <v>4601004356290</v>
      </c>
    </row>
    <row r="612" spans="1:26" ht="12" customHeight="1" outlineLevel="2" x14ac:dyDescent="0.2">
      <c r="A612" s="40" t="s">
        <v>14056</v>
      </c>
      <c r="B612" s="75" t="s">
        <v>14057</v>
      </c>
      <c r="C612" s="51"/>
      <c r="D612" s="54">
        <f t="shared" si="9"/>
        <v>0</v>
      </c>
      <c r="E612" s="62"/>
      <c r="F612" s="42" t="s">
        <v>39</v>
      </c>
      <c r="G612" s="41" t="s">
        <v>40</v>
      </c>
      <c r="H612" s="41"/>
      <c r="I612" s="41"/>
      <c r="J612" s="42" t="s">
        <v>100</v>
      </c>
      <c r="K612" s="41" t="s">
        <v>1094</v>
      </c>
      <c r="L612" s="43">
        <v>10</v>
      </c>
      <c r="M612" s="47">
        <v>1000</v>
      </c>
      <c r="N612" s="43">
        <v>10</v>
      </c>
      <c r="O612" s="44">
        <v>115.43</v>
      </c>
      <c r="P612" s="44">
        <v>94.61</v>
      </c>
      <c r="Q612" s="44">
        <v>102.73</v>
      </c>
      <c r="R612" s="44">
        <v>84.2</v>
      </c>
      <c r="S612" s="44">
        <v>78.489999999999995</v>
      </c>
      <c r="T612" s="44">
        <v>64.34</v>
      </c>
      <c r="U612" s="42"/>
      <c r="V612" s="42"/>
      <c r="W612" s="42" t="s">
        <v>40</v>
      </c>
      <c r="X612" s="49"/>
      <c r="Y612" s="49"/>
      <c r="Z612" s="21">
        <v>4601004356276</v>
      </c>
    </row>
    <row r="613" spans="1:26" ht="12" customHeight="1" outlineLevel="2" x14ac:dyDescent="0.2">
      <c r="A613" s="40" t="s">
        <v>14058</v>
      </c>
      <c r="B613" s="75" t="s">
        <v>14059</v>
      </c>
      <c r="C613" s="51"/>
      <c r="D613" s="54">
        <f t="shared" si="9"/>
        <v>0</v>
      </c>
      <c r="E613" s="62"/>
      <c r="F613" s="42" t="s">
        <v>39</v>
      </c>
      <c r="G613" s="41" t="s">
        <v>40</v>
      </c>
      <c r="H613" s="41"/>
      <c r="I613" s="41"/>
      <c r="J613" s="43">
        <v>90</v>
      </c>
      <c r="K613" s="41"/>
      <c r="L613" s="43">
        <v>10</v>
      </c>
      <c r="M613" s="47">
        <v>1000</v>
      </c>
      <c r="N613" s="43">
        <v>10</v>
      </c>
      <c r="O613" s="44">
        <v>115.43</v>
      </c>
      <c r="P613" s="44">
        <v>94.61</v>
      </c>
      <c r="Q613" s="44">
        <v>102.73</v>
      </c>
      <c r="R613" s="44">
        <v>84.2</v>
      </c>
      <c r="S613" s="44">
        <v>78.489999999999995</v>
      </c>
      <c r="T613" s="44">
        <v>64.34</v>
      </c>
      <c r="U613" s="42"/>
      <c r="V613" s="42"/>
      <c r="W613" s="42" t="s">
        <v>40</v>
      </c>
      <c r="X613" s="45">
        <v>3.0000000000000001E-3</v>
      </c>
      <c r="Y613" s="46">
        <v>4.1E-5</v>
      </c>
      <c r="Z613" s="21">
        <v>4601004356245</v>
      </c>
    </row>
    <row r="614" spans="1:26" ht="12" customHeight="1" outlineLevel="2" x14ac:dyDescent="0.2">
      <c r="A614" s="40" t="s">
        <v>14060</v>
      </c>
      <c r="B614" s="75" t="s">
        <v>14061</v>
      </c>
      <c r="C614" s="51"/>
      <c r="D614" s="54">
        <f t="shared" si="9"/>
        <v>0</v>
      </c>
      <c r="E614" s="62"/>
      <c r="F614" s="42" t="s">
        <v>39</v>
      </c>
      <c r="G614" s="41" t="s">
        <v>40</v>
      </c>
      <c r="H614" s="41"/>
      <c r="I614" s="41"/>
      <c r="J614" s="42" t="s">
        <v>100</v>
      </c>
      <c r="K614" s="41" t="s">
        <v>1094</v>
      </c>
      <c r="L614" s="43">
        <v>10</v>
      </c>
      <c r="M614" s="47">
        <v>1000</v>
      </c>
      <c r="N614" s="43">
        <v>10</v>
      </c>
      <c r="O614" s="44">
        <v>115.43</v>
      </c>
      <c r="P614" s="44">
        <v>94.61</v>
      </c>
      <c r="Q614" s="44">
        <v>102.73</v>
      </c>
      <c r="R614" s="44">
        <v>84.2</v>
      </c>
      <c r="S614" s="44">
        <v>78.489999999999995</v>
      </c>
      <c r="T614" s="44">
        <v>64.34</v>
      </c>
      <c r="U614" s="42"/>
      <c r="V614" s="42"/>
      <c r="W614" s="42" t="s">
        <v>40</v>
      </c>
      <c r="X614" s="49"/>
      <c r="Y614" s="49"/>
      <c r="Z614" s="21">
        <v>4601004356269</v>
      </c>
    </row>
    <row r="615" spans="1:26" ht="12" customHeight="1" outlineLevel="2" x14ac:dyDescent="0.2">
      <c r="A615" s="40" t="s">
        <v>14066</v>
      </c>
      <c r="B615" s="75" t="s">
        <v>14067</v>
      </c>
      <c r="C615" s="51"/>
      <c r="D615" s="54">
        <f t="shared" si="9"/>
        <v>0</v>
      </c>
      <c r="E615" s="62"/>
      <c r="F615" s="42" t="s">
        <v>39</v>
      </c>
      <c r="G615" s="41" t="s">
        <v>40</v>
      </c>
      <c r="H615" s="41"/>
      <c r="I615" s="41"/>
      <c r="J615" s="43">
        <v>100</v>
      </c>
      <c r="K615" s="41" t="s">
        <v>1094</v>
      </c>
      <c r="L615" s="43">
        <v>10</v>
      </c>
      <c r="M615" s="47">
        <v>1000</v>
      </c>
      <c r="N615" s="43">
        <v>10</v>
      </c>
      <c r="O615" s="44">
        <v>40.020000000000003</v>
      </c>
      <c r="P615" s="44">
        <v>32.799999999999997</v>
      </c>
      <c r="Q615" s="44">
        <v>35.619999999999997</v>
      </c>
      <c r="R615" s="44">
        <v>29.2</v>
      </c>
      <c r="S615" s="44">
        <v>27.21</v>
      </c>
      <c r="T615" s="44">
        <v>22.3</v>
      </c>
      <c r="U615" s="42"/>
      <c r="V615" s="42"/>
      <c r="W615" s="42" t="s">
        <v>40</v>
      </c>
      <c r="X615" s="45">
        <v>4.0000000000000001E-3</v>
      </c>
      <c r="Y615" s="46">
        <v>4.1E-5</v>
      </c>
      <c r="Z615" s="21">
        <v>4601004356337</v>
      </c>
    </row>
    <row r="616" spans="1:26" ht="12" customHeight="1" outlineLevel="2" x14ac:dyDescent="0.2">
      <c r="A616" s="40" t="s">
        <v>14068</v>
      </c>
      <c r="B616" s="75" t="s">
        <v>14069</v>
      </c>
      <c r="C616" s="51"/>
      <c r="D616" s="54">
        <f t="shared" si="9"/>
        <v>0</v>
      </c>
      <c r="E616" s="62"/>
      <c r="F616" s="42" t="s">
        <v>39</v>
      </c>
      <c r="G616" s="41" t="s">
        <v>40</v>
      </c>
      <c r="H616" s="41"/>
      <c r="I616" s="41"/>
      <c r="J616" s="43">
        <v>100</v>
      </c>
      <c r="K616" s="41" t="s">
        <v>1094</v>
      </c>
      <c r="L616" s="43">
        <v>10</v>
      </c>
      <c r="M616" s="47">
        <v>1000</v>
      </c>
      <c r="N616" s="43">
        <v>10</v>
      </c>
      <c r="O616" s="44">
        <v>40.020000000000003</v>
      </c>
      <c r="P616" s="44">
        <v>32.799999999999997</v>
      </c>
      <c r="Q616" s="44">
        <v>35.619999999999997</v>
      </c>
      <c r="R616" s="44">
        <v>29.2</v>
      </c>
      <c r="S616" s="44">
        <v>27.21</v>
      </c>
      <c r="T616" s="44">
        <v>22.3</v>
      </c>
      <c r="U616" s="42"/>
      <c r="V616" s="42"/>
      <c r="W616" s="42" t="s">
        <v>40</v>
      </c>
      <c r="X616" s="45">
        <v>4.0000000000000001E-3</v>
      </c>
      <c r="Y616" s="46">
        <v>2.4000000000000001E-5</v>
      </c>
      <c r="Z616" s="21">
        <v>4601004356313</v>
      </c>
    </row>
    <row r="617" spans="1:26" ht="12.95" customHeight="1" outlineLevel="1" x14ac:dyDescent="0.2">
      <c r="A617" s="78" t="s">
        <v>14070</v>
      </c>
      <c r="B617" s="78"/>
      <c r="C617" s="79"/>
      <c r="D617" s="57"/>
      <c r="E617" s="67"/>
      <c r="F617" s="29"/>
      <c r="G617" s="29"/>
      <c r="H617" s="29"/>
      <c r="I617" s="29"/>
      <c r="J617" s="29"/>
      <c r="K617" s="29"/>
      <c r="L617" s="29"/>
      <c r="M617" s="29"/>
      <c r="N617" s="29"/>
      <c r="O617" s="29"/>
      <c r="P617" s="29"/>
      <c r="Q617" s="29"/>
      <c r="R617" s="29"/>
      <c r="S617" s="29"/>
      <c r="T617" s="29"/>
      <c r="U617" s="29"/>
      <c r="V617" s="29"/>
      <c r="W617" s="29"/>
      <c r="X617" s="29"/>
      <c r="Y617" s="29"/>
      <c r="Z617" s="29"/>
    </row>
    <row r="618" spans="1:26" ht="12" customHeight="1" outlineLevel="2" x14ac:dyDescent="0.2">
      <c r="A618" s="40" t="s">
        <v>14071</v>
      </c>
      <c r="B618" s="75" t="s">
        <v>14072</v>
      </c>
      <c r="C618" s="51"/>
      <c r="D618" s="54">
        <f t="shared" si="9"/>
        <v>0</v>
      </c>
      <c r="E618" s="62"/>
      <c r="F618" s="42" t="s">
        <v>39</v>
      </c>
      <c r="G618" s="41" t="s">
        <v>40</v>
      </c>
      <c r="H618" s="41"/>
      <c r="I618" s="41"/>
      <c r="J618" s="42" t="s">
        <v>100</v>
      </c>
      <c r="K618" s="41" t="s">
        <v>1094</v>
      </c>
      <c r="L618" s="43">
        <v>100</v>
      </c>
      <c r="M618" s="47">
        <v>5000</v>
      </c>
      <c r="N618" s="43">
        <v>100</v>
      </c>
      <c r="O618" s="44">
        <v>7.79</v>
      </c>
      <c r="P618" s="44">
        <v>6.39</v>
      </c>
      <c r="Q618" s="44">
        <v>6.93</v>
      </c>
      <c r="R618" s="44">
        <v>5.68</v>
      </c>
      <c r="S618" s="44">
        <v>5.3</v>
      </c>
      <c r="T618" s="44">
        <v>4.34</v>
      </c>
      <c r="U618" s="42"/>
      <c r="V618" s="42"/>
      <c r="W618" s="42" t="s">
        <v>40</v>
      </c>
      <c r="X618" s="49"/>
      <c r="Y618" s="49"/>
      <c r="Z618" s="21">
        <v>4601004356399</v>
      </c>
    </row>
    <row r="619" spans="1:26" ht="12" customHeight="1" outlineLevel="2" x14ac:dyDescent="0.2">
      <c r="A619" s="40" t="s">
        <v>14073</v>
      </c>
      <c r="B619" s="75" t="s">
        <v>14074</v>
      </c>
      <c r="C619" s="51"/>
      <c r="D619" s="54">
        <f t="shared" si="9"/>
        <v>0</v>
      </c>
      <c r="E619" s="62"/>
      <c r="F619" s="42" t="s">
        <v>39</v>
      </c>
      <c r="G619" s="41" t="s">
        <v>40</v>
      </c>
      <c r="H619" s="41"/>
      <c r="I619" s="41"/>
      <c r="J619" s="42" t="s">
        <v>100</v>
      </c>
      <c r="K619" s="41" t="s">
        <v>1094</v>
      </c>
      <c r="L619" s="43">
        <v>100</v>
      </c>
      <c r="M619" s="47">
        <v>5000</v>
      </c>
      <c r="N619" s="43">
        <v>100</v>
      </c>
      <c r="O619" s="44">
        <v>7.79</v>
      </c>
      <c r="P619" s="44">
        <v>6.39</v>
      </c>
      <c r="Q619" s="44">
        <v>6.93</v>
      </c>
      <c r="R619" s="44">
        <v>5.68</v>
      </c>
      <c r="S619" s="44">
        <v>5.3</v>
      </c>
      <c r="T619" s="44">
        <v>4.34</v>
      </c>
      <c r="U619" s="42"/>
      <c r="V619" s="42"/>
      <c r="W619" s="42" t="s">
        <v>40</v>
      </c>
      <c r="X619" s="49"/>
      <c r="Y619" s="49"/>
      <c r="Z619" s="21">
        <v>4601004356412</v>
      </c>
    </row>
    <row r="620" spans="1:26" ht="12" customHeight="1" outlineLevel="2" x14ac:dyDescent="0.2">
      <c r="A620" s="40" t="s">
        <v>14075</v>
      </c>
      <c r="B620" s="75" t="s">
        <v>14076</v>
      </c>
      <c r="C620" s="51"/>
      <c r="D620" s="54">
        <f t="shared" si="9"/>
        <v>0</v>
      </c>
      <c r="E620" s="62"/>
      <c r="F620" s="42" t="s">
        <v>39</v>
      </c>
      <c r="G620" s="41" t="s">
        <v>40</v>
      </c>
      <c r="H620" s="41"/>
      <c r="I620" s="41"/>
      <c r="J620" s="43">
        <v>10</v>
      </c>
      <c r="K620" s="41"/>
      <c r="L620" s="43">
        <v>1</v>
      </c>
      <c r="M620" s="43">
        <v>500</v>
      </c>
      <c r="N620" s="43">
        <v>1</v>
      </c>
      <c r="O620" s="44">
        <v>55.04</v>
      </c>
      <c r="P620" s="44">
        <v>45.11</v>
      </c>
      <c r="Q620" s="44">
        <v>48.99</v>
      </c>
      <c r="R620" s="44">
        <v>40.159999999999997</v>
      </c>
      <c r="S620" s="44">
        <v>37.43</v>
      </c>
      <c r="T620" s="44">
        <v>30.68</v>
      </c>
      <c r="U620" s="42"/>
      <c r="V620" s="42"/>
      <c r="W620" s="42" t="s">
        <v>40</v>
      </c>
      <c r="X620" s="45">
        <v>3.5999999999999997E-2</v>
      </c>
      <c r="Y620" s="46">
        <v>1.2400000000000001E-4</v>
      </c>
      <c r="Z620" s="21">
        <v>4601004356252</v>
      </c>
    </row>
    <row r="621" spans="1:26" ht="12" customHeight="1" outlineLevel="2" x14ac:dyDescent="0.2">
      <c r="A621" s="40" t="s">
        <v>14079</v>
      </c>
      <c r="B621" s="75" t="s">
        <v>14080</v>
      </c>
      <c r="C621" s="51"/>
      <c r="D621" s="54">
        <f t="shared" si="9"/>
        <v>0</v>
      </c>
      <c r="E621" s="62"/>
      <c r="F621" s="42" t="s">
        <v>39</v>
      </c>
      <c r="G621" s="41" t="s">
        <v>40</v>
      </c>
      <c r="H621" s="41"/>
      <c r="I621" s="41"/>
      <c r="J621" s="43">
        <v>20</v>
      </c>
      <c r="K621" s="41"/>
      <c r="L621" s="43">
        <v>1</v>
      </c>
      <c r="M621" s="43">
        <v>500</v>
      </c>
      <c r="N621" s="43">
        <v>1</v>
      </c>
      <c r="O621" s="44">
        <v>121.08</v>
      </c>
      <c r="P621" s="44">
        <v>99.25</v>
      </c>
      <c r="Q621" s="44">
        <v>107.76</v>
      </c>
      <c r="R621" s="44">
        <v>88.33</v>
      </c>
      <c r="S621" s="44">
        <v>82.33</v>
      </c>
      <c r="T621" s="44">
        <v>67.48</v>
      </c>
      <c r="U621" s="42"/>
      <c r="V621" s="42"/>
      <c r="W621" s="42" t="s">
        <v>40</v>
      </c>
      <c r="X621" s="45">
        <v>6.6000000000000003E-2</v>
      </c>
      <c r="Y621" s="46">
        <v>4.7800000000000002E-4</v>
      </c>
      <c r="Z621" s="21">
        <v>4601004356405</v>
      </c>
    </row>
    <row r="622" spans="1:26" ht="12.95" customHeight="1" outlineLevel="1" x14ac:dyDescent="0.2">
      <c r="A622" s="78" t="s">
        <v>14155</v>
      </c>
      <c r="B622" s="78"/>
      <c r="C622" s="79"/>
      <c r="D622" s="57"/>
      <c r="E622" s="67"/>
      <c r="F622" s="29"/>
      <c r="G622" s="29"/>
      <c r="H622" s="29"/>
      <c r="I622" s="29"/>
      <c r="J622" s="29"/>
      <c r="K622" s="29"/>
      <c r="L622" s="29"/>
      <c r="M622" s="29"/>
      <c r="N622" s="29"/>
      <c r="O622" s="29"/>
      <c r="P622" s="29"/>
      <c r="Q622" s="29"/>
      <c r="R622" s="29"/>
      <c r="S622" s="29"/>
      <c r="T622" s="29"/>
      <c r="U622" s="29"/>
      <c r="V622" s="29"/>
      <c r="W622" s="29"/>
      <c r="X622" s="29"/>
      <c r="Y622" s="29"/>
      <c r="Z622" s="29"/>
    </row>
    <row r="623" spans="1:26" ht="12.95" customHeight="1" outlineLevel="2" x14ac:dyDescent="0.2">
      <c r="A623" s="76" t="s">
        <v>14161</v>
      </c>
      <c r="B623" s="76"/>
      <c r="C623" s="77"/>
      <c r="D623" s="58"/>
      <c r="E623" s="68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 spans="1:26" ht="12" customHeight="1" outlineLevel="3" x14ac:dyDescent="0.2">
      <c r="A624" s="40" t="s">
        <v>14166</v>
      </c>
      <c r="B624" s="75" t="s">
        <v>14167</v>
      </c>
      <c r="C624" s="51"/>
      <c r="D624" s="54">
        <f t="shared" si="9"/>
        <v>0</v>
      </c>
      <c r="E624" s="62"/>
      <c r="F624" s="42" t="s">
        <v>2709</v>
      </c>
      <c r="G624" s="41" t="s">
        <v>40</v>
      </c>
      <c r="H624" s="41"/>
      <c r="I624" s="41"/>
      <c r="J624" s="47">
        <v>1182</v>
      </c>
      <c r="K624" s="41"/>
      <c r="L624" s="43">
        <v>10</v>
      </c>
      <c r="M624" s="43">
        <v>10</v>
      </c>
      <c r="N624" s="43">
        <v>10</v>
      </c>
      <c r="O624" s="44">
        <v>131.44</v>
      </c>
      <c r="P624" s="44">
        <v>107.74</v>
      </c>
      <c r="Q624" s="44">
        <v>116.98</v>
      </c>
      <c r="R624" s="44">
        <v>95.89</v>
      </c>
      <c r="S624" s="44">
        <v>89.38</v>
      </c>
      <c r="T624" s="44">
        <v>73.260000000000005</v>
      </c>
      <c r="U624" s="42"/>
      <c r="V624" s="42"/>
      <c r="W624" s="42" t="s">
        <v>40</v>
      </c>
      <c r="X624" s="45">
        <v>0.01</v>
      </c>
      <c r="Y624" s="46">
        <v>1.4899999999999999E-4</v>
      </c>
      <c r="Z624" s="21">
        <v>4601004350137</v>
      </c>
    </row>
    <row r="625" spans="1:26" ht="12.95" customHeight="1" outlineLevel="1" x14ac:dyDescent="0.2">
      <c r="A625" s="78" t="s">
        <v>14188</v>
      </c>
      <c r="B625" s="78"/>
      <c r="C625" s="79"/>
      <c r="D625" s="57"/>
      <c r="E625" s="67"/>
      <c r="F625" s="29"/>
      <c r="G625" s="29"/>
      <c r="H625" s="29"/>
      <c r="I625" s="29"/>
      <c r="J625" s="29"/>
      <c r="K625" s="29"/>
      <c r="L625" s="29"/>
      <c r="M625" s="29"/>
      <c r="N625" s="29"/>
      <c r="O625" s="29"/>
      <c r="P625" s="29"/>
      <c r="Q625" s="29"/>
      <c r="R625" s="29"/>
      <c r="S625" s="29"/>
      <c r="T625" s="29"/>
      <c r="U625" s="29"/>
      <c r="V625" s="29"/>
      <c r="W625" s="29"/>
      <c r="X625" s="29"/>
      <c r="Y625" s="29"/>
      <c r="Z625" s="29"/>
    </row>
    <row r="626" spans="1:26" ht="12.95" customHeight="1" outlineLevel="2" x14ac:dyDescent="0.2">
      <c r="A626" s="76" t="s">
        <v>14189</v>
      </c>
      <c r="B626" s="76"/>
      <c r="C626" s="77"/>
      <c r="D626" s="58"/>
      <c r="E626" s="68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 spans="1:26" ht="12" customHeight="1" outlineLevel="3" x14ac:dyDescent="0.2">
      <c r="A627" s="40" t="s">
        <v>14194</v>
      </c>
      <c r="B627" s="75" t="s">
        <v>14195</v>
      </c>
      <c r="C627" s="51"/>
      <c r="D627" s="54">
        <f t="shared" si="9"/>
        <v>0</v>
      </c>
      <c r="E627" s="61" t="str">
        <f>HYPERLINK("https://www.sds-group.ru/product/kabel-vitaya-para-s-ftp-cat-6a-pvc-ls-ng-a-lsltx-4h2h0-575-mm-23awg-vnutrenniy-odnoprovoloch-02-0326/", "Инфо")</f>
        <v>Инфо</v>
      </c>
      <c r="F627" s="42" t="s">
        <v>1887</v>
      </c>
      <c r="G627" s="41" t="s">
        <v>40</v>
      </c>
      <c r="H627" s="41"/>
      <c r="I627" s="41" t="s">
        <v>14196</v>
      </c>
      <c r="J627" s="42" t="s">
        <v>100</v>
      </c>
      <c r="K627" s="41"/>
      <c r="L627" s="43">
        <v>1</v>
      </c>
      <c r="M627" s="43">
        <v>1</v>
      </c>
      <c r="N627" s="43">
        <v>1</v>
      </c>
      <c r="O627" s="44">
        <v>105767.86</v>
      </c>
      <c r="P627" s="44">
        <v>86694.97</v>
      </c>
      <c r="Q627" s="44">
        <v>105767.86</v>
      </c>
      <c r="R627" s="44">
        <v>86694.97</v>
      </c>
      <c r="S627" s="44">
        <v>105767.86</v>
      </c>
      <c r="T627" s="44">
        <v>86694.97</v>
      </c>
      <c r="U627" s="42"/>
      <c r="V627" s="42"/>
      <c r="W627" s="42" t="s">
        <v>40</v>
      </c>
      <c r="X627" s="45">
        <v>20.9</v>
      </c>
      <c r="Y627" s="46">
        <v>4.3700000000000003E-2</v>
      </c>
      <c r="Z627" s="21">
        <v>4601004331693</v>
      </c>
    </row>
    <row r="628" spans="1:26" ht="12.95" customHeight="1" x14ac:dyDescent="0.2">
      <c r="A628" s="80" t="s">
        <v>14234</v>
      </c>
      <c r="B628" s="80"/>
      <c r="C628" s="81"/>
      <c r="D628" s="56"/>
      <c r="E628" s="66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  <c r="W628" s="28"/>
      <c r="X628" s="28"/>
      <c r="Y628" s="28"/>
      <c r="Z628" s="28"/>
    </row>
    <row r="629" spans="1:26" ht="12.95" customHeight="1" outlineLevel="1" x14ac:dyDescent="0.2">
      <c r="A629" s="78" t="s">
        <v>14407</v>
      </c>
      <c r="B629" s="78"/>
      <c r="C629" s="79"/>
      <c r="D629" s="57"/>
      <c r="E629" s="67"/>
      <c r="F629" s="29"/>
      <c r="G629" s="29"/>
      <c r="H629" s="29"/>
      <c r="I629" s="29"/>
      <c r="J629" s="29"/>
      <c r="K629" s="29"/>
      <c r="L629" s="29"/>
      <c r="M629" s="29"/>
      <c r="N629" s="29"/>
      <c r="O629" s="29"/>
      <c r="P629" s="29"/>
      <c r="Q629" s="29"/>
      <c r="R629" s="29"/>
      <c r="S629" s="29"/>
      <c r="T629" s="29"/>
      <c r="U629" s="29"/>
      <c r="V629" s="29"/>
      <c r="W629" s="29"/>
      <c r="X629" s="29"/>
      <c r="Y629" s="29"/>
      <c r="Z629" s="29"/>
    </row>
    <row r="630" spans="1:26" ht="12.95" customHeight="1" outlineLevel="2" x14ac:dyDescent="0.2">
      <c r="A630" s="76" t="s">
        <v>14408</v>
      </c>
      <c r="B630" s="76"/>
      <c r="C630" s="77"/>
      <c r="D630" s="58"/>
      <c r="E630" s="68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 spans="1:26" ht="12.95" customHeight="1" outlineLevel="3" x14ac:dyDescent="0.2">
      <c r="A631" s="82" t="s">
        <v>14409</v>
      </c>
      <c r="B631" s="82"/>
      <c r="C631" s="83"/>
      <c r="D631" s="59"/>
      <c r="E631" s="69"/>
      <c r="F631" s="31"/>
      <c r="G631" s="31"/>
      <c r="H631" s="31"/>
      <c r="I631" s="31"/>
      <c r="J631" s="31"/>
      <c r="K631" s="31"/>
      <c r="L631" s="31"/>
      <c r="M631" s="31"/>
      <c r="N631" s="31"/>
      <c r="O631" s="31"/>
      <c r="P631" s="31"/>
      <c r="Q631" s="31"/>
      <c r="R631" s="31"/>
      <c r="S631" s="31"/>
      <c r="T631" s="31"/>
      <c r="U631" s="31"/>
      <c r="V631" s="31"/>
      <c r="W631" s="31"/>
      <c r="X631" s="31"/>
      <c r="Y631" s="31"/>
      <c r="Z631" s="31"/>
    </row>
    <row r="632" spans="1:26" ht="12" customHeight="1" outlineLevel="4" x14ac:dyDescent="0.2">
      <c r="A632" s="40" t="s">
        <v>14447</v>
      </c>
      <c r="B632" s="75" t="s">
        <v>14448</v>
      </c>
      <c r="C632" s="51"/>
      <c r="D632" s="54">
        <f t="shared" si="9"/>
        <v>0</v>
      </c>
      <c r="E632" s="61" t="str">
        <f>HYPERLINK("https://www.sds-group.ru/product/kabel-signalnyy-kspv-6h0-5mm-ssa-buhta-200m-rexant-01-4712-5/", "Инфо")</f>
        <v>Инфо</v>
      </c>
      <c r="F632" s="42" t="s">
        <v>2672</v>
      </c>
      <c r="G632" s="41" t="s">
        <v>40</v>
      </c>
      <c r="H632" s="41" t="s">
        <v>40</v>
      </c>
      <c r="I632" s="41"/>
      <c r="J632" s="47">
        <v>2000</v>
      </c>
      <c r="K632" s="41"/>
      <c r="L632" s="43">
        <v>200</v>
      </c>
      <c r="M632" s="43">
        <v>200</v>
      </c>
      <c r="N632" s="43">
        <v>200</v>
      </c>
      <c r="O632" s="44">
        <v>28.01</v>
      </c>
      <c r="P632" s="44">
        <v>22.96</v>
      </c>
      <c r="Q632" s="44">
        <v>19.61</v>
      </c>
      <c r="R632" s="44">
        <v>16.07</v>
      </c>
      <c r="S632" s="44">
        <v>19.05</v>
      </c>
      <c r="T632" s="44">
        <v>15.61</v>
      </c>
      <c r="U632" s="42"/>
      <c r="V632" s="42"/>
      <c r="W632" s="42"/>
      <c r="X632" s="45">
        <v>1.2E-2</v>
      </c>
      <c r="Y632" s="46">
        <v>2.4000000000000001E-5</v>
      </c>
      <c r="Z632" s="21">
        <v>4601004342330</v>
      </c>
    </row>
    <row r="633" spans="1:26" ht="12" customHeight="1" outlineLevel="4" x14ac:dyDescent="0.2">
      <c r="A633" s="40" t="s">
        <v>14449</v>
      </c>
      <c r="B633" s="75" t="s">
        <v>14450</v>
      </c>
      <c r="C633" s="51"/>
      <c r="D633" s="54">
        <f t="shared" si="9"/>
        <v>0</v>
      </c>
      <c r="E633" s="61" t="str">
        <f>HYPERLINK("https://www.sds-group.ru/product/kabel-signalnyy-kspv-8h0-5mm-ssa-buhta-200m-rexant-01-4713-5/", "Инфо")</f>
        <v>Инфо</v>
      </c>
      <c r="F633" s="42" t="s">
        <v>1767</v>
      </c>
      <c r="G633" s="41" t="s">
        <v>40</v>
      </c>
      <c r="H633" s="41" t="s">
        <v>40</v>
      </c>
      <c r="I633" s="41"/>
      <c r="J633" s="47">
        <v>1600</v>
      </c>
      <c r="K633" s="41"/>
      <c r="L633" s="43">
        <v>200</v>
      </c>
      <c r="M633" s="43">
        <v>200</v>
      </c>
      <c r="N633" s="43">
        <v>200</v>
      </c>
      <c r="O633" s="44">
        <v>42.7</v>
      </c>
      <c r="P633" s="44">
        <v>35</v>
      </c>
      <c r="Q633" s="44">
        <v>29.89</v>
      </c>
      <c r="R633" s="44">
        <v>24.5</v>
      </c>
      <c r="S633" s="44">
        <v>29.04</v>
      </c>
      <c r="T633" s="44">
        <v>23.8</v>
      </c>
      <c r="U633" s="42"/>
      <c r="V633" s="42"/>
      <c r="W633" s="42"/>
      <c r="X633" s="45">
        <v>1.4E-2</v>
      </c>
      <c r="Y633" s="46">
        <v>2.3E-5</v>
      </c>
      <c r="Z633" s="21">
        <v>4601004342347</v>
      </c>
    </row>
    <row r="634" spans="1:26" ht="12" customHeight="1" outlineLevel="4" x14ac:dyDescent="0.2">
      <c r="A634" s="40" t="s">
        <v>14451</v>
      </c>
      <c r="B634" s="75" t="s">
        <v>14452</v>
      </c>
      <c r="C634" s="51"/>
      <c r="D634" s="54">
        <f t="shared" si="9"/>
        <v>0</v>
      </c>
      <c r="E634" s="61" t="str">
        <f>HYPERLINK("https://www.sds-group.ru/product/kabel-signalnyy-kspev-2h0-5mm-ssa-buhta-200m-rexant-01-4710-6/", "Инфо")</f>
        <v>Инфо</v>
      </c>
      <c r="F634" s="42" t="s">
        <v>1767</v>
      </c>
      <c r="G634" s="41" t="s">
        <v>40</v>
      </c>
      <c r="H634" s="41" t="s">
        <v>40</v>
      </c>
      <c r="I634" s="41"/>
      <c r="J634" s="47">
        <v>1400</v>
      </c>
      <c r="K634" s="41"/>
      <c r="L634" s="43">
        <v>200</v>
      </c>
      <c r="M634" s="43">
        <v>200</v>
      </c>
      <c r="N634" s="43">
        <v>200</v>
      </c>
      <c r="O634" s="44">
        <v>16.010000000000002</v>
      </c>
      <c r="P634" s="44">
        <v>13.12</v>
      </c>
      <c r="Q634" s="44">
        <v>11.21</v>
      </c>
      <c r="R634" s="44">
        <v>9.19</v>
      </c>
      <c r="S634" s="44">
        <v>10.89</v>
      </c>
      <c r="T634" s="44">
        <v>8.93</v>
      </c>
      <c r="U634" s="42"/>
      <c r="V634" s="42"/>
      <c r="W634" s="42"/>
      <c r="X634" s="45">
        <v>1.2999999999999999E-2</v>
      </c>
      <c r="Y634" s="46">
        <v>2.6999999999999999E-5</v>
      </c>
      <c r="Z634" s="21">
        <v>4601004342354</v>
      </c>
    </row>
    <row r="635" spans="1:26" ht="12.95" customHeight="1" outlineLevel="3" x14ac:dyDescent="0.2">
      <c r="A635" s="82" t="s">
        <v>14453</v>
      </c>
      <c r="B635" s="82"/>
      <c r="C635" s="83"/>
      <c r="D635" s="59"/>
      <c r="E635" s="69"/>
      <c r="F635" s="31"/>
      <c r="G635" s="31"/>
      <c r="H635" s="31"/>
      <c r="I635" s="31"/>
      <c r="J635" s="31"/>
      <c r="K635" s="31"/>
      <c r="L635" s="31"/>
      <c r="M635" s="31"/>
      <c r="N635" s="31"/>
      <c r="O635" s="31"/>
      <c r="P635" s="31"/>
      <c r="Q635" s="31"/>
      <c r="R635" s="31"/>
      <c r="S635" s="31"/>
      <c r="T635" s="31"/>
      <c r="U635" s="31"/>
      <c r="V635" s="31"/>
      <c r="W635" s="31"/>
      <c r="X635" s="31"/>
      <c r="Y635" s="31"/>
      <c r="Z635" s="31"/>
    </row>
    <row r="636" spans="1:26" ht="12" customHeight="1" outlineLevel="4" x14ac:dyDescent="0.2">
      <c r="A636" s="40" t="s">
        <v>14469</v>
      </c>
      <c r="B636" s="75" t="s">
        <v>14470</v>
      </c>
      <c r="C636" s="51"/>
      <c r="D636" s="54">
        <f t="shared" si="9"/>
        <v>0</v>
      </c>
      <c r="E636" s="61" t="str">
        <f>HYPERLINK("https://www.sds-group.ru/product/kabel-signalnyy-ksvv-2h0-5mm-ssa-buhta-500m-rexant-01-4747-5/", "Инфо")</f>
        <v>Инфо</v>
      </c>
      <c r="F636" s="42" t="s">
        <v>2672</v>
      </c>
      <c r="G636" s="41" t="s">
        <v>40</v>
      </c>
      <c r="H636" s="41" t="s">
        <v>40</v>
      </c>
      <c r="I636" s="41"/>
      <c r="J636" s="47">
        <v>4000</v>
      </c>
      <c r="K636" s="41"/>
      <c r="L636" s="43">
        <v>500</v>
      </c>
      <c r="M636" s="43">
        <v>500</v>
      </c>
      <c r="N636" s="43">
        <v>500</v>
      </c>
      <c r="O636" s="44">
        <v>10.28</v>
      </c>
      <c r="P636" s="44">
        <v>8.43</v>
      </c>
      <c r="Q636" s="44">
        <v>7.2</v>
      </c>
      <c r="R636" s="44">
        <v>5.9</v>
      </c>
      <c r="S636" s="44">
        <v>6.99</v>
      </c>
      <c r="T636" s="44">
        <v>5.73</v>
      </c>
      <c r="U636" s="42"/>
      <c r="V636" s="42"/>
      <c r="W636" s="42"/>
      <c r="X636" s="45">
        <v>6.0000000000000001E-3</v>
      </c>
      <c r="Y636" s="46">
        <v>1.0000000000000001E-5</v>
      </c>
      <c r="Z636" s="21">
        <v>4601004342378</v>
      </c>
    </row>
    <row r="637" spans="1:26" ht="12" customHeight="1" outlineLevel="4" x14ac:dyDescent="0.2">
      <c r="A637" s="40" t="s">
        <v>14471</v>
      </c>
      <c r="B637" s="75" t="s">
        <v>14472</v>
      </c>
      <c r="C637" s="51"/>
      <c r="D637" s="54">
        <f t="shared" si="9"/>
        <v>0</v>
      </c>
      <c r="E637" s="61" t="str">
        <f>HYPERLINK("https://www.sds-group.ru/product/kabel-signalnyy-ksvv-4h0-5mm-ssa-buhta-200m-rexant-01-4748-5/", "Инфо")</f>
        <v>Инфо</v>
      </c>
      <c r="F637" s="42" t="s">
        <v>1767</v>
      </c>
      <c r="G637" s="41" t="s">
        <v>40</v>
      </c>
      <c r="H637" s="41" t="s">
        <v>40</v>
      </c>
      <c r="I637" s="41"/>
      <c r="J637" s="47">
        <v>2800</v>
      </c>
      <c r="K637" s="41"/>
      <c r="L637" s="43">
        <v>200</v>
      </c>
      <c r="M637" s="43">
        <v>200</v>
      </c>
      <c r="N637" s="43">
        <v>200</v>
      </c>
      <c r="O637" s="44">
        <v>20.3</v>
      </c>
      <c r="P637" s="44">
        <v>16.64</v>
      </c>
      <c r="Q637" s="44">
        <v>14.21</v>
      </c>
      <c r="R637" s="44">
        <v>11.65</v>
      </c>
      <c r="S637" s="44">
        <v>13.8</v>
      </c>
      <c r="T637" s="44">
        <v>11.31</v>
      </c>
      <c r="U637" s="42"/>
      <c r="V637" s="42"/>
      <c r="W637" s="42"/>
      <c r="X637" s="45">
        <v>8.9999999999999993E-3</v>
      </c>
      <c r="Y637" s="46">
        <v>1.5999999999999999E-5</v>
      </c>
      <c r="Z637" s="21">
        <v>4601004342385</v>
      </c>
    </row>
    <row r="638" spans="1:26" ht="12" customHeight="1" outlineLevel="4" x14ac:dyDescent="0.2">
      <c r="A638" s="40" t="s">
        <v>14473</v>
      </c>
      <c r="B638" s="75" t="s">
        <v>14474</v>
      </c>
      <c r="C638" s="51"/>
      <c r="D638" s="54">
        <f t="shared" si="9"/>
        <v>0</v>
      </c>
      <c r="E638" s="61" t="str">
        <f>HYPERLINK("https://www.sds-group.ru/product/kabel-signalnyy-ksvvng-a-ls-4h0-5mm-ssa-buhta-200m-rexant-01-4785-5/", "Инфо")</f>
        <v>Инфо</v>
      </c>
      <c r="F638" s="42" t="s">
        <v>2672</v>
      </c>
      <c r="G638" s="41" t="s">
        <v>40</v>
      </c>
      <c r="H638" s="41" t="s">
        <v>40</v>
      </c>
      <c r="I638" s="41"/>
      <c r="J638" s="47">
        <v>3400</v>
      </c>
      <c r="K638" s="41"/>
      <c r="L638" s="43">
        <v>200</v>
      </c>
      <c r="M638" s="43">
        <v>200</v>
      </c>
      <c r="N638" s="43">
        <v>200</v>
      </c>
      <c r="O638" s="44">
        <v>20.7</v>
      </c>
      <c r="P638" s="44">
        <v>16.97</v>
      </c>
      <c r="Q638" s="44">
        <v>14.49</v>
      </c>
      <c r="R638" s="44">
        <v>11.88</v>
      </c>
      <c r="S638" s="44">
        <v>14.08</v>
      </c>
      <c r="T638" s="44">
        <v>11.54</v>
      </c>
      <c r="U638" s="42"/>
      <c r="V638" s="42"/>
      <c r="W638" s="42"/>
      <c r="X638" s="45">
        <v>1.0999999999999999E-2</v>
      </c>
      <c r="Y638" s="46">
        <v>1.9000000000000001E-5</v>
      </c>
      <c r="Z638" s="21">
        <v>4601004342422</v>
      </c>
    </row>
    <row r="639" spans="1:26" ht="12" customHeight="1" outlineLevel="4" x14ac:dyDescent="0.2">
      <c r="A639" s="40" t="s">
        <v>14475</v>
      </c>
      <c r="B639" s="75" t="s">
        <v>14476</v>
      </c>
      <c r="C639" s="51"/>
      <c r="D639" s="54">
        <f t="shared" si="9"/>
        <v>0</v>
      </c>
      <c r="E639" s="61" t="str">
        <f>HYPERLINK("https://www.sds-group.ru/product/kabel-signalnyy-ksvev-2h0-5mm-ssa-buhta-200m-rexant-01-4747-6/", "Инфо")</f>
        <v>Инфо</v>
      </c>
      <c r="F639" s="42" t="s">
        <v>2672</v>
      </c>
      <c r="G639" s="41" t="s">
        <v>40</v>
      </c>
      <c r="H639" s="41" t="s">
        <v>40</v>
      </c>
      <c r="I639" s="41"/>
      <c r="J639" s="47">
        <v>4000</v>
      </c>
      <c r="K639" s="41"/>
      <c r="L639" s="43">
        <v>200</v>
      </c>
      <c r="M639" s="43">
        <v>200</v>
      </c>
      <c r="N639" s="43">
        <v>200</v>
      </c>
      <c r="O639" s="44">
        <v>12.59</v>
      </c>
      <c r="P639" s="44">
        <v>10.32</v>
      </c>
      <c r="Q639" s="44">
        <v>8.81</v>
      </c>
      <c r="R639" s="44">
        <v>7.22</v>
      </c>
      <c r="S639" s="44">
        <v>8.56</v>
      </c>
      <c r="T639" s="44">
        <v>7.02</v>
      </c>
      <c r="U639" s="42"/>
      <c r="V639" s="42"/>
      <c r="W639" s="42"/>
      <c r="X639" s="45">
        <v>1.2E-2</v>
      </c>
      <c r="Y639" s="46">
        <v>2.5000000000000001E-5</v>
      </c>
      <c r="Z639" s="21">
        <v>4601004342392</v>
      </c>
    </row>
    <row r="640" spans="1:26" ht="12" customHeight="1" outlineLevel="4" x14ac:dyDescent="0.2">
      <c r="A640" s="40" t="s">
        <v>14477</v>
      </c>
      <c r="B640" s="75" t="s">
        <v>14478</v>
      </c>
      <c r="C640" s="51"/>
      <c r="D640" s="54">
        <f t="shared" si="9"/>
        <v>0</v>
      </c>
      <c r="E640" s="61" t="str">
        <f>HYPERLINK("https://www.sds-group.ru/product/kabel-signalnyy-ksvev-4h0-5mm-ssa-buhta-200m-rexant-01-4748-6/", "Инфо")</f>
        <v>Инфо</v>
      </c>
      <c r="F640" s="42" t="s">
        <v>1767</v>
      </c>
      <c r="G640" s="41" t="s">
        <v>40</v>
      </c>
      <c r="H640" s="41" t="s">
        <v>40</v>
      </c>
      <c r="I640" s="41"/>
      <c r="J640" s="47">
        <v>2800</v>
      </c>
      <c r="K640" s="41"/>
      <c r="L640" s="43">
        <v>200</v>
      </c>
      <c r="M640" s="43">
        <v>200</v>
      </c>
      <c r="N640" s="43">
        <v>200</v>
      </c>
      <c r="O640" s="44">
        <v>26.82</v>
      </c>
      <c r="P640" s="44">
        <v>21.98</v>
      </c>
      <c r="Q640" s="44">
        <v>18.77</v>
      </c>
      <c r="R640" s="44">
        <v>15.39</v>
      </c>
      <c r="S640" s="44">
        <v>18.239999999999998</v>
      </c>
      <c r="T640" s="44">
        <v>14.95</v>
      </c>
      <c r="U640" s="42"/>
      <c r="V640" s="42"/>
      <c r="W640" s="42"/>
      <c r="X640" s="45">
        <v>1.4E-2</v>
      </c>
      <c r="Y640" s="46">
        <v>2.6999999999999999E-5</v>
      </c>
      <c r="Z640" s="21">
        <v>4601004342408</v>
      </c>
    </row>
    <row r="641" spans="1:26" ht="12.95" customHeight="1" x14ac:dyDescent="0.2">
      <c r="A641" s="80" t="s">
        <v>14755</v>
      </c>
      <c r="B641" s="80"/>
      <c r="C641" s="81"/>
      <c r="D641" s="56"/>
      <c r="E641" s="66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  <c r="W641" s="28"/>
      <c r="X641" s="28"/>
      <c r="Y641" s="28"/>
      <c r="Z641" s="28"/>
    </row>
    <row r="642" spans="1:26" ht="12.95" customHeight="1" outlineLevel="1" x14ac:dyDescent="0.2">
      <c r="A642" s="78" t="s">
        <v>15707</v>
      </c>
      <c r="B642" s="78"/>
      <c r="C642" s="79"/>
      <c r="D642" s="57"/>
      <c r="E642" s="67"/>
      <c r="F642" s="29"/>
      <c r="G642" s="29"/>
      <c r="H642" s="29"/>
      <c r="I642" s="29"/>
      <c r="J642" s="29"/>
      <c r="K642" s="29"/>
      <c r="L642" s="29"/>
      <c r="M642" s="29"/>
      <c r="N642" s="29"/>
      <c r="O642" s="29"/>
      <c r="P642" s="29"/>
      <c r="Q642" s="29"/>
      <c r="R642" s="29"/>
      <c r="S642" s="29"/>
      <c r="T642" s="29"/>
      <c r="U642" s="29"/>
      <c r="V642" s="29"/>
      <c r="W642" s="29"/>
      <c r="X642" s="29"/>
      <c r="Y642" s="29"/>
      <c r="Z642" s="29"/>
    </row>
    <row r="643" spans="1:26" ht="12.95" customHeight="1" outlineLevel="2" x14ac:dyDescent="0.2">
      <c r="A643" s="76" t="s">
        <v>15708</v>
      </c>
      <c r="B643" s="76"/>
      <c r="C643" s="77"/>
      <c r="D643" s="58"/>
      <c r="E643" s="68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 spans="1:26" ht="12" customHeight="1" outlineLevel="3" x14ac:dyDescent="0.2">
      <c r="A644" s="40" t="s">
        <v>15734</v>
      </c>
      <c r="B644" s="75" t="s">
        <v>15732</v>
      </c>
      <c r="C644" s="51"/>
      <c r="D644" s="54">
        <f t="shared" si="9"/>
        <v>0</v>
      </c>
      <c r="E644" s="61" t="str">
        <f>HYPERLINK("https://www.sds-group.ru/product/kronshteyn-dlya-televizora-13-43-potolochnyy-podvesnoy-rexant-38-0309-1/", "Инфо")</f>
        <v>Инфо</v>
      </c>
      <c r="F644" s="42" t="s">
        <v>39</v>
      </c>
      <c r="G644" s="41" t="s">
        <v>40</v>
      </c>
      <c r="H644" s="41"/>
      <c r="I644" s="41"/>
      <c r="J644" s="43">
        <v>72</v>
      </c>
      <c r="K644" s="41"/>
      <c r="L644" s="43">
        <v>1</v>
      </c>
      <c r="M644" s="43">
        <v>10</v>
      </c>
      <c r="N644" s="43">
        <v>1</v>
      </c>
      <c r="O644" s="44">
        <v>2342.64</v>
      </c>
      <c r="P644" s="44">
        <v>1920.2</v>
      </c>
      <c r="Q644" s="44">
        <v>1850.69</v>
      </c>
      <c r="R644" s="44">
        <v>1516.96</v>
      </c>
      <c r="S644" s="44">
        <v>1593</v>
      </c>
      <c r="T644" s="44">
        <v>1305.74</v>
      </c>
      <c r="U644" s="42"/>
      <c r="V644" s="42"/>
      <c r="W644" s="42" t="s">
        <v>40</v>
      </c>
      <c r="X644" s="45">
        <v>2.0289999999999999</v>
      </c>
      <c r="Y644" s="46">
        <v>9.6970000000000008E-3</v>
      </c>
      <c r="Z644" s="21">
        <v>4601004310537</v>
      </c>
    </row>
    <row r="645" spans="1:26" ht="12" customHeight="1" outlineLevel="3" x14ac:dyDescent="0.2">
      <c r="A645" s="40" t="s">
        <v>15773</v>
      </c>
      <c r="B645" s="75" t="s">
        <v>15774</v>
      </c>
      <c r="C645" s="51"/>
      <c r="D645" s="54">
        <f t="shared" si="9"/>
        <v>0</v>
      </c>
      <c r="E645" s="61" t="str">
        <f>HYPERLINK("https://www.sds-group.ru/product/kronshteyn-dlya-televizora-32-65-naklonnyy-s-bystroy-fiksatsiey-rexant-38-0339-1/", "Инфо")</f>
        <v>Инфо</v>
      </c>
      <c r="F645" s="42" t="s">
        <v>39</v>
      </c>
      <c r="G645" s="41" t="s">
        <v>40</v>
      </c>
      <c r="H645" s="41"/>
      <c r="I645" s="41"/>
      <c r="J645" s="43">
        <v>858</v>
      </c>
      <c r="K645" s="41"/>
      <c r="L645" s="43">
        <v>1</v>
      </c>
      <c r="M645" s="43">
        <v>10</v>
      </c>
      <c r="N645" s="43">
        <v>1</v>
      </c>
      <c r="O645" s="44">
        <v>2444.38</v>
      </c>
      <c r="P645" s="44">
        <v>2003.59</v>
      </c>
      <c r="Q645" s="44">
        <v>1711.07</v>
      </c>
      <c r="R645" s="44">
        <v>1402.52</v>
      </c>
      <c r="S645" s="44">
        <v>1662.18</v>
      </c>
      <c r="T645" s="44">
        <v>1362.44</v>
      </c>
      <c r="U645" s="42"/>
      <c r="V645" s="42"/>
      <c r="W645" s="42" t="s">
        <v>40</v>
      </c>
      <c r="X645" s="45">
        <v>1.89</v>
      </c>
      <c r="Y645" s="46">
        <v>3.8739999999999998E-3</v>
      </c>
      <c r="Z645" s="21">
        <v>4601004308879</v>
      </c>
    </row>
    <row r="646" spans="1:26" ht="12" customHeight="1" outlineLevel="3" x14ac:dyDescent="0.2">
      <c r="A646" s="40" t="s">
        <v>15775</v>
      </c>
      <c r="B646" s="75" t="s">
        <v>15776</v>
      </c>
      <c r="C646" s="51"/>
      <c r="D646" s="54">
        <f t="shared" si="9"/>
        <v>0</v>
      </c>
      <c r="E646" s="61" t="str">
        <f>HYPERLINK("https://www.sds-group.ru/product/kronshteyn-dlya-televizora-32-65-potolochnyy-podvesnoy-rexant-38-0311-1/", "Инфо")</f>
        <v>Инфо</v>
      </c>
      <c r="F646" s="42" t="s">
        <v>39</v>
      </c>
      <c r="G646" s="41" t="s">
        <v>40</v>
      </c>
      <c r="H646" s="41"/>
      <c r="I646" s="41"/>
      <c r="J646" s="43">
        <v>160</v>
      </c>
      <c r="K646" s="41"/>
      <c r="L646" s="43">
        <v>1</v>
      </c>
      <c r="M646" s="43">
        <v>10</v>
      </c>
      <c r="N646" s="43">
        <v>1</v>
      </c>
      <c r="O646" s="44">
        <v>3002.98</v>
      </c>
      <c r="P646" s="44">
        <v>2461.46</v>
      </c>
      <c r="Q646" s="44">
        <v>2312.29</v>
      </c>
      <c r="R646" s="44">
        <v>1895.32</v>
      </c>
      <c r="S646" s="44">
        <v>2042.03</v>
      </c>
      <c r="T646" s="44">
        <v>1673.8</v>
      </c>
      <c r="U646" s="42"/>
      <c r="V646" s="42"/>
      <c r="W646" s="42" t="s">
        <v>40</v>
      </c>
      <c r="X646" s="45">
        <v>2.5649999999999999</v>
      </c>
      <c r="Y646" s="46">
        <v>7.0609999999999996E-3</v>
      </c>
      <c r="Z646" s="21">
        <v>4601004308848</v>
      </c>
    </row>
    <row r="647" spans="1:26" ht="12" customHeight="1" outlineLevel="3" x14ac:dyDescent="0.2">
      <c r="A647" s="40" t="s">
        <v>15779</v>
      </c>
      <c r="B647" s="75" t="s">
        <v>15780</v>
      </c>
      <c r="C647" s="51"/>
      <c r="D647" s="54">
        <f t="shared" si="9"/>
        <v>0</v>
      </c>
      <c r="E647" s="61" t="str">
        <f>HYPERLINK("https://www.sds-group.ru/product/kronshteyn-dlya-televizora-32-70-naklonno-povorotnyy-2-kolena-rexant-38-0081-1/", "Инфо")</f>
        <v>Инфо</v>
      </c>
      <c r="F647" s="42" t="s">
        <v>39</v>
      </c>
      <c r="G647" s="41" t="s">
        <v>40</v>
      </c>
      <c r="H647" s="41"/>
      <c r="I647" s="41"/>
      <c r="J647" s="43">
        <v>63</v>
      </c>
      <c r="K647" s="41"/>
      <c r="L647" s="43">
        <v>1</v>
      </c>
      <c r="M647" s="43">
        <v>10</v>
      </c>
      <c r="N647" s="43">
        <v>1</v>
      </c>
      <c r="O647" s="44">
        <v>1989.62</v>
      </c>
      <c r="P647" s="44">
        <v>1630.84</v>
      </c>
      <c r="Q647" s="44">
        <v>1532.01</v>
      </c>
      <c r="R647" s="44">
        <v>1255.75</v>
      </c>
      <c r="S647" s="44">
        <v>1352.94</v>
      </c>
      <c r="T647" s="44">
        <v>1108.97</v>
      </c>
      <c r="U647" s="42"/>
      <c r="V647" s="42"/>
      <c r="W647" s="42" t="s">
        <v>40</v>
      </c>
      <c r="X647" s="45">
        <v>1.7969999999999999</v>
      </c>
      <c r="Y647" s="46">
        <v>5.9820000000000003E-3</v>
      </c>
      <c r="Z647" s="21">
        <v>4601004310469</v>
      </c>
    </row>
    <row r="648" spans="1:26" ht="12" customHeight="1" outlineLevel="3" x14ac:dyDescent="0.2">
      <c r="A648" s="40" t="s">
        <v>15783</v>
      </c>
      <c r="B648" s="75" t="s">
        <v>15782</v>
      </c>
      <c r="C648" s="51"/>
      <c r="D648" s="54">
        <f t="shared" si="9"/>
        <v>0</v>
      </c>
      <c r="E648" s="61" t="str">
        <f>HYPERLINK("https://www.sds-group.ru/product/kronshteyn-dlya-televizora-32-70-naklonno-povorotnyy-dvoynoe-koleno-rexant-38-0334-1/", "Инфо")</f>
        <v>Инфо</v>
      </c>
      <c r="F648" s="42" t="s">
        <v>39</v>
      </c>
      <c r="G648" s="41" t="s">
        <v>40</v>
      </c>
      <c r="H648" s="41"/>
      <c r="I648" s="41"/>
      <c r="J648" s="43">
        <v>362</v>
      </c>
      <c r="K648" s="41"/>
      <c r="L648" s="43">
        <v>1</v>
      </c>
      <c r="M648" s="43">
        <v>5</v>
      </c>
      <c r="N648" s="43">
        <v>1</v>
      </c>
      <c r="O648" s="44">
        <v>3995.14</v>
      </c>
      <c r="P648" s="44">
        <v>3274.7</v>
      </c>
      <c r="Q648" s="44">
        <v>2916.45</v>
      </c>
      <c r="R648" s="44">
        <v>2390.5300000000002</v>
      </c>
      <c r="S648" s="44">
        <v>2716.7</v>
      </c>
      <c r="T648" s="44">
        <v>2226.8000000000002</v>
      </c>
      <c r="U648" s="42"/>
      <c r="V648" s="42"/>
      <c r="W648" s="42" t="s">
        <v>40</v>
      </c>
      <c r="X648" s="45">
        <v>4.024</v>
      </c>
      <c r="Y648" s="46">
        <v>9.3659999999999993E-3</v>
      </c>
      <c r="Z648" s="21">
        <v>4601004310476</v>
      </c>
    </row>
    <row r="649" spans="1:26" ht="12" customHeight="1" outlineLevel="3" x14ac:dyDescent="0.2">
      <c r="A649" s="40" t="s">
        <v>15786</v>
      </c>
      <c r="B649" s="75" t="s">
        <v>15785</v>
      </c>
      <c r="C649" s="51"/>
      <c r="D649" s="54">
        <f t="shared" si="9"/>
        <v>0</v>
      </c>
      <c r="E649" s="61" t="str">
        <f>HYPERLINK("https://www.sds-group.ru/product/kronshteyn-dlya-televizora-32-70-naklonnyy-rexant-38-0336-1/", "Инфо")</f>
        <v>Инфо</v>
      </c>
      <c r="F649" s="42" t="s">
        <v>39</v>
      </c>
      <c r="G649" s="41" t="s">
        <v>40</v>
      </c>
      <c r="H649" s="41"/>
      <c r="I649" s="41"/>
      <c r="J649" s="42" t="s">
        <v>100</v>
      </c>
      <c r="K649" s="41"/>
      <c r="L649" s="43">
        <v>1</v>
      </c>
      <c r="M649" s="43">
        <v>10</v>
      </c>
      <c r="N649" s="43">
        <v>1</v>
      </c>
      <c r="O649" s="44">
        <v>1487.18</v>
      </c>
      <c r="P649" s="44">
        <v>1219</v>
      </c>
      <c r="Q649" s="44">
        <v>1174.8699999999999</v>
      </c>
      <c r="R649" s="44">
        <v>963.01</v>
      </c>
      <c r="S649" s="44">
        <v>1011.28</v>
      </c>
      <c r="T649" s="44">
        <v>828.92</v>
      </c>
      <c r="U649" s="42"/>
      <c r="V649" s="42"/>
      <c r="W649" s="42" t="s">
        <v>40</v>
      </c>
      <c r="X649" s="45">
        <v>1.526</v>
      </c>
      <c r="Y649" s="46">
        <v>4.2929999999999999E-3</v>
      </c>
      <c r="Z649" s="21">
        <v>4601004308794</v>
      </c>
    </row>
    <row r="650" spans="1:26" ht="12" customHeight="1" outlineLevel="3" x14ac:dyDescent="0.2">
      <c r="A650" s="40" t="s">
        <v>15789</v>
      </c>
      <c r="B650" s="75" t="s">
        <v>15790</v>
      </c>
      <c r="C650" s="51"/>
      <c r="D650" s="54">
        <f t="shared" si="9"/>
        <v>0</v>
      </c>
      <c r="E650" s="61" t="str">
        <f>HYPERLINK("https://www.sds-group.ru/product/kronshteyn-dlya-televizora-32-70-fiksirovannyy-s-bystroy-fiksatsiey-rexant-38-0337-1/", "Инфо")</f>
        <v>Инфо</v>
      </c>
      <c r="F650" s="42" t="s">
        <v>39</v>
      </c>
      <c r="G650" s="41" t="s">
        <v>40</v>
      </c>
      <c r="H650" s="41"/>
      <c r="I650" s="41"/>
      <c r="J650" s="42" t="s">
        <v>100</v>
      </c>
      <c r="K650" s="41"/>
      <c r="L650" s="43">
        <v>1</v>
      </c>
      <c r="M650" s="43">
        <v>10</v>
      </c>
      <c r="N650" s="43">
        <v>1</v>
      </c>
      <c r="O650" s="44">
        <v>1615.44</v>
      </c>
      <c r="P650" s="44">
        <v>1324.13</v>
      </c>
      <c r="Q650" s="44">
        <v>1130.81</v>
      </c>
      <c r="R650" s="44">
        <v>926.89</v>
      </c>
      <c r="S650" s="44">
        <v>1098.5</v>
      </c>
      <c r="T650" s="44">
        <v>900.41</v>
      </c>
      <c r="U650" s="42"/>
      <c r="V650" s="42"/>
      <c r="W650" s="42" t="s">
        <v>40</v>
      </c>
      <c r="X650" s="45">
        <v>1.421</v>
      </c>
      <c r="Y650" s="46">
        <v>3.003E-3</v>
      </c>
      <c r="Z650" s="21">
        <v>4601004308893</v>
      </c>
    </row>
    <row r="651" spans="1:26" ht="12" customHeight="1" outlineLevel="3" x14ac:dyDescent="0.2">
      <c r="A651" s="40" t="s">
        <v>15795</v>
      </c>
      <c r="B651" s="75" t="s">
        <v>15796</v>
      </c>
      <c r="C651" s="51"/>
      <c r="D651" s="54">
        <f t="shared" ref="D651:D714" si="10">C651*(O651-O651*$G$3)</f>
        <v>0</v>
      </c>
      <c r="E651" s="61" t="str">
        <f>HYPERLINK("https://www.sds-group.ru/product/kronshteyn-dlya-televizora-32-75-naklonnyy-rexant-38-0090-1/", "Инфо")</f>
        <v>Инфо</v>
      </c>
      <c r="F651" s="42" t="s">
        <v>39</v>
      </c>
      <c r="G651" s="41" t="s">
        <v>40</v>
      </c>
      <c r="H651" s="41"/>
      <c r="I651" s="41"/>
      <c r="J651" s="47">
        <v>1234</v>
      </c>
      <c r="K651" s="41"/>
      <c r="L651" s="43">
        <v>1</v>
      </c>
      <c r="M651" s="43">
        <v>10</v>
      </c>
      <c r="N651" s="43">
        <v>1</v>
      </c>
      <c r="O651" s="44">
        <v>1496.72</v>
      </c>
      <c r="P651" s="44">
        <v>1226.82</v>
      </c>
      <c r="Q651" s="44">
        <v>1182.4100000000001</v>
      </c>
      <c r="R651" s="44">
        <v>969.19</v>
      </c>
      <c r="S651" s="44">
        <v>1017.77</v>
      </c>
      <c r="T651" s="44">
        <v>834.24</v>
      </c>
      <c r="U651" s="42"/>
      <c r="V651" s="42"/>
      <c r="W651" s="42" t="s">
        <v>40</v>
      </c>
      <c r="X651" s="45">
        <v>1.393</v>
      </c>
      <c r="Y651" s="46">
        <v>4.6759999999999996E-3</v>
      </c>
      <c r="Z651" s="21">
        <v>4601004308787</v>
      </c>
    </row>
    <row r="652" spans="1:26" ht="12" customHeight="1" outlineLevel="3" x14ac:dyDescent="0.2">
      <c r="A652" s="40" t="s">
        <v>15799</v>
      </c>
      <c r="B652" s="75" t="s">
        <v>15800</v>
      </c>
      <c r="C652" s="51"/>
      <c r="D652" s="54">
        <f t="shared" si="10"/>
        <v>0</v>
      </c>
      <c r="E652" s="61" t="str">
        <f>HYPERLINK("https://www.sds-group.ru/product/kronshteyn-dlya-televizora-32-85-naklonnyy-rexant-38-0344-1/", "Инфо")</f>
        <v>Инфо</v>
      </c>
      <c r="F652" s="42" t="s">
        <v>39</v>
      </c>
      <c r="G652" s="41" t="s">
        <v>40</v>
      </c>
      <c r="H652" s="41"/>
      <c r="I652" s="41"/>
      <c r="J652" s="43">
        <v>377</v>
      </c>
      <c r="K652" s="41"/>
      <c r="L652" s="43">
        <v>1</v>
      </c>
      <c r="M652" s="43">
        <v>10</v>
      </c>
      <c r="N652" s="43">
        <v>1</v>
      </c>
      <c r="O652" s="44">
        <v>2308.6799999999998</v>
      </c>
      <c r="P652" s="44">
        <v>1892.36</v>
      </c>
      <c r="Q652" s="44">
        <v>1777.68</v>
      </c>
      <c r="R652" s="44">
        <v>1457.11</v>
      </c>
      <c r="S652" s="44">
        <v>1569.9</v>
      </c>
      <c r="T652" s="44">
        <v>1286.8</v>
      </c>
      <c r="U652" s="42"/>
      <c r="V652" s="42"/>
      <c r="W652" s="42" t="s">
        <v>40</v>
      </c>
      <c r="X652" s="45">
        <v>2.286</v>
      </c>
      <c r="Y652" s="46">
        <v>5.8900000000000003E-3</v>
      </c>
      <c r="Z652" s="21">
        <v>4601004310506</v>
      </c>
    </row>
    <row r="653" spans="1:26" ht="12" customHeight="1" outlineLevel="3" x14ac:dyDescent="0.2">
      <c r="A653" s="40" t="s">
        <v>15801</v>
      </c>
      <c r="B653" s="75" t="s">
        <v>15802</v>
      </c>
      <c r="C653" s="51"/>
      <c r="D653" s="54">
        <f t="shared" si="10"/>
        <v>0</v>
      </c>
      <c r="E653" s="61" t="str">
        <f>HYPERLINK("https://www.sds-group.ru/product/kronshteyn-dlya-televizora-32-85-potolochnyy-podvesnoy-rexant-38-0324/", "Инфо")</f>
        <v>Инфо</v>
      </c>
      <c r="F653" s="42" t="s">
        <v>39</v>
      </c>
      <c r="G653" s="41" t="s">
        <v>40</v>
      </c>
      <c r="H653" s="41"/>
      <c r="I653" s="41"/>
      <c r="J653" s="43">
        <v>187</v>
      </c>
      <c r="K653" s="41"/>
      <c r="L653" s="43">
        <v>1</v>
      </c>
      <c r="M653" s="43">
        <v>5</v>
      </c>
      <c r="N653" s="43">
        <v>1</v>
      </c>
      <c r="O653" s="44">
        <v>5521.54</v>
      </c>
      <c r="P653" s="44">
        <v>4525.8500000000004</v>
      </c>
      <c r="Q653" s="44">
        <v>3865.08</v>
      </c>
      <c r="R653" s="44">
        <v>3168.1</v>
      </c>
      <c r="S653" s="44">
        <v>3754.65</v>
      </c>
      <c r="T653" s="44">
        <v>3077.58</v>
      </c>
      <c r="U653" s="42"/>
      <c r="V653" s="42"/>
      <c r="W653" s="42" t="s">
        <v>40</v>
      </c>
      <c r="X653" s="45">
        <v>4.2889999999999997</v>
      </c>
      <c r="Y653" s="46">
        <v>1.7010000000000001E-2</v>
      </c>
      <c r="Z653" s="21">
        <v>4601004308855</v>
      </c>
    </row>
    <row r="654" spans="1:26" ht="12" customHeight="1" outlineLevel="3" x14ac:dyDescent="0.2">
      <c r="A654" s="40" t="s">
        <v>15822</v>
      </c>
      <c r="B654" s="75" t="s">
        <v>15823</v>
      </c>
      <c r="C654" s="51"/>
      <c r="D654" s="54">
        <f t="shared" si="10"/>
        <v>0</v>
      </c>
      <c r="E654" s="61" t="str">
        <f>HYPERLINK("https://www.sds-group.ru/product/kronshteyn-dlya-televizora-40-100-naklonnyy-rexant-38-0346-1/", "Инфо")</f>
        <v>Инфо</v>
      </c>
      <c r="F654" s="42" t="s">
        <v>39</v>
      </c>
      <c r="G654" s="41" t="s">
        <v>40</v>
      </c>
      <c r="H654" s="41"/>
      <c r="I654" s="41"/>
      <c r="J654" s="43">
        <v>53</v>
      </c>
      <c r="K654" s="41"/>
      <c r="L654" s="43">
        <v>1</v>
      </c>
      <c r="M654" s="43">
        <v>10</v>
      </c>
      <c r="N654" s="43">
        <v>1</v>
      </c>
      <c r="O654" s="44">
        <v>2546.12</v>
      </c>
      <c r="P654" s="44">
        <v>2086.98</v>
      </c>
      <c r="Q654" s="44">
        <v>1960.51</v>
      </c>
      <c r="R654" s="44">
        <v>1606.98</v>
      </c>
      <c r="S654" s="44">
        <v>1731.36</v>
      </c>
      <c r="T654" s="44">
        <v>1419.15</v>
      </c>
      <c r="U654" s="42"/>
      <c r="V654" s="42"/>
      <c r="W654" s="42" t="s">
        <v>40</v>
      </c>
      <c r="X654" s="45">
        <v>2.2490000000000001</v>
      </c>
      <c r="Y654" s="46">
        <v>6.5900000000000004E-3</v>
      </c>
      <c r="Z654" s="21">
        <v>4601004310520</v>
      </c>
    </row>
    <row r="655" spans="1:26" ht="12" customHeight="1" outlineLevel="3" x14ac:dyDescent="0.2">
      <c r="A655" s="40" t="s">
        <v>15824</v>
      </c>
      <c r="B655" s="75" t="s">
        <v>15825</v>
      </c>
      <c r="C655" s="51"/>
      <c r="D655" s="54">
        <f t="shared" si="10"/>
        <v>0</v>
      </c>
      <c r="E655" s="61" t="str">
        <f>HYPERLINK("https://www.sds-group.ru/product/kronshteyn-dlya-televizora-40-75-naklonnyy-s-bystroy-fiksatsiey-rexant-38-0341-1/", "Инфо")</f>
        <v>Инфо</v>
      </c>
      <c r="F655" s="42" t="s">
        <v>39</v>
      </c>
      <c r="G655" s="41" t="s">
        <v>40</v>
      </c>
      <c r="H655" s="41"/>
      <c r="I655" s="41"/>
      <c r="J655" s="43">
        <v>907</v>
      </c>
      <c r="K655" s="41"/>
      <c r="L655" s="43">
        <v>1</v>
      </c>
      <c r="M655" s="43">
        <v>10</v>
      </c>
      <c r="N655" s="43">
        <v>1</v>
      </c>
      <c r="O655" s="44">
        <v>3001.69</v>
      </c>
      <c r="P655" s="44">
        <v>2460.4</v>
      </c>
      <c r="Q655" s="44">
        <v>2311.3000000000002</v>
      </c>
      <c r="R655" s="44">
        <v>1894.51</v>
      </c>
      <c r="S655" s="44">
        <v>2041.15</v>
      </c>
      <c r="T655" s="44">
        <v>1673.07</v>
      </c>
      <c r="U655" s="42"/>
      <c r="V655" s="42"/>
      <c r="W655" s="42" t="s">
        <v>40</v>
      </c>
      <c r="X655" s="45">
        <v>2.1389999999999998</v>
      </c>
      <c r="Y655" s="46">
        <v>5.3299999999999997E-3</v>
      </c>
      <c r="Z655" s="21">
        <v>4601004308763</v>
      </c>
    </row>
    <row r="656" spans="1:26" ht="12" customHeight="1" outlineLevel="3" x14ac:dyDescent="0.2">
      <c r="A656" s="40" t="s">
        <v>15826</v>
      </c>
      <c r="B656" s="75" t="s">
        <v>15827</v>
      </c>
      <c r="C656" s="51"/>
      <c r="D656" s="54">
        <f t="shared" si="10"/>
        <v>0</v>
      </c>
      <c r="E656" s="61" t="str">
        <f>HYPERLINK("https://www.sds-group.ru/product/kronshteyn-dlya-televizora-40-80-fiksirovannyy-s-bystroy-fiksatsiey-rexant-38-0338-1/", "Инфо")</f>
        <v>Инфо</v>
      </c>
      <c r="F656" s="42" t="s">
        <v>39</v>
      </c>
      <c r="G656" s="41" t="s">
        <v>40</v>
      </c>
      <c r="H656" s="41"/>
      <c r="I656" s="41"/>
      <c r="J656" s="43">
        <v>909</v>
      </c>
      <c r="K656" s="41"/>
      <c r="L656" s="43">
        <v>1</v>
      </c>
      <c r="M656" s="43">
        <v>10</v>
      </c>
      <c r="N656" s="43">
        <v>1</v>
      </c>
      <c r="O656" s="44">
        <v>1848.39</v>
      </c>
      <c r="P656" s="44">
        <v>1515.07</v>
      </c>
      <c r="Q656" s="44">
        <v>1293.8699999999999</v>
      </c>
      <c r="R656" s="44">
        <v>1060.55</v>
      </c>
      <c r="S656" s="44">
        <v>1256.9100000000001</v>
      </c>
      <c r="T656" s="44">
        <v>1030.25</v>
      </c>
      <c r="U656" s="42"/>
      <c r="V656" s="42"/>
      <c r="W656" s="42" t="s">
        <v>40</v>
      </c>
      <c r="X656" s="45">
        <v>1.645</v>
      </c>
      <c r="Y656" s="46">
        <v>4.0429999999999997E-3</v>
      </c>
      <c r="Z656" s="21">
        <v>4601004308886</v>
      </c>
    </row>
    <row r="657" spans="1:26" ht="12" customHeight="1" outlineLevel="3" x14ac:dyDescent="0.2">
      <c r="A657" s="40" t="s">
        <v>15834</v>
      </c>
      <c r="B657" s="75" t="s">
        <v>15835</v>
      </c>
      <c r="C657" s="51"/>
      <c r="D657" s="54">
        <f t="shared" si="10"/>
        <v>0</v>
      </c>
      <c r="E657" s="61" t="str">
        <f>HYPERLINK("https://www.sds-group.ru/product/kronshteyn-dlya-televizora-55-120-naklonnyy-rexant-38-0352/", "Инфо")</f>
        <v>Инфо</v>
      </c>
      <c r="F657" s="42" t="s">
        <v>39</v>
      </c>
      <c r="G657" s="41" t="s">
        <v>40</v>
      </c>
      <c r="H657" s="41"/>
      <c r="I657" s="41"/>
      <c r="J657" s="43">
        <v>159</v>
      </c>
      <c r="K657" s="41"/>
      <c r="L657" s="43">
        <v>1</v>
      </c>
      <c r="M657" s="43">
        <v>5</v>
      </c>
      <c r="N657" s="43">
        <v>1</v>
      </c>
      <c r="O657" s="44">
        <v>3990.9</v>
      </c>
      <c r="P657" s="44">
        <v>3271.23</v>
      </c>
      <c r="Q657" s="44">
        <v>2913.36</v>
      </c>
      <c r="R657" s="44">
        <v>2388</v>
      </c>
      <c r="S657" s="44">
        <v>2713.81</v>
      </c>
      <c r="T657" s="44">
        <v>2224.4299999999998</v>
      </c>
      <c r="U657" s="42"/>
      <c r="V657" s="42"/>
      <c r="W657" s="42" t="s">
        <v>40</v>
      </c>
      <c r="X657" s="45">
        <v>3.1859999999999999</v>
      </c>
      <c r="Y657" s="46">
        <v>7.7499999999999999E-3</v>
      </c>
      <c r="Z657" s="21">
        <v>4601004310490</v>
      </c>
    </row>
    <row r="658" spans="1:26" ht="12.95" customHeight="1" x14ac:dyDescent="0.2">
      <c r="A658" s="80" t="s">
        <v>15973</v>
      </c>
      <c r="B658" s="80"/>
      <c r="C658" s="81"/>
      <c r="D658" s="56"/>
      <c r="E658" s="66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  <c r="W658" s="28"/>
      <c r="X658" s="28"/>
      <c r="Y658" s="28"/>
      <c r="Z658" s="28"/>
    </row>
    <row r="659" spans="1:26" ht="12.95" customHeight="1" outlineLevel="1" x14ac:dyDescent="0.2">
      <c r="A659" s="78" t="s">
        <v>15974</v>
      </c>
      <c r="B659" s="78"/>
      <c r="C659" s="79"/>
      <c r="D659" s="57"/>
      <c r="E659" s="67"/>
      <c r="F659" s="29"/>
      <c r="G659" s="29"/>
      <c r="H659" s="29"/>
      <c r="I659" s="29"/>
      <c r="J659" s="29"/>
      <c r="K659" s="29"/>
      <c r="L659" s="29"/>
      <c r="M659" s="29"/>
      <c r="N659" s="29"/>
      <c r="O659" s="29"/>
      <c r="P659" s="29"/>
      <c r="Q659" s="29"/>
      <c r="R659" s="29"/>
      <c r="S659" s="29"/>
      <c r="T659" s="29"/>
      <c r="U659" s="29"/>
      <c r="V659" s="29"/>
      <c r="W659" s="29"/>
      <c r="X659" s="29"/>
      <c r="Y659" s="29"/>
      <c r="Z659" s="29"/>
    </row>
    <row r="660" spans="1:26" ht="12.95" customHeight="1" outlineLevel="2" x14ac:dyDescent="0.2">
      <c r="A660" s="76" t="s">
        <v>16442</v>
      </c>
      <c r="B660" s="76"/>
      <c r="C660" s="77"/>
      <c r="D660" s="58"/>
      <c r="E660" s="68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 spans="1:26" ht="12.95" customHeight="1" outlineLevel="3" x14ac:dyDescent="0.2">
      <c r="A661" s="76" t="s">
        <v>16518</v>
      </c>
      <c r="B661" s="76"/>
      <c r="C661" s="77"/>
      <c r="D661" s="58"/>
      <c r="E661" s="68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 spans="1:26" ht="12" customHeight="1" outlineLevel="4" x14ac:dyDescent="0.2">
      <c r="A662" s="40" t="s">
        <v>16519</v>
      </c>
      <c r="B662" s="75" t="s">
        <v>16520</v>
      </c>
      <c r="C662" s="51"/>
      <c r="D662" s="54">
        <f t="shared" si="10"/>
        <v>0</v>
      </c>
      <c r="E662" s="62"/>
      <c r="F662" s="42" t="s">
        <v>39</v>
      </c>
      <c r="G662" s="41" t="s">
        <v>40</v>
      </c>
      <c r="H662" s="41"/>
      <c r="I662" s="41"/>
      <c r="J662" s="43">
        <v>773</v>
      </c>
      <c r="K662" s="41"/>
      <c r="L662" s="43">
        <v>1</v>
      </c>
      <c r="M662" s="43">
        <v>32</v>
      </c>
      <c r="N662" s="43">
        <v>1</v>
      </c>
      <c r="O662" s="44">
        <v>742</v>
      </c>
      <c r="P662" s="44">
        <v>608.20000000000005</v>
      </c>
      <c r="Q662" s="44">
        <v>519.4</v>
      </c>
      <c r="R662" s="44">
        <v>425.74</v>
      </c>
      <c r="S662" s="44">
        <v>504.56</v>
      </c>
      <c r="T662" s="44">
        <v>413.57</v>
      </c>
      <c r="U662" s="42"/>
      <c r="V662" s="42"/>
      <c r="W662" s="42"/>
      <c r="X662" s="45">
        <v>0.2</v>
      </c>
      <c r="Y662" s="46">
        <v>7.2000000000000015E-4</v>
      </c>
      <c r="Z662" s="21">
        <v>4601004342637</v>
      </c>
    </row>
    <row r="663" spans="1:26" ht="12" customHeight="1" outlineLevel="4" x14ac:dyDescent="0.2">
      <c r="A663" s="40" t="s">
        <v>16521</v>
      </c>
      <c r="B663" s="75" t="s">
        <v>16522</v>
      </c>
      <c r="C663" s="51"/>
      <c r="D663" s="54">
        <f t="shared" si="10"/>
        <v>0</v>
      </c>
      <c r="E663" s="62"/>
      <c r="F663" s="42" t="s">
        <v>39</v>
      </c>
      <c r="G663" s="41" t="s">
        <v>40</v>
      </c>
      <c r="H663" s="41"/>
      <c r="I663" s="41"/>
      <c r="J663" s="43">
        <v>766</v>
      </c>
      <c r="K663" s="41"/>
      <c r="L663" s="43">
        <v>1</v>
      </c>
      <c r="M663" s="43">
        <v>20</v>
      </c>
      <c r="N663" s="43">
        <v>1</v>
      </c>
      <c r="O663" s="44">
        <v>1325</v>
      </c>
      <c r="P663" s="44">
        <v>1086.07</v>
      </c>
      <c r="Q663" s="44">
        <v>927.5</v>
      </c>
      <c r="R663" s="44">
        <v>760.25</v>
      </c>
      <c r="S663" s="44">
        <v>901</v>
      </c>
      <c r="T663" s="44">
        <v>738.52</v>
      </c>
      <c r="U663" s="42"/>
      <c r="V663" s="42"/>
      <c r="W663" s="42"/>
      <c r="X663" s="45">
        <v>0.375</v>
      </c>
      <c r="Y663" s="46">
        <v>5.7499999999999999E-4</v>
      </c>
      <c r="Z663" s="21">
        <v>4601004342644</v>
      </c>
    </row>
    <row r="664" spans="1:26" ht="12" customHeight="1" outlineLevel="4" x14ac:dyDescent="0.2">
      <c r="A664" s="40" t="s">
        <v>16523</v>
      </c>
      <c r="B664" s="75" t="s">
        <v>16524</v>
      </c>
      <c r="C664" s="51"/>
      <c r="D664" s="54">
        <f t="shared" si="10"/>
        <v>0</v>
      </c>
      <c r="E664" s="62"/>
      <c r="F664" s="42" t="s">
        <v>39</v>
      </c>
      <c r="G664" s="41" t="s">
        <v>40</v>
      </c>
      <c r="H664" s="41"/>
      <c r="I664" s="41"/>
      <c r="J664" s="43">
        <v>234</v>
      </c>
      <c r="K664" s="41" t="s">
        <v>1888</v>
      </c>
      <c r="L664" s="43">
        <v>1</v>
      </c>
      <c r="M664" s="43">
        <v>30</v>
      </c>
      <c r="N664" s="43">
        <v>1</v>
      </c>
      <c r="O664" s="44">
        <v>485.48</v>
      </c>
      <c r="P664" s="44">
        <v>397.93</v>
      </c>
      <c r="Q664" s="44">
        <v>339.84</v>
      </c>
      <c r="R664" s="44">
        <v>278.56</v>
      </c>
      <c r="S664" s="44">
        <v>330.13</v>
      </c>
      <c r="T664" s="44">
        <v>270.60000000000002</v>
      </c>
      <c r="U664" s="42"/>
      <c r="V664" s="42"/>
      <c r="W664" s="42"/>
      <c r="X664" s="45">
        <v>5.3999999999999999E-2</v>
      </c>
      <c r="Y664" s="46">
        <v>4.46E-4</v>
      </c>
      <c r="Z664" s="21">
        <v>4601004330924</v>
      </c>
    </row>
    <row r="665" spans="1:26" ht="12" customHeight="1" outlineLevel="4" x14ac:dyDescent="0.2">
      <c r="A665" s="40" t="s">
        <v>16525</v>
      </c>
      <c r="B665" s="75" t="s">
        <v>16526</v>
      </c>
      <c r="C665" s="51"/>
      <c r="D665" s="54">
        <f t="shared" si="10"/>
        <v>0</v>
      </c>
      <c r="E665" s="62"/>
      <c r="F665" s="42" t="s">
        <v>39</v>
      </c>
      <c r="G665" s="41" t="s">
        <v>40</v>
      </c>
      <c r="H665" s="41"/>
      <c r="I665" s="41"/>
      <c r="J665" s="43">
        <v>498</v>
      </c>
      <c r="K665" s="41"/>
      <c r="L665" s="43">
        <v>5</v>
      </c>
      <c r="M665" s="43">
        <v>25</v>
      </c>
      <c r="N665" s="43">
        <v>5</v>
      </c>
      <c r="O665" s="44">
        <v>382.66</v>
      </c>
      <c r="P665" s="44">
        <v>313.66000000000003</v>
      </c>
      <c r="Q665" s="44">
        <v>267.86</v>
      </c>
      <c r="R665" s="44">
        <v>219.56</v>
      </c>
      <c r="S665" s="44">
        <v>260.20999999999998</v>
      </c>
      <c r="T665" s="44">
        <v>213.29</v>
      </c>
      <c r="U665" s="42"/>
      <c r="V665" s="42"/>
      <c r="W665" s="42"/>
      <c r="X665" s="45">
        <v>1.6E-2</v>
      </c>
      <c r="Y665" s="46">
        <v>5.8799999999999998E-4</v>
      </c>
      <c r="Z665" s="21">
        <v>4601004330931</v>
      </c>
    </row>
    <row r="666" spans="1:26" ht="12" customHeight="1" outlineLevel="4" x14ac:dyDescent="0.2">
      <c r="A666" s="40" t="s">
        <v>16527</v>
      </c>
      <c r="B666" s="75" t="s">
        <v>16528</v>
      </c>
      <c r="C666" s="51"/>
      <c r="D666" s="54">
        <f t="shared" si="10"/>
        <v>0</v>
      </c>
      <c r="E666" s="62"/>
      <c r="F666" s="42" t="s">
        <v>39</v>
      </c>
      <c r="G666" s="41" t="s">
        <v>40</v>
      </c>
      <c r="H666" s="41"/>
      <c r="I666" s="41"/>
      <c r="J666" s="43">
        <v>596</v>
      </c>
      <c r="K666" s="41"/>
      <c r="L666" s="43">
        <v>5</v>
      </c>
      <c r="M666" s="43">
        <v>25</v>
      </c>
      <c r="N666" s="43">
        <v>5</v>
      </c>
      <c r="O666" s="44">
        <v>382.66</v>
      </c>
      <c r="P666" s="44">
        <v>313.66000000000003</v>
      </c>
      <c r="Q666" s="44">
        <v>267.86</v>
      </c>
      <c r="R666" s="44">
        <v>219.56</v>
      </c>
      <c r="S666" s="44">
        <v>260.20999999999998</v>
      </c>
      <c r="T666" s="44">
        <v>213.29</v>
      </c>
      <c r="U666" s="42"/>
      <c r="V666" s="42"/>
      <c r="W666" s="42"/>
      <c r="X666" s="45">
        <v>1.6E-2</v>
      </c>
      <c r="Y666" s="46">
        <v>5.8799999999999998E-4</v>
      </c>
      <c r="Z666" s="21">
        <v>4601004330917</v>
      </c>
    </row>
    <row r="667" spans="1:26" ht="12.95" customHeight="1" outlineLevel="2" x14ac:dyDescent="0.2">
      <c r="A667" s="76" t="s">
        <v>16529</v>
      </c>
      <c r="B667" s="76"/>
      <c r="C667" s="77"/>
      <c r="D667" s="58"/>
      <c r="E667" s="68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 spans="1:26" ht="12.95" customHeight="1" outlineLevel="3" x14ac:dyDescent="0.2">
      <c r="A668" s="76" t="s">
        <v>16530</v>
      </c>
      <c r="B668" s="76"/>
      <c r="C668" s="77"/>
      <c r="D668" s="58"/>
      <c r="E668" s="68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 spans="1:26" ht="12" customHeight="1" outlineLevel="4" x14ac:dyDescent="0.2">
      <c r="A669" s="40" t="s">
        <v>16531</v>
      </c>
      <c r="B669" s="75" t="s">
        <v>16532</v>
      </c>
      <c r="C669" s="51"/>
      <c r="D669" s="54">
        <f t="shared" si="10"/>
        <v>0</v>
      </c>
      <c r="E669" s="61" t="str">
        <f>HYPERLINK("https://www.sds-group.ru/product/kompressor-avtomobilnyy-35-l-min-9-4-atm-220v-rexant-80-0525/", "Инфо")</f>
        <v>Инфо</v>
      </c>
      <c r="F669" s="42" t="s">
        <v>39</v>
      </c>
      <c r="G669" s="41" t="s">
        <v>40</v>
      </c>
      <c r="H669" s="41"/>
      <c r="I669" s="41"/>
      <c r="J669" s="43">
        <v>365</v>
      </c>
      <c r="K669" s="41" t="s">
        <v>6744</v>
      </c>
      <c r="L669" s="43">
        <v>1</v>
      </c>
      <c r="M669" s="43">
        <v>10</v>
      </c>
      <c r="N669" s="43">
        <v>1</v>
      </c>
      <c r="O669" s="44">
        <v>4527.68</v>
      </c>
      <c r="P669" s="44">
        <v>3711.21</v>
      </c>
      <c r="Q669" s="44">
        <v>3486.31</v>
      </c>
      <c r="R669" s="44">
        <v>2857.63</v>
      </c>
      <c r="S669" s="44">
        <v>3078.82</v>
      </c>
      <c r="T669" s="44">
        <v>2523.62</v>
      </c>
      <c r="U669" s="42"/>
      <c r="V669" s="42"/>
      <c r="W669" s="42" t="s">
        <v>40</v>
      </c>
      <c r="X669" s="45">
        <v>2.0390000000000001</v>
      </c>
      <c r="Y669" s="46">
        <v>4.7219999999999996E-3</v>
      </c>
      <c r="Z669" s="21">
        <v>4601004338562</v>
      </c>
    </row>
    <row r="670" spans="1:26" ht="12.95" customHeight="1" outlineLevel="2" x14ac:dyDescent="0.2">
      <c r="A670" s="76" t="s">
        <v>16618</v>
      </c>
      <c r="B670" s="76"/>
      <c r="C670" s="77"/>
      <c r="D670" s="58"/>
      <c r="E670" s="68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 spans="1:26" ht="12.95" customHeight="1" outlineLevel="3" x14ac:dyDescent="0.2">
      <c r="A671" s="76" t="s">
        <v>16619</v>
      </c>
      <c r="B671" s="76"/>
      <c r="C671" s="77"/>
      <c r="D671" s="58"/>
      <c r="E671" s="68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 spans="1:26" ht="12" customHeight="1" outlineLevel="4" x14ac:dyDescent="0.2">
      <c r="A672" s="40" t="s">
        <v>16622</v>
      </c>
      <c r="B672" s="75" t="s">
        <v>16623</v>
      </c>
      <c r="C672" s="51"/>
      <c r="D672" s="54">
        <f t="shared" si="10"/>
        <v>0</v>
      </c>
      <c r="E672" s="61" t="str">
        <f>HYPERLINK("https://www.sds-group.ru/product/sidene-mehanika-rexant-80-0661/", "Инфо")</f>
        <v>Инфо</v>
      </c>
      <c r="F672" s="42" t="s">
        <v>39</v>
      </c>
      <c r="G672" s="41" t="s">
        <v>40</v>
      </c>
      <c r="H672" s="41"/>
      <c r="I672" s="41"/>
      <c r="J672" s="43">
        <v>248</v>
      </c>
      <c r="K672" s="41"/>
      <c r="L672" s="43">
        <v>1</v>
      </c>
      <c r="M672" s="43">
        <v>1</v>
      </c>
      <c r="N672" s="43">
        <v>1</v>
      </c>
      <c r="O672" s="44">
        <v>4240</v>
      </c>
      <c r="P672" s="44">
        <v>3475.41</v>
      </c>
      <c r="Q672" s="44">
        <v>2968</v>
      </c>
      <c r="R672" s="44">
        <v>2432.79</v>
      </c>
      <c r="S672" s="44">
        <v>2883.2</v>
      </c>
      <c r="T672" s="44">
        <v>2363.2800000000002</v>
      </c>
      <c r="U672" s="42"/>
      <c r="V672" s="42"/>
      <c r="W672" s="42"/>
      <c r="X672" s="45">
        <v>3.5369999999999999</v>
      </c>
      <c r="Y672" s="46">
        <v>1.3487000000000001E-2</v>
      </c>
      <c r="Z672" s="21">
        <v>4601004290563</v>
      </c>
    </row>
    <row r="673" spans="1:26" ht="12.95" customHeight="1" outlineLevel="3" x14ac:dyDescent="0.2">
      <c r="A673" s="76" t="s">
        <v>16624</v>
      </c>
      <c r="B673" s="76"/>
      <c r="C673" s="77"/>
      <c r="D673" s="58"/>
      <c r="E673" s="68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 spans="1:26" ht="12" customHeight="1" outlineLevel="4" x14ac:dyDescent="0.2">
      <c r="A674" s="40" t="s">
        <v>16653</v>
      </c>
      <c r="B674" s="75" t="s">
        <v>16654</v>
      </c>
      <c r="C674" s="51"/>
      <c r="D674" s="54">
        <f t="shared" si="10"/>
        <v>0</v>
      </c>
      <c r="E674" s="62"/>
      <c r="F674" s="42" t="s">
        <v>39</v>
      </c>
      <c r="G674" s="41" t="s">
        <v>40</v>
      </c>
      <c r="H674" s="41"/>
      <c r="I674" s="41"/>
      <c r="J674" s="42" t="s">
        <v>100</v>
      </c>
      <c r="K674" s="41" t="s">
        <v>1650</v>
      </c>
      <c r="L674" s="43">
        <v>1</v>
      </c>
      <c r="M674" s="43">
        <v>50</v>
      </c>
      <c r="N674" s="43">
        <v>1</v>
      </c>
      <c r="O674" s="44">
        <v>444.14</v>
      </c>
      <c r="P674" s="44">
        <v>364.05</v>
      </c>
      <c r="Q674" s="44">
        <v>310.89999999999998</v>
      </c>
      <c r="R674" s="44">
        <v>254.84</v>
      </c>
      <c r="S674" s="44">
        <v>302.02</v>
      </c>
      <c r="T674" s="44">
        <v>247.56</v>
      </c>
      <c r="U674" s="42"/>
      <c r="V674" s="42"/>
      <c r="W674" s="42"/>
      <c r="X674" s="45">
        <v>0.33300000000000002</v>
      </c>
      <c r="Y674" s="46">
        <v>6.38E-4</v>
      </c>
      <c r="Z674" s="21">
        <v>4601004290648</v>
      </c>
    </row>
    <row r="675" spans="1:26" ht="12.95" customHeight="1" outlineLevel="1" x14ac:dyDescent="0.2">
      <c r="A675" s="78" t="s">
        <v>16728</v>
      </c>
      <c r="B675" s="78"/>
      <c r="C675" s="79"/>
      <c r="D675" s="57"/>
      <c r="E675" s="67"/>
      <c r="F675" s="29"/>
      <c r="G675" s="29"/>
      <c r="H675" s="29"/>
      <c r="I675" s="29"/>
      <c r="J675" s="29"/>
      <c r="K675" s="29"/>
      <c r="L675" s="29"/>
      <c r="M675" s="29"/>
      <c r="N675" s="29"/>
      <c r="O675" s="29"/>
      <c r="P675" s="29"/>
      <c r="Q675" s="29"/>
      <c r="R675" s="29"/>
      <c r="S675" s="29"/>
      <c r="T675" s="29"/>
      <c r="U675" s="29"/>
      <c r="V675" s="29"/>
      <c r="W675" s="29"/>
      <c r="X675" s="29"/>
      <c r="Y675" s="29"/>
      <c r="Z675" s="29"/>
    </row>
    <row r="676" spans="1:26" ht="12.95" customHeight="1" outlineLevel="2" x14ac:dyDescent="0.2">
      <c r="A676" s="76" t="s">
        <v>17034</v>
      </c>
      <c r="B676" s="76"/>
      <c r="C676" s="77"/>
      <c r="D676" s="58"/>
      <c r="E676" s="68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 spans="1:26" ht="12.95" customHeight="1" outlineLevel="3" x14ac:dyDescent="0.2">
      <c r="A677" s="76" t="s">
        <v>17143</v>
      </c>
      <c r="B677" s="76"/>
      <c r="C677" s="77"/>
      <c r="D677" s="58"/>
      <c r="E677" s="68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 spans="1:26" ht="12" customHeight="1" outlineLevel="4" x14ac:dyDescent="0.2">
      <c r="A678" s="40" t="s">
        <v>17144</v>
      </c>
      <c r="B678" s="75" t="s">
        <v>17145</v>
      </c>
      <c r="C678" s="51"/>
      <c r="D678" s="54">
        <f t="shared" si="10"/>
        <v>0</v>
      </c>
      <c r="E678" s="62"/>
      <c r="F678" s="42" t="s">
        <v>39</v>
      </c>
      <c r="G678" s="41" t="s">
        <v>40</v>
      </c>
      <c r="H678" s="41"/>
      <c r="I678" s="41"/>
      <c r="J678" s="43">
        <v>23</v>
      </c>
      <c r="K678" s="41" t="s">
        <v>17146</v>
      </c>
      <c r="L678" s="43">
        <v>1</v>
      </c>
      <c r="M678" s="43">
        <v>50</v>
      </c>
      <c r="N678" s="43">
        <v>1</v>
      </c>
      <c r="O678" s="44">
        <v>2370.56</v>
      </c>
      <c r="P678" s="44">
        <v>1943.08</v>
      </c>
      <c r="Q678" s="44">
        <v>1872.74</v>
      </c>
      <c r="R678" s="44">
        <v>1535.03</v>
      </c>
      <c r="S678" s="44">
        <v>1611.98</v>
      </c>
      <c r="T678" s="44">
        <v>1321.3</v>
      </c>
      <c r="U678" s="42"/>
      <c r="V678" s="42"/>
      <c r="W678" s="42" t="s">
        <v>40</v>
      </c>
      <c r="X678" s="45">
        <v>0.17699999999999999</v>
      </c>
      <c r="Y678" s="46">
        <v>4.0299999999999998E-4</v>
      </c>
      <c r="Z678" s="21">
        <v>4601004339743</v>
      </c>
    </row>
    <row r="679" spans="1:26" ht="12" customHeight="1" outlineLevel="4" x14ac:dyDescent="0.2">
      <c r="A679" s="40" t="s">
        <v>17147</v>
      </c>
      <c r="B679" s="75" t="s">
        <v>17148</v>
      </c>
      <c r="C679" s="51"/>
      <c r="D679" s="54">
        <f t="shared" si="10"/>
        <v>0</v>
      </c>
      <c r="E679" s="62"/>
      <c r="F679" s="42" t="s">
        <v>39</v>
      </c>
      <c r="G679" s="41" t="s">
        <v>40</v>
      </c>
      <c r="H679" s="41"/>
      <c r="I679" s="41"/>
      <c r="J679" s="42" t="s">
        <v>100</v>
      </c>
      <c r="K679" s="41" t="s">
        <v>17146</v>
      </c>
      <c r="L679" s="43">
        <v>1</v>
      </c>
      <c r="M679" s="43">
        <v>40</v>
      </c>
      <c r="N679" s="43">
        <v>1</v>
      </c>
      <c r="O679" s="44">
        <v>3394.68</v>
      </c>
      <c r="P679" s="44">
        <v>2782.52</v>
      </c>
      <c r="Q679" s="44">
        <v>2681.8</v>
      </c>
      <c r="R679" s="44">
        <v>2198.1999999999998</v>
      </c>
      <c r="S679" s="44">
        <v>2308.38</v>
      </c>
      <c r="T679" s="44">
        <v>1892.11</v>
      </c>
      <c r="U679" s="42"/>
      <c r="V679" s="42"/>
      <c r="W679" s="42" t="s">
        <v>40</v>
      </c>
      <c r="X679" s="45">
        <v>0.27700000000000002</v>
      </c>
      <c r="Y679" s="46">
        <v>5.6400000000000005E-4</v>
      </c>
      <c r="Z679" s="21">
        <v>4601004339774</v>
      </c>
    </row>
    <row r="680" spans="1:26" ht="12" customHeight="1" outlineLevel="4" x14ac:dyDescent="0.2">
      <c r="A680" s="40" t="s">
        <v>17149</v>
      </c>
      <c r="B680" s="75" t="s">
        <v>17150</v>
      </c>
      <c r="C680" s="51"/>
      <c r="D680" s="54">
        <f t="shared" si="10"/>
        <v>0</v>
      </c>
      <c r="E680" s="62"/>
      <c r="F680" s="42" t="s">
        <v>39</v>
      </c>
      <c r="G680" s="41" t="s">
        <v>40</v>
      </c>
      <c r="H680" s="41"/>
      <c r="I680" s="41"/>
      <c r="J680" s="42" t="s">
        <v>100</v>
      </c>
      <c r="K680" s="41" t="s">
        <v>17146</v>
      </c>
      <c r="L680" s="43">
        <v>1</v>
      </c>
      <c r="M680" s="43">
        <v>40</v>
      </c>
      <c r="N680" s="43">
        <v>1</v>
      </c>
      <c r="O680" s="44">
        <v>1831.55</v>
      </c>
      <c r="P680" s="44">
        <v>1501.27</v>
      </c>
      <c r="Q680" s="44">
        <v>1446.92</v>
      </c>
      <c r="R680" s="44">
        <v>1186</v>
      </c>
      <c r="S680" s="44">
        <v>1245.45</v>
      </c>
      <c r="T680" s="44">
        <v>1020.86</v>
      </c>
      <c r="U680" s="42"/>
      <c r="V680" s="42"/>
      <c r="W680" s="42" t="s">
        <v>40</v>
      </c>
      <c r="X680" s="45">
        <v>0.308</v>
      </c>
      <c r="Y680" s="46">
        <v>6.7400000000000001E-4</v>
      </c>
      <c r="Z680" s="21">
        <v>4601004339750</v>
      </c>
    </row>
    <row r="681" spans="1:26" ht="12" customHeight="1" outlineLevel="4" x14ac:dyDescent="0.2">
      <c r="A681" s="40" t="s">
        <v>17154</v>
      </c>
      <c r="B681" s="75" t="s">
        <v>17155</v>
      </c>
      <c r="C681" s="51"/>
      <c r="D681" s="54">
        <f t="shared" si="10"/>
        <v>0</v>
      </c>
      <c r="E681" s="62"/>
      <c r="F681" s="42" t="s">
        <v>39</v>
      </c>
      <c r="G681" s="41" t="s">
        <v>40</v>
      </c>
      <c r="H681" s="41"/>
      <c r="I681" s="41"/>
      <c r="J681" s="42" t="s">
        <v>100</v>
      </c>
      <c r="K681" s="41" t="s">
        <v>17146</v>
      </c>
      <c r="L681" s="43">
        <v>1</v>
      </c>
      <c r="M681" s="43">
        <v>20</v>
      </c>
      <c r="N681" s="43">
        <v>1</v>
      </c>
      <c r="O681" s="44">
        <v>2693.97</v>
      </c>
      <c r="P681" s="44">
        <v>2208.17</v>
      </c>
      <c r="Q681" s="44">
        <v>2128.2399999999998</v>
      </c>
      <c r="R681" s="44">
        <v>1744.46</v>
      </c>
      <c r="S681" s="44">
        <v>1831.9</v>
      </c>
      <c r="T681" s="44">
        <v>1501.56</v>
      </c>
      <c r="U681" s="42"/>
      <c r="V681" s="42"/>
      <c r="W681" s="42" t="s">
        <v>40</v>
      </c>
      <c r="X681" s="45">
        <v>0.499</v>
      </c>
      <c r="Y681" s="46">
        <v>9.1799999999999998E-4</v>
      </c>
      <c r="Z681" s="21">
        <v>4601004339767</v>
      </c>
    </row>
    <row r="682" spans="1:26" ht="12.95" customHeight="1" outlineLevel="1" x14ac:dyDescent="0.2">
      <c r="A682" s="78" t="s">
        <v>17233</v>
      </c>
      <c r="B682" s="78"/>
      <c r="C682" s="79"/>
      <c r="D682" s="57"/>
      <c r="E682" s="67"/>
      <c r="F682" s="29"/>
      <c r="G682" s="29"/>
      <c r="H682" s="29"/>
      <c r="I682" s="29"/>
      <c r="J682" s="29"/>
      <c r="K682" s="29"/>
      <c r="L682" s="29"/>
      <c r="M682" s="29"/>
      <c r="N682" s="29"/>
      <c r="O682" s="29"/>
      <c r="P682" s="29"/>
      <c r="Q682" s="29"/>
      <c r="R682" s="29"/>
      <c r="S682" s="29"/>
      <c r="T682" s="29"/>
      <c r="U682" s="29"/>
      <c r="V682" s="29"/>
      <c r="W682" s="29"/>
      <c r="X682" s="29"/>
      <c r="Y682" s="29"/>
      <c r="Z682" s="29"/>
    </row>
    <row r="683" spans="1:26" ht="12.95" customHeight="1" outlineLevel="2" x14ac:dyDescent="0.2">
      <c r="A683" s="76" t="s">
        <v>17234</v>
      </c>
      <c r="B683" s="76"/>
      <c r="C683" s="77"/>
      <c r="D683" s="58"/>
      <c r="E683" s="68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 spans="1:26" ht="12.95" customHeight="1" outlineLevel="3" x14ac:dyDescent="0.2">
      <c r="A684" s="76" t="s">
        <v>17235</v>
      </c>
      <c r="B684" s="76"/>
      <c r="C684" s="77"/>
      <c r="D684" s="58"/>
      <c r="E684" s="68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 spans="1:26" ht="12" customHeight="1" outlineLevel="4" x14ac:dyDescent="0.2">
      <c r="A685" s="40" t="s">
        <v>17236</v>
      </c>
      <c r="B685" s="75" t="s">
        <v>17237</v>
      </c>
      <c r="C685" s="51"/>
      <c r="D685" s="54">
        <f t="shared" si="10"/>
        <v>0</v>
      </c>
      <c r="E685" s="61" t="str">
        <f>HYPERLINK("https://www.sds-group.ru/product/batareyka-alkalinovaya-6lr61-krona-9v-blister-1-sht-rexant-39-1061/", "Инфо")</f>
        <v>Инфо</v>
      </c>
      <c r="F685" s="42" t="s">
        <v>39</v>
      </c>
      <c r="G685" s="41" t="s">
        <v>40</v>
      </c>
      <c r="H685" s="41"/>
      <c r="I685" s="41"/>
      <c r="J685" s="47">
        <v>39764</v>
      </c>
      <c r="K685" s="41"/>
      <c r="L685" s="43">
        <v>12</v>
      </c>
      <c r="M685" s="43">
        <v>240</v>
      </c>
      <c r="N685" s="43">
        <v>12</v>
      </c>
      <c r="O685" s="44">
        <v>197.28</v>
      </c>
      <c r="P685" s="44">
        <v>161.69999999999999</v>
      </c>
      <c r="Q685" s="44">
        <v>167.69</v>
      </c>
      <c r="R685" s="44">
        <v>137.44999999999999</v>
      </c>
      <c r="S685" s="44">
        <v>134.15</v>
      </c>
      <c r="T685" s="44">
        <v>109.96</v>
      </c>
      <c r="U685" s="42"/>
      <c r="V685" s="42"/>
      <c r="W685" s="42" t="s">
        <v>40</v>
      </c>
      <c r="X685" s="45">
        <v>5.2999999999999999E-2</v>
      </c>
      <c r="Y685" s="46">
        <v>1.36E-4</v>
      </c>
      <c r="Z685" s="21">
        <v>4601004330108</v>
      </c>
    </row>
    <row r="686" spans="1:26" ht="12" customHeight="1" outlineLevel="4" x14ac:dyDescent="0.2">
      <c r="A686" s="40" t="s">
        <v>17254</v>
      </c>
      <c r="B686" s="75" t="s">
        <v>17255</v>
      </c>
      <c r="C686" s="51"/>
      <c r="D686" s="54">
        <f t="shared" si="10"/>
        <v>0</v>
      </c>
      <c r="E686" s="61" t="str">
        <f>HYPERLINK("https://www.sds-group.ru/product/batareyka-alkalinovaya-d-lr20-1-5v-blister-2-sht-rexant-39-1020/", "Инфо")</f>
        <v>Инфо</v>
      </c>
      <c r="F686" s="42" t="s">
        <v>39</v>
      </c>
      <c r="G686" s="41" t="s">
        <v>40</v>
      </c>
      <c r="H686" s="41"/>
      <c r="I686" s="41"/>
      <c r="J686" s="47">
        <v>17880</v>
      </c>
      <c r="K686" s="41"/>
      <c r="L686" s="43">
        <v>12</v>
      </c>
      <c r="M686" s="43">
        <v>96</v>
      </c>
      <c r="N686" s="43">
        <v>12</v>
      </c>
      <c r="O686" s="44">
        <v>177.88</v>
      </c>
      <c r="P686" s="44">
        <v>145.80000000000001</v>
      </c>
      <c r="Q686" s="44">
        <v>151.19999999999999</v>
      </c>
      <c r="R686" s="44">
        <v>123.93</v>
      </c>
      <c r="S686" s="44">
        <v>120.96</v>
      </c>
      <c r="T686" s="44">
        <v>99.15</v>
      </c>
      <c r="U686" s="42"/>
      <c r="V686" s="42"/>
      <c r="W686" s="42" t="s">
        <v>40</v>
      </c>
      <c r="X686" s="45">
        <v>0.14099999999999999</v>
      </c>
      <c r="Y686" s="46">
        <v>1.63E-4</v>
      </c>
      <c r="Z686" s="21">
        <v>4601004329973</v>
      </c>
    </row>
    <row r="687" spans="1:26" ht="12" customHeight="1" outlineLevel="4" x14ac:dyDescent="0.2">
      <c r="A687" s="40" t="s">
        <v>17256</v>
      </c>
      <c r="B687" s="75" t="s">
        <v>17257</v>
      </c>
      <c r="C687" s="51"/>
      <c r="D687" s="54">
        <f t="shared" si="10"/>
        <v>0</v>
      </c>
      <c r="E687" s="61" t="str">
        <f>HYPERLINK("https://www.sds-group.ru/product/batareyka-alkalinovaya-s-lr14-1-5v-blister-2-sht-rexant-39-1014/", "Инфо")</f>
        <v>Инфо</v>
      </c>
      <c r="F687" s="42" t="s">
        <v>39</v>
      </c>
      <c r="G687" s="41" t="s">
        <v>40</v>
      </c>
      <c r="H687" s="41"/>
      <c r="I687" s="41"/>
      <c r="J687" s="47">
        <v>10766</v>
      </c>
      <c r="K687" s="41"/>
      <c r="L687" s="43">
        <v>12</v>
      </c>
      <c r="M687" s="43">
        <v>192</v>
      </c>
      <c r="N687" s="43">
        <v>12</v>
      </c>
      <c r="O687" s="44">
        <v>113.2</v>
      </c>
      <c r="P687" s="44">
        <v>92.79</v>
      </c>
      <c r="Q687" s="44">
        <v>96.22</v>
      </c>
      <c r="R687" s="44">
        <v>78.87</v>
      </c>
      <c r="S687" s="44">
        <v>76.98</v>
      </c>
      <c r="T687" s="44">
        <v>63.1</v>
      </c>
      <c r="U687" s="42"/>
      <c r="V687" s="42"/>
      <c r="W687" s="42" t="s">
        <v>40</v>
      </c>
      <c r="X687" s="45">
        <v>7.3999999999999996E-2</v>
      </c>
      <c r="Y687" s="46">
        <v>1.18E-4</v>
      </c>
      <c r="Z687" s="21">
        <v>4601004329980</v>
      </c>
    </row>
    <row r="688" spans="1:26" ht="12" customHeight="1" outlineLevel="4" x14ac:dyDescent="0.2">
      <c r="A688" s="40" t="s">
        <v>17262</v>
      </c>
      <c r="B688" s="75" t="s">
        <v>17263</v>
      </c>
      <c r="C688" s="51"/>
      <c r="D688" s="54">
        <f t="shared" si="10"/>
        <v>0</v>
      </c>
      <c r="E688" s="61" t="str">
        <f>HYPERLINK("https://www.sds-group.ru/product/batareyka-vysokovoltnaya-a23-12v-blister-1-sht-rexant-39-1240/", "Инфо")</f>
        <v>Инфо</v>
      </c>
      <c r="F688" s="42" t="s">
        <v>39</v>
      </c>
      <c r="G688" s="41" t="s">
        <v>40</v>
      </c>
      <c r="H688" s="41"/>
      <c r="I688" s="41"/>
      <c r="J688" s="47">
        <v>7994</v>
      </c>
      <c r="K688" s="41"/>
      <c r="L688" s="43">
        <v>10</v>
      </c>
      <c r="M688" s="43">
        <v>480</v>
      </c>
      <c r="N688" s="43">
        <v>10</v>
      </c>
      <c r="O688" s="44">
        <v>47.95</v>
      </c>
      <c r="P688" s="44">
        <v>39.299999999999997</v>
      </c>
      <c r="Q688" s="44">
        <v>40.76</v>
      </c>
      <c r="R688" s="44">
        <v>33.409999999999997</v>
      </c>
      <c r="S688" s="44">
        <v>32.61</v>
      </c>
      <c r="T688" s="44">
        <v>26.73</v>
      </c>
      <c r="U688" s="42"/>
      <c r="V688" s="42"/>
      <c r="W688" s="42" t="s">
        <v>40</v>
      </c>
      <c r="X688" s="45">
        <v>1.0999999999999999E-2</v>
      </c>
      <c r="Y688" s="46">
        <v>2.6999999999999999E-5</v>
      </c>
      <c r="Z688" s="21">
        <v>4601004330856</v>
      </c>
    </row>
    <row r="689" spans="1:26" ht="12" customHeight="1" outlineLevel="4" x14ac:dyDescent="0.2">
      <c r="A689" s="40" t="s">
        <v>17264</v>
      </c>
      <c r="B689" s="75" t="s">
        <v>17265</v>
      </c>
      <c r="C689" s="51"/>
      <c r="D689" s="54">
        <f t="shared" si="10"/>
        <v>0</v>
      </c>
      <c r="E689" s="61" t="str">
        <f>HYPERLINK("https://www.sds-group.ru/product/batareyka-vysokovoltnaya-a23-12v-blister-5-sht-rexant-39-1241/", "Инфо")</f>
        <v>Инфо</v>
      </c>
      <c r="F689" s="42" t="s">
        <v>39</v>
      </c>
      <c r="G689" s="41" t="s">
        <v>40</v>
      </c>
      <c r="H689" s="41"/>
      <c r="I689" s="41"/>
      <c r="J689" s="47">
        <v>10190</v>
      </c>
      <c r="K689" s="41"/>
      <c r="L689" s="43">
        <v>10</v>
      </c>
      <c r="M689" s="43">
        <v>50</v>
      </c>
      <c r="N689" s="43">
        <v>10</v>
      </c>
      <c r="O689" s="44">
        <v>45.88</v>
      </c>
      <c r="P689" s="44">
        <v>37.61</v>
      </c>
      <c r="Q689" s="44">
        <v>39</v>
      </c>
      <c r="R689" s="44">
        <v>31.97</v>
      </c>
      <c r="S689" s="44">
        <v>31.2</v>
      </c>
      <c r="T689" s="44">
        <v>25.57</v>
      </c>
      <c r="U689" s="42"/>
      <c r="V689" s="42"/>
      <c r="W689" s="42" t="s">
        <v>40</v>
      </c>
      <c r="X689" s="45">
        <v>0.01</v>
      </c>
      <c r="Y689" s="46">
        <v>1.7E-5</v>
      </c>
      <c r="Z689" s="21">
        <v>4601004330801</v>
      </c>
    </row>
    <row r="690" spans="1:26" ht="12" customHeight="1" outlineLevel="4" x14ac:dyDescent="0.2">
      <c r="A690" s="40" t="s">
        <v>17266</v>
      </c>
      <c r="B690" s="75" t="s">
        <v>17267</v>
      </c>
      <c r="C690" s="51"/>
      <c r="D690" s="54">
        <f t="shared" si="10"/>
        <v>0</v>
      </c>
      <c r="E690" s="61" t="str">
        <f>HYPERLINK("https://www.sds-group.ru/product/batareyka-vysokovoltnaya-a27-12v-blister-1-sht-rexant-39-1242/", "Инфо")</f>
        <v>Инфо</v>
      </c>
      <c r="F690" s="42" t="s">
        <v>39</v>
      </c>
      <c r="G690" s="41" t="s">
        <v>40</v>
      </c>
      <c r="H690" s="41"/>
      <c r="I690" s="41"/>
      <c r="J690" s="47">
        <v>2630</v>
      </c>
      <c r="K690" s="41"/>
      <c r="L690" s="43">
        <v>10</v>
      </c>
      <c r="M690" s="43">
        <v>50</v>
      </c>
      <c r="N690" s="43">
        <v>10</v>
      </c>
      <c r="O690" s="44">
        <v>47.95</v>
      </c>
      <c r="P690" s="44">
        <v>39.299999999999997</v>
      </c>
      <c r="Q690" s="44">
        <v>40.76</v>
      </c>
      <c r="R690" s="44">
        <v>33.409999999999997</v>
      </c>
      <c r="S690" s="44">
        <v>32.61</v>
      </c>
      <c r="T690" s="44">
        <v>26.73</v>
      </c>
      <c r="U690" s="42"/>
      <c r="V690" s="42"/>
      <c r="W690" s="42" t="s">
        <v>40</v>
      </c>
      <c r="X690" s="45">
        <v>8.0000000000000002E-3</v>
      </c>
      <c r="Y690" s="46">
        <v>3.1999999999999999E-5</v>
      </c>
      <c r="Z690" s="21">
        <v>4601004330818</v>
      </c>
    </row>
    <row r="691" spans="1:26" ht="12" customHeight="1" outlineLevel="4" x14ac:dyDescent="0.2">
      <c r="A691" s="40" t="s">
        <v>17268</v>
      </c>
      <c r="B691" s="75" t="s">
        <v>17269</v>
      </c>
      <c r="C691" s="51"/>
      <c r="D691" s="54">
        <f t="shared" si="10"/>
        <v>0</v>
      </c>
      <c r="E691" s="62"/>
      <c r="F691" s="42" t="s">
        <v>39</v>
      </c>
      <c r="G691" s="41" t="s">
        <v>40</v>
      </c>
      <c r="H691" s="41"/>
      <c r="I691" s="41"/>
      <c r="J691" s="47">
        <v>4980</v>
      </c>
      <c r="K691" s="41"/>
      <c r="L691" s="43">
        <v>20</v>
      </c>
      <c r="M691" s="47">
        <v>1000</v>
      </c>
      <c r="N691" s="43">
        <v>20</v>
      </c>
      <c r="O691" s="44">
        <v>45.88</v>
      </c>
      <c r="P691" s="44">
        <v>37.61</v>
      </c>
      <c r="Q691" s="44">
        <v>39</v>
      </c>
      <c r="R691" s="44">
        <v>31.97</v>
      </c>
      <c r="S691" s="44">
        <v>31.2</v>
      </c>
      <c r="T691" s="44">
        <v>25.57</v>
      </c>
      <c r="U691" s="42"/>
      <c r="V691" s="42"/>
      <c r="W691" s="42" t="s">
        <v>40</v>
      </c>
      <c r="X691" s="45">
        <v>7.0000000000000001E-3</v>
      </c>
      <c r="Y691" s="46">
        <v>1.7E-5</v>
      </c>
      <c r="Z691" s="21">
        <v>4601004330757</v>
      </c>
    </row>
    <row r="692" spans="1:26" ht="12.95" customHeight="1" outlineLevel="3" x14ac:dyDescent="0.2">
      <c r="A692" s="76" t="s">
        <v>17270</v>
      </c>
      <c r="B692" s="76"/>
      <c r="C692" s="77"/>
      <c r="D692" s="58"/>
      <c r="E692" s="68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 spans="1:26" ht="12" customHeight="1" outlineLevel="4" x14ac:dyDescent="0.2">
      <c r="A693" s="40" t="s">
        <v>17273</v>
      </c>
      <c r="B693" s="75" t="s">
        <v>17274</v>
      </c>
      <c r="C693" s="51"/>
      <c r="D693" s="54">
        <f t="shared" si="10"/>
        <v>0</v>
      </c>
      <c r="E693" s="61" t="str">
        <f>HYPERLINK("https://www.sds-group.ru/product/batareyka-litievaya-cr123-3v-blister-1-sht-rexant-39-1111/", "Инфо")</f>
        <v>Инфо</v>
      </c>
      <c r="F693" s="42" t="s">
        <v>39</v>
      </c>
      <c r="G693" s="41" t="s">
        <v>40</v>
      </c>
      <c r="H693" s="41"/>
      <c r="I693" s="41"/>
      <c r="J693" s="47">
        <v>4041</v>
      </c>
      <c r="K693" s="41" t="s">
        <v>995</v>
      </c>
      <c r="L693" s="43">
        <v>5</v>
      </c>
      <c r="M693" s="43">
        <v>100</v>
      </c>
      <c r="N693" s="43">
        <v>5</v>
      </c>
      <c r="O693" s="44">
        <v>243.93</v>
      </c>
      <c r="P693" s="44">
        <v>199.94</v>
      </c>
      <c r="Q693" s="44">
        <v>207.34</v>
      </c>
      <c r="R693" s="44">
        <v>169.95</v>
      </c>
      <c r="S693" s="44">
        <v>165.87</v>
      </c>
      <c r="T693" s="44">
        <v>135.96</v>
      </c>
      <c r="U693" s="42"/>
      <c r="V693" s="42"/>
      <c r="W693" s="42" t="s">
        <v>40</v>
      </c>
      <c r="X693" s="45">
        <v>2.5000000000000001E-2</v>
      </c>
      <c r="Y693" s="46">
        <v>1.05E-4</v>
      </c>
      <c r="Z693" s="21">
        <v>4601004330658</v>
      </c>
    </row>
    <row r="694" spans="1:26" ht="12" customHeight="1" outlineLevel="4" x14ac:dyDescent="0.2">
      <c r="A694" s="40" t="s">
        <v>17275</v>
      </c>
      <c r="B694" s="75" t="s">
        <v>17276</v>
      </c>
      <c r="C694" s="51"/>
      <c r="D694" s="54">
        <f t="shared" si="10"/>
        <v>0</v>
      </c>
      <c r="E694" s="61" t="str">
        <f>HYPERLINK("https://www.sds-group.ru/product/batareyka-litievaya-cr2-3v-blister-1-sht-rexant-39-1112/", "Инфо")</f>
        <v>Инфо</v>
      </c>
      <c r="F694" s="42" t="s">
        <v>39</v>
      </c>
      <c r="G694" s="41" t="s">
        <v>40</v>
      </c>
      <c r="H694" s="41"/>
      <c r="I694" s="41"/>
      <c r="J694" s="47">
        <v>4177</v>
      </c>
      <c r="K694" s="41"/>
      <c r="L694" s="43">
        <v>5</v>
      </c>
      <c r="M694" s="43">
        <v>100</v>
      </c>
      <c r="N694" s="43">
        <v>5</v>
      </c>
      <c r="O694" s="44">
        <v>215.6</v>
      </c>
      <c r="P694" s="44">
        <v>176.72</v>
      </c>
      <c r="Q694" s="44">
        <v>183.26</v>
      </c>
      <c r="R694" s="44">
        <v>150.21</v>
      </c>
      <c r="S694" s="44">
        <v>146.61000000000001</v>
      </c>
      <c r="T694" s="44">
        <v>120.17</v>
      </c>
      <c r="U694" s="42"/>
      <c r="V694" s="42"/>
      <c r="W694" s="42" t="s">
        <v>40</v>
      </c>
      <c r="X694" s="45">
        <v>0.02</v>
      </c>
      <c r="Y694" s="46">
        <v>1.0399999999999999E-4</v>
      </c>
      <c r="Z694" s="21">
        <v>4601004330672</v>
      </c>
    </row>
    <row r="695" spans="1:26" ht="12.95" customHeight="1" outlineLevel="1" x14ac:dyDescent="0.2">
      <c r="A695" s="78" t="s">
        <v>17361</v>
      </c>
      <c r="B695" s="78"/>
      <c r="C695" s="79"/>
      <c r="D695" s="57"/>
      <c r="E695" s="67"/>
      <c r="F695" s="29"/>
      <c r="G695" s="29"/>
      <c r="H695" s="29"/>
      <c r="I695" s="29"/>
      <c r="J695" s="29"/>
      <c r="K695" s="29"/>
      <c r="L695" s="29"/>
      <c r="M695" s="29"/>
      <c r="N695" s="29"/>
      <c r="O695" s="29"/>
      <c r="P695" s="29"/>
      <c r="Q695" s="29"/>
      <c r="R695" s="29"/>
      <c r="S695" s="29"/>
      <c r="T695" s="29"/>
      <c r="U695" s="29"/>
      <c r="V695" s="29"/>
      <c r="W695" s="29"/>
      <c r="X695" s="29"/>
      <c r="Y695" s="29"/>
      <c r="Z695" s="29"/>
    </row>
    <row r="696" spans="1:26" ht="12.95" customHeight="1" outlineLevel="2" x14ac:dyDescent="0.2">
      <c r="A696" s="76" t="s">
        <v>17653</v>
      </c>
      <c r="B696" s="76"/>
      <c r="C696" s="77"/>
      <c r="D696" s="58"/>
      <c r="E696" s="68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 spans="1:26" ht="12" customHeight="1" outlineLevel="3" x14ac:dyDescent="0.2">
      <c r="A697" s="40" t="s">
        <v>17654</v>
      </c>
      <c r="B697" s="75" t="s">
        <v>17655</v>
      </c>
      <c r="C697" s="51"/>
      <c r="D697" s="54">
        <f t="shared" si="10"/>
        <v>0</v>
      </c>
      <c r="E697" s="61" t="str">
        <f>HYPERLINK("https://www.sds-group.ru/product/uplotnitel-samokleyaschiysya-belyy-d-profil-9h7-5mm-dlya-zazorov-3-5mm-buhta-100m-proconnect-70-0623/", "Инфо")</f>
        <v>Инфо</v>
      </c>
      <c r="F697" s="42" t="s">
        <v>1887</v>
      </c>
      <c r="G697" s="41" t="s">
        <v>40</v>
      </c>
      <c r="H697" s="41"/>
      <c r="I697" s="41"/>
      <c r="J697" s="43">
        <v>342</v>
      </c>
      <c r="K697" s="41"/>
      <c r="L697" s="43">
        <v>1</v>
      </c>
      <c r="M697" s="43">
        <v>8</v>
      </c>
      <c r="N697" s="43">
        <v>1</v>
      </c>
      <c r="O697" s="44">
        <v>2624.03</v>
      </c>
      <c r="P697" s="44">
        <v>2150.84</v>
      </c>
      <c r="Q697" s="44">
        <v>2020.5</v>
      </c>
      <c r="R697" s="44">
        <v>1656.15</v>
      </c>
      <c r="S697" s="44">
        <v>1784.34</v>
      </c>
      <c r="T697" s="44">
        <v>1462.57</v>
      </c>
      <c r="U697" s="42"/>
      <c r="V697" s="42"/>
      <c r="W697" s="42" t="s">
        <v>40</v>
      </c>
      <c r="X697" s="45">
        <v>1.42</v>
      </c>
      <c r="Y697" s="46">
        <v>1.1225000000000001E-2</v>
      </c>
      <c r="Z697" s="21">
        <v>4601004337305</v>
      </c>
    </row>
    <row r="698" spans="1:26" ht="12" customHeight="1" outlineLevel="3" x14ac:dyDescent="0.2">
      <c r="A698" s="40" t="s">
        <v>17656</v>
      </c>
      <c r="B698" s="75" t="s">
        <v>17657</v>
      </c>
      <c r="C698" s="51"/>
      <c r="D698" s="54">
        <f t="shared" si="10"/>
        <v>0</v>
      </c>
      <c r="E698" s="61" t="str">
        <f>HYPERLINK("https://www.sds-group.ru/product/uplotnitel-samokleyaschiysya-belyy-d-profil-9h7-5mm-dlya-zazorov-3-5mm-upakovka-po-6m-procon-70-0633/", "Инфо")</f>
        <v>Инфо</v>
      </c>
      <c r="F698" s="42" t="s">
        <v>1887</v>
      </c>
      <c r="G698" s="41" t="s">
        <v>40</v>
      </c>
      <c r="H698" s="41"/>
      <c r="I698" s="41"/>
      <c r="J698" s="42" t="s">
        <v>100</v>
      </c>
      <c r="K698" s="41" t="s">
        <v>4008</v>
      </c>
      <c r="L698" s="43">
        <v>5</v>
      </c>
      <c r="M698" s="43">
        <v>160</v>
      </c>
      <c r="N698" s="43">
        <v>5</v>
      </c>
      <c r="O698" s="44">
        <v>223.41</v>
      </c>
      <c r="P698" s="44">
        <v>183.12</v>
      </c>
      <c r="Q698" s="44">
        <v>172.03</v>
      </c>
      <c r="R698" s="44">
        <v>141.01</v>
      </c>
      <c r="S698" s="44">
        <v>151.91999999999999</v>
      </c>
      <c r="T698" s="44">
        <v>124.52</v>
      </c>
      <c r="U698" s="42"/>
      <c r="V698" s="42"/>
      <c r="W698" s="42" t="s">
        <v>40</v>
      </c>
      <c r="X698" s="45">
        <v>8.3000000000000004E-2</v>
      </c>
      <c r="Y698" s="46">
        <v>6.4300000000000002E-4</v>
      </c>
      <c r="Z698" s="21">
        <v>4601004337343</v>
      </c>
    </row>
    <row r="699" spans="1:26" ht="12" customHeight="1" outlineLevel="3" x14ac:dyDescent="0.2">
      <c r="A699" s="40" t="s">
        <v>17658</v>
      </c>
      <c r="B699" s="75" t="s">
        <v>17659</v>
      </c>
      <c r="C699" s="51"/>
      <c r="D699" s="54">
        <f t="shared" si="10"/>
        <v>0</v>
      </c>
      <c r="E699" s="61" t="str">
        <f>HYPERLINK("https://www.sds-group.ru/product/uplotnitel-samokleyaschiysya-belyy-e-profil-9h4mm-dlya-zazorov-1-3mm-buhta-150m-proconnect-70-0620/", "Инфо")</f>
        <v>Инфо</v>
      </c>
      <c r="F699" s="42" t="s">
        <v>1887</v>
      </c>
      <c r="G699" s="41" t="s">
        <v>40</v>
      </c>
      <c r="H699" s="41"/>
      <c r="I699" s="41"/>
      <c r="J699" s="43">
        <v>397</v>
      </c>
      <c r="K699" s="41"/>
      <c r="L699" s="43">
        <v>1</v>
      </c>
      <c r="M699" s="43">
        <v>8</v>
      </c>
      <c r="N699" s="43">
        <v>1</v>
      </c>
      <c r="O699" s="44">
        <v>2704.06</v>
      </c>
      <c r="P699" s="44">
        <v>2216.44</v>
      </c>
      <c r="Q699" s="44">
        <v>2082.13</v>
      </c>
      <c r="R699" s="44">
        <v>1706.66</v>
      </c>
      <c r="S699" s="44">
        <v>1838.76</v>
      </c>
      <c r="T699" s="44">
        <v>1507.18</v>
      </c>
      <c r="U699" s="42"/>
      <c r="V699" s="42"/>
      <c r="W699" s="42" t="s">
        <v>40</v>
      </c>
      <c r="X699" s="45">
        <v>1.528</v>
      </c>
      <c r="Y699" s="46">
        <v>1.068E-2</v>
      </c>
      <c r="Z699" s="21">
        <v>4601004337312</v>
      </c>
    </row>
    <row r="700" spans="1:26" ht="12" customHeight="1" outlineLevel="3" x14ac:dyDescent="0.2">
      <c r="A700" s="40" t="s">
        <v>17660</v>
      </c>
      <c r="B700" s="75" t="s">
        <v>17661</v>
      </c>
      <c r="C700" s="51"/>
      <c r="D700" s="54">
        <f t="shared" si="10"/>
        <v>0</v>
      </c>
      <c r="E700" s="61" t="str">
        <f>HYPERLINK("https://www.sds-group.ru/product/uplotnitel-samokleyaschiysya-belyy-e-profil-9h4mm-dlya-zazorov-1-3mm-upakovka-po-6m-proconne-70-0630/", "Инфо")</f>
        <v>Инфо</v>
      </c>
      <c r="F700" s="42" t="s">
        <v>1887</v>
      </c>
      <c r="G700" s="41" t="s">
        <v>40</v>
      </c>
      <c r="H700" s="41"/>
      <c r="I700" s="41"/>
      <c r="J700" s="43">
        <v>572</v>
      </c>
      <c r="K700" s="41" t="s">
        <v>4008</v>
      </c>
      <c r="L700" s="43">
        <v>5</v>
      </c>
      <c r="M700" s="43">
        <v>180</v>
      </c>
      <c r="N700" s="43">
        <v>5</v>
      </c>
      <c r="O700" s="44">
        <v>222.68</v>
      </c>
      <c r="P700" s="44">
        <v>182.52</v>
      </c>
      <c r="Q700" s="44">
        <v>171.46</v>
      </c>
      <c r="R700" s="44">
        <v>140.54</v>
      </c>
      <c r="S700" s="44">
        <v>151.41999999999999</v>
      </c>
      <c r="T700" s="44">
        <v>124.11</v>
      </c>
      <c r="U700" s="42"/>
      <c r="V700" s="42"/>
      <c r="W700" s="42" t="s">
        <v>40</v>
      </c>
      <c r="X700" s="45">
        <v>5.8999999999999997E-2</v>
      </c>
      <c r="Y700" s="46">
        <v>4.2299999999999998E-4</v>
      </c>
      <c r="Z700" s="21">
        <v>4601004337350</v>
      </c>
    </row>
    <row r="701" spans="1:26" ht="12" customHeight="1" outlineLevel="3" x14ac:dyDescent="0.2">
      <c r="A701" s="40" t="s">
        <v>17662</v>
      </c>
      <c r="B701" s="75" t="s">
        <v>17663</v>
      </c>
      <c r="C701" s="51"/>
      <c r="D701" s="54">
        <f t="shared" si="10"/>
        <v>0</v>
      </c>
      <c r="E701" s="61" t="str">
        <f>HYPERLINK("https://www.sds-group.ru/product/uplotnitel-samokleyaschiysya-korichnevyy-r-profil-9h5-5mm-dlya-zazorov-2-5-4mm-buhta-100m-pr-70-0621/", "Инфо")</f>
        <v>Инфо</v>
      </c>
      <c r="F701" s="42" t="s">
        <v>1887</v>
      </c>
      <c r="G701" s="41" t="s">
        <v>40</v>
      </c>
      <c r="H701" s="41"/>
      <c r="I701" s="41"/>
      <c r="J701" s="43">
        <v>386</v>
      </c>
      <c r="K701" s="41"/>
      <c r="L701" s="43">
        <v>1</v>
      </c>
      <c r="M701" s="43">
        <v>8</v>
      </c>
      <c r="N701" s="43">
        <v>1</v>
      </c>
      <c r="O701" s="44">
        <v>2377.0500000000002</v>
      </c>
      <c r="P701" s="44">
        <v>1948.4</v>
      </c>
      <c r="Q701" s="44">
        <v>1830.33</v>
      </c>
      <c r="R701" s="44">
        <v>1500.27</v>
      </c>
      <c r="S701" s="44">
        <v>1616.39</v>
      </c>
      <c r="T701" s="44">
        <v>1324.91</v>
      </c>
      <c r="U701" s="42"/>
      <c r="V701" s="42"/>
      <c r="W701" s="42" t="s">
        <v>40</v>
      </c>
      <c r="X701" s="45">
        <v>1.19</v>
      </c>
      <c r="Y701" s="46">
        <v>1.0302E-2</v>
      </c>
      <c r="Z701" s="21">
        <v>4601004337374</v>
      </c>
    </row>
    <row r="702" spans="1:26" ht="12" customHeight="1" outlineLevel="3" x14ac:dyDescent="0.2">
      <c r="A702" s="40" t="s">
        <v>17664</v>
      </c>
      <c r="B702" s="75" t="s">
        <v>17665</v>
      </c>
      <c r="C702" s="51"/>
      <c r="D702" s="54">
        <f t="shared" si="10"/>
        <v>0</v>
      </c>
      <c r="E702" s="61" t="str">
        <f>HYPERLINK("https://www.sds-group.ru/product/uplotnitel-samokleyaschiysya-korichnevyy-r-profil-9h5-5mm-dlya-zazorov-2-5-4mm-upakovka-po-6-70-0631/", "Инфо")</f>
        <v>Инфо</v>
      </c>
      <c r="F702" s="42" t="s">
        <v>1887</v>
      </c>
      <c r="G702" s="41" t="s">
        <v>40</v>
      </c>
      <c r="H702" s="41"/>
      <c r="I702" s="41"/>
      <c r="J702" s="42" t="s">
        <v>100</v>
      </c>
      <c r="K702" s="41" t="s">
        <v>4008</v>
      </c>
      <c r="L702" s="43">
        <v>5</v>
      </c>
      <c r="M702" s="43">
        <v>160</v>
      </c>
      <c r="N702" s="43">
        <v>5</v>
      </c>
      <c r="O702" s="44">
        <v>222.87</v>
      </c>
      <c r="P702" s="44">
        <v>182.68</v>
      </c>
      <c r="Q702" s="44">
        <v>171.61</v>
      </c>
      <c r="R702" s="44">
        <v>140.66</v>
      </c>
      <c r="S702" s="44">
        <v>151.55000000000001</v>
      </c>
      <c r="T702" s="44">
        <v>124.22</v>
      </c>
      <c r="U702" s="42"/>
      <c r="V702" s="42"/>
      <c r="W702" s="42" t="s">
        <v>40</v>
      </c>
      <c r="X702" s="45">
        <v>6.7000000000000004E-2</v>
      </c>
      <c r="Y702" s="46">
        <v>5.1900000000000004E-4</v>
      </c>
      <c r="Z702" s="21">
        <v>4601004337398</v>
      </c>
    </row>
    <row r="703" spans="1:26" ht="12" customHeight="1" outlineLevel="3" x14ac:dyDescent="0.2">
      <c r="A703" s="40" t="s">
        <v>17666</v>
      </c>
      <c r="B703" s="75" t="s">
        <v>17667</v>
      </c>
      <c r="C703" s="51"/>
      <c r="D703" s="54">
        <f t="shared" si="10"/>
        <v>0</v>
      </c>
      <c r="E703" s="61" t="str">
        <f>HYPERLINK("https://www.sds-group.ru/product/uplotnitel-samokleyaschiysya-chernyy-d-profil-12h10mm-dlya-zazorov-6-9-5mm-buhta-50m-proconn-70-0624/", "Инфо")</f>
        <v>Инфо</v>
      </c>
      <c r="F703" s="42" t="s">
        <v>1887</v>
      </c>
      <c r="G703" s="41" t="s">
        <v>40</v>
      </c>
      <c r="H703" s="41"/>
      <c r="I703" s="41"/>
      <c r="J703" s="43">
        <v>415</v>
      </c>
      <c r="K703" s="41"/>
      <c r="L703" s="43">
        <v>1</v>
      </c>
      <c r="M703" s="43">
        <v>8</v>
      </c>
      <c r="N703" s="43">
        <v>1</v>
      </c>
      <c r="O703" s="44">
        <v>2704.06</v>
      </c>
      <c r="P703" s="44">
        <v>2216.44</v>
      </c>
      <c r="Q703" s="44">
        <v>2082.13</v>
      </c>
      <c r="R703" s="44">
        <v>1706.66</v>
      </c>
      <c r="S703" s="44">
        <v>1838.76</v>
      </c>
      <c r="T703" s="44">
        <v>1507.18</v>
      </c>
      <c r="U703" s="42"/>
      <c r="V703" s="42"/>
      <c r="W703" s="42" t="s">
        <v>40</v>
      </c>
      <c r="X703" s="45">
        <v>1.2270000000000001</v>
      </c>
      <c r="Y703" s="46">
        <v>1.0678999999999999E-2</v>
      </c>
      <c r="Z703" s="21">
        <v>4601004337282</v>
      </c>
    </row>
    <row r="704" spans="1:26" ht="12" customHeight="1" outlineLevel="3" x14ac:dyDescent="0.2">
      <c r="A704" s="40" t="s">
        <v>17668</v>
      </c>
      <c r="B704" s="75" t="s">
        <v>17669</v>
      </c>
      <c r="C704" s="51"/>
      <c r="D704" s="54">
        <f t="shared" si="10"/>
        <v>0</v>
      </c>
      <c r="E704" s="61" t="str">
        <f>HYPERLINK("https://www.sds-group.ru/product/uplotnitel-samokleyaschiysya-chernyy-d-profil-12h10mm-dlya-zazorov-6-9-5mm-upakovka-po-6m-pr-70-0634/", "Инфо")</f>
        <v>Инфо</v>
      </c>
      <c r="F704" s="42" t="s">
        <v>1887</v>
      </c>
      <c r="G704" s="41" t="s">
        <v>40</v>
      </c>
      <c r="H704" s="41"/>
      <c r="I704" s="41"/>
      <c r="J704" s="47">
        <v>1054</v>
      </c>
      <c r="K704" s="41" t="s">
        <v>4008</v>
      </c>
      <c r="L704" s="43">
        <v>5</v>
      </c>
      <c r="M704" s="43">
        <v>80</v>
      </c>
      <c r="N704" s="43">
        <v>5</v>
      </c>
      <c r="O704" s="44">
        <v>399.41</v>
      </c>
      <c r="P704" s="44">
        <v>327.39</v>
      </c>
      <c r="Q704" s="44">
        <v>307.55</v>
      </c>
      <c r="R704" s="44">
        <v>252.09</v>
      </c>
      <c r="S704" s="44">
        <v>271.60000000000002</v>
      </c>
      <c r="T704" s="44">
        <v>222.62</v>
      </c>
      <c r="U704" s="42"/>
      <c r="V704" s="42"/>
      <c r="W704" s="42" t="s">
        <v>40</v>
      </c>
      <c r="X704" s="45">
        <v>0.14000000000000001</v>
      </c>
      <c r="Y704" s="46">
        <v>1.289E-3</v>
      </c>
      <c r="Z704" s="21">
        <v>4601004337336</v>
      </c>
    </row>
    <row r="705" spans="1:26" ht="12" customHeight="1" outlineLevel="3" x14ac:dyDescent="0.2">
      <c r="A705" s="40" t="s">
        <v>17670</v>
      </c>
      <c r="B705" s="75" t="s">
        <v>17671</v>
      </c>
      <c r="C705" s="51"/>
      <c r="D705" s="54">
        <f t="shared" si="10"/>
        <v>0</v>
      </c>
      <c r="E705" s="61" t="str">
        <f>HYPERLINK("https://www.sds-group.ru/product/uplotnitel-samokleyaschiysya-chernyy-d-profil-14h12mm-dlya-zazorov-8-11mm-buhta-40m-proconne-70-0625/", "Инфо")</f>
        <v>Инфо</v>
      </c>
      <c r="F705" s="42" t="s">
        <v>1887</v>
      </c>
      <c r="G705" s="41" t="s">
        <v>40</v>
      </c>
      <c r="H705" s="41"/>
      <c r="I705" s="41"/>
      <c r="J705" s="43">
        <v>582</v>
      </c>
      <c r="K705" s="41"/>
      <c r="L705" s="43">
        <v>1</v>
      </c>
      <c r="M705" s="43">
        <v>8</v>
      </c>
      <c r="N705" s="43">
        <v>1</v>
      </c>
      <c r="O705" s="44">
        <v>2757.06</v>
      </c>
      <c r="P705" s="44">
        <v>2259.89</v>
      </c>
      <c r="Q705" s="44">
        <v>2122.94</v>
      </c>
      <c r="R705" s="44">
        <v>1740.11</v>
      </c>
      <c r="S705" s="44">
        <v>1874.8</v>
      </c>
      <c r="T705" s="44">
        <v>1536.72</v>
      </c>
      <c r="U705" s="42"/>
      <c r="V705" s="42"/>
      <c r="W705" s="42" t="s">
        <v>40</v>
      </c>
      <c r="X705" s="45">
        <v>1.3120000000000001</v>
      </c>
      <c r="Y705" s="46">
        <v>1.0598E-2</v>
      </c>
      <c r="Z705" s="21">
        <v>4601004337367</v>
      </c>
    </row>
    <row r="706" spans="1:26" ht="12" customHeight="1" outlineLevel="3" x14ac:dyDescent="0.2">
      <c r="A706" s="40" t="s">
        <v>17672</v>
      </c>
      <c r="B706" s="75" t="s">
        <v>17673</v>
      </c>
      <c r="C706" s="51"/>
      <c r="D706" s="54">
        <f t="shared" si="10"/>
        <v>0</v>
      </c>
      <c r="E706" s="61" t="str">
        <f>HYPERLINK("https://www.sds-group.ru/product/uplotnitel-samokleyaschiysya-chernyy-d-profil-14h12mm-dlya-zazorov-8-11mm-upakovka-po-6m-pro-70-0635/", "Инфо")</f>
        <v>Инфо</v>
      </c>
      <c r="F706" s="42" t="s">
        <v>1887</v>
      </c>
      <c r="G706" s="41" t="s">
        <v>40</v>
      </c>
      <c r="H706" s="41"/>
      <c r="I706" s="41"/>
      <c r="J706" s="43">
        <v>832</v>
      </c>
      <c r="K706" s="41" t="s">
        <v>4008</v>
      </c>
      <c r="L706" s="43">
        <v>5</v>
      </c>
      <c r="M706" s="43">
        <v>80</v>
      </c>
      <c r="N706" s="43">
        <v>5</v>
      </c>
      <c r="O706" s="44">
        <v>509.46</v>
      </c>
      <c r="P706" s="44">
        <v>417.59</v>
      </c>
      <c r="Q706" s="44">
        <v>392.28</v>
      </c>
      <c r="R706" s="44">
        <v>321.54000000000002</v>
      </c>
      <c r="S706" s="44">
        <v>346.43</v>
      </c>
      <c r="T706" s="44">
        <v>283.95999999999998</v>
      </c>
      <c r="U706" s="42"/>
      <c r="V706" s="42"/>
      <c r="W706" s="42" t="s">
        <v>40</v>
      </c>
      <c r="X706" s="45">
        <v>0.17399999999999999</v>
      </c>
      <c r="Y706" s="46">
        <v>1.549E-3</v>
      </c>
      <c r="Z706" s="21">
        <v>4601004337329</v>
      </c>
    </row>
    <row r="707" spans="1:26" ht="12" customHeight="1" outlineLevel="3" x14ac:dyDescent="0.2">
      <c r="A707" s="40" t="s">
        <v>17674</v>
      </c>
      <c r="B707" s="75" t="s">
        <v>17675</v>
      </c>
      <c r="C707" s="51"/>
      <c r="D707" s="54">
        <f t="shared" si="10"/>
        <v>0</v>
      </c>
      <c r="E707" s="61" t="str">
        <f>HYPERLINK("https://www.sds-group.ru/product/uplotnitel-samokleyaschiysya-chernyy-d-profil-9h7-5mm-dlya-zazorov-3-5mm-buhta-100m-proconne-70-0622/", "Инфо")</f>
        <v>Инфо</v>
      </c>
      <c r="F707" s="42" t="s">
        <v>1887</v>
      </c>
      <c r="G707" s="41" t="s">
        <v>40</v>
      </c>
      <c r="H707" s="41"/>
      <c r="I707" s="41"/>
      <c r="J707" s="43">
        <v>728</v>
      </c>
      <c r="K707" s="41"/>
      <c r="L707" s="43">
        <v>1</v>
      </c>
      <c r="M707" s="43">
        <v>8</v>
      </c>
      <c r="N707" s="43">
        <v>1</v>
      </c>
      <c r="O707" s="44">
        <v>2624.03</v>
      </c>
      <c r="P707" s="44">
        <v>2150.84</v>
      </c>
      <c r="Q707" s="44">
        <v>2020.5</v>
      </c>
      <c r="R707" s="44">
        <v>1656.15</v>
      </c>
      <c r="S707" s="44">
        <v>1784.34</v>
      </c>
      <c r="T707" s="44">
        <v>1462.57</v>
      </c>
      <c r="U707" s="42"/>
      <c r="V707" s="42"/>
      <c r="W707" s="42" t="s">
        <v>40</v>
      </c>
      <c r="X707" s="45">
        <v>1.4650000000000001</v>
      </c>
      <c r="Y707" s="46">
        <v>1.1334E-2</v>
      </c>
      <c r="Z707" s="21">
        <v>4601004337299</v>
      </c>
    </row>
    <row r="708" spans="1:26" ht="12" customHeight="1" outlineLevel="3" x14ac:dyDescent="0.2">
      <c r="A708" s="40" t="s">
        <v>17676</v>
      </c>
      <c r="B708" s="75" t="s">
        <v>17677</v>
      </c>
      <c r="C708" s="51"/>
      <c r="D708" s="54">
        <f t="shared" si="10"/>
        <v>0</v>
      </c>
      <c r="E708" s="61" t="str">
        <f>HYPERLINK("https://www.sds-group.ru/product/uplotnitel-samokleyaschiysya-chernyy-d-profil-9h7-5mm-dlya-zazorov-3-5mm-upakovka-po-6m-proc-70-0632/", "Инфо")</f>
        <v>Инфо</v>
      </c>
      <c r="F708" s="42" t="s">
        <v>1887</v>
      </c>
      <c r="G708" s="41" t="s">
        <v>40</v>
      </c>
      <c r="H708" s="41"/>
      <c r="I708" s="41"/>
      <c r="J708" s="43">
        <v>214</v>
      </c>
      <c r="K708" s="41" t="s">
        <v>4008</v>
      </c>
      <c r="L708" s="43">
        <v>5</v>
      </c>
      <c r="M708" s="43">
        <v>160</v>
      </c>
      <c r="N708" s="43">
        <v>5</v>
      </c>
      <c r="O708" s="44">
        <v>208.06</v>
      </c>
      <c r="P708" s="44">
        <v>170.54</v>
      </c>
      <c r="Q708" s="44">
        <v>160.21</v>
      </c>
      <c r="R708" s="44">
        <v>131.32</v>
      </c>
      <c r="S708" s="44">
        <v>141.47999999999999</v>
      </c>
      <c r="T708" s="44">
        <v>115.97</v>
      </c>
      <c r="U708" s="42"/>
      <c r="V708" s="42"/>
      <c r="W708" s="42" t="s">
        <v>40</v>
      </c>
      <c r="X708" s="45">
        <v>8.3000000000000004E-2</v>
      </c>
      <c r="Y708" s="46">
        <v>6.5200000000000002E-4</v>
      </c>
      <c r="Z708" s="21">
        <v>4601004337381</v>
      </c>
    </row>
    <row r="709" spans="1:26" ht="12.95" customHeight="1" outlineLevel="1" x14ac:dyDescent="0.2">
      <c r="A709" s="78" t="s">
        <v>17721</v>
      </c>
      <c r="B709" s="78"/>
      <c r="C709" s="79"/>
      <c r="D709" s="57"/>
      <c r="E709" s="67"/>
      <c r="F709" s="29"/>
      <c r="G709" s="29"/>
      <c r="H709" s="29"/>
      <c r="I709" s="29"/>
      <c r="J709" s="29"/>
      <c r="K709" s="29"/>
      <c r="L709" s="29"/>
      <c r="M709" s="29"/>
      <c r="N709" s="29"/>
      <c r="O709" s="29"/>
      <c r="P709" s="29"/>
      <c r="Q709" s="29"/>
      <c r="R709" s="29"/>
      <c r="S709" s="29"/>
      <c r="T709" s="29"/>
      <c r="U709" s="29"/>
      <c r="V709" s="29"/>
      <c r="W709" s="29"/>
      <c r="X709" s="29"/>
      <c r="Y709" s="29"/>
      <c r="Z709" s="29"/>
    </row>
    <row r="710" spans="1:26" ht="12.95" customHeight="1" outlineLevel="2" x14ac:dyDescent="0.2">
      <c r="A710" s="76" t="s">
        <v>17722</v>
      </c>
      <c r="B710" s="76"/>
      <c r="C710" s="77"/>
      <c r="D710" s="58"/>
      <c r="E710" s="68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 spans="1:26" ht="12.95" customHeight="1" outlineLevel="3" x14ac:dyDescent="0.2">
      <c r="A711" s="76" t="s">
        <v>17723</v>
      </c>
      <c r="B711" s="76"/>
      <c r="C711" s="77"/>
      <c r="D711" s="58"/>
      <c r="E711" s="68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 spans="1:26" ht="12" customHeight="1" outlineLevel="4" x14ac:dyDescent="0.2">
      <c r="A712" s="40" t="s">
        <v>17730</v>
      </c>
      <c r="B712" s="75" t="s">
        <v>17731</v>
      </c>
      <c r="C712" s="51"/>
      <c r="D712" s="54">
        <f t="shared" si="10"/>
        <v>0</v>
      </c>
      <c r="E712" s="61" t="str">
        <f>HYPERLINK("https://www.sds-group.ru/product/antimoskitnaya-lampa-s-100m-2h15vt-220v-chetyre-sezona-71-0056-F/", "Инфо")</f>
        <v>Инфо</v>
      </c>
      <c r="F712" s="42" t="s">
        <v>39</v>
      </c>
      <c r="G712" s="41" t="s">
        <v>40</v>
      </c>
      <c r="H712" s="41"/>
      <c r="I712" s="41"/>
      <c r="J712" s="43">
        <v>234</v>
      </c>
      <c r="K712" s="41"/>
      <c r="L712" s="43">
        <v>1</v>
      </c>
      <c r="M712" s="43">
        <v>8</v>
      </c>
      <c r="N712" s="43">
        <v>1</v>
      </c>
      <c r="O712" s="44">
        <v>4876</v>
      </c>
      <c r="P712" s="44">
        <v>3996.72</v>
      </c>
      <c r="Q712" s="44">
        <v>4388.3999999999996</v>
      </c>
      <c r="R712" s="44">
        <v>3597.05</v>
      </c>
      <c r="S712" s="44">
        <v>3315.68</v>
      </c>
      <c r="T712" s="44">
        <v>2717.77</v>
      </c>
      <c r="U712" s="42"/>
      <c r="V712" s="42"/>
      <c r="W712" s="42" t="s">
        <v>40</v>
      </c>
      <c r="X712" s="45">
        <v>1.54</v>
      </c>
      <c r="Y712" s="46">
        <v>1.3648E-2</v>
      </c>
      <c r="Z712" s="21">
        <v>4601004328907</v>
      </c>
    </row>
    <row r="713" spans="1:26" ht="12" customHeight="1" outlineLevel="4" x14ac:dyDescent="0.2">
      <c r="A713" s="40" t="s">
        <v>17732</v>
      </c>
      <c r="B713" s="75" t="s">
        <v>17733</v>
      </c>
      <c r="C713" s="51"/>
      <c r="D713" s="54">
        <f t="shared" si="10"/>
        <v>0</v>
      </c>
      <c r="E713" s="61" t="str">
        <f>HYPERLINK("https://www.sds-group.ru/product/antimoskitnaya-lampa-s-35m-4vt-220v-chetyre-sezona-71-0656-F/", "Инфо")</f>
        <v>Инфо</v>
      </c>
      <c r="F713" s="42" t="s">
        <v>39</v>
      </c>
      <c r="G713" s="41" t="s">
        <v>40</v>
      </c>
      <c r="H713" s="41"/>
      <c r="I713" s="41"/>
      <c r="J713" s="43">
        <v>74</v>
      </c>
      <c r="K713" s="41"/>
      <c r="L713" s="43">
        <v>1</v>
      </c>
      <c r="M713" s="43">
        <v>12</v>
      </c>
      <c r="N713" s="43">
        <v>1</v>
      </c>
      <c r="O713" s="44">
        <v>1696</v>
      </c>
      <c r="P713" s="44">
        <v>1390.16</v>
      </c>
      <c r="Q713" s="44">
        <v>1356.8</v>
      </c>
      <c r="R713" s="44">
        <v>1112.1300000000001</v>
      </c>
      <c r="S713" s="44">
        <v>1153.28</v>
      </c>
      <c r="T713" s="44">
        <v>945.31</v>
      </c>
      <c r="U713" s="42"/>
      <c r="V713" s="42"/>
      <c r="W713" s="42" t="s">
        <v>40</v>
      </c>
      <c r="X713" s="45">
        <v>0.624</v>
      </c>
      <c r="Y713" s="46">
        <v>5.7580000000000001E-3</v>
      </c>
      <c r="Z713" s="21">
        <v>4601004329058</v>
      </c>
    </row>
    <row r="714" spans="1:26" ht="12" customHeight="1" outlineLevel="4" x14ac:dyDescent="0.2">
      <c r="A714" s="40" t="s">
        <v>17734</v>
      </c>
      <c r="B714" s="75" t="s">
        <v>17735</v>
      </c>
      <c r="C714" s="51"/>
      <c r="D714" s="54">
        <f t="shared" si="10"/>
        <v>0</v>
      </c>
      <c r="E714" s="61" t="str">
        <f>HYPERLINK("https://www.sds-group.ru/product/antimoskitnaya-lampa-s-80m-2h10vt-220v-chetyre-sezona-71-0046-F/", "Инфо")</f>
        <v>Инфо</v>
      </c>
      <c r="F714" s="42" t="s">
        <v>39</v>
      </c>
      <c r="G714" s="41" t="s">
        <v>40</v>
      </c>
      <c r="H714" s="41"/>
      <c r="I714" s="41"/>
      <c r="J714" s="43">
        <v>269</v>
      </c>
      <c r="K714" s="41"/>
      <c r="L714" s="43">
        <v>1</v>
      </c>
      <c r="M714" s="43">
        <v>10</v>
      </c>
      <c r="N714" s="43">
        <v>1</v>
      </c>
      <c r="O714" s="44">
        <v>3816</v>
      </c>
      <c r="P714" s="44">
        <v>3127.87</v>
      </c>
      <c r="Q714" s="44">
        <v>3052.8</v>
      </c>
      <c r="R714" s="44">
        <v>2502.3000000000002</v>
      </c>
      <c r="S714" s="44">
        <v>2594.88</v>
      </c>
      <c r="T714" s="44">
        <v>2126.9499999999998</v>
      </c>
      <c r="U714" s="42"/>
      <c r="V714" s="42"/>
      <c r="W714" s="42" t="s">
        <v>40</v>
      </c>
      <c r="X714" s="45">
        <v>1.474</v>
      </c>
      <c r="Y714" s="46">
        <v>1.1389E-2</v>
      </c>
      <c r="Z714" s="21">
        <v>4601004328976</v>
      </c>
    </row>
    <row r="715" spans="1:26" ht="12" customHeight="1" outlineLevel="4" x14ac:dyDescent="0.2">
      <c r="A715" s="40" t="s">
        <v>17740</v>
      </c>
      <c r="B715" s="75" t="s">
        <v>17741</v>
      </c>
      <c r="C715" s="51"/>
      <c r="D715" s="54">
        <f t="shared" ref="D715:D777" si="11">C715*(O715-O715*$G$3)</f>
        <v>0</v>
      </c>
      <c r="E715" s="61" t="str">
        <f>HYPERLINK("https://www.sds-group.ru/product/antimoskitnaya-lampa-2h6vt-220v-s-60m-chetyre-sezona-71-0036-F/", "Инфо")</f>
        <v>Инфо</v>
      </c>
      <c r="F715" s="42" t="s">
        <v>39</v>
      </c>
      <c r="G715" s="41" t="s">
        <v>40</v>
      </c>
      <c r="H715" s="41"/>
      <c r="I715" s="41"/>
      <c r="J715" s="43">
        <v>742</v>
      </c>
      <c r="K715" s="41"/>
      <c r="L715" s="43">
        <v>1</v>
      </c>
      <c r="M715" s="43">
        <v>10</v>
      </c>
      <c r="N715" s="43">
        <v>1</v>
      </c>
      <c r="O715" s="44">
        <v>2756</v>
      </c>
      <c r="P715" s="44">
        <v>2259.02</v>
      </c>
      <c r="Q715" s="44">
        <v>2204.8000000000002</v>
      </c>
      <c r="R715" s="44">
        <v>1807.21</v>
      </c>
      <c r="S715" s="44">
        <v>1874.08</v>
      </c>
      <c r="T715" s="44">
        <v>1536.13</v>
      </c>
      <c r="U715" s="42"/>
      <c r="V715" s="42"/>
      <c r="W715" s="42" t="s">
        <v>40</v>
      </c>
      <c r="X715" s="45">
        <v>0.99099999999999999</v>
      </c>
      <c r="Y715" s="46">
        <v>8.0319999999999992E-3</v>
      </c>
      <c r="Z715" s="21">
        <v>4601004328921</v>
      </c>
    </row>
    <row r="716" spans="1:26" ht="12" customHeight="1" outlineLevel="4" x14ac:dyDescent="0.2">
      <c r="A716" s="40" t="s">
        <v>17746</v>
      </c>
      <c r="B716" s="75" t="s">
        <v>17747</v>
      </c>
      <c r="C716" s="51"/>
      <c r="D716" s="54">
        <f t="shared" si="11"/>
        <v>0</v>
      </c>
      <c r="E716" s="61" t="str">
        <f>HYPERLINK("https://www.sds-group.ru/product/dvernaya-antimoskitnaya-setka-210h100sm-s-magnitami-po-vsey-dline-belaya-chetyre-sezona-71-0223-F/", "Инфо")</f>
        <v>Инфо</v>
      </c>
      <c r="F716" s="42" t="s">
        <v>39</v>
      </c>
      <c r="G716" s="41" t="s">
        <v>40</v>
      </c>
      <c r="H716" s="41"/>
      <c r="I716" s="41"/>
      <c r="J716" s="43">
        <v>997</v>
      </c>
      <c r="K716" s="41"/>
      <c r="L716" s="43">
        <v>1</v>
      </c>
      <c r="M716" s="43">
        <v>60</v>
      </c>
      <c r="N716" s="43">
        <v>1</v>
      </c>
      <c r="O716" s="44">
        <v>498.2</v>
      </c>
      <c r="P716" s="44">
        <v>408.36</v>
      </c>
      <c r="Q716" s="44">
        <v>448.38</v>
      </c>
      <c r="R716" s="44">
        <v>367.52</v>
      </c>
      <c r="S716" s="44">
        <v>338.78</v>
      </c>
      <c r="T716" s="44">
        <v>277.69</v>
      </c>
      <c r="U716" s="42"/>
      <c r="V716" s="42"/>
      <c r="W716" s="42" t="s">
        <v>40</v>
      </c>
      <c r="X716" s="45">
        <v>0.23400000000000001</v>
      </c>
      <c r="Y716" s="46">
        <v>1.4469999999999999E-3</v>
      </c>
      <c r="Z716" s="21">
        <v>4601004328969</v>
      </c>
    </row>
    <row r="717" spans="1:26" ht="12" customHeight="1" outlineLevel="4" x14ac:dyDescent="0.2">
      <c r="A717" s="40" t="s">
        <v>17750</v>
      </c>
      <c r="B717" s="75" t="s">
        <v>17751</v>
      </c>
      <c r="C717" s="51"/>
      <c r="D717" s="54">
        <f t="shared" si="11"/>
        <v>0</v>
      </c>
      <c r="E717" s="61" t="str">
        <f>HYPERLINK("https://www.sds-group.ru/product/dvernaya-antimoskitnaya-setka-210h100sm-s-magnitami-po-vsey-dline-zelenaya-chetyre-sezona-71-0226-F/", "Инфо")</f>
        <v>Инфо</v>
      </c>
      <c r="F717" s="42" t="s">
        <v>39</v>
      </c>
      <c r="G717" s="41" t="s">
        <v>40</v>
      </c>
      <c r="H717" s="41"/>
      <c r="I717" s="41"/>
      <c r="J717" s="47">
        <v>1708</v>
      </c>
      <c r="K717" s="41"/>
      <c r="L717" s="43">
        <v>1</v>
      </c>
      <c r="M717" s="43">
        <v>60</v>
      </c>
      <c r="N717" s="43">
        <v>1</v>
      </c>
      <c r="O717" s="44">
        <v>498.2</v>
      </c>
      <c r="P717" s="44">
        <v>408.36</v>
      </c>
      <c r="Q717" s="44">
        <v>448.38</v>
      </c>
      <c r="R717" s="44">
        <v>367.52</v>
      </c>
      <c r="S717" s="44">
        <v>338.78</v>
      </c>
      <c r="T717" s="44">
        <v>277.69</v>
      </c>
      <c r="U717" s="42"/>
      <c r="V717" s="42"/>
      <c r="W717" s="42" t="s">
        <v>40</v>
      </c>
      <c r="X717" s="45">
        <v>0.22500000000000001</v>
      </c>
      <c r="Y717" s="46">
        <v>1.3159999999999999E-3</v>
      </c>
      <c r="Z717" s="21">
        <v>4601004328983</v>
      </c>
    </row>
    <row r="718" spans="1:26" ht="12" customHeight="1" outlineLevel="4" x14ac:dyDescent="0.2">
      <c r="A718" s="40" t="s">
        <v>17760</v>
      </c>
      <c r="B718" s="75" t="s">
        <v>17761</v>
      </c>
      <c r="C718" s="51"/>
      <c r="D718" s="54">
        <f t="shared" si="11"/>
        <v>0</v>
      </c>
      <c r="E718" s="61" t="str">
        <f>HYPERLINK("https://www.sds-group.ru/product/dvernaya-antimoskitnaya-setka-210h100sm-s-magnitami-po-vsey-dline-chernaya-chetyre-sezona-71-0221-F/", "Инфо")</f>
        <v>Инфо</v>
      </c>
      <c r="F718" s="42" t="s">
        <v>39</v>
      </c>
      <c r="G718" s="41" t="s">
        <v>40</v>
      </c>
      <c r="H718" s="41"/>
      <c r="I718" s="41"/>
      <c r="J718" s="43">
        <v>257</v>
      </c>
      <c r="K718" s="41"/>
      <c r="L718" s="43">
        <v>1</v>
      </c>
      <c r="M718" s="43">
        <v>60</v>
      </c>
      <c r="N718" s="43">
        <v>1</v>
      </c>
      <c r="O718" s="44">
        <v>498.2</v>
      </c>
      <c r="P718" s="44">
        <v>408.36</v>
      </c>
      <c r="Q718" s="44">
        <v>448.38</v>
      </c>
      <c r="R718" s="44">
        <v>367.52</v>
      </c>
      <c r="S718" s="44">
        <v>338.78</v>
      </c>
      <c r="T718" s="44">
        <v>277.69</v>
      </c>
      <c r="U718" s="42"/>
      <c r="V718" s="42"/>
      <c r="W718" s="42" t="s">
        <v>40</v>
      </c>
      <c r="X718" s="45">
        <v>0.23100000000000001</v>
      </c>
      <c r="Y718" s="46">
        <v>1.3029999999999999E-3</v>
      </c>
      <c r="Z718" s="21">
        <v>4601004328792</v>
      </c>
    </row>
    <row r="719" spans="1:26" ht="12" customHeight="1" outlineLevel="4" x14ac:dyDescent="0.2">
      <c r="A719" s="40" t="s">
        <v>17764</v>
      </c>
      <c r="B719" s="75" t="s">
        <v>17765</v>
      </c>
      <c r="C719" s="51"/>
      <c r="D719" s="54">
        <f t="shared" si="11"/>
        <v>0</v>
      </c>
      <c r="E719" s="62"/>
      <c r="F719" s="42" t="s">
        <v>974</v>
      </c>
      <c r="G719" s="41" t="s">
        <v>40</v>
      </c>
      <c r="H719" s="41"/>
      <c r="I719" s="41"/>
      <c r="J719" s="43">
        <v>4</v>
      </c>
      <c r="K719" s="41"/>
      <c r="L719" s="43">
        <v>1</v>
      </c>
      <c r="M719" s="43">
        <v>144</v>
      </c>
      <c r="N719" s="43">
        <v>1</v>
      </c>
      <c r="O719" s="44">
        <v>519.4</v>
      </c>
      <c r="P719" s="44">
        <v>425.74</v>
      </c>
      <c r="Q719" s="44">
        <v>415.52</v>
      </c>
      <c r="R719" s="44">
        <v>340.59</v>
      </c>
      <c r="S719" s="44">
        <v>353.19</v>
      </c>
      <c r="T719" s="44">
        <v>289.5</v>
      </c>
      <c r="U719" s="42"/>
      <c r="V719" s="42"/>
      <c r="W719" s="42"/>
      <c r="X719" s="45">
        <v>7.9000000000000001E-2</v>
      </c>
      <c r="Y719" s="46">
        <v>2.9300000000000002E-4</v>
      </c>
      <c r="Z719" s="21">
        <v>4601004350083</v>
      </c>
    </row>
    <row r="720" spans="1:26" ht="12" customHeight="1" outlineLevel="4" x14ac:dyDescent="0.2">
      <c r="A720" s="40" t="s">
        <v>17768</v>
      </c>
      <c r="B720" s="75" t="s">
        <v>17769</v>
      </c>
      <c r="C720" s="51"/>
      <c r="D720" s="54">
        <f t="shared" si="11"/>
        <v>0</v>
      </c>
      <c r="E720" s="61" t="str">
        <f>HYPERLINK("https://www.sds-group.ru/product/lampa-t8-dlya-unichtozhitelya-s-100m-15vt-chetyre-sezona-71-0156-F/", "Инфо")</f>
        <v>Инфо</v>
      </c>
      <c r="F720" s="42" t="s">
        <v>39</v>
      </c>
      <c r="G720" s="41" t="s">
        <v>40</v>
      </c>
      <c r="H720" s="41"/>
      <c r="I720" s="41"/>
      <c r="J720" s="42" t="s">
        <v>100</v>
      </c>
      <c r="K720" s="41"/>
      <c r="L720" s="43">
        <v>5</v>
      </c>
      <c r="M720" s="43">
        <v>100</v>
      </c>
      <c r="N720" s="43">
        <v>5</v>
      </c>
      <c r="O720" s="44">
        <v>530</v>
      </c>
      <c r="P720" s="44">
        <v>434.43</v>
      </c>
      <c r="Q720" s="44">
        <v>477</v>
      </c>
      <c r="R720" s="44">
        <v>390.98</v>
      </c>
      <c r="S720" s="44">
        <v>360.4</v>
      </c>
      <c r="T720" s="44">
        <v>295.41000000000003</v>
      </c>
      <c r="U720" s="42"/>
      <c r="V720" s="42"/>
      <c r="W720" s="42" t="s">
        <v>40</v>
      </c>
      <c r="X720" s="45">
        <v>7.4999999999999997E-2</v>
      </c>
      <c r="Y720" s="46">
        <v>5.04E-4</v>
      </c>
      <c r="Z720" s="21">
        <v>4601004328877</v>
      </c>
    </row>
    <row r="721" spans="1:26" ht="12" customHeight="1" outlineLevel="4" x14ac:dyDescent="0.2">
      <c r="A721" s="40" t="s">
        <v>17770</v>
      </c>
      <c r="B721" s="75" t="s">
        <v>17771</v>
      </c>
      <c r="C721" s="51"/>
      <c r="D721" s="54">
        <f t="shared" si="11"/>
        <v>0</v>
      </c>
      <c r="E721" s="61" t="str">
        <f>HYPERLINK("https://www.sds-group.ru/product/lampa-t8-dlya-unichtozhitelya-s-80m-10vt-chetyre-sezona-71-0146-F/", "Инфо")</f>
        <v>Инфо</v>
      </c>
      <c r="F721" s="42" t="s">
        <v>39</v>
      </c>
      <c r="G721" s="41" t="s">
        <v>40</v>
      </c>
      <c r="H721" s="41"/>
      <c r="I721" s="41"/>
      <c r="J721" s="47">
        <v>3166</v>
      </c>
      <c r="K721" s="41"/>
      <c r="L721" s="43">
        <v>1</v>
      </c>
      <c r="M721" s="43">
        <v>200</v>
      </c>
      <c r="N721" s="43">
        <v>1</v>
      </c>
      <c r="O721" s="44">
        <v>424</v>
      </c>
      <c r="P721" s="44">
        <v>347.54</v>
      </c>
      <c r="Q721" s="44">
        <v>381.6</v>
      </c>
      <c r="R721" s="44">
        <v>312.79000000000002</v>
      </c>
      <c r="S721" s="44">
        <v>288.32</v>
      </c>
      <c r="T721" s="44">
        <v>236.33</v>
      </c>
      <c r="U721" s="42"/>
      <c r="V721" s="42"/>
      <c r="W721" s="42" t="s">
        <v>40</v>
      </c>
      <c r="X721" s="45">
        <v>5.8999999999999997E-2</v>
      </c>
      <c r="Y721" s="46">
        <v>3.1399999999999999E-4</v>
      </c>
      <c r="Z721" s="21">
        <v>4601004328938</v>
      </c>
    </row>
    <row r="722" spans="1:26" ht="12" customHeight="1" outlineLevel="4" x14ac:dyDescent="0.2">
      <c r="A722" s="40" t="s">
        <v>17774</v>
      </c>
      <c r="B722" s="75" t="s">
        <v>17775</v>
      </c>
      <c r="C722" s="51"/>
      <c r="D722" s="54">
        <f t="shared" si="11"/>
        <v>0</v>
      </c>
      <c r="E722" s="61" t="str">
        <f>HYPERLINK("https://www.sds-group.ru/product/muhoboyka-elektricheskaya-0410-800v-chetyre-sezona-70-0410-F/", "Инфо")</f>
        <v>Инфо</v>
      </c>
      <c r="F722" s="42" t="s">
        <v>39</v>
      </c>
      <c r="G722" s="41" t="s">
        <v>40</v>
      </c>
      <c r="H722" s="41"/>
      <c r="I722" s="41"/>
      <c r="J722" s="43">
        <v>605</v>
      </c>
      <c r="K722" s="41"/>
      <c r="L722" s="43">
        <v>1</v>
      </c>
      <c r="M722" s="43">
        <v>60</v>
      </c>
      <c r="N722" s="43">
        <v>1</v>
      </c>
      <c r="O722" s="44">
        <v>614.79999999999995</v>
      </c>
      <c r="P722" s="44">
        <v>503.93</v>
      </c>
      <c r="Q722" s="44">
        <v>553.32000000000005</v>
      </c>
      <c r="R722" s="44">
        <v>453.54</v>
      </c>
      <c r="S722" s="44">
        <v>418.06</v>
      </c>
      <c r="T722" s="44">
        <v>342.67</v>
      </c>
      <c r="U722" s="42"/>
      <c r="V722" s="42"/>
      <c r="W722" s="42" t="s">
        <v>40</v>
      </c>
      <c r="X722" s="45">
        <v>0.25600000000000001</v>
      </c>
      <c r="Y722" s="46">
        <v>1.725E-3</v>
      </c>
      <c r="Z722" s="21">
        <v>4601004329041</v>
      </c>
    </row>
    <row r="723" spans="1:26" ht="12" customHeight="1" outlineLevel="4" x14ac:dyDescent="0.2">
      <c r="A723" s="40" t="s">
        <v>17778</v>
      </c>
      <c r="B723" s="75" t="s">
        <v>17779</v>
      </c>
      <c r="C723" s="51"/>
      <c r="D723" s="54">
        <f t="shared" si="11"/>
        <v>0</v>
      </c>
      <c r="E723" s="61" t="str">
        <f>HYPERLINK("https://www.sds-group.ru/product/muhoboyka-elektricheskaya-0420-profi-1000v-s-fonarikom-i-akkumulyatorom-chetyre-sezona-70-0420-F/", "Инфо")</f>
        <v>Инфо</v>
      </c>
      <c r="F723" s="42" t="s">
        <v>39</v>
      </c>
      <c r="G723" s="41" t="s">
        <v>40</v>
      </c>
      <c r="H723" s="41"/>
      <c r="I723" s="41"/>
      <c r="J723" s="43">
        <v>677</v>
      </c>
      <c r="K723" s="41"/>
      <c r="L723" s="43">
        <v>1</v>
      </c>
      <c r="M723" s="43">
        <v>50</v>
      </c>
      <c r="N723" s="43">
        <v>1</v>
      </c>
      <c r="O723" s="44">
        <v>1049.4000000000001</v>
      </c>
      <c r="P723" s="44">
        <v>860.16</v>
      </c>
      <c r="Q723" s="44">
        <v>944.46</v>
      </c>
      <c r="R723" s="44">
        <v>774.15</v>
      </c>
      <c r="S723" s="44">
        <v>713.59</v>
      </c>
      <c r="T723" s="44">
        <v>584.91</v>
      </c>
      <c r="U723" s="42"/>
      <c r="V723" s="42"/>
      <c r="W723" s="42" t="s">
        <v>40</v>
      </c>
      <c r="X723" s="45">
        <v>0.42</v>
      </c>
      <c r="Y723" s="46">
        <v>3.0539999999999999E-3</v>
      </c>
      <c r="Z723" s="21">
        <v>4601004329065</v>
      </c>
    </row>
    <row r="724" spans="1:26" ht="12" customHeight="1" outlineLevel="4" x14ac:dyDescent="0.2">
      <c r="A724" s="40" t="s">
        <v>17782</v>
      </c>
      <c r="B724" s="75" t="s">
        <v>17783</v>
      </c>
      <c r="C724" s="51"/>
      <c r="D724" s="54">
        <f t="shared" si="11"/>
        <v>0</v>
      </c>
      <c r="E724" s="61" t="str">
        <f>HYPERLINK("https://www.sds-group.ru/product/muhoboyka-elektricheskaya-0440-1000v-s-podstavkoy-chetyre-sezona-70-0440-F/", "Инфо")</f>
        <v>Инфо</v>
      </c>
      <c r="F724" s="42" t="s">
        <v>39</v>
      </c>
      <c r="G724" s="41" t="s">
        <v>40</v>
      </c>
      <c r="H724" s="41"/>
      <c r="I724" s="41"/>
      <c r="J724" s="43">
        <v>756</v>
      </c>
      <c r="K724" s="41"/>
      <c r="L724" s="43">
        <v>1</v>
      </c>
      <c r="M724" s="43">
        <v>30</v>
      </c>
      <c r="N724" s="43">
        <v>1</v>
      </c>
      <c r="O724" s="44">
        <v>1908</v>
      </c>
      <c r="P724" s="44">
        <v>1563.93</v>
      </c>
      <c r="Q724" s="44">
        <v>1335.6</v>
      </c>
      <c r="R724" s="44">
        <v>1094.75</v>
      </c>
      <c r="S724" s="44">
        <v>1297.44</v>
      </c>
      <c r="T724" s="44">
        <v>1063.48</v>
      </c>
      <c r="U724" s="42"/>
      <c r="V724" s="42"/>
      <c r="W724" s="42" t="s">
        <v>40</v>
      </c>
      <c r="X724" s="45">
        <v>0.64500000000000002</v>
      </c>
      <c r="Y724" s="46">
        <v>6.9649999999999998E-3</v>
      </c>
      <c r="Z724" s="21">
        <v>4601004329010</v>
      </c>
    </row>
    <row r="725" spans="1:26" ht="12" customHeight="1" outlineLevel="4" x14ac:dyDescent="0.2">
      <c r="A725" s="40" t="s">
        <v>17796</v>
      </c>
      <c r="B725" s="75" t="s">
        <v>17797</v>
      </c>
      <c r="C725" s="51"/>
      <c r="D725" s="54">
        <f t="shared" si="11"/>
        <v>0</v>
      </c>
      <c r="E725" s="61" t="str">
        <f>HYPERLINK("https://www.sds-group.ru/product/okonnaya-antimoskitnaya-setka-1-5h1-5m-s-kleykoy-lentoy-belaya-chetyre-sezona-71-0227-F/", "Инфо")</f>
        <v>Инфо</v>
      </c>
      <c r="F725" s="42" t="s">
        <v>39</v>
      </c>
      <c r="G725" s="41" t="s">
        <v>40</v>
      </c>
      <c r="H725" s="41"/>
      <c r="I725" s="41"/>
      <c r="J725" s="47">
        <v>1779</v>
      </c>
      <c r="K725" s="41"/>
      <c r="L725" s="43">
        <v>5</v>
      </c>
      <c r="M725" s="43">
        <v>100</v>
      </c>
      <c r="N725" s="43">
        <v>5</v>
      </c>
      <c r="O725" s="44">
        <v>392.2</v>
      </c>
      <c r="P725" s="44">
        <v>321.48</v>
      </c>
      <c r="Q725" s="44">
        <v>352.98</v>
      </c>
      <c r="R725" s="44">
        <v>289.33</v>
      </c>
      <c r="S725" s="44">
        <v>266.7</v>
      </c>
      <c r="T725" s="44">
        <v>218.61</v>
      </c>
      <c r="U725" s="42"/>
      <c r="V725" s="42"/>
      <c r="W725" s="42" t="s">
        <v>40</v>
      </c>
      <c r="X725" s="45">
        <v>7.6999999999999999E-2</v>
      </c>
      <c r="Y725" s="46">
        <v>7.3700000000000002E-4</v>
      </c>
      <c r="Z725" s="21">
        <v>4601004328990</v>
      </c>
    </row>
    <row r="726" spans="1:26" ht="12" customHeight="1" outlineLevel="4" x14ac:dyDescent="0.2">
      <c r="A726" s="40" t="s">
        <v>17802</v>
      </c>
      <c r="B726" s="75" t="s">
        <v>17803</v>
      </c>
      <c r="C726" s="51"/>
      <c r="D726" s="54">
        <f t="shared" si="11"/>
        <v>0</v>
      </c>
      <c r="E726" s="61" t="str">
        <f>HYPERLINK("https://www.sds-group.ru/product/setka-antimoskitnaya-na-dver-210h100sm-s-magnitami-po-vsey-dline-rozovaya-s-tsvetami-chety-71-0225-F/", "Инфо")</f>
        <v>Инфо</v>
      </c>
      <c r="F726" s="42" t="s">
        <v>39</v>
      </c>
      <c r="G726" s="41" t="s">
        <v>40</v>
      </c>
      <c r="H726" s="41"/>
      <c r="I726" s="41"/>
      <c r="J726" s="42" t="s">
        <v>100</v>
      </c>
      <c r="K726" s="41"/>
      <c r="L726" s="43">
        <v>5</v>
      </c>
      <c r="M726" s="42"/>
      <c r="N726" s="43">
        <v>5</v>
      </c>
      <c r="O726" s="44">
        <v>498.2</v>
      </c>
      <c r="P726" s="44">
        <v>408.36</v>
      </c>
      <c r="Q726" s="44">
        <v>448.38</v>
      </c>
      <c r="R726" s="44">
        <v>367.52</v>
      </c>
      <c r="S726" s="44">
        <v>338.78</v>
      </c>
      <c r="T726" s="44">
        <v>277.69</v>
      </c>
      <c r="U726" s="42"/>
      <c r="V726" s="42"/>
      <c r="W726" s="42" t="s">
        <v>40</v>
      </c>
      <c r="X726" s="45">
        <v>0.22800000000000001</v>
      </c>
      <c r="Y726" s="46">
        <v>1.1670000000000001E-3</v>
      </c>
      <c r="Z726" s="21">
        <v>4601004338470</v>
      </c>
    </row>
    <row r="727" spans="1:26" ht="12" customHeight="1" outlineLevel="4" x14ac:dyDescent="0.2">
      <c r="A727" s="40" t="s">
        <v>17804</v>
      </c>
      <c r="B727" s="75" t="s">
        <v>17805</v>
      </c>
      <c r="C727" s="51"/>
      <c r="D727" s="54">
        <f t="shared" si="11"/>
        <v>0</v>
      </c>
      <c r="E727" s="61" t="str">
        <f>HYPERLINK("https://www.sds-group.ru/product/setka-antimoskitnaya-na-dver-210h100sm-s-magnitami-po-vsey-dline-s-tsvetami-chetyre-sezona-71-0224-F/", "Инфо")</f>
        <v>Инфо</v>
      </c>
      <c r="F727" s="42" t="s">
        <v>39</v>
      </c>
      <c r="G727" s="41" t="s">
        <v>40</v>
      </c>
      <c r="H727" s="41"/>
      <c r="I727" s="41"/>
      <c r="J727" s="47">
        <v>1582</v>
      </c>
      <c r="K727" s="41"/>
      <c r="L727" s="43">
        <v>5</v>
      </c>
      <c r="M727" s="42"/>
      <c r="N727" s="43">
        <v>5</v>
      </c>
      <c r="O727" s="44">
        <v>498.2</v>
      </c>
      <c r="P727" s="44">
        <v>408.36</v>
      </c>
      <c r="Q727" s="44">
        <v>448.38</v>
      </c>
      <c r="R727" s="44">
        <v>367.52</v>
      </c>
      <c r="S727" s="44">
        <v>338.78</v>
      </c>
      <c r="T727" s="44">
        <v>277.69</v>
      </c>
      <c r="U727" s="42"/>
      <c r="V727" s="42"/>
      <c r="W727" s="42" t="s">
        <v>40</v>
      </c>
      <c r="X727" s="45">
        <v>0.22600000000000001</v>
      </c>
      <c r="Y727" s="46">
        <v>1.1670000000000001E-3</v>
      </c>
      <c r="Z727" s="21">
        <v>4601004338326</v>
      </c>
    </row>
    <row r="728" spans="1:26" ht="12" customHeight="1" outlineLevel="4" x14ac:dyDescent="0.2">
      <c r="A728" s="40" t="s">
        <v>17808</v>
      </c>
      <c r="B728" s="75" t="s">
        <v>17809</v>
      </c>
      <c r="C728" s="51"/>
      <c r="D728" s="54">
        <f t="shared" si="11"/>
        <v>0</v>
      </c>
      <c r="E728" s="61" t="str">
        <f>HYPERLINK("https://www.sds-group.ru/product/ultrazvukovoy-otpugivatel-komarov-s-30m-220v-chetyre-sezona-71-0014-F/", "Инфо")</f>
        <v>Инфо</v>
      </c>
      <c r="F728" s="42" t="s">
        <v>39</v>
      </c>
      <c r="G728" s="41" t="s">
        <v>40</v>
      </c>
      <c r="H728" s="41"/>
      <c r="I728" s="41"/>
      <c r="J728" s="43">
        <v>709</v>
      </c>
      <c r="K728" s="41"/>
      <c r="L728" s="43">
        <v>5</v>
      </c>
      <c r="M728" s="43">
        <v>100</v>
      </c>
      <c r="N728" s="43">
        <v>5</v>
      </c>
      <c r="O728" s="44">
        <v>371</v>
      </c>
      <c r="P728" s="44">
        <v>304.10000000000002</v>
      </c>
      <c r="Q728" s="44">
        <v>333.9</v>
      </c>
      <c r="R728" s="44">
        <v>273.69</v>
      </c>
      <c r="S728" s="44">
        <v>252.28</v>
      </c>
      <c r="T728" s="44">
        <v>206.79</v>
      </c>
      <c r="U728" s="42"/>
      <c r="V728" s="42"/>
      <c r="W728" s="42" t="s">
        <v>40</v>
      </c>
      <c r="X728" s="45">
        <v>4.8000000000000001E-2</v>
      </c>
      <c r="Y728" s="46">
        <v>4.7100000000000001E-4</v>
      </c>
      <c r="Z728" s="21">
        <v>4601004328839</v>
      </c>
    </row>
    <row r="729" spans="1:26" ht="12.95" customHeight="1" outlineLevel="3" x14ac:dyDescent="0.2">
      <c r="A729" s="76" t="s">
        <v>17814</v>
      </c>
      <c r="B729" s="76"/>
      <c r="C729" s="77"/>
      <c r="D729" s="58"/>
      <c r="E729" s="68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 spans="1:26" ht="12" customHeight="1" outlineLevel="4" x14ac:dyDescent="0.2">
      <c r="A730" s="40" t="s">
        <v>17827</v>
      </c>
      <c r="B730" s="75" t="s">
        <v>17828</v>
      </c>
      <c r="C730" s="51"/>
      <c r="D730" s="54">
        <f t="shared" si="11"/>
        <v>0</v>
      </c>
      <c r="E730" s="61" t="str">
        <f>HYPERLINK("https://www.sds-group.ru/product/nabor-ultrazvukovyh-otpugivateley-krotov-na-solnechnoy-bataree-r-20m-2-sht-chetyre-sezona-71-0037-F/", "Инфо")</f>
        <v>Инфо</v>
      </c>
      <c r="F730" s="42" t="s">
        <v>4698</v>
      </c>
      <c r="G730" s="41" t="s">
        <v>40</v>
      </c>
      <c r="H730" s="41"/>
      <c r="I730" s="41"/>
      <c r="J730" s="42" t="s">
        <v>100</v>
      </c>
      <c r="K730" s="41"/>
      <c r="L730" s="43">
        <v>1</v>
      </c>
      <c r="M730" s="43">
        <v>24</v>
      </c>
      <c r="N730" s="43">
        <v>1</v>
      </c>
      <c r="O730" s="44">
        <v>1058.94</v>
      </c>
      <c r="P730" s="44">
        <v>867.98</v>
      </c>
      <c r="Q730" s="44">
        <v>847.15</v>
      </c>
      <c r="R730" s="44">
        <v>694.39</v>
      </c>
      <c r="S730" s="44">
        <v>720.08</v>
      </c>
      <c r="T730" s="44">
        <v>590.23</v>
      </c>
      <c r="U730" s="42"/>
      <c r="V730" s="42"/>
      <c r="W730" s="42" t="s">
        <v>40</v>
      </c>
      <c r="X730" s="45">
        <v>0.224</v>
      </c>
      <c r="Y730" s="46">
        <v>1.549E-3</v>
      </c>
      <c r="Z730" s="21">
        <v>4601004338401</v>
      </c>
    </row>
    <row r="731" spans="1:26" ht="12" customHeight="1" outlineLevel="4" x14ac:dyDescent="0.2">
      <c r="A731" s="40" t="s">
        <v>17831</v>
      </c>
      <c r="B731" s="75" t="s">
        <v>17832</v>
      </c>
      <c r="C731" s="51"/>
      <c r="D731" s="54">
        <f t="shared" si="11"/>
        <v>0</v>
      </c>
      <c r="E731" s="61" t="str">
        <f>HYPERLINK("https://www.sds-group.ru/product/ultrazvukovoy-otpugivatel-zmey-r-30m-na-solnechnoy-bataree-s-podsvetkoy-chetyre-sezona-71-0027-F/", "Инфо")</f>
        <v>Инфо</v>
      </c>
      <c r="F731" s="42" t="s">
        <v>39</v>
      </c>
      <c r="G731" s="41" t="s">
        <v>40</v>
      </c>
      <c r="H731" s="41"/>
      <c r="I731" s="41"/>
      <c r="J731" s="43">
        <v>357</v>
      </c>
      <c r="K731" s="41"/>
      <c r="L731" s="43">
        <v>1</v>
      </c>
      <c r="M731" s="43">
        <v>10</v>
      </c>
      <c r="N731" s="43">
        <v>1</v>
      </c>
      <c r="O731" s="44">
        <v>1409.8</v>
      </c>
      <c r="P731" s="44">
        <v>1155.57</v>
      </c>
      <c r="Q731" s="44">
        <v>1127.8399999999999</v>
      </c>
      <c r="R731" s="44">
        <v>924.46</v>
      </c>
      <c r="S731" s="44">
        <v>958.66</v>
      </c>
      <c r="T731" s="44">
        <v>785.79</v>
      </c>
      <c r="U731" s="42"/>
      <c r="V731" s="42"/>
      <c r="W731" s="42" t="s">
        <v>40</v>
      </c>
      <c r="X731" s="45">
        <v>0.39600000000000002</v>
      </c>
      <c r="Y731" s="46">
        <v>4.0090000000000004E-3</v>
      </c>
      <c r="Z731" s="21">
        <v>4601004328761</v>
      </c>
    </row>
    <row r="732" spans="1:26" ht="12" customHeight="1" outlineLevel="4" x14ac:dyDescent="0.2">
      <c r="A732" s="40" t="s">
        <v>17843</v>
      </c>
      <c r="B732" s="75" t="s">
        <v>17844</v>
      </c>
      <c r="C732" s="51"/>
      <c r="D732" s="54">
        <f t="shared" si="11"/>
        <v>0</v>
      </c>
      <c r="E732" s="61" t="str">
        <f>HYPERLINK("https://www.sds-group.ru/product/ultrazvukovoy-otpugivatel-krotov-r-30m-na-solnechnoy-bataree-chetyre-sezona-71-0007-F/", "Инфо")</f>
        <v>Инфо</v>
      </c>
      <c r="F732" s="42" t="s">
        <v>39</v>
      </c>
      <c r="G732" s="41" t="s">
        <v>40</v>
      </c>
      <c r="H732" s="41"/>
      <c r="I732" s="41"/>
      <c r="J732" s="43">
        <v>113</v>
      </c>
      <c r="K732" s="41"/>
      <c r="L732" s="43">
        <v>1</v>
      </c>
      <c r="M732" s="43">
        <v>10</v>
      </c>
      <c r="N732" s="43">
        <v>1</v>
      </c>
      <c r="O732" s="44">
        <v>1272</v>
      </c>
      <c r="P732" s="44">
        <v>1042.6199999999999</v>
      </c>
      <c r="Q732" s="44">
        <v>1017.6</v>
      </c>
      <c r="R732" s="44">
        <v>834.1</v>
      </c>
      <c r="S732" s="44">
        <v>864.96</v>
      </c>
      <c r="T732" s="44">
        <v>708.98</v>
      </c>
      <c r="U732" s="42"/>
      <c r="V732" s="42"/>
      <c r="W732" s="42" t="s">
        <v>40</v>
      </c>
      <c r="X732" s="45">
        <v>0.39400000000000002</v>
      </c>
      <c r="Y732" s="46">
        <v>4.0639999999999999E-3</v>
      </c>
      <c r="Z732" s="21">
        <v>4601004328754</v>
      </c>
    </row>
    <row r="733" spans="1:26" ht="12" customHeight="1" outlineLevel="4" x14ac:dyDescent="0.2">
      <c r="A733" s="40" t="s">
        <v>17849</v>
      </c>
      <c r="B733" s="75" t="s">
        <v>17850</v>
      </c>
      <c r="C733" s="51"/>
      <c r="D733" s="54">
        <f t="shared" si="11"/>
        <v>0</v>
      </c>
      <c r="E733" s="61" t="str">
        <f>HYPERLINK("https://www.sds-group.ru/product/ultrazvukovoy-otpugivatel-krotov-r-35m-metall-chetyre-sezona-71-0022-F/", "Инфо")</f>
        <v>Инфо</v>
      </c>
      <c r="F733" s="42" t="s">
        <v>39</v>
      </c>
      <c r="G733" s="41" t="s">
        <v>40</v>
      </c>
      <c r="H733" s="41"/>
      <c r="I733" s="41"/>
      <c r="J733" s="43">
        <v>33</v>
      </c>
      <c r="K733" s="41"/>
      <c r="L733" s="43">
        <v>1</v>
      </c>
      <c r="M733" s="43">
        <v>36</v>
      </c>
      <c r="N733" s="43">
        <v>1</v>
      </c>
      <c r="O733" s="44">
        <v>1484</v>
      </c>
      <c r="P733" s="44">
        <v>1216.3900000000001</v>
      </c>
      <c r="Q733" s="44">
        <v>1187.2</v>
      </c>
      <c r="R733" s="44">
        <v>973.11</v>
      </c>
      <c r="S733" s="44">
        <v>1009.12</v>
      </c>
      <c r="T733" s="44">
        <v>827.15</v>
      </c>
      <c r="U733" s="42"/>
      <c r="V733" s="42"/>
      <c r="W733" s="42" t="s">
        <v>40</v>
      </c>
      <c r="X733" s="45">
        <v>0.29899999999999999</v>
      </c>
      <c r="Y733" s="46">
        <v>1.8979999999999999E-3</v>
      </c>
      <c r="Z733" s="21">
        <v>4601004328730</v>
      </c>
    </row>
    <row r="734" spans="1:26" ht="12.95" customHeight="1" outlineLevel="3" x14ac:dyDescent="0.2">
      <c r="A734" s="76" t="s">
        <v>17851</v>
      </c>
      <c r="B734" s="76"/>
      <c r="C734" s="77"/>
      <c r="D734" s="58"/>
      <c r="E734" s="68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 spans="1:26" ht="12" customHeight="1" outlineLevel="4" x14ac:dyDescent="0.2">
      <c r="A735" s="40" t="s">
        <v>17852</v>
      </c>
      <c r="B735" s="75" t="s">
        <v>17853</v>
      </c>
      <c r="C735" s="51"/>
      <c r="D735" s="54">
        <f t="shared" si="11"/>
        <v>0</v>
      </c>
      <c r="E735" s="61" t="str">
        <f>HYPERLINK("https://www.sds-group.ru/product/lovushka-unichtozhitel-krys-i-myshey-6vt-23-5h10-2h11-3sm-chetyre-sezona-71-0666-F/", "Инфо")</f>
        <v>Инфо</v>
      </c>
      <c r="F735" s="42" t="s">
        <v>39</v>
      </c>
      <c r="G735" s="41" t="s">
        <v>40</v>
      </c>
      <c r="H735" s="41"/>
      <c r="I735" s="41"/>
      <c r="J735" s="43">
        <v>524</v>
      </c>
      <c r="K735" s="41"/>
      <c r="L735" s="43">
        <v>1</v>
      </c>
      <c r="M735" s="43">
        <v>20</v>
      </c>
      <c r="N735" s="43">
        <v>1</v>
      </c>
      <c r="O735" s="44">
        <v>3498</v>
      </c>
      <c r="P735" s="44">
        <v>2867.21</v>
      </c>
      <c r="Q735" s="44">
        <v>2798.4</v>
      </c>
      <c r="R735" s="44">
        <v>2293.77</v>
      </c>
      <c r="S735" s="44">
        <v>2378.64</v>
      </c>
      <c r="T735" s="44">
        <v>1949.7</v>
      </c>
      <c r="U735" s="42"/>
      <c r="V735" s="42"/>
      <c r="W735" s="42" t="s">
        <v>40</v>
      </c>
      <c r="X735" s="45">
        <v>0.61799999999999999</v>
      </c>
      <c r="Y735" s="46">
        <v>3.699E-3</v>
      </c>
      <c r="Z735" s="21">
        <v>4601004338500</v>
      </c>
    </row>
    <row r="736" spans="1:26" ht="12" customHeight="1" outlineLevel="4" x14ac:dyDescent="0.2">
      <c r="A736" s="40" t="s">
        <v>17858</v>
      </c>
      <c r="B736" s="75" t="s">
        <v>17859</v>
      </c>
      <c r="C736" s="51"/>
      <c r="D736" s="54">
        <f t="shared" si="11"/>
        <v>0</v>
      </c>
      <c r="E736" s="61" t="str">
        <f>HYPERLINK("https://www.sds-group.ru/product/otpugivatel-gryzunov-ultrazvukovoy-s-30m-220v-chetyre-sezona-71-0028-F/", "Инфо")</f>
        <v>Инфо</v>
      </c>
      <c r="F736" s="42" t="s">
        <v>39</v>
      </c>
      <c r="G736" s="41" t="s">
        <v>40</v>
      </c>
      <c r="H736" s="41"/>
      <c r="I736" s="41"/>
      <c r="J736" s="43">
        <v>473</v>
      </c>
      <c r="K736" s="41"/>
      <c r="L736" s="43">
        <v>5</v>
      </c>
      <c r="M736" s="43">
        <v>192</v>
      </c>
      <c r="N736" s="43">
        <v>5</v>
      </c>
      <c r="O736" s="44">
        <v>371</v>
      </c>
      <c r="P736" s="44">
        <v>304.10000000000002</v>
      </c>
      <c r="Q736" s="44">
        <v>333.9</v>
      </c>
      <c r="R736" s="44">
        <v>273.69</v>
      </c>
      <c r="S736" s="44">
        <v>252.28</v>
      </c>
      <c r="T736" s="44">
        <v>206.79</v>
      </c>
      <c r="U736" s="42"/>
      <c r="V736" s="42"/>
      <c r="W736" s="42" t="s">
        <v>40</v>
      </c>
      <c r="X736" s="45">
        <v>6.2E-2</v>
      </c>
      <c r="Y736" s="46">
        <v>9.4399999999999996E-4</v>
      </c>
      <c r="Z736" s="21">
        <v>4601004338296</v>
      </c>
    </row>
    <row r="737" spans="1:26" ht="12" customHeight="1" outlineLevel="4" x14ac:dyDescent="0.2">
      <c r="A737" s="40" t="s">
        <v>17860</v>
      </c>
      <c r="B737" s="75" t="s">
        <v>17861</v>
      </c>
      <c r="C737" s="51"/>
      <c r="D737" s="54">
        <f t="shared" si="11"/>
        <v>0</v>
      </c>
      <c r="E737" s="61" t="str">
        <f>HYPERLINK("https://www.sds-group.ru/product/otpugivatel-krotov-ultrazvukovoy-r-20m-na-solnechnoy-bataree-chetyre-sezona-71-0017-F/", "Инфо")</f>
        <v>Инфо</v>
      </c>
      <c r="F737" s="42" t="s">
        <v>39</v>
      </c>
      <c r="G737" s="41" t="s">
        <v>40</v>
      </c>
      <c r="H737" s="41"/>
      <c r="I737" s="41"/>
      <c r="J737" s="47">
        <v>1111</v>
      </c>
      <c r="K737" s="41"/>
      <c r="L737" s="43">
        <v>1</v>
      </c>
      <c r="M737" s="43">
        <v>48</v>
      </c>
      <c r="N737" s="43">
        <v>1</v>
      </c>
      <c r="O737" s="44">
        <v>583</v>
      </c>
      <c r="P737" s="44">
        <v>477.87</v>
      </c>
      <c r="Q737" s="44">
        <v>524.70000000000005</v>
      </c>
      <c r="R737" s="44">
        <v>430.08</v>
      </c>
      <c r="S737" s="44">
        <v>396.44</v>
      </c>
      <c r="T737" s="44">
        <v>324.95</v>
      </c>
      <c r="U737" s="42"/>
      <c r="V737" s="42"/>
      <c r="W737" s="42" t="s">
        <v>40</v>
      </c>
      <c r="X737" s="45">
        <v>0.121</v>
      </c>
      <c r="Y737" s="46">
        <v>1.049E-3</v>
      </c>
      <c r="Z737" s="21">
        <v>4601004338333</v>
      </c>
    </row>
    <row r="738" spans="1:26" ht="12.95" customHeight="1" outlineLevel="3" x14ac:dyDescent="0.2">
      <c r="A738" s="76" t="s">
        <v>17868</v>
      </c>
      <c r="B738" s="76"/>
      <c r="C738" s="77"/>
      <c r="D738" s="58"/>
      <c r="E738" s="68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 spans="1:26" ht="12" customHeight="1" outlineLevel="4" x14ac:dyDescent="0.2">
      <c r="A739" s="40" t="s">
        <v>17873</v>
      </c>
      <c r="B739" s="75" t="s">
        <v>17874</v>
      </c>
      <c r="C739" s="51"/>
      <c r="D739" s="54">
        <f t="shared" si="11"/>
        <v>0</v>
      </c>
      <c r="E739" s="61" t="str">
        <f>HYPERLINK("https://www.sds-group.ru/product/otpugivatel-vrediteley-s-izmenyaemoy-chastotoy-izlucheniya-s-250m-220v-chetyre-sezona-71-0009-F/", "Инфо")</f>
        <v>Инфо</v>
      </c>
      <c r="F739" s="42" t="s">
        <v>39</v>
      </c>
      <c r="G739" s="41" t="s">
        <v>40</v>
      </c>
      <c r="H739" s="41"/>
      <c r="I739" s="41"/>
      <c r="J739" s="43">
        <v>694</v>
      </c>
      <c r="K739" s="41"/>
      <c r="L739" s="43">
        <v>1</v>
      </c>
      <c r="M739" s="43">
        <v>36</v>
      </c>
      <c r="N739" s="43">
        <v>1</v>
      </c>
      <c r="O739" s="44">
        <v>890.4</v>
      </c>
      <c r="P739" s="44">
        <v>729.84</v>
      </c>
      <c r="Q739" s="44">
        <v>801.36</v>
      </c>
      <c r="R739" s="44">
        <v>656.85</v>
      </c>
      <c r="S739" s="44">
        <v>605.47</v>
      </c>
      <c r="T739" s="44">
        <v>496.29</v>
      </c>
      <c r="U739" s="42"/>
      <c r="V739" s="42"/>
      <c r="W739" s="42" t="s">
        <v>40</v>
      </c>
      <c r="X739" s="45">
        <v>0.26100000000000001</v>
      </c>
      <c r="Y739" s="46">
        <v>1.488E-3</v>
      </c>
      <c r="Z739" s="21">
        <v>4601004343597</v>
      </c>
    </row>
    <row r="740" spans="1:26" ht="12" customHeight="1" outlineLevel="4" x14ac:dyDescent="0.2">
      <c r="A740" s="40" t="s">
        <v>17875</v>
      </c>
      <c r="B740" s="75" t="s">
        <v>17876</v>
      </c>
      <c r="C740" s="51"/>
      <c r="D740" s="54">
        <f t="shared" si="11"/>
        <v>0</v>
      </c>
      <c r="E740" s="61" t="str">
        <f>HYPERLINK("https://www.sds-group.ru/product/otpugivatel-vrediteley-ultrazvukovoy-s-led-indikatorom-s-60m-220v-chetyre-sezona-71-0018-F/", "Инфо")</f>
        <v>Инфо</v>
      </c>
      <c r="F740" s="42" t="s">
        <v>39</v>
      </c>
      <c r="G740" s="41" t="s">
        <v>40</v>
      </c>
      <c r="H740" s="41"/>
      <c r="I740" s="41"/>
      <c r="J740" s="43">
        <v>284</v>
      </c>
      <c r="K740" s="41"/>
      <c r="L740" s="43">
        <v>1</v>
      </c>
      <c r="M740" s="43">
        <v>100</v>
      </c>
      <c r="N740" s="43">
        <v>1</v>
      </c>
      <c r="O740" s="44">
        <v>742</v>
      </c>
      <c r="P740" s="44">
        <v>608.20000000000005</v>
      </c>
      <c r="Q740" s="44">
        <v>667.8</v>
      </c>
      <c r="R740" s="44">
        <v>547.38</v>
      </c>
      <c r="S740" s="44">
        <v>504.56</v>
      </c>
      <c r="T740" s="44">
        <v>413.57</v>
      </c>
      <c r="U740" s="42"/>
      <c r="V740" s="42"/>
      <c r="W740" s="42" t="s">
        <v>40</v>
      </c>
      <c r="X740" s="45">
        <v>0.105</v>
      </c>
      <c r="Y740" s="46">
        <v>1.3270000000000001E-3</v>
      </c>
      <c r="Z740" s="21">
        <v>4601004338388</v>
      </c>
    </row>
    <row r="741" spans="1:26" ht="12.95" customHeight="1" outlineLevel="3" x14ac:dyDescent="0.2">
      <c r="A741" s="76" t="s">
        <v>17885</v>
      </c>
      <c r="B741" s="76"/>
      <c r="C741" s="77"/>
      <c r="D741" s="58"/>
      <c r="E741" s="68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 spans="1:26" ht="12" customHeight="1" outlineLevel="4" x14ac:dyDescent="0.2">
      <c r="A742" s="40" t="s">
        <v>17886</v>
      </c>
      <c r="B742" s="75" t="s">
        <v>17887</v>
      </c>
      <c r="C742" s="51"/>
      <c r="D742" s="54">
        <f t="shared" si="11"/>
        <v>0</v>
      </c>
      <c r="E742" s="62"/>
      <c r="F742" s="42" t="s">
        <v>39</v>
      </c>
      <c r="G742" s="41" t="s">
        <v>40</v>
      </c>
      <c r="H742" s="41"/>
      <c r="I742" s="41"/>
      <c r="J742" s="42" t="s">
        <v>100</v>
      </c>
      <c r="K742" s="41"/>
      <c r="L742" s="43">
        <v>1</v>
      </c>
      <c r="M742" s="43">
        <v>48</v>
      </c>
      <c r="N742" s="43">
        <v>1</v>
      </c>
      <c r="O742" s="44">
        <v>583</v>
      </c>
      <c r="P742" s="44">
        <v>477.87</v>
      </c>
      <c r="Q742" s="44">
        <v>524.70000000000005</v>
      </c>
      <c r="R742" s="44">
        <v>430.08</v>
      </c>
      <c r="S742" s="44">
        <v>396.44</v>
      </c>
      <c r="T742" s="44">
        <v>324.95</v>
      </c>
      <c r="U742" s="42"/>
      <c r="V742" s="42"/>
      <c r="W742" s="42" t="s">
        <v>40</v>
      </c>
      <c r="X742" s="45">
        <v>7.6999999999999999E-2</v>
      </c>
      <c r="Y742" s="46">
        <v>3.4499999999999998E-4</v>
      </c>
      <c r="Z742" s="21">
        <v>4601004338463</v>
      </c>
    </row>
    <row r="743" spans="1:26" ht="12.95" customHeight="1" outlineLevel="3" x14ac:dyDescent="0.2">
      <c r="A743" s="76" t="s">
        <v>17892</v>
      </c>
      <c r="B743" s="76"/>
      <c r="C743" s="77"/>
      <c r="D743" s="58"/>
      <c r="E743" s="68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 spans="1:26" ht="12" customHeight="1" outlineLevel="4" x14ac:dyDescent="0.2">
      <c r="A744" s="40" t="s">
        <v>17893</v>
      </c>
      <c r="B744" s="75" t="s">
        <v>17894</v>
      </c>
      <c r="C744" s="51"/>
      <c r="D744" s="54">
        <f t="shared" si="11"/>
        <v>0</v>
      </c>
      <c r="E744" s="61" t="str">
        <f>HYPERLINK("https://www.sds-group.ru/product/otpugivatel-tarakanov-ultrazvukovoy-s-30m-220v-chetyre-sezona-71-0025-F/", "Инфо")</f>
        <v>Инфо</v>
      </c>
      <c r="F744" s="42" t="s">
        <v>39</v>
      </c>
      <c r="G744" s="41" t="s">
        <v>40</v>
      </c>
      <c r="H744" s="41"/>
      <c r="I744" s="41"/>
      <c r="J744" s="43">
        <v>229</v>
      </c>
      <c r="K744" s="41"/>
      <c r="L744" s="43">
        <v>5</v>
      </c>
      <c r="M744" s="43">
        <v>192</v>
      </c>
      <c r="N744" s="43">
        <v>5</v>
      </c>
      <c r="O744" s="44">
        <v>371</v>
      </c>
      <c r="P744" s="44">
        <v>304.10000000000002</v>
      </c>
      <c r="Q744" s="44">
        <v>333.9</v>
      </c>
      <c r="R744" s="44">
        <v>273.69</v>
      </c>
      <c r="S744" s="44">
        <v>252.28</v>
      </c>
      <c r="T744" s="44">
        <v>206.79</v>
      </c>
      <c r="U744" s="42"/>
      <c r="V744" s="42"/>
      <c r="W744" s="42" t="s">
        <v>40</v>
      </c>
      <c r="X744" s="45">
        <v>6.2E-2</v>
      </c>
      <c r="Y744" s="46">
        <v>9.4300000000000004E-4</v>
      </c>
      <c r="Z744" s="21">
        <v>4601004338364</v>
      </c>
    </row>
    <row r="745" spans="1:26" ht="12.95" customHeight="1" outlineLevel="2" x14ac:dyDescent="0.2">
      <c r="A745" s="76" t="s">
        <v>17897</v>
      </c>
      <c r="B745" s="76"/>
      <c r="C745" s="77"/>
      <c r="D745" s="58"/>
      <c r="E745" s="68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 spans="1:26" ht="12.95" customHeight="1" outlineLevel="3" x14ac:dyDescent="0.2">
      <c r="A746" s="76" t="s">
        <v>17909</v>
      </c>
      <c r="B746" s="76"/>
      <c r="C746" s="77"/>
      <c r="D746" s="58"/>
      <c r="E746" s="68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 spans="1:26" ht="12" customHeight="1" outlineLevel="4" x14ac:dyDescent="0.2">
      <c r="A747" s="40" t="s">
        <v>17910</v>
      </c>
      <c r="B747" s="75" t="s">
        <v>17911</v>
      </c>
      <c r="C747" s="51"/>
      <c r="D747" s="54">
        <f t="shared" si="11"/>
        <v>0</v>
      </c>
      <c r="E747" s="61" t="str">
        <f>HYPERLINK("https://www.sds-group.ru/product/gril-ugolnyy-510h445h740mm-chernyy-sokol-61-0140/", "Инфо")</f>
        <v>Инфо</v>
      </c>
      <c r="F747" s="42" t="s">
        <v>39</v>
      </c>
      <c r="G747" s="41" t="s">
        <v>40</v>
      </c>
      <c r="H747" s="41"/>
      <c r="I747" s="41"/>
      <c r="J747" s="43">
        <v>39</v>
      </c>
      <c r="K747" s="41"/>
      <c r="L747" s="43">
        <v>1</v>
      </c>
      <c r="M747" s="43">
        <v>3</v>
      </c>
      <c r="N747" s="43">
        <v>1</v>
      </c>
      <c r="O747" s="44">
        <v>5282.3</v>
      </c>
      <c r="P747" s="44">
        <v>4329.75</v>
      </c>
      <c r="Q747" s="44">
        <v>3856.08</v>
      </c>
      <c r="R747" s="44">
        <v>3160.72</v>
      </c>
      <c r="S747" s="44">
        <v>3591.96</v>
      </c>
      <c r="T747" s="44">
        <v>2944.23</v>
      </c>
      <c r="U747" s="42"/>
      <c r="V747" s="42"/>
      <c r="W747" s="42" t="s">
        <v>40</v>
      </c>
      <c r="X747" s="45">
        <v>4.55</v>
      </c>
      <c r="Y747" s="46">
        <v>4.5879000000000003E-2</v>
      </c>
      <c r="Z747" s="21">
        <v>4601004349827</v>
      </c>
    </row>
    <row r="748" spans="1:26" ht="12.95" customHeight="1" outlineLevel="2" x14ac:dyDescent="0.2">
      <c r="A748" s="76" t="s">
        <v>18002</v>
      </c>
      <c r="B748" s="76"/>
      <c r="C748" s="77"/>
      <c r="D748" s="58"/>
      <c r="E748" s="68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 spans="1:26" ht="12.95" customHeight="1" outlineLevel="3" x14ac:dyDescent="0.2">
      <c r="A749" s="76" t="s">
        <v>18003</v>
      </c>
      <c r="B749" s="76"/>
      <c r="C749" s="77"/>
      <c r="D749" s="58"/>
      <c r="E749" s="68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 spans="1:26" ht="12" customHeight="1" outlineLevel="4" x14ac:dyDescent="0.2">
      <c r="A750" s="40" t="s">
        <v>18016</v>
      </c>
      <c r="B750" s="75" t="s">
        <v>18017</v>
      </c>
      <c r="C750" s="51"/>
      <c r="D750" s="54">
        <f t="shared" si="11"/>
        <v>0</v>
      </c>
      <c r="E750" s="62"/>
      <c r="F750" s="42" t="s">
        <v>39</v>
      </c>
      <c r="G750" s="41" t="s">
        <v>40</v>
      </c>
      <c r="H750" s="41"/>
      <c r="I750" s="41"/>
      <c r="J750" s="43">
        <v>249</v>
      </c>
      <c r="K750" s="41"/>
      <c r="L750" s="43">
        <v>1</v>
      </c>
      <c r="M750" s="43">
        <v>1</v>
      </c>
      <c r="N750" s="43">
        <v>1</v>
      </c>
      <c r="O750" s="44">
        <v>1908</v>
      </c>
      <c r="P750" s="44">
        <v>1563.93</v>
      </c>
      <c r="Q750" s="44">
        <v>1335.6</v>
      </c>
      <c r="R750" s="44">
        <v>1094.75</v>
      </c>
      <c r="S750" s="44">
        <v>1297.44</v>
      </c>
      <c r="T750" s="44">
        <v>1063.48</v>
      </c>
      <c r="U750" s="42"/>
      <c r="V750" s="42"/>
      <c r="W750" s="42"/>
      <c r="X750" s="45">
        <v>2.964</v>
      </c>
      <c r="Y750" s="46">
        <v>1.2702E-2</v>
      </c>
      <c r="Z750" s="21">
        <v>4601004352179</v>
      </c>
    </row>
    <row r="751" spans="1:26" ht="12" customHeight="1" outlineLevel="4" x14ac:dyDescent="0.2">
      <c r="A751" s="40" t="s">
        <v>18018</v>
      </c>
      <c r="B751" s="75" t="s">
        <v>18019</v>
      </c>
      <c r="C751" s="51"/>
      <c r="D751" s="54">
        <f t="shared" si="11"/>
        <v>0</v>
      </c>
      <c r="E751" s="62"/>
      <c r="F751" s="42" t="s">
        <v>39</v>
      </c>
      <c r="G751" s="41" t="s">
        <v>40</v>
      </c>
      <c r="H751" s="41"/>
      <c r="I751" s="41"/>
      <c r="J751" s="43">
        <v>367</v>
      </c>
      <c r="K751" s="41"/>
      <c r="L751" s="43">
        <v>1</v>
      </c>
      <c r="M751" s="43">
        <v>1</v>
      </c>
      <c r="N751" s="43">
        <v>1</v>
      </c>
      <c r="O751" s="44">
        <v>2544</v>
      </c>
      <c r="P751" s="44">
        <v>2085.25</v>
      </c>
      <c r="Q751" s="44">
        <v>1780.8</v>
      </c>
      <c r="R751" s="44">
        <v>1459.67</v>
      </c>
      <c r="S751" s="44">
        <v>1729.92</v>
      </c>
      <c r="T751" s="44">
        <v>1417.97</v>
      </c>
      <c r="U751" s="42"/>
      <c r="V751" s="42"/>
      <c r="W751" s="42"/>
      <c r="X751" s="45">
        <v>4.1829999999999998</v>
      </c>
      <c r="Y751" s="46">
        <v>2.0639999999999999E-2</v>
      </c>
      <c r="Z751" s="21">
        <v>4601004352186</v>
      </c>
    </row>
    <row r="752" spans="1:26" ht="12" customHeight="1" outlineLevel="4" x14ac:dyDescent="0.2">
      <c r="A752" s="40" t="s">
        <v>18020</v>
      </c>
      <c r="B752" s="75" t="s">
        <v>18021</v>
      </c>
      <c r="C752" s="51"/>
      <c r="D752" s="54">
        <f t="shared" si="11"/>
        <v>0</v>
      </c>
      <c r="E752" s="62"/>
      <c r="F752" s="42" t="s">
        <v>39</v>
      </c>
      <c r="G752" s="41" t="s">
        <v>40</v>
      </c>
      <c r="H752" s="41"/>
      <c r="I752" s="41"/>
      <c r="J752" s="43">
        <v>1</v>
      </c>
      <c r="K752" s="41"/>
      <c r="L752" s="43">
        <v>1</v>
      </c>
      <c r="M752" s="43">
        <v>1</v>
      </c>
      <c r="N752" s="43">
        <v>1</v>
      </c>
      <c r="O752" s="44">
        <v>4876</v>
      </c>
      <c r="P752" s="44">
        <v>3996.72</v>
      </c>
      <c r="Q752" s="44">
        <v>3413.2</v>
      </c>
      <c r="R752" s="44">
        <v>2797.7</v>
      </c>
      <c r="S752" s="44">
        <v>3315.68</v>
      </c>
      <c r="T752" s="44">
        <v>2717.77</v>
      </c>
      <c r="U752" s="42"/>
      <c r="V752" s="42"/>
      <c r="W752" s="42"/>
      <c r="X752" s="45">
        <v>8.4770000000000003</v>
      </c>
      <c r="Y752" s="46">
        <v>3.5943000000000003E-2</v>
      </c>
      <c r="Z752" s="21">
        <v>4601004352193</v>
      </c>
    </row>
    <row r="753" spans="1:26" ht="12" customHeight="1" outlineLevel="4" x14ac:dyDescent="0.2">
      <c r="A753" s="40" t="s">
        <v>18040</v>
      </c>
      <c r="B753" s="75" t="s">
        <v>18041</v>
      </c>
      <c r="C753" s="51"/>
      <c r="D753" s="54">
        <f t="shared" si="11"/>
        <v>0</v>
      </c>
      <c r="E753" s="62"/>
      <c r="F753" s="42" t="s">
        <v>39</v>
      </c>
      <c r="G753" s="41" t="s">
        <v>40</v>
      </c>
      <c r="H753" s="41"/>
      <c r="I753" s="41"/>
      <c r="J753" s="43">
        <v>64</v>
      </c>
      <c r="K753" s="41"/>
      <c r="L753" s="43">
        <v>1</v>
      </c>
      <c r="M753" s="43">
        <v>1</v>
      </c>
      <c r="N753" s="43">
        <v>1</v>
      </c>
      <c r="O753" s="44">
        <v>3266.92</v>
      </c>
      <c r="P753" s="44">
        <v>2677.8</v>
      </c>
      <c r="Q753" s="44">
        <v>2286.84</v>
      </c>
      <c r="R753" s="44">
        <v>1874.46</v>
      </c>
      <c r="S753" s="44">
        <v>2221.5100000000002</v>
      </c>
      <c r="T753" s="44">
        <v>1820.91</v>
      </c>
      <c r="U753" s="42"/>
      <c r="V753" s="42"/>
      <c r="W753" s="42"/>
      <c r="X753" s="45">
        <v>3.2959999999999998</v>
      </c>
      <c r="Y753" s="46">
        <v>1.6777E-2</v>
      </c>
      <c r="Z753" s="21">
        <v>4601004352230</v>
      </c>
    </row>
    <row r="754" spans="1:26" ht="12" customHeight="1" outlineLevel="4" x14ac:dyDescent="0.2">
      <c r="A754" s="40" t="s">
        <v>18042</v>
      </c>
      <c r="B754" s="75" t="s">
        <v>18043</v>
      </c>
      <c r="C754" s="51"/>
      <c r="D754" s="54">
        <f t="shared" si="11"/>
        <v>0</v>
      </c>
      <c r="E754" s="62"/>
      <c r="F754" s="42" t="s">
        <v>39</v>
      </c>
      <c r="G754" s="41" t="s">
        <v>40</v>
      </c>
      <c r="H754" s="41"/>
      <c r="I754" s="41"/>
      <c r="J754" s="42" t="s">
        <v>100</v>
      </c>
      <c r="K754" s="41"/>
      <c r="L754" s="43">
        <v>1</v>
      </c>
      <c r="M754" s="43">
        <v>1</v>
      </c>
      <c r="N754" s="43">
        <v>1</v>
      </c>
      <c r="O754" s="44">
        <v>2840.8</v>
      </c>
      <c r="P754" s="44">
        <v>2328.52</v>
      </c>
      <c r="Q754" s="44">
        <v>1988.56</v>
      </c>
      <c r="R754" s="44">
        <v>1629.97</v>
      </c>
      <c r="S754" s="44">
        <v>1931.74</v>
      </c>
      <c r="T754" s="44">
        <v>1583.39</v>
      </c>
      <c r="U754" s="42"/>
      <c r="V754" s="42"/>
      <c r="W754" s="42" t="s">
        <v>40</v>
      </c>
      <c r="X754" s="45">
        <v>3.3039999999999998</v>
      </c>
      <c r="Y754" s="46">
        <v>1.5751000000000001E-2</v>
      </c>
      <c r="Z754" s="21">
        <v>4601004352209</v>
      </c>
    </row>
    <row r="755" spans="1:26" ht="12" customHeight="1" outlineLevel="4" x14ac:dyDescent="0.2">
      <c r="A755" s="40" t="s">
        <v>18044</v>
      </c>
      <c r="B755" s="75" t="s">
        <v>18045</v>
      </c>
      <c r="C755" s="51"/>
      <c r="D755" s="54">
        <f t="shared" si="11"/>
        <v>0</v>
      </c>
      <c r="E755" s="62"/>
      <c r="F755" s="42" t="s">
        <v>39</v>
      </c>
      <c r="G755" s="41" t="s">
        <v>40</v>
      </c>
      <c r="H755" s="41"/>
      <c r="I755" s="41"/>
      <c r="J755" s="43">
        <v>614</v>
      </c>
      <c r="K755" s="41"/>
      <c r="L755" s="43">
        <v>1</v>
      </c>
      <c r="M755" s="43">
        <v>1</v>
      </c>
      <c r="N755" s="43">
        <v>1</v>
      </c>
      <c r="O755" s="44">
        <v>4876</v>
      </c>
      <c r="P755" s="44">
        <v>3996.72</v>
      </c>
      <c r="Q755" s="44">
        <v>3413.2</v>
      </c>
      <c r="R755" s="44">
        <v>2797.7</v>
      </c>
      <c r="S755" s="44">
        <v>3315.68</v>
      </c>
      <c r="T755" s="44">
        <v>2717.77</v>
      </c>
      <c r="U755" s="42"/>
      <c r="V755" s="42"/>
      <c r="W755" s="42"/>
      <c r="X755" s="45">
        <v>5.8849999999999998</v>
      </c>
      <c r="Y755" s="46">
        <v>2.7224000000000002E-2</v>
      </c>
      <c r="Z755" s="21">
        <v>4601004352247</v>
      </c>
    </row>
    <row r="756" spans="1:26" ht="12" customHeight="1" outlineLevel="4" x14ac:dyDescent="0.2">
      <c r="A756" s="40" t="s">
        <v>18046</v>
      </c>
      <c r="B756" s="75" t="s">
        <v>18047</v>
      </c>
      <c r="C756" s="51"/>
      <c r="D756" s="54">
        <f t="shared" si="11"/>
        <v>0</v>
      </c>
      <c r="E756" s="62"/>
      <c r="F756" s="42" t="s">
        <v>39</v>
      </c>
      <c r="G756" s="41" t="s">
        <v>40</v>
      </c>
      <c r="H756" s="41"/>
      <c r="I756" s="41"/>
      <c r="J756" s="43">
        <v>384</v>
      </c>
      <c r="K756" s="41"/>
      <c r="L756" s="43">
        <v>1</v>
      </c>
      <c r="M756" s="43">
        <v>1</v>
      </c>
      <c r="N756" s="43">
        <v>1</v>
      </c>
      <c r="O756" s="44">
        <v>4240</v>
      </c>
      <c r="P756" s="44">
        <v>3475.41</v>
      </c>
      <c r="Q756" s="44">
        <v>2968</v>
      </c>
      <c r="R756" s="44">
        <v>2432.79</v>
      </c>
      <c r="S756" s="44">
        <v>2883.2</v>
      </c>
      <c r="T756" s="44">
        <v>2363.2800000000002</v>
      </c>
      <c r="U756" s="42"/>
      <c r="V756" s="42"/>
      <c r="W756" s="42" t="s">
        <v>40</v>
      </c>
      <c r="X756" s="45">
        <v>5.7569999999999997</v>
      </c>
      <c r="Y756" s="46">
        <v>2.5225999999999998E-2</v>
      </c>
      <c r="Z756" s="21">
        <v>4601004352216</v>
      </c>
    </row>
    <row r="757" spans="1:26" ht="12" customHeight="1" outlineLevel="4" x14ac:dyDescent="0.2">
      <c r="A757" s="40" t="s">
        <v>18048</v>
      </c>
      <c r="B757" s="75" t="s">
        <v>18049</v>
      </c>
      <c r="C757" s="51"/>
      <c r="D757" s="54">
        <f t="shared" si="11"/>
        <v>0</v>
      </c>
      <c r="E757" s="62"/>
      <c r="F757" s="42" t="s">
        <v>39</v>
      </c>
      <c r="G757" s="41" t="s">
        <v>40</v>
      </c>
      <c r="H757" s="41"/>
      <c r="I757" s="41"/>
      <c r="J757" s="43">
        <v>227</v>
      </c>
      <c r="K757" s="41"/>
      <c r="L757" s="43">
        <v>1</v>
      </c>
      <c r="M757" s="43">
        <v>1</v>
      </c>
      <c r="N757" s="43">
        <v>1</v>
      </c>
      <c r="O757" s="44">
        <v>8480</v>
      </c>
      <c r="P757" s="44">
        <v>6950.82</v>
      </c>
      <c r="Q757" s="44">
        <v>5936</v>
      </c>
      <c r="R757" s="44">
        <v>4865.57</v>
      </c>
      <c r="S757" s="44">
        <v>5766.4</v>
      </c>
      <c r="T757" s="44">
        <v>4726.5600000000004</v>
      </c>
      <c r="U757" s="42"/>
      <c r="V757" s="42"/>
      <c r="W757" s="42" t="s">
        <v>40</v>
      </c>
      <c r="X757" s="45">
        <v>11.422000000000001</v>
      </c>
      <c r="Y757" s="46">
        <v>5.4025999999999998E-2</v>
      </c>
      <c r="Z757" s="21">
        <v>4601004352223</v>
      </c>
    </row>
    <row r="758" spans="1:26" ht="12.95" customHeight="1" outlineLevel="3" x14ac:dyDescent="0.2">
      <c r="A758" s="76" t="s">
        <v>18078</v>
      </c>
      <c r="B758" s="76"/>
      <c r="C758" s="77"/>
      <c r="D758" s="58"/>
      <c r="E758" s="68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 spans="1:26" ht="12" customHeight="1" outlineLevel="4" x14ac:dyDescent="0.2">
      <c r="A759" s="40" t="s">
        <v>18108</v>
      </c>
      <c r="B759" s="75" t="s">
        <v>18109</v>
      </c>
      <c r="C759" s="51"/>
      <c r="D759" s="54">
        <f t="shared" si="11"/>
        <v>0</v>
      </c>
      <c r="E759" s="61" t="str">
        <f>HYPERLINK("https://www.sds-group.ru/product/konnektor-dlya-shlanga-latunnyy-bystrosemnyy-1-2-s-akvastopom-i-termoplastichnoy-rezinoy-c-62-0333-F/", "Инфо")</f>
        <v>Инфо</v>
      </c>
      <c r="F759" s="42" t="s">
        <v>39</v>
      </c>
      <c r="G759" s="41" t="s">
        <v>40</v>
      </c>
      <c r="H759" s="41"/>
      <c r="I759" s="41"/>
      <c r="J759" s="43">
        <v>356</v>
      </c>
      <c r="K759" s="41"/>
      <c r="L759" s="43">
        <v>1</v>
      </c>
      <c r="M759" s="43">
        <v>120</v>
      </c>
      <c r="N759" s="43">
        <v>1</v>
      </c>
      <c r="O759" s="44">
        <v>868.51</v>
      </c>
      <c r="P759" s="44">
        <v>711.89</v>
      </c>
      <c r="Q759" s="44">
        <v>694.81</v>
      </c>
      <c r="R759" s="44">
        <v>569.52</v>
      </c>
      <c r="S759" s="44">
        <v>590.59</v>
      </c>
      <c r="T759" s="44">
        <v>484.09</v>
      </c>
      <c r="U759" s="42"/>
      <c r="V759" s="42"/>
      <c r="W759" s="42"/>
      <c r="X759" s="45">
        <v>0.13600000000000001</v>
      </c>
      <c r="Y759" s="46">
        <v>2.9599999999999998E-4</v>
      </c>
      <c r="Z759" s="21">
        <v>4601004350458</v>
      </c>
    </row>
    <row r="760" spans="1:26" ht="12" customHeight="1" outlineLevel="4" x14ac:dyDescent="0.2">
      <c r="A760" s="40" t="s">
        <v>18112</v>
      </c>
      <c r="B760" s="75" t="s">
        <v>18113</v>
      </c>
      <c r="C760" s="51"/>
      <c r="D760" s="54">
        <f t="shared" si="11"/>
        <v>0</v>
      </c>
      <c r="E760" s="61" t="str">
        <f>HYPERLINK("https://www.sds-group.ru/product/konnektor-dlya-shlanga-latunnyy-bystrosemnyy-1-2-s-termoplastichnoy-rezinoy-chetyre-sezona-62-0332-F/", "Инфо")</f>
        <v>Инфо</v>
      </c>
      <c r="F760" s="42" t="s">
        <v>39</v>
      </c>
      <c r="G760" s="41" t="s">
        <v>40</v>
      </c>
      <c r="H760" s="41"/>
      <c r="I760" s="41"/>
      <c r="J760" s="43">
        <v>409</v>
      </c>
      <c r="K760" s="41"/>
      <c r="L760" s="43">
        <v>1</v>
      </c>
      <c r="M760" s="43">
        <v>120</v>
      </c>
      <c r="N760" s="43">
        <v>1</v>
      </c>
      <c r="O760" s="44">
        <v>824.48</v>
      </c>
      <c r="P760" s="44">
        <v>675.8</v>
      </c>
      <c r="Q760" s="44">
        <v>659.58</v>
      </c>
      <c r="R760" s="44">
        <v>540.64</v>
      </c>
      <c r="S760" s="44">
        <v>560.65</v>
      </c>
      <c r="T760" s="44">
        <v>459.55</v>
      </c>
      <c r="U760" s="42"/>
      <c r="V760" s="42"/>
      <c r="W760" s="42"/>
      <c r="X760" s="45">
        <v>0.13500000000000001</v>
      </c>
      <c r="Y760" s="46">
        <v>2.9599999999999998E-4</v>
      </c>
      <c r="Z760" s="21">
        <v>4601004350465</v>
      </c>
    </row>
    <row r="761" spans="1:26" ht="12" customHeight="1" outlineLevel="4" x14ac:dyDescent="0.2">
      <c r="A761" s="40" t="s">
        <v>18116</v>
      </c>
      <c r="B761" s="75" t="s">
        <v>18117</v>
      </c>
      <c r="C761" s="51"/>
      <c r="D761" s="54">
        <f t="shared" si="11"/>
        <v>0</v>
      </c>
      <c r="E761" s="61" t="str">
        <f>HYPERLINK("https://www.sds-group.ru/product/konnektor-dlya-shlanga-latunnyy-bystrosemnyy-3-4-s-akvastopom-i-termoplastichnoy-rezinoy-c-62-0335-F/", "Инфо")</f>
        <v>Инфо</v>
      </c>
      <c r="F761" s="42" t="s">
        <v>39</v>
      </c>
      <c r="G761" s="41" t="s">
        <v>40</v>
      </c>
      <c r="H761" s="41"/>
      <c r="I761" s="41"/>
      <c r="J761" s="43">
        <v>211</v>
      </c>
      <c r="K761" s="41"/>
      <c r="L761" s="43">
        <v>1</v>
      </c>
      <c r="M761" s="43">
        <v>48</v>
      </c>
      <c r="N761" s="43">
        <v>1</v>
      </c>
      <c r="O761" s="44">
        <v>934.55</v>
      </c>
      <c r="P761" s="44">
        <v>766.02</v>
      </c>
      <c r="Q761" s="44">
        <v>747.64</v>
      </c>
      <c r="R761" s="44">
        <v>612.82000000000005</v>
      </c>
      <c r="S761" s="44">
        <v>635.49</v>
      </c>
      <c r="T761" s="44">
        <v>520.89</v>
      </c>
      <c r="U761" s="42"/>
      <c r="V761" s="42"/>
      <c r="W761" s="42"/>
      <c r="X761" s="45">
        <v>0.17399999999999999</v>
      </c>
      <c r="Y761" s="46">
        <v>3.9100000000000002E-4</v>
      </c>
      <c r="Z761" s="21">
        <v>4601004350434</v>
      </c>
    </row>
    <row r="762" spans="1:26" ht="12" customHeight="1" outlineLevel="4" x14ac:dyDescent="0.2">
      <c r="A762" s="40" t="s">
        <v>18120</v>
      </c>
      <c r="B762" s="75" t="s">
        <v>18121</v>
      </c>
      <c r="C762" s="51"/>
      <c r="D762" s="54">
        <f t="shared" si="11"/>
        <v>0</v>
      </c>
      <c r="E762" s="61" t="str">
        <f>HYPERLINK("https://www.sds-group.ru/product/konnektor-dlya-shlanga-latunnyy-bystrosemnyy-3-4-s-termoplastichnoy-rezinoy-chetyre-sezona-62-0334-F/", "Инфо")</f>
        <v>Инфо</v>
      </c>
      <c r="F762" s="42" t="s">
        <v>39</v>
      </c>
      <c r="G762" s="41" t="s">
        <v>40</v>
      </c>
      <c r="H762" s="41"/>
      <c r="I762" s="41"/>
      <c r="J762" s="43">
        <v>79</v>
      </c>
      <c r="K762" s="41"/>
      <c r="L762" s="43">
        <v>1</v>
      </c>
      <c r="M762" s="43">
        <v>48</v>
      </c>
      <c r="N762" s="43">
        <v>1</v>
      </c>
      <c r="O762" s="44">
        <v>868.51</v>
      </c>
      <c r="P762" s="44">
        <v>711.89</v>
      </c>
      <c r="Q762" s="44">
        <v>694.81</v>
      </c>
      <c r="R762" s="44">
        <v>569.52</v>
      </c>
      <c r="S762" s="44">
        <v>590.59</v>
      </c>
      <c r="T762" s="44">
        <v>484.09</v>
      </c>
      <c r="U762" s="42"/>
      <c r="V762" s="42"/>
      <c r="W762" s="42"/>
      <c r="X762" s="45">
        <v>0.16800000000000001</v>
      </c>
      <c r="Y762" s="46">
        <v>3.88E-4</v>
      </c>
      <c r="Z762" s="21">
        <v>4601004350441</v>
      </c>
    </row>
    <row r="763" spans="1:26" ht="12" customHeight="1" outlineLevel="4" x14ac:dyDescent="0.2">
      <c r="A763" s="40" t="s">
        <v>18162</v>
      </c>
      <c r="B763" s="75" t="s">
        <v>18163</v>
      </c>
      <c r="C763" s="51"/>
      <c r="D763" s="54">
        <f t="shared" si="11"/>
        <v>0</v>
      </c>
      <c r="E763" s="61" t="str">
        <f>HYPERLINK("https://www.sds-group.ru/product/mufta-remontnaya-latunnaya-dlya-shlanga-1-2-s-termoplastichnoy-rezinoy-profi-chetyre-sezon-62-0336-F/", "Инфо")</f>
        <v>Инфо</v>
      </c>
      <c r="F763" s="42" t="s">
        <v>39</v>
      </c>
      <c r="G763" s="41" t="s">
        <v>40</v>
      </c>
      <c r="H763" s="41"/>
      <c r="I763" s="41"/>
      <c r="J763" s="43">
        <v>502</v>
      </c>
      <c r="K763" s="41"/>
      <c r="L763" s="43">
        <v>1</v>
      </c>
      <c r="M763" s="43">
        <v>120</v>
      </c>
      <c r="N763" s="43">
        <v>1</v>
      </c>
      <c r="O763" s="44">
        <v>879.51</v>
      </c>
      <c r="P763" s="44">
        <v>720.91</v>
      </c>
      <c r="Q763" s="44">
        <v>703.61</v>
      </c>
      <c r="R763" s="44">
        <v>576.73</v>
      </c>
      <c r="S763" s="44">
        <v>598.07000000000005</v>
      </c>
      <c r="T763" s="44">
        <v>490.22</v>
      </c>
      <c r="U763" s="42"/>
      <c r="V763" s="42"/>
      <c r="W763" s="42"/>
      <c r="X763" s="45">
        <v>0.13100000000000001</v>
      </c>
      <c r="Y763" s="46">
        <v>2.9599999999999998E-4</v>
      </c>
      <c r="Z763" s="21">
        <v>4601004350427</v>
      </c>
    </row>
    <row r="764" spans="1:26" ht="12" customHeight="1" outlineLevel="4" x14ac:dyDescent="0.2">
      <c r="A764" s="40" t="s">
        <v>18164</v>
      </c>
      <c r="B764" s="75" t="s">
        <v>18165</v>
      </c>
      <c r="C764" s="51"/>
      <c r="D764" s="54">
        <f t="shared" si="11"/>
        <v>0</v>
      </c>
      <c r="E764" s="61" t="str">
        <f>HYPERLINK("https://www.sds-group.ru/product/mufta-remontnaya-latunnaya-dlya-shlanga-3-4-s-termoplastichnoy-rezinoy-profi-chetyre-sezon-62-0337-F/", "Инфо")</f>
        <v>Инфо</v>
      </c>
      <c r="F764" s="42" t="s">
        <v>39</v>
      </c>
      <c r="G764" s="41" t="s">
        <v>40</v>
      </c>
      <c r="H764" s="41"/>
      <c r="I764" s="41"/>
      <c r="J764" s="43">
        <v>444</v>
      </c>
      <c r="K764" s="41"/>
      <c r="L764" s="43">
        <v>1</v>
      </c>
      <c r="M764" s="43">
        <v>48</v>
      </c>
      <c r="N764" s="43">
        <v>1</v>
      </c>
      <c r="O764" s="44">
        <v>879.51</v>
      </c>
      <c r="P764" s="44">
        <v>720.91</v>
      </c>
      <c r="Q764" s="44">
        <v>703.61</v>
      </c>
      <c r="R764" s="44">
        <v>576.73</v>
      </c>
      <c r="S764" s="44">
        <v>598.07000000000005</v>
      </c>
      <c r="T764" s="44">
        <v>490.22</v>
      </c>
      <c r="U764" s="42"/>
      <c r="V764" s="42"/>
      <c r="W764" s="42"/>
      <c r="X764" s="45">
        <v>0.188</v>
      </c>
      <c r="Y764" s="46">
        <v>3.6900000000000002E-4</v>
      </c>
      <c r="Z764" s="21">
        <v>4601004350410</v>
      </c>
    </row>
    <row r="765" spans="1:26" ht="12.95" customHeight="1" x14ac:dyDescent="0.2">
      <c r="A765" s="80" t="s">
        <v>18524</v>
      </c>
      <c r="B765" s="80"/>
      <c r="C765" s="81"/>
      <c r="D765" s="56"/>
      <c r="E765" s="66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  <c r="W765" s="28"/>
      <c r="X765" s="28"/>
      <c r="Y765" s="28"/>
      <c r="Z765" s="28"/>
    </row>
    <row r="766" spans="1:26" ht="12.95" customHeight="1" outlineLevel="1" x14ac:dyDescent="0.2">
      <c r="A766" s="78" t="s">
        <v>18525</v>
      </c>
      <c r="B766" s="78"/>
      <c r="C766" s="79"/>
      <c r="D766" s="57"/>
      <c r="E766" s="67"/>
      <c r="F766" s="29"/>
      <c r="G766" s="29"/>
      <c r="H766" s="29"/>
      <c r="I766" s="29"/>
      <c r="J766" s="29"/>
      <c r="K766" s="29"/>
      <c r="L766" s="29"/>
      <c r="M766" s="29"/>
      <c r="N766" s="29"/>
      <c r="O766" s="29"/>
      <c r="P766" s="29"/>
      <c r="Q766" s="29"/>
      <c r="R766" s="29"/>
      <c r="S766" s="29"/>
      <c r="T766" s="29"/>
      <c r="U766" s="29"/>
      <c r="V766" s="29"/>
      <c r="W766" s="29"/>
      <c r="X766" s="29"/>
      <c r="Y766" s="29"/>
      <c r="Z766" s="29"/>
    </row>
    <row r="767" spans="1:26" ht="12.95" customHeight="1" outlineLevel="2" x14ac:dyDescent="0.2">
      <c r="A767" s="76" t="s">
        <v>18691</v>
      </c>
      <c r="B767" s="76"/>
      <c r="C767" s="77"/>
      <c r="D767" s="58"/>
      <c r="E767" s="68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 spans="1:26" ht="12.95" customHeight="1" outlineLevel="3" x14ac:dyDescent="0.2">
      <c r="A768" s="76" t="s">
        <v>18768</v>
      </c>
      <c r="B768" s="76"/>
      <c r="C768" s="77"/>
      <c r="D768" s="58"/>
      <c r="E768" s="68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 spans="1:26" ht="12" customHeight="1" outlineLevel="4" x14ac:dyDescent="0.2">
      <c r="A769" s="40" t="s">
        <v>18775</v>
      </c>
      <c r="B769" s="75" t="s">
        <v>18776</v>
      </c>
      <c r="C769" s="51"/>
      <c r="D769" s="54">
        <f t="shared" si="11"/>
        <v>0</v>
      </c>
      <c r="E769" s="61" t="str">
        <f>HYPERLINK("https://www.sds-group.ru/product/montazhnyy-komplekt-dlya-plenochnogo-pola-ik-tp-02-s-provodami-seriya-pro-rexant-51-0077-2/", "Инфо")</f>
        <v>Инфо</v>
      </c>
      <c r="F769" s="42" t="s">
        <v>974</v>
      </c>
      <c r="G769" s="41" t="s">
        <v>40</v>
      </c>
      <c r="H769" s="41"/>
      <c r="I769" s="41"/>
      <c r="J769" s="43">
        <v>266</v>
      </c>
      <c r="K769" s="41"/>
      <c r="L769" s="43">
        <v>5</v>
      </c>
      <c r="M769" s="43">
        <v>10</v>
      </c>
      <c r="N769" s="43">
        <v>5</v>
      </c>
      <c r="O769" s="44">
        <v>556.5</v>
      </c>
      <c r="P769" s="44">
        <v>456.15</v>
      </c>
      <c r="Q769" s="44">
        <v>445.2</v>
      </c>
      <c r="R769" s="44">
        <v>364.92</v>
      </c>
      <c r="S769" s="44">
        <v>378.42</v>
      </c>
      <c r="T769" s="44">
        <v>310.18</v>
      </c>
      <c r="U769" s="42"/>
      <c r="V769" s="42"/>
      <c r="W769" s="42" t="s">
        <v>40</v>
      </c>
      <c r="X769" s="45">
        <v>0.13400000000000001</v>
      </c>
      <c r="Y769" s="46">
        <v>5.04E-4</v>
      </c>
      <c r="Z769" s="21">
        <v>4601004352001</v>
      </c>
    </row>
    <row r="770" spans="1:26" ht="12.95" customHeight="1" outlineLevel="1" x14ac:dyDescent="0.2">
      <c r="A770" s="78" t="s">
        <v>18793</v>
      </c>
      <c r="B770" s="78"/>
      <c r="C770" s="79"/>
      <c r="D770" s="57"/>
      <c r="E770" s="67"/>
      <c r="F770" s="29"/>
      <c r="G770" s="29"/>
      <c r="H770" s="29"/>
      <c r="I770" s="29"/>
      <c r="J770" s="29"/>
      <c r="K770" s="29"/>
      <c r="L770" s="29"/>
      <c r="M770" s="29"/>
      <c r="N770" s="29"/>
      <c r="O770" s="29"/>
      <c r="P770" s="29"/>
      <c r="Q770" s="29"/>
      <c r="R770" s="29"/>
      <c r="S770" s="29"/>
      <c r="T770" s="29"/>
      <c r="U770" s="29"/>
      <c r="V770" s="29"/>
      <c r="W770" s="29"/>
      <c r="X770" s="29"/>
      <c r="Y770" s="29"/>
      <c r="Z770" s="29"/>
    </row>
    <row r="771" spans="1:26" ht="12.95" customHeight="1" outlineLevel="2" x14ac:dyDescent="0.2">
      <c r="A771" s="76" t="s">
        <v>18794</v>
      </c>
      <c r="B771" s="76"/>
      <c r="C771" s="77"/>
      <c r="D771" s="58"/>
      <c r="E771" s="68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 spans="1:26" ht="12.95" customHeight="1" outlineLevel="3" x14ac:dyDescent="0.2">
      <c r="A772" s="76" t="s">
        <v>18795</v>
      </c>
      <c r="B772" s="76"/>
      <c r="C772" s="77"/>
      <c r="D772" s="58"/>
      <c r="E772" s="68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 spans="1:26" ht="12" customHeight="1" outlineLevel="4" x14ac:dyDescent="0.2">
      <c r="A773" s="40" t="s">
        <v>18806</v>
      </c>
      <c r="B773" s="75" t="s">
        <v>18807</v>
      </c>
      <c r="C773" s="51"/>
      <c r="D773" s="54">
        <f t="shared" si="11"/>
        <v>0</v>
      </c>
      <c r="E773" s="62"/>
      <c r="F773" s="42" t="s">
        <v>39</v>
      </c>
      <c r="G773" s="41" t="s">
        <v>40</v>
      </c>
      <c r="H773" s="41"/>
      <c r="I773" s="41"/>
      <c r="J773" s="43">
        <v>97</v>
      </c>
      <c r="K773" s="41" t="s">
        <v>1590</v>
      </c>
      <c r="L773" s="43">
        <v>1</v>
      </c>
      <c r="M773" s="43">
        <v>48</v>
      </c>
      <c r="N773" s="43">
        <v>1</v>
      </c>
      <c r="O773" s="44">
        <v>1855</v>
      </c>
      <c r="P773" s="44">
        <v>1520.49</v>
      </c>
      <c r="Q773" s="44">
        <v>1855</v>
      </c>
      <c r="R773" s="44">
        <v>1520.49</v>
      </c>
      <c r="S773" s="44">
        <v>1261.4000000000001</v>
      </c>
      <c r="T773" s="44">
        <v>1033.93</v>
      </c>
      <c r="U773" s="42"/>
      <c r="V773" s="42"/>
      <c r="W773" s="42"/>
      <c r="X773" s="45">
        <v>0.33600000000000002</v>
      </c>
      <c r="Y773" s="46">
        <v>1.273E-3</v>
      </c>
      <c r="Z773" s="21">
        <v>4601004355668</v>
      </c>
    </row>
    <row r="774" spans="1:26" ht="12" customHeight="1" outlineLevel="4" x14ac:dyDescent="0.2">
      <c r="A774" s="40" t="s">
        <v>18810</v>
      </c>
      <c r="B774" s="75" t="s">
        <v>18811</v>
      </c>
      <c r="C774" s="51"/>
      <c r="D774" s="54">
        <f t="shared" si="11"/>
        <v>0</v>
      </c>
      <c r="E774" s="62"/>
      <c r="F774" s="42" t="s">
        <v>39</v>
      </c>
      <c r="G774" s="41" t="s">
        <v>40</v>
      </c>
      <c r="H774" s="41"/>
      <c r="I774" s="41"/>
      <c r="J774" s="43">
        <v>131</v>
      </c>
      <c r="K774" s="41" t="s">
        <v>1590</v>
      </c>
      <c r="L774" s="43">
        <v>1</v>
      </c>
      <c r="M774" s="43">
        <v>36</v>
      </c>
      <c r="N774" s="43">
        <v>1</v>
      </c>
      <c r="O774" s="44">
        <v>2438</v>
      </c>
      <c r="P774" s="44">
        <v>1998.36</v>
      </c>
      <c r="Q774" s="44">
        <v>2438</v>
      </c>
      <c r="R774" s="44">
        <v>1998.36</v>
      </c>
      <c r="S774" s="44">
        <v>1657.84</v>
      </c>
      <c r="T774" s="44">
        <v>1358.89</v>
      </c>
      <c r="U774" s="42"/>
      <c r="V774" s="42"/>
      <c r="W774" s="42"/>
      <c r="X774" s="45">
        <v>0.51300000000000001</v>
      </c>
      <c r="Y774" s="46">
        <v>1.9090000000000001E-3</v>
      </c>
      <c r="Z774" s="21">
        <v>4601004355651</v>
      </c>
    </row>
    <row r="775" spans="1:26" ht="12" customHeight="1" outlineLevel="4" x14ac:dyDescent="0.2">
      <c r="A775" s="40" t="s">
        <v>18814</v>
      </c>
      <c r="B775" s="75" t="s">
        <v>18815</v>
      </c>
      <c r="C775" s="51"/>
      <c r="D775" s="54">
        <f t="shared" si="11"/>
        <v>0</v>
      </c>
      <c r="E775" s="62"/>
      <c r="F775" s="42" t="s">
        <v>39</v>
      </c>
      <c r="G775" s="41" t="s">
        <v>40</v>
      </c>
      <c r="H775" s="41"/>
      <c r="I775" s="41"/>
      <c r="J775" s="43">
        <v>39</v>
      </c>
      <c r="K775" s="41" t="s">
        <v>1590</v>
      </c>
      <c r="L775" s="43">
        <v>1</v>
      </c>
      <c r="M775" s="43">
        <v>28</v>
      </c>
      <c r="N775" s="43">
        <v>1</v>
      </c>
      <c r="O775" s="44">
        <v>3121.7</v>
      </c>
      <c r="P775" s="44">
        <v>2558.77</v>
      </c>
      <c r="Q775" s="44">
        <v>2185.19</v>
      </c>
      <c r="R775" s="44">
        <v>1791.14</v>
      </c>
      <c r="S775" s="44">
        <v>2122.7600000000002</v>
      </c>
      <c r="T775" s="44">
        <v>1739.97</v>
      </c>
      <c r="U775" s="42"/>
      <c r="V775" s="42"/>
      <c r="W775" s="42"/>
      <c r="X775" s="45">
        <v>0.56000000000000005</v>
      </c>
      <c r="Y775" s="46">
        <v>1.802E-3</v>
      </c>
      <c r="Z775" s="21">
        <v>4601004355644</v>
      </c>
    </row>
    <row r="776" spans="1:26" ht="12.95" customHeight="1" outlineLevel="3" x14ac:dyDescent="0.2">
      <c r="A776" s="76" t="s">
        <v>18834</v>
      </c>
      <c r="B776" s="76"/>
      <c r="C776" s="77"/>
      <c r="D776" s="58"/>
      <c r="E776" s="68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 spans="1:26" ht="12" customHeight="1" outlineLevel="4" x14ac:dyDescent="0.2">
      <c r="A777" s="40" t="s">
        <v>18839</v>
      </c>
      <c r="B777" s="75" t="s">
        <v>18840</v>
      </c>
      <c r="C777" s="51"/>
      <c r="D777" s="54">
        <f t="shared" ref="D777:D825" si="12">C777*(O777-O777*$G$3)</f>
        <v>0</v>
      </c>
      <c r="E777" s="62"/>
      <c r="F777" s="42" t="s">
        <v>39</v>
      </c>
      <c r="G777" s="41" t="s">
        <v>40</v>
      </c>
      <c r="H777" s="41"/>
      <c r="I777" s="41"/>
      <c r="J777" s="43">
        <v>114</v>
      </c>
      <c r="K777" s="41" t="s">
        <v>1590</v>
      </c>
      <c r="L777" s="43">
        <v>1</v>
      </c>
      <c r="M777" s="43">
        <v>18</v>
      </c>
      <c r="N777" s="43">
        <v>1</v>
      </c>
      <c r="O777" s="44">
        <v>3725.9</v>
      </c>
      <c r="P777" s="44">
        <v>3054.02</v>
      </c>
      <c r="Q777" s="44">
        <v>2608.13</v>
      </c>
      <c r="R777" s="44">
        <v>2137.81</v>
      </c>
      <c r="S777" s="44">
        <v>2533.61</v>
      </c>
      <c r="T777" s="44">
        <v>2076.73</v>
      </c>
      <c r="U777" s="42"/>
      <c r="V777" s="42"/>
      <c r="W777" s="42"/>
      <c r="X777" s="45">
        <v>0.80900000000000005</v>
      </c>
      <c r="Y777" s="46">
        <v>2.6189999999999998E-3</v>
      </c>
      <c r="Z777" s="21">
        <v>4601004355613</v>
      </c>
    </row>
    <row r="778" spans="1:26" ht="12" customHeight="1" outlineLevel="4" x14ac:dyDescent="0.2">
      <c r="A778" s="40" t="s">
        <v>18841</v>
      </c>
      <c r="B778" s="75" t="s">
        <v>18842</v>
      </c>
      <c r="C778" s="51"/>
      <c r="D778" s="54">
        <f t="shared" si="12"/>
        <v>0</v>
      </c>
      <c r="E778" s="62"/>
      <c r="F778" s="42" t="s">
        <v>39</v>
      </c>
      <c r="G778" s="41" t="s">
        <v>40</v>
      </c>
      <c r="H778" s="41"/>
      <c r="I778" s="41"/>
      <c r="J778" s="43">
        <v>48</v>
      </c>
      <c r="K778" s="41" t="s">
        <v>1590</v>
      </c>
      <c r="L778" s="43">
        <v>1</v>
      </c>
      <c r="M778" s="43">
        <v>12</v>
      </c>
      <c r="N778" s="43">
        <v>1</v>
      </c>
      <c r="O778" s="44">
        <v>3816</v>
      </c>
      <c r="P778" s="44">
        <v>3127.87</v>
      </c>
      <c r="Q778" s="44">
        <v>3816</v>
      </c>
      <c r="R778" s="44">
        <v>3127.87</v>
      </c>
      <c r="S778" s="44">
        <v>2594.88</v>
      </c>
      <c r="T778" s="44">
        <v>2126.9499999999998</v>
      </c>
      <c r="U778" s="42"/>
      <c r="V778" s="42"/>
      <c r="W778" s="42"/>
      <c r="X778" s="45">
        <v>0.93200000000000005</v>
      </c>
      <c r="Y778" s="46">
        <v>2.7799999999999999E-3</v>
      </c>
      <c r="Z778" s="21">
        <v>4601004355606</v>
      </c>
    </row>
    <row r="779" spans="1:26" ht="12" customHeight="1" outlineLevel="4" x14ac:dyDescent="0.2">
      <c r="A779" s="40" t="s">
        <v>18845</v>
      </c>
      <c r="B779" s="75" t="s">
        <v>18846</v>
      </c>
      <c r="C779" s="51"/>
      <c r="D779" s="54">
        <f t="shared" si="12"/>
        <v>0</v>
      </c>
      <c r="E779" s="62"/>
      <c r="F779" s="42" t="s">
        <v>39</v>
      </c>
      <c r="G779" s="41" t="s">
        <v>40</v>
      </c>
      <c r="H779" s="41"/>
      <c r="I779" s="41"/>
      <c r="J779" s="43">
        <v>49</v>
      </c>
      <c r="K779" s="41" t="s">
        <v>1590</v>
      </c>
      <c r="L779" s="43">
        <v>1</v>
      </c>
      <c r="M779" s="43">
        <v>12</v>
      </c>
      <c r="N779" s="43">
        <v>1</v>
      </c>
      <c r="O779" s="44">
        <v>4452</v>
      </c>
      <c r="P779" s="44">
        <v>3649.18</v>
      </c>
      <c r="Q779" s="44">
        <v>4452</v>
      </c>
      <c r="R779" s="44">
        <v>3649.18</v>
      </c>
      <c r="S779" s="44">
        <v>3027.36</v>
      </c>
      <c r="T779" s="44">
        <v>2481.44</v>
      </c>
      <c r="U779" s="42"/>
      <c r="V779" s="42"/>
      <c r="W779" s="42"/>
      <c r="X779" s="45">
        <v>1.1240000000000001</v>
      </c>
      <c r="Y779" s="46">
        <v>3.6819999999999999E-3</v>
      </c>
      <c r="Z779" s="21">
        <v>4601004355590</v>
      </c>
    </row>
    <row r="780" spans="1:26" ht="12" customHeight="1" outlineLevel="4" x14ac:dyDescent="0.2">
      <c r="A780" s="40" t="s">
        <v>18847</v>
      </c>
      <c r="B780" s="75" t="s">
        <v>18848</v>
      </c>
      <c r="C780" s="51"/>
      <c r="D780" s="54">
        <f t="shared" si="12"/>
        <v>0</v>
      </c>
      <c r="E780" s="62"/>
      <c r="F780" s="42" t="s">
        <v>39</v>
      </c>
      <c r="G780" s="41" t="s">
        <v>40</v>
      </c>
      <c r="H780" s="41"/>
      <c r="I780" s="41"/>
      <c r="J780" s="43">
        <v>346</v>
      </c>
      <c r="K780" s="41" t="s">
        <v>1590</v>
      </c>
      <c r="L780" s="43">
        <v>1</v>
      </c>
      <c r="M780" s="43">
        <v>50</v>
      </c>
      <c r="N780" s="43">
        <v>1</v>
      </c>
      <c r="O780" s="44">
        <v>1107.7</v>
      </c>
      <c r="P780" s="44">
        <v>907.95</v>
      </c>
      <c r="Q780" s="44">
        <v>775.39</v>
      </c>
      <c r="R780" s="44">
        <v>635.57000000000005</v>
      </c>
      <c r="S780" s="44">
        <v>753.24</v>
      </c>
      <c r="T780" s="44">
        <v>617.41</v>
      </c>
      <c r="U780" s="42"/>
      <c r="V780" s="42"/>
      <c r="W780" s="42"/>
      <c r="X780" s="45">
        <v>0.16600000000000001</v>
      </c>
      <c r="Y780" s="46">
        <v>1.4350000000000001E-3</v>
      </c>
      <c r="Z780" s="21">
        <v>4601004355637</v>
      </c>
    </row>
    <row r="781" spans="1:26" ht="12" customHeight="1" outlineLevel="4" x14ac:dyDescent="0.2">
      <c r="A781" s="40" t="s">
        <v>18851</v>
      </c>
      <c r="B781" s="75" t="s">
        <v>18852</v>
      </c>
      <c r="C781" s="51"/>
      <c r="D781" s="54">
        <f t="shared" si="12"/>
        <v>0</v>
      </c>
      <c r="E781" s="62"/>
      <c r="F781" s="42" t="s">
        <v>39</v>
      </c>
      <c r="G781" s="41" t="s">
        <v>40</v>
      </c>
      <c r="H781" s="41"/>
      <c r="I781" s="41"/>
      <c r="J781" s="43">
        <v>336</v>
      </c>
      <c r="K781" s="41" t="s">
        <v>1590</v>
      </c>
      <c r="L781" s="43">
        <v>1</v>
      </c>
      <c r="M781" s="43">
        <v>40</v>
      </c>
      <c r="N781" s="43">
        <v>1</v>
      </c>
      <c r="O781" s="44">
        <v>1500.43</v>
      </c>
      <c r="P781" s="44">
        <v>1229.8599999999999</v>
      </c>
      <c r="Q781" s="44">
        <v>1050.3</v>
      </c>
      <c r="R781" s="44">
        <v>860.9</v>
      </c>
      <c r="S781" s="44">
        <v>1020.29</v>
      </c>
      <c r="T781" s="44">
        <v>836.3</v>
      </c>
      <c r="U781" s="42"/>
      <c r="V781" s="42"/>
      <c r="W781" s="42"/>
      <c r="X781" s="45">
        <v>0.25</v>
      </c>
      <c r="Y781" s="46">
        <v>1.42E-3</v>
      </c>
      <c r="Z781" s="21">
        <v>4601004355620</v>
      </c>
    </row>
    <row r="782" spans="1:26" ht="12.95" customHeight="1" outlineLevel="2" x14ac:dyDescent="0.2">
      <c r="A782" s="76" t="s">
        <v>18915</v>
      </c>
      <c r="B782" s="76"/>
      <c r="C782" s="77"/>
      <c r="D782" s="58"/>
      <c r="E782" s="68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 spans="1:26" ht="12.95" customHeight="1" outlineLevel="3" x14ac:dyDescent="0.2">
      <c r="A783" s="76" t="s">
        <v>18916</v>
      </c>
      <c r="B783" s="76"/>
      <c r="C783" s="77"/>
      <c r="D783" s="58"/>
      <c r="E783" s="68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 spans="1:26" ht="12" customHeight="1" outlineLevel="4" x14ac:dyDescent="0.2">
      <c r="A784" s="40" t="s">
        <v>18921</v>
      </c>
      <c r="B784" s="75" t="s">
        <v>18922</v>
      </c>
      <c r="C784" s="51"/>
      <c r="D784" s="54">
        <f t="shared" si="12"/>
        <v>0</v>
      </c>
      <c r="E784" s="61" t="str">
        <f>HYPERLINK("https://www.sds-group.ru/product/kabel-greyuschiy-nagrevatelnyy-samoreguliruyuschiysya-rsh-30f-200-240-s-ekranirovannyy-vzryv-51-0331/", "Инфо")</f>
        <v>Инфо</v>
      </c>
      <c r="F784" s="42" t="s">
        <v>1767</v>
      </c>
      <c r="G784" s="41" t="s">
        <v>40</v>
      </c>
      <c r="H784" s="41"/>
      <c r="I784" s="41"/>
      <c r="J784" s="47">
        <v>2500</v>
      </c>
      <c r="K784" s="41"/>
      <c r="L784" s="43">
        <v>250</v>
      </c>
      <c r="M784" s="43">
        <v>250</v>
      </c>
      <c r="N784" s="43">
        <v>250</v>
      </c>
      <c r="O784" s="44">
        <v>4349.18</v>
      </c>
      <c r="P784" s="44">
        <v>3564.9</v>
      </c>
      <c r="Q784" s="44">
        <v>4349.18</v>
      </c>
      <c r="R784" s="44">
        <v>3564.9</v>
      </c>
      <c r="S784" s="44">
        <v>2957.44</v>
      </c>
      <c r="T784" s="44">
        <v>2424.13</v>
      </c>
      <c r="U784" s="42"/>
      <c r="V784" s="42"/>
      <c r="W784" s="42" t="s">
        <v>40</v>
      </c>
      <c r="X784" s="45">
        <v>0.152</v>
      </c>
      <c r="Y784" s="46">
        <v>1.8900000000000001E-4</v>
      </c>
      <c r="Z784" s="21">
        <v>4601004340336</v>
      </c>
    </row>
    <row r="785" spans="1:26" ht="12" customHeight="1" outlineLevel="4" x14ac:dyDescent="0.2">
      <c r="A785" s="40" t="s">
        <v>18923</v>
      </c>
      <c r="B785" s="75" t="s">
        <v>18924</v>
      </c>
      <c r="C785" s="51"/>
      <c r="D785" s="54">
        <f t="shared" si="12"/>
        <v>0</v>
      </c>
      <c r="E785" s="61" t="str">
        <f>HYPERLINK("https://www.sds-group.ru/product/kabel-greyuschiy-nagrevatelnyy-samoreguliruyuschiysya-rsh-45f-200-240-c-ekranirovannyy-vzryv-51-0332/", "Инфо")</f>
        <v>Инфо</v>
      </c>
      <c r="F785" s="42" t="s">
        <v>1767</v>
      </c>
      <c r="G785" s="41" t="s">
        <v>40</v>
      </c>
      <c r="H785" s="41"/>
      <c r="I785" s="41"/>
      <c r="J785" s="42" t="s">
        <v>100</v>
      </c>
      <c r="K785" s="41"/>
      <c r="L785" s="43">
        <v>250</v>
      </c>
      <c r="M785" s="43">
        <v>250</v>
      </c>
      <c r="N785" s="43">
        <v>250</v>
      </c>
      <c r="O785" s="44">
        <v>4349.18</v>
      </c>
      <c r="P785" s="44">
        <v>3564.9</v>
      </c>
      <c r="Q785" s="44">
        <v>4349.18</v>
      </c>
      <c r="R785" s="44">
        <v>3564.9</v>
      </c>
      <c r="S785" s="44">
        <v>2957.44</v>
      </c>
      <c r="T785" s="44">
        <v>2424.13</v>
      </c>
      <c r="U785" s="42"/>
      <c r="V785" s="42"/>
      <c r="W785" s="42" t="s">
        <v>40</v>
      </c>
      <c r="X785" s="45">
        <v>0.158</v>
      </c>
      <c r="Y785" s="46">
        <v>2.23E-4</v>
      </c>
      <c r="Z785" s="21">
        <v>4601004340343</v>
      </c>
    </row>
    <row r="786" spans="1:26" ht="12" customHeight="1" outlineLevel="4" x14ac:dyDescent="0.2">
      <c r="A786" s="40" t="s">
        <v>18925</v>
      </c>
      <c r="B786" s="75" t="s">
        <v>18926</v>
      </c>
      <c r="C786" s="51"/>
      <c r="D786" s="54">
        <f t="shared" si="12"/>
        <v>0</v>
      </c>
      <c r="E786" s="61" t="str">
        <f>HYPERLINK("https://www.sds-group.ru/product/kabel-greyuschiy-nagrevatelnyy-samoreguliruyuschiysya-rsh-60f-200-240-c-ekranirovannyy-vzryv-51-0333/", "Инфо")</f>
        <v>Инфо</v>
      </c>
      <c r="F786" s="42" t="s">
        <v>1767</v>
      </c>
      <c r="G786" s="41" t="s">
        <v>40</v>
      </c>
      <c r="H786" s="41"/>
      <c r="I786" s="41" t="s">
        <v>18927</v>
      </c>
      <c r="J786" s="42" t="s">
        <v>100</v>
      </c>
      <c r="K786" s="41"/>
      <c r="L786" s="43">
        <v>250</v>
      </c>
      <c r="M786" s="43">
        <v>250</v>
      </c>
      <c r="N786" s="43">
        <v>250</v>
      </c>
      <c r="O786" s="44">
        <v>4349.18</v>
      </c>
      <c r="P786" s="44">
        <v>3564.9</v>
      </c>
      <c r="Q786" s="44">
        <v>4349.18</v>
      </c>
      <c r="R786" s="44">
        <v>3564.9</v>
      </c>
      <c r="S786" s="44">
        <v>2957.44</v>
      </c>
      <c r="T786" s="44">
        <v>2424.13</v>
      </c>
      <c r="U786" s="42"/>
      <c r="V786" s="42"/>
      <c r="W786" s="42" t="s">
        <v>40</v>
      </c>
      <c r="X786" s="45">
        <v>0.161</v>
      </c>
      <c r="Y786" s="46">
        <v>2.24E-4</v>
      </c>
      <c r="Z786" s="21">
        <v>4601004340350</v>
      </c>
    </row>
    <row r="787" spans="1:26" ht="12" customHeight="1" outlineLevel="4" x14ac:dyDescent="0.2">
      <c r="A787" s="40" t="s">
        <v>18932</v>
      </c>
      <c r="B787" s="75" t="s">
        <v>18933</v>
      </c>
      <c r="C787" s="51"/>
      <c r="D787" s="54">
        <f t="shared" si="12"/>
        <v>0</v>
      </c>
      <c r="E787" s="61" t="str">
        <f>HYPERLINK("https://www.sds-group.ru/product/kabel-greyuschiy-nagrevatelnyy-samoreguliruyuschiysya-rsl-16f-65-85-c-ftorpolimer-ekranirova-51-0301/", "Инфо")</f>
        <v>Инфо</v>
      </c>
      <c r="F787" s="42" t="s">
        <v>1767</v>
      </c>
      <c r="G787" s="41" t="s">
        <v>40</v>
      </c>
      <c r="H787" s="41"/>
      <c r="I787" s="41" t="s">
        <v>18927</v>
      </c>
      <c r="J787" s="42" t="s">
        <v>100</v>
      </c>
      <c r="K787" s="41" t="s">
        <v>6837</v>
      </c>
      <c r="L787" s="43">
        <v>200</v>
      </c>
      <c r="M787" s="43">
        <v>200</v>
      </c>
      <c r="N787" s="43">
        <v>200</v>
      </c>
      <c r="O787" s="44">
        <v>815.67</v>
      </c>
      <c r="P787" s="44">
        <v>668.58</v>
      </c>
      <c r="Q787" s="44">
        <v>815.67</v>
      </c>
      <c r="R787" s="44">
        <v>668.58</v>
      </c>
      <c r="S787" s="44">
        <v>554.66</v>
      </c>
      <c r="T787" s="44">
        <v>454.64</v>
      </c>
      <c r="U787" s="42"/>
      <c r="V787" s="42"/>
      <c r="W787" s="42" t="s">
        <v>40</v>
      </c>
      <c r="X787" s="45">
        <v>0.106</v>
      </c>
      <c r="Y787" s="46">
        <v>2.7900000000000001E-4</v>
      </c>
      <c r="Z787" s="21">
        <v>4601004340206</v>
      </c>
    </row>
    <row r="788" spans="1:26" ht="12" customHeight="1" outlineLevel="4" x14ac:dyDescent="0.2">
      <c r="A788" s="40" t="s">
        <v>18934</v>
      </c>
      <c r="B788" s="75" t="s">
        <v>18935</v>
      </c>
      <c r="C788" s="51"/>
      <c r="D788" s="54">
        <f t="shared" si="12"/>
        <v>0</v>
      </c>
      <c r="E788" s="61" t="str">
        <f>HYPERLINK("https://www.sds-group.ru/product/kabel-greyuschiy-nagrevatelnyy-samoreguliruyuschiysya-rsl-24f-65-85-c-ftorpolimer-ekranirova-51-0303/", "Инфо")</f>
        <v>Инфо</v>
      </c>
      <c r="F788" s="42" t="s">
        <v>1767</v>
      </c>
      <c r="G788" s="41" t="s">
        <v>40</v>
      </c>
      <c r="H788" s="41"/>
      <c r="I788" s="41" t="s">
        <v>18927</v>
      </c>
      <c r="J788" s="42" t="s">
        <v>100</v>
      </c>
      <c r="K788" s="41" t="s">
        <v>6837</v>
      </c>
      <c r="L788" s="43">
        <v>200</v>
      </c>
      <c r="M788" s="43">
        <v>200</v>
      </c>
      <c r="N788" s="43">
        <v>200</v>
      </c>
      <c r="O788" s="44">
        <v>825.74</v>
      </c>
      <c r="P788" s="44">
        <v>676.84</v>
      </c>
      <c r="Q788" s="44">
        <v>825.74</v>
      </c>
      <c r="R788" s="44">
        <v>676.84</v>
      </c>
      <c r="S788" s="44">
        <v>561.5</v>
      </c>
      <c r="T788" s="44">
        <v>460.25</v>
      </c>
      <c r="U788" s="42"/>
      <c r="V788" s="42"/>
      <c r="W788" s="42" t="s">
        <v>40</v>
      </c>
      <c r="X788" s="45">
        <v>0.106</v>
      </c>
      <c r="Y788" s="46">
        <v>2.8200000000000002E-4</v>
      </c>
      <c r="Z788" s="21">
        <v>4601004340220</v>
      </c>
    </row>
    <row r="789" spans="1:26" ht="12" customHeight="1" outlineLevel="4" x14ac:dyDescent="0.2">
      <c r="A789" s="40" t="s">
        <v>18938</v>
      </c>
      <c r="B789" s="75" t="s">
        <v>18939</v>
      </c>
      <c r="C789" s="51"/>
      <c r="D789" s="54">
        <f t="shared" si="12"/>
        <v>0</v>
      </c>
      <c r="E789" s="61" t="str">
        <f>HYPERLINK("https://www.sds-group.ru/product/kabel-greyuschiy-nagrevatelnyy-samoreguliruyuschiysya-rsl-30f-65-85-c-ftorpolimer-ekranirova-51-0305/", "Инфо")</f>
        <v>Инфо</v>
      </c>
      <c r="F789" s="42" t="s">
        <v>1767</v>
      </c>
      <c r="G789" s="41" t="s">
        <v>40</v>
      </c>
      <c r="H789" s="41"/>
      <c r="I789" s="41"/>
      <c r="J789" s="47">
        <v>5000</v>
      </c>
      <c r="K789" s="41" t="s">
        <v>6837</v>
      </c>
      <c r="L789" s="43">
        <v>200</v>
      </c>
      <c r="M789" s="43">
        <v>200</v>
      </c>
      <c r="N789" s="43">
        <v>200</v>
      </c>
      <c r="O789" s="44">
        <v>835.81</v>
      </c>
      <c r="P789" s="44">
        <v>685.09</v>
      </c>
      <c r="Q789" s="44">
        <v>835.81</v>
      </c>
      <c r="R789" s="44">
        <v>685.09</v>
      </c>
      <c r="S789" s="44">
        <v>568.35</v>
      </c>
      <c r="T789" s="44">
        <v>465.86</v>
      </c>
      <c r="U789" s="42"/>
      <c r="V789" s="42"/>
      <c r="W789" s="42" t="s">
        <v>40</v>
      </c>
      <c r="X789" s="45">
        <v>0.106</v>
      </c>
      <c r="Y789" s="46">
        <v>2.7799999999999998E-4</v>
      </c>
      <c r="Z789" s="21">
        <v>4601004340244</v>
      </c>
    </row>
    <row r="790" spans="1:26" ht="12" customHeight="1" outlineLevel="4" x14ac:dyDescent="0.2">
      <c r="A790" s="40" t="s">
        <v>18942</v>
      </c>
      <c r="B790" s="75" t="s">
        <v>18943</v>
      </c>
      <c r="C790" s="51"/>
      <c r="D790" s="54">
        <f t="shared" si="12"/>
        <v>0</v>
      </c>
      <c r="E790" s="61" t="str">
        <f>HYPERLINK("https://www.sds-group.ru/product/kabel-greyuschiy-nagrevatelnyy-samoreguliruyuschiysya-rsl-40f-65-85-c-ftorpolimer-ekranirova-51-0307/", "Инфо")</f>
        <v>Инфо</v>
      </c>
      <c r="F790" s="42" t="s">
        <v>1767</v>
      </c>
      <c r="G790" s="41" t="s">
        <v>40</v>
      </c>
      <c r="H790" s="41"/>
      <c r="I790" s="41"/>
      <c r="J790" s="42" t="s">
        <v>100</v>
      </c>
      <c r="K790" s="41" t="s">
        <v>6837</v>
      </c>
      <c r="L790" s="43">
        <v>200</v>
      </c>
      <c r="M790" s="43">
        <v>200</v>
      </c>
      <c r="N790" s="43">
        <v>200</v>
      </c>
      <c r="O790" s="44">
        <v>845.88</v>
      </c>
      <c r="P790" s="44">
        <v>693.34</v>
      </c>
      <c r="Q790" s="44">
        <v>845.88</v>
      </c>
      <c r="R790" s="44">
        <v>693.34</v>
      </c>
      <c r="S790" s="44">
        <v>575.20000000000005</v>
      </c>
      <c r="T790" s="44">
        <v>471.48</v>
      </c>
      <c r="U790" s="42"/>
      <c r="V790" s="42"/>
      <c r="W790" s="42" t="s">
        <v>40</v>
      </c>
      <c r="X790" s="45">
        <v>0.11799999999999999</v>
      </c>
      <c r="Y790" s="46">
        <v>2.7999999999999998E-4</v>
      </c>
      <c r="Z790" s="21">
        <v>4601004340268</v>
      </c>
    </row>
    <row r="791" spans="1:26" ht="12" customHeight="1" outlineLevel="4" x14ac:dyDescent="0.2">
      <c r="A791" s="40" t="s">
        <v>18946</v>
      </c>
      <c r="B791" s="75" t="s">
        <v>18947</v>
      </c>
      <c r="C791" s="51"/>
      <c r="D791" s="54">
        <f t="shared" si="12"/>
        <v>0</v>
      </c>
      <c r="E791" s="61" t="str">
        <f>HYPERLINK("https://www.sds-group.ru/product/kabel-greyuschiy-nagrevatelnyy-samoreguliruyuschiysya-rsm-15f-120-200-c-ekranirovannyy-vzryv-51-0310/", "Инфо")</f>
        <v>Инфо</v>
      </c>
      <c r="F791" s="42" t="s">
        <v>1767</v>
      </c>
      <c r="G791" s="41" t="s">
        <v>40</v>
      </c>
      <c r="H791" s="41"/>
      <c r="I791" s="41" t="s">
        <v>18927</v>
      </c>
      <c r="J791" s="47">
        <v>3000</v>
      </c>
      <c r="K791" s="41"/>
      <c r="L791" s="43">
        <v>250</v>
      </c>
      <c r="M791" s="43">
        <v>250</v>
      </c>
      <c r="N791" s="43">
        <v>250</v>
      </c>
      <c r="O791" s="44">
        <v>2215.4</v>
      </c>
      <c r="P791" s="44">
        <v>1815.9</v>
      </c>
      <c r="Q791" s="44">
        <v>2215.4</v>
      </c>
      <c r="R791" s="44">
        <v>1815.9</v>
      </c>
      <c r="S791" s="44">
        <v>1506.47</v>
      </c>
      <c r="T791" s="44">
        <v>1234.81</v>
      </c>
      <c r="U791" s="42"/>
      <c r="V791" s="42"/>
      <c r="W791" s="42" t="s">
        <v>40</v>
      </c>
      <c r="X791" s="45">
        <v>0.14799999999999999</v>
      </c>
      <c r="Y791" s="46">
        <v>2.2599999999999999E-4</v>
      </c>
      <c r="Z791" s="21">
        <v>4601004340275</v>
      </c>
    </row>
    <row r="792" spans="1:26" ht="12" customHeight="1" outlineLevel="4" x14ac:dyDescent="0.2">
      <c r="A792" s="40" t="s">
        <v>18948</v>
      </c>
      <c r="B792" s="75" t="s">
        <v>18949</v>
      </c>
      <c r="C792" s="51"/>
      <c r="D792" s="54">
        <f t="shared" si="12"/>
        <v>0</v>
      </c>
      <c r="E792" s="61" t="str">
        <f>HYPERLINK("https://www.sds-group.ru/product/kabel-greyuschiy-nagrevatelnyy-samoreguliruyuschiysya-rsm-30f-120-200-s-ekranirovannyy-vzryv-51-0312/", "Инфо")</f>
        <v>Инфо</v>
      </c>
      <c r="F792" s="42" t="s">
        <v>1767</v>
      </c>
      <c r="G792" s="41" t="s">
        <v>40</v>
      </c>
      <c r="H792" s="41"/>
      <c r="I792" s="41"/>
      <c r="J792" s="47">
        <v>6750</v>
      </c>
      <c r="K792" s="41"/>
      <c r="L792" s="43">
        <v>250</v>
      </c>
      <c r="M792" s="43">
        <v>250</v>
      </c>
      <c r="N792" s="43">
        <v>250</v>
      </c>
      <c r="O792" s="44">
        <v>2215.4</v>
      </c>
      <c r="P792" s="44">
        <v>1815.9</v>
      </c>
      <c r="Q792" s="44">
        <v>2215.4</v>
      </c>
      <c r="R792" s="44">
        <v>1815.9</v>
      </c>
      <c r="S792" s="44">
        <v>1506.47</v>
      </c>
      <c r="T792" s="44">
        <v>1234.81</v>
      </c>
      <c r="U792" s="42"/>
      <c r="V792" s="42"/>
      <c r="W792" s="42" t="s">
        <v>40</v>
      </c>
      <c r="X792" s="45">
        <v>0.14799999999999999</v>
      </c>
      <c r="Y792" s="46">
        <v>1.93E-4</v>
      </c>
      <c r="Z792" s="21">
        <v>4601004340299</v>
      </c>
    </row>
    <row r="793" spans="1:26" ht="12" customHeight="1" outlineLevel="4" x14ac:dyDescent="0.2">
      <c r="A793" s="40" t="s">
        <v>18950</v>
      </c>
      <c r="B793" s="75" t="s">
        <v>18951</v>
      </c>
      <c r="C793" s="51"/>
      <c r="D793" s="54">
        <f t="shared" si="12"/>
        <v>0</v>
      </c>
      <c r="E793" s="61" t="str">
        <f>HYPERLINK("https://www.sds-group.ru/product/kabel-greyuschiy-nagrevatelnyy-samoreguliruyuschiysya-rsm-45f-120-200-s-ekranirovannyy-vzryv-51-0313/", "Инфо")</f>
        <v>Инфо</v>
      </c>
      <c r="F793" s="42" t="s">
        <v>1767</v>
      </c>
      <c r="G793" s="41" t="s">
        <v>40</v>
      </c>
      <c r="H793" s="41"/>
      <c r="I793" s="41"/>
      <c r="J793" s="42" t="s">
        <v>100</v>
      </c>
      <c r="K793" s="41"/>
      <c r="L793" s="43">
        <v>250</v>
      </c>
      <c r="M793" s="43">
        <v>250</v>
      </c>
      <c r="N793" s="43">
        <v>250</v>
      </c>
      <c r="O793" s="44">
        <v>2215.4</v>
      </c>
      <c r="P793" s="44">
        <v>1815.9</v>
      </c>
      <c r="Q793" s="44">
        <v>2215.4</v>
      </c>
      <c r="R793" s="44">
        <v>1815.9</v>
      </c>
      <c r="S793" s="44">
        <v>1506.47</v>
      </c>
      <c r="T793" s="44">
        <v>1234.81</v>
      </c>
      <c r="U793" s="42"/>
      <c r="V793" s="42"/>
      <c r="W793" s="42" t="s">
        <v>40</v>
      </c>
      <c r="X793" s="45">
        <v>0.14699999999999999</v>
      </c>
      <c r="Y793" s="46">
        <v>1.8900000000000001E-4</v>
      </c>
      <c r="Z793" s="21">
        <v>4601004340305</v>
      </c>
    </row>
    <row r="794" spans="1:26" ht="12" customHeight="1" outlineLevel="4" x14ac:dyDescent="0.2">
      <c r="A794" s="40" t="s">
        <v>18952</v>
      </c>
      <c r="B794" s="75" t="s">
        <v>18953</v>
      </c>
      <c r="C794" s="51"/>
      <c r="D794" s="54">
        <f t="shared" si="12"/>
        <v>0</v>
      </c>
      <c r="E794" s="61" t="str">
        <f>HYPERLINK("https://www.sds-group.ru/product/kabel-greyuschiy-nagrevatelnyy-samoreguliruyuschiysya-rsm-60f-120-200-c-ekranirovannyy-vzryv-51-0314/", "Инфо")</f>
        <v>Инфо</v>
      </c>
      <c r="F794" s="42" t="s">
        <v>1767</v>
      </c>
      <c r="G794" s="41" t="s">
        <v>40</v>
      </c>
      <c r="H794" s="41"/>
      <c r="I794" s="41" t="s">
        <v>18927</v>
      </c>
      <c r="J794" s="42" t="s">
        <v>100</v>
      </c>
      <c r="K794" s="41"/>
      <c r="L794" s="43">
        <v>250</v>
      </c>
      <c r="M794" s="43">
        <v>250</v>
      </c>
      <c r="N794" s="43">
        <v>250</v>
      </c>
      <c r="O794" s="44">
        <v>2215.4</v>
      </c>
      <c r="P794" s="44">
        <v>1815.9</v>
      </c>
      <c r="Q794" s="44">
        <v>2215.4</v>
      </c>
      <c r="R794" s="44">
        <v>1815.9</v>
      </c>
      <c r="S794" s="44">
        <v>1506.47</v>
      </c>
      <c r="T794" s="44">
        <v>1234.81</v>
      </c>
      <c r="U794" s="42"/>
      <c r="V794" s="42"/>
      <c r="W794" s="42" t="s">
        <v>40</v>
      </c>
      <c r="X794" s="45">
        <v>0.151</v>
      </c>
      <c r="Y794" s="46">
        <v>2.22E-4</v>
      </c>
      <c r="Z794" s="21">
        <v>4601004340312</v>
      </c>
    </row>
    <row r="795" spans="1:26" ht="12.95" customHeight="1" outlineLevel="2" x14ac:dyDescent="0.2">
      <c r="A795" s="76" t="s">
        <v>19115</v>
      </c>
      <c r="B795" s="76"/>
      <c r="C795" s="77"/>
      <c r="D795" s="58"/>
      <c r="E795" s="68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 spans="1:26" ht="12.95" customHeight="1" outlineLevel="3" x14ac:dyDescent="0.2">
      <c r="A796" s="76" t="s">
        <v>19116</v>
      </c>
      <c r="B796" s="76"/>
      <c r="C796" s="77"/>
      <c r="D796" s="58"/>
      <c r="E796" s="68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 spans="1:26" ht="12" customHeight="1" outlineLevel="4" x14ac:dyDescent="0.2">
      <c r="A797" s="40" t="s">
        <v>19117</v>
      </c>
      <c r="B797" s="75" t="s">
        <v>19118</v>
      </c>
      <c r="C797" s="51"/>
      <c r="D797" s="54">
        <f t="shared" si="12"/>
        <v>0</v>
      </c>
      <c r="E797" s="62"/>
      <c r="F797" s="42" t="s">
        <v>39</v>
      </c>
      <c r="G797" s="41" t="s">
        <v>40</v>
      </c>
      <c r="H797" s="41"/>
      <c r="I797" s="41"/>
      <c r="J797" s="42" t="s">
        <v>100</v>
      </c>
      <c r="K797" s="41"/>
      <c r="L797" s="43">
        <v>1</v>
      </c>
      <c r="M797" s="43">
        <v>1</v>
      </c>
      <c r="N797" s="43">
        <v>1</v>
      </c>
      <c r="O797" s="44">
        <v>31619.8</v>
      </c>
      <c r="P797" s="44">
        <v>25917.87</v>
      </c>
      <c r="Q797" s="44">
        <v>25295.84</v>
      </c>
      <c r="R797" s="44">
        <v>20734.3</v>
      </c>
      <c r="S797" s="44">
        <v>21501.46</v>
      </c>
      <c r="T797" s="44">
        <v>17624.150000000001</v>
      </c>
      <c r="U797" s="42"/>
      <c r="V797" s="42"/>
      <c r="W797" s="42" t="s">
        <v>40</v>
      </c>
      <c r="X797" s="45">
        <v>0.497</v>
      </c>
      <c r="Y797" s="46">
        <v>2.1180000000000001E-3</v>
      </c>
      <c r="Z797" s="21">
        <v>4601004355033</v>
      </c>
    </row>
    <row r="798" spans="1:26" ht="12.95" customHeight="1" outlineLevel="3" x14ac:dyDescent="0.2">
      <c r="A798" s="76" t="s">
        <v>19147</v>
      </c>
      <c r="B798" s="76"/>
      <c r="C798" s="77"/>
      <c r="D798" s="58"/>
      <c r="E798" s="68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 spans="1:26" ht="12" customHeight="1" outlineLevel="4" x14ac:dyDescent="0.2">
      <c r="A799" s="40" t="s">
        <v>19152</v>
      </c>
      <c r="B799" s="75" t="s">
        <v>19153</v>
      </c>
      <c r="C799" s="51"/>
      <c r="D799" s="54">
        <f t="shared" si="12"/>
        <v>0</v>
      </c>
      <c r="E799" s="62"/>
      <c r="F799" s="42" t="s">
        <v>39</v>
      </c>
      <c r="G799" s="41" t="s">
        <v>40</v>
      </c>
      <c r="H799" s="41"/>
      <c r="I799" s="41"/>
      <c r="J799" s="43">
        <v>300</v>
      </c>
      <c r="K799" s="41"/>
      <c r="L799" s="43">
        <v>1</v>
      </c>
      <c r="M799" s="43">
        <v>10</v>
      </c>
      <c r="N799" s="43">
        <v>1</v>
      </c>
      <c r="O799" s="44">
        <v>643.88</v>
      </c>
      <c r="P799" s="44">
        <v>527.77</v>
      </c>
      <c r="Q799" s="44">
        <v>643.88</v>
      </c>
      <c r="R799" s="44">
        <v>527.77</v>
      </c>
      <c r="S799" s="44">
        <v>437.84</v>
      </c>
      <c r="T799" s="44">
        <v>358.89</v>
      </c>
      <c r="U799" s="42"/>
      <c r="V799" s="42"/>
      <c r="W799" s="42" t="s">
        <v>40</v>
      </c>
      <c r="X799" s="45">
        <v>2.3E-2</v>
      </c>
      <c r="Y799" s="46">
        <v>3.1500000000000001E-4</v>
      </c>
      <c r="Z799" s="21">
        <v>4601004342620</v>
      </c>
    </row>
    <row r="800" spans="1:26" ht="12" customHeight="1" outlineLevel="4" x14ac:dyDescent="0.2">
      <c r="A800" s="40" t="s">
        <v>19154</v>
      </c>
      <c r="B800" s="75" t="s">
        <v>19155</v>
      </c>
      <c r="C800" s="51"/>
      <c r="D800" s="54">
        <f t="shared" si="12"/>
        <v>0</v>
      </c>
      <c r="E800" s="61" t="str">
        <f>HYPERLINK("https://www.sds-group.ru/product/korobka-indikatornaya-termbox-ex-120sln-dlya-samoreguliruyuschihsya-i-rezistivnyh-kabeley-s--51-1061/", "Инфо")</f>
        <v>Инфо</v>
      </c>
      <c r="F800" s="42" t="s">
        <v>39</v>
      </c>
      <c r="G800" s="41" t="s">
        <v>40</v>
      </c>
      <c r="H800" s="41"/>
      <c r="I800" s="41"/>
      <c r="J800" s="43">
        <v>25</v>
      </c>
      <c r="K800" s="41"/>
      <c r="L800" s="43">
        <v>1</v>
      </c>
      <c r="M800" s="43">
        <v>1</v>
      </c>
      <c r="N800" s="43">
        <v>1</v>
      </c>
      <c r="O800" s="44">
        <v>13969.31</v>
      </c>
      <c r="P800" s="44">
        <v>11450.25</v>
      </c>
      <c r="Q800" s="44">
        <v>13969.31</v>
      </c>
      <c r="R800" s="44">
        <v>11450.25</v>
      </c>
      <c r="S800" s="44">
        <v>9499.1299999999992</v>
      </c>
      <c r="T800" s="44">
        <v>7786.17</v>
      </c>
      <c r="U800" s="42"/>
      <c r="V800" s="42"/>
      <c r="W800" s="42" t="s">
        <v>40</v>
      </c>
      <c r="X800" s="45">
        <v>1.22</v>
      </c>
      <c r="Y800" s="46">
        <v>4.1450000000000002E-3</v>
      </c>
      <c r="Z800" s="21">
        <v>4601004342484</v>
      </c>
    </row>
    <row r="801" spans="1:26" ht="12" customHeight="1" outlineLevel="4" x14ac:dyDescent="0.2">
      <c r="A801" s="40" t="s">
        <v>19156</v>
      </c>
      <c r="B801" s="75" t="s">
        <v>19157</v>
      </c>
      <c r="C801" s="51"/>
      <c r="D801" s="54">
        <f t="shared" si="12"/>
        <v>0</v>
      </c>
      <c r="E801" s="61" t="str">
        <f>HYPERLINK("https://www.sds-group.ru/product/korobka-soedinitelnaya-termbox-ex-120-dlya-samoreguliruyuschegosya-kabelya-rexant-51-1056/", "Инфо")</f>
        <v>Инфо</v>
      </c>
      <c r="F801" s="42" t="s">
        <v>39</v>
      </c>
      <c r="G801" s="41" t="s">
        <v>40</v>
      </c>
      <c r="H801" s="41"/>
      <c r="I801" s="41"/>
      <c r="J801" s="43">
        <v>43</v>
      </c>
      <c r="K801" s="41"/>
      <c r="L801" s="43">
        <v>1</v>
      </c>
      <c r="M801" s="43">
        <v>1</v>
      </c>
      <c r="N801" s="43">
        <v>1</v>
      </c>
      <c r="O801" s="44">
        <v>9938.08</v>
      </c>
      <c r="P801" s="44">
        <v>8145.97</v>
      </c>
      <c r="Q801" s="44">
        <v>9938.08</v>
      </c>
      <c r="R801" s="44">
        <v>8145.97</v>
      </c>
      <c r="S801" s="44">
        <v>6757.89</v>
      </c>
      <c r="T801" s="44">
        <v>5539.25</v>
      </c>
      <c r="U801" s="42"/>
      <c r="V801" s="42"/>
      <c r="W801" s="42" t="s">
        <v>40</v>
      </c>
      <c r="X801" s="45">
        <v>1.169</v>
      </c>
      <c r="Y801" s="46">
        <v>4.1489999999999999E-3</v>
      </c>
      <c r="Z801" s="21">
        <v>4601004342439</v>
      </c>
    </row>
    <row r="802" spans="1:26" ht="12" customHeight="1" outlineLevel="4" x14ac:dyDescent="0.2">
      <c r="A802" s="40" t="s">
        <v>19158</v>
      </c>
      <c r="B802" s="75" t="s">
        <v>19159</v>
      </c>
      <c r="C802" s="51"/>
      <c r="D802" s="54">
        <f t="shared" si="12"/>
        <v>0</v>
      </c>
      <c r="E802" s="61" t="str">
        <f>HYPERLINK("https://www.sds-group.ru/product/korobka-soedinitelnaya-termbox-ex-120n-dlya-samoreguliruyuschegosya-kabelya-s-vvodom-pod-tep-51-1057/", "Инфо")</f>
        <v>Инфо</v>
      </c>
      <c r="F802" s="42" t="s">
        <v>39</v>
      </c>
      <c r="G802" s="41" t="s">
        <v>40</v>
      </c>
      <c r="H802" s="41"/>
      <c r="I802" s="41"/>
      <c r="J802" s="43">
        <v>45</v>
      </c>
      <c r="K802" s="41"/>
      <c r="L802" s="43">
        <v>1</v>
      </c>
      <c r="M802" s="43">
        <v>1</v>
      </c>
      <c r="N802" s="43">
        <v>1</v>
      </c>
      <c r="O802" s="44">
        <v>11477.79</v>
      </c>
      <c r="P802" s="44">
        <v>9408.02</v>
      </c>
      <c r="Q802" s="44">
        <v>11477.79</v>
      </c>
      <c r="R802" s="44">
        <v>9408.02</v>
      </c>
      <c r="S802" s="44">
        <v>7804.9</v>
      </c>
      <c r="T802" s="44">
        <v>6397.46</v>
      </c>
      <c r="U802" s="42"/>
      <c r="V802" s="42"/>
      <c r="W802" s="42" t="s">
        <v>40</v>
      </c>
      <c r="X802" s="45">
        <v>1.383</v>
      </c>
      <c r="Y802" s="46">
        <v>4.019E-3</v>
      </c>
      <c r="Z802" s="21">
        <v>4601004342446</v>
      </c>
    </row>
    <row r="803" spans="1:26" ht="12" customHeight="1" outlineLevel="4" x14ac:dyDescent="0.2">
      <c r="A803" s="40" t="s">
        <v>19160</v>
      </c>
      <c r="B803" s="75" t="s">
        <v>19161</v>
      </c>
      <c r="C803" s="51"/>
      <c r="D803" s="54">
        <f t="shared" si="12"/>
        <v>0</v>
      </c>
      <c r="E803" s="61" t="str">
        <f>HYPERLINK("https://www.sds-group.ru/product/korobka-soedinitelnaya-termbox-ex-120sn-dlya-podklyucheniya-datchikov-i-sistem-upravleniya-s-51-1059/", "Инфо")</f>
        <v>Инфо</v>
      </c>
      <c r="F803" s="42" t="s">
        <v>39</v>
      </c>
      <c r="G803" s="41" t="s">
        <v>40</v>
      </c>
      <c r="H803" s="41"/>
      <c r="I803" s="41"/>
      <c r="J803" s="43">
        <v>21</v>
      </c>
      <c r="K803" s="41"/>
      <c r="L803" s="43">
        <v>1</v>
      </c>
      <c r="M803" s="43">
        <v>1</v>
      </c>
      <c r="N803" s="43">
        <v>1</v>
      </c>
      <c r="O803" s="44">
        <v>11001.88</v>
      </c>
      <c r="P803" s="44">
        <v>9017.93</v>
      </c>
      <c r="Q803" s="44">
        <v>11001.88</v>
      </c>
      <c r="R803" s="44">
        <v>9017.93</v>
      </c>
      <c r="S803" s="44">
        <v>7481.28</v>
      </c>
      <c r="T803" s="44">
        <v>6132.2</v>
      </c>
      <c r="U803" s="42"/>
      <c r="V803" s="42"/>
      <c r="W803" s="42" t="s">
        <v>40</v>
      </c>
      <c r="X803" s="45">
        <v>1.32</v>
      </c>
      <c r="Y803" s="46">
        <v>4.0790000000000002E-3</v>
      </c>
      <c r="Z803" s="21">
        <v>4601004342460</v>
      </c>
    </row>
    <row r="804" spans="1:26" ht="12" customHeight="1" outlineLevel="4" x14ac:dyDescent="0.2">
      <c r="A804" s="40" t="s">
        <v>19162</v>
      </c>
      <c r="B804" s="75" t="s">
        <v>19163</v>
      </c>
      <c r="C804" s="51"/>
      <c r="D804" s="54">
        <f t="shared" si="12"/>
        <v>0</v>
      </c>
      <c r="E804" s="61" t="str">
        <f>HYPERLINK("https://www.sds-group.ru/product/korobka-soedinitelnaya-termbox-ex-160-dlya-samoreguliruyuschegosya-kabelya-rexant-51-1062/", "Инфо")</f>
        <v>Инфо</v>
      </c>
      <c r="F804" s="42" t="s">
        <v>39</v>
      </c>
      <c r="G804" s="41" t="s">
        <v>40</v>
      </c>
      <c r="H804" s="41"/>
      <c r="I804" s="41"/>
      <c r="J804" s="43">
        <v>24</v>
      </c>
      <c r="K804" s="41"/>
      <c r="L804" s="43">
        <v>1</v>
      </c>
      <c r="M804" s="43">
        <v>1</v>
      </c>
      <c r="N804" s="43">
        <v>1</v>
      </c>
      <c r="O804" s="44">
        <v>11897.71</v>
      </c>
      <c r="P804" s="44">
        <v>9752.2199999999993</v>
      </c>
      <c r="Q804" s="44">
        <v>11897.71</v>
      </c>
      <c r="R804" s="44">
        <v>9752.2199999999993</v>
      </c>
      <c r="S804" s="44">
        <v>8090.44</v>
      </c>
      <c r="T804" s="44">
        <v>6631.51</v>
      </c>
      <c r="U804" s="42"/>
      <c r="V804" s="42"/>
      <c r="W804" s="42" t="s">
        <v>40</v>
      </c>
      <c r="X804" s="45">
        <v>1.841</v>
      </c>
      <c r="Y804" s="46">
        <v>3.705E-3</v>
      </c>
      <c r="Z804" s="21">
        <v>4601004342491</v>
      </c>
    </row>
    <row r="805" spans="1:26" ht="12" customHeight="1" outlineLevel="4" x14ac:dyDescent="0.2">
      <c r="A805" s="40" t="s">
        <v>19164</v>
      </c>
      <c r="B805" s="75" t="s">
        <v>19165</v>
      </c>
      <c r="C805" s="51"/>
      <c r="D805" s="54">
        <f t="shared" si="12"/>
        <v>0</v>
      </c>
      <c r="E805" s="61" t="str">
        <f>HYPERLINK("https://www.sds-group.ru/product/korobka-soedinitelnaya-termbox-ex-160n-dlya-samoreguliruyuschegosya-kabelya-s-vvodom-pod-tep-51-1063/", "Инфо")</f>
        <v>Инфо</v>
      </c>
      <c r="F805" s="42" t="s">
        <v>39</v>
      </c>
      <c r="G805" s="41" t="s">
        <v>40</v>
      </c>
      <c r="H805" s="41"/>
      <c r="I805" s="41"/>
      <c r="J805" s="43">
        <v>100</v>
      </c>
      <c r="K805" s="41"/>
      <c r="L805" s="43">
        <v>1</v>
      </c>
      <c r="M805" s="43">
        <v>1</v>
      </c>
      <c r="N805" s="43">
        <v>1</v>
      </c>
      <c r="O805" s="44">
        <v>14417.22</v>
      </c>
      <c r="P805" s="44">
        <v>11817.39</v>
      </c>
      <c r="Q805" s="44">
        <v>14417.22</v>
      </c>
      <c r="R805" s="44">
        <v>11817.39</v>
      </c>
      <c r="S805" s="44">
        <v>9803.7099999999991</v>
      </c>
      <c r="T805" s="44">
        <v>8035.83</v>
      </c>
      <c r="U805" s="42"/>
      <c r="V805" s="42"/>
      <c r="W805" s="42" t="s">
        <v>40</v>
      </c>
      <c r="X805" s="45">
        <v>2.0030000000000001</v>
      </c>
      <c r="Y805" s="46">
        <v>6.1079999999999997E-3</v>
      </c>
      <c r="Z805" s="21">
        <v>4601004342507</v>
      </c>
    </row>
    <row r="806" spans="1:26" ht="12.95" customHeight="1" outlineLevel="2" x14ac:dyDescent="0.2">
      <c r="A806" s="76" t="s">
        <v>19169</v>
      </c>
      <c r="B806" s="76"/>
      <c r="C806" s="77"/>
      <c r="D806" s="58"/>
      <c r="E806" s="68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 spans="1:26" ht="12" customHeight="1" outlineLevel="3" x14ac:dyDescent="0.2">
      <c r="A807" s="40" t="s">
        <v>19202</v>
      </c>
      <c r="B807" s="75" t="s">
        <v>19203</v>
      </c>
      <c r="C807" s="51"/>
      <c r="D807" s="54">
        <f t="shared" si="12"/>
        <v>0</v>
      </c>
      <c r="E807" s="62"/>
      <c r="F807" s="42" t="s">
        <v>39</v>
      </c>
      <c r="G807" s="41" t="s">
        <v>40</v>
      </c>
      <c r="H807" s="41"/>
      <c r="I807" s="41"/>
      <c r="J807" s="43">
        <v>992</v>
      </c>
      <c r="K807" s="41"/>
      <c r="L807" s="43">
        <v>1</v>
      </c>
      <c r="M807" s="42"/>
      <c r="N807" s="43">
        <v>1</v>
      </c>
      <c r="O807" s="44">
        <v>1208.4000000000001</v>
      </c>
      <c r="P807" s="44">
        <v>990.49</v>
      </c>
      <c r="Q807" s="44">
        <v>1208.4000000000001</v>
      </c>
      <c r="R807" s="44">
        <v>990.49</v>
      </c>
      <c r="S807" s="44">
        <v>821.71</v>
      </c>
      <c r="T807" s="44">
        <v>673.53</v>
      </c>
      <c r="U807" s="42"/>
      <c r="V807" s="42"/>
      <c r="W807" s="42" t="s">
        <v>40</v>
      </c>
      <c r="X807" s="45">
        <v>9.9000000000000005E-2</v>
      </c>
      <c r="Y807" s="46">
        <v>1.3899999999999999E-4</v>
      </c>
      <c r="Z807" s="21">
        <v>4601004340046</v>
      </c>
    </row>
    <row r="808" spans="1:26" ht="12.95" customHeight="1" outlineLevel="2" x14ac:dyDescent="0.2">
      <c r="A808" s="76" t="s">
        <v>19212</v>
      </c>
      <c r="B808" s="76"/>
      <c r="C808" s="77"/>
      <c r="D808" s="58"/>
      <c r="E808" s="68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 spans="1:26" ht="12" customHeight="1" outlineLevel="3" x14ac:dyDescent="0.2">
      <c r="A809" s="40" t="s">
        <v>19221</v>
      </c>
      <c r="B809" s="75" t="s">
        <v>19222</v>
      </c>
      <c r="C809" s="51"/>
      <c r="D809" s="54">
        <f t="shared" si="12"/>
        <v>0</v>
      </c>
      <c r="E809" s="61" t="str">
        <f>HYPERLINK("https://www.sds-group.ru/product/montazhnyy-komplekt-dlya-soedineniya-i-okontsevaniya-kabelya-tkr-rexant-51-0681/", "Инфо")</f>
        <v>Инфо</v>
      </c>
      <c r="F809" s="42" t="s">
        <v>1001</v>
      </c>
      <c r="G809" s="41" t="s">
        <v>40</v>
      </c>
      <c r="H809" s="41"/>
      <c r="I809" s="41"/>
      <c r="J809" s="43">
        <v>294</v>
      </c>
      <c r="K809" s="41"/>
      <c r="L809" s="43">
        <v>1</v>
      </c>
      <c r="M809" s="43">
        <v>1</v>
      </c>
      <c r="N809" s="43">
        <v>1</v>
      </c>
      <c r="O809" s="44">
        <v>1409.8</v>
      </c>
      <c r="P809" s="44">
        <v>1155.57</v>
      </c>
      <c r="Q809" s="44">
        <v>1409.8</v>
      </c>
      <c r="R809" s="44">
        <v>1155.57</v>
      </c>
      <c r="S809" s="44">
        <v>958.66</v>
      </c>
      <c r="T809" s="44">
        <v>785.79</v>
      </c>
      <c r="U809" s="42"/>
      <c r="V809" s="42"/>
      <c r="W809" s="42" t="s">
        <v>40</v>
      </c>
      <c r="X809" s="45">
        <v>6.0999999999999999E-2</v>
      </c>
      <c r="Y809" s="46">
        <v>7.2599999999999997E-4</v>
      </c>
      <c r="Z809" s="21">
        <v>4601004341890</v>
      </c>
    </row>
    <row r="810" spans="1:26" ht="12" customHeight="1" outlineLevel="3" x14ac:dyDescent="0.2">
      <c r="A810" s="40" t="s">
        <v>19231</v>
      </c>
      <c r="B810" s="75" t="s">
        <v>19232</v>
      </c>
      <c r="C810" s="51"/>
      <c r="D810" s="54">
        <f t="shared" si="12"/>
        <v>0</v>
      </c>
      <c r="E810" s="62"/>
      <c r="F810" s="42" t="s">
        <v>39</v>
      </c>
      <c r="G810" s="41" t="s">
        <v>40</v>
      </c>
      <c r="H810" s="41"/>
      <c r="I810" s="41"/>
      <c r="J810" s="47">
        <v>5000</v>
      </c>
      <c r="K810" s="41"/>
      <c r="L810" s="43">
        <v>100</v>
      </c>
      <c r="M810" s="43">
        <v>100</v>
      </c>
      <c r="N810" s="43">
        <v>100</v>
      </c>
      <c r="O810" s="44">
        <v>36.25</v>
      </c>
      <c r="P810" s="44">
        <v>29.71</v>
      </c>
      <c r="Q810" s="44">
        <v>36.25</v>
      </c>
      <c r="R810" s="44">
        <v>29.71</v>
      </c>
      <c r="S810" s="44">
        <v>24.65</v>
      </c>
      <c r="T810" s="44">
        <v>20.2</v>
      </c>
      <c r="U810" s="42"/>
      <c r="V810" s="42"/>
      <c r="W810" s="42" t="s">
        <v>40</v>
      </c>
      <c r="X810" s="45">
        <v>3.0000000000000001E-3</v>
      </c>
      <c r="Y810" s="46">
        <v>1.2E-5</v>
      </c>
      <c r="Z810" s="21">
        <v>4601004342705</v>
      </c>
    </row>
    <row r="811" spans="1:26" ht="12.95" customHeight="1" outlineLevel="1" x14ac:dyDescent="0.2">
      <c r="A811" s="78" t="s">
        <v>19243</v>
      </c>
      <c r="B811" s="78"/>
      <c r="C811" s="79"/>
      <c r="D811" s="57"/>
      <c r="E811" s="67"/>
      <c r="F811" s="29"/>
      <c r="G811" s="29"/>
      <c r="H811" s="29"/>
      <c r="I811" s="29"/>
      <c r="J811" s="29"/>
      <c r="K811" s="29"/>
      <c r="L811" s="29"/>
      <c r="M811" s="29"/>
      <c r="N811" s="29"/>
      <c r="O811" s="29"/>
      <c r="P811" s="29"/>
      <c r="Q811" s="29"/>
      <c r="R811" s="29"/>
      <c r="S811" s="29"/>
      <c r="T811" s="29"/>
      <c r="U811" s="29"/>
      <c r="V811" s="29"/>
      <c r="W811" s="29"/>
      <c r="X811" s="29"/>
      <c r="Y811" s="29"/>
      <c r="Z811" s="29"/>
    </row>
    <row r="812" spans="1:26" ht="12.95" customHeight="1" outlineLevel="2" x14ac:dyDescent="0.2">
      <c r="A812" s="76" t="s">
        <v>19366</v>
      </c>
      <c r="B812" s="76"/>
      <c r="C812" s="77"/>
      <c r="D812" s="58"/>
      <c r="E812" s="68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 spans="1:26" ht="12" customHeight="1" outlineLevel="3" x14ac:dyDescent="0.2">
      <c r="A813" s="40" t="s">
        <v>19367</v>
      </c>
      <c r="B813" s="75" t="s">
        <v>19368</v>
      </c>
      <c r="C813" s="51"/>
      <c r="D813" s="54">
        <f t="shared" si="12"/>
        <v>0</v>
      </c>
      <c r="E813" s="61" t="str">
        <f>HYPERLINK("https://www.sds-group.ru/product/teplovaya-zavesa-teplobarer-3-3-kvt-belaya-rexant-60-0140/", "Инфо")</f>
        <v>Инфо</v>
      </c>
      <c r="F813" s="42" t="s">
        <v>39</v>
      </c>
      <c r="G813" s="41" t="s">
        <v>40</v>
      </c>
      <c r="H813" s="41"/>
      <c r="I813" s="41"/>
      <c r="J813" s="42" t="s">
        <v>100</v>
      </c>
      <c r="K813" s="41" t="s">
        <v>11098</v>
      </c>
      <c r="L813" s="43">
        <v>1</v>
      </c>
      <c r="M813" s="43">
        <v>1</v>
      </c>
      <c r="N813" s="43">
        <v>1</v>
      </c>
      <c r="O813" s="44">
        <v>11872</v>
      </c>
      <c r="P813" s="44">
        <v>9731.15</v>
      </c>
      <c r="Q813" s="44">
        <v>9497.6</v>
      </c>
      <c r="R813" s="44">
        <v>7784.92</v>
      </c>
      <c r="S813" s="44">
        <v>8072.96</v>
      </c>
      <c r="T813" s="44">
        <v>6617.18</v>
      </c>
      <c r="U813" s="42"/>
      <c r="V813" s="42"/>
      <c r="W813" s="42" t="s">
        <v>40</v>
      </c>
      <c r="X813" s="45">
        <v>4.3899999999999997</v>
      </c>
      <c r="Y813" s="46">
        <v>1.9732E-2</v>
      </c>
      <c r="Z813" s="21">
        <v>4601004341746</v>
      </c>
    </row>
    <row r="814" spans="1:26" ht="12" customHeight="1" outlineLevel="3" x14ac:dyDescent="0.2">
      <c r="A814" s="40" t="s">
        <v>19369</v>
      </c>
      <c r="B814" s="75" t="s">
        <v>19370</v>
      </c>
      <c r="C814" s="51"/>
      <c r="D814" s="54">
        <f t="shared" si="12"/>
        <v>0</v>
      </c>
      <c r="E814" s="61" t="str">
        <f>HYPERLINK("https://www.sds-group.ru/product/teplovaya-zavesa-teplobarer-6-6-kvt-belaya-rexant-60-0142/", "Инфо")</f>
        <v>Инфо</v>
      </c>
      <c r="F814" s="42" t="s">
        <v>39</v>
      </c>
      <c r="G814" s="41" t="s">
        <v>40</v>
      </c>
      <c r="H814" s="41"/>
      <c r="I814" s="41"/>
      <c r="J814" s="43">
        <v>23</v>
      </c>
      <c r="K814" s="41" t="s">
        <v>11098</v>
      </c>
      <c r="L814" s="43">
        <v>1</v>
      </c>
      <c r="M814" s="43">
        <v>1</v>
      </c>
      <c r="N814" s="43">
        <v>1</v>
      </c>
      <c r="O814" s="44">
        <v>25970</v>
      </c>
      <c r="P814" s="44">
        <v>21286.89</v>
      </c>
      <c r="Q814" s="44">
        <v>20776</v>
      </c>
      <c r="R814" s="44">
        <v>17029.509999999998</v>
      </c>
      <c r="S814" s="44">
        <v>17659.599999999999</v>
      </c>
      <c r="T814" s="44">
        <v>14475.08</v>
      </c>
      <c r="U814" s="42"/>
      <c r="V814" s="42"/>
      <c r="W814" s="42" t="s">
        <v>40</v>
      </c>
      <c r="X814" s="45">
        <v>10.199999999999999</v>
      </c>
      <c r="Y814" s="46">
        <v>3.3059999999999999E-2</v>
      </c>
      <c r="Z814" s="21">
        <v>4601004341753</v>
      </c>
    </row>
    <row r="815" spans="1:26" ht="12" customHeight="1" outlineLevel="3" x14ac:dyDescent="0.2">
      <c r="A815" s="40" t="s">
        <v>19371</v>
      </c>
      <c r="B815" s="75" t="s">
        <v>19372</v>
      </c>
      <c r="C815" s="51"/>
      <c r="D815" s="54">
        <f t="shared" si="12"/>
        <v>0</v>
      </c>
      <c r="E815" s="61" t="str">
        <f>HYPERLINK("https://www.sds-group.ru/product/teplovaya-zavesa-teplobarer-9-9-kvt-belaya-rexant-60-0143/", "Инфо")</f>
        <v>Инфо</v>
      </c>
      <c r="F815" s="42" t="s">
        <v>39</v>
      </c>
      <c r="G815" s="41" t="s">
        <v>40</v>
      </c>
      <c r="H815" s="41"/>
      <c r="I815" s="41"/>
      <c r="J815" s="43">
        <v>19</v>
      </c>
      <c r="K815" s="41"/>
      <c r="L815" s="43">
        <v>1</v>
      </c>
      <c r="M815" s="43">
        <v>1</v>
      </c>
      <c r="N815" s="43">
        <v>1</v>
      </c>
      <c r="O815" s="44">
        <v>37630</v>
      </c>
      <c r="P815" s="44">
        <v>30844.26</v>
      </c>
      <c r="Q815" s="44">
        <v>30104</v>
      </c>
      <c r="R815" s="44">
        <v>24675.41</v>
      </c>
      <c r="S815" s="44">
        <v>25588.400000000001</v>
      </c>
      <c r="T815" s="44">
        <v>20974.1</v>
      </c>
      <c r="U815" s="42"/>
      <c r="V815" s="42"/>
      <c r="W815" s="42" t="s">
        <v>40</v>
      </c>
      <c r="X815" s="45">
        <v>15.13</v>
      </c>
      <c r="Y815" s="46">
        <v>5.1029999999999999E-2</v>
      </c>
      <c r="Z815" s="21">
        <v>4601004341760</v>
      </c>
    </row>
    <row r="816" spans="1:26" ht="12.95" customHeight="1" outlineLevel="1" x14ac:dyDescent="0.2">
      <c r="A816" s="78" t="s">
        <v>19373</v>
      </c>
      <c r="B816" s="78"/>
      <c r="C816" s="79"/>
      <c r="D816" s="57"/>
      <c r="E816" s="67"/>
      <c r="F816" s="29"/>
      <c r="G816" s="29"/>
      <c r="H816" s="29"/>
      <c r="I816" s="29"/>
      <c r="J816" s="29"/>
      <c r="K816" s="29"/>
      <c r="L816" s="29"/>
      <c r="M816" s="29"/>
      <c r="N816" s="29"/>
      <c r="O816" s="29"/>
      <c r="P816" s="29"/>
      <c r="Q816" s="29"/>
      <c r="R816" s="29"/>
      <c r="S816" s="29"/>
      <c r="T816" s="29"/>
      <c r="U816" s="29"/>
      <c r="V816" s="29"/>
      <c r="W816" s="29"/>
      <c r="X816" s="29"/>
      <c r="Y816" s="29"/>
      <c r="Z816" s="29"/>
    </row>
    <row r="817" spans="1:26" ht="12.95" customHeight="1" outlineLevel="2" x14ac:dyDescent="0.2">
      <c r="A817" s="76" t="s">
        <v>19374</v>
      </c>
      <c r="B817" s="76"/>
      <c r="C817" s="77"/>
      <c r="D817" s="58"/>
      <c r="E817" s="68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 spans="1:26" ht="12.95" customHeight="1" outlineLevel="3" x14ac:dyDescent="0.2">
      <c r="A818" s="76" t="s">
        <v>19428</v>
      </c>
      <c r="B818" s="76"/>
      <c r="C818" s="77"/>
      <c r="D818" s="58"/>
      <c r="E818" s="68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 spans="1:26" ht="12" customHeight="1" outlineLevel="4" x14ac:dyDescent="0.2">
      <c r="A819" s="40" t="s">
        <v>19429</v>
      </c>
      <c r="B819" s="75" t="s">
        <v>19430</v>
      </c>
      <c r="C819" s="51"/>
      <c r="D819" s="54">
        <f t="shared" si="12"/>
        <v>0</v>
      </c>
      <c r="E819" s="61" t="str">
        <f>HYPERLINK("https://www.sds-group.ru/product/termoregulyator-tsifrovoy-climahome-w-sensornyy-programmiruemyy-s-wi-fi-belyy-rexant-51-0572/", "Инфо")</f>
        <v>Инфо</v>
      </c>
      <c r="F819" s="42" t="s">
        <v>39</v>
      </c>
      <c r="G819" s="41" t="s">
        <v>40</v>
      </c>
      <c r="H819" s="41"/>
      <c r="I819" s="41"/>
      <c r="J819" s="43">
        <v>628</v>
      </c>
      <c r="K819" s="41"/>
      <c r="L819" s="43">
        <v>1</v>
      </c>
      <c r="M819" s="43">
        <v>64</v>
      </c>
      <c r="N819" s="43">
        <v>1</v>
      </c>
      <c r="O819" s="44">
        <v>6145.95</v>
      </c>
      <c r="P819" s="44">
        <v>5037.66</v>
      </c>
      <c r="Q819" s="44">
        <v>4793.84</v>
      </c>
      <c r="R819" s="44">
        <v>3929.38</v>
      </c>
      <c r="S819" s="44">
        <v>4179.25</v>
      </c>
      <c r="T819" s="44">
        <v>3425.61</v>
      </c>
      <c r="U819" s="42"/>
      <c r="V819" s="42"/>
      <c r="W819" s="42" t="s">
        <v>40</v>
      </c>
      <c r="X819" s="45">
        <v>0.252</v>
      </c>
      <c r="Y819" s="46">
        <v>8.1599999999999999E-4</v>
      </c>
      <c r="Z819" s="21">
        <v>4601004339644</v>
      </c>
    </row>
    <row r="820" spans="1:26" ht="12" customHeight="1" outlineLevel="4" x14ac:dyDescent="0.2">
      <c r="A820" s="40" t="s">
        <v>19437</v>
      </c>
      <c r="B820" s="75" t="s">
        <v>19438</v>
      </c>
      <c r="C820" s="51"/>
      <c r="D820" s="54">
        <f t="shared" si="12"/>
        <v>0</v>
      </c>
      <c r="E820" s="61" t="str">
        <f>HYPERLINK("https://www.sds-group.ru/product/termoregulyator-tsifrovoy-smartwarm-w-sensornyy-programmiruemyy-s-wi-fi-belyy-rexant-51-0578/", "Инфо")</f>
        <v>Инфо</v>
      </c>
      <c r="F820" s="42" t="s">
        <v>39</v>
      </c>
      <c r="G820" s="41" t="s">
        <v>40</v>
      </c>
      <c r="H820" s="41"/>
      <c r="I820" s="41"/>
      <c r="J820" s="43">
        <v>841</v>
      </c>
      <c r="K820" s="41"/>
      <c r="L820" s="43">
        <v>1</v>
      </c>
      <c r="M820" s="43">
        <v>60</v>
      </c>
      <c r="N820" s="43">
        <v>1</v>
      </c>
      <c r="O820" s="44">
        <v>5922.06</v>
      </c>
      <c r="P820" s="44">
        <v>4854.1499999999996</v>
      </c>
      <c r="Q820" s="44">
        <v>4619.21</v>
      </c>
      <c r="R820" s="44">
        <v>3786.24</v>
      </c>
      <c r="S820" s="44">
        <v>4027</v>
      </c>
      <c r="T820" s="44">
        <v>3300.82</v>
      </c>
      <c r="U820" s="42"/>
      <c r="V820" s="42"/>
      <c r="W820" s="42" t="s">
        <v>40</v>
      </c>
      <c r="X820" s="45">
        <v>0.24</v>
      </c>
      <c r="Y820" s="46">
        <v>7.8200000000000003E-4</v>
      </c>
      <c r="Z820" s="21">
        <v>4601004339651</v>
      </c>
    </row>
    <row r="821" spans="1:26" ht="12.95" customHeight="1" x14ac:dyDescent="0.2">
      <c r="A821" s="80" t="s">
        <v>20387</v>
      </c>
      <c r="B821" s="80"/>
      <c r="C821" s="81"/>
      <c r="D821" s="56"/>
      <c r="E821" s="66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  <c r="W821" s="28"/>
      <c r="X821" s="28"/>
      <c r="Y821" s="28"/>
      <c r="Z821" s="28"/>
    </row>
    <row r="822" spans="1:26" ht="12.95" customHeight="1" outlineLevel="1" x14ac:dyDescent="0.2">
      <c r="A822" s="78" t="s">
        <v>21566</v>
      </c>
      <c r="B822" s="78"/>
      <c r="C822" s="79"/>
      <c r="D822" s="57"/>
      <c r="E822" s="67"/>
      <c r="F822" s="29"/>
      <c r="G822" s="29"/>
      <c r="H822" s="29"/>
      <c r="I822" s="29"/>
      <c r="J822" s="29"/>
      <c r="K822" s="29"/>
      <c r="L822" s="29"/>
      <c r="M822" s="29"/>
      <c r="N822" s="29"/>
      <c r="O822" s="29"/>
      <c r="P822" s="29"/>
      <c r="Q822" s="29"/>
      <c r="R822" s="29"/>
      <c r="S822" s="29"/>
      <c r="T822" s="29"/>
      <c r="U822" s="29"/>
      <c r="V822" s="29"/>
      <c r="W822" s="29"/>
      <c r="X822" s="29"/>
      <c r="Y822" s="29"/>
      <c r="Z822" s="29"/>
    </row>
    <row r="823" spans="1:26" ht="12.95" customHeight="1" outlineLevel="2" x14ac:dyDescent="0.2">
      <c r="A823" s="76" t="s">
        <v>22571</v>
      </c>
      <c r="B823" s="76"/>
      <c r="C823" s="77"/>
      <c r="D823" s="58"/>
      <c r="E823" s="68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 spans="1:26" ht="12.95" customHeight="1" outlineLevel="3" x14ac:dyDescent="0.2">
      <c r="A824" s="76" t="s">
        <v>22625</v>
      </c>
      <c r="B824" s="76"/>
      <c r="C824" s="77"/>
      <c r="D824" s="58"/>
      <c r="E824" s="68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 spans="1:26" ht="12" customHeight="1" outlineLevel="4" x14ac:dyDescent="0.2">
      <c r="A825" s="40" t="s">
        <v>22626</v>
      </c>
      <c r="B825" s="75" t="s">
        <v>22627</v>
      </c>
      <c r="C825" s="51"/>
      <c r="D825" s="54">
        <f t="shared" si="12"/>
        <v>0</v>
      </c>
      <c r="E825" s="62"/>
      <c r="F825" s="42" t="s">
        <v>39</v>
      </c>
      <c r="G825" s="41" t="s">
        <v>40</v>
      </c>
      <c r="H825" s="41"/>
      <c r="I825" s="41"/>
      <c r="J825" s="47">
        <v>5000</v>
      </c>
      <c r="K825" s="41"/>
      <c r="L825" s="43">
        <v>1</v>
      </c>
      <c r="M825" s="43">
        <v>100</v>
      </c>
      <c r="N825" s="43">
        <v>1</v>
      </c>
      <c r="O825" s="44">
        <v>210.42</v>
      </c>
      <c r="P825" s="44">
        <v>172.48</v>
      </c>
      <c r="Q825" s="44">
        <v>210.42</v>
      </c>
      <c r="R825" s="44">
        <v>172.48</v>
      </c>
      <c r="S825" s="44">
        <v>130.46</v>
      </c>
      <c r="T825" s="44">
        <v>106.93</v>
      </c>
      <c r="U825" s="42"/>
      <c r="V825" s="42"/>
      <c r="W825" s="42" t="s">
        <v>40</v>
      </c>
      <c r="X825" s="45">
        <v>0.02</v>
      </c>
      <c r="Y825" s="46">
        <v>1.83E-4</v>
      </c>
      <c r="Z825" s="21">
        <v>4601004352377</v>
      </c>
    </row>
  </sheetData>
  <mergeCells count="199">
    <mergeCell ref="A821:C821"/>
    <mergeCell ref="A822:C822"/>
    <mergeCell ref="A823:C823"/>
    <mergeCell ref="A824:C824"/>
    <mergeCell ref="A808:C808"/>
    <mergeCell ref="A811:C811"/>
    <mergeCell ref="A812:C812"/>
    <mergeCell ref="A816:C816"/>
    <mergeCell ref="A817:C817"/>
    <mergeCell ref="A818:C818"/>
    <mergeCell ref="A782:C782"/>
    <mergeCell ref="A783:C783"/>
    <mergeCell ref="A795:C795"/>
    <mergeCell ref="A796:C796"/>
    <mergeCell ref="A798:C798"/>
    <mergeCell ref="A806:C806"/>
    <mergeCell ref="A767:C767"/>
    <mergeCell ref="A768:C768"/>
    <mergeCell ref="A770:C770"/>
    <mergeCell ref="A771:C771"/>
    <mergeCell ref="A772:C772"/>
    <mergeCell ref="A776:C776"/>
    <mergeCell ref="A746:C746"/>
    <mergeCell ref="A748:C748"/>
    <mergeCell ref="A749:C749"/>
    <mergeCell ref="A758:C758"/>
    <mergeCell ref="A765:C765"/>
    <mergeCell ref="A766:C766"/>
    <mergeCell ref="A729:C729"/>
    <mergeCell ref="A734:C734"/>
    <mergeCell ref="A738:C738"/>
    <mergeCell ref="A741:C741"/>
    <mergeCell ref="A743:C743"/>
    <mergeCell ref="A745:C745"/>
    <mergeCell ref="A692:C692"/>
    <mergeCell ref="A695:C695"/>
    <mergeCell ref="A696:C696"/>
    <mergeCell ref="A709:C709"/>
    <mergeCell ref="A710:C710"/>
    <mergeCell ref="A711:C711"/>
    <mergeCell ref="A675:C675"/>
    <mergeCell ref="A676:C676"/>
    <mergeCell ref="A677:C677"/>
    <mergeCell ref="A682:C682"/>
    <mergeCell ref="A683:C683"/>
    <mergeCell ref="A684:C684"/>
    <mergeCell ref="A661:C661"/>
    <mergeCell ref="A667:C667"/>
    <mergeCell ref="A668:C668"/>
    <mergeCell ref="A670:C670"/>
    <mergeCell ref="A671:C671"/>
    <mergeCell ref="A673:C673"/>
    <mergeCell ref="A641:C641"/>
    <mergeCell ref="A642:C642"/>
    <mergeCell ref="A643:C643"/>
    <mergeCell ref="A658:C658"/>
    <mergeCell ref="A659:C659"/>
    <mergeCell ref="A660:C660"/>
    <mergeCell ref="A626:C626"/>
    <mergeCell ref="A628:C628"/>
    <mergeCell ref="A629:C629"/>
    <mergeCell ref="A630:C630"/>
    <mergeCell ref="A631:C631"/>
    <mergeCell ref="A635:C635"/>
    <mergeCell ref="A603:C603"/>
    <mergeCell ref="A609:C609"/>
    <mergeCell ref="A617:C617"/>
    <mergeCell ref="A622:C622"/>
    <mergeCell ref="A623:C623"/>
    <mergeCell ref="A625:C625"/>
    <mergeCell ref="A569:C569"/>
    <mergeCell ref="A573:C573"/>
    <mergeCell ref="A574:C574"/>
    <mergeCell ref="A585:C585"/>
    <mergeCell ref="A586:C586"/>
    <mergeCell ref="A596:C596"/>
    <mergeCell ref="A541:C541"/>
    <mergeCell ref="A542:C542"/>
    <mergeCell ref="A550:C550"/>
    <mergeCell ref="A555:C555"/>
    <mergeCell ref="A557:C557"/>
    <mergeCell ref="A558:C558"/>
    <mergeCell ref="A514:C514"/>
    <mergeCell ref="A515:C515"/>
    <mergeCell ref="A520:C520"/>
    <mergeCell ref="A525:C525"/>
    <mergeCell ref="A530:C530"/>
    <mergeCell ref="A536:C536"/>
    <mergeCell ref="A503:C503"/>
    <mergeCell ref="A504:C504"/>
    <mergeCell ref="A506:C506"/>
    <mergeCell ref="A509:C509"/>
    <mergeCell ref="A511:C511"/>
    <mergeCell ref="A513:C513"/>
    <mergeCell ref="A486:C486"/>
    <mergeCell ref="A488:C488"/>
    <mergeCell ref="A491:C491"/>
    <mergeCell ref="A494:C494"/>
    <mergeCell ref="A498:C498"/>
    <mergeCell ref="A501:C501"/>
    <mergeCell ref="A475:C475"/>
    <mergeCell ref="A479:C479"/>
    <mergeCell ref="A480:C480"/>
    <mergeCell ref="A481:C481"/>
    <mergeCell ref="A482:C482"/>
    <mergeCell ref="A484:C484"/>
    <mergeCell ref="A460:C460"/>
    <mergeCell ref="A464:C464"/>
    <mergeCell ref="A465:C465"/>
    <mergeCell ref="A469:C469"/>
    <mergeCell ref="A473:C473"/>
    <mergeCell ref="A474:C474"/>
    <mergeCell ref="A448:C448"/>
    <mergeCell ref="A449:C449"/>
    <mergeCell ref="A450:C450"/>
    <mergeCell ref="A457:C457"/>
    <mergeCell ref="A458:C458"/>
    <mergeCell ref="A459:C459"/>
    <mergeCell ref="A437:C437"/>
    <mergeCell ref="A440:C440"/>
    <mergeCell ref="A442:C442"/>
    <mergeCell ref="A443:C443"/>
    <mergeCell ref="A445:C445"/>
    <mergeCell ref="A446:C446"/>
    <mergeCell ref="A421:C421"/>
    <mergeCell ref="A422:C422"/>
    <mergeCell ref="A425:C425"/>
    <mergeCell ref="A426:C426"/>
    <mergeCell ref="A433:C433"/>
    <mergeCell ref="A434:C434"/>
    <mergeCell ref="A398:C398"/>
    <mergeCell ref="A399:C399"/>
    <mergeCell ref="A407:C407"/>
    <mergeCell ref="A416:C416"/>
    <mergeCell ref="A419:C419"/>
    <mergeCell ref="A420:C420"/>
    <mergeCell ref="A368:C368"/>
    <mergeCell ref="A369:C369"/>
    <mergeCell ref="A371:C371"/>
    <mergeCell ref="A372:C372"/>
    <mergeCell ref="A374:C374"/>
    <mergeCell ref="A394:C394"/>
    <mergeCell ref="A342:C342"/>
    <mergeCell ref="A345:C345"/>
    <mergeCell ref="A351:C351"/>
    <mergeCell ref="A352:C352"/>
    <mergeCell ref="A353:C353"/>
    <mergeCell ref="A360:C360"/>
    <mergeCell ref="A323:C323"/>
    <mergeCell ref="A326:C326"/>
    <mergeCell ref="A329:C329"/>
    <mergeCell ref="A330:C330"/>
    <mergeCell ref="A337:C337"/>
    <mergeCell ref="A338:C338"/>
    <mergeCell ref="A311:C311"/>
    <mergeCell ref="A317:C317"/>
    <mergeCell ref="A318:C318"/>
    <mergeCell ref="A320:C320"/>
    <mergeCell ref="A321:C321"/>
    <mergeCell ref="A322:C322"/>
    <mergeCell ref="A256:C256"/>
    <mergeCell ref="A268:C268"/>
    <mergeCell ref="A304:C304"/>
    <mergeCell ref="A305:C305"/>
    <mergeCell ref="A309:C309"/>
    <mergeCell ref="A310:C310"/>
    <mergeCell ref="A246:C246"/>
    <mergeCell ref="A249:C249"/>
    <mergeCell ref="A250:C250"/>
    <mergeCell ref="A251:C251"/>
    <mergeCell ref="A254:C254"/>
    <mergeCell ref="A255:C255"/>
    <mergeCell ref="A228:C228"/>
    <mergeCell ref="A239:C239"/>
    <mergeCell ref="A240:C240"/>
    <mergeCell ref="A241:C241"/>
    <mergeCell ref="A243:C243"/>
    <mergeCell ref="A244:C244"/>
    <mergeCell ref="A215:C215"/>
    <mergeCell ref="A216:C216"/>
    <mergeCell ref="A220:C220"/>
    <mergeCell ref="A221:C221"/>
    <mergeCell ref="A226:C226"/>
    <mergeCell ref="A227:C227"/>
    <mergeCell ref="A9:C9"/>
    <mergeCell ref="A10:C10"/>
    <mergeCell ref="A11:C11"/>
    <mergeCell ref="A12:C12"/>
    <mergeCell ref="A58:C58"/>
    <mergeCell ref="A106:C106"/>
    <mergeCell ref="B2:B3"/>
    <mergeCell ref="E2:F2"/>
    <mergeCell ref="G2:H2"/>
    <mergeCell ref="I2:J2"/>
    <mergeCell ref="K2:L2"/>
    <mergeCell ref="E3:F3"/>
    <mergeCell ref="G3:H6"/>
    <mergeCell ref="I3:J6"/>
    <mergeCell ref="K3:L6"/>
  </mergeCells>
  <pageMargins left="0.75" right="1" top="0.75" bottom="1" header="0.5" footer="0.5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42651-3F98-4387-B7F2-30860D42C565}">
  <sheetPr>
    <tabColor rgb="FFFF0000"/>
    <outlinePr summaryBelow="0" summaryRight="0"/>
    <pageSetUpPr autoPageBreaks="0"/>
  </sheetPr>
  <dimension ref="A1:V2633"/>
  <sheetViews>
    <sheetView workbookViewId="0">
      <pane ySplit="10" topLeftCell="A11" activePane="bottomLeft" state="frozenSplit"/>
      <selection pane="bottomLeft"/>
    </sheetView>
  </sheetViews>
  <sheetFormatPr defaultColWidth="10.5" defaultRowHeight="11.45" customHeight="1" outlineLevelRow="5" outlineLevelCol="1" x14ac:dyDescent="0.2"/>
  <cols>
    <col min="1" max="1" width="26.6640625" style="1" customWidth="1"/>
    <col min="2" max="2" width="71.1640625" style="1" customWidth="1"/>
    <col min="3" max="3" width="26.1640625" style="1" customWidth="1"/>
    <col min="4" max="4" width="37.83203125" style="1" customWidth="1"/>
    <col min="5" max="7" width="10.5" style="1" customWidth="1"/>
    <col min="8" max="8" width="12.83203125" style="1" customWidth="1"/>
    <col min="9" max="9" width="18.83203125" style="1" customWidth="1"/>
    <col min="10" max="10" width="12.1640625" style="1" customWidth="1"/>
    <col min="11" max="11" width="13.6640625" style="1" customWidth="1"/>
    <col min="12" max="12" width="10.5" style="1" customWidth="1"/>
    <col min="13" max="14" width="10.5" style="1" customWidth="1" outlineLevel="1"/>
    <col min="15" max="15" width="16.5" style="1" bestFit="1" customWidth="1" outlineLevel="1"/>
    <col min="16" max="16" width="11.33203125" style="1" customWidth="1"/>
    <col min="17" max="17" width="11.1640625" style="1" customWidth="1"/>
    <col min="18" max="18" width="11.33203125" style="1" customWidth="1"/>
    <col min="19" max="19" width="11.1640625" style="1" customWidth="1"/>
    <col min="20" max="20" width="32.6640625" style="1" customWidth="1"/>
    <col min="21" max="21" width="17" style="1" customWidth="1"/>
    <col min="22" max="22" width="22" style="1" customWidth="1"/>
  </cols>
  <sheetData>
    <row r="1" spans="1:15" ht="24" customHeight="1" x14ac:dyDescent="0.2">
      <c r="B1" s="94" t="s">
        <v>22875</v>
      </c>
      <c r="C1" s="95"/>
      <c r="D1" s="96" t="s">
        <v>22876</v>
      </c>
      <c r="E1" s="97">
        <f>SUM(D:D) - D5</f>
        <v>0</v>
      </c>
      <c r="F1" s="98"/>
      <c r="G1" s="99"/>
    </row>
    <row r="2" spans="1:15" ht="23.1" customHeight="1" x14ac:dyDescent="0.2">
      <c r="B2" s="100" t="s">
        <v>22877</v>
      </c>
      <c r="C2" s="100"/>
      <c r="D2" s="101" t="s">
        <v>5</v>
      </c>
      <c r="E2" s="102">
        <f>E1/1.22</f>
        <v>0</v>
      </c>
      <c r="F2" s="103"/>
      <c r="G2" s="104"/>
    </row>
    <row r="3" spans="1:15" ht="23.1" customHeight="1" x14ac:dyDescent="0.2">
      <c r="B3" s="105"/>
      <c r="C3" s="106"/>
      <c r="D3" s="107"/>
      <c r="E3" s="86"/>
      <c r="F3" s="86"/>
      <c r="G3" s="108"/>
    </row>
    <row r="4" spans="1:15" s="1" customFormat="1" ht="20.100000000000001" customHeight="1" x14ac:dyDescent="0.2">
      <c r="A4" s="109" t="s">
        <v>0</v>
      </c>
      <c r="B4" s="105"/>
      <c r="C4" s="106"/>
      <c r="D4" s="110" t="s">
        <v>3</v>
      </c>
      <c r="E4" s="111" t="s">
        <v>4</v>
      </c>
      <c r="F4" s="111"/>
      <c r="G4" s="111"/>
    </row>
    <row r="5" spans="1:15" ht="23.1" customHeight="1" x14ac:dyDescent="0.2">
      <c r="A5" s="112" t="s">
        <v>6</v>
      </c>
      <c r="B5" s="105"/>
      <c r="C5" s="106"/>
      <c r="D5" s="113">
        <f>SUMPRODUCT($C:$C,M:M)</f>
        <v>0</v>
      </c>
      <c r="E5" s="114">
        <f>SUMPRODUCT($C:$C,N:N)</f>
        <v>0</v>
      </c>
      <c r="F5" s="115"/>
      <c r="G5" s="116"/>
    </row>
    <row r="6" spans="1:15" ht="23.1" customHeight="1" x14ac:dyDescent="0.2">
      <c r="A6" s="117" t="s">
        <v>7</v>
      </c>
      <c r="B6" s="105"/>
      <c r="C6" s="106"/>
      <c r="D6" s="118"/>
      <c r="E6" s="119"/>
      <c r="F6" s="93"/>
      <c r="G6" s="120"/>
    </row>
    <row r="7" spans="1:15" s="1" customFormat="1" ht="29.1" customHeight="1" x14ac:dyDescent="0.2">
      <c r="B7" s="121"/>
      <c r="C7" s="122"/>
      <c r="D7" s="123"/>
      <c r="E7" s="124"/>
      <c r="F7" s="125"/>
      <c r="G7" s="126"/>
    </row>
    <row r="8" spans="1:15" s="1" customFormat="1" ht="6.95" customHeight="1" x14ac:dyDescent="0.2"/>
    <row r="9" spans="1:15" s="1" customFormat="1" ht="11.1" customHeight="1" x14ac:dyDescent="0.2">
      <c r="A9" s="5"/>
      <c r="B9" s="127" t="s">
        <v>8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</row>
    <row r="10" spans="1:15" s="6" customFormat="1" ht="33" customHeight="1" x14ac:dyDescent="0.2">
      <c r="A10" s="7" t="s">
        <v>9</v>
      </c>
      <c r="B10" s="7" t="s">
        <v>10</v>
      </c>
      <c r="C10" s="8" t="s">
        <v>22878</v>
      </c>
      <c r="D10" s="7" t="s">
        <v>22876</v>
      </c>
      <c r="E10" s="7" t="s">
        <v>22879</v>
      </c>
      <c r="F10" s="7" t="s">
        <v>22880</v>
      </c>
      <c r="G10" s="7" t="s">
        <v>18</v>
      </c>
      <c r="H10" s="7" t="s">
        <v>14</v>
      </c>
      <c r="I10" s="7" t="s">
        <v>22881</v>
      </c>
      <c r="J10" s="7" t="s">
        <v>22882</v>
      </c>
      <c r="K10" s="7" t="s">
        <v>22883</v>
      </c>
      <c r="L10" s="7" t="s">
        <v>13</v>
      </c>
      <c r="M10" s="10" t="s">
        <v>3</v>
      </c>
      <c r="N10" s="10" t="s">
        <v>4</v>
      </c>
      <c r="O10" s="10" t="s">
        <v>32</v>
      </c>
    </row>
    <row r="11" spans="1:15" ht="11.45" customHeight="1" x14ac:dyDescent="0.2">
      <c r="A11" s="80" t="s">
        <v>33</v>
      </c>
      <c r="B11" s="128"/>
      <c r="C11" s="81"/>
      <c r="D11" s="129"/>
      <c r="E11" s="130"/>
      <c r="F11" s="130"/>
      <c r="G11" s="130"/>
      <c r="H11" s="130"/>
      <c r="I11" s="130"/>
      <c r="J11" s="130"/>
      <c r="K11" s="130"/>
      <c r="L11" s="131"/>
      <c r="M11" s="130"/>
      <c r="N11" s="130"/>
      <c r="O11" s="130"/>
    </row>
    <row r="12" spans="1:15" ht="11.45" customHeight="1" outlineLevel="1" x14ac:dyDescent="0.2">
      <c r="A12" s="78" t="s">
        <v>34</v>
      </c>
      <c r="B12" s="132"/>
      <c r="C12" s="79"/>
      <c r="D12" s="133"/>
      <c r="E12" s="134"/>
      <c r="F12" s="134"/>
      <c r="G12" s="134"/>
      <c r="H12" s="134"/>
      <c r="I12" s="134"/>
      <c r="J12" s="134"/>
      <c r="K12" s="134"/>
      <c r="L12" s="135"/>
      <c r="M12" s="134"/>
      <c r="N12" s="134"/>
      <c r="O12" s="134"/>
    </row>
    <row r="13" spans="1:15" ht="11.45" customHeight="1" outlineLevel="2" x14ac:dyDescent="0.2">
      <c r="A13" s="76" t="s">
        <v>35</v>
      </c>
      <c r="B13" s="136"/>
      <c r="C13" s="77"/>
      <c r="D13" s="137"/>
      <c r="E13" s="4"/>
      <c r="F13" s="4"/>
      <c r="G13" s="4"/>
      <c r="H13" s="4"/>
      <c r="I13" s="4"/>
      <c r="J13" s="4"/>
      <c r="K13" s="4"/>
      <c r="L13" s="138"/>
      <c r="M13" s="4"/>
      <c r="N13" s="4"/>
      <c r="O13" s="4"/>
    </row>
    <row r="14" spans="1:15" ht="11.45" customHeight="1" outlineLevel="3" x14ac:dyDescent="0.2">
      <c r="A14" s="76" t="s">
        <v>36</v>
      </c>
      <c r="B14" s="136"/>
      <c r="C14" s="77"/>
      <c r="D14" s="137"/>
      <c r="E14" s="4"/>
      <c r="F14" s="4"/>
      <c r="G14" s="4"/>
      <c r="H14" s="4"/>
      <c r="I14" s="4"/>
      <c r="J14" s="4"/>
      <c r="K14" s="4"/>
      <c r="L14" s="138"/>
      <c r="M14" s="4"/>
      <c r="N14" s="4"/>
      <c r="O14" s="4"/>
    </row>
    <row r="15" spans="1:15" s="1" customFormat="1" ht="11.45" customHeight="1" outlineLevel="4" x14ac:dyDescent="0.2">
      <c r="A15" s="32" t="s">
        <v>37</v>
      </c>
      <c r="B15" s="74" t="s">
        <v>38</v>
      </c>
      <c r="C15" s="50"/>
      <c r="D15" s="139">
        <f t="shared" ref="D15:D78" si="0">C15*E15</f>
        <v>0</v>
      </c>
      <c r="E15" s="140">
        <v>69.56</v>
      </c>
      <c r="F15" s="140">
        <v>57.02</v>
      </c>
      <c r="G15" s="34" t="s">
        <v>100</v>
      </c>
      <c r="H15" s="34" t="s">
        <v>39</v>
      </c>
      <c r="I15" s="35">
        <v>1</v>
      </c>
      <c r="J15" s="35">
        <v>1</v>
      </c>
      <c r="K15" s="35">
        <v>168</v>
      </c>
      <c r="L15" s="60" t="str">
        <f>HYPERLINK("https://www.sds-group.ru/product/vyklyuchatel-dvuhklavishnyy-romashka-s-u-zheltyy-belyy-kranz-KR-78-0621/", "Инфо")</f>
        <v>Инфо</v>
      </c>
      <c r="M15" s="37">
        <v>9.4E-2</v>
      </c>
      <c r="N15" s="38">
        <v>7.6099999999999996E-4</v>
      </c>
      <c r="O15" s="141">
        <v>4601004222694</v>
      </c>
    </row>
    <row r="16" spans="1:15" s="1" customFormat="1" ht="11.45" customHeight="1" outlineLevel="4" x14ac:dyDescent="0.2">
      <c r="A16" s="32" t="s">
        <v>41</v>
      </c>
      <c r="B16" s="74" t="s">
        <v>42</v>
      </c>
      <c r="C16" s="50"/>
      <c r="D16" s="139">
        <f t="shared" si="0"/>
        <v>0</v>
      </c>
      <c r="E16" s="140">
        <v>66.09</v>
      </c>
      <c r="F16" s="140">
        <v>54.17</v>
      </c>
      <c r="G16" s="34" t="s">
        <v>100</v>
      </c>
      <c r="H16" s="34" t="s">
        <v>39</v>
      </c>
      <c r="I16" s="35">
        <v>1</v>
      </c>
      <c r="J16" s="35">
        <v>1</v>
      </c>
      <c r="K16" s="35">
        <v>168</v>
      </c>
      <c r="L16" s="60" t="str">
        <f>HYPERLINK("https://www.sds-group.ru/product/vyklyuchatel-dvuhklavishnyy-solntse-s-u-zheltyy-kranz-KR-78-0618/", "Инфо")</f>
        <v>Инфо</v>
      </c>
      <c r="M16" s="37">
        <v>0.09</v>
      </c>
      <c r="N16" s="38">
        <v>7.5799999999999999E-4</v>
      </c>
      <c r="O16" s="141">
        <v>4601004222632</v>
      </c>
    </row>
    <row r="17" spans="1:15" s="1" customFormat="1" ht="11.45" customHeight="1" outlineLevel="4" x14ac:dyDescent="0.2">
      <c r="A17" s="32" t="s">
        <v>43</v>
      </c>
      <c r="B17" s="74" t="s">
        <v>44</v>
      </c>
      <c r="C17" s="50"/>
      <c r="D17" s="139">
        <f t="shared" si="0"/>
        <v>0</v>
      </c>
      <c r="E17" s="140">
        <v>67.22</v>
      </c>
      <c r="F17" s="140">
        <v>55.1</v>
      </c>
      <c r="G17" s="34" t="s">
        <v>100</v>
      </c>
      <c r="H17" s="34" t="s">
        <v>39</v>
      </c>
      <c r="I17" s="35">
        <v>1</v>
      </c>
      <c r="J17" s="35">
        <v>1</v>
      </c>
      <c r="K17" s="35">
        <v>168</v>
      </c>
      <c r="L17" s="60" t="str">
        <f>HYPERLINK("https://www.sds-group.ru/product/vyklyuchatel-dvuhklavishnyy-tsvetok-s-u-belyy-goluboy-kranz-KR-78-0627/", "Инфо")</f>
        <v>Инфо</v>
      </c>
      <c r="M17" s="37">
        <v>9.6000000000000002E-2</v>
      </c>
      <c r="N17" s="38">
        <v>7.9199999999999995E-4</v>
      </c>
      <c r="O17" s="141">
        <v>4601004222816</v>
      </c>
    </row>
    <row r="18" spans="1:15" s="1" customFormat="1" ht="11.45" customHeight="1" outlineLevel="4" x14ac:dyDescent="0.2">
      <c r="A18" s="32" t="s">
        <v>45</v>
      </c>
      <c r="B18" s="74" t="s">
        <v>46</v>
      </c>
      <c r="C18" s="50"/>
      <c r="D18" s="139">
        <f t="shared" si="0"/>
        <v>0</v>
      </c>
      <c r="E18" s="140">
        <v>67.5</v>
      </c>
      <c r="F18" s="140">
        <v>55.33</v>
      </c>
      <c r="G18" s="34" t="s">
        <v>100</v>
      </c>
      <c r="H18" s="34" t="s">
        <v>39</v>
      </c>
      <c r="I18" s="35">
        <v>1</v>
      </c>
      <c r="J18" s="35">
        <v>1</v>
      </c>
      <c r="K18" s="35">
        <v>168</v>
      </c>
      <c r="L18" s="60" t="str">
        <f>HYPERLINK("https://www.sds-group.ru/product/vyklyuchatel-dvuhklavishnyy-tsvetok-s-u-belyy-rozovyy-kranz-KR-78-0624/", "Инфо")</f>
        <v>Инфо</v>
      </c>
      <c r="M18" s="37">
        <v>9.5000000000000001E-2</v>
      </c>
      <c r="N18" s="38">
        <v>7.5600000000000005E-4</v>
      </c>
      <c r="O18" s="141">
        <v>4601004222755</v>
      </c>
    </row>
    <row r="19" spans="1:15" s="1" customFormat="1" ht="11.45" customHeight="1" outlineLevel="4" x14ac:dyDescent="0.2">
      <c r="A19" s="32" t="s">
        <v>47</v>
      </c>
      <c r="B19" s="74" t="s">
        <v>48</v>
      </c>
      <c r="C19" s="50"/>
      <c r="D19" s="139">
        <f t="shared" si="0"/>
        <v>0</v>
      </c>
      <c r="E19" s="140">
        <v>69.03</v>
      </c>
      <c r="F19" s="140">
        <v>56.58</v>
      </c>
      <c r="G19" s="34" t="s">
        <v>100</v>
      </c>
      <c r="H19" s="34" t="s">
        <v>39</v>
      </c>
      <c r="I19" s="35">
        <v>1</v>
      </c>
      <c r="J19" s="35">
        <v>1</v>
      </c>
      <c r="K19" s="35">
        <v>168</v>
      </c>
      <c r="L19" s="60" t="str">
        <f>HYPERLINK("https://www.sds-group.ru/product/vyklyuchatel-dvuhklavishnyy-yaichnitsa-s-u-zheltyy-belyy-kranz-KR-78-0630/", "Инфо")</f>
        <v>Инфо</v>
      </c>
      <c r="M19" s="37">
        <v>9.2999999999999999E-2</v>
      </c>
      <c r="N19" s="38">
        <v>7.5900000000000002E-4</v>
      </c>
      <c r="O19" s="141">
        <v>4601004222878</v>
      </c>
    </row>
    <row r="20" spans="1:15" s="1" customFormat="1" ht="11.45" customHeight="1" outlineLevel="4" x14ac:dyDescent="0.2">
      <c r="A20" s="32" t="s">
        <v>49</v>
      </c>
      <c r="B20" s="74" t="s">
        <v>50</v>
      </c>
      <c r="C20" s="50"/>
      <c r="D20" s="139">
        <f t="shared" si="0"/>
        <v>0</v>
      </c>
      <c r="E20" s="140">
        <v>46.46</v>
      </c>
      <c r="F20" s="140">
        <v>38.08</v>
      </c>
      <c r="G20" s="34" t="s">
        <v>100</v>
      </c>
      <c r="H20" s="34" t="s">
        <v>39</v>
      </c>
      <c r="I20" s="35">
        <v>1</v>
      </c>
      <c r="J20" s="35">
        <v>1</v>
      </c>
      <c r="K20" s="35">
        <v>168</v>
      </c>
      <c r="L20" s="60" t="str">
        <f>HYPERLINK("https://www.sds-group.ru/product/vyklyuchatel-odnoklavishnyy-romashka-s-u-zheltyy-belyy-kranz-KR-78-0620/", "Инфо")</f>
        <v>Инфо</v>
      </c>
      <c r="M20" s="37">
        <v>0.09</v>
      </c>
      <c r="N20" s="38">
        <v>7.7700000000000002E-4</v>
      </c>
      <c r="O20" s="141">
        <v>4601004222670</v>
      </c>
    </row>
    <row r="21" spans="1:15" s="1" customFormat="1" ht="11.45" customHeight="1" outlineLevel="4" x14ac:dyDescent="0.2">
      <c r="A21" s="32" t="s">
        <v>51</v>
      </c>
      <c r="B21" s="74" t="s">
        <v>52</v>
      </c>
      <c r="C21" s="50"/>
      <c r="D21" s="139">
        <f t="shared" si="0"/>
        <v>0</v>
      </c>
      <c r="E21" s="140">
        <v>48.15</v>
      </c>
      <c r="F21" s="140">
        <v>39.47</v>
      </c>
      <c r="G21" s="34" t="s">
        <v>100</v>
      </c>
      <c r="H21" s="34" t="s">
        <v>39</v>
      </c>
      <c r="I21" s="35">
        <v>1</v>
      </c>
      <c r="J21" s="35">
        <v>1</v>
      </c>
      <c r="K21" s="35">
        <v>168</v>
      </c>
      <c r="L21" s="60" t="str">
        <f>HYPERLINK("https://www.sds-group.ru/product/vyklyuchatel-odnoklavishnyy-solntse-s-u-zheltyy-kranz-KR-78-0617/", "Инфо")</f>
        <v>Инфо</v>
      </c>
      <c r="M21" s="37">
        <v>8.5999999999999993E-2</v>
      </c>
      <c r="N21" s="38">
        <v>7.7499999999999997E-4</v>
      </c>
      <c r="O21" s="141">
        <v>4601004222618</v>
      </c>
    </row>
    <row r="22" spans="1:15" s="1" customFormat="1" ht="11.45" customHeight="1" outlineLevel="4" x14ac:dyDescent="0.2">
      <c r="A22" s="32" t="s">
        <v>53</v>
      </c>
      <c r="B22" s="74" t="s">
        <v>54</v>
      </c>
      <c r="C22" s="50"/>
      <c r="D22" s="139">
        <f t="shared" si="0"/>
        <v>0</v>
      </c>
      <c r="E22" s="140">
        <v>59.5</v>
      </c>
      <c r="F22" s="140">
        <v>48.77</v>
      </c>
      <c r="G22" s="34" t="s">
        <v>100</v>
      </c>
      <c r="H22" s="34" t="s">
        <v>39</v>
      </c>
      <c r="I22" s="35">
        <v>1</v>
      </c>
      <c r="J22" s="35">
        <v>1</v>
      </c>
      <c r="K22" s="35">
        <v>168</v>
      </c>
      <c r="L22" s="60" t="str">
        <f>HYPERLINK("https://www.sds-group.ru/product/vyklyuchatel-odnoklavishnyy-tsvetok-s-u-belyy-goluboy-kranz-KR-78-0626/", "Инфо")</f>
        <v>Инфо</v>
      </c>
      <c r="M22" s="37">
        <v>9.0999999999999998E-2</v>
      </c>
      <c r="N22" s="38">
        <v>7.4299999999999995E-4</v>
      </c>
      <c r="O22" s="141">
        <v>4601004222793</v>
      </c>
    </row>
    <row r="23" spans="1:15" s="1" customFormat="1" ht="11.45" customHeight="1" outlineLevel="4" x14ac:dyDescent="0.2">
      <c r="A23" s="32" t="s">
        <v>55</v>
      </c>
      <c r="B23" s="74" t="s">
        <v>56</v>
      </c>
      <c r="C23" s="50"/>
      <c r="D23" s="139">
        <f t="shared" si="0"/>
        <v>0</v>
      </c>
      <c r="E23" s="140">
        <v>46.44</v>
      </c>
      <c r="F23" s="140">
        <v>38.07</v>
      </c>
      <c r="G23" s="34" t="s">
        <v>100</v>
      </c>
      <c r="H23" s="34" t="s">
        <v>39</v>
      </c>
      <c r="I23" s="35">
        <v>1</v>
      </c>
      <c r="J23" s="35">
        <v>1</v>
      </c>
      <c r="K23" s="35">
        <v>168</v>
      </c>
      <c r="L23" s="60" t="str">
        <f>HYPERLINK("https://www.sds-group.ru/product/vyklyuchatel-odnoklavishnyy-yaichnitsa-s-u-zheltyy-belyy-kranz-KR-78-0629/", "Инфо")</f>
        <v>Инфо</v>
      </c>
      <c r="M23" s="37">
        <v>9.0999999999999998E-2</v>
      </c>
      <c r="N23" s="38">
        <v>7.6599999999999997E-4</v>
      </c>
      <c r="O23" s="141">
        <v>4601004222854</v>
      </c>
    </row>
    <row r="24" spans="1:15" s="1" customFormat="1" ht="11.45" customHeight="1" outlineLevel="4" x14ac:dyDescent="0.2">
      <c r="A24" s="32" t="s">
        <v>57</v>
      </c>
      <c r="B24" s="74" t="s">
        <v>58</v>
      </c>
      <c r="C24" s="50"/>
      <c r="D24" s="139">
        <f t="shared" si="0"/>
        <v>0</v>
      </c>
      <c r="E24" s="140">
        <v>95.99</v>
      </c>
      <c r="F24" s="140">
        <v>78.680000000000007</v>
      </c>
      <c r="G24" s="34" t="s">
        <v>100</v>
      </c>
      <c r="H24" s="34" t="s">
        <v>39</v>
      </c>
      <c r="I24" s="35">
        <v>1</v>
      </c>
      <c r="J24" s="35">
        <v>1</v>
      </c>
      <c r="K24" s="35">
        <v>168</v>
      </c>
      <c r="L24" s="60" t="str">
        <f>HYPERLINK("https://www.sds-group.ru/product/rozetka-dvoynaya-yaichnitsa-s-u-s-z-so-shtorkami-zheltaya-belaya-kranz-KR-78-0632/", "Инфо")</f>
        <v>Инфо</v>
      </c>
      <c r="M24" s="37">
        <v>0.11700000000000001</v>
      </c>
      <c r="N24" s="38">
        <v>7.6800000000000002E-4</v>
      </c>
      <c r="O24" s="141">
        <v>4601004222915</v>
      </c>
    </row>
    <row r="25" spans="1:15" s="1" customFormat="1" ht="11.45" customHeight="1" outlineLevel="4" x14ac:dyDescent="0.2">
      <c r="A25" s="32" t="s">
        <v>59</v>
      </c>
      <c r="B25" s="74" t="s">
        <v>60</v>
      </c>
      <c r="C25" s="50"/>
      <c r="D25" s="139">
        <f t="shared" si="0"/>
        <v>0</v>
      </c>
      <c r="E25" s="140">
        <v>68.19</v>
      </c>
      <c r="F25" s="140">
        <v>55.89</v>
      </c>
      <c r="G25" s="34" t="s">
        <v>100</v>
      </c>
      <c r="H25" s="34" t="s">
        <v>39</v>
      </c>
      <c r="I25" s="35">
        <v>1</v>
      </c>
      <c r="J25" s="35">
        <v>1</v>
      </c>
      <c r="K25" s="35">
        <v>168</v>
      </c>
      <c r="L25" s="60" t="str">
        <f>HYPERLINK("https://www.sds-group.ru/product/rozetka-odnomestnaya-solntse-s-u-s-z-so-shtorkami-zheltaya-kranz-KR-78-0813/", "Инфо")</f>
        <v>Инфо</v>
      </c>
      <c r="M25" s="37">
        <v>8.6999999999999994E-2</v>
      </c>
      <c r="N25" s="38">
        <v>6.8300000000000001E-4</v>
      </c>
      <c r="O25" s="141">
        <v>4601004236509</v>
      </c>
    </row>
    <row r="26" spans="1:15" s="1" customFormat="1" ht="11.45" customHeight="1" outlineLevel="4" x14ac:dyDescent="0.2">
      <c r="A26" s="32" t="s">
        <v>61</v>
      </c>
      <c r="B26" s="74" t="s">
        <v>62</v>
      </c>
      <c r="C26" s="50"/>
      <c r="D26" s="139">
        <f t="shared" si="0"/>
        <v>0</v>
      </c>
      <c r="E26" s="140">
        <v>68.52</v>
      </c>
      <c r="F26" s="140">
        <v>56.16</v>
      </c>
      <c r="G26" s="34" t="s">
        <v>100</v>
      </c>
      <c r="H26" s="34" t="s">
        <v>39</v>
      </c>
      <c r="I26" s="35">
        <v>1</v>
      </c>
      <c r="J26" s="35">
        <v>1</v>
      </c>
      <c r="K26" s="35">
        <v>168</v>
      </c>
      <c r="L26" s="60" t="str">
        <f>HYPERLINK("https://www.sds-group.ru/product/rozetka-odnomestnaya-tsvetok-s-u-s-z-so-shtorkami-belaya-golubaya-kranz-KR-78-0628/", "Инфо")</f>
        <v>Инфо</v>
      </c>
      <c r="M26" s="37">
        <v>9.0999999999999998E-2</v>
      </c>
      <c r="N26" s="38">
        <v>7.6400000000000003E-4</v>
      </c>
      <c r="O26" s="141">
        <v>4601004222830</v>
      </c>
    </row>
    <row r="27" spans="1:15" s="1" customFormat="1" ht="11.45" customHeight="1" outlineLevel="4" x14ac:dyDescent="0.2">
      <c r="A27" s="32" t="s">
        <v>63</v>
      </c>
      <c r="B27" s="74" t="s">
        <v>64</v>
      </c>
      <c r="C27" s="50"/>
      <c r="D27" s="139">
        <f t="shared" si="0"/>
        <v>0</v>
      </c>
      <c r="E27" s="140">
        <v>68.540000000000006</v>
      </c>
      <c r="F27" s="140">
        <v>56.18</v>
      </c>
      <c r="G27" s="34" t="s">
        <v>100</v>
      </c>
      <c r="H27" s="34" t="s">
        <v>39</v>
      </c>
      <c r="I27" s="35">
        <v>1</v>
      </c>
      <c r="J27" s="35">
        <v>1</v>
      </c>
      <c r="K27" s="35">
        <v>168</v>
      </c>
      <c r="L27" s="60" t="str">
        <f>HYPERLINK("https://www.sds-group.ru/product/rozetka-odnomestnaya-tsvetok-s-u-s-z-so-shtorkami-belaya-rozovaya-kranz-KR-78-0625/", "Инфо")</f>
        <v>Инфо</v>
      </c>
      <c r="M27" s="37">
        <v>9.0999999999999998E-2</v>
      </c>
      <c r="N27" s="38">
        <v>7.6900000000000004E-4</v>
      </c>
      <c r="O27" s="141">
        <v>4601004222779</v>
      </c>
    </row>
    <row r="28" spans="1:15" ht="11.45" customHeight="1" outlineLevel="3" x14ac:dyDescent="0.2">
      <c r="A28" s="76" t="s">
        <v>65</v>
      </c>
      <c r="B28" s="136"/>
      <c r="C28" s="77"/>
      <c r="D28" s="137"/>
      <c r="E28" s="4"/>
      <c r="F28" s="4"/>
      <c r="G28" s="4"/>
      <c r="H28" s="4"/>
      <c r="I28" s="4"/>
      <c r="J28" s="4"/>
      <c r="K28" s="4"/>
      <c r="L28" s="138"/>
      <c r="M28" s="4"/>
      <c r="N28" s="4"/>
      <c r="O28" s="4"/>
    </row>
    <row r="29" spans="1:15" s="1" customFormat="1" ht="11.45" customHeight="1" outlineLevel="4" x14ac:dyDescent="0.2">
      <c r="A29" s="32" t="s">
        <v>66</v>
      </c>
      <c r="B29" s="74" t="s">
        <v>67</v>
      </c>
      <c r="C29" s="50"/>
      <c r="D29" s="139">
        <f t="shared" si="0"/>
        <v>0</v>
      </c>
      <c r="E29" s="140">
        <v>25.03</v>
      </c>
      <c r="F29" s="140">
        <v>20.52</v>
      </c>
      <c r="G29" s="34" t="s">
        <v>100</v>
      </c>
      <c r="H29" s="34" t="s">
        <v>39</v>
      </c>
      <c r="I29" s="35">
        <v>1</v>
      </c>
      <c r="J29" s="35">
        <v>1</v>
      </c>
      <c r="K29" s="35">
        <v>120</v>
      </c>
      <c r="L29" s="60" t="str">
        <f>HYPERLINK("https://www.sds-group.ru/product/vyklyuchatel-pereklyuchatel-1kl-perekrest-s-u-10a-meh-bezhevyy-kranz-KR-78-0238/", "Инфо")</f>
        <v>Инфо</v>
      </c>
      <c r="M29" s="37">
        <v>8.6999999999999994E-2</v>
      </c>
      <c r="N29" s="38">
        <v>4.1100000000000002E-4</v>
      </c>
      <c r="O29" s="141">
        <v>4601004263437</v>
      </c>
    </row>
    <row r="30" spans="1:15" s="1" customFormat="1" ht="11.45" customHeight="1" outlineLevel="4" x14ac:dyDescent="0.2">
      <c r="A30" s="32" t="s">
        <v>68</v>
      </c>
      <c r="B30" s="74" t="s">
        <v>69</v>
      </c>
      <c r="C30" s="50"/>
      <c r="D30" s="139">
        <f t="shared" si="0"/>
        <v>0</v>
      </c>
      <c r="E30" s="140">
        <v>25.03</v>
      </c>
      <c r="F30" s="140">
        <v>20.52</v>
      </c>
      <c r="G30" s="34" t="s">
        <v>100</v>
      </c>
      <c r="H30" s="34" t="s">
        <v>39</v>
      </c>
      <c r="I30" s="35">
        <v>1</v>
      </c>
      <c r="J30" s="35">
        <v>1</v>
      </c>
      <c r="K30" s="35">
        <v>120</v>
      </c>
      <c r="L30" s="60" t="str">
        <f>HYPERLINK("https://www.sds-group.ru/product/vyklyuchatel-pereklyuchatel-1kl-perekrest-s-u-10a-meh-belyy-kranz-KR-78-0208/", "Инфо")</f>
        <v>Инфо</v>
      </c>
      <c r="M30" s="37">
        <v>8.6999999999999994E-2</v>
      </c>
      <c r="N30" s="38">
        <v>4.1100000000000002E-4</v>
      </c>
      <c r="O30" s="141">
        <v>4601004263130</v>
      </c>
    </row>
    <row r="31" spans="1:15" s="1" customFormat="1" ht="11.45" customHeight="1" outlineLevel="4" x14ac:dyDescent="0.2">
      <c r="A31" s="32" t="s">
        <v>70</v>
      </c>
      <c r="B31" s="74" t="s">
        <v>71</v>
      </c>
      <c r="C31" s="50"/>
      <c r="D31" s="139">
        <f t="shared" si="0"/>
        <v>0</v>
      </c>
      <c r="E31" s="140">
        <v>13.23</v>
      </c>
      <c r="F31" s="140">
        <v>10.84</v>
      </c>
      <c r="G31" s="34" t="s">
        <v>100</v>
      </c>
      <c r="H31" s="34" t="s">
        <v>39</v>
      </c>
      <c r="I31" s="35">
        <v>1</v>
      </c>
      <c r="J31" s="35">
        <v>1</v>
      </c>
      <c r="K31" s="35">
        <v>120</v>
      </c>
      <c r="L31" s="60" t="str">
        <f>HYPERLINK("https://www.sds-group.ru/product/vyklyuchatel-pereklyuchatel-1kl-proh-ind-s-u-10a-meh-bezhevyy-kranz-KR-78-0236/", "Инфо")</f>
        <v>Инфо</v>
      </c>
      <c r="M31" s="37">
        <v>8.5999999999999993E-2</v>
      </c>
      <c r="N31" s="38">
        <v>4.0700000000000003E-4</v>
      </c>
      <c r="O31" s="141">
        <v>4601004263413</v>
      </c>
    </row>
    <row r="32" spans="1:15" s="1" customFormat="1" ht="11.45" customHeight="1" outlineLevel="4" x14ac:dyDescent="0.2">
      <c r="A32" s="32" t="s">
        <v>72</v>
      </c>
      <c r="B32" s="74" t="s">
        <v>73</v>
      </c>
      <c r="C32" s="50"/>
      <c r="D32" s="139">
        <f t="shared" si="0"/>
        <v>0</v>
      </c>
      <c r="E32" s="140">
        <v>13.23</v>
      </c>
      <c r="F32" s="140">
        <v>10.84</v>
      </c>
      <c r="G32" s="34" t="s">
        <v>100</v>
      </c>
      <c r="H32" s="34" t="s">
        <v>39</v>
      </c>
      <c r="I32" s="35">
        <v>1</v>
      </c>
      <c r="J32" s="35">
        <v>1</v>
      </c>
      <c r="K32" s="35">
        <v>120</v>
      </c>
      <c r="L32" s="60" t="str">
        <f>HYPERLINK("https://www.sds-group.ru/product/vyklyuchatel-pereklyuchatel-1kl-proh-ind-s-u-10a-meh-belyy-kranz-KR-78-0206/", "Инфо")</f>
        <v>Инфо</v>
      </c>
      <c r="M32" s="37">
        <v>8.5999999999999993E-2</v>
      </c>
      <c r="N32" s="38">
        <v>4.1100000000000002E-4</v>
      </c>
      <c r="O32" s="141">
        <v>4601004263116</v>
      </c>
    </row>
    <row r="33" spans="1:15" s="1" customFormat="1" ht="11.45" customHeight="1" outlineLevel="4" x14ac:dyDescent="0.2">
      <c r="A33" s="32" t="s">
        <v>74</v>
      </c>
      <c r="B33" s="74" t="s">
        <v>75</v>
      </c>
      <c r="C33" s="50"/>
      <c r="D33" s="139">
        <f t="shared" si="0"/>
        <v>0</v>
      </c>
      <c r="E33" s="140">
        <v>12.51</v>
      </c>
      <c r="F33" s="140">
        <v>10.25</v>
      </c>
      <c r="G33" s="34" t="s">
        <v>100</v>
      </c>
      <c r="H33" s="34" t="s">
        <v>39</v>
      </c>
      <c r="I33" s="35">
        <v>1</v>
      </c>
      <c r="J33" s="35">
        <v>1</v>
      </c>
      <c r="K33" s="35">
        <v>120</v>
      </c>
      <c r="L33" s="60" t="str">
        <f>HYPERLINK("https://www.sds-group.ru/product/vyklyuchatel-pereklyuchatel-1kl-proh-s-u-10a-meh-bezhevyy-kranz-KR-78-0235/", "Инфо")</f>
        <v>Инфо</v>
      </c>
      <c r="M33" s="37">
        <v>7.5999999999999998E-2</v>
      </c>
      <c r="N33" s="38">
        <v>3.4299999999999999E-4</v>
      </c>
      <c r="O33" s="141">
        <v>4601004263406</v>
      </c>
    </row>
    <row r="34" spans="1:15" s="1" customFormat="1" ht="11.45" customHeight="1" outlineLevel="4" x14ac:dyDescent="0.2">
      <c r="A34" s="32" t="s">
        <v>76</v>
      </c>
      <c r="B34" s="74" t="s">
        <v>77</v>
      </c>
      <c r="C34" s="50"/>
      <c r="D34" s="139">
        <f t="shared" si="0"/>
        <v>0</v>
      </c>
      <c r="E34" s="140">
        <v>14.02</v>
      </c>
      <c r="F34" s="140">
        <v>11.49</v>
      </c>
      <c r="G34" s="34" t="s">
        <v>100</v>
      </c>
      <c r="H34" s="34" t="s">
        <v>39</v>
      </c>
      <c r="I34" s="35">
        <v>1</v>
      </c>
      <c r="J34" s="35">
        <v>1</v>
      </c>
      <c r="K34" s="35">
        <v>120</v>
      </c>
      <c r="L34" s="60" t="str">
        <f>HYPERLINK("https://www.sds-group.ru/product/vyklyuchatel-pereklyuchatel-2kl-proh-s-u-10a-meh-belyy-kranz-KR-78-0207/", "Инфо")</f>
        <v>Инфо</v>
      </c>
      <c r="M34" s="37">
        <v>9.1999999999999998E-2</v>
      </c>
      <c r="N34" s="38">
        <v>4.15E-4</v>
      </c>
      <c r="O34" s="141">
        <v>4601004263123</v>
      </c>
    </row>
    <row r="35" spans="1:15" s="1" customFormat="1" ht="11.45" customHeight="1" outlineLevel="4" x14ac:dyDescent="0.2">
      <c r="A35" s="32" t="s">
        <v>78</v>
      </c>
      <c r="B35" s="74" t="s">
        <v>79</v>
      </c>
      <c r="C35" s="50"/>
      <c r="D35" s="139">
        <f t="shared" si="0"/>
        <v>0</v>
      </c>
      <c r="E35" s="140">
        <v>10.73</v>
      </c>
      <c r="F35" s="140">
        <v>8.8000000000000007</v>
      </c>
      <c r="G35" s="34" t="s">
        <v>100</v>
      </c>
      <c r="H35" s="34" t="s">
        <v>39</v>
      </c>
      <c r="I35" s="35">
        <v>1</v>
      </c>
      <c r="J35" s="35">
        <v>1</v>
      </c>
      <c r="K35" s="35">
        <v>120</v>
      </c>
      <c r="L35" s="60" t="str">
        <f>HYPERLINK("https://www.sds-group.ru/product/vyklyuchatel-1kl-ind-s-u-10a-meh-bezh-kranz-KR-78-0231/", "Инфо")</f>
        <v>Инфо</v>
      </c>
      <c r="M35" s="37">
        <v>8.2000000000000003E-2</v>
      </c>
      <c r="N35" s="38">
        <v>4.1399999999999998E-4</v>
      </c>
      <c r="O35" s="141">
        <v>4601004263369</v>
      </c>
    </row>
    <row r="36" spans="1:15" s="1" customFormat="1" ht="11.45" customHeight="1" outlineLevel="4" x14ac:dyDescent="0.2">
      <c r="A36" s="32" t="s">
        <v>80</v>
      </c>
      <c r="B36" s="74" t="s">
        <v>81</v>
      </c>
      <c r="C36" s="50"/>
      <c r="D36" s="139">
        <f t="shared" si="0"/>
        <v>0</v>
      </c>
      <c r="E36" s="140">
        <v>11.37</v>
      </c>
      <c r="F36" s="140">
        <v>9.32</v>
      </c>
      <c r="G36" s="34" t="s">
        <v>100</v>
      </c>
      <c r="H36" s="34" t="s">
        <v>39</v>
      </c>
      <c r="I36" s="35">
        <v>1</v>
      </c>
      <c r="J36" s="35">
        <v>1</v>
      </c>
      <c r="K36" s="35">
        <v>120</v>
      </c>
      <c r="L36" s="60" t="str">
        <f>HYPERLINK("https://www.sds-group.ru/product/vyklyuchatel-1kl-ind-s-u-10a-meh-bel-kranz-KR-78-0201/", "Инфо")</f>
        <v>Инфо</v>
      </c>
      <c r="M36" s="37">
        <v>8.2000000000000003E-2</v>
      </c>
      <c r="N36" s="38">
        <v>4.1100000000000002E-4</v>
      </c>
      <c r="O36" s="141">
        <v>4601004263062</v>
      </c>
    </row>
    <row r="37" spans="1:15" s="1" customFormat="1" ht="11.45" customHeight="1" outlineLevel="4" x14ac:dyDescent="0.2">
      <c r="A37" s="32" t="s">
        <v>82</v>
      </c>
      <c r="B37" s="74" t="s">
        <v>83</v>
      </c>
      <c r="C37" s="50"/>
      <c r="D37" s="139">
        <f t="shared" si="0"/>
        <v>0</v>
      </c>
      <c r="E37" s="140">
        <v>8.94</v>
      </c>
      <c r="F37" s="140">
        <v>7.33</v>
      </c>
      <c r="G37" s="34" t="s">
        <v>100</v>
      </c>
      <c r="H37" s="34" t="s">
        <v>39</v>
      </c>
      <c r="I37" s="35">
        <v>1</v>
      </c>
      <c r="J37" s="35">
        <v>1</v>
      </c>
      <c r="K37" s="35">
        <v>120</v>
      </c>
      <c r="L37" s="60" t="str">
        <f>HYPERLINK("https://www.sds-group.ru/product/vyklyuchatel-1kl-s-u-10a-meh-bezh-kranz-KR-78-0230/", "Инфо")</f>
        <v>Инфо</v>
      </c>
      <c r="M37" s="37">
        <v>0.08</v>
      </c>
      <c r="N37" s="38">
        <v>4.1100000000000002E-4</v>
      </c>
      <c r="O37" s="141">
        <v>4601004263352</v>
      </c>
    </row>
    <row r="38" spans="1:15" s="1" customFormat="1" ht="11.45" customHeight="1" outlineLevel="4" x14ac:dyDescent="0.2">
      <c r="A38" s="32" t="s">
        <v>84</v>
      </c>
      <c r="B38" s="74" t="s">
        <v>85</v>
      </c>
      <c r="C38" s="50"/>
      <c r="D38" s="139">
        <f t="shared" si="0"/>
        <v>0</v>
      </c>
      <c r="E38" s="140">
        <v>8.94</v>
      </c>
      <c r="F38" s="140">
        <v>7.33</v>
      </c>
      <c r="G38" s="34" t="s">
        <v>100</v>
      </c>
      <c r="H38" s="34" t="s">
        <v>39</v>
      </c>
      <c r="I38" s="35">
        <v>1</v>
      </c>
      <c r="J38" s="35">
        <v>1</v>
      </c>
      <c r="K38" s="35">
        <v>120</v>
      </c>
      <c r="L38" s="60" t="str">
        <f>HYPERLINK("https://www.sds-group.ru/product/vyklyuchatel-1kl-s-u-10a-meh-bel-kranz-KR-78-0200/", "Инфо")</f>
        <v>Инфо</v>
      </c>
      <c r="M38" s="37">
        <v>0.08</v>
      </c>
      <c r="N38" s="38">
        <v>4.1399999999999998E-4</v>
      </c>
      <c r="O38" s="141">
        <v>4601004265158</v>
      </c>
    </row>
    <row r="39" spans="1:15" s="1" customFormat="1" ht="11.45" customHeight="1" outlineLevel="4" x14ac:dyDescent="0.2">
      <c r="A39" s="32" t="s">
        <v>86</v>
      </c>
      <c r="B39" s="74" t="s">
        <v>87</v>
      </c>
      <c r="C39" s="50"/>
      <c r="D39" s="139">
        <f t="shared" si="0"/>
        <v>0</v>
      </c>
      <c r="E39" s="140">
        <v>8.94</v>
      </c>
      <c r="F39" s="140">
        <v>7.33</v>
      </c>
      <c r="G39" s="34" t="s">
        <v>100</v>
      </c>
      <c r="H39" s="34" t="s">
        <v>39</v>
      </c>
      <c r="I39" s="35">
        <v>1</v>
      </c>
      <c r="J39" s="35">
        <v>1</v>
      </c>
      <c r="K39" s="35">
        <v>120</v>
      </c>
      <c r="L39" s="60" t="str">
        <f>HYPERLINK("https://www.sds-group.ru/product/vyklyuchatel-1kl-s-u-10a-meh-serebryanyy-metallik-kranz-KR-78-0260/", "Инфо")</f>
        <v>Инфо</v>
      </c>
      <c r="M39" s="37">
        <v>7.5999999999999998E-2</v>
      </c>
      <c r="N39" s="38">
        <v>3.3199999999999999E-4</v>
      </c>
      <c r="O39" s="141">
        <v>4601004263659</v>
      </c>
    </row>
    <row r="40" spans="1:15" s="1" customFormat="1" ht="11.45" customHeight="1" outlineLevel="4" x14ac:dyDescent="0.2">
      <c r="A40" s="32" t="s">
        <v>88</v>
      </c>
      <c r="B40" s="74" t="s">
        <v>89</v>
      </c>
      <c r="C40" s="50"/>
      <c r="D40" s="139">
        <f t="shared" si="0"/>
        <v>0</v>
      </c>
      <c r="E40" s="140">
        <v>8.94</v>
      </c>
      <c r="F40" s="140">
        <v>7.33</v>
      </c>
      <c r="G40" s="34" t="s">
        <v>100</v>
      </c>
      <c r="H40" s="34" t="s">
        <v>39</v>
      </c>
      <c r="I40" s="35">
        <v>1</v>
      </c>
      <c r="J40" s="35">
        <v>1</v>
      </c>
      <c r="K40" s="35">
        <v>120</v>
      </c>
      <c r="L40" s="60" t="str">
        <f>HYPERLINK("https://www.sds-group.ru/product/vyklyuchatel-1kl-s-u-10a-meh-chernyy-metallik-kranz-KR-78-0320/", "Инфо")</f>
        <v>Инфо</v>
      </c>
      <c r="M40" s="37">
        <v>0.08</v>
      </c>
      <c r="N40" s="38">
        <v>4.1399999999999998E-4</v>
      </c>
      <c r="O40" s="141">
        <v>4601004264250</v>
      </c>
    </row>
    <row r="41" spans="1:15" s="1" customFormat="1" ht="11.45" customHeight="1" outlineLevel="4" x14ac:dyDescent="0.2">
      <c r="A41" s="32" t="s">
        <v>90</v>
      </c>
      <c r="B41" s="74" t="s">
        <v>91</v>
      </c>
      <c r="C41" s="50"/>
      <c r="D41" s="139">
        <f t="shared" si="0"/>
        <v>0</v>
      </c>
      <c r="E41" s="140">
        <v>10.73</v>
      </c>
      <c r="F41" s="140">
        <v>8.8000000000000007</v>
      </c>
      <c r="G41" s="34" t="s">
        <v>100</v>
      </c>
      <c r="H41" s="34" t="s">
        <v>39</v>
      </c>
      <c r="I41" s="35">
        <v>1</v>
      </c>
      <c r="J41" s="35">
        <v>1</v>
      </c>
      <c r="K41" s="35">
        <v>120</v>
      </c>
      <c r="L41" s="60" t="str">
        <f>HYPERLINK("https://www.sds-group.ru/product/vyklyuchatel-2kl-ind-s-u-10a-meh-bezh-kranz-KR-78-0233/", "Инфо")</f>
        <v>Инфо</v>
      </c>
      <c r="M41" s="37">
        <v>8.1000000000000003E-2</v>
      </c>
      <c r="N41" s="38">
        <v>4.0900000000000002E-4</v>
      </c>
      <c r="O41" s="141">
        <v>4601004263383</v>
      </c>
    </row>
    <row r="42" spans="1:15" s="1" customFormat="1" ht="11.45" customHeight="1" outlineLevel="4" x14ac:dyDescent="0.2">
      <c r="A42" s="32" t="s">
        <v>92</v>
      </c>
      <c r="B42" s="74" t="s">
        <v>93</v>
      </c>
      <c r="C42" s="50"/>
      <c r="D42" s="139">
        <f t="shared" si="0"/>
        <v>0</v>
      </c>
      <c r="E42" s="140">
        <v>11.37</v>
      </c>
      <c r="F42" s="140">
        <v>9.32</v>
      </c>
      <c r="G42" s="34" t="s">
        <v>100</v>
      </c>
      <c r="H42" s="34" t="s">
        <v>39</v>
      </c>
      <c r="I42" s="35">
        <v>1</v>
      </c>
      <c r="J42" s="35">
        <v>1</v>
      </c>
      <c r="K42" s="35">
        <v>120</v>
      </c>
      <c r="L42" s="60" t="str">
        <f>HYPERLINK("https://www.sds-group.ru/product/vyklyuchatel-2kl-ind-s-u-10a-meh-bel-kranz-KR-78-0203/", "Инфо")</f>
        <v>Инфо</v>
      </c>
      <c r="M42" s="37">
        <v>8.5999999999999993E-2</v>
      </c>
      <c r="N42" s="38">
        <v>4.1399999999999998E-4</v>
      </c>
      <c r="O42" s="141">
        <v>4601004263086</v>
      </c>
    </row>
    <row r="43" spans="1:15" s="1" customFormat="1" ht="11.45" customHeight="1" outlineLevel="4" x14ac:dyDescent="0.2">
      <c r="A43" s="32" t="s">
        <v>94</v>
      </c>
      <c r="B43" s="74" t="s">
        <v>95</v>
      </c>
      <c r="C43" s="50"/>
      <c r="D43" s="139">
        <f t="shared" si="0"/>
        <v>0</v>
      </c>
      <c r="E43" s="140">
        <v>10.73</v>
      </c>
      <c r="F43" s="140">
        <v>8.8000000000000007</v>
      </c>
      <c r="G43" s="34" t="s">
        <v>100</v>
      </c>
      <c r="H43" s="34" t="s">
        <v>39</v>
      </c>
      <c r="I43" s="35">
        <v>1</v>
      </c>
      <c r="J43" s="35">
        <v>1</v>
      </c>
      <c r="K43" s="35">
        <v>120</v>
      </c>
      <c r="L43" s="60" t="str">
        <f>HYPERLINK("https://www.sds-group.ru/product/vyklyuchatel-2kl-s-u-10a-meh-bezh-kranz-KR-78-0232/", "Инфо")</f>
        <v>Инфо</v>
      </c>
      <c r="M43" s="37">
        <v>8.3000000000000004E-2</v>
      </c>
      <c r="N43" s="38">
        <v>4.1300000000000001E-4</v>
      </c>
      <c r="O43" s="141">
        <v>4601004263376</v>
      </c>
    </row>
    <row r="44" spans="1:15" s="1" customFormat="1" ht="11.45" customHeight="1" outlineLevel="4" x14ac:dyDescent="0.2">
      <c r="A44" s="32" t="s">
        <v>96</v>
      </c>
      <c r="B44" s="74" t="s">
        <v>97</v>
      </c>
      <c r="C44" s="50"/>
      <c r="D44" s="139">
        <f t="shared" si="0"/>
        <v>0</v>
      </c>
      <c r="E44" s="140">
        <v>17.88</v>
      </c>
      <c r="F44" s="140">
        <v>14.66</v>
      </c>
      <c r="G44" s="34" t="s">
        <v>100</v>
      </c>
      <c r="H44" s="34" t="s">
        <v>39</v>
      </c>
      <c r="I44" s="35">
        <v>1</v>
      </c>
      <c r="J44" s="35">
        <v>1</v>
      </c>
      <c r="K44" s="35">
        <v>120</v>
      </c>
      <c r="L44" s="60" t="str">
        <f>HYPERLINK("https://www.sds-group.ru/product/vyklyuchatel-3kl-s-u-10a-meh-bezh-kranz-KR-78-0234/", "Инфо")</f>
        <v>Инфо</v>
      </c>
      <c r="M44" s="37">
        <v>7.8E-2</v>
      </c>
      <c r="N44" s="38">
        <v>3.28E-4</v>
      </c>
      <c r="O44" s="141">
        <v>4601004263390</v>
      </c>
    </row>
    <row r="45" spans="1:15" s="1" customFormat="1" ht="11.45" customHeight="1" outlineLevel="4" x14ac:dyDescent="0.2">
      <c r="A45" s="32" t="s">
        <v>98</v>
      </c>
      <c r="B45" s="74" t="s">
        <v>99</v>
      </c>
      <c r="C45" s="50"/>
      <c r="D45" s="139">
        <f t="shared" si="0"/>
        <v>0</v>
      </c>
      <c r="E45" s="140">
        <v>18.95</v>
      </c>
      <c r="F45" s="140">
        <v>15.53</v>
      </c>
      <c r="G45" s="34" t="s">
        <v>100</v>
      </c>
      <c r="H45" s="34" t="s">
        <v>39</v>
      </c>
      <c r="I45" s="35">
        <v>1</v>
      </c>
      <c r="J45" s="35">
        <v>1</v>
      </c>
      <c r="K45" s="35">
        <v>120</v>
      </c>
      <c r="L45" s="60" t="str">
        <f>HYPERLINK("https://www.sds-group.ru/product/vyklyuchatel-3kl-s-u-10a-meh-bel-kranz-KR-78-0204/", "Инфо")</f>
        <v>Инфо</v>
      </c>
      <c r="M45" s="37">
        <v>7.8E-2</v>
      </c>
      <c r="N45" s="38">
        <v>3.3700000000000001E-4</v>
      </c>
      <c r="O45" s="141">
        <v>4601004263093</v>
      </c>
    </row>
    <row r="46" spans="1:15" s="1" customFormat="1" ht="11.45" customHeight="1" outlineLevel="4" x14ac:dyDescent="0.2">
      <c r="A46" s="32" t="s">
        <v>101</v>
      </c>
      <c r="B46" s="74" t="s">
        <v>102</v>
      </c>
      <c r="C46" s="50"/>
      <c r="D46" s="139">
        <f t="shared" si="0"/>
        <v>0</v>
      </c>
      <c r="E46" s="140">
        <v>17.88</v>
      </c>
      <c r="F46" s="140">
        <v>14.66</v>
      </c>
      <c r="G46" s="34" t="s">
        <v>100</v>
      </c>
      <c r="H46" s="34" t="s">
        <v>39</v>
      </c>
      <c r="I46" s="35">
        <v>1</v>
      </c>
      <c r="J46" s="35">
        <v>1</v>
      </c>
      <c r="K46" s="35">
        <v>120</v>
      </c>
      <c r="L46" s="60" t="str">
        <f>HYPERLINK("https://www.sds-group.ru/product/vyklyuchatel-dlya-zhalyuzi-2kl-s-u-10a-meh-bezh-kranz-KR-78-0239/", "Инфо")</f>
        <v>Инфо</v>
      </c>
      <c r="M46" s="37">
        <v>7.9000000000000001E-2</v>
      </c>
      <c r="N46" s="38">
        <v>3.4000000000000002E-4</v>
      </c>
      <c r="O46" s="141">
        <v>4601004263444</v>
      </c>
    </row>
    <row r="47" spans="1:15" s="1" customFormat="1" ht="11.45" customHeight="1" outlineLevel="4" x14ac:dyDescent="0.2">
      <c r="A47" s="32" t="s">
        <v>103</v>
      </c>
      <c r="B47" s="74" t="s">
        <v>104</v>
      </c>
      <c r="C47" s="50"/>
      <c r="D47" s="139">
        <f t="shared" si="0"/>
        <v>0</v>
      </c>
      <c r="E47" s="140">
        <v>18.95</v>
      </c>
      <c r="F47" s="140">
        <v>15.53</v>
      </c>
      <c r="G47" s="34" t="s">
        <v>100</v>
      </c>
      <c r="H47" s="34" t="s">
        <v>39</v>
      </c>
      <c r="I47" s="35">
        <v>1</v>
      </c>
      <c r="J47" s="35">
        <v>1</v>
      </c>
      <c r="K47" s="35">
        <v>120</v>
      </c>
      <c r="L47" s="60" t="str">
        <f>HYPERLINK("https://www.sds-group.ru/product/vyklyuchatel-dlya-zhalyuzi-2kl-s-u-10a-meh-bel-kranz-KR-78-0209/", "Инфо")</f>
        <v>Инфо</v>
      </c>
      <c r="M47" s="37">
        <v>7.9000000000000001E-2</v>
      </c>
      <c r="N47" s="38">
        <v>3.3599999999999998E-4</v>
      </c>
      <c r="O47" s="141">
        <v>4601004263147</v>
      </c>
    </row>
    <row r="48" spans="1:15" s="1" customFormat="1" ht="11.45" customHeight="1" outlineLevel="4" x14ac:dyDescent="0.2">
      <c r="A48" s="32" t="s">
        <v>105</v>
      </c>
      <c r="B48" s="74" t="s">
        <v>106</v>
      </c>
      <c r="C48" s="50"/>
      <c r="D48" s="139">
        <f t="shared" si="0"/>
        <v>0</v>
      </c>
      <c r="E48" s="140">
        <v>10.73</v>
      </c>
      <c r="F48" s="140">
        <v>8.8000000000000007</v>
      </c>
      <c r="G48" s="34" t="s">
        <v>100</v>
      </c>
      <c r="H48" s="34" t="s">
        <v>39</v>
      </c>
      <c r="I48" s="35">
        <v>1</v>
      </c>
      <c r="J48" s="35">
        <v>1</v>
      </c>
      <c r="K48" s="35">
        <v>240</v>
      </c>
      <c r="L48" s="60" t="str">
        <f>HYPERLINK("https://www.sds-group.ru/product/ramka-1-ya-gorizontalnaya-bezh-kranz-KR-78-0255/", "Инфо")</f>
        <v>Инфо</v>
      </c>
      <c r="M48" s="37">
        <v>1.9E-2</v>
      </c>
      <c r="N48" s="38">
        <v>2.0599999999999999E-4</v>
      </c>
      <c r="O48" s="141">
        <v>4601004263604</v>
      </c>
    </row>
    <row r="49" spans="1:15" s="1" customFormat="1" ht="11.45" customHeight="1" outlineLevel="4" x14ac:dyDescent="0.2">
      <c r="A49" s="32" t="s">
        <v>107</v>
      </c>
      <c r="B49" s="74" t="s">
        <v>108</v>
      </c>
      <c r="C49" s="50"/>
      <c r="D49" s="139">
        <f t="shared" si="0"/>
        <v>0</v>
      </c>
      <c r="E49" s="140">
        <v>11.37</v>
      </c>
      <c r="F49" s="140">
        <v>9.32</v>
      </c>
      <c r="G49" s="34" t="s">
        <v>100</v>
      </c>
      <c r="H49" s="34" t="s">
        <v>39</v>
      </c>
      <c r="I49" s="35">
        <v>1</v>
      </c>
      <c r="J49" s="35">
        <v>1</v>
      </c>
      <c r="K49" s="35">
        <v>240</v>
      </c>
      <c r="L49" s="60" t="str">
        <f>HYPERLINK("https://www.sds-group.ru/product/ramka-1-ya-gorizontalnaya-bel-kranz-KR-78-0225/", "Инфо")</f>
        <v>Инфо</v>
      </c>
      <c r="M49" s="37">
        <v>1.9E-2</v>
      </c>
      <c r="N49" s="38">
        <v>2.0799999999999999E-4</v>
      </c>
      <c r="O49" s="141">
        <v>4601004263307</v>
      </c>
    </row>
    <row r="50" spans="1:15" s="1" customFormat="1" ht="11.45" customHeight="1" outlineLevel="4" x14ac:dyDescent="0.2">
      <c r="A50" s="32" t="s">
        <v>109</v>
      </c>
      <c r="B50" s="74" t="s">
        <v>110</v>
      </c>
      <c r="C50" s="50"/>
      <c r="D50" s="139">
        <f t="shared" si="0"/>
        <v>0</v>
      </c>
      <c r="E50" s="140">
        <v>10.73</v>
      </c>
      <c r="F50" s="140">
        <v>8.8000000000000007</v>
      </c>
      <c r="G50" s="34" t="s">
        <v>100</v>
      </c>
      <c r="H50" s="34" t="s">
        <v>39</v>
      </c>
      <c r="I50" s="35">
        <v>1</v>
      </c>
      <c r="J50" s="35">
        <v>1</v>
      </c>
      <c r="K50" s="35">
        <v>240</v>
      </c>
      <c r="L50" s="60" t="str">
        <f>HYPERLINK("https://www.sds-group.ru/product/ramka-1-ya-gorizontalnaya-zolotoy-metallik-kranz-KR-78-0315/", "Инфо")</f>
        <v>Инфо</v>
      </c>
      <c r="M50" s="37">
        <v>1.4999999999999999E-2</v>
      </c>
      <c r="N50" s="38">
        <v>1.44E-4</v>
      </c>
      <c r="O50" s="141">
        <v>4601004264205</v>
      </c>
    </row>
    <row r="51" spans="1:15" s="1" customFormat="1" ht="11.45" customHeight="1" outlineLevel="4" x14ac:dyDescent="0.2">
      <c r="A51" s="32" t="s">
        <v>111</v>
      </c>
      <c r="B51" s="74" t="s">
        <v>112</v>
      </c>
      <c r="C51" s="50"/>
      <c r="D51" s="139">
        <f t="shared" si="0"/>
        <v>0</v>
      </c>
      <c r="E51" s="140">
        <v>10.73</v>
      </c>
      <c r="F51" s="140">
        <v>8.8000000000000007</v>
      </c>
      <c r="G51" s="34" t="s">
        <v>100</v>
      </c>
      <c r="H51" s="34" t="s">
        <v>39</v>
      </c>
      <c r="I51" s="35">
        <v>1</v>
      </c>
      <c r="J51" s="35">
        <v>1</v>
      </c>
      <c r="K51" s="35">
        <v>240</v>
      </c>
      <c r="L51" s="60" t="str">
        <f>HYPERLINK("https://www.sds-group.ru/product/ramka-1-ya-gorizontalnaya-serebryanyy-metallik-kranz-KR-78-0285/", "Инфо")</f>
        <v>Инфо</v>
      </c>
      <c r="M51" s="37">
        <v>1.7999999999999999E-2</v>
      </c>
      <c r="N51" s="38">
        <v>1.8000000000000001E-4</v>
      </c>
      <c r="O51" s="141">
        <v>4601004263901</v>
      </c>
    </row>
    <row r="52" spans="1:15" s="1" customFormat="1" ht="11.45" customHeight="1" outlineLevel="4" x14ac:dyDescent="0.2">
      <c r="A52" s="32" t="s">
        <v>113</v>
      </c>
      <c r="B52" s="74" t="s">
        <v>114</v>
      </c>
      <c r="C52" s="50"/>
      <c r="D52" s="139">
        <f t="shared" si="0"/>
        <v>0</v>
      </c>
      <c r="E52" s="140">
        <v>11.37</v>
      </c>
      <c r="F52" s="140">
        <v>9.32</v>
      </c>
      <c r="G52" s="34" t="s">
        <v>100</v>
      </c>
      <c r="H52" s="34" t="s">
        <v>39</v>
      </c>
      <c r="I52" s="35">
        <v>1</v>
      </c>
      <c r="J52" s="35">
        <v>1</v>
      </c>
      <c r="K52" s="35">
        <v>240</v>
      </c>
      <c r="L52" s="60" t="str">
        <f>HYPERLINK("https://www.sds-group.ru/product/ramka-1-ya-gorizontalnaya-chernyy-metallik-kranz-KR-78-0345/", "Инфо")</f>
        <v>Инфо</v>
      </c>
      <c r="M52" s="37">
        <v>1.6E-2</v>
      </c>
      <c r="N52" s="38">
        <v>1.5200000000000001E-4</v>
      </c>
      <c r="O52" s="141">
        <v>4601004264502</v>
      </c>
    </row>
    <row r="53" spans="1:15" s="1" customFormat="1" ht="11.45" customHeight="1" outlineLevel="4" x14ac:dyDescent="0.2">
      <c r="A53" s="32" t="s">
        <v>115</v>
      </c>
      <c r="B53" s="74" t="s">
        <v>116</v>
      </c>
      <c r="C53" s="50"/>
      <c r="D53" s="139">
        <f t="shared" si="0"/>
        <v>0</v>
      </c>
      <c r="E53" s="140">
        <v>14.3</v>
      </c>
      <c r="F53" s="140">
        <v>11.72</v>
      </c>
      <c r="G53" s="34" t="s">
        <v>100</v>
      </c>
      <c r="H53" s="34" t="s">
        <v>39</v>
      </c>
      <c r="I53" s="35">
        <v>1</v>
      </c>
      <c r="J53" s="35">
        <v>1</v>
      </c>
      <c r="K53" s="35">
        <v>180</v>
      </c>
      <c r="L53" s="60" t="str">
        <f>HYPERLINK("https://www.sds-group.ru/product/ramka-2-ya-gorizontalnaya-bezh-kranz-KR-78-0256/", "Инфо")</f>
        <v>Инфо</v>
      </c>
      <c r="M53" s="37">
        <v>3.2000000000000001E-2</v>
      </c>
      <c r="N53" s="38">
        <v>3.6699999999999998E-4</v>
      </c>
      <c r="O53" s="141">
        <v>4601004263611</v>
      </c>
    </row>
    <row r="54" spans="1:15" s="1" customFormat="1" ht="11.45" customHeight="1" outlineLevel="4" x14ac:dyDescent="0.2">
      <c r="A54" s="32" t="s">
        <v>117</v>
      </c>
      <c r="B54" s="74" t="s">
        <v>118</v>
      </c>
      <c r="C54" s="50"/>
      <c r="D54" s="139">
        <f t="shared" si="0"/>
        <v>0</v>
      </c>
      <c r="E54" s="140">
        <v>14.3</v>
      </c>
      <c r="F54" s="140">
        <v>11.72</v>
      </c>
      <c r="G54" s="34" t="s">
        <v>100</v>
      </c>
      <c r="H54" s="34" t="s">
        <v>39</v>
      </c>
      <c r="I54" s="35">
        <v>1</v>
      </c>
      <c r="J54" s="35">
        <v>1</v>
      </c>
      <c r="K54" s="35">
        <v>180</v>
      </c>
      <c r="L54" s="60" t="str">
        <f>HYPERLINK("https://www.sds-group.ru/product/ramka-2-ya-gorizontalnaya-zolotoy-metallik-kranz-KR-78-0316/", "Инфо")</f>
        <v>Инфо</v>
      </c>
      <c r="M54" s="37">
        <v>1.2E-2</v>
      </c>
      <c r="N54" s="38">
        <v>2.6200000000000003E-4</v>
      </c>
      <c r="O54" s="141">
        <v>4601004264212</v>
      </c>
    </row>
    <row r="55" spans="1:15" s="1" customFormat="1" ht="11.45" customHeight="1" outlineLevel="4" x14ac:dyDescent="0.2">
      <c r="A55" s="32" t="s">
        <v>119</v>
      </c>
      <c r="B55" s="74" t="s">
        <v>120</v>
      </c>
      <c r="C55" s="50"/>
      <c r="D55" s="139">
        <f t="shared" si="0"/>
        <v>0</v>
      </c>
      <c r="E55" s="140">
        <v>14.3</v>
      </c>
      <c r="F55" s="140">
        <v>11.72</v>
      </c>
      <c r="G55" s="34" t="s">
        <v>100</v>
      </c>
      <c r="H55" s="34" t="s">
        <v>39</v>
      </c>
      <c r="I55" s="35">
        <v>1</v>
      </c>
      <c r="J55" s="35">
        <v>1</v>
      </c>
      <c r="K55" s="35">
        <v>180</v>
      </c>
      <c r="L55" s="60" t="str">
        <f>HYPERLINK("https://www.sds-group.ru/product/ramka-2-ya-gorizontalnaya-serebryanyy-metallik-kranz-KR-78-0286/", "Инфо")</f>
        <v>Инфо</v>
      </c>
      <c r="M55" s="37">
        <v>3.3000000000000002E-2</v>
      </c>
      <c r="N55" s="38">
        <v>3.6299999999999999E-4</v>
      </c>
      <c r="O55" s="141">
        <v>4601004263918</v>
      </c>
    </row>
    <row r="56" spans="1:15" s="1" customFormat="1" ht="11.45" customHeight="1" outlineLevel="4" x14ac:dyDescent="0.2">
      <c r="A56" s="32" t="s">
        <v>121</v>
      </c>
      <c r="B56" s="74" t="s">
        <v>122</v>
      </c>
      <c r="C56" s="50"/>
      <c r="D56" s="139">
        <f t="shared" si="0"/>
        <v>0</v>
      </c>
      <c r="E56" s="140">
        <v>14.3</v>
      </c>
      <c r="F56" s="140">
        <v>11.72</v>
      </c>
      <c r="G56" s="34" t="s">
        <v>100</v>
      </c>
      <c r="H56" s="34" t="s">
        <v>39</v>
      </c>
      <c r="I56" s="35">
        <v>1</v>
      </c>
      <c r="J56" s="35">
        <v>1</v>
      </c>
      <c r="K56" s="35">
        <v>120</v>
      </c>
      <c r="L56" s="60" t="str">
        <f>HYPERLINK("https://www.sds-group.ru/product/ramka-2-ya-gorizontalnaya-chernyy-metallik-kranz-KR-78-0346/", "Инфо")</f>
        <v>Инфо</v>
      </c>
      <c r="M56" s="37">
        <v>3.3000000000000002E-2</v>
      </c>
      <c r="N56" s="38">
        <v>4.1399999999999998E-4</v>
      </c>
      <c r="O56" s="141">
        <v>4601004264519</v>
      </c>
    </row>
    <row r="57" spans="1:15" s="1" customFormat="1" ht="11.45" customHeight="1" outlineLevel="4" x14ac:dyDescent="0.2">
      <c r="A57" s="32" t="s">
        <v>123</v>
      </c>
      <c r="B57" s="74" t="s">
        <v>124</v>
      </c>
      <c r="C57" s="50"/>
      <c r="D57" s="139">
        <f t="shared" si="0"/>
        <v>0</v>
      </c>
      <c r="E57" s="140">
        <v>17.88</v>
      </c>
      <c r="F57" s="140">
        <v>14.66</v>
      </c>
      <c r="G57" s="34" t="s">
        <v>100</v>
      </c>
      <c r="H57" s="34" t="s">
        <v>39</v>
      </c>
      <c r="I57" s="35">
        <v>1</v>
      </c>
      <c r="J57" s="35">
        <v>1</v>
      </c>
      <c r="K57" s="35">
        <v>120</v>
      </c>
      <c r="L57" s="60" t="str">
        <f>HYPERLINK("https://www.sds-group.ru/product/ramka-3-ya-gorizontalnaya-bezh-kranz-KR-78-0257/", "Инфо")</f>
        <v>Инфо</v>
      </c>
      <c r="M57" s="37">
        <v>4.4999999999999998E-2</v>
      </c>
      <c r="N57" s="38">
        <v>4.1800000000000002E-4</v>
      </c>
      <c r="O57" s="141">
        <v>4601004263628</v>
      </c>
    </row>
    <row r="58" spans="1:15" s="1" customFormat="1" ht="11.45" customHeight="1" outlineLevel="4" x14ac:dyDescent="0.2">
      <c r="A58" s="32" t="s">
        <v>125</v>
      </c>
      <c r="B58" s="74" t="s">
        <v>126</v>
      </c>
      <c r="C58" s="50"/>
      <c r="D58" s="139">
        <f t="shared" si="0"/>
        <v>0</v>
      </c>
      <c r="E58" s="140">
        <v>18.95</v>
      </c>
      <c r="F58" s="140">
        <v>15.53</v>
      </c>
      <c r="G58" s="34" t="s">
        <v>100</v>
      </c>
      <c r="H58" s="34" t="s">
        <v>39</v>
      </c>
      <c r="I58" s="35">
        <v>1</v>
      </c>
      <c r="J58" s="35">
        <v>1</v>
      </c>
      <c r="K58" s="35">
        <v>120</v>
      </c>
      <c r="L58" s="60" t="str">
        <f>HYPERLINK("https://www.sds-group.ru/product/ramka-3-ya-gorizontalnaya-bel-kranz-KR-78-0227/", "Инфо")</f>
        <v>Инфо</v>
      </c>
      <c r="M58" s="37">
        <v>4.3999999999999997E-2</v>
      </c>
      <c r="N58" s="38">
        <v>4.2000000000000002E-4</v>
      </c>
      <c r="O58" s="141">
        <v>4601004263321</v>
      </c>
    </row>
    <row r="59" spans="1:15" s="1" customFormat="1" ht="11.45" customHeight="1" outlineLevel="4" x14ac:dyDescent="0.2">
      <c r="A59" s="32" t="s">
        <v>127</v>
      </c>
      <c r="B59" s="74" t="s">
        <v>128</v>
      </c>
      <c r="C59" s="50"/>
      <c r="D59" s="139">
        <f t="shared" si="0"/>
        <v>0</v>
      </c>
      <c r="E59" s="140">
        <v>17.88</v>
      </c>
      <c r="F59" s="140">
        <v>14.66</v>
      </c>
      <c r="G59" s="34" t="s">
        <v>100</v>
      </c>
      <c r="H59" s="34" t="s">
        <v>39</v>
      </c>
      <c r="I59" s="35">
        <v>1</v>
      </c>
      <c r="J59" s="35">
        <v>1</v>
      </c>
      <c r="K59" s="35">
        <v>120</v>
      </c>
      <c r="L59" s="60" t="str">
        <f>HYPERLINK("https://www.sds-group.ru/product/ramka-3-ya-gorizontalnaya-zolotoy-metallik-kranz-KR-78-0317/", "Инфо")</f>
        <v>Инфо</v>
      </c>
      <c r="M59" s="37">
        <v>4.1000000000000002E-2</v>
      </c>
      <c r="N59" s="38">
        <v>2.9E-4</v>
      </c>
      <c r="O59" s="141">
        <v>4601004264229</v>
      </c>
    </row>
    <row r="60" spans="1:15" s="1" customFormat="1" ht="11.45" customHeight="1" outlineLevel="4" x14ac:dyDescent="0.2">
      <c r="A60" s="32" t="s">
        <v>129</v>
      </c>
      <c r="B60" s="74" t="s">
        <v>130</v>
      </c>
      <c r="C60" s="50"/>
      <c r="D60" s="139">
        <f t="shared" si="0"/>
        <v>0</v>
      </c>
      <c r="E60" s="140">
        <v>17.88</v>
      </c>
      <c r="F60" s="140">
        <v>14.66</v>
      </c>
      <c r="G60" s="34" t="s">
        <v>100</v>
      </c>
      <c r="H60" s="34" t="s">
        <v>39</v>
      </c>
      <c r="I60" s="35">
        <v>1</v>
      </c>
      <c r="J60" s="35">
        <v>1</v>
      </c>
      <c r="K60" s="35">
        <v>120</v>
      </c>
      <c r="L60" s="60" t="str">
        <f>HYPERLINK("https://www.sds-group.ru/product/ramka-3-ya-gorizontalnaya-serebryanyy-metallik-kranz-KR-78-0287/", "Инфо")</f>
        <v>Инфо</v>
      </c>
      <c r="M60" s="37">
        <v>4.2000000000000003E-2</v>
      </c>
      <c r="N60" s="38">
        <v>3.6099999999999999E-4</v>
      </c>
      <c r="O60" s="141">
        <v>4601004263925</v>
      </c>
    </row>
    <row r="61" spans="1:15" s="1" customFormat="1" ht="11.45" customHeight="1" outlineLevel="4" x14ac:dyDescent="0.2">
      <c r="A61" s="32" t="s">
        <v>131</v>
      </c>
      <c r="B61" s="74" t="s">
        <v>132</v>
      </c>
      <c r="C61" s="50"/>
      <c r="D61" s="139">
        <f t="shared" si="0"/>
        <v>0</v>
      </c>
      <c r="E61" s="140">
        <v>17.88</v>
      </c>
      <c r="F61" s="140">
        <v>14.66</v>
      </c>
      <c r="G61" s="34" t="s">
        <v>100</v>
      </c>
      <c r="H61" s="34" t="s">
        <v>39</v>
      </c>
      <c r="I61" s="35">
        <v>1</v>
      </c>
      <c r="J61" s="35">
        <v>1</v>
      </c>
      <c r="K61" s="35">
        <v>120</v>
      </c>
      <c r="L61" s="60" t="str">
        <f>HYPERLINK("https://www.sds-group.ru/product/ramka-3-ya-gorizontalnaya-chernyy-metallik-kranz-KR-78-0347/", "Инфо")</f>
        <v>Инфо</v>
      </c>
      <c r="M61" s="37">
        <v>4.3999999999999997E-2</v>
      </c>
      <c r="N61" s="38">
        <v>4.0999999999999999E-4</v>
      </c>
      <c r="O61" s="141">
        <v>4601004264526</v>
      </c>
    </row>
    <row r="62" spans="1:15" s="1" customFormat="1" ht="11.45" customHeight="1" outlineLevel="4" x14ac:dyDescent="0.2">
      <c r="A62" s="32" t="s">
        <v>133</v>
      </c>
      <c r="B62" s="74" t="s">
        <v>134</v>
      </c>
      <c r="C62" s="50"/>
      <c r="D62" s="139">
        <f t="shared" si="0"/>
        <v>0</v>
      </c>
      <c r="E62" s="140">
        <v>25.03</v>
      </c>
      <c r="F62" s="140">
        <v>20.52</v>
      </c>
      <c r="G62" s="34" t="s">
        <v>100</v>
      </c>
      <c r="H62" s="34" t="s">
        <v>39</v>
      </c>
      <c r="I62" s="35">
        <v>1</v>
      </c>
      <c r="J62" s="35">
        <v>1</v>
      </c>
      <c r="K62" s="35">
        <v>90</v>
      </c>
      <c r="L62" s="60" t="str">
        <f>HYPERLINK("https://www.sds-group.ru/product/ramka-4-ya-gorizontalnaya-bezh-kranz-KR-78-0258/", "Инфо")</f>
        <v>Инфо</v>
      </c>
      <c r="M62" s="37">
        <v>5.8999999999999997E-2</v>
      </c>
      <c r="N62" s="38">
        <v>5.5599999999999996E-4</v>
      </c>
      <c r="O62" s="141">
        <v>4601004263635</v>
      </c>
    </row>
    <row r="63" spans="1:15" s="1" customFormat="1" ht="11.45" customHeight="1" outlineLevel="4" x14ac:dyDescent="0.2">
      <c r="A63" s="32" t="s">
        <v>135</v>
      </c>
      <c r="B63" s="74" t="s">
        <v>136</v>
      </c>
      <c r="C63" s="50"/>
      <c r="D63" s="139">
        <f t="shared" si="0"/>
        <v>0</v>
      </c>
      <c r="E63" s="140">
        <v>26.53</v>
      </c>
      <c r="F63" s="140">
        <v>21.75</v>
      </c>
      <c r="G63" s="34" t="s">
        <v>100</v>
      </c>
      <c r="H63" s="34" t="s">
        <v>39</v>
      </c>
      <c r="I63" s="35">
        <v>1</v>
      </c>
      <c r="J63" s="35">
        <v>1</v>
      </c>
      <c r="K63" s="35">
        <v>90</v>
      </c>
      <c r="L63" s="60" t="str">
        <f>HYPERLINK("https://www.sds-group.ru/product/ramka-4-ya-gorizontalnaya-bel-kranz-KR-78-0228/", "Инфо")</f>
        <v>Инфо</v>
      </c>
      <c r="M63" s="37">
        <v>5.8000000000000003E-2</v>
      </c>
      <c r="N63" s="38">
        <v>5.5199999999999997E-4</v>
      </c>
      <c r="O63" s="141">
        <v>4601004263338</v>
      </c>
    </row>
    <row r="64" spans="1:15" s="1" customFormat="1" ht="11.45" customHeight="1" outlineLevel="4" x14ac:dyDescent="0.2">
      <c r="A64" s="32" t="s">
        <v>137</v>
      </c>
      <c r="B64" s="74" t="s">
        <v>138</v>
      </c>
      <c r="C64" s="50"/>
      <c r="D64" s="139">
        <f t="shared" si="0"/>
        <v>0</v>
      </c>
      <c r="E64" s="140">
        <v>26.53</v>
      </c>
      <c r="F64" s="140">
        <v>21.75</v>
      </c>
      <c r="G64" s="34" t="s">
        <v>100</v>
      </c>
      <c r="H64" s="34" t="s">
        <v>39</v>
      </c>
      <c r="I64" s="35">
        <v>1</v>
      </c>
      <c r="J64" s="35">
        <v>1</v>
      </c>
      <c r="K64" s="35">
        <v>90</v>
      </c>
      <c r="L64" s="60" t="str">
        <f>HYPERLINK("https://www.sds-group.ru/product/ramka-4-ya-gorizontalnaya-zolotoy-metallik-kranz-KR-78-0318/", "Инфо")</f>
        <v>Инфо</v>
      </c>
      <c r="M64" s="37">
        <v>5.6000000000000001E-2</v>
      </c>
      <c r="N64" s="38">
        <v>4.44E-4</v>
      </c>
      <c r="O64" s="141">
        <v>4601004264236</v>
      </c>
    </row>
    <row r="65" spans="1:15" s="1" customFormat="1" ht="11.45" customHeight="1" outlineLevel="4" x14ac:dyDescent="0.2">
      <c r="A65" s="32" t="s">
        <v>139</v>
      </c>
      <c r="B65" s="74" t="s">
        <v>140</v>
      </c>
      <c r="C65" s="50"/>
      <c r="D65" s="139">
        <f t="shared" si="0"/>
        <v>0</v>
      </c>
      <c r="E65" s="140">
        <v>25.03</v>
      </c>
      <c r="F65" s="140">
        <v>20.52</v>
      </c>
      <c r="G65" s="34" t="s">
        <v>100</v>
      </c>
      <c r="H65" s="34" t="s">
        <v>39</v>
      </c>
      <c r="I65" s="35">
        <v>1</v>
      </c>
      <c r="J65" s="35">
        <v>1</v>
      </c>
      <c r="K65" s="35">
        <v>90</v>
      </c>
      <c r="L65" s="60" t="str">
        <f>HYPERLINK("https://www.sds-group.ru/product/ramka-4-ya-gorizontalnaya-serebryanyy-metallik-kranz-KR-78-0288/", "Инфо")</f>
        <v>Инфо</v>
      </c>
      <c r="M65" s="37">
        <v>5.8999999999999997E-2</v>
      </c>
      <c r="N65" s="38">
        <v>5.3499999999999999E-4</v>
      </c>
      <c r="O65" s="141">
        <v>4601004263932</v>
      </c>
    </row>
    <row r="66" spans="1:15" s="1" customFormat="1" ht="11.45" customHeight="1" outlineLevel="4" x14ac:dyDescent="0.2">
      <c r="A66" s="32" t="s">
        <v>141</v>
      </c>
      <c r="B66" s="74" t="s">
        <v>142</v>
      </c>
      <c r="C66" s="50"/>
      <c r="D66" s="139">
        <f t="shared" si="0"/>
        <v>0</v>
      </c>
      <c r="E66" s="140">
        <v>25.03</v>
      </c>
      <c r="F66" s="140">
        <v>20.52</v>
      </c>
      <c r="G66" s="34" t="s">
        <v>100</v>
      </c>
      <c r="H66" s="34" t="s">
        <v>39</v>
      </c>
      <c r="I66" s="35">
        <v>1</v>
      </c>
      <c r="J66" s="35">
        <v>1</v>
      </c>
      <c r="K66" s="35">
        <v>90</v>
      </c>
      <c r="L66" s="60" t="str">
        <f>HYPERLINK("https://www.sds-group.ru/product/ramka-4-ya-gorizontalnaya-chernyy-metallik-kranz-KR-78-0348/", "Инфо")</f>
        <v>Инфо</v>
      </c>
      <c r="M66" s="37">
        <v>0.05</v>
      </c>
      <c r="N66" s="38">
        <v>4.3100000000000001E-4</v>
      </c>
      <c r="O66" s="141">
        <v>4601004264533</v>
      </c>
    </row>
    <row r="67" spans="1:15" s="1" customFormat="1" ht="11.45" customHeight="1" outlineLevel="4" x14ac:dyDescent="0.2">
      <c r="A67" s="32" t="s">
        <v>143</v>
      </c>
      <c r="B67" s="74" t="s">
        <v>144</v>
      </c>
      <c r="C67" s="50"/>
      <c r="D67" s="139">
        <f t="shared" si="0"/>
        <v>0</v>
      </c>
      <c r="E67" s="140">
        <v>28.6</v>
      </c>
      <c r="F67" s="140">
        <v>23.44</v>
      </c>
      <c r="G67" s="34" t="s">
        <v>100</v>
      </c>
      <c r="H67" s="34" t="s">
        <v>39</v>
      </c>
      <c r="I67" s="35">
        <v>1</v>
      </c>
      <c r="J67" s="35">
        <v>1</v>
      </c>
      <c r="K67" s="35">
        <v>90</v>
      </c>
      <c r="L67" s="60" t="str">
        <f>HYPERLINK("https://www.sds-group.ru/product/ramka-5-ya-gorizontalnaya-bezh-kranz-KR-78-0259/", "Инфо")</f>
        <v>Инфо</v>
      </c>
      <c r="M67" s="37">
        <v>7.3999999999999996E-2</v>
      </c>
      <c r="N67" s="38">
        <v>5.5400000000000002E-4</v>
      </c>
      <c r="O67" s="141">
        <v>4601004263642</v>
      </c>
    </row>
    <row r="68" spans="1:15" s="1" customFormat="1" ht="11.45" customHeight="1" outlineLevel="4" x14ac:dyDescent="0.2">
      <c r="A68" s="32" t="s">
        <v>145</v>
      </c>
      <c r="B68" s="74" t="s">
        <v>146</v>
      </c>
      <c r="C68" s="50"/>
      <c r="D68" s="139">
        <f t="shared" si="0"/>
        <v>0</v>
      </c>
      <c r="E68" s="140">
        <v>28.6</v>
      </c>
      <c r="F68" s="140">
        <v>23.44</v>
      </c>
      <c r="G68" s="34" t="s">
        <v>100</v>
      </c>
      <c r="H68" s="34" t="s">
        <v>39</v>
      </c>
      <c r="I68" s="35">
        <v>1</v>
      </c>
      <c r="J68" s="35">
        <v>1</v>
      </c>
      <c r="K68" s="35">
        <v>90</v>
      </c>
      <c r="L68" s="60" t="str">
        <f>HYPERLINK("https://www.sds-group.ru/product/ramka-5-ya-gorizontalnaya-bel-kranz-KR-78-0229/", "Инфо")</f>
        <v>Инфо</v>
      </c>
      <c r="M68" s="37">
        <v>7.3999999999999996E-2</v>
      </c>
      <c r="N68" s="38">
        <v>5.5500000000000005E-4</v>
      </c>
      <c r="O68" s="141">
        <v>4601004263345</v>
      </c>
    </row>
    <row r="69" spans="1:15" s="1" customFormat="1" ht="11.45" customHeight="1" outlineLevel="4" x14ac:dyDescent="0.2">
      <c r="A69" s="32" t="s">
        <v>147</v>
      </c>
      <c r="B69" s="74" t="s">
        <v>148</v>
      </c>
      <c r="C69" s="50"/>
      <c r="D69" s="139">
        <f t="shared" si="0"/>
        <v>0</v>
      </c>
      <c r="E69" s="140">
        <v>28.6</v>
      </c>
      <c r="F69" s="140">
        <v>23.44</v>
      </c>
      <c r="G69" s="34" t="s">
        <v>100</v>
      </c>
      <c r="H69" s="34" t="s">
        <v>39</v>
      </c>
      <c r="I69" s="35">
        <v>1</v>
      </c>
      <c r="J69" s="35">
        <v>1</v>
      </c>
      <c r="K69" s="35">
        <v>90</v>
      </c>
      <c r="L69" s="60" t="str">
        <f>HYPERLINK("https://www.sds-group.ru/product/ramka-5-ya-gorizontalnaya-serebryanyy-metallik-kranz-KR-78-0289/", "Инфо")</f>
        <v>Инфо</v>
      </c>
      <c r="M69" s="37">
        <v>7.6999999999999999E-2</v>
      </c>
      <c r="N69" s="38">
        <v>5.9100000000000005E-4</v>
      </c>
      <c r="O69" s="141">
        <v>4601004263949</v>
      </c>
    </row>
    <row r="70" spans="1:15" s="1" customFormat="1" ht="11.45" customHeight="1" outlineLevel="4" x14ac:dyDescent="0.2">
      <c r="A70" s="32" t="s">
        <v>149</v>
      </c>
      <c r="B70" s="74" t="s">
        <v>150</v>
      </c>
      <c r="C70" s="50"/>
      <c r="D70" s="139">
        <f t="shared" si="0"/>
        <v>0</v>
      </c>
      <c r="E70" s="140">
        <v>28.6</v>
      </c>
      <c r="F70" s="140">
        <v>23.44</v>
      </c>
      <c r="G70" s="34" t="s">
        <v>100</v>
      </c>
      <c r="H70" s="34" t="s">
        <v>39</v>
      </c>
      <c r="I70" s="35">
        <v>1</v>
      </c>
      <c r="J70" s="35">
        <v>1</v>
      </c>
      <c r="K70" s="35">
        <v>90</v>
      </c>
      <c r="L70" s="60" t="str">
        <f>HYPERLINK("https://www.sds-group.ru/product/ramka-5-ya-gorizontalnaya-chernyy-metallik-kranz-KR-78-0349/", "Инфо")</f>
        <v>Инфо</v>
      </c>
      <c r="M70" s="37">
        <v>9.7000000000000003E-2</v>
      </c>
      <c r="N70" s="38">
        <v>6.3000000000000003E-4</v>
      </c>
      <c r="O70" s="141">
        <v>4601004264540</v>
      </c>
    </row>
    <row r="71" spans="1:15" s="1" customFormat="1" ht="11.45" customHeight="1" outlineLevel="4" x14ac:dyDescent="0.2">
      <c r="A71" s="32" t="s">
        <v>151</v>
      </c>
      <c r="B71" s="74" t="s">
        <v>152</v>
      </c>
      <c r="C71" s="50"/>
      <c r="D71" s="139">
        <f t="shared" si="0"/>
        <v>0</v>
      </c>
      <c r="E71" s="140">
        <v>14.3</v>
      </c>
      <c r="F71" s="140">
        <v>11.72</v>
      </c>
      <c r="G71" s="34" t="s">
        <v>100</v>
      </c>
      <c r="H71" s="34" t="s">
        <v>39</v>
      </c>
      <c r="I71" s="35">
        <v>1</v>
      </c>
      <c r="J71" s="35">
        <v>1</v>
      </c>
      <c r="K71" s="35">
        <v>120</v>
      </c>
      <c r="L71" s="60" t="str">
        <f>HYPERLINK("https://www.sds-group.ru/product/rozetka-1-aya-b-z-s-u-10a-meh-bel-kranz-KR-78-0210/", "Инфо")</f>
        <v>Инфо</v>
      </c>
      <c r="M71" s="37">
        <v>7.3999999999999996E-2</v>
      </c>
      <c r="N71" s="38">
        <v>4.08E-4</v>
      </c>
      <c r="O71" s="141">
        <v>4601004263154</v>
      </c>
    </row>
    <row r="72" spans="1:15" s="1" customFormat="1" ht="11.45" customHeight="1" outlineLevel="4" x14ac:dyDescent="0.2">
      <c r="A72" s="32" t="s">
        <v>153</v>
      </c>
      <c r="B72" s="74" t="s">
        <v>154</v>
      </c>
      <c r="C72" s="50"/>
      <c r="D72" s="139">
        <f t="shared" si="0"/>
        <v>0</v>
      </c>
      <c r="E72" s="140">
        <v>17.88</v>
      </c>
      <c r="F72" s="140">
        <v>14.66</v>
      </c>
      <c r="G72" s="34" t="s">
        <v>100</v>
      </c>
      <c r="H72" s="34" t="s">
        <v>39</v>
      </c>
      <c r="I72" s="35">
        <v>1</v>
      </c>
      <c r="J72" s="35">
        <v>1</v>
      </c>
      <c r="K72" s="35">
        <v>120</v>
      </c>
      <c r="L72" s="60" t="str">
        <f>HYPERLINK("https://www.sds-group.ru/product/rozetka-1-aya-keramika-s-z-s-kryshkoy-s-u-16a-meh-bezh-kranz-KR-78-0246/", "Инфо")</f>
        <v>Инфо</v>
      </c>
      <c r="M72" s="37">
        <v>0.104</v>
      </c>
      <c r="N72" s="38">
        <v>4.08E-4</v>
      </c>
      <c r="O72" s="141">
        <v>4601004263512</v>
      </c>
    </row>
    <row r="73" spans="1:15" s="1" customFormat="1" ht="11.45" customHeight="1" outlineLevel="4" x14ac:dyDescent="0.2">
      <c r="A73" s="32" t="s">
        <v>155</v>
      </c>
      <c r="B73" s="74" t="s">
        <v>156</v>
      </c>
      <c r="C73" s="50"/>
      <c r="D73" s="139">
        <f t="shared" si="0"/>
        <v>0</v>
      </c>
      <c r="E73" s="140">
        <v>18.95</v>
      </c>
      <c r="F73" s="140">
        <v>15.53</v>
      </c>
      <c r="G73" s="34" t="s">
        <v>100</v>
      </c>
      <c r="H73" s="34" t="s">
        <v>39</v>
      </c>
      <c r="I73" s="35">
        <v>1</v>
      </c>
      <c r="J73" s="35">
        <v>1</v>
      </c>
      <c r="K73" s="35">
        <v>120</v>
      </c>
      <c r="L73" s="60" t="str">
        <f>HYPERLINK("https://www.sds-group.ru/product/rozetka-1-aya-keramika-s-z-s-kryshkoy-s-u-16a-meh-bel-kranz-KR-78-0216/", "Инфо")</f>
        <v>Инфо</v>
      </c>
      <c r="M73" s="37">
        <v>9.9000000000000005E-2</v>
      </c>
      <c r="N73" s="38">
        <v>2.9E-4</v>
      </c>
      <c r="O73" s="141">
        <v>4601004263215</v>
      </c>
    </row>
    <row r="74" spans="1:15" s="1" customFormat="1" ht="11.45" customHeight="1" outlineLevel="4" x14ac:dyDescent="0.2">
      <c r="A74" s="32" t="s">
        <v>157</v>
      </c>
      <c r="B74" s="74" t="s">
        <v>158</v>
      </c>
      <c r="C74" s="50"/>
      <c r="D74" s="139">
        <f t="shared" si="0"/>
        <v>0</v>
      </c>
      <c r="E74" s="140">
        <v>17.88</v>
      </c>
      <c r="F74" s="140">
        <v>14.66</v>
      </c>
      <c r="G74" s="34" t="s">
        <v>100</v>
      </c>
      <c r="H74" s="34" t="s">
        <v>39</v>
      </c>
      <c r="I74" s="35">
        <v>1</v>
      </c>
      <c r="J74" s="35">
        <v>1</v>
      </c>
      <c r="K74" s="35">
        <v>120</v>
      </c>
      <c r="L74" s="60" t="str">
        <f>HYPERLINK("https://www.sds-group.ru/product/rozetka-1-aya-keramika-s-z-s-u-16a-meh-bel-kranz-KR-78-0215/", "Инфо")</f>
        <v>Инфо</v>
      </c>
      <c r="M74" s="37">
        <v>9.8000000000000004E-2</v>
      </c>
      <c r="N74" s="38">
        <v>4.1199999999999999E-4</v>
      </c>
      <c r="O74" s="141">
        <v>4601004263208</v>
      </c>
    </row>
    <row r="75" spans="1:15" s="1" customFormat="1" ht="11.45" customHeight="1" outlineLevel="4" x14ac:dyDescent="0.2">
      <c r="A75" s="32" t="s">
        <v>159</v>
      </c>
      <c r="B75" s="74" t="s">
        <v>160</v>
      </c>
      <c r="C75" s="50"/>
      <c r="D75" s="139">
        <f t="shared" si="0"/>
        <v>0</v>
      </c>
      <c r="E75" s="140">
        <v>17.88</v>
      </c>
      <c r="F75" s="140">
        <v>14.66</v>
      </c>
      <c r="G75" s="34" t="s">
        <v>100</v>
      </c>
      <c r="H75" s="34" t="s">
        <v>39</v>
      </c>
      <c r="I75" s="35">
        <v>1</v>
      </c>
      <c r="J75" s="35">
        <v>1</v>
      </c>
      <c r="K75" s="35">
        <v>120</v>
      </c>
      <c r="L75" s="60" t="str">
        <f>HYPERLINK("https://www.sds-group.ru/product/rozetka-1-aya-s-z-z-sh-s-u-16a-meh-bezh-kranz-KR-78-0242/", "Инфо")</f>
        <v>Инфо</v>
      </c>
      <c r="M75" s="37">
        <v>7.8E-2</v>
      </c>
      <c r="N75" s="38">
        <v>2.9100000000000003E-4</v>
      </c>
      <c r="O75" s="141">
        <v>4601004263475</v>
      </c>
    </row>
    <row r="76" spans="1:15" s="1" customFormat="1" ht="11.45" customHeight="1" outlineLevel="4" x14ac:dyDescent="0.2">
      <c r="A76" s="32" t="s">
        <v>161</v>
      </c>
      <c r="B76" s="74" t="s">
        <v>162</v>
      </c>
      <c r="C76" s="50"/>
      <c r="D76" s="139">
        <f t="shared" si="0"/>
        <v>0</v>
      </c>
      <c r="E76" s="140">
        <v>18.95</v>
      </c>
      <c r="F76" s="140">
        <v>15.53</v>
      </c>
      <c r="G76" s="34" t="s">
        <v>100</v>
      </c>
      <c r="H76" s="34" t="s">
        <v>39</v>
      </c>
      <c r="I76" s="35">
        <v>1</v>
      </c>
      <c r="J76" s="35">
        <v>1</v>
      </c>
      <c r="K76" s="35">
        <v>120</v>
      </c>
      <c r="L76" s="60" t="str">
        <f>HYPERLINK("https://www.sds-group.ru/product/rozetka-1-aya-s-z-z-sh-s-u-16a-meh-bel-kranz-KR-78-0212/", "Инфо")</f>
        <v>Инфо</v>
      </c>
      <c r="M76" s="37">
        <v>8.4000000000000005E-2</v>
      </c>
      <c r="N76" s="38">
        <v>4.1399999999999998E-4</v>
      </c>
      <c r="O76" s="141">
        <v>4601004263178</v>
      </c>
    </row>
    <row r="77" spans="1:15" s="1" customFormat="1" ht="11.45" customHeight="1" outlineLevel="4" x14ac:dyDescent="0.2">
      <c r="A77" s="32" t="s">
        <v>163</v>
      </c>
      <c r="B77" s="74" t="s">
        <v>164</v>
      </c>
      <c r="C77" s="50"/>
      <c r="D77" s="139">
        <f t="shared" si="0"/>
        <v>0</v>
      </c>
      <c r="E77" s="140">
        <v>18.95</v>
      </c>
      <c r="F77" s="140">
        <v>15.53</v>
      </c>
      <c r="G77" s="34" t="s">
        <v>100</v>
      </c>
      <c r="H77" s="34" t="s">
        <v>39</v>
      </c>
      <c r="I77" s="35">
        <v>1</v>
      </c>
      <c r="J77" s="35">
        <v>1</v>
      </c>
      <c r="K77" s="35">
        <v>120</v>
      </c>
      <c r="L77" s="60" t="str">
        <f>HYPERLINK("https://www.sds-group.ru/product/rozetka-1-aya-s-z-s-kryshkoy-s-u-16a-meh-bel-kranz-KR-78-0213/", "Инфо")</f>
        <v>Инфо</v>
      </c>
      <c r="M77" s="37">
        <v>7.9000000000000001E-2</v>
      </c>
      <c r="N77" s="38">
        <v>2.92E-4</v>
      </c>
      <c r="O77" s="141">
        <v>4601004263185</v>
      </c>
    </row>
    <row r="78" spans="1:15" s="1" customFormat="1" ht="11.45" customHeight="1" outlineLevel="4" x14ac:dyDescent="0.2">
      <c r="A78" s="32" t="s">
        <v>165</v>
      </c>
      <c r="B78" s="74" t="s">
        <v>166</v>
      </c>
      <c r="C78" s="50"/>
      <c r="D78" s="139">
        <f t="shared" si="0"/>
        <v>0</v>
      </c>
      <c r="E78" s="140">
        <v>17.88</v>
      </c>
      <c r="F78" s="140">
        <v>14.66</v>
      </c>
      <c r="G78" s="34" t="s">
        <v>100</v>
      </c>
      <c r="H78" s="34" t="s">
        <v>39</v>
      </c>
      <c r="I78" s="35">
        <v>1</v>
      </c>
      <c r="J78" s="35">
        <v>1</v>
      </c>
      <c r="K78" s="35">
        <v>120</v>
      </c>
      <c r="L78" s="60" t="str">
        <f>HYPERLINK("https://www.sds-group.ru/product/rozetka-1-aya-s-z-s-u-16a-meh-bezh-kranz-KR-78-0241/", "Инфо")</f>
        <v>Инфо</v>
      </c>
      <c r="M78" s="37">
        <v>8.1000000000000003E-2</v>
      </c>
      <c r="N78" s="38">
        <v>4.08E-4</v>
      </c>
      <c r="O78" s="141">
        <v>4601004263468</v>
      </c>
    </row>
    <row r="79" spans="1:15" s="1" customFormat="1" ht="11.45" customHeight="1" outlineLevel="4" x14ac:dyDescent="0.2">
      <c r="A79" s="32" t="s">
        <v>167</v>
      </c>
      <c r="B79" s="74" t="s">
        <v>168</v>
      </c>
      <c r="C79" s="50"/>
      <c r="D79" s="139">
        <f t="shared" ref="D79:D141" si="1">C79*E79</f>
        <v>0</v>
      </c>
      <c r="E79" s="140">
        <v>17.88</v>
      </c>
      <c r="F79" s="140">
        <v>14.66</v>
      </c>
      <c r="G79" s="34" t="s">
        <v>100</v>
      </c>
      <c r="H79" s="34" t="s">
        <v>39</v>
      </c>
      <c r="I79" s="35">
        <v>1</v>
      </c>
      <c r="J79" s="35">
        <v>1</v>
      </c>
      <c r="K79" s="35">
        <v>120</v>
      </c>
      <c r="L79" s="60" t="str">
        <f>HYPERLINK("https://www.sds-group.ru/product/rozetka-1-aya-s-z-s-u-16a-meh-bel-kranz-KR-78-0211/", "Инфо")</f>
        <v>Инфо</v>
      </c>
      <c r="M79" s="37">
        <v>8.1000000000000003E-2</v>
      </c>
      <c r="N79" s="38">
        <v>4.1300000000000001E-4</v>
      </c>
      <c r="O79" s="141">
        <v>4601004263161</v>
      </c>
    </row>
    <row r="80" spans="1:15" s="1" customFormat="1" ht="11.45" customHeight="1" outlineLevel="4" x14ac:dyDescent="0.2">
      <c r="A80" s="32" t="s">
        <v>169</v>
      </c>
      <c r="B80" s="74" t="s">
        <v>170</v>
      </c>
      <c r="C80" s="50"/>
      <c r="D80" s="139">
        <f t="shared" si="1"/>
        <v>0</v>
      </c>
      <c r="E80" s="140">
        <v>17.88</v>
      </c>
      <c r="F80" s="140">
        <v>14.66</v>
      </c>
      <c r="G80" s="34" t="s">
        <v>100</v>
      </c>
      <c r="H80" s="34" t="s">
        <v>39</v>
      </c>
      <c r="I80" s="35">
        <v>1</v>
      </c>
      <c r="J80" s="35">
        <v>1</v>
      </c>
      <c r="K80" s="35">
        <v>120</v>
      </c>
      <c r="L80" s="60" t="str">
        <f>HYPERLINK("https://www.sds-group.ru/product/rozetka-1-aya-s-z-s-u-16a-meh-serebryanyy-metallik-kranz-KR-78-0271/", "Инфо")</f>
        <v>Инфо</v>
      </c>
      <c r="M80" s="37">
        <v>7.4999999999999997E-2</v>
      </c>
      <c r="N80" s="38">
        <v>3.2400000000000001E-4</v>
      </c>
      <c r="O80" s="141">
        <v>4601004263765</v>
      </c>
    </row>
    <row r="81" spans="1:15" s="1" customFormat="1" ht="11.45" customHeight="1" outlineLevel="4" x14ac:dyDescent="0.2">
      <c r="A81" s="32" t="s">
        <v>171</v>
      </c>
      <c r="B81" s="74" t="s">
        <v>172</v>
      </c>
      <c r="C81" s="50"/>
      <c r="D81" s="139">
        <f t="shared" si="1"/>
        <v>0</v>
      </c>
      <c r="E81" s="140">
        <v>18.95</v>
      </c>
      <c r="F81" s="140">
        <v>15.53</v>
      </c>
      <c r="G81" s="34" t="s">
        <v>100</v>
      </c>
      <c r="H81" s="34" t="s">
        <v>39</v>
      </c>
      <c r="I81" s="35">
        <v>1</v>
      </c>
      <c r="J81" s="35">
        <v>1</v>
      </c>
      <c r="K81" s="35">
        <v>120</v>
      </c>
      <c r="L81" s="60" t="str">
        <f>HYPERLINK("https://www.sds-group.ru/product/rozetka-1-aya-s-z-s-u-16a-meh-chernyy-metallik-kranz-KR-78-0331/", "Инфо")</f>
        <v>Инфо</v>
      </c>
      <c r="M81" s="37">
        <v>7.4999999999999997E-2</v>
      </c>
      <c r="N81" s="38">
        <v>3.3599999999999998E-4</v>
      </c>
      <c r="O81" s="141">
        <v>4601004264366</v>
      </c>
    </row>
    <row r="82" spans="1:15" s="1" customFormat="1" ht="11.45" customHeight="1" outlineLevel="4" x14ac:dyDescent="0.2">
      <c r="A82" s="32" t="s">
        <v>173</v>
      </c>
      <c r="B82" s="74" t="s">
        <v>174</v>
      </c>
      <c r="C82" s="50"/>
      <c r="D82" s="139">
        <f t="shared" si="1"/>
        <v>0</v>
      </c>
      <c r="E82" s="140">
        <v>17.88</v>
      </c>
      <c r="F82" s="140">
        <v>14.66</v>
      </c>
      <c r="G82" s="34" t="s">
        <v>100</v>
      </c>
      <c r="H82" s="34" t="s">
        <v>39</v>
      </c>
      <c r="I82" s="35">
        <v>1</v>
      </c>
      <c r="J82" s="35">
        <v>1</v>
      </c>
      <c r="K82" s="35">
        <v>120</v>
      </c>
      <c r="L82" s="60" t="str">
        <f>HYPERLINK("https://www.sds-group.ru/product/rozetka-2-aya-b-z-s-u-10a-bezh-kranz-KR-78-0247/", "Инфо")</f>
        <v>Инфо</v>
      </c>
      <c r="M82" s="37">
        <v>7.1999999999999995E-2</v>
      </c>
      <c r="N82" s="38">
        <v>4.26E-4</v>
      </c>
      <c r="O82" s="141">
        <v>4601004263529</v>
      </c>
    </row>
    <row r="83" spans="1:15" s="1" customFormat="1" ht="11.45" customHeight="1" outlineLevel="4" x14ac:dyDescent="0.2">
      <c r="A83" s="32" t="s">
        <v>175</v>
      </c>
      <c r="B83" s="74" t="s">
        <v>176</v>
      </c>
      <c r="C83" s="50"/>
      <c r="D83" s="139">
        <f t="shared" si="1"/>
        <v>0</v>
      </c>
      <c r="E83" s="140">
        <v>18.95</v>
      </c>
      <c r="F83" s="140">
        <v>15.53</v>
      </c>
      <c r="G83" s="34" t="s">
        <v>100</v>
      </c>
      <c r="H83" s="34" t="s">
        <v>39</v>
      </c>
      <c r="I83" s="35">
        <v>1</v>
      </c>
      <c r="J83" s="35">
        <v>1</v>
      </c>
      <c r="K83" s="35">
        <v>120</v>
      </c>
      <c r="L83" s="60" t="str">
        <f>HYPERLINK("https://www.sds-group.ru/product/rozetka-2-aya-b-z-s-u-10a-bel-kranz-KR-78-0217/", "Инфо")</f>
        <v>Инфо</v>
      </c>
      <c r="M83" s="37">
        <v>7.1999999999999995E-2</v>
      </c>
      <c r="N83" s="38">
        <v>4.15E-4</v>
      </c>
      <c r="O83" s="141">
        <v>4601004263222</v>
      </c>
    </row>
    <row r="84" spans="1:15" s="1" customFormat="1" ht="11.45" customHeight="1" outlineLevel="4" x14ac:dyDescent="0.2">
      <c r="A84" s="32" t="s">
        <v>177</v>
      </c>
      <c r="B84" s="74" t="s">
        <v>178</v>
      </c>
      <c r="C84" s="50"/>
      <c r="D84" s="139">
        <f t="shared" si="1"/>
        <v>0</v>
      </c>
      <c r="E84" s="140">
        <v>17.88</v>
      </c>
      <c r="F84" s="140">
        <v>14.66</v>
      </c>
      <c r="G84" s="34" t="s">
        <v>100</v>
      </c>
      <c r="H84" s="34" t="s">
        <v>39</v>
      </c>
      <c r="I84" s="35">
        <v>1</v>
      </c>
      <c r="J84" s="35">
        <v>1</v>
      </c>
      <c r="K84" s="35">
        <v>120</v>
      </c>
      <c r="L84" s="60" t="str">
        <f>HYPERLINK("https://www.sds-group.ru/product/rozetka-2-aya-keramika-b-z-s-u-10a-bezh-kranz-KR-78-0249/", "Инфо")</f>
        <v>Инфо</v>
      </c>
      <c r="M84" s="37">
        <v>0.124</v>
      </c>
      <c r="N84" s="38">
        <v>6.8199999999999999E-4</v>
      </c>
      <c r="O84" s="141">
        <v>4601004263543</v>
      </c>
    </row>
    <row r="85" spans="1:15" s="1" customFormat="1" ht="11.45" customHeight="1" outlineLevel="4" x14ac:dyDescent="0.2">
      <c r="A85" s="32" t="s">
        <v>179</v>
      </c>
      <c r="B85" s="74" t="s">
        <v>180</v>
      </c>
      <c r="C85" s="50"/>
      <c r="D85" s="139">
        <f t="shared" si="1"/>
        <v>0</v>
      </c>
      <c r="E85" s="140">
        <v>18.95</v>
      </c>
      <c r="F85" s="140">
        <v>15.53</v>
      </c>
      <c r="G85" s="34" t="s">
        <v>100</v>
      </c>
      <c r="H85" s="34" t="s">
        <v>39</v>
      </c>
      <c r="I85" s="35">
        <v>1</v>
      </c>
      <c r="J85" s="35">
        <v>1</v>
      </c>
      <c r="K85" s="35">
        <v>100</v>
      </c>
      <c r="L85" s="60" t="str">
        <f>HYPERLINK("https://www.sds-group.ru/product/rozetka-2-aya-keramika-s-z-s-u-16a-bel-kranz-KR-78-0220/", "Инфо")</f>
        <v>Инфо</v>
      </c>
      <c r="M85" s="37">
        <v>0.14199999999999999</v>
      </c>
      <c r="N85" s="38">
        <v>7.0600000000000003E-4</v>
      </c>
      <c r="O85" s="141">
        <v>4601004263253</v>
      </c>
    </row>
    <row r="86" spans="1:15" s="1" customFormat="1" ht="11.45" customHeight="1" outlineLevel="4" x14ac:dyDescent="0.2">
      <c r="A86" s="32" t="s">
        <v>181</v>
      </c>
      <c r="B86" s="74" t="s">
        <v>182</v>
      </c>
      <c r="C86" s="50"/>
      <c r="D86" s="139">
        <f t="shared" si="1"/>
        <v>0</v>
      </c>
      <c r="E86" s="140">
        <v>17.88</v>
      </c>
      <c r="F86" s="140">
        <v>14.66</v>
      </c>
      <c r="G86" s="34" t="s">
        <v>100</v>
      </c>
      <c r="H86" s="34" t="s">
        <v>39</v>
      </c>
      <c r="I86" s="35">
        <v>1</v>
      </c>
      <c r="J86" s="35">
        <v>1</v>
      </c>
      <c r="K86" s="35">
        <v>120</v>
      </c>
      <c r="L86" s="60" t="str">
        <f>HYPERLINK("https://www.sds-group.ru/product/rozetka-2-aya-s-z-s-u-16a-bezh-kranz-KR-78-0248/", "Инфо")</f>
        <v>Инфо</v>
      </c>
      <c r="M86" s="37">
        <v>9.8000000000000004E-2</v>
      </c>
      <c r="N86" s="38">
        <v>6.8800000000000003E-4</v>
      </c>
      <c r="O86" s="141">
        <v>4601004263536</v>
      </c>
    </row>
    <row r="87" spans="1:15" s="1" customFormat="1" ht="11.45" customHeight="1" outlineLevel="4" x14ac:dyDescent="0.2">
      <c r="A87" s="32" t="s">
        <v>183</v>
      </c>
      <c r="B87" s="74" t="s">
        <v>184</v>
      </c>
      <c r="C87" s="50"/>
      <c r="D87" s="139">
        <f t="shared" si="1"/>
        <v>0</v>
      </c>
      <c r="E87" s="140">
        <v>17.88</v>
      </c>
      <c r="F87" s="140">
        <v>14.66</v>
      </c>
      <c r="G87" s="34" t="s">
        <v>100</v>
      </c>
      <c r="H87" s="34" t="s">
        <v>39</v>
      </c>
      <c r="I87" s="35">
        <v>1</v>
      </c>
      <c r="J87" s="35">
        <v>1</v>
      </c>
      <c r="K87" s="35">
        <v>100</v>
      </c>
      <c r="L87" s="60" t="str">
        <f>HYPERLINK("https://www.sds-group.ru/product/rozetka-2-aya-s-z-s-u-16a-bel-kranz-KR-78-0218/", "Инфо")</f>
        <v>Инфо</v>
      </c>
      <c r="M87" s="37">
        <v>9.8000000000000004E-2</v>
      </c>
      <c r="N87" s="38">
        <v>6.9300000000000004E-4</v>
      </c>
      <c r="O87" s="141">
        <v>4601004263239</v>
      </c>
    </row>
    <row r="88" spans="1:15" s="1" customFormat="1" ht="11.45" customHeight="1" outlineLevel="4" x14ac:dyDescent="0.2">
      <c r="A88" s="32" t="s">
        <v>185</v>
      </c>
      <c r="B88" s="74" t="s">
        <v>186</v>
      </c>
      <c r="C88" s="50"/>
      <c r="D88" s="139">
        <f t="shared" si="1"/>
        <v>0</v>
      </c>
      <c r="E88" s="140">
        <v>12.51</v>
      </c>
      <c r="F88" s="140">
        <v>10.25</v>
      </c>
      <c r="G88" s="34" t="s">
        <v>100</v>
      </c>
      <c r="H88" s="34" t="s">
        <v>39</v>
      </c>
      <c r="I88" s="35">
        <v>1</v>
      </c>
      <c r="J88" s="35">
        <v>1</v>
      </c>
      <c r="K88" s="35">
        <v>120</v>
      </c>
      <c r="L88" s="60" t="str">
        <f>HYPERLINK("https://www.sds-group.ru/product/rozetka-kompyuter-rj45-s-u-meh-bezh-kranz-KR-78-0253/", "Инфо")</f>
        <v>Инфо</v>
      </c>
      <c r="M88" s="37">
        <v>6.5000000000000002E-2</v>
      </c>
      <c r="N88" s="38">
        <v>4.0900000000000002E-4</v>
      </c>
      <c r="O88" s="141">
        <v>4601004263581</v>
      </c>
    </row>
    <row r="89" spans="1:15" s="1" customFormat="1" ht="11.45" customHeight="1" outlineLevel="4" x14ac:dyDescent="0.2">
      <c r="A89" s="32" t="s">
        <v>187</v>
      </c>
      <c r="B89" s="74" t="s">
        <v>188</v>
      </c>
      <c r="C89" s="50"/>
      <c r="D89" s="139">
        <f t="shared" si="1"/>
        <v>0</v>
      </c>
      <c r="E89" s="140">
        <v>12.51</v>
      </c>
      <c r="F89" s="140">
        <v>10.25</v>
      </c>
      <c r="G89" s="34" t="s">
        <v>100</v>
      </c>
      <c r="H89" s="34" t="s">
        <v>39</v>
      </c>
      <c r="I89" s="35">
        <v>1</v>
      </c>
      <c r="J89" s="35">
        <v>1</v>
      </c>
      <c r="K89" s="35">
        <v>120</v>
      </c>
      <c r="L89" s="60" t="str">
        <f>HYPERLINK("https://www.sds-group.ru/product/rozetka-kompyuter-rj45-s-u-meh-bel-kranz-KR-78-0223/", "Инфо")</f>
        <v>Инфо</v>
      </c>
      <c r="M89" s="37">
        <v>6.5000000000000002E-2</v>
      </c>
      <c r="N89" s="38">
        <v>4.08E-4</v>
      </c>
      <c r="O89" s="141">
        <v>4601004263284</v>
      </c>
    </row>
    <row r="90" spans="1:15" s="1" customFormat="1" ht="11.45" customHeight="1" outlineLevel="4" x14ac:dyDescent="0.2">
      <c r="A90" s="32" t="s">
        <v>189</v>
      </c>
      <c r="B90" s="74" t="s">
        <v>190</v>
      </c>
      <c r="C90" s="50"/>
      <c r="D90" s="139">
        <f t="shared" si="1"/>
        <v>0</v>
      </c>
      <c r="E90" s="140">
        <v>12.51</v>
      </c>
      <c r="F90" s="140">
        <v>10.25</v>
      </c>
      <c r="G90" s="34" t="s">
        <v>100</v>
      </c>
      <c r="H90" s="34" t="s">
        <v>39</v>
      </c>
      <c r="I90" s="35">
        <v>1</v>
      </c>
      <c r="J90" s="35">
        <v>1</v>
      </c>
      <c r="K90" s="35">
        <v>120</v>
      </c>
      <c r="L90" s="60" t="str">
        <f>HYPERLINK("https://www.sds-group.ru/product/rozetka-tv-prohodnaya-s-u-meh-bezh-kranz-KR-78-0251/", "Инфо")</f>
        <v>Инфо</v>
      </c>
      <c r="M90" s="37">
        <v>6.3E-2</v>
      </c>
      <c r="N90" s="38">
        <v>4.0900000000000002E-4</v>
      </c>
      <c r="O90" s="141">
        <v>4601004263567</v>
      </c>
    </row>
    <row r="91" spans="1:15" s="1" customFormat="1" ht="11.45" customHeight="1" outlineLevel="4" x14ac:dyDescent="0.2">
      <c r="A91" s="32" t="s">
        <v>191</v>
      </c>
      <c r="B91" s="74" t="s">
        <v>192</v>
      </c>
      <c r="C91" s="50"/>
      <c r="D91" s="139">
        <f t="shared" si="1"/>
        <v>0</v>
      </c>
      <c r="E91" s="140">
        <v>12.51</v>
      </c>
      <c r="F91" s="140">
        <v>10.25</v>
      </c>
      <c r="G91" s="34" t="s">
        <v>100</v>
      </c>
      <c r="H91" s="34" t="s">
        <v>39</v>
      </c>
      <c r="I91" s="35">
        <v>1</v>
      </c>
      <c r="J91" s="35">
        <v>1</v>
      </c>
      <c r="K91" s="35">
        <v>120</v>
      </c>
      <c r="L91" s="60" t="str">
        <f>HYPERLINK("https://www.sds-group.ru/product/rozetka-tv-prohodnaya-s-u-meh-bel-kranz-KR-78-0221/", "Инфо")</f>
        <v>Инфо</v>
      </c>
      <c r="M91" s="37">
        <v>6.4000000000000001E-2</v>
      </c>
      <c r="N91" s="38">
        <v>4.1599999999999997E-4</v>
      </c>
      <c r="O91" s="141">
        <v>4601004263260</v>
      </c>
    </row>
    <row r="92" spans="1:15" s="1" customFormat="1" ht="11.45" customHeight="1" outlineLevel="4" x14ac:dyDescent="0.2">
      <c r="A92" s="32" t="s">
        <v>193</v>
      </c>
      <c r="B92" s="74" t="s">
        <v>194</v>
      </c>
      <c r="C92" s="50"/>
      <c r="D92" s="139">
        <f t="shared" si="1"/>
        <v>0</v>
      </c>
      <c r="E92" s="140">
        <v>12.51</v>
      </c>
      <c r="F92" s="140">
        <v>10.25</v>
      </c>
      <c r="G92" s="34" t="s">
        <v>100</v>
      </c>
      <c r="H92" s="34" t="s">
        <v>39</v>
      </c>
      <c r="I92" s="35">
        <v>1</v>
      </c>
      <c r="J92" s="35">
        <v>1</v>
      </c>
      <c r="K92" s="35">
        <v>120</v>
      </c>
      <c r="L92" s="60" t="str">
        <f>HYPERLINK("https://www.sds-group.ru/product/rozetka-telefon-rj11-s-u-meh-bezh-kranz-KR-78-0252/", "Инфо")</f>
        <v>Инфо</v>
      </c>
      <c r="M92" s="37">
        <v>4.8000000000000001E-2</v>
      </c>
      <c r="N92" s="38">
        <v>4.0000000000000002E-4</v>
      </c>
      <c r="O92" s="141">
        <v>4601004263574</v>
      </c>
    </row>
    <row r="93" spans="1:15" s="1" customFormat="1" ht="11.45" customHeight="1" outlineLevel="4" x14ac:dyDescent="0.2">
      <c r="A93" s="32" t="s">
        <v>195</v>
      </c>
      <c r="B93" s="74" t="s">
        <v>196</v>
      </c>
      <c r="C93" s="50"/>
      <c r="D93" s="139">
        <f t="shared" si="1"/>
        <v>0</v>
      </c>
      <c r="E93" s="140">
        <v>12.51</v>
      </c>
      <c r="F93" s="140">
        <v>10.25</v>
      </c>
      <c r="G93" s="34" t="s">
        <v>100</v>
      </c>
      <c r="H93" s="34" t="s">
        <v>39</v>
      </c>
      <c r="I93" s="35">
        <v>1</v>
      </c>
      <c r="J93" s="35">
        <v>1</v>
      </c>
      <c r="K93" s="35">
        <v>120</v>
      </c>
      <c r="L93" s="60" t="str">
        <f>HYPERLINK("https://www.sds-group.ru/product/rozetka-telefon-rj11-s-u-meh-bel-kranz-KR-78-0222/", "Инфо")</f>
        <v>Инфо</v>
      </c>
      <c r="M93" s="37">
        <v>4.8000000000000001E-2</v>
      </c>
      <c r="N93" s="38">
        <v>4.08E-4</v>
      </c>
      <c r="O93" s="141">
        <v>4601004263277</v>
      </c>
    </row>
    <row r="94" spans="1:15" s="1" customFormat="1" ht="11.45" customHeight="1" outlineLevel="4" x14ac:dyDescent="0.2">
      <c r="A94" s="32" t="s">
        <v>197</v>
      </c>
      <c r="B94" s="74" t="s">
        <v>198</v>
      </c>
      <c r="C94" s="50"/>
      <c r="D94" s="139">
        <f t="shared" si="1"/>
        <v>0</v>
      </c>
      <c r="E94" s="140">
        <v>25.03</v>
      </c>
      <c r="F94" s="140">
        <v>20.52</v>
      </c>
      <c r="G94" s="34" t="s">
        <v>100</v>
      </c>
      <c r="H94" s="34" t="s">
        <v>39</v>
      </c>
      <c r="I94" s="35">
        <v>1</v>
      </c>
      <c r="J94" s="35">
        <v>1</v>
      </c>
      <c r="K94" s="35">
        <v>100</v>
      </c>
      <c r="L94" s="60" t="str">
        <f>HYPERLINK("https://www.sds-group.ru/product/svetoregulyator-300vt-s-u-meh-bezh-kranz-KR-78-0254/", "Инфо")</f>
        <v>Инфо</v>
      </c>
      <c r="M94" s="37">
        <v>7.5999999999999998E-2</v>
      </c>
      <c r="N94" s="38">
        <v>5.8900000000000001E-4</v>
      </c>
      <c r="O94" s="141">
        <v>4601004263598</v>
      </c>
    </row>
    <row r="95" spans="1:15" s="1" customFormat="1" ht="11.45" customHeight="1" outlineLevel="4" x14ac:dyDescent="0.2">
      <c r="A95" s="32" t="s">
        <v>199</v>
      </c>
      <c r="B95" s="74" t="s">
        <v>200</v>
      </c>
      <c r="C95" s="50"/>
      <c r="D95" s="139">
        <f t="shared" si="1"/>
        <v>0</v>
      </c>
      <c r="E95" s="140">
        <v>26.53</v>
      </c>
      <c r="F95" s="140">
        <v>21.75</v>
      </c>
      <c r="G95" s="34" t="s">
        <v>100</v>
      </c>
      <c r="H95" s="34" t="s">
        <v>39</v>
      </c>
      <c r="I95" s="35">
        <v>1</v>
      </c>
      <c r="J95" s="35">
        <v>1</v>
      </c>
      <c r="K95" s="35">
        <v>100</v>
      </c>
      <c r="L95" s="60" t="str">
        <f>HYPERLINK("https://www.sds-group.ru/product/svetoregulyator-300vt-s-u-meh-bel-kranz-KR-78-0224/", "Инфо")</f>
        <v>Инфо</v>
      </c>
      <c r="M95" s="37">
        <v>7.5999999999999998E-2</v>
      </c>
      <c r="N95" s="38">
        <v>5.8900000000000001E-4</v>
      </c>
      <c r="O95" s="141">
        <v>4601004263291</v>
      </c>
    </row>
    <row r="96" spans="1:15" ht="11.45" customHeight="1" outlineLevel="2" x14ac:dyDescent="0.2">
      <c r="A96" s="76" t="s">
        <v>875</v>
      </c>
      <c r="B96" s="136"/>
      <c r="C96" s="77"/>
      <c r="D96" s="137"/>
      <c r="E96" s="4"/>
      <c r="F96" s="4"/>
      <c r="G96" s="4"/>
      <c r="H96" s="4"/>
      <c r="I96" s="4"/>
      <c r="J96" s="4"/>
      <c r="K96" s="4"/>
      <c r="L96" s="138"/>
      <c r="M96" s="4"/>
      <c r="N96" s="4"/>
      <c r="O96" s="4"/>
    </row>
    <row r="97" spans="1:15" ht="11.45" customHeight="1" outlineLevel="3" x14ac:dyDescent="0.2">
      <c r="A97" s="76" t="s">
        <v>876</v>
      </c>
      <c r="B97" s="136"/>
      <c r="C97" s="77"/>
      <c r="D97" s="137"/>
      <c r="E97" s="4"/>
      <c r="F97" s="4"/>
      <c r="G97" s="4"/>
      <c r="H97" s="4"/>
      <c r="I97" s="4"/>
      <c r="J97" s="4"/>
      <c r="K97" s="4"/>
      <c r="L97" s="138"/>
      <c r="M97" s="4"/>
      <c r="N97" s="4"/>
      <c r="O97" s="4"/>
    </row>
    <row r="98" spans="1:15" s="1" customFormat="1" ht="11.45" customHeight="1" outlineLevel="4" x14ac:dyDescent="0.2">
      <c r="A98" s="32" t="s">
        <v>879</v>
      </c>
      <c r="B98" s="74" t="s">
        <v>880</v>
      </c>
      <c r="C98" s="50"/>
      <c r="D98" s="139">
        <f t="shared" si="1"/>
        <v>0</v>
      </c>
      <c r="E98" s="140">
        <v>287.64999999999998</v>
      </c>
      <c r="F98" s="140">
        <v>235.78</v>
      </c>
      <c r="G98" s="34" t="s">
        <v>100</v>
      </c>
      <c r="H98" s="34" t="s">
        <v>39</v>
      </c>
      <c r="I98" s="35">
        <v>1</v>
      </c>
      <c r="J98" s="35">
        <v>1</v>
      </c>
      <c r="K98" s="35">
        <v>50</v>
      </c>
      <c r="L98" s="60" t="str">
        <f>HYPERLINK("https://www.sds-group.ru/product/blok-gorizontalnyy-2-rozetki-ip54-s-z-o-u-belyy-indastrial-kranz-KR-78-0805/", "Инфо")</f>
        <v>Инфо</v>
      </c>
      <c r="M98" s="37">
        <v>0.17799999999999999</v>
      </c>
      <c r="N98" s="38">
        <v>6.6200000000000015E-4</v>
      </c>
      <c r="O98" s="141">
        <v>4601004248281</v>
      </c>
    </row>
    <row r="99" spans="1:15" s="1" customFormat="1" ht="11.45" customHeight="1" outlineLevel="4" x14ac:dyDescent="0.2">
      <c r="A99" s="32" t="s">
        <v>889</v>
      </c>
      <c r="B99" s="74" t="s">
        <v>890</v>
      </c>
      <c r="C99" s="50"/>
      <c r="D99" s="139">
        <f t="shared" si="1"/>
        <v>0</v>
      </c>
      <c r="E99" s="140">
        <v>132.96</v>
      </c>
      <c r="F99" s="140">
        <v>108.98</v>
      </c>
      <c r="G99" s="34" t="s">
        <v>100</v>
      </c>
      <c r="H99" s="34" t="s">
        <v>39</v>
      </c>
      <c r="I99" s="35">
        <v>1</v>
      </c>
      <c r="J99" s="35">
        <v>1</v>
      </c>
      <c r="K99" s="35">
        <v>240</v>
      </c>
      <c r="L99" s="60" t="str">
        <f>HYPERLINK("https://www.sds-group.ru/product/vyklyuchatel-dvuhklavishnyy-ip54-o-u-belyy-indastrial-kranz-KR-78-0832/", "Инфо")</f>
        <v>Инфо</v>
      </c>
      <c r="M99" s="37">
        <v>0.11</v>
      </c>
      <c r="N99" s="38">
        <v>5.3499999999999999E-4</v>
      </c>
      <c r="O99" s="141">
        <v>4601004248403</v>
      </c>
    </row>
    <row r="100" spans="1:15" s="1" customFormat="1" ht="11.45" customHeight="1" outlineLevel="4" x14ac:dyDescent="0.2">
      <c r="A100" s="32" t="s">
        <v>895</v>
      </c>
      <c r="B100" s="74" t="s">
        <v>896</v>
      </c>
      <c r="C100" s="50"/>
      <c r="D100" s="139">
        <f t="shared" si="1"/>
        <v>0</v>
      </c>
      <c r="E100" s="140">
        <v>131.80000000000001</v>
      </c>
      <c r="F100" s="140">
        <v>108.03</v>
      </c>
      <c r="G100" s="34" t="s">
        <v>100</v>
      </c>
      <c r="H100" s="34" t="s">
        <v>39</v>
      </c>
      <c r="I100" s="35">
        <v>1</v>
      </c>
      <c r="J100" s="35">
        <v>1</v>
      </c>
      <c r="K100" s="35">
        <v>288</v>
      </c>
      <c r="L100" s="60" t="str">
        <f>HYPERLINK("https://www.sds-group.ru/product/vyklyuchatel-dvuhklavishnyy-ip54-o-u-seryy-mini-kranz-KR-78-0833/", "Инфо")</f>
        <v>Инфо</v>
      </c>
      <c r="M100" s="37">
        <v>9.8000000000000004E-2</v>
      </c>
      <c r="N100" s="38">
        <v>4.2499999999999998E-4</v>
      </c>
      <c r="O100" s="141">
        <v>4601004248359</v>
      </c>
    </row>
    <row r="101" spans="1:15" s="1" customFormat="1" ht="11.45" customHeight="1" outlineLevel="4" x14ac:dyDescent="0.2">
      <c r="A101" s="32" t="s">
        <v>905</v>
      </c>
      <c r="B101" s="74" t="s">
        <v>906</v>
      </c>
      <c r="C101" s="50"/>
      <c r="D101" s="139">
        <f t="shared" si="1"/>
        <v>0</v>
      </c>
      <c r="E101" s="140">
        <v>148.06</v>
      </c>
      <c r="F101" s="140">
        <v>121.36</v>
      </c>
      <c r="G101" s="34" t="s">
        <v>100</v>
      </c>
      <c r="H101" s="34" t="s">
        <v>39</v>
      </c>
      <c r="I101" s="35">
        <v>1</v>
      </c>
      <c r="J101" s="35">
        <v>1</v>
      </c>
      <c r="K101" s="35">
        <v>288</v>
      </c>
      <c r="L101" s="60" t="str">
        <f>HYPERLINK("https://www.sds-group.ru/product/pereklyuchatel-prohodnoy-ip54-o-u-seryy-mini-kranz-KR-78-0837/", "Инфо")</f>
        <v>Инфо</v>
      </c>
      <c r="M101" s="37">
        <v>9.5000000000000001E-2</v>
      </c>
      <c r="N101" s="38">
        <v>4.57E-4</v>
      </c>
      <c r="O101" s="141">
        <v>4601004248397</v>
      </c>
    </row>
    <row r="102" spans="1:15" ht="11.45" customHeight="1" outlineLevel="1" x14ac:dyDescent="0.2">
      <c r="A102" s="78" t="s">
        <v>915</v>
      </c>
      <c r="B102" s="132"/>
      <c r="C102" s="79"/>
      <c r="D102" s="133"/>
      <c r="E102" s="134"/>
      <c r="F102" s="134"/>
      <c r="G102" s="134"/>
      <c r="H102" s="134"/>
      <c r="I102" s="134"/>
      <c r="J102" s="134"/>
      <c r="K102" s="134"/>
      <c r="L102" s="135"/>
      <c r="M102" s="134"/>
      <c r="N102" s="134"/>
      <c r="O102" s="134"/>
    </row>
    <row r="103" spans="1:15" ht="11.45" customHeight="1" outlineLevel="2" x14ac:dyDescent="0.2">
      <c r="A103" s="76" t="s">
        <v>916</v>
      </c>
      <c r="B103" s="136"/>
      <c r="C103" s="77"/>
      <c r="D103" s="137"/>
      <c r="E103" s="4"/>
      <c r="F103" s="4"/>
      <c r="G103" s="4"/>
      <c r="H103" s="4"/>
      <c r="I103" s="4"/>
      <c r="J103" s="4"/>
      <c r="K103" s="4"/>
      <c r="L103" s="138"/>
      <c r="M103" s="4"/>
      <c r="N103" s="4"/>
      <c r="O103" s="4"/>
    </row>
    <row r="104" spans="1:15" ht="11.45" customHeight="1" outlineLevel="3" x14ac:dyDescent="0.2">
      <c r="A104" s="76" t="s">
        <v>917</v>
      </c>
      <c r="B104" s="136"/>
      <c r="C104" s="77"/>
      <c r="D104" s="137"/>
      <c r="E104" s="4"/>
      <c r="F104" s="4"/>
      <c r="G104" s="4"/>
      <c r="H104" s="4"/>
      <c r="I104" s="4"/>
      <c r="J104" s="4"/>
      <c r="K104" s="4"/>
      <c r="L104" s="138"/>
      <c r="M104" s="4"/>
      <c r="N104" s="4"/>
      <c r="O104" s="4"/>
    </row>
    <row r="105" spans="1:15" s="1" customFormat="1" ht="11.45" customHeight="1" outlineLevel="4" x14ac:dyDescent="0.2">
      <c r="A105" s="32" t="s">
        <v>955</v>
      </c>
      <c r="B105" s="74" t="s">
        <v>956</v>
      </c>
      <c r="C105" s="50"/>
      <c r="D105" s="139">
        <f t="shared" si="1"/>
        <v>0</v>
      </c>
      <c r="E105" s="140">
        <v>27.7</v>
      </c>
      <c r="F105" s="140">
        <v>22.7</v>
      </c>
      <c r="G105" s="34" t="s">
        <v>100</v>
      </c>
      <c r="H105" s="34" t="s">
        <v>39</v>
      </c>
      <c r="I105" s="35">
        <v>1</v>
      </c>
      <c r="J105" s="35">
        <v>1</v>
      </c>
      <c r="K105" s="35">
        <v>480</v>
      </c>
      <c r="L105" s="60" t="str">
        <f>HYPERLINK("https://www.sds-group.ru/product/rozetka-razbornaya-bez-z-k-10a-chernaya-rexant-11-8540/", "Инфо")</f>
        <v>Инфо</v>
      </c>
      <c r="M105" s="37">
        <v>6.9000000000000006E-2</v>
      </c>
      <c r="N105" s="38">
        <v>2.5500000000000002E-4</v>
      </c>
      <c r="O105" s="141">
        <v>4601004240643</v>
      </c>
    </row>
    <row r="106" spans="1:15" ht="11.45" customHeight="1" outlineLevel="2" x14ac:dyDescent="0.2">
      <c r="A106" s="76" t="s">
        <v>992</v>
      </c>
      <c r="B106" s="136"/>
      <c r="C106" s="77"/>
      <c r="D106" s="137"/>
      <c r="E106" s="4"/>
      <c r="F106" s="4"/>
      <c r="G106" s="4"/>
      <c r="H106" s="4"/>
      <c r="I106" s="4"/>
      <c r="J106" s="4"/>
      <c r="K106" s="4"/>
      <c r="L106" s="138"/>
      <c r="M106" s="4"/>
      <c r="N106" s="4"/>
      <c r="O106" s="4"/>
    </row>
    <row r="107" spans="1:15" s="1" customFormat="1" ht="11.45" customHeight="1" outlineLevel="3" x14ac:dyDescent="0.2">
      <c r="A107" s="32" t="s">
        <v>1005</v>
      </c>
      <c r="B107" s="74" t="s">
        <v>1006</v>
      </c>
      <c r="C107" s="50"/>
      <c r="D107" s="139">
        <f t="shared" si="1"/>
        <v>0</v>
      </c>
      <c r="E107" s="140">
        <v>10.36</v>
      </c>
      <c r="F107" s="140">
        <v>8.49</v>
      </c>
      <c r="G107" s="34" t="s">
        <v>100</v>
      </c>
      <c r="H107" s="34" t="s">
        <v>39</v>
      </c>
      <c r="I107" s="35">
        <v>50</v>
      </c>
      <c r="J107" s="35">
        <v>50</v>
      </c>
      <c r="K107" s="39">
        <v>2000</v>
      </c>
      <c r="L107" s="60" t="str">
        <f>HYPERLINK("https://www.sds-group.ru/product/adapter-setevoy-perehodnik-s-evro-a-f-na-vilku-s1-cee-7-2-piter-6a-b-z-chernyy-rexant-11-1067/", "Инфо")</f>
        <v>Инфо</v>
      </c>
      <c r="M107" s="37">
        <v>0.01</v>
      </c>
      <c r="N107" s="38">
        <v>3.0000000000000001E-5</v>
      </c>
      <c r="O107" s="141">
        <v>4601004068131</v>
      </c>
    </row>
    <row r="108" spans="1:15" ht="11.45" customHeight="1" outlineLevel="2" x14ac:dyDescent="0.2">
      <c r="A108" s="76" t="s">
        <v>1027</v>
      </c>
      <c r="B108" s="136"/>
      <c r="C108" s="77"/>
      <c r="D108" s="137"/>
      <c r="E108" s="4"/>
      <c r="F108" s="4"/>
      <c r="G108" s="4"/>
      <c r="H108" s="4"/>
      <c r="I108" s="4"/>
      <c r="J108" s="4"/>
      <c r="K108" s="4"/>
      <c r="L108" s="138"/>
      <c r="M108" s="4"/>
      <c r="N108" s="4"/>
      <c r="O108" s="4"/>
    </row>
    <row r="109" spans="1:15" s="1" customFormat="1" ht="11.45" customHeight="1" outlineLevel="3" x14ac:dyDescent="0.2">
      <c r="A109" s="32" t="s">
        <v>1030</v>
      </c>
      <c r="B109" s="74" t="s">
        <v>1029</v>
      </c>
      <c r="C109" s="50"/>
      <c r="D109" s="139">
        <f t="shared" si="1"/>
        <v>0</v>
      </c>
      <c r="E109" s="140">
        <v>35.24</v>
      </c>
      <c r="F109" s="140">
        <v>28.89</v>
      </c>
      <c r="G109" s="34" t="s">
        <v>100</v>
      </c>
      <c r="H109" s="34" t="s">
        <v>1001</v>
      </c>
      <c r="I109" s="35">
        <v>1</v>
      </c>
      <c r="J109" s="35">
        <v>1</v>
      </c>
      <c r="K109" s="35">
        <v>50</v>
      </c>
      <c r="L109" s="60" t="str">
        <f>HYPERLINK("https://www.sds-group.ru/product/vyklyuchatel-dlya-nastennogo-svetilnika-c-derevyannym-nakonechnikom-zoloto-rexant-32-0106-1/", "Инфо")</f>
        <v>Инфо</v>
      </c>
      <c r="M109" s="37">
        <v>1.7000000000000001E-2</v>
      </c>
      <c r="N109" s="38">
        <v>8.3999999999999995E-5</v>
      </c>
      <c r="O109" s="141">
        <v>4601004253414</v>
      </c>
    </row>
    <row r="110" spans="1:15" s="1" customFormat="1" ht="11.45" customHeight="1" outlineLevel="3" x14ac:dyDescent="0.2">
      <c r="A110" s="32" t="s">
        <v>1036</v>
      </c>
      <c r="B110" s="74" t="s">
        <v>1034</v>
      </c>
      <c r="C110" s="50"/>
      <c r="D110" s="139">
        <f t="shared" si="1"/>
        <v>0</v>
      </c>
      <c r="E110" s="140">
        <v>35.299999999999997</v>
      </c>
      <c r="F110" s="140">
        <v>28.93</v>
      </c>
      <c r="G110" s="34" t="s">
        <v>100</v>
      </c>
      <c r="H110" s="34" t="s">
        <v>1001</v>
      </c>
      <c r="I110" s="35">
        <v>1</v>
      </c>
      <c r="J110" s="35">
        <v>1</v>
      </c>
      <c r="K110" s="35">
        <v>50</v>
      </c>
      <c r="L110" s="60" t="str">
        <f>HYPERLINK("https://www.sds-group.ru/product/vyklyuchatel-dlya-nastennogo-svetilnika-c-derevyannym-nakonechnikom-serebro-rexant-32-0105-1/", "Инфо")</f>
        <v>Инфо</v>
      </c>
      <c r="M110" s="37">
        <v>1.7000000000000001E-2</v>
      </c>
      <c r="N110" s="38">
        <v>6.0999999999999999E-5</v>
      </c>
      <c r="O110" s="141">
        <v>4601004253421</v>
      </c>
    </row>
    <row r="111" spans="1:15" s="1" customFormat="1" ht="11.45" customHeight="1" outlineLevel="3" x14ac:dyDescent="0.2">
      <c r="A111" s="32" t="s">
        <v>1049</v>
      </c>
      <c r="B111" s="74" t="s">
        <v>1048</v>
      </c>
      <c r="C111" s="50"/>
      <c r="D111" s="139">
        <f t="shared" si="1"/>
        <v>0</v>
      </c>
      <c r="E111" s="140">
        <v>28.42</v>
      </c>
      <c r="F111" s="140">
        <v>23.3</v>
      </c>
      <c r="G111" s="34" t="s">
        <v>100</v>
      </c>
      <c r="H111" s="34" t="s">
        <v>1001</v>
      </c>
      <c r="I111" s="35">
        <v>1</v>
      </c>
      <c r="J111" s="35">
        <v>1</v>
      </c>
      <c r="K111" s="35">
        <v>50</v>
      </c>
      <c r="L111" s="60" t="str">
        <f>HYPERLINK("https://www.sds-group.ru/product/vyklyuchatel-dlya-nastennogo-svetilnika-s-tsepochkoy-270mm-zoloto-rexant-32-0102-1/", "Инфо")</f>
        <v>Инфо</v>
      </c>
      <c r="M111" s="37">
        <v>1.0999999999999999E-2</v>
      </c>
      <c r="N111" s="38">
        <v>7.8999999999999996E-5</v>
      </c>
      <c r="O111" s="141">
        <v>4601004253452</v>
      </c>
    </row>
    <row r="112" spans="1:15" ht="11.45" customHeight="1" outlineLevel="2" x14ac:dyDescent="0.2">
      <c r="A112" s="76" t="s">
        <v>1063</v>
      </c>
      <c r="B112" s="136"/>
      <c r="C112" s="77"/>
      <c r="D112" s="137"/>
      <c r="E112" s="4"/>
      <c r="F112" s="4"/>
      <c r="G112" s="4"/>
      <c r="H112" s="4"/>
      <c r="I112" s="4"/>
      <c r="J112" s="4"/>
      <c r="K112" s="4"/>
      <c r="L112" s="138"/>
      <c r="M112" s="4"/>
      <c r="N112" s="4"/>
      <c r="O112" s="4"/>
    </row>
    <row r="113" spans="1:15" s="1" customFormat="1" ht="11.45" customHeight="1" outlineLevel="3" x14ac:dyDescent="0.2">
      <c r="A113" s="32" t="s">
        <v>1088</v>
      </c>
      <c r="B113" s="74" t="s">
        <v>1089</v>
      </c>
      <c r="C113" s="50"/>
      <c r="D113" s="139">
        <f t="shared" si="1"/>
        <v>0</v>
      </c>
      <c r="E113" s="140">
        <v>88.39</v>
      </c>
      <c r="F113" s="140">
        <v>72.45</v>
      </c>
      <c r="G113" s="34" t="s">
        <v>100</v>
      </c>
      <c r="H113" s="34" t="s">
        <v>39</v>
      </c>
      <c r="I113" s="35">
        <v>1</v>
      </c>
      <c r="J113" s="35">
        <v>1</v>
      </c>
      <c r="K113" s="35">
        <v>50</v>
      </c>
      <c r="L113" s="60" t="str">
        <f>HYPERLINK("https://www.sds-group.ru/product/shnur-elektricheskiy-s-vilkoy-pvs-2h0-75-mm2-1-5m-cherniy-rexant-29519/", "Инфо")</f>
        <v>Инфо</v>
      </c>
      <c r="M113" s="37">
        <v>0.11</v>
      </c>
      <c r="N113" s="38">
        <v>6.1700000000000004E-4</v>
      </c>
      <c r="O113" s="141">
        <v>4601004273276</v>
      </c>
    </row>
    <row r="114" spans="1:15" s="1" customFormat="1" ht="11.45" customHeight="1" outlineLevel="3" x14ac:dyDescent="0.2">
      <c r="A114" s="32" t="s">
        <v>1105</v>
      </c>
      <c r="B114" s="74" t="s">
        <v>1106</v>
      </c>
      <c r="C114" s="50"/>
      <c r="D114" s="139">
        <f t="shared" si="1"/>
        <v>0</v>
      </c>
      <c r="E114" s="140">
        <v>272.60000000000002</v>
      </c>
      <c r="F114" s="140">
        <v>223.44</v>
      </c>
      <c r="G114" s="34" t="s">
        <v>100</v>
      </c>
      <c r="H114" s="34" t="s">
        <v>39</v>
      </c>
      <c r="I114" s="35">
        <v>1</v>
      </c>
      <c r="J114" s="35">
        <v>1</v>
      </c>
      <c r="K114" s="35">
        <v>30</v>
      </c>
      <c r="L114" s="60" t="str">
        <f>HYPERLINK("https://www.sds-group.ru/product/shnur-elektricheskiy-s-vilkoy-pvs-3h1-0-mm-5m-chernyy-rexant-11-1322/", "Инфо")</f>
        <v>Инфо</v>
      </c>
      <c r="M114" s="37">
        <v>0.34799999999999998</v>
      </c>
      <c r="N114" s="38">
        <v>1.983E-3</v>
      </c>
      <c r="O114" s="141">
        <v>4601004273443</v>
      </c>
    </row>
    <row r="115" spans="1:15" ht="11.45" customHeight="1" outlineLevel="2" x14ac:dyDescent="0.2">
      <c r="A115" s="76" t="s">
        <v>1136</v>
      </c>
      <c r="B115" s="136"/>
      <c r="C115" s="77"/>
      <c r="D115" s="137"/>
      <c r="E115" s="4"/>
      <c r="F115" s="4"/>
      <c r="G115" s="4"/>
      <c r="H115" s="4"/>
      <c r="I115" s="4"/>
      <c r="J115" s="4"/>
      <c r="K115" s="4"/>
      <c r="L115" s="138"/>
      <c r="M115" s="4"/>
      <c r="N115" s="4"/>
      <c r="O115" s="4"/>
    </row>
    <row r="116" spans="1:15" ht="11.45" customHeight="1" outlineLevel="3" x14ac:dyDescent="0.2">
      <c r="A116" s="76" t="s">
        <v>1137</v>
      </c>
      <c r="B116" s="136"/>
      <c r="C116" s="77"/>
      <c r="D116" s="137"/>
      <c r="E116" s="4"/>
      <c r="F116" s="4"/>
      <c r="G116" s="4"/>
      <c r="H116" s="4"/>
      <c r="I116" s="4"/>
      <c r="J116" s="4"/>
      <c r="K116" s="4"/>
      <c r="L116" s="138"/>
      <c r="M116" s="4"/>
      <c r="N116" s="4"/>
      <c r="O116" s="4"/>
    </row>
    <row r="117" spans="1:15" s="1" customFormat="1" ht="11.45" customHeight="1" outlineLevel="4" x14ac:dyDescent="0.2">
      <c r="A117" s="32" t="s">
        <v>1155</v>
      </c>
      <c r="B117" s="74" t="s">
        <v>1156</v>
      </c>
      <c r="C117" s="50"/>
      <c r="D117" s="139">
        <f t="shared" si="1"/>
        <v>0</v>
      </c>
      <c r="E117" s="140">
        <v>6.59</v>
      </c>
      <c r="F117" s="140">
        <v>5.4</v>
      </c>
      <c r="G117" s="34" t="s">
        <v>100</v>
      </c>
      <c r="H117" s="34" t="s">
        <v>39</v>
      </c>
      <c r="I117" s="35">
        <v>1</v>
      </c>
      <c r="J117" s="35">
        <v>1</v>
      </c>
      <c r="K117" s="35">
        <v>200</v>
      </c>
      <c r="L117" s="60" t="str">
        <f>HYPERLINK("https://www.sds-group.ru/product/patron-plastikovyy-termostoykiy-podvesnoy-e14-chernyy-rexant-11-8843-4/", "Инфо")</f>
        <v>Инфо</v>
      </c>
      <c r="M117" s="37">
        <v>1.4E-2</v>
      </c>
      <c r="N117" s="38">
        <v>5.7000000000000003E-5</v>
      </c>
      <c r="O117" s="141">
        <v>4601004183421</v>
      </c>
    </row>
    <row r="118" spans="1:15" ht="11.45" customHeight="1" outlineLevel="3" x14ac:dyDescent="0.2">
      <c r="A118" s="76" t="s">
        <v>1171</v>
      </c>
      <c r="B118" s="136"/>
      <c r="C118" s="77"/>
      <c r="D118" s="137"/>
      <c r="E118" s="4"/>
      <c r="F118" s="4"/>
      <c r="G118" s="4"/>
      <c r="H118" s="4"/>
      <c r="I118" s="4"/>
      <c r="J118" s="4"/>
      <c r="K118" s="4"/>
      <c r="L118" s="138"/>
      <c r="M118" s="4"/>
      <c r="N118" s="4"/>
      <c r="O118" s="4"/>
    </row>
    <row r="119" spans="1:15" s="1" customFormat="1" ht="11.45" customHeight="1" outlineLevel="4" x14ac:dyDescent="0.2">
      <c r="A119" s="32" t="s">
        <v>1172</v>
      </c>
      <c r="B119" s="74" t="s">
        <v>1173</v>
      </c>
      <c r="C119" s="50"/>
      <c r="D119" s="139">
        <f t="shared" si="1"/>
        <v>0</v>
      </c>
      <c r="E119" s="140">
        <v>12.22</v>
      </c>
      <c r="F119" s="140">
        <v>10.02</v>
      </c>
      <c r="G119" s="34" t="s">
        <v>100</v>
      </c>
      <c r="H119" s="34" t="s">
        <v>39</v>
      </c>
      <c r="I119" s="35">
        <v>1</v>
      </c>
      <c r="J119" s="35">
        <v>1</v>
      </c>
      <c r="K119" s="35">
        <v>400</v>
      </c>
      <c r="L119" s="60" t="str">
        <f>HYPERLINK("https://www.sds-group.ru/product/patron-keramicheskiy-e14-s-etiketkoy-rexant-11-8893/", "Инфо")</f>
        <v>Инфо</v>
      </c>
      <c r="M119" s="37">
        <v>4.5999999999999999E-2</v>
      </c>
      <c r="N119" s="38">
        <v>8.7999999999999998E-5</v>
      </c>
      <c r="O119" s="141">
        <v>4601004050174</v>
      </c>
    </row>
    <row r="120" spans="1:15" s="1" customFormat="1" ht="11.45" customHeight="1" outlineLevel="4" x14ac:dyDescent="0.2">
      <c r="A120" s="32" t="s">
        <v>1178</v>
      </c>
      <c r="B120" s="74" t="s">
        <v>1179</v>
      </c>
      <c r="C120" s="50"/>
      <c r="D120" s="139">
        <f t="shared" si="1"/>
        <v>0</v>
      </c>
      <c r="E120" s="140">
        <v>58.12</v>
      </c>
      <c r="F120" s="140">
        <v>47.64</v>
      </c>
      <c r="G120" s="34" t="s">
        <v>100</v>
      </c>
      <c r="H120" s="34" t="s">
        <v>39</v>
      </c>
      <c r="I120" s="35">
        <v>1</v>
      </c>
      <c r="J120" s="35">
        <v>1</v>
      </c>
      <c r="K120" s="35">
        <v>120</v>
      </c>
      <c r="L120" s="60" t="str">
        <f>HYPERLINK("https://www.sds-group.ru/product/patron-keramicheskiy-e40-rexant-11-8866/", "Инфо")</f>
        <v>Инфо</v>
      </c>
      <c r="M120" s="37">
        <v>0.19400000000000001</v>
      </c>
      <c r="N120" s="38">
        <v>2.99E-4</v>
      </c>
      <c r="O120" s="141">
        <v>4601004142626</v>
      </c>
    </row>
    <row r="121" spans="1:15" ht="11.45" customHeight="1" outlineLevel="3" x14ac:dyDescent="0.2">
      <c r="A121" s="76" t="s">
        <v>1186</v>
      </c>
      <c r="B121" s="136"/>
      <c r="C121" s="77"/>
      <c r="D121" s="137"/>
      <c r="E121" s="4"/>
      <c r="F121" s="4"/>
      <c r="G121" s="4"/>
      <c r="H121" s="4"/>
      <c r="I121" s="4"/>
      <c r="J121" s="4"/>
      <c r="K121" s="4"/>
      <c r="L121" s="138"/>
      <c r="M121" s="4"/>
      <c r="N121" s="4"/>
      <c r="O121" s="4"/>
    </row>
    <row r="122" spans="1:15" s="1" customFormat="1" ht="11.45" customHeight="1" outlineLevel="4" x14ac:dyDescent="0.2">
      <c r="A122" s="32" t="s">
        <v>1193</v>
      </c>
      <c r="B122" s="74" t="s">
        <v>1194</v>
      </c>
      <c r="C122" s="50"/>
      <c r="D122" s="139">
        <f t="shared" si="1"/>
        <v>0</v>
      </c>
      <c r="E122" s="140">
        <v>30.57</v>
      </c>
      <c r="F122" s="140">
        <v>25.06</v>
      </c>
      <c r="G122" s="34" t="s">
        <v>100</v>
      </c>
      <c r="H122" s="34" t="s">
        <v>39</v>
      </c>
      <c r="I122" s="35">
        <v>12</v>
      </c>
      <c r="J122" s="35">
        <v>12</v>
      </c>
      <c r="K122" s="35">
        <v>600</v>
      </c>
      <c r="L122" s="60" t="str">
        <f>HYPERLINK("https://www.sds-group.ru/product/perehodnik-tsokolnyy-e14-gu10-belyy-rexant-11-8834/", "Инфо")</f>
        <v>Инфо</v>
      </c>
      <c r="M122" s="37">
        <v>2.8000000000000001E-2</v>
      </c>
      <c r="N122" s="38">
        <v>8.7000000000000001E-5</v>
      </c>
      <c r="O122" s="141">
        <v>4601004030428</v>
      </c>
    </row>
    <row r="123" spans="1:15" s="1" customFormat="1" ht="11.45" customHeight="1" outlineLevel="4" x14ac:dyDescent="0.2">
      <c r="A123" s="32" t="s">
        <v>1197</v>
      </c>
      <c r="B123" s="74" t="s">
        <v>1198</v>
      </c>
      <c r="C123" s="50"/>
      <c r="D123" s="139">
        <f t="shared" si="1"/>
        <v>0</v>
      </c>
      <c r="E123" s="140">
        <v>16.54</v>
      </c>
      <c r="F123" s="140">
        <v>13.56</v>
      </c>
      <c r="G123" s="34" t="s">
        <v>100</v>
      </c>
      <c r="H123" s="34" t="s">
        <v>39</v>
      </c>
      <c r="I123" s="35">
        <v>50</v>
      </c>
      <c r="J123" s="35">
        <v>50</v>
      </c>
      <c r="K123" s="35">
        <v>600</v>
      </c>
      <c r="L123" s="60" t="str">
        <f>HYPERLINK("https://www.sds-group.ru/product/perehodnik-tsokolnyy-e40-e27-belyy-rexant-11-8821/", "Инфо")</f>
        <v>Инфо</v>
      </c>
      <c r="M123" s="37">
        <v>1.7000000000000001E-2</v>
      </c>
      <c r="N123" s="38">
        <v>1.02E-4</v>
      </c>
      <c r="O123" s="141">
        <v>4601004030473</v>
      </c>
    </row>
    <row r="124" spans="1:15" s="1" customFormat="1" ht="11.45" customHeight="1" outlineLevel="4" x14ac:dyDescent="0.2">
      <c r="A124" s="32" t="s">
        <v>1199</v>
      </c>
      <c r="B124" s="74" t="s">
        <v>1200</v>
      </c>
      <c r="C124" s="50"/>
      <c r="D124" s="139">
        <f t="shared" si="1"/>
        <v>0</v>
      </c>
      <c r="E124" s="140">
        <v>35.869999999999997</v>
      </c>
      <c r="F124" s="140">
        <v>29.4</v>
      </c>
      <c r="G124" s="34" t="s">
        <v>100</v>
      </c>
      <c r="H124" s="34" t="s">
        <v>39</v>
      </c>
      <c r="I124" s="35">
        <v>25</v>
      </c>
      <c r="J124" s="35">
        <v>25</v>
      </c>
      <c r="K124" s="35">
        <v>500</v>
      </c>
      <c r="L124" s="60" t="str">
        <f>HYPERLINK("https://www.sds-group.ru/product/perehodnik-tsokolnyy-gu10-e14-rexant-11-8843/", "Инфо")</f>
        <v>Инфо</v>
      </c>
      <c r="M124" s="37">
        <v>1.6E-2</v>
      </c>
      <c r="N124" s="38">
        <v>1.2E-4</v>
      </c>
      <c r="O124" s="141">
        <v>4601004030404</v>
      </c>
    </row>
    <row r="125" spans="1:15" s="1" customFormat="1" ht="11.45" customHeight="1" outlineLevel="4" x14ac:dyDescent="0.2">
      <c r="A125" s="32" t="s">
        <v>1207</v>
      </c>
      <c r="B125" s="74" t="s">
        <v>1208</v>
      </c>
      <c r="C125" s="50"/>
      <c r="D125" s="139">
        <f t="shared" si="1"/>
        <v>0</v>
      </c>
      <c r="E125" s="140">
        <v>42.02</v>
      </c>
      <c r="F125" s="140">
        <v>34.44</v>
      </c>
      <c r="G125" s="34" t="s">
        <v>100</v>
      </c>
      <c r="H125" s="34" t="s">
        <v>39</v>
      </c>
      <c r="I125" s="35">
        <v>20</v>
      </c>
      <c r="J125" s="35">
        <v>20</v>
      </c>
      <c r="K125" s="35">
        <v>400</v>
      </c>
      <c r="L125" s="60" t="str">
        <f>HYPERLINK("https://www.sds-group.ru/product/perehodnik-tsokolnyy-e27-e40-rexant-11-8812/", "Инфо")</f>
        <v>Инфо</v>
      </c>
      <c r="M125" s="37">
        <v>5.5E-2</v>
      </c>
      <c r="N125" s="38">
        <v>1.6899999999999999E-4</v>
      </c>
      <c r="O125" s="141">
        <v>4601004030466</v>
      </c>
    </row>
    <row r="126" spans="1:15" s="1" customFormat="1" ht="11.45" customHeight="1" outlineLevel="4" x14ac:dyDescent="0.2">
      <c r="A126" s="32" t="s">
        <v>1209</v>
      </c>
      <c r="B126" s="74" t="s">
        <v>1210</v>
      </c>
      <c r="C126" s="50"/>
      <c r="D126" s="139">
        <f t="shared" si="1"/>
        <v>0</v>
      </c>
      <c r="E126" s="140">
        <v>65.180000000000007</v>
      </c>
      <c r="F126" s="140">
        <v>53.43</v>
      </c>
      <c r="G126" s="34" t="s">
        <v>100</v>
      </c>
      <c r="H126" s="34" t="s">
        <v>39</v>
      </c>
      <c r="I126" s="35">
        <v>1</v>
      </c>
      <c r="J126" s="35">
        <v>1</v>
      </c>
      <c r="K126" s="35">
        <v>360</v>
      </c>
      <c r="L126" s="60" t="str">
        <f>HYPERLINK("https://www.sds-group.ru/product/perehodnik-svetilnik-dlya-krepleniya-v-shtepselnoy-setevoy-rozetke-perehodnik-tsokolnyy-ac-2-11-8883/", "Инфо")</f>
        <v>Инфо</v>
      </c>
      <c r="M126" s="37">
        <v>0.04</v>
      </c>
      <c r="N126" s="38">
        <v>2.3599999999999999E-4</v>
      </c>
      <c r="O126" s="141">
        <v>4601004032743</v>
      </c>
    </row>
    <row r="127" spans="1:15" s="1" customFormat="1" ht="11.45" customHeight="1" outlineLevel="4" x14ac:dyDescent="0.2">
      <c r="A127" s="32" t="s">
        <v>1217</v>
      </c>
      <c r="B127" s="74" t="s">
        <v>1218</v>
      </c>
      <c r="C127" s="50"/>
      <c r="D127" s="139">
        <f t="shared" si="1"/>
        <v>0</v>
      </c>
      <c r="E127" s="140">
        <v>28.08</v>
      </c>
      <c r="F127" s="140">
        <v>23.02</v>
      </c>
      <c r="G127" s="34" t="s">
        <v>100</v>
      </c>
      <c r="H127" s="34" t="s">
        <v>39</v>
      </c>
      <c r="I127" s="35">
        <v>1</v>
      </c>
      <c r="J127" s="35">
        <v>1</v>
      </c>
      <c r="K127" s="35">
        <v>360</v>
      </c>
      <c r="L127" s="60" t="str">
        <f>HYPERLINK("https://www.sds-group.ru/product/razvetvitel-tsokolnyy-e27-2he27-chernyy-rexant-11-8860/", "Инфо")</f>
        <v>Инфо</v>
      </c>
      <c r="M127" s="37">
        <v>2.1000000000000001E-2</v>
      </c>
      <c r="N127" s="38">
        <v>3.8499999999999998E-4</v>
      </c>
      <c r="O127" s="141">
        <v>4601004142534</v>
      </c>
    </row>
    <row r="128" spans="1:15" ht="11.45" customHeight="1" outlineLevel="3" x14ac:dyDescent="0.2">
      <c r="A128" s="76" t="s">
        <v>1229</v>
      </c>
      <c r="B128" s="136"/>
      <c r="C128" s="77"/>
      <c r="D128" s="137"/>
      <c r="E128" s="4"/>
      <c r="F128" s="4"/>
      <c r="G128" s="4"/>
      <c r="H128" s="4"/>
      <c r="I128" s="4"/>
      <c r="J128" s="4"/>
      <c r="K128" s="4"/>
      <c r="L128" s="138"/>
      <c r="M128" s="4"/>
      <c r="N128" s="4"/>
      <c r="O128" s="4"/>
    </row>
    <row r="129" spans="1:15" s="1" customFormat="1" ht="11.45" customHeight="1" outlineLevel="4" x14ac:dyDescent="0.2">
      <c r="A129" s="32" t="s">
        <v>1234</v>
      </c>
      <c r="B129" s="74" t="s">
        <v>1235</v>
      </c>
      <c r="C129" s="50"/>
      <c r="D129" s="139">
        <f t="shared" si="1"/>
        <v>0</v>
      </c>
      <c r="E129" s="140">
        <v>81.91</v>
      </c>
      <c r="F129" s="140">
        <v>67.14</v>
      </c>
      <c r="G129" s="34" t="s">
        <v>100</v>
      </c>
      <c r="H129" s="34" t="s">
        <v>39</v>
      </c>
      <c r="I129" s="35">
        <v>1</v>
      </c>
      <c r="J129" s="35">
        <v>1</v>
      </c>
      <c r="K129" s="35">
        <v>60</v>
      </c>
      <c r="L129" s="60" t="str">
        <f>HYPERLINK("https://www.sds-group.ru/product/patron-e27-silikonovyy-so-shnurom-1m-zelenyy-rexant-11-8886/", "Инфо")</f>
        <v>Инфо</v>
      </c>
      <c r="M129" s="37">
        <v>0.11700000000000001</v>
      </c>
      <c r="N129" s="38">
        <v>1.0989999999999999E-3</v>
      </c>
      <c r="O129" s="141">
        <v>4601004133242</v>
      </c>
    </row>
    <row r="130" spans="1:15" s="1" customFormat="1" ht="11.45" customHeight="1" outlineLevel="4" x14ac:dyDescent="0.2">
      <c r="A130" s="32" t="s">
        <v>1236</v>
      </c>
      <c r="B130" s="74" t="s">
        <v>1237</v>
      </c>
      <c r="C130" s="50"/>
      <c r="D130" s="139">
        <f t="shared" si="1"/>
        <v>0</v>
      </c>
      <c r="E130" s="140">
        <v>82.54</v>
      </c>
      <c r="F130" s="140">
        <v>67.66</v>
      </c>
      <c r="G130" s="34" t="s">
        <v>100</v>
      </c>
      <c r="H130" s="34" t="s">
        <v>39</v>
      </c>
      <c r="I130" s="35">
        <v>1</v>
      </c>
      <c r="J130" s="35">
        <v>1</v>
      </c>
      <c r="K130" s="35">
        <v>60</v>
      </c>
      <c r="L130" s="60" t="str">
        <f>HYPERLINK("https://www.sds-group.ru/product/patron-e27-silikonovyy-so-shnurom-1m-krasnyy-rexant-11-8888/", "Инфо")</f>
        <v>Инфо</v>
      </c>
      <c r="M130" s="37">
        <v>0.11899999999999999</v>
      </c>
      <c r="N130" s="38">
        <v>1.3320000000000001E-3</v>
      </c>
      <c r="O130" s="141">
        <v>4601004133266</v>
      </c>
    </row>
    <row r="131" spans="1:15" s="1" customFormat="1" ht="11.45" customHeight="1" outlineLevel="4" x14ac:dyDescent="0.2">
      <c r="A131" s="32" t="s">
        <v>1238</v>
      </c>
      <c r="B131" s="74" t="s">
        <v>1239</v>
      </c>
      <c r="C131" s="50"/>
      <c r="D131" s="139">
        <f t="shared" si="1"/>
        <v>0</v>
      </c>
      <c r="E131" s="140">
        <v>69.34</v>
      </c>
      <c r="F131" s="140">
        <v>56.84</v>
      </c>
      <c r="G131" s="34" t="s">
        <v>100</v>
      </c>
      <c r="H131" s="34" t="s">
        <v>39</v>
      </c>
      <c r="I131" s="35">
        <v>1</v>
      </c>
      <c r="J131" s="35">
        <v>1</v>
      </c>
      <c r="K131" s="35">
        <v>60</v>
      </c>
      <c r="L131" s="60" t="str">
        <f>HYPERLINK("https://www.sds-group.ru/product/patron-e27-silikonovyy-so-shnurom-1m-siniy-rexant-11-8885/", "Инфо")</f>
        <v>Инфо</v>
      </c>
      <c r="M131" s="37">
        <v>0.11799999999999999</v>
      </c>
      <c r="N131" s="38">
        <v>1.2260000000000001E-3</v>
      </c>
      <c r="O131" s="141">
        <v>4601004133235</v>
      </c>
    </row>
    <row r="132" spans="1:15" s="1" customFormat="1" ht="11.45" customHeight="1" outlineLevel="4" x14ac:dyDescent="0.2">
      <c r="A132" s="32" t="s">
        <v>1240</v>
      </c>
      <c r="B132" s="74" t="s">
        <v>1241</v>
      </c>
      <c r="C132" s="50"/>
      <c r="D132" s="139">
        <f t="shared" si="1"/>
        <v>0</v>
      </c>
      <c r="E132" s="140">
        <v>82.54</v>
      </c>
      <c r="F132" s="140">
        <v>67.66</v>
      </c>
      <c r="G132" s="34" t="s">
        <v>100</v>
      </c>
      <c r="H132" s="34" t="s">
        <v>39</v>
      </c>
      <c r="I132" s="35">
        <v>1</v>
      </c>
      <c r="J132" s="35">
        <v>1</v>
      </c>
      <c r="K132" s="35">
        <v>60</v>
      </c>
      <c r="L132" s="60" t="str">
        <f>HYPERLINK("https://www.sds-group.ru/product/patron-e27-silikonovyy-so-shnurom-1m-fioletovyy-rexant-11-8887/", "Инфо")</f>
        <v>Инфо</v>
      </c>
      <c r="M132" s="37">
        <v>0.11899999999999999</v>
      </c>
      <c r="N132" s="38">
        <v>7.6199999999999998E-4</v>
      </c>
      <c r="O132" s="141">
        <v>4601004133259</v>
      </c>
    </row>
    <row r="133" spans="1:15" ht="11.45" customHeight="1" outlineLevel="2" x14ac:dyDescent="0.2">
      <c r="A133" s="76" t="s">
        <v>1244</v>
      </c>
      <c r="B133" s="136"/>
      <c r="C133" s="77"/>
      <c r="D133" s="137"/>
      <c r="E133" s="4"/>
      <c r="F133" s="4"/>
      <c r="G133" s="4"/>
      <c r="H133" s="4"/>
      <c r="I133" s="4"/>
      <c r="J133" s="4"/>
      <c r="K133" s="4"/>
      <c r="L133" s="138"/>
      <c r="M133" s="4"/>
      <c r="N133" s="4"/>
      <c r="O133" s="4"/>
    </row>
    <row r="134" spans="1:15" ht="11.45" customHeight="1" outlineLevel="3" x14ac:dyDescent="0.2">
      <c r="A134" s="76" t="s">
        <v>1254</v>
      </c>
      <c r="B134" s="136"/>
      <c r="C134" s="77"/>
      <c r="D134" s="137"/>
      <c r="E134" s="4"/>
      <c r="F134" s="4"/>
      <c r="G134" s="4"/>
      <c r="H134" s="4"/>
      <c r="I134" s="4"/>
      <c r="J134" s="4"/>
      <c r="K134" s="4"/>
      <c r="L134" s="138"/>
      <c r="M134" s="4"/>
      <c r="N134" s="4"/>
      <c r="O134" s="4"/>
    </row>
    <row r="135" spans="1:15" s="1" customFormat="1" ht="11.45" customHeight="1" outlineLevel="4" x14ac:dyDescent="0.2">
      <c r="A135" s="32" t="s">
        <v>1261</v>
      </c>
      <c r="B135" s="74" t="s">
        <v>1262</v>
      </c>
      <c r="C135" s="50"/>
      <c r="D135" s="139">
        <f t="shared" si="1"/>
        <v>0</v>
      </c>
      <c r="E135" s="140">
        <v>640.83000000000004</v>
      </c>
      <c r="F135" s="140">
        <v>525.27</v>
      </c>
      <c r="G135" s="34" t="s">
        <v>100</v>
      </c>
      <c r="H135" s="34" t="s">
        <v>39</v>
      </c>
      <c r="I135" s="35">
        <v>1</v>
      </c>
      <c r="J135" s="35">
        <v>1</v>
      </c>
      <c r="K135" s="35">
        <v>40</v>
      </c>
      <c r="L135" s="60" t="str">
        <f>HYPERLINK("https://www.sds-group.ru/product/umnaya-wi-fi-rozetka-distantsionnoe-upravlenie-bytovymi-priborami-10-a-11-6008/", "Инфо")</f>
        <v>Инфо</v>
      </c>
      <c r="M135" s="37">
        <v>0.155</v>
      </c>
      <c r="N135" s="38">
        <v>1.446E-3</v>
      </c>
      <c r="O135" s="141">
        <v>4601004146822</v>
      </c>
    </row>
    <row r="136" spans="1:15" ht="11.45" customHeight="1" outlineLevel="3" x14ac:dyDescent="0.2">
      <c r="A136" s="76" t="s">
        <v>1269</v>
      </c>
      <c r="B136" s="136"/>
      <c r="C136" s="77"/>
      <c r="D136" s="137"/>
      <c r="E136" s="4"/>
      <c r="F136" s="4"/>
      <c r="G136" s="4"/>
      <c r="H136" s="4"/>
      <c r="I136" s="4"/>
      <c r="J136" s="4"/>
      <c r="K136" s="4"/>
      <c r="L136" s="138"/>
      <c r="M136" s="4"/>
      <c r="N136" s="4"/>
      <c r="O136" s="4"/>
    </row>
    <row r="137" spans="1:15" s="1" customFormat="1" ht="11.45" customHeight="1" outlineLevel="4" x14ac:dyDescent="0.2">
      <c r="A137" s="32" t="s">
        <v>1273</v>
      </c>
      <c r="B137" s="74" t="s">
        <v>1274</v>
      </c>
      <c r="C137" s="50"/>
      <c r="D137" s="139">
        <f t="shared" si="1"/>
        <v>0</v>
      </c>
      <c r="E137" s="140">
        <v>677.99</v>
      </c>
      <c r="F137" s="140">
        <v>555.73</v>
      </c>
      <c r="G137" s="34" t="s">
        <v>100</v>
      </c>
      <c r="H137" s="34" t="s">
        <v>39</v>
      </c>
      <c r="I137" s="35">
        <v>1</v>
      </c>
      <c r="J137" s="35">
        <v>1</v>
      </c>
      <c r="K137" s="35">
        <v>48</v>
      </c>
      <c r="L137" s="60" t="str">
        <f>HYPERLINK("https://www.sds-group.ru/product/vattmetr-rx-8-gorizontalnyy-2h-tarifnyy-16a-rexant-10-6102/", "Инфо")</f>
        <v>Инфо</v>
      </c>
      <c r="M137" s="37">
        <v>0.19600000000000001</v>
      </c>
      <c r="N137" s="38">
        <v>1.7589999999999999E-3</v>
      </c>
      <c r="O137" s="141">
        <v>4601004137455</v>
      </c>
    </row>
    <row r="138" spans="1:15" ht="11.45" customHeight="1" outlineLevel="1" x14ac:dyDescent="0.2">
      <c r="A138" s="78" t="s">
        <v>1319</v>
      </c>
      <c r="B138" s="132"/>
      <c r="C138" s="79"/>
      <c r="D138" s="133"/>
      <c r="E138" s="134"/>
      <c r="F138" s="134"/>
      <c r="G138" s="134"/>
      <c r="H138" s="134"/>
      <c r="I138" s="134"/>
      <c r="J138" s="134"/>
      <c r="K138" s="134"/>
      <c r="L138" s="135"/>
      <c r="M138" s="134"/>
      <c r="N138" s="134"/>
      <c r="O138" s="134"/>
    </row>
    <row r="139" spans="1:15" ht="11.45" customHeight="1" outlineLevel="2" x14ac:dyDescent="0.2">
      <c r="A139" s="76" t="s">
        <v>1320</v>
      </c>
      <c r="B139" s="136"/>
      <c r="C139" s="77"/>
      <c r="D139" s="137"/>
      <c r="E139" s="4"/>
      <c r="F139" s="4"/>
      <c r="G139" s="4"/>
      <c r="H139" s="4"/>
      <c r="I139" s="4"/>
      <c r="J139" s="4"/>
      <c r="K139" s="4"/>
      <c r="L139" s="138"/>
      <c r="M139" s="4"/>
      <c r="N139" s="4"/>
      <c r="O139" s="4"/>
    </row>
    <row r="140" spans="1:15" ht="11.45" customHeight="1" outlineLevel="3" x14ac:dyDescent="0.2">
      <c r="A140" s="76" t="s">
        <v>1321</v>
      </c>
      <c r="B140" s="136"/>
      <c r="C140" s="77"/>
      <c r="D140" s="137"/>
      <c r="E140" s="4"/>
      <c r="F140" s="4"/>
      <c r="G140" s="4"/>
      <c r="H140" s="4"/>
      <c r="I140" s="4"/>
      <c r="J140" s="4"/>
      <c r="K140" s="4"/>
      <c r="L140" s="138"/>
      <c r="M140" s="4"/>
      <c r="N140" s="4"/>
      <c r="O140" s="4"/>
    </row>
    <row r="141" spans="1:15" s="1" customFormat="1" ht="11.45" customHeight="1" outlineLevel="4" x14ac:dyDescent="0.2">
      <c r="A141" s="32" t="s">
        <v>1322</v>
      </c>
      <c r="B141" s="74" t="s">
        <v>1323</v>
      </c>
      <c r="C141" s="50"/>
      <c r="D141" s="139">
        <f t="shared" ref="D141:D201" si="2">C141*E141</f>
        <v>0</v>
      </c>
      <c r="E141" s="140">
        <v>113.13</v>
      </c>
      <c r="F141" s="140">
        <v>92.73</v>
      </c>
      <c r="G141" s="34" t="s">
        <v>100</v>
      </c>
      <c r="H141" s="34" t="s">
        <v>39</v>
      </c>
      <c r="I141" s="35">
        <v>1</v>
      </c>
      <c r="J141" s="35">
        <v>1</v>
      </c>
      <c r="K141" s="35">
        <v>45</v>
      </c>
      <c r="L141" s="60" t="str">
        <f>HYPERLINK("https://www.sds-group.ru/product/udlinitel-3-gnezda-1-5m-2h0-75mm-b-z-belyy-rexant-11-8731/", "Инфо")</f>
        <v>Инфо</v>
      </c>
      <c r="M141" s="37">
        <v>0.14799999999999999</v>
      </c>
      <c r="N141" s="38">
        <v>1.3550000000000001E-3</v>
      </c>
      <c r="O141" s="141">
        <v>4601004203174</v>
      </c>
    </row>
    <row r="142" spans="1:15" s="1" customFormat="1" ht="11.45" customHeight="1" outlineLevel="4" x14ac:dyDescent="0.2">
      <c r="A142" s="32" t="s">
        <v>1324</v>
      </c>
      <c r="B142" s="74" t="s">
        <v>1325</v>
      </c>
      <c r="C142" s="50"/>
      <c r="D142" s="139">
        <f t="shared" si="2"/>
        <v>0</v>
      </c>
      <c r="E142" s="140">
        <v>133.29</v>
      </c>
      <c r="F142" s="140">
        <v>109.25</v>
      </c>
      <c r="G142" s="34" t="s">
        <v>100</v>
      </c>
      <c r="H142" s="34" t="s">
        <v>39</v>
      </c>
      <c r="I142" s="35">
        <v>1</v>
      </c>
      <c r="J142" s="35">
        <v>1</v>
      </c>
      <c r="K142" s="35">
        <v>40</v>
      </c>
      <c r="L142" s="60" t="str">
        <f>HYPERLINK("https://www.sds-group.ru/product/udlinitel-3-gnezda-3m-2h0-75mm-b-z-belyy-rexant-11-8733/", "Инфо")</f>
        <v>Инфо</v>
      </c>
      <c r="M142" s="37">
        <v>0.14799999999999999</v>
      </c>
      <c r="N142" s="38">
        <v>9.7099999999999997E-4</v>
      </c>
      <c r="O142" s="141">
        <v>4601004203112</v>
      </c>
    </row>
    <row r="143" spans="1:15" s="1" customFormat="1" ht="11.45" customHeight="1" outlineLevel="4" x14ac:dyDescent="0.2">
      <c r="A143" s="32" t="s">
        <v>1326</v>
      </c>
      <c r="B143" s="74" t="s">
        <v>1327</v>
      </c>
      <c r="C143" s="50"/>
      <c r="D143" s="139">
        <f t="shared" si="2"/>
        <v>0</v>
      </c>
      <c r="E143" s="140">
        <v>176.48</v>
      </c>
      <c r="F143" s="140">
        <v>144.66</v>
      </c>
      <c r="G143" s="34" t="s">
        <v>100</v>
      </c>
      <c r="H143" s="34" t="s">
        <v>39</v>
      </c>
      <c r="I143" s="35">
        <v>1</v>
      </c>
      <c r="J143" s="35">
        <v>1</v>
      </c>
      <c r="K143" s="35">
        <v>20</v>
      </c>
      <c r="L143" s="60" t="str">
        <f>HYPERLINK("https://www.sds-group.ru/product/udlinitel-standart-3-gnezda-3m-2h1-0mm-b-z-belyy-rexant-13-4007/", "Инфо")</f>
        <v>Инфо</v>
      </c>
      <c r="M143" s="37">
        <v>0.32400000000000001</v>
      </c>
      <c r="N143" s="38">
        <v>1.186E-3</v>
      </c>
      <c r="O143" s="141">
        <v>4601004272101</v>
      </c>
    </row>
    <row r="144" spans="1:15" s="1" customFormat="1" ht="11.45" customHeight="1" outlineLevel="4" x14ac:dyDescent="0.2">
      <c r="A144" s="32" t="s">
        <v>1328</v>
      </c>
      <c r="B144" s="74" t="s">
        <v>1329</v>
      </c>
      <c r="C144" s="50"/>
      <c r="D144" s="139">
        <f t="shared" si="2"/>
        <v>0</v>
      </c>
      <c r="E144" s="140">
        <v>258.75</v>
      </c>
      <c r="F144" s="140">
        <v>212.09</v>
      </c>
      <c r="G144" s="34" t="s">
        <v>100</v>
      </c>
      <c r="H144" s="34" t="s">
        <v>39</v>
      </c>
      <c r="I144" s="35">
        <v>1</v>
      </c>
      <c r="J144" s="35">
        <v>1</v>
      </c>
      <c r="K144" s="35">
        <v>20</v>
      </c>
      <c r="L144" s="60" t="str">
        <f>HYPERLINK("https://www.sds-group.ru/product/udlinitel-standart-3-gnezda-5m-2h1-0mm-b-z-belyy-rexant-13-4008/", "Инфо")</f>
        <v>Инфо</v>
      </c>
      <c r="M144" s="37">
        <v>0.45</v>
      </c>
      <c r="N144" s="38">
        <v>1.305E-3</v>
      </c>
      <c r="O144" s="141">
        <v>4601004272132</v>
      </c>
    </row>
    <row r="145" spans="1:15" s="1" customFormat="1" ht="11.45" customHeight="1" outlineLevel="4" x14ac:dyDescent="0.2">
      <c r="A145" s="32" t="s">
        <v>1330</v>
      </c>
      <c r="B145" s="74" t="s">
        <v>1331</v>
      </c>
      <c r="C145" s="50"/>
      <c r="D145" s="139">
        <f t="shared" si="2"/>
        <v>0</v>
      </c>
      <c r="E145" s="140">
        <v>409.72</v>
      </c>
      <c r="F145" s="140">
        <v>335.84</v>
      </c>
      <c r="G145" s="34" t="s">
        <v>100</v>
      </c>
      <c r="H145" s="34" t="s">
        <v>39</v>
      </c>
      <c r="I145" s="35">
        <v>1</v>
      </c>
      <c r="J145" s="35">
        <v>1</v>
      </c>
      <c r="K145" s="35">
        <v>20</v>
      </c>
      <c r="L145" s="60" t="str">
        <f>HYPERLINK("https://www.sds-group.ru/product/udlinitel-standart-3-gnezda-5m-3h1-0mm-s-z-s-vyklyuchatelem-2-usb-razema-belyy-rexant-13-4017/", "Инфо")</f>
        <v>Инфо</v>
      </c>
      <c r="M145" s="37">
        <v>0.58799999999999997</v>
      </c>
      <c r="N145" s="38">
        <v>1.4350000000000001E-3</v>
      </c>
      <c r="O145" s="141">
        <v>4601004272217</v>
      </c>
    </row>
    <row r="146" spans="1:15" ht="11.45" customHeight="1" outlineLevel="3" x14ac:dyDescent="0.2">
      <c r="A146" s="76" t="s">
        <v>1332</v>
      </c>
      <c r="B146" s="136"/>
      <c r="C146" s="77"/>
      <c r="D146" s="137"/>
      <c r="E146" s="4"/>
      <c r="F146" s="4"/>
      <c r="G146" s="4"/>
      <c r="H146" s="4"/>
      <c r="I146" s="4"/>
      <c r="J146" s="4"/>
      <c r="K146" s="4"/>
      <c r="L146" s="138"/>
      <c r="M146" s="4"/>
      <c r="N146" s="4"/>
      <c r="O146" s="4"/>
    </row>
    <row r="147" spans="1:15" s="1" customFormat="1" ht="11.45" customHeight="1" outlineLevel="4" x14ac:dyDescent="0.2">
      <c r="A147" s="32" t="s">
        <v>1333</v>
      </c>
      <c r="B147" s="74" t="s">
        <v>1334</v>
      </c>
      <c r="C147" s="50"/>
      <c r="D147" s="139">
        <f t="shared" si="2"/>
        <v>0</v>
      </c>
      <c r="E147" s="140">
        <v>656.84</v>
      </c>
      <c r="F147" s="140">
        <v>538.39</v>
      </c>
      <c r="G147" s="34" t="s">
        <v>100</v>
      </c>
      <c r="H147" s="34" t="s">
        <v>39</v>
      </c>
      <c r="I147" s="35">
        <v>1</v>
      </c>
      <c r="J147" s="35">
        <v>1</v>
      </c>
      <c r="K147" s="35">
        <v>14</v>
      </c>
      <c r="L147" s="60" t="str">
        <f>HYPERLINK("https://www.sds-group.ru/product/udlinitel-premium-3-gnezda-5m-3h1-5mm-s-z-2-usb-razema-belyy-rexant-13-4111/", "Инфо")</f>
        <v>Инфо</v>
      </c>
      <c r="M147" s="37">
        <v>0.71299999999999997</v>
      </c>
      <c r="N147" s="38">
        <v>1.6750000000000001E-3</v>
      </c>
      <c r="O147" s="141">
        <v>4601004272682</v>
      </c>
    </row>
    <row r="148" spans="1:15" s="1" customFormat="1" ht="11.45" customHeight="1" outlineLevel="4" x14ac:dyDescent="0.2">
      <c r="A148" s="32" t="s">
        <v>1335</v>
      </c>
      <c r="B148" s="74" t="s">
        <v>1336</v>
      </c>
      <c r="C148" s="50"/>
      <c r="D148" s="139">
        <f t="shared" si="2"/>
        <v>0</v>
      </c>
      <c r="E148" s="140">
        <v>622.5</v>
      </c>
      <c r="F148" s="140">
        <v>510.25</v>
      </c>
      <c r="G148" s="34" t="s">
        <v>100</v>
      </c>
      <c r="H148" s="34" t="s">
        <v>39</v>
      </c>
      <c r="I148" s="35">
        <v>1</v>
      </c>
      <c r="J148" s="35">
        <v>1</v>
      </c>
      <c r="K148" s="35">
        <v>10</v>
      </c>
      <c r="L148" s="60" t="str">
        <f>HYPERLINK("https://www.sds-group.ru/product/udlinitel-premium-6-gnezd-5m-3h1-5mm-sup2-s-z-beliy-rexant-30084/", "Инфо")</f>
        <v>Инфо</v>
      </c>
      <c r="M148" s="37">
        <v>0.80300000000000005</v>
      </c>
      <c r="N148" s="38">
        <v>3.7290000000000001E-3</v>
      </c>
      <c r="O148" s="141">
        <v>4601004272620</v>
      </c>
    </row>
    <row r="149" spans="1:15" ht="11.45" customHeight="1" outlineLevel="3" x14ac:dyDescent="0.2">
      <c r="A149" s="76" t="s">
        <v>1337</v>
      </c>
      <c r="B149" s="136"/>
      <c r="C149" s="77"/>
      <c r="D149" s="137"/>
      <c r="E149" s="4"/>
      <c r="F149" s="4"/>
      <c r="G149" s="4"/>
      <c r="H149" s="4"/>
      <c r="I149" s="4"/>
      <c r="J149" s="4"/>
      <c r="K149" s="4"/>
      <c r="L149" s="138"/>
      <c r="M149" s="4"/>
      <c r="N149" s="4"/>
      <c r="O149" s="4"/>
    </row>
    <row r="150" spans="1:15" s="1" customFormat="1" ht="11.45" customHeight="1" outlineLevel="4" x14ac:dyDescent="0.2">
      <c r="A150" s="32" t="s">
        <v>1338</v>
      </c>
      <c r="B150" s="74" t="s">
        <v>1339</v>
      </c>
      <c r="C150" s="50"/>
      <c r="D150" s="139">
        <f t="shared" si="2"/>
        <v>0</v>
      </c>
      <c r="E150" s="140">
        <v>135.08000000000001</v>
      </c>
      <c r="F150" s="140">
        <v>110.72</v>
      </c>
      <c r="G150" s="34" t="s">
        <v>100</v>
      </c>
      <c r="H150" s="34" t="s">
        <v>39</v>
      </c>
      <c r="I150" s="35">
        <v>1</v>
      </c>
      <c r="J150" s="35">
        <v>1</v>
      </c>
      <c r="K150" s="35">
        <v>36</v>
      </c>
      <c r="L150" s="60" t="str">
        <f>HYPERLINK("https://www.sds-group.ru/product/udlinitel-2-gnezda-1-5m-3h0-75mm-s-z-belyy-proconnect-13-4202/", "Инфо")</f>
        <v>Инфо</v>
      </c>
      <c r="M150" s="37">
        <v>0.20699999999999999</v>
      </c>
      <c r="N150" s="38">
        <v>8.1999999999999998E-4</v>
      </c>
      <c r="O150" s="141">
        <v>4601004272033</v>
      </c>
    </row>
    <row r="151" spans="1:15" s="1" customFormat="1" ht="11.45" customHeight="1" outlineLevel="4" x14ac:dyDescent="0.2">
      <c r="A151" s="32" t="s">
        <v>1340</v>
      </c>
      <c r="B151" s="74" t="s">
        <v>1341</v>
      </c>
      <c r="C151" s="50"/>
      <c r="D151" s="139">
        <f t="shared" si="2"/>
        <v>0</v>
      </c>
      <c r="E151" s="140">
        <v>115.48</v>
      </c>
      <c r="F151" s="140">
        <v>94.66</v>
      </c>
      <c r="G151" s="34" t="s">
        <v>100</v>
      </c>
      <c r="H151" s="34" t="s">
        <v>39</v>
      </c>
      <c r="I151" s="35">
        <v>1</v>
      </c>
      <c r="J151" s="35">
        <v>1</v>
      </c>
      <c r="K151" s="35">
        <v>40</v>
      </c>
      <c r="L151" s="60" t="str">
        <f>HYPERLINK("https://www.sds-group.ru/product/udlinitel-2-gnezda-3m-2h0-75mm-b-z-belyy-proconnect-13-4201/", "Инфо")</f>
        <v>Инфо</v>
      </c>
      <c r="M151" s="37">
        <v>0.17100000000000001</v>
      </c>
      <c r="N151" s="38">
        <v>1.0839999999999999E-3</v>
      </c>
      <c r="O151" s="141">
        <v>4601004271951</v>
      </c>
    </row>
    <row r="152" spans="1:15" s="1" customFormat="1" ht="11.45" customHeight="1" outlineLevel="4" x14ac:dyDescent="0.2">
      <c r="A152" s="32" t="s">
        <v>1342</v>
      </c>
      <c r="B152" s="74" t="s">
        <v>1343</v>
      </c>
      <c r="C152" s="50"/>
      <c r="D152" s="139">
        <f t="shared" si="2"/>
        <v>0</v>
      </c>
      <c r="E152" s="140">
        <v>154.55000000000001</v>
      </c>
      <c r="F152" s="140">
        <v>126.68</v>
      </c>
      <c r="G152" s="34" t="s">
        <v>100</v>
      </c>
      <c r="H152" s="34" t="s">
        <v>39</v>
      </c>
      <c r="I152" s="35">
        <v>1</v>
      </c>
      <c r="J152" s="35">
        <v>1</v>
      </c>
      <c r="K152" s="35">
        <v>36</v>
      </c>
      <c r="L152" s="60" t="str">
        <f>HYPERLINK("https://www.sds-group.ru/product/udlinitel-2-gnezda-3m-3h0-75mm-s-z-belyy-proconnect-13-4203/", "Инфо")</f>
        <v>Инфо</v>
      </c>
      <c r="M152" s="37">
        <v>0.29299999999999998</v>
      </c>
      <c r="N152" s="38">
        <v>1.0009999999999999E-3</v>
      </c>
      <c r="O152" s="141">
        <v>4601004271968</v>
      </c>
    </row>
    <row r="153" spans="1:15" s="1" customFormat="1" ht="11.45" customHeight="1" outlineLevel="4" x14ac:dyDescent="0.2">
      <c r="A153" s="32" t="s">
        <v>1344</v>
      </c>
      <c r="B153" s="74" t="s">
        <v>1345</v>
      </c>
      <c r="C153" s="50"/>
      <c r="D153" s="139">
        <f t="shared" si="2"/>
        <v>0</v>
      </c>
      <c r="E153" s="140">
        <v>199.1</v>
      </c>
      <c r="F153" s="140">
        <v>163.19999999999999</v>
      </c>
      <c r="G153" s="34" t="s">
        <v>100</v>
      </c>
      <c r="H153" s="34" t="s">
        <v>39</v>
      </c>
      <c r="I153" s="35">
        <v>1</v>
      </c>
      <c r="J153" s="35">
        <v>1</v>
      </c>
      <c r="K153" s="35">
        <v>36</v>
      </c>
      <c r="L153" s="60" t="str">
        <f>HYPERLINK("https://www.sds-group.ru/product/udlinitel-2-gnezda-5m-3h0-75mm-s-z-belyy-proconnect-13-4204/", "Инфо")</f>
        <v>Инфо</v>
      </c>
      <c r="M153" s="37">
        <v>0.39800000000000002</v>
      </c>
      <c r="N153" s="38">
        <v>1.245E-3</v>
      </c>
      <c r="O153" s="141">
        <v>4601004272019</v>
      </c>
    </row>
    <row r="154" spans="1:15" s="1" customFormat="1" ht="11.45" customHeight="1" outlineLevel="4" x14ac:dyDescent="0.2">
      <c r="A154" s="32" t="s">
        <v>1346</v>
      </c>
      <c r="B154" s="74" t="s">
        <v>1347</v>
      </c>
      <c r="C154" s="50"/>
      <c r="D154" s="139">
        <f t="shared" si="2"/>
        <v>0</v>
      </c>
      <c r="E154" s="140">
        <v>77.489999999999995</v>
      </c>
      <c r="F154" s="140">
        <v>63.52</v>
      </c>
      <c r="G154" s="34" t="s">
        <v>100</v>
      </c>
      <c r="H154" s="34" t="s">
        <v>39</v>
      </c>
      <c r="I154" s="35">
        <v>1</v>
      </c>
      <c r="J154" s="35">
        <v>1</v>
      </c>
      <c r="K154" s="35">
        <v>40</v>
      </c>
      <c r="L154" s="60" t="str">
        <f>HYPERLINK("https://www.sds-group.ru/product/udlinitel-3-gnezda-1-5m-2h0-75mm-b-z-belyy-proconnect-13-4205/", "Инфо")</f>
        <v>Инфо</v>
      </c>
      <c r="M154" s="37">
        <v>0.155</v>
      </c>
      <c r="N154" s="38">
        <v>6.7699999999999998E-4</v>
      </c>
      <c r="O154" s="141">
        <v>4601004272026</v>
      </c>
    </row>
    <row r="155" spans="1:15" s="1" customFormat="1" ht="11.45" customHeight="1" outlineLevel="4" x14ac:dyDescent="0.2">
      <c r="A155" s="32" t="s">
        <v>1348</v>
      </c>
      <c r="B155" s="74" t="s">
        <v>1349</v>
      </c>
      <c r="C155" s="50"/>
      <c r="D155" s="139">
        <f t="shared" si="2"/>
        <v>0</v>
      </c>
      <c r="E155" s="140">
        <v>141.74</v>
      </c>
      <c r="F155" s="140">
        <v>116.18</v>
      </c>
      <c r="G155" s="34" t="s">
        <v>100</v>
      </c>
      <c r="H155" s="34" t="s">
        <v>39</v>
      </c>
      <c r="I155" s="35">
        <v>1</v>
      </c>
      <c r="J155" s="35">
        <v>1</v>
      </c>
      <c r="K155" s="35">
        <v>36</v>
      </c>
      <c r="L155" s="60" t="str">
        <f>HYPERLINK("https://www.sds-group.ru/product/udlinitel-3-gnezda-1-5m-3h0-75mm-s-z-belyy-proconnect-13-4208/", "Инфо")</f>
        <v>Инфо</v>
      </c>
      <c r="M155" s="37">
        <v>0.21199999999999999</v>
      </c>
      <c r="N155" s="38">
        <v>7.9500000000000003E-4</v>
      </c>
      <c r="O155" s="141">
        <v>4601004271999</v>
      </c>
    </row>
    <row r="156" spans="1:15" s="1" customFormat="1" ht="11.45" customHeight="1" outlineLevel="4" x14ac:dyDescent="0.2">
      <c r="A156" s="32" t="s">
        <v>1350</v>
      </c>
      <c r="B156" s="74" t="s">
        <v>1351</v>
      </c>
      <c r="C156" s="50"/>
      <c r="D156" s="139">
        <f t="shared" si="2"/>
        <v>0</v>
      </c>
      <c r="E156" s="140">
        <v>183.42</v>
      </c>
      <c r="F156" s="140">
        <v>150.34</v>
      </c>
      <c r="G156" s="34" t="s">
        <v>100</v>
      </c>
      <c r="H156" s="34" t="s">
        <v>39</v>
      </c>
      <c r="I156" s="35">
        <v>1</v>
      </c>
      <c r="J156" s="35">
        <v>1</v>
      </c>
      <c r="K156" s="35">
        <v>30</v>
      </c>
      <c r="L156" s="60" t="str">
        <f>HYPERLINK("https://www.sds-group.ru/product/udlinitel-3-gnezda-1-5m-3h0-75mm-s-z-s-knopkoy-belyy-proconnect-11-7205/", "Инфо")</f>
        <v>Инфо</v>
      </c>
      <c r="M156" s="37">
        <v>0.23499999999999999</v>
      </c>
      <c r="N156" s="38">
        <v>1.439E-3</v>
      </c>
      <c r="O156" s="141">
        <v>4601004203211</v>
      </c>
    </row>
    <row r="157" spans="1:15" s="1" customFormat="1" ht="11.45" customHeight="1" outlineLevel="4" x14ac:dyDescent="0.2">
      <c r="A157" s="32" t="s">
        <v>1352</v>
      </c>
      <c r="B157" s="74" t="s">
        <v>1353</v>
      </c>
      <c r="C157" s="50"/>
      <c r="D157" s="139">
        <f t="shared" si="2"/>
        <v>0</v>
      </c>
      <c r="E157" s="140">
        <v>116.53</v>
      </c>
      <c r="F157" s="140">
        <v>95.52</v>
      </c>
      <c r="G157" s="34" t="s">
        <v>100</v>
      </c>
      <c r="H157" s="34" t="s">
        <v>39</v>
      </c>
      <c r="I157" s="35">
        <v>1</v>
      </c>
      <c r="J157" s="35">
        <v>1</v>
      </c>
      <c r="K157" s="35">
        <v>40</v>
      </c>
      <c r="L157" s="60" t="str">
        <f>HYPERLINK("https://www.sds-group.ru/product/udlinitel-3-gnezda-3m-2h0-75mm-b-z-belyy-proconnect-13-4206/", "Инфо")</f>
        <v>Инфо</v>
      </c>
      <c r="M157" s="37">
        <v>0.20899999999999999</v>
      </c>
      <c r="N157" s="38">
        <v>7.18E-4</v>
      </c>
      <c r="O157" s="141">
        <v>4601004271982</v>
      </c>
    </row>
    <row r="158" spans="1:15" s="1" customFormat="1" ht="11.45" customHeight="1" outlineLevel="4" x14ac:dyDescent="0.2">
      <c r="A158" s="32" t="s">
        <v>1354</v>
      </c>
      <c r="B158" s="74" t="s">
        <v>1355</v>
      </c>
      <c r="C158" s="50"/>
      <c r="D158" s="139">
        <f t="shared" si="2"/>
        <v>0</v>
      </c>
      <c r="E158" s="140">
        <v>170.31</v>
      </c>
      <c r="F158" s="140">
        <v>139.6</v>
      </c>
      <c r="G158" s="34" t="s">
        <v>100</v>
      </c>
      <c r="H158" s="34" t="s">
        <v>39</v>
      </c>
      <c r="I158" s="35">
        <v>1</v>
      </c>
      <c r="J158" s="35">
        <v>1</v>
      </c>
      <c r="K158" s="35">
        <v>36</v>
      </c>
      <c r="L158" s="60" t="str">
        <f>HYPERLINK("https://www.sds-group.ru/product/udlinitel-3-gnezda-3m-3h0-75mm-s-z-belyy-proconnect-13-4209/", "Инфо")</f>
        <v>Инфо</v>
      </c>
      <c r="M158" s="37">
        <v>0.28199999999999997</v>
      </c>
      <c r="N158" s="38">
        <v>1.4890000000000001E-3</v>
      </c>
      <c r="O158" s="141">
        <v>4601004271975</v>
      </c>
    </row>
    <row r="159" spans="1:15" s="1" customFormat="1" ht="11.45" customHeight="1" outlineLevel="4" x14ac:dyDescent="0.2">
      <c r="A159" s="32" t="s">
        <v>1356</v>
      </c>
      <c r="B159" s="74" t="s">
        <v>1357</v>
      </c>
      <c r="C159" s="50"/>
      <c r="D159" s="139">
        <f t="shared" si="2"/>
        <v>0</v>
      </c>
      <c r="E159" s="140">
        <v>144.37</v>
      </c>
      <c r="F159" s="140">
        <v>118.34</v>
      </c>
      <c r="G159" s="34" t="s">
        <v>100</v>
      </c>
      <c r="H159" s="34" t="s">
        <v>39</v>
      </c>
      <c r="I159" s="35">
        <v>1</v>
      </c>
      <c r="J159" s="35">
        <v>1</v>
      </c>
      <c r="K159" s="35">
        <v>40</v>
      </c>
      <c r="L159" s="60" t="str">
        <f>HYPERLINK("https://www.sds-group.ru/product/udlinitel-3-gnezda-5m-2h0-75mm-b-z-belyy-proconnect-13-4207/", "Инфо")</f>
        <v>Инфо</v>
      </c>
      <c r="M159" s="37">
        <v>0.26900000000000002</v>
      </c>
      <c r="N159" s="38">
        <v>8.03E-4</v>
      </c>
      <c r="O159" s="141">
        <v>4601004271944</v>
      </c>
    </row>
    <row r="160" spans="1:15" s="1" customFormat="1" ht="11.45" customHeight="1" outlineLevel="4" x14ac:dyDescent="0.2">
      <c r="A160" s="32" t="s">
        <v>1358</v>
      </c>
      <c r="B160" s="74" t="s">
        <v>1359</v>
      </c>
      <c r="C160" s="50"/>
      <c r="D160" s="139">
        <f t="shared" si="2"/>
        <v>0</v>
      </c>
      <c r="E160" s="140">
        <v>162.05000000000001</v>
      </c>
      <c r="F160" s="140">
        <v>132.83000000000001</v>
      </c>
      <c r="G160" s="34" t="s">
        <v>100</v>
      </c>
      <c r="H160" s="34" t="s">
        <v>39</v>
      </c>
      <c r="I160" s="35">
        <v>1</v>
      </c>
      <c r="J160" s="35">
        <v>1</v>
      </c>
      <c r="K160" s="35">
        <v>36</v>
      </c>
      <c r="L160" s="60" t="str">
        <f>HYPERLINK("https://www.sds-group.ru/product/udlinitel-5-gnezd-1-5m-3h0-75mm-s-z-belyy-proconnect-13-4211/", "Инфо")</f>
        <v>Инфо</v>
      </c>
      <c r="M160" s="37">
        <v>0.26</v>
      </c>
      <c r="N160" s="38">
        <v>1.098E-3</v>
      </c>
      <c r="O160" s="141">
        <v>4601004272002</v>
      </c>
    </row>
    <row r="161" spans="1:15" s="1" customFormat="1" ht="11.45" customHeight="1" outlineLevel="4" x14ac:dyDescent="0.2">
      <c r="A161" s="32" t="s">
        <v>1360</v>
      </c>
      <c r="B161" s="74" t="s">
        <v>1361</v>
      </c>
      <c r="C161" s="50"/>
      <c r="D161" s="139">
        <f t="shared" si="2"/>
        <v>0</v>
      </c>
      <c r="E161" s="140">
        <v>156.75</v>
      </c>
      <c r="F161" s="140">
        <v>128.47999999999999</v>
      </c>
      <c r="G161" s="34" t="s">
        <v>100</v>
      </c>
      <c r="H161" s="34" t="s">
        <v>39</v>
      </c>
      <c r="I161" s="35">
        <v>1</v>
      </c>
      <c r="J161" s="35">
        <v>1</v>
      </c>
      <c r="K161" s="35">
        <v>36</v>
      </c>
      <c r="L161" s="60" t="str">
        <f>HYPERLINK("https://www.sds-group.ru/product/udlinitel-5-gnezd-3m-3h0-75mm-s-z-belyy-proconnect-13-4212/", "Инфо")</f>
        <v>Инфо</v>
      </c>
      <c r="M161" s="37">
        <v>0.34399999999999997</v>
      </c>
      <c r="N161" s="38">
        <v>1.212E-3</v>
      </c>
      <c r="O161" s="141">
        <v>4601004272057</v>
      </c>
    </row>
    <row r="162" spans="1:15" s="1" customFormat="1" ht="11.45" customHeight="1" outlineLevel="4" x14ac:dyDescent="0.2">
      <c r="A162" s="32" t="s">
        <v>1362</v>
      </c>
      <c r="B162" s="74" t="s">
        <v>1363</v>
      </c>
      <c r="C162" s="50"/>
      <c r="D162" s="139">
        <f t="shared" si="2"/>
        <v>0</v>
      </c>
      <c r="E162" s="140">
        <v>206.71</v>
      </c>
      <c r="F162" s="140">
        <v>169.43</v>
      </c>
      <c r="G162" s="34" t="s">
        <v>100</v>
      </c>
      <c r="H162" s="34" t="s">
        <v>39</v>
      </c>
      <c r="I162" s="35">
        <v>1</v>
      </c>
      <c r="J162" s="35">
        <v>1</v>
      </c>
      <c r="K162" s="35">
        <v>36</v>
      </c>
      <c r="L162" s="60" t="str">
        <f>HYPERLINK("https://www.sds-group.ru/product/udlinitel-5-gnezd-5m-3h0-75mm-s-z-belyy-proconnect-13-4213/", "Инфо")</f>
        <v>Инфо</v>
      </c>
      <c r="M162" s="37">
        <v>0.45300000000000001</v>
      </c>
      <c r="N162" s="38">
        <v>1.4920000000000001E-3</v>
      </c>
      <c r="O162" s="141">
        <v>4601004272064</v>
      </c>
    </row>
    <row r="163" spans="1:15" s="1" customFormat="1" ht="11.45" customHeight="1" outlineLevel="4" x14ac:dyDescent="0.2">
      <c r="A163" s="32" t="s">
        <v>1364</v>
      </c>
      <c r="B163" s="74" t="s">
        <v>1365</v>
      </c>
      <c r="C163" s="50"/>
      <c r="D163" s="139">
        <f t="shared" si="2"/>
        <v>0</v>
      </c>
      <c r="E163" s="140">
        <v>184.25</v>
      </c>
      <c r="F163" s="140">
        <v>151.02000000000001</v>
      </c>
      <c r="G163" s="34" t="s">
        <v>100</v>
      </c>
      <c r="H163" s="34" t="s">
        <v>39</v>
      </c>
      <c r="I163" s="35">
        <v>1</v>
      </c>
      <c r="J163" s="35">
        <v>1</v>
      </c>
      <c r="K163" s="35">
        <v>35</v>
      </c>
      <c r="L163" s="60" t="str">
        <f>HYPERLINK("https://www.sds-group.ru/product/udlinitel-optima-4-gnezda-5m-2h0-75mm-b-z-belyy-proconnect-11-7222/", "Инфо")</f>
        <v>Инфо</v>
      </c>
      <c r="M163" s="37">
        <v>0.33500000000000002</v>
      </c>
      <c r="N163" s="38">
        <v>1.2489999999999999E-3</v>
      </c>
      <c r="O163" s="141">
        <v>4601004203389</v>
      </c>
    </row>
    <row r="164" spans="1:15" s="1" customFormat="1" ht="11.45" customHeight="1" outlineLevel="4" x14ac:dyDescent="0.2">
      <c r="A164" s="32" t="s">
        <v>1366</v>
      </c>
      <c r="B164" s="74" t="s">
        <v>1367</v>
      </c>
      <c r="C164" s="50"/>
      <c r="D164" s="139">
        <f t="shared" si="2"/>
        <v>0</v>
      </c>
      <c r="E164" s="140">
        <v>255.81</v>
      </c>
      <c r="F164" s="140">
        <v>209.68</v>
      </c>
      <c r="G164" s="34" t="s">
        <v>100</v>
      </c>
      <c r="H164" s="34" t="s">
        <v>39</v>
      </c>
      <c r="I164" s="35">
        <v>1</v>
      </c>
      <c r="J164" s="35">
        <v>1</v>
      </c>
      <c r="K164" s="35">
        <v>30</v>
      </c>
      <c r="L164" s="60" t="str">
        <f>HYPERLINK("https://www.sds-group.ru/product/udlinitel-proconnect-optima-4-gnezda-7-m-2h0-75-mm-sup2-b-z-beliy-26519/", "Инфо")</f>
        <v>Инфо</v>
      </c>
      <c r="M164" s="37">
        <v>0.40799999999999997</v>
      </c>
      <c r="N164" s="38">
        <v>1.4400000000000001E-3</v>
      </c>
      <c r="O164" s="141">
        <v>4601004203396</v>
      </c>
    </row>
    <row r="165" spans="1:15" s="1" customFormat="1" ht="11.45" customHeight="1" outlineLevel="4" x14ac:dyDescent="0.2">
      <c r="A165" s="32" t="s">
        <v>1368</v>
      </c>
      <c r="B165" s="74" t="s">
        <v>1369</v>
      </c>
      <c r="C165" s="50"/>
      <c r="D165" s="139">
        <f t="shared" si="2"/>
        <v>0</v>
      </c>
      <c r="E165" s="140">
        <v>102.8</v>
      </c>
      <c r="F165" s="140">
        <v>84.26</v>
      </c>
      <c r="G165" s="34" t="s">
        <v>100</v>
      </c>
      <c r="H165" s="34" t="s">
        <v>39</v>
      </c>
      <c r="I165" s="35">
        <v>1</v>
      </c>
      <c r="J165" s="35">
        <v>1</v>
      </c>
      <c r="K165" s="35">
        <v>60</v>
      </c>
      <c r="L165" s="60" t="str">
        <f>HYPERLINK("https://www.sds-group.ru/product/udlinitel-standart-3-gnezda-3m-2h0-75mm-b-z-belyy-proconnect-11-7211/", "Инфо")</f>
        <v>Инфо</v>
      </c>
      <c r="M165" s="37">
        <v>0.14599999999999999</v>
      </c>
      <c r="N165" s="38">
        <v>7.2400000000000003E-4</v>
      </c>
      <c r="O165" s="141">
        <v>4601004203273</v>
      </c>
    </row>
    <row r="166" spans="1:15" s="1" customFormat="1" ht="11.45" customHeight="1" outlineLevel="4" x14ac:dyDescent="0.2">
      <c r="A166" s="32" t="s">
        <v>1370</v>
      </c>
      <c r="B166" s="74" t="s">
        <v>1371</v>
      </c>
      <c r="C166" s="50"/>
      <c r="D166" s="139">
        <f t="shared" si="2"/>
        <v>0</v>
      </c>
      <c r="E166" s="140">
        <v>175.64</v>
      </c>
      <c r="F166" s="140">
        <v>143.97</v>
      </c>
      <c r="G166" s="34" t="s">
        <v>100</v>
      </c>
      <c r="H166" s="34" t="s">
        <v>39</v>
      </c>
      <c r="I166" s="35">
        <v>1</v>
      </c>
      <c r="J166" s="35">
        <v>1</v>
      </c>
      <c r="K166" s="35">
        <v>40</v>
      </c>
      <c r="L166" s="60" t="str">
        <f>HYPERLINK("https://www.sds-group.ru/product/udlinitel-ruletka-standart-3-gnezda-5m-2h0-75mm-b-z-belyy-proconnect-11-7225/", "Инфо")</f>
        <v>Инфо</v>
      </c>
      <c r="M166" s="37">
        <v>0.25900000000000001</v>
      </c>
      <c r="N166" s="38">
        <v>1.1249999999999999E-3</v>
      </c>
      <c r="O166" s="141">
        <v>4601004203419</v>
      </c>
    </row>
    <row r="167" spans="1:15" ht="11.45" customHeight="1" outlineLevel="2" x14ac:dyDescent="0.2">
      <c r="A167" s="76" t="s">
        <v>1515</v>
      </c>
      <c r="B167" s="136"/>
      <c r="C167" s="77"/>
      <c r="D167" s="137"/>
      <c r="E167" s="4"/>
      <c r="F167" s="4"/>
      <c r="G167" s="4"/>
      <c r="H167" s="4"/>
      <c r="I167" s="4"/>
      <c r="J167" s="4"/>
      <c r="K167" s="4"/>
      <c r="L167" s="138"/>
      <c r="M167" s="4"/>
      <c r="N167" s="4"/>
      <c r="O167" s="4"/>
    </row>
    <row r="168" spans="1:15" ht="11.45" customHeight="1" outlineLevel="3" x14ac:dyDescent="0.2">
      <c r="A168" s="76" t="s">
        <v>1516</v>
      </c>
      <c r="B168" s="136"/>
      <c r="C168" s="77"/>
      <c r="D168" s="137"/>
      <c r="E168" s="4"/>
      <c r="F168" s="4"/>
      <c r="G168" s="4"/>
      <c r="H168" s="4"/>
      <c r="I168" s="4"/>
      <c r="J168" s="4"/>
      <c r="K168" s="4"/>
      <c r="L168" s="138"/>
      <c r="M168" s="4"/>
      <c r="N168" s="4"/>
      <c r="O168" s="4"/>
    </row>
    <row r="169" spans="1:15" s="1" customFormat="1" ht="11.45" customHeight="1" outlineLevel="4" x14ac:dyDescent="0.2">
      <c r="A169" s="32" t="s">
        <v>1559</v>
      </c>
      <c r="B169" s="74" t="s">
        <v>1560</v>
      </c>
      <c r="C169" s="50"/>
      <c r="D169" s="139">
        <f t="shared" si="2"/>
        <v>0</v>
      </c>
      <c r="E169" s="140">
        <v>343.73</v>
      </c>
      <c r="F169" s="140">
        <v>281.75</v>
      </c>
      <c r="G169" s="34" t="s">
        <v>100</v>
      </c>
      <c r="H169" s="34" t="s">
        <v>39</v>
      </c>
      <c r="I169" s="35">
        <v>1</v>
      </c>
      <c r="J169" s="35">
        <v>1</v>
      </c>
      <c r="K169" s="35">
        <v>48</v>
      </c>
      <c r="L169" s="60" t="str">
        <f>HYPERLINK("https://www.sds-group.ru/product/rozetka-vlagozaschischennaya-nastennaya-s-kryshkoy-1-gnezdo-3r-re-32a-ip44-kauchuk-chernaya--111-007/", "Инфо")</f>
        <v>Инфо</v>
      </c>
      <c r="M169" s="37">
        <v>0.30399999999999999</v>
      </c>
      <c r="N169" s="38">
        <v>1.0950000000000001E-3</v>
      </c>
      <c r="O169" s="141">
        <v>4601004150034</v>
      </c>
    </row>
    <row r="170" spans="1:15" s="1" customFormat="1" ht="11.45" customHeight="1" outlineLevel="4" x14ac:dyDescent="0.2">
      <c r="A170" s="32" t="s">
        <v>1565</v>
      </c>
      <c r="B170" s="74" t="s">
        <v>1566</v>
      </c>
      <c r="C170" s="50"/>
      <c r="D170" s="139">
        <f t="shared" si="2"/>
        <v>0</v>
      </c>
      <c r="E170" s="140">
        <v>301.85000000000002</v>
      </c>
      <c r="F170" s="140">
        <v>247.42</v>
      </c>
      <c r="G170" s="34" t="s">
        <v>100</v>
      </c>
      <c r="H170" s="34" t="s">
        <v>39</v>
      </c>
      <c r="I170" s="35">
        <v>1</v>
      </c>
      <c r="J170" s="35">
        <v>1</v>
      </c>
      <c r="K170" s="35">
        <v>72</v>
      </c>
      <c r="L170" s="60" t="str">
        <f>HYPERLINK("https://www.sds-group.ru/product/rozetka-vlagozaschischennaya-perenosnaya-s-kryshkoy-1-gnezdo-3r-re-32a-ip44-kauchuk-chernaya-111-012/", "Инфо")</f>
        <v>Инфо</v>
      </c>
      <c r="M170" s="37">
        <v>0.22</v>
      </c>
      <c r="N170" s="38">
        <v>1.1689999999999999E-3</v>
      </c>
      <c r="O170" s="141">
        <v>4601004150096</v>
      </c>
    </row>
    <row r="171" spans="1:15" ht="11.45" customHeight="1" outlineLevel="2" x14ac:dyDescent="0.2">
      <c r="A171" s="76" t="s">
        <v>1575</v>
      </c>
      <c r="B171" s="136"/>
      <c r="C171" s="77"/>
      <c r="D171" s="137"/>
      <c r="E171" s="4"/>
      <c r="F171" s="4"/>
      <c r="G171" s="4"/>
      <c r="H171" s="4"/>
      <c r="I171" s="4"/>
      <c r="J171" s="4"/>
      <c r="K171" s="4"/>
      <c r="L171" s="138"/>
      <c r="M171" s="4"/>
      <c r="N171" s="4"/>
      <c r="O171" s="4"/>
    </row>
    <row r="172" spans="1:15" s="1" customFormat="1" ht="11.45" customHeight="1" outlineLevel="3" x14ac:dyDescent="0.2">
      <c r="A172" s="32" t="s">
        <v>1607</v>
      </c>
      <c r="B172" s="74" t="s">
        <v>1608</v>
      </c>
      <c r="C172" s="50"/>
      <c r="D172" s="139">
        <f t="shared" si="2"/>
        <v>0</v>
      </c>
      <c r="E172" s="140">
        <v>207.84</v>
      </c>
      <c r="F172" s="140">
        <v>170.36</v>
      </c>
      <c r="G172" s="34" t="s">
        <v>100</v>
      </c>
      <c r="H172" s="34" t="s">
        <v>1001</v>
      </c>
      <c r="I172" s="35">
        <v>1</v>
      </c>
      <c r="J172" s="35">
        <v>1</v>
      </c>
      <c r="K172" s="35">
        <v>25</v>
      </c>
      <c r="L172" s="60" t="str">
        <f>HYPERLINK("https://www.sds-group.ru/product/nabor-troynikov-elektricheskih-universalnyh-16a-s-z-odno-gnezdo-belyy-2-sht-up-rexant-11-1080-2/", "Инфо")</f>
        <v>Инфо</v>
      </c>
      <c r="M172" s="37">
        <v>0.215</v>
      </c>
      <c r="N172" s="38">
        <v>6.9999999999999999E-4</v>
      </c>
      <c r="O172" s="141">
        <v>4601004197602</v>
      </c>
    </row>
    <row r="173" spans="1:15" ht="11.45" customHeight="1" outlineLevel="1" x14ac:dyDescent="0.2">
      <c r="A173" s="78" t="s">
        <v>1762</v>
      </c>
      <c r="B173" s="132"/>
      <c r="C173" s="79"/>
      <c r="D173" s="133"/>
      <c r="E173" s="134"/>
      <c r="F173" s="134"/>
      <c r="G173" s="134"/>
      <c r="H173" s="134"/>
      <c r="I173" s="134"/>
      <c r="J173" s="134"/>
      <c r="K173" s="134"/>
      <c r="L173" s="135"/>
      <c r="M173" s="134"/>
      <c r="N173" s="134"/>
      <c r="O173" s="134"/>
    </row>
    <row r="174" spans="1:15" ht="11.45" customHeight="1" outlineLevel="2" x14ac:dyDescent="0.2">
      <c r="A174" s="76" t="s">
        <v>1763</v>
      </c>
      <c r="B174" s="136"/>
      <c r="C174" s="77"/>
      <c r="D174" s="137"/>
      <c r="E174" s="4"/>
      <c r="F174" s="4"/>
      <c r="G174" s="4"/>
      <c r="H174" s="4"/>
      <c r="I174" s="4"/>
      <c r="J174" s="4"/>
      <c r="K174" s="4"/>
      <c r="L174" s="138"/>
      <c r="M174" s="4"/>
      <c r="N174" s="4"/>
      <c r="O174" s="4"/>
    </row>
    <row r="175" spans="1:15" ht="11.45" customHeight="1" outlineLevel="3" x14ac:dyDescent="0.2">
      <c r="A175" s="76" t="s">
        <v>1788</v>
      </c>
      <c r="B175" s="136"/>
      <c r="C175" s="77"/>
      <c r="D175" s="137"/>
      <c r="E175" s="4"/>
      <c r="F175" s="4"/>
      <c r="G175" s="4"/>
      <c r="H175" s="4"/>
      <c r="I175" s="4"/>
      <c r="J175" s="4"/>
      <c r="K175" s="4"/>
      <c r="L175" s="138"/>
      <c r="M175" s="4"/>
      <c r="N175" s="4"/>
      <c r="O175" s="4"/>
    </row>
    <row r="176" spans="1:15" s="1" customFormat="1" ht="11.45" customHeight="1" outlineLevel="4" x14ac:dyDescent="0.2">
      <c r="A176" s="32" t="s">
        <v>1793</v>
      </c>
      <c r="B176" s="74" t="s">
        <v>1794</v>
      </c>
      <c r="C176" s="50"/>
      <c r="D176" s="139">
        <f t="shared" si="2"/>
        <v>0</v>
      </c>
      <c r="E176" s="140">
        <v>21.79</v>
      </c>
      <c r="F176" s="140">
        <v>17.86</v>
      </c>
      <c r="G176" s="34" t="s">
        <v>100</v>
      </c>
      <c r="H176" s="34" t="s">
        <v>39</v>
      </c>
      <c r="I176" s="35">
        <v>1</v>
      </c>
      <c r="J176" s="35">
        <v>1</v>
      </c>
      <c r="K176" s="35">
        <v>100</v>
      </c>
      <c r="L176" s="60" t="str">
        <f>HYPERLINK("https://www.sds-group.ru/product/korobka-raspayachnaya-ou-dlya-kabel-kanala-50h50h20mm-belaya-ip40-rexant-28-3073/", "Инфо")</f>
        <v>Инфо</v>
      </c>
      <c r="M176" s="37">
        <v>1.4999999999999999E-2</v>
      </c>
      <c r="N176" s="38">
        <v>2.2100000000000001E-4</v>
      </c>
      <c r="O176" s="141">
        <v>4601004243118</v>
      </c>
    </row>
    <row r="177" spans="1:15" ht="11.45" customHeight="1" outlineLevel="3" x14ac:dyDescent="0.2">
      <c r="A177" s="76" t="s">
        <v>1797</v>
      </c>
      <c r="B177" s="136"/>
      <c r="C177" s="77"/>
      <c r="D177" s="137"/>
      <c r="E177" s="4"/>
      <c r="F177" s="4"/>
      <c r="G177" s="4"/>
      <c r="H177" s="4"/>
      <c r="I177" s="4"/>
      <c r="J177" s="4"/>
      <c r="K177" s="4"/>
      <c r="L177" s="138"/>
      <c r="M177" s="4"/>
      <c r="N177" s="4"/>
      <c r="O177" s="4"/>
    </row>
    <row r="178" spans="1:15" s="1" customFormat="1" ht="11.45" customHeight="1" outlineLevel="4" x14ac:dyDescent="0.2">
      <c r="A178" s="32" t="s">
        <v>1805</v>
      </c>
      <c r="B178" s="74" t="s">
        <v>1806</v>
      </c>
      <c r="C178" s="50"/>
      <c r="D178" s="139">
        <f t="shared" si="2"/>
        <v>0</v>
      </c>
      <c r="E178" s="140">
        <v>156.6</v>
      </c>
      <c r="F178" s="140">
        <v>128.36000000000001</v>
      </c>
      <c r="G178" s="34" t="s">
        <v>100</v>
      </c>
      <c r="H178" s="34" t="s">
        <v>1767</v>
      </c>
      <c r="I178" s="35">
        <v>72</v>
      </c>
      <c r="J178" s="35">
        <v>72</v>
      </c>
      <c r="K178" s="35">
        <v>100</v>
      </c>
      <c r="L178" s="60" t="str">
        <f>HYPERLINK("https://www.sds-group.ru/product/kabel-kanal-perforirovannyy-samokleyaschiysya-40h40mm-seryy-paz-4mm-zub-6mm-rexant-28-5015/", "Инфо")</f>
        <v>Инфо</v>
      </c>
      <c r="M178" s="37">
        <v>0.34899999999999998</v>
      </c>
      <c r="N178" s="38">
        <v>1.1349999999999999E-3</v>
      </c>
      <c r="O178" s="141">
        <v>2000604431512</v>
      </c>
    </row>
    <row r="179" spans="1:15" s="1" customFormat="1" ht="11.45" customHeight="1" outlineLevel="4" x14ac:dyDescent="0.2">
      <c r="A179" s="32" t="s">
        <v>1807</v>
      </c>
      <c r="B179" s="74" t="s">
        <v>1808</v>
      </c>
      <c r="C179" s="50"/>
      <c r="D179" s="139">
        <f t="shared" si="2"/>
        <v>0</v>
      </c>
      <c r="E179" s="140">
        <v>261.75</v>
      </c>
      <c r="F179" s="140">
        <v>214.55</v>
      </c>
      <c r="G179" s="34" t="s">
        <v>100</v>
      </c>
      <c r="H179" s="34" t="s">
        <v>1767</v>
      </c>
      <c r="I179" s="35">
        <v>32</v>
      </c>
      <c r="J179" s="35">
        <v>32</v>
      </c>
      <c r="K179" s="35">
        <v>80</v>
      </c>
      <c r="L179" s="60" t="str">
        <f>HYPERLINK("https://www.sds-group.ru/product/kabel-kanal-perforirovannyy-samokleyaschiysya-60h60mm-seryy-paz-5mm-zub-7mm-s-otv-rexant-28-5017/", "Инфо")</f>
        <v>Инфо</v>
      </c>
      <c r="M179" s="37">
        <v>0.52500000000000002</v>
      </c>
      <c r="N179" s="38">
        <v>2.3570000000000002E-3</v>
      </c>
      <c r="O179" s="141">
        <v>2000604431550</v>
      </c>
    </row>
    <row r="180" spans="1:15" ht="11.45" customHeight="1" outlineLevel="3" x14ac:dyDescent="0.2">
      <c r="A180" s="76" t="s">
        <v>1809</v>
      </c>
      <c r="B180" s="136"/>
      <c r="C180" s="77"/>
      <c r="D180" s="137"/>
      <c r="E180" s="4"/>
      <c r="F180" s="4"/>
      <c r="G180" s="4"/>
      <c r="H180" s="4"/>
      <c r="I180" s="4"/>
      <c r="J180" s="4"/>
      <c r="K180" s="4"/>
      <c r="L180" s="138"/>
      <c r="M180" s="4"/>
      <c r="N180" s="4"/>
      <c r="O180" s="4"/>
    </row>
    <row r="181" spans="1:15" s="1" customFormat="1" ht="11.45" customHeight="1" outlineLevel="4" x14ac:dyDescent="0.2">
      <c r="A181" s="32" t="s">
        <v>1810</v>
      </c>
      <c r="B181" s="74" t="s">
        <v>1811</v>
      </c>
      <c r="C181" s="50"/>
      <c r="D181" s="139">
        <f t="shared" si="2"/>
        <v>0</v>
      </c>
      <c r="E181" s="140">
        <v>21.14</v>
      </c>
      <c r="F181" s="140">
        <v>17.329999999999998</v>
      </c>
      <c r="G181" s="34" t="s">
        <v>100</v>
      </c>
      <c r="H181" s="34" t="s">
        <v>1767</v>
      </c>
      <c r="I181" s="35">
        <v>200</v>
      </c>
      <c r="J181" s="35">
        <v>200</v>
      </c>
      <c r="K181" s="35">
        <v>200</v>
      </c>
      <c r="L181" s="60" t="str">
        <f>HYPERLINK("https://www.sds-group.ru/product/kabel-kanal-12h12mm-dub-rexant-28-1212-4/", "Инфо")</f>
        <v>Инфо</v>
      </c>
      <c r="M181" s="37">
        <v>0.06</v>
      </c>
      <c r="N181" s="38">
        <v>1.55E-4</v>
      </c>
      <c r="O181" s="141">
        <v>4601004301733</v>
      </c>
    </row>
    <row r="182" spans="1:15" s="1" customFormat="1" ht="11.45" customHeight="1" outlineLevel="4" x14ac:dyDescent="0.2">
      <c r="A182" s="32" t="s">
        <v>1818</v>
      </c>
      <c r="B182" s="74" t="s">
        <v>1819</v>
      </c>
      <c r="C182" s="50"/>
      <c r="D182" s="139">
        <f t="shared" si="2"/>
        <v>0</v>
      </c>
      <c r="E182" s="140">
        <v>21.14</v>
      </c>
      <c r="F182" s="140">
        <v>17.329999999999998</v>
      </c>
      <c r="G182" s="34" t="s">
        <v>100</v>
      </c>
      <c r="H182" s="34" t="s">
        <v>1767</v>
      </c>
      <c r="I182" s="35">
        <v>200</v>
      </c>
      <c r="J182" s="35">
        <v>200</v>
      </c>
      <c r="K182" s="35">
        <v>200</v>
      </c>
      <c r="L182" s="60" t="str">
        <f>HYPERLINK("https://www.sds-group.ru/product/kabel-kanal-15h10mm-dub-rexant-28-1510-4/", "Инфо")</f>
        <v>Инфо</v>
      </c>
      <c r="M182" s="37">
        <v>6.0999999999999999E-2</v>
      </c>
      <c r="N182" s="38">
        <v>1.7100000000000001E-4</v>
      </c>
      <c r="O182" s="141">
        <v>4601004301757</v>
      </c>
    </row>
    <row r="183" spans="1:15" s="1" customFormat="1" ht="11.45" customHeight="1" outlineLevel="4" x14ac:dyDescent="0.2">
      <c r="A183" s="32" t="s">
        <v>1824</v>
      </c>
      <c r="B183" s="74" t="s">
        <v>1825</v>
      </c>
      <c r="C183" s="50"/>
      <c r="D183" s="139">
        <f t="shared" si="2"/>
        <v>0</v>
      </c>
      <c r="E183" s="140">
        <v>29.56</v>
      </c>
      <c r="F183" s="140">
        <v>24.23</v>
      </c>
      <c r="G183" s="34" t="s">
        <v>100</v>
      </c>
      <c r="H183" s="34" t="s">
        <v>1767</v>
      </c>
      <c r="I183" s="35">
        <v>140</v>
      </c>
      <c r="J183" s="35">
        <v>140</v>
      </c>
      <c r="K183" s="35">
        <v>140</v>
      </c>
      <c r="L183" s="60" t="str">
        <f>HYPERLINK("https://www.sds-group.ru/product/kabel-kanal-16h16mm-dub-rexant-28-1616-4/", "Инфо")</f>
        <v>Инфо</v>
      </c>
      <c r="M183" s="37">
        <v>8.2000000000000003E-2</v>
      </c>
      <c r="N183" s="38">
        <v>2.7799999999999998E-4</v>
      </c>
      <c r="O183" s="141">
        <v>4601004301771</v>
      </c>
    </row>
    <row r="184" spans="1:15" s="1" customFormat="1" ht="11.45" customHeight="1" outlineLevel="4" x14ac:dyDescent="0.2">
      <c r="A184" s="32" t="s">
        <v>1832</v>
      </c>
      <c r="B184" s="74" t="s">
        <v>1833</v>
      </c>
      <c r="C184" s="50"/>
      <c r="D184" s="139">
        <f t="shared" si="2"/>
        <v>0</v>
      </c>
      <c r="E184" s="140">
        <v>28.85</v>
      </c>
      <c r="F184" s="140">
        <v>23.65</v>
      </c>
      <c r="G184" s="34" t="s">
        <v>100</v>
      </c>
      <c r="H184" s="34" t="s">
        <v>1767</v>
      </c>
      <c r="I184" s="35">
        <v>160</v>
      </c>
      <c r="J184" s="35">
        <v>160</v>
      </c>
      <c r="K184" s="35">
        <v>160</v>
      </c>
      <c r="L184" s="60" t="str">
        <f>HYPERLINK("https://www.sds-group.ru/product/kabel-kanal-20h10mm-dub-rexant-28-2010-4/", "Инфо")</f>
        <v>Инфо</v>
      </c>
      <c r="M184" s="37">
        <v>8.2000000000000003E-2</v>
      </c>
      <c r="N184" s="38">
        <v>2.7799999999999998E-4</v>
      </c>
      <c r="O184" s="141">
        <v>4601004301795</v>
      </c>
    </row>
    <row r="185" spans="1:15" s="1" customFormat="1" ht="11.45" customHeight="1" outlineLevel="4" x14ac:dyDescent="0.2">
      <c r="A185" s="32" t="s">
        <v>1838</v>
      </c>
      <c r="B185" s="74" t="s">
        <v>1839</v>
      </c>
      <c r="C185" s="50"/>
      <c r="D185" s="139">
        <f t="shared" si="2"/>
        <v>0</v>
      </c>
      <c r="E185" s="140">
        <v>42.78</v>
      </c>
      <c r="F185" s="140">
        <v>35.07</v>
      </c>
      <c r="G185" s="34" t="s">
        <v>100</v>
      </c>
      <c r="H185" s="34" t="s">
        <v>1767</v>
      </c>
      <c r="I185" s="35">
        <v>60</v>
      </c>
      <c r="J185" s="35">
        <v>60</v>
      </c>
      <c r="K185" s="35">
        <v>60</v>
      </c>
      <c r="L185" s="60" t="str">
        <f>HYPERLINK("https://www.sds-group.ru/product/kabel-kanal-25x16mm-kanadskiy-klen-rexant-28-2516-85/", "Инфо")</f>
        <v>Инфо</v>
      </c>
      <c r="M185" s="37">
        <v>0.125</v>
      </c>
      <c r="N185" s="38">
        <v>4.5800000000000002E-4</v>
      </c>
      <c r="O185" s="141">
        <v>4601004312005</v>
      </c>
    </row>
    <row r="186" spans="1:15" s="1" customFormat="1" ht="11.45" customHeight="1" outlineLevel="4" x14ac:dyDescent="0.2">
      <c r="A186" s="32" t="s">
        <v>1840</v>
      </c>
      <c r="B186" s="74" t="s">
        <v>1841</v>
      </c>
      <c r="C186" s="50"/>
      <c r="D186" s="139">
        <f t="shared" si="2"/>
        <v>0</v>
      </c>
      <c r="E186" s="140">
        <v>53.24</v>
      </c>
      <c r="F186" s="140">
        <v>43.64</v>
      </c>
      <c r="G186" s="34" t="s">
        <v>100</v>
      </c>
      <c r="H186" s="34" t="s">
        <v>1767</v>
      </c>
      <c r="I186" s="35">
        <v>60</v>
      </c>
      <c r="J186" s="35">
        <v>60</v>
      </c>
      <c r="K186" s="35">
        <v>60</v>
      </c>
      <c r="L186" s="60" t="str">
        <f>HYPERLINK("https://www.sds-group.ru/product/kabel-kanal-25x25mm-dub-rexant-28-2525-4/", "Инфо")</f>
        <v>Инфо</v>
      </c>
      <c r="M186" s="37">
        <v>0.16700000000000001</v>
      </c>
      <c r="N186" s="38">
        <v>5.8699999999999996E-4</v>
      </c>
      <c r="O186" s="141">
        <v>4601004301832</v>
      </c>
    </row>
    <row r="187" spans="1:15" s="1" customFormat="1" ht="11.45" customHeight="1" outlineLevel="4" x14ac:dyDescent="0.2">
      <c r="A187" s="32" t="s">
        <v>1842</v>
      </c>
      <c r="B187" s="74" t="s">
        <v>1843</v>
      </c>
      <c r="C187" s="50"/>
      <c r="D187" s="139">
        <f t="shared" si="2"/>
        <v>0</v>
      </c>
      <c r="E187" s="140">
        <v>54.18</v>
      </c>
      <c r="F187" s="140">
        <v>44.41</v>
      </c>
      <c r="G187" s="34" t="s">
        <v>100</v>
      </c>
      <c r="H187" s="34" t="s">
        <v>1767</v>
      </c>
      <c r="I187" s="35">
        <v>50</v>
      </c>
      <c r="J187" s="35">
        <v>50</v>
      </c>
      <c r="K187" s="35">
        <v>50</v>
      </c>
      <c r="L187" s="60" t="str">
        <f>HYPERLINK("https://www.sds-group.ru/product/kabel-kanal-25x25mm-kanadskiy-klen-rexant-28-2525-85/", "Инфо")</f>
        <v>Инфо</v>
      </c>
      <c r="M187" s="37">
        <v>0.125</v>
      </c>
      <c r="N187" s="38">
        <v>5.8699999999999996E-4</v>
      </c>
      <c r="O187" s="141">
        <v>4601004312012</v>
      </c>
    </row>
    <row r="188" spans="1:15" s="1" customFormat="1" ht="11.45" customHeight="1" outlineLevel="4" x14ac:dyDescent="0.2">
      <c r="A188" s="32" t="s">
        <v>1844</v>
      </c>
      <c r="B188" s="74" t="s">
        <v>1845</v>
      </c>
      <c r="C188" s="50"/>
      <c r="D188" s="139">
        <f t="shared" si="2"/>
        <v>0</v>
      </c>
      <c r="E188" s="140">
        <v>55.94</v>
      </c>
      <c r="F188" s="140">
        <v>45.85</v>
      </c>
      <c r="G188" s="34" t="s">
        <v>100</v>
      </c>
      <c r="H188" s="34" t="s">
        <v>1767</v>
      </c>
      <c r="I188" s="35">
        <v>32</v>
      </c>
      <c r="J188" s="35">
        <v>32</v>
      </c>
      <c r="K188" s="35">
        <v>32</v>
      </c>
      <c r="L188" s="60" t="str">
        <f>HYPERLINK("https://www.sds-group.ru/product/kabel-kanal-25x25mm-seryy-rexant-28-2525-9/", "Инфо")</f>
        <v>Инфо</v>
      </c>
      <c r="M188" s="37">
        <v>0.16700000000000001</v>
      </c>
      <c r="N188" s="38">
        <v>5.8699999999999996E-4</v>
      </c>
      <c r="O188" s="141">
        <v>4601004296497</v>
      </c>
    </row>
    <row r="189" spans="1:15" s="1" customFormat="1" ht="11.45" customHeight="1" outlineLevel="4" x14ac:dyDescent="0.2">
      <c r="A189" s="32" t="s">
        <v>1850</v>
      </c>
      <c r="B189" s="74" t="s">
        <v>1851</v>
      </c>
      <c r="C189" s="50"/>
      <c r="D189" s="139">
        <f t="shared" si="2"/>
        <v>0</v>
      </c>
      <c r="E189" s="140">
        <v>42.2</v>
      </c>
      <c r="F189" s="140">
        <v>34.590000000000003</v>
      </c>
      <c r="G189" s="34" t="s">
        <v>100</v>
      </c>
      <c r="H189" s="34" t="s">
        <v>1767</v>
      </c>
      <c r="I189" s="35">
        <v>84</v>
      </c>
      <c r="J189" s="35">
        <v>84</v>
      </c>
      <c r="K189" s="35">
        <v>84</v>
      </c>
      <c r="L189" s="60" t="str">
        <f>HYPERLINK("https://www.sds-group.ru/product/kabel-kanal-25h16mm-dub-rexant-28-2516-4/", "Инфо")</f>
        <v>Инфо</v>
      </c>
      <c r="M189" s="37">
        <v>0.125</v>
      </c>
      <c r="N189" s="38">
        <v>4.5800000000000002E-4</v>
      </c>
      <c r="O189" s="141">
        <v>4601004301818</v>
      </c>
    </row>
    <row r="190" spans="1:15" s="1" customFormat="1" ht="11.45" customHeight="1" outlineLevel="4" x14ac:dyDescent="0.2">
      <c r="A190" s="32" t="s">
        <v>1858</v>
      </c>
      <c r="B190" s="74" t="s">
        <v>1859</v>
      </c>
      <c r="C190" s="50"/>
      <c r="D190" s="139">
        <f t="shared" si="2"/>
        <v>0</v>
      </c>
      <c r="E190" s="140">
        <v>58.72</v>
      </c>
      <c r="F190" s="140">
        <v>48.13</v>
      </c>
      <c r="G190" s="34" t="s">
        <v>100</v>
      </c>
      <c r="H190" s="34" t="s">
        <v>1767</v>
      </c>
      <c r="I190" s="35">
        <v>40</v>
      </c>
      <c r="J190" s="35">
        <v>40</v>
      </c>
      <c r="K190" s="35">
        <v>40</v>
      </c>
      <c r="L190" s="60" t="str">
        <f>HYPERLINK("https://www.sds-group.ru/product/kabel-kanal-40x25mm-kanadskiy-klen-rexant-28-4025-85/", "Инфо")</f>
        <v>Инфо</v>
      </c>
      <c r="M190" s="37">
        <v>0.24399999999999999</v>
      </c>
      <c r="N190" s="38">
        <v>6.4999999999999997E-4</v>
      </c>
      <c r="O190" s="141">
        <v>4601004312036</v>
      </c>
    </row>
    <row r="191" spans="1:15" s="1" customFormat="1" ht="11.45" customHeight="1" outlineLevel="4" x14ac:dyDescent="0.2">
      <c r="A191" s="32" t="s">
        <v>1860</v>
      </c>
      <c r="B191" s="74" t="s">
        <v>1861</v>
      </c>
      <c r="C191" s="50"/>
      <c r="D191" s="139">
        <f t="shared" si="2"/>
        <v>0</v>
      </c>
      <c r="E191" s="140">
        <v>53.44</v>
      </c>
      <c r="F191" s="140">
        <v>43.8</v>
      </c>
      <c r="G191" s="34" t="s">
        <v>100</v>
      </c>
      <c r="H191" s="34" t="s">
        <v>1767</v>
      </c>
      <c r="I191" s="35">
        <v>48</v>
      </c>
      <c r="J191" s="35">
        <v>48</v>
      </c>
      <c r="K191" s="35">
        <v>48</v>
      </c>
      <c r="L191" s="60" t="str">
        <f>HYPERLINK("https://www.sds-group.ru/product/kabel-kanal-40h16mm-dub-rexant-28-4016-4/", "Инфо")</f>
        <v>Инфо</v>
      </c>
      <c r="M191" s="37">
        <v>0.24399999999999999</v>
      </c>
      <c r="N191" s="38">
        <v>6.4999999999999997E-4</v>
      </c>
      <c r="O191" s="141">
        <v>4601004301856</v>
      </c>
    </row>
    <row r="192" spans="1:15" s="1" customFormat="1" ht="11.45" customHeight="1" outlineLevel="4" x14ac:dyDescent="0.2">
      <c r="A192" s="32" t="s">
        <v>1862</v>
      </c>
      <c r="B192" s="74" t="s">
        <v>1863</v>
      </c>
      <c r="C192" s="50"/>
      <c r="D192" s="139">
        <f t="shared" si="2"/>
        <v>0</v>
      </c>
      <c r="E192" s="140">
        <v>71.83</v>
      </c>
      <c r="F192" s="140">
        <v>58.88</v>
      </c>
      <c r="G192" s="34" t="s">
        <v>100</v>
      </c>
      <c r="H192" s="34" t="s">
        <v>1767</v>
      </c>
      <c r="I192" s="35">
        <v>32</v>
      </c>
      <c r="J192" s="35">
        <v>32</v>
      </c>
      <c r="K192" s="35">
        <v>32</v>
      </c>
      <c r="L192" s="60" t="str">
        <f>HYPERLINK("https://www.sds-group.ru/product/kabel-kanal-40h25mm-dub-rexant-28-4025-4/", "Инфо")</f>
        <v>Инфо</v>
      </c>
      <c r="M192" s="37">
        <v>0.23699999999999999</v>
      </c>
      <c r="N192" s="38">
        <v>1.083E-3</v>
      </c>
      <c r="O192" s="141">
        <v>4601004301870</v>
      </c>
    </row>
    <row r="193" spans="1:15" ht="11.45" customHeight="1" outlineLevel="3" x14ac:dyDescent="0.2">
      <c r="A193" s="76" t="s">
        <v>1870</v>
      </c>
      <c r="B193" s="136"/>
      <c r="C193" s="77"/>
      <c r="D193" s="137"/>
      <c r="E193" s="4"/>
      <c r="F193" s="4"/>
      <c r="G193" s="4"/>
      <c r="H193" s="4"/>
      <c r="I193" s="4"/>
      <c r="J193" s="4"/>
      <c r="K193" s="4"/>
      <c r="L193" s="138"/>
      <c r="M193" s="4"/>
      <c r="N193" s="4"/>
      <c r="O193" s="4"/>
    </row>
    <row r="194" spans="1:15" s="1" customFormat="1" ht="11.45" customHeight="1" outlineLevel="4" x14ac:dyDescent="0.2">
      <c r="A194" s="32" t="s">
        <v>1871</v>
      </c>
      <c r="B194" s="74" t="s">
        <v>1872</v>
      </c>
      <c r="C194" s="50"/>
      <c r="D194" s="139">
        <f t="shared" si="2"/>
        <v>0</v>
      </c>
      <c r="E194" s="140">
        <v>57.99</v>
      </c>
      <c r="F194" s="140">
        <v>47.53</v>
      </c>
      <c r="G194" s="34" t="s">
        <v>100</v>
      </c>
      <c r="H194" s="34" t="s">
        <v>1767</v>
      </c>
      <c r="I194" s="35">
        <v>80</v>
      </c>
      <c r="J194" s="35">
        <v>80</v>
      </c>
      <c r="K194" s="35">
        <v>80</v>
      </c>
      <c r="L194" s="60" t="str">
        <f>HYPERLINK("https://www.sds-group.ru/product/kabel-kanal-bystroy-ukladki-16h25mm-belyy-80-m-up-rexant-28-1625-13/", "Инфо")</f>
        <v>Инфо</v>
      </c>
      <c r="M194" s="37">
        <v>9.9000000000000005E-2</v>
      </c>
      <c r="N194" s="38">
        <v>7.2000000000000015E-4</v>
      </c>
      <c r="O194" s="141">
        <v>4601004317291</v>
      </c>
    </row>
    <row r="195" spans="1:15" s="1" customFormat="1" ht="11.45" customHeight="1" outlineLevel="4" x14ac:dyDescent="0.2">
      <c r="A195" s="32" t="s">
        <v>1873</v>
      </c>
      <c r="B195" s="74" t="s">
        <v>1874</v>
      </c>
      <c r="C195" s="50"/>
      <c r="D195" s="139">
        <f t="shared" si="2"/>
        <v>0</v>
      </c>
      <c r="E195" s="140">
        <v>109.14</v>
      </c>
      <c r="F195" s="140">
        <v>89.46</v>
      </c>
      <c r="G195" s="34" t="s">
        <v>100</v>
      </c>
      <c r="H195" s="34" t="s">
        <v>1767</v>
      </c>
      <c r="I195" s="35">
        <v>20</v>
      </c>
      <c r="J195" s="35">
        <v>20</v>
      </c>
      <c r="K195" s="35">
        <v>20</v>
      </c>
      <c r="L195" s="60" t="str">
        <f>HYPERLINK("https://www.sds-group.ru/product/kabel-kanal-bystroy-ukladki-40h25mm-belyy-20-m-up-rexant-28-4025-13/", "Инфо")</f>
        <v>Инфо</v>
      </c>
      <c r="M195" s="37">
        <v>0.223</v>
      </c>
      <c r="N195" s="38">
        <v>1.3500000000000001E-3</v>
      </c>
      <c r="O195" s="141">
        <v>4601004311459</v>
      </c>
    </row>
    <row r="196" spans="1:15" s="1" customFormat="1" ht="11.45" customHeight="1" outlineLevel="4" x14ac:dyDescent="0.2">
      <c r="A196" s="32" t="s">
        <v>1875</v>
      </c>
      <c r="B196" s="74" t="s">
        <v>1876</v>
      </c>
      <c r="C196" s="50"/>
      <c r="D196" s="139">
        <f t="shared" si="2"/>
        <v>0</v>
      </c>
      <c r="E196" s="140">
        <v>210.23</v>
      </c>
      <c r="F196" s="140">
        <v>172.32</v>
      </c>
      <c r="G196" s="34" t="s">
        <v>100</v>
      </c>
      <c r="H196" s="34" t="s">
        <v>1767</v>
      </c>
      <c r="I196" s="35">
        <v>10</v>
      </c>
      <c r="J196" s="35">
        <v>10</v>
      </c>
      <c r="K196" s="35">
        <v>10</v>
      </c>
      <c r="L196" s="60" t="str">
        <f>HYPERLINK("https://www.sds-group.ru/product/kabel-kanal-bystroy-ukladki-60h40mm-belyy-10-m-up-rexant-28-6040-13/", "Инфо")</f>
        <v>Инфо</v>
      </c>
      <c r="M196" s="37">
        <v>0.52400000000000002</v>
      </c>
      <c r="N196" s="38">
        <v>1.3332E-2</v>
      </c>
      <c r="O196" s="141">
        <v>4601004311855</v>
      </c>
    </row>
    <row r="197" spans="1:15" s="1" customFormat="1" ht="11.45" customHeight="1" outlineLevel="4" x14ac:dyDescent="0.2">
      <c r="A197" s="32" t="s">
        <v>1877</v>
      </c>
      <c r="B197" s="74" t="s">
        <v>1878</v>
      </c>
      <c r="C197" s="50"/>
      <c r="D197" s="139">
        <f t="shared" si="2"/>
        <v>0</v>
      </c>
      <c r="E197" s="140">
        <v>67.180000000000007</v>
      </c>
      <c r="F197" s="140">
        <v>55.07</v>
      </c>
      <c r="G197" s="34" t="s">
        <v>100</v>
      </c>
      <c r="H197" s="34" t="s">
        <v>1767</v>
      </c>
      <c r="I197" s="35">
        <v>60</v>
      </c>
      <c r="J197" s="35">
        <v>60</v>
      </c>
      <c r="K197" s="35">
        <v>60</v>
      </c>
      <c r="L197" s="60" t="str">
        <f>HYPERLINK("https://www.sds-group.ru/product/kabel-kanal-polukruglyy-20h12mm-belyy-60-m-up-rexant-28-2012-14/", "Инфо")</f>
        <v>Инфо</v>
      </c>
      <c r="M197" s="37">
        <v>0.17</v>
      </c>
      <c r="N197" s="38">
        <v>1E-3</v>
      </c>
      <c r="O197" s="141">
        <v>4601004311442</v>
      </c>
    </row>
    <row r="198" spans="1:15" s="1" customFormat="1" ht="11.45" customHeight="1" outlineLevel="4" x14ac:dyDescent="0.2">
      <c r="A198" s="32" t="s">
        <v>1879</v>
      </c>
      <c r="B198" s="74" t="s">
        <v>1880</v>
      </c>
      <c r="C198" s="50"/>
      <c r="D198" s="139">
        <f t="shared" si="2"/>
        <v>0</v>
      </c>
      <c r="E198" s="140">
        <v>126.76</v>
      </c>
      <c r="F198" s="140">
        <v>103.9</v>
      </c>
      <c r="G198" s="34" t="s">
        <v>100</v>
      </c>
      <c r="H198" s="34" t="s">
        <v>1767</v>
      </c>
      <c r="I198" s="35">
        <v>40</v>
      </c>
      <c r="J198" s="35">
        <v>40</v>
      </c>
      <c r="K198" s="35">
        <v>40</v>
      </c>
      <c r="L198" s="60" t="str">
        <f>HYPERLINK("https://www.sds-group.ru/product/kabel-kanal-polukruglyy-usilennyy-13h30mm-belyy-40-m-up-rexant-28-1330-1/", "Инфо")</f>
        <v>Инфо</v>
      </c>
      <c r="M198" s="37">
        <v>0.33200000000000002</v>
      </c>
      <c r="N198" s="38">
        <v>8.8000000000000003E-4</v>
      </c>
      <c r="O198" s="141">
        <v>4601004311916</v>
      </c>
    </row>
    <row r="199" spans="1:15" ht="11.45" customHeight="1" outlineLevel="2" x14ac:dyDescent="0.2">
      <c r="A199" s="76" t="s">
        <v>1881</v>
      </c>
      <c r="B199" s="136"/>
      <c r="C199" s="77"/>
      <c r="D199" s="137"/>
      <c r="E199" s="4"/>
      <c r="F199" s="4"/>
      <c r="G199" s="4"/>
      <c r="H199" s="4"/>
      <c r="I199" s="4"/>
      <c r="J199" s="4"/>
      <c r="K199" s="4"/>
      <c r="L199" s="138"/>
      <c r="M199" s="4"/>
      <c r="N199" s="4"/>
      <c r="O199" s="4"/>
    </row>
    <row r="200" spans="1:15" ht="11.45" customHeight="1" outlineLevel="3" x14ac:dyDescent="0.2">
      <c r="A200" s="76" t="s">
        <v>1913</v>
      </c>
      <c r="B200" s="136"/>
      <c r="C200" s="77"/>
      <c r="D200" s="137"/>
      <c r="E200" s="4"/>
      <c r="F200" s="4"/>
      <c r="G200" s="4"/>
      <c r="H200" s="4"/>
      <c r="I200" s="4"/>
      <c r="J200" s="4"/>
      <c r="K200" s="4"/>
      <c r="L200" s="138"/>
      <c r="M200" s="4"/>
      <c r="N200" s="4"/>
      <c r="O200" s="4"/>
    </row>
    <row r="201" spans="1:15" s="1" customFormat="1" ht="11.45" customHeight="1" outlineLevel="4" x14ac:dyDescent="0.2">
      <c r="A201" s="32" t="s">
        <v>1950</v>
      </c>
      <c r="B201" s="74" t="s">
        <v>1951</v>
      </c>
      <c r="C201" s="50"/>
      <c r="D201" s="139">
        <f t="shared" si="2"/>
        <v>0</v>
      </c>
      <c r="E201" s="140">
        <v>32.06</v>
      </c>
      <c r="F201" s="140">
        <v>26.28</v>
      </c>
      <c r="G201" s="34" t="s">
        <v>100</v>
      </c>
      <c r="H201" s="34" t="s">
        <v>1767</v>
      </c>
      <c r="I201" s="35">
        <v>15</v>
      </c>
      <c r="J201" s="35">
        <v>15</v>
      </c>
      <c r="K201" s="35">
        <v>15</v>
      </c>
      <c r="L201" s="60" t="str">
        <f>HYPERLINK("https://www.sds-group.ru/product/truba-gofrirovannaya-iz-pnd-s-zondom-40mm-oranzhevaya-15-m-up-rexant-28-0040-5/", "Инфо")</f>
        <v>Инфо</v>
      </c>
      <c r="M201" s="37">
        <v>0.125</v>
      </c>
      <c r="N201" s="38">
        <v>2.8700000000000002E-3</v>
      </c>
      <c r="O201" s="141">
        <v>4601004234383</v>
      </c>
    </row>
    <row r="202" spans="1:15" ht="11.45" customHeight="1" outlineLevel="3" x14ac:dyDescent="0.2">
      <c r="A202" s="76" t="s">
        <v>1952</v>
      </c>
      <c r="B202" s="136"/>
      <c r="C202" s="77"/>
      <c r="D202" s="137"/>
      <c r="E202" s="4"/>
      <c r="F202" s="4"/>
      <c r="G202" s="4"/>
      <c r="H202" s="4"/>
      <c r="I202" s="4"/>
      <c r="J202" s="4"/>
      <c r="K202" s="4"/>
      <c r="L202" s="138"/>
      <c r="M202" s="4"/>
      <c r="N202" s="4"/>
      <c r="O202" s="4"/>
    </row>
    <row r="203" spans="1:15" s="1" customFormat="1" ht="11.45" customHeight="1" outlineLevel="4" x14ac:dyDescent="0.2">
      <c r="A203" s="32" t="s">
        <v>1953</v>
      </c>
      <c r="B203" s="74" t="s">
        <v>1954</v>
      </c>
      <c r="C203" s="50"/>
      <c r="D203" s="139">
        <f t="shared" ref="D203:D266" si="3">C203*E203</f>
        <v>0</v>
      </c>
      <c r="E203" s="140">
        <v>64.010000000000005</v>
      </c>
      <c r="F203" s="140">
        <v>52.47</v>
      </c>
      <c r="G203" s="34" t="s">
        <v>100</v>
      </c>
      <c r="H203" s="34" t="s">
        <v>1767</v>
      </c>
      <c r="I203" s="35">
        <v>50</v>
      </c>
      <c r="J203" s="35">
        <v>50</v>
      </c>
      <c r="K203" s="35">
        <v>50</v>
      </c>
      <c r="L203" s="60" t="str">
        <f>HYPERLINK("https://www.sds-group.ru/product/truba-avtomobilnaya-gofrirovannaya-pp-23-5mm-razreznaya-buhta-50-m-up-15-2350/", "Инфо")</f>
        <v>Инфо</v>
      </c>
      <c r="M203" s="37">
        <v>6.8000000000000005E-2</v>
      </c>
      <c r="N203" s="38">
        <v>1.122E-3</v>
      </c>
      <c r="O203" s="141">
        <v>4607004491030</v>
      </c>
    </row>
    <row r="204" spans="1:15" ht="11.45" customHeight="1" outlineLevel="2" x14ac:dyDescent="0.2">
      <c r="A204" s="76" t="s">
        <v>2045</v>
      </c>
      <c r="B204" s="136"/>
      <c r="C204" s="77"/>
      <c r="D204" s="137"/>
      <c r="E204" s="4"/>
      <c r="F204" s="4"/>
      <c r="G204" s="4"/>
      <c r="H204" s="4"/>
      <c r="I204" s="4"/>
      <c r="J204" s="4"/>
      <c r="K204" s="4"/>
      <c r="L204" s="138"/>
      <c r="M204" s="4"/>
      <c r="N204" s="4"/>
      <c r="O204" s="4"/>
    </row>
    <row r="205" spans="1:15" ht="11.45" customHeight="1" outlineLevel="3" x14ac:dyDescent="0.2">
      <c r="A205" s="76" t="s">
        <v>2046</v>
      </c>
      <c r="B205" s="136"/>
      <c r="C205" s="77"/>
      <c r="D205" s="137"/>
      <c r="E205" s="4"/>
      <c r="F205" s="4"/>
      <c r="G205" s="4"/>
      <c r="H205" s="4"/>
      <c r="I205" s="4"/>
      <c r="J205" s="4"/>
      <c r="K205" s="4"/>
      <c r="L205" s="138"/>
      <c r="M205" s="4"/>
      <c r="N205" s="4"/>
      <c r="O205" s="4"/>
    </row>
    <row r="206" spans="1:15" s="1" customFormat="1" ht="11.45" customHeight="1" outlineLevel="4" x14ac:dyDescent="0.2">
      <c r="A206" s="32" t="s">
        <v>2055</v>
      </c>
      <c r="B206" s="74" t="s">
        <v>2056</v>
      </c>
      <c r="C206" s="50"/>
      <c r="D206" s="139">
        <f t="shared" si="3"/>
        <v>0</v>
      </c>
      <c r="E206" s="140">
        <v>96.17</v>
      </c>
      <c r="F206" s="140">
        <v>78.83</v>
      </c>
      <c r="G206" s="34" t="s">
        <v>100</v>
      </c>
      <c r="H206" s="34" t="s">
        <v>1767</v>
      </c>
      <c r="I206" s="35">
        <v>20</v>
      </c>
      <c r="J206" s="35">
        <v>20</v>
      </c>
      <c r="K206" s="35">
        <v>20</v>
      </c>
      <c r="L206" s="60" t="str">
        <f>HYPERLINK("https://www.sds-group.ru/product/metallorukav-r3-tsh-32-rexant-28-1032-20/", "Инфо")</f>
        <v>Инфо</v>
      </c>
      <c r="M206" s="37">
        <v>0.34200000000000003</v>
      </c>
      <c r="N206" s="38">
        <v>1.768E-3</v>
      </c>
      <c r="O206" s="141">
        <v>4601004178304</v>
      </c>
    </row>
    <row r="207" spans="1:15" ht="11.45" customHeight="1" outlineLevel="3" x14ac:dyDescent="0.2">
      <c r="A207" s="76" t="s">
        <v>2060</v>
      </c>
      <c r="B207" s="136"/>
      <c r="C207" s="77"/>
      <c r="D207" s="137"/>
      <c r="E207" s="4"/>
      <c r="F207" s="4"/>
      <c r="G207" s="4"/>
      <c r="H207" s="4"/>
      <c r="I207" s="4"/>
      <c r="J207" s="4"/>
      <c r="K207" s="4"/>
      <c r="L207" s="138"/>
      <c r="M207" s="4"/>
      <c r="N207" s="4"/>
      <c r="O207" s="4"/>
    </row>
    <row r="208" spans="1:15" s="1" customFormat="1" ht="11.45" customHeight="1" outlineLevel="4" x14ac:dyDescent="0.2">
      <c r="A208" s="32" t="s">
        <v>2073</v>
      </c>
      <c r="B208" s="74" t="s">
        <v>2074</v>
      </c>
      <c r="C208" s="50"/>
      <c r="D208" s="139">
        <f t="shared" si="3"/>
        <v>0</v>
      </c>
      <c r="E208" s="140">
        <v>59.07</v>
      </c>
      <c r="F208" s="140">
        <v>48.42</v>
      </c>
      <c r="G208" s="34" t="s">
        <v>100</v>
      </c>
      <c r="H208" s="34" t="s">
        <v>1767</v>
      </c>
      <c r="I208" s="35">
        <v>50</v>
      </c>
      <c r="J208" s="35">
        <v>50</v>
      </c>
      <c r="K208" s="35">
        <v>50</v>
      </c>
      <c r="L208" s="60" t="str">
        <f>HYPERLINK("https://www.sds-group.ru/product/metallorukav-v-pvh-izolyatsii-mrping-18-rz-ts-pvhng-s-zondom-chernyy-rexant-28-0118-50/", "Инфо")</f>
        <v>Инфо</v>
      </c>
      <c r="M208" s="37">
        <v>0.13900000000000001</v>
      </c>
      <c r="N208" s="38">
        <v>5.9800000000000001E-4</v>
      </c>
      <c r="O208" s="141">
        <v>4601004178359</v>
      </c>
    </row>
    <row r="209" spans="1:15" ht="11.45" customHeight="1" outlineLevel="2" x14ac:dyDescent="0.2">
      <c r="A209" s="76" t="s">
        <v>2099</v>
      </c>
      <c r="B209" s="136"/>
      <c r="C209" s="77"/>
      <c r="D209" s="137"/>
      <c r="E209" s="4"/>
      <c r="F209" s="4"/>
      <c r="G209" s="4"/>
      <c r="H209" s="4"/>
      <c r="I209" s="4"/>
      <c r="J209" s="4"/>
      <c r="K209" s="4"/>
      <c r="L209" s="138"/>
      <c r="M209" s="4"/>
      <c r="N209" s="4"/>
      <c r="O209" s="4"/>
    </row>
    <row r="210" spans="1:15" ht="11.45" customHeight="1" outlineLevel="3" x14ac:dyDescent="0.2">
      <c r="A210" s="76" t="s">
        <v>2100</v>
      </c>
      <c r="B210" s="136"/>
      <c r="C210" s="77"/>
      <c r="D210" s="137"/>
      <c r="E210" s="4"/>
      <c r="F210" s="4"/>
      <c r="G210" s="4"/>
      <c r="H210" s="4"/>
      <c r="I210" s="4"/>
      <c r="J210" s="4"/>
      <c r="K210" s="4"/>
      <c r="L210" s="138"/>
      <c r="M210" s="4"/>
      <c r="N210" s="4"/>
      <c r="O210" s="4"/>
    </row>
    <row r="211" spans="1:15" s="1" customFormat="1" ht="11.45" customHeight="1" outlineLevel="4" x14ac:dyDescent="0.2">
      <c r="A211" s="32" t="s">
        <v>2103</v>
      </c>
      <c r="B211" s="74" t="s">
        <v>2104</v>
      </c>
      <c r="C211" s="50"/>
      <c r="D211" s="139">
        <f t="shared" si="3"/>
        <v>0</v>
      </c>
      <c r="E211" s="140">
        <v>19.010000000000002</v>
      </c>
      <c r="F211" s="140">
        <v>15.58</v>
      </c>
      <c r="G211" s="34" t="s">
        <v>100</v>
      </c>
      <c r="H211" s="34" t="s">
        <v>1001</v>
      </c>
      <c r="I211" s="35">
        <v>1</v>
      </c>
      <c r="J211" s="35">
        <v>1</v>
      </c>
      <c r="K211" s="35">
        <v>25</v>
      </c>
      <c r="L211" s="60" t="str">
        <f>HYPERLINK("https://www.sds-group.ru/product/krepezh-klipsa-dlya-truby-16mm-chernaya-10-sht-up-rexant-28-0116-5/", "Инфо")</f>
        <v>Инфо</v>
      </c>
      <c r="M211" s="37">
        <v>4.2000000000000003E-2</v>
      </c>
      <c r="N211" s="38">
        <v>4.4000000000000002E-4</v>
      </c>
      <c r="O211" s="141">
        <v>4601004255173</v>
      </c>
    </row>
    <row r="212" spans="1:15" s="1" customFormat="1" ht="11.45" customHeight="1" outlineLevel="4" x14ac:dyDescent="0.2">
      <c r="A212" s="32" t="s">
        <v>2117</v>
      </c>
      <c r="B212" s="74" t="s">
        <v>2118</v>
      </c>
      <c r="C212" s="50"/>
      <c r="D212" s="139">
        <f t="shared" si="3"/>
        <v>0</v>
      </c>
      <c r="E212" s="140">
        <v>21.68</v>
      </c>
      <c r="F212" s="140">
        <v>17.77</v>
      </c>
      <c r="G212" s="34" t="s">
        <v>100</v>
      </c>
      <c r="H212" s="34" t="s">
        <v>1001</v>
      </c>
      <c r="I212" s="35">
        <v>1</v>
      </c>
      <c r="J212" s="35">
        <v>1</v>
      </c>
      <c r="K212" s="35">
        <v>25</v>
      </c>
      <c r="L212" s="60" t="str">
        <f>HYPERLINK("https://www.sds-group.ru/product/krepezh-klipsa-dlya-truby-25mm-seraya-10-sht-up-rexant-28-0125-4/", "Инфо")</f>
        <v>Инфо</v>
      </c>
      <c r="M212" s="37">
        <v>3.3000000000000002E-2</v>
      </c>
      <c r="N212" s="38">
        <v>4.37E-4</v>
      </c>
      <c r="O212" s="141">
        <v>4601004255159</v>
      </c>
    </row>
    <row r="213" spans="1:15" s="1" customFormat="1" ht="11.45" customHeight="1" outlineLevel="4" x14ac:dyDescent="0.2">
      <c r="A213" s="32" t="s">
        <v>2123</v>
      </c>
      <c r="B213" s="74" t="s">
        <v>2124</v>
      </c>
      <c r="C213" s="50"/>
      <c r="D213" s="139">
        <f t="shared" si="3"/>
        <v>0</v>
      </c>
      <c r="E213" s="140">
        <v>34.61</v>
      </c>
      <c r="F213" s="140">
        <v>28.37</v>
      </c>
      <c r="G213" s="34" t="s">
        <v>100</v>
      </c>
      <c r="H213" s="34" t="s">
        <v>1001</v>
      </c>
      <c r="I213" s="35">
        <v>1</v>
      </c>
      <c r="J213" s="35">
        <v>1</v>
      </c>
      <c r="K213" s="35">
        <v>50</v>
      </c>
      <c r="L213" s="60" t="str">
        <f>HYPERLINK("https://www.sds-group.ru/product/krepezh-klipsa-dlya-truby-32mm-seraya-10-sht-up-rexant-28-0132-4/", "Инфо")</f>
        <v>Инфо</v>
      </c>
      <c r="M213" s="37">
        <v>6.2E-2</v>
      </c>
      <c r="N213" s="38">
        <v>4.5600000000000003E-4</v>
      </c>
      <c r="O213" s="141">
        <v>4601004255166</v>
      </c>
    </row>
    <row r="214" spans="1:15" s="1" customFormat="1" ht="11.45" customHeight="1" outlineLevel="4" x14ac:dyDescent="0.2">
      <c r="A214" s="32" t="s">
        <v>2127</v>
      </c>
      <c r="B214" s="74" t="s">
        <v>2128</v>
      </c>
      <c r="C214" s="50"/>
      <c r="D214" s="139">
        <f t="shared" si="3"/>
        <v>0</v>
      </c>
      <c r="E214" s="140">
        <v>206.66</v>
      </c>
      <c r="F214" s="140">
        <v>169.39</v>
      </c>
      <c r="G214" s="34" t="s">
        <v>100</v>
      </c>
      <c r="H214" s="34" t="s">
        <v>1001</v>
      </c>
      <c r="I214" s="35">
        <v>1</v>
      </c>
      <c r="J214" s="35">
        <v>1</v>
      </c>
      <c r="K214" s="35">
        <v>8</v>
      </c>
      <c r="L214" s="60" t="str">
        <f>HYPERLINK("https://www.sds-group.ru/product/krepezh-klipsa-dlya-truby-32mm-chernaya-100-sht-up-rexant-28-0132-3/", "Инфо")</f>
        <v>Инфо</v>
      </c>
      <c r="M214" s="37">
        <v>0.54400000000000004</v>
      </c>
      <c r="N214" s="38">
        <v>4.0260000000000001E-3</v>
      </c>
      <c r="O214" s="141">
        <v>4601004154629</v>
      </c>
    </row>
    <row r="215" spans="1:15" s="1" customFormat="1" ht="11.45" customHeight="1" outlineLevel="4" x14ac:dyDescent="0.2">
      <c r="A215" s="32" t="s">
        <v>2129</v>
      </c>
      <c r="B215" s="74" t="s">
        <v>2130</v>
      </c>
      <c r="C215" s="50"/>
      <c r="D215" s="139">
        <f t="shared" si="3"/>
        <v>0</v>
      </c>
      <c r="E215" s="140">
        <v>20.329999999999998</v>
      </c>
      <c r="F215" s="140">
        <v>16.66</v>
      </c>
      <c r="G215" s="34" t="s">
        <v>100</v>
      </c>
      <c r="H215" s="34" t="s">
        <v>1001</v>
      </c>
      <c r="I215" s="35">
        <v>1</v>
      </c>
      <c r="J215" s="35">
        <v>1</v>
      </c>
      <c r="K215" s="35">
        <v>25</v>
      </c>
      <c r="L215" s="60" t="str">
        <f>HYPERLINK("https://www.sds-group.ru/product/krepezh-klipsa-dlya-truby-40mm-seraya-5-sht-up-rexant-28-0140-4/", "Инфо")</f>
        <v>Инфо</v>
      </c>
      <c r="M215" s="37">
        <v>3.5999999999999997E-2</v>
      </c>
      <c r="N215" s="38">
        <v>5.4299999999999997E-4</v>
      </c>
      <c r="O215" s="141">
        <v>4601004255210</v>
      </c>
    </row>
    <row r="216" spans="1:15" s="1" customFormat="1" ht="11.45" customHeight="1" outlineLevel="4" x14ac:dyDescent="0.2">
      <c r="A216" s="32" t="s">
        <v>2131</v>
      </c>
      <c r="B216" s="74" t="s">
        <v>2132</v>
      </c>
      <c r="C216" s="50"/>
      <c r="D216" s="139">
        <f t="shared" si="3"/>
        <v>0</v>
      </c>
      <c r="E216" s="140">
        <v>127.32</v>
      </c>
      <c r="F216" s="140">
        <v>104.36</v>
      </c>
      <c r="G216" s="34" t="s">
        <v>100</v>
      </c>
      <c r="H216" s="34" t="s">
        <v>1001</v>
      </c>
      <c r="I216" s="35">
        <v>1</v>
      </c>
      <c r="J216" s="35">
        <v>1</v>
      </c>
      <c r="K216" s="35">
        <v>14</v>
      </c>
      <c r="L216" s="60" t="str">
        <f>HYPERLINK("https://www.sds-group.ru/product/krepezh-klipsa-dlya-truby-40mm-seraya-30-sht-up-rexant-28-0140-2/", "Инфо")</f>
        <v>Инфо</v>
      </c>
      <c r="M216" s="37">
        <v>0.19700000000000001</v>
      </c>
      <c r="N216" s="38">
        <v>1.879E-3</v>
      </c>
      <c r="O216" s="141">
        <v>4601004154841</v>
      </c>
    </row>
    <row r="217" spans="1:15" s="1" customFormat="1" ht="11.45" customHeight="1" outlineLevel="4" x14ac:dyDescent="0.2">
      <c r="A217" s="32" t="s">
        <v>2133</v>
      </c>
      <c r="B217" s="74" t="s">
        <v>2134</v>
      </c>
      <c r="C217" s="50"/>
      <c r="D217" s="139">
        <f t="shared" si="3"/>
        <v>0</v>
      </c>
      <c r="E217" s="140">
        <v>146.19</v>
      </c>
      <c r="F217" s="140">
        <v>119.83</v>
      </c>
      <c r="G217" s="34" t="s">
        <v>100</v>
      </c>
      <c r="H217" s="34" t="s">
        <v>1001</v>
      </c>
      <c r="I217" s="35">
        <v>1</v>
      </c>
      <c r="J217" s="35">
        <v>1</v>
      </c>
      <c r="K217" s="35">
        <v>14</v>
      </c>
      <c r="L217" s="60" t="str">
        <f>HYPERLINK("https://www.sds-group.ru/product/mufta-soedinitelnaya-dlya-truby-25mm-seraya-ip44-50-sht-up-rexant-28-0318-1/", "Инфо")</f>
        <v>Инфо</v>
      </c>
      <c r="M217" s="37">
        <v>0.41799999999999998</v>
      </c>
      <c r="N217" s="38">
        <v>3.2460000000000002E-3</v>
      </c>
      <c r="O217" s="141">
        <v>4601004154650</v>
      </c>
    </row>
    <row r="218" spans="1:15" s="1" customFormat="1" ht="11.45" customHeight="1" outlineLevel="4" x14ac:dyDescent="0.2">
      <c r="A218" s="32" t="s">
        <v>2138</v>
      </c>
      <c r="B218" s="74" t="s">
        <v>2139</v>
      </c>
      <c r="C218" s="50"/>
      <c r="D218" s="139">
        <f t="shared" si="3"/>
        <v>0</v>
      </c>
      <c r="E218" s="140">
        <v>13.98</v>
      </c>
      <c r="F218" s="140">
        <v>11.46</v>
      </c>
      <c r="G218" s="34" t="s">
        <v>100</v>
      </c>
      <c r="H218" s="34" t="s">
        <v>39</v>
      </c>
      <c r="I218" s="35">
        <v>4</v>
      </c>
      <c r="J218" s="35">
        <v>4</v>
      </c>
      <c r="K218" s="35">
        <v>64</v>
      </c>
      <c r="L218" s="60" t="str">
        <f>HYPERLINK("https://www.sds-group.ru/product/mufta-soedinitelnaya-truba-truba-40mm-seraya-ip67-tip-50140-4-sht-up-28-0320-67/", "Инфо")</f>
        <v>Инфо</v>
      </c>
      <c r="M218" s="37">
        <v>5.5E-2</v>
      </c>
      <c r="N218" s="38">
        <v>2.5500000000000002E-4</v>
      </c>
      <c r="O218" s="141">
        <v>4607004492549</v>
      </c>
    </row>
    <row r="219" spans="1:15" s="1" customFormat="1" ht="11.45" customHeight="1" outlineLevel="4" x14ac:dyDescent="0.2">
      <c r="A219" s="32" t="s">
        <v>2140</v>
      </c>
      <c r="B219" s="74" t="s">
        <v>2141</v>
      </c>
      <c r="C219" s="50"/>
      <c r="D219" s="139">
        <f t="shared" si="3"/>
        <v>0</v>
      </c>
      <c r="E219" s="140">
        <v>20.75</v>
      </c>
      <c r="F219" s="140">
        <v>17.010000000000002</v>
      </c>
      <c r="G219" s="34" t="s">
        <v>100</v>
      </c>
      <c r="H219" s="34" t="s">
        <v>39</v>
      </c>
      <c r="I219" s="35">
        <v>10</v>
      </c>
      <c r="J219" s="35">
        <v>10</v>
      </c>
      <c r="K219" s="35">
        <v>300</v>
      </c>
      <c r="L219" s="60" t="str">
        <f>HYPERLINK("https://www.sds-group.ru/product/povorot-gibkiy-gofrirovannyy-16mm-seryy-rexant-28-0316-5/", "Инфо")</f>
        <v>Инфо</v>
      </c>
      <c r="M219" s="37">
        <v>1.4E-2</v>
      </c>
      <c r="N219" s="38">
        <v>8.0000000000000007E-5</v>
      </c>
      <c r="O219" s="141">
        <v>4601004342873</v>
      </c>
    </row>
    <row r="220" spans="1:15" s="1" customFormat="1" ht="11.45" customHeight="1" outlineLevel="4" x14ac:dyDescent="0.2">
      <c r="A220" s="32" t="s">
        <v>2142</v>
      </c>
      <c r="B220" s="74" t="s">
        <v>2143</v>
      </c>
      <c r="C220" s="50"/>
      <c r="D220" s="139">
        <f t="shared" si="3"/>
        <v>0</v>
      </c>
      <c r="E220" s="140">
        <v>301.57</v>
      </c>
      <c r="F220" s="140">
        <v>247.19</v>
      </c>
      <c r="G220" s="34" t="s">
        <v>100</v>
      </c>
      <c r="H220" s="34" t="s">
        <v>1001</v>
      </c>
      <c r="I220" s="35">
        <v>1</v>
      </c>
      <c r="J220" s="35">
        <v>1</v>
      </c>
      <c r="K220" s="35">
        <v>12</v>
      </c>
      <c r="L220" s="60" t="str">
        <f>HYPERLINK("https://www.sds-group.ru/product/ugol-90-soedinitelnyy-dlya-truby-25mm-50-sht-up-rexant-28-0525/", "Инфо")</f>
        <v>Инфо</v>
      </c>
      <c r="M220" s="37">
        <v>0.56599999999999995</v>
      </c>
      <c r="N220" s="38">
        <v>5.0130000000000001E-3</v>
      </c>
      <c r="O220" s="141">
        <v>4601004154728</v>
      </c>
    </row>
    <row r="221" spans="1:15" ht="11.45" customHeight="1" outlineLevel="3" x14ac:dyDescent="0.2">
      <c r="A221" s="76" t="s">
        <v>2144</v>
      </c>
      <c r="B221" s="136"/>
      <c r="C221" s="77"/>
      <c r="D221" s="137"/>
      <c r="E221" s="4"/>
      <c r="F221" s="4"/>
      <c r="G221" s="4"/>
      <c r="H221" s="4"/>
      <c r="I221" s="4"/>
      <c r="J221" s="4"/>
      <c r="K221" s="4"/>
      <c r="L221" s="138"/>
      <c r="M221" s="4"/>
      <c r="N221" s="4"/>
      <c r="O221" s="4"/>
    </row>
    <row r="222" spans="1:15" s="1" customFormat="1" ht="11.45" customHeight="1" outlineLevel="4" x14ac:dyDescent="0.2">
      <c r="A222" s="32" t="s">
        <v>2145</v>
      </c>
      <c r="B222" s="74" t="s">
        <v>2146</v>
      </c>
      <c r="C222" s="50"/>
      <c r="D222" s="139">
        <f t="shared" si="3"/>
        <v>0</v>
      </c>
      <c r="E222" s="140">
        <v>169.23</v>
      </c>
      <c r="F222" s="140">
        <v>138.71</v>
      </c>
      <c r="G222" s="34" t="s">
        <v>100</v>
      </c>
      <c r="H222" s="34" t="s">
        <v>1001</v>
      </c>
      <c r="I222" s="35">
        <v>1</v>
      </c>
      <c r="J222" s="35">
        <v>1</v>
      </c>
      <c r="K222" s="35">
        <v>14</v>
      </c>
      <c r="L222" s="60" t="str">
        <f>HYPERLINK("https://www.sds-group.ru/product/skoba-smd-19-20-dvuhlapkovaya-dlya-metallorukava-15-mm-100-sht-up-rexant-28-1023-1/", "Инфо")</f>
        <v>Инфо</v>
      </c>
      <c r="M222" s="37">
        <v>0.52100000000000002</v>
      </c>
      <c r="N222" s="38">
        <v>1.392E-3</v>
      </c>
      <c r="O222" s="141">
        <v>4601004149618</v>
      </c>
    </row>
    <row r="223" spans="1:15" s="1" customFormat="1" ht="11.45" customHeight="1" outlineLevel="4" x14ac:dyDescent="0.2">
      <c r="A223" s="32" t="s">
        <v>2147</v>
      </c>
      <c r="B223" s="74" t="s">
        <v>2148</v>
      </c>
      <c r="C223" s="50"/>
      <c r="D223" s="139">
        <f t="shared" si="3"/>
        <v>0</v>
      </c>
      <c r="E223" s="140">
        <v>387.47</v>
      </c>
      <c r="F223" s="140">
        <v>317.60000000000002</v>
      </c>
      <c r="G223" s="34" t="s">
        <v>100</v>
      </c>
      <c r="H223" s="34" t="s">
        <v>1001</v>
      </c>
      <c r="I223" s="35">
        <v>1</v>
      </c>
      <c r="J223" s="35">
        <v>1</v>
      </c>
      <c r="K223" s="35">
        <v>2</v>
      </c>
      <c r="L223" s="60" t="str">
        <f>HYPERLINK("https://www.sds-group.ru/product/skoba-smd-60-63-dvuhlapkovaya-dlya-metallorukava-50-mm-50-sht-up-rexant-28-1063-1/", "Инфо")</f>
        <v>Инфо</v>
      </c>
      <c r="M223" s="37">
        <v>1.5389999999999999</v>
      </c>
      <c r="N223" s="38">
        <v>4.235E-3</v>
      </c>
      <c r="O223" s="141">
        <v>4601004149731</v>
      </c>
    </row>
    <row r="224" spans="1:15" ht="11.45" customHeight="1" outlineLevel="2" x14ac:dyDescent="0.2">
      <c r="A224" s="76" t="s">
        <v>2155</v>
      </c>
      <c r="B224" s="136"/>
      <c r="C224" s="77"/>
      <c r="D224" s="137"/>
      <c r="E224" s="4"/>
      <c r="F224" s="4"/>
      <c r="G224" s="4"/>
      <c r="H224" s="4"/>
      <c r="I224" s="4"/>
      <c r="J224" s="4"/>
      <c r="K224" s="4"/>
      <c r="L224" s="138"/>
      <c r="M224" s="4"/>
      <c r="N224" s="4"/>
      <c r="O224" s="4"/>
    </row>
    <row r="225" spans="1:15" ht="11.45" customHeight="1" outlineLevel="3" x14ac:dyDescent="0.2">
      <c r="A225" s="76" t="s">
        <v>2156</v>
      </c>
      <c r="B225" s="136"/>
      <c r="C225" s="77"/>
      <c r="D225" s="137"/>
      <c r="E225" s="4"/>
      <c r="F225" s="4"/>
      <c r="G225" s="4"/>
      <c r="H225" s="4"/>
      <c r="I225" s="4"/>
      <c r="J225" s="4"/>
      <c r="K225" s="4"/>
      <c r="L225" s="138"/>
      <c r="M225" s="4"/>
      <c r="N225" s="4"/>
      <c r="O225" s="4"/>
    </row>
    <row r="226" spans="1:15" s="1" customFormat="1" ht="11.45" customHeight="1" outlineLevel="4" x14ac:dyDescent="0.2">
      <c r="A226" s="32" t="s">
        <v>2159</v>
      </c>
      <c r="B226" s="74" t="s">
        <v>2160</v>
      </c>
      <c r="C226" s="50"/>
      <c r="D226" s="139">
        <f t="shared" si="3"/>
        <v>0</v>
      </c>
      <c r="E226" s="140">
        <v>257.52999999999997</v>
      </c>
      <c r="F226" s="140">
        <v>211.09</v>
      </c>
      <c r="G226" s="34" t="s">
        <v>100</v>
      </c>
      <c r="H226" s="34" t="s">
        <v>39</v>
      </c>
      <c r="I226" s="35">
        <v>1</v>
      </c>
      <c r="J226" s="35">
        <v>1</v>
      </c>
      <c r="K226" s="35">
        <v>20</v>
      </c>
      <c r="L226" s="60" t="str">
        <f>HYPERLINK("https://www.sds-group.ru/product/kryuk-s-rezboy-bt-16-te-diametr-16-mm-6-6-kn-07-9313/", "Инфо")</f>
        <v>Инфо</v>
      </c>
      <c r="M226" s="37">
        <v>0.49099999999999999</v>
      </c>
      <c r="N226" s="38">
        <v>4.35E-4</v>
      </c>
      <c r="O226" s="141">
        <v>4601004125995</v>
      </c>
    </row>
    <row r="227" spans="1:15" ht="11.45" customHeight="1" outlineLevel="3" x14ac:dyDescent="0.2">
      <c r="A227" s="76" t="s">
        <v>2163</v>
      </c>
      <c r="B227" s="136"/>
      <c r="C227" s="77"/>
      <c r="D227" s="137"/>
      <c r="E227" s="4"/>
      <c r="F227" s="4"/>
      <c r="G227" s="4"/>
      <c r="H227" s="4"/>
      <c r="I227" s="4"/>
      <c r="J227" s="4"/>
      <c r="K227" s="4"/>
      <c r="L227" s="138"/>
      <c r="M227" s="4"/>
      <c r="N227" s="4"/>
      <c r="O227" s="4"/>
    </row>
    <row r="228" spans="1:15" s="1" customFormat="1" ht="11.45" customHeight="1" outlineLevel="4" x14ac:dyDescent="0.2">
      <c r="A228" s="32" t="s">
        <v>2164</v>
      </c>
      <c r="B228" s="74" t="s">
        <v>2165</v>
      </c>
      <c r="C228" s="50"/>
      <c r="D228" s="139">
        <f t="shared" si="3"/>
        <v>0</v>
      </c>
      <c r="E228" s="140">
        <v>19.760000000000002</v>
      </c>
      <c r="F228" s="140">
        <v>16.2</v>
      </c>
      <c r="G228" s="34" t="s">
        <v>100</v>
      </c>
      <c r="H228" s="34" t="s">
        <v>39</v>
      </c>
      <c r="I228" s="35">
        <v>5</v>
      </c>
      <c r="J228" s="35">
        <v>5</v>
      </c>
      <c r="K228" s="35">
        <v>100</v>
      </c>
      <c r="L228" s="60" t="str">
        <f>HYPERLINK("https://www.sds-group.ru/product/bugel-dlya-lenty-nb-20-te-shirina-20-mm-07-9314/", "Инфо")</f>
        <v>Инфо</v>
      </c>
      <c r="M228" s="37">
        <v>1.0999999999999999E-2</v>
      </c>
      <c r="N228" s="38">
        <v>3.8000000000000002E-5</v>
      </c>
      <c r="O228" s="141">
        <v>4601004126008</v>
      </c>
    </row>
    <row r="229" spans="1:15" ht="11.45" customHeight="1" outlineLevel="2" x14ac:dyDescent="0.2">
      <c r="A229" s="76" t="s">
        <v>2170</v>
      </c>
      <c r="B229" s="136"/>
      <c r="C229" s="77"/>
      <c r="D229" s="137"/>
      <c r="E229" s="4"/>
      <c r="F229" s="4"/>
      <c r="G229" s="4"/>
      <c r="H229" s="4"/>
      <c r="I229" s="4"/>
      <c r="J229" s="4"/>
      <c r="K229" s="4"/>
      <c r="L229" s="138"/>
      <c r="M229" s="4"/>
      <c r="N229" s="4"/>
      <c r="O229" s="4"/>
    </row>
    <row r="230" spans="1:15" ht="11.45" customHeight="1" outlineLevel="3" x14ac:dyDescent="0.2">
      <c r="A230" s="76" t="s">
        <v>2213</v>
      </c>
      <c r="B230" s="136"/>
      <c r="C230" s="77"/>
      <c r="D230" s="137"/>
      <c r="E230" s="4"/>
      <c r="F230" s="4"/>
      <c r="G230" s="4"/>
      <c r="H230" s="4"/>
      <c r="I230" s="4"/>
      <c r="J230" s="4"/>
      <c r="K230" s="4"/>
      <c r="L230" s="138"/>
      <c r="M230" s="4"/>
      <c r="N230" s="4"/>
      <c r="O230" s="4"/>
    </row>
    <row r="231" spans="1:15" s="1" customFormat="1" ht="11.45" customHeight="1" outlineLevel="4" x14ac:dyDescent="0.2">
      <c r="A231" s="32" t="s">
        <v>2220</v>
      </c>
      <c r="B231" s="74" t="s">
        <v>2221</v>
      </c>
      <c r="C231" s="50"/>
      <c r="D231" s="139">
        <f t="shared" si="3"/>
        <v>0</v>
      </c>
      <c r="E231" s="140">
        <v>23.93</v>
      </c>
      <c r="F231" s="140">
        <v>19.61</v>
      </c>
      <c r="G231" s="34" t="s">
        <v>100</v>
      </c>
      <c r="H231" s="34" t="s">
        <v>39</v>
      </c>
      <c r="I231" s="35">
        <v>1</v>
      </c>
      <c r="J231" s="35">
        <v>1</v>
      </c>
      <c r="K231" s="35">
        <v>50</v>
      </c>
      <c r="L231" s="60" t="str">
        <f>HYPERLINK("https://www.sds-group.ru/product/krestovina-kronshteyna-dlya-kamer-videonablyudeniya-rexant-28-4007/", "Инфо")</f>
        <v>Инфо</v>
      </c>
      <c r="M231" s="37">
        <v>7.5999999999999998E-2</v>
      </c>
      <c r="N231" s="38">
        <v>9.19E-4</v>
      </c>
      <c r="O231" s="141">
        <v>4601004161528</v>
      </c>
    </row>
    <row r="232" spans="1:15" s="1" customFormat="1" ht="11.45" customHeight="1" outlineLevel="4" x14ac:dyDescent="0.2">
      <c r="A232" s="32" t="s">
        <v>2222</v>
      </c>
      <c r="B232" s="74" t="s">
        <v>2223</v>
      </c>
      <c r="C232" s="50"/>
      <c r="D232" s="139">
        <f t="shared" si="3"/>
        <v>0</v>
      </c>
      <c r="E232" s="140">
        <v>21.1</v>
      </c>
      <c r="F232" s="140">
        <v>17.3</v>
      </c>
      <c r="G232" s="34" t="s">
        <v>100</v>
      </c>
      <c r="H232" s="34" t="s">
        <v>39</v>
      </c>
      <c r="I232" s="35">
        <v>1</v>
      </c>
      <c r="J232" s="35">
        <v>1</v>
      </c>
      <c r="K232" s="35">
        <v>100</v>
      </c>
      <c r="L232" s="60" t="str">
        <f>HYPERLINK("https://www.sds-group.ru/product/platforma-kronshteyna-gluhaya-dlya-kamer-videonablyudeniya-rexant-28-4008/", "Инфо")</f>
        <v>Инфо</v>
      </c>
      <c r="M232" s="37">
        <v>5.8000000000000003E-2</v>
      </c>
      <c r="N232" s="38">
        <v>2.6200000000000003E-4</v>
      </c>
      <c r="O232" s="141">
        <v>4601004161542</v>
      </c>
    </row>
    <row r="233" spans="1:15" s="1" customFormat="1" ht="11.45" customHeight="1" outlineLevel="4" x14ac:dyDescent="0.2">
      <c r="A233" s="32" t="s">
        <v>2224</v>
      </c>
      <c r="B233" s="74" t="s">
        <v>2225</v>
      </c>
      <c r="C233" s="50"/>
      <c r="D233" s="139">
        <f t="shared" si="3"/>
        <v>0</v>
      </c>
      <c r="E233" s="140">
        <v>21.29</v>
      </c>
      <c r="F233" s="140">
        <v>17.45</v>
      </c>
      <c r="G233" s="34" t="s">
        <v>100</v>
      </c>
      <c r="H233" s="34" t="s">
        <v>39</v>
      </c>
      <c r="I233" s="35">
        <v>1</v>
      </c>
      <c r="J233" s="35">
        <v>1</v>
      </c>
      <c r="K233" s="35">
        <v>100</v>
      </c>
      <c r="L233" s="60" t="str">
        <f>HYPERLINK("https://www.sds-group.ru/product/platforma-kronshteyna-skvoznaya-dlya-kamer-videonablyudeniya-rexant-28-4004/", "Инфо")</f>
        <v>Инфо</v>
      </c>
      <c r="M233" s="37">
        <v>5.5E-2</v>
      </c>
      <c r="N233" s="38">
        <v>2.5799999999999998E-4</v>
      </c>
      <c r="O233" s="141">
        <v>4601004161467</v>
      </c>
    </row>
    <row r="234" spans="1:15" s="1" customFormat="1" ht="11.45" customHeight="1" outlineLevel="4" x14ac:dyDescent="0.2">
      <c r="A234" s="32" t="s">
        <v>2226</v>
      </c>
      <c r="B234" s="74" t="s">
        <v>2227</v>
      </c>
      <c r="C234" s="50"/>
      <c r="D234" s="139">
        <f t="shared" si="3"/>
        <v>0</v>
      </c>
      <c r="E234" s="140">
        <v>20.2</v>
      </c>
      <c r="F234" s="140">
        <v>16.559999999999999</v>
      </c>
      <c r="G234" s="34" t="s">
        <v>100</v>
      </c>
      <c r="H234" s="34" t="s">
        <v>39</v>
      </c>
      <c r="I234" s="35">
        <v>1</v>
      </c>
      <c r="J234" s="35">
        <v>1</v>
      </c>
      <c r="K234" s="35">
        <v>100</v>
      </c>
      <c r="L234" s="60" t="str">
        <f>HYPERLINK("https://www.sds-group.ru/product/platforma-pod-kameru-dlya-kronshteyna-rexant-28-4006/", "Инфо")</f>
        <v>Инфо</v>
      </c>
      <c r="M234" s="37">
        <v>4.8000000000000001E-2</v>
      </c>
      <c r="N234" s="38">
        <v>2.6400000000000002E-4</v>
      </c>
      <c r="O234" s="141">
        <v>4601004161504</v>
      </c>
    </row>
    <row r="235" spans="1:15" ht="11.45" customHeight="1" outlineLevel="2" x14ac:dyDescent="0.2">
      <c r="A235" s="76" t="s">
        <v>2228</v>
      </c>
      <c r="B235" s="136"/>
      <c r="C235" s="77"/>
      <c r="D235" s="137"/>
      <c r="E235" s="4"/>
      <c r="F235" s="4"/>
      <c r="G235" s="4"/>
      <c r="H235" s="4"/>
      <c r="I235" s="4"/>
      <c r="J235" s="4"/>
      <c r="K235" s="4"/>
      <c r="L235" s="138"/>
      <c r="M235" s="4"/>
      <c r="N235" s="4"/>
      <c r="O235" s="4"/>
    </row>
    <row r="236" spans="1:15" s="1" customFormat="1" ht="11.45" customHeight="1" outlineLevel="3" x14ac:dyDescent="0.2">
      <c r="A236" s="32" t="s">
        <v>2229</v>
      </c>
      <c r="B236" s="74" t="s">
        <v>2230</v>
      </c>
      <c r="C236" s="50"/>
      <c r="D236" s="139">
        <f t="shared" si="3"/>
        <v>0</v>
      </c>
      <c r="E236" s="140">
        <v>380.76</v>
      </c>
      <c r="F236" s="140">
        <v>312.10000000000002</v>
      </c>
      <c r="G236" s="34" t="s">
        <v>100</v>
      </c>
      <c r="H236" s="34" t="s">
        <v>1001</v>
      </c>
      <c r="I236" s="35">
        <v>1</v>
      </c>
      <c r="J236" s="35">
        <v>1</v>
      </c>
      <c r="K236" s="35">
        <v>15</v>
      </c>
      <c r="L236" s="60" t="str">
        <f>HYPERLINK("https://www.sds-group.ru/product/derzhatel-kabelya-dlya-pryamogo-montazha-dvuhstoronniy-belyy-240mm-20sht-up-rexant-28-4022/", "Инфо")</f>
        <v>Инфо</v>
      </c>
      <c r="M236" s="37">
        <v>0.371</v>
      </c>
      <c r="N236" s="38">
        <v>3.49E-3</v>
      </c>
      <c r="O236" s="141">
        <v>4601004287754</v>
      </c>
    </row>
    <row r="237" spans="1:15" s="1" customFormat="1" ht="11.45" customHeight="1" outlineLevel="3" x14ac:dyDescent="0.2">
      <c r="A237" s="32" t="s">
        <v>2231</v>
      </c>
      <c r="B237" s="74" t="s">
        <v>2232</v>
      </c>
      <c r="C237" s="50"/>
      <c r="D237" s="139">
        <f t="shared" si="3"/>
        <v>0</v>
      </c>
      <c r="E237" s="140">
        <v>381.28</v>
      </c>
      <c r="F237" s="140">
        <v>312.52</v>
      </c>
      <c r="G237" s="34" t="s">
        <v>100</v>
      </c>
      <c r="H237" s="34" t="s">
        <v>1001</v>
      </c>
      <c r="I237" s="35">
        <v>1</v>
      </c>
      <c r="J237" s="35">
        <v>1</v>
      </c>
      <c r="K237" s="35">
        <v>15</v>
      </c>
      <c r="L237" s="60" t="str">
        <f>HYPERLINK("https://www.sds-group.ru/product/derzhatel-kabelya-dlya-pryamogo-montazha-dvuhstoronniy-seryy-240mm-20sht-up-rexant-28-4019/", "Инфо")</f>
        <v>Инфо</v>
      </c>
      <c r="M237" s="37">
        <v>0.38500000000000001</v>
      </c>
      <c r="N237" s="38">
        <v>3.5639999999999999E-3</v>
      </c>
      <c r="O237" s="141">
        <v>4601004287747</v>
      </c>
    </row>
    <row r="238" spans="1:15" s="1" customFormat="1" ht="11.45" customHeight="1" outlineLevel="3" x14ac:dyDescent="0.2">
      <c r="A238" s="32" t="s">
        <v>2233</v>
      </c>
      <c r="B238" s="74" t="s">
        <v>2234</v>
      </c>
      <c r="C238" s="50"/>
      <c r="D238" s="139">
        <f t="shared" si="3"/>
        <v>0</v>
      </c>
      <c r="E238" s="140">
        <v>191.54</v>
      </c>
      <c r="F238" s="140">
        <v>157</v>
      </c>
      <c r="G238" s="34" t="s">
        <v>100</v>
      </c>
      <c r="H238" s="34" t="s">
        <v>1001</v>
      </c>
      <c r="I238" s="35">
        <v>1</v>
      </c>
      <c r="J238" s="35">
        <v>1</v>
      </c>
      <c r="K238" s="35">
        <v>25</v>
      </c>
      <c r="L238" s="60" t="str">
        <f>HYPERLINK("https://www.sds-group.ru/product/derzhatel-kabelya-dlya-pryamogo-montazha-odnostoronniy-belyy-140mm-20sht-up-rexant-28-4021/", "Инфо")</f>
        <v>Инфо</v>
      </c>
      <c r="M238" s="37">
        <v>0.26800000000000002</v>
      </c>
      <c r="N238" s="38">
        <v>2.1700000000000001E-3</v>
      </c>
      <c r="O238" s="141">
        <v>4601004287716</v>
      </c>
    </row>
    <row r="239" spans="1:15" s="1" customFormat="1" ht="11.45" customHeight="1" outlineLevel="3" x14ac:dyDescent="0.2">
      <c r="A239" s="32" t="s">
        <v>2235</v>
      </c>
      <c r="B239" s="74" t="s">
        <v>2236</v>
      </c>
      <c r="C239" s="50"/>
      <c r="D239" s="139">
        <f t="shared" si="3"/>
        <v>0</v>
      </c>
      <c r="E239" s="140">
        <v>175.22</v>
      </c>
      <c r="F239" s="140">
        <v>143.62</v>
      </c>
      <c r="G239" s="34" t="s">
        <v>100</v>
      </c>
      <c r="H239" s="34" t="s">
        <v>1001</v>
      </c>
      <c r="I239" s="35">
        <v>1</v>
      </c>
      <c r="J239" s="35">
        <v>1</v>
      </c>
      <c r="K239" s="35">
        <v>45</v>
      </c>
      <c r="L239" s="60" t="str">
        <f>HYPERLINK("https://www.sds-group.ru/product/derzhatel-kabelya-dlya-pryamogo-montazha-odnostoronniy-belyy-67mm-20sht-up-rexant-28-4020/", "Инфо")</f>
        <v>Инфо</v>
      </c>
      <c r="M239" s="37">
        <v>0.182</v>
      </c>
      <c r="N239" s="38">
        <v>1.1559999999999999E-3</v>
      </c>
      <c r="O239" s="141">
        <v>4601004287723</v>
      </c>
    </row>
    <row r="240" spans="1:15" s="1" customFormat="1" ht="11.45" customHeight="1" outlineLevel="3" x14ac:dyDescent="0.2">
      <c r="A240" s="32" t="s">
        <v>2237</v>
      </c>
      <c r="B240" s="74" t="s">
        <v>2238</v>
      </c>
      <c r="C240" s="50"/>
      <c r="D240" s="139">
        <f t="shared" si="3"/>
        <v>0</v>
      </c>
      <c r="E240" s="140">
        <v>191.54</v>
      </c>
      <c r="F240" s="140">
        <v>157</v>
      </c>
      <c r="G240" s="34" t="s">
        <v>100</v>
      </c>
      <c r="H240" s="34" t="s">
        <v>1001</v>
      </c>
      <c r="I240" s="35">
        <v>1</v>
      </c>
      <c r="J240" s="35">
        <v>1</v>
      </c>
      <c r="K240" s="35">
        <v>25</v>
      </c>
      <c r="L240" s="60" t="str">
        <f>HYPERLINK("https://www.sds-group.ru/product/derzhatel-kabelya-dlya-pryamogo-montazha-odnostoronniy-seryy-140mm-20sht-up-rexant-28-4018/", "Инфо")</f>
        <v>Инфо</v>
      </c>
      <c r="M240" s="37">
        <v>0.26900000000000002</v>
      </c>
      <c r="N240" s="38">
        <v>2.1050000000000001E-3</v>
      </c>
      <c r="O240" s="141">
        <v>4601004287761</v>
      </c>
    </row>
    <row r="241" spans="1:15" s="1" customFormat="1" ht="11.45" customHeight="1" outlineLevel="3" x14ac:dyDescent="0.2">
      <c r="A241" s="32" t="s">
        <v>2239</v>
      </c>
      <c r="B241" s="74" t="s">
        <v>2240</v>
      </c>
      <c r="C241" s="50"/>
      <c r="D241" s="139">
        <f t="shared" si="3"/>
        <v>0</v>
      </c>
      <c r="E241" s="140">
        <v>175.22</v>
      </c>
      <c r="F241" s="140">
        <v>143.62</v>
      </c>
      <c r="G241" s="34" t="s">
        <v>100</v>
      </c>
      <c r="H241" s="34" t="s">
        <v>1001</v>
      </c>
      <c r="I241" s="35">
        <v>1</v>
      </c>
      <c r="J241" s="35">
        <v>1</v>
      </c>
      <c r="K241" s="35">
        <v>45</v>
      </c>
      <c r="L241" s="60" t="str">
        <f>HYPERLINK("https://www.sds-group.ru/product/derzhatel-kabelya-dlya-pryamogo-montazha-odnostoronniy-seryy-67mm-20sht-up-rexant-28-4017/", "Инфо")</f>
        <v>Инфо</v>
      </c>
      <c r="M241" s="37">
        <v>0.16600000000000001</v>
      </c>
      <c r="N241" s="38">
        <v>1.1609999999999999E-3</v>
      </c>
      <c r="O241" s="141">
        <v>4601004287785</v>
      </c>
    </row>
    <row r="242" spans="1:15" s="1" customFormat="1" ht="11.45" customHeight="1" outlineLevel="3" x14ac:dyDescent="0.2">
      <c r="A242" s="32" t="s">
        <v>2241</v>
      </c>
      <c r="B242" s="74" t="s">
        <v>2242</v>
      </c>
      <c r="C242" s="50"/>
      <c r="D242" s="139">
        <f t="shared" si="3"/>
        <v>0</v>
      </c>
      <c r="E242" s="140">
        <v>191.54</v>
      </c>
      <c r="F242" s="140">
        <v>157</v>
      </c>
      <c r="G242" s="34" t="s">
        <v>100</v>
      </c>
      <c r="H242" s="34" t="s">
        <v>1001</v>
      </c>
      <c r="I242" s="35">
        <v>1</v>
      </c>
      <c r="J242" s="35">
        <v>1</v>
      </c>
      <c r="K242" s="35">
        <v>25</v>
      </c>
      <c r="L242" s="60" t="str">
        <f>HYPERLINK("https://www.sds-group.ru/product/derzhatel-kabelya-dlya-pryamogo-montazha-odnostoronniy-chernyy-140mm-20sht-up-rexant-28-4015/", "Инфо")</f>
        <v>Инфо</v>
      </c>
      <c r="M242" s="37">
        <v>0.28599999999999998</v>
      </c>
      <c r="N242" s="38">
        <v>2.0709999999999999E-3</v>
      </c>
      <c r="O242" s="141">
        <v>4601004287792</v>
      </c>
    </row>
    <row r="243" spans="1:15" s="1" customFormat="1" ht="11.45" customHeight="1" outlineLevel="3" x14ac:dyDescent="0.2">
      <c r="A243" s="32" t="s">
        <v>2287</v>
      </c>
      <c r="B243" s="74" t="s">
        <v>2288</v>
      </c>
      <c r="C243" s="50"/>
      <c r="D243" s="139">
        <f t="shared" si="3"/>
        <v>0</v>
      </c>
      <c r="E243" s="140">
        <v>319.88</v>
      </c>
      <c r="F243" s="140">
        <v>262.2</v>
      </c>
      <c r="G243" s="34" t="s">
        <v>100</v>
      </c>
      <c r="H243" s="34" t="s">
        <v>1001</v>
      </c>
      <c r="I243" s="35">
        <v>1</v>
      </c>
      <c r="J243" s="35">
        <v>1</v>
      </c>
      <c r="K243" s="35">
        <v>14</v>
      </c>
      <c r="L243" s="60" t="str">
        <f>HYPERLINK("https://www.sds-group.ru/product/skoba-smo-21-22-dmp-odnolapkovaya-dlya-montazhnogo-pistoleta-100-sht-up-rexant-28-1027-3/", "Инфо")</f>
        <v>Инфо</v>
      </c>
      <c r="M243" s="37">
        <v>0.66700000000000004</v>
      </c>
      <c r="N243" s="38">
        <v>1.39E-3</v>
      </c>
      <c r="O243" s="141">
        <v>4601004277632</v>
      </c>
    </row>
    <row r="244" spans="1:15" ht="11.45" customHeight="1" outlineLevel="1" x14ac:dyDescent="0.2">
      <c r="A244" s="78" t="s">
        <v>2289</v>
      </c>
      <c r="B244" s="132"/>
      <c r="C244" s="79"/>
      <c r="D244" s="133"/>
      <c r="E244" s="134"/>
      <c r="F244" s="134"/>
      <c r="G244" s="134"/>
      <c r="H244" s="134"/>
      <c r="I244" s="134"/>
      <c r="J244" s="134"/>
      <c r="K244" s="134"/>
      <c r="L244" s="135"/>
      <c r="M244" s="134"/>
      <c r="N244" s="134"/>
      <c r="O244" s="134"/>
    </row>
    <row r="245" spans="1:15" ht="11.45" customHeight="1" outlineLevel="2" x14ac:dyDescent="0.2">
      <c r="A245" s="76" t="s">
        <v>2401</v>
      </c>
      <c r="B245" s="136"/>
      <c r="C245" s="77"/>
      <c r="D245" s="137"/>
      <c r="E245" s="4"/>
      <c r="F245" s="4"/>
      <c r="G245" s="4"/>
      <c r="H245" s="4"/>
      <c r="I245" s="4"/>
      <c r="J245" s="4"/>
      <c r="K245" s="4"/>
      <c r="L245" s="138"/>
      <c r="M245" s="4"/>
      <c r="N245" s="4"/>
      <c r="O245" s="4"/>
    </row>
    <row r="246" spans="1:15" ht="11.45" customHeight="1" outlineLevel="3" x14ac:dyDescent="0.2">
      <c r="A246" s="82" t="s">
        <v>2409</v>
      </c>
      <c r="B246" s="142"/>
      <c r="C246" s="83"/>
      <c r="D246" s="143"/>
      <c r="E246" s="5"/>
      <c r="F246" s="5"/>
      <c r="G246" s="5"/>
      <c r="H246" s="5"/>
      <c r="I246" s="5"/>
      <c r="J246" s="5"/>
      <c r="K246" s="5"/>
      <c r="L246" s="144"/>
      <c r="M246" s="5"/>
      <c r="N246" s="5"/>
      <c r="O246" s="5"/>
    </row>
    <row r="247" spans="1:15" s="1" customFormat="1" ht="11.45" customHeight="1" outlineLevel="4" x14ac:dyDescent="0.2">
      <c r="A247" s="32" t="s">
        <v>2437</v>
      </c>
      <c r="B247" s="74" t="s">
        <v>2438</v>
      </c>
      <c r="C247" s="50"/>
      <c r="D247" s="139">
        <f t="shared" si="3"/>
        <v>0</v>
      </c>
      <c r="E247" s="140">
        <v>41.78</v>
      </c>
      <c r="F247" s="140">
        <v>34.25</v>
      </c>
      <c r="G247" s="34" t="s">
        <v>100</v>
      </c>
      <c r="H247" s="34" t="s">
        <v>1767</v>
      </c>
      <c r="I247" s="35">
        <v>300</v>
      </c>
      <c r="J247" s="35">
        <v>300</v>
      </c>
      <c r="K247" s="35">
        <v>300</v>
      </c>
      <c r="L247" s="60" t="str">
        <f>HYPERLINK("https://www.sds-group.ru/product/provod-pugv-pv-3-4-mm-300-m-zh-z-gost-31947-2012-tu-16-705-501-2010-01-8620-3/", "Инфо")</f>
        <v>Инфо</v>
      </c>
      <c r="M247" s="37">
        <v>4.8000000000000001E-2</v>
      </c>
      <c r="N247" s="38">
        <v>4.3999999999999999E-5</v>
      </c>
      <c r="O247" s="141">
        <v>4631163484589</v>
      </c>
    </row>
    <row r="248" spans="1:15" ht="11.45" customHeight="1" outlineLevel="2" x14ac:dyDescent="0.2">
      <c r="A248" s="76" t="s">
        <v>2453</v>
      </c>
      <c r="B248" s="136"/>
      <c r="C248" s="77"/>
      <c r="D248" s="137"/>
      <c r="E248" s="4"/>
      <c r="F248" s="4"/>
      <c r="G248" s="4"/>
      <c r="H248" s="4"/>
      <c r="I248" s="4"/>
      <c r="J248" s="4"/>
      <c r="K248" s="4"/>
      <c r="L248" s="138"/>
      <c r="M248" s="4"/>
      <c r="N248" s="4"/>
      <c r="O248" s="4"/>
    </row>
    <row r="249" spans="1:15" ht="11.45" customHeight="1" outlineLevel="3" x14ac:dyDescent="0.2">
      <c r="A249" s="82" t="s">
        <v>2630</v>
      </c>
      <c r="B249" s="142"/>
      <c r="C249" s="83"/>
      <c r="D249" s="143"/>
      <c r="E249" s="5"/>
      <c r="F249" s="5"/>
      <c r="G249" s="5"/>
      <c r="H249" s="5"/>
      <c r="I249" s="5"/>
      <c r="J249" s="5"/>
      <c r="K249" s="5"/>
      <c r="L249" s="144"/>
      <c r="M249" s="5"/>
      <c r="N249" s="5"/>
      <c r="O249" s="5"/>
    </row>
    <row r="250" spans="1:15" s="1" customFormat="1" ht="11.45" customHeight="1" outlineLevel="4" x14ac:dyDescent="0.2">
      <c r="A250" s="32" t="s">
        <v>2647</v>
      </c>
      <c r="B250" s="74" t="s">
        <v>2648</v>
      </c>
      <c r="C250" s="50"/>
      <c r="D250" s="139">
        <f t="shared" si="3"/>
        <v>0</v>
      </c>
      <c r="E250" s="140">
        <v>636.28</v>
      </c>
      <c r="F250" s="140">
        <v>521.54</v>
      </c>
      <c r="G250" s="34" t="s">
        <v>100</v>
      </c>
      <c r="H250" s="34" t="s">
        <v>1887</v>
      </c>
      <c r="I250" s="35">
        <v>1</v>
      </c>
      <c r="J250" s="35">
        <v>1</v>
      </c>
      <c r="K250" s="35">
        <v>1</v>
      </c>
      <c r="L250" s="60" t="str">
        <f>HYPERLINK("https://www.sds-group.ru/product/kabel-silovoy-mednyy-num-j-4x2-5-mm-dlina-20-metrov-gost-31996-2012-tu-3520-015-38229892--01-8709-20/", "Инфо")</f>
        <v>Инфо</v>
      </c>
      <c r="M250" s="37">
        <v>6</v>
      </c>
      <c r="N250" s="38">
        <v>4.0000000000000001E-3</v>
      </c>
      <c r="O250" s="141">
        <v>4601004134560</v>
      </c>
    </row>
    <row r="251" spans="1:15" s="1" customFormat="1" ht="11.45" customHeight="1" outlineLevel="4" x14ac:dyDescent="0.2">
      <c r="A251" s="32" t="s">
        <v>2650</v>
      </c>
      <c r="B251" s="74" t="s">
        <v>2651</v>
      </c>
      <c r="C251" s="50"/>
      <c r="D251" s="139">
        <f t="shared" si="3"/>
        <v>0</v>
      </c>
      <c r="E251" s="140">
        <v>1458.09</v>
      </c>
      <c r="F251" s="140">
        <v>1195.1600000000001</v>
      </c>
      <c r="G251" s="34" t="s">
        <v>100</v>
      </c>
      <c r="H251" s="34" t="s">
        <v>1887</v>
      </c>
      <c r="I251" s="35">
        <v>1</v>
      </c>
      <c r="J251" s="35">
        <v>1</v>
      </c>
      <c r="K251" s="35">
        <v>1</v>
      </c>
      <c r="L251" s="60" t="str">
        <f>HYPERLINK("https://www.sds-group.ru/product/kabel-silovoy-mednyy-num-j-4x2-5-mm-dlina-50-metrov-gost-31996-2012-tu-3520-015-38229892--01-8709-50/", "Инфо")</f>
        <v>Инфо</v>
      </c>
      <c r="M251" s="37">
        <v>15</v>
      </c>
      <c r="N251" s="38">
        <v>0.01</v>
      </c>
      <c r="O251" s="141">
        <v>4601004134577</v>
      </c>
    </row>
    <row r="252" spans="1:15" ht="11.45" customHeight="1" outlineLevel="1" x14ac:dyDescent="0.2">
      <c r="A252" s="78" t="s">
        <v>2673</v>
      </c>
      <c r="B252" s="132"/>
      <c r="C252" s="79"/>
      <c r="D252" s="133"/>
      <c r="E252" s="134"/>
      <c r="F252" s="134"/>
      <c r="G252" s="134"/>
      <c r="H252" s="134"/>
      <c r="I252" s="134"/>
      <c r="J252" s="134"/>
      <c r="K252" s="134"/>
      <c r="L252" s="135"/>
      <c r="M252" s="134"/>
      <c r="N252" s="134"/>
      <c r="O252" s="134"/>
    </row>
    <row r="253" spans="1:15" ht="11.45" customHeight="1" outlineLevel="2" x14ac:dyDescent="0.2">
      <c r="A253" s="76" t="s">
        <v>2674</v>
      </c>
      <c r="B253" s="136"/>
      <c r="C253" s="77"/>
      <c r="D253" s="137"/>
      <c r="E253" s="4"/>
      <c r="F253" s="4"/>
      <c r="G253" s="4"/>
      <c r="H253" s="4"/>
      <c r="I253" s="4"/>
      <c r="J253" s="4"/>
      <c r="K253" s="4"/>
      <c r="L253" s="138"/>
      <c r="M253" s="4"/>
      <c r="N253" s="4"/>
      <c r="O253" s="4"/>
    </row>
    <row r="254" spans="1:15" ht="11.45" customHeight="1" outlineLevel="3" x14ac:dyDescent="0.2">
      <c r="A254" s="76" t="s">
        <v>2675</v>
      </c>
      <c r="B254" s="136"/>
      <c r="C254" s="77"/>
      <c r="D254" s="137"/>
      <c r="E254" s="4"/>
      <c r="F254" s="4"/>
      <c r="G254" s="4"/>
      <c r="H254" s="4"/>
      <c r="I254" s="4"/>
      <c r="J254" s="4"/>
      <c r="K254" s="4"/>
      <c r="L254" s="138"/>
      <c r="M254" s="4"/>
      <c r="N254" s="4"/>
      <c r="O254" s="4"/>
    </row>
    <row r="255" spans="1:15" s="1" customFormat="1" ht="11.45" customHeight="1" outlineLevel="4" x14ac:dyDescent="0.2">
      <c r="A255" s="32" t="s">
        <v>2728</v>
      </c>
      <c r="B255" s="74" t="s">
        <v>2729</v>
      </c>
      <c r="C255" s="50"/>
      <c r="D255" s="139">
        <f t="shared" si="3"/>
        <v>0</v>
      </c>
      <c r="E255" s="140">
        <v>3.69</v>
      </c>
      <c r="F255" s="140">
        <v>3.02</v>
      </c>
      <c r="G255" s="34" t="s">
        <v>100</v>
      </c>
      <c r="H255" s="34" t="s">
        <v>39</v>
      </c>
      <c r="I255" s="35">
        <v>100</v>
      </c>
      <c r="J255" s="35">
        <v>100</v>
      </c>
      <c r="K255" s="39">
        <v>4800</v>
      </c>
      <c r="L255" s="60" t="str">
        <f>HYPERLINK("https://www.sds-group.ru/product/klemma-ploskaya-izolirovannaya-termousazhivaemaya-rpi-p-t-6-0-6-3-rpip-t-6-7-0-8-shteker-6-3-08-0354/", "Инфо")</f>
        <v>Инфо</v>
      </c>
      <c r="M255" s="37">
        <v>1E-3</v>
      </c>
      <c r="N255" s="38">
        <v>5.0000000000000004E-6</v>
      </c>
      <c r="O255" s="141">
        <v>4601004019980</v>
      </c>
    </row>
    <row r="256" spans="1:15" s="1" customFormat="1" ht="11.45" customHeight="1" outlineLevel="4" x14ac:dyDescent="0.2">
      <c r="A256" s="32" t="s">
        <v>2757</v>
      </c>
      <c r="B256" s="74" t="s">
        <v>2758</v>
      </c>
      <c r="C256" s="50"/>
      <c r="D256" s="139">
        <f t="shared" si="3"/>
        <v>0</v>
      </c>
      <c r="E256" s="140">
        <v>2.8</v>
      </c>
      <c r="F256" s="140">
        <v>2.2999999999999998</v>
      </c>
      <c r="G256" s="34" t="s">
        <v>100</v>
      </c>
      <c r="H256" s="34" t="s">
        <v>39</v>
      </c>
      <c r="I256" s="35">
        <v>50</v>
      </c>
      <c r="J256" s="35">
        <v>50</v>
      </c>
      <c r="K256" s="39">
        <v>2000</v>
      </c>
      <c r="L256" s="60" t="str">
        <f>HYPERLINK("https://www.sds-group.ru/product/klemma-ploskaya-shteker-6-3-mm-1-1-5-mm-rp-p-1-5-6-3-kolodka-rexant-08-0951/", "Инфо")</f>
        <v>Инфо</v>
      </c>
      <c r="M256" s="37">
        <v>2E-3</v>
      </c>
      <c r="N256" s="38">
        <v>1.8E-5</v>
      </c>
      <c r="O256" s="141">
        <v>4601004077317</v>
      </c>
    </row>
    <row r="257" spans="1:15" s="1" customFormat="1" ht="11.45" customHeight="1" outlineLevel="4" x14ac:dyDescent="0.2">
      <c r="A257" s="32" t="s">
        <v>2767</v>
      </c>
      <c r="B257" s="74" t="s">
        <v>2768</v>
      </c>
      <c r="C257" s="50"/>
      <c r="D257" s="139">
        <f t="shared" si="3"/>
        <v>0</v>
      </c>
      <c r="E257" s="140">
        <v>1.51</v>
      </c>
      <c r="F257" s="140">
        <v>1.24</v>
      </c>
      <c r="G257" s="34" t="s">
        <v>100</v>
      </c>
      <c r="H257" s="34" t="s">
        <v>39</v>
      </c>
      <c r="I257" s="35">
        <v>100</v>
      </c>
      <c r="J257" s="35">
        <v>100</v>
      </c>
      <c r="K257" s="39">
        <v>16000</v>
      </c>
      <c r="L257" s="60" t="str">
        <f>HYPERLINK("https://www.sds-group.ru/product/razem-shtekernyy-izolirovannyy-shteker-5-mm-4-6-mm-rshi-p-6-0-5-rship5-5-4-zheltyy-rexant-08-0531/", "Инфо")</f>
        <v>Инфо</v>
      </c>
      <c r="M257" s="37">
        <v>1E-3</v>
      </c>
      <c r="N257" s="38">
        <v>3.0000000000000001E-6</v>
      </c>
      <c r="O257" s="141">
        <v>4660008012250</v>
      </c>
    </row>
    <row r="258" spans="1:15" s="1" customFormat="1" ht="11.45" customHeight="1" outlineLevel="4" x14ac:dyDescent="0.2">
      <c r="A258" s="32" t="s">
        <v>2769</v>
      </c>
      <c r="B258" s="74" t="s">
        <v>2770</v>
      </c>
      <c r="C258" s="50"/>
      <c r="D258" s="139">
        <f t="shared" si="3"/>
        <v>0</v>
      </c>
      <c r="E258" s="140">
        <v>1.55</v>
      </c>
      <c r="F258" s="140">
        <v>1.27</v>
      </c>
      <c r="G258" s="34" t="s">
        <v>100</v>
      </c>
      <c r="H258" s="34" t="s">
        <v>39</v>
      </c>
      <c r="I258" s="35">
        <v>100</v>
      </c>
      <c r="J258" s="35">
        <v>100</v>
      </c>
      <c r="K258" s="39">
        <v>9600</v>
      </c>
      <c r="L258" s="60" t="str">
        <f>HYPERLINK("https://www.sds-group.ru/product/razem-shtekernyy-polnostyu-izolirovannyy-gnezdo-4-mm-0-5-1-5-mm-rshpi-m-1-5-4-rshimp-1-25-5--08-0261/", "Инфо")</f>
        <v>Инфо</v>
      </c>
      <c r="M258" s="37">
        <v>1E-3</v>
      </c>
      <c r="N258" s="38">
        <v>3.9999999999999998E-6</v>
      </c>
      <c r="O258" s="141">
        <v>4660008012175</v>
      </c>
    </row>
    <row r="259" spans="1:15" s="1" customFormat="1" ht="11.45" customHeight="1" outlineLevel="4" x14ac:dyDescent="0.2">
      <c r="A259" s="32" t="s">
        <v>2771</v>
      </c>
      <c r="B259" s="74" t="s">
        <v>2772</v>
      </c>
      <c r="C259" s="50"/>
      <c r="D259" s="139">
        <f t="shared" si="3"/>
        <v>0</v>
      </c>
      <c r="E259" s="140">
        <v>0.98</v>
      </c>
      <c r="F259" s="140">
        <v>0.8</v>
      </c>
      <c r="G259" s="34" t="s">
        <v>100</v>
      </c>
      <c r="H259" s="34" t="s">
        <v>39</v>
      </c>
      <c r="I259" s="35">
        <v>100</v>
      </c>
      <c r="J259" s="35">
        <v>100</v>
      </c>
      <c r="K259" s="39">
        <v>15000</v>
      </c>
      <c r="L259" s="60" t="str">
        <f>HYPERLINK("https://www.sds-group.ru/product/razem-shtekernyy-polnostyu-izolirovannyy-shteker-4-mm-0-5-1-5-mm-rshpi-p-1-5-4-rshipp-1-25-4-08-0561/", "Инфо")</f>
        <v>Инфо</v>
      </c>
      <c r="M259" s="37">
        <v>1E-3</v>
      </c>
      <c r="N259" s="38">
        <v>5.0000000000000004E-6</v>
      </c>
      <c r="O259" s="141">
        <v>4601004020092</v>
      </c>
    </row>
    <row r="260" spans="1:15" ht="11.45" customHeight="1" outlineLevel="3" x14ac:dyDescent="0.2">
      <c r="A260" s="76" t="s">
        <v>2801</v>
      </c>
      <c r="B260" s="136"/>
      <c r="C260" s="77"/>
      <c r="D260" s="137"/>
      <c r="E260" s="4"/>
      <c r="F260" s="4"/>
      <c r="G260" s="4"/>
      <c r="H260" s="4"/>
      <c r="I260" s="4"/>
      <c r="J260" s="4"/>
      <c r="K260" s="4"/>
      <c r="L260" s="138"/>
      <c r="M260" s="4"/>
      <c r="N260" s="4"/>
      <c r="O260" s="4"/>
    </row>
    <row r="261" spans="1:15" s="1" customFormat="1" ht="11.45" customHeight="1" outlineLevel="4" x14ac:dyDescent="0.2">
      <c r="A261" s="32" t="s">
        <v>2822</v>
      </c>
      <c r="B261" s="74" t="s">
        <v>2823</v>
      </c>
      <c r="C261" s="50"/>
      <c r="D261" s="139">
        <f t="shared" si="3"/>
        <v>0</v>
      </c>
      <c r="E261" s="140">
        <v>1.42</v>
      </c>
      <c r="F261" s="140">
        <v>1.1599999999999999</v>
      </c>
      <c r="G261" s="34" t="s">
        <v>100</v>
      </c>
      <c r="H261" s="34" t="s">
        <v>39</v>
      </c>
      <c r="I261" s="35">
        <v>100</v>
      </c>
      <c r="J261" s="35">
        <v>100</v>
      </c>
      <c r="K261" s="39">
        <v>20000</v>
      </c>
      <c r="L261" s="60" t="str">
        <f>HYPERLINK("https://www.sds-group.ru/product/nakonechnik-vilochnyy-izolirovannyy-6-5-mm-1-5-2-5-mm-nvi-2-5-6-nvi-2-6-siniy-rexant-08-0134/", "Инфо")</f>
        <v>Инфо</v>
      </c>
      <c r="M261" s="37">
        <v>1E-3</v>
      </c>
      <c r="N261" s="38">
        <v>1.9999999999999999E-6</v>
      </c>
      <c r="O261" s="141">
        <v>4601004019829</v>
      </c>
    </row>
    <row r="262" spans="1:15" s="1" customFormat="1" ht="11.45" customHeight="1" outlineLevel="4" x14ac:dyDescent="0.2">
      <c r="A262" s="32" t="s">
        <v>2906</v>
      </c>
      <c r="B262" s="74" t="s">
        <v>2907</v>
      </c>
      <c r="C262" s="50"/>
      <c r="D262" s="139">
        <f t="shared" si="3"/>
        <v>0</v>
      </c>
      <c r="E262" s="140">
        <v>2.89</v>
      </c>
      <c r="F262" s="140">
        <v>2.37</v>
      </c>
      <c r="G262" s="34" t="s">
        <v>100</v>
      </c>
      <c r="H262" s="34" t="s">
        <v>39</v>
      </c>
      <c r="I262" s="35">
        <v>100</v>
      </c>
      <c r="J262" s="35">
        <v>100</v>
      </c>
      <c r="K262" s="39">
        <v>2400</v>
      </c>
      <c r="L262" s="60" t="str">
        <f>HYPERLINK("https://www.sds-group.ru/product/nakonechnik-shtyrevoy-vtulochnyy-izolirovannyy-f-14-mm-2h16-mm-nshvi-2-16-14-ngi2-16-14-slon-08-2813/", "Инфо")</f>
        <v>Инфо</v>
      </c>
      <c r="M262" s="37">
        <v>2E-3</v>
      </c>
      <c r="N262" s="38">
        <v>1.0000000000000001E-5</v>
      </c>
      <c r="O262" s="141">
        <v>4601004020818</v>
      </c>
    </row>
    <row r="263" spans="1:15" s="1" customFormat="1" ht="11.45" customHeight="1" outlineLevel="4" x14ac:dyDescent="0.2">
      <c r="A263" s="32" t="s">
        <v>2931</v>
      </c>
      <c r="B263" s="74" t="s">
        <v>2932</v>
      </c>
      <c r="C263" s="50"/>
      <c r="D263" s="139">
        <f t="shared" si="3"/>
        <v>0</v>
      </c>
      <c r="E263" s="140">
        <v>5.54</v>
      </c>
      <c r="F263" s="140">
        <v>4.54</v>
      </c>
      <c r="G263" s="34" t="s">
        <v>100</v>
      </c>
      <c r="H263" s="34" t="s">
        <v>39</v>
      </c>
      <c r="I263" s="35">
        <v>100</v>
      </c>
      <c r="J263" s="35">
        <v>100</v>
      </c>
      <c r="K263" s="39">
        <v>2000</v>
      </c>
      <c r="L263" s="60" t="str">
        <f>HYPERLINK("https://www.sds-group.ru/product/nakonechnik-shtyrevoy-vtulochnyy-izolirovannyy-f-20-mm-50-mm-nshvi-50-20-olivkovyy-rexant-08-0836/", "Инфо")</f>
        <v>Инфо</v>
      </c>
      <c r="M263" s="37">
        <v>3.0000000000000001E-3</v>
      </c>
      <c r="N263" s="38">
        <v>2.0000000000000002E-5</v>
      </c>
      <c r="O263" s="141">
        <v>4601004020504</v>
      </c>
    </row>
    <row r="264" spans="1:15" ht="11.45" customHeight="1" outlineLevel="3" x14ac:dyDescent="0.2">
      <c r="A264" s="76" t="s">
        <v>2959</v>
      </c>
      <c r="B264" s="136"/>
      <c r="C264" s="77"/>
      <c r="D264" s="137"/>
      <c r="E264" s="4"/>
      <c r="F264" s="4"/>
      <c r="G264" s="4"/>
      <c r="H264" s="4"/>
      <c r="I264" s="4"/>
      <c r="J264" s="4"/>
      <c r="K264" s="4"/>
      <c r="L264" s="138"/>
      <c r="M264" s="4"/>
      <c r="N264" s="4"/>
      <c r="O264" s="4"/>
    </row>
    <row r="265" spans="1:15" s="1" customFormat="1" ht="11.45" customHeight="1" outlineLevel="4" x14ac:dyDescent="0.2">
      <c r="A265" s="32" t="s">
        <v>2962</v>
      </c>
      <c r="B265" s="74" t="s">
        <v>2963</v>
      </c>
      <c r="C265" s="50"/>
      <c r="D265" s="139">
        <f t="shared" si="3"/>
        <v>0</v>
      </c>
      <c r="E265" s="140">
        <v>1.56</v>
      </c>
      <c r="F265" s="140">
        <v>1.28</v>
      </c>
      <c r="G265" s="34" t="s">
        <v>100</v>
      </c>
      <c r="H265" s="34" t="s">
        <v>39</v>
      </c>
      <c r="I265" s="35">
        <v>100</v>
      </c>
      <c r="J265" s="35">
        <v>100</v>
      </c>
      <c r="K265" s="39">
        <v>20000</v>
      </c>
      <c r="L265" s="60" t="str">
        <f>HYPERLINK("https://www.sds-group.ru/product/nakonechnik-vilochnyy-rexant-5-5-mm-1-1-5-mm-nv-1-5-5-08-0172/", "Инфо")</f>
        <v>Инфо</v>
      </c>
      <c r="M265" s="37">
        <v>0</v>
      </c>
      <c r="N265" s="38">
        <v>9.9999999999999995E-7</v>
      </c>
      <c r="O265" s="141">
        <v>4601004019874</v>
      </c>
    </row>
    <row r="266" spans="1:15" s="1" customFormat="1" ht="11.45" customHeight="1" outlineLevel="4" x14ac:dyDescent="0.2">
      <c r="A266" s="32" t="s">
        <v>2984</v>
      </c>
      <c r="B266" s="74" t="s">
        <v>2985</v>
      </c>
      <c r="C266" s="50"/>
      <c r="D266" s="139">
        <f t="shared" si="3"/>
        <v>0</v>
      </c>
      <c r="E266" s="140">
        <v>2.77</v>
      </c>
      <c r="F266" s="140">
        <v>2.27</v>
      </c>
      <c r="G266" s="34" t="s">
        <v>100</v>
      </c>
      <c r="H266" s="34" t="s">
        <v>39</v>
      </c>
      <c r="I266" s="35">
        <v>50</v>
      </c>
      <c r="J266" s="35">
        <v>50</v>
      </c>
      <c r="K266" s="39">
        <v>12000</v>
      </c>
      <c r="L266" s="60" t="str">
        <f>HYPERLINK("https://www.sds-group.ru/product/nakonechnik-shtiftovoy-ploskiy-kabelnyy-nshp-2-5-12-rexant-08-1708/", "Инфо")</f>
        <v>Инфо</v>
      </c>
      <c r="M266" s="37">
        <v>1E-3</v>
      </c>
      <c r="N266" s="38">
        <v>9.9999999999999995E-7</v>
      </c>
      <c r="O266" s="141">
        <v>4601004136649</v>
      </c>
    </row>
    <row r="267" spans="1:15" s="1" customFormat="1" ht="11.45" customHeight="1" outlineLevel="4" x14ac:dyDescent="0.2">
      <c r="A267" s="32" t="s">
        <v>2998</v>
      </c>
      <c r="B267" s="74" t="s">
        <v>2999</v>
      </c>
      <c r="C267" s="50"/>
      <c r="D267" s="139">
        <f t="shared" ref="D267:D330" si="4">C267*E267</f>
        <v>0</v>
      </c>
      <c r="E267" s="140">
        <v>0.19</v>
      </c>
      <c r="F267" s="140">
        <v>0.16</v>
      </c>
      <c r="G267" s="34" t="s">
        <v>100</v>
      </c>
      <c r="H267" s="34" t="s">
        <v>39</v>
      </c>
      <c r="I267" s="35">
        <v>100</v>
      </c>
      <c r="J267" s="35">
        <v>100</v>
      </c>
      <c r="K267" s="39">
        <v>192000</v>
      </c>
      <c r="L267" s="60" t="str">
        <f>HYPERLINK("https://www.sds-group.ru/product/nakonechnik-shtyrevoy-vtulochnyy-l-6-mm-0-75-mm-nshv-0-75-6-ng-0-75-6-rexant-08-0802/", "Инфо")</f>
        <v>Инфо</v>
      </c>
      <c r="M267" s="37">
        <v>0</v>
      </c>
      <c r="N267" s="38">
        <v>0</v>
      </c>
      <c r="O267" s="141">
        <v>4601004020429</v>
      </c>
    </row>
    <row r="268" spans="1:15" ht="11.45" customHeight="1" outlineLevel="3" x14ac:dyDescent="0.2">
      <c r="A268" s="76" t="s">
        <v>3000</v>
      </c>
      <c r="B268" s="136"/>
      <c r="C268" s="77"/>
      <c r="D268" s="137"/>
      <c r="E268" s="4"/>
      <c r="F268" s="4"/>
      <c r="G268" s="4"/>
      <c r="H268" s="4"/>
      <c r="I268" s="4"/>
      <c r="J268" s="4"/>
      <c r="K268" s="4"/>
      <c r="L268" s="138"/>
      <c r="M268" s="4"/>
      <c r="N268" s="4"/>
      <c r="O268" s="4"/>
    </row>
    <row r="269" spans="1:15" s="1" customFormat="1" ht="11.45" customHeight="1" outlineLevel="4" x14ac:dyDescent="0.2">
      <c r="A269" s="32" t="s">
        <v>3017</v>
      </c>
      <c r="B269" s="74" t="s">
        <v>3018</v>
      </c>
      <c r="C269" s="50"/>
      <c r="D269" s="139">
        <f t="shared" si="4"/>
        <v>0</v>
      </c>
      <c r="E269" s="140">
        <v>3.26</v>
      </c>
      <c r="F269" s="140">
        <v>2.67</v>
      </c>
      <c r="G269" s="34" t="s">
        <v>100</v>
      </c>
      <c r="H269" s="34" t="s">
        <v>39</v>
      </c>
      <c r="I269" s="35">
        <v>100</v>
      </c>
      <c r="J269" s="35">
        <v>100</v>
      </c>
      <c r="K269" s="39">
        <v>10000</v>
      </c>
      <c r="L269" s="60" t="str">
        <f>HYPERLINK("https://www.sds-group.ru/product/soedinitelnaya-gilza-izolirovannaya-l-27-3-mm-neylon-4-6-mm-gsi-n-6-0-gsi-n-4-0-6-0-zheltaya-08-0732/", "Инфо")</f>
        <v>Инфо</v>
      </c>
      <c r="M269" s="37">
        <v>1E-3</v>
      </c>
      <c r="N269" s="38">
        <v>3.0000000000000001E-6</v>
      </c>
      <c r="O269" s="141">
        <v>4601004020382</v>
      </c>
    </row>
    <row r="270" spans="1:15" ht="11.45" customHeight="1" outlineLevel="2" x14ac:dyDescent="0.2">
      <c r="A270" s="76" t="s">
        <v>3038</v>
      </c>
      <c r="B270" s="136"/>
      <c r="C270" s="77"/>
      <c r="D270" s="137"/>
      <c r="E270" s="4"/>
      <c r="F270" s="4"/>
      <c r="G270" s="4"/>
      <c r="H270" s="4"/>
      <c r="I270" s="4"/>
      <c r="J270" s="4"/>
      <c r="K270" s="4"/>
      <c r="L270" s="138"/>
      <c r="M270" s="4"/>
      <c r="N270" s="4"/>
      <c r="O270" s="4"/>
    </row>
    <row r="271" spans="1:15" ht="11.45" customHeight="1" outlineLevel="3" x14ac:dyDescent="0.2">
      <c r="A271" s="76" t="s">
        <v>3039</v>
      </c>
      <c r="B271" s="136"/>
      <c r="C271" s="77"/>
      <c r="D271" s="137"/>
      <c r="E271" s="4"/>
      <c r="F271" s="4"/>
      <c r="G271" s="4"/>
      <c r="H271" s="4"/>
      <c r="I271" s="4"/>
      <c r="J271" s="4"/>
      <c r="K271" s="4"/>
      <c r="L271" s="138"/>
      <c r="M271" s="4"/>
      <c r="N271" s="4"/>
      <c r="O271" s="4"/>
    </row>
    <row r="272" spans="1:15" s="1" customFormat="1" ht="11.45" customHeight="1" outlineLevel="4" x14ac:dyDescent="0.2">
      <c r="A272" s="32" t="s">
        <v>3050</v>
      </c>
      <c r="B272" s="74" t="s">
        <v>3051</v>
      </c>
      <c r="C272" s="50"/>
      <c r="D272" s="139">
        <f t="shared" si="4"/>
        <v>0</v>
      </c>
      <c r="E272" s="140">
        <v>122.93</v>
      </c>
      <c r="F272" s="140">
        <v>100.76</v>
      </c>
      <c r="G272" s="34" t="s">
        <v>100</v>
      </c>
      <c r="H272" s="34" t="s">
        <v>1001</v>
      </c>
      <c r="I272" s="35">
        <v>1</v>
      </c>
      <c r="J272" s="35">
        <v>1</v>
      </c>
      <c r="K272" s="35">
        <v>10</v>
      </c>
      <c r="L272" s="60" t="str">
        <f>HYPERLINK("https://www.sds-group.ru/product/klemma-smk-222-421r-prohodnaya-razemnaya-1-polyus-seraya-0-2-2-5-4mm-blister-5-sht-up-rexa-07-5261-5/", "Инфо")</f>
        <v>Инфо</v>
      </c>
      <c r="M272" s="37">
        <v>0.03</v>
      </c>
      <c r="N272" s="38">
        <v>1.47E-4</v>
      </c>
      <c r="O272" s="141">
        <v>4601004327863</v>
      </c>
    </row>
    <row r="273" spans="1:15" s="1" customFormat="1" ht="11.45" customHeight="1" outlineLevel="4" x14ac:dyDescent="0.2">
      <c r="A273" s="32" t="s">
        <v>3090</v>
      </c>
      <c r="B273" s="74" t="s">
        <v>3091</v>
      </c>
      <c r="C273" s="50"/>
      <c r="D273" s="139">
        <f t="shared" si="4"/>
        <v>0</v>
      </c>
      <c r="E273" s="140">
        <v>50.27</v>
      </c>
      <c r="F273" s="140">
        <v>41.2</v>
      </c>
      <c r="G273" s="34" t="s">
        <v>100</v>
      </c>
      <c r="H273" s="34" t="s">
        <v>39</v>
      </c>
      <c r="I273" s="35">
        <v>20</v>
      </c>
      <c r="J273" s="35">
        <v>20</v>
      </c>
      <c r="K273" s="39">
        <v>1000</v>
      </c>
      <c r="L273" s="60" t="str">
        <f>HYPERLINK("https://www.sds-group.ru/product/klemma-smk-222-425r-prohodnaya-razemnaya-5-polyusov-seraya-0-2-2-5-4mm-20-sht-up-rexant-07-5265/", "Инфо")</f>
        <v>Инфо</v>
      </c>
      <c r="M273" s="37">
        <v>2.1000000000000001E-2</v>
      </c>
      <c r="N273" s="38">
        <v>6.3E-5</v>
      </c>
      <c r="O273" s="141">
        <v>4601004278769</v>
      </c>
    </row>
    <row r="274" spans="1:15" s="1" customFormat="1" ht="11.45" customHeight="1" outlineLevel="4" x14ac:dyDescent="0.2">
      <c r="A274" s="32" t="s">
        <v>3160</v>
      </c>
      <c r="B274" s="74" t="s">
        <v>3161</v>
      </c>
      <c r="C274" s="50"/>
      <c r="D274" s="139">
        <f t="shared" si="4"/>
        <v>0</v>
      </c>
      <c r="E274" s="140">
        <v>114.78</v>
      </c>
      <c r="F274" s="140">
        <v>94.08</v>
      </c>
      <c r="G274" s="34" t="s">
        <v>100</v>
      </c>
      <c r="H274" s="34" t="s">
        <v>1001</v>
      </c>
      <c r="I274" s="35">
        <v>1</v>
      </c>
      <c r="J274" s="35">
        <v>1</v>
      </c>
      <c r="K274" s="35">
        <v>10</v>
      </c>
      <c r="L274" s="60" t="str">
        <f>HYPERLINK("https://www.sds-group.ru/product/universalnaya-klemma-smk-222-415-5-provodnaya-prozrachnaya-0-08-2-5-4-mm-blister-10-sht--06-0205-C10/", "Инфо")</f>
        <v>Инфо</v>
      </c>
      <c r="M274" s="37">
        <v>8.1000000000000003E-2</v>
      </c>
      <c r="N274" s="38">
        <v>3.68E-4</v>
      </c>
      <c r="O274" s="141">
        <v>4601004123175</v>
      </c>
    </row>
    <row r="275" spans="1:15" s="1" customFormat="1" ht="11.45" customHeight="1" outlineLevel="4" x14ac:dyDescent="0.2">
      <c r="A275" s="32" t="s">
        <v>3162</v>
      </c>
      <c r="B275" s="74" t="s">
        <v>3163</v>
      </c>
      <c r="C275" s="50"/>
      <c r="D275" s="139">
        <f t="shared" si="4"/>
        <v>0</v>
      </c>
      <c r="E275" s="140">
        <v>96.97</v>
      </c>
      <c r="F275" s="140">
        <v>79.48</v>
      </c>
      <c r="G275" s="34" t="s">
        <v>100</v>
      </c>
      <c r="H275" s="34" t="s">
        <v>1001</v>
      </c>
      <c r="I275" s="35">
        <v>1</v>
      </c>
      <c r="J275" s="35">
        <v>1</v>
      </c>
      <c r="K275" s="35">
        <v>10</v>
      </c>
      <c r="L275" s="60" t="str">
        <f>HYPERLINK("https://www.sds-group.ru/product/universalnaya-klemma-smk-222-415-5-provodnaya-prozrachnaya-0-08-2-5-4-mm-blister-5-sht-up-06-0205-B5/", "Инфо")</f>
        <v>Инфо</v>
      </c>
      <c r="M275" s="37">
        <v>4.5999999999999999E-2</v>
      </c>
      <c r="N275" s="38">
        <v>2.4800000000000001E-4</v>
      </c>
      <c r="O275" s="141">
        <v>4601004123021</v>
      </c>
    </row>
    <row r="276" spans="1:15" ht="11.45" customHeight="1" outlineLevel="3" x14ac:dyDescent="0.2">
      <c r="A276" s="76" t="s">
        <v>3204</v>
      </c>
      <c r="B276" s="136"/>
      <c r="C276" s="77"/>
      <c r="D276" s="137"/>
      <c r="E276" s="4"/>
      <c r="F276" s="4"/>
      <c r="G276" s="4"/>
      <c r="H276" s="4"/>
      <c r="I276" s="4"/>
      <c r="J276" s="4"/>
      <c r="K276" s="4"/>
      <c r="L276" s="138"/>
      <c r="M276" s="4"/>
      <c r="N276" s="4"/>
      <c r="O276" s="4"/>
    </row>
    <row r="277" spans="1:15" s="1" customFormat="1" ht="11.45" customHeight="1" outlineLevel="4" x14ac:dyDescent="0.2">
      <c r="A277" s="32" t="s">
        <v>3213</v>
      </c>
      <c r="B277" s="74" t="s">
        <v>3214</v>
      </c>
      <c r="C277" s="50"/>
      <c r="D277" s="139">
        <f t="shared" si="4"/>
        <v>0</v>
      </c>
      <c r="E277" s="140">
        <v>23.17</v>
      </c>
      <c r="F277" s="140">
        <v>18.989999999999998</v>
      </c>
      <c r="G277" s="34" t="s">
        <v>100</v>
      </c>
      <c r="H277" s="34" t="s">
        <v>1001</v>
      </c>
      <c r="I277" s="35">
        <v>1</v>
      </c>
      <c r="J277" s="35">
        <v>1</v>
      </c>
      <c r="K277" s="35">
        <v>60</v>
      </c>
      <c r="L277" s="60" t="str">
        <f>HYPERLINK("https://www.sds-group.ru/product/ekspress-klemma-rexant-smk-2273-205-5-provodnaya-0-5-2-5-mm-prozrachnaya-blister-5-sht-up-07-3214-5/", "Инфо")</f>
        <v>Инфо</v>
      </c>
      <c r="M277" s="37">
        <v>1.7000000000000001E-2</v>
      </c>
      <c r="N277" s="38">
        <v>1.47E-4</v>
      </c>
      <c r="O277" s="141">
        <v>4601004227552</v>
      </c>
    </row>
    <row r="278" spans="1:15" s="1" customFormat="1" ht="11.45" customHeight="1" outlineLevel="4" x14ac:dyDescent="0.2">
      <c r="A278" s="32" t="s">
        <v>3219</v>
      </c>
      <c r="B278" s="74" t="s">
        <v>3220</v>
      </c>
      <c r="C278" s="50"/>
      <c r="D278" s="139">
        <f t="shared" si="4"/>
        <v>0</v>
      </c>
      <c r="E278" s="140">
        <v>31.75</v>
      </c>
      <c r="F278" s="140">
        <v>26.02</v>
      </c>
      <c r="G278" s="34" t="s">
        <v>100</v>
      </c>
      <c r="H278" s="34" t="s">
        <v>1001</v>
      </c>
      <c r="I278" s="35">
        <v>1</v>
      </c>
      <c r="J278" s="35">
        <v>1</v>
      </c>
      <c r="K278" s="35">
        <v>60</v>
      </c>
      <c r="L278" s="60" t="str">
        <f>HYPERLINK("https://www.sds-group.ru/product/ekspress-klemma-s-pastoy-rexant-smk-2273-242-2-provodnaya-0-5-2-5-mm-prozrachnaya-blister--07-3216-5/", "Инфо")</f>
        <v>Инфо</v>
      </c>
      <c r="M278" s="37">
        <v>1.2E-2</v>
      </c>
      <c r="N278" s="38">
        <v>1.45E-4</v>
      </c>
      <c r="O278" s="141">
        <v>4601004227569</v>
      </c>
    </row>
    <row r="279" spans="1:15" s="1" customFormat="1" ht="11.45" customHeight="1" outlineLevel="4" x14ac:dyDescent="0.2">
      <c r="A279" s="32" t="s">
        <v>3233</v>
      </c>
      <c r="B279" s="74" t="s">
        <v>3234</v>
      </c>
      <c r="C279" s="50"/>
      <c r="D279" s="139">
        <f t="shared" si="4"/>
        <v>0</v>
      </c>
      <c r="E279" s="140">
        <v>71.06</v>
      </c>
      <c r="F279" s="140">
        <v>58.25</v>
      </c>
      <c r="G279" s="34" t="s">
        <v>100</v>
      </c>
      <c r="H279" s="34" t="s">
        <v>1001</v>
      </c>
      <c r="I279" s="35">
        <v>1</v>
      </c>
      <c r="J279" s="35">
        <v>1</v>
      </c>
      <c r="K279" s="35">
        <v>60</v>
      </c>
      <c r="L279" s="60" t="str">
        <f>HYPERLINK("https://www.sds-group.ru/product/ekspress-klemma-s-pastoy-rexant-smk-2273-248-8-provodnaya-0-5-2-5-mm-prozrachnaya-blister--07-5230-6/", "Инфо")</f>
        <v>Инфо</v>
      </c>
      <c r="M279" s="37">
        <v>2.3E-2</v>
      </c>
      <c r="N279" s="38">
        <v>1.35E-4</v>
      </c>
      <c r="O279" s="141">
        <v>4601004227613</v>
      </c>
    </row>
    <row r="280" spans="1:15" s="1" customFormat="1" ht="11.45" customHeight="1" outlineLevel="4" x14ac:dyDescent="0.2">
      <c r="A280" s="32" t="s">
        <v>3240</v>
      </c>
      <c r="B280" s="74" t="s">
        <v>3241</v>
      </c>
      <c r="C280" s="50"/>
      <c r="D280" s="139">
        <f t="shared" si="4"/>
        <v>0</v>
      </c>
      <c r="E280" s="140">
        <v>91.44</v>
      </c>
      <c r="F280" s="140">
        <v>74.95</v>
      </c>
      <c r="G280" s="34" t="s">
        <v>100</v>
      </c>
      <c r="H280" s="34" t="s">
        <v>1001</v>
      </c>
      <c r="I280" s="35">
        <v>1</v>
      </c>
      <c r="J280" s="35">
        <v>1</v>
      </c>
      <c r="K280" s="35">
        <v>10</v>
      </c>
      <c r="L280" s="60" t="str">
        <f>HYPERLINK("https://www.sds-group.ru/product/ekspress-klemma-s-pastoy-smk-773-306-6-provodnaya-do-2-5-mm-seraya-blister-5sht-rexant-06-0208-B5/", "Инфо")</f>
        <v>Инфо</v>
      </c>
      <c r="M280" s="37">
        <v>2.8000000000000001E-2</v>
      </c>
      <c r="N280" s="38">
        <v>2.5799999999999998E-4</v>
      </c>
      <c r="O280" s="141">
        <v>4601004123052</v>
      </c>
    </row>
    <row r="281" spans="1:15" s="1" customFormat="1" ht="11.45" customHeight="1" outlineLevel="4" x14ac:dyDescent="0.2">
      <c r="A281" s="32" t="s">
        <v>3244</v>
      </c>
      <c r="B281" s="74" t="s">
        <v>3245</v>
      </c>
      <c r="C281" s="50"/>
      <c r="D281" s="139">
        <f t="shared" si="4"/>
        <v>0</v>
      </c>
      <c r="E281" s="140">
        <v>76.040000000000006</v>
      </c>
      <c r="F281" s="140">
        <v>62.33</v>
      </c>
      <c r="G281" s="34" t="s">
        <v>100</v>
      </c>
      <c r="H281" s="34" t="s">
        <v>1001</v>
      </c>
      <c r="I281" s="35">
        <v>1</v>
      </c>
      <c r="J281" s="35">
        <v>1</v>
      </c>
      <c r="K281" s="35">
        <v>10</v>
      </c>
      <c r="L281" s="60" t="str">
        <f>HYPERLINK("https://www.sds-group.ru/product/ekspress-klemma-s-pastoy-smk-773-308-8-provodnaya-do-2-5-mm-seraya-blister-10sht-rexant-06-0209-B10/", "Инфо")</f>
        <v>Инфо</v>
      </c>
      <c r="M281" s="37">
        <v>0.06</v>
      </c>
      <c r="N281" s="38">
        <v>2.5999999999999998E-4</v>
      </c>
      <c r="O281" s="141">
        <v>4601004123212</v>
      </c>
    </row>
    <row r="282" spans="1:15" s="1" customFormat="1" ht="11.45" customHeight="1" outlineLevel="4" x14ac:dyDescent="0.2">
      <c r="A282" s="32" t="s">
        <v>3246</v>
      </c>
      <c r="B282" s="74" t="s">
        <v>3247</v>
      </c>
      <c r="C282" s="50"/>
      <c r="D282" s="139">
        <f t="shared" si="4"/>
        <v>0</v>
      </c>
      <c r="E282" s="140">
        <v>6.55</v>
      </c>
      <c r="F282" s="140">
        <v>5.37</v>
      </c>
      <c r="G282" s="34" t="s">
        <v>100</v>
      </c>
      <c r="H282" s="34" t="s">
        <v>39</v>
      </c>
      <c r="I282" s="35">
        <v>50</v>
      </c>
      <c r="J282" s="35">
        <v>50</v>
      </c>
      <c r="K282" s="39">
        <v>3000</v>
      </c>
      <c r="L282" s="60" t="str">
        <f>HYPERLINK("https://www.sds-group.ru/product/ekspress-klemma-s-pastoy-smk-773-308-8-provodnaya-do-2-5-mm-seraya-50-sht-up-rexant-07-3080/", "Инфо")</f>
        <v>Инфо</v>
      </c>
      <c r="M282" s="37">
        <v>6.0000000000000001E-3</v>
      </c>
      <c r="N282" s="38">
        <v>2.0000000000000002E-5</v>
      </c>
      <c r="O282" s="141">
        <v>4601004046313</v>
      </c>
    </row>
    <row r="283" spans="1:15" s="1" customFormat="1" ht="11.45" customHeight="1" outlineLevel="4" x14ac:dyDescent="0.2">
      <c r="A283" s="32" t="s">
        <v>3256</v>
      </c>
      <c r="B283" s="74" t="s">
        <v>3257</v>
      </c>
      <c r="C283" s="50"/>
      <c r="D283" s="139">
        <f t="shared" si="4"/>
        <v>0</v>
      </c>
      <c r="E283" s="140">
        <v>31.6</v>
      </c>
      <c r="F283" s="140">
        <v>25.9</v>
      </c>
      <c r="G283" s="34" t="s">
        <v>100</v>
      </c>
      <c r="H283" s="34" t="s">
        <v>39</v>
      </c>
      <c r="I283" s="35">
        <v>50</v>
      </c>
      <c r="J283" s="35">
        <v>50</v>
      </c>
      <c r="K283" s="39">
        <v>2500</v>
      </c>
      <c r="L283" s="60" t="str">
        <f>HYPERLINK("https://www.sds-group.ru/product/ekspress-klemma-smk-2273-2x2r-prohodnaya-razemnaya-2-polyusa-2h2-provodnaya-0-5-2-5mm-50-sht-07-5243/", "Инфо")</f>
        <v>Инфо</v>
      </c>
      <c r="M283" s="37">
        <v>7.0000000000000001E-3</v>
      </c>
      <c r="N283" s="38">
        <v>1.8E-5</v>
      </c>
      <c r="O283" s="141">
        <v>4601004278851</v>
      </c>
    </row>
    <row r="284" spans="1:15" s="1" customFormat="1" ht="11.45" customHeight="1" outlineLevel="4" x14ac:dyDescent="0.2">
      <c r="A284" s="32" t="s">
        <v>3258</v>
      </c>
      <c r="B284" s="74" t="s">
        <v>3259</v>
      </c>
      <c r="C284" s="50"/>
      <c r="D284" s="139">
        <f t="shared" si="4"/>
        <v>0</v>
      </c>
      <c r="E284" s="140">
        <v>170.89</v>
      </c>
      <c r="F284" s="140">
        <v>140.07</v>
      </c>
      <c r="G284" s="34" t="s">
        <v>100</v>
      </c>
      <c r="H284" s="34" t="s">
        <v>1001</v>
      </c>
      <c r="I284" s="35">
        <v>5</v>
      </c>
      <c r="J284" s="35">
        <v>5</v>
      </c>
      <c r="K284" s="35">
        <v>10</v>
      </c>
      <c r="L284" s="60" t="str">
        <f>HYPERLINK("https://www.sds-group.ru/product/ekspress-klemma-smk-2273-2x2r-prohodnaya-razemnaya-2-polyusa-2h2-provodnaya-0-5-2-5mm-blis-07-5243-5/", "Инфо")</f>
        <v>Инфо</v>
      </c>
      <c r="M284" s="37">
        <v>4.2999999999999997E-2</v>
      </c>
      <c r="N284" s="38">
        <v>2.3900000000000001E-4</v>
      </c>
      <c r="O284" s="141">
        <v>4601004327825</v>
      </c>
    </row>
    <row r="285" spans="1:15" s="1" customFormat="1" ht="11.45" customHeight="1" outlineLevel="4" x14ac:dyDescent="0.2">
      <c r="A285" s="32" t="s">
        <v>3260</v>
      </c>
      <c r="B285" s="74" t="s">
        <v>3261</v>
      </c>
      <c r="C285" s="50"/>
      <c r="D285" s="139">
        <f t="shared" si="4"/>
        <v>0</v>
      </c>
      <c r="E285" s="140">
        <v>57.99</v>
      </c>
      <c r="F285" s="140">
        <v>47.53</v>
      </c>
      <c r="G285" s="34" t="s">
        <v>100</v>
      </c>
      <c r="H285" s="34" t="s">
        <v>39</v>
      </c>
      <c r="I285" s="35">
        <v>50</v>
      </c>
      <c r="J285" s="35">
        <v>50</v>
      </c>
      <c r="K285" s="39">
        <v>2500</v>
      </c>
      <c r="L285" s="60" t="str">
        <f>HYPERLINK("https://www.sds-group.ru/product/ekspress-klemma-smk-2273-2x3r-prohodnaya-razemnaya-3-polyusa-3h2-provodnaya-0-5-2-5mm-50-sht-07-5244/", "Инфо")</f>
        <v>Инфо</v>
      </c>
      <c r="M285" s="37">
        <v>0.01</v>
      </c>
      <c r="N285" s="38">
        <v>2.5999999999999998E-5</v>
      </c>
      <c r="O285" s="141">
        <v>4601004278806</v>
      </c>
    </row>
    <row r="286" spans="1:15" s="1" customFormat="1" ht="11.45" customHeight="1" outlineLevel="4" x14ac:dyDescent="0.2">
      <c r="A286" s="32" t="s">
        <v>3264</v>
      </c>
      <c r="B286" s="74" t="s">
        <v>3265</v>
      </c>
      <c r="C286" s="50"/>
      <c r="D286" s="139">
        <f t="shared" si="4"/>
        <v>0</v>
      </c>
      <c r="E286" s="140">
        <v>5.88</v>
      </c>
      <c r="F286" s="140">
        <v>4.82</v>
      </c>
      <c r="G286" s="34" t="s">
        <v>100</v>
      </c>
      <c r="H286" s="34" t="s">
        <v>39</v>
      </c>
      <c r="I286" s="35">
        <v>50</v>
      </c>
      <c r="J286" s="35">
        <v>50</v>
      </c>
      <c r="K286" s="39">
        <v>5000</v>
      </c>
      <c r="L286" s="60" t="str">
        <f>HYPERLINK("https://www.sds-group.ru/product/ekspress-klemma-smk-773-602-s-pastoy-2-provodnaya-0-75-4-mm-50-sht-up-rexant-07-5274/", "Инфо")</f>
        <v>Инфо</v>
      </c>
      <c r="M286" s="37">
        <v>2E-3</v>
      </c>
      <c r="N286" s="38">
        <v>5.0000000000000004E-6</v>
      </c>
      <c r="O286" s="141">
        <v>4601004280755</v>
      </c>
    </row>
    <row r="287" spans="1:15" ht="11.45" customHeight="1" outlineLevel="3" x14ac:dyDescent="0.2">
      <c r="A287" s="76" t="s">
        <v>3270</v>
      </c>
      <c r="B287" s="136"/>
      <c r="C287" s="77"/>
      <c r="D287" s="137"/>
      <c r="E287" s="4"/>
      <c r="F287" s="4"/>
      <c r="G287" s="4"/>
      <c r="H287" s="4"/>
      <c r="I287" s="4"/>
      <c r="J287" s="4"/>
      <c r="K287" s="4"/>
      <c r="L287" s="138"/>
      <c r="M287" s="4"/>
      <c r="N287" s="4"/>
      <c r="O287" s="4"/>
    </row>
    <row r="288" spans="1:15" s="1" customFormat="1" ht="11.45" customHeight="1" outlineLevel="4" x14ac:dyDescent="0.2">
      <c r="A288" s="32" t="s">
        <v>3305</v>
      </c>
      <c r="B288" s="74" t="s">
        <v>3306</v>
      </c>
      <c r="C288" s="50"/>
      <c r="D288" s="139">
        <f t="shared" si="4"/>
        <v>0</v>
      </c>
      <c r="E288" s="140">
        <v>4.7300000000000004</v>
      </c>
      <c r="F288" s="140">
        <v>3.88</v>
      </c>
      <c r="G288" s="34" t="s">
        <v>100</v>
      </c>
      <c r="H288" s="34" t="s">
        <v>39</v>
      </c>
      <c r="I288" s="35">
        <v>50</v>
      </c>
      <c r="J288" s="35">
        <v>50</v>
      </c>
      <c r="K288" s="39">
        <v>1500</v>
      </c>
      <c r="L288" s="60" t="str">
        <f>HYPERLINK("https://www.sds-group.ru/product/markery-dlya-klemm-smk-222-221d-bez-simvolov-2-5-4-mm-rexant-07-5299/", "Инфо")</f>
        <v>Инфо</v>
      </c>
      <c r="M288" s="37">
        <v>1E-3</v>
      </c>
      <c r="N288" s="38">
        <v>1.5E-5</v>
      </c>
      <c r="O288" s="141">
        <v>4601004301467</v>
      </c>
    </row>
    <row r="289" spans="1:15" s="1" customFormat="1" ht="11.45" customHeight="1" outlineLevel="4" x14ac:dyDescent="0.2">
      <c r="A289" s="32" t="s">
        <v>3307</v>
      </c>
      <c r="B289" s="74" t="s">
        <v>3308</v>
      </c>
      <c r="C289" s="50"/>
      <c r="D289" s="139">
        <f t="shared" si="4"/>
        <v>0</v>
      </c>
      <c r="E289" s="140">
        <v>5.67</v>
      </c>
      <c r="F289" s="140">
        <v>4.6500000000000004</v>
      </c>
      <c r="G289" s="34" t="s">
        <v>100</v>
      </c>
      <c r="H289" s="34" t="s">
        <v>39</v>
      </c>
      <c r="I289" s="35">
        <v>50</v>
      </c>
      <c r="J289" s="35">
        <v>50</v>
      </c>
      <c r="K289" s="39">
        <v>1500</v>
      </c>
      <c r="L289" s="60" t="str">
        <f>HYPERLINK("https://www.sds-group.ru/product/markery-dlya-klemm-smk-bez-simvolov-6-10-mm-rexant-07-5227/", "Инфо")</f>
        <v>Инфо</v>
      </c>
      <c r="M289" s="37">
        <v>1E-3</v>
      </c>
      <c r="N289" s="38">
        <v>1.5999999999999999E-5</v>
      </c>
      <c r="O289" s="141">
        <v>4601004301610</v>
      </c>
    </row>
    <row r="290" spans="1:15" s="1" customFormat="1" ht="11.45" customHeight="1" outlineLevel="4" x14ac:dyDescent="0.2">
      <c r="A290" s="32" t="s">
        <v>3309</v>
      </c>
      <c r="B290" s="74" t="s">
        <v>3310</v>
      </c>
      <c r="C290" s="50"/>
      <c r="D290" s="139">
        <f t="shared" si="4"/>
        <v>0</v>
      </c>
      <c r="E290" s="140">
        <v>25.27</v>
      </c>
      <c r="F290" s="140">
        <v>20.71</v>
      </c>
      <c r="G290" s="34" t="s">
        <v>100</v>
      </c>
      <c r="H290" s="34" t="s">
        <v>39</v>
      </c>
      <c r="I290" s="35">
        <v>10</v>
      </c>
      <c r="J290" s="35">
        <v>10</v>
      </c>
      <c r="K290" s="39">
        <v>1000</v>
      </c>
      <c r="L290" s="60" t="str">
        <f>HYPERLINK("https://www.sds-group.ru/product/peremychka-dlya-klemm-smk-222-421d-10pin-rexant-07-5250/", "Инфо")</f>
        <v>Инфо</v>
      </c>
      <c r="M290" s="37">
        <v>5.0000000000000001E-3</v>
      </c>
      <c r="N290" s="38">
        <v>1.1E-5</v>
      </c>
      <c r="O290" s="141">
        <v>4601004278783</v>
      </c>
    </row>
    <row r="291" spans="1:15" ht="11.45" customHeight="1" outlineLevel="2" x14ac:dyDescent="0.2">
      <c r="A291" s="76" t="s">
        <v>3311</v>
      </c>
      <c r="B291" s="136"/>
      <c r="C291" s="77"/>
      <c r="D291" s="137"/>
      <c r="E291" s="4"/>
      <c r="F291" s="4"/>
      <c r="G291" s="4"/>
      <c r="H291" s="4"/>
      <c r="I291" s="4"/>
      <c r="J291" s="4"/>
      <c r="K291" s="4"/>
      <c r="L291" s="138"/>
      <c r="M291" s="4"/>
      <c r="N291" s="4"/>
      <c r="O291" s="4"/>
    </row>
    <row r="292" spans="1:15" ht="11.45" customHeight="1" outlineLevel="3" x14ac:dyDescent="0.2">
      <c r="A292" s="76" t="s">
        <v>3312</v>
      </c>
      <c r="B292" s="136"/>
      <c r="C292" s="77"/>
      <c r="D292" s="137"/>
      <c r="E292" s="4"/>
      <c r="F292" s="4"/>
      <c r="G292" s="4"/>
      <c r="H292" s="4"/>
      <c r="I292" s="4"/>
      <c r="J292" s="4"/>
      <c r="K292" s="4"/>
      <c r="L292" s="138"/>
      <c r="M292" s="4"/>
      <c r="N292" s="4"/>
      <c r="O292" s="4"/>
    </row>
    <row r="293" spans="1:15" s="1" customFormat="1" ht="11.45" customHeight="1" outlineLevel="4" x14ac:dyDescent="0.2">
      <c r="A293" s="32" t="s">
        <v>3339</v>
      </c>
      <c r="B293" s="74" t="s">
        <v>3340</v>
      </c>
      <c r="C293" s="50"/>
      <c r="D293" s="139">
        <f t="shared" si="4"/>
        <v>0</v>
      </c>
      <c r="E293" s="140">
        <v>7.09</v>
      </c>
      <c r="F293" s="140">
        <v>5.81</v>
      </c>
      <c r="G293" s="34" t="s">
        <v>100</v>
      </c>
      <c r="H293" s="34" t="s">
        <v>39</v>
      </c>
      <c r="I293" s="35">
        <v>10</v>
      </c>
      <c r="J293" s="35">
        <v>10</v>
      </c>
      <c r="K293" s="35">
        <v>100</v>
      </c>
      <c r="L293" s="60" t="str">
        <f>HYPERLINK("https://www.sds-group.ru/product/nakonechnik-mednyy-luzhenyy-tml-2-5-4-2-6-2-5mm-4mm-gost-7386-80-v-upak-10-sht-rexant-07-5300-3/", "Инфо")</f>
        <v>Инфо</v>
      </c>
      <c r="M293" s="37">
        <v>3.0000000000000001E-3</v>
      </c>
      <c r="N293" s="38">
        <v>2.3E-5</v>
      </c>
      <c r="O293" s="141">
        <v>4601004191808</v>
      </c>
    </row>
    <row r="294" spans="1:15" ht="11.45" customHeight="1" outlineLevel="3" x14ac:dyDescent="0.2">
      <c r="A294" s="76" t="s">
        <v>3470</v>
      </c>
      <c r="B294" s="136"/>
      <c r="C294" s="77"/>
      <c r="D294" s="137"/>
      <c r="E294" s="4"/>
      <c r="F294" s="4"/>
      <c r="G294" s="4"/>
      <c r="H294" s="4"/>
      <c r="I294" s="4"/>
      <c r="J294" s="4"/>
      <c r="K294" s="4"/>
      <c r="L294" s="138"/>
      <c r="M294" s="4"/>
      <c r="N294" s="4"/>
      <c r="O294" s="4"/>
    </row>
    <row r="295" spans="1:15" s="1" customFormat="1" ht="11.45" customHeight="1" outlineLevel="4" x14ac:dyDescent="0.2">
      <c r="A295" s="32" t="s">
        <v>3485</v>
      </c>
      <c r="B295" s="74" t="s">
        <v>3486</v>
      </c>
      <c r="C295" s="50"/>
      <c r="D295" s="139">
        <f t="shared" si="4"/>
        <v>0</v>
      </c>
      <c r="E295" s="140">
        <v>3.43</v>
      </c>
      <c r="F295" s="140">
        <v>2.81</v>
      </c>
      <c r="G295" s="34" t="s">
        <v>100</v>
      </c>
      <c r="H295" s="34" t="s">
        <v>39</v>
      </c>
      <c r="I295" s="35">
        <v>100</v>
      </c>
      <c r="J295" s="35">
        <v>100</v>
      </c>
      <c r="K295" s="35">
        <v>100</v>
      </c>
      <c r="L295" s="60" t="str">
        <f>HYPERLINK("https://www.sds-group.ru/product/nakonechnik-medniy-tm-2-5-4-2-6-2-5mm-sup2-oslash-4mm-v-upak-100-sht-rexant-25297/", "Инфо")</f>
        <v>Инфо</v>
      </c>
      <c r="M295" s="37">
        <v>3.0000000000000001E-3</v>
      </c>
      <c r="N295" s="38">
        <v>1.0000000000000001E-5</v>
      </c>
      <c r="O295" s="141">
        <v>4601004190634</v>
      </c>
    </row>
    <row r="296" spans="1:15" ht="11.45" customHeight="1" outlineLevel="2" x14ac:dyDescent="0.2">
      <c r="A296" s="76" t="s">
        <v>3718</v>
      </c>
      <c r="B296" s="136"/>
      <c r="C296" s="77"/>
      <c r="D296" s="137"/>
      <c r="E296" s="4"/>
      <c r="F296" s="4"/>
      <c r="G296" s="4"/>
      <c r="H296" s="4"/>
      <c r="I296" s="4"/>
      <c r="J296" s="4"/>
      <c r="K296" s="4"/>
      <c r="L296" s="138"/>
      <c r="M296" s="4"/>
      <c r="N296" s="4"/>
      <c r="O296" s="4"/>
    </row>
    <row r="297" spans="1:15" ht="11.45" customHeight="1" outlineLevel="3" x14ac:dyDescent="0.2">
      <c r="A297" s="76" t="s">
        <v>3719</v>
      </c>
      <c r="B297" s="136"/>
      <c r="C297" s="77"/>
      <c r="D297" s="137"/>
      <c r="E297" s="4"/>
      <c r="F297" s="4"/>
      <c r="G297" s="4"/>
      <c r="H297" s="4"/>
      <c r="I297" s="4"/>
      <c r="J297" s="4"/>
      <c r="K297" s="4"/>
      <c r="L297" s="138"/>
      <c r="M297" s="4"/>
      <c r="N297" s="4"/>
      <c r="O297" s="4"/>
    </row>
    <row r="298" spans="1:15" s="1" customFormat="1" ht="11.45" customHeight="1" outlineLevel="4" x14ac:dyDescent="0.2">
      <c r="A298" s="32" t="s">
        <v>3720</v>
      </c>
      <c r="B298" s="74" t="s">
        <v>3721</v>
      </c>
      <c r="C298" s="50"/>
      <c r="D298" s="139">
        <f t="shared" si="4"/>
        <v>0</v>
      </c>
      <c r="E298" s="140">
        <v>27.78</v>
      </c>
      <c r="F298" s="140">
        <v>22.77</v>
      </c>
      <c r="G298" s="34" t="s">
        <v>100</v>
      </c>
      <c r="H298" s="34" t="s">
        <v>39</v>
      </c>
      <c r="I298" s="35">
        <v>10</v>
      </c>
      <c r="J298" s="35">
        <v>10</v>
      </c>
      <c r="K298" s="35">
        <v>500</v>
      </c>
      <c r="L298" s="60" t="str">
        <f>HYPERLINK("https://www.sds-group.ru/product/klemmnaya-vintovaya-kolodka-kv-10-4-10-tok-10-a-polipropilen-zheltyy-rexant-10-sht-up-07-5010-3/", "Инфо")</f>
        <v>Инфо</v>
      </c>
      <c r="M298" s="37">
        <v>2.9000000000000001E-2</v>
      </c>
      <c r="N298" s="38">
        <v>5.1E-5</v>
      </c>
      <c r="O298" s="141">
        <v>4601004186590</v>
      </c>
    </row>
    <row r="299" spans="1:15" s="1" customFormat="1" ht="11.45" customHeight="1" outlineLevel="4" x14ac:dyDescent="0.2">
      <c r="A299" s="32" t="s">
        <v>3724</v>
      </c>
      <c r="B299" s="74" t="s">
        <v>3725</v>
      </c>
      <c r="C299" s="50"/>
      <c r="D299" s="139">
        <f t="shared" si="4"/>
        <v>0</v>
      </c>
      <c r="E299" s="140">
        <v>40.090000000000003</v>
      </c>
      <c r="F299" s="140">
        <v>32.86</v>
      </c>
      <c r="G299" s="34" t="s">
        <v>100</v>
      </c>
      <c r="H299" s="34" t="s">
        <v>39</v>
      </c>
      <c r="I299" s="35">
        <v>10</v>
      </c>
      <c r="J299" s="35">
        <v>10</v>
      </c>
      <c r="K299" s="35">
        <v>500</v>
      </c>
      <c r="L299" s="60" t="str">
        <f>HYPERLINK("https://www.sds-group.ru/product/klemmnaya-vintovaya-kolodka-kv-12-4-12-tok-16-a-polipropilen-zheltyy-rexant-10-sht-up-07-5012-3/", "Инфо")</f>
        <v>Инфо</v>
      </c>
      <c r="M299" s="37">
        <v>0.04</v>
      </c>
      <c r="N299" s="38">
        <v>6.0999999999999999E-5</v>
      </c>
      <c r="O299" s="141">
        <v>4601004186613</v>
      </c>
    </row>
    <row r="300" spans="1:15" s="1" customFormat="1" ht="11.45" customHeight="1" outlineLevel="4" x14ac:dyDescent="0.2">
      <c r="A300" s="32" t="s">
        <v>3728</v>
      </c>
      <c r="B300" s="74" t="s">
        <v>3729</v>
      </c>
      <c r="C300" s="50"/>
      <c r="D300" s="139">
        <f t="shared" si="4"/>
        <v>0</v>
      </c>
      <c r="E300" s="140">
        <v>25.01</v>
      </c>
      <c r="F300" s="140">
        <v>20.5</v>
      </c>
      <c r="G300" s="34" t="s">
        <v>100</v>
      </c>
      <c r="H300" s="34" t="s">
        <v>39</v>
      </c>
      <c r="I300" s="35">
        <v>10</v>
      </c>
      <c r="J300" s="35">
        <v>10</v>
      </c>
      <c r="K300" s="35">
        <v>500</v>
      </c>
      <c r="L300" s="60" t="str">
        <f>HYPERLINK("https://www.sds-group.ru/product/klemmnaya-vintovaya-kolodka-kv-14-6-14-tok-20-a-polipropilen-zheltyy-rexant-10-sht-up-07-5014-3/", "Инфо")</f>
        <v>Инфо</v>
      </c>
      <c r="M300" s="37">
        <v>4.2999999999999997E-2</v>
      </c>
      <c r="N300" s="38">
        <v>5.8999999999999998E-5</v>
      </c>
      <c r="O300" s="141">
        <v>4601004186637</v>
      </c>
    </row>
    <row r="301" spans="1:15" s="1" customFormat="1" ht="11.45" customHeight="1" outlineLevel="4" x14ac:dyDescent="0.2">
      <c r="A301" s="32" t="s">
        <v>3730</v>
      </c>
      <c r="B301" s="74" t="s">
        <v>3731</v>
      </c>
      <c r="C301" s="50"/>
      <c r="D301" s="139">
        <f t="shared" si="4"/>
        <v>0</v>
      </c>
      <c r="E301" s="140">
        <v>42.37</v>
      </c>
      <c r="F301" s="140">
        <v>34.729999999999997</v>
      </c>
      <c r="G301" s="34" t="s">
        <v>100</v>
      </c>
      <c r="H301" s="34" t="s">
        <v>39</v>
      </c>
      <c r="I301" s="35">
        <v>10</v>
      </c>
      <c r="J301" s="35">
        <v>10</v>
      </c>
      <c r="K301" s="35">
        <v>500</v>
      </c>
      <c r="L301" s="60" t="str">
        <f>HYPERLINK("https://www.sds-group.ru/product/klemmnaya-vintovaya-kolodka-kv-14-6-14-tok-20-a-polipropilen-siniy-rexant-10-sht-up-07-5014-4/", "Инфо")</f>
        <v>Инфо</v>
      </c>
      <c r="M301" s="37">
        <v>0.04</v>
      </c>
      <c r="N301" s="38">
        <v>6.2000000000000003E-5</v>
      </c>
      <c r="O301" s="141">
        <v>4601004186811</v>
      </c>
    </row>
    <row r="302" spans="1:15" s="1" customFormat="1" ht="11.45" customHeight="1" outlineLevel="4" x14ac:dyDescent="0.2">
      <c r="A302" s="32" t="s">
        <v>3732</v>
      </c>
      <c r="B302" s="74" t="s">
        <v>3733</v>
      </c>
      <c r="C302" s="50"/>
      <c r="D302" s="139">
        <f t="shared" si="4"/>
        <v>0</v>
      </c>
      <c r="E302" s="140">
        <v>50.38</v>
      </c>
      <c r="F302" s="140">
        <v>41.3</v>
      </c>
      <c r="G302" s="34" t="s">
        <v>100</v>
      </c>
      <c r="H302" s="34" t="s">
        <v>39</v>
      </c>
      <c r="I302" s="35">
        <v>10</v>
      </c>
      <c r="J302" s="35">
        <v>10</v>
      </c>
      <c r="K302" s="35">
        <v>300</v>
      </c>
      <c r="L302" s="60" t="str">
        <f>HYPERLINK("https://www.sds-group.ru/product/klemmnaya-vintovaya-kolodka-kv-16-6-16-tok-30-a-polipropilen-zheltyy-rexant-10-sht-up-07-5016-3/", "Инфо")</f>
        <v>Инфо</v>
      </c>
      <c r="M302" s="37">
        <v>5.8000000000000003E-2</v>
      </c>
      <c r="N302" s="38">
        <v>1.02E-4</v>
      </c>
      <c r="O302" s="141">
        <v>4601004186651</v>
      </c>
    </row>
    <row r="303" spans="1:15" s="1" customFormat="1" ht="11.45" customHeight="1" outlineLevel="4" x14ac:dyDescent="0.2">
      <c r="A303" s="32" t="s">
        <v>3736</v>
      </c>
      <c r="B303" s="74" t="s">
        <v>3737</v>
      </c>
      <c r="C303" s="50"/>
      <c r="D303" s="139">
        <f t="shared" si="4"/>
        <v>0</v>
      </c>
      <c r="E303" s="140">
        <v>41.84</v>
      </c>
      <c r="F303" s="140">
        <v>34.299999999999997</v>
      </c>
      <c r="G303" s="34" t="s">
        <v>100</v>
      </c>
      <c r="H303" s="34" t="s">
        <v>39</v>
      </c>
      <c r="I303" s="35">
        <v>10</v>
      </c>
      <c r="J303" s="35">
        <v>10</v>
      </c>
      <c r="K303" s="35">
        <v>200</v>
      </c>
      <c r="L303" s="60" t="str">
        <f>HYPERLINK("https://www.sds-group.ru/product/klemmnaya-vintovaya-kolodka-kv-25-10-25-tok-60-a-polipropilen-zheltyy-rexant-10-sht-up-07-5025-3/", "Инфо")</f>
        <v>Инфо</v>
      </c>
      <c r="M303" s="37">
        <v>9.5000000000000001E-2</v>
      </c>
      <c r="N303" s="38">
        <v>1.47E-4</v>
      </c>
      <c r="O303" s="141">
        <v>4601004186675</v>
      </c>
    </row>
    <row r="304" spans="1:15" s="1" customFormat="1" ht="11.45" customHeight="1" outlineLevel="4" x14ac:dyDescent="0.2">
      <c r="A304" s="32" t="s">
        <v>3738</v>
      </c>
      <c r="B304" s="74" t="s">
        <v>3739</v>
      </c>
      <c r="C304" s="50"/>
      <c r="D304" s="139">
        <f t="shared" si="4"/>
        <v>0</v>
      </c>
      <c r="E304" s="140">
        <v>77.38</v>
      </c>
      <c r="F304" s="140">
        <v>63.43</v>
      </c>
      <c r="G304" s="34" t="s">
        <v>100</v>
      </c>
      <c r="H304" s="34" t="s">
        <v>39</v>
      </c>
      <c r="I304" s="35">
        <v>10</v>
      </c>
      <c r="J304" s="35">
        <v>10</v>
      </c>
      <c r="K304" s="35">
        <v>200</v>
      </c>
      <c r="L304" s="60" t="str">
        <f>HYPERLINK("https://www.sds-group.ru/product/klemmnaya-vintovaya-kolodka-kv-25-10-25-tok-60-a-polipropilen-siniy-rexant-10-sht-up-07-5025-4/", "Инфо")</f>
        <v>Инфо</v>
      </c>
      <c r="M304" s="37">
        <v>9.5000000000000001E-2</v>
      </c>
      <c r="N304" s="38">
        <v>1.4899999999999999E-4</v>
      </c>
      <c r="O304" s="141">
        <v>4601004186859</v>
      </c>
    </row>
    <row r="305" spans="1:15" s="1" customFormat="1" ht="11.45" customHeight="1" outlineLevel="4" x14ac:dyDescent="0.2">
      <c r="A305" s="32" t="s">
        <v>3740</v>
      </c>
      <c r="B305" s="74" t="s">
        <v>3741</v>
      </c>
      <c r="C305" s="50"/>
      <c r="D305" s="139">
        <f t="shared" si="4"/>
        <v>0</v>
      </c>
      <c r="E305" s="140">
        <v>78.75</v>
      </c>
      <c r="F305" s="140">
        <v>64.55</v>
      </c>
      <c r="G305" s="34" t="s">
        <v>100</v>
      </c>
      <c r="H305" s="34" t="s">
        <v>39</v>
      </c>
      <c r="I305" s="35">
        <v>10</v>
      </c>
      <c r="J305" s="35">
        <v>10</v>
      </c>
      <c r="K305" s="35">
        <v>100</v>
      </c>
      <c r="L305" s="60" t="str">
        <f>HYPERLINK("https://www.sds-group.ru/product/klemmnaya-vintovaya-kolodka-kv-35-10-35-tok-80-a-polipropilen-chernyy-rexant-10-sht-up-07-5035-2/", "Инфо")</f>
        <v>Инфо</v>
      </c>
      <c r="M305" s="37">
        <v>0.14399999999999999</v>
      </c>
      <c r="N305" s="38">
        <v>1.9100000000000001E-4</v>
      </c>
      <c r="O305" s="141">
        <v>4601004186934</v>
      </c>
    </row>
    <row r="306" spans="1:15" s="1" customFormat="1" ht="11.45" customHeight="1" outlineLevel="4" x14ac:dyDescent="0.2">
      <c r="A306" s="32" t="s">
        <v>3742</v>
      </c>
      <c r="B306" s="74" t="s">
        <v>3743</v>
      </c>
      <c r="C306" s="50"/>
      <c r="D306" s="139">
        <f t="shared" si="4"/>
        <v>0</v>
      </c>
      <c r="E306" s="140">
        <v>127.58</v>
      </c>
      <c r="F306" s="140">
        <v>104.57</v>
      </c>
      <c r="G306" s="34" t="s">
        <v>100</v>
      </c>
      <c r="H306" s="34" t="s">
        <v>39</v>
      </c>
      <c r="I306" s="35">
        <v>10</v>
      </c>
      <c r="J306" s="35">
        <v>10</v>
      </c>
      <c r="K306" s="35">
        <v>120</v>
      </c>
      <c r="L306" s="60" t="str">
        <f>HYPERLINK("https://www.sds-group.ru/product/klemmnaya-vintovaya-kolodka-kv-35-10-35-tok-80-a-polietilen-belyy-rexant-10-sht-up-07-5035/", "Инфо")</f>
        <v>Инфо</v>
      </c>
      <c r="M306" s="37">
        <v>0.14399999999999999</v>
      </c>
      <c r="N306" s="38">
        <v>1.9699999999999999E-4</v>
      </c>
      <c r="O306" s="141">
        <v>4601004186910</v>
      </c>
    </row>
    <row r="307" spans="1:15" s="1" customFormat="1" ht="11.45" customHeight="1" outlineLevel="4" x14ac:dyDescent="0.2">
      <c r="A307" s="32" t="s">
        <v>3744</v>
      </c>
      <c r="B307" s="74" t="s">
        <v>3745</v>
      </c>
      <c r="C307" s="50"/>
      <c r="D307" s="139">
        <f t="shared" si="4"/>
        <v>0</v>
      </c>
      <c r="E307" s="140">
        <v>78.75</v>
      </c>
      <c r="F307" s="140">
        <v>64.55</v>
      </c>
      <c r="G307" s="34" t="s">
        <v>100</v>
      </c>
      <c r="H307" s="34" t="s">
        <v>39</v>
      </c>
      <c r="I307" s="35">
        <v>10</v>
      </c>
      <c r="J307" s="35">
        <v>10</v>
      </c>
      <c r="K307" s="35">
        <v>120</v>
      </c>
      <c r="L307" s="60" t="str">
        <f>HYPERLINK("https://www.sds-group.ru/product/klemmnaya-vintovaya-kolodka-kv-35-10-35-tok-80-a-polipropilen-zheltyy-rexant-10-sht-up-07-5035-3/", "Инфо")</f>
        <v>Инфо</v>
      </c>
      <c r="M307" s="37">
        <v>0.14499999999999999</v>
      </c>
      <c r="N307" s="38">
        <v>1.8799999999999999E-4</v>
      </c>
      <c r="O307" s="141">
        <v>4601004186699</v>
      </c>
    </row>
    <row r="308" spans="1:15" s="1" customFormat="1" ht="11.45" customHeight="1" outlineLevel="4" x14ac:dyDescent="0.2">
      <c r="A308" s="32" t="s">
        <v>3752</v>
      </c>
      <c r="B308" s="74" t="s">
        <v>3753</v>
      </c>
      <c r="C308" s="50"/>
      <c r="D308" s="139">
        <f t="shared" si="4"/>
        <v>0</v>
      </c>
      <c r="E308" s="140">
        <v>93.37</v>
      </c>
      <c r="F308" s="140">
        <v>76.53</v>
      </c>
      <c r="G308" s="34" t="s">
        <v>100</v>
      </c>
      <c r="H308" s="34" t="s">
        <v>39</v>
      </c>
      <c r="I308" s="35">
        <v>10</v>
      </c>
      <c r="J308" s="35">
        <v>10</v>
      </c>
      <c r="K308" s="35">
        <v>100</v>
      </c>
      <c r="L308" s="60" t="str">
        <f>HYPERLINK("https://www.sds-group.ru/product/klemmnaya-vintovaya-kolodka-kv-40-25-40-tok-100-a-polipropilen-zheltyy-rexant-10-sht-up-07-5040-3/", "Инфо")</f>
        <v>Инфо</v>
      </c>
      <c r="M308" s="37">
        <v>0.192</v>
      </c>
      <c r="N308" s="38">
        <v>2.4499999999999999E-4</v>
      </c>
      <c r="O308" s="141">
        <v>4601004186712</v>
      </c>
    </row>
    <row r="309" spans="1:15" s="1" customFormat="1" ht="11.45" customHeight="1" outlineLevel="4" x14ac:dyDescent="0.2">
      <c r="A309" s="32" t="s">
        <v>3754</v>
      </c>
      <c r="B309" s="74" t="s">
        <v>3755</v>
      </c>
      <c r="C309" s="50"/>
      <c r="D309" s="139">
        <f t="shared" si="4"/>
        <v>0</v>
      </c>
      <c r="E309" s="140">
        <v>98.98</v>
      </c>
      <c r="F309" s="140">
        <v>81.13</v>
      </c>
      <c r="G309" s="34" t="s">
        <v>100</v>
      </c>
      <c r="H309" s="34" t="s">
        <v>39</v>
      </c>
      <c r="I309" s="35">
        <v>10</v>
      </c>
      <c r="J309" s="35">
        <v>10</v>
      </c>
      <c r="K309" s="35">
        <v>100</v>
      </c>
      <c r="L309" s="60" t="str">
        <f>HYPERLINK("https://www.sds-group.ru/product/klemmnaya-vintovaya-kolodka-kv-40-25-40-tok-100-a-polipropilen-siniy-rexant-10-sht-up-07-5040-4/", "Инфо")</f>
        <v>Инфо</v>
      </c>
      <c r="M309" s="37">
        <v>0.19</v>
      </c>
      <c r="N309" s="38">
        <v>2.5799999999999998E-4</v>
      </c>
      <c r="O309" s="141">
        <v>4601004186897</v>
      </c>
    </row>
    <row r="310" spans="1:15" s="1" customFormat="1" ht="11.45" customHeight="1" outlineLevel="4" x14ac:dyDescent="0.2">
      <c r="A310" s="32" t="s">
        <v>3756</v>
      </c>
      <c r="B310" s="74" t="s">
        <v>3757</v>
      </c>
      <c r="C310" s="50"/>
      <c r="D310" s="139">
        <f t="shared" si="4"/>
        <v>0</v>
      </c>
      <c r="E310" s="140">
        <v>11.95</v>
      </c>
      <c r="F310" s="140">
        <v>9.8000000000000007</v>
      </c>
      <c r="G310" s="34" t="s">
        <v>100</v>
      </c>
      <c r="H310" s="34" t="s">
        <v>39</v>
      </c>
      <c r="I310" s="35">
        <v>10</v>
      </c>
      <c r="J310" s="35">
        <v>10</v>
      </c>
      <c r="K310" s="39">
        <v>1200</v>
      </c>
      <c r="L310" s="60" t="str">
        <f>HYPERLINK("https://www.sds-group.ru/product/klemmnaya-vintovaya-kolodka-kv-6-2-5-6-tok-6-a-polipropilen-zheltyy-rexant-10-sht-up-07-5006-3/", "Инфо")</f>
        <v>Инфо</v>
      </c>
      <c r="M310" s="37">
        <v>1.6E-2</v>
      </c>
      <c r="N310" s="38">
        <v>1.5999999999999999E-5</v>
      </c>
      <c r="O310" s="141">
        <v>4601004186576</v>
      </c>
    </row>
    <row r="311" spans="1:15" s="1" customFormat="1" ht="11.45" customHeight="1" outlineLevel="4" x14ac:dyDescent="0.2">
      <c r="A311" s="32" t="s">
        <v>3805</v>
      </c>
      <c r="B311" s="74" t="s">
        <v>3806</v>
      </c>
      <c r="C311" s="50"/>
      <c r="D311" s="139">
        <f t="shared" si="4"/>
        <v>0</v>
      </c>
      <c r="E311" s="140">
        <v>31.88</v>
      </c>
      <c r="F311" s="140">
        <v>26.13</v>
      </c>
      <c r="G311" s="34" t="s">
        <v>100</v>
      </c>
      <c r="H311" s="34" t="s">
        <v>1001</v>
      </c>
      <c r="I311" s="35">
        <v>1</v>
      </c>
      <c r="J311" s="35">
        <v>1</v>
      </c>
      <c r="K311" s="35">
        <v>50</v>
      </c>
      <c r="L311" s="60" t="str">
        <f>HYPERLINK("https://www.sds-group.ru/product/klemmnaya-kolodka-vintovaya-kv-4-1-5-4-mm-tok-3-a-polipropilen-chernyy-zvi-individualna-07-5004-2-01/", "Инфо")</f>
        <v>Инфо</v>
      </c>
      <c r="M311" s="37">
        <v>1.7999999999999999E-2</v>
      </c>
      <c r="N311" s="38">
        <v>1.8100000000000001E-4</v>
      </c>
      <c r="O311" s="141">
        <v>4601004253247</v>
      </c>
    </row>
    <row r="312" spans="1:15" s="1" customFormat="1" ht="11.45" customHeight="1" outlineLevel="4" x14ac:dyDescent="0.2">
      <c r="A312" s="32" t="s">
        <v>3811</v>
      </c>
      <c r="B312" s="74" t="s">
        <v>3812</v>
      </c>
      <c r="C312" s="50"/>
      <c r="D312" s="139">
        <f t="shared" si="4"/>
        <v>0</v>
      </c>
      <c r="E312" s="140">
        <v>37.46</v>
      </c>
      <c r="F312" s="140">
        <v>30.7</v>
      </c>
      <c r="G312" s="34" t="s">
        <v>100</v>
      </c>
      <c r="H312" s="34" t="s">
        <v>1001</v>
      </c>
      <c r="I312" s="35">
        <v>1</v>
      </c>
      <c r="J312" s="35">
        <v>1</v>
      </c>
      <c r="K312" s="35">
        <v>50</v>
      </c>
      <c r="L312" s="60" t="str">
        <f>HYPERLINK("https://www.sds-group.ru/product/klemmnaya-kolodka-vintovaya-kv-6-2-5-6-mm-tok-6-a-polietilen-belyy-zvi-individualnaya-upak-07-5006-1/", "Инфо")</f>
        <v>Инфо</v>
      </c>
      <c r="M312" s="37">
        <v>2.7E-2</v>
      </c>
      <c r="N312" s="38">
        <v>1.83E-4</v>
      </c>
      <c r="O312" s="141">
        <v>4601004253926</v>
      </c>
    </row>
    <row r="313" spans="1:15" s="1" customFormat="1" ht="11.45" customHeight="1" outlineLevel="4" x14ac:dyDescent="0.2">
      <c r="A313" s="32" t="s">
        <v>3815</v>
      </c>
      <c r="B313" s="74" t="s">
        <v>3816</v>
      </c>
      <c r="C313" s="50"/>
      <c r="D313" s="139">
        <f t="shared" si="4"/>
        <v>0</v>
      </c>
      <c r="E313" s="140">
        <v>83.87</v>
      </c>
      <c r="F313" s="140">
        <v>68.75</v>
      </c>
      <c r="G313" s="34" t="s">
        <v>100</v>
      </c>
      <c r="H313" s="34" t="s">
        <v>1001</v>
      </c>
      <c r="I313" s="35">
        <v>1</v>
      </c>
      <c r="J313" s="35">
        <v>1</v>
      </c>
      <c r="K313" s="35">
        <v>300</v>
      </c>
      <c r="L313" s="60" t="str">
        <f>HYPERLINK("https://www.sds-group.ru/product/kolodka-klemmnaya-kv-10-10a-10-mm-individualnaya-upakovka-1-sht-up-proconnect-07-5010-9/", "Инфо")</f>
        <v>Инфо</v>
      </c>
      <c r="M313" s="37">
        <v>2.3E-2</v>
      </c>
      <c r="N313" s="38">
        <v>4.4099999999999999E-4</v>
      </c>
      <c r="O313" s="141">
        <v>4601004096981</v>
      </c>
    </row>
    <row r="314" spans="1:15" s="1" customFormat="1" ht="11.45" customHeight="1" outlineLevel="4" x14ac:dyDescent="0.2">
      <c r="A314" s="32" t="s">
        <v>3817</v>
      </c>
      <c r="B314" s="74" t="s">
        <v>3818</v>
      </c>
      <c r="C314" s="50"/>
      <c r="D314" s="139">
        <f t="shared" si="4"/>
        <v>0</v>
      </c>
      <c r="E314" s="140">
        <v>98.42</v>
      </c>
      <c r="F314" s="140">
        <v>80.67</v>
      </c>
      <c r="G314" s="34" t="s">
        <v>100</v>
      </c>
      <c r="H314" s="34" t="s">
        <v>1001</v>
      </c>
      <c r="I314" s="35">
        <v>1</v>
      </c>
      <c r="J314" s="35">
        <v>1</v>
      </c>
      <c r="K314" s="35">
        <v>250</v>
      </c>
      <c r="L314" s="60" t="str">
        <f>HYPERLINK("https://www.sds-group.ru/product/kolodka-klemmnaya-kv-12-16a-12-mm-individualnaya-upakovka-1-sht-up-proconnect-07-5012-9/", "Инфо")</f>
        <v>Инфо</v>
      </c>
      <c r="M314" s="37">
        <v>4.2000000000000003E-2</v>
      </c>
      <c r="N314" s="38">
        <v>2.2699999999999999E-4</v>
      </c>
      <c r="O314" s="141">
        <v>4601004096998</v>
      </c>
    </row>
    <row r="315" spans="1:15" ht="11.45" customHeight="1" outlineLevel="3" x14ac:dyDescent="0.2">
      <c r="A315" s="76" t="s">
        <v>3819</v>
      </c>
      <c r="B315" s="136"/>
      <c r="C315" s="77"/>
      <c r="D315" s="137"/>
      <c r="E315" s="4"/>
      <c r="F315" s="4"/>
      <c r="G315" s="4"/>
      <c r="H315" s="4"/>
      <c r="I315" s="4"/>
      <c r="J315" s="4"/>
      <c r="K315" s="4"/>
      <c r="L315" s="138"/>
      <c r="M315" s="4"/>
      <c r="N315" s="4"/>
      <c r="O315" s="4"/>
    </row>
    <row r="316" spans="1:15" s="1" customFormat="1" ht="11.45" customHeight="1" outlineLevel="4" x14ac:dyDescent="0.2">
      <c r="A316" s="32" t="s">
        <v>3820</v>
      </c>
      <c r="B316" s="74" t="s">
        <v>3821</v>
      </c>
      <c r="C316" s="50"/>
      <c r="D316" s="139">
        <f t="shared" si="4"/>
        <v>0</v>
      </c>
      <c r="E316" s="140">
        <v>33.659999999999997</v>
      </c>
      <c r="F316" s="140">
        <v>27.59</v>
      </c>
      <c r="G316" s="34" t="s">
        <v>100</v>
      </c>
      <c r="H316" s="34" t="s">
        <v>1001</v>
      </c>
      <c r="I316" s="35">
        <v>1</v>
      </c>
      <c r="J316" s="35">
        <v>1</v>
      </c>
      <c r="K316" s="35">
        <v>10</v>
      </c>
      <c r="L316" s="60" t="str">
        <f>HYPERLINK("https://www.sds-group.ru/product/soedinitelnyy-izoliruyuschiy-zazhim-rexant-siz-3-1-5-6-mm-oranzhevyy-10-sht-06-0232-B10/", "Инфо")</f>
        <v>Инфо</v>
      </c>
      <c r="M316" s="37">
        <v>2.1999999999999999E-2</v>
      </c>
      <c r="N316" s="38">
        <v>2.32E-4</v>
      </c>
      <c r="O316" s="141">
        <v>4601004122802</v>
      </c>
    </row>
    <row r="317" spans="1:15" s="1" customFormat="1" ht="11.45" customHeight="1" outlineLevel="4" x14ac:dyDescent="0.2">
      <c r="A317" s="32" t="s">
        <v>3822</v>
      </c>
      <c r="B317" s="74" t="s">
        <v>3823</v>
      </c>
      <c r="C317" s="50"/>
      <c r="D317" s="139">
        <f t="shared" si="4"/>
        <v>0</v>
      </c>
      <c r="E317" s="140">
        <v>35.42</v>
      </c>
      <c r="F317" s="140">
        <v>29.03</v>
      </c>
      <c r="G317" s="34" t="s">
        <v>100</v>
      </c>
      <c r="H317" s="34" t="s">
        <v>1001</v>
      </c>
      <c r="I317" s="35">
        <v>1</v>
      </c>
      <c r="J317" s="35">
        <v>1</v>
      </c>
      <c r="K317" s="35">
        <v>10</v>
      </c>
      <c r="L317" s="60" t="str">
        <f>HYPERLINK("https://www.sds-group.ru/product/soedinitelnyy-izoliruyuschiy-zazhim-rexant-siz-4-1-5-9-5-mm-zheltyy-10-sht-06-0233-B10/", "Инфо")</f>
        <v>Инфо</v>
      </c>
      <c r="M317" s="37">
        <v>2.8000000000000001E-2</v>
      </c>
      <c r="N317" s="38">
        <v>2.3800000000000001E-4</v>
      </c>
      <c r="O317" s="141">
        <v>4601004122796</v>
      </c>
    </row>
    <row r="318" spans="1:15" s="1" customFormat="1" ht="11.45" customHeight="1" outlineLevel="4" x14ac:dyDescent="0.2">
      <c r="A318" s="32" t="s">
        <v>3824</v>
      </c>
      <c r="B318" s="74" t="s">
        <v>3825</v>
      </c>
      <c r="C318" s="50"/>
      <c r="D318" s="139">
        <f t="shared" si="4"/>
        <v>0</v>
      </c>
      <c r="E318" s="140">
        <v>0.74</v>
      </c>
      <c r="F318" s="140">
        <v>0.61</v>
      </c>
      <c r="G318" s="34" t="s">
        <v>100</v>
      </c>
      <c r="H318" s="34" t="s">
        <v>39</v>
      </c>
      <c r="I318" s="35">
        <v>100</v>
      </c>
      <c r="J318" s="35">
        <v>100</v>
      </c>
      <c r="K318" s="39">
        <v>5000</v>
      </c>
      <c r="L318" s="60" t="str">
        <f>HYPERLINK("https://www.sds-group.ru/product/soedinitelnyy-izoliruyuschiy-zazhim-rexant-s-lepestkami-siz-11-9-8-mm-1-8-5-mm-zheltyy-100-s-08-0750/", "Инфо")</f>
        <v>Инфо</v>
      </c>
      <c r="M318" s="37">
        <v>2E-3</v>
      </c>
      <c r="N318" s="38">
        <v>6.0000000000000002E-6</v>
      </c>
      <c r="O318" s="141">
        <v>4601004197817</v>
      </c>
    </row>
    <row r="319" spans="1:15" s="1" customFormat="1" ht="11.45" customHeight="1" outlineLevel="4" x14ac:dyDescent="0.2">
      <c r="A319" s="32" t="s">
        <v>3826</v>
      </c>
      <c r="B319" s="74" t="s">
        <v>3827</v>
      </c>
      <c r="C319" s="50"/>
      <c r="D319" s="139">
        <f t="shared" si="4"/>
        <v>0</v>
      </c>
      <c r="E319" s="140">
        <v>1.51</v>
      </c>
      <c r="F319" s="140">
        <v>1.24</v>
      </c>
      <c r="G319" s="34" t="s">
        <v>100</v>
      </c>
      <c r="H319" s="34" t="s">
        <v>39</v>
      </c>
      <c r="I319" s="35">
        <v>100</v>
      </c>
      <c r="J319" s="35">
        <v>100</v>
      </c>
      <c r="K319" s="39">
        <v>5000</v>
      </c>
      <c r="L319" s="60" t="str">
        <f>HYPERLINK("https://www.sds-group.ru/product/soedinitelnyy-izoliruyuschiy-zazhim-rexant-s-lepestkami-siz-12-11-2-mm-1-12-75-mm-korichnevy-08-0756/", "Инфо")</f>
        <v>Инфо</v>
      </c>
      <c r="M319" s="37">
        <v>2E-3</v>
      </c>
      <c r="N319" s="38">
        <v>6.9999999999999999E-6</v>
      </c>
      <c r="O319" s="141">
        <v>4601004197763</v>
      </c>
    </row>
    <row r="320" spans="1:15" s="1" customFormat="1" ht="11.45" customHeight="1" outlineLevel="4" x14ac:dyDescent="0.2">
      <c r="A320" s="32" t="s">
        <v>3828</v>
      </c>
      <c r="B320" s="74" t="s">
        <v>3829</v>
      </c>
      <c r="C320" s="50"/>
      <c r="D320" s="139">
        <f t="shared" si="4"/>
        <v>0</v>
      </c>
      <c r="E320" s="140">
        <v>1.33</v>
      </c>
      <c r="F320" s="140">
        <v>1.0900000000000001</v>
      </c>
      <c r="G320" s="34" t="s">
        <v>100</v>
      </c>
      <c r="H320" s="34" t="s">
        <v>39</v>
      </c>
      <c r="I320" s="35">
        <v>100</v>
      </c>
      <c r="J320" s="35">
        <v>100</v>
      </c>
      <c r="K320" s="39">
        <v>4500</v>
      </c>
      <c r="L320" s="60" t="str">
        <f>HYPERLINK("https://www.sds-group.ru/product/soedinitelnyy-izoliruyuschiy-zazhim-rexant-s-lepestkami-siz-13-13-mm-1-5-16-mm-krasnyy-100-s-08-0758/", "Инфо")</f>
        <v>Инфо</v>
      </c>
      <c r="M320" s="37">
        <v>4.0000000000000001E-3</v>
      </c>
      <c r="N320" s="38">
        <v>9.0000000000000002E-6</v>
      </c>
      <c r="O320" s="141">
        <v>4601004197770</v>
      </c>
    </row>
    <row r="321" spans="1:15" s="1" customFormat="1" ht="11.45" customHeight="1" outlineLevel="4" x14ac:dyDescent="0.2">
      <c r="A321" s="32" t="s">
        <v>3830</v>
      </c>
      <c r="B321" s="74" t="s">
        <v>3831</v>
      </c>
      <c r="C321" s="50"/>
      <c r="D321" s="139">
        <f t="shared" si="4"/>
        <v>0</v>
      </c>
      <c r="E321" s="140">
        <v>1.82</v>
      </c>
      <c r="F321" s="140">
        <v>1.49</v>
      </c>
      <c r="G321" s="34" t="s">
        <v>100</v>
      </c>
      <c r="H321" s="34" t="s">
        <v>39</v>
      </c>
      <c r="I321" s="35">
        <v>50</v>
      </c>
      <c r="J321" s="35">
        <v>50</v>
      </c>
      <c r="K321" s="39">
        <v>2500</v>
      </c>
      <c r="L321" s="60" t="str">
        <f>HYPERLINK("https://www.sds-group.ru/product/soedinitelnyy-izoliruyuschiy-zazhim-rexant-s-lepestkami-siz-15-14-9-mm-4-16-mm-seryy-50-sht--08-0759/", "Инфо")</f>
        <v>Инфо</v>
      </c>
      <c r="M321" s="37">
        <v>5.0000000000000001E-3</v>
      </c>
      <c r="N321" s="38">
        <v>1.4E-5</v>
      </c>
      <c r="O321" s="141">
        <v>4601004197824</v>
      </c>
    </row>
    <row r="322" spans="1:15" s="1" customFormat="1" ht="11.45" customHeight="1" outlineLevel="4" x14ac:dyDescent="0.2">
      <c r="A322" s="32" t="s">
        <v>3832</v>
      </c>
      <c r="B322" s="74" t="s">
        <v>3833</v>
      </c>
      <c r="C322" s="50"/>
      <c r="D322" s="139">
        <f t="shared" si="4"/>
        <v>0</v>
      </c>
      <c r="E322" s="140">
        <v>2.63</v>
      </c>
      <c r="F322" s="140">
        <v>2.16</v>
      </c>
      <c r="G322" s="34" t="s">
        <v>100</v>
      </c>
      <c r="H322" s="34" t="s">
        <v>39</v>
      </c>
      <c r="I322" s="35">
        <v>50</v>
      </c>
      <c r="J322" s="35">
        <v>50</v>
      </c>
      <c r="K322" s="39">
        <v>1500</v>
      </c>
      <c r="L322" s="60" t="str">
        <f>HYPERLINK("https://www.sds-group.ru/product/soedinitelnyy-izoliruyuschiy-zazhim-rexant-s-lepestkami-siz-17-17-8-mm-5-32-mm-siniy-50-sht--08-0782/", "Инфо")</f>
        <v>Инфо</v>
      </c>
      <c r="M322" s="37">
        <v>8.0000000000000002E-3</v>
      </c>
      <c r="N322" s="38">
        <v>2.4000000000000001E-5</v>
      </c>
      <c r="O322" s="141">
        <v>4601004197831</v>
      </c>
    </row>
    <row r="323" spans="1:15" s="1" customFormat="1" ht="11.45" customHeight="1" outlineLevel="4" x14ac:dyDescent="0.2">
      <c r="A323" s="32" t="s">
        <v>3842</v>
      </c>
      <c r="B323" s="74" t="s">
        <v>3843</v>
      </c>
      <c r="C323" s="50"/>
      <c r="D323" s="139">
        <f t="shared" si="4"/>
        <v>0</v>
      </c>
      <c r="E323" s="140">
        <v>50.58</v>
      </c>
      <c r="F323" s="140">
        <v>41.46</v>
      </c>
      <c r="G323" s="34" t="s">
        <v>100</v>
      </c>
      <c r="H323" s="34" t="s">
        <v>1001</v>
      </c>
      <c r="I323" s="35">
        <v>1</v>
      </c>
      <c r="J323" s="35">
        <v>1</v>
      </c>
      <c r="K323" s="35">
        <v>10</v>
      </c>
      <c r="L323" s="60" t="str">
        <f>HYPERLINK("https://www.sds-group.ru/product/soedinitelnyy-izoliruyuschiy-zazhim-siz-5-5-4-mm-4-0-13-0-mm-krasnyy-10-sht-up-rexant-07-5220-10/", "Инфо")</f>
        <v>Инфо</v>
      </c>
      <c r="M323" s="37">
        <v>3.6999999999999998E-2</v>
      </c>
      <c r="N323" s="38">
        <v>2.4800000000000001E-4</v>
      </c>
      <c r="O323" s="141">
        <v>4601004253087</v>
      </c>
    </row>
    <row r="324" spans="1:15" ht="11.45" customHeight="1" outlineLevel="3" x14ac:dyDescent="0.2">
      <c r="A324" s="76" t="s">
        <v>3846</v>
      </c>
      <c r="B324" s="136"/>
      <c r="C324" s="77"/>
      <c r="D324" s="137"/>
      <c r="E324" s="4"/>
      <c r="F324" s="4"/>
      <c r="G324" s="4"/>
      <c r="H324" s="4"/>
      <c r="I324" s="4"/>
      <c r="J324" s="4"/>
      <c r="K324" s="4"/>
      <c r="L324" s="138"/>
      <c r="M324" s="4"/>
      <c r="N324" s="4"/>
      <c r="O324" s="4"/>
    </row>
    <row r="325" spans="1:15" s="1" customFormat="1" ht="11.45" customHeight="1" outlineLevel="4" x14ac:dyDescent="0.2">
      <c r="A325" s="32" t="s">
        <v>3851</v>
      </c>
      <c r="B325" s="74" t="s">
        <v>3852</v>
      </c>
      <c r="C325" s="50"/>
      <c r="D325" s="139">
        <f t="shared" si="4"/>
        <v>0</v>
      </c>
      <c r="E325" s="140">
        <v>1.05</v>
      </c>
      <c r="F325" s="140">
        <v>0.86</v>
      </c>
      <c r="G325" s="34" t="s">
        <v>100</v>
      </c>
      <c r="H325" s="34" t="s">
        <v>39</v>
      </c>
      <c r="I325" s="35">
        <v>100</v>
      </c>
      <c r="J325" s="35">
        <v>100</v>
      </c>
      <c r="K325" s="39">
        <v>10000</v>
      </c>
      <c r="L325" s="60" t="str">
        <f>HYPERLINK("https://www.sds-group.ru/product/kontsevaya-izolirovannaya-zaglushka-kiz-5-4-0-mm-2-5-5-5-mm-rexant-08-0703/", "Инфо")</f>
        <v>Инфо</v>
      </c>
      <c r="M325" s="37">
        <v>1E-3</v>
      </c>
      <c r="N325" s="38">
        <v>3.0000000000000001E-6</v>
      </c>
      <c r="O325" s="141">
        <v>4601004020238</v>
      </c>
    </row>
    <row r="326" spans="1:15" s="1" customFormat="1" ht="11.45" customHeight="1" outlineLevel="4" x14ac:dyDescent="0.2">
      <c r="A326" s="32" t="s">
        <v>3855</v>
      </c>
      <c r="B326" s="74" t="s">
        <v>3856</v>
      </c>
      <c r="C326" s="50"/>
      <c r="D326" s="139">
        <f t="shared" si="4"/>
        <v>0</v>
      </c>
      <c r="E326" s="140">
        <v>1.84</v>
      </c>
      <c r="F326" s="140">
        <v>1.51</v>
      </c>
      <c r="G326" s="34" t="s">
        <v>100</v>
      </c>
      <c r="H326" s="34" t="s">
        <v>39</v>
      </c>
      <c r="I326" s="35">
        <v>100</v>
      </c>
      <c r="J326" s="35">
        <v>100</v>
      </c>
      <c r="K326" s="39">
        <v>5000</v>
      </c>
      <c r="L326" s="60" t="str">
        <f>HYPERLINK("https://www.sds-group.ru/product/kontsevaya-izolirovannaya-zaglushka-kiz-7-5-5-mm-8-0-10-0-mm-rexant-08-0705/", "Инфо")</f>
        <v>Инфо</v>
      </c>
      <c r="M326" s="37">
        <v>1E-3</v>
      </c>
      <c r="N326" s="38">
        <v>3.0000000000000001E-6</v>
      </c>
      <c r="O326" s="141">
        <v>4601004020252</v>
      </c>
    </row>
    <row r="327" spans="1:15" ht="11.45" customHeight="1" outlineLevel="3" x14ac:dyDescent="0.2">
      <c r="A327" s="76" t="s">
        <v>3857</v>
      </c>
      <c r="B327" s="136"/>
      <c r="C327" s="77"/>
      <c r="D327" s="137"/>
      <c r="E327" s="4"/>
      <c r="F327" s="4"/>
      <c r="G327" s="4"/>
      <c r="H327" s="4"/>
      <c r="I327" s="4"/>
      <c r="J327" s="4"/>
      <c r="K327" s="4"/>
      <c r="L327" s="138"/>
      <c r="M327" s="4"/>
      <c r="N327" s="4"/>
      <c r="O327" s="4"/>
    </row>
    <row r="328" spans="1:15" s="1" customFormat="1" ht="11.45" customHeight="1" outlineLevel="4" x14ac:dyDescent="0.2">
      <c r="A328" s="32" t="s">
        <v>3858</v>
      </c>
      <c r="B328" s="74" t="s">
        <v>3859</v>
      </c>
      <c r="C328" s="50"/>
      <c r="D328" s="139">
        <f t="shared" si="4"/>
        <v>0</v>
      </c>
      <c r="E328" s="140">
        <v>8.5299999999999994</v>
      </c>
      <c r="F328" s="140">
        <v>6.99</v>
      </c>
      <c r="G328" s="34" t="s">
        <v>100</v>
      </c>
      <c r="H328" s="34" t="s">
        <v>39</v>
      </c>
      <c r="I328" s="35">
        <v>20</v>
      </c>
      <c r="J328" s="35">
        <v>20</v>
      </c>
      <c r="K328" s="39">
        <v>1600</v>
      </c>
      <c r="L328" s="60" t="str">
        <f>HYPERLINK("https://www.sds-group.ru/product/kontsevoy-zazhim-vintovoy-izolirovannyy-kzvi-1-5-mm-5h1-20-sht-up-rexant-07-5700/", "Инфо")</f>
        <v>Инфо</v>
      </c>
      <c r="M328" s="37">
        <v>8.0000000000000002E-3</v>
      </c>
      <c r="N328" s="38">
        <v>1.5999999999999999E-5</v>
      </c>
      <c r="O328" s="141">
        <v>4601004182387</v>
      </c>
    </row>
    <row r="329" spans="1:15" s="1" customFormat="1" ht="11.45" customHeight="1" outlineLevel="4" x14ac:dyDescent="0.2">
      <c r="A329" s="32" t="s">
        <v>3866</v>
      </c>
      <c r="B329" s="74" t="s">
        <v>3867</v>
      </c>
      <c r="C329" s="50"/>
      <c r="D329" s="139">
        <f t="shared" si="4"/>
        <v>0</v>
      </c>
      <c r="E329" s="140">
        <v>97.5</v>
      </c>
      <c r="F329" s="140">
        <v>79.92</v>
      </c>
      <c r="G329" s="34" t="s">
        <v>100</v>
      </c>
      <c r="H329" s="34" t="s">
        <v>39</v>
      </c>
      <c r="I329" s="35">
        <v>10</v>
      </c>
      <c r="J329" s="35">
        <v>10</v>
      </c>
      <c r="K329" s="35">
        <v>320</v>
      </c>
      <c r="L329" s="60" t="str">
        <f>HYPERLINK("https://www.sds-group.ru/product/kontsevoy-zazhim-vintovoy-izolirovannyy-kzvi-16-mm-5h1-10-sht-up-rexant-07-5705/", "Инфо")</f>
        <v>Инфо</v>
      </c>
      <c r="M329" s="37">
        <v>7.4999999999999997E-2</v>
      </c>
      <c r="N329" s="38">
        <v>1.05E-4</v>
      </c>
      <c r="O329" s="141">
        <v>4601004182431</v>
      </c>
    </row>
    <row r="330" spans="1:15" s="1" customFormat="1" ht="11.45" customHeight="1" outlineLevel="4" x14ac:dyDescent="0.2">
      <c r="A330" s="32" t="s">
        <v>3868</v>
      </c>
      <c r="B330" s="74" t="s">
        <v>3869</v>
      </c>
      <c r="C330" s="50"/>
      <c r="D330" s="139">
        <f t="shared" si="4"/>
        <v>0</v>
      </c>
      <c r="E330" s="140">
        <v>29.72</v>
      </c>
      <c r="F330" s="140">
        <v>24.36</v>
      </c>
      <c r="G330" s="34" t="s">
        <v>100</v>
      </c>
      <c r="H330" s="34" t="s">
        <v>39</v>
      </c>
      <c r="I330" s="35">
        <v>10</v>
      </c>
      <c r="J330" s="35">
        <v>10</v>
      </c>
      <c r="K330" s="35">
        <v>800</v>
      </c>
      <c r="L330" s="60" t="str">
        <f>HYPERLINK("https://www.sds-group.ru/product/kontsevoy-zazhim-vintovoy-izolirovannyy-kzvi-2-5-mm-10h1-10-sht-up-rexant-07-5707/", "Инфо")</f>
        <v>Инфо</v>
      </c>
      <c r="M330" s="37">
        <v>0.02</v>
      </c>
      <c r="N330" s="38">
        <v>3.6000000000000001E-5</v>
      </c>
      <c r="O330" s="141">
        <v>4601004182455</v>
      </c>
    </row>
    <row r="331" spans="1:15" ht="11.45" customHeight="1" outlineLevel="3" x14ac:dyDescent="0.2">
      <c r="A331" s="76" t="s">
        <v>3876</v>
      </c>
      <c r="B331" s="136"/>
      <c r="C331" s="77"/>
      <c r="D331" s="137"/>
      <c r="E331" s="4"/>
      <c r="F331" s="4"/>
      <c r="G331" s="4"/>
      <c r="H331" s="4"/>
      <c r="I331" s="4"/>
      <c r="J331" s="4"/>
      <c r="K331" s="4"/>
      <c r="L331" s="138"/>
      <c r="M331" s="4"/>
      <c r="N331" s="4"/>
      <c r="O331" s="4"/>
    </row>
    <row r="332" spans="1:15" s="1" customFormat="1" ht="11.45" customHeight="1" outlineLevel="4" x14ac:dyDescent="0.2">
      <c r="A332" s="32" t="s">
        <v>3891</v>
      </c>
      <c r="B332" s="74" t="s">
        <v>3892</v>
      </c>
      <c r="C332" s="50"/>
      <c r="D332" s="139">
        <f t="shared" ref="D332:D395" si="5">C332*E332</f>
        <v>0</v>
      </c>
      <c r="E332" s="140">
        <v>29.98</v>
      </c>
      <c r="F332" s="140">
        <v>24.57</v>
      </c>
      <c r="G332" s="34" t="s">
        <v>100</v>
      </c>
      <c r="H332" s="34" t="s">
        <v>39</v>
      </c>
      <c r="I332" s="35">
        <v>50</v>
      </c>
      <c r="J332" s="35">
        <v>50</v>
      </c>
      <c r="K332" s="39">
        <v>1000</v>
      </c>
      <c r="L332" s="60" t="str">
        <f>HYPERLINK("https://www.sds-group.ru/product/klemma-pruzhinnaya-soedinitelnaya-ksp-5-polyusnaya-50-sht-up-rexant-07-6217/", "Инфо")</f>
        <v>Инфо</v>
      </c>
      <c r="M332" s="37">
        <v>1.4E-2</v>
      </c>
      <c r="N332" s="38">
        <v>4.0000000000000003E-5</v>
      </c>
      <c r="O332" s="141">
        <v>4601004182622</v>
      </c>
    </row>
    <row r="333" spans="1:15" s="1" customFormat="1" ht="11.45" customHeight="1" outlineLevel="4" x14ac:dyDescent="0.2">
      <c r="A333" s="32" t="s">
        <v>3893</v>
      </c>
      <c r="B333" s="74" t="s">
        <v>3894</v>
      </c>
      <c r="C333" s="50"/>
      <c r="D333" s="139">
        <f t="shared" si="5"/>
        <v>0</v>
      </c>
      <c r="E333" s="140">
        <v>34.81</v>
      </c>
      <c r="F333" s="140">
        <v>28.53</v>
      </c>
      <c r="G333" s="34" t="s">
        <v>100</v>
      </c>
      <c r="H333" s="34" t="s">
        <v>39</v>
      </c>
      <c r="I333" s="35">
        <v>50</v>
      </c>
      <c r="J333" s="35">
        <v>50</v>
      </c>
      <c r="K333" s="39">
        <v>1000</v>
      </c>
      <c r="L333" s="60" t="str">
        <f>HYPERLINK("https://www.sds-group.ru/product/klemma-pruzhinnaya-soedinitelnaya-ksp-5-polyusnaya-s-zazemleniem-i-s-montazhnymi-nozhkami--07-6217-2/", "Инфо")</f>
        <v>Инфо</v>
      </c>
      <c r="M333" s="37">
        <v>1.6E-2</v>
      </c>
      <c r="N333" s="38">
        <v>4.3999999999999999E-5</v>
      </c>
      <c r="O333" s="141">
        <v>4601004182646</v>
      </c>
    </row>
    <row r="334" spans="1:15" ht="11.45" customHeight="1" outlineLevel="3" x14ac:dyDescent="0.2">
      <c r="A334" s="76" t="s">
        <v>3895</v>
      </c>
      <c r="B334" s="136"/>
      <c r="C334" s="77"/>
      <c r="D334" s="137"/>
      <c r="E334" s="4"/>
      <c r="F334" s="4"/>
      <c r="G334" s="4"/>
      <c r="H334" s="4"/>
      <c r="I334" s="4"/>
      <c r="J334" s="4"/>
      <c r="K334" s="4"/>
      <c r="L334" s="138"/>
      <c r="M334" s="4"/>
      <c r="N334" s="4"/>
      <c r="O334" s="4"/>
    </row>
    <row r="335" spans="1:15" s="1" customFormat="1" ht="11.45" customHeight="1" outlineLevel="4" x14ac:dyDescent="0.2">
      <c r="A335" s="32" t="s">
        <v>3898</v>
      </c>
      <c r="B335" s="74" t="s">
        <v>3899</v>
      </c>
      <c r="C335" s="50"/>
      <c r="D335" s="139">
        <f t="shared" si="5"/>
        <v>0</v>
      </c>
      <c r="E335" s="140">
        <v>5.47</v>
      </c>
      <c r="F335" s="140">
        <v>4.4800000000000004</v>
      </c>
      <c r="G335" s="34" t="s">
        <v>100</v>
      </c>
      <c r="H335" s="34" t="s">
        <v>39</v>
      </c>
      <c r="I335" s="35">
        <v>100</v>
      </c>
      <c r="J335" s="35">
        <v>100</v>
      </c>
      <c r="K335" s="39">
        <v>2000</v>
      </c>
      <c r="L335" s="60" t="str">
        <f>HYPERLINK("https://www.sds-group.ru/product/stroitelno-montazhnaya-klemma-smk-224-112-dlya-svetilnika-na-2-provodnika-0-2-2-5-0-14-2-5-m-07-2411/", "Инфо")</f>
        <v>Инфо</v>
      </c>
      <c r="M335" s="37">
        <v>3.0000000000000001E-3</v>
      </c>
      <c r="N335" s="38">
        <v>1.0000000000000001E-5</v>
      </c>
      <c r="O335" s="141">
        <v>4601004182516</v>
      </c>
    </row>
    <row r="336" spans="1:15" s="1" customFormat="1" ht="11.45" customHeight="1" outlineLevel="4" x14ac:dyDescent="0.2">
      <c r="A336" s="32" t="s">
        <v>3900</v>
      </c>
      <c r="B336" s="74" t="s">
        <v>3901</v>
      </c>
      <c r="C336" s="50"/>
      <c r="D336" s="139">
        <f t="shared" si="5"/>
        <v>0</v>
      </c>
      <c r="E336" s="140">
        <v>149.16999999999999</v>
      </c>
      <c r="F336" s="140">
        <v>122.27</v>
      </c>
      <c r="G336" s="34" t="s">
        <v>100</v>
      </c>
      <c r="H336" s="34" t="s">
        <v>1001</v>
      </c>
      <c r="I336" s="35">
        <v>1</v>
      </c>
      <c r="J336" s="35">
        <v>1</v>
      </c>
      <c r="K336" s="35">
        <v>10</v>
      </c>
      <c r="L336" s="60" t="str">
        <f>HYPERLINK("https://www.sds-group.ru/product/stroitelno-montajnaya-klemma-smk-224-201-dlya-svetilnika-na-2-provodnika-1-0-2-5-0-5-2-5-mm-sup2-5-sht-up-rexant-28566/", "Инфо")</f>
        <v>Инфо</v>
      </c>
      <c r="M336" s="37">
        <v>3.5000000000000003E-2</v>
      </c>
      <c r="N336" s="38">
        <v>2.4800000000000001E-4</v>
      </c>
      <c r="O336" s="141">
        <v>4601004253230</v>
      </c>
    </row>
    <row r="337" spans="1:15" ht="11.45" customHeight="1" outlineLevel="3" x14ac:dyDescent="0.2">
      <c r="A337" s="76" t="s">
        <v>3921</v>
      </c>
      <c r="B337" s="136"/>
      <c r="C337" s="77"/>
      <c r="D337" s="137"/>
      <c r="E337" s="4"/>
      <c r="F337" s="4"/>
      <c r="G337" s="4"/>
      <c r="H337" s="4"/>
      <c r="I337" s="4"/>
      <c r="J337" s="4"/>
      <c r="K337" s="4"/>
      <c r="L337" s="138"/>
      <c r="M337" s="4"/>
      <c r="N337" s="4"/>
      <c r="O337" s="4"/>
    </row>
    <row r="338" spans="1:15" s="1" customFormat="1" ht="11.45" customHeight="1" outlineLevel="4" x14ac:dyDescent="0.2">
      <c r="A338" s="32" t="s">
        <v>3928</v>
      </c>
      <c r="B338" s="74" t="s">
        <v>3929</v>
      </c>
      <c r="C338" s="50"/>
      <c r="D338" s="139">
        <f t="shared" si="5"/>
        <v>0</v>
      </c>
      <c r="E338" s="140">
        <v>43.57</v>
      </c>
      <c r="F338" s="140">
        <v>35.71</v>
      </c>
      <c r="G338" s="34" t="s">
        <v>100</v>
      </c>
      <c r="H338" s="34" t="s">
        <v>1001</v>
      </c>
      <c r="I338" s="35">
        <v>1</v>
      </c>
      <c r="J338" s="35">
        <v>1</v>
      </c>
      <c r="K338" s="35">
        <v>10</v>
      </c>
      <c r="L338" s="60" t="str">
        <f>HYPERLINK("https://www.sds-group.ru/product/otvetvitel-pitaniya-1-0-2-5-mm-ov-2-zpo-1-1-0-2-5-siniy-v-upak-5-sht-rexant-06-0427-A/", "Инфо")</f>
        <v>Инфо</v>
      </c>
      <c r="M338" s="37">
        <v>1.4999999999999999E-2</v>
      </c>
      <c r="N338" s="38">
        <v>1.4200000000000001E-4</v>
      </c>
      <c r="O338" s="141">
        <v>4601004121737</v>
      </c>
    </row>
    <row r="339" spans="1:15" ht="11.45" customHeight="1" outlineLevel="2" x14ac:dyDescent="0.2">
      <c r="A339" s="76" t="s">
        <v>3945</v>
      </c>
      <c r="B339" s="136"/>
      <c r="C339" s="77"/>
      <c r="D339" s="137"/>
      <c r="E339" s="4"/>
      <c r="F339" s="4"/>
      <c r="G339" s="4"/>
      <c r="H339" s="4"/>
      <c r="I339" s="4"/>
      <c r="J339" s="4"/>
      <c r="K339" s="4"/>
      <c r="L339" s="138"/>
      <c r="M339" s="4"/>
      <c r="N339" s="4"/>
      <c r="O339" s="4"/>
    </row>
    <row r="340" spans="1:15" ht="11.45" customHeight="1" outlineLevel="3" x14ac:dyDescent="0.2">
      <c r="A340" s="76" t="s">
        <v>3946</v>
      </c>
      <c r="B340" s="136"/>
      <c r="C340" s="77"/>
      <c r="D340" s="137"/>
      <c r="E340" s="4"/>
      <c r="F340" s="4"/>
      <c r="G340" s="4"/>
      <c r="H340" s="4"/>
      <c r="I340" s="4"/>
      <c r="J340" s="4"/>
      <c r="K340" s="4"/>
      <c r="L340" s="138"/>
      <c r="M340" s="4"/>
      <c r="N340" s="4"/>
      <c r="O340" s="4"/>
    </row>
    <row r="341" spans="1:15" s="1" customFormat="1" ht="11.45" customHeight="1" outlineLevel="4" x14ac:dyDescent="0.2">
      <c r="A341" s="32" t="s">
        <v>3955</v>
      </c>
      <c r="B341" s="74" t="s">
        <v>3956</v>
      </c>
      <c r="C341" s="50"/>
      <c r="D341" s="139">
        <f t="shared" si="5"/>
        <v>0</v>
      </c>
      <c r="E341" s="140">
        <v>19.149999999999999</v>
      </c>
      <c r="F341" s="140">
        <v>15.7</v>
      </c>
      <c r="G341" s="34" t="s">
        <v>100</v>
      </c>
      <c r="H341" s="34" t="s">
        <v>39</v>
      </c>
      <c r="I341" s="35">
        <v>50</v>
      </c>
      <c r="J341" s="35">
        <v>50</v>
      </c>
      <c r="K341" s="39">
        <v>6000</v>
      </c>
      <c r="L341" s="60" t="str">
        <f>HYPERLINK("https://www.sds-group.ru/product/2273-208-ekspress-klemma-8-provodnaya-do-2-5-mm-50-sht-up-wago-07-5135/", "Инфо")</f>
        <v>Инфо</v>
      </c>
      <c r="M341" s="37">
        <v>3.0000000000000001E-3</v>
      </c>
      <c r="N341" s="38">
        <v>7.9999999999999996E-6</v>
      </c>
      <c r="O341" s="141">
        <v>4050821027881</v>
      </c>
    </row>
    <row r="342" spans="1:15" ht="11.45" customHeight="1" outlineLevel="3" x14ac:dyDescent="0.2">
      <c r="A342" s="76" t="s">
        <v>3957</v>
      </c>
      <c r="B342" s="136"/>
      <c r="C342" s="77"/>
      <c r="D342" s="137"/>
      <c r="E342" s="4"/>
      <c r="F342" s="4"/>
      <c r="G342" s="4"/>
      <c r="H342" s="4"/>
      <c r="I342" s="4"/>
      <c r="J342" s="4"/>
      <c r="K342" s="4"/>
      <c r="L342" s="138"/>
      <c r="M342" s="4"/>
      <c r="N342" s="4"/>
      <c r="O342" s="4"/>
    </row>
    <row r="343" spans="1:15" s="1" customFormat="1" ht="11.45" customHeight="1" outlineLevel="4" x14ac:dyDescent="0.2">
      <c r="A343" s="32" t="s">
        <v>3974</v>
      </c>
      <c r="B343" s="74" t="s">
        <v>3975</v>
      </c>
      <c r="C343" s="50"/>
      <c r="D343" s="139">
        <f t="shared" si="5"/>
        <v>0</v>
      </c>
      <c r="E343" s="140">
        <v>179.63</v>
      </c>
      <c r="F343" s="140">
        <v>147.24</v>
      </c>
      <c r="G343" s="34" t="s">
        <v>100</v>
      </c>
      <c r="H343" s="34" t="s">
        <v>1001</v>
      </c>
      <c r="I343" s="35">
        <v>10</v>
      </c>
      <c r="J343" s="35">
        <v>10</v>
      </c>
      <c r="K343" s="35">
        <v>60</v>
      </c>
      <c r="L343" s="60" t="str">
        <f>HYPERLINK("https://www.sds-group.ru/product/2273-248-ekcpress-klemma-s-pastoy-8-provodnaya-do-2-5-mm-6-sht-up-wago-07-5145-06/", "Инфо")</f>
        <v>Инфо</v>
      </c>
      <c r="M343" s="37">
        <v>0.03</v>
      </c>
      <c r="N343" s="38">
        <v>3.2200000000000002E-4</v>
      </c>
      <c r="O343" s="141">
        <v>4601004085411</v>
      </c>
    </row>
    <row r="344" spans="1:15" ht="11.45" customHeight="1" outlineLevel="1" x14ac:dyDescent="0.2">
      <c r="A344" s="78" t="s">
        <v>4003</v>
      </c>
      <c r="B344" s="132"/>
      <c r="C344" s="79"/>
      <c r="D344" s="133"/>
      <c r="E344" s="134"/>
      <c r="F344" s="134"/>
      <c r="G344" s="134"/>
      <c r="H344" s="134"/>
      <c r="I344" s="134"/>
      <c r="J344" s="134"/>
      <c r="K344" s="134"/>
      <c r="L344" s="135"/>
      <c r="M344" s="134"/>
      <c r="N344" s="134"/>
      <c r="O344" s="134"/>
    </row>
    <row r="345" spans="1:15" ht="11.45" customHeight="1" outlineLevel="2" x14ac:dyDescent="0.2">
      <c r="A345" s="76" t="s">
        <v>4004</v>
      </c>
      <c r="B345" s="136"/>
      <c r="C345" s="77"/>
      <c r="D345" s="137"/>
      <c r="E345" s="4"/>
      <c r="F345" s="4"/>
      <c r="G345" s="4"/>
      <c r="H345" s="4"/>
      <c r="I345" s="4"/>
      <c r="J345" s="4"/>
      <c r="K345" s="4"/>
      <c r="L345" s="138"/>
      <c r="M345" s="4"/>
      <c r="N345" s="4"/>
      <c r="O345" s="4"/>
    </row>
    <row r="346" spans="1:15" ht="11.45" customHeight="1" outlineLevel="3" x14ac:dyDescent="0.2">
      <c r="A346" s="76" t="s">
        <v>4032</v>
      </c>
      <c r="B346" s="136"/>
      <c r="C346" s="77"/>
      <c r="D346" s="137"/>
      <c r="E346" s="4"/>
      <c r="F346" s="4"/>
      <c r="G346" s="4"/>
      <c r="H346" s="4"/>
      <c r="I346" s="4"/>
      <c r="J346" s="4"/>
      <c r="K346" s="4"/>
      <c r="L346" s="138"/>
      <c r="M346" s="4"/>
      <c r="N346" s="4"/>
      <c r="O346" s="4"/>
    </row>
    <row r="347" spans="1:15" s="1" customFormat="1" ht="11.45" customHeight="1" outlineLevel="4" x14ac:dyDescent="0.2">
      <c r="A347" s="32" t="s">
        <v>4033</v>
      </c>
      <c r="B347" s="74" t="s">
        <v>4034</v>
      </c>
      <c r="C347" s="50"/>
      <c r="D347" s="139">
        <f t="shared" si="5"/>
        <v>0</v>
      </c>
      <c r="E347" s="140">
        <v>6.39</v>
      </c>
      <c r="F347" s="140">
        <v>5.24</v>
      </c>
      <c r="G347" s="34" t="s">
        <v>100</v>
      </c>
      <c r="H347" s="34" t="s">
        <v>39</v>
      </c>
      <c r="I347" s="35">
        <v>50</v>
      </c>
      <c r="J347" s="35">
        <v>50</v>
      </c>
      <c r="K347" s="35">
        <v>800</v>
      </c>
      <c r="L347" s="60" t="str">
        <f>HYPERLINK("https://www.sds-group.ru/product/trubka-termousazhivaemaya-tut-hf-2-1-10-5-belaya-proconnect-55-1001/", "Инфо")</f>
        <v>Инфо</v>
      </c>
      <c r="M347" s="37">
        <v>1.2E-2</v>
      </c>
      <c r="N347" s="38">
        <v>1E-4</v>
      </c>
      <c r="O347" s="141">
        <v>4601004298682</v>
      </c>
    </row>
    <row r="348" spans="1:15" s="1" customFormat="1" ht="11.45" customHeight="1" outlineLevel="4" x14ac:dyDescent="0.2">
      <c r="A348" s="32" t="s">
        <v>4035</v>
      </c>
      <c r="B348" s="74" t="s">
        <v>4036</v>
      </c>
      <c r="C348" s="50"/>
      <c r="D348" s="139">
        <f t="shared" si="5"/>
        <v>0</v>
      </c>
      <c r="E348" s="140">
        <v>6.31</v>
      </c>
      <c r="F348" s="140">
        <v>5.17</v>
      </c>
      <c r="G348" s="34" t="s">
        <v>100</v>
      </c>
      <c r="H348" s="34" t="s">
        <v>39</v>
      </c>
      <c r="I348" s="35">
        <v>50</v>
      </c>
      <c r="J348" s="35">
        <v>50</v>
      </c>
      <c r="K348" s="35">
        <v>800</v>
      </c>
      <c r="L348" s="60" t="str">
        <f>HYPERLINK("https://www.sds-group.ru/product/trubka-termousazhivaemaya-tut-hf-2-1-10-5-zheltaya-proconnect-55-1002/", "Инфо")</f>
        <v>Инфо</v>
      </c>
      <c r="M348" s="37">
        <v>1.2E-2</v>
      </c>
      <c r="N348" s="38">
        <v>1E-4</v>
      </c>
      <c r="O348" s="141">
        <v>4601004298699</v>
      </c>
    </row>
    <row r="349" spans="1:15" s="1" customFormat="1" ht="11.45" customHeight="1" outlineLevel="4" x14ac:dyDescent="0.2">
      <c r="A349" s="32" t="s">
        <v>4037</v>
      </c>
      <c r="B349" s="74" t="s">
        <v>4038</v>
      </c>
      <c r="C349" s="50"/>
      <c r="D349" s="139">
        <f t="shared" si="5"/>
        <v>0</v>
      </c>
      <c r="E349" s="140">
        <v>7.76</v>
      </c>
      <c r="F349" s="140">
        <v>6.36</v>
      </c>
      <c r="G349" s="34" t="s">
        <v>100</v>
      </c>
      <c r="H349" s="34" t="s">
        <v>39</v>
      </c>
      <c r="I349" s="35">
        <v>50</v>
      </c>
      <c r="J349" s="35">
        <v>50</v>
      </c>
      <c r="K349" s="35">
        <v>800</v>
      </c>
      <c r="L349" s="60" t="str">
        <f>HYPERLINK("https://www.sds-group.ru/product/trubka-termousazhivaemaya-tut-hf-2-1-10-5-zelenaya-proconnect-55-1003/", "Инфо")</f>
        <v>Инфо</v>
      </c>
      <c r="M349" s="37">
        <v>1.2E-2</v>
      </c>
      <c r="N349" s="38">
        <v>1E-4</v>
      </c>
      <c r="O349" s="141">
        <v>4601004298767</v>
      </c>
    </row>
    <row r="350" spans="1:15" s="1" customFormat="1" ht="11.45" customHeight="1" outlineLevel="4" x14ac:dyDescent="0.2">
      <c r="A350" s="32" t="s">
        <v>4039</v>
      </c>
      <c r="B350" s="74" t="s">
        <v>4040</v>
      </c>
      <c r="C350" s="50"/>
      <c r="D350" s="139">
        <f t="shared" si="5"/>
        <v>0</v>
      </c>
      <c r="E350" s="140">
        <v>4.79</v>
      </c>
      <c r="F350" s="140">
        <v>3.93</v>
      </c>
      <c r="G350" s="34" t="s">
        <v>100</v>
      </c>
      <c r="H350" s="34" t="s">
        <v>39</v>
      </c>
      <c r="I350" s="35">
        <v>50</v>
      </c>
      <c r="J350" s="35">
        <v>50</v>
      </c>
      <c r="K350" s="35">
        <v>800</v>
      </c>
      <c r="L350" s="60" t="str">
        <f>HYPERLINK("https://www.sds-group.ru/product/trubka-termousazhivaemaya-tut-hf-2-1-10-5-krasnaya-proconnect-55-1004/", "Инфо")</f>
        <v>Инфо</v>
      </c>
      <c r="M350" s="37">
        <v>1.2E-2</v>
      </c>
      <c r="N350" s="38">
        <v>1E-4</v>
      </c>
      <c r="O350" s="141">
        <v>4601004298729</v>
      </c>
    </row>
    <row r="351" spans="1:15" s="1" customFormat="1" ht="11.45" customHeight="1" outlineLevel="4" x14ac:dyDescent="0.2">
      <c r="A351" s="32" t="s">
        <v>4041</v>
      </c>
      <c r="B351" s="74" t="s">
        <v>4042</v>
      </c>
      <c r="C351" s="50"/>
      <c r="D351" s="139">
        <f t="shared" si="5"/>
        <v>0</v>
      </c>
      <c r="E351" s="140">
        <v>4.79</v>
      </c>
      <c r="F351" s="140">
        <v>3.93</v>
      </c>
      <c r="G351" s="34" t="s">
        <v>100</v>
      </c>
      <c r="H351" s="34" t="s">
        <v>39</v>
      </c>
      <c r="I351" s="35">
        <v>50</v>
      </c>
      <c r="J351" s="35">
        <v>50</v>
      </c>
      <c r="K351" s="35">
        <v>800</v>
      </c>
      <c r="L351" s="60" t="str">
        <f>HYPERLINK("https://www.sds-group.ru/product/trubka-termousazhivaemaya-tut-hf-2-1-10-5-sinyaya-proconnect-55-1005/", "Инфо")</f>
        <v>Инфо</v>
      </c>
      <c r="M351" s="37">
        <v>1.2E-2</v>
      </c>
      <c r="N351" s="38">
        <v>1E-4</v>
      </c>
      <c r="O351" s="141">
        <v>4601004298705</v>
      </c>
    </row>
    <row r="352" spans="1:15" s="1" customFormat="1" ht="11.45" customHeight="1" outlineLevel="4" x14ac:dyDescent="0.2">
      <c r="A352" s="32" t="s">
        <v>4043</v>
      </c>
      <c r="B352" s="74" t="s">
        <v>4044</v>
      </c>
      <c r="C352" s="50"/>
      <c r="D352" s="139">
        <f t="shared" si="5"/>
        <v>0</v>
      </c>
      <c r="E352" s="140">
        <v>6.05</v>
      </c>
      <c r="F352" s="140">
        <v>4.96</v>
      </c>
      <c r="G352" s="34" t="s">
        <v>100</v>
      </c>
      <c r="H352" s="34" t="s">
        <v>39</v>
      </c>
      <c r="I352" s="35">
        <v>50</v>
      </c>
      <c r="J352" s="35">
        <v>50</v>
      </c>
      <c r="K352" s="35">
        <v>800</v>
      </c>
      <c r="L352" s="60" t="str">
        <f>HYPERLINK("https://www.sds-group.ru/product/trubka-termousazhivaemaya-tut-hf-2-1-10-5-chernaya-proconnect-55-1006/", "Инфо")</f>
        <v>Инфо</v>
      </c>
      <c r="M352" s="37">
        <v>1.2E-2</v>
      </c>
      <c r="N352" s="38">
        <v>1E-4</v>
      </c>
      <c r="O352" s="141">
        <v>4601004298613</v>
      </c>
    </row>
    <row r="353" spans="1:15" s="1" customFormat="1" ht="11.45" customHeight="1" outlineLevel="4" x14ac:dyDescent="0.2">
      <c r="A353" s="32" t="s">
        <v>4045</v>
      </c>
      <c r="B353" s="74" t="s">
        <v>4046</v>
      </c>
      <c r="C353" s="50"/>
      <c r="D353" s="139">
        <f t="shared" si="5"/>
        <v>0</v>
      </c>
      <c r="E353" s="140">
        <v>6.9</v>
      </c>
      <c r="F353" s="140">
        <v>5.66</v>
      </c>
      <c r="G353" s="34" t="s">
        <v>100</v>
      </c>
      <c r="H353" s="34" t="s">
        <v>39</v>
      </c>
      <c r="I353" s="35">
        <v>50</v>
      </c>
      <c r="J353" s="35">
        <v>50</v>
      </c>
      <c r="K353" s="35">
        <v>800</v>
      </c>
      <c r="L353" s="60" t="str">
        <f>HYPERLINK("https://www.sds-group.ru/product/trubka-termousazhivaemaya-tut-hf-2-1-12-6-belaya-proconnect-55-1201/", "Инфо")</f>
        <v>Инфо</v>
      </c>
      <c r="M353" s="37">
        <v>1.2E-2</v>
      </c>
      <c r="N353" s="38">
        <v>1.6799999999999999E-4</v>
      </c>
      <c r="O353" s="141">
        <v>4601004298859</v>
      </c>
    </row>
    <row r="354" spans="1:15" s="1" customFormat="1" ht="11.45" customHeight="1" outlineLevel="4" x14ac:dyDescent="0.2">
      <c r="A354" s="32" t="s">
        <v>4047</v>
      </c>
      <c r="B354" s="74" t="s">
        <v>4048</v>
      </c>
      <c r="C354" s="50"/>
      <c r="D354" s="139">
        <f t="shared" si="5"/>
        <v>0</v>
      </c>
      <c r="E354" s="140">
        <v>6.27</v>
      </c>
      <c r="F354" s="140">
        <v>5.14</v>
      </c>
      <c r="G354" s="34" t="s">
        <v>100</v>
      </c>
      <c r="H354" s="34" t="s">
        <v>39</v>
      </c>
      <c r="I354" s="35">
        <v>50</v>
      </c>
      <c r="J354" s="35">
        <v>50</v>
      </c>
      <c r="K354" s="35">
        <v>800</v>
      </c>
      <c r="L354" s="60" t="str">
        <f>HYPERLINK("https://www.sds-group.ru/product/trubka-termousazhivaemaya-tut-hf-2-1-12-6-zheltaya-proconnect-55-1202/", "Инфо")</f>
        <v>Инфо</v>
      </c>
      <c r="M354" s="37">
        <v>1.2E-2</v>
      </c>
      <c r="N354" s="38">
        <v>1.6799999999999999E-4</v>
      </c>
      <c r="O354" s="141">
        <v>4601004298750</v>
      </c>
    </row>
    <row r="355" spans="1:15" s="1" customFormat="1" ht="11.45" customHeight="1" outlineLevel="4" x14ac:dyDescent="0.2">
      <c r="A355" s="32" t="s">
        <v>4049</v>
      </c>
      <c r="B355" s="74" t="s">
        <v>4050</v>
      </c>
      <c r="C355" s="50"/>
      <c r="D355" s="139">
        <f t="shared" si="5"/>
        <v>0</v>
      </c>
      <c r="E355" s="140">
        <v>9.48</v>
      </c>
      <c r="F355" s="140">
        <v>7.77</v>
      </c>
      <c r="G355" s="34" t="s">
        <v>100</v>
      </c>
      <c r="H355" s="34" t="s">
        <v>39</v>
      </c>
      <c r="I355" s="35">
        <v>50</v>
      </c>
      <c r="J355" s="35">
        <v>50</v>
      </c>
      <c r="K355" s="35">
        <v>800</v>
      </c>
      <c r="L355" s="60" t="str">
        <f>HYPERLINK("https://www.sds-group.ru/product/trubka-termousazhivaemaya-tut-hf-2-1-12-6-zelenaya-proconnect-55-1203/", "Инфо")</f>
        <v>Инфо</v>
      </c>
      <c r="M355" s="37">
        <v>1.2E-2</v>
      </c>
      <c r="N355" s="38">
        <v>1.6799999999999999E-4</v>
      </c>
      <c r="O355" s="141">
        <v>4601004298668</v>
      </c>
    </row>
    <row r="356" spans="1:15" s="1" customFormat="1" ht="11.45" customHeight="1" outlineLevel="4" x14ac:dyDescent="0.2">
      <c r="A356" s="32" t="s">
        <v>4051</v>
      </c>
      <c r="B356" s="74" t="s">
        <v>4052</v>
      </c>
      <c r="C356" s="50"/>
      <c r="D356" s="139">
        <f t="shared" si="5"/>
        <v>0</v>
      </c>
      <c r="E356" s="140">
        <v>6.49</v>
      </c>
      <c r="F356" s="140">
        <v>5.32</v>
      </c>
      <c r="G356" s="34" t="s">
        <v>100</v>
      </c>
      <c r="H356" s="34" t="s">
        <v>39</v>
      </c>
      <c r="I356" s="35">
        <v>50</v>
      </c>
      <c r="J356" s="35">
        <v>50</v>
      </c>
      <c r="K356" s="35">
        <v>800</v>
      </c>
      <c r="L356" s="60" t="str">
        <f>HYPERLINK("https://www.sds-group.ru/product/trubka-termousazhivaemaya-tut-hf-2-1-12-6-krasnaya-proconnect-55-1204/", "Инфо")</f>
        <v>Инфо</v>
      </c>
      <c r="M356" s="37">
        <v>1.2E-2</v>
      </c>
      <c r="N356" s="38">
        <v>1.6799999999999999E-4</v>
      </c>
      <c r="O356" s="141">
        <v>4601004298781</v>
      </c>
    </row>
    <row r="357" spans="1:15" s="1" customFormat="1" ht="11.45" customHeight="1" outlineLevel="4" x14ac:dyDescent="0.2">
      <c r="A357" s="32" t="s">
        <v>4053</v>
      </c>
      <c r="B357" s="74" t="s">
        <v>4054</v>
      </c>
      <c r="C357" s="50"/>
      <c r="D357" s="139">
        <f t="shared" si="5"/>
        <v>0</v>
      </c>
      <c r="E357" s="140">
        <v>6.49</v>
      </c>
      <c r="F357" s="140">
        <v>5.32</v>
      </c>
      <c r="G357" s="34" t="s">
        <v>100</v>
      </c>
      <c r="H357" s="34" t="s">
        <v>39</v>
      </c>
      <c r="I357" s="35">
        <v>50</v>
      </c>
      <c r="J357" s="35">
        <v>50</v>
      </c>
      <c r="K357" s="35">
        <v>800</v>
      </c>
      <c r="L357" s="60" t="str">
        <f>HYPERLINK("https://www.sds-group.ru/product/trubka-termousazhivaemaya-tut-hf-2-1-12-6-sinyaya-proconnect-55-1205/", "Инфо")</f>
        <v>Инфо</v>
      </c>
      <c r="M357" s="37">
        <v>1.2E-2</v>
      </c>
      <c r="N357" s="38">
        <v>1.6799999999999999E-4</v>
      </c>
      <c r="O357" s="141">
        <v>4601004298866</v>
      </c>
    </row>
    <row r="358" spans="1:15" s="1" customFormat="1" ht="11.45" customHeight="1" outlineLevel="4" x14ac:dyDescent="0.2">
      <c r="A358" s="32" t="s">
        <v>4055</v>
      </c>
      <c r="B358" s="74" t="s">
        <v>4056</v>
      </c>
      <c r="C358" s="50"/>
      <c r="D358" s="139">
        <f t="shared" si="5"/>
        <v>0</v>
      </c>
      <c r="E358" s="140">
        <v>8.65</v>
      </c>
      <c r="F358" s="140">
        <v>7.09</v>
      </c>
      <c r="G358" s="34" t="s">
        <v>100</v>
      </c>
      <c r="H358" s="34" t="s">
        <v>39</v>
      </c>
      <c r="I358" s="35">
        <v>50</v>
      </c>
      <c r="J358" s="35">
        <v>50</v>
      </c>
      <c r="K358" s="35">
        <v>800</v>
      </c>
      <c r="L358" s="60" t="str">
        <f>HYPERLINK("https://www.sds-group.ru/product/trubka-termousazhivaemaya-tut-hf-2-1-12-6-chernaya-proconnect-55-1206/", "Инфо")</f>
        <v>Инфо</v>
      </c>
      <c r="M358" s="37">
        <v>1.2E-2</v>
      </c>
      <c r="N358" s="38">
        <v>1.6799999999999999E-4</v>
      </c>
      <c r="O358" s="141">
        <v>4601004298743</v>
      </c>
    </row>
    <row r="359" spans="1:15" s="1" customFormat="1" ht="11.45" customHeight="1" outlineLevel="4" x14ac:dyDescent="0.2">
      <c r="A359" s="32" t="s">
        <v>4057</v>
      </c>
      <c r="B359" s="74" t="s">
        <v>4058</v>
      </c>
      <c r="C359" s="50"/>
      <c r="D359" s="139">
        <f t="shared" si="5"/>
        <v>0</v>
      </c>
      <c r="E359" s="140">
        <v>12.71</v>
      </c>
      <c r="F359" s="140">
        <v>10.42</v>
      </c>
      <c r="G359" s="34" t="s">
        <v>100</v>
      </c>
      <c r="H359" s="34" t="s">
        <v>39</v>
      </c>
      <c r="I359" s="35">
        <v>50</v>
      </c>
      <c r="J359" s="35">
        <v>50</v>
      </c>
      <c r="K359" s="35">
        <v>500</v>
      </c>
      <c r="L359" s="60" t="str">
        <f>HYPERLINK("https://www.sds-group.ru/product/trubka-termousazhivaemaya-tut-hf-2-1-15-7-5-belaya-proconnect-55-1501/", "Инфо")</f>
        <v>Инфо</v>
      </c>
      <c r="M359" s="37">
        <v>2.5000000000000001E-2</v>
      </c>
      <c r="N359" s="38">
        <v>1.35E-4</v>
      </c>
      <c r="O359" s="141">
        <v>4601004299092</v>
      </c>
    </row>
    <row r="360" spans="1:15" s="1" customFormat="1" ht="11.45" customHeight="1" outlineLevel="4" x14ac:dyDescent="0.2">
      <c r="A360" s="32" t="s">
        <v>4059</v>
      </c>
      <c r="B360" s="74" t="s">
        <v>4060</v>
      </c>
      <c r="C360" s="50"/>
      <c r="D360" s="139">
        <f t="shared" si="5"/>
        <v>0</v>
      </c>
      <c r="E360" s="140">
        <v>12.05</v>
      </c>
      <c r="F360" s="140">
        <v>9.8800000000000008</v>
      </c>
      <c r="G360" s="34" t="s">
        <v>100</v>
      </c>
      <c r="H360" s="34" t="s">
        <v>39</v>
      </c>
      <c r="I360" s="35">
        <v>50</v>
      </c>
      <c r="J360" s="35">
        <v>50</v>
      </c>
      <c r="K360" s="35">
        <v>500</v>
      </c>
      <c r="L360" s="60" t="str">
        <f>HYPERLINK("https://www.sds-group.ru/product/trubka-termousazhivaemaya-tut-hf-2-1-15-7-5-zheltaya-proconnect-55-1502/", "Инфо")</f>
        <v>Инфо</v>
      </c>
      <c r="M360" s="37">
        <v>2.5000000000000001E-2</v>
      </c>
      <c r="N360" s="38">
        <v>1.35E-4</v>
      </c>
      <c r="O360" s="141">
        <v>4601004299108</v>
      </c>
    </row>
    <row r="361" spans="1:15" s="1" customFormat="1" ht="11.45" customHeight="1" outlineLevel="4" x14ac:dyDescent="0.2">
      <c r="A361" s="32" t="s">
        <v>4061</v>
      </c>
      <c r="B361" s="74" t="s">
        <v>4062</v>
      </c>
      <c r="C361" s="50"/>
      <c r="D361" s="139">
        <f t="shared" si="5"/>
        <v>0</v>
      </c>
      <c r="E361" s="140">
        <v>17.350000000000001</v>
      </c>
      <c r="F361" s="140">
        <v>14.22</v>
      </c>
      <c r="G361" s="34" t="s">
        <v>100</v>
      </c>
      <c r="H361" s="34" t="s">
        <v>39</v>
      </c>
      <c r="I361" s="35">
        <v>50</v>
      </c>
      <c r="J361" s="35">
        <v>50</v>
      </c>
      <c r="K361" s="35">
        <v>500</v>
      </c>
      <c r="L361" s="60" t="str">
        <f>HYPERLINK("https://www.sds-group.ru/product/trubka-termousazhivaemaya-tut-hf-2-1-15-7-5-krasnaya-proconnect-55-1504/", "Инфо")</f>
        <v>Инфо</v>
      </c>
      <c r="M361" s="37">
        <v>2.5000000000000001E-2</v>
      </c>
      <c r="N361" s="38">
        <v>1.35E-4</v>
      </c>
      <c r="O361" s="141">
        <v>4601004299078</v>
      </c>
    </row>
    <row r="362" spans="1:15" s="1" customFormat="1" ht="11.45" customHeight="1" outlineLevel="4" x14ac:dyDescent="0.2">
      <c r="A362" s="32" t="s">
        <v>4063</v>
      </c>
      <c r="B362" s="74" t="s">
        <v>4064</v>
      </c>
      <c r="C362" s="50"/>
      <c r="D362" s="139">
        <f t="shared" si="5"/>
        <v>0</v>
      </c>
      <c r="E362" s="140">
        <v>13.35</v>
      </c>
      <c r="F362" s="140">
        <v>10.94</v>
      </c>
      <c r="G362" s="34" t="s">
        <v>100</v>
      </c>
      <c r="H362" s="34" t="s">
        <v>39</v>
      </c>
      <c r="I362" s="35">
        <v>50</v>
      </c>
      <c r="J362" s="35">
        <v>50</v>
      </c>
      <c r="K362" s="35">
        <v>500</v>
      </c>
      <c r="L362" s="60" t="str">
        <f>HYPERLINK("https://www.sds-group.ru/product/trubka-termousazhivaemaya-tut-hf-2-1-15-7-5-sinyaya-proconnect-55-1505/", "Инфо")</f>
        <v>Инфо</v>
      </c>
      <c r="M362" s="37">
        <v>2.5000000000000001E-2</v>
      </c>
      <c r="N362" s="38">
        <v>1.35E-4</v>
      </c>
      <c r="O362" s="141">
        <v>4601004299245</v>
      </c>
    </row>
    <row r="363" spans="1:15" s="1" customFormat="1" ht="11.45" customHeight="1" outlineLevel="4" x14ac:dyDescent="0.2">
      <c r="A363" s="32" t="s">
        <v>4065</v>
      </c>
      <c r="B363" s="74" t="s">
        <v>4066</v>
      </c>
      <c r="C363" s="50"/>
      <c r="D363" s="139">
        <f t="shared" si="5"/>
        <v>0</v>
      </c>
      <c r="E363" s="140">
        <v>16.48</v>
      </c>
      <c r="F363" s="140">
        <v>13.51</v>
      </c>
      <c r="G363" s="34" t="s">
        <v>100</v>
      </c>
      <c r="H363" s="34" t="s">
        <v>39</v>
      </c>
      <c r="I363" s="35">
        <v>50</v>
      </c>
      <c r="J363" s="35">
        <v>50</v>
      </c>
      <c r="K363" s="35">
        <v>500</v>
      </c>
      <c r="L363" s="60" t="str">
        <f>HYPERLINK("https://www.sds-group.ru/product/trubka-termousazhivaemaya-tut-hf-2-1-15-7-5-chernaya-proconnect-55-1506/", "Инфо")</f>
        <v>Инфо</v>
      </c>
      <c r="M363" s="37">
        <v>2.5000000000000001E-2</v>
      </c>
      <c r="N363" s="38">
        <v>1.35E-4</v>
      </c>
      <c r="O363" s="141">
        <v>4601004299221</v>
      </c>
    </row>
    <row r="364" spans="1:15" s="1" customFormat="1" ht="11.45" customHeight="1" outlineLevel="4" x14ac:dyDescent="0.2">
      <c r="A364" s="32" t="s">
        <v>4067</v>
      </c>
      <c r="B364" s="74" t="s">
        <v>4068</v>
      </c>
      <c r="C364" s="50"/>
      <c r="D364" s="139">
        <f t="shared" si="5"/>
        <v>0</v>
      </c>
      <c r="E364" s="140">
        <v>14.01</v>
      </c>
      <c r="F364" s="140">
        <v>11.48</v>
      </c>
      <c r="G364" s="34" t="s">
        <v>100</v>
      </c>
      <c r="H364" s="34" t="s">
        <v>39</v>
      </c>
      <c r="I364" s="35">
        <v>50</v>
      </c>
      <c r="J364" s="35">
        <v>50</v>
      </c>
      <c r="K364" s="35">
        <v>400</v>
      </c>
      <c r="L364" s="60" t="str">
        <f>HYPERLINK("https://www.sds-group.ru/product/trubka-termousazhivaemaya-tut-hf-2-1-18-9-belaya-proconnect-55-1801/", "Инфо")</f>
        <v>Инфо</v>
      </c>
      <c r="M364" s="37">
        <v>3.1E-2</v>
      </c>
      <c r="N364" s="38">
        <v>1.4999999999999999E-4</v>
      </c>
      <c r="O364" s="141">
        <v>4601004299214</v>
      </c>
    </row>
    <row r="365" spans="1:15" s="1" customFormat="1" ht="11.45" customHeight="1" outlineLevel="4" x14ac:dyDescent="0.2">
      <c r="A365" s="32" t="s">
        <v>4069</v>
      </c>
      <c r="B365" s="74" t="s">
        <v>4070</v>
      </c>
      <c r="C365" s="50"/>
      <c r="D365" s="139">
        <f t="shared" si="5"/>
        <v>0</v>
      </c>
      <c r="E365" s="140">
        <v>22.63</v>
      </c>
      <c r="F365" s="140">
        <v>18.55</v>
      </c>
      <c r="G365" s="34" t="s">
        <v>100</v>
      </c>
      <c r="H365" s="34" t="s">
        <v>39</v>
      </c>
      <c r="I365" s="35">
        <v>50</v>
      </c>
      <c r="J365" s="35">
        <v>50</v>
      </c>
      <c r="K365" s="35">
        <v>400</v>
      </c>
      <c r="L365" s="60" t="str">
        <f>HYPERLINK("https://www.sds-group.ru/product/trubka-termousazhivaemaya-tut-hf-2-1-18-9-zheltaya-proconnect-55-1802/", "Инфо")</f>
        <v>Инфо</v>
      </c>
      <c r="M365" s="37">
        <v>3.1E-2</v>
      </c>
      <c r="N365" s="38">
        <v>1.4999999999999999E-4</v>
      </c>
      <c r="O365" s="141">
        <v>4601004299238</v>
      </c>
    </row>
    <row r="366" spans="1:15" s="1" customFormat="1" ht="11.45" customHeight="1" outlineLevel="4" x14ac:dyDescent="0.2">
      <c r="A366" s="32" t="s">
        <v>4071</v>
      </c>
      <c r="B366" s="74" t="s">
        <v>4072</v>
      </c>
      <c r="C366" s="50"/>
      <c r="D366" s="139">
        <f t="shared" si="5"/>
        <v>0</v>
      </c>
      <c r="E366" s="140">
        <v>25.23</v>
      </c>
      <c r="F366" s="140">
        <v>20.68</v>
      </c>
      <c r="G366" s="34" t="s">
        <v>100</v>
      </c>
      <c r="H366" s="34" t="s">
        <v>39</v>
      </c>
      <c r="I366" s="35">
        <v>50</v>
      </c>
      <c r="J366" s="35">
        <v>50</v>
      </c>
      <c r="K366" s="35">
        <v>400</v>
      </c>
      <c r="L366" s="60" t="str">
        <f>HYPERLINK("https://www.sds-group.ru/product/trubka-termousazhivaemaya-tut-hf-2-1-18-9-zelenaya-proconnect-55-1803/", "Инфо")</f>
        <v>Инфо</v>
      </c>
      <c r="M366" s="37">
        <v>3.1E-2</v>
      </c>
      <c r="N366" s="38">
        <v>1.4999999999999999E-4</v>
      </c>
      <c r="O366" s="141">
        <v>4601004299207</v>
      </c>
    </row>
    <row r="367" spans="1:15" s="1" customFormat="1" ht="11.45" customHeight="1" outlineLevel="4" x14ac:dyDescent="0.2">
      <c r="A367" s="32" t="s">
        <v>4073</v>
      </c>
      <c r="B367" s="74" t="s">
        <v>4074</v>
      </c>
      <c r="C367" s="50"/>
      <c r="D367" s="139">
        <f t="shared" si="5"/>
        <v>0</v>
      </c>
      <c r="E367" s="140">
        <v>23.89</v>
      </c>
      <c r="F367" s="140">
        <v>19.579999999999998</v>
      </c>
      <c r="G367" s="34" t="s">
        <v>100</v>
      </c>
      <c r="H367" s="34" t="s">
        <v>39</v>
      </c>
      <c r="I367" s="35">
        <v>50</v>
      </c>
      <c r="J367" s="35">
        <v>50</v>
      </c>
      <c r="K367" s="35">
        <v>400</v>
      </c>
      <c r="L367" s="60" t="str">
        <f>HYPERLINK("https://www.sds-group.ru/product/trubka-termousazhivaemaya-tut-hf-2-1-18-9-krasnaya-proconnect-55-1804/", "Инфо")</f>
        <v>Инфо</v>
      </c>
      <c r="M367" s="37">
        <v>3.1E-2</v>
      </c>
      <c r="N367" s="38">
        <v>1.4999999999999999E-4</v>
      </c>
      <c r="O367" s="141">
        <v>4601004299184</v>
      </c>
    </row>
    <row r="368" spans="1:15" s="1" customFormat="1" ht="11.45" customHeight="1" outlineLevel="4" x14ac:dyDescent="0.2">
      <c r="A368" s="32" t="s">
        <v>4075</v>
      </c>
      <c r="B368" s="74" t="s">
        <v>4076</v>
      </c>
      <c r="C368" s="50"/>
      <c r="D368" s="139">
        <f t="shared" si="5"/>
        <v>0</v>
      </c>
      <c r="E368" s="140">
        <v>14.01</v>
      </c>
      <c r="F368" s="140">
        <v>11.48</v>
      </c>
      <c r="G368" s="34" t="s">
        <v>100</v>
      </c>
      <c r="H368" s="34" t="s">
        <v>39</v>
      </c>
      <c r="I368" s="35">
        <v>50</v>
      </c>
      <c r="J368" s="35">
        <v>50</v>
      </c>
      <c r="K368" s="35">
        <v>400</v>
      </c>
      <c r="L368" s="60" t="str">
        <f>HYPERLINK("https://www.sds-group.ru/product/trubka-termousazhivaemaya-tut-hf-2-1-18-9-sinyaya-proconnect-55-1805/", "Инфо")</f>
        <v>Инфо</v>
      </c>
      <c r="M368" s="37">
        <v>3.1E-2</v>
      </c>
      <c r="N368" s="38">
        <v>1.4999999999999999E-4</v>
      </c>
      <c r="O368" s="141">
        <v>4601004299191</v>
      </c>
    </row>
    <row r="369" spans="1:15" s="1" customFormat="1" ht="11.45" customHeight="1" outlineLevel="4" x14ac:dyDescent="0.2">
      <c r="A369" s="32" t="s">
        <v>4077</v>
      </c>
      <c r="B369" s="74" t="s">
        <v>4078</v>
      </c>
      <c r="C369" s="50"/>
      <c r="D369" s="139">
        <f t="shared" si="5"/>
        <v>0</v>
      </c>
      <c r="E369" s="140">
        <v>21.62</v>
      </c>
      <c r="F369" s="140">
        <v>17.72</v>
      </c>
      <c r="G369" s="34" t="s">
        <v>100</v>
      </c>
      <c r="H369" s="34" t="s">
        <v>39</v>
      </c>
      <c r="I369" s="35">
        <v>50</v>
      </c>
      <c r="J369" s="35">
        <v>50</v>
      </c>
      <c r="K369" s="35">
        <v>400</v>
      </c>
      <c r="L369" s="60" t="str">
        <f>HYPERLINK("https://www.sds-group.ru/product/trubka-termousazhivaemaya-tut-hf-2-1-18-9-chernaya-proconnect-55-1806/", "Инфо")</f>
        <v>Инфо</v>
      </c>
      <c r="M369" s="37">
        <v>3.1E-2</v>
      </c>
      <c r="N369" s="38">
        <v>1.4999999999999999E-4</v>
      </c>
      <c r="O369" s="141">
        <v>4601004299177</v>
      </c>
    </row>
    <row r="370" spans="1:15" s="1" customFormat="1" ht="11.45" customHeight="1" outlineLevel="4" x14ac:dyDescent="0.2">
      <c r="A370" s="32" t="s">
        <v>4079</v>
      </c>
      <c r="B370" s="74" t="s">
        <v>4080</v>
      </c>
      <c r="C370" s="50"/>
      <c r="D370" s="139">
        <f t="shared" si="5"/>
        <v>0</v>
      </c>
      <c r="E370" s="140">
        <v>2.83</v>
      </c>
      <c r="F370" s="140">
        <v>2.3199999999999998</v>
      </c>
      <c r="G370" s="34" t="s">
        <v>100</v>
      </c>
      <c r="H370" s="34" t="s">
        <v>39</v>
      </c>
      <c r="I370" s="35">
        <v>50</v>
      </c>
      <c r="J370" s="35">
        <v>50</v>
      </c>
      <c r="K370" s="39">
        <v>4000</v>
      </c>
      <c r="L370" s="60" t="str">
        <f>HYPERLINK("https://www.sds-group.ru/product/trubka-termousazhivaemaya-tut-hf-2-1-2-1-zelenaya-proconnect-55-0203/", "Инфо")</f>
        <v>Инфо</v>
      </c>
      <c r="M370" s="37">
        <v>4.0000000000000001E-3</v>
      </c>
      <c r="N370" s="38">
        <v>1.5E-5</v>
      </c>
      <c r="O370" s="141">
        <v>4601004298545</v>
      </c>
    </row>
    <row r="371" spans="1:15" s="1" customFormat="1" ht="11.45" customHeight="1" outlineLevel="4" x14ac:dyDescent="0.2">
      <c r="A371" s="32" t="s">
        <v>4081</v>
      </c>
      <c r="B371" s="74" t="s">
        <v>4082</v>
      </c>
      <c r="C371" s="50"/>
      <c r="D371" s="139">
        <f t="shared" si="5"/>
        <v>0</v>
      </c>
      <c r="E371" s="140">
        <v>3.06</v>
      </c>
      <c r="F371" s="140">
        <v>2.5099999999999998</v>
      </c>
      <c r="G371" s="34" t="s">
        <v>100</v>
      </c>
      <c r="H371" s="34" t="s">
        <v>39</v>
      </c>
      <c r="I371" s="35">
        <v>50</v>
      </c>
      <c r="J371" s="35">
        <v>50</v>
      </c>
      <c r="K371" s="39">
        <v>4000</v>
      </c>
      <c r="L371" s="60" t="str">
        <f>HYPERLINK("https://www.sds-group.ru/product/trubka-termousazhivaemaya-tut-hf-2-1-2-1-krasnaya-proconnect-55-0204/", "Инфо")</f>
        <v>Инфо</v>
      </c>
      <c r="M371" s="37">
        <v>4.0000000000000001E-3</v>
      </c>
      <c r="N371" s="38">
        <v>1.5E-5</v>
      </c>
      <c r="O371" s="141">
        <v>4601004298477</v>
      </c>
    </row>
    <row r="372" spans="1:15" s="1" customFormat="1" ht="11.45" customHeight="1" outlineLevel="4" x14ac:dyDescent="0.2">
      <c r="A372" s="32" t="s">
        <v>4083</v>
      </c>
      <c r="B372" s="74" t="s">
        <v>4084</v>
      </c>
      <c r="C372" s="50"/>
      <c r="D372" s="139">
        <f t="shared" si="5"/>
        <v>0</v>
      </c>
      <c r="E372" s="140">
        <v>1.71</v>
      </c>
      <c r="F372" s="140">
        <v>1.4</v>
      </c>
      <c r="G372" s="34" t="s">
        <v>100</v>
      </c>
      <c r="H372" s="34" t="s">
        <v>39</v>
      </c>
      <c r="I372" s="35">
        <v>50</v>
      </c>
      <c r="J372" s="35">
        <v>50</v>
      </c>
      <c r="K372" s="39">
        <v>4000</v>
      </c>
      <c r="L372" s="60" t="str">
        <f>HYPERLINK("https://www.sds-group.ru/product/trubka-termousazhivaemaya-tut-hf-2-1-2-1-chernaya-proconnect-55-0206/", "Инфо")</f>
        <v>Инфо</v>
      </c>
      <c r="M372" s="37">
        <v>4.0000000000000001E-3</v>
      </c>
      <c r="N372" s="38">
        <v>1.5E-5</v>
      </c>
      <c r="O372" s="141">
        <v>4601004298521</v>
      </c>
    </row>
    <row r="373" spans="1:15" s="1" customFormat="1" ht="11.45" customHeight="1" outlineLevel="4" x14ac:dyDescent="0.2">
      <c r="A373" s="32" t="s">
        <v>4085</v>
      </c>
      <c r="B373" s="74" t="s">
        <v>4086</v>
      </c>
      <c r="C373" s="50"/>
      <c r="D373" s="139">
        <f t="shared" si="5"/>
        <v>0</v>
      </c>
      <c r="E373" s="140">
        <v>19.809999999999999</v>
      </c>
      <c r="F373" s="140">
        <v>16.239999999999998</v>
      </c>
      <c r="G373" s="34" t="s">
        <v>100</v>
      </c>
      <c r="H373" s="34" t="s">
        <v>39</v>
      </c>
      <c r="I373" s="35">
        <v>10</v>
      </c>
      <c r="J373" s="35">
        <v>10</v>
      </c>
      <c r="K373" s="35">
        <v>400</v>
      </c>
      <c r="L373" s="60" t="str">
        <f>HYPERLINK("https://www.sds-group.ru/product/trubka-termousazhivaemaya-tut-hf-2-1-20-10-zheltaya-proconnect-55-2002/", "Инфо")</f>
        <v>Инфо</v>
      </c>
      <c r="M373" s="37">
        <v>2.9000000000000001E-2</v>
      </c>
      <c r="N373" s="38">
        <v>4.0000000000000002E-4</v>
      </c>
      <c r="O373" s="141">
        <v>4601004299290</v>
      </c>
    </row>
    <row r="374" spans="1:15" s="1" customFormat="1" ht="11.45" customHeight="1" outlineLevel="4" x14ac:dyDescent="0.2">
      <c r="A374" s="32" t="s">
        <v>4087</v>
      </c>
      <c r="B374" s="74" t="s">
        <v>4088</v>
      </c>
      <c r="C374" s="50"/>
      <c r="D374" s="139">
        <f t="shared" si="5"/>
        <v>0</v>
      </c>
      <c r="E374" s="140">
        <v>13.68</v>
      </c>
      <c r="F374" s="140">
        <v>11.21</v>
      </c>
      <c r="G374" s="34" t="s">
        <v>100</v>
      </c>
      <c r="H374" s="34" t="s">
        <v>39</v>
      </c>
      <c r="I374" s="35">
        <v>10</v>
      </c>
      <c r="J374" s="35">
        <v>10</v>
      </c>
      <c r="K374" s="35">
        <v>400</v>
      </c>
      <c r="L374" s="60" t="str">
        <f>HYPERLINK("https://www.sds-group.ru/product/trubka-termousazhivaemaya-tut-hf-2-1-20-10-sinyaya-proconnect-55-2005/", "Инфо")</f>
        <v>Инфо</v>
      </c>
      <c r="M374" s="37">
        <v>2.9000000000000001E-2</v>
      </c>
      <c r="N374" s="38">
        <v>4.0000000000000002E-4</v>
      </c>
      <c r="O374" s="141">
        <v>4601004299498</v>
      </c>
    </row>
    <row r="375" spans="1:15" s="1" customFormat="1" ht="11.45" customHeight="1" outlineLevel="4" x14ac:dyDescent="0.2">
      <c r="A375" s="32" t="s">
        <v>4089</v>
      </c>
      <c r="B375" s="74" t="s">
        <v>4090</v>
      </c>
      <c r="C375" s="50"/>
      <c r="D375" s="139">
        <f t="shared" si="5"/>
        <v>0</v>
      </c>
      <c r="E375" s="140">
        <v>23</v>
      </c>
      <c r="F375" s="140">
        <v>18.850000000000001</v>
      </c>
      <c r="G375" s="34" t="s">
        <v>100</v>
      </c>
      <c r="H375" s="34" t="s">
        <v>39</v>
      </c>
      <c r="I375" s="35">
        <v>10</v>
      </c>
      <c r="J375" s="35">
        <v>10</v>
      </c>
      <c r="K375" s="35">
        <v>300</v>
      </c>
      <c r="L375" s="60" t="str">
        <f>HYPERLINK("https://www.sds-group.ru/product/trubka-termousazhivaemaya-tut-hf-2-1-20-10-chernaya-proconnect-55-2006/", "Инфо")</f>
        <v>Инфо</v>
      </c>
      <c r="M375" s="37">
        <v>2.9000000000000001E-2</v>
      </c>
      <c r="N375" s="38">
        <v>4.0000000000000002E-4</v>
      </c>
      <c r="O375" s="141">
        <v>4601004299283</v>
      </c>
    </row>
    <row r="376" spans="1:15" s="1" customFormat="1" ht="11.45" customHeight="1" outlineLevel="4" x14ac:dyDescent="0.2">
      <c r="A376" s="32" t="s">
        <v>4091</v>
      </c>
      <c r="B376" s="74" t="s">
        <v>4092</v>
      </c>
      <c r="C376" s="50"/>
      <c r="D376" s="139">
        <f t="shared" si="5"/>
        <v>0</v>
      </c>
      <c r="E376" s="140">
        <v>30.44</v>
      </c>
      <c r="F376" s="140">
        <v>24.95</v>
      </c>
      <c r="G376" s="34" t="s">
        <v>100</v>
      </c>
      <c r="H376" s="34" t="s">
        <v>39</v>
      </c>
      <c r="I376" s="35">
        <v>10</v>
      </c>
      <c r="J376" s="35">
        <v>10</v>
      </c>
      <c r="K376" s="35">
        <v>300</v>
      </c>
      <c r="L376" s="60" t="str">
        <f>HYPERLINK("https://www.sds-group.ru/product/trubka-termousazhivaemaya-tut-hf-2-1-25-12-5-zelenaya-proconnect-55-2503/", "Инфо")</f>
        <v>Инфо</v>
      </c>
      <c r="M376" s="37">
        <v>0.04</v>
      </c>
      <c r="N376" s="38">
        <v>5.9999999999999995E-4</v>
      </c>
      <c r="O376" s="141">
        <v>4601004299368</v>
      </c>
    </row>
    <row r="377" spans="1:15" s="1" customFormat="1" ht="11.45" customHeight="1" outlineLevel="4" x14ac:dyDescent="0.2">
      <c r="A377" s="32" t="s">
        <v>4093</v>
      </c>
      <c r="B377" s="74" t="s">
        <v>4094</v>
      </c>
      <c r="C377" s="50"/>
      <c r="D377" s="139">
        <f t="shared" si="5"/>
        <v>0</v>
      </c>
      <c r="E377" s="140">
        <v>4.0999999999999996</v>
      </c>
      <c r="F377" s="140">
        <v>3.36</v>
      </c>
      <c r="G377" s="34" t="s">
        <v>100</v>
      </c>
      <c r="H377" s="34" t="s">
        <v>39</v>
      </c>
      <c r="I377" s="35">
        <v>50</v>
      </c>
      <c r="J377" s="35">
        <v>50</v>
      </c>
      <c r="K377" s="39">
        <v>1500</v>
      </c>
      <c r="L377" s="60" t="str">
        <f>HYPERLINK("https://www.sds-group.ru/product/trubka-termousazhivaemaya-tut-hf-2-1-3-1-5-belaya-proconnect-55-0301/", "Инфо")</f>
        <v>Инфо</v>
      </c>
      <c r="M377" s="37">
        <v>6.0000000000000001E-3</v>
      </c>
      <c r="N377" s="38">
        <v>2.9E-5</v>
      </c>
      <c r="O377" s="141">
        <v>4601004299054</v>
      </c>
    </row>
    <row r="378" spans="1:15" s="1" customFormat="1" ht="11.45" customHeight="1" outlineLevel="4" x14ac:dyDescent="0.2">
      <c r="A378" s="32" t="s">
        <v>4095</v>
      </c>
      <c r="B378" s="74" t="s">
        <v>4096</v>
      </c>
      <c r="C378" s="50"/>
      <c r="D378" s="139">
        <f t="shared" si="5"/>
        <v>0</v>
      </c>
      <c r="E378" s="140">
        <v>30.5</v>
      </c>
      <c r="F378" s="140">
        <v>25</v>
      </c>
      <c r="G378" s="34" t="s">
        <v>100</v>
      </c>
      <c r="H378" s="34" t="s">
        <v>39</v>
      </c>
      <c r="I378" s="35">
        <v>10</v>
      </c>
      <c r="J378" s="35">
        <v>10</v>
      </c>
      <c r="K378" s="35">
        <v>250</v>
      </c>
      <c r="L378" s="60" t="str">
        <f>HYPERLINK("https://www.sds-group.ru/product/trubka-termousazhivaemaya-tut-hf-2-1-30-15-belaya-proconnect-55-3001/", "Инфо")</f>
        <v>Инфо</v>
      </c>
      <c r="M378" s="37">
        <v>5.8000000000000003E-2</v>
      </c>
      <c r="N378" s="38">
        <v>5.9999999999999995E-4</v>
      </c>
      <c r="O378" s="141">
        <v>4601004299429</v>
      </c>
    </row>
    <row r="379" spans="1:15" s="1" customFormat="1" ht="11.45" customHeight="1" outlineLevel="4" x14ac:dyDescent="0.2">
      <c r="A379" s="32" t="s">
        <v>4097</v>
      </c>
      <c r="B379" s="74" t="s">
        <v>4098</v>
      </c>
      <c r="C379" s="50"/>
      <c r="D379" s="139">
        <f t="shared" si="5"/>
        <v>0</v>
      </c>
      <c r="E379" s="140">
        <v>35.93</v>
      </c>
      <c r="F379" s="140">
        <v>29.45</v>
      </c>
      <c r="G379" s="34" t="s">
        <v>100</v>
      </c>
      <c r="H379" s="34" t="s">
        <v>39</v>
      </c>
      <c r="I379" s="35">
        <v>10</v>
      </c>
      <c r="J379" s="35">
        <v>10</v>
      </c>
      <c r="K379" s="35">
        <v>250</v>
      </c>
      <c r="L379" s="60" t="str">
        <f>HYPERLINK("https://www.sds-group.ru/product/trubka-termousazhivaemaya-tut-hf-2-1-30-15-krasnaya-proconnect-55-3004/", "Инфо")</f>
        <v>Инфо</v>
      </c>
      <c r="M379" s="37">
        <v>5.8000000000000003E-2</v>
      </c>
      <c r="N379" s="38">
        <v>5.9999999999999995E-4</v>
      </c>
      <c r="O379" s="141">
        <v>4601004299412</v>
      </c>
    </row>
    <row r="380" spans="1:15" s="1" customFormat="1" ht="11.45" customHeight="1" outlineLevel="4" x14ac:dyDescent="0.2">
      <c r="A380" s="32" t="s">
        <v>4099</v>
      </c>
      <c r="B380" s="74" t="s">
        <v>4100</v>
      </c>
      <c r="C380" s="50"/>
      <c r="D380" s="139">
        <f t="shared" si="5"/>
        <v>0</v>
      </c>
      <c r="E380" s="140">
        <v>4.5</v>
      </c>
      <c r="F380" s="140">
        <v>3.69</v>
      </c>
      <c r="G380" s="34" t="s">
        <v>100</v>
      </c>
      <c r="H380" s="34" t="s">
        <v>39</v>
      </c>
      <c r="I380" s="35">
        <v>50</v>
      </c>
      <c r="J380" s="35">
        <v>50</v>
      </c>
      <c r="K380" s="39">
        <v>2000</v>
      </c>
      <c r="L380" s="60" t="str">
        <f>HYPERLINK("https://www.sds-group.ru/product/trubka-termousazhivaemaya-tut-hf-2-1-4-2-zelenaya-proconnect-55-0403/", "Инфо")</f>
        <v>Инфо</v>
      </c>
      <c r="M380" s="37">
        <v>7.0000000000000001E-3</v>
      </c>
      <c r="N380" s="38">
        <v>3.6000000000000001E-5</v>
      </c>
      <c r="O380" s="141">
        <v>4601004298514</v>
      </c>
    </row>
    <row r="381" spans="1:15" s="1" customFormat="1" ht="11.45" customHeight="1" outlineLevel="4" x14ac:dyDescent="0.2">
      <c r="A381" s="32" t="s">
        <v>4101</v>
      </c>
      <c r="B381" s="74" t="s">
        <v>4102</v>
      </c>
      <c r="C381" s="50"/>
      <c r="D381" s="139">
        <f t="shared" si="5"/>
        <v>0</v>
      </c>
      <c r="E381" s="140">
        <v>3.8</v>
      </c>
      <c r="F381" s="140">
        <v>3.11</v>
      </c>
      <c r="G381" s="34" t="s">
        <v>100</v>
      </c>
      <c r="H381" s="34" t="s">
        <v>39</v>
      </c>
      <c r="I381" s="35">
        <v>50</v>
      </c>
      <c r="J381" s="35">
        <v>50</v>
      </c>
      <c r="K381" s="39">
        <v>2000</v>
      </c>
      <c r="L381" s="60" t="str">
        <f>HYPERLINK("https://www.sds-group.ru/product/trubka-termousazhivaemaya-tut-hf-2-1-4-2-chernaya-proconnect-55-0406/", "Инфо")</f>
        <v>Инфо</v>
      </c>
      <c r="M381" s="37">
        <v>6.0000000000000001E-3</v>
      </c>
      <c r="N381" s="38">
        <v>4.5000000000000003E-5</v>
      </c>
      <c r="O381" s="141">
        <v>4601004298620</v>
      </c>
    </row>
    <row r="382" spans="1:15" s="1" customFormat="1" ht="11.45" customHeight="1" outlineLevel="4" x14ac:dyDescent="0.2">
      <c r="A382" s="32" t="s">
        <v>4103</v>
      </c>
      <c r="B382" s="74" t="s">
        <v>4104</v>
      </c>
      <c r="C382" s="50"/>
      <c r="D382" s="139">
        <f t="shared" si="5"/>
        <v>0</v>
      </c>
      <c r="E382" s="140">
        <v>65.41</v>
      </c>
      <c r="F382" s="140">
        <v>53.61</v>
      </c>
      <c r="G382" s="34" t="s">
        <v>100</v>
      </c>
      <c r="H382" s="34" t="s">
        <v>39</v>
      </c>
      <c r="I382" s="35">
        <v>10</v>
      </c>
      <c r="J382" s="35">
        <v>10</v>
      </c>
      <c r="K382" s="35">
        <v>200</v>
      </c>
      <c r="L382" s="60" t="str">
        <f>HYPERLINK("https://www.sds-group.ru/product/trubka-termousazhivaemaya-tut-hf-2-1-40-20-belaya-proconnect-55-4001/", "Инфо")</f>
        <v>Инфо</v>
      </c>
      <c r="M382" s="37">
        <v>6.8000000000000005E-2</v>
      </c>
      <c r="N382" s="38">
        <v>3.6000000000000002E-4</v>
      </c>
      <c r="O382" s="141">
        <v>4601004299450</v>
      </c>
    </row>
    <row r="383" spans="1:15" s="1" customFormat="1" ht="11.45" customHeight="1" outlineLevel="4" x14ac:dyDescent="0.2">
      <c r="A383" s="32" t="s">
        <v>4105</v>
      </c>
      <c r="B383" s="74" t="s">
        <v>4106</v>
      </c>
      <c r="C383" s="50"/>
      <c r="D383" s="139">
        <f t="shared" si="5"/>
        <v>0</v>
      </c>
      <c r="E383" s="140">
        <v>59.36</v>
      </c>
      <c r="F383" s="140">
        <v>48.66</v>
      </c>
      <c r="G383" s="34" t="s">
        <v>100</v>
      </c>
      <c r="H383" s="34" t="s">
        <v>39</v>
      </c>
      <c r="I383" s="35">
        <v>10</v>
      </c>
      <c r="J383" s="35">
        <v>10</v>
      </c>
      <c r="K383" s="35">
        <v>200</v>
      </c>
      <c r="L383" s="60" t="str">
        <f>HYPERLINK("https://www.sds-group.ru/product/trubka-termousazhivaemaya-tut-hf-2-1-40-20-chernaya-proconnect-55-4006/", "Инфо")</f>
        <v>Инфо</v>
      </c>
      <c r="M383" s="37">
        <v>6.8000000000000005E-2</v>
      </c>
      <c r="N383" s="38">
        <v>3.6000000000000002E-4</v>
      </c>
      <c r="O383" s="141">
        <v>4601004299436</v>
      </c>
    </row>
    <row r="384" spans="1:15" s="1" customFormat="1" ht="11.45" customHeight="1" outlineLevel="4" x14ac:dyDescent="0.2">
      <c r="A384" s="32" t="s">
        <v>4107</v>
      </c>
      <c r="B384" s="74" t="s">
        <v>4108</v>
      </c>
      <c r="C384" s="50"/>
      <c r="D384" s="139">
        <f t="shared" si="5"/>
        <v>0</v>
      </c>
      <c r="E384" s="140">
        <v>47.92</v>
      </c>
      <c r="F384" s="140">
        <v>39.28</v>
      </c>
      <c r="G384" s="34" t="s">
        <v>100</v>
      </c>
      <c r="H384" s="34" t="s">
        <v>39</v>
      </c>
      <c r="I384" s="35">
        <v>10</v>
      </c>
      <c r="J384" s="35">
        <v>10</v>
      </c>
      <c r="K384" s="35">
        <v>80</v>
      </c>
      <c r="L384" s="60" t="str">
        <f>HYPERLINK("https://www.sds-group.ru/product/trubka-termousazhivaemaya-tut-hf-2-1-50-25-belaya-proconnect-55-5001/", "Инфо")</f>
        <v>Инфо</v>
      </c>
      <c r="M384" s="37">
        <v>8.6999999999999994E-2</v>
      </c>
      <c r="N384" s="38">
        <v>5.9999999999999995E-4</v>
      </c>
      <c r="O384" s="141">
        <v>4601004299481</v>
      </c>
    </row>
    <row r="385" spans="1:15" s="1" customFormat="1" ht="11.45" customHeight="1" outlineLevel="4" x14ac:dyDescent="0.2">
      <c r="A385" s="32" t="s">
        <v>4109</v>
      </c>
      <c r="B385" s="74" t="s">
        <v>4110</v>
      </c>
      <c r="C385" s="50"/>
      <c r="D385" s="139">
        <f t="shared" si="5"/>
        <v>0</v>
      </c>
      <c r="E385" s="140">
        <v>49.78</v>
      </c>
      <c r="F385" s="140">
        <v>40.799999999999997</v>
      </c>
      <c r="G385" s="34" t="s">
        <v>100</v>
      </c>
      <c r="H385" s="34" t="s">
        <v>39</v>
      </c>
      <c r="I385" s="35">
        <v>10</v>
      </c>
      <c r="J385" s="35">
        <v>10</v>
      </c>
      <c r="K385" s="35">
        <v>80</v>
      </c>
      <c r="L385" s="60" t="str">
        <f>HYPERLINK("https://www.sds-group.ru/product/trubka-termousazhivaemaya-tut-hf-2-1-50-25-krasnaya-proconnect-55-5004/", "Инфо")</f>
        <v>Инфо</v>
      </c>
      <c r="M385" s="37">
        <v>8.6999999999999994E-2</v>
      </c>
      <c r="N385" s="38">
        <v>5.9999999999999995E-4</v>
      </c>
      <c r="O385" s="141">
        <v>4601004299474</v>
      </c>
    </row>
    <row r="386" spans="1:15" s="1" customFormat="1" ht="11.45" customHeight="1" outlineLevel="4" x14ac:dyDescent="0.2">
      <c r="A386" s="32" t="s">
        <v>4111</v>
      </c>
      <c r="B386" s="74" t="s">
        <v>4112</v>
      </c>
      <c r="C386" s="50"/>
      <c r="D386" s="139">
        <f t="shared" si="5"/>
        <v>0</v>
      </c>
      <c r="E386" s="140">
        <v>60.48</v>
      </c>
      <c r="F386" s="140">
        <v>49.57</v>
      </c>
      <c r="G386" s="34" t="s">
        <v>100</v>
      </c>
      <c r="H386" s="34" t="s">
        <v>39</v>
      </c>
      <c r="I386" s="35">
        <v>10</v>
      </c>
      <c r="J386" s="35">
        <v>10</v>
      </c>
      <c r="K386" s="35">
        <v>80</v>
      </c>
      <c r="L386" s="60" t="str">
        <f>HYPERLINK("https://www.sds-group.ru/product/trubka-termousazhivaemaya-tut-hf-2-1-50-25-chernaya-proconnect-55-5006/", "Инфо")</f>
        <v>Инфо</v>
      </c>
      <c r="M386" s="37">
        <v>8.6999999999999994E-2</v>
      </c>
      <c r="N386" s="38">
        <v>5.9999999999999995E-4</v>
      </c>
      <c r="O386" s="141">
        <v>4601004299467</v>
      </c>
    </row>
    <row r="387" spans="1:15" s="1" customFormat="1" ht="11.45" customHeight="1" outlineLevel="4" x14ac:dyDescent="0.2">
      <c r="A387" s="32" t="s">
        <v>4113</v>
      </c>
      <c r="B387" s="74" t="s">
        <v>4114</v>
      </c>
      <c r="C387" s="50"/>
      <c r="D387" s="139">
        <f t="shared" si="5"/>
        <v>0</v>
      </c>
      <c r="E387" s="140">
        <v>5.92</v>
      </c>
      <c r="F387" s="140">
        <v>4.8499999999999996</v>
      </c>
      <c r="G387" s="34" t="s">
        <v>100</v>
      </c>
      <c r="H387" s="34" t="s">
        <v>39</v>
      </c>
      <c r="I387" s="35">
        <v>50</v>
      </c>
      <c r="J387" s="35">
        <v>50</v>
      </c>
      <c r="K387" s="39">
        <v>1500</v>
      </c>
      <c r="L387" s="60" t="str">
        <f>HYPERLINK("https://www.sds-group.ru/product/trubka-termousazhivaemaya-tut-hf-2-1-6-3-belaya-proconnect-55-0601/", "Инфо")</f>
        <v>Инфо</v>
      </c>
      <c r="M387" s="37">
        <v>8.9999999999999993E-3</v>
      </c>
      <c r="N387" s="38">
        <v>7.2000000000000002E-5</v>
      </c>
      <c r="O387" s="141">
        <v>4601004298606</v>
      </c>
    </row>
    <row r="388" spans="1:15" s="1" customFormat="1" ht="11.45" customHeight="1" outlineLevel="4" x14ac:dyDescent="0.2">
      <c r="A388" s="32" t="s">
        <v>4115</v>
      </c>
      <c r="B388" s="74" t="s">
        <v>4116</v>
      </c>
      <c r="C388" s="50"/>
      <c r="D388" s="139">
        <f t="shared" si="5"/>
        <v>0</v>
      </c>
      <c r="E388" s="140">
        <v>5.07</v>
      </c>
      <c r="F388" s="140">
        <v>4.16</v>
      </c>
      <c r="G388" s="34" t="s">
        <v>100</v>
      </c>
      <c r="H388" s="34" t="s">
        <v>39</v>
      </c>
      <c r="I388" s="35">
        <v>50</v>
      </c>
      <c r="J388" s="35">
        <v>50</v>
      </c>
      <c r="K388" s="39">
        <v>1500</v>
      </c>
      <c r="L388" s="60" t="str">
        <f>HYPERLINK("https://www.sds-group.ru/product/trubka-termousazhivaemaya-tut-hf-2-1-6-3-zelenaya-proconnect-55-0603/", "Инфо")</f>
        <v>Инфо</v>
      </c>
      <c r="M388" s="37">
        <v>8.9999999999999993E-3</v>
      </c>
      <c r="N388" s="38">
        <v>7.2000000000000002E-5</v>
      </c>
      <c r="O388" s="141">
        <v>4601004298590</v>
      </c>
    </row>
    <row r="389" spans="1:15" s="1" customFormat="1" ht="11.45" customHeight="1" outlineLevel="4" x14ac:dyDescent="0.2">
      <c r="A389" s="32" t="s">
        <v>4117</v>
      </c>
      <c r="B389" s="74" t="s">
        <v>4118</v>
      </c>
      <c r="C389" s="50"/>
      <c r="D389" s="139">
        <f t="shared" si="5"/>
        <v>0</v>
      </c>
      <c r="E389" s="140">
        <v>5.92</v>
      </c>
      <c r="F389" s="140">
        <v>4.8499999999999996</v>
      </c>
      <c r="G389" s="34" t="s">
        <v>100</v>
      </c>
      <c r="H389" s="34" t="s">
        <v>39</v>
      </c>
      <c r="I389" s="35">
        <v>50</v>
      </c>
      <c r="J389" s="35">
        <v>50</v>
      </c>
      <c r="K389" s="39">
        <v>1500</v>
      </c>
      <c r="L389" s="60" t="str">
        <f>HYPERLINK("https://www.sds-group.ru/product/trubka-termousazhivaemaya-tut-hf-2-1-6-3-krasnaya-proconnect-55-0604/", "Инфо")</f>
        <v>Инфо</v>
      </c>
      <c r="M389" s="37">
        <v>8.9999999999999993E-3</v>
      </c>
      <c r="N389" s="38">
        <v>7.2000000000000002E-5</v>
      </c>
      <c r="O389" s="141">
        <v>4601004298583</v>
      </c>
    </row>
    <row r="390" spans="1:15" s="1" customFormat="1" ht="11.45" customHeight="1" outlineLevel="4" x14ac:dyDescent="0.2">
      <c r="A390" s="32" t="s">
        <v>4119</v>
      </c>
      <c r="B390" s="74" t="s">
        <v>4120</v>
      </c>
      <c r="C390" s="50"/>
      <c r="D390" s="139">
        <f t="shared" si="5"/>
        <v>0</v>
      </c>
      <c r="E390" s="140">
        <v>5.92</v>
      </c>
      <c r="F390" s="140">
        <v>4.8499999999999996</v>
      </c>
      <c r="G390" s="34" t="s">
        <v>100</v>
      </c>
      <c r="H390" s="34" t="s">
        <v>39</v>
      </c>
      <c r="I390" s="35">
        <v>50</v>
      </c>
      <c r="J390" s="35">
        <v>50</v>
      </c>
      <c r="K390" s="39">
        <v>1500</v>
      </c>
      <c r="L390" s="60" t="str">
        <f>HYPERLINK("https://www.sds-group.ru/product/trubka-termousazhivaemaya-tut-hf-2-1-6-3-sinyaya-proconnect-55-0605/", "Инфо")</f>
        <v>Инфо</v>
      </c>
      <c r="M390" s="37">
        <v>0.01</v>
      </c>
      <c r="N390" s="38">
        <v>6.2000000000000003E-5</v>
      </c>
      <c r="O390" s="141">
        <v>4601004298576</v>
      </c>
    </row>
    <row r="391" spans="1:15" s="1" customFormat="1" ht="11.45" customHeight="1" outlineLevel="4" x14ac:dyDescent="0.2">
      <c r="A391" s="32" t="s">
        <v>4121</v>
      </c>
      <c r="B391" s="74" t="s">
        <v>4122</v>
      </c>
      <c r="C391" s="50"/>
      <c r="D391" s="139">
        <f t="shared" si="5"/>
        <v>0</v>
      </c>
      <c r="E391" s="140">
        <v>5.87</v>
      </c>
      <c r="F391" s="140">
        <v>4.8099999999999996</v>
      </c>
      <c r="G391" s="34" t="s">
        <v>100</v>
      </c>
      <c r="H391" s="34" t="s">
        <v>39</v>
      </c>
      <c r="I391" s="35">
        <v>50</v>
      </c>
      <c r="J391" s="35">
        <v>50</v>
      </c>
      <c r="K391" s="39">
        <v>1500</v>
      </c>
      <c r="L391" s="60" t="str">
        <f>HYPERLINK("https://www.sds-group.ru/product/trubka-termousazhivaemaya-tut-hf-2-1-6-3-chernaya-proconnect-55-0606/", "Инфо")</f>
        <v>Инфо</v>
      </c>
      <c r="M391" s="37">
        <v>8.9999999999999993E-3</v>
      </c>
      <c r="N391" s="38">
        <v>7.2000000000000002E-5</v>
      </c>
      <c r="O391" s="141">
        <v>4601004298453</v>
      </c>
    </row>
    <row r="392" spans="1:15" s="1" customFormat="1" ht="11.45" customHeight="1" outlineLevel="4" x14ac:dyDescent="0.2">
      <c r="A392" s="32" t="s">
        <v>4123</v>
      </c>
      <c r="B392" s="74" t="s">
        <v>4124</v>
      </c>
      <c r="C392" s="50"/>
      <c r="D392" s="139">
        <f t="shared" si="5"/>
        <v>0</v>
      </c>
      <c r="E392" s="140">
        <v>54.89</v>
      </c>
      <c r="F392" s="140">
        <v>44.99</v>
      </c>
      <c r="G392" s="34" t="s">
        <v>100</v>
      </c>
      <c r="H392" s="34" t="s">
        <v>39</v>
      </c>
      <c r="I392" s="35">
        <v>10</v>
      </c>
      <c r="J392" s="35">
        <v>10</v>
      </c>
      <c r="K392" s="35">
        <v>50</v>
      </c>
      <c r="L392" s="60" t="str">
        <f>HYPERLINK("https://www.sds-group.ru/product/trubka-termousazhivaemaya-tut-hf-2-1-60-30-belaya-proconnect-55-6001/", "Инфо")</f>
        <v>Инфо</v>
      </c>
      <c r="M392" s="37">
        <v>9.9000000000000005E-2</v>
      </c>
      <c r="N392" s="38">
        <v>5.5000000000000003E-4</v>
      </c>
      <c r="O392" s="141">
        <v>4601004164574</v>
      </c>
    </row>
    <row r="393" spans="1:15" s="1" customFormat="1" ht="11.45" customHeight="1" outlineLevel="4" x14ac:dyDescent="0.2">
      <c r="A393" s="32" t="s">
        <v>4125</v>
      </c>
      <c r="B393" s="74" t="s">
        <v>4126</v>
      </c>
      <c r="C393" s="50"/>
      <c r="D393" s="139">
        <f t="shared" si="5"/>
        <v>0</v>
      </c>
      <c r="E393" s="140">
        <v>46.61</v>
      </c>
      <c r="F393" s="140">
        <v>38.200000000000003</v>
      </c>
      <c r="G393" s="34" t="s">
        <v>100</v>
      </c>
      <c r="H393" s="34" t="s">
        <v>39</v>
      </c>
      <c r="I393" s="35">
        <v>10</v>
      </c>
      <c r="J393" s="35">
        <v>10</v>
      </c>
      <c r="K393" s="35">
        <v>50</v>
      </c>
      <c r="L393" s="60" t="str">
        <f>HYPERLINK("https://www.sds-group.ru/product/trubka-termousazhivaemaya-tut-hf-2-1-60-30-zheltaya-proconnect-55-6002/", "Инфо")</f>
        <v>Инфо</v>
      </c>
      <c r="M393" s="37">
        <v>9.9000000000000005E-2</v>
      </c>
      <c r="N393" s="38">
        <v>5.5000000000000003E-4</v>
      </c>
      <c r="O393" s="141">
        <v>4601004164536</v>
      </c>
    </row>
    <row r="394" spans="1:15" s="1" customFormat="1" ht="11.45" customHeight="1" outlineLevel="4" x14ac:dyDescent="0.2">
      <c r="A394" s="32" t="s">
        <v>4127</v>
      </c>
      <c r="B394" s="74" t="s">
        <v>4128</v>
      </c>
      <c r="C394" s="50"/>
      <c r="D394" s="139">
        <f t="shared" si="5"/>
        <v>0</v>
      </c>
      <c r="E394" s="140">
        <v>85.47</v>
      </c>
      <c r="F394" s="140">
        <v>70.06</v>
      </c>
      <c r="G394" s="34" t="s">
        <v>100</v>
      </c>
      <c r="H394" s="34" t="s">
        <v>39</v>
      </c>
      <c r="I394" s="35">
        <v>10</v>
      </c>
      <c r="J394" s="35">
        <v>10</v>
      </c>
      <c r="K394" s="35">
        <v>50</v>
      </c>
      <c r="L394" s="60" t="str">
        <f>HYPERLINK("https://www.sds-group.ru/product/trubka-termousazhivaemaya-tut-hf-2-1-60-30-zhelto-zelenaya-proconnect-55-6007/", "Инфо")</f>
        <v>Инфо</v>
      </c>
      <c r="M394" s="37">
        <v>9.9000000000000005E-2</v>
      </c>
      <c r="N394" s="38">
        <v>5.5000000000000003E-4</v>
      </c>
      <c r="O394" s="141">
        <v>4601004164581</v>
      </c>
    </row>
    <row r="395" spans="1:15" s="1" customFormat="1" ht="11.45" customHeight="1" outlineLevel="4" x14ac:dyDescent="0.2">
      <c r="A395" s="32" t="s">
        <v>4129</v>
      </c>
      <c r="B395" s="74" t="s">
        <v>4130</v>
      </c>
      <c r="C395" s="50"/>
      <c r="D395" s="139">
        <f t="shared" si="5"/>
        <v>0</v>
      </c>
      <c r="E395" s="140">
        <v>88.31</v>
      </c>
      <c r="F395" s="140">
        <v>72.39</v>
      </c>
      <c r="G395" s="34" t="s">
        <v>100</v>
      </c>
      <c r="H395" s="34" t="s">
        <v>39</v>
      </c>
      <c r="I395" s="35">
        <v>10</v>
      </c>
      <c r="J395" s="35">
        <v>10</v>
      </c>
      <c r="K395" s="35">
        <v>50</v>
      </c>
      <c r="L395" s="60" t="str">
        <f>HYPERLINK("https://www.sds-group.ru/product/trubka-termousazhivaemaya-tut-hf-2-1-60-30-krasnaya-proconnect-55-6004/", "Инфо")</f>
        <v>Инфо</v>
      </c>
      <c r="M395" s="37">
        <v>9.9000000000000005E-2</v>
      </c>
      <c r="N395" s="38">
        <v>5.5000000000000003E-4</v>
      </c>
      <c r="O395" s="141">
        <v>4601004164567</v>
      </c>
    </row>
    <row r="396" spans="1:15" s="1" customFormat="1" ht="11.45" customHeight="1" outlineLevel="4" x14ac:dyDescent="0.2">
      <c r="A396" s="32" t="s">
        <v>4131</v>
      </c>
      <c r="B396" s="74" t="s">
        <v>4132</v>
      </c>
      <c r="C396" s="50"/>
      <c r="D396" s="139">
        <f t="shared" ref="D396:D459" si="6">C396*E396</f>
        <v>0</v>
      </c>
      <c r="E396" s="140">
        <v>103.57</v>
      </c>
      <c r="F396" s="140">
        <v>84.89</v>
      </c>
      <c r="G396" s="34" t="s">
        <v>100</v>
      </c>
      <c r="H396" s="34" t="s">
        <v>39</v>
      </c>
      <c r="I396" s="35">
        <v>10</v>
      </c>
      <c r="J396" s="35">
        <v>10</v>
      </c>
      <c r="K396" s="35">
        <v>50</v>
      </c>
      <c r="L396" s="60" t="str">
        <f>HYPERLINK("https://www.sds-group.ru/product/trubka-termousazhivaemaya-tut-hf-2-1-60-30-sinyaya-proconnect-55-6005/", "Инфо")</f>
        <v>Инфо</v>
      </c>
      <c r="M396" s="37">
        <v>9.9000000000000005E-2</v>
      </c>
      <c r="N396" s="38">
        <v>5.5000000000000003E-4</v>
      </c>
      <c r="O396" s="141">
        <v>4601004164543</v>
      </c>
    </row>
    <row r="397" spans="1:15" s="1" customFormat="1" ht="11.45" customHeight="1" outlineLevel="4" x14ac:dyDescent="0.2">
      <c r="A397" s="32" t="s">
        <v>4133</v>
      </c>
      <c r="B397" s="74" t="s">
        <v>4134</v>
      </c>
      <c r="C397" s="50"/>
      <c r="D397" s="139">
        <f t="shared" si="6"/>
        <v>0</v>
      </c>
      <c r="E397" s="140">
        <v>4.7</v>
      </c>
      <c r="F397" s="140">
        <v>3.85</v>
      </c>
      <c r="G397" s="34" t="s">
        <v>100</v>
      </c>
      <c r="H397" s="34" t="s">
        <v>39</v>
      </c>
      <c r="I397" s="35">
        <v>50</v>
      </c>
      <c r="J397" s="35">
        <v>50</v>
      </c>
      <c r="K397" s="39">
        <v>1000</v>
      </c>
      <c r="L397" s="60" t="str">
        <f>HYPERLINK("https://www.sds-group.ru/product/trubka-termousazhivaemaya-tut-hf-2-1-8-4-belaya-proconnect-55-0801/", "Инфо")</f>
        <v>Инфо</v>
      </c>
      <c r="M397" s="37">
        <v>0.01</v>
      </c>
      <c r="N397" s="38">
        <v>1.45E-4</v>
      </c>
      <c r="O397" s="141">
        <v>4601004298675</v>
      </c>
    </row>
    <row r="398" spans="1:15" s="1" customFormat="1" ht="11.45" customHeight="1" outlineLevel="4" x14ac:dyDescent="0.2">
      <c r="A398" s="32" t="s">
        <v>4135</v>
      </c>
      <c r="B398" s="74" t="s">
        <v>4136</v>
      </c>
      <c r="C398" s="50"/>
      <c r="D398" s="139">
        <f t="shared" si="6"/>
        <v>0</v>
      </c>
      <c r="E398" s="140">
        <v>4.45</v>
      </c>
      <c r="F398" s="140">
        <v>3.65</v>
      </c>
      <c r="G398" s="34" t="s">
        <v>100</v>
      </c>
      <c r="H398" s="34" t="s">
        <v>39</v>
      </c>
      <c r="I398" s="35">
        <v>50</v>
      </c>
      <c r="J398" s="35">
        <v>50</v>
      </c>
      <c r="K398" s="39">
        <v>1000</v>
      </c>
      <c r="L398" s="60" t="str">
        <f>HYPERLINK("https://www.sds-group.ru/product/trubka-termousazhivaemaya-tut-hf-2-1-8-4-zheltaya-proconnect-55-0802/", "Инфо")</f>
        <v>Инфо</v>
      </c>
      <c r="M398" s="37">
        <v>0.01</v>
      </c>
      <c r="N398" s="38">
        <v>1.45E-4</v>
      </c>
      <c r="O398" s="141">
        <v>4601004298644</v>
      </c>
    </row>
    <row r="399" spans="1:15" s="1" customFormat="1" ht="11.45" customHeight="1" outlineLevel="4" x14ac:dyDescent="0.2">
      <c r="A399" s="32" t="s">
        <v>4137</v>
      </c>
      <c r="B399" s="74" t="s">
        <v>4138</v>
      </c>
      <c r="C399" s="50"/>
      <c r="D399" s="139">
        <f t="shared" si="6"/>
        <v>0</v>
      </c>
      <c r="E399" s="140">
        <v>5.23</v>
      </c>
      <c r="F399" s="140">
        <v>4.29</v>
      </c>
      <c r="G399" s="34" t="s">
        <v>100</v>
      </c>
      <c r="H399" s="34" t="s">
        <v>39</v>
      </c>
      <c r="I399" s="35">
        <v>50</v>
      </c>
      <c r="J399" s="35">
        <v>50</v>
      </c>
      <c r="K399" s="39">
        <v>1000</v>
      </c>
      <c r="L399" s="60" t="str">
        <f>HYPERLINK("https://www.sds-group.ru/product/trubka-termousazhivaemaya-tut-hf-2-1-8-4-zelenaya-proconnect-55-0803/", "Инфо")</f>
        <v>Инфо</v>
      </c>
      <c r="M399" s="37">
        <v>0.01</v>
      </c>
      <c r="N399" s="38">
        <v>1.45E-4</v>
      </c>
      <c r="O399" s="141">
        <v>4601004298637</v>
      </c>
    </row>
    <row r="400" spans="1:15" s="1" customFormat="1" ht="11.45" customHeight="1" outlineLevel="4" x14ac:dyDescent="0.2">
      <c r="A400" s="32" t="s">
        <v>4139</v>
      </c>
      <c r="B400" s="74" t="s">
        <v>4140</v>
      </c>
      <c r="C400" s="50"/>
      <c r="D400" s="139">
        <f t="shared" si="6"/>
        <v>0</v>
      </c>
      <c r="E400" s="140">
        <v>5.31</v>
      </c>
      <c r="F400" s="140">
        <v>4.3499999999999996</v>
      </c>
      <c r="G400" s="34" t="s">
        <v>100</v>
      </c>
      <c r="H400" s="34" t="s">
        <v>39</v>
      </c>
      <c r="I400" s="35">
        <v>50</v>
      </c>
      <c r="J400" s="35">
        <v>50</v>
      </c>
      <c r="K400" s="39">
        <v>1000</v>
      </c>
      <c r="L400" s="60" t="str">
        <f>HYPERLINK("https://www.sds-group.ru/product/trubka-termousazhivaemaya-tut-hf-2-1-8-4-krasnaya-proconnect-55-0804/", "Инфо")</f>
        <v>Инфо</v>
      </c>
      <c r="M400" s="37">
        <v>0.01</v>
      </c>
      <c r="N400" s="38">
        <v>1.45E-4</v>
      </c>
      <c r="O400" s="141">
        <v>4601004298712</v>
      </c>
    </row>
    <row r="401" spans="1:15" s="1" customFormat="1" ht="11.45" customHeight="1" outlineLevel="4" x14ac:dyDescent="0.2">
      <c r="A401" s="32" t="s">
        <v>4141</v>
      </c>
      <c r="B401" s="74" t="s">
        <v>4142</v>
      </c>
      <c r="C401" s="50"/>
      <c r="D401" s="139">
        <f t="shared" si="6"/>
        <v>0</v>
      </c>
      <c r="E401" s="140">
        <v>5.93</v>
      </c>
      <c r="F401" s="140">
        <v>4.8600000000000003</v>
      </c>
      <c r="G401" s="34" t="s">
        <v>100</v>
      </c>
      <c r="H401" s="34" t="s">
        <v>39</v>
      </c>
      <c r="I401" s="35">
        <v>50</v>
      </c>
      <c r="J401" s="35">
        <v>50</v>
      </c>
      <c r="K401" s="39">
        <v>1000</v>
      </c>
      <c r="L401" s="60" t="str">
        <f>HYPERLINK("https://www.sds-group.ru/product/trubka-termousazhivaemaya-tut-hf-2-1-8-4-sinyaya-proconnect-55-0805/", "Инфо")</f>
        <v>Инфо</v>
      </c>
      <c r="M401" s="37">
        <v>0.01</v>
      </c>
      <c r="N401" s="38">
        <v>1.45E-4</v>
      </c>
      <c r="O401" s="141">
        <v>4601004298651</v>
      </c>
    </row>
    <row r="402" spans="1:15" ht="11.45" customHeight="1" outlineLevel="3" x14ac:dyDescent="0.2">
      <c r="A402" s="76" t="s">
        <v>4504</v>
      </c>
      <c r="B402" s="136"/>
      <c r="C402" s="77"/>
      <c r="D402" s="137"/>
      <c r="E402" s="4"/>
      <c r="F402" s="4"/>
      <c r="G402" s="4"/>
      <c r="H402" s="4"/>
      <c r="I402" s="4"/>
      <c r="J402" s="4"/>
      <c r="K402" s="4"/>
      <c r="L402" s="138"/>
      <c r="M402" s="4"/>
      <c r="N402" s="4"/>
      <c r="O402" s="4"/>
    </row>
    <row r="403" spans="1:15" s="1" customFormat="1" ht="11.45" customHeight="1" outlineLevel="4" x14ac:dyDescent="0.2">
      <c r="A403" s="32" t="s">
        <v>4505</v>
      </c>
      <c r="B403" s="74" t="s">
        <v>4180</v>
      </c>
      <c r="C403" s="50"/>
      <c r="D403" s="139">
        <f t="shared" si="6"/>
        <v>0</v>
      </c>
      <c r="E403" s="140">
        <v>6.75</v>
      </c>
      <c r="F403" s="140">
        <v>5.53</v>
      </c>
      <c r="G403" s="34" t="s">
        <v>100</v>
      </c>
      <c r="H403" s="34" t="s">
        <v>1767</v>
      </c>
      <c r="I403" s="35">
        <v>100</v>
      </c>
      <c r="J403" s="35">
        <v>100</v>
      </c>
      <c r="K403" s="39">
        <v>1300</v>
      </c>
      <c r="L403" s="60" t="str">
        <f>HYPERLINK("https://www.sds-group.ru/product/trubka-termousazhivaemaya-tutng-ls-2-1-10-5-krasnaya-rexant-49-1004/", "Инфо")</f>
        <v>Инфо</v>
      </c>
      <c r="M403" s="37">
        <v>1.2999999999999999E-2</v>
      </c>
      <c r="N403" s="38">
        <v>5.8999999999999998E-5</v>
      </c>
      <c r="O403" s="141">
        <v>4601004069848</v>
      </c>
    </row>
    <row r="404" spans="1:15" s="1" customFormat="1" ht="11.45" customHeight="1" outlineLevel="4" x14ac:dyDescent="0.2">
      <c r="A404" s="32" t="s">
        <v>4512</v>
      </c>
      <c r="B404" s="74" t="s">
        <v>4413</v>
      </c>
      <c r="C404" s="50"/>
      <c r="D404" s="139">
        <f t="shared" si="6"/>
        <v>0</v>
      </c>
      <c r="E404" s="140">
        <v>3.06</v>
      </c>
      <c r="F404" s="140">
        <v>2.5099999999999998</v>
      </c>
      <c r="G404" s="34" t="s">
        <v>100</v>
      </c>
      <c r="H404" s="34" t="s">
        <v>1767</v>
      </c>
      <c r="I404" s="35">
        <v>100</v>
      </c>
      <c r="J404" s="35">
        <v>100</v>
      </c>
      <c r="K404" s="39">
        <v>1000</v>
      </c>
      <c r="L404" s="60" t="str">
        <f>HYPERLINK("https://www.sds-group.ru/product/trubka-termousazhivaemaya-tutng-ls-2-1-5-2-5-krasnaya-rexant-49-0504/", "Инфо")</f>
        <v>Инфо</v>
      </c>
      <c r="M404" s="37">
        <v>7.0000000000000001E-3</v>
      </c>
      <c r="N404" s="38">
        <v>9.0000000000000006E-5</v>
      </c>
      <c r="O404" s="141">
        <v>4601004069749</v>
      </c>
    </row>
    <row r="405" spans="1:15" s="1" customFormat="1" ht="11.45" customHeight="1" outlineLevel="4" x14ac:dyDescent="0.2">
      <c r="A405" s="32" t="s">
        <v>4515</v>
      </c>
      <c r="B405" s="74" t="s">
        <v>4483</v>
      </c>
      <c r="C405" s="50"/>
      <c r="D405" s="139">
        <f t="shared" si="6"/>
        <v>0</v>
      </c>
      <c r="E405" s="140">
        <v>6.05</v>
      </c>
      <c r="F405" s="140">
        <v>4.96</v>
      </c>
      <c r="G405" s="34" t="s">
        <v>100</v>
      </c>
      <c r="H405" s="34" t="s">
        <v>1767</v>
      </c>
      <c r="I405" s="35">
        <v>100</v>
      </c>
      <c r="J405" s="35">
        <v>100</v>
      </c>
      <c r="K405" s="39">
        <v>1400</v>
      </c>
      <c r="L405" s="60" t="str">
        <f>HYPERLINK("https://www.sds-group.ru/product/trubka-termousazhivaemaya-tutng-ls-2-1-8-4-krasnaya-rexant-49-0804/", "Инфо")</f>
        <v>Инфо</v>
      </c>
      <c r="M405" s="37">
        <v>1.4E-2</v>
      </c>
      <c r="N405" s="38">
        <v>5.1E-5</v>
      </c>
      <c r="O405" s="141">
        <v>4601004069817</v>
      </c>
    </row>
    <row r="406" spans="1:15" ht="11.45" customHeight="1" outlineLevel="3" x14ac:dyDescent="0.2">
      <c r="A406" s="76" t="s">
        <v>4640</v>
      </c>
      <c r="B406" s="136"/>
      <c r="C406" s="77"/>
      <c r="D406" s="137"/>
      <c r="E406" s="4"/>
      <c r="F406" s="4"/>
      <c r="G406" s="4"/>
      <c r="H406" s="4"/>
      <c r="I406" s="4"/>
      <c r="J406" s="4"/>
      <c r="K406" s="4"/>
      <c r="L406" s="138"/>
      <c r="M406" s="4"/>
      <c r="N406" s="4"/>
      <c r="O406" s="4"/>
    </row>
    <row r="407" spans="1:15" s="1" customFormat="1" ht="11.45" customHeight="1" outlineLevel="4" x14ac:dyDescent="0.2">
      <c r="A407" s="32" t="s">
        <v>4641</v>
      </c>
      <c r="B407" s="74" t="s">
        <v>4642</v>
      </c>
      <c r="C407" s="50"/>
      <c r="D407" s="139">
        <f t="shared" si="6"/>
        <v>0</v>
      </c>
      <c r="E407" s="140">
        <v>44.06</v>
      </c>
      <c r="F407" s="140">
        <v>36.11</v>
      </c>
      <c r="G407" s="34" t="s">
        <v>100</v>
      </c>
      <c r="H407" s="34" t="s">
        <v>39</v>
      </c>
      <c r="I407" s="35">
        <v>1</v>
      </c>
      <c r="J407" s="35">
        <v>1</v>
      </c>
      <c r="K407" s="35">
        <v>200</v>
      </c>
      <c r="L407" s="60" t="str">
        <f>HYPERLINK("https://www.sds-group.ru/product/trubka-termousazhivaemaya-tut-ng-ls-2-1-10-5-belaya-rolik-2-44m-rexant-29-0051/", "Инфо")</f>
        <v>Инфо</v>
      </c>
      <c r="M407" s="37">
        <v>4.4999999999999998E-2</v>
      </c>
      <c r="N407" s="38">
        <v>3.5199999999999999E-4</v>
      </c>
      <c r="O407" s="141">
        <v>4601004173064</v>
      </c>
    </row>
    <row r="408" spans="1:15" s="1" customFormat="1" ht="11.45" customHeight="1" outlineLevel="4" x14ac:dyDescent="0.2">
      <c r="A408" s="32" t="s">
        <v>4643</v>
      </c>
      <c r="B408" s="74" t="s">
        <v>4644</v>
      </c>
      <c r="C408" s="50"/>
      <c r="D408" s="139">
        <f t="shared" si="6"/>
        <v>0</v>
      </c>
      <c r="E408" s="140">
        <v>44.06</v>
      </c>
      <c r="F408" s="140">
        <v>36.11</v>
      </c>
      <c r="G408" s="34" t="s">
        <v>100</v>
      </c>
      <c r="H408" s="34" t="s">
        <v>39</v>
      </c>
      <c r="I408" s="35">
        <v>1</v>
      </c>
      <c r="J408" s="35">
        <v>1</v>
      </c>
      <c r="K408" s="35">
        <v>200</v>
      </c>
      <c r="L408" s="60" t="str">
        <f>HYPERLINK("https://www.sds-group.ru/product/trubka-termousazhivaemaya-tut-ng-ls-2-1-10-5-krasnaya-rolik-2-44m-rexant-29-0054/", "Инфо")</f>
        <v>Инфо</v>
      </c>
      <c r="M408" s="37">
        <v>4.3999999999999997E-2</v>
      </c>
      <c r="N408" s="38">
        <v>3.6299999999999999E-4</v>
      </c>
      <c r="O408" s="141">
        <v>4601004173125</v>
      </c>
    </row>
    <row r="409" spans="1:15" s="1" customFormat="1" ht="11.45" customHeight="1" outlineLevel="4" x14ac:dyDescent="0.2">
      <c r="A409" s="32" t="s">
        <v>4645</v>
      </c>
      <c r="B409" s="74" t="s">
        <v>4646</v>
      </c>
      <c r="C409" s="50"/>
      <c r="D409" s="139">
        <f t="shared" si="6"/>
        <v>0</v>
      </c>
      <c r="E409" s="140">
        <v>44.06</v>
      </c>
      <c r="F409" s="140">
        <v>36.11</v>
      </c>
      <c r="G409" s="34" t="s">
        <v>100</v>
      </c>
      <c r="H409" s="34" t="s">
        <v>39</v>
      </c>
      <c r="I409" s="35">
        <v>1</v>
      </c>
      <c r="J409" s="35">
        <v>1</v>
      </c>
      <c r="K409" s="35">
        <v>200</v>
      </c>
      <c r="L409" s="60" t="str">
        <f>HYPERLINK("https://www.sds-group.ru/product/trubka-termousazhivaemaya-tut-ng-ls-2-1-10-5-sinyaya-rolik-2-44m-rexant-29-0055/", "Инфо")</f>
        <v>Инфо</v>
      </c>
      <c r="M409" s="37">
        <v>4.5999999999999999E-2</v>
      </c>
      <c r="N409" s="38">
        <v>3.5799999999999997E-4</v>
      </c>
      <c r="O409" s="141">
        <v>4601004173187</v>
      </c>
    </row>
    <row r="410" spans="1:15" s="1" customFormat="1" ht="11.45" customHeight="1" outlineLevel="4" x14ac:dyDescent="0.2">
      <c r="A410" s="32" t="s">
        <v>4647</v>
      </c>
      <c r="B410" s="74" t="s">
        <v>4648</v>
      </c>
      <c r="C410" s="50"/>
      <c r="D410" s="139">
        <f t="shared" si="6"/>
        <v>0</v>
      </c>
      <c r="E410" s="140">
        <v>34.74</v>
      </c>
      <c r="F410" s="140">
        <v>28.48</v>
      </c>
      <c r="G410" s="34" t="s">
        <v>100</v>
      </c>
      <c r="H410" s="34" t="s">
        <v>39</v>
      </c>
      <c r="I410" s="35">
        <v>1</v>
      </c>
      <c r="J410" s="35">
        <v>1</v>
      </c>
      <c r="K410" s="35">
        <v>300</v>
      </c>
      <c r="L410" s="60" t="str">
        <f>HYPERLINK("https://www.sds-group.ru/product/trubka-termousazhivaemaya-tut-ng-ls-2-1-3-1-5-belaya-rolik-2-44m-rexant-29-0001/", "Инфо")</f>
        <v>Инфо</v>
      </c>
      <c r="M410" s="37">
        <v>1.9E-2</v>
      </c>
      <c r="N410" s="38">
        <v>1.9100000000000001E-4</v>
      </c>
      <c r="O410" s="141">
        <v>4601004173194</v>
      </c>
    </row>
    <row r="411" spans="1:15" s="1" customFormat="1" ht="11.45" customHeight="1" outlineLevel="4" x14ac:dyDescent="0.2">
      <c r="A411" s="32" t="s">
        <v>4649</v>
      </c>
      <c r="B411" s="74" t="s">
        <v>4650</v>
      </c>
      <c r="C411" s="50"/>
      <c r="D411" s="139">
        <f t="shared" si="6"/>
        <v>0</v>
      </c>
      <c r="E411" s="140">
        <v>29.49</v>
      </c>
      <c r="F411" s="140">
        <v>24.17</v>
      </c>
      <c r="G411" s="34" t="s">
        <v>100</v>
      </c>
      <c r="H411" s="34" t="s">
        <v>39</v>
      </c>
      <c r="I411" s="35">
        <v>1</v>
      </c>
      <c r="J411" s="35">
        <v>1</v>
      </c>
      <c r="K411" s="35">
        <v>300</v>
      </c>
      <c r="L411" s="60" t="str">
        <f>HYPERLINK("https://www.sds-group.ru/product/trubka-termousazhivaemaya-tut-ng-ls-2-1-3-1-5-krasnaya-rolik-2-44m-rexant-29-0004/", "Инфо")</f>
        <v>Инфо</v>
      </c>
      <c r="M411" s="37">
        <v>1.9E-2</v>
      </c>
      <c r="N411" s="38">
        <v>1.9599999999999999E-4</v>
      </c>
      <c r="O411" s="141">
        <v>4601004173071</v>
      </c>
    </row>
    <row r="412" spans="1:15" s="1" customFormat="1" ht="11.45" customHeight="1" outlineLevel="4" x14ac:dyDescent="0.2">
      <c r="A412" s="32" t="s">
        <v>4651</v>
      </c>
      <c r="B412" s="74" t="s">
        <v>4652</v>
      </c>
      <c r="C412" s="50"/>
      <c r="D412" s="139">
        <f t="shared" si="6"/>
        <v>0</v>
      </c>
      <c r="E412" s="140">
        <v>29.49</v>
      </c>
      <c r="F412" s="140">
        <v>24.17</v>
      </c>
      <c r="G412" s="34" t="s">
        <v>100</v>
      </c>
      <c r="H412" s="34" t="s">
        <v>39</v>
      </c>
      <c r="I412" s="35">
        <v>1</v>
      </c>
      <c r="J412" s="35">
        <v>1</v>
      </c>
      <c r="K412" s="35">
        <v>300</v>
      </c>
      <c r="L412" s="60" t="str">
        <f>HYPERLINK("https://www.sds-group.ru/product/trubka-termousazhivaemaya-tut-ng-ls-2-1-3-1-5-sinyaya-rolik-2-44m-rexant-29-0005/", "Инфо")</f>
        <v>Инфо</v>
      </c>
      <c r="M412" s="37">
        <v>1.9E-2</v>
      </c>
      <c r="N412" s="38">
        <v>2.0000000000000001E-4</v>
      </c>
      <c r="O412" s="141">
        <v>4601004173132</v>
      </c>
    </row>
    <row r="413" spans="1:15" s="1" customFormat="1" ht="11.45" customHeight="1" outlineLevel="4" x14ac:dyDescent="0.2">
      <c r="A413" s="32" t="s">
        <v>4653</v>
      </c>
      <c r="B413" s="74" t="s">
        <v>4654</v>
      </c>
      <c r="C413" s="50"/>
      <c r="D413" s="139">
        <f t="shared" si="6"/>
        <v>0</v>
      </c>
      <c r="E413" s="140">
        <v>34.74</v>
      </c>
      <c r="F413" s="140">
        <v>28.48</v>
      </c>
      <c r="G413" s="34" t="s">
        <v>100</v>
      </c>
      <c r="H413" s="34" t="s">
        <v>39</v>
      </c>
      <c r="I413" s="35">
        <v>1</v>
      </c>
      <c r="J413" s="35">
        <v>1</v>
      </c>
      <c r="K413" s="35">
        <v>300</v>
      </c>
      <c r="L413" s="60" t="str">
        <f>HYPERLINK("https://www.sds-group.ru/product/trubka-termousazhivaemaya-tut-ng-ls-2-1-3-1-5-chernaya-rolik-2-44m-rexant-29-0006/", "Инфо")</f>
        <v>Инфо</v>
      </c>
      <c r="M413" s="37">
        <v>1.9E-2</v>
      </c>
      <c r="N413" s="38">
        <v>1.8599999999999999E-4</v>
      </c>
      <c r="O413" s="141">
        <v>4601004179318</v>
      </c>
    </row>
    <row r="414" spans="1:15" s="1" customFormat="1" ht="11.45" customHeight="1" outlineLevel="4" x14ac:dyDescent="0.2">
      <c r="A414" s="32" t="s">
        <v>4655</v>
      </c>
      <c r="B414" s="74" t="s">
        <v>4656</v>
      </c>
      <c r="C414" s="50"/>
      <c r="D414" s="139">
        <f t="shared" si="6"/>
        <v>0</v>
      </c>
      <c r="E414" s="140">
        <v>37.85</v>
      </c>
      <c r="F414" s="140">
        <v>31.02</v>
      </c>
      <c r="G414" s="34" t="s">
        <v>100</v>
      </c>
      <c r="H414" s="34" t="s">
        <v>39</v>
      </c>
      <c r="I414" s="35">
        <v>1</v>
      </c>
      <c r="J414" s="35">
        <v>1</v>
      </c>
      <c r="K414" s="35">
        <v>300</v>
      </c>
      <c r="L414" s="60" t="str">
        <f>HYPERLINK("https://www.sds-group.ru/product/trubka-termousazhivaemaya-tut-ng-ls-2-1-4-2-belaya-rolik-2-44m-rexant-29-0011/", "Инфо")</f>
        <v>Инфо</v>
      </c>
      <c r="M414" s="37">
        <v>2.1999999999999999E-2</v>
      </c>
      <c r="N414" s="38">
        <v>1.9599999999999999E-4</v>
      </c>
      <c r="O414" s="141">
        <v>4601004173026</v>
      </c>
    </row>
    <row r="415" spans="1:15" s="1" customFormat="1" ht="11.45" customHeight="1" outlineLevel="4" x14ac:dyDescent="0.2">
      <c r="A415" s="32" t="s">
        <v>4657</v>
      </c>
      <c r="B415" s="74" t="s">
        <v>4658</v>
      </c>
      <c r="C415" s="50"/>
      <c r="D415" s="139">
        <f t="shared" si="6"/>
        <v>0</v>
      </c>
      <c r="E415" s="140">
        <v>32.14</v>
      </c>
      <c r="F415" s="140">
        <v>26.34</v>
      </c>
      <c r="G415" s="34" t="s">
        <v>100</v>
      </c>
      <c r="H415" s="34" t="s">
        <v>39</v>
      </c>
      <c r="I415" s="35">
        <v>1</v>
      </c>
      <c r="J415" s="35">
        <v>1</v>
      </c>
      <c r="K415" s="35">
        <v>300</v>
      </c>
      <c r="L415" s="60" t="str">
        <f>HYPERLINK("https://www.sds-group.ru/product/trubka-termousazhivaemaya-tut-ng-ls-2-1-4-2-krasnaya-rolik-2-44m-rexant-29-0014/", "Инфо")</f>
        <v>Инфо</v>
      </c>
      <c r="M415" s="37">
        <v>2.1999999999999999E-2</v>
      </c>
      <c r="N415" s="38">
        <v>1.94E-4</v>
      </c>
      <c r="O415" s="141">
        <v>4601004173088</v>
      </c>
    </row>
    <row r="416" spans="1:15" s="1" customFormat="1" ht="11.45" customHeight="1" outlineLevel="4" x14ac:dyDescent="0.2">
      <c r="A416" s="32" t="s">
        <v>4659</v>
      </c>
      <c r="B416" s="74" t="s">
        <v>4660</v>
      </c>
      <c r="C416" s="50"/>
      <c r="D416" s="139">
        <f t="shared" si="6"/>
        <v>0</v>
      </c>
      <c r="E416" s="140">
        <v>32.14</v>
      </c>
      <c r="F416" s="140">
        <v>26.34</v>
      </c>
      <c r="G416" s="34" t="s">
        <v>100</v>
      </c>
      <c r="H416" s="34" t="s">
        <v>39</v>
      </c>
      <c r="I416" s="35">
        <v>1</v>
      </c>
      <c r="J416" s="35">
        <v>1</v>
      </c>
      <c r="K416" s="35">
        <v>300</v>
      </c>
      <c r="L416" s="60" t="str">
        <f>HYPERLINK("https://www.sds-group.ru/product/trubka-termousazhivaemaya-tut-ng-ls-2-1-4-2-sinyaya-rolik-2-44m-rexant-29-0015/", "Инфо")</f>
        <v>Инфо</v>
      </c>
      <c r="M416" s="37">
        <v>2.3E-2</v>
      </c>
      <c r="N416" s="38">
        <v>1.93E-4</v>
      </c>
      <c r="O416" s="141">
        <v>4601004173149</v>
      </c>
    </row>
    <row r="417" spans="1:15" s="1" customFormat="1" ht="11.45" customHeight="1" outlineLevel="4" x14ac:dyDescent="0.2">
      <c r="A417" s="32" t="s">
        <v>4661</v>
      </c>
      <c r="B417" s="74" t="s">
        <v>4662</v>
      </c>
      <c r="C417" s="50"/>
      <c r="D417" s="139">
        <f t="shared" si="6"/>
        <v>0</v>
      </c>
      <c r="E417" s="140">
        <v>37.85</v>
      </c>
      <c r="F417" s="140">
        <v>31.02</v>
      </c>
      <c r="G417" s="34" t="s">
        <v>100</v>
      </c>
      <c r="H417" s="34" t="s">
        <v>39</v>
      </c>
      <c r="I417" s="35">
        <v>1</v>
      </c>
      <c r="J417" s="35">
        <v>1</v>
      </c>
      <c r="K417" s="35">
        <v>300</v>
      </c>
      <c r="L417" s="60" t="str">
        <f>HYPERLINK("https://www.sds-group.ru/product/trubka-termousazhivaemaya-tut-ng-ls-2-1-4-2-chernaya-rolik-2-44m-rexant-29-0016/", "Инфо")</f>
        <v>Инфо</v>
      </c>
      <c r="M417" s="37">
        <v>2.1999999999999999E-2</v>
      </c>
      <c r="N417" s="38">
        <v>1.93E-4</v>
      </c>
      <c r="O417" s="141">
        <v>4601004179295</v>
      </c>
    </row>
    <row r="418" spans="1:15" s="1" customFormat="1" ht="11.45" customHeight="1" outlineLevel="4" x14ac:dyDescent="0.2">
      <c r="A418" s="32" t="s">
        <v>4663</v>
      </c>
      <c r="B418" s="74" t="s">
        <v>4664</v>
      </c>
      <c r="C418" s="50"/>
      <c r="D418" s="139">
        <f t="shared" si="6"/>
        <v>0</v>
      </c>
      <c r="E418" s="140">
        <v>33.75</v>
      </c>
      <c r="F418" s="140">
        <v>27.66</v>
      </c>
      <c r="G418" s="34" t="s">
        <v>100</v>
      </c>
      <c r="H418" s="34" t="s">
        <v>39</v>
      </c>
      <c r="I418" s="35">
        <v>1</v>
      </c>
      <c r="J418" s="35">
        <v>1</v>
      </c>
      <c r="K418" s="35">
        <v>250</v>
      </c>
      <c r="L418" s="60" t="str">
        <f>HYPERLINK("https://www.sds-group.ru/product/trubka-termousazhivaemaya-tut-ng-ls-2-1-5-2-5-belaya-rolik-2-44m-rexant-29-0021/", "Инфо")</f>
        <v>Инфо</v>
      </c>
      <c r="M418" s="37">
        <v>2.8000000000000001E-2</v>
      </c>
      <c r="N418" s="38">
        <v>2.33E-4</v>
      </c>
      <c r="O418" s="141">
        <v>4601004173033</v>
      </c>
    </row>
    <row r="419" spans="1:15" s="1" customFormat="1" ht="11.45" customHeight="1" outlineLevel="4" x14ac:dyDescent="0.2">
      <c r="A419" s="32" t="s">
        <v>4665</v>
      </c>
      <c r="B419" s="74" t="s">
        <v>4666</v>
      </c>
      <c r="C419" s="50"/>
      <c r="D419" s="139">
        <f t="shared" si="6"/>
        <v>0</v>
      </c>
      <c r="E419" s="140">
        <v>33.75</v>
      </c>
      <c r="F419" s="140">
        <v>27.66</v>
      </c>
      <c r="G419" s="34" t="s">
        <v>100</v>
      </c>
      <c r="H419" s="34" t="s">
        <v>39</v>
      </c>
      <c r="I419" s="35">
        <v>1</v>
      </c>
      <c r="J419" s="35">
        <v>1</v>
      </c>
      <c r="K419" s="35">
        <v>250</v>
      </c>
      <c r="L419" s="60" t="str">
        <f>HYPERLINK("https://www.sds-group.ru/product/trubka-termousazhivaemaya-tut-ng-ls-2-1-5-2-5-krasnaya-rolik-2-44m-rexant-29-0024/", "Инфо")</f>
        <v>Инфо</v>
      </c>
      <c r="M419" s="37">
        <v>2.8000000000000001E-2</v>
      </c>
      <c r="N419" s="38">
        <v>2.33E-4</v>
      </c>
      <c r="O419" s="141">
        <v>4601004173095</v>
      </c>
    </row>
    <row r="420" spans="1:15" s="1" customFormat="1" ht="11.45" customHeight="1" outlineLevel="4" x14ac:dyDescent="0.2">
      <c r="A420" s="32" t="s">
        <v>4667</v>
      </c>
      <c r="B420" s="74" t="s">
        <v>4668</v>
      </c>
      <c r="C420" s="50"/>
      <c r="D420" s="139">
        <f t="shared" si="6"/>
        <v>0</v>
      </c>
      <c r="E420" s="140">
        <v>35.630000000000003</v>
      </c>
      <c r="F420" s="140">
        <v>29.2</v>
      </c>
      <c r="G420" s="34" t="s">
        <v>100</v>
      </c>
      <c r="H420" s="34" t="s">
        <v>39</v>
      </c>
      <c r="I420" s="35">
        <v>1</v>
      </c>
      <c r="J420" s="35">
        <v>1</v>
      </c>
      <c r="K420" s="35">
        <v>250</v>
      </c>
      <c r="L420" s="60" t="str">
        <f>HYPERLINK("https://www.sds-group.ru/product/trubka-termousazhivaemaya-tut-ng-ls-2-1-5-2-5-sinyaya-rolik-2-44m-rexant-29-0025/", "Инфо")</f>
        <v>Инфо</v>
      </c>
      <c r="M420" s="37">
        <v>2.7E-2</v>
      </c>
      <c r="N420" s="38">
        <v>2.3599999999999999E-4</v>
      </c>
      <c r="O420" s="141">
        <v>4601004173156</v>
      </c>
    </row>
    <row r="421" spans="1:15" s="1" customFormat="1" ht="11.45" customHeight="1" outlineLevel="4" x14ac:dyDescent="0.2">
      <c r="A421" s="32" t="s">
        <v>4669</v>
      </c>
      <c r="B421" s="74" t="s">
        <v>4670</v>
      </c>
      <c r="C421" s="50"/>
      <c r="D421" s="139">
        <f t="shared" si="6"/>
        <v>0</v>
      </c>
      <c r="E421" s="140">
        <v>39.75</v>
      </c>
      <c r="F421" s="140">
        <v>32.58</v>
      </c>
      <c r="G421" s="34" t="s">
        <v>100</v>
      </c>
      <c r="H421" s="34" t="s">
        <v>39</v>
      </c>
      <c r="I421" s="35">
        <v>1</v>
      </c>
      <c r="J421" s="35">
        <v>1</v>
      </c>
      <c r="K421" s="35">
        <v>250</v>
      </c>
      <c r="L421" s="60" t="str">
        <f>HYPERLINK("https://www.sds-group.ru/product/trubka-termousazhivaemaya-tut-ng-ls-2-1-5-2-5-chernaya-rolik-2-44m-rexant-29-0026/", "Инфо")</f>
        <v>Инфо</v>
      </c>
      <c r="M421" s="37">
        <v>2.9000000000000001E-2</v>
      </c>
      <c r="N421" s="38">
        <v>2.72E-4</v>
      </c>
      <c r="O421" s="141">
        <v>4601004179301</v>
      </c>
    </row>
    <row r="422" spans="1:15" s="1" customFormat="1" ht="11.45" customHeight="1" outlineLevel="4" x14ac:dyDescent="0.2">
      <c r="A422" s="32" t="s">
        <v>4671</v>
      </c>
      <c r="B422" s="74" t="s">
        <v>4672</v>
      </c>
      <c r="C422" s="50"/>
      <c r="D422" s="139">
        <f t="shared" si="6"/>
        <v>0</v>
      </c>
      <c r="E422" s="140">
        <v>36.54</v>
      </c>
      <c r="F422" s="140">
        <v>29.95</v>
      </c>
      <c r="G422" s="34" t="s">
        <v>100</v>
      </c>
      <c r="H422" s="34" t="s">
        <v>39</v>
      </c>
      <c r="I422" s="35">
        <v>1</v>
      </c>
      <c r="J422" s="35">
        <v>1</v>
      </c>
      <c r="K422" s="35">
        <v>250</v>
      </c>
      <c r="L422" s="60" t="str">
        <f>HYPERLINK("https://www.sds-group.ru/product/trubka-termousazhivaemaya-tut-ng-ls-2-1-6-3-belaya-rolik-2-44m-rexant-29-0031/", "Инфо")</f>
        <v>Инфо</v>
      </c>
      <c r="M422" s="37">
        <v>0.03</v>
      </c>
      <c r="N422" s="38">
        <v>3.6000000000000001E-5</v>
      </c>
      <c r="O422" s="141">
        <v>4601004173040</v>
      </c>
    </row>
    <row r="423" spans="1:15" s="1" customFormat="1" ht="11.45" customHeight="1" outlineLevel="4" x14ac:dyDescent="0.2">
      <c r="A423" s="32" t="s">
        <v>4673</v>
      </c>
      <c r="B423" s="74" t="s">
        <v>4674</v>
      </c>
      <c r="C423" s="50"/>
      <c r="D423" s="139">
        <f t="shared" si="6"/>
        <v>0</v>
      </c>
      <c r="E423" s="140">
        <v>36.54</v>
      </c>
      <c r="F423" s="140">
        <v>29.95</v>
      </c>
      <c r="G423" s="34" t="s">
        <v>100</v>
      </c>
      <c r="H423" s="34" t="s">
        <v>39</v>
      </c>
      <c r="I423" s="35">
        <v>1</v>
      </c>
      <c r="J423" s="35">
        <v>1</v>
      </c>
      <c r="K423" s="35">
        <v>250</v>
      </c>
      <c r="L423" s="60" t="str">
        <f>HYPERLINK("https://www.sds-group.ru/product/trubka-termousazhivaemaya-tut-ng-ls-2-1-6-3-krasnaya-rolik-2-44m-rexant-29-0034/", "Инфо")</f>
        <v>Инфо</v>
      </c>
      <c r="M423" s="37">
        <v>0.03</v>
      </c>
      <c r="N423" s="38">
        <v>2.3800000000000001E-4</v>
      </c>
      <c r="O423" s="141">
        <v>4601004173101</v>
      </c>
    </row>
    <row r="424" spans="1:15" s="1" customFormat="1" ht="11.45" customHeight="1" outlineLevel="4" x14ac:dyDescent="0.2">
      <c r="A424" s="32" t="s">
        <v>4675</v>
      </c>
      <c r="B424" s="74" t="s">
        <v>4676</v>
      </c>
      <c r="C424" s="50"/>
      <c r="D424" s="139">
        <f t="shared" si="6"/>
        <v>0</v>
      </c>
      <c r="E424" s="140">
        <v>36.54</v>
      </c>
      <c r="F424" s="140">
        <v>29.95</v>
      </c>
      <c r="G424" s="34" t="s">
        <v>100</v>
      </c>
      <c r="H424" s="34" t="s">
        <v>39</v>
      </c>
      <c r="I424" s="35">
        <v>1</v>
      </c>
      <c r="J424" s="35">
        <v>1</v>
      </c>
      <c r="K424" s="35">
        <v>250</v>
      </c>
      <c r="L424" s="60" t="str">
        <f>HYPERLINK("https://www.sds-group.ru/product/trubka-termousazhivaemaya-tut-ng-ls-2-1-6-3-sinyaya-rolik-2-44m-rexant-29-0035/", "Инфо")</f>
        <v>Инфо</v>
      </c>
      <c r="M424" s="37">
        <v>0.03</v>
      </c>
      <c r="N424" s="38">
        <v>2.33E-4</v>
      </c>
      <c r="O424" s="141">
        <v>4601004173163</v>
      </c>
    </row>
    <row r="425" spans="1:15" s="1" customFormat="1" ht="11.45" customHeight="1" outlineLevel="4" x14ac:dyDescent="0.2">
      <c r="A425" s="32" t="s">
        <v>4677</v>
      </c>
      <c r="B425" s="74" t="s">
        <v>4678</v>
      </c>
      <c r="C425" s="50"/>
      <c r="D425" s="139">
        <f t="shared" si="6"/>
        <v>0</v>
      </c>
      <c r="E425" s="140">
        <v>38.56</v>
      </c>
      <c r="F425" s="140">
        <v>31.61</v>
      </c>
      <c r="G425" s="34" t="s">
        <v>100</v>
      </c>
      <c r="H425" s="34" t="s">
        <v>39</v>
      </c>
      <c r="I425" s="35">
        <v>1</v>
      </c>
      <c r="J425" s="35">
        <v>1</v>
      </c>
      <c r="K425" s="35">
        <v>250</v>
      </c>
      <c r="L425" s="60" t="str">
        <f>HYPERLINK("https://www.sds-group.ru/product/trubka-termousazhivaemaya-tut-ng-ls-2-1-6-3-chernaya-rolik-2-44m-rexant-29-0036/", "Инфо")</f>
        <v>Инфо</v>
      </c>
      <c r="M425" s="37">
        <v>3.3000000000000002E-2</v>
      </c>
      <c r="N425" s="38">
        <v>2.7900000000000001E-4</v>
      </c>
      <c r="O425" s="141">
        <v>4601004179332</v>
      </c>
    </row>
    <row r="426" spans="1:15" s="1" customFormat="1" ht="11.45" customHeight="1" outlineLevel="4" x14ac:dyDescent="0.2">
      <c r="A426" s="32" t="s">
        <v>4679</v>
      </c>
      <c r="B426" s="74" t="s">
        <v>4680</v>
      </c>
      <c r="C426" s="50"/>
      <c r="D426" s="139">
        <f t="shared" si="6"/>
        <v>0</v>
      </c>
      <c r="E426" s="140">
        <v>38.58</v>
      </c>
      <c r="F426" s="140">
        <v>31.62</v>
      </c>
      <c r="G426" s="34" t="s">
        <v>100</v>
      </c>
      <c r="H426" s="34" t="s">
        <v>39</v>
      </c>
      <c r="I426" s="35">
        <v>1</v>
      </c>
      <c r="J426" s="35">
        <v>1</v>
      </c>
      <c r="K426" s="35">
        <v>200</v>
      </c>
      <c r="L426" s="60" t="str">
        <f>HYPERLINK("https://www.sds-group.ru/product/trubka-termousazhivaemaya-tut-ng-ls-2-1-8-4-belaya-rolik-2-44m-rexant-29-0041/", "Инфо")</f>
        <v>Инфо</v>
      </c>
      <c r="M426" s="37">
        <v>0.04</v>
      </c>
      <c r="N426" s="38">
        <v>2.9100000000000003E-4</v>
      </c>
      <c r="O426" s="141">
        <v>4601004173057</v>
      </c>
    </row>
    <row r="427" spans="1:15" s="1" customFormat="1" ht="11.45" customHeight="1" outlineLevel="4" x14ac:dyDescent="0.2">
      <c r="A427" s="32" t="s">
        <v>4681</v>
      </c>
      <c r="B427" s="74" t="s">
        <v>4682</v>
      </c>
      <c r="C427" s="50"/>
      <c r="D427" s="139">
        <f t="shared" si="6"/>
        <v>0</v>
      </c>
      <c r="E427" s="140">
        <v>38.58</v>
      </c>
      <c r="F427" s="140">
        <v>31.62</v>
      </c>
      <c r="G427" s="34" t="s">
        <v>100</v>
      </c>
      <c r="H427" s="34" t="s">
        <v>39</v>
      </c>
      <c r="I427" s="35">
        <v>1</v>
      </c>
      <c r="J427" s="35">
        <v>1</v>
      </c>
      <c r="K427" s="35">
        <v>200</v>
      </c>
      <c r="L427" s="60" t="str">
        <f>HYPERLINK("https://www.sds-group.ru/product/trubka-termousazhivaemaya-tut-ng-ls-2-1-8-4-krasnaya-rolik-2-44m-rexant-29-0044/", "Инфо")</f>
        <v>Инфо</v>
      </c>
      <c r="M427" s="37">
        <v>0.04</v>
      </c>
      <c r="N427" s="38">
        <v>3.0499999999999999E-4</v>
      </c>
      <c r="O427" s="141">
        <v>4601004173118</v>
      </c>
    </row>
    <row r="428" spans="1:15" s="1" customFormat="1" ht="11.45" customHeight="1" outlineLevel="4" x14ac:dyDescent="0.2">
      <c r="A428" s="32" t="s">
        <v>4683</v>
      </c>
      <c r="B428" s="74" t="s">
        <v>4684</v>
      </c>
      <c r="C428" s="50"/>
      <c r="D428" s="139">
        <f t="shared" si="6"/>
        <v>0</v>
      </c>
      <c r="E428" s="140">
        <v>38.58</v>
      </c>
      <c r="F428" s="140">
        <v>31.62</v>
      </c>
      <c r="G428" s="34" t="s">
        <v>100</v>
      </c>
      <c r="H428" s="34" t="s">
        <v>39</v>
      </c>
      <c r="I428" s="35">
        <v>1</v>
      </c>
      <c r="J428" s="35">
        <v>1</v>
      </c>
      <c r="K428" s="35">
        <v>200</v>
      </c>
      <c r="L428" s="60" t="str">
        <f>HYPERLINK("https://www.sds-group.ru/product/trubka-termousazhivaemaya-tut-ng-ls-2-1-8-4-sinyaya-rolik-2-44m-rexant-29-0045/", "Инфо")</f>
        <v>Инфо</v>
      </c>
      <c r="M428" s="37">
        <v>4.2000000000000003E-2</v>
      </c>
      <c r="N428" s="38">
        <v>2.9100000000000003E-4</v>
      </c>
      <c r="O428" s="141">
        <v>4601004173170</v>
      </c>
    </row>
    <row r="429" spans="1:15" s="1" customFormat="1" ht="11.45" customHeight="1" outlineLevel="4" x14ac:dyDescent="0.2">
      <c r="A429" s="32" t="s">
        <v>4685</v>
      </c>
      <c r="B429" s="74" t="s">
        <v>4686</v>
      </c>
      <c r="C429" s="50"/>
      <c r="D429" s="139">
        <f t="shared" si="6"/>
        <v>0</v>
      </c>
      <c r="E429" s="140">
        <v>45.45</v>
      </c>
      <c r="F429" s="140">
        <v>37.25</v>
      </c>
      <c r="G429" s="34" t="s">
        <v>100</v>
      </c>
      <c r="H429" s="34" t="s">
        <v>39</v>
      </c>
      <c r="I429" s="35">
        <v>1</v>
      </c>
      <c r="J429" s="35">
        <v>1</v>
      </c>
      <c r="K429" s="35">
        <v>200</v>
      </c>
      <c r="L429" s="60" t="str">
        <f>HYPERLINK("https://www.sds-group.ru/product/trubka-termousazhivaemaya-tut-ng-ls-2-1-8-4-chernaya-rolik-2-44m-rexant-29-0046/", "Инфо")</f>
        <v>Инфо</v>
      </c>
      <c r="M429" s="37">
        <v>4.1000000000000002E-2</v>
      </c>
      <c r="N429" s="38">
        <v>2.8499999999999999E-4</v>
      </c>
      <c r="O429" s="141">
        <v>4601004179349</v>
      </c>
    </row>
    <row r="430" spans="1:15" ht="11.45" customHeight="1" outlineLevel="2" x14ac:dyDescent="0.2">
      <c r="A430" s="76" t="s">
        <v>4852</v>
      </c>
      <c r="B430" s="136"/>
      <c r="C430" s="77"/>
      <c r="D430" s="137"/>
      <c r="E430" s="4"/>
      <c r="F430" s="4"/>
      <c r="G430" s="4"/>
      <c r="H430" s="4"/>
      <c r="I430" s="4"/>
      <c r="J430" s="4"/>
      <c r="K430" s="4"/>
      <c r="L430" s="138"/>
      <c r="M430" s="4"/>
      <c r="N430" s="4"/>
      <c r="O430" s="4"/>
    </row>
    <row r="431" spans="1:15" s="1" customFormat="1" ht="11.45" customHeight="1" outlineLevel="3" x14ac:dyDescent="0.2">
      <c r="A431" s="32" t="s">
        <v>4853</v>
      </c>
      <c r="B431" s="74" t="s">
        <v>4854</v>
      </c>
      <c r="C431" s="50"/>
      <c r="D431" s="139">
        <f t="shared" si="6"/>
        <v>0</v>
      </c>
      <c r="E431" s="140">
        <v>90.21</v>
      </c>
      <c r="F431" s="140">
        <v>73.94</v>
      </c>
      <c r="G431" s="34" t="s">
        <v>100</v>
      </c>
      <c r="H431" s="34" t="s">
        <v>39</v>
      </c>
      <c r="I431" s="35">
        <v>1</v>
      </c>
      <c r="J431" s="35">
        <v>1</v>
      </c>
      <c r="K431" s="35">
        <v>100</v>
      </c>
      <c r="L431" s="60" t="str">
        <f>HYPERLINK("https://www.sds-group.ru/product/termousazhivaemaya-perchatka-na-3-zhily-87-0-46-0-mm-chernaya-rexant-48-3087/", "Инфо")</f>
        <v>Инфо</v>
      </c>
      <c r="M431" s="37">
        <v>0.126</v>
      </c>
      <c r="N431" s="38">
        <v>3.3649999999999999E-3</v>
      </c>
      <c r="O431" s="141">
        <v>4601004064980</v>
      </c>
    </row>
    <row r="432" spans="1:15" s="1" customFormat="1" ht="11.45" customHeight="1" outlineLevel="3" x14ac:dyDescent="0.2">
      <c r="A432" s="32" t="s">
        <v>4855</v>
      </c>
      <c r="B432" s="74" t="s">
        <v>4856</v>
      </c>
      <c r="C432" s="50"/>
      <c r="D432" s="139">
        <f t="shared" si="6"/>
        <v>0</v>
      </c>
      <c r="E432" s="140">
        <v>99.87</v>
      </c>
      <c r="F432" s="140">
        <v>81.86</v>
      </c>
      <c r="G432" s="34" t="s">
        <v>100</v>
      </c>
      <c r="H432" s="34" t="s">
        <v>39</v>
      </c>
      <c r="I432" s="35">
        <v>1</v>
      </c>
      <c r="J432" s="35">
        <v>1</v>
      </c>
      <c r="K432" s="35">
        <v>60</v>
      </c>
      <c r="L432" s="60" t="str">
        <f>HYPERLINK("https://www.sds-group.ru/product/termousazhivaemaya-perchatka-na-4-zhily-90-0-45-0-mm-chernaya-rexant-48-4090/", "Инфо")</f>
        <v>Инфо</v>
      </c>
      <c r="M432" s="37">
        <v>0.14899999999999999</v>
      </c>
      <c r="N432" s="38">
        <v>4.287E-3</v>
      </c>
      <c r="O432" s="141">
        <v>4601004065055</v>
      </c>
    </row>
    <row r="433" spans="1:15" s="1" customFormat="1" ht="11.45" customHeight="1" outlineLevel="3" x14ac:dyDescent="0.2">
      <c r="A433" s="32" t="s">
        <v>4857</v>
      </c>
      <c r="B433" s="74" t="s">
        <v>4858</v>
      </c>
      <c r="C433" s="50"/>
      <c r="D433" s="139">
        <f t="shared" si="6"/>
        <v>0</v>
      </c>
      <c r="E433" s="140">
        <v>124.38</v>
      </c>
      <c r="F433" s="140">
        <v>101.95</v>
      </c>
      <c r="G433" s="34" t="s">
        <v>100</v>
      </c>
      <c r="H433" s="34" t="s">
        <v>39</v>
      </c>
      <c r="I433" s="35">
        <v>1</v>
      </c>
      <c r="J433" s="35">
        <v>1</v>
      </c>
      <c r="K433" s="35">
        <v>75</v>
      </c>
      <c r="L433" s="60" t="str">
        <f>HYPERLINK("https://www.sds-group.ru/product/termousazhivaemyy-kolpak-kapa-120-0-57-0-mm-chernyy-rexant-48-1120/", "Инфо")</f>
        <v>Инфо</v>
      </c>
      <c r="M433" s="37">
        <v>0.13100000000000001</v>
      </c>
      <c r="N433" s="38">
        <v>3.457E-3</v>
      </c>
      <c r="O433" s="141">
        <v>4601004064898</v>
      </c>
    </row>
    <row r="434" spans="1:15" ht="11.45" customHeight="1" outlineLevel="2" x14ac:dyDescent="0.2">
      <c r="A434" s="76" t="s">
        <v>5037</v>
      </c>
      <c r="B434" s="136"/>
      <c r="C434" s="77"/>
      <c r="D434" s="137"/>
      <c r="E434" s="4"/>
      <c r="F434" s="4"/>
      <c r="G434" s="4"/>
      <c r="H434" s="4"/>
      <c r="I434" s="4"/>
      <c r="J434" s="4"/>
      <c r="K434" s="4"/>
      <c r="L434" s="138"/>
      <c r="M434" s="4"/>
      <c r="N434" s="4"/>
      <c r="O434" s="4"/>
    </row>
    <row r="435" spans="1:15" s="1" customFormat="1" ht="11.45" customHeight="1" outlineLevel="3" x14ac:dyDescent="0.2">
      <c r="A435" s="32" t="s">
        <v>5068</v>
      </c>
      <c r="B435" s="74" t="s">
        <v>5069</v>
      </c>
      <c r="C435" s="50"/>
      <c r="D435" s="139">
        <f t="shared" si="6"/>
        <v>0</v>
      </c>
      <c r="E435" s="140">
        <v>1.97</v>
      </c>
      <c r="F435" s="140">
        <v>1.61</v>
      </c>
      <c r="G435" s="34" t="s">
        <v>100</v>
      </c>
      <c r="H435" s="34" t="s">
        <v>1767</v>
      </c>
      <c r="I435" s="35">
        <v>400</v>
      </c>
      <c r="J435" s="35">
        <v>400</v>
      </c>
      <c r="K435" s="35">
        <v>800</v>
      </c>
      <c r="L435" s="60" t="str">
        <f>HYPERLINK("https://www.sds-group.ru/product/trubka-kembrik-tv-40-pvh-chernyy-1-5-mm-rexant-49-5001-1/", "Инфо")</f>
        <v>Инфо</v>
      </c>
      <c r="M435" s="37">
        <v>6.0000000000000001E-3</v>
      </c>
      <c r="N435" s="38">
        <v>2.1999999999999999E-5</v>
      </c>
      <c r="O435" s="141">
        <v>4601004300729</v>
      </c>
    </row>
    <row r="436" spans="1:15" s="1" customFormat="1" ht="11.45" customHeight="1" outlineLevel="3" x14ac:dyDescent="0.2">
      <c r="A436" s="32" t="s">
        <v>5076</v>
      </c>
      <c r="B436" s="74" t="s">
        <v>5077</v>
      </c>
      <c r="C436" s="50"/>
      <c r="D436" s="139">
        <f t="shared" si="6"/>
        <v>0</v>
      </c>
      <c r="E436" s="140">
        <v>2.0499999999999998</v>
      </c>
      <c r="F436" s="140">
        <v>1.68</v>
      </c>
      <c r="G436" s="34" t="s">
        <v>100</v>
      </c>
      <c r="H436" s="34" t="s">
        <v>1767</v>
      </c>
      <c r="I436" s="35">
        <v>400</v>
      </c>
      <c r="J436" s="35">
        <v>400</v>
      </c>
      <c r="K436" s="35">
        <v>800</v>
      </c>
      <c r="L436" s="60" t="str">
        <f>HYPERLINK("https://www.sds-group.ru/product/trubka-kembrik-tv-40-pvh-chernyy-2-mm-rexant-49-5002-1/", "Инфо")</f>
        <v>Инфо</v>
      </c>
      <c r="M436" s="37">
        <v>5.0000000000000001E-3</v>
      </c>
      <c r="N436" s="38">
        <v>2.8E-5</v>
      </c>
      <c r="O436" s="141">
        <v>4601004300750</v>
      </c>
    </row>
    <row r="437" spans="1:15" s="1" customFormat="1" ht="11.45" customHeight="1" outlineLevel="3" x14ac:dyDescent="0.2">
      <c r="A437" s="32" t="s">
        <v>5078</v>
      </c>
      <c r="B437" s="74" t="s">
        <v>5079</v>
      </c>
      <c r="C437" s="50"/>
      <c r="D437" s="139">
        <f t="shared" si="6"/>
        <v>0</v>
      </c>
      <c r="E437" s="140">
        <v>2.14</v>
      </c>
      <c r="F437" s="140">
        <v>1.75</v>
      </c>
      <c r="G437" s="34" t="s">
        <v>100</v>
      </c>
      <c r="H437" s="34" t="s">
        <v>1767</v>
      </c>
      <c r="I437" s="35">
        <v>400</v>
      </c>
      <c r="J437" s="35">
        <v>400</v>
      </c>
      <c r="K437" s="35">
        <v>800</v>
      </c>
      <c r="L437" s="60" t="str">
        <f>HYPERLINK("https://www.sds-group.ru/product/trubka-kembrik-tv-40-pvh-chernyy-3-mm-rexant-49-5003-1/", "Инфо")</f>
        <v>Инфо</v>
      </c>
      <c r="M437" s="37">
        <v>7.0000000000000001E-3</v>
      </c>
      <c r="N437" s="38">
        <v>3.0000000000000001E-5</v>
      </c>
      <c r="O437" s="141">
        <v>4601004300774</v>
      </c>
    </row>
    <row r="438" spans="1:15" ht="11.45" customHeight="1" outlineLevel="1" x14ac:dyDescent="0.2">
      <c r="A438" s="78" t="s">
        <v>5094</v>
      </c>
      <c r="B438" s="132"/>
      <c r="C438" s="79"/>
      <c r="D438" s="133"/>
      <c r="E438" s="134"/>
      <c r="F438" s="134"/>
      <c r="G438" s="134"/>
      <c r="H438" s="134"/>
      <c r="I438" s="134"/>
      <c r="J438" s="134"/>
      <c r="K438" s="134"/>
      <c r="L438" s="135"/>
      <c r="M438" s="134"/>
      <c r="N438" s="134"/>
      <c r="O438" s="134"/>
    </row>
    <row r="439" spans="1:15" ht="11.45" customHeight="1" outlineLevel="2" x14ac:dyDescent="0.2">
      <c r="A439" s="76" t="s">
        <v>5095</v>
      </c>
      <c r="B439" s="136"/>
      <c r="C439" s="77"/>
      <c r="D439" s="137"/>
      <c r="E439" s="4"/>
      <c r="F439" s="4"/>
      <c r="G439" s="4"/>
      <c r="H439" s="4"/>
      <c r="I439" s="4"/>
      <c r="J439" s="4"/>
      <c r="K439" s="4"/>
      <c r="L439" s="138"/>
      <c r="M439" s="4"/>
      <c r="N439" s="4"/>
      <c r="O439" s="4"/>
    </row>
    <row r="440" spans="1:15" ht="11.45" customHeight="1" outlineLevel="3" x14ac:dyDescent="0.2">
      <c r="A440" s="76" t="s">
        <v>5096</v>
      </c>
      <c r="B440" s="136"/>
      <c r="C440" s="77"/>
      <c r="D440" s="137"/>
      <c r="E440" s="4"/>
      <c r="F440" s="4"/>
      <c r="G440" s="4"/>
      <c r="H440" s="4"/>
      <c r="I440" s="4"/>
      <c r="J440" s="4"/>
      <c r="K440" s="4"/>
      <c r="L440" s="138"/>
      <c r="M440" s="4"/>
      <c r="N440" s="4"/>
      <c r="O440" s="4"/>
    </row>
    <row r="441" spans="1:15" s="1" customFormat="1" ht="11.45" customHeight="1" outlineLevel="4" x14ac:dyDescent="0.2">
      <c r="A441" s="32" t="s">
        <v>5101</v>
      </c>
      <c r="B441" s="74" t="s">
        <v>5102</v>
      </c>
      <c r="C441" s="50"/>
      <c r="D441" s="139">
        <f t="shared" si="6"/>
        <v>0</v>
      </c>
      <c r="E441" s="140">
        <v>25.92</v>
      </c>
      <c r="F441" s="140">
        <v>21.25</v>
      </c>
      <c r="G441" s="34" t="s">
        <v>100</v>
      </c>
      <c r="H441" s="34" t="s">
        <v>39</v>
      </c>
      <c r="I441" s="35">
        <v>10</v>
      </c>
      <c r="J441" s="35">
        <v>10</v>
      </c>
      <c r="K441" s="39">
        <v>2000</v>
      </c>
      <c r="L441" s="60" t="str">
        <f>HYPERLINK("https://www.sds-group.ru/product/vyklyuchatel-klavishnyy-12v-15a-3s-vkl-vykl-siniy-s-podsvetkoy-mini-rexant-36-2171/", "Инфо")</f>
        <v>Инфо</v>
      </c>
      <c r="M441" s="37">
        <v>5.0000000000000001E-3</v>
      </c>
      <c r="N441" s="38">
        <v>1.9000000000000001E-5</v>
      </c>
      <c r="O441" s="141">
        <v>4601004066229</v>
      </c>
    </row>
    <row r="442" spans="1:15" s="1" customFormat="1" ht="11.45" customHeight="1" outlineLevel="4" x14ac:dyDescent="0.2">
      <c r="A442" s="32" t="s">
        <v>5103</v>
      </c>
      <c r="B442" s="74" t="s">
        <v>5104</v>
      </c>
      <c r="C442" s="50"/>
      <c r="D442" s="139">
        <f t="shared" si="6"/>
        <v>0</v>
      </c>
      <c r="E442" s="140">
        <v>76.930000000000007</v>
      </c>
      <c r="F442" s="140">
        <v>63.06</v>
      </c>
      <c r="G442" s="34" t="s">
        <v>100</v>
      </c>
      <c r="H442" s="34" t="s">
        <v>39</v>
      </c>
      <c r="I442" s="35">
        <v>10</v>
      </c>
      <c r="J442" s="35">
        <v>10</v>
      </c>
      <c r="K442" s="35">
        <v>500</v>
      </c>
      <c r="L442" s="60" t="str">
        <f>HYPERLINK("https://www.sds-group.ru/product/vyklyuchatel-klavishnyy-12v-35a-4s-vkl-vykl-s-zheltoy-podsvetkoy-rexant-36-4442/", "Инфо")</f>
        <v>Инфо</v>
      </c>
      <c r="M442" s="37">
        <v>0.02</v>
      </c>
      <c r="N442" s="38">
        <v>6.9999999999999994E-5</v>
      </c>
      <c r="O442" s="141">
        <v>4601004066946</v>
      </c>
    </row>
    <row r="443" spans="1:15" s="1" customFormat="1" ht="11.45" customHeight="1" outlineLevel="4" x14ac:dyDescent="0.2">
      <c r="A443" s="32" t="s">
        <v>5105</v>
      </c>
      <c r="B443" s="74" t="s">
        <v>5106</v>
      </c>
      <c r="C443" s="50"/>
      <c r="D443" s="139">
        <f t="shared" si="6"/>
        <v>0</v>
      </c>
      <c r="E443" s="140">
        <v>93.84</v>
      </c>
      <c r="F443" s="140">
        <v>76.92</v>
      </c>
      <c r="G443" s="34" t="s">
        <v>100</v>
      </c>
      <c r="H443" s="34" t="s">
        <v>39</v>
      </c>
      <c r="I443" s="35">
        <v>10</v>
      </c>
      <c r="J443" s="35">
        <v>10</v>
      </c>
      <c r="K443" s="35">
        <v>500</v>
      </c>
      <c r="L443" s="60" t="str">
        <f>HYPERLINK("https://www.sds-group.ru/product/vyklyuchatel-klavishnyy-12v-35a-4s-vkl-vykl-s-zelenoy-podsvetkoy-rexant-36-4441/", "Инфо")</f>
        <v>Инфо</v>
      </c>
      <c r="M443" s="37">
        <v>0.02</v>
      </c>
      <c r="N443" s="38">
        <v>7.4999999999999993E-5</v>
      </c>
      <c r="O443" s="141">
        <v>4601004066939</v>
      </c>
    </row>
    <row r="444" spans="1:15" s="1" customFormat="1" ht="11.45" customHeight="1" outlineLevel="4" x14ac:dyDescent="0.2">
      <c r="A444" s="32" t="s">
        <v>5107</v>
      </c>
      <c r="B444" s="74" t="s">
        <v>5108</v>
      </c>
      <c r="C444" s="50"/>
      <c r="D444" s="139">
        <f t="shared" si="6"/>
        <v>0</v>
      </c>
      <c r="E444" s="140">
        <v>93.61</v>
      </c>
      <c r="F444" s="140">
        <v>76.73</v>
      </c>
      <c r="G444" s="34" t="s">
        <v>100</v>
      </c>
      <c r="H444" s="34" t="s">
        <v>39</v>
      </c>
      <c r="I444" s="35">
        <v>10</v>
      </c>
      <c r="J444" s="35">
        <v>10</v>
      </c>
      <c r="K444" s="35">
        <v>500</v>
      </c>
      <c r="L444" s="60" t="str">
        <f>HYPERLINK("https://www.sds-group.ru/product/vyklyuchatel-klavishnyy-12v-35a-4s-vkl-vykl-s-siney-podsvetkoy-rexant-36-4443/", "Инфо")</f>
        <v>Инфо</v>
      </c>
      <c r="M444" s="37">
        <v>1.9E-2</v>
      </c>
      <c r="N444" s="38">
        <v>7.2000000000000002E-5</v>
      </c>
      <c r="O444" s="141">
        <v>4601004066953</v>
      </c>
    </row>
    <row r="445" spans="1:15" s="1" customFormat="1" ht="11.45" customHeight="1" outlineLevel="4" x14ac:dyDescent="0.2">
      <c r="A445" s="32" t="s">
        <v>5123</v>
      </c>
      <c r="B445" s="74" t="s">
        <v>5124</v>
      </c>
      <c r="C445" s="50"/>
      <c r="D445" s="139">
        <f t="shared" si="6"/>
        <v>0</v>
      </c>
      <c r="E445" s="140">
        <v>81.400000000000006</v>
      </c>
      <c r="F445" s="140">
        <v>66.72</v>
      </c>
      <c r="G445" s="34" t="s">
        <v>100</v>
      </c>
      <c r="H445" s="34" t="s">
        <v>39</v>
      </c>
      <c r="I445" s="35">
        <v>10</v>
      </c>
      <c r="J445" s="35">
        <v>10</v>
      </c>
      <c r="K445" s="39">
        <v>1000</v>
      </c>
      <c r="L445" s="60" t="str">
        <f>HYPERLINK("https://www.sds-group.ru/product/vyklyuchatel-klavishnyy-ovalnyy-12v-30a-3s-vkl-vykl-chernyy-s-siney-podsvetkoy-rexant-36-2671/", "Инфо")</f>
        <v>Инфо</v>
      </c>
      <c r="M445" s="37">
        <v>0.01</v>
      </c>
      <c r="N445" s="38">
        <v>2.8E-5</v>
      </c>
      <c r="O445" s="141">
        <v>4601004066878</v>
      </c>
    </row>
    <row r="446" spans="1:15" s="1" customFormat="1" ht="11.45" customHeight="1" outlineLevel="4" x14ac:dyDescent="0.2">
      <c r="A446" s="32" t="s">
        <v>5127</v>
      </c>
      <c r="B446" s="74" t="s">
        <v>5128</v>
      </c>
      <c r="C446" s="50"/>
      <c r="D446" s="139">
        <f t="shared" si="6"/>
        <v>0</v>
      </c>
      <c r="E446" s="140">
        <v>103.55</v>
      </c>
      <c r="F446" s="140">
        <v>84.88</v>
      </c>
      <c r="G446" s="34" t="s">
        <v>100</v>
      </c>
      <c r="H446" s="34" t="s">
        <v>39</v>
      </c>
      <c r="I446" s="35">
        <v>10</v>
      </c>
      <c r="J446" s="35">
        <v>10</v>
      </c>
      <c r="K446" s="35">
        <v>500</v>
      </c>
      <c r="L446" s="60" t="str">
        <f>HYPERLINK("https://www.sds-group.ru/product/pereklyuchatel-steklopodemnika-klavishnyy-12v-20a-6s-vkl-vykl-vkl-chernyy-s-podsvetkoy-i-pro-36-4430/", "Инфо")</f>
        <v>Инфо</v>
      </c>
      <c r="M446" s="37">
        <v>2.1999999999999999E-2</v>
      </c>
      <c r="N446" s="38">
        <v>1.2300000000000001E-4</v>
      </c>
      <c r="O446" s="141">
        <v>4601004037809</v>
      </c>
    </row>
    <row r="447" spans="1:15" ht="11.45" customHeight="1" outlineLevel="3" x14ac:dyDescent="0.2">
      <c r="A447" s="76" t="s">
        <v>5132</v>
      </c>
      <c r="B447" s="136"/>
      <c r="C447" s="77"/>
      <c r="D447" s="137"/>
      <c r="E447" s="4"/>
      <c r="F447" s="4"/>
      <c r="G447" s="4"/>
      <c r="H447" s="4"/>
      <c r="I447" s="4"/>
      <c r="J447" s="4"/>
      <c r="K447" s="4"/>
      <c r="L447" s="138"/>
      <c r="M447" s="4"/>
      <c r="N447" s="4"/>
      <c r="O447" s="4"/>
    </row>
    <row r="448" spans="1:15" s="1" customFormat="1" ht="11.45" customHeight="1" outlineLevel="4" x14ac:dyDescent="0.2">
      <c r="A448" s="32" t="s">
        <v>5137</v>
      </c>
      <c r="B448" s="74" t="s">
        <v>5136</v>
      </c>
      <c r="C448" s="50"/>
      <c r="D448" s="139">
        <f t="shared" si="6"/>
        <v>0</v>
      </c>
      <c r="E448" s="140">
        <v>23.13</v>
      </c>
      <c r="F448" s="140">
        <v>18.96</v>
      </c>
      <c r="G448" s="34" t="s">
        <v>100</v>
      </c>
      <c r="H448" s="34" t="s">
        <v>39</v>
      </c>
      <c r="I448" s="35">
        <v>10</v>
      </c>
      <c r="J448" s="35">
        <v>10</v>
      </c>
      <c r="K448" s="35">
        <v>960</v>
      </c>
      <c r="L448" s="60" t="str">
        <f>HYPERLINK("https://www.sds-group.ru/product/vyklyuchatel-klavishnyy-250v-15a-3s-vkl-vykl-zelenyy-s-podsvetkoy-rexant-36-2226/", "Инфо")</f>
        <v>Инфо</v>
      </c>
      <c r="M448" s="37">
        <v>8.0000000000000002E-3</v>
      </c>
      <c r="N448" s="38">
        <v>2.9E-5</v>
      </c>
      <c r="O448" s="141">
        <v>4601004066335</v>
      </c>
    </row>
    <row r="449" spans="1:15" s="1" customFormat="1" ht="11.45" customHeight="1" outlineLevel="4" x14ac:dyDescent="0.2">
      <c r="A449" s="32" t="s">
        <v>5203</v>
      </c>
      <c r="B449" s="74" t="s">
        <v>5204</v>
      </c>
      <c r="C449" s="50"/>
      <c r="D449" s="139">
        <f t="shared" si="6"/>
        <v>0</v>
      </c>
      <c r="E449" s="140">
        <v>20.94</v>
      </c>
      <c r="F449" s="140">
        <v>17.16</v>
      </c>
      <c r="G449" s="34" t="s">
        <v>100</v>
      </c>
      <c r="H449" s="34" t="s">
        <v>39</v>
      </c>
      <c r="I449" s="35">
        <v>10</v>
      </c>
      <c r="J449" s="35">
        <v>10</v>
      </c>
      <c r="K449" s="39">
        <v>1000</v>
      </c>
      <c r="L449" s="60" t="str">
        <f>HYPERLINK("https://www.sds-group.ru/product/vyklyuchatel-klavishnyy-250v-6a-3s-vkl-vykl-zelenyy-s-podsvetkoy-mini-rexant-36-2153/", "Инфо")</f>
        <v>Инфо</v>
      </c>
      <c r="M449" s="37">
        <v>4.0000000000000001E-3</v>
      </c>
      <c r="N449" s="38">
        <v>1.5E-5</v>
      </c>
      <c r="O449" s="141">
        <v>4601004066168</v>
      </c>
    </row>
    <row r="450" spans="1:15" s="1" customFormat="1" ht="11.45" customHeight="1" outlineLevel="4" x14ac:dyDescent="0.2">
      <c r="A450" s="32" t="s">
        <v>5207</v>
      </c>
      <c r="B450" s="74" t="s">
        <v>5208</v>
      </c>
      <c r="C450" s="50"/>
      <c r="D450" s="139">
        <f t="shared" si="6"/>
        <v>0</v>
      </c>
      <c r="E450" s="140">
        <v>5.69</v>
      </c>
      <c r="F450" s="140">
        <v>4.66</v>
      </c>
      <c r="G450" s="34" t="s">
        <v>100</v>
      </c>
      <c r="H450" s="34" t="s">
        <v>39</v>
      </c>
      <c r="I450" s="35">
        <v>10</v>
      </c>
      <c r="J450" s="35">
        <v>10</v>
      </c>
      <c r="K450" s="39">
        <v>1000</v>
      </c>
      <c r="L450" s="60" t="str">
        <f>HYPERLINK("https://www.sds-group.ru/product/vyklyuchatel-klavishnyy-250v-6a-4s-vkl-vykl-zheltyy-s-podsvetkoy-mini-rexant-36-2192/", "Инфо")</f>
        <v>Инфо</v>
      </c>
      <c r="M450" s="37">
        <v>5.0000000000000001E-3</v>
      </c>
      <c r="N450" s="38">
        <v>2.6999999999999999E-5</v>
      </c>
      <c r="O450" s="141">
        <v>4601004066274</v>
      </c>
    </row>
    <row r="451" spans="1:15" s="1" customFormat="1" ht="11.45" customHeight="1" outlineLevel="4" x14ac:dyDescent="0.2">
      <c r="A451" s="32" t="s">
        <v>5214</v>
      </c>
      <c r="B451" s="74" t="s">
        <v>5215</v>
      </c>
      <c r="C451" s="50"/>
      <c r="D451" s="139">
        <f t="shared" si="6"/>
        <v>0</v>
      </c>
      <c r="E451" s="140">
        <v>19.72</v>
      </c>
      <c r="F451" s="140">
        <v>16.16</v>
      </c>
      <c r="G451" s="34" t="s">
        <v>100</v>
      </c>
      <c r="H451" s="34" t="s">
        <v>39</v>
      </c>
      <c r="I451" s="35">
        <v>10</v>
      </c>
      <c r="J451" s="35">
        <v>10</v>
      </c>
      <c r="K451" s="39">
        <v>3000</v>
      </c>
      <c r="L451" s="60" t="str">
        <f>HYPERLINK("https://www.sds-group.ru/product/vyklyuchatel-klavishnyy-250v-6a-4s-vkl-vykl-siniy-s-podsvetkoy-mini-rexant-36-2191/", "Инфо")</f>
        <v>Инфо</v>
      </c>
      <c r="M451" s="37">
        <v>5.0000000000000001E-3</v>
      </c>
      <c r="N451" s="38">
        <v>2.0999999999999999E-5</v>
      </c>
      <c r="O451" s="141">
        <v>4601004066267</v>
      </c>
    </row>
    <row r="452" spans="1:15" s="1" customFormat="1" ht="11.45" customHeight="1" outlineLevel="4" x14ac:dyDescent="0.2">
      <c r="A452" s="32" t="s">
        <v>5218</v>
      </c>
      <c r="B452" s="74" t="s">
        <v>5219</v>
      </c>
      <c r="C452" s="50"/>
      <c r="D452" s="139">
        <f t="shared" si="6"/>
        <v>0</v>
      </c>
      <c r="E452" s="140">
        <v>37.619999999999997</v>
      </c>
      <c r="F452" s="140">
        <v>30.84</v>
      </c>
      <c r="G452" s="34" t="s">
        <v>100</v>
      </c>
      <c r="H452" s="34" t="s">
        <v>39</v>
      </c>
      <c r="I452" s="35">
        <v>10</v>
      </c>
      <c r="J452" s="35">
        <v>10</v>
      </c>
      <c r="K452" s="39">
        <v>1000</v>
      </c>
      <c r="L452" s="60" t="str">
        <f>HYPERLINK("https://www.sds-group.ru/product/vyklyuchatel-klavishnyy-250v-6a-6s-vkl-vykl-krasnyy-s-podsvetkoy-dvoynoy-mini-rexant-36-2160/", "Инфо")</f>
        <v>Инфо</v>
      </c>
      <c r="M452" s="37">
        <v>8.9999999999999993E-3</v>
      </c>
      <c r="N452" s="38">
        <v>2.5999999999999998E-5</v>
      </c>
      <c r="O452" s="141">
        <v>4601004066175</v>
      </c>
    </row>
    <row r="453" spans="1:15" s="1" customFormat="1" ht="11.45" customHeight="1" outlineLevel="4" x14ac:dyDescent="0.2">
      <c r="A453" s="32" t="s">
        <v>5224</v>
      </c>
      <c r="B453" s="74" t="s">
        <v>5225</v>
      </c>
      <c r="C453" s="50"/>
      <c r="D453" s="139">
        <f t="shared" si="6"/>
        <v>0</v>
      </c>
      <c r="E453" s="140">
        <v>21.39</v>
      </c>
      <c r="F453" s="140">
        <v>17.53</v>
      </c>
      <c r="G453" s="34" t="s">
        <v>100</v>
      </c>
      <c r="H453" s="34" t="s">
        <v>39</v>
      </c>
      <c r="I453" s="35">
        <v>10</v>
      </c>
      <c r="J453" s="35">
        <v>10</v>
      </c>
      <c r="K453" s="39">
        <v>3000</v>
      </c>
      <c r="L453" s="60" t="str">
        <f>HYPERLINK("https://www.sds-group.ru/product/vyklyuchatel-klavishnyy-kruglyy-250v-3a-3s-vkl-vykl-zheltyy-s-podsvetkoy-mikro-rexant-36-2532/", "Инфо")</f>
        <v>Инфо</v>
      </c>
      <c r="M453" s="37">
        <v>2E-3</v>
      </c>
      <c r="N453" s="38">
        <v>2.0000000000000002E-5</v>
      </c>
      <c r="O453" s="141">
        <v>4601004066618</v>
      </c>
    </row>
    <row r="454" spans="1:15" s="1" customFormat="1" ht="11.45" customHeight="1" outlineLevel="4" x14ac:dyDescent="0.2">
      <c r="A454" s="32" t="s">
        <v>5232</v>
      </c>
      <c r="B454" s="74" t="s">
        <v>5233</v>
      </c>
      <c r="C454" s="50"/>
      <c r="D454" s="139">
        <f t="shared" si="6"/>
        <v>0</v>
      </c>
      <c r="E454" s="140">
        <v>27.36</v>
      </c>
      <c r="F454" s="140">
        <v>22.43</v>
      </c>
      <c r="G454" s="34" t="s">
        <v>100</v>
      </c>
      <c r="H454" s="34" t="s">
        <v>39</v>
      </c>
      <c r="I454" s="35">
        <v>10</v>
      </c>
      <c r="J454" s="35">
        <v>10</v>
      </c>
      <c r="K454" s="39">
        <v>3000</v>
      </c>
      <c r="L454" s="60" t="str">
        <f>HYPERLINK("https://www.sds-group.ru/product/vyklyuchatel-klavishnyy-kruglyy-250v-3a-3s-vkl-vykl-siniy-s-podsvetkoy-mikro-rexant-36-2531/", "Инфо")</f>
        <v>Инфо</v>
      </c>
      <c r="M454" s="37">
        <v>2E-3</v>
      </c>
      <c r="N454" s="38">
        <v>9.0000000000000002E-6</v>
      </c>
      <c r="O454" s="141">
        <v>4601004066601</v>
      </c>
    </row>
    <row r="455" spans="1:15" s="1" customFormat="1" ht="11.45" customHeight="1" outlineLevel="4" x14ac:dyDescent="0.2">
      <c r="A455" s="32" t="s">
        <v>5240</v>
      </c>
      <c r="B455" s="74" t="s">
        <v>5241</v>
      </c>
      <c r="C455" s="50"/>
      <c r="D455" s="139">
        <f t="shared" si="6"/>
        <v>0</v>
      </c>
      <c r="E455" s="140">
        <v>20.29</v>
      </c>
      <c r="F455" s="140">
        <v>16.63</v>
      </c>
      <c r="G455" s="34" t="s">
        <v>100</v>
      </c>
      <c r="H455" s="34" t="s">
        <v>39</v>
      </c>
      <c r="I455" s="35">
        <v>10</v>
      </c>
      <c r="J455" s="35">
        <v>10</v>
      </c>
      <c r="K455" s="39">
        <v>3000</v>
      </c>
      <c r="L455" s="60" t="str">
        <f>HYPERLINK("https://www.sds-group.ru/product/vyklyuchatel-klavishnyy-kruglyy-250v-6a-3s-vkl-vykl-zheltyy-s-podsvetkoy-rexant-36-2572/", "Инфо")</f>
        <v>Инфо</v>
      </c>
      <c r="M455" s="37">
        <v>5.0000000000000001E-3</v>
      </c>
      <c r="N455" s="38">
        <v>1.5E-5</v>
      </c>
      <c r="O455" s="141">
        <v>4601004066687</v>
      </c>
    </row>
    <row r="456" spans="1:15" s="1" customFormat="1" ht="11.45" customHeight="1" outlineLevel="4" x14ac:dyDescent="0.2">
      <c r="A456" s="32" t="s">
        <v>5250</v>
      </c>
      <c r="B456" s="74" t="s">
        <v>5249</v>
      </c>
      <c r="C456" s="50"/>
      <c r="D456" s="139">
        <f t="shared" si="6"/>
        <v>0</v>
      </c>
      <c r="E456" s="140">
        <v>8</v>
      </c>
      <c r="F456" s="140">
        <v>6.56</v>
      </c>
      <c r="G456" s="34" t="s">
        <v>100</v>
      </c>
      <c r="H456" s="34" t="s">
        <v>39</v>
      </c>
      <c r="I456" s="35">
        <v>10</v>
      </c>
      <c r="J456" s="35">
        <v>10</v>
      </c>
      <c r="K456" s="39">
        <v>2000</v>
      </c>
      <c r="L456" s="60" t="str">
        <f>HYPERLINK("https://www.sds-group.ru/product/vyklyuchatel-klavishnyy-kruglyy-250v-6a-3s-vkl-vykl-siniy-s-podsvetkoy-rexant-36-2601/", "Инфо")</f>
        <v>Инфо</v>
      </c>
      <c r="M456" s="37">
        <v>6.0000000000000001E-3</v>
      </c>
      <c r="N456" s="38">
        <v>3.3000000000000003E-5</v>
      </c>
      <c r="O456" s="141">
        <v>4601004133310</v>
      </c>
    </row>
    <row r="457" spans="1:15" s="1" customFormat="1" ht="11.45" customHeight="1" outlineLevel="4" x14ac:dyDescent="0.2">
      <c r="A457" s="32" t="s">
        <v>5261</v>
      </c>
      <c r="B457" s="74" t="s">
        <v>5262</v>
      </c>
      <c r="C457" s="50"/>
      <c r="D457" s="139">
        <f t="shared" si="6"/>
        <v>0</v>
      </c>
      <c r="E457" s="140">
        <v>40.36</v>
      </c>
      <c r="F457" s="140">
        <v>33.08</v>
      </c>
      <c r="G457" s="34" t="s">
        <v>100</v>
      </c>
      <c r="H457" s="34" t="s">
        <v>39</v>
      </c>
      <c r="I457" s="35">
        <v>10</v>
      </c>
      <c r="J457" s="35">
        <v>10</v>
      </c>
      <c r="K457" s="35">
        <v>500</v>
      </c>
      <c r="L457" s="60" t="str">
        <f>HYPERLINK("https://www.sds-group.ru/product/pereklyuchatel-klavishnyy-250v-15a-6s-vkl-vkl-siniy-s-podsvetkoy-rexant-36-2351/", "Инфо")</f>
        <v>Инфо</v>
      </c>
      <c r="M457" s="37">
        <v>1.7000000000000001E-2</v>
      </c>
      <c r="N457" s="38">
        <v>6.0000000000000002E-5</v>
      </c>
      <c r="O457" s="141">
        <v>4601004066373</v>
      </c>
    </row>
    <row r="458" spans="1:15" s="1" customFormat="1" ht="11.45" customHeight="1" outlineLevel="4" x14ac:dyDescent="0.2">
      <c r="A458" s="32" t="s">
        <v>5271</v>
      </c>
      <c r="B458" s="74" t="s">
        <v>5272</v>
      </c>
      <c r="C458" s="50"/>
      <c r="D458" s="139">
        <f t="shared" si="6"/>
        <v>0</v>
      </c>
      <c r="E458" s="140">
        <v>9.48</v>
      </c>
      <c r="F458" s="140">
        <v>7.77</v>
      </c>
      <c r="G458" s="34" t="s">
        <v>100</v>
      </c>
      <c r="H458" s="34" t="s">
        <v>39</v>
      </c>
      <c r="I458" s="35">
        <v>10</v>
      </c>
      <c r="J458" s="35">
        <v>10</v>
      </c>
      <c r="K458" s="39">
        <v>2000</v>
      </c>
      <c r="L458" s="60" t="str">
        <f>HYPERLINK("https://www.sds-group.ru/product/pereklyuchatel-klavishnyy-250v-3a-3s-vkl-vkl-krasnyy-mikro-rexant-36-2031/", "Инфо")</f>
        <v>Инфо</v>
      </c>
      <c r="M458" s="37">
        <v>2E-3</v>
      </c>
      <c r="N458" s="38">
        <v>6.9999999999999999E-6</v>
      </c>
      <c r="O458" s="141">
        <v>4601004066052</v>
      </c>
    </row>
    <row r="459" spans="1:15" s="1" customFormat="1" ht="11.45" customHeight="1" outlineLevel="4" x14ac:dyDescent="0.2">
      <c r="A459" s="32" t="s">
        <v>5275</v>
      </c>
      <c r="B459" s="74" t="s">
        <v>5276</v>
      </c>
      <c r="C459" s="50"/>
      <c r="D459" s="139">
        <f t="shared" si="6"/>
        <v>0</v>
      </c>
      <c r="E459" s="140">
        <v>15.16</v>
      </c>
      <c r="F459" s="140">
        <v>12.43</v>
      </c>
      <c r="G459" s="34" t="s">
        <v>100</v>
      </c>
      <c r="H459" s="34" t="s">
        <v>39</v>
      </c>
      <c r="I459" s="35">
        <v>10</v>
      </c>
      <c r="J459" s="35">
        <v>10</v>
      </c>
      <c r="K459" s="39">
        <v>3000</v>
      </c>
      <c r="L459" s="60" t="str">
        <f>HYPERLINK("https://www.sds-group.ru/product/pereklyuchatel-klavishnyy-250v-6a-3s-vkl-vkl-krasnyy-mini-rexant-36-2131/", "Инфо")</f>
        <v>Инфо</v>
      </c>
      <c r="M459" s="37">
        <v>4.0000000000000001E-3</v>
      </c>
      <c r="N459" s="38">
        <v>1.2E-5</v>
      </c>
      <c r="O459" s="141">
        <v>4601004066090</v>
      </c>
    </row>
    <row r="460" spans="1:15" ht="11.45" customHeight="1" outlineLevel="3" x14ac:dyDescent="0.2">
      <c r="A460" s="76" t="s">
        <v>5281</v>
      </c>
      <c r="B460" s="136"/>
      <c r="C460" s="77"/>
      <c r="D460" s="137"/>
      <c r="E460" s="4"/>
      <c r="F460" s="4"/>
      <c r="G460" s="4"/>
      <c r="H460" s="4"/>
      <c r="I460" s="4"/>
      <c r="J460" s="4"/>
      <c r="K460" s="4"/>
      <c r="L460" s="138"/>
      <c r="M460" s="4"/>
      <c r="N460" s="4"/>
      <c r="O460" s="4"/>
    </row>
    <row r="461" spans="1:15" s="1" customFormat="1" ht="11.45" customHeight="1" outlineLevel="4" x14ac:dyDescent="0.2">
      <c r="A461" s="32" t="s">
        <v>5282</v>
      </c>
      <c r="B461" s="74" t="s">
        <v>5283</v>
      </c>
      <c r="C461" s="50"/>
      <c r="D461" s="139">
        <f t="shared" ref="D461:D524" si="7">C461*E461</f>
        <v>0</v>
      </c>
      <c r="E461" s="140">
        <v>9.58</v>
      </c>
      <c r="F461" s="140">
        <v>7.85</v>
      </c>
      <c r="G461" s="34" t="s">
        <v>100</v>
      </c>
      <c r="H461" s="34" t="s">
        <v>39</v>
      </c>
      <c r="I461" s="35">
        <v>10</v>
      </c>
      <c r="J461" s="35">
        <v>10</v>
      </c>
      <c r="K461" s="39">
        <v>2000</v>
      </c>
      <c r="L461" s="60" t="str">
        <f>HYPERLINK("https://www.sds-group.ru/product/vlagozaschitnyy-kolpachok-dlya-klavishnyh-vyklyuchateley-rexant-36-2490/", "Инфо")</f>
        <v>Инфо</v>
      </c>
      <c r="M461" s="37">
        <v>4.0000000000000001E-3</v>
      </c>
      <c r="N461" s="38">
        <v>2.1999999999999999E-5</v>
      </c>
      <c r="O461" s="141">
        <v>4601004066557</v>
      </c>
    </row>
    <row r="462" spans="1:15" ht="11.45" customHeight="1" outlineLevel="2" x14ac:dyDescent="0.2">
      <c r="A462" s="76" t="s">
        <v>5284</v>
      </c>
      <c r="B462" s="136"/>
      <c r="C462" s="77"/>
      <c r="D462" s="137"/>
      <c r="E462" s="4"/>
      <c r="F462" s="4"/>
      <c r="G462" s="4"/>
      <c r="H462" s="4"/>
      <c r="I462" s="4"/>
      <c r="J462" s="4"/>
      <c r="K462" s="4"/>
      <c r="L462" s="138"/>
      <c r="M462" s="4"/>
      <c r="N462" s="4"/>
      <c r="O462" s="4"/>
    </row>
    <row r="463" spans="1:15" s="1" customFormat="1" ht="11.45" customHeight="1" outlineLevel="3" x14ac:dyDescent="0.2">
      <c r="A463" s="32" t="s">
        <v>5291</v>
      </c>
      <c r="B463" s="74" t="s">
        <v>5292</v>
      </c>
      <c r="C463" s="50"/>
      <c r="D463" s="139">
        <f t="shared" si="7"/>
        <v>0</v>
      </c>
      <c r="E463" s="140">
        <v>14.11</v>
      </c>
      <c r="F463" s="140">
        <v>11.57</v>
      </c>
      <c r="G463" s="34" t="s">
        <v>100</v>
      </c>
      <c r="H463" s="34" t="s">
        <v>39</v>
      </c>
      <c r="I463" s="35">
        <v>10</v>
      </c>
      <c r="J463" s="35">
        <v>10</v>
      </c>
      <c r="K463" s="39">
        <v>3000</v>
      </c>
      <c r="L463" s="60" t="str">
        <f>HYPERLINK("https://www.sds-group.ru/product/vyklyuchatel-knopka-250v-1a-2s-vkl-vykl-zelenaya-pbs-11a-rexant-36-3032/", "Инфо")</f>
        <v>Инфо</v>
      </c>
      <c r="M463" s="37">
        <v>5.0000000000000001E-3</v>
      </c>
      <c r="N463" s="38">
        <v>1.2999999999999999E-5</v>
      </c>
      <c r="O463" s="141">
        <v>4601004067028</v>
      </c>
    </row>
    <row r="464" spans="1:15" s="1" customFormat="1" ht="11.45" customHeight="1" outlineLevel="3" x14ac:dyDescent="0.2">
      <c r="A464" s="32" t="s">
        <v>5295</v>
      </c>
      <c r="B464" s="74" t="s">
        <v>5296</v>
      </c>
      <c r="C464" s="50"/>
      <c r="D464" s="139">
        <f t="shared" si="7"/>
        <v>0</v>
      </c>
      <c r="E464" s="140">
        <v>41.96</v>
      </c>
      <c r="F464" s="140">
        <v>34.39</v>
      </c>
      <c r="G464" s="34" t="s">
        <v>100</v>
      </c>
      <c r="H464" s="34" t="s">
        <v>39</v>
      </c>
      <c r="I464" s="35">
        <v>10</v>
      </c>
      <c r="J464" s="35">
        <v>10</v>
      </c>
      <c r="K464" s="39">
        <v>2000</v>
      </c>
      <c r="L464" s="60" t="str">
        <f>HYPERLINK("https://www.sds-group.ru/product/vyklyuchatel-knopka-250v-1a-2s-vkl-vykl-krasnaya-pbs-16a-rexant-36-3060/", "Инфо")</f>
        <v>Инфо</v>
      </c>
      <c r="M464" s="37">
        <v>6.0000000000000001E-3</v>
      </c>
      <c r="N464" s="38">
        <v>1.8E-5</v>
      </c>
      <c r="O464" s="141">
        <v>4601004067240</v>
      </c>
    </row>
    <row r="465" spans="1:15" s="1" customFormat="1" ht="11.45" customHeight="1" outlineLevel="3" x14ac:dyDescent="0.2">
      <c r="A465" s="32" t="s">
        <v>5297</v>
      </c>
      <c r="B465" s="74" t="s">
        <v>5298</v>
      </c>
      <c r="C465" s="50"/>
      <c r="D465" s="139">
        <f t="shared" si="7"/>
        <v>0</v>
      </c>
      <c r="E465" s="140">
        <v>35.909999999999997</v>
      </c>
      <c r="F465" s="140">
        <v>29.43</v>
      </c>
      <c r="G465" s="34" t="s">
        <v>100</v>
      </c>
      <c r="H465" s="34" t="s">
        <v>39</v>
      </c>
      <c r="I465" s="35">
        <v>10</v>
      </c>
      <c r="J465" s="35">
        <v>10</v>
      </c>
      <c r="K465" s="39">
        <v>2000</v>
      </c>
      <c r="L465" s="60" t="str">
        <f>HYPERLINK("https://www.sds-group.ru/product/vyklyuchatel-knopka-250v-1a-2s-vykl-vkl-bez-fiksatsii-zheltaya-mikro-pbs-33v-rexant-36-3052/", "Инфо")</f>
        <v>Инфо</v>
      </c>
      <c r="M465" s="37">
        <v>4.0000000000000001E-3</v>
      </c>
      <c r="N465" s="38">
        <v>1.1E-5</v>
      </c>
      <c r="O465" s="141">
        <v>4601004067103</v>
      </c>
    </row>
    <row r="466" spans="1:15" s="1" customFormat="1" ht="11.45" customHeight="1" outlineLevel="3" x14ac:dyDescent="0.2">
      <c r="A466" s="32" t="s">
        <v>5303</v>
      </c>
      <c r="B466" s="74" t="s">
        <v>5304</v>
      </c>
      <c r="C466" s="50"/>
      <c r="D466" s="139">
        <f t="shared" si="7"/>
        <v>0</v>
      </c>
      <c r="E466" s="140">
        <v>34.76</v>
      </c>
      <c r="F466" s="140">
        <v>28.49</v>
      </c>
      <c r="G466" s="34" t="s">
        <v>100</v>
      </c>
      <c r="H466" s="34" t="s">
        <v>39</v>
      </c>
      <c r="I466" s="35">
        <v>10</v>
      </c>
      <c r="J466" s="35">
        <v>10</v>
      </c>
      <c r="K466" s="39">
        <v>4000</v>
      </c>
      <c r="L466" s="60" t="str">
        <f>HYPERLINK("https://www.sds-group.ru/product/vyklyuchatel-knopka-250v-1a-2s-vykl-vkl-bez-fiksatsii-sinyaya-mikro-pbs-33v-rexant-36-3051/", "Инфо")</f>
        <v>Инфо</v>
      </c>
      <c r="M466" s="37">
        <v>4.0000000000000001E-3</v>
      </c>
      <c r="N466" s="38">
        <v>9.0000000000000002E-6</v>
      </c>
      <c r="O466" s="141">
        <v>4601004067097</v>
      </c>
    </row>
    <row r="467" spans="1:15" s="1" customFormat="1" ht="11.45" customHeight="1" outlineLevel="3" x14ac:dyDescent="0.2">
      <c r="A467" s="32" t="s">
        <v>5305</v>
      </c>
      <c r="B467" s="74" t="s">
        <v>5306</v>
      </c>
      <c r="C467" s="50"/>
      <c r="D467" s="139">
        <f t="shared" si="7"/>
        <v>0</v>
      </c>
      <c r="E467" s="140">
        <v>43.97</v>
      </c>
      <c r="F467" s="140">
        <v>36.04</v>
      </c>
      <c r="G467" s="34" t="s">
        <v>100</v>
      </c>
      <c r="H467" s="34" t="s">
        <v>39</v>
      </c>
      <c r="I467" s="35">
        <v>10</v>
      </c>
      <c r="J467" s="35">
        <v>10</v>
      </c>
      <c r="K467" s="39">
        <v>1000</v>
      </c>
      <c r="L467" s="60" t="str">
        <f>HYPERLINK("https://www.sds-group.ru/product/vyklyuchatel-knopka-250v-2-5a-2s-vkl-vykl-bez-fiksatsii-belyy-pbs-19s-mebelnaya-rexant-36-3020/", "Инфо")</f>
        <v>Инфо</v>
      </c>
      <c r="M467" s="37">
        <v>5.0000000000000001E-3</v>
      </c>
      <c r="N467" s="38">
        <v>3.0000000000000001E-5</v>
      </c>
      <c r="O467" s="141">
        <v>4601004066991</v>
      </c>
    </row>
    <row r="468" spans="1:15" s="1" customFormat="1" ht="11.45" customHeight="1" outlineLevel="3" x14ac:dyDescent="0.2">
      <c r="A468" s="32" t="s">
        <v>5309</v>
      </c>
      <c r="B468" s="74" t="s">
        <v>5310</v>
      </c>
      <c r="C468" s="50"/>
      <c r="D468" s="139">
        <f t="shared" si="7"/>
        <v>0</v>
      </c>
      <c r="E468" s="140">
        <v>28.09</v>
      </c>
      <c r="F468" s="140">
        <v>23.02</v>
      </c>
      <c r="G468" s="34" t="s">
        <v>100</v>
      </c>
      <c r="H468" s="34" t="s">
        <v>39</v>
      </c>
      <c r="I468" s="35">
        <v>10</v>
      </c>
      <c r="J468" s="35">
        <v>10</v>
      </c>
      <c r="K468" s="39">
        <v>3000</v>
      </c>
      <c r="L468" s="60" t="str">
        <f>HYPERLINK("https://www.sds-group.ru/product/vyklyuchatel-knopka-250v-2a-2s-vkl-vykl-zelenaya-mikro-pbs-20a-rexant-36-3073/", "Инфо")</f>
        <v>Инфо</v>
      </c>
      <c r="M468" s="37">
        <v>3.0000000000000001E-3</v>
      </c>
      <c r="N468" s="38">
        <v>1.4E-5</v>
      </c>
      <c r="O468" s="141">
        <v>4601004067165</v>
      </c>
    </row>
    <row r="469" spans="1:15" s="1" customFormat="1" ht="11.45" customHeight="1" outlineLevel="3" x14ac:dyDescent="0.2">
      <c r="A469" s="32" t="s">
        <v>5319</v>
      </c>
      <c r="B469" s="74" t="s">
        <v>5320</v>
      </c>
      <c r="C469" s="50"/>
      <c r="D469" s="139">
        <f t="shared" si="7"/>
        <v>0</v>
      </c>
      <c r="E469" s="140">
        <v>23.14</v>
      </c>
      <c r="F469" s="140">
        <v>18.97</v>
      </c>
      <c r="G469" s="34" t="s">
        <v>100</v>
      </c>
      <c r="H469" s="34" t="s">
        <v>39</v>
      </c>
      <c r="I469" s="35">
        <v>10</v>
      </c>
      <c r="J469" s="35">
        <v>10</v>
      </c>
      <c r="K469" s="39">
        <v>2500</v>
      </c>
      <c r="L469" s="60" t="str">
        <f>HYPERLINK("https://www.sds-group.ru/product/vyklyuchatel-knopka-metall-250v-2a-2s-vykl-vkl-16-2-zheltaya-rwd-306-rexant-36-3354/", "Инфо")</f>
        <v>Инфо</v>
      </c>
      <c r="M469" s="37">
        <v>8.9999999999999993E-3</v>
      </c>
      <c r="N469" s="38">
        <v>1.1E-5</v>
      </c>
      <c r="O469" s="141">
        <v>4601004067400</v>
      </c>
    </row>
    <row r="470" spans="1:15" ht="11.45" customHeight="1" outlineLevel="2" x14ac:dyDescent="0.2">
      <c r="A470" s="76" t="s">
        <v>5388</v>
      </c>
      <c r="B470" s="136"/>
      <c r="C470" s="77"/>
      <c r="D470" s="137"/>
      <c r="E470" s="4"/>
      <c r="F470" s="4"/>
      <c r="G470" s="4"/>
      <c r="H470" s="4"/>
      <c r="I470" s="4"/>
      <c r="J470" s="4"/>
      <c r="K470" s="4"/>
      <c r="L470" s="138"/>
      <c r="M470" s="4"/>
      <c r="N470" s="4"/>
      <c r="O470" s="4"/>
    </row>
    <row r="471" spans="1:15" s="1" customFormat="1" ht="11.45" customHeight="1" outlineLevel="3" x14ac:dyDescent="0.2">
      <c r="A471" s="32" t="s">
        <v>5393</v>
      </c>
      <c r="B471" s="74" t="s">
        <v>5394</v>
      </c>
      <c r="C471" s="50"/>
      <c r="D471" s="139">
        <f t="shared" si="7"/>
        <v>0</v>
      </c>
      <c r="E471" s="140">
        <v>177.63</v>
      </c>
      <c r="F471" s="140">
        <v>145.6</v>
      </c>
      <c r="G471" s="34" t="s">
        <v>100</v>
      </c>
      <c r="H471" s="34" t="s">
        <v>39</v>
      </c>
      <c r="I471" s="35">
        <v>10</v>
      </c>
      <c r="J471" s="35">
        <v>10</v>
      </c>
      <c r="K471" s="35">
        <v>400</v>
      </c>
      <c r="L471" s="60" t="str">
        <f>HYPERLINK("https://www.sds-group.ru/product/pereklyuchatel-bd21-2-polyusa-2p-s-zamkom-no-razmykayuschiy-36-5552/", "Инфо")</f>
        <v>Инфо</v>
      </c>
      <c r="M471" s="37">
        <v>0.105</v>
      </c>
      <c r="N471" s="38">
        <v>1.3300000000000001E-4</v>
      </c>
      <c r="O471" s="141">
        <v>4601004174214</v>
      </c>
    </row>
    <row r="472" spans="1:15" s="1" customFormat="1" ht="11.45" customHeight="1" outlineLevel="3" x14ac:dyDescent="0.2">
      <c r="A472" s="32" t="s">
        <v>5397</v>
      </c>
      <c r="B472" s="74" t="s">
        <v>5398</v>
      </c>
      <c r="C472" s="50"/>
      <c r="D472" s="139">
        <f t="shared" si="7"/>
        <v>0</v>
      </c>
      <c r="E472" s="140">
        <v>175.52</v>
      </c>
      <c r="F472" s="140">
        <v>143.87</v>
      </c>
      <c r="G472" s="34" t="s">
        <v>100</v>
      </c>
      <c r="H472" s="34" t="s">
        <v>39</v>
      </c>
      <c r="I472" s="35">
        <v>10</v>
      </c>
      <c r="J472" s="35">
        <v>10</v>
      </c>
      <c r="K472" s="35">
        <v>200</v>
      </c>
      <c r="L472" s="60" t="str">
        <f>HYPERLINK("https://www.sds-group.ru/product/pereklyuchatel-bd32-4-polyusa-4p-s-zamkom-no-razmykayuschiy-36-5553/", "Инфо")</f>
        <v>Инфо</v>
      </c>
      <c r="M472" s="37">
        <v>6.9000000000000006E-2</v>
      </c>
      <c r="N472" s="38">
        <v>1.2E-4</v>
      </c>
      <c r="O472" s="141">
        <v>4601004174221</v>
      </c>
    </row>
    <row r="473" spans="1:15" ht="11.45" customHeight="1" outlineLevel="2" x14ac:dyDescent="0.2">
      <c r="A473" s="76" t="s">
        <v>5399</v>
      </c>
      <c r="B473" s="136"/>
      <c r="C473" s="77"/>
      <c r="D473" s="137"/>
      <c r="E473" s="4"/>
      <c r="F473" s="4"/>
      <c r="G473" s="4"/>
      <c r="H473" s="4"/>
      <c r="I473" s="4"/>
      <c r="J473" s="4"/>
      <c r="K473" s="4"/>
      <c r="L473" s="138"/>
      <c r="M473" s="4"/>
      <c r="N473" s="4"/>
      <c r="O473" s="4"/>
    </row>
    <row r="474" spans="1:15" ht="11.45" customHeight="1" outlineLevel="3" x14ac:dyDescent="0.2">
      <c r="A474" s="76" t="s">
        <v>5422</v>
      </c>
      <c r="B474" s="136"/>
      <c r="C474" s="77"/>
      <c r="D474" s="137"/>
      <c r="E474" s="4"/>
      <c r="F474" s="4"/>
      <c r="G474" s="4"/>
      <c r="H474" s="4"/>
      <c r="I474" s="4"/>
      <c r="J474" s="4"/>
      <c r="K474" s="4"/>
      <c r="L474" s="138"/>
      <c r="M474" s="4"/>
      <c r="N474" s="4"/>
      <c r="O474" s="4"/>
    </row>
    <row r="475" spans="1:15" s="1" customFormat="1" ht="11.45" customHeight="1" outlineLevel="4" x14ac:dyDescent="0.2">
      <c r="A475" s="32" t="s">
        <v>5427</v>
      </c>
      <c r="B475" s="74" t="s">
        <v>5428</v>
      </c>
      <c r="C475" s="50"/>
      <c r="D475" s="139">
        <f t="shared" si="7"/>
        <v>0</v>
      </c>
      <c r="E475" s="140">
        <v>95.94</v>
      </c>
      <c r="F475" s="140">
        <v>78.64</v>
      </c>
      <c r="G475" s="34" t="s">
        <v>100</v>
      </c>
      <c r="H475" s="34" t="s">
        <v>39</v>
      </c>
      <c r="I475" s="35">
        <v>10</v>
      </c>
      <c r="J475" s="35">
        <v>10</v>
      </c>
      <c r="K475" s="35">
        <v>500</v>
      </c>
      <c r="L475" s="60" t="str">
        <f>HYPERLINK("https://www.sds-group.ru/product/tumbler-250v-10a-3c-vkl-vykl-vkl-odnopolyusnoy-kn-113-rexant-36-4151/", "Инфо")</f>
        <v>Инфо</v>
      </c>
      <c r="M475" s="37">
        <v>0.03</v>
      </c>
      <c r="N475" s="38">
        <v>5.0000000000000002E-5</v>
      </c>
      <c r="O475" s="141">
        <v>4601004037632</v>
      </c>
    </row>
    <row r="476" spans="1:15" s="1" customFormat="1" ht="11.45" customHeight="1" outlineLevel="4" x14ac:dyDescent="0.2">
      <c r="A476" s="32" t="s">
        <v>5459</v>
      </c>
      <c r="B476" s="74" t="s">
        <v>5460</v>
      </c>
      <c r="C476" s="50"/>
      <c r="D476" s="139">
        <f t="shared" si="7"/>
        <v>0</v>
      </c>
      <c r="E476" s="140">
        <v>28.31</v>
      </c>
      <c r="F476" s="140">
        <v>23.2</v>
      </c>
      <c r="G476" s="34" t="s">
        <v>100</v>
      </c>
      <c r="H476" s="34" t="s">
        <v>39</v>
      </c>
      <c r="I476" s="35">
        <v>10</v>
      </c>
      <c r="J476" s="35">
        <v>10</v>
      </c>
      <c r="K476" s="35">
        <v>500</v>
      </c>
      <c r="L476" s="60" t="str">
        <f>HYPERLINK("https://www.sds-group.ru/product/tumbler-250v-3a-6c-vkl-vykl-vkl-dvuhpolyusnyy-mikro-mts-203-rexant-36-4021/", "Инфо")</f>
        <v>Инфо</v>
      </c>
      <c r="M476" s="37">
        <v>6.0000000000000001E-3</v>
      </c>
      <c r="N476" s="38">
        <v>7.9999999999999996E-6</v>
      </c>
      <c r="O476" s="141">
        <v>4601004067592</v>
      </c>
    </row>
    <row r="477" spans="1:15" ht="11.45" customHeight="1" outlineLevel="2" x14ac:dyDescent="0.2">
      <c r="A477" s="76" t="s">
        <v>5468</v>
      </c>
      <c r="B477" s="136"/>
      <c r="C477" s="77"/>
      <c r="D477" s="137"/>
      <c r="E477" s="4"/>
      <c r="F477" s="4"/>
      <c r="G477" s="4"/>
      <c r="H477" s="4"/>
      <c r="I477" s="4"/>
      <c r="J477" s="4"/>
      <c r="K477" s="4"/>
      <c r="L477" s="138"/>
      <c r="M477" s="4"/>
      <c r="N477" s="4"/>
      <c r="O477" s="4"/>
    </row>
    <row r="478" spans="1:15" ht="11.45" customHeight="1" outlineLevel="3" x14ac:dyDescent="0.2">
      <c r="A478" s="76" t="s">
        <v>5469</v>
      </c>
      <c r="B478" s="136"/>
      <c r="C478" s="77"/>
      <c r="D478" s="137"/>
      <c r="E478" s="4"/>
      <c r="F478" s="4"/>
      <c r="G478" s="4"/>
      <c r="H478" s="4"/>
      <c r="I478" s="4"/>
      <c r="J478" s="4"/>
      <c r="K478" s="4"/>
      <c r="L478" s="138"/>
      <c r="M478" s="4"/>
      <c r="N478" s="4"/>
      <c r="O478" s="4"/>
    </row>
    <row r="479" spans="1:15" s="1" customFormat="1" ht="11.45" customHeight="1" outlineLevel="4" x14ac:dyDescent="0.2">
      <c r="A479" s="32" t="s">
        <v>5470</v>
      </c>
      <c r="B479" s="74" t="s">
        <v>5471</v>
      </c>
      <c r="C479" s="50"/>
      <c r="D479" s="139">
        <f t="shared" si="7"/>
        <v>0</v>
      </c>
      <c r="E479" s="140">
        <v>5.46</v>
      </c>
      <c r="F479" s="140">
        <v>4.4800000000000004</v>
      </c>
      <c r="G479" s="34" t="s">
        <v>100</v>
      </c>
      <c r="H479" s="34" t="s">
        <v>39</v>
      </c>
      <c r="I479" s="35">
        <v>10</v>
      </c>
      <c r="J479" s="35">
        <v>10</v>
      </c>
      <c r="K479" s="39">
        <v>2000</v>
      </c>
      <c r="L479" s="60" t="str">
        <f>HYPERLINK("https://www.sds-group.ru/product/indikator-16-220v-zheltyy-s-podsvetkoy-rwe-510-rexant-36-4792/", "Инфо")</f>
        <v>Инфо</v>
      </c>
      <c r="M479" s="37">
        <v>4.0000000000000001E-3</v>
      </c>
      <c r="N479" s="38">
        <v>2.6999999999999999E-5</v>
      </c>
      <c r="O479" s="141">
        <v>4601004067462</v>
      </c>
    </row>
    <row r="480" spans="1:15" s="1" customFormat="1" ht="11.45" customHeight="1" outlineLevel="4" x14ac:dyDescent="0.2">
      <c r="A480" s="32" t="s">
        <v>5472</v>
      </c>
      <c r="B480" s="74" t="s">
        <v>5473</v>
      </c>
      <c r="C480" s="50"/>
      <c r="D480" s="139">
        <f t="shared" si="7"/>
        <v>0</v>
      </c>
      <c r="E480" s="140">
        <v>15.12</v>
      </c>
      <c r="F480" s="140">
        <v>12.39</v>
      </c>
      <c r="G480" s="34" t="s">
        <v>100</v>
      </c>
      <c r="H480" s="34" t="s">
        <v>39</v>
      </c>
      <c r="I480" s="35">
        <v>10</v>
      </c>
      <c r="J480" s="35">
        <v>10</v>
      </c>
      <c r="K480" s="39">
        <v>2000</v>
      </c>
      <c r="L480" s="60" t="str">
        <f>HYPERLINK("https://www.sds-group.ru/product/indikator-granenyy-10-2-220v-zelenyy-s-podsvetkoy-rwe-205-rexant-36-4731/", "Инфо")</f>
        <v>Инфо</v>
      </c>
      <c r="M480" s="37">
        <v>3.0000000000000001E-3</v>
      </c>
      <c r="N480" s="38">
        <v>1.1E-5</v>
      </c>
      <c r="O480" s="141">
        <v>4601004067806</v>
      </c>
    </row>
    <row r="481" spans="1:15" s="1" customFormat="1" ht="11.45" customHeight="1" outlineLevel="4" x14ac:dyDescent="0.2">
      <c r="A481" s="32" t="s">
        <v>5474</v>
      </c>
      <c r="B481" s="74" t="s">
        <v>5475</v>
      </c>
      <c r="C481" s="50"/>
      <c r="D481" s="139">
        <f t="shared" si="7"/>
        <v>0</v>
      </c>
      <c r="E481" s="140">
        <v>15.12</v>
      </c>
      <c r="F481" s="140">
        <v>12.39</v>
      </c>
      <c r="G481" s="34" t="s">
        <v>100</v>
      </c>
      <c r="H481" s="34" t="s">
        <v>39</v>
      </c>
      <c r="I481" s="35">
        <v>10</v>
      </c>
      <c r="J481" s="35">
        <v>10</v>
      </c>
      <c r="K481" s="39">
        <v>2000</v>
      </c>
      <c r="L481" s="60" t="str">
        <f>HYPERLINK("https://www.sds-group.ru/product/indikator-granenyy-10-2-220v-krasnyy-s-podsvetkoy-rwe-205-rexant-36-4730/", "Инфо")</f>
        <v>Инфо</v>
      </c>
      <c r="M481" s="37">
        <v>3.0000000000000001E-3</v>
      </c>
      <c r="N481" s="38">
        <v>1.4E-5</v>
      </c>
      <c r="O481" s="141">
        <v>4601004067790</v>
      </c>
    </row>
    <row r="482" spans="1:15" ht="11.45" customHeight="1" outlineLevel="2" x14ac:dyDescent="0.2">
      <c r="A482" s="76" t="s">
        <v>5479</v>
      </c>
      <c r="B482" s="136"/>
      <c r="C482" s="77"/>
      <c r="D482" s="137"/>
      <c r="E482" s="4"/>
      <c r="F482" s="4"/>
      <c r="G482" s="4"/>
      <c r="H482" s="4"/>
      <c r="I482" s="4"/>
      <c r="J482" s="4"/>
      <c r="K482" s="4"/>
      <c r="L482" s="138"/>
      <c r="M482" s="4"/>
      <c r="N482" s="4"/>
      <c r="O482" s="4"/>
    </row>
    <row r="483" spans="1:15" s="1" customFormat="1" ht="11.45" customHeight="1" outlineLevel="3" x14ac:dyDescent="0.2">
      <c r="A483" s="32" t="s">
        <v>5486</v>
      </c>
      <c r="B483" s="74" t="s">
        <v>5487</v>
      </c>
      <c r="C483" s="50"/>
      <c r="D483" s="139">
        <f t="shared" si="7"/>
        <v>0</v>
      </c>
      <c r="E483" s="140">
        <v>43.88</v>
      </c>
      <c r="F483" s="140">
        <v>35.97</v>
      </c>
      <c r="G483" s="34" t="s">
        <v>100</v>
      </c>
      <c r="H483" s="34" t="s">
        <v>39</v>
      </c>
      <c r="I483" s="35">
        <v>10</v>
      </c>
      <c r="J483" s="35">
        <v>10</v>
      </c>
      <c r="K483" s="35">
        <v>500</v>
      </c>
      <c r="L483" s="60" t="str">
        <f>HYPERLINK("https://www.sds-group.ru/product/matritsa-svetodiodnaya-ad22-230-v-belaya-36-4743/", "Инфо")</f>
        <v>Инфо</v>
      </c>
      <c r="M483" s="37">
        <v>2.1999999999999999E-2</v>
      </c>
      <c r="N483" s="38">
        <v>7.7000000000000001E-5</v>
      </c>
      <c r="O483" s="141">
        <v>4601004174030</v>
      </c>
    </row>
    <row r="484" spans="1:15" s="1" customFormat="1" ht="11.45" customHeight="1" outlineLevel="3" x14ac:dyDescent="0.2">
      <c r="A484" s="32" t="s">
        <v>5488</v>
      </c>
      <c r="B484" s="74" t="s">
        <v>5489</v>
      </c>
      <c r="C484" s="50"/>
      <c r="D484" s="139">
        <f t="shared" si="7"/>
        <v>0</v>
      </c>
      <c r="E484" s="140">
        <v>46.07</v>
      </c>
      <c r="F484" s="140">
        <v>37.76</v>
      </c>
      <c r="G484" s="34" t="s">
        <v>100</v>
      </c>
      <c r="H484" s="34" t="s">
        <v>39</v>
      </c>
      <c r="I484" s="35">
        <v>10</v>
      </c>
      <c r="J484" s="35">
        <v>10</v>
      </c>
      <c r="K484" s="35">
        <v>500</v>
      </c>
      <c r="L484" s="60" t="str">
        <f>HYPERLINK("https://www.sds-group.ru/product/matritsa-svetodiodnaya-ad22-230-v-zheltaya-36-4742/", "Инфо")</f>
        <v>Инфо</v>
      </c>
      <c r="M484" s="37">
        <v>2.1000000000000001E-2</v>
      </c>
      <c r="N484" s="38">
        <v>7.7999999999999999E-5</v>
      </c>
      <c r="O484" s="141">
        <v>4601004174023</v>
      </c>
    </row>
    <row r="485" spans="1:15" ht="11.45" customHeight="1" outlineLevel="2" x14ac:dyDescent="0.2">
      <c r="A485" s="76" t="s">
        <v>5494</v>
      </c>
      <c r="B485" s="136"/>
      <c r="C485" s="77"/>
      <c r="D485" s="137"/>
      <c r="E485" s="4"/>
      <c r="F485" s="4"/>
      <c r="G485" s="4"/>
      <c r="H485" s="4"/>
      <c r="I485" s="4"/>
      <c r="J485" s="4"/>
      <c r="K485" s="4"/>
      <c r="L485" s="138"/>
      <c r="M485" s="4"/>
      <c r="N485" s="4"/>
      <c r="O485" s="4"/>
    </row>
    <row r="486" spans="1:15" s="1" customFormat="1" ht="11.45" customHeight="1" outlineLevel="3" x14ac:dyDescent="0.2">
      <c r="A486" s="32" t="s">
        <v>5499</v>
      </c>
      <c r="B486" s="74" t="s">
        <v>5500</v>
      </c>
      <c r="C486" s="50"/>
      <c r="D486" s="139">
        <f t="shared" si="7"/>
        <v>0</v>
      </c>
      <c r="E486" s="140">
        <v>71.53</v>
      </c>
      <c r="F486" s="140">
        <v>58.63</v>
      </c>
      <c r="G486" s="34" t="s">
        <v>100</v>
      </c>
      <c r="H486" s="34" t="s">
        <v>39</v>
      </c>
      <c r="I486" s="35">
        <v>10</v>
      </c>
      <c r="J486" s="35">
        <v>10</v>
      </c>
      <c r="K486" s="35">
        <v>500</v>
      </c>
      <c r="L486" s="60" t="str">
        <f>HYPERLINK("https://www.sds-group.ru/product/knopka-eb22-vozvratnaya-zheltaya-300v-nr-nz-36-5532/", "Инфо")</f>
        <v>Инфо</v>
      </c>
      <c r="M486" s="37">
        <v>2.4E-2</v>
      </c>
      <c r="N486" s="38">
        <v>8.2000000000000001E-5</v>
      </c>
      <c r="O486" s="141">
        <v>4601004174122</v>
      </c>
    </row>
    <row r="487" spans="1:15" s="1" customFormat="1" ht="11.45" customHeight="1" outlineLevel="3" x14ac:dyDescent="0.2">
      <c r="A487" s="32" t="s">
        <v>5509</v>
      </c>
      <c r="B487" s="74" t="s">
        <v>5510</v>
      </c>
      <c r="C487" s="50"/>
      <c r="D487" s="139">
        <f t="shared" si="7"/>
        <v>0</v>
      </c>
      <c r="E487" s="140">
        <v>132.24</v>
      </c>
      <c r="F487" s="140">
        <v>108.39</v>
      </c>
      <c r="G487" s="34" t="s">
        <v>100</v>
      </c>
      <c r="H487" s="34" t="s">
        <v>39</v>
      </c>
      <c r="I487" s="35">
        <v>10</v>
      </c>
      <c r="J487" s="35">
        <v>10</v>
      </c>
      <c r="K487" s="35">
        <v>200</v>
      </c>
      <c r="L487" s="60" t="str">
        <f>HYPERLINK("https://www.sds-group.ru/product/knopka-xb2-zheltaya-nr-36-5521/", "Инфо")</f>
        <v>Инфо</v>
      </c>
      <c r="M487" s="37">
        <v>5.7000000000000002E-2</v>
      </c>
      <c r="N487" s="38">
        <v>1.3300000000000001E-4</v>
      </c>
      <c r="O487" s="141">
        <v>4601004174085</v>
      </c>
    </row>
    <row r="488" spans="1:15" s="1" customFormat="1" ht="11.45" customHeight="1" outlineLevel="3" x14ac:dyDescent="0.2">
      <c r="A488" s="32" t="s">
        <v>5511</v>
      </c>
      <c r="B488" s="74" t="s">
        <v>5512</v>
      </c>
      <c r="C488" s="50"/>
      <c r="D488" s="139">
        <f t="shared" si="7"/>
        <v>0</v>
      </c>
      <c r="E488" s="140">
        <v>119.02</v>
      </c>
      <c r="F488" s="140">
        <v>97.56</v>
      </c>
      <c r="G488" s="34" t="s">
        <v>100</v>
      </c>
      <c r="H488" s="34" t="s">
        <v>39</v>
      </c>
      <c r="I488" s="35">
        <v>10</v>
      </c>
      <c r="J488" s="35">
        <v>10</v>
      </c>
      <c r="K488" s="35">
        <v>200</v>
      </c>
      <c r="L488" s="60" t="str">
        <f>HYPERLINK("https://www.sds-group.ru/product/knopka-xb2-zelenaya-nr-36-5522/", "Инфо")</f>
        <v>Инфо</v>
      </c>
      <c r="M488" s="37">
        <v>5.5E-2</v>
      </c>
      <c r="N488" s="38">
        <v>1.3200000000000001E-4</v>
      </c>
      <c r="O488" s="141">
        <v>4601004174092</v>
      </c>
    </row>
    <row r="489" spans="1:15" s="1" customFormat="1" ht="11.45" customHeight="1" outlineLevel="3" x14ac:dyDescent="0.2">
      <c r="A489" s="32" t="s">
        <v>5513</v>
      </c>
      <c r="B489" s="74" t="s">
        <v>5514</v>
      </c>
      <c r="C489" s="50"/>
      <c r="D489" s="139">
        <f t="shared" si="7"/>
        <v>0</v>
      </c>
      <c r="E489" s="140">
        <v>112.27</v>
      </c>
      <c r="F489" s="140">
        <v>92.02</v>
      </c>
      <c r="G489" s="34" t="s">
        <v>100</v>
      </c>
      <c r="H489" s="34" t="s">
        <v>39</v>
      </c>
      <c r="I489" s="35">
        <v>10</v>
      </c>
      <c r="J489" s="35">
        <v>10</v>
      </c>
      <c r="K489" s="35">
        <v>200</v>
      </c>
      <c r="L489" s="60" t="str">
        <f>HYPERLINK("https://www.sds-group.ru/product/knopka-xb2-krasnaya-nz-36-5520/", "Инфо")</f>
        <v>Инфо</v>
      </c>
      <c r="M489" s="37">
        <v>5.7000000000000002E-2</v>
      </c>
      <c r="N489" s="38">
        <v>1.3100000000000001E-4</v>
      </c>
      <c r="O489" s="141">
        <v>4601004174078</v>
      </c>
    </row>
    <row r="490" spans="1:15" ht="11.45" customHeight="1" outlineLevel="2" x14ac:dyDescent="0.2">
      <c r="A490" s="76" t="s">
        <v>5517</v>
      </c>
      <c r="B490" s="136"/>
      <c r="C490" s="77"/>
      <c r="D490" s="137"/>
      <c r="E490" s="4"/>
      <c r="F490" s="4"/>
      <c r="G490" s="4"/>
      <c r="H490" s="4"/>
      <c r="I490" s="4"/>
      <c r="J490" s="4"/>
      <c r="K490" s="4"/>
      <c r="L490" s="138"/>
      <c r="M490" s="4"/>
      <c r="N490" s="4"/>
      <c r="O490" s="4"/>
    </row>
    <row r="491" spans="1:15" s="1" customFormat="1" ht="11.45" customHeight="1" outlineLevel="3" x14ac:dyDescent="0.2">
      <c r="A491" s="32" t="s">
        <v>5520</v>
      </c>
      <c r="B491" s="74" t="s">
        <v>5521</v>
      </c>
      <c r="C491" s="50"/>
      <c r="D491" s="139">
        <f t="shared" si="7"/>
        <v>0</v>
      </c>
      <c r="E491" s="140">
        <v>70.53</v>
      </c>
      <c r="F491" s="140">
        <v>57.81</v>
      </c>
      <c r="G491" s="34" t="s">
        <v>100</v>
      </c>
      <c r="H491" s="34" t="s">
        <v>39</v>
      </c>
      <c r="I491" s="35">
        <v>1</v>
      </c>
      <c r="J491" s="35">
        <v>1</v>
      </c>
      <c r="K491" s="35">
        <v>100</v>
      </c>
      <c r="L491" s="60" t="str">
        <f>HYPERLINK("https://www.sds-group.ru/product/korpus-plastikovyy-kp-2-knopki-22-mm-36-9222/", "Инфо")</f>
        <v>Инфо</v>
      </c>
      <c r="M491" s="37">
        <v>0.161</v>
      </c>
      <c r="N491" s="38">
        <v>1.189E-3</v>
      </c>
      <c r="O491" s="141">
        <v>4601004174351</v>
      </c>
    </row>
    <row r="492" spans="1:15" s="1" customFormat="1" ht="11.45" customHeight="1" outlineLevel="3" x14ac:dyDescent="0.2">
      <c r="A492" s="32" t="s">
        <v>5522</v>
      </c>
      <c r="B492" s="74" t="s">
        <v>5523</v>
      </c>
      <c r="C492" s="50"/>
      <c r="D492" s="139">
        <f t="shared" si="7"/>
        <v>0</v>
      </c>
      <c r="E492" s="140">
        <v>80.09</v>
      </c>
      <c r="F492" s="140">
        <v>65.650000000000006</v>
      </c>
      <c r="G492" s="34" t="s">
        <v>100</v>
      </c>
      <c r="H492" s="34" t="s">
        <v>39</v>
      </c>
      <c r="I492" s="35">
        <v>1</v>
      </c>
      <c r="J492" s="35">
        <v>1</v>
      </c>
      <c r="K492" s="35">
        <v>100</v>
      </c>
      <c r="L492" s="60" t="str">
        <f>HYPERLINK("https://www.sds-group.ru/product/korpus-plastikovyy-kp-3-knopki-22-mm-36-9223/", "Инфо")</f>
        <v>Инфо</v>
      </c>
      <c r="M492" s="37">
        <v>0.17100000000000001</v>
      </c>
      <c r="N492" s="38">
        <v>8.6700000000000004E-4</v>
      </c>
      <c r="O492" s="141">
        <v>4601004174368</v>
      </c>
    </row>
    <row r="493" spans="1:15" s="1" customFormat="1" ht="11.45" customHeight="1" outlineLevel="3" x14ac:dyDescent="0.2">
      <c r="A493" s="32" t="s">
        <v>5524</v>
      </c>
      <c r="B493" s="74" t="s">
        <v>5525</v>
      </c>
      <c r="C493" s="50"/>
      <c r="D493" s="139">
        <f t="shared" si="7"/>
        <v>0</v>
      </c>
      <c r="E493" s="140">
        <v>100.02</v>
      </c>
      <c r="F493" s="140">
        <v>81.98</v>
      </c>
      <c r="G493" s="34" t="s">
        <v>100</v>
      </c>
      <c r="H493" s="34" t="s">
        <v>39</v>
      </c>
      <c r="I493" s="35">
        <v>1</v>
      </c>
      <c r="J493" s="35">
        <v>1</v>
      </c>
      <c r="K493" s="35">
        <v>50</v>
      </c>
      <c r="L493" s="60" t="str">
        <f>HYPERLINK("https://www.sds-group.ru/product/korpus-plastikovyy-kp-4-knopki-22-mm-36-9224/", "Инфо")</f>
        <v>Инфо</v>
      </c>
      <c r="M493" s="37">
        <v>0.214</v>
      </c>
      <c r="N493" s="38">
        <v>1.1689999999999999E-3</v>
      </c>
      <c r="O493" s="141">
        <v>4601004174375</v>
      </c>
    </row>
    <row r="494" spans="1:15" ht="11.45" customHeight="1" outlineLevel="2" x14ac:dyDescent="0.2">
      <c r="A494" s="76" t="s">
        <v>5532</v>
      </c>
      <c r="B494" s="136"/>
      <c r="C494" s="77"/>
      <c r="D494" s="137"/>
      <c r="E494" s="4"/>
      <c r="F494" s="4"/>
      <c r="G494" s="4"/>
      <c r="H494" s="4"/>
      <c r="I494" s="4"/>
      <c r="J494" s="4"/>
      <c r="K494" s="4"/>
      <c r="L494" s="138"/>
      <c r="M494" s="4"/>
      <c r="N494" s="4"/>
      <c r="O494" s="4"/>
    </row>
    <row r="495" spans="1:15" s="1" customFormat="1" ht="11.45" customHeight="1" outlineLevel="3" x14ac:dyDescent="0.2">
      <c r="A495" s="32" t="s">
        <v>5535</v>
      </c>
      <c r="B495" s="74" t="s">
        <v>5536</v>
      </c>
      <c r="C495" s="50"/>
      <c r="D495" s="139">
        <f t="shared" si="7"/>
        <v>0</v>
      </c>
      <c r="E495" s="140">
        <v>6.4</v>
      </c>
      <c r="F495" s="140">
        <v>5.25</v>
      </c>
      <c r="G495" s="34" t="s">
        <v>100</v>
      </c>
      <c r="H495" s="34" t="s">
        <v>39</v>
      </c>
      <c r="I495" s="35">
        <v>100</v>
      </c>
      <c r="J495" s="35">
        <v>100</v>
      </c>
      <c r="K495" s="39">
        <v>4000</v>
      </c>
      <c r="L495" s="60" t="str">
        <f>HYPERLINK("https://www.sds-group.ru/product/derzhatel-markirovki-lh-10x25-mm-36-9010/", "Инфо")</f>
        <v>Инфо</v>
      </c>
      <c r="M495" s="37">
        <v>2E-3</v>
      </c>
      <c r="N495" s="38">
        <v>1.5999999999999999E-5</v>
      </c>
      <c r="O495" s="141">
        <v>4601004174252</v>
      </c>
    </row>
    <row r="496" spans="1:15" s="1" customFormat="1" ht="11.45" customHeight="1" outlineLevel="3" x14ac:dyDescent="0.2">
      <c r="A496" s="32" t="s">
        <v>5539</v>
      </c>
      <c r="B496" s="74" t="s">
        <v>5540</v>
      </c>
      <c r="C496" s="50"/>
      <c r="D496" s="139">
        <f t="shared" si="7"/>
        <v>0</v>
      </c>
      <c r="E496" s="140">
        <v>21.44</v>
      </c>
      <c r="F496" s="140">
        <v>17.57</v>
      </c>
      <c r="G496" s="34" t="s">
        <v>100</v>
      </c>
      <c r="H496" s="34" t="s">
        <v>39</v>
      </c>
      <c r="I496" s="35">
        <v>100</v>
      </c>
      <c r="J496" s="35">
        <v>100</v>
      </c>
      <c r="K496" s="39">
        <v>1000</v>
      </c>
      <c r="L496" s="60" t="str">
        <f>HYPERLINK("https://www.sds-group.ru/product/silikonovyy-kolpachok-dlya-knopok-apbb-36-9014/", "Инфо")</f>
        <v>Инфо</v>
      </c>
      <c r="M496" s="37">
        <v>4.0000000000000001E-3</v>
      </c>
      <c r="N496" s="38">
        <v>2.3E-5</v>
      </c>
      <c r="O496" s="141">
        <v>4601004174290</v>
      </c>
    </row>
    <row r="497" spans="1:15" ht="11.45" customHeight="1" outlineLevel="1" x14ac:dyDescent="0.2">
      <c r="A497" s="78" t="s">
        <v>5543</v>
      </c>
      <c r="B497" s="132"/>
      <c r="C497" s="79"/>
      <c r="D497" s="133"/>
      <c r="E497" s="134"/>
      <c r="F497" s="134"/>
      <c r="G497" s="134"/>
      <c r="H497" s="134"/>
      <c r="I497" s="134"/>
      <c r="J497" s="134"/>
      <c r="K497" s="134"/>
      <c r="L497" s="135"/>
      <c r="M497" s="134"/>
      <c r="N497" s="134"/>
      <c r="O497" s="134"/>
    </row>
    <row r="498" spans="1:15" ht="11.45" customHeight="1" outlineLevel="2" x14ac:dyDescent="0.2">
      <c r="A498" s="76" t="s">
        <v>5544</v>
      </c>
      <c r="B498" s="136"/>
      <c r="C498" s="77"/>
      <c r="D498" s="137"/>
      <c r="E498" s="4"/>
      <c r="F498" s="4"/>
      <c r="G498" s="4"/>
      <c r="H498" s="4"/>
      <c r="I498" s="4"/>
      <c r="J498" s="4"/>
      <c r="K498" s="4"/>
      <c r="L498" s="138"/>
      <c r="M498" s="4"/>
      <c r="N498" s="4"/>
      <c r="O498" s="4"/>
    </row>
    <row r="499" spans="1:15" ht="11.45" customHeight="1" outlineLevel="3" x14ac:dyDescent="0.2">
      <c r="A499" s="76" t="s">
        <v>5545</v>
      </c>
      <c r="B499" s="136"/>
      <c r="C499" s="77"/>
      <c r="D499" s="137"/>
      <c r="E499" s="4"/>
      <c r="F499" s="4"/>
      <c r="G499" s="4"/>
      <c r="H499" s="4"/>
      <c r="I499" s="4"/>
      <c r="J499" s="4"/>
      <c r="K499" s="4"/>
      <c r="L499" s="138"/>
      <c r="M499" s="4"/>
      <c r="N499" s="4"/>
      <c r="O499" s="4"/>
    </row>
    <row r="500" spans="1:15" s="1" customFormat="1" ht="11.45" customHeight="1" outlineLevel="4" x14ac:dyDescent="0.2">
      <c r="A500" s="32" t="s">
        <v>5552</v>
      </c>
      <c r="B500" s="74" t="s">
        <v>5553</v>
      </c>
      <c r="C500" s="50"/>
      <c r="D500" s="139">
        <f t="shared" si="7"/>
        <v>0</v>
      </c>
      <c r="E500" s="140">
        <v>669.16</v>
      </c>
      <c r="F500" s="140">
        <v>548.49</v>
      </c>
      <c r="G500" s="34" t="s">
        <v>100</v>
      </c>
      <c r="H500" s="34" t="s">
        <v>39</v>
      </c>
      <c r="I500" s="35">
        <v>1</v>
      </c>
      <c r="J500" s="35">
        <v>1</v>
      </c>
      <c r="K500" s="35">
        <v>8</v>
      </c>
      <c r="L500" s="60" t="str">
        <f>HYPERLINK("https://www.sds-group.ru/product/boks-plastikovyy-schrv-p-24-ip41-belyy-kranz-KR-11-0224/", "Инфо")</f>
        <v>Инфо</v>
      </c>
      <c r="M500" s="37">
        <v>1.1950000000000001</v>
      </c>
      <c r="N500" s="38">
        <v>1.3468000000000001E-2</v>
      </c>
      <c r="O500" s="141">
        <v>4601004242722</v>
      </c>
    </row>
    <row r="501" spans="1:15" s="1" customFormat="1" ht="11.45" customHeight="1" outlineLevel="4" x14ac:dyDescent="0.2">
      <c r="A501" s="32" t="s">
        <v>5558</v>
      </c>
      <c r="B501" s="74" t="s">
        <v>5559</v>
      </c>
      <c r="C501" s="50"/>
      <c r="D501" s="139">
        <f t="shared" si="7"/>
        <v>0</v>
      </c>
      <c r="E501" s="140">
        <v>267.29000000000002</v>
      </c>
      <c r="F501" s="140">
        <v>219.09</v>
      </c>
      <c r="G501" s="34" t="s">
        <v>100</v>
      </c>
      <c r="H501" s="34" t="s">
        <v>39</v>
      </c>
      <c r="I501" s="35">
        <v>1</v>
      </c>
      <c r="J501" s="35">
        <v>1</v>
      </c>
      <c r="K501" s="35">
        <v>24</v>
      </c>
      <c r="L501" s="60" t="str">
        <f>HYPERLINK("https://www.sds-group.ru/product/boks-plastikovyy-schrv-p-4-ip41-belyy-kranz-KR-11-0204/", "Инфо")</f>
        <v>Инфо</v>
      </c>
      <c r="M501" s="37">
        <v>0.45100000000000001</v>
      </c>
      <c r="N501" s="38">
        <v>4.457E-3</v>
      </c>
      <c r="O501" s="141">
        <v>4601004242951</v>
      </c>
    </row>
    <row r="502" spans="1:15" s="1" customFormat="1" ht="11.45" customHeight="1" outlineLevel="4" x14ac:dyDescent="0.2">
      <c r="A502" s="32" t="s">
        <v>5578</v>
      </c>
      <c r="B502" s="74" t="s">
        <v>5579</v>
      </c>
      <c r="C502" s="50"/>
      <c r="D502" s="139">
        <f t="shared" si="7"/>
        <v>0</v>
      </c>
      <c r="E502" s="140">
        <v>329.67</v>
      </c>
      <c r="F502" s="140">
        <v>270.22000000000003</v>
      </c>
      <c r="G502" s="34" t="s">
        <v>100</v>
      </c>
      <c r="H502" s="34" t="s">
        <v>39</v>
      </c>
      <c r="I502" s="35">
        <v>1</v>
      </c>
      <c r="J502" s="35">
        <v>1</v>
      </c>
      <c r="K502" s="35">
        <v>24</v>
      </c>
      <c r="L502" s="60" t="str">
        <f>HYPERLINK("https://www.sds-group.ru/product/boks-plastikovyy-schrn-p-4-ip41-belyy-kranz-KR-11-0304/", "Инфо")</f>
        <v>Инфо</v>
      </c>
      <c r="M502" s="37">
        <v>0.56299999999999994</v>
      </c>
      <c r="N502" s="38">
        <v>4.4600000000000004E-3</v>
      </c>
      <c r="O502" s="141">
        <v>4601004242746</v>
      </c>
    </row>
    <row r="503" spans="1:15" ht="11.45" customHeight="1" outlineLevel="1" x14ac:dyDescent="0.2">
      <c r="A503" s="78" t="s">
        <v>5663</v>
      </c>
      <c r="B503" s="132"/>
      <c r="C503" s="79"/>
      <c r="D503" s="133"/>
      <c r="E503" s="134"/>
      <c r="F503" s="134"/>
      <c r="G503" s="134"/>
      <c r="H503" s="134"/>
      <c r="I503" s="134"/>
      <c r="J503" s="134"/>
      <c r="K503" s="134"/>
      <c r="L503" s="135"/>
      <c r="M503" s="134"/>
      <c r="N503" s="134"/>
      <c r="O503" s="134"/>
    </row>
    <row r="504" spans="1:15" ht="11.45" customHeight="1" outlineLevel="2" x14ac:dyDescent="0.2">
      <c r="A504" s="76" t="s">
        <v>5695</v>
      </c>
      <c r="B504" s="136"/>
      <c r="C504" s="77"/>
      <c r="D504" s="137"/>
      <c r="E504" s="4"/>
      <c r="F504" s="4"/>
      <c r="G504" s="4"/>
      <c r="H504" s="4"/>
      <c r="I504" s="4"/>
      <c r="J504" s="4"/>
      <c r="K504" s="4"/>
      <c r="L504" s="138"/>
      <c r="M504" s="4"/>
      <c r="N504" s="4"/>
      <c r="O504" s="4"/>
    </row>
    <row r="505" spans="1:15" s="1" customFormat="1" ht="11.45" customHeight="1" outlineLevel="3" x14ac:dyDescent="0.2">
      <c r="A505" s="32" t="s">
        <v>5698</v>
      </c>
      <c r="B505" s="74" t="s">
        <v>5699</v>
      </c>
      <c r="C505" s="50"/>
      <c r="D505" s="139">
        <f t="shared" si="7"/>
        <v>0</v>
      </c>
      <c r="E505" s="140">
        <v>122.71</v>
      </c>
      <c r="F505" s="140">
        <v>100.58</v>
      </c>
      <c r="G505" s="34" t="s">
        <v>100</v>
      </c>
      <c r="H505" s="34" t="s">
        <v>1001</v>
      </c>
      <c r="I505" s="35">
        <v>1</v>
      </c>
      <c r="J505" s="35">
        <v>1</v>
      </c>
      <c r="K505" s="39">
        <v>1500</v>
      </c>
      <c r="L505" s="65"/>
      <c r="M505" s="37">
        <v>2.5999999999999999E-2</v>
      </c>
      <c r="N505" s="38">
        <v>2.2000000000000001E-4</v>
      </c>
      <c r="O505" s="141">
        <v>4601004343689</v>
      </c>
    </row>
    <row r="506" spans="1:15" s="1" customFormat="1" ht="11.45" customHeight="1" outlineLevel="3" x14ac:dyDescent="0.2">
      <c r="A506" s="32" t="s">
        <v>5704</v>
      </c>
      <c r="B506" s="74" t="s">
        <v>5705</v>
      </c>
      <c r="C506" s="50"/>
      <c r="D506" s="139">
        <f t="shared" si="7"/>
        <v>0</v>
      </c>
      <c r="E506" s="140">
        <v>279.66000000000003</v>
      </c>
      <c r="F506" s="140">
        <v>229.23</v>
      </c>
      <c r="G506" s="34" t="s">
        <v>100</v>
      </c>
      <c r="H506" s="34" t="s">
        <v>39</v>
      </c>
      <c r="I506" s="35">
        <v>20</v>
      </c>
      <c r="J506" s="35">
        <v>20</v>
      </c>
      <c r="K506" s="35">
        <v>100</v>
      </c>
      <c r="L506" s="60" t="str">
        <f>HYPERLINK("https://www.sds-group.ru/product/shina-soedinitelnaya-tipa-fork-vilka-1r-100a-1m-rexant-11-2230/", "Инфо")</f>
        <v>Инфо</v>
      </c>
      <c r="M506" s="37">
        <v>0.28100000000000003</v>
      </c>
      <c r="N506" s="38">
        <v>2.3E-5</v>
      </c>
      <c r="O506" s="141">
        <v>4601004187054</v>
      </c>
    </row>
    <row r="507" spans="1:15" s="1" customFormat="1" ht="11.45" customHeight="1" outlineLevel="3" x14ac:dyDescent="0.2">
      <c r="A507" s="32" t="s">
        <v>5726</v>
      </c>
      <c r="B507" s="74" t="s">
        <v>5727</v>
      </c>
      <c r="C507" s="50"/>
      <c r="D507" s="139">
        <f t="shared" si="7"/>
        <v>0</v>
      </c>
      <c r="E507" s="140">
        <v>1132.68</v>
      </c>
      <c r="F507" s="140">
        <v>928.43</v>
      </c>
      <c r="G507" s="34" t="s">
        <v>100</v>
      </c>
      <c r="H507" s="34" t="s">
        <v>39</v>
      </c>
      <c r="I507" s="35">
        <v>10</v>
      </c>
      <c r="J507" s="35">
        <v>10</v>
      </c>
      <c r="K507" s="35">
        <v>20</v>
      </c>
      <c r="L507" s="60" t="str">
        <f>HYPERLINK("https://www.sds-group.ru/product/shina-soedinitelnaya-tipa-pin-shtyr-4r-100a-1m-rexant-11-2246/", "Инфо")</f>
        <v>Инфо</v>
      </c>
      <c r="M507" s="37">
        <v>0.88200000000000001</v>
      </c>
      <c r="N507" s="38">
        <v>5.3999999999999998E-5</v>
      </c>
      <c r="O507" s="141">
        <v>4601004187337</v>
      </c>
    </row>
    <row r="508" spans="1:15" ht="11.45" customHeight="1" outlineLevel="2" x14ac:dyDescent="0.2">
      <c r="A508" s="76" t="s">
        <v>5738</v>
      </c>
      <c r="B508" s="136"/>
      <c r="C508" s="77"/>
      <c r="D508" s="137"/>
      <c r="E508" s="4"/>
      <c r="F508" s="4"/>
      <c r="G508" s="4"/>
      <c r="H508" s="4"/>
      <c r="I508" s="4"/>
      <c r="J508" s="4"/>
      <c r="K508" s="4"/>
      <c r="L508" s="138"/>
      <c r="M508" s="4"/>
      <c r="N508" s="4"/>
      <c r="O508" s="4"/>
    </row>
    <row r="509" spans="1:15" s="1" customFormat="1" ht="11.45" customHeight="1" outlineLevel="3" x14ac:dyDescent="0.2">
      <c r="A509" s="32" t="s">
        <v>5753</v>
      </c>
      <c r="B509" s="74" t="s">
        <v>5754</v>
      </c>
      <c r="C509" s="50"/>
      <c r="D509" s="139">
        <f t="shared" si="7"/>
        <v>0</v>
      </c>
      <c r="E509" s="140">
        <v>92.13</v>
      </c>
      <c r="F509" s="140">
        <v>75.52</v>
      </c>
      <c r="G509" s="34" t="s">
        <v>100</v>
      </c>
      <c r="H509" s="34" t="s">
        <v>39</v>
      </c>
      <c r="I509" s="35">
        <v>20</v>
      </c>
      <c r="J509" s="35">
        <v>20</v>
      </c>
      <c r="K509" s="35">
        <v>200</v>
      </c>
      <c r="L509" s="60" t="str">
        <f>HYPERLINK("https://www.sds-group.ru/product/shina-n-nulevaya-8h12mm-na-dvuh-uglovyh-sinih-izolyatorah-12-grupp-rexant-11-2335/", "Инфо")</f>
        <v>Инфо</v>
      </c>
      <c r="M509" s="37">
        <v>8.2000000000000003E-2</v>
      </c>
      <c r="N509" s="38">
        <v>1.4999999999999999E-4</v>
      </c>
      <c r="O509" s="141">
        <v>4601004192881</v>
      </c>
    </row>
    <row r="510" spans="1:15" s="1" customFormat="1" ht="11.45" customHeight="1" outlineLevel="3" x14ac:dyDescent="0.2">
      <c r="A510" s="32" t="s">
        <v>5755</v>
      </c>
      <c r="B510" s="74" t="s">
        <v>5756</v>
      </c>
      <c r="C510" s="50"/>
      <c r="D510" s="139">
        <f t="shared" si="7"/>
        <v>0</v>
      </c>
      <c r="E510" s="140">
        <v>135.75</v>
      </c>
      <c r="F510" s="140">
        <v>111.27</v>
      </c>
      <c r="G510" s="34" t="s">
        <v>100</v>
      </c>
      <c r="H510" s="34" t="s">
        <v>39</v>
      </c>
      <c r="I510" s="35">
        <v>20</v>
      </c>
      <c r="J510" s="35">
        <v>20</v>
      </c>
      <c r="K510" s="35">
        <v>100</v>
      </c>
      <c r="L510" s="60" t="str">
        <f>HYPERLINK("https://www.sds-group.ru/product/shina-n-nulevaya-8h12mm-na-dvuh-uglovyh-sinih-izolyatorah-16-grupp-rexant-11-2337/", "Инфо")</f>
        <v>Инфо</v>
      </c>
      <c r="M510" s="37">
        <v>0.104</v>
      </c>
      <c r="N510" s="38">
        <v>1.6100000000000001E-4</v>
      </c>
      <c r="O510" s="141">
        <v>4601004192928</v>
      </c>
    </row>
    <row r="511" spans="1:15" s="1" customFormat="1" ht="11.45" customHeight="1" outlineLevel="3" x14ac:dyDescent="0.2">
      <c r="A511" s="32" t="s">
        <v>5789</v>
      </c>
      <c r="B511" s="74" t="s">
        <v>5790</v>
      </c>
      <c r="C511" s="50"/>
      <c r="D511" s="139">
        <f t="shared" si="7"/>
        <v>0</v>
      </c>
      <c r="E511" s="140">
        <v>56.76</v>
      </c>
      <c r="F511" s="140">
        <v>46.52</v>
      </c>
      <c r="G511" s="34" t="s">
        <v>100</v>
      </c>
      <c r="H511" s="34" t="s">
        <v>39</v>
      </c>
      <c r="I511" s="35">
        <v>20</v>
      </c>
      <c r="J511" s="35">
        <v>20</v>
      </c>
      <c r="K511" s="35">
        <v>160</v>
      </c>
      <c r="L511" s="60" t="str">
        <f>HYPERLINK("https://www.sds-group.ru/product/shina-n-nulevaya-s-sinim-izolyatorom-na-din-reyku-8x12mm-stoyka-bol-4-gruppy-rexant-11-2345/", "Инфо")</f>
        <v>Инфо</v>
      </c>
      <c r="M511" s="37">
        <v>4.3999999999999997E-2</v>
      </c>
      <c r="N511" s="38">
        <v>5.0000000000000002E-5</v>
      </c>
      <c r="O511" s="141">
        <v>4601004193086</v>
      </c>
    </row>
    <row r="512" spans="1:15" s="1" customFormat="1" ht="11.45" customHeight="1" outlineLevel="3" x14ac:dyDescent="0.2">
      <c r="A512" s="32" t="s">
        <v>5821</v>
      </c>
      <c r="B512" s="74" t="s">
        <v>5822</v>
      </c>
      <c r="C512" s="50"/>
      <c r="D512" s="139">
        <f t="shared" si="7"/>
        <v>0</v>
      </c>
      <c r="E512" s="140">
        <v>48.35</v>
      </c>
      <c r="F512" s="140">
        <v>39.630000000000003</v>
      </c>
      <c r="G512" s="34" t="s">
        <v>100</v>
      </c>
      <c r="H512" s="34" t="s">
        <v>39</v>
      </c>
      <c r="I512" s="35">
        <v>10</v>
      </c>
      <c r="J512" s="35">
        <v>10</v>
      </c>
      <c r="K512" s="35">
        <v>450</v>
      </c>
      <c r="L512" s="60" t="str">
        <f>HYPERLINK("https://www.sds-group.ru/product/shina-pen-zemlya-nol-6h9mm-10-2-10-grupp-krepezh-po-krayam-rexant-11-2367/", "Инфо")</f>
        <v>Инфо</v>
      </c>
      <c r="M512" s="37">
        <v>0.03</v>
      </c>
      <c r="N512" s="38">
        <v>6.0000000000000002E-6</v>
      </c>
      <c r="O512" s="141">
        <v>4601004193529</v>
      </c>
    </row>
    <row r="513" spans="1:15" ht="11.45" customHeight="1" outlineLevel="2" x14ac:dyDescent="0.2">
      <c r="A513" s="76" t="s">
        <v>5860</v>
      </c>
      <c r="B513" s="136"/>
      <c r="C513" s="77"/>
      <c r="D513" s="137"/>
      <c r="E513" s="4"/>
      <c r="F513" s="4"/>
      <c r="G513" s="4"/>
      <c r="H513" s="4"/>
      <c r="I513" s="4"/>
      <c r="J513" s="4"/>
      <c r="K513" s="4"/>
      <c r="L513" s="138"/>
      <c r="M513" s="4"/>
      <c r="N513" s="4"/>
      <c r="O513" s="4"/>
    </row>
    <row r="514" spans="1:15" s="1" customFormat="1" ht="11.45" customHeight="1" outlineLevel="3" x14ac:dyDescent="0.2">
      <c r="A514" s="32" t="s">
        <v>5877</v>
      </c>
      <c r="B514" s="74" t="s">
        <v>5878</v>
      </c>
      <c r="C514" s="50"/>
      <c r="D514" s="139">
        <f t="shared" si="7"/>
        <v>0</v>
      </c>
      <c r="E514" s="140">
        <v>1.01</v>
      </c>
      <c r="F514" s="140">
        <v>0.83</v>
      </c>
      <c r="G514" s="34" t="s">
        <v>100</v>
      </c>
      <c r="H514" s="34" t="s">
        <v>39</v>
      </c>
      <c r="I514" s="35">
        <v>100</v>
      </c>
      <c r="J514" s="35">
        <v>100</v>
      </c>
      <c r="K514" s="35">
        <v>100</v>
      </c>
      <c r="L514" s="60" t="str">
        <f>HYPERLINK("https://www.sds-group.ru/product/nakleyka-znak-elektrobezopasnosti-n-diametr-20mm-20-sht-na-liste-rexant-56-0059/", "Инфо")</f>
        <v>Инфо</v>
      </c>
      <c r="M514" s="37">
        <v>0</v>
      </c>
      <c r="N514" s="38">
        <v>1.9999999999999999E-6</v>
      </c>
      <c r="O514" s="141">
        <v>2000321636153</v>
      </c>
    </row>
    <row r="515" spans="1:15" s="1" customFormat="1" ht="11.45" customHeight="1" outlineLevel="3" x14ac:dyDescent="0.2">
      <c r="A515" s="32" t="s">
        <v>5879</v>
      </c>
      <c r="B515" s="74" t="s">
        <v>5880</v>
      </c>
      <c r="C515" s="50"/>
      <c r="D515" s="139">
        <f t="shared" si="7"/>
        <v>0</v>
      </c>
      <c r="E515" s="140">
        <v>0.74</v>
      </c>
      <c r="F515" s="140">
        <v>0.61</v>
      </c>
      <c r="G515" s="34" t="s">
        <v>100</v>
      </c>
      <c r="H515" s="34" t="s">
        <v>39</v>
      </c>
      <c r="I515" s="35">
        <v>200</v>
      </c>
      <c r="J515" s="35">
        <v>200</v>
      </c>
      <c r="K515" s="35">
        <v>200</v>
      </c>
      <c r="L515" s="60" t="str">
        <f>HYPERLINK("https://www.sds-group.ru/product/nakleyka-znak-elektrobezopasnosti-zazemlenie-diametr-10mm-200-nakleek-5-listov-rexant-56-0010-02/", "Инфо")</f>
        <v>Инфо</v>
      </c>
      <c r="M515" s="37">
        <v>0</v>
      </c>
      <c r="N515" s="38">
        <v>0</v>
      </c>
      <c r="O515" s="141">
        <v>4601004339248</v>
      </c>
    </row>
    <row r="516" spans="1:15" ht="11.45" customHeight="1" outlineLevel="2" x14ac:dyDescent="0.2">
      <c r="A516" s="76" t="s">
        <v>5901</v>
      </c>
      <c r="B516" s="136"/>
      <c r="C516" s="77"/>
      <c r="D516" s="137"/>
      <c r="E516" s="4"/>
      <c r="F516" s="4"/>
      <c r="G516" s="4"/>
      <c r="H516" s="4"/>
      <c r="I516" s="4"/>
      <c r="J516" s="4"/>
      <c r="K516" s="4"/>
      <c r="L516" s="138"/>
      <c r="M516" s="4"/>
      <c r="N516" s="4"/>
      <c r="O516" s="4"/>
    </row>
    <row r="517" spans="1:15" ht="11.45" customHeight="1" outlineLevel="3" x14ac:dyDescent="0.2">
      <c r="A517" s="76" t="s">
        <v>5902</v>
      </c>
      <c r="B517" s="136"/>
      <c r="C517" s="77"/>
      <c r="D517" s="137"/>
      <c r="E517" s="4"/>
      <c r="F517" s="4"/>
      <c r="G517" s="4"/>
      <c r="H517" s="4"/>
      <c r="I517" s="4"/>
      <c r="J517" s="4"/>
      <c r="K517" s="4"/>
      <c r="L517" s="138"/>
      <c r="M517" s="4"/>
      <c r="N517" s="4"/>
      <c r="O517" s="4"/>
    </row>
    <row r="518" spans="1:15" s="1" customFormat="1" ht="11.45" customHeight="1" outlineLevel="4" x14ac:dyDescent="0.2">
      <c r="A518" s="32" t="s">
        <v>5931</v>
      </c>
      <c r="B518" s="74" t="s">
        <v>5932</v>
      </c>
      <c r="C518" s="50"/>
      <c r="D518" s="139">
        <f t="shared" si="7"/>
        <v>0</v>
      </c>
      <c r="E518" s="140">
        <v>56.2</v>
      </c>
      <c r="F518" s="140">
        <v>46.07</v>
      </c>
      <c r="G518" s="34" t="s">
        <v>100</v>
      </c>
      <c r="H518" s="34" t="s">
        <v>39</v>
      </c>
      <c r="I518" s="35">
        <v>20</v>
      </c>
      <c r="J518" s="35">
        <v>20</v>
      </c>
      <c r="K518" s="35">
        <v>200</v>
      </c>
      <c r="L518" s="60" t="str">
        <f>HYPERLINK("https://www.sds-group.ru/product/kabelnyy-vvod-s-rezboy-pg-42-30-38mm-seryy-rexant-07-8042/", "Инфо")</f>
        <v>Инфо</v>
      </c>
      <c r="M518" s="37">
        <v>9.6000000000000002E-2</v>
      </c>
      <c r="N518" s="38">
        <v>3.3300000000000002E-4</v>
      </c>
      <c r="O518" s="141">
        <v>4601004036703</v>
      </c>
    </row>
    <row r="519" spans="1:15" s="1" customFormat="1" ht="11.45" customHeight="1" outlineLevel="4" x14ac:dyDescent="0.2">
      <c r="A519" s="32" t="s">
        <v>5933</v>
      </c>
      <c r="B519" s="74" t="s">
        <v>5934</v>
      </c>
      <c r="C519" s="50"/>
      <c r="D519" s="139">
        <f t="shared" si="7"/>
        <v>0</v>
      </c>
      <c r="E519" s="140">
        <v>62.6</v>
      </c>
      <c r="F519" s="140">
        <v>51.31</v>
      </c>
      <c r="G519" s="34" t="s">
        <v>100</v>
      </c>
      <c r="H519" s="34" t="s">
        <v>39</v>
      </c>
      <c r="I519" s="35">
        <v>20</v>
      </c>
      <c r="J519" s="35">
        <v>20</v>
      </c>
      <c r="K519" s="35">
        <v>200</v>
      </c>
      <c r="L519" s="60" t="str">
        <f>HYPERLINK("https://www.sds-group.ru/product/kabelnyy-vvod-s-rezboy-pg-48-34-44-mm-chernyy-rexant-07-8048-1/", "Инфо")</f>
        <v>Инфо</v>
      </c>
      <c r="M519" s="37">
        <v>9.6000000000000002E-2</v>
      </c>
      <c r="N519" s="38">
        <v>3.3300000000000002E-4</v>
      </c>
      <c r="O519" s="141">
        <v>4601004036734</v>
      </c>
    </row>
    <row r="520" spans="1:15" s="1" customFormat="1" ht="11.45" customHeight="1" outlineLevel="4" x14ac:dyDescent="0.2">
      <c r="A520" s="32" t="s">
        <v>5935</v>
      </c>
      <c r="B520" s="74" t="s">
        <v>5936</v>
      </c>
      <c r="C520" s="50"/>
      <c r="D520" s="139">
        <f t="shared" si="7"/>
        <v>0</v>
      </c>
      <c r="E520" s="140">
        <v>65.900000000000006</v>
      </c>
      <c r="F520" s="140">
        <v>54.02</v>
      </c>
      <c r="G520" s="34" t="s">
        <v>100</v>
      </c>
      <c r="H520" s="34" t="s">
        <v>39</v>
      </c>
      <c r="I520" s="35">
        <v>20</v>
      </c>
      <c r="J520" s="35">
        <v>20</v>
      </c>
      <c r="K520" s="35">
        <v>200</v>
      </c>
      <c r="L520" s="60" t="str">
        <f>HYPERLINK("https://www.sds-group.ru/product/kabelnyy-vvod-s-rezboy-pg-48-34-44mm-seryy-rexant-07-8048/", "Инфо")</f>
        <v>Инфо</v>
      </c>
      <c r="M520" s="37">
        <v>0.109</v>
      </c>
      <c r="N520" s="38">
        <v>3.9199999999999999E-4</v>
      </c>
      <c r="O520" s="141">
        <v>4601004036727</v>
      </c>
    </row>
    <row r="521" spans="1:15" ht="11.45" customHeight="1" outlineLevel="3" x14ac:dyDescent="0.2">
      <c r="A521" s="76" t="s">
        <v>5941</v>
      </c>
      <c r="B521" s="136"/>
      <c r="C521" s="77"/>
      <c r="D521" s="137"/>
      <c r="E521" s="4"/>
      <c r="F521" s="4"/>
      <c r="G521" s="4"/>
      <c r="H521" s="4"/>
      <c r="I521" s="4"/>
      <c r="J521" s="4"/>
      <c r="K521" s="4"/>
      <c r="L521" s="138"/>
      <c r="M521" s="4"/>
      <c r="N521" s="4"/>
      <c r="O521" s="4"/>
    </row>
    <row r="522" spans="1:15" s="1" customFormat="1" ht="11.45" customHeight="1" outlineLevel="4" x14ac:dyDescent="0.2">
      <c r="A522" s="32" t="s">
        <v>5944</v>
      </c>
      <c r="B522" s="74" t="s">
        <v>5945</v>
      </c>
      <c r="C522" s="50"/>
      <c r="D522" s="139">
        <f t="shared" si="7"/>
        <v>0</v>
      </c>
      <c r="E522" s="140">
        <v>6.71</v>
      </c>
      <c r="F522" s="140">
        <v>5.5</v>
      </c>
      <c r="G522" s="34" t="s">
        <v>100</v>
      </c>
      <c r="H522" s="34" t="s">
        <v>39</v>
      </c>
      <c r="I522" s="35">
        <v>50</v>
      </c>
      <c r="J522" s="35">
        <v>50</v>
      </c>
      <c r="K522" s="39">
        <v>2500</v>
      </c>
      <c r="L522" s="60" t="str">
        <f>HYPERLINK("https://www.sds-group.ru/product/kabelnyy-vvod-s-rezboy-mg-12-7-6-4-6mm-chernyy-rexant-07-8112-1/", "Инфо")</f>
        <v>Инфо</v>
      </c>
      <c r="M522" s="37">
        <v>6.0000000000000001E-3</v>
      </c>
      <c r="N522" s="38">
        <v>2.3E-5</v>
      </c>
      <c r="O522" s="141">
        <v>4601004036550</v>
      </c>
    </row>
    <row r="523" spans="1:15" s="1" customFormat="1" ht="11.45" customHeight="1" outlineLevel="4" x14ac:dyDescent="0.2">
      <c r="A523" s="32" t="s">
        <v>5962</v>
      </c>
      <c r="B523" s="74" t="s">
        <v>5963</v>
      </c>
      <c r="C523" s="50"/>
      <c r="D523" s="139">
        <f t="shared" si="7"/>
        <v>0</v>
      </c>
      <c r="E523" s="140">
        <v>52.04</v>
      </c>
      <c r="F523" s="140">
        <v>42.66</v>
      </c>
      <c r="G523" s="34" t="s">
        <v>100</v>
      </c>
      <c r="H523" s="34" t="s">
        <v>39</v>
      </c>
      <c r="I523" s="35">
        <v>12</v>
      </c>
      <c r="J523" s="35">
        <v>12</v>
      </c>
      <c r="K523" s="35">
        <v>240</v>
      </c>
      <c r="L523" s="60" t="str">
        <f>HYPERLINK("https://www.sds-group.ru/product/kabelnyy-vvod-s-rezboy-mg-40-30-24mm-chernyy-rexant-07-8140-1/", "Инфо")</f>
        <v>Инфо</v>
      </c>
      <c r="M523" s="37">
        <v>7.0000000000000007E-2</v>
      </c>
      <c r="N523" s="38">
        <v>2.5799999999999998E-4</v>
      </c>
      <c r="O523" s="141">
        <v>4601004036789</v>
      </c>
    </row>
    <row r="524" spans="1:15" s="1" customFormat="1" ht="11.45" customHeight="1" outlineLevel="4" x14ac:dyDescent="0.2">
      <c r="A524" s="32" t="s">
        <v>5964</v>
      </c>
      <c r="B524" s="74" t="s">
        <v>5965</v>
      </c>
      <c r="C524" s="50"/>
      <c r="D524" s="139">
        <f t="shared" si="7"/>
        <v>0</v>
      </c>
      <c r="E524" s="140">
        <v>85.61</v>
      </c>
      <c r="F524" s="140">
        <v>70.17</v>
      </c>
      <c r="G524" s="34" t="s">
        <v>100</v>
      </c>
      <c r="H524" s="34" t="s">
        <v>39</v>
      </c>
      <c r="I524" s="35">
        <v>6</v>
      </c>
      <c r="J524" s="35">
        <v>6</v>
      </c>
      <c r="K524" s="35">
        <v>120</v>
      </c>
      <c r="L524" s="60" t="str">
        <f>HYPERLINK("https://www.sds-group.ru/product/kabelnyy-vvod-s-rezboy-mg-50-39-30-mm-chernyy-rexant-07-8150-1/", "Инфо")</f>
        <v>Инфо</v>
      </c>
      <c r="M524" s="37">
        <v>0.123</v>
      </c>
      <c r="N524" s="38">
        <v>4.2900000000000002E-4</v>
      </c>
      <c r="O524" s="141">
        <v>4601004036802</v>
      </c>
    </row>
    <row r="525" spans="1:15" ht="11.45" customHeight="1" outlineLevel="3" x14ac:dyDescent="0.2">
      <c r="A525" s="76" t="s">
        <v>5977</v>
      </c>
      <c r="B525" s="136"/>
      <c r="C525" s="77"/>
      <c r="D525" s="137"/>
      <c r="E525" s="4"/>
      <c r="F525" s="4"/>
      <c r="G525" s="4"/>
      <c r="H525" s="4"/>
      <c r="I525" s="4"/>
      <c r="J525" s="4"/>
      <c r="K525" s="4"/>
      <c r="L525" s="138"/>
      <c r="M525" s="4"/>
      <c r="N525" s="4"/>
      <c r="O525" s="4"/>
    </row>
    <row r="526" spans="1:15" s="1" customFormat="1" ht="11.45" customHeight="1" outlineLevel="4" x14ac:dyDescent="0.2">
      <c r="A526" s="32" t="s">
        <v>5978</v>
      </c>
      <c r="B526" s="74" t="s">
        <v>5979</v>
      </c>
      <c r="C526" s="50"/>
      <c r="D526" s="139">
        <f t="shared" ref="D526:D589" si="8">C526*E526</f>
        <v>0</v>
      </c>
      <c r="E526" s="140">
        <v>35.5</v>
      </c>
      <c r="F526" s="140">
        <v>29.1</v>
      </c>
      <c r="G526" s="34" t="s">
        <v>100</v>
      </c>
      <c r="H526" s="34" t="s">
        <v>1001</v>
      </c>
      <c r="I526" s="35">
        <v>1</v>
      </c>
      <c r="J526" s="35">
        <v>1</v>
      </c>
      <c r="K526" s="39">
        <v>2400</v>
      </c>
      <c r="L526" s="60" t="str">
        <f>HYPERLINK("https://www.sds-group.ru/product/kabelnyy-vvod-s-rezboy-mg-12-7-6-4-6mm-seryy-up-2-sht-rexant-07-8112-2/", "Инфо")</f>
        <v>Инфо</v>
      </c>
      <c r="M526" s="37">
        <v>1.4999999999999999E-2</v>
      </c>
      <c r="N526" s="38">
        <v>2.6499999999999999E-4</v>
      </c>
      <c r="O526" s="141">
        <v>4601004128446</v>
      </c>
    </row>
    <row r="527" spans="1:15" s="1" customFormat="1" ht="11.45" customHeight="1" outlineLevel="4" x14ac:dyDescent="0.2">
      <c r="A527" s="32" t="s">
        <v>5981</v>
      </c>
      <c r="B527" s="74" t="s">
        <v>5982</v>
      </c>
      <c r="C527" s="50"/>
      <c r="D527" s="139">
        <f t="shared" si="8"/>
        <v>0</v>
      </c>
      <c r="E527" s="140">
        <v>37.54</v>
      </c>
      <c r="F527" s="140">
        <v>30.77</v>
      </c>
      <c r="G527" s="34" t="s">
        <v>100</v>
      </c>
      <c r="H527" s="34" t="s">
        <v>1001</v>
      </c>
      <c r="I527" s="35">
        <v>1</v>
      </c>
      <c r="J527" s="35">
        <v>1</v>
      </c>
      <c r="K527" s="39">
        <v>1500</v>
      </c>
      <c r="L527" s="60" t="str">
        <f>HYPERLINK("https://www.sds-group.ru/product/kabelnyy-vvod-s-rezboy-mg-16-10-6mm-seryy-up-2-sht-rexant-07-8116-2/", "Инфо")</f>
        <v>Инфо</v>
      </c>
      <c r="M527" s="37">
        <v>1.7000000000000001E-2</v>
      </c>
      <c r="N527" s="38">
        <v>1.6799999999999999E-4</v>
      </c>
      <c r="O527" s="141">
        <v>4601004128354</v>
      </c>
    </row>
    <row r="528" spans="1:15" s="1" customFormat="1" ht="11.45" customHeight="1" outlineLevel="4" x14ac:dyDescent="0.2">
      <c r="A528" s="32" t="s">
        <v>5989</v>
      </c>
      <c r="B528" s="74" t="s">
        <v>5990</v>
      </c>
      <c r="C528" s="50"/>
      <c r="D528" s="139">
        <f t="shared" si="8"/>
        <v>0</v>
      </c>
      <c r="E528" s="140">
        <v>33.270000000000003</v>
      </c>
      <c r="F528" s="140">
        <v>27.27</v>
      </c>
      <c r="G528" s="34" t="s">
        <v>100</v>
      </c>
      <c r="H528" s="34" t="s">
        <v>1001</v>
      </c>
      <c r="I528" s="35">
        <v>1</v>
      </c>
      <c r="J528" s="35">
        <v>1</v>
      </c>
      <c r="K528" s="35">
        <v>10</v>
      </c>
      <c r="L528" s="60" t="str">
        <f>HYPERLINK("https://www.sds-group.ru/product/kabelnyy-vvod-s-rezboy-pg-13-5-6-12mm-seryy-komplekt-2-sht-up-rexant-07-8013-A2/", "Инфо")</f>
        <v>Инфо</v>
      </c>
      <c r="M528" s="37">
        <v>3.3000000000000002E-2</v>
      </c>
      <c r="N528" s="38">
        <v>2.3699999999999999E-4</v>
      </c>
      <c r="O528" s="141">
        <v>4601004274051</v>
      </c>
    </row>
    <row r="529" spans="1:15" s="1" customFormat="1" ht="11.45" customHeight="1" outlineLevel="4" x14ac:dyDescent="0.2">
      <c r="A529" s="32" t="s">
        <v>5991</v>
      </c>
      <c r="B529" s="74" t="s">
        <v>5992</v>
      </c>
      <c r="C529" s="50"/>
      <c r="D529" s="139">
        <f t="shared" si="8"/>
        <v>0</v>
      </c>
      <c r="E529" s="140">
        <v>39.67</v>
      </c>
      <c r="F529" s="140">
        <v>32.520000000000003</v>
      </c>
      <c r="G529" s="34" t="s">
        <v>100</v>
      </c>
      <c r="H529" s="34" t="s">
        <v>1001</v>
      </c>
      <c r="I529" s="35">
        <v>1</v>
      </c>
      <c r="J529" s="35">
        <v>1</v>
      </c>
      <c r="K529" s="35">
        <v>10</v>
      </c>
      <c r="L529" s="60" t="str">
        <f>HYPERLINK("https://www.sds-group.ru/product/kabelnyy-vvod-s-rezboy-pg-21-13-18mm-seryy-komplekt-2-sht-up-rexant-07-8021-A2/", "Инфо")</f>
        <v>Инфо</v>
      </c>
      <c r="M529" s="37">
        <v>4.7E-2</v>
      </c>
      <c r="N529" s="38">
        <v>2.13E-4</v>
      </c>
      <c r="O529" s="141">
        <v>4601004274099</v>
      </c>
    </row>
    <row r="530" spans="1:15" s="1" customFormat="1" ht="11.45" customHeight="1" outlineLevel="4" x14ac:dyDescent="0.2">
      <c r="A530" s="32" t="s">
        <v>5993</v>
      </c>
      <c r="B530" s="74" t="s">
        <v>5994</v>
      </c>
      <c r="C530" s="50"/>
      <c r="D530" s="139">
        <f t="shared" si="8"/>
        <v>0</v>
      </c>
      <c r="E530" s="140">
        <v>75.34</v>
      </c>
      <c r="F530" s="140">
        <v>61.75</v>
      </c>
      <c r="G530" s="34" t="s">
        <v>100</v>
      </c>
      <c r="H530" s="34" t="s">
        <v>1001</v>
      </c>
      <c r="I530" s="35">
        <v>1</v>
      </c>
      <c r="J530" s="35">
        <v>1</v>
      </c>
      <c r="K530" s="35">
        <v>10</v>
      </c>
      <c r="L530" s="60" t="str">
        <f>HYPERLINK("https://www.sds-group.ru/product/kabelnyy-vvod-s-rezboy-pg-29-18-25mm-seryy-komplekt-2-sht-up-rexant-07-8029-A2/", "Инфо")</f>
        <v>Инфо</v>
      </c>
      <c r="M530" s="37">
        <v>9.1999999999999998E-2</v>
      </c>
      <c r="N530" s="38">
        <v>4.8200000000000001E-4</v>
      </c>
      <c r="O530" s="141">
        <v>4601004274112</v>
      </c>
    </row>
    <row r="531" spans="1:15" ht="11.45" customHeight="1" outlineLevel="1" x14ac:dyDescent="0.2">
      <c r="A531" s="78" t="s">
        <v>6141</v>
      </c>
      <c r="B531" s="132"/>
      <c r="C531" s="79"/>
      <c r="D531" s="133"/>
      <c r="E531" s="134"/>
      <c r="F531" s="134"/>
      <c r="G531" s="134"/>
      <c r="H531" s="134"/>
      <c r="I531" s="134"/>
      <c r="J531" s="134"/>
      <c r="K531" s="134"/>
      <c r="L531" s="135"/>
      <c r="M531" s="134"/>
      <c r="N531" s="134"/>
      <c r="O531" s="134"/>
    </row>
    <row r="532" spans="1:15" ht="11.45" customHeight="1" outlineLevel="2" x14ac:dyDescent="0.2">
      <c r="A532" s="76" t="s">
        <v>6142</v>
      </c>
      <c r="B532" s="136"/>
      <c r="C532" s="77"/>
      <c r="D532" s="137"/>
      <c r="E532" s="4"/>
      <c r="F532" s="4"/>
      <c r="G532" s="4"/>
      <c r="H532" s="4"/>
      <c r="I532" s="4"/>
      <c r="J532" s="4"/>
      <c r="K532" s="4"/>
      <c r="L532" s="138"/>
      <c r="M532" s="4"/>
      <c r="N532" s="4"/>
      <c r="O532" s="4"/>
    </row>
    <row r="533" spans="1:15" s="1" customFormat="1" ht="11.45" customHeight="1" outlineLevel="3" x14ac:dyDescent="0.2">
      <c r="A533" s="32" t="s">
        <v>6143</v>
      </c>
      <c r="B533" s="74" t="s">
        <v>6144</v>
      </c>
      <c r="C533" s="50"/>
      <c r="D533" s="139">
        <f t="shared" si="8"/>
        <v>0</v>
      </c>
      <c r="E533" s="140">
        <v>1564.13</v>
      </c>
      <c r="F533" s="140">
        <v>1282.07</v>
      </c>
      <c r="G533" s="34" t="s">
        <v>100</v>
      </c>
      <c r="H533" s="34" t="s">
        <v>39</v>
      </c>
      <c r="I533" s="35">
        <v>1</v>
      </c>
      <c r="J533" s="35">
        <v>1</v>
      </c>
      <c r="K533" s="35">
        <v>64</v>
      </c>
      <c r="L533" s="60" t="str">
        <f>HYPERLINK("https://www.sds-group.ru/product/wi-fi-termoregulyator-sensornyy-securic-SEC-T-101W/", "Инфо")</f>
        <v>Инфо</v>
      </c>
      <c r="M533" s="37">
        <v>0.28399999999999997</v>
      </c>
      <c r="N533" s="38">
        <v>7.8399999999999997E-4</v>
      </c>
      <c r="O533" s="141">
        <v>4601004247451</v>
      </c>
    </row>
    <row r="534" spans="1:15" s="1" customFormat="1" ht="11.45" customHeight="1" outlineLevel="3" x14ac:dyDescent="0.2">
      <c r="A534" s="32" t="s">
        <v>6145</v>
      </c>
      <c r="B534" s="74" t="s">
        <v>6146</v>
      </c>
      <c r="C534" s="50"/>
      <c r="D534" s="139">
        <f t="shared" si="8"/>
        <v>0</v>
      </c>
      <c r="E534" s="140">
        <v>880.85</v>
      </c>
      <c r="F534" s="140">
        <v>722.01</v>
      </c>
      <c r="G534" s="34" t="s">
        <v>100</v>
      </c>
      <c r="H534" s="34" t="s">
        <v>39</v>
      </c>
      <c r="I534" s="35">
        <v>1</v>
      </c>
      <c r="J534" s="35">
        <v>1</v>
      </c>
      <c r="K534" s="35">
        <v>5</v>
      </c>
      <c r="L534" s="60" t="str">
        <f>HYPERLINK("https://www.sds-group.ru/product/umnyy-wi-fi-zigbee-bluetooth-shlyuz-securic-SEC-GT-101/", "Инфо")</f>
        <v>Инфо</v>
      </c>
      <c r="M534" s="37">
        <v>0.113</v>
      </c>
      <c r="N534" s="38">
        <v>2.8600000000000001E-4</v>
      </c>
      <c r="O534" s="141">
        <v>4601004252837</v>
      </c>
    </row>
    <row r="535" spans="1:15" s="1" customFormat="1" ht="11.45" customHeight="1" outlineLevel="3" x14ac:dyDescent="0.2">
      <c r="A535" s="32" t="s">
        <v>6147</v>
      </c>
      <c r="B535" s="74" t="s">
        <v>6148</v>
      </c>
      <c r="C535" s="50"/>
      <c r="D535" s="139">
        <f t="shared" si="8"/>
        <v>0</v>
      </c>
      <c r="E535" s="140">
        <v>298.18</v>
      </c>
      <c r="F535" s="140">
        <v>244.41</v>
      </c>
      <c r="G535" s="34" t="s">
        <v>100</v>
      </c>
      <c r="H535" s="34" t="s">
        <v>39</v>
      </c>
      <c r="I535" s="35">
        <v>1</v>
      </c>
      <c r="J535" s="35">
        <v>1</v>
      </c>
      <c r="K535" s="35">
        <v>200</v>
      </c>
      <c r="L535" s="60" t="str">
        <f>HYPERLINK("https://www.sds-group.ru/product/umnyy-besprovodnoy-wi-fi-kontroller-upravleniya-pitaniem-securic-SEC-HV-301W/", "Инфо")</f>
        <v>Инфо</v>
      </c>
      <c r="M535" s="37">
        <v>6.3E-2</v>
      </c>
      <c r="N535" s="38">
        <v>1.74E-4</v>
      </c>
      <c r="O535" s="141">
        <v>4601004238053</v>
      </c>
    </row>
    <row r="536" spans="1:15" ht="11.45" customHeight="1" outlineLevel="2" x14ac:dyDescent="0.2">
      <c r="A536" s="76" t="s">
        <v>6149</v>
      </c>
      <c r="B536" s="136"/>
      <c r="C536" s="77"/>
      <c r="D536" s="137"/>
      <c r="E536" s="4"/>
      <c r="F536" s="4"/>
      <c r="G536" s="4"/>
      <c r="H536" s="4"/>
      <c r="I536" s="4"/>
      <c r="J536" s="4"/>
      <c r="K536" s="4"/>
      <c r="L536" s="138"/>
      <c r="M536" s="4"/>
      <c r="N536" s="4"/>
      <c r="O536" s="4"/>
    </row>
    <row r="537" spans="1:15" s="1" customFormat="1" ht="11.45" customHeight="1" outlineLevel="3" x14ac:dyDescent="0.2">
      <c r="A537" s="32" t="s">
        <v>6150</v>
      </c>
      <c r="B537" s="74" t="s">
        <v>6151</v>
      </c>
      <c r="C537" s="50"/>
      <c r="D537" s="139">
        <f t="shared" si="8"/>
        <v>0</v>
      </c>
      <c r="E537" s="140">
        <v>588.30999999999995</v>
      </c>
      <c r="F537" s="140">
        <v>482.22</v>
      </c>
      <c r="G537" s="34" t="s">
        <v>100</v>
      </c>
      <c r="H537" s="34" t="s">
        <v>39</v>
      </c>
      <c r="I537" s="35">
        <v>1</v>
      </c>
      <c r="J537" s="35">
        <v>1</v>
      </c>
      <c r="K537" s="35">
        <v>50</v>
      </c>
      <c r="L537" s="60" t="str">
        <f>HYPERLINK("https://www.sds-group.ru/product/umnyy-wi-fi-vyklyuchatel-dvuhknopochnyy-belyy-securic-SEC-HV-802W2/", "Инфо")</f>
        <v>Инфо</v>
      </c>
      <c r="M537" s="37">
        <v>0.191</v>
      </c>
      <c r="N537" s="38">
        <v>4.7399999999999997E-4</v>
      </c>
      <c r="O537" s="141">
        <v>4601004277335</v>
      </c>
    </row>
    <row r="538" spans="1:15" s="1" customFormat="1" ht="11.45" customHeight="1" outlineLevel="3" x14ac:dyDescent="0.2">
      <c r="A538" s="32" t="s">
        <v>6152</v>
      </c>
      <c r="B538" s="74" t="s">
        <v>6153</v>
      </c>
      <c r="C538" s="50"/>
      <c r="D538" s="139">
        <f t="shared" si="8"/>
        <v>0</v>
      </c>
      <c r="E538" s="140">
        <v>384.49</v>
      </c>
      <c r="F538" s="140">
        <v>315.16000000000003</v>
      </c>
      <c r="G538" s="34" t="s">
        <v>100</v>
      </c>
      <c r="H538" s="34" t="s">
        <v>39</v>
      </c>
      <c r="I538" s="35">
        <v>1</v>
      </c>
      <c r="J538" s="35">
        <v>1</v>
      </c>
      <c r="K538" s="35">
        <v>50</v>
      </c>
      <c r="L538" s="60" t="str">
        <f>HYPERLINK("https://www.sds-group.ru/product/umnyy-wi-fi-vyklyuchatel-dvuhknopochnyy-chernyy-securic-SEC-HV-802B2/", "Инфо")</f>
        <v>Инфо</v>
      </c>
      <c r="M538" s="37">
        <v>0.187</v>
      </c>
      <c r="N538" s="38">
        <v>4.7399999999999997E-4</v>
      </c>
      <c r="O538" s="141">
        <v>4601004277359</v>
      </c>
    </row>
    <row r="539" spans="1:15" ht="11.45" customHeight="1" x14ac:dyDescent="0.2">
      <c r="A539" s="80" t="s">
        <v>6166</v>
      </c>
      <c r="B539" s="128"/>
      <c r="C539" s="81"/>
      <c r="D539" s="129"/>
      <c r="E539" s="130"/>
      <c r="F539" s="130"/>
      <c r="G539" s="130"/>
      <c r="H539" s="130"/>
      <c r="I539" s="130"/>
      <c r="J539" s="130"/>
      <c r="K539" s="130"/>
      <c r="L539" s="131"/>
      <c r="M539" s="130"/>
      <c r="N539" s="130"/>
      <c r="O539" s="130"/>
    </row>
    <row r="540" spans="1:15" ht="11.45" customHeight="1" outlineLevel="1" x14ac:dyDescent="0.2">
      <c r="A540" s="78" t="s">
        <v>6167</v>
      </c>
      <c r="B540" s="132"/>
      <c r="C540" s="79"/>
      <c r="D540" s="133"/>
      <c r="E540" s="134"/>
      <c r="F540" s="134"/>
      <c r="G540" s="134"/>
      <c r="H540" s="134"/>
      <c r="I540" s="134"/>
      <c r="J540" s="134"/>
      <c r="K540" s="134"/>
      <c r="L540" s="135"/>
      <c r="M540" s="134"/>
      <c r="N540" s="134"/>
      <c r="O540" s="134"/>
    </row>
    <row r="541" spans="1:15" ht="11.45" customHeight="1" outlineLevel="2" x14ac:dyDescent="0.2">
      <c r="A541" s="76" t="s">
        <v>6168</v>
      </c>
      <c r="B541" s="136"/>
      <c r="C541" s="77"/>
      <c r="D541" s="137"/>
      <c r="E541" s="4"/>
      <c r="F541" s="4"/>
      <c r="G541" s="4"/>
      <c r="H541" s="4"/>
      <c r="I541" s="4"/>
      <c r="J541" s="4"/>
      <c r="K541" s="4"/>
      <c r="L541" s="138"/>
      <c r="M541" s="4"/>
      <c r="N541" s="4"/>
      <c r="O541" s="4"/>
    </row>
    <row r="542" spans="1:15" ht="11.45" customHeight="1" outlineLevel="3" x14ac:dyDescent="0.2">
      <c r="A542" s="76" t="s">
        <v>6169</v>
      </c>
      <c r="B542" s="136"/>
      <c r="C542" s="77"/>
      <c r="D542" s="137"/>
      <c r="E542" s="4"/>
      <c r="F542" s="4"/>
      <c r="G542" s="4"/>
      <c r="H542" s="4"/>
      <c r="I542" s="4"/>
      <c r="J542" s="4"/>
      <c r="K542" s="4"/>
      <c r="L542" s="138"/>
      <c r="M542" s="4"/>
      <c r="N542" s="4"/>
      <c r="O542" s="4"/>
    </row>
    <row r="543" spans="1:15" s="1" customFormat="1" ht="11.45" customHeight="1" outlineLevel="4" x14ac:dyDescent="0.2">
      <c r="A543" s="32" t="s">
        <v>6170</v>
      </c>
      <c r="B543" s="74" t="s">
        <v>6171</v>
      </c>
      <c r="C543" s="50"/>
      <c r="D543" s="139">
        <f t="shared" si="8"/>
        <v>0</v>
      </c>
      <c r="E543" s="140">
        <v>45.09</v>
      </c>
      <c r="F543" s="140">
        <v>36.96</v>
      </c>
      <c r="G543" s="34" t="s">
        <v>100</v>
      </c>
      <c r="H543" s="34" t="s">
        <v>39</v>
      </c>
      <c r="I543" s="35">
        <v>1</v>
      </c>
      <c r="J543" s="35">
        <v>1</v>
      </c>
      <c r="K543" s="35">
        <v>480</v>
      </c>
      <c r="L543" s="60" t="str">
        <f>HYPERLINK("https://www.sds-group.ru/product/otvertka-krestovaya-ph0h150mm-dvuhkomponentnaya-rukoyatka-rexant-12-6403/", "Инфо")</f>
        <v>Инфо</v>
      </c>
      <c r="M543" s="37">
        <v>4.5999999999999999E-2</v>
      </c>
      <c r="N543" s="38">
        <v>2.5399999999999999E-4</v>
      </c>
      <c r="O543" s="141">
        <v>4601004153486</v>
      </c>
    </row>
    <row r="544" spans="1:15" s="1" customFormat="1" ht="11.45" customHeight="1" outlineLevel="4" x14ac:dyDescent="0.2">
      <c r="A544" s="32" t="s">
        <v>6198</v>
      </c>
      <c r="B544" s="74" t="s">
        <v>6199</v>
      </c>
      <c r="C544" s="50"/>
      <c r="D544" s="139">
        <f t="shared" si="8"/>
        <v>0</v>
      </c>
      <c r="E544" s="140">
        <v>134.88999999999999</v>
      </c>
      <c r="F544" s="140">
        <v>110.57</v>
      </c>
      <c r="G544" s="34" t="s">
        <v>100</v>
      </c>
      <c r="H544" s="34" t="s">
        <v>39</v>
      </c>
      <c r="I544" s="35">
        <v>1</v>
      </c>
      <c r="J544" s="35">
        <v>1</v>
      </c>
      <c r="K544" s="35">
        <v>144</v>
      </c>
      <c r="L544" s="60" t="str">
        <f>HYPERLINK("https://www.sds-group.ru/product/otvertka-krestovaya-ph3h250mm-dvuhkomponentnaya-rukoyatka-rexant-12-6411/", "Инфо")</f>
        <v>Инфо</v>
      </c>
      <c r="M544" s="37">
        <v>0.21299999999999999</v>
      </c>
      <c r="N544" s="38">
        <v>4.3899999999999999E-4</v>
      </c>
      <c r="O544" s="141">
        <v>4601004153592</v>
      </c>
    </row>
    <row r="545" spans="1:15" s="1" customFormat="1" ht="11.45" customHeight="1" outlineLevel="4" x14ac:dyDescent="0.2">
      <c r="A545" s="32" t="s">
        <v>6200</v>
      </c>
      <c r="B545" s="74" t="s">
        <v>6201</v>
      </c>
      <c r="C545" s="50"/>
      <c r="D545" s="139">
        <f t="shared" si="8"/>
        <v>0</v>
      </c>
      <c r="E545" s="140">
        <v>52.03</v>
      </c>
      <c r="F545" s="140">
        <v>42.65</v>
      </c>
      <c r="G545" s="34" t="s">
        <v>100</v>
      </c>
      <c r="H545" s="34" t="s">
        <v>39</v>
      </c>
      <c r="I545" s="35">
        <v>1</v>
      </c>
      <c r="J545" s="35">
        <v>1</v>
      </c>
      <c r="K545" s="35">
        <v>360</v>
      </c>
      <c r="L545" s="60" t="str">
        <f>HYPERLINK("https://www.sds-group.ru/product/otvertka-krestovaya-pz1h75mm-dvuhkomponentnaya-rukoyatka-rexant-12-6414/", "Инфо")</f>
        <v>Инфо</v>
      </c>
      <c r="M545" s="37">
        <v>6.9000000000000006E-2</v>
      </c>
      <c r="N545" s="38">
        <v>2.0900000000000001E-4</v>
      </c>
      <c r="O545" s="141">
        <v>4601004153639</v>
      </c>
    </row>
    <row r="546" spans="1:15" s="1" customFormat="1" ht="11.45" customHeight="1" outlineLevel="4" x14ac:dyDescent="0.2">
      <c r="A546" s="32" t="s">
        <v>6204</v>
      </c>
      <c r="B546" s="74" t="s">
        <v>6205</v>
      </c>
      <c r="C546" s="50"/>
      <c r="D546" s="139">
        <f t="shared" si="8"/>
        <v>0</v>
      </c>
      <c r="E546" s="140">
        <v>62.43</v>
      </c>
      <c r="F546" s="140">
        <v>51.17</v>
      </c>
      <c r="G546" s="34" t="s">
        <v>100</v>
      </c>
      <c r="H546" s="34" t="s">
        <v>39</v>
      </c>
      <c r="I546" s="35">
        <v>1</v>
      </c>
      <c r="J546" s="35">
        <v>1</v>
      </c>
      <c r="K546" s="35">
        <v>240</v>
      </c>
      <c r="L546" s="60" t="str">
        <f>HYPERLINK("https://www.sds-group.ru/product/otvertka-krestovaya-pz2h100mm-dvuhkomponentnaya-rukoyatka-rexant-12-6415/", "Инфо")</f>
        <v>Инфо</v>
      </c>
      <c r="M546" s="37">
        <v>0.10199999999999999</v>
      </c>
      <c r="N546" s="38">
        <v>3.0699999999999998E-4</v>
      </c>
      <c r="O546" s="141">
        <v>4601004153646</v>
      </c>
    </row>
    <row r="547" spans="1:15" ht="11.45" customHeight="1" outlineLevel="3" x14ac:dyDescent="0.2">
      <c r="A547" s="76" t="s">
        <v>6208</v>
      </c>
      <c r="B547" s="136"/>
      <c r="C547" s="77"/>
      <c r="D547" s="137"/>
      <c r="E547" s="4"/>
      <c r="F547" s="4"/>
      <c r="G547" s="4"/>
      <c r="H547" s="4"/>
      <c r="I547" s="4"/>
      <c r="J547" s="4"/>
      <c r="K547" s="4"/>
      <c r="L547" s="138"/>
      <c r="M547" s="4"/>
      <c r="N547" s="4"/>
      <c r="O547" s="4"/>
    </row>
    <row r="548" spans="1:15" s="1" customFormat="1" ht="11.45" customHeight="1" outlineLevel="4" x14ac:dyDescent="0.2">
      <c r="A548" s="32" t="s">
        <v>6211</v>
      </c>
      <c r="B548" s="74" t="s">
        <v>6212</v>
      </c>
      <c r="C548" s="50"/>
      <c r="D548" s="139">
        <f t="shared" si="8"/>
        <v>0</v>
      </c>
      <c r="E548" s="140">
        <v>48.56</v>
      </c>
      <c r="F548" s="140">
        <v>39.799999999999997</v>
      </c>
      <c r="G548" s="34" t="s">
        <v>100</v>
      </c>
      <c r="H548" s="34" t="s">
        <v>39</v>
      </c>
      <c r="I548" s="35">
        <v>1</v>
      </c>
      <c r="J548" s="35">
        <v>1</v>
      </c>
      <c r="K548" s="35">
        <v>480</v>
      </c>
      <c r="L548" s="60" t="str">
        <f>HYPERLINK("https://www.sds-group.ru/product/otvertka-shlitsevaya-sl3h150mm-dvuhkomponentnaya-rukoyatka-rexant-12-6422/", "Инфо")</f>
        <v>Инфо</v>
      </c>
      <c r="M548" s="37">
        <v>4.7E-2</v>
      </c>
      <c r="N548" s="38">
        <v>2.2900000000000001E-4</v>
      </c>
      <c r="O548" s="141">
        <v>4601004153226</v>
      </c>
    </row>
    <row r="549" spans="1:15" s="1" customFormat="1" ht="11.45" customHeight="1" outlineLevel="4" x14ac:dyDescent="0.2">
      <c r="A549" s="32" t="s">
        <v>6225</v>
      </c>
      <c r="B549" s="74" t="s">
        <v>6226</v>
      </c>
      <c r="C549" s="50"/>
      <c r="D549" s="139">
        <f t="shared" si="8"/>
        <v>0</v>
      </c>
      <c r="E549" s="140">
        <v>59.35</v>
      </c>
      <c r="F549" s="140">
        <v>48.65</v>
      </c>
      <c r="G549" s="34" t="s">
        <v>100</v>
      </c>
      <c r="H549" s="34" t="s">
        <v>39</v>
      </c>
      <c r="I549" s="35">
        <v>1</v>
      </c>
      <c r="J549" s="35">
        <v>1</v>
      </c>
      <c r="K549" s="35">
        <v>480</v>
      </c>
      <c r="L549" s="60" t="str">
        <f>HYPERLINK("https://www.sds-group.ru/product/otvertka-shlitsevaya-sl4h200mm-dvuhkomponentnaya-rukoyatka-rexant-12-6426/", "Инфо")</f>
        <v>Инфо</v>
      </c>
      <c r="M549" s="37">
        <v>6.0999999999999999E-2</v>
      </c>
      <c r="N549" s="38">
        <v>2.4499999999999999E-4</v>
      </c>
      <c r="O549" s="141">
        <v>4601004153264</v>
      </c>
    </row>
    <row r="550" spans="1:15" s="1" customFormat="1" ht="11.45" customHeight="1" outlineLevel="4" x14ac:dyDescent="0.2">
      <c r="A550" s="32" t="s">
        <v>6231</v>
      </c>
      <c r="B550" s="74" t="s">
        <v>6232</v>
      </c>
      <c r="C550" s="50"/>
      <c r="D550" s="139">
        <f t="shared" si="8"/>
        <v>0</v>
      </c>
      <c r="E550" s="140">
        <v>53.38</v>
      </c>
      <c r="F550" s="140">
        <v>43.75</v>
      </c>
      <c r="G550" s="34" t="s">
        <v>100</v>
      </c>
      <c r="H550" s="34" t="s">
        <v>39</v>
      </c>
      <c r="I550" s="35">
        <v>1</v>
      </c>
      <c r="J550" s="35">
        <v>1</v>
      </c>
      <c r="K550" s="35">
        <v>480</v>
      </c>
      <c r="L550" s="60" t="str">
        <f>HYPERLINK("https://www.sds-group.ru/product/otvertka-shlitsevaya-sl5h200mm-dvuhkomponentnaya-rukoyatka-rexant-12-6429/", "Инфо")</f>
        <v>Инфо</v>
      </c>
      <c r="M550" s="37">
        <v>8.8999999999999996E-2</v>
      </c>
      <c r="N550" s="38">
        <v>2.7799999999999998E-4</v>
      </c>
      <c r="O550" s="141">
        <v>4601004153301</v>
      </c>
    </row>
    <row r="551" spans="1:15" ht="11.45" customHeight="1" outlineLevel="3" x14ac:dyDescent="0.2">
      <c r="A551" s="76" t="s">
        <v>6241</v>
      </c>
      <c r="B551" s="136"/>
      <c r="C551" s="77"/>
      <c r="D551" s="137"/>
      <c r="E551" s="4"/>
      <c r="F551" s="4"/>
      <c r="G551" s="4"/>
      <c r="H551" s="4"/>
      <c r="I551" s="4"/>
      <c r="J551" s="4"/>
      <c r="K551" s="4"/>
      <c r="L551" s="138"/>
      <c r="M551" s="4"/>
      <c r="N551" s="4"/>
      <c r="O551" s="4"/>
    </row>
    <row r="552" spans="1:15" s="1" customFormat="1" ht="11.45" customHeight="1" outlineLevel="4" x14ac:dyDescent="0.2">
      <c r="A552" s="32" t="s">
        <v>6242</v>
      </c>
      <c r="B552" s="74" t="s">
        <v>6243</v>
      </c>
      <c r="C552" s="50"/>
      <c r="D552" s="139">
        <f t="shared" si="8"/>
        <v>0</v>
      </c>
      <c r="E552" s="140">
        <v>221.99</v>
      </c>
      <c r="F552" s="140">
        <v>181.96</v>
      </c>
      <c r="G552" s="34" t="s">
        <v>100</v>
      </c>
      <c r="H552" s="34" t="s">
        <v>39</v>
      </c>
      <c r="I552" s="35">
        <v>1</v>
      </c>
      <c r="J552" s="35">
        <v>1</v>
      </c>
      <c r="K552" s="35">
        <v>80</v>
      </c>
      <c r="L552" s="60" t="str">
        <f>HYPERLINK("https://www.sds-group.ru/product/nabor-8-predmetov-s-reversivnoy-otvertkoy-rexant-12-4779/", "Инфо")</f>
        <v>Инфо</v>
      </c>
      <c r="M552" s="37">
        <v>0.17599999999999999</v>
      </c>
      <c r="N552" s="38">
        <v>6.2100000000000002E-4</v>
      </c>
      <c r="O552" s="141">
        <v>4601004153783</v>
      </c>
    </row>
    <row r="553" spans="1:15" s="1" customFormat="1" ht="11.45" customHeight="1" outlineLevel="4" x14ac:dyDescent="0.2">
      <c r="A553" s="32" t="s">
        <v>6244</v>
      </c>
      <c r="B553" s="74" t="s">
        <v>6245</v>
      </c>
      <c r="C553" s="50"/>
      <c r="D553" s="139">
        <f t="shared" si="8"/>
        <v>0</v>
      </c>
      <c r="E553" s="140">
        <v>269.77999999999997</v>
      </c>
      <c r="F553" s="140">
        <v>221.13</v>
      </c>
      <c r="G553" s="34" t="s">
        <v>100</v>
      </c>
      <c r="H553" s="34" t="s">
        <v>39</v>
      </c>
      <c r="I553" s="35">
        <v>1</v>
      </c>
      <c r="J553" s="35">
        <v>1</v>
      </c>
      <c r="K553" s="35">
        <v>60</v>
      </c>
      <c r="L553" s="60" t="str">
        <f>HYPERLINK("https://www.sds-group.ru/product/nabor-golovok-i-bit-s-reversivnoy-otvertkoy-21-predmet-rexant-12-6075/", "Инфо")</f>
        <v>Инфо</v>
      </c>
      <c r="M553" s="37">
        <v>0.41699999999999998</v>
      </c>
      <c r="N553" s="38">
        <v>1.111E-3</v>
      </c>
      <c r="O553" s="141">
        <v>4601004153806</v>
      </c>
    </row>
    <row r="554" spans="1:15" s="1" customFormat="1" ht="11.45" customHeight="1" outlineLevel="4" x14ac:dyDescent="0.2">
      <c r="A554" s="32" t="s">
        <v>6246</v>
      </c>
      <c r="B554" s="74" t="s">
        <v>6247</v>
      </c>
      <c r="C554" s="50"/>
      <c r="D554" s="139">
        <f t="shared" si="8"/>
        <v>0</v>
      </c>
      <c r="E554" s="140">
        <v>289.05</v>
      </c>
      <c r="F554" s="140">
        <v>236.93</v>
      </c>
      <c r="G554" s="34" t="s">
        <v>100</v>
      </c>
      <c r="H554" s="34" t="s">
        <v>39</v>
      </c>
      <c r="I554" s="35">
        <v>1</v>
      </c>
      <c r="J554" s="35">
        <v>1</v>
      </c>
      <c r="K554" s="35">
        <v>60</v>
      </c>
      <c r="L554" s="60" t="str">
        <f>HYPERLINK("https://www.sds-group.ru/product/nabor-otvertok-10-predmetov-rexant-23760/", "Инфо")</f>
        <v>Инфо</v>
      </c>
      <c r="M554" s="37">
        <v>0.42599999999999999</v>
      </c>
      <c r="N554" s="38">
        <v>1.6019999999999999E-3</v>
      </c>
      <c r="O554" s="141">
        <v>4601004153769</v>
      </c>
    </row>
    <row r="555" spans="1:15" s="1" customFormat="1" ht="11.45" customHeight="1" outlineLevel="4" x14ac:dyDescent="0.2">
      <c r="A555" s="32" t="s">
        <v>6252</v>
      </c>
      <c r="B555" s="74" t="s">
        <v>6253</v>
      </c>
      <c r="C555" s="50"/>
      <c r="D555" s="139">
        <f t="shared" si="8"/>
        <v>0</v>
      </c>
      <c r="E555" s="140">
        <v>493.3</v>
      </c>
      <c r="F555" s="140">
        <v>404.34</v>
      </c>
      <c r="G555" s="34" t="s">
        <v>100</v>
      </c>
      <c r="H555" s="34" t="s">
        <v>39</v>
      </c>
      <c r="I555" s="35">
        <v>1</v>
      </c>
      <c r="J555" s="35">
        <v>1</v>
      </c>
      <c r="K555" s="35">
        <v>48</v>
      </c>
      <c r="L555" s="60" t="str">
        <f>HYPERLINK("https://www.sds-group.ru/product/nabor-otvertok-33-predmeta-rexant-12-4776/", "Инфо")</f>
        <v>Инфо</v>
      </c>
      <c r="M555" s="37">
        <v>0.60299999999999998</v>
      </c>
      <c r="N555" s="38">
        <v>1.3680000000000001E-3</v>
      </c>
      <c r="O555" s="141">
        <v>4601004153752</v>
      </c>
    </row>
    <row r="556" spans="1:15" ht="11.45" customHeight="1" outlineLevel="3" x14ac:dyDescent="0.2">
      <c r="A556" s="76" t="s">
        <v>6268</v>
      </c>
      <c r="B556" s="136"/>
      <c r="C556" s="77"/>
      <c r="D556" s="137"/>
      <c r="E556" s="4"/>
      <c r="F556" s="4"/>
      <c r="G556" s="4"/>
      <c r="H556" s="4"/>
      <c r="I556" s="4"/>
      <c r="J556" s="4"/>
      <c r="K556" s="4"/>
      <c r="L556" s="138"/>
      <c r="M556" s="4"/>
      <c r="N556" s="4"/>
      <c r="O556" s="4"/>
    </row>
    <row r="557" spans="1:15" s="1" customFormat="1" ht="11.45" customHeight="1" outlineLevel="4" x14ac:dyDescent="0.2">
      <c r="A557" s="32" t="s">
        <v>6277</v>
      </c>
      <c r="B557" s="74" t="s">
        <v>6278</v>
      </c>
      <c r="C557" s="50"/>
      <c r="D557" s="139">
        <f t="shared" si="8"/>
        <v>0</v>
      </c>
      <c r="E557" s="140">
        <v>169.57</v>
      </c>
      <c r="F557" s="140">
        <v>138.99</v>
      </c>
      <c r="G557" s="34" t="s">
        <v>100</v>
      </c>
      <c r="H557" s="34" t="s">
        <v>39</v>
      </c>
      <c r="I557" s="35">
        <v>1</v>
      </c>
      <c r="J557" s="35">
        <v>1</v>
      </c>
      <c r="K557" s="35">
        <v>60</v>
      </c>
      <c r="L557" s="60" t="str">
        <f>HYPERLINK("https://www.sds-group.ru/product/nabor-otvertok-19-predmetov-rexant-12-4771/", "Инфо")</f>
        <v>Инфо</v>
      </c>
      <c r="M557" s="37">
        <v>0.26200000000000001</v>
      </c>
      <c r="N557" s="38">
        <v>1.263E-3</v>
      </c>
      <c r="O557" s="141">
        <v>4601004063808</v>
      </c>
    </row>
    <row r="558" spans="1:15" s="1" customFormat="1" ht="11.45" customHeight="1" outlineLevel="4" x14ac:dyDescent="0.2">
      <c r="A558" s="32" t="s">
        <v>6281</v>
      </c>
      <c r="B558" s="74" t="s">
        <v>6282</v>
      </c>
      <c r="C558" s="50"/>
      <c r="D558" s="139">
        <f t="shared" si="8"/>
        <v>0</v>
      </c>
      <c r="E558" s="140">
        <v>1483.76</v>
      </c>
      <c r="F558" s="140">
        <v>1216.2</v>
      </c>
      <c r="G558" s="34" t="s">
        <v>100</v>
      </c>
      <c r="H558" s="34" t="s">
        <v>39</v>
      </c>
      <c r="I558" s="35">
        <v>1</v>
      </c>
      <c r="J558" s="35">
        <v>1</v>
      </c>
      <c r="K558" s="35">
        <v>10</v>
      </c>
      <c r="L558" s="60" t="str">
        <f>HYPERLINK("https://www.sds-group.ru/product/nabor-otvertok-dlya-tochnyh-rabot-31-predmet-kranz-KR-12-4778/", "Инфо")</f>
        <v>Инфо</v>
      </c>
      <c r="M558" s="37">
        <v>1.143</v>
      </c>
      <c r="N558" s="38">
        <v>2.7230000000000002E-3</v>
      </c>
      <c r="O558" s="141">
        <v>4601004201538</v>
      </c>
    </row>
    <row r="559" spans="1:15" s="1" customFormat="1" ht="11.45" customHeight="1" outlineLevel="4" x14ac:dyDescent="0.2">
      <c r="A559" s="32" t="s">
        <v>6285</v>
      </c>
      <c r="B559" s="74" t="s">
        <v>6286</v>
      </c>
      <c r="C559" s="50"/>
      <c r="D559" s="139">
        <f t="shared" si="8"/>
        <v>0</v>
      </c>
      <c r="E559" s="140">
        <v>1156.17</v>
      </c>
      <c r="F559" s="140">
        <v>947.68</v>
      </c>
      <c r="G559" s="34" t="s">
        <v>100</v>
      </c>
      <c r="H559" s="34" t="s">
        <v>39</v>
      </c>
      <c r="I559" s="35">
        <v>1</v>
      </c>
      <c r="J559" s="35">
        <v>1</v>
      </c>
      <c r="K559" s="35">
        <v>20</v>
      </c>
      <c r="L559" s="60" t="str">
        <f>HYPERLINK("https://www.sds-group.ru/product/nabor-otvertok-dlya-tochnyh-rabot-37-predmetov-kranz-KR-12-4776/", "Инфо")</f>
        <v>Инфо</v>
      </c>
      <c r="M559" s="37">
        <v>0.42099999999999999</v>
      </c>
      <c r="N559" s="38">
        <v>1.291E-3</v>
      </c>
      <c r="O559" s="141">
        <v>4601004201514</v>
      </c>
    </row>
    <row r="560" spans="1:15" s="1" customFormat="1" ht="11.45" customHeight="1" outlineLevel="4" x14ac:dyDescent="0.2">
      <c r="A560" s="32" t="s">
        <v>6301</v>
      </c>
      <c r="B560" s="74" t="s">
        <v>6302</v>
      </c>
      <c r="C560" s="50"/>
      <c r="D560" s="139">
        <f t="shared" si="8"/>
        <v>0</v>
      </c>
      <c r="E560" s="140">
        <v>161.86000000000001</v>
      </c>
      <c r="F560" s="140">
        <v>132.66999999999999</v>
      </c>
      <c r="G560" s="34" t="s">
        <v>100</v>
      </c>
      <c r="H560" s="34" t="s">
        <v>39</v>
      </c>
      <c r="I560" s="35">
        <v>1</v>
      </c>
      <c r="J560" s="35">
        <v>1</v>
      </c>
      <c r="K560" s="35">
        <v>100</v>
      </c>
      <c r="L560" s="60" t="str">
        <f>HYPERLINK("https://www.sds-group.ru/product/nabor-otvertok-i-rolikov-dlya-remonta-mobilnyh-ustroystv-9-predmetov-kranz-KR-12-4770/", "Инфо")</f>
        <v>Инфо</v>
      </c>
      <c r="M560" s="37">
        <v>6.6000000000000003E-2</v>
      </c>
      <c r="N560" s="38">
        <v>2.8200000000000002E-4</v>
      </c>
      <c r="O560" s="141">
        <v>4601004201552</v>
      </c>
    </row>
    <row r="561" spans="1:15" ht="11.45" customHeight="1" outlineLevel="2" x14ac:dyDescent="0.2">
      <c r="A561" s="76" t="s">
        <v>6340</v>
      </c>
      <c r="B561" s="136"/>
      <c r="C561" s="77"/>
      <c r="D561" s="137"/>
      <c r="E561" s="4"/>
      <c r="F561" s="4"/>
      <c r="G561" s="4"/>
      <c r="H561" s="4"/>
      <c r="I561" s="4"/>
      <c r="J561" s="4"/>
      <c r="K561" s="4"/>
      <c r="L561" s="138"/>
      <c r="M561" s="4"/>
      <c r="N561" s="4"/>
      <c r="O561" s="4"/>
    </row>
    <row r="562" spans="1:15" ht="11.45" customHeight="1" outlineLevel="3" x14ac:dyDescent="0.2">
      <c r="A562" s="76" t="s">
        <v>6360</v>
      </c>
      <c r="B562" s="136"/>
      <c r="C562" s="77"/>
      <c r="D562" s="137"/>
      <c r="E562" s="4"/>
      <c r="F562" s="4"/>
      <c r="G562" s="4"/>
      <c r="H562" s="4"/>
      <c r="I562" s="4"/>
      <c r="J562" s="4"/>
      <c r="K562" s="4"/>
      <c r="L562" s="138"/>
      <c r="M562" s="4"/>
      <c r="N562" s="4"/>
      <c r="O562" s="4"/>
    </row>
    <row r="563" spans="1:15" s="1" customFormat="1" ht="11.45" customHeight="1" outlineLevel="4" x14ac:dyDescent="0.2">
      <c r="A563" s="32" t="s">
        <v>6363</v>
      </c>
      <c r="B563" s="74" t="s">
        <v>6364</v>
      </c>
      <c r="C563" s="50"/>
      <c r="D563" s="139">
        <f t="shared" si="8"/>
        <v>0</v>
      </c>
      <c r="E563" s="140">
        <v>131.03</v>
      </c>
      <c r="F563" s="140">
        <v>107.4</v>
      </c>
      <c r="G563" s="34" t="s">
        <v>100</v>
      </c>
      <c r="H563" s="34" t="s">
        <v>39</v>
      </c>
      <c r="I563" s="35">
        <v>1</v>
      </c>
      <c r="J563" s="35">
        <v>1</v>
      </c>
      <c r="K563" s="35">
        <v>60</v>
      </c>
      <c r="L563" s="60" t="str">
        <f>HYPERLINK("https://www.sds-group.ru/product/ploskogubtsy-kombinirovannye-160mm-oblivnye-rukoyatki-rexant-12-4611-1/", "Инфо")</f>
        <v>Инфо</v>
      </c>
      <c r="M563" s="37">
        <v>0.219</v>
      </c>
      <c r="N563" s="38">
        <v>3.48E-4</v>
      </c>
      <c r="O563" s="141">
        <v>4601004159839</v>
      </c>
    </row>
    <row r="564" spans="1:15" ht="11.45" customHeight="1" outlineLevel="3" x14ac:dyDescent="0.2">
      <c r="A564" s="76" t="s">
        <v>6429</v>
      </c>
      <c r="B564" s="136"/>
      <c r="C564" s="77"/>
      <c r="D564" s="137"/>
      <c r="E564" s="4"/>
      <c r="F564" s="4"/>
      <c r="G564" s="4"/>
      <c r="H564" s="4"/>
      <c r="I564" s="4"/>
      <c r="J564" s="4"/>
      <c r="K564" s="4"/>
      <c r="L564" s="138"/>
      <c r="M564" s="4"/>
      <c r="N564" s="4"/>
      <c r="O564" s="4"/>
    </row>
    <row r="565" spans="1:15" s="1" customFormat="1" ht="11.45" customHeight="1" outlineLevel="4" x14ac:dyDescent="0.2">
      <c r="A565" s="32" t="s">
        <v>6435</v>
      </c>
      <c r="B565" s="74" t="s">
        <v>6436</v>
      </c>
      <c r="C565" s="50"/>
      <c r="D565" s="139">
        <f t="shared" si="8"/>
        <v>0</v>
      </c>
      <c r="E565" s="140">
        <v>411.16</v>
      </c>
      <c r="F565" s="140">
        <v>337.02</v>
      </c>
      <c r="G565" s="34" t="s">
        <v>100</v>
      </c>
      <c r="H565" s="34" t="s">
        <v>39</v>
      </c>
      <c r="I565" s="35">
        <v>1</v>
      </c>
      <c r="J565" s="35">
        <v>1</v>
      </c>
      <c r="K565" s="35">
        <v>100</v>
      </c>
      <c r="L565" s="60" t="str">
        <f>HYPERLINK("https://www.sds-group.ru/product/mnogofunktsionalnyy-instrument-dlya-zachistki-provodov-7v1-kranz-KR-12-4024-5/", "Инфо")</f>
        <v>Инфо</v>
      </c>
      <c r="M565" s="37">
        <v>0.217</v>
      </c>
      <c r="N565" s="38">
        <v>5.9900000000000003E-4</v>
      </c>
      <c r="O565" s="141">
        <v>4601004300002</v>
      </c>
    </row>
    <row r="566" spans="1:15" ht="11.45" customHeight="1" outlineLevel="2" x14ac:dyDescent="0.2">
      <c r="A566" s="76" t="s">
        <v>6449</v>
      </c>
      <c r="B566" s="136"/>
      <c r="C566" s="77"/>
      <c r="D566" s="137"/>
      <c r="E566" s="4"/>
      <c r="F566" s="4"/>
      <c r="G566" s="4"/>
      <c r="H566" s="4"/>
      <c r="I566" s="4"/>
      <c r="J566" s="4"/>
      <c r="K566" s="4"/>
      <c r="L566" s="138"/>
      <c r="M566" s="4"/>
      <c r="N566" s="4"/>
      <c r="O566" s="4"/>
    </row>
    <row r="567" spans="1:15" ht="11.45" customHeight="1" outlineLevel="3" x14ac:dyDescent="0.2">
      <c r="A567" s="76" t="s">
        <v>6450</v>
      </c>
      <c r="B567" s="136"/>
      <c r="C567" s="77"/>
      <c r="D567" s="137"/>
      <c r="E567" s="4"/>
      <c r="F567" s="4"/>
      <c r="G567" s="4"/>
      <c r="H567" s="4"/>
      <c r="I567" s="4"/>
      <c r="J567" s="4"/>
      <c r="K567" s="4"/>
      <c r="L567" s="138"/>
      <c r="M567" s="4"/>
      <c r="N567" s="4"/>
      <c r="O567" s="4"/>
    </row>
    <row r="568" spans="1:15" s="1" customFormat="1" ht="11.45" customHeight="1" outlineLevel="4" x14ac:dyDescent="0.2">
      <c r="A568" s="32" t="s">
        <v>6453</v>
      </c>
      <c r="B568" s="74" t="s">
        <v>6454</v>
      </c>
      <c r="C568" s="50"/>
      <c r="D568" s="139">
        <f t="shared" si="8"/>
        <v>0</v>
      </c>
      <c r="E568" s="140">
        <v>26.53</v>
      </c>
      <c r="F568" s="140">
        <v>21.75</v>
      </c>
      <c r="G568" s="34" t="s">
        <v>100</v>
      </c>
      <c r="H568" s="34" t="s">
        <v>39</v>
      </c>
      <c r="I568" s="35">
        <v>1</v>
      </c>
      <c r="J568" s="35">
        <v>1</v>
      </c>
      <c r="K568" s="35">
        <v>400</v>
      </c>
      <c r="L568" s="60" t="str">
        <f>HYPERLINK("https://www.sds-group.ru/product/klyuch-kombinirovannyy-11mm-zheltyy-tsink-rexant-12-5806-2/", "Инфо")</f>
        <v>Инфо</v>
      </c>
      <c r="M568" s="37">
        <v>5.8000000000000003E-2</v>
      </c>
      <c r="N568" s="38">
        <v>1.11E-4</v>
      </c>
      <c r="O568" s="141">
        <v>4601004145856</v>
      </c>
    </row>
    <row r="569" spans="1:15" s="1" customFormat="1" ht="11.45" customHeight="1" outlineLevel="4" x14ac:dyDescent="0.2">
      <c r="A569" s="32" t="s">
        <v>6455</v>
      </c>
      <c r="B569" s="74" t="s">
        <v>6456</v>
      </c>
      <c r="C569" s="50"/>
      <c r="D569" s="139">
        <f t="shared" si="8"/>
        <v>0</v>
      </c>
      <c r="E569" s="140">
        <v>30.32</v>
      </c>
      <c r="F569" s="140">
        <v>24.85</v>
      </c>
      <c r="G569" s="34" t="s">
        <v>100</v>
      </c>
      <c r="H569" s="34" t="s">
        <v>39</v>
      </c>
      <c r="I569" s="35">
        <v>1</v>
      </c>
      <c r="J569" s="35">
        <v>1</v>
      </c>
      <c r="K569" s="35">
        <v>320</v>
      </c>
      <c r="L569" s="60" t="str">
        <f>HYPERLINK("https://www.sds-group.ru/product/klyuch-kombinirovannyy-12mm-zheltyy-tsink-rexant-12-5807-2/", "Инфо")</f>
        <v>Инфо</v>
      </c>
      <c r="M569" s="37">
        <v>7.0000000000000007E-2</v>
      </c>
      <c r="N569" s="38">
        <v>8.7999999999999998E-5</v>
      </c>
      <c r="O569" s="141">
        <v>4601004145863</v>
      </c>
    </row>
    <row r="570" spans="1:15" s="1" customFormat="1" ht="11.45" customHeight="1" outlineLevel="4" x14ac:dyDescent="0.2">
      <c r="A570" s="32" t="s">
        <v>6479</v>
      </c>
      <c r="B570" s="74" t="s">
        <v>6480</v>
      </c>
      <c r="C570" s="50"/>
      <c r="D570" s="139">
        <f t="shared" si="8"/>
        <v>0</v>
      </c>
      <c r="E570" s="140">
        <v>20.85</v>
      </c>
      <c r="F570" s="140">
        <v>17.09</v>
      </c>
      <c r="G570" s="34" t="s">
        <v>100</v>
      </c>
      <c r="H570" s="34" t="s">
        <v>39</v>
      </c>
      <c r="I570" s="35">
        <v>1</v>
      </c>
      <c r="J570" s="35">
        <v>1</v>
      </c>
      <c r="K570" s="35">
        <v>300</v>
      </c>
      <c r="L570" s="60" t="str">
        <f>HYPERLINK("https://www.sds-group.ru/product/klyuch-kombinirovannyy-6mm-zheltyy-tsink-rexant-12-5801-2/", "Инфо")</f>
        <v>Инфо</v>
      </c>
      <c r="M570" s="37">
        <v>2.7E-2</v>
      </c>
      <c r="N570" s="38">
        <v>5.1999999999999997E-5</v>
      </c>
      <c r="O570" s="141">
        <v>4601004145801</v>
      </c>
    </row>
    <row r="571" spans="1:15" s="1" customFormat="1" ht="11.45" customHeight="1" outlineLevel="4" x14ac:dyDescent="0.2">
      <c r="A571" s="32" t="s">
        <v>6483</v>
      </c>
      <c r="B571" s="74" t="s">
        <v>6484</v>
      </c>
      <c r="C571" s="50"/>
      <c r="D571" s="139">
        <f t="shared" si="8"/>
        <v>0</v>
      </c>
      <c r="E571" s="140">
        <v>26.15</v>
      </c>
      <c r="F571" s="140">
        <v>21.43</v>
      </c>
      <c r="G571" s="34" t="s">
        <v>100</v>
      </c>
      <c r="H571" s="34" t="s">
        <v>39</v>
      </c>
      <c r="I571" s="35">
        <v>1</v>
      </c>
      <c r="J571" s="35">
        <v>1</v>
      </c>
      <c r="K571" s="35">
        <v>500</v>
      </c>
      <c r="L571" s="60" t="str">
        <f>HYPERLINK("https://www.sds-group.ru/product/klyuch-kombinirovannyy-9mm-zheltyy-tsink-rexant-12-5804-2/", "Инфо")</f>
        <v>Инфо</v>
      </c>
      <c r="M571" s="37">
        <v>4.2000000000000003E-2</v>
      </c>
      <c r="N571" s="38">
        <v>6.4999999999999994E-5</v>
      </c>
      <c r="O571" s="141">
        <v>4601004145832</v>
      </c>
    </row>
    <row r="572" spans="1:15" ht="11.45" customHeight="1" outlineLevel="3" x14ac:dyDescent="0.2">
      <c r="A572" s="76" t="s">
        <v>6485</v>
      </c>
      <c r="B572" s="136"/>
      <c r="C572" s="77"/>
      <c r="D572" s="137"/>
      <c r="E572" s="4"/>
      <c r="F572" s="4"/>
      <c r="G572" s="4"/>
      <c r="H572" s="4"/>
      <c r="I572" s="4"/>
      <c r="J572" s="4"/>
      <c r="K572" s="4"/>
      <c r="L572" s="138"/>
      <c r="M572" s="4"/>
      <c r="N572" s="4"/>
      <c r="O572" s="4"/>
    </row>
    <row r="573" spans="1:15" s="1" customFormat="1" ht="11.45" customHeight="1" outlineLevel="4" x14ac:dyDescent="0.2">
      <c r="A573" s="32" t="s">
        <v>6490</v>
      </c>
      <c r="B573" s="74" t="s">
        <v>6491</v>
      </c>
      <c r="C573" s="50"/>
      <c r="D573" s="139">
        <f t="shared" si="8"/>
        <v>0</v>
      </c>
      <c r="E573" s="140">
        <v>35.75</v>
      </c>
      <c r="F573" s="140">
        <v>29.3</v>
      </c>
      <c r="G573" s="34" t="s">
        <v>100</v>
      </c>
      <c r="H573" s="34" t="s">
        <v>39</v>
      </c>
      <c r="I573" s="35">
        <v>1</v>
      </c>
      <c r="J573" s="35">
        <v>1</v>
      </c>
      <c r="K573" s="35">
        <v>320</v>
      </c>
      <c r="L573" s="60" t="str">
        <f>HYPERLINK("https://www.sds-group.ru/product/klyuch-rozhkovyy-13h14mm-zheltyy-tsink-rexant-12-5827-2/", "Инфо")</f>
        <v>Инфо</v>
      </c>
      <c r="M573" s="37">
        <v>7.0000000000000007E-2</v>
      </c>
      <c r="N573" s="38">
        <v>1.27E-4</v>
      </c>
      <c r="O573" s="141">
        <v>4601004145689</v>
      </c>
    </row>
    <row r="574" spans="1:15" s="1" customFormat="1" ht="11.45" customHeight="1" outlineLevel="4" x14ac:dyDescent="0.2">
      <c r="A574" s="32" t="s">
        <v>6510</v>
      </c>
      <c r="B574" s="74" t="s">
        <v>6511</v>
      </c>
      <c r="C574" s="50"/>
      <c r="D574" s="139">
        <f t="shared" si="8"/>
        <v>0</v>
      </c>
      <c r="E574" s="140">
        <v>21.98</v>
      </c>
      <c r="F574" s="140">
        <v>18.02</v>
      </c>
      <c r="G574" s="34" t="s">
        <v>100</v>
      </c>
      <c r="H574" s="34" t="s">
        <v>39</v>
      </c>
      <c r="I574" s="35">
        <v>1</v>
      </c>
      <c r="J574" s="35">
        <v>1</v>
      </c>
      <c r="K574" s="35">
        <v>800</v>
      </c>
      <c r="L574" s="60" t="str">
        <f>HYPERLINK("https://www.sds-group.ru/product/klyuch-rozhkovyy-8h9mm-zheltyy-tsink-rexant-12-5822-2/", "Инфо")</f>
        <v>Инфо</v>
      </c>
      <c r="M574" s="37">
        <v>3.5999999999999997E-2</v>
      </c>
      <c r="N574" s="38">
        <v>6.3E-5</v>
      </c>
      <c r="O574" s="141">
        <v>4601004145641</v>
      </c>
    </row>
    <row r="575" spans="1:15" ht="11.45" customHeight="1" outlineLevel="3" x14ac:dyDescent="0.2">
      <c r="A575" s="76" t="s">
        <v>6512</v>
      </c>
      <c r="B575" s="136"/>
      <c r="C575" s="77"/>
      <c r="D575" s="137"/>
      <c r="E575" s="4"/>
      <c r="F575" s="4"/>
      <c r="G575" s="4"/>
      <c r="H575" s="4"/>
      <c r="I575" s="4"/>
      <c r="J575" s="4"/>
      <c r="K575" s="4"/>
      <c r="L575" s="138"/>
      <c r="M575" s="4"/>
      <c r="N575" s="4"/>
      <c r="O575" s="4"/>
    </row>
    <row r="576" spans="1:15" s="1" customFormat="1" ht="11.45" customHeight="1" outlineLevel="4" x14ac:dyDescent="0.2">
      <c r="A576" s="32" t="s">
        <v>6517</v>
      </c>
      <c r="B576" s="74" t="s">
        <v>6518</v>
      </c>
      <c r="C576" s="50"/>
      <c r="D576" s="139">
        <f t="shared" si="8"/>
        <v>0</v>
      </c>
      <c r="E576" s="140">
        <v>429</v>
      </c>
      <c r="F576" s="140">
        <v>351.64</v>
      </c>
      <c r="G576" s="34" t="s">
        <v>100</v>
      </c>
      <c r="H576" s="34" t="s">
        <v>39</v>
      </c>
      <c r="I576" s="35">
        <v>1</v>
      </c>
      <c r="J576" s="35">
        <v>1</v>
      </c>
      <c r="K576" s="35">
        <v>72</v>
      </c>
      <c r="L576" s="60" t="str">
        <f>HYPERLINK("https://www.sds-group.ru/product/klyuch-tortsevoy-s-treschotkoy-universalnyy-7-19mm-rexant-12-6080/", "Инфо")</f>
        <v>Инфо</v>
      </c>
      <c r="M576" s="37">
        <v>0.50900000000000001</v>
      </c>
      <c r="N576" s="38">
        <v>8.0900000000000004E-4</v>
      </c>
      <c r="O576" s="141">
        <v>4601004116962</v>
      </c>
    </row>
    <row r="577" spans="1:15" ht="11.45" customHeight="1" outlineLevel="3" x14ac:dyDescent="0.2">
      <c r="A577" s="76" t="s">
        <v>6547</v>
      </c>
      <c r="B577" s="136"/>
      <c r="C577" s="77"/>
      <c r="D577" s="137"/>
      <c r="E577" s="4"/>
      <c r="F577" s="4"/>
      <c r="G577" s="4"/>
      <c r="H577" s="4"/>
      <c r="I577" s="4"/>
      <c r="J577" s="4"/>
      <c r="K577" s="4"/>
      <c r="L577" s="138"/>
      <c r="M577" s="4"/>
      <c r="N577" s="4"/>
      <c r="O577" s="4"/>
    </row>
    <row r="578" spans="1:15" s="1" customFormat="1" ht="11.45" customHeight="1" outlineLevel="4" x14ac:dyDescent="0.2">
      <c r="A578" s="32" t="s">
        <v>6548</v>
      </c>
      <c r="B578" s="74" t="s">
        <v>6549</v>
      </c>
      <c r="C578" s="50"/>
      <c r="D578" s="139">
        <f t="shared" si="8"/>
        <v>0</v>
      </c>
      <c r="E578" s="140">
        <v>49.26</v>
      </c>
      <c r="F578" s="140">
        <v>40.380000000000003</v>
      </c>
      <c r="G578" s="34" t="s">
        <v>100</v>
      </c>
      <c r="H578" s="34" t="s">
        <v>39</v>
      </c>
      <c r="I578" s="35">
        <v>1</v>
      </c>
      <c r="J578" s="35">
        <v>1</v>
      </c>
      <c r="K578" s="35">
        <v>100</v>
      </c>
      <c r="L578" s="60" t="str">
        <f>HYPERLINK("https://www.sds-group.ru/product/klyuch-nakidnoy-kolenchatyy-10h11mm-tsink-rexant-12-5854-2/", "Инфо")</f>
        <v>Инфо</v>
      </c>
      <c r="M578" s="37">
        <v>9.7000000000000003E-2</v>
      </c>
      <c r="N578" s="38">
        <v>1.5799999999999999E-4</v>
      </c>
      <c r="O578" s="141">
        <v>4601004146129</v>
      </c>
    </row>
    <row r="579" spans="1:15" s="1" customFormat="1" ht="11.45" customHeight="1" outlineLevel="4" x14ac:dyDescent="0.2">
      <c r="A579" s="32" t="s">
        <v>6564</v>
      </c>
      <c r="B579" s="74" t="s">
        <v>6565</v>
      </c>
      <c r="C579" s="50"/>
      <c r="D579" s="139">
        <f t="shared" si="8"/>
        <v>0</v>
      </c>
      <c r="E579" s="140">
        <v>208.42</v>
      </c>
      <c r="F579" s="140">
        <v>170.84</v>
      </c>
      <c r="G579" s="34" t="s">
        <v>100</v>
      </c>
      <c r="H579" s="34" t="s">
        <v>39</v>
      </c>
      <c r="I579" s="35">
        <v>1</v>
      </c>
      <c r="J579" s="35">
        <v>1</v>
      </c>
      <c r="K579" s="35">
        <v>40</v>
      </c>
      <c r="L579" s="60" t="str">
        <f>HYPERLINK("https://www.sds-group.ru/product/klyuch-nakidnoy-kolenchatyy-27h32mm-tsink-rexant-12-5865-2/", "Инфо")</f>
        <v>Инфо</v>
      </c>
      <c r="M579" s="37">
        <v>0.46800000000000003</v>
      </c>
      <c r="N579" s="38">
        <v>8.6899999999999998E-4</v>
      </c>
      <c r="O579" s="141">
        <v>4601004146228</v>
      </c>
    </row>
    <row r="580" spans="1:15" s="1" customFormat="1" ht="11.45" customHeight="1" outlineLevel="4" x14ac:dyDescent="0.2">
      <c r="A580" s="32" t="s">
        <v>6568</v>
      </c>
      <c r="B580" s="74" t="s">
        <v>6569</v>
      </c>
      <c r="C580" s="50"/>
      <c r="D580" s="139">
        <f t="shared" si="8"/>
        <v>0</v>
      </c>
      <c r="E580" s="140">
        <v>43.44</v>
      </c>
      <c r="F580" s="140">
        <v>35.61</v>
      </c>
      <c r="G580" s="34" t="s">
        <v>100</v>
      </c>
      <c r="H580" s="34" t="s">
        <v>39</v>
      </c>
      <c r="I580" s="35">
        <v>1</v>
      </c>
      <c r="J580" s="35">
        <v>1</v>
      </c>
      <c r="K580" s="35">
        <v>100</v>
      </c>
      <c r="L580" s="60" t="str">
        <f>HYPERLINK("https://www.sds-group.ru/product/klyuch-nakidnoy-kolenchatyy-8h10mm-tsink-rexant-12-5853-2/", "Инфо")</f>
        <v>Инфо</v>
      </c>
      <c r="M580" s="37">
        <v>7.8E-2</v>
      </c>
      <c r="N580" s="38">
        <v>1.5100000000000001E-4</v>
      </c>
      <c r="O580" s="141">
        <v>4601004146112</v>
      </c>
    </row>
    <row r="581" spans="1:15" ht="11.45" customHeight="1" outlineLevel="3" x14ac:dyDescent="0.2">
      <c r="A581" s="76" t="s">
        <v>6599</v>
      </c>
      <c r="B581" s="136"/>
      <c r="C581" s="77"/>
      <c r="D581" s="137"/>
      <c r="E581" s="4"/>
      <c r="F581" s="4"/>
      <c r="G581" s="4"/>
      <c r="H581" s="4"/>
      <c r="I581" s="4"/>
      <c r="J581" s="4"/>
      <c r="K581" s="4"/>
      <c r="L581" s="138"/>
      <c r="M581" s="4"/>
      <c r="N581" s="4"/>
      <c r="O581" s="4"/>
    </row>
    <row r="582" spans="1:15" s="1" customFormat="1" ht="11.45" customHeight="1" outlineLevel="4" x14ac:dyDescent="0.2">
      <c r="A582" s="32" t="s">
        <v>6604</v>
      </c>
      <c r="B582" s="74" t="s">
        <v>6605</v>
      </c>
      <c r="C582" s="50"/>
      <c r="D582" s="139">
        <f t="shared" si="8"/>
        <v>0</v>
      </c>
      <c r="E582" s="140">
        <v>160.88</v>
      </c>
      <c r="F582" s="140">
        <v>131.87</v>
      </c>
      <c r="G582" s="34" t="s">
        <v>100</v>
      </c>
      <c r="H582" s="34" t="s">
        <v>39</v>
      </c>
      <c r="I582" s="35">
        <v>1</v>
      </c>
      <c r="J582" s="35">
        <v>1</v>
      </c>
      <c r="K582" s="35">
        <v>100</v>
      </c>
      <c r="L582" s="60" t="str">
        <f>HYPERLINK("https://www.sds-group.ru/product/klyuch-kombinirovannyy-treschotochnyy-16mm-hromovanadievaya-stal-crv-zerkalnyy-hrom-rexant-12-5811-1/", "Инфо")</f>
        <v>Инфо</v>
      </c>
      <c r="M582" s="37">
        <v>0.17100000000000001</v>
      </c>
      <c r="N582" s="38">
        <v>1.5799999999999999E-4</v>
      </c>
      <c r="O582" s="141">
        <v>4601004146068</v>
      </c>
    </row>
    <row r="583" spans="1:15" s="1" customFormat="1" ht="11.45" customHeight="1" outlineLevel="4" x14ac:dyDescent="0.2">
      <c r="A583" s="32" t="s">
        <v>6610</v>
      </c>
      <c r="B583" s="74" t="s">
        <v>6611</v>
      </c>
      <c r="C583" s="50"/>
      <c r="D583" s="139">
        <f t="shared" si="8"/>
        <v>0</v>
      </c>
      <c r="E583" s="140">
        <v>57.92</v>
      </c>
      <c r="F583" s="140">
        <v>47.48</v>
      </c>
      <c r="G583" s="34" t="s">
        <v>100</v>
      </c>
      <c r="H583" s="34" t="s">
        <v>39</v>
      </c>
      <c r="I583" s="35">
        <v>1</v>
      </c>
      <c r="J583" s="35">
        <v>1</v>
      </c>
      <c r="K583" s="35">
        <v>200</v>
      </c>
      <c r="L583" s="60" t="str">
        <f>HYPERLINK("https://www.sds-group.ru/product/klyuch-kombinirovannyy-treschotochnyy-9mm-hromovanadievaya-stal-crv-zerkalnyy-hrom-rexant-12-5804-1/", "Инфо")</f>
        <v>Инфо</v>
      </c>
      <c r="M583" s="37">
        <v>6.2E-2</v>
      </c>
      <c r="N583" s="38">
        <v>9.5000000000000005E-5</v>
      </c>
      <c r="O583" s="141">
        <v>4601004145993</v>
      </c>
    </row>
    <row r="584" spans="1:15" ht="11.45" customHeight="1" outlineLevel="2" x14ac:dyDescent="0.2">
      <c r="A584" s="76" t="s">
        <v>6731</v>
      </c>
      <c r="B584" s="136"/>
      <c r="C584" s="77"/>
      <c r="D584" s="137"/>
      <c r="E584" s="4"/>
      <c r="F584" s="4"/>
      <c r="G584" s="4"/>
      <c r="H584" s="4"/>
      <c r="I584" s="4"/>
      <c r="J584" s="4"/>
      <c r="K584" s="4"/>
      <c r="L584" s="138"/>
      <c r="M584" s="4"/>
      <c r="N584" s="4"/>
      <c r="O584" s="4"/>
    </row>
    <row r="585" spans="1:15" ht="11.45" customHeight="1" outlineLevel="3" x14ac:dyDescent="0.2">
      <c r="A585" s="76" t="s">
        <v>6763</v>
      </c>
      <c r="B585" s="136"/>
      <c r="C585" s="77"/>
      <c r="D585" s="137"/>
      <c r="E585" s="4"/>
      <c r="F585" s="4"/>
      <c r="G585" s="4"/>
      <c r="H585" s="4"/>
      <c r="I585" s="4"/>
      <c r="J585" s="4"/>
      <c r="K585" s="4"/>
      <c r="L585" s="138"/>
      <c r="M585" s="4"/>
      <c r="N585" s="4"/>
      <c r="O585" s="4"/>
    </row>
    <row r="586" spans="1:15" s="1" customFormat="1" ht="11.45" customHeight="1" outlineLevel="4" x14ac:dyDescent="0.2">
      <c r="A586" s="32" t="s">
        <v>6764</v>
      </c>
      <c r="B586" s="74" t="s">
        <v>6765</v>
      </c>
      <c r="C586" s="50"/>
      <c r="D586" s="139">
        <f t="shared" si="8"/>
        <v>0</v>
      </c>
      <c r="E586" s="140">
        <v>200.4</v>
      </c>
      <c r="F586" s="140">
        <v>164.26</v>
      </c>
      <c r="G586" s="34" t="s">
        <v>100</v>
      </c>
      <c r="H586" s="34" t="s">
        <v>39</v>
      </c>
      <c r="I586" s="35">
        <v>1</v>
      </c>
      <c r="J586" s="35">
        <v>1</v>
      </c>
      <c r="K586" s="35">
        <v>30</v>
      </c>
      <c r="L586" s="60" t="str">
        <f>HYPERLINK("https://www.sds-group.ru/product/uroven-alyuminievyy-rels-800mm-3-glazka-1-povorotnyy-rexant-12-9212/", "Инфо")</f>
        <v>Инфо</v>
      </c>
      <c r="M586" s="37">
        <v>0.32400000000000001</v>
      </c>
      <c r="N586" s="38">
        <v>1.3649999999999999E-3</v>
      </c>
      <c r="O586" s="141">
        <v>4601004187733</v>
      </c>
    </row>
    <row r="587" spans="1:15" ht="11.45" customHeight="1" outlineLevel="3" x14ac:dyDescent="0.2">
      <c r="A587" s="76" t="s">
        <v>6766</v>
      </c>
      <c r="B587" s="136"/>
      <c r="C587" s="77"/>
      <c r="D587" s="137"/>
      <c r="E587" s="4"/>
      <c r="F587" s="4"/>
      <c r="G587" s="4"/>
      <c r="H587" s="4"/>
      <c r="I587" s="4"/>
      <c r="J587" s="4"/>
      <c r="K587" s="4"/>
      <c r="L587" s="138"/>
      <c r="M587" s="4"/>
      <c r="N587" s="4"/>
      <c r="O587" s="4"/>
    </row>
    <row r="588" spans="1:15" s="1" customFormat="1" ht="11.45" customHeight="1" outlineLevel="4" x14ac:dyDescent="0.2">
      <c r="A588" s="32" t="s">
        <v>6773</v>
      </c>
      <c r="B588" s="74" t="s">
        <v>6774</v>
      </c>
      <c r="C588" s="50"/>
      <c r="D588" s="139">
        <f t="shared" ref="D588:D649" si="9">C588*E588</f>
        <v>0</v>
      </c>
      <c r="E588" s="140">
        <v>985.27</v>
      </c>
      <c r="F588" s="140">
        <v>807.6</v>
      </c>
      <c r="G588" s="34" t="s">
        <v>100</v>
      </c>
      <c r="H588" s="34" t="s">
        <v>39</v>
      </c>
      <c r="I588" s="35">
        <v>1</v>
      </c>
      <c r="J588" s="35">
        <v>1</v>
      </c>
      <c r="K588" s="35">
        <v>20</v>
      </c>
      <c r="L588" s="60" t="str">
        <f>HYPERLINK("https://www.sds-group.ru/product/shtangentsirkul-shts-250mm-rexant-12-9102/", "Инфо")</f>
        <v>Инфо</v>
      </c>
      <c r="M588" s="37">
        <v>0.58399999999999996</v>
      </c>
      <c r="N588" s="38">
        <v>1.92E-3</v>
      </c>
      <c r="O588" s="141">
        <v>4601004165878</v>
      </c>
    </row>
    <row r="589" spans="1:15" ht="11.45" customHeight="1" outlineLevel="2" x14ac:dyDescent="0.2">
      <c r="A589" s="76" t="s">
        <v>6825</v>
      </c>
      <c r="B589" s="136"/>
      <c r="C589" s="77"/>
      <c r="D589" s="137"/>
      <c r="E589" s="4"/>
      <c r="F589" s="4"/>
      <c r="G589" s="4"/>
      <c r="H589" s="4"/>
      <c r="I589" s="4"/>
      <c r="J589" s="4"/>
      <c r="K589" s="4"/>
      <c r="L589" s="138"/>
      <c r="M589" s="4"/>
      <c r="N589" s="4"/>
      <c r="O589" s="4"/>
    </row>
    <row r="590" spans="1:15" s="1" customFormat="1" ht="11.45" customHeight="1" outlineLevel="3" x14ac:dyDescent="0.2">
      <c r="A590" s="32" t="s">
        <v>6831</v>
      </c>
      <c r="B590" s="74" t="s">
        <v>6832</v>
      </c>
      <c r="C590" s="50"/>
      <c r="D590" s="139">
        <f t="shared" si="9"/>
        <v>0</v>
      </c>
      <c r="E590" s="140">
        <v>818.96</v>
      </c>
      <c r="F590" s="140">
        <v>671.28</v>
      </c>
      <c r="G590" s="34" t="s">
        <v>100</v>
      </c>
      <c r="H590" s="34" t="s">
        <v>39</v>
      </c>
      <c r="I590" s="35">
        <v>1</v>
      </c>
      <c r="J590" s="35">
        <v>1</v>
      </c>
      <c r="K590" s="35">
        <v>36</v>
      </c>
      <c r="L590" s="60" t="str">
        <f>HYPERLINK("https://www.sds-group.ru/product/multitul-11-v-1-154mm-kranz-KR-12-4944-2/", "Инфо")</f>
        <v>Инфо</v>
      </c>
      <c r="M590" s="37">
        <v>0.42099999999999999</v>
      </c>
      <c r="N590" s="38">
        <v>2.794E-3</v>
      </c>
      <c r="O590" s="141">
        <v>4601004277380</v>
      </c>
    </row>
    <row r="591" spans="1:15" ht="11.45" customHeight="1" outlineLevel="2" x14ac:dyDescent="0.2">
      <c r="A591" s="76" t="s">
        <v>6842</v>
      </c>
      <c r="B591" s="136"/>
      <c r="C591" s="77"/>
      <c r="D591" s="137"/>
      <c r="E591" s="4"/>
      <c r="F591" s="4"/>
      <c r="G591" s="4"/>
      <c r="H591" s="4"/>
      <c r="I591" s="4"/>
      <c r="J591" s="4"/>
      <c r="K591" s="4"/>
      <c r="L591" s="138"/>
      <c r="M591" s="4"/>
      <c r="N591" s="4"/>
      <c r="O591" s="4"/>
    </row>
    <row r="592" spans="1:15" ht="11.45" customHeight="1" outlineLevel="3" x14ac:dyDescent="0.2">
      <c r="A592" s="76" t="s">
        <v>6861</v>
      </c>
      <c r="B592" s="136"/>
      <c r="C592" s="77"/>
      <c r="D592" s="137"/>
      <c r="E592" s="4"/>
      <c r="F592" s="4"/>
      <c r="G592" s="4"/>
      <c r="H592" s="4"/>
      <c r="I592" s="4"/>
      <c r="J592" s="4"/>
      <c r="K592" s="4"/>
      <c r="L592" s="138"/>
      <c r="M592" s="4"/>
      <c r="N592" s="4"/>
      <c r="O592" s="4"/>
    </row>
    <row r="593" spans="1:15" s="1" customFormat="1" ht="11.45" customHeight="1" outlineLevel="4" x14ac:dyDescent="0.2">
      <c r="A593" s="32" t="s">
        <v>6880</v>
      </c>
      <c r="B593" s="74" t="s">
        <v>6881</v>
      </c>
      <c r="C593" s="50"/>
      <c r="D593" s="139">
        <f t="shared" si="9"/>
        <v>0</v>
      </c>
      <c r="E593" s="140">
        <v>172.78</v>
      </c>
      <c r="F593" s="140">
        <v>141.62</v>
      </c>
      <c r="G593" s="34" t="s">
        <v>100</v>
      </c>
      <c r="H593" s="34" t="s">
        <v>39</v>
      </c>
      <c r="I593" s="35">
        <v>1</v>
      </c>
      <c r="J593" s="35">
        <v>1</v>
      </c>
      <c r="K593" s="35">
        <v>400</v>
      </c>
      <c r="L593" s="60" t="str">
        <f>HYPERLINK("https://www.sds-group.ru/product/pintset-pryamoy-s-zakruglennymi-konchikami-125mm-rexant-12-0377/", "Инфо")</f>
        <v>Инфо</v>
      </c>
      <c r="M593" s="37">
        <v>0.03</v>
      </c>
      <c r="N593" s="38">
        <v>1.16E-4</v>
      </c>
      <c r="O593" s="141">
        <v>4601004094833</v>
      </c>
    </row>
    <row r="594" spans="1:15" ht="11.45" customHeight="1" outlineLevel="2" x14ac:dyDescent="0.2">
      <c r="A594" s="76" t="s">
        <v>6898</v>
      </c>
      <c r="B594" s="136"/>
      <c r="C594" s="77"/>
      <c r="D594" s="137"/>
      <c r="E594" s="4"/>
      <c r="F594" s="4"/>
      <c r="G594" s="4"/>
      <c r="H594" s="4"/>
      <c r="I594" s="4"/>
      <c r="J594" s="4"/>
      <c r="K594" s="4"/>
      <c r="L594" s="138"/>
      <c r="M594" s="4"/>
      <c r="N594" s="4"/>
      <c r="O594" s="4"/>
    </row>
    <row r="595" spans="1:15" ht="11.45" customHeight="1" outlineLevel="3" x14ac:dyDescent="0.2">
      <c r="A595" s="76" t="s">
        <v>6899</v>
      </c>
      <c r="B595" s="136"/>
      <c r="C595" s="77"/>
      <c r="D595" s="137"/>
      <c r="E595" s="4"/>
      <c r="F595" s="4"/>
      <c r="G595" s="4"/>
      <c r="H595" s="4"/>
      <c r="I595" s="4"/>
      <c r="J595" s="4"/>
      <c r="K595" s="4"/>
      <c r="L595" s="138"/>
      <c r="M595" s="4"/>
      <c r="N595" s="4"/>
      <c r="O595" s="4"/>
    </row>
    <row r="596" spans="1:15" s="1" customFormat="1" ht="11.45" customHeight="1" outlineLevel="4" x14ac:dyDescent="0.2">
      <c r="A596" s="32" t="s">
        <v>6900</v>
      </c>
      <c r="B596" s="74" t="s">
        <v>6901</v>
      </c>
      <c r="C596" s="50"/>
      <c r="D596" s="139">
        <f t="shared" si="9"/>
        <v>0</v>
      </c>
      <c r="E596" s="140">
        <v>339.14</v>
      </c>
      <c r="F596" s="140">
        <v>277.98</v>
      </c>
      <c r="G596" s="34" t="s">
        <v>100</v>
      </c>
      <c r="H596" s="34" t="s">
        <v>39</v>
      </c>
      <c r="I596" s="35">
        <v>1</v>
      </c>
      <c r="J596" s="35">
        <v>1</v>
      </c>
      <c r="K596" s="35">
        <v>100</v>
      </c>
      <c r="L596" s="60" t="str">
        <f>HYPERLINK("https://www.sds-group.ru/product/marker-emal-1-2mm-dlya-pechatnyh-plat-chernyy-edding-791-09-3991/", "Инфо")</f>
        <v>Инфо</v>
      </c>
      <c r="M596" s="37">
        <v>0.01</v>
      </c>
      <c r="N596" s="38">
        <v>1.9000000000000001E-5</v>
      </c>
      <c r="O596" s="141">
        <v>4004764837618</v>
      </c>
    </row>
    <row r="597" spans="1:15" ht="11.45" customHeight="1" outlineLevel="2" x14ac:dyDescent="0.2">
      <c r="A597" s="76" t="s">
        <v>6925</v>
      </c>
      <c r="B597" s="136"/>
      <c r="C597" s="77"/>
      <c r="D597" s="137"/>
      <c r="E597" s="4"/>
      <c r="F597" s="4"/>
      <c r="G597" s="4"/>
      <c r="H597" s="4"/>
      <c r="I597" s="4"/>
      <c r="J597" s="4"/>
      <c r="K597" s="4"/>
      <c r="L597" s="138"/>
      <c r="M597" s="4"/>
      <c r="N597" s="4"/>
      <c r="O597" s="4"/>
    </row>
    <row r="598" spans="1:15" s="1" customFormat="1" ht="11.45" customHeight="1" outlineLevel="3" x14ac:dyDescent="0.2">
      <c r="A598" s="32" t="s">
        <v>6931</v>
      </c>
      <c r="B598" s="74" t="s">
        <v>6932</v>
      </c>
      <c r="C598" s="50"/>
      <c r="D598" s="139">
        <f t="shared" si="9"/>
        <v>0</v>
      </c>
      <c r="E598" s="140">
        <v>103.79</v>
      </c>
      <c r="F598" s="140">
        <v>85.07</v>
      </c>
      <c r="G598" s="34" t="s">
        <v>100</v>
      </c>
      <c r="H598" s="34" t="s">
        <v>39</v>
      </c>
      <c r="I598" s="35">
        <v>1</v>
      </c>
      <c r="J598" s="35">
        <v>1</v>
      </c>
      <c r="K598" s="35">
        <v>144</v>
      </c>
      <c r="L598" s="60" t="str">
        <f>HYPERLINK("https://www.sds-group.ru/product/magnit-na-sharnire-teleskopicheskiy-280-430mm-uderzhanie-450g-rexant-12-4813/", "Инфо")</f>
        <v>Инфо</v>
      </c>
      <c r="M598" s="37">
        <v>8.5000000000000006E-2</v>
      </c>
      <c r="N598" s="38">
        <v>3.8699999999999997E-4</v>
      </c>
      <c r="O598" s="141">
        <v>4601004024656</v>
      </c>
    </row>
    <row r="599" spans="1:15" ht="11.45" customHeight="1" outlineLevel="2" x14ac:dyDescent="0.2">
      <c r="A599" s="76" t="s">
        <v>6942</v>
      </c>
      <c r="B599" s="136"/>
      <c r="C599" s="77"/>
      <c r="D599" s="137"/>
      <c r="E599" s="4"/>
      <c r="F599" s="4"/>
      <c r="G599" s="4"/>
      <c r="H599" s="4"/>
      <c r="I599" s="4"/>
      <c r="J599" s="4"/>
      <c r="K599" s="4"/>
      <c r="L599" s="138"/>
      <c r="M599" s="4"/>
      <c r="N599" s="4"/>
      <c r="O599" s="4"/>
    </row>
    <row r="600" spans="1:15" s="1" customFormat="1" ht="11.45" customHeight="1" outlineLevel="3" x14ac:dyDescent="0.2">
      <c r="A600" s="32" t="s">
        <v>6943</v>
      </c>
      <c r="B600" s="74" t="s">
        <v>6944</v>
      </c>
      <c r="C600" s="50"/>
      <c r="D600" s="139">
        <f t="shared" si="9"/>
        <v>0</v>
      </c>
      <c r="E600" s="140">
        <v>161.86000000000001</v>
      </c>
      <c r="F600" s="140">
        <v>132.66999999999999</v>
      </c>
      <c r="G600" s="34" t="s">
        <v>100</v>
      </c>
      <c r="H600" s="34" t="s">
        <v>39</v>
      </c>
      <c r="I600" s="35">
        <v>1</v>
      </c>
      <c r="J600" s="35">
        <v>1</v>
      </c>
      <c r="K600" s="35">
        <v>200</v>
      </c>
      <c r="L600" s="60" t="str">
        <f>HYPERLINK("https://www.sds-group.ru/product/instrument-dlya-vskrytiya-korpusov-mobilnoy-tehniki-ra-06-rexant-12-4786/", "Инфо")</f>
        <v>Инфо</v>
      </c>
      <c r="M600" s="37">
        <v>1.7000000000000001E-2</v>
      </c>
      <c r="N600" s="38">
        <v>9.0000000000000006E-5</v>
      </c>
      <c r="O600" s="141">
        <v>4601004116924</v>
      </c>
    </row>
    <row r="601" spans="1:15" ht="11.45" customHeight="1" outlineLevel="2" x14ac:dyDescent="0.2">
      <c r="A601" s="76" t="s">
        <v>6949</v>
      </c>
      <c r="B601" s="136"/>
      <c r="C601" s="77"/>
      <c r="D601" s="137"/>
      <c r="E601" s="4"/>
      <c r="F601" s="4"/>
      <c r="G601" s="4"/>
      <c r="H601" s="4"/>
      <c r="I601" s="4"/>
      <c r="J601" s="4"/>
      <c r="K601" s="4"/>
      <c r="L601" s="138"/>
      <c r="M601" s="4"/>
      <c r="N601" s="4"/>
      <c r="O601" s="4"/>
    </row>
    <row r="602" spans="1:15" s="1" customFormat="1" ht="11.45" customHeight="1" outlineLevel="3" x14ac:dyDescent="0.2">
      <c r="A602" s="32" t="s">
        <v>6950</v>
      </c>
      <c r="B602" s="74" t="s">
        <v>6951</v>
      </c>
      <c r="C602" s="50"/>
      <c r="D602" s="139">
        <f t="shared" si="9"/>
        <v>0</v>
      </c>
      <c r="E602" s="140">
        <v>144.99</v>
      </c>
      <c r="F602" s="140">
        <v>118.84</v>
      </c>
      <c r="G602" s="34" t="s">
        <v>100</v>
      </c>
      <c r="H602" s="34" t="s">
        <v>39</v>
      </c>
      <c r="I602" s="35">
        <v>1</v>
      </c>
      <c r="J602" s="35">
        <v>1</v>
      </c>
      <c r="K602" s="35">
        <v>100</v>
      </c>
      <c r="L602" s="60" t="str">
        <f>HYPERLINK("https://www.sds-group.ru/product/zazhim-ruchnoy-125mm-rexant-12-4664/", "Инфо")</f>
        <v>Инфо</v>
      </c>
      <c r="M602" s="37">
        <v>0.187</v>
      </c>
      <c r="N602" s="38">
        <v>2.22E-4</v>
      </c>
      <c r="O602" s="141">
        <v>4601004146358</v>
      </c>
    </row>
    <row r="603" spans="1:15" s="1" customFormat="1" ht="11.45" customHeight="1" outlineLevel="3" x14ac:dyDescent="0.2">
      <c r="A603" s="32" t="s">
        <v>6964</v>
      </c>
      <c r="B603" s="74" t="s">
        <v>6965</v>
      </c>
      <c r="C603" s="50"/>
      <c r="D603" s="139">
        <f t="shared" si="9"/>
        <v>0</v>
      </c>
      <c r="E603" s="140">
        <v>1503.03</v>
      </c>
      <c r="F603" s="140">
        <v>1231.99</v>
      </c>
      <c r="G603" s="34" t="s">
        <v>100</v>
      </c>
      <c r="H603" s="34" t="s">
        <v>39</v>
      </c>
      <c r="I603" s="35">
        <v>1</v>
      </c>
      <c r="J603" s="35">
        <v>1</v>
      </c>
      <c r="K603" s="35">
        <v>4</v>
      </c>
      <c r="L603" s="60" t="str">
        <f>HYPERLINK("https://www.sds-group.ru/product/tiski-slesarnye-100mm-povorotnye-s-nakovalney-kranz-KR-12-5101/", "Инфо")</f>
        <v>Инфо</v>
      </c>
      <c r="M603" s="37">
        <v>5.22</v>
      </c>
      <c r="N603" s="38">
        <v>7.4269999999999996E-3</v>
      </c>
      <c r="O603" s="141">
        <v>4601004223196</v>
      </c>
    </row>
    <row r="604" spans="1:15" ht="11.45" customHeight="1" outlineLevel="2" x14ac:dyDescent="0.2">
      <c r="A604" s="76" t="s">
        <v>6966</v>
      </c>
      <c r="B604" s="136"/>
      <c r="C604" s="77"/>
      <c r="D604" s="137"/>
      <c r="E604" s="4"/>
      <c r="F604" s="4"/>
      <c r="G604" s="4"/>
      <c r="H604" s="4"/>
      <c r="I604" s="4"/>
      <c r="J604" s="4"/>
      <c r="K604" s="4"/>
      <c r="L604" s="138"/>
      <c r="M604" s="4"/>
      <c r="N604" s="4"/>
      <c r="O604" s="4"/>
    </row>
    <row r="605" spans="1:15" s="1" customFormat="1" ht="11.45" customHeight="1" outlineLevel="3" x14ac:dyDescent="0.2">
      <c r="A605" s="32" t="s">
        <v>6971</v>
      </c>
      <c r="B605" s="74" t="s">
        <v>6972</v>
      </c>
      <c r="C605" s="50"/>
      <c r="D605" s="139">
        <f t="shared" si="9"/>
        <v>0</v>
      </c>
      <c r="E605" s="140">
        <v>131.69999999999999</v>
      </c>
      <c r="F605" s="140">
        <v>107.95</v>
      </c>
      <c r="G605" s="34" t="s">
        <v>100</v>
      </c>
      <c r="H605" s="34" t="s">
        <v>39</v>
      </c>
      <c r="I605" s="35">
        <v>1</v>
      </c>
      <c r="J605" s="35">
        <v>1</v>
      </c>
      <c r="K605" s="35">
        <v>24</v>
      </c>
      <c r="L605" s="60" t="str">
        <f>HYPERLINK("https://www.sds-group.ru/product/kiyanka-rezinovaya-680-g-chernaya-rezina-derevyannaya-rukoyatka-kranz-KR-12-8144/", "Инфо")</f>
        <v>Инфо</v>
      </c>
      <c r="M605" s="37">
        <v>0.85499999999999998</v>
      </c>
      <c r="N605" s="38">
        <v>2.2769999999999999E-3</v>
      </c>
      <c r="O605" s="141">
        <v>4601004283114</v>
      </c>
    </row>
    <row r="606" spans="1:15" ht="11.45" customHeight="1" outlineLevel="2" x14ac:dyDescent="0.2">
      <c r="A606" s="76" t="s">
        <v>7024</v>
      </c>
      <c r="B606" s="136"/>
      <c r="C606" s="77"/>
      <c r="D606" s="137"/>
      <c r="E606" s="4"/>
      <c r="F606" s="4"/>
      <c r="G606" s="4"/>
      <c r="H606" s="4"/>
      <c r="I606" s="4"/>
      <c r="J606" s="4"/>
      <c r="K606" s="4"/>
      <c r="L606" s="138"/>
      <c r="M606" s="4"/>
      <c r="N606" s="4"/>
      <c r="O606" s="4"/>
    </row>
    <row r="607" spans="1:15" s="1" customFormat="1" ht="11.45" customHeight="1" outlineLevel="3" x14ac:dyDescent="0.2">
      <c r="A607" s="32" t="s">
        <v>7025</v>
      </c>
      <c r="B607" s="74" t="s">
        <v>7026</v>
      </c>
      <c r="C607" s="50"/>
      <c r="D607" s="139">
        <f t="shared" si="9"/>
        <v>0</v>
      </c>
      <c r="E607" s="140">
        <v>392.91</v>
      </c>
      <c r="F607" s="140">
        <v>322.06</v>
      </c>
      <c r="G607" s="34" t="s">
        <v>100</v>
      </c>
      <c r="H607" s="34" t="s">
        <v>4698</v>
      </c>
      <c r="I607" s="35">
        <v>1</v>
      </c>
      <c r="J607" s="35">
        <v>1</v>
      </c>
      <c r="K607" s="35">
        <v>120</v>
      </c>
      <c r="L607" s="60" t="str">
        <f>HYPERLINK("https://www.sds-group.ru/product/nabor-nadfiley-almaznih-140h70h3mm-10-sht-kranz-30385/", "Инфо")</f>
        <v>Инфо</v>
      </c>
      <c r="M607" s="37">
        <v>9.2999999999999999E-2</v>
      </c>
      <c r="N607" s="38">
        <v>9.1000000000000003E-5</v>
      </c>
      <c r="O607" s="141">
        <v>4601004282018</v>
      </c>
    </row>
    <row r="608" spans="1:15" s="1" customFormat="1" ht="11.45" customHeight="1" outlineLevel="3" x14ac:dyDescent="0.2">
      <c r="A608" s="32" t="s">
        <v>7027</v>
      </c>
      <c r="B608" s="74" t="s">
        <v>7028</v>
      </c>
      <c r="C608" s="50"/>
      <c r="D608" s="139">
        <f t="shared" si="9"/>
        <v>0</v>
      </c>
      <c r="E608" s="140">
        <v>156.46</v>
      </c>
      <c r="F608" s="140">
        <v>128.25</v>
      </c>
      <c r="G608" s="34" t="s">
        <v>100</v>
      </c>
      <c r="H608" s="34" t="s">
        <v>4698</v>
      </c>
      <c r="I608" s="35">
        <v>1</v>
      </c>
      <c r="J608" s="35">
        <v>1</v>
      </c>
      <c r="K608" s="35">
        <v>240</v>
      </c>
      <c r="L608" s="60" t="str">
        <f>HYPERLINK("https://www.sds-group.ru/product/nabor-nadfiley-almaznih-kranz-140h50h3-mm-5-sht-27845/", "Инфо")</f>
        <v>Инфо</v>
      </c>
      <c r="M608" s="37">
        <v>4.9000000000000002E-2</v>
      </c>
      <c r="N608" s="38">
        <v>5.8E-5</v>
      </c>
      <c r="O608" s="141">
        <v>4601004233560</v>
      </c>
    </row>
    <row r="609" spans="1:15" ht="11.45" customHeight="1" outlineLevel="1" x14ac:dyDescent="0.2">
      <c r="A609" s="78" t="s">
        <v>7029</v>
      </c>
      <c r="B609" s="132"/>
      <c r="C609" s="79"/>
      <c r="D609" s="133"/>
      <c r="E609" s="134"/>
      <c r="F609" s="134"/>
      <c r="G609" s="134"/>
      <c r="H609" s="134"/>
      <c r="I609" s="134"/>
      <c r="J609" s="134"/>
      <c r="K609" s="134"/>
      <c r="L609" s="135"/>
      <c r="M609" s="134"/>
      <c r="N609" s="134"/>
      <c r="O609" s="134"/>
    </row>
    <row r="610" spans="1:15" ht="11.45" customHeight="1" outlineLevel="2" x14ac:dyDescent="0.2">
      <c r="A610" s="76" t="s">
        <v>7041</v>
      </c>
      <c r="B610" s="136"/>
      <c r="C610" s="77"/>
      <c r="D610" s="137"/>
      <c r="E610" s="4"/>
      <c r="F610" s="4"/>
      <c r="G610" s="4"/>
      <c r="H610" s="4"/>
      <c r="I610" s="4"/>
      <c r="J610" s="4"/>
      <c r="K610" s="4"/>
      <c r="L610" s="138"/>
      <c r="M610" s="4"/>
      <c r="N610" s="4"/>
      <c r="O610" s="4"/>
    </row>
    <row r="611" spans="1:15" s="1" customFormat="1" ht="11.45" customHeight="1" outlineLevel="3" x14ac:dyDescent="0.2">
      <c r="A611" s="32" t="s">
        <v>7046</v>
      </c>
      <c r="B611" s="74" t="s">
        <v>7047</v>
      </c>
      <c r="C611" s="50"/>
      <c r="D611" s="139">
        <f t="shared" si="9"/>
        <v>0</v>
      </c>
      <c r="E611" s="140">
        <v>289.05</v>
      </c>
      <c r="F611" s="140">
        <v>236.93</v>
      </c>
      <c r="G611" s="34" t="s">
        <v>100</v>
      </c>
      <c r="H611" s="34" t="s">
        <v>39</v>
      </c>
      <c r="I611" s="35">
        <v>1</v>
      </c>
      <c r="J611" s="35">
        <v>1</v>
      </c>
      <c r="K611" s="35">
        <v>50</v>
      </c>
      <c r="L611" s="60" t="str">
        <f>HYPERLINK("https://www.sds-group.ru/product/krimper-dlya-obzhima-avtoklemm-0-35-6-0mm-proconnect-12-3031-4/", "Инфо")</f>
        <v>Инфо</v>
      </c>
      <c r="M611" s="37">
        <v>0.28399999999999997</v>
      </c>
      <c r="N611" s="38">
        <v>1.067E-3</v>
      </c>
      <c r="O611" s="141">
        <v>4660008014278</v>
      </c>
    </row>
    <row r="612" spans="1:15" s="1" customFormat="1" ht="11.45" customHeight="1" outlineLevel="3" x14ac:dyDescent="0.2">
      <c r="A612" s="32" t="s">
        <v>7054</v>
      </c>
      <c r="B612" s="74" t="s">
        <v>7055</v>
      </c>
      <c r="C612" s="50"/>
      <c r="D612" s="139">
        <f t="shared" si="9"/>
        <v>0</v>
      </c>
      <c r="E612" s="140">
        <v>366.13</v>
      </c>
      <c r="F612" s="140">
        <v>300.11</v>
      </c>
      <c r="G612" s="34" t="s">
        <v>100</v>
      </c>
      <c r="H612" s="34" t="s">
        <v>39</v>
      </c>
      <c r="I612" s="35">
        <v>1</v>
      </c>
      <c r="J612" s="35">
        <v>1</v>
      </c>
      <c r="K612" s="35">
        <v>50</v>
      </c>
      <c r="L612" s="60" t="str">
        <f>HYPERLINK("https://www.sds-group.ru/product/krimper-dlya-obzhima-neizolirovannyh-klemm-0-35-6-0mm-rexant-12-3031/", "Инфо")</f>
        <v>Инфо</v>
      </c>
      <c r="M612" s="37">
        <v>0.28399999999999997</v>
      </c>
      <c r="N612" s="38">
        <v>1.1000000000000001E-3</v>
      </c>
      <c r="O612" s="141">
        <v>4660008014261</v>
      </c>
    </row>
    <row r="613" spans="1:15" ht="11.45" customHeight="1" outlineLevel="2" x14ac:dyDescent="0.2">
      <c r="A613" s="76" t="s">
        <v>7056</v>
      </c>
      <c r="B613" s="136"/>
      <c r="C613" s="77"/>
      <c r="D613" s="137"/>
      <c r="E613" s="4"/>
      <c r="F613" s="4"/>
      <c r="G613" s="4"/>
      <c r="H613" s="4"/>
      <c r="I613" s="4"/>
      <c r="J613" s="4"/>
      <c r="K613" s="4"/>
      <c r="L613" s="138"/>
      <c r="M613" s="4"/>
      <c r="N613" s="4"/>
      <c r="O613" s="4"/>
    </row>
    <row r="614" spans="1:15" s="1" customFormat="1" ht="11.45" customHeight="1" outlineLevel="3" x14ac:dyDescent="0.2">
      <c r="A614" s="32" t="s">
        <v>7061</v>
      </c>
      <c r="B614" s="74" t="s">
        <v>7062</v>
      </c>
      <c r="C614" s="50"/>
      <c r="D614" s="139">
        <f t="shared" si="9"/>
        <v>0</v>
      </c>
      <c r="E614" s="140">
        <v>2917.92</v>
      </c>
      <c r="F614" s="140">
        <v>2391.7399999999998</v>
      </c>
      <c r="G614" s="34" t="s">
        <v>100</v>
      </c>
      <c r="H614" s="34" t="s">
        <v>39</v>
      </c>
      <c r="I614" s="35">
        <v>1</v>
      </c>
      <c r="J614" s="35">
        <v>1</v>
      </c>
      <c r="K614" s="35">
        <v>5</v>
      </c>
      <c r="L614" s="60" t="str">
        <f>HYPERLINK("https://www.sds-group.ru/product/krimper-dlya-obzhima-silovyh-nakonechnikov-i-gilz-16-120mm-rexant-12-3057/", "Инфо")</f>
        <v>Инфо</v>
      </c>
      <c r="M614" s="37">
        <v>4.4059999999999997</v>
      </c>
      <c r="N614" s="38">
        <v>1.061E-2</v>
      </c>
      <c r="O614" s="141">
        <v>4660008014346</v>
      </c>
    </row>
    <row r="615" spans="1:15" s="1" customFormat="1" ht="11.45" customHeight="1" outlineLevel="3" x14ac:dyDescent="0.2">
      <c r="A615" s="32" t="s">
        <v>7065</v>
      </c>
      <c r="B615" s="74" t="s">
        <v>7066</v>
      </c>
      <c r="C615" s="50"/>
      <c r="D615" s="139">
        <f t="shared" si="9"/>
        <v>0</v>
      </c>
      <c r="E615" s="140">
        <v>3110.04</v>
      </c>
      <c r="F615" s="140">
        <v>2549.21</v>
      </c>
      <c r="G615" s="34" t="s">
        <v>100</v>
      </c>
      <c r="H615" s="34" t="s">
        <v>39</v>
      </c>
      <c r="I615" s="35">
        <v>1</v>
      </c>
      <c r="J615" s="35">
        <v>1</v>
      </c>
      <c r="K615" s="35">
        <v>5</v>
      </c>
      <c r="L615" s="60" t="str">
        <f>HYPERLINK("https://www.sds-group.ru/product/press-mehanicheskiy-universalnyy-dlya-klinovidnoy-opressovki-nakonechnikov-10-120mm-rexant-12-3058/", "Инфо")</f>
        <v>Инфо</v>
      </c>
      <c r="M615" s="37">
        <v>3.4</v>
      </c>
      <c r="N615" s="38">
        <v>5.7959999999999999E-3</v>
      </c>
      <c r="O615" s="141">
        <v>4601004148871</v>
      </c>
    </row>
    <row r="616" spans="1:15" s="1" customFormat="1" ht="11.45" customHeight="1" outlineLevel="3" x14ac:dyDescent="0.2">
      <c r="A616" s="32" t="s">
        <v>7067</v>
      </c>
      <c r="B616" s="74" t="s">
        <v>7068</v>
      </c>
      <c r="C616" s="50"/>
      <c r="D616" s="139">
        <f t="shared" si="9"/>
        <v>0</v>
      </c>
      <c r="E616" s="140">
        <v>3132.48</v>
      </c>
      <c r="F616" s="140">
        <v>2567.61</v>
      </c>
      <c r="G616" s="34" t="s">
        <v>100</v>
      </c>
      <c r="H616" s="34" t="s">
        <v>39</v>
      </c>
      <c r="I616" s="35">
        <v>1</v>
      </c>
      <c r="J616" s="35">
        <v>1</v>
      </c>
      <c r="K616" s="35">
        <v>5</v>
      </c>
      <c r="L616" s="60" t="str">
        <f>HYPERLINK("https://www.sds-group.ru/product/press-mehanicheskiy-universalniy-rexant-zht-230-dlya-klinovidnoy-opressovki-nakonechnikov-10-300-mm-sup2-20585/", "Инфо")</f>
        <v>Инфо</v>
      </c>
      <c r="M616" s="37">
        <v>3.87</v>
      </c>
      <c r="N616" s="38">
        <v>5.5770000000000004E-3</v>
      </c>
      <c r="O616" s="141">
        <v>4601004148857</v>
      </c>
    </row>
    <row r="617" spans="1:15" ht="11.45" customHeight="1" outlineLevel="2" x14ac:dyDescent="0.2">
      <c r="A617" s="76" t="s">
        <v>7080</v>
      </c>
      <c r="B617" s="136"/>
      <c r="C617" s="77"/>
      <c r="D617" s="137"/>
      <c r="E617" s="4"/>
      <c r="F617" s="4"/>
      <c r="G617" s="4"/>
      <c r="H617" s="4"/>
      <c r="I617" s="4"/>
      <c r="J617" s="4"/>
      <c r="K617" s="4"/>
      <c r="L617" s="138"/>
      <c r="M617" s="4"/>
      <c r="N617" s="4"/>
      <c r="O617" s="4"/>
    </row>
    <row r="618" spans="1:15" s="1" customFormat="1" ht="11.45" customHeight="1" outlineLevel="3" x14ac:dyDescent="0.2">
      <c r="A618" s="32" t="s">
        <v>7099</v>
      </c>
      <c r="B618" s="74" t="s">
        <v>7100</v>
      </c>
      <c r="C618" s="50"/>
      <c r="D618" s="139">
        <f t="shared" si="9"/>
        <v>0</v>
      </c>
      <c r="E618" s="140">
        <v>558.82000000000005</v>
      </c>
      <c r="F618" s="140">
        <v>458.05</v>
      </c>
      <c r="G618" s="34" t="s">
        <v>100</v>
      </c>
      <c r="H618" s="34" t="s">
        <v>39</v>
      </c>
      <c r="I618" s="35">
        <v>1</v>
      </c>
      <c r="J618" s="35">
        <v>1</v>
      </c>
      <c r="K618" s="35">
        <v>50</v>
      </c>
      <c r="L618" s="60" t="str">
        <f>HYPERLINK("https://www.sds-group.ru/product/krimper-dlya-obzhima-shtyrevyh-nakonechnikov-0-5-4-0mm-rexant-12-3013/", "Инфо")</f>
        <v>Инфо</v>
      </c>
      <c r="M618" s="37">
        <v>0.56499999999999995</v>
      </c>
      <c r="N618" s="38">
        <v>1.3450000000000001E-3</v>
      </c>
      <c r="O618" s="141">
        <v>4660008011574</v>
      </c>
    </row>
    <row r="619" spans="1:15" s="1" customFormat="1" ht="11.45" customHeight="1" outlineLevel="3" x14ac:dyDescent="0.2">
      <c r="A619" s="32" t="s">
        <v>7103</v>
      </c>
      <c r="B619" s="74" t="s">
        <v>7104</v>
      </c>
      <c r="C619" s="50"/>
      <c r="D619" s="139">
        <f t="shared" si="9"/>
        <v>0</v>
      </c>
      <c r="E619" s="140">
        <v>549.19000000000005</v>
      </c>
      <c r="F619" s="140">
        <v>450.16</v>
      </c>
      <c r="G619" s="34" t="s">
        <v>100</v>
      </c>
      <c r="H619" s="34" t="s">
        <v>39</v>
      </c>
      <c r="I619" s="35">
        <v>1</v>
      </c>
      <c r="J619" s="35">
        <v>1</v>
      </c>
      <c r="K619" s="35">
        <v>50</v>
      </c>
      <c r="L619" s="60" t="str">
        <f>HYPERLINK("https://www.sds-group.ru/product/krimper-dlya-obzhima-shtyrevyh-nakonechnikov-6-0-10-0-16-0mm-rexant-12-3019/", "Инфо")</f>
        <v>Инфо</v>
      </c>
      <c r="M619" s="37">
        <v>0.56999999999999995</v>
      </c>
      <c r="N619" s="38">
        <v>1.2210000000000001E-3</v>
      </c>
      <c r="O619" s="141">
        <v>4660008014216</v>
      </c>
    </row>
    <row r="620" spans="1:15" s="1" customFormat="1" ht="11.45" customHeight="1" outlineLevel="3" x14ac:dyDescent="0.2">
      <c r="A620" s="32" t="s">
        <v>7113</v>
      </c>
      <c r="B620" s="74" t="s">
        <v>7114</v>
      </c>
      <c r="C620" s="50"/>
      <c r="D620" s="139">
        <f t="shared" si="9"/>
        <v>0</v>
      </c>
      <c r="E620" s="140">
        <v>1271.8</v>
      </c>
      <c r="F620" s="140">
        <v>1042.46</v>
      </c>
      <c r="G620" s="34" t="s">
        <v>100</v>
      </c>
      <c r="H620" s="34" t="s">
        <v>39</v>
      </c>
      <c r="I620" s="35">
        <v>1</v>
      </c>
      <c r="J620" s="35">
        <v>1</v>
      </c>
      <c r="K620" s="35">
        <v>30</v>
      </c>
      <c r="L620" s="60" t="str">
        <f>HYPERLINK("https://www.sds-group.ru/product/press-mehanicheskiy-dlya-obzhima-vtulochnyh-nakonechnikov-10-50mm-rexant-12-3220/", "Инфо")</f>
        <v>Инфо</v>
      </c>
      <c r="M620" s="37">
        <v>0.78</v>
      </c>
      <c r="N620" s="38">
        <v>9.6599999999999995E-4</v>
      </c>
      <c r="O620" s="141">
        <v>4601004163089</v>
      </c>
    </row>
    <row r="621" spans="1:15" ht="11.45" customHeight="1" outlineLevel="2" x14ac:dyDescent="0.2">
      <c r="A621" s="76" t="s">
        <v>7128</v>
      </c>
      <c r="B621" s="136"/>
      <c r="C621" s="77"/>
      <c r="D621" s="137"/>
      <c r="E621" s="4"/>
      <c r="F621" s="4"/>
      <c r="G621" s="4"/>
      <c r="H621" s="4"/>
      <c r="I621" s="4"/>
      <c r="J621" s="4"/>
      <c r="K621" s="4"/>
      <c r="L621" s="138"/>
      <c r="M621" s="4"/>
      <c r="N621" s="4"/>
      <c r="O621" s="4"/>
    </row>
    <row r="622" spans="1:15" s="1" customFormat="1" ht="11.45" customHeight="1" outlineLevel="3" x14ac:dyDescent="0.2">
      <c r="A622" s="32" t="s">
        <v>7135</v>
      </c>
      <c r="B622" s="74" t="s">
        <v>7136</v>
      </c>
      <c r="C622" s="50"/>
      <c r="D622" s="139">
        <f t="shared" si="9"/>
        <v>0</v>
      </c>
      <c r="E622" s="140">
        <v>475.96</v>
      </c>
      <c r="F622" s="140">
        <v>390.13</v>
      </c>
      <c r="G622" s="34" t="s">
        <v>100</v>
      </c>
      <c r="H622" s="34" t="s">
        <v>39</v>
      </c>
      <c r="I622" s="35">
        <v>1</v>
      </c>
      <c r="J622" s="35">
        <v>1</v>
      </c>
      <c r="K622" s="35">
        <v>50</v>
      </c>
      <c r="L622" s="60" t="str">
        <f>HYPERLINK("https://www.sds-group.ru/product/krimper-dlya-obzhima-8p8c-6p4c-proconnect-12-3434-4/", "Инфо")</f>
        <v>Инфо</v>
      </c>
      <c r="M622" s="37">
        <v>0.44700000000000001</v>
      </c>
      <c r="N622" s="38">
        <v>7.5799999999999999E-4</v>
      </c>
      <c r="O622" s="141">
        <v>4601004001107</v>
      </c>
    </row>
    <row r="623" spans="1:15" s="1" customFormat="1" ht="11.45" customHeight="1" outlineLevel="3" x14ac:dyDescent="0.2">
      <c r="A623" s="32" t="s">
        <v>7144</v>
      </c>
      <c r="B623" s="74" t="s">
        <v>7145</v>
      </c>
      <c r="C623" s="50"/>
      <c r="D623" s="139">
        <f t="shared" si="9"/>
        <v>0</v>
      </c>
      <c r="E623" s="140">
        <v>587.37</v>
      </c>
      <c r="F623" s="140">
        <v>481.45</v>
      </c>
      <c r="G623" s="34" t="s">
        <v>100</v>
      </c>
      <c r="H623" s="34" t="s">
        <v>39</v>
      </c>
      <c r="I623" s="35">
        <v>1</v>
      </c>
      <c r="J623" s="35">
        <v>1</v>
      </c>
      <c r="K623" s="35">
        <v>50</v>
      </c>
      <c r="L623" s="60" t="str">
        <f>HYPERLINK("https://www.sds-group.ru/product/krimper-dlya-obzhima-8p8c-6p6c-4p4c-proconnect-12-3442-4/", "Инфо")</f>
        <v>Инфо</v>
      </c>
      <c r="M623" s="37">
        <v>0.59799999999999998</v>
      </c>
      <c r="N623" s="38">
        <v>1.333E-3</v>
      </c>
      <c r="O623" s="141">
        <v>4660008014520</v>
      </c>
    </row>
    <row r="624" spans="1:15" s="1" customFormat="1" ht="11.45" customHeight="1" outlineLevel="3" x14ac:dyDescent="0.2">
      <c r="A624" s="32" t="s">
        <v>7148</v>
      </c>
      <c r="B624" s="74" t="s">
        <v>7149</v>
      </c>
      <c r="C624" s="50"/>
      <c r="D624" s="139">
        <f t="shared" si="9"/>
        <v>0</v>
      </c>
      <c r="E624" s="140">
        <v>366.13</v>
      </c>
      <c r="F624" s="140">
        <v>300.11</v>
      </c>
      <c r="G624" s="34" t="s">
        <v>100</v>
      </c>
      <c r="H624" s="34" t="s">
        <v>39</v>
      </c>
      <c r="I624" s="35">
        <v>1</v>
      </c>
      <c r="J624" s="35">
        <v>1</v>
      </c>
      <c r="K624" s="35">
        <v>50</v>
      </c>
      <c r="L624" s="60" t="str">
        <f>HYPERLINK("https://www.sds-group.ru/product/krimper-dlya-obzhima-8p8c-6p6c-4p4c-rexant-12-3443/", "Инфо")</f>
        <v>Инфо</v>
      </c>
      <c r="M624" s="37">
        <v>0.24</v>
      </c>
      <c r="N624" s="38">
        <v>1.2019999999999999E-3</v>
      </c>
      <c r="O624" s="141">
        <v>4660008014537</v>
      </c>
    </row>
    <row r="625" spans="1:15" s="1" customFormat="1" ht="11.45" customHeight="1" outlineLevel="3" x14ac:dyDescent="0.2">
      <c r="A625" s="32" t="s">
        <v>7152</v>
      </c>
      <c r="B625" s="74" t="s">
        <v>7153</v>
      </c>
      <c r="C625" s="50"/>
      <c r="D625" s="139">
        <f t="shared" si="9"/>
        <v>0</v>
      </c>
      <c r="E625" s="140">
        <v>366.13</v>
      </c>
      <c r="F625" s="140">
        <v>300.11</v>
      </c>
      <c r="G625" s="34" t="s">
        <v>100</v>
      </c>
      <c r="H625" s="34" t="s">
        <v>39</v>
      </c>
      <c r="I625" s="35">
        <v>1</v>
      </c>
      <c r="J625" s="35">
        <v>1</v>
      </c>
      <c r="K625" s="35">
        <v>50</v>
      </c>
      <c r="L625" s="60" t="str">
        <f>HYPERLINK("https://www.sds-group.ru/product/krimper-dlya-obzhima-8p8c-6p6c-6p4c-6p2c-rexant-12-3435/", "Инфо")</f>
        <v>Инфо</v>
      </c>
      <c r="M625" s="37">
        <v>0.35599999999999998</v>
      </c>
      <c r="N625" s="38">
        <v>1.041E-3</v>
      </c>
      <c r="O625" s="141">
        <v>4660008014490</v>
      </c>
    </row>
    <row r="626" spans="1:15" s="1" customFormat="1" ht="11.45" customHeight="1" outlineLevel="3" x14ac:dyDescent="0.2">
      <c r="A626" s="32" t="s">
        <v>7156</v>
      </c>
      <c r="B626" s="74" t="s">
        <v>7157</v>
      </c>
      <c r="C626" s="50"/>
      <c r="D626" s="139">
        <f t="shared" si="9"/>
        <v>0</v>
      </c>
      <c r="E626" s="140">
        <v>743.81</v>
      </c>
      <c r="F626" s="140">
        <v>609.67999999999995</v>
      </c>
      <c r="G626" s="34" t="s">
        <v>100</v>
      </c>
      <c r="H626" s="34" t="s">
        <v>39</v>
      </c>
      <c r="I626" s="35">
        <v>1</v>
      </c>
      <c r="J626" s="35">
        <v>1</v>
      </c>
      <c r="K626" s="35">
        <v>50</v>
      </c>
      <c r="L626" s="60" t="str">
        <f>HYPERLINK("https://www.sds-group.ru/product/krimper-profi-dlya-obzhima-tortsevoy-8p8c-rexant-12-3453/", "Инфо")</f>
        <v>Инфо</v>
      </c>
      <c r="M626" s="37">
        <v>0.45200000000000001</v>
      </c>
      <c r="N626" s="38">
        <v>1.2030000000000001E-3</v>
      </c>
      <c r="O626" s="141">
        <v>4660008014568</v>
      </c>
    </row>
    <row r="627" spans="1:15" s="1" customFormat="1" ht="11.45" customHeight="1" outlineLevel="3" x14ac:dyDescent="0.2">
      <c r="A627" s="32" t="s">
        <v>7160</v>
      </c>
      <c r="B627" s="74" t="s">
        <v>7161</v>
      </c>
      <c r="C627" s="50"/>
      <c r="D627" s="139">
        <f t="shared" si="9"/>
        <v>0</v>
      </c>
      <c r="E627" s="140">
        <v>589.65</v>
      </c>
      <c r="F627" s="140">
        <v>483.32</v>
      </c>
      <c r="G627" s="34" t="s">
        <v>100</v>
      </c>
      <c r="H627" s="34" t="s">
        <v>39</v>
      </c>
      <c r="I627" s="35">
        <v>1</v>
      </c>
      <c r="J627" s="35">
        <v>1</v>
      </c>
      <c r="K627" s="35">
        <v>50</v>
      </c>
      <c r="L627" s="60" t="str">
        <f>HYPERLINK("https://www.sds-group.ru/product/krimper-tayvan-dlya-obzhima-8p8c-6p4c-rexant-12-3434-1/", "Инфо")</f>
        <v>Инфо</v>
      </c>
      <c r="M627" s="37">
        <v>0.54700000000000004</v>
      </c>
      <c r="N627" s="38">
        <v>9.8400000000000007E-4</v>
      </c>
      <c r="O627" s="141">
        <v>4660008017354</v>
      </c>
    </row>
    <row r="628" spans="1:15" s="1" customFormat="1" ht="11.45" customHeight="1" outlineLevel="3" x14ac:dyDescent="0.2">
      <c r="A628" s="32" t="s">
        <v>7162</v>
      </c>
      <c r="B628" s="74" t="s">
        <v>7163</v>
      </c>
      <c r="C628" s="50"/>
      <c r="D628" s="139">
        <f t="shared" si="9"/>
        <v>0</v>
      </c>
      <c r="E628" s="140">
        <v>366.13</v>
      </c>
      <c r="F628" s="140">
        <v>300.11</v>
      </c>
      <c r="G628" s="34" t="s">
        <v>100</v>
      </c>
      <c r="H628" s="34" t="s">
        <v>39</v>
      </c>
      <c r="I628" s="35">
        <v>1</v>
      </c>
      <c r="J628" s="35">
        <v>1</v>
      </c>
      <c r="K628" s="35">
        <v>50</v>
      </c>
      <c r="L628" s="60" t="str">
        <f>HYPERLINK("https://www.sds-group.ru/product/krimper-tayvan-dlya-obzhima-8p8c-6p6c-rexant-12-3432-1/", "Инфо")</f>
        <v>Инфо</v>
      </c>
      <c r="M628" s="37">
        <v>0.374</v>
      </c>
      <c r="N628" s="38">
        <v>1.5299999999999999E-3</v>
      </c>
      <c r="O628" s="141">
        <v>4660008014469</v>
      </c>
    </row>
    <row r="629" spans="1:15" ht="11.45" customHeight="1" outlineLevel="2" x14ac:dyDescent="0.2">
      <c r="A629" s="76" t="s">
        <v>7164</v>
      </c>
      <c r="B629" s="136"/>
      <c r="C629" s="77"/>
      <c r="D629" s="137"/>
      <c r="E629" s="4"/>
      <c r="F629" s="4"/>
      <c r="G629" s="4"/>
      <c r="H629" s="4"/>
      <c r="I629" s="4"/>
      <c r="J629" s="4"/>
      <c r="K629" s="4"/>
      <c r="L629" s="138"/>
      <c r="M629" s="4"/>
      <c r="N629" s="4"/>
      <c r="O629" s="4"/>
    </row>
    <row r="630" spans="1:15" s="1" customFormat="1" ht="11.45" customHeight="1" outlineLevel="3" x14ac:dyDescent="0.2">
      <c r="A630" s="32" t="s">
        <v>7169</v>
      </c>
      <c r="B630" s="74" t="s">
        <v>7170</v>
      </c>
      <c r="C630" s="50"/>
      <c r="D630" s="139">
        <f t="shared" si="9"/>
        <v>0</v>
      </c>
      <c r="E630" s="140">
        <v>539.54999999999995</v>
      </c>
      <c r="F630" s="140">
        <v>442.25</v>
      </c>
      <c r="G630" s="34" t="s">
        <v>100</v>
      </c>
      <c r="H630" s="34" t="s">
        <v>39</v>
      </c>
      <c r="I630" s="35">
        <v>1</v>
      </c>
      <c r="J630" s="35">
        <v>1</v>
      </c>
      <c r="K630" s="35">
        <v>100</v>
      </c>
      <c r="L630" s="60" t="str">
        <f>HYPERLINK("https://www.sds-group.ru/product/instrument-dlya-zachistki-kabelya-0-2-6mm-proconnect-12-4015-4/", "Инфо")</f>
        <v>Инфо</v>
      </c>
      <c r="M630" s="37">
        <v>0.224</v>
      </c>
      <c r="N630" s="38">
        <v>7.85E-4</v>
      </c>
      <c r="O630" s="141">
        <v>4601004035775</v>
      </c>
    </row>
    <row r="631" spans="1:15" s="1" customFormat="1" ht="11.45" customHeight="1" outlineLevel="3" x14ac:dyDescent="0.2">
      <c r="A631" s="32" t="s">
        <v>7171</v>
      </c>
      <c r="B631" s="74" t="s">
        <v>7172</v>
      </c>
      <c r="C631" s="50"/>
      <c r="D631" s="139">
        <f t="shared" si="9"/>
        <v>0</v>
      </c>
      <c r="E631" s="140">
        <v>308.31</v>
      </c>
      <c r="F631" s="140">
        <v>252.71</v>
      </c>
      <c r="G631" s="34" t="s">
        <v>100</v>
      </c>
      <c r="H631" s="34" t="s">
        <v>39</v>
      </c>
      <c r="I631" s="35">
        <v>1</v>
      </c>
      <c r="J631" s="35">
        <v>1</v>
      </c>
      <c r="K631" s="35">
        <v>100</v>
      </c>
      <c r="L631" s="60" t="str">
        <f>HYPERLINK("https://www.sds-group.ru/product/instrument-dlya-zachistki-kabelya-0-20-1-25mm-rexant-12-4025/", "Инфо")</f>
        <v>Инфо</v>
      </c>
      <c r="M631" s="37">
        <v>0.159</v>
      </c>
      <c r="N631" s="38">
        <v>4.75E-4</v>
      </c>
      <c r="O631" s="141">
        <v>4660008014735</v>
      </c>
    </row>
    <row r="632" spans="1:15" s="1" customFormat="1" ht="11.45" customHeight="1" outlineLevel="3" x14ac:dyDescent="0.2">
      <c r="A632" s="32" t="s">
        <v>7173</v>
      </c>
      <c r="B632" s="74" t="s">
        <v>7174</v>
      </c>
      <c r="C632" s="50"/>
      <c r="D632" s="139">
        <f t="shared" si="9"/>
        <v>0</v>
      </c>
      <c r="E632" s="140">
        <v>296.75</v>
      </c>
      <c r="F632" s="140">
        <v>243.24</v>
      </c>
      <c r="G632" s="34" t="s">
        <v>100</v>
      </c>
      <c r="H632" s="34" t="s">
        <v>39</v>
      </c>
      <c r="I632" s="35">
        <v>1</v>
      </c>
      <c r="J632" s="35">
        <v>1</v>
      </c>
      <c r="K632" s="35">
        <v>100</v>
      </c>
      <c r="L632" s="60" t="str">
        <f>HYPERLINK("https://www.sds-group.ru/product/instrument-dlya-zachistki-kabelya-0-25-0-65mm-rexant-12-4026/", "Инфо")</f>
        <v>Инфо</v>
      </c>
      <c r="M632" s="37">
        <v>0.16500000000000001</v>
      </c>
      <c r="N632" s="38">
        <v>5.62E-4</v>
      </c>
      <c r="O632" s="141">
        <v>4660008014742</v>
      </c>
    </row>
    <row r="633" spans="1:15" s="1" customFormat="1" ht="11.45" customHeight="1" outlineLevel="3" x14ac:dyDescent="0.2">
      <c r="A633" s="32" t="s">
        <v>7177</v>
      </c>
      <c r="B633" s="74" t="s">
        <v>7178</v>
      </c>
      <c r="C633" s="50"/>
      <c r="D633" s="139">
        <f t="shared" si="9"/>
        <v>0</v>
      </c>
      <c r="E633" s="140">
        <v>242.79</v>
      </c>
      <c r="F633" s="140">
        <v>199.01</v>
      </c>
      <c r="G633" s="34" t="s">
        <v>100</v>
      </c>
      <c r="H633" s="34" t="s">
        <v>39</v>
      </c>
      <c r="I633" s="35">
        <v>1</v>
      </c>
      <c r="J633" s="35">
        <v>1</v>
      </c>
      <c r="K633" s="35">
        <v>100</v>
      </c>
      <c r="L633" s="60" t="str">
        <f>HYPERLINK("https://www.sds-group.ru/product/instrument-dlya-zachistki-kabelya-0-5-1-6mm-rexant-12-4022/", "Инфо")</f>
        <v>Инфо</v>
      </c>
      <c r="M633" s="37">
        <v>0.14899999999999999</v>
      </c>
      <c r="N633" s="38">
        <v>4.8799999999999999E-4</v>
      </c>
      <c r="O633" s="141">
        <v>4660008014704</v>
      </c>
    </row>
    <row r="634" spans="1:15" s="1" customFormat="1" ht="11.45" customHeight="1" outlineLevel="3" x14ac:dyDescent="0.2">
      <c r="A634" s="32" t="s">
        <v>7179</v>
      </c>
      <c r="B634" s="74" t="s">
        <v>7180</v>
      </c>
      <c r="C634" s="50"/>
      <c r="D634" s="139">
        <f t="shared" si="9"/>
        <v>0</v>
      </c>
      <c r="E634" s="140">
        <v>347.82</v>
      </c>
      <c r="F634" s="140">
        <v>285.10000000000002</v>
      </c>
      <c r="G634" s="34" t="s">
        <v>100</v>
      </c>
      <c r="H634" s="34" t="s">
        <v>39</v>
      </c>
      <c r="I634" s="35">
        <v>1</v>
      </c>
      <c r="J634" s="35">
        <v>1</v>
      </c>
      <c r="K634" s="35">
        <v>50</v>
      </c>
      <c r="L634" s="60" t="str">
        <f>HYPERLINK("https://www.sds-group.ru/product/instrument-dlya-zachistki-kabelya-0-5-2-0mm-rexant-12-4002/", "Инфо")</f>
        <v>Инфо</v>
      </c>
      <c r="M634" s="37">
        <v>0.34</v>
      </c>
      <c r="N634" s="38">
        <v>1.1100000000000001E-3</v>
      </c>
      <c r="O634" s="141">
        <v>4660008014605</v>
      </c>
    </row>
    <row r="635" spans="1:15" s="1" customFormat="1" ht="11.45" customHeight="1" outlineLevel="3" x14ac:dyDescent="0.2">
      <c r="A635" s="32" t="s">
        <v>7183</v>
      </c>
      <c r="B635" s="74" t="s">
        <v>7184</v>
      </c>
      <c r="C635" s="50"/>
      <c r="D635" s="139">
        <f t="shared" si="9"/>
        <v>0</v>
      </c>
      <c r="E635" s="140">
        <v>204.26</v>
      </c>
      <c r="F635" s="140">
        <v>167.43</v>
      </c>
      <c r="G635" s="34" t="s">
        <v>100</v>
      </c>
      <c r="H635" s="34" t="s">
        <v>39</v>
      </c>
      <c r="I635" s="35">
        <v>1</v>
      </c>
      <c r="J635" s="35">
        <v>1</v>
      </c>
      <c r="K635" s="35">
        <v>100</v>
      </c>
      <c r="L635" s="60" t="str">
        <f>HYPERLINK("https://www.sds-group.ru/product/instrument-dlya-zachistki-kabelya-0-6-2-6mm-rexant-12-4021/", "Инфо")</f>
        <v>Инфо</v>
      </c>
      <c r="M635" s="37">
        <v>0.182</v>
      </c>
      <c r="N635" s="38">
        <v>5.9999999999999995E-4</v>
      </c>
      <c r="O635" s="141">
        <v>4660008014698</v>
      </c>
    </row>
    <row r="636" spans="1:15" s="1" customFormat="1" ht="11.45" customHeight="1" outlineLevel="3" x14ac:dyDescent="0.2">
      <c r="A636" s="32" t="s">
        <v>7185</v>
      </c>
      <c r="B636" s="74" t="s">
        <v>7186</v>
      </c>
      <c r="C636" s="50"/>
      <c r="D636" s="139">
        <f t="shared" si="9"/>
        <v>0</v>
      </c>
      <c r="E636" s="140">
        <v>346.85</v>
      </c>
      <c r="F636" s="140">
        <v>284.3</v>
      </c>
      <c r="G636" s="34" t="s">
        <v>100</v>
      </c>
      <c r="H636" s="34" t="s">
        <v>39</v>
      </c>
      <c r="I636" s="35">
        <v>1</v>
      </c>
      <c r="J636" s="35">
        <v>1</v>
      </c>
      <c r="K636" s="35">
        <v>100</v>
      </c>
      <c r="L636" s="60" t="str">
        <f>HYPERLINK("https://www.sds-group.ru/product/instrument-dlya-zachistki-kabelya-0-9-6-0mm-rexant-12-4024/", "Инфо")</f>
        <v>Инфо</v>
      </c>
      <c r="M636" s="37">
        <v>0.17399999999999999</v>
      </c>
      <c r="N636" s="38">
        <v>5.3300000000000005E-4</v>
      </c>
      <c r="O636" s="141">
        <v>4660008014728</v>
      </c>
    </row>
    <row r="637" spans="1:15" s="1" customFormat="1" ht="11.45" customHeight="1" outlineLevel="3" x14ac:dyDescent="0.2">
      <c r="A637" s="32" t="s">
        <v>7187</v>
      </c>
      <c r="B637" s="74" t="s">
        <v>7188</v>
      </c>
      <c r="C637" s="50"/>
      <c r="D637" s="139">
        <f t="shared" si="9"/>
        <v>0</v>
      </c>
      <c r="E637" s="140">
        <v>346.85</v>
      </c>
      <c r="F637" s="140">
        <v>284.3</v>
      </c>
      <c r="G637" s="34" t="s">
        <v>100</v>
      </c>
      <c r="H637" s="34" t="s">
        <v>39</v>
      </c>
      <c r="I637" s="35">
        <v>1</v>
      </c>
      <c r="J637" s="35">
        <v>1</v>
      </c>
      <c r="K637" s="35">
        <v>50</v>
      </c>
      <c r="L637" s="60" t="str">
        <f>HYPERLINK("https://www.sds-group.ru/product/instrument-dlya-zachistki-kabelya-1-0-3-2mm-rexant-12-4003/", "Инфо")</f>
        <v>Инфо</v>
      </c>
      <c r="M637" s="37">
        <v>0.34399999999999997</v>
      </c>
      <c r="N637" s="38">
        <v>1.067E-3</v>
      </c>
      <c r="O637" s="141">
        <v>4660008014612</v>
      </c>
    </row>
    <row r="638" spans="1:15" s="1" customFormat="1" ht="11.45" customHeight="1" outlineLevel="3" x14ac:dyDescent="0.2">
      <c r="A638" s="32" t="s">
        <v>7189</v>
      </c>
      <c r="B638" s="74" t="s">
        <v>7190</v>
      </c>
      <c r="C638" s="50"/>
      <c r="D638" s="139">
        <f t="shared" si="9"/>
        <v>0</v>
      </c>
      <c r="E638" s="140">
        <v>501.01</v>
      </c>
      <c r="F638" s="140">
        <v>410.66</v>
      </c>
      <c r="G638" s="34" t="s">
        <v>100</v>
      </c>
      <c r="H638" s="34" t="s">
        <v>39</v>
      </c>
      <c r="I638" s="35">
        <v>1</v>
      </c>
      <c r="J638" s="35">
        <v>1</v>
      </c>
      <c r="K638" s="35">
        <v>50</v>
      </c>
      <c r="L638" s="60" t="str">
        <f>HYPERLINK("https://www.sds-group.ru/product/instrument-dlya-zachistki-kabelya-i-obzhima-nakonechnikov-proconnect-12-4005-4/", "Инфо")</f>
        <v>Инфо</v>
      </c>
      <c r="M638" s="37">
        <v>0.375</v>
      </c>
      <c r="N638" s="38">
        <v>8.1300000000000003E-4</v>
      </c>
      <c r="O638" s="141">
        <v>4660008014636</v>
      </c>
    </row>
    <row r="639" spans="1:15" s="1" customFormat="1" ht="11.45" customHeight="1" outlineLevel="3" x14ac:dyDescent="0.2">
      <c r="A639" s="32" t="s">
        <v>7197</v>
      </c>
      <c r="B639" s="74" t="s">
        <v>7198</v>
      </c>
      <c r="C639" s="50"/>
      <c r="D639" s="139">
        <f t="shared" si="9"/>
        <v>0</v>
      </c>
      <c r="E639" s="140">
        <v>1233.25</v>
      </c>
      <c r="F639" s="140">
        <v>1010.86</v>
      </c>
      <c r="G639" s="34" t="s">
        <v>100</v>
      </c>
      <c r="H639" s="34" t="s">
        <v>39</v>
      </c>
      <c r="I639" s="35">
        <v>1</v>
      </c>
      <c r="J639" s="35">
        <v>1</v>
      </c>
      <c r="K639" s="35">
        <v>50</v>
      </c>
      <c r="L639" s="60" t="str">
        <f>HYPERLINK("https://www.sds-group.ru/product/instrument-dlya-prodolnoy-i-poperechnoy-zachistki-kabelya-ot-25mm-rexant-12-4054/", "Инфо")</f>
        <v>Инфо</v>
      </c>
      <c r="M639" s="37">
        <v>0.32100000000000001</v>
      </c>
      <c r="N639" s="38">
        <v>1.4E-3</v>
      </c>
      <c r="O639" s="141">
        <v>4601004163072</v>
      </c>
    </row>
    <row r="640" spans="1:15" s="1" customFormat="1" ht="11.45" customHeight="1" outlineLevel="3" x14ac:dyDescent="0.2">
      <c r="A640" s="32" t="s">
        <v>7199</v>
      </c>
      <c r="B640" s="74" t="s">
        <v>7200</v>
      </c>
      <c r="C640" s="50"/>
      <c r="D640" s="139">
        <f t="shared" si="9"/>
        <v>0</v>
      </c>
      <c r="E640" s="140">
        <v>211.97</v>
      </c>
      <c r="F640" s="140">
        <v>173.75</v>
      </c>
      <c r="G640" s="34" t="s">
        <v>100</v>
      </c>
      <c r="H640" s="34" t="s">
        <v>39</v>
      </c>
      <c r="I640" s="35">
        <v>1</v>
      </c>
      <c r="J640" s="35">
        <v>1</v>
      </c>
      <c r="K640" s="35">
        <v>60</v>
      </c>
      <c r="L640" s="60" t="str">
        <f>HYPERLINK("https://www.sds-group.ru/product/ploskogubtsy-dlya-zachistki-provodov-160mm-nikelirovannye-dvuhkomponentnye-rukoyatki-rexant-12-4646/", "Инфо")</f>
        <v>Инфо</v>
      </c>
      <c r="M640" s="37">
        <v>0.23300000000000001</v>
      </c>
      <c r="N640" s="38">
        <v>6.9300000000000004E-4</v>
      </c>
      <c r="O640" s="141">
        <v>4601004163607</v>
      </c>
    </row>
    <row r="641" spans="1:15" ht="11.45" customHeight="1" outlineLevel="2" x14ac:dyDescent="0.2">
      <c r="A641" s="76" t="s">
        <v>7201</v>
      </c>
      <c r="B641" s="136"/>
      <c r="C641" s="77"/>
      <c r="D641" s="137"/>
      <c r="E641" s="4"/>
      <c r="F641" s="4"/>
      <c r="G641" s="4"/>
      <c r="H641" s="4"/>
      <c r="I641" s="4"/>
      <c r="J641" s="4"/>
      <c r="K641" s="4"/>
      <c r="L641" s="138"/>
      <c r="M641" s="4"/>
      <c r="N641" s="4"/>
      <c r="O641" s="4"/>
    </row>
    <row r="642" spans="1:15" s="1" customFormat="1" ht="11.45" customHeight="1" outlineLevel="3" x14ac:dyDescent="0.2">
      <c r="A642" s="32" t="s">
        <v>7202</v>
      </c>
      <c r="B642" s="74" t="s">
        <v>7203</v>
      </c>
      <c r="C642" s="50"/>
      <c r="D642" s="139">
        <f t="shared" si="9"/>
        <v>0</v>
      </c>
      <c r="E642" s="140">
        <v>128.84</v>
      </c>
      <c r="F642" s="140">
        <v>105.61</v>
      </c>
      <c r="G642" s="34" t="s">
        <v>100</v>
      </c>
      <c r="H642" s="34" t="s">
        <v>39</v>
      </c>
      <c r="I642" s="35">
        <v>1</v>
      </c>
      <c r="J642" s="35">
        <v>1</v>
      </c>
      <c r="K642" s="35">
        <v>100</v>
      </c>
      <c r="L642" s="60" t="str">
        <f>HYPERLINK("https://www.sds-group.ru/product/instrument-dlya-zachistki-i-obrezki-vitoy-pary-proconnect-12-4042-4/", "Инфо")</f>
        <v>Инфо</v>
      </c>
      <c r="M642" s="37">
        <v>0.09</v>
      </c>
      <c r="N642" s="38">
        <v>6.1300000000000005E-4</v>
      </c>
      <c r="O642" s="141">
        <v>4660008014766</v>
      </c>
    </row>
    <row r="643" spans="1:15" ht="11.45" customHeight="1" outlineLevel="2" x14ac:dyDescent="0.2">
      <c r="A643" s="76" t="s">
        <v>7221</v>
      </c>
      <c r="B643" s="136"/>
      <c r="C643" s="77"/>
      <c r="D643" s="137"/>
      <c r="E643" s="4"/>
      <c r="F643" s="4"/>
      <c r="G643" s="4"/>
      <c r="H643" s="4"/>
      <c r="I643" s="4"/>
      <c r="J643" s="4"/>
      <c r="K643" s="4"/>
      <c r="L643" s="138"/>
      <c r="M643" s="4"/>
      <c r="N643" s="4"/>
      <c r="O643" s="4"/>
    </row>
    <row r="644" spans="1:15" s="1" customFormat="1" ht="11.45" customHeight="1" outlineLevel="3" x14ac:dyDescent="0.2">
      <c r="A644" s="32" t="s">
        <v>7222</v>
      </c>
      <c r="B644" s="74" t="s">
        <v>7223</v>
      </c>
      <c r="C644" s="50"/>
      <c r="D644" s="139">
        <f t="shared" si="9"/>
        <v>0</v>
      </c>
      <c r="E644" s="140">
        <v>578.09</v>
      </c>
      <c r="F644" s="140">
        <v>473.84</v>
      </c>
      <c r="G644" s="34" t="s">
        <v>100</v>
      </c>
      <c r="H644" s="34" t="s">
        <v>39</v>
      </c>
      <c r="I644" s="35">
        <v>1</v>
      </c>
      <c r="J644" s="35">
        <v>1</v>
      </c>
      <c r="K644" s="35">
        <v>1</v>
      </c>
      <c r="L644" s="60" t="str">
        <f>HYPERLINK("https://www.sds-group.ru/product/boltorez-s-dvoynym-rychagom-450mm-18-rexant-12-4972/", "Инфо")</f>
        <v>Инфо</v>
      </c>
      <c r="M644" s="37">
        <v>1.496</v>
      </c>
      <c r="N644" s="38">
        <v>5.0860000000000002E-3</v>
      </c>
      <c r="O644" s="141">
        <v>4601004288997</v>
      </c>
    </row>
    <row r="645" spans="1:15" s="1" customFormat="1" ht="11.45" customHeight="1" outlineLevel="3" x14ac:dyDescent="0.2">
      <c r="A645" s="32" t="s">
        <v>7226</v>
      </c>
      <c r="B645" s="74" t="s">
        <v>7227</v>
      </c>
      <c r="C645" s="50"/>
      <c r="D645" s="139">
        <f t="shared" si="9"/>
        <v>0</v>
      </c>
      <c r="E645" s="140">
        <v>1206.28</v>
      </c>
      <c r="F645" s="140">
        <v>988.75</v>
      </c>
      <c r="G645" s="34" t="s">
        <v>100</v>
      </c>
      <c r="H645" s="34" t="s">
        <v>39</v>
      </c>
      <c r="I645" s="35">
        <v>1</v>
      </c>
      <c r="J645" s="35">
        <v>1</v>
      </c>
      <c r="K645" s="35">
        <v>5</v>
      </c>
      <c r="L645" s="60" t="str">
        <f>HYPERLINK("https://www.sds-group.ru/product/boltorez-s-dvoynym-rychagom-760mm-30-rexant-12-4974/", "Инфо")</f>
        <v>Инфо</v>
      </c>
      <c r="M645" s="37">
        <v>3.9049999999999998</v>
      </c>
      <c r="N645" s="38">
        <v>1.0050999999999999E-2</v>
      </c>
      <c r="O645" s="141">
        <v>4601004289017</v>
      </c>
    </row>
    <row r="646" spans="1:15" s="1" customFormat="1" ht="11.45" customHeight="1" outlineLevel="3" x14ac:dyDescent="0.2">
      <c r="A646" s="32" t="s">
        <v>7228</v>
      </c>
      <c r="B646" s="74" t="s">
        <v>7229</v>
      </c>
      <c r="C646" s="50"/>
      <c r="D646" s="139">
        <f t="shared" si="9"/>
        <v>0</v>
      </c>
      <c r="E646" s="140">
        <v>1541.57</v>
      </c>
      <c r="F646" s="140">
        <v>1263.58</v>
      </c>
      <c r="G646" s="34" t="s">
        <v>100</v>
      </c>
      <c r="H646" s="34" t="s">
        <v>39</v>
      </c>
      <c r="I646" s="35">
        <v>1</v>
      </c>
      <c r="J646" s="35">
        <v>1</v>
      </c>
      <c r="K646" s="35">
        <v>5</v>
      </c>
      <c r="L646" s="60" t="str">
        <f>HYPERLINK("https://www.sds-group.ru/product/boltorez-s-dvoynym-rychagom-900mm-36-rexant-12-4975/", "Инфо")</f>
        <v>Инфо</v>
      </c>
      <c r="M646" s="37">
        <v>5.38</v>
      </c>
      <c r="N646" s="38">
        <v>7.4000000000000003E-3</v>
      </c>
      <c r="O646" s="141">
        <v>4601004289024</v>
      </c>
    </row>
    <row r="647" spans="1:15" s="1" customFormat="1" ht="11.45" customHeight="1" outlineLevel="3" x14ac:dyDescent="0.2">
      <c r="A647" s="32" t="s">
        <v>7230</v>
      </c>
      <c r="B647" s="74" t="s">
        <v>7231</v>
      </c>
      <c r="C647" s="50"/>
      <c r="D647" s="139">
        <f t="shared" si="9"/>
        <v>0</v>
      </c>
      <c r="E647" s="140">
        <v>7633.39</v>
      </c>
      <c r="F647" s="140">
        <v>6256.88</v>
      </c>
      <c r="G647" s="34" t="s">
        <v>100</v>
      </c>
      <c r="H647" s="34" t="s">
        <v>39</v>
      </c>
      <c r="I647" s="35">
        <v>1</v>
      </c>
      <c r="J647" s="35">
        <v>1</v>
      </c>
      <c r="K647" s="35">
        <v>10</v>
      </c>
      <c r="L647" s="60" t="str">
        <f>HYPERLINK("https://www.sds-group.ru/product/gidravlicheskie-nozhnitsy-diametr-do-50mm-rexant-12-4947/", "Инфо")</f>
        <v>Инфо</v>
      </c>
      <c r="M647" s="37">
        <v>11.234</v>
      </c>
      <c r="N647" s="38">
        <v>1.4586E-2</v>
      </c>
      <c r="O647" s="141">
        <v>4601004133938</v>
      </c>
    </row>
    <row r="648" spans="1:15" s="1" customFormat="1" ht="11.45" customHeight="1" outlineLevel="3" x14ac:dyDescent="0.2">
      <c r="A648" s="32" t="s">
        <v>7234</v>
      </c>
      <c r="B648" s="74" t="s">
        <v>7235</v>
      </c>
      <c r="C648" s="50"/>
      <c r="D648" s="139">
        <f t="shared" si="9"/>
        <v>0</v>
      </c>
      <c r="E648" s="140">
        <v>346.85</v>
      </c>
      <c r="F648" s="140">
        <v>284.3</v>
      </c>
      <c r="G648" s="34" t="s">
        <v>100</v>
      </c>
      <c r="H648" s="34" t="s">
        <v>39</v>
      </c>
      <c r="I648" s="35">
        <v>1</v>
      </c>
      <c r="J648" s="35">
        <v>1</v>
      </c>
      <c r="K648" s="35">
        <v>60</v>
      </c>
      <c r="L648" s="60" t="str">
        <f>HYPERLINK("https://www.sds-group.ru/product/kabelerez-180mm-nikelirovannyy-dvuhkomponentnye-rukoyatki-rexant-12-4626/", "Инфо")</f>
        <v>Инфо</v>
      </c>
      <c r="M648" s="37">
        <v>0.29499999999999998</v>
      </c>
      <c r="N648" s="38">
        <v>6.5700000000000003E-4</v>
      </c>
      <c r="O648" s="141">
        <v>4601004160071</v>
      </c>
    </row>
    <row r="649" spans="1:15" s="1" customFormat="1" ht="11.45" customHeight="1" outlineLevel="3" x14ac:dyDescent="0.2">
      <c r="A649" s="32" t="s">
        <v>7248</v>
      </c>
      <c r="B649" s="74" t="s">
        <v>7249</v>
      </c>
      <c r="C649" s="50"/>
      <c r="D649" s="139">
        <f t="shared" si="9"/>
        <v>0</v>
      </c>
      <c r="E649" s="140">
        <v>231.24</v>
      </c>
      <c r="F649" s="140">
        <v>189.54</v>
      </c>
      <c r="G649" s="34" t="s">
        <v>100</v>
      </c>
      <c r="H649" s="34" t="s">
        <v>39</v>
      </c>
      <c r="I649" s="35">
        <v>1</v>
      </c>
      <c r="J649" s="35">
        <v>1</v>
      </c>
      <c r="K649" s="35">
        <v>60</v>
      </c>
      <c r="L649" s="60" t="str">
        <f>HYPERLINK("https://www.sds-group.ru/product/nozhnitsy-universalnye-140mm-rexant-12-4945/", "Инфо")</f>
        <v>Инфо</v>
      </c>
      <c r="M649" s="37">
        <v>0.105</v>
      </c>
      <c r="N649" s="38">
        <v>5.1999999999999995E-4</v>
      </c>
      <c r="O649" s="141">
        <v>4601004161726</v>
      </c>
    </row>
    <row r="650" spans="1:15" ht="11.45" customHeight="1" outlineLevel="2" x14ac:dyDescent="0.2">
      <c r="A650" s="76" t="s">
        <v>7250</v>
      </c>
      <c r="B650" s="136"/>
      <c r="C650" s="77"/>
      <c r="D650" s="137"/>
      <c r="E650" s="4"/>
      <c r="F650" s="4"/>
      <c r="G650" s="4"/>
      <c r="H650" s="4"/>
      <c r="I650" s="4"/>
      <c r="J650" s="4"/>
      <c r="K650" s="4"/>
      <c r="L650" s="138"/>
      <c r="M650" s="4"/>
      <c r="N650" s="4"/>
      <c r="O650" s="4"/>
    </row>
    <row r="651" spans="1:15" s="1" customFormat="1" ht="11.45" customHeight="1" outlineLevel="3" x14ac:dyDescent="0.2">
      <c r="A651" s="32" t="s">
        <v>7253</v>
      </c>
      <c r="B651" s="74" t="s">
        <v>7254</v>
      </c>
      <c r="C651" s="50"/>
      <c r="D651" s="139">
        <f t="shared" ref="D651:D714" si="10">C651*E651</f>
        <v>0</v>
      </c>
      <c r="E651" s="140">
        <v>250.5</v>
      </c>
      <c r="F651" s="140">
        <v>205.33</v>
      </c>
      <c r="G651" s="34" t="s">
        <v>100</v>
      </c>
      <c r="H651" s="34" t="s">
        <v>39</v>
      </c>
      <c r="I651" s="35">
        <v>1</v>
      </c>
      <c r="J651" s="35">
        <v>1</v>
      </c>
      <c r="K651" s="35">
        <v>72</v>
      </c>
      <c r="L651" s="60" t="str">
        <f>HYPERLINK("https://www.sds-group.ru/product/nozh-montazhnyy-nerzhaveyuschaya-stal-lezvie-42mm-rexant-12-4932/", "Инфо")</f>
        <v>Инфо</v>
      </c>
      <c r="M651" s="37">
        <v>0.14699999999999999</v>
      </c>
      <c r="N651" s="38">
        <v>9.7400000000000004E-4</v>
      </c>
      <c r="O651" s="141">
        <v>4601004068292</v>
      </c>
    </row>
    <row r="652" spans="1:15" ht="11.45" customHeight="1" outlineLevel="1" x14ac:dyDescent="0.2">
      <c r="A652" s="78" t="s">
        <v>7330</v>
      </c>
      <c r="B652" s="132"/>
      <c r="C652" s="79"/>
      <c r="D652" s="133"/>
      <c r="E652" s="134"/>
      <c r="F652" s="134"/>
      <c r="G652" s="134"/>
      <c r="H652" s="134"/>
      <c r="I652" s="134"/>
      <c r="J652" s="134"/>
      <c r="K652" s="134"/>
      <c r="L652" s="135"/>
      <c r="M652" s="134"/>
      <c r="N652" s="134"/>
      <c r="O652" s="134"/>
    </row>
    <row r="653" spans="1:15" ht="11.45" customHeight="1" outlineLevel="2" x14ac:dyDescent="0.2">
      <c r="A653" s="76" t="s">
        <v>7331</v>
      </c>
      <c r="B653" s="136"/>
      <c r="C653" s="77"/>
      <c r="D653" s="137"/>
      <c r="E653" s="4"/>
      <c r="F653" s="4"/>
      <c r="G653" s="4"/>
      <c r="H653" s="4"/>
      <c r="I653" s="4"/>
      <c r="J653" s="4"/>
      <c r="K653" s="4"/>
      <c r="L653" s="138"/>
      <c r="M653" s="4"/>
      <c r="N653" s="4"/>
      <c r="O653" s="4"/>
    </row>
    <row r="654" spans="1:15" s="1" customFormat="1" ht="11.45" customHeight="1" outlineLevel="3" x14ac:dyDescent="0.2">
      <c r="A654" s="32" t="s">
        <v>7332</v>
      </c>
      <c r="B654" s="74" t="s">
        <v>7333</v>
      </c>
      <c r="C654" s="50"/>
      <c r="D654" s="139">
        <f t="shared" si="10"/>
        <v>0</v>
      </c>
      <c r="E654" s="140">
        <v>13229.46</v>
      </c>
      <c r="F654" s="140">
        <v>10843.82</v>
      </c>
      <c r="G654" s="34" t="s">
        <v>100</v>
      </c>
      <c r="H654" s="34" t="s">
        <v>39</v>
      </c>
      <c r="I654" s="35">
        <v>1</v>
      </c>
      <c r="J654" s="35">
        <v>1</v>
      </c>
      <c r="K654" s="35">
        <v>10</v>
      </c>
      <c r="L654" s="60" t="str">
        <f>HYPERLINK("https://www.sds-group.ru/product/kabelnyy-lokator-ms-6818-mastech-13-1211/", "Инфо")</f>
        <v>Инфо</v>
      </c>
      <c r="M654" s="37">
        <v>1.528</v>
      </c>
      <c r="N654" s="38">
        <v>6.2329999999999998E-3</v>
      </c>
      <c r="O654" s="141">
        <v>4601004056534</v>
      </c>
    </row>
    <row r="655" spans="1:15" s="1" customFormat="1" ht="11.45" customHeight="1" outlineLevel="3" x14ac:dyDescent="0.2">
      <c r="A655" s="32" t="s">
        <v>7337</v>
      </c>
      <c r="B655" s="74" t="s">
        <v>7338</v>
      </c>
      <c r="C655" s="50"/>
      <c r="D655" s="139">
        <f t="shared" si="10"/>
        <v>0</v>
      </c>
      <c r="E655" s="140">
        <v>13126.93</v>
      </c>
      <c r="F655" s="140">
        <v>10759.78</v>
      </c>
      <c r="G655" s="34" t="s">
        <v>100</v>
      </c>
      <c r="H655" s="34" t="s">
        <v>39</v>
      </c>
      <c r="I655" s="35">
        <v>1</v>
      </c>
      <c r="J655" s="35">
        <v>1</v>
      </c>
      <c r="K655" s="35">
        <v>10</v>
      </c>
      <c r="L655" s="60" t="str">
        <f>HYPERLINK("https://www.sds-group.ru/product/kabelnyy-tester-lokator-uni-t-ut685kit-tdr-13-1093/", "Инфо")</f>
        <v>Инфо</v>
      </c>
      <c r="M655" s="37">
        <v>0.89300000000000002</v>
      </c>
      <c r="N655" s="38">
        <v>3.6900000000000001E-3</v>
      </c>
      <c r="O655" s="141">
        <v>4601004290341</v>
      </c>
    </row>
    <row r="656" spans="1:15" s="1" customFormat="1" ht="11.45" customHeight="1" outlineLevel="3" x14ac:dyDescent="0.2">
      <c r="A656" s="32" t="s">
        <v>7339</v>
      </c>
      <c r="B656" s="74" t="s">
        <v>7340</v>
      </c>
      <c r="C656" s="50"/>
      <c r="D656" s="139">
        <f t="shared" si="10"/>
        <v>0</v>
      </c>
      <c r="E656" s="140">
        <v>5325.66</v>
      </c>
      <c r="F656" s="140">
        <v>4365.3</v>
      </c>
      <c r="G656" s="34" t="s">
        <v>100</v>
      </c>
      <c r="H656" s="34" t="s">
        <v>39</v>
      </c>
      <c r="I656" s="35">
        <v>1</v>
      </c>
      <c r="J656" s="35">
        <v>1</v>
      </c>
      <c r="K656" s="35">
        <v>20</v>
      </c>
      <c r="L656" s="60" t="str">
        <f>HYPERLINK("https://www.sds-group.ru/product/tester-kabelya-mnogofunktsionalnyy-rj-45-828-rexant-12-1009/", "Инфо")</f>
        <v>Инфо</v>
      </c>
      <c r="M656" s="37">
        <v>0.77400000000000002</v>
      </c>
      <c r="N656" s="38">
        <v>4.8219999999999999E-3</v>
      </c>
      <c r="O656" s="141">
        <v>4660008014957</v>
      </c>
    </row>
    <row r="657" spans="1:15" s="1" customFormat="1" ht="11.45" customHeight="1" outlineLevel="3" x14ac:dyDescent="0.2">
      <c r="A657" s="32" t="s">
        <v>7351</v>
      </c>
      <c r="B657" s="74" t="s">
        <v>7352</v>
      </c>
      <c r="C657" s="50"/>
      <c r="D657" s="139">
        <f t="shared" si="10"/>
        <v>0</v>
      </c>
      <c r="E657" s="140">
        <v>992.21</v>
      </c>
      <c r="F657" s="140">
        <v>813.29</v>
      </c>
      <c r="G657" s="34" t="s">
        <v>100</v>
      </c>
      <c r="H657" s="34" t="s">
        <v>39</v>
      </c>
      <c r="I657" s="35">
        <v>1</v>
      </c>
      <c r="J657" s="35">
        <v>1</v>
      </c>
      <c r="K657" s="35">
        <v>60</v>
      </c>
      <c r="L657" s="60" t="str">
        <f>HYPERLINK("https://www.sds-group.ru/product/tester-s-generatorom-signala-ms6810-mastech-13-1222/", "Инфо")</f>
        <v>Инфо</v>
      </c>
      <c r="M657" s="37">
        <v>0.23200000000000001</v>
      </c>
      <c r="N657" s="38">
        <v>7.7499999999999997E-4</v>
      </c>
      <c r="O657" s="141">
        <v>4601004052208</v>
      </c>
    </row>
    <row r="658" spans="1:15" s="1" customFormat="1" ht="11.45" customHeight="1" outlineLevel="3" x14ac:dyDescent="0.2">
      <c r="A658" s="32" t="s">
        <v>7353</v>
      </c>
      <c r="B658" s="74" t="s">
        <v>7354</v>
      </c>
      <c r="C658" s="50"/>
      <c r="D658" s="139">
        <f t="shared" si="10"/>
        <v>0</v>
      </c>
      <c r="E658" s="140">
        <v>1157.58</v>
      </c>
      <c r="F658" s="140">
        <v>948.84</v>
      </c>
      <c r="G658" s="34" t="s">
        <v>100</v>
      </c>
      <c r="H658" s="34" t="s">
        <v>39</v>
      </c>
      <c r="I658" s="35">
        <v>1</v>
      </c>
      <c r="J658" s="35">
        <v>1</v>
      </c>
      <c r="K658" s="35">
        <v>20</v>
      </c>
      <c r="L658" s="60" t="str">
        <f>HYPERLINK("https://www.sds-group.ru/product/tester-trassoiskatel-ms6812a-s-generatorom-signala-mastech-13-1220/", "Инфо")</f>
        <v>Инфо</v>
      </c>
      <c r="M658" s="37">
        <v>0.36299999999999999</v>
      </c>
      <c r="N658" s="38">
        <v>1.6379999999999999E-3</v>
      </c>
      <c r="O658" s="141">
        <v>4601004018259</v>
      </c>
    </row>
    <row r="659" spans="1:15" s="1" customFormat="1" ht="11.45" customHeight="1" outlineLevel="3" x14ac:dyDescent="0.2">
      <c r="A659" s="32" t="s">
        <v>7355</v>
      </c>
      <c r="B659" s="74" t="s">
        <v>7356</v>
      </c>
      <c r="C659" s="50"/>
      <c r="D659" s="139">
        <f t="shared" si="10"/>
        <v>0</v>
      </c>
      <c r="E659" s="140">
        <v>2273.81</v>
      </c>
      <c r="F659" s="140">
        <v>1863.78</v>
      </c>
      <c r="G659" s="34" t="s">
        <v>100</v>
      </c>
      <c r="H659" s="34" t="s">
        <v>39</v>
      </c>
      <c r="I659" s="35">
        <v>1</v>
      </c>
      <c r="J659" s="35">
        <v>1</v>
      </c>
      <c r="K659" s="35">
        <v>10</v>
      </c>
      <c r="L659" s="60" t="str">
        <f>HYPERLINK("https://www.sds-group.ru/product/tester-trassoiskatel-s-generatorom-signala-ms6813-mastech-13-1221/", "Инфо")</f>
        <v>Инфо</v>
      </c>
      <c r="M659" s="37">
        <v>0.626</v>
      </c>
      <c r="N659" s="38">
        <v>4.8399999999999997E-3</v>
      </c>
      <c r="O659" s="141">
        <v>4601004018266</v>
      </c>
    </row>
    <row r="660" spans="1:15" s="1" customFormat="1" ht="11.45" customHeight="1" outlineLevel="3" x14ac:dyDescent="0.2">
      <c r="A660" s="32" t="s">
        <v>7357</v>
      </c>
      <c r="B660" s="74" t="s">
        <v>7358</v>
      </c>
      <c r="C660" s="50"/>
      <c r="D660" s="139">
        <f t="shared" si="10"/>
        <v>0</v>
      </c>
      <c r="E660" s="140">
        <v>2546.67</v>
      </c>
      <c r="F660" s="140">
        <v>2087.4299999999998</v>
      </c>
      <c r="G660" s="34" t="s">
        <v>100</v>
      </c>
      <c r="H660" s="34" t="s">
        <v>39</v>
      </c>
      <c r="I660" s="35">
        <v>1</v>
      </c>
      <c r="J660" s="35">
        <v>1</v>
      </c>
      <c r="K660" s="35">
        <v>20</v>
      </c>
      <c r="L660" s="60" t="str">
        <f>HYPERLINK("https://www.sds-group.ru/product/tester-trassoiskatel-s-generatorom-signala-uni-t-ut682-13-1091/", "Инфо")</f>
        <v>Инфо</v>
      </c>
      <c r="M660" s="37">
        <v>0.44900000000000001</v>
      </c>
      <c r="N660" s="38">
        <v>1.8929999999999999E-3</v>
      </c>
      <c r="O660" s="141">
        <v>4601004290358</v>
      </c>
    </row>
    <row r="661" spans="1:15" s="1" customFormat="1" ht="11.45" customHeight="1" outlineLevel="3" x14ac:dyDescent="0.2">
      <c r="A661" s="32" t="s">
        <v>7359</v>
      </c>
      <c r="B661" s="74" t="s">
        <v>7360</v>
      </c>
      <c r="C661" s="50"/>
      <c r="D661" s="139">
        <f t="shared" si="10"/>
        <v>0</v>
      </c>
      <c r="E661" s="140">
        <v>1837.77</v>
      </c>
      <c r="F661" s="140">
        <v>1506.37</v>
      </c>
      <c r="G661" s="34" t="s">
        <v>100</v>
      </c>
      <c r="H661" s="34" t="s">
        <v>39</v>
      </c>
      <c r="I661" s="35">
        <v>1</v>
      </c>
      <c r="J661" s="35">
        <v>1</v>
      </c>
      <c r="K661" s="35">
        <v>20</v>
      </c>
      <c r="L661" s="60" t="str">
        <f>HYPERLINK("https://www.sds-group.ru/product/tester-trassoiskatel-s-generatorom-signala-uni-t-ut682d-13-1090/", "Инфо")</f>
        <v>Инфо</v>
      </c>
      <c r="M661" s="37">
        <v>0.36599999999999999</v>
      </c>
      <c r="N661" s="38">
        <v>1.513E-3</v>
      </c>
      <c r="O661" s="141">
        <v>4601004290327</v>
      </c>
    </row>
    <row r="662" spans="1:15" s="1" customFormat="1" ht="11.45" customHeight="1" outlineLevel="3" x14ac:dyDescent="0.2">
      <c r="A662" s="32" t="s">
        <v>7361</v>
      </c>
      <c r="B662" s="74" t="s">
        <v>7362</v>
      </c>
      <c r="C662" s="50"/>
      <c r="D662" s="139">
        <f t="shared" si="10"/>
        <v>0</v>
      </c>
      <c r="E662" s="140">
        <v>4650.9799999999996</v>
      </c>
      <c r="F662" s="140">
        <v>3812.28</v>
      </c>
      <c r="G662" s="34" t="s">
        <v>100</v>
      </c>
      <c r="H662" s="34" t="s">
        <v>39</v>
      </c>
      <c r="I662" s="35">
        <v>1</v>
      </c>
      <c r="J662" s="35">
        <v>1</v>
      </c>
      <c r="K662" s="35">
        <v>1</v>
      </c>
      <c r="L662" s="60" t="str">
        <f>HYPERLINK("https://www.sds-group.ru/product/tester-trassoiskatel-s-generatorom-signala-uni-t-ut683kit-13-1092/", "Инфо")</f>
        <v>Инфо</v>
      </c>
      <c r="M662" s="37">
        <v>0.51100000000000001</v>
      </c>
      <c r="N662" s="38">
        <v>3.0270000000000002E-3</v>
      </c>
      <c r="O662" s="141">
        <v>4601004290334</v>
      </c>
    </row>
    <row r="663" spans="1:15" ht="11.45" customHeight="1" outlineLevel="2" x14ac:dyDescent="0.2">
      <c r="A663" s="76" t="s">
        <v>7367</v>
      </c>
      <c r="B663" s="136"/>
      <c r="C663" s="77"/>
      <c r="D663" s="137"/>
      <c r="E663" s="4"/>
      <c r="F663" s="4"/>
      <c r="G663" s="4"/>
      <c r="H663" s="4"/>
      <c r="I663" s="4"/>
      <c r="J663" s="4"/>
      <c r="K663" s="4"/>
      <c r="L663" s="138"/>
      <c r="M663" s="4"/>
      <c r="N663" s="4"/>
      <c r="O663" s="4"/>
    </row>
    <row r="664" spans="1:15" s="1" customFormat="1" ht="11.45" customHeight="1" outlineLevel="3" x14ac:dyDescent="0.2">
      <c r="A664" s="32" t="s">
        <v>7368</v>
      </c>
      <c r="B664" s="74" t="s">
        <v>7369</v>
      </c>
      <c r="C664" s="50"/>
      <c r="D664" s="139">
        <f t="shared" si="10"/>
        <v>0</v>
      </c>
      <c r="E664" s="140">
        <v>1510.64</v>
      </c>
      <c r="F664" s="140">
        <v>1238.23</v>
      </c>
      <c r="G664" s="34" t="s">
        <v>100</v>
      </c>
      <c r="H664" s="34" t="s">
        <v>39</v>
      </c>
      <c r="I664" s="35">
        <v>1</v>
      </c>
      <c r="J664" s="35">
        <v>1</v>
      </c>
      <c r="K664" s="35">
        <v>20</v>
      </c>
      <c r="L664" s="60" t="str">
        <f>HYPERLINK("https://www.sds-group.ru/product/avtomobilnyy-multimetr-mastech-ms8239d-13-2089/", "Инфо")</f>
        <v>Инфо</v>
      </c>
      <c r="M664" s="37">
        <v>0.38500000000000001</v>
      </c>
      <c r="N664" s="38">
        <v>2.0409999999999998E-3</v>
      </c>
      <c r="O664" s="141">
        <v>4601004195677</v>
      </c>
    </row>
    <row r="665" spans="1:15" s="1" customFormat="1" ht="11.45" customHeight="1" outlineLevel="3" x14ac:dyDescent="0.2">
      <c r="A665" s="32" t="s">
        <v>7370</v>
      </c>
      <c r="B665" s="74" t="s">
        <v>7371</v>
      </c>
      <c r="C665" s="50"/>
      <c r="D665" s="139">
        <f t="shared" si="10"/>
        <v>0</v>
      </c>
      <c r="E665" s="140">
        <v>2480.52</v>
      </c>
      <c r="F665" s="140">
        <v>2033.21</v>
      </c>
      <c r="G665" s="34" t="s">
        <v>100</v>
      </c>
      <c r="H665" s="34" t="s">
        <v>39</v>
      </c>
      <c r="I665" s="35">
        <v>1</v>
      </c>
      <c r="J665" s="35">
        <v>1</v>
      </c>
      <c r="K665" s="35">
        <v>20</v>
      </c>
      <c r="L665" s="60" t="str">
        <f>HYPERLINK("https://www.sds-group.ru/product/avtomobilnyy-multimetr-uni-t-ut107-13-0060/", "Инфо")</f>
        <v>Инфо</v>
      </c>
      <c r="M665" s="37">
        <v>0.54800000000000004</v>
      </c>
      <c r="N665" s="38">
        <v>2.1289999999999998E-3</v>
      </c>
      <c r="O665" s="141">
        <v>4601004268364</v>
      </c>
    </row>
    <row r="666" spans="1:15" s="1" customFormat="1" ht="11.45" customHeight="1" outlineLevel="3" x14ac:dyDescent="0.2">
      <c r="A666" s="32" t="s">
        <v>7380</v>
      </c>
      <c r="B666" s="74" t="s">
        <v>7381</v>
      </c>
      <c r="C666" s="50"/>
      <c r="D666" s="139">
        <f t="shared" si="10"/>
        <v>0</v>
      </c>
      <c r="E666" s="140">
        <v>6817.3</v>
      </c>
      <c r="F666" s="140">
        <v>5587.95</v>
      </c>
      <c r="G666" s="34" t="s">
        <v>100</v>
      </c>
      <c r="H666" s="34" t="s">
        <v>39</v>
      </c>
      <c r="I666" s="35">
        <v>1</v>
      </c>
      <c r="J666" s="35">
        <v>1</v>
      </c>
      <c r="K666" s="35">
        <v>10</v>
      </c>
      <c r="L666" s="60" t="str">
        <f>HYPERLINK("https://www.sds-group.ru/product/tolschinomer-lakokrasochnyh-pokrytiy-uni-t-ut343d-13-1098/", "Инфо")</f>
        <v>Инфо</v>
      </c>
      <c r="M666" s="37">
        <v>0.56699999999999995</v>
      </c>
      <c r="N666" s="38">
        <v>3.9240000000000004E-3</v>
      </c>
      <c r="O666" s="141">
        <v>4601004290211</v>
      </c>
    </row>
    <row r="667" spans="1:15" ht="11.45" customHeight="1" outlineLevel="2" x14ac:dyDescent="0.2">
      <c r="A667" s="76" t="s">
        <v>7382</v>
      </c>
      <c r="B667" s="136"/>
      <c r="C667" s="77"/>
      <c r="D667" s="137"/>
      <c r="E667" s="4"/>
      <c r="F667" s="4"/>
      <c r="G667" s="4"/>
      <c r="H667" s="4"/>
      <c r="I667" s="4"/>
      <c r="J667" s="4"/>
      <c r="K667" s="4"/>
      <c r="L667" s="138"/>
      <c r="M667" s="4"/>
      <c r="N667" s="4"/>
      <c r="O667" s="4"/>
    </row>
    <row r="668" spans="1:15" s="1" customFormat="1" ht="11.45" customHeight="1" outlineLevel="3" x14ac:dyDescent="0.2">
      <c r="A668" s="32" t="s">
        <v>7383</v>
      </c>
      <c r="B668" s="74" t="s">
        <v>7384</v>
      </c>
      <c r="C668" s="50"/>
      <c r="D668" s="139">
        <f t="shared" si="10"/>
        <v>0</v>
      </c>
      <c r="E668" s="140">
        <v>2480.52</v>
      </c>
      <c r="F668" s="140">
        <v>2033.21</v>
      </c>
      <c r="G668" s="34" t="s">
        <v>100</v>
      </c>
      <c r="H668" s="34" t="s">
        <v>39</v>
      </c>
      <c r="I668" s="35">
        <v>1</v>
      </c>
      <c r="J668" s="35">
        <v>1</v>
      </c>
      <c r="K668" s="35">
        <v>20</v>
      </c>
      <c r="L668" s="60" t="str">
        <f>HYPERLINK("https://www.sds-group.ru/product/detektor-posledovatelnosti-faz-ms5900-mastech-13-1251/", "Инфо")</f>
        <v>Инфо</v>
      </c>
      <c r="M668" s="37">
        <v>0.60199999999999998</v>
      </c>
      <c r="N668" s="38">
        <v>3.13E-3</v>
      </c>
      <c r="O668" s="141">
        <v>4601004058057</v>
      </c>
    </row>
    <row r="669" spans="1:15" s="1" customFormat="1" ht="11.45" customHeight="1" outlineLevel="3" x14ac:dyDescent="0.2">
      <c r="A669" s="32" t="s">
        <v>7385</v>
      </c>
      <c r="B669" s="74" t="s">
        <v>7386</v>
      </c>
      <c r="C669" s="50"/>
      <c r="D669" s="139">
        <f t="shared" si="10"/>
        <v>0</v>
      </c>
      <c r="E669" s="140">
        <v>4092.87</v>
      </c>
      <c r="F669" s="140">
        <v>3354.81</v>
      </c>
      <c r="G669" s="34" t="s">
        <v>100</v>
      </c>
      <c r="H669" s="34" t="s">
        <v>39</v>
      </c>
      <c r="I669" s="35">
        <v>1</v>
      </c>
      <c r="J669" s="35">
        <v>1</v>
      </c>
      <c r="K669" s="35">
        <v>20</v>
      </c>
      <c r="L669" s="60" t="str">
        <f>HYPERLINK("https://www.sds-group.ru/product/detektor-posledovatelnosti-faz-uni-t-ut261b-13-1124/", "Инфо")</f>
        <v>Инфо</v>
      </c>
      <c r="M669" s="37">
        <v>0.51500000000000001</v>
      </c>
      <c r="N669" s="38">
        <v>2.4729999999999999E-3</v>
      </c>
      <c r="O669" s="141">
        <v>4601004289918</v>
      </c>
    </row>
    <row r="670" spans="1:15" s="1" customFormat="1" ht="11.45" customHeight="1" outlineLevel="3" x14ac:dyDescent="0.2">
      <c r="A670" s="32" t="s">
        <v>7387</v>
      </c>
      <c r="B670" s="74" t="s">
        <v>7388</v>
      </c>
      <c r="C670" s="50"/>
      <c r="D670" s="139">
        <f t="shared" si="10"/>
        <v>0</v>
      </c>
      <c r="E670" s="140">
        <v>909.53</v>
      </c>
      <c r="F670" s="140">
        <v>745.52</v>
      </c>
      <c r="G670" s="34" t="s">
        <v>100</v>
      </c>
      <c r="H670" s="34" t="s">
        <v>39</v>
      </c>
      <c r="I670" s="35">
        <v>1</v>
      </c>
      <c r="J670" s="35">
        <v>1</v>
      </c>
      <c r="K670" s="35">
        <v>20</v>
      </c>
      <c r="L670" s="60" t="str">
        <f>HYPERLINK("https://www.sds-group.ru/product/indikator-napryazheniya-ms8922a-mastech-13-1204/", "Инфо")</f>
        <v>Инфо</v>
      </c>
      <c r="M670" s="37">
        <v>0.19900000000000001</v>
      </c>
      <c r="N670" s="38">
        <v>1.642E-3</v>
      </c>
      <c r="O670" s="141">
        <v>4601004075443</v>
      </c>
    </row>
    <row r="671" spans="1:15" s="1" customFormat="1" ht="11.45" customHeight="1" outlineLevel="3" x14ac:dyDescent="0.2">
      <c r="A671" s="32" t="s">
        <v>7389</v>
      </c>
      <c r="B671" s="74" t="s">
        <v>7390</v>
      </c>
      <c r="C671" s="50"/>
      <c r="D671" s="139">
        <f t="shared" si="10"/>
        <v>0</v>
      </c>
      <c r="E671" s="140">
        <v>2377.17</v>
      </c>
      <c r="F671" s="140">
        <v>1948.5</v>
      </c>
      <c r="G671" s="34" t="s">
        <v>100</v>
      </c>
      <c r="H671" s="34" t="s">
        <v>39</v>
      </c>
      <c r="I671" s="35">
        <v>1</v>
      </c>
      <c r="J671" s="35">
        <v>1</v>
      </c>
      <c r="K671" s="35">
        <v>30</v>
      </c>
      <c r="L671" s="60" t="str">
        <f>HYPERLINK("https://www.sds-group.ru/product/indikator-napryazheniya-uni-t-ut15c-13-1018/", "Инфо")</f>
        <v>Инфо</v>
      </c>
      <c r="M671" s="37">
        <v>0.36199999999999999</v>
      </c>
      <c r="N671" s="38">
        <v>3.4999999999999997E-5</v>
      </c>
      <c r="O671" s="141">
        <v>4601004050082</v>
      </c>
    </row>
    <row r="672" spans="1:15" s="1" customFormat="1" ht="11.45" customHeight="1" outlineLevel="3" x14ac:dyDescent="0.2">
      <c r="A672" s="32" t="s">
        <v>7391</v>
      </c>
      <c r="B672" s="74" t="s">
        <v>7392</v>
      </c>
      <c r="C672" s="50"/>
      <c r="D672" s="139">
        <f t="shared" si="10"/>
        <v>0</v>
      </c>
      <c r="E672" s="140">
        <v>2976.63</v>
      </c>
      <c r="F672" s="140">
        <v>2439.86</v>
      </c>
      <c r="G672" s="34" t="s">
        <v>100</v>
      </c>
      <c r="H672" s="34" t="s">
        <v>39</v>
      </c>
      <c r="I672" s="35">
        <v>1</v>
      </c>
      <c r="J672" s="35">
        <v>1</v>
      </c>
      <c r="K672" s="35">
        <v>20</v>
      </c>
      <c r="L672" s="60" t="str">
        <f>HYPERLINK("https://www.sds-group.ru/product/indikator-napryazheniya-uni-t-ut18s-13-1041/", "Инфо")</f>
        <v>Инфо</v>
      </c>
      <c r="M672" s="37">
        <v>0.46700000000000003</v>
      </c>
      <c r="N672" s="38">
        <v>3.0240000000000002E-3</v>
      </c>
      <c r="O672" s="141">
        <v>4601004289666</v>
      </c>
    </row>
    <row r="673" spans="1:15" s="1" customFormat="1" ht="11.45" customHeight="1" outlineLevel="3" x14ac:dyDescent="0.2">
      <c r="A673" s="32" t="s">
        <v>7393</v>
      </c>
      <c r="B673" s="74" t="s">
        <v>7394</v>
      </c>
      <c r="C673" s="50"/>
      <c r="D673" s="139">
        <f t="shared" si="10"/>
        <v>0</v>
      </c>
      <c r="E673" s="140">
        <v>868.19</v>
      </c>
      <c r="F673" s="140">
        <v>711.63</v>
      </c>
      <c r="G673" s="34" t="s">
        <v>100</v>
      </c>
      <c r="H673" s="34" t="s">
        <v>39</v>
      </c>
      <c r="I673" s="35">
        <v>1</v>
      </c>
      <c r="J673" s="35">
        <v>1</v>
      </c>
      <c r="K673" s="35">
        <v>40</v>
      </c>
      <c r="L673" s="60" t="str">
        <f>HYPERLINK("https://www.sds-group.ru/product/indikator-napryazheniya-uni-t-ut22b-eu-13-1019/", "Инфо")</f>
        <v>Инфо</v>
      </c>
      <c r="M673" s="37">
        <v>0.21299999999999999</v>
      </c>
      <c r="N673" s="38">
        <v>1.289E-3</v>
      </c>
      <c r="O673" s="141">
        <v>4601004289895</v>
      </c>
    </row>
    <row r="674" spans="1:15" s="1" customFormat="1" ht="11.45" customHeight="1" outlineLevel="3" x14ac:dyDescent="0.2">
      <c r="A674" s="32" t="s">
        <v>7397</v>
      </c>
      <c r="B674" s="74" t="s">
        <v>7398</v>
      </c>
      <c r="C674" s="50"/>
      <c r="D674" s="139">
        <f t="shared" si="10"/>
        <v>0</v>
      </c>
      <c r="E674" s="140">
        <v>661.47</v>
      </c>
      <c r="F674" s="140">
        <v>542.19000000000005</v>
      </c>
      <c r="G674" s="34" t="s">
        <v>100</v>
      </c>
      <c r="H674" s="34" t="s">
        <v>39</v>
      </c>
      <c r="I674" s="35">
        <v>1</v>
      </c>
      <c r="J674" s="35">
        <v>1</v>
      </c>
      <c r="K674" s="35">
        <v>40</v>
      </c>
      <c r="L674" s="60" t="str">
        <f>HYPERLINK("https://www.sds-group.ru/product/tester-rozetok-ms6860d-mastech-13-1260/", "Инфо")</f>
        <v>Инфо</v>
      </c>
      <c r="M674" s="37">
        <v>0.11</v>
      </c>
      <c r="N674" s="38">
        <v>7.7700000000000002E-4</v>
      </c>
      <c r="O674" s="141">
        <v>4601004075412</v>
      </c>
    </row>
    <row r="675" spans="1:15" s="1" customFormat="1" ht="11.45" customHeight="1" outlineLevel="3" x14ac:dyDescent="0.2">
      <c r="A675" s="32" t="s">
        <v>7399</v>
      </c>
      <c r="B675" s="74" t="s">
        <v>7400</v>
      </c>
      <c r="C675" s="50"/>
      <c r="D675" s="139">
        <f t="shared" si="10"/>
        <v>0</v>
      </c>
      <c r="E675" s="140">
        <v>702.81</v>
      </c>
      <c r="F675" s="140">
        <v>576.07000000000005</v>
      </c>
      <c r="G675" s="34" t="s">
        <v>100</v>
      </c>
      <c r="H675" s="34" t="s">
        <v>39</v>
      </c>
      <c r="I675" s="35">
        <v>1</v>
      </c>
      <c r="J675" s="35">
        <v>1</v>
      </c>
      <c r="K675" s="35">
        <v>48</v>
      </c>
      <c r="L675" s="60" t="str">
        <f>HYPERLINK("https://www.sds-group.ru/product/tester-rozetok-uni-t-ut07b-eu-13-1121/", "Инфо")</f>
        <v>Инфо</v>
      </c>
      <c r="M675" s="37">
        <v>0.128</v>
      </c>
      <c r="N675" s="38">
        <v>1.0629999999999999E-3</v>
      </c>
      <c r="O675" s="141">
        <v>4601004289697</v>
      </c>
    </row>
    <row r="676" spans="1:15" s="1" customFormat="1" ht="11.45" customHeight="1" outlineLevel="3" x14ac:dyDescent="0.2">
      <c r="A676" s="32" t="s">
        <v>7401</v>
      </c>
      <c r="B676" s="74" t="s">
        <v>7402</v>
      </c>
      <c r="C676" s="50"/>
      <c r="D676" s="139">
        <f t="shared" si="10"/>
        <v>0</v>
      </c>
      <c r="E676" s="140">
        <v>2439.1799999999998</v>
      </c>
      <c r="F676" s="140">
        <v>1999.33</v>
      </c>
      <c r="G676" s="34" t="s">
        <v>100</v>
      </c>
      <c r="H676" s="34" t="s">
        <v>39</v>
      </c>
      <c r="I676" s="35">
        <v>1</v>
      </c>
      <c r="J676" s="35">
        <v>1</v>
      </c>
      <c r="K676" s="35">
        <v>20</v>
      </c>
      <c r="L676" s="60" t="str">
        <f>HYPERLINK("https://www.sds-group.ru/product/tester-rozetok-detektor-avtomatov-ms5902rtd-mastech-13-1262/", "Инфо")</f>
        <v>Инфо</v>
      </c>
      <c r="M676" s="37">
        <v>0.42099999999999999</v>
      </c>
      <c r="N676" s="38">
        <v>2.6199999999999999E-3</v>
      </c>
      <c r="O676" s="141">
        <v>4601004195691</v>
      </c>
    </row>
    <row r="677" spans="1:15" s="1" customFormat="1" ht="11.45" customHeight="1" outlineLevel="3" x14ac:dyDescent="0.2">
      <c r="A677" s="32" t="s">
        <v>7403</v>
      </c>
      <c r="B677" s="74" t="s">
        <v>7404</v>
      </c>
      <c r="C677" s="50"/>
      <c r="D677" s="139">
        <f t="shared" si="10"/>
        <v>0</v>
      </c>
      <c r="E677" s="140">
        <v>2893.94</v>
      </c>
      <c r="F677" s="140">
        <v>2372.08</v>
      </c>
      <c r="G677" s="34" t="s">
        <v>100</v>
      </c>
      <c r="H677" s="34" t="s">
        <v>39</v>
      </c>
      <c r="I677" s="35">
        <v>1</v>
      </c>
      <c r="J677" s="35">
        <v>1</v>
      </c>
      <c r="K677" s="35">
        <v>20</v>
      </c>
      <c r="L677" s="60" t="str">
        <f>HYPERLINK("https://www.sds-group.ru/product/tester-rozetok-detektor-avtomatov-ms5905rtd-mastech-13-1265/", "Инфо")</f>
        <v>Инфо</v>
      </c>
      <c r="M677" s="37">
        <v>0.379</v>
      </c>
      <c r="N677" s="38">
        <v>2.6700000000000001E-3</v>
      </c>
      <c r="O677" s="141">
        <v>4601004195707</v>
      </c>
    </row>
    <row r="678" spans="1:15" s="1" customFormat="1" ht="11.45" customHeight="1" outlineLevel="3" x14ac:dyDescent="0.2">
      <c r="A678" s="32" t="s">
        <v>7405</v>
      </c>
      <c r="B678" s="74" t="s">
        <v>7406</v>
      </c>
      <c r="C678" s="50"/>
      <c r="D678" s="139">
        <f t="shared" si="10"/>
        <v>0</v>
      </c>
      <c r="E678" s="140">
        <v>909.53</v>
      </c>
      <c r="F678" s="140">
        <v>745.52</v>
      </c>
      <c r="G678" s="34" t="s">
        <v>100</v>
      </c>
      <c r="H678" s="34" t="s">
        <v>39</v>
      </c>
      <c r="I678" s="35">
        <v>1</v>
      </c>
      <c r="J678" s="35">
        <v>1</v>
      </c>
      <c r="K678" s="35">
        <v>40</v>
      </c>
      <c r="L678" s="60" t="str">
        <f>HYPERLINK("https://www.sds-group.ru/product/tester-probnik-ms8902a-mastech-13-1202/", "Инфо")</f>
        <v>Инфо</v>
      </c>
      <c r="M678" s="37">
        <v>9.7000000000000003E-2</v>
      </c>
      <c r="N678" s="38">
        <v>7.8799999999999996E-4</v>
      </c>
      <c r="O678" s="141">
        <v>4601004195684</v>
      </c>
    </row>
    <row r="679" spans="1:15" s="1" customFormat="1" ht="11.45" customHeight="1" outlineLevel="3" x14ac:dyDescent="0.2">
      <c r="A679" s="32" t="s">
        <v>7419</v>
      </c>
      <c r="B679" s="74" t="s">
        <v>7420</v>
      </c>
      <c r="C679" s="50"/>
      <c r="D679" s="139">
        <f t="shared" si="10"/>
        <v>0</v>
      </c>
      <c r="E679" s="140">
        <v>640.79999999999995</v>
      </c>
      <c r="F679" s="140">
        <v>525.25</v>
      </c>
      <c r="G679" s="34" t="s">
        <v>100</v>
      </c>
      <c r="H679" s="34" t="s">
        <v>39</v>
      </c>
      <c r="I679" s="35">
        <v>1</v>
      </c>
      <c r="J679" s="35">
        <v>1</v>
      </c>
      <c r="K679" s="35">
        <v>40</v>
      </c>
      <c r="L679" s="60" t="str">
        <f>HYPERLINK("https://www.sds-group.ru/product/tester-probnik-uni-t-ut12d-13-1031/", "Инфо")</f>
        <v>Инфо</v>
      </c>
      <c r="M679" s="37">
        <v>9.1999999999999998E-2</v>
      </c>
      <c r="N679" s="38">
        <v>5.4199999999999995E-4</v>
      </c>
      <c r="O679" s="141">
        <v>4601004289611</v>
      </c>
    </row>
    <row r="680" spans="1:15" s="1" customFormat="1" ht="11.45" customHeight="1" outlineLevel="3" x14ac:dyDescent="0.2">
      <c r="A680" s="32" t="s">
        <v>7421</v>
      </c>
      <c r="B680" s="74" t="s">
        <v>7422</v>
      </c>
      <c r="C680" s="50"/>
      <c r="D680" s="139">
        <f t="shared" si="10"/>
        <v>0</v>
      </c>
      <c r="E680" s="140">
        <v>1240.27</v>
      </c>
      <c r="F680" s="140">
        <v>1016.61</v>
      </c>
      <c r="G680" s="34" t="s">
        <v>100</v>
      </c>
      <c r="H680" s="34" t="s">
        <v>39</v>
      </c>
      <c r="I680" s="35">
        <v>1</v>
      </c>
      <c r="J680" s="35">
        <v>1</v>
      </c>
      <c r="K680" s="35">
        <v>40</v>
      </c>
      <c r="L680" s="60" t="str">
        <f>HYPERLINK("https://www.sds-group.ru/product/tester-probnik-uni-t-ut12m-13-1033/", "Инфо")</f>
        <v>Инфо</v>
      </c>
      <c r="M680" s="37">
        <v>0.113</v>
      </c>
      <c r="N680" s="38">
        <v>6.0800000000000003E-4</v>
      </c>
      <c r="O680" s="141">
        <v>4601004289734</v>
      </c>
    </row>
    <row r="681" spans="1:15" ht="11.45" customHeight="1" outlineLevel="2" x14ac:dyDescent="0.2">
      <c r="A681" s="76" t="s">
        <v>7429</v>
      </c>
      <c r="B681" s="136"/>
      <c r="C681" s="77"/>
      <c r="D681" s="137"/>
      <c r="E681" s="4"/>
      <c r="F681" s="4"/>
      <c r="G681" s="4"/>
      <c r="H681" s="4"/>
      <c r="I681" s="4"/>
      <c r="J681" s="4"/>
      <c r="K681" s="4"/>
      <c r="L681" s="138"/>
      <c r="M681" s="4"/>
      <c r="N681" s="4"/>
      <c r="O681" s="4"/>
    </row>
    <row r="682" spans="1:15" s="1" customFormat="1" ht="11.45" customHeight="1" outlineLevel="3" x14ac:dyDescent="0.2">
      <c r="A682" s="32" t="s">
        <v>7442</v>
      </c>
      <c r="B682" s="74" t="s">
        <v>7443</v>
      </c>
      <c r="C682" s="50"/>
      <c r="D682" s="139">
        <f t="shared" si="10"/>
        <v>0</v>
      </c>
      <c r="E682" s="140">
        <v>892.99</v>
      </c>
      <c r="F682" s="140">
        <v>731.96</v>
      </c>
      <c r="G682" s="34" t="s">
        <v>100</v>
      </c>
      <c r="H682" s="34" t="s">
        <v>39</v>
      </c>
      <c r="I682" s="35">
        <v>1</v>
      </c>
      <c r="J682" s="35">
        <v>1</v>
      </c>
      <c r="K682" s="35">
        <v>60</v>
      </c>
      <c r="L682" s="60" t="str">
        <f>HYPERLINK("https://www.sds-group.ru/product/multimetr-portativnyy-uni-t-ut123-13-0020/", "Инфо")</f>
        <v>Инфо</v>
      </c>
      <c r="M682" s="37">
        <v>0.253</v>
      </c>
      <c r="N682" s="38">
        <v>9.2100000000000005E-4</v>
      </c>
      <c r="O682" s="141">
        <v>4601004289741</v>
      </c>
    </row>
    <row r="683" spans="1:15" s="1" customFormat="1" ht="11.45" customHeight="1" outlineLevel="3" x14ac:dyDescent="0.2">
      <c r="A683" s="32" t="s">
        <v>7444</v>
      </c>
      <c r="B683" s="74" t="s">
        <v>7445</v>
      </c>
      <c r="C683" s="50"/>
      <c r="D683" s="139">
        <f t="shared" si="10"/>
        <v>0</v>
      </c>
      <c r="E683" s="140">
        <v>1356.48</v>
      </c>
      <c r="F683" s="140">
        <v>1111.8699999999999</v>
      </c>
      <c r="G683" s="34" t="s">
        <v>100</v>
      </c>
      <c r="H683" s="34" t="s">
        <v>39</v>
      </c>
      <c r="I683" s="35">
        <v>1</v>
      </c>
      <c r="J683" s="35">
        <v>1</v>
      </c>
      <c r="K683" s="35">
        <v>40</v>
      </c>
      <c r="L683" s="60" t="str">
        <f>HYPERLINK("https://www.sds-group.ru/product/multimetr-portativnyy-smart-uni-t-ut118b-13-0083/", "Инфо")</f>
        <v>Инфо</v>
      </c>
      <c r="M683" s="37">
        <v>0.16700000000000001</v>
      </c>
      <c r="N683" s="38">
        <v>9.4499999999999998E-4</v>
      </c>
      <c r="O683" s="141">
        <v>4601004289581</v>
      </c>
    </row>
    <row r="684" spans="1:15" s="1" customFormat="1" ht="11.45" customHeight="1" outlineLevel="3" x14ac:dyDescent="0.2">
      <c r="A684" s="32" t="s">
        <v>7446</v>
      </c>
      <c r="B684" s="74" t="s">
        <v>7447</v>
      </c>
      <c r="C684" s="50"/>
      <c r="D684" s="139">
        <f t="shared" si="10"/>
        <v>0</v>
      </c>
      <c r="E684" s="140">
        <v>1446.97</v>
      </c>
      <c r="F684" s="140">
        <v>1186.04</v>
      </c>
      <c r="G684" s="34" t="s">
        <v>100</v>
      </c>
      <c r="H684" s="34" t="s">
        <v>39</v>
      </c>
      <c r="I684" s="35">
        <v>1</v>
      </c>
      <c r="J684" s="35">
        <v>1</v>
      </c>
      <c r="K684" s="35">
        <v>40</v>
      </c>
      <c r="L684" s="60" t="str">
        <f>HYPERLINK("https://www.sds-group.ru/product/multimetr-portativnyy-smart-uni-t-ut121b-13-0051/", "Инфо")</f>
        <v>Инфо</v>
      </c>
      <c r="M684" s="37">
        <v>0.36399999999999999</v>
      </c>
      <c r="N684" s="38">
        <v>1.444E-3</v>
      </c>
      <c r="O684" s="141">
        <v>4601004289765</v>
      </c>
    </row>
    <row r="685" spans="1:15" s="1" customFormat="1" ht="11.45" customHeight="1" outlineLevel="3" x14ac:dyDescent="0.2">
      <c r="A685" s="32" t="s">
        <v>7448</v>
      </c>
      <c r="B685" s="74" t="s">
        <v>7449</v>
      </c>
      <c r="C685" s="50"/>
      <c r="D685" s="139">
        <f t="shared" si="10"/>
        <v>0</v>
      </c>
      <c r="E685" s="140">
        <v>1757.04</v>
      </c>
      <c r="F685" s="140">
        <v>1440.2</v>
      </c>
      <c r="G685" s="34" t="s">
        <v>100</v>
      </c>
      <c r="H685" s="34" t="s">
        <v>39</v>
      </c>
      <c r="I685" s="35">
        <v>1</v>
      </c>
      <c r="J685" s="35">
        <v>1</v>
      </c>
      <c r="K685" s="35">
        <v>40</v>
      </c>
      <c r="L685" s="60" t="str">
        <f>HYPERLINK("https://www.sds-group.ru/product/multimetr-portativnyy-smart-uni-t-ut122-13-0052/", "Инфо")</f>
        <v>Инфо</v>
      </c>
      <c r="M685" s="37">
        <v>0.38200000000000001</v>
      </c>
      <c r="N685" s="38">
        <v>9.8400000000000007E-4</v>
      </c>
      <c r="O685" s="141">
        <v>4601004289758</v>
      </c>
    </row>
    <row r="686" spans="1:15" s="1" customFormat="1" ht="11.45" customHeight="1" outlineLevel="3" x14ac:dyDescent="0.2">
      <c r="A686" s="32" t="s">
        <v>7450</v>
      </c>
      <c r="B686" s="74" t="s">
        <v>7451</v>
      </c>
      <c r="C686" s="50"/>
      <c r="D686" s="139">
        <f t="shared" si="10"/>
        <v>0</v>
      </c>
      <c r="E686" s="140">
        <v>1446.97</v>
      </c>
      <c r="F686" s="140">
        <v>1186.04</v>
      </c>
      <c r="G686" s="34" t="s">
        <v>100</v>
      </c>
      <c r="H686" s="34" t="s">
        <v>39</v>
      </c>
      <c r="I686" s="35">
        <v>1</v>
      </c>
      <c r="J686" s="35">
        <v>1</v>
      </c>
      <c r="K686" s="35">
        <v>60</v>
      </c>
      <c r="L686" s="60" t="str">
        <f>HYPERLINK("https://www.sds-group.ru/product/multimetr-universalnyy-uni-t-ut133b-13-0063/", "Инфо")</f>
        <v>Инфо</v>
      </c>
      <c r="M686" s="37">
        <v>0.39600000000000002</v>
      </c>
      <c r="N686" s="38">
        <v>1.243E-3</v>
      </c>
      <c r="O686" s="141">
        <v>4601004289932</v>
      </c>
    </row>
    <row r="687" spans="1:15" s="1" customFormat="1" ht="11.45" customHeight="1" outlineLevel="3" x14ac:dyDescent="0.2">
      <c r="A687" s="32" t="s">
        <v>7454</v>
      </c>
      <c r="B687" s="74" t="s">
        <v>7455</v>
      </c>
      <c r="C687" s="50"/>
      <c r="D687" s="139">
        <f t="shared" si="10"/>
        <v>0</v>
      </c>
      <c r="E687" s="140">
        <v>748.29</v>
      </c>
      <c r="F687" s="140">
        <v>613.35</v>
      </c>
      <c r="G687" s="34" t="s">
        <v>100</v>
      </c>
      <c r="H687" s="34" t="s">
        <v>39</v>
      </c>
      <c r="I687" s="35">
        <v>1</v>
      </c>
      <c r="J687" s="35">
        <v>1</v>
      </c>
      <c r="K687" s="35">
        <v>40</v>
      </c>
      <c r="L687" s="60" t="str">
        <f>HYPERLINK("https://www.sds-group.ru/product/portativnyy-multimetr-m300-mastech-13-2006/", "Инфо")</f>
        <v>Инфо</v>
      </c>
      <c r="M687" s="37">
        <v>0.16500000000000001</v>
      </c>
      <c r="N687" s="38">
        <v>6.8099999999999996E-4</v>
      </c>
      <c r="O687" s="141">
        <v>4601004008441</v>
      </c>
    </row>
    <row r="688" spans="1:15" s="1" customFormat="1" ht="11.45" customHeight="1" outlineLevel="3" x14ac:dyDescent="0.2">
      <c r="A688" s="32" t="s">
        <v>7456</v>
      </c>
      <c r="B688" s="74" t="s">
        <v>7457</v>
      </c>
      <c r="C688" s="50"/>
      <c r="D688" s="139">
        <f t="shared" si="10"/>
        <v>0</v>
      </c>
      <c r="E688" s="140">
        <v>975.68</v>
      </c>
      <c r="F688" s="140">
        <v>799.74</v>
      </c>
      <c r="G688" s="34" t="s">
        <v>100</v>
      </c>
      <c r="H688" s="34" t="s">
        <v>39</v>
      </c>
      <c r="I688" s="35">
        <v>1</v>
      </c>
      <c r="J688" s="35">
        <v>1</v>
      </c>
      <c r="K688" s="35">
        <v>40</v>
      </c>
      <c r="L688" s="60" t="str">
        <f>HYPERLINK("https://www.sds-group.ru/product/portativnyy-multimetr-m320-mastech-13-2009/", "Инфо")</f>
        <v>Инфо</v>
      </c>
      <c r="M688" s="37">
        <v>0.14399999999999999</v>
      </c>
      <c r="N688" s="38">
        <v>4.66E-4</v>
      </c>
      <c r="O688" s="141">
        <v>4601004018242</v>
      </c>
    </row>
    <row r="689" spans="1:15" s="1" customFormat="1" ht="11.45" customHeight="1" outlineLevel="3" x14ac:dyDescent="0.2">
      <c r="A689" s="32" t="s">
        <v>7460</v>
      </c>
      <c r="B689" s="74" t="s">
        <v>7461</v>
      </c>
      <c r="C689" s="50"/>
      <c r="D689" s="139">
        <f t="shared" si="10"/>
        <v>0</v>
      </c>
      <c r="E689" s="140">
        <v>649.38</v>
      </c>
      <c r="F689" s="140">
        <v>532.28</v>
      </c>
      <c r="G689" s="34" t="s">
        <v>100</v>
      </c>
      <c r="H689" s="34" t="s">
        <v>39</v>
      </c>
      <c r="I689" s="35">
        <v>1</v>
      </c>
      <c r="J689" s="35">
        <v>1</v>
      </c>
      <c r="K689" s="35">
        <v>20</v>
      </c>
      <c r="L689" s="60" t="str">
        <f>HYPERLINK("https://www.sds-group.ru/product/portativnyy-multimetr-m830b-mastech-13-2001/", "Инфо")</f>
        <v>Инфо</v>
      </c>
      <c r="M689" s="37">
        <v>0.28599999999999998</v>
      </c>
      <c r="N689" s="38">
        <v>2.0140000000000002E-3</v>
      </c>
      <c r="O689" s="141">
        <v>4601004008410</v>
      </c>
    </row>
    <row r="690" spans="1:15" s="1" customFormat="1" ht="11.45" customHeight="1" outlineLevel="3" x14ac:dyDescent="0.2">
      <c r="A690" s="32" t="s">
        <v>7462</v>
      </c>
      <c r="B690" s="74" t="s">
        <v>7463</v>
      </c>
      <c r="C690" s="50"/>
      <c r="D690" s="139">
        <f t="shared" si="10"/>
        <v>0</v>
      </c>
      <c r="E690" s="140">
        <v>760.54</v>
      </c>
      <c r="F690" s="140">
        <v>623.39</v>
      </c>
      <c r="G690" s="34" t="s">
        <v>100</v>
      </c>
      <c r="H690" s="34" t="s">
        <v>39</v>
      </c>
      <c r="I690" s="35">
        <v>1</v>
      </c>
      <c r="J690" s="35">
        <v>1</v>
      </c>
      <c r="K690" s="35">
        <v>20</v>
      </c>
      <c r="L690" s="60" t="str">
        <f>HYPERLINK("https://www.sds-group.ru/product/portativnyy-multimetr-m830bz-mastech-13-2002/", "Инфо")</f>
        <v>Инфо</v>
      </c>
      <c r="M690" s="37">
        <v>0.28899999999999998</v>
      </c>
      <c r="N690" s="38">
        <v>2.055E-3</v>
      </c>
      <c r="O690" s="141">
        <v>4601004008366</v>
      </c>
    </row>
    <row r="691" spans="1:15" s="1" customFormat="1" ht="11.45" customHeight="1" outlineLevel="3" x14ac:dyDescent="0.2">
      <c r="A691" s="32" t="s">
        <v>7466</v>
      </c>
      <c r="B691" s="74" t="s">
        <v>7467</v>
      </c>
      <c r="C691" s="50"/>
      <c r="D691" s="139">
        <f t="shared" si="10"/>
        <v>0</v>
      </c>
      <c r="E691" s="140">
        <v>855.78</v>
      </c>
      <c r="F691" s="140">
        <v>701.46</v>
      </c>
      <c r="G691" s="34" t="s">
        <v>100</v>
      </c>
      <c r="H691" s="34" t="s">
        <v>39</v>
      </c>
      <c r="I691" s="35">
        <v>1</v>
      </c>
      <c r="J691" s="35">
        <v>1</v>
      </c>
      <c r="K691" s="35">
        <v>20</v>
      </c>
      <c r="L691" s="60" t="str">
        <f>HYPERLINK("https://www.sds-group.ru/product/portativnyy-multimetr-m832-mastech-13-2003/", "Инфо")</f>
        <v>Инфо</v>
      </c>
      <c r="M691" s="37">
        <v>0.28999999999999998</v>
      </c>
      <c r="N691" s="38">
        <v>2.0209999999999998E-3</v>
      </c>
      <c r="O691" s="141">
        <v>4601004008427</v>
      </c>
    </row>
    <row r="692" spans="1:15" s="1" customFormat="1" ht="11.45" customHeight="1" outlineLevel="3" x14ac:dyDescent="0.2">
      <c r="A692" s="32" t="s">
        <v>7470</v>
      </c>
      <c r="B692" s="74" t="s">
        <v>7471</v>
      </c>
      <c r="C692" s="50"/>
      <c r="D692" s="139">
        <f t="shared" si="10"/>
        <v>0</v>
      </c>
      <c r="E692" s="140">
        <v>694.54</v>
      </c>
      <c r="F692" s="140">
        <v>569.29999999999995</v>
      </c>
      <c r="G692" s="34" t="s">
        <v>100</v>
      </c>
      <c r="H692" s="34" t="s">
        <v>39</v>
      </c>
      <c r="I692" s="35">
        <v>1</v>
      </c>
      <c r="J692" s="35">
        <v>1</v>
      </c>
      <c r="K692" s="35">
        <v>20</v>
      </c>
      <c r="L692" s="60" t="str">
        <f>HYPERLINK("https://www.sds-group.ru/product/portativnyy-multimetr-m838-mastech-13-2004/", "Инфо")</f>
        <v>Инфо</v>
      </c>
      <c r="M692" s="37">
        <v>0.30499999999999999</v>
      </c>
      <c r="N692" s="38">
        <v>2.0460000000000001E-3</v>
      </c>
      <c r="O692" s="141">
        <v>4601004008434</v>
      </c>
    </row>
    <row r="693" spans="1:15" s="1" customFormat="1" ht="11.45" customHeight="1" outlineLevel="3" x14ac:dyDescent="0.2">
      <c r="A693" s="32" t="s">
        <v>7472</v>
      </c>
      <c r="B693" s="74" t="s">
        <v>7473</v>
      </c>
      <c r="C693" s="50"/>
      <c r="D693" s="139">
        <f t="shared" si="10"/>
        <v>0</v>
      </c>
      <c r="E693" s="140">
        <v>909.53</v>
      </c>
      <c r="F693" s="140">
        <v>745.52</v>
      </c>
      <c r="G693" s="34" t="s">
        <v>100</v>
      </c>
      <c r="H693" s="34" t="s">
        <v>39</v>
      </c>
      <c r="I693" s="35">
        <v>1</v>
      </c>
      <c r="J693" s="35">
        <v>1</v>
      </c>
      <c r="K693" s="35">
        <v>20</v>
      </c>
      <c r="L693" s="60" t="str">
        <f>HYPERLINK("https://www.sds-group.ru/product/portativnyy-multimetr-mas830-mastech-13-2011/", "Инфо")</f>
        <v>Инфо</v>
      </c>
      <c r="M693" s="37">
        <v>0.40600000000000003</v>
      </c>
      <c r="N693" s="38">
        <v>2.0179999999999998E-3</v>
      </c>
      <c r="O693" s="141">
        <v>4601004008250</v>
      </c>
    </row>
    <row r="694" spans="1:15" s="1" customFormat="1" ht="11.45" customHeight="1" outlineLevel="3" x14ac:dyDescent="0.2">
      <c r="A694" s="32" t="s">
        <v>7474</v>
      </c>
      <c r="B694" s="74" t="s">
        <v>7475</v>
      </c>
      <c r="C694" s="50"/>
      <c r="D694" s="139">
        <f t="shared" si="10"/>
        <v>0</v>
      </c>
      <c r="E694" s="140">
        <v>892.99</v>
      </c>
      <c r="F694" s="140">
        <v>731.96</v>
      </c>
      <c r="G694" s="34" t="s">
        <v>100</v>
      </c>
      <c r="H694" s="34" t="s">
        <v>39</v>
      </c>
      <c r="I694" s="35">
        <v>1</v>
      </c>
      <c r="J694" s="35">
        <v>1</v>
      </c>
      <c r="K694" s="35">
        <v>20</v>
      </c>
      <c r="L694" s="60" t="str">
        <f>HYPERLINK("https://www.sds-group.ru/product/portativnyy-multimetr-mas830b-mastech-13-2010/", "Инфо")</f>
        <v>Инфо</v>
      </c>
      <c r="M694" s="37">
        <v>0.40300000000000002</v>
      </c>
      <c r="N694" s="38">
        <v>1.9970000000000001E-3</v>
      </c>
      <c r="O694" s="141">
        <v>4601004008199</v>
      </c>
    </row>
    <row r="695" spans="1:15" s="1" customFormat="1" ht="11.45" customHeight="1" outlineLevel="3" x14ac:dyDescent="0.2">
      <c r="A695" s="32" t="s">
        <v>7478</v>
      </c>
      <c r="B695" s="74" t="s">
        <v>7479</v>
      </c>
      <c r="C695" s="50"/>
      <c r="D695" s="139">
        <f t="shared" si="10"/>
        <v>0</v>
      </c>
      <c r="E695" s="140">
        <v>909.53</v>
      </c>
      <c r="F695" s="140">
        <v>745.52</v>
      </c>
      <c r="G695" s="34" t="s">
        <v>100</v>
      </c>
      <c r="H695" s="34" t="s">
        <v>39</v>
      </c>
      <c r="I695" s="35">
        <v>1</v>
      </c>
      <c r="J695" s="35">
        <v>1</v>
      </c>
      <c r="K695" s="35">
        <v>20</v>
      </c>
      <c r="L695" s="60" t="str">
        <f>HYPERLINK("https://www.sds-group.ru/product/portativnyy-multimetr-mas830l-mastech-13-2007/", "Инфо")</f>
        <v>Инфо</v>
      </c>
      <c r="M695" s="37">
        <v>0.40300000000000002</v>
      </c>
      <c r="N695" s="38">
        <v>1.9989999999999999E-3</v>
      </c>
      <c r="O695" s="141">
        <v>4601004008298</v>
      </c>
    </row>
    <row r="696" spans="1:15" s="1" customFormat="1" ht="11.45" customHeight="1" outlineLevel="3" x14ac:dyDescent="0.2">
      <c r="A696" s="32" t="s">
        <v>7480</v>
      </c>
      <c r="B696" s="74" t="s">
        <v>7481</v>
      </c>
      <c r="C696" s="50"/>
      <c r="D696" s="139">
        <f t="shared" si="10"/>
        <v>0</v>
      </c>
      <c r="E696" s="140">
        <v>930.2</v>
      </c>
      <c r="F696" s="140">
        <v>762.46</v>
      </c>
      <c r="G696" s="34" t="s">
        <v>100</v>
      </c>
      <c r="H696" s="34" t="s">
        <v>39</v>
      </c>
      <c r="I696" s="35">
        <v>1</v>
      </c>
      <c r="J696" s="35">
        <v>1</v>
      </c>
      <c r="K696" s="35">
        <v>20</v>
      </c>
      <c r="L696" s="60" t="str">
        <f>HYPERLINK("https://www.sds-group.ru/product/portativnyy-multimetr-mas838-v-kozhuhe-s-prozvonkoy-i-izmereniem-temperatury-mastech-13-2008/", "Инфо")</f>
        <v>Инфо</v>
      </c>
      <c r="M696" s="37">
        <v>0.41499999999999998</v>
      </c>
      <c r="N696" s="38">
        <v>1.9620000000000002E-3</v>
      </c>
      <c r="O696" s="141">
        <v>4601004008403</v>
      </c>
    </row>
    <row r="697" spans="1:15" s="1" customFormat="1" ht="11.45" customHeight="1" outlineLevel="3" x14ac:dyDescent="0.2">
      <c r="A697" s="32" t="s">
        <v>7484</v>
      </c>
      <c r="B697" s="74" t="s">
        <v>7485</v>
      </c>
      <c r="C697" s="50"/>
      <c r="D697" s="139">
        <f t="shared" si="10"/>
        <v>0</v>
      </c>
      <c r="E697" s="140">
        <v>1116.23</v>
      </c>
      <c r="F697" s="140">
        <v>914.94</v>
      </c>
      <c r="G697" s="34" t="s">
        <v>100</v>
      </c>
      <c r="H697" s="34" t="s">
        <v>39</v>
      </c>
      <c r="I697" s="35">
        <v>1</v>
      </c>
      <c r="J697" s="35">
        <v>1</v>
      </c>
      <c r="K697" s="35">
        <v>20</v>
      </c>
      <c r="L697" s="60" t="str">
        <f>HYPERLINK("https://www.sds-group.ru/product/portativnyy-multimetr-ms8238-mastech-13-2026/", "Инфо")</f>
        <v>Инфо</v>
      </c>
      <c r="M697" s="37">
        <v>0.375</v>
      </c>
      <c r="N697" s="38">
        <v>2.0140000000000002E-3</v>
      </c>
      <c r="O697" s="141">
        <v>4601004018204</v>
      </c>
    </row>
    <row r="698" spans="1:15" s="1" customFormat="1" ht="11.45" customHeight="1" outlineLevel="3" x14ac:dyDescent="0.2">
      <c r="A698" s="32" t="s">
        <v>7486</v>
      </c>
      <c r="B698" s="74" t="s">
        <v>7487</v>
      </c>
      <c r="C698" s="50"/>
      <c r="D698" s="139">
        <f t="shared" si="10"/>
        <v>0</v>
      </c>
      <c r="E698" s="140">
        <v>1715.69</v>
      </c>
      <c r="F698" s="140">
        <v>1406.3</v>
      </c>
      <c r="G698" s="34" t="s">
        <v>100</v>
      </c>
      <c r="H698" s="34" t="s">
        <v>39</v>
      </c>
      <c r="I698" s="35">
        <v>1</v>
      </c>
      <c r="J698" s="35">
        <v>1</v>
      </c>
      <c r="K698" s="35">
        <v>100</v>
      </c>
      <c r="L698" s="60" t="str">
        <f>HYPERLINK("https://www.sds-group.ru/product/portativnyy-multimetr-uni-t-ut120c-13-0019/", "Инфо")</f>
        <v>Инфо</v>
      </c>
      <c r="M698" s="37">
        <v>0.13200000000000001</v>
      </c>
      <c r="N698" s="38">
        <v>8.6200000000000003E-4</v>
      </c>
      <c r="O698" s="141">
        <v>4601004070134</v>
      </c>
    </row>
    <row r="699" spans="1:15" s="1" customFormat="1" ht="11.45" customHeight="1" outlineLevel="3" x14ac:dyDescent="0.2">
      <c r="A699" s="32" t="s">
        <v>7488</v>
      </c>
      <c r="B699" s="74" t="s">
        <v>7489</v>
      </c>
      <c r="C699" s="50"/>
      <c r="D699" s="139">
        <f t="shared" si="10"/>
        <v>0</v>
      </c>
      <c r="E699" s="140">
        <v>1058.3599999999999</v>
      </c>
      <c r="F699" s="140">
        <v>867.51</v>
      </c>
      <c r="G699" s="34" t="s">
        <v>100</v>
      </c>
      <c r="H699" s="34" t="s">
        <v>39</v>
      </c>
      <c r="I699" s="35">
        <v>1</v>
      </c>
      <c r="J699" s="35">
        <v>1</v>
      </c>
      <c r="K699" s="35">
        <v>60</v>
      </c>
      <c r="L699" s="60" t="str">
        <f>HYPERLINK("https://www.sds-group.ru/product/portativnyy-multimetr-uni-t-ut33a-13-0055/", "Инфо")</f>
        <v>Инфо</v>
      </c>
      <c r="M699" s="37">
        <v>0.33</v>
      </c>
      <c r="N699" s="38">
        <v>1.1379999999999999E-3</v>
      </c>
      <c r="O699" s="141">
        <v>4601004146952</v>
      </c>
    </row>
    <row r="700" spans="1:15" s="1" customFormat="1" ht="11.45" customHeight="1" outlineLevel="3" x14ac:dyDescent="0.2">
      <c r="A700" s="32" t="s">
        <v>7490</v>
      </c>
      <c r="B700" s="74" t="s">
        <v>7491</v>
      </c>
      <c r="C700" s="50"/>
      <c r="D700" s="139">
        <f t="shared" si="10"/>
        <v>0</v>
      </c>
      <c r="E700" s="140">
        <v>806.17</v>
      </c>
      <c r="F700" s="140">
        <v>660.8</v>
      </c>
      <c r="G700" s="34" t="s">
        <v>100</v>
      </c>
      <c r="H700" s="34" t="s">
        <v>39</v>
      </c>
      <c r="I700" s="35">
        <v>1</v>
      </c>
      <c r="J700" s="35">
        <v>1</v>
      </c>
      <c r="K700" s="35">
        <v>60</v>
      </c>
      <c r="L700" s="60" t="str">
        <f>HYPERLINK("https://www.sds-group.ru/product/portativnyy-multimetr-uni-t-ut33b-13-0056/", "Инфо")</f>
        <v>Инфо</v>
      </c>
      <c r="M700" s="37">
        <v>0.33100000000000002</v>
      </c>
      <c r="N700" s="38">
        <v>1.1540000000000001E-3</v>
      </c>
      <c r="O700" s="141">
        <v>4601004146921</v>
      </c>
    </row>
    <row r="701" spans="1:15" s="1" customFormat="1" ht="11.45" customHeight="1" outlineLevel="3" x14ac:dyDescent="0.2">
      <c r="A701" s="32" t="s">
        <v>7492</v>
      </c>
      <c r="B701" s="74" t="s">
        <v>7493</v>
      </c>
      <c r="C701" s="50"/>
      <c r="D701" s="139">
        <f t="shared" si="10"/>
        <v>0</v>
      </c>
      <c r="E701" s="140">
        <v>855.78</v>
      </c>
      <c r="F701" s="140">
        <v>701.46</v>
      </c>
      <c r="G701" s="34" t="s">
        <v>100</v>
      </c>
      <c r="H701" s="34" t="s">
        <v>39</v>
      </c>
      <c r="I701" s="35">
        <v>1</v>
      </c>
      <c r="J701" s="35">
        <v>1</v>
      </c>
      <c r="K701" s="35">
        <v>60</v>
      </c>
      <c r="L701" s="60" t="str">
        <f>HYPERLINK("https://www.sds-group.ru/product/portativnyy-multimetr-uni-t-ut33c-13-0057/", "Инфо")</f>
        <v>Инфо</v>
      </c>
      <c r="M701" s="37">
        <v>0.34200000000000003</v>
      </c>
      <c r="N701" s="38">
        <v>1.196E-3</v>
      </c>
      <c r="O701" s="141">
        <v>4601004146938</v>
      </c>
    </row>
    <row r="702" spans="1:15" s="1" customFormat="1" ht="11.45" customHeight="1" outlineLevel="3" x14ac:dyDescent="0.2">
      <c r="A702" s="32" t="s">
        <v>7494</v>
      </c>
      <c r="B702" s="74" t="s">
        <v>7495</v>
      </c>
      <c r="C702" s="50"/>
      <c r="D702" s="139">
        <f t="shared" si="10"/>
        <v>0</v>
      </c>
      <c r="E702" s="140">
        <v>818.57</v>
      </c>
      <c r="F702" s="140">
        <v>670.96</v>
      </c>
      <c r="G702" s="34" t="s">
        <v>100</v>
      </c>
      <c r="H702" s="34" t="s">
        <v>39</v>
      </c>
      <c r="I702" s="35">
        <v>1</v>
      </c>
      <c r="J702" s="35">
        <v>1</v>
      </c>
      <c r="K702" s="35">
        <v>60</v>
      </c>
      <c r="L702" s="60" t="str">
        <f>HYPERLINK("https://www.sds-group.ru/product/portativnyy-multimetr-uni-t-ut33d-13-0058/", "Инфо")</f>
        <v>Инфо</v>
      </c>
      <c r="M702" s="37">
        <v>0.33</v>
      </c>
      <c r="N702" s="38">
        <v>1.1670000000000001E-3</v>
      </c>
      <c r="O702" s="141">
        <v>4601004146945</v>
      </c>
    </row>
    <row r="703" spans="1:15" s="1" customFormat="1" ht="11.45" customHeight="1" outlineLevel="3" x14ac:dyDescent="0.2">
      <c r="A703" s="32" t="s">
        <v>7498</v>
      </c>
      <c r="B703" s="74" t="s">
        <v>7499</v>
      </c>
      <c r="C703" s="50"/>
      <c r="D703" s="139">
        <f t="shared" si="10"/>
        <v>0</v>
      </c>
      <c r="E703" s="140">
        <v>1744.63</v>
      </c>
      <c r="F703" s="140">
        <v>1430.02</v>
      </c>
      <c r="G703" s="34" t="s">
        <v>100</v>
      </c>
      <c r="H703" s="34" t="s">
        <v>39</v>
      </c>
      <c r="I703" s="35">
        <v>1</v>
      </c>
      <c r="J703" s="35">
        <v>1</v>
      </c>
      <c r="K703" s="35">
        <v>40</v>
      </c>
      <c r="L703" s="60" t="str">
        <f>HYPERLINK("https://www.sds-group.ru/product/tsifrovoy-multimetr-probnik-ms8211-mastech-13-2044/", "Инфо")</f>
        <v>Инфо</v>
      </c>
      <c r="M703" s="37">
        <v>0.28499999999999998</v>
      </c>
      <c r="N703" s="38">
        <v>1.145E-3</v>
      </c>
      <c r="O703" s="141">
        <v>4601004060197</v>
      </c>
    </row>
    <row r="704" spans="1:15" s="1" customFormat="1" ht="11.45" customHeight="1" outlineLevel="3" x14ac:dyDescent="0.2">
      <c r="A704" s="32" t="s">
        <v>7500</v>
      </c>
      <c r="B704" s="74" t="s">
        <v>7501</v>
      </c>
      <c r="C704" s="50"/>
      <c r="D704" s="139">
        <f t="shared" si="10"/>
        <v>0</v>
      </c>
      <c r="E704" s="140">
        <v>1785.98</v>
      </c>
      <c r="F704" s="140">
        <v>1463.92</v>
      </c>
      <c r="G704" s="34" t="s">
        <v>100</v>
      </c>
      <c r="H704" s="34" t="s">
        <v>39</v>
      </c>
      <c r="I704" s="35">
        <v>1</v>
      </c>
      <c r="J704" s="35">
        <v>1</v>
      </c>
      <c r="K704" s="35">
        <v>40</v>
      </c>
      <c r="L704" s="60" t="str">
        <f>HYPERLINK("https://www.sds-group.ru/product/tsifrovoy-multimetr-probnik-ms8211d-mastech-13-2045/", "Инфо")</f>
        <v>Инфо</v>
      </c>
      <c r="M704" s="37">
        <v>0.28299999999999997</v>
      </c>
      <c r="N704" s="38">
        <v>1.2199999999999999E-3</v>
      </c>
      <c r="O704" s="141">
        <v>4601004052109</v>
      </c>
    </row>
    <row r="705" spans="1:15" s="1" customFormat="1" ht="11.45" customHeight="1" outlineLevel="3" x14ac:dyDescent="0.2">
      <c r="A705" s="32" t="s">
        <v>7502</v>
      </c>
      <c r="B705" s="74" t="s">
        <v>7503</v>
      </c>
      <c r="C705" s="50"/>
      <c r="D705" s="139">
        <f t="shared" si="10"/>
        <v>0</v>
      </c>
      <c r="E705" s="140">
        <v>1901.74</v>
      </c>
      <c r="F705" s="140">
        <v>1558.8</v>
      </c>
      <c r="G705" s="34" t="s">
        <v>100</v>
      </c>
      <c r="H705" s="34" t="s">
        <v>39</v>
      </c>
      <c r="I705" s="35">
        <v>1</v>
      </c>
      <c r="J705" s="35">
        <v>1</v>
      </c>
      <c r="K705" s="35">
        <v>40</v>
      </c>
      <c r="L705" s="60" t="str">
        <f>HYPERLINK("https://www.sds-group.ru/product/tsifrovoy-multimetr-probnik-ms8223a-mastech-13-2046/", "Инфо")</f>
        <v>Инфо</v>
      </c>
      <c r="M705" s="37">
        <v>0.29099999999999998</v>
      </c>
      <c r="N705" s="38">
        <v>1.307E-3</v>
      </c>
      <c r="O705" s="141">
        <v>4601004195714</v>
      </c>
    </row>
    <row r="706" spans="1:15" ht="11.45" customHeight="1" outlineLevel="2" x14ac:dyDescent="0.2">
      <c r="A706" s="76" t="s">
        <v>7504</v>
      </c>
      <c r="B706" s="136"/>
      <c r="C706" s="77"/>
      <c r="D706" s="137"/>
      <c r="E706" s="4"/>
      <c r="F706" s="4"/>
      <c r="G706" s="4"/>
      <c r="H706" s="4"/>
      <c r="I706" s="4"/>
      <c r="J706" s="4"/>
      <c r="K706" s="4"/>
      <c r="L706" s="138"/>
      <c r="M706" s="4"/>
      <c r="N706" s="4"/>
      <c r="O706" s="4"/>
    </row>
    <row r="707" spans="1:15" s="1" customFormat="1" ht="11.45" customHeight="1" outlineLevel="3" x14ac:dyDescent="0.2">
      <c r="A707" s="32" t="s">
        <v>7511</v>
      </c>
      <c r="B707" s="74" t="s">
        <v>7512</v>
      </c>
      <c r="C707" s="50"/>
      <c r="D707" s="139">
        <f t="shared" si="10"/>
        <v>0</v>
      </c>
      <c r="E707" s="140">
        <v>1860.39</v>
      </c>
      <c r="F707" s="140">
        <v>1524.91</v>
      </c>
      <c r="G707" s="34" t="s">
        <v>100</v>
      </c>
      <c r="H707" s="34" t="s">
        <v>39</v>
      </c>
      <c r="I707" s="35">
        <v>1</v>
      </c>
      <c r="J707" s="35">
        <v>1</v>
      </c>
      <c r="K707" s="35">
        <v>30</v>
      </c>
      <c r="L707" s="60" t="str">
        <f>HYPERLINK("https://www.sds-group.ru/product/multimetr-universalnyy-uni-t-ut136c-13-0069/", "Инфо")</f>
        <v>Инфо</v>
      </c>
      <c r="M707" s="37">
        <v>0.47499999999999998</v>
      </c>
      <c r="N707" s="38">
        <v>1.5679999999999999E-3</v>
      </c>
      <c r="O707" s="141">
        <v>4601004289949</v>
      </c>
    </row>
    <row r="708" spans="1:15" s="1" customFormat="1" ht="11.45" customHeight="1" outlineLevel="3" x14ac:dyDescent="0.2">
      <c r="A708" s="32" t="s">
        <v>7513</v>
      </c>
      <c r="B708" s="74" t="s">
        <v>7514</v>
      </c>
      <c r="C708" s="50"/>
      <c r="D708" s="139">
        <f t="shared" si="10"/>
        <v>0</v>
      </c>
      <c r="E708" s="140">
        <v>1322.95</v>
      </c>
      <c r="F708" s="140">
        <v>1084.3900000000001</v>
      </c>
      <c r="G708" s="34" t="s">
        <v>100</v>
      </c>
      <c r="H708" s="34" t="s">
        <v>39</v>
      </c>
      <c r="I708" s="35">
        <v>1</v>
      </c>
      <c r="J708" s="35">
        <v>1</v>
      </c>
      <c r="K708" s="35">
        <v>30</v>
      </c>
      <c r="L708" s="60" t="str">
        <f>HYPERLINK("https://www.sds-group.ru/product/multimetr-universalnyy-uni-t-ut39a-13-0066/", "Инфо")</f>
        <v>Инфо</v>
      </c>
      <c r="M708" s="37">
        <v>0.46500000000000002</v>
      </c>
      <c r="N708" s="38">
        <v>1.621E-3</v>
      </c>
      <c r="O708" s="141">
        <v>4601004289970</v>
      </c>
    </row>
    <row r="709" spans="1:15" s="1" customFormat="1" ht="11.45" customHeight="1" outlineLevel="3" x14ac:dyDescent="0.2">
      <c r="A709" s="32" t="s">
        <v>7515</v>
      </c>
      <c r="B709" s="74" t="s">
        <v>7516</v>
      </c>
      <c r="C709" s="50"/>
      <c r="D709" s="139">
        <f t="shared" si="10"/>
        <v>0</v>
      </c>
      <c r="E709" s="140">
        <v>2645.89</v>
      </c>
      <c r="F709" s="140">
        <v>2168.7600000000002</v>
      </c>
      <c r="G709" s="34" t="s">
        <v>100</v>
      </c>
      <c r="H709" s="34" t="s">
        <v>39</v>
      </c>
      <c r="I709" s="35">
        <v>1</v>
      </c>
      <c r="J709" s="35">
        <v>1</v>
      </c>
      <c r="K709" s="35">
        <v>1</v>
      </c>
      <c r="L709" s="60" t="str">
        <f>HYPERLINK("https://www.sds-group.ru/product/multimetr-universalnyy-uni-t-ut39e-13-0068/", "Инфо")</f>
        <v>Инфо</v>
      </c>
      <c r="M709" s="37">
        <v>0.50900000000000001</v>
      </c>
      <c r="N709" s="38">
        <v>1.668E-3</v>
      </c>
      <c r="O709" s="141">
        <v>4601004289802</v>
      </c>
    </row>
    <row r="710" spans="1:15" s="1" customFormat="1" ht="11.45" customHeight="1" outlineLevel="3" x14ac:dyDescent="0.2">
      <c r="A710" s="32" t="s">
        <v>7517</v>
      </c>
      <c r="B710" s="74" t="s">
        <v>7518</v>
      </c>
      <c r="C710" s="50"/>
      <c r="D710" s="139">
        <f t="shared" si="10"/>
        <v>0</v>
      </c>
      <c r="E710" s="140">
        <v>1405.63</v>
      </c>
      <c r="F710" s="140">
        <v>1152.1600000000001</v>
      </c>
      <c r="G710" s="34" t="s">
        <v>100</v>
      </c>
      <c r="H710" s="34" t="s">
        <v>39</v>
      </c>
      <c r="I710" s="35">
        <v>1</v>
      </c>
      <c r="J710" s="35">
        <v>1</v>
      </c>
      <c r="K710" s="35">
        <v>30</v>
      </c>
      <c r="L710" s="60" t="str">
        <f>HYPERLINK("https://www.sds-group.ru/product/multimetr-universalnyy-uni-t-ut39s-13-0067/", "Инфо")</f>
        <v>Инфо</v>
      </c>
      <c r="M710" s="37">
        <v>0.47499999999999998</v>
      </c>
      <c r="N710" s="38">
        <v>1.5640000000000001E-3</v>
      </c>
      <c r="O710" s="141">
        <v>4601004289772</v>
      </c>
    </row>
    <row r="711" spans="1:15" s="1" customFormat="1" ht="11.45" customHeight="1" outlineLevel="3" x14ac:dyDescent="0.2">
      <c r="A711" s="32" t="s">
        <v>7519</v>
      </c>
      <c r="B711" s="74" t="s">
        <v>7520</v>
      </c>
      <c r="C711" s="50"/>
      <c r="D711" s="139">
        <f t="shared" si="10"/>
        <v>0</v>
      </c>
      <c r="E711" s="140">
        <v>1653.68</v>
      </c>
      <c r="F711" s="140">
        <v>1355.48</v>
      </c>
      <c r="G711" s="34" t="s">
        <v>100</v>
      </c>
      <c r="H711" s="34" t="s">
        <v>39</v>
      </c>
      <c r="I711" s="35">
        <v>1</v>
      </c>
      <c r="J711" s="35">
        <v>1</v>
      </c>
      <c r="K711" s="35">
        <v>1</v>
      </c>
      <c r="L711" s="60" t="str">
        <f>HYPERLINK("https://www.sds-group.ru/product/multimetr-universalnyy-uni-t-ut890c-13-0070/", "Инфо")</f>
        <v>Инфо</v>
      </c>
      <c r="M711" s="37">
        <v>0.56799999999999995</v>
      </c>
      <c r="N711" s="38">
        <v>2.6700000000000001E-3</v>
      </c>
      <c r="O711" s="141">
        <v>4601004289833</v>
      </c>
    </row>
    <row r="712" spans="1:15" s="1" customFormat="1" ht="11.45" customHeight="1" outlineLevel="3" x14ac:dyDescent="0.2">
      <c r="A712" s="32" t="s">
        <v>7521</v>
      </c>
      <c r="B712" s="74" t="s">
        <v>7522</v>
      </c>
      <c r="C712" s="50"/>
      <c r="D712" s="139">
        <f t="shared" si="10"/>
        <v>0</v>
      </c>
      <c r="E712" s="140">
        <v>1488.31</v>
      </c>
      <c r="F712" s="140">
        <v>1219.93</v>
      </c>
      <c r="G712" s="34" t="s">
        <v>100</v>
      </c>
      <c r="H712" s="34" t="s">
        <v>39</v>
      </c>
      <c r="I712" s="35">
        <v>1</v>
      </c>
      <c r="J712" s="35">
        <v>1</v>
      </c>
      <c r="K712" s="35">
        <v>40</v>
      </c>
      <c r="L712" s="60" t="str">
        <f>HYPERLINK("https://www.sds-group.ru/product/multimetr-universalnyy-uni-t-ut890d-13-0071/", "Инфо")</f>
        <v>Инфо</v>
      </c>
      <c r="M712" s="37">
        <v>0.55700000000000005</v>
      </c>
      <c r="N712" s="38">
        <v>2.6340000000000001E-3</v>
      </c>
      <c r="O712" s="141">
        <v>4601004289789</v>
      </c>
    </row>
    <row r="713" spans="1:15" s="1" customFormat="1" ht="11.45" customHeight="1" outlineLevel="3" x14ac:dyDescent="0.2">
      <c r="A713" s="32" t="s">
        <v>7523</v>
      </c>
      <c r="B713" s="74" t="s">
        <v>7524</v>
      </c>
      <c r="C713" s="50"/>
      <c r="D713" s="139">
        <f t="shared" si="10"/>
        <v>0</v>
      </c>
      <c r="E713" s="140">
        <v>1984.42</v>
      </c>
      <c r="F713" s="140">
        <v>1626.57</v>
      </c>
      <c r="G713" s="34" t="s">
        <v>100</v>
      </c>
      <c r="H713" s="34" t="s">
        <v>39</v>
      </c>
      <c r="I713" s="35">
        <v>1</v>
      </c>
      <c r="J713" s="35">
        <v>1</v>
      </c>
      <c r="K713" s="35">
        <v>20</v>
      </c>
      <c r="L713" s="60" t="str">
        <f>HYPERLINK("https://www.sds-group.ru/product/multimetr-universalnyy-uni-t-ut89x-13-0075/", "Инфо")</f>
        <v>Инфо</v>
      </c>
      <c r="M713" s="37">
        <v>0.58399999999999996</v>
      </c>
      <c r="N713" s="38">
        <v>2.5509999999999999E-3</v>
      </c>
      <c r="O713" s="141">
        <v>4601004289826</v>
      </c>
    </row>
    <row r="714" spans="1:15" s="1" customFormat="1" ht="11.45" customHeight="1" outlineLevel="3" x14ac:dyDescent="0.2">
      <c r="A714" s="32" t="s">
        <v>7525</v>
      </c>
      <c r="B714" s="74" t="s">
        <v>7526</v>
      </c>
      <c r="C714" s="50"/>
      <c r="D714" s="139">
        <f t="shared" si="10"/>
        <v>0</v>
      </c>
      <c r="E714" s="140">
        <v>2108.44</v>
      </c>
      <c r="F714" s="140">
        <v>1728.23</v>
      </c>
      <c r="G714" s="34" t="s">
        <v>100</v>
      </c>
      <c r="H714" s="34" t="s">
        <v>39</v>
      </c>
      <c r="I714" s="35">
        <v>1</v>
      </c>
      <c r="J714" s="35">
        <v>1</v>
      </c>
      <c r="K714" s="35">
        <v>20</v>
      </c>
      <c r="L714" s="60" t="str">
        <f>HYPERLINK("https://www.sds-group.ru/product/multimetr-universalnyy-uni-t-ut89xd-13-0076/", "Инфо")</f>
        <v>Инфо</v>
      </c>
      <c r="M714" s="37">
        <v>0.57599999999999996</v>
      </c>
      <c r="N714" s="38">
        <v>2.6940000000000002E-3</v>
      </c>
      <c r="O714" s="141">
        <v>4601004289819</v>
      </c>
    </row>
    <row r="715" spans="1:15" s="1" customFormat="1" ht="11.45" customHeight="1" outlineLevel="3" x14ac:dyDescent="0.2">
      <c r="A715" s="32" t="s">
        <v>7527</v>
      </c>
      <c r="B715" s="74" t="s">
        <v>7528</v>
      </c>
      <c r="C715" s="50"/>
      <c r="D715" s="139">
        <f t="shared" ref="D715:D778" si="11">C715*E715</f>
        <v>0</v>
      </c>
      <c r="E715" s="140">
        <v>4382.26</v>
      </c>
      <c r="F715" s="140">
        <v>3592.02</v>
      </c>
      <c r="G715" s="34" t="s">
        <v>100</v>
      </c>
      <c r="H715" s="34" t="s">
        <v>39</v>
      </c>
      <c r="I715" s="35">
        <v>1</v>
      </c>
      <c r="J715" s="35">
        <v>1</v>
      </c>
      <c r="K715" s="35">
        <v>20</v>
      </c>
      <c r="L715" s="60" t="str">
        <f>HYPERLINK("https://www.sds-group.ru/product/multimetr-universalnyy-uni-t-ut89xe-13-0077/", "Инфо")</f>
        <v>Инфо</v>
      </c>
      <c r="M715" s="37">
        <v>0.58699999999999997</v>
      </c>
      <c r="N715" s="38">
        <v>2.5869999999999999E-3</v>
      </c>
      <c r="O715" s="141">
        <v>4601004289796</v>
      </c>
    </row>
    <row r="716" spans="1:15" s="1" customFormat="1" ht="11.45" customHeight="1" outlineLevel="3" x14ac:dyDescent="0.2">
      <c r="A716" s="32" t="s">
        <v>7529</v>
      </c>
      <c r="B716" s="74" t="s">
        <v>7530</v>
      </c>
      <c r="C716" s="50"/>
      <c r="D716" s="139">
        <f t="shared" si="11"/>
        <v>0</v>
      </c>
      <c r="E716" s="140">
        <v>1736.36</v>
      </c>
      <c r="F716" s="140">
        <v>1423.25</v>
      </c>
      <c r="G716" s="34" t="s">
        <v>100</v>
      </c>
      <c r="H716" s="34" t="s">
        <v>39</v>
      </c>
      <c r="I716" s="35">
        <v>1</v>
      </c>
      <c r="J716" s="35">
        <v>1</v>
      </c>
      <c r="K716" s="35">
        <v>20</v>
      </c>
      <c r="L716" s="60" t="str">
        <f>HYPERLINK("https://www.sds-group.ru/product/universalnyy-multimetr-ms8221s-mastech-13-2056/", "Инфо")</f>
        <v>Инфо</v>
      </c>
      <c r="M716" s="37">
        <v>0.44700000000000001</v>
      </c>
      <c r="N716" s="38">
        <v>2.1199999999999999E-3</v>
      </c>
      <c r="O716" s="141">
        <v>4601004093355</v>
      </c>
    </row>
    <row r="717" spans="1:15" s="1" customFormat="1" ht="11.45" customHeight="1" outlineLevel="3" x14ac:dyDescent="0.2">
      <c r="A717" s="32" t="s">
        <v>7531</v>
      </c>
      <c r="B717" s="74" t="s">
        <v>7532</v>
      </c>
      <c r="C717" s="50"/>
      <c r="D717" s="139">
        <f t="shared" si="11"/>
        <v>0</v>
      </c>
      <c r="E717" s="140">
        <v>1157.58</v>
      </c>
      <c r="F717" s="140">
        <v>948.84</v>
      </c>
      <c r="G717" s="34" t="s">
        <v>100</v>
      </c>
      <c r="H717" s="34" t="s">
        <v>39</v>
      </c>
      <c r="I717" s="35">
        <v>1</v>
      </c>
      <c r="J717" s="35">
        <v>1</v>
      </c>
      <c r="K717" s="35">
        <v>20</v>
      </c>
      <c r="L717" s="60" t="str">
        <f>HYPERLINK("https://www.sds-group.ru/product/universalnyy-multimetr-ms8233a-mastech-13-2014/", "Инфо")</f>
        <v>Инфо</v>
      </c>
      <c r="M717" s="37">
        <v>0.38700000000000001</v>
      </c>
      <c r="N717" s="38">
        <v>2.1199999999999999E-3</v>
      </c>
      <c r="O717" s="141">
        <v>4601004008342</v>
      </c>
    </row>
    <row r="718" spans="1:15" s="1" customFormat="1" ht="11.45" customHeight="1" outlineLevel="3" x14ac:dyDescent="0.2">
      <c r="A718" s="32" t="s">
        <v>7533</v>
      </c>
      <c r="B718" s="74" t="s">
        <v>7534</v>
      </c>
      <c r="C718" s="50"/>
      <c r="D718" s="139">
        <f t="shared" si="11"/>
        <v>0</v>
      </c>
      <c r="E718" s="140">
        <v>1322.95</v>
      </c>
      <c r="F718" s="140">
        <v>1084.3900000000001</v>
      </c>
      <c r="G718" s="34" t="s">
        <v>100</v>
      </c>
      <c r="H718" s="34" t="s">
        <v>39</v>
      </c>
      <c r="I718" s="35">
        <v>1</v>
      </c>
      <c r="J718" s="35">
        <v>1</v>
      </c>
      <c r="K718" s="35">
        <v>20</v>
      </c>
      <c r="L718" s="60" t="str">
        <f>HYPERLINK("https://www.sds-group.ru/product/universalnyy-multimetr-ms8233b-mastech-13-2016/", "Инфо")</f>
        <v>Инфо</v>
      </c>
      <c r="M718" s="37">
        <v>0.35799999999999998</v>
      </c>
      <c r="N718" s="38">
        <v>1.624E-3</v>
      </c>
      <c r="O718" s="141">
        <v>4601004008328</v>
      </c>
    </row>
    <row r="719" spans="1:15" s="1" customFormat="1" ht="11.45" customHeight="1" outlineLevel="3" x14ac:dyDescent="0.2">
      <c r="A719" s="32" t="s">
        <v>7535</v>
      </c>
      <c r="B719" s="74" t="s">
        <v>7536</v>
      </c>
      <c r="C719" s="50"/>
      <c r="D719" s="139">
        <f t="shared" si="11"/>
        <v>0</v>
      </c>
      <c r="E719" s="140">
        <v>1450.87</v>
      </c>
      <c r="F719" s="140">
        <v>1189.24</v>
      </c>
      <c r="G719" s="34" t="s">
        <v>100</v>
      </c>
      <c r="H719" s="34" t="s">
        <v>39</v>
      </c>
      <c r="I719" s="35">
        <v>1</v>
      </c>
      <c r="J719" s="35">
        <v>1</v>
      </c>
      <c r="K719" s="35">
        <v>20</v>
      </c>
      <c r="L719" s="60" t="str">
        <f>HYPERLINK("https://www.sds-group.ru/product/universalnyy-multimetr-ms8233c-mastech-13-2015/", "Инфо")</f>
        <v>Инфо</v>
      </c>
      <c r="M719" s="37">
        <v>0.4</v>
      </c>
      <c r="N719" s="38">
        <v>2.042E-3</v>
      </c>
      <c r="O719" s="141">
        <v>4601004008267</v>
      </c>
    </row>
    <row r="720" spans="1:15" s="1" customFormat="1" ht="11.45" customHeight="1" outlineLevel="3" x14ac:dyDescent="0.2">
      <c r="A720" s="32" t="s">
        <v>7537</v>
      </c>
      <c r="B720" s="74" t="s">
        <v>7538</v>
      </c>
      <c r="C720" s="50"/>
      <c r="D720" s="139">
        <f t="shared" si="11"/>
        <v>0</v>
      </c>
      <c r="E720" s="140">
        <v>1695.02</v>
      </c>
      <c r="F720" s="140">
        <v>1389.36</v>
      </c>
      <c r="G720" s="34" t="s">
        <v>100</v>
      </c>
      <c r="H720" s="34" t="s">
        <v>39</v>
      </c>
      <c r="I720" s="35">
        <v>1</v>
      </c>
      <c r="J720" s="35">
        <v>1</v>
      </c>
      <c r="K720" s="35">
        <v>20</v>
      </c>
      <c r="L720" s="60" t="str">
        <f>HYPERLINK("https://www.sds-group.ru/product/universalnyy-multimetr-ms8233d-mastech-13-2070/", "Инфо")</f>
        <v>Инфо</v>
      </c>
      <c r="M720" s="37">
        <v>0.38900000000000001</v>
      </c>
      <c r="N720" s="38">
        <v>2.0460000000000001E-3</v>
      </c>
      <c r="O720" s="141">
        <v>4601004195721</v>
      </c>
    </row>
    <row r="721" spans="1:15" s="1" customFormat="1" ht="11.45" customHeight="1" outlineLevel="3" x14ac:dyDescent="0.2">
      <c r="A721" s="32" t="s">
        <v>7539</v>
      </c>
      <c r="B721" s="74" t="s">
        <v>7540</v>
      </c>
      <c r="C721" s="50"/>
      <c r="D721" s="139">
        <f t="shared" si="11"/>
        <v>0</v>
      </c>
      <c r="E721" s="140">
        <v>1550.33</v>
      </c>
      <c r="F721" s="140">
        <v>1270.76</v>
      </c>
      <c r="G721" s="34" t="s">
        <v>100</v>
      </c>
      <c r="H721" s="34" t="s">
        <v>39</v>
      </c>
      <c r="I721" s="35">
        <v>1</v>
      </c>
      <c r="J721" s="35">
        <v>1</v>
      </c>
      <c r="K721" s="35">
        <v>20</v>
      </c>
      <c r="L721" s="60" t="str">
        <f>HYPERLINK("https://www.sds-group.ru/product/universalnyy-multimetr-ms8233e-mastech-13-2013/", "Инфо")</f>
        <v>Инфо</v>
      </c>
      <c r="M721" s="37">
        <v>0.42599999999999999</v>
      </c>
      <c r="N721" s="38">
        <v>2.4269999999999999E-3</v>
      </c>
      <c r="O721" s="141">
        <v>4601004008304</v>
      </c>
    </row>
    <row r="722" spans="1:15" s="1" customFormat="1" ht="11.45" customHeight="1" outlineLevel="3" x14ac:dyDescent="0.2">
      <c r="A722" s="32" t="s">
        <v>7541</v>
      </c>
      <c r="B722" s="74" t="s">
        <v>7542</v>
      </c>
      <c r="C722" s="50"/>
      <c r="D722" s="139">
        <f t="shared" si="11"/>
        <v>0</v>
      </c>
      <c r="E722" s="140">
        <v>2144.8200000000002</v>
      </c>
      <c r="F722" s="140">
        <v>1758.05</v>
      </c>
      <c r="G722" s="34" t="s">
        <v>100</v>
      </c>
      <c r="H722" s="34" t="s">
        <v>39</v>
      </c>
      <c r="I722" s="35">
        <v>1</v>
      </c>
      <c r="J722" s="35">
        <v>1</v>
      </c>
      <c r="K722" s="35">
        <v>20</v>
      </c>
      <c r="L722" s="60" t="str">
        <f>HYPERLINK("https://www.sds-group.ru/product/universalnyy-multimetr-my61n-mastech-13-2053/", "Инфо")</f>
        <v>Инфо</v>
      </c>
      <c r="M722" s="37">
        <v>0.65800000000000003</v>
      </c>
      <c r="N722" s="38">
        <v>3.1849999999999999E-3</v>
      </c>
      <c r="O722" s="141">
        <v>4601004195738</v>
      </c>
    </row>
    <row r="723" spans="1:15" s="1" customFormat="1" ht="11.45" customHeight="1" outlineLevel="3" x14ac:dyDescent="0.2">
      <c r="A723" s="32" t="s">
        <v>7543</v>
      </c>
      <c r="B723" s="74" t="s">
        <v>7544</v>
      </c>
      <c r="C723" s="50"/>
      <c r="D723" s="139">
        <f t="shared" si="11"/>
        <v>0</v>
      </c>
      <c r="E723" s="140">
        <v>1984.42</v>
      </c>
      <c r="F723" s="140">
        <v>1626.57</v>
      </c>
      <c r="G723" s="34" t="s">
        <v>100</v>
      </c>
      <c r="H723" s="34" t="s">
        <v>39</v>
      </c>
      <c r="I723" s="35">
        <v>1</v>
      </c>
      <c r="J723" s="35">
        <v>1</v>
      </c>
      <c r="K723" s="35">
        <v>20</v>
      </c>
      <c r="L723" s="60" t="str">
        <f>HYPERLINK("https://www.sds-group.ru/product/universalnyy-multimetr-my62n-mastech-13-2019/", "Инфо")</f>
        <v>Инфо</v>
      </c>
      <c r="M723" s="37">
        <v>0.65900000000000003</v>
      </c>
      <c r="N723" s="38">
        <v>3.2130000000000001E-3</v>
      </c>
      <c r="O723" s="141">
        <v>4601004008335</v>
      </c>
    </row>
    <row r="724" spans="1:15" s="1" customFormat="1" ht="11.45" customHeight="1" outlineLevel="3" x14ac:dyDescent="0.2">
      <c r="A724" s="32" t="s">
        <v>7545</v>
      </c>
      <c r="B724" s="74" t="s">
        <v>7546</v>
      </c>
      <c r="C724" s="50"/>
      <c r="D724" s="139">
        <f t="shared" si="11"/>
        <v>0</v>
      </c>
      <c r="E724" s="140">
        <v>2364.8000000000002</v>
      </c>
      <c r="F724" s="140">
        <v>1938.36</v>
      </c>
      <c r="G724" s="34" t="s">
        <v>100</v>
      </c>
      <c r="H724" s="34" t="s">
        <v>39</v>
      </c>
      <c r="I724" s="35">
        <v>1</v>
      </c>
      <c r="J724" s="35">
        <v>1</v>
      </c>
      <c r="K724" s="35">
        <v>20</v>
      </c>
      <c r="L724" s="60" t="str">
        <f>HYPERLINK("https://www.sds-group.ru/product/universalnyy-multimetr-my63n-mastech-13-2051/", "Инфо")</f>
        <v>Инфо</v>
      </c>
      <c r="M724" s="37">
        <v>0.61199999999999999</v>
      </c>
      <c r="N724" s="38">
        <v>2.591E-3</v>
      </c>
      <c r="O724" s="141">
        <v>4601004052055</v>
      </c>
    </row>
    <row r="725" spans="1:15" s="1" customFormat="1" ht="11.45" customHeight="1" outlineLevel="3" x14ac:dyDescent="0.2">
      <c r="A725" s="32" t="s">
        <v>7547</v>
      </c>
      <c r="B725" s="74" t="s">
        <v>7548</v>
      </c>
      <c r="C725" s="50"/>
      <c r="D725" s="139">
        <f t="shared" si="11"/>
        <v>0</v>
      </c>
      <c r="E725" s="140">
        <v>2005.09</v>
      </c>
      <c r="F725" s="140">
        <v>1643.52</v>
      </c>
      <c r="G725" s="34" t="s">
        <v>100</v>
      </c>
      <c r="H725" s="34" t="s">
        <v>39</v>
      </c>
      <c r="I725" s="35">
        <v>1</v>
      </c>
      <c r="J725" s="35">
        <v>1</v>
      </c>
      <c r="K725" s="35">
        <v>20</v>
      </c>
      <c r="L725" s="60" t="str">
        <f>HYPERLINK("https://www.sds-group.ru/product/universalnyy-multimetr-my64n-mastech-13-2054/", "Инфо")</f>
        <v>Инфо</v>
      </c>
      <c r="M725" s="37">
        <v>0.66200000000000003</v>
      </c>
      <c r="N725" s="38">
        <v>3.241E-3</v>
      </c>
      <c r="O725" s="141">
        <v>4601004195745</v>
      </c>
    </row>
    <row r="726" spans="1:15" s="1" customFormat="1" ht="11.45" customHeight="1" outlineLevel="3" x14ac:dyDescent="0.2">
      <c r="A726" s="32" t="s">
        <v>7549</v>
      </c>
      <c r="B726" s="74" t="s">
        <v>7550</v>
      </c>
      <c r="C726" s="50"/>
      <c r="D726" s="139">
        <f t="shared" si="11"/>
        <v>0</v>
      </c>
      <c r="E726" s="140">
        <v>3637.34</v>
      </c>
      <c r="F726" s="140">
        <v>2981.43</v>
      </c>
      <c r="G726" s="34" t="s">
        <v>100</v>
      </c>
      <c r="H726" s="34" t="s">
        <v>39</v>
      </c>
      <c r="I726" s="35">
        <v>1</v>
      </c>
      <c r="J726" s="35">
        <v>1</v>
      </c>
      <c r="K726" s="35">
        <v>20</v>
      </c>
      <c r="L726" s="60" t="str">
        <f>HYPERLINK("https://www.sds-group.ru/product/universalnyy-multimetr-my65n-mastech-13-2052/", "Инфо")</f>
        <v>Инфо</v>
      </c>
      <c r="M726" s="37">
        <v>0.626</v>
      </c>
      <c r="N726" s="38">
        <v>2.6310000000000001E-3</v>
      </c>
      <c r="O726" s="141">
        <v>4601004052048</v>
      </c>
    </row>
    <row r="727" spans="1:15" s="1" customFormat="1" ht="11.45" customHeight="1" outlineLevel="3" x14ac:dyDescent="0.2">
      <c r="A727" s="32" t="s">
        <v>7551</v>
      </c>
      <c r="B727" s="74" t="s">
        <v>7552</v>
      </c>
      <c r="C727" s="50"/>
      <c r="D727" s="139">
        <f t="shared" si="11"/>
        <v>0</v>
      </c>
      <c r="E727" s="140">
        <v>1984.42</v>
      </c>
      <c r="F727" s="140">
        <v>1626.57</v>
      </c>
      <c r="G727" s="34" t="s">
        <v>100</v>
      </c>
      <c r="H727" s="34" t="s">
        <v>39</v>
      </c>
      <c r="I727" s="35">
        <v>1</v>
      </c>
      <c r="J727" s="35">
        <v>1</v>
      </c>
      <c r="K727" s="35">
        <v>20</v>
      </c>
      <c r="L727" s="60" t="str">
        <f>HYPERLINK("https://www.sds-group.ru/product/universalnyy-multimetr-my68-mastech-13-2058/", "Инфо")</f>
        <v>Инфо</v>
      </c>
      <c r="M727" s="37">
        <v>0.69499999999999995</v>
      </c>
      <c r="N727" s="38">
        <v>3.2420000000000001E-3</v>
      </c>
      <c r="O727" s="141">
        <v>4601004065444</v>
      </c>
    </row>
    <row r="728" spans="1:15" s="1" customFormat="1" ht="11.45" customHeight="1" outlineLevel="3" x14ac:dyDescent="0.2">
      <c r="A728" s="32" t="s">
        <v>7553</v>
      </c>
      <c r="B728" s="74" t="s">
        <v>7554</v>
      </c>
      <c r="C728" s="50"/>
      <c r="D728" s="139">
        <f t="shared" si="11"/>
        <v>0</v>
      </c>
      <c r="E728" s="140">
        <v>4754.34</v>
      </c>
      <c r="F728" s="140">
        <v>3897</v>
      </c>
      <c r="G728" s="34" t="s">
        <v>100</v>
      </c>
      <c r="H728" s="34" t="s">
        <v>39</v>
      </c>
      <c r="I728" s="35">
        <v>1</v>
      </c>
      <c r="J728" s="35">
        <v>1</v>
      </c>
      <c r="K728" s="35">
        <v>20</v>
      </c>
      <c r="L728" s="60" t="str">
        <f>HYPERLINK("https://www.sds-group.ru/product/universalnyy-multimetr-uni-t-ut-139s-13-1029/", "Инфо")</f>
        <v>Инфо</v>
      </c>
      <c r="M728" s="37">
        <v>0.61099999999999999</v>
      </c>
      <c r="N728" s="38">
        <v>2.6570000000000001E-3</v>
      </c>
      <c r="O728" s="141">
        <v>4601004164635</v>
      </c>
    </row>
    <row r="729" spans="1:15" s="1" customFormat="1" ht="11.45" customHeight="1" outlineLevel="3" x14ac:dyDescent="0.2">
      <c r="A729" s="32" t="s">
        <v>7555</v>
      </c>
      <c r="B729" s="74" t="s">
        <v>7556</v>
      </c>
      <c r="C729" s="50"/>
      <c r="D729" s="139">
        <f t="shared" si="11"/>
        <v>0</v>
      </c>
      <c r="E729" s="140">
        <v>3266.02</v>
      </c>
      <c r="F729" s="140">
        <v>2677.07</v>
      </c>
      <c r="G729" s="34" t="s">
        <v>100</v>
      </c>
      <c r="H729" s="34" t="s">
        <v>39</v>
      </c>
      <c r="I729" s="35">
        <v>1</v>
      </c>
      <c r="J729" s="35">
        <v>1</v>
      </c>
      <c r="K729" s="35">
        <v>20</v>
      </c>
      <c r="L729" s="60" t="str">
        <f>HYPERLINK("https://www.sds-group.ru/product/universalnyy-multimetr-uni-t-ut-139s-13-1028/", "Инфо")</f>
        <v>Инфо</v>
      </c>
      <c r="M729" s="37">
        <v>0.59699999999999998</v>
      </c>
      <c r="N729" s="38">
        <v>2.431E-3</v>
      </c>
      <c r="O729" s="141">
        <v>4601004164628</v>
      </c>
    </row>
    <row r="730" spans="1:15" s="1" customFormat="1" ht="11.45" customHeight="1" outlineLevel="3" x14ac:dyDescent="0.2">
      <c r="A730" s="32" t="s">
        <v>7557</v>
      </c>
      <c r="B730" s="74" t="s">
        <v>7558</v>
      </c>
      <c r="C730" s="50"/>
      <c r="D730" s="139">
        <f t="shared" si="11"/>
        <v>0</v>
      </c>
      <c r="E730" s="140">
        <v>2728.58</v>
      </c>
      <c r="F730" s="140">
        <v>2236.54</v>
      </c>
      <c r="G730" s="34" t="s">
        <v>100</v>
      </c>
      <c r="H730" s="34" t="s">
        <v>39</v>
      </c>
      <c r="I730" s="35">
        <v>1</v>
      </c>
      <c r="J730" s="35">
        <v>1</v>
      </c>
      <c r="K730" s="35">
        <v>40</v>
      </c>
      <c r="L730" s="60" t="str">
        <f>HYPERLINK("https://www.sds-group.ru/product/universalnyy-multimetr-uni-t-ut-58a-13-1020/", "Инфо")</f>
        <v>Инфо</v>
      </c>
      <c r="M730" s="37">
        <v>0.55900000000000005</v>
      </c>
      <c r="N730" s="38">
        <v>2.3679999999999999E-3</v>
      </c>
      <c r="O730" s="141">
        <v>4601004059344</v>
      </c>
    </row>
    <row r="731" spans="1:15" s="1" customFormat="1" ht="11.45" customHeight="1" outlineLevel="3" x14ac:dyDescent="0.2">
      <c r="A731" s="32" t="s">
        <v>7559</v>
      </c>
      <c r="B731" s="74" t="s">
        <v>7560</v>
      </c>
      <c r="C731" s="50"/>
      <c r="D731" s="139">
        <f t="shared" si="11"/>
        <v>0</v>
      </c>
      <c r="E731" s="140">
        <v>2852.6</v>
      </c>
      <c r="F731" s="140">
        <v>2338.1999999999998</v>
      </c>
      <c r="G731" s="34" t="s">
        <v>100</v>
      </c>
      <c r="H731" s="34" t="s">
        <v>39</v>
      </c>
      <c r="I731" s="35">
        <v>1</v>
      </c>
      <c r="J731" s="35">
        <v>1</v>
      </c>
      <c r="K731" s="35">
        <v>20</v>
      </c>
      <c r="L731" s="60" t="str">
        <f>HYPERLINK("https://www.sds-group.ru/product/universalnyy-multimetr-uni-t-ut-58b-13-1022/", "Инфо")</f>
        <v>Инфо</v>
      </c>
      <c r="M731" s="37">
        <v>0.57599999999999996</v>
      </c>
      <c r="N731" s="38">
        <v>2.382E-3</v>
      </c>
      <c r="O731" s="141">
        <v>4601004059290</v>
      </c>
    </row>
    <row r="732" spans="1:15" s="1" customFormat="1" ht="11.45" customHeight="1" outlineLevel="3" x14ac:dyDescent="0.2">
      <c r="A732" s="32" t="s">
        <v>7561</v>
      </c>
      <c r="B732" s="74" t="s">
        <v>7562</v>
      </c>
      <c r="C732" s="50"/>
      <c r="D732" s="139">
        <f t="shared" si="11"/>
        <v>0</v>
      </c>
      <c r="E732" s="140">
        <v>2720.31</v>
      </c>
      <c r="F732" s="140">
        <v>2229.7600000000002</v>
      </c>
      <c r="G732" s="34" t="s">
        <v>100</v>
      </c>
      <c r="H732" s="34" t="s">
        <v>39</v>
      </c>
      <c r="I732" s="35">
        <v>1</v>
      </c>
      <c r="J732" s="35">
        <v>1</v>
      </c>
      <c r="K732" s="35">
        <v>20</v>
      </c>
      <c r="L732" s="60" t="str">
        <f>HYPERLINK("https://www.sds-group.ru/product/universalnyy-multimetr-uni-t-ut-58c-13-1023/", "Инфо")</f>
        <v>Инфо</v>
      </c>
      <c r="M732" s="37">
        <v>0.57899999999999996</v>
      </c>
      <c r="N732" s="38">
        <v>2.395E-3</v>
      </c>
      <c r="O732" s="141">
        <v>4601004059306</v>
      </c>
    </row>
    <row r="733" spans="1:15" s="1" customFormat="1" ht="11.45" customHeight="1" outlineLevel="3" x14ac:dyDescent="0.2">
      <c r="A733" s="32" t="s">
        <v>7563</v>
      </c>
      <c r="B733" s="74" t="s">
        <v>7564</v>
      </c>
      <c r="C733" s="50"/>
      <c r="D733" s="139">
        <f t="shared" si="11"/>
        <v>0</v>
      </c>
      <c r="E733" s="140">
        <v>3307.36</v>
      </c>
      <c r="F733" s="140">
        <v>2710.95</v>
      </c>
      <c r="G733" s="34" t="s">
        <v>100</v>
      </c>
      <c r="H733" s="34" t="s">
        <v>39</v>
      </c>
      <c r="I733" s="35">
        <v>1</v>
      </c>
      <c r="J733" s="35">
        <v>1</v>
      </c>
      <c r="K733" s="35">
        <v>20</v>
      </c>
      <c r="L733" s="60" t="str">
        <f>HYPERLINK("https://www.sds-group.ru/product/universalnyy-multimetr-uni-t-ut-58d-13-1024/", "Инфо")</f>
        <v>Инфо</v>
      </c>
      <c r="M733" s="37">
        <v>0.59599999999999997</v>
      </c>
      <c r="N733" s="38">
        <v>2.5140000000000002E-3</v>
      </c>
      <c r="O733" s="141">
        <v>4601004059313</v>
      </c>
    </row>
    <row r="734" spans="1:15" s="1" customFormat="1" ht="11.45" customHeight="1" outlineLevel="3" x14ac:dyDescent="0.2">
      <c r="A734" s="32" t="s">
        <v>7565</v>
      </c>
      <c r="B734" s="74" t="s">
        <v>7566</v>
      </c>
      <c r="C734" s="50"/>
      <c r="D734" s="139">
        <f t="shared" si="11"/>
        <v>0</v>
      </c>
      <c r="E734" s="140">
        <v>4961.05</v>
      </c>
      <c r="F734" s="140">
        <v>4066.43</v>
      </c>
      <c r="G734" s="34" t="s">
        <v>100</v>
      </c>
      <c r="H734" s="34" t="s">
        <v>39</v>
      </c>
      <c r="I734" s="35">
        <v>1</v>
      </c>
      <c r="J734" s="35">
        <v>1</v>
      </c>
      <c r="K734" s="35">
        <v>20</v>
      </c>
      <c r="L734" s="60" t="str">
        <f>HYPERLINK("https://www.sds-group.ru/product/universalnyy-multimetr-uni-t-ut-58e-13-1025/", "Инфо")</f>
        <v>Инфо</v>
      </c>
      <c r="M734" s="37">
        <v>0.59899999999999998</v>
      </c>
      <c r="N734" s="38">
        <v>2.503E-3</v>
      </c>
      <c r="O734" s="141">
        <v>4601004059337</v>
      </c>
    </row>
    <row r="735" spans="1:15" ht="11.45" customHeight="1" outlineLevel="2" x14ac:dyDescent="0.2">
      <c r="A735" s="76" t="s">
        <v>7567</v>
      </c>
      <c r="B735" s="136"/>
      <c r="C735" s="77"/>
      <c r="D735" s="137"/>
      <c r="E735" s="4"/>
      <c r="F735" s="4"/>
      <c r="G735" s="4"/>
      <c r="H735" s="4"/>
      <c r="I735" s="4"/>
      <c r="J735" s="4"/>
      <c r="K735" s="4"/>
      <c r="L735" s="138"/>
      <c r="M735" s="4"/>
      <c r="N735" s="4"/>
      <c r="O735" s="4"/>
    </row>
    <row r="736" spans="1:15" s="1" customFormat="1" ht="11.45" customHeight="1" outlineLevel="3" x14ac:dyDescent="0.2">
      <c r="A736" s="32" t="s">
        <v>7568</v>
      </c>
      <c r="B736" s="74" t="s">
        <v>7569</v>
      </c>
      <c r="C736" s="50"/>
      <c r="D736" s="139">
        <f t="shared" si="11"/>
        <v>0</v>
      </c>
      <c r="E736" s="140">
        <v>4706.79</v>
      </c>
      <c r="F736" s="140">
        <v>3858.02</v>
      </c>
      <c r="G736" s="34" t="s">
        <v>100</v>
      </c>
      <c r="H736" s="34" t="s">
        <v>39</v>
      </c>
      <c r="I736" s="35">
        <v>1</v>
      </c>
      <c r="J736" s="35">
        <v>1</v>
      </c>
      <c r="K736" s="35">
        <v>10</v>
      </c>
      <c r="L736" s="60" t="str">
        <f>HYPERLINK("https://www.sds-group.ru/product/multimetr-professionalnyy-uni-t-ut15b-pro-13-0087/", "Инфо")</f>
        <v>Инфо</v>
      </c>
      <c r="M736" s="37">
        <v>0.88400000000000001</v>
      </c>
      <c r="N736" s="38">
        <v>3.627E-3</v>
      </c>
      <c r="O736" s="141">
        <v>4601004289840</v>
      </c>
    </row>
    <row r="737" spans="1:15" s="1" customFormat="1" ht="11.45" customHeight="1" outlineLevel="3" x14ac:dyDescent="0.2">
      <c r="A737" s="32" t="s">
        <v>7570</v>
      </c>
      <c r="B737" s="74" t="s">
        <v>7571</v>
      </c>
      <c r="C737" s="50"/>
      <c r="D737" s="139">
        <f t="shared" si="11"/>
        <v>0</v>
      </c>
      <c r="E737" s="140">
        <v>5916.05</v>
      </c>
      <c r="F737" s="140">
        <v>4849.22</v>
      </c>
      <c r="G737" s="34" t="s">
        <v>100</v>
      </c>
      <c r="H737" s="34" t="s">
        <v>39</v>
      </c>
      <c r="I737" s="35">
        <v>1</v>
      </c>
      <c r="J737" s="35">
        <v>1</v>
      </c>
      <c r="K737" s="35">
        <v>10</v>
      </c>
      <c r="L737" s="60" t="str">
        <f>HYPERLINK("https://www.sds-group.ru/product/multimetr-professionalnyy-uni-t-ut191t-13-0086/", "Инфо")</f>
        <v>Инфо</v>
      </c>
      <c r="M737" s="37">
        <v>0.88</v>
      </c>
      <c r="N737" s="38">
        <v>5.862E-3</v>
      </c>
      <c r="O737" s="141">
        <v>4601004289864</v>
      </c>
    </row>
    <row r="738" spans="1:15" s="1" customFormat="1" ht="11.45" customHeight="1" outlineLevel="3" x14ac:dyDescent="0.2">
      <c r="A738" s="32" t="s">
        <v>7572</v>
      </c>
      <c r="B738" s="74" t="s">
        <v>7573</v>
      </c>
      <c r="C738" s="50"/>
      <c r="D738" s="139">
        <f t="shared" si="11"/>
        <v>0</v>
      </c>
      <c r="E738" s="140">
        <v>4299.57</v>
      </c>
      <c r="F738" s="140">
        <v>3524.24</v>
      </c>
      <c r="G738" s="34" t="s">
        <v>100</v>
      </c>
      <c r="H738" s="34" t="s">
        <v>39</v>
      </c>
      <c r="I738" s="35">
        <v>1</v>
      </c>
      <c r="J738" s="35">
        <v>1</v>
      </c>
      <c r="K738" s="35">
        <v>20</v>
      </c>
      <c r="L738" s="60" t="str">
        <f>HYPERLINK("https://www.sds-group.ru/product/professionalnyy-multimetr-5-v-1-ms8229-mastech-13-2029/", "Инфо")</f>
        <v>Инфо</v>
      </c>
      <c r="M738" s="37">
        <v>0.68799999999999994</v>
      </c>
      <c r="N738" s="38">
        <v>3.3300000000000001E-3</v>
      </c>
      <c r="O738" s="141">
        <v>4601004052178</v>
      </c>
    </row>
    <row r="739" spans="1:15" s="1" customFormat="1" ht="11.45" customHeight="1" outlineLevel="3" x14ac:dyDescent="0.2">
      <c r="A739" s="32" t="s">
        <v>7574</v>
      </c>
      <c r="B739" s="74" t="s">
        <v>7575</v>
      </c>
      <c r="C739" s="50"/>
      <c r="D739" s="139">
        <f t="shared" si="11"/>
        <v>0</v>
      </c>
      <c r="E739" s="140">
        <v>3334.67</v>
      </c>
      <c r="F739" s="140">
        <v>2733.34</v>
      </c>
      <c r="G739" s="34" t="s">
        <v>100</v>
      </c>
      <c r="H739" s="34" t="s">
        <v>39</v>
      </c>
      <c r="I739" s="35">
        <v>1</v>
      </c>
      <c r="J739" s="35">
        <v>1</v>
      </c>
      <c r="K739" s="35">
        <v>20</v>
      </c>
      <c r="L739" s="60" t="str">
        <f>HYPERLINK("https://www.sds-group.ru/product/professionalnyy-multimetr-ms8209-mastech-13-2087/", "Инфо")</f>
        <v>Инфо</v>
      </c>
      <c r="M739" s="37">
        <v>0.70899999999999996</v>
      </c>
      <c r="N739" s="38">
        <v>5.3769999999999998E-3</v>
      </c>
      <c r="O739" s="141">
        <v>4601004195752</v>
      </c>
    </row>
    <row r="740" spans="1:15" s="1" customFormat="1" ht="11.45" customHeight="1" outlineLevel="3" x14ac:dyDescent="0.2">
      <c r="A740" s="32" t="s">
        <v>7576</v>
      </c>
      <c r="B740" s="74" t="s">
        <v>7577</v>
      </c>
      <c r="C740" s="50"/>
      <c r="D740" s="139">
        <f t="shared" si="11"/>
        <v>0</v>
      </c>
      <c r="E740" s="140">
        <v>1947.21</v>
      </c>
      <c r="F740" s="140">
        <v>1596.07</v>
      </c>
      <c r="G740" s="34" t="s">
        <v>100</v>
      </c>
      <c r="H740" s="34" t="s">
        <v>39</v>
      </c>
      <c r="I740" s="35">
        <v>1</v>
      </c>
      <c r="J740" s="35">
        <v>1</v>
      </c>
      <c r="K740" s="35">
        <v>20</v>
      </c>
      <c r="L740" s="60" t="str">
        <f>HYPERLINK("https://www.sds-group.ru/product/professionalnyy-multimetr-ms8217-mastech-13-2021/", "Инфо")</f>
        <v>Инфо</v>
      </c>
      <c r="M740" s="37">
        <v>0.63300000000000001</v>
      </c>
      <c r="N740" s="38">
        <v>3.202E-3</v>
      </c>
      <c r="O740" s="141">
        <v>4601004008243</v>
      </c>
    </row>
    <row r="741" spans="1:15" s="1" customFormat="1" ht="11.45" customHeight="1" outlineLevel="3" x14ac:dyDescent="0.2">
      <c r="A741" s="32" t="s">
        <v>7578</v>
      </c>
      <c r="B741" s="74" t="s">
        <v>7579</v>
      </c>
      <c r="C741" s="50"/>
      <c r="D741" s="139">
        <f t="shared" si="11"/>
        <v>0</v>
      </c>
      <c r="E741" s="140">
        <v>1591.67</v>
      </c>
      <c r="F741" s="140">
        <v>1304.6500000000001</v>
      </c>
      <c r="G741" s="34" t="s">
        <v>100</v>
      </c>
      <c r="H741" s="34" t="s">
        <v>39</v>
      </c>
      <c r="I741" s="35">
        <v>1</v>
      </c>
      <c r="J741" s="35">
        <v>1</v>
      </c>
      <c r="K741" s="35">
        <v>20</v>
      </c>
      <c r="L741" s="60" t="str">
        <f>HYPERLINK("https://www.sds-group.ru/product/professionalnyy-multimetr-ms8239c-mastech-13-2020/", "Инфо")</f>
        <v>Инфо</v>
      </c>
      <c r="M741" s="37">
        <v>0.38</v>
      </c>
      <c r="N741" s="38">
        <v>2.0569999999999998E-3</v>
      </c>
      <c r="O741" s="141">
        <v>4601004008397</v>
      </c>
    </row>
    <row r="742" spans="1:15" s="1" customFormat="1" ht="11.45" customHeight="1" outlineLevel="3" x14ac:dyDescent="0.2">
      <c r="A742" s="32" t="s">
        <v>7580</v>
      </c>
      <c r="B742" s="74" t="s">
        <v>7581</v>
      </c>
      <c r="C742" s="50"/>
      <c r="D742" s="139">
        <f t="shared" si="11"/>
        <v>0</v>
      </c>
      <c r="E742" s="140">
        <v>2480.52</v>
      </c>
      <c r="F742" s="140">
        <v>2033.21</v>
      </c>
      <c r="G742" s="34" t="s">
        <v>100</v>
      </c>
      <c r="H742" s="34" t="s">
        <v>39</v>
      </c>
      <c r="I742" s="35">
        <v>1</v>
      </c>
      <c r="J742" s="35">
        <v>1</v>
      </c>
      <c r="K742" s="35">
        <v>20</v>
      </c>
      <c r="L742" s="60" t="str">
        <f>HYPERLINK("https://www.sds-group.ru/product/professionalnyy-multimetr-ms8250a-mastech-13-2101/", "Инфо")</f>
        <v>Инфо</v>
      </c>
      <c r="M742" s="37">
        <v>0.64700000000000002</v>
      </c>
      <c r="N742" s="38">
        <v>3.1830000000000001E-3</v>
      </c>
      <c r="O742" s="141">
        <v>4601004195790</v>
      </c>
    </row>
    <row r="743" spans="1:15" s="1" customFormat="1" ht="11.45" customHeight="1" outlineLevel="3" x14ac:dyDescent="0.2">
      <c r="A743" s="32" t="s">
        <v>7582</v>
      </c>
      <c r="B743" s="74" t="s">
        <v>7583</v>
      </c>
      <c r="C743" s="50"/>
      <c r="D743" s="139">
        <f t="shared" si="11"/>
        <v>0</v>
      </c>
      <c r="E743" s="140">
        <v>3510.18</v>
      </c>
      <c r="F743" s="140">
        <v>2877.2</v>
      </c>
      <c r="G743" s="34" t="s">
        <v>100</v>
      </c>
      <c r="H743" s="34" t="s">
        <v>39</v>
      </c>
      <c r="I743" s="35">
        <v>1</v>
      </c>
      <c r="J743" s="35">
        <v>1</v>
      </c>
      <c r="K743" s="35">
        <v>20</v>
      </c>
      <c r="L743" s="60" t="str">
        <f>HYPERLINK("https://www.sds-group.ru/product/professionalnyy-multimetr-ms8251b-mastech-13-2102/", "Инфо")</f>
        <v>Инфо</v>
      </c>
      <c r="M743" s="37">
        <v>0.71899999999999997</v>
      </c>
      <c r="N743" s="38">
        <v>2.6380000000000002E-3</v>
      </c>
      <c r="O743" s="141">
        <v>4601004195806</v>
      </c>
    </row>
    <row r="744" spans="1:15" s="1" customFormat="1" ht="11.45" customHeight="1" outlineLevel="3" x14ac:dyDescent="0.2">
      <c r="A744" s="32" t="s">
        <v>7584</v>
      </c>
      <c r="B744" s="74" t="s">
        <v>7585</v>
      </c>
      <c r="C744" s="50"/>
      <c r="D744" s="139">
        <f t="shared" si="11"/>
        <v>0</v>
      </c>
      <c r="E744" s="140">
        <v>3679.44</v>
      </c>
      <c r="F744" s="140">
        <v>3015.93</v>
      </c>
      <c r="G744" s="34" t="s">
        <v>100</v>
      </c>
      <c r="H744" s="34" t="s">
        <v>39</v>
      </c>
      <c r="I744" s="35">
        <v>1</v>
      </c>
      <c r="J744" s="35">
        <v>1</v>
      </c>
      <c r="K744" s="35">
        <v>20</v>
      </c>
      <c r="L744" s="60" t="str">
        <f>HYPERLINK("https://www.sds-group.ru/product/professionalnyy-multimetr-ms8265-mastech-13-2060/", "Инфо")</f>
        <v>Инфо</v>
      </c>
      <c r="M744" s="37">
        <v>0.67200000000000004</v>
      </c>
      <c r="N744" s="38">
        <v>3.2910000000000001E-3</v>
      </c>
      <c r="O744" s="141">
        <v>4601004093331</v>
      </c>
    </row>
    <row r="745" spans="1:15" s="1" customFormat="1" ht="11.45" customHeight="1" outlineLevel="3" x14ac:dyDescent="0.2">
      <c r="A745" s="32" t="s">
        <v>7586</v>
      </c>
      <c r="B745" s="74" t="s">
        <v>7587</v>
      </c>
      <c r="C745" s="50"/>
      <c r="D745" s="139">
        <f t="shared" si="11"/>
        <v>0</v>
      </c>
      <c r="E745" s="140">
        <v>2472.7199999999998</v>
      </c>
      <c r="F745" s="140">
        <v>2026.82</v>
      </c>
      <c r="G745" s="34" t="s">
        <v>100</v>
      </c>
      <c r="H745" s="34" t="s">
        <v>39</v>
      </c>
      <c r="I745" s="35">
        <v>1</v>
      </c>
      <c r="J745" s="35">
        <v>1</v>
      </c>
      <c r="K745" s="35">
        <v>20</v>
      </c>
      <c r="L745" s="60" t="str">
        <f>HYPERLINK("https://www.sds-group.ru/product/professionalnyy-multimetr-ms8268-mastech-13-2068/", "Инфо")</f>
        <v>Инфо</v>
      </c>
      <c r="M745" s="37">
        <v>0.60299999999999998</v>
      </c>
      <c r="N745" s="38">
        <v>2.5920000000000001E-3</v>
      </c>
      <c r="O745" s="141">
        <v>4601004195783</v>
      </c>
    </row>
    <row r="746" spans="1:15" s="1" customFormat="1" ht="11.45" customHeight="1" outlineLevel="3" x14ac:dyDescent="0.2">
      <c r="A746" s="32" t="s">
        <v>7588</v>
      </c>
      <c r="B746" s="74" t="s">
        <v>7589</v>
      </c>
      <c r="C746" s="50"/>
      <c r="D746" s="139">
        <f t="shared" si="11"/>
        <v>0</v>
      </c>
      <c r="E746" s="140">
        <v>2687.24</v>
      </c>
      <c r="F746" s="140">
        <v>2202.66</v>
      </c>
      <c r="G746" s="34" t="s">
        <v>100</v>
      </c>
      <c r="H746" s="34" t="s">
        <v>39</v>
      </c>
      <c r="I746" s="35">
        <v>1</v>
      </c>
      <c r="J746" s="35">
        <v>1</v>
      </c>
      <c r="K746" s="35">
        <v>20</v>
      </c>
      <c r="L746" s="60" t="str">
        <f>HYPERLINK("https://www.sds-group.ru/product/professionalnyy-multimetr-ms8269-mastech-13-2022/", "Инфо")</f>
        <v>Инфо</v>
      </c>
      <c r="M746" s="37">
        <v>0.66</v>
      </c>
      <c r="N746" s="38">
        <v>3.2889999999999998E-3</v>
      </c>
      <c r="O746" s="141">
        <v>4601004008359</v>
      </c>
    </row>
    <row r="747" spans="1:15" s="1" customFormat="1" ht="11.45" customHeight="1" outlineLevel="3" x14ac:dyDescent="0.2">
      <c r="A747" s="32" t="s">
        <v>7590</v>
      </c>
      <c r="B747" s="74" t="s">
        <v>7591</v>
      </c>
      <c r="C747" s="50"/>
      <c r="D747" s="139">
        <f t="shared" si="11"/>
        <v>0</v>
      </c>
      <c r="E747" s="140">
        <v>2563.1999999999998</v>
      </c>
      <c r="F747" s="140">
        <v>2100.98</v>
      </c>
      <c r="G747" s="34" t="s">
        <v>100</v>
      </c>
      <c r="H747" s="34" t="s">
        <v>39</v>
      </c>
      <c r="I747" s="35">
        <v>1</v>
      </c>
      <c r="J747" s="35">
        <v>1</v>
      </c>
      <c r="K747" s="35">
        <v>20</v>
      </c>
      <c r="L747" s="60" t="str">
        <f>HYPERLINK("https://www.sds-group.ru/product/professionalnyy-multimetr-ms8360c-mastech-13-2027/", "Инфо")</f>
        <v>Инфо</v>
      </c>
      <c r="M747" s="37">
        <v>0.68400000000000005</v>
      </c>
      <c r="N747" s="38">
        <v>3.2399999999999998E-3</v>
      </c>
      <c r="O747" s="141">
        <v>4601004018167</v>
      </c>
    </row>
    <row r="748" spans="1:15" s="1" customFormat="1" ht="11.45" customHeight="1" outlineLevel="3" x14ac:dyDescent="0.2">
      <c r="A748" s="32" t="s">
        <v>7592</v>
      </c>
      <c r="B748" s="74" t="s">
        <v>7593</v>
      </c>
      <c r="C748" s="50"/>
      <c r="D748" s="139">
        <f t="shared" si="11"/>
        <v>0</v>
      </c>
      <c r="E748" s="140">
        <v>3369.77</v>
      </c>
      <c r="F748" s="140">
        <v>2762.11</v>
      </c>
      <c r="G748" s="34" t="s">
        <v>100</v>
      </c>
      <c r="H748" s="34" t="s">
        <v>39</v>
      </c>
      <c r="I748" s="35">
        <v>1</v>
      </c>
      <c r="J748" s="35">
        <v>1</v>
      </c>
      <c r="K748" s="35">
        <v>20</v>
      </c>
      <c r="L748" s="60" t="str">
        <f>HYPERLINK("https://www.sds-group.ru/product/professionalnyy-multimetr-ms8361d-mastech-13-2069/", "Инфо")</f>
        <v>Инфо</v>
      </c>
      <c r="M748" s="37">
        <v>0.68400000000000005</v>
      </c>
      <c r="N748" s="38">
        <v>3.0959999999999998E-3</v>
      </c>
      <c r="O748" s="141">
        <v>4601004195776</v>
      </c>
    </row>
    <row r="749" spans="1:15" s="1" customFormat="1" ht="11.45" customHeight="1" outlineLevel="3" x14ac:dyDescent="0.2">
      <c r="A749" s="32" t="s">
        <v>7594</v>
      </c>
      <c r="B749" s="74" t="s">
        <v>7595</v>
      </c>
      <c r="C749" s="50"/>
      <c r="D749" s="139">
        <f t="shared" si="11"/>
        <v>0</v>
      </c>
      <c r="E749" s="140">
        <v>2687.24</v>
      </c>
      <c r="F749" s="140">
        <v>2202.66</v>
      </c>
      <c r="G749" s="34" t="s">
        <v>100</v>
      </c>
      <c r="H749" s="34" t="s">
        <v>39</v>
      </c>
      <c r="I749" s="35">
        <v>1</v>
      </c>
      <c r="J749" s="35">
        <v>1</v>
      </c>
      <c r="K749" s="35">
        <v>20</v>
      </c>
      <c r="L749" s="60" t="str">
        <f>HYPERLINK("https://www.sds-group.ru/product/professionalnyy-multimetr-uni-t-60bt-13-0090/", "Инфо")</f>
        <v>Инфо</v>
      </c>
      <c r="M749" s="37">
        <v>0.48399999999999999</v>
      </c>
      <c r="N749" s="38">
        <v>2.1050000000000001E-3</v>
      </c>
      <c r="O749" s="141">
        <v>4601004268401</v>
      </c>
    </row>
    <row r="750" spans="1:15" s="1" customFormat="1" ht="11.45" customHeight="1" outlineLevel="3" x14ac:dyDescent="0.2">
      <c r="A750" s="32" t="s">
        <v>7596</v>
      </c>
      <c r="B750" s="74" t="s">
        <v>7597</v>
      </c>
      <c r="C750" s="50"/>
      <c r="D750" s="139">
        <f t="shared" si="11"/>
        <v>0</v>
      </c>
      <c r="E750" s="140">
        <v>2571.48</v>
      </c>
      <c r="F750" s="140">
        <v>2107.77</v>
      </c>
      <c r="G750" s="34" t="s">
        <v>100</v>
      </c>
      <c r="H750" s="34" t="s">
        <v>39</v>
      </c>
      <c r="I750" s="35">
        <v>1</v>
      </c>
      <c r="J750" s="35">
        <v>1</v>
      </c>
      <c r="K750" s="35">
        <v>1</v>
      </c>
      <c r="L750" s="60" t="str">
        <f>HYPERLINK("https://www.sds-group.ru/product/professionalnyy-multimetr-uni-t-60s-13-0091/", "Инфо")</f>
        <v>Инфо</v>
      </c>
      <c r="M750" s="37">
        <v>0.50900000000000001</v>
      </c>
      <c r="N750" s="38">
        <v>2.127E-3</v>
      </c>
      <c r="O750" s="141">
        <v>4601004268418</v>
      </c>
    </row>
    <row r="751" spans="1:15" s="1" customFormat="1" ht="11.45" customHeight="1" outlineLevel="3" x14ac:dyDescent="0.2">
      <c r="A751" s="32" t="s">
        <v>7598</v>
      </c>
      <c r="B751" s="74" t="s">
        <v>7599</v>
      </c>
      <c r="C751" s="50"/>
      <c r="D751" s="139">
        <f t="shared" si="11"/>
        <v>0</v>
      </c>
      <c r="E751" s="140">
        <v>3836.55</v>
      </c>
      <c r="F751" s="140">
        <v>3144.71</v>
      </c>
      <c r="G751" s="34" t="s">
        <v>100</v>
      </c>
      <c r="H751" s="34" t="s">
        <v>39</v>
      </c>
      <c r="I751" s="35">
        <v>1</v>
      </c>
      <c r="J751" s="35">
        <v>1</v>
      </c>
      <c r="K751" s="35">
        <v>20</v>
      </c>
      <c r="L751" s="60" t="str">
        <f>HYPERLINK("https://www.sds-group.ru/product/professionalnyy-multimetr-uni-t-ut61b-13-0092/", "Инфо")</f>
        <v>Инфо</v>
      </c>
      <c r="M751" s="37">
        <v>0.78500000000000003</v>
      </c>
      <c r="N751" s="38">
        <v>3.2550000000000001E-3</v>
      </c>
      <c r="O751" s="141">
        <v>4601004268371</v>
      </c>
    </row>
    <row r="752" spans="1:15" s="1" customFormat="1" ht="11.45" customHeight="1" outlineLevel="3" x14ac:dyDescent="0.2">
      <c r="A752" s="32" t="s">
        <v>7600</v>
      </c>
      <c r="B752" s="74" t="s">
        <v>7601</v>
      </c>
      <c r="C752" s="50"/>
      <c r="D752" s="139">
        <f t="shared" si="11"/>
        <v>0</v>
      </c>
      <c r="E752" s="140">
        <v>4547.63</v>
      </c>
      <c r="F752" s="140">
        <v>3727.57</v>
      </c>
      <c r="G752" s="34" t="s">
        <v>100</v>
      </c>
      <c r="H752" s="34" t="s">
        <v>39</v>
      </c>
      <c r="I752" s="35">
        <v>1</v>
      </c>
      <c r="J752" s="35">
        <v>1</v>
      </c>
      <c r="K752" s="35">
        <v>20</v>
      </c>
      <c r="L752" s="60" t="str">
        <f>HYPERLINK("https://www.sds-group.ru/product/professionalnyy-multimetr-uni-t-ut61d-13-0093/", "Инфо")</f>
        <v>Инфо</v>
      </c>
      <c r="M752" s="37">
        <v>0.80600000000000005</v>
      </c>
      <c r="N752" s="38">
        <v>3.3050000000000002E-3</v>
      </c>
      <c r="O752" s="141">
        <v>4601004268388</v>
      </c>
    </row>
    <row r="753" spans="1:15" s="1" customFormat="1" ht="11.45" customHeight="1" outlineLevel="3" x14ac:dyDescent="0.2">
      <c r="A753" s="32" t="s">
        <v>7602</v>
      </c>
      <c r="B753" s="74" t="s">
        <v>7603</v>
      </c>
      <c r="C753" s="50"/>
      <c r="D753" s="139">
        <f t="shared" si="11"/>
        <v>0</v>
      </c>
      <c r="E753" s="140">
        <v>6817.3</v>
      </c>
      <c r="F753" s="140">
        <v>5587.95</v>
      </c>
      <c r="G753" s="34" t="s">
        <v>100</v>
      </c>
      <c r="H753" s="34" t="s">
        <v>39</v>
      </c>
      <c r="I753" s="35">
        <v>1</v>
      </c>
      <c r="J753" s="35">
        <v>1</v>
      </c>
      <c r="K753" s="35">
        <v>1</v>
      </c>
      <c r="L753" s="60" t="str">
        <f>HYPERLINK("https://www.sds-group.ru/product/professionalnyy-multimetr-uni-t-ut61e-13-0094/", "Инфо")</f>
        <v>Инфо</v>
      </c>
      <c r="M753" s="37">
        <v>0.84299999999999997</v>
      </c>
      <c r="N753" s="38">
        <v>3.3370000000000001E-3</v>
      </c>
      <c r="O753" s="141">
        <v>4601004268395</v>
      </c>
    </row>
    <row r="754" spans="1:15" s="1" customFormat="1" ht="11.45" customHeight="1" outlineLevel="3" x14ac:dyDescent="0.2">
      <c r="A754" s="32" t="s">
        <v>7604</v>
      </c>
      <c r="B754" s="74" t="s">
        <v>7605</v>
      </c>
      <c r="C754" s="50"/>
      <c r="D754" s="139">
        <f t="shared" si="11"/>
        <v>0</v>
      </c>
      <c r="E754" s="140">
        <v>4919.71</v>
      </c>
      <c r="F754" s="140">
        <v>4032.55</v>
      </c>
      <c r="G754" s="34" t="s">
        <v>100</v>
      </c>
      <c r="H754" s="34" t="s">
        <v>39</v>
      </c>
      <c r="I754" s="35">
        <v>1</v>
      </c>
      <c r="J754" s="35">
        <v>1</v>
      </c>
      <c r="K754" s="35">
        <v>20</v>
      </c>
      <c r="L754" s="60" t="str">
        <f>HYPERLINK("https://www.sds-group.ru/product/professionalnyy-multimetr-trassoiskatel-ms8236-masctech-13-1223/", "Инфо")</f>
        <v>Инфо</v>
      </c>
      <c r="M754" s="37">
        <v>0.93400000000000005</v>
      </c>
      <c r="N754" s="38">
        <v>5.3889999999999997E-3</v>
      </c>
      <c r="O754" s="141">
        <v>4601004056497</v>
      </c>
    </row>
    <row r="755" spans="1:15" ht="11.45" customHeight="1" outlineLevel="2" x14ac:dyDescent="0.2">
      <c r="A755" s="76" t="s">
        <v>7606</v>
      </c>
      <c r="B755" s="136"/>
      <c r="C755" s="77"/>
      <c r="D755" s="137"/>
      <c r="E755" s="4"/>
      <c r="F755" s="4"/>
      <c r="G755" s="4"/>
      <c r="H755" s="4"/>
      <c r="I755" s="4"/>
      <c r="J755" s="4"/>
      <c r="K755" s="4"/>
      <c r="L755" s="138"/>
      <c r="M755" s="4"/>
      <c r="N755" s="4"/>
      <c r="O755" s="4"/>
    </row>
    <row r="756" spans="1:15" s="1" customFormat="1" ht="11.45" customHeight="1" outlineLevel="3" x14ac:dyDescent="0.2">
      <c r="A756" s="32" t="s">
        <v>7607</v>
      </c>
      <c r="B756" s="74" t="s">
        <v>7608</v>
      </c>
      <c r="C756" s="50"/>
      <c r="D756" s="139">
        <f t="shared" si="11"/>
        <v>0</v>
      </c>
      <c r="E756" s="140">
        <v>909.53</v>
      </c>
      <c r="F756" s="140">
        <v>745.52</v>
      </c>
      <c r="G756" s="34" t="s">
        <v>100</v>
      </c>
      <c r="H756" s="34" t="s">
        <v>39</v>
      </c>
      <c r="I756" s="35">
        <v>1</v>
      </c>
      <c r="J756" s="35">
        <v>1</v>
      </c>
      <c r="K756" s="35">
        <v>40</v>
      </c>
      <c r="L756" s="60" t="str">
        <f>HYPERLINK("https://www.sds-group.ru/product/pristavka-dlya-tokovyh-kleschey-ms922d-mastech-13-1340/", "Инфо")</f>
        <v>Инфо</v>
      </c>
      <c r="M756" s="37">
        <v>0.221</v>
      </c>
      <c r="N756" s="38">
        <v>1.5590000000000001E-3</v>
      </c>
      <c r="O756" s="141">
        <v>4601004195899</v>
      </c>
    </row>
    <row r="757" spans="1:15" s="1" customFormat="1" ht="11.45" customHeight="1" outlineLevel="3" x14ac:dyDescent="0.2">
      <c r="A757" s="32" t="s">
        <v>7609</v>
      </c>
      <c r="B757" s="74" t="s">
        <v>7610</v>
      </c>
      <c r="C757" s="50"/>
      <c r="D757" s="139">
        <f t="shared" si="11"/>
        <v>0</v>
      </c>
      <c r="E757" s="140">
        <v>1322.95</v>
      </c>
      <c r="F757" s="140">
        <v>1084.3900000000001</v>
      </c>
      <c r="G757" s="34" t="s">
        <v>100</v>
      </c>
      <c r="H757" s="34" t="s">
        <v>39</v>
      </c>
      <c r="I757" s="35">
        <v>1</v>
      </c>
      <c r="J757" s="35">
        <v>1</v>
      </c>
      <c r="K757" s="35">
        <v>20</v>
      </c>
      <c r="L757" s="60" t="str">
        <f>HYPERLINK("https://www.sds-group.ru/product/tokovye-kleschi-m266-mastech-13-1306/", "Инфо")</f>
        <v>Инфо</v>
      </c>
      <c r="M757" s="37">
        <v>0.56799999999999995</v>
      </c>
      <c r="N757" s="38">
        <v>2.6069999999999999E-3</v>
      </c>
      <c r="O757" s="141">
        <v>4601004052192</v>
      </c>
    </row>
    <row r="758" spans="1:15" s="1" customFormat="1" ht="11.45" customHeight="1" outlineLevel="3" x14ac:dyDescent="0.2">
      <c r="A758" s="32" t="s">
        <v>7611</v>
      </c>
      <c r="B758" s="74" t="s">
        <v>7612</v>
      </c>
      <c r="C758" s="50"/>
      <c r="D758" s="139">
        <f t="shared" si="11"/>
        <v>0</v>
      </c>
      <c r="E758" s="140">
        <v>1281.6099999999999</v>
      </c>
      <c r="F758" s="140">
        <v>1050.5</v>
      </c>
      <c r="G758" s="34" t="s">
        <v>100</v>
      </c>
      <c r="H758" s="34" t="s">
        <v>39</v>
      </c>
      <c r="I758" s="35">
        <v>1</v>
      </c>
      <c r="J758" s="35">
        <v>1</v>
      </c>
      <c r="K758" s="35">
        <v>20</v>
      </c>
      <c r="L758" s="60" t="str">
        <f>HYPERLINK("https://www.sds-group.ru/product/tokovye-kleschi-m266c-mastech-13-1303/", "Инфо")</f>
        <v>Инфо</v>
      </c>
      <c r="M758" s="37">
        <v>0.56699999999999995</v>
      </c>
      <c r="N758" s="38">
        <v>2.6640000000000001E-3</v>
      </c>
      <c r="O758" s="141">
        <v>4601004008205</v>
      </c>
    </row>
    <row r="759" spans="1:15" s="1" customFormat="1" ht="11.45" customHeight="1" outlineLevel="3" x14ac:dyDescent="0.2">
      <c r="A759" s="32" t="s">
        <v>7613</v>
      </c>
      <c r="B759" s="74" t="s">
        <v>7614</v>
      </c>
      <c r="C759" s="50"/>
      <c r="D759" s="139">
        <f t="shared" si="11"/>
        <v>0</v>
      </c>
      <c r="E759" s="140">
        <v>1322.95</v>
      </c>
      <c r="F759" s="140">
        <v>1084.3900000000001</v>
      </c>
      <c r="G759" s="34" t="s">
        <v>100</v>
      </c>
      <c r="H759" s="34" t="s">
        <v>39</v>
      </c>
      <c r="I759" s="35">
        <v>1</v>
      </c>
      <c r="J759" s="35">
        <v>1</v>
      </c>
      <c r="K759" s="35">
        <v>20</v>
      </c>
      <c r="L759" s="60" t="str">
        <f>HYPERLINK("https://www.sds-group.ru/product/tokovye-kleschi-m266f-mastech-13-1304/", "Инфо")</f>
        <v>Инфо</v>
      </c>
      <c r="M759" s="37">
        <v>0.57499999999999996</v>
      </c>
      <c r="N759" s="38">
        <v>2.5920000000000001E-3</v>
      </c>
      <c r="O759" s="141">
        <v>4601004008175</v>
      </c>
    </row>
    <row r="760" spans="1:15" s="1" customFormat="1" ht="11.45" customHeight="1" outlineLevel="3" x14ac:dyDescent="0.2">
      <c r="A760" s="32" t="s">
        <v>7615</v>
      </c>
      <c r="B760" s="74" t="s">
        <v>7616</v>
      </c>
      <c r="C760" s="50"/>
      <c r="D760" s="139">
        <f t="shared" si="11"/>
        <v>0</v>
      </c>
      <c r="E760" s="140">
        <v>2995.35</v>
      </c>
      <c r="F760" s="140">
        <v>2455.1999999999998</v>
      </c>
      <c r="G760" s="34" t="s">
        <v>100</v>
      </c>
      <c r="H760" s="34" t="s">
        <v>39</v>
      </c>
      <c r="I760" s="35">
        <v>1</v>
      </c>
      <c r="J760" s="35">
        <v>1</v>
      </c>
      <c r="K760" s="35">
        <v>10</v>
      </c>
      <c r="L760" s="60" t="str">
        <f>HYPERLINK("https://www.sds-group.ru/product/tokovye-kleschi-ms2000g-mastech-13-1301/", "Инфо")</f>
        <v>Инфо</v>
      </c>
      <c r="M760" s="37">
        <v>1.4950000000000001</v>
      </c>
      <c r="N760" s="38">
        <v>6.3200000000000001E-3</v>
      </c>
      <c r="O760" s="141">
        <v>4601004008168</v>
      </c>
    </row>
    <row r="761" spans="1:15" s="1" customFormat="1" ht="11.45" customHeight="1" outlineLevel="3" x14ac:dyDescent="0.2">
      <c r="A761" s="32" t="s">
        <v>7617</v>
      </c>
      <c r="B761" s="74" t="s">
        <v>7618</v>
      </c>
      <c r="C761" s="50"/>
      <c r="D761" s="139">
        <f t="shared" si="11"/>
        <v>0</v>
      </c>
      <c r="E761" s="140">
        <v>1847.99</v>
      </c>
      <c r="F761" s="140">
        <v>1514.75</v>
      </c>
      <c r="G761" s="34" t="s">
        <v>100</v>
      </c>
      <c r="H761" s="34" t="s">
        <v>39</v>
      </c>
      <c r="I761" s="35">
        <v>1</v>
      </c>
      <c r="J761" s="35">
        <v>1</v>
      </c>
      <c r="K761" s="35">
        <v>10</v>
      </c>
      <c r="L761" s="60" t="str">
        <f>HYPERLINK("https://www.sds-group.ru/product/tokovye-kleschi-ms2001-mastech-13-1307/", "Инфо")</f>
        <v>Инфо</v>
      </c>
      <c r="M761" s="37">
        <v>0.753</v>
      </c>
      <c r="N761" s="38">
        <v>3.0100000000000001E-3</v>
      </c>
      <c r="O761" s="141">
        <v>4601004052116</v>
      </c>
    </row>
    <row r="762" spans="1:15" s="1" customFormat="1" ht="11.45" customHeight="1" outlineLevel="3" x14ac:dyDescent="0.2">
      <c r="A762" s="32" t="s">
        <v>7619</v>
      </c>
      <c r="B762" s="74" t="s">
        <v>7620</v>
      </c>
      <c r="C762" s="50"/>
      <c r="D762" s="139">
        <f t="shared" si="11"/>
        <v>0</v>
      </c>
      <c r="E762" s="140">
        <v>2015.62</v>
      </c>
      <c r="F762" s="140">
        <v>1652.15</v>
      </c>
      <c r="G762" s="34" t="s">
        <v>100</v>
      </c>
      <c r="H762" s="34" t="s">
        <v>39</v>
      </c>
      <c r="I762" s="35">
        <v>1</v>
      </c>
      <c r="J762" s="35">
        <v>1</v>
      </c>
      <c r="K762" s="35">
        <v>10</v>
      </c>
      <c r="L762" s="60" t="str">
        <f>HYPERLINK("https://www.sds-group.ru/product/tokovye-kleschi-ms2001c-mastech-13-1310/", "Инфо")</f>
        <v>Инфо</v>
      </c>
      <c r="M762" s="37">
        <v>0.71299999999999997</v>
      </c>
      <c r="N762" s="38">
        <v>2.379E-3</v>
      </c>
      <c r="O762" s="141">
        <v>4601004056503</v>
      </c>
    </row>
    <row r="763" spans="1:15" s="1" customFormat="1" ht="11.45" customHeight="1" outlineLevel="3" x14ac:dyDescent="0.2">
      <c r="A763" s="32" t="s">
        <v>7621</v>
      </c>
      <c r="B763" s="74" t="s">
        <v>7622</v>
      </c>
      <c r="C763" s="50"/>
      <c r="D763" s="139">
        <f t="shared" si="11"/>
        <v>0</v>
      </c>
      <c r="E763" s="140">
        <v>2315.16</v>
      </c>
      <c r="F763" s="140">
        <v>1897.67</v>
      </c>
      <c r="G763" s="34" t="s">
        <v>100</v>
      </c>
      <c r="H763" s="34" t="s">
        <v>39</v>
      </c>
      <c r="I763" s="35">
        <v>1</v>
      </c>
      <c r="J763" s="35">
        <v>1</v>
      </c>
      <c r="K763" s="35">
        <v>20</v>
      </c>
      <c r="L763" s="60" t="str">
        <f>HYPERLINK("https://www.sds-group.ru/product/tokovye-kleschi-ms2008b-mastech-13-1313/", "Инфо")</f>
        <v>Инфо</v>
      </c>
      <c r="M763" s="37">
        <v>0.50600000000000001</v>
      </c>
      <c r="N763" s="38">
        <v>1.8339999999999999E-3</v>
      </c>
      <c r="O763" s="141">
        <v>4601004075429</v>
      </c>
    </row>
    <row r="764" spans="1:15" s="1" customFormat="1" ht="11.45" customHeight="1" outlineLevel="3" x14ac:dyDescent="0.2">
      <c r="A764" s="32" t="s">
        <v>7623</v>
      </c>
      <c r="B764" s="74" t="s">
        <v>7624</v>
      </c>
      <c r="C764" s="50"/>
      <c r="D764" s="139">
        <f t="shared" si="11"/>
        <v>0</v>
      </c>
      <c r="E764" s="140">
        <v>3744.19</v>
      </c>
      <c r="F764" s="140">
        <v>3069.01</v>
      </c>
      <c r="G764" s="34" t="s">
        <v>100</v>
      </c>
      <c r="H764" s="34" t="s">
        <v>39</v>
      </c>
      <c r="I764" s="35">
        <v>1</v>
      </c>
      <c r="J764" s="35">
        <v>1</v>
      </c>
      <c r="K764" s="35">
        <v>20</v>
      </c>
      <c r="L764" s="60" t="str">
        <f>HYPERLINK("https://www.sds-group.ru/product/tokovye-kleschi-ms2025c-mastech-13-1321/", "Инфо")</f>
        <v>Инфо</v>
      </c>
      <c r="M764" s="37">
        <v>0.73599999999999999</v>
      </c>
      <c r="N764" s="38">
        <v>2.6150000000000001E-3</v>
      </c>
      <c r="O764" s="141">
        <v>4601004195905</v>
      </c>
    </row>
    <row r="765" spans="1:15" s="1" customFormat="1" ht="11.45" customHeight="1" outlineLevel="3" x14ac:dyDescent="0.2">
      <c r="A765" s="32" t="s">
        <v>7625</v>
      </c>
      <c r="B765" s="74" t="s">
        <v>7626</v>
      </c>
      <c r="C765" s="50"/>
      <c r="D765" s="139">
        <f t="shared" si="11"/>
        <v>0</v>
      </c>
      <c r="E765" s="140">
        <v>1901.74</v>
      </c>
      <c r="F765" s="140">
        <v>1558.8</v>
      </c>
      <c r="G765" s="34" t="s">
        <v>100</v>
      </c>
      <c r="H765" s="34" t="s">
        <v>39</v>
      </c>
      <c r="I765" s="35">
        <v>1</v>
      </c>
      <c r="J765" s="35">
        <v>1</v>
      </c>
      <c r="K765" s="35">
        <v>20</v>
      </c>
      <c r="L765" s="60" t="str">
        <f>HYPERLINK("https://www.sds-group.ru/product/tokovye-kleschi-ms2028a-mastech-13-1316/", "Инфо")</f>
        <v>Инфо</v>
      </c>
      <c r="M765" s="37">
        <v>0.47699999999999998</v>
      </c>
      <c r="N765" s="38">
        <v>1.4059999999999999E-3</v>
      </c>
      <c r="O765" s="141">
        <v>4601004195844</v>
      </c>
    </row>
    <row r="766" spans="1:15" s="1" customFormat="1" ht="11.45" customHeight="1" outlineLevel="3" x14ac:dyDescent="0.2">
      <c r="A766" s="32" t="s">
        <v>7627</v>
      </c>
      <c r="B766" s="74" t="s">
        <v>7628</v>
      </c>
      <c r="C766" s="50"/>
      <c r="D766" s="139">
        <f t="shared" si="11"/>
        <v>0</v>
      </c>
      <c r="E766" s="140">
        <v>1575.13</v>
      </c>
      <c r="F766" s="140">
        <v>1291.0899999999999</v>
      </c>
      <c r="G766" s="34" t="s">
        <v>100</v>
      </c>
      <c r="H766" s="34" t="s">
        <v>39</v>
      </c>
      <c r="I766" s="35">
        <v>1</v>
      </c>
      <c r="J766" s="35">
        <v>1</v>
      </c>
      <c r="K766" s="35">
        <v>20</v>
      </c>
      <c r="L766" s="60" t="str">
        <f>HYPERLINK("https://www.sds-group.ru/product/tokovye-kleschi-ms2030-mastech-13-1305/", "Инфо")</f>
        <v>Инфо</v>
      </c>
      <c r="M766" s="37">
        <v>0.42599999999999999</v>
      </c>
      <c r="N766" s="38">
        <v>1.833E-3</v>
      </c>
      <c r="O766" s="141">
        <v>4601004018211</v>
      </c>
    </row>
    <row r="767" spans="1:15" s="1" customFormat="1" ht="11.45" customHeight="1" outlineLevel="3" x14ac:dyDescent="0.2">
      <c r="A767" s="32" t="s">
        <v>7629</v>
      </c>
      <c r="B767" s="74" t="s">
        <v>7630</v>
      </c>
      <c r="C767" s="50"/>
      <c r="D767" s="139">
        <f t="shared" si="11"/>
        <v>0</v>
      </c>
      <c r="E767" s="140">
        <v>3307.36</v>
      </c>
      <c r="F767" s="140">
        <v>2710.95</v>
      </c>
      <c r="G767" s="34" t="s">
        <v>100</v>
      </c>
      <c r="H767" s="34" t="s">
        <v>39</v>
      </c>
      <c r="I767" s="35">
        <v>1</v>
      </c>
      <c r="J767" s="35">
        <v>1</v>
      </c>
      <c r="K767" s="35">
        <v>20</v>
      </c>
      <c r="L767" s="60" t="str">
        <f>HYPERLINK("https://www.sds-group.ru/product/tokovye-kleschi-ms2033a-smart-mastech-13-1320/", "Инфо")</f>
        <v>Инфо</v>
      </c>
      <c r="M767" s="37">
        <v>0.438</v>
      </c>
      <c r="N767" s="38">
        <v>1.3619999999999999E-3</v>
      </c>
      <c r="O767" s="141">
        <v>4601004195868</v>
      </c>
    </row>
    <row r="768" spans="1:15" s="1" customFormat="1" ht="11.45" customHeight="1" outlineLevel="3" x14ac:dyDescent="0.2">
      <c r="A768" s="32" t="s">
        <v>7631</v>
      </c>
      <c r="B768" s="74" t="s">
        <v>7632</v>
      </c>
      <c r="C768" s="50"/>
      <c r="D768" s="139">
        <f t="shared" si="11"/>
        <v>0</v>
      </c>
      <c r="E768" s="140">
        <v>3615.48</v>
      </c>
      <c r="F768" s="140">
        <v>2963.51</v>
      </c>
      <c r="G768" s="34" t="s">
        <v>100</v>
      </c>
      <c r="H768" s="34" t="s">
        <v>39</v>
      </c>
      <c r="I768" s="35">
        <v>1</v>
      </c>
      <c r="J768" s="35">
        <v>1</v>
      </c>
      <c r="K768" s="35">
        <v>10</v>
      </c>
      <c r="L768" s="60" t="str">
        <f>HYPERLINK("https://www.sds-group.ru/product/tokovye-kleschi-ms2101-mastech-13-1308/", "Инфо")</f>
        <v>Инфо</v>
      </c>
      <c r="M768" s="37">
        <v>0.78100000000000003</v>
      </c>
      <c r="N768" s="38">
        <v>3.5339999999999998E-3</v>
      </c>
      <c r="O768" s="141">
        <v>4601004052123</v>
      </c>
    </row>
    <row r="769" spans="1:15" s="1" customFormat="1" ht="11.45" customHeight="1" outlineLevel="3" x14ac:dyDescent="0.2">
      <c r="A769" s="32" t="s">
        <v>7633</v>
      </c>
      <c r="B769" s="74" t="s">
        <v>7634</v>
      </c>
      <c r="C769" s="50"/>
      <c r="D769" s="139">
        <f t="shared" si="11"/>
        <v>0</v>
      </c>
      <c r="E769" s="140">
        <v>4547.63</v>
      </c>
      <c r="F769" s="140">
        <v>3727.57</v>
      </c>
      <c r="G769" s="34" t="s">
        <v>100</v>
      </c>
      <c r="H769" s="34" t="s">
        <v>39</v>
      </c>
      <c r="I769" s="35">
        <v>1</v>
      </c>
      <c r="J769" s="35">
        <v>1</v>
      </c>
      <c r="K769" s="35">
        <v>20</v>
      </c>
      <c r="L769" s="60" t="str">
        <f>HYPERLINK("https://www.sds-group.ru/product/tokovye-kleschi-ms2109a-mastech-13-1309/", "Инфо")</f>
        <v>Инфо</v>
      </c>
      <c r="M769" s="37">
        <v>0.53800000000000003</v>
      </c>
      <c r="N769" s="38">
        <v>1.823E-3</v>
      </c>
      <c r="O769" s="141">
        <v>4601004052185</v>
      </c>
    </row>
    <row r="770" spans="1:15" s="1" customFormat="1" ht="11.45" customHeight="1" outlineLevel="3" x14ac:dyDescent="0.2">
      <c r="A770" s="32" t="s">
        <v>7635</v>
      </c>
      <c r="B770" s="74" t="s">
        <v>7636</v>
      </c>
      <c r="C770" s="50"/>
      <c r="D770" s="139">
        <f t="shared" si="11"/>
        <v>0</v>
      </c>
      <c r="E770" s="140">
        <v>5043.7299999999996</v>
      </c>
      <c r="F770" s="140">
        <v>4134.2</v>
      </c>
      <c r="G770" s="34" t="s">
        <v>100</v>
      </c>
      <c r="H770" s="34" t="s">
        <v>39</v>
      </c>
      <c r="I770" s="35">
        <v>1</v>
      </c>
      <c r="J770" s="35">
        <v>1</v>
      </c>
      <c r="K770" s="35">
        <v>20</v>
      </c>
      <c r="L770" s="60" t="str">
        <f>HYPERLINK("https://www.sds-group.ru/product/tokovye-kleschi-ms2125a-mastech-13-1323/", "Инфо")</f>
        <v>Инфо</v>
      </c>
      <c r="M770" s="37">
        <v>0.66300000000000003</v>
      </c>
      <c r="N770" s="38">
        <v>2.5669999999999998E-3</v>
      </c>
      <c r="O770" s="141">
        <v>4601004195912</v>
      </c>
    </row>
    <row r="771" spans="1:15" s="1" customFormat="1" ht="11.45" customHeight="1" outlineLevel="3" x14ac:dyDescent="0.2">
      <c r="A771" s="32" t="s">
        <v>7637</v>
      </c>
      <c r="B771" s="74" t="s">
        <v>7638</v>
      </c>
      <c r="C771" s="50"/>
      <c r="D771" s="139">
        <f t="shared" si="11"/>
        <v>0</v>
      </c>
      <c r="E771" s="140">
        <v>5787.89</v>
      </c>
      <c r="F771" s="140">
        <v>4744.17</v>
      </c>
      <c r="G771" s="34" t="s">
        <v>100</v>
      </c>
      <c r="H771" s="34" t="s">
        <v>39</v>
      </c>
      <c r="I771" s="35">
        <v>1</v>
      </c>
      <c r="J771" s="35">
        <v>1</v>
      </c>
      <c r="K771" s="35">
        <v>20</v>
      </c>
      <c r="L771" s="60" t="str">
        <f>HYPERLINK("https://www.sds-group.ru/product/tokovye-kleschi-ms2128-mastech-13-1317/", "Инфо")</f>
        <v>Инфо</v>
      </c>
      <c r="M771" s="37">
        <v>0.496</v>
      </c>
      <c r="N771" s="38">
        <v>1.7910000000000001E-3</v>
      </c>
      <c r="O771" s="141">
        <v>4601004195851</v>
      </c>
    </row>
    <row r="772" spans="1:15" s="1" customFormat="1" ht="11.45" customHeight="1" outlineLevel="3" x14ac:dyDescent="0.2">
      <c r="A772" s="32" t="s">
        <v>7639</v>
      </c>
      <c r="B772" s="74" t="s">
        <v>7640</v>
      </c>
      <c r="C772" s="50"/>
      <c r="D772" s="139">
        <f t="shared" si="11"/>
        <v>0</v>
      </c>
      <c r="E772" s="140">
        <v>5167.76</v>
      </c>
      <c r="F772" s="140">
        <v>4235.87</v>
      </c>
      <c r="G772" s="34" t="s">
        <v>100</v>
      </c>
      <c r="H772" s="34" t="s">
        <v>39</v>
      </c>
      <c r="I772" s="35">
        <v>1</v>
      </c>
      <c r="J772" s="35">
        <v>1</v>
      </c>
      <c r="K772" s="35">
        <v>20</v>
      </c>
      <c r="L772" s="60" t="str">
        <f>HYPERLINK("https://www.sds-group.ru/product/tokovye-kleschi-ms2138-mastech-13-1311/", "Инфо")</f>
        <v>Инфо</v>
      </c>
      <c r="M772" s="37">
        <v>0.624</v>
      </c>
      <c r="N772" s="38">
        <v>2.7079999999999999E-3</v>
      </c>
      <c r="O772" s="141">
        <v>4601004056510</v>
      </c>
    </row>
    <row r="773" spans="1:15" s="1" customFormat="1" ht="11.45" customHeight="1" outlineLevel="3" x14ac:dyDescent="0.2">
      <c r="A773" s="32" t="s">
        <v>7641</v>
      </c>
      <c r="B773" s="74" t="s">
        <v>7642</v>
      </c>
      <c r="C773" s="50"/>
      <c r="D773" s="139">
        <f t="shared" si="11"/>
        <v>0</v>
      </c>
      <c r="E773" s="140">
        <v>3432.17</v>
      </c>
      <c r="F773" s="140">
        <v>2813.25</v>
      </c>
      <c r="G773" s="34" t="s">
        <v>100</v>
      </c>
      <c r="H773" s="34" t="s">
        <v>39</v>
      </c>
      <c r="I773" s="35">
        <v>1</v>
      </c>
      <c r="J773" s="35">
        <v>1</v>
      </c>
      <c r="K773" s="35">
        <v>20</v>
      </c>
      <c r="L773" s="60" t="str">
        <f>HYPERLINK("https://www.sds-group.ru/product/tokovye-kleschi-ms2601-mastech-13-1315/", "Инфо")</f>
        <v>Инфо</v>
      </c>
      <c r="M773" s="37">
        <v>0.69299999999999995</v>
      </c>
      <c r="N773" s="38">
        <v>4.4840000000000001E-3</v>
      </c>
      <c r="O773" s="141">
        <v>4601004195882</v>
      </c>
    </row>
    <row r="774" spans="1:15" s="1" customFormat="1" ht="11.45" customHeight="1" outlineLevel="3" x14ac:dyDescent="0.2">
      <c r="A774" s="32" t="s">
        <v>7657</v>
      </c>
      <c r="B774" s="74" t="s">
        <v>7658</v>
      </c>
      <c r="C774" s="50"/>
      <c r="D774" s="139">
        <f t="shared" si="11"/>
        <v>0</v>
      </c>
      <c r="E774" s="140">
        <v>1488.31</v>
      </c>
      <c r="F774" s="140">
        <v>1219.93</v>
      </c>
      <c r="G774" s="34" t="s">
        <v>100</v>
      </c>
      <c r="H774" s="34" t="s">
        <v>39</v>
      </c>
      <c r="I774" s="35">
        <v>1</v>
      </c>
      <c r="J774" s="35">
        <v>1</v>
      </c>
      <c r="K774" s="35">
        <v>40</v>
      </c>
      <c r="L774" s="60" t="str">
        <f>HYPERLINK("https://www.sds-group.ru/product/tokovye-kleschi-uni-t-ut200a-13-1080/", "Инфо")</f>
        <v>Инфо</v>
      </c>
      <c r="M774" s="37">
        <v>0.41299999999999998</v>
      </c>
      <c r="N774" s="38">
        <v>1.421E-3</v>
      </c>
      <c r="O774" s="141">
        <v>4601004289888</v>
      </c>
    </row>
    <row r="775" spans="1:15" s="1" customFormat="1" ht="11.45" customHeight="1" outlineLevel="3" x14ac:dyDescent="0.2">
      <c r="A775" s="32" t="s">
        <v>7659</v>
      </c>
      <c r="B775" s="74" t="s">
        <v>7660</v>
      </c>
      <c r="C775" s="50"/>
      <c r="D775" s="139">
        <f t="shared" si="11"/>
        <v>0</v>
      </c>
      <c r="E775" s="140">
        <v>1653.68</v>
      </c>
      <c r="F775" s="140">
        <v>1355.48</v>
      </c>
      <c r="G775" s="34" t="s">
        <v>100</v>
      </c>
      <c r="H775" s="34" t="s">
        <v>39</v>
      </c>
      <c r="I775" s="35">
        <v>1</v>
      </c>
      <c r="J775" s="35">
        <v>1</v>
      </c>
      <c r="K775" s="35">
        <v>40</v>
      </c>
      <c r="L775" s="60" t="str">
        <f>HYPERLINK("https://www.sds-group.ru/product/tokovye-kleschi-uni-t-ut201-13-1060/", "Инфо")</f>
        <v>Инфо</v>
      </c>
      <c r="M775" s="37">
        <v>0.41799999999999998</v>
      </c>
      <c r="N775" s="38">
        <v>1.5299999999999999E-3</v>
      </c>
      <c r="O775" s="141">
        <v>4601004268425</v>
      </c>
    </row>
    <row r="776" spans="1:15" s="1" customFormat="1" ht="11.45" customHeight="1" outlineLevel="3" x14ac:dyDescent="0.2">
      <c r="A776" s="32" t="s">
        <v>7661</v>
      </c>
      <c r="B776" s="74" t="s">
        <v>7662</v>
      </c>
      <c r="C776" s="50"/>
      <c r="D776" s="139">
        <f t="shared" si="11"/>
        <v>0</v>
      </c>
      <c r="E776" s="140">
        <v>1860.39</v>
      </c>
      <c r="F776" s="140">
        <v>1524.91</v>
      </c>
      <c r="G776" s="34" t="s">
        <v>100</v>
      </c>
      <c r="H776" s="34" t="s">
        <v>39</v>
      </c>
      <c r="I776" s="35">
        <v>1</v>
      </c>
      <c r="J776" s="35">
        <v>1</v>
      </c>
      <c r="K776" s="35">
        <v>40</v>
      </c>
      <c r="L776" s="60" t="str">
        <f>HYPERLINK("https://www.sds-group.ru/product/tokovye-kleschi-uni-t-ut202-13-1061/", "Инфо")</f>
        <v>Инфо</v>
      </c>
      <c r="M776" s="37">
        <v>0.42799999999999999</v>
      </c>
      <c r="N776" s="38">
        <v>1.588E-3</v>
      </c>
      <c r="O776" s="141">
        <v>4601004268432</v>
      </c>
    </row>
    <row r="777" spans="1:15" s="1" customFormat="1" ht="11.45" customHeight="1" outlineLevel="3" x14ac:dyDescent="0.2">
      <c r="A777" s="32" t="s">
        <v>7663</v>
      </c>
      <c r="B777" s="74" t="s">
        <v>7664</v>
      </c>
      <c r="C777" s="50"/>
      <c r="D777" s="139">
        <f t="shared" si="11"/>
        <v>0</v>
      </c>
      <c r="E777" s="140">
        <v>1736.36</v>
      </c>
      <c r="F777" s="140">
        <v>1423.25</v>
      </c>
      <c r="G777" s="34" t="s">
        <v>100</v>
      </c>
      <c r="H777" s="34" t="s">
        <v>39</v>
      </c>
      <c r="I777" s="35">
        <v>1</v>
      </c>
      <c r="J777" s="35">
        <v>1</v>
      </c>
      <c r="K777" s="35">
        <v>40</v>
      </c>
      <c r="L777" s="60" t="str">
        <f>HYPERLINK("https://www.sds-group.ru/product/tokovye-kleschi-uni-t-ut202a-13-1062/", "Инфо")</f>
        <v>Инфо</v>
      </c>
      <c r="M777" s="37">
        <v>0.41599999999999998</v>
      </c>
      <c r="N777" s="38">
        <v>1.5299999999999999E-3</v>
      </c>
      <c r="O777" s="141">
        <v>4601004290204</v>
      </c>
    </row>
    <row r="778" spans="1:15" s="1" customFormat="1" ht="11.45" customHeight="1" outlineLevel="3" x14ac:dyDescent="0.2">
      <c r="A778" s="32" t="s">
        <v>7665</v>
      </c>
      <c r="B778" s="74" t="s">
        <v>7666</v>
      </c>
      <c r="C778" s="50"/>
      <c r="D778" s="139">
        <f t="shared" si="11"/>
        <v>0</v>
      </c>
      <c r="E778" s="140">
        <v>2381.31</v>
      </c>
      <c r="F778" s="140">
        <v>1951.89</v>
      </c>
      <c r="G778" s="34" t="s">
        <v>100</v>
      </c>
      <c r="H778" s="34" t="s">
        <v>39</v>
      </c>
      <c r="I778" s="35">
        <v>1</v>
      </c>
      <c r="J778" s="35">
        <v>1</v>
      </c>
      <c r="K778" s="35">
        <v>40</v>
      </c>
      <c r="L778" s="60" t="str">
        <f>HYPERLINK("https://www.sds-group.ru/product/tokovye-kleschi-uni-t-ut202t-13-1084/", "Инфо")</f>
        <v>Инфо</v>
      </c>
      <c r="M778" s="37">
        <v>0.42799999999999999</v>
      </c>
      <c r="N778" s="38">
        <v>1.438E-3</v>
      </c>
      <c r="O778" s="141">
        <v>4601004290082</v>
      </c>
    </row>
    <row r="779" spans="1:15" s="1" customFormat="1" ht="11.45" customHeight="1" outlineLevel="3" x14ac:dyDescent="0.2">
      <c r="A779" s="32" t="s">
        <v>7667</v>
      </c>
      <c r="B779" s="74" t="s">
        <v>7668</v>
      </c>
      <c r="C779" s="50"/>
      <c r="D779" s="139">
        <f t="shared" ref="D779:D842" si="12">C779*E779</f>
        <v>0</v>
      </c>
      <c r="E779" s="140">
        <v>3046.91</v>
      </c>
      <c r="F779" s="140">
        <v>2497.4699999999998</v>
      </c>
      <c r="G779" s="34" t="s">
        <v>100</v>
      </c>
      <c r="H779" s="34" t="s">
        <v>39</v>
      </c>
      <c r="I779" s="35">
        <v>1</v>
      </c>
      <c r="J779" s="35">
        <v>1</v>
      </c>
      <c r="K779" s="35">
        <v>40</v>
      </c>
      <c r="L779" s="60" t="str">
        <f>HYPERLINK("https://www.sds-group.ru/product/tokovye-kleschi-uni-t-ut203-13-1063/", "Инфо")</f>
        <v>Инфо</v>
      </c>
      <c r="M779" s="37">
        <v>0.40200000000000002</v>
      </c>
      <c r="N779" s="38">
        <v>1.562E-3</v>
      </c>
      <c r="O779" s="141">
        <v>4601004290198</v>
      </c>
    </row>
    <row r="780" spans="1:15" s="1" customFormat="1" ht="11.45" customHeight="1" outlineLevel="3" x14ac:dyDescent="0.2">
      <c r="A780" s="32" t="s">
        <v>7669</v>
      </c>
      <c r="B780" s="74" t="s">
        <v>7670</v>
      </c>
      <c r="C780" s="50"/>
      <c r="D780" s="139">
        <f t="shared" si="12"/>
        <v>0</v>
      </c>
      <c r="E780" s="140">
        <v>3435.53</v>
      </c>
      <c r="F780" s="140">
        <v>2816.01</v>
      </c>
      <c r="G780" s="34" t="s">
        <v>100</v>
      </c>
      <c r="H780" s="34" t="s">
        <v>39</v>
      </c>
      <c r="I780" s="35">
        <v>1</v>
      </c>
      <c r="J780" s="35">
        <v>1</v>
      </c>
      <c r="K780" s="35">
        <v>40</v>
      </c>
      <c r="L780" s="60" t="str">
        <f>HYPERLINK("https://www.sds-group.ru/product/tokovye-kleschi-uni-t-ut204-13-1064/", "Инфо")</f>
        <v>Инфо</v>
      </c>
      <c r="M780" s="37">
        <v>0.41399999999999998</v>
      </c>
      <c r="N780" s="38">
        <v>1.511E-3</v>
      </c>
      <c r="O780" s="141">
        <v>4601004268449</v>
      </c>
    </row>
    <row r="781" spans="1:15" s="1" customFormat="1" ht="11.45" customHeight="1" outlineLevel="3" x14ac:dyDescent="0.2">
      <c r="A781" s="32" t="s">
        <v>7671</v>
      </c>
      <c r="B781" s="74" t="s">
        <v>7672</v>
      </c>
      <c r="C781" s="50"/>
      <c r="D781" s="139">
        <f t="shared" si="12"/>
        <v>0</v>
      </c>
      <c r="E781" s="140">
        <v>3638.1</v>
      </c>
      <c r="F781" s="140">
        <v>2982.05</v>
      </c>
      <c r="G781" s="34" t="s">
        <v>100</v>
      </c>
      <c r="H781" s="34" t="s">
        <v>39</v>
      </c>
      <c r="I781" s="35">
        <v>1</v>
      </c>
      <c r="J781" s="35">
        <v>1</v>
      </c>
      <c r="K781" s="35">
        <v>20</v>
      </c>
      <c r="L781" s="60" t="str">
        <f>HYPERLINK("https://www.sds-group.ru/product/tokovye-kleschi-uni-t-ut205b-13-1067/", "Инфо")</f>
        <v>Инфо</v>
      </c>
      <c r="M781" s="37">
        <v>0.43</v>
      </c>
      <c r="N781" s="38">
        <v>1.7819999999999999E-3</v>
      </c>
      <c r="O781" s="141">
        <v>4601004290044</v>
      </c>
    </row>
    <row r="782" spans="1:15" s="1" customFormat="1" ht="11.45" customHeight="1" outlineLevel="3" x14ac:dyDescent="0.2">
      <c r="A782" s="32" t="s">
        <v>7673</v>
      </c>
      <c r="B782" s="74" t="s">
        <v>7674</v>
      </c>
      <c r="C782" s="50"/>
      <c r="D782" s="139">
        <f t="shared" si="12"/>
        <v>0</v>
      </c>
      <c r="E782" s="140">
        <v>3555.42</v>
      </c>
      <c r="F782" s="140">
        <v>2914.28</v>
      </c>
      <c r="G782" s="34" t="s">
        <v>100</v>
      </c>
      <c r="H782" s="34" t="s">
        <v>39</v>
      </c>
      <c r="I782" s="35">
        <v>1</v>
      </c>
      <c r="J782" s="35">
        <v>1</v>
      </c>
      <c r="K782" s="35">
        <v>20</v>
      </c>
      <c r="L782" s="60" t="str">
        <f>HYPERLINK("https://www.sds-group.ru/product/tokovye-kleschi-uni-t-ut205a-13-1065/", "Инфо")</f>
        <v>Инфо</v>
      </c>
      <c r="M782" s="37">
        <v>0.39400000000000002</v>
      </c>
      <c r="N782" s="38">
        <v>1.2620000000000001E-3</v>
      </c>
      <c r="O782" s="141">
        <v>4601004268456</v>
      </c>
    </row>
    <row r="783" spans="1:15" s="1" customFormat="1" ht="11.45" customHeight="1" outlineLevel="3" x14ac:dyDescent="0.2">
      <c r="A783" s="32" t="s">
        <v>7675</v>
      </c>
      <c r="B783" s="74" t="s">
        <v>7676</v>
      </c>
      <c r="C783" s="50"/>
      <c r="D783" s="139">
        <f t="shared" si="12"/>
        <v>0</v>
      </c>
      <c r="E783" s="140">
        <v>4051.52</v>
      </c>
      <c r="F783" s="140">
        <v>3320.92</v>
      </c>
      <c r="G783" s="34" t="s">
        <v>100</v>
      </c>
      <c r="H783" s="34" t="s">
        <v>39</v>
      </c>
      <c r="I783" s="35">
        <v>1</v>
      </c>
      <c r="J783" s="35">
        <v>1</v>
      </c>
      <c r="K783" s="35">
        <v>20</v>
      </c>
      <c r="L783" s="60" t="str">
        <f>HYPERLINK("https://www.sds-group.ru/product/tokovye-kleschi-uni-t-ut206a-13-1066/", "Инфо")</f>
        <v>Инфо</v>
      </c>
      <c r="M783" s="37">
        <v>0.439</v>
      </c>
      <c r="N783" s="38">
        <v>1.751E-3</v>
      </c>
      <c r="O783" s="141">
        <v>4601004268463</v>
      </c>
    </row>
    <row r="784" spans="1:15" s="1" customFormat="1" ht="11.45" customHeight="1" outlineLevel="3" x14ac:dyDescent="0.2">
      <c r="A784" s="32" t="s">
        <v>7677</v>
      </c>
      <c r="B784" s="74" t="s">
        <v>7678</v>
      </c>
      <c r="C784" s="50"/>
      <c r="D784" s="139">
        <f t="shared" si="12"/>
        <v>0</v>
      </c>
      <c r="E784" s="140">
        <v>4961.05</v>
      </c>
      <c r="F784" s="140">
        <v>4066.43</v>
      </c>
      <c r="G784" s="34" t="s">
        <v>100</v>
      </c>
      <c r="H784" s="34" t="s">
        <v>39</v>
      </c>
      <c r="I784" s="35">
        <v>1</v>
      </c>
      <c r="J784" s="35">
        <v>1</v>
      </c>
      <c r="K784" s="35">
        <v>10</v>
      </c>
      <c r="L784" s="60" t="str">
        <f>HYPERLINK("https://www.sds-group.ru/product/tokovye-kleschi-uni-t-ut206b-13-1069/", "Инфо")</f>
        <v>Инфо</v>
      </c>
      <c r="M784" s="37">
        <v>0.995</v>
      </c>
      <c r="N784" s="38">
        <v>3.888E-3</v>
      </c>
      <c r="O784" s="141">
        <v>4601004290181</v>
      </c>
    </row>
    <row r="785" spans="1:15" s="1" customFormat="1" ht="11.45" customHeight="1" outlineLevel="3" x14ac:dyDescent="0.2">
      <c r="A785" s="32" t="s">
        <v>7679</v>
      </c>
      <c r="B785" s="74" t="s">
        <v>7680</v>
      </c>
      <c r="C785" s="50"/>
      <c r="D785" s="139">
        <f t="shared" si="12"/>
        <v>0</v>
      </c>
      <c r="E785" s="140">
        <v>7648.28</v>
      </c>
      <c r="F785" s="140">
        <v>6269.08</v>
      </c>
      <c r="G785" s="34" t="s">
        <v>100</v>
      </c>
      <c r="H785" s="34" t="s">
        <v>39</v>
      </c>
      <c r="I785" s="35">
        <v>1</v>
      </c>
      <c r="J785" s="35">
        <v>1</v>
      </c>
      <c r="K785" s="35">
        <v>1</v>
      </c>
      <c r="L785" s="60" t="str">
        <f>HYPERLINK("https://www.sds-group.ru/product/tokovye-kleschi-uni-t-ut208b-13-1068/", "Инфо")</f>
        <v>Инфо</v>
      </c>
      <c r="M785" s="37">
        <v>0.99199999999999999</v>
      </c>
      <c r="N785" s="38">
        <v>3.9430000000000003E-3</v>
      </c>
      <c r="O785" s="141">
        <v>4601004268470</v>
      </c>
    </row>
    <row r="786" spans="1:15" s="1" customFormat="1" ht="11.45" customHeight="1" outlineLevel="3" x14ac:dyDescent="0.2">
      <c r="A786" s="32" t="s">
        <v>7681</v>
      </c>
      <c r="B786" s="74" t="s">
        <v>7682</v>
      </c>
      <c r="C786" s="50"/>
      <c r="D786" s="139">
        <f t="shared" si="12"/>
        <v>0</v>
      </c>
      <c r="E786" s="140">
        <v>1819.05</v>
      </c>
      <c r="F786" s="140">
        <v>1491.02</v>
      </c>
      <c r="G786" s="34" t="s">
        <v>100</v>
      </c>
      <c r="H786" s="34" t="s">
        <v>39</v>
      </c>
      <c r="I786" s="35">
        <v>1</v>
      </c>
      <c r="J786" s="35">
        <v>1</v>
      </c>
      <c r="K786" s="35">
        <v>40</v>
      </c>
      <c r="L786" s="60" t="str">
        <f>HYPERLINK("https://www.sds-group.ru/product/tokovye-kleschi-uni-t-ut210b-s-funktsiey-izmereniya-srednekvadratichnogo-znacheniya-13-0007/", "Инфо")</f>
        <v>Инфо</v>
      </c>
      <c r="M786" s="37">
        <v>0.19600000000000001</v>
      </c>
      <c r="N786" s="38">
        <v>5.6300000000000002E-4</v>
      </c>
      <c r="O786" s="141">
        <v>4601004164659</v>
      </c>
    </row>
    <row r="787" spans="1:15" s="1" customFormat="1" ht="11.45" customHeight="1" outlineLevel="3" x14ac:dyDescent="0.2">
      <c r="A787" s="32" t="s">
        <v>7683</v>
      </c>
      <c r="B787" s="74" t="s">
        <v>7684</v>
      </c>
      <c r="C787" s="50"/>
      <c r="D787" s="139">
        <f t="shared" si="12"/>
        <v>0</v>
      </c>
      <c r="E787" s="140">
        <v>3100.66</v>
      </c>
      <c r="F787" s="140">
        <v>2541.52</v>
      </c>
      <c r="G787" s="34" t="s">
        <v>100</v>
      </c>
      <c r="H787" s="34" t="s">
        <v>39</v>
      </c>
      <c r="I787" s="35">
        <v>1</v>
      </c>
      <c r="J787" s="35">
        <v>1</v>
      </c>
      <c r="K787" s="35">
        <v>1</v>
      </c>
      <c r="L787" s="60" t="str">
        <f>HYPERLINK("https://www.sds-group.ru/product/tokovye-kleschi-uni-t-ut210c-13-0006/", "Инфо")</f>
        <v>Инфо</v>
      </c>
      <c r="M787" s="37">
        <v>0.34899999999999998</v>
      </c>
      <c r="N787" s="38">
        <v>1.003E-3</v>
      </c>
      <c r="O787" s="141">
        <v>4601004290068</v>
      </c>
    </row>
    <row r="788" spans="1:15" s="1" customFormat="1" ht="11.45" customHeight="1" outlineLevel="3" x14ac:dyDescent="0.2">
      <c r="A788" s="32" t="s">
        <v>7685</v>
      </c>
      <c r="B788" s="74" t="s">
        <v>7686</v>
      </c>
      <c r="C788" s="50"/>
      <c r="D788" s="139">
        <f t="shared" si="12"/>
        <v>0</v>
      </c>
      <c r="E788" s="140">
        <v>4369.8599999999997</v>
      </c>
      <c r="F788" s="140">
        <v>3581.85</v>
      </c>
      <c r="G788" s="34" t="s">
        <v>100</v>
      </c>
      <c r="H788" s="34" t="s">
        <v>39</v>
      </c>
      <c r="I788" s="35">
        <v>1</v>
      </c>
      <c r="J788" s="35">
        <v>1</v>
      </c>
      <c r="K788" s="35">
        <v>40</v>
      </c>
      <c r="L788" s="60" t="str">
        <f>HYPERLINK("https://www.sds-group.ru/product/tokovye-kleschi-uni-t-ut210d-13-0008/", "Инфо")</f>
        <v>Инфо</v>
      </c>
      <c r="M788" s="37">
        <v>0.34200000000000003</v>
      </c>
      <c r="N788" s="38">
        <v>1.0139999999999999E-3</v>
      </c>
      <c r="O788" s="141">
        <v>4601004075542</v>
      </c>
    </row>
    <row r="789" spans="1:15" s="1" customFormat="1" ht="11.45" customHeight="1" outlineLevel="3" x14ac:dyDescent="0.2">
      <c r="A789" s="32" t="s">
        <v>7687</v>
      </c>
      <c r="B789" s="74" t="s">
        <v>7688</v>
      </c>
      <c r="C789" s="50"/>
      <c r="D789" s="139">
        <f t="shared" si="12"/>
        <v>0</v>
      </c>
      <c r="E789" s="140">
        <v>3575.68</v>
      </c>
      <c r="F789" s="140">
        <v>2930.89</v>
      </c>
      <c r="G789" s="34" t="s">
        <v>100</v>
      </c>
      <c r="H789" s="34" t="s">
        <v>39</v>
      </c>
      <c r="I789" s="35">
        <v>1</v>
      </c>
      <c r="J789" s="35">
        <v>1</v>
      </c>
      <c r="K789" s="35">
        <v>40</v>
      </c>
      <c r="L789" s="60" t="str">
        <f>HYPERLINK("https://www.sds-group.ru/product/tokovye-kleschi-uni-t-ut210e-13-0009/", "Инфо")</f>
        <v>Инфо</v>
      </c>
      <c r="M789" s="37">
        <v>0.32800000000000001</v>
      </c>
      <c r="N789" s="38">
        <v>9.8999999999999999E-4</v>
      </c>
      <c r="O789" s="141">
        <v>4601004075450</v>
      </c>
    </row>
    <row r="790" spans="1:15" s="1" customFormat="1" ht="11.45" customHeight="1" outlineLevel="3" x14ac:dyDescent="0.2">
      <c r="A790" s="32" t="s">
        <v>7689</v>
      </c>
      <c r="B790" s="74" t="s">
        <v>7690</v>
      </c>
      <c r="C790" s="50"/>
      <c r="D790" s="139">
        <f t="shared" si="12"/>
        <v>0</v>
      </c>
      <c r="E790" s="140">
        <v>2935.28</v>
      </c>
      <c r="F790" s="140">
        <v>2405.9699999999998</v>
      </c>
      <c r="G790" s="34" t="s">
        <v>100</v>
      </c>
      <c r="H790" s="34" t="s">
        <v>39</v>
      </c>
      <c r="I790" s="35">
        <v>1</v>
      </c>
      <c r="J790" s="35">
        <v>1</v>
      </c>
      <c r="K790" s="35">
        <v>40</v>
      </c>
      <c r="L790" s="60" t="str">
        <f>HYPERLINK("https://www.sds-group.ru/product/tokovye-kleschi-uni-t-ut2117r-13-1082/", "Инфо")</f>
        <v>Инфо</v>
      </c>
      <c r="M790" s="37">
        <v>0.38600000000000001</v>
      </c>
      <c r="N790" s="38">
        <v>1.4450000000000001E-3</v>
      </c>
      <c r="O790" s="141">
        <v>4601004289987</v>
      </c>
    </row>
    <row r="791" spans="1:15" s="1" customFormat="1" ht="11.45" customHeight="1" outlineLevel="3" x14ac:dyDescent="0.2">
      <c r="A791" s="32" t="s">
        <v>7691</v>
      </c>
      <c r="B791" s="74" t="s">
        <v>7692</v>
      </c>
      <c r="C791" s="50"/>
      <c r="D791" s="139">
        <f t="shared" si="12"/>
        <v>0</v>
      </c>
      <c r="E791" s="140">
        <v>8020.36</v>
      </c>
      <c r="F791" s="140">
        <v>6574.07</v>
      </c>
      <c r="G791" s="34" t="s">
        <v>100</v>
      </c>
      <c r="H791" s="34" t="s">
        <v>39</v>
      </c>
      <c r="I791" s="35">
        <v>1</v>
      </c>
      <c r="J791" s="35">
        <v>1</v>
      </c>
      <c r="K791" s="35">
        <v>10</v>
      </c>
      <c r="L791" s="60" t="str">
        <f>HYPERLINK("https://www.sds-group.ru/product/tokovye-kleschi-uni-t-ut216c-13-1077/", "Инфо")</f>
        <v>Инфо</v>
      </c>
      <c r="M791" s="37">
        <v>0.50600000000000001</v>
      </c>
      <c r="N791" s="38">
        <v>1.8580000000000001E-3</v>
      </c>
      <c r="O791" s="141">
        <v>4601004290013</v>
      </c>
    </row>
    <row r="792" spans="1:15" s="1" customFormat="1" ht="11.45" customHeight="1" outlineLevel="3" x14ac:dyDescent="0.2">
      <c r="A792" s="32" t="s">
        <v>7693</v>
      </c>
      <c r="B792" s="74" t="s">
        <v>7694</v>
      </c>
      <c r="C792" s="50"/>
      <c r="D792" s="139">
        <f t="shared" si="12"/>
        <v>0</v>
      </c>
      <c r="E792" s="140">
        <v>2356.5</v>
      </c>
      <c r="F792" s="140">
        <v>1931.56</v>
      </c>
      <c r="G792" s="34" t="s">
        <v>100</v>
      </c>
      <c r="H792" s="34" t="s">
        <v>39</v>
      </c>
      <c r="I792" s="35">
        <v>1</v>
      </c>
      <c r="J792" s="35">
        <v>1</v>
      </c>
      <c r="K792" s="35">
        <v>40</v>
      </c>
      <c r="L792" s="60" t="str">
        <f>HYPERLINK("https://www.sds-group.ru/product/tokovye-kleschi-uni-t-ut256-13-1086/", "Инфо")</f>
        <v>Инфо</v>
      </c>
      <c r="M792" s="37">
        <v>0.17599999999999999</v>
      </c>
      <c r="N792" s="38">
        <v>6.5200000000000002E-4</v>
      </c>
      <c r="O792" s="141">
        <v>4601004290051</v>
      </c>
    </row>
    <row r="793" spans="1:15" ht="11.45" customHeight="1" outlineLevel="2" x14ac:dyDescent="0.2">
      <c r="A793" s="76" t="s">
        <v>7695</v>
      </c>
      <c r="B793" s="136"/>
      <c r="C793" s="77"/>
      <c r="D793" s="137"/>
      <c r="E793" s="4"/>
      <c r="F793" s="4"/>
      <c r="G793" s="4"/>
      <c r="H793" s="4"/>
      <c r="I793" s="4"/>
      <c r="J793" s="4"/>
      <c r="K793" s="4"/>
      <c r="L793" s="138"/>
      <c r="M793" s="4"/>
      <c r="N793" s="4"/>
      <c r="O793" s="4"/>
    </row>
    <row r="794" spans="1:15" s="1" customFormat="1" ht="11.45" customHeight="1" outlineLevel="3" x14ac:dyDescent="0.2">
      <c r="A794" s="32" t="s">
        <v>7696</v>
      </c>
      <c r="B794" s="74" t="s">
        <v>7697</v>
      </c>
      <c r="C794" s="50"/>
      <c r="D794" s="139">
        <f t="shared" si="12"/>
        <v>0</v>
      </c>
      <c r="E794" s="140">
        <v>1736.36</v>
      </c>
      <c r="F794" s="140">
        <v>1423.25</v>
      </c>
      <c r="G794" s="34" t="s">
        <v>100</v>
      </c>
      <c r="H794" s="34" t="s">
        <v>39</v>
      </c>
      <c r="I794" s="35">
        <v>1</v>
      </c>
      <c r="J794" s="35">
        <v>1</v>
      </c>
      <c r="K794" s="35">
        <v>40</v>
      </c>
      <c r="L794" s="60" t="str">
        <f>HYPERLINK("https://www.sds-group.ru/product/pirometr-ms6522a-mastech-13-1233/", "Инфо")</f>
        <v>Инфо</v>
      </c>
      <c r="M794" s="37">
        <v>0.23799999999999999</v>
      </c>
      <c r="N794" s="38">
        <v>1.586E-3</v>
      </c>
      <c r="O794" s="141">
        <v>4601004070141</v>
      </c>
    </row>
    <row r="795" spans="1:15" s="1" customFormat="1" ht="11.45" customHeight="1" outlineLevel="3" x14ac:dyDescent="0.2">
      <c r="A795" s="32" t="s">
        <v>7698</v>
      </c>
      <c r="B795" s="74" t="s">
        <v>7699</v>
      </c>
      <c r="C795" s="50"/>
      <c r="D795" s="139">
        <f t="shared" si="12"/>
        <v>0</v>
      </c>
      <c r="E795" s="140">
        <v>1791.28</v>
      </c>
      <c r="F795" s="140">
        <v>1468.26</v>
      </c>
      <c r="G795" s="34" t="s">
        <v>100</v>
      </c>
      <c r="H795" s="34" t="s">
        <v>39</v>
      </c>
      <c r="I795" s="35">
        <v>1</v>
      </c>
      <c r="J795" s="35">
        <v>1</v>
      </c>
      <c r="K795" s="35">
        <v>40</v>
      </c>
      <c r="L795" s="60" t="str">
        <f>HYPERLINK("https://www.sds-group.ru/product/pirometr-ms6522b-mastech-13-1231/", "Инфо")</f>
        <v>Инфо</v>
      </c>
      <c r="M795" s="37">
        <v>0.23899999999999999</v>
      </c>
      <c r="N795" s="38">
        <v>1.585E-3</v>
      </c>
      <c r="O795" s="141">
        <v>4601004052093</v>
      </c>
    </row>
    <row r="796" spans="1:15" s="1" customFormat="1" ht="11.45" customHeight="1" outlineLevel="3" x14ac:dyDescent="0.2">
      <c r="A796" s="32" t="s">
        <v>7700</v>
      </c>
      <c r="B796" s="74" t="s">
        <v>7701</v>
      </c>
      <c r="C796" s="50"/>
      <c r="D796" s="139">
        <f t="shared" si="12"/>
        <v>0</v>
      </c>
      <c r="E796" s="140">
        <v>4961.05</v>
      </c>
      <c r="F796" s="140">
        <v>4066.43</v>
      </c>
      <c r="G796" s="34" t="s">
        <v>100</v>
      </c>
      <c r="H796" s="34" t="s">
        <v>39</v>
      </c>
      <c r="I796" s="35">
        <v>1</v>
      </c>
      <c r="J796" s="35">
        <v>1</v>
      </c>
      <c r="K796" s="35">
        <v>20</v>
      </c>
      <c r="L796" s="60" t="str">
        <f>HYPERLINK("https://www.sds-group.ru/product/pirometr-ms6541-mastech-13-1235/", "Инфо")</f>
        <v>Инфо</v>
      </c>
      <c r="M796" s="37">
        <v>0.34799999999999998</v>
      </c>
      <c r="N796" s="38">
        <v>1.635E-3</v>
      </c>
      <c r="O796" s="141">
        <v>4601004195929</v>
      </c>
    </row>
    <row r="797" spans="1:15" s="1" customFormat="1" ht="11.45" customHeight="1" outlineLevel="3" x14ac:dyDescent="0.2">
      <c r="A797" s="32" t="s">
        <v>7704</v>
      </c>
      <c r="B797" s="74" t="s">
        <v>7705</v>
      </c>
      <c r="C797" s="50"/>
      <c r="D797" s="139">
        <f t="shared" si="12"/>
        <v>0</v>
      </c>
      <c r="E797" s="140">
        <v>877.55</v>
      </c>
      <c r="F797" s="140">
        <v>719.3</v>
      </c>
      <c r="G797" s="34" t="s">
        <v>100</v>
      </c>
      <c r="H797" s="34" t="s">
        <v>39</v>
      </c>
      <c r="I797" s="35">
        <v>1</v>
      </c>
      <c r="J797" s="35">
        <v>1</v>
      </c>
      <c r="K797" s="35">
        <v>1</v>
      </c>
      <c r="L797" s="60" t="str">
        <f>HYPERLINK("https://www.sds-group.ru/product/pirometr-uni-t-ut300a-13-0030/", "Инфо")</f>
        <v>Инфо</v>
      </c>
      <c r="M797" s="37">
        <v>0.20100000000000001</v>
      </c>
      <c r="N797" s="38">
        <v>9.5E-4</v>
      </c>
      <c r="O797" s="141">
        <v>4601004290143</v>
      </c>
    </row>
    <row r="798" spans="1:15" s="1" customFormat="1" ht="11.45" customHeight="1" outlineLevel="3" x14ac:dyDescent="0.2">
      <c r="A798" s="32" t="s">
        <v>7706</v>
      </c>
      <c r="B798" s="74" t="s">
        <v>7707</v>
      </c>
      <c r="C798" s="50"/>
      <c r="D798" s="139">
        <f t="shared" si="12"/>
        <v>0</v>
      </c>
      <c r="E798" s="140">
        <v>1116.23</v>
      </c>
      <c r="F798" s="140">
        <v>914.94</v>
      </c>
      <c r="G798" s="34" t="s">
        <v>100</v>
      </c>
      <c r="H798" s="34" t="s">
        <v>39</v>
      </c>
      <c r="I798" s="35">
        <v>1</v>
      </c>
      <c r="J798" s="35">
        <v>1</v>
      </c>
      <c r="K798" s="35">
        <v>48</v>
      </c>
      <c r="L798" s="60" t="str">
        <f>HYPERLINK("https://www.sds-group.ru/product/pirometr-uni-t-ut300s-13-0025/", "Инфо")</f>
        <v>Инфо</v>
      </c>
      <c r="M798" s="37">
        <v>0.27</v>
      </c>
      <c r="N798" s="38">
        <v>1.9550000000000001E-3</v>
      </c>
      <c r="O798" s="141">
        <v>4601004059320</v>
      </c>
    </row>
    <row r="799" spans="1:15" s="1" customFormat="1" ht="11.45" customHeight="1" outlineLevel="3" x14ac:dyDescent="0.2">
      <c r="A799" s="32" t="s">
        <v>7708</v>
      </c>
      <c r="B799" s="74" t="s">
        <v>7709</v>
      </c>
      <c r="C799" s="50"/>
      <c r="D799" s="139">
        <f t="shared" si="12"/>
        <v>0</v>
      </c>
      <c r="E799" s="140">
        <v>2687.24</v>
      </c>
      <c r="F799" s="140">
        <v>2202.66</v>
      </c>
      <c r="G799" s="34" t="s">
        <v>100</v>
      </c>
      <c r="H799" s="34" t="s">
        <v>39</v>
      </c>
      <c r="I799" s="35">
        <v>1</v>
      </c>
      <c r="J799" s="35">
        <v>1</v>
      </c>
      <c r="K799" s="35">
        <v>20</v>
      </c>
      <c r="L799" s="60" t="str">
        <f>HYPERLINK("https://www.sds-group.ru/product/pirometr-uni-t-ut301a-13-0039/", "Инфо")</f>
        <v>Инфо</v>
      </c>
      <c r="M799" s="37">
        <v>0.36099999999999999</v>
      </c>
      <c r="N799" s="38">
        <v>2.1410000000000001E-3</v>
      </c>
      <c r="O799" s="141">
        <v>4601004290136</v>
      </c>
    </row>
    <row r="800" spans="1:15" s="1" customFormat="1" ht="11.45" customHeight="1" outlineLevel="3" x14ac:dyDescent="0.2">
      <c r="A800" s="32" t="s">
        <v>7710</v>
      </c>
      <c r="B800" s="74" t="s">
        <v>7711</v>
      </c>
      <c r="C800" s="50"/>
      <c r="D800" s="139">
        <f t="shared" si="12"/>
        <v>0</v>
      </c>
      <c r="E800" s="140">
        <v>3159.16</v>
      </c>
      <c r="F800" s="140">
        <v>2589.48</v>
      </c>
      <c r="G800" s="34" t="s">
        <v>100</v>
      </c>
      <c r="H800" s="34" t="s">
        <v>39</v>
      </c>
      <c r="I800" s="35">
        <v>1</v>
      </c>
      <c r="J800" s="35">
        <v>1</v>
      </c>
      <c r="K800" s="35">
        <v>20</v>
      </c>
      <c r="L800" s="60" t="str">
        <f>HYPERLINK("https://www.sds-group.ru/product/pirometr-uni-t-ut301c-13-0029/", "Инфо")</f>
        <v>Инфо</v>
      </c>
      <c r="M800" s="37">
        <v>0.35699999999999998</v>
      </c>
      <c r="N800" s="38">
        <v>2.1979999999999999E-3</v>
      </c>
      <c r="O800" s="141">
        <v>4601004268487</v>
      </c>
    </row>
    <row r="801" spans="1:15" s="1" customFormat="1" ht="11.45" customHeight="1" outlineLevel="3" x14ac:dyDescent="0.2">
      <c r="A801" s="32" t="s">
        <v>7712</v>
      </c>
      <c r="B801" s="74" t="s">
        <v>7713</v>
      </c>
      <c r="C801" s="50"/>
      <c r="D801" s="139">
        <f t="shared" si="12"/>
        <v>0</v>
      </c>
      <c r="E801" s="140">
        <v>1546.19</v>
      </c>
      <c r="F801" s="140">
        <v>1267.3699999999999</v>
      </c>
      <c r="G801" s="34" t="s">
        <v>100</v>
      </c>
      <c r="H801" s="34" t="s">
        <v>39</v>
      </c>
      <c r="I801" s="35">
        <v>1</v>
      </c>
      <c r="J801" s="35">
        <v>1</v>
      </c>
      <c r="K801" s="35">
        <v>20</v>
      </c>
      <c r="L801" s="60" t="str">
        <f>HYPERLINK("https://www.sds-group.ru/product/pirometr-karmannyy-uni-t-ut306a-13-0026/", "Инфо")</f>
        <v>Инфо</v>
      </c>
      <c r="M801" s="37">
        <v>0.161</v>
      </c>
      <c r="N801" s="38">
        <v>5.7200000000000003E-4</v>
      </c>
      <c r="O801" s="141">
        <v>4601004164642</v>
      </c>
    </row>
    <row r="802" spans="1:15" ht="11.45" customHeight="1" outlineLevel="2" x14ac:dyDescent="0.2">
      <c r="A802" s="76" t="s">
        <v>7714</v>
      </c>
      <c r="B802" s="136"/>
      <c r="C802" s="77"/>
      <c r="D802" s="137"/>
      <c r="E802" s="4"/>
      <c r="F802" s="4"/>
      <c r="G802" s="4"/>
      <c r="H802" s="4"/>
      <c r="I802" s="4"/>
      <c r="J802" s="4"/>
      <c r="K802" s="4"/>
      <c r="L802" s="138"/>
      <c r="M802" s="4"/>
      <c r="N802" s="4"/>
      <c r="O802" s="4"/>
    </row>
    <row r="803" spans="1:15" s="1" customFormat="1" ht="11.45" customHeight="1" outlineLevel="3" x14ac:dyDescent="0.2">
      <c r="A803" s="32" t="s">
        <v>7715</v>
      </c>
      <c r="B803" s="74" t="s">
        <v>7716</v>
      </c>
      <c r="C803" s="50"/>
      <c r="D803" s="139">
        <f t="shared" si="12"/>
        <v>0</v>
      </c>
      <c r="E803" s="140">
        <v>5694.29</v>
      </c>
      <c r="F803" s="140">
        <v>4667.45</v>
      </c>
      <c r="G803" s="34" t="s">
        <v>100</v>
      </c>
      <c r="H803" s="34" t="s">
        <v>39</v>
      </c>
      <c r="I803" s="35">
        <v>1</v>
      </c>
      <c r="J803" s="35">
        <v>1</v>
      </c>
      <c r="K803" s="35">
        <v>4</v>
      </c>
      <c r="L803" s="60" t="str">
        <f>HYPERLINK("https://www.sds-group.ru/product/izmeritel-soprotivleniya-izolyatsii-ms5201-mastech-13-1346/", "Инфо")</f>
        <v>Инфо</v>
      </c>
      <c r="M803" s="37">
        <v>2.399</v>
      </c>
      <c r="N803" s="38">
        <v>2.0389999999999998E-2</v>
      </c>
      <c r="O803" s="141">
        <v>4601004195936</v>
      </c>
    </row>
    <row r="804" spans="1:15" s="1" customFormat="1" ht="11.45" customHeight="1" outlineLevel="3" x14ac:dyDescent="0.2">
      <c r="A804" s="32" t="s">
        <v>7717</v>
      </c>
      <c r="B804" s="74" t="s">
        <v>7718</v>
      </c>
      <c r="C804" s="50"/>
      <c r="D804" s="139">
        <f t="shared" si="12"/>
        <v>0</v>
      </c>
      <c r="E804" s="140">
        <v>3650.58</v>
      </c>
      <c r="F804" s="140">
        <v>2992.28</v>
      </c>
      <c r="G804" s="34" t="s">
        <v>100</v>
      </c>
      <c r="H804" s="34" t="s">
        <v>39</v>
      </c>
      <c r="I804" s="35">
        <v>1</v>
      </c>
      <c r="J804" s="35">
        <v>1</v>
      </c>
      <c r="K804" s="35">
        <v>1</v>
      </c>
      <c r="L804" s="60" t="str">
        <f>HYPERLINK("https://www.sds-group.ru/product/izmeritel-soprotivleniya-izolyatsii-uni-t-ut501a-13-0043/", "Инфо")</f>
        <v>Инфо</v>
      </c>
      <c r="M804" s="37">
        <v>0.872</v>
      </c>
      <c r="N804" s="38">
        <v>3.2799999999999999E-3</v>
      </c>
      <c r="O804" s="141">
        <v>4601004290389</v>
      </c>
    </row>
    <row r="805" spans="1:15" s="1" customFormat="1" ht="11.45" customHeight="1" outlineLevel="3" x14ac:dyDescent="0.2">
      <c r="A805" s="32" t="s">
        <v>7719</v>
      </c>
      <c r="B805" s="74" t="s">
        <v>7720</v>
      </c>
      <c r="C805" s="50"/>
      <c r="D805" s="139">
        <f t="shared" si="12"/>
        <v>0</v>
      </c>
      <c r="E805" s="140">
        <v>5787.89</v>
      </c>
      <c r="F805" s="140">
        <v>4744.17</v>
      </c>
      <c r="G805" s="34" t="s">
        <v>100</v>
      </c>
      <c r="H805" s="34" t="s">
        <v>39</v>
      </c>
      <c r="I805" s="35">
        <v>1</v>
      </c>
      <c r="J805" s="35">
        <v>1</v>
      </c>
      <c r="K805" s="35">
        <v>20</v>
      </c>
      <c r="L805" s="60" t="str">
        <f>HYPERLINK("https://www.sds-group.ru/product/izmeritel-soprotivleniya-izolyatsii-uni-t-ut501b-13-0045/", "Инфо")</f>
        <v>Инфо</v>
      </c>
      <c r="M805" s="37">
        <v>0.91800000000000004</v>
      </c>
      <c r="N805" s="38">
        <v>3.1979999999999999E-3</v>
      </c>
      <c r="O805" s="141">
        <v>4601004290365</v>
      </c>
    </row>
    <row r="806" spans="1:15" s="1" customFormat="1" ht="11.45" customHeight="1" outlineLevel="3" x14ac:dyDescent="0.2">
      <c r="A806" s="32" t="s">
        <v>7721</v>
      </c>
      <c r="B806" s="74" t="s">
        <v>7722</v>
      </c>
      <c r="C806" s="50"/>
      <c r="D806" s="139">
        <f t="shared" si="12"/>
        <v>0</v>
      </c>
      <c r="E806" s="140">
        <v>6532.05</v>
      </c>
      <c r="F806" s="140">
        <v>5354.14</v>
      </c>
      <c r="G806" s="34" t="s">
        <v>100</v>
      </c>
      <c r="H806" s="34" t="s">
        <v>39</v>
      </c>
      <c r="I806" s="35">
        <v>1</v>
      </c>
      <c r="J806" s="35">
        <v>1</v>
      </c>
      <c r="K806" s="35">
        <v>20</v>
      </c>
      <c r="L806" s="60" t="str">
        <f>HYPERLINK("https://www.sds-group.ru/product/izmeritel-soprotivleniya-izolyatsii-uni-t-ut502a-13-0044/", "Инфо")</f>
        <v>Инфо</v>
      </c>
      <c r="M806" s="37">
        <v>0.94799999999999995</v>
      </c>
      <c r="N806" s="38">
        <v>3.0899999999999999E-3</v>
      </c>
      <c r="O806" s="141">
        <v>4601004060203</v>
      </c>
    </row>
    <row r="807" spans="1:15" s="1" customFormat="1" ht="11.45" customHeight="1" outlineLevel="3" x14ac:dyDescent="0.2">
      <c r="A807" s="32" t="s">
        <v>7723</v>
      </c>
      <c r="B807" s="74" t="s">
        <v>7724</v>
      </c>
      <c r="C807" s="50"/>
      <c r="D807" s="139">
        <f t="shared" si="12"/>
        <v>0</v>
      </c>
      <c r="E807" s="140">
        <v>8268.42</v>
      </c>
      <c r="F807" s="140">
        <v>6777.39</v>
      </c>
      <c r="G807" s="34" t="s">
        <v>100</v>
      </c>
      <c r="H807" s="34" t="s">
        <v>39</v>
      </c>
      <c r="I807" s="35">
        <v>1</v>
      </c>
      <c r="J807" s="35">
        <v>1</v>
      </c>
      <c r="K807" s="35">
        <v>4</v>
      </c>
      <c r="L807" s="60" t="str">
        <f>HYPERLINK("https://www.sds-group.ru/product/izmeritel-soprotivleniya-izolyatsii-uni-t-ut511-13-0042/", "Инфо")</f>
        <v>Инфо</v>
      </c>
      <c r="M807" s="37">
        <v>3.335</v>
      </c>
      <c r="N807" s="38">
        <v>1.9057000000000001E-2</v>
      </c>
      <c r="O807" s="141">
        <v>4601004005709</v>
      </c>
    </row>
    <row r="808" spans="1:15" ht="11.45" customHeight="1" outlineLevel="2" x14ac:dyDescent="0.2">
      <c r="A808" s="76" t="s">
        <v>7725</v>
      </c>
      <c r="B808" s="136"/>
      <c r="C808" s="77"/>
      <c r="D808" s="137"/>
      <c r="E808" s="4"/>
      <c r="F808" s="4"/>
      <c r="G808" s="4"/>
      <c r="H808" s="4"/>
      <c r="I808" s="4"/>
      <c r="J808" s="4"/>
      <c r="K808" s="4"/>
      <c r="L808" s="138"/>
      <c r="M808" s="4"/>
      <c r="N808" s="4"/>
      <c r="O808" s="4"/>
    </row>
    <row r="809" spans="1:15" s="1" customFormat="1" ht="11.45" customHeight="1" outlineLevel="3" x14ac:dyDescent="0.2">
      <c r="A809" s="32" t="s">
        <v>7726</v>
      </c>
      <c r="B809" s="74" t="s">
        <v>7727</v>
      </c>
      <c r="C809" s="50"/>
      <c r="D809" s="139">
        <f t="shared" si="12"/>
        <v>0</v>
      </c>
      <c r="E809" s="140">
        <v>2067.1</v>
      </c>
      <c r="F809" s="140">
        <v>1694.34</v>
      </c>
      <c r="G809" s="34" t="s">
        <v>100</v>
      </c>
      <c r="H809" s="34" t="s">
        <v>39</v>
      </c>
      <c r="I809" s="35">
        <v>1</v>
      </c>
      <c r="J809" s="35">
        <v>1</v>
      </c>
      <c r="K809" s="35">
        <v>20</v>
      </c>
      <c r="L809" s="60" t="str">
        <f>HYPERLINK("https://www.sds-group.ru/product/detektor-metalla-ms6906-mastech-13-1210/", "Инфо")</f>
        <v>Инфо</v>
      </c>
      <c r="M809" s="37">
        <v>0.314</v>
      </c>
      <c r="N809" s="38">
        <v>2.1150000000000001E-3</v>
      </c>
      <c r="O809" s="141">
        <v>4601004018235</v>
      </c>
    </row>
    <row r="810" spans="1:15" ht="11.45" customHeight="1" outlineLevel="2" x14ac:dyDescent="0.2">
      <c r="A810" s="76" t="s">
        <v>7728</v>
      </c>
      <c r="B810" s="136"/>
      <c r="C810" s="77"/>
      <c r="D810" s="137"/>
      <c r="E810" s="4"/>
      <c r="F810" s="4"/>
      <c r="G810" s="4"/>
      <c r="H810" s="4"/>
      <c r="I810" s="4"/>
      <c r="J810" s="4"/>
      <c r="K810" s="4"/>
      <c r="L810" s="138"/>
      <c r="M810" s="4"/>
      <c r="N810" s="4"/>
      <c r="O810" s="4"/>
    </row>
    <row r="811" spans="1:15" s="1" customFormat="1" ht="11.45" customHeight="1" outlineLevel="3" x14ac:dyDescent="0.2">
      <c r="A811" s="32" t="s">
        <v>7729</v>
      </c>
      <c r="B811" s="74" t="s">
        <v>7730</v>
      </c>
      <c r="C811" s="50"/>
      <c r="D811" s="139">
        <f t="shared" si="12"/>
        <v>0</v>
      </c>
      <c r="E811" s="140">
        <v>2728.58</v>
      </c>
      <c r="F811" s="140">
        <v>2236.54</v>
      </c>
      <c r="G811" s="34" t="s">
        <v>100</v>
      </c>
      <c r="H811" s="34" t="s">
        <v>39</v>
      </c>
      <c r="I811" s="35">
        <v>1</v>
      </c>
      <c r="J811" s="35">
        <v>1</v>
      </c>
      <c r="K811" s="35">
        <v>40</v>
      </c>
      <c r="L811" s="60" t="str">
        <f>HYPERLINK("https://www.sds-group.ru/product/lazernyy-dalnomer-uni-t-lm100a-13-1162/", "Инфо")</f>
        <v>Инфо</v>
      </c>
      <c r="M811" s="37">
        <v>0.23</v>
      </c>
      <c r="N811" s="38">
        <v>1.505E-3</v>
      </c>
      <c r="O811" s="141">
        <v>4601004290075</v>
      </c>
    </row>
    <row r="812" spans="1:15" s="1" customFormat="1" ht="11.45" customHeight="1" outlineLevel="3" x14ac:dyDescent="0.2">
      <c r="A812" s="32" t="s">
        <v>7731</v>
      </c>
      <c r="B812" s="74" t="s">
        <v>7732</v>
      </c>
      <c r="C812" s="50"/>
      <c r="D812" s="139">
        <f t="shared" si="12"/>
        <v>0</v>
      </c>
      <c r="E812" s="140">
        <v>3307.36</v>
      </c>
      <c r="F812" s="140">
        <v>2710.95</v>
      </c>
      <c r="G812" s="34" t="s">
        <v>100</v>
      </c>
      <c r="H812" s="34" t="s">
        <v>39</v>
      </c>
      <c r="I812" s="35">
        <v>1</v>
      </c>
      <c r="J812" s="35">
        <v>1</v>
      </c>
      <c r="K812" s="35">
        <v>40</v>
      </c>
      <c r="L812" s="60" t="str">
        <f>HYPERLINK("https://www.sds-group.ru/product/lazernyy-dalnomer-uni-t-lm120a-13-1163/", "Инфо")</f>
        <v>Инфо</v>
      </c>
      <c r="M812" s="37">
        <v>0.21299999999999999</v>
      </c>
      <c r="N812" s="38">
        <v>1.1299999999999999E-3</v>
      </c>
      <c r="O812" s="141">
        <v>4601004290037</v>
      </c>
    </row>
    <row r="813" spans="1:15" s="1" customFormat="1" ht="11.45" customHeight="1" outlineLevel="3" x14ac:dyDescent="0.2">
      <c r="A813" s="32" t="s">
        <v>7733</v>
      </c>
      <c r="B813" s="74" t="s">
        <v>7734</v>
      </c>
      <c r="C813" s="50"/>
      <c r="D813" s="139">
        <f t="shared" si="12"/>
        <v>0</v>
      </c>
      <c r="E813" s="140">
        <v>1653.68</v>
      </c>
      <c r="F813" s="140">
        <v>1355.48</v>
      </c>
      <c r="G813" s="34" t="s">
        <v>100</v>
      </c>
      <c r="H813" s="34" t="s">
        <v>39</v>
      </c>
      <c r="I813" s="35">
        <v>1</v>
      </c>
      <c r="J813" s="35">
        <v>1</v>
      </c>
      <c r="K813" s="35">
        <v>40</v>
      </c>
      <c r="L813" s="60" t="str">
        <f>HYPERLINK("https://www.sds-group.ru/product/lazernyy-dalnomer-uni-t-lm50a-13-1160/", "Инфо")</f>
        <v>Инфо</v>
      </c>
      <c r="M813" s="37">
        <v>0.21</v>
      </c>
      <c r="N813" s="38">
        <v>1.1609999999999999E-3</v>
      </c>
      <c r="O813" s="141">
        <v>4601004290174</v>
      </c>
    </row>
    <row r="814" spans="1:15" s="1" customFormat="1" ht="11.45" customHeight="1" outlineLevel="3" x14ac:dyDescent="0.2">
      <c r="A814" s="32" t="s">
        <v>7735</v>
      </c>
      <c r="B814" s="74" t="s">
        <v>7736</v>
      </c>
      <c r="C814" s="50"/>
      <c r="D814" s="139">
        <f t="shared" si="12"/>
        <v>0</v>
      </c>
      <c r="E814" s="140">
        <v>1901.74</v>
      </c>
      <c r="F814" s="140">
        <v>1558.8</v>
      </c>
      <c r="G814" s="34" t="s">
        <v>100</v>
      </c>
      <c r="H814" s="34" t="s">
        <v>39</v>
      </c>
      <c r="I814" s="35">
        <v>1</v>
      </c>
      <c r="J814" s="35">
        <v>1</v>
      </c>
      <c r="K814" s="35">
        <v>40</v>
      </c>
      <c r="L814" s="60" t="str">
        <f>HYPERLINK("https://www.sds-group.ru/product/lazernyy-dalnomer-uni-t-lm70a-13-1161/", "Инфо")</f>
        <v>Инфо</v>
      </c>
      <c r="M814" s="37">
        <v>0.21</v>
      </c>
      <c r="N814" s="38">
        <v>1.137E-3</v>
      </c>
      <c r="O814" s="141">
        <v>4601004290020</v>
      </c>
    </row>
    <row r="815" spans="1:15" ht="11.45" customHeight="1" outlineLevel="2" x14ac:dyDescent="0.2">
      <c r="A815" s="76" t="s">
        <v>7737</v>
      </c>
      <c r="B815" s="136"/>
      <c r="C815" s="77"/>
      <c r="D815" s="137"/>
      <c r="E815" s="4"/>
      <c r="F815" s="4"/>
      <c r="G815" s="4"/>
      <c r="H815" s="4"/>
      <c r="I815" s="4"/>
      <c r="J815" s="4"/>
      <c r="K815" s="4"/>
      <c r="L815" s="138"/>
      <c r="M815" s="4"/>
      <c r="N815" s="4"/>
      <c r="O815" s="4"/>
    </row>
    <row r="816" spans="1:15" s="1" customFormat="1" ht="11.45" customHeight="1" outlineLevel="3" x14ac:dyDescent="0.2">
      <c r="A816" s="32" t="s">
        <v>7738</v>
      </c>
      <c r="B816" s="74" t="s">
        <v>7739</v>
      </c>
      <c r="C816" s="50"/>
      <c r="D816" s="139">
        <f t="shared" si="12"/>
        <v>0</v>
      </c>
      <c r="E816" s="140">
        <v>1364.29</v>
      </c>
      <c r="F816" s="140">
        <v>1118.27</v>
      </c>
      <c r="G816" s="34" t="s">
        <v>100</v>
      </c>
      <c r="H816" s="34" t="s">
        <v>39</v>
      </c>
      <c r="I816" s="35">
        <v>1</v>
      </c>
      <c r="J816" s="35">
        <v>1</v>
      </c>
      <c r="K816" s="35">
        <v>40</v>
      </c>
      <c r="L816" s="60" t="str">
        <f>HYPERLINK("https://www.sds-group.ru/product/anemometr-kompaktnyy-uni-t-ut363-13-1142/", "Инфо")</f>
        <v>Инфо</v>
      </c>
      <c r="M816" s="37">
        <v>0.14799999999999999</v>
      </c>
      <c r="N816" s="38">
        <v>5.7399999999999997E-4</v>
      </c>
      <c r="O816" s="141">
        <v>4601004289659</v>
      </c>
    </row>
    <row r="817" spans="1:15" s="1" customFormat="1" ht="11.45" customHeight="1" outlineLevel="3" x14ac:dyDescent="0.2">
      <c r="A817" s="32" t="s">
        <v>7740</v>
      </c>
      <c r="B817" s="74" t="s">
        <v>7741</v>
      </c>
      <c r="C817" s="50"/>
      <c r="D817" s="139">
        <f t="shared" si="12"/>
        <v>0</v>
      </c>
      <c r="E817" s="140">
        <v>1492.45</v>
      </c>
      <c r="F817" s="140">
        <v>1223.32</v>
      </c>
      <c r="G817" s="34" t="s">
        <v>100</v>
      </c>
      <c r="H817" s="34" t="s">
        <v>39</v>
      </c>
      <c r="I817" s="35">
        <v>1</v>
      </c>
      <c r="J817" s="35">
        <v>1</v>
      </c>
      <c r="K817" s="35">
        <v>20</v>
      </c>
      <c r="L817" s="60" t="str">
        <f>HYPERLINK("https://www.sds-group.ru/product/izmeritel-vlazhnosti-materialov-tsifrovoy-uni-t-ut377a-13-1147/", "Инфо")</f>
        <v>Инфо</v>
      </c>
      <c r="M817" s="37">
        <v>0.16400000000000001</v>
      </c>
      <c r="N817" s="38">
        <v>7.0299999999999996E-4</v>
      </c>
      <c r="O817" s="141">
        <v>4601004290167</v>
      </c>
    </row>
    <row r="818" spans="1:15" s="1" customFormat="1" ht="11.45" customHeight="1" outlineLevel="3" x14ac:dyDescent="0.2">
      <c r="A818" s="32" t="s">
        <v>7742</v>
      </c>
      <c r="B818" s="74" t="s">
        <v>7743</v>
      </c>
      <c r="C818" s="50"/>
      <c r="D818" s="139">
        <f t="shared" si="12"/>
        <v>0</v>
      </c>
      <c r="E818" s="140">
        <v>1364.29</v>
      </c>
      <c r="F818" s="140">
        <v>1118.27</v>
      </c>
      <c r="G818" s="34" t="s">
        <v>100</v>
      </c>
      <c r="H818" s="34" t="s">
        <v>39</v>
      </c>
      <c r="I818" s="35">
        <v>1</v>
      </c>
      <c r="J818" s="35">
        <v>1</v>
      </c>
      <c r="K818" s="35">
        <v>40</v>
      </c>
      <c r="L818" s="60" t="str">
        <f>HYPERLINK("https://www.sds-group.ru/product/izmeritel-urovnya-shuma-kompaktnyy-uni-t-ut353-13-1134/", "Инфо")</f>
        <v>Инфо</v>
      </c>
      <c r="M818" s="37">
        <v>0.14299999999999999</v>
      </c>
      <c r="N818" s="38">
        <v>5.8900000000000001E-4</v>
      </c>
      <c r="O818" s="141">
        <v>4601004289673</v>
      </c>
    </row>
    <row r="819" spans="1:15" s="1" customFormat="1" ht="11.45" customHeight="1" outlineLevel="3" x14ac:dyDescent="0.2">
      <c r="A819" s="32" t="s">
        <v>7744</v>
      </c>
      <c r="B819" s="74" t="s">
        <v>7745</v>
      </c>
      <c r="C819" s="50"/>
      <c r="D819" s="139">
        <f t="shared" si="12"/>
        <v>0</v>
      </c>
      <c r="E819" s="140">
        <v>1488.31</v>
      </c>
      <c r="F819" s="140">
        <v>1219.93</v>
      </c>
      <c r="G819" s="34" t="s">
        <v>100</v>
      </c>
      <c r="H819" s="34" t="s">
        <v>39</v>
      </c>
      <c r="I819" s="35">
        <v>1</v>
      </c>
      <c r="J819" s="35">
        <v>1</v>
      </c>
      <c r="K819" s="35">
        <v>40</v>
      </c>
      <c r="L819" s="60" t="str">
        <f>HYPERLINK("https://www.sds-group.ru/product/lyuksmetr-ms6610-mastech-13-1215/", "Инфо")</f>
        <v>Инфо</v>
      </c>
      <c r="M819" s="37">
        <v>0.29699999999999999</v>
      </c>
      <c r="N819" s="38">
        <v>1.3320000000000001E-3</v>
      </c>
      <c r="O819" s="141">
        <v>4601004052062</v>
      </c>
    </row>
    <row r="820" spans="1:15" s="1" customFormat="1" ht="11.45" customHeight="1" outlineLevel="3" x14ac:dyDescent="0.2">
      <c r="A820" s="32" t="s">
        <v>7746</v>
      </c>
      <c r="B820" s="74" t="s">
        <v>7747</v>
      </c>
      <c r="C820" s="50"/>
      <c r="D820" s="139">
        <f t="shared" si="12"/>
        <v>0</v>
      </c>
      <c r="E820" s="140">
        <v>2893.94</v>
      </c>
      <c r="F820" s="140">
        <v>2372.08</v>
      </c>
      <c r="G820" s="34" t="s">
        <v>100</v>
      </c>
      <c r="H820" s="34" t="s">
        <v>39</v>
      </c>
      <c r="I820" s="35">
        <v>1</v>
      </c>
      <c r="J820" s="35">
        <v>1</v>
      </c>
      <c r="K820" s="35">
        <v>20</v>
      </c>
      <c r="L820" s="60" t="str">
        <f>HYPERLINK("https://www.sds-group.ru/product/lyuksmetr-ms6612-mastech-13-1216/", "Инфо")</f>
        <v>Инфо</v>
      </c>
      <c r="M820" s="37">
        <v>0.33100000000000002</v>
      </c>
      <c r="N820" s="38">
        <v>1.6800000000000001E-3</v>
      </c>
      <c r="O820" s="141">
        <v>4601004093348</v>
      </c>
    </row>
    <row r="821" spans="1:15" s="1" customFormat="1" ht="11.45" customHeight="1" outlineLevel="3" x14ac:dyDescent="0.2">
      <c r="A821" s="32" t="s">
        <v>7748</v>
      </c>
      <c r="B821" s="74" t="s">
        <v>7749</v>
      </c>
      <c r="C821" s="50"/>
      <c r="D821" s="139">
        <f t="shared" si="12"/>
        <v>0</v>
      </c>
      <c r="E821" s="140">
        <v>6825.34</v>
      </c>
      <c r="F821" s="140">
        <v>5594.54</v>
      </c>
      <c r="G821" s="34" t="s">
        <v>100</v>
      </c>
      <c r="H821" s="34" t="s">
        <v>39</v>
      </c>
      <c r="I821" s="35">
        <v>1</v>
      </c>
      <c r="J821" s="35">
        <v>1</v>
      </c>
      <c r="K821" s="35">
        <v>10</v>
      </c>
      <c r="L821" s="60" t="str">
        <f>HYPERLINK("https://www.sds-group.ru/product/mnogofunktsionalnyy-tester-okruzhayuschey-sredy-ms6300-mastech-13-1250/", "Инфо")</f>
        <v>Инфо</v>
      </c>
      <c r="M821" s="37">
        <v>1.123</v>
      </c>
      <c r="N821" s="38">
        <v>5.3400000000000001E-3</v>
      </c>
      <c r="O821" s="141">
        <v>4601004052161</v>
      </c>
    </row>
    <row r="822" spans="1:15" s="1" customFormat="1" ht="11.45" customHeight="1" outlineLevel="3" x14ac:dyDescent="0.2">
      <c r="A822" s="32" t="s">
        <v>7750</v>
      </c>
      <c r="B822" s="74" t="s">
        <v>7751</v>
      </c>
      <c r="C822" s="50"/>
      <c r="D822" s="139">
        <f t="shared" si="12"/>
        <v>0</v>
      </c>
      <c r="E822" s="140">
        <v>2067.1</v>
      </c>
      <c r="F822" s="140">
        <v>1694.34</v>
      </c>
      <c r="G822" s="34" t="s">
        <v>100</v>
      </c>
      <c r="H822" s="34" t="s">
        <v>39</v>
      </c>
      <c r="I822" s="35">
        <v>1</v>
      </c>
      <c r="J822" s="35">
        <v>1</v>
      </c>
      <c r="K822" s="35">
        <v>6</v>
      </c>
      <c r="L822" s="60" t="str">
        <f>HYPERLINK("https://www.sds-group.ru/product/uglomer-tsifrovoy-lm320a-uni-t-13-1127/", "Инфо")</f>
        <v>Инфо</v>
      </c>
      <c r="M822" s="37">
        <v>0.20599999999999999</v>
      </c>
      <c r="N822" s="38">
        <v>5.1500000000000005E-4</v>
      </c>
      <c r="O822" s="141">
        <v>4601004289871</v>
      </c>
    </row>
    <row r="823" spans="1:15" s="1" customFormat="1" ht="11.45" customHeight="1" outlineLevel="3" x14ac:dyDescent="0.2">
      <c r="A823" s="32" t="s">
        <v>7752</v>
      </c>
      <c r="B823" s="74" t="s">
        <v>7753</v>
      </c>
      <c r="C823" s="50"/>
      <c r="D823" s="139">
        <f t="shared" si="12"/>
        <v>0</v>
      </c>
      <c r="E823" s="140">
        <v>4961.05</v>
      </c>
      <c r="F823" s="140">
        <v>4066.43</v>
      </c>
      <c r="G823" s="34" t="s">
        <v>100</v>
      </c>
      <c r="H823" s="34" t="s">
        <v>39</v>
      </c>
      <c r="I823" s="35">
        <v>1</v>
      </c>
      <c r="J823" s="35">
        <v>1</v>
      </c>
      <c r="K823" s="35">
        <v>20</v>
      </c>
      <c r="L823" s="60" t="str">
        <f>HYPERLINK("https://www.sds-group.ru/product/tsifrovoy-anemometr-ms6252b-mastech-13-1272/", "Инфо")</f>
        <v>Инфо</v>
      </c>
      <c r="M823" s="37">
        <v>0.41099999999999998</v>
      </c>
      <c r="N823" s="38">
        <v>1.689E-3</v>
      </c>
      <c r="O823" s="141">
        <v>4601004195981</v>
      </c>
    </row>
    <row r="824" spans="1:15" s="1" customFormat="1" ht="11.45" customHeight="1" outlineLevel="3" x14ac:dyDescent="0.2">
      <c r="A824" s="32" t="s">
        <v>7754</v>
      </c>
      <c r="B824" s="74" t="s">
        <v>7755</v>
      </c>
      <c r="C824" s="50"/>
      <c r="D824" s="139">
        <f t="shared" si="12"/>
        <v>0</v>
      </c>
      <c r="E824" s="140">
        <v>3112.36</v>
      </c>
      <c r="F824" s="140">
        <v>2551.11</v>
      </c>
      <c r="G824" s="34" t="s">
        <v>100</v>
      </c>
      <c r="H824" s="34" t="s">
        <v>39</v>
      </c>
      <c r="I824" s="35">
        <v>1</v>
      </c>
      <c r="J824" s="35">
        <v>1</v>
      </c>
      <c r="K824" s="35">
        <v>20</v>
      </c>
      <c r="L824" s="60" t="str">
        <f>HYPERLINK("https://www.sds-group.ru/product/tsifrovoy-detektor-utechki-gaza-ms6310-mastech-13-1246/", "Инфо")</f>
        <v>Инфо</v>
      </c>
      <c r="M824" s="37">
        <v>0.56899999999999995</v>
      </c>
      <c r="N824" s="38">
        <v>2.7079999999999999E-3</v>
      </c>
      <c r="O824" s="141">
        <v>4601004052154</v>
      </c>
    </row>
    <row r="825" spans="1:15" s="1" customFormat="1" ht="11.45" customHeight="1" outlineLevel="3" x14ac:dyDescent="0.2">
      <c r="A825" s="32" t="s">
        <v>7756</v>
      </c>
      <c r="B825" s="74" t="s">
        <v>7757</v>
      </c>
      <c r="C825" s="50"/>
      <c r="D825" s="139">
        <f t="shared" si="12"/>
        <v>0</v>
      </c>
      <c r="E825" s="140">
        <v>3432.17</v>
      </c>
      <c r="F825" s="140">
        <v>2813.25</v>
      </c>
      <c r="G825" s="34" t="s">
        <v>100</v>
      </c>
      <c r="H825" s="34" t="s">
        <v>39</v>
      </c>
      <c r="I825" s="35">
        <v>1</v>
      </c>
      <c r="J825" s="35">
        <v>1</v>
      </c>
      <c r="K825" s="35">
        <v>60</v>
      </c>
      <c r="L825" s="60" t="str">
        <f>HYPERLINK("https://www.sds-group.ru/product/tsifrovoy-izmeritel-vlazhnosti-materialov-ms6900-mastech-13-1275/", "Инфо")</f>
        <v>Инфо</v>
      </c>
      <c r="M825" s="37">
        <v>0.222</v>
      </c>
      <c r="N825" s="38">
        <v>8.5300000000000003E-4</v>
      </c>
      <c r="O825" s="141">
        <v>4601004196001</v>
      </c>
    </row>
    <row r="826" spans="1:15" s="1" customFormat="1" ht="11.45" customHeight="1" outlineLevel="3" x14ac:dyDescent="0.2">
      <c r="A826" s="32" t="s">
        <v>7758</v>
      </c>
      <c r="B826" s="74" t="s">
        <v>7759</v>
      </c>
      <c r="C826" s="50"/>
      <c r="D826" s="139">
        <f t="shared" si="12"/>
        <v>0</v>
      </c>
      <c r="E826" s="140">
        <v>7524.26</v>
      </c>
      <c r="F826" s="140">
        <v>6167.43</v>
      </c>
      <c r="G826" s="34" t="s">
        <v>100</v>
      </c>
      <c r="H826" s="34" t="s">
        <v>39</v>
      </c>
      <c r="I826" s="35">
        <v>1</v>
      </c>
      <c r="J826" s="35">
        <v>1</v>
      </c>
      <c r="K826" s="35">
        <v>10</v>
      </c>
      <c r="L826" s="60" t="str">
        <f>HYPERLINK("https://www.sds-group.ru/product/tsifrovoy-izmeritel-urovnya-shuma-ms6701-mastech-13-1252/", "Инфо")</f>
        <v>Инфо</v>
      </c>
      <c r="M826" s="37">
        <v>0.92400000000000004</v>
      </c>
      <c r="N826" s="38">
        <v>4.6620000000000003E-3</v>
      </c>
      <c r="O826" s="141">
        <v>4601004195998</v>
      </c>
    </row>
    <row r="827" spans="1:15" s="1" customFormat="1" ht="11.45" customHeight="1" outlineLevel="3" x14ac:dyDescent="0.2">
      <c r="A827" s="32" t="s">
        <v>7760</v>
      </c>
      <c r="B827" s="74" t="s">
        <v>7761</v>
      </c>
      <c r="C827" s="50"/>
      <c r="D827" s="139">
        <f t="shared" si="12"/>
        <v>0</v>
      </c>
      <c r="E827" s="140">
        <v>1092.05</v>
      </c>
      <c r="F827" s="140">
        <v>895.12</v>
      </c>
      <c r="G827" s="34" t="s">
        <v>100</v>
      </c>
      <c r="H827" s="34" t="s">
        <v>39</v>
      </c>
      <c r="I827" s="35">
        <v>1</v>
      </c>
      <c r="J827" s="35">
        <v>1</v>
      </c>
      <c r="K827" s="35">
        <v>60</v>
      </c>
      <c r="L827" s="60" t="str">
        <f>HYPERLINK("https://www.sds-group.ru/product/tsifrovoy-termometr-ms6500-mastech-13-1240/", "Инфо")</f>
        <v>Инфо</v>
      </c>
      <c r="M827" s="37">
        <v>0.24</v>
      </c>
      <c r="N827" s="38">
        <v>7.9600000000000005E-4</v>
      </c>
      <c r="O827" s="141">
        <v>4601004052147</v>
      </c>
    </row>
    <row r="828" spans="1:15" ht="11.45" customHeight="1" outlineLevel="2" x14ac:dyDescent="0.2">
      <c r="A828" s="76" t="s">
        <v>7762</v>
      </c>
      <c r="B828" s="136"/>
      <c r="C828" s="77"/>
      <c r="D828" s="137"/>
      <c r="E828" s="4"/>
      <c r="F828" s="4"/>
      <c r="G828" s="4"/>
      <c r="H828" s="4"/>
      <c r="I828" s="4"/>
      <c r="J828" s="4"/>
      <c r="K828" s="4"/>
      <c r="L828" s="138"/>
      <c r="M828" s="4"/>
      <c r="N828" s="4"/>
      <c r="O828" s="4"/>
    </row>
    <row r="829" spans="1:15" s="1" customFormat="1" ht="11.45" customHeight="1" outlineLevel="3" x14ac:dyDescent="0.2">
      <c r="A829" s="32" t="s">
        <v>7767</v>
      </c>
      <c r="B829" s="74" t="s">
        <v>7768</v>
      </c>
      <c r="C829" s="50"/>
      <c r="D829" s="139">
        <f t="shared" si="12"/>
        <v>0</v>
      </c>
      <c r="E829" s="140">
        <v>239.79</v>
      </c>
      <c r="F829" s="140">
        <v>196.55</v>
      </c>
      <c r="G829" s="34" t="s">
        <v>100</v>
      </c>
      <c r="H829" s="34" t="s">
        <v>39</v>
      </c>
      <c r="I829" s="35">
        <v>1</v>
      </c>
      <c r="J829" s="35">
        <v>1</v>
      </c>
      <c r="K829" s="35">
        <v>100</v>
      </c>
      <c r="L829" s="60" t="str">
        <f>HYPERLINK("https://www.sds-group.ru/product/schupy-t3030u-mastech-13-2033/", "Инфо")</f>
        <v>Инфо</v>
      </c>
      <c r="M829" s="37">
        <v>8.8999999999999996E-2</v>
      </c>
      <c r="N829" s="38">
        <v>3.7800000000000003E-4</v>
      </c>
      <c r="O829" s="141">
        <v>4601004068322</v>
      </c>
    </row>
    <row r="830" spans="1:15" s="1" customFormat="1" ht="11.45" customHeight="1" outlineLevel="3" x14ac:dyDescent="0.2">
      <c r="A830" s="32" t="s">
        <v>7769</v>
      </c>
      <c r="B830" s="74" t="s">
        <v>7770</v>
      </c>
      <c r="C830" s="50"/>
      <c r="D830" s="139">
        <f t="shared" si="12"/>
        <v>0</v>
      </c>
      <c r="E830" s="140">
        <v>214.98</v>
      </c>
      <c r="F830" s="140">
        <v>176.21</v>
      </c>
      <c r="G830" s="34" t="s">
        <v>100</v>
      </c>
      <c r="H830" s="34" t="s">
        <v>39</v>
      </c>
      <c r="I830" s="35">
        <v>1</v>
      </c>
      <c r="J830" s="35">
        <v>1</v>
      </c>
      <c r="K830" s="35">
        <v>200</v>
      </c>
      <c r="L830" s="60" t="str">
        <f>HYPERLINK("https://www.sds-group.ru/product/schupy-t3033u-mastech-13-2034/", "Инфо")</f>
        <v>Инфо</v>
      </c>
      <c r="M830" s="37">
        <v>7.0000000000000007E-2</v>
      </c>
      <c r="N830" s="38">
        <v>3.8699999999999997E-4</v>
      </c>
      <c r="O830" s="141">
        <v>4601004068339</v>
      </c>
    </row>
    <row r="831" spans="1:15" s="1" customFormat="1" ht="11.45" customHeight="1" outlineLevel="3" x14ac:dyDescent="0.2">
      <c r="A831" s="32" t="s">
        <v>7779</v>
      </c>
      <c r="B831" s="74" t="s">
        <v>7780</v>
      </c>
      <c r="C831" s="50"/>
      <c r="D831" s="139">
        <f t="shared" si="12"/>
        <v>0</v>
      </c>
      <c r="E831" s="140">
        <v>574.66</v>
      </c>
      <c r="F831" s="140">
        <v>471.03</v>
      </c>
      <c r="G831" s="34" t="s">
        <v>100</v>
      </c>
      <c r="H831" s="34" t="s">
        <v>39</v>
      </c>
      <c r="I831" s="35">
        <v>1</v>
      </c>
      <c r="J831" s="35">
        <v>1</v>
      </c>
      <c r="K831" s="35">
        <v>250</v>
      </c>
      <c r="L831" s="60" t="str">
        <f>HYPERLINK("https://www.sds-group.ru/product/schupy-testera-uni-t-ut-l13-13-0031/", "Инфо")</f>
        <v>Инфо</v>
      </c>
      <c r="M831" s="37">
        <v>0.12</v>
      </c>
      <c r="N831" s="38">
        <v>3.4099999999999999E-4</v>
      </c>
      <c r="O831" s="141">
        <v>4601004005815</v>
      </c>
    </row>
    <row r="832" spans="1:15" s="1" customFormat="1" ht="11.45" customHeight="1" outlineLevel="3" x14ac:dyDescent="0.2">
      <c r="A832" s="32" t="s">
        <v>7781</v>
      </c>
      <c r="B832" s="74" t="s">
        <v>7782</v>
      </c>
      <c r="C832" s="50"/>
      <c r="D832" s="139">
        <f t="shared" si="12"/>
        <v>0</v>
      </c>
      <c r="E832" s="140">
        <v>372.08</v>
      </c>
      <c r="F832" s="140">
        <v>304.98</v>
      </c>
      <c r="G832" s="34" t="s">
        <v>100</v>
      </c>
      <c r="H832" s="34" t="s">
        <v>39</v>
      </c>
      <c r="I832" s="35">
        <v>1</v>
      </c>
      <c r="J832" s="35">
        <v>1</v>
      </c>
      <c r="K832" s="35">
        <v>100</v>
      </c>
      <c r="L832" s="60" t="str">
        <f>HYPERLINK("https://www.sds-group.ru/product/schupy-testera-uni-t-ut-l27-13-0034/", "Инфо")</f>
        <v>Инфо</v>
      </c>
      <c r="M832" s="37">
        <v>0.123</v>
      </c>
      <c r="N832" s="38">
        <v>4.5100000000000001E-4</v>
      </c>
      <c r="O832" s="141">
        <v>4601004068155</v>
      </c>
    </row>
    <row r="833" spans="1:15" ht="11.45" customHeight="1" outlineLevel="2" x14ac:dyDescent="0.2">
      <c r="A833" s="76" t="s">
        <v>7787</v>
      </c>
      <c r="B833" s="136"/>
      <c r="C833" s="77"/>
      <c r="D833" s="137"/>
      <c r="E833" s="4"/>
      <c r="F833" s="4"/>
      <c r="G833" s="4"/>
      <c r="H833" s="4"/>
      <c r="I833" s="4"/>
      <c r="J833" s="4"/>
      <c r="K833" s="4"/>
      <c r="L833" s="138"/>
      <c r="M833" s="4"/>
      <c r="N833" s="4"/>
      <c r="O833" s="4"/>
    </row>
    <row r="834" spans="1:15" s="1" customFormat="1" ht="11.45" customHeight="1" outlineLevel="3" x14ac:dyDescent="0.2">
      <c r="A834" s="32" t="s">
        <v>7788</v>
      </c>
      <c r="B834" s="74" t="s">
        <v>7789</v>
      </c>
      <c r="C834" s="50"/>
      <c r="D834" s="139">
        <f t="shared" si="12"/>
        <v>0</v>
      </c>
      <c r="E834" s="140">
        <v>3059.32</v>
      </c>
      <c r="F834" s="140">
        <v>2507.64</v>
      </c>
      <c r="G834" s="34" t="s">
        <v>100</v>
      </c>
      <c r="H834" s="34" t="s">
        <v>39</v>
      </c>
      <c r="I834" s="35">
        <v>1</v>
      </c>
      <c r="J834" s="35">
        <v>1</v>
      </c>
      <c r="K834" s="35">
        <v>20</v>
      </c>
      <c r="L834" s="60" t="str">
        <f>HYPERLINK("https://www.sds-group.ru/product/izmeritel-emkosti-i-induktivnosti-lc-metr-my6243-mastech-13-2078/", "Инфо")</f>
        <v>Инфо</v>
      </c>
      <c r="M834" s="37">
        <v>0.64400000000000002</v>
      </c>
      <c r="N834" s="38">
        <v>3.2460000000000002E-3</v>
      </c>
      <c r="O834" s="141">
        <v>4601004196032</v>
      </c>
    </row>
    <row r="835" spans="1:15" s="1" customFormat="1" ht="11.45" customHeight="1" outlineLevel="3" x14ac:dyDescent="0.2">
      <c r="A835" s="32" t="s">
        <v>7790</v>
      </c>
      <c r="B835" s="74" t="s">
        <v>7791</v>
      </c>
      <c r="C835" s="50"/>
      <c r="D835" s="139">
        <f t="shared" si="12"/>
        <v>0</v>
      </c>
      <c r="E835" s="140">
        <v>2316.7199999999998</v>
      </c>
      <c r="F835" s="140">
        <v>1898.95</v>
      </c>
      <c r="G835" s="34" t="s">
        <v>100</v>
      </c>
      <c r="H835" s="34" t="s">
        <v>39</v>
      </c>
      <c r="I835" s="35">
        <v>1</v>
      </c>
      <c r="J835" s="35">
        <v>1</v>
      </c>
      <c r="K835" s="35">
        <v>20</v>
      </c>
      <c r="L835" s="60" t="str">
        <f>HYPERLINK("https://www.sds-group.ru/product/izmeritel-emkosti-i-induktivnosti-rlc-metr-ms8360e-mastech-13-2028/", "Инфо")</f>
        <v>Инфо</v>
      </c>
      <c r="M835" s="37">
        <v>0.68</v>
      </c>
      <c r="N835" s="38">
        <v>3.3279999999999998E-3</v>
      </c>
      <c r="O835" s="141">
        <v>4601004018174</v>
      </c>
    </row>
    <row r="836" spans="1:15" s="1" customFormat="1" ht="11.45" customHeight="1" outlineLevel="3" x14ac:dyDescent="0.2">
      <c r="A836" s="32" t="s">
        <v>7792</v>
      </c>
      <c r="B836" s="74" t="s">
        <v>7793</v>
      </c>
      <c r="C836" s="50"/>
      <c r="D836" s="139">
        <f t="shared" si="12"/>
        <v>0</v>
      </c>
      <c r="E836" s="140">
        <v>2418.5100000000002</v>
      </c>
      <c r="F836" s="140">
        <v>1982.39</v>
      </c>
      <c r="G836" s="34" t="s">
        <v>100</v>
      </c>
      <c r="H836" s="34" t="s">
        <v>39</v>
      </c>
      <c r="I836" s="35">
        <v>1</v>
      </c>
      <c r="J836" s="35">
        <v>1</v>
      </c>
      <c r="K836" s="35">
        <v>20</v>
      </c>
      <c r="L836" s="60" t="str">
        <f>HYPERLINK("https://www.sds-group.ru/product/izmeritel-emkosti-kondensatorov-c-metr-ms6013-mastech-13-2079/", "Инфо")</f>
        <v>Инфо</v>
      </c>
      <c r="M836" s="37">
        <v>0.59299999999999997</v>
      </c>
      <c r="N836" s="38">
        <v>2.5769999999999999E-3</v>
      </c>
      <c r="O836" s="141">
        <v>4601004196025</v>
      </c>
    </row>
    <row r="837" spans="1:15" s="1" customFormat="1" ht="11.45" customHeight="1" outlineLevel="3" x14ac:dyDescent="0.2">
      <c r="A837" s="32" t="s">
        <v>7794</v>
      </c>
      <c r="B837" s="74" t="s">
        <v>7795</v>
      </c>
      <c r="C837" s="50"/>
      <c r="D837" s="139">
        <f t="shared" si="12"/>
        <v>0</v>
      </c>
      <c r="E837" s="140">
        <v>10179.51</v>
      </c>
      <c r="F837" s="140">
        <v>8343.86</v>
      </c>
      <c r="G837" s="34" t="s">
        <v>100</v>
      </c>
      <c r="H837" s="34" t="s">
        <v>39</v>
      </c>
      <c r="I837" s="35">
        <v>1</v>
      </c>
      <c r="J837" s="35">
        <v>1</v>
      </c>
      <c r="K837" s="35">
        <v>4</v>
      </c>
      <c r="L837" s="60" t="str">
        <f>HYPERLINK("https://www.sds-group.ru/product/mostovoy-vysokotochnyy-izmeritel-ms5308-rlc-metr-mastech-13-2039/", "Инфо")</f>
        <v>Инфо</v>
      </c>
      <c r="M837" s="37">
        <v>2.4580000000000002</v>
      </c>
      <c r="N837" s="38">
        <v>1.3132E-2</v>
      </c>
      <c r="O837" s="141">
        <v>4601004070103</v>
      </c>
    </row>
    <row r="838" spans="1:15" s="1" customFormat="1" ht="11.45" customHeight="1" outlineLevel="3" x14ac:dyDescent="0.2">
      <c r="A838" s="32" t="s">
        <v>7796</v>
      </c>
      <c r="B838" s="74" t="s">
        <v>7797</v>
      </c>
      <c r="C838" s="50"/>
      <c r="D838" s="139">
        <f t="shared" si="12"/>
        <v>0</v>
      </c>
      <c r="E838" s="140">
        <v>1653.68</v>
      </c>
      <c r="F838" s="140">
        <v>1355.48</v>
      </c>
      <c r="G838" s="34" t="s">
        <v>100</v>
      </c>
      <c r="H838" s="34" t="s">
        <v>39</v>
      </c>
      <c r="I838" s="35">
        <v>1</v>
      </c>
      <c r="J838" s="35">
        <v>1</v>
      </c>
      <c r="K838" s="35">
        <v>40</v>
      </c>
      <c r="L838" s="60" t="str">
        <f>HYPERLINK("https://www.sds-group.ru/product/multimetr-dlya-chip-komponentov-smd-tester-ms8910-mastech-13-2048/", "Инфо")</f>
        <v>Инфо</v>
      </c>
      <c r="M838" s="37">
        <v>0.14399999999999999</v>
      </c>
      <c r="N838" s="38">
        <v>3.1799999999999998E-4</v>
      </c>
      <c r="O838" s="141">
        <v>4601004052079</v>
      </c>
    </row>
    <row r="839" spans="1:15" s="1" customFormat="1" ht="11.45" customHeight="1" outlineLevel="3" x14ac:dyDescent="0.2">
      <c r="A839" s="32" t="s">
        <v>7798</v>
      </c>
      <c r="B839" s="74" t="s">
        <v>7799</v>
      </c>
      <c r="C839" s="50"/>
      <c r="D839" s="139">
        <f t="shared" si="12"/>
        <v>0</v>
      </c>
      <c r="E839" s="140">
        <v>3390.05</v>
      </c>
      <c r="F839" s="140">
        <v>2778.73</v>
      </c>
      <c r="G839" s="34" t="s">
        <v>100</v>
      </c>
      <c r="H839" s="34" t="s">
        <v>39</v>
      </c>
      <c r="I839" s="35">
        <v>1</v>
      </c>
      <c r="J839" s="35">
        <v>1</v>
      </c>
      <c r="K839" s="35">
        <v>100</v>
      </c>
      <c r="L839" s="60" t="str">
        <f>HYPERLINK("https://www.sds-group.ru/product/multimetr-smd-tester-ms8911-mastech-13-2049/", "Инфо")</f>
        <v>Инфо</v>
      </c>
      <c r="M839" s="37">
        <v>0.129</v>
      </c>
      <c r="N839" s="38">
        <v>2.9100000000000003E-4</v>
      </c>
      <c r="O839" s="141">
        <v>4601004196018</v>
      </c>
    </row>
    <row r="840" spans="1:15" s="1" customFormat="1" ht="11.45" customHeight="1" outlineLevel="3" x14ac:dyDescent="0.2">
      <c r="A840" s="32" t="s">
        <v>7800</v>
      </c>
      <c r="B840" s="74" t="s">
        <v>7801</v>
      </c>
      <c r="C840" s="50"/>
      <c r="D840" s="139">
        <f t="shared" si="12"/>
        <v>0</v>
      </c>
      <c r="E840" s="140">
        <v>1405.63</v>
      </c>
      <c r="F840" s="140">
        <v>1152.1600000000001</v>
      </c>
      <c r="G840" s="34" t="s">
        <v>100</v>
      </c>
      <c r="H840" s="34" t="s">
        <v>39</v>
      </c>
      <c r="I840" s="35">
        <v>1</v>
      </c>
      <c r="J840" s="35">
        <v>1</v>
      </c>
      <c r="K840" s="35">
        <v>60</v>
      </c>
      <c r="L840" s="60" t="str">
        <f>HYPERLINK("https://www.sds-group.ru/product/multimetr-dlya-chip-komponentov-smd-tester-uni-t-ut116c-13-0085/", "Инфо")</f>
        <v>Инфо</v>
      </c>
      <c r="M840" s="37">
        <v>0.19500000000000001</v>
      </c>
      <c r="N840" s="38">
        <v>8.1300000000000003E-4</v>
      </c>
      <c r="O840" s="141">
        <v>4601004289901</v>
      </c>
    </row>
    <row r="841" spans="1:15" ht="11.45" customHeight="1" outlineLevel="2" x14ac:dyDescent="0.2">
      <c r="A841" s="76" t="s">
        <v>7802</v>
      </c>
      <c r="B841" s="136"/>
      <c r="C841" s="77"/>
      <c r="D841" s="137"/>
      <c r="E841" s="4"/>
      <c r="F841" s="4"/>
      <c r="G841" s="4"/>
      <c r="H841" s="4"/>
      <c r="I841" s="4"/>
      <c r="J841" s="4"/>
      <c r="K841" s="4"/>
      <c r="L841" s="138"/>
      <c r="M841" s="4"/>
      <c r="N841" s="4"/>
      <c r="O841" s="4"/>
    </row>
    <row r="842" spans="1:15" s="1" customFormat="1" ht="11.45" customHeight="1" outlineLevel="3" x14ac:dyDescent="0.2">
      <c r="A842" s="32" t="s">
        <v>7803</v>
      </c>
      <c r="B842" s="74" t="s">
        <v>7804</v>
      </c>
      <c r="C842" s="50"/>
      <c r="D842" s="139">
        <f t="shared" si="12"/>
        <v>0</v>
      </c>
      <c r="E842" s="140">
        <v>28112.6</v>
      </c>
      <c r="F842" s="140">
        <v>23043.11</v>
      </c>
      <c r="G842" s="34" t="s">
        <v>100</v>
      </c>
      <c r="H842" s="34" t="s">
        <v>39</v>
      </c>
      <c r="I842" s="35">
        <v>1</v>
      </c>
      <c r="J842" s="35">
        <v>1</v>
      </c>
      <c r="K842" s="35">
        <v>10</v>
      </c>
      <c r="L842" s="60" t="str">
        <f>HYPERLINK("https://www.sds-group.ru/product/teplovizor-uni-t-uti120b-13-1182/", "Инфо")</f>
        <v>Инфо</v>
      </c>
      <c r="M842" s="37">
        <v>0.96699999999999997</v>
      </c>
      <c r="N842" s="38">
        <v>4.895E-3</v>
      </c>
      <c r="O842" s="141">
        <v>4601004290259</v>
      </c>
    </row>
    <row r="843" spans="1:15" s="1" customFormat="1" ht="11.45" customHeight="1" outlineLevel="3" x14ac:dyDescent="0.2">
      <c r="A843" s="32" t="s">
        <v>7805</v>
      </c>
      <c r="B843" s="74" t="s">
        <v>7806</v>
      </c>
      <c r="C843" s="50"/>
      <c r="D843" s="139">
        <f t="shared" ref="D843:D906" si="13">C843*E843</f>
        <v>0</v>
      </c>
      <c r="E843" s="140">
        <v>19844.189999999999</v>
      </c>
      <c r="F843" s="140">
        <v>16265.73</v>
      </c>
      <c r="G843" s="34" t="s">
        <v>100</v>
      </c>
      <c r="H843" s="34" t="s">
        <v>39</v>
      </c>
      <c r="I843" s="35">
        <v>1</v>
      </c>
      <c r="J843" s="35">
        <v>1</v>
      </c>
      <c r="K843" s="35">
        <v>5</v>
      </c>
      <c r="L843" s="60" t="str">
        <f>HYPERLINK("https://www.sds-group.ru/product/teplovizor-kompaktnyy-uni-t-uti120p-13-1172/", "Инфо")</f>
        <v>Инфо</v>
      </c>
      <c r="M843" s="37">
        <v>0.47699999999999998</v>
      </c>
      <c r="N843" s="38">
        <v>2.1810000000000002E-3</v>
      </c>
      <c r="O843" s="141">
        <v>4601004290303</v>
      </c>
    </row>
    <row r="844" spans="1:15" ht="11.45" customHeight="1" outlineLevel="1" x14ac:dyDescent="0.2">
      <c r="A844" s="78" t="s">
        <v>7807</v>
      </c>
      <c r="B844" s="132"/>
      <c r="C844" s="79"/>
      <c r="D844" s="133"/>
      <c r="E844" s="134"/>
      <c r="F844" s="134"/>
      <c r="G844" s="134"/>
      <c r="H844" s="134"/>
      <c r="I844" s="134"/>
      <c r="J844" s="134"/>
      <c r="K844" s="134"/>
      <c r="L844" s="135"/>
      <c r="M844" s="134"/>
      <c r="N844" s="134"/>
      <c r="O844" s="134"/>
    </row>
    <row r="845" spans="1:15" ht="11.45" customHeight="1" outlineLevel="2" x14ac:dyDescent="0.2">
      <c r="A845" s="76" t="s">
        <v>7808</v>
      </c>
      <c r="B845" s="136"/>
      <c r="C845" s="77"/>
      <c r="D845" s="137"/>
      <c r="E845" s="4"/>
      <c r="F845" s="4"/>
      <c r="G845" s="4"/>
      <c r="H845" s="4"/>
      <c r="I845" s="4"/>
      <c r="J845" s="4"/>
      <c r="K845" s="4"/>
      <c r="L845" s="138"/>
      <c r="M845" s="4"/>
      <c r="N845" s="4"/>
      <c r="O845" s="4"/>
    </row>
    <row r="846" spans="1:15" s="1" customFormat="1" ht="11.45" customHeight="1" outlineLevel="3" x14ac:dyDescent="0.2">
      <c r="A846" s="32" t="s">
        <v>7851</v>
      </c>
      <c r="B846" s="74" t="s">
        <v>7852</v>
      </c>
      <c r="C846" s="50"/>
      <c r="D846" s="139">
        <f t="shared" si="13"/>
        <v>0</v>
      </c>
      <c r="E846" s="140">
        <v>1791.69</v>
      </c>
      <c r="F846" s="140">
        <v>1468.6</v>
      </c>
      <c r="G846" s="34" t="s">
        <v>100</v>
      </c>
      <c r="H846" s="34" t="s">
        <v>39</v>
      </c>
      <c r="I846" s="35">
        <v>1</v>
      </c>
      <c r="J846" s="35">
        <v>1</v>
      </c>
      <c r="K846" s="35">
        <v>20</v>
      </c>
      <c r="L846" s="60" t="str">
        <f>HYPERLINK("https://www.sds-group.ru/product/pistolet-kleevoy-60vt-11mm-ekspert-akkumulyatornyy-korobka-rexant-12-1553/", "Инфо")</f>
        <v>Инфо</v>
      </c>
      <c r="M846" s="37">
        <v>0.82699999999999996</v>
      </c>
      <c r="N846" s="38">
        <v>3.5460000000000001E-3</v>
      </c>
      <c r="O846" s="141">
        <v>4601004193666</v>
      </c>
    </row>
    <row r="847" spans="1:15" ht="11.45" customHeight="1" outlineLevel="2" x14ac:dyDescent="0.2">
      <c r="A847" s="76" t="s">
        <v>7855</v>
      </c>
      <c r="B847" s="136"/>
      <c r="C847" s="77"/>
      <c r="D847" s="137"/>
      <c r="E847" s="4"/>
      <c r="F847" s="4"/>
      <c r="G847" s="4"/>
      <c r="H847" s="4"/>
      <c r="I847" s="4"/>
      <c r="J847" s="4"/>
      <c r="K847" s="4"/>
      <c r="L847" s="138"/>
      <c r="M847" s="4"/>
      <c r="N847" s="4"/>
      <c r="O847" s="4"/>
    </row>
    <row r="848" spans="1:15" s="1" customFormat="1" ht="11.45" customHeight="1" outlineLevel="3" x14ac:dyDescent="0.2">
      <c r="A848" s="32" t="s">
        <v>7856</v>
      </c>
      <c r="B848" s="74" t="s">
        <v>7857</v>
      </c>
      <c r="C848" s="50"/>
      <c r="D848" s="139">
        <f t="shared" si="13"/>
        <v>0</v>
      </c>
      <c r="E848" s="140">
        <v>30.32</v>
      </c>
      <c r="F848" s="140">
        <v>24.85</v>
      </c>
      <c r="G848" s="34" t="s">
        <v>100</v>
      </c>
      <c r="H848" s="34" t="s">
        <v>1001</v>
      </c>
      <c r="I848" s="35">
        <v>1</v>
      </c>
      <c r="J848" s="35">
        <v>1</v>
      </c>
      <c r="K848" s="35">
        <v>100</v>
      </c>
      <c r="L848" s="60" t="str">
        <f>HYPERLINK("https://www.sds-group.ru/product/sterzhni-kleevye-11mm-100mm-krasnye-6-sht-up-blister-rexant-09-1229/", "Инфо")</f>
        <v>Инфо</v>
      </c>
      <c r="M848" s="37">
        <v>8.6999999999999994E-2</v>
      </c>
      <c r="N848" s="38">
        <v>2.9E-4</v>
      </c>
      <c r="O848" s="141">
        <v>4601004145504</v>
      </c>
    </row>
    <row r="849" spans="1:15" s="1" customFormat="1" ht="11.45" customHeight="1" outlineLevel="3" x14ac:dyDescent="0.2">
      <c r="A849" s="32" t="s">
        <v>7862</v>
      </c>
      <c r="B849" s="74" t="s">
        <v>7863</v>
      </c>
      <c r="C849" s="50"/>
      <c r="D849" s="139">
        <f t="shared" si="13"/>
        <v>0</v>
      </c>
      <c r="E849" s="140">
        <v>80.55</v>
      </c>
      <c r="F849" s="140">
        <v>66.02</v>
      </c>
      <c r="G849" s="34" t="s">
        <v>100</v>
      </c>
      <c r="H849" s="34" t="s">
        <v>1001</v>
      </c>
      <c r="I849" s="35">
        <v>1</v>
      </c>
      <c r="J849" s="35">
        <v>1</v>
      </c>
      <c r="K849" s="35">
        <v>100</v>
      </c>
      <c r="L849" s="60" t="str">
        <f>HYPERLINK("https://www.sds-group.ru/product/sterzhni-kleevye-11mm-100mm-prozrachnye-svetyaschiesya-12-sht-up-blister-rexant-09-1260/", "Инфо")</f>
        <v>Инфо</v>
      </c>
      <c r="M849" s="37">
        <v>0.14199999999999999</v>
      </c>
      <c r="N849" s="38">
        <v>4.37E-4</v>
      </c>
      <c r="O849" s="141">
        <v>4601004065949</v>
      </c>
    </row>
    <row r="850" spans="1:15" s="1" customFormat="1" ht="11.45" customHeight="1" outlineLevel="3" x14ac:dyDescent="0.2">
      <c r="A850" s="32" t="s">
        <v>7864</v>
      </c>
      <c r="B850" s="74" t="s">
        <v>7865</v>
      </c>
      <c r="C850" s="50"/>
      <c r="D850" s="139">
        <f t="shared" si="13"/>
        <v>0</v>
      </c>
      <c r="E850" s="140">
        <v>38.159999999999997</v>
      </c>
      <c r="F850" s="140">
        <v>31.28</v>
      </c>
      <c r="G850" s="34" t="s">
        <v>100</v>
      </c>
      <c r="H850" s="34" t="s">
        <v>1001</v>
      </c>
      <c r="I850" s="35">
        <v>1</v>
      </c>
      <c r="J850" s="35">
        <v>1</v>
      </c>
      <c r="K850" s="35">
        <v>100</v>
      </c>
      <c r="L850" s="60" t="str">
        <f>HYPERLINK("https://www.sds-group.ru/product/sterzhni-kleevye-11mm-100mm-sinie-6-sht-up-blister-rexant-09-1227/", "Инфо")</f>
        <v>Инфо</v>
      </c>
      <c r="M850" s="37">
        <v>8.8999999999999996E-2</v>
      </c>
      <c r="N850" s="38">
        <v>2.9799999999999998E-4</v>
      </c>
      <c r="O850" s="141">
        <v>4601004145481</v>
      </c>
    </row>
    <row r="851" spans="1:15" s="1" customFormat="1" ht="11.45" customHeight="1" outlineLevel="3" x14ac:dyDescent="0.2">
      <c r="A851" s="32" t="s">
        <v>7881</v>
      </c>
      <c r="B851" s="74" t="s">
        <v>7882</v>
      </c>
      <c r="C851" s="50"/>
      <c r="D851" s="139">
        <f t="shared" si="13"/>
        <v>0</v>
      </c>
      <c r="E851" s="140">
        <v>173.04</v>
      </c>
      <c r="F851" s="140">
        <v>141.84</v>
      </c>
      <c r="G851" s="34" t="s">
        <v>100</v>
      </c>
      <c r="H851" s="34" t="s">
        <v>1001</v>
      </c>
      <c r="I851" s="35">
        <v>1</v>
      </c>
      <c r="J851" s="35">
        <v>1</v>
      </c>
      <c r="K851" s="35">
        <v>100</v>
      </c>
      <c r="L851" s="60" t="str">
        <f>HYPERLINK("https://www.sds-group.ru/product/sterzhni-kleevye-11mm-270mm-sinie-10-sht-up-heder-rexant-09-1272/", "Инфо")</f>
        <v>Инфо</v>
      </c>
      <c r="M851" s="37">
        <v>0.27500000000000002</v>
      </c>
      <c r="N851" s="38">
        <v>4.7100000000000001E-4</v>
      </c>
      <c r="O851" s="141">
        <v>4601004145443</v>
      </c>
    </row>
    <row r="852" spans="1:15" s="1" customFormat="1" ht="11.45" customHeight="1" outlineLevel="3" x14ac:dyDescent="0.2">
      <c r="A852" s="32" t="s">
        <v>7885</v>
      </c>
      <c r="B852" s="74" t="s">
        <v>7886</v>
      </c>
      <c r="C852" s="50"/>
      <c r="D852" s="139">
        <f t="shared" si="13"/>
        <v>0</v>
      </c>
      <c r="E852" s="140">
        <v>125.13</v>
      </c>
      <c r="F852" s="140">
        <v>102.57</v>
      </c>
      <c r="G852" s="34" t="s">
        <v>100</v>
      </c>
      <c r="H852" s="34" t="s">
        <v>1001</v>
      </c>
      <c r="I852" s="35">
        <v>1</v>
      </c>
      <c r="J852" s="35">
        <v>1</v>
      </c>
      <c r="K852" s="35">
        <v>100</v>
      </c>
      <c r="L852" s="60" t="str">
        <f>HYPERLINK("https://www.sds-group.ru/product/sterzhni-kleevye-11mm-270mm-tsvetnye-s-blestkami-10-sht-up-heder-rexant-09-1285/", "Инфо")</f>
        <v>Инфо</v>
      </c>
      <c r="M852" s="37">
        <v>0.23699999999999999</v>
      </c>
      <c r="N852" s="38">
        <v>6.3000000000000003E-4</v>
      </c>
      <c r="O852" s="141">
        <v>4601004145535</v>
      </c>
    </row>
    <row r="853" spans="1:15" s="1" customFormat="1" ht="11.45" customHeight="1" outlineLevel="3" x14ac:dyDescent="0.2">
      <c r="A853" s="32" t="s">
        <v>7891</v>
      </c>
      <c r="B853" s="74" t="s">
        <v>7892</v>
      </c>
      <c r="C853" s="50"/>
      <c r="D853" s="139">
        <f t="shared" si="13"/>
        <v>0</v>
      </c>
      <c r="E853" s="140">
        <v>20.09</v>
      </c>
      <c r="F853" s="140">
        <v>16.47</v>
      </c>
      <c r="G853" s="34" t="s">
        <v>100</v>
      </c>
      <c r="H853" s="34" t="s">
        <v>1001</v>
      </c>
      <c r="I853" s="35">
        <v>1</v>
      </c>
      <c r="J853" s="35">
        <v>1</v>
      </c>
      <c r="K853" s="35">
        <v>100</v>
      </c>
      <c r="L853" s="60" t="str">
        <f>HYPERLINK("https://www.sds-group.ru/product/sterzhni-kleevye-7mm-100mm-zelenye-6-sht-up-blister-rexant-09-1018/", "Инфо")</f>
        <v>Инфо</v>
      </c>
      <c r="M853" s="37">
        <v>0.05</v>
      </c>
      <c r="N853" s="38">
        <v>2.41E-4</v>
      </c>
      <c r="O853" s="141">
        <v>4601004145399</v>
      </c>
    </row>
    <row r="854" spans="1:15" s="1" customFormat="1" ht="11.45" customHeight="1" outlineLevel="3" x14ac:dyDescent="0.2">
      <c r="A854" s="32" t="s">
        <v>7893</v>
      </c>
      <c r="B854" s="74" t="s">
        <v>7894</v>
      </c>
      <c r="C854" s="50"/>
      <c r="D854" s="139">
        <f t="shared" si="13"/>
        <v>0</v>
      </c>
      <c r="E854" s="140">
        <v>20.09</v>
      </c>
      <c r="F854" s="140">
        <v>16.47</v>
      </c>
      <c r="G854" s="34" t="s">
        <v>100</v>
      </c>
      <c r="H854" s="34" t="s">
        <v>1001</v>
      </c>
      <c r="I854" s="35">
        <v>1</v>
      </c>
      <c r="J854" s="35">
        <v>1</v>
      </c>
      <c r="K854" s="35">
        <v>100</v>
      </c>
      <c r="L854" s="60" t="str">
        <f>HYPERLINK("https://www.sds-group.ru/product/sterzhni-kleevye-7mm-100mm-krasnye-6-sht-up-blister-rexant-09-1019/", "Инфо")</f>
        <v>Инфо</v>
      </c>
      <c r="M854" s="37">
        <v>4.9000000000000002E-2</v>
      </c>
      <c r="N854" s="38">
        <v>2.4899999999999998E-4</v>
      </c>
      <c r="O854" s="141">
        <v>4601004145405</v>
      </c>
    </row>
    <row r="855" spans="1:15" s="1" customFormat="1" ht="11.45" customHeight="1" outlineLevel="3" x14ac:dyDescent="0.2">
      <c r="A855" s="32" t="s">
        <v>7901</v>
      </c>
      <c r="B855" s="74" t="s">
        <v>7902</v>
      </c>
      <c r="C855" s="50"/>
      <c r="D855" s="139">
        <f t="shared" si="13"/>
        <v>0</v>
      </c>
      <c r="E855" s="140">
        <v>20.09</v>
      </c>
      <c r="F855" s="140">
        <v>16.47</v>
      </c>
      <c r="G855" s="34" t="s">
        <v>100</v>
      </c>
      <c r="H855" s="34" t="s">
        <v>1001</v>
      </c>
      <c r="I855" s="35">
        <v>1</v>
      </c>
      <c r="J855" s="35">
        <v>1</v>
      </c>
      <c r="K855" s="35">
        <v>100</v>
      </c>
      <c r="L855" s="60" t="str">
        <f>HYPERLINK("https://www.sds-group.ru/product/sterzhni-kleevye-7mm-100mm-sinie-6-sht-up-blister-rexant-09-1017/", "Инфо")</f>
        <v>Инфо</v>
      </c>
      <c r="M855" s="37">
        <v>3.4000000000000002E-2</v>
      </c>
      <c r="N855" s="38">
        <v>2.2100000000000001E-4</v>
      </c>
      <c r="O855" s="141">
        <v>4601004145382</v>
      </c>
    </row>
    <row r="856" spans="1:15" s="1" customFormat="1" ht="11.45" customHeight="1" outlineLevel="3" x14ac:dyDescent="0.2">
      <c r="A856" s="32" t="s">
        <v>7907</v>
      </c>
      <c r="B856" s="74" t="s">
        <v>7908</v>
      </c>
      <c r="C856" s="50"/>
      <c r="D856" s="139">
        <f t="shared" si="13"/>
        <v>0</v>
      </c>
      <c r="E856" s="140">
        <v>52.03</v>
      </c>
      <c r="F856" s="140">
        <v>42.65</v>
      </c>
      <c r="G856" s="34" t="s">
        <v>100</v>
      </c>
      <c r="H856" s="34" t="s">
        <v>1001</v>
      </c>
      <c r="I856" s="35">
        <v>1</v>
      </c>
      <c r="J856" s="35">
        <v>1</v>
      </c>
      <c r="K856" s="35">
        <v>100</v>
      </c>
      <c r="L856" s="60" t="str">
        <f>HYPERLINK("https://www.sds-group.ru/product/sterzhni-kleevye-7mm-200mm-belye-10-sht-up-heder-rexant-09-1105/", "Инфо")</f>
        <v>Инфо</v>
      </c>
      <c r="M856" s="37">
        <v>8.2000000000000003E-2</v>
      </c>
      <c r="N856" s="38">
        <v>1.7699999999999999E-4</v>
      </c>
      <c r="O856" s="141">
        <v>4601004252851</v>
      </c>
    </row>
    <row r="857" spans="1:15" ht="11.45" customHeight="1" outlineLevel="2" x14ac:dyDescent="0.2">
      <c r="A857" s="76" t="s">
        <v>7936</v>
      </c>
      <c r="B857" s="136"/>
      <c r="C857" s="77"/>
      <c r="D857" s="137"/>
      <c r="E857" s="4"/>
      <c r="F857" s="4"/>
      <c r="G857" s="4"/>
      <c r="H857" s="4"/>
      <c r="I857" s="4"/>
      <c r="J857" s="4"/>
      <c r="K857" s="4"/>
      <c r="L857" s="138"/>
      <c r="M857" s="4"/>
      <c r="N857" s="4"/>
      <c r="O857" s="4"/>
    </row>
    <row r="858" spans="1:15" s="1" customFormat="1" ht="11.45" customHeight="1" outlineLevel="3" x14ac:dyDescent="0.2">
      <c r="A858" s="32" t="s">
        <v>7937</v>
      </c>
      <c r="B858" s="74" t="s">
        <v>7938</v>
      </c>
      <c r="C858" s="50"/>
      <c r="D858" s="139">
        <f t="shared" si="13"/>
        <v>0</v>
      </c>
      <c r="E858" s="140">
        <v>663.16</v>
      </c>
      <c r="F858" s="140">
        <v>543.57000000000005</v>
      </c>
      <c r="G858" s="34" t="s">
        <v>100</v>
      </c>
      <c r="H858" s="34" t="s">
        <v>39</v>
      </c>
      <c r="I858" s="35">
        <v>1</v>
      </c>
      <c r="J858" s="35">
        <v>1</v>
      </c>
      <c r="K858" s="35">
        <v>20</v>
      </c>
      <c r="L858" s="60" t="str">
        <f>HYPERLINK("https://www.sds-group.ru/product/ustroystvo-dlya-zapaivaniya-paketov-150vt-100-200-s-rexant-12-0055/", "Инфо")</f>
        <v>Инфо</v>
      </c>
      <c r="M858" s="37">
        <v>0.313</v>
      </c>
      <c r="N858" s="38">
        <v>5.8630000000000002E-3</v>
      </c>
      <c r="O858" s="141">
        <v>4601004001275</v>
      </c>
    </row>
    <row r="859" spans="1:15" ht="11.45" customHeight="1" outlineLevel="1" x14ac:dyDescent="0.2">
      <c r="A859" s="78" t="s">
        <v>7952</v>
      </c>
      <c r="B859" s="132"/>
      <c r="C859" s="79"/>
      <c r="D859" s="133"/>
      <c r="E859" s="134"/>
      <c r="F859" s="134"/>
      <c r="G859" s="134"/>
      <c r="H859" s="134"/>
      <c r="I859" s="134"/>
      <c r="J859" s="134"/>
      <c r="K859" s="134"/>
      <c r="L859" s="135"/>
      <c r="M859" s="134"/>
      <c r="N859" s="134"/>
      <c r="O859" s="134"/>
    </row>
    <row r="860" spans="1:15" ht="11.45" customHeight="1" outlineLevel="2" x14ac:dyDescent="0.2">
      <c r="A860" s="76" t="s">
        <v>7953</v>
      </c>
      <c r="B860" s="136"/>
      <c r="C860" s="77"/>
      <c r="D860" s="137"/>
      <c r="E860" s="4"/>
      <c r="F860" s="4"/>
      <c r="G860" s="4"/>
      <c r="H860" s="4"/>
      <c r="I860" s="4"/>
      <c r="J860" s="4"/>
      <c r="K860" s="4"/>
      <c r="L860" s="138"/>
      <c r="M860" s="4"/>
      <c r="N860" s="4"/>
      <c r="O860" s="4"/>
    </row>
    <row r="861" spans="1:15" ht="11.45" customHeight="1" outlineLevel="3" x14ac:dyDescent="0.2">
      <c r="A861" s="76" t="s">
        <v>7954</v>
      </c>
      <c r="B861" s="136"/>
      <c r="C861" s="77"/>
      <c r="D861" s="137"/>
      <c r="E861" s="4"/>
      <c r="F861" s="4"/>
      <c r="G861" s="4"/>
      <c r="H861" s="4"/>
      <c r="I861" s="4"/>
      <c r="J861" s="4"/>
      <c r="K861" s="4"/>
      <c r="L861" s="138"/>
      <c r="M861" s="4"/>
      <c r="N861" s="4"/>
      <c r="O861" s="4"/>
    </row>
    <row r="862" spans="1:15" s="1" customFormat="1" ht="11.45" customHeight="1" outlineLevel="4" x14ac:dyDescent="0.2">
      <c r="A862" s="32" t="s">
        <v>7955</v>
      </c>
      <c r="B862" s="74" t="s">
        <v>7956</v>
      </c>
      <c r="C862" s="50"/>
      <c r="D862" s="139">
        <f t="shared" si="13"/>
        <v>0</v>
      </c>
      <c r="E862" s="140">
        <v>39.71</v>
      </c>
      <c r="F862" s="140">
        <v>32.549999999999997</v>
      </c>
      <c r="G862" s="34" t="s">
        <v>100</v>
      </c>
      <c r="H862" s="34" t="s">
        <v>39</v>
      </c>
      <c r="I862" s="35">
        <v>10</v>
      </c>
      <c r="J862" s="35">
        <v>10</v>
      </c>
      <c r="K862" s="35">
        <v>200</v>
      </c>
      <c r="L862" s="60" t="str">
        <f>HYPERLINK("https://www.sds-group.ru/product/bur-po-betonu-10x210mm-hvostovik-sds-plus-10-sht-rexant-91-0019-4/", "Инфо")</f>
        <v>Инфо</v>
      </c>
      <c r="M862" s="37">
        <v>8.5000000000000006E-2</v>
      </c>
      <c r="N862" s="38">
        <v>3.8000000000000002E-5</v>
      </c>
      <c r="O862" s="141">
        <v>4601004170261</v>
      </c>
    </row>
    <row r="863" spans="1:15" ht="11.45" customHeight="1" outlineLevel="3" x14ac:dyDescent="0.2">
      <c r="A863" s="76" t="s">
        <v>7957</v>
      </c>
      <c r="B863" s="136"/>
      <c r="C863" s="77"/>
      <c r="D863" s="137"/>
      <c r="E863" s="4"/>
      <c r="F863" s="4"/>
      <c r="G863" s="4"/>
      <c r="H863" s="4"/>
      <c r="I863" s="4"/>
      <c r="J863" s="4"/>
      <c r="K863" s="4"/>
      <c r="L863" s="138"/>
      <c r="M863" s="4"/>
      <c r="N863" s="4"/>
      <c r="O863" s="4"/>
    </row>
    <row r="864" spans="1:15" s="1" customFormat="1" ht="11.45" customHeight="1" outlineLevel="4" x14ac:dyDescent="0.2">
      <c r="A864" s="32" t="s">
        <v>7958</v>
      </c>
      <c r="B864" s="74" t="s">
        <v>7959</v>
      </c>
      <c r="C864" s="50"/>
      <c r="D864" s="139">
        <f t="shared" si="13"/>
        <v>0</v>
      </c>
      <c r="E864" s="140">
        <v>135.15</v>
      </c>
      <c r="F864" s="140">
        <v>110.78</v>
      </c>
      <c r="G864" s="34" t="s">
        <v>100</v>
      </c>
      <c r="H864" s="34" t="s">
        <v>39</v>
      </c>
      <c r="I864" s="35">
        <v>1</v>
      </c>
      <c r="J864" s="35">
        <v>1</v>
      </c>
      <c r="K864" s="35">
        <v>80</v>
      </c>
      <c r="L864" s="60" t="str">
        <f>HYPERLINK("https://www.sds-group.ru/product/bur-po-betonu-10h460mm-krestovaya-plastina-hvostovik-sds-plus-rexant-91-0826/", "Инфо")</f>
        <v>Инфо</v>
      </c>
      <c r="M864" s="37">
        <v>0.17899999999999999</v>
      </c>
      <c r="N864" s="38">
        <v>2.0900000000000001E-4</v>
      </c>
      <c r="O864" s="141">
        <v>4601004170056</v>
      </c>
    </row>
    <row r="865" spans="1:15" ht="11.45" customHeight="1" outlineLevel="2" x14ac:dyDescent="0.2">
      <c r="A865" s="76" t="s">
        <v>7960</v>
      </c>
      <c r="B865" s="136"/>
      <c r="C865" s="77"/>
      <c r="D865" s="137"/>
      <c r="E865" s="4"/>
      <c r="F865" s="4"/>
      <c r="G865" s="4"/>
      <c r="H865" s="4"/>
      <c r="I865" s="4"/>
      <c r="J865" s="4"/>
      <c r="K865" s="4"/>
      <c r="L865" s="138"/>
      <c r="M865" s="4"/>
      <c r="N865" s="4"/>
      <c r="O865" s="4"/>
    </row>
    <row r="866" spans="1:15" ht="11.45" customHeight="1" outlineLevel="3" x14ac:dyDescent="0.2">
      <c r="A866" s="76" t="s">
        <v>7961</v>
      </c>
      <c r="B866" s="136"/>
      <c r="C866" s="77"/>
      <c r="D866" s="137"/>
      <c r="E866" s="4"/>
      <c r="F866" s="4"/>
      <c r="G866" s="4"/>
      <c r="H866" s="4"/>
      <c r="I866" s="4"/>
      <c r="J866" s="4"/>
      <c r="K866" s="4"/>
      <c r="L866" s="138"/>
      <c r="M866" s="4"/>
      <c r="N866" s="4"/>
      <c r="O866" s="4"/>
    </row>
    <row r="867" spans="1:15" s="1" customFormat="1" ht="11.45" customHeight="1" outlineLevel="4" x14ac:dyDescent="0.2">
      <c r="A867" s="32" t="s">
        <v>7962</v>
      </c>
      <c r="B867" s="74" t="s">
        <v>7963</v>
      </c>
      <c r="C867" s="50"/>
      <c r="D867" s="139">
        <f t="shared" si="13"/>
        <v>0</v>
      </c>
      <c r="E867" s="140">
        <v>489.48</v>
      </c>
      <c r="F867" s="140">
        <v>401.21</v>
      </c>
      <c r="G867" s="34" t="s">
        <v>100</v>
      </c>
      <c r="H867" s="34" t="s">
        <v>39</v>
      </c>
      <c r="I867" s="35">
        <v>1</v>
      </c>
      <c r="J867" s="35">
        <v>1</v>
      </c>
      <c r="K867" s="35">
        <v>40</v>
      </c>
      <c r="L867" s="60" t="str">
        <f>HYPERLINK("https://www.sds-group.ru/product/disk-almaznyy-otreznoy-ultratonkiy-230x22-23h2x10mm-rexant-90-0145/", "Инфо")</f>
        <v>Инфо</v>
      </c>
      <c r="M867" s="37">
        <v>0.68</v>
      </c>
      <c r="N867" s="38">
        <v>8.7600000000000004E-4</v>
      </c>
      <c r="O867" s="141">
        <v>4601004151925</v>
      </c>
    </row>
    <row r="868" spans="1:15" ht="11.45" customHeight="1" outlineLevel="2" x14ac:dyDescent="0.2">
      <c r="A868" s="76" t="s">
        <v>7964</v>
      </c>
      <c r="B868" s="136"/>
      <c r="C868" s="77"/>
      <c r="D868" s="137"/>
      <c r="E868" s="4"/>
      <c r="F868" s="4"/>
      <c r="G868" s="4"/>
      <c r="H868" s="4"/>
      <c r="I868" s="4"/>
      <c r="J868" s="4"/>
      <c r="K868" s="4"/>
      <c r="L868" s="138"/>
      <c r="M868" s="4"/>
      <c r="N868" s="4"/>
      <c r="O868" s="4"/>
    </row>
    <row r="869" spans="1:15" ht="11.45" customHeight="1" outlineLevel="3" x14ac:dyDescent="0.2">
      <c r="A869" s="76" t="s">
        <v>7965</v>
      </c>
      <c r="B869" s="136"/>
      <c r="C869" s="77"/>
      <c r="D869" s="137"/>
      <c r="E869" s="4"/>
      <c r="F869" s="4"/>
      <c r="G869" s="4"/>
      <c r="H869" s="4"/>
      <c r="I869" s="4"/>
      <c r="J869" s="4"/>
      <c r="K869" s="4"/>
      <c r="L869" s="138"/>
      <c r="M869" s="4"/>
      <c r="N869" s="4"/>
      <c r="O869" s="4"/>
    </row>
    <row r="870" spans="1:15" s="1" customFormat="1" ht="11.45" customHeight="1" outlineLevel="4" x14ac:dyDescent="0.2">
      <c r="A870" s="32" t="s">
        <v>7972</v>
      </c>
      <c r="B870" s="74" t="s">
        <v>7973</v>
      </c>
      <c r="C870" s="50"/>
      <c r="D870" s="139">
        <f t="shared" si="13"/>
        <v>0</v>
      </c>
      <c r="E870" s="140">
        <v>34.659999999999997</v>
      </c>
      <c r="F870" s="140">
        <v>28.41</v>
      </c>
      <c r="G870" s="34" t="s">
        <v>100</v>
      </c>
      <c r="H870" s="34" t="s">
        <v>39</v>
      </c>
      <c r="I870" s="35">
        <v>1</v>
      </c>
      <c r="J870" s="35">
        <v>1</v>
      </c>
      <c r="K870" s="35">
        <v>1</v>
      </c>
      <c r="L870" s="60" t="str">
        <f>HYPERLINK("https://www.sds-group.ru/product/bur-po-betonu-10x210x150mm-hvostovik-sds-plus-10-sht-kranz-KR-91-0019-4/", "Инфо")</f>
        <v>Инфо</v>
      </c>
      <c r="M870" s="37">
        <v>8.5999999999999993E-2</v>
      </c>
      <c r="N870" s="38">
        <v>1.25E-4</v>
      </c>
      <c r="O870" s="141">
        <v>4601004202238</v>
      </c>
    </row>
    <row r="871" spans="1:15" s="1" customFormat="1" ht="11.45" customHeight="1" outlineLevel="4" x14ac:dyDescent="0.2">
      <c r="A871" s="32" t="s">
        <v>8020</v>
      </c>
      <c r="B871" s="74" t="s">
        <v>8021</v>
      </c>
      <c r="C871" s="50"/>
      <c r="D871" s="139">
        <f t="shared" si="13"/>
        <v>0</v>
      </c>
      <c r="E871" s="140">
        <v>174.9</v>
      </c>
      <c r="F871" s="140">
        <v>143.36000000000001</v>
      </c>
      <c r="G871" s="34" t="s">
        <v>100</v>
      </c>
      <c r="H871" s="34" t="s">
        <v>39</v>
      </c>
      <c r="I871" s="35">
        <v>1</v>
      </c>
      <c r="J871" s="35">
        <v>1</v>
      </c>
      <c r="K871" s="35">
        <v>50</v>
      </c>
      <c r="L871" s="60" t="str">
        <f>HYPERLINK("https://www.sds-group.ru/product/bur-po-betonu-14x400x340mm-hvostovik-sds-plus-kranz-KR-91-0853/", "Инфо")</f>
        <v>Инфо</v>
      </c>
      <c r="M871" s="37">
        <v>0.26400000000000001</v>
      </c>
      <c r="N871" s="38">
        <v>2.3499999999999999E-4</v>
      </c>
      <c r="O871" s="141">
        <v>4601004282094</v>
      </c>
    </row>
    <row r="872" spans="1:15" s="1" customFormat="1" ht="11.45" customHeight="1" outlineLevel="4" x14ac:dyDescent="0.2">
      <c r="A872" s="32" t="s">
        <v>8038</v>
      </c>
      <c r="B872" s="74" t="s">
        <v>8039</v>
      </c>
      <c r="C872" s="50"/>
      <c r="D872" s="139">
        <f t="shared" si="13"/>
        <v>0</v>
      </c>
      <c r="E872" s="140">
        <v>216</v>
      </c>
      <c r="F872" s="140">
        <v>177.05</v>
      </c>
      <c r="G872" s="34" t="s">
        <v>100</v>
      </c>
      <c r="H872" s="34" t="s">
        <v>39</v>
      </c>
      <c r="I872" s="35">
        <v>1</v>
      </c>
      <c r="J872" s="35">
        <v>1</v>
      </c>
      <c r="K872" s="35">
        <v>50</v>
      </c>
      <c r="L872" s="60" t="str">
        <f>HYPERLINK("https://www.sds-group.ru/product/bur-po-betonu-16x400x340mm-hvostovik-sds-plus-kranz-KR-91-0854/", "Инфо")</f>
        <v>Инфо</v>
      </c>
      <c r="M872" s="37">
        <v>0.312</v>
      </c>
      <c r="N872" s="38">
        <v>2.7E-4</v>
      </c>
      <c r="O872" s="141">
        <v>4601004282070</v>
      </c>
    </row>
    <row r="873" spans="1:15" s="1" customFormat="1" ht="11.45" customHeight="1" outlineLevel="4" x14ac:dyDescent="0.2">
      <c r="A873" s="32" t="s">
        <v>8046</v>
      </c>
      <c r="B873" s="74" t="s">
        <v>8047</v>
      </c>
      <c r="C873" s="50"/>
      <c r="D873" s="139">
        <f t="shared" si="13"/>
        <v>0</v>
      </c>
      <c r="E873" s="140">
        <v>135.29</v>
      </c>
      <c r="F873" s="140">
        <v>110.89</v>
      </c>
      <c r="G873" s="34" t="s">
        <v>100</v>
      </c>
      <c r="H873" s="34" t="s">
        <v>39</v>
      </c>
      <c r="I873" s="35">
        <v>1</v>
      </c>
      <c r="J873" s="35">
        <v>1</v>
      </c>
      <c r="K873" s="35">
        <v>120</v>
      </c>
      <c r="L873" s="60" t="str">
        <f>HYPERLINK("https://www.sds-group.ru/product/bur-po-betonu-18x210x150mm-hvostovik-sds-plus-kranz-KR-91-0036/", "Инфо")</f>
        <v>Инфо</v>
      </c>
      <c r="M873" s="37">
        <v>0.20200000000000001</v>
      </c>
      <c r="N873" s="38">
        <v>1.56E-4</v>
      </c>
      <c r="O873" s="141">
        <v>4601004201705</v>
      </c>
    </row>
    <row r="874" spans="1:15" s="1" customFormat="1" ht="11.45" customHeight="1" outlineLevel="4" x14ac:dyDescent="0.2">
      <c r="A874" s="32" t="s">
        <v>8050</v>
      </c>
      <c r="B874" s="74" t="s">
        <v>8051</v>
      </c>
      <c r="C874" s="50"/>
      <c r="D874" s="139">
        <f t="shared" si="13"/>
        <v>0</v>
      </c>
      <c r="E874" s="140">
        <v>291.5</v>
      </c>
      <c r="F874" s="140">
        <v>238.93</v>
      </c>
      <c r="G874" s="34" t="s">
        <v>100</v>
      </c>
      <c r="H874" s="34" t="s">
        <v>39</v>
      </c>
      <c r="I874" s="35">
        <v>1</v>
      </c>
      <c r="J874" s="35">
        <v>1</v>
      </c>
      <c r="K874" s="35">
        <v>50</v>
      </c>
      <c r="L874" s="60" t="str">
        <f>HYPERLINK("https://www.sds-group.ru/product/bur-po-betonu-18x400x340mm-hvostovik-sds-plus-kranz-KR-91-0845/", "Инфо")</f>
        <v>Инфо</v>
      </c>
      <c r="M874" s="37">
        <v>0.38</v>
      </c>
      <c r="N874" s="38">
        <v>2.7799999999999998E-4</v>
      </c>
      <c r="O874" s="141">
        <v>4601004281714</v>
      </c>
    </row>
    <row r="875" spans="1:15" s="1" customFormat="1" ht="11.45" customHeight="1" outlineLevel="4" x14ac:dyDescent="0.2">
      <c r="A875" s="32" t="s">
        <v>8052</v>
      </c>
      <c r="B875" s="74" t="s">
        <v>8053</v>
      </c>
      <c r="C875" s="50"/>
      <c r="D875" s="139">
        <f t="shared" si="13"/>
        <v>0</v>
      </c>
      <c r="E875" s="140">
        <v>277.93</v>
      </c>
      <c r="F875" s="140">
        <v>227.81</v>
      </c>
      <c r="G875" s="34" t="s">
        <v>100</v>
      </c>
      <c r="H875" s="34" t="s">
        <v>39</v>
      </c>
      <c r="I875" s="35">
        <v>1</v>
      </c>
      <c r="J875" s="35">
        <v>1</v>
      </c>
      <c r="K875" s="35">
        <v>40</v>
      </c>
      <c r="L875" s="60" t="str">
        <f>HYPERLINK("https://www.sds-group.ru/product/bur-po-betonu-18x460x400mm-hvostovik-sds-plus-kranz-KR-91-0053/", "Инфо")</f>
        <v>Инфо</v>
      </c>
      <c r="M875" s="37">
        <v>0.443</v>
      </c>
      <c r="N875" s="38">
        <v>3.1300000000000002E-4</v>
      </c>
      <c r="O875" s="141">
        <v>4601004201798</v>
      </c>
    </row>
    <row r="876" spans="1:15" s="1" customFormat="1" ht="11.45" customHeight="1" outlineLevel="4" x14ac:dyDescent="0.2">
      <c r="A876" s="32" t="s">
        <v>8072</v>
      </c>
      <c r="B876" s="74" t="s">
        <v>8073</v>
      </c>
      <c r="C876" s="50"/>
      <c r="D876" s="139">
        <f t="shared" si="13"/>
        <v>0</v>
      </c>
      <c r="E876" s="140">
        <v>258.20999999999998</v>
      </c>
      <c r="F876" s="140">
        <v>211.65</v>
      </c>
      <c r="G876" s="34" t="s">
        <v>100</v>
      </c>
      <c r="H876" s="34" t="s">
        <v>39</v>
      </c>
      <c r="I876" s="35">
        <v>1</v>
      </c>
      <c r="J876" s="35">
        <v>1</v>
      </c>
      <c r="K876" s="35">
        <v>40</v>
      </c>
      <c r="L876" s="60" t="str">
        <f>HYPERLINK("https://www.sds-group.ru/product/bur-po-betonu-22x310x250mm-hvostovik-sds-plus-kranz-KR-91-0042/", "Инфо")</f>
        <v>Инфо</v>
      </c>
      <c r="M876" s="37">
        <v>0.438</v>
      </c>
      <c r="N876" s="38">
        <v>2.04E-4</v>
      </c>
      <c r="O876" s="141">
        <v>4601004201729</v>
      </c>
    </row>
    <row r="877" spans="1:15" s="1" customFormat="1" ht="11.45" customHeight="1" outlineLevel="4" x14ac:dyDescent="0.2">
      <c r="A877" s="32" t="s">
        <v>8080</v>
      </c>
      <c r="B877" s="74" t="s">
        <v>8081</v>
      </c>
      <c r="C877" s="50"/>
      <c r="D877" s="139">
        <f t="shared" si="13"/>
        <v>0</v>
      </c>
      <c r="E877" s="140">
        <v>261.25</v>
      </c>
      <c r="F877" s="140">
        <v>214.14</v>
      </c>
      <c r="G877" s="34" t="s">
        <v>100</v>
      </c>
      <c r="H877" s="34" t="s">
        <v>39</v>
      </c>
      <c r="I877" s="35">
        <v>1</v>
      </c>
      <c r="J877" s="35">
        <v>1</v>
      </c>
      <c r="K877" s="35">
        <v>40</v>
      </c>
      <c r="L877" s="60" t="str">
        <f>HYPERLINK("https://www.sds-group.ru/product/bur-po-betonu-24x310x250mm-hvostovik-sds-plus-kranz-KR-91-0043/", "Инфо")</f>
        <v>Инфо</v>
      </c>
      <c r="M877" s="37">
        <v>0.51700000000000002</v>
      </c>
      <c r="N877" s="38">
        <v>2.7999999999999998E-4</v>
      </c>
      <c r="O877" s="141">
        <v>4601004201736</v>
      </c>
    </row>
    <row r="878" spans="1:15" s="1" customFormat="1" ht="11.45" customHeight="1" outlineLevel="4" x14ac:dyDescent="0.2">
      <c r="A878" s="32" t="s">
        <v>8082</v>
      </c>
      <c r="B878" s="74" t="s">
        <v>8083</v>
      </c>
      <c r="C878" s="50"/>
      <c r="D878" s="139">
        <f t="shared" si="13"/>
        <v>0</v>
      </c>
      <c r="E878" s="140">
        <v>552.23</v>
      </c>
      <c r="F878" s="140">
        <v>452.65</v>
      </c>
      <c r="G878" s="34" t="s">
        <v>100</v>
      </c>
      <c r="H878" s="34" t="s">
        <v>39</v>
      </c>
      <c r="I878" s="35">
        <v>1</v>
      </c>
      <c r="J878" s="35">
        <v>1</v>
      </c>
      <c r="K878" s="35">
        <v>30</v>
      </c>
      <c r="L878" s="60" t="str">
        <f>HYPERLINK("https://www.sds-group.ru/product/bur-po-betonu-24x460x400mm-hvostovik-sds-plus-kranz-KR-91-0056/", "Инфо")</f>
        <v>Инфо</v>
      </c>
      <c r="M878" s="37">
        <v>0.747</v>
      </c>
      <c r="N878" s="38">
        <v>3.88E-4</v>
      </c>
      <c r="O878" s="141">
        <v>4601004201828</v>
      </c>
    </row>
    <row r="879" spans="1:15" s="1" customFormat="1" ht="11.45" customHeight="1" outlineLevel="4" x14ac:dyDescent="0.2">
      <c r="A879" s="32" t="s">
        <v>8086</v>
      </c>
      <c r="B879" s="74" t="s">
        <v>8087</v>
      </c>
      <c r="C879" s="50"/>
      <c r="D879" s="139">
        <f t="shared" si="13"/>
        <v>0</v>
      </c>
      <c r="E879" s="140">
        <v>604.03</v>
      </c>
      <c r="F879" s="140">
        <v>495.11</v>
      </c>
      <c r="G879" s="34" t="s">
        <v>100</v>
      </c>
      <c r="H879" s="34" t="s">
        <v>39</v>
      </c>
      <c r="I879" s="35">
        <v>1</v>
      </c>
      <c r="J879" s="35">
        <v>1</v>
      </c>
      <c r="K879" s="35">
        <v>10</v>
      </c>
      <c r="L879" s="60" t="str">
        <f>HYPERLINK("https://www.sds-group.ru/product/bur-po-betonu-24x800x740mm-hvostovik-sds-plus-kranz-KR-91-0081/", "Инфо")</f>
        <v>Инфо</v>
      </c>
      <c r="M879" s="37">
        <v>1.5</v>
      </c>
      <c r="N879" s="38">
        <v>8.0999999999999996E-4</v>
      </c>
      <c r="O879" s="141">
        <v>4601004202054</v>
      </c>
    </row>
    <row r="880" spans="1:15" s="1" customFormat="1" ht="11.45" customHeight="1" outlineLevel="4" x14ac:dyDescent="0.2">
      <c r="A880" s="32" t="s">
        <v>8090</v>
      </c>
      <c r="B880" s="74" t="s">
        <v>8091</v>
      </c>
      <c r="C880" s="50"/>
      <c r="D880" s="139">
        <f t="shared" si="13"/>
        <v>0</v>
      </c>
      <c r="E880" s="140">
        <v>553.85</v>
      </c>
      <c r="F880" s="140">
        <v>453.98</v>
      </c>
      <c r="G880" s="34" t="s">
        <v>100</v>
      </c>
      <c r="H880" s="34" t="s">
        <v>39</v>
      </c>
      <c r="I880" s="35">
        <v>1</v>
      </c>
      <c r="J880" s="35">
        <v>1</v>
      </c>
      <c r="K880" s="35">
        <v>25</v>
      </c>
      <c r="L880" s="60" t="str">
        <f>HYPERLINK("https://www.sds-group.ru/product/bur-po-betonu-26x400x340mm-hvostovik-sds-plus-kranz-KR-91-0841/", "Инфо")</f>
        <v>Инфо</v>
      </c>
      <c r="M880" s="37">
        <v>0.80900000000000005</v>
      </c>
      <c r="N880" s="38">
        <v>6.1499999999999999E-4</v>
      </c>
      <c r="O880" s="141">
        <v>4601004281875</v>
      </c>
    </row>
    <row r="881" spans="1:15" s="1" customFormat="1" ht="11.45" customHeight="1" outlineLevel="4" x14ac:dyDescent="0.2">
      <c r="A881" s="32" t="s">
        <v>8100</v>
      </c>
      <c r="B881" s="74" t="s">
        <v>8101</v>
      </c>
      <c r="C881" s="50"/>
      <c r="D881" s="139">
        <f t="shared" si="13"/>
        <v>0</v>
      </c>
      <c r="E881" s="140">
        <v>585.11</v>
      </c>
      <c r="F881" s="140">
        <v>479.6</v>
      </c>
      <c r="G881" s="34" t="s">
        <v>100</v>
      </c>
      <c r="H881" s="34" t="s">
        <v>39</v>
      </c>
      <c r="I881" s="35">
        <v>1</v>
      </c>
      <c r="J881" s="35">
        <v>1</v>
      </c>
      <c r="K881" s="35">
        <v>20</v>
      </c>
      <c r="L881" s="60" t="str">
        <f>HYPERLINK("https://www.sds-group.ru/product/bur-po-betonu-28x400x340mm-hvostovik-sds-plus-kranz-KR-91-0842/", "Инфо")</f>
        <v>Инфо</v>
      </c>
      <c r="M881" s="37">
        <v>0.85099999999999998</v>
      </c>
      <c r="N881" s="38">
        <v>4.0700000000000003E-4</v>
      </c>
      <c r="O881" s="141">
        <v>4601004281646</v>
      </c>
    </row>
    <row r="882" spans="1:15" s="1" customFormat="1" ht="11.45" customHeight="1" outlineLevel="4" x14ac:dyDescent="0.2">
      <c r="A882" s="32" t="s">
        <v>8108</v>
      </c>
      <c r="B882" s="74" t="s">
        <v>8109</v>
      </c>
      <c r="C882" s="50"/>
      <c r="D882" s="139">
        <f t="shared" si="13"/>
        <v>0</v>
      </c>
      <c r="E882" s="140">
        <v>415.32</v>
      </c>
      <c r="F882" s="140">
        <v>340.43</v>
      </c>
      <c r="G882" s="34" t="s">
        <v>100</v>
      </c>
      <c r="H882" s="34" t="s">
        <v>39</v>
      </c>
      <c r="I882" s="35">
        <v>1</v>
      </c>
      <c r="J882" s="35">
        <v>1</v>
      </c>
      <c r="K882" s="35">
        <v>20</v>
      </c>
      <c r="L882" s="60" t="str">
        <f>HYPERLINK("https://www.sds-group.ru/product/bur-po-betonu-30x310x250mm-hvostovik-sds-plus-kranz-KR-91-0046/", "Инфо")</f>
        <v>Инфо</v>
      </c>
      <c r="M882" s="37">
        <v>0.83599999999999997</v>
      </c>
      <c r="N882" s="38">
        <v>7.0200000000000004E-4</v>
      </c>
      <c r="O882" s="141">
        <v>4601004201767</v>
      </c>
    </row>
    <row r="883" spans="1:15" s="1" customFormat="1" ht="11.45" customHeight="1" outlineLevel="4" x14ac:dyDescent="0.2">
      <c r="A883" s="32" t="s">
        <v>8110</v>
      </c>
      <c r="B883" s="74" t="s">
        <v>8111</v>
      </c>
      <c r="C883" s="50"/>
      <c r="D883" s="139">
        <f t="shared" si="13"/>
        <v>0</v>
      </c>
      <c r="E883" s="140">
        <v>585.5</v>
      </c>
      <c r="F883" s="140">
        <v>479.92</v>
      </c>
      <c r="G883" s="34" t="s">
        <v>100</v>
      </c>
      <c r="H883" s="34" t="s">
        <v>39</v>
      </c>
      <c r="I883" s="35">
        <v>1</v>
      </c>
      <c r="J883" s="35">
        <v>1</v>
      </c>
      <c r="K883" s="35">
        <v>15</v>
      </c>
      <c r="L883" s="60" t="str">
        <f>HYPERLINK("https://www.sds-group.ru/product/bur-po-betonu-30x400x340mm-hvostovik-sds-plus-kranz-KR-91-0843/", "Инфо")</f>
        <v>Инфо</v>
      </c>
      <c r="M883" s="37">
        <v>1.0669999999999999</v>
      </c>
      <c r="N883" s="38">
        <v>8.9999999999999998E-4</v>
      </c>
      <c r="O883" s="141">
        <v>4601004281653</v>
      </c>
    </row>
    <row r="884" spans="1:15" s="1" customFormat="1" ht="11.45" customHeight="1" outlineLevel="4" x14ac:dyDescent="0.2">
      <c r="A884" s="32" t="s">
        <v>8112</v>
      </c>
      <c r="B884" s="74" t="s">
        <v>8113</v>
      </c>
      <c r="C884" s="50"/>
      <c r="D884" s="139">
        <f t="shared" si="13"/>
        <v>0</v>
      </c>
      <c r="E884" s="140">
        <v>664.23</v>
      </c>
      <c r="F884" s="140">
        <v>544.45000000000005</v>
      </c>
      <c r="G884" s="34" t="s">
        <v>100</v>
      </c>
      <c r="H884" s="34" t="s">
        <v>39</v>
      </c>
      <c r="I884" s="35">
        <v>1</v>
      </c>
      <c r="J884" s="35">
        <v>1</v>
      </c>
      <c r="K884" s="35">
        <v>20</v>
      </c>
      <c r="L884" s="60" t="str">
        <f>HYPERLINK("https://www.sds-group.ru/product/bur-po-betonu-30x460x400mm-hvostovik-sds-plus-kranz-KR-91-0059/", "Инфо")</f>
        <v>Инфо</v>
      </c>
      <c r="M884" s="37">
        <v>1.1819999999999999</v>
      </c>
      <c r="N884" s="38">
        <v>4.8000000000000001E-4</v>
      </c>
      <c r="O884" s="141">
        <v>4601004201859</v>
      </c>
    </row>
    <row r="885" spans="1:15" s="1" customFormat="1" ht="11.45" customHeight="1" outlineLevel="4" x14ac:dyDescent="0.2">
      <c r="A885" s="32" t="s">
        <v>8114</v>
      </c>
      <c r="B885" s="74" t="s">
        <v>8115</v>
      </c>
      <c r="C885" s="50"/>
      <c r="D885" s="139">
        <f t="shared" si="13"/>
        <v>0</v>
      </c>
      <c r="E885" s="140">
        <v>887.15</v>
      </c>
      <c r="F885" s="140">
        <v>727.17</v>
      </c>
      <c r="G885" s="34" t="s">
        <v>100</v>
      </c>
      <c r="H885" s="34" t="s">
        <v>39</v>
      </c>
      <c r="I885" s="35">
        <v>1</v>
      </c>
      <c r="J885" s="35">
        <v>1</v>
      </c>
      <c r="K885" s="35">
        <v>10</v>
      </c>
      <c r="L885" s="60" t="str">
        <f>HYPERLINK("https://www.sds-group.ru/product/bur-po-betonu-30x600x540mm-hvostovik-sds-plus-kranz-KR-91-0072/", "Инфо")</f>
        <v>Инфо</v>
      </c>
      <c r="M885" s="37">
        <v>1.7</v>
      </c>
      <c r="N885" s="38">
        <v>8.5599999999999999E-4</v>
      </c>
      <c r="O885" s="141">
        <v>4601004201965</v>
      </c>
    </row>
    <row r="886" spans="1:15" s="1" customFormat="1" ht="11.45" customHeight="1" outlineLevel="4" x14ac:dyDescent="0.2">
      <c r="A886" s="32" t="s">
        <v>8116</v>
      </c>
      <c r="B886" s="74" t="s">
        <v>8117</v>
      </c>
      <c r="C886" s="50"/>
      <c r="D886" s="139">
        <f t="shared" si="13"/>
        <v>0</v>
      </c>
      <c r="E886" s="140">
        <v>1259.94</v>
      </c>
      <c r="F886" s="140">
        <v>1032.74</v>
      </c>
      <c r="G886" s="34" t="s">
        <v>100</v>
      </c>
      <c r="H886" s="34" t="s">
        <v>39</v>
      </c>
      <c r="I886" s="35">
        <v>1</v>
      </c>
      <c r="J886" s="35">
        <v>1</v>
      </c>
      <c r="K886" s="35">
        <v>10</v>
      </c>
      <c r="L886" s="60" t="str">
        <f>HYPERLINK("https://www.sds-group.ru/product/bur-po-betonu-30x800x740mm-hvostovik-sds-plus-kranz-KR-91-0084/", "Инфо")</f>
        <v>Инфо</v>
      </c>
      <c r="M886" s="37">
        <v>2.165</v>
      </c>
      <c r="N886" s="38">
        <v>1E-3</v>
      </c>
      <c r="O886" s="141">
        <v>4601004202085</v>
      </c>
    </row>
    <row r="887" spans="1:15" s="1" customFormat="1" ht="11.45" customHeight="1" outlineLevel="4" x14ac:dyDescent="0.2">
      <c r="A887" s="32" t="s">
        <v>8144</v>
      </c>
      <c r="B887" s="74" t="s">
        <v>8145</v>
      </c>
      <c r="C887" s="50"/>
      <c r="D887" s="139">
        <f t="shared" si="13"/>
        <v>0</v>
      </c>
      <c r="E887" s="140">
        <v>47.42</v>
      </c>
      <c r="F887" s="140">
        <v>38.869999999999997</v>
      </c>
      <c r="G887" s="34" t="s">
        <v>100</v>
      </c>
      <c r="H887" s="34" t="s">
        <v>39</v>
      </c>
      <c r="I887" s="35">
        <v>1</v>
      </c>
      <c r="J887" s="35">
        <v>1</v>
      </c>
      <c r="K887" s="35">
        <v>240</v>
      </c>
      <c r="L887" s="60" t="str">
        <f>HYPERLINK("https://www.sds-group.ru/product/bur-po-betonu-6-5x160x100mm-hvostovik-sds-plus-kranz-KR-91-0009/", "Инфо")</f>
        <v>Инфо</v>
      </c>
      <c r="M887" s="37">
        <v>5.5E-2</v>
      </c>
      <c r="N887" s="38">
        <v>1.06E-4</v>
      </c>
      <c r="O887" s="141">
        <v>4601004199118</v>
      </c>
    </row>
    <row r="888" spans="1:15" s="1" customFormat="1" ht="11.45" customHeight="1" outlineLevel="4" x14ac:dyDescent="0.2">
      <c r="A888" s="32" t="s">
        <v>8172</v>
      </c>
      <c r="B888" s="74" t="s">
        <v>8173</v>
      </c>
      <c r="C888" s="50"/>
      <c r="D888" s="139">
        <f t="shared" si="13"/>
        <v>0</v>
      </c>
      <c r="E888" s="140">
        <v>96.72</v>
      </c>
      <c r="F888" s="140">
        <v>79.28</v>
      </c>
      <c r="G888" s="34" t="s">
        <v>100</v>
      </c>
      <c r="H888" s="34" t="s">
        <v>39</v>
      </c>
      <c r="I888" s="35">
        <v>1</v>
      </c>
      <c r="J888" s="35">
        <v>1</v>
      </c>
      <c r="K888" s="35">
        <v>150</v>
      </c>
      <c r="L888" s="60" t="str">
        <f>HYPERLINK("https://www.sds-group.ru/product/bur-po-betonu-8x350x290mm-hvostovik-sds-plus-kranz-KR-91-0833/", "Инфо")</f>
        <v>Инфо</v>
      </c>
      <c r="M888" s="37">
        <v>0.11700000000000001</v>
      </c>
      <c r="N888" s="38">
        <v>1.4799999999999999E-4</v>
      </c>
      <c r="O888" s="141">
        <v>4601004199224</v>
      </c>
    </row>
    <row r="889" spans="1:15" ht="11.45" customHeight="1" outlineLevel="3" x14ac:dyDescent="0.2">
      <c r="A889" s="76" t="s">
        <v>8189</v>
      </c>
      <c r="B889" s="136"/>
      <c r="C889" s="77"/>
      <c r="D889" s="137"/>
      <c r="E889" s="4"/>
      <c r="F889" s="4"/>
      <c r="G889" s="4"/>
      <c r="H889" s="4"/>
      <c r="I889" s="4"/>
      <c r="J889" s="4"/>
      <c r="K889" s="4"/>
      <c r="L889" s="138"/>
      <c r="M889" s="4"/>
      <c r="N889" s="4"/>
      <c r="O889" s="4"/>
    </row>
    <row r="890" spans="1:15" s="1" customFormat="1" ht="11.45" customHeight="1" outlineLevel="4" x14ac:dyDescent="0.2">
      <c r="A890" s="32" t="s">
        <v>8196</v>
      </c>
      <c r="B890" s="74" t="s">
        <v>8197</v>
      </c>
      <c r="C890" s="50"/>
      <c r="D890" s="139">
        <f t="shared" si="13"/>
        <v>0</v>
      </c>
      <c r="E890" s="140">
        <v>68.13</v>
      </c>
      <c r="F890" s="140">
        <v>55.84</v>
      </c>
      <c r="G890" s="34" t="s">
        <v>100</v>
      </c>
      <c r="H890" s="34" t="s">
        <v>39</v>
      </c>
      <c r="I890" s="35">
        <v>1</v>
      </c>
      <c r="J890" s="35">
        <v>1</v>
      </c>
      <c r="K890" s="35">
        <v>120</v>
      </c>
      <c r="L890" s="60" t="str">
        <f>HYPERLINK("https://www.sds-group.ru/product/bur-po-betonu-10x260x200mm-krestovaya-plastina-hvostovik-sds-plus-kranz-KR-91-0811/", "Инфо")</f>
        <v>Инфо</v>
      </c>
      <c r="M890" s="37">
        <v>0.114</v>
      </c>
      <c r="N890" s="38">
        <v>1.6100000000000001E-4</v>
      </c>
      <c r="O890" s="141">
        <v>4601004174894</v>
      </c>
    </row>
    <row r="891" spans="1:15" s="1" customFormat="1" ht="11.45" customHeight="1" outlineLevel="4" x14ac:dyDescent="0.2">
      <c r="A891" s="32" t="s">
        <v>8210</v>
      </c>
      <c r="B891" s="74" t="s">
        <v>8211</v>
      </c>
      <c r="C891" s="50"/>
      <c r="D891" s="139">
        <f t="shared" si="13"/>
        <v>0</v>
      </c>
      <c r="E891" s="140">
        <v>171.3</v>
      </c>
      <c r="F891" s="140">
        <v>140.41</v>
      </c>
      <c r="G891" s="34" t="s">
        <v>100</v>
      </c>
      <c r="H891" s="34" t="s">
        <v>39</v>
      </c>
      <c r="I891" s="35">
        <v>1</v>
      </c>
      <c r="J891" s="35">
        <v>1</v>
      </c>
      <c r="K891" s="35">
        <v>80</v>
      </c>
      <c r="L891" s="60" t="str">
        <f>HYPERLINK("https://www.sds-group.ru/product/bur-po-betonu-12x460x400mm-krestovaya-plastina-hvostovik-sds-plus-kranz-KR-91-0103/", "Инфо")</f>
        <v>Инфо</v>
      </c>
      <c r="M891" s="37">
        <v>0.223</v>
      </c>
      <c r="N891" s="38">
        <v>2.3599999999999999E-4</v>
      </c>
      <c r="O891" s="141">
        <v>4601004199408</v>
      </c>
    </row>
    <row r="892" spans="1:15" s="1" customFormat="1" ht="11.45" customHeight="1" outlineLevel="4" x14ac:dyDescent="0.2">
      <c r="A892" s="32" t="s">
        <v>8214</v>
      </c>
      <c r="B892" s="74" t="s">
        <v>8215</v>
      </c>
      <c r="C892" s="50"/>
      <c r="D892" s="139">
        <f t="shared" si="13"/>
        <v>0</v>
      </c>
      <c r="E892" s="140">
        <v>143.97</v>
      </c>
      <c r="F892" s="140">
        <v>118.01</v>
      </c>
      <c r="G892" s="34" t="s">
        <v>100</v>
      </c>
      <c r="H892" s="34" t="s">
        <v>39</v>
      </c>
      <c r="I892" s="35">
        <v>10</v>
      </c>
      <c r="J892" s="35">
        <v>10</v>
      </c>
      <c r="K892" s="35">
        <v>120</v>
      </c>
      <c r="L892" s="60" t="str">
        <f>HYPERLINK("https://www.sds-group.ru/product/bur-po-betonu-14x260x200mm-krestovaya-plastina-hvostovik-sds-plus-kranz-KR-91-0837/", "Инфо")</f>
        <v>Инфо</v>
      </c>
      <c r="M892" s="37">
        <v>0.18</v>
      </c>
      <c r="N892" s="38">
        <v>1.54E-4</v>
      </c>
      <c r="O892" s="141">
        <v>4601004199309</v>
      </c>
    </row>
    <row r="893" spans="1:15" s="1" customFormat="1" ht="11.45" customHeight="1" outlineLevel="4" x14ac:dyDescent="0.2">
      <c r="A893" s="32" t="s">
        <v>8242</v>
      </c>
      <c r="B893" s="74" t="s">
        <v>8243</v>
      </c>
      <c r="C893" s="50"/>
      <c r="D893" s="139">
        <f t="shared" si="13"/>
        <v>0</v>
      </c>
      <c r="E893" s="140">
        <v>123.71</v>
      </c>
      <c r="F893" s="140">
        <v>101.4</v>
      </c>
      <c r="G893" s="34" t="s">
        <v>100</v>
      </c>
      <c r="H893" s="34" t="s">
        <v>39</v>
      </c>
      <c r="I893" s="35">
        <v>1</v>
      </c>
      <c r="J893" s="35">
        <v>1</v>
      </c>
      <c r="K893" s="35">
        <v>120</v>
      </c>
      <c r="L893" s="60" t="str">
        <f>HYPERLINK("https://www.sds-group.ru/product/bur-po-betonu-8x310x250mm-krestovaya-plastina-hvostovik-sds-plus-kranz-KR-91-0838/", "Инфо")</f>
        <v>Инфо</v>
      </c>
      <c r="M893" s="37">
        <v>0.107</v>
      </c>
      <c r="N893" s="38">
        <v>1.6799999999999999E-4</v>
      </c>
      <c r="O893" s="141">
        <v>4601004199323</v>
      </c>
    </row>
    <row r="894" spans="1:15" s="1" customFormat="1" ht="11.45" customHeight="1" outlineLevel="4" x14ac:dyDescent="0.2">
      <c r="A894" s="32" t="s">
        <v>8244</v>
      </c>
      <c r="B894" s="74" t="s">
        <v>8245</v>
      </c>
      <c r="C894" s="50"/>
      <c r="D894" s="139">
        <f t="shared" si="13"/>
        <v>0</v>
      </c>
      <c r="E894" s="140">
        <v>128.91</v>
      </c>
      <c r="F894" s="140">
        <v>105.66</v>
      </c>
      <c r="G894" s="34" t="s">
        <v>100</v>
      </c>
      <c r="H894" s="34" t="s">
        <v>39</v>
      </c>
      <c r="I894" s="35">
        <v>1</v>
      </c>
      <c r="J894" s="35">
        <v>1</v>
      </c>
      <c r="K894" s="35">
        <v>120</v>
      </c>
      <c r="L894" s="60" t="str">
        <f>HYPERLINK("https://www.sds-group.ru/product/bur-po-betonu-8x350x290mm-krestovaya-plastina-hvostovik-sds-plus-kranz-KR-91-0839/", "Инфо")</f>
        <v>Инфо</v>
      </c>
      <c r="M894" s="37">
        <v>0.11700000000000001</v>
      </c>
      <c r="N894" s="38">
        <v>1.85E-4</v>
      </c>
      <c r="O894" s="141">
        <v>4601004199385</v>
      </c>
    </row>
    <row r="895" spans="1:15" s="1" customFormat="1" ht="11.45" customHeight="1" outlineLevel="4" x14ac:dyDescent="0.2">
      <c r="A895" s="32" t="s">
        <v>8246</v>
      </c>
      <c r="B895" s="74" t="s">
        <v>8247</v>
      </c>
      <c r="C895" s="50"/>
      <c r="D895" s="139">
        <f t="shared" si="13"/>
        <v>0</v>
      </c>
      <c r="E895" s="140">
        <v>106.72</v>
      </c>
      <c r="F895" s="140">
        <v>87.48</v>
      </c>
      <c r="G895" s="34" t="s">
        <v>100</v>
      </c>
      <c r="H895" s="34" t="s">
        <v>39</v>
      </c>
      <c r="I895" s="35">
        <v>1</v>
      </c>
      <c r="J895" s="35">
        <v>1</v>
      </c>
      <c r="K895" s="35">
        <v>80</v>
      </c>
      <c r="L895" s="60" t="str">
        <f>HYPERLINK("https://www.sds-group.ru/product/bur-po-betonu-8x460x400mm-krestovaya-plastina-hvostovik-sds-plus-kranz-KR-91-0827/", "Инфо")</f>
        <v>Инфо</v>
      </c>
      <c r="M895" s="37">
        <v>0.14399999999999999</v>
      </c>
      <c r="N895" s="38">
        <v>2.8200000000000002E-4</v>
      </c>
      <c r="O895" s="141">
        <v>4601004202245</v>
      </c>
    </row>
    <row r="896" spans="1:15" ht="11.45" customHeight="1" outlineLevel="3" x14ac:dyDescent="0.2">
      <c r="A896" s="76" t="s">
        <v>8332</v>
      </c>
      <c r="B896" s="136"/>
      <c r="C896" s="77"/>
      <c r="D896" s="137"/>
      <c r="E896" s="4"/>
      <c r="F896" s="4"/>
      <c r="G896" s="4"/>
      <c r="H896" s="4"/>
      <c r="I896" s="4"/>
      <c r="J896" s="4"/>
      <c r="K896" s="4"/>
      <c r="L896" s="138"/>
      <c r="M896" s="4"/>
      <c r="N896" s="4"/>
      <c r="O896" s="4"/>
    </row>
    <row r="897" spans="1:15" s="1" customFormat="1" ht="11.45" customHeight="1" outlineLevel="4" x14ac:dyDescent="0.2">
      <c r="A897" s="32" t="s">
        <v>8357</v>
      </c>
      <c r="B897" s="74" t="s">
        <v>8358</v>
      </c>
      <c r="C897" s="50"/>
      <c r="D897" s="139">
        <f t="shared" si="13"/>
        <v>0</v>
      </c>
      <c r="E897" s="140">
        <v>265.99</v>
      </c>
      <c r="F897" s="140">
        <v>218.02</v>
      </c>
      <c r="G897" s="34" t="s">
        <v>100</v>
      </c>
      <c r="H897" s="34" t="s">
        <v>39</v>
      </c>
      <c r="I897" s="35">
        <v>1</v>
      </c>
      <c r="J897" s="35">
        <v>1</v>
      </c>
      <c r="K897" s="35">
        <v>50</v>
      </c>
      <c r="L897" s="60" t="str">
        <f>HYPERLINK("https://www.sds-group.ru/product/hvostovik-dlya-koronki-m16h120mm-hvostovik-sds-plus-kranz-KR-91-0401/", "Инфо")</f>
        <v>Инфо</v>
      </c>
      <c r="M897" s="37">
        <v>0.18</v>
      </c>
      <c r="N897" s="38">
        <v>5.3700000000000004E-4</v>
      </c>
      <c r="O897" s="141">
        <v>4601004255098</v>
      </c>
    </row>
    <row r="898" spans="1:15" s="1" customFormat="1" ht="11.45" customHeight="1" outlineLevel="4" x14ac:dyDescent="0.2">
      <c r="A898" s="32" t="s">
        <v>8361</v>
      </c>
      <c r="B898" s="74" t="s">
        <v>8362</v>
      </c>
      <c r="C898" s="50"/>
      <c r="D898" s="139">
        <f t="shared" si="13"/>
        <v>0</v>
      </c>
      <c r="E898" s="140">
        <v>259.39999999999998</v>
      </c>
      <c r="F898" s="140">
        <v>212.62</v>
      </c>
      <c r="G898" s="34" t="s">
        <v>100</v>
      </c>
      <c r="H898" s="34" t="s">
        <v>39</v>
      </c>
      <c r="I898" s="35">
        <v>1</v>
      </c>
      <c r="J898" s="35">
        <v>1</v>
      </c>
      <c r="K898" s="35">
        <v>50</v>
      </c>
      <c r="L898" s="60" t="str">
        <f>HYPERLINK("https://www.sds-group.ru/product/hvostovik-dlya-koronki-m22h250mm-hvostovik-sds-plus-kranz-KR-91-0422/", "Инфо")</f>
        <v>Инфо</v>
      </c>
      <c r="M898" s="37">
        <v>0.49299999999999999</v>
      </c>
      <c r="N898" s="38">
        <v>4.4999999999999999E-4</v>
      </c>
      <c r="O898" s="141">
        <v>4601004175167</v>
      </c>
    </row>
    <row r="899" spans="1:15" s="1" customFormat="1" ht="11.45" customHeight="1" outlineLevel="4" x14ac:dyDescent="0.2">
      <c r="A899" s="32" t="s">
        <v>8365</v>
      </c>
      <c r="B899" s="74" t="s">
        <v>8366</v>
      </c>
      <c r="C899" s="50"/>
      <c r="D899" s="139">
        <f t="shared" si="13"/>
        <v>0</v>
      </c>
      <c r="E899" s="140">
        <v>240.31</v>
      </c>
      <c r="F899" s="140">
        <v>196.98</v>
      </c>
      <c r="G899" s="34" t="s">
        <v>100</v>
      </c>
      <c r="H899" s="34" t="s">
        <v>39</v>
      </c>
      <c r="I899" s="35">
        <v>1</v>
      </c>
      <c r="J899" s="35">
        <v>1</v>
      </c>
      <c r="K899" s="35">
        <v>10</v>
      </c>
      <c r="L899" s="60" t="str">
        <f>HYPERLINK("https://www.sds-group.ru/product/hvostovik-dlya-koronki-m22h600mm-hvostovik-sds-max-kranz-KR-91-0426/", "Инфо")</f>
        <v>Инфо</v>
      </c>
      <c r="M899" s="37">
        <v>1.272</v>
      </c>
      <c r="N899" s="38">
        <v>1.175E-3</v>
      </c>
      <c r="O899" s="141">
        <v>4601004175174</v>
      </c>
    </row>
    <row r="900" spans="1:15" ht="11.45" customHeight="1" outlineLevel="2" x14ac:dyDescent="0.2">
      <c r="A900" s="76" t="s">
        <v>8367</v>
      </c>
      <c r="B900" s="136"/>
      <c r="C900" s="77"/>
      <c r="D900" s="137"/>
      <c r="E900" s="4"/>
      <c r="F900" s="4"/>
      <c r="G900" s="4"/>
      <c r="H900" s="4"/>
      <c r="I900" s="4"/>
      <c r="J900" s="4"/>
      <c r="K900" s="4"/>
      <c r="L900" s="138"/>
      <c r="M900" s="4"/>
      <c r="N900" s="4"/>
      <c r="O900" s="4"/>
    </row>
    <row r="901" spans="1:15" ht="11.45" customHeight="1" outlineLevel="3" x14ac:dyDescent="0.2">
      <c r="A901" s="76" t="s">
        <v>8397</v>
      </c>
      <c r="B901" s="136"/>
      <c r="C901" s="77"/>
      <c r="D901" s="137"/>
      <c r="E901" s="4"/>
      <c r="F901" s="4"/>
      <c r="G901" s="4"/>
      <c r="H901" s="4"/>
      <c r="I901" s="4"/>
      <c r="J901" s="4"/>
      <c r="K901" s="4"/>
      <c r="L901" s="138"/>
      <c r="M901" s="4"/>
      <c r="N901" s="4"/>
      <c r="O901" s="4"/>
    </row>
    <row r="902" spans="1:15" s="1" customFormat="1" ht="11.45" customHeight="1" outlineLevel="4" x14ac:dyDescent="0.2">
      <c r="A902" s="32" t="s">
        <v>8414</v>
      </c>
      <c r="B902" s="74" t="s">
        <v>8415</v>
      </c>
      <c r="C902" s="50"/>
      <c r="D902" s="139">
        <f t="shared" si="13"/>
        <v>0</v>
      </c>
      <c r="E902" s="140">
        <v>88.93</v>
      </c>
      <c r="F902" s="140">
        <v>72.89</v>
      </c>
      <c r="G902" s="34" t="s">
        <v>100</v>
      </c>
      <c r="H902" s="34" t="s">
        <v>39</v>
      </c>
      <c r="I902" s="35">
        <v>1</v>
      </c>
      <c r="J902" s="35">
        <v>1</v>
      </c>
      <c r="K902" s="35">
        <v>300</v>
      </c>
      <c r="L902" s="60" t="str">
        <f>HYPERLINK("https://www.sds-group.ru/product/koronka-po-metallu-bimetallicheskaya-bimetal-14mm-kranz-KR-92-0205/", "Инфо")</f>
        <v>Инфо</v>
      </c>
      <c r="M902" s="37">
        <v>3.7999999999999999E-2</v>
      </c>
      <c r="N902" s="38">
        <v>7.7000000000000001E-5</v>
      </c>
      <c r="O902" s="141">
        <v>4601004202306</v>
      </c>
    </row>
    <row r="903" spans="1:15" ht="11.45" customHeight="1" outlineLevel="2" x14ac:dyDescent="0.2">
      <c r="A903" s="76" t="s">
        <v>8748</v>
      </c>
      <c r="B903" s="136"/>
      <c r="C903" s="77"/>
      <c r="D903" s="137"/>
      <c r="E903" s="4"/>
      <c r="F903" s="4"/>
      <c r="G903" s="4"/>
      <c r="H903" s="4"/>
      <c r="I903" s="4"/>
      <c r="J903" s="4"/>
      <c r="K903" s="4"/>
      <c r="L903" s="138"/>
      <c r="M903" s="4"/>
      <c r="N903" s="4"/>
      <c r="O903" s="4"/>
    </row>
    <row r="904" spans="1:15" ht="11.45" customHeight="1" outlineLevel="3" x14ac:dyDescent="0.2">
      <c r="A904" s="76" t="s">
        <v>8797</v>
      </c>
      <c r="B904" s="136"/>
      <c r="C904" s="77"/>
      <c r="D904" s="137"/>
      <c r="E904" s="4"/>
      <c r="F904" s="4"/>
      <c r="G904" s="4"/>
      <c r="H904" s="4"/>
      <c r="I904" s="4"/>
      <c r="J904" s="4"/>
      <c r="K904" s="4"/>
      <c r="L904" s="138"/>
      <c r="M904" s="4"/>
      <c r="N904" s="4"/>
      <c r="O904" s="4"/>
    </row>
    <row r="905" spans="1:15" s="1" customFormat="1" ht="11.45" customHeight="1" outlineLevel="4" x14ac:dyDescent="0.2">
      <c r="A905" s="32" t="s">
        <v>8814</v>
      </c>
      <c r="B905" s="74" t="s">
        <v>8815</v>
      </c>
      <c r="C905" s="50"/>
      <c r="D905" s="139">
        <f t="shared" si="13"/>
        <v>0</v>
      </c>
      <c r="E905" s="140">
        <v>254.62</v>
      </c>
      <c r="F905" s="140">
        <v>208.7</v>
      </c>
      <c r="G905" s="34" t="s">
        <v>100</v>
      </c>
      <c r="H905" s="34" t="s">
        <v>39</v>
      </c>
      <c r="I905" s="35">
        <v>1</v>
      </c>
      <c r="J905" s="35">
        <v>1</v>
      </c>
      <c r="K905" s="35">
        <v>50</v>
      </c>
      <c r="L905" s="60" t="str">
        <f>HYPERLINK("https://www.sds-group.ru/product/sverlo-vintovoe-po-derevu-28h230mm-shestigrannyy-hvostovik-kranz-KR-91-0781/", "Инфо")</f>
        <v>Инфо</v>
      </c>
      <c r="M905" s="37">
        <v>0.47399999999999998</v>
      </c>
      <c r="N905" s="38">
        <v>5.3399999999999997E-4</v>
      </c>
      <c r="O905" s="141">
        <v>4601004203037</v>
      </c>
    </row>
    <row r="906" spans="1:15" s="1" customFormat="1" ht="11.45" customHeight="1" outlineLevel="4" x14ac:dyDescent="0.2">
      <c r="A906" s="32" t="s">
        <v>8816</v>
      </c>
      <c r="B906" s="74" t="s">
        <v>8817</v>
      </c>
      <c r="C906" s="50"/>
      <c r="D906" s="139">
        <f t="shared" si="13"/>
        <v>0</v>
      </c>
      <c r="E906" s="140">
        <v>323.8</v>
      </c>
      <c r="F906" s="140">
        <v>265.41000000000003</v>
      </c>
      <c r="G906" s="34" t="s">
        <v>100</v>
      </c>
      <c r="H906" s="34" t="s">
        <v>39</v>
      </c>
      <c r="I906" s="35">
        <v>1</v>
      </c>
      <c r="J906" s="35">
        <v>1</v>
      </c>
      <c r="K906" s="35">
        <v>50</v>
      </c>
      <c r="L906" s="60" t="str">
        <f>HYPERLINK("https://www.sds-group.ru/product/sverlo-vintovoe-po-derevu-30h230mm-shestigrannyy-hvostovik-kranz-KR-91-0718/", "Инфо")</f>
        <v>Инфо</v>
      </c>
      <c r="M906" s="37">
        <v>0.5</v>
      </c>
      <c r="N906" s="38">
        <v>5.5699999999999999E-4</v>
      </c>
      <c r="O906" s="141">
        <v>4601004203006</v>
      </c>
    </row>
    <row r="907" spans="1:15" ht="11.45" customHeight="1" outlineLevel="3" x14ac:dyDescent="0.2">
      <c r="A907" s="76" t="s">
        <v>8830</v>
      </c>
      <c r="B907" s="136"/>
      <c r="C907" s="77"/>
      <c r="D907" s="137"/>
      <c r="E907" s="4"/>
      <c r="F907" s="4"/>
      <c r="G907" s="4"/>
      <c r="H907" s="4"/>
      <c r="I907" s="4"/>
      <c r="J907" s="4"/>
      <c r="K907" s="4"/>
      <c r="L907" s="138"/>
      <c r="M907" s="4"/>
      <c r="N907" s="4"/>
      <c r="O907" s="4"/>
    </row>
    <row r="908" spans="1:15" s="1" customFormat="1" ht="11.45" customHeight="1" outlineLevel="4" x14ac:dyDescent="0.2">
      <c r="A908" s="32" t="s">
        <v>8857</v>
      </c>
      <c r="B908" s="74" t="s">
        <v>8858</v>
      </c>
      <c r="C908" s="50"/>
      <c r="D908" s="139">
        <f t="shared" ref="D908:D970" si="14">C908*E908</f>
        <v>0</v>
      </c>
      <c r="E908" s="140">
        <v>833.47</v>
      </c>
      <c r="F908" s="140">
        <v>683.17</v>
      </c>
      <c r="G908" s="34" t="s">
        <v>100</v>
      </c>
      <c r="H908" s="34" t="s">
        <v>39</v>
      </c>
      <c r="I908" s="35">
        <v>1</v>
      </c>
      <c r="J908" s="35">
        <v>1</v>
      </c>
      <c r="K908" s="35">
        <v>20</v>
      </c>
      <c r="L908" s="60" t="str">
        <f>HYPERLINK("https://www.sds-group.ru/product/sverlo-vintovoe-po-derevu-35h460mm-shestigrannyy-hvostovik-kranz-KR-91-0725/", "Инфо")</f>
        <v>Инфо</v>
      </c>
      <c r="M908" s="37">
        <v>1.5509999999999999</v>
      </c>
      <c r="N908" s="38">
        <v>1.214E-3</v>
      </c>
      <c r="O908" s="141">
        <v>4601004176423</v>
      </c>
    </row>
    <row r="909" spans="1:15" s="1" customFormat="1" ht="11.45" customHeight="1" outlineLevel="4" x14ac:dyDescent="0.2">
      <c r="A909" s="32" t="s">
        <v>8859</v>
      </c>
      <c r="B909" s="74" t="s">
        <v>8860</v>
      </c>
      <c r="C909" s="50"/>
      <c r="D909" s="139">
        <f t="shared" si="14"/>
        <v>0</v>
      </c>
      <c r="E909" s="140">
        <v>1110.95</v>
      </c>
      <c r="F909" s="140">
        <v>910.61</v>
      </c>
      <c r="G909" s="34" t="s">
        <v>100</v>
      </c>
      <c r="H909" s="34" t="s">
        <v>39</v>
      </c>
      <c r="I909" s="35">
        <v>1</v>
      </c>
      <c r="J909" s="35">
        <v>1</v>
      </c>
      <c r="K909" s="35">
        <v>16</v>
      </c>
      <c r="L909" s="60" t="str">
        <f>HYPERLINK("https://www.sds-group.ru/product/sverlo-vintovoe-po-derevu-40h460mm-shestigrannyy-hvostovik-kranz-KR-91-0730/", "Инфо")</f>
        <v>Инфо</v>
      </c>
      <c r="M909" s="37">
        <v>1.897</v>
      </c>
      <c r="N909" s="38">
        <v>1.689E-3</v>
      </c>
      <c r="O909" s="141">
        <v>4601004176430</v>
      </c>
    </row>
    <row r="910" spans="1:15" s="1" customFormat="1" ht="11.45" customHeight="1" outlineLevel="4" x14ac:dyDescent="0.2">
      <c r="A910" s="32" t="s">
        <v>8861</v>
      </c>
      <c r="B910" s="74" t="s">
        <v>8862</v>
      </c>
      <c r="C910" s="50"/>
      <c r="D910" s="139">
        <f t="shared" si="14"/>
        <v>0</v>
      </c>
      <c r="E910" s="140">
        <v>124.59</v>
      </c>
      <c r="F910" s="140">
        <v>102.12</v>
      </c>
      <c r="G910" s="34" t="s">
        <v>100</v>
      </c>
      <c r="H910" s="34" t="s">
        <v>39</v>
      </c>
      <c r="I910" s="35">
        <v>1</v>
      </c>
      <c r="J910" s="35">
        <v>1</v>
      </c>
      <c r="K910" s="35">
        <v>200</v>
      </c>
      <c r="L910" s="60" t="str">
        <f>HYPERLINK("https://www.sds-group.ru/product/sverlo-vintovoe-po-derevu-8h460mm-shestigrannyy-hvostovik-kranz-KR-91-0779/", "Инфо")</f>
        <v>Инфо</v>
      </c>
      <c r="M910" s="37">
        <v>0.14199999999999999</v>
      </c>
      <c r="N910" s="38">
        <v>2.8200000000000002E-4</v>
      </c>
      <c r="O910" s="141">
        <v>4601004202184</v>
      </c>
    </row>
    <row r="911" spans="1:15" ht="11.45" customHeight="1" outlineLevel="3" x14ac:dyDescent="0.2">
      <c r="A911" s="76" t="s">
        <v>8881</v>
      </c>
      <c r="B911" s="136"/>
      <c r="C911" s="77"/>
      <c r="D911" s="137"/>
      <c r="E911" s="4"/>
      <c r="F911" s="4"/>
      <c r="G911" s="4"/>
      <c r="H911" s="4"/>
      <c r="I911" s="4"/>
      <c r="J911" s="4"/>
      <c r="K911" s="4"/>
      <c r="L911" s="138"/>
      <c r="M911" s="4"/>
      <c r="N911" s="4"/>
      <c r="O911" s="4"/>
    </row>
    <row r="912" spans="1:15" s="1" customFormat="1" ht="11.45" customHeight="1" outlineLevel="4" x14ac:dyDescent="0.2">
      <c r="A912" s="32" t="s">
        <v>8893</v>
      </c>
      <c r="B912" s="74" t="s">
        <v>8894</v>
      </c>
      <c r="C912" s="50"/>
      <c r="D912" s="139">
        <f t="shared" si="14"/>
        <v>0</v>
      </c>
      <c r="E912" s="140">
        <v>143.26</v>
      </c>
      <c r="F912" s="140">
        <v>117.43</v>
      </c>
      <c r="G912" s="34" t="s">
        <v>100</v>
      </c>
      <c r="H912" s="34" t="s">
        <v>39</v>
      </c>
      <c r="I912" s="35">
        <v>1</v>
      </c>
      <c r="J912" s="35">
        <v>1</v>
      </c>
      <c r="K912" s="35">
        <v>50</v>
      </c>
      <c r="L912" s="60" t="str">
        <f>HYPERLINK("https://www.sds-group.ru/product/disk-pilnyy-160-mm-h-32-zub-h-20-16-mm-kranz-KR-92-0107/", "Инфо")</f>
        <v>Инфо</v>
      </c>
      <c r="M912" s="37">
        <v>0.23599999999999999</v>
      </c>
      <c r="N912" s="38">
        <v>3.68E-4</v>
      </c>
      <c r="O912" s="141">
        <v>4601004176492</v>
      </c>
    </row>
    <row r="913" spans="1:15" s="1" customFormat="1" ht="11.45" customHeight="1" outlineLevel="4" x14ac:dyDescent="0.2">
      <c r="A913" s="32" t="s">
        <v>8915</v>
      </c>
      <c r="B913" s="74" t="s">
        <v>8916</v>
      </c>
      <c r="C913" s="50"/>
      <c r="D913" s="139">
        <f t="shared" si="14"/>
        <v>0</v>
      </c>
      <c r="E913" s="140">
        <v>176.23</v>
      </c>
      <c r="F913" s="140">
        <v>144.44999999999999</v>
      </c>
      <c r="G913" s="34" t="s">
        <v>100</v>
      </c>
      <c r="H913" s="34" t="s">
        <v>39</v>
      </c>
      <c r="I913" s="35">
        <v>1</v>
      </c>
      <c r="J913" s="35">
        <v>1</v>
      </c>
      <c r="K913" s="35">
        <v>50</v>
      </c>
      <c r="L913" s="60" t="str">
        <f>HYPERLINK("https://www.sds-group.ru/product/disk-pilnyy-200-mm-h-36-zub-h-30-20-mm-kranz-KR-92-0117/", "Инфо")</f>
        <v>Инфо</v>
      </c>
      <c r="M913" s="37">
        <v>0.34899999999999998</v>
      </c>
      <c r="N913" s="38">
        <v>1.0759999999999999E-3</v>
      </c>
      <c r="O913" s="141">
        <v>4601004176577</v>
      </c>
    </row>
    <row r="914" spans="1:15" s="1" customFormat="1" ht="11.45" customHeight="1" outlineLevel="4" x14ac:dyDescent="0.2">
      <c r="A914" s="32" t="s">
        <v>8917</v>
      </c>
      <c r="B914" s="74" t="s">
        <v>8918</v>
      </c>
      <c r="C914" s="50"/>
      <c r="D914" s="139">
        <f t="shared" si="14"/>
        <v>0</v>
      </c>
      <c r="E914" s="140">
        <v>152.88999999999999</v>
      </c>
      <c r="F914" s="140">
        <v>125.32</v>
      </c>
      <c r="G914" s="34" t="s">
        <v>100</v>
      </c>
      <c r="H914" s="34" t="s">
        <v>39</v>
      </c>
      <c r="I914" s="35">
        <v>1</v>
      </c>
      <c r="J914" s="35">
        <v>1</v>
      </c>
      <c r="K914" s="35">
        <v>50</v>
      </c>
      <c r="L914" s="60" t="str">
        <f>HYPERLINK("https://www.sds-group.ru/product/disk-pilnyy-200-mm-h-48-zub-h-30-20-mm-kranz-KR-92-0118/", "Инфо")</f>
        <v>Инфо</v>
      </c>
      <c r="M914" s="37">
        <v>0.40500000000000003</v>
      </c>
      <c r="N914" s="38">
        <v>4.5199999999999998E-4</v>
      </c>
      <c r="O914" s="141">
        <v>4601004205635</v>
      </c>
    </row>
    <row r="915" spans="1:15" s="1" customFormat="1" ht="11.45" customHeight="1" outlineLevel="4" x14ac:dyDescent="0.2">
      <c r="A915" s="32" t="s">
        <v>8919</v>
      </c>
      <c r="B915" s="74" t="s">
        <v>8920</v>
      </c>
      <c r="C915" s="50"/>
      <c r="D915" s="139">
        <f t="shared" si="14"/>
        <v>0</v>
      </c>
      <c r="E915" s="140">
        <v>309.54000000000002</v>
      </c>
      <c r="F915" s="140">
        <v>253.72</v>
      </c>
      <c r="G915" s="34" t="s">
        <v>100</v>
      </c>
      <c r="H915" s="34" t="s">
        <v>39</v>
      </c>
      <c r="I915" s="35">
        <v>1</v>
      </c>
      <c r="J915" s="35">
        <v>1</v>
      </c>
      <c r="K915" s="35">
        <v>50</v>
      </c>
      <c r="L915" s="60" t="str">
        <f>HYPERLINK("https://www.sds-group.ru/product/disk-pilnyy-200-mm-h-56-zub-h-30-20-mm-kranz-KR-92-0119/", "Инфо")</f>
        <v>Инфо</v>
      </c>
      <c r="M915" s="37">
        <v>0.41499999999999998</v>
      </c>
      <c r="N915" s="38">
        <v>4.57E-4</v>
      </c>
      <c r="O915" s="141">
        <v>4601004205642</v>
      </c>
    </row>
    <row r="916" spans="1:15" s="1" customFormat="1" ht="11.45" customHeight="1" outlineLevel="4" x14ac:dyDescent="0.2">
      <c r="A916" s="32" t="s">
        <v>8921</v>
      </c>
      <c r="B916" s="74" t="s">
        <v>8922</v>
      </c>
      <c r="C916" s="50"/>
      <c r="D916" s="139">
        <f t="shared" si="14"/>
        <v>0</v>
      </c>
      <c r="E916" s="140">
        <v>176.59</v>
      </c>
      <c r="F916" s="140">
        <v>144.75</v>
      </c>
      <c r="G916" s="34" t="s">
        <v>100</v>
      </c>
      <c r="H916" s="34" t="s">
        <v>39</v>
      </c>
      <c r="I916" s="35">
        <v>1</v>
      </c>
      <c r="J916" s="35">
        <v>1</v>
      </c>
      <c r="K916" s="35">
        <v>50</v>
      </c>
      <c r="L916" s="60" t="str">
        <f>HYPERLINK("https://www.sds-group.ru/product/disk-pilnyy-210-mm-h-24-zub-h-30-mm-kranz-KR-92-0120/", "Инфо")</f>
        <v>Инфо</v>
      </c>
      <c r="M916" s="37">
        <v>0.42099999999999999</v>
      </c>
      <c r="N916" s="38">
        <v>1.1310000000000001E-3</v>
      </c>
      <c r="O916" s="141">
        <v>4601004205659</v>
      </c>
    </row>
    <row r="917" spans="1:15" s="1" customFormat="1" ht="11.45" customHeight="1" outlineLevel="4" x14ac:dyDescent="0.2">
      <c r="A917" s="32" t="s">
        <v>8923</v>
      </c>
      <c r="B917" s="74" t="s">
        <v>8924</v>
      </c>
      <c r="C917" s="50"/>
      <c r="D917" s="139">
        <f t="shared" si="14"/>
        <v>0</v>
      </c>
      <c r="E917" s="140">
        <v>167.23</v>
      </c>
      <c r="F917" s="140">
        <v>137.07</v>
      </c>
      <c r="G917" s="34" t="s">
        <v>100</v>
      </c>
      <c r="H917" s="34" t="s">
        <v>39</v>
      </c>
      <c r="I917" s="35">
        <v>1</v>
      </c>
      <c r="J917" s="35">
        <v>1</v>
      </c>
      <c r="K917" s="35">
        <v>40</v>
      </c>
      <c r="L917" s="60" t="str">
        <f>HYPERLINK("https://www.sds-group.ru/product/disk-pilnyy-210-mm-h-36-zub-h-30-mm-kranz-KR-92-0121/", "Инфо")</f>
        <v>Инфо</v>
      </c>
      <c r="M917" s="37">
        <v>0.435</v>
      </c>
      <c r="N917" s="38">
        <v>9.4300000000000004E-4</v>
      </c>
      <c r="O917" s="141">
        <v>4601004205666</v>
      </c>
    </row>
    <row r="918" spans="1:15" s="1" customFormat="1" ht="11.45" customHeight="1" outlineLevel="4" x14ac:dyDescent="0.2">
      <c r="A918" s="32" t="s">
        <v>8933</v>
      </c>
      <c r="B918" s="74" t="s">
        <v>8934</v>
      </c>
      <c r="C918" s="50"/>
      <c r="D918" s="139">
        <f t="shared" si="14"/>
        <v>0</v>
      </c>
      <c r="E918" s="140">
        <v>287.77</v>
      </c>
      <c r="F918" s="140">
        <v>235.88</v>
      </c>
      <c r="G918" s="34" t="s">
        <v>100</v>
      </c>
      <c r="H918" s="34" t="s">
        <v>39</v>
      </c>
      <c r="I918" s="35">
        <v>1</v>
      </c>
      <c r="J918" s="35">
        <v>1</v>
      </c>
      <c r="K918" s="35">
        <v>25</v>
      </c>
      <c r="L918" s="60" t="str">
        <f>HYPERLINK("https://www.sds-group.ru/product/disk-pilnyy-250-mm-h-36-zub-h-32-30-mm-kranz-KR-92-0127/", "Инфо")</f>
        <v>Инфо</v>
      </c>
      <c r="M918" s="37">
        <v>0.67</v>
      </c>
      <c r="N918" s="38">
        <v>1.0189999999999999E-3</v>
      </c>
      <c r="O918" s="141">
        <v>4601004205727</v>
      </c>
    </row>
    <row r="919" spans="1:15" s="1" customFormat="1" ht="11.45" customHeight="1" outlineLevel="4" x14ac:dyDescent="0.2">
      <c r="A919" s="32" t="s">
        <v>8939</v>
      </c>
      <c r="B919" s="74" t="s">
        <v>8940</v>
      </c>
      <c r="C919" s="50"/>
      <c r="D919" s="139">
        <f t="shared" si="14"/>
        <v>0</v>
      </c>
      <c r="E919" s="140">
        <v>451.76</v>
      </c>
      <c r="F919" s="140">
        <v>370.3</v>
      </c>
      <c r="G919" s="34" t="s">
        <v>100</v>
      </c>
      <c r="H919" s="34" t="s">
        <v>39</v>
      </c>
      <c r="I919" s="35">
        <v>1</v>
      </c>
      <c r="J919" s="35">
        <v>1</v>
      </c>
      <c r="K919" s="35">
        <v>25</v>
      </c>
      <c r="L919" s="60" t="str">
        <f>HYPERLINK("https://www.sds-group.ru/product/disk-pilnyy-254-mm-h-48-zub-h-32-30-mm-kranz-KR-92-0130/", "Инфо")</f>
        <v>Инфо</v>
      </c>
      <c r="M919" s="37">
        <v>0.73499999999999999</v>
      </c>
      <c r="N919" s="38">
        <v>6.5099999999999999E-4</v>
      </c>
      <c r="O919" s="141">
        <v>4601004205758</v>
      </c>
    </row>
    <row r="920" spans="1:15" s="1" customFormat="1" ht="11.45" customHeight="1" outlineLevel="4" x14ac:dyDescent="0.2">
      <c r="A920" s="32" t="s">
        <v>8943</v>
      </c>
      <c r="B920" s="74" t="s">
        <v>8944</v>
      </c>
      <c r="C920" s="50"/>
      <c r="D920" s="139">
        <f t="shared" si="14"/>
        <v>0</v>
      </c>
      <c r="E920" s="140">
        <v>386.02</v>
      </c>
      <c r="F920" s="140">
        <v>316.41000000000003</v>
      </c>
      <c r="G920" s="34" t="s">
        <v>100</v>
      </c>
      <c r="H920" s="34" t="s">
        <v>39</v>
      </c>
      <c r="I920" s="35">
        <v>1</v>
      </c>
      <c r="J920" s="35">
        <v>1</v>
      </c>
      <c r="K920" s="35">
        <v>10</v>
      </c>
      <c r="L920" s="60" t="str">
        <f>HYPERLINK("https://www.sds-group.ru/product/disk-pilnyy-300-mm-h-36-zub-h-32-30-mm-kranz-KR-92-0132/", "Инфо")</f>
        <v>Инфо</v>
      </c>
      <c r="M920" s="37">
        <v>1.143</v>
      </c>
      <c r="N920" s="38">
        <v>1.3010000000000001E-3</v>
      </c>
      <c r="O920" s="141">
        <v>4601004205772</v>
      </c>
    </row>
    <row r="921" spans="1:15" s="1" customFormat="1" ht="11.45" customHeight="1" outlineLevel="4" x14ac:dyDescent="0.2">
      <c r="A921" s="32" t="s">
        <v>8945</v>
      </c>
      <c r="B921" s="74" t="s">
        <v>8946</v>
      </c>
      <c r="C921" s="50"/>
      <c r="D921" s="139">
        <f t="shared" si="14"/>
        <v>0</v>
      </c>
      <c r="E921" s="140">
        <v>495.27</v>
      </c>
      <c r="F921" s="140">
        <v>405.96</v>
      </c>
      <c r="G921" s="34" t="s">
        <v>100</v>
      </c>
      <c r="H921" s="34" t="s">
        <v>39</v>
      </c>
      <c r="I921" s="35">
        <v>1</v>
      </c>
      <c r="J921" s="35">
        <v>1</v>
      </c>
      <c r="K921" s="35">
        <v>10</v>
      </c>
      <c r="L921" s="60" t="str">
        <f>HYPERLINK("https://www.sds-group.ru/product/disk-pilnyy-300-mm-h-48-zub-h-32-30-mm-kranz-KR-92-0133/", "Инфо")</f>
        <v>Инфо</v>
      </c>
      <c r="M921" s="37">
        <v>1.137</v>
      </c>
      <c r="N921" s="38">
        <v>1.194E-3</v>
      </c>
      <c r="O921" s="141">
        <v>4601004205789</v>
      </c>
    </row>
    <row r="922" spans="1:15" s="1" customFormat="1" ht="11.45" customHeight="1" outlineLevel="4" x14ac:dyDescent="0.2">
      <c r="A922" s="32" t="s">
        <v>8949</v>
      </c>
      <c r="B922" s="74" t="s">
        <v>8950</v>
      </c>
      <c r="C922" s="50"/>
      <c r="D922" s="139">
        <f t="shared" si="14"/>
        <v>0</v>
      </c>
      <c r="E922" s="140">
        <v>671.31</v>
      </c>
      <c r="F922" s="140">
        <v>550.25</v>
      </c>
      <c r="G922" s="34" t="s">
        <v>100</v>
      </c>
      <c r="H922" s="34" t="s">
        <v>39</v>
      </c>
      <c r="I922" s="35">
        <v>1</v>
      </c>
      <c r="J922" s="35">
        <v>1</v>
      </c>
      <c r="K922" s="35">
        <v>10</v>
      </c>
      <c r="L922" s="60" t="str">
        <f>HYPERLINK("https://www.sds-group.ru/product/disk-pilnyy-305-mm-h-24-zub-h-32-30-mm-kranz-KR-92-0134/", "Инфо")</f>
        <v>Инфо</v>
      </c>
      <c r="M922" s="37">
        <v>1.0229999999999999</v>
      </c>
      <c r="N922" s="38">
        <v>1.189E-3</v>
      </c>
      <c r="O922" s="141">
        <v>4601004205796</v>
      </c>
    </row>
    <row r="923" spans="1:15" s="1" customFormat="1" ht="11.45" customHeight="1" outlineLevel="4" x14ac:dyDescent="0.2">
      <c r="A923" s="32" t="s">
        <v>8951</v>
      </c>
      <c r="B923" s="74" t="s">
        <v>8952</v>
      </c>
      <c r="C923" s="50"/>
      <c r="D923" s="139">
        <f t="shared" si="14"/>
        <v>0</v>
      </c>
      <c r="E923" s="140">
        <v>424.59</v>
      </c>
      <c r="F923" s="140">
        <v>348.02</v>
      </c>
      <c r="G923" s="34" t="s">
        <v>100</v>
      </c>
      <c r="H923" s="34" t="s">
        <v>39</v>
      </c>
      <c r="I923" s="35">
        <v>1</v>
      </c>
      <c r="J923" s="35">
        <v>1</v>
      </c>
      <c r="K923" s="35">
        <v>10</v>
      </c>
      <c r="L923" s="60" t="str">
        <f>HYPERLINK("https://www.sds-group.ru/product/disk-pilnyy-305-mm-h-60-zub-h-32-30-mm-kranz-KR-92-0135/", "Инфо")</f>
        <v>Инфо</v>
      </c>
      <c r="M923" s="37">
        <v>1.196</v>
      </c>
      <c r="N923" s="38">
        <v>1.1150000000000001E-3</v>
      </c>
      <c r="O923" s="141">
        <v>4601004205802</v>
      </c>
    </row>
    <row r="924" spans="1:15" ht="11.45" customHeight="1" outlineLevel="3" x14ac:dyDescent="0.2">
      <c r="A924" s="76" t="s">
        <v>9001</v>
      </c>
      <c r="B924" s="136"/>
      <c r="C924" s="77"/>
      <c r="D924" s="137"/>
      <c r="E924" s="4"/>
      <c r="F924" s="4"/>
      <c r="G924" s="4"/>
      <c r="H924" s="4"/>
      <c r="I924" s="4"/>
      <c r="J924" s="4"/>
      <c r="K924" s="4"/>
      <c r="L924" s="138"/>
      <c r="M924" s="4"/>
      <c r="N924" s="4"/>
      <c r="O924" s="4"/>
    </row>
    <row r="925" spans="1:15" s="1" customFormat="1" ht="11.45" customHeight="1" outlineLevel="4" x14ac:dyDescent="0.2">
      <c r="A925" s="32" t="s">
        <v>9012</v>
      </c>
      <c r="B925" s="74" t="s">
        <v>9013</v>
      </c>
      <c r="C925" s="50"/>
      <c r="D925" s="139">
        <f t="shared" si="14"/>
        <v>0</v>
      </c>
      <c r="E925" s="140">
        <v>255.7</v>
      </c>
      <c r="F925" s="140">
        <v>209.59</v>
      </c>
      <c r="G925" s="34" t="s">
        <v>100</v>
      </c>
      <c r="H925" s="34" t="s">
        <v>4698</v>
      </c>
      <c r="I925" s="35">
        <v>1</v>
      </c>
      <c r="J925" s="35">
        <v>1</v>
      </c>
      <c r="K925" s="35">
        <v>60</v>
      </c>
      <c r="L925" s="60" t="str">
        <f>HYPERLINK("https://www.sds-group.ru/product/pila-koltsevaya-26-32-38-45-50-56-63-mm-glubina-propila-1-kranz-KR-92-0256/", "Инфо")</f>
        <v>Инфо</v>
      </c>
      <c r="M925" s="37">
        <v>0.127</v>
      </c>
      <c r="N925" s="38">
        <v>6.8800000000000003E-4</v>
      </c>
      <c r="O925" s="141">
        <v>4601004286184</v>
      </c>
    </row>
    <row r="926" spans="1:15" s="1" customFormat="1" ht="11.45" customHeight="1" outlineLevel="4" x14ac:dyDescent="0.2">
      <c r="A926" s="32" t="s">
        <v>9014</v>
      </c>
      <c r="B926" s="74" t="s">
        <v>9015</v>
      </c>
      <c r="C926" s="50"/>
      <c r="D926" s="139">
        <f t="shared" si="14"/>
        <v>0</v>
      </c>
      <c r="E926" s="140">
        <v>290.01</v>
      </c>
      <c r="F926" s="140">
        <v>237.71</v>
      </c>
      <c r="G926" s="34" t="s">
        <v>100</v>
      </c>
      <c r="H926" s="34" t="s">
        <v>4698</v>
      </c>
      <c r="I926" s="35">
        <v>1</v>
      </c>
      <c r="J926" s="35">
        <v>1</v>
      </c>
      <c r="K926" s="35">
        <v>60</v>
      </c>
      <c r="L926" s="60" t="str">
        <f>HYPERLINK("https://www.sds-group.ru/product/pila-koltsevaya-26-32-38-45-50-56-63-mm-glubina-propila-2-kranz-KR-92-0257/", "Инфо")</f>
        <v>Инфо</v>
      </c>
      <c r="M926" s="37">
        <v>0.20599999999999999</v>
      </c>
      <c r="N926" s="38">
        <v>8.8099999999999995E-4</v>
      </c>
      <c r="O926" s="141">
        <v>4601004286207</v>
      </c>
    </row>
    <row r="927" spans="1:15" s="1" customFormat="1" ht="11.45" customHeight="1" outlineLevel="4" x14ac:dyDescent="0.2">
      <c r="A927" s="32" t="s">
        <v>9016</v>
      </c>
      <c r="B927" s="74" t="s">
        <v>9017</v>
      </c>
      <c r="C927" s="50"/>
      <c r="D927" s="139">
        <f t="shared" si="14"/>
        <v>0</v>
      </c>
      <c r="E927" s="140">
        <v>488.07</v>
      </c>
      <c r="F927" s="140">
        <v>400.06</v>
      </c>
      <c r="G927" s="34" t="s">
        <v>100</v>
      </c>
      <c r="H927" s="34" t="s">
        <v>4698</v>
      </c>
      <c r="I927" s="35">
        <v>1</v>
      </c>
      <c r="J927" s="35">
        <v>1</v>
      </c>
      <c r="K927" s="35">
        <v>24</v>
      </c>
      <c r="L927" s="60" t="str">
        <f>HYPERLINK("https://www.sds-group.ru/product/pila-koltsevaya-60-67-74-81-95-mm-glubina-propila-1-5-kranz-KR-92-0255/", "Инфо")</f>
        <v>Инфо</v>
      </c>
      <c r="M927" s="37">
        <v>0.34899999999999998</v>
      </c>
      <c r="N927" s="38">
        <v>2.0960000000000002E-3</v>
      </c>
      <c r="O927" s="141">
        <v>4601004286221</v>
      </c>
    </row>
    <row r="928" spans="1:15" ht="11.45" customHeight="1" outlineLevel="3" x14ac:dyDescent="0.2">
      <c r="A928" s="76" t="s">
        <v>9018</v>
      </c>
      <c r="B928" s="136"/>
      <c r="C928" s="77"/>
      <c r="D928" s="137"/>
      <c r="E928" s="4"/>
      <c r="F928" s="4"/>
      <c r="G928" s="4"/>
      <c r="H928" s="4"/>
      <c r="I928" s="4"/>
      <c r="J928" s="4"/>
      <c r="K928" s="4"/>
      <c r="L928" s="138"/>
      <c r="M928" s="4"/>
      <c r="N928" s="4"/>
      <c r="O928" s="4"/>
    </row>
    <row r="929" spans="1:15" s="1" customFormat="1" ht="11.45" customHeight="1" outlineLevel="4" x14ac:dyDescent="0.2">
      <c r="A929" s="32" t="s">
        <v>9019</v>
      </c>
      <c r="B929" s="74" t="s">
        <v>9020</v>
      </c>
      <c r="C929" s="50"/>
      <c r="D929" s="139">
        <f t="shared" si="14"/>
        <v>0</v>
      </c>
      <c r="E929" s="140">
        <v>85.72</v>
      </c>
      <c r="F929" s="140">
        <v>70.260000000000005</v>
      </c>
      <c r="G929" s="34" t="s">
        <v>100</v>
      </c>
      <c r="H929" s="34" t="s">
        <v>39</v>
      </c>
      <c r="I929" s="35">
        <v>1</v>
      </c>
      <c r="J929" s="35">
        <v>1</v>
      </c>
      <c r="K929" s="35">
        <v>200</v>
      </c>
      <c r="L929" s="60" t="str">
        <f>HYPERLINK("https://www.sds-group.ru/product/sverlo-perovoe-po-derevu-12h300-mm-shestigrannyy-hvostovik-kranz-KR-91-0770/", "Инфо")</f>
        <v>Инфо</v>
      </c>
      <c r="M929" s="37">
        <v>9.9000000000000005E-2</v>
      </c>
      <c r="N929" s="38">
        <v>1.6899999999999999E-4</v>
      </c>
      <c r="O929" s="141">
        <v>4601004202894</v>
      </c>
    </row>
    <row r="930" spans="1:15" s="1" customFormat="1" ht="11.45" customHeight="1" outlineLevel="4" x14ac:dyDescent="0.2">
      <c r="A930" s="32" t="s">
        <v>9021</v>
      </c>
      <c r="B930" s="74" t="s">
        <v>9022</v>
      </c>
      <c r="C930" s="50"/>
      <c r="D930" s="139">
        <f t="shared" si="14"/>
        <v>0</v>
      </c>
      <c r="E930" s="140">
        <v>87.37</v>
      </c>
      <c r="F930" s="140">
        <v>71.61</v>
      </c>
      <c r="G930" s="34" t="s">
        <v>100</v>
      </c>
      <c r="H930" s="34" t="s">
        <v>39</v>
      </c>
      <c r="I930" s="35">
        <v>1</v>
      </c>
      <c r="J930" s="35">
        <v>1</v>
      </c>
      <c r="K930" s="35">
        <v>200</v>
      </c>
      <c r="L930" s="60" t="str">
        <f>HYPERLINK("https://www.sds-group.ru/product/sverlo-perovoe-po-derevu-16h300-mm-shestigrannyy-hvostovik-kranz-KR-91-0771/", "Инфо")</f>
        <v>Инфо</v>
      </c>
      <c r="M930" s="37">
        <v>0.10199999999999999</v>
      </c>
      <c r="N930" s="38">
        <v>1.6100000000000001E-4</v>
      </c>
      <c r="O930" s="141">
        <v>4601004202900</v>
      </c>
    </row>
    <row r="931" spans="1:15" s="1" customFormat="1" ht="11.45" customHeight="1" outlineLevel="4" x14ac:dyDescent="0.2">
      <c r="A931" s="32" t="s">
        <v>9029</v>
      </c>
      <c r="B931" s="74" t="s">
        <v>9030</v>
      </c>
      <c r="C931" s="50"/>
      <c r="D931" s="139">
        <f t="shared" si="14"/>
        <v>0</v>
      </c>
      <c r="E931" s="140">
        <v>143.08000000000001</v>
      </c>
      <c r="F931" s="140">
        <v>117.28</v>
      </c>
      <c r="G931" s="34" t="s">
        <v>100</v>
      </c>
      <c r="H931" s="34" t="s">
        <v>39</v>
      </c>
      <c r="I931" s="35">
        <v>1</v>
      </c>
      <c r="J931" s="35">
        <v>1</v>
      </c>
      <c r="K931" s="35">
        <v>200</v>
      </c>
      <c r="L931" s="60" t="str">
        <f>HYPERLINK("https://www.sds-group.ru/product/sverlo-perovoe-po-derevu-30h300-mm-shestigrannyy-hvostovik-kranz-KR-91-0775/", "Инфо")</f>
        <v>Инфо</v>
      </c>
      <c r="M931" s="37">
        <v>0.11</v>
      </c>
      <c r="N931" s="38">
        <v>1.6899999999999999E-4</v>
      </c>
      <c r="O931" s="141">
        <v>4601004202948</v>
      </c>
    </row>
    <row r="932" spans="1:15" s="1" customFormat="1" ht="11.45" customHeight="1" outlineLevel="4" x14ac:dyDescent="0.2">
      <c r="A932" s="32" t="s">
        <v>9031</v>
      </c>
      <c r="B932" s="74" t="s">
        <v>9032</v>
      </c>
      <c r="C932" s="50"/>
      <c r="D932" s="139">
        <f t="shared" si="14"/>
        <v>0</v>
      </c>
      <c r="E932" s="140">
        <v>136.91999999999999</v>
      </c>
      <c r="F932" s="140">
        <v>112.23</v>
      </c>
      <c r="G932" s="34" t="s">
        <v>100</v>
      </c>
      <c r="H932" s="34" t="s">
        <v>39</v>
      </c>
      <c r="I932" s="35">
        <v>1</v>
      </c>
      <c r="J932" s="35">
        <v>1</v>
      </c>
      <c r="K932" s="35">
        <v>200</v>
      </c>
      <c r="L932" s="60" t="str">
        <f>HYPERLINK("https://www.sds-group.ru/product/sverlo-perovoe-po-derevu-32h300-mm-shestigrannyy-hvostovik-kranz-KR-91-0776/", "Инфо")</f>
        <v>Инфо</v>
      </c>
      <c r="M932" s="37">
        <v>0.111</v>
      </c>
      <c r="N932" s="38">
        <v>1.63E-4</v>
      </c>
      <c r="O932" s="141">
        <v>4601004202955</v>
      </c>
    </row>
    <row r="933" spans="1:15" ht="11.45" customHeight="1" outlineLevel="2" x14ac:dyDescent="0.2">
      <c r="A933" s="76" t="s">
        <v>9118</v>
      </c>
      <c r="B933" s="136"/>
      <c r="C933" s="77"/>
      <c r="D933" s="137"/>
      <c r="E933" s="4"/>
      <c r="F933" s="4"/>
      <c r="G933" s="4"/>
      <c r="H933" s="4"/>
      <c r="I933" s="4"/>
      <c r="J933" s="4"/>
      <c r="K933" s="4"/>
      <c r="L933" s="138"/>
      <c r="M933" s="4"/>
      <c r="N933" s="4"/>
      <c r="O933" s="4"/>
    </row>
    <row r="934" spans="1:15" ht="11.45" customHeight="1" outlineLevel="3" x14ac:dyDescent="0.2">
      <c r="A934" s="76" t="s">
        <v>9119</v>
      </c>
      <c r="B934" s="136"/>
      <c r="C934" s="77"/>
      <c r="D934" s="137"/>
      <c r="E934" s="4"/>
      <c r="F934" s="4"/>
      <c r="G934" s="4"/>
      <c r="H934" s="4"/>
      <c r="I934" s="4"/>
      <c r="J934" s="4"/>
      <c r="K934" s="4"/>
      <c r="L934" s="138"/>
      <c r="M934" s="4"/>
      <c r="N934" s="4"/>
      <c r="O934" s="4"/>
    </row>
    <row r="935" spans="1:15" s="1" customFormat="1" ht="11.45" customHeight="1" outlineLevel="4" x14ac:dyDescent="0.2">
      <c r="A935" s="32" t="s">
        <v>9132</v>
      </c>
      <c r="B935" s="74" t="s">
        <v>9133</v>
      </c>
      <c r="C935" s="50"/>
      <c r="D935" s="139">
        <f t="shared" si="14"/>
        <v>0</v>
      </c>
      <c r="E935" s="140">
        <v>7.65</v>
      </c>
      <c r="F935" s="140">
        <v>6.27</v>
      </c>
      <c r="G935" s="34" t="s">
        <v>100</v>
      </c>
      <c r="H935" s="34" t="s">
        <v>39</v>
      </c>
      <c r="I935" s="35">
        <v>25</v>
      </c>
      <c r="J935" s="35">
        <v>25</v>
      </c>
      <c r="K935" s="39">
        <v>2000</v>
      </c>
      <c r="L935" s="60" t="str">
        <f>HYPERLINK("https://www.sds-group.ru/product/bita-ph2h25-mm-dlya-shurupoverta-upak-25-sht-kranz-KR-92-0414/", "Инфо")</f>
        <v>Инфо</v>
      </c>
      <c r="M935" s="37">
        <v>6.0000000000000001E-3</v>
      </c>
      <c r="N935" s="38">
        <v>6.9999999999999999E-6</v>
      </c>
      <c r="O935" s="141">
        <v>4601004176829</v>
      </c>
    </row>
    <row r="936" spans="1:15" s="1" customFormat="1" ht="11.45" customHeight="1" outlineLevel="4" x14ac:dyDescent="0.2">
      <c r="A936" s="32" t="s">
        <v>9140</v>
      </c>
      <c r="B936" s="74" t="s">
        <v>9141</v>
      </c>
      <c r="C936" s="50"/>
      <c r="D936" s="139">
        <f t="shared" si="14"/>
        <v>0</v>
      </c>
      <c r="E936" s="140">
        <v>19.579999999999998</v>
      </c>
      <c r="F936" s="140">
        <v>16.05</v>
      </c>
      <c r="G936" s="34" t="s">
        <v>100</v>
      </c>
      <c r="H936" s="34" t="s">
        <v>39</v>
      </c>
      <c r="I936" s="35">
        <v>10</v>
      </c>
      <c r="J936" s="35">
        <v>10</v>
      </c>
      <c r="K936" s="39">
        <v>1200</v>
      </c>
      <c r="L936" s="60" t="str">
        <f>HYPERLINK("https://www.sds-group.ru/product/bita-pz-1x50-mm-dlya-shurupoverta-stal-s2-5-sht-lenta-kranz-KR-12-6312/", "Инфо")</f>
        <v>Инфо</v>
      </c>
      <c r="M936" s="37">
        <v>1.6E-2</v>
      </c>
      <c r="N936" s="38">
        <v>4.6E-5</v>
      </c>
      <c r="O936" s="141">
        <v>4601004176874</v>
      </c>
    </row>
    <row r="937" spans="1:15" s="1" customFormat="1" ht="11.45" customHeight="1" outlineLevel="4" x14ac:dyDescent="0.2">
      <c r="A937" s="32" t="s">
        <v>9154</v>
      </c>
      <c r="B937" s="74" t="s">
        <v>9155</v>
      </c>
      <c r="C937" s="50"/>
      <c r="D937" s="139">
        <f t="shared" si="14"/>
        <v>0</v>
      </c>
      <c r="E937" s="140">
        <v>16.760000000000002</v>
      </c>
      <c r="F937" s="140">
        <v>13.74</v>
      </c>
      <c r="G937" s="34" t="s">
        <v>100</v>
      </c>
      <c r="H937" s="34" t="s">
        <v>39</v>
      </c>
      <c r="I937" s="35">
        <v>10</v>
      </c>
      <c r="J937" s="35">
        <v>10</v>
      </c>
      <c r="K937" s="39">
        <v>1200</v>
      </c>
      <c r="L937" s="60" t="str">
        <f>HYPERLINK("https://www.sds-group.ru/product/bita-torx-t-27h50-mm-dlya-shurupoverta-upak-10-sht-kranz-KR-92-0429/", "Инфо")</f>
        <v>Инфо</v>
      </c>
      <c r="M937" s="37">
        <v>1.2999999999999999E-2</v>
      </c>
      <c r="N937" s="38">
        <v>1.1E-5</v>
      </c>
      <c r="O937" s="141">
        <v>4601004176966</v>
      </c>
    </row>
    <row r="938" spans="1:15" ht="11.45" customHeight="1" outlineLevel="3" x14ac:dyDescent="0.2">
      <c r="A938" s="76" t="s">
        <v>9186</v>
      </c>
      <c r="B938" s="136"/>
      <c r="C938" s="77"/>
      <c r="D938" s="137"/>
      <c r="E938" s="4"/>
      <c r="F938" s="4"/>
      <c r="G938" s="4"/>
      <c r="H938" s="4"/>
      <c r="I938" s="4"/>
      <c r="J938" s="4"/>
      <c r="K938" s="4"/>
      <c r="L938" s="138"/>
      <c r="M938" s="4"/>
      <c r="N938" s="4"/>
      <c r="O938" s="4"/>
    </row>
    <row r="939" spans="1:15" s="1" customFormat="1" ht="11.45" customHeight="1" outlineLevel="4" x14ac:dyDescent="0.2">
      <c r="A939" s="32" t="s">
        <v>9189</v>
      </c>
      <c r="B939" s="74" t="s">
        <v>9190</v>
      </c>
      <c r="C939" s="50"/>
      <c r="D939" s="139">
        <f t="shared" si="14"/>
        <v>0</v>
      </c>
      <c r="E939" s="140">
        <v>30.45</v>
      </c>
      <c r="F939" s="140">
        <v>24.96</v>
      </c>
      <c r="G939" s="34" t="s">
        <v>100</v>
      </c>
      <c r="H939" s="34" t="s">
        <v>1001</v>
      </c>
      <c r="I939" s="35">
        <v>1</v>
      </c>
      <c r="J939" s="35">
        <v>1</v>
      </c>
      <c r="K939" s="35">
        <v>200</v>
      </c>
      <c r="L939" s="60" t="str">
        <f>HYPERLINK("https://www.sds-group.ru/product/klyuch-nasadka-magnitnyy-1-4-12h48mm-1-sht-up-kranz-KR-92-0403-1/", "Инфо")</f>
        <v>Инфо</v>
      </c>
      <c r="M939" s="37">
        <v>4.8000000000000001E-2</v>
      </c>
      <c r="N939" s="38">
        <v>7.2000000000000002E-5</v>
      </c>
      <c r="O939" s="141">
        <v>4601004200869</v>
      </c>
    </row>
    <row r="940" spans="1:15" ht="11.45" customHeight="1" outlineLevel="2" x14ac:dyDescent="0.2">
      <c r="A940" s="76" t="s">
        <v>9277</v>
      </c>
      <c r="B940" s="136"/>
      <c r="C940" s="77"/>
      <c r="D940" s="137"/>
      <c r="E940" s="4"/>
      <c r="F940" s="4"/>
      <c r="G940" s="4"/>
      <c r="H940" s="4"/>
      <c r="I940" s="4"/>
      <c r="J940" s="4"/>
      <c r="K940" s="4"/>
      <c r="L940" s="138"/>
      <c r="M940" s="4"/>
      <c r="N940" s="4"/>
      <c r="O940" s="4"/>
    </row>
    <row r="941" spans="1:15" s="1" customFormat="1" ht="11.45" customHeight="1" outlineLevel="3" x14ac:dyDescent="0.2">
      <c r="A941" s="32" t="s">
        <v>9278</v>
      </c>
      <c r="B941" s="74" t="s">
        <v>9279</v>
      </c>
      <c r="C941" s="50"/>
      <c r="D941" s="139">
        <f t="shared" si="14"/>
        <v>0</v>
      </c>
      <c r="E941" s="140">
        <v>87.57</v>
      </c>
      <c r="F941" s="140">
        <v>71.78</v>
      </c>
      <c r="G941" s="34" t="s">
        <v>100</v>
      </c>
      <c r="H941" s="34" t="s">
        <v>39</v>
      </c>
      <c r="I941" s="35">
        <v>1</v>
      </c>
      <c r="J941" s="35">
        <v>1</v>
      </c>
      <c r="K941" s="35">
        <v>20</v>
      </c>
      <c r="L941" s="60" t="str">
        <f>HYPERLINK("https://www.sds-group.ru/product/nasadka-mikser-100h400mm-shestigrannyy-hvostovik-kranz-KR-92-0562/", "Инфо")</f>
        <v>Инфо</v>
      </c>
      <c r="M941" s="37">
        <v>0.46400000000000002</v>
      </c>
      <c r="N941" s="38">
        <v>2.4459999999999998E-3</v>
      </c>
      <c r="O941" s="141">
        <v>4601004177116</v>
      </c>
    </row>
    <row r="942" spans="1:15" ht="11.45" customHeight="1" outlineLevel="2" x14ac:dyDescent="0.2">
      <c r="A942" s="76" t="s">
        <v>9288</v>
      </c>
      <c r="B942" s="136"/>
      <c r="C942" s="77"/>
      <c r="D942" s="137"/>
      <c r="E942" s="4"/>
      <c r="F942" s="4"/>
      <c r="G942" s="4"/>
      <c r="H942" s="4"/>
      <c r="I942" s="4"/>
      <c r="J942" s="4"/>
      <c r="K942" s="4"/>
      <c r="L942" s="138"/>
      <c r="M942" s="4"/>
      <c r="N942" s="4"/>
      <c r="O942" s="4"/>
    </row>
    <row r="943" spans="1:15" ht="11.45" customHeight="1" outlineLevel="3" x14ac:dyDescent="0.2">
      <c r="A943" s="76" t="s">
        <v>9308</v>
      </c>
      <c r="B943" s="136"/>
      <c r="C943" s="77"/>
      <c r="D943" s="137"/>
      <c r="E943" s="4"/>
      <c r="F943" s="4"/>
      <c r="G943" s="4"/>
      <c r="H943" s="4"/>
      <c r="I943" s="4"/>
      <c r="J943" s="4"/>
      <c r="K943" s="4"/>
      <c r="L943" s="138"/>
      <c r="M943" s="4"/>
      <c r="N943" s="4"/>
      <c r="O943" s="4"/>
    </row>
    <row r="944" spans="1:15" s="1" customFormat="1" ht="11.45" customHeight="1" outlineLevel="4" x14ac:dyDescent="0.2">
      <c r="A944" s="32" t="s">
        <v>9315</v>
      </c>
      <c r="B944" s="74" t="s">
        <v>9316</v>
      </c>
      <c r="C944" s="50"/>
      <c r="D944" s="139">
        <f t="shared" si="14"/>
        <v>0</v>
      </c>
      <c r="E944" s="140">
        <v>356.58</v>
      </c>
      <c r="F944" s="140">
        <v>292.27999999999997</v>
      </c>
      <c r="G944" s="34" t="s">
        <v>100</v>
      </c>
      <c r="H944" s="34" t="s">
        <v>39</v>
      </c>
      <c r="I944" s="35">
        <v>1</v>
      </c>
      <c r="J944" s="35">
        <v>1</v>
      </c>
      <c r="K944" s="35">
        <v>40</v>
      </c>
      <c r="L944" s="60" t="str">
        <f>HYPERLINK("https://www.sds-group.ru/product/disk-almaznyy-otreznoy-sploshnoy-200x25-4-22-2x2x10mm-kranz-KR-90-0114/", "Инфо")</f>
        <v>Инфо</v>
      </c>
      <c r="M944" s="37">
        <v>0.46600000000000003</v>
      </c>
      <c r="N944" s="38">
        <v>4.0499999999999998E-4</v>
      </c>
      <c r="O944" s="141">
        <v>4601004200111</v>
      </c>
    </row>
    <row r="945" spans="1:15" ht="11.45" customHeight="1" outlineLevel="3" x14ac:dyDescent="0.2">
      <c r="A945" s="76" t="s">
        <v>9341</v>
      </c>
      <c r="B945" s="136"/>
      <c r="C945" s="77"/>
      <c r="D945" s="137"/>
      <c r="E945" s="4"/>
      <c r="F945" s="4"/>
      <c r="G945" s="4"/>
      <c r="H945" s="4"/>
      <c r="I945" s="4"/>
      <c r="J945" s="4"/>
      <c r="K945" s="4"/>
      <c r="L945" s="138"/>
      <c r="M945" s="4"/>
      <c r="N945" s="4"/>
      <c r="O945" s="4"/>
    </row>
    <row r="946" spans="1:15" s="1" customFormat="1" ht="11.45" customHeight="1" outlineLevel="4" x14ac:dyDescent="0.2">
      <c r="A946" s="32" t="s">
        <v>9348</v>
      </c>
      <c r="B946" s="74" t="s">
        <v>9349</v>
      </c>
      <c r="C946" s="50"/>
      <c r="D946" s="139">
        <f t="shared" si="14"/>
        <v>0</v>
      </c>
      <c r="E946" s="140">
        <v>612.26</v>
      </c>
      <c r="F946" s="140">
        <v>501.85</v>
      </c>
      <c r="G946" s="34" t="s">
        <v>100</v>
      </c>
      <c r="H946" s="34" t="s">
        <v>39</v>
      </c>
      <c r="I946" s="35">
        <v>1</v>
      </c>
      <c r="J946" s="35">
        <v>1</v>
      </c>
      <c r="K946" s="35">
        <v>50</v>
      </c>
      <c r="L946" s="60" t="str">
        <f>HYPERLINK("https://www.sds-group.ru/product/disk-almaznyy-otreznoy-ultratonkiy-180x25-4-22-2x1-8x10-mm-kranz-KR-90-0143/", "Инфо")</f>
        <v>Инфо</v>
      </c>
      <c r="M946" s="37">
        <v>0.32700000000000001</v>
      </c>
      <c r="N946" s="38">
        <v>4.06E-4</v>
      </c>
      <c r="O946" s="141">
        <v>4601004200043</v>
      </c>
    </row>
    <row r="947" spans="1:15" s="1" customFormat="1" ht="11.45" customHeight="1" outlineLevel="4" x14ac:dyDescent="0.2">
      <c r="A947" s="32" t="s">
        <v>9350</v>
      </c>
      <c r="B947" s="74" t="s">
        <v>9351</v>
      </c>
      <c r="C947" s="50"/>
      <c r="D947" s="139">
        <f t="shared" si="14"/>
        <v>0</v>
      </c>
      <c r="E947" s="140">
        <v>596.15</v>
      </c>
      <c r="F947" s="140">
        <v>488.65</v>
      </c>
      <c r="G947" s="34" t="s">
        <v>100</v>
      </c>
      <c r="H947" s="34" t="s">
        <v>39</v>
      </c>
      <c r="I947" s="35">
        <v>1</v>
      </c>
      <c r="J947" s="35">
        <v>1</v>
      </c>
      <c r="K947" s="35">
        <v>25</v>
      </c>
      <c r="L947" s="60" t="str">
        <f>HYPERLINK("https://www.sds-group.ru/product/disk-almaznyy-otreznoy-ultratonkiy-200x25-4-22-2x1-8x10-mm-kranz-KR-90-0144/", "Инфо")</f>
        <v>Инфо</v>
      </c>
      <c r="M947" s="37">
        <v>0.43</v>
      </c>
      <c r="N947" s="38">
        <v>5.8100000000000003E-4</v>
      </c>
      <c r="O947" s="141">
        <v>4601004200050</v>
      </c>
    </row>
    <row r="948" spans="1:15" ht="11.45" customHeight="1" outlineLevel="3" x14ac:dyDescent="0.2">
      <c r="A948" s="76" t="s">
        <v>9414</v>
      </c>
      <c r="B948" s="136"/>
      <c r="C948" s="77"/>
      <c r="D948" s="137"/>
      <c r="E948" s="4"/>
      <c r="F948" s="4"/>
      <c r="G948" s="4"/>
      <c r="H948" s="4"/>
      <c r="I948" s="4"/>
      <c r="J948" s="4"/>
      <c r="K948" s="4"/>
      <c r="L948" s="138"/>
      <c r="M948" s="4"/>
      <c r="N948" s="4"/>
      <c r="O948" s="4"/>
    </row>
    <row r="949" spans="1:15" s="1" customFormat="1" ht="11.45" customHeight="1" outlineLevel="4" x14ac:dyDescent="0.2">
      <c r="A949" s="32" t="s">
        <v>9453</v>
      </c>
      <c r="B949" s="74" t="s">
        <v>9454</v>
      </c>
      <c r="C949" s="50"/>
      <c r="D949" s="139">
        <f t="shared" si="14"/>
        <v>0</v>
      </c>
      <c r="E949" s="140">
        <v>244.66</v>
      </c>
      <c r="F949" s="140">
        <v>200.54</v>
      </c>
      <c r="G949" s="34" t="s">
        <v>100</v>
      </c>
      <c r="H949" s="34" t="s">
        <v>39</v>
      </c>
      <c r="I949" s="35">
        <v>1</v>
      </c>
      <c r="J949" s="35">
        <v>1</v>
      </c>
      <c r="K949" s="35">
        <v>50</v>
      </c>
      <c r="L949" s="60" t="str">
        <f>HYPERLINK("https://www.sds-group.ru/product/chashka-almaznaya-shlifovalnaya-odnoryadnaya-125h22-2mm-kranz-KR-90-0150/", "Инфо")</f>
        <v>Инфо</v>
      </c>
      <c r="M949" s="37">
        <v>0.374</v>
      </c>
      <c r="N949" s="38">
        <v>8.0599999999999997E-4</v>
      </c>
      <c r="O949" s="141">
        <v>4601004200067</v>
      </c>
    </row>
    <row r="950" spans="1:15" s="1" customFormat="1" ht="11.45" customHeight="1" outlineLevel="4" x14ac:dyDescent="0.2">
      <c r="A950" s="32" t="s">
        <v>9459</v>
      </c>
      <c r="B950" s="74" t="s">
        <v>9460</v>
      </c>
      <c r="C950" s="50"/>
      <c r="D950" s="139">
        <f t="shared" si="14"/>
        <v>0</v>
      </c>
      <c r="E950" s="140">
        <v>680.15</v>
      </c>
      <c r="F950" s="140">
        <v>557.5</v>
      </c>
      <c r="G950" s="34" t="s">
        <v>100</v>
      </c>
      <c r="H950" s="34" t="s">
        <v>39</v>
      </c>
      <c r="I950" s="35">
        <v>1</v>
      </c>
      <c r="J950" s="35">
        <v>1</v>
      </c>
      <c r="K950" s="35">
        <v>25</v>
      </c>
      <c r="L950" s="60" t="str">
        <f>HYPERLINK("https://www.sds-group.ru/product/chashka-almaznaya-shlifovalnaya-turbo-180h22-2mm-kranz-KR-90-0256/", "Инфо")</f>
        <v>Инфо</v>
      </c>
      <c r="M950" s="37">
        <v>0.876</v>
      </c>
      <c r="N950" s="38">
        <v>9.2400000000000002E-4</v>
      </c>
      <c r="O950" s="141">
        <v>4601004283893</v>
      </c>
    </row>
    <row r="951" spans="1:15" s="1" customFormat="1" ht="11.45" customHeight="1" outlineLevel="4" x14ac:dyDescent="0.2">
      <c r="A951" s="32" t="s">
        <v>9463</v>
      </c>
      <c r="B951" s="74" t="s">
        <v>9464</v>
      </c>
      <c r="C951" s="50"/>
      <c r="D951" s="139">
        <f t="shared" si="14"/>
        <v>0</v>
      </c>
      <c r="E951" s="140">
        <v>373.54</v>
      </c>
      <c r="F951" s="140">
        <v>306.18</v>
      </c>
      <c r="G951" s="34" t="s">
        <v>100</v>
      </c>
      <c r="H951" s="34" t="s">
        <v>39</v>
      </c>
      <c r="I951" s="35">
        <v>1</v>
      </c>
      <c r="J951" s="35">
        <v>1</v>
      </c>
      <c r="K951" s="35">
        <v>50</v>
      </c>
      <c r="L951" s="60" t="str">
        <f>HYPERLINK("https://www.sds-group.ru/product/chashka-almaznaya-shlifovalnaya-dvuhryadnaya-115h22-2mm-kranz-KR-90-0251/", "Инфо")</f>
        <v>Инфо</v>
      </c>
      <c r="M951" s="37">
        <v>0.36799999999999999</v>
      </c>
      <c r="N951" s="38">
        <v>6.2100000000000002E-4</v>
      </c>
      <c r="O951" s="141">
        <v>4601004283848</v>
      </c>
    </row>
    <row r="952" spans="1:15" ht="11.45" customHeight="1" outlineLevel="3" x14ac:dyDescent="0.2">
      <c r="A952" s="76" t="s">
        <v>9473</v>
      </c>
      <c r="B952" s="136"/>
      <c r="C952" s="77"/>
      <c r="D952" s="137"/>
      <c r="E952" s="4"/>
      <c r="F952" s="4"/>
      <c r="G952" s="4"/>
      <c r="H952" s="4"/>
      <c r="I952" s="4"/>
      <c r="J952" s="4"/>
      <c r="K952" s="4"/>
      <c r="L952" s="138"/>
      <c r="M952" s="4"/>
      <c r="N952" s="4"/>
      <c r="O952" s="4"/>
    </row>
    <row r="953" spans="1:15" s="1" customFormat="1" ht="11.45" customHeight="1" outlineLevel="4" x14ac:dyDescent="0.2">
      <c r="A953" s="32" t="s">
        <v>9512</v>
      </c>
      <c r="B953" s="74" t="s">
        <v>9513</v>
      </c>
      <c r="C953" s="50"/>
      <c r="D953" s="139">
        <f t="shared" si="14"/>
        <v>0</v>
      </c>
      <c r="E953" s="140">
        <v>205.74</v>
      </c>
      <c r="F953" s="140">
        <v>168.64</v>
      </c>
      <c r="G953" s="34" t="s">
        <v>100</v>
      </c>
      <c r="H953" s="34" t="s">
        <v>39</v>
      </c>
      <c r="I953" s="35">
        <v>1</v>
      </c>
      <c r="J953" s="35">
        <v>1</v>
      </c>
      <c r="K953" s="35">
        <v>50</v>
      </c>
      <c r="L953" s="60" t="str">
        <f>HYPERLINK("https://www.sds-group.ru/product/hvostovik-sds-plus-dlya-koronki-m16h120mm-kranz-KR-90-0170/", "Инфо")</f>
        <v>Инфо</v>
      </c>
      <c r="M953" s="37">
        <v>0.20100000000000001</v>
      </c>
      <c r="N953" s="38">
        <v>7.7999999999999999E-5</v>
      </c>
      <c r="O953" s="141">
        <v>4601004255104</v>
      </c>
    </row>
    <row r="954" spans="1:15" ht="11.45" customHeight="1" outlineLevel="2" x14ac:dyDescent="0.2">
      <c r="A954" s="76" t="s">
        <v>9532</v>
      </c>
      <c r="B954" s="136"/>
      <c r="C954" s="77"/>
      <c r="D954" s="137"/>
      <c r="E954" s="4"/>
      <c r="F954" s="4"/>
      <c r="G954" s="4"/>
      <c r="H954" s="4"/>
      <c r="I954" s="4"/>
      <c r="J954" s="4"/>
      <c r="K954" s="4"/>
      <c r="L954" s="138"/>
      <c r="M954" s="4"/>
      <c r="N954" s="4"/>
      <c r="O954" s="4"/>
    </row>
    <row r="955" spans="1:15" ht="11.45" customHeight="1" outlineLevel="3" x14ac:dyDescent="0.2">
      <c r="A955" s="76" t="s">
        <v>9533</v>
      </c>
      <c r="B955" s="136"/>
      <c r="C955" s="77"/>
      <c r="D955" s="137"/>
      <c r="E955" s="4"/>
      <c r="F955" s="4"/>
      <c r="G955" s="4"/>
      <c r="H955" s="4"/>
      <c r="I955" s="4"/>
      <c r="J955" s="4"/>
      <c r="K955" s="4"/>
      <c r="L955" s="138"/>
      <c r="M955" s="4"/>
      <c r="N955" s="4"/>
      <c r="O955" s="4"/>
    </row>
    <row r="956" spans="1:15" s="1" customFormat="1" ht="11.45" customHeight="1" outlineLevel="4" x14ac:dyDescent="0.2">
      <c r="A956" s="32" t="s">
        <v>9560</v>
      </c>
      <c r="B956" s="74" t="s">
        <v>9561</v>
      </c>
      <c r="C956" s="50"/>
      <c r="D956" s="139">
        <f t="shared" si="14"/>
        <v>0</v>
      </c>
      <c r="E956" s="140">
        <v>60.24</v>
      </c>
      <c r="F956" s="140">
        <v>49.38</v>
      </c>
      <c r="G956" s="34" t="s">
        <v>100</v>
      </c>
      <c r="H956" s="34" t="s">
        <v>39</v>
      </c>
      <c r="I956" s="35">
        <v>1</v>
      </c>
      <c r="J956" s="35">
        <v>1</v>
      </c>
      <c r="K956" s="35">
        <v>80</v>
      </c>
      <c r="L956" s="60" t="str">
        <f>HYPERLINK("https://www.sds-group.ru/product/krug-lepestkovyy-tortsevoy-p80-150h22-2mm-kranz-KR-90-0020/", "Инфо")</f>
        <v>Инфо</v>
      </c>
      <c r="M956" s="37">
        <v>0.13600000000000001</v>
      </c>
      <c r="N956" s="38">
        <v>2.9100000000000003E-4</v>
      </c>
      <c r="O956" s="141">
        <v>4601004281417</v>
      </c>
    </row>
    <row r="957" spans="1:15" ht="11.45" customHeight="1" outlineLevel="3" x14ac:dyDescent="0.2">
      <c r="A957" s="76" t="s">
        <v>9633</v>
      </c>
      <c r="B957" s="136"/>
      <c r="C957" s="77"/>
      <c r="D957" s="137"/>
      <c r="E957" s="4"/>
      <c r="F957" s="4"/>
      <c r="G957" s="4"/>
      <c r="H957" s="4"/>
      <c r="I957" s="4"/>
      <c r="J957" s="4"/>
      <c r="K957" s="4"/>
      <c r="L957" s="138"/>
      <c r="M957" s="4"/>
      <c r="N957" s="4"/>
      <c r="O957" s="4"/>
    </row>
    <row r="958" spans="1:15" s="1" customFormat="1" ht="11.45" customHeight="1" outlineLevel="4" x14ac:dyDescent="0.2">
      <c r="A958" s="32" t="s">
        <v>9656</v>
      </c>
      <c r="B958" s="74" t="s">
        <v>9657</v>
      </c>
      <c r="C958" s="50"/>
      <c r="D958" s="139">
        <f t="shared" si="14"/>
        <v>0</v>
      </c>
      <c r="E958" s="140">
        <v>275.33999999999997</v>
      </c>
      <c r="F958" s="140">
        <v>225.69</v>
      </c>
      <c r="G958" s="34" t="s">
        <v>100</v>
      </c>
      <c r="H958" s="34" t="s">
        <v>39</v>
      </c>
      <c r="I958" s="35">
        <v>1</v>
      </c>
      <c r="J958" s="35">
        <v>1</v>
      </c>
      <c r="K958" s="35">
        <v>20</v>
      </c>
      <c r="L958" s="60" t="str">
        <f>HYPERLINK("https://www.sds-group.ru/product/schetka-diskovaya-dlya-ushm-kruchenaya-stalnaya-provoloka-175mm-otv-22-23mm-kranz-KR-91-1240/", "Инфо")</f>
        <v>Инфо</v>
      </c>
      <c r="M958" s="37">
        <v>0.69899999999999995</v>
      </c>
      <c r="N958" s="38">
        <v>1.526E-3</v>
      </c>
      <c r="O958" s="141">
        <v>4601004286597</v>
      </c>
    </row>
    <row r="959" spans="1:15" s="1" customFormat="1" ht="11.45" customHeight="1" outlineLevel="4" x14ac:dyDescent="0.2">
      <c r="A959" s="32" t="s">
        <v>9696</v>
      </c>
      <c r="B959" s="74" t="s">
        <v>9697</v>
      </c>
      <c r="C959" s="50"/>
      <c r="D959" s="139">
        <f t="shared" si="14"/>
        <v>0</v>
      </c>
      <c r="E959" s="140">
        <v>147.25</v>
      </c>
      <c r="F959" s="140">
        <v>120.7</v>
      </c>
      <c r="G959" s="34" t="s">
        <v>100</v>
      </c>
      <c r="H959" s="34" t="s">
        <v>39</v>
      </c>
      <c r="I959" s="35">
        <v>1</v>
      </c>
      <c r="J959" s="35">
        <v>1</v>
      </c>
      <c r="K959" s="35">
        <v>36</v>
      </c>
      <c r="L959" s="60" t="str">
        <f>HYPERLINK("https://www.sds-group.ru/product/schetka-chashechnaya-dlya-ushm-kruchenaya-stalnaya-provoloka-100mm-m14-kranz-KR-91-1234/", "Инфо")</f>
        <v>Инфо</v>
      </c>
      <c r="M959" s="37">
        <v>0.47399999999999998</v>
      </c>
      <c r="N959" s="38">
        <v>1.088E-3</v>
      </c>
      <c r="O959" s="141">
        <v>4601004206403</v>
      </c>
    </row>
    <row r="960" spans="1:15" ht="11.45" customHeight="1" outlineLevel="3" x14ac:dyDescent="0.2">
      <c r="A960" s="76" t="s">
        <v>9700</v>
      </c>
      <c r="B960" s="136"/>
      <c r="C960" s="77"/>
      <c r="D960" s="137"/>
      <c r="E960" s="4"/>
      <c r="F960" s="4"/>
      <c r="G960" s="4"/>
      <c r="H960" s="4"/>
      <c r="I960" s="4"/>
      <c r="J960" s="4"/>
      <c r="K960" s="4"/>
      <c r="L960" s="138"/>
      <c r="M960" s="4"/>
      <c r="N960" s="4"/>
      <c r="O960" s="4"/>
    </row>
    <row r="961" spans="1:15" s="1" customFormat="1" ht="11.45" customHeight="1" outlineLevel="4" x14ac:dyDescent="0.2">
      <c r="A961" s="32" t="s">
        <v>9701</v>
      </c>
      <c r="B961" s="74" t="s">
        <v>9702</v>
      </c>
      <c r="C961" s="50"/>
      <c r="D961" s="139">
        <f t="shared" si="14"/>
        <v>0</v>
      </c>
      <c r="E961" s="140">
        <v>148.72999999999999</v>
      </c>
      <c r="F961" s="140">
        <v>121.91</v>
      </c>
      <c r="G961" s="34" t="s">
        <v>100</v>
      </c>
      <c r="H961" s="34" t="s">
        <v>1001</v>
      </c>
      <c r="I961" s="35">
        <v>1</v>
      </c>
      <c r="J961" s="35">
        <v>1</v>
      </c>
      <c r="K961" s="35">
        <v>48</v>
      </c>
      <c r="L961" s="60" t="str">
        <f>HYPERLINK("https://www.sds-group.ru/product/lenta-shlifovalnaya-beskonechnaya-75h457mm-p100-5-sht-up-kranz-KR-91-1333/", "Инфо")</f>
        <v>Инфо</v>
      </c>
      <c r="M961" s="37">
        <v>0.214</v>
      </c>
      <c r="N961" s="38">
        <v>1.194E-3</v>
      </c>
      <c r="O961" s="141">
        <v>4601004294837</v>
      </c>
    </row>
    <row r="962" spans="1:15" s="1" customFormat="1" ht="11.45" customHeight="1" outlineLevel="4" x14ac:dyDescent="0.2">
      <c r="A962" s="32" t="s">
        <v>9715</v>
      </c>
      <c r="B962" s="74" t="s">
        <v>9716</v>
      </c>
      <c r="C962" s="50"/>
      <c r="D962" s="139">
        <f t="shared" si="14"/>
        <v>0</v>
      </c>
      <c r="E962" s="140">
        <v>163.78</v>
      </c>
      <c r="F962" s="140">
        <v>134.25</v>
      </c>
      <c r="G962" s="34" t="s">
        <v>100</v>
      </c>
      <c r="H962" s="34" t="s">
        <v>1001</v>
      </c>
      <c r="I962" s="35">
        <v>1</v>
      </c>
      <c r="J962" s="35">
        <v>1</v>
      </c>
      <c r="K962" s="35">
        <v>48</v>
      </c>
      <c r="L962" s="60" t="str">
        <f>HYPERLINK("https://www.sds-group.ru/product/lenta-shlifovalnaya-beskonechnaya-75h533mm-p80-5-sht-up-kranz-KR-91-1336/", "Инфо")</f>
        <v>Инфо</v>
      </c>
      <c r="M962" s="37">
        <v>0.26600000000000001</v>
      </c>
      <c r="N962" s="38">
        <v>1.5499999999999999E-3</v>
      </c>
      <c r="O962" s="141">
        <v>4601004294905</v>
      </c>
    </row>
    <row r="963" spans="1:15" s="1" customFormat="1" ht="11.45" customHeight="1" outlineLevel="4" x14ac:dyDescent="0.2">
      <c r="A963" s="32" t="s">
        <v>9717</v>
      </c>
      <c r="B963" s="74" t="s">
        <v>9718</v>
      </c>
      <c r="C963" s="50"/>
      <c r="D963" s="139">
        <f t="shared" si="14"/>
        <v>0</v>
      </c>
      <c r="E963" s="140">
        <v>137.5</v>
      </c>
      <c r="F963" s="140">
        <v>112.7</v>
      </c>
      <c r="G963" s="34" t="s">
        <v>100</v>
      </c>
      <c r="H963" s="34" t="s">
        <v>1001</v>
      </c>
      <c r="I963" s="35">
        <v>1</v>
      </c>
      <c r="J963" s="35">
        <v>1</v>
      </c>
      <c r="K963" s="35">
        <v>1</v>
      </c>
      <c r="L963" s="60" t="str">
        <f>HYPERLINK("https://www.sds-group.ru/product/shkurki-shlifovalnye-v-listah-na-tkanevoy-osnove-vodostoykie-230h280mm-r100-10-sht-up-kra-KR-91-1304/", "Инфо")</f>
        <v>Инфо</v>
      </c>
      <c r="M963" s="37">
        <v>0.47299999999999998</v>
      </c>
      <c r="N963" s="38">
        <v>6.0400000000000004E-4</v>
      </c>
      <c r="O963" s="141">
        <v>4601004206267</v>
      </c>
    </row>
    <row r="964" spans="1:15" s="1" customFormat="1" ht="11.45" customHeight="1" outlineLevel="4" x14ac:dyDescent="0.2">
      <c r="A964" s="32" t="s">
        <v>9719</v>
      </c>
      <c r="B964" s="74" t="s">
        <v>9720</v>
      </c>
      <c r="C964" s="50"/>
      <c r="D964" s="139">
        <f t="shared" si="14"/>
        <v>0</v>
      </c>
      <c r="E964" s="140">
        <v>137.5</v>
      </c>
      <c r="F964" s="140">
        <v>112.7</v>
      </c>
      <c r="G964" s="34" t="s">
        <v>100</v>
      </c>
      <c r="H964" s="34" t="s">
        <v>1001</v>
      </c>
      <c r="I964" s="35">
        <v>1</v>
      </c>
      <c r="J964" s="35">
        <v>1</v>
      </c>
      <c r="K964" s="35">
        <v>1</v>
      </c>
      <c r="L964" s="60" t="str">
        <f>HYPERLINK("https://www.sds-group.ru/product/shkurki-shlifovalnye-v-listah-na-tkanevoy-osnove-vodostoykie-230h280mm-r120-10-sht-up-kra-KR-91-1305/", "Инфо")</f>
        <v>Инфо</v>
      </c>
      <c r="M964" s="37">
        <v>0.41899999999999998</v>
      </c>
      <c r="N964" s="38">
        <v>8.8599999999999996E-4</v>
      </c>
      <c r="O964" s="141">
        <v>4601004206274</v>
      </c>
    </row>
    <row r="965" spans="1:15" s="1" customFormat="1" ht="11.45" customHeight="1" outlineLevel="4" x14ac:dyDescent="0.2">
      <c r="A965" s="32" t="s">
        <v>9721</v>
      </c>
      <c r="B965" s="74" t="s">
        <v>9722</v>
      </c>
      <c r="C965" s="50"/>
      <c r="D965" s="139">
        <f t="shared" si="14"/>
        <v>0</v>
      </c>
      <c r="E965" s="140">
        <v>137.5</v>
      </c>
      <c r="F965" s="140">
        <v>112.7</v>
      </c>
      <c r="G965" s="34" t="s">
        <v>100</v>
      </c>
      <c r="H965" s="34" t="s">
        <v>1001</v>
      </c>
      <c r="I965" s="35">
        <v>1</v>
      </c>
      <c r="J965" s="35">
        <v>1</v>
      </c>
      <c r="K965" s="35">
        <v>60</v>
      </c>
      <c r="L965" s="60" t="str">
        <f>HYPERLINK("https://www.sds-group.ru/product/shkurki-shlifovalnye-v-listah-na-tkanevoy-osnove-vodostoykie-230h280mm-r150-10-sht-up-kra-KR-91-1306/", "Инфо")</f>
        <v>Инфо</v>
      </c>
      <c r="M965" s="37">
        <v>0.378</v>
      </c>
      <c r="N965" s="38">
        <v>5.2099999999999998E-4</v>
      </c>
      <c r="O965" s="141">
        <v>4601004206281</v>
      </c>
    </row>
    <row r="966" spans="1:15" s="1" customFormat="1" ht="11.45" customHeight="1" outlineLevel="4" x14ac:dyDescent="0.2">
      <c r="A966" s="32" t="s">
        <v>9723</v>
      </c>
      <c r="B966" s="74" t="s">
        <v>9724</v>
      </c>
      <c r="C966" s="50"/>
      <c r="D966" s="139">
        <f t="shared" si="14"/>
        <v>0</v>
      </c>
      <c r="E966" s="140">
        <v>137.5</v>
      </c>
      <c r="F966" s="140">
        <v>112.7</v>
      </c>
      <c r="G966" s="34" t="s">
        <v>100</v>
      </c>
      <c r="H966" s="34" t="s">
        <v>1001</v>
      </c>
      <c r="I966" s="35">
        <v>1</v>
      </c>
      <c r="J966" s="35">
        <v>1</v>
      </c>
      <c r="K966" s="35">
        <v>1</v>
      </c>
      <c r="L966" s="60" t="str">
        <f>HYPERLINK("https://www.sds-group.ru/product/shkurki-shlifovalnye-v-listah-na-tkanevoy-osnove-vodostoykie-230h280mm-r180-10-sht-up-kra-KR-91-1307/", "Инфо")</f>
        <v>Инфо</v>
      </c>
      <c r="M966" s="37">
        <v>0.40300000000000002</v>
      </c>
      <c r="N966" s="38">
        <v>6.02E-4</v>
      </c>
      <c r="O966" s="141">
        <v>4601004206298</v>
      </c>
    </row>
    <row r="967" spans="1:15" s="1" customFormat="1" ht="11.45" customHeight="1" outlineLevel="4" x14ac:dyDescent="0.2">
      <c r="A967" s="32" t="s">
        <v>9725</v>
      </c>
      <c r="B967" s="74" t="s">
        <v>9726</v>
      </c>
      <c r="C967" s="50"/>
      <c r="D967" s="139">
        <f t="shared" si="14"/>
        <v>0</v>
      </c>
      <c r="E967" s="140">
        <v>137.5</v>
      </c>
      <c r="F967" s="140">
        <v>112.7</v>
      </c>
      <c r="G967" s="34" t="s">
        <v>100</v>
      </c>
      <c r="H967" s="34" t="s">
        <v>1001</v>
      </c>
      <c r="I967" s="35">
        <v>1</v>
      </c>
      <c r="J967" s="35">
        <v>1</v>
      </c>
      <c r="K967" s="35">
        <v>1</v>
      </c>
      <c r="L967" s="60" t="str">
        <f>HYPERLINK("https://www.sds-group.ru/product/shkurki-shlifovalnye-v-listah-na-tkanevoy-osnove-vodostoykie-230h280mm-r240-10-sht-up-kra-KR-91-1308/", "Инфо")</f>
        <v>Инфо</v>
      </c>
      <c r="M967" s="37">
        <v>0.33700000000000002</v>
      </c>
      <c r="N967" s="38">
        <v>4.64E-4</v>
      </c>
      <c r="O967" s="141">
        <v>4601004206304</v>
      </c>
    </row>
    <row r="968" spans="1:15" s="1" customFormat="1" ht="11.45" customHeight="1" outlineLevel="4" x14ac:dyDescent="0.2">
      <c r="A968" s="32" t="s">
        <v>9727</v>
      </c>
      <c r="B968" s="74" t="s">
        <v>9728</v>
      </c>
      <c r="C968" s="50"/>
      <c r="D968" s="139">
        <f t="shared" si="14"/>
        <v>0</v>
      </c>
      <c r="E968" s="140">
        <v>137.5</v>
      </c>
      <c r="F968" s="140">
        <v>112.7</v>
      </c>
      <c r="G968" s="34" t="s">
        <v>100</v>
      </c>
      <c r="H968" s="34" t="s">
        <v>1001</v>
      </c>
      <c r="I968" s="35">
        <v>1</v>
      </c>
      <c r="J968" s="35">
        <v>1</v>
      </c>
      <c r="K968" s="35">
        <v>1</v>
      </c>
      <c r="L968" s="60" t="str">
        <f>HYPERLINK("https://www.sds-group.ru/product/shkurki-shlifovalnye-v-listah-na-tkanevoy-osnove-vodostoykie-230h280mm-r320-10-sht-up-kra-KR-91-1309/", "Инфо")</f>
        <v>Инфо</v>
      </c>
      <c r="M968" s="37">
        <v>0.25900000000000001</v>
      </c>
      <c r="N968" s="38">
        <v>4.5300000000000001E-4</v>
      </c>
      <c r="O968" s="141">
        <v>4601004294806</v>
      </c>
    </row>
    <row r="969" spans="1:15" s="1" customFormat="1" ht="11.45" customHeight="1" outlineLevel="4" x14ac:dyDescent="0.2">
      <c r="A969" s="32" t="s">
        <v>9731</v>
      </c>
      <c r="B969" s="74" t="s">
        <v>9732</v>
      </c>
      <c r="C969" s="50"/>
      <c r="D969" s="139">
        <f t="shared" si="14"/>
        <v>0</v>
      </c>
      <c r="E969" s="140">
        <v>137.5</v>
      </c>
      <c r="F969" s="140">
        <v>112.7</v>
      </c>
      <c r="G969" s="34" t="s">
        <v>100</v>
      </c>
      <c r="H969" s="34" t="s">
        <v>1001</v>
      </c>
      <c r="I969" s="35">
        <v>1</v>
      </c>
      <c r="J969" s="35">
        <v>1</v>
      </c>
      <c r="K969" s="35">
        <v>1</v>
      </c>
      <c r="L969" s="60" t="str">
        <f>HYPERLINK("https://www.sds-group.ru/product/shkurki-shlifovalnye-v-listah-na-tkanevoy-osnove-vodostoykie-230h280mm-r80-10-sht-up-kran-KR-91-1303/", "Инфо")</f>
        <v>Инфо</v>
      </c>
      <c r="M969" s="37">
        <v>0.56599999999999995</v>
      </c>
      <c r="N969" s="38">
        <v>7.4700000000000005E-4</v>
      </c>
      <c r="O969" s="141">
        <v>4601004206250</v>
      </c>
    </row>
    <row r="970" spans="1:15" s="1" customFormat="1" ht="11.45" customHeight="1" outlineLevel="4" x14ac:dyDescent="0.2">
      <c r="A970" s="32" t="s">
        <v>9733</v>
      </c>
      <c r="B970" s="74" t="s">
        <v>9734</v>
      </c>
      <c r="C970" s="50"/>
      <c r="D970" s="139">
        <f t="shared" si="14"/>
        <v>0</v>
      </c>
      <c r="E970" s="140">
        <v>137.5</v>
      </c>
      <c r="F970" s="140">
        <v>112.7</v>
      </c>
      <c r="G970" s="34" t="s">
        <v>100</v>
      </c>
      <c r="H970" s="34" t="s">
        <v>1001</v>
      </c>
      <c r="I970" s="35">
        <v>1</v>
      </c>
      <c r="J970" s="35">
        <v>1</v>
      </c>
      <c r="K970" s="35">
        <v>60</v>
      </c>
      <c r="L970" s="60" t="str">
        <f>HYPERLINK("https://www.sds-group.ru/product/shkurki-shlifovalnye-v-listah-na-tkanevoy-osnove-vodostoykie-230h280mm-r400-10-sht-up-kra-KR-91-1310/", "Инфо")</f>
        <v>Инфо</v>
      </c>
      <c r="M970" s="37">
        <v>0.25700000000000001</v>
      </c>
      <c r="N970" s="38">
        <v>4.35E-4</v>
      </c>
      <c r="O970" s="141">
        <v>4601004294820</v>
      </c>
    </row>
    <row r="971" spans="1:15" ht="11.45" customHeight="1" outlineLevel="1" x14ac:dyDescent="0.2">
      <c r="A971" s="78" t="s">
        <v>9735</v>
      </c>
      <c r="B971" s="132"/>
      <c r="C971" s="79"/>
      <c r="D971" s="133"/>
      <c r="E971" s="134"/>
      <c r="F971" s="134"/>
      <c r="G971" s="134"/>
      <c r="H971" s="134"/>
      <c r="I971" s="134"/>
      <c r="J971" s="134"/>
      <c r="K971" s="134"/>
      <c r="L971" s="135"/>
      <c r="M971" s="134"/>
      <c r="N971" s="134"/>
      <c r="O971" s="134"/>
    </row>
    <row r="972" spans="1:15" ht="11.45" customHeight="1" outlineLevel="2" x14ac:dyDescent="0.2">
      <c r="A972" s="76" t="s">
        <v>9736</v>
      </c>
      <c r="B972" s="136"/>
      <c r="C972" s="77"/>
      <c r="D972" s="137"/>
      <c r="E972" s="4"/>
      <c r="F972" s="4"/>
      <c r="G972" s="4"/>
      <c r="H972" s="4"/>
      <c r="I972" s="4"/>
      <c r="J972" s="4"/>
      <c r="K972" s="4"/>
      <c r="L972" s="138"/>
      <c r="M972" s="4"/>
      <c r="N972" s="4"/>
      <c r="O972" s="4"/>
    </row>
    <row r="973" spans="1:15" ht="11.45" customHeight="1" outlineLevel="3" x14ac:dyDescent="0.2">
      <c r="A973" s="76" t="s">
        <v>9737</v>
      </c>
      <c r="B973" s="136"/>
      <c r="C973" s="77"/>
      <c r="D973" s="137"/>
      <c r="E973" s="4"/>
      <c r="F973" s="4"/>
      <c r="G973" s="4"/>
      <c r="H973" s="4"/>
      <c r="I973" s="4"/>
      <c r="J973" s="4"/>
      <c r="K973" s="4"/>
      <c r="L973" s="138"/>
      <c r="M973" s="4"/>
      <c r="N973" s="4"/>
      <c r="O973" s="4"/>
    </row>
    <row r="974" spans="1:15" ht="11.45" customHeight="1" outlineLevel="4" x14ac:dyDescent="0.2">
      <c r="A974" s="82" t="s">
        <v>9747</v>
      </c>
      <c r="B974" s="142"/>
      <c r="C974" s="83"/>
      <c r="D974" s="143"/>
      <c r="E974" s="5"/>
      <c r="F974" s="5"/>
      <c r="G974" s="5"/>
      <c r="H974" s="5"/>
      <c r="I974" s="5"/>
      <c r="J974" s="5"/>
      <c r="K974" s="5"/>
      <c r="L974" s="144"/>
      <c r="M974" s="5"/>
      <c r="N974" s="5"/>
      <c r="O974" s="5"/>
    </row>
    <row r="975" spans="1:15" s="1" customFormat="1" ht="11.45" customHeight="1" outlineLevel="5" x14ac:dyDescent="0.2">
      <c r="A975" s="32" t="s">
        <v>9748</v>
      </c>
      <c r="B975" s="74" t="s">
        <v>9749</v>
      </c>
      <c r="C975" s="50"/>
      <c r="D975" s="139">
        <f t="shared" ref="D975:D1031" si="15">C975*E975</f>
        <v>0</v>
      </c>
      <c r="E975" s="140">
        <v>2259.13</v>
      </c>
      <c r="F975" s="140">
        <v>1851.75</v>
      </c>
      <c r="G975" s="34" t="s">
        <v>100</v>
      </c>
      <c r="H975" s="34" t="s">
        <v>39</v>
      </c>
      <c r="I975" s="35">
        <v>1</v>
      </c>
      <c r="J975" s="35">
        <v>1</v>
      </c>
      <c r="K975" s="35">
        <v>2</v>
      </c>
      <c r="L975" s="60" t="str">
        <f>HYPERLINK("https://www.sds-group.ru/product/svarochnyy-apparat-invertornyy-rexant-as-160a-11-0910/", "Инфо")</f>
        <v>Инфо</v>
      </c>
      <c r="M975" s="37">
        <v>5.5720000000000001</v>
      </c>
      <c r="N975" s="38">
        <v>3.3501000000000003E-2</v>
      </c>
      <c r="O975" s="141">
        <v>4601004103252</v>
      </c>
    </row>
    <row r="976" spans="1:15" s="1" customFormat="1" ht="11.45" customHeight="1" outlineLevel="5" x14ac:dyDescent="0.2">
      <c r="A976" s="32" t="s">
        <v>9750</v>
      </c>
      <c r="B976" s="74" t="s">
        <v>9751</v>
      </c>
      <c r="C976" s="50"/>
      <c r="D976" s="139">
        <f t="shared" si="15"/>
        <v>0</v>
      </c>
      <c r="E976" s="140">
        <v>2560.1</v>
      </c>
      <c r="F976" s="140">
        <v>2098.44</v>
      </c>
      <c r="G976" s="34" t="s">
        <v>100</v>
      </c>
      <c r="H976" s="34" t="s">
        <v>39</v>
      </c>
      <c r="I976" s="35">
        <v>1</v>
      </c>
      <c r="J976" s="35">
        <v>1</v>
      </c>
      <c r="K976" s="35">
        <v>2</v>
      </c>
      <c r="L976" s="60" t="str">
        <f>HYPERLINK("https://www.sds-group.ru/product/svarochnyy-apparat-invertornyy-rexant-as-180a-11-0911/", "Инфо")</f>
        <v>Инфо</v>
      </c>
      <c r="M976" s="37">
        <v>5.62</v>
      </c>
      <c r="N976" s="38">
        <v>3.4130000000000001E-2</v>
      </c>
      <c r="O976" s="141">
        <v>4601004103191</v>
      </c>
    </row>
    <row r="977" spans="1:15" s="1" customFormat="1" ht="11.45" customHeight="1" outlineLevel="5" x14ac:dyDescent="0.2">
      <c r="A977" s="32" t="s">
        <v>9752</v>
      </c>
      <c r="B977" s="74" t="s">
        <v>9753</v>
      </c>
      <c r="C977" s="50"/>
      <c r="D977" s="139">
        <f t="shared" si="15"/>
        <v>0</v>
      </c>
      <c r="E977" s="140">
        <v>2876.37</v>
      </c>
      <c r="F977" s="140">
        <v>2357.6799999999998</v>
      </c>
      <c r="G977" s="34" t="s">
        <v>100</v>
      </c>
      <c r="H977" s="34" t="s">
        <v>39</v>
      </c>
      <c r="I977" s="35">
        <v>1</v>
      </c>
      <c r="J977" s="35">
        <v>1</v>
      </c>
      <c r="K977" s="35">
        <v>2</v>
      </c>
      <c r="L977" s="60" t="str">
        <f>HYPERLINK("https://www.sds-group.ru/product/svarochnyy-apparat-invertornyy-rexant-as-200a-11-0912/", "Инфо")</f>
        <v>Инфо</v>
      </c>
      <c r="M977" s="37">
        <v>5.8239999999999998</v>
      </c>
      <c r="N977" s="38">
        <v>3.3363999999999998E-2</v>
      </c>
      <c r="O977" s="141">
        <v>4601004103207</v>
      </c>
    </row>
    <row r="978" spans="1:15" s="1" customFormat="1" ht="11.45" customHeight="1" outlineLevel="5" x14ac:dyDescent="0.2">
      <c r="A978" s="32" t="s">
        <v>9754</v>
      </c>
      <c r="B978" s="74" t="s">
        <v>9755</v>
      </c>
      <c r="C978" s="50"/>
      <c r="D978" s="139">
        <f t="shared" si="15"/>
        <v>0</v>
      </c>
      <c r="E978" s="140">
        <v>3369.5</v>
      </c>
      <c r="F978" s="140">
        <v>2761.89</v>
      </c>
      <c r="G978" s="34" t="s">
        <v>100</v>
      </c>
      <c r="H978" s="34" t="s">
        <v>39</v>
      </c>
      <c r="I978" s="35">
        <v>1</v>
      </c>
      <c r="J978" s="35">
        <v>1</v>
      </c>
      <c r="K978" s="35">
        <v>2</v>
      </c>
      <c r="L978" s="60" t="str">
        <f>HYPERLINK("https://www.sds-group.ru/product/svarochnyy-apparat-invertornyy-rexant-as-220a-11-0913/", "Инфо")</f>
        <v>Инфо</v>
      </c>
      <c r="M978" s="37">
        <v>7.0880000000000001</v>
      </c>
      <c r="N978" s="38">
        <v>3.3439000000000003E-2</v>
      </c>
      <c r="O978" s="141">
        <v>4601004103214</v>
      </c>
    </row>
    <row r="979" spans="1:15" ht="11.45" customHeight="1" outlineLevel="4" x14ac:dyDescent="0.2">
      <c r="A979" s="76" t="s">
        <v>9756</v>
      </c>
      <c r="B979" s="136"/>
      <c r="C979" s="77"/>
      <c r="D979" s="137"/>
      <c r="E979" s="4"/>
      <c r="F979" s="4"/>
      <c r="G979" s="4"/>
      <c r="H979" s="4"/>
      <c r="I979" s="4"/>
      <c r="J979" s="4"/>
      <c r="K979" s="4"/>
      <c r="L979" s="138"/>
      <c r="M979" s="4"/>
      <c r="N979" s="4"/>
      <c r="O979" s="4"/>
    </row>
    <row r="980" spans="1:15" s="1" customFormat="1" ht="11.45" customHeight="1" outlineLevel="5" x14ac:dyDescent="0.2">
      <c r="A980" s="32" t="s">
        <v>9757</v>
      </c>
      <c r="B980" s="74" t="s">
        <v>9758</v>
      </c>
      <c r="C980" s="50"/>
      <c r="D980" s="139">
        <f t="shared" si="15"/>
        <v>0</v>
      </c>
      <c r="E980" s="140">
        <v>6644.88</v>
      </c>
      <c r="F980" s="140">
        <v>5446.62</v>
      </c>
      <c r="G980" s="34" t="s">
        <v>100</v>
      </c>
      <c r="H980" s="34" t="s">
        <v>39</v>
      </c>
      <c r="I980" s="35">
        <v>1</v>
      </c>
      <c r="J980" s="35">
        <v>1</v>
      </c>
      <c r="K980" s="35">
        <v>1</v>
      </c>
      <c r="L980" s="60" t="str">
        <f>HYPERLINK("https://www.sds-group.ru/product/svarochnyy-apparat-invertornyy-poluavtomaticheskiy-mig-160-kranz-11-0926/", "Инфо")</f>
        <v>Инфо</v>
      </c>
      <c r="M980" s="37">
        <v>8.5190000000000001</v>
      </c>
      <c r="N980" s="38">
        <v>4.6450999999999999E-2</v>
      </c>
      <c r="O980" s="141">
        <v>4601004272989</v>
      </c>
    </row>
    <row r="981" spans="1:15" ht="11.45" customHeight="1" outlineLevel="4" x14ac:dyDescent="0.2">
      <c r="A981" s="76" t="s">
        <v>9759</v>
      </c>
      <c r="B981" s="136"/>
      <c r="C981" s="77"/>
      <c r="D981" s="137"/>
      <c r="E981" s="4"/>
      <c r="F981" s="4"/>
      <c r="G981" s="4"/>
      <c r="H981" s="4"/>
      <c r="I981" s="4"/>
      <c r="J981" s="4"/>
      <c r="K981" s="4"/>
      <c r="L981" s="138"/>
      <c r="M981" s="4"/>
      <c r="N981" s="4"/>
      <c r="O981" s="4"/>
    </row>
    <row r="982" spans="1:15" s="1" customFormat="1" ht="11.45" customHeight="1" outlineLevel="5" x14ac:dyDescent="0.2">
      <c r="A982" s="32" t="s">
        <v>9760</v>
      </c>
      <c r="B982" s="74" t="s">
        <v>9761</v>
      </c>
      <c r="C982" s="50"/>
      <c r="D982" s="139">
        <f t="shared" si="15"/>
        <v>0</v>
      </c>
      <c r="E982" s="140">
        <v>2156.38</v>
      </c>
      <c r="F982" s="140">
        <v>1767.52</v>
      </c>
      <c r="G982" s="34" t="s">
        <v>100</v>
      </c>
      <c r="H982" s="34" t="s">
        <v>39</v>
      </c>
      <c r="I982" s="35">
        <v>1</v>
      </c>
      <c r="J982" s="35">
        <v>1</v>
      </c>
      <c r="K982" s="35">
        <v>4</v>
      </c>
      <c r="L982" s="60" t="str">
        <f>HYPERLINK("https://www.sds-group.ru/product/svarochnyy-apparat-invertornyy-mini-190-rexant-11-0916/", "Инфо")</f>
        <v>Инфо</v>
      </c>
      <c r="M982" s="37">
        <v>4.1440000000000001</v>
      </c>
      <c r="N982" s="38">
        <v>1.6920000000000001E-2</v>
      </c>
      <c r="O982" s="141">
        <v>4601004272996</v>
      </c>
    </row>
    <row r="983" spans="1:15" ht="11.45" customHeight="1" outlineLevel="3" x14ac:dyDescent="0.2">
      <c r="A983" s="76" t="s">
        <v>9880</v>
      </c>
      <c r="B983" s="136"/>
      <c r="C983" s="77"/>
      <c r="D983" s="137"/>
      <c r="E983" s="4"/>
      <c r="F983" s="4"/>
      <c r="G983" s="4"/>
      <c r="H983" s="4"/>
      <c r="I983" s="4"/>
      <c r="J983" s="4"/>
      <c r="K983" s="4"/>
      <c r="L983" s="138"/>
      <c r="M983" s="4"/>
      <c r="N983" s="4"/>
      <c r="O983" s="4"/>
    </row>
    <row r="984" spans="1:15" ht="11.45" customHeight="1" outlineLevel="4" x14ac:dyDescent="0.2">
      <c r="A984" s="76" t="s">
        <v>9881</v>
      </c>
      <c r="B984" s="136"/>
      <c r="C984" s="77"/>
      <c r="D984" s="137"/>
      <c r="E984" s="4"/>
      <c r="F984" s="4"/>
      <c r="G984" s="4"/>
      <c r="H984" s="4"/>
      <c r="I984" s="4"/>
      <c r="J984" s="4"/>
      <c r="K984" s="4"/>
      <c r="L984" s="138"/>
      <c r="M984" s="4"/>
      <c r="N984" s="4"/>
      <c r="O984" s="4"/>
    </row>
    <row r="985" spans="1:15" s="1" customFormat="1" ht="11.45" customHeight="1" outlineLevel="5" x14ac:dyDescent="0.2">
      <c r="A985" s="32" t="s">
        <v>9890</v>
      </c>
      <c r="B985" s="74" t="s">
        <v>9891</v>
      </c>
      <c r="C985" s="50"/>
      <c r="D985" s="139">
        <f t="shared" si="15"/>
        <v>0</v>
      </c>
      <c r="E985" s="140">
        <v>109.32</v>
      </c>
      <c r="F985" s="140">
        <v>89.61</v>
      </c>
      <c r="G985" s="34" t="s">
        <v>100</v>
      </c>
      <c r="H985" s="34" t="s">
        <v>39</v>
      </c>
      <c r="I985" s="35">
        <v>5</v>
      </c>
      <c r="J985" s="35">
        <v>5</v>
      </c>
      <c r="K985" s="35">
        <v>72</v>
      </c>
      <c r="L985" s="60" t="str">
        <f>HYPERLINK("https://www.sds-group.ru/product/magnitnyy-ugolnik-derzhatel-dlya-svarki-3-ugla-usilie-do-11-3-kg-rexant-12-4824/", "Инфо")</f>
        <v>Инфо</v>
      </c>
      <c r="M985" s="37">
        <v>0.32200000000000001</v>
      </c>
      <c r="N985" s="38">
        <v>3.9599999999999998E-4</v>
      </c>
      <c r="O985" s="141">
        <v>4601004234130</v>
      </c>
    </row>
    <row r="986" spans="1:15" s="1" customFormat="1" ht="11.45" customHeight="1" outlineLevel="5" x14ac:dyDescent="0.2">
      <c r="A986" s="32" t="s">
        <v>9892</v>
      </c>
      <c r="B986" s="74" t="s">
        <v>9893</v>
      </c>
      <c r="C986" s="50"/>
      <c r="D986" s="139">
        <f t="shared" si="15"/>
        <v>0</v>
      </c>
      <c r="E986" s="140">
        <v>174.9</v>
      </c>
      <c r="F986" s="140">
        <v>143.36000000000001</v>
      </c>
      <c r="G986" s="34" t="s">
        <v>100</v>
      </c>
      <c r="H986" s="34" t="s">
        <v>39</v>
      </c>
      <c r="I986" s="35">
        <v>1</v>
      </c>
      <c r="J986" s="35">
        <v>1</v>
      </c>
      <c r="K986" s="35">
        <v>48</v>
      </c>
      <c r="L986" s="60" t="str">
        <f>HYPERLINK("https://www.sds-group.ru/product/magnitnyy-ugolnik-derzhatel-dlya-svarki-3-ugla-usilie-do-22-6-kg-rexant-12-4825/", "Инфо")</f>
        <v>Инфо</v>
      </c>
      <c r="M986" s="37">
        <v>0.52800000000000002</v>
      </c>
      <c r="N986" s="38">
        <v>4.9700000000000005E-4</v>
      </c>
      <c r="O986" s="141">
        <v>4601004234109</v>
      </c>
    </row>
    <row r="987" spans="1:15" s="1" customFormat="1" ht="11.45" customHeight="1" outlineLevel="5" x14ac:dyDescent="0.2">
      <c r="A987" s="32" t="s">
        <v>9894</v>
      </c>
      <c r="B987" s="74" t="s">
        <v>9895</v>
      </c>
      <c r="C987" s="50"/>
      <c r="D987" s="139">
        <f t="shared" si="15"/>
        <v>0</v>
      </c>
      <c r="E987" s="140">
        <v>312.63</v>
      </c>
      <c r="F987" s="140">
        <v>256.25</v>
      </c>
      <c r="G987" s="34" t="s">
        <v>100</v>
      </c>
      <c r="H987" s="34" t="s">
        <v>39</v>
      </c>
      <c r="I987" s="35">
        <v>1</v>
      </c>
      <c r="J987" s="35">
        <v>1</v>
      </c>
      <c r="K987" s="35">
        <v>24</v>
      </c>
      <c r="L987" s="60" t="str">
        <f>HYPERLINK("https://www.sds-group.ru/product/magnitnyy-ugolnik-derzhatel-dlya-svarki-3-ugla-usilie-do-34-kg-rexant-12-4826/", "Инфо")</f>
        <v>Инфо</v>
      </c>
      <c r="M987" s="37">
        <v>1.0409999999999999</v>
      </c>
      <c r="N987" s="38">
        <v>1.1169999999999999E-3</v>
      </c>
      <c r="O987" s="141">
        <v>4601004234116</v>
      </c>
    </row>
    <row r="988" spans="1:15" s="1" customFormat="1" ht="11.45" customHeight="1" outlineLevel="5" x14ac:dyDescent="0.2">
      <c r="A988" s="32" t="s">
        <v>9896</v>
      </c>
      <c r="B988" s="74" t="s">
        <v>9897</v>
      </c>
      <c r="C988" s="50"/>
      <c r="D988" s="139">
        <f t="shared" si="15"/>
        <v>0</v>
      </c>
      <c r="E988" s="140">
        <v>473.69</v>
      </c>
      <c r="F988" s="140">
        <v>388.27</v>
      </c>
      <c r="G988" s="34" t="s">
        <v>100</v>
      </c>
      <c r="H988" s="34" t="s">
        <v>39</v>
      </c>
      <c r="I988" s="35">
        <v>1</v>
      </c>
      <c r="J988" s="35">
        <v>1</v>
      </c>
      <c r="K988" s="35">
        <v>18</v>
      </c>
      <c r="L988" s="60" t="str">
        <f>HYPERLINK("https://www.sds-group.ru/product/magnitnyy-ugolnik-derzhatel-dlya-svarki-3-ugla-usilie-do-45-kg-rexant-12-4827/", "Инфо")</f>
        <v>Инфо</v>
      </c>
      <c r="M988" s="37">
        <v>1.825</v>
      </c>
      <c r="N988" s="38">
        <v>1.2869999999999999E-3</v>
      </c>
      <c r="O988" s="141">
        <v>4601004234093</v>
      </c>
    </row>
    <row r="989" spans="1:15" s="1" customFormat="1" ht="11.45" customHeight="1" outlineLevel="5" x14ac:dyDescent="0.2">
      <c r="A989" s="32" t="s">
        <v>9904</v>
      </c>
      <c r="B989" s="74" t="s">
        <v>9905</v>
      </c>
      <c r="C989" s="50"/>
      <c r="D989" s="139">
        <f t="shared" si="15"/>
        <v>0</v>
      </c>
      <c r="E989" s="140">
        <v>459.11</v>
      </c>
      <c r="F989" s="140">
        <v>376.32</v>
      </c>
      <c r="G989" s="34" t="s">
        <v>100</v>
      </c>
      <c r="H989" s="34" t="s">
        <v>39</v>
      </c>
      <c r="I989" s="35">
        <v>1</v>
      </c>
      <c r="J989" s="35">
        <v>1</v>
      </c>
      <c r="K989" s="35">
        <v>8</v>
      </c>
      <c r="L989" s="60" t="str">
        <f>HYPERLINK("https://www.sds-group.ru/product/sharnirnyy-derzhatel-dlya-svarki-usilie-34-kg-rexant-12-4837/", "Инфо")</f>
        <v>Инфо</v>
      </c>
      <c r="M989" s="37">
        <v>1.6859999999999999</v>
      </c>
      <c r="N989" s="38">
        <v>2.6570000000000001E-3</v>
      </c>
      <c r="O989" s="141">
        <v>4601004234123</v>
      </c>
    </row>
    <row r="990" spans="1:15" ht="11.45" customHeight="1" outlineLevel="1" x14ac:dyDescent="0.2">
      <c r="A990" s="78" t="s">
        <v>10072</v>
      </c>
      <c r="B990" s="132"/>
      <c r="C990" s="79"/>
      <c r="D990" s="133"/>
      <c r="E990" s="134"/>
      <c r="F990" s="134"/>
      <c r="G990" s="134"/>
      <c r="H990" s="134"/>
      <c r="I990" s="134"/>
      <c r="J990" s="134"/>
      <c r="K990" s="134"/>
      <c r="L990" s="135"/>
      <c r="M990" s="134"/>
      <c r="N990" s="134"/>
      <c r="O990" s="134"/>
    </row>
    <row r="991" spans="1:15" ht="11.45" customHeight="1" outlineLevel="2" x14ac:dyDescent="0.2">
      <c r="A991" s="76" t="s">
        <v>10186</v>
      </c>
      <c r="B991" s="136"/>
      <c r="C991" s="77"/>
      <c r="D991" s="137"/>
      <c r="E991" s="4"/>
      <c r="F991" s="4"/>
      <c r="G991" s="4"/>
      <c r="H991" s="4"/>
      <c r="I991" s="4"/>
      <c r="J991" s="4"/>
      <c r="K991" s="4"/>
      <c r="L991" s="138"/>
      <c r="M991" s="4"/>
      <c r="N991" s="4"/>
      <c r="O991" s="4"/>
    </row>
    <row r="992" spans="1:15" s="1" customFormat="1" ht="11.45" customHeight="1" outlineLevel="3" x14ac:dyDescent="0.2">
      <c r="A992" s="32" t="s">
        <v>10189</v>
      </c>
      <c r="B992" s="74" t="s">
        <v>10190</v>
      </c>
      <c r="C992" s="50"/>
      <c r="D992" s="139">
        <f t="shared" si="15"/>
        <v>0</v>
      </c>
      <c r="E992" s="140">
        <v>501.01</v>
      </c>
      <c r="F992" s="140">
        <v>410.66</v>
      </c>
      <c r="G992" s="34" t="s">
        <v>100</v>
      </c>
      <c r="H992" s="34" t="s">
        <v>39</v>
      </c>
      <c r="I992" s="35">
        <v>1</v>
      </c>
      <c r="J992" s="35">
        <v>1</v>
      </c>
      <c r="K992" s="35">
        <v>50</v>
      </c>
      <c r="L992" s="60" t="str">
        <f>HYPERLINK("https://www.sds-group.ru/product/kompaktnaya-turisticheskaya-gazovaya-plitka-yason-rexant-12-4139/", "Инфо")</f>
        <v>Инфо</v>
      </c>
      <c r="M992" s="37">
        <v>0.17699999999999999</v>
      </c>
      <c r="N992" s="38">
        <v>5.0299999999999997E-4</v>
      </c>
      <c r="O992" s="141">
        <v>4601004269842</v>
      </c>
    </row>
    <row r="993" spans="1:15" s="1" customFormat="1" ht="11.45" customHeight="1" outlineLevel="3" x14ac:dyDescent="0.2">
      <c r="A993" s="32" t="s">
        <v>10192</v>
      </c>
      <c r="B993" s="74" t="s">
        <v>10193</v>
      </c>
      <c r="C993" s="50"/>
      <c r="D993" s="139">
        <f t="shared" si="15"/>
        <v>0</v>
      </c>
      <c r="E993" s="140">
        <v>948.94</v>
      </c>
      <c r="F993" s="140">
        <v>777.82</v>
      </c>
      <c r="G993" s="34" t="s">
        <v>100</v>
      </c>
      <c r="H993" s="34" t="s">
        <v>39</v>
      </c>
      <c r="I993" s="35">
        <v>1</v>
      </c>
      <c r="J993" s="35">
        <v>1</v>
      </c>
      <c r="K993" s="35">
        <v>40</v>
      </c>
      <c r="L993" s="60" t="str">
        <f>HYPERLINK("https://www.sds-group.ru/product/plitka-gazovaya-turisticheskaya-medeya-rexant-12-4148/", "Инфо")</f>
        <v>Инфо</v>
      </c>
      <c r="M993" s="37">
        <v>0.33</v>
      </c>
      <c r="N993" s="38">
        <v>1.181E-3</v>
      </c>
      <c r="O993" s="141">
        <v>4601004271494</v>
      </c>
    </row>
    <row r="994" spans="1:15" s="1" customFormat="1" ht="11.45" customHeight="1" outlineLevel="3" x14ac:dyDescent="0.2">
      <c r="A994" s="32" t="s">
        <v>10195</v>
      </c>
      <c r="B994" s="74" t="s">
        <v>10196</v>
      </c>
      <c r="C994" s="50"/>
      <c r="D994" s="139">
        <f t="shared" si="15"/>
        <v>0</v>
      </c>
      <c r="E994" s="140">
        <v>385.39</v>
      </c>
      <c r="F994" s="140">
        <v>315.89</v>
      </c>
      <c r="G994" s="34" t="s">
        <v>100</v>
      </c>
      <c r="H994" s="34" t="s">
        <v>39</v>
      </c>
      <c r="I994" s="35">
        <v>1</v>
      </c>
      <c r="J994" s="35">
        <v>1</v>
      </c>
      <c r="K994" s="35">
        <v>50</v>
      </c>
      <c r="L994" s="60" t="str">
        <f>HYPERLINK("https://www.sds-group.ru/product/ekran-dlya-zaschity-gazovyh-plit-ot-vetra-schit-rexant-12-4160/", "Инфо")</f>
        <v>Инфо</v>
      </c>
      <c r="M994" s="37">
        <v>0.23</v>
      </c>
      <c r="N994" s="38">
        <v>4.6700000000000002E-4</v>
      </c>
      <c r="O994" s="141">
        <v>4601004248984</v>
      </c>
    </row>
    <row r="995" spans="1:15" ht="11.45" customHeight="1" outlineLevel="1" x14ac:dyDescent="0.2">
      <c r="A995" s="78" t="s">
        <v>10200</v>
      </c>
      <c r="B995" s="132"/>
      <c r="C995" s="79"/>
      <c r="D995" s="133"/>
      <c r="E995" s="134"/>
      <c r="F995" s="134"/>
      <c r="G995" s="134"/>
      <c r="H995" s="134"/>
      <c r="I995" s="134"/>
      <c r="J995" s="134"/>
      <c r="K995" s="134"/>
      <c r="L995" s="135"/>
      <c r="M995" s="134"/>
      <c r="N995" s="134"/>
      <c r="O995" s="134"/>
    </row>
    <row r="996" spans="1:15" ht="11.45" customHeight="1" outlineLevel="2" x14ac:dyDescent="0.2">
      <c r="A996" s="76" t="s">
        <v>10201</v>
      </c>
      <c r="B996" s="136"/>
      <c r="C996" s="77"/>
      <c r="D996" s="137"/>
      <c r="E996" s="4"/>
      <c r="F996" s="4"/>
      <c r="G996" s="4"/>
      <c r="H996" s="4"/>
      <c r="I996" s="4"/>
      <c r="J996" s="4"/>
      <c r="K996" s="4"/>
      <c r="L996" s="138"/>
      <c r="M996" s="4"/>
      <c r="N996" s="4"/>
      <c r="O996" s="4"/>
    </row>
    <row r="997" spans="1:15" ht="11.45" customHeight="1" outlineLevel="3" x14ac:dyDescent="0.2">
      <c r="A997" s="76" t="s">
        <v>10233</v>
      </c>
      <c r="B997" s="136"/>
      <c r="C997" s="77"/>
      <c r="D997" s="137"/>
      <c r="E997" s="4"/>
      <c r="F997" s="4"/>
      <c r="G997" s="4"/>
      <c r="H997" s="4"/>
      <c r="I997" s="4"/>
      <c r="J997" s="4"/>
      <c r="K997" s="4"/>
      <c r="L997" s="138"/>
      <c r="M997" s="4"/>
      <c r="N997" s="4"/>
      <c r="O997" s="4"/>
    </row>
    <row r="998" spans="1:15" s="1" customFormat="1" ht="11.45" customHeight="1" outlineLevel="4" x14ac:dyDescent="0.2">
      <c r="A998" s="32" t="s">
        <v>10248</v>
      </c>
      <c r="B998" s="74" t="s">
        <v>10249</v>
      </c>
      <c r="C998" s="50"/>
      <c r="D998" s="139">
        <f t="shared" si="15"/>
        <v>0</v>
      </c>
      <c r="E998" s="140">
        <v>378.44</v>
      </c>
      <c r="F998" s="140">
        <v>310.2</v>
      </c>
      <c r="G998" s="34" t="s">
        <v>100</v>
      </c>
      <c r="H998" s="34" t="s">
        <v>39</v>
      </c>
      <c r="I998" s="35">
        <v>1</v>
      </c>
      <c r="J998" s="35">
        <v>1</v>
      </c>
      <c r="K998" s="35">
        <v>50</v>
      </c>
      <c r="L998" s="60" t="str">
        <f>HYPERLINK("https://www.sds-group.ru/product/payalnik-s-keram-nagrevatelem-seriya-mini-8vt-5v-pitanie-ot-usb-blister-rexant-12-0180/", "Инфо")</f>
        <v>Инфо</v>
      </c>
      <c r="M998" s="37">
        <v>0.124</v>
      </c>
      <c r="N998" s="38">
        <v>4.9700000000000005E-4</v>
      </c>
      <c r="O998" s="141">
        <v>4660008017026</v>
      </c>
    </row>
    <row r="999" spans="1:15" ht="11.45" customHeight="1" outlineLevel="2" x14ac:dyDescent="0.2">
      <c r="A999" s="76" t="s">
        <v>10362</v>
      </c>
      <c r="B999" s="136"/>
      <c r="C999" s="77"/>
      <c r="D999" s="137"/>
      <c r="E999" s="4"/>
      <c r="F999" s="4"/>
      <c r="G999" s="4"/>
      <c r="H999" s="4"/>
      <c r="I999" s="4"/>
      <c r="J999" s="4"/>
      <c r="K999" s="4"/>
      <c r="L999" s="138"/>
      <c r="M999" s="4"/>
      <c r="N999" s="4"/>
      <c r="O999" s="4"/>
    </row>
    <row r="1000" spans="1:15" s="1" customFormat="1" ht="11.45" customHeight="1" outlineLevel="3" x14ac:dyDescent="0.2">
      <c r="A1000" s="32" t="s">
        <v>10363</v>
      </c>
      <c r="B1000" s="74" t="s">
        <v>10364</v>
      </c>
      <c r="C1000" s="50"/>
      <c r="D1000" s="139">
        <f t="shared" si="15"/>
        <v>0</v>
      </c>
      <c r="E1000" s="140">
        <v>6461.87</v>
      </c>
      <c r="F1000" s="140">
        <v>5296.61</v>
      </c>
      <c r="G1000" s="34" t="s">
        <v>100</v>
      </c>
      <c r="H1000" s="34" t="s">
        <v>39</v>
      </c>
      <c r="I1000" s="35">
        <v>1</v>
      </c>
      <c r="J1000" s="35">
        <v>1</v>
      </c>
      <c r="K1000" s="35">
        <v>2</v>
      </c>
      <c r="L1000" s="60" t="str">
        <f>HYPERLINK("https://www.sds-group.ru/product/mnogofunktsionalnaya-tsifrovaya-payalnaya-stantsiya-s-multimetrom-i-zhk-displeem-220v-48vt-z-12-0143/", "Инфо")</f>
        <v>Инфо</v>
      </c>
      <c r="M1000" s="37">
        <v>3.5</v>
      </c>
      <c r="N1000" s="38">
        <v>1.9E-2</v>
      </c>
      <c r="O1000" s="141">
        <v>4601004001282</v>
      </c>
    </row>
    <row r="1001" spans="1:15" s="1" customFormat="1" ht="11.45" customHeight="1" outlineLevel="3" x14ac:dyDescent="0.2">
      <c r="A1001" s="32" t="s">
        <v>10391</v>
      </c>
      <c r="B1001" s="74" t="s">
        <v>10392</v>
      </c>
      <c r="C1001" s="50"/>
      <c r="D1001" s="139">
        <f t="shared" si="15"/>
        <v>0</v>
      </c>
      <c r="E1001" s="140">
        <v>1786.14</v>
      </c>
      <c r="F1001" s="140">
        <v>1464.05</v>
      </c>
      <c r="G1001" s="34" t="s">
        <v>100</v>
      </c>
      <c r="H1001" s="34" t="s">
        <v>39</v>
      </c>
      <c r="I1001" s="35">
        <v>1</v>
      </c>
      <c r="J1001" s="35">
        <v>1</v>
      </c>
      <c r="K1001" s="35">
        <v>6</v>
      </c>
      <c r="L1001" s="60" t="str">
        <f>HYPERLINK("https://www.sds-group.ru/product/payalnaya-stantsiya-termofen-model-r850a-termovozdushnaya-kompressornaya-100-450-c-rexant-12-0716/", "Инфо")</f>
        <v>Инфо</v>
      </c>
      <c r="M1001" s="37">
        <v>3.0579999999999998</v>
      </c>
      <c r="N1001" s="38">
        <v>2.0739E-2</v>
      </c>
      <c r="O1001" s="141">
        <v>4601004099661</v>
      </c>
    </row>
    <row r="1002" spans="1:15" s="1" customFormat="1" ht="11.45" customHeight="1" outlineLevel="3" x14ac:dyDescent="0.2">
      <c r="A1002" s="32" t="s">
        <v>10395</v>
      </c>
      <c r="B1002" s="74" t="s">
        <v>10396</v>
      </c>
      <c r="C1002" s="50"/>
      <c r="D1002" s="139">
        <f t="shared" si="15"/>
        <v>0</v>
      </c>
      <c r="E1002" s="140">
        <v>4509.09</v>
      </c>
      <c r="F1002" s="140">
        <v>3695.98</v>
      </c>
      <c r="G1002" s="34" t="s">
        <v>100</v>
      </c>
      <c r="H1002" s="34" t="s">
        <v>39</v>
      </c>
      <c r="I1002" s="35">
        <v>1</v>
      </c>
      <c r="J1002" s="35">
        <v>1</v>
      </c>
      <c r="K1002" s="35">
        <v>2</v>
      </c>
      <c r="L1002" s="60" t="str">
        <f>HYPERLINK("https://www.sds-group.ru/product/tsifrovaya-termovozdushnaya-payalnaya-stantsiya-220v-160-480-s-zd-939l-rexant-12-0144/", "Инфо")</f>
        <v>Инфо</v>
      </c>
      <c r="M1002" s="37">
        <v>4.0389999999999997</v>
      </c>
      <c r="N1002" s="38">
        <v>1.7644E-2</v>
      </c>
      <c r="O1002" s="141">
        <v>4601004001299</v>
      </c>
    </row>
    <row r="1003" spans="1:15" ht="11.45" customHeight="1" outlineLevel="2" x14ac:dyDescent="0.2">
      <c r="A1003" s="76" t="s">
        <v>10397</v>
      </c>
      <c r="B1003" s="136"/>
      <c r="C1003" s="77"/>
      <c r="D1003" s="137"/>
      <c r="E1003" s="4"/>
      <c r="F1003" s="4"/>
      <c r="G1003" s="4"/>
      <c r="H1003" s="4"/>
      <c r="I1003" s="4"/>
      <c r="J1003" s="4"/>
      <c r="K1003" s="4"/>
      <c r="L1003" s="138"/>
      <c r="M1003" s="4"/>
      <c r="N1003" s="4"/>
      <c r="O1003" s="4"/>
    </row>
    <row r="1004" spans="1:15" s="1" customFormat="1" ht="11.45" customHeight="1" outlineLevel="3" x14ac:dyDescent="0.2">
      <c r="A1004" s="32" t="s">
        <v>10406</v>
      </c>
      <c r="B1004" s="74" t="s">
        <v>10407</v>
      </c>
      <c r="C1004" s="50"/>
      <c r="D1004" s="139">
        <f t="shared" si="15"/>
        <v>0</v>
      </c>
      <c r="E1004" s="140">
        <v>710.54</v>
      </c>
      <c r="F1004" s="140">
        <v>582.41</v>
      </c>
      <c r="G1004" s="34" t="s">
        <v>100</v>
      </c>
      <c r="H1004" s="34" t="s">
        <v>39</v>
      </c>
      <c r="I1004" s="35">
        <v>1</v>
      </c>
      <c r="J1004" s="35">
        <v>1</v>
      </c>
      <c r="K1004" s="35">
        <v>20</v>
      </c>
      <c r="L1004" s="60" t="str">
        <f>HYPERLINK("https://www.sds-group.ru/product/nabor-dlya-payki-15-payalnik-8vt-olovootsos-podstavka-pripoy-otvertka-instrument-dlya-montaz-12-0167/", "Инфо")</f>
        <v>Инфо</v>
      </c>
      <c r="M1004" s="37">
        <v>0.4</v>
      </c>
      <c r="N1004" s="38">
        <v>1.8140000000000001E-3</v>
      </c>
      <c r="O1004" s="141">
        <v>4601004020955</v>
      </c>
    </row>
    <row r="1005" spans="1:15" s="1" customFormat="1" ht="11.45" customHeight="1" outlineLevel="3" x14ac:dyDescent="0.2">
      <c r="A1005" s="32" t="s">
        <v>10412</v>
      </c>
      <c r="B1005" s="74" t="s">
        <v>10413</v>
      </c>
      <c r="C1005" s="50"/>
      <c r="D1005" s="139">
        <f t="shared" si="15"/>
        <v>0</v>
      </c>
      <c r="E1005" s="140">
        <v>431.68</v>
      </c>
      <c r="F1005" s="140">
        <v>353.84</v>
      </c>
      <c r="G1005" s="34" t="s">
        <v>100</v>
      </c>
      <c r="H1005" s="34" t="s">
        <v>39</v>
      </c>
      <c r="I1005" s="35">
        <v>1</v>
      </c>
      <c r="J1005" s="35">
        <v>1</v>
      </c>
      <c r="K1005" s="35">
        <v>20</v>
      </c>
      <c r="L1005" s="60" t="str">
        <f>HYPERLINK("https://www.sds-group.ru/product/nabor-dlya-payki-5-payalnik-impulsnyy-30-70vt-olovootsos-podstavka-pripoy-rexant-12-0164/", "Инфо")</f>
        <v>Инфо</v>
      </c>
      <c r="M1005" s="37">
        <v>0.499</v>
      </c>
      <c r="N1005" s="38">
        <v>2.8119999999999998E-3</v>
      </c>
      <c r="O1005" s="141">
        <v>4660008013585</v>
      </c>
    </row>
    <row r="1006" spans="1:15" ht="11.45" customHeight="1" outlineLevel="2" x14ac:dyDescent="0.2">
      <c r="A1006" s="76" t="s">
        <v>10420</v>
      </c>
      <c r="B1006" s="136"/>
      <c r="C1006" s="77"/>
      <c r="D1006" s="137"/>
      <c r="E1006" s="4"/>
      <c r="F1006" s="4"/>
      <c r="G1006" s="4"/>
      <c r="H1006" s="4"/>
      <c r="I1006" s="4"/>
      <c r="J1006" s="4"/>
      <c r="K1006" s="4"/>
      <c r="L1006" s="138"/>
      <c r="M1006" s="4"/>
      <c r="N1006" s="4"/>
      <c r="O1006" s="4"/>
    </row>
    <row r="1007" spans="1:15" s="1" customFormat="1" ht="11.45" customHeight="1" outlineLevel="3" x14ac:dyDescent="0.2">
      <c r="A1007" s="32" t="s">
        <v>10431</v>
      </c>
      <c r="B1007" s="74" t="s">
        <v>10432</v>
      </c>
      <c r="C1007" s="50"/>
      <c r="D1007" s="139">
        <f t="shared" si="15"/>
        <v>0</v>
      </c>
      <c r="E1007" s="140">
        <v>2646.35</v>
      </c>
      <c r="F1007" s="140">
        <v>2169.14</v>
      </c>
      <c r="G1007" s="34" t="s">
        <v>100</v>
      </c>
      <c r="H1007" s="34" t="s">
        <v>39</v>
      </c>
      <c r="I1007" s="35">
        <v>1</v>
      </c>
      <c r="J1007" s="35">
        <v>1</v>
      </c>
      <c r="K1007" s="35">
        <v>6</v>
      </c>
      <c r="L1007" s="60" t="str">
        <f>HYPERLINK("https://www.sds-group.ru/product/nabor-dlya-vyzhiganiya-dlya-malchikov-vyzhigatel-5-dosok-150h150mm-paket-rexant-12-0929-2/", "Инфо")</f>
        <v>Инфо</v>
      </c>
      <c r="M1007" s="37">
        <v>1.47</v>
      </c>
      <c r="N1007" s="38">
        <v>3.1359999999999999E-3</v>
      </c>
      <c r="O1007" s="141">
        <v>4601004151710</v>
      </c>
    </row>
    <row r="1008" spans="1:15" ht="11.45" customHeight="1" outlineLevel="2" x14ac:dyDescent="0.2">
      <c r="A1008" s="76" t="s">
        <v>10435</v>
      </c>
      <c r="B1008" s="136"/>
      <c r="C1008" s="77"/>
      <c r="D1008" s="137"/>
      <c r="E1008" s="4"/>
      <c r="F1008" s="4"/>
      <c r="G1008" s="4"/>
      <c r="H1008" s="4"/>
      <c r="I1008" s="4"/>
      <c r="J1008" s="4"/>
      <c r="K1008" s="4"/>
      <c r="L1008" s="138"/>
      <c r="M1008" s="4"/>
      <c r="N1008" s="4"/>
      <c r="O1008" s="4"/>
    </row>
    <row r="1009" spans="1:15" s="1" customFormat="1" ht="11.45" customHeight="1" outlineLevel="3" x14ac:dyDescent="0.2">
      <c r="A1009" s="32" t="s">
        <v>10442</v>
      </c>
      <c r="B1009" s="74" t="s">
        <v>10443</v>
      </c>
      <c r="C1009" s="50"/>
      <c r="D1009" s="139">
        <f t="shared" si="15"/>
        <v>0</v>
      </c>
      <c r="E1009" s="140">
        <v>1406.29</v>
      </c>
      <c r="F1009" s="140">
        <v>1152.7</v>
      </c>
      <c r="G1009" s="34" t="s">
        <v>100</v>
      </c>
      <c r="H1009" s="34" t="s">
        <v>39</v>
      </c>
      <c r="I1009" s="35">
        <v>1</v>
      </c>
      <c r="J1009" s="35">
        <v>1</v>
      </c>
      <c r="K1009" s="35">
        <v>20</v>
      </c>
      <c r="L1009" s="60" t="str">
        <f>HYPERLINK("https://www.sds-group.ru/product/payalnaya-vanna-model-r38f-100vt-38mm-200-480-c-bessvintsovaya-rexant-09-9210/", "Инфо")</f>
        <v>Инфо</v>
      </c>
      <c r="M1009" s="37">
        <v>0.63900000000000001</v>
      </c>
      <c r="N1009" s="38">
        <v>1.7210000000000001E-3</v>
      </c>
      <c r="O1009" s="141">
        <v>4601004161412</v>
      </c>
    </row>
    <row r="1010" spans="1:15" ht="11.45" customHeight="1" outlineLevel="2" x14ac:dyDescent="0.2">
      <c r="A1010" s="76" t="s">
        <v>10499</v>
      </c>
      <c r="B1010" s="136"/>
      <c r="C1010" s="77"/>
      <c r="D1010" s="137"/>
      <c r="E1010" s="4"/>
      <c r="F1010" s="4"/>
      <c r="G1010" s="4"/>
      <c r="H1010" s="4"/>
      <c r="I1010" s="4"/>
      <c r="J1010" s="4"/>
      <c r="K1010" s="4"/>
      <c r="L1010" s="138"/>
      <c r="M1010" s="4"/>
      <c r="N1010" s="4"/>
      <c r="O1010" s="4"/>
    </row>
    <row r="1011" spans="1:15" ht="11.45" customHeight="1" outlineLevel="3" x14ac:dyDescent="0.2">
      <c r="A1011" s="76" t="s">
        <v>10559</v>
      </c>
      <c r="B1011" s="136"/>
      <c r="C1011" s="77"/>
      <c r="D1011" s="137"/>
      <c r="E1011" s="4"/>
      <c r="F1011" s="4"/>
      <c r="G1011" s="4"/>
      <c r="H1011" s="4"/>
      <c r="I1011" s="4"/>
      <c r="J1011" s="4"/>
      <c r="K1011" s="4"/>
      <c r="L1011" s="138"/>
      <c r="M1011" s="4"/>
      <c r="N1011" s="4"/>
      <c r="O1011" s="4"/>
    </row>
    <row r="1012" spans="1:15" s="1" customFormat="1" ht="11.45" customHeight="1" outlineLevel="4" x14ac:dyDescent="0.2">
      <c r="A1012" s="32" t="s">
        <v>10580</v>
      </c>
      <c r="B1012" s="74" t="s">
        <v>10581</v>
      </c>
      <c r="C1012" s="50"/>
      <c r="D1012" s="139">
        <f t="shared" si="15"/>
        <v>0</v>
      </c>
      <c r="E1012" s="140">
        <v>2466.13</v>
      </c>
      <c r="F1012" s="140">
        <v>2021.42</v>
      </c>
      <c r="G1012" s="34" t="s">
        <v>100</v>
      </c>
      <c r="H1012" s="34" t="s">
        <v>39</v>
      </c>
      <c r="I1012" s="35">
        <v>1</v>
      </c>
      <c r="J1012" s="35">
        <v>1</v>
      </c>
      <c r="K1012" s="35">
        <v>15</v>
      </c>
      <c r="L1012" s="60" t="str">
        <f>HYPERLINK("https://www.sds-group.ru/product/pripoy-pom-3-500g-2mm-olovo-97-med-3-bessvintsovyy-gost-21931-76-katushka-rexant-09-3507/", "Инфо")</f>
        <v>Инфо</v>
      </c>
      <c r="M1012" s="37">
        <v>0.57799999999999996</v>
      </c>
      <c r="N1012" s="38">
        <v>8.1999999999999998E-4</v>
      </c>
      <c r="O1012" s="141">
        <v>4601004277250</v>
      </c>
    </row>
    <row r="1013" spans="1:15" ht="11.45" customHeight="1" outlineLevel="1" x14ac:dyDescent="0.2">
      <c r="A1013" s="78" t="s">
        <v>10885</v>
      </c>
      <c r="B1013" s="132"/>
      <c r="C1013" s="79"/>
      <c r="D1013" s="133"/>
      <c r="E1013" s="134"/>
      <c r="F1013" s="134"/>
      <c r="G1013" s="134"/>
      <c r="H1013" s="134"/>
      <c r="I1013" s="134"/>
      <c r="J1013" s="134"/>
      <c r="K1013" s="134"/>
      <c r="L1013" s="135"/>
      <c r="M1013" s="134"/>
      <c r="N1013" s="134"/>
      <c r="O1013" s="134"/>
    </row>
    <row r="1014" spans="1:15" ht="11.45" customHeight="1" outlineLevel="2" x14ac:dyDescent="0.2">
      <c r="A1014" s="76" t="s">
        <v>10913</v>
      </c>
      <c r="B1014" s="136"/>
      <c r="C1014" s="77"/>
      <c r="D1014" s="137"/>
      <c r="E1014" s="4"/>
      <c r="F1014" s="4"/>
      <c r="G1014" s="4"/>
      <c r="H1014" s="4"/>
      <c r="I1014" s="4"/>
      <c r="J1014" s="4"/>
      <c r="K1014" s="4"/>
      <c r="L1014" s="138"/>
      <c r="M1014" s="4"/>
      <c r="N1014" s="4"/>
      <c r="O1014" s="4"/>
    </row>
    <row r="1015" spans="1:15" s="1" customFormat="1" ht="11.45" customHeight="1" outlineLevel="3" x14ac:dyDescent="0.2">
      <c r="A1015" s="32" t="s">
        <v>10914</v>
      </c>
      <c r="B1015" s="74" t="s">
        <v>10915</v>
      </c>
      <c r="C1015" s="50"/>
      <c r="D1015" s="139">
        <f t="shared" si="15"/>
        <v>0</v>
      </c>
      <c r="E1015" s="140">
        <v>2505.0500000000002</v>
      </c>
      <c r="F1015" s="140">
        <v>2053.3200000000002</v>
      </c>
      <c r="G1015" s="34" t="s">
        <v>100</v>
      </c>
      <c r="H1015" s="34" t="s">
        <v>39</v>
      </c>
      <c r="I1015" s="35">
        <v>1</v>
      </c>
      <c r="J1015" s="35">
        <v>1</v>
      </c>
      <c r="K1015" s="35">
        <v>6</v>
      </c>
      <c r="L1015" s="60" t="str">
        <f>HYPERLINK("https://www.sds-group.ru/product/lupa-nastolnaya-3d-s-podsvetkoy-3-led-sensornaya-regulirovka-yarkosti-ekspert-125mm-belaya-r-31-0560/", "Инфо")</f>
        <v>Инфо</v>
      </c>
      <c r="M1015" s="37">
        <v>1.2629999999999999</v>
      </c>
      <c r="N1015" s="38">
        <v>1.0345999999999999E-2</v>
      </c>
      <c r="O1015" s="141">
        <v>4601004097902</v>
      </c>
    </row>
    <row r="1016" spans="1:15" ht="11.45" customHeight="1" outlineLevel="2" x14ac:dyDescent="0.2">
      <c r="A1016" s="76" t="s">
        <v>10942</v>
      </c>
      <c r="B1016" s="136"/>
      <c r="C1016" s="77"/>
      <c r="D1016" s="137"/>
      <c r="E1016" s="4"/>
      <c r="F1016" s="4"/>
      <c r="G1016" s="4"/>
      <c r="H1016" s="4"/>
      <c r="I1016" s="4"/>
      <c r="J1016" s="4"/>
      <c r="K1016" s="4"/>
      <c r="L1016" s="138"/>
      <c r="M1016" s="4"/>
      <c r="N1016" s="4"/>
      <c r="O1016" s="4"/>
    </row>
    <row r="1017" spans="1:15" s="1" customFormat="1" ht="11.45" customHeight="1" outlineLevel="3" x14ac:dyDescent="0.2">
      <c r="A1017" s="32" t="s">
        <v>10945</v>
      </c>
      <c r="B1017" s="74" t="s">
        <v>10946</v>
      </c>
      <c r="C1017" s="50"/>
      <c r="D1017" s="139">
        <f t="shared" si="15"/>
        <v>0</v>
      </c>
      <c r="E1017" s="140">
        <v>119.27</v>
      </c>
      <c r="F1017" s="140">
        <v>97.76</v>
      </c>
      <c r="G1017" s="34" t="s">
        <v>100</v>
      </c>
      <c r="H1017" s="34" t="s">
        <v>39</v>
      </c>
      <c r="I1017" s="35">
        <v>1</v>
      </c>
      <c r="J1017" s="35">
        <v>1</v>
      </c>
      <c r="K1017" s="35">
        <v>80</v>
      </c>
      <c r="L1017" s="60" t="str">
        <f>HYPERLINK("https://www.sds-group.ru/product/lupa-ruchnaya-uvelichenie-2h-6h-90mm-s-podsvetkoy-chernaya-rexant-12-0407/", "Инфо")</f>
        <v>Инфо</v>
      </c>
      <c r="M1017" s="37">
        <v>0.16200000000000001</v>
      </c>
      <c r="N1017" s="38">
        <v>8.9800000000000004E-4</v>
      </c>
      <c r="O1017" s="141">
        <v>4601004039087</v>
      </c>
    </row>
    <row r="1018" spans="1:15" s="1" customFormat="1" ht="11.45" customHeight="1" outlineLevel="3" x14ac:dyDescent="0.2">
      <c r="A1018" s="32" t="s">
        <v>10949</v>
      </c>
      <c r="B1018" s="74" t="s">
        <v>10950</v>
      </c>
      <c r="C1018" s="50"/>
      <c r="D1018" s="139">
        <f t="shared" si="15"/>
        <v>0</v>
      </c>
      <c r="E1018" s="140">
        <v>118.25</v>
      </c>
      <c r="F1018" s="140">
        <v>96.93</v>
      </c>
      <c r="G1018" s="34" t="s">
        <v>100</v>
      </c>
      <c r="H1018" s="34" t="s">
        <v>39</v>
      </c>
      <c r="I1018" s="35">
        <v>1</v>
      </c>
      <c r="J1018" s="35">
        <v>1</v>
      </c>
      <c r="K1018" s="35">
        <v>200</v>
      </c>
      <c r="L1018" s="60" t="str">
        <f>HYPERLINK("https://www.sds-group.ru/product/lupa-ruchnaya-uvelichenie-8h-24mm-s-pintsetom-rexant-12-0411/", "Инфо")</f>
        <v>Инфо</v>
      </c>
      <c r="M1018" s="37">
        <v>2.5000000000000001E-2</v>
      </c>
      <c r="N1018" s="38">
        <v>1.08E-4</v>
      </c>
      <c r="O1018" s="141">
        <v>4601004069367</v>
      </c>
    </row>
    <row r="1019" spans="1:15" ht="11.45" customHeight="1" outlineLevel="2" x14ac:dyDescent="0.2">
      <c r="A1019" s="76" t="s">
        <v>10951</v>
      </c>
      <c r="B1019" s="136"/>
      <c r="C1019" s="77"/>
      <c r="D1019" s="137"/>
      <c r="E1019" s="4"/>
      <c r="F1019" s="4"/>
      <c r="G1019" s="4"/>
      <c r="H1019" s="4"/>
      <c r="I1019" s="4"/>
      <c r="J1019" s="4"/>
      <c r="K1019" s="4"/>
      <c r="L1019" s="138"/>
      <c r="M1019" s="4"/>
      <c r="N1019" s="4"/>
      <c r="O1019" s="4"/>
    </row>
    <row r="1020" spans="1:15" s="1" customFormat="1" ht="11.45" customHeight="1" outlineLevel="3" x14ac:dyDescent="0.2">
      <c r="A1020" s="32" t="s">
        <v>10954</v>
      </c>
      <c r="B1020" s="74" t="s">
        <v>10955</v>
      </c>
      <c r="C1020" s="50"/>
      <c r="D1020" s="139">
        <f t="shared" si="15"/>
        <v>0</v>
      </c>
      <c r="E1020" s="140">
        <v>205.82</v>
      </c>
      <c r="F1020" s="140">
        <v>168.7</v>
      </c>
      <c r="G1020" s="34" t="s">
        <v>100</v>
      </c>
      <c r="H1020" s="34" t="s">
        <v>39</v>
      </c>
      <c r="I1020" s="35">
        <v>1</v>
      </c>
      <c r="J1020" s="35">
        <v>1</v>
      </c>
      <c r="K1020" s="35">
        <v>54</v>
      </c>
      <c r="L1020" s="60" t="str">
        <f>HYPERLINK("https://www.sds-group.ru/product/binokulyar-montazhnyy-uvelichenie-1-8x-2-3x-diagonal-91mm-rexant-12-0410/", "Инфо")</f>
        <v>Инфо</v>
      </c>
      <c r="M1020" s="37">
        <v>0.19</v>
      </c>
      <c r="N1020" s="38">
        <v>2.366E-3</v>
      </c>
      <c r="O1020" s="141">
        <v>4601004069374</v>
      </c>
    </row>
    <row r="1021" spans="1:15" ht="11.45" customHeight="1" outlineLevel="2" x14ac:dyDescent="0.2">
      <c r="A1021" s="76" t="s">
        <v>10958</v>
      </c>
      <c r="B1021" s="136"/>
      <c r="C1021" s="77"/>
      <c r="D1021" s="137"/>
      <c r="E1021" s="4"/>
      <c r="F1021" s="4"/>
      <c r="G1021" s="4"/>
      <c r="H1021" s="4"/>
      <c r="I1021" s="4"/>
      <c r="J1021" s="4"/>
      <c r="K1021" s="4"/>
      <c r="L1021" s="138"/>
      <c r="M1021" s="4"/>
      <c r="N1021" s="4"/>
      <c r="O1021" s="4"/>
    </row>
    <row r="1022" spans="1:15" s="1" customFormat="1" ht="11.45" customHeight="1" outlineLevel="3" x14ac:dyDescent="0.2">
      <c r="A1022" s="32" t="s">
        <v>10963</v>
      </c>
      <c r="B1022" s="74" t="s">
        <v>10964</v>
      </c>
      <c r="C1022" s="50"/>
      <c r="D1022" s="139">
        <f t="shared" si="15"/>
        <v>0</v>
      </c>
      <c r="E1022" s="140">
        <v>491.59</v>
      </c>
      <c r="F1022" s="140">
        <v>402.94</v>
      </c>
      <c r="G1022" s="34" t="s">
        <v>100</v>
      </c>
      <c r="H1022" s="34" t="s">
        <v>39</v>
      </c>
      <c r="I1022" s="35">
        <v>1</v>
      </c>
      <c r="J1022" s="35">
        <v>1</v>
      </c>
      <c r="K1022" s="35">
        <v>50</v>
      </c>
      <c r="L1022" s="60" t="str">
        <f>HYPERLINK("https://www.sds-group.ru/product/nastennoe-kreplenie-dlya-lup-s-pantograficheskim-derzhatelem-rexant-31-0806/", "Инфо")</f>
        <v>Инфо</v>
      </c>
      <c r="M1022" s="37">
        <v>0.27300000000000002</v>
      </c>
      <c r="N1022" s="38">
        <v>4.17E-4</v>
      </c>
      <c r="O1022" s="141">
        <v>4601004148345</v>
      </c>
    </row>
    <row r="1023" spans="1:15" s="1" customFormat="1" ht="11.45" customHeight="1" outlineLevel="3" x14ac:dyDescent="0.2">
      <c r="A1023" s="32" t="s">
        <v>10965</v>
      </c>
      <c r="B1023" s="74" t="s">
        <v>10966</v>
      </c>
      <c r="C1023" s="50"/>
      <c r="D1023" s="139">
        <f t="shared" si="15"/>
        <v>0</v>
      </c>
      <c r="E1023" s="140">
        <v>2360.0500000000002</v>
      </c>
      <c r="F1023" s="140">
        <v>1934.47</v>
      </c>
      <c r="G1023" s="34" t="s">
        <v>100</v>
      </c>
      <c r="H1023" s="34" t="s">
        <v>39</v>
      </c>
      <c r="I1023" s="35">
        <v>1</v>
      </c>
      <c r="J1023" s="35">
        <v>1</v>
      </c>
      <c r="K1023" s="35">
        <v>4</v>
      </c>
      <c r="L1023" s="60" t="str">
        <f>HYPERLINK("https://www.sds-group.ru/product/stoyka-shtativ-napolnaya-mobilnaya-dlya-lup-s-podsvetkoy-chetyrehluchevaya-belaya-rexant-31-0830/", "Инфо")</f>
        <v>Инфо</v>
      </c>
      <c r="M1023" s="37">
        <v>6.282</v>
      </c>
      <c r="N1023" s="38">
        <v>1.6497999999999999E-2</v>
      </c>
      <c r="O1023" s="141">
        <v>4601004061552</v>
      </c>
    </row>
    <row r="1024" spans="1:15" ht="11.45" customHeight="1" outlineLevel="1" x14ac:dyDescent="0.2">
      <c r="A1024" s="78" t="s">
        <v>10969</v>
      </c>
      <c r="B1024" s="132"/>
      <c r="C1024" s="79"/>
      <c r="D1024" s="133"/>
      <c r="E1024" s="134"/>
      <c r="F1024" s="134"/>
      <c r="G1024" s="134"/>
      <c r="H1024" s="134"/>
      <c r="I1024" s="134"/>
      <c r="J1024" s="134"/>
      <c r="K1024" s="134"/>
      <c r="L1024" s="135"/>
      <c r="M1024" s="134"/>
      <c r="N1024" s="134"/>
      <c r="O1024" s="134"/>
    </row>
    <row r="1025" spans="1:15" ht="11.45" customHeight="1" outlineLevel="2" x14ac:dyDescent="0.2">
      <c r="A1025" s="76" t="s">
        <v>10983</v>
      </c>
      <c r="B1025" s="136"/>
      <c r="C1025" s="77"/>
      <c r="D1025" s="137"/>
      <c r="E1025" s="4"/>
      <c r="F1025" s="4"/>
      <c r="G1025" s="4"/>
      <c r="H1025" s="4"/>
      <c r="I1025" s="4"/>
      <c r="J1025" s="4"/>
      <c r="K1025" s="4"/>
      <c r="L1025" s="138"/>
      <c r="M1025" s="4"/>
      <c r="N1025" s="4"/>
      <c r="O1025" s="4"/>
    </row>
    <row r="1026" spans="1:15" s="1" customFormat="1" ht="11.45" customHeight="1" outlineLevel="3" x14ac:dyDescent="0.2">
      <c r="A1026" s="32" t="s">
        <v>11002</v>
      </c>
      <c r="B1026" s="74" t="s">
        <v>11003</v>
      </c>
      <c r="C1026" s="50"/>
      <c r="D1026" s="139">
        <f t="shared" si="15"/>
        <v>0</v>
      </c>
      <c r="E1026" s="140">
        <v>1217.2</v>
      </c>
      <c r="F1026" s="140">
        <v>997.7</v>
      </c>
      <c r="G1026" s="34" t="s">
        <v>100</v>
      </c>
      <c r="H1026" s="34" t="s">
        <v>39</v>
      </c>
      <c r="I1026" s="35">
        <v>1</v>
      </c>
      <c r="J1026" s="35">
        <v>1</v>
      </c>
      <c r="K1026" s="35">
        <v>48</v>
      </c>
      <c r="L1026" s="60" t="str">
        <f>HYPERLINK("https://www.sds-group.ru/product/neodimovyy-magnit-disk-40h15mm-stseplenie-58kg-rexant-72-3007/", "Инфо")</f>
        <v>Инфо</v>
      </c>
      <c r="M1026" s="37">
        <v>0.21099999999999999</v>
      </c>
      <c r="N1026" s="38">
        <v>3.0800000000000001E-4</v>
      </c>
      <c r="O1026" s="141">
        <v>4601004124332</v>
      </c>
    </row>
    <row r="1027" spans="1:15" s="1" customFormat="1" ht="11.45" customHeight="1" outlineLevel="3" x14ac:dyDescent="0.2">
      <c r="A1027" s="32" t="s">
        <v>11004</v>
      </c>
      <c r="B1027" s="74" t="s">
        <v>11005</v>
      </c>
      <c r="C1027" s="50"/>
      <c r="D1027" s="139">
        <f t="shared" si="15"/>
        <v>0</v>
      </c>
      <c r="E1027" s="140">
        <v>583.21</v>
      </c>
      <c r="F1027" s="140">
        <v>478.04</v>
      </c>
      <c r="G1027" s="34" t="s">
        <v>100</v>
      </c>
      <c r="H1027" s="34" t="s">
        <v>39</v>
      </c>
      <c r="I1027" s="35">
        <v>1</v>
      </c>
      <c r="J1027" s="35">
        <v>1</v>
      </c>
      <c r="K1027" s="35">
        <v>48</v>
      </c>
      <c r="L1027" s="60" t="str">
        <f>HYPERLINK("https://www.sds-group.ru/product/neodimovyy-magnit-disk-45h15mm-stseplenie-65kg-rexant-72-3010/", "Инфо")</f>
        <v>Инфо</v>
      </c>
      <c r="M1027" s="37">
        <v>0.248</v>
      </c>
      <c r="N1027" s="38">
        <v>3.1199999999999999E-4</v>
      </c>
      <c r="O1027" s="141">
        <v>4601004065581</v>
      </c>
    </row>
    <row r="1028" spans="1:15" s="1" customFormat="1" ht="11.45" customHeight="1" outlineLevel="3" x14ac:dyDescent="0.2">
      <c r="A1028" s="32" t="s">
        <v>11006</v>
      </c>
      <c r="B1028" s="74" t="s">
        <v>11007</v>
      </c>
      <c r="C1028" s="50"/>
      <c r="D1028" s="139">
        <f t="shared" si="15"/>
        <v>0</v>
      </c>
      <c r="E1028" s="140">
        <v>764.16</v>
      </c>
      <c r="F1028" s="140">
        <v>626.36</v>
      </c>
      <c r="G1028" s="34" t="s">
        <v>100</v>
      </c>
      <c r="H1028" s="34" t="s">
        <v>39</v>
      </c>
      <c r="I1028" s="35">
        <v>1</v>
      </c>
      <c r="J1028" s="35">
        <v>1</v>
      </c>
      <c r="K1028" s="35">
        <v>48</v>
      </c>
      <c r="L1028" s="60" t="str">
        <f>HYPERLINK("https://www.sds-group.ru/product/neodimovyy-magnit-disk-45h30mm-stseplenie-100kg-rexant-72-3013/", "Инфо")</f>
        <v>Инфо</v>
      </c>
      <c r="M1028" s="37">
        <v>0.41699999999999998</v>
      </c>
      <c r="N1028" s="38">
        <v>5.5000000000000003E-4</v>
      </c>
      <c r="O1028" s="141">
        <v>4601004077355</v>
      </c>
    </row>
    <row r="1029" spans="1:15" s="1" customFormat="1" ht="11.45" customHeight="1" outlineLevel="3" x14ac:dyDescent="0.2">
      <c r="A1029" s="32" t="s">
        <v>11008</v>
      </c>
      <c r="B1029" s="74" t="s">
        <v>11009</v>
      </c>
      <c r="C1029" s="50"/>
      <c r="D1029" s="139">
        <f t="shared" si="15"/>
        <v>0</v>
      </c>
      <c r="E1029" s="140">
        <v>684.01</v>
      </c>
      <c r="F1029" s="140">
        <v>560.66</v>
      </c>
      <c r="G1029" s="34" t="s">
        <v>100</v>
      </c>
      <c r="H1029" s="34" t="s">
        <v>39</v>
      </c>
      <c r="I1029" s="35">
        <v>1</v>
      </c>
      <c r="J1029" s="35">
        <v>1</v>
      </c>
      <c r="K1029" s="35">
        <v>48</v>
      </c>
      <c r="L1029" s="60" t="str">
        <f>HYPERLINK("https://www.sds-group.ru/product/neodimovyy-magnit-disk-50h20mm-stseplenie-89kg-rexant-72-3021/", "Инфо")</f>
        <v>Инфо</v>
      </c>
      <c r="M1029" s="37">
        <v>0.36199999999999999</v>
      </c>
      <c r="N1029" s="38">
        <v>2.8899999999999998E-4</v>
      </c>
      <c r="O1029" s="141">
        <v>4601004077324</v>
      </c>
    </row>
    <row r="1030" spans="1:15" s="1" customFormat="1" ht="11.45" customHeight="1" outlineLevel="3" x14ac:dyDescent="0.2">
      <c r="A1030" s="32" t="s">
        <v>11012</v>
      </c>
      <c r="B1030" s="74" t="s">
        <v>11013</v>
      </c>
      <c r="C1030" s="50"/>
      <c r="D1030" s="139">
        <f t="shared" si="15"/>
        <v>0</v>
      </c>
      <c r="E1030" s="140">
        <v>1432.81</v>
      </c>
      <c r="F1030" s="140">
        <v>1174.43</v>
      </c>
      <c r="G1030" s="34" t="s">
        <v>100</v>
      </c>
      <c r="H1030" s="34" t="s">
        <v>39</v>
      </c>
      <c r="I1030" s="35">
        <v>1</v>
      </c>
      <c r="J1030" s="35">
        <v>1</v>
      </c>
      <c r="K1030" s="35">
        <v>56</v>
      </c>
      <c r="L1030" s="60" t="str">
        <f>HYPERLINK("https://www.sds-group.ru/product/neodimovyy-magnit-disk-60h30mm-stseplenie-160kg-rexant-72-3043/", "Инфо")</f>
        <v>Инфо</v>
      </c>
      <c r="M1030" s="37">
        <v>0.69599999999999995</v>
      </c>
      <c r="N1030" s="38">
        <v>2.9E-4</v>
      </c>
      <c r="O1030" s="141">
        <v>4601004077348</v>
      </c>
    </row>
    <row r="1031" spans="1:15" s="1" customFormat="1" ht="11.45" customHeight="1" outlineLevel="3" x14ac:dyDescent="0.2">
      <c r="A1031" s="32" t="s">
        <v>11018</v>
      </c>
      <c r="B1031" s="74" t="s">
        <v>11019</v>
      </c>
      <c r="C1031" s="50"/>
      <c r="D1031" s="139">
        <f t="shared" si="15"/>
        <v>0</v>
      </c>
      <c r="E1031" s="140">
        <v>354.26</v>
      </c>
      <c r="F1031" s="140">
        <v>290.38</v>
      </c>
      <c r="G1031" s="34" t="s">
        <v>100</v>
      </c>
      <c r="H1031" s="34" t="s">
        <v>1001</v>
      </c>
      <c r="I1031" s="35">
        <v>1</v>
      </c>
      <c r="J1031" s="35">
        <v>1</v>
      </c>
      <c r="K1031" s="35">
        <v>144</v>
      </c>
      <c r="L1031" s="60" t="str">
        <f>HYPERLINK("https://www.sds-group.ru/product/neodimovyy-magnit-kub-8h8h8mm-stseplenie-3-7kg-4-sht-up-rexant-72-3208/", "Инфо")</f>
        <v>Инфо</v>
      </c>
      <c r="M1031" s="37">
        <v>3.5000000000000003E-2</v>
      </c>
      <c r="N1031" s="38">
        <v>2.61E-4</v>
      </c>
      <c r="O1031" s="141">
        <v>4601004091207</v>
      </c>
    </row>
    <row r="1032" spans="1:15" ht="11.45" customHeight="1" outlineLevel="1" x14ac:dyDescent="0.2">
      <c r="A1032" s="78" t="s">
        <v>11042</v>
      </c>
      <c r="B1032" s="132"/>
      <c r="C1032" s="79"/>
      <c r="D1032" s="133"/>
      <c r="E1032" s="134"/>
      <c r="F1032" s="134"/>
      <c r="G1032" s="134"/>
      <c r="H1032" s="134"/>
      <c r="I1032" s="134"/>
      <c r="J1032" s="134"/>
      <c r="K1032" s="134"/>
      <c r="L1032" s="135"/>
      <c r="M1032" s="134"/>
      <c r="N1032" s="134"/>
      <c r="O1032" s="134"/>
    </row>
    <row r="1033" spans="1:15" ht="11.45" customHeight="1" outlineLevel="2" x14ac:dyDescent="0.2">
      <c r="A1033" s="76" t="s">
        <v>11055</v>
      </c>
      <c r="B1033" s="136"/>
      <c r="C1033" s="77"/>
      <c r="D1033" s="137"/>
      <c r="E1033" s="4"/>
      <c r="F1033" s="4"/>
      <c r="G1033" s="4"/>
      <c r="H1033" s="4"/>
      <c r="I1033" s="4"/>
      <c r="J1033" s="4"/>
      <c r="K1033" s="4"/>
      <c r="L1033" s="138"/>
      <c r="M1033" s="4"/>
      <c r="N1033" s="4"/>
      <c r="O1033" s="4"/>
    </row>
    <row r="1034" spans="1:15" ht="11.45" customHeight="1" outlineLevel="3" x14ac:dyDescent="0.2">
      <c r="A1034" s="82" t="s">
        <v>11056</v>
      </c>
      <c r="B1034" s="142"/>
      <c r="C1034" s="83"/>
      <c r="D1034" s="143"/>
      <c r="E1034" s="5"/>
      <c r="F1034" s="5"/>
      <c r="G1034" s="5"/>
      <c r="H1034" s="5"/>
      <c r="I1034" s="5"/>
      <c r="J1034" s="5"/>
      <c r="K1034" s="5"/>
      <c r="L1034" s="144"/>
      <c r="M1034" s="5"/>
      <c r="N1034" s="5"/>
      <c r="O1034" s="5"/>
    </row>
    <row r="1035" spans="1:15" s="1" customFormat="1" ht="11.45" customHeight="1" outlineLevel="4" x14ac:dyDescent="0.2">
      <c r="A1035" s="32" t="s">
        <v>11067</v>
      </c>
      <c r="B1035" s="74" t="s">
        <v>11068</v>
      </c>
      <c r="C1035" s="50"/>
      <c r="D1035" s="139">
        <f t="shared" ref="D1035:D1096" si="16">C1035*E1035</f>
        <v>0</v>
      </c>
      <c r="E1035" s="140">
        <v>162.88</v>
      </c>
      <c r="F1035" s="140">
        <v>133.51</v>
      </c>
      <c r="G1035" s="34" t="s">
        <v>100</v>
      </c>
      <c r="H1035" s="34" t="s">
        <v>39</v>
      </c>
      <c r="I1035" s="35">
        <v>1</v>
      </c>
      <c r="J1035" s="35">
        <v>1</v>
      </c>
      <c r="K1035" s="35">
        <v>28</v>
      </c>
      <c r="L1035" s="60" t="str">
        <f>HYPERLINK("https://www.sds-group.ru/product/valik-poliakril-zelenyy-vors-18-mm-shirina-rolika-180-mm-42-mm-byugel-8-mm-seriya-master-rex-89-0001/", "Инфо")</f>
        <v>Инфо</v>
      </c>
      <c r="M1035" s="37">
        <v>0.28000000000000003</v>
      </c>
      <c r="N1035" s="38">
        <v>1.4909999999999999E-3</v>
      </c>
      <c r="O1035" s="141">
        <v>4601004169401</v>
      </c>
    </row>
    <row r="1036" spans="1:15" ht="11.45" customHeight="1" outlineLevel="3" x14ac:dyDescent="0.2">
      <c r="A1036" s="82" t="s">
        <v>11090</v>
      </c>
      <c r="B1036" s="142"/>
      <c r="C1036" s="83"/>
      <c r="D1036" s="143"/>
      <c r="E1036" s="5"/>
      <c r="F1036" s="5"/>
      <c r="G1036" s="5"/>
      <c r="H1036" s="5"/>
      <c r="I1036" s="5"/>
      <c r="J1036" s="5"/>
      <c r="K1036" s="5"/>
      <c r="L1036" s="144"/>
      <c r="M1036" s="5"/>
      <c r="N1036" s="5"/>
      <c r="O1036" s="5"/>
    </row>
    <row r="1037" spans="1:15" s="1" customFormat="1" ht="11.45" customHeight="1" outlineLevel="4" x14ac:dyDescent="0.2">
      <c r="A1037" s="32" t="s">
        <v>11091</v>
      </c>
      <c r="B1037" s="74" t="s">
        <v>11092</v>
      </c>
      <c r="C1037" s="50"/>
      <c r="D1037" s="139">
        <f t="shared" si="16"/>
        <v>0</v>
      </c>
      <c r="E1037" s="140">
        <v>47.8</v>
      </c>
      <c r="F1037" s="140">
        <v>39.18</v>
      </c>
      <c r="G1037" s="34" t="s">
        <v>100</v>
      </c>
      <c r="H1037" s="34" t="s">
        <v>39</v>
      </c>
      <c r="I1037" s="35">
        <v>1</v>
      </c>
      <c r="J1037" s="35">
        <v>1</v>
      </c>
      <c r="K1037" s="35">
        <v>40</v>
      </c>
      <c r="L1037" s="60" t="str">
        <f>HYPERLINK("https://www.sds-group.ru/product/ruchka-dlya-valika-shirina-pod-rolik-180-mm-byugel-8-mm-seriya-master-rexant-89-0131/", "Инфо")</f>
        <v>Инфо</v>
      </c>
      <c r="M1037" s="37">
        <v>0.17899999999999999</v>
      </c>
      <c r="N1037" s="38">
        <v>2.4719999999999998E-3</v>
      </c>
      <c r="O1037" s="141">
        <v>4601004169845</v>
      </c>
    </row>
    <row r="1038" spans="1:15" s="1" customFormat="1" ht="11.45" customHeight="1" outlineLevel="4" x14ac:dyDescent="0.2">
      <c r="A1038" s="32" t="s">
        <v>11093</v>
      </c>
      <c r="B1038" s="74" t="s">
        <v>11094</v>
      </c>
      <c r="C1038" s="50"/>
      <c r="D1038" s="139">
        <f t="shared" si="16"/>
        <v>0</v>
      </c>
      <c r="E1038" s="140">
        <v>38.49</v>
      </c>
      <c r="F1038" s="140">
        <v>31.55</v>
      </c>
      <c r="G1038" s="34" t="s">
        <v>100</v>
      </c>
      <c r="H1038" s="34" t="s">
        <v>39</v>
      </c>
      <c r="I1038" s="35">
        <v>1</v>
      </c>
      <c r="J1038" s="35">
        <v>1</v>
      </c>
      <c r="K1038" s="35">
        <v>40</v>
      </c>
      <c r="L1038" s="60" t="str">
        <f>HYPERLINK("https://www.sds-group.ru/product/ruchka-dlya-valika-shirina-pod-rolik-240-mm-byugel-6-mm-rexant-89-0134/", "Инфо")</f>
        <v>Инфо</v>
      </c>
      <c r="M1038" s="37">
        <v>0.13500000000000001</v>
      </c>
      <c r="N1038" s="38">
        <v>6.1700000000000004E-4</v>
      </c>
      <c r="O1038" s="141">
        <v>4601004169876</v>
      </c>
    </row>
    <row r="1039" spans="1:15" ht="11.45" customHeight="1" outlineLevel="2" x14ac:dyDescent="0.2">
      <c r="A1039" s="82" t="s">
        <v>11095</v>
      </c>
      <c r="B1039" s="142"/>
      <c r="C1039" s="83"/>
      <c r="D1039" s="143"/>
      <c r="E1039" s="5"/>
      <c r="F1039" s="5"/>
      <c r="G1039" s="5"/>
      <c r="H1039" s="5"/>
      <c r="I1039" s="5"/>
      <c r="J1039" s="5"/>
      <c r="K1039" s="5"/>
      <c r="L1039" s="144"/>
      <c r="M1039" s="5"/>
      <c r="N1039" s="5"/>
      <c r="O1039" s="5"/>
    </row>
    <row r="1040" spans="1:15" s="1" customFormat="1" ht="11.45" customHeight="1" outlineLevel="3" x14ac:dyDescent="0.2">
      <c r="A1040" s="32" t="s">
        <v>11115</v>
      </c>
      <c r="B1040" s="74" t="s">
        <v>11116</v>
      </c>
      <c r="C1040" s="50"/>
      <c r="D1040" s="139">
        <f t="shared" si="16"/>
        <v>0</v>
      </c>
      <c r="E1040" s="140">
        <v>40.69</v>
      </c>
      <c r="F1040" s="140">
        <v>33.35</v>
      </c>
      <c r="G1040" s="34" t="s">
        <v>100</v>
      </c>
      <c r="H1040" s="34" t="s">
        <v>39</v>
      </c>
      <c r="I1040" s="35">
        <v>1</v>
      </c>
      <c r="J1040" s="35">
        <v>1</v>
      </c>
      <c r="K1040" s="35">
        <v>50</v>
      </c>
      <c r="L1040" s="60" t="str">
        <f>HYPERLINK("https://www.sds-group.ru/product/shpatel-fasadniy-rexant-150-mm-zub-6h6-nerjaveyuschaya-stal-plastmassovaya-ruchka-20917/", "Инфо")</f>
        <v>Инфо</v>
      </c>
      <c r="M1040" s="37">
        <v>0.108</v>
      </c>
      <c r="N1040" s="38">
        <v>3.6200000000000002E-4</v>
      </c>
      <c r="O1040" s="141">
        <v>4601004172845</v>
      </c>
    </row>
    <row r="1041" spans="1:15" ht="11.45" customHeight="1" outlineLevel="2" x14ac:dyDescent="0.2">
      <c r="A1041" s="82" t="s">
        <v>11155</v>
      </c>
      <c r="B1041" s="142"/>
      <c r="C1041" s="83"/>
      <c r="D1041" s="143"/>
      <c r="E1041" s="5"/>
      <c r="F1041" s="5"/>
      <c r="G1041" s="5"/>
      <c r="H1041" s="5"/>
      <c r="I1041" s="5"/>
      <c r="J1041" s="5"/>
      <c r="K1041" s="5"/>
      <c r="L1041" s="144"/>
      <c r="M1041" s="5"/>
      <c r="N1041" s="5"/>
      <c r="O1041" s="5"/>
    </row>
    <row r="1042" spans="1:15" s="1" customFormat="1" ht="11.45" customHeight="1" outlineLevel="3" x14ac:dyDescent="0.2">
      <c r="A1042" s="32" t="s">
        <v>11160</v>
      </c>
      <c r="B1042" s="74" t="s">
        <v>11161</v>
      </c>
      <c r="C1042" s="50"/>
      <c r="D1042" s="139">
        <f t="shared" si="16"/>
        <v>0</v>
      </c>
      <c r="E1042" s="140">
        <v>113.42</v>
      </c>
      <c r="F1042" s="140">
        <v>92.97</v>
      </c>
      <c r="G1042" s="34" t="s">
        <v>100</v>
      </c>
      <c r="H1042" s="34" t="s">
        <v>39</v>
      </c>
      <c r="I1042" s="35">
        <v>1</v>
      </c>
      <c r="J1042" s="35">
        <v>1</v>
      </c>
      <c r="K1042" s="35">
        <v>180</v>
      </c>
      <c r="L1042" s="60" t="str">
        <f>HYPERLINK("https://www.sds-group.ru/product/kist-ploskaya-vodnye-kraski-100h12-mm-rexant-89-0325/", "Инфо")</f>
        <v>Инфо</v>
      </c>
      <c r="M1042" s="37">
        <v>7.6999999999999999E-2</v>
      </c>
      <c r="N1042" s="38">
        <v>3.7300000000000001E-4</v>
      </c>
      <c r="O1042" s="141">
        <v>4601004170858</v>
      </c>
    </row>
    <row r="1043" spans="1:15" s="1" customFormat="1" ht="11.45" customHeight="1" outlineLevel="3" x14ac:dyDescent="0.2">
      <c r="A1043" s="32" t="s">
        <v>11162</v>
      </c>
      <c r="B1043" s="74" t="s">
        <v>11163</v>
      </c>
      <c r="C1043" s="50"/>
      <c r="D1043" s="139">
        <f t="shared" si="16"/>
        <v>0</v>
      </c>
      <c r="E1043" s="140">
        <v>33.090000000000003</v>
      </c>
      <c r="F1043" s="140">
        <v>27.12</v>
      </c>
      <c r="G1043" s="34" t="s">
        <v>100</v>
      </c>
      <c r="H1043" s="34" t="s">
        <v>39</v>
      </c>
      <c r="I1043" s="35">
        <v>1</v>
      </c>
      <c r="J1043" s="35">
        <v>1</v>
      </c>
      <c r="K1043" s="35">
        <v>130</v>
      </c>
      <c r="L1043" s="60" t="str">
        <f>HYPERLINK("https://www.sds-group.ru/product/kist-ploskaya-vodnye-kraski-25h10-mm-rexant-89-0321/", "Инфо")</f>
        <v>Инфо</v>
      </c>
      <c r="M1043" s="37">
        <v>2.5000000000000001E-2</v>
      </c>
      <c r="N1043" s="38">
        <v>6.7000000000000002E-5</v>
      </c>
      <c r="O1043" s="141">
        <v>4601004170810</v>
      </c>
    </row>
    <row r="1044" spans="1:15" s="1" customFormat="1" ht="11.45" customHeight="1" outlineLevel="3" x14ac:dyDescent="0.2">
      <c r="A1044" s="32" t="s">
        <v>11164</v>
      </c>
      <c r="B1044" s="74" t="s">
        <v>11165</v>
      </c>
      <c r="C1044" s="50"/>
      <c r="D1044" s="139">
        <f t="shared" si="16"/>
        <v>0</v>
      </c>
      <c r="E1044" s="140">
        <v>44.9</v>
      </c>
      <c r="F1044" s="140">
        <v>36.799999999999997</v>
      </c>
      <c r="G1044" s="34" t="s">
        <v>100</v>
      </c>
      <c r="H1044" s="34" t="s">
        <v>39</v>
      </c>
      <c r="I1044" s="35">
        <v>1</v>
      </c>
      <c r="J1044" s="35">
        <v>1</v>
      </c>
      <c r="K1044" s="35">
        <v>100</v>
      </c>
      <c r="L1044" s="60" t="str">
        <f>HYPERLINK("https://www.sds-group.ru/product/kist-ploskaya-vodnye-kraski-35h10-mm-rexant-89-0322/", "Инфо")</f>
        <v>Инфо</v>
      </c>
      <c r="M1044" s="37">
        <v>2.9000000000000001E-2</v>
      </c>
      <c r="N1044" s="38">
        <v>9.2E-5</v>
      </c>
      <c r="O1044" s="141">
        <v>4601004170827</v>
      </c>
    </row>
    <row r="1045" spans="1:15" s="1" customFormat="1" ht="11.45" customHeight="1" outlineLevel="3" x14ac:dyDescent="0.2">
      <c r="A1045" s="32" t="s">
        <v>11166</v>
      </c>
      <c r="B1045" s="74" t="s">
        <v>11167</v>
      </c>
      <c r="C1045" s="50"/>
      <c r="D1045" s="139">
        <f t="shared" si="16"/>
        <v>0</v>
      </c>
      <c r="E1045" s="140">
        <v>76.900000000000006</v>
      </c>
      <c r="F1045" s="140">
        <v>63.03</v>
      </c>
      <c r="G1045" s="34" t="s">
        <v>100</v>
      </c>
      <c r="H1045" s="34" t="s">
        <v>39</v>
      </c>
      <c r="I1045" s="35">
        <v>1</v>
      </c>
      <c r="J1045" s="35">
        <v>1</v>
      </c>
      <c r="K1045" s="35">
        <v>100</v>
      </c>
      <c r="L1045" s="60" t="str">
        <f>HYPERLINK("https://www.sds-group.ru/product/kist-ploskaya-vodnye-kraski-70h12-mm-rexant-89-0324/", "Инфо")</f>
        <v>Инфо</v>
      </c>
      <c r="M1045" s="37">
        <v>6.0999999999999999E-2</v>
      </c>
      <c r="N1045" s="38">
        <v>2.0100000000000001E-4</v>
      </c>
      <c r="O1045" s="141">
        <v>4601004170841</v>
      </c>
    </row>
    <row r="1046" spans="1:15" s="1" customFormat="1" ht="11.45" customHeight="1" outlineLevel="3" x14ac:dyDescent="0.2">
      <c r="A1046" s="32" t="s">
        <v>11168</v>
      </c>
      <c r="B1046" s="74" t="s">
        <v>11169</v>
      </c>
      <c r="C1046" s="50"/>
      <c r="D1046" s="139">
        <f t="shared" si="16"/>
        <v>0</v>
      </c>
      <c r="E1046" s="140">
        <v>108.2</v>
      </c>
      <c r="F1046" s="140">
        <v>88.69</v>
      </c>
      <c r="G1046" s="34" t="s">
        <v>100</v>
      </c>
      <c r="H1046" s="34" t="s">
        <v>39</v>
      </c>
      <c r="I1046" s="35">
        <v>1</v>
      </c>
      <c r="J1046" s="35">
        <v>1</v>
      </c>
      <c r="K1046" s="35">
        <v>180</v>
      </c>
      <c r="L1046" s="60" t="str">
        <f>HYPERLINK("https://www.sds-group.ru/product/kist-ploskaya-laki-100h12-mm-rexant-89-0305/", "Инфо")</f>
        <v>Инфо</v>
      </c>
      <c r="M1046" s="37">
        <v>8.6999999999999994E-2</v>
      </c>
      <c r="N1046" s="38">
        <v>4.86E-4</v>
      </c>
      <c r="O1046" s="141">
        <v>4601004170759</v>
      </c>
    </row>
    <row r="1047" spans="1:15" s="1" customFormat="1" ht="11.45" customHeight="1" outlineLevel="3" x14ac:dyDescent="0.2">
      <c r="A1047" s="32" t="s">
        <v>11170</v>
      </c>
      <c r="B1047" s="74" t="s">
        <v>11171</v>
      </c>
      <c r="C1047" s="50"/>
      <c r="D1047" s="139">
        <f t="shared" si="16"/>
        <v>0</v>
      </c>
      <c r="E1047" s="140">
        <v>51.42</v>
      </c>
      <c r="F1047" s="140">
        <v>42.15</v>
      </c>
      <c r="G1047" s="34" t="s">
        <v>100</v>
      </c>
      <c r="H1047" s="34" t="s">
        <v>39</v>
      </c>
      <c r="I1047" s="35">
        <v>1</v>
      </c>
      <c r="J1047" s="35">
        <v>1</v>
      </c>
      <c r="K1047" s="35">
        <v>140</v>
      </c>
      <c r="L1047" s="60" t="str">
        <f>HYPERLINK("https://www.sds-group.ru/product/kist-ploskaya-laki-50h12-mm-rexant-89-0303/", "Инфо")</f>
        <v>Инфо</v>
      </c>
      <c r="M1047" s="37">
        <v>4.7E-2</v>
      </c>
      <c r="N1047" s="38">
        <v>1.3300000000000001E-4</v>
      </c>
      <c r="O1047" s="141">
        <v>4601004170735</v>
      </c>
    </row>
    <row r="1048" spans="1:15" s="1" customFormat="1" ht="11.45" customHeight="1" outlineLevel="3" x14ac:dyDescent="0.2">
      <c r="A1048" s="32" t="s">
        <v>11172</v>
      </c>
      <c r="B1048" s="74" t="s">
        <v>11173</v>
      </c>
      <c r="C1048" s="50"/>
      <c r="D1048" s="139">
        <f t="shared" si="16"/>
        <v>0</v>
      </c>
      <c r="E1048" s="140">
        <v>196.79</v>
      </c>
      <c r="F1048" s="140">
        <v>161.30000000000001</v>
      </c>
      <c r="G1048" s="34" t="s">
        <v>100</v>
      </c>
      <c r="H1048" s="34" t="s">
        <v>39</v>
      </c>
      <c r="I1048" s="35">
        <v>1</v>
      </c>
      <c r="J1048" s="35">
        <v>1</v>
      </c>
      <c r="K1048" s="35">
        <v>70</v>
      </c>
      <c r="L1048" s="60" t="str">
        <f>HYPERLINK("https://www.sds-group.ru/product/kist-ploskaya-raboty-po-derevu-120h25-mm-rexant-89-0336/", "Инфо")</f>
        <v>Инфо</v>
      </c>
      <c r="M1048" s="37">
        <v>0.125</v>
      </c>
      <c r="N1048" s="38">
        <v>8.5800000000000004E-4</v>
      </c>
      <c r="O1048" s="141">
        <v>4601004170919</v>
      </c>
    </row>
    <row r="1049" spans="1:15" s="1" customFormat="1" ht="11.45" customHeight="1" outlineLevel="3" x14ac:dyDescent="0.2">
      <c r="A1049" s="32" t="s">
        <v>11174</v>
      </c>
      <c r="B1049" s="74" t="s">
        <v>11175</v>
      </c>
      <c r="C1049" s="50"/>
      <c r="D1049" s="139">
        <f t="shared" si="16"/>
        <v>0</v>
      </c>
      <c r="E1049" s="140">
        <v>224.89</v>
      </c>
      <c r="F1049" s="140">
        <v>184.34</v>
      </c>
      <c r="G1049" s="34" t="s">
        <v>100</v>
      </c>
      <c r="H1049" s="34" t="s">
        <v>39</v>
      </c>
      <c r="I1049" s="35">
        <v>1</v>
      </c>
      <c r="J1049" s="35">
        <v>1</v>
      </c>
      <c r="K1049" s="35">
        <v>45</v>
      </c>
      <c r="L1049" s="60" t="str">
        <f>HYPERLINK("https://www.sds-group.ru/product/kist-ploskaya-raboty-po-derevu-120h35-mm-rexant-89-0337/", "Инфо")</f>
        <v>Инфо</v>
      </c>
      <c r="M1049" s="37">
        <v>0.159</v>
      </c>
      <c r="N1049" s="38">
        <v>1.2999999999999999E-3</v>
      </c>
      <c r="O1049" s="141">
        <v>4601004170926</v>
      </c>
    </row>
    <row r="1050" spans="1:15" s="1" customFormat="1" ht="11.45" customHeight="1" outlineLevel="3" x14ac:dyDescent="0.2">
      <c r="A1050" s="32" t="s">
        <v>11176</v>
      </c>
      <c r="B1050" s="74" t="s">
        <v>11177</v>
      </c>
      <c r="C1050" s="50"/>
      <c r="D1050" s="139">
        <f t="shared" si="16"/>
        <v>0</v>
      </c>
      <c r="E1050" s="140">
        <v>40.24</v>
      </c>
      <c r="F1050" s="140">
        <v>32.979999999999997</v>
      </c>
      <c r="G1050" s="34" t="s">
        <v>100</v>
      </c>
      <c r="H1050" s="34" t="s">
        <v>39</v>
      </c>
      <c r="I1050" s="35">
        <v>1</v>
      </c>
      <c r="J1050" s="35">
        <v>1</v>
      </c>
      <c r="K1050" s="35">
        <v>100</v>
      </c>
      <c r="L1050" s="60" t="str">
        <f>HYPERLINK("https://www.sds-group.ru/product/kist-ploskaya-raboty-po-derevu-35h10-mm-rexant-89-0332/", "Инфо")</f>
        <v>Инфо</v>
      </c>
      <c r="M1050" s="37">
        <v>2.8000000000000001E-2</v>
      </c>
      <c r="N1050" s="38">
        <v>9.2E-5</v>
      </c>
      <c r="O1050" s="141">
        <v>4601004170872</v>
      </c>
    </row>
    <row r="1051" spans="1:15" s="1" customFormat="1" ht="11.45" customHeight="1" outlineLevel="3" x14ac:dyDescent="0.2">
      <c r="A1051" s="32" t="s">
        <v>11178</v>
      </c>
      <c r="B1051" s="74" t="s">
        <v>11179</v>
      </c>
      <c r="C1051" s="50"/>
      <c r="D1051" s="139">
        <f t="shared" si="16"/>
        <v>0</v>
      </c>
      <c r="E1051" s="140">
        <v>69.56</v>
      </c>
      <c r="F1051" s="140">
        <v>57.02</v>
      </c>
      <c r="G1051" s="34" t="s">
        <v>100</v>
      </c>
      <c r="H1051" s="34" t="s">
        <v>39</v>
      </c>
      <c r="I1051" s="35">
        <v>1</v>
      </c>
      <c r="J1051" s="35">
        <v>1</v>
      </c>
      <c r="K1051" s="35">
        <v>100</v>
      </c>
      <c r="L1051" s="60" t="str">
        <f>HYPERLINK("https://www.sds-group.ru/product/kist-ploskaya-raboty-po-derevu-70h12-mm-rexant-89-0334/", "Инфо")</f>
        <v>Инфо</v>
      </c>
      <c r="M1051" s="37">
        <v>5.5E-2</v>
      </c>
      <c r="N1051" s="38">
        <v>2.5399999999999999E-4</v>
      </c>
      <c r="O1051" s="141">
        <v>4601004170896</v>
      </c>
    </row>
    <row r="1052" spans="1:15" s="1" customFormat="1" ht="11.45" customHeight="1" outlineLevel="3" x14ac:dyDescent="0.2">
      <c r="A1052" s="32" t="s">
        <v>11180</v>
      </c>
      <c r="B1052" s="74" t="s">
        <v>11181</v>
      </c>
      <c r="C1052" s="50"/>
      <c r="D1052" s="139">
        <f t="shared" si="16"/>
        <v>0</v>
      </c>
      <c r="E1052" s="140">
        <v>31.13</v>
      </c>
      <c r="F1052" s="140">
        <v>25.52</v>
      </c>
      <c r="G1052" s="34" t="s">
        <v>100</v>
      </c>
      <c r="H1052" s="34" t="s">
        <v>39</v>
      </c>
      <c r="I1052" s="35">
        <v>1</v>
      </c>
      <c r="J1052" s="35">
        <v>1</v>
      </c>
      <c r="K1052" s="35">
        <v>140</v>
      </c>
      <c r="L1052" s="60" t="str">
        <f>HYPERLINK("https://www.sds-group.ru/product/kist-ploskaya-universalnaya-35h8-mm-rexant-89-0362/", "Инфо")</f>
        <v>Инфо</v>
      </c>
      <c r="M1052" s="37">
        <v>2.5000000000000001E-2</v>
      </c>
      <c r="N1052" s="38">
        <v>6.8999999999999997E-5</v>
      </c>
      <c r="O1052" s="141">
        <v>4601004170940</v>
      </c>
    </row>
    <row r="1053" spans="1:15" s="1" customFormat="1" ht="11.45" customHeight="1" outlineLevel="3" x14ac:dyDescent="0.2">
      <c r="A1053" s="32" t="s">
        <v>11182</v>
      </c>
      <c r="B1053" s="74" t="s">
        <v>11183</v>
      </c>
      <c r="C1053" s="50"/>
      <c r="D1053" s="139">
        <f t="shared" si="16"/>
        <v>0</v>
      </c>
      <c r="E1053" s="140">
        <v>118.49</v>
      </c>
      <c r="F1053" s="140">
        <v>97.12</v>
      </c>
      <c r="G1053" s="34" t="s">
        <v>100</v>
      </c>
      <c r="H1053" s="34" t="s">
        <v>39</v>
      </c>
      <c r="I1053" s="35">
        <v>1</v>
      </c>
      <c r="J1053" s="35">
        <v>1</v>
      </c>
      <c r="K1053" s="35">
        <v>180</v>
      </c>
      <c r="L1053" s="60" t="str">
        <f>HYPERLINK("https://www.sds-group.ru/product/kist-ploskaya-emali-100h12-mm-rexant-89-0315/", "Инфо")</f>
        <v>Инфо</v>
      </c>
      <c r="M1053" s="37">
        <v>7.4999999999999997E-2</v>
      </c>
      <c r="N1053" s="38">
        <v>4.06E-4</v>
      </c>
      <c r="O1053" s="141">
        <v>4601004170803</v>
      </c>
    </row>
    <row r="1054" spans="1:15" ht="11.45" customHeight="1" outlineLevel="1" x14ac:dyDescent="0.2">
      <c r="A1054" s="78" t="s">
        <v>11292</v>
      </c>
      <c r="B1054" s="132"/>
      <c r="C1054" s="79"/>
      <c r="D1054" s="133"/>
      <c r="E1054" s="134"/>
      <c r="F1054" s="134"/>
      <c r="G1054" s="134"/>
      <c r="H1054" s="134"/>
      <c r="I1054" s="134"/>
      <c r="J1054" s="134"/>
      <c r="K1054" s="134"/>
      <c r="L1054" s="135"/>
      <c r="M1054" s="134"/>
      <c r="N1054" s="134"/>
      <c r="O1054" s="134"/>
    </row>
    <row r="1055" spans="1:15" ht="11.45" customHeight="1" outlineLevel="2" x14ac:dyDescent="0.2">
      <c r="A1055" s="76" t="s">
        <v>11293</v>
      </c>
      <c r="B1055" s="136"/>
      <c r="C1055" s="77"/>
      <c r="D1055" s="137"/>
      <c r="E1055" s="4"/>
      <c r="F1055" s="4"/>
      <c r="G1055" s="4"/>
      <c r="H1055" s="4"/>
      <c r="I1055" s="4"/>
      <c r="J1055" s="4"/>
      <c r="K1055" s="4"/>
      <c r="L1055" s="138"/>
      <c r="M1055" s="4"/>
      <c r="N1055" s="4"/>
      <c r="O1055" s="4"/>
    </row>
    <row r="1056" spans="1:15" s="1" customFormat="1" ht="11.45" customHeight="1" outlineLevel="3" x14ac:dyDescent="0.2">
      <c r="A1056" s="32" t="s">
        <v>11294</v>
      </c>
      <c r="B1056" s="74" t="s">
        <v>11295</v>
      </c>
      <c r="C1056" s="50"/>
      <c r="D1056" s="139">
        <f t="shared" si="16"/>
        <v>0</v>
      </c>
      <c r="E1056" s="140">
        <v>200.4</v>
      </c>
      <c r="F1056" s="140">
        <v>164.26</v>
      </c>
      <c r="G1056" s="34" t="s">
        <v>100</v>
      </c>
      <c r="H1056" s="34" t="s">
        <v>39</v>
      </c>
      <c r="I1056" s="35">
        <v>1</v>
      </c>
      <c r="J1056" s="35">
        <v>1</v>
      </c>
      <c r="K1056" s="35">
        <v>16</v>
      </c>
      <c r="L1056" s="60" t="str">
        <f>HYPERLINK("https://www.sds-group.ru/product/yaschik-plastikoviy-dlya-instrumenta-proconnect-245h258h45-mm-12424/", "Инфо")</f>
        <v>Инфо</v>
      </c>
      <c r="M1056" s="37">
        <v>0.316</v>
      </c>
      <c r="N1056" s="38">
        <v>2.8189999999999999E-3</v>
      </c>
      <c r="O1056" s="141">
        <v>4601004064225</v>
      </c>
    </row>
    <row r="1057" spans="1:15" s="1" customFormat="1" ht="11.45" customHeight="1" outlineLevel="3" x14ac:dyDescent="0.2">
      <c r="A1057" s="32" t="s">
        <v>11296</v>
      </c>
      <c r="B1057" s="74" t="s">
        <v>11297</v>
      </c>
      <c r="C1057" s="50"/>
      <c r="D1057" s="139">
        <f t="shared" si="16"/>
        <v>0</v>
      </c>
      <c r="E1057" s="140">
        <v>443.2</v>
      </c>
      <c r="F1057" s="140">
        <v>363.28</v>
      </c>
      <c r="G1057" s="34" t="s">
        <v>100</v>
      </c>
      <c r="H1057" s="34" t="s">
        <v>39</v>
      </c>
      <c r="I1057" s="35">
        <v>1</v>
      </c>
      <c r="J1057" s="35">
        <v>1</v>
      </c>
      <c r="K1057" s="35">
        <v>7</v>
      </c>
      <c r="L1057" s="60" t="str">
        <f>HYPERLINK("https://www.sds-group.ru/product/yaschik-universalnyy-plastikovyy-dlya-instrumenta-proconnect-325h280h60-mm-12-5014-4/", "Инфо")</f>
        <v>Инфо</v>
      </c>
      <c r="M1057" s="37">
        <v>0.57799999999999996</v>
      </c>
      <c r="N1057" s="38">
        <v>5.8019999999999999E-3</v>
      </c>
      <c r="O1057" s="141">
        <v>4601004072879</v>
      </c>
    </row>
    <row r="1058" spans="1:15" ht="11.45" customHeight="1" outlineLevel="2" x14ac:dyDescent="0.2">
      <c r="A1058" s="76" t="s">
        <v>11298</v>
      </c>
      <c r="B1058" s="136"/>
      <c r="C1058" s="77"/>
      <c r="D1058" s="137"/>
      <c r="E1058" s="4"/>
      <c r="F1058" s="4"/>
      <c r="G1058" s="4"/>
      <c r="H1058" s="4"/>
      <c r="I1058" s="4"/>
      <c r="J1058" s="4"/>
      <c r="K1058" s="4"/>
      <c r="L1058" s="138"/>
      <c r="M1058" s="4"/>
      <c r="N1058" s="4"/>
      <c r="O1058" s="4"/>
    </row>
    <row r="1059" spans="1:15" s="1" customFormat="1" ht="11.45" customHeight="1" outlineLevel="3" x14ac:dyDescent="0.2">
      <c r="A1059" s="32" t="s">
        <v>11299</v>
      </c>
      <c r="B1059" s="74" t="s">
        <v>11300</v>
      </c>
      <c r="C1059" s="50"/>
      <c r="D1059" s="139">
        <f t="shared" si="16"/>
        <v>0</v>
      </c>
      <c r="E1059" s="140">
        <v>172</v>
      </c>
      <c r="F1059" s="140">
        <v>140.97999999999999</v>
      </c>
      <c r="G1059" s="34" t="s">
        <v>100</v>
      </c>
      <c r="H1059" s="34" t="s">
        <v>39</v>
      </c>
      <c r="I1059" s="35">
        <v>1</v>
      </c>
      <c r="J1059" s="35">
        <v>1</v>
      </c>
      <c r="K1059" s="35">
        <v>60</v>
      </c>
      <c r="L1059" s="60" t="str">
        <f>HYPERLINK("https://www.sds-group.ru/product/kobura-dlya-instrumenta-2-otdeleniya-re-2u-rexant-12-5604/", "Инфо")</f>
        <v>Инфо</v>
      </c>
      <c r="M1059" s="37">
        <v>0.11799999999999999</v>
      </c>
      <c r="N1059" s="38">
        <v>7.9100000000000004E-4</v>
      </c>
      <c r="O1059" s="141">
        <v>4601004090088</v>
      </c>
    </row>
    <row r="1060" spans="1:15" ht="11.45" customHeight="1" x14ac:dyDescent="0.2">
      <c r="A1060" s="80" t="s">
        <v>11317</v>
      </c>
      <c r="B1060" s="128"/>
      <c r="C1060" s="81"/>
      <c r="D1060" s="129"/>
      <c r="E1060" s="130"/>
      <c r="F1060" s="130"/>
      <c r="G1060" s="130"/>
      <c r="H1060" s="130"/>
      <c r="I1060" s="130"/>
      <c r="J1060" s="130"/>
      <c r="K1060" s="130"/>
      <c r="L1060" s="131"/>
      <c r="M1060" s="130"/>
      <c r="N1060" s="130"/>
      <c r="O1060" s="130"/>
    </row>
    <row r="1061" spans="1:15" ht="11.45" customHeight="1" outlineLevel="1" x14ac:dyDescent="0.2">
      <c r="A1061" s="78" t="s">
        <v>11318</v>
      </c>
      <c r="B1061" s="132"/>
      <c r="C1061" s="79"/>
      <c r="D1061" s="133"/>
      <c r="E1061" s="134"/>
      <c r="F1061" s="134"/>
      <c r="G1061" s="134"/>
      <c r="H1061" s="134"/>
      <c r="I1061" s="134"/>
      <c r="J1061" s="134"/>
      <c r="K1061" s="134"/>
      <c r="L1061" s="135"/>
      <c r="M1061" s="134"/>
      <c r="N1061" s="134"/>
      <c r="O1061" s="134"/>
    </row>
    <row r="1062" spans="1:15" ht="11.45" customHeight="1" outlineLevel="2" x14ac:dyDescent="0.2">
      <c r="A1062" s="76" t="s">
        <v>11319</v>
      </c>
      <c r="B1062" s="136"/>
      <c r="C1062" s="77"/>
      <c r="D1062" s="137"/>
      <c r="E1062" s="4"/>
      <c r="F1062" s="4"/>
      <c r="G1062" s="4"/>
      <c r="H1062" s="4"/>
      <c r="I1062" s="4"/>
      <c r="J1062" s="4"/>
      <c r="K1062" s="4"/>
      <c r="L1062" s="138"/>
      <c r="M1062" s="4"/>
      <c r="N1062" s="4"/>
      <c r="O1062" s="4"/>
    </row>
    <row r="1063" spans="1:15" ht="11.45" customHeight="1" outlineLevel="3" x14ac:dyDescent="0.2">
      <c r="A1063" s="76" t="s">
        <v>11502</v>
      </c>
      <c r="B1063" s="136"/>
      <c r="C1063" s="77"/>
      <c r="D1063" s="137"/>
      <c r="E1063" s="4"/>
      <c r="F1063" s="4"/>
      <c r="G1063" s="4"/>
      <c r="H1063" s="4"/>
      <c r="I1063" s="4"/>
      <c r="J1063" s="4"/>
      <c r="K1063" s="4"/>
      <c r="L1063" s="138"/>
      <c r="M1063" s="4"/>
      <c r="N1063" s="4"/>
      <c r="O1063" s="4"/>
    </row>
    <row r="1064" spans="1:15" s="1" customFormat="1" ht="11.45" customHeight="1" outlineLevel="4" x14ac:dyDescent="0.2">
      <c r="A1064" s="32" t="s">
        <v>11509</v>
      </c>
      <c r="B1064" s="74" t="s">
        <v>11510</v>
      </c>
      <c r="C1064" s="50"/>
      <c r="D1064" s="139">
        <f t="shared" si="16"/>
        <v>0</v>
      </c>
      <c r="E1064" s="140">
        <v>8.91</v>
      </c>
      <c r="F1064" s="140">
        <v>7.3</v>
      </c>
      <c r="G1064" s="34" t="s">
        <v>100</v>
      </c>
      <c r="H1064" s="34" t="s">
        <v>1001</v>
      </c>
      <c r="I1064" s="35">
        <v>1</v>
      </c>
      <c r="J1064" s="35">
        <v>1</v>
      </c>
      <c r="K1064" s="39">
        <v>1400</v>
      </c>
      <c r="L1064" s="60" t="str">
        <f>HYPERLINK("https://www.sds-group.ru/product/styazhka-kabelnaya-neylonovaya-100x2-5mm-zelenaya-25-sht-up-rexant-07-0103-25/", "Инфо")</f>
        <v>Инфо</v>
      </c>
      <c r="M1064" s="37">
        <v>0.01</v>
      </c>
      <c r="N1064" s="38">
        <v>5.0000000000000002E-5</v>
      </c>
      <c r="O1064" s="141">
        <v>4601004017313</v>
      </c>
    </row>
    <row r="1065" spans="1:15" s="1" customFormat="1" ht="11.45" customHeight="1" outlineLevel="4" x14ac:dyDescent="0.2">
      <c r="A1065" s="32" t="s">
        <v>11515</v>
      </c>
      <c r="B1065" s="74" t="s">
        <v>11516</v>
      </c>
      <c r="C1065" s="50"/>
      <c r="D1065" s="139">
        <f t="shared" si="16"/>
        <v>0</v>
      </c>
      <c r="E1065" s="140">
        <v>517.58000000000004</v>
      </c>
      <c r="F1065" s="140">
        <v>424.25</v>
      </c>
      <c r="G1065" s="34" t="s">
        <v>100</v>
      </c>
      <c r="H1065" s="34" t="s">
        <v>1001</v>
      </c>
      <c r="I1065" s="35">
        <v>1</v>
      </c>
      <c r="J1065" s="35">
        <v>1</v>
      </c>
      <c r="K1065" s="35">
        <v>10</v>
      </c>
      <c r="L1065" s="60" t="str">
        <f>HYPERLINK("https://www.sds-group.ru/product/styazhka-kabelnaya-neylonovaya-1020x9-0mm-belaya-25-sht-up-rexant-07-1020-25/", "Инфо")</f>
        <v>Инфо</v>
      </c>
      <c r="M1065" s="37">
        <v>1.86</v>
      </c>
      <c r="N1065" s="38">
        <v>3.264E-3</v>
      </c>
      <c r="O1065" s="141">
        <v>4601004284999</v>
      </c>
    </row>
    <row r="1066" spans="1:15" s="1" customFormat="1" ht="11.45" customHeight="1" outlineLevel="4" x14ac:dyDescent="0.2">
      <c r="A1066" s="32" t="s">
        <v>11527</v>
      </c>
      <c r="B1066" s="74" t="s">
        <v>11528</v>
      </c>
      <c r="C1066" s="50"/>
      <c r="D1066" s="139">
        <f t="shared" si="16"/>
        <v>0</v>
      </c>
      <c r="E1066" s="140">
        <v>22.97</v>
      </c>
      <c r="F1066" s="140">
        <v>18.829999999999998</v>
      </c>
      <c r="G1066" s="34" t="s">
        <v>100</v>
      </c>
      <c r="H1066" s="34" t="s">
        <v>1001</v>
      </c>
      <c r="I1066" s="35">
        <v>1</v>
      </c>
      <c r="J1066" s="35">
        <v>1</v>
      </c>
      <c r="K1066" s="35">
        <v>200</v>
      </c>
      <c r="L1066" s="60" t="str">
        <f>HYPERLINK("https://www.sds-group.ru/product/styazhka-kabelnaya-neylonovaya-150x3-6mm-korichnevo-zolotaya-ral8001-100-sht-up-rexant-07-0150-6/", "Инфо")</f>
        <v>Инфо</v>
      </c>
      <c r="M1066" s="37">
        <v>8.3000000000000004E-2</v>
      </c>
      <c r="N1066" s="38">
        <v>2.61E-4</v>
      </c>
      <c r="O1066" s="141">
        <v>4601004271463</v>
      </c>
    </row>
    <row r="1067" spans="1:15" s="1" customFormat="1" ht="11.45" customHeight="1" outlineLevel="4" x14ac:dyDescent="0.2">
      <c r="A1067" s="32" t="s">
        <v>11537</v>
      </c>
      <c r="B1067" s="74" t="s">
        <v>11538</v>
      </c>
      <c r="C1067" s="50"/>
      <c r="D1067" s="139">
        <f t="shared" si="16"/>
        <v>0</v>
      </c>
      <c r="E1067" s="140">
        <v>48.04</v>
      </c>
      <c r="F1067" s="140">
        <v>39.380000000000003</v>
      </c>
      <c r="G1067" s="34" t="s">
        <v>100</v>
      </c>
      <c r="H1067" s="34" t="s">
        <v>1001</v>
      </c>
      <c r="I1067" s="35">
        <v>1</v>
      </c>
      <c r="J1067" s="35">
        <v>1</v>
      </c>
      <c r="K1067" s="35">
        <v>100</v>
      </c>
      <c r="L1067" s="60" t="str">
        <f>HYPERLINK("https://www.sds-group.ru/product/styazhka-kabelnaya-neylonovaya-200x4-8mm-korichnevo-zolotaya-ral8001-100-sht-up-rexant-07-0201-6/", "Инфо")</f>
        <v>Инфо</v>
      </c>
      <c r="M1067" s="37">
        <v>0.13800000000000001</v>
      </c>
      <c r="N1067" s="38">
        <v>4.3300000000000001E-4</v>
      </c>
      <c r="O1067" s="141">
        <v>4601004271456</v>
      </c>
    </row>
    <row r="1068" spans="1:15" s="1" customFormat="1" ht="11.45" customHeight="1" outlineLevel="4" x14ac:dyDescent="0.2">
      <c r="A1068" s="32" t="s">
        <v>11545</v>
      </c>
      <c r="B1068" s="74" t="s">
        <v>11546</v>
      </c>
      <c r="C1068" s="50"/>
      <c r="D1068" s="139">
        <f t="shared" si="16"/>
        <v>0</v>
      </c>
      <c r="E1068" s="140">
        <v>54.41</v>
      </c>
      <c r="F1068" s="140">
        <v>44.6</v>
      </c>
      <c r="G1068" s="34" t="s">
        <v>100</v>
      </c>
      <c r="H1068" s="34" t="s">
        <v>1001</v>
      </c>
      <c r="I1068" s="35">
        <v>1</v>
      </c>
      <c r="J1068" s="35">
        <v>1</v>
      </c>
      <c r="K1068" s="35">
        <v>100</v>
      </c>
      <c r="L1068" s="60" t="str">
        <f>HYPERLINK("https://www.sds-group.ru/product/styazhka-kabelnaya-neylonovaya-250x4-8mm-korichnevo-zolotaya-ral8001-100-sht-up-rexant-07-0250-6/", "Инфо")</f>
        <v>Инфо</v>
      </c>
      <c r="M1068" s="37">
        <v>0.16300000000000001</v>
      </c>
      <c r="N1068" s="38">
        <v>5.2099999999999998E-4</v>
      </c>
      <c r="O1068" s="141">
        <v>4601004271470</v>
      </c>
    </row>
    <row r="1069" spans="1:15" s="1" customFormat="1" ht="11.45" customHeight="1" outlineLevel="4" x14ac:dyDescent="0.2">
      <c r="A1069" s="32" t="s">
        <v>11551</v>
      </c>
      <c r="B1069" s="74" t="s">
        <v>11552</v>
      </c>
      <c r="C1069" s="50"/>
      <c r="D1069" s="139">
        <f t="shared" si="16"/>
        <v>0</v>
      </c>
      <c r="E1069" s="140">
        <v>69.3</v>
      </c>
      <c r="F1069" s="140">
        <v>56.8</v>
      </c>
      <c r="G1069" s="34" t="s">
        <v>100</v>
      </c>
      <c r="H1069" s="34" t="s">
        <v>1001</v>
      </c>
      <c r="I1069" s="35">
        <v>1</v>
      </c>
      <c r="J1069" s="35">
        <v>1</v>
      </c>
      <c r="K1069" s="35">
        <v>100</v>
      </c>
      <c r="L1069" s="60" t="str">
        <f>HYPERLINK("https://www.sds-group.ru/product/styazhka-kabelnaya-neylonovaya-300x4-8mm-korichnevo-zolotaya-ral8001-100-sht-up-rexant-07-0300-6/", "Инфо")</f>
        <v>Инфо</v>
      </c>
      <c r="M1069" s="37">
        <v>0.19700000000000001</v>
      </c>
      <c r="N1069" s="38">
        <v>5.62E-4</v>
      </c>
      <c r="O1069" s="141">
        <v>4601004271487</v>
      </c>
    </row>
    <row r="1070" spans="1:15" s="1" customFormat="1" ht="11.45" customHeight="1" outlineLevel="4" x14ac:dyDescent="0.2">
      <c r="A1070" s="32" t="s">
        <v>11569</v>
      </c>
      <c r="B1070" s="74" t="s">
        <v>11570</v>
      </c>
      <c r="C1070" s="50"/>
      <c r="D1070" s="139">
        <f t="shared" si="16"/>
        <v>0</v>
      </c>
      <c r="E1070" s="140">
        <v>466.32</v>
      </c>
      <c r="F1070" s="140">
        <v>382.23</v>
      </c>
      <c r="G1070" s="34" t="s">
        <v>100</v>
      </c>
      <c r="H1070" s="34" t="s">
        <v>1001</v>
      </c>
      <c r="I1070" s="35">
        <v>1</v>
      </c>
      <c r="J1070" s="35">
        <v>1</v>
      </c>
      <c r="K1070" s="35">
        <v>10</v>
      </c>
      <c r="L1070" s="60" t="str">
        <f>HYPERLINK("https://www.sds-group.ru/product/styazhka-kabelnaya-neylonovaya-920x9-0mm-belaya-25-sht-up-rexant-07-0900-25/", "Инфо")</f>
        <v>Инфо</v>
      </c>
      <c r="M1070" s="37">
        <v>1.79</v>
      </c>
      <c r="N1070" s="38">
        <v>2.7599999999999999E-3</v>
      </c>
      <c r="O1070" s="141">
        <v>4601004284944</v>
      </c>
    </row>
    <row r="1071" spans="1:15" ht="11.45" customHeight="1" outlineLevel="3" x14ac:dyDescent="0.2">
      <c r="A1071" s="76" t="s">
        <v>11573</v>
      </c>
      <c r="B1071" s="136"/>
      <c r="C1071" s="77"/>
      <c r="D1071" s="137"/>
      <c r="E1071" s="4"/>
      <c r="F1071" s="4"/>
      <c r="G1071" s="4"/>
      <c r="H1071" s="4"/>
      <c r="I1071" s="4"/>
      <c r="J1071" s="4"/>
      <c r="K1071" s="4"/>
      <c r="L1071" s="138"/>
      <c r="M1071" s="4"/>
      <c r="N1071" s="4"/>
      <c r="O1071" s="4"/>
    </row>
    <row r="1072" spans="1:15" s="1" customFormat="1" ht="11.45" customHeight="1" outlineLevel="4" x14ac:dyDescent="0.2">
      <c r="A1072" s="32" t="s">
        <v>11586</v>
      </c>
      <c r="B1072" s="74" t="s">
        <v>11587</v>
      </c>
      <c r="C1072" s="50"/>
      <c r="D1072" s="139">
        <f t="shared" si="16"/>
        <v>0</v>
      </c>
      <c r="E1072" s="140">
        <v>210.04</v>
      </c>
      <c r="F1072" s="140">
        <v>172.16</v>
      </c>
      <c r="G1072" s="34" t="s">
        <v>100</v>
      </c>
      <c r="H1072" s="34" t="s">
        <v>1001</v>
      </c>
      <c r="I1072" s="35">
        <v>1</v>
      </c>
      <c r="J1072" s="35">
        <v>1</v>
      </c>
      <c r="K1072" s="35">
        <v>50</v>
      </c>
      <c r="L1072" s="60" t="str">
        <f>HYPERLINK("https://www.sds-group.ru/product/styazhka-neylonovaya-professionalnaya-200x7-5mm-belaya-100-sht-up-rexant-67-0202/", "Инфо")</f>
        <v>Инфо</v>
      </c>
      <c r="M1072" s="37">
        <v>0.28199999999999997</v>
      </c>
      <c r="N1072" s="38">
        <v>8.4900000000000004E-4</v>
      </c>
      <c r="O1072" s="141">
        <v>4601004125674</v>
      </c>
    </row>
    <row r="1073" spans="1:15" ht="11.45" customHeight="1" outlineLevel="2" x14ac:dyDescent="0.2">
      <c r="A1073" s="76" t="s">
        <v>11690</v>
      </c>
      <c r="B1073" s="136"/>
      <c r="C1073" s="77"/>
      <c r="D1073" s="137"/>
      <c r="E1073" s="4"/>
      <c r="F1073" s="4"/>
      <c r="G1073" s="4"/>
      <c r="H1073" s="4"/>
      <c r="I1073" s="4"/>
      <c r="J1073" s="4"/>
      <c r="K1073" s="4"/>
      <c r="L1073" s="138"/>
      <c r="M1073" s="4"/>
      <c r="N1073" s="4"/>
      <c r="O1073" s="4"/>
    </row>
    <row r="1074" spans="1:15" ht="11.45" customHeight="1" outlineLevel="3" x14ac:dyDescent="0.2">
      <c r="A1074" s="76" t="s">
        <v>11691</v>
      </c>
      <c r="B1074" s="136"/>
      <c r="C1074" s="77"/>
      <c r="D1074" s="137"/>
      <c r="E1074" s="4"/>
      <c r="F1074" s="4"/>
      <c r="G1074" s="4"/>
      <c r="H1074" s="4"/>
      <c r="I1074" s="4"/>
      <c r="J1074" s="4"/>
      <c r="K1074" s="4"/>
      <c r="L1074" s="138"/>
      <c r="M1074" s="4"/>
      <c r="N1074" s="4"/>
      <c r="O1074" s="4"/>
    </row>
    <row r="1075" spans="1:15" s="1" customFormat="1" ht="11.45" customHeight="1" outlineLevel="4" x14ac:dyDescent="0.2">
      <c r="A1075" s="32" t="s">
        <v>11692</v>
      </c>
      <c r="B1075" s="74" t="s">
        <v>11693</v>
      </c>
      <c r="C1075" s="50"/>
      <c r="D1075" s="139">
        <f t="shared" si="16"/>
        <v>0</v>
      </c>
      <c r="E1075" s="140">
        <v>100.37</v>
      </c>
      <c r="F1075" s="140">
        <v>82.27</v>
      </c>
      <c r="G1075" s="34" t="s">
        <v>100</v>
      </c>
      <c r="H1075" s="34" t="s">
        <v>1001</v>
      </c>
      <c r="I1075" s="35">
        <v>1</v>
      </c>
      <c r="J1075" s="35">
        <v>1</v>
      </c>
      <c r="K1075" s="35">
        <v>300</v>
      </c>
      <c r="L1075" s="60" t="str">
        <f>HYPERLINK("https://www.sds-group.ru/product/styazhka-polimernaya-mnogorazovaya-300h10mm-prozrachnaya-20-sht-up-rexant-07-7309/", "Инфо")</f>
        <v>Инфо</v>
      </c>
      <c r="M1075" s="37">
        <v>7.1999999999999995E-2</v>
      </c>
      <c r="N1075" s="38">
        <v>1.7899999999999999E-4</v>
      </c>
      <c r="O1075" s="141">
        <v>4601004125452</v>
      </c>
    </row>
    <row r="1076" spans="1:15" ht="11.45" customHeight="1" outlineLevel="2" x14ac:dyDescent="0.2">
      <c r="A1076" s="76" t="s">
        <v>11817</v>
      </c>
      <c r="B1076" s="136"/>
      <c r="C1076" s="77"/>
      <c r="D1076" s="137"/>
      <c r="E1076" s="4"/>
      <c r="F1076" s="4"/>
      <c r="G1076" s="4"/>
      <c r="H1076" s="4"/>
      <c r="I1076" s="4"/>
      <c r="J1076" s="4"/>
      <c r="K1076" s="4"/>
      <c r="L1076" s="138"/>
      <c r="M1076" s="4"/>
      <c r="N1076" s="4"/>
      <c r="O1076" s="4"/>
    </row>
    <row r="1077" spans="1:15" ht="11.45" customHeight="1" outlineLevel="3" x14ac:dyDescent="0.2">
      <c r="A1077" s="76" t="s">
        <v>11818</v>
      </c>
      <c r="B1077" s="136"/>
      <c r="C1077" s="77"/>
      <c r="D1077" s="137"/>
      <c r="E1077" s="4"/>
      <c r="F1077" s="4"/>
      <c r="G1077" s="4"/>
      <c r="H1077" s="4"/>
      <c r="I1077" s="4"/>
      <c r="J1077" s="4"/>
      <c r="K1077" s="4"/>
      <c r="L1077" s="138"/>
      <c r="M1077" s="4"/>
      <c r="N1077" s="4"/>
      <c r="O1077" s="4"/>
    </row>
    <row r="1078" spans="1:15" s="1" customFormat="1" ht="11.45" customHeight="1" outlineLevel="4" x14ac:dyDescent="0.2">
      <c r="A1078" s="32" t="s">
        <v>11821</v>
      </c>
      <c r="B1078" s="74" t="s">
        <v>11822</v>
      </c>
      <c r="C1078" s="50"/>
      <c r="D1078" s="139">
        <f t="shared" si="16"/>
        <v>0</v>
      </c>
      <c r="E1078" s="140">
        <v>28.52</v>
      </c>
      <c r="F1078" s="140">
        <v>23.38</v>
      </c>
      <c r="G1078" s="34" t="s">
        <v>100</v>
      </c>
      <c r="H1078" s="34" t="s">
        <v>1001</v>
      </c>
      <c r="I1078" s="35">
        <v>1</v>
      </c>
      <c r="J1078" s="35">
        <v>1</v>
      </c>
      <c r="K1078" s="35">
        <v>100</v>
      </c>
      <c r="L1078" s="60" t="str">
        <f>HYPERLINK("https://www.sds-group.ru/product/homut-chervyachnyy-10-16-0-7-mm-upak-2-sht-proconnect-07-0610-8/", "Инфо")</f>
        <v>Инфо</v>
      </c>
      <c r="M1078" s="37">
        <v>2.4E-2</v>
      </c>
      <c r="N1078" s="38">
        <v>1.74E-4</v>
      </c>
      <c r="O1078" s="141">
        <v>4601004075405</v>
      </c>
    </row>
    <row r="1079" spans="1:15" s="1" customFormat="1" ht="11.45" customHeight="1" outlineLevel="4" x14ac:dyDescent="0.2">
      <c r="A1079" s="32" t="s">
        <v>11825</v>
      </c>
      <c r="B1079" s="74" t="s">
        <v>11826</v>
      </c>
      <c r="C1079" s="50"/>
      <c r="D1079" s="139">
        <f t="shared" si="16"/>
        <v>0</v>
      </c>
      <c r="E1079" s="140">
        <v>11.75</v>
      </c>
      <c r="F1079" s="140">
        <v>9.6300000000000008</v>
      </c>
      <c r="G1079" s="34" t="s">
        <v>100</v>
      </c>
      <c r="H1079" s="34" t="s">
        <v>39</v>
      </c>
      <c r="I1079" s="35">
        <v>50</v>
      </c>
      <c r="J1079" s="35">
        <v>50</v>
      </c>
      <c r="K1079" s="35">
        <v>500</v>
      </c>
      <c r="L1079" s="60" t="str">
        <f>HYPERLINK("https://www.sds-group.ru/product/homut-chervyachnyy-10-16-0-7-mm-s-klyuchom-w-upak-50-sht-rexant-07-0610-1/", "Инфо")</f>
        <v>Инфо</v>
      </c>
      <c r="M1079" s="37">
        <v>1.2999999999999999E-2</v>
      </c>
      <c r="N1079" s="38">
        <v>1.9000000000000001E-5</v>
      </c>
      <c r="O1079" s="141">
        <v>4601004116801</v>
      </c>
    </row>
    <row r="1080" spans="1:15" s="1" customFormat="1" ht="11.45" customHeight="1" outlineLevel="4" x14ac:dyDescent="0.2">
      <c r="A1080" s="32" t="s">
        <v>11829</v>
      </c>
      <c r="B1080" s="74" t="s">
        <v>11830</v>
      </c>
      <c r="C1080" s="50"/>
      <c r="D1080" s="139">
        <f t="shared" si="16"/>
        <v>0</v>
      </c>
      <c r="E1080" s="140">
        <v>37.19</v>
      </c>
      <c r="F1080" s="140">
        <v>30.48</v>
      </c>
      <c r="G1080" s="34" t="s">
        <v>100</v>
      </c>
      <c r="H1080" s="34" t="s">
        <v>1001</v>
      </c>
      <c r="I1080" s="35">
        <v>1</v>
      </c>
      <c r="J1080" s="35">
        <v>1</v>
      </c>
      <c r="K1080" s="35">
        <v>100</v>
      </c>
      <c r="L1080" s="60" t="str">
        <f>HYPERLINK("https://www.sds-group.ru/product/homut-chervyachnyy-16-27-0-7-mm-upak-2-sht-proconnect-07-0616-8/", "Инфо")</f>
        <v>Инфо</v>
      </c>
      <c r="M1080" s="37">
        <v>2.8000000000000001E-2</v>
      </c>
      <c r="N1080" s="38">
        <v>6.6000000000000005E-5</v>
      </c>
      <c r="O1080" s="141">
        <v>4601004075375</v>
      </c>
    </row>
    <row r="1081" spans="1:15" s="1" customFormat="1" ht="11.45" customHeight="1" outlineLevel="4" x14ac:dyDescent="0.2">
      <c r="A1081" s="32" t="s">
        <v>11837</v>
      </c>
      <c r="B1081" s="74" t="s">
        <v>11838</v>
      </c>
      <c r="C1081" s="50"/>
      <c r="D1081" s="139">
        <f t="shared" si="16"/>
        <v>0</v>
      </c>
      <c r="E1081" s="140">
        <v>10.36</v>
      </c>
      <c r="F1081" s="140">
        <v>8.49</v>
      </c>
      <c r="G1081" s="34" t="s">
        <v>100</v>
      </c>
      <c r="H1081" s="34" t="s">
        <v>39</v>
      </c>
      <c r="I1081" s="35">
        <v>50</v>
      </c>
      <c r="J1081" s="35">
        <v>50</v>
      </c>
      <c r="K1081" s="35">
        <v>250</v>
      </c>
      <c r="L1081" s="60" t="str">
        <f>HYPERLINK("https://www.sds-group.ru/product/homut-chervyachnyy-20-32-0-7-mm-s-klyuchom-w-upak-50-sht-rexant-07-0620-1/", "Инфо")</f>
        <v>Инфо</v>
      </c>
      <c r="M1081" s="37">
        <v>1.6E-2</v>
      </c>
      <c r="N1081" s="38">
        <v>3.3000000000000003E-5</v>
      </c>
      <c r="O1081" s="141">
        <v>4601004116771</v>
      </c>
    </row>
    <row r="1082" spans="1:15" s="1" customFormat="1" ht="11.45" customHeight="1" outlineLevel="4" x14ac:dyDescent="0.2">
      <c r="A1082" s="32" t="s">
        <v>11839</v>
      </c>
      <c r="B1082" s="74" t="s">
        <v>11840</v>
      </c>
      <c r="C1082" s="50"/>
      <c r="D1082" s="139">
        <f t="shared" si="16"/>
        <v>0</v>
      </c>
      <c r="E1082" s="140">
        <v>13.49</v>
      </c>
      <c r="F1082" s="140">
        <v>11.06</v>
      </c>
      <c r="G1082" s="34" t="s">
        <v>100</v>
      </c>
      <c r="H1082" s="34" t="s">
        <v>39</v>
      </c>
      <c r="I1082" s="35">
        <v>50</v>
      </c>
      <c r="J1082" s="35">
        <v>50</v>
      </c>
      <c r="K1082" s="35">
        <v>500</v>
      </c>
      <c r="L1082" s="60" t="str">
        <f>HYPERLINK("https://www.sds-group.ru/product/homut-chervyachniy-20-32-12-0-8mm-50-sht-up-rexant-29291/", "Инфо")</f>
        <v>Инфо</v>
      </c>
      <c r="M1082" s="37">
        <v>1.7000000000000001E-2</v>
      </c>
      <c r="N1082" s="38">
        <v>3.1000000000000001E-5</v>
      </c>
      <c r="O1082" s="141">
        <v>4601004270039</v>
      </c>
    </row>
    <row r="1083" spans="1:15" s="1" customFormat="1" ht="11.45" customHeight="1" outlineLevel="4" x14ac:dyDescent="0.2">
      <c r="A1083" s="32" t="s">
        <v>11841</v>
      </c>
      <c r="B1083" s="74" t="s">
        <v>11842</v>
      </c>
      <c r="C1083" s="50"/>
      <c r="D1083" s="139">
        <f t="shared" si="16"/>
        <v>0</v>
      </c>
      <c r="E1083" s="140">
        <v>14.16</v>
      </c>
      <c r="F1083" s="140">
        <v>11.61</v>
      </c>
      <c r="G1083" s="34" t="s">
        <v>100</v>
      </c>
      <c r="H1083" s="34" t="s">
        <v>39</v>
      </c>
      <c r="I1083" s="35">
        <v>50</v>
      </c>
      <c r="J1083" s="35">
        <v>50</v>
      </c>
      <c r="K1083" s="35">
        <v>500</v>
      </c>
      <c r="L1083" s="60" t="str">
        <f>HYPERLINK("https://www.sds-group.ru/product/homut-chervyachnyy-25-40-12-0-8mm-50-sht-up-rexant-07-0625-12/", "Инфо")</f>
        <v>Инфо</v>
      </c>
      <c r="M1083" s="37">
        <v>1.7999999999999999E-2</v>
      </c>
      <c r="N1083" s="38">
        <v>3.6999999999999998E-5</v>
      </c>
      <c r="O1083" s="141">
        <v>4601004270053</v>
      </c>
    </row>
    <row r="1084" spans="1:15" s="1" customFormat="1" ht="11.45" customHeight="1" outlineLevel="4" x14ac:dyDescent="0.2">
      <c r="A1084" s="32" t="s">
        <v>11845</v>
      </c>
      <c r="B1084" s="74" t="s">
        <v>11846</v>
      </c>
      <c r="C1084" s="50"/>
      <c r="D1084" s="139">
        <f t="shared" si="16"/>
        <v>0</v>
      </c>
      <c r="E1084" s="140">
        <v>15.78</v>
      </c>
      <c r="F1084" s="140">
        <v>12.93</v>
      </c>
      <c r="G1084" s="34" t="s">
        <v>100</v>
      </c>
      <c r="H1084" s="34" t="s">
        <v>39</v>
      </c>
      <c r="I1084" s="35">
        <v>25</v>
      </c>
      <c r="J1084" s="35">
        <v>25</v>
      </c>
      <c r="K1084" s="35">
        <v>500</v>
      </c>
      <c r="L1084" s="60" t="str">
        <f>HYPERLINK("https://www.sds-group.ru/product/homut-chervyachnyy-32-50-12-0-8mm-25-sht-up-rexant-07-0632-12/", "Инфо")</f>
        <v>Инфо</v>
      </c>
      <c r="M1084" s="37">
        <v>2.1000000000000001E-2</v>
      </c>
      <c r="N1084" s="38">
        <v>4.6E-5</v>
      </c>
      <c r="O1084" s="141">
        <v>4601004270237</v>
      </c>
    </row>
    <row r="1085" spans="1:15" s="1" customFormat="1" ht="11.45" customHeight="1" outlineLevel="4" x14ac:dyDescent="0.2">
      <c r="A1085" s="32" t="s">
        <v>11847</v>
      </c>
      <c r="B1085" s="74" t="s">
        <v>11848</v>
      </c>
      <c r="C1085" s="50"/>
      <c r="D1085" s="139">
        <f t="shared" si="16"/>
        <v>0</v>
      </c>
      <c r="E1085" s="140">
        <v>10.16</v>
      </c>
      <c r="F1085" s="140">
        <v>8.33</v>
      </c>
      <c r="G1085" s="34" t="s">
        <v>100</v>
      </c>
      <c r="H1085" s="34" t="s">
        <v>39</v>
      </c>
      <c r="I1085" s="35">
        <v>50</v>
      </c>
      <c r="J1085" s="35">
        <v>50</v>
      </c>
      <c r="K1085" s="35">
        <v>500</v>
      </c>
      <c r="L1085" s="60" t="str">
        <f>HYPERLINK("https://www.sds-group.ru/product/homut-chervyachniy-32-50-0-7-mm-s-klyuchom-w-upak-50-sht-rexant-17100/", "Инфо")</f>
        <v>Инфо</v>
      </c>
      <c r="M1085" s="37">
        <v>2.1000000000000001E-2</v>
      </c>
      <c r="N1085" s="38">
        <v>6.0999999999999999E-5</v>
      </c>
      <c r="O1085" s="141">
        <v>4601004285088</v>
      </c>
    </row>
    <row r="1086" spans="1:15" s="1" customFormat="1" ht="11.45" customHeight="1" outlineLevel="4" x14ac:dyDescent="0.2">
      <c r="A1086" s="32" t="s">
        <v>11851</v>
      </c>
      <c r="B1086" s="74" t="s">
        <v>11852</v>
      </c>
      <c r="C1086" s="50"/>
      <c r="D1086" s="139">
        <f t="shared" si="16"/>
        <v>0</v>
      </c>
      <c r="E1086" s="140">
        <v>28.19</v>
      </c>
      <c r="F1086" s="140">
        <v>23.11</v>
      </c>
      <c r="G1086" s="34" t="s">
        <v>100</v>
      </c>
      <c r="H1086" s="34" t="s">
        <v>1001</v>
      </c>
      <c r="I1086" s="35">
        <v>1</v>
      </c>
      <c r="J1086" s="35">
        <v>1</v>
      </c>
      <c r="K1086" s="35">
        <v>100</v>
      </c>
      <c r="L1086" s="60" t="str">
        <f>HYPERLINK("https://www.sds-group.ru/product/homut-chervyachniy-40-60-0-7-mm-upak-2-sht-proconnect-13257/", "Инфо")</f>
        <v>Инфо</v>
      </c>
      <c r="M1086" s="37">
        <v>4.8000000000000001E-2</v>
      </c>
      <c r="N1086" s="38">
        <v>1.76E-4</v>
      </c>
      <c r="O1086" s="141">
        <v>4601004075399</v>
      </c>
    </row>
    <row r="1087" spans="1:15" s="1" customFormat="1" ht="11.45" customHeight="1" outlineLevel="4" x14ac:dyDescent="0.2">
      <c r="A1087" s="32" t="s">
        <v>11857</v>
      </c>
      <c r="B1087" s="74" t="s">
        <v>11858</v>
      </c>
      <c r="C1087" s="50"/>
      <c r="D1087" s="139">
        <f t="shared" si="16"/>
        <v>0</v>
      </c>
      <c r="E1087" s="140">
        <v>13.25</v>
      </c>
      <c r="F1087" s="140">
        <v>10.86</v>
      </c>
      <c r="G1087" s="34" t="s">
        <v>100</v>
      </c>
      <c r="H1087" s="34" t="s">
        <v>39</v>
      </c>
      <c r="I1087" s="35">
        <v>25</v>
      </c>
      <c r="J1087" s="35">
        <v>25</v>
      </c>
      <c r="K1087" s="35">
        <v>500</v>
      </c>
      <c r="L1087" s="60" t="str">
        <f>HYPERLINK("https://www.sds-group.ru/product/homut-chervyachnyy-60-80-0-7-mm-upak-25-sht-rexant-07-0660/", "Инфо")</f>
        <v>Инфо</v>
      </c>
      <c r="M1087" s="37">
        <v>2.5000000000000001E-2</v>
      </c>
      <c r="N1087" s="38">
        <v>8.2000000000000001E-5</v>
      </c>
      <c r="O1087" s="141">
        <v>4601004050877</v>
      </c>
    </row>
    <row r="1088" spans="1:15" s="1" customFormat="1" ht="11.45" customHeight="1" outlineLevel="4" x14ac:dyDescent="0.2">
      <c r="A1088" s="32" t="s">
        <v>11859</v>
      </c>
      <c r="B1088" s="74" t="s">
        <v>11860</v>
      </c>
      <c r="C1088" s="50"/>
      <c r="D1088" s="139">
        <f t="shared" si="16"/>
        <v>0</v>
      </c>
      <c r="E1088" s="140">
        <v>14.38</v>
      </c>
      <c r="F1088" s="140">
        <v>11.79</v>
      </c>
      <c r="G1088" s="34" t="s">
        <v>100</v>
      </c>
      <c r="H1088" s="34" t="s">
        <v>39</v>
      </c>
      <c r="I1088" s="35">
        <v>25</v>
      </c>
      <c r="J1088" s="35">
        <v>25</v>
      </c>
      <c r="K1088" s="35">
        <v>500</v>
      </c>
      <c r="L1088" s="60" t="str">
        <f>HYPERLINK("https://www.sds-group.ru/product/homut-chervyachnyy-70-90-0-7-mm-upak-25-sht-rexant-07-0670/", "Инфо")</f>
        <v>Инфо</v>
      </c>
      <c r="M1088" s="37">
        <v>2.8000000000000001E-2</v>
      </c>
      <c r="N1088" s="38">
        <v>8.2000000000000001E-5</v>
      </c>
      <c r="O1088" s="141">
        <v>4601004050884</v>
      </c>
    </row>
    <row r="1089" spans="1:15" ht="11.45" customHeight="1" outlineLevel="3" x14ac:dyDescent="0.2">
      <c r="A1089" s="76" t="s">
        <v>11861</v>
      </c>
      <c r="B1089" s="136"/>
      <c r="C1089" s="77"/>
      <c r="D1089" s="137"/>
      <c r="E1089" s="4"/>
      <c r="F1089" s="4"/>
      <c r="G1089" s="4"/>
      <c r="H1089" s="4"/>
      <c r="I1089" s="4"/>
      <c r="J1089" s="4"/>
      <c r="K1089" s="4"/>
      <c r="L1089" s="138"/>
      <c r="M1089" s="4"/>
      <c r="N1089" s="4"/>
      <c r="O1089" s="4"/>
    </row>
    <row r="1090" spans="1:15" s="1" customFormat="1" ht="11.45" customHeight="1" outlineLevel="4" x14ac:dyDescent="0.2">
      <c r="A1090" s="32" t="s">
        <v>11864</v>
      </c>
      <c r="B1090" s="74" t="s">
        <v>11865</v>
      </c>
      <c r="C1090" s="50"/>
      <c r="D1090" s="139">
        <f t="shared" si="16"/>
        <v>0</v>
      </c>
      <c r="E1090" s="140">
        <v>10.08</v>
      </c>
      <c r="F1090" s="140">
        <v>8.26</v>
      </c>
      <c r="G1090" s="34" t="s">
        <v>100</v>
      </c>
      <c r="H1090" s="34" t="s">
        <v>39</v>
      </c>
      <c r="I1090" s="35">
        <v>50</v>
      </c>
      <c r="J1090" s="35">
        <v>50</v>
      </c>
      <c r="K1090" s="39">
        <v>1000</v>
      </c>
      <c r="L1090" s="60" t="str">
        <f>HYPERLINK("https://www.sds-group.ru/product/homut-chervyachnyy-12-20-9-0-7mm-s-klyuchom-nerzhaveyuschaya-stal-w2-50-sht-up-rexant-07-0712-1/", "Инфо")</f>
        <v>Инфо</v>
      </c>
      <c r="M1090" s="37">
        <v>1.2999999999999999E-2</v>
      </c>
      <c r="N1090" s="38">
        <v>2.0999999999999999E-5</v>
      </c>
      <c r="O1090" s="141">
        <v>4601004270343</v>
      </c>
    </row>
    <row r="1091" spans="1:15" s="1" customFormat="1" ht="11.45" customHeight="1" outlineLevel="4" x14ac:dyDescent="0.2">
      <c r="A1091" s="32" t="s">
        <v>11872</v>
      </c>
      <c r="B1091" s="74" t="s">
        <v>11873</v>
      </c>
      <c r="C1091" s="50"/>
      <c r="D1091" s="139">
        <f t="shared" si="16"/>
        <v>0</v>
      </c>
      <c r="E1091" s="140">
        <v>12.86</v>
      </c>
      <c r="F1091" s="140">
        <v>10.54</v>
      </c>
      <c r="G1091" s="34" t="s">
        <v>100</v>
      </c>
      <c r="H1091" s="34" t="s">
        <v>39</v>
      </c>
      <c r="I1091" s="35">
        <v>50</v>
      </c>
      <c r="J1091" s="35">
        <v>50</v>
      </c>
      <c r="K1091" s="35">
        <v>500</v>
      </c>
      <c r="L1091" s="60" t="str">
        <f>HYPERLINK("https://www.sds-group.ru/product/homut-chervyachnyy-20-32-12-0-8mm-nerzhaveyuschaya-stal-w2-50-sht-up-rexant-07-0720-12/", "Инфо")</f>
        <v>Инфо</v>
      </c>
      <c r="M1091" s="37">
        <v>1.7999999999999999E-2</v>
      </c>
      <c r="N1091" s="38">
        <v>5.1999999999999997E-5</v>
      </c>
      <c r="O1091" s="141">
        <v>4601004270671</v>
      </c>
    </row>
    <row r="1092" spans="1:15" s="1" customFormat="1" ht="11.45" customHeight="1" outlineLevel="4" x14ac:dyDescent="0.2">
      <c r="A1092" s="32" t="s">
        <v>11880</v>
      </c>
      <c r="B1092" s="74" t="s">
        <v>11881</v>
      </c>
      <c r="C1092" s="50"/>
      <c r="D1092" s="139">
        <f t="shared" si="16"/>
        <v>0</v>
      </c>
      <c r="E1092" s="140">
        <v>12.89</v>
      </c>
      <c r="F1092" s="140">
        <v>10.57</v>
      </c>
      <c r="G1092" s="34" t="s">
        <v>100</v>
      </c>
      <c r="H1092" s="34" t="s">
        <v>39</v>
      </c>
      <c r="I1092" s="35">
        <v>50</v>
      </c>
      <c r="J1092" s="35">
        <v>50</v>
      </c>
      <c r="K1092" s="35">
        <v>500</v>
      </c>
      <c r="L1092" s="60" t="str">
        <f>HYPERLINK("https://www.sds-group.ru/product/homut-chervyachnyy-25-40-9-0-7mm-s-klyuchom-nerzhaveyuschaya-stal-w2-50-sht-up-rexant-07-0725-1/", "Инфо")</f>
        <v>Инфо</v>
      </c>
      <c r="M1092" s="37">
        <v>1.9E-2</v>
      </c>
      <c r="N1092" s="38">
        <v>1.4E-5</v>
      </c>
      <c r="O1092" s="141">
        <v>4601004270367</v>
      </c>
    </row>
    <row r="1093" spans="1:15" s="1" customFormat="1" ht="11.45" customHeight="1" outlineLevel="4" x14ac:dyDescent="0.2">
      <c r="A1093" s="32" t="s">
        <v>11882</v>
      </c>
      <c r="B1093" s="74" t="s">
        <v>11883</v>
      </c>
      <c r="C1093" s="50"/>
      <c r="D1093" s="139">
        <f t="shared" si="16"/>
        <v>0</v>
      </c>
      <c r="E1093" s="140">
        <v>16.100000000000001</v>
      </c>
      <c r="F1093" s="140">
        <v>13.2</v>
      </c>
      <c r="G1093" s="34" t="s">
        <v>100</v>
      </c>
      <c r="H1093" s="34" t="s">
        <v>39</v>
      </c>
      <c r="I1093" s="35">
        <v>25</v>
      </c>
      <c r="J1093" s="35">
        <v>25</v>
      </c>
      <c r="K1093" s="35">
        <v>500</v>
      </c>
      <c r="L1093" s="60" t="str">
        <f>HYPERLINK("https://www.sds-group.ru/product/homut-chervyachnyy-50-70-12-0-8mm-nerzhaveyuschaya-stal-w2-25-sht-up-rexant-07-0750-12/", "Инфо")</f>
        <v>Инфо</v>
      </c>
      <c r="M1093" s="37">
        <v>2.4E-2</v>
      </c>
      <c r="N1093" s="38">
        <v>1.16E-4</v>
      </c>
      <c r="O1093" s="141">
        <v>4601004270602</v>
      </c>
    </row>
    <row r="1094" spans="1:15" s="1" customFormat="1" ht="11.45" customHeight="1" outlineLevel="4" x14ac:dyDescent="0.2">
      <c r="A1094" s="32" t="s">
        <v>11884</v>
      </c>
      <c r="B1094" s="74" t="s">
        <v>11885</v>
      </c>
      <c r="C1094" s="50"/>
      <c r="D1094" s="139">
        <f t="shared" si="16"/>
        <v>0</v>
      </c>
      <c r="E1094" s="140">
        <v>17.62</v>
      </c>
      <c r="F1094" s="140">
        <v>14.44</v>
      </c>
      <c r="G1094" s="34" t="s">
        <v>100</v>
      </c>
      <c r="H1094" s="34" t="s">
        <v>39</v>
      </c>
      <c r="I1094" s="35">
        <v>25</v>
      </c>
      <c r="J1094" s="35">
        <v>25</v>
      </c>
      <c r="K1094" s="35">
        <v>250</v>
      </c>
      <c r="L1094" s="60" t="str">
        <f>HYPERLINK("https://www.sds-group.ru/product/homut-chervyachnyy-60-80-12-0-8mm-nerzhaveyuschaya-stal-w2-25-sht-up-rexant-07-0760-12/", "Инфо")</f>
        <v>Инфо</v>
      </c>
      <c r="M1094" s="37">
        <v>2.5000000000000001E-2</v>
      </c>
      <c r="N1094" s="38">
        <v>1.5899999999999999E-4</v>
      </c>
      <c r="O1094" s="141">
        <v>4601004270626</v>
      </c>
    </row>
    <row r="1095" spans="1:15" s="1" customFormat="1" ht="11.45" customHeight="1" outlineLevel="4" x14ac:dyDescent="0.2">
      <c r="A1095" s="32" t="s">
        <v>11886</v>
      </c>
      <c r="B1095" s="74" t="s">
        <v>11887</v>
      </c>
      <c r="C1095" s="50"/>
      <c r="D1095" s="139">
        <f t="shared" si="16"/>
        <v>0</v>
      </c>
      <c r="E1095" s="140">
        <v>13.9</v>
      </c>
      <c r="F1095" s="140">
        <v>11.39</v>
      </c>
      <c r="G1095" s="34" t="s">
        <v>100</v>
      </c>
      <c r="H1095" s="34" t="s">
        <v>39</v>
      </c>
      <c r="I1095" s="35">
        <v>25</v>
      </c>
      <c r="J1095" s="35">
        <v>25</v>
      </c>
      <c r="K1095" s="35">
        <v>500</v>
      </c>
      <c r="L1095" s="60" t="str">
        <f>HYPERLINK("https://www.sds-group.ru/product/homut-chervyachnyy-70-90-9-0-6mm-nerzhaveyuschaya-stal-w2-25-sht-up-rexant-07-0770/", "Инфо")</f>
        <v>Инфо</v>
      </c>
      <c r="M1095" s="37">
        <v>2.1999999999999999E-2</v>
      </c>
      <c r="N1095" s="38">
        <v>7.7000000000000001E-5</v>
      </c>
      <c r="O1095" s="141">
        <v>4601004270138</v>
      </c>
    </row>
    <row r="1096" spans="1:15" s="1" customFormat="1" ht="11.45" customHeight="1" outlineLevel="4" x14ac:dyDescent="0.2">
      <c r="A1096" s="32" t="s">
        <v>11888</v>
      </c>
      <c r="B1096" s="74" t="s">
        <v>11889</v>
      </c>
      <c r="C1096" s="50"/>
      <c r="D1096" s="139">
        <f t="shared" si="16"/>
        <v>0</v>
      </c>
      <c r="E1096" s="140">
        <v>9.99</v>
      </c>
      <c r="F1096" s="140">
        <v>8.19</v>
      </c>
      <c r="G1096" s="34" t="s">
        <v>100</v>
      </c>
      <c r="H1096" s="34" t="s">
        <v>39</v>
      </c>
      <c r="I1096" s="35">
        <v>50</v>
      </c>
      <c r="J1096" s="35">
        <v>50</v>
      </c>
      <c r="K1096" s="39">
        <v>1000</v>
      </c>
      <c r="L1096" s="60" t="str">
        <f>HYPERLINK("https://www.sds-group.ru/product/homut-chervyachnyy-8-12-9-0-7mm-s-klyuchom-nerzhaveyuschaya-stal-w2-50-sht-up-rexant-07-0708-1/", "Инфо")</f>
        <v>Инфо</v>
      </c>
      <c r="M1096" s="37">
        <v>1.0999999999999999E-2</v>
      </c>
      <c r="N1096" s="38">
        <v>2.1999999999999999E-5</v>
      </c>
      <c r="O1096" s="141">
        <v>4601004270411</v>
      </c>
    </row>
    <row r="1097" spans="1:15" ht="11.45" customHeight="1" outlineLevel="2" x14ac:dyDescent="0.2">
      <c r="A1097" s="76" t="s">
        <v>11892</v>
      </c>
      <c r="B1097" s="136"/>
      <c r="C1097" s="77"/>
      <c r="D1097" s="137"/>
      <c r="E1097" s="4"/>
      <c r="F1097" s="4"/>
      <c r="G1097" s="4"/>
      <c r="H1097" s="4"/>
      <c r="I1097" s="4"/>
      <c r="J1097" s="4"/>
      <c r="K1097" s="4"/>
      <c r="L1097" s="138"/>
      <c r="M1097" s="4"/>
      <c r="N1097" s="4"/>
      <c r="O1097" s="4"/>
    </row>
    <row r="1098" spans="1:15" ht="11.45" customHeight="1" outlineLevel="3" x14ac:dyDescent="0.2">
      <c r="A1098" s="76" t="s">
        <v>11893</v>
      </c>
      <c r="B1098" s="136"/>
      <c r="C1098" s="77"/>
      <c r="D1098" s="137"/>
      <c r="E1098" s="4"/>
      <c r="F1098" s="4"/>
      <c r="G1098" s="4"/>
      <c r="H1098" s="4"/>
      <c r="I1098" s="4"/>
      <c r="J1098" s="4"/>
      <c r="K1098" s="4"/>
      <c r="L1098" s="138"/>
      <c r="M1098" s="4"/>
      <c r="N1098" s="4"/>
      <c r="O1098" s="4"/>
    </row>
    <row r="1099" spans="1:15" s="1" customFormat="1" ht="11.45" customHeight="1" outlineLevel="4" x14ac:dyDescent="0.2">
      <c r="A1099" s="32" t="s">
        <v>11894</v>
      </c>
      <c r="B1099" s="74" t="s">
        <v>11895</v>
      </c>
      <c r="C1099" s="50"/>
      <c r="D1099" s="139">
        <f t="shared" ref="D1099:D1162" si="17">C1099*E1099</f>
        <v>0</v>
      </c>
      <c r="E1099" s="140">
        <v>7.62</v>
      </c>
      <c r="F1099" s="140">
        <v>6.25</v>
      </c>
      <c r="G1099" s="34" t="s">
        <v>100</v>
      </c>
      <c r="H1099" s="34" t="s">
        <v>39</v>
      </c>
      <c r="I1099" s="35">
        <v>20</v>
      </c>
      <c r="J1099" s="35">
        <v>20</v>
      </c>
      <c r="K1099" s="39">
        <v>2000</v>
      </c>
      <c r="L1099" s="60" t="str">
        <f>HYPERLINK("https://www.sds-group.ru/product/homut-styazhnoy-mini-10-12-0-5mm-20-sht-up-rexant-07-1110/", "Инфо")</f>
        <v>Инфо</v>
      </c>
      <c r="M1099" s="37">
        <v>6.0000000000000001E-3</v>
      </c>
      <c r="N1099" s="38">
        <v>9.0000000000000002E-6</v>
      </c>
      <c r="O1099" s="141">
        <v>4601004270107</v>
      </c>
    </row>
    <row r="1100" spans="1:15" ht="11.45" customHeight="1" outlineLevel="1" x14ac:dyDescent="0.2">
      <c r="A1100" s="78" t="s">
        <v>11896</v>
      </c>
      <c r="B1100" s="132"/>
      <c r="C1100" s="79"/>
      <c r="D1100" s="133"/>
      <c r="E1100" s="134"/>
      <c r="F1100" s="134"/>
      <c r="G1100" s="134"/>
      <c r="H1100" s="134"/>
      <c r="I1100" s="134"/>
      <c r="J1100" s="134"/>
      <c r="K1100" s="134"/>
      <c r="L1100" s="135"/>
      <c r="M1100" s="134"/>
      <c r="N1100" s="134"/>
      <c r="O1100" s="134"/>
    </row>
    <row r="1101" spans="1:15" ht="11.45" customHeight="1" outlineLevel="2" x14ac:dyDescent="0.2">
      <c r="A1101" s="76" t="s">
        <v>11897</v>
      </c>
      <c r="B1101" s="136"/>
      <c r="C1101" s="77"/>
      <c r="D1101" s="137"/>
      <c r="E1101" s="4"/>
      <c r="F1101" s="4"/>
      <c r="G1101" s="4"/>
      <c r="H1101" s="4"/>
      <c r="I1101" s="4"/>
      <c r="J1101" s="4"/>
      <c r="K1101" s="4"/>
      <c r="L1101" s="138"/>
      <c r="M1101" s="4"/>
      <c r="N1101" s="4"/>
      <c r="O1101" s="4"/>
    </row>
    <row r="1102" spans="1:15" ht="11.45" customHeight="1" outlineLevel="3" x14ac:dyDescent="0.2">
      <c r="A1102" s="76" t="s">
        <v>11911</v>
      </c>
      <c r="B1102" s="136"/>
      <c r="C1102" s="77"/>
      <c r="D1102" s="137"/>
      <c r="E1102" s="4"/>
      <c r="F1102" s="4"/>
      <c r="G1102" s="4"/>
      <c r="H1102" s="4"/>
      <c r="I1102" s="4"/>
      <c r="J1102" s="4"/>
      <c r="K1102" s="4"/>
      <c r="L1102" s="138"/>
      <c r="M1102" s="4"/>
      <c r="N1102" s="4"/>
      <c r="O1102" s="4"/>
    </row>
    <row r="1103" spans="1:15" s="1" customFormat="1" ht="11.45" customHeight="1" outlineLevel="4" x14ac:dyDescent="0.2">
      <c r="A1103" s="32" t="s">
        <v>11922</v>
      </c>
      <c r="B1103" s="74" t="s">
        <v>11923</v>
      </c>
      <c r="C1103" s="50"/>
      <c r="D1103" s="139">
        <f t="shared" si="17"/>
        <v>0</v>
      </c>
      <c r="E1103" s="140">
        <v>82</v>
      </c>
      <c r="F1103" s="140">
        <v>67.209999999999994</v>
      </c>
      <c r="G1103" s="34" t="s">
        <v>100</v>
      </c>
      <c r="H1103" s="34" t="s">
        <v>1001</v>
      </c>
      <c r="I1103" s="35">
        <v>5</v>
      </c>
      <c r="J1103" s="35">
        <v>5</v>
      </c>
      <c r="K1103" s="35">
        <v>20</v>
      </c>
      <c r="L1103" s="60" t="str">
        <f>HYPERLINK("https://www.sds-group.ru/product/ploschadka-pod-styazhku-usilennaya-dlya-pryamogo-montazha-35h35mm-chernaya-50-sht-up-rexant-07-2109/", "Инфо")</f>
        <v>Инфо</v>
      </c>
      <c r="M1103" s="37">
        <v>0.27600000000000002</v>
      </c>
      <c r="N1103" s="38">
        <v>1.279E-3</v>
      </c>
      <c r="O1103" s="141">
        <v>4601004342057</v>
      </c>
    </row>
    <row r="1104" spans="1:15" ht="11.45" customHeight="1" outlineLevel="2" x14ac:dyDescent="0.2">
      <c r="A1104" s="76" t="s">
        <v>11947</v>
      </c>
      <c r="B1104" s="136"/>
      <c r="C1104" s="77"/>
      <c r="D1104" s="137"/>
      <c r="E1104" s="4"/>
      <c r="F1104" s="4"/>
      <c r="G1104" s="4"/>
      <c r="H1104" s="4"/>
      <c r="I1104" s="4"/>
      <c r="J1104" s="4"/>
      <c r="K1104" s="4"/>
      <c r="L1104" s="138"/>
      <c r="M1104" s="4"/>
      <c r="N1104" s="4"/>
      <c r="O1104" s="4"/>
    </row>
    <row r="1105" spans="1:15" ht="11.45" customHeight="1" outlineLevel="3" x14ac:dyDescent="0.2">
      <c r="A1105" s="76" t="s">
        <v>12079</v>
      </c>
      <c r="B1105" s="136"/>
      <c r="C1105" s="77"/>
      <c r="D1105" s="137"/>
      <c r="E1105" s="4"/>
      <c r="F1105" s="4"/>
      <c r="G1105" s="4"/>
      <c r="H1105" s="4"/>
      <c r="I1105" s="4"/>
      <c r="J1105" s="4"/>
      <c r="K1105" s="4"/>
      <c r="L1105" s="138"/>
      <c r="M1105" s="4"/>
      <c r="N1105" s="4"/>
      <c r="O1105" s="4"/>
    </row>
    <row r="1106" spans="1:15" s="1" customFormat="1" ht="11.45" customHeight="1" outlineLevel="4" x14ac:dyDescent="0.2">
      <c r="A1106" s="32" t="s">
        <v>12080</v>
      </c>
      <c r="B1106" s="74" t="s">
        <v>12081</v>
      </c>
      <c r="C1106" s="50"/>
      <c r="D1106" s="139">
        <f t="shared" si="17"/>
        <v>0</v>
      </c>
      <c r="E1106" s="140">
        <v>24.28</v>
      </c>
      <c r="F1106" s="140">
        <v>19.899999999999999</v>
      </c>
      <c r="G1106" s="34" t="s">
        <v>100</v>
      </c>
      <c r="H1106" s="34" t="s">
        <v>1001</v>
      </c>
      <c r="I1106" s="35">
        <v>1</v>
      </c>
      <c r="J1106" s="35">
        <v>1</v>
      </c>
      <c r="K1106" s="39">
        <v>1000</v>
      </c>
      <c r="L1106" s="60" t="str">
        <f>HYPERLINK("https://www.sds-group.ru/product/ploschadka-samokleyaschayasya-c-klipsoy-pod-shleyf-17h12-mm-10-sht-up-rexant-07-2317-10/", "Инфо")</f>
        <v>Инфо</v>
      </c>
      <c r="M1106" s="37">
        <v>8.9999999999999993E-3</v>
      </c>
      <c r="N1106" s="38">
        <v>4.8000000000000001E-5</v>
      </c>
      <c r="O1106" s="141">
        <v>4601004124806</v>
      </c>
    </row>
    <row r="1107" spans="1:15" s="1" customFormat="1" ht="11.45" customHeight="1" outlineLevel="4" x14ac:dyDescent="0.2">
      <c r="A1107" s="32" t="s">
        <v>12082</v>
      </c>
      <c r="B1107" s="74" t="s">
        <v>12083</v>
      </c>
      <c r="C1107" s="50"/>
      <c r="D1107" s="139">
        <f t="shared" si="17"/>
        <v>0</v>
      </c>
      <c r="E1107" s="140">
        <v>457.4</v>
      </c>
      <c r="F1107" s="140">
        <v>374.92</v>
      </c>
      <c r="G1107" s="34" t="s">
        <v>100</v>
      </c>
      <c r="H1107" s="34" t="s">
        <v>1001</v>
      </c>
      <c r="I1107" s="35">
        <v>1</v>
      </c>
      <c r="J1107" s="35">
        <v>1</v>
      </c>
      <c r="K1107" s="35">
        <v>100</v>
      </c>
      <c r="L1107" s="60" t="str">
        <f>HYPERLINK("https://www.sds-group.ru/product/ploschadka-samokleyaschayasya-c-klipsoy-pod-shleyf-17h12-mm-100-sht-up-rexant-07-2317/", "Инфо")</f>
        <v>Инфо</v>
      </c>
      <c r="M1107" s="37">
        <v>5.2999999999999999E-2</v>
      </c>
      <c r="N1107" s="38">
        <v>3.3E-4</v>
      </c>
      <c r="O1107" s="141">
        <v>4610003603427</v>
      </c>
    </row>
    <row r="1108" spans="1:15" s="1" customFormat="1" ht="11.45" customHeight="1" outlineLevel="4" x14ac:dyDescent="0.2">
      <c r="A1108" s="32" t="s">
        <v>12084</v>
      </c>
      <c r="B1108" s="74" t="s">
        <v>12085</v>
      </c>
      <c r="C1108" s="50"/>
      <c r="D1108" s="139">
        <f t="shared" si="17"/>
        <v>0</v>
      </c>
      <c r="E1108" s="140">
        <v>9.1</v>
      </c>
      <c r="F1108" s="140">
        <v>7.46</v>
      </c>
      <c r="G1108" s="34" t="s">
        <v>100</v>
      </c>
      <c r="H1108" s="34" t="s">
        <v>1001</v>
      </c>
      <c r="I1108" s="35">
        <v>1</v>
      </c>
      <c r="J1108" s="35">
        <v>1</v>
      </c>
      <c r="K1108" s="35">
        <v>10</v>
      </c>
      <c r="L1108" s="60" t="str">
        <f>HYPERLINK("https://www.sds-group.ru/product/ploschadka-samokleyaschayasya-c-klipsoy-17h12-mm-dlya-krepleniya-novogodney-girlyandy-10-071-2317-10/", "Инфо")</f>
        <v>Инфо</v>
      </c>
      <c r="M1108" s="37">
        <v>8.9999999999999993E-3</v>
      </c>
      <c r="N1108" s="38">
        <v>8.0000000000000007E-5</v>
      </c>
      <c r="O1108" s="141">
        <v>4601004236868</v>
      </c>
    </row>
    <row r="1109" spans="1:15" s="1" customFormat="1" ht="11.45" customHeight="1" outlineLevel="4" x14ac:dyDescent="0.2">
      <c r="A1109" s="32" t="s">
        <v>12088</v>
      </c>
      <c r="B1109" s="74" t="s">
        <v>12089</v>
      </c>
      <c r="C1109" s="50"/>
      <c r="D1109" s="139">
        <f t="shared" si="17"/>
        <v>0</v>
      </c>
      <c r="E1109" s="140">
        <v>14.03</v>
      </c>
      <c r="F1109" s="140">
        <v>11.5</v>
      </c>
      <c r="G1109" s="34" t="s">
        <v>100</v>
      </c>
      <c r="H1109" s="34" t="s">
        <v>1001</v>
      </c>
      <c r="I1109" s="35">
        <v>1</v>
      </c>
      <c r="J1109" s="35">
        <v>1</v>
      </c>
      <c r="K1109" s="35">
        <v>10</v>
      </c>
      <c r="L1109" s="60" t="str">
        <f>HYPERLINK("https://www.sds-group.ru/product/ploschadka-samokleyaschayasya-c-klipsoy-20h14-mm-dlya-krepleniya-novogodney-girlyandy-10-071-2320-10/", "Инфо")</f>
        <v>Инфо</v>
      </c>
      <c r="M1109" s="37">
        <v>1.2E-2</v>
      </c>
      <c r="N1109" s="38">
        <v>1E-4</v>
      </c>
      <c r="O1109" s="141">
        <v>4601004236851</v>
      </c>
    </row>
    <row r="1110" spans="1:15" s="1" customFormat="1" ht="11.45" customHeight="1" outlineLevel="4" x14ac:dyDescent="0.2">
      <c r="A1110" s="32" t="s">
        <v>12092</v>
      </c>
      <c r="B1110" s="74" t="s">
        <v>12093</v>
      </c>
      <c r="C1110" s="50"/>
      <c r="D1110" s="139">
        <f t="shared" si="17"/>
        <v>0</v>
      </c>
      <c r="E1110" s="140">
        <v>764.85</v>
      </c>
      <c r="F1110" s="140">
        <v>626.92999999999995</v>
      </c>
      <c r="G1110" s="34" t="s">
        <v>100</v>
      </c>
      <c r="H1110" s="34" t="s">
        <v>1001</v>
      </c>
      <c r="I1110" s="35">
        <v>1</v>
      </c>
      <c r="J1110" s="35">
        <v>1</v>
      </c>
      <c r="K1110" s="35">
        <v>50</v>
      </c>
      <c r="L1110" s="60" t="str">
        <f>HYPERLINK("https://www.sds-group.ru/product/ploschadka-samokleyaschayasya-metallicheskaya-s-klipsoy-pod-shleyf-30x20-mm-100-sht-up-rexan-07-2430/", "Инфо")</f>
        <v>Инфо</v>
      </c>
      <c r="M1110" s="37">
        <v>0.35499999999999998</v>
      </c>
      <c r="N1110" s="38">
        <v>7.85E-4</v>
      </c>
      <c r="O1110" s="141">
        <v>4610003603458</v>
      </c>
    </row>
    <row r="1111" spans="1:15" ht="11.45" customHeight="1" outlineLevel="1" x14ac:dyDescent="0.2">
      <c r="A1111" s="78" t="s">
        <v>12216</v>
      </c>
      <c r="B1111" s="132"/>
      <c r="C1111" s="79"/>
      <c r="D1111" s="133"/>
      <c r="E1111" s="134"/>
      <c r="F1111" s="134"/>
      <c r="G1111" s="134"/>
      <c r="H1111" s="134"/>
      <c r="I1111" s="134"/>
      <c r="J1111" s="134"/>
      <c r="K1111" s="134"/>
      <c r="L1111" s="135"/>
      <c r="M1111" s="134"/>
      <c r="N1111" s="134"/>
      <c r="O1111" s="134"/>
    </row>
    <row r="1112" spans="1:15" ht="11.45" customHeight="1" outlineLevel="2" x14ac:dyDescent="0.2">
      <c r="A1112" s="76" t="s">
        <v>12217</v>
      </c>
      <c r="B1112" s="136"/>
      <c r="C1112" s="77"/>
      <c r="D1112" s="137"/>
      <c r="E1112" s="4"/>
      <c r="F1112" s="4"/>
      <c r="G1112" s="4"/>
      <c r="H1112" s="4"/>
      <c r="I1112" s="4"/>
      <c r="J1112" s="4"/>
      <c r="K1112" s="4"/>
      <c r="L1112" s="138"/>
      <c r="M1112" s="4"/>
      <c r="N1112" s="4"/>
      <c r="O1112" s="4"/>
    </row>
    <row r="1113" spans="1:15" s="1" customFormat="1" ht="11.45" customHeight="1" outlineLevel="3" x14ac:dyDescent="0.2">
      <c r="A1113" s="32" t="s">
        <v>12218</v>
      </c>
      <c r="B1113" s="74" t="s">
        <v>12219</v>
      </c>
      <c r="C1113" s="50"/>
      <c r="D1113" s="139">
        <f t="shared" si="17"/>
        <v>0</v>
      </c>
      <c r="E1113" s="140">
        <v>18.329999999999998</v>
      </c>
      <c r="F1113" s="140">
        <v>15.02</v>
      </c>
      <c r="G1113" s="34" t="s">
        <v>100</v>
      </c>
      <c r="H1113" s="34" t="s">
        <v>39</v>
      </c>
      <c r="I1113" s="35">
        <v>1</v>
      </c>
      <c r="J1113" s="35">
        <v>1</v>
      </c>
      <c r="K1113" s="35">
        <v>50</v>
      </c>
      <c r="L1113" s="60" t="str">
        <f>HYPERLINK("https://www.sds-group.ru/product/petlya-kartochnaya-40h50-tsink-chetyre-sezona-79-1046/", "Инфо")</f>
        <v>Инфо</v>
      </c>
      <c r="M1113" s="37">
        <v>3.3000000000000002E-2</v>
      </c>
      <c r="N1113" s="38">
        <v>1E-4</v>
      </c>
      <c r="O1113" s="141">
        <v>4601004142701</v>
      </c>
    </row>
    <row r="1114" spans="1:15" ht="11.45" customHeight="1" outlineLevel="2" x14ac:dyDescent="0.2">
      <c r="A1114" s="76" t="s">
        <v>12220</v>
      </c>
      <c r="B1114" s="136"/>
      <c r="C1114" s="77"/>
      <c r="D1114" s="137"/>
      <c r="E1114" s="4"/>
      <c r="F1114" s="4"/>
      <c r="G1114" s="4"/>
      <c r="H1114" s="4"/>
      <c r="I1114" s="4"/>
      <c r="J1114" s="4"/>
      <c r="K1114" s="4"/>
      <c r="L1114" s="138"/>
      <c r="M1114" s="4"/>
      <c r="N1114" s="4"/>
      <c r="O1114" s="4"/>
    </row>
    <row r="1115" spans="1:15" s="1" customFormat="1" ht="11.45" customHeight="1" outlineLevel="3" x14ac:dyDescent="0.2">
      <c r="A1115" s="32" t="s">
        <v>12221</v>
      </c>
      <c r="B1115" s="74" t="s">
        <v>12222</v>
      </c>
      <c r="C1115" s="50"/>
      <c r="D1115" s="139">
        <f t="shared" si="17"/>
        <v>0</v>
      </c>
      <c r="E1115" s="140">
        <v>28.03</v>
      </c>
      <c r="F1115" s="140">
        <v>22.98</v>
      </c>
      <c r="G1115" s="34" t="s">
        <v>100</v>
      </c>
      <c r="H1115" s="34" t="s">
        <v>39</v>
      </c>
      <c r="I1115" s="35">
        <v>1</v>
      </c>
      <c r="J1115" s="35">
        <v>1</v>
      </c>
      <c r="K1115" s="35">
        <v>100</v>
      </c>
      <c r="L1115" s="60" t="str">
        <f>HYPERLINK("https://www.sds-group.ru/product/zadvizhka-nakladnaya-zt-60-tsink-chetyre-sezona-79-1086/", "Инфо")</f>
        <v>Инфо</v>
      </c>
      <c r="M1115" s="37">
        <v>3.6999999999999998E-2</v>
      </c>
      <c r="N1115" s="38">
        <v>9.7E-5</v>
      </c>
      <c r="O1115" s="141">
        <v>4601004147775</v>
      </c>
    </row>
    <row r="1116" spans="1:15" s="1" customFormat="1" ht="11.45" customHeight="1" outlineLevel="3" x14ac:dyDescent="0.2">
      <c r="A1116" s="32" t="s">
        <v>12223</v>
      </c>
      <c r="B1116" s="74" t="s">
        <v>12224</v>
      </c>
      <c r="C1116" s="50"/>
      <c r="D1116" s="139">
        <f t="shared" si="17"/>
        <v>0</v>
      </c>
      <c r="E1116" s="140">
        <v>28.87</v>
      </c>
      <c r="F1116" s="140">
        <v>23.66</v>
      </c>
      <c r="G1116" s="34" t="s">
        <v>100</v>
      </c>
      <c r="H1116" s="34" t="s">
        <v>39</v>
      </c>
      <c r="I1116" s="35">
        <v>1</v>
      </c>
      <c r="J1116" s="35">
        <v>1</v>
      </c>
      <c r="K1116" s="35">
        <v>100</v>
      </c>
      <c r="L1116" s="60" t="str">
        <f>HYPERLINK("https://www.sds-group.ru/product/zadvizhka-nakladnaya-80-tsink-chetyre-sezona-79-1082/", "Инфо")</f>
        <v>Инфо</v>
      </c>
      <c r="M1116" s="37">
        <v>6.4000000000000001E-2</v>
      </c>
      <c r="N1116" s="38">
        <v>2.1499999999999999E-4</v>
      </c>
      <c r="O1116" s="141">
        <v>4601004125117</v>
      </c>
    </row>
    <row r="1117" spans="1:15" s="1" customFormat="1" ht="11.45" customHeight="1" outlineLevel="3" x14ac:dyDescent="0.2">
      <c r="A1117" s="32" t="s">
        <v>12225</v>
      </c>
      <c r="B1117" s="74" t="s">
        <v>12226</v>
      </c>
      <c r="C1117" s="50"/>
      <c r="D1117" s="139">
        <f t="shared" si="17"/>
        <v>0</v>
      </c>
      <c r="E1117" s="140">
        <v>28.84</v>
      </c>
      <c r="F1117" s="140">
        <v>23.64</v>
      </c>
      <c r="G1117" s="34" t="s">
        <v>100</v>
      </c>
      <c r="H1117" s="34" t="s">
        <v>39</v>
      </c>
      <c r="I1117" s="35">
        <v>1</v>
      </c>
      <c r="J1117" s="35">
        <v>1</v>
      </c>
      <c r="K1117" s="35">
        <v>100</v>
      </c>
      <c r="L1117" s="60" t="str">
        <f>HYPERLINK("https://www.sds-group.ru/product/zadvizhka-nakladnaya-shp-40-polimer-chetyre-sezona-79-1089/", "Инфо")</f>
        <v>Инфо</v>
      </c>
      <c r="M1117" s="37">
        <v>3.4000000000000002E-2</v>
      </c>
      <c r="N1117" s="38">
        <v>8.8999999999999995E-5</v>
      </c>
      <c r="O1117" s="141">
        <v>4601004147737</v>
      </c>
    </row>
    <row r="1118" spans="1:15" s="1" customFormat="1" ht="11.45" customHeight="1" outlineLevel="3" x14ac:dyDescent="0.2">
      <c r="A1118" s="32" t="s">
        <v>12227</v>
      </c>
      <c r="B1118" s="74" t="s">
        <v>12228</v>
      </c>
      <c r="C1118" s="50"/>
      <c r="D1118" s="139">
        <f t="shared" si="17"/>
        <v>0</v>
      </c>
      <c r="E1118" s="140">
        <v>38.020000000000003</v>
      </c>
      <c r="F1118" s="140">
        <v>31.16</v>
      </c>
      <c r="G1118" s="34" t="s">
        <v>100</v>
      </c>
      <c r="H1118" s="34" t="s">
        <v>39</v>
      </c>
      <c r="I1118" s="35">
        <v>1</v>
      </c>
      <c r="J1118" s="35">
        <v>1</v>
      </c>
      <c r="K1118" s="35">
        <v>200</v>
      </c>
      <c r="L1118" s="60" t="str">
        <f>HYPERLINK("https://www.sds-group.ru/product/zadvizhka-nakladnaya-shp-60-polimer-chetyre-sezona-79-1091/", "Инфо")</f>
        <v>Инфо</v>
      </c>
      <c r="M1118" s="37">
        <v>6.6000000000000003E-2</v>
      </c>
      <c r="N1118" s="38">
        <v>1E-4</v>
      </c>
      <c r="O1118" s="141">
        <v>4601004147751</v>
      </c>
    </row>
    <row r="1119" spans="1:15" s="1" customFormat="1" ht="11.45" customHeight="1" outlineLevel="3" x14ac:dyDescent="0.2">
      <c r="A1119" s="32" t="s">
        <v>12229</v>
      </c>
      <c r="B1119" s="74" t="s">
        <v>12230</v>
      </c>
      <c r="C1119" s="50"/>
      <c r="D1119" s="139">
        <f t="shared" si="17"/>
        <v>0</v>
      </c>
      <c r="E1119" s="140">
        <v>41.1</v>
      </c>
      <c r="F1119" s="140">
        <v>33.69</v>
      </c>
      <c r="G1119" s="34" t="s">
        <v>100</v>
      </c>
      <c r="H1119" s="34" t="s">
        <v>39</v>
      </c>
      <c r="I1119" s="35">
        <v>1</v>
      </c>
      <c r="J1119" s="35">
        <v>1</v>
      </c>
      <c r="K1119" s="35">
        <v>100</v>
      </c>
      <c r="L1119" s="60" t="str">
        <f>HYPERLINK("https://www.sds-group.ru/product/zadvizhka-nakladnaya-shp-60-tsink-chetyre-sezona-79-1090/", "Инфо")</f>
        <v>Инфо</v>
      </c>
      <c r="M1119" s="37">
        <v>6.6000000000000003E-2</v>
      </c>
      <c r="N1119" s="38">
        <v>1.8000000000000001E-4</v>
      </c>
      <c r="O1119" s="141">
        <v>4601004147744</v>
      </c>
    </row>
    <row r="1120" spans="1:15" s="1" customFormat="1" ht="11.45" customHeight="1" outlineLevel="3" x14ac:dyDescent="0.2">
      <c r="A1120" s="32" t="s">
        <v>12231</v>
      </c>
      <c r="B1120" s="74" t="s">
        <v>12232</v>
      </c>
      <c r="C1120" s="50"/>
      <c r="D1120" s="139">
        <f t="shared" si="17"/>
        <v>0</v>
      </c>
      <c r="E1120" s="140">
        <v>12.23</v>
      </c>
      <c r="F1120" s="140">
        <v>10.02</v>
      </c>
      <c r="G1120" s="34" t="s">
        <v>100</v>
      </c>
      <c r="H1120" s="34" t="s">
        <v>39</v>
      </c>
      <c r="I1120" s="35">
        <v>1</v>
      </c>
      <c r="J1120" s="35">
        <v>1</v>
      </c>
      <c r="K1120" s="35">
        <v>500</v>
      </c>
      <c r="L1120" s="60" t="str">
        <f>HYPERLINK("https://www.sds-group.ru/product/nakladka-dlya-zamka-18h50-tsink-chetyre-sezona-79-1003/", "Инфо")</f>
        <v>Инфо</v>
      </c>
      <c r="M1120" s="37">
        <v>1.4E-2</v>
      </c>
      <c r="N1120" s="38">
        <v>9.0000000000000006E-5</v>
      </c>
      <c r="O1120" s="141">
        <v>4601004125179</v>
      </c>
    </row>
    <row r="1121" spans="1:15" s="1" customFormat="1" ht="11.45" customHeight="1" outlineLevel="3" x14ac:dyDescent="0.2">
      <c r="A1121" s="32" t="s">
        <v>12233</v>
      </c>
      <c r="B1121" s="74" t="s">
        <v>12234</v>
      </c>
      <c r="C1121" s="50"/>
      <c r="D1121" s="139">
        <f t="shared" si="17"/>
        <v>0</v>
      </c>
      <c r="E1121" s="140">
        <v>12.96</v>
      </c>
      <c r="F1121" s="140">
        <v>10.62</v>
      </c>
      <c r="G1121" s="34" t="s">
        <v>100</v>
      </c>
      <c r="H1121" s="34" t="s">
        <v>39</v>
      </c>
      <c r="I1121" s="35">
        <v>1</v>
      </c>
      <c r="J1121" s="35">
        <v>1</v>
      </c>
      <c r="K1121" s="35">
        <v>600</v>
      </c>
      <c r="L1121" s="60" t="str">
        <f>HYPERLINK("https://www.sds-group.ru/product/nakladka-dlya-zamka-30h70-tsink-chetyre-sezona-79-1007/", "Инфо")</f>
        <v>Инфо</v>
      </c>
      <c r="M1121" s="37">
        <v>2.9000000000000001E-2</v>
      </c>
      <c r="N1121" s="38">
        <v>4.8999999999999998E-5</v>
      </c>
      <c r="O1121" s="141">
        <v>4601004125216</v>
      </c>
    </row>
    <row r="1122" spans="1:15" s="1" customFormat="1" ht="11.45" customHeight="1" outlineLevel="3" x14ac:dyDescent="0.2">
      <c r="A1122" s="32" t="s">
        <v>12235</v>
      </c>
      <c r="B1122" s="74" t="s">
        <v>12236</v>
      </c>
      <c r="C1122" s="50"/>
      <c r="D1122" s="139">
        <f t="shared" si="17"/>
        <v>0</v>
      </c>
      <c r="E1122" s="140">
        <v>20.38</v>
      </c>
      <c r="F1122" s="140">
        <v>16.7</v>
      </c>
      <c r="G1122" s="34" t="s">
        <v>100</v>
      </c>
      <c r="H1122" s="34" t="s">
        <v>39</v>
      </c>
      <c r="I1122" s="35">
        <v>1</v>
      </c>
      <c r="J1122" s="35">
        <v>1</v>
      </c>
      <c r="K1122" s="35">
        <v>150</v>
      </c>
      <c r="L1122" s="60" t="str">
        <f>HYPERLINK("https://www.sds-group.ru/product/nakladka-dlya-zamka-40h90-gnutaya-chetyre-sezona-79-1009/", "Инфо")</f>
        <v>Инфо</v>
      </c>
      <c r="M1122" s="37">
        <v>7.2999999999999995E-2</v>
      </c>
      <c r="N1122" s="38">
        <v>1.8000000000000001E-4</v>
      </c>
      <c r="O1122" s="141">
        <v>4601004125230</v>
      </c>
    </row>
    <row r="1123" spans="1:15" s="1" customFormat="1" ht="11.45" customHeight="1" outlineLevel="3" x14ac:dyDescent="0.2">
      <c r="A1123" s="32" t="s">
        <v>12237</v>
      </c>
      <c r="B1123" s="74" t="s">
        <v>12238</v>
      </c>
      <c r="C1123" s="50"/>
      <c r="D1123" s="139">
        <f t="shared" si="17"/>
        <v>0</v>
      </c>
      <c r="E1123" s="140">
        <v>26.59</v>
      </c>
      <c r="F1123" s="140">
        <v>21.8</v>
      </c>
      <c r="G1123" s="34" t="s">
        <v>100</v>
      </c>
      <c r="H1123" s="34" t="s">
        <v>39</v>
      </c>
      <c r="I1123" s="35">
        <v>1</v>
      </c>
      <c r="J1123" s="35">
        <v>1</v>
      </c>
      <c r="K1123" s="35">
        <v>150</v>
      </c>
      <c r="L1123" s="60" t="str">
        <f>HYPERLINK("https://www.sds-group.ru/product/nakladka-dlya-zamka-40h90-tsink-gnutaya-chetyre-sezona-79-1010/", "Инфо")</f>
        <v>Инфо</v>
      </c>
      <c r="M1123" s="37">
        <v>6.7000000000000004E-2</v>
      </c>
      <c r="N1123" s="38">
        <v>4.0400000000000001E-4</v>
      </c>
      <c r="O1123" s="141">
        <v>4601004125247</v>
      </c>
    </row>
    <row r="1124" spans="1:15" ht="11.45" customHeight="1" outlineLevel="1" x14ac:dyDescent="0.2">
      <c r="A1124" s="78" t="s">
        <v>12239</v>
      </c>
      <c r="B1124" s="132"/>
      <c r="C1124" s="79"/>
      <c r="D1124" s="133"/>
      <c r="E1124" s="134"/>
      <c r="F1124" s="134"/>
      <c r="G1124" s="134"/>
      <c r="H1124" s="134"/>
      <c r="I1124" s="134"/>
      <c r="J1124" s="134"/>
      <c r="K1124" s="134"/>
      <c r="L1124" s="135"/>
      <c r="M1124" s="134"/>
      <c r="N1124" s="134"/>
      <c r="O1124" s="134"/>
    </row>
    <row r="1125" spans="1:15" ht="11.45" customHeight="1" outlineLevel="2" x14ac:dyDescent="0.2">
      <c r="A1125" s="76" t="s">
        <v>12240</v>
      </c>
      <c r="B1125" s="136"/>
      <c r="C1125" s="77"/>
      <c r="D1125" s="137"/>
      <c r="E1125" s="4"/>
      <c r="F1125" s="4"/>
      <c r="G1125" s="4"/>
      <c r="H1125" s="4"/>
      <c r="I1125" s="4"/>
      <c r="J1125" s="4"/>
      <c r="K1125" s="4"/>
      <c r="L1125" s="138"/>
      <c r="M1125" s="4"/>
      <c r="N1125" s="4"/>
      <c r="O1125" s="4"/>
    </row>
    <row r="1126" spans="1:15" s="1" customFormat="1" ht="11.45" customHeight="1" outlineLevel="3" x14ac:dyDescent="0.2">
      <c r="A1126" s="32" t="s">
        <v>12251</v>
      </c>
      <c r="B1126" s="74" t="s">
        <v>12252</v>
      </c>
      <c r="C1126" s="50"/>
      <c r="D1126" s="139">
        <f t="shared" si="17"/>
        <v>0</v>
      </c>
      <c r="E1126" s="140">
        <v>210.2</v>
      </c>
      <c r="F1126" s="140">
        <v>172.3</v>
      </c>
      <c r="G1126" s="34" t="s">
        <v>100</v>
      </c>
      <c r="H1126" s="34" t="s">
        <v>1001</v>
      </c>
      <c r="I1126" s="35">
        <v>1</v>
      </c>
      <c r="J1126" s="35">
        <v>1</v>
      </c>
      <c r="K1126" s="35">
        <v>32</v>
      </c>
      <c r="L1126" s="60" t="str">
        <f>HYPERLINK("https://www.sds-group.ru/product/nabor-kartinnogo-krepezha-116-sht-up-kranz-KR-01-3101-04/", "Инфо")</f>
        <v>Инфо</v>
      </c>
      <c r="M1126" s="37">
        <v>0.26</v>
      </c>
      <c r="N1126" s="38">
        <v>9.9599999999999992E-4</v>
      </c>
      <c r="O1126" s="141">
        <v>4601004171893</v>
      </c>
    </row>
    <row r="1127" spans="1:15" s="1" customFormat="1" ht="11.45" customHeight="1" outlineLevel="3" x14ac:dyDescent="0.2">
      <c r="A1127" s="32" t="s">
        <v>12255</v>
      </c>
      <c r="B1127" s="74" t="s">
        <v>12256</v>
      </c>
      <c r="C1127" s="50"/>
      <c r="D1127" s="139">
        <f t="shared" si="17"/>
        <v>0</v>
      </c>
      <c r="E1127" s="140">
        <v>159.49</v>
      </c>
      <c r="F1127" s="140">
        <v>130.72999999999999</v>
      </c>
      <c r="G1127" s="34" t="s">
        <v>100</v>
      </c>
      <c r="H1127" s="34" t="s">
        <v>4698</v>
      </c>
      <c r="I1127" s="35">
        <v>1</v>
      </c>
      <c r="J1127" s="35">
        <v>1</v>
      </c>
      <c r="K1127" s="35">
        <v>60</v>
      </c>
      <c r="L1127" s="60" t="str">
        <f>HYPERLINK("https://www.sds-group.ru/product/nabor-ploskih-i-grovernyh-shayb-200-sht-up-kranz-KR-01-3101-21/", "Инфо")</f>
        <v>Инфо</v>
      </c>
      <c r="M1127" s="37">
        <v>0.21</v>
      </c>
      <c r="N1127" s="38">
        <v>4.5600000000000003E-4</v>
      </c>
      <c r="O1127" s="141">
        <v>4601004294622</v>
      </c>
    </row>
    <row r="1128" spans="1:15" s="1" customFormat="1" ht="11.45" customHeight="1" outlineLevel="3" x14ac:dyDescent="0.2">
      <c r="A1128" s="32" t="s">
        <v>12261</v>
      </c>
      <c r="B1128" s="74" t="s">
        <v>12262</v>
      </c>
      <c r="C1128" s="50"/>
      <c r="D1128" s="139">
        <f t="shared" si="17"/>
        <v>0</v>
      </c>
      <c r="E1128" s="140">
        <v>214.49</v>
      </c>
      <c r="F1128" s="140">
        <v>175.81</v>
      </c>
      <c r="G1128" s="34" t="s">
        <v>100</v>
      </c>
      <c r="H1128" s="34" t="s">
        <v>4698</v>
      </c>
      <c r="I1128" s="35">
        <v>1</v>
      </c>
      <c r="J1128" s="35">
        <v>1</v>
      </c>
      <c r="K1128" s="35">
        <v>24</v>
      </c>
      <c r="L1128" s="60" t="str">
        <f>HYPERLINK("https://www.sds-group.ru/product/nabor-rezinovyh-uplotnitelnyh-kolets-3-22mm-225-sht-up-kranz-KR-01-3101-17/", "Инфо")</f>
        <v>Инфо</v>
      </c>
      <c r="M1128" s="37">
        <v>0.13900000000000001</v>
      </c>
      <c r="N1128" s="38">
        <v>9.9299999999999996E-4</v>
      </c>
      <c r="O1128" s="141">
        <v>4601004283725</v>
      </c>
    </row>
    <row r="1129" spans="1:15" ht="11.45" customHeight="1" outlineLevel="1" x14ac:dyDescent="0.2">
      <c r="A1129" s="78" t="s">
        <v>12279</v>
      </c>
      <c r="B1129" s="132"/>
      <c r="C1129" s="79"/>
      <c r="D1129" s="133"/>
      <c r="E1129" s="134"/>
      <c r="F1129" s="134"/>
      <c r="G1129" s="134"/>
      <c r="H1129" s="134"/>
      <c r="I1129" s="134"/>
      <c r="J1129" s="134"/>
      <c r="K1129" s="134"/>
      <c r="L1129" s="135"/>
      <c r="M1129" s="134"/>
      <c r="N1129" s="134"/>
      <c r="O1129" s="134"/>
    </row>
    <row r="1130" spans="1:15" ht="11.45" customHeight="1" outlineLevel="2" x14ac:dyDescent="0.2">
      <c r="A1130" s="76" t="s">
        <v>12280</v>
      </c>
      <c r="B1130" s="136"/>
      <c r="C1130" s="77"/>
      <c r="D1130" s="137"/>
      <c r="E1130" s="4"/>
      <c r="F1130" s="4"/>
      <c r="G1130" s="4"/>
      <c r="H1130" s="4"/>
      <c r="I1130" s="4"/>
      <c r="J1130" s="4"/>
      <c r="K1130" s="4"/>
      <c r="L1130" s="138"/>
      <c r="M1130" s="4"/>
      <c r="N1130" s="4"/>
      <c r="O1130" s="4"/>
    </row>
    <row r="1131" spans="1:15" s="1" customFormat="1" ht="11.45" customHeight="1" outlineLevel="3" x14ac:dyDescent="0.2">
      <c r="A1131" s="32" t="s">
        <v>12281</v>
      </c>
      <c r="B1131" s="74" t="s">
        <v>12282</v>
      </c>
      <c r="C1131" s="50"/>
      <c r="D1131" s="139">
        <f t="shared" si="17"/>
        <v>0</v>
      </c>
      <c r="E1131" s="140">
        <v>118.26</v>
      </c>
      <c r="F1131" s="140">
        <v>96.93</v>
      </c>
      <c r="G1131" s="34" t="s">
        <v>100</v>
      </c>
      <c r="H1131" s="34" t="s">
        <v>1001</v>
      </c>
      <c r="I1131" s="35">
        <v>5</v>
      </c>
      <c r="J1131" s="35">
        <v>5</v>
      </c>
      <c r="K1131" s="35">
        <v>32</v>
      </c>
      <c r="L1131" s="60" t="str">
        <f>HYPERLINK("https://www.sds-group.ru/product/samorez-universalnyy-3-0h16-mm-zheltyy-tsink-korob-500-sht-up-kranz-KR-01-3311-010/", "Инфо")</f>
        <v>Инфо</v>
      </c>
      <c r="M1131" s="37">
        <v>0.26900000000000002</v>
      </c>
      <c r="N1131" s="38">
        <v>2.9100000000000003E-4</v>
      </c>
      <c r="O1131" s="141">
        <v>4601004230996</v>
      </c>
    </row>
    <row r="1132" spans="1:15" s="1" customFormat="1" ht="11.45" customHeight="1" outlineLevel="3" x14ac:dyDescent="0.2">
      <c r="A1132" s="32" t="s">
        <v>12283</v>
      </c>
      <c r="B1132" s="74" t="s">
        <v>12284</v>
      </c>
      <c r="C1132" s="50"/>
      <c r="D1132" s="139">
        <f t="shared" si="17"/>
        <v>0</v>
      </c>
      <c r="E1132" s="140">
        <v>72.81</v>
      </c>
      <c r="F1132" s="140">
        <v>59.68</v>
      </c>
      <c r="G1132" s="34" t="s">
        <v>100</v>
      </c>
      <c r="H1132" s="34" t="s">
        <v>1001</v>
      </c>
      <c r="I1132" s="35">
        <v>10</v>
      </c>
      <c r="J1132" s="35">
        <v>10</v>
      </c>
      <c r="K1132" s="35">
        <v>32</v>
      </c>
      <c r="L1132" s="60" t="str">
        <f>HYPERLINK("https://www.sds-group.ru/product/samorez-universalnyy-3-0h20-mm-zheltyy-tsink-korob-200-sht-up-kranz-KR-01-3311-011/", "Инфо")</f>
        <v>Инфо</v>
      </c>
      <c r="M1132" s="37">
        <v>0.14399999999999999</v>
      </c>
      <c r="N1132" s="38">
        <v>2.9700000000000001E-4</v>
      </c>
      <c r="O1132" s="141">
        <v>4601004230705</v>
      </c>
    </row>
    <row r="1133" spans="1:15" s="1" customFormat="1" ht="11.45" customHeight="1" outlineLevel="3" x14ac:dyDescent="0.2">
      <c r="A1133" s="32" t="s">
        <v>12285</v>
      </c>
      <c r="B1133" s="74" t="s">
        <v>12286</v>
      </c>
      <c r="C1133" s="50"/>
      <c r="D1133" s="139">
        <f t="shared" si="17"/>
        <v>0</v>
      </c>
      <c r="E1133" s="140">
        <v>207.82</v>
      </c>
      <c r="F1133" s="140">
        <v>170.34</v>
      </c>
      <c r="G1133" s="34" t="s">
        <v>100</v>
      </c>
      <c r="H1133" s="34" t="s">
        <v>1001</v>
      </c>
      <c r="I1133" s="35">
        <v>1</v>
      </c>
      <c r="J1133" s="35">
        <v>1</v>
      </c>
      <c r="K1133" s="35">
        <v>15</v>
      </c>
      <c r="L1133" s="60" t="str">
        <f>HYPERLINK("https://www.sds-group.ru/product/samorez-universalnyy-3-0h25-mm-zheltyy-tsink-paket-1000-sht-up-kranz-1111-0325-2/", "Инфо")</f>
        <v>Инфо</v>
      </c>
      <c r="M1133" s="37">
        <v>0.69699999999999995</v>
      </c>
      <c r="N1133" s="38">
        <v>4.6200000000000001E-4</v>
      </c>
      <c r="O1133" s="141">
        <v>4601004271104</v>
      </c>
    </row>
    <row r="1134" spans="1:15" s="1" customFormat="1" ht="11.45" customHeight="1" outlineLevel="3" x14ac:dyDescent="0.2">
      <c r="A1134" s="32" t="s">
        <v>12287</v>
      </c>
      <c r="B1134" s="74" t="s">
        <v>12288</v>
      </c>
      <c r="C1134" s="50"/>
      <c r="D1134" s="139">
        <f t="shared" si="17"/>
        <v>0</v>
      </c>
      <c r="E1134" s="140">
        <v>97.3</v>
      </c>
      <c r="F1134" s="140">
        <v>79.75</v>
      </c>
      <c r="G1134" s="34" t="s">
        <v>100</v>
      </c>
      <c r="H1134" s="34" t="s">
        <v>1001</v>
      </c>
      <c r="I1134" s="35">
        <v>5</v>
      </c>
      <c r="J1134" s="35">
        <v>5</v>
      </c>
      <c r="K1134" s="35">
        <v>32</v>
      </c>
      <c r="L1134" s="60" t="str">
        <f>HYPERLINK("https://www.sds-group.ru/product/samorez-universalnyy-3-0h30-mm-zheltyy-tsink-korob-200-sht-up-kranz-KR-01-3311-013/", "Инфо")</f>
        <v>Инфо</v>
      </c>
      <c r="M1134" s="37">
        <v>0.193</v>
      </c>
      <c r="N1134" s="38">
        <v>2.6800000000000001E-4</v>
      </c>
      <c r="O1134" s="141">
        <v>4601004230729</v>
      </c>
    </row>
    <row r="1135" spans="1:15" s="1" customFormat="1" ht="11.45" customHeight="1" outlineLevel="3" x14ac:dyDescent="0.2">
      <c r="A1135" s="32" t="s">
        <v>12289</v>
      </c>
      <c r="B1135" s="74" t="s">
        <v>12290</v>
      </c>
      <c r="C1135" s="50"/>
      <c r="D1135" s="139">
        <f t="shared" si="17"/>
        <v>0</v>
      </c>
      <c r="E1135" s="140">
        <v>232.63</v>
      </c>
      <c r="F1135" s="140">
        <v>190.68</v>
      </c>
      <c r="G1135" s="34" t="s">
        <v>100</v>
      </c>
      <c r="H1135" s="34" t="s">
        <v>1001</v>
      </c>
      <c r="I1135" s="35">
        <v>1</v>
      </c>
      <c r="J1135" s="35">
        <v>1</v>
      </c>
      <c r="K1135" s="35">
        <v>10</v>
      </c>
      <c r="L1135" s="60" t="str">
        <f>HYPERLINK("https://www.sds-group.ru/product/samorez-universalnyy-3-0h30-mm-zheltyy-tsink-paket-1000-sht-up-kranz-1111-0330-2/", "Инфо")</f>
        <v>Инфо</v>
      </c>
      <c r="M1135" s="37">
        <v>0.83599999999999997</v>
      </c>
      <c r="N1135" s="38">
        <v>1.2769999999999999E-3</v>
      </c>
      <c r="O1135" s="141">
        <v>4601004270893</v>
      </c>
    </row>
    <row r="1136" spans="1:15" s="1" customFormat="1" ht="11.45" customHeight="1" outlineLevel="3" x14ac:dyDescent="0.2">
      <c r="A1136" s="32" t="s">
        <v>12291</v>
      </c>
      <c r="B1136" s="74" t="s">
        <v>12292</v>
      </c>
      <c r="C1136" s="50"/>
      <c r="D1136" s="139">
        <f t="shared" si="17"/>
        <v>0</v>
      </c>
      <c r="E1136" s="140">
        <v>102.42</v>
      </c>
      <c r="F1136" s="140">
        <v>83.95</v>
      </c>
      <c r="G1136" s="34" t="s">
        <v>100</v>
      </c>
      <c r="H1136" s="34" t="s">
        <v>1001</v>
      </c>
      <c r="I1136" s="35">
        <v>5</v>
      </c>
      <c r="J1136" s="35">
        <v>5</v>
      </c>
      <c r="K1136" s="35">
        <v>16</v>
      </c>
      <c r="L1136" s="60" t="str">
        <f>HYPERLINK("https://www.sds-group.ru/product/samorez-universalnyy-3-0h35-mm-zheltyy-tsink-korob-200-sht-up-kranz-KR-01-3311-014/", "Инфо")</f>
        <v>Инфо</v>
      </c>
      <c r="M1136" s="37">
        <v>0.23</v>
      </c>
      <c r="N1136" s="38">
        <v>5.31E-4</v>
      </c>
      <c r="O1136" s="141">
        <v>4601004235199</v>
      </c>
    </row>
    <row r="1137" spans="1:15" s="1" customFormat="1" ht="11.45" customHeight="1" outlineLevel="3" x14ac:dyDescent="0.2">
      <c r="A1137" s="32" t="s">
        <v>12293</v>
      </c>
      <c r="B1137" s="74" t="s">
        <v>12294</v>
      </c>
      <c r="C1137" s="50"/>
      <c r="D1137" s="139">
        <f t="shared" si="17"/>
        <v>0</v>
      </c>
      <c r="E1137" s="140">
        <v>239.8</v>
      </c>
      <c r="F1137" s="140">
        <v>196.56</v>
      </c>
      <c r="G1137" s="34" t="s">
        <v>100</v>
      </c>
      <c r="H1137" s="34" t="s">
        <v>1001</v>
      </c>
      <c r="I1137" s="35">
        <v>1</v>
      </c>
      <c r="J1137" s="35">
        <v>1</v>
      </c>
      <c r="K1137" s="35">
        <v>10</v>
      </c>
      <c r="L1137" s="60" t="str">
        <f>HYPERLINK("https://www.sds-group.ru/product/samorez-universalnyy-3-0h35-mm-zheltyy-tsink-paket-800-sht-up-kranz-1111-0335-2/", "Инфо")</f>
        <v>Инфо</v>
      </c>
      <c r="M1137" s="37">
        <v>0.80600000000000005</v>
      </c>
      <c r="N1137" s="38">
        <v>5.6300000000000002E-4</v>
      </c>
      <c r="O1137" s="141">
        <v>4601004270930</v>
      </c>
    </row>
    <row r="1138" spans="1:15" s="1" customFormat="1" ht="11.45" customHeight="1" outlineLevel="3" x14ac:dyDescent="0.2">
      <c r="A1138" s="32" t="s">
        <v>12295</v>
      </c>
      <c r="B1138" s="74" t="s">
        <v>12296</v>
      </c>
      <c r="C1138" s="50"/>
      <c r="D1138" s="139">
        <f t="shared" si="17"/>
        <v>0</v>
      </c>
      <c r="E1138" s="140">
        <v>107.88</v>
      </c>
      <c r="F1138" s="140">
        <v>88.43</v>
      </c>
      <c r="G1138" s="34" t="s">
        <v>100</v>
      </c>
      <c r="H1138" s="34" t="s">
        <v>1001</v>
      </c>
      <c r="I1138" s="35">
        <v>5</v>
      </c>
      <c r="J1138" s="35">
        <v>5</v>
      </c>
      <c r="K1138" s="35">
        <v>16</v>
      </c>
      <c r="L1138" s="60" t="str">
        <f>HYPERLINK("https://www.sds-group.ru/product/samorez-universalnyy-3-0h40-mm-zheltyy-tsink-korob-200-sht-up-kranz-KR-01-3311-015/", "Инфо")</f>
        <v>Инфо</v>
      </c>
      <c r="M1138" s="37">
        <v>0.251</v>
      </c>
      <c r="N1138" s="38">
        <v>5.7399999999999997E-4</v>
      </c>
      <c r="O1138" s="141">
        <v>4601004230736</v>
      </c>
    </row>
    <row r="1139" spans="1:15" s="1" customFormat="1" ht="11.45" customHeight="1" outlineLevel="3" x14ac:dyDescent="0.2">
      <c r="A1139" s="32" t="s">
        <v>12297</v>
      </c>
      <c r="B1139" s="74" t="s">
        <v>12298</v>
      </c>
      <c r="C1139" s="50"/>
      <c r="D1139" s="139">
        <f t="shared" si="17"/>
        <v>0</v>
      </c>
      <c r="E1139" s="140">
        <v>84.35</v>
      </c>
      <c r="F1139" s="140">
        <v>69.14</v>
      </c>
      <c r="G1139" s="34" t="s">
        <v>100</v>
      </c>
      <c r="H1139" s="34" t="s">
        <v>1001</v>
      </c>
      <c r="I1139" s="35">
        <v>5</v>
      </c>
      <c r="J1139" s="35">
        <v>5</v>
      </c>
      <c r="K1139" s="35">
        <v>32</v>
      </c>
      <c r="L1139" s="60" t="str">
        <f>HYPERLINK("https://www.sds-group.ru/product/samorez-universalnyy-3-5h16-mm-zheltyy-tsink-korob-200-sht-up-kranz-KR-01-3311-001/", "Инфо")</f>
        <v>Инфо</v>
      </c>
      <c r="M1139" s="37">
        <v>0.151</v>
      </c>
      <c r="N1139" s="38">
        <v>2.8600000000000001E-4</v>
      </c>
      <c r="O1139" s="141">
        <v>4601004231429</v>
      </c>
    </row>
    <row r="1140" spans="1:15" s="1" customFormat="1" ht="11.45" customHeight="1" outlineLevel="3" x14ac:dyDescent="0.2">
      <c r="A1140" s="32" t="s">
        <v>12299</v>
      </c>
      <c r="B1140" s="74" t="s">
        <v>12300</v>
      </c>
      <c r="C1140" s="50"/>
      <c r="D1140" s="139">
        <f t="shared" si="17"/>
        <v>0</v>
      </c>
      <c r="E1140" s="140">
        <v>203.27</v>
      </c>
      <c r="F1140" s="140">
        <v>166.61</v>
      </c>
      <c r="G1140" s="34" t="s">
        <v>100</v>
      </c>
      <c r="H1140" s="34" t="s">
        <v>1001</v>
      </c>
      <c r="I1140" s="35">
        <v>1</v>
      </c>
      <c r="J1140" s="35">
        <v>1</v>
      </c>
      <c r="K1140" s="35">
        <v>16</v>
      </c>
      <c r="L1140" s="60" t="str">
        <f>HYPERLINK("https://www.sds-group.ru/product/samorez-universalnyy-3-5h16-mm-zheltyy-tsink-paket-1000-sht-up-kranz-1111-3516-2/", "Инфо")</f>
        <v>Инфо</v>
      </c>
      <c r="M1140" s="37">
        <v>0.66600000000000004</v>
      </c>
      <c r="N1140" s="38">
        <v>2.0839999999999999E-3</v>
      </c>
      <c r="O1140" s="141">
        <v>4601004270824</v>
      </c>
    </row>
    <row r="1141" spans="1:15" s="1" customFormat="1" ht="11.45" customHeight="1" outlineLevel="3" x14ac:dyDescent="0.2">
      <c r="A1141" s="32" t="s">
        <v>12301</v>
      </c>
      <c r="B1141" s="74" t="s">
        <v>12302</v>
      </c>
      <c r="C1141" s="50"/>
      <c r="D1141" s="139">
        <f t="shared" si="17"/>
        <v>0</v>
      </c>
      <c r="E1141" s="140">
        <v>100.9</v>
      </c>
      <c r="F1141" s="140">
        <v>82.7</v>
      </c>
      <c r="G1141" s="34" t="s">
        <v>100</v>
      </c>
      <c r="H1141" s="34" t="s">
        <v>1001</v>
      </c>
      <c r="I1141" s="35">
        <v>5</v>
      </c>
      <c r="J1141" s="35">
        <v>5</v>
      </c>
      <c r="K1141" s="35">
        <v>25</v>
      </c>
      <c r="L1141" s="60" t="str">
        <f>HYPERLINK("https://www.sds-group.ru/product/samorez-universalnyy-3-5h30-mm-zheltyy-tsink-korob-200-sht-up-kranz-KR-01-3311-004/", "Инфо")</f>
        <v>Инфо</v>
      </c>
      <c r="M1141" s="37">
        <v>0.22900000000000001</v>
      </c>
      <c r="N1141" s="38">
        <v>2.8400000000000002E-4</v>
      </c>
      <c r="O1141" s="141">
        <v>4601004230675</v>
      </c>
    </row>
    <row r="1142" spans="1:15" s="1" customFormat="1" ht="11.45" customHeight="1" outlineLevel="3" x14ac:dyDescent="0.2">
      <c r="A1142" s="32" t="s">
        <v>12303</v>
      </c>
      <c r="B1142" s="74" t="s">
        <v>12304</v>
      </c>
      <c r="C1142" s="50"/>
      <c r="D1142" s="139">
        <f t="shared" si="17"/>
        <v>0</v>
      </c>
      <c r="E1142" s="140">
        <v>195.12</v>
      </c>
      <c r="F1142" s="140">
        <v>159.93</v>
      </c>
      <c r="G1142" s="34" t="s">
        <v>100</v>
      </c>
      <c r="H1142" s="34" t="s">
        <v>1001</v>
      </c>
      <c r="I1142" s="35">
        <v>1</v>
      </c>
      <c r="J1142" s="35">
        <v>1</v>
      </c>
      <c r="K1142" s="35">
        <v>8</v>
      </c>
      <c r="L1142" s="60" t="str">
        <f>HYPERLINK("https://www.sds-group.ru/product/samorez-universalniy-3-5h30-jeltiy-tsink-paket-1000-sht-up-kranz-29375/", "Инфо")</f>
        <v>Инфо</v>
      </c>
      <c r="M1142" s="37">
        <v>1.071</v>
      </c>
      <c r="N1142" s="38">
        <v>1.25E-3</v>
      </c>
      <c r="O1142" s="141">
        <v>4601004270848</v>
      </c>
    </row>
    <row r="1143" spans="1:15" s="1" customFormat="1" ht="11.45" customHeight="1" outlineLevel="3" x14ac:dyDescent="0.2">
      <c r="A1143" s="32" t="s">
        <v>12305</v>
      </c>
      <c r="B1143" s="74" t="s">
        <v>12306</v>
      </c>
      <c r="C1143" s="50"/>
      <c r="D1143" s="139">
        <f t="shared" si="17"/>
        <v>0</v>
      </c>
      <c r="E1143" s="140">
        <v>100.24</v>
      </c>
      <c r="F1143" s="140">
        <v>82.16</v>
      </c>
      <c r="G1143" s="34" t="s">
        <v>100</v>
      </c>
      <c r="H1143" s="34" t="s">
        <v>1001</v>
      </c>
      <c r="I1143" s="35">
        <v>5</v>
      </c>
      <c r="J1143" s="35">
        <v>5</v>
      </c>
      <c r="K1143" s="35">
        <v>32</v>
      </c>
      <c r="L1143" s="60" t="str">
        <f>HYPERLINK("https://www.sds-group.ru/product/samorez-universalnyy-3-5h35-mm-zheltyy-tsink-korob-200-sht-up-kranz-KR-01-3311-005/", "Инфо")</f>
        <v>Инфо</v>
      </c>
      <c r="M1143" s="37">
        <v>0.21</v>
      </c>
      <c r="N1143" s="38">
        <v>2.72E-4</v>
      </c>
      <c r="O1143" s="141">
        <v>4601004230682</v>
      </c>
    </row>
    <row r="1144" spans="1:15" s="1" customFormat="1" ht="11.45" customHeight="1" outlineLevel="3" x14ac:dyDescent="0.2">
      <c r="A1144" s="32" t="s">
        <v>12307</v>
      </c>
      <c r="B1144" s="74" t="s">
        <v>12308</v>
      </c>
      <c r="C1144" s="50"/>
      <c r="D1144" s="139">
        <f t="shared" si="17"/>
        <v>0</v>
      </c>
      <c r="E1144" s="140">
        <v>13.8</v>
      </c>
      <c r="F1144" s="140">
        <v>11.31</v>
      </c>
      <c r="G1144" s="34" t="s">
        <v>100</v>
      </c>
      <c r="H1144" s="34" t="s">
        <v>1001</v>
      </c>
      <c r="I1144" s="35">
        <v>1</v>
      </c>
      <c r="J1144" s="35">
        <v>1</v>
      </c>
      <c r="K1144" s="35">
        <v>50</v>
      </c>
      <c r="L1144" s="60" t="str">
        <f>HYPERLINK("https://www.sds-group.ru/product/samorez-universalnyy-3-5h35-mm-zheltyy-tsink-paket-25-sht-up-kranz-1111-3535-5/", "Инфо")</f>
        <v>Инфо</v>
      </c>
      <c r="M1144" s="37">
        <v>3.9E-2</v>
      </c>
      <c r="N1144" s="38">
        <v>3.1999999999999999E-5</v>
      </c>
      <c r="O1144" s="141">
        <v>4601004249639</v>
      </c>
    </row>
    <row r="1145" spans="1:15" s="1" customFormat="1" ht="11.45" customHeight="1" outlineLevel="3" x14ac:dyDescent="0.2">
      <c r="A1145" s="32" t="s">
        <v>12309</v>
      </c>
      <c r="B1145" s="74" t="s">
        <v>12310</v>
      </c>
      <c r="C1145" s="50"/>
      <c r="D1145" s="139">
        <f t="shared" si="17"/>
        <v>0</v>
      </c>
      <c r="E1145" s="140">
        <v>40.24</v>
      </c>
      <c r="F1145" s="140">
        <v>32.979999999999997</v>
      </c>
      <c r="G1145" s="34" t="s">
        <v>100</v>
      </c>
      <c r="H1145" s="34" t="s">
        <v>1001</v>
      </c>
      <c r="I1145" s="35">
        <v>1</v>
      </c>
      <c r="J1145" s="35">
        <v>1</v>
      </c>
      <c r="K1145" s="35">
        <v>50</v>
      </c>
      <c r="L1145" s="60" t="str">
        <f>HYPERLINK("https://www.sds-group.ru/product/samorez-universalnyy-3-5h35-mm-zheltyy-tsink-paket-50-sht-up-kranz-1111-3535-4/", "Инфо")</f>
        <v>Инфо</v>
      </c>
      <c r="M1145" s="37">
        <v>6.8000000000000005E-2</v>
      </c>
      <c r="N1145" s="38">
        <v>1.7100000000000001E-4</v>
      </c>
      <c r="O1145" s="141">
        <v>4601004247741</v>
      </c>
    </row>
    <row r="1146" spans="1:15" s="1" customFormat="1" ht="11.45" customHeight="1" outlineLevel="3" x14ac:dyDescent="0.2">
      <c r="A1146" s="32" t="s">
        <v>12311</v>
      </c>
      <c r="B1146" s="74" t="s">
        <v>12312</v>
      </c>
      <c r="C1146" s="50"/>
      <c r="D1146" s="139">
        <f t="shared" si="17"/>
        <v>0</v>
      </c>
      <c r="E1146" s="140">
        <v>115.71</v>
      </c>
      <c r="F1146" s="140">
        <v>94.84</v>
      </c>
      <c r="G1146" s="34" t="s">
        <v>100</v>
      </c>
      <c r="H1146" s="34" t="s">
        <v>1001</v>
      </c>
      <c r="I1146" s="35">
        <v>5</v>
      </c>
      <c r="J1146" s="35">
        <v>5</v>
      </c>
      <c r="K1146" s="35">
        <v>16</v>
      </c>
      <c r="L1146" s="60" t="str">
        <f>HYPERLINK("https://www.sds-group.ru/product/samorez-universalnyy-3-5h40-mm-zheltyy-tsink-korob-200-sht-up-kranz-KR-01-3311-006/", "Инфо")</f>
        <v>Инфо</v>
      </c>
      <c r="M1146" s="37">
        <v>0.316</v>
      </c>
      <c r="N1146" s="38">
        <v>5.8399999999999999E-4</v>
      </c>
      <c r="O1146" s="141">
        <v>4601004230699</v>
      </c>
    </row>
    <row r="1147" spans="1:15" s="1" customFormat="1" ht="11.45" customHeight="1" outlineLevel="3" x14ac:dyDescent="0.2">
      <c r="A1147" s="32" t="s">
        <v>12313</v>
      </c>
      <c r="B1147" s="74" t="s">
        <v>12314</v>
      </c>
      <c r="C1147" s="50"/>
      <c r="D1147" s="139">
        <f t="shared" si="17"/>
        <v>0</v>
      </c>
      <c r="E1147" s="140">
        <v>99.79</v>
      </c>
      <c r="F1147" s="140">
        <v>81.8</v>
      </c>
      <c r="G1147" s="34" t="s">
        <v>100</v>
      </c>
      <c r="H1147" s="34" t="s">
        <v>1001</v>
      </c>
      <c r="I1147" s="35">
        <v>5</v>
      </c>
      <c r="J1147" s="35">
        <v>5</v>
      </c>
      <c r="K1147" s="35">
        <v>32</v>
      </c>
      <c r="L1147" s="60" t="str">
        <f>HYPERLINK("https://www.sds-group.ru/product/samorez-universalnyy-4-0h16-mm-zheltyy-tsink-korob-200-sht-up-kranz-KR-01-3311-024/", "Инфо")</f>
        <v>Инфо</v>
      </c>
      <c r="M1147" s="37">
        <v>0.193</v>
      </c>
      <c r="N1147" s="38">
        <v>2.9399999999999999E-4</v>
      </c>
      <c r="O1147" s="141">
        <v>4601004230750</v>
      </c>
    </row>
    <row r="1148" spans="1:15" s="1" customFormat="1" ht="11.45" customHeight="1" outlineLevel="3" x14ac:dyDescent="0.2">
      <c r="A1148" s="32" t="s">
        <v>12315</v>
      </c>
      <c r="B1148" s="74" t="s">
        <v>12316</v>
      </c>
      <c r="C1148" s="50"/>
      <c r="D1148" s="139">
        <f t="shared" si="17"/>
        <v>0</v>
      </c>
      <c r="E1148" s="140">
        <v>221.3</v>
      </c>
      <c r="F1148" s="140">
        <v>181.39</v>
      </c>
      <c r="G1148" s="34" t="s">
        <v>100</v>
      </c>
      <c r="H1148" s="34" t="s">
        <v>1001</v>
      </c>
      <c r="I1148" s="35">
        <v>1</v>
      </c>
      <c r="J1148" s="35">
        <v>1</v>
      </c>
      <c r="K1148" s="35">
        <v>15</v>
      </c>
      <c r="L1148" s="60" t="str">
        <f>HYPERLINK("https://www.sds-group.ru/product/samorez-universalnyy-4-0h16-mm-zheltyy-tsink-paket-1000-sht-up-kranz-1111-0416-2/", "Инфо")</f>
        <v>Инфо</v>
      </c>
      <c r="M1148" s="37">
        <v>0.81699999999999995</v>
      </c>
      <c r="N1148" s="38">
        <v>4.8000000000000001E-4</v>
      </c>
      <c r="O1148" s="141">
        <v>4601004270763</v>
      </c>
    </row>
    <row r="1149" spans="1:15" s="1" customFormat="1" ht="11.45" customHeight="1" outlineLevel="3" x14ac:dyDescent="0.2">
      <c r="A1149" s="32" t="s">
        <v>12317</v>
      </c>
      <c r="B1149" s="74" t="s">
        <v>12318</v>
      </c>
      <c r="C1149" s="50"/>
      <c r="D1149" s="139">
        <f t="shared" si="17"/>
        <v>0</v>
      </c>
      <c r="E1149" s="140">
        <v>122.9</v>
      </c>
      <c r="F1149" s="140">
        <v>100.74</v>
      </c>
      <c r="G1149" s="34" t="s">
        <v>100</v>
      </c>
      <c r="H1149" s="34" t="s">
        <v>1001</v>
      </c>
      <c r="I1149" s="35">
        <v>5</v>
      </c>
      <c r="J1149" s="35">
        <v>5</v>
      </c>
      <c r="K1149" s="35">
        <v>16</v>
      </c>
      <c r="L1149" s="60" t="str">
        <f>HYPERLINK("https://www.sds-group.ru/product/samorez-universalnyy-4-0h30-mm-zheltyy-tsink-korob-250-sht-up-kranz-KR-01-3311-027/", "Инфо")</f>
        <v>Инфо</v>
      </c>
      <c r="M1149" s="37">
        <v>0.38300000000000001</v>
      </c>
      <c r="N1149" s="38">
        <v>5.3200000000000003E-4</v>
      </c>
      <c r="O1149" s="141">
        <v>4601004233522</v>
      </c>
    </row>
    <row r="1150" spans="1:15" s="1" customFormat="1" ht="11.45" customHeight="1" outlineLevel="3" x14ac:dyDescent="0.2">
      <c r="A1150" s="32" t="s">
        <v>12319</v>
      </c>
      <c r="B1150" s="74" t="s">
        <v>12320</v>
      </c>
      <c r="C1150" s="50"/>
      <c r="D1150" s="139">
        <f t="shared" si="17"/>
        <v>0</v>
      </c>
      <c r="E1150" s="140">
        <v>146.88</v>
      </c>
      <c r="F1150" s="140">
        <v>120.39</v>
      </c>
      <c r="G1150" s="34" t="s">
        <v>100</v>
      </c>
      <c r="H1150" s="34" t="s">
        <v>1001</v>
      </c>
      <c r="I1150" s="35">
        <v>5</v>
      </c>
      <c r="J1150" s="35">
        <v>5</v>
      </c>
      <c r="K1150" s="35">
        <v>16</v>
      </c>
      <c r="L1150" s="60" t="str">
        <f>HYPERLINK("https://www.sds-group.ru/product/samorez-universalnyy-4-0h35-mm-zheltyy-tsink-korob-200-sht-up-kranz-KR-01-3311-028/", "Инфо")</f>
        <v>Инфо</v>
      </c>
      <c r="M1150" s="37">
        <v>0.36699999999999999</v>
      </c>
      <c r="N1150" s="38">
        <v>5.8600000000000004E-4</v>
      </c>
      <c r="O1150" s="141">
        <v>4601004233539</v>
      </c>
    </row>
    <row r="1151" spans="1:15" s="1" customFormat="1" ht="11.45" customHeight="1" outlineLevel="3" x14ac:dyDescent="0.2">
      <c r="A1151" s="32" t="s">
        <v>12321</v>
      </c>
      <c r="B1151" s="74" t="s">
        <v>12322</v>
      </c>
      <c r="C1151" s="50"/>
      <c r="D1151" s="139">
        <f t="shared" si="17"/>
        <v>0</v>
      </c>
      <c r="E1151" s="140">
        <v>261.5</v>
      </c>
      <c r="F1151" s="140">
        <v>214.34</v>
      </c>
      <c r="G1151" s="34" t="s">
        <v>100</v>
      </c>
      <c r="H1151" s="34" t="s">
        <v>1001</v>
      </c>
      <c r="I1151" s="35">
        <v>1</v>
      </c>
      <c r="J1151" s="35">
        <v>1</v>
      </c>
      <c r="K1151" s="35">
        <v>6</v>
      </c>
      <c r="L1151" s="60" t="str">
        <f>HYPERLINK("https://www.sds-group.ru/product/samorez-universalniy-4h35-jeltiy-tsink-paket-800-sht-up-kranz-29370/", "Инфо")</f>
        <v>Инфо</v>
      </c>
      <c r="M1151" s="37">
        <v>1.278</v>
      </c>
      <c r="N1151" s="38">
        <v>6.6699999999999995E-4</v>
      </c>
      <c r="O1151" s="141">
        <v>4601004270787</v>
      </c>
    </row>
    <row r="1152" spans="1:15" s="1" customFormat="1" ht="11.45" customHeight="1" outlineLevel="3" x14ac:dyDescent="0.2">
      <c r="A1152" s="32" t="s">
        <v>12323</v>
      </c>
      <c r="B1152" s="74" t="s">
        <v>12324</v>
      </c>
      <c r="C1152" s="50"/>
      <c r="D1152" s="139">
        <f t="shared" si="17"/>
        <v>0</v>
      </c>
      <c r="E1152" s="140">
        <v>159.63999999999999</v>
      </c>
      <c r="F1152" s="140">
        <v>130.85</v>
      </c>
      <c r="G1152" s="34" t="s">
        <v>100</v>
      </c>
      <c r="H1152" s="34" t="s">
        <v>1001</v>
      </c>
      <c r="I1152" s="35">
        <v>5</v>
      </c>
      <c r="J1152" s="35">
        <v>5</v>
      </c>
      <c r="K1152" s="35">
        <v>16</v>
      </c>
      <c r="L1152" s="60" t="str">
        <f>HYPERLINK("https://www.sds-group.ru/product/samorez-universalnyy-4-0h40-mm-zheltyy-tsink-korob-200-sht-up-kranz-KR-01-3311-029/", "Инфо")</f>
        <v>Инфо</v>
      </c>
      <c r="M1152" s="37">
        <v>0.39200000000000002</v>
      </c>
      <c r="N1152" s="38">
        <v>5.7399999999999997E-4</v>
      </c>
      <c r="O1152" s="141">
        <v>4601004230774</v>
      </c>
    </row>
    <row r="1153" spans="1:15" s="1" customFormat="1" ht="11.45" customHeight="1" outlineLevel="3" x14ac:dyDescent="0.2">
      <c r="A1153" s="32" t="s">
        <v>12325</v>
      </c>
      <c r="B1153" s="74" t="s">
        <v>12326</v>
      </c>
      <c r="C1153" s="50"/>
      <c r="D1153" s="139">
        <f t="shared" si="17"/>
        <v>0</v>
      </c>
      <c r="E1153" s="140">
        <v>144.94</v>
      </c>
      <c r="F1153" s="140">
        <v>118.8</v>
      </c>
      <c r="G1153" s="34" t="s">
        <v>100</v>
      </c>
      <c r="H1153" s="34" t="s">
        <v>1001</v>
      </c>
      <c r="I1153" s="35">
        <v>5</v>
      </c>
      <c r="J1153" s="35">
        <v>5</v>
      </c>
      <c r="K1153" s="35">
        <v>16</v>
      </c>
      <c r="L1153" s="60" t="str">
        <f>HYPERLINK("https://www.sds-group.ru/product/samorez-universalnyy-4-0h50-mm-zheltyy-tsink-korob-200-sht-up-kranz-KR-01-3311-031/", "Инфо")</f>
        <v>Инфо</v>
      </c>
      <c r="M1153" s="37">
        <v>0.47499999999999998</v>
      </c>
      <c r="N1153" s="38">
        <v>5.5599999999999996E-4</v>
      </c>
      <c r="O1153" s="141">
        <v>4601004230781</v>
      </c>
    </row>
    <row r="1154" spans="1:15" s="1" customFormat="1" ht="11.45" customHeight="1" outlineLevel="3" x14ac:dyDescent="0.2">
      <c r="A1154" s="32" t="s">
        <v>12327</v>
      </c>
      <c r="B1154" s="74" t="s">
        <v>12328</v>
      </c>
      <c r="C1154" s="50"/>
      <c r="D1154" s="139">
        <f t="shared" si="17"/>
        <v>0</v>
      </c>
      <c r="E1154" s="140">
        <v>238.52</v>
      </c>
      <c r="F1154" s="140">
        <v>195.51</v>
      </c>
      <c r="G1154" s="34" t="s">
        <v>100</v>
      </c>
      <c r="H1154" s="34" t="s">
        <v>1001</v>
      </c>
      <c r="I1154" s="35">
        <v>1</v>
      </c>
      <c r="J1154" s="35">
        <v>1</v>
      </c>
      <c r="K1154" s="35">
        <v>16</v>
      </c>
      <c r="L1154" s="60" t="str">
        <f>HYPERLINK("https://www.sds-group.ru/product/samorez-universalnyy-4-5h50-mm-zheltyy-tsink-korob-200-sht-up-kranz-KR-01-3311-020/", "Инфо")</f>
        <v>Инфо</v>
      </c>
      <c r="M1154" s="37">
        <v>0.59499999999999997</v>
      </c>
      <c r="N1154" s="38">
        <v>5.7300000000000005E-4</v>
      </c>
      <c r="O1154" s="141">
        <v>4601004230743</v>
      </c>
    </row>
    <row r="1155" spans="1:15" s="1" customFormat="1" ht="11.45" customHeight="1" outlineLevel="3" x14ac:dyDescent="0.2">
      <c r="A1155" s="32" t="s">
        <v>12329</v>
      </c>
      <c r="B1155" s="74" t="s">
        <v>12330</v>
      </c>
      <c r="C1155" s="50"/>
      <c r="D1155" s="139">
        <f t="shared" si="17"/>
        <v>0</v>
      </c>
      <c r="E1155" s="140">
        <v>223.63</v>
      </c>
      <c r="F1155" s="140">
        <v>183.3</v>
      </c>
      <c r="G1155" s="34" t="s">
        <v>100</v>
      </c>
      <c r="H1155" s="34" t="s">
        <v>1001</v>
      </c>
      <c r="I1155" s="35">
        <v>1</v>
      </c>
      <c r="J1155" s="35">
        <v>1</v>
      </c>
      <c r="K1155" s="35">
        <v>16</v>
      </c>
      <c r="L1155" s="60" t="str">
        <f>HYPERLINK("https://www.sds-group.ru/product/samorez-universalnyy-5-0h40-mm-zheltyy-tsink-korob-200-sht-up-kranz-KR-01-3311-039/", "Инфо")</f>
        <v>Инфо</v>
      </c>
      <c r="M1155" s="37">
        <v>0.621</v>
      </c>
      <c r="N1155" s="38">
        <v>5.3600000000000002E-4</v>
      </c>
      <c r="O1155" s="141">
        <v>4601004230798</v>
      </c>
    </row>
    <row r="1156" spans="1:15" s="1" customFormat="1" ht="11.45" customHeight="1" outlineLevel="3" x14ac:dyDescent="0.2">
      <c r="A1156" s="32" t="s">
        <v>12331</v>
      </c>
      <c r="B1156" s="74" t="s">
        <v>12332</v>
      </c>
      <c r="C1156" s="50"/>
      <c r="D1156" s="139">
        <f t="shared" si="17"/>
        <v>0</v>
      </c>
      <c r="E1156" s="140">
        <v>27.09</v>
      </c>
      <c r="F1156" s="140">
        <v>22.2</v>
      </c>
      <c r="G1156" s="34" t="s">
        <v>100</v>
      </c>
      <c r="H1156" s="34" t="s">
        <v>1001</v>
      </c>
      <c r="I1156" s="35">
        <v>1</v>
      </c>
      <c r="J1156" s="35">
        <v>1</v>
      </c>
      <c r="K1156" s="35">
        <v>50</v>
      </c>
      <c r="L1156" s="60" t="str">
        <f>HYPERLINK("https://www.sds-group.ru/product/samorez-universalnyy-5-0h40-mm-zheltyy-tsink-paket-20-sht-up-kranz-1111-0540-4/", "Инфо")</f>
        <v>Инфо</v>
      </c>
      <c r="M1156" s="37">
        <v>6.6000000000000003E-2</v>
      </c>
      <c r="N1156" s="38">
        <v>1.8699999999999999E-4</v>
      </c>
      <c r="O1156" s="141">
        <v>4601004249776</v>
      </c>
    </row>
    <row r="1157" spans="1:15" s="1" customFormat="1" ht="11.45" customHeight="1" outlineLevel="3" x14ac:dyDescent="0.2">
      <c r="A1157" s="32" t="s">
        <v>12333</v>
      </c>
      <c r="B1157" s="74" t="s">
        <v>12334</v>
      </c>
      <c r="C1157" s="50"/>
      <c r="D1157" s="139">
        <f t="shared" si="17"/>
        <v>0</v>
      </c>
      <c r="E1157" s="140">
        <v>166.04</v>
      </c>
      <c r="F1157" s="140">
        <v>136.1</v>
      </c>
      <c r="G1157" s="34" t="s">
        <v>100</v>
      </c>
      <c r="H1157" s="34" t="s">
        <v>1001</v>
      </c>
      <c r="I1157" s="35">
        <v>5</v>
      </c>
      <c r="J1157" s="35">
        <v>5</v>
      </c>
      <c r="K1157" s="35">
        <v>16</v>
      </c>
      <c r="L1157" s="60" t="str">
        <f>HYPERLINK("https://www.sds-group.ru/product/samorez-universalnyy-5-0h50-mm-zheltyy-tsink-korob-100-sht-up-kranz-KR-01-3311-041/", "Инфо")</f>
        <v>Инфо</v>
      </c>
      <c r="M1157" s="37">
        <v>0.39400000000000002</v>
      </c>
      <c r="N1157" s="38">
        <v>6.0099999999999997E-4</v>
      </c>
      <c r="O1157" s="141">
        <v>4601004231009</v>
      </c>
    </row>
    <row r="1158" spans="1:15" s="1" customFormat="1" ht="11.45" customHeight="1" outlineLevel="3" x14ac:dyDescent="0.2">
      <c r="A1158" s="32" t="s">
        <v>12335</v>
      </c>
      <c r="B1158" s="74" t="s">
        <v>12336</v>
      </c>
      <c r="C1158" s="50"/>
      <c r="D1158" s="139">
        <f t="shared" si="17"/>
        <v>0</v>
      </c>
      <c r="E1158" s="140">
        <v>172.43</v>
      </c>
      <c r="F1158" s="140">
        <v>141.34</v>
      </c>
      <c r="G1158" s="34" t="s">
        <v>100</v>
      </c>
      <c r="H1158" s="34" t="s">
        <v>1001</v>
      </c>
      <c r="I1158" s="35">
        <v>5</v>
      </c>
      <c r="J1158" s="35">
        <v>5</v>
      </c>
      <c r="K1158" s="35">
        <v>16</v>
      </c>
      <c r="L1158" s="60" t="str">
        <f>HYPERLINK("https://www.sds-group.ru/product/samorez-universalnyy-5-0h60-mm-zheltyy-tsink-korob-100-sht-up-kranz-KR-01-3311-042/", "Инфо")</f>
        <v>Инфо</v>
      </c>
      <c r="M1158" s="37">
        <v>0.45100000000000001</v>
      </c>
      <c r="N1158" s="38">
        <v>5.6400000000000005E-4</v>
      </c>
      <c r="O1158" s="141">
        <v>4601004231016</v>
      </c>
    </row>
    <row r="1159" spans="1:15" s="1" customFormat="1" ht="11.45" customHeight="1" outlineLevel="3" x14ac:dyDescent="0.2">
      <c r="A1159" s="32" t="s">
        <v>12337</v>
      </c>
      <c r="B1159" s="74" t="s">
        <v>12338</v>
      </c>
      <c r="C1159" s="50"/>
      <c r="D1159" s="139">
        <f t="shared" si="17"/>
        <v>0</v>
      </c>
      <c r="E1159" s="140">
        <v>178.81</v>
      </c>
      <c r="F1159" s="140">
        <v>146.57</v>
      </c>
      <c r="G1159" s="34" t="s">
        <v>100</v>
      </c>
      <c r="H1159" s="34" t="s">
        <v>1001</v>
      </c>
      <c r="I1159" s="35">
        <v>5</v>
      </c>
      <c r="J1159" s="35">
        <v>5</v>
      </c>
      <c r="K1159" s="35">
        <v>16</v>
      </c>
      <c r="L1159" s="60" t="str">
        <f>HYPERLINK("https://www.sds-group.ru/product/samorez-universalnyy-5-0h70-mm-zheltyy-tsink-korob-100-sht-up-kranz-KR-01-3311-043/", "Инфо")</f>
        <v>Инфо</v>
      </c>
      <c r="M1159" s="37">
        <v>0.52100000000000002</v>
      </c>
      <c r="N1159" s="38">
        <v>6.0499999999999996E-4</v>
      </c>
      <c r="O1159" s="141">
        <v>4601004231023</v>
      </c>
    </row>
    <row r="1160" spans="1:15" ht="11.45" customHeight="1" outlineLevel="2" x14ac:dyDescent="0.2">
      <c r="A1160" s="76" t="s">
        <v>12339</v>
      </c>
      <c r="B1160" s="136"/>
      <c r="C1160" s="77"/>
      <c r="D1160" s="137"/>
      <c r="E1160" s="4"/>
      <c r="F1160" s="4"/>
      <c r="G1160" s="4"/>
      <c r="H1160" s="4"/>
      <c r="I1160" s="4"/>
      <c r="J1160" s="4"/>
      <c r="K1160" s="4"/>
      <c r="L1160" s="138"/>
      <c r="M1160" s="4"/>
      <c r="N1160" s="4"/>
      <c r="O1160" s="4"/>
    </row>
    <row r="1161" spans="1:15" s="1" customFormat="1" ht="11.45" customHeight="1" outlineLevel="3" x14ac:dyDescent="0.2">
      <c r="A1161" s="32" t="s">
        <v>12340</v>
      </c>
      <c r="B1161" s="74" t="s">
        <v>12341</v>
      </c>
      <c r="C1161" s="50"/>
      <c r="D1161" s="139">
        <f t="shared" si="17"/>
        <v>0</v>
      </c>
      <c r="E1161" s="140">
        <v>120.8</v>
      </c>
      <c r="F1161" s="140">
        <v>99.02</v>
      </c>
      <c r="G1161" s="34" t="s">
        <v>100</v>
      </c>
      <c r="H1161" s="34" t="s">
        <v>1001</v>
      </c>
      <c r="I1161" s="35">
        <v>1</v>
      </c>
      <c r="J1161" s="35">
        <v>1</v>
      </c>
      <c r="K1161" s="35">
        <v>32</v>
      </c>
      <c r="L1161" s="60" t="str">
        <f>HYPERLINK("https://www.sds-group.ru/product/samorez-dlya-gipsovoloknistyh-plit-3-9h25-mm-korob-200-sht-up-kranz-KR-01-3321-002/", "Инфо")</f>
        <v>Инфо</v>
      </c>
      <c r="M1161" s="37">
        <v>0.30399999999999999</v>
      </c>
      <c r="N1161" s="38">
        <v>2.6499999999999999E-4</v>
      </c>
      <c r="O1161" s="141">
        <v>4601004234901</v>
      </c>
    </row>
    <row r="1162" spans="1:15" s="1" customFormat="1" ht="11.45" customHeight="1" outlineLevel="3" x14ac:dyDescent="0.2">
      <c r="A1162" s="32" t="s">
        <v>12342</v>
      </c>
      <c r="B1162" s="74" t="s">
        <v>12343</v>
      </c>
      <c r="C1162" s="50"/>
      <c r="D1162" s="139">
        <f t="shared" si="17"/>
        <v>0</v>
      </c>
      <c r="E1162" s="140">
        <v>130.41999999999999</v>
      </c>
      <c r="F1162" s="140">
        <v>106.9</v>
      </c>
      <c r="G1162" s="34" t="s">
        <v>100</v>
      </c>
      <c r="H1162" s="34" t="s">
        <v>1001</v>
      </c>
      <c r="I1162" s="35">
        <v>1</v>
      </c>
      <c r="J1162" s="35">
        <v>1</v>
      </c>
      <c r="K1162" s="35">
        <v>32</v>
      </c>
      <c r="L1162" s="60" t="str">
        <f>HYPERLINK("https://www.sds-group.ru/product/samorez-dlya-gipsovoloknistyh-plit-3-9h30-mm-korob-200-sht-up-kranz-KR-01-3321-003/", "Инфо")</f>
        <v>Инфо</v>
      </c>
      <c r="M1162" s="37">
        <v>0.34899999999999998</v>
      </c>
      <c r="N1162" s="38">
        <v>5.2899999999999996E-4</v>
      </c>
      <c r="O1162" s="141">
        <v>4601004234918</v>
      </c>
    </row>
    <row r="1163" spans="1:15" s="1" customFormat="1" ht="11.45" customHeight="1" outlineLevel="3" x14ac:dyDescent="0.2">
      <c r="A1163" s="32" t="s">
        <v>12344</v>
      </c>
      <c r="B1163" s="74" t="s">
        <v>12345</v>
      </c>
      <c r="C1163" s="50"/>
      <c r="D1163" s="139">
        <f t="shared" ref="D1163:D1226" si="18">C1163*E1163</f>
        <v>0</v>
      </c>
      <c r="E1163" s="140">
        <v>164.89</v>
      </c>
      <c r="F1163" s="140">
        <v>135.16</v>
      </c>
      <c r="G1163" s="34" t="s">
        <v>100</v>
      </c>
      <c r="H1163" s="34" t="s">
        <v>1001</v>
      </c>
      <c r="I1163" s="35">
        <v>1</v>
      </c>
      <c r="J1163" s="35">
        <v>1</v>
      </c>
      <c r="K1163" s="35">
        <v>16</v>
      </c>
      <c r="L1163" s="60" t="str">
        <f>HYPERLINK("https://www.sds-group.ru/product/samorez-dlya-gipsovoloknistyh-plit-3-9h35-mm-korob-200-sht-up-kranz-KR-01-3321-004/", "Инфо")</f>
        <v>Инфо</v>
      </c>
      <c r="M1163" s="37">
        <v>0.39900000000000002</v>
      </c>
      <c r="N1163" s="38">
        <v>5.2700000000000002E-4</v>
      </c>
      <c r="O1163" s="141">
        <v>4601004234710</v>
      </c>
    </row>
    <row r="1164" spans="1:15" s="1" customFormat="1" ht="11.45" customHeight="1" outlineLevel="3" x14ac:dyDescent="0.2">
      <c r="A1164" s="32" t="s">
        <v>12346</v>
      </c>
      <c r="B1164" s="74" t="s">
        <v>12347</v>
      </c>
      <c r="C1164" s="50"/>
      <c r="D1164" s="139">
        <f t="shared" si="18"/>
        <v>0</v>
      </c>
      <c r="E1164" s="140">
        <v>321.64999999999998</v>
      </c>
      <c r="F1164" s="140">
        <v>263.64999999999998</v>
      </c>
      <c r="G1164" s="34" t="s">
        <v>100</v>
      </c>
      <c r="H1164" s="34" t="s">
        <v>1001</v>
      </c>
      <c r="I1164" s="35">
        <v>1</v>
      </c>
      <c r="J1164" s="35">
        <v>1</v>
      </c>
      <c r="K1164" s="35">
        <v>10</v>
      </c>
      <c r="L1164" s="60" t="str">
        <f>HYPERLINK("https://www.sds-group.ru/product/samorez-dlya-gipsovoloknistyh-plit-3-9h35-mm-paket-800-sht-up-kranz-1123-3935-2/", "Инфо")</f>
        <v>Инфо</v>
      </c>
      <c r="M1164" s="37">
        <v>1.506</v>
      </c>
      <c r="N1164" s="38">
        <v>1.9650000000000002E-3</v>
      </c>
      <c r="O1164" s="141">
        <v>4601004270978</v>
      </c>
    </row>
    <row r="1165" spans="1:15" s="1" customFormat="1" ht="11.45" customHeight="1" outlineLevel="3" x14ac:dyDescent="0.2">
      <c r="A1165" s="32" t="s">
        <v>12348</v>
      </c>
      <c r="B1165" s="74" t="s">
        <v>12349</v>
      </c>
      <c r="C1165" s="50"/>
      <c r="D1165" s="139">
        <f t="shared" si="18"/>
        <v>0</v>
      </c>
      <c r="E1165" s="140">
        <v>190.07</v>
      </c>
      <c r="F1165" s="140">
        <v>155.80000000000001</v>
      </c>
      <c r="G1165" s="34" t="s">
        <v>100</v>
      </c>
      <c r="H1165" s="34" t="s">
        <v>1001</v>
      </c>
      <c r="I1165" s="35">
        <v>1</v>
      </c>
      <c r="J1165" s="35">
        <v>1</v>
      </c>
      <c r="K1165" s="35">
        <v>8</v>
      </c>
      <c r="L1165" s="60" t="str">
        <f>HYPERLINK("https://www.sds-group.ru/product/samorez-dlya-gipsovoloknistyh-plit-3-9h45-mm-korob-200-sht-up-kranz-KR-01-3321-005/", "Инфо")</f>
        <v>Инфо</v>
      </c>
      <c r="M1165" s="37">
        <v>0.498</v>
      </c>
      <c r="N1165" s="38">
        <v>1.0690000000000001E-3</v>
      </c>
      <c r="O1165" s="141">
        <v>4601004234925</v>
      </c>
    </row>
    <row r="1166" spans="1:15" ht="11.45" customHeight="1" outlineLevel="2" x14ac:dyDescent="0.2">
      <c r="A1166" s="76" t="s">
        <v>12350</v>
      </c>
      <c r="B1166" s="136"/>
      <c r="C1166" s="77"/>
      <c r="D1166" s="137"/>
      <c r="E1166" s="4"/>
      <c r="F1166" s="4"/>
      <c r="G1166" s="4"/>
      <c r="H1166" s="4"/>
      <c r="I1166" s="4"/>
      <c r="J1166" s="4"/>
      <c r="K1166" s="4"/>
      <c r="L1166" s="138"/>
      <c r="M1166" s="4"/>
      <c r="N1166" s="4"/>
      <c r="O1166" s="4"/>
    </row>
    <row r="1167" spans="1:15" s="1" customFormat="1" ht="11.45" customHeight="1" outlineLevel="3" x14ac:dyDescent="0.2">
      <c r="A1167" s="32" t="s">
        <v>12351</v>
      </c>
      <c r="B1167" s="74" t="s">
        <v>12352</v>
      </c>
      <c r="C1167" s="50"/>
      <c r="D1167" s="139">
        <f t="shared" si="18"/>
        <v>0</v>
      </c>
      <c r="E1167" s="140">
        <v>54.74</v>
      </c>
      <c r="F1167" s="140">
        <v>44.87</v>
      </c>
      <c r="G1167" s="34" t="s">
        <v>100</v>
      </c>
      <c r="H1167" s="34" t="s">
        <v>1001</v>
      </c>
      <c r="I1167" s="35">
        <v>10</v>
      </c>
      <c r="J1167" s="35">
        <v>10</v>
      </c>
      <c r="K1167" s="35">
        <v>32</v>
      </c>
      <c r="L1167" s="60" t="str">
        <f>HYPERLINK("https://www.sds-group.ru/product/samorez-gipsokarton-derevo-3-5h19-mm-korob-200-sht-up-kranz-KR-01-3331-002/", "Инфо")</f>
        <v>Инфо</v>
      </c>
      <c r="M1167" s="37">
        <v>0.20300000000000001</v>
      </c>
      <c r="N1167" s="38">
        <v>2.7700000000000001E-4</v>
      </c>
      <c r="O1167" s="141">
        <v>4601004234932</v>
      </c>
    </row>
    <row r="1168" spans="1:15" s="1" customFormat="1" ht="11.45" customHeight="1" outlineLevel="3" x14ac:dyDescent="0.2">
      <c r="A1168" s="32" t="s">
        <v>12353</v>
      </c>
      <c r="B1168" s="74" t="s">
        <v>12354</v>
      </c>
      <c r="C1168" s="50"/>
      <c r="D1168" s="139">
        <f t="shared" si="18"/>
        <v>0</v>
      </c>
      <c r="E1168" s="140">
        <v>12.42</v>
      </c>
      <c r="F1168" s="140">
        <v>10.18</v>
      </c>
      <c r="G1168" s="34" t="s">
        <v>100</v>
      </c>
      <c r="H1168" s="34" t="s">
        <v>1001</v>
      </c>
      <c r="I1168" s="35">
        <v>1</v>
      </c>
      <c r="J1168" s="35">
        <v>1</v>
      </c>
      <c r="K1168" s="35">
        <v>50</v>
      </c>
      <c r="L1168" s="60" t="str">
        <f>HYPERLINK("https://www.sds-group.ru/product/samorez-gipsokarton-derevo-3-5h19-mm-paket-20-sht-up-kranz-1133-3519-5/", "Инфо")</f>
        <v>Инфо</v>
      </c>
      <c r="M1168" s="37">
        <v>2.9000000000000001E-2</v>
      </c>
      <c r="N1168" s="38">
        <v>1.92E-4</v>
      </c>
      <c r="O1168" s="141">
        <v>4601004249851</v>
      </c>
    </row>
    <row r="1169" spans="1:15" s="1" customFormat="1" ht="11.45" customHeight="1" outlineLevel="3" x14ac:dyDescent="0.2">
      <c r="A1169" s="32" t="s">
        <v>12355</v>
      </c>
      <c r="B1169" s="74" t="s">
        <v>12356</v>
      </c>
      <c r="C1169" s="50"/>
      <c r="D1169" s="139">
        <f t="shared" si="18"/>
        <v>0</v>
      </c>
      <c r="E1169" s="140">
        <v>96.21</v>
      </c>
      <c r="F1169" s="140">
        <v>78.86</v>
      </c>
      <c r="G1169" s="34" t="s">
        <v>100</v>
      </c>
      <c r="H1169" s="34" t="s">
        <v>1001</v>
      </c>
      <c r="I1169" s="35">
        <v>5</v>
      </c>
      <c r="J1169" s="35">
        <v>5</v>
      </c>
      <c r="K1169" s="35">
        <v>32</v>
      </c>
      <c r="L1169" s="60" t="str">
        <f>HYPERLINK("https://www.sds-group.ru/product/samorez-gipsokarton-derevo-3-5h25-mm-korob-200-sht-up-kranz-KR-01-3331-003/", "Инфо")</f>
        <v>Инфо</v>
      </c>
      <c r="M1169" s="37">
        <v>0.251</v>
      </c>
      <c r="N1169" s="38">
        <v>2.7799999999999998E-4</v>
      </c>
      <c r="O1169" s="141">
        <v>4601004234949</v>
      </c>
    </row>
    <row r="1170" spans="1:15" s="1" customFormat="1" ht="11.45" customHeight="1" outlineLevel="3" x14ac:dyDescent="0.2">
      <c r="A1170" s="32" t="s">
        <v>12357</v>
      </c>
      <c r="B1170" s="74" t="s">
        <v>12358</v>
      </c>
      <c r="C1170" s="50"/>
      <c r="D1170" s="139">
        <f t="shared" si="18"/>
        <v>0</v>
      </c>
      <c r="E1170" s="140">
        <v>10.09</v>
      </c>
      <c r="F1170" s="140">
        <v>8.27</v>
      </c>
      <c r="G1170" s="34" t="s">
        <v>100</v>
      </c>
      <c r="H1170" s="34" t="s">
        <v>1001</v>
      </c>
      <c r="I1170" s="35">
        <v>1</v>
      </c>
      <c r="J1170" s="35">
        <v>1</v>
      </c>
      <c r="K1170" s="35">
        <v>50</v>
      </c>
      <c r="L1170" s="60" t="str">
        <f>HYPERLINK("https://www.sds-group.ru/product/samorez-gipsokarton-derevo-3-5h25-mm-paket-20-sht-up-kranz-1133-3525-5/", "Инфо")</f>
        <v>Инфо</v>
      </c>
      <c r="M1170" s="37">
        <v>2.9000000000000001E-2</v>
      </c>
      <c r="N1170" s="38">
        <v>1.92E-4</v>
      </c>
      <c r="O1170" s="141">
        <v>4601004249868</v>
      </c>
    </row>
    <row r="1171" spans="1:15" s="1" customFormat="1" ht="11.45" customHeight="1" outlineLevel="3" x14ac:dyDescent="0.2">
      <c r="A1171" s="32" t="s">
        <v>12359</v>
      </c>
      <c r="B1171" s="74" t="s">
        <v>12360</v>
      </c>
      <c r="C1171" s="50"/>
      <c r="D1171" s="139">
        <f t="shared" si="18"/>
        <v>0</v>
      </c>
      <c r="E1171" s="140">
        <v>33.74</v>
      </c>
      <c r="F1171" s="140">
        <v>27.66</v>
      </c>
      <c r="G1171" s="34" t="s">
        <v>100</v>
      </c>
      <c r="H1171" s="34" t="s">
        <v>1001</v>
      </c>
      <c r="I1171" s="35">
        <v>1</v>
      </c>
      <c r="J1171" s="35">
        <v>1</v>
      </c>
      <c r="K1171" s="35">
        <v>50</v>
      </c>
      <c r="L1171" s="60" t="str">
        <f>HYPERLINK("https://www.sds-group.ru/product/samorez-gipsokarton-derevo-3-5h25-mm-paket-50-sht-up-kranz-1133-3525-4/", "Инфо")</f>
        <v>Инфо</v>
      </c>
      <c r="M1171" s="37">
        <v>6.6000000000000003E-2</v>
      </c>
      <c r="N1171" s="38">
        <v>1.6799999999999999E-4</v>
      </c>
      <c r="O1171" s="141">
        <v>4601004247727</v>
      </c>
    </row>
    <row r="1172" spans="1:15" s="1" customFormat="1" ht="11.45" customHeight="1" outlineLevel="3" x14ac:dyDescent="0.2">
      <c r="A1172" s="32" t="s">
        <v>12361</v>
      </c>
      <c r="B1172" s="74" t="s">
        <v>12362</v>
      </c>
      <c r="C1172" s="50"/>
      <c r="D1172" s="139">
        <f t="shared" si="18"/>
        <v>0</v>
      </c>
      <c r="E1172" s="140">
        <v>121.35</v>
      </c>
      <c r="F1172" s="140">
        <v>99.47</v>
      </c>
      <c r="G1172" s="34" t="s">
        <v>100</v>
      </c>
      <c r="H1172" s="34" t="s">
        <v>1001</v>
      </c>
      <c r="I1172" s="35">
        <v>5</v>
      </c>
      <c r="J1172" s="35">
        <v>5</v>
      </c>
      <c r="K1172" s="35">
        <v>32</v>
      </c>
      <c r="L1172" s="60" t="str">
        <f>HYPERLINK("https://www.sds-group.ru/product/samorez-gipsokarton-derevo-3-5h32-mm-korob-200-sht-up-kranz-KR-01-3331-004/", "Инфо")</f>
        <v>Инфо</v>
      </c>
      <c r="M1172" s="37">
        <v>0.29899999999999999</v>
      </c>
      <c r="N1172" s="38">
        <v>3.1E-4</v>
      </c>
      <c r="O1172" s="141">
        <v>4601004230804</v>
      </c>
    </row>
    <row r="1173" spans="1:15" s="1" customFormat="1" ht="11.45" customHeight="1" outlineLevel="3" x14ac:dyDescent="0.2">
      <c r="A1173" s="32" t="s">
        <v>12363</v>
      </c>
      <c r="B1173" s="74" t="s">
        <v>12364</v>
      </c>
      <c r="C1173" s="50"/>
      <c r="D1173" s="139">
        <f t="shared" si="18"/>
        <v>0</v>
      </c>
      <c r="E1173" s="140">
        <v>10.57</v>
      </c>
      <c r="F1173" s="140">
        <v>8.66</v>
      </c>
      <c r="G1173" s="34" t="s">
        <v>100</v>
      </c>
      <c r="H1173" s="34" t="s">
        <v>1001</v>
      </c>
      <c r="I1173" s="35">
        <v>1</v>
      </c>
      <c r="J1173" s="35">
        <v>1</v>
      </c>
      <c r="K1173" s="35">
        <v>50</v>
      </c>
      <c r="L1173" s="60" t="str">
        <f>HYPERLINK("https://www.sds-group.ru/product/samorez-gipsokarton-derevo-3-5h32-mm-paket-25-sht-up-kranz-1133-3532-5/", "Инфо")</f>
        <v>Инфо</v>
      </c>
      <c r="M1173" s="37">
        <v>4.8000000000000001E-2</v>
      </c>
      <c r="N1173" s="38">
        <v>1.9100000000000001E-4</v>
      </c>
      <c r="O1173" s="141">
        <v>4601004249875</v>
      </c>
    </row>
    <row r="1174" spans="1:15" s="1" customFormat="1" ht="11.45" customHeight="1" outlineLevel="3" x14ac:dyDescent="0.2">
      <c r="A1174" s="32" t="s">
        <v>12365</v>
      </c>
      <c r="B1174" s="74" t="s">
        <v>12366</v>
      </c>
      <c r="C1174" s="50"/>
      <c r="D1174" s="139">
        <f t="shared" si="18"/>
        <v>0</v>
      </c>
      <c r="E1174" s="140">
        <v>148.51</v>
      </c>
      <c r="F1174" s="140">
        <v>121.73</v>
      </c>
      <c r="G1174" s="34" t="s">
        <v>100</v>
      </c>
      <c r="H1174" s="34" t="s">
        <v>1001</v>
      </c>
      <c r="I1174" s="35">
        <v>5</v>
      </c>
      <c r="J1174" s="35">
        <v>5</v>
      </c>
      <c r="K1174" s="35">
        <v>32</v>
      </c>
      <c r="L1174" s="60" t="str">
        <f>HYPERLINK("https://www.sds-group.ru/product/samorez-gipsokarton-derevo-3-5h35-mm-korob-200-sht-up-kranz-KR-01-3331-005/", "Инфо")</f>
        <v>Инфо</v>
      </c>
      <c r="M1174" s="37">
        <v>0.34200000000000003</v>
      </c>
      <c r="N1174" s="38">
        <v>5.3399999999999997E-4</v>
      </c>
      <c r="O1174" s="141">
        <v>4601004230811</v>
      </c>
    </row>
    <row r="1175" spans="1:15" s="1" customFormat="1" ht="11.45" customHeight="1" outlineLevel="3" x14ac:dyDescent="0.2">
      <c r="A1175" s="32" t="s">
        <v>12367</v>
      </c>
      <c r="B1175" s="74" t="s">
        <v>12368</v>
      </c>
      <c r="C1175" s="50"/>
      <c r="D1175" s="139">
        <f t="shared" si="18"/>
        <v>0</v>
      </c>
      <c r="E1175" s="140">
        <v>6.61</v>
      </c>
      <c r="F1175" s="140">
        <v>5.42</v>
      </c>
      <c r="G1175" s="34" t="s">
        <v>100</v>
      </c>
      <c r="H1175" s="34" t="s">
        <v>1001</v>
      </c>
      <c r="I1175" s="35">
        <v>1</v>
      </c>
      <c r="J1175" s="35">
        <v>1</v>
      </c>
      <c r="K1175" s="35">
        <v>50</v>
      </c>
      <c r="L1175" s="60" t="str">
        <f>HYPERLINK("https://www.sds-group.ru/product/samorez-gipsokarton-derevo-3-5h35-mm-paket-25-sht-up-kranz-1133-3535-5/", "Инфо")</f>
        <v>Инфо</v>
      </c>
      <c r="M1175" s="37">
        <v>4.2999999999999997E-2</v>
      </c>
      <c r="N1175" s="38">
        <v>1.9900000000000001E-4</v>
      </c>
      <c r="O1175" s="141">
        <v>4601004249882</v>
      </c>
    </row>
    <row r="1176" spans="1:15" s="1" customFormat="1" ht="11.45" customHeight="1" outlineLevel="3" x14ac:dyDescent="0.2">
      <c r="A1176" s="32" t="s">
        <v>12369</v>
      </c>
      <c r="B1176" s="74" t="s">
        <v>12370</v>
      </c>
      <c r="C1176" s="50"/>
      <c r="D1176" s="139">
        <f t="shared" si="18"/>
        <v>0</v>
      </c>
      <c r="E1176" s="140">
        <v>33.619999999999997</v>
      </c>
      <c r="F1176" s="140">
        <v>27.56</v>
      </c>
      <c r="G1176" s="34" t="s">
        <v>100</v>
      </c>
      <c r="H1176" s="34" t="s">
        <v>1001</v>
      </c>
      <c r="I1176" s="35">
        <v>10</v>
      </c>
      <c r="J1176" s="35">
        <v>10</v>
      </c>
      <c r="K1176" s="35">
        <v>40</v>
      </c>
      <c r="L1176" s="60" t="str">
        <f>HYPERLINK("https://www.sds-group.ru/product/samorez-gipsokarton-derevo-3-5h35-mm-paket-50-sht-up-kranz-1133-3535-4/", "Инфо")</f>
        <v>Инфо</v>
      </c>
      <c r="M1176" s="37">
        <v>8.5999999999999993E-2</v>
      </c>
      <c r="N1176" s="38">
        <v>2.14E-4</v>
      </c>
      <c r="O1176" s="141">
        <v>4601004247703</v>
      </c>
    </row>
    <row r="1177" spans="1:15" s="1" customFormat="1" ht="11.45" customHeight="1" outlineLevel="3" x14ac:dyDescent="0.2">
      <c r="A1177" s="32" t="s">
        <v>12371</v>
      </c>
      <c r="B1177" s="74" t="s">
        <v>12372</v>
      </c>
      <c r="C1177" s="50"/>
      <c r="D1177" s="139">
        <f t="shared" si="18"/>
        <v>0</v>
      </c>
      <c r="E1177" s="140">
        <v>131.44999999999999</v>
      </c>
      <c r="F1177" s="140">
        <v>107.75</v>
      </c>
      <c r="G1177" s="34" t="s">
        <v>100</v>
      </c>
      <c r="H1177" s="34" t="s">
        <v>1001</v>
      </c>
      <c r="I1177" s="35">
        <v>5</v>
      </c>
      <c r="J1177" s="35">
        <v>5</v>
      </c>
      <c r="K1177" s="35">
        <v>16</v>
      </c>
      <c r="L1177" s="60" t="str">
        <f>HYPERLINK("https://www.sds-group.ru/product/samorez-gipsokarton-derevo-3-5h41-mm-korob-200-sht-up-kranz-KR-01-3331-006/", "Инфо")</f>
        <v>Инфо</v>
      </c>
      <c r="M1177" s="37">
        <v>0.38200000000000001</v>
      </c>
      <c r="N1177" s="38">
        <v>5.53E-4</v>
      </c>
      <c r="O1177" s="141">
        <v>4601004230828</v>
      </c>
    </row>
    <row r="1178" spans="1:15" s="1" customFormat="1" ht="11.45" customHeight="1" outlineLevel="3" x14ac:dyDescent="0.2">
      <c r="A1178" s="32" t="s">
        <v>12373</v>
      </c>
      <c r="B1178" s="74" t="s">
        <v>12374</v>
      </c>
      <c r="C1178" s="50"/>
      <c r="D1178" s="139">
        <f t="shared" si="18"/>
        <v>0</v>
      </c>
      <c r="E1178" s="140">
        <v>34.909999999999997</v>
      </c>
      <c r="F1178" s="140">
        <v>28.61</v>
      </c>
      <c r="G1178" s="34" t="s">
        <v>100</v>
      </c>
      <c r="H1178" s="34" t="s">
        <v>1001</v>
      </c>
      <c r="I1178" s="35">
        <v>1</v>
      </c>
      <c r="J1178" s="35">
        <v>1</v>
      </c>
      <c r="K1178" s="35">
        <v>50</v>
      </c>
      <c r="L1178" s="60" t="str">
        <f>HYPERLINK("https://www.sds-group.ru/product/samorez-gipsokarton-derevo-3-5h41-mm-paket-50-sht-up-kranz-1133-3541-4/", "Инфо")</f>
        <v>Инфо</v>
      </c>
      <c r="M1178" s="37">
        <v>9.5000000000000001E-2</v>
      </c>
      <c r="N1178" s="38">
        <v>3.0699999999999998E-4</v>
      </c>
      <c r="O1178" s="141">
        <v>4601004247697</v>
      </c>
    </row>
    <row r="1179" spans="1:15" s="1" customFormat="1" ht="11.45" customHeight="1" outlineLevel="3" x14ac:dyDescent="0.2">
      <c r="A1179" s="32" t="s">
        <v>12375</v>
      </c>
      <c r="B1179" s="74" t="s">
        <v>12376</v>
      </c>
      <c r="C1179" s="50"/>
      <c r="D1179" s="139">
        <f t="shared" si="18"/>
        <v>0</v>
      </c>
      <c r="E1179" s="140">
        <v>132.80000000000001</v>
      </c>
      <c r="F1179" s="140">
        <v>108.85</v>
      </c>
      <c r="G1179" s="34" t="s">
        <v>100</v>
      </c>
      <c r="H1179" s="34" t="s">
        <v>1001</v>
      </c>
      <c r="I1179" s="35">
        <v>5</v>
      </c>
      <c r="J1179" s="35">
        <v>5</v>
      </c>
      <c r="K1179" s="35">
        <v>16</v>
      </c>
      <c r="L1179" s="60" t="str">
        <f>HYPERLINK("https://www.sds-group.ru/product/samorez-gipsokarton-derevo-3-5h45-mm-korob-200-sht-up-kranz-KR-01-3331-007/", "Инфо")</f>
        <v>Инфо</v>
      </c>
      <c r="M1179" s="37">
        <v>0.41599999999999998</v>
      </c>
      <c r="N1179" s="38">
        <v>5.4199999999999995E-4</v>
      </c>
      <c r="O1179" s="141">
        <v>4601004230835</v>
      </c>
    </row>
    <row r="1180" spans="1:15" s="1" customFormat="1" ht="11.45" customHeight="1" outlineLevel="3" x14ac:dyDescent="0.2">
      <c r="A1180" s="32" t="s">
        <v>12377</v>
      </c>
      <c r="B1180" s="74" t="s">
        <v>12378</v>
      </c>
      <c r="C1180" s="50"/>
      <c r="D1180" s="139">
        <f t="shared" si="18"/>
        <v>0</v>
      </c>
      <c r="E1180" s="140">
        <v>12.89</v>
      </c>
      <c r="F1180" s="140">
        <v>10.57</v>
      </c>
      <c r="G1180" s="34" t="s">
        <v>100</v>
      </c>
      <c r="H1180" s="34" t="s">
        <v>1001</v>
      </c>
      <c r="I1180" s="35">
        <v>1</v>
      </c>
      <c r="J1180" s="35">
        <v>1</v>
      </c>
      <c r="K1180" s="35">
        <v>50</v>
      </c>
      <c r="L1180" s="60" t="str">
        <f>HYPERLINK("https://www.sds-group.ru/product/samorez-gipsokarton-derevo-3-5h45-mm-paket-25-sht-up-kranz-1133-3545-5/", "Инфо")</f>
        <v>Инфо</v>
      </c>
      <c r="M1180" s="37">
        <v>4.9000000000000002E-2</v>
      </c>
      <c r="N1180" s="38">
        <v>3.5300000000000002E-4</v>
      </c>
      <c r="O1180" s="141">
        <v>4601004249899</v>
      </c>
    </row>
    <row r="1181" spans="1:15" s="1" customFormat="1" ht="11.45" customHeight="1" outlineLevel="3" x14ac:dyDescent="0.2">
      <c r="A1181" s="32" t="s">
        <v>12381</v>
      </c>
      <c r="B1181" s="74" t="s">
        <v>12382</v>
      </c>
      <c r="C1181" s="50"/>
      <c r="D1181" s="139">
        <f t="shared" si="18"/>
        <v>0</v>
      </c>
      <c r="E1181" s="140">
        <v>4.46</v>
      </c>
      <c r="F1181" s="140">
        <v>3.66</v>
      </c>
      <c r="G1181" s="34" t="s">
        <v>100</v>
      </c>
      <c r="H1181" s="34" t="s">
        <v>1001</v>
      </c>
      <c r="I1181" s="35">
        <v>1</v>
      </c>
      <c r="J1181" s="35">
        <v>1</v>
      </c>
      <c r="K1181" s="35">
        <v>240</v>
      </c>
      <c r="L1181" s="60" t="str">
        <f>HYPERLINK("https://www.sds-group.ru/product/samorez-gipsokarton-derevo-3-5h51-mm-paket-20-sht-up-kranz-1133-3551-5/", "Инфо")</f>
        <v>Инфо</v>
      </c>
      <c r="M1181" s="37">
        <v>4.8000000000000001E-2</v>
      </c>
      <c r="N1181" s="38">
        <v>1.3300000000000001E-4</v>
      </c>
      <c r="O1181" s="141">
        <v>4601004249905</v>
      </c>
    </row>
    <row r="1182" spans="1:15" s="1" customFormat="1" ht="11.45" customHeight="1" outlineLevel="3" x14ac:dyDescent="0.2">
      <c r="A1182" s="32" t="s">
        <v>12383</v>
      </c>
      <c r="B1182" s="74" t="s">
        <v>12384</v>
      </c>
      <c r="C1182" s="50"/>
      <c r="D1182" s="139">
        <f t="shared" si="18"/>
        <v>0</v>
      </c>
      <c r="E1182" s="140">
        <v>38.1</v>
      </c>
      <c r="F1182" s="140">
        <v>31.23</v>
      </c>
      <c r="G1182" s="34" t="s">
        <v>100</v>
      </c>
      <c r="H1182" s="34" t="s">
        <v>1001</v>
      </c>
      <c r="I1182" s="35">
        <v>10</v>
      </c>
      <c r="J1182" s="35">
        <v>10</v>
      </c>
      <c r="K1182" s="35">
        <v>50</v>
      </c>
      <c r="L1182" s="60" t="str">
        <f>HYPERLINK("https://www.sds-group.ru/product/samorez-gipsokarton-derevo-3-5h51-mm-paket-50-sht-up-kranz-1133-3551-4/", "Инфо")</f>
        <v>Инфо</v>
      </c>
      <c r="M1182" s="37">
        <v>0.13600000000000001</v>
      </c>
      <c r="N1182" s="38">
        <v>3.8299999999999999E-4</v>
      </c>
      <c r="O1182" s="141">
        <v>4601004247574</v>
      </c>
    </row>
    <row r="1183" spans="1:15" s="1" customFormat="1" ht="11.45" customHeight="1" outlineLevel="3" x14ac:dyDescent="0.2">
      <c r="A1183" s="32" t="s">
        <v>12385</v>
      </c>
      <c r="B1183" s="74" t="s">
        <v>12386</v>
      </c>
      <c r="C1183" s="50"/>
      <c r="D1183" s="139">
        <f t="shared" si="18"/>
        <v>0</v>
      </c>
      <c r="E1183" s="140">
        <v>143.33000000000001</v>
      </c>
      <c r="F1183" s="140">
        <v>117.48</v>
      </c>
      <c r="G1183" s="34" t="s">
        <v>100</v>
      </c>
      <c r="H1183" s="34" t="s">
        <v>1001</v>
      </c>
      <c r="I1183" s="35">
        <v>5</v>
      </c>
      <c r="J1183" s="35">
        <v>5</v>
      </c>
      <c r="K1183" s="35">
        <v>8</v>
      </c>
      <c r="L1183" s="60" t="str">
        <f>HYPERLINK("https://www.sds-group.ru/product/samorez-gipsokarton-derevo-3-5h55-mm-korob-200-sht-up-kranz-KR-01-3331-009/", "Инфо")</f>
        <v>Инфо</v>
      </c>
      <c r="M1183" s="37">
        <v>0.53300000000000003</v>
      </c>
      <c r="N1183" s="38">
        <v>1.0790000000000001E-3</v>
      </c>
      <c r="O1183" s="141">
        <v>4601004230859</v>
      </c>
    </row>
    <row r="1184" spans="1:15" s="1" customFormat="1" ht="11.45" customHeight="1" outlineLevel="3" x14ac:dyDescent="0.2">
      <c r="A1184" s="32" t="s">
        <v>12387</v>
      </c>
      <c r="B1184" s="74" t="s">
        <v>12388</v>
      </c>
      <c r="C1184" s="50"/>
      <c r="D1184" s="139">
        <f t="shared" si="18"/>
        <v>0</v>
      </c>
      <c r="E1184" s="140">
        <v>5.13</v>
      </c>
      <c r="F1184" s="140">
        <v>4.2</v>
      </c>
      <c r="G1184" s="34" t="s">
        <v>100</v>
      </c>
      <c r="H1184" s="34" t="s">
        <v>1001</v>
      </c>
      <c r="I1184" s="35">
        <v>1</v>
      </c>
      <c r="J1184" s="35">
        <v>1</v>
      </c>
      <c r="K1184" s="35">
        <v>240</v>
      </c>
      <c r="L1184" s="60" t="str">
        <f>HYPERLINK("https://www.sds-group.ru/product/samorez-gipsokarton-derevo-3-5h55-mm-paket-20-sht-up-kranz-1133-3555-5/", "Инфо")</f>
        <v>Инфо</v>
      </c>
      <c r="M1184" s="37">
        <v>5.0999999999999997E-2</v>
      </c>
      <c r="N1184" s="38">
        <v>1.3799999999999999E-4</v>
      </c>
      <c r="O1184" s="141">
        <v>4601004249912</v>
      </c>
    </row>
    <row r="1185" spans="1:15" s="1" customFormat="1" ht="11.45" customHeight="1" outlineLevel="3" x14ac:dyDescent="0.2">
      <c r="A1185" s="32" t="s">
        <v>12389</v>
      </c>
      <c r="B1185" s="74" t="s">
        <v>12390</v>
      </c>
      <c r="C1185" s="50"/>
      <c r="D1185" s="139">
        <f t="shared" si="18"/>
        <v>0</v>
      </c>
      <c r="E1185" s="140">
        <v>52.67</v>
      </c>
      <c r="F1185" s="140">
        <v>43.17</v>
      </c>
      <c r="G1185" s="34" t="s">
        <v>100</v>
      </c>
      <c r="H1185" s="34" t="s">
        <v>1001</v>
      </c>
      <c r="I1185" s="35">
        <v>1</v>
      </c>
      <c r="J1185" s="35">
        <v>1</v>
      </c>
      <c r="K1185" s="35">
        <v>50</v>
      </c>
      <c r="L1185" s="60" t="str">
        <f>HYPERLINK("https://www.sds-group.ru/product/samorez-gipsokarton-derevo-3-5h55-mm-paket-50-sht-up-kranz-1133-3555-4/", "Инфо")</f>
        <v>Инфо</v>
      </c>
      <c r="M1185" s="37">
        <v>0.124</v>
      </c>
      <c r="N1185" s="38">
        <v>3.8699999999999997E-4</v>
      </c>
      <c r="O1185" s="141">
        <v>4601004247581</v>
      </c>
    </row>
    <row r="1186" spans="1:15" s="1" customFormat="1" ht="11.45" customHeight="1" outlineLevel="3" x14ac:dyDescent="0.2">
      <c r="A1186" s="32" t="s">
        <v>12391</v>
      </c>
      <c r="B1186" s="74" t="s">
        <v>12392</v>
      </c>
      <c r="C1186" s="50"/>
      <c r="D1186" s="139">
        <f t="shared" si="18"/>
        <v>0</v>
      </c>
      <c r="E1186" s="140">
        <v>265.86</v>
      </c>
      <c r="F1186" s="140">
        <v>217.92</v>
      </c>
      <c r="G1186" s="34" t="s">
        <v>100</v>
      </c>
      <c r="H1186" s="34" t="s">
        <v>1001</v>
      </c>
      <c r="I1186" s="35">
        <v>1</v>
      </c>
      <c r="J1186" s="35">
        <v>1</v>
      </c>
      <c r="K1186" s="35">
        <v>10</v>
      </c>
      <c r="L1186" s="60" t="str">
        <f>HYPERLINK("https://www.sds-group.ru/product/samorez-gipsokarton-derevo-3-5h55-mm-paket-500-sht-up-kranz-1133-3555-2/", "Инфо")</f>
        <v>Инфо</v>
      </c>
      <c r="M1186" s="37">
        <v>1.099</v>
      </c>
      <c r="N1186" s="38">
        <v>1.8500000000000001E-3</v>
      </c>
      <c r="O1186" s="141">
        <v>4601004271081</v>
      </c>
    </row>
    <row r="1187" spans="1:15" s="1" customFormat="1" ht="11.45" customHeight="1" outlineLevel="3" x14ac:dyDescent="0.2">
      <c r="A1187" s="32" t="s">
        <v>12393</v>
      </c>
      <c r="B1187" s="74" t="s">
        <v>12394</v>
      </c>
      <c r="C1187" s="50"/>
      <c r="D1187" s="139">
        <f t="shared" si="18"/>
        <v>0</v>
      </c>
      <c r="E1187" s="140">
        <v>142.51</v>
      </c>
      <c r="F1187" s="140">
        <v>116.81</v>
      </c>
      <c r="G1187" s="34" t="s">
        <v>100</v>
      </c>
      <c r="H1187" s="34" t="s">
        <v>1001</v>
      </c>
      <c r="I1187" s="35">
        <v>5</v>
      </c>
      <c r="J1187" s="35">
        <v>5</v>
      </c>
      <c r="K1187" s="35">
        <v>8</v>
      </c>
      <c r="L1187" s="60" t="str">
        <f>HYPERLINK("https://www.sds-group.ru/product/samorez-gipsokarton-derevo-3-8h65-mm-korob-200-sht-up-kranz-KR-01-3331-010/", "Инфо")</f>
        <v>Инфо</v>
      </c>
      <c r="M1187" s="37">
        <v>0.621</v>
      </c>
      <c r="N1187" s="38">
        <v>1.06E-3</v>
      </c>
      <c r="O1187" s="141">
        <v>4601004230866</v>
      </c>
    </row>
    <row r="1188" spans="1:15" s="1" customFormat="1" ht="11.45" customHeight="1" outlineLevel="3" x14ac:dyDescent="0.2">
      <c r="A1188" s="32" t="s">
        <v>12395</v>
      </c>
      <c r="B1188" s="74" t="s">
        <v>12396</v>
      </c>
      <c r="C1188" s="50"/>
      <c r="D1188" s="139">
        <f t="shared" si="18"/>
        <v>0</v>
      </c>
      <c r="E1188" s="140">
        <v>12.49</v>
      </c>
      <c r="F1188" s="140">
        <v>10.24</v>
      </c>
      <c r="G1188" s="34" t="s">
        <v>100</v>
      </c>
      <c r="H1188" s="34" t="s">
        <v>1001</v>
      </c>
      <c r="I1188" s="35">
        <v>1</v>
      </c>
      <c r="J1188" s="35">
        <v>1</v>
      </c>
      <c r="K1188" s="35">
        <v>360</v>
      </c>
      <c r="L1188" s="60" t="str">
        <f>HYPERLINK("https://www.sds-group.ru/product/samorez-gipsokarton-derevo-3-8h65-mm-paket-10-sht-up-kranz-1133-3865-4/", "Инфо")</f>
        <v>Инфо</v>
      </c>
      <c r="M1188" s="37">
        <v>3.2000000000000001E-2</v>
      </c>
      <c r="N1188" s="38">
        <v>9.1000000000000003E-5</v>
      </c>
      <c r="O1188" s="141">
        <v>4601004249929</v>
      </c>
    </row>
    <row r="1189" spans="1:15" s="1" customFormat="1" ht="11.45" customHeight="1" outlineLevel="3" x14ac:dyDescent="0.2">
      <c r="A1189" s="32" t="s">
        <v>12397</v>
      </c>
      <c r="B1189" s="74" t="s">
        <v>12398</v>
      </c>
      <c r="C1189" s="50"/>
      <c r="D1189" s="139">
        <f t="shared" si="18"/>
        <v>0</v>
      </c>
      <c r="E1189" s="140">
        <v>316.76</v>
      </c>
      <c r="F1189" s="140">
        <v>259.64</v>
      </c>
      <c r="G1189" s="34" t="s">
        <v>100</v>
      </c>
      <c r="H1189" s="34" t="s">
        <v>1001</v>
      </c>
      <c r="I1189" s="35">
        <v>1</v>
      </c>
      <c r="J1189" s="35">
        <v>1</v>
      </c>
      <c r="K1189" s="35">
        <v>10</v>
      </c>
      <c r="L1189" s="60" t="str">
        <f>HYPERLINK("https://www.sds-group.ru/product/samorez-gipsokarton-derevo-3-8h65-mm-paket-500-sht-up-kranz-1133-3865-2/", "Инфо")</f>
        <v>Инфо</v>
      </c>
      <c r="M1189" s="37">
        <v>1.3879999999999999</v>
      </c>
      <c r="N1189" s="38">
        <v>2.2070000000000002E-3</v>
      </c>
      <c r="O1189" s="141">
        <v>4601004271036</v>
      </c>
    </row>
    <row r="1190" spans="1:15" s="1" customFormat="1" ht="11.45" customHeight="1" outlineLevel="3" x14ac:dyDescent="0.2">
      <c r="A1190" s="32" t="s">
        <v>12399</v>
      </c>
      <c r="B1190" s="74" t="s">
        <v>12400</v>
      </c>
      <c r="C1190" s="50"/>
      <c r="D1190" s="139">
        <f t="shared" si="18"/>
        <v>0</v>
      </c>
      <c r="E1190" s="140">
        <v>146.88</v>
      </c>
      <c r="F1190" s="140">
        <v>120.39</v>
      </c>
      <c r="G1190" s="34" t="s">
        <v>100</v>
      </c>
      <c r="H1190" s="34" t="s">
        <v>1001</v>
      </c>
      <c r="I1190" s="35">
        <v>5</v>
      </c>
      <c r="J1190" s="35">
        <v>5</v>
      </c>
      <c r="K1190" s="35">
        <v>16</v>
      </c>
      <c r="L1190" s="60" t="str">
        <f>HYPERLINK("https://www.sds-group.ru/product/samorez-gipsokarton-derevo-4-2h70-mm-korob-100-sht-up-kranz-KR-01-3331-011/", "Инфо")</f>
        <v>Инфо</v>
      </c>
      <c r="M1190" s="37">
        <v>0.41</v>
      </c>
      <c r="N1190" s="38">
        <v>1.0679999999999999E-3</v>
      </c>
      <c r="O1190" s="141">
        <v>4601004231030</v>
      </c>
    </row>
    <row r="1191" spans="1:15" s="1" customFormat="1" ht="11.45" customHeight="1" outlineLevel="3" x14ac:dyDescent="0.2">
      <c r="A1191" s="32" t="s">
        <v>12401</v>
      </c>
      <c r="B1191" s="74" t="s">
        <v>12402</v>
      </c>
      <c r="C1191" s="50"/>
      <c r="D1191" s="139">
        <f t="shared" si="18"/>
        <v>0</v>
      </c>
      <c r="E1191" s="140">
        <v>12.98</v>
      </c>
      <c r="F1191" s="140">
        <v>10.64</v>
      </c>
      <c r="G1191" s="34" t="s">
        <v>100</v>
      </c>
      <c r="H1191" s="34" t="s">
        <v>1001</v>
      </c>
      <c r="I1191" s="35">
        <v>1</v>
      </c>
      <c r="J1191" s="35">
        <v>1</v>
      </c>
      <c r="K1191" s="35">
        <v>240</v>
      </c>
      <c r="L1191" s="60" t="str">
        <f>HYPERLINK("https://www.sds-group.ru/product/samorez-gipsokarton-derevo-4-2h70-mm-paket-10-sht-up-kranz-1133-4270-4/", "Инфо")</f>
        <v>Инфо</v>
      </c>
      <c r="M1191" s="37">
        <v>3.5999999999999997E-2</v>
      </c>
      <c r="N1191" s="38">
        <v>1.2E-4</v>
      </c>
      <c r="O1191" s="141">
        <v>4601004249936</v>
      </c>
    </row>
    <row r="1192" spans="1:15" s="1" customFormat="1" ht="11.45" customHeight="1" outlineLevel="3" x14ac:dyDescent="0.2">
      <c r="A1192" s="32" t="s">
        <v>12403</v>
      </c>
      <c r="B1192" s="74" t="s">
        <v>12404</v>
      </c>
      <c r="C1192" s="50"/>
      <c r="D1192" s="139">
        <f t="shared" si="18"/>
        <v>0</v>
      </c>
      <c r="E1192" s="140">
        <v>149.41999999999999</v>
      </c>
      <c r="F1192" s="140">
        <v>122.48</v>
      </c>
      <c r="G1192" s="34" t="s">
        <v>100</v>
      </c>
      <c r="H1192" s="34" t="s">
        <v>1001</v>
      </c>
      <c r="I1192" s="35">
        <v>5</v>
      </c>
      <c r="J1192" s="35">
        <v>5</v>
      </c>
      <c r="K1192" s="35">
        <v>16</v>
      </c>
      <c r="L1192" s="60" t="str">
        <f>HYPERLINK("https://www.sds-group.ru/product/samorez-gipsokarton-derevo-4-2h75-mm-korob-100-sht-up-kranz-KR-01-3331-012/", "Инфо")</f>
        <v>Инфо</v>
      </c>
      <c r="M1192" s="37">
        <v>0.437</v>
      </c>
      <c r="N1192" s="38">
        <v>5.44E-4</v>
      </c>
      <c r="O1192" s="141">
        <v>4601004231047</v>
      </c>
    </row>
    <row r="1193" spans="1:15" s="1" customFormat="1" ht="11.45" customHeight="1" outlineLevel="3" x14ac:dyDescent="0.2">
      <c r="A1193" s="32" t="s">
        <v>12407</v>
      </c>
      <c r="B1193" s="74" t="s">
        <v>12408</v>
      </c>
      <c r="C1193" s="50"/>
      <c r="D1193" s="139">
        <f t="shared" si="18"/>
        <v>0</v>
      </c>
      <c r="E1193" s="140">
        <v>159.63999999999999</v>
      </c>
      <c r="F1193" s="140">
        <v>130.85</v>
      </c>
      <c r="G1193" s="34" t="s">
        <v>100</v>
      </c>
      <c r="H1193" s="34" t="s">
        <v>1001</v>
      </c>
      <c r="I1193" s="35">
        <v>5</v>
      </c>
      <c r="J1193" s="35">
        <v>5</v>
      </c>
      <c r="K1193" s="35">
        <v>8</v>
      </c>
      <c r="L1193" s="60" t="str">
        <f>HYPERLINK("https://www.sds-group.ru/product/samorez-gipsokarton-derevo-4-2h90-mm-korob-100-sht-up-kranz-KR-01-3331-013/", "Инфо")</f>
        <v>Инфо</v>
      </c>
      <c r="M1193" s="37">
        <v>0.48299999999999998</v>
      </c>
      <c r="N1193" s="38">
        <v>1.0950000000000001E-3</v>
      </c>
      <c r="O1193" s="141">
        <v>4601004234888</v>
      </c>
    </row>
    <row r="1194" spans="1:15" s="1" customFormat="1" ht="11.45" customHeight="1" outlineLevel="3" x14ac:dyDescent="0.2">
      <c r="A1194" s="32" t="s">
        <v>12409</v>
      </c>
      <c r="B1194" s="74" t="s">
        <v>12410</v>
      </c>
      <c r="C1194" s="50"/>
      <c r="D1194" s="139">
        <f t="shared" si="18"/>
        <v>0</v>
      </c>
      <c r="E1194" s="140">
        <v>16.05</v>
      </c>
      <c r="F1194" s="140">
        <v>13.16</v>
      </c>
      <c r="G1194" s="34" t="s">
        <v>100</v>
      </c>
      <c r="H1194" s="34" t="s">
        <v>1001</v>
      </c>
      <c r="I1194" s="35">
        <v>1</v>
      </c>
      <c r="J1194" s="35">
        <v>1</v>
      </c>
      <c r="K1194" s="35">
        <v>240</v>
      </c>
      <c r="L1194" s="60" t="str">
        <f>HYPERLINK("https://www.sds-group.ru/product/samorez-gipsokarton-derevo-4-2h90-mm-paket-4-sht-up-kranz-1133-4290-4/", "Инфо")</f>
        <v>Инфо</v>
      </c>
      <c r="M1194" s="37">
        <v>2.3E-2</v>
      </c>
      <c r="N1194" s="38">
        <v>1.3899999999999999E-4</v>
      </c>
      <c r="O1194" s="141">
        <v>4601004249950</v>
      </c>
    </row>
    <row r="1195" spans="1:15" ht="11.45" customHeight="1" outlineLevel="2" x14ac:dyDescent="0.2">
      <c r="A1195" s="76" t="s">
        <v>12411</v>
      </c>
      <c r="B1195" s="136"/>
      <c r="C1195" s="77"/>
      <c r="D1195" s="137"/>
      <c r="E1195" s="4"/>
      <c r="F1195" s="4"/>
      <c r="G1195" s="4"/>
      <c r="H1195" s="4"/>
      <c r="I1195" s="4"/>
      <c r="J1195" s="4"/>
      <c r="K1195" s="4"/>
      <c r="L1195" s="138"/>
      <c r="M1195" s="4"/>
      <c r="N1195" s="4"/>
      <c r="O1195" s="4"/>
    </row>
    <row r="1196" spans="1:15" s="1" customFormat="1" ht="11.45" customHeight="1" outlineLevel="3" x14ac:dyDescent="0.2">
      <c r="A1196" s="32" t="s">
        <v>12414</v>
      </c>
      <c r="B1196" s="74" t="s">
        <v>12415</v>
      </c>
      <c r="C1196" s="50"/>
      <c r="D1196" s="139">
        <f t="shared" si="18"/>
        <v>0</v>
      </c>
      <c r="E1196" s="140">
        <v>216.01</v>
      </c>
      <c r="F1196" s="140">
        <v>177.06</v>
      </c>
      <c r="G1196" s="34" t="s">
        <v>100</v>
      </c>
      <c r="H1196" s="34" t="s">
        <v>1001</v>
      </c>
      <c r="I1196" s="35">
        <v>1</v>
      </c>
      <c r="J1196" s="35">
        <v>1</v>
      </c>
      <c r="K1196" s="35">
        <v>10</v>
      </c>
      <c r="L1196" s="60" t="str">
        <f>HYPERLINK("https://www.sds-group.ru/product/samorez-gipsokarton-metall-3-5h19-mm-paket-1000-sht-up-kranz-1143-3519-2/", "Инфо")</f>
        <v>Инфо</v>
      </c>
      <c r="M1196" s="37">
        <v>1.1519999999999999</v>
      </c>
      <c r="N1196" s="38">
        <v>1.0039999999999999E-3</v>
      </c>
      <c r="O1196" s="141">
        <v>4601004271111</v>
      </c>
    </row>
    <row r="1197" spans="1:15" s="1" customFormat="1" ht="11.45" customHeight="1" outlineLevel="3" x14ac:dyDescent="0.2">
      <c r="A1197" s="32" t="s">
        <v>12416</v>
      </c>
      <c r="B1197" s="74" t="s">
        <v>12417</v>
      </c>
      <c r="C1197" s="50"/>
      <c r="D1197" s="139">
        <f t="shared" si="18"/>
        <v>0</v>
      </c>
      <c r="E1197" s="140">
        <v>104.72</v>
      </c>
      <c r="F1197" s="140">
        <v>85.84</v>
      </c>
      <c r="G1197" s="34" t="s">
        <v>100</v>
      </c>
      <c r="H1197" s="34" t="s">
        <v>1001</v>
      </c>
      <c r="I1197" s="35">
        <v>5</v>
      </c>
      <c r="J1197" s="35">
        <v>5</v>
      </c>
      <c r="K1197" s="35">
        <v>32</v>
      </c>
      <c r="L1197" s="60" t="str">
        <f>HYPERLINK("https://www.sds-group.ru/product/samorez-gipsokarton-metall-3-5h25-mm-korob-200-sht-up-kranz-KR-01-3341-003/", "Инфо")</f>
        <v>Инфо</v>
      </c>
      <c r="M1197" s="37">
        <v>0.255</v>
      </c>
      <c r="N1197" s="38">
        <v>2.7900000000000001E-4</v>
      </c>
      <c r="O1197" s="141">
        <v>4601004230873</v>
      </c>
    </row>
    <row r="1198" spans="1:15" s="1" customFormat="1" ht="11.45" customHeight="1" outlineLevel="3" x14ac:dyDescent="0.2">
      <c r="A1198" s="32" t="s">
        <v>12418</v>
      </c>
      <c r="B1198" s="74" t="s">
        <v>12419</v>
      </c>
      <c r="C1198" s="50"/>
      <c r="D1198" s="139">
        <f t="shared" si="18"/>
        <v>0</v>
      </c>
      <c r="E1198" s="140">
        <v>3.68</v>
      </c>
      <c r="F1198" s="140">
        <v>3.02</v>
      </c>
      <c r="G1198" s="34" t="s">
        <v>100</v>
      </c>
      <c r="H1198" s="34" t="s">
        <v>1001</v>
      </c>
      <c r="I1198" s="35">
        <v>1</v>
      </c>
      <c r="J1198" s="35">
        <v>1</v>
      </c>
      <c r="K1198" s="35">
        <v>300</v>
      </c>
      <c r="L1198" s="60" t="str">
        <f>HYPERLINK("https://www.sds-group.ru/product/samorez-gipsokarton-metall-3-5h25-mm-paket-20-sht-up-kranz-1143-3525-5/", "Инфо")</f>
        <v>Инфо</v>
      </c>
      <c r="M1198" s="37">
        <v>2.8000000000000001E-2</v>
      </c>
      <c r="N1198" s="38">
        <v>1.07E-4</v>
      </c>
      <c r="O1198" s="141">
        <v>4601004249974</v>
      </c>
    </row>
    <row r="1199" spans="1:15" s="1" customFormat="1" ht="11.45" customHeight="1" outlineLevel="3" x14ac:dyDescent="0.2">
      <c r="A1199" s="32" t="s">
        <v>12420</v>
      </c>
      <c r="B1199" s="74" t="s">
        <v>12421</v>
      </c>
      <c r="C1199" s="50"/>
      <c r="D1199" s="139">
        <f t="shared" si="18"/>
        <v>0</v>
      </c>
      <c r="E1199" s="140">
        <v>49.78</v>
      </c>
      <c r="F1199" s="140">
        <v>40.799999999999997</v>
      </c>
      <c r="G1199" s="34" t="s">
        <v>100</v>
      </c>
      <c r="H1199" s="34" t="s">
        <v>1001</v>
      </c>
      <c r="I1199" s="35">
        <v>1</v>
      </c>
      <c r="J1199" s="35">
        <v>1</v>
      </c>
      <c r="K1199" s="35">
        <v>50</v>
      </c>
      <c r="L1199" s="60" t="str">
        <f>HYPERLINK("https://www.sds-group.ru/product/samorez-gipsokarton-metall-3-5h25-mm-paket-50-sht-up-kranz-1143-3525-4/", "Инфо")</f>
        <v>Инфо</v>
      </c>
      <c r="M1199" s="37">
        <v>6.4000000000000001E-2</v>
      </c>
      <c r="N1199" s="38">
        <v>1.15E-4</v>
      </c>
      <c r="O1199" s="141">
        <v>4601004247604</v>
      </c>
    </row>
    <row r="1200" spans="1:15" s="1" customFormat="1" ht="11.45" customHeight="1" outlineLevel="3" x14ac:dyDescent="0.2">
      <c r="A1200" s="32" t="s">
        <v>12422</v>
      </c>
      <c r="B1200" s="74" t="s">
        <v>12423</v>
      </c>
      <c r="C1200" s="50"/>
      <c r="D1200" s="139">
        <f t="shared" si="18"/>
        <v>0</v>
      </c>
      <c r="E1200" s="140">
        <v>115</v>
      </c>
      <c r="F1200" s="140">
        <v>94.26</v>
      </c>
      <c r="G1200" s="34" t="s">
        <v>100</v>
      </c>
      <c r="H1200" s="34" t="s">
        <v>1001</v>
      </c>
      <c r="I1200" s="35">
        <v>5</v>
      </c>
      <c r="J1200" s="35">
        <v>5</v>
      </c>
      <c r="K1200" s="35">
        <v>16</v>
      </c>
      <c r="L1200" s="60" t="str">
        <f>HYPERLINK("https://www.sds-group.ru/product/samorez-gipsokarton-metall-3-5h32-mm-korob-200-sht-up-kranz-KR-01-3341-004/", "Инфо")</f>
        <v>Инфо</v>
      </c>
      <c r="M1200" s="37">
        <v>0.32200000000000001</v>
      </c>
      <c r="N1200" s="38">
        <v>7.8399999999999997E-4</v>
      </c>
      <c r="O1200" s="141">
        <v>4601004234963</v>
      </c>
    </row>
    <row r="1201" spans="1:15" s="1" customFormat="1" ht="11.45" customHeight="1" outlineLevel="3" x14ac:dyDescent="0.2">
      <c r="A1201" s="32" t="s">
        <v>12424</v>
      </c>
      <c r="B1201" s="74" t="s">
        <v>12425</v>
      </c>
      <c r="C1201" s="50"/>
      <c r="D1201" s="139">
        <f t="shared" si="18"/>
        <v>0</v>
      </c>
      <c r="E1201" s="140">
        <v>345.43</v>
      </c>
      <c r="F1201" s="140">
        <v>283.14</v>
      </c>
      <c r="G1201" s="34" t="s">
        <v>100</v>
      </c>
      <c r="H1201" s="34" t="s">
        <v>1001</v>
      </c>
      <c r="I1201" s="35">
        <v>1</v>
      </c>
      <c r="J1201" s="35">
        <v>1</v>
      </c>
      <c r="K1201" s="35">
        <v>1</v>
      </c>
      <c r="L1201" s="60" t="str">
        <f>HYPERLINK("https://www.sds-group.ru/product/samorez-gipsokarton-metall-3-5h32-mm-paket-1000-sht-up-kranz-1143-3532-2/", "Инфо")</f>
        <v>Инфо</v>
      </c>
      <c r="M1201" s="37">
        <v>1.399</v>
      </c>
      <c r="N1201" s="38">
        <v>1.2780000000000001E-3</v>
      </c>
      <c r="O1201" s="141">
        <v>4601004271180</v>
      </c>
    </row>
    <row r="1202" spans="1:15" s="1" customFormat="1" ht="11.45" customHeight="1" outlineLevel="3" x14ac:dyDescent="0.2">
      <c r="A1202" s="32" t="s">
        <v>12426</v>
      </c>
      <c r="B1202" s="74" t="s">
        <v>12427</v>
      </c>
      <c r="C1202" s="50"/>
      <c r="D1202" s="139">
        <f t="shared" si="18"/>
        <v>0</v>
      </c>
      <c r="E1202" s="140">
        <v>7.57</v>
      </c>
      <c r="F1202" s="140">
        <v>6.2</v>
      </c>
      <c r="G1202" s="34" t="s">
        <v>100</v>
      </c>
      <c r="H1202" s="34" t="s">
        <v>1001</v>
      </c>
      <c r="I1202" s="35">
        <v>1</v>
      </c>
      <c r="J1202" s="35">
        <v>1</v>
      </c>
      <c r="K1202" s="35">
        <v>300</v>
      </c>
      <c r="L1202" s="60" t="str">
        <f>HYPERLINK("https://www.sds-group.ru/product/samorez-gipsokarton-metall-3-5h32-mm-paket-25-sht-up-kranz-1143-3532-5/", "Инфо")</f>
        <v>Инфо</v>
      </c>
      <c r="M1202" s="37">
        <v>0.04</v>
      </c>
      <c r="N1202" s="38">
        <v>1.0900000000000001E-4</v>
      </c>
      <c r="O1202" s="141">
        <v>4601004249981</v>
      </c>
    </row>
    <row r="1203" spans="1:15" s="1" customFormat="1" ht="11.45" customHeight="1" outlineLevel="3" x14ac:dyDescent="0.2">
      <c r="A1203" s="32" t="s">
        <v>12428</v>
      </c>
      <c r="B1203" s="74" t="s">
        <v>12429</v>
      </c>
      <c r="C1203" s="50"/>
      <c r="D1203" s="139">
        <f t="shared" si="18"/>
        <v>0</v>
      </c>
      <c r="E1203" s="140">
        <v>46.88</v>
      </c>
      <c r="F1203" s="140">
        <v>38.43</v>
      </c>
      <c r="G1203" s="34" t="s">
        <v>100</v>
      </c>
      <c r="H1203" s="34" t="s">
        <v>1001</v>
      </c>
      <c r="I1203" s="35">
        <v>1</v>
      </c>
      <c r="J1203" s="35">
        <v>1</v>
      </c>
      <c r="K1203" s="35">
        <v>35</v>
      </c>
      <c r="L1203" s="60" t="str">
        <f>HYPERLINK("https://www.sds-group.ru/product/samorez-gipsokarton-metall-3-5h32-mm-paket-50-sht-up-kranz-1143-3532-4/", "Инфо")</f>
        <v>Инфо</v>
      </c>
      <c r="M1203" s="37">
        <v>7.4999999999999997E-2</v>
      </c>
      <c r="N1203" s="38">
        <v>1.5100000000000001E-4</v>
      </c>
      <c r="O1203" s="141">
        <v>4601004247611</v>
      </c>
    </row>
    <row r="1204" spans="1:15" s="1" customFormat="1" ht="11.45" customHeight="1" outlineLevel="3" x14ac:dyDescent="0.2">
      <c r="A1204" s="32" t="s">
        <v>12430</v>
      </c>
      <c r="B1204" s="74" t="s">
        <v>12431</v>
      </c>
      <c r="C1204" s="50"/>
      <c r="D1204" s="139">
        <f t="shared" si="18"/>
        <v>0</v>
      </c>
      <c r="E1204" s="140">
        <v>147.30000000000001</v>
      </c>
      <c r="F1204" s="140">
        <v>120.74</v>
      </c>
      <c r="G1204" s="34" t="s">
        <v>100</v>
      </c>
      <c r="H1204" s="34" t="s">
        <v>1001</v>
      </c>
      <c r="I1204" s="35">
        <v>5</v>
      </c>
      <c r="J1204" s="35">
        <v>5</v>
      </c>
      <c r="K1204" s="35">
        <v>32</v>
      </c>
      <c r="L1204" s="60" t="str">
        <f>HYPERLINK("https://www.sds-group.ru/product/samorez-gipsokarton-metall-3-5h35-mm-korob-200-sht-up-kranz-KR-01-3341-005/", "Инфо")</f>
        <v>Инфо</v>
      </c>
      <c r="M1204" s="37">
        <v>0.34300000000000003</v>
      </c>
      <c r="N1204" s="38">
        <v>5.3399999999999997E-4</v>
      </c>
      <c r="O1204" s="141">
        <v>4601004230880</v>
      </c>
    </row>
    <row r="1205" spans="1:15" s="1" customFormat="1" ht="11.45" customHeight="1" outlineLevel="3" x14ac:dyDescent="0.2">
      <c r="A1205" s="32" t="s">
        <v>12432</v>
      </c>
      <c r="B1205" s="74" t="s">
        <v>12433</v>
      </c>
      <c r="C1205" s="50"/>
      <c r="D1205" s="139">
        <f t="shared" si="18"/>
        <v>0</v>
      </c>
      <c r="E1205" s="140">
        <v>4.9800000000000004</v>
      </c>
      <c r="F1205" s="140">
        <v>4.08</v>
      </c>
      <c r="G1205" s="34" t="s">
        <v>100</v>
      </c>
      <c r="H1205" s="34" t="s">
        <v>1001</v>
      </c>
      <c r="I1205" s="35">
        <v>1</v>
      </c>
      <c r="J1205" s="35">
        <v>1</v>
      </c>
      <c r="K1205" s="35">
        <v>300</v>
      </c>
      <c r="L1205" s="60" t="str">
        <f>HYPERLINK("https://www.sds-group.ru/product/samorez-gipsokarton-metall-3-5h35-mm-paket-25-sht-up-kranz-1143-3535-5/", "Инфо")</f>
        <v>Инфо</v>
      </c>
      <c r="M1205" s="37">
        <v>4.2999999999999997E-2</v>
      </c>
      <c r="N1205" s="38">
        <v>1.06E-4</v>
      </c>
      <c r="O1205" s="141">
        <v>4601004249998</v>
      </c>
    </row>
    <row r="1206" spans="1:15" s="1" customFormat="1" ht="11.45" customHeight="1" outlineLevel="3" x14ac:dyDescent="0.2">
      <c r="A1206" s="32" t="s">
        <v>12434</v>
      </c>
      <c r="B1206" s="74" t="s">
        <v>12435</v>
      </c>
      <c r="C1206" s="50"/>
      <c r="D1206" s="139">
        <f t="shared" si="18"/>
        <v>0</v>
      </c>
      <c r="E1206" s="140">
        <v>41.28</v>
      </c>
      <c r="F1206" s="140">
        <v>33.840000000000003</v>
      </c>
      <c r="G1206" s="34" t="s">
        <v>100</v>
      </c>
      <c r="H1206" s="34" t="s">
        <v>1001</v>
      </c>
      <c r="I1206" s="35">
        <v>10</v>
      </c>
      <c r="J1206" s="35">
        <v>10</v>
      </c>
      <c r="K1206" s="35">
        <v>50</v>
      </c>
      <c r="L1206" s="60" t="str">
        <f>HYPERLINK("https://www.sds-group.ru/product/samorez-gipsokarton-metall-3-5h35-mm-paket-50-sht-up-kranz-1143-3535-4/", "Инфо")</f>
        <v>Инфо</v>
      </c>
      <c r="M1206" s="37">
        <v>9.9000000000000005E-2</v>
      </c>
      <c r="N1206" s="38">
        <v>2.8800000000000001E-4</v>
      </c>
      <c r="O1206" s="141">
        <v>4601004247628</v>
      </c>
    </row>
    <row r="1207" spans="1:15" s="1" customFormat="1" ht="11.45" customHeight="1" outlineLevel="3" x14ac:dyDescent="0.2">
      <c r="A1207" s="32" t="s">
        <v>12436</v>
      </c>
      <c r="B1207" s="74" t="s">
        <v>12437</v>
      </c>
      <c r="C1207" s="50"/>
      <c r="D1207" s="139">
        <f t="shared" si="18"/>
        <v>0</v>
      </c>
      <c r="E1207" s="140">
        <v>154.25</v>
      </c>
      <c r="F1207" s="140">
        <v>126.43</v>
      </c>
      <c r="G1207" s="34" t="s">
        <v>100</v>
      </c>
      <c r="H1207" s="34" t="s">
        <v>1001</v>
      </c>
      <c r="I1207" s="35">
        <v>5</v>
      </c>
      <c r="J1207" s="35">
        <v>5</v>
      </c>
      <c r="K1207" s="35">
        <v>16</v>
      </c>
      <c r="L1207" s="60" t="str">
        <f>HYPERLINK("https://www.sds-group.ru/product/samorez-gipsokarton-metall-3-5h41-mm-korob-200-sht-up-kranz-KR-01-3341-006/", "Инфо")</f>
        <v>Инфо</v>
      </c>
      <c r="M1207" s="37">
        <v>0.39300000000000002</v>
      </c>
      <c r="N1207" s="38">
        <v>7.8700000000000005E-4</v>
      </c>
      <c r="O1207" s="141">
        <v>4601004234970</v>
      </c>
    </row>
    <row r="1208" spans="1:15" s="1" customFormat="1" ht="11.45" customHeight="1" outlineLevel="3" x14ac:dyDescent="0.2">
      <c r="A1208" s="32" t="s">
        <v>12438</v>
      </c>
      <c r="B1208" s="74" t="s">
        <v>12439</v>
      </c>
      <c r="C1208" s="50"/>
      <c r="D1208" s="139">
        <f t="shared" si="18"/>
        <v>0</v>
      </c>
      <c r="E1208" s="140">
        <v>48.99</v>
      </c>
      <c r="F1208" s="140">
        <v>40.159999999999997</v>
      </c>
      <c r="G1208" s="34" t="s">
        <v>100</v>
      </c>
      <c r="H1208" s="34" t="s">
        <v>1001</v>
      </c>
      <c r="I1208" s="35">
        <v>10</v>
      </c>
      <c r="J1208" s="35">
        <v>10</v>
      </c>
      <c r="K1208" s="35">
        <v>40</v>
      </c>
      <c r="L1208" s="60" t="str">
        <f>HYPERLINK("https://www.sds-group.ru/product/samorez-gipsokarton-metall-3-5h41-mm-paket-50-sht-up-kranz-1143-3541-4/", "Инфо")</f>
        <v>Инфо</v>
      </c>
      <c r="M1208" s="37">
        <v>9.6000000000000002E-2</v>
      </c>
      <c r="N1208" s="38">
        <v>2.6800000000000001E-4</v>
      </c>
      <c r="O1208" s="141">
        <v>4601004247635</v>
      </c>
    </row>
    <row r="1209" spans="1:15" s="1" customFormat="1" ht="11.45" customHeight="1" outlineLevel="3" x14ac:dyDescent="0.2">
      <c r="A1209" s="32" t="s">
        <v>12440</v>
      </c>
      <c r="B1209" s="74" t="s">
        <v>12441</v>
      </c>
      <c r="C1209" s="50"/>
      <c r="D1209" s="139">
        <f t="shared" si="18"/>
        <v>0</v>
      </c>
      <c r="E1209" s="140">
        <v>146.91</v>
      </c>
      <c r="F1209" s="140">
        <v>120.42</v>
      </c>
      <c r="G1209" s="34" t="s">
        <v>100</v>
      </c>
      <c r="H1209" s="34" t="s">
        <v>1001</v>
      </c>
      <c r="I1209" s="35">
        <v>5</v>
      </c>
      <c r="J1209" s="35">
        <v>5</v>
      </c>
      <c r="K1209" s="35">
        <v>12</v>
      </c>
      <c r="L1209" s="60" t="str">
        <f>HYPERLINK("https://www.sds-group.ru/product/samorez-gipsokarton-metall-3-5h45-mm-korob-200-sht-up-kranz-KR-01-3341-007/", "Инфо")</f>
        <v>Инфо</v>
      </c>
      <c r="M1209" s="37">
        <v>0.434</v>
      </c>
      <c r="N1209" s="38">
        <v>1.0610000000000001E-3</v>
      </c>
      <c r="O1209" s="141">
        <v>4601004234987</v>
      </c>
    </row>
    <row r="1210" spans="1:15" s="1" customFormat="1" ht="11.45" customHeight="1" outlineLevel="3" x14ac:dyDescent="0.2">
      <c r="A1210" s="32" t="s">
        <v>12442</v>
      </c>
      <c r="B1210" s="74" t="s">
        <v>12443</v>
      </c>
      <c r="C1210" s="50"/>
      <c r="D1210" s="139">
        <f t="shared" si="18"/>
        <v>0</v>
      </c>
      <c r="E1210" s="140">
        <v>37.06</v>
      </c>
      <c r="F1210" s="140">
        <v>30.38</v>
      </c>
      <c r="G1210" s="34" t="s">
        <v>100</v>
      </c>
      <c r="H1210" s="34" t="s">
        <v>1001</v>
      </c>
      <c r="I1210" s="35">
        <v>1</v>
      </c>
      <c r="J1210" s="35">
        <v>1</v>
      </c>
      <c r="K1210" s="35">
        <v>50</v>
      </c>
      <c r="L1210" s="60" t="str">
        <f>HYPERLINK("https://www.sds-group.ru/product/samorez-gipsokarton-metall-3-5h45-mm-paket-50-sht-up-kranz-1143-3545-4/", "Инфо")</f>
        <v>Инфо</v>
      </c>
      <c r="M1210" s="37">
        <v>0.12</v>
      </c>
      <c r="N1210" s="38">
        <v>2.8800000000000001E-4</v>
      </c>
      <c r="O1210" s="141">
        <v>4601004247642</v>
      </c>
    </row>
    <row r="1211" spans="1:15" s="1" customFormat="1" ht="11.45" customHeight="1" outlineLevel="3" x14ac:dyDescent="0.2">
      <c r="A1211" s="32" t="s">
        <v>12444</v>
      </c>
      <c r="B1211" s="74" t="s">
        <v>12445</v>
      </c>
      <c r="C1211" s="50"/>
      <c r="D1211" s="139">
        <f t="shared" si="18"/>
        <v>0</v>
      </c>
      <c r="E1211" s="140">
        <v>189.89</v>
      </c>
      <c r="F1211" s="140">
        <v>155.65</v>
      </c>
      <c r="G1211" s="34" t="s">
        <v>100</v>
      </c>
      <c r="H1211" s="34" t="s">
        <v>1001</v>
      </c>
      <c r="I1211" s="35">
        <v>1</v>
      </c>
      <c r="J1211" s="35">
        <v>1</v>
      </c>
      <c r="K1211" s="35">
        <v>8</v>
      </c>
      <c r="L1211" s="60" t="str">
        <f>HYPERLINK("https://www.sds-group.ru/product/samorez-gipsokarton-metall-3-5h45-paket-500-sht-up-kranz-29090/", "Инфо")</f>
        <v>Инфо</v>
      </c>
      <c r="M1211" s="37">
        <v>1.121</v>
      </c>
      <c r="N1211" s="38">
        <v>1.572E-3</v>
      </c>
      <c r="O1211" s="141">
        <v>4601004271159</v>
      </c>
    </row>
    <row r="1212" spans="1:15" s="1" customFormat="1" ht="11.45" customHeight="1" outlineLevel="3" x14ac:dyDescent="0.2">
      <c r="A1212" s="32" t="s">
        <v>12446</v>
      </c>
      <c r="B1212" s="74" t="s">
        <v>12447</v>
      </c>
      <c r="C1212" s="50"/>
      <c r="D1212" s="139">
        <f t="shared" si="18"/>
        <v>0</v>
      </c>
      <c r="E1212" s="140">
        <v>142.51</v>
      </c>
      <c r="F1212" s="140">
        <v>116.81</v>
      </c>
      <c r="G1212" s="34" t="s">
        <v>100</v>
      </c>
      <c r="H1212" s="34" t="s">
        <v>1001</v>
      </c>
      <c r="I1212" s="35">
        <v>5</v>
      </c>
      <c r="J1212" s="35">
        <v>5</v>
      </c>
      <c r="K1212" s="35">
        <v>8</v>
      </c>
      <c r="L1212" s="60" t="str">
        <f>HYPERLINK("https://www.sds-group.ru/product/samorez-gipsokarton-metall-3-5h51-mm-korob-200-sht-up-kranz-KR-01-3341-008/", "Инфо")</f>
        <v>Инфо</v>
      </c>
      <c r="M1212" s="37">
        <v>0.48299999999999998</v>
      </c>
      <c r="N1212" s="38">
        <v>1.1490000000000001E-3</v>
      </c>
      <c r="O1212" s="141">
        <v>4601004234994</v>
      </c>
    </row>
    <row r="1213" spans="1:15" s="1" customFormat="1" ht="11.45" customHeight="1" outlineLevel="3" x14ac:dyDescent="0.2">
      <c r="A1213" s="32" t="s">
        <v>12448</v>
      </c>
      <c r="B1213" s="74" t="s">
        <v>12449</v>
      </c>
      <c r="C1213" s="50"/>
      <c r="D1213" s="139">
        <f t="shared" si="18"/>
        <v>0</v>
      </c>
      <c r="E1213" s="140">
        <v>46.94</v>
      </c>
      <c r="F1213" s="140">
        <v>38.479999999999997</v>
      </c>
      <c r="G1213" s="34" t="s">
        <v>100</v>
      </c>
      <c r="H1213" s="34" t="s">
        <v>1001</v>
      </c>
      <c r="I1213" s="35">
        <v>10</v>
      </c>
      <c r="J1213" s="35">
        <v>10</v>
      </c>
      <c r="K1213" s="35">
        <v>50</v>
      </c>
      <c r="L1213" s="60" t="str">
        <f>HYPERLINK("https://www.sds-group.ru/product/samorez-gipsokarton-metall-3-5h51-mm-paket-50-sht-up-kranz-1143-3551-4/", "Инфо")</f>
        <v>Инфо</v>
      </c>
      <c r="M1213" s="37">
        <v>0.12</v>
      </c>
      <c r="N1213" s="38">
        <v>1.55E-4</v>
      </c>
      <c r="O1213" s="141">
        <v>4601004247659</v>
      </c>
    </row>
    <row r="1214" spans="1:15" s="1" customFormat="1" ht="11.45" customHeight="1" outlineLevel="3" x14ac:dyDescent="0.2">
      <c r="A1214" s="32" t="s">
        <v>12450</v>
      </c>
      <c r="B1214" s="74" t="s">
        <v>12451</v>
      </c>
      <c r="C1214" s="50"/>
      <c r="D1214" s="139">
        <f t="shared" si="18"/>
        <v>0</v>
      </c>
      <c r="E1214" s="140">
        <v>153.08000000000001</v>
      </c>
      <c r="F1214" s="140">
        <v>125.48</v>
      </c>
      <c r="G1214" s="34" t="s">
        <v>100</v>
      </c>
      <c r="H1214" s="34" t="s">
        <v>1001</v>
      </c>
      <c r="I1214" s="35">
        <v>5</v>
      </c>
      <c r="J1214" s="35">
        <v>5</v>
      </c>
      <c r="K1214" s="35">
        <v>8</v>
      </c>
      <c r="L1214" s="60" t="str">
        <f>HYPERLINK("https://www.sds-group.ru/product/samorez-gipsokarton-metall-3-5h55-mm-korob-200-sht-up-kranz-KR-01-3341-009/", "Инфо")</f>
        <v>Инфо</v>
      </c>
      <c r="M1214" s="37">
        <v>0.56000000000000005</v>
      </c>
      <c r="N1214" s="38">
        <v>1.1329999999999999E-3</v>
      </c>
      <c r="O1214" s="141">
        <v>4601004235007</v>
      </c>
    </row>
    <row r="1215" spans="1:15" s="1" customFormat="1" ht="11.45" customHeight="1" outlineLevel="3" x14ac:dyDescent="0.2">
      <c r="A1215" s="32" t="s">
        <v>12452</v>
      </c>
      <c r="B1215" s="74" t="s">
        <v>12453</v>
      </c>
      <c r="C1215" s="50"/>
      <c r="D1215" s="139">
        <f t="shared" si="18"/>
        <v>0</v>
      </c>
      <c r="E1215" s="140">
        <v>57.9</v>
      </c>
      <c r="F1215" s="140">
        <v>47.46</v>
      </c>
      <c r="G1215" s="34" t="s">
        <v>100</v>
      </c>
      <c r="H1215" s="34" t="s">
        <v>1001</v>
      </c>
      <c r="I1215" s="35">
        <v>1</v>
      </c>
      <c r="J1215" s="35">
        <v>1</v>
      </c>
      <c r="K1215" s="35">
        <v>50</v>
      </c>
      <c r="L1215" s="60" t="str">
        <f>HYPERLINK("https://www.sds-group.ru/product/samorez-gipsokarton-metall-3-5h55-mm-paket-50-sht-up-kranz-1143-3555-4/", "Инфо")</f>
        <v>Инфо</v>
      </c>
      <c r="M1215" s="37">
        <v>0.14299999999999999</v>
      </c>
      <c r="N1215" s="38">
        <v>3.9100000000000002E-4</v>
      </c>
      <c r="O1215" s="141">
        <v>4601004247666</v>
      </c>
    </row>
    <row r="1216" spans="1:15" s="1" customFormat="1" ht="11.45" customHeight="1" outlineLevel="3" x14ac:dyDescent="0.2">
      <c r="A1216" s="32" t="s">
        <v>12454</v>
      </c>
      <c r="B1216" s="74" t="s">
        <v>12455</v>
      </c>
      <c r="C1216" s="50"/>
      <c r="D1216" s="139">
        <f t="shared" si="18"/>
        <v>0</v>
      </c>
      <c r="E1216" s="140">
        <v>147.55000000000001</v>
      </c>
      <c r="F1216" s="140">
        <v>120.94</v>
      </c>
      <c r="G1216" s="34" t="s">
        <v>100</v>
      </c>
      <c r="H1216" s="34" t="s">
        <v>1001</v>
      </c>
      <c r="I1216" s="35">
        <v>5</v>
      </c>
      <c r="J1216" s="35">
        <v>5</v>
      </c>
      <c r="K1216" s="35">
        <v>8</v>
      </c>
      <c r="L1216" s="60" t="str">
        <f>HYPERLINK("https://www.sds-group.ru/product/samorez-gipsokarton-metall-4-2h75-mm-korob-100-sht-up-kranz-KR-01-3341-012/", "Инфо")</f>
        <v>Инфо</v>
      </c>
      <c r="M1216" s="37">
        <v>0.44400000000000001</v>
      </c>
      <c r="N1216" s="38">
        <v>1.1540000000000001E-3</v>
      </c>
      <c r="O1216" s="141">
        <v>4601004234734</v>
      </c>
    </row>
    <row r="1217" spans="1:15" s="1" customFormat="1" ht="11.45" customHeight="1" outlineLevel="3" x14ac:dyDescent="0.2">
      <c r="A1217" s="32" t="s">
        <v>12456</v>
      </c>
      <c r="B1217" s="74" t="s">
        <v>12457</v>
      </c>
      <c r="C1217" s="50"/>
      <c r="D1217" s="139">
        <f t="shared" si="18"/>
        <v>0</v>
      </c>
      <c r="E1217" s="140">
        <v>193.76</v>
      </c>
      <c r="F1217" s="140">
        <v>158.82</v>
      </c>
      <c r="G1217" s="34" t="s">
        <v>100</v>
      </c>
      <c r="H1217" s="34" t="s">
        <v>1001</v>
      </c>
      <c r="I1217" s="35">
        <v>1</v>
      </c>
      <c r="J1217" s="35">
        <v>1</v>
      </c>
      <c r="K1217" s="35">
        <v>10</v>
      </c>
      <c r="L1217" s="60" t="str">
        <f>HYPERLINK("https://www.sds-group.ru/product/samorez-gipsokarton-metall-4-2h75-mm-paket-300-sht-up-kranz-1143-4275-2/", "Инфо")</f>
        <v>Инфо</v>
      </c>
      <c r="M1217" s="37">
        <v>1.2330000000000001</v>
      </c>
      <c r="N1217" s="38">
        <v>2.5999999999999999E-3</v>
      </c>
      <c r="O1217" s="141">
        <v>4601004271197</v>
      </c>
    </row>
    <row r="1218" spans="1:15" ht="11.45" customHeight="1" outlineLevel="2" x14ac:dyDescent="0.2">
      <c r="A1218" s="76" t="s">
        <v>12458</v>
      </c>
      <c r="B1218" s="136"/>
      <c r="C1218" s="77"/>
      <c r="D1218" s="137"/>
      <c r="E1218" s="4"/>
      <c r="F1218" s="4"/>
      <c r="G1218" s="4"/>
      <c r="H1218" s="4"/>
      <c r="I1218" s="4"/>
      <c r="J1218" s="4"/>
      <c r="K1218" s="4"/>
      <c r="L1218" s="138"/>
      <c r="M1218" s="4"/>
      <c r="N1218" s="4"/>
      <c r="O1218" s="4"/>
    </row>
    <row r="1219" spans="1:15" s="1" customFormat="1" ht="11.45" customHeight="1" outlineLevel="3" x14ac:dyDescent="0.2">
      <c r="A1219" s="32" t="s">
        <v>12459</v>
      </c>
      <c r="B1219" s="74" t="s">
        <v>12460</v>
      </c>
      <c r="C1219" s="50"/>
      <c r="D1219" s="139">
        <f t="shared" si="18"/>
        <v>0</v>
      </c>
      <c r="E1219" s="140">
        <v>165.03</v>
      </c>
      <c r="F1219" s="140">
        <v>135.27000000000001</v>
      </c>
      <c r="G1219" s="34" t="s">
        <v>100</v>
      </c>
      <c r="H1219" s="34" t="s">
        <v>1001</v>
      </c>
      <c r="I1219" s="35">
        <v>1</v>
      </c>
      <c r="J1219" s="35">
        <v>1</v>
      </c>
      <c r="K1219" s="35">
        <v>16</v>
      </c>
      <c r="L1219" s="60" t="str">
        <f>HYPERLINK("https://www.sds-group.ru/product/samorez-dlya-metallicheskih-konstruktsiy-ostryy-3-5h11-mm-korob-500-sht-up-kranz-KR-01-3351-006/", "Инфо")</f>
        <v>Инфо</v>
      </c>
      <c r="M1219" s="37">
        <v>0.45700000000000002</v>
      </c>
      <c r="N1219" s="38">
        <v>2.63E-4</v>
      </c>
      <c r="O1219" s="141">
        <v>4601004235281</v>
      </c>
    </row>
    <row r="1220" spans="1:15" s="1" customFormat="1" ht="11.45" customHeight="1" outlineLevel="3" x14ac:dyDescent="0.2">
      <c r="A1220" s="32" t="s">
        <v>12461</v>
      </c>
      <c r="B1220" s="74" t="s">
        <v>12462</v>
      </c>
      <c r="C1220" s="50"/>
      <c r="D1220" s="139">
        <f t="shared" si="18"/>
        <v>0</v>
      </c>
      <c r="E1220" s="140">
        <v>155.53</v>
      </c>
      <c r="F1220" s="140">
        <v>127.48</v>
      </c>
      <c r="G1220" s="34" t="s">
        <v>100</v>
      </c>
      <c r="H1220" s="34" t="s">
        <v>1001</v>
      </c>
      <c r="I1220" s="35">
        <v>1</v>
      </c>
      <c r="J1220" s="35">
        <v>1</v>
      </c>
      <c r="K1220" s="35">
        <v>32</v>
      </c>
      <c r="L1220" s="60" t="str">
        <f>HYPERLINK("https://www.sds-group.ru/product/samorez-dlya-metallicheskih-konstruktsiy-ostryy-3-5h9-5-mm-korob-500-sht-up-kranz-KR-01-3351-005/", "Инфо")</f>
        <v>Инфо</v>
      </c>
      <c r="M1220" s="37">
        <v>0.40400000000000003</v>
      </c>
      <c r="N1220" s="38">
        <v>2.6800000000000001E-4</v>
      </c>
      <c r="O1220" s="141">
        <v>4601004235298</v>
      </c>
    </row>
    <row r="1221" spans="1:15" s="1" customFormat="1" ht="11.45" customHeight="1" outlineLevel="3" x14ac:dyDescent="0.2">
      <c r="A1221" s="32" t="s">
        <v>12463</v>
      </c>
      <c r="B1221" s="74" t="s">
        <v>12464</v>
      </c>
      <c r="C1221" s="50"/>
      <c r="D1221" s="139">
        <f t="shared" si="18"/>
        <v>0</v>
      </c>
      <c r="E1221" s="140">
        <v>157.18</v>
      </c>
      <c r="F1221" s="140">
        <v>128.84</v>
      </c>
      <c r="G1221" s="34" t="s">
        <v>100</v>
      </c>
      <c r="H1221" s="34" t="s">
        <v>1001</v>
      </c>
      <c r="I1221" s="35">
        <v>1</v>
      </c>
      <c r="J1221" s="35">
        <v>1</v>
      </c>
      <c r="K1221" s="35">
        <v>32</v>
      </c>
      <c r="L1221" s="60" t="str">
        <f>HYPERLINK("https://www.sds-group.ru/product/samorez-dlya-metallicheskih-konstruktsiy-sverlo-3-5h9-5-mm-korob-500-sht-up-kranz-KR-01-3351-001/", "Инфо")</f>
        <v>Инфо</v>
      </c>
      <c r="M1221" s="37">
        <v>0.43099999999999999</v>
      </c>
      <c r="N1221" s="38">
        <v>2.6800000000000001E-4</v>
      </c>
      <c r="O1221" s="141">
        <v>4601004235274</v>
      </c>
    </row>
    <row r="1222" spans="1:15" s="1" customFormat="1" ht="11.45" customHeight="1" outlineLevel="3" x14ac:dyDescent="0.2">
      <c r="A1222" s="32" t="s">
        <v>12465</v>
      </c>
      <c r="B1222" s="74" t="s">
        <v>12466</v>
      </c>
      <c r="C1222" s="50"/>
      <c r="D1222" s="139">
        <f t="shared" si="18"/>
        <v>0</v>
      </c>
      <c r="E1222" s="140">
        <v>199.55</v>
      </c>
      <c r="F1222" s="140">
        <v>163.57</v>
      </c>
      <c r="G1222" s="34" t="s">
        <v>100</v>
      </c>
      <c r="H1222" s="34" t="s">
        <v>1001</v>
      </c>
      <c r="I1222" s="35">
        <v>1</v>
      </c>
      <c r="J1222" s="35">
        <v>1</v>
      </c>
      <c r="K1222" s="35">
        <v>10</v>
      </c>
      <c r="L1222" s="60" t="str">
        <f>HYPERLINK("https://www.sds-group.ru/product/samorez-dlya-metallicheskih-konstruktsiy-sverlo-3-5h9-5-mm-paket-1000-sht-up-kranz-1163-3595-2/", "Инфо")</f>
        <v>Инфо</v>
      </c>
      <c r="M1222" s="37">
        <v>0.82199999999999995</v>
      </c>
      <c r="N1222" s="38">
        <v>3.5399999999999999E-4</v>
      </c>
      <c r="O1222" s="141">
        <v>4601004271210</v>
      </c>
    </row>
    <row r="1223" spans="1:15" ht="11.45" customHeight="1" outlineLevel="2" x14ac:dyDescent="0.2">
      <c r="A1223" s="76" t="s">
        <v>12467</v>
      </c>
      <c r="B1223" s="136"/>
      <c r="C1223" s="77"/>
      <c r="D1223" s="137"/>
      <c r="E1223" s="4"/>
      <c r="F1223" s="4"/>
      <c r="G1223" s="4"/>
      <c r="H1223" s="4"/>
      <c r="I1223" s="4"/>
      <c r="J1223" s="4"/>
      <c r="K1223" s="4"/>
      <c r="L1223" s="138"/>
      <c r="M1223" s="4"/>
      <c r="N1223" s="4"/>
      <c r="O1223" s="4"/>
    </row>
    <row r="1224" spans="1:15" s="1" customFormat="1" ht="11.45" customHeight="1" outlineLevel="3" x14ac:dyDescent="0.2">
      <c r="A1224" s="32" t="s">
        <v>12468</v>
      </c>
      <c r="B1224" s="74" t="s">
        <v>12469</v>
      </c>
      <c r="C1224" s="50"/>
      <c r="D1224" s="139">
        <f t="shared" si="18"/>
        <v>0</v>
      </c>
      <c r="E1224" s="140">
        <v>90.48</v>
      </c>
      <c r="F1224" s="140">
        <v>74.16</v>
      </c>
      <c r="G1224" s="34" t="s">
        <v>100</v>
      </c>
      <c r="H1224" s="34" t="s">
        <v>1001</v>
      </c>
      <c r="I1224" s="35">
        <v>5</v>
      </c>
      <c r="J1224" s="35">
        <v>5</v>
      </c>
      <c r="K1224" s="35">
        <v>32</v>
      </c>
      <c r="L1224" s="60" t="str">
        <f>HYPERLINK("https://www.sds-group.ru/product/samorez-s-pressshayboy-pshs-ostryy-4-2h13mm-korob-200-sht-up-kranz-KR-01-3361-001/", "Инфо")</f>
        <v>Инфо</v>
      </c>
      <c r="M1224" s="37">
        <v>0.251</v>
      </c>
      <c r="N1224" s="38">
        <v>2.7599999999999999E-4</v>
      </c>
      <c r="O1224" s="141">
        <v>4601004235014</v>
      </c>
    </row>
    <row r="1225" spans="1:15" s="1" customFormat="1" ht="11.45" customHeight="1" outlineLevel="3" x14ac:dyDescent="0.2">
      <c r="A1225" s="32" t="s">
        <v>12470</v>
      </c>
      <c r="B1225" s="74" t="s">
        <v>12471</v>
      </c>
      <c r="C1225" s="50"/>
      <c r="D1225" s="139">
        <f t="shared" si="18"/>
        <v>0</v>
      </c>
      <c r="E1225" s="140">
        <v>100.43</v>
      </c>
      <c r="F1225" s="140">
        <v>82.32</v>
      </c>
      <c r="G1225" s="34" t="s">
        <v>100</v>
      </c>
      <c r="H1225" s="34" t="s">
        <v>1001</v>
      </c>
      <c r="I1225" s="35">
        <v>5</v>
      </c>
      <c r="J1225" s="35">
        <v>5</v>
      </c>
      <c r="K1225" s="35">
        <v>32</v>
      </c>
      <c r="L1225" s="60" t="str">
        <f>HYPERLINK("https://www.sds-group.ru/product/samorez-s-pressshayboy-pshs-ostryy-4-2h16mm-korob-200-sht-up-kranz-KR-01-3361-003/", "Инфо")</f>
        <v>Инфо</v>
      </c>
      <c r="M1225" s="37">
        <v>0.27400000000000002</v>
      </c>
      <c r="N1225" s="38">
        <v>2.7599999999999999E-4</v>
      </c>
      <c r="O1225" s="141">
        <v>4601004235021</v>
      </c>
    </row>
    <row r="1226" spans="1:15" s="1" customFormat="1" ht="11.45" customHeight="1" outlineLevel="3" x14ac:dyDescent="0.2">
      <c r="A1226" s="32" t="s">
        <v>12472</v>
      </c>
      <c r="B1226" s="74" t="s">
        <v>12473</v>
      </c>
      <c r="C1226" s="50"/>
      <c r="D1226" s="139">
        <f t="shared" si="18"/>
        <v>0</v>
      </c>
      <c r="E1226" s="140">
        <v>130.03</v>
      </c>
      <c r="F1226" s="140">
        <v>106.58</v>
      </c>
      <c r="G1226" s="34" t="s">
        <v>100</v>
      </c>
      <c r="H1226" s="34" t="s">
        <v>1001</v>
      </c>
      <c r="I1226" s="35">
        <v>5</v>
      </c>
      <c r="J1226" s="35">
        <v>5</v>
      </c>
      <c r="K1226" s="35">
        <v>16</v>
      </c>
      <c r="L1226" s="60" t="str">
        <f>HYPERLINK("https://www.sds-group.ru/product/samorez-s-pressshayboy-pshs-ostryy-4-2h19mm-korob-250-sht-up-kranz-KR-01-3361-004/", "Инфо")</f>
        <v>Инфо</v>
      </c>
      <c r="M1226" s="37">
        <v>0.39300000000000002</v>
      </c>
      <c r="N1226" s="38">
        <v>5.5500000000000005E-4</v>
      </c>
      <c r="O1226" s="141">
        <v>4601004235267</v>
      </c>
    </row>
    <row r="1227" spans="1:15" s="1" customFormat="1" ht="11.45" customHeight="1" outlineLevel="3" x14ac:dyDescent="0.2">
      <c r="A1227" s="32" t="s">
        <v>12474</v>
      </c>
      <c r="B1227" s="74" t="s">
        <v>12475</v>
      </c>
      <c r="C1227" s="50"/>
      <c r="D1227" s="139">
        <f t="shared" ref="D1227:D1290" si="19">C1227*E1227</f>
        <v>0</v>
      </c>
      <c r="E1227" s="140">
        <v>150.72</v>
      </c>
      <c r="F1227" s="140">
        <v>123.54</v>
      </c>
      <c r="G1227" s="34" t="s">
        <v>100</v>
      </c>
      <c r="H1227" s="34" t="s">
        <v>1001</v>
      </c>
      <c r="I1227" s="35">
        <v>5</v>
      </c>
      <c r="J1227" s="35">
        <v>5</v>
      </c>
      <c r="K1227" s="35">
        <v>16</v>
      </c>
      <c r="L1227" s="60" t="str">
        <f>HYPERLINK("https://www.sds-group.ru/product/samorez-s-pressshayboy-pshs-ostryy-4-2h25mm-korob-200-sht-up-kranz-KR-01-3361-005/", "Инфо")</f>
        <v>Инфо</v>
      </c>
      <c r="M1227" s="37">
        <v>0.36699999999999999</v>
      </c>
      <c r="N1227" s="38">
        <v>5.5199999999999997E-4</v>
      </c>
      <c r="O1227" s="141">
        <v>4601004235038</v>
      </c>
    </row>
    <row r="1228" spans="1:15" s="1" customFormat="1" ht="11.45" customHeight="1" outlineLevel="3" x14ac:dyDescent="0.2">
      <c r="A1228" s="32" t="s">
        <v>12476</v>
      </c>
      <c r="B1228" s="74" t="s">
        <v>12477</v>
      </c>
      <c r="C1228" s="50"/>
      <c r="D1228" s="139">
        <f t="shared" si="19"/>
        <v>0</v>
      </c>
      <c r="E1228" s="140">
        <v>153.27000000000001</v>
      </c>
      <c r="F1228" s="140">
        <v>125.63</v>
      </c>
      <c r="G1228" s="34" t="s">
        <v>100</v>
      </c>
      <c r="H1228" s="34" t="s">
        <v>1001</v>
      </c>
      <c r="I1228" s="35">
        <v>5</v>
      </c>
      <c r="J1228" s="35">
        <v>5</v>
      </c>
      <c r="K1228" s="35">
        <v>16</v>
      </c>
      <c r="L1228" s="60" t="str">
        <f>HYPERLINK("https://www.sds-group.ru/product/samorez-s-pressshayboy-pshs-ostryy-4-2h32mm-korob-200-sht-up-kranz-KR-01-3361-006/", "Инфо")</f>
        <v>Инфо</v>
      </c>
      <c r="M1228" s="37">
        <v>0.44</v>
      </c>
      <c r="N1228" s="38">
        <v>5.5599999999999996E-4</v>
      </c>
      <c r="O1228" s="141">
        <v>4601004235045</v>
      </c>
    </row>
    <row r="1229" spans="1:15" s="1" customFormat="1" ht="11.45" customHeight="1" outlineLevel="3" x14ac:dyDescent="0.2">
      <c r="A1229" s="32" t="s">
        <v>12478</v>
      </c>
      <c r="B1229" s="74" t="s">
        <v>12479</v>
      </c>
      <c r="C1229" s="50"/>
      <c r="D1229" s="139">
        <f t="shared" si="19"/>
        <v>0</v>
      </c>
      <c r="E1229" s="140">
        <v>205.61</v>
      </c>
      <c r="F1229" s="140">
        <v>168.53</v>
      </c>
      <c r="G1229" s="34" t="s">
        <v>100</v>
      </c>
      <c r="H1229" s="34" t="s">
        <v>1001</v>
      </c>
      <c r="I1229" s="35">
        <v>5</v>
      </c>
      <c r="J1229" s="35">
        <v>5</v>
      </c>
      <c r="K1229" s="35">
        <v>8</v>
      </c>
      <c r="L1229" s="60" t="str">
        <f>HYPERLINK("https://www.sds-group.ru/product/samorez-s-pressshayboy-pshs-ostryy-4-2h50mm-korob-200-sht-up-kranz-KR-01-3361-009/", "Инфо")</f>
        <v>Инфо</v>
      </c>
      <c r="M1229" s="37">
        <v>0.63200000000000001</v>
      </c>
      <c r="N1229" s="38">
        <v>1.077E-3</v>
      </c>
      <c r="O1229" s="141">
        <v>4601004235052</v>
      </c>
    </row>
    <row r="1230" spans="1:15" ht="11.45" customHeight="1" outlineLevel="2" x14ac:dyDescent="0.2">
      <c r="A1230" s="76" t="s">
        <v>12480</v>
      </c>
      <c r="B1230" s="136"/>
      <c r="C1230" s="77"/>
      <c r="D1230" s="137"/>
      <c r="E1230" s="4"/>
      <c r="F1230" s="4"/>
      <c r="G1230" s="4"/>
      <c r="H1230" s="4"/>
      <c r="I1230" s="4"/>
      <c r="J1230" s="4"/>
      <c r="K1230" s="4"/>
      <c r="L1230" s="138"/>
      <c r="M1230" s="4"/>
      <c r="N1230" s="4"/>
      <c r="O1230" s="4"/>
    </row>
    <row r="1231" spans="1:15" s="1" customFormat="1" ht="11.45" customHeight="1" outlineLevel="3" x14ac:dyDescent="0.2">
      <c r="A1231" s="32" t="s">
        <v>12481</v>
      </c>
      <c r="B1231" s="74" t="s">
        <v>12482</v>
      </c>
      <c r="C1231" s="50"/>
      <c r="D1231" s="139">
        <f t="shared" si="19"/>
        <v>0</v>
      </c>
      <c r="E1231" s="140">
        <v>95.79</v>
      </c>
      <c r="F1231" s="140">
        <v>78.52</v>
      </c>
      <c r="G1231" s="34" t="s">
        <v>100</v>
      </c>
      <c r="H1231" s="34" t="s">
        <v>1001</v>
      </c>
      <c r="I1231" s="35">
        <v>5</v>
      </c>
      <c r="J1231" s="35">
        <v>5</v>
      </c>
      <c r="K1231" s="35">
        <v>32</v>
      </c>
      <c r="L1231" s="60" t="str">
        <f>HYPERLINK("https://www.sds-group.ru/product/samorez-s-pressshayboy-pshs-sverlo-4-2h13mm-korob-200-sht-up-kranz-KR-01-3362-001/", "Инфо")</f>
        <v>Инфо</v>
      </c>
      <c r="M1231" s="37">
        <v>0.25800000000000001</v>
      </c>
      <c r="N1231" s="38">
        <v>2.7099999999999997E-4</v>
      </c>
      <c r="O1231" s="141">
        <v>4601004235069</v>
      </c>
    </row>
    <row r="1232" spans="1:15" s="1" customFormat="1" ht="11.45" customHeight="1" outlineLevel="3" x14ac:dyDescent="0.2">
      <c r="A1232" s="32" t="s">
        <v>12483</v>
      </c>
      <c r="B1232" s="74" t="s">
        <v>12484</v>
      </c>
      <c r="C1232" s="50"/>
      <c r="D1232" s="139">
        <f t="shared" si="19"/>
        <v>0</v>
      </c>
      <c r="E1232" s="140">
        <v>105.61</v>
      </c>
      <c r="F1232" s="140">
        <v>86.57</v>
      </c>
      <c r="G1232" s="34" t="s">
        <v>100</v>
      </c>
      <c r="H1232" s="34" t="s">
        <v>1001</v>
      </c>
      <c r="I1232" s="35">
        <v>5</v>
      </c>
      <c r="J1232" s="35">
        <v>5</v>
      </c>
      <c r="K1232" s="35">
        <v>32</v>
      </c>
      <c r="L1232" s="60" t="str">
        <f>HYPERLINK("https://www.sds-group.ru/product/samorez-s-pressshayboy-pshs-sverlo-4-2h16mm-korob-200-sht-up-kranz-KR-01-3362-003/", "Инфо")</f>
        <v>Инфо</v>
      </c>
      <c r="M1232" s="37">
        <v>0.27200000000000002</v>
      </c>
      <c r="N1232" s="38">
        <v>2.7799999999999998E-4</v>
      </c>
      <c r="O1232" s="141">
        <v>4601004235076</v>
      </c>
    </row>
    <row r="1233" spans="1:15" s="1" customFormat="1" ht="11.45" customHeight="1" outlineLevel="3" x14ac:dyDescent="0.2">
      <c r="A1233" s="32" t="s">
        <v>12485</v>
      </c>
      <c r="B1233" s="74" t="s">
        <v>12486</v>
      </c>
      <c r="C1233" s="50"/>
      <c r="D1233" s="139">
        <f t="shared" si="19"/>
        <v>0</v>
      </c>
      <c r="E1233" s="140">
        <v>153.27000000000001</v>
      </c>
      <c r="F1233" s="140">
        <v>125.63</v>
      </c>
      <c r="G1233" s="34" t="s">
        <v>100</v>
      </c>
      <c r="H1233" s="34" t="s">
        <v>1001</v>
      </c>
      <c r="I1233" s="35">
        <v>5</v>
      </c>
      <c r="J1233" s="35">
        <v>5</v>
      </c>
      <c r="K1233" s="35">
        <v>16</v>
      </c>
      <c r="L1233" s="60" t="str">
        <f>HYPERLINK("https://www.sds-group.ru/product/samorez-s-pressshayboy-pshs-sverlo-4-2h19mm-korob-250-sht-up-kranz-KR-01-3362-004/", "Инфо")</f>
        <v>Инфо</v>
      </c>
      <c r="M1233" s="37">
        <v>0.38200000000000001</v>
      </c>
      <c r="N1233" s="38">
        <v>5.1900000000000004E-4</v>
      </c>
      <c r="O1233" s="141">
        <v>4601004235205</v>
      </c>
    </row>
    <row r="1234" spans="1:15" s="1" customFormat="1" ht="11.45" customHeight="1" outlineLevel="3" x14ac:dyDescent="0.2">
      <c r="A1234" s="32" t="s">
        <v>12487</v>
      </c>
      <c r="B1234" s="74" t="s">
        <v>12488</v>
      </c>
      <c r="C1234" s="50"/>
      <c r="D1234" s="139">
        <f t="shared" si="19"/>
        <v>0</v>
      </c>
      <c r="E1234" s="140">
        <v>312.17</v>
      </c>
      <c r="F1234" s="140">
        <v>255.88</v>
      </c>
      <c r="G1234" s="34" t="s">
        <v>100</v>
      </c>
      <c r="H1234" s="34" t="s">
        <v>1001</v>
      </c>
      <c r="I1234" s="35">
        <v>1</v>
      </c>
      <c r="J1234" s="35">
        <v>1</v>
      </c>
      <c r="K1234" s="35">
        <v>7</v>
      </c>
      <c r="L1234" s="60" t="str">
        <f>HYPERLINK("https://www.sds-group.ru/product/samorez-s-pressshayboy-pshs-sverlo-4-2h19mm-paket-1000-sht-up-kranz-1182-4219-2/", "Инфо")</f>
        <v>Инфо</v>
      </c>
      <c r="M1234" s="37">
        <v>1.6</v>
      </c>
      <c r="N1234" s="38">
        <v>7.4999999999999997E-3</v>
      </c>
      <c r="O1234" s="141">
        <v>4601004271319</v>
      </c>
    </row>
    <row r="1235" spans="1:15" s="1" customFormat="1" ht="11.45" customHeight="1" outlineLevel="3" x14ac:dyDescent="0.2">
      <c r="A1235" s="32" t="s">
        <v>12489</v>
      </c>
      <c r="B1235" s="74" t="s">
        <v>12490</v>
      </c>
      <c r="C1235" s="50"/>
      <c r="D1235" s="139">
        <f t="shared" si="19"/>
        <v>0</v>
      </c>
      <c r="E1235" s="140">
        <v>163.47999999999999</v>
      </c>
      <c r="F1235" s="140">
        <v>134</v>
      </c>
      <c r="G1235" s="34" t="s">
        <v>100</v>
      </c>
      <c r="H1235" s="34" t="s">
        <v>1001</v>
      </c>
      <c r="I1235" s="35">
        <v>5</v>
      </c>
      <c r="J1235" s="35">
        <v>5</v>
      </c>
      <c r="K1235" s="35">
        <v>16</v>
      </c>
      <c r="L1235" s="60" t="str">
        <f>HYPERLINK("https://www.sds-group.ru/product/samorez-s-pressshayboy-pshs-sverlo-4-2h25mm-korob-200-sht-up-kranz-KR-01-3362-005/", "Инфо")</f>
        <v>Инфо</v>
      </c>
      <c r="M1235" s="37">
        <v>0.39</v>
      </c>
      <c r="N1235" s="38">
        <v>5.1800000000000001E-4</v>
      </c>
      <c r="O1235" s="141">
        <v>4601004235083</v>
      </c>
    </row>
    <row r="1236" spans="1:15" s="1" customFormat="1" ht="11.45" customHeight="1" outlineLevel="3" x14ac:dyDescent="0.2">
      <c r="A1236" s="32" t="s">
        <v>12491</v>
      </c>
      <c r="B1236" s="74" t="s">
        <v>12492</v>
      </c>
      <c r="C1236" s="50"/>
      <c r="D1236" s="139">
        <f t="shared" si="19"/>
        <v>0</v>
      </c>
      <c r="E1236" s="140">
        <v>166.04</v>
      </c>
      <c r="F1236" s="140">
        <v>136.1</v>
      </c>
      <c r="G1236" s="34" t="s">
        <v>100</v>
      </c>
      <c r="H1236" s="34" t="s">
        <v>1001</v>
      </c>
      <c r="I1236" s="35">
        <v>5</v>
      </c>
      <c r="J1236" s="35">
        <v>5</v>
      </c>
      <c r="K1236" s="35">
        <v>16</v>
      </c>
      <c r="L1236" s="60" t="str">
        <f>HYPERLINK("https://www.sds-group.ru/product/samorez-s-pressshayboy-pshs-sverlo-4-2h32mm-korob-200-sht-up-kranz-KR-01-3362-006/", "Инфо")</f>
        <v>Инфо</v>
      </c>
      <c r="M1236" s="37">
        <v>0.442</v>
      </c>
      <c r="N1236" s="38">
        <v>5.6599999999999999E-4</v>
      </c>
      <c r="O1236" s="141">
        <v>4601004235090</v>
      </c>
    </row>
    <row r="1237" spans="1:15" s="1" customFormat="1" ht="11.45" customHeight="1" outlineLevel="3" x14ac:dyDescent="0.2">
      <c r="A1237" s="32" t="s">
        <v>12493</v>
      </c>
      <c r="B1237" s="74" t="s">
        <v>12494</v>
      </c>
      <c r="C1237" s="50"/>
      <c r="D1237" s="139">
        <f t="shared" si="19"/>
        <v>0</v>
      </c>
      <c r="E1237" s="140">
        <v>294.3</v>
      </c>
      <c r="F1237" s="140">
        <v>241.23</v>
      </c>
      <c r="G1237" s="34" t="s">
        <v>100</v>
      </c>
      <c r="H1237" s="34" t="s">
        <v>1001</v>
      </c>
      <c r="I1237" s="35">
        <v>1</v>
      </c>
      <c r="J1237" s="35">
        <v>1</v>
      </c>
      <c r="K1237" s="35">
        <v>6</v>
      </c>
      <c r="L1237" s="60" t="str">
        <f>HYPERLINK("https://www.sds-group.ru/product/samorez-s-pressshayboy-pshs-sverlo-4-2h50mm-paket-400-sht-up-kranz-1182-4250-2/", "Инфо")</f>
        <v>Инфо</v>
      </c>
      <c r="M1237" s="37">
        <v>1.4219999999999999</v>
      </c>
      <c r="N1237" s="38">
        <v>1.6559999999999999E-3</v>
      </c>
      <c r="O1237" s="141">
        <v>4601004271340</v>
      </c>
    </row>
    <row r="1238" spans="1:15" ht="11.45" customHeight="1" outlineLevel="2" x14ac:dyDescent="0.2">
      <c r="A1238" s="76" t="s">
        <v>12495</v>
      </c>
      <c r="B1238" s="136"/>
      <c r="C1238" s="77"/>
      <c r="D1238" s="137"/>
      <c r="E1238" s="4"/>
      <c r="F1238" s="4"/>
      <c r="G1238" s="4"/>
      <c r="H1238" s="4"/>
      <c r="I1238" s="4"/>
      <c r="J1238" s="4"/>
      <c r="K1238" s="4"/>
      <c r="L1238" s="138"/>
      <c r="M1238" s="4"/>
      <c r="N1238" s="4"/>
      <c r="O1238" s="4"/>
    </row>
    <row r="1239" spans="1:15" s="1" customFormat="1" ht="11.45" customHeight="1" outlineLevel="3" x14ac:dyDescent="0.2">
      <c r="A1239" s="32" t="s">
        <v>12496</v>
      </c>
      <c r="B1239" s="74" t="s">
        <v>12497</v>
      </c>
      <c r="C1239" s="50"/>
      <c r="D1239" s="139">
        <f t="shared" si="19"/>
        <v>0</v>
      </c>
      <c r="E1239" s="140">
        <v>365.06</v>
      </c>
      <c r="F1239" s="140">
        <v>299.23</v>
      </c>
      <c r="G1239" s="34" t="s">
        <v>100</v>
      </c>
      <c r="H1239" s="34" t="s">
        <v>1001</v>
      </c>
      <c r="I1239" s="35">
        <v>1</v>
      </c>
      <c r="J1239" s="35">
        <v>1</v>
      </c>
      <c r="K1239" s="35">
        <v>8</v>
      </c>
      <c r="L1239" s="60" t="str">
        <f>HYPERLINK("https://www.sds-group.ru/product/samorez-krovelnyy-4-8h29mm-okrashennyy-ral-3005-korob-250-sht-up-kranz-1203-4829-3/", "Инфо")</f>
        <v>Инфо</v>
      </c>
      <c r="M1239" s="37">
        <v>1.3580000000000001</v>
      </c>
      <c r="N1239" s="38">
        <v>8.7299999999999997E-4</v>
      </c>
      <c r="O1239" s="141">
        <v>4601004280908</v>
      </c>
    </row>
    <row r="1240" spans="1:15" s="1" customFormat="1" ht="11.45" customHeight="1" outlineLevel="3" x14ac:dyDescent="0.2">
      <c r="A1240" s="32" t="s">
        <v>12498</v>
      </c>
      <c r="B1240" s="74" t="s">
        <v>12499</v>
      </c>
      <c r="C1240" s="50"/>
      <c r="D1240" s="139">
        <f t="shared" si="19"/>
        <v>0</v>
      </c>
      <c r="E1240" s="140">
        <v>607.94000000000005</v>
      </c>
      <c r="F1240" s="140">
        <v>498.31</v>
      </c>
      <c r="G1240" s="34" t="s">
        <v>100</v>
      </c>
      <c r="H1240" s="34" t="s">
        <v>1001</v>
      </c>
      <c r="I1240" s="35">
        <v>1</v>
      </c>
      <c r="J1240" s="35">
        <v>1</v>
      </c>
      <c r="K1240" s="35">
        <v>8</v>
      </c>
      <c r="L1240" s="60" t="str">
        <f>HYPERLINK("https://www.sds-group.ru/product/samorez-krovelnyy-4-8h35mm-okrashennyy-ral-6005-korob-250-sht-up-kranz-1204-4835-3/", "Инфо")</f>
        <v>Инфо</v>
      </c>
      <c r="M1240" s="37">
        <v>1.474</v>
      </c>
      <c r="N1240" s="38">
        <v>1.7880000000000001E-3</v>
      </c>
      <c r="O1240" s="141">
        <v>4601004281004</v>
      </c>
    </row>
    <row r="1241" spans="1:15" s="1" customFormat="1" ht="11.45" customHeight="1" outlineLevel="3" x14ac:dyDescent="0.2">
      <c r="A1241" s="32" t="s">
        <v>12500</v>
      </c>
      <c r="B1241" s="74" t="s">
        <v>12501</v>
      </c>
      <c r="C1241" s="50"/>
      <c r="D1241" s="139">
        <f t="shared" si="19"/>
        <v>0</v>
      </c>
      <c r="E1241" s="140">
        <v>458.22</v>
      </c>
      <c r="F1241" s="140">
        <v>375.59</v>
      </c>
      <c r="G1241" s="34" t="s">
        <v>100</v>
      </c>
      <c r="H1241" s="34" t="s">
        <v>1001</v>
      </c>
      <c r="I1241" s="35">
        <v>1</v>
      </c>
      <c r="J1241" s="35">
        <v>1</v>
      </c>
      <c r="K1241" s="35">
        <v>8</v>
      </c>
      <c r="L1241" s="60" t="str">
        <f>HYPERLINK("https://www.sds-group.ru/product/samorez-krovelnyy-4-8h50mm-okrashennyy-ral-6005-korob-150-sht-up-kranz-1204-4850-3/", "Инфо")</f>
        <v>Инфо</v>
      </c>
      <c r="M1241" s="37">
        <v>1.0900000000000001</v>
      </c>
      <c r="N1241" s="38">
        <v>8.2299999999999995E-4</v>
      </c>
      <c r="O1241" s="141">
        <v>4601004281011</v>
      </c>
    </row>
    <row r="1242" spans="1:15" ht="11.45" customHeight="1" outlineLevel="2" x14ac:dyDescent="0.2">
      <c r="A1242" s="76" t="s">
        <v>12502</v>
      </c>
      <c r="B1242" s="136"/>
      <c r="C1242" s="77"/>
      <c r="D1242" s="137"/>
      <c r="E1242" s="4"/>
      <c r="F1242" s="4"/>
      <c r="G1242" s="4"/>
      <c r="H1242" s="4"/>
      <c r="I1242" s="4"/>
      <c r="J1242" s="4"/>
      <c r="K1242" s="4"/>
      <c r="L1242" s="138"/>
      <c r="M1242" s="4"/>
      <c r="N1242" s="4"/>
      <c r="O1242" s="4"/>
    </row>
    <row r="1243" spans="1:15" s="1" customFormat="1" ht="11.45" customHeight="1" outlineLevel="3" x14ac:dyDescent="0.2">
      <c r="A1243" s="32" t="s">
        <v>12503</v>
      </c>
      <c r="B1243" s="74" t="s">
        <v>12504</v>
      </c>
      <c r="C1243" s="50"/>
      <c r="D1243" s="139">
        <f t="shared" si="19"/>
        <v>0</v>
      </c>
      <c r="E1243" s="140">
        <v>107.33</v>
      </c>
      <c r="F1243" s="140">
        <v>87.98</v>
      </c>
      <c r="G1243" s="34" t="s">
        <v>100</v>
      </c>
      <c r="H1243" s="34" t="s">
        <v>1001</v>
      </c>
      <c r="I1243" s="35">
        <v>1</v>
      </c>
      <c r="J1243" s="35">
        <v>1</v>
      </c>
      <c r="K1243" s="35">
        <v>16</v>
      </c>
      <c r="L1243" s="60" t="str">
        <f>HYPERLINK("https://www.sds-group.ru/product/samorez-okonnyy-ostryy-4-1h25mm-belyy-tsink-korob-500-sht-up-kranz-KR-01-3721-002/", "Инфо")</f>
        <v>Инфо</v>
      </c>
      <c r="M1243" s="37">
        <v>0.70499999999999996</v>
      </c>
      <c r="N1243" s="38">
        <v>5.2700000000000002E-4</v>
      </c>
      <c r="O1243" s="141">
        <v>4601004235304</v>
      </c>
    </row>
    <row r="1244" spans="1:15" s="1" customFormat="1" ht="11.45" customHeight="1" outlineLevel="3" x14ac:dyDescent="0.2">
      <c r="A1244" s="32" t="s">
        <v>12505</v>
      </c>
      <c r="B1244" s="74" t="s">
        <v>12506</v>
      </c>
      <c r="C1244" s="50"/>
      <c r="D1244" s="139">
        <f t="shared" si="19"/>
        <v>0</v>
      </c>
      <c r="E1244" s="140">
        <v>231.64</v>
      </c>
      <c r="F1244" s="140">
        <v>189.87</v>
      </c>
      <c r="G1244" s="34" t="s">
        <v>100</v>
      </c>
      <c r="H1244" s="34" t="s">
        <v>1001</v>
      </c>
      <c r="I1244" s="35">
        <v>1</v>
      </c>
      <c r="J1244" s="35">
        <v>1</v>
      </c>
      <c r="K1244" s="35">
        <v>8</v>
      </c>
      <c r="L1244" s="60" t="str">
        <f>HYPERLINK("https://www.sds-group.ru/product/samorez-okonnyy-ostryy-4-1h35mm-belyy-tsink-korob-500-sht-up-kranz-KR-01-3721-004/", "Инфо")</f>
        <v>Инфо</v>
      </c>
      <c r="M1244" s="37">
        <v>1.0229999999999999</v>
      </c>
      <c r="N1244" s="38">
        <v>8.83E-4</v>
      </c>
      <c r="O1244" s="141">
        <v>4601004235328</v>
      </c>
    </row>
    <row r="1245" spans="1:15" s="1" customFormat="1" ht="11.45" customHeight="1" outlineLevel="3" x14ac:dyDescent="0.2">
      <c r="A1245" s="32" t="s">
        <v>12507</v>
      </c>
      <c r="B1245" s="74" t="s">
        <v>12508</v>
      </c>
      <c r="C1245" s="50"/>
      <c r="D1245" s="139">
        <f t="shared" si="19"/>
        <v>0</v>
      </c>
      <c r="E1245" s="140">
        <v>315.56</v>
      </c>
      <c r="F1245" s="140">
        <v>258.66000000000003</v>
      </c>
      <c r="G1245" s="34" t="s">
        <v>100</v>
      </c>
      <c r="H1245" s="34" t="s">
        <v>1001</v>
      </c>
      <c r="I1245" s="35">
        <v>1</v>
      </c>
      <c r="J1245" s="35">
        <v>1</v>
      </c>
      <c r="K1245" s="35">
        <v>8</v>
      </c>
      <c r="L1245" s="60" t="str">
        <f>HYPERLINK("https://www.sds-group.ru/product/samorez-okonnyy-ostryy-4-1h40mm-belyy-tsink-korob-500-sht-up-kranz-KR-01-3721-005/", "Инфо")</f>
        <v>Инфо</v>
      </c>
      <c r="M1245" s="37">
        <v>1.121</v>
      </c>
      <c r="N1245" s="38">
        <v>1.14E-3</v>
      </c>
      <c r="O1245" s="141">
        <v>4601004235335</v>
      </c>
    </row>
    <row r="1246" spans="1:15" ht="11.45" customHeight="1" outlineLevel="2" x14ac:dyDescent="0.2">
      <c r="A1246" s="76" t="s">
        <v>12509</v>
      </c>
      <c r="B1246" s="136"/>
      <c r="C1246" s="77"/>
      <c r="D1246" s="137"/>
      <c r="E1246" s="4"/>
      <c r="F1246" s="4"/>
      <c r="G1246" s="4"/>
      <c r="H1246" s="4"/>
      <c r="I1246" s="4"/>
      <c r="J1246" s="4"/>
      <c r="K1246" s="4"/>
      <c r="L1246" s="138"/>
      <c r="M1246" s="4"/>
      <c r="N1246" s="4"/>
      <c r="O1246" s="4"/>
    </row>
    <row r="1247" spans="1:15" s="1" customFormat="1" ht="11.45" customHeight="1" outlineLevel="3" x14ac:dyDescent="0.2">
      <c r="A1247" s="32" t="s">
        <v>12510</v>
      </c>
      <c r="B1247" s="74" t="s">
        <v>12511</v>
      </c>
      <c r="C1247" s="50"/>
      <c r="D1247" s="139">
        <f t="shared" si="19"/>
        <v>0</v>
      </c>
      <c r="E1247" s="140">
        <v>13.97</v>
      </c>
      <c r="F1247" s="140">
        <v>11.45</v>
      </c>
      <c r="G1247" s="34" t="s">
        <v>100</v>
      </c>
      <c r="H1247" s="34" t="s">
        <v>1001</v>
      </c>
      <c r="I1247" s="35">
        <v>1</v>
      </c>
      <c r="J1247" s="35">
        <v>1</v>
      </c>
      <c r="K1247" s="35">
        <v>300</v>
      </c>
      <c r="L1247" s="60" t="str">
        <f>HYPERLINK("https://www.sds-group.ru/product/samorez-okonnyy-sverlo-3-9h35mm-belyy-tsink-paket-20-sht-up-kranz-1504-3935-4/", "Инфо")</f>
        <v>Инфо</v>
      </c>
      <c r="M1247" s="37">
        <v>4.2999999999999997E-2</v>
      </c>
      <c r="N1247" s="38">
        <v>1.1E-4</v>
      </c>
      <c r="O1247" s="141">
        <v>4601004251397</v>
      </c>
    </row>
    <row r="1248" spans="1:15" s="1" customFormat="1" ht="11.45" customHeight="1" outlineLevel="3" x14ac:dyDescent="0.2">
      <c r="A1248" s="32" t="s">
        <v>12512</v>
      </c>
      <c r="B1248" s="74" t="s">
        <v>12513</v>
      </c>
      <c r="C1248" s="50"/>
      <c r="D1248" s="139">
        <f t="shared" si="19"/>
        <v>0</v>
      </c>
      <c r="E1248" s="140">
        <v>314.93</v>
      </c>
      <c r="F1248" s="140">
        <v>258.14</v>
      </c>
      <c r="G1248" s="34" t="s">
        <v>100</v>
      </c>
      <c r="H1248" s="34" t="s">
        <v>1001</v>
      </c>
      <c r="I1248" s="35">
        <v>1</v>
      </c>
      <c r="J1248" s="35">
        <v>1</v>
      </c>
      <c r="K1248" s="35">
        <v>8</v>
      </c>
      <c r="L1248" s="60" t="str">
        <f>HYPERLINK("https://www.sds-group.ru/product/samorez-okonnyy-sverlo-3-9h38mm-belyy-tsink-korob-500-sht-up-kranz-KR-01-3722-0014/", "Инфо")</f>
        <v>Инфо</v>
      </c>
      <c r="M1248" s="37">
        <v>1.0449999999999999</v>
      </c>
      <c r="N1248" s="38">
        <v>1.145E-3</v>
      </c>
      <c r="O1248" s="141">
        <v>4601004235496</v>
      </c>
    </row>
    <row r="1249" spans="1:15" ht="11.45" customHeight="1" outlineLevel="2" x14ac:dyDescent="0.2">
      <c r="A1249" s="76" t="s">
        <v>12514</v>
      </c>
      <c r="B1249" s="136"/>
      <c r="C1249" s="77"/>
      <c r="D1249" s="137"/>
      <c r="E1249" s="4"/>
      <c r="F1249" s="4"/>
      <c r="G1249" s="4"/>
      <c r="H1249" s="4"/>
      <c r="I1249" s="4"/>
      <c r="J1249" s="4"/>
      <c r="K1249" s="4"/>
      <c r="L1249" s="138"/>
      <c r="M1249" s="4"/>
      <c r="N1249" s="4"/>
      <c r="O1249" s="4"/>
    </row>
    <row r="1250" spans="1:15" s="1" customFormat="1" ht="11.45" customHeight="1" outlineLevel="3" x14ac:dyDescent="0.2">
      <c r="A1250" s="32" t="s">
        <v>12515</v>
      </c>
      <c r="B1250" s="74" t="s">
        <v>12516</v>
      </c>
      <c r="C1250" s="50"/>
      <c r="D1250" s="139">
        <f t="shared" si="19"/>
        <v>0</v>
      </c>
      <c r="E1250" s="140">
        <v>279.02</v>
      </c>
      <c r="F1250" s="140">
        <v>228.7</v>
      </c>
      <c r="G1250" s="34" t="s">
        <v>100</v>
      </c>
      <c r="H1250" s="34" t="s">
        <v>1001</v>
      </c>
      <c r="I1250" s="35">
        <v>1</v>
      </c>
      <c r="J1250" s="35">
        <v>1</v>
      </c>
      <c r="K1250" s="35">
        <v>4</v>
      </c>
      <c r="L1250" s="60" t="str">
        <f>HYPERLINK("https://www.sds-group.ru/product/shurup-po-betonu-7-5h112mm-korob-100-sht-up-kranz-KR-01-3731-005/", "Инфо")</f>
        <v>Инфо</v>
      </c>
      <c r="M1250" s="37">
        <v>1.7929999999999999</v>
      </c>
      <c r="N1250" s="38">
        <v>1.743E-3</v>
      </c>
      <c r="O1250" s="141">
        <v>4601004234802</v>
      </c>
    </row>
    <row r="1251" spans="1:15" s="1" customFormat="1" ht="11.45" customHeight="1" outlineLevel="3" x14ac:dyDescent="0.2">
      <c r="A1251" s="32" t="s">
        <v>12517</v>
      </c>
      <c r="B1251" s="74" t="s">
        <v>12518</v>
      </c>
      <c r="C1251" s="50"/>
      <c r="D1251" s="139">
        <f t="shared" si="19"/>
        <v>0</v>
      </c>
      <c r="E1251" s="140">
        <v>295.67</v>
      </c>
      <c r="F1251" s="140">
        <v>242.35</v>
      </c>
      <c r="G1251" s="34" t="s">
        <v>100</v>
      </c>
      <c r="H1251" s="34" t="s">
        <v>1001</v>
      </c>
      <c r="I1251" s="35">
        <v>1</v>
      </c>
      <c r="J1251" s="35">
        <v>1</v>
      </c>
      <c r="K1251" s="35">
        <v>4</v>
      </c>
      <c r="L1251" s="60" t="str">
        <f>HYPERLINK("https://www.sds-group.ru/product/shurup-po-betonu-7-5h182mm-korob-50-sht-up-kranz-KR-01-3731-008/", "Инфо")</f>
        <v>Инфо</v>
      </c>
      <c r="M1251" s="37">
        <v>1.5309999999999999</v>
      </c>
      <c r="N1251" s="38">
        <v>2.1459999999999999E-3</v>
      </c>
      <c r="O1251" s="141">
        <v>4601004234697</v>
      </c>
    </row>
    <row r="1252" spans="1:15" s="1" customFormat="1" ht="11.45" customHeight="1" outlineLevel="3" x14ac:dyDescent="0.2">
      <c r="A1252" s="32" t="s">
        <v>12519</v>
      </c>
      <c r="B1252" s="74" t="s">
        <v>12520</v>
      </c>
      <c r="C1252" s="50"/>
      <c r="D1252" s="139">
        <f t="shared" si="19"/>
        <v>0</v>
      </c>
      <c r="E1252" s="140">
        <v>236.57</v>
      </c>
      <c r="F1252" s="140">
        <v>193.91</v>
      </c>
      <c r="G1252" s="34" t="s">
        <v>100</v>
      </c>
      <c r="H1252" s="34" t="s">
        <v>1001</v>
      </c>
      <c r="I1252" s="35">
        <v>1</v>
      </c>
      <c r="J1252" s="35">
        <v>1</v>
      </c>
      <c r="K1252" s="35">
        <v>8</v>
      </c>
      <c r="L1252" s="60" t="str">
        <f>HYPERLINK("https://www.sds-group.ru/product/shurup-po-betonu-7-5h72mm-korob-100-sht-up-kranz-KR-01-3731-003/", "Инфо")</f>
        <v>Инфо</v>
      </c>
      <c r="M1252" s="37">
        <v>1.208</v>
      </c>
      <c r="N1252" s="38">
        <v>1.1249999999999999E-3</v>
      </c>
      <c r="O1252" s="141">
        <v>4601004234833</v>
      </c>
    </row>
    <row r="1253" spans="1:15" s="1" customFormat="1" ht="11.45" customHeight="1" outlineLevel="3" x14ac:dyDescent="0.2">
      <c r="A1253" s="32" t="s">
        <v>12521</v>
      </c>
      <c r="B1253" s="74" t="s">
        <v>12522</v>
      </c>
      <c r="C1253" s="50"/>
      <c r="D1253" s="139">
        <f t="shared" si="19"/>
        <v>0</v>
      </c>
      <c r="E1253" s="140">
        <v>290.52</v>
      </c>
      <c r="F1253" s="140">
        <v>238.13</v>
      </c>
      <c r="G1253" s="34" t="s">
        <v>100</v>
      </c>
      <c r="H1253" s="34" t="s">
        <v>1001</v>
      </c>
      <c r="I1253" s="35">
        <v>1</v>
      </c>
      <c r="J1253" s="35">
        <v>1</v>
      </c>
      <c r="K1253" s="35">
        <v>12</v>
      </c>
      <c r="L1253" s="60" t="str">
        <f>HYPERLINK("https://www.sds-group.ru/product/shurup-po-betonu-7-5h92mm-korob-100-sht-up-kranz-KR-01-3731-004/", "Инфо")</f>
        <v>Инфо</v>
      </c>
      <c r="M1253" s="37">
        <v>1.5489999999999999</v>
      </c>
      <c r="N1253" s="38">
        <v>1.1329999999999999E-3</v>
      </c>
      <c r="O1253" s="141">
        <v>4601004234840</v>
      </c>
    </row>
    <row r="1254" spans="1:15" ht="11.45" customHeight="1" outlineLevel="1" x14ac:dyDescent="0.2">
      <c r="A1254" s="78" t="s">
        <v>12523</v>
      </c>
      <c r="B1254" s="132"/>
      <c r="C1254" s="79"/>
      <c r="D1254" s="133"/>
      <c r="E1254" s="134"/>
      <c r="F1254" s="134"/>
      <c r="G1254" s="134"/>
      <c r="H1254" s="134"/>
      <c r="I1254" s="134"/>
      <c r="J1254" s="134"/>
      <c r="K1254" s="134"/>
      <c r="L1254" s="135"/>
      <c r="M1254" s="134"/>
      <c r="N1254" s="134"/>
      <c r="O1254" s="134"/>
    </row>
    <row r="1255" spans="1:15" ht="11.45" customHeight="1" outlineLevel="2" x14ac:dyDescent="0.2">
      <c r="A1255" s="76" t="s">
        <v>12524</v>
      </c>
      <c r="B1255" s="136"/>
      <c r="C1255" s="77"/>
      <c r="D1255" s="137"/>
      <c r="E1255" s="4"/>
      <c r="F1255" s="4"/>
      <c r="G1255" s="4"/>
      <c r="H1255" s="4"/>
      <c r="I1255" s="4"/>
      <c r="J1255" s="4"/>
      <c r="K1255" s="4"/>
      <c r="L1255" s="138"/>
      <c r="M1255" s="4"/>
      <c r="N1255" s="4"/>
      <c r="O1255" s="4"/>
    </row>
    <row r="1256" spans="1:15" s="1" customFormat="1" ht="11.45" customHeight="1" outlineLevel="3" x14ac:dyDescent="0.2">
      <c r="A1256" s="32" t="s">
        <v>12525</v>
      </c>
      <c r="B1256" s="74" t="s">
        <v>12526</v>
      </c>
      <c r="C1256" s="50"/>
      <c r="D1256" s="139">
        <f t="shared" si="19"/>
        <v>0</v>
      </c>
      <c r="E1256" s="140">
        <v>15.31</v>
      </c>
      <c r="F1256" s="140">
        <v>12.55</v>
      </c>
      <c r="G1256" s="34" t="s">
        <v>100</v>
      </c>
      <c r="H1256" s="34" t="s">
        <v>1001</v>
      </c>
      <c r="I1256" s="35">
        <v>1</v>
      </c>
      <c r="J1256" s="35">
        <v>1</v>
      </c>
      <c r="K1256" s="35">
        <v>40</v>
      </c>
      <c r="L1256" s="60" t="str">
        <f>HYPERLINK("https://www.sds-group.ru/product/bolt-mebelnyy-din-603-10h70mm-paket-2-sht-up-kranz-1301-1070-4/", "Инфо")</f>
        <v>Инфо</v>
      </c>
      <c r="M1256" s="37">
        <v>9.4E-2</v>
      </c>
      <c r="N1256" s="38">
        <v>2.34E-4</v>
      </c>
      <c r="O1256" s="141">
        <v>4601004250246</v>
      </c>
    </row>
    <row r="1257" spans="1:15" s="1" customFormat="1" ht="11.45" customHeight="1" outlineLevel="3" x14ac:dyDescent="0.2">
      <c r="A1257" s="32" t="s">
        <v>12527</v>
      </c>
      <c r="B1257" s="74" t="s">
        <v>12528</v>
      </c>
      <c r="C1257" s="50"/>
      <c r="D1257" s="139">
        <f t="shared" si="19"/>
        <v>0</v>
      </c>
      <c r="E1257" s="140">
        <v>112.08</v>
      </c>
      <c r="F1257" s="140">
        <v>91.87</v>
      </c>
      <c r="G1257" s="34" t="s">
        <v>100</v>
      </c>
      <c r="H1257" s="34" t="s">
        <v>1001</v>
      </c>
      <c r="I1257" s="35">
        <v>1</v>
      </c>
      <c r="J1257" s="35">
        <v>1</v>
      </c>
      <c r="K1257" s="35">
        <v>32</v>
      </c>
      <c r="L1257" s="60" t="str">
        <f>HYPERLINK("https://www.sds-group.ru/product/bolt-mebelnyy-din-603-6-0h25mm-korob-50-sht-up-kranz-KR-01-3511-008/", "Инфо")</f>
        <v>Инфо</v>
      </c>
      <c r="M1257" s="37">
        <v>0.34699999999999998</v>
      </c>
      <c r="N1257" s="38">
        <v>2.7E-4</v>
      </c>
      <c r="O1257" s="141">
        <v>4601004204904</v>
      </c>
    </row>
    <row r="1258" spans="1:15" s="1" customFormat="1" ht="11.45" customHeight="1" outlineLevel="3" x14ac:dyDescent="0.2">
      <c r="A1258" s="32" t="s">
        <v>12529</v>
      </c>
      <c r="B1258" s="74" t="s">
        <v>12530</v>
      </c>
      <c r="C1258" s="50"/>
      <c r="D1258" s="139">
        <f t="shared" si="19"/>
        <v>0</v>
      </c>
      <c r="E1258" s="140">
        <v>8.2899999999999991</v>
      </c>
      <c r="F1258" s="140">
        <v>6.8</v>
      </c>
      <c r="G1258" s="34" t="s">
        <v>100</v>
      </c>
      <c r="H1258" s="34" t="s">
        <v>1001</v>
      </c>
      <c r="I1258" s="35">
        <v>1</v>
      </c>
      <c r="J1258" s="35">
        <v>1</v>
      </c>
      <c r="K1258" s="35">
        <v>40</v>
      </c>
      <c r="L1258" s="60" t="str">
        <f>HYPERLINK("https://www.sds-group.ru/product/bolt-mebelnyy-din-603-8-0h80mm-paket-2-sht-up-kranz-1301-0880-4/", "Инфо")</f>
        <v>Инфо</v>
      </c>
      <c r="M1258" s="37">
        <v>6.6000000000000003E-2</v>
      </c>
      <c r="N1258" s="38">
        <v>2.3499999999999999E-4</v>
      </c>
      <c r="O1258" s="141">
        <v>4601004250390</v>
      </c>
    </row>
    <row r="1259" spans="1:15" s="1" customFormat="1" ht="11.45" customHeight="1" outlineLevel="3" x14ac:dyDescent="0.2">
      <c r="A1259" s="32" t="s">
        <v>12531</v>
      </c>
      <c r="B1259" s="74" t="s">
        <v>12532</v>
      </c>
      <c r="C1259" s="50"/>
      <c r="D1259" s="139">
        <f t="shared" si="19"/>
        <v>0</v>
      </c>
      <c r="E1259" s="140">
        <v>13.7</v>
      </c>
      <c r="F1259" s="140">
        <v>11.23</v>
      </c>
      <c r="G1259" s="34" t="s">
        <v>100</v>
      </c>
      <c r="H1259" s="34" t="s">
        <v>1001</v>
      </c>
      <c r="I1259" s="35">
        <v>1</v>
      </c>
      <c r="J1259" s="35">
        <v>1</v>
      </c>
      <c r="K1259" s="35">
        <v>40</v>
      </c>
      <c r="L1259" s="60" t="str">
        <f>HYPERLINK("https://www.sds-group.ru/product/bolt-mebelnyy-din-603-8-0h90mm-paket-2-sht-up-kranz-1301-0890-4/", "Инфо")</f>
        <v>Инфо</v>
      </c>
      <c r="M1259" s="37">
        <v>7.0999999999999994E-2</v>
      </c>
      <c r="N1259" s="38">
        <v>2.33E-4</v>
      </c>
      <c r="O1259" s="141">
        <v>4601004250406</v>
      </c>
    </row>
    <row r="1260" spans="1:15" ht="11.45" customHeight="1" outlineLevel="2" x14ac:dyDescent="0.2">
      <c r="A1260" s="76" t="s">
        <v>12533</v>
      </c>
      <c r="B1260" s="136"/>
      <c r="C1260" s="77"/>
      <c r="D1260" s="137"/>
      <c r="E1260" s="4"/>
      <c r="F1260" s="4"/>
      <c r="G1260" s="4"/>
      <c r="H1260" s="4"/>
      <c r="I1260" s="4"/>
      <c r="J1260" s="4"/>
      <c r="K1260" s="4"/>
      <c r="L1260" s="138"/>
      <c r="M1260" s="4"/>
      <c r="N1260" s="4"/>
      <c r="O1260" s="4"/>
    </row>
    <row r="1261" spans="1:15" s="1" customFormat="1" ht="11.45" customHeight="1" outlineLevel="3" x14ac:dyDescent="0.2">
      <c r="A1261" s="32" t="s">
        <v>12534</v>
      </c>
      <c r="B1261" s="74" t="s">
        <v>12535</v>
      </c>
      <c r="C1261" s="50"/>
      <c r="D1261" s="139">
        <f t="shared" si="19"/>
        <v>0</v>
      </c>
      <c r="E1261" s="140">
        <v>47.06</v>
      </c>
      <c r="F1261" s="140">
        <v>38.57</v>
      </c>
      <c r="G1261" s="34" t="s">
        <v>100</v>
      </c>
      <c r="H1261" s="34" t="s">
        <v>1001</v>
      </c>
      <c r="I1261" s="35">
        <v>1</v>
      </c>
      <c r="J1261" s="35">
        <v>1</v>
      </c>
      <c r="K1261" s="35">
        <v>16</v>
      </c>
      <c r="L1261" s="60" t="str">
        <f>HYPERLINK("https://www.sds-group.ru/product/bolt-shestigrannyy-din-933-10h80mm-korob-10-sht-up-kranz-KR-01-3512-055/", "Инфо")</f>
        <v>Инфо</v>
      </c>
      <c r="M1261" s="37">
        <v>0.55800000000000005</v>
      </c>
      <c r="N1261" s="38">
        <v>4.3600000000000003E-4</v>
      </c>
      <c r="O1261" s="141">
        <v>4601004236943</v>
      </c>
    </row>
    <row r="1262" spans="1:15" s="1" customFormat="1" ht="11.45" customHeight="1" outlineLevel="3" x14ac:dyDescent="0.2">
      <c r="A1262" s="32" t="s">
        <v>12536</v>
      </c>
      <c r="B1262" s="74" t="s">
        <v>12537</v>
      </c>
      <c r="C1262" s="50"/>
      <c r="D1262" s="139">
        <f t="shared" si="19"/>
        <v>0</v>
      </c>
      <c r="E1262" s="140">
        <v>54.68</v>
      </c>
      <c r="F1262" s="140">
        <v>44.82</v>
      </c>
      <c r="G1262" s="34" t="s">
        <v>100</v>
      </c>
      <c r="H1262" s="34" t="s">
        <v>1001</v>
      </c>
      <c r="I1262" s="35">
        <v>1</v>
      </c>
      <c r="J1262" s="35">
        <v>1</v>
      </c>
      <c r="K1262" s="35">
        <v>16</v>
      </c>
      <c r="L1262" s="60" t="str">
        <f>HYPERLINK("https://www.sds-group.ru/product/bolt-shestigrannyy-din-933-10h90mm-korob-10-sht-up-kranz-KR-01-3512-056/", "Инфо")</f>
        <v>Инфо</v>
      </c>
      <c r="M1262" s="37">
        <v>0.57299999999999995</v>
      </c>
      <c r="N1262" s="38">
        <v>5.6700000000000001E-4</v>
      </c>
      <c r="O1262" s="141">
        <v>4601004236950</v>
      </c>
    </row>
    <row r="1263" spans="1:15" s="1" customFormat="1" ht="11.45" customHeight="1" outlineLevel="3" x14ac:dyDescent="0.2">
      <c r="A1263" s="32" t="s">
        <v>12538</v>
      </c>
      <c r="B1263" s="74" t="s">
        <v>12539</v>
      </c>
      <c r="C1263" s="50"/>
      <c r="D1263" s="139">
        <f t="shared" si="19"/>
        <v>0</v>
      </c>
      <c r="E1263" s="140">
        <v>146.33000000000001</v>
      </c>
      <c r="F1263" s="140">
        <v>119.94</v>
      </c>
      <c r="G1263" s="34" t="s">
        <v>100</v>
      </c>
      <c r="H1263" s="34" t="s">
        <v>1001</v>
      </c>
      <c r="I1263" s="35">
        <v>1</v>
      </c>
      <c r="J1263" s="35">
        <v>1</v>
      </c>
      <c r="K1263" s="35">
        <v>10</v>
      </c>
      <c r="L1263" s="60" t="str">
        <f>HYPERLINK("https://www.sds-group.ru/product/bolt-shestigrannyy-din-933-16h90mm-korob-10-sht-up-kranz-KR-01-3512-099/", "Инфо")</f>
        <v>Инфо</v>
      </c>
      <c r="M1263" s="37">
        <v>1.5940000000000001</v>
      </c>
      <c r="N1263" s="38">
        <v>1.091E-3</v>
      </c>
      <c r="O1263" s="141">
        <v>4601004242036</v>
      </c>
    </row>
    <row r="1264" spans="1:15" s="1" customFormat="1" ht="11.45" customHeight="1" outlineLevel="3" x14ac:dyDescent="0.2">
      <c r="A1264" s="32" t="s">
        <v>12540</v>
      </c>
      <c r="B1264" s="74" t="s">
        <v>12541</v>
      </c>
      <c r="C1264" s="50"/>
      <c r="D1264" s="139">
        <f t="shared" si="19"/>
        <v>0</v>
      </c>
      <c r="E1264" s="140">
        <v>18.899999999999999</v>
      </c>
      <c r="F1264" s="140">
        <v>15.49</v>
      </c>
      <c r="G1264" s="34" t="s">
        <v>100</v>
      </c>
      <c r="H1264" s="34" t="s">
        <v>1001</v>
      </c>
      <c r="I1264" s="35">
        <v>1</v>
      </c>
      <c r="J1264" s="35">
        <v>1</v>
      </c>
      <c r="K1264" s="35">
        <v>40</v>
      </c>
      <c r="L1264" s="60" t="str">
        <f>HYPERLINK("https://www.sds-group.ru/product/bolt-shestigrannyy-din-933-6-0h40mm-paket-10-sht-up-kranz-1302-0640-4/", "Инфо")</f>
        <v>Инфо</v>
      </c>
      <c r="M1264" s="37">
        <v>0.10100000000000001</v>
      </c>
      <c r="N1264" s="38">
        <v>2.3900000000000001E-4</v>
      </c>
      <c r="O1264" s="141">
        <v>4601004250437</v>
      </c>
    </row>
    <row r="1265" spans="1:15" s="1" customFormat="1" ht="11.45" customHeight="1" outlineLevel="3" x14ac:dyDescent="0.2">
      <c r="A1265" s="32" t="s">
        <v>12542</v>
      </c>
      <c r="B1265" s="74" t="s">
        <v>12543</v>
      </c>
      <c r="C1265" s="50"/>
      <c r="D1265" s="139">
        <f t="shared" si="19"/>
        <v>0</v>
      </c>
      <c r="E1265" s="140">
        <v>8.98</v>
      </c>
      <c r="F1265" s="140">
        <v>7.36</v>
      </c>
      <c r="G1265" s="34" t="s">
        <v>100</v>
      </c>
      <c r="H1265" s="34" t="s">
        <v>1001</v>
      </c>
      <c r="I1265" s="35">
        <v>1</v>
      </c>
      <c r="J1265" s="35">
        <v>1</v>
      </c>
      <c r="K1265" s="35">
        <v>40</v>
      </c>
      <c r="L1265" s="60" t="str">
        <f>HYPERLINK("https://www.sds-group.ru/product/bolt-shestigrannyy-din-933-6-0h50mm-paket-4-sht-up-kranz-1302-0650-4/", "Инфо")</f>
        <v>Инфо</v>
      </c>
      <c r="M1265" s="37">
        <v>5.1999999999999998E-2</v>
      </c>
      <c r="N1265" s="38">
        <v>2.33E-4</v>
      </c>
      <c r="O1265" s="141">
        <v>4601004250499</v>
      </c>
    </row>
    <row r="1266" spans="1:15" s="1" customFormat="1" ht="11.45" customHeight="1" outlineLevel="3" x14ac:dyDescent="0.2">
      <c r="A1266" s="32" t="s">
        <v>12544</v>
      </c>
      <c r="B1266" s="74" t="s">
        <v>12545</v>
      </c>
      <c r="C1266" s="50"/>
      <c r="D1266" s="139">
        <f t="shared" si="19"/>
        <v>0</v>
      </c>
      <c r="E1266" s="140">
        <v>70.97</v>
      </c>
      <c r="F1266" s="140">
        <v>58.17</v>
      </c>
      <c r="G1266" s="34" t="s">
        <v>100</v>
      </c>
      <c r="H1266" s="34" t="s">
        <v>1001</v>
      </c>
      <c r="I1266" s="35">
        <v>1</v>
      </c>
      <c r="J1266" s="35">
        <v>1</v>
      </c>
      <c r="K1266" s="35">
        <v>8</v>
      </c>
      <c r="L1266" s="60" t="str">
        <f>HYPERLINK("https://www.sds-group.ru/product/bolt-shestigrannyy-din-933-8-0h120mm-korob-10-sht-up-kranz-KR-01-3512-039/", "Инфо")</f>
        <v>Инфо</v>
      </c>
      <c r="M1266" s="37">
        <v>0.46800000000000003</v>
      </c>
      <c r="N1266" s="38">
        <v>1.467E-3</v>
      </c>
      <c r="O1266" s="141">
        <v>4601004237001</v>
      </c>
    </row>
    <row r="1267" spans="1:15" s="1" customFormat="1" ht="11.45" customHeight="1" outlineLevel="3" x14ac:dyDescent="0.2">
      <c r="A1267" s="32" t="s">
        <v>12546</v>
      </c>
      <c r="B1267" s="74" t="s">
        <v>12547</v>
      </c>
      <c r="C1267" s="50"/>
      <c r="D1267" s="139">
        <f t="shared" si="19"/>
        <v>0</v>
      </c>
      <c r="E1267" s="140">
        <v>6.66</v>
      </c>
      <c r="F1267" s="140">
        <v>5.46</v>
      </c>
      <c r="G1267" s="34" t="s">
        <v>100</v>
      </c>
      <c r="H1267" s="34" t="s">
        <v>1001</v>
      </c>
      <c r="I1267" s="35">
        <v>1</v>
      </c>
      <c r="J1267" s="35">
        <v>1</v>
      </c>
      <c r="K1267" s="35">
        <v>400</v>
      </c>
      <c r="L1267" s="60" t="str">
        <f>HYPERLINK("https://www.sds-group.ru/product/bolt-shestigrannyy-din-933-8-0h40mm-paket-2-sht-up-kranz-1302-0840-4/", "Инфо")</f>
        <v>Инфо</v>
      </c>
      <c r="M1267" s="37">
        <v>0.04</v>
      </c>
      <c r="N1267" s="38">
        <v>8.0000000000000007E-5</v>
      </c>
      <c r="O1267" s="141">
        <v>4601004250550</v>
      </c>
    </row>
    <row r="1268" spans="1:15" s="1" customFormat="1" ht="11.45" customHeight="1" outlineLevel="3" x14ac:dyDescent="0.2">
      <c r="A1268" s="32" t="s">
        <v>12548</v>
      </c>
      <c r="B1268" s="74" t="s">
        <v>12549</v>
      </c>
      <c r="C1268" s="50"/>
      <c r="D1268" s="139">
        <f t="shared" si="19"/>
        <v>0</v>
      </c>
      <c r="E1268" s="140">
        <v>119.32</v>
      </c>
      <c r="F1268" s="140">
        <v>97.8</v>
      </c>
      <c r="G1268" s="34" t="s">
        <v>100</v>
      </c>
      <c r="H1268" s="34" t="s">
        <v>1001</v>
      </c>
      <c r="I1268" s="35">
        <v>1</v>
      </c>
      <c r="J1268" s="35">
        <v>1</v>
      </c>
      <c r="K1268" s="35">
        <v>32</v>
      </c>
      <c r="L1268" s="60" t="str">
        <f>HYPERLINK("https://www.sds-group.ru/product/bolt-shestigrannyy-din-933-8-0h55mm-korob-20-sht-up-kranz-KR-01-3512-031/", "Инфо")</f>
        <v>Инфо</v>
      </c>
      <c r="M1268" s="37">
        <v>0.46500000000000002</v>
      </c>
      <c r="N1268" s="38">
        <v>1.0059999999999999E-3</v>
      </c>
      <c r="O1268" s="141">
        <v>4601004237049</v>
      </c>
    </row>
    <row r="1269" spans="1:15" s="1" customFormat="1" ht="11.45" customHeight="1" outlineLevel="3" x14ac:dyDescent="0.2">
      <c r="A1269" s="32" t="s">
        <v>12550</v>
      </c>
      <c r="B1269" s="74" t="s">
        <v>12551</v>
      </c>
      <c r="C1269" s="50"/>
      <c r="D1269" s="139">
        <f t="shared" si="19"/>
        <v>0</v>
      </c>
      <c r="E1269" s="140">
        <v>124.03</v>
      </c>
      <c r="F1269" s="140">
        <v>101.66</v>
      </c>
      <c r="G1269" s="34" t="s">
        <v>100</v>
      </c>
      <c r="H1269" s="34" t="s">
        <v>1001</v>
      </c>
      <c r="I1269" s="35">
        <v>1</v>
      </c>
      <c r="J1269" s="35">
        <v>1</v>
      </c>
      <c r="K1269" s="35">
        <v>16</v>
      </c>
      <c r="L1269" s="60" t="str">
        <f>HYPERLINK("https://www.sds-group.ru/product/bolt-shestigrannyy-din-933-8-0h60mm-korob-20-sht-up-kranz-KR-01-3512-032/", "Инфо")</f>
        <v>Инфо</v>
      </c>
      <c r="M1269" s="37">
        <v>0.49299999999999999</v>
      </c>
      <c r="N1269" s="38">
        <v>4.6099999999999998E-4</v>
      </c>
      <c r="O1269" s="141">
        <v>4601004231306</v>
      </c>
    </row>
    <row r="1270" spans="1:15" s="1" customFormat="1" ht="11.45" customHeight="1" outlineLevel="3" x14ac:dyDescent="0.2">
      <c r="A1270" s="32" t="s">
        <v>12552</v>
      </c>
      <c r="B1270" s="74" t="s">
        <v>12553</v>
      </c>
      <c r="C1270" s="50"/>
      <c r="D1270" s="139">
        <f t="shared" si="19"/>
        <v>0</v>
      </c>
      <c r="E1270" s="140">
        <v>170.46</v>
      </c>
      <c r="F1270" s="140">
        <v>139.72</v>
      </c>
      <c r="G1270" s="34" t="s">
        <v>100</v>
      </c>
      <c r="H1270" s="34" t="s">
        <v>1001</v>
      </c>
      <c r="I1270" s="35">
        <v>1</v>
      </c>
      <c r="J1270" s="35">
        <v>1</v>
      </c>
      <c r="K1270" s="35">
        <v>16</v>
      </c>
      <c r="L1270" s="60" t="str">
        <f>HYPERLINK("https://www.sds-group.ru/product/bolt-shestigrannyy-din-933-8-0h90mm-korob-20-sht-up-kranz-KR-01-3512-036/", "Инфо")</f>
        <v>Инфо</v>
      </c>
      <c r="M1270" s="37">
        <v>0.67300000000000004</v>
      </c>
      <c r="N1270" s="38">
        <v>4.4700000000000002E-4</v>
      </c>
      <c r="O1270" s="141">
        <v>4601004231344</v>
      </c>
    </row>
    <row r="1271" spans="1:15" s="1" customFormat="1" ht="11.45" customHeight="1" outlineLevel="3" x14ac:dyDescent="0.2">
      <c r="A1271" s="32" t="s">
        <v>12554</v>
      </c>
      <c r="B1271" s="74" t="s">
        <v>12555</v>
      </c>
      <c r="C1271" s="50"/>
      <c r="D1271" s="139">
        <f t="shared" si="19"/>
        <v>0</v>
      </c>
      <c r="E1271" s="140">
        <v>7.59</v>
      </c>
      <c r="F1271" s="140">
        <v>6.22</v>
      </c>
      <c r="G1271" s="34" t="s">
        <v>100</v>
      </c>
      <c r="H1271" s="34" t="s">
        <v>1001</v>
      </c>
      <c r="I1271" s="35">
        <v>1</v>
      </c>
      <c r="J1271" s="35">
        <v>1</v>
      </c>
      <c r="K1271" s="35">
        <v>40</v>
      </c>
      <c r="L1271" s="60" t="str">
        <f>HYPERLINK("https://www.sds-group.ru/product/bolt-shestigrannyy-din-933-8-0h90mm-paket-2-sht-up-kranz-1302-0890-4/", "Инфо")</f>
        <v>Инфо</v>
      </c>
      <c r="M1271" s="37">
        <v>7.6999999999999999E-2</v>
      </c>
      <c r="N1271" s="38">
        <v>2.3900000000000001E-4</v>
      </c>
      <c r="O1271" s="141">
        <v>4601004250529</v>
      </c>
    </row>
    <row r="1272" spans="1:15" ht="11.45" customHeight="1" outlineLevel="2" x14ac:dyDescent="0.2">
      <c r="A1272" s="76" t="s">
        <v>12556</v>
      </c>
      <c r="B1272" s="136"/>
      <c r="C1272" s="77"/>
      <c r="D1272" s="137"/>
      <c r="E1272" s="4"/>
      <c r="F1272" s="4"/>
      <c r="G1272" s="4"/>
      <c r="H1272" s="4"/>
      <c r="I1272" s="4"/>
      <c r="J1272" s="4"/>
      <c r="K1272" s="4"/>
      <c r="L1272" s="138"/>
      <c r="M1272" s="4"/>
      <c r="N1272" s="4"/>
      <c r="O1272" s="4"/>
    </row>
    <row r="1273" spans="1:15" s="1" customFormat="1" ht="11.45" customHeight="1" outlineLevel="3" x14ac:dyDescent="0.2">
      <c r="A1273" s="32" t="s">
        <v>12557</v>
      </c>
      <c r="B1273" s="74" t="s">
        <v>12558</v>
      </c>
      <c r="C1273" s="50"/>
      <c r="D1273" s="139">
        <f t="shared" si="19"/>
        <v>0</v>
      </c>
      <c r="E1273" s="140">
        <v>150.59</v>
      </c>
      <c r="F1273" s="140">
        <v>123.43</v>
      </c>
      <c r="G1273" s="34" t="s">
        <v>100</v>
      </c>
      <c r="H1273" s="34" t="s">
        <v>1001</v>
      </c>
      <c r="I1273" s="35">
        <v>1</v>
      </c>
      <c r="J1273" s="35">
        <v>1</v>
      </c>
      <c r="K1273" s="35">
        <v>16</v>
      </c>
      <c r="L1273" s="60" t="str">
        <f>HYPERLINK("https://www.sds-group.ru/product/gayka-shestigrannaya-din-934-m16-korob-25-sht-up-kranz-KR-01-3522-009/", "Инфо")</f>
        <v>Инфо</v>
      </c>
      <c r="M1273" s="37">
        <v>0.747</v>
      </c>
      <c r="N1273" s="38">
        <v>7.7800000000000015E-4</v>
      </c>
      <c r="O1273" s="141">
        <v>4601004233386</v>
      </c>
    </row>
    <row r="1274" spans="1:15" ht="11.45" customHeight="1" outlineLevel="2" x14ac:dyDescent="0.2">
      <c r="A1274" s="76" t="s">
        <v>12559</v>
      </c>
      <c r="B1274" s="136"/>
      <c r="C1274" s="77"/>
      <c r="D1274" s="137"/>
      <c r="E1274" s="4"/>
      <c r="F1274" s="4"/>
      <c r="G1274" s="4"/>
      <c r="H1274" s="4"/>
      <c r="I1274" s="4"/>
      <c r="J1274" s="4"/>
      <c r="K1274" s="4"/>
      <c r="L1274" s="138"/>
      <c r="M1274" s="4"/>
      <c r="N1274" s="4"/>
      <c r="O1274" s="4"/>
    </row>
    <row r="1275" spans="1:15" s="1" customFormat="1" ht="11.45" customHeight="1" outlineLevel="3" x14ac:dyDescent="0.2">
      <c r="A1275" s="32" t="s">
        <v>12560</v>
      </c>
      <c r="B1275" s="74" t="s">
        <v>12561</v>
      </c>
      <c r="C1275" s="50"/>
      <c r="D1275" s="139">
        <f t="shared" si="19"/>
        <v>0</v>
      </c>
      <c r="E1275" s="140">
        <v>63.82</v>
      </c>
      <c r="F1275" s="140">
        <v>52.31</v>
      </c>
      <c r="G1275" s="34" t="s">
        <v>100</v>
      </c>
      <c r="H1275" s="34" t="s">
        <v>1001</v>
      </c>
      <c r="I1275" s="35">
        <v>1</v>
      </c>
      <c r="J1275" s="35">
        <v>1</v>
      </c>
      <c r="K1275" s="35">
        <v>32</v>
      </c>
      <c r="L1275" s="60" t="str">
        <f>HYPERLINK("https://www.sds-group.ru/product/shayba-ploskaya-din-125-m12-korob-50-sht-up-kranz-KR-01-3531-007/", "Инфо")</f>
        <v>Инфо</v>
      </c>
      <c r="M1275" s="37">
        <v>0.26800000000000002</v>
      </c>
      <c r="N1275" s="38">
        <v>2.1599999999999999E-4</v>
      </c>
      <c r="O1275" s="141">
        <v>4601004233454</v>
      </c>
    </row>
    <row r="1276" spans="1:15" s="1" customFormat="1" ht="11.45" customHeight="1" outlineLevel="3" x14ac:dyDescent="0.2">
      <c r="A1276" s="32" t="s">
        <v>12562</v>
      </c>
      <c r="B1276" s="74" t="s">
        <v>12563</v>
      </c>
      <c r="C1276" s="50"/>
      <c r="D1276" s="139">
        <f t="shared" si="19"/>
        <v>0</v>
      </c>
      <c r="E1276" s="140">
        <v>80.75</v>
      </c>
      <c r="F1276" s="140">
        <v>66.19</v>
      </c>
      <c r="G1276" s="34" t="s">
        <v>100</v>
      </c>
      <c r="H1276" s="34" t="s">
        <v>1001</v>
      </c>
      <c r="I1276" s="35">
        <v>1</v>
      </c>
      <c r="J1276" s="35">
        <v>1</v>
      </c>
      <c r="K1276" s="35">
        <v>32</v>
      </c>
      <c r="L1276" s="60" t="str">
        <f>HYPERLINK("https://www.sds-group.ru/product/shayba-ploskaya-din-125-m8-korob-200-sht-up-kranz-23369/", "Инфо")</f>
        <v>Инфо</v>
      </c>
      <c r="M1276" s="37">
        <v>0.313</v>
      </c>
      <c r="N1276" s="38">
        <v>2.8200000000000002E-4</v>
      </c>
      <c r="O1276" s="141">
        <v>4601004230927</v>
      </c>
    </row>
    <row r="1277" spans="1:15" ht="11.45" customHeight="1" outlineLevel="2" x14ac:dyDescent="0.2">
      <c r="A1277" s="76" t="s">
        <v>12564</v>
      </c>
      <c r="B1277" s="136"/>
      <c r="C1277" s="77"/>
      <c r="D1277" s="137"/>
      <c r="E1277" s="4"/>
      <c r="F1277" s="4"/>
      <c r="G1277" s="4"/>
      <c r="H1277" s="4"/>
      <c r="I1277" s="4"/>
      <c r="J1277" s="4"/>
      <c r="K1277" s="4"/>
      <c r="L1277" s="138"/>
      <c r="M1277" s="4"/>
      <c r="N1277" s="4"/>
      <c r="O1277" s="4"/>
    </row>
    <row r="1278" spans="1:15" s="1" customFormat="1" ht="11.45" customHeight="1" outlineLevel="3" x14ac:dyDescent="0.2">
      <c r="A1278" s="32" t="s">
        <v>12565</v>
      </c>
      <c r="B1278" s="74" t="s">
        <v>12566</v>
      </c>
      <c r="C1278" s="50"/>
      <c r="D1278" s="139">
        <f t="shared" si="19"/>
        <v>0</v>
      </c>
      <c r="E1278" s="140">
        <v>109.39</v>
      </c>
      <c r="F1278" s="140">
        <v>89.66</v>
      </c>
      <c r="G1278" s="34" t="s">
        <v>100</v>
      </c>
      <c r="H1278" s="34" t="s">
        <v>1001</v>
      </c>
      <c r="I1278" s="35">
        <v>1</v>
      </c>
      <c r="J1278" s="35">
        <v>1</v>
      </c>
      <c r="K1278" s="35">
        <v>32</v>
      </c>
      <c r="L1278" s="60" t="str">
        <f>HYPERLINK("https://www.sds-group.ru/product/shayba-uvelichennaya-din-9021-m8-korob-100-sht-up-kranz-23391/", "Инфо")</f>
        <v>Инфо</v>
      </c>
      <c r="M1278" s="37">
        <v>0.60699999999999998</v>
      </c>
      <c r="N1278" s="38">
        <v>3.0499999999999999E-4</v>
      </c>
      <c r="O1278" s="141">
        <v>4601004231146</v>
      </c>
    </row>
    <row r="1279" spans="1:15" ht="11.45" customHeight="1" outlineLevel="2" x14ac:dyDescent="0.2">
      <c r="A1279" s="76" t="s">
        <v>12567</v>
      </c>
      <c r="B1279" s="136"/>
      <c r="C1279" s="77"/>
      <c r="D1279" s="137"/>
      <c r="E1279" s="4"/>
      <c r="F1279" s="4"/>
      <c r="G1279" s="4"/>
      <c r="H1279" s="4"/>
      <c r="I1279" s="4"/>
      <c r="J1279" s="4"/>
      <c r="K1279" s="4"/>
      <c r="L1279" s="138"/>
      <c r="M1279" s="4"/>
      <c r="N1279" s="4"/>
      <c r="O1279" s="4"/>
    </row>
    <row r="1280" spans="1:15" s="1" customFormat="1" ht="11.45" customHeight="1" outlineLevel="3" x14ac:dyDescent="0.2">
      <c r="A1280" s="32" t="s">
        <v>12568</v>
      </c>
      <c r="B1280" s="74" t="s">
        <v>12569</v>
      </c>
      <c r="C1280" s="50"/>
      <c r="D1280" s="139">
        <f t="shared" si="19"/>
        <v>0</v>
      </c>
      <c r="E1280" s="140">
        <v>66.510000000000005</v>
      </c>
      <c r="F1280" s="140">
        <v>54.52</v>
      </c>
      <c r="G1280" s="34" t="s">
        <v>100</v>
      </c>
      <c r="H1280" s="34" t="s">
        <v>39</v>
      </c>
      <c r="I1280" s="35">
        <v>10</v>
      </c>
      <c r="J1280" s="35">
        <v>10</v>
      </c>
      <c r="K1280" s="35">
        <v>10</v>
      </c>
      <c r="L1280" s="60" t="str">
        <f>HYPERLINK("https://www.sds-group.ru/product/shpilka-rezbovaya-din-975-m10h1000-10-sht-up-kranz-KR-01-3542-008/", "Инфо")</f>
        <v>Инфо</v>
      </c>
      <c r="M1280" s="37">
        <v>0.497</v>
      </c>
      <c r="N1280" s="38">
        <v>1E-4</v>
      </c>
      <c r="O1280" s="141">
        <v>4601004234086</v>
      </c>
    </row>
    <row r="1281" spans="1:15" s="1" customFormat="1" ht="11.45" customHeight="1" outlineLevel="3" x14ac:dyDescent="0.2">
      <c r="A1281" s="32" t="s">
        <v>12570</v>
      </c>
      <c r="B1281" s="74" t="s">
        <v>12571</v>
      </c>
      <c r="C1281" s="50"/>
      <c r="D1281" s="139">
        <f t="shared" si="19"/>
        <v>0</v>
      </c>
      <c r="E1281" s="140">
        <v>147.02000000000001</v>
      </c>
      <c r="F1281" s="140">
        <v>120.51</v>
      </c>
      <c r="G1281" s="34" t="s">
        <v>100</v>
      </c>
      <c r="H1281" s="34" t="s">
        <v>39</v>
      </c>
      <c r="I1281" s="35">
        <v>10</v>
      </c>
      <c r="J1281" s="35">
        <v>10</v>
      </c>
      <c r="K1281" s="35">
        <v>10</v>
      </c>
      <c r="L1281" s="60" t="str">
        <f>HYPERLINK("https://www.sds-group.ru/product/shpilka-rezbovaya-din-975-m10h2000-10-sht-up-kranz-KR-01-3542-009/", "Инфо")</f>
        <v>Инфо</v>
      </c>
      <c r="M1281" s="37">
        <v>0.42599999999999999</v>
      </c>
      <c r="N1281" s="38">
        <v>2.0000000000000001E-4</v>
      </c>
      <c r="O1281" s="141">
        <v>4601004275898</v>
      </c>
    </row>
    <row r="1282" spans="1:15" s="1" customFormat="1" ht="11.45" customHeight="1" outlineLevel="3" x14ac:dyDescent="0.2">
      <c r="A1282" s="32" t="s">
        <v>12572</v>
      </c>
      <c r="B1282" s="74" t="s">
        <v>12573</v>
      </c>
      <c r="C1282" s="50"/>
      <c r="D1282" s="139">
        <f t="shared" si="19"/>
        <v>0</v>
      </c>
      <c r="E1282" s="140">
        <v>62.16</v>
      </c>
      <c r="F1282" s="140">
        <v>50.95</v>
      </c>
      <c r="G1282" s="34" t="s">
        <v>100</v>
      </c>
      <c r="H1282" s="34" t="s">
        <v>39</v>
      </c>
      <c r="I1282" s="35">
        <v>10</v>
      </c>
      <c r="J1282" s="35">
        <v>10</v>
      </c>
      <c r="K1282" s="35">
        <v>10</v>
      </c>
      <c r="L1282" s="60" t="str">
        <f>HYPERLINK("https://www.sds-group.ru/product/shpilka-rezbovaya-din-975-m6h2000-10-sht-up-kranz-KR-01-3542-005/", "Инфо")</f>
        <v>Инфо</v>
      </c>
      <c r="M1282" s="37">
        <v>0.222</v>
      </c>
      <c r="N1282" s="38">
        <v>5.0000000000000002E-5</v>
      </c>
      <c r="O1282" s="141">
        <v>4601004288003</v>
      </c>
    </row>
    <row r="1283" spans="1:15" s="1" customFormat="1" ht="11.45" customHeight="1" outlineLevel="3" x14ac:dyDescent="0.2">
      <c r="A1283" s="32" t="s">
        <v>12574</v>
      </c>
      <c r="B1283" s="74" t="s">
        <v>12575</v>
      </c>
      <c r="C1283" s="50"/>
      <c r="D1283" s="139">
        <f t="shared" si="19"/>
        <v>0</v>
      </c>
      <c r="E1283" s="140">
        <v>54.75</v>
      </c>
      <c r="F1283" s="140">
        <v>44.88</v>
      </c>
      <c r="G1283" s="34" t="s">
        <v>100</v>
      </c>
      <c r="H1283" s="34" t="s">
        <v>39</v>
      </c>
      <c r="I1283" s="35">
        <v>10</v>
      </c>
      <c r="J1283" s="35">
        <v>10</v>
      </c>
      <c r="K1283" s="35">
        <v>10</v>
      </c>
      <c r="L1283" s="60" t="str">
        <f>HYPERLINK("https://www.sds-group.ru/product/shpilka-rezbovaya-din-975-m8h1000-10-sht-up-kranz-KR-01-3542-006/", "Инфо")</f>
        <v>Инфо</v>
      </c>
      <c r="M1283" s="37">
        <v>0.19600000000000001</v>
      </c>
      <c r="N1283" s="38">
        <v>5.0000000000000002E-5</v>
      </c>
      <c r="O1283" s="141">
        <v>4601004234062</v>
      </c>
    </row>
    <row r="1284" spans="1:15" ht="11.45" customHeight="1" outlineLevel="1" x14ac:dyDescent="0.2">
      <c r="A1284" s="78" t="s">
        <v>12576</v>
      </c>
      <c r="B1284" s="132"/>
      <c r="C1284" s="79"/>
      <c r="D1284" s="133"/>
      <c r="E1284" s="134"/>
      <c r="F1284" s="134"/>
      <c r="G1284" s="134"/>
      <c r="H1284" s="134"/>
      <c r="I1284" s="134"/>
      <c r="J1284" s="134"/>
      <c r="K1284" s="134"/>
      <c r="L1284" s="135"/>
      <c r="M1284" s="134"/>
      <c r="N1284" s="134"/>
      <c r="O1284" s="134"/>
    </row>
    <row r="1285" spans="1:15" ht="11.45" customHeight="1" outlineLevel="2" x14ac:dyDescent="0.2">
      <c r="A1285" s="76" t="s">
        <v>12617</v>
      </c>
      <c r="B1285" s="136"/>
      <c r="C1285" s="77"/>
      <c r="D1285" s="137"/>
      <c r="E1285" s="4"/>
      <c r="F1285" s="4"/>
      <c r="G1285" s="4"/>
      <c r="H1285" s="4"/>
      <c r="I1285" s="4"/>
      <c r="J1285" s="4"/>
      <c r="K1285" s="4"/>
      <c r="L1285" s="138"/>
      <c r="M1285" s="4"/>
      <c r="N1285" s="4"/>
      <c r="O1285" s="4"/>
    </row>
    <row r="1286" spans="1:15" s="1" customFormat="1" ht="11.45" customHeight="1" outlineLevel="3" x14ac:dyDescent="0.2">
      <c r="A1286" s="32" t="s">
        <v>12626</v>
      </c>
      <c r="B1286" s="74" t="s">
        <v>12627</v>
      </c>
      <c r="C1286" s="50"/>
      <c r="D1286" s="139">
        <f t="shared" si="19"/>
        <v>0</v>
      </c>
      <c r="E1286" s="140">
        <v>327.77</v>
      </c>
      <c r="F1286" s="140">
        <v>268.66000000000003</v>
      </c>
      <c r="G1286" s="34" t="s">
        <v>100</v>
      </c>
      <c r="H1286" s="34" t="s">
        <v>1001</v>
      </c>
      <c r="I1286" s="35">
        <v>1</v>
      </c>
      <c r="J1286" s="35">
        <v>1</v>
      </c>
      <c r="K1286" s="35">
        <v>6</v>
      </c>
      <c r="L1286" s="60" t="str">
        <f>HYPERLINK("https://www.sds-group.ru/product/dyubel-gvozd-potaynoy-bortik-polipropilen-8h100mm-korob-100-sht-up-kranz-KR-01-3621-0012/", "Инфо")</f>
        <v>Инфо</v>
      </c>
      <c r="M1286" s="37">
        <v>1.2629999999999999</v>
      </c>
      <c r="N1286" s="38">
        <v>2.3140000000000001E-3</v>
      </c>
      <c r="O1286" s="141">
        <v>4601004234758</v>
      </c>
    </row>
    <row r="1287" spans="1:15" s="1" customFormat="1" ht="11.45" customHeight="1" outlineLevel="3" x14ac:dyDescent="0.2">
      <c r="A1287" s="32" t="s">
        <v>12628</v>
      </c>
      <c r="B1287" s="74" t="s">
        <v>12629</v>
      </c>
      <c r="C1287" s="50"/>
      <c r="D1287" s="139">
        <f t="shared" si="19"/>
        <v>0</v>
      </c>
      <c r="E1287" s="140">
        <v>270.51</v>
      </c>
      <c r="F1287" s="140">
        <v>221.73</v>
      </c>
      <c r="G1287" s="34" t="s">
        <v>100</v>
      </c>
      <c r="H1287" s="34" t="s">
        <v>1001</v>
      </c>
      <c r="I1287" s="35">
        <v>1</v>
      </c>
      <c r="J1287" s="35">
        <v>1</v>
      </c>
      <c r="K1287" s="35">
        <v>6</v>
      </c>
      <c r="L1287" s="60" t="str">
        <f>HYPERLINK("https://www.sds-group.ru/product/dyubel-gvozd-potaynoy-bortik-polipropilen-8h120mm-korob-100-sht-up-kranz-KR-01-3621-0013/", "Инфо")</f>
        <v>Инфо</v>
      </c>
      <c r="M1287" s="37">
        <v>1.5349999999999999</v>
      </c>
      <c r="N1287" s="38">
        <v>2.2590000000000002E-3</v>
      </c>
      <c r="O1287" s="141">
        <v>4601004234765</v>
      </c>
    </row>
    <row r="1288" spans="1:15" ht="11.45" customHeight="1" outlineLevel="2" x14ac:dyDescent="0.2">
      <c r="A1288" s="76" t="s">
        <v>12630</v>
      </c>
      <c r="B1288" s="136"/>
      <c r="C1288" s="77"/>
      <c r="D1288" s="137"/>
      <c r="E1288" s="4"/>
      <c r="F1288" s="4"/>
      <c r="G1288" s="4"/>
      <c r="H1288" s="4"/>
      <c r="I1288" s="4"/>
      <c r="J1288" s="4"/>
      <c r="K1288" s="4"/>
      <c r="L1288" s="138"/>
      <c r="M1288" s="4"/>
      <c r="N1288" s="4"/>
      <c r="O1288" s="4"/>
    </row>
    <row r="1289" spans="1:15" s="1" customFormat="1" ht="11.45" customHeight="1" outlineLevel="3" x14ac:dyDescent="0.2">
      <c r="A1289" s="32" t="s">
        <v>12631</v>
      </c>
      <c r="B1289" s="74" t="s">
        <v>12632</v>
      </c>
      <c r="C1289" s="50"/>
      <c r="D1289" s="139">
        <f t="shared" si="19"/>
        <v>0</v>
      </c>
      <c r="E1289" s="140">
        <v>340.36</v>
      </c>
      <c r="F1289" s="140">
        <v>278.98</v>
      </c>
      <c r="G1289" s="34" t="s">
        <v>100</v>
      </c>
      <c r="H1289" s="34" t="s">
        <v>1001</v>
      </c>
      <c r="I1289" s="35">
        <v>1</v>
      </c>
      <c r="J1289" s="35">
        <v>1</v>
      </c>
      <c r="K1289" s="35">
        <v>6</v>
      </c>
      <c r="L1289" s="60" t="str">
        <f>HYPERLINK("https://www.sds-group.ru/product/dyubel-s-polukoltsom-10mm-korob-50-sht-up-kranz-KR-01-3641-006/", "Инфо")</f>
        <v>Инфо</v>
      </c>
      <c r="M1289" s="37">
        <v>0.98299999999999998</v>
      </c>
      <c r="N1289" s="38">
        <v>2.2409999999999999E-3</v>
      </c>
      <c r="O1289" s="141">
        <v>4601004234680</v>
      </c>
    </row>
    <row r="1290" spans="1:15" s="1" customFormat="1" ht="11.45" customHeight="1" outlineLevel="3" x14ac:dyDescent="0.2">
      <c r="A1290" s="32" t="s">
        <v>12633</v>
      </c>
      <c r="B1290" s="74" t="s">
        <v>12634</v>
      </c>
      <c r="C1290" s="50"/>
      <c r="D1290" s="139">
        <f t="shared" si="19"/>
        <v>0</v>
      </c>
      <c r="E1290" s="140">
        <v>219.19</v>
      </c>
      <c r="F1290" s="140">
        <v>179.66</v>
      </c>
      <c r="G1290" s="34" t="s">
        <v>100</v>
      </c>
      <c r="H1290" s="34" t="s">
        <v>1001</v>
      </c>
      <c r="I1290" s="35">
        <v>1</v>
      </c>
      <c r="J1290" s="35">
        <v>1</v>
      </c>
      <c r="K1290" s="35">
        <v>6</v>
      </c>
      <c r="L1290" s="60" t="str">
        <f>HYPERLINK("https://www.sds-group.ru/product/dyubel-s-polukoltsom-8mm-korob-100-sht-up-kranz-KR-01-3641-004/", "Инфо")</f>
        <v>Инфо</v>
      </c>
      <c r="M1290" s="37">
        <v>0.97699999999999998</v>
      </c>
      <c r="N1290" s="38">
        <v>2.8509999999999998E-3</v>
      </c>
      <c r="O1290" s="141">
        <v>4601004234796</v>
      </c>
    </row>
    <row r="1291" spans="1:15" ht="11.45" customHeight="1" outlineLevel="1" x14ac:dyDescent="0.2">
      <c r="A1291" s="78" t="s">
        <v>12635</v>
      </c>
      <c r="B1291" s="132"/>
      <c r="C1291" s="79"/>
      <c r="D1291" s="133"/>
      <c r="E1291" s="134"/>
      <c r="F1291" s="134"/>
      <c r="G1291" s="134"/>
      <c r="H1291" s="134"/>
      <c r="I1291" s="134"/>
      <c r="J1291" s="134"/>
      <c r="K1291" s="134"/>
      <c r="L1291" s="135"/>
      <c r="M1291" s="134"/>
      <c r="N1291" s="134"/>
      <c r="O1291" s="134"/>
    </row>
    <row r="1292" spans="1:15" ht="11.45" customHeight="1" outlineLevel="2" x14ac:dyDescent="0.2">
      <c r="A1292" s="76" t="s">
        <v>12636</v>
      </c>
      <c r="B1292" s="136"/>
      <c r="C1292" s="77"/>
      <c r="D1292" s="137"/>
      <c r="E1292" s="4"/>
      <c r="F1292" s="4"/>
      <c r="G1292" s="4"/>
      <c r="H1292" s="4"/>
      <c r="I1292" s="4"/>
      <c r="J1292" s="4"/>
      <c r="K1292" s="4"/>
      <c r="L1292" s="138"/>
      <c r="M1292" s="4"/>
      <c r="N1292" s="4"/>
      <c r="O1292" s="4"/>
    </row>
    <row r="1293" spans="1:15" s="1" customFormat="1" ht="11.45" customHeight="1" outlineLevel="3" x14ac:dyDescent="0.2">
      <c r="A1293" s="32" t="s">
        <v>12637</v>
      </c>
      <c r="B1293" s="74" t="s">
        <v>12638</v>
      </c>
      <c r="C1293" s="50"/>
      <c r="D1293" s="139">
        <f t="shared" ref="D1293:D1352" si="20">C1293*E1293</f>
        <v>0</v>
      </c>
      <c r="E1293" s="140">
        <v>0.12</v>
      </c>
      <c r="F1293" s="140">
        <v>0.1</v>
      </c>
      <c r="G1293" s="34" t="s">
        <v>100</v>
      </c>
      <c r="H1293" s="34" t="s">
        <v>39</v>
      </c>
      <c r="I1293" s="39">
        <v>12000</v>
      </c>
      <c r="J1293" s="39">
        <v>12000</v>
      </c>
      <c r="K1293" s="39">
        <v>12000</v>
      </c>
      <c r="L1293" s="60" t="str">
        <f>HYPERLINK("https://www.sds-group.ru/product/samorez-universalnyy-3h40-mm-zheltyy-tsink-upakovka-postavschika-12000-sht-up-kranz-1111-0340-1/", "Инфо")</f>
        <v>Инфо</v>
      </c>
      <c r="M1293" s="37">
        <v>1E-3</v>
      </c>
      <c r="N1293" s="38">
        <v>1.9999999999999999E-6</v>
      </c>
      <c r="O1293" s="141">
        <v>2000604394596</v>
      </c>
    </row>
    <row r="1294" spans="1:15" s="1" customFormat="1" ht="11.45" customHeight="1" outlineLevel="3" x14ac:dyDescent="0.2">
      <c r="A1294" s="32" t="s">
        <v>12639</v>
      </c>
      <c r="B1294" s="74" t="s">
        <v>12640</v>
      </c>
      <c r="C1294" s="50"/>
      <c r="D1294" s="139">
        <f t="shared" si="20"/>
        <v>0</v>
      </c>
      <c r="E1294" s="140">
        <v>0.15</v>
      </c>
      <c r="F1294" s="140">
        <v>0.12</v>
      </c>
      <c r="G1294" s="34" t="s">
        <v>100</v>
      </c>
      <c r="H1294" s="34" t="s">
        <v>39</v>
      </c>
      <c r="I1294" s="39">
        <v>18000</v>
      </c>
      <c r="J1294" s="39">
        <v>18000</v>
      </c>
      <c r="K1294" s="39">
        <v>18000</v>
      </c>
      <c r="L1294" s="60" t="str">
        <f>HYPERLINK("https://www.sds-group.ru/product/samorez-gipsokarton-derevo-3-5h19-mm-upakovka-postavschika-18000-sht-up-kranz-1133-3519-1/", "Инфо")</f>
        <v>Инфо</v>
      </c>
      <c r="M1294" s="37">
        <v>1E-3</v>
      </c>
      <c r="N1294" s="38">
        <v>9.9999999999999995E-7</v>
      </c>
      <c r="O1294" s="141">
        <v>2000604398891</v>
      </c>
    </row>
    <row r="1295" spans="1:15" s="1" customFormat="1" ht="11.45" customHeight="1" outlineLevel="3" x14ac:dyDescent="0.2">
      <c r="A1295" s="32" t="s">
        <v>12642</v>
      </c>
      <c r="B1295" s="74" t="s">
        <v>12643</v>
      </c>
      <c r="C1295" s="50"/>
      <c r="D1295" s="139">
        <f t="shared" si="20"/>
        <v>0</v>
      </c>
      <c r="E1295" s="140">
        <v>0.2</v>
      </c>
      <c r="F1295" s="140">
        <v>0.16</v>
      </c>
      <c r="G1295" s="34" t="s">
        <v>100</v>
      </c>
      <c r="H1295" s="34" t="s">
        <v>39</v>
      </c>
      <c r="I1295" s="39">
        <v>5000</v>
      </c>
      <c r="J1295" s="39">
        <v>5000</v>
      </c>
      <c r="K1295" s="39">
        <v>5000</v>
      </c>
      <c r="L1295" s="60" t="str">
        <f>HYPERLINK("https://www.sds-group.ru/product/samorez-gipsokarton-derevo-3-5h51-mm-upakovka-postavschika-5000-sht-up-kranz-1133-3551-1/", "Инфо")</f>
        <v>Инфо</v>
      </c>
      <c r="M1295" s="37">
        <v>3.0000000000000001E-3</v>
      </c>
      <c r="N1295" s="38">
        <v>1.9999999999999999E-6</v>
      </c>
      <c r="O1295" s="141">
        <v>2000604398952</v>
      </c>
    </row>
    <row r="1296" spans="1:15" s="1" customFormat="1" ht="11.45" customHeight="1" outlineLevel="3" x14ac:dyDescent="0.2">
      <c r="A1296" s="32" t="s">
        <v>12644</v>
      </c>
      <c r="B1296" s="74" t="s">
        <v>12645</v>
      </c>
      <c r="C1296" s="50"/>
      <c r="D1296" s="139">
        <f t="shared" si="20"/>
        <v>0</v>
      </c>
      <c r="E1296" s="140">
        <v>0.36</v>
      </c>
      <c r="F1296" s="140">
        <v>0.3</v>
      </c>
      <c r="G1296" s="34" t="s">
        <v>100</v>
      </c>
      <c r="H1296" s="34" t="s">
        <v>39</v>
      </c>
      <c r="I1296" s="39">
        <v>4000</v>
      </c>
      <c r="J1296" s="39">
        <v>4000</v>
      </c>
      <c r="K1296" s="39">
        <v>5500</v>
      </c>
      <c r="L1296" s="60" t="str">
        <f>HYPERLINK("https://www.sds-group.ru/product/samorez-gipsokarton-derevo-3-5h55-mm-upakovka-postavschika-4000-sht-up-kranz-1133-3555-1/", "Инфо")</f>
        <v>Инфо</v>
      </c>
      <c r="M1296" s="37">
        <v>2E-3</v>
      </c>
      <c r="N1296" s="38">
        <v>1.9999999999999999E-6</v>
      </c>
      <c r="O1296" s="141">
        <v>2000604398969</v>
      </c>
    </row>
    <row r="1297" spans="1:15" s="1" customFormat="1" ht="11.45" customHeight="1" outlineLevel="3" x14ac:dyDescent="0.2">
      <c r="A1297" s="32" t="s">
        <v>12646</v>
      </c>
      <c r="B1297" s="74" t="s">
        <v>12647</v>
      </c>
      <c r="C1297" s="50"/>
      <c r="D1297" s="139">
        <f t="shared" si="20"/>
        <v>0</v>
      </c>
      <c r="E1297" s="140">
        <v>0.19</v>
      </c>
      <c r="F1297" s="140">
        <v>0.16</v>
      </c>
      <c r="G1297" s="34" t="s">
        <v>100</v>
      </c>
      <c r="H1297" s="34" t="s">
        <v>39</v>
      </c>
      <c r="I1297" s="39">
        <v>3000</v>
      </c>
      <c r="J1297" s="39">
        <v>3000</v>
      </c>
      <c r="K1297" s="39">
        <v>3000</v>
      </c>
      <c r="L1297" s="60" t="str">
        <f>HYPERLINK("https://www.sds-group.ru/product/samorez-gipsokarton-derevo-3-8h65-mm-upakovka-postavschika-3000-sht-up-kranz-1133-3865-1/", "Инфо")</f>
        <v>Инфо</v>
      </c>
      <c r="M1297" s="37">
        <v>3.0000000000000001E-3</v>
      </c>
      <c r="N1297" s="38">
        <v>3.0000000000000001E-6</v>
      </c>
      <c r="O1297" s="141">
        <v>2000604398976</v>
      </c>
    </row>
    <row r="1298" spans="1:15" s="1" customFormat="1" ht="11.45" customHeight="1" outlineLevel="3" x14ac:dyDescent="0.2">
      <c r="A1298" s="32" t="s">
        <v>12648</v>
      </c>
      <c r="B1298" s="74" t="s">
        <v>12649</v>
      </c>
      <c r="C1298" s="50"/>
      <c r="D1298" s="139">
        <f t="shared" si="20"/>
        <v>0</v>
      </c>
      <c r="E1298" s="140">
        <v>0.6</v>
      </c>
      <c r="F1298" s="140">
        <v>0.49</v>
      </c>
      <c r="G1298" s="34" t="s">
        <v>100</v>
      </c>
      <c r="H1298" s="34" t="s">
        <v>39</v>
      </c>
      <c r="I1298" s="39">
        <v>2500</v>
      </c>
      <c r="J1298" s="39">
        <v>2500</v>
      </c>
      <c r="K1298" s="39">
        <v>3200</v>
      </c>
      <c r="L1298" s="60" t="str">
        <f>HYPERLINK("https://www.sds-group.ru/product/samorez-gipsokarton-derevo-4-2h70-mm-upakovka-postavschika-2500-sht-up-kranz-1133-4270-1/", "Инфо")</f>
        <v>Инфо</v>
      </c>
      <c r="M1298" s="37">
        <v>4.0000000000000001E-3</v>
      </c>
      <c r="N1298" s="38">
        <v>5.0000000000000004E-6</v>
      </c>
      <c r="O1298" s="141">
        <v>2000604398983</v>
      </c>
    </row>
    <row r="1299" spans="1:15" s="1" customFormat="1" ht="11.45" customHeight="1" outlineLevel="3" x14ac:dyDescent="0.2">
      <c r="A1299" s="32" t="s">
        <v>12650</v>
      </c>
      <c r="B1299" s="74" t="s">
        <v>12651</v>
      </c>
      <c r="C1299" s="50"/>
      <c r="D1299" s="139">
        <f t="shared" si="20"/>
        <v>0</v>
      </c>
      <c r="E1299" s="140">
        <v>0.42</v>
      </c>
      <c r="F1299" s="140">
        <v>0.34</v>
      </c>
      <c r="G1299" s="34" t="s">
        <v>100</v>
      </c>
      <c r="H1299" s="34" t="s">
        <v>39</v>
      </c>
      <c r="I1299" s="39">
        <v>2000</v>
      </c>
      <c r="J1299" s="39">
        <v>2000</v>
      </c>
      <c r="K1299" s="39">
        <v>2000</v>
      </c>
      <c r="L1299" s="60" t="str">
        <f>HYPERLINK("https://www.sds-group.ru/product/samorez-gipsokarton-derevo-4-2h90-mm-upakovka-postavschika-2000-sht-up-kranz-1133-4290-1/", "Инфо")</f>
        <v>Инфо</v>
      </c>
      <c r="M1299" s="37">
        <v>5.0000000000000001E-3</v>
      </c>
      <c r="N1299" s="38">
        <v>6.0000000000000002E-6</v>
      </c>
      <c r="O1299" s="141">
        <v>2000604393674</v>
      </c>
    </row>
    <row r="1300" spans="1:15" s="1" customFormat="1" ht="11.45" customHeight="1" outlineLevel="3" x14ac:dyDescent="0.2">
      <c r="A1300" s="32" t="s">
        <v>12652</v>
      </c>
      <c r="B1300" s="74" t="s">
        <v>12653</v>
      </c>
      <c r="C1300" s="50"/>
      <c r="D1300" s="139">
        <f t="shared" si="20"/>
        <v>0</v>
      </c>
      <c r="E1300" s="140">
        <v>0.08</v>
      </c>
      <c r="F1300" s="140">
        <v>7.0000000000000007E-2</v>
      </c>
      <c r="G1300" s="34" t="s">
        <v>100</v>
      </c>
      <c r="H1300" s="34" t="s">
        <v>39</v>
      </c>
      <c r="I1300" s="39">
        <v>18000</v>
      </c>
      <c r="J1300" s="39">
        <v>18000</v>
      </c>
      <c r="K1300" s="39">
        <v>18000</v>
      </c>
      <c r="L1300" s="60" t="str">
        <f>HYPERLINK("https://www.sds-group.ru/product/samorez-gipsokarton-metall-3-5h25-mm-upakovka-postavschika-18000-sht-up-kranz-1143-3525-1/", "Инфо")</f>
        <v>Инфо</v>
      </c>
      <c r="M1300" s="37">
        <v>1E-3</v>
      </c>
      <c r="N1300" s="38">
        <v>9.9999999999999995E-7</v>
      </c>
      <c r="O1300" s="141">
        <v>2000604393681</v>
      </c>
    </row>
    <row r="1301" spans="1:15" s="1" customFormat="1" ht="11.45" customHeight="1" outlineLevel="3" x14ac:dyDescent="0.2">
      <c r="A1301" s="32" t="s">
        <v>12654</v>
      </c>
      <c r="B1301" s="74" t="s">
        <v>12655</v>
      </c>
      <c r="C1301" s="50"/>
      <c r="D1301" s="139">
        <f t="shared" si="20"/>
        <v>0</v>
      </c>
      <c r="E1301" s="140">
        <v>0.2</v>
      </c>
      <c r="F1301" s="140">
        <v>0.16</v>
      </c>
      <c r="G1301" s="34" t="s">
        <v>100</v>
      </c>
      <c r="H1301" s="34" t="s">
        <v>39</v>
      </c>
      <c r="I1301" s="39">
        <v>10000</v>
      </c>
      <c r="J1301" s="39">
        <v>10000</v>
      </c>
      <c r="K1301" s="39">
        <v>12000</v>
      </c>
      <c r="L1301" s="60" t="str">
        <f>HYPERLINK("https://www.sds-group.ru/product/samorez-gipsokarton-metall-3-5h32-mm-upakovka-postavschika-12000-10000-sht-up-kranz-1143-3532-1/", "Инфо")</f>
        <v>Инфо</v>
      </c>
      <c r="M1301" s="37">
        <v>1E-3</v>
      </c>
      <c r="N1301" s="38">
        <v>9.9999999999999995E-7</v>
      </c>
      <c r="O1301" s="141">
        <v>2000604393698</v>
      </c>
    </row>
    <row r="1302" spans="1:15" s="1" customFormat="1" ht="11.45" customHeight="1" outlineLevel="3" x14ac:dyDescent="0.2">
      <c r="A1302" s="32" t="s">
        <v>12656</v>
      </c>
      <c r="B1302" s="74" t="s">
        <v>12657</v>
      </c>
      <c r="C1302" s="50"/>
      <c r="D1302" s="139">
        <f t="shared" si="20"/>
        <v>0</v>
      </c>
      <c r="E1302" s="140">
        <v>0.12</v>
      </c>
      <c r="F1302" s="140">
        <v>0.1</v>
      </c>
      <c r="G1302" s="34" t="s">
        <v>100</v>
      </c>
      <c r="H1302" s="34" t="s">
        <v>39</v>
      </c>
      <c r="I1302" s="39">
        <v>11000</v>
      </c>
      <c r="J1302" s="39">
        <v>11000</v>
      </c>
      <c r="K1302" s="39">
        <v>11000</v>
      </c>
      <c r="L1302" s="60" t="str">
        <f>HYPERLINK("https://www.sds-group.ru/product/samorez-gipsokarton-metall-3-5h35-mm-upakovka-postavschika-11000-sht-up-kranz-1143-3535-1/", "Инфо")</f>
        <v>Инфо</v>
      </c>
      <c r="M1302" s="37">
        <v>1E-3</v>
      </c>
      <c r="N1302" s="38">
        <v>9.9999999999999995E-7</v>
      </c>
      <c r="O1302" s="141">
        <v>2000604393704</v>
      </c>
    </row>
    <row r="1303" spans="1:15" s="1" customFormat="1" ht="11.45" customHeight="1" outlineLevel="3" x14ac:dyDescent="0.2">
      <c r="A1303" s="32" t="s">
        <v>12658</v>
      </c>
      <c r="B1303" s="74" t="s">
        <v>12659</v>
      </c>
      <c r="C1303" s="50"/>
      <c r="D1303" s="139">
        <f t="shared" si="20"/>
        <v>0</v>
      </c>
      <c r="E1303" s="140">
        <v>0.12</v>
      </c>
      <c r="F1303" s="140">
        <v>0.1</v>
      </c>
      <c r="G1303" s="34" t="s">
        <v>100</v>
      </c>
      <c r="H1303" s="34" t="s">
        <v>39</v>
      </c>
      <c r="I1303" s="39">
        <v>8000</v>
      </c>
      <c r="J1303" s="39">
        <v>8000</v>
      </c>
      <c r="K1303" s="39">
        <v>8000</v>
      </c>
      <c r="L1303" s="60" t="str">
        <f>HYPERLINK("https://www.sds-group.ru/product/samorez-gipsokarton-metall-3-5h45-mm-upakovka-postavschika-8000-sht-up-kranz-1143-3545-1/", "Инфо")</f>
        <v>Инфо</v>
      </c>
      <c r="M1303" s="37">
        <v>2E-3</v>
      </c>
      <c r="N1303" s="38">
        <v>1.9999999999999999E-6</v>
      </c>
      <c r="O1303" s="141">
        <v>2000604393728</v>
      </c>
    </row>
    <row r="1304" spans="1:15" s="1" customFormat="1" ht="11.45" customHeight="1" outlineLevel="3" x14ac:dyDescent="0.2">
      <c r="A1304" s="32" t="s">
        <v>12660</v>
      </c>
      <c r="B1304" s="74" t="s">
        <v>12661</v>
      </c>
      <c r="C1304" s="50"/>
      <c r="D1304" s="139">
        <f t="shared" si="20"/>
        <v>0</v>
      </c>
      <c r="E1304" s="140">
        <v>0.19</v>
      </c>
      <c r="F1304" s="140">
        <v>0.16</v>
      </c>
      <c r="G1304" s="34" t="s">
        <v>100</v>
      </c>
      <c r="H1304" s="34" t="s">
        <v>39</v>
      </c>
      <c r="I1304" s="39">
        <v>5000</v>
      </c>
      <c r="J1304" s="39">
        <v>5000</v>
      </c>
      <c r="K1304" s="39">
        <v>5500</v>
      </c>
      <c r="L1304" s="60" t="str">
        <f>HYPERLINK("https://www.sds-group.ru/product/samorez-gipsokarton-metall-3-5h51-mm-upakovka-postavschika-5000-sht-up-kranz-1143-3551-1/", "Инфо")</f>
        <v>Инфо</v>
      </c>
      <c r="M1304" s="37">
        <v>2E-3</v>
      </c>
      <c r="N1304" s="38">
        <v>1.9999999999999999E-6</v>
      </c>
      <c r="O1304" s="141">
        <v>2000604399058</v>
      </c>
    </row>
    <row r="1305" spans="1:15" s="1" customFormat="1" ht="11.45" customHeight="1" outlineLevel="3" x14ac:dyDescent="0.2">
      <c r="A1305" s="32" t="s">
        <v>12662</v>
      </c>
      <c r="B1305" s="74" t="s">
        <v>12663</v>
      </c>
      <c r="C1305" s="50"/>
      <c r="D1305" s="139">
        <f t="shared" si="20"/>
        <v>0</v>
      </c>
      <c r="E1305" s="140">
        <v>0.18</v>
      </c>
      <c r="F1305" s="140">
        <v>0.15</v>
      </c>
      <c r="G1305" s="34" t="s">
        <v>100</v>
      </c>
      <c r="H1305" s="34" t="s">
        <v>39</v>
      </c>
      <c r="I1305" s="39">
        <v>4000</v>
      </c>
      <c r="J1305" s="39">
        <v>4000</v>
      </c>
      <c r="K1305" s="39">
        <v>4000</v>
      </c>
      <c r="L1305" s="60" t="str">
        <f>HYPERLINK("https://www.sds-group.ru/product/samorez-gipsokarton-metall-3-5h55-mm-upakovka-postavschika-4000-sht-up-kranz-1143-3555-1/", "Инфо")</f>
        <v>Инфо</v>
      </c>
      <c r="M1305" s="37">
        <v>2E-3</v>
      </c>
      <c r="N1305" s="38">
        <v>3.0000000000000001E-6</v>
      </c>
      <c r="O1305" s="141">
        <v>2000604394756</v>
      </c>
    </row>
    <row r="1306" spans="1:15" s="1" customFormat="1" ht="11.45" customHeight="1" outlineLevel="3" x14ac:dyDescent="0.2">
      <c r="A1306" s="32" t="s">
        <v>12664</v>
      </c>
      <c r="B1306" s="74" t="s">
        <v>12665</v>
      </c>
      <c r="C1306" s="50"/>
      <c r="D1306" s="139">
        <f t="shared" si="20"/>
        <v>0</v>
      </c>
      <c r="E1306" s="140">
        <v>0.28999999999999998</v>
      </c>
      <c r="F1306" s="140">
        <v>0.24</v>
      </c>
      <c r="G1306" s="34" t="s">
        <v>100</v>
      </c>
      <c r="H1306" s="34" t="s">
        <v>39</v>
      </c>
      <c r="I1306" s="39">
        <v>2000</v>
      </c>
      <c r="J1306" s="39">
        <v>2000</v>
      </c>
      <c r="K1306" s="39">
        <v>2000</v>
      </c>
      <c r="L1306" s="60" t="str">
        <f>HYPERLINK("https://www.sds-group.ru/product/samorez-gipsokarton-metall-4-2h75-mm-upakovka-postavschika-2000-sht-up-kranz-1143-4275-1/", "Инфо")</f>
        <v>Инфо</v>
      </c>
      <c r="M1306" s="37">
        <v>4.0000000000000001E-3</v>
      </c>
      <c r="N1306" s="38">
        <v>6.9999999999999999E-6</v>
      </c>
      <c r="O1306" s="141">
        <v>2000604394763</v>
      </c>
    </row>
    <row r="1307" spans="1:15" s="1" customFormat="1" ht="11.45" customHeight="1" outlineLevel="3" x14ac:dyDescent="0.2">
      <c r="A1307" s="32" t="s">
        <v>12666</v>
      </c>
      <c r="B1307" s="74" t="s">
        <v>12667</v>
      </c>
      <c r="C1307" s="50"/>
      <c r="D1307" s="139">
        <f t="shared" si="20"/>
        <v>0</v>
      </c>
      <c r="E1307" s="140">
        <v>0.24</v>
      </c>
      <c r="F1307" s="140">
        <v>0.2</v>
      </c>
      <c r="G1307" s="34" t="s">
        <v>100</v>
      </c>
      <c r="H1307" s="34" t="s">
        <v>39</v>
      </c>
      <c r="I1307" s="39">
        <v>6000</v>
      </c>
      <c r="J1307" s="39">
        <v>6000</v>
      </c>
      <c r="K1307" s="39">
        <v>6000</v>
      </c>
      <c r="L1307" s="60" t="str">
        <f>HYPERLINK("https://www.sds-group.ru/product/samorez-s-pressshayboy-kranz-pshs-sverlo-4-2h32-upakovka-postavschika-6-000-sht-1182-4232-1/", "Инфо")</f>
        <v>Инфо</v>
      </c>
      <c r="M1307" s="37">
        <v>2E-3</v>
      </c>
      <c r="N1307" s="38">
        <v>1.9999999999999999E-6</v>
      </c>
      <c r="O1307" s="141">
        <v>2000604394862</v>
      </c>
    </row>
    <row r="1308" spans="1:15" s="1" customFormat="1" ht="11.45" customHeight="1" outlineLevel="3" x14ac:dyDescent="0.2">
      <c r="A1308" s="32" t="s">
        <v>12668</v>
      </c>
      <c r="B1308" s="74" t="s">
        <v>12669</v>
      </c>
      <c r="C1308" s="50"/>
      <c r="D1308" s="139">
        <f t="shared" si="20"/>
        <v>0</v>
      </c>
      <c r="E1308" s="140">
        <v>0.31</v>
      </c>
      <c r="F1308" s="140">
        <v>0.25</v>
      </c>
      <c r="G1308" s="34" t="s">
        <v>100</v>
      </c>
      <c r="H1308" s="34" t="s">
        <v>39</v>
      </c>
      <c r="I1308" s="39">
        <v>3000</v>
      </c>
      <c r="J1308" s="39">
        <v>3000</v>
      </c>
      <c r="K1308" s="39">
        <v>3000</v>
      </c>
      <c r="L1308" s="60" t="str">
        <f>HYPERLINK("https://www.sds-group.ru/product/samorez-s-pressshayboy-kranz-pshs-sverlo-4-2h50-upakovka-postavschika-3-000-sht-1182-4250-1/", "Инфо")</f>
        <v>Инфо</v>
      </c>
      <c r="M1308" s="37">
        <v>4.0000000000000001E-3</v>
      </c>
      <c r="N1308" s="38">
        <v>3.9999999999999998E-6</v>
      </c>
      <c r="O1308" s="141">
        <v>2000604394879</v>
      </c>
    </row>
    <row r="1309" spans="1:15" s="1" customFormat="1" ht="11.45" customHeight="1" outlineLevel="3" x14ac:dyDescent="0.2">
      <c r="A1309" s="32" t="s">
        <v>12670</v>
      </c>
      <c r="B1309" s="74" t="s">
        <v>12671</v>
      </c>
      <c r="C1309" s="50"/>
      <c r="D1309" s="139">
        <f t="shared" si="20"/>
        <v>0</v>
      </c>
      <c r="E1309" s="140">
        <v>0.11</v>
      </c>
      <c r="F1309" s="140">
        <v>0.09</v>
      </c>
      <c r="G1309" s="34" t="s">
        <v>100</v>
      </c>
      <c r="H1309" s="34" t="s">
        <v>39</v>
      </c>
      <c r="I1309" s="39">
        <v>12000</v>
      </c>
      <c r="J1309" s="39">
        <v>12000</v>
      </c>
      <c r="K1309" s="39">
        <v>12000</v>
      </c>
      <c r="L1309" s="60" t="str">
        <f>HYPERLINK("https://www.sds-group.ru/product/samorez-universalnyy-3-5h40-mm-zheltyy-tsink-upakovka-postavschika-12000-sht-up-kranz-1111-3540-1/", "Инфо")</f>
        <v>Инфо</v>
      </c>
      <c r="M1309" s="37">
        <v>1E-3</v>
      </c>
      <c r="N1309" s="38">
        <v>9.9999999999999995E-7</v>
      </c>
      <c r="O1309" s="141">
        <v>2000604394534</v>
      </c>
    </row>
    <row r="1310" spans="1:15" s="1" customFormat="1" ht="11.45" customHeight="1" outlineLevel="3" x14ac:dyDescent="0.2">
      <c r="A1310" s="32" t="s">
        <v>12672</v>
      </c>
      <c r="B1310" s="74" t="s">
        <v>12673</v>
      </c>
      <c r="C1310" s="50"/>
      <c r="D1310" s="139">
        <f t="shared" si="20"/>
        <v>0</v>
      </c>
      <c r="E1310" s="140">
        <v>0.05</v>
      </c>
      <c r="F1310" s="140">
        <v>0.04</v>
      </c>
      <c r="G1310" s="34" t="s">
        <v>100</v>
      </c>
      <c r="H1310" s="34" t="s">
        <v>39</v>
      </c>
      <c r="I1310" s="39">
        <v>32000</v>
      </c>
      <c r="J1310" s="39">
        <v>32000</v>
      </c>
      <c r="K1310" s="39">
        <v>32000</v>
      </c>
      <c r="L1310" s="60" t="str">
        <f>HYPERLINK("https://www.sds-group.ru/product/samorez-universalnyy-3h20-mm-zheltyy-tsink-upakovka-postavschika-32000-sht-up-kranz-1111-0320-1/", "Инфо")</f>
        <v>Инфо</v>
      </c>
      <c r="M1310" s="37">
        <v>1E-3</v>
      </c>
      <c r="N1310" s="38">
        <v>0</v>
      </c>
      <c r="O1310" s="141">
        <v>2000604394558</v>
      </c>
    </row>
    <row r="1311" spans="1:15" s="1" customFormat="1" ht="11.45" customHeight="1" outlineLevel="3" x14ac:dyDescent="0.2">
      <c r="A1311" s="32" t="s">
        <v>12674</v>
      </c>
      <c r="B1311" s="74" t="s">
        <v>12675</v>
      </c>
      <c r="C1311" s="50"/>
      <c r="D1311" s="139">
        <f t="shared" si="20"/>
        <v>0</v>
      </c>
      <c r="E1311" s="140">
        <v>0.05</v>
      </c>
      <c r="F1311" s="140">
        <v>0.04</v>
      </c>
      <c r="G1311" s="34" t="s">
        <v>100</v>
      </c>
      <c r="H1311" s="34" t="s">
        <v>39</v>
      </c>
      <c r="I1311" s="39">
        <v>24000</v>
      </c>
      <c r="J1311" s="39">
        <v>24000</v>
      </c>
      <c r="K1311" s="39">
        <v>24000</v>
      </c>
      <c r="L1311" s="60" t="str">
        <f>HYPERLINK("https://www.sds-group.ru/product/samorez-universalnyy-3h25-mm-zheltyy-tsink-upakovka-postavschika-24000-sht-up-kranz-1111-0325-1/", "Инфо")</f>
        <v>Инфо</v>
      </c>
      <c r="M1311" s="37">
        <v>1E-3</v>
      </c>
      <c r="N1311" s="38">
        <v>9.9999999999999995E-7</v>
      </c>
      <c r="O1311" s="141">
        <v>2000604394565</v>
      </c>
    </row>
    <row r="1312" spans="1:15" s="1" customFormat="1" ht="11.45" customHeight="1" outlineLevel="3" x14ac:dyDescent="0.2">
      <c r="A1312" s="32" t="s">
        <v>12676</v>
      </c>
      <c r="B1312" s="74" t="s">
        <v>12677</v>
      </c>
      <c r="C1312" s="50"/>
      <c r="D1312" s="139">
        <f t="shared" si="20"/>
        <v>0</v>
      </c>
      <c r="E1312" s="140">
        <v>0.09</v>
      </c>
      <c r="F1312" s="140">
        <v>7.0000000000000007E-2</v>
      </c>
      <c r="G1312" s="34" t="s">
        <v>100</v>
      </c>
      <c r="H1312" s="34" t="s">
        <v>39</v>
      </c>
      <c r="I1312" s="39">
        <v>16000</v>
      </c>
      <c r="J1312" s="39">
        <v>16000</v>
      </c>
      <c r="K1312" s="39">
        <v>16000</v>
      </c>
      <c r="L1312" s="60" t="str">
        <f>HYPERLINK("https://www.sds-group.ru/product/samorez-universalnyy-3h30-mm-zheltyy-tsink-upakovka-postavschika-16000-sht-up-kranz-1111-0330-1/", "Инфо")</f>
        <v>Инфо</v>
      </c>
      <c r="M1312" s="37">
        <v>1E-3</v>
      </c>
      <c r="N1312" s="38">
        <v>3.0000000000000001E-6</v>
      </c>
      <c r="O1312" s="141">
        <v>2000604394572</v>
      </c>
    </row>
    <row r="1313" spans="1:15" s="1" customFormat="1" ht="11.45" customHeight="1" outlineLevel="3" x14ac:dyDescent="0.2">
      <c r="A1313" s="32" t="s">
        <v>12678</v>
      </c>
      <c r="B1313" s="74" t="s">
        <v>12679</v>
      </c>
      <c r="C1313" s="50"/>
      <c r="D1313" s="139">
        <f t="shared" si="20"/>
        <v>0</v>
      </c>
      <c r="E1313" s="140">
        <v>0.08</v>
      </c>
      <c r="F1313" s="140">
        <v>7.0000000000000007E-2</v>
      </c>
      <c r="G1313" s="34" t="s">
        <v>100</v>
      </c>
      <c r="H1313" s="34" t="s">
        <v>39</v>
      </c>
      <c r="I1313" s="39">
        <v>16000</v>
      </c>
      <c r="J1313" s="39">
        <v>16000</v>
      </c>
      <c r="K1313" s="39">
        <v>16000</v>
      </c>
      <c r="L1313" s="60" t="str">
        <f>HYPERLINK("https://www.sds-group.ru/product/samorez-universalnyy-3h35-mm-zheltyy-tsink-upakovka-postavschika-16000-sht-up-kranz-1111-0335-1/", "Инфо")</f>
        <v>Инфо</v>
      </c>
      <c r="M1313" s="37">
        <v>1E-3</v>
      </c>
      <c r="N1313" s="38">
        <v>9.9999999999999995E-7</v>
      </c>
      <c r="O1313" s="141">
        <v>2000604394589</v>
      </c>
    </row>
    <row r="1314" spans="1:15" s="1" customFormat="1" ht="11.45" customHeight="1" outlineLevel="3" x14ac:dyDescent="0.2">
      <c r="A1314" s="32" t="s">
        <v>12680</v>
      </c>
      <c r="B1314" s="74" t="s">
        <v>12681</v>
      </c>
      <c r="C1314" s="50"/>
      <c r="D1314" s="139">
        <f t="shared" si="20"/>
        <v>0</v>
      </c>
      <c r="E1314" s="140">
        <v>0.16</v>
      </c>
      <c r="F1314" s="140">
        <v>0.13</v>
      </c>
      <c r="G1314" s="34" t="s">
        <v>100</v>
      </c>
      <c r="H1314" s="34" t="s">
        <v>39</v>
      </c>
      <c r="I1314" s="39">
        <v>12000</v>
      </c>
      <c r="J1314" s="39">
        <v>12000</v>
      </c>
      <c r="K1314" s="39">
        <v>12000</v>
      </c>
      <c r="L1314" s="60" t="str">
        <f>HYPERLINK("https://www.sds-group.ru/product/samorez-universalnyy-4h35-mm-zheltyy-tsink-upakovka-postavschika-12000-sht-up-kranz-1111-0435-1/", "Инфо")</f>
        <v>Инфо</v>
      </c>
      <c r="M1314" s="37">
        <v>2E-3</v>
      </c>
      <c r="N1314" s="38">
        <v>1.9999999999999999E-6</v>
      </c>
      <c r="O1314" s="141">
        <v>2000604394633</v>
      </c>
    </row>
    <row r="1315" spans="1:15" s="1" customFormat="1" ht="11.45" customHeight="1" outlineLevel="3" x14ac:dyDescent="0.2">
      <c r="A1315" s="32" t="s">
        <v>12682</v>
      </c>
      <c r="B1315" s="74" t="s">
        <v>12683</v>
      </c>
      <c r="C1315" s="50"/>
      <c r="D1315" s="139">
        <f t="shared" si="20"/>
        <v>0</v>
      </c>
      <c r="E1315" s="140">
        <v>0.19</v>
      </c>
      <c r="F1315" s="140">
        <v>0.16</v>
      </c>
      <c r="G1315" s="34" t="s">
        <v>100</v>
      </c>
      <c r="H1315" s="34" t="s">
        <v>39</v>
      </c>
      <c r="I1315" s="39">
        <v>6000</v>
      </c>
      <c r="J1315" s="39">
        <v>6000</v>
      </c>
      <c r="K1315" s="39">
        <v>6000</v>
      </c>
      <c r="L1315" s="60" t="str">
        <f>HYPERLINK("https://www.sds-group.ru/product/samorez-universalnyy-4h50-mm-zheltyy-tsink-upakovka-postavschika-6000-sht-up-kranz-1111-0450-1/", "Инфо")</f>
        <v>Инфо</v>
      </c>
      <c r="M1315" s="37">
        <v>2E-3</v>
      </c>
      <c r="N1315" s="38">
        <v>1.9999999999999999E-6</v>
      </c>
      <c r="O1315" s="141">
        <v>2000604394657</v>
      </c>
    </row>
    <row r="1316" spans="1:15" s="1" customFormat="1" ht="11.45" customHeight="1" outlineLevel="3" x14ac:dyDescent="0.2">
      <c r="A1316" s="32" t="s">
        <v>12684</v>
      </c>
      <c r="B1316" s="74" t="s">
        <v>12685</v>
      </c>
      <c r="C1316" s="50"/>
      <c r="D1316" s="139">
        <f t="shared" si="20"/>
        <v>0</v>
      </c>
      <c r="E1316" s="140">
        <v>0.4</v>
      </c>
      <c r="F1316" s="140">
        <v>0.33</v>
      </c>
      <c r="G1316" s="34" t="s">
        <v>100</v>
      </c>
      <c r="H1316" s="34" t="s">
        <v>39</v>
      </c>
      <c r="I1316" s="39">
        <v>6000</v>
      </c>
      <c r="J1316" s="39">
        <v>6000</v>
      </c>
      <c r="K1316" s="39">
        <v>6000</v>
      </c>
      <c r="L1316" s="60" t="str">
        <f>HYPERLINK("https://www.sds-group.ru/product/samorez-universalnyy-5h40-mm-zheltyy-tsink-upakovka-postavschika-6000-sht-up-kranz-1111-0540-1/", "Инфо")</f>
        <v>Инфо</v>
      </c>
      <c r="M1316" s="37">
        <v>3.0000000000000001E-3</v>
      </c>
      <c r="N1316" s="38">
        <v>1.9999999999999999E-6</v>
      </c>
      <c r="O1316" s="141">
        <v>2000604394664</v>
      </c>
    </row>
    <row r="1317" spans="1:15" s="1" customFormat="1" ht="11.45" customHeight="1" outlineLevel="3" x14ac:dyDescent="0.2">
      <c r="A1317" s="32" t="s">
        <v>12687</v>
      </c>
      <c r="B1317" s="74" t="s">
        <v>12688</v>
      </c>
      <c r="C1317" s="50"/>
      <c r="D1317" s="139">
        <f t="shared" si="20"/>
        <v>0</v>
      </c>
      <c r="E1317" s="140">
        <v>0.34</v>
      </c>
      <c r="F1317" s="140">
        <v>0.28000000000000003</v>
      </c>
      <c r="G1317" s="34" t="s">
        <v>100</v>
      </c>
      <c r="H1317" s="34" t="s">
        <v>39</v>
      </c>
      <c r="I1317" s="39">
        <v>4800</v>
      </c>
      <c r="J1317" s="39">
        <v>4800</v>
      </c>
      <c r="K1317" s="39">
        <v>4800</v>
      </c>
      <c r="L1317" s="60" t="str">
        <f>HYPERLINK("https://www.sds-group.ru/product/samorez-universalnyy-5h60-mm-zheltyy-tsink-upakovka-postavschika-4800-sht-up-kranz-1111-0560-1/", "Инфо")</f>
        <v>Инфо</v>
      </c>
      <c r="M1317" s="37">
        <v>5.0000000000000001E-3</v>
      </c>
      <c r="N1317" s="38">
        <v>3.9999999999999998E-6</v>
      </c>
      <c r="O1317" s="141">
        <v>2000604394688</v>
      </c>
    </row>
    <row r="1318" spans="1:15" ht="11.45" customHeight="1" outlineLevel="2" x14ac:dyDescent="0.2">
      <c r="A1318" s="76" t="s">
        <v>12690</v>
      </c>
      <c r="B1318" s="136"/>
      <c r="C1318" s="77"/>
      <c r="D1318" s="137"/>
      <c r="E1318" s="4"/>
      <c r="F1318" s="4"/>
      <c r="G1318" s="4"/>
      <c r="H1318" s="4"/>
      <c r="I1318" s="4"/>
      <c r="J1318" s="4"/>
      <c r="K1318" s="4"/>
      <c r="L1318" s="138"/>
      <c r="M1318" s="4"/>
      <c r="N1318" s="4"/>
      <c r="O1318" s="4"/>
    </row>
    <row r="1319" spans="1:15" s="1" customFormat="1" ht="11.45" customHeight="1" outlineLevel="3" x14ac:dyDescent="0.2">
      <c r="A1319" s="32" t="s">
        <v>12691</v>
      </c>
      <c r="B1319" s="74" t="s">
        <v>12692</v>
      </c>
      <c r="C1319" s="50"/>
      <c r="D1319" s="139">
        <f t="shared" si="20"/>
        <v>0</v>
      </c>
      <c r="E1319" s="140">
        <v>3.02</v>
      </c>
      <c r="F1319" s="140">
        <v>2.48</v>
      </c>
      <c r="G1319" s="34" t="s">
        <v>100</v>
      </c>
      <c r="H1319" s="34" t="s">
        <v>39</v>
      </c>
      <c r="I1319" s="35">
        <v>452</v>
      </c>
      <c r="J1319" s="35">
        <v>452</v>
      </c>
      <c r="K1319" s="35">
        <v>452</v>
      </c>
      <c r="L1319" s="60" t="str">
        <f>HYPERLINK("https://www.sds-group.ru/product/bolt-mebelnyy-kranz-din-603-10h60-upakovka-postavschika-20-kg-452-sht-1301-1060-1/", "Инфо")</f>
        <v>Инфо</v>
      </c>
      <c r="M1319" s="37">
        <v>0.04</v>
      </c>
      <c r="N1319" s="38">
        <v>2.1999999999999999E-5</v>
      </c>
      <c r="O1319" s="141">
        <v>2000604394923</v>
      </c>
    </row>
    <row r="1320" spans="1:15" s="1" customFormat="1" ht="11.45" customHeight="1" outlineLevel="3" x14ac:dyDescent="0.2">
      <c r="A1320" s="32" t="s">
        <v>12693</v>
      </c>
      <c r="B1320" s="74" t="s">
        <v>12694</v>
      </c>
      <c r="C1320" s="50"/>
      <c r="D1320" s="139">
        <f t="shared" si="20"/>
        <v>0</v>
      </c>
      <c r="E1320" s="140">
        <v>1.1399999999999999</v>
      </c>
      <c r="F1320" s="140">
        <v>0.93</v>
      </c>
      <c r="G1320" s="34" t="s">
        <v>100</v>
      </c>
      <c r="H1320" s="34" t="s">
        <v>39</v>
      </c>
      <c r="I1320" s="35">
        <v>700</v>
      </c>
      <c r="J1320" s="35">
        <v>700</v>
      </c>
      <c r="K1320" s="35">
        <v>700</v>
      </c>
      <c r="L1320" s="60" t="str">
        <f>HYPERLINK("https://www.sds-group.ru/product/bolt-shestigrannyy-kranz-din-933-10h45-upakovka-postavschika-24-kg-700-sht-1302-1045-1/", "Инфо")</f>
        <v>Инфо</v>
      </c>
      <c r="M1320" s="37">
        <v>3.3000000000000002E-2</v>
      </c>
      <c r="N1320" s="38">
        <v>1.2999999999999999E-5</v>
      </c>
      <c r="O1320" s="141">
        <v>2000604395104</v>
      </c>
    </row>
    <row r="1321" spans="1:15" s="1" customFormat="1" ht="11.45" customHeight="1" outlineLevel="3" x14ac:dyDescent="0.2">
      <c r="A1321" s="32" t="s">
        <v>12695</v>
      </c>
      <c r="B1321" s="74" t="s">
        <v>12696</v>
      </c>
      <c r="C1321" s="50"/>
      <c r="D1321" s="139">
        <f t="shared" si="20"/>
        <v>0</v>
      </c>
      <c r="E1321" s="140">
        <v>12.77</v>
      </c>
      <c r="F1321" s="140">
        <v>10.47</v>
      </c>
      <c r="G1321" s="34" t="s">
        <v>100</v>
      </c>
      <c r="H1321" s="34" t="s">
        <v>39</v>
      </c>
      <c r="I1321" s="35">
        <v>150</v>
      </c>
      <c r="J1321" s="35">
        <v>150</v>
      </c>
      <c r="K1321" s="35">
        <v>150</v>
      </c>
      <c r="L1321" s="60" t="str">
        <f>HYPERLINK("https://www.sds-group.ru/product/bolt-shestigrannyy-kranz-din-933-16h90-upakovka-postavschika-24-kg-150-sht-1302-1690-1/", "Инфо")</f>
        <v>Инфо</v>
      </c>
      <c r="M1321" s="37">
        <v>0.152</v>
      </c>
      <c r="N1321" s="38">
        <v>6.6000000000000005E-5</v>
      </c>
      <c r="O1321" s="141">
        <v>2000604395159</v>
      </c>
    </row>
    <row r="1322" spans="1:15" s="1" customFormat="1" ht="11.45" customHeight="1" outlineLevel="3" x14ac:dyDescent="0.2">
      <c r="A1322" s="32" t="s">
        <v>12697</v>
      </c>
      <c r="B1322" s="74" t="s">
        <v>12698</v>
      </c>
      <c r="C1322" s="50"/>
      <c r="D1322" s="139">
        <f t="shared" si="20"/>
        <v>0</v>
      </c>
      <c r="E1322" s="140">
        <v>0.77</v>
      </c>
      <c r="F1322" s="140">
        <v>0.63</v>
      </c>
      <c r="G1322" s="34" t="s">
        <v>100</v>
      </c>
      <c r="H1322" s="34" t="s">
        <v>39</v>
      </c>
      <c r="I1322" s="39">
        <v>2500</v>
      </c>
      <c r="J1322" s="39">
        <v>2500</v>
      </c>
      <c r="K1322" s="39">
        <v>2500</v>
      </c>
      <c r="L1322" s="60" t="str">
        <f>HYPERLINK("https://www.sds-group.ru/product/bolt-shestigrannyy-kranz-din-933-6h40-upakovka-postavschika-24-kg-2-500-sht-1302-0640-1/", "Инфо")</f>
        <v>Инфо</v>
      </c>
      <c r="M1322" s="37">
        <v>8.9999999999999993E-3</v>
      </c>
      <c r="N1322" s="38">
        <v>3.9999999999999998E-6</v>
      </c>
      <c r="O1322" s="141">
        <v>2000604395173</v>
      </c>
    </row>
    <row r="1323" spans="1:15" s="1" customFormat="1" ht="11.45" customHeight="1" outlineLevel="3" x14ac:dyDescent="0.2">
      <c r="A1323" s="32" t="s">
        <v>12699</v>
      </c>
      <c r="B1323" s="74" t="s">
        <v>12700</v>
      </c>
      <c r="C1323" s="50"/>
      <c r="D1323" s="139">
        <f t="shared" si="20"/>
        <v>0</v>
      </c>
      <c r="E1323" s="140">
        <v>0.82</v>
      </c>
      <c r="F1323" s="140">
        <v>0.67</v>
      </c>
      <c r="G1323" s="34" t="s">
        <v>100</v>
      </c>
      <c r="H1323" s="34" t="s">
        <v>39</v>
      </c>
      <c r="I1323" s="39">
        <v>2100</v>
      </c>
      <c r="J1323" s="39">
        <v>2100</v>
      </c>
      <c r="K1323" s="39">
        <v>2100</v>
      </c>
      <c r="L1323" s="60" t="str">
        <f>HYPERLINK("https://www.sds-group.ru/product/bolt-shestigrannyy-kranz-din-933-6h50-upakovka-postavschika-24-kg-2-100-sht-1302-0650-1/", "Инфо")</f>
        <v>Инфо</v>
      </c>
      <c r="M1323" s="37">
        <v>1.0999999999999999E-2</v>
      </c>
      <c r="N1323" s="38">
        <v>6.0000000000000002E-6</v>
      </c>
      <c r="O1323" s="141">
        <v>2000604395180</v>
      </c>
    </row>
    <row r="1324" spans="1:15" s="1" customFormat="1" ht="11.45" customHeight="1" outlineLevel="3" x14ac:dyDescent="0.2">
      <c r="A1324" s="32" t="s">
        <v>12701</v>
      </c>
      <c r="B1324" s="74" t="s">
        <v>12702</v>
      </c>
      <c r="C1324" s="50"/>
      <c r="D1324" s="139">
        <f t="shared" si="20"/>
        <v>0</v>
      </c>
      <c r="E1324" s="140">
        <v>1.34</v>
      </c>
      <c r="F1324" s="140">
        <v>1.1000000000000001</v>
      </c>
      <c r="G1324" s="34" t="s">
        <v>100</v>
      </c>
      <c r="H1324" s="34" t="s">
        <v>39</v>
      </c>
      <c r="I1324" s="35">
        <v>500</v>
      </c>
      <c r="J1324" s="35">
        <v>500</v>
      </c>
      <c r="K1324" s="35">
        <v>500</v>
      </c>
      <c r="L1324" s="60" t="str">
        <f>HYPERLINK("https://www.sds-group.ru/product/bolt-shestigrannyy-kranz-din-933-8h110-upakovka-postavschika-24-kg-500-sht-1302-0891-1/", "Инфо")</f>
        <v>Инфо</v>
      </c>
      <c r="M1324" s="37">
        <v>0.04</v>
      </c>
      <c r="N1324" s="38">
        <v>2.5999999999999998E-5</v>
      </c>
      <c r="O1324" s="141">
        <v>2000604395197</v>
      </c>
    </row>
    <row r="1325" spans="1:15" s="1" customFormat="1" ht="11.45" customHeight="1" outlineLevel="3" x14ac:dyDescent="0.2">
      <c r="A1325" s="32" t="s">
        <v>12703</v>
      </c>
      <c r="B1325" s="74" t="s">
        <v>12704</v>
      </c>
      <c r="C1325" s="50"/>
      <c r="D1325" s="139">
        <f t="shared" si="20"/>
        <v>0</v>
      </c>
      <c r="E1325" s="140">
        <v>1.64</v>
      </c>
      <c r="F1325" s="140">
        <v>1.34</v>
      </c>
      <c r="G1325" s="34" t="s">
        <v>100</v>
      </c>
      <c r="H1325" s="34" t="s">
        <v>39</v>
      </c>
      <c r="I1325" s="35">
        <v>350</v>
      </c>
      <c r="J1325" s="35">
        <v>350</v>
      </c>
      <c r="K1325" s="35">
        <v>350</v>
      </c>
      <c r="L1325" s="60" t="str">
        <f>HYPERLINK("https://www.sds-group.ru/product/bolt-shestigrannyy-kranz-din-933-8h200-upakovka-postavschika-24-kg-350-sht-1302-0893-1/", "Инфо")</f>
        <v>Инфо</v>
      </c>
      <c r="M1325" s="37">
        <v>6.6000000000000003E-2</v>
      </c>
      <c r="N1325" s="38">
        <v>3.3000000000000003E-5</v>
      </c>
      <c r="O1325" s="141">
        <v>2000604395210</v>
      </c>
    </row>
    <row r="1326" spans="1:15" s="1" customFormat="1" ht="11.45" customHeight="1" outlineLevel="3" x14ac:dyDescent="0.2">
      <c r="A1326" s="32" t="s">
        <v>12705</v>
      </c>
      <c r="B1326" s="74" t="s">
        <v>12706</v>
      </c>
      <c r="C1326" s="50"/>
      <c r="D1326" s="139">
        <f t="shared" si="20"/>
        <v>0</v>
      </c>
      <c r="E1326" s="140">
        <v>1.61</v>
      </c>
      <c r="F1326" s="140">
        <v>1.32</v>
      </c>
      <c r="G1326" s="34" t="s">
        <v>100</v>
      </c>
      <c r="H1326" s="34" t="s">
        <v>39</v>
      </c>
      <c r="I1326" s="39">
        <v>1100</v>
      </c>
      <c r="J1326" s="39">
        <v>1100</v>
      </c>
      <c r="K1326" s="39">
        <v>1100</v>
      </c>
      <c r="L1326" s="60" t="str">
        <f>HYPERLINK("https://www.sds-group.ru/product/bolt-shestigrannyy-kranz-din-933-8h45-upakovka-postavschika-24-kg-1-100-sht-1302-0845-1/", "Инфо")</f>
        <v>Инфо</v>
      </c>
      <c r="M1326" s="37">
        <v>0.02</v>
      </c>
      <c r="N1326" s="38">
        <v>7.9999999999999996E-6</v>
      </c>
      <c r="O1326" s="141">
        <v>2000604395234</v>
      </c>
    </row>
    <row r="1327" spans="1:15" s="1" customFormat="1" ht="11.45" customHeight="1" outlineLevel="3" x14ac:dyDescent="0.2">
      <c r="A1327" s="32" t="s">
        <v>12707</v>
      </c>
      <c r="B1327" s="74" t="s">
        <v>12708</v>
      </c>
      <c r="C1327" s="50"/>
      <c r="D1327" s="139">
        <f t="shared" si="20"/>
        <v>0</v>
      </c>
      <c r="E1327" s="140">
        <v>1.89</v>
      </c>
      <c r="F1327" s="140">
        <v>1.55</v>
      </c>
      <c r="G1327" s="34" t="s">
        <v>100</v>
      </c>
      <c r="H1327" s="34" t="s">
        <v>39</v>
      </c>
      <c r="I1327" s="39">
        <v>1100</v>
      </c>
      <c r="J1327" s="39">
        <v>1100</v>
      </c>
      <c r="K1327" s="39">
        <v>1100</v>
      </c>
      <c r="L1327" s="60" t="str">
        <f>HYPERLINK("https://www.sds-group.ru/product/bolt-shestigrannyy-kranz-din-933-8h50-upakovka-postavschika-24-kg-1-100-sht-1302-0850-1/", "Инфо")</f>
        <v>Инфо</v>
      </c>
      <c r="M1327" s="37">
        <v>2.1000000000000001E-2</v>
      </c>
      <c r="N1327" s="38">
        <v>9.0000000000000002E-6</v>
      </c>
      <c r="O1327" s="141">
        <v>2000604395241</v>
      </c>
    </row>
    <row r="1328" spans="1:15" s="1" customFormat="1" ht="11.45" customHeight="1" outlineLevel="3" x14ac:dyDescent="0.2">
      <c r="A1328" s="32" t="s">
        <v>12709</v>
      </c>
      <c r="B1328" s="74" t="s">
        <v>12710</v>
      </c>
      <c r="C1328" s="50"/>
      <c r="D1328" s="139">
        <f t="shared" si="20"/>
        <v>0</v>
      </c>
      <c r="E1328" s="140">
        <v>1.66</v>
      </c>
      <c r="F1328" s="140">
        <v>1.36</v>
      </c>
      <c r="G1328" s="34" t="s">
        <v>100</v>
      </c>
      <c r="H1328" s="34" t="s">
        <v>39</v>
      </c>
      <c r="I1328" s="35">
        <v>900</v>
      </c>
      <c r="J1328" s="35">
        <v>900</v>
      </c>
      <c r="K1328" s="35">
        <v>900</v>
      </c>
      <c r="L1328" s="60" t="str">
        <f>HYPERLINK("https://www.sds-group.ru/product/bolt-shestigrannyy-kranz-din-933-8h55-upakovka-postavschika-24-kg-900-sht-1302-0855-1/", "Инфо")</f>
        <v>Инфо</v>
      </c>
      <c r="M1328" s="37">
        <v>2.3E-2</v>
      </c>
      <c r="N1328" s="38">
        <v>1.1E-5</v>
      </c>
      <c r="O1328" s="141">
        <v>2000604395258</v>
      </c>
    </row>
    <row r="1329" spans="1:15" s="1" customFormat="1" ht="11.45" customHeight="1" outlineLevel="3" x14ac:dyDescent="0.2">
      <c r="A1329" s="32" t="s">
        <v>12711</v>
      </c>
      <c r="B1329" s="74" t="s">
        <v>12712</v>
      </c>
      <c r="C1329" s="50"/>
      <c r="D1329" s="139">
        <f t="shared" si="20"/>
        <v>0</v>
      </c>
      <c r="E1329" s="140">
        <v>1.1399999999999999</v>
      </c>
      <c r="F1329" s="140">
        <v>0.93</v>
      </c>
      <c r="G1329" s="34" t="s">
        <v>100</v>
      </c>
      <c r="H1329" s="34" t="s">
        <v>39</v>
      </c>
      <c r="I1329" s="35">
        <v>600</v>
      </c>
      <c r="J1329" s="35">
        <v>600</v>
      </c>
      <c r="K1329" s="35">
        <v>600</v>
      </c>
      <c r="L1329" s="60" t="str">
        <f>HYPERLINK("https://www.sds-group.ru/product/bolt-shestigrannyy-kranz-din-933-8h90-upakovka-postavschika-24-kg-600-sht-1302-0890-1/", "Инфо")</f>
        <v>Инфо</v>
      </c>
      <c r="M1329" s="37">
        <v>3.3000000000000002E-2</v>
      </c>
      <c r="N1329" s="38">
        <v>1.7E-5</v>
      </c>
      <c r="O1329" s="141">
        <v>2000604395289</v>
      </c>
    </row>
    <row r="1330" spans="1:15" s="1" customFormat="1" ht="11.45" customHeight="1" outlineLevel="3" x14ac:dyDescent="0.2">
      <c r="A1330" s="32" t="s">
        <v>12713</v>
      </c>
      <c r="B1330" s="74" t="s">
        <v>12714</v>
      </c>
      <c r="C1330" s="50"/>
      <c r="D1330" s="139">
        <f t="shared" si="20"/>
        <v>0</v>
      </c>
      <c r="E1330" s="140">
        <v>0.6</v>
      </c>
      <c r="F1330" s="140">
        <v>0.49</v>
      </c>
      <c r="G1330" s="34" t="s">
        <v>100</v>
      </c>
      <c r="H1330" s="34" t="s">
        <v>39</v>
      </c>
      <c r="I1330" s="39">
        <v>1600</v>
      </c>
      <c r="J1330" s="39">
        <v>1600</v>
      </c>
      <c r="K1330" s="39">
        <v>1600</v>
      </c>
      <c r="L1330" s="60" t="str">
        <f>HYPERLINK("https://www.sds-group.ru/product/gayka-shestigrannaya-kranz-din-934-m12-upakovka-postavschika-20-kg-1-600-sht-1304-0012-1/", "Инфо")</f>
        <v>Инфо</v>
      </c>
      <c r="M1330" s="37">
        <v>1.4E-2</v>
      </c>
      <c r="N1330" s="38">
        <v>6.0000000000000002E-6</v>
      </c>
      <c r="O1330" s="141">
        <v>2000604395340</v>
      </c>
    </row>
    <row r="1331" spans="1:15" s="1" customFormat="1" ht="11.45" customHeight="1" outlineLevel="3" x14ac:dyDescent="0.2">
      <c r="A1331" s="32" t="s">
        <v>12715</v>
      </c>
      <c r="B1331" s="74" t="s">
        <v>12716</v>
      </c>
      <c r="C1331" s="50"/>
      <c r="D1331" s="139">
        <f t="shared" si="20"/>
        <v>0</v>
      </c>
      <c r="E1331" s="140">
        <v>1.05</v>
      </c>
      <c r="F1331" s="140">
        <v>0.86</v>
      </c>
      <c r="G1331" s="34" t="s">
        <v>100</v>
      </c>
      <c r="H1331" s="34" t="s">
        <v>39</v>
      </c>
      <c r="I1331" s="39">
        <v>1000</v>
      </c>
      <c r="J1331" s="39">
        <v>1000</v>
      </c>
      <c r="K1331" s="39">
        <v>1000</v>
      </c>
      <c r="L1331" s="60" t="str">
        <f>HYPERLINK("https://www.sds-group.ru/product/shayba-uvelichennaya-din-9021-m12-upakovka-postavschika-20-5-kg-1000-sht-kranz-1308-0012-1/", "Инфо")</f>
        <v>Инфо</v>
      </c>
      <c r="M1331" s="37">
        <v>0.02</v>
      </c>
      <c r="N1331" s="38">
        <v>1.2E-5</v>
      </c>
      <c r="O1331" s="141">
        <v>2000604395517</v>
      </c>
    </row>
    <row r="1332" spans="1:15" ht="11.45" customHeight="1" x14ac:dyDescent="0.2">
      <c r="A1332" s="80" t="s">
        <v>12717</v>
      </c>
      <c r="B1332" s="128"/>
      <c r="C1332" s="81"/>
      <c r="D1332" s="129"/>
      <c r="E1332" s="130"/>
      <c r="F1332" s="130"/>
      <c r="G1332" s="130"/>
      <c r="H1332" s="130"/>
      <c r="I1332" s="130"/>
      <c r="J1332" s="130"/>
      <c r="K1332" s="130"/>
      <c r="L1332" s="131"/>
      <c r="M1332" s="130"/>
      <c r="N1332" s="130"/>
      <c r="O1332" s="130"/>
    </row>
    <row r="1333" spans="1:15" ht="11.45" customHeight="1" outlineLevel="1" x14ac:dyDescent="0.2">
      <c r="A1333" s="78" t="s">
        <v>12718</v>
      </c>
      <c r="B1333" s="132"/>
      <c r="C1333" s="79"/>
      <c r="D1333" s="133"/>
      <c r="E1333" s="134"/>
      <c r="F1333" s="134"/>
      <c r="G1333" s="134"/>
      <c r="H1333" s="134"/>
      <c r="I1333" s="134"/>
      <c r="J1333" s="134"/>
      <c r="K1333" s="134"/>
      <c r="L1333" s="135"/>
      <c r="M1333" s="134"/>
      <c r="N1333" s="134"/>
      <c r="O1333" s="134"/>
    </row>
    <row r="1334" spans="1:15" ht="11.45" customHeight="1" outlineLevel="2" x14ac:dyDescent="0.2">
      <c r="A1334" s="76" t="s">
        <v>12888</v>
      </c>
      <c r="B1334" s="136"/>
      <c r="C1334" s="77"/>
      <c r="D1334" s="137"/>
      <c r="E1334" s="4"/>
      <c r="F1334" s="4"/>
      <c r="G1334" s="4"/>
      <c r="H1334" s="4"/>
      <c r="I1334" s="4"/>
      <c r="J1334" s="4"/>
      <c r="K1334" s="4"/>
      <c r="L1334" s="138"/>
      <c r="M1334" s="4"/>
      <c r="N1334" s="4"/>
      <c r="O1334" s="4"/>
    </row>
    <row r="1335" spans="1:15" ht="11.45" customHeight="1" outlineLevel="3" x14ac:dyDescent="0.2">
      <c r="A1335" s="76" t="s">
        <v>12889</v>
      </c>
      <c r="B1335" s="136"/>
      <c r="C1335" s="77"/>
      <c r="D1335" s="137"/>
      <c r="E1335" s="4"/>
      <c r="F1335" s="4"/>
      <c r="G1335" s="4"/>
      <c r="H1335" s="4"/>
      <c r="I1335" s="4"/>
      <c r="J1335" s="4"/>
      <c r="K1335" s="4"/>
      <c r="L1335" s="138"/>
      <c r="M1335" s="4"/>
      <c r="N1335" s="4"/>
      <c r="O1335" s="4"/>
    </row>
    <row r="1336" spans="1:15" s="1" customFormat="1" ht="11.45" customHeight="1" outlineLevel="4" x14ac:dyDescent="0.2">
      <c r="A1336" s="32" t="s">
        <v>12890</v>
      </c>
      <c r="B1336" s="74" t="s">
        <v>12891</v>
      </c>
      <c r="C1336" s="50"/>
      <c r="D1336" s="139">
        <f t="shared" si="20"/>
        <v>0</v>
      </c>
      <c r="E1336" s="140">
        <v>51276.56</v>
      </c>
      <c r="F1336" s="140">
        <v>42029.97</v>
      </c>
      <c r="G1336" s="34" t="s">
        <v>100</v>
      </c>
      <c r="H1336" s="34" t="s">
        <v>1887</v>
      </c>
      <c r="I1336" s="35">
        <v>1</v>
      </c>
      <c r="J1336" s="35">
        <v>1</v>
      </c>
      <c r="K1336" s="35">
        <v>1</v>
      </c>
      <c r="L1336" s="60" t="str">
        <f>HYPERLINK("https://www.sds-group.ru/product/kabel-vitaya-para-f-utp-cat-5e-lszh-ng-a-hf-25pr-24awg-indoor-solid-seryy-305m-rf-rexant-01-1206-R/", "Инфо")</f>
        <v>Инфо</v>
      </c>
      <c r="M1336" s="37">
        <v>56.930999999999997</v>
      </c>
      <c r="N1336" s="38">
        <v>0.11147799999999999</v>
      </c>
      <c r="O1336" s="141">
        <v>4601004285835</v>
      </c>
    </row>
    <row r="1337" spans="1:15" ht="11.45" customHeight="1" outlineLevel="3" x14ac:dyDescent="0.2">
      <c r="A1337" s="76" t="s">
        <v>12904</v>
      </c>
      <c r="B1337" s="136"/>
      <c r="C1337" s="77"/>
      <c r="D1337" s="137"/>
      <c r="E1337" s="4"/>
      <c r="F1337" s="4"/>
      <c r="G1337" s="4"/>
      <c r="H1337" s="4"/>
      <c r="I1337" s="4"/>
      <c r="J1337" s="4"/>
      <c r="K1337" s="4"/>
      <c r="L1337" s="138"/>
      <c r="M1337" s="4"/>
      <c r="N1337" s="4"/>
      <c r="O1337" s="4"/>
    </row>
    <row r="1338" spans="1:15" s="1" customFormat="1" ht="11.45" customHeight="1" outlineLevel="4" x14ac:dyDescent="0.2">
      <c r="A1338" s="32" t="s">
        <v>12907</v>
      </c>
      <c r="B1338" s="74" t="s">
        <v>12908</v>
      </c>
      <c r="C1338" s="50"/>
      <c r="D1338" s="139">
        <f t="shared" si="20"/>
        <v>0</v>
      </c>
      <c r="E1338" s="140">
        <v>22528.83</v>
      </c>
      <c r="F1338" s="140">
        <v>18466.25</v>
      </c>
      <c r="G1338" s="34" t="s">
        <v>100</v>
      </c>
      <c r="H1338" s="34" t="s">
        <v>1887</v>
      </c>
      <c r="I1338" s="35">
        <v>1</v>
      </c>
      <c r="J1338" s="35">
        <v>1</v>
      </c>
      <c r="K1338" s="35">
        <v>1</v>
      </c>
      <c r="L1338" s="60" t="str">
        <f>HYPERLINK("https://www.sds-group.ru/product/kabel-vitaya-para-u-utp-cat-5-pe-10pr-24awg-outdoor-solid-cherniy-305m-rexant-441/", "Инфо")</f>
        <v>Инфо</v>
      </c>
      <c r="M1338" s="37">
        <v>19.542000000000002</v>
      </c>
      <c r="N1338" s="38">
        <v>4.9674000000000003E-2</v>
      </c>
      <c r="O1338" s="141">
        <v>4601004050464</v>
      </c>
    </row>
    <row r="1339" spans="1:15" s="1" customFormat="1" ht="11.45" customHeight="1" outlineLevel="4" x14ac:dyDescent="0.2">
      <c r="A1339" s="32" t="s">
        <v>12911</v>
      </c>
      <c r="B1339" s="74" t="s">
        <v>12912</v>
      </c>
      <c r="C1339" s="50"/>
      <c r="D1339" s="139">
        <f t="shared" si="20"/>
        <v>0</v>
      </c>
      <c r="E1339" s="140">
        <v>24526.83</v>
      </c>
      <c r="F1339" s="140">
        <v>20103.96</v>
      </c>
      <c r="G1339" s="34" t="s">
        <v>100</v>
      </c>
      <c r="H1339" s="34" t="s">
        <v>1887</v>
      </c>
      <c r="I1339" s="35">
        <v>1</v>
      </c>
      <c r="J1339" s="35">
        <v>1</v>
      </c>
      <c r="K1339" s="35">
        <v>1</v>
      </c>
      <c r="L1339" s="60" t="str">
        <f>HYPERLINK("https://www.sds-group.ru/product/kabel-vitaya-para-u-utp-cat-5e-pe-16pr-24awg-outdoor-solid-chernyy-305m-rf-rexant-01-1123-R/", "Инфо")</f>
        <v>Инфо</v>
      </c>
      <c r="M1339" s="37">
        <v>30.23</v>
      </c>
      <c r="N1339" s="38">
        <v>6.5896999999999997E-2</v>
      </c>
      <c r="O1339" s="141">
        <v>4601004296466</v>
      </c>
    </row>
    <row r="1340" spans="1:15" ht="11.45" customHeight="1" outlineLevel="1" x14ac:dyDescent="0.2">
      <c r="A1340" s="78" t="s">
        <v>13079</v>
      </c>
      <c r="B1340" s="132"/>
      <c r="C1340" s="79"/>
      <c r="D1340" s="133"/>
      <c r="E1340" s="134"/>
      <c r="F1340" s="134"/>
      <c r="G1340" s="134"/>
      <c r="H1340" s="134"/>
      <c r="I1340" s="134"/>
      <c r="J1340" s="134"/>
      <c r="K1340" s="134"/>
      <c r="L1340" s="135"/>
      <c r="M1340" s="134"/>
      <c r="N1340" s="134"/>
      <c r="O1340" s="134"/>
    </row>
    <row r="1341" spans="1:15" ht="11.45" customHeight="1" outlineLevel="2" x14ac:dyDescent="0.2">
      <c r="A1341" s="76" t="s">
        <v>13105</v>
      </c>
      <c r="B1341" s="136"/>
      <c r="C1341" s="77"/>
      <c r="D1341" s="137"/>
      <c r="E1341" s="4"/>
      <c r="F1341" s="4"/>
      <c r="G1341" s="4"/>
      <c r="H1341" s="4"/>
      <c r="I1341" s="4"/>
      <c r="J1341" s="4"/>
      <c r="K1341" s="4"/>
      <c r="L1341" s="138"/>
      <c r="M1341" s="4"/>
      <c r="N1341" s="4"/>
      <c r="O1341" s="4"/>
    </row>
    <row r="1342" spans="1:15" s="1" customFormat="1" ht="11.45" customHeight="1" outlineLevel="3" x14ac:dyDescent="0.2">
      <c r="A1342" s="32" t="s">
        <v>13110</v>
      </c>
      <c r="B1342" s="74" t="s">
        <v>13111</v>
      </c>
      <c r="C1342" s="50"/>
      <c r="D1342" s="139">
        <f t="shared" si="20"/>
        <v>0</v>
      </c>
      <c r="E1342" s="140">
        <v>42.59</v>
      </c>
      <c r="F1342" s="140">
        <v>34.909999999999997</v>
      </c>
      <c r="G1342" s="34" t="s">
        <v>100</v>
      </c>
      <c r="H1342" s="34" t="s">
        <v>39</v>
      </c>
      <c r="I1342" s="35">
        <v>1</v>
      </c>
      <c r="J1342" s="35">
        <v>1</v>
      </c>
      <c r="K1342" s="35">
        <v>100</v>
      </c>
      <c r="L1342" s="60" t="str">
        <f>HYPERLINK("https://www.sds-group.ru/product/korob-nakladnoy-dlya-litsevyh-paneley-80h80-pod-2-modulya-45h22-5-mosaic-03-0126/", "Инфо")</f>
        <v>Инфо</v>
      </c>
      <c r="M1342" s="37">
        <v>6.4000000000000001E-2</v>
      </c>
      <c r="N1342" s="38">
        <v>4.7600000000000002E-4</v>
      </c>
      <c r="O1342" s="141">
        <v>4601004275997</v>
      </c>
    </row>
    <row r="1343" spans="1:15" s="1" customFormat="1" ht="11.45" customHeight="1" outlineLevel="3" x14ac:dyDescent="0.2">
      <c r="A1343" s="32" t="s">
        <v>13114</v>
      </c>
      <c r="B1343" s="74" t="s">
        <v>13115</v>
      </c>
      <c r="C1343" s="50"/>
      <c r="D1343" s="139">
        <f t="shared" si="20"/>
        <v>0</v>
      </c>
      <c r="E1343" s="140">
        <v>53.31</v>
      </c>
      <c r="F1343" s="140">
        <v>43.7</v>
      </c>
      <c r="G1343" s="34" t="s">
        <v>100</v>
      </c>
      <c r="H1343" s="34" t="s">
        <v>39</v>
      </c>
      <c r="I1343" s="35">
        <v>1</v>
      </c>
      <c r="J1343" s="35">
        <v>1</v>
      </c>
      <c r="K1343" s="35">
        <v>500</v>
      </c>
      <c r="L1343" s="60" t="str">
        <f>HYPERLINK("https://www.sds-group.ru/product/panel-litsevaya-80h80-dlya-modulya-mosaic-plastikovyy-support-03-0131/", "Инфо")</f>
        <v>Инфо</v>
      </c>
      <c r="M1343" s="37">
        <v>2.7E-2</v>
      </c>
      <c r="N1343" s="38">
        <v>1.3899999999999999E-4</v>
      </c>
      <c r="O1343" s="141">
        <v>4601004276031</v>
      </c>
    </row>
    <row r="1344" spans="1:15" ht="11.45" customHeight="1" outlineLevel="1" x14ac:dyDescent="0.2">
      <c r="A1344" s="78" t="s">
        <v>13120</v>
      </c>
      <c r="B1344" s="132"/>
      <c r="C1344" s="79"/>
      <c r="D1344" s="133"/>
      <c r="E1344" s="134"/>
      <c r="F1344" s="134"/>
      <c r="G1344" s="134"/>
      <c r="H1344" s="134"/>
      <c r="I1344" s="134"/>
      <c r="J1344" s="134"/>
      <c r="K1344" s="134"/>
      <c r="L1344" s="135"/>
      <c r="M1344" s="134"/>
      <c r="N1344" s="134"/>
      <c r="O1344" s="134"/>
    </row>
    <row r="1345" spans="1:15" ht="11.45" customHeight="1" outlineLevel="2" x14ac:dyDescent="0.2">
      <c r="A1345" s="76" t="s">
        <v>13121</v>
      </c>
      <c r="B1345" s="136"/>
      <c r="C1345" s="77"/>
      <c r="D1345" s="137"/>
      <c r="E1345" s="4"/>
      <c r="F1345" s="4"/>
      <c r="G1345" s="4"/>
      <c r="H1345" s="4"/>
      <c r="I1345" s="4"/>
      <c r="J1345" s="4"/>
      <c r="K1345" s="4"/>
      <c r="L1345" s="138"/>
      <c r="M1345" s="4"/>
      <c r="N1345" s="4"/>
      <c r="O1345" s="4"/>
    </row>
    <row r="1346" spans="1:15" ht="11.45" customHeight="1" outlineLevel="3" x14ac:dyDescent="0.2">
      <c r="A1346" s="76" t="s">
        <v>13122</v>
      </c>
      <c r="B1346" s="136"/>
      <c r="C1346" s="77"/>
      <c r="D1346" s="137"/>
      <c r="E1346" s="4"/>
      <c r="F1346" s="4"/>
      <c r="G1346" s="4"/>
      <c r="H1346" s="4"/>
      <c r="I1346" s="4"/>
      <c r="J1346" s="4"/>
      <c r="K1346" s="4"/>
      <c r="L1346" s="138"/>
      <c r="M1346" s="4"/>
      <c r="N1346" s="4"/>
      <c r="O1346" s="4"/>
    </row>
    <row r="1347" spans="1:15" s="1" customFormat="1" ht="11.45" customHeight="1" outlineLevel="4" x14ac:dyDescent="0.2">
      <c r="A1347" s="32" t="s">
        <v>13161</v>
      </c>
      <c r="B1347" s="74" t="s">
        <v>13162</v>
      </c>
      <c r="C1347" s="50"/>
      <c r="D1347" s="139">
        <f t="shared" si="20"/>
        <v>0</v>
      </c>
      <c r="E1347" s="140">
        <v>116.55</v>
      </c>
      <c r="F1347" s="140">
        <v>95.53</v>
      </c>
      <c r="G1347" s="34" t="s">
        <v>100</v>
      </c>
      <c r="H1347" s="34" t="s">
        <v>39</v>
      </c>
      <c r="I1347" s="35">
        <v>10</v>
      </c>
      <c r="J1347" s="35">
        <v>10</v>
      </c>
      <c r="K1347" s="35">
        <v>200</v>
      </c>
      <c r="L1347" s="60" t="str">
        <f>HYPERLINK("https://www.sds-group.ru/product/patch-kord-u-utp-cat-5e-rj45-rj45-26awg-lszh-krasnyy-2m-rexant-02-0103-2/", "Инфо")</f>
        <v>Инфо</v>
      </c>
      <c r="M1347" s="37">
        <v>6.4000000000000001E-2</v>
      </c>
      <c r="N1347" s="38">
        <v>2.9700000000000001E-4</v>
      </c>
      <c r="O1347" s="141">
        <v>4601004228153</v>
      </c>
    </row>
    <row r="1348" spans="1:15" ht="11.45" customHeight="1" outlineLevel="2" x14ac:dyDescent="0.2">
      <c r="A1348" s="76" t="s">
        <v>13348</v>
      </c>
      <c r="B1348" s="136"/>
      <c r="C1348" s="77"/>
      <c r="D1348" s="137"/>
      <c r="E1348" s="4"/>
      <c r="F1348" s="4"/>
      <c r="G1348" s="4"/>
      <c r="H1348" s="4"/>
      <c r="I1348" s="4"/>
      <c r="J1348" s="4"/>
      <c r="K1348" s="4"/>
      <c r="L1348" s="138"/>
      <c r="M1348" s="4"/>
      <c r="N1348" s="4"/>
      <c r="O1348" s="4"/>
    </row>
    <row r="1349" spans="1:15" ht="11.45" customHeight="1" outlineLevel="3" x14ac:dyDescent="0.2">
      <c r="A1349" s="76" t="s">
        <v>13398</v>
      </c>
      <c r="B1349" s="136"/>
      <c r="C1349" s="77"/>
      <c r="D1349" s="137"/>
      <c r="E1349" s="4"/>
      <c r="F1349" s="4"/>
      <c r="G1349" s="4"/>
      <c r="H1349" s="4"/>
      <c r="I1349" s="4"/>
      <c r="J1349" s="4"/>
      <c r="K1349" s="4"/>
      <c r="L1349" s="138"/>
      <c r="M1349" s="4"/>
      <c r="N1349" s="4"/>
      <c r="O1349" s="4"/>
    </row>
    <row r="1350" spans="1:15" s="1" customFormat="1" ht="11.45" customHeight="1" outlineLevel="4" x14ac:dyDescent="0.2">
      <c r="A1350" s="32" t="s">
        <v>13399</v>
      </c>
      <c r="B1350" s="74" t="s">
        <v>13400</v>
      </c>
      <c r="C1350" s="50"/>
      <c r="D1350" s="139">
        <f t="shared" si="20"/>
        <v>0</v>
      </c>
      <c r="E1350" s="140">
        <v>88.04</v>
      </c>
      <c r="F1350" s="140">
        <v>72.16</v>
      </c>
      <c r="G1350" s="34" t="s">
        <v>100</v>
      </c>
      <c r="H1350" s="34" t="s">
        <v>39</v>
      </c>
      <c r="I1350" s="35">
        <v>1</v>
      </c>
      <c r="J1350" s="35">
        <v>1</v>
      </c>
      <c r="K1350" s="35">
        <v>250</v>
      </c>
      <c r="L1350" s="60" t="str">
        <f>HYPERLINK("https://www.sds-group.ru/product/shnur-kommutatsionnyy-patch-kord-f-utp-rj45-rj45-cat-6-lszh-seryy-1m-rexant-18-8102-1/", "Инфо")</f>
        <v>Инфо</v>
      </c>
      <c r="M1350" s="37">
        <v>3.7999999999999999E-2</v>
      </c>
      <c r="N1350" s="38">
        <v>1.65E-4</v>
      </c>
      <c r="O1350" s="141">
        <v>4601004135833</v>
      </c>
    </row>
    <row r="1351" spans="1:15" s="1" customFormat="1" ht="11.45" customHeight="1" outlineLevel="4" x14ac:dyDescent="0.2">
      <c r="A1351" s="32" t="s">
        <v>13401</v>
      </c>
      <c r="B1351" s="74" t="s">
        <v>13402</v>
      </c>
      <c r="C1351" s="50"/>
      <c r="D1351" s="139">
        <f t="shared" si="20"/>
        <v>0</v>
      </c>
      <c r="E1351" s="140">
        <v>142.47999999999999</v>
      </c>
      <c r="F1351" s="140">
        <v>116.79</v>
      </c>
      <c r="G1351" s="34" t="s">
        <v>100</v>
      </c>
      <c r="H1351" s="34" t="s">
        <v>39</v>
      </c>
      <c r="I1351" s="35">
        <v>1</v>
      </c>
      <c r="J1351" s="35">
        <v>1</v>
      </c>
      <c r="K1351" s="35">
        <v>100</v>
      </c>
      <c r="L1351" s="60" t="str">
        <f>HYPERLINK("https://www.sds-group.ru/product/shnur-kommutatsionnyy-patch-kord-f-utp-rj45-rj45-cat-6-lszh-seryy-3m-rexant-18-8106-1/", "Инфо")</f>
        <v>Инфо</v>
      </c>
      <c r="M1351" s="37">
        <v>0.10299999999999999</v>
      </c>
      <c r="N1351" s="38">
        <v>6.6100000000000002E-4</v>
      </c>
      <c r="O1351" s="141">
        <v>4601004135864</v>
      </c>
    </row>
    <row r="1352" spans="1:15" s="1" customFormat="1" ht="11.45" customHeight="1" outlineLevel="4" x14ac:dyDescent="0.2">
      <c r="A1352" s="32" t="s">
        <v>13403</v>
      </c>
      <c r="B1352" s="74" t="s">
        <v>13404</v>
      </c>
      <c r="C1352" s="50"/>
      <c r="D1352" s="139">
        <f t="shared" si="20"/>
        <v>0</v>
      </c>
      <c r="E1352" s="140">
        <v>230.04</v>
      </c>
      <c r="F1352" s="140">
        <v>188.56</v>
      </c>
      <c r="G1352" s="34" t="s">
        <v>100</v>
      </c>
      <c r="H1352" s="34" t="s">
        <v>39</v>
      </c>
      <c r="I1352" s="35">
        <v>1</v>
      </c>
      <c r="J1352" s="35">
        <v>1</v>
      </c>
      <c r="K1352" s="35">
        <v>100</v>
      </c>
      <c r="L1352" s="60" t="str">
        <f>HYPERLINK("https://www.sds-group.ru/product/shnur-kommutatsionnyy-patch-kord-f-utp-rj45-rj45-cat-6-lszh-seryy-5m-rexant-18-8107-1/", "Инфо")</f>
        <v>Инфо</v>
      </c>
      <c r="M1352" s="37">
        <v>0.14199999999999999</v>
      </c>
      <c r="N1352" s="38">
        <v>5.9500000000000004E-4</v>
      </c>
      <c r="O1352" s="141">
        <v>4601004135871</v>
      </c>
    </row>
    <row r="1353" spans="1:15" ht="11.45" customHeight="1" outlineLevel="1" x14ac:dyDescent="0.2">
      <c r="A1353" s="78" t="s">
        <v>13405</v>
      </c>
      <c r="B1353" s="132"/>
      <c r="C1353" s="79"/>
      <c r="D1353" s="133"/>
      <c r="E1353" s="134"/>
      <c r="F1353" s="134"/>
      <c r="G1353" s="134"/>
      <c r="H1353" s="134"/>
      <c r="I1353" s="134"/>
      <c r="J1353" s="134"/>
      <c r="K1353" s="134"/>
      <c r="L1353" s="135"/>
      <c r="M1353" s="134"/>
      <c r="N1353" s="134"/>
      <c r="O1353" s="134"/>
    </row>
    <row r="1354" spans="1:15" ht="11.45" customHeight="1" outlineLevel="2" x14ac:dyDescent="0.2">
      <c r="A1354" s="76" t="s">
        <v>13437</v>
      </c>
      <c r="B1354" s="136"/>
      <c r="C1354" s="77"/>
      <c r="D1354" s="137"/>
      <c r="E1354" s="4"/>
      <c r="F1354" s="4"/>
      <c r="G1354" s="4"/>
      <c r="H1354" s="4"/>
      <c r="I1354" s="4"/>
      <c r="J1354" s="4"/>
      <c r="K1354" s="4"/>
      <c r="L1354" s="138"/>
      <c r="M1354" s="4"/>
      <c r="N1354" s="4"/>
      <c r="O1354" s="4"/>
    </row>
    <row r="1355" spans="1:15" ht="11.45" customHeight="1" outlineLevel="3" x14ac:dyDescent="0.2">
      <c r="A1355" s="76" t="s">
        <v>13451</v>
      </c>
      <c r="B1355" s="136"/>
      <c r="C1355" s="77"/>
      <c r="D1355" s="137"/>
      <c r="E1355" s="4"/>
      <c r="F1355" s="4"/>
      <c r="G1355" s="4"/>
      <c r="H1355" s="4"/>
      <c r="I1355" s="4"/>
      <c r="J1355" s="4"/>
      <c r="K1355" s="4"/>
      <c r="L1355" s="138"/>
      <c r="M1355" s="4"/>
      <c r="N1355" s="4"/>
      <c r="O1355" s="4"/>
    </row>
    <row r="1356" spans="1:15" s="1" customFormat="1" ht="11.45" customHeight="1" outlineLevel="4" x14ac:dyDescent="0.2">
      <c r="A1356" s="32" t="s">
        <v>13452</v>
      </c>
      <c r="B1356" s="74" t="s">
        <v>13453</v>
      </c>
      <c r="C1356" s="50"/>
      <c r="D1356" s="139">
        <f t="shared" ref="D1356:D1419" si="21">C1356*E1356</f>
        <v>0</v>
      </c>
      <c r="E1356" s="140">
        <v>3599.43</v>
      </c>
      <c r="F1356" s="140">
        <v>2950.35</v>
      </c>
      <c r="G1356" s="34" t="s">
        <v>100</v>
      </c>
      <c r="H1356" s="34" t="s">
        <v>39</v>
      </c>
      <c r="I1356" s="35">
        <v>1</v>
      </c>
      <c r="J1356" s="35">
        <v>1</v>
      </c>
      <c r="K1356" s="35">
        <v>1</v>
      </c>
      <c r="L1356" s="60" t="str">
        <f>HYPERLINK("https://www.sds-group.ru/product/stoyka-otkritaya-19-33u-odnoramnaya-sostoit-iz-2-korobok-rexant-15537/", "Инфо")</f>
        <v>Инфо</v>
      </c>
      <c r="M1356" s="37">
        <v>12.6</v>
      </c>
      <c r="N1356" s="38">
        <v>0.43640000000000001</v>
      </c>
      <c r="O1356" s="141">
        <v>4601004101036</v>
      </c>
    </row>
    <row r="1357" spans="1:15" ht="11.45" customHeight="1" outlineLevel="2" x14ac:dyDescent="0.2">
      <c r="A1357" s="76" t="s">
        <v>13620</v>
      </c>
      <c r="B1357" s="136"/>
      <c r="C1357" s="77"/>
      <c r="D1357" s="137"/>
      <c r="E1357" s="4"/>
      <c r="F1357" s="4"/>
      <c r="G1357" s="4"/>
      <c r="H1357" s="4"/>
      <c r="I1357" s="4"/>
      <c r="J1357" s="4"/>
      <c r="K1357" s="4"/>
      <c r="L1357" s="138"/>
      <c r="M1357" s="4"/>
      <c r="N1357" s="4"/>
      <c r="O1357" s="4"/>
    </row>
    <row r="1358" spans="1:15" s="1" customFormat="1" ht="11.45" customHeight="1" outlineLevel="3" x14ac:dyDescent="0.2">
      <c r="A1358" s="32" t="s">
        <v>13625</v>
      </c>
      <c r="B1358" s="74" t="s">
        <v>13626</v>
      </c>
      <c r="C1358" s="50"/>
      <c r="D1358" s="139">
        <f t="shared" si="21"/>
        <v>0</v>
      </c>
      <c r="E1358" s="140">
        <v>1434.24</v>
      </c>
      <c r="F1358" s="140">
        <v>1175.6099999999999</v>
      </c>
      <c r="G1358" s="34" t="s">
        <v>100</v>
      </c>
      <c r="H1358" s="34" t="s">
        <v>39</v>
      </c>
      <c r="I1358" s="35">
        <v>1</v>
      </c>
      <c r="J1358" s="35">
        <v>1</v>
      </c>
      <c r="K1358" s="35">
        <v>1</v>
      </c>
      <c r="L1358" s="60" t="str">
        <f>HYPERLINK("https://www.sds-group.ru/product/polka-perednego-krepleniya-statsionarnaya-19-2u-glubinoy-450mm-rexant-04-2628/", "Инфо")</f>
        <v>Инфо</v>
      </c>
      <c r="M1358" s="37">
        <v>2.2400000000000002</v>
      </c>
      <c r="N1358" s="38">
        <v>2.2499999999999999E-2</v>
      </c>
      <c r="O1358" s="141">
        <v>4601004102644</v>
      </c>
    </row>
    <row r="1359" spans="1:15" s="1" customFormat="1" ht="11.45" customHeight="1" outlineLevel="3" x14ac:dyDescent="0.2">
      <c r="A1359" s="32" t="s">
        <v>13627</v>
      </c>
      <c r="B1359" s="74" t="s">
        <v>13628</v>
      </c>
      <c r="C1359" s="50"/>
      <c r="D1359" s="139">
        <f t="shared" si="21"/>
        <v>0</v>
      </c>
      <c r="E1359" s="140">
        <v>2837.1</v>
      </c>
      <c r="F1359" s="140">
        <v>2325.4899999999998</v>
      </c>
      <c r="G1359" s="34" t="s">
        <v>100</v>
      </c>
      <c r="H1359" s="34" t="s">
        <v>39</v>
      </c>
      <c r="I1359" s="35">
        <v>1</v>
      </c>
      <c r="J1359" s="35">
        <v>1</v>
      </c>
      <c r="K1359" s="35">
        <v>1</v>
      </c>
      <c r="L1359" s="60" t="str">
        <f>HYPERLINK("https://www.sds-group.ru/product/polka-statsionarnaya-usilennaya-19-1u-poleznaya-glubina-700mm-dlya-shkafov-glubinoy-1000mm-r-04-2625/", "Инфо")</f>
        <v>Инфо</v>
      </c>
      <c r="M1359" s="37">
        <v>5.52</v>
      </c>
      <c r="N1359" s="38">
        <v>1.255E-2</v>
      </c>
      <c r="O1359" s="141">
        <v>4601004102613</v>
      </c>
    </row>
    <row r="1360" spans="1:15" s="1" customFormat="1" ht="11.45" customHeight="1" outlineLevel="3" x14ac:dyDescent="0.2">
      <c r="A1360" s="32" t="s">
        <v>13629</v>
      </c>
      <c r="B1360" s="74" t="s">
        <v>13630</v>
      </c>
      <c r="C1360" s="50"/>
      <c r="D1360" s="139">
        <f t="shared" si="21"/>
        <v>0</v>
      </c>
      <c r="E1360" s="140">
        <v>1050.69</v>
      </c>
      <c r="F1360" s="140">
        <v>861.22</v>
      </c>
      <c r="G1360" s="34" t="s">
        <v>100</v>
      </c>
      <c r="H1360" s="34" t="s">
        <v>39</v>
      </c>
      <c r="I1360" s="35">
        <v>1</v>
      </c>
      <c r="J1360" s="35">
        <v>1</v>
      </c>
      <c r="K1360" s="35">
        <v>1</v>
      </c>
      <c r="L1360" s="60" t="str">
        <f>HYPERLINK("https://www.sds-group.ru/product/polka-statsionarnaya-19-1u-poleznaya-glubina-350mm-dlya-shkafov-glubinoy-600mm-rexant-04-2620/", "Инфо")</f>
        <v>Инфо</v>
      </c>
      <c r="M1360" s="37">
        <v>1.94</v>
      </c>
      <c r="N1360" s="38">
        <v>7.0000000000000001E-3</v>
      </c>
      <c r="O1360" s="141">
        <v>4601004102569</v>
      </c>
    </row>
    <row r="1361" spans="1:15" ht="11.45" customHeight="1" outlineLevel="2" x14ac:dyDescent="0.2">
      <c r="A1361" s="76" t="s">
        <v>13720</v>
      </c>
      <c r="B1361" s="136"/>
      <c r="C1361" s="77"/>
      <c r="D1361" s="137"/>
      <c r="E1361" s="4"/>
      <c r="F1361" s="4"/>
      <c r="G1361" s="4"/>
      <c r="H1361" s="4"/>
      <c r="I1361" s="4"/>
      <c r="J1361" s="4"/>
      <c r="K1361" s="4"/>
      <c r="L1361" s="138"/>
      <c r="M1361" s="4"/>
      <c r="N1361" s="4"/>
      <c r="O1361" s="4"/>
    </row>
    <row r="1362" spans="1:15" s="1" customFormat="1" ht="11.45" customHeight="1" outlineLevel="3" x14ac:dyDescent="0.2">
      <c r="A1362" s="32" t="s">
        <v>13723</v>
      </c>
      <c r="B1362" s="74" t="s">
        <v>13724</v>
      </c>
      <c r="C1362" s="50"/>
      <c r="D1362" s="139">
        <f t="shared" si="21"/>
        <v>0</v>
      </c>
      <c r="E1362" s="140">
        <v>4153.45</v>
      </c>
      <c r="F1362" s="140">
        <v>3404.47</v>
      </c>
      <c r="G1362" s="34" t="s">
        <v>100</v>
      </c>
      <c r="H1362" s="34" t="s">
        <v>39</v>
      </c>
      <c r="I1362" s="35">
        <v>1</v>
      </c>
      <c r="J1362" s="35">
        <v>1</v>
      </c>
      <c r="K1362" s="35">
        <v>1</v>
      </c>
      <c r="L1362" s="60" t="str">
        <f>HYPERLINK("https://www.sds-group.ru/product/modul-ventilyatornyy-potolochnyy-s-4-ventilyatorami-bez-termostata-dlya-shkafov-s-glubinoy-8-04-2601/", "Инфо")</f>
        <v>Инфо</v>
      </c>
      <c r="M1362" s="37">
        <v>4.4000000000000004</v>
      </c>
      <c r="N1362" s="38">
        <v>1.6E-2</v>
      </c>
      <c r="O1362" s="141">
        <v>4601004103092</v>
      </c>
    </row>
    <row r="1363" spans="1:15" s="1" customFormat="1" ht="11.45" customHeight="1" outlineLevel="3" x14ac:dyDescent="0.2">
      <c r="A1363" s="32" t="s">
        <v>13725</v>
      </c>
      <c r="B1363" s="74" t="s">
        <v>13726</v>
      </c>
      <c r="C1363" s="50"/>
      <c r="D1363" s="139">
        <f t="shared" si="21"/>
        <v>0</v>
      </c>
      <c r="E1363" s="140">
        <v>5801.23</v>
      </c>
      <c r="F1363" s="140">
        <v>4755.1099999999997</v>
      </c>
      <c r="G1363" s="34" t="s">
        <v>100</v>
      </c>
      <c r="H1363" s="34" t="s">
        <v>39</v>
      </c>
      <c r="I1363" s="35">
        <v>1</v>
      </c>
      <c r="J1363" s="35">
        <v>1</v>
      </c>
      <c r="K1363" s="35">
        <v>1</v>
      </c>
      <c r="L1363" s="60" t="str">
        <f>HYPERLINK("https://www.sds-group.ru/product/modul-ventilyatornyy-potolochnyy-s-6-ventilyatorami-bez-termostata-dlya-shkafov-s-glubinoy-1-04-2603/", "Инфо")</f>
        <v>Инфо</v>
      </c>
      <c r="M1363" s="37">
        <v>5.5</v>
      </c>
      <c r="N1363" s="38">
        <v>1.7000000000000001E-2</v>
      </c>
      <c r="O1363" s="141">
        <v>4601004103115</v>
      </c>
    </row>
    <row r="1364" spans="1:15" ht="11.45" customHeight="1" outlineLevel="2" x14ac:dyDescent="0.2">
      <c r="A1364" s="76" t="s">
        <v>13727</v>
      </c>
      <c r="B1364" s="136"/>
      <c r="C1364" s="77"/>
      <c r="D1364" s="137"/>
      <c r="E1364" s="4"/>
      <c r="F1364" s="4"/>
      <c r="G1364" s="4"/>
      <c r="H1364" s="4"/>
      <c r="I1364" s="4"/>
      <c r="J1364" s="4"/>
      <c r="K1364" s="4"/>
      <c r="L1364" s="138"/>
      <c r="M1364" s="4"/>
      <c r="N1364" s="4"/>
      <c r="O1364" s="4"/>
    </row>
    <row r="1365" spans="1:15" s="1" customFormat="1" ht="11.45" customHeight="1" outlineLevel="3" x14ac:dyDescent="0.2">
      <c r="A1365" s="32" t="s">
        <v>13728</v>
      </c>
      <c r="B1365" s="74" t="s">
        <v>13729</v>
      </c>
      <c r="C1365" s="50"/>
      <c r="D1365" s="139">
        <f t="shared" si="21"/>
        <v>0</v>
      </c>
      <c r="E1365" s="140">
        <v>149.41999999999999</v>
      </c>
      <c r="F1365" s="140">
        <v>122.48</v>
      </c>
      <c r="G1365" s="34" t="s">
        <v>100</v>
      </c>
      <c r="H1365" s="34" t="s">
        <v>39</v>
      </c>
      <c r="I1365" s="35">
        <v>1</v>
      </c>
      <c r="J1365" s="35">
        <v>1</v>
      </c>
      <c r="K1365" s="35">
        <v>1</v>
      </c>
      <c r="L1365" s="60" t="str">
        <f>HYPERLINK("https://www.sds-group.ru/product/zamok-dlya-bokovyh-dverey-napolnyy-nastennyy-rexant-04-2688/", "Инфо")</f>
        <v>Инфо</v>
      </c>
      <c r="M1365" s="37">
        <v>0.04</v>
      </c>
      <c r="N1365" s="38">
        <v>8.0000000000000007E-5</v>
      </c>
      <c r="O1365" s="141">
        <v>4601004102804</v>
      </c>
    </row>
    <row r="1366" spans="1:15" ht="11.45" customHeight="1" outlineLevel="1" x14ac:dyDescent="0.2">
      <c r="A1366" s="78" t="s">
        <v>13736</v>
      </c>
      <c r="B1366" s="132"/>
      <c r="C1366" s="79"/>
      <c r="D1366" s="133"/>
      <c r="E1366" s="134"/>
      <c r="F1366" s="134"/>
      <c r="G1366" s="134"/>
      <c r="H1366" s="134"/>
      <c r="I1366" s="134"/>
      <c r="J1366" s="134"/>
      <c r="K1366" s="134"/>
      <c r="L1366" s="135"/>
      <c r="M1366" s="134"/>
      <c r="N1366" s="134"/>
      <c r="O1366" s="134"/>
    </row>
    <row r="1367" spans="1:15" ht="11.45" customHeight="1" outlineLevel="2" x14ac:dyDescent="0.2">
      <c r="A1367" s="76" t="s">
        <v>13737</v>
      </c>
      <c r="B1367" s="136"/>
      <c r="C1367" s="77"/>
      <c r="D1367" s="137"/>
      <c r="E1367" s="4"/>
      <c r="F1367" s="4"/>
      <c r="G1367" s="4"/>
      <c r="H1367" s="4"/>
      <c r="I1367" s="4"/>
      <c r="J1367" s="4"/>
      <c r="K1367" s="4"/>
      <c r="L1367" s="138"/>
      <c r="M1367" s="4"/>
      <c r="N1367" s="4"/>
      <c r="O1367" s="4"/>
    </row>
    <row r="1368" spans="1:15" ht="11.45" customHeight="1" outlineLevel="3" x14ac:dyDescent="0.2">
      <c r="A1368" s="76" t="s">
        <v>13738</v>
      </c>
      <c r="B1368" s="136"/>
      <c r="C1368" s="77"/>
      <c r="D1368" s="137"/>
      <c r="E1368" s="4"/>
      <c r="F1368" s="4"/>
      <c r="G1368" s="4"/>
      <c r="H1368" s="4"/>
      <c r="I1368" s="4"/>
      <c r="J1368" s="4"/>
      <c r="K1368" s="4"/>
      <c r="L1368" s="138"/>
      <c r="M1368" s="4"/>
      <c r="N1368" s="4"/>
      <c r="O1368" s="4"/>
    </row>
    <row r="1369" spans="1:15" s="1" customFormat="1" ht="11.45" customHeight="1" outlineLevel="4" x14ac:dyDescent="0.2">
      <c r="A1369" s="32" t="s">
        <v>13753</v>
      </c>
      <c r="B1369" s="74" t="s">
        <v>13754</v>
      </c>
      <c r="C1369" s="50"/>
      <c r="D1369" s="139">
        <f t="shared" si="21"/>
        <v>0</v>
      </c>
      <c r="E1369" s="140">
        <v>159.6</v>
      </c>
      <c r="F1369" s="140">
        <v>130.82</v>
      </c>
      <c r="G1369" s="34" t="s">
        <v>100</v>
      </c>
      <c r="H1369" s="34" t="s">
        <v>39</v>
      </c>
      <c r="I1369" s="35">
        <v>10</v>
      </c>
      <c r="J1369" s="35">
        <v>10</v>
      </c>
      <c r="K1369" s="35">
        <v>100</v>
      </c>
      <c r="L1369" s="60" t="str">
        <f>HYPERLINK("https://www.sds-group.ru/product/patch-kord-opticheskiy-soedinitelnyy-sm-9-125-os2-lc-upc-lc-upc-simplex-lszh-1m-50-2100/", "Инфо")</f>
        <v>Инфо</v>
      </c>
      <c r="M1369" s="37">
        <v>1.0999999999999999E-2</v>
      </c>
      <c r="N1369" s="38">
        <v>1.15E-4</v>
      </c>
      <c r="O1369" s="141">
        <v>4601004107014</v>
      </c>
    </row>
    <row r="1370" spans="1:15" s="1" customFormat="1" ht="11.45" customHeight="1" outlineLevel="4" x14ac:dyDescent="0.2">
      <c r="A1370" s="32" t="s">
        <v>13756</v>
      </c>
      <c r="B1370" s="74" t="s">
        <v>13757</v>
      </c>
      <c r="C1370" s="50"/>
      <c r="D1370" s="139">
        <f t="shared" si="21"/>
        <v>0</v>
      </c>
      <c r="E1370" s="140">
        <v>167.93</v>
      </c>
      <c r="F1370" s="140">
        <v>137.65</v>
      </c>
      <c r="G1370" s="34" t="s">
        <v>100</v>
      </c>
      <c r="H1370" s="34" t="s">
        <v>39</v>
      </c>
      <c r="I1370" s="35">
        <v>10</v>
      </c>
      <c r="J1370" s="35">
        <v>10</v>
      </c>
      <c r="K1370" s="35">
        <v>100</v>
      </c>
      <c r="L1370" s="60" t="str">
        <f>HYPERLINK("https://www.sds-group.ru/product/patch-kord-opticheskiy-soedinitelnyy-sm-9-125-os2-lc-upc-lc-upc-simplex-lszh-2m-50-2101/", "Инфо")</f>
        <v>Инфо</v>
      </c>
      <c r="M1370" s="37">
        <v>1.7000000000000001E-2</v>
      </c>
      <c r="N1370" s="38">
        <v>1.1400000000000001E-4</v>
      </c>
      <c r="O1370" s="141">
        <v>4601004107021</v>
      </c>
    </row>
    <row r="1371" spans="1:15" s="1" customFormat="1" ht="11.45" customHeight="1" outlineLevel="4" x14ac:dyDescent="0.2">
      <c r="A1371" s="32" t="s">
        <v>13758</v>
      </c>
      <c r="B1371" s="74" t="s">
        <v>13759</v>
      </c>
      <c r="C1371" s="50"/>
      <c r="D1371" s="139">
        <f t="shared" si="21"/>
        <v>0</v>
      </c>
      <c r="E1371" s="140">
        <v>169.94</v>
      </c>
      <c r="F1371" s="140">
        <v>139.30000000000001</v>
      </c>
      <c r="G1371" s="34" t="s">
        <v>100</v>
      </c>
      <c r="H1371" s="34" t="s">
        <v>39</v>
      </c>
      <c r="I1371" s="35">
        <v>10</v>
      </c>
      <c r="J1371" s="35">
        <v>10</v>
      </c>
      <c r="K1371" s="35">
        <v>100</v>
      </c>
      <c r="L1371" s="60" t="str">
        <f>HYPERLINK("https://www.sds-group.ru/product/patch-kord-opticheskiy-soedinitelnyy-sm-9-125-os2-lc-upc-lc-upc-simplex-lszh-3m-rexant-50-2102/", "Инфо")</f>
        <v>Инфо</v>
      </c>
      <c r="M1371" s="37">
        <v>2.1000000000000001E-2</v>
      </c>
      <c r="N1371" s="38">
        <v>3.1999999999999999E-5</v>
      </c>
      <c r="O1371" s="141">
        <v>4601004107038</v>
      </c>
    </row>
    <row r="1372" spans="1:15" s="1" customFormat="1" ht="11.45" customHeight="1" outlineLevel="4" x14ac:dyDescent="0.2">
      <c r="A1372" s="32" t="s">
        <v>13760</v>
      </c>
      <c r="B1372" s="74" t="s">
        <v>13761</v>
      </c>
      <c r="C1372" s="50"/>
      <c r="D1372" s="139">
        <f t="shared" si="21"/>
        <v>0</v>
      </c>
      <c r="E1372" s="140">
        <v>187.53</v>
      </c>
      <c r="F1372" s="140">
        <v>153.71</v>
      </c>
      <c r="G1372" s="34" t="s">
        <v>100</v>
      </c>
      <c r="H1372" s="34" t="s">
        <v>39</v>
      </c>
      <c r="I1372" s="35">
        <v>10</v>
      </c>
      <c r="J1372" s="35">
        <v>10</v>
      </c>
      <c r="K1372" s="35">
        <v>100</v>
      </c>
      <c r="L1372" s="60" t="str">
        <f>HYPERLINK("https://www.sds-group.ru/product/patch-kord-opticheskiy-soedinitelnyy-sm-9-125-os2-lc-upc-lc-upc-simplex-lszh-5m-50-2103/", "Инфо")</f>
        <v>Инфо</v>
      </c>
      <c r="M1372" s="37">
        <v>3.6999999999999998E-2</v>
      </c>
      <c r="N1372" s="38">
        <v>7.6599999999999997E-4</v>
      </c>
      <c r="O1372" s="141">
        <v>4601004107045</v>
      </c>
    </row>
    <row r="1373" spans="1:15" ht="11.45" customHeight="1" outlineLevel="3" x14ac:dyDescent="0.2">
      <c r="A1373" s="76" t="s">
        <v>13792</v>
      </c>
      <c r="B1373" s="136"/>
      <c r="C1373" s="77"/>
      <c r="D1373" s="137"/>
      <c r="E1373" s="4"/>
      <c r="F1373" s="4"/>
      <c r="G1373" s="4"/>
      <c r="H1373" s="4"/>
      <c r="I1373" s="4"/>
      <c r="J1373" s="4"/>
      <c r="K1373" s="4"/>
      <c r="L1373" s="138"/>
      <c r="M1373" s="4"/>
      <c r="N1373" s="4"/>
      <c r="O1373" s="4"/>
    </row>
    <row r="1374" spans="1:15" s="1" customFormat="1" ht="11.45" customHeight="1" outlineLevel="4" x14ac:dyDescent="0.2">
      <c r="A1374" s="32" t="s">
        <v>13807</v>
      </c>
      <c r="B1374" s="74" t="s">
        <v>13808</v>
      </c>
      <c r="C1374" s="50"/>
      <c r="D1374" s="139">
        <f t="shared" si="21"/>
        <v>0</v>
      </c>
      <c r="E1374" s="140">
        <v>226.62</v>
      </c>
      <c r="F1374" s="140">
        <v>185.75</v>
      </c>
      <c r="G1374" s="34" t="s">
        <v>100</v>
      </c>
      <c r="H1374" s="34" t="s">
        <v>39</v>
      </c>
      <c r="I1374" s="35">
        <v>10</v>
      </c>
      <c r="J1374" s="35">
        <v>10</v>
      </c>
      <c r="K1374" s="35">
        <v>60</v>
      </c>
      <c r="L1374" s="60" t="str">
        <f>HYPERLINK("https://www.sds-group.ru/product/patch-kord-opticheskiy-soedinitelnyy-sm-9-125-os2-sc-apc-sc-apc-simplex-lszh-10m-rexant-50-2026/", "Инфо")</f>
        <v>Инфо</v>
      </c>
      <c r="M1374" s="37">
        <v>7.6999999999999999E-2</v>
      </c>
      <c r="N1374" s="38">
        <v>9.4899999999999997E-4</v>
      </c>
      <c r="O1374" s="141">
        <v>4601004106758</v>
      </c>
    </row>
    <row r="1375" spans="1:15" s="1" customFormat="1" ht="11.45" customHeight="1" outlineLevel="4" x14ac:dyDescent="0.2">
      <c r="A1375" s="32" t="s">
        <v>13809</v>
      </c>
      <c r="B1375" s="74" t="s">
        <v>13810</v>
      </c>
      <c r="C1375" s="50"/>
      <c r="D1375" s="139">
        <f t="shared" si="21"/>
        <v>0</v>
      </c>
      <c r="E1375" s="140">
        <v>175.62</v>
      </c>
      <c r="F1375" s="140">
        <v>143.94999999999999</v>
      </c>
      <c r="G1375" s="34" t="s">
        <v>100</v>
      </c>
      <c r="H1375" s="34" t="s">
        <v>39</v>
      </c>
      <c r="I1375" s="35">
        <v>10</v>
      </c>
      <c r="J1375" s="35">
        <v>10</v>
      </c>
      <c r="K1375" s="35">
        <v>100</v>
      </c>
      <c r="L1375" s="60" t="str">
        <f>HYPERLINK("https://www.sds-group.ru/product/patch-kord-opticheskiy-soedinitelnyy-sm-9-125-os2-sc-apc-sc-apc-simplex-lszh-3m-rexant-50-2024/", "Инфо")</f>
        <v>Инфо</v>
      </c>
      <c r="M1375" s="37">
        <v>2.8000000000000001E-2</v>
      </c>
      <c r="N1375" s="38">
        <v>1.189E-3</v>
      </c>
      <c r="O1375" s="141">
        <v>4601004106734</v>
      </c>
    </row>
    <row r="1376" spans="1:15" s="1" customFormat="1" ht="11.45" customHeight="1" outlineLevel="4" x14ac:dyDescent="0.2">
      <c r="A1376" s="32" t="s">
        <v>13811</v>
      </c>
      <c r="B1376" s="74" t="s">
        <v>13812</v>
      </c>
      <c r="C1376" s="50"/>
      <c r="D1376" s="139">
        <f t="shared" si="21"/>
        <v>0</v>
      </c>
      <c r="E1376" s="140">
        <v>190.2</v>
      </c>
      <c r="F1376" s="140">
        <v>155.9</v>
      </c>
      <c r="G1376" s="34" t="s">
        <v>100</v>
      </c>
      <c r="H1376" s="34" t="s">
        <v>39</v>
      </c>
      <c r="I1376" s="35">
        <v>10</v>
      </c>
      <c r="J1376" s="35">
        <v>10</v>
      </c>
      <c r="K1376" s="35">
        <v>100</v>
      </c>
      <c r="L1376" s="60" t="str">
        <f>HYPERLINK("https://www.sds-group.ru/product/patch-kord-opticheskiy-soedinitelnyy-sm-9-125-os2-sc-apc-sc-apc-simplex-lszh-5m-rexant-50-2025/", "Инфо")</f>
        <v>Инфо</v>
      </c>
      <c r="M1376" s="37">
        <v>4.2999999999999997E-2</v>
      </c>
      <c r="N1376" s="38">
        <v>8.2700000000000004E-4</v>
      </c>
      <c r="O1376" s="141">
        <v>4601004106741</v>
      </c>
    </row>
    <row r="1377" spans="1:15" s="1" customFormat="1" ht="11.45" customHeight="1" outlineLevel="4" x14ac:dyDescent="0.2">
      <c r="A1377" s="32" t="s">
        <v>13813</v>
      </c>
      <c r="B1377" s="74" t="s">
        <v>13814</v>
      </c>
      <c r="C1377" s="50"/>
      <c r="D1377" s="139">
        <f t="shared" si="21"/>
        <v>0</v>
      </c>
      <c r="E1377" s="140">
        <v>204.76</v>
      </c>
      <c r="F1377" s="140">
        <v>167.84</v>
      </c>
      <c r="G1377" s="34" t="s">
        <v>100</v>
      </c>
      <c r="H1377" s="34" t="s">
        <v>39</v>
      </c>
      <c r="I1377" s="35">
        <v>10</v>
      </c>
      <c r="J1377" s="35">
        <v>10</v>
      </c>
      <c r="K1377" s="35">
        <v>100</v>
      </c>
      <c r="L1377" s="60" t="str">
        <f>HYPERLINK("https://www.sds-group.ru/product/patch-kord-opticheskiy-soedinitelnyy-sm-9-125-os2-sc-apc-sc-apc-simplex-lszh-7m-rexant-50-2060/", "Инфо")</f>
        <v>Инфо</v>
      </c>
      <c r="M1377" s="37">
        <v>5.1999999999999998E-2</v>
      </c>
      <c r="N1377" s="38">
        <v>1.75E-4</v>
      </c>
      <c r="O1377" s="141">
        <v>4601004103504</v>
      </c>
    </row>
    <row r="1378" spans="1:15" ht="11.45" customHeight="1" outlineLevel="3" x14ac:dyDescent="0.2">
      <c r="A1378" s="76" t="s">
        <v>13817</v>
      </c>
      <c r="B1378" s="136"/>
      <c r="C1378" s="77"/>
      <c r="D1378" s="137"/>
      <c r="E1378" s="4"/>
      <c r="F1378" s="4"/>
      <c r="G1378" s="4"/>
      <c r="H1378" s="4"/>
      <c r="I1378" s="4"/>
      <c r="J1378" s="4"/>
      <c r="K1378" s="4"/>
      <c r="L1378" s="138"/>
      <c r="M1378" s="4"/>
      <c r="N1378" s="4"/>
      <c r="O1378" s="4"/>
    </row>
    <row r="1379" spans="1:15" s="1" customFormat="1" ht="11.45" customHeight="1" outlineLevel="4" x14ac:dyDescent="0.2">
      <c r="A1379" s="32" t="s">
        <v>13832</v>
      </c>
      <c r="B1379" s="74" t="s">
        <v>13833</v>
      </c>
      <c r="C1379" s="50"/>
      <c r="D1379" s="139">
        <f t="shared" si="21"/>
        <v>0</v>
      </c>
      <c r="E1379" s="140">
        <v>226.62</v>
      </c>
      <c r="F1379" s="140">
        <v>185.75</v>
      </c>
      <c r="G1379" s="34" t="s">
        <v>100</v>
      </c>
      <c r="H1379" s="34" t="s">
        <v>39</v>
      </c>
      <c r="I1379" s="35">
        <v>10</v>
      </c>
      <c r="J1379" s="35">
        <v>10</v>
      </c>
      <c r="K1379" s="35">
        <v>100</v>
      </c>
      <c r="L1379" s="60" t="str">
        <f>HYPERLINK("https://www.sds-group.ru/product/patch-kord-opticheskiy-perehodnoy-sm-9-125-os2-sc-apc-sc-upc-simplex-lszh-10m-rexant-50-2062/", "Инфо")</f>
        <v>Инфо</v>
      </c>
      <c r="M1379" s="37">
        <v>5.1999999999999998E-2</v>
      </c>
      <c r="N1379" s="38">
        <v>1.2260000000000001E-3</v>
      </c>
      <c r="O1379" s="141">
        <v>4601004113954</v>
      </c>
    </row>
    <row r="1380" spans="1:15" s="1" customFormat="1" ht="11.45" customHeight="1" outlineLevel="4" x14ac:dyDescent="0.2">
      <c r="A1380" s="32" t="s">
        <v>13834</v>
      </c>
      <c r="B1380" s="74" t="s">
        <v>13835</v>
      </c>
      <c r="C1380" s="50"/>
      <c r="D1380" s="139">
        <f t="shared" si="21"/>
        <v>0</v>
      </c>
      <c r="E1380" s="140">
        <v>260.06</v>
      </c>
      <c r="F1380" s="140">
        <v>213.16</v>
      </c>
      <c r="G1380" s="34" t="s">
        <v>100</v>
      </c>
      <c r="H1380" s="34" t="s">
        <v>39</v>
      </c>
      <c r="I1380" s="35">
        <v>10</v>
      </c>
      <c r="J1380" s="35">
        <v>10</v>
      </c>
      <c r="K1380" s="35">
        <v>5</v>
      </c>
      <c r="L1380" s="60" t="str">
        <f>HYPERLINK("https://www.sds-group.ru/product/patch-kord-opticheskiy-perehodnoy-sm-9-125-os2-sc-apc-sc-upc-simplex-lszh-15m-rexant-50-2063/", "Инфо")</f>
        <v>Инфо</v>
      </c>
      <c r="M1380" s="37">
        <v>0.1</v>
      </c>
      <c r="N1380" s="38">
        <v>1.341E-3</v>
      </c>
      <c r="O1380" s="141">
        <v>4601004113930</v>
      </c>
    </row>
    <row r="1381" spans="1:15" s="1" customFormat="1" ht="11.45" customHeight="1" outlineLevel="4" x14ac:dyDescent="0.2">
      <c r="A1381" s="32" t="s">
        <v>13836</v>
      </c>
      <c r="B1381" s="74" t="s">
        <v>13837</v>
      </c>
      <c r="C1381" s="50"/>
      <c r="D1381" s="139">
        <f t="shared" si="21"/>
        <v>0</v>
      </c>
      <c r="E1381" s="140">
        <v>204.76</v>
      </c>
      <c r="F1381" s="140">
        <v>167.84</v>
      </c>
      <c r="G1381" s="34" t="s">
        <v>100</v>
      </c>
      <c r="H1381" s="34" t="s">
        <v>39</v>
      </c>
      <c r="I1381" s="35">
        <v>10</v>
      </c>
      <c r="J1381" s="35">
        <v>10</v>
      </c>
      <c r="K1381" s="35">
        <v>100</v>
      </c>
      <c r="L1381" s="60" t="str">
        <f>HYPERLINK("https://www.sds-group.ru/product/patch-kord-opticheskiy-perehodnoy-sm-9-125-os2-sc-apc-sc-upc-simplex-lszh-7m-rexant-50-2061/", "Инфо")</f>
        <v>Инфо</v>
      </c>
      <c r="M1381" s="37">
        <v>0.05</v>
      </c>
      <c r="N1381" s="38">
        <v>8.7799999999999998E-4</v>
      </c>
      <c r="O1381" s="141">
        <v>4601004103511</v>
      </c>
    </row>
    <row r="1382" spans="1:15" ht="11.45" customHeight="1" outlineLevel="2" x14ac:dyDescent="0.2">
      <c r="A1382" s="76" t="s">
        <v>13838</v>
      </c>
      <c r="B1382" s="136"/>
      <c r="C1382" s="77"/>
      <c r="D1382" s="137"/>
      <c r="E1382" s="4"/>
      <c r="F1382" s="4"/>
      <c r="G1382" s="4"/>
      <c r="H1382" s="4"/>
      <c r="I1382" s="4"/>
      <c r="J1382" s="4"/>
      <c r="K1382" s="4"/>
      <c r="L1382" s="138"/>
      <c r="M1382" s="4"/>
      <c r="N1382" s="4"/>
      <c r="O1382" s="4"/>
    </row>
    <row r="1383" spans="1:15" ht="11.45" customHeight="1" outlineLevel="3" x14ac:dyDescent="0.2">
      <c r="A1383" s="76" t="s">
        <v>13839</v>
      </c>
      <c r="B1383" s="136"/>
      <c r="C1383" s="77"/>
      <c r="D1383" s="137"/>
      <c r="E1383" s="4"/>
      <c r="F1383" s="4"/>
      <c r="G1383" s="4"/>
      <c r="H1383" s="4"/>
      <c r="I1383" s="4"/>
      <c r="J1383" s="4"/>
      <c r="K1383" s="4"/>
      <c r="L1383" s="138"/>
      <c r="M1383" s="4"/>
      <c r="N1383" s="4"/>
      <c r="O1383" s="4"/>
    </row>
    <row r="1384" spans="1:15" s="1" customFormat="1" ht="11.45" customHeight="1" outlineLevel="4" x14ac:dyDescent="0.2">
      <c r="A1384" s="32" t="s">
        <v>13854</v>
      </c>
      <c r="B1384" s="74" t="s">
        <v>13855</v>
      </c>
      <c r="C1384" s="50"/>
      <c r="D1384" s="139">
        <f t="shared" si="21"/>
        <v>0</v>
      </c>
      <c r="E1384" s="140">
        <v>352.06</v>
      </c>
      <c r="F1384" s="140">
        <v>288.57</v>
      </c>
      <c r="G1384" s="34" t="s">
        <v>100</v>
      </c>
      <c r="H1384" s="34" t="s">
        <v>39</v>
      </c>
      <c r="I1384" s="35">
        <v>10</v>
      </c>
      <c r="J1384" s="35">
        <v>10</v>
      </c>
      <c r="K1384" s="35">
        <v>100</v>
      </c>
      <c r="L1384" s="60" t="str">
        <f>HYPERLINK("https://www.sds-group.ru/product/patch-kord-opticheskiy-soedinitelnyy-sm-9-125-os2-lc-upc-lc-upc-duplex-lszh-3m-50-2117/", "Инфо")</f>
        <v>Инфо</v>
      </c>
      <c r="M1384" s="37">
        <v>5.5E-2</v>
      </c>
      <c r="N1384" s="38">
        <v>5.0070000000000002E-3</v>
      </c>
      <c r="O1384" s="141">
        <v>4601004107144</v>
      </c>
    </row>
    <row r="1385" spans="1:15" s="1" customFormat="1" ht="11.45" customHeight="1" outlineLevel="4" x14ac:dyDescent="0.2">
      <c r="A1385" s="32" t="s">
        <v>13856</v>
      </c>
      <c r="B1385" s="74" t="s">
        <v>13857</v>
      </c>
      <c r="C1385" s="50"/>
      <c r="D1385" s="139">
        <f t="shared" si="21"/>
        <v>0</v>
      </c>
      <c r="E1385" s="140">
        <v>381.19</v>
      </c>
      <c r="F1385" s="140">
        <v>312.45</v>
      </c>
      <c r="G1385" s="34" t="s">
        <v>100</v>
      </c>
      <c r="H1385" s="34" t="s">
        <v>39</v>
      </c>
      <c r="I1385" s="35">
        <v>10</v>
      </c>
      <c r="J1385" s="35">
        <v>10</v>
      </c>
      <c r="K1385" s="35">
        <v>100</v>
      </c>
      <c r="L1385" s="60" t="str">
        <f>HYPERLINK("https://www.sds-group.ru/product/patch-kord-opticheskiy-soedinitelnyy-sm-9-125-os2-lc-upc-lc-upc-duplex-lszh-5m-rexant-50-2118/", "Инфо")</f>
        <v>Инфо</v>
      </c>
      <c r="M1385" s="37">
        <v>7.6999999999999999E-2</v>
      </c>
      <c r="N1385" s="38">
        <v>3.424E-3</v>
      </c>
      <c r="O1385" s="141">
        <v>4601004107151</v>
      </c>
    </row>
    <row r="1386" spans="1:15" ht="11.45" customHeight="1" outlineLevel="3" x14ac:dyDescent="0.2">
      <c r="A1386" s="76" t="s">
        <v>13858</v>
      </c>
      <c r="B1386" s="136"/>
      <c r="C1386" s="77"/>
      <c r="D1386" s="137"/>
      <c r="E1386" s="4"/>
      <c r="F1386" s="4"/>
      <c r="G1386" s="4"/>
      <c r="H1386" s="4"/>
      <c r="I1386" s="4"/>
      <c r="J1386" s="4"/>
      <c r="K1386" s="4"/>
      <c r="L1386" s="138"/>
      <c r="M1386" s="4"/>
      <c r="N1386" s="4"/>
      <c r="O1386" s="4"/>
    </row>
    <row r="1387" spans="1:15" s="1" customFormat="1" ht="11.45" customHeight="1" outlineLevel="4" x14ac:dyDescent="0.2">
      <c r="A1387" s="32" t="s">
        <v>13873</v>
      </c>
      <c r="B1387" s="74" t="s">
        <v>13874</v>
      </c>
      <c r="C1387" s="50"/>
      <c r="D1387" s="139">
        <f t="shared" si="21"/>
        <v>0</v>
      </c>
      <c r="E1387" s="140">
        <v>320.72000000000003</v>
      </c>
      <c r="F1387" s="140">
        <v>262.89</v>
      </c>
      <c r="G1387" s="34" t="s">
        <v>100</v>
      </c>
      <c r="H1387" s="34" t="s">
        <v>39</v>
      </c>
      <c r="I1387" s="35">
        <v>10</v>
      </c>
      <c r="J1387" s="35">
        <v>10</v>
      </c>
      <c r="K1387" s="35">
        <v>100</v>
      </c>
      <c r="L1387" s="60" t="str">
        <f>HYPERLINK("https://www.sds-group.ru/product/patch-kord-opticheskiy-perehodnoy-sm-9-125-os2-lc-upc-sc-upc-duplex-lszh-1m-rexant-50-2409/", "Инфо")</f>
        <v>Инфо</v>
      </c>
      <c r="M1387" s="37">
        <v>1.6E-2</v>
      </c>
      <c r="N1387" s="38">
        <v>3.5100000000000002E-4</v>
      </c>
      <c r="O1387" s="141">
        <v>4601004108356</v>
      </c>
    </row>
    <row r="1388" spans="1:15" s="1" customFormat="1" ht="11.45" customHeight="1" outlineLevel="4" x14ac:dyDescent="0.2">
      <c r="A1388" s="32" t="s">
        <v>13877</v>
      </c>
      <c r="B1388" s="74" t="s">
        <v>13878</v>
      </c>
      <c r="C1388" s="50"/>
      <c r="D1388" s="139">
        <f t="shared" si="21"/>
        <v>0</v>
      </c>
      <c r="E1388" s="140">
        <v>337.49</v>
      </c>
      <c r="F1388" s="140">
        <v>276.63</v>
      </c>
      <c r="G1388" s="34" t="s">
        <v>100</v>
      </c>
      <c r="H1388" s="34" t="s">
        <v>39</v>
      </c>
      <c r="I1388" s="35">
        <v>10</v>
      </c>
      <c r="J1388" s="35">
        <v>10</v>
      </c>
      <c r="K1388" s="35">
        <v>100</v>
      </c>
      <c r="L1388" s="60" t="str">
        <f>HYPERLINK("https://www.sds-group.ru/product/patch-kord-opticheskiy-perehodnoy-sm-9-125-os2-lc-upc-sc-upc-duplex-lszh-2m-rexant-50-2410/", "Инфо")</f>
        <v>Инфо</v>
      </c>
      <c r="M1388" s="37">
        <v>3.7999999999999999E-2</v>
      </c>
      <c r="N1388" s="38">
        <v>7.7800000000000015E-4</v>
      </c>
      <c r="O1388" s="141">
        <v>4601004108363</v>
      </c>
    </row>
    <row r="1389" spans="1:15" s="1" customFormat="1" ht="11.45" customHeight="1" outlineLevel="4" x14ac:dyDescent="0.2">
      <c r="A1389" s="32" t="s">
        <v>13879</v>
      </c>
      <c r="B1389" s="74" t="s">
        <v>13880</v>
      </c>
      <c r="C1389" s="50"/>
      <c r="D1389" s="139">
        <f t="shared" si="21"/>
        <v>0</v>
      </c>
      <c r="E1389" s="140">
        <v>352.06</v>
      </c>
      <c r="F1389" s="140">
        <v>288.57</v>
      </c>
      <c r="G1389" s="34" t="s">
        <v>100</v>
      </c>
      <c r="H1389" s="34" t="s">
        <v>39</v>
      </c>
      <c r="I1389" s="35">
        <v>10</v>
      </c>
      <c r="J1389" s="35">
        <v>10</v>
      </c>
      <c r="K1389" s="35">
        <v>100</v>
      </c>
      <c r="L1389" s="60" t="str">
        <f>HYPERLINK("https://www.sds-group.ru/product/patch-kord-opticheskiy-perehodnoy-sm-9-125-os2-lc-upc-sc-upc-duplex-lszh-3m-rexant-50-2411/", "Инфо")</f>
        <v>Инфо</v>
      </c>
      <c r="M1389" s="37">
        <v>0.05</v>
      </c>
      <c r="N1389" s="38">
        <v>7.3899999999999997E-4</v>
      </c>
      <c r="O1389" s="141">
        <v>4601004108370</v>
      </c>
    </row>
    <row r="1390" spans="1:15" ht="11.45" customHeight="1" outlineLevel="3" x14ac:dyDescent="0.2">
      <c r="A1390" s="76" t="s">
        <v>13881</v>
      </c>
      <c r="B1390" s="136"/>
      <c r="C1390" s="77"/>
      <c r="D1390" s="137"/>
      <c r="E1390" s="4"/>
      <c r="F1390" s="4"/>
      <c r="G1390" s="4"/>
      <c r="H1390" s="4"/>
      <c r="I1390" s="4"/>
      <c r="J1390" s="4"/>
      <c r="K1390" s="4"/>
      <c r="L1390" s="138"/>
      <c r="M1390" s="4"/>
      <c r="N1390" s="4"/>
      <c r="O1390" s="4"/>
    </row>
    <row r="1391" spans="1:15" s="1" customFormat="1" ht="11.45" customHeight="1" outlineLevel="4" x14ac:dyDescent="0.2">
      <c r="A1391" s="32" t="s">
        <v>13896</v>
      </c>
      <c r="B1391" s="74" t="s">
        <v>13897</v>
      </c>
      <c r="C1391" s="50"/>
      <c r="D1391" s="139">
        <f t="shared" si="21"/>
        <v>0</v>
      </c>
      <c r="E1391" s="140">
        <v>322.92</v>
      </c>
      <c r="F1391" s="140">
        <v>264.69</v>
      </c>
      <c r="G1391" s="34" t="s">
        <v>100</v>
      </c>
      <c r="H1391" s="34" t="s">
        <v>39</v>
      </c>
      <c r="I1391" s="35">
        <v>10</v>
      </c>
      <c r="J1391" s="35">
        <v>10</v>
      </c>
      <c r="K1391" s="35">
        <v>100</v>
      </c>
      <c r="L1391" s="60" t="str">
        <f>HYPERLINK("https://www.sds-group.ru/product/patch-kord-opticheskiy-soedinitelnyy-sm-9-125-os2-sc-upc-sc-upc-duplex-lszh-1m-50-2011/", "Инфо")</f>
        <v>Инфо</v>
      </c>
      <c r="M1391" s="37">
        <v>2.5999999999999999E-2</v>
      </c>
      <c r="N1391" s="38">
        <v>8.1099999999999998E-4</v>
      </c>
      <c r="O1391" s="141">
        <v>4601004106604</v>
      </c>
    </row>
    <row r="1392" spans="1:15" s="1" customFormat="1" ht="11.45" customHeight="1" outlineLevel="4" x14ac:dyDescent="0.2">
      <c r="A1392" s="32" t="s">
        <v>13898</v>
      </c>
      <c r="B1392" s="74" t="s">
        <v>13899</v>
      </c>
      <c r="C1392" s="50"/>
      <c r="D1392" s="139">
        <f t="shared" si="21"/>
        <v>0</v>
      </c>
      <c r="E1392" s="140">
        <v>337.49</v>
      </c>
      <c r="F1392" s="140">
        <v>276.63</v>
      </c>
      <c r="G1392" s="34" t="s">
        <v>100</v>
      </c>
      <c r="H1392" s="34" t="s">
        <v>39</v>
      </c>
      <c r="I1392" s="35">
        <v>10</v>
      </c>
      <c r="J1392" s="35">
        <v>10</v>
      </c>
      <c r="K1392" s="35">
        <v>100</v>
      </c>
      <c r="L1392" s="60" t="str">
        <f>HYPERLINK("https://www.sds-group.ru/product/patch-kord-opticheskiy-soedinitelnyy-sm-9-125-os2-sc-upc-sc-upc-duplex-lszh-2m-rexant-50-2012/", "Инфо")</f>
        <v>Инфо</v>
      </c>
      <c r="M1392" s="37">
        <v>3.3000000000000002E-2</v>
      </c>
      <c r="N1392" s="38">
        <v>3.4200000000000002E-4</v>
      </c>
      <c r="O1392" s="141">
        <v>4601004106611</v>
      </c>
    </row>
    <row r="1393" spans="1:15" s="1" customFormat="1" ht="11.45" customHeight="1" outlineLevel="4" x14ac:dyDescent="0.2">
      <c r="A1393" s="32" t="s">
        <v>13900</v>
      </c>
      <c r="B1393" s="74" t="s">
        <v>13901</v>
      </c>
      <c r="C1393" s="50"/>
      <c r="D1393" s="139">
        <f t="shared" si="21"/>
        <v>0</v>
      </c>
      <c r="E1393" s="140">
        <v>352.06</v>
      </c>
      <c r="F1393" s="140">
        <v>288.57</v>
      </c>
      <c r="G1393" s="34" t="s">
        <v>100</v>
      </c>
      <c r="H1393" s="34" t="s">
        <v>39</v>
      </c>
      <c r="I1393" s="35">
        <v>10</v>
      </c>
      <c r="J1393" s="35">
        <v>10</v>
      </c>
      <c r="K1393" s="35">
        <v>100</v>
      </c>
      <c r="L1393" s="60" t="str">
        <f>HYPERLINK("https://www.sds-group.ru/product/patch-kord-opticheskiy-soedinitelnyy-sm-9-125-os2-sc-upc-sc-upc-duplex-lszh-3m-50-2013/", "Инфо")</f>
        <v>Инфо</v>
      </c>
      <c r="M1393" s="37">
        <v>4.4999999999999998E-2</v>
      </c>
      <c r="N1393" s="38">
        <v>4.5600000000000003E-4</v>
      </c>
      <c r="O1393" s="141">
        <v>4601004106628</v>
      </c>
    </row>
    <row r="1394" spans="1:15" s="1" customFormat="1" ht="11.45" customHeight="1" outlineLevel="4" x14ac:dyDescent="0.2">
      <c r="A1394" s="32" t="s">
        <v>13902</v>
      </c>
      <c r="B1394" s="74" t="s">
        <v>13903</v>
      </c>
      <c r="C1394" s="50"/>
      <c r="D1394" s="139">
        <f t="shared" si="21"/>
        <v>0</v>
      </c>
      <c r="E1394" s="140">
        <v>381.19</v>
      </c>
      <c r="F1394" s="140">
        <v>312.45</v>
      </c>
      <c r="G1394" s="34" t="s">
        <v>100</v>
      </c>
      <c r="H1394" s="34" t="s">
        <v>39</v>
      </c>
      <c r="I1394" s="35">
        <v>10</v>
      </c>
      <c r="J1394" s="35">
        <v>10</v>
      </c>
      <c r="K1394" s="35">
        <v>100</v>
      </c>
      <c r="L1394" s="60" t="str">
        <f>HYPERLINK("https://www.sds-group.ru/product/patch-kord-opticheskiy-soedinitelnyy-sm-9-125-os2-sc-upc-sc-upc-duplex-lszh-5m-rexant-50-2014/", "Инфо")</f>
        <v>Инфо</v>
      </c>
      <c r="M1394" s="37">
        <v>8.3000000000000004E-2</v>
      </c>
      <c r="N1394" s="38">
        <v>8.8199999999999997E-4</v>
      </c>
      <c r="O1394" s="141">
        <v>4601004106635</v>
      </c>
    </row>
    <row r="1395" spans="1:15" ht="11.45" customHeight="1" outlineLevel="2" x14ac:dyDescent="0.2">
      <c r="A1395" s="76" t="s">
        <v>13958</v>
      </c>
      <c r="B1395" s="136"/>
      <c r="C1395" s="77"/>
      <c r="D1395" s="137"/>
      <c r="E1395" s="4"/>
      <c r="F1395" s="4"/>
      <c r="G1395" s="4"/>
      <c r="H1395" s="4"/>
      <c r="I1395" s="4"/>
      <c r="J1395" s="4"/>
      <c r="K1395" s="4"/>
      <c r="L1395" s="138"/>
      <c r="M1395" s="4"/>
      <c r="N1395" s="4"/>
      <c r="O1395" s="4"/>
    </row>
    <row r="1396" spans="1:15" ht="11.45" customHeight="1" outlineLevel="3" x14ac:dyDescent="0.2">
      <c r="A1396" s="76" t="s">
        <v>13998</v>
      </c>
      <c r="B1396" s="136"/>
      <c r="C1396" s="77"/>
      <c r="D1396" s="137"/>
      <c r="E1396" s="4"/>
      <c r="F1396" s="4"/>
      <c r="G1396" s="4"/>
      <c r="H1396" s="4"/>
      <c r="I1396" s="4"/>
      <c r="J1396" s="4"/>
      <c r="K1396" s="4"/>
      <c r="L1396" s="138"/>
      <c r="M1396" s="4"/>
      <c r="N1396" s="4"/>
      <c r="O1396" s="4"/>
    </row>
    <row r="1397" spans="1:15" s="1" customFormat="1" ht="11.45" customHeight="1" outlineLevel="4" x14ac:dyDescent="0.2">
      <c r="A1397" s="32" t="s">
        <v>13999</v>
      </c>
      <c r="B1397" s="74" t="s">
        <v>14000</v>
      </c>
      <c r="C1397" s="50"/>
      <c r="D1397" s="139">
        <f t="shared" si="21"/>
        <v>0</v>
      </c>
      <c r="E1397" s="140">
        <v>310.25</v>
      </c>
      <c r="F1397" s="140">
        <v>254.3</v>
      </c>
      <c r="G1397" s="34" t="s">
        <v>100</v>
      </c>
      <c r="H1397" s="34" t="s">
        <v>39</v>
      </c>
      <c r="I1397" s="35">
        <v>1</v>
      </c>
      <c r="J1397" s="35">
        <v>1</v>
      </c>
      <c r="K1397" s="35">
        <v>100</v>
      </c>
      <c r="L1397" s="60" t="str">
        <f>HYPERLINK("https://www.sds-group.ru/product/patch-kord-opticheskiy-perehodnoy-sm-9-125-os2-sc-apc-fc-upc-duplex-pvc-5m-rexant-50-2857-1/", "Инфо")</f>
        <v>Инфо</v>
      </c>
      <c r="M1397" s="37">
        <v>5.1999999999999998E-2</v>
      </c>
      <c r="N1397" s="38">
        <v>6.9300000000000004E-4</v>
      </c>
      <c r="O1397" s="141">
        <v>4601004105171</v>
      </c>
    </row>
    <row r="1398" spans="1:15" s="1" customFormat="1" ht="11.45" customHeight="1" outlineLevel="4" x14ac:dyDescent="0.2">
      <c r="A1398" s="32" t="s">
        <v>14001</v>
      </c>
      <c r="B1398" s="74" t="s">
        <v>14002</v>
      </c>
      <c r="C1398" s="50"/>
      <c r="D1398" s="139">
        <f t="shared" si="21"/>
        <v>0</v>
      </c>
      <c r="E1398" s="140">
        <v>464.57</v>
      </c>
      <c r="F1398" s="140">
        <v>380.8</v>
      </c>
      <c r="G1398" s="34" t="s">
        <v>100</v>
      </c>
      <c r="H1398" s="34" t="s">
        <v>39</v>
      </c>
      <c r="I1398" s="35">
        <v>10</v>
      </c>
      <c r="J1398" s="35">
        <v>10</v>
      </c>
      <c r="K1398" s="35">
        <v>30</v>
      </c>
      <c r="L1398" s="60" t="str">
        <f>HYPERLINK("https://www.sds-group.ru/product/patch-kord-opticheskiy-sm-9-125-os2-sc-upc-fc-upc-duplex-3mm-lszh-10m-24144/", "Инфо")</f>
        <v>Инфо</v>
      </c>
      <c r="M1398" s="37">
        <v>0.15</v>
      </c>
      <c r="N1398" s="38">
        <v>2.2499999999999999E-4</v>
      </c>
      <c r="O1398" s="141">
        <v>2000321632469</v>
      </c>
    </row>
    <row r="1399" spans="1:15" ht="11.45" customHeight="1" outlineLevel="1" x14ac:dyDescent="0.2">
      <c r="A1399" s="78" t="s">
        <v>14081</v>
      </c>
      <c r="B1399" s="132"/>
      <c r="C1399" s="79"/>
      <c r="D1399" s="133"/>
      <c r="E1399" s="134"/>
      <c r="F1399" s="134"/>
      <c r="G1399" s="134"/>
      <c r="H1399" s="134"/>
      <c r="I1399" s="134"/>
      <c r="J1399" s="134"/>
      <c r="K1399" s="134"/>
      <c r="L1399" s="135"/>
      <c r="M1399" s="134"/>
      <c r="N1399" s="134"/>
      <c r="O1399" s="134"/>
    </row>
    <row r="1400" spans="1:15" ht="11.45" customHeight="1" outlineLevel="2" x14ac:dyDescent="0.2">
      <c r="A1400" s="76" t="s">
        <v>14106</v>
      </c>
      <c r="B1400" s="136"/>
      <c r="C1400" s="77"/>
      <c r="D1400" s="137"/>
      <c r="E1400" s="4"/>
      <c r="F1400" s="4"/>
      <c r="G1400" s="4"/>
      <c r="H1400" s="4"/>
      <c r="I1400" s="4"/>
      <c r="J1400" s="4"/>
      <c r="K1400" s="4"/>
      <c r="L1400" s="138"/>
      <c r="M1400" s="4"/>
      <c r="N1400" s="4"/>
      <c r="O1400" s="4"/>
    </row>
    <row r="1401" spans="1:15" s="1" customFormat="1" ht="11.45" customHeight="1" outlineLevel="3" x14ac:dyDescent="0.2">
      <c r="A1401" s="32" t="s">
        <v>14107</v>
      </c>
      <c r="B1401" s="74" t="s">
        <v>14108</v>
      </c>
      <c r="C1401" s="50"/>
      <c r="D1401" s="139">
        <f t="shared" si="21"/>
        <v>0</v>
      </c>
      <c r="E1401" s="140">
        <v>13.52</v>
      </c>
      <c r="F1401" s="140">
        <v>11.08</v>
      </c>
      <c r="G1401" s="34" t="s">
        <v>100</v>
      </c>
      <c r="H1401" s="34" t="s">
        <v>39</v>
      </c>
      <c r="I1401" s="35">
        <v>50</v>
      </c>
      <c r="J1401" s="35">
        <v>50</v>
      </c>
      <c r="K1401" s="39">
        <v>1000</v>
      </c>
      <c r="L1401" s="60" t="str">
        <f>HYPERLINK("https://www.sds-group.ru/product/adapter-telefonnyy-prohodnoy-utp-rj-14-6p4c-cat-3-rexant-03-0022/", "Инфо")</f>
        <v>Инфо</v>
      </c>
      <c r="M1401" s="37">
        <v>8.0000000000000002E-3</v>
      </c>
      <c r="N1401" s="38">
        <v>2.3E-5</v>
      </c>
      <c r="O1401" s="141">
        <v>4610003602567</v>
      </c>
    </row>
    <row r="1402" spans="1:15" ht="11.45" customHeight="1" outlineLevel="1" x14ac:dyDescent="0.2">
      <c r="A1402" s="78" t="s">
        <v>14127</v>
      </c>
      <c r="B1402" s="132"/>
      <c r="C1402" s="79"/>
      <c r="D1402" s="133"/>
      <c r="E1402" s="134"/>
      <c r="F1402" s="134"/>
      <c r="G1402" s="134"/>
      <c r="H1402" s="134"/>
      <c r="I1402" s="134"/>
      <c r="J1402" s="134"/>
      <c r="K1402" s="134"/>
      <c r="L1402" s="135"/>
      <c r="M1402" s="134"/>
      <c r="N1402" s="134"/>
      <c r="O1402" s="134"/>
    </row>
    <row r="1403" spans="1:15" ht="11.45" customHeight="1" outlineLevel="2" x14ac:dyDescent="0.2">
      <c r="A1403" s="76" t="s">
        <v>14148</v>
      </c>
      <c r="B1403" s="136"/>
      <c r="C1403" s="77"/>
      <c r="D1403" s="137"/>
      <c r="E1403" s="4"/>
      <c r="F1403" s="4"/>
      <c r="G1403" s="4"/>
      <c r="H1403" s="4"/>
      <c r="I1403" s="4"/>
      <c r="J1403" s="4"/>
      <c r="K1403" s="4"/>
      <c r="L1403" s="138"/>
      <c r="M1403" s="4"/>
      <c r="N1403" s="4"/>
      <c r="O1403" s="4"/>
    </row>
    <row r="1404" spans="1:15" s="1" customFormat="1" ht="11.45" customHeight="1" outlineLevel="3" x14ac:dyDescent="0.2">
      <c r="A1404" s="32" t="s">
        <v>14151</v>
      </c>
      <c r="B1404" s="74" t="s">
        <v>14152</v>
      </c>
      <c r="C1404" s="50"/>
      <c r="D1404" s="139">
        <f t="shared" si="21"/>
        <v>0</v>
      </c>
      <c r="E1404" s="140">
        <v>423.35</v>
      </c>
      <c r="F1404" s="140">
        <v>347.01</v>
      </c>
      <c r="G1404" s="34" t="s">
        <v>100</v>
      </c>
      <c r="H1404" s="34" t="s">
        <v>39</v>
      </c>
      <c r="I1404" s="35">
        <v>1</v>
      </c>
      <c r="J1404" s="35">
        <v>1</v>
      </c>
      <c r="K1404" s="35">
        <v>1</v>
      </c>
      <c r="L1404" s="60" t="str">
        <f>HYPERLINK("https://www.sds-group.ru/product/industrialnyy-soedinitelnyy-modul-rj-45-8p8c-stp-cat-6-ip68-s-zaschitnym-kolpachkom-dlya-kab-02-0285/", "Инфо")</f>
        <v>Инфо</v>
      </c>
      <c r="M1404" s="37">
        <v>2.7E-2</v>
      </c>
      <c r="N1404" s="38">
        <v>1.8100000000000001E-4</v>
      </c>
      <c r="O1404" s="141">
        <v>4601004276147</v>
      </c>
    </row>
    <row r="1405" spans="1:15" s="1" customFormat="1" ht="11.45" customHeight="1" outlineLevel="3" x14ac:dyDescent="0.2">
      <c r="A1405" s="32" t="s">
        <v>14153</v>
      </c>
      <c r="B1405" s="74" t="s">
        <v>14154</v>
      </c>
      <c r="C1405" s="50"/>
      <c r="D1405" s="139">
        <f t="shared" si="21"/>
        <v>0</v>
      </c>
      <c r="E1405" s="140">
        <v>549.37</v>
      </c>
      <c r="F1405" s="140">
        <v>450.3</v>
      </c>
      <c r="G1405" s="34" t="s">
        <v>100</v>
      </c>
      <c r="H1405" s="34" t="s">
        <v>39</v>
      </c>
      <c r="I1405" s="35">
        <v>1</v>
      </c>
      <c r="J1405" s="35">
        <v>1</v>
      </c>
      <c r="K1405" s="35">
        <v>150</v>
      </c>
      <c r="L1405" s="60" t="str">
        <f>HYPERLINK("https://www.sds-group.ru/product/industrialnyy-soedinitelnyy-modul-rj-45-8p8c-stp-cat-6-ip68-rexant-02-0284/", "Инфо")</f>
        <v>Инфо</v>
      </c>
      <c r="M1405" s="37">
        <v>4.8000000000000001E-2</v>
      </c>
      <c r="N1405" s="38">
        <v>2.6699999999999998E-4</v>
      </c>
      <c r="O1405" s="141">
        <v>4601004276130</v>
      </c>
    </row>
    <row r="1406" spans="1:15" ht="11.45" customHeight="1" outlineLevel="1" x14ac:dyDescent="0.2">
      <c r="A1406" s="78" t="s">
        <v>14155</v>
      </c>
      <c r="B1406" s="132"/>
      <c r="C1406" s="79"/>
      <c r="D1406" s="133"/>
      <c r="E1406" s="134"/>
      <c r="F1406" s="134"/>
      <c r="G1406" s="134"/>
      <c r="H1406" s="134"/>
      <c r="I1406" s="134"/>
      <c r="J1406" s="134"/>
      <c r="K1406" s="134"/>
      <c r="L1406" s="135"/>
      <c r="M1406" s="134"/>
      <c r="N1406" s="134"/>
      <c r="O1406" s="134"/>
    </row>
    <row r="1407" spans="1:15" ht="11.45" customHeight="1" outlineLevel="2" x14ac:dyDescent="0.2">
      <c r="A1407" s="76" t="s">
        <v>14161</v>
      </c>
      <c r="B1407" s="136"/>
      <c r="C1407" s="77"/>
      <c r="D1407" s="137"/>
      <c r="E1407" s="4"/>
      <c r="F1407" s="4"/>
      <c r="G1407" s="4"/>
      <c r="H1407" s="4"/>
      <c r="I1407" s="4"/>
      <c r="J1407" s="4"/>
      <c r="K1407" s="4"/>
      <c r="L1407" s="138"/>
      <c r="M1407" s="4"/>
      <c r="N1407" s="4"/>
      <c r="O1407" s="4"/>
    </row>
    <row r="1408" spans="1:15" s="1" customFormat="1" ht="11.45" customHeight="1" outlineLevel="3" x14ac:dyDescent="0.2">
      <c r="A1408" s="32" t="s">
        <v>14162</v>
      </c>
      <c r="B1408" s="74" t="s">
        <v>14163</v>
      </c>
      <c r="C1408" s="50"/>
      <c r="D1408" s="139">
        <f t="shared" si="21"/>
        <v>0</v>
      </c>
      <c r="E1408" s="140">
        <v>25.62</v>
      </c>
      <c r="F1408" s="140">
        <v>21</v>
      </c>
      <c r="G1408" s="34" t="s">
        <v>100</v>
      </c>
      <c r="H1408" s="34" t="s">
        <v>1001</v>
      </c>
      <c r="I1408" s="35">
        <v>1</v>
      </c>
      <c r="J1408" s="35">
        <v>1</v>
      </c>
      <c r="K1408" s="35">
        <v>10</v>
      </c>
      <c r="L1408" s="60" t="str">
        <f>HYPERLINK("https://www.sds-group.ru/product/kolpachok-zaschitniy-dlya-shtekera-8r8s-rj-45-seriy-5sht-rexant-18143/", "Инфо")</f>
        <v>Инфо</v>
      </c>
      <c r="M1408" s="37">
        <v>1.4E-2</v>
      </c>
      <c r="N1408" s="38">
        <v>1.4300000000000001E-4</v>
      </c>
      <c r="O1408" s="141">
        <v>4601004122338</v>
      </c>
    </row>
    <row r="1409" spans="1:15" ht="11.45" customHeight="1" outlineLevel="2" x14ac:dyDescent="0.2">
      <c r="A1409" s="76" t="s">
        <v>14176</v>
      </c>
      <c r="B1409" s="136"/>
      <c r="C1409" s="77"/>
      <c r="D1409" s="137"/>
      <c r="E1409" s="4"/>
      <c r="F1409" s="4"/>
      <c r="G1409" s="4"/>
      <c r="H1409" s="4"/>
      <c r="I1409" s="4"/>
      <c r="J1409" s="4"/>
      <c r="K1409" s="4"/>
      <c r="L1409" s="138"/>
      <c r="M1409" s="4"/>
      <c r="N1409" s="4"/>
      <c r="O1409" s="4"/>
    </row>
    <row r="1410" spans="1:15" s="1" customFormat="1" ht="11.45" customHeight="1" outlineLevel="3" x14ac:dyDescent="0.2">
      <c r="A1410" s="32" t="s">
        <v>14181</v>
      </c>
      <c r="B1410" s="74" t="s">
        <v>14182</v>
      </c>
      <c r="C1410" s="50"/>
      <c r="D1410" s="139">
        <f t="shared" si="21"/>
        <v>0</v>
      </c>
      <c r="E1410" s="140">
        <v>51.4</v>
      </c>
      <c r="F1410" s="140">
        <v>42.13</v>
      </c>
      <c r="G1410" s="34" t="s">
        <v>100</v>
      </c>
      <c r="H1410" s="34" t="s">
        <v>39</v>
      </c>
      <c r="I1410" s="35">
        <v>1</v>
      </c>
      <c r="J1410" s="35">
        <v>1</v>
      </c>
      <c r="K1410" s="35">
        <v>10</v>
      </c>
      <c r="L1410" s="60" t="str">
        <f>HYPERLINK("https://www.sds-group.ru/product/perehodnik-setevoy-lan-shteker-8r8s-rj-45-2-gnezda-8r8s-rj-45-rexant-06-0113-B/", "Инфо")</f>
        <v>Инфо</v>
      </c>
      <c r="M1410" s="37">
        <v>0.02</v>
      </c>
      <c r="N1410" s="38">
        <v>2.9E-4</v>
      </c>
      <c r="O1410" s="141">
        <v>4601004122475</v>
      </c>
    </row>
    <row r="1411" spans="1:15" ht="11.45" customHeight="1" outlineLevel="2" x14ac:dyDescent="0.2">
      <c r="A1411" s="76" t="s">
        <v>14183</v>
      </c>
      <c r="B1411" s="136"/>
      <c r="C1411" s="77"/>
      <c r="D1411" s="137"/>
      <c r="E1411" s="4"/>
      <c r="F1411" s="4"/>
      <c r="G1411" s="4"/>
      <c r="H1411" s="4"/>
      <c r="I1411" s="4"/>
      <c r="J1411" s="4"/>
      <c r="K1411" s="4"/>
      <c r="L1411" s="138"/>
      <c r="M1411" s="4"/>
      <c r="N1411" s="4"/>
      <c r="O1411" s="4"/>
    </row>
    <row r="1412" spans="1:15" s="1" customFormat="1" ht="11.45" customHeight="1" outlineLevel="3" x14ac:dyDescent="0.2">
      <c r="A1412" s="32" t="s">
        <v>14184</v>
      </c>
      <c r="B1412" s="74" t="s">
        <v>14185</v>
      </c>
      <c r="C1412" s="50"/>
      <c r="D1412" s="139">
        <f t="shared" si="21"/>
        <v>0</v>
      </c>
      <c r="E1412" s="140">
        <v>96.06</v>
      </c>
      <c r="F1412" s="140">
        <v>78.739999999999995</v>
      </c>
      <c r="G1412" s="34" t="s">
        <v>100</v>
      </c>
      <c r="H1412" s="34" t="s">
        <v>39</v>
      </c>
      <c r="I1412" s="35">
        <v>1</v>
      </c>
      <c r="J1412" s="35">
        <v>1</v>
      </c>
      <c r="K1412" s="35">
        <v>10</v>
      </c>
      <c r="L1412" s="60" t="str">
        <f>HYPERLINK("https://www.sds-group.ru/product/patch-kord-u-utp-rj45-rj45-cat-5e-pvc-seryy-1-5m-rexant-06-3202/", "Инфо")</f>
        <v>Инфо</v>
      </c>
      <c r="M1412" s="37">
        <v>5.0999999999999997E-2</v>
      </c>
      <c r="N1412" s="38">
        <v>3.2200000000000002E-4</v>
      </c>
      <c r="O1412" s="141">
        <v>4601004127821</v>
      </c>
    </row>
    <row r="1413" spans="1:15" s="1" customFormat="1" ht="11.45" customHeight="1" outlineLevel="3" x14ac:dyDescent="0.2">
      <c r="A1413" s="32" t="s">
        <v>14186</v>
      </c>
      <c r="B1413" s="74" t="s">
        <v>14187</v>
      </c>
      <c r="C1413" s="50"/>
      <c r="D1413" s="139">
        <f t="shared" si="21"/>
        <v>0</v>
      </c>
      <c r="E1413" s="140">
        <v>195.97</v>
      </c>
      <c r="F1413" s="140">
        <v>160.63</v>
      </c>
      <c r="G1413" s="34" t="s">
        <v>100</v>
      </c>
      <c r="H1413" s="34" t="s">
        <v>39</v>
      </c>
      <c r="I1413" s="35">
        <v>1</v>
      </c>
      <c r="J1413" s="35">
        <v>1</v>
      </c>
      <c r="K1413" s="35">
        <v>10</v>
      </c>
      <c r="L1413" s="60" t="str">
        <f>HYPERLINK("https://www.sds-group.ru/product/patch-kord-u-utp-rj45-rj45-cat-5e-pvc-seryy-5m-rexant-06-3204/", "Инфо")</f>
        <v>Инфо</v>
      </c>
      <c r="M1413" s="37">
        <v>0.113</v>
      </c>
      <c r="N1413" s="38">
        <v>6.6E-4</v>
      </c>
      <c r="O1413" s="141">
        <v>4601004127845</v>
      </c>
    </row>
    <row r="1414" spans="1:15" ht="11.45" customHeight="1" x14ac:dyDescent="0.2">
      <c r="A1414" s="80" t="s">
        <v>14234</v>
      </c>
      <c r="B1414" s="128"/>
      <c r="C1414" s="81"/>
      <c r="D1414" s="129"/>
      <c r="E1414" s="130"/>
      <c r="F1414" s="130"/>
      <c r="G1414" s="130"/>
      <c r="H1414" s="130"/>
      <c r="I1414" s="130"/>
      <c r="J1414" s="130"/>
      <c r="K1414" s="130"/>
      <c r="L1414" s="131"/>
      <c r="M1414" s="130"/>
      <c r="N1414" s="130"/>
      <c r="O1414" s="130"/>
    </row>
    <row r="1415" spans="1:15" ht="11.45" customHeight="1" outlineLevel="1" x14ac:dyDescent="0.2">
      <c r="A1415" s="78" t="s">
        <v>14235</v>
      </c>
      <c r="B1415" s="132"/>
      <c r="C1415" s="79"/>
      <c r="D1415" s="133"/>
      <c r="E1415" s="134"/>
      <c r="F1415" s="134"/>
      <c r="G1415" s="134"/>
      <c r="H1415" s="134"/>
      <c r="I1415" s="134"/>
      <c r="J1415" s="134"/>
      <c r="K1415" s="134"/>
      <c r="L1415" s="135"/>
      <c r="M1415" s="134"/>
      <c r="N1415" s="134"/>
      <c r="O1415" s="134"/>
    </row>
    <row r="1416" spans="1:15" ht="11.45" customHeight="1" outlineLevel="2" x14ac:dyDescent="0.2">
      <c r="A1416" s="76" t="s">
        <v>14283</v>
      </c>
      <c r="B1416" s="136"/>
      <c r="C1416" s="77"/>
      <c r="D1416" s="137"/>
      <c r="E1416" s="4"/>
      <c r="F1416" s="4"/>
      <c r="G1416" s="4"/>
      <c r="H1416" s="4"/>
      <c r="I1416" s="4"/>
      <c r="J1416" s="4"/>
      <c r="K1416" s="4"/>
      <c r="L1416" s="138"/>
      <c r="M1416" s="4"/>
      <c r="N1416" s="4"/>
      <c r="O1416" s="4"/>
    </row>
    <row r="1417" spans="1:15" ht="11.45" customHeight="1" outlineLevel="3" x14ac:dyDescent="0.2">
      <c r="A1417" s="76" t="s">
        <v>14284</v>
      </c>
      <c r="B1417" s="136"/>
      <c r="C1417" s="77"/>
      <c r="D1417" s="137"/>
      <c r="E1417" s="4"/>
      <c r="F1417" s="4"/>
      <c r="G1417" s="4"/>
      <c r="H1417" s="4"/>
      <c r="I1417" s="4"/>
      <c r="J1417" s="4"/>
      <c r="K1417" s="4"/>
      <c r="L1417" s="138"/>
      <c r="M1417" s="4"/>
      <c r="N1417" s="4"/>
      <c r="O1417" s="4"/>
    </row>
    <row r="1418" spans="1:15" s="1" customFormat="1" ht="11.45" customHeight="1" outlineLevel="4" x14ac:dyDescent="0.2">
      <c r="A1418" s="32" t="s">
        <v>14285</v>
      </c>
      <c r="B1418" s="74" t="s">
        <v>14286</v>
      </c>
      <c r="C1418" s="50"/>
      <c r="D1418" s="139">
        <f t="shared" si="21"/>
        <v>0</v>
      </c>
      <c r="E1418" s="140">
        <v>12.74</v>
      </c>
      <c r="F1418" s="140">
        <v>10.44</v>
      </c>
      <c r="G1418" s="34" t="s">
        <v>100</v>
      </c>
      <c r="H1418" s="34" t="s">
        <v>39</v>
      </c>
      <c r="I1418" s="35">
        <v>50</v>
      </c>
      <c r="J1418" s="35">
        <v>50</v>
      </c>
      <c r="K1418" s="39">
        <v>1000</v>
      </c>
      <c r="L1418" s="60" t="str">
        <f>HYPERLINK("https://www.sds-group.ru/product/razem-bnc-gnezdo-pod-vint-s-kolpachkom-rexant-05-3082/", "Инфо")</f>
        <v>Инфо</v>
      </c>
      <c r="M1418" s="37">
        <v>7.0000000000000001E-3</v>
      </c>
      <c r="N1418" s="38">
        <v>1.1E-5</v>
      </c>
      <c r="O1418" s="141">
        <v>4601004041578</v>
      </c>
    </row>
    <row r="1419" spans="1:15" s="1" customFormat="1" ht="11.45" customHeight="1" outlineLevel="4" x14ac:dyDescent="0.2">
      <c r="A1419" s="32" t="s">
        <v>14295</v>
      </c>
      <c r="B1419" s="74" t="s">
        <v>14296</v>
      </c>
      <c r="C1419" s="50"/>
      <c r="D1419" s="139">
        <f t="shared" si="21"/>
        <v>0</v>
      </c>
      <c r="E1419" s="140">
        <v>20.23</v>
      </c>
      <c r="F1419" s="140">
        <v>16.579999999999998</v>
      </c>
      <c r="G1419" s="34" t="s">
        <v>100</v>
      </c>
      <c r="H1419" s="34" t="s">
        <v>39</v>
      </c>
      <c r="I1419" s="35">
        <v>50</v>
      </c>
      <c r="J1419" s="35">
        <v>50</v>
      </c>
      <c r="K1419" s="39">
        <v>1000</v>
      </c>
      <c r="L1419" s="60" t="str">
        <f>HYPERLINK("https://www.sds-group.ru/product/razem-bnc-shteker-pod-vint-s-kolpachkom-rexant-05-3071/", "Инфо")</f>
        <v>Инфо</v>
      </c>
      <c r="M1419" s="37">
        <v>8.9999999999999993E-3</v>
      </c>
      <c r="N1419" s="38">
        <v>1.2999999999999999E-5</v>
      </c>
      <c r="O1419" s="141">
        <v>4610003608255</v>
      </c>
    </row>
    <row r="1420" spans="1:15" s="1" customFormat="1" ht="11.45" customHeight="1" outlineLevel="4" x14ac:dyDescent="0.2">
      <c r="A1420" s="32" t="s">
        <v>14301</v>
      </c>
      <c r="B1420" s="74" t="s">
        <v>14302</v>
      </c>
      <c r="C1420" s="50"/>
      <c r="D1420" s="139">
        <f t="shared" ref="D1420:D1483" si="22">C1420*E1420</f>
        <v>0</v>
      </c>
      <c r="E1420" s="140">
        <v>23.59</v>
      </c>
      <c r="F1420" s="140">
        <v>19.34</v>
      </c>
      <c r="G1420" s="34" t="s">
        <v>100</v>
      </c>
      <c r="H1420" s="34" t="s">
        <v>39</v>
      </c>
      <c r="I1420" s="35">
        <v>50</v>
      </c>
      <c r="J1420" s="35">
        <v>50</v>
      </c>
      <c r="K1420" s="39">
        <v>1000</v>
      </c>
      <c r="L1420" s="60" t="str">
        <f>HYPERLINK("https://www.sds-group.ru/product/razem-bnc-shteker-pod-payku-s-pruzhinoy-metall-universalnyy-proconnect-05-3075-4/", "Инфо")</f>
        <v>Инфо</v>
      </c>
      <c r="M1420" s="37">
        <v>1.0999999999999999E-2</v>
      </c>
      <c r="N1420" s="38">
        <v>1.2E-5</v>
      </c>
      <c r="O1420" s="141">
        <v>4660008017910</v>
      </c>
    </row>
    <row r="1421" spans="1:15" s="1" customFormat="1" ht="11.45" customHeight="1" outlineLevel="4" x14ac:dyDescent="0.2">
      <c r="A1421" s="32" t="s">
        <v>14309</v>
      </c>
      <c r="B1421" s="74" t="s">
        <v>14310</v>
      </c>
      <c r="C1421" s="50"/>
      <c r="D1421" s="139">
        <f t="shared" si="22"/>
        <v>0</v>
      </c>
      <c r="E1421" s="140">
        <v>4.41</v>
      </c>
      <c r="F1421" s="140">
        <v>3.61</v>
      </c>
      <c r="G1421" s="34" t="s">
        <v>100</v>
      </c>
      <c r="H1421" s="34" t="s">
        <v>39</v>
      </c>
      <c r="I1421" s="35">
        <v>50</v>
      </c>
      <c r="J1421" s="35">
        <v>50</v>
      </c>
      <c r="K1421" s="39">
        <v>1000</v>
      </c>
      <c r="L1421" s="60" t="str">
        <f>HYPERLINK("https://www.sds-group.ru/product/razem-bnc-gnezdo-s-provodom-20-sm-rexant-05-3120/", "Инфо")</f>
        <v>Инфо</v>
      </c>
      <c r="M1421" s="37">
        <v>8.0000000000000002E-3</v>
      </c>
      <c r="N1421" s="38">
        <v>2.5000000000000001E-5</v>
      </c>
      <c r="O1421" s="141">
        <v>4601004088290</v>
      </c>
    </row>
    <row r="1422" spans="1:15" ht="11.45" customHeight="1" outlineLevel="3" x14ac:dyDescent="0.2">
      <c r="A1422" s="76" t="s">
        <v>14311</v>
      </c>
      <c r="B1422" s="136"/>
      <c r="C1422" s="77"/>
      <c r="D1422" s="137"/>
      <c r="E1422" s="4"/>
      <c r="F1422" s="4"/>
      <c r="G1422" s="4"/>
      <c r="H1422" s="4"/>
      <c r="I1422" s="4"/>
      <c r="J1422" s="4"/>
      <c r="K1422" s="4"/>
      <c r="L1422" s="138"/>
      <c r="M1422" s="4"/>
      <c r="N1422" s="4"/>
      <c r="O1422" s="4"/>
    </row>
    <row r="1423" spans="1:15" s="1" customFormat="1" ht="11.45" customHeight="1" outlineLevel="4" x14ac:dyDescent="0.2">
      <c r="A1423" s="32" t="s">
        <v>14314</v>
      </c>
      <c r="B1423" s="74" t="s">
        <v>14315</v>
      </c>
      <c r="C1423" s="50"/>
      <c r="D1423" s="139">
        <f t="shared" si="22"/>
        <v>0</v>
      </c>
      <c r="E1423" s="140">
        <v>81.84</v>
      </c>
      <c r="F1423" s="140">
        <v>67.08</v>
      </c>
      <c r="G1423" s="34" t="s">
        <v>100</v>
      </c>
      <c r="H1423" s="34" t="s">
        <v>39</v>
      </c>
      <c r="I1423" s="35">
        <v>1</v>
      </c>
      <c r="J1423" s="35">
        <v>1</v>
      </c>
      <c r="K1423" s="35">
        <v>200</v>
      </c>
      <c r="L1423" s="60" t="str">
        <f>HYPERLINK("https://www.sds-group.ru/product/razvetvitel-pitaniya-dc-na-5-razemov-2-1h5-5mm-rexant-14-0318/", "Инфо")</f>
        <v>Инфо</v>
      </c>
      <c r="M1423" s="37">
        <v>4.2999999999999997E-2</v>
      </c>
      <c r="N1423" s="38">
        <v>1.1E-4</v>
      </c>
      <c r="O1423" s="141">
        <v>4601004068988</v>
      </c>
    </row>
    <row r="1424" spans="1:15" s="1" customFormat="1" ht="11.45" customHeight="1" outlineLevel="4" x14ac:dyDescent="0.2">
      <c r="A1424" s="32" t="s">
        <v>14316</v>
      </c>
      <c r="B1424" s="74" t="s">
        <v>14317</v>
      </c>
      <c r="C1424" s="50"/>
      <c r="D1424" s="139">
        <f t="shared" si="22"/>
        <v>0</v>
      </c>
      <c r="E1424" s="140">
        <v>121</v>
      </c>
      <c r="F1424" s="140">
        <v>99.18</v>
      </c>
      <c r="G1424" s="34" t="s">
        <v>100</v>
      </c>
      <c r="H1424" s="34" t="s">
        <v>39</v>
      </c>
      <c r="I1424" s="35">
        <v>1</v>
      </c>
      <c r="J1424" s="35">
        <v>1</v>
      </c>
      <c r="K1424" s="35">
        <v>200</v>
      </c>
      <c r="L1424" s="60" t="str">
        <f>HYPERLINK("https://www.sds-group.ru/product/razvetvitel-pitaniya-dc-na-9-razemov-2-1h5-5mm-rexant-14-0317/", "Инфо")</f>
        <v>Инфо</v>
      </c>
      <c r="M1424" s="37">
        <v>6.0999999999999999E-2</v>
      </c>
      <c r="N1424" s="38">
        <v>1.5799999999999999E-4</v>
      </c>
      <c r="O1424" s="141">
        <v>4601004009776</v>
      </c>
    </row>
    <row r="1425" spans="1:15" s="1" customFormat="1" ht="11.45" customHeight="1" outlineLevel="4" x14ac:dyDescent="0.2">
      <c r="A1425" s="32" t="s">
        <v>14342</v>
      </c>
      <c r="B1425" s="74" t="s">
        <v>14343</v>
      </c>
      <c r="C1425" s="50"/>
      <c r="D1425" s="139">
        <f t="shared" si="22"/>
        <v>0</v>
      </c>
      <c r="E1425" s="140">
        <v>51.32</v>
      </c>
      <c r="F1425" s="140">
        <v>42.07</v>
      </c>
      <c r="G1425" s="34" t="s">
        <v>100</v>
      </c>
      <c r="H1425" s="34" t="s">
        <v>39</v>
      </c>
      <c r="I1425" s="35">
        <v>1</v>
      </c>
      <c r="J1425" s="35">
        <v>1</v>
      </c>
      <c r="K1425" s="35">
        <v>500</v>
      </c>
      <c r="L1425" s="60" t="str">
        <f>HYPERLINK("https://www.sds-group.ru/product/udlinitel-kabelya-pitaniya-dc-gnezdo-shteker-2-1h5-5mm-1-5m-rexant-14-0350/", "Инфо")</f>
        <v>Инфо</v>
      </c>
      <c r="M1425" s="37">
        <v>2.7E-2</v>
      </c>
      <c r="N1425" s="38">
        <v>7.4999999999999993E-5</v>
      </c>
      <c r="O1425" s="141">
        <v>4601004075214</v>
      </c>
    </row>
    <row r="1426" spans="1:15" ht="11.45" customHeight="1" outlineLevel="2" x14ac:dyDescent="0.2">
      <c r="A1426" s="76" t="s">
        <v>14366</v>
      </c>
      <c r="B1426" s="136"/>
      <c r="C1426" s="77"/>
      <c r="D1426" s="137"/>
      <c r="E1426" s="4"/>
      <c r="F1426" s="4"/>
      <c r="G1426" s="4"/>
      <c r="H1426" s="4"/>
      <c r="I1426" s="4"/>
      <c r="J1426" s="4"/>
      <c r="K1426" s="4"/>
      <c r="L1426" s="138"/>
      <c r="M1426" s="4"/>
      <c r="N1426" s="4"/>
      <c r="O1426" s="4"/>
    </row>
    <row r="1427" spans="1:15" ht="11.45" customHeight="1" outlineLevel="3" x14ac:dyDescent="0.2">
      <c r="A1427" s="76" t="s">
        <v>14367</v>
      </c>
      <c r="B1427" s="136"/>
      <c r="C1427" s="77"/>
      <c r="D1427" s="137"/>
      <c r="E1427" s="4"/>
      <c r="F1427" s="4"/>
      <c r="G1427" s="4"/>
      <c r="H1427" s="4"/>
      <c r="I1427" s="4"/>
      <c r="J1427" s="4"/>
      <c r="K1427" s="4"/>
      <c r="L1427" s="138"/>
      <c r="M1427" s="4"/>
      <c r="N1427" s="4"/>
      <c r="O1427" s="4"/>
    </row>
    <row r="1428" spans="1:15" s="1" customFormat="1" ht="11.45" customHeight="1" outlineLevel="4" x14ac:dyDescent="0.2">
      <c r="A1428" s="32" t="s">
        <v>14368</v>
      </c>
      <c r="B1428" s="74" t="s">
        <v>14369</v>
      </c>
      <c r="C1428" s="50"/>
      <c r="D1428" s="139">
        <f t="shared" si="22"/>
        <v>0</v>
      </c>
      <c r="E1428" s="140">
        <v>1311.69</v>
      </c>
      <c r="F1428" s="140">
        <v>1075.1600000000001</v>
      </c>
      <c r="G1428" s="34" t="s">
        <v>100</v>
      </c>
      <c r="H1428" s="34" t="s">
        <v>39</v>
      </c>
      <c r="I1428" s="35">
        <v>1</v>
      </c>
      <c r="J1428" s="35">
        <v>1</v>
      </c>
      <c r="K1428" s="35">
        <v>50</v>
      </c>
      <c r="L1428" s="60" t="str">
        <f>HYPERLINK("https://www.sds-group.ru/product/kupolnaya-ulichnaya-kamera-ahd-1-3mp-960p-obektiv-2-8-12-mm-ik-do-30-m-45-0143/", "Инфо")</f>
        <v>Инфо</v>
      </c>
      <c r="M1428" s="37">
        <v>0.69899999999999995</v>
      </c>
      <c r="N1428" s="38">
        <v>2.0240000000000002E-3</v>
      </c>
      <c r="O1428" s="141">
        <v>4601004035508</v>
      </c>
    </row>
    <row r="1429" spans="1:15" ht="11.45" customHeight="1" outlineLevel="3" x14ac:dyDescent="0.2">
      <c r="A1429" s="76" t="s">
        <v>14370</v>
      </c>
      <c r="B1429" s="136"/>
      <c r="C1429" s="77"/>
      <c r="D1429" s="137"/>
      <c r="E1429" s="4"/>
      <c r="F1429" s="4"/>
      <c r="G1429" s="4"/>
      <c r="H1429" s="4"/>
      <c r="I1429" s="4"/>
      <c r="J1429" s="4"/>
      <c r="K1429" s="4"/>
      <c r="L1429" s="138"/>
      <c r="M1429" s="4"/>
      <c r="N1429" s="4"/>
      <c r="O1429" s="4"/>
    </row>
    <row r="1430" spans="1:15" s="1" customFormat="1" ht="11.45" customHeight="1" outlineLevel="4" x14ac:dyDescent="0.2">
      <c r="A1430" s="32" t="s">
        <v>14371</v>
      </c>
      <c r="B1430" s="74" t="s">
        <v>14372</v>
      </c>
      <c r="C1430" s="50"/>
      <c r="D1430" s="139">
        <f t="shared" si="22"/>
        <v>0</v>
      </c>
      <c r="E1430" s="140">
        <v>664.29</v>
      </c>
      <c r="F1430" s="140">
        <v>544.5</v>
      </c>
      <c r="G1430" s="34" t="s">
        <v>100</v>
      </c>
      <c r="H1430" s="34" t="s">
        <v>39</v>
      </c>
      <c r="I1430" s="35">
        <v>1</v>
      </c>
      <c r="J1430" s="35">
        <v>1</v>
      </c>
      <c r="K1430" s="35">
        <v>18</v>
      </c>
      <c r="L1430" s="60" t="str">
        <f>HYPERLINK("https://www.sds-group.ru/product/kupolnaya-kamera-ahd-1-0mp-720p-obektiv-2-8-12-mm-ik-do-30-m-45-0135/", "Инфо")</f>
        <v>Инфо</v>
      </c>
      <c r="M1430" s="37">
        <v>0.39600000000000002</v>
      </c>
      <c r="N1430" s="38">
        <v>2.0140000000000002E-3</v>
      </c>
      <c r="O1430" s="141">
        <v>4601004050693</v>
      </c>
    </row>
    <row r="1431" spans="1:15" ht="11.45" customHeight="1" outlineLevel="2" x14ac:dyDescent="0.2">
      <c r="A1431" s="76" t="s">
        <v>14373</v>
      </c>
      <c r="B1431" s="136"/>
      <c r="C1431" s="77"/>
      <c r="D1431" s="137"/>
      <c r="E1431" s="4"/>
      <c r="F1431" s="4"/>
      <c r="G1431" s="4"/>
      <c r="H1431" s="4"/>
      <c r="I1431" s="4"/>
      <c r="J1431" s="4"/>
      <c r="K1431" s="4"/>
      <c r="L1431" s="138"/>
      <c r="M1431" s="4"/>
      <c r="N1431" s="4"/>
      <c r="O1431" s="4"/>
    </row>
    <row r="1432" spans="1:15" s="1" customFormat="1" ht="11.45" customHeight="1" outlineLevel="3" x14ac:dyDescent="0.2">
      <c r="A1432" s="32" t="s">
        <v>14374</v>
      </c>
      <c r="B1432" s="74" t="s">
        <v>14375</v>
      </c>
      <c r="C1432" s="50"/>
      <c r="D1432" s="139">
        <f t="shared" si="22"/>
        <v>0</v>
      </c>
      <c r="E1432" s="140">
        <v>1667.71</v>
      </c>
      <c r="F1432" s="140">
        <v>1366.98</v>
      </c>
      <c r="G1432" s="34" t="s">
        <v>100</v>
      </c>
      <c r="H1432" s="34" t="s">
        <v>39</v>
      </c>
      <c r="I1432" s="35">
        <v>1</v>
      </c>
      <c r="J1432" s="35">
        <v>1</v>
      </c>
      <c r="K1432" s="35">
        <v>24</v>
      </c>
      <c r="L1432" s="60" t="str">
        <f>HYPERLINK("https://www.sds-group.ru/product/blok-pitaniya-rezervirovannyy-12v-2a-pod-akb-7a-ch-dc-496-34-0496/", "Инфо")</f>
        <v>Инфо</v>
      </c>
      <c r="M1432" s="37">
        <v>0.70399999999999996</v>
      </c>
      <c r="N1432" s="38">
        <v>2.9640000000000001E-3</v>
      </c>
      <c r="O1432" s="141">
        <v>4601004057784</v>
      </c>
    </row>
    <row r="1433" spans="1:15" s="1" customFormat="1" ht="11.45" customHeight="1" outlineLevel="3" x14ac:dyDescent="0.2">
      <c r="A1433" s="32" t="s">
        <v>14376</v>
      </c>
      <c r="B1433" s="74" t="s">
        <v>14377</v>
      </c>
      <c r="C1433" s="50"/>
      <c r="D1433" s="139">
        <f t="shared" si="22"/>
        <v>0</v>
      </c>
      <c r="E1433" s="140">
        <v>624.54999999999995</v>
      </c>
      <c r="F1433" s="140">
        <v>511.93</v>
      </c>
      <c r="G1433" s="34" t="s">
        <v>100</v>
      </c>
      <c r="H1433" s="34" t="s">
        <v>39</v>
      </c>
      <c r="I1433" s="35">
        <v>1</v>
      </c>
      <c r="J1433" s="35">
        <v>1</v>
      </c>
      <c r="K1433" s="35">
        <v>30</v>
      </c>
      <c r="L1433" s="60" t="str">
        <f>HYPERLINK("https://www.sds-group.ru/product/blok-pitaniya-stabilizirovannyy-12v-1-5a-ulichnaya-ustanovka-dc-493-34-0493/", "Инфо")</f>
        <v>Инфо</v>
      </c>
      <c r="M1433" s="37">
        <v>7.0999999999999994E-2</v>
      </c>
      <c r="N1433" s="38">
        <v>1.15E-4</v>
      </c>
      <c r="O1433" s="141">
        <v>4601004057753</v>
      </c>
    </row>
    <row r="1434" spans="1:15" ht="11.45" customHeight="1" outlineLevel="2" x14ac:dyDescent="0.2">
      <c r="A1434" s="76" t="s">
        <v>14378</v>
      </c>
      <c r="B1434" s="136"/>
      <c r="C1434" s="77"/>
      <c r="D1434" s="137"/>
      <c r="E1434" s="4"/>
      <c r="F1434" s="4"/>
      <c r="G1434" s="4"/>
      <c r="H1434" s="4"/>
      <c r="I1434" s="4"/>
      <c r="J1434" s="4"/>
      <c r="K1434" s="4"/>
      <c r="L1434" s="138"/>
      <c r="M1434" s="4"/>
      <c r="N1434" s="4"/>
      <c r="O1434" s="4"/>
    </row>
    <row r="1435" spans="1:15" s="1" customFormat="1" ht="11.45" customHeight="1" outlineLevel="3" x14ac:dyDescent="0.2">
      <c r="A1435" s="32" t="s">
        <v>14395</v>
      </c>
      <c r="B1435" s="74" t="s">
        <v>14396</v>
      </c>
      <c r="C1435" s="50"/>
      <c r="D1435" s="139">
        <f t="shared" si="22"/>
        <v>0</v>
      </c>
      <c r="E1435" s="140">
        <v>245.17</v>
      </c>
      <c r="F1435" s="140">
        <v>200.96</v>
      </c>
      <c r="G1435" s="34" t="s">
        <v>100</v>
      </c>
      <c r="H1435" s="34" t="s">
        <v>39</v>
      </c>
      <c r="I1435" s="35">
        <v>1</v>
      </c>
      <c r="J1435" s="35">
        <v>1</v>
      </c>
      <c r="K1435" s="35">
        <v>30</v>
      </c>
      <c r="L1435" s="60" t="str">
        <f>HYPERLINK("https://www.sds-group.ru/product/kronshteyn-dlya-kamer-videonablyudeniya-30sm-tortsevoy-rexant-34-0885/", "Инфо")</f>
        <v>Инфо</v>
      </c>
      <c r="M1435" s="37">
        <v>0.54600000000000004</v>
      </c>
      <c r="N1435" s="38">
        <v>1.358E-3</v>
      </c>
      <c r="O1435" s="141">
        <v>4601004296756</v>
      </c>
    </row>
    <row r="1436" spans="1:15" s="1" customFormat="1" ht="11.45" customHeight="1" outlineLevel="3" x14ac:dyDescent="0.2">
      <c r="A1436" s="32" t="s">
        <v>14399</v>
      </c>
      <c r="B1436" s="74" t="s">
        <v>14400</v>
      </c>
      <c r="C1436" s="50"/>
      <c r="D1436" s="139">
        <f t="shared" si="22"/>
        <v>0</v>
      </c>
      <c r="E1436" s="140">
        <v>278.33999999999997</v>
      </c>
      <c r="F1436" s="140">
        <v>228.15</v>
      </c>
      <c r="G1436" s="34" t="s">
        <v>100</v>
      </c>
      <c r="H1436" s="34" t="s">
        <v>39</v>
      </c>
      <c r="I1436" s="35">
        <v>1</v>
      </c>
      <c r="J1436" s="35">
        <v>1</v>
      </c>
      <c r="K1436" s="35">
        <v>50</v>
      </c>
      <c r="L1436" s="60" t="str">
        <f>HYPERLINK("https://www.sds-group.ru/product/kronshteyn-dlya-kamer-videonablyudeniya-45sm-bokovoy-rexant-34-0886/", "Инфо")</f>
        <v>Инфо</v>
      </c>
      <c r="M1436" s="37">
        <v>0.628</v>
      </c>
      <c r="N1436" s="38">
        <v>1.931E-3</v>
      </c>
      <c r="O1436" s="141">
        <v>4601004296749</v>
      </c>
    </row>
    <row r="1437" spans="1:15" ht="11.45" customHeight="1" outlineLevel="1" x14ac:dyDescent="0.2">
      <c r="A1437" s="78" t="s">
        <v>14407</v>
      </c>
      <c r="B1437" s="132"/>
      <c r="C1437" s="79"/>
      <c r="D1437" s="133"/>
      <c r="E1437" s="134"/>
      <c r="F1437" s="134"/>
      <c r="G1437" s="134"/>
      <c r="H1437" s="134"/>
      <c r="I1437" s="134"/>
      <c r="J1437" s="134"/>
      <c r="K1437" s="134"/>
      <c r="L1437" s="135"/>
      <c r="M1437" s="134"/>
      <c r="N1437" s="134"/>
      <c r="O1437" s="134"/>
    </row>
    <row r="1438" spans="1:15" ht="11.45" customHeight="1" outlineLevel="2" x14ac:dyDescent="0.2">
      <c r="A1438" s="76" t="s">
        <v>14408</v>
      </c>
      <c r="B1438" s="136"/>
      <c r="C1438" s="77"/>
      <c r="D1438" s="137"/>
      <c r="E1438" s="4"/>
      <c r="F1438" s="4"/>
      <c r="G1438" s="4"/>
      <c r="H1438" s="4"/>
      <c r="I1438" s="4"/>
      <c r="J1438" s="4"/>
      <c r="K1438" s="4"/>
      <c r="L1438" s="138"/>
      <c r="M1438" s="4"/>
      <c r="N1438" s="4"/>
      <c r="O1438" s="4"/>
    </row>
    <row r="1439" spans="1:15" ht="11.45" customHeight="1" outlineLevel="3" x14ac:dyDescent="0.2">
      <c r="A1439" s="82" t="s">
        <v>14409</v>
      </c>
      <c r="B1439" s="142"/>
      <c r="C1439" s="83"/>
      <c r="D1439" s="143"/>
      <c r="E1439" s="5"/>
      <c r="F1439" s="5"/>
      <c r="G1439" s="5"/>
      <c r="H1439" s="5"/>
      <c r="I1439" s="5"/>
      <c r="J1439" s="5"/>
      <c r="K1439" s="5"/>
      <c r="L1439" s="144"/>
      <c r="M1439" s="5"/>
      <c r="N1439" s="5"/>
      <c r="O1439" s="5"/>
    </row>
    <row r="1440" spans="1:15" s="1" customFormat="1" ht="11.45" customHeight="1" outlineLevel="4" x14ac:dyDescent="0.2">
      <c r="A1440" s="32" t="s">
        <v>14441</v>
      </c>
      <c r="B1440" s="74" t="s">
        <v>14442</v>
      </c>
      <c r="C1440" s="50"/>
      <c r="D1440" s="139">
        <f t="shared" si="22"/>
        <v>0</v>
      </c>
      <c r="E1440" s="140">
        <v>5.74</v>
      </c>
      <c r="F1440" s="140">
        <v>4.7</v>
      </c>
      <c r="G1440" s="34" t="s">
        <v>100</v>
      </c>
      <c r="H1440" s="34" t="s">
        <v>1767</v>
      </c>
      <c r="I1440" s="35">
        <v>200</v>
      </c>
      <c r="J1440" s="35">
        <v>200</v>
      </c>
      <c r="K1440" s="35">
        <v>200</v>
      </c>
      <c r="L1440" s="60" t="str">
        <f>HYPERLINK("https://www.sds-group.ru/product/kabel-signalnyy-kspev-2h0-4mm-buhta-200m-rexant-01-4700-1/", "Инфо")</f>
        <v>Инфо</v>
      </c>
      <c r="M1440" s="37">
        <v>1.2999999999999999E-2</v>
      </c>
      <c r="N1440" s="38">
        <v>2.9E-5</v>
      </c>
      <c r="O1440" s="141">
        <v>4601004092167</v>
      </c>
    </row>
    <row r="1441" spans="1:15" s="1" customFormat="1" ht="11.45" customHeight="1" outlineLevel="4" x14ac:dyDescent="0.2">
      <c r="A1441" s="32" t="s">
        <v>14447</v>
      </c>
      <c r="B1441" s="74" t="s">
        <v>14448</v>
      </c>
      <c r="C1441" s="50"/>
      <c r="D1441" s="139">
        <f t="shared" si="22"/>
        <v>0</v>
      </c>
      <c r="E1441" s="140">
        <v>10.74</v>
      </c>
      <c r="F1441" s="140">
        <v>8.8000000000000007</v>
      </c>
      <c r="G1441" s="34" t="s">
        <v>100</v>
      </c>
      <c r="H1441" s="34" t="s">
        <v>2672</v>
      </c>
      <c r="I1441" s="35">
        <v>200</v>
      </c>
      <c r="J1441" s="35">
        <v>200</v>
      </c>
      <c r="K1441" s="35">
        <v>200</v>
      </c>
      <c r="L1441" s="60" t="str">
        <f>HYPERLINK("https://www.sds-group.ru/product/kabel-signalnyy-kspv-6h0-5mm-ssa-buhta-200m-rexant-01-4712-5/", "Инфо")</f>
        <v>Инфо</v>
      </c>
      <c r="M1441" s="37">
        <v>1.2E-2</v>
      </c>
      <c r="N1441" s="38">
        <v>2.4000000000000001E-5</v>
      </c>
      <c r="O1441" s="141">
        <v>4601004342330</v>
      </c>
    </row>
    <row r="1442" spans="1:15" s="1" customFormat="1" ht="11.45" customHeight="1" outlineLevel="4" x14ac:dyDescent="0.2">
      <c r="A1442" s="32" t="s">
        <v>14449</v>
      </c>
      <c r="B1442" s="74" t="s">
        <v>14450</v>
      </c>
      <c r="C1442" s="50"/>
      <c r="D1442" s="139">
        <f t="shared" si="22"/>
        <v>0</v>
      </c>
      <c r="E1442" s="140">
        <v>16.37</v>
      </c>
      <c r="F1442" s="140">
        <v>13.42</v>
      </c>
      <c r="G1442" s="34" t="s">
        <v>100</v>
      </c>
      <c r="H1442" s="34" t="s">
        <v>1767</v>
      </c>
      <c r="I1442" s="35">
        <v>200</v>
      </c>
      <c r="J1442" s="35">
        <v>200</v>
      </c>
      <c r="K1442" s="35">
        <v>200</v>
      </c>
      <c r="L1442" s="60" t="str">
        <f>HYPERLINK("https://www.sds-group.ru/product/kabel-signalnyy-kspv-8h0-5mm-ssa-buhta-200m-rexant-01-4713-5/", "Инфо")</f>
        <v>Инфо</v>
      </c>
      <c r="M1442" s="37">
        <v>1.4E-2</v>
      </c>
      <c r="N1442" s="38">
        <v>2.3E-5</v>
      </c>
      <c r="O1442" s="141">
        <v>4601004342347</v>
      </c>
    </row>
    <row r="1443" spans="1:15" s="1" customFormat="1" ht="11.45" customHeight="1" outlineLevel="4" x14ac:dyDescent="0.2">
      <c r="A1443" s="32" t="s">
        <v>14451</v>
      </c>
      <c r="B1443" s="74" t="s">
        <v>14452</v>
      </c>
      <c r="C1443" s="50"/>
      <c r="D1443" s="139">
        <f t="shared" si="22"/>
        <v>0</v>
      </c>
      <c r="E1443" s="140">
        <v>6.14</v>
      </c>
      <c r="F1443" s="140">
        <v>5.03</v>
      </c>
      <c r="G1443" s="34" t="s">
        <v>100</v>
      </c>
      <c r="H1443" s="34" t="s">
        <v>1767</v>
      </c>
      <c r="I1443" s="35">
        <v>200</v>
      </c>
      <c r="J1443" s="35">
        <v>200</v>
      </c>
      <c r="K1443" s="35">
        <v>200</v>
      </c>
      <c r="L1443" s="60" t="str">
        <f>HYPERLINK("https://www.sds-group.ru/product/kabel-signalnyy-kspev-2h0-5mm-ssa-buhta-200m-rexant-01-4710-6/", "Инфо")</f>
        <v>Инфо</v>
      </c>
      <c r="M1443" s="37">
        <v>1.2999999999999999E-2</v>
      </c>
      <c r="N1443" s="38">
        <v>2.6999999999999999E-5</v>
      </c>
      <c r="O1443" s="141">
        <v>4601004342354</v>
      </c>
    </row>
    <row r="1444" spans="1:15" ht="11.45" customHeight="1" outlineLevel="3" x14ac:dyDescent="0.2">
      <c r="A1444" s="82" t="s">
        <v>14453</v>
      </c>
      <c r="B1444" s="142"/>
      <c r="C1444" s="83"/>
      <c r="D1444" s="143"/>
      <c r="E1444" s="5"/>
      <c r="F1444" s="5"/>
      <c r="G1444" s="5"/>
      <c r="H1444" s="5"/>
      <c r="I1444" s="5"/>
      <c r="J1444" s="5"/>
      <c r="K1444" s="5"/>
      <c r="L1444" s="144"/>
      <c r="M1444" s="5"/>
      <c r="N1444" s="5"/>
      <c r="O1444" s="5"/>
    </row>
    <row r="1445" spans="1:15" s="1" customFormat="1" ht="11.45" customHeight="1" outlineLevel="4" x14ac:dyDescent="0.2">
      <c r="A1445" s="32" t="s">
        <v>14469</v>
      </c>
      <c r="B1445" s="74" t="s">
        <v>14470</v>
      </c>
      <c r="C1445" s="50"/>
      <c r="D1445" s="139">
        <f t="shared" si="22"/>
        <v>0</v>
      </c>
      <c r="E1445" s="140">
        <v>3.95</v>
      </c>
      <c r="F1445" s="140">
        <v>3.24</v>
      </c>
      <c r="G1445" s="34" t="s">
        <v>100</v>
      </c>
      <c r="H1445" s="34" t="s">
        <v>2672</v>
      </c>
      <c r="I1445" s="35">
        <v>500</v>
      </c>
      <c r="J1445" s="35">
        <v>500</v>
      </c>
      <c r="K1445" s="35">
        <v>500</v>
      </c>
      <c r="L1445" s="60" t="str">
        <f>HYPERLINK("https://www.sds-group.ru/product/kabel-signalnyy-ksvv-2h0-5mm-ssa-buhta-500m-rexant-01-4747-5/", "Инфо")</f>
        <v>Инфо</v>
      </c>
      <c r="M1445" s="37">
        <v>6.0000000000000001E-3</v>
      </c>
      <c r="N1445" s="38">
        <v>1.0000000000000001E-5</v>
      </c>
      <c r="O1445" s="141">
        <v>4601004342378</v>
      </c>
    </row>
    <row r="1446" spans="1:15" s="1" customFormat="1" ht="11.45" customHeight="1" outlineLevel="4" x14ac:dyDescent="0.2">
      <c r="A1446" s="32" t="s">
        <v>14471</v>
      </c>
      <c r="B1446" s="74" t="s">
        <v>14472</v>
      </c>
      <c r="C1446" s="50"/>
      <c r="D1446" s="139">
        <f t="shared" si="22"/>
        <v>0</v>
      </c>
      <c r="E1446" s="140">
        <v>7.79</v>
      </c>
      <c r="F1446" s="140">
        <v>6.39</v>
      </c>
      <c r="G1446" s="34" t="s">
        <v>100</v>
      </c>
      <c r="H1446" s="34" t="s">
        <v>1767</v>
      </c>
      <c r="I1446" s="35">
        <v>200</v>
      </c>
      <c r="J1446" s="35">
        <v>200</v>
      </c>
      <c r="K1446" s="35">
        <v>200</v>
      </c>
      <c r="L1446" s="60" t="str">
        <f>HYPERLINK("https://www.sds-group.ru/product/kabel-signalnyy-ksvv-4h0-5mm-ssa-buhta-200m-rexant-01-4748-5/", "Инфо")</f>
        <v>Инфо</v>
      </c>
      <c r="M1446" s="37">
        <v>8.9999999999999993E-3</v>
      </c>
      <c r="N1446" s="38">
        <v>1.5999999999999999E-5</v>
      </c>
      <c r="O1446" s="141">
        <v>4601004342385</v>
      </c>
    </row>
    <row r="1447" spans="1:15" s="1" customFormat="1" ht="11.45" customHeight="1" outlineLevel="4" x14ac:dyDescent="0.2">
      <c r="A1447" s="32" t="s">
        <v>14473</v>
      </c>
      <c r="B1447" s="74" t="s">
        <v>14474</v>
      </c>
      <c r="C1447" s="50"/>
      <c r="D1447" s="139">
        <f t="shared" si="22"/>
        <v>0</v>
      </c>
      <c r="E1447" s="140">
        <v>7.94</v>
      </c>
      <c r="F1447" s="140">
        <v>6.51</v>
      </c>
      <c r="G1447" s="34" t="s">
        <v>100</v>
      </c>
      <c r="H1447" s="34" t="s">
        <v>2672</v>
      </c>
      <c r="I1447" s="35">
        <v>200</v>
      </c>
      <c r="J1447" s="35">
        <v>200</v>
      </c>
      <c r="K1447" s="35">
        <v>200</v>
      </c>
      <c r="L1447" s="60" t="str">
        <f>HYPERLINK("https://www.sds-group.ru/product/kabel-signalnyy-ksvvng-a-ls-4h0-5mm-ssa-buhta-200m-rexant-01-4785-5/", "Инфо")</f>
        <v>Инфо</v>
      </c>
      <c r="M1447" s="37">
        <v>1.0999999999999999E-2</v>
      </c>
      <c r="N1447" s="38">
        <v>1.9000000000000001E-5</v>
      </c>
      <c r="O1447" s="141">
        <v>4601004342422</v>
      </c>
    </row>
    <row r="1448" spans="1:15" s="1" customFormat="1" ht="11.45" customHeight="1" outlineLevel="4" x14ac:dyDescent="0.2">
      <c r="A1448" s="32" t="s">
        <v>14475</v>
      </c>
      <c r="B1448" s="74" t="s">
        <v>14476</v>
      </c>
      <c r="C1448" s="50"/>
      <c r="D1448" s="139">
        <f t="shared" si="22"/>
        <v>0</v>
      </c>
      <c r="E1448" s="140">
        <v>4.83</v>
      </c>
      <c r="F1448" s="140">
        <v>3.96</v>
      </c>
      <c r="G1448" s="34" t="s">
        <v>100</v>
      </c>
      <c r="H1448" s="34" t="s">
        <v>2672</v>
      </c>
      <c r="I1448" s="35">
        <v>200</v>
      </c>
      <c r="J1448" s="35">
        <v>200</v>
      </c>
      <c r="K1448" s="35">
        <v>200</v>
      </c>
      <c r="L1448" s="60" t="str">
        <f>HYPERLINK("https://www.sds-group.ru/product/kabel-signalnyy-ksvev-2h0-5mm-ssa-buhta-200m-rexant-01-4747-6/", "Инфо")</f>
        <v>Инфо</v>
      </c>
      <c r="M1448" s="37">
        <v>1.2E-2</v>
      </c>
      <c r="N1448" s="38">
        <v>2.5000000000000001E-5</v>
      </c>
      <c r="O1448" s="141">
        <v>4601004342392</v>
      </c>
    </row>
    <row r="1449" spans="1:15" s="1" customFormat="1" ht="11.45" customHeight="1" outlineLevel="4" x14ac:dyDescent="0.2">
      <c r="A1449" s="32" t="s">
        <v>14477</v>
      </c>
      <c r="B1449" s="74" t="s">
        <v>14478</v>
      </c>
      <c r="C1449" s="50"/>
      <c r="D1449" s="139">
        <f t="shared" si="22"/>
        <v>0</v>
      </c>
      <c r="E1449" s="140">
        <v>10.28</v>
      </c>
      <c r="F1449" s="140">
        <v>8.43</v>
      </c>
      <c r="G1449" s="34" t="s">
        <v>100</v>
      </c>
      <c r="H1449" s="34" t="s">
        <v>1767</v>
      </c>
      <c r="I1449" s="35">
        <v>200</v>
      </c>
      <c r="J1449" s="35">
        <v>200</v>
      </c>
      <c r="K1449" s="35">
        <v>200</v>
      </c>
      <c r="L1449" s="60" t="str">
        <f>HYPERLINK("https://www.sds-group.ru/product/kabel-signalnyy-ksvev-4h0-5mm-ssa-buhta-200m-rexant-01-4748-6/", "Инфо")</f>
        <v>Инфо</v>
      </c>
      <c r="M1449" s="37">
        <v>1.4E-2</v>
      </c>
      <c r="N1449" s="38">
        <v>2.6999999999999999E-5</v>
      </c>
      <c r="O1449" s="141">
        <v>4601004342408</v>
      </c>
    </row>
    <row r="1450" spans="1:15" ht="11.45" customHeight="1" outlineLevel="1" x14ac:dyDescent="0.2">
      <c r="A1450" s="78" t="s">
        <v>14627</v>
      </c>
      <c r="B1450" s="132"/>
      <c r="C1450" s="79"/>
      <c r="D1450" s="133"/>
      <c r="E1450" s="134"/>
      <c r="F1450" s="134"/>
      <c r="G1450" s="134"/>
      <c r="H1450" s="134"/>
      <c r="I1450" s="134"/>
      <c r="J1450" s="134"/>
      <c r="K1450" s="134"/>
      <c r="L1450" s="135"/>
      <c r="M1450" s="134"/>
      <c r="N1450" s="134"/>
      <c r="O1450" s="134"/>
    </row>
    <row r="1451" spans="1:15" ht="11.45" customHeight="1" outlineLevel="2" x14ac:dyDescent="0.2">
      <c r="A1451" s="76" t="s">
        <v>14628</v>
      </c>
      <c r="B1451" s="136"/>
      <c r="C1451" s="77"/>
      <c r="D1451" s="137"/>
      <c r="E1451" s="4"/>
      <c r="F1451" s="4"/>
      <c r="G1451" s="4"/>
      <c r="H1451" s="4"/>
      <c r="I1451" s="4"/>
      <c r="J1451" s="4"/>
      <c r="K1451" s="4"/>
      <c r="L1451" s="138"/>
      <c r="M1451" s="4"/>
      <c r="N1451" s="4"/>
      <c r="O1451" s="4"/>
    </row>
    <row r="1452" spans="1:15" ht="11.45" customHeight="1" outlineLevel="3" x14ac:dyDescent="0.2">
      <c r="A1452" s="76" t="s">
        <v>14629</v>
      </c>
      <c r="B1452" s="136"/>
      <c r="C1452" s="77"/>
      <c r="D1452" s="137"/>
      <c r="E1452" s="4"/>
      <c r="F1452" s="4"/>
      <c r="G1452" s="4"/>
      <c r="H1452" s="4"/>
      <c r="I1452" s="4"/>
      <c r="J1452" s="4"/>
      <c r="K1452" s="4"/>
      <c r="L1452" s="138"/>
      <c r="M1452" s="4"/>
      <c r="N1452" s="4"/>
      <c r="O1452" s="4"/>
    </row>
    <row r="1453" spans="1:15" s="1" customFormat="1" ht="11.45" customHeight="1" outlineLevel="4" x14ac:dyDescent="0.2">
      <c r="A1453" s="32" t="s">
        <v>14630</v>
      </c>
      <c r="B1453" s="74" t="s">
        <v>14631</v>
      </c>
      <c r="C1453" s="50"/>
      <c r="D1453" s="139">
        <f t="shared" si="22"/>
        <v>0</v>
      </c>
      <c r="E1453" s="140">
        <v>2461.98</v>
      </c>
      <c r="F1453" s="140">
        <v>2018.02</v>
      </c>
      <c r="G1453" s="34" t="s">
        <v>100</v>
      </c>
      <c r="H1453" s="34" t="s">
        <v>974</v>
      </c>
      <c r="I1453" s="35">
        <v>1</v>
      </c>
      <c r="J1453" s="35">
        <v>1</v>
      </c>
      <c r="K1453" s="35">
        <v>1</v>
      </c>
      <c r="L1453" s="60" t="str">
        <f>HYPERLINK("https://www.sds-group.ru/product/tsvetnoy-monitor-videodomofona-4-3-formata-ahd-model-ac-332-v-komplekte-s-vyzyvnoy-videopa-45-0332-1/", "Инфо")</f>
        <v>Инфо</v>
      </c>
      <c r="M1453" s="37">
        <v>0.77500000000000002</v>
      </c>
      <c r="N1453" s="38">
        <v>3.7940000000000001E-3</v>
      </c>
      <c r="O1453" s="141">
        <v>4601004321205</v>
      </c>
    </row>
    <row r="1454" spans="1:15" ht="11.45" customHeight="1" outlineLevel="3" x14ac:dyDescent="0.2">
      <c r="A1454" s="76" t="s">
        <v>14632</v>
      </c>
      <c r="B1454" s="136"/>
      <c r="C1454" s="77"/>
      <c r="D1454" s="137"/>
      <c r="E1454" s="4"/>
      <c r="F1454" s="4"/>
      <c r="G1454" s="4"/>
      <c r="H1454" s="4"/>
      <c r="I1454" s="4"/>
      <c r="J1454" s="4"/>
      <c r="K1454" s="4"/>
      <c r="L1454" s="138"/>
      <c r="M1454" s="4"/>
      <c r="N1454" s="4"/>
      <c r="O1454" s="4"/>
    </row>
    <row r="1455" spans="1:15" s="1" customFormat="1" ht="11.45" customHeight="1" outlineLevel="4" x14ac:dyDescent="0.2">
      <c r="A1455" s="32" t="s">
        <v>14633</v>
      </c>
      <c r="B1455" s="74" t="s">
        <v>14634</v>
      </c>
      <c r="C1455" s="50"/>
      <c r="D1455" s="139">
        <f t="shared" si="22"/>
        <v>0</v>
      </c>
      <c r="E1455" s="140">
        <v>2352.58</v>
      </c>
      <c r="F1455" s="140">
        <v>1928.34</v>
      </c>
      <c r="G1455" s="34" t="s">
        <v>100</v>
      </c>
      <c r="H1455" s="34" t="s">
        <v>39</v>
      </c>
      <c r="I1455" s="35">
        <v>1</v>
      </c>
      <c r="J1455" s="35">
        <v>1</v>
      </c>
      <c r="K1455" s="35">
        <v>20</v>
      </c>
      <c r="L1455" s="60" t="str">
        <f>HYPERLINK("https://www.sds-group.ru/product/vyzyvnaya-videopanel-standarta-ahd-model-ac-317-45-0317/", "Инфо")</f>
        <v>Инфо</v>
      </c>
      <c r="M1455" s="37">
        <v>0.39400000000000002</v>
      </c>
      <c r="N1455" s="38">
        <v>1.041E-3</v>
      </c>
      <c r="O1455" s="141">
        <v>4601004252776</v>
      </c>
    </row>
    <row r="1456" spans="1:15" ht="11.45" customHeight="1" outlineLevel="2" x14ac:dyDescent="0.2">
      <c r="A1456" s="76" t="s">
        <v>14635</v>
      </c>
      <c r="B1456" s="136"/>
      <c r="C1456" s="77"/>
      <c r="D1456" s="137"/>
      <c r="E1456" s="4"/>
      <c r="F1456" s="4"/>
      <c r="G1456" s="4"/>
      <c r="H1456" s="4"/>
      <c r="I1456" s="4"/>
      <c r="J1456" s="4"/>
      <c r="K1456" s="4"/>
      <c r="L1456" s="138"/>
      <c r="M1456" s="4"/>
      <c r="N1456" s="4"/>
      <c r="O1456" s="4"/>
    </row>
    <row r="1457" spans="1:15" s="1" customFormat="1" ht="11.45" customHeight="1" outlineLevel="3" x14ac:dyDescent="0.2">
      <c r="A1457" s="32" t="s">
        <v>14646</v>
      </c>
      <c r="B1457" s="74" t="s">
        <v>14647</v>
      </c>
      <c r="C1457" s="50"/>
      <c r="D1457" s="139">
        <f t="shared" si="22"/>
        <v>0</v>
      </c>
      <c r="E1457" s="140">
        <v>308.27999999999997</v>
      </c>
      <c r="F1457" s="140">
        <v>252.69</v>
      </c>
      <c r="G1457" s="34" t="s">
        <v>100</v>
      </c>
      <c r="H1457" s="34" t="s">
        <v>39</v>
      </c>
      <c r="I1457" s="35">
        <v>1</v>
      </c>
      <c r="J1457" s="35">
        <v>1</v>
      </c>
      <c r="K1457" s="35">
        <v>32</v>
      </c>
      <c r="L1457" s="60" t="str">
        <f>HYPERLINK("https://www.sds-group.ru/product/trubka-domofona-s-indikatorom-i-regulirovkoy-zvuka-rx-322-jeltaya-rexant-28485/", "Инфо")</f>
        <v>Инфо</v>
      </c>
      <c r="M1457" s="37">
        <v>0.28699999999999998</v>
      </c>
      <c r="N1457" s="38">
        <v>2.0010000000000002E-3</v>
      </c>
      <c r="O1457" s="141">
        <v>4601004240155</v>
      </c>
    </row>
    <row r="1458" spans="1:15" ht="11.45" customHeight="1" outlineLevel="2" x14ac:dyDescent="0.2">
      <c r="A1458" s="76" t="s">
        <v>14650</v>
      </c>
      <c r="B1458" s="136"/>
      <c r="C1458" s="77"/>
      <c r="D1458" s="137"/>
      <c r="E1458" s="4"/>
      <c r="F1458" s="4"/>
      <c r="G1458" s="4"/>
      <c r="H1458" s="4"/>
      <c r="I1458" s="4"/>
      <c r="J1458" s="4"/>
      <c r="K1458" s="4"/>
      <c r="L1458" s="138"/>
      <c r="M1458" s="4"/>
      <c r="N1458" s="4"/>
      <c r="O1458" s="4"/>
    </row>
    <row r="1459" spans="1:15" s="1" customFormat="1" ht="11.45" customHeight="1" outlineLevel="3" x14ac:dyDescent="0.2">
      <c r="A1459" s="32" t="s">
        <v>14651</v>
      </c>
      <c r="B1459" s="74" t="s">
        <v>14652</v>
      </c>
      <c r="C1459" s="50"/>
      <c r="D1459" s="139">
        <f t="shared" si="22"/>
        <v>0</v>
      </c>
      <c r="E1459" s="140">
        <v>586.09</v>
      </c>
      <c r="F1459" s="140">
        <v>480.4</v>
      </c>
      <c r="G1459" s="34" t="s">
        <v>100</v>
      </c>
      <c r="H1459" s="34" t="s">
        <v>39</v>
      </c>
      <c r="I1459" s="35">
        <v>1</v>
      </c>
      <c r="J1459" s="35">
        <v>1</v>
      </c>
      <c r="K1459" s="35">
        <v>100</v>
      </c>
      <c r="L1459" s="60" t="str">
        <f>HYPERLINK("https://www.sds-group.ru/product/dublikator-elektronnyh-klyuchey-125khz-format-em-marin-46-0253/", "Инфо")</f>
        <v>Инфо</v>
      </c>
      <c r="M1459" s="37">
        <v>8.3000000000000004E-2</v>
      </c>
      <c r="N1459" s="38">
        <v>5.4199999999999995E-4</v>
      </c>
      <c r="O1459" s="141">
        <v>4601004103283</v>
      </c>
    </row>
    <row r="1460" spans="1:15" s="1" customFormat="1" ht="11.45" customHeight="1" outlineLevel="3" x14ac:dyDescent="0.2">
      <c r="A1460" s="32" t="s">
        <v>14653</v>
      </c>
      <c r="B1460" s="74" t="s">
        <v>14654</v>
      </c>
      <c r="C1460" s="50"/>
      <c r="D1460" s="139">
        <f t="shared" si="22"/>
        <v>0</v>
      </c>
      <c r="E1460" s="140">
        <v>27.86</v>
      </c>
      <c r="F1460" s="140">
        <v>22.84</v>
      </c>
      <c r="G1460" s="34" t="s">
        <v>100</v>
      </c>
      <c r="H1460" s="34" t="s">
        <v>39</v>
      </c>
      <c r="I1460" s="35">
        <v>100</v>
      </c>
      <c r="J1460" s="35">
        <v>100</v>
      </c>
      <c r="K1460" s="39">
        <v>2500</v>
      </c>
      <c r="L1460" s="60" t="str">
        <f>HYPERLINK("https://www.sds-group.ru/product/kompaktnyy-elektronnyy-klyuch-karta-125khz-format-em-marin-belyy-rexant-46-0220/", "Инфо")</f>
        <v>Инфо</v>
      </c>
      <c r="M1460" s="37">
        <v>8.0000000000000002E-3</v>
      </c>
      <c r="N1460" s="38">
        <v>1.8E-5</v>
      </c>
      <c r="O1460" s="141">
        <v>4601004241268</v>
      </c>
    </row>
    <row r="1461" spans="1:15" s="1" customFormat="1" ht="11.45" customHeight="1" outlineLevel="3" x14ac:dyDescent="0.2">
      <c r="A1461" s="32" t="s">
        <v>14655</v>
      </c>
      <c r="B1461" s="74" t="s">
        <v>14656</v>
      </c>
      <c r="C1461" s="50"/>
      <c r="D1461" s="139">
        <f t="shared" si="22"/>
        <v>0</v>
      </c>
      <c r="E1461" s="140">
        <v>56.59</v>
      </c>
      <c r="F1461" s="140">
        <v>46.39</v>
      </c>
      <c r="G1461" s="34" t="s">
        <v>100</v>
      </c>
      <c r="H1461" s="34" t="s">
        <v>39</v>
      </c>
      <c r="I1461" s="35">
        <v>100</v>
      </c>
      <c r="J1461" s="35">
        <v>100</v>
      </c>
      <c r="K1461" s="39">
        <v>1000</v>
      </c>
      <c r="L1461" s="60" t="str">
        <f>HYPERLINK("https://www.sds-group.ru/product/elektronnyy-klyuch-braslet-125-khz-format-em-marin-46-0257/", "Инфо")</f>
        <v>Инфо</v>
      </c>
      <c r="M1461" s="37">
        <v>1.2999999999999999E-2</v>
      </c>
      <c r="N1461" s="38">
        <v>3.0000000000000001E-5</v>
      </c>
      <c r="O1461" s="141">
        <v>4601004137516</v>
      </c>
    </row>
    <row r="1462" spans="1:15" s="1" customFormat="1" ht="11.45" customHeight="1" outlineLevel="3" x14ac:dyDescent="0.2">
      <c r="A1462" s="32" t="s">
        <v>14657</v>
      </c>
      <c r="B1462" s="74" t="s">
        <v>14658</v>
      </c>
      <c r="C1462" s="50"/>
      <c r="D1462" s="139">
        <f t="shared" si="22"/>
        <v>0</v>
      </c>
      <c r="E1462" s="140">
        <v>97.97</v>
      </c>
      <c r="F1462" s="140">
        <v>80.3</v>
      </c>
      <c r="G1462" s="34" t="s">
        <v>100</v>
      </c>
      <c r="H1462" s="34" t="s">
        <v>39</v>
      </c>
      <c r="I1462" s="35">
        <v>5</v>
      </c>
      <c r="J1462" s="35">
        <v>5</v>
      </c>
      <c r="K1462" s="39">
        <v>1000</v>
      </c>
      <c r="L1462" s="60" t="str">
        <f>HYPERLINK("https://www.sds-group.ru/product/elektronnyy-klyuch-braslet-125-khz-format-em-marin-individualnaya-upakovka-1-sht-46-0257-1/", "Инфо")</f>
        <v>Инфо</v>
      </c>
      <c r="M1462" s="37">
        <v>1.2999999999999999E-2</v>
      </c>
      <c r="N1462" s="38">
        <v>1.17E-4</v>
      </c>
      <c r="O1462" s="141">
        <v>4601004155107</v>
      </c>
    </row>
    <row r="1463" spans="1:15" s="1" customFormat="1" ht="11.45" customHeight="1" outlineLevel="3" x14ac:dyDescent="0.2">
      <c r="A1463" s="32" t="s">
        <v>14659</v>
      </c>
      <c r="B1463" s="74" t="s">
        <v>14660</v>
      </c>
      <c r="C1463" s="50"/>
      <c r="D1463" s="139">
        <f t="shared" si="22"/>
        <v>0</v>
      </c>
      <c r="E1463" s="140">
        <v>15.68</v>
      </c>
      <c r="F1463" s="140">
        <v>12.85</v>
      </c>
      <c r="G1463" s="34" t="s">
        <v>100</v>
      </c>
      <c r="H1463" s="34" t="s">
        <v>39</v>
      </c>
      <c r="I1463" s="35">
        <v>50</v>
      </c>
      <c r="J1463" s="35">
        <v>50</v>
      </c>
      <c r="K1463" s="39">
        <v>3750</v>
      </c>
      <c r="L1463" s="60" t="str">
        <f>HYPERLINK("https://www.sds-group.ru/product/elektronnyy-klyuch-brelok-125khz-format-em-marin-46-0221/", "Инфо")</f>
        <v>Инфо</v>
      </c>
      <c r="M1463" s="37">
        <v>5.0000000000000001E-3</v>
      </c>
      <c r="N1463" s="38">
        <v>1.2E-5</v>
      </c>
      <c r="O1463" s="141">
        <v>4601004063198</v>
      </c>
    </row>
    <row r="1464" spans="1:15" s="1" customFormat="1" ht="11.45" customHeight="1" outlineLevel="3" x14ac:dyDescent="0.2">
      <c r="A1464" s="32" t="s">
        <v>14661</v>
      </c>
      <c r="B1464" s="74" t="s">
        <v>14662</v>
      </c>
      <c r="C1464" s="50"/>
      <c r="D1464" s="139">
        <f t="shared" si="22"/>
        <v>0</v>
      </c>
      <c r="E1464" s="140">
        <v>21.07</v>
      </c>
      <c r="F1464" s="140">
        <v>17.27</v>
      </c>
      <c r="G1464" s="34" t="s">
        <v>100</v>
      </c>
      <c r="H1464" s="34" t="s">
        <v>39</v>
      </c>
      <c r="I1464" s="35">
        <v>10</v>
      </c>
      <c r="J1464" s="35">
        <v>10</v>
      </c>
      <c r="K1464" s="35">
        <v>250</v>
      </c>
      <c r="L1464" s="60" t="str">
        <f>HYPERLINK("https://www.sds-group.ru/product/elektronnyy-klyuch-brelok-125khz-format-em-marin-individualnaya-upakovka-1-sht-46-0221-1/", "Инфо")</f>
        <v>Инфо</v>
      </c>
      <c r="M1464" s="37">
        <v>6.0000000000000001E-3</v>
      </c>
      <c r="N1464" s="38">
        <v>2.0999999999999999E-5</v>
      </c>
      <c r="O1464" s="141">
        <v>4601004123953</v>
      </c>
    </row>
    <row r="1465" spans="1:15" s="1" customFormat="1" ht="11.45" customHeight="1" outlineLevel="3" x14ac:dyDescent="0.2">
      <c r="A1465" s="32" t="s">
        <v>14663</v>
      </c>
      <c r="B1465" s="74" t="s">
        <v>14664</v>
      </c>
      <c r="C1465" s="50"/>
      <c r="D1465" s="139">
        <f t="shared" si="22"/>
        <v>0</v>
      </c>
      <c r="E1465" s="140">
        <v>23.03</v>
      </c>
      <c r="F1465" s="140">
        <v>18.88</v>
      </c>
      <c r="G1465" s="34" t="s">
        <v>100</v>
      </c>
      <c r="H1465" s="34" t="s">
        <v>39</v>
      </c>
      <c r="I1465" s="35">
        <v>50</v>
      </c>
      <c r="J1465" s="35">
        <v>50</v>
      </c>
      <c r="K1465" s="39">
        <v>3750</v>
      </c>
      <c r="L1465" s="60" t="str">
        <f>HYPERLINK("https://www.sds-group.ru/product/elektronnyy-klyuch-brelok-13-56-mhz-format-mifare-46-0223/", "Инфо")</f>
        <v>Инфо</v>
      </c>
      <c r="M1465" s="37">
        <v>5.0000000000000001E-3</v>
      </c>
      <c r="N1465" s="38">
        <v>1.2E-5</v>
      </c>
      <c r="O1465" s="141">
        <v>4601004063181</v>
      </c>
    </row>
    <row r="1466" spans="1:15" s="1" customFormat="1" ht="11.45" customHeight="1" outlineLevel="3" x14ac:dyDescent="0.2">
      <c r="A1466" s="32" t="s">
        <v>14665</v>
      </c>
      <c r="B1466" s="74" t="s">
        <v>14666</v>
      </c>
      <c r="C1466" s="50"/>
      <c r="D1466" s="139">
        <f t="shared" si="22"/>
        <v>0</v>
      </c>
      <c r="E1466" s="140">
        <v>34.61</v>
      </c>
      <c r="F1466" s="140">
        <v>28.37</v>
      </c>
      <c r="G1466" s="34" t="s">
        <v>100</v>
      </c>
      <c r="H1466" s="34" t="s">
        <v>39</v>
      </c>
      <c r="I1466" s="35">
        <v>10</v>
      </c>
      <c r="J1466" s="35">
        <v>10</v>
      </c>
      <c r="K1466" s="35">
        <v>250</v>
      </c>
      <c r="L1466" s="60" t="str">
        <f>HYPERLINK("https://www.sds-group.ru/product/elektronnyy-klyuch-brelok-13-56-mhz-format-mifare-individualnaya-upakovka-1-sht-46-0223-1/", "Инфо")</f>
        <v>Инфо</v>
      </c>
      <c r="M1466" s="37">
        <v>5.0000000000000001E-3</v>
      </c>
      <c r="N1466" s="38">
        <v>3.6999999999999998E-5</v>
      </c>
      <c r="O1466" s="141">
        <v>4601004123946</v>
      </c>
    </row>
    <row r="1467" spans="1:15" s="1" customFormat="1" ht="11.45" customHeight="1" outlineLevel="3" x14ac:dyDescent="0.2">
      <c r="A1467" s="32" t="s">
        <v>14667</v>
      </c>
      <c r="B1467" s="74" t="s">
        <v>14668</v>
      </c>
      <c r="C1467" s="50"/>
      <c r="D1467" s="139">
        <f t="shared" si="22"/>
        <v>0</v>
      </c>
      <c r="E1467" s="140">
        <v>17.87</v>
      </c>
      <c r="F1467" s="140">
        <v>14.65</v>
      </c>
      <c r="G1467" s="34" t="s">
        <v>100</v>
      </c>
      <c r="H1467" s="34" t="s">
        <v>39</v>
      </c>
      <c r="I1467" s="35">
        <v>100</v>
      </c>
      <c r="J1467" s="35">
        <v>100</v>
      </c>
      <c r="K1467" s="39">
        <v>2500</v>
      </c>
      <c r="L1467" s="60" t="str">
        <f>HYPERLINK("https://www.sds-group.ru/product/elektronnyy-klyuch-karta-s-prorezyu-125khz-format-em-marin-46-0227/", "Инфо")</f>
        <v>Инфо</v>
      </c>
      <c r="M1467" s="37">
        <v>8.9999999999999993E-3</v>
      </c>
      <c r="N1467" s="38">
        <v>1.4E-5</v>
      </c>
      <c r="O1467" s="141">
        <v>4601004080331</v>
      </c>
    </row>
    <row r="1468" spans="1:15" s="1" customFormat="1" ht="11.45" customHeight="1" outlineLevel="3" x14ac:dyDescent="0.2">
      <c r="A1468" s="32" t="s">
        <v>14669</v>
      </c>
      <c r="B1468" s="74" t="s">
        <v>14670</v>
      </c>
      <c r="C1468" s="50"/>
      <c r="D1468" s="139">
        <f t="shared" si="22"/>
        <v>0</v>
      </c>
      <c r="E1468" s="140">
        <v>30.32</v>
      </c>
      <c r="F1468" s="140">
        <v>24.85</v>
      </c>
      <c r="G1468" s="34" t="s">
        <v>100</v>
      </c>
      <c r="H1468" s="34" t="s">
        <v>39</v>
      </c>
      <c r="I1468" s="35">
        <v>10</v>
      </c>
      <c r="J1468" s="35">
        <v>10</v>
      </c>
      <c r="K1468" s="35">
        <v>250</v>
      </c>
      <c r="L1468" s="60" t="str">
        <f>HYPERLINK("https://www.sds-group.ru/product/elektronnyy-klyuch-karta-s-prorezyu-125khz-format-em-marin-individualnaya-upakovka-1-sht-46-0227-1/", "Инфо")</f>
        <v>Инфо</v>
      </c>
      <c r="M1468" s="37">
        <v>0.01</v>
      </c>
      <c r="N1468" s="38">
        <v>3.6999999999999998E-5</v>
      </c>
      <c r="O1468" s="141">
        <v>4601004123939</v>
      </c>
    </row>
    <row r="1469" spans="1:15" s="1" customFormat="1" ht="11.45" customHeight="1" outlineLevel="3" x14ac:dyDescent="0.2">
      <c r="A1469" s="32" t="s">
        <v>14671</v>
      </c>
      <c r="B1469" s="74" t="s">
        <v>14672</v>
      </c>
      <c r="C1469" s="50"/>
      <c r="D1469" s="139">
        <f t="shared" si="22"/>
        <v>0</v>
      </c>
      <c r="E1469" s="140">
        <v>12.47</v>
      </c>
      <c r="F1469" s="140">
        <v>10.220000000000001</v>
      </c>
      <c r="G1469" s="34" t="s">
        <v>100</v>
      </c>
      <c r="H1469" s="34" t="s">
        <v>39</v>
      </c>
      <c r="I1469" s="35">
        <v>100</v>
      </c>
      <c r="J1469" s="35">
        <v>100</v>
      </c>
      <c r="K1469" s="39">
        <v>5000</v>
      </c>
      <c r="L1469" s="60" t="str">
        <f>HYPERLINK("https://www.sds-group.ru/product/elektronnyy-klyuch-karta-125khz-format-em-marin-46-0225/", "Инфо")</f>
        <v>Инфо</v>
      </c>
      <c r="M1469" s="37">
        <v>7.0000000000000001E-3</v>
      </c>
      <c r="N1469" s="38">
        <v>9.0000000000000002E-6</v>
      </c>
      <c r="O1469" s="141">
        <v>4601004063204</v>
      </c>
    </row>
    <row r="1470" spans="1:15" s="1" customFormat="1" ht="11.45" customHeight="1" outlineLevel="3" x14ac:dyDescent="0.2">
      <c r="A1470" s="32" t="s">
        <v>14673</v>
      </c>
      <c r="B1470" s="74" t="s">
        <v>14674</v>
      </c>
      <c r="C1470" s="50"/>
      <c r="D1470" s="139">
        <f t="shared" si="22"/>
        <v>0</v>
      </c>
      <c r="E1470" s="140">
        <v>21.83</v>
      </c>
      <c r="F1470" s="140">
        <v>17.89</v>
      </c>
      <c r="G1470" s="34" t="s">
        <v>100</v>
      </c>
      <c r="H1470" s="34" t="s">
        <v>39</v>
      </c>
      <c r="I1470" s="35">
        <v>10</v>
      </c>
      <c r="J1470" s="35">
        <v>10</v>
      </c>
      <c r="K1470" s="35">
        <v>250</v>
      </c>
      <c r="L1470" s="60" t="str">
        <f>HYPERLINK("https://www.sds-group.ru/product/elektronnyy-klyuch-karta-125khz-format-em-marin-individualnaya-upakovka-1-sht-46-0225-1/", "Инфо")</f>
        <v>Инфо</v>
      </c>
      <c r="M1470" s="37">
        <v>8.0000000000000002E-3</v>
      </c>
      <c r="N1470" s="38">
        <v>2.3E-5</v>
      </c>
      <c r="O1470" s="141">
        <v>4601004123960</v>
      </c>
    </row>
    <row r="1471" spans="1:15" ht="11.45" customHeight="1" outlineLevel="2" x14ac:dyDescent="0.2">
      <c r="A1471" s="82" t="s">
        <v>14675</v>
      </c>
      <c r="B1471" s="142"/>
      <c r="C1471" s="83"/>
      <c r="D1471" s="143"/>
      <c r="E1471" s="5"/>
      <c r="F1471" s="5"/>
      <c r="G1471" s="5"/>
      <c r="H1471" s="5"/>
      <c r="I1471" s="5"/>
      <c r="J1471" s="5"/>
      <c r="K1471" s="5"/>
      <c r="L1471" s="144"/>
      <c r="M1471" s="5"/>
      <c r="N1471" s="5"/>
      <c r="O1471" s="5"/>
    </row>
    <row r="1472" spans="1:15" s="1" customFormat="1" ht="11.45" customHeight="1" outlineLevel="3" x14ac:dyDescent="0.2">
      <c r="A1472" s="32" t="s">
        <v>14676</v>
      </c>
      <c r="B1472" s="74" t="s">
        <v>14677</v>
      </c>
      <c r="C1472" s="50"/>
      <c r="D1472" s="139">
        <f t="shared" si="22"/>
        <v>0</v>
      </c>
      <c r="E1472" s="140">
        <v>595.98</v>
      </c>
      <c r="F1472" s="140">
        <v>488.51</v>
      </c>
      <c r="G1472" s="34" t="s">
        <v>100</v>
      </c>
      <c r="H1472" s="34" t="s">
        <v>39</v>
      </c>
      <c r="I1472" s="35">
        <v>1</v>
      </c>
      <c r="J1472" s="35">
        <v>1</v>
      </c>
      <c r="K1472" s="35">
        <v>12</v>
      </c>
      <c r="L1472" s="60" t="str">
        <f>HYPERLINK("https://www.sds-group.ru/product/zamok-elektromehanicheskiy-nakladnoy-universalnyy-sc-10-45-0907/", "Инфо")</f>
        <v>Инфо</v>
      </c>
      <c r="M1472" s="37">
        <v>1.5149999999999999</v>
      </c>
      <c r="N1472" s="38">
        <v>1.5460000000000001E-3</v>
      </c>
      <c r="O1472" s="141">
        <v>4601004146679</v>
      </c>
    </row>
    <row r="1473" spans="1:15" s="1" customFormat="1" ht="11.45" customHeight="1" outlineLevel="3" x14ac:dyDescent="0.2">
      <c r="A1473" s="32" t="s">
        <v>14678</v>
      </c>
      <c r="B1473" s="74" t="s">
        <v>14679</v>
      </c>
      <c r="C1473" s="50"/>
      <c r="D1473" s="139">
        <f t="shared" si="22"/>
        <v>0</v>
      </c>
      <c r="E1473" s="140">
        <v>862.37</v>
      </c>
      <c r="F1473" s="140">
        <v>706.86</v>
      </c>
      <c r="G1473" s="34" t="s">
        <v>100</v>
      </c>
      <c r="H1473" s="34" t="s">
        <v>39</v>
      </c>
      <c r="I1473" s="35">
        <v>1</v>
      </c>
      <c r="J1473" s="35">
        <v>1</v>
      </c>
      <c r="K1473" s="35">
        <v>12</v>
      </c>
      <c r="L1473" s="60" t="str">
        <f>HYPERLINK("https://www.sds-group.ru/product/zamok-elektromehanicheskiy-nakladnoy-universalnyy-sc-20-s-vozmozhnostyu-blokirovki-knopki-ot-45-0909/", "Инфо")</f>
        <v>Инфо</v>
      </c>
      <c r="M1473" s="37">
        <v>1.5620000000000001</v>
      </c>
      <c r="N1473" s="38">
        <v>1.4300000000000001E-3</v>
      </c>
      <c r="O1473" s="141">
        <v>4601004146686</v>
      </c>
    </row>
    <row r="1474" spans="1:15" ht="11.45" customHeight="1" outlineLevel="2" x14ac:dyDescent="0.2">
      <c r="A1474" s="76" t="s">
        <v>14680</v>
      </c>
      <c r="B1474" s="136"/>
      <c r="C1474" s="77"/>
      <c r="D1474" s="137"/>
      <c r="E1474" s="4"/>
      <c r="F1474" s="4"/>
      <c r="G1474" s="4"/>
      <c r="H1474" s="4"/>
      <c r="I1474" s="4"/>
      <c r="J1474" s="4"/>
      <c r="K1474" s="4"/>
      <c r="L1474" s="138"/>
      <c r="M1474" s="4"/>
      <c r="N1474" s="4"/>
      <c r="O1474" s="4"/>
    </row>
    <row r="1475" spans="1:15" s="1" customFormat="1" ht="11.45" customHeight="1" outlineLevel="3" x14ac:dyDescent="0.2">
      <c r="A1475" s="32" t="s">
        <v>14681</v>
      </c>
      <c r="B1475" s="74" t="s">
        <v>14682</v>
      </c>
      <c r="C1475" s="50"/>
      <c r="D1475" s="139">
        <f t="shared" si="22"/>
        <v>0</v>
      </c>
      <c r="E1475" s="140">
        <v>425.71</v>
      </c>
      <c r="F1475" s="140">
        <v>348.94</v>
      </c>
      <c r="G1475" s="34" t="s">
        <v>100</v>
      </c>
      <c r="H1475" s="34" t="s">
        <v>39</v>
      </c>
      <c r="I1475" s="35">
        <v>1</v>
      </c>
      <c r="J1475" s="35">
        <v>1</v>
      </c>
      <c r="K1475" s="35">
        <v>100</v>
      </c>
      <c r="L1475" s="60" t="str">
        <f>HYPERLINK("https://www.sds-group.ru/product/knopka-vyhod-metallicheskaya-sb-30-45-0955/", "Инфо")</f>
        <v>Инфо</v>
      </c>
      <c r="M1475" s="37">
        <v>0.13100000000000001</v>
      </c>
      <c r="N1475" s="38">
        <v>1.5699999999999999E-4</v>
      </c>
      <c r="O1475" s="141">
        <v>4601004146716</v>
      </c>
    </row>
    <row r="1476" spans="1:15" ht="11.45" customHeight="1" outlineLevel="1" x14ac:dyDescent="0.2">
      <c r="A1476" s="78" t="s">
        <v>14683</v>
      </c>
      <c r="B1476" s="132"/>
      <c r="C1476" s="79"/>
      <c r="D1476" s="133"/>
      <c r="E1476" s="134"/>
      <c r="F1476" s="134"/>
      <c r="G1476" s="134"/>
      <c r="H1476" s="134"/>
      <c r="I1476" s="134"/>
      <c r="J1476" s="134"/>
      <c r="K1476" s="134"/>
      <c r="L1476" s="135"/>
      <c r="M1476" s="134"/>
      <c r="N1476" s="134"/>
      <c r="O1476" s="134"/>
    </row>
    <row r="1477" spans="1:15" ht="11.45" customHeight="1" outlineLevel="2" x14ac:dyDescent="0.2">
      <c r="A1477" s="82" t="s">
        <v>14684</v>
      </c>
      <c r="B1477" s="142"/>
      <c r="C1477" s="83"/>
      <c r="D1477" s="143"/>
      <c r="E1477" s="5"/>
      <c r="F1477" s="5"/>
      <c r="G1477" s="5"/>
      <c r="H1477" s="5"/>
      <c r="I1477" s="5"/>
      <c r="J1477" s="5"/>
      <c r="K1477" s="5"/>
      <c r="L1477" s="144"/>
      <c r="M1477" s="5"/>
      <c r="N1477" s="5"/>
      <c r="O1477" s="5"/>
    </row>
    <row r="1478" spans="1:15" s="1" customFormat="1" ht="11.45" customHeight="1" outlineLevel="3" x14ac:dyDescent="0.2">
      <c r="A1478" s="32" t="s">
        <v>14685</v>
      </c>
      <c r="B1478" s="74" t="s">
        <v>14686</v>
      </c>
      <c r="C1478" s="50"/>
      <c r="D1478" s="139">
        <f t="shared" si="22"/>
        <v>0</v>
      </c>
      <c r="E1478" s="140">
        <v>216.22</v>
      </c>
      <c r="F1478" s="140">
        <v>177.23</v>
      </c>
      <c r="G1478" s="34" t="s">
        <v>100</v>
      </c>
      <c r="H1478" s="34" t="s">
        <v>39</v>
      </c>
      <c r="I1478" s="35">
        <v>1</v>
      </c>
      <c r="J1478" s="35">
        <v>1</v>
      </c>
      <c r="K1478" s="35">
        <v>100</v>
      </c>
      <c r="L1478" s="60" t="str">
        <f>HYPERLINK("https://www.sds-group.ru/product/besprovodnoy-datchik-otkrytiya-dlya-gs-115-s-otklyuchaemoy-indikatsiey-gerkon-model-gs-241-r-46-0241/", "Инфо")</f>
        <v>Инфо</v>
      </c>
      <c r="M1478" s="37">
        <v>3.6999999999999998E-2</v>
      </c>
      <c r="N1478" s="38">
        <v>6.7999999999999999E-5</v>
      </c>
      <c r="O1478" s="141">
        <v>4601004063457</v>
      </c>
    </row>
    <row r="1479" spans="1:15" ht="11.45" customHeight="1" outlineLevel="1" x14ac:dyDescent="0.2">
      <c r="A1479" s="78" t="s">
        <v>14694</v>
      </c>
      <c r="B1479" s="132"/>
      <c r="C1479" s="79"/>
      <c r="D1479" s="133"/>
      <c r="E1479" s="134"/>
      <c r="F1479" s="134"/>
      <c r="G1479" s="134"/>
      <c r="H1479" s="134"/>
      <c r="I1479" s="134"/>
      <c r="J1479" s="134"/>
      <c r="K1479" s="134"/>
      <c r="L1479" s="135"/>
      <c r="M1479" s="134"/>
      <c r="N1479" s="134"/>
      <c r="O1479" s="134"/>
    </row>
    <row r="1480" spans="1:15" ht="11.45" customHeight="1" outlineLevel="2" x14ac:dyDescent="0.2">
      <c r="A1480" s="76" t="s">
        <v>14695</v>
      </c>
      <c r="B1480" s="136"/>
      <c r="C1480" s="77"/>
      <c r="D1480" s="137"/>
      <c r="E1480" s="4"/>
      <c r="F1480" s="4"/>
      <c r="G1480" s="4"/>
      <c r="H1480" s="4"/>
      <c r="I1480" s="4"/>
      <c r="J1480" s="4"/>
      <c r="K1480" s="4"/>
      <c r="L1480" s="138"/>
      <c r="M1480" s="4"/>
      <c r="N1480" s="4"/>
      <c r="O1480" s="4"/>
    </row>
    <row r="1481" spans="1:15" ht="11.45" customHeight="1" outlineLevel="3" x14ac:dyDescent="0.2">
      <c r="A1481" s="76" t="s">
        <v>14707</v>
      </c>
      <c r="B1481" s="136"/>
      <c r="C1481" s="77"/>
      <c r="D1481" s="137"/>
      <c r="E1481" s="4"/>
      <c r="F1481" s="4"/>
      <c r="G1481" s="4"/>
      <c r="H1481" s="4"/>
      <c r="I1481" s="4"/>
      <c r="J1481" s="4"/>
      <c r="K1481" s="4"/>
      <c r="L1481" s="138"/>
      <c r="M1481" s="4"/>
      <c r="N1481" s="4"/>
      <c r="O1481" s="4"/>
    </row>
    <row r="1482" spans="1:15" s="1" customFormat="1" ht="11.45" customHeight="1" outlineLevel="4" x14ac:dyDescent="0.2">
      <c r="A1482" s="32" t="s">
        <v>14708</v>
      </c>
      <c r="B1482" s="74" t="s">
        <v>14709</v>
      </c>
      <c r="C1482" s="50"/>
      <c r="D1482" s="139">
        <f t="shared" si="22"/>
        <v>0</v>
      </c>
      <c r="E1482" s="140">
        <v>14.88</v>
      </c>
      <c r="F1482" s="140">
        <v>12.2</v>
      </c>
      <c r="G1482" s="34" t="s">
        <v>100</v>
      </c>
      <c r="H1482" s="34" t="s">
        <v>39</v>
      </c>
      <c r="I1482" s="35">
        <v>5</v>
      </c>
      <c r="J1482" s="35">
        <v>5</v>
      </c>
      <c r="K1482" s="35">
        <v>100</v>
      </c>
      <c r="L1482" s="60" t="str">
        <f>HYPERLINK("https://www.sds-group.ru/product/nakleyka-zapreschayuschiy-znak-s-zhivotnymi-vhod-zapreschen-300-150-mm-rexant-56-0040/", "Инфо")</f>
        <v>Инфо</v>
      </c>
      <c r="M1482" s="37">
        <v>0.01</v>
      </c>
      <c r="N1482" s="38">
        <v>1.6100000000000001E-4</v>
      </c>
      <c r="O1482" s="141">
        <v>4601004155992</v>
      </c>
    </row>
    <row r="1483" spans="1:15" s="1" customFormat="1" ht="11.45" customHeight="1" outlineLevel="4" x14ac:dyDescent="0.2">
      <c r="A1483" s="32" t="s">
        <v>14710</v>
      </c>
      <c r="B1483" s="74" t="s">
        <v>14711</v>
      </c>
      <c r="C1483" s="50"/>
      <c r="D1483" s="139">
        <f t="shared" si="22"/>
        <v>0</v>
      </c>
      <c r="E1483" s="140">
        <v>10.95</v>
      </c>
      <c r="F1483" s="140">
        <v>8.98</v>
      </c>
      <c r="G1483" s="34" t="s">
        <v>100</v>
      </c>
      <c r="H1483" s="34" t="s">
        <v>39</v>
      </c>
      <c r="I1483" s="35">
        <v>5</v>
      </c>
      <c r="J1483" s="35">
        <v>5</v>
      </c>
      <c r="K1483" s="35">
        <v>100</v>
      </c>
      <c r="L1483" s="60" t="str">
        <f>HYPERLINK("https://www.sds-group.ru/product/nakleyka-zapreschayuschiy-znak-fotosemka-zapreschena-150-150-mm-rexant-56-0043/", "Инфо")</f>
        <v>Инфо</v>
      </c>
      <c r="M1483" s="37">
        <v>4.0000000000000001E-3</v>
      </c>
      <c r="N1483" s="38">
        <v>8.7000000000000001E-5</v>
      </c>
      <c r="O1483" s="141">
        <v>4601004156029</v>
      </c>
    </row>
    <row r="1484" spans="1:15" s="1" customFormat="1" ht="11.45" customHeight="1" outlineLevel="4" x14ac:dyDescent="0.2">
      <c r="A1484" s="32" t="s">
        <v>14712</v>
      </c>
      <c r="B1484" s="74" t="s">
        <v>14713</v>
      </c>
      <c r="C1484" s="50"/>
      <c r="D1484" s="139">
        <f t="shared" ref="D1484:D1546" si="23">C1484*E1484</f>
        <v>0</v>
      </c>
      <c r="E1484" s="140">
        <v>11.32</v>
      </c>
      <c r="F1484" s="140">
        <v>9.2799999999999994</v>
      </c>
      <c r="G1484" s="34" t="s">
        <v>100</v>
      </c>
      <c r="H1484" s="34" t="s">
        <v>39</v>
      </c>
      <c r="I1484" s="35">
        <v>10</v>
      </c>
      <c r="J1484" s="35">
        <v>10</v>
      </c>
      <c r="K1484" s="35">
        <v>100</v>
      </c>
      <c r="L1484" s="60" t="str">
        <f>HYPERLINK("https://www.sds-group.ru/product/nakleyka-zapreschayuschiy-znak-ne-musorit-d-150-mm-rexant-56-0013/", "Инфо")</f>
        <v>Инфо</v>
      </c>
      <c r="M1484" s="37">
        <v>6.0000000000000001E-3</v>
      </c>
      <c r="N1484" s="38">
        <v>9.0000000000000002E-6</v>
      </c>
      <c r="O1484" s="141">
        <v>4601004162198</v>
      </c>
    </row>
    <row r="1485" spans="1:15" s="1" customFormat="1" ht="11.45" customHeight="1" outlineLevel="4" x14ac:dyDescent="0.2">
      <c r="A1485" s="32" t="s">
        <v>14716</v>
      </c>
      <c r="B1485" s="74" t="s">
        <v>14717</v>
      </c>
      <c r="C1485" s="50"/>
      <c r="D1485" s="139">
        <f t="shared" si="23"/>
        <v>0</v>
      </c>
      <c r="E1485" s="140">
        <v>6.38</v>
      </c>
      <c r="F1485" s="140">
        <v>5.23</v>
      </c>
      <c r="G1485" s="34" t="s">
        <v>100</v>
      </c>
      <c r="H1485" s="34" t="s">
        <v>39</v>
      </c>
      <c r="I1485" s="35">
        <v>5</v>
      </c>
      <c r="J1485" s="35">
        <v>5</v>
      </c>
      <c r="K1485" s="35">
        <v>5</v>
      </c>
      <c r="L1485" s="60" t="str">
        <f>HYPERLINK("https://www.sds-group.ru/product/nakleyki-zapreschayuschie-znaki-nabor-nakleek-4-sht-mini-d-9-sm-s-hederom-200h200-mm-rexa-56-0040-10/", "Инфо")</f>
        <v>Инфо</v>
      </c>
      <c r="M1485" s="37">
        <v>1.2999999999999999E-2</v>
      </c>
      <c r="N1485" s="38">
        <v>9.0000000000000002E-6</v>
      </c>
      <c r="O1485" s="141">
        <v>4601004266995</v>
      </c>
    </row>
    <row r="1486" spans="1:15" ht="11.45" customHeight="1" outlineLevel="3" x14ac:dyDescent="0.2">
      <c r="A1486" s="76" t="s">
        <v>14718</v>
      </c>
      <c r="B1486" s="136"/>
      <c r="C1486" s="77"/>
      <c r="D1486" s="137"/>
      <c r="E1486" s="4"/>
      <c r="F1486" s="4"/>
      <c r="G1486" s="4"/>
      <c r="H1486" s="4"/>
      <c r="I1486" s="4"/>
      <c r="J1486" s="4"/>
      <c r="K1486" s="4"/>
      <c r="L1486" s="138"/>
      <c r="M1486" s="4"/>
      <c r="N1486" s="4"/>
      <c r="O1486" s="4"/>
    </row>
    <row r="1487" spans="1:15" s="1" customFormat="1" ht="11.45" customHeight="1" outlineLevel="4" x14ac:dyDescent="0.2">
      <c r="A1487" s="32" t="s">
        <v>14719</v>
      </c>
      <c r="B1487" s="74" t="s">
        <v>14720</v>
      </c>
      <c r="C1487" s="50"/>
      <c r="D1487" s="139">
        <f t="shared" si="23"/>
        <v>0</v>
      </c>
      <c r="E1487" s="140">
        <v>16.77</v>
      </c>
      <c r="F1487" s="140">
        <v>13.75</v>
      </c>
      <c r="G1487" s="34" t="s">
        <v>100</v>
      </c>
      <c r="H1487" s="34" t="s">
        <v>39</v>
      </c>
      <c r="I1487" s="35">
        <v>10</v>
      </c>
      <c r="J1487" s="35">
        <v>10</v>
      </c>
      <c r="K1487" s="35">
        <v>100</v>
      </c>
      <c r="L1487" s="60" t="str">
        <f>HYPERLINK("https://www.sds-group.ru/product/nakleyka-znak-bezopasnosti-vnimanie-opasnost-150h150h150-mm-rexant-55-0021/", "Инфо")</f>
        <v>Инфо</v>
      </c>
      <c r="M1487" s="37">
        <v>7.0000000000000001E-3</v>
      </c>
      <c r="N1487" s="38">
        <v>6.0000000000000002E-6</v>
      </c>
      <c r="O1487" s="141">
        <v>4601004162235</v>
      </c>
    </row>
    <row r="1488" spans="1:15" ht="11.45" customHeight="1" outlineLevel="2" x14ac:dyDescent="0.2">
      <c r="A1488" s="76" t="s">
        <v>14738</v>
      </c>
      <c r="B1488" s="136"/>
      <c r="C1488" s="77"/>
      <c r="D1488" s="137"/>
      <c r="E1488" s="4"/>
      <c r="F1488" s="4"/>
      <c r="G1488" s="4"/>
      <c r="H1488" s="4"/>
      <c r="I1488" s="4"/>
      <c r="J1488" s="4"/>
      <c r="K1488" s="4"/>
      <c r="L1488" s="138"/>
      <c r="M1488" s="4"/>
      <c r="N1488" s="4"/>
      <c r="O1488" s="4"/>
    </row>
    <row r="1489" spans="1:15" ht="11.45" customHeight="1" outlineLevel="3" x14ac:dyDescent="0.2">
      <c r="A1489" s="76" t="s">
        <v>14744</v>
      </c>
      <c r="B1489" s="136"/>
      <c r="C1489" s="77"/>
      <c r="D1489" s="137"/>
      <c r="E1489" s="4"/>
      <c r="F1489" s="4"/>
      <c r="G1489" s="4"/>
      <c r="H1489" s="4"/>
      <c r="I1489" s="4"/>
      <c r="J1489" s="4"/>
      <c r="K1489" s="4"/>
      <c r="L1489" s="138"/>
      <c r="M1489" s="4"/>
      <c r="N1489" s="4"/>
      <c r="O1489" s="4"/>
    </row>
    <row r="1490" spans="1:15" s="1" customFormat="1" ht="11.45" customHeight="1" outlineLevel="4" x14ac:dyDescent="0.2">
      <c r="A1490" s="32" t="s">
        <v>14745</v>
      </c>
      <c r="B1490" s="74" t="s">
        <v>14746</v>
      </c>
      <c r="C1490" s="50"/>
      <c r="D1490" s="139">
        <f t="shared" si="23"/>
        <v>0</v>
      </c>
      <c r="E1490" s="140">
        <v>47.39</v>
      </c>
      <c r="F1490" s="140">
        <v>38.840000000000003</v>
      </c>
      <c r="G1490" s="34" t="s">
        <v>100</v>
      </c>
      <c r="H1490" s="34" t="s">
        <v>39</v>
      </c>
      <c r="I1490" s="35">
        <v>1</v>
      </c>
      <c r="J1490" s="35">
        <v>1</v>
      </c>
      <c r="K1490" s="35">
        <v>10</v>
      </c>
      <c r="L1490" s="60" t="str">
        <f>HYPERLINK("https://www.sds-group.ru/product/tablichka-pvh-evakuatsionnyy-znak-ukazatel-zapasnogo-vyhoda-100h300-mm-rexant-56-0020-2/", "Инфо")</f>
        <v>Инфо</v>
      </c>
      <c r="M1490" s="37">
        <v>2.1000000000000001E-2</v>
      </c>
      <c r="N1490" s="38">
        <v>5.3000000000000001E-5</v>
      </c>
      <c r="O1490" s="141">
        <v>4601004143975</v>
      </c>
    </row>
    <row r="1491" spans="1:15" ht="11.45" customHeight="1" outlineLevel="3" x14ac:dyDescent="0.2">
      <c r="A1491" s="76" t="s">
        <v>14747</v>
      </c>
      <c r="B1491" s="136"/>
      <c r="C1491" s="77"/>
      <c r="D1491" s="137"/>
      <c r="E1491" s="4"/>
      <c r="F1491" s="4"/>
      <c r="G1491" s="4"/>
      <c r="H1491" s="4"/>
      <c r="I1491" s="4"/>
      <c r="J1491" s="4"/>
      <c r="K1491" s="4"/>
      <c r="L1491" s="138"/>
      <c r="M1491" s="4"/>
      <c r="N1491" s="4"/>
      <c r="O1491" s="4"/>
    </row>
    <row r="1492" spans="1:15" s="1" customFormat="1" ht="11.45" customHeight="1" outlineLevel="4" x14ac:dyDescent="0.2">
      <c r="A1492" s="32" t="s">
        <v>14748</v>
      </c>
      <c r="B1492" s="74" t="s">
        <v>14749</v>
      </c>
      <c r="C1492" s="50"/>
      <c r="D1492" s="139">
        <f t="shared" si="23"/>
        <v>0</v>
      </c>
      <c r="E1492" s="140">
        <v>37.700000000000003</v>
      </c>
      <c r="F1492" s="140">
        <v>30.9</v>
      </c>
      <c r="G1492" s="34" t="s">
        <v>100</v>
      </c>
      <c r="H1492" s="34" t="s">
        <v>39</v>
      </c>
      <c r="I1492" s="35">
        <v>1</v>
      </c>
      <c r="J1492" s="35">
        <v>1</v>
      </c>
      <c r="K1492" s="35">
        <v>100</v>
      </c>
      <c r="L1492" s="60" t="str">
        <f>HYPERLINK("https://www.sds-group.ru/product/tablichka-pvh-zapreschayuschiy-znak-fotosemka-zapreschena-150h150-mm-rexant-56-0043-2/", "Инфо")</f>
        <v>Инфо</v>
      </c>
      <c r="M1492" s="37">
        <v>1.4E-2</v>
      </c>
      <c r="N1492" s="38">
        <v>3.6200000000000002E-4</v>
      </c>
      <c r="O1492" s="141">
        <v>4601004143937</v>
      </c>
    </row>
    <row r="1493" spans="1:15" ht="11.45" customHeight="1" outlineLevel="3" x14ac:dyDescent="0.2">
      <c r="A1493" s="76" t="s">
        <v>14750</v>
      </c>
      <c r="B1493" s="136"/>
      <c r="C1493" s="77"/>
      <c r="D1493" s="137"/>
      <c r="E1493" s="4"/>
      <c r="F1493" s="4"/>
      <c r="G1493" s="4"/>
      <c r="H1493" s="4"/>
      <c r="I1493" s="4"/>
      <c r="J1493" s="4"/>
      <c r="K1493" s="4"/>
      <c r="L1493" s="138"/>
      <c r="M1493" s="4"/>
      <c r="N1493" s="4"/>
      <c r="O1493" s="4"/>
    </row>
    <row r="1494" spans="1:15" s="1" customFormat="1" ht="11.45" customHeight="1" outlineLevel="4" x14ac:dyDescent="0.2">
      <c r="A1494" s="32" t="s">
        <v>14751</v>
      </c>
      <c r="B1494" s="74" t="s">
        <v>14752</v>
      </c>
      <c r="C1494" s="50"/>
      <c r="D1494" s="139">
        <f t="shared" si="23"/>
        <v>0</v>
      </c>
      <c r="E1494" s="140">
        <v>46.79</v>
      </c>
      <c r="F1494" s="140">
        <v>38.35</v>
      </c>
      <c r="G1494" s="34" t="s">
        <v>100</v>
      </c>
      <c r="H1494" s="34" t="s">
        <v>39</v>
      </c>
      <c r="I1494" s="35">
        <v>1</v>
      </c>
      <c r="J1494" s="35">
        <v>1</v>
      </c>
      <c r="K1494" s="35">
        <v>100</v>
      </c>
      <c r="L1494" s="60" t="str">
        <f>HYPERLINK("https://www.sds-group.ru/product/tablichka-pvh-zona-wi-fi-200h150-mm-rexant-56-0017-2/", "Инфо")</f>
        <v>Инфо</v>
      </c>
      <c r="M1494" s="37">
        <v>2.1000000000000001E-2</v>
      </c>
      <c r="N1494" s="38">
        <v>1.1E-4</v>
      </c>
      <c r="O1494" s="141">
        <v>4601004148130</v>
      </c>
    </row>
    <row r="1495" spans="1:15" ht="11.45" customHeight="1" x14ac:dyDescent="0.2">
      <c r="A1495" s="80" t="s">
        <v>14755</v>
      </c>
      <c r="B1495" s="128"/>
      <c r="C1495" s="81"/>
      <c r="D1495" s="129"/>
      <c r="E1495" s="130"/>
      <c r="F1495" s="130"/>
      <c r="G1495" s="130"/>
      <c r="H1495" s="130"/>
      <c r="I1495" s="130"/>
      <c r="J1495" s="130"/>
      <c r="K1495" s="130"/>
      <c r="L1495" s="131"/>
      <c r="M1495" s="130"/>
      <c r="N1495" s="130"/>
      <c r="O1495" s="130"/>
    </row>
    <row r="1496" spans="1:15" ht="11.45" customHeight="1" outlineLevel="1" x14ac:dyDescent="0.2">
      <c r="A1496" s="78" t="s">
        <v>14756</v>
      </c>
      <c r="B1496" s="132"/>
      <c r="C1496" s="79"/>
      <c r="D1496" s="133"/>
      <c r="E1496" s="134"/>
      <c r="F1496" s="134"/>
      <c r="G1496" s="134"/>
      <c r="H1496" s="134"/>
      <c r="I1496" s="134"/>
      <c r="J1496" s="134"/>
      <c r="K1496" s="134"/>
      <c r="L1496" s="135"/>
      <c r="M1496" s="134"/>
      <c r="N1496" s="134"/>
      <c r="O1496" s="134"/>
    </row>
    <row r="1497" spans="1:15" ht="11.45" customHeight="1" outlineLevel="2" x14ac:dyDescent="0.2">
      <c r="A1497" s="82" t="s">
        <v>14798</v>
      </c>
      <c r="B1497" s="142"/>
      <c r="C1497" s="83"/>
      <c r="D1497" s="143"/>
      <c r="E1497" s="5"/>
      <c r="F1497" s="5"/>
      <c r="G1497" s="5"/>
      <c r="H1497" s="5"/>
      <c r="I1497" s="5"/>
      <c r="J1497" s="5"/>
      <c r="K1497" s="5"/>
      <c r="L1497" s="144"/>
      <c r="M1497" s="5"/>
      <c r="N1497" s="5"/>
      <c r="O1497" s="5"/>
    </row>
    <row r="1498" spans="1:15" s="1" customFormat="1" ht="11.45" customHeight="1" outlineLevel="3" x14ac:dyDescent="0.2">
      <c r="A1498" s="32" t="s">
        <v>14815</v>
      </c>
      <c r="B1498" s="74" t="s">
        <v>14816</v>
      </c>
      <c r="C1498" s="50"/>
      <c r="D1498" s="139">
        <f t="shared" si="23"/>
        <v>0</v>
      </c>
      <c r="E1498" s="140">
        <v>7452.09</v>
      </c>
      <c r="F1498" s="140">
        <v>6108.27</v>
      </c>
      <c r="G1498" s="34" t="s">
        <v>100</v>
      </c>
      <c r="H1498" s="34" t="s">
        <v>1887</v>
      </c>
      <c r="I1498" s="35">
        <v>1</v>
      </c>
      <c r="J1498" s="35">
        <v>1</v>
      </c>
      <c r="K1498" s="35">
        <v>2</v>
      </c>
      <c r="L1498" s="60" t="str">
        <f>HYPERLINK("https://www.sds-group.ru/product/kabel-koaksialnyy-rg-6u-75om-cu-al-cu-75-305m-indoor-belyy-rexant-01-2233/", "Инфо")</f>
        <v>Инфо</v>
      </c>
      <c r="M1498" s="37">
        <v>13.093</v>
      </c>
      <c r="N1498" s="38">
        <v>2.2738000000000001E-2</v>
      </c>
      <c r="O1498" s="141">
        <v>4660008016289</v>
      </c>
    </row>
    <row r="1499" spans="1:15" ht="11.45" customHeight="1" outlineLevel="2" x14ac:dyDescent="0.2">
      <c r="A1499" s="82" t="s">
        <v>14877</v>
      </c>
      <c r="B1499" s="142"/>
      <c r="C1499" s="83"/>
      <c r="D1499" s="143"/>
      <c r="E1499" s="5"/>
      <c r="F1499" s="5"/>
      <c r="G1499" s="5"/>
      <c r="H1499" s="5"/>
      <c r="I1499" s="5"/>
      <c r="J1499" s="5"/>
      <c r="K1499" s="5"/>
      <c r="L1499" s="144"/>
      <c r="M1499" s="5"/>
      <c r="N1499" s="5"/>
      <c r="O1499" s="5"/>
    </row>
    <row r="1500" spans="1:15" s="1" customFormat="1" ht="11.45" customHeight="1" outlineLevel="3" x14ac:dyDescent="0.2">
      <c r="A1500" s="32" t="s">
        <v>14880</v>
      </c>
      <c r="B1500" s="74" t="s">
        <v>14881</v>
      </c>
      <c r="C1500" s="50"/>
      <c r="D1500" s="139">
        <f t="shared" si="23"/>
        <v>0</v>
      </c>
      <c r="E1500" s="140">
        <v>9234.36</v>
      </c>
      <c r="F1500" s="140">
        <v>7569.15</v>
      </c>
      <c r="G1500" s="34" t="s">
        <v>100</v>
      </c>
      <c r="H1500" s="34" t="s">
        <v>1887</v>
      </c>
      <c r="I1500" s="35">
        <v>1</v>
      </c>
      <c r="J1500" s="35">
        <v>1</v>
      </c>
      <c r="K1500" s="35">
        <v>6</v>
      </c>
      <c r="L1500" s="60" t="str">
        <f>HYPERLINK("https://www.sds-group.ru/product/kabel-koaksialnyy-dg-113-cu-al-cusn-75-75om-100m-indoor-belyy-cavel-01-2472/", "Инфо")</f>
        <v>Инфо</v>
      </c>
      <c r="M1500" s="37">
        <v>4.391</v>
      </c>
      <c r="N1500" s="38">
        <v>9.3469999999999994E-3</v>
      </c>
      <c r="O1500" s="141">
        <v>8000003910100</v>
      </c>
    </row>
    <row r="1501" spans="1:15" ht="11.45" customHeight="1" outlineLevel="1" x14ac:dyDescent="0.2">
      <c r="A1501" s="78" t="s">
        <v>14882</v>
      </c>
      <c r="B1501" s="132"/>
      <c r="C1501" s="79"/>
      <c r="D1501" s="133"/>
      <c r="E1501" s="134"/>
      <c r="F1501" s="134"/>
      <c r="G1501" s="134"/>
      <c r="H1501" s="134"/>
      <c r="I1501" s="134"/>
      <c r="J1501" s="134"/>
      <c r="K1501" s="134"/>
      <c r="L1501" s="135"/>
      <c r="M1501" s="134"/>
      <c r="N1501" s="134"/>
      <c r="O1501" s="134"/>
    </row>
    <row r="1502" spans="1:15" ht="11.45" customHeight="1" outlineLevel="2" x14ac:dyDescent="0.2">
      <c r="A1502" s="76" t="s">
        <v>14965</v>
      </c>
      <c r="B1502" s="136"/>
      <c r="C1502" s="77"/>
      <c r="D1502" s="137"/>
      <c r="E1502" s="4"/>
      <c r="F1502" s="4"/>
      <c r="G1502" s="4"/>
      <c r="H1502" s="4"/>
      <c r="I1502" s="4"/>
      <c r="J1502" s="4"/>
      <c r="K1502" s="4"/>
      <c r="L1502" s="138"/>
      <c r="M1502" s="4"/>
      <c r="N1502" s="4"/>
      <c r="O1502" s="4"/>
    </row>
    <row r="1503" spans="1:15" s="1" customFormat="1" ht="11.45" customHeight="1" outlineLevel="3" x14ac:dyDescent="0.2">
      <c r="A1503" s="32" t="s">
        <v>14970</v>
      </c>
      <c r="B1503" s="74" t="s">
        <v>14971</v>
      </c>
      <c r="C1503" s="50"/>
      <c r="D1503" s="139">
        <f t="shared" si="23"/>
        <v>0</v>
      </c>
      <c r="E1503" s="140">
        <v>79.53</v>
      </c>
      <c r="F1503" s="140">
        <v>65.19</v>
      </c>
      <c r="G1503" s="34" t="s">
        <v>100</v>
      </c>
      <c r="H1503" s="34" t="s">
        <v>39</v>
      </c>
      <c r="I1503" s="35">
        <v>5</v>
      </c>
      <c r="J1503" s="35">
        <v>5</v>
      </c>
      <c r="K1503" s="35">
        <v>100</v>
      </c>
      <c r="L1503" s="60" t="str">
        <f>HYPERLINK("https://www.sds-group.ru/product/kabel-akusticheskiy-2h0-25mm-krasno-chernyy-mini-buhta-5m-rexant-01-6101-3-05/", "Инфо")</f>
        <v>Инфо</v>
      </c>
      <c r="M1503" s="37">
        <v>5.3999999999999999E-2</v>
      </c>
      <c r="N1503" s="38">
        <v>3.2000000000000003E-4</v>
      </c>
      <c r="O1503" s="141">
        <v>4601004069657</v>
      </c>
    </row>
    <row r="1504" spans="1:15" s="1" customFormat="1" ht="11.45" customHeight="1" outlineLevel="3" x14ac:dyDescent="0.2">
      <c r="A1504" s="32" t="s">
        <v>14976</v>
      </c>
      <c r="B1504" s="74" t="s">
        <v>14977</v>
      </c>
      <c r="C1504" s="50"/>
      <c r="D1504" s="139">
        <f t="shared" si="23"/>
        <v>0</v>
      </c>
      <c r="E1504" s="140">
        <v>63.6</v>
      </c>
      <c r="F1504" s="140">
        <v>52.13</v>
      </c>
      <c r="G1504" s="34" t="s">
        <v>100</v>
      </c>
      <c r="H1504" s="34" t="s">
        <v>39</v>
      </c>
      <c r="I1504" s="35">
        <v>5</v>
      </c>
      <c r="J1504" s="35">
        <v>5</v>
      </c>
      <c r="K1504" s="35">
        <v>100</v>
      </c>
      <c r="L1504" s="60" t="str">
        <f>HYPERLINK("https://www.sds-group.ru/product/kabel-akusticheskiy-2h0-35mm-krasno-chernyy-mini-buhta-5m-rexant-01-6102-3-05/", "Инфо")</f>
        <v>Инфо</v>
      </c>
      <c r="M1504" s="37">
        <v>5.7000000000000002E-2</v>
      </c>
      <c r="N1504" s="38">
        <v>3.5100000000000002E-4</v>
      </c>
      <c r="O1504" s="141">
        <v>4601004069398</v>
      </c>
    </row>
    <row r="1505" spans="1:15" ht="11.45" customHeight="1" outlineLevel="2" x14ac:dyDescent="0.2">
      <c r="A1505" s="76" t="s">
        <v>15008</v>
      </c>
      <c r="B1505" s="136"/>
      <c r="C1505" s="77"/>
      <c r="D1505" s="137"/>
      <c r="E1505" s="4"/>
      <c r="F1505" s="4"/>
      <c r="G1505" s="4"/>
      <c r="H1505" s="4"/>
      <c r="I1505" s="4"/>
      <c r="J1505" s="4"/>
      <c r="K1505" s="4"/>
      <c r="L1505" s="138"/>
      <c r="M1505" s="4"/>
      <c r="N1505" s="4"/>
      <c r="O1505" s="4"/>
    </row>
    <row r="1506" spans="1:15" s="1" customFormat="1" ht="11.45" customHeight="1" outlineLevel="3" x14ac:dyDescent="0.2">
      <c r="A1506" s="32" t="s">
        <v>15009</v>
      </c>
      <c r="B1506" s="74" t="s">
        <v>15010</v>
      </c>
      <c r="C1506" s="50"/>
      <c r="D1506" s="139">
        <f t="shared" si="23"/>
        <v>0</v>
      </c>
      <c r="E1506" s="140">
        <v>142.03</v>
      </c>
      <c r="F1506" s="140">
        <v>116.42</v>
      </c>
      <c r="G1506" s="34" t="s">
        <v>100</v>
      </c>
      <c r="H1506" s="34" t="s">
        <v>39</v>
      </c>
      <c r="I1506" s="35">
        <v>5</v>
      </c>
      <c r="J1506" s="35">
        <v>5</v>
      </c>
      <c r="K1506" s="35">
        <v>70</v>
      </c>
      <c r="L1506" s="60" t="str">
        <f>HYPERLINK("https://www.sds-group.ru/product/kabel-akusticheskiy-2h0-35mm-prozrachnyy-blueline-mini-buhta-20m-rexant-01-6202-3-20/", "Инфо")</f>
        <v>Инфо</v>
      </c>
      <c r="M1506" s="37">
        <v>0.16500000000000001</v>
      </c>
      <c r="N1506" s="38">
        <v>6.8900000000000005E-4</v>
      </c>
      <c r="O1506" s="141">
        <v>4601004069626</v>
      </c>
    </row>
    <row r="1507" spans="1:15" s="1" customFormat="1" ht="11.45" customHeight="1" outlineLevel="3" x14ac:dyDescent="0.2">
      <c r="A1507" s="32" t="s">
        <v>15011</v>
      </c>
      <c r="B1507" s="74" t="s">
        <v>15012</v>
      </c>
      <c r="C1507" s="50"/>
      <c r="D1507" s="139">
        <f t="shared" si="23"/>
        <v>0</v>
      </c>
      <c r="E1507" s="140">
        <v>72.290000000000006</v>
      </c>
      <c r="F1507" s="140">
        <v>59.25</v>
      </c>
      <c r="G1507" s="34" t="s">
        <v>100</v>
      </c>
      <c r="H1507" s="34" t="s">
        <v>39</v>
      </c>
      <c r="I1507" s="35">
        <v>5</v>
      </c>
      <c r="J1507" s="35">
        <v>5</v>
      </c>
      <c r="K1507" s="35">
        <v>110</v>
      </c>
      <c r="L1507" s="60" t="str">
        <f>HYPERLINK("https://www.sds-group.ru/product/kabel-akusticheskiy-2h0-35mm-prozrachnyy-blueline-mini-buhta-5m-rexant-01-6202-3-05/", "Инфо")</f>
        <v>Инфо</v>
      </c>
      <c r="M1507" s="37">
        <v>0.05</v>
      </c>
      <c r="N1507" s="38">
        <v>3.1399999999999999E-4</v>
      </c>
      <c r="O1507" s="141">
        <v>4601004069435</v>
      </c>
    </row>
    <row r="1508" spans="1:15" s="1" customFormat="1" ht="11.45" customHeight="1" outlineLevel="3" x14ac:dyDescent="0.2">
      <c r="A1508" s="32" t="s">
        <v>15013</v>
      </c>
      <c r="B1508" s="74" t="s">
        <v>15014</v>
      </c>
      <c r="C1508" s="50"/>
      <c r="D1508" s="139">
        <f t="shared" si="23"/>
        <v>0</v>
      </c>
      <c r="E1508" s="140">
        <v>130.97999999999999</v>
      </c>
      <c r="F1508" s="140">
        <v>107.36</v>
      </c>
      <c r="G1508" s="34" t="s">
        <v>100</v>
      </c>
      <c r="H1508" s="34" t="s">
        <v>39</v>
      </c>
      <c r="I1508" s="35">
        <v>5</v>
      </c>
      <c r="J1508" s="35">
        <v>5</v>
      </c>
      <c r="K1508" s="35">
        <v>80</v>
      </c>
      <c r="L1508" s="60" t="str">
        <f>HYPERLINK("https://www.sds-group.ru/product/kabel-akusticheskiy-2h0-50mm-prozrachnyy-blueline-mini-buhta-10m-rexant-01-6203-3-10/", "Инфо")</f>
        <v>Инфо</v>
      </c>
      <c r="M1508" s="37">
        <v>0.10199999999999999</v>
      </c>
      <c r="N1508" s="38">
        <v>6.3400000000000001E-4</v>
      </c>
      <c r="O1508" s="141">
        <v>4601004069558</v>
      </c>
    </row>
    <row r="1509" spans="1:15" s="1" customFormat="1" ht="11.45" customHeight="1" outlineLevel="3" x14ac:dyDescent="0.2">
      <c r="A1509" s="32" t="s">
        <v>15017</v>
      </c>
      <c r="B1509" s="74" t="s">
        <v>15018</v>
      </c>
      <c r="C1509" s="50"/>
      <c r="D1509" s="139">
        <f t="shared" si="23"/>
        <v>0</v>
      </c>
      <c r="E1509" s="140">
        <v>169.83</v>
      </c>
      <c r="F1509" s="140">
        <v>139.19999999999999</v>
      </c>
      <c r="G1509" s="34" t="s">
        <v>100</v>
      </c>
      <c r="H1509" s="34" t="s">
        <v>39</v>
      </c>
      <c r="I1509" s="35">
        <v>5</v>
      </c>
      <c r="J1509" s="35">
        <v>5</v>
      </c>
      <c r="K1509" s="35">
        <v>90</v>
      </c>
      <c r="L1509" s="60" t="str">
        <f>HYPERLINK("https://www.sds-group.ru/product/kabel-akusticheskiy-2h0-75mm-prozrachnyy-blueline-mini-buhta-10m-rexant-01-6204-3-10/", "Инфо")</f>
        <v>Инфо</v>
      </c>
      <c r="M1509" s="37">
        <v>0.14099999999999999</v>
      </c>
      <c r="N1509" s="38">
        <v>5.6599999999999999E-4</v>
      </c>
      <c r="O1509" s="141">
        <v>4601004069565</v>
      </c>
    </row>
    <row r="1510" spans="1:15" s="1" customFormat="1" ht="11.45" customHeight="1" outlineLevel="3" x14ac:dyDescent="0.2">
      <c r="A1510" s="32" t="s">
        <v>15021</v>
      </c>
      <c r="B1510" s="74" t="s">
        <v>15022</v>
      </c>
      <c r="C1510" s="50"/>
      <c r="D1510" s="139">
        <f t="shared" si="23"/>
        <v>0</v>
      </c>
      <c r="E1510" s="140">
        <v>82.78</v>
      </c>
      <c r="F1510" s="140">
        <v>67.849999999999994</v>
      </c>
      <c r="G1510" s="34" t="s">
        <v>100</v>
      </c>
      <c r="H1510" s="34" t="s">
        <v>39</v>
      </c>
      <c r="I1510" s="35">
        <v>5</v>
      </c>
      <c r="J1510" s="35">
        <v>5</v>
      </c>
      <c r="K1510" s="35">
        <v>80</v>
      </c>
      <c r="L1510" s="60" t="str">
        <f>HYPERLINK("https://www.sds-group.ru/product/kabel-akusticheskiy-2h0-75mm-prozrachnyy-blueline-mini-buhta-5m-rexant-01-6204-3-05/", "Инфо")</f>
        <v>Инфо</v>
      </c>
      <c r="M1510" s="37">
        <v>8.1000000000000003E-2</v>
      </c>
      <c r="N1510" s="38">
        <v>4.3899999999999999E-4</v>
      </c>
      <c r="O1510" s="141">
        <v>4601004069459</v>
      </c>
    </row>
    <row r="1511" spans="1:15" s="1" customFormat="1" ht="11.45" customHeight="1" outlineLevel="3" x14ac:dyDescent="0.2">
      <c r="A1511" s="32" t="s">
        <v>15025</v>
      </c>
      <c r="B1511" s="74" t="s">
        <v>15026</v>
      </c>
      <c r="C1511" s="50"/>
      <c r="D1511" s="139">
        <f t="shared" si="23"/>
        <v>0</v>
      </c>
      <c r="E1511" s="140">
        <v>266.3</v>
      </c>
      <c r="F1511" s="140">
        <v>218.28</v>
      </c>
      <c r="G1511" s="34" t="s">
        <v>100</v>
      </c>
      <c r="H1511" s="34" t="s">
        <v>39</v>
      </c>
      <c r="I1511" s="35">
        <v>5</v>
      </c>
      <c r="J1511" s="35">
        <v>5</v>
      </c>
      <c r="K1511" s="35">
        <v>90</v>
      </c>
      <c r="L1511" s="60" t="str">
        <f>HYPERLINK("https://www.sds-group.ru/product/kabel-akusticheskiy-2h0-75mm-prozrachnyy-silicon-mini-buhta-5m-rexant-01-6304-05/", "Инфо")</f>
        <v>Инфо</v>
      </c>
      <c r="M1511" s="37">
        <v>0.123</v>
      </c>
      <c r="N1511" s="38">
        <v>3.9100000000000002E-4</v>
      </c>
      <c r="O1511" s="141">
        <v>4601004021419</v>
      </c>
    </row>
    <row r="1512" spans="1:15" s="1" customFormat="1" ht="11.45" customHeight="1" outlineLevel="3" x14ac:dyDescent="0.2">
      <c r="A1512" s="32" t="s">
        <v>15027</v>
      </c>
      <c r="B1512" s="74" t="s">
        <v>15028</v>
      </c>
      <c r="C1512" s="50"/>
      <c r="D1512" s="139">
        <f t="shared" si="23"/>
        <v>0</v>
      </c>
      <c r="E1512" s="140">
        <v>269.20999999999998</v>
      </c>
      <c r="F1512" s="140">
        <v>220.66</v>
      </c>
      <c r="G1512" s="34" t="s">
        <v>100</v>
      </c>
      <c r="H1512" s="34" t="s">
        <v>39</v>
      </c>
      <c r="I1512" s="35">
        <v>5</v>
      </c>
      <c r="J1512" s="35">
        <v>5</v>
      </c>
      <c r="K1512" s="35">
        <v>80</v>
      </c>
      <c r="L1512" s="60" t="str">
        <f>HYPERLINK("https://www.sds-group.ru/product/kabel-akusticheskiy-2h1-00mm-prozrachnyy-blueline-mini-buhta-10m-rexant-01-6205-3-10/", "Инфо")</f>
        <v>Инфо</v>
      </c>
      <c r="M1512" s="37">
        <v>0.16200000000000001</v>
      </c>
      <c r="N1512" s="38">
        <v>6.8000000000000005E-4</v>
      </c>
      <c r="O1512" s="141">
        <v>4601004096455</v>
      </c>
    </row>
    <row r="1513" spans="1:15" s="1" customFormat="1" ht="11.45" customHeight="1" outlineLevel="3" x14ac:dyDescent="0.2">
      <c r="A1513" s="32" t="s">
        <v>15029</v>
      </c>
      <c r="B1513" s="74" t="s">
        <v>15030</v>
      </c>
      <c r="C1513" s="50"/>
      <c r="D1513" s="139">
        <f t="shared" si="23"/>
        <v>0</v>
      </c>
      <c r="E1513" s="140">
        <v>354.18</v>
      </c>
      <c r="F1513" s="140">
        <v>290.31</v>
      </c>
      <c r="G1513" s="34" t="s">
        <v>100</v>
      </c>
      <c r="H1513" s="34" t="s">
        <v>39</v>
      </c>
      <c r="I1513" s="35">
        <v>5</v>
      </c>
      <c r="J1513" s="35">
        <v>5</v>
      </c>
      <c r="K1513" s="35">
        <v>70</v>
      </c>
      <c r="L1513" s="60" t="str">
        <f>HYPERLINK("https://www.sds-group.ru/product/kabel-akusticheskiy-2h1-00mm-prozrachnyy-silicon-mini-buhta-5m-rexant-01-6305-05/", "Инфо")</f>
        <v>Инфо</v>
      </c>
      <c r="M1513" s="37">
        <v>0.13100000000000001</v>
      </c>
      <c r="N1513" s="38">
        <v>4.2000000000000002E-4</v>
      </c>
      <c r="O1513" s="141">
        <v>4601004096400</v>
      </c>
    </row>
    <row r="1514" spans="1:15" s="1" customFormat="1" ht="11.45" customHeight="1" outlineLevel="3" x14ac:dyDescent="0.2">
      <c r="A1514" s="32" t="s">
        <v>15037</v>
      </c>
      <c r="B1514" s="74" t="s">
        <v>15038</v>
      </c>
      <c r="C1514" s="50"/>
      <c r="D1514" s="139">
        <f t="shared" si="23"/>
        <v>0</v>
      </c>
      <c r="E1514" s="140">
        <v>977.96</v>
      </c>
      <c r="F1514" s="140">
        <v>801.61</v>
      </c>
      <c r="G1514" s="34" t="s">
        <v>100</v>
      </c>
      <c r="H1514" s="34" t="s">
        <v>39</v>
      </c>
      <c r="I1514" s="35">
        <v>5</v>
      </c>
      <c r="J1514" s="35">
        <v>5</v>
      </c>
      <c r="K1514" s="35">
        <v>40</v>
      </c>
      <c r="L1514" s="60" t="str">
        <f>HYPERLINK("https://www.sds-group.ru/product/kabel-akusticheskiy-2h1-50mm-prozrachnyy-silicon-mini-buhta-10m-rexant-01-6306-10/", "Инфо")</f>
        <v>Инфо</v>
      </c>
      <c r="M1514" s="37">
        <v>0.41399999999999998</v>
      </c>
      <c r="N1514" s="38">
        <v>9.6599999999999995E-4</v>
      </c>
      <c r="O1514" s="141">
        <v>4601004096509</v>
      </c>
    </row>
    <row r="1515" spans="1:15" s="1" customFormat="1" ht="11.45" customHeight="1" outlineLevel="3" x14ac:dyDescent="0.2">
      <c r="A1515" s="32" t="s">
        <v>15047</v>
      </c>
      <c r="B1515" s="74" t="s">
        <v>15048</v>
      </c>
      <c r="C1515" s="50"/>
      <c r="D1515" s="139">
        <f t="shared" si="23"/>
        <v>0</v>
      </c>
      <c r="E1515" s="140">
        <v>321.36</v>
      </c>
      <c r="F1515" s="140">
        <v>263.41000000000003</v>
      </c>
      <c r="G1515" s="34" t="s">
        <v>100</v>
      </c>
      <c r="H1515" s="34" t="s">
        <v>39</v>
      </c>
      <c r="I1515" s="35">
        <v>5</v>
      </c>
      <c r="J1515" s="35">
        <v>5</v>
      </c>
      <c r="K1515" s="35">
        <v>70</v>
      </c>
      <c r="L1515" s="60" t="str">
        <f>HYPERLINK("https://www.sds-group.ru/product/kabel-akusticheskiy-2h2-50mm-prozrachnyy-blueline-mini-buhta-5m-rexant-01-6208-3-05/", "Инфо")</f>
        <v>Инфо</v>
      </c>
      <c r="M1515" s="37">
        <v>0.17499999999999999</v>
      </c>
      <c r="N1515" s="38">
        <v>5.0699999999999996E-4</v>
      </c>
      <c r="O1515" s="141">
        <v>4601004096394</v>
      </c>
    </row>
    <row r="1516" spans="1:15" ht="11.45" customHeight="1" outlineLevel="2" x14ac:dyDescent="0.2">
      <c r="A1516" s="76" t="s">
        <v>15061</v>
      </c>
      <c r="B1516" s="136"/>
      <c r="C1516" s="77"/>
      <c r="D1516" s="137"/>
      <c r="E1516" s="4"/>
      <c r="F1516" s="4"/>
      <c r="G1516" s="4"/>
      <c r="H1516" s="4"/>
      <c r="I1516" s="4"/>
      <c r="J1516" s="4"/>
      <c r="K1516" s="4"/>
      <c r="L1516" s="138"/>
      <c r="M1516" s="4"/>
      <c r="N1516" s="4"/>
      <c r="O1516" s="4"/>
    </row>
    <row r="1517" spans="1:15" s="1" customFormat="1" ht="11.45" customHeight="1" outlineLevel="3" x14ac:dyDescent="0.2">
      <c r="A1517" s="32" t="s">
        <v>15062</v>
      </c>
      <c r="B1517" s="74" t="s">
        <v>15063</v>
      </c>
      <c r="C1517" s="50"/>
      <c r="D1517" s="139">
        <f t="shared" si="23"/>
        <v>0</v>
      </c>
      <c r="E1517" s="140">
        <v>303.64</v>
      </c>
      <c r="F1517" s="140">
        <v>248.89</v>
      </c>
      <c r="G1517" s="34" t="s">
        <v>100</v>
      </c>
      <c r="H1517" s="34" t="s">
        <v>1887</v>
      </c>
      <c r="I1517" s="35">
        <v>1</v>
      </c>
      <c r="J1517" s="35">
        <v>1</v>
      </c>
      <c r="K1517" s="35">
        <v>8</v>
      </c>
      <c r="L1517" s="65"/>
      <c r="M1517" s="37">
        <v>0.95</v>
      </c>
      <c r="N1517" s="38">
        <v>1.5640000000000001E-3</v>
      </c>
      <c r="O1517" s="141">
        <v>4601004239784</v>
      </c>
    </row>
    <row r="1518" spans="1:15" s="1" customFormat="1" ht="11.45" customHeight="1" outlineLevel="3" x14ac:dyDescent="0.2">
      <c r="A1518" s="32" t="s">
        <v>15064</v>
      </c>
      <c r="B1518" s="74" t="s">
        <v>15065</v>
      </c>
      <c r="C1518" s="50"/>
      <c r="D1518" s="139">
        <f t="shared" si="23"/>
        <v>0</v>
      </c>
      <c r="E1518" s="140">
        <v>337.38</v>
      </c>
      <c r="F1518" s="140">
        <v>276.54000000000002</v>
      </c>
      <c r="G1518" s="34" t="s">
        <v>100</v>
      </c>
      <c r="H1518" s="34" t="s">
        <v>1887</v>
      </c>
      <c r="I1518" s="35">
        <v>1</v>
      </c>
      <c r="J1518" s="35">
        <v>1</v>
      </c>
      <c r="K1518" s="35">
        <v>8</v>
      </c>
      <c r="L1518" s="65"/>
      <c r="M1518" s="37">
        <v>0.75600000000000001</v>
      </c>
      <c r="N1518" s="38">
        <v>1.4450000000000001E-3</v>
      </c>
      <c r="O1518" s="141">
        <v>4601004239678</v>
      </c>
    </row>
    <row r="1519" spans="1:15" s="1" customFormat="1" ht="11.45" customHeight="1" outlineLevel="3" x14ac:dyDescent="0.2">
      <c r="A1519" s="32" t="s">
        <v>15068</v>
      </c>
      <c r="B1519" s="74" t="s">
        <v>15069</v>
      </c>
      <c r="C1519" s="50"/>
      <c r="D1519" s="139">
        <f t="shared" si="23"/>
        <v>0</v>
      </c>
      <c r="E1519" s="140">
        <v>362.84</v>
      </c>
      <c r="F1519" s="140">
        <v>297.41000000000003</v>
      </c>
      <c r="G1519" s="34" t="s">
        <v>100</v>
      </c>
      <c r="H1519" s="34" t="s">
        <v>1887</v>
      </c>
      <c r="I1519" s="35">
        <v>1</v>
      </c>
      <c r="J1519" s="35">
        <v>1</v>
      </c>
      <c r="K1519" s="35">
        <v>8</v>
      </c>
      <c r="L1519" s="65"/>
      <c r="M1519" s="37">
        <v>0.746</v>
      </c>
      <c r="N1519" s="38">
        <v>1.4760000000000001E-3</v>
      </c>
      <c r="O1519" s="141">
        <v>4601004239685</v>
      </c>
    </row>
    <row r="1520" spans="1:15" ht="11.45" customHeight="1" outlineLevel="1" x14ac:dyDescent="0.2">
      <c r="A1520" s="78" t="s">
        <v>15090</v>
      </c>
      <c r="B1520" s="132"/>
      <c r="C1520" s="79"/>
      <c r="D1520" s="133"/>
      <c r="E1520" s="134"/>
      <c r="F1520" s="134"/>
      <c r="G1520" s="134"/>
      <c r="H1520" s="134"/>
      <c r="I1520" s="134"/>
      <c r="J1520" s="134"/>
      <c r="K1520" s="134"/>
      <c r="L1520" s="135"/>
      <c r="M1520" s="134"/>
      <c r="N1520" s="134"/>
      <c r="O1520" s="134"/>
    </row>
    <row r="1521" spans="1:15" ht="11.45" customHeight="1" outlineLevel="2" x14ac:dyDescent="0.2">
      <c r="A1521" s="76" t="s">
        <v>15142</v>
      </c>
      <c r="B1521" s="136"/>
      <c r="C1521" s="77"/>
      <c r="D1521" s="137"/>
      <c r="E1521" s="4"/>
      <c r="F1521" s="4"/>
      <c r="G1521" s="4"/>
      <c r="H1521" s="4"/>
      <c r="I1521" s="4"/>
      <c r="J1521" s="4"/>
      <c r="K1521" s="4"/>
      <c r="L1521" s="138"/>
      <c r="M1521" s="4"/>
      <c r="N1521" s="4"/>
      <c r="O1521" s="4"/>
    </row>
    <row r="1522" spans="1:15" s="1" customFormat="1" ht="11.45" customHeight="1" outlineLevel="3" x14ac:dyDescent="0.2">
      <c r="A1522" s="32" t="s">
        <v>15167</v>
      </c>
      <c r="B1522" s="74" t="s">
        <v>15168</v>
      </c>
      <c r="C1522" s="50"/>
      <c r="D1522" s="139">
        <f t="shared" si="23"/>
        <v>0</v>
      </c>
      <c r="E1522" s="140">
        <v>5.51</v>
      </c>
      <c r="F1522" s="140">
        <v>4.5199999999999996</v>
      </c>
      <c r="G1522" s="34" t="s">
        <v>100</v>
      </c>
      <c r="H1522" s="34" t="s">
        <v>39</v>
      </c>
      <c r="I1522" s="35">
        <v>100</v>
      </c>
      <c r="J1522" s="35">
        <v>100</v>
      </c>
      <c r="K1522" s="39">
        <v>5000</v>
      </c>
      <c r="L1522" s="60" t="str">
        <f>HYPERLINK("https://www.sds-group.ru/product/f-razem-na-korpus-s-kontaktom-proconnect-05-4103-4/", "Инфо")</f>
        <v>Инфо</v>
      </c>
      <c r="M1522" s="37">
        <v>5.0000000000000001E-3</v>
      </c>
      <c r="N1522" s="38">
        <v>6.0000000000000002E-6</v>
      </c>
      <c r="O1522" s="141">
        <v>4601004054646</v>
      </c>
    </row>
    <row r="1523" spans="1:15" ht="11.45" customHeight="1" outlineLevel="2" x14ac:dyDescent="0.2">
      <c r="A1523" s="76" t="s">
        <v>15169</v>
      </c>
      <c r="B1523" s="136"/>
      <c r="C1523" s="77"/>
      <c r="D1523" s="137"/>
      <c r="E1523" s="4"/>
      <c r="F1523" s="4"/>
      <c r="G1523" s="4"/>
      <c r="H1523" s="4"/>
      <c r="I1523" s="4"/>
      <c r="J1523" s="4"/>
      <c r="K1523" s="4"/>
      <c r="L1523" s="138"/>
      <c r="M1523" s="4"/>
      <c r="N1523" s="4"/>
      <c r="O1523" s="4"/>
    </row>
    <row r="1524" spans="1:15" s="1" customFormat="1" ht="11.45" customHeight="1" outlineLevel="3" x14ac:dyDescent="0.2">
      <c r="A1524" s="32" t="s">
        <v>15170</v>
      </c>
      <c r="B1524" s="74" t="s">
        <v>15171</v>
      </c>
      <c r="C1524" s="50"/>
      <c r="D1524" s="139">
        <f t="shared" si="23"/>
        <v>0</v>
      </c>
      <c r="E1524" s="140">
        <v>2.44</v>
      </c>
      <c r="F1524" s="140">
        <v>2</v>
      </c>
      <c r="G1524" s="34" t="s">
        <v>100</v>
      </c>
      <c r="H1524" s="34" t="s">
        <v>39</v>
      </c>
      <c r="I1524" s="35">
        <v>100</v>
      </c>
      <c r="J1524" s="35">
        <v>100</v>
      </c>
      <c r="K1524" s="39">
        <v>2500</v>
      </c>
      <c r="L1524" s="60" t="str">
        <f>HYPERLINK("https://www.sds-group.ru/product/tv-razem-gnezdo-bez-payki-oreh-rexant-05-2032/", "Инфо")</f>
        <v>Инфо</v>
      </c>
      <c r="M1524" s="37">
        <v>6.0000000000000001E-3</v>
      </c>
      <c r="N1524" s="38">
        <v>6.9999999999999999E-6</v>
      </c>
      <c r="O1524" s="141">
        <v>4610003609139</v>
      </c>
    </row>
    <row r="1525" spans="1:15" s="1" customFormat="1" ht="11.45" customHeight="1" outlineLevel="3" x14ac:dyDescent="0.2">
      <c r="A1525" s="32" t="s">
        <v>15172</v>
      </c>
      <c r="B1525" s="74" t="s">
        <v>15173</v>
      </c>
      <c r="C1525" s="50"/>
      <c r="D1525" s="139">
        <f t="shared" si="23"/>
        <v>0</v>
      </c>
      <c r="E1525" s="140">
        <v>1.38</v>
      </c>
      <c r="F1525" s="140">
        <v>1.1299999999999999</v>
      </c>
      <c r="G1525" s="34" t="s">
        <v>100</v>
      </c>
      <c r="H1525" s="34" t="s">
        <v>39</v>
      </c>
      <c r="I1525" s="35">
        <v>100</v>
      </c>
      <c r="J1525" s="35">
        <v>100</v>
      </c>
      <c r="K1525" s="39">
        <v>2500</v>
      </c>
      <c r="L1525" s="60" t="str">
        <f>HYPERLINK("https://www.sds-group.ru/product/tv-razem-gnezdo-bez-payki-belyy-proconnect-05-2043-2/", "Инфо")</f>
        <v>Инфо</v>
      </c>
      <c r="M1525" s="37">
        <v>3.0000000000000001E-3</v>
      </c>
      <c r="N1525" s="38">
        <v>1.2E-5</v>
      </c>
      <c r="O1525" s="141">
        <v>4601004041646</v>
      </c>
    </row>
    <row r="1526" spans="1:15" s="1" customFormat="1" ht="11.45" customHeight="1" outlineLevel="3" x14ac:dyDescent="0.2">
      <c r="A1526" s="32" t="s">
        <v>15174</v>
      </c>
      <c r="B1526" s="74" t="s">
        <v>15175</v>
      </c>
      <c r="C1526" s="50"/>
      <c r="D1526" s="139">
        <f t="shared" si="23"/>
        <v>0</v>
      </c>
      <c r="E1526" s="140">
        <v>1.75</v>
      </c>
      <c r="F1526" s="140">
        <v>1.43</v>
      </c>
      <c r="G1526" s="34" t="s">
        <v>100</v>
      </c>
      <c r="H1526" s="34" t="s">
        <v>39</v>
      </c>
      <c r="I1526" s="35">
        <v>100</v>
      </c>
      <c r="J1526" s="35">
        <v>100</v>
      </c>
      <c r="K1526" s="39">
        <v>1000</v>
      </c>
      <c r="L1526" s="60" t="str">
        <f>HYPERLINK("https://www.sds-group.ru/product/tv-razem-gnezdo-bez-payki-belyy-rexant-05-2043/", "Инфо")</f>
        <v>Инфо</v>
      </c>
      <c r="M1526" s="37">
        <v>5.0000000000000001E-3</v>
      </c>
      <c r="N1526" s="38">
        <v>1.0000000000000001E-5</v>
      </c>
      <c r="O1526" s="141">
        <v>4601004054851</v>
      </c>
    </row>
    <row r="1527" spans="1:15" s="1" customFormat="1" ht="11.45" customHeight="1" outlineLevel="3" x14ac:dyDescent="0.2">
      <c r="A1527" s="32" t="s">
        <v>15176</v>
      </c>
      <c r="B1527" s="74" t="s">
        <v>15177</v>
      </c>
      <c r="C1527" s="50"/>
      <c r="D1527" s="139">
        <f t="shared" si="23"/>
        <v>0</v>
      </c>
      <c r="E1527" s="140">
        <v>2.15</v>
      </c>
      <c r="F1527" s="140">
        <v>1.76</v>
      </c>
      <c r="G1527" s="34" t="s">
        <v>100</v>
      </c>
      <c r="H1527" s="34" t="s">
        <v>39</v>
      </c>
      <c r="I1527" s="35">
        <v>100</v>
      </c>
      <c r="J1527" s="35">
        <v>100</v>
      </c>
      <c r="K1527" s="39">
        <v>5000</v>
      </c>
      <c r="L1527" s="60" t="str">
        <f>HYPERLINK("https://www.sds-group.ru/product/tv-razem-gnezdo-bez-payki-chernyy-rexant-05-2044/", "Инфо")</f>
        <v>Инфо</v>
      </c>
      <c r="M1527" s="37">
        <v>4.0000000000000001E-3</v>
      </c>
      <c r="N1527" s="38">
        <v>1.0000000000000001E-5</v>
      </c>
      <c r="O1527" s="141">
        <v>4601004054868</v>
      </c>
    </row>
    <row r="1528" spans="1:15" ht="11.45" customHeight="1" outlineLevel="1" x14ac:dyDescent="0.2">
      <c r="A1528" s="78" t="s">
        <v>15221</v>
      </c>
      <c r="B1528" s="132"/>
      <c r="C1528" s="79"/>
      <c r="D1528" s="133"/>
      <c r="E1528" s="134"/>
      <c r="F1528" s="134"/>
      <c r="G1528" s="134"/>
      <c r="H1528" s="134"/>
      <c r="I1528" s="134"/>
      <c r="J1528" s="134"/>
      <c r="K1528" s="134"/>
      <c r="L1528" s="135"/>
      <c r="M1528" s="134"/>
      <c r="N1528" s="134"/>
      <c r="O1528" s="134"/>
    </row>
    <row r="1529" spans="1:15" ht="11.45" customHeight="1" outlineLevel="2" x14ac:dyDescent="0.2">
      <c r="A1529" s="76" t="s">
        <v>15222</v>
      </c>
      <c r="B1529" s="136"/>
      <c r="C1529" s="77"/>
      <c r="D1529" s="137"/>
      <c r="E1529" s="4"/>
      <c r="F1529" s="4"/>
      <c r="G1529" s="4"/>
      <c r="H1529" s="4"/>
      <c r="I1529" s="4"/>
      <c r="J1529" s="4"/>
      <c r="K1529" s="4"/>
      <c r="L1529" s="138"/>
      <c r="M1529" s="4"/>
      <c r="N1529" s="4"/>
      <c r="O1529" s="4"/>
    </row>
    <row r="1530" spans="1:15" s="1" customFormat="1" ht="11.45" customHeight="1" outlineLevel="3" x14ac:dyDescent="0.2">
      <c r="A1530" s="32" t="s">
        <v>15233</v>
      </c>
      <c r="B1530" s="74" t="s">
        <v>15234</v>
      </c>
      <c r="C1530" s="50"/>
      <c r="D1530" s="139">
        <f t="shared" si="23"/>
        <v>0</v>
      </c>
      <c r="E1530" s="140">
        <v>244.25</v>
      </c>
      <c r="F1530" s="140">
        <v>200.2</v>
      </c>
      <c r="G1530" s="34" t="s">
        <v>100</v>
      </c>
      <c r="H1530" s="34" t="s">
        <v>39</v>
      </c>
      <c r="I1530" s="35">
        <v>10</v>
      </c>
      <c r="J1530" s="35">
        <v>10</v>
      </c>
      <c r="K1530" s="35">
        <v>250</v>
      </c>
      <c r="L1530" s="60" t="str">
        <f>HYPERLINK("https://www.sds-group.ru/product/perehodnik-povorotnyy-shteker-dvi-d-gnezdo-hdmi-rexant-17-6812/", "Инфо")</f>
        <v>Инфо</v>
      </c>
      <c r="M1530" s="37">
        <v>3.2000000000000001E-2</v>
      </c>
      <c r="N1530" s="38">
        <v>1.07E-4</v>
      </c>
      <c r="O1530" s="141">
        <v>4660008012830</v>
      </c>
    </row>
    <row r="1531" spans="1:15" s="1" customFormat="1" ht="11.45" customHeight="1" outlineLevel="3" x14ac:dyDescent="0.2">
      <c r="A1531" s="32" t="s">
        <v>15235</v>
      </c>
      <c r="B1531" s="74" t="s">
        <v>15236</v>
      </c>
      <c r="C1531" s="50"/>
      <c r="D1531" s="139">
        <f t="shared" si="23"/>
        <v>0</v>
      </c>
      <c r="E1531" s="140">
        <v>109.95</v>
      </c>
      <c r="F1531" s="140">
        <v>90.12</v>
      </c>
      <c r="G1531" s="34" t="s">
        <v>100</v>
      </c>
      <c r="H1531" s="34" t="s">
        <v>39</v>
      </c>
      <c r="I1531" s="35">
        <v>1</v>
      </c>
      <c r="J1531" s="35">
        <v>1</v>
      </c>
      <c r="K1531" s="35">
        <v>250</v>
      </c>
      <c r="L1531" s="60" t="str">
        <f>HYPERLINK("https://www.sds-group.ru/product/perehodnik-shteker-dvi-i-gnezdo-vga-rexant-17-6821/", "Инфо")</f>
        <v>Инфо</v>
      </c>
      <c r="M1531" s="37">
        <v>4.2999999999999997E-2</v>
      </c>
      <c r="N1531" s="38">
        <v>1.27E-4</v>
      </c>
      <c r="O1531" s="141">
        <v>4610003609009</v>
      </c>
    </row>
    <row r="1532" spans="1:15" s="1" customFormat="1" ht="11.45" customHeight="1" outlineLevel="3" x14ac:dyDescent="0.2">
      <c r="A1532" s="32" t="s">
        <v>15237</v>
      </c>
      <c r="B1532" s="74" t="s">
        <v>15238</v>
      </c>
      <c r="C1532" s="50"/>
      <c r="D1532" s="139">
        <f t="shared" si="23"/>
        <v>0</v>
      </c>
      <c r="E1532" s="140">
        <v>172.45</v>
      </c>
      <c r="F1532" s="140">
        <v>141.35</v>
      </c>
      <c r="G1532" s="34" t="s">
        <v>100</v>
      </c>
      <c r="H1532" s="34" t="s">
        <v>39</v>
      </c>
      <c r="I1532" s="35">
        <v>10</v>
      </c>
      <c r="J1532" s="35">
        <v>10</v>
      </c>
      <c r="K1532" s="35">
        <v>100</v>
      </c>
      <c r="L1532" s="60" t="str">
        <f>HYPERLINK("https://www.sds-group.ru/product/perehodnik-shteker-hdmi-2-gnezda-hdmi-s-provodom-chernyy-rexant-17-6832/", "Инфо")</f>
        <v>Инфо</v>
      </c>
      <c r="M1532" s="37">
        <v>6.5000000000000002E-2</v>
      </c>
      <c r="N1532" s="38">
        <v>2.3699999999999999E-4</v>
      </c>
      <c r="O1532" s="141">
        <v>4660008016876</v>
      </c>
    </row>
    <row r="1533" spans="1:15" s="1" customFormat="1" ht="11.45" customHeight="1" outlineLevel="3" x14ac:dyDescent="0.2">
      <c r="A1533" s="32" t="s">
        <v>15239</v>
      </c>
      <c r="B1533" s="74" t="s">
        <v>15240</v>
      </c>
      <c r="C1533" s="50"/>
      <c r="D1533" s="139">
        <f t="shared" si="23"/>
        <v>0</v>
      </c>
      <c r="E1533" s="140">
        <v>165.22</v>
      </c>
      <c r="F1533" s="140">
        <v>135.43</v>
      </c>
      <c r="G1533" s="34" t="s">
        <v>100</v>
      </c>
      <c r="H1533" s="34" t="s">
        <v>39</v>
      </c>
      <c r="I1533" s="35">
        <v>10</v>
      </c>
      <c r="J1533" s="35">
        <v>10</v>
      </c>
      <c r="K1533" s="35">
        <v>250</v>
      </c>
      <c r="L1533" s="60" t="str">
        <f>HYPERLINK("https://www.sds-group.ru/product/perehodnik-shteker-hdmi-gnezdo-dvi-i-rexant-17-6807/", "Инфо")</f>
        <v>Инфо</v>
      </c>
      <c r="M1533" s="37">
        <v>4.1000000000000002E-2</v>
      </c>
      <c r="N1533" s="38">
        <v>1.3999999999999999E-4</v>
      </c>
      <c r="O1533" s="141">
        <v>4660008012793</v>
      </c>
    </row>
    <row r="1534" spans="1:15" s="1" customFormat="1" ht="11.45" customHeight="1" outlineLevel="3" x14ac:dyDescent="0.2">
      <c r="A1534" s="32" t="s">
        <v>15241</v>
      </c>
      <c r="B1534" s="74" t="s">
        <v>15242</v>
      </c>
      <c r="C1534" s="50"/>
      <c r="D1534" s="139">
        <f t="shared" si="23"/>
        <v>0</v>
      </c>
      <c r="E1534" s="140">
        <v>101.18</v>
      </c>
      <c r="F1534" s="140">
        <v>82.93</v>
      </c>
      <c r="G1534" s="34" t="s">
        <v>100</v>
      </c>
      <c r="H1534" s="34" t="s">
        <v>39</v>
      </c>
      <c r="I1534" s="35">
        <v>10</v>
      </c>
      <c r="J1534" s="35">
        <v>10</v>
      </c>
      <c r="K1534" s="35">
        <v>250</v>
      </c>
      <c r="L1534" s="60" t="str">
        <f>HYPERLINK("https://www.sds-group.ru/product/perehodnik-shteker-hdmi-gnezdo-hdmi-povorotnyy-rexant-17-6813/", "Инфо")</f>
        <v>Инфо</v>
      </c>
      <c r="M1534" s="37">
        <v>2.1000000000000001E-2</v>
      </c>
      <c r="N1534" s="38">
        <v>2.3499999999999999E-4</v>
      </c>
      <c r="O1534" s="141">
        <v>4660008012847</v>
      </c>
    </row>
    <row r="1535" spans="1:15" s="1" customFormat="1" ht="11.45" customHeight="1" outlineLevel="3" x14ac:dyDescent="0.2">
      <c r="A1535" s="32" t="s">
        <v>15243</v>
      </c>
      <c r="B1535" s="74" t="s">
        <v>15244</v>
      </c>
      <c r="C1535" s="50"/>
      <c r="D1535" s="139">
        <f t="shared" si="23"/>
        <v>0</v>
      </c>
      <c r="E1535" s="140">
        <v>77.84</v>
      </c>
      <c r="F1535" s="140">
        <v>63.8</v>
      </c>
      <c r="G1535" s="34" t="s">
        <v>100</v>
      </c>
      <c r="H1535" s="34" t="s">
        <v>39</v>
      </c>
      <c r="I1535" s="35">
        <v>1</v>
      </c>
      <c r="J1535" s="35">
        <v>1</v>
      </c>
      <c r="K1535" s="35">
        <v>600</v>
      </c>
      <c r="L1535" s="60" t="str">
        <f>HYPERLINK("https://www.sds-group.ru/product/perehodnik-shteker-hdmi-gnezdo-hdmi-uglovoy-rexant-17-6805/", "Инфо")</f>
        <v>Инфо</v>
      </c>
      <c r="M1535" s="37">
        <v>1.7000000000000001E-2</v>
      </c>
      <c r="N1535" s="38">
        <v>5.5999999999999999E-5</v>
      </c>
      <c r="O1535" s="141">
        <v>4610003608996</v>
      </c>
    </row>
    <row r="1536" spans="1:15" s="1" customFormat="1" ht="11.45" customHeight="1" outlineLevel="3" x14ac:dyDescent="0.2">
      <c r="A1536" s="32" t="s">
        <v>15245</v>
      </c>
      <c r="B1536" s="74" t="s">
        <v>15246</v>
      </c>
      <c r="C1536" s="50"/>
      <c r="D1536" s="139">
        <f t="shared" si="23"/>
        <v>0</v>
      </c>
      <c r="E1536" s="140">
        <v>193.07</v>
      </c>
      <c r="F1536" s="140">
        <v>158.25</v>
      </c>
      <c r="G1536" s="34" t="s">
        <v>100</v>
      </c>
      <c r="H1536" s="34" t="s">
        <v>39</v>
      </c>
      <c r="I1536" s="35">
        <v>10</v>
      </c>
      <c r="J1536" s="35">
        <v>10</v>
      </c>
      <c r="K1536" s="35">
        <v>100</v>
      </c>
      <c r="L1536" s="60" t="str">
        <f>HYPERLINK("https://www.sds-group.ru/product/perehodnik-shteker-hdmi-gnezdo-vga-provod-shnur-stereo-3-5mm-s-pitaniem-rexant-17-6934/", "Инфо")</f>
        <v>Инфо</v>
      </c>
      <c r="M1536" s="37">
        <v>6.5000000000000002E-2</v>
      </c>
      <c r="N1536" s="38">
        <v>2.14E-4</v>
      </c>
      <c r="O1536" s="141">
        <v>4601004148888</v>
      </c>
    </row>
    <row r="1537" spans="1:15" s="1" customFormat="1" ht="11.45" customHeight="1" outlineLevel="3" x14ac:dyDescent="0.2">
      <c r="A1537" s="32" t="s">
        <v>15249</v>
      </c>
      <c r="B1537" s="74" t="s">
        <v>15250</v>
      </c>
      <c r="C1537" s="50"/>
      <c r="D1537" s="139">
        <f t="shared" si="23"/>
        <v>0</v>
      </c>
      <c r="E1537" s="140">
        <v>299.70999999999998</v>
      </c>
      <c r="F1537" s="140">
        <v>245.66</v>
      </c>
      <c r="G1537" s="34" t="s">
        <v>100</v>
      </c>
      <c r="H1537" s="34" t="s">
        <v>39</v>
      </c>
      <c r="I1537" s="35">
        <v>1</v>
      </c>
      <c r="J1537" s="35">
        <v>1</v>
      </c>
      <c r="K1537" s="35">
        <v>200</v>
      </c>
      <c r="L1537" s="60" t="str">
        <f>HYPERLINK("https://www.sds-group.ru/product/perehodnik-shteker-hdmi-gnezdo-vga-provod-rexant-17-6835/", "Инфо")</f>
        <v>Инфо</v>
      </c>
      <c r="M1537" s="37">
        <v>4.8000000000000001E-2</v>
      </c>
      <c r="N1537" s="38">
        <v>3.1E-4</v>
      </c>
      <c r="O1537" s="141">
        <v>4601004068636</v>
      </c>
    </row>
    <row r="1538" spans="1:15" s="1" customFormat="1" ht="11.45" customHeight="1" outlineLevel="3" x14ac:dyDescent="0.2">
      <c r="A1538" s="32" t="s">
        <v>15251</v>
      </c>
      <c r="B1538" s="74" t="s">
        <v>15252</v>
      </c>
      <c r="C1538" s="50"/>
      <c r="D1538" s="139">
        <f t="shared" si="23"/>
        <v>0</v>
      </c>
      <c r="E1538" s="140">
        <v>126.06</v>
      </c>
      <c r="F1538" s="140">
        <v>103.33</v>
      </c>
      <c r="G1538" s="34" t="s">
        <v>100</v>
      </c>
      <c r="H1538" s="34" t="s">
        <v>39</v>
      </c>
      <c r="I1538" s="35">
        <v>1</v>
      </c>
      <c r="J1538" s="35">
        <v>1</v>
      </c>
      <c r="K1538" s="35">
        <v>200</v>
      </c>
      <c r="L1538" s="60" t="str">
        <f>HYPERLINK("https://www.sds-group.ru/product/perehodnik-shteker-vga-2-gnezda-vga-provod-rexant-17-6834/", "Инфо")</f>
        <v>Инфо</v>
      </c>
      <c r="M1538" s="37">
        <v>9.5000000000000001E-2</v>
      </c>
      <c r="N1538" s="38">
        <v>2.6400000000000002E-4</v>
      </c>
      <c r="O1538" s="141">
        <v>4601004002333</v>
      </c>
    </row>
    <row r="1539" spans="1:15" s="1" customFormat="1" ht="11.45" customHeight="1" outlineLevel="3" x14ac:dyDescent="0.2">
      <c r="A1539" s="32" t="s">
        <v>15253</v>
      </c>
      <c r="B1539" s="74" t="s">
        <v>15254</v>
      </c>
      <c r="C1539" s="50"/>
      <c r="D1539" s="139">
        <f t="shared" si="23"/>
        <v>0</v>
      </c>
      <c r="E1539" s="140">
        <v>86.95</v>
      </c>
      <c r="F1539" s="140">
        <v>71.27</v>
      </c>
      <c r="G1539" s="34" t="s">
        <v>100</v>
      </c>
      <c r="H1539" s="34" t="s">
        <v>39</v>
      </c>
      <c r="I1539" s="35">
        <v>10</v>
      </c>
      <c r="J1539" s="35">
        <v>10</v>
      </c>
      <c r="K1539" s="35">
        <v>250</v>
      </c>
      <c r="L1539" s="60" t="str">
        <f>HYPERLINK("https://www.sds-group.ru/product/perehodnik-shteker-vga-gnezdo-dvi-i-rexant-17-6808/", "Инфо")</f>
        <v>Инфо</v>
      </c>
      <c r="M1539" s="37">
        <v>0.04</v>
      </c>
      <c r="N1539" s="38">
        <v>1.1400000000000001E-4</v>
      </c>
      <c r="O1539" s="141">
        <v>4660008012809</v>
      </c>
    </row>
    <row r="1540" spans="1:15" s="1" customFormat="1" ht="11.45" customHeight="1" outlineLevel="3" x14ac:dyDescent="0.2">
      <c r="A1540" s="32" t="s">
        <v>15255</v>
      </c>
      <c r="B1540" s="74" t="s">
        <v>15256</v>
      </c>
      <c r="C1540" s="50"/>
      <c r="D1540" s="139">
        <f t="shared" si="23"/>
        <v>0</v>
      </c>
      <c r="E1540" s="140">
        <v>58.91</v>
      </c>
      <c r="F1540" s="140">
        <v>48.29</v>
      </c>
      <c r="G1540" s="34" t="s">
        <v>100</v>
      </c>
      <c r="H1540" s="34" t="s">
        <v>39</v>
      </c>
      <c r="I1540" s="35">
        <v>10</v>
      </c>
      <c r="J1540" s="35">
        <v>10</v>
      </c>
      <c r="K1540" s="35">
        <v>500</v>
      </c>
      <c r="L1540" s="60" t="str">
        <f>HYPERLINK("https://www.sds-group.ru/product/perehodnik-shteker-micro-hdmi-gnezdo-hdmi-rexant-17-6815/", "Инфо")</f>
        <v>Инфо</v>
      </c>
      <c r="M1540" s="37">
        <v>1.2999999999999999E-2</v>
      </c>
      <c r="N1540" s="38">
        <v>5.3999999999999998E-5</v>
      </c>
      <c r="O1540" s="141">
        <v>4660008016012</v>
      </c>
    </row>
    <row r="1541" spans="1:15" ht="11.45" customHeight="1" outlineLevel="2" x14ac:dyDescent="0.2">
      <c r="A1541" s="76" t="s">
        <v>15264</v>
      </c>
      <c r="B1541" s="136"/>
      <c r="C1541" s="77"/>
      <c r="D1541" s="137"/>
      <c r="E1541" s="4"/>
      <c r="F1541" s="4"/>
      <c r="G1541" s="4"/>
      <c r="H1541" s="4"/>
      <c r="I1541" s="4"/>
      <c r="J1541" s="4"/>
      <c r="K1541" s="4"/>
      <c r="L1541" s="138"/>
      <c r="M1541" s="4"/>
      <c r="N1541" s="4"/>
      <c r="O1541" s="4"/>
    </row>
    <row r="1542" spans="1:15" s="1" customFormat="1" ht="11.45" customHeight="1" outlineLevel="3" x14ac:dyDescent="0.2">
      <c r="A1542" s="32" t="s">
        <v>15265</v>
      </c>
      <c r="B1542" s="74" t="s">
        <v>15266</v>
      </c>
      <c r="C1542" s="50"/>
      <c r="D1542" s="139">
        <f t="shared" si="23"/>
        <v>0</v>
      </c>
      <c r="E1542" s="140">
        <v>16.190000000000001</v>
      </c>
      <c r="F1542" s="140">
        <v>13.27</v>
      </c>
      <c r="G1542" s="34" t="s">
        <v>100</v>
      </c>
      <c r="H1542" s="34" t="s">
        <v>39</v>
      </c>
      <c r="I1542" s="35">
        <v>100</v>
      </c>
      <c r="J1542" s="35">
        <v>100</v>
      </c>
      <c r="K1542" s="39">
        <v>1000</v>
      </c>
      <c r="L1542" s="60" t="str">
        <f>HYPERLINK("https://www.sds-group.ru/product/razem-shteker-rca-metall-payka-chernyy-krasnyy-proconnect-14-0405-4/", "Инфо")</f>
        <v>Инфо</v>
      </c>
      <c r="M1542" s="37">
        <v>7.0000000000000001E-3</v>
      </c>
      <c r="N1542" s="38">
        <v>7.9999999999999996E-6</v>
      </c>
      <c r="O1542" s="141">
        <v>4601004054660</v>
      </c>
    </row>
    <row r="1543" spans="1:15" s="1" customFormat="1" ht="11.45" customHeight="1" outlineLevel="3" x14ac:dyDescent="0.2">
      <c r="A1543" s="32" t="s">
        <v>15267</v>
      </c>
      <c r="B1543" s="74" t="s">
        <v>15268</v>
      </c>
      <c r="C1543" s="50"/>
      <c r="D1543" s="139">
        <f t="shared" si="23"/>
        <v>0</v>
      </c>
      <c r="E1543" s="140">
        <v>20.75</v>
      </c>
      <c r="F1543" s="140">
        <v>17.010000000000002</v>
      </c>
      <c r="G1543" s="34" t="s">
        <v>100</v>
      </c>
      <c r="H1543" s="34" t="s">
        <v>39</v>
      </c>
      <c r="I1543" s="35">
        <v>100</v>
      </c>
      <c r="J1543" s="35">
        <v>100</v>
      </c>
      <c r="K1543" s="39">
        <v>1000</v>
      </c>
      <c r="L1543" s="60" t="str">
        <f>HYPERLINK("https://www.sds-group.ru/product/razem-shteker-rca-metall-pod-vint-chernyy-krasnyy-proconnect-14-0410-4/", "Инфо")</f>
        <v>Инфо</v>
      </c>
      <c r="M1543" s="37">
        <v>8.9999999999999993E-3</v>
      </c>
      <c r="N1543" s="38">
        <v>9.0000000000000002E-6</v>
      </c>
      <c r="O1543" s="141">
        <v>4601004054677</v>
      </c>
    </row>
    <row r="1544" spans="1:15" ht="11.45" customHeight="1" outlineLevel="2" x14ac:dyDescent="0.2">
      <c r="A1544" s="76" t="s">
        <v>15271</v>
      </c>
      <c r="B1544" s="136"/>
      <c r="C1544" s="77"/>
      <c r="D1544" s="137"/>
      <c r="E1544" s="4"/>
      <c r="F1544" s="4"/>
      <c r="G1544" s="4"/>
      <c r="H1544" s="4"/>
      <c r="I1544" s="4"/>
      <c r="J1544" s="4"/>
      <c r="K1544" s="4"/>
      <c r="L1544" s="138"/>
      <c r="M1544" s="4"/>
      <c r="N1544" s="4"/>
      <c r="O1544" s="4"/>
    </row>
    <row r="1545" spans="1:15" s="1" customFormat="1" ht="11.45" customHeight="1" outlineLevel="3" x14ac:dyDescent="0.2">
      <c r="A1545" s="32" t="s">
        <v>15272</v>
      </c>
      <c r="B1545" s="74" t="s">
        <v>15273</v>
      </c>
      <c r="C1545" s="50"/>
      <c r="D1545" s="139">
        <f t="shared" si="23"/>
        <v>0</v>
      </c>
      <c r="E1545" s="140">
        <v>18.55</v>
      </c>
      <c r="F1545" s="140">
        <v>15.2</v>
      </c>
      <c r="G1545" s="34" t="s">
        <v>100</v>
      </c>
      <c r="H1545" s="34" t="s">
        <v>39</v>
      </c>
      <c r="I1545" s="35">
        <v>50</v>
      </c>
      <c r="J1545" s="35">
        <v>50</v>
      </c>
      <c r="K1545" s="39">
        <v>2500</v>
      </c>
      <c r="L1545" s="60" t="str">
        <f>HYPERLINK("https://www.sds-group.ru/product/perehodnik-3-5mm-stereo-gnezdo-3-5mm-stereo-gnezdo-plastik-rexant-14-0203/", "Инфо")</f>
        <v>Инфо</v>
      </c>
      <c r="M1545" s="37">
        <v>6.0000000000000001E-3</v>
      </c>
      <c r="N1545" s="38">
        <v>7.9999999999999996E-6</v>
      </c>
      <c r="O1545" s="141">
        <v>4601004012288</v>
      </c>
    </row>
    <row r="1546" spans="1:15" ht="11.45" customHeight="1" outlineLevel="2" x14ac:dyDescent="0.2">
      <c r="A1546" s="76" t="s">
        <v>15276</v>
      </c>
      <c r="B1546" s="136"/>
      <c r="C1546" s="77"/>
      <c r="D1546" s="137"/>
      <c r="E1546" s="4"/>
      <c r="F1546" s="4"/>
      <c r="G1546" s="4"/>
      <c r="H1546" s="4"/>
      <c r="I1546" s="4"/>
      <c r="J1546" s="4"/>
      <c r="K1546" s="4"/>
      <c r="L1546" s="138"/>
      <c r="M1546" s="4"/>
      <c r="N1546" s="4"/>
      <c r="O1546" s="4"/>
    </row>
    <row r="1547" spans="1:15" s="1" customFormat="1" ht="11.45" customHeight="1" outlineLevel="3" x14ac:dyDescent="0.2">
      <c r="A1547" s="32" t="s">
        <v>15279</v>
      </c>
      <c r="B1547" s="74" t="s">
        <v>15280</v>
      </c>
      <c r="C1547" s="50"/>
      <c r="D1547" s="139">
        <f t="shared" ref="D1547:D1610" si="24">C1547*E1547</f>
        <v>0</v>
      </c>
      <c r="E1547" s="140">
        <v>577.23</v>
      </c>
      <c r="F1547" s="140">
        <v>473.14</v>
      </c>
      <c r="G1547" s="34" t="s">
        <v>100</v>
      </c>
      <c r="H1547" s="34" t="s">
        <v>39</v>
      </c>
      <c r="I1547" s="35">
        <v>1</v>
      </c>
      <c r="J1547" s="35">
        <v>1</v>
      </c>
      <c r="K1547" s="35">
        <v>40</v>
      </c>
      <c r="L1547" s="60" t="str">
        <f>HYPERLINK("https://www.sds-group.ru/product/delitel-gnezdo-vga-na-2-gnezda-vga-metall-rexant-17-6922/", "Инфо")</f>
        <v>Инфо</v>
      </c>
      <c r="M1547" s="37">
        <v>0.318</v>
      </c>
      <c r="N1547" s="38">
        <v>2.398E-3</v>
      </c>
      <c r="O1547" s="141">
        <v>4601004027190</v>
      </c>
    </row>
    <row r="1548" spans="1:15" s="1" customFormat="1" ht="11.45" customHeight="1" outlineLevel="3" x14ac:dyDescent="0.2">
      <c r="A1548" s="32" t="s">
        <v>15281</v>
      </c>
      <c r="B1548" s="74" t="s">
        <v>15282</v>
      </c>
      <c r="C1548" s="50"/>
      <c r="D1548" s="139">
        <f t="shared" si="24"/>
        <v>0</v>
      </c>
      <c r="E1548" s="140">
        <v>1079.32</v>
      </c>
      <c r="F1548" s="140">
        <v>884.69</v>
      </c>
      <c r="G1548" s="34" t="s">
        <v>100</v>
      </c>
      <c r="H1548" s="34" t="s">
        <v>39</v>
      </c>
      <c r="I1548" s="35">
        <v>1</v>
      </c>
      <c r="J1548" s="35">
        <v>1</v>
      </c>
      <c r="K1548" s="35">
        <v>40</v>
      </c>
      <c r="L1548" s="60" t="str">
        <f>HYPERLINK("https://www.sds-group.ru/product/delitel-gnezdo-vga-na-4-gnezda-vga-metall-rexant-17-6924/", "Инфо")</f>
        <v>Инфо</v>
      </c>
      <c r="M1548" s="37">
        <v>0.36199999999999999</v>
      </c>
      <c r="N1548" s="38">
        <v>2.3960000000000001E-3</v>
      </c>
      <c r="O1548" s="141">
        <v>4601004027183</v>
      </c>
    </row>
    <row r="1549" spans="1:15" s="1" customFormat="1" ht="11.45" customHeight="1" outlineLevel="3" x14ac:dyDescent="0.2">
      <c r="A1549" s="32" t="s">
        <v>15283</v>
      </c>
      <c r="B1549" s="74" t="s">
        <v>15284</v>
      </c>
      <c r="C1549" s="50"/>
      <c r="D1549" s="139">
        <f t="shared" si="24"/>
        <v>0</v>
      </c>
      <c r="E1549" s="140">
        <v>660.8</v>
      </c>
      <c r="F1549" s="140">
        <v>541.64</v>
      </c>
      <c r="G1549" s="34" t="s">
        <v>100</v>
      </c>
      <c r="H1549" s="34" t="s">
        <v>39</v>
      </c>
      <c r="I1549" s="35">
        <v>1</v>
      </c>
      <c r="J1549" s="35">
        <v>1</v>
      </c>
      <c r="K1549" s="35">
        <v>20</v>
      </c>
      <c r="L1549" s="60" t="str">
        <f>HYPERLINK("https://www.sds-group.ru/product/delitel-gnezdo-vga-na-8-gnezd-vga-metall-rexant-8754/", "Инфо")</f>
        <v>Инфо</v>
      </c>
      <c r="M1549" s="37">
        <v>0.66400000000000003</v>
      </c>
      <c r="N1549" s="38">
        <v>3.516E-3</v>
      </c>
      <c r="O1549" s="141">
        <v>4601004027176</v>
      </c>
    </row>
    <row r="1550" spans="1:15" ht="11.45" customHeight="1" outlineLevel="1" x14ac:dyDescent="0.2">
      <c r="A1550" s="78" t="s">
        <v>15285</v>
      </c>
      <c r="B1550" s="132"/>
      <c r="C1550" s="79"/>
      <c r="D1550" s="133"/>
      <c r="E1550" s="134"/>
      <c r="F1550" s="134"/>
      <c r="G1550" s="134"/>
      <c r="H1550" s="134"/>
      <c r="I1550" s="134"/>
      <c r="J1550" s="134"/>
      <c r="K1550" s="134"/>
      <c r="L1550" s="135"/>
      <c r="M1550" s="134"/>
      <c r="N1550" s="134"/>
      <c r="O1550" s="134"/>
    </row>
    <row r="1551" spans="1:15" ht="11.45" customHeight="1" outlineLevel="2" x14ac:dyDescent="0.2">
      <c r="A1551" s="76" t="s">
        <v>15286</v>
      </c>
      <c r="B1551" s="136"/>
      <c r="C1551" s="77"/>
      <c r="D1551" s="137"/>
      <c r="E1551" s="4"/>
      <c r="F1551" s="4"/>
      <c r="G1551" s="4"/>
      <c r="H1551" s="4"/>
      <c r="I1551" s="4"/>
      <c r="J1551" s="4"/>
      <c r="K1551" s="4"/>
      <c r="L1551" s="138"/>
      <c r="M1551" s="4"/>
      <c r="N1551" s="4"/>
      <c r="O1551" s="4"/>
    </row>
    <row r="1552" spans="1:15" ht="11.45" customHeight="1" outlineLevel="3" x14ac:dyDescent="0.2">
      <c r="A1552" s="76" t="s">
        <v>15287</v>
      </c>
      <c r="B1552" s="136"/>
      <c r="C1552" s="77"/>
      <c r="D1552" s="137"/>
      <c r="E1552" s="4"/>
      <c r="F1552" s="4"/>
      <c r="G1552" s="4"/>
      <c r="H1552" s="4"/>
      <c r="I1552" s="4"/>
      <c r="J1552" s="4"/>
      <c r="K1552" s="4"/>
      <c r="L1552" s="138"/>
      <c r="M1552" s="4"/>
      <c r="N1552" s="4"/>
      <c r="O1552" s="4"/>
    </row>
    <row r="1553" spans="1:15" s="1" customFormat="1" ht="11.45" customHeight="1" outlineLevel="4" x14ac:dyDescent="0.2">
      <c r="A1553" s="32" t="s">
        <v>15334</v>
      </c>
      <c r="B1553" s="74" t="s">
        <v>15335</v>
      </c>
      <c r="C1553" s="50"/>
      <c r="D1553" s="139">
        <f t="shared" si="24"/>
        <v>0</v>
      </c>
      <c r="E1553" s="140">
        <v>269.35000000000002</v>
      </c>
      <c r="F1553" s="140">
        <v>220.78</v>
      </c>
      <c r="G1553" s="34" t="s">
        <v>100</v>
      </c>
      <c r="H1553" s="34" t="s">
        <v>39</v>
      </c>
      <c r="I1553" s="35">
        <v>10</v>
      </c>
      <c r="J1553" s="35">
        <v>10</v>
      </c>
      <c r="K1553" s="35">
        <v>60</v>
      </c>
      <c r="L1553" s="60" t="str">
        <f>HYPERLINK("https://www.sds-group.ru/product/shnur-hdmi-hdmi-1-4-2m-gold-s-filtrami-uglovoy-360-rexant-17-6204-3/", "Инфо")</f>
        <v>Инфо</v>
      </c>
      <c r="M1553" s="37">
        <v>0.14000000000000001</v>
      </c>
      <c r="N1553" s="38">
        <v>7.2499999999999995E-4</v>
      </c>
      <c r="O1553" s="141">
        <v>4610003605698</v>
      </c>
    </row>
    <row r="1554" spans="1:15" ht="11.45" customHeight="1" outlineLevel="2" x14ac:dyDescent="0.2">
      <c r="A1554" s="76" t="s">
        <v>15385</v>
      </c>
      <c r="B1554" s="136"/>
      <c r="C1554" s="77"/>
      <c r="D1554" s="137"/>
      <c r="E1554" s="4"/>
      <c r="F1554" s="4"/>
      <c r="G1554" s="4"/>
      <c r="H1554" s="4"/>
      <c r="I1554" s="4"/>
      <c r="J1554" s="4"/>
      <c r="K1554" s="4"/>
      <c r="L1554" s="138"/>
      <c r="M1554" s="4"/>
      <c r="N1554" s="4"/>
      <c r="O1554" s="4"/>
    </row>
    <row r="1555" spans="1:15" ht="11.45" customHeight="1" outlineLevel="3" x14ac:dyDescent="0.2">
      <c r="A1555" s="76" t="s">
        <v>15386</v>
      </c>
      <c r="B1555" s="136"/>
      <c r="C1555" s="77"/>
      <c r="D1555" s="137"/>
      <c r="E1555" s="4"/>
      <c r="F1555" s="4"/>
      <c r="G1555" s="4"/>
      <c r="H1555" s="4"/>
      <c r="I1555" s="4"/>
      <c r="J1555" s="4"/>
      <c r="K1555" s="4"/>
      <c r="L1555" s="138"/>
      <c r="M1555" s="4"/>
      <c r="N1555" s="4"/>
      <c r="O1555" s="4"/>
    </row>
    <row r="1556" spans="1:15" s="1" customFormat="1" ht="11.45" customHeight="1" outlineLevel="4" x14ac:dyDescent="0.2">
      <c r="A1556" s="32" t="s">
        <v>15392</v>
      </c>
      <c r="B1556" s="74" t="s">
        <v>15393</v>
      </c>
      <c r="C1556" s="50"/>
      <c r="D1556" s="139">
        <f t="shared" si="24"/>
        <v>0</v>
      </c>
      <c r="E1556" s="140">
        <v>51.29</v>
      </c>
      <c r="F1556" s="140">
        <v>42.04</v>
      </c>
      <c r="G1556" s="34" t="s">
        <v>100</v>
      </c>
      <c r="H1556" s="34" t="s">
        <v>39</v>
      </c>
      <c r="I1556" s="35">
        <v>10</v>
      </c>
      <c r="J1556" s="35">
        <v>10</v>
      </c>
      <c r="K1556" s="35">
        <v>200</v>
      </c>
      <c r="L1556" s="60" t="str">
        <f>HYPERLINK("https://www.sds-group.ru/product/shnur-2-rca-2-rca-3m-chernyy-rexant-17-0105/", "Инфо")</f>
        <v>Инфо</v>
      </c>
      <c r="M1556" s="37">
        <v>7.5999999999999998E-2</v>
      </c>
      <c r="N1556" s="38">
        <v>1.4100000000000001E-4</v>
      </c>
      <c r="O1556" s="141">
        <v>4610003604356</v>
      </c>
    </row>
    <row r="1557" spans="1:15" s="1" customFormat="1" ht="11.45" customHeight="1" outlineLevel="4" x14ac:dyDescent="0.2">
      <c r="A1557" s="32" t="s">
        <v>15394</v>
      </c>
      <c r="B1557" s="74" t="s">
        <v>15393</v>
      </c>
      <c r="C1557" s="50"/>
      <c r="D1557" s="139">
        <f t="shared" si="24"/>
        <v>0</v>
      </c>
      <c r="E1557" s="140">
        <v>179.63</v>
      </c>
      <c r="F1557" s="140">
        <v>147.24</v>
      </c>
      <c r="G1557" s="34" t="s">
        <v>100</v>
      </c>
      <c r="H1557" s="34" t="s">
        <v>39</v>
      </c>
      <c r="I1557" s="35">
        <v>10</v>
      </c>
      <c r="J1557" s="35">
        <v>10</v>
      </c>
      <c r="K1557" s="35">
        <v>100</v>
      </c>
      <c r="L1557" s="60" t="str">
        <f>HYPERLINK("https://www.sds-group.ru/product/shnur-2-rca-2-rca-3m-chernyy-gold-rexant-17-0145/", "Инфо")</f>
        <v>Инфо</v>
      </c>
      <c r="M1557" s="37">
        <v>0.16700000000000001</v>
      </c>
      <c r="N1557" s="38">
        <v>1.67E-3</v>
      </c>
      <c r="O1557" s="141">
        <v>4610003600310</v>
      </c>
    </row>
    <row r="1558" spans="1:15" ht="11.45" customHeight="1" outlineLevel="3" x14ac:dyDescent="0.2">
      <c r="A1558" s="76" t="s">
        <v>15397</v>
      </c>
      <c r="B1558" s="136"/>
      <c r="C1558" s="77"/>
      <c r="D1558" s="137"/>
      <c r="E1558" s="4"/>
      <c r="F1558" s="4"/>
      <c r="G1558" s="4"/>
      <c r="H1558" s="4"/>
      <c r="I1558" s="4"/>
      <c r="J1558" s="4"/>
      <c r="K1558" s="4"/>
      <c r="L1558" s="138"/>
      <c r="M1558" s="4"/>
      <c r="N1558" s="4"/>
      <c r="O1558" s="4"/>
    </row>
    <row r="1559" spans="1:15" s="1" customFormat="1" ht="11.45" customHeight="1" outlineLevel="4" x14ac:dyDescent="0.2">
      <c r="A1559" s="32" t="s">
        <v>15400</v>
      </c>
      <c r="B1559" s="74" t="s">
        <v>15401</v>
      </c>
      <c r="C1559" s="50"/>
      <c r="D1559" s="139">
        <f t="shared" si="24"/>
        <v>0</v>
      </c>
      <c r="E1559" s="140">
        <v>86.33</v>
      </c>
      <c r="F1559" s="140">
        <v>70.760000000000005</v>
      </c>
      <c r="G1559" s="34" t="s">
        <v>100</v>
      </c>
      <c r="H1559" s="34" t="s">
        <v>39</v>
      </c>
      <c r="I1559" s="35">
        <v>10</v>
      </c>
      <c r="J1559" s="35">
        <v>10</v>
      </c>
      <c r="K1559" s="35">
        <v>100</v>
      </c>
      <c r="L1559" s="60" t="str">
        <f>HYPERLINK("https://www.sds-group.ru/product/shnur-3-rca-3-rca-5m-chernyy-rexant-17-0205/", "Инфо")</f>
        <v>Инфо</v>
      </c>
      <c r="M1559" s="37">
        <v>0.18</v>
      </c>
      <c r="N1559" s="38">
        <v>3.4000000000000002E-4</v>
      </c>
      <c r="O1559" s="141">
        <v>4610003604523</v>
      </c>
    </row>
    <row r="1560" spans="1:15" s="1" customFormat="1" ht="11.45" customHeight="1" outlineLevel="4" x14ac:dyDescent="0.2">
      <c r="A1560" s="32" t="s">
        <v>15404</v>
      </c>
      <c r="B1560" s="74" t="s">
        <v>15405</v>
      </c>
      <c r="C1560" s="50"/>
      <c r="D1560" s="139">
        <f t="shared" si="24"/>
        <v>0</v>
      </c>
      <c r="E1560" s="140">
        <v>105.33</v>
      </c>
      <c r="F1560" s="140">
        <v>86.34</v>
      </c>
      <c r="G1560" s="34" t="s">
        <v>100</v>
      </c>
      <c r="H1560" s="34" t="s">
        <v>39</v>
      </c>
      <c r="I1560" s="35">
        <v>1</v>
      </c>
      <c r="J1560" s="35">
        <v>1</v>
      </c>
      <c r="K1560" s="35">
        <v>100</v>
      </c>
      <c r="L1560" s="60" t="str">
        <f>HYPERLINK("https://www.sds-group.ru/product/shnur-3-rca-3-rca-3m-chernyy-gold-rexant-17-0214/", "Инфо")</f>
        <v>Инфо</v>
      </c>
      <c r="M1560" s="37">
        <v>0.23100000000000001</v>
      </c>
      <c r="N1560" s="38">
        <v>5.4699999999999996E-4</v>
      </c>
      <c r="O1560" s="141">
        <v>4610003600372</v>
      </c>
    </row>
    <row r="1561" spans="1:15" ht="11.45" customHeight="1" outlineLevel="3" x14ac:dyDescent="0.2">
      <c r="A1561" s="76" t="s">
        <v>15406</v>
      </c>
      <c r="B1561" s="136"/>
      <c r="C1561" s="77"/>
      <c r="D1561" s="137"/>
      <c r="E1561" s="4"/>
      <c r="F1561" s="4"/>
      <c r="G1561" s="4"/>
      <c r="H1561" s="4"/>
      <c r="I1561" s="4"/>
      <c r="J1561" s="4"/>
      <c r="K1561" s="4"/>
      <c r="L1561" s="138"/>
      <c r="M1561" s="4"/>
      <c r="N1561" s="4"/>
      <c r="O1561" s="4"/>
    </row>
    <row r="1562" spans="1:15" s="1" customFormat="1" ht="11.45" customHeight="1" outlineLevel="4" x14ac:dyDescent="0.2">
      <c r="A1562" s="32" t="s">
        <v>15413</v>
      </c>
      <c r="B1562" s="74" t="s">
        <v>15414</v>
      </c>
      <c r="C1562" s="50"/>
      <c r="D1562" s="139">
        <f t="shared" si="24"/>
        <v>0</v>
      </c>
      <c r="E1562" s="140">
        <v>47.02</v>
      </c>
      <c r="F1562" s="140">
        <v>38.54</v>
      </c>
      <c r="G1562" s="34" t="s">
        <v>100</v>
      </c>
      <c r="H1562" s="34" t="s">
        <v>39</v>
      </c>
      <c r="I1562" s="35">
        <v>10</v>
      </c>
      <c r="J1562" s="35">
        <v>10</v>
      </c>
      <c r="K1562" s="35">
        <v>100</v>
      </c>
      <c r="L1562" s="60" t="str">
        <f>HYPERLINK("https://www.sds-group.ru/product/shnur-stereo-3-5mm-2-rca-7m-rexant-17-4206/", "Инфо")</f>
        <v>Инфо</v>
      </c>
      <c r="M1562" s="37">
        <v>0.154</v>
      </c>
      <c r="N1562" s="38">
        <v>3.1500000000000001E-4</v>
      </c>
      <c r="O1562" s="141">
        <v>4660008016968</v>
      </c>
    </row>
    <row r="1563" spans="1:15" s="1" customFormat="1" ht="11.45" customHeight="1" outlineLevel="4" x14ac:dyDescent="0.2">
      <c r="A1563" s="32" t="s">
        <v>15423</v>
      </c>
      <c r="B1563" s="74" t="s">
        <v>15424</v>
      </c>
      <c r="C1563" s="50"/>
      <c r="D1563" s="139">
        <f t="shared" si="24"/>
        <v>0</v>
      </c>
      <c r="E1563" s="140">
        <v>73.94</v>
      </c>
      <c r="F1563" s="140">
        <v>60.61</v>
      </c>
      <c r="G1563" s="34" t="s">
        <v>100</v>
      </c>
      <c r="H1563" s="34" t="s">
        <v>39</v>
      </c>
      <c r="I1563" s="35">
        <v>10</v>
      </c>
      <c r="J1563" s="35">
        <v>10</v>
      </c>
      <c r="K1563" s="35">
        <v>200</v>
      </c>
      <c r="L1563" s="60" t="str">
        <f>HYPERLINK("https://www.sds-group.ru/product/shnur-stereo-3-5mm-4c-3-rca-1-5m-dvuhtsvetnyy-shteker-gold-rexant-17-4412/", "Инфо")</f>
        <v>Инфо</v>
      </c>
      <c r="M1563" s="37">
        <v>8.2000000000000003E-2</v>
      </c>
      <c r="N1563" s="38">
        <v>2.8600000000000001E-4</v>
      </c>
      <c r="O1563" s="141">
        <v>4610003601249</v>
      </c>
    </row>
    <row r="1564" spans="1:15" s="1" customFormat="1" ht="11.45" customHeight="1" outlineLevel="4" x14ac:dyDescent="0.2">
      <c r="A1564" s="32" t="s">
        <v>15425</v>
      </c>
      <c r="B1564" s="74" t="s">
        <v>15426</v>
      </c>
      <c r="C1564" s="50"/>
      <c r="D1564" s="139">
        <f t="shared" si="24"/>
        <v>0</v>
      </c>
      <c r="E1564" s="140">
        <v>65.900000000000006</v>
      </c>
      <c r="F1564" s="140">
        <v>54.02</v>
      </c>
      <c r="G1564" s="34" t="s">
        <v>100</v>
      </c>
      <c r="H1564" s="34" t="s">
        <v>39</v>
      </c>
      <c r="I1564" s="35">
        <v>10</v>
      </c>
      <c r="J1564" s="35">
        <v>10</v>
      </c>
      <c r="K1564" s="35">
        <v>200</v>
      </c>
      <c r="L1564" s="60" t="str">
        <f>HYPERLINK("https://www.sds-group.ru/product/shnur-stereo-3-5mm-4c-3-rca-1-5m-gold-rexant-17-4412-4/", "Инфо")</f>
        <v>Инфо</v>
      </c>
      <c r="M1564" s="37">
        <v>7.0000000000000007E-2</v>
      </c>
      <c r="N1564" s="38">
        <v>1.75E-4</v>
      </c>
      <c r="O1564" s="141">
        <v>4660008017071</v>
      </c>
    </row>
    <row r="1565" spans="1:15" ht="11.45" customHeight="1" outlineLevel="2" x14ac:dyDescent="0.2">
      <c r="A1565" s="76" t="s">
        <v>15449</v>
      </c>
      <c r="B1565" s="136"/>
      <c r="C1565" s="77"/>
      <c r="D1565" s="137"/>
      <c r="E1565" s="4"/>
      <c r="F1565" s="4"/>
      <c r="G1565" s="4"/>
      <c r="H1565" s="4"/>
      <c r="I1565" s="4"/>
      <c r="J1565" s="4"/>
      <c r="K1565" s="4"/>
      <c r="L1565" s="138"/>
      <c r="M1565" s="4"/>
      <c r="N1565" s="4"/>
      <c r="O1565" s="4"/>
    </row>
    <row r="1566" spans="1:15" s="1" customFormat="1" ht="11.45" customHeight="1" outlineLevel="3" x14ac:dyDescent="0.2">
      <c r="A1566" s="32" t="s">
        <v>15450</v>
      </c>
      <c r="B1566" s="74" t="s">
        <v>15451</v>
      </c>
      <c r="C1566" s="50"/>
      <c r="D1566" s="139">
        <f t="shared" si="24"/>
        <v>0</v>
      </c>
      <c r="E1566" s="140">
        <v>126.26</v>
      </c>
      <c r="F1566" s="140">
        <v>103.49</v>
      </c>
      <c r="G1566" s="34" t="s">
        <v>100</v>
      </c>
      <c r="H1566" s="34" t="s">
        <v>39</v>
      </c>
      <c r="I1566" s="35">
        <v>10</v>
      </c>
      <c r="J1566" s="35">
        <v>10</v>
      </c>
      <c r="K1566" s="35">
        <v>200</v>
      </c>
      <c r="L1566" s="60" t="str">
        <f>HYPERLINK("https://www.sds-group.ru/product/shnur-toslink-toslink-1-5m-rexant-17-0802/", "Инфо")</f>
        <v>Инфо</v>
      </c>
      <c r="M1566" s="37">
        <v>3.7999999999999999E-2</v>
      </c>
      <c r="N1566" s="38">
        <v>1.4999999999999999E-4</v>
      </c>
      <c r="O1566" s="141">
        <v>4660008015510</v>
      </c>
    </row>
    <row r="1567" spans="1:15" s="1" customFormat="1" ht="11.45" customHeight="1" outlineLevel="3" x14ac:dyDescent="0.2">
      <c r="A1567" s="32" t="s">
        <v>15452</v>
      </c>
      <c r="B1567" s="74" t="s">
        <v>15453</v>
      </c>
      <c r="C1567" s="50"/>
      <c r="D1567" s="139">
        <f t="shared" si="24"/>
        <v>0</v>
      </c>
      <c r="E1567" s="140">
        <v>95.53</v>
      </c>
      <c r="F1567" s="140">
        <v>78.3</v>
      </c>
      <c r="G1567" s="34" t="s">
        <v>100</v>
      </c>
      <c r="H1567" s="34" t="s">
        <v>39</v>
      </c>
      <c r="I1567" s="35">
        <v>10</v>
      </c>
      <c r="J1567" s="35">
        <v>10</v>
      </c>
      <c r="K1567" s="35">
        <v>200</v>
      </c>
      <c r="L1567" s="60" t="str">
        <f>HYPERLINK("https://www.sds-group.ru/product/shnur-toslink-toslink-3m-rexant-17-0804/", "Инфо")</f>
        <v>Инфо</v>
      </c>
      <c r="M1567" s="37">
        <v>6.5000000000000002E-2</v>
      </c>
      <c r="N1567" s="38">
        <v>1.8200000000000001E-4</v>
      </c>
      <c r="O1567" s="141">
        <v>4660008015527</v>
      </c>
    </row>
    <row r="1568" spans="1:15" ht="11.45" customHeight="1" outlineLevel="2" x14ac:dyDescent="0.2">
      <c r="A1568" s="76" t="s">
        <v>15467</v>
      </c>
      <c r="B1568" s="136"/>
      <c r="C1568" s="77"/>
      <c r="D1568" s="137"/>
      <c r="E1568" s="4"/>
      <c r="F1568" s="4"/>
      <c r="G1568" s="4"/>
      <c r="H1568" s="4"/>
      <c r="I1568" s="4"/>
      <c r="J1568" s="4"/>
      <c r="K1568" s="4"/>
      <c r="L1568" s="138"/>
      <c r="M1568" s="4"/>
      <c r="N1568" s="4"/>
      <c r="O1568" s="4"/>
    </row>
    <row r="1569" spans="1:15" s="1" customFormat="1" ht="11.45" customHeight="1" outlineLevel="3" x14ac:dyDescent="0.2">
      <c r="A1569" s="32" t="s">
        <v>15470</v>
      </c>
      <c r="B1569" s="74" t="s">
        <v>15471</v>
      </c>
      <c r="C1569" s="50"/>
      <c r="D1569" s="139">
        <f t="shared" si="24"/>
        <v>0</v>
      </c>
      <c r="E1569" s="140">
        <v>39.81</v>
      </c>
      <c r="F1569" s="140">
        <v>32.630000000000003</v>
      </c>
      <c r="G1569" s="34" t="s">
        <v>100</v>
      </c>
      <c r="H1569" s="34" t="s">
        <v>39</v>
      </c>
      <c r="I1569" s="35">
        <v>10</v>
      </c>
      <c r="J1569" s="35">
        <v>10</v>
      </c>
      <c r="K1569" s="35">
        <v>250</v>
      </c>
      <c r="L1569" s="60" t="str">
        <f>HYPERLINK("https://www.sds-group.ru/product/vch-kabel-tv-gnezdo-tv-shteker-3m-chernyy-rexant-17-5013/", "Инфо")</f>
        <v>Инфо</v>
      </c>
      <c r="M1569" s="37">
        <v>4.5999999999999999E-2</v>
      </c>
      <c r="N1569" s="38">
        <v>1.22E-4</v>
      </c>
      <c r="O1569" s="141">
        <v>4610003607760</v>
      </c>
    </row>
    <row r="1570" spans="1:15" ht="11.45" customHeight="1" outlineLevel="1" x14ac:dyDescent="0.2">
      <c r="A1570" s="78" t="s">
        <v>15502</v>
      </c>
      <c r="B1570" s="132"/>
      <c r="C1570" s="79"/>
      <c r="D1570" s="133"/>
      <c r="E1570" s="134"/>
      <c r="F1570" s="134"/>
      <c r="G1570" s="134"/>
      <c r="H1570" s="134"/>
      <c r="I1570" s="134"/>
      <c r="J1570" s="134"/>
      <c r="K1570" s="134"/>
      <c r="L1570" s="135"/>
      <c r="M1570" s="134"/>
      <c r="N1570" s="134"/>
      <c r="O1570" s="134"/>
    </row>
    <row r="1571" spans="1:15" ht="11.45" customHeight="1" outlineLevel="2" x14ac:dyDescent="0.2">
      <c r="A1571" s="76" t="s">
        <v>15503</v>
      </c>
      <c r="B1571" s="136"/>
      <c r="C1571" s="77"/>
      <c r="D1571" s="137"/>
      <c r="E1571" s="4"/>
      <c r="F1571" s="4"/>
      <c r="G1571" s="4"/>
      <c r="H1571" s="4"/>
      <c r="I1571" s="4"/>
      <c r="J1571" s="4"/>
      <c r="K1571" s="4"/>
      <c r="L1571" s="138"/>
      <c r="M1571" s="4"/>
      <c r="N1571" s="4"/>
      <c r="O1571" s="4"/>
    </row>
    <row r="1572" spans="1:15" s="1" customFormat="1" ht="11.45" customHeight="1" outlineLevel="3" x14ac:dyDescent="0.2">
      <c r="A1572" s="32" t="s">
        <v>15506</v>
      </c>
      <c r="B1572" s="74" t="s">
        <v>15507</v>
      </c>
      <c r="C1572" s="50"/>
      <c r="D1572" s="139">
        <f t="shared" si="24"/>
        <v>0</v>
      </c>
      <c r="E1572" s="140">
        <v>685.69</v>
      </c>
      <c r="F1572" s="140">
        <v>562.04</v>
      </c>
      <c r="G1572" s="34" t="s">
        <v>100</v>
      </c>
      <c r="H1572" s="34" t="s">
        <v>39</v>
      </c>
      <c r="I1572" s="35">
        <v>1</v>
      </c>
      <c r="J1572" s="35">
        <v>1</v>
      </c>
      <c r="K1572" s="35">
        <v>20</v>
      </c>
      <c r="L1572" s="60" t="str">
        <f>HYPERLINK("https://www.sds-group.ru/product/antenna-komnatnaya-aktivnaya-dlya-tsifrovogo-televideniya-dvb-t2-ag-701-rexant-34-0701/", "Инфо")</f>
        <v>Инфо</v>
      </c>
      <c r="M1572" s="37">
        <v>0.41499999999999998</v>
      </c>
      <c r="N1572" s="38">
        <v>2.3519999999999999E-3</v>
      </c>
      <c r="O1572" s="141">
        <v>4601004138209</v>
      </c>
    </row>
    <row r="1573" spans="1:15" ht="11.45" customHeight="1" outlineLevel="2" x14ac:dyDescent="0.2">
      <c r="A1573" s="76" t="s">
        <v>15592</v>
      </c>
      <c r="B1573" s="136"/>
      <c r="C1573" s="77"/>
      <c r="D1573" s="137"/>
      <c r="E1573" s="4"/>
      <c r="F1573" s="4"/>
      <c r="G1573" s="4"/>
      <c r="H1573" s="4"/>
      <c r="I1573" s="4"/>
      <c r="J1573" s="4"/>
      <c r="K1573" s="4"/>
      <c r="L1573" s="138"/>
      <c r="M1573" s="4"/>
      <c r="N1573" s="4"/>
      <c r="O1573" s="4"/>
    </row>
    <row r="1574" spans="1:15" s="1" customFormat="1" ht="11.45" customHeight="1" outlineLevel="3" x14ac:dyDescent="0.2">
      <c r="A1574" s="32" t="s">
        <v>15633</v>
      </c>
      <c r="B1574" s="74" t="s">
        <v>15634</v>
      </c>
      <c r="C1574" s="50"/>
      <c r="D1574" s="139">
        <f t="shared" si="24"/>
        <v>0</v>
      </c>
      <c r="E1574" s="140">
        <v>145.38</v>
      </c>
      <c r="F1574" s="140">
        <v>119.16</v>
      </c>
      <c r="G1574" s="34" t="s">
        <v>100</v>
      </c>
      <c r="H1574" s="34" t="s">
        <v>39</v>
      </c>
      <c r="I1574" s="35">
        <v>1</v>
      </c>
      <c r="J1574" s="35">
        <v>1</v>
      </c>
      <c r="K1574" s="35">
        <v>50</v>
      </c>
      <c r="L1574" s="60" t="str">
        <f>HYPERLINK("https://www.sds-group.ru/product/kronshteyn-efirnyy-20sm-treugolnaya-ploschadka-rexant-34-0602/", "Инфо")</f>
        <v>Инфо</v>
      </c>
      <c r="M1574" s="37">
        <v>0.27200000000000002</v>
      </c>
      <c r="N1574" s="38">
        <v>8.0599999999999997E-4</v>
      </c>
      <c r="O1574" s="141">
        <v>4601004282438</v>
      </c>
    </row>
    <row r="1575" spans="1:15" s="1" customFormat="1" ht="11.45" customHeight="1" outlineLevel="3" x14ac:dyDescent="0.2">
      <c r="A1575" s="32" t="s">
        <v>15679</v>
      </c>
      <c r="B1575" s="74" t="s">
        <v>15680</v>
      </c>
      <c r="C1575" s="50"/>
      <c r="D1575" s="139">
        <f t="shared" si="24"/>
        <v>0</v>
      </c>
      <c r="E1575" s="140">
        <v>999.49</v>
      </c>
      <c r="F1575" s="140">
        <v>819.25</v>
      </c>
      <c r="G1575" s="34" t="s">
        <v>100</v>
      </c>
      <c r="H1575" s="34" t="s">
        <v>39</v>
      </c>
      <c r="I1575" s="35">
        <v>1</v>
      </c>
      <c r="J1575" s="35">
        <v>1</v>
      </c>
      <c r="K1575" s="35">
        <v>1</v>
      </c>
      <c r="L1575" s="60" t="str">
        <f>HYPERLINK("https://www.sds-group.ru/product/machta-dlya-antenn-teleskopicheskaya-oblegchennaya-300sm-2-kolena-rexant-34-0609/", "Инфо")</f>
        <v>Инфо</v>
      </c>
      <c r="M1575" s="37">
        <v>2.75</v>
      </c>
      <c r="N1575" s="38">
        <v>1.8619999999999999E-3</v>
      </c>
      <c r="O1575" s="141">
        <v>4601004282582</v>
      </c>
    </row>
    <row r="1576" spans="1:15" ht="11.45" customHeight="1" outlineLevel="1" x14ac:dyDescent="0.2">
      <c r="A1576" s="78" t="s">
        <v>15874</v>
      </c>
      <c r="B1576" s="132"/>
      <c r="C1576" s="79"/>
      <c r="D1576" s="133"/>
      <c r="E1576" s="134"/>
      <c r="F1576" s="134"/>
      <c r="G1576" s="134"/>
      <c r="H1576" s="134"/>
      <c r="I1576" s="134"/>
      <c r="J1576" s="134"/>
      <c r="K1576" s="134"/>
      <c r="L1576" s="135"/>
      <c r="M1576" s="134"/>
      <c r="N1576" s="134"/>
      <c r="O1576" s="134"/>
    </row>
    <row r="1577" spans="1:15" ht="11.45" customHeight="1" outlineLevel="2" x14ac:dyDescent="0.2">
      <c r="A1577" s="76" t="s">
        <v>15875</v>
      </c>
      <c r="B1577" s="136"/>
      <c r="C1577" s="77"/>
      <c r="D1577" s="137"/>
      <c r="E1577" s="4"/>
      <c r="F1577" s="4"/>
      <c r="G1577" s="4"/>
      <c r="H1577" s="4"/>
      <c r="I1577" s="4"/>
      <c r="J1577" s="4"/>
      <c r="K1577" s="4"/>
      <c r="L1577" s="138"/>
      <c r="M1577" s="4"/>
      <c r="N1577" s="4"/>
      <c r="O1577" s="4"/>
    </row>
    <row r="1578" spans="1:15" s="1" customFormat="1" ht="11.45" customHeight="1" outlineLevel="3" x14ac:dyDescent="0.2">
      <c r="A1578" s="32" t="s">
        <v>15888</v>
      </c>
      <c r="B1578" s="74" t="s">
        <v>15889</v>
      </c>
      <c r="C1578" s="50"/>
      <c r="D1578" s="139">
        <f t="shared" si="24"/>
        <v>0</v>
      </c>
      <c r="E1578" s="140">
        <v>85.2</v>
      </c>
      <c r="F1578" s="140">
        <v>69.84</v>
      </c>
      <c r="G1578" s="34" t="s">
        <v>100</v>
      </c>
      <c r="H1578" s="34" t="s">
        <v>39</v>
      </c>
      <c r="I1578" s="35">
        <v>1</v>
      </c>
      <c r="J1578" s="35">
        <v>1</v>
      </c>
      <c r="K1578" s="35">
        <v>100</v>
      </c>
      <c r="L1578" s="60" t="str">
        <f>HYPERLINK("https://www.sds-group.ru/product/pult-universalnyy-dlya-televizora-rx-951-rexant-38-0001/", "Инфо")</f>
        <v>Инфо</v>
      </c>
      <c r="M1578" s="37">
        <v>8.6999999999999994E-2</v>
      </c>
      <c r="N1578" s="38">
        <v>7.6300000000000001E-4</v>
      </c>
      <c r="O1578" s="141">
        <v>4601004041820</v>
      </c>
    </row>
    <row r="1579" spans="1:15" s="1" customFormat="1" ht="11.45" customHeight="1" outlineLevel="3" x14ac:dyDescent="0.2">
      <c r="A1579" s="32" t="s">
        <v>15890</v>
      </c>
      <c r="B1579" s="74" t="s">
        <v>15891</v>
      </c>
      <c r="C1579" s="50"/>
      <c r="D1579" s="139">
        <f t="shared" si="24"/>
        <v>0</v>
      </c>
      <c r="E1579" s="140">
        <v>117.47</v>
      </c>
      <c r="F1579" s="140">
        <v>96.29</v>
      </c>
      <c r="G1579" s="34" t="s">
        <v>100</v>
      </c>
      <c r="H1579" s="34" t="s">
        <v>39</v>
      </c>
      <c r="I1579" s="35">
        <v>1</v>
      </c>
      <c r="J1579" s="35">
        <v>1</v>
      </c>
      <c r="K1579" s="35">
        <v>100</v>
      </c>
      <c r="L1579" s="60" t="str">
        <f>HYPERLINK("https://www.sds-group.ru/product/pult-universalnyy-dlya-televizora-rx-952-rexant-38-0005/", "Инфо")</f>
        <v>Инфо</v>
      </c>
      <c r="M1579" s="37">
        <v>9.6000000000000002E-2</v>
      </c>
      <c r="N1579" s="38">
        <v>7.7300000000000003E-4</v>
      </c>
      <c r="O1579" s="141">
        <v>4601004041790</v>
      </c>
    </row>
    <row r="1580" spans="1:15" s="1" customFormat="1" ht="11.45" customHeight="1" outlineLevel="3" x14ac:dyDescent="0.2">
      <c r="A1580" s="32" t="s">
        <v>15902</v>
      </c>
      <c r="B1580" s="74" t="s">
        <v>15903</v>
      </c>
      <c r="C1580" s="50"/>
      <c r="D1580" s="139">
        <f t="shared" si="24"/>
        <v>0</v>
      </c>
      <c r="E1580" s="140">
        <v>205.11</v>
      </c>
      <c r="F1580" s="140">
        <v>168.12</v>
      </c>
      <c r="G1580" s="34" t="s">
        <v>100</v>
      </c>
      <c r="H1580" s="34" t="s">
        <v>39</v>
      </c>
      <c r="I1580" s="35">
        <v>1</v>
      </c>
      <c r="J1580" s="35">
        <v>1</v>
      </c>
      <c r="K1580" s="35">
        <v>180</v>
      </c>
      <c r="L1580" s="60" t="str">
        <f>HYPERLINK("https://www.sds-group.ru/product/pult-universalnyy-dlya-televizorov-telefunken-vestel-beko-rexant-38-0013/", "Инфо")</f>
        <v>Инфо</v>
      </c>
      <c r="M1580" s="37">
        <v>0.09</v>
      </c>
      <c r="N1580" s="38">
        <v>2.7599999999999999E-4</v>
      </c>
      <c r="O1580" s="141">
        <v>4601004278660</v>
      </c>
    </row>
    <row r="1581" spans="1:15" s="1" customFormat="1" ht="11.45" customHeight="1" outlineLevel="3" x14ac:dyDescent="0.2">
      <c r="A1581" s="32" t="s">
        <v>15904</v>
      </c>
      <c r="B1581" s="74" t="s">
        <v>15905</v>
      </c>
      <c r="C1581" s="50"/>
      <c r="D1581" s="139">
        <f t="shared" si="24"/>
        <v>0</v>
      </c>
      <c r="E1581" s="140">
        <v>96.34</v>
      </c>
      <c r="F1581" s="140">
        <v>78.97</v>
      </c>
      <c r="G1581" s="34" t="s">
        <v>100</v>
      </c>
      <c r="H1581" s="34" t="s">
        <v>39</v>
      </c>
      <c r="I1581" s="35">
        <v>1</v>
      </c>
      <c r="J1581" s="35">
        <v>1</v>
      </c>
      <c r="K1581" s="35">
        <v>100</v>
      </c>
      <c r="L1581" s="60" t="str">
        <f>HYPERLINK("https://www.sds-group.ru/product/pult-universalnyy-na-8-ustroystv-rexant-38-0102/", "Инфо")</f>
        <v>Инфо</v>
      </c>
      <c r="M1581" s="37">
        <v>0.14799999999999999</v>
      </c>
      <c r="N1581" s="38">
        <v>7.94E-4</v>
      </c>
      <c r="O1581" s="141">
        <v>4601004198838</v>
      </c>
    </row>
    <row r="1582" spans="1:15" ht="11.45" customHeight="1" outlineLevel="1" x14ac:dyDescent="0.2">
      <c r="A1582" s="78" t="s">
        <v>15927</v>
      </c>
      <c r="B1582" s="132"/>
      <c r="C1582" s="79"/>
      <c r="D1582" s="133"/>
      <c r="E1582" s="134"/>
      <c r="F1582" s="134"/>
      <c r="G1582" s="134"/>
      <c r="H1582" s="134"/>
      <c r="I1582" s="134"/>
      <c r="J1582" s="134"/>
      <c r="K1582" s="134"/>
      <c r="L1582" s="135"/>
      <c r="M1582" s="134"/>
      <c r="N1582" s="134"/>
      <c r="O1582" s="134"/>
    </row>
    <row r="1583" spans="1:15" ht="11.45" customHeight="1" outlineLevel="2" x14ac:dyDescent="0.2">
      <c r="A1583" s="76" t="s">
        <v>15931</v>
      </c>
      <c r="B1583" s="136"/>
      <c r="C1583" s="77"/>
      <c r="D1583" s="137"/>
      <c r="E1583" s="4"/>
      <c r="F1583" s="4"/>
      <c r="G1583" s="4"/>
      <c r="H1583" s="4"/>
      <c r="I1583" s="4"/>
      <c r="J1583" s="4"/>
      <c r="K1583" s="4"/>
      <c r="L1583" s="138"/>
      <c r="M1583" s="4"/>
      <c r="N1583" s="4"/>
      <c r="O1583" s="4"/>
    </row>
    <row r="1584" spans="1:15" s="1" customFormat="1" ht="11.45" customHeight="1" outlineLevel="3" x14ac:dyDescent="0.2">
      <c r="A1584" s="32" t="s">
        <v>15938</v>
      </c>
      <c r="B1584" s="74" t="s">
        <v>15939</v>
      </c>
      <c r="C1584" s="50"/>
      <c r="D1584" s="139">
        <f t="shared" si="24"/>
        <v>0</v>
      </c>
      <c r="E1584" s="140">
        <v>46.45</v>
      </c>
      <c r="F1584" s="140">
        <v>38.07</v>
      </c>
      <c r="G1584" s="34" t="s">
        <v>100</v>
      </c>
      <c r="H1584" s="34" t="s">
        <v>39</v>
      </c>
      <c r="I1584" s="35">
        <v>1</v>
      </c>
      <c r="J1584" s="35">
        <v>1</v>
      </c>
      <c r="K1584" s="35">
        <v>10</v>
      </c>
      <c r="L1584" s="60" t="str">
        <f>HYPERLINK("https://www.sds-group.ru/product/perehodnik-antennyy-gnezdo-f-shteker-f-uglovoy-1-sht-rexant-06-0021-A/", "Инфо")</f>
        <v>Инфо</v>
      </c>
      <c r="M1584" s="37">
        <v>1.4E-2</v>
      </c>
      <c r="N1584" s="38">
        <v>1.07E-4</v>
      </c>
      <c r="O1584" s="141">
        <v>4601004121942</v>
      </c>
    </row>
    <row r="1585" spans="1:15" ht="11.45" customHeight="1" x14ac:dyDescent="0.2">
      <c r="A1585" s="80" t="s">
        <v>15973</v>
      </c>
      <c r="B1585" s="128"/>
      <c r="C1585" s="81"/>
      <c r="D1585" s="129"/>
      <c r="E1585" s="130"/>
      <c r="F1585" s="130"/>
      <c r="G1585" s="130"/>
      <c r="H1585" s="130"/>
      <c r="I1585" s="130"/>
      <c r="J1585" s="130"/>
      <c r="K1585" s="130"/>
      <c r="L1585" s="131"/>
      <c r="M1585" s="130"/>
      <c r="N1585" s="130"/>
      <c r="O1585" s="130"/>
    </row>
    <row r="1586" spans="1:15" ht="11.45" customHeight="1" outlineLevel="1" x14ac:dyDescent="0.2">
      <c r="A1586" s="78" t="s">
        <v>15974</v>
      </c>
      <c r="B1586" s="132"/>
      <c r="C1586" s="79"/>
      <c r="D1586" s="133"/>
      <c r="E1586" s="134"/>
      <c r="F1586" s="134"/>
      <c r="G1586" s="134"/>
      <c r="H1586" s="134"/>
      <c r="I1586" s="134"/>
      <c r="J1586" s="134"/>
      <c r="K1586" s="134"/>
      <c r="L1586" s="135"/>
      <c r="M1586" s="134"/>
      <c r="N1586" s="134"/>
      <c r="O1586" s="134"/>
    </row>
    <row r="1587" spans="1:15" ht="11.45" customHeight="1" outlineLevel="2" x14ac:dyDescent="0.2">
      <c r="A1587" s="76" t="s">
        <v>15975</v>
      </c>
      <c r="B1587" s="136"/>
      <c r="C1587" s="77"/>
      <c r="D1587" s="137"/>
      <c r="E1587" s="4"/>
      <c r="F1587" s="4"/>
      <c r="G1587" s="4"/>
      <c r="H1587" s="4"/>
      <c r="I1587" s="4"/>
      <c r="J1587" s="4"/>
      <c r="K1587" s="4"/>
      <c r="L1587" s="138"/>
      <c r="M1587" s="4"/>
      <c r="N1587" s="4"/>
      <c r="O1587" s="4"/>
    </row>
    <row r="1588" spans="1:15" ht="11.45" customHeight="1" outlineLevel="3" x14ac:dyDescent="0.2">
      <c r="A1588" s="76" t="s">
        <v>15976</v>
      </c>
      <c r="B1588" s="136"/>
      <c r="C1588" s="77"/>
      <c r="D1588" s="137"/>
      <c r="E1588" s="4"/>
      <c r="F1588" s="4"/>
      <c r="G1588" s="4"/>
      <c r="H1588" s="4"/>
      <c r="I1588" s="4"/>
      <c r="J1588" s="4"/>
      <c r="K1588" s="4"/>
      <c r="L1588" s="138"/>
      <c r="M1588" s="4"/>
      <c r="N1588" s="4"/>
      <c r="O1588" s="4"/>
    </row>
    <row r="1589" spans="1:15" ht="11.45" customHeight="1" outlineLevel="4" x14ac:dyDescent="0.2">
      <c r="A1589" s="82" t="s">
        <v>16038</v>
      </c>
      <c r="B1589" s="142"/>
      <c r="C1589" s="83"/>
      <c r="D1589" s="143"/>
      <c r="E1589" s="5"/>
      <c r="F1589" s="5"/>
      <c r="G1589" s="5"/>
      <c r="H1589" s="5"/>
      <c r="I1589" s="5"/>
      <c r="J1589" s="5"/>
      <c r="K1589" s="5"/>
      <c r="L1589" s="144"/>
      <c r="M1589" s="5"/>
      <c r="N1589" s="5"/>
      <c r="O1589" s="5"/>
    </row>
    <row r="1590" spans="1:15" s="1" customFormat="1" ht="11.45" customHeight="1" outlineLevel="5" x14ac:dyDescent="0.2">
      <c r="A1590" s="32" t="s">
        <v>16039</v>
      </c>
      <c r="B1590" s="74" t="s">
        <v>16040</v>
      </c>
      <c r="C1590" s="50"/>
      <c r="D1590" s="139">
        <f t="shared" si="24"/>
        <v>0</v>
      </c>
      <c r="E1590" s="140">
        <v>8.5299999999999994</v>
      </c>
      <c r="F1590" s="140">
        <v>6.99</v>
      </c>
      <c r="G1590" s="34" t="s">
        <v>100</v>
      </c>
      <c r="H1590" s="34" t="s">
        <v>1767</v>
      </c>
      <c r="I1590" s="35">
        <v>500</v>
      </c>
      <c r="J1590" s="35">
        <v>500</v>
      </c>
      <c r="K1590" s="35">
        <v>500</v>
      </c>
      <c r="L1590" s="60" t="str">
        <f>HYPERLINK("https://www.sds-group.ru/product/provod-pgva-1h0-50mm-cu-belyy-buhta-500m-rexant-01-6511-1/", "Инфо")</f>
        <v>Инфо</v>
      </c>
      <c r="M1590" s="37">
        <v>8.0000000000000002E-3</v>
      </c>
      <c r="N1590" s="38">
        <v>7.9999999999999996E-6</v>
      </c>
      <c r="O1590" s="141">
        <v>4601004137707</v>
      </c>
    </row>
    <row r="1591" spans="1:15" s="1" customFormat="1" ht="11.45" customHeight="1" outlineLevel="5" x14ac:dyDescent="0.2">
      <c r="A1591" s="32" t="s">
        <v>16041</v>
      </c>
      <c r="B1591" s="74" t="s">
        <v>16042</v>
      </c>
      <c r="C1591" s="50"/>
      <c r="D1591" s="139">
        <f t="shared" si="24"/>
        <v>0</v>
      </c>
      <c r="E1591" s="140">
        <v>7.85</v>
      </c>
      <c r="F1591" s="140">
        <v>6.43</v>
      </c>
      <c r="G1591" s="34" t="s">
        <v>100</v>
      </c>
      <c r="H1591" s="34" t="s">
        <v>1767</v>
      </c>
      <c r="I1591" s="35">
        <v>500</v>
      </c>
      <c r="J1591" s="35">
        <v>500</v>
      </c>
      <c r="K1591" s="35">
        <v>500</v>
      </c>
      <c r="L1591" s="60" t="str">
        <f>HYPERLINK("https://www.sds-group.ru/product/provod-pgva-1h0-50mm-cu-zheltyy-buhta-500m-rexant-01-6512-1/", "Инфо")</f>
        <v>Инфо</v>
      </c>
      <c r="M1591" s="37">
        <v>7.0000000000000001E-3</v>
      </c>
      <c r="N1591" s="38">
        <v>7.9999999999999996E-6</v>
      </c>
      <c r="O1591" s="141">
        <v>4601004137691</v>
      </c>
    </row>
    <row r="1592" spans="1:15" s="1" customFormat="1" ht="11.45" customHeight="1" outlineLevel="5" x14ac:dyDescent="0.2">
      <c r="A1592" s="32" t="s">
        <v>16043</v>
      </c>
      <c r="B1592" s="74" t="s">
        <v>16044</v>
      </c>
      <c r="C1592" s="50"/>
      <c r="D1592" s="139">
        <f t="shared" si="24"/>
        <v>0</v>
      </c>
      <c r="E1592" s="140">
        <v>7.85</v>
      </c>
      <c r="F1592" s="140">
        <v>6.43</v>
      </c>
      <c r="G1592" s="34" t="s">
        <v>100</v>
      </c>
      <c r="H1592" s="34" t="s">
        <v>1767</v>
      </c>
      <c r="I1592" s="35">
        <v>500</v>
      </c>
      <c r="J1592" s="35">
        <v>500</v>
      </c>
      <c r="K1592" s="35">
        <v>500</v>
      </c>
      <c r="L1592" s="60" t="str">
        <f>HYPERLINK("https://www.sds-group.ru/product/provod-pgva-1h0-50mm-cu-zelenyy-buhta-500m-rexant-01-6513-1/", "Инфо")</f>
        <v>Инфо</v>
      </c>
      <c r="M1592" s="37">
        <v>8.0000000000000002E-3</v>
      </c>
      <c r="N1592" s="38">
        <v>7.9999999999999996E-6</v>
      </c>
      <c r="O1592" s="141">
        <v>4601004137684</v>
      </c>
    </row>
    <row r="1593" spans="1:15" s="1" customFormat="1" ht="11.45" customHeight="1" outlineLevel="5" x14ac:dyDescent="0.2">
      <c r="A1593" s="32" t="s">
        <v>16045</v>
      </c>
      <c r="B1593" s="74" t="s">
        <v>16046</v>
      </c>
      <c r="C1593" s="50"/>
      <c r="D1593" s="139">
        <f t="shared" si="24"/>
        <v>0</v>
      </c>
      <c r="E1593" s="140">
        <v>7.85</v>
      </c>
      <c r="F1593" s="140">
        <v>6.43</v>
      </c>
      <c r="G1593" s="34" t="s">
        <v>100</v>
      </c>
      <c r="H1593" s="34" t="s">
        <v>1767</v>
      </c>
      <c r="I1593" s="35">
        <v>500</v>
      </c>
      <c r="J1593" s="35">
        <v>500</v>
      </c>
      <c r="K1593" s="35">
        <v>500</v>
      </c>
      <c r="L1593" s="60" t="str">
        <f>HYPERLINK("https://www.sds-group.ru/product/provod-pgva-1h0-50mm-cu-krasnyy-buhta-500m-rexant-01-6514-1/", "Инфо")</f>
        <v>Инфо</v>
      </c>
      <c r="M1593" s="37">
        <v>7.0000000000000001E-3</v>
      </c>
      <c r="N1593" s="38">
        <v>9.0000000000000002E-6</v>
      </c>
      <c r="O1593" s="141">
        <v>4601004137738</v>
      </c>
    </row>
    <row r="1594" spans="1:15" ht="11.45" customHeight="1" outlineLevel="3" x14ac:dyDescent="0.2">
      <c r="A1594" s="76" t="s">
        <v>16087</v>
      </c>
      <c r="B1594" s="136"/>
      <c r="C1594" s="77"/>
      <c r="D1594" s="137"/>
      <c r="E1594" s="4"/>
      <c r="F1594" s="4"/>
      <c r="G1594" s="4"/>
      <c r="H1594" s="4"/>
      <c r="I1594" s="4"/>
      <c r="J1594" s="4"/>
      <c r="K1594" s="4"/>
      <c r="L1594" s="138"/>
      <c r="M1594" s="4"/>
      <c r="N1594" s="4"/>
      <c r="O1594" s="4"/>
    </row>
    <row r="1595" spans="1:15" s="1" customFormat="1" ht="11.45" customHeight="1" outlineLevel="4" x14ac:dyDescent="0.2">
      <c r="A1595" s="32" t="s">
        <v>16103</v>
      </c>
      <c r="B1595" s="74" t="s">
        <v>16104</v>
      </c>
      <c r="C1595" s="50"/>
      <c r="D1595" s="139">
        <f t="shared" si="24"/>
        <v>0</v>
      </c>
      <c r="E1595" s="140">
        <v>8.11</v>
      </c>
      <c r="F1595" s="140">
        <v>6.65</v>
      </c>
      <c r="G1595" s="34" t="s">
        <v>100</v>
      </c>
      <c r="H1595" s="34" t="s">
        <v>39</v>
      </c>
      <c r="I1595" s="35">
        <v>50</v>
      </c>
      <c r="J1595" s="35">
        <v>50</v>
      </c>
      <c r="K1595" s="39">
        <v>2500</v>
      </c>
      <c r="L1595" s="60" t="str">
        <f>HYPERLINK("https://www.sds-group.ru/product/razem-gnezdo-antenny-dlya-avtomagnitoly-na-shnur-rexant-16-0412/", "Инфо")</f>
        <v>Инфо</v>
      </c>
      <c r="M1595" s="37">
        <v>7.0000000000000001E-3</v>
      </c>
      <c r="N1595" s="38">
        <v>1.9000000000000001E-5</v>
      </c>
      <c r="O1595" s="141">
        <v>4601004053991</v>
      </c>
    </row>
    <row r="1596" spans="1:15" s="1" customFormat="1" ht="11.45" customHeight="1" outlineLevel="4" x14ac:dyDescent="0.2">
      <c r="A1596" s="32" t="s">
        <v>16107</v>
      </c>
      <c r="B1596" s="74" t="s">
        <v>16108</v>
      </c>
      <c r="C1596" s="50"/>
      <c r="D1596" s="139">
        <f t="shared" si="24"/>
        <v>0</v>
      </c>
      <c r="E1596" s="140">
        <v>2.66</v>
      </c>
      <c r="F1596" s="140">
        <v>2.1800000000000002</v>
      </c>
      <c r="G1596" s="34" t="s">
        <v>100</v>
      </c>
      <c r="H1596" s="34" t="s">
        <v>39</v>
      </c>
      <c r="I1596" s="35">
        <v>50</v>
      </c>
      <c r="J1596" s="35">
        <v>50</v>
      </c>
      <c r="K1596" s="39">
        <v>5000</v>
      </c>
      <c r="L1596" s="60" t="str">
        <f>HYPERLINK("https://www.sds-group.ru/product/razem-shteker-antenny-dlya-avtomagnitoly-tip-3-rexant-16-0403/", "Инфо")</f>
        <v>Инфо</v>
      </c>
      <c r="M1596" s="37">
        <v>3.0000000000000001E-3</v>
      </c>
      <c r="N1596" s="38">
        <v>6.0000000000000002E-6</v>
      </c>
      <c r="O1596" s="141">
        <v>4601004053977</v>
      </c>
    </row>
    <row r="1597" spans="1:15" ht="11.45" customHeight="1" outlineLevel="3" x14ac:dyDescent="0.2">
      <c r="A1597" s="76" t="s">
        <v>16119</v>
      </c>
      <c r="B1597" s="136"/>
      <c r="C1597" s="77"/>
      <c r="D1597" s="137"/>
      <c r="E1597" s="4"/>
      <c r="F1597" s="4"/>
      <c r="G1597" s="4"/>
      <c r="H1597" s="4"/>
      <c r="I1597" s="4"/>
      <c r="J1597" s="4"/>
      <c r="K1597" s="4"/>
      <c r="L1597" s="138"/>
      <c r="M1597" s="4"/>
      <c r="N1597" s="4"/>
      <c r="O1597" s="4"/>
    </row>
    <row r="1598" spans="1:15" s="1" customFormat="1" ht="11.45" customHeight="1" outlineLevel="4" x14ac:dyDescent="0.2">
      <c r="A1598" s="32" t="s">
        <v>16142</v>
      </c>
      <c r="B1598" s="74" t="s">
        <v>16143</v>
      </c>
      <c r="C1598" s="50"/>
      <c r="D1598" s="139">
        <f t="shared" si="24"/>
        <v>0</v>
      </c>
      <c r="E1598" s="140">
        <v>70.11</v>
      </c>
      <c r="F1598" s="140">
        <v>57.47</v>
      </c>
      <c r="G1598" s="34" t="s">
        <v>100</v>
      </c>
      <c r="H1598" s="34" t="s">
        <v>4698</v>
      </c>
      <c r="I1598" s="35">
        <v>1</v>
      </c>
      <c r="J1598" s="35">
        <v>1</v>
      </c>
      <c r="K1598" s="39">
        <v>5000</v>
      </c>
      <c r="L1598" s="60" t="str">
        <f>HYPERLINK("https://www.sds-group.ru/product/nabor-plavkih-predohraniteley-tipa-agu-40a-rexant-80-7132/", "Инфо")</f>
        <v>Инфо</v>
      </c>
      <c r="M1598" s="37">
        <v>3.4000000000000002E-2</v>
      </c>
      <c r="N1598" s="38">
        <v>6.9999999999999994E-5</v>
      </c>
      <c r="O1598" s="141">
        <v>4601004097896</v>
      </c>
    </row>
    <row r="1599" spans="1:15" s="1" customFormat="1" ht="11.45" customHeight="1" outlineLevel="4" x14ac:dyDescent="0.2">
      <c r="A1599" s="32" t="s">
        <v>16144</v>
      </c>
      <c r="B1599" s="74" t="s">
        <v>16145</v>
      </c>
      <c r="C1599" s="50"/>
      <c r="D1599" s="139">
        <f t="shared" si="24"/>
        <v>0</v>
      </c>
      <c r="E1599" s="140">
        <v>79.010000000000005</v>
      </c>
      <c r="F1599" s="140">
        <v>64.760000000000005</v>
      </c>
      <c r="G1599" s="34" t="s">
        <v>100</v>
      </c>
      <c r="H1599" s="34" t="s">
        <v>4698</v>
      </c>
      <c r="I1599" s="35">
        <v>1</v>
      </c>
      <c r="J1599" s="35">
        <v>1</v>
      </c>
      <c r="K1599" s="39">
        <v>5000</v>
      </c>
      <c r="L1599" s="60" t="str">
        <f>HYPERLINK("https://www.sds-group.ru/product/nabor-plavkih-predohraniteley-tipa-agu-80a-rexant-80-7135/", "Инфо")</f>
        <v>Инфо</v>
      </c>
      <c r="M1599" s="37">
        <v>0.04</v>
      </c>
      <c r="N1599" s="38">
        <v>3.4999999999999997E-5</v>
      </c>
      <c r="O1599" s="141">
        <v>4601004097810</v>
      </c>
    </row>
    <row r="1600" spans="1:15" s="1" customFormat="1" ht="11.45" customHeight="1" outlineLevel="4" x14ac:dyDescent="0.2">
      <c r="A1600" s="32" t="s">
        <v>16153</v>
      </c>
      <c r="B1600" s="74" t="s">
        <v>16154</v>
      </c>
      <c r="C1600" s="50"/>
      <c r="D1600" s="139">
        <f t="shared" si="24"/>
        <v>0</v>
      </c>
      <c r="E1600" s="140">
        <v>0.77</v>
      </c>
      <c r="F1600" s="140">
        <v>0.63</v>
      </c>
      <c r="G1600" s="34" t="s">
        <v>100</v>
      </c>
      <c r="H1600" s="34" t="s">
        <v>39</v>
      </c>
      <c r="I1600" s="35">
        <v>50</v>
      </c>
      <c r="J1600" s="35">
        <v>50</v>
      </c>
      <c r="K1600" s="39">
        <v>10000</v>
      </c>
      <c r="L1600" s="60" t="str">
        <f>HYPERLINK("https://www.sds-group.ru/product/predohranitel-avtomobilnyy-mini-25a-rexant-80-7113/", "Инфо")</f>
        <v>Инфо</v>
      </c>
      <c r="M1600" s="37">
        <v>1E-3</v>
      </c>
      <c r="N1600" s="38">
        <v>9.9999999999999995E-7</v>
      </c>
      <c r="O1600" s="141">
        <v>4601004091245</v>
      </c>
    </row>
    <row r="1601" spans="1:15" ht="11.45" customHeight="1" outlineLevel="2" x14ac:dyDescent="0.2">
      <c r="A1601" s="76" t="s">
        <v>16253</v>
      </c>
      <c r="B1601" s="136"/>
      <c r="C1601" s="77"/>
      <c r="D1601" s="137"/>
      <c r="E1601" s="4"/>
      <c r="F1601" s="4"/>
      <c r="G1601" s="4"/>
      <c r="H1601" s="4"/>
      <c r="I1601" s="4"/>
      <c r="J1601" s="4"/>
      <c r="K1601" s="4"/>
      <c r="L1601" s="138"/>
      <c r="M1601" s="4"/>
      <c r="N1601" s="4"/>
      <c r="O1601" s="4"/>
    </row>
    <row r="1602" spans="1:15" ht="11.45" customHeight="1" outlineLevel="3" x14ac:dyDescent="0.2">
      <c r="A1602" s="82" t="s">
        <v>16261</v>
      </c>
      <c r="B1602" s="142"/>
      <c r="C1602" s="83"/>
      <c r="D1602" s="143"/>
      <c r="E1602" s="5"/>
      <c r="F1602" s="5"/>
      <c r="G1602" s="5"/>
      <c r="H1602" s="5"/>
      <c r="I1602" s="5"/>
      <c r="J1602" s="5"/>
      <c r="K1602" s="5"/>
      <c r="L1602" s="144"/>
      <c r="M1602" s="5"/>
      <c r="N1602" s="5"/>
      <c r="O1602" s="5"/>
    </row>
    <row r="1603" spans="1:15" s="1" customFormat="1" ht="11.45" customHeight="1" outlineLevel="4" x14ac:dyDescent="0.2">
      <c r="A1603" s="32" t="s">
        <v>16272</v>
      </c>
      <c r="B1603" s="74" t="s">
        <v>16273</v>
      </c>
      <c r="C1603" s="50"/>
      <c r="D1603" s="139">
        <f t="shared" si="24"/>
        <v>0</v>
      </c>
      <c r="E1603" s="140">
        <v>1218.03</v>
      </c>
      <c r="F1603" s="140">
        <v>998.39</v>
      </c>
      <c r="G1603" s="34" t="s">
        <v>100</v>
      </c>
      <c r="H1603" s="34" t="s">
        <v>1001</v>
      </c>
      <c r="I1603" s="35">
        <v>1</v>
      </c>
      <c r="J1603" s="35">
        <v>1</v>
      </c>
      <c r="K1603" s="35">
        <v>14</v>
      </c>
      <c r="L1603" s="60" t="str">
        <f>HYPERLINK("https://www.sds-group.ru/product/tsepi-braslety-protivoskolzheniya-dlya-krossoverov-odnoryadnye-6-sht-rexant-07-7025-1/", "Инфо")</f>
        <v>Инфо</v>
      </c>
      <c r="M1603" s="37">
        <v>1.167</v>
      </c>
      <c r="N1603" s="38">
        <v>1.748E-3</v>
      </c>
      <c r="O1603" s="141">
        <v>4601004247543</v>
      </c>
    </row>
    <row r="1604" spans="1:15" ht="11.45" customHeight="1" outlineLevel="3" x14ac:dyDescent="0.2">
      <c r="A1604" s="76" t="s">
        <v>16341</v>
      </c>
      <c r="B1604" s="136"/>
      <c r="C1604" s="77"/>
      <c r="D1604" s="137"/>
      <c r="E1604" s="4"/>
      <c r="F1604" s="4"/>
      <c r="G1604" s="4"/>
      <c r="H1604" s="4"/>
      <c r="I1604" s="4"/>
      <c r="J1604" s="4"/>
      <c r="K1604" s="4"/>
      <c r="L1604" s="138"/>
      <c r="M1604" s="4"/>
      <c r="N1604" s="4"/>
      <c r="O1604" s="4"/>
    </row>
    <row r="1605" spans="1:15" s="1" customFormat="1" ht="11.45" customHeight="1" outlineLevel="4" x14ac:dyDescent="0.2">
      <c r="A1605" s="32" t="s">
        <v>16342</v>
      </c>
      <c r="B1605" s="74" t="s">
        <v>16343</v>
      </c>
      <c r="C1605" s="50"/>
      <c r="D1605" s="139">
        <f t="shared" si="24"/>
        <v>0</v>
      </c>
      <c r="E1605" s="140">
        <v>90.95</v>
      </c>
      <c r="F1605" s="140">
        <v>74.55</v>
      </c>
      <c r="G1605" s="34" t="s">
        <v>100</v>
      </c>
      <c r="H1605" s="34" t="s">
        <v>39</v>
      </c>
      <c r="I1605" s="35">
        <v>1</v>
      </c>
      <c r="J1605" s="35">
        <v>1</v>
      </c>
      <c r="K1605" s="35">
        <v>1</v>
      </c>
      <c r="L1605" s="60" t="str">
        <f>HYPERLINK("https://www.sds-group.ru/product/karman-v-bagazhnik-na-lipuchke-universalnyy-25h20sm-rexant-80-0264/", "Инфо")</f>
        <v>Инфо</v>
      </c>
      <c r="M1605" s="37">
        <v>2.1000000000000001E-2</v>
      </c>
      <c r="N1605" s="38">
        <v>2.4899999999999998E-4</v>
      </c>
      <c r="O1605" s="141">
        <v>4601004255593</v>
      </c>
    </row>
    <row r="1606" spans="1:15" s="1" customFormat="1" ht="11.45" customHeight="1" outlineLevel="4" x14ac:dyDescent="0.2">
      <c r="A1606" s="32" t="s">
        <v>16344</v>
      </c>
      <c r="B1606" s="74" t="s">
        <v>16345</v>
      </c>
      <c r="C1606" s="50"/>
      <c r="D1606" s="139">
        <f t="shared" si="24"/>
        <v>0</v>
      </c>
      <c r="E1606" s="140">
        <v>378.95</v>
      </c>
      <c r="F1606" s="140">
        <v>310.61</v>
      </c>
      <c r="G1606" s="34" t="s">
        <v>100</v>
      </c>
      <c r="H1606" s="34" t="s">
        <v>39</v>
      </c>
      <c r="I1606" s="35">
        <v>1</v>
      </c>
      <c r="J1606" s="35">
        <v>1</v>
      </c>
      <c r="K1606" s="35">
        <v>1</v>
      </c>
      <c r="L1606" s="60" t="str">
        <f>HYPERLINK("https://www.sds-group.ru/product/nakidka-zaschitnaya-na-bamper-100h75sm-rexant-80-0270/", "Инфо")</f>
        <v>Инфо</v>
      </c>
      <c r="M1606" s="37">
        <v>0.20699999999999999</v>
      </c>
      <c r="N1606" s="38">
        <v>4.3870000000000003E-3</v>
      </c>
      <c r="O1606" s="141">
        <v>4601004255654</v>
      </c>
    </row>
    <row r="1607" spans="1:15" s="1" customFormat="1" ht="11.45" customHeight="1" outlineLevel="4" x14ac:dyDescent="0.2">
      <c r="A1607" s="32" t="s">
        <v>16346</v>
      </c>
      <c r="B1607" s="74" t="s">
        <v>16347</v>
      </c>
      <c r="C1607" s="50"/>
      <c r="D1607" s="139">
        <f t="shared" si="24"/>
        <v>0</v>
      </c>
      <c r="E1607" s="140">
        <v>165.91</v>
      </c>
      <c r="F1607" s="140">
        <v>135.99</v>
      </c>
      <c r="G1607" s="34" t="s">
        <v>100</v>
      </c>
      <c r="H1607" s="34" t="s">
        <v>39</v>
      </c>
      <c r="I1607" s="35">
        <v>1</v>
      </c>
      <c r="J1607" s="35">
        <v>1</v>
      </c>
      <c r="K1607" s="35">
        <v>1</v>
      </c>
      <c r="L1607" s="60" t="str">
        <f>HYPERLINK("https://www.sds-group.ru/product/nakidka-zaschitnaya-na-spinku-perednego-sidenya-60h50sm-pvh-prozrachnaya-rexant-80-0268/", "Инфо")</f>
        <v>Инфо</v>
      </c>
      <c r="M1607" s="37">
        <v>6.8000000000000005E-2</v>
      </c>
      <c r="N1607" s="38">
        <v>3.97E-4</v>
      </c>
      <c r="O1607" s="141">
        <v>4601004255630</v>
      </c>
    </row>
    <row r="1608" spans="1:15" s="1" customFormat="1" ht="11.45" customHeight="1" outlineLevel="4" x14ac:dyDescent="0.2">
      <c r="A1608" s="32" t="s">
        <v>16348</v>
      </c>
      <c r="B1608" s="74" t="s">
        <v>16349</v>
      </c>
      <c r="C1608" s="50"/>
      <c r="D1608" s="139">
        <f t="shared" si="24"/>
        <v>0</v>
      </c>
      <c r="E1608" s="140">
        <v>174.01</v>
      </c>
      <c r="F1608" s="140">
        <v>142.63</v>
      </c>
      <c r="G1608" s="34" t="s">
        <v>100</v>
      </c>
      <c r="H1608" s="34" t="s">
        <v>39</v>
      </c>
      <c r="I1608" s="35">
        <v>1</v>
      </c>
      <c r="J1608" s="35">
        <v>1</v>
      </c>
      <c r="K1608" s="35">
        <v>1</v>
      </c>
      <c r="L1608" s="60" t="str">
        <f>HYPERLINK("https://www.sds-group.ru/product/nakidka-zaschitnaya-na-spinku-perednego-sidenya-60h50sm-tkan-oksford-chernaya-rexant-80-0269/", "Инфо")</f>
        <v>Инфо</v>
      </c>
      <c r="M1608" s="37">
        <v>0.108</v>
      </c>
      <c r="N1608" s="38">
        <v>6.9800000000000005E-4</v>
      </c>
      <c r="O1608" s="141">
        <v>4601004255647</v>
      </c>
    </row>
    <row r="1609" spans="1:15" s="1" customFormat="1" ht="11.45" customHeight="1" outlineLevel="4" x14ac:dyDescent="0.2">
      <c r="A1609" s="32" t="s">
        <v>16350</v>
      </c>
      <c r="B1609" s="74" t="s">
        <v>16351</v>
      </c>
      <c r="C1609" s="50"/>
      <c r="D1609" s="139">
        <f t="shared" si="24"/>
        <v>0</v>
      </c>
      <c r="E1609" s="140">
        <v>305.92</v>
      </c>
      <c r="F1609" s="140">
        <v>250.75</v>
      </c>
      <c r="G1609" s="34" t="s">
        <v>100</v>
      </c>
      <c r="H1609" s="34" t="s">
        <v>39</v>
      </c>
      <c r="I1609" s="35">
        <v>1</v>
      </c>
      <c r="J1609" s="35">
        <v>1</v>
      </c>
      <c r="K1609" s="35">
        <v>1</v>
      </c>
      <c r="L1609" s="60" t="str">
        <f>HYPERLINK("https://www.sds-group.ru/product/nakidka-zaschitnaya-pod-detskoe-avtokreslo-s-karmanom-rexant-80-0267/", "Инфо")</f>
        <v>Инфо</v>
      </c>
      <c r="M1609" s="37">
        <v>0.23400000000000001</v>
      </c>
      <c r="N1609" s="38">
        <v>3.251E-3</v>
      </c>
      <c r="O1609" s="141">
        <v>4601004255623</v>
      </c>
    </row>
    <row r="1610" spans="1:15" s="1" customFormat="1" ht="11.45" customHeight="1" outlineLevel="4" x14ac:dyDescent="0.2">
      <c r="A1610" s="32" t="s">
        <v>16352</v>
      </c>
      <c r="B1610" s="74" t="s">
        <v>16353</v>
      </c>
      <c r="C1610" s="50"/>
      <c r="D1610" s="139">
        <f t="shared" si="24"/>
        <v>0</v>
      </c>
      <c r="E1610" s="140">
        <v>435.79</v>
      </c>
      <c r="F1610" s="140">
        <v>357.2</v>
      </c>
      <c r="G1610" s="34" t="s">
        <v>100</v>
      </c>
      <c r="H1610" s="34" t="s">
        <v>39</v>
      </c>
      <c r="I1610" s="35">
        <v>1</v>
      </c>
      <c r="J1610" s="35">
        <v>1</v>
      </c>
      <c r="K1610" s="35">
        <v>1</v>
      </c>
      <c r="L1610" s="60" t="str">
        <f>HYPERLINK("https://www.sds-group.ru/product/nakidka-zaschitnaya-pod-detskoe-avtokreslo-so-spinkoy-i-karmanom-rexant-80-0266/", "Инфо")</f>
        <v>Инфо</v>
      </c>
      <c r="M1610" s="37">
        <v>0.41399999999999998</v>
      </c>
      <c r="N1610" s="38">
        <v>6.4720000000000003E-3</v>
      </c>
      <c r="O1610" s="141">
        <v>4601004255616</v>
      </c>
    </row>
    <row r="1611" spans="1:15" s="1" customFormat="1" ht="11.45" customHeight="1" outlineLevel="4" x14ac:dyDescent="0.2">
      <c r="A1611" s="32" t="s">
        <v>16358</v>
      </c>
      <c r="B1611" s="74" t="s">
        <v>16359</v>
      </c>
      <c r="C1611" s="50"/>
      <c r="D1611" s="139">
        <f t="shared" ref="D1611:D1674" si="25">C1611*E1611</f>
        <v>0</v>
      </c>
      <c r="E1611" s="140">
        <v>633.29999999999995</v>
      </c>
      <c r="F1611" s="140">
        <v>519.1</v>
      </c>
      <c r="G1611" s="34" t="s">
        <v>100</v>
      </c>
      <c r="H1611" s="34" t="s">
        <v>39</v>
      </c>
      <c r="I1611" s="35">
        <v>1</v>
      </c>
      <c r="J1611" s="35">
        <v>1</v>
      </c>
      <c r="K1611" s="35">
        <v>1</v>
      </c>
      <c r="L1611" s="60" t="str">
        <f>HYPERLINK("https://www.sds-group.ru/product/organayzer-na-spinku-zadnego-sidenya-bolshoy-rexant-80-0262/", "Инфо")</f>
        <v>Инфо</v>
      </c>
      <c r="M1611" s="37">
        <v>0.505</v>
      </c>
      <c r="N1611" s="38">
        <v>3.8349999999999999E-3</v>
      </c>
      <c r="O1611" s="141">
        <v>4601004255579</v>
      </c>
    </row>
    <row r="1612" spans="1:15" s="1" customFormat="1" ht="11.45" customHeight="1" outlineLevel="4" x14ac:dyDescent="0.2">
      <c r="A1612" s="32" t="s">
        <v>16360</v>
      </c>
      <c r="B1612" s="74" t="s">
        <v>16361</v>
      </c>
      <c r="C1612" s="50"/>
      <c r="D1612" s="139">
        <f t="shared" si="25"/>
        <v>0</v>
      </c>
      <c r="E1612" s="140">
        <v>447.16</v>
      </c>
      <c r="F1612" s="140">
        <v>366.52</v>
      </c>
      <c r="G1612" s="34" t="s">
        <v>100</v>
      </c>
      <c r="H1612" s="34" t="s">
        <v>39</v>
      </c>
      <c r="I1612" s="35">
        <v>1</v>
      </c>
      <c r="J1612" s="35">
        <v>1</v>
      </c>
      <c r="K1612" s="35">
        <v>1</v>
      </c>
      <c r="L1612" s="60" t="str">
        <f>HYPERLINK("https://www.sds-group.ru/product/organayzer-na-spinku-zadnego-sidenya-malyy-rexant-80-0263/", "Инфо")</f>
        <v>Инфо</v>
      </c>
      <c r="M1612" s="37">
        <v>0.33800000000000002</v>
      </c>
      <c r="N1612" s="38">
        <v>2.725E-3</v>
      </c>
      <c r="O1612" s="141">
        <v>4601004255586</v>
      </c>
    </row>
    <row r="1613" spans="1:15" ht="11.45" customHeight="1" outlineLevel="3" x14ac:dyDescent="0.2">
      <c r="A1613" s="76" t="s">
        <v>16362</v>
      </c>
      <c r="B1613" s="136"/>
      <c r="C1613" s="77"/>
      <c r="D1613" s="137"/>
      <c r="E1613" s="4"/>
      <c r="F1613" s="4"/>
      <c r="G1613" s="4"/>
      <c r="H1613" s="4"/>
      <c r="I1613" s="4"/>
      <c r="J1613" s="4"/>
      <c r="K1613" s="4"/>
      <c r="L1613" s="138"/>
      <c r="M1613" s="4"/>
      <c r="N1613" s="4"/>
      <c r="O1613" s="4"/>
    </row>
    <row r="1614" spans="1:15" s="1" customFormat="1" ht="11.45" customHeight="1" outlineLevel="4" x14ac:dyDescent="0.2">
      <c r="A1614" s="32" t="s">
        <v>16363</v>
      </c>
      <c r="B1614" s="74" t="s">
        <v>16364</v>
      </c>
      <c r="C1614" s="50"/>
      <c r="D1614" s="139">
        <f t="shared" si="25"/>
        <v>0</v>
      </c>
      <c r="E1614" s="140">
        <v>768.86</v>
      </c>
      <c r="F1614" s="140">
        <v>630.21</v>
      </c>
      <c r="G1614" s="34" t="s">
        <v>100</v>
      </c>
      <c r="H1614" s="34" t="s">
        <v>39</v>
      </c>
      <c r="I1614" s="35">
        <v>1</v>
      </c>
      <c r="J1614" s="35">
        <v>1</v>
      </c>
      <c r="K1614" s="35">
        <v>20</v>
      </c>
      <c r="L1614" s="60" t="str">
        <f>HYPERLINK("https://www.sds-group.ru/product/sumka-holodilnik-termosumka-10l-2-sloya-utepleniya-s-karmanami-chetyre-sezona-80-0282/", "Инфо")</f>
        <v>Инфо</v>
      </c>
      <c r="M1614" s="37">
        <v>0.29299999999999998</v>
      </c>
      <c r="N1614" s="38">
        <v>4.3969999999999999E-3</v>
      </c>
      <c r="O1614" s="141">
        <v>4601004260238</v>
      </c>
    </row>
    <row r="1615" spans="1:15" s="1" customFormat="1" ht="11.45" customHeight="1" outlineLevel="4" x14ac:dyDescent="0.2">
      <c r="A1615" s="32" t="s">
        <v>16365</v>
      </c>
      <c r="B1615" s="74" t="s">
        <v>16366</v>
      </c>
      <c r="C1615" s="50"/>
      <c r="D1615" s="139">
        <f t="shared" si="25"/>
        <v>0</v>
      </c>
      <c r="E1615" s="140">
        <v>607</v>
      </c>
      <c r="F1615" s="140">
        <v>497.54</v>
      </c>
      <c r="G1615" s="34" t="s">
        <v>100</v>
      </c>
      <c r="H1615" s="34" t="s">
        <v>39</v>
      </c>
      <c r="I1615" s="35">
        <v>1</v>
      </c>
      <c r="J1615" s="35">
        <v>1</v>
      </c>
      <c r="K1615" s="35">
        <v>26</v>
      </c>
      <c r="L1615" s="60" t="str">
        <f>HYPERLINK("https://www.sds-group.ru/product/sumka-holodilnik-termosumka-15l-chetyre-sezona-80-0286/", "Инфо")</f>
        <v>Инфо</v>
      </c>
      <c r="M1615" s="37">
        <v>0.217</v>
      </c>
      <c r="N1615" s="38">
        <v>4.7759999999999999E-3</v>
      </c>
      <c r="O1615" s="141">
        <v>4601004260276</v>
      </c>
    </row>
    <row r="1616" spans="1:15" s="1" customFormat="1" ht="11.45" customHeight="1" outlineLevel="4" x14ac:dyDescent="0.2">
      <c r="A1616" s="32" t="s">
        <v>16377</v>
      </c>
      <c r="B1616" s="74" t="s">
        <v>16378</v>
      </c>
      <c r="C1616" s="50"/>
      <c r="D1616" s="139">
        <f t="shared" si="25"/>
        <v>0</v>
      </c>
      <c r="E1616" s="140">
        <v>566.12</v>
      </c>
      <c r="F1616" s="140">
        <v>464.03</v>
      </c>
      <c r="G1616" s="34" t="s">
        <v>100</v>
      </c>
      <c r="H1616" s="34" t="s">
        <v>39</v>
      </c>
      <c r="I1616" s="35">
        <v>1</v>
      </c>
      <c r="J1616" s="35">
        <v>1</v>
      </c>
      <c r="K1616" s="35">
        <v>30</v>
      </c>
      <c r="L1616" s="60" t="str">
        <f>HYPERLINK("https://www.sds-group.ru/product/sumka-holodilnik-termosumka-6l-2-sloya-utepleniya-chetyre-sezona-80-0281/", "Инфо")</f>
        <v>Инфо</v>
      </c>
      <c r="M1616" s="37">
        <v>0.18099999999999999</v>
      </c>
      <c r="N1616" s="38">
        <v>3.5750000000000001E-3</v>
      </c>
      <c r="O1616" s="141">
        <v>4601004260306</v>
      </c>
    </row>
    <row r="1617" spans="1:15" ht="11.45" customHeight="1" outlineLevel="2" x14ac:dyDescent="0.2">
      <c r="A1617" s="76" t="s">
        <v>16586</v>
      </c>
      <c r="B1617" s="136"/>
      <c r="C1617" s="77"/>
      <c r="D1617" s="137"/>
      <c r="E1617" s="4"/>
      <c r="F1617" s="4"/>
      <c r="G1617" s="4"/>
      <c r="H1617" s="4"/>
      <c r="I1617" s="4"/>
      <c r="J1617" s="4"/>
      <c r="K1617" s="4"/>
      <c r="L1617" s="138"/>
      <c r="M1617" s="4"/>
      <c r="N1617" s="4"/>
      <c r="O1617" s="4"/>
    </row>
    <row r="1618" spans="1:15" ht="11.45" customHeight="1" outlineLevel="3" x14ac:dyDescent="0.2">
      <c r="A1618" s="76" t="s">
        <v>16590</v>
      </c>
      <c r="B1618" s="136"/>
      <c r="C1618" s="77"/>
      <c r="D1618" s="137"/>
      <c r="E1618" s="4"/>
      <c r="F1618" s="4"/>
      <c r="G1618" s="4"/>
      <c r="H1618" s="4"/>
      <c r="I1618" s="4"/>
      <c r="J1618" s="4"/>
      <c r="K1618" s="4"/>
      <c r="L1618" s="138"/>
      <c r="M1618" s="4"/>
      <c r="N1618" s="4"/>
      <c r="O1618" s="4"/>
    </row>
    <row r="1619" spans="1:15" s="1" customFormat="1" ht="11.45" customHeight="1" outlineLevel="4" x14ac:dyDescent="0.2">
      <c r="A1619" s="32" t="s">
        <v>16591</v>
      </c>
      <c r="B1619" s="74" t="s">
        <v>16592</v>
      </c>
      <c r="C1619" s="50"/>
      <c r="D1619" s="139">
        <f t="shared" si="25"/>
        <v>0</v>
      </c>
      <c r="E1619" s="140">
        <v>6.55</v>
      </c>
      <c r="F1619" s="140">
        <v>5.37</v>
      </c>
      <c r="G1619" s="34" t="s">
        <v>100</v>
      </c>
      <c r="H1619" s="34" t="s">
        <v>1001</v>
      </c>
      <c r="I1619" s="35">
        <v>1</v>
      </c>
      <c r="J1619" s="35">
        <v>1</v>
      </c>
      <c r="K1619" s="39">
        <v>1250</v>
      </c>
      <c r="L1619" s="60" t="str">
        <f>HYPERLINK("https://www.sds-group.ru/product/zazhim-krokodil-v-izolyatore-dlina-40mm-tok-5a-2-sht-paket-bopp-rexant-16-0001-9/", "Инфо")</f>
        <v>Инфо</v>
      </c>
      <c r="M1619" s="37">
        <v>4.0000000000000001E-3</v>
      </c>
      <c r="N1619" s="38">
        <v>2.8E-5</v>
      </c>
      <c r="O1619" s="141">
        <v>4601004048522</v>
      </c>
    </row>
    <row r="1620" spans="1:15" s="1" customFormat="1" ht="11.45" customHeight="1" outlineLevel="4" x14ac:dyDescent="0.2">
      <c r="A1620" s="32" t="s">
        <v>16593</v>
      </c>
      <c r="B1620" s="74" t="s">
        <v>16594</v>
      </c>
      <c r="C1620" s="50"/>
      <c r="D1620" s="139">
        <f t="shared" si="25"/>
        <v>0</v>
      </c>
      <c r="E1620" s="140">
        <v>5.69</v>
      </c>
      <c r="F1620" s="140">
        <v>4.66</v>
      </c>
      <c r="G1620" s="34" t="s">
        <v>100</v>
      </c>
      <c r="H1620" s="34" t="s">
        <v>1001</v>
      </c>
      <c r="I1620" s="35">
        <v>1</v>
      </c>
      <c r="J1620" s="35">
        <v>1</v>
      </c>
      <c r="K1620" s="39">
        <v>1250</v>
      </c>
      <c r="L1620" s="60" t="str">
        <f>HYPERLINK("https://www.sds-group.ru/product/zazhim-krokodil-v-izolyatore-dlina-46mm-tok-5a-2-sht-paket-bopp-rexant-16-0002-9/", "Инфо")</f>
        <v>Инфо</v>
      </c>
      <c r="M1620" s="37">
        <v>5.0000000000000001E-3</v>
      </c>
      <c r="N1620" s="38">
        <v>2.8E-5</v>
      </c>
      <c r="O1620" s="141">
        <v>4601004048652</v>
      </c>
    </row>
    <row r="1621" spans="1:15" ht="11.45" customHeight="1" outlineLevel="1" x14ac:dyDescent="0.2">
      <c r="A1621" s="78" t="s">
        <v>16728</v>
      </c>
      <c r="B1621" s="132"/>
      <c r="C1621" s="79"/>
      <c r="D1621" s="133"/>
      <c r="E1621" s="134"/>
      <c r="F1621" s="134"/>
      <c r="G1621" s="134"/>
      <c r="H1621" s="134"/>
      <c r="I1621" s="134"/>
      <c r="J1621" s="134"/>
      <c r="K1621" s="134"/>
      <c r="L1621" s="135"/>
      <c r="M1621" s="134"/>
      <c r="N1621" s="134"/>
      <c r="O1621" s="134"/>
    </row>
    <row r="1622" spans="1:15" ht="11.45" customHeight="1" outlineLevel="2" x14ac:dyDescent="0.2">
      <c r="A1622" s="76" t="s">
        <v>16729</v>
      </c>
      <c r="B1622" s="136"/>
      <c r="C1622" s="77"/>
      <c r="D1622" s="137"/>
      <c r="E1622" s="4"/>
      <c r="F1622" s="4"/>
      <c r="G1622" s="4"/>
      <c r="H1622" s="4"/>
      <c r="I1622" s="4"/>
      <c r="J1622" s="4"/>
      <c r="K1622" s="4"/>
      <c r="L1622" s="138"/>
      <c r="M1622" s="4"/>
      <c r="N1622" s="4"/>
      <c r="O1622" s="4"/>
    </row>
    <row r="1623" spans="1:15" ht="11.45" customHeight="1" outlineLevel="3" x14ac:dyDescent="0.2">
      <c r="A1623" s="76" t="s">
        <v>16730</v>
      </c>
      <c r="B1623" s="136"/>
      <c r="C1623" s="77"/>
      <c r="D1623" s="137"/>
      <c r="E1623" s="4"/>
      <c r="F1623" s="4"/>
      <c r="G1623" s="4"/>
      <c r="H1623" s="4"/>
      <c r="I1623" s="4"/>
      <c r="J1623" s="4"/>
      <c r="K1623" s="4"/>
      <c r="L1623" s="138"/>
      <c r="M1623" s="4"/>
      <c r="N1623" s="4"/>
      <c r="O1623" s="4"/>
    </row>
    <row r="1624" spans="1:15" s="1" customFormat="1" ht="11.45" customHeight="1" outlineLevel="4" x14ac:dyDescent="0.2">
      <c r="A1624" s="32" t="s">
        <v>16737</v>
      </c>
      <c r="B1624" s="74" t="s">
        <v>16738</v>
      </c>
      <c r="C1624" s="50"/>
      <c r="D1624" s="139">
        <f t="shared" si="25"/>
        <v>0</v>
      </c>
      <c r="E1624" s="140">
        <v>95.96</v>
      </c>
      <c r="F1624" s="140">
        <v>78.66</v>
      </c>
      <c r="G1624" s="34" t="s">
        <v>100</v>
      </c>
      <c r="H1624" s="34" t="s">
        <v>39</v>
      </c>
      <c r="I1624" s="35">
        <v>1</v>
      </c>
      <c r="J1624" s="35">
        <v>1</v>
      </c>
      <c r="K1624" s="35">
        <v>100</v>
      </c>
      <c r="L1624" s="60" t="str">
        <f>HYPERLINK("https://www.sds-group.ru/product/kabel-type-c-lightning-2-4a-1m-pvh-belyy-rexant-18-1898/", "Инфо")</f>
        <v>Инфо</v>
      </c>
      <c r="M1624" s="37">
        <v>4.1000000000000002E-2</v>
      </c>
      <c r="N1624" s="38">
        <v>3.57E-4</v>
      </c>
      <c r="O1624" s="141">
        <v>4601004183988</v>
      </c>
    </row>
    <row r="1625" spans="1:15" s="1" customFormat="1" ht="11.45" customHeight="1" outlineLevel="4" x14ac:dyDescent="0.2">
      <c r="A1625" s="32" t="s">
        <v>16739</v>
      </c>
      <c r="B1625" s="74" t="s">
        <v>16740</v>
      </c>
      <c r="C1625" s="50"/>
      <c r="D1625" s="139">
        <f t="shared" si="25"/>
        <v>0</v>
      </c>
      <c r="E1625" s="140">
        <v>76.88</v>
      </c>
      <c r="F1625" s="140">
        <v>63.02</v>
      </c>
      <c r="G1625" s="34" t="s">
        <v>100</v>
      </c>
      <c r="H1625" s="34" t="s">
        <v>39</v>
      </c>
      <c r="I1625" s="35">
        <v>1</v>
      </c>
      <c r="J1625" s="35">
        <v>1</v>
      </c>
      <c r="K1625" s="35">
        <v>200</v>
      </c>
      <c r="L1625" s="60" t="str">
        <f>HYPERLINK("https://www.sds-group.ru/product/kabel-type-c-lightning-3a-1m-pvh-chernyy-rexant-18-1827/", "Инфо")</f>
        <v>Инфо</v>
      </c>
      <c r="M1625" s="37">
        <v>3.1E-2</v>
      </c>
      <c r="N1625" s="38">
        <v>2.81E-4</v>
      </c>
      <c r="O1625" s="141">
        <v>4601004243590</v>
      </c>
    </row>
    <row r="1626" spans="1:15" s="1" customFormat="1" ht="11.45" customHeight="1" outlineLevel="4" x14ac:dyDescent="0.2">
      <c r="A1626" s="32" t="s">
        <v>16741</v>
      </c>
      <c r="B1626" s="74" t="s">
        <v>16742</v>
      </c>
      <c r="C1626" s="50"/>
      <c r="D1626" s="139">
        <f t="shared" si="25"/>
        <v>0</v>
      </c>
      <c r="E1626" s="140">
        <v>116.58</v>
      </c>
      <c r="F1626" s="140">
        <v>95.56</v>
      </c>
      <c r="G1626" s="34" t="s">
        <v>100</v>
      </c>
      <c r="H1626" s="34" t="s">
        <v>39</v>
      </c>
      <c r="I1626" s="35">
        <v>1</v>
      </c>
      <c r="J1626" s="35">
        <v>1</v>
      </c>
      <c r="K1626" s="35">
        <v>100</v>
      </c>
      <c r="L1626" s="60" t="str">
        <f>HYPERLINK("https://www.sds-group.ru/product/kabel-type-c-lightning-3a-1m-v-neylonovoy-seroy-opletke-power-delivery-rexant-18-1826/", "Инфо")</f>
        <v>Инфо</v>
      </c>
      <c r="M1626" s="37">
        <v>0.02</v>
      </c>
      <c r="N1626" s="38">
        <v>1.8900000000000001E-4</v>
      </c>
      <c r="O1626" s="141">
        <v>4601004243606</v>
      </c>
    </row>
    <row r="1627" spans="1:15" s="1" customFormat="1" ht="11.45" customHeight="1" outlineLevel="4" x14ac:dyDescent="0.2">
      <c r="A1627" s="32" t="s">
        <v>16755</v>
      </c>
      <c r="B1627" s="74" t="s">
        <v>16756</v>
      </c>
      <c r="C1627" s="50"/>
      <c r="D1627" s="139">
        <f t="shared" si="25"/>
        <v>0</v>
      </c>
      <c r="E1627" s="140">
        <v>84.82</v>
      </c>
      <c r="F1627" s="140">
        <v>69.52</v>
      </c>
      <c r="G1627" s="34" t="s">
        <v>100</v>
      </c>
      <c r="H1627" s="34" t="s">
        <v>39</v>
      </c>
      <c r="I1627" s="35">
        <v>1</v>
      </c>
      <c r="J1627" s="35">
        <v>1</v>
      </c>
      <c r="K1627" s="35">
        <v>100</v>
      </c>
      <c r="L1627" s="60" t="str">
        <f>HYPERLINK("https://www.sds-group.ru/product/kabel-usb-a-lightning-2-4a-1m-v-siney-neylonovoy-opletke-ploskiy-rexant-18-7053/", "Инфо")</f>
        <v>Инфо</v>
      </c>
      <c r="M1627" s="37">
        <v>3.6999999999999998E-2</v>
      </c>
      <c r="N1627" s="38">
        <v>2.3000000000000001E-4</v>
      </c>
      <c r="O1627" s="141">
        <v>4601004181984</v>
      </c>
    </row>
    <row r="1628" spans="1:15" s="1" customFormat="1" ht="11.45" customHeight="1" outlineLevel="4" x14ac:dyDescent="0.2">
      <c r="A1628" s="32" t="s">
        <v>16759</v>
      </c>
      <c r="B1628" s="74" t="s">
        <v>16760</v>
      </c>
      <c r="C1628" s="50"/>
      <c r="D1628" s="139">
        <f t="shared" si="25"/>
        <v>0</v>
      </c>
      <c r="E1628" s="140">
        <v>97.81</v>
      </c>
      <c r="F1628" s="140">
        <v>80.17</v>
      </c>
      <c r="G1628" s="34" t="s">
        <v>100</v>
      </c>
      <c r="H1628" s="34" t="s">
        <v>39</v>
      </c>
      <c r="I1628" s="35">
        <v>1</v>
      </c>
      <c r="J1628" s="35">
        <v>1</v>
      </c>
      <c r="K1628" s="35">
        <v>100</v>
      </c>
      <c r="L1628" s="60" t="str">
        <f>HYPERLINK("https://www.sds-group.ru/product/kabel-usb-a-lightning-2-4a-1m-v-zolotoy-metallicheskoy-opletke-rexant-18-4252/", "Инфо")</f>
        <v>Инфо</v>
      </c>
      <c r="M1628" s="37">
        <v>0.05</v>
      </c>
      <c r="N1628" s="38">
        <v>1.46E-4</v>
      </c>
      <c r="O1628" s="141">
        <v>4601004299276</v>
      </c>
    </row>
    <row r="1629" spans="1:15" s="1" customFormat="1" ht="11.45" customHeight="1" outlineLevel="4" x14ac:dyDescent="0.2">
      <c r="A1629" s="32" t="s">
        <v>16775</v>
      </c>
      <c r="B1629" s="74" t="s">
        <v>16776</v>
      </c>
      <c r="C1629" s="50"/>
      <c r="D1629" s="139">
        <f t="shared" si="25"/>
        <v>0</v>
      </c>
      <c r="E1629" s="140">
        <v>327.05</v>
      </c>
      <c r="F1629" s="140">
        <v>268.07</v>
      </c>
      <c r="G1629" s="34" t="s">
        <v>100</v>
      </c>
      <c r="H1629" s="34" t="s">
        <v>39</v>
      </c>
      <c r="I1629" s="35">
        <v>1</v>
      </c>
      <c r="J1629" s="35">
        <v>1</v>
      </c>
      <c r="K1629" s="35">
        <v>200</v>
      </c>
      <c r="L1629" s="60" t="str">
        <f>HYPERLINK("https://www.sds-group.ru/product/kabel-usb-a-lightning-2-4a-1m-pvh-belyy-original-chip-mfi-rexant-18-0000/", "Инфо")</f>
        <v>Инфо</v>
      </c>
      <c r="M1629" s="37">
        <v>3.5000000000000003E-2</v>
      </c>
      <c r="N1629" s="38">
        <v>2.13E-4</v>
      </c>
      <c r="O1629" s="141">
        <v>4601004028227</v>
      </c>
    </row>
    <row r="1630" spans="1:15" s="1" customFormat="1" ht="11.45" customHeight="1" outlineLevel="4" x14ac:dyDescent="0.2">
      <c r="A1630" s="32" t="s">
        <v>16777</v>
      </c>
      <c r="B1630" s="74" t="s">
        <v>16778</v>
      </c>
      <c r="C1630" s="50"/>
      <c r="D1630" s="139">
        <f t="shared" si="25"/>
        <v>0</v>
      </c>
      <c r="E1630" s="140">
        <v>62.02</v>
      </c>
      <c r="F1630" s="140">
        <v>50.84</v>
      </c>
      <c r="G1630" s="34" t="s">
        <v>100</v>
      </c>
      <c r="H1630" s="34" t="s">
        <v>39</v>
      </c>
      <c r="I1630" s="35">
        <v>1</v>
      </c>
      <c r="J1630" s="35">
        <v>1</v>
      </c>
      <c r="K1630" s="35">
        <v>100</v>
      </c>
      <c r="L1630" s="60" t="str">
        <f>HYPERLINK("https://www.sds-group.ru/product/kabel-usb-a-lightning-2-4a-1m-pvh-chernyy-rexant-18-7050/", "Инфо")</f>
        <v>Инфо</v>
      </c>
      <c r="M1630" s="37">
        <v>4.2999999999999997E-2</v>
      </c>
      <c r="N1630" s="38">
        <v>3.5E-4</v>
      </c>
      <c r="O1630" s="141">
        <v>4601004181946</v>
      </c>
    </row>
    <row r="1631" spans="1:15" ht="11.45" customHeight="1" outlineLevel="3" x14ac:dyDescent="0.2">
      <c r="A1631" s="76" t="s">
        <v>16782</v>
      </c>
      <c r="B1631" s="136"/>
      <c r="C1631" s="77"/>
      <c r="D1631" s="137"/>
      <c r="E1631" s="4"/>
      <c r="F1631" s="4"/>
      <c r="G1631" s="4"/>
      <c r="H1631" s="4"/>
      <c r="I1631" s="4"/>
      <c r="J1631" s="4"/>
      <c r="K1631" s="4"/>
      <c r="L1631" s="138"/>
      <c r="M1631" s="4"/>
      <c r="N1631" s="4"/>
      <c r="O1631" s="4"/>
    </row>
    <row r="1632" spans="1:15" s="1" customFormat="1" ht="11.45" customHeight="1" outlineLevel="4" x14ac:dyDescent="0.2">
      <c r="A1632" s="32" t="s">
        <v>16783</v>
      </c>
      <c r="B1632" s="74" t="s">
        <v>16784</v>
      </c>
      <c r="C1632" s="50"/>
      <c r="D1632" s="139">
        <f t="shared" si="25"/>
        <v>0</v>
      </c>
      <c r="E1632" s="140">
        <v>109.47</v>
      </c>
      <c r="F1632" s="140">
        <v>89.73</v>
      </c>
      <c r="G1632" s="34" t="s">
        <v>100</v>
      </c>
      <c r="H1632" s="34" t="s">
        <v>39</v>
      </c>
      <c r="I1632" s="35">
        <v>10</v>
      </c>
      <c r="J1632" s="35">
        <v>10</v>
      </c>
      <c r="K1632" s="35">
        <v>100</v>
      </c>
      <c r="L1632" s="60" t="str">
        <f>HYPERLINK("https://www.sds-group.ru/product/kabel-usb-a-micro-usb-1a-1-8m-pvh-belyy-rexant-18-1164/", "Инфо")</f>
        <v>Инфо</v>
      </c>
      <c r="M1632" s="37">
        <v>4.9000000000000002E-2</v>
      </c>
      <c r="N1632" s="38">
        <v>2.4000000000000001E-4</v>
      </c>
      <c r="O1632" s="141">
        <v>4660008015824</v>
      </c>
    </row>
    <row r="1633" spans="1:15" s="1" customFormat="1" ht="11.45" customHeight="1" outlineLevel="4" x14ac:dyDescent="0.2">
      <c r="A1633" s="32" t="s">
        <v>16785</v>
      </c>
      <c r="B1633" s="74" t="s">
        <v>16786</v>
      </c>
      <c r="C1633" s="50"/>
      <c r="D1633" s="139">
        <f t="shared" si="25"/>
        <v>0</v>
      </c>
      <c r="E1633" s="140">
        <v>79.25</v>
      </c>
      <c r="F1633" s="140">
        <v>64.959999999999994</v>
      </c>
      <c r="G1633" s="34" t="s">
        <v>100</v>
      </c>
      <c r="H1633" s="34" t="s">
        <v>39</v>
      </c>
      <c r="I1633" s="35">
        <v>10</v>
      </c>
      <c r="J1633" s="35">
        <v>10</v>
      </c>
      <c r="K1633" s="35">
        <v>100</v>
      </c>
      <c r="L1633" s="60" t="str">
        <f>HYPERLINK("https://www.sds-group.ru/product/kabel-usb-a-micro-usb-1a-1-8m-pvh-chernyy-rexant-18-1164-2/", "Инфо")</f>
        <v>Инфо</v>
      </c>
      <c r="M1633" s="37">
        <v>5.1999999999999998E-2</v>
      </c>
      <c r="N1633" s="38">
        <v>2.3800000000000001E-4</v>
      </c>
      <c r="O1633" s="141">
        <v>4601004002449</v>
      </c>
    </row>
    <row r="1634" spans="1:15" s="1" customFormat="1" ht="11.45" customHeight="1" outlineLevel="4" x14ac:dyDescent="0.2">
      <c r="A1634" s="32" t="s">
        <v>16787</v>
      </c>
      <c r="B1634" s="74" t="s">
        <v>16788</v>
      </c>
      <c r="C1634" s="50"/>
      <c r="D1634" s="139">
        <f t="shared" si="25"/>
        <v>0</v>
      </c>
      <c r="E1634" s="140">
        <v>58.96</v>
      </c>
      <c r="F1634" s="140">
        <v>48.33</v>
      </c>
      <c r="G1634" s="34" t="s">
        <v>100</v>
      </c>
      <c r="H1634" s="34" t="s">
        <v>39</v>
      </c>
      <c r="I1634" s="35">
        <v>20</v>
      </c>
      <c r="J1634" s="35">
        <v>20</v>
      </c>
      <c r="K1634" s="39">
        <v>1000</v>
      </c>
      <c r="L1634" s="60" t="str">
        <f>HYPERLINK("https://www.sds-group.ru/product/kabel-usb-a-micro-usb-1a-1m-belyy-dlinnyy-shteker-rexant-18-4269-20/", "Инфо")</f>
        <v>Инфо</v>
      </c>
      <c r="M1634" s="37">
        <v>2.3E-2</v>
      </c>
      <c r="N1634" s="38">
        <v>4.3999999999999999E-5</v>
      </c>
      <c r="O1634" s="141">
        <v>4601004072824</v>
      </c>
    </row>
    <row r="1635" spans="1:15" s="1" customFormat="1" ht="11.45" customHeight="1" outlineLevel="4" x14ac:dyDescent="0.2">
      <c r="A1635" s="32" t="s">
        <v>16795</v>
      </c>
      <c r="B1635" s="74" t="s">
        <v>16796</v>
      </c>
      <c r="C1635" s="50"/>
      <c r="D1635" s="139">
        <f t="shared" si="25"/>
        <v>0</v>
      </c>
      <c r="E1635" s="140">
        <v>161.47999999999999</v>
      </c>
      <c r="F1635" s="140">
        <v>132.36000000000001</v>
      </c>
      <c r="G1635" s="34" t="s">
        <v>100</v>
      </c>
      <c r="H1635" s="34" t="s">
        <v>39</v>
      </c>
      <c r="I1635" s="35">
        <v>10</v>
      </c>
      <c r="J1635" s="35">
        <v>10</v>
      </c>
      <c r="K1635" s="35">
        <v>200</v>
      </c>
      <c r="L1635" s="60" t="str">
        <f>HYPERLINK("https://www.sds-group.ru/product/kabel-usb-a-micro-usb-1a-3m-seryy-rexant-18-1166/", "Инфо")</f>
        <v>Инфо</v>
      </c>
      <c r="M1635" s="37">
        <v>7.2999999999999995E-2</v>
      </c>
      <c r="N1635" s="38">
        <v>1.7699999999999999E-4</v>
      </c>
      <c r="O1635" s="141">
        <v>4660008015831</v>
      </c>
    </row>
    <row r="1636" spans="1:15" s="1" customFormat="1" ht="11.45" customHeight="1" outlineLevel="4" x14ac:dyDescent="0.2">
      <c r="A1636" s="32" t="s">
        <v>16797</v>
      </c>
      <c r="B1636" s="74" t="s">
        <v>16798</v>
      </c>
      <c r="C1636" s="50"/>
      <c r="D1636" s="139">
        <f t="shared" si="25"/>
        <v>0</v>
      </c>
      <c r="E1636" s="140">
        <v>163.13999999999999</v>
      </c>
      <c r="F1636" s="140">
        <v>133.72</v>
      </c>
      <c r="G1636" s="34" t="s">
        <v>100</v>
      </c>
      <c r="H1636" s="34" t="s">
        <v>39</v>
      </c>
      <c r="I1636" s="35">
        <v>10</v>
      </c>
      <c r="J1636" s="35">
        <v>10</v>
      </c>
      <c r="K1636" s="35">
        <v>200</v>
      </c>
      <c r="L1636" s="60" t="str">
        <f>HYPERLINK("https://www.sds-group.ru/product/kabel-usb-a-micro-usb-2-4a-1m-belyy-vitoy-rexant-18-4301/", "Инфо")</f>
        <v>Инфо</v>
      </c>
      <c r="M1636" s="37">
        <v>2.5000000000000001E-2</v>
      </c>
      <c r="N1636" s="38">
        <v>9.2E-5</v>
      </c>
      <c r="O1636" s="141">
        <v>4601004022430</v>
      </c>
    </row>
    <row r="1637" spans="1:15" s="1" customFormat="1" ht="11.45" customHeight="1" outlineLevel="4" x14ac:dyDescent="0.2">
      <c r="A1637" s="32" t="s">
        <v>16799</v>
      </c>
      <c r="B1637" s="74" t="s">
        <v>16800</v>
      </c>
      <c r="C1637" s="50"/>
      <c r="D1637" s="139">
        <f t="shared" si="25"/>
        <v>0</v>
      </c>
      <c r="E1637" s="140">
        <v>42.54</v>
      </c>
      <c r="F1637" s="140">
        <v>34.869999999999997</v>
      </c>
      <c r="G1637" s="34" t="s">
        <v>100</v>
      </c>
      <c r="H1637" s="34" t="s">
        <v>39</v>
      </c>
      <c r="I1637" s="35">
        <v>10</v>
      </c>
      <c r="J1637" s="35">
        <v>10</v>
      </c>
      <c r="K1637" s="39">
        <v>1000</v>
      </c>
      <c r="L1637" s="60" t="str">
        <f>HYPERLINK("https://www.sds-group.ru/product/kabel-usb-a-micro-usb-2-4a-0-2m-seryy-rexant-18-1162/", "Инфо")</f>
        <v>Инфо</v>
      </c>
      <c r="M1637" s="37">
        <v>1.4E-2</v>
      </c>
      <c r="N1637" s="38">
        <v>3.4E-5</v>
      </c>
      <c r="O1637" s="141">
        <v>4660008015817</v>
      </c>
    </row>
    <row r="1638" spans="1:15" s="1" customFormat="1" ht="11.45" customHeight="1" outlineLevel="4" x14ac:dyDescent="0.2">
      <c r="A1638" s="32" t="s">
        <v>16801</v>
      </c>
      <c r="B1638" s="74" t="s">
        <v>16802</v>
      </c>
      <c r="C1638" s="50"/>
      <c r="D1638" s="139">
        <f t="shared" si="25"/>
        <v>0</v>
      </c>
      <c r="E1638" s="140">
        <v>117.75</v>
      </c>
      <c r="F1638" s="140">
        <v>96.52</v>
      </c>
      <c r="G1638" s="34" t="s">
        <v>100</v>
      </c>
      <c r="H1638" s="34" t="s">
        <v>39</v>
      </c>
      <c r="I1638" s="35">
        <v>10</v>
      </c>
      <c r="J1638" s="35">
        <v>10</v>
      </c>
      <c r="K1638" s="35">
        <v>100</v>
      </c>
      <c r="L1638" s="60" t="str">
        <f>HYPERLINK("https://www.sds-group.ru/product/kabel-usb-a-micro-usb-2-4a-1m-v-dzhinsovoy-tkanevoy-opletke-rexant-18-4242/", "Инфо")</f>
        <v>Инфо</v>
      </c>
      <c r="M1638" s="37">
        <v>5.2999999999999999E-2</v>
      </c>
      <c r="N1638" s="38">
        <v>3.9500000000000001E-4</v>
      </c>
      <c r="O1638" s="141">
        <v>4601004097278</v>
      </c>
    </row>
    <row r="1639" spans="1:15" s="1" customFormat="1" ht="11.45" customHeight="1" outlineLevel="4" x14ac:dyDescent="0.2">
      <c r="A1639" s="32" t="s">
        <v>16803</v>
      </c>
      <c r="B1639" s="74" t="s">
        <v>16804</v>
      </c>
      <c r="C1639" s="50"/>
      <c r="D1639" s="139">
        <f t="shared" si="25"/>
        <v>0</v>
      </c>
      <c r="E1639" s="140">
        <v>110.99</v>
      </c>
      <c r="F1639" s="140">
        <v>90.98</v>
      </c>
      <c r="G1639" s="34" t="s">
        <v>100</v>
      </c>
      <c r="H1639" s="34" t="s">
        <v>39</v>
      </c>
      <c r="I1639" s="35">
        <v>10</v>
      </c>
      <c r="J1639" s="35">
        <v>10</v>
      </c>
      <c r="K1639" s="35">
        <v>500</v>
      </c>
      <c r="L1639" s="60" t="str">
        <f>HYPERLINK("https://www.sds-group.ru/product/kabel-usb-a-micro-usb-2-4a-1m-pvh-chernyy-rexant-18-4270/", "Инфо")</f>
        <v>Инфо</v>
      </c>
      <c r="M1639" s="37">
        <v>4.3999999999999997E-2</v>
      </c>
      <c r="N1639" s="38">
        <v>3.5399999999999999E-4</v>
      </c>
      <c r="O1639" s="141">
        <v>4601004010093</v>
      </c>
    </row>
    <row r="1640" spans="1:15" s="1" customFormat="1" ht="11.45" customHeight="1" outlineLevel="4" x14ac:dyDescent="0.2">
      <c r="A1640" s="32" t="s">
        <v>16805</v>
      </c>
      <c r="B1640" s="74" t="s">
        <v>16806</v>
      </c>
      <c r="C1640" s="50"/>
      <c r="D1640" s="139">
        <f t="shared" si="25"/>
        <v>0</v>
      </c>
      <c r="E1640" s="140">
        <v>105.76</v>
      </c>
      <c r="F1640" s="140">
        <v>86.69</v>
      </c>
      <c r="G1640" s="34" t="s">
        <v>100</v>
      </c>
      <c r="H1640" s="34" t="s">
        <v>39</v>
      </c>
      <c r="I1640" s="35">
        <v>1</v>
      </c>
      <c r="J1640" s="35">
        <v>1</v>
      </c>
      <c r="K1640" s="35">
        <v>100</v>
      </c>
      <c r="L1640" s="60" t="str">
        <f>HYPERLINK("https://www.sds-group.ru/product/kabel-usb-a-micro-usb-2a-1m-v-dzhinsovoy-tkanevoy-opletke-ploskiy-rexant-18-1163/", "Инфо")</f>
        <v>Инфо</v>
      </c>
      <c r="M1640" s="37">
        <v>4.1000000000000002E-2</v>
      </c>
      <c r="N1640" s="38">
        <v>3.5300000000000002E-4</v>
      </c>
      <c r="O1640" s="141">
        <v>4601004187788</v>
      </c>
    </row>
    <row r="1641" spans="1:15" ht="11.45" customHeight="1" outlineLevel="3" x14ac:dyDescent="0.2">
      <c r="A1641" s="76" t="s">
        <v>16832</v>
      </c>
      <c r="B1641" s="136"/>
      <c r="C1641" s="77"/>
      <c r="D1641" s="137"/>
      <c r="E1641" s="4"/>
      <c r="F1641" s="4"/>
      <c r="G1641" s="4"/>
      <c r="H1641" s="4"/>
      <c r="I1641" s="4"/>
      <c r="J1641" s="4"/>
      <c r="K1641" s="4"/>
      <c r="L1641" s="138"/>
      <c r="M1641" s="4"/>
      <c r="N1641" s="4"/>
      <c r="O1641" s="4"/>
    </row>
    <row r="1642" spans="1:15" s="1" customFormat="1" ht="11.45" customHeight="1" outlineLevel="4" x14ac:dyDescent="0.2">
      <c r="A1642" s="32" t="s">
        <v>16835</v>
      </c>
      <c r="B1642" s="74" t="s">
        <v>16836</v>
      </c>
      <c r="C1642" s="50"/>
      <c r="D1642" s="139">
        <f t="shared" si="25"/>
        <v>0</v>
      </c>
      <c r="E1642" s="140">
        <v>100.12</v>
      </c>
      <c r="F1642" s="140">
        <v>82.07</v>
      </c>
      <c r="G1642" s="34" t="s">
        <v>100</v>
      </c>
      <c r="H1642" s="34" t="s">
        <v>39</v>
      </c>
      <c r="I1642" s="35">
        <v>10</v>
      </c>
      <c r="J1642" s="35">
        <v>10</v>
      </c>
      <c r="K1642" s="35">
        <v>200</v>
      </c>
      <c r="L1642" s="60" t="str">
        <f>HYPERLINK("https://www.sds-group.ru/product/kabel-usb-a-usb-b-2-4a-3m-pvh-seryy-rexant-18-1106/", "Инфо")</f>
        <v>Инфо</v>
      </c>
      <c r="M1642" s="37">
        <v>7.8E-2</v>
      </c>
      <c r="N1642" s="38">
        <v>1.54E-4</v>
      </c>
      <c r="O1642" s="141">
        <v>4610003601829</v>
      </c>
    </row>
    <row r="1643" spans="1:15" ht="11.45" customHeight="1" outlineLevel="3" x14ac:dyDescent="0.2">
      <c r="A1643" s="76" t="s">
        <v>16837</v>
      </c>
      <c r="B1643" s="136"/>
      <c r="C1643" s="77"/>
      <c r="D1643" s="137"/>
      <c r="E1643" s="4"/>
      <c r="F1643" s="4"/>
      <c r="G1643" s="4"/>
      <c r="H1643" s="4"/>
      <c r="I1643" s="4"/>
      <c r="J1643" s="4"/>
      <c r="K1643" s="4"/>
      <c r="L1643" s="138"/>
      <c r="M1643" s="4"/>
      <c r="N1643" s="4"/>
      <c r="O1643" s="4"/>
    </row>
    <row r="1644" spans="1:15" s="1" customFormat="1" ht="11.45" customHeight="1" outlineLevel="4" x14ac:dyDescent="0.2">
      <c r="A1644" s="32" t="s">
        <v>16838</v>
      </c>
      <c r="B1644" s="74" t="s">
        <v>16839</v>
      </c>
      <c r="C1644" s="50"/>
      <c r="D1644" s="139">
        <f t="shared" si="25"/>
        <v>0</v>
      </c>
      <c r="E1644" s="140">
        <v>66</v>
      </c>
      <c r="F1644" s="140">
        <v>54.1</v>
      </c>
      <c r="G1644" s="34" t="s">
        <v>100</v>
      </c>
      <c r="H1644" s="34" t="s">
        <v>39</v>
      </c>
      <c r="I1644" s="35">
        <v>1</v>
      </c>
      <c r="J1644" s="35">
        <v>1</v>
      </c>
      <c r="K1644" s="35">
        <v>200</v>
      </c>
      <c r="L1644" s="60" t="str">
        <f>HYPERLINK("https://www.sds-group.ru/product/kabel-type-c-type-c-2-4a-1m-neylon-belyy-rexant-18-1835/", "Инфо")</f>
        <v>Инфо</v>
      </c>
      <c r="M1644" s="37">
        <v>3.7999999999999999E-2</v>
      </c>
      <c r="N1644" s="38">
        <v>2.41E-4</v>
      </c>
      <c r="O1644" s="141">
        <v>4601004243583</v>
      </c>
    </row>
    <row r="1645" spans="1:15" s="1" customFormat="1" ht="11.45" customHeight="1" outlineLevel="4" x14ac:dyDescent="0.2">
      <c r="A1645" s="32" t="s">
        <v>16840</v>
      </c>
      <c r="B1645" s="74" t="s">
        <v>16841</v>
      </c>
      <c r="C1645" s="50"/>
      <c r="D1645" s="139">
        <f t="shared" si="25"/>
        <v>0</v>
      </c>
      <c r="E1645" s="140">
        <v>66.430000000000007</v>
      </c>
      <c r="F1645" s="140">
        <v>54.45</v>
      </c>
      <c r="G1645" s="34" t="s">
        <v>100</v>
      </c>
      <c r="H1645" s="34" t="s">
        <v>39</v>
      </c>
      <c r="I1645" s="35">
        <v>1</v>
      </c>
      <c r="J1645" s="35">
        <v>1</v>
      </c>
      <c r="K1645" s="35">
        <v>200</v>
      </c>
      <c r="L1645" s="60" t="str">
        <f>HYPERLINK("https://www.sds-group.ru/product/kabel-type-c-type-c-2a-1m-pvh-belyy-rexant-18-1833/", "Инфо")</f>
        <v>Инфо</v>
      </c>
      <c r="M1645" s="37">
        <v>0.03</v>
      </c>
      <c r="N1645" s="38">
        <v>2.8299999999999999E-4</v>
      </c>
      <c r="O1645" s="141">
        <v>4601004243538</v>
      </c>
    </row>
    <row r="1646" spans="1:15" s="1" customFormat="1" ht="11.45" customHeight="1" outlineLevel="4" x14ac:dyDescent="0.2">
      <c r="A1646" s="32" t="s">
        <v>16844</v>
      </c>
      <c r="B1646" s="74" t="s">
        <v>16845</v>
      </c>
      <c r="C1646" s="50"/>
      <c r="D1646" s="139">
        <f t="shared" si="25"/>
        <v>0</v>
      </c>
      <c r="E1646" s="140">
        <v>84.82</v>
      </c>
      <c r="F1646" s="140">
        <v>69.52</v>
      </c>
      <c r="G1646" s="34" t="s">
        <v>100</v>
      </c>
      <c r="H1646" s="34" t="s">
        <v>39</v>
      </c>
      <c r="I1646" s="35">
        <v>1</v>
      </c>
      <c r="J1646" s="35">
        <v>1</v>
      </c>
      <c r="K1646" s="35">
        <v>200</v>
      </c>
      <c r="L1646" s="60" t="str">
        <f>HYPERLINK("https://www.sds-group.ru/product/kabel-type-c-type-c-3a-100vt-1m-pvh-belyy-power-delivery-rexant-18-1832/", "Инфо")</f>
        <v>Инфо</v>
      </c>
      <c r="M1646" s="37">
        <v>4.2000000000000003E-2</v>
      </c>
      <c r="N1646" s="38">
        <v>2.2900000000000001E-4</v>
      </c>
      <c r="O1646" s="141">
        <v>4601004243576</v>
      </c>
    </row>
    <row r="1647" spans="1:15" s="1" customFormat="1" ht="11.45" customHeight="1" outlineLevel="4" x14ac:dyDescent="0.2">
      <c r="A1647" s="32" t="s">
        <v>16846</v>
      </c>
      <c r="B1647" s="74" t="s">
        <v>16847</v>
      </c>
      <c r="C1647" s="50"/>
      <c r="D1647" s="139">
        <f t="shared" si="25"/>
        <v>0</v>
      </c>
      <c r="E1647" s="140">
        <v>80.930000000000007</v>
      </c>
      <c r="F1647" s="140">
        <v>66.34</v>
      </c>
      <c r="G1647" s="34" t="s">
        <v>100</v>
      </c>
      <c r="H1647" s="34" t="s">
        <v>39</v>
      </c>
      <c r="I1647" s="35">
        <v>1</v>
      </c>
      <c r="J1647" s="35">
        <v>1</v>
      </c>
      <c r="K1647" s="35">
        <v>200</v>
      </c>
      <c r="L1647" s="60" t="str">
        <f>HYPERLINK("https://www.sds-group.ru/product/kabel-type-c-type-c-3a-45vt-1m-pvh-belyy-power-delivery-rexant-18-1830/", "Инфо")</f>
        <v>Инфо</v>
      </c>
      <c r="M1647" s="37">
        <v>0.03</v>
      </c>
      <c r="N1647" s="38">
        <v>1.8200000000000001E-4</v>
      </c>
      <c r="O1647" s="141">
        <v>4601004243521</v>
      </c>
    </row>
    <row r="1648" spans="1:15" s="1" customFormat="1" ht="11.45" customHeight="1" outlineLevel="4" x14ac:dyDescent="0.2">
      <c r="A1648" s="32" t="s">
        <v>16848</v>
      </c>
      <c r="B1648" s="74" t="s">
        <v>16849</v>
      </c>
      <c r="C1648" s="50"/>
      <c r="D1648" s="139">
        <f t="shared" si="25"/>
        <v>0</v>
      </c>
      <c r="E1648" s="140">
        <v>69.2</v>
      </c>
      <c r="F1648" s="140">
        <v>56.72</v>
      </c>
      <c r="G1648" s="34" t="s">
        <v>100</v>
      </c>
      <c r="H1648" s="34" t="s">
        <v>39</v>
      </c>
      <c r="I1648" s="35">
        <v>1</v>
      </c>
      <c r="J1648" s="35">
        <v>1</v>
      </c>
      <c r="K1648" s="35">
        <v>200</v>
      </c>
      <c r="L1648" s="60" t="str">
        <f>HYPERLINK("https://www.sds-group.ru/product/kabel-type-c-type-c-3a-60vt-1m-pvh-belyy-power-delivery-rexant-18-1831/", "Инфо")</f>
        <v>Инфо</v>
      </c>
      <c r="M1648" s="37">
        <v>3.9E-2</v>
      </c>
      <c r="N1648" s="38">
        <v>2.6400000000000002E-4</v>
      </c>
      <c r="O1648" s="141">
        <v>4601004243613</v>
      </c>
    </row>
    <row r="1649" spans="1:15" s="1" customFormat="1" ht="11.45" customHeight="1" outlineLevel="4" x14ac:dyDescent="0.2">
      <c r="A1649" s="32" t="s">
        <v>16862</v>
      </c>
      <c r="B1649" s="74" t="s">
        <v>16863</v>
      </c>
      <c r="C1649" s="50"/>
      <c r="D1649" s="139">
        <f t="shared" si="25"/>
        <v>0</v>
      </c>
      <c r="E1649" s="140">
        <v>115.51</v>
      </c>
      <c r="F1649" s="140">
        <v>94.68</v>
      </c>
      <c r="G1649" s="34" t="s">
        <v>100</v>
      </c>
      <c r="H1649" s="34" t="s">
        <v>39</v>
      </c>
      <c r="I1649" s="35">
        <v>1</v>
      </c>
      <c r="J1649" s="35">
        <v>1</v>
      </c>
      <c r="K1649" s="35">
        <v>200</v>
      </c>
      <c r="L1649" s="60" t="str">
        <f>HYPERLINK("https://www.sds-group.ru/product/kabel-usb-a-type-c-2-1a-1m-eko-kozha-korichnevyy-rexant-18-1897/", "Инфо")</f>
        <v>Инфо</v>
      </c>
      <c r="M1649" s="37">
        <v>3.7999999999999999E-2</v>
      </c>
      <c r="N1649" s="38">
        <v>2.33E-4</v>
      </c>
      <c r="O1649" s="141">
        <v>4601004181922</v>
      </c>
    </row>
    <row r="1650" spans="1:15" ht="11.45" customHeight="1" outlineLevel="3" x14ac:dyDescent="0.2">
      <c r="A1650" s="76" t="s">
        <v>16891</v>
      </c>
      <c r="B1650" s="136"/>
      <c r="C1650" s="77"/>
      <c r="D1650" s="137"/>
      <c r="E1650" s="4"/>
      <c r="F1650" s="4"/>
      <c r="G1650" s="4"/>
      <c r="H1650" s="4"/>
      <c r="I1650" s="4"/>
      <c r="J1650" s="4"/>
      <c r="K1650" s="4"/>
      <c r="L1650" s="138"/>
      <c r="M1650" s="4"/>
      <c r="N1650" s="4"/>
      <c r="O1650" s="4"/>
    </row>
    <row r="1651" spans="1:15" s="1" customFormat="1" ht="11.45" customHeight="1" outlineLevel="4" x14ac:dyDescent="0.2">
      <c r="A1651" s="32" t="s">
        <v>16894</v>
      </c>
      <c r="B1651" s="74" t="s">
        <v>16895</v>
      </c>
      <c r="C1651" s="50"/>
      <c r="D1651" s="139">
        <f t="shared" si="25"/>
        <v>0</v>
      </c>
      <c r="E1651" s="140">
        <v>37.229999999999997</v>
      </c>
      <c r="F1651" s="140">
        <v>30.52</v>
      </c>
      <c r="G1651" s="34" t="s">
        <v>100</v>
      </c>
      <c r="H1651" s="34" t="s">
        <v>39</v>
      </c>
      <c r="I1651" s="35">
        <v>10</v>
      </c>
      <c r="J1651" s="35">
        <v>10</v>
      </c>
      <c r="K1651" s="35">
        <v>500</v>
      </c>
      <c r="L1651" s="60" t="str">
        <f>HYPERLINK("https://www.sds-group.ru/product/audiokabel-aux-3-5mm-0-5m-belyy-rexant-18-1105/", "Инфо")</f>
        <v>Инфо</v>
      </c>
      <c r="M1651" s="37">
        <v>1.4E-2</v>
      </c>
      <c r="N1651" s="38">
        <v>7.2000000000000002E-5</v>
      </c>
      <c r="O1651" s="141">
        <v>4601004008540</v>
      </c>
    </row>
    <row r="1652" spans="1:15" s="1" customFormat="1" ht="11.45" customHeight="1" outlineLevel="4" x14ac:dyDescent="0.2">
      <c r="A1652" s="32" t="s">
        <v>16896</v>
      </c>
      <c r="B1652" s="74" t="s">
        <v>16897</v>
      </c>
      <c r="C1652" s="50"/>
      <c r="D1652" s="139">
        <f t="shared" si="25"/>
        <v>0</v>
      </c>
      <c r="E1652" s="140">
        <v>57.81</v>
      </c>
      <c r="F1652" s="140">
        <v>47.39</v>
      </c>
      <c r="G1652" s="34" t="s">
        <v>100</v>
      </c>
      <c r="H1652" s="34" t="s">
        <v>39</v>
      </c>
      <c r="I1652" s="35">
        <v>10</v>
      </c>
      <c r="J1652" s="35">
        <v>10</v>
      </c>
      <c r="K1652" s="35">
        <v>500</v>
      </c>
      <c r="L1652" s="60" t="str">
        <f>HYPERLINK("https://www.sds-group.ru/product/audiokabel-aux-3-5mm-1m-belyy-shnur-spiral-rexant-18-4014/", "Инфо")</f>
        <v>Инфо</v>
      </c>
      <c r="M1652" s="37">
        <v>2.5000000000000001E-2</v>
      </c>
      <c r="N1652" s="38">
        <v>8.2999999999999998E-5</v>
      </c>
      <c r="O1652" s="141">
        <v>4601004010628</v>
      </c>
    </row>
    <row r="1653" spans="1:15" s="1" customFormat="1" ht="11.45" customHeight="1" outlineLevel="4" x14ac:dyDescent="0.2">
      <c r="A1653" s="32" t="s">
        <v>16898</v>
      </c>
      <c r="B1653" s="74" t="s">
        <v>16899</v>
      </c>
      <c r="C1653" s="50"/>
      <c r="D1653" s="139">
        <f t="shared" si="25"/>
        <v>0</v>
      </c>
      <c r="E1653" s="140">
        <v>46.25</v>
      </c>
      <c r="F1653" s="140">
        <v>37.909999999999997</v>
      </c>
      <c r="G1653" s="34" t="s">
        <v>100</v>
      </c>
      <c r="H1653" s="34" t="s">
        <v>39</v>
      </c>
      <c r="I1653" s="35">
        <v>10</v>
      </c>
      <c r="J1653" s="35">
        <v>10</v>
      </c>
      <c r="K1653" s="35">
        <v>500</v>
      </c>
      <c r="L1653" s="60" t="str">
        <f>HYPERLINK("https://www.sds-group.ru/product/audiokabel-aux-3-5mm-1m-belyy-gelevyy-rexant-18-4083/", "Инфо")</f>
        <v>Инфо</v>
      </c>
      <c r="M1653" s="37">
        <v>1.6E-2</v>
      </c>
      <c r="N1653" s="38">
        <v>6.8999999999999997E-5</v>
      </c>
      <c r="O1653" s="141">
        <v>4601004097193</v>
      </c>
    </row>
    <row r="1654" spans="1:15" s="1" customFormat="1" ht="11.45" customHeight="1" outlineLevel="4" x14ac:dyDescent="0.2">
      <c r="A1654" s="32" t="s">
        <v>16900</v>
      </c>
      <c r="B1654" s="74" t="s">
        <v>16901</v>
      </c>
      <c r="C1654" s="50"/>
      <c r="D1654" s="139">
        <f t="shared" si="25"/>
        <v>0</v>
      </c>
      <c r="E1654" s="140">
        <v>65.98</v>
      </c>
      <c r="F1654" s="140">
        <v>54.08</v>
      </c>
      <c r="G1654" s="34" t="s">
        <v>100</v>
      </c>
      <c r="H1654" s="34" t="s">
        <v>39</v>
      </c>
      <c r="I1654" s="35">
        <v>10</v>
      </c>
      <c r="J1654" s="35">
        <v>10</v>
      </c>
      <c r="K1654" s="39">
        <v>1000</v>
      </c>
      <c r="L1654" s="60" t="str">
        <f>HYPERLINK("https://www.sds-group.ru/product/audiokabel-aux-3-5mm-1m-krasnyy-v-tkanevoy-opletke-rexant-18-4076/", "Инфо")</f>
        <v>Инфо</v>
      </c>
      <c r="M1654" s="37">
        <v>1.7999999999999999E-2</v>
      </c>
      <c r="N1654" s="38">
        <v>1.3999999999999999E-4</v>
      </c>
      <c r="O1654" s="141">
        <v>4601004097179</v>
      </c>
    </row>
    <row r="1655" spans="1:15" s="1" customFormat="1" ht="11.45" customHeight="1" outlineLevel="4" x14ac:dyDescent="0.2">
      <c r="A1655" s="32" t="s">
        <v>16902</v>
      </c>
      <c r="B1655" s="74" t="s">
        <v>16903</v>
      </c>
      <c r="C1655" s="50"/>
      <c r="D1655" s="139">
        <f t="shared" si="25"/>
        <v>0</v>
      </c>
      <c r="E1655" s="140">
        <v>73.09</v>
      </c>
      <c r="F1655" s="140">
        <v>59.91</v>
      </c>
      <c r="G1655" s="34" t="s">
        <v>100</v>
      </c>
      <c r="H1655" s="34" t="s">
        <v>39</v>
      </c>
      <c r="I1655" s="35">
        <v>10</v>
      </c>
      <c r="J1655" s="35">
        <v>10</v>
      </c>
      <c r="K1655" s="39">
        <v>1000</v>
      </c>
      <c r="L1655" s="60" t="str">
        <f>HYPERLINK("https://www.sds-group.ru/product/audiokabel-aux-3-5mm-1m-siniy-v-tkanevoy-opletke-rexant-18-4072/", "Инфо")</f>
        <v>Инфо</v>
      </c>
      <c r="M1655" s="37">
        <v>1.9E-2</v>
      </c>
      <c r="N1655" s="38">
        <v>7.6000000000000004E-5</v>
      </c>
      <c r="O1655" s="141">
        <v>4601004097186</v>
      </c>
    </row>
    <row r="1656" spans="1:15" s="1" customFormat="1" ht="11.45" customHeight="1" outlineLevel="4" x14ac:dyDescent="0.2">
      <c r="A1656" s="32" t="s">
        <v>16904</v>
      </c>
      <c r="B1656" s="74" t="s">
        <v>16905</v>
      </c>
      <c r="C1656" s="50"/>
      <c r="D1656" s="139">
        <f t="shared" si="25"/>
        <v>0</v>
      </c>
      <c r="E1656" s="140">
        <v>53.96</v>
      </c>
      <c r="F1656" s="140">
        <v>44.23</v>
      </c>
      <c r="G1656" s="34" t="s">
        <v>100</v>
      </c>
      <c r="H1656" s="34" t="s">
        <v>39</v>
      </c>
      <c r="I1656" s="35">
        <v>20</v>
      </c>
      <c r="J1656" s="35">
        <v>20</v>
      </c>
      <c r="K1656" s="35">
        <v>500</v>
      </c>
      <c r="L1656" s="60" t="str">
        <f>HYPERLINK("https://www.sds-group.ru/product/audiokabel-aux-3-5mm-1m-chernyy-rexant-18-4000/", "Инфо")</f>
        <v>Инфо</v>
      </c>
      <c r="M1656" s="37">
        <v>1.4999999999999999E-2</v>
      </c>
      <c r="N1656" s="38">
        <v>7.3999999999999996E-5</v>
      </c>
      <c r="O1656" s="141">
        <v>4601004010475</v>
      </c>
    </row>
    <row r="1657" spans="1:15" s="1" customFormat="1" ht="11.45" customHeight="1" outlineLevel="4" x14ac:dyDescent="0.2">
      <c r="A1657" s="32" t="s">
        <v>16908</v>
      </c>
      <c r="B1657" s="74" t="s">
        <v>16909</v>
      </c>
      <c r="C1657" s="50"/>
      <c r="D1657" s="139">
        <f t="shared" si="25"/>
        <v>0</v>
      </c>
      <c r="E1657" s="140">
        <v>62.99</v>
      </c>
      <c r="F1657" s="140">
        <v>51.63</v>
      </c>
      <c r="G1657" s="34" t="s">
        <v>100</v>
      </c>
      <c r="H1657" s="34" t="s">
        <v>39</v>
      </c>
      <c r="I1657" s="35">
        <v>10</v>
      </c>
      <c r="J1657" s="35">
        <v>10</v>
      </c>
      <c r="K1657" s="39">
        <v>1000</v>
      </c>
      <c r="L1657" s="60" t="str">
        <f>HYPERLINK("https://www.sds-group.ru/product/audiokabel-aux-3-5mm-1m-chernyy-gelevyy-rexant-18-4080/", "Инфо")</f>
        <v>Инфо</v>
      </c>
      <c r="M1657" s="37">
        <v>2.1000000000000001E-2</v>
      </c>
      <c r="N1657" s="38">
        <v>7.7999999999999999E-5</v>
      </c>
      <c r="O1657" s="141">
        <v>4601004097209</v>
      </c>
    </row>
    <row r="1658" spans="1:15" s="1" customFormat="1" ht="11.45" customHeight="1" outlineLevel="4" x14ac:dyDescent="0.2">
      <c r="A1658" s="32" t="s">
        <v>16910</v>
      </c>
      <c r="B1658" s="74" t="s">
        <v>16911</v>
      </c>
      <c r="C1658" s="50"/>
      <c r="D1658" s="139">
        <f t="shared" si="25"/>
        <v>0</v>
      </c>
      <c r="E1658" s="140">
        <v>38.54</v>
      </c>
      <c r="F1658" s="140">
        <v>31.59</v>
      </c>
      <c r="G1658" s="34" t="s">
        <v>100</v>
      </c>
      <c r="H1658" s="34" t="s">
        <v>39</v>
      </c>
      <c r="I1658" s="35">
        <v>10</v>
      </c>
      <c r="J1658" s="35">
        <v>10</v>
      </c>
      <c r="K1658" s="35">
        <v>500</v>
      </c>
      <c r="L1658" s="60" t="str">
        <f>HYPERLINK("https://www.sds-group.ru/product/audiokabel-aux-3-5mm-1m-chernyy-uglovoy-rexant-18-1120/", "Инфо")</f>
        <v>Инфо</v>
      </c>
      <c r="M1658" s="37">
        <v>2.5999999999999999E-2</v>
      </c>
      <c r="N1658" s="38">
        <v>7.8999999999999996E-5</v>
      </c>
      <c r="O1658" s="141">
        <v>4601004021815</v>
      </c>
    </row>
    <row r="1659" spans="1:15" s="1" customFormat="1" ht="11.45" customHeight="1" outlineLevel="4" x14ac:dyDescent="0.2">
      <c r="A1659" s="32" t="s">
        <v>16912</v>
      </c>
      <c r="B1659" s="74" t="s">
        <v>16913</v>
      </c>
      <c r="C1659" s="50"/>
      <c r="D1659" s="139">
        <f t="shared" si="25"/>
        <v>0</v>
      </c>
      <c r="E1659" s="140">
        <v>117.14</v>
      </c>
      <c r="F1659" s="140">
        <v>96.02</v>
      </c>
      <c r="G1659" s="34" t="s">
        <v>100</v>
      </c>
      <c r="H1659" s="34" t="s">
        <v>39</v>
      </c>
      <c r="I1659" s="35">
        <v>10</v>
      </c>
      <c r="J1659" s="35">
        <v>10</v>
      </c>
      <c r="K1659" s="35">
        <v>500</v>
      </c>
      <c r="L1659" s="60" t="str">
        <f>HYPERLINK("https://www.sds-group.ru/product/audiokabel-aux-3-5mm-1m-chernyy-shnur-spiral-rexant-18-4010/", "Инфо")</f>
        <v>Инфо</v>
      </c>
      <c r="M1659" s="37">
        <v>2.1999999999999999E-2</v>
      </c>
      <c r="N1659" s="38">
        <v>8.7000000000000001E-5</v>
      </c>
      <c r="O1659" s="141">
        <v>4601004010543</v>
      </c>
    </row>
    <row r="1660" spans="1:15" ht="11.45" customHeight="1" outlineLevel="3" x14ac:dyDescent="0.2">
      <c r="A1660" s="76" t="s">
        <v>16950</v>
      </c>
      <c r="B1660" s="136"/>
      <c r="C1660" s="77"/>
      <c r="D1660" s="137"/>
      <c r="E1660" s="4"/>
      <c r="F1660" s="4"/>
      <c r="G1660" s="4"/>
      <c r="H1660" s="4"/>
      <c r="I1660" s="4"/>
      <c r="J1660" s="4"/>
      <c r="K1660" s="4"/>
      <c r="L1660" s="138"/>
      <c r="M1660" s="4"/>
      <c r="N1660" s="4"/>
      <c r="O1660" s="4"/>
    </row>
    <row r="1661" spans="1:15" s="1" customFormat="1" ht="11.45" customHeight="1" outlineLevel="4" x14ac:dyDescent="0.2">
      <c r="A1661" s="32" t="s">
        <v>16953</v>
      </c>
      <c r="B1661" s="74" t="s">
        <v>16954</v>
      </c>
      <c r="C1661" s="50"/>
      <c r="D1661" s="139">
        <f t="shared" si="25"/>
        <v>0</v>
      </c>
      <c r="E1661" s="140">
        <v>58.97</v>
      </c>
      <c r="F1661" s="140">
        <v>48.34</v>
      </c>
      <c r="G1661" s="34" t="s">
        <v>100</v>
      </c>
      <c r="H1661" s="34" t="s">
        <v>39</v>
      </c>
      <c r="I1661" s="35">
        <v>1</v>
      </c>
      <c r="J1661" s="35">
        <v>1</v>
      </c>
      <c r="K1661" s="35">
        <v>200</v>
      </c>
      <c r="L1661" s="60" t="str">
        <f>HYPERLINK("https://www.sds-group.ru/product/shnur-setevoy-evrovilka-evrorazem-s5-kabel-3x0-5mm-0-75m-dlya-pitaniya-noutbuka-paket-pvh-re-11-1153/", "Инфо")</f>
        <v>Инфо</v>
      </c>
      <c r="M1661" s="37">
        <v>0.11</v>
      </c>
      <c r="N1661" s="38">
        <v>6.2299999999999996E-4</v>
      </c>
      <c r="O1661" s="141">
        <v>4601004297906</v>
      </c>
    </row>
    <row r="1662" spans="1:15" s="1" customFormat="1" ht="11.45" customHeight="1" outlineLevel="4" x14ac:dyDescent="0.2">
      <c r="A1662" s="32" t="s">
        <v>16955</v>
      </c>
      <c r="B1662" s="74" t="s">
        <v>16956</v>
      </c>
      <c r="C1662" s="50"/>
      <c r="D1662" s="139">
        <f t="shared" si="25"/>
        <v>0</v>
      </c>
      <c r="E1662" s="140">
        <v>81.81</v>
      </c>
      <c r="F1662" s="140">
        <v>67.06</v>
      </c>
      <c r="G1662" s="34" t="s">
        <v>100</v>
      </c>
      <c r="H1662" s="34" t="s">
        <v>39</v>
      </c>
      <c r="I1662" s="35">
        <v>1</v>
      </c>
      <c r="J1662" s="35">
        <v>1</v>
      </c>
      <c r="K1662" s="35">
        <v>100</v>
      </c>
      <c r="L1662" s="60" t="str">
        <f>HYPERLINK("https://www.sds-group.ru/product/shnur-setevoy-evrovilka-evrorazem-s5-kabel-3x0-5mm-1-8m-dlya-pitaniya-noutbuka-paket-pvh-rex-11-1154/", "Инфо")</f>
        <v>Инфо</v>
      </c>
      <c r="M1662" s="37">
        <v>0.187</v>
      </c>
      <c r="N1662" s="38">
        <v>4.08E-4</v>
      </c>
      <c r="O1662" s="141">
        <v>4601004297913</v>
      </c>
    </row>
    <row r="1663" spans="1:15" s="1" customFormat="1" ht="11.45" customHeight="1" outlineLevel="4" x14ac:dyDescent="0.2">
      <c r="A1663" s="32" t="s">
        <v>16957</v>
      </c>
      <c r="B1663" s="74" t="s">
        <v>16958</v>
      </c>
      <c r="C1663" s="50"/>
      <c r="D1663" s="139">
        <f t="shared" si="25"/>
        <v>0</v>
      </c>
      <c r="E1663" s="140">
        <v>88.35</v>
      </c>
      <c r="F1663" s="140">
        <v>72.42</v>
      </c>
      <c r="G1663" s="34" t="s">
        <v>100</v>
      </c>
      <c r="H1663" s="34" t="s">
        <v>39</v>
      </c>
      <c r="I1663" s="35">
        <v>1</v>
      </c>
      <c r="J1663" s="35">
        <v>1</v>
      </c>
      <c r="K1663" s="35">
        <v>80</v>
      </c>
      <c r="L1663" s="60" t="str">
        <f>HYPERLINK("https://www.sds-group.ru/product/shnur-setevoy-evrovilka-evrorazem-s5-kabel-3x0-5mm-3m-dlya-pitaniya-noutbuka-paket-pvh-rexan-11-1155/", "Инфо")</f>
        <v>Инфо</v>
      </c>
      <c r="M1663" s="37">
        <v>0.26800000000000002</v>
      </c>
      <c r="N1663" s="38">
        <v>4.8200000000000001E-4</v>
      </c>
      <c r="O1663" s="141">
        <v>4601004297883</v>
      </c>
    </row>
    <row r="1664" spans="1:15" s="1" customFormat="1" ht="11.45" customHeight="1" outlineLevel="4" x14ac:dyDescent="0.2">
      <c r="A1664" s="32" t="s">
        <v>16959</v>
      </c>
      <c r="B1664" s="74" t="s">
        <v>16960</v>
      </c>
      <c r="C1664" s="50"/>
      <c r="D1664" s="139">
        <f t="shared" si="25"/>
        <v>0</v>
      </c>
      <c r="E1664" s="140">
        <v>111.77</v>
      </c>
      <c r="F1664" s="140">
        <v>91.61</v>
      </c>
      <c r="G1664" s="34" t="s">
        <v>100</v>
      </c>
      <c r="H1664" s="34" t="s">
        <v>39</v>
      </c>
      <c r="I1664" s="35">
        <v>1</v>
      </c>
      <c r="J1664" s="35">
        <v>1</v>
      </c>
      <c r="K1664" s="35">
        <v>80</v>
      </c>
      <c r="L1664" s="60" t="str">
        <f>HYPERLINK("https://www.sds-group.ru/product/shnur-setevoy-evrovilka-evrorazem-s5-kabel-3x0-75mm-3m-dlya-pitaniya-noutbuka-paket-pvh-rexa-11-1152/", "Инфо")</f>
        <v>Инфо</v>
      </c>
      <c r="M1664" s="37">
        <v>0.27400000000000002</v>
      </c>
      <c r="N1664" s="38">
        <v>5.8799999999999998E-4</v>
      </c>
      <c r="O1664" s="141">
        <v>4601004297876</v>
      </c>
    </row>
    <row r="1665" spans="1:15" ht="11.45" customHeight="1" outlineLevel="3" x14ac:dyDescent="0.2">
      <c r="A1665" s="76" t="s">
        <v>16980</v>
      </c>
      <c r="B1665" s="136"/>
      <c r="C1665" s="77"/>
      <c r="D1665" s="137"/>
      <c r="E1665" s="4"/>
      <c r="F1665" s="4"/>
      <c r="G1665" s="4"/>
      <c r="H1665" s="4"/>
      <c r="I1665" s="4"/>
      <c r="J1665" s="4"/>
      <c r="K1665" s="4"/>
      <c r="L1665" s="138"/>
      <c r="M1665" s="4"/>
      <c r="N1665" s="4"/>
      <c r="O1665" s="4"/>
    </row>
    <row r="1666" spans="1:15" s="1" customFormat="1" ht="11.45" customHeight="1" outlineLevel="4" x14ac:dyDescent="0.2">
      <c r="A1666" s="32" t="s">
        <v>16991</v>
      </c>
      <c r="B1666" s="74" t="s">
        <v>16992</v>
      </c>
      <c r="C1666" s="50"/>
      <c r="D1666" s="139">
        <f t="shared" si="25"/>
        <v>0</v>
      </c>
      <c r="E1666" s="140">
        <v>83.45</v>
      </c>
      <c r="F1666" s="140">
        <v>68.400000000000006</v>
      </c>
      <c r="G1666" s="34" t="s">
        <v>100</v>
      </c>
      <c r="H1666" s="34" t="s">
        <v>39</v>
      </c>
      <c r="I1666" s="35">
        <v>1</v>
      </c>
      <c r="J1666" s="35">
        <v>1</v>
      </c>
      <c r="K1666" s="35">
        <v>50</v>
      </c>
      <c r="L1666" s="60" t="str">
        <f>HYPERLINK("https://www.sds-group.ru/product/shnur-setevoy-evrovilka-uglovaya-evrorazem-s13-kabel-3x0-75mm-0-5m-chernyy-paket-pvh-rexant-11-1156/", "Инфо")</f>
        <v>Инфо</v>
      </c>
      <c r="M1666" s="37">
        <v>0.114</v>
      </c>
      <c r="N1666" s="38">
        <v>4.3899999999999999E-4</v>
      </c>
      <c r="O1666" s="141">
        <v>4601004299979</v>
      </c>
    </row>
    <row r="1667" spans="1:15" ht="11.45" customHeight="1" outlineLevel="2" x14ac:dyDescent="0.2">
      <c r="A1667" s="76" t="s">
        <v>17002</v>
      </c>
      <c r="B1667" s="136"/>
      <c r="C1667" s="77"/>
      <c r="D1667" s="137"/>
      <c r="E1667" s="4"/>
      <c r="F1667" s="4"/>
      <c r="G1667" s="4"/>
      <c r="H1667" s="4"/>
      <c r="I1667" s="4"/>
      <c r="J1667" s="4"/>
      <c r="K1667" s="4"/>
      <c r="L1667" s="138"/>
      <c r="M1667" s="4"/>
      <c r="N1667" s="4"/>
      <c r="O1667" s="4"/>
    </row>
    <row r="1668" spans="1:15" ht="11.45" customHeight="1" outlineLevel="3" x14ac:dyDescent="0.2">
      <c r="A1668" s="76" t="s">
        <v>17003</v>
      </c>
      <c r="B1668" s="136"/>
      <c r="C1668" s="77"/>
      <c r="D1668" s="137"/>
      <c r="E1668" s="4"/>
      <c r="F1668" s="4"/>
      <c r="G1668" s="4"/>
      <c r="H1668" s="4"/>
      <c r="I1668" s="4"/>
      <c r="J1668" s="4"/>
      <c r="K1668" s="4"/>
      <c r="L1668" s="138"/>
      <c r="M1668" s="4"/>
      <c r="N1668" s="4"/>
      <c r="O1668" s="4"/>
    </row>
    <row r="1669" spans="1:15" s="1" customFormat="1" ht="11.45" customHeight="1" outlineLevel="4" x14ac:dyDescent="0.2">
      <c r="A1669" s="32" t="s">
        <v>17004</v>
      </c>
      <c r="B1669" s="74" t="s">
        <v>17005</v>
      </c>
      <c r="C1669" s="50"/>
      <c r="D1669" s="139">
        <f t="shared" si="25"/>
        <v>0</v>
      </c>
      <c r="E1669" s="140">
        <v>131</v>
      </c>
      <c r="F1669" s="140">
        <v>107.38</v>
      </c>
      <c r="G1669" s="34" t="s">
        <v>100</v>
      </c>
      <c r="H1669" s="34" t="s">
        <v>39</v>
      </c>
      <c r="I1669" s="35">
        <v>1</v>
      </c>
      <c r="J1669" s="35">
        <v>1</v>
      </c>
      <c r="K1669" s="35">
        <v>200</v>
      </c>
      <c r="L1669" s="60" t="str">
        <f>HYPERLINK("https://www.sds-group.ru/product/razvetvitel-usb-2-0-na-4-porta-rexant-18-4105/", "Инфо")</f>
        <v>Инфо</v>
      </c>
      <c r="M1669" s="37">
        <v>6.2E-2</v>
      </c>
      <c r="N1669" s="38">
        <v>4.86E-4</v>
      </c>
      <c r="O1669" s="141">
        <v>4601004117235</v>
      </c>
    </row>
    <row r="1670" spans="1:15" s="1" customFormat="1" ht="11.45" customHeight="1" outlineLevel="4" x14ac:dyDescent="0.2">
      <c r="A1670" s="32" t="s">
        <v>17006</v>
      </c>
      <c r="B1670" s="74" t="s">
        <v>17007</v>
      </c>
      <c r="C1670" s="50"/>
      <c r="D1670" s="139">
        <f t="shared" si="25"/>
        <v>0</v>
      </c>
      <c r="E1670" s="140">
        <v>127.33</v>
      </c>
      <c r="F1670" s="140">
        <v>104.37</v>
      </c>
      <c r="G1670" s="34" t="s">
        <v>100</v>
      </c>
      <c r="H1670" s="34" t="s">
        <v>39</v>
      </c>
      <c r="I1670" s="35">
        <v>1</v>
      </c>
      <c r="J1670" s="35">
        <v>1</v>
      </c>
      <c r="K1670" s="35">
        <v>200</v>
      </c>
      <c r="L1670" s="60" t="str">
        <f>HYPERLINK("https://www.sds-group.ru/product/razvetvitel-usb-2-0-na-4-porta-belyy-rexant-18-4105-1/", "Инфо")</f>
        <v>Инфо</v>
      </c>
      <c r="M1670" s="37">
        <v>6.3E-2</v>
      </c>
      <c r="N1670" s="38">
        <v>4.8799999999999999E-4</v>
      </c>
      <c r="O1670" s="141">
        <v>4601004120488</v>
      </c>
    </row>
    <row r="1671" spans="1:15" s="1" customFormat="1" ht="11.45" customHeight="1" outlineLevel="4" x14ac:dyDescent="0.2">
      <c r="A1671" s="32" t="s">
        <v>17008</v>
      </c>
      <c r="B1671" s="74" t="s">
        <v>17009</v>
      </c>
      <c r="C1671" s="50"/>
      <c r="D1671" s="139">
        <f t="shared" si="25"/>
        <v>0</v>
      </c>
      <c r="E1671" s="140">
        <v>384.42</v>
      </c>
      <c r="F1671" s="140">
        <v>315.10000000000002</v>
      </c>
      <c r="G1671" s="34" t="s">
        <v>100</v>
      </c>
      <c r="H1671" s="34" t="s">
        <v>39</v>
      </c>
      <c r="I1671" s="35">
        <v>1</v>
      </c>
      <c r="J1671" s="35">
        <v>1</v>
      </c>
      <c r="K1671" s="35">
        <v>100</v>
      </c>
      <c r="L1671" s="60" t="str">
        <f>HYPERLINK("https://www.sds-group.ru/product/razvetvitel-usb-na-3-porta-kartrider-vse-v-odnom-chernyy-rexant-18-4121/", "Инфо")</f>
        <v>Инфо</v>
      </c>
      <c r="M1671" s="37">
        <v>0.13300000000000001</v>
      </c>
      <c r="N1671" s="38">
        <v>1.1800000000000001E-3</v>
      </c>
      <c r="O1671" s="141">
        <v>4601004068353</v>
      </c>
    </row>
    <row r="1672" spans="1:15" s="1" customFormat="1" ht="11.45" customHeight="1" outlineLevel="4" x14ac:dyDescent="0.2">
      <c r="A1672" s="32" t="s">
        <v>17012</v>
      </c>
      <c r="B1672" s="74" t="s">
        <v>17013</v>
      </c>
      <c r="C1672" s="50"/>
      <c r="D1672" s="139">
        <f t="shared" si="25"/>
        <v>0</v>
      </c>
      <c r="E1672" s="140">
        <v>363.58</v>
      </c>
      <c r="F1672" s="140">
        <v>298.02</v>
      </c>
      <c r="G1672" s="34" t="s">
        <v>100</v>
      </c>
      <c r="H1672" s="34" t="s">
        <v>39</v>
      </c>
      <c r="I1672" s="35">
        <v>1</v>
      </c>
      <c r="J1672" s="35">
        <v>1</v>
      </c>
      <c r="K1672" s="35">
        <v>100</v>
      </c>
      <c r="L1672" s="60" t="str">
        <f>HYPERLINK("https://www.sds-group.ru/product/razvetvitel-rexant-4-usb-port-serebristyy-18-4106/", "Инфо")</f>
        <v>Инфо</v>
      </c>
      <c r="M1672" s="37">
        <v>7.1999999999999995E-2</v>
      </c>
      <c r="N1672" s="38">
        <v>5.0900000000000001E-4</v>
      </c>
      <c r="O1672" s="141">
        <v>4601004223080</v>
      </c>
    </row>
    <row r="1673" spans="1:15" ht="11.45" customHeight="1" outlineLevel="3" x14ac:dyDescent="0.2">
      <c r="A1673" s="76" t="s">
        <v>17016</v>
      </c>
      <c r="B1673" s="136"/>
      <c r="C1673" s="77"/>
      <c r="D1673" s="137"/>
      <c r="E1673" s="4"/>
      <c r="F1673" s="4"/>
      <c r="G1673" s="4"/>
      <c r="H1673" s="4"/>
      <c r="I1673" s="4"/>
      <c r="J1673" s="4"/>
      <c r="K1673" s="4"/>
      <c r="L1673" s="138"/>
      <c r="M1673" s="4"/>
      <c r="N1673" s="4"/>
      <c r="O1673" s="4"/>
    </row>
    <row r="1674" spans="1:15" s="1" customFormat="1" ht="11.45" customHeight="1" outlineLevel="4" x14ac:dyDescent="0.2">
      <c r="A1674" s="32" t="s">
        <v>17019</v>
      </c>
      <c r="B1674" s="74" t="s">
        <v>17020</v>
      </c>
      <c r="C1674" s="50"/>
      <c r="D1674" s="139">
        <f t="shared" si="25"/>
        <v>0</v>
      </c>
      <c r="E1674" s="140">
        <v>195.56</v>
      </c>
      <c r="F1674" s="140">
        <v>160.30000000000001</v>
      </c>
      <c r="G1674" s="34" t="s">
        <v>100</v>
      </c>
      <c r="H1674" s="34" t="s">
        <v>39</v>
      </c>
      <c r="I1674" s="35">
        <v>10</v>
      </c>
      <c r="J1674" s="35">
        <v>10</v>
      </c>
      <c r="K1674" s="35">
        <v>500</v>
      </c>
      <c r="L1674" s="60" t="str">
        <f>HYPERLINK("https://www.sds-group.ru/product/adapter-dc-12-v-gnezdo-usb-a-5-v-3-a-rexant-16-0601/", "Инфо")</f>
        <v>Инфо</v>
      </c>
      <c r="M1674" s="37">
        <v>5.0999999999999997E-2</v>
      </c>
      <c r="N1674" s="38">
        <v>1.44E-4</v>
      </c>
      <c r="O1674" s="141">
        <v>4601004048232</v>
      </c>
    </row>
    <row r="1675" spans="1:15" s="1" customFormat="1" ht="11.45" customHeight="1" outlineLevel="4" x14ac:dyDescent="0.2">
      <c r="A1675" s="32" t="s">
        <v>17021</v>
      </c>
      <c r="B1675" s="74" t="s">
        <v>17022</v>
      </c>
      <c r="C1675" s="50"/>
      <c r="D1675" s="139">
        <f t="shared" ref="D1675:D1736" si="26">C1675*E1675</f>
        <v>0</v>
      </c>
      <c r="E1675" s="140">
        <v>108.67</v>
      </c>
      <c r="F1675" s="140">
        <v>89.07</v>
      </c>
      <c r="G1675" s="34" t="s">
        <v>100</v>
      </c>
      <c r="H1675" s="34" t="s">
        <v>39</v>
      </c>
      <c r="I1675" s="35">
        <v>1</v>
      </c>
      <c r="J1675" s="35">
        <v>1</v>
      </c>
      <c r="K1675" s="35">
        <v>183</v>
      </c>
      <c r="L1675" s="60" t="str">
        <f>HYPERLINK("https://www.sds-group.ru/product/kabel-perehodnik-c-usb-c-na-aux-3-5-mm-rexant-18-7080/", "Инфо")</f>
        <v>Инфо</v>
      </c>
      <c r="M1675" s="37">
        <v>2.8000000000000001E-2</v>
      </c>
      <c r="N1675" s="38">
        <v>2.6200000000000003E-4</v>
      </c>
      <c r="O1675" s="141">
        <v>4601004291102</v>
      </c>
    </row>
    <row r="1676" spans="1:15" s="1" customFormat="1" ht="11.45" customHeight="1" outlineLevel="4" x14ac:dyDescent="0.2">
      <c r="A1676" s="32" t="s">
        <v>17023</v>
      </c>
      <c r="B1676" s="74" t="s">
        <v>17024</v>
      </c>
      <c r="C1676" s="50"/>
      <c r="D1676" s="139">
        <f t="shared" si="26"/>
        <v>0</v>
      </c>
      <c r="E1676" s="140">
        <v>154.43</v>
      </c>
      <c r="F1676" s="140">
        <v>126.58</v>
      </c>
      <c r="G1676" s="34" t="s">
        <v>100</v>
      </c>
      <c r="H1676" s="34" t="s">
        <v>39</v>
      </c>
      <c r="I1676" s="35">
        <v>10</v>
      </c>
      <c r="J1676" s="35">
        <v>10</v>
      </c>
      <c r="K1676" s="35">
        <v>500</v>
      </c>
      <c r="L1676" s="60" t="str">
        <f>HYPERLINK("https://www.sds-group.ru/product/kabel-perehodnik-lightning-na-aux-gn-3-5-mm-rexant-18-0175/", "Инфо")</f>
        <v>Инфо</v>
      </c>
      <c r="M1676" s="37">
        <v>1.2999999999999999E-2</v>
      </c>
      <c r="N1676" s="38">
        <v>1.17E-4</v>
      </c>
      <c r="O1676" s="141">
        <v>4601004148598</v>
      </c>
    </row>
    <row r="1677" spans="1:15" s="1" customFormat="1" ht="11.45" customHeight="1" outlineLevel="4" x14ac:dyDescent="0.2">
      <c r="A1677" s="32" t="s">
        <v>17025</v>
      </c>
      <c r="B1677" s="74" t="s">
        <v>17026</v>
      </c>
      <c r="C1677" s="50"/>
      <c r="D1677" s="139">
        <f t="shared" si="26"/>
        <v>0</v>
      </c>
      <c r="E1677" s="140">
        <v>118.25</v>
      </c>
      <c r="F1677" s="140">
        <v>96.93</v>
      </c>
      <c r="G1677" s="34" t="s">
        <v>100</v>
      </c>
      <c r="H1677" s="34" t="s">
        <v>39</v>
      </c>
      <c r="I1677" s="35">
        <v>1</v>
      </c>
      <c r="J1677" s="35">
        <v>1</v>
      </c>
      <c r="K1677" s="35">
        <v>183</v>
      </c>
      <c r="L1677" s="60" t="str">
        <f>HYPERLINK("https://www.sds-group.ru/product/perehodnik-usb-universalnyy-otg-type-c-rexant-18-7081/", "Инфо")</f>
        <v>Инфо</v>
      </c>
      <c r="M1677" s="37">
        <v>0.03</v>
      </c>
      <c r="N1677" s="38">
        <v>2.63E-4</v>
      </c>
      <c r="O1677" s="141">
        <v>4601004291096</v>
      </c>
    </row>
    <row r="1678" spans="1:15" s="1" customFormat="1" ht="11.45" customHeight="1" outlineLevel="4" x14ac:dyDescent="0.2">
      <c r="A1678" s="32" t="s">
        <v>17027</v>
      </c>
      <c r="B1678" s="74" t="s">
        <v>17028</v>
      </c>
      <c r="C1678" s="50"/>
      <c r="D1678" s="139">
        <f t="shared" si="26"/>
        <v>0</v>
      </c>
      <c r="E1678" s="140">
        <v>422.68</v>
      </c>
      <c r="F1678" s="140">
        <v>346.46</v>
      </c>
      <c r="G1678" s="34" t="s">
        <v>100</v>
      </c>
      <c r="H1678" s="34" t="s">
        <v>39</v>
      </c>
      <c r="I1678" s="35">
        <v>1</v>
      </c>
      <c r="J1678" s="35">
        <v>1</v>
      </c>
      <c r="K1678" s="35">
        <v>200</v>
      </c>
      <c r="L1678" s="60" t="str">
        <f>HYPERLINK("https://www.sds-group.ru/product/perehodnik-lightning-male-hdmi-female-rexant-18-4152/", "Инфо")</f>
        <v>Инфо</v>
      </c>
      <c r="M1678" s="37">
        <v>3.4000000000000002E-2</v>
      </c>
      <c r="N1678" s="38">
        <v>3.4299999999999999E-4</v>
      </c>
      <c r="O1678" s="141">
        <v>4601004197060</v>
      </c>
    </row>
    <row r="1679" spans="1:15" s="1" customFormat="1" ht="11.45" customHeight="1" outlineLevel="4" x14ac:dyDescent="0.2">
      <c r="A1679" s="32" t="s">
        <v>17029</v>
      </c>
      <c r="B1679" s="74" t="s">
        <v>17030</v>
      </c>
      <c r="C1679" s="50"/>
      <c r="D1679" s="139">
        <f t="shared" si="26"/>
        <v>0</v>
      </c>
      <c r="E1679" s="140">
        <v>325.85000000000002</v>
      </c>
      <c r="F1679" s="140">
        <v>267.08999999999997</v>
      </c>
      <c r="G1679" s="34" t="s">
        <v>100</v>
      </c>
      <c r="H1679" s="34" t="s">
        <v>39</v>
      </c>
      <c r="I1679" s="35">
        <v>1</v>
      </c>
      <c r="J1679" s="35">
        <v>1</v>
      </c>
      <c r="K1679" s="35">
        <v>200</v>
      </c>
      <c r="L1679" s="60" t="str">
        <f>HYPERLINK("https://www.sds-group.ru/product/perehodnik-type-c-male-hdmi-female-rexant-18-4150/", "Инфо")</f>
        <v>Инфо</v>
      </c>
      <c r="M1679" s="37">
        <v>3.5999999999999997E-2</v>
      </c>
      <c r="N1679" s="38">
        <v>3.5199999999999999E-4</v>
      </c>
      <c r="O1679" s="141">
        <v>4601004197077</v>
      </c>
    </row>
    <row r="1680" spans="1:15" ht="11.45" customHeight="1" outlineLevel="3" x14ac:dyDescent="0.2">
      <c r="A1680" s="76" t="s">
        <v>17031</v>
      </c>
      <c r="B1680" s="136"/>
      <c r="C1680" s="77"/>
      <c r="D1680" s="137"/>
      <c r="E1680" s="4"/>
      <c r="F1680" s="4"/>
      <c r="G1680" s="4"/>
      <c r="H1680" s="4"/>
      <c r="I1680" s="4"/>
      <c r="J1680" s="4"/>
      <c r="K1680" s="4"/>
      <c r="L1680" s="138"/>
      <c r="M1680" s="4"/>
      <c r="N1680" s="4"/>
      <c r="O1680" s="4"/>
    </row>
    <row r="1681" spans="1:15" s="1" customFormat="1" ht="11.45" customHeight="1" outlineLevel="4" x14ac:dyDescent="0.2">
      <c r="A1681" s="32" t="s">
        <v>17032</v>
      </c>
      <c r="B1681" s="74" t="s">
        <v>17033</v>
      </c>
      <c r="C1681" s="50"/>
      <c r="D1681" s="139">
        <f t="shared" si="26"/>
        <v>0</v>
      </c>
      <c r="E1681" s="140">
        <v>265.06</v>
      </c>
      <c r="F1681" s="140">
        <v>217.26</v>
      </c>
      <c r="G1681" s="34" t="s">
        <v>100</v>
      </c>
      <c r="H1681" s="34" t="s">
        <v>39</v>
      </c>
      <c r="I1681" s="35">
        <v>1</v>
      </c>
      <c r="J1681" s="35">
        <v>1</v>
      </c>
      <c r="K1681" s="35">
        <v>300</v>
      </c>
      <c r="L1681" s="60" t="str">
        <f>HYPERLINK("https://www.sds-group.ru/product/kartrider-rexant-type-c-dlya-sdxc-sdhc-sd-mmc-18-4118/", "Инфо")</f>
        <v>Инфо</v>
      </c>
      <c r="M1681" s="37">
        <v>5.5E-2</v>
      </c>
      <c r="N1681" s="38">
        <v>2.4000000000000001E-4</v>
      </c>
      <c r="O1681" s="141">
        <v>4601004223103</v>
      </c>
    </row>
    <row r="1682" spans="1:15" ht="11.45" customHeight="1" outlineLevel="2" x14ac:dyDescent="0.2">
      <c r="A1682" s="76" t="s">
        <v>17034</v>
      </c>
      <c r="B1682" s="136"/>
      <c r="C1682" s="77"/>
      <c r="D1682" s="137"/>
      <c r="E1682" s="4"/>
      <c r="F1682" s="4"/>
      <c r="G1682" s="4"/>
      <c r="H1682" s="4"/>
      <c r="I1682" s="4"/>
      <c r="J1682" s="4"/>
      <c r="K1682" s="4"/>
      <c r="L1682" s="138"/>
      <c r="M1682" s="4"/>
      <c r="N1682" s="4"/>
      <c r="O1682" s="4"/>
    </row>
    <row r="1683" spans="1:15" ht="11.45" customHeight="1" outlineLevel="3" x14ac:dyDescent="0.2">
      <c r="A1683" s="76" t="s">
        <v>17035</v>
      </c>
      <c r="B1683" s="136"/>
      <c r="C1683" s="77"/>
      <c r="D1683" s="137"/>
      <c r="E1683" s="4"/>
      <c r="F1683" s="4"/>
      <c r="G1683" s="4"/>
      <c r="H1683" s="4"/>
      <c r="I1683" s="4"/>
      <c r="J1683" s="4"/>
      <c r="K1683" s="4"/>
      <c r="L1683" s="138"/>
      <c r="M1683" s="4"/>
      <c r="N1683" s="4"/>
      <c r="O1683" s="4"/>
    </row>
    <row r="1684" spans="1:15" s="1" customFormat="1" ht="11.45" customHeight="1" outlineLevel="4" x14ac:dyDescent="0.2">
      <c r="A1684" s="32" t="s">
        <v>17044</v>
      </c>
      <c r="B1684" s="74" t="s">
        <v>17045</v>
      </c>
      <c r="C1684" s="50"/>
      <c r="D1684" s="139">
        <f t="shared" si="26"/>
        <v>0</v>
      </c>
      <c r="E1684" s="140">
        <v>131.44</v>
      </c>
      <c r="F1684" s="140">
        <v>107.74</v>
      </c>
      <c r="G1684" s="34" t="s">
        <v>100</v>
      </c>
      <c r="H1684" s="34" t="s">
        <v>39</v>
      </c>
      <c r="I1684" s="35">
        <v>1</v>
      </c>
      <c r="J1684" s="35">
        <v>1</v>
      </c>
      <c r="K1684" s="35">
        <v>100</v>
      </c>
      <c r="L1684" s="60" t="str">
        <f>HYPERLINK("https://www.sds-group.ru/product/setevoe-zaryadnoe-ustroystvo-rexant-usb-type-c-5v-2-4-a-chernoe-16-0297/", "Инфо")</f>
        <v>Инфо</v>
      </c>
      <c r="M1684" s="37">
        <v>6.7000000000000004E-2</v>
      </c>
      <c r="N1684" s="38">
        <v>5.8799999999999998E-4</v>
      </c>
      <c r="O1684" s="141">
        <v>4601004200272</v>
      </c>
    </row>
    <row r="1685" spans="1:15" s="1" customFormat="1" ht="11.45" customHeight="1" outlineLevel="4" x14ac:dyDescent="0.2">
      <c r="A1685" s="32" t="s">
        <v>17068</v>
      </c>
      <c r="B1685" s="74" t="s">
        <v>17069</v>
      </c>
      <c r="C1685" s="50"/>
      <c r="D1685" s="139">
        <f t="shared" si="26"/>
        <v>0</v>
      </c>
      <c r="E1685" s="140">
        <v>225.07</v>
      </c>
      <c r="F1685" s="140">
        <v>184.48</v>
      </c>
      <c r="G1685" s="34" t="s">
        <v>100</v>
      </c>
      <c r="H1685" s="34" t="s">
        <v>39</v>
      </c>
      <c r="I1685" s="35">
        <v>1</v>
      </c>
      <c r="J1685" s="35">
        <v>1</v>
      </c>
      <c r="K1685" s="35">
        <v>40</v>
      </c>
      <c r="L1685" s="60" t="str">
        <f>HYPERLINK("https://www.sds-group.ru/product/setevoe-zaryadnoe-ustroystvo-s-dvumya-portami-usb-a-i-type-c-20vt-gan-rexant-18-2202/", "Инфо")</f>
        <v>Инфо</v>
      </c>
      <c r="M1685" s="37">
        <v>6.9000000000000006E-2</v>
      </c>
      <c r="N1685" s="38">
        <v>4.3199999999999998E-4</v>
      </c>
      <c r="O1685" s="141">
        <v>4601004290532</v>
      </c>
    </row>
    <row r="1686" spans="1:15" s="1" customFormat="1" ht="11.45" customHeight="1" outlineLevel="4" x14ac:dyDescent="0.2">
      <c r="A1686" s="32" t="s">
        <v>17070</v>
      </c>
      <c r="B1686" s="74" t="s">
        <v>17071</v>
      </c>
      <c r="C1686" s="50"/>
      <c r="D1686" s="139">
        <f t="shared" si="26"/>
        <v>0</v>
      </c>
      <c r="E1686" s="140">
        <v>265.49</v>
      </c>
      <c r="F1686" s="140">
        <v>217.61</v>
      </c>
      <c r="G1686" s="34" t="s">
        <v>100</v>
      </c>
      <c r="H1686" s="34" t="s">
        <v>39</v>
      </c>
      <c r="I1686" s="35">
        <v>1</v>
      </c>
      <c r="J1686" s="35">
        <v>1</v>
      </c>
      <c r="K1686" s="35">
        <v>40</v>
      </c>
      <c r="L1686" s="60" t="str">
        <f>HYPERLINK("https://www.sds-group.ru/product/setevoe-zaryadnoe-ustroystvo-s-dvumya-portami-usb-a-i-type-c-25vt-gan-rexant-18-2203/", "Инфо")</f>
        <v>Инфо</v>
      </c>
      <c r="M1686" s="37">
        <v>7.0999999999999994E-2</v>
      </c>
      <c r="N1686" s="38">
        <v>4.2299999999999998E-4</v>
      </c>
      <c r="O1686" s="141">
        <v>4601004290549</v>
      </c>
    </row>
    <row r="1687" spans="1:15" s="1" customFormat="1" ht="11.45" customHeight="1" outlineLevel="4" x14ac:dyDescent="0.2">
      <c r="A1687" s="32" t="s">
        <v>17072</v>
      </c>
      <c r="B1687" s="74" t="s">
        <v>17073</v>
      </c>
      <c r="C1687" s="50"/>
      <c r="D1687" s="139">
        <f t="shared" si="26"/>
        <v>0</v>
      </c>
      <c r="E1687" s="140">
        <v>318.76</v>
      </c>
      <c r="F1687" s="140">
        <v>261.27999999999997</v>
      </c>
      <c r="G1687" s="34" t="s">
        <v>100</v>
      </c>
      <c r="H1687" s="34" t="s">
        <v>39</v>
      </c>
      <c r="I1687" s="35">
        <v>1</v>
      </c>
      <c r="J1687" s="35">
        <v>1</v>
      </c>
      <c r="K1687" s="35">
        <v>40</v>
      </c>
      <c r="L1687" s="60" t="str">
        <f>HYPERLINK("https://www.sds-group.ru/product/setevoe-zaryadnoe-ustroystvo-s-dvumya-portami-usb-a-i-type-c-30vt-gan-rexant-18-2204/", "Инфо")</f>
        <v>Инфо</v>
      </c>
      <c r="M1687" s="37">
        <v>7.4999999999999997E-2</v>
      </c>
      <c r="N1687" s="38">
        <v>4.2000000000000002E-4</v>
      </c>
      <c r="O1687" s="141">
        <v>4601004290518</v>
      </c>
    </row>
    <row r="1688" spans="1:15" s="1" customFormat="1" ht="11.45" customHeight="1" outlineLevel="4" x14ac:dyDescent="0.2">
      <c r="A1688" s="32" t="s">
        <v>17080</v>
      </c>
      <c r="B1688" s="74" t="s">
        <v>17081</v>
      </c>
      <c r="C1688" s="50"/>
      <c r="D1688" s="139">
        <f t="shared" si="26"/>
        <v>0</v>
      </c>
      <c r="E1688" s="140">
        <v>169.36</v>
      </c>
      <c r="F1688" s="140">
        <v>138.82</v>
      </c>
      <c r="G1688" s="34" t="s">
        <v>100</v>
      </c>
      <c r="H1688" s="34" t="s">
        <v>39</v>
      </c>
      <c r="I1688" s="35">
        <v>1</v>
      </c>
      <c r="J1688" s="35">
        <v>1</v>
      </c>
      <c r="K1688" s="35">
        <v>40</v>
      </c>
      <c r="L1688" s="60" t="str">
        <f>HYPERLINK("https://www.sds-group.ru/product/setevoe-zaryadnoe-ustroystvo-s-odnim-portom-type-c-20vt-gan-rexant-18-2201/", "Инфо")</f>
        <v>Инфо</v>
      </c>
      <c r="M1688" s="37">
        <v>6.8000000000000005E-2</v>
      </c>
      <c r="N1688" s="38">
        <v>4.1399999999999998E-4</v>
      </c>
      <c r="O1688" s="141">
        <v>4601004290525</v>
      </c>
    </row>
    <row r="1689" spans="1:15" s="1" customFormat="1" ht="11.45" customHeight="1" outlineLevel="4" x14ac:dyDescent="0.2">
      <c r="A1689" s="32" t="s">
        <v>17082</v>
      </c>
      <c r="B1689" s="74" t="s">
        <v>17083</v>
      </c>
      <c r="C1689" s="50"/>
      <c r="D1689" s="139">
        <f t="shared" si="26"/>
        <v>0</v>
      </c>
      <c r="E1689" s="140">
        <v>225.02</v>
      </c>
      <c r="F1689" s="140">
        <v>184.44</v>
      </c>
      <c r="G1689" s="34" t="s">
        <v>100</v>
      </c>
      <c r="H1689" s="34" t="s">
        <v>39</v>
      </c>
      <c r="I1689" s="35">
        <v>1</v>
      </c>
      <c r="J1689" s="35">
        <v>1</v>
      </c>
      <c r="K1689" s="35">
        <v>40</v>
      </c>
      <c r="L1689" s="60" t="str">
        <f>HYPERLINK("https://www.sds-group.ru/product/setevoe-zaryadnoe-ustroystvo-s-odnim-portom-type-c-30vt-gan-rexant-18-2205/", "Инфо")</f>
        <v>Инфо</v>
      </c>
      <c r="M1689" s="37">
        <v>6.9000000000000006E-2</v>
      </c>
      <c r="N1689" s="38">
        <v>3.9399999999999998E-4</v>
      </c>
      <c r="O1689" s="141">
        <v>4601004290501</v>
      </c>
    </row>
    <row r="1690" spans="1:15" ht="11.45" customHeight="1" outlineLevel="3" x14ac:dyDescent="0.2">
      <c r="A1690" s="76" t="s">
        <v>17092</v>
      </c>
      <c r="B1690" s="136"/>
      <c r="C1690" s="77"/>
      <c r="D1690" s="137"/>
      <c r="E1690" s="4"/>
      <c r="F1690" s="4"/>
      <c r="G1690" s="4"/>
      <c r="H1690" s="4"/>
      <c r="I1690" s="4"/>
      <c r="J1690" s="4"/>
      <c r="K1690" s="4"/>
      <c r="L1690" s="138"/>
      <c r="M1690" s="4"/>
      <c r="N1690" s="4"/>
      <c r="O1690" s="4"/>
    </row>
    <row r="1691" spans="1:15" s="1" customFormat="1" ht="11.45" customHeight="1" outlineLevel="4" x14ac:dyDescent="0.2">
      <c r="A1691" s="32" t="s">
        <v>17095</v>
      </c>
      <c r="B1691" s="74" t="s">
        <v>17096</v>
      </c>
      <c r="C1691" s="50"/>
      <c r="D1691" s="139">
        <f t="shared" si="26"/>
        <v>0</v>
      </c>
      <c r="E1691" s="140">
        <v>59.48</v>
      </c>
      <c r="F1691" s="140">
        <v>48.75</v>
      </c>
      <c r="G1691" s="34" t="s">
        <v>100</v>
      </c>
      <c r="H1691" s="34" t="s">
        <v>39</v>
      </c>
      <c r="I1691" s="35">
        <v>1</v>
      </c>
      <c r="J1691" s="35">
        <v>1</v>
      </c>
      <c r="K1691" s="35">
        <v>100</v>
      </c>
      <c r="L1691" s="60" t="str">
        <f>HYPERLINK("https://www.sds-group.ru/product/avtozaryadka-v-prikurivatel-microusb-azu-5-v-1000-ma-shnur-pryamoy-1-2-m-chernaya-rexant-16-0250/", "Инфо")</f>
        <v>Инфо</v>
      </c>
      <c r="M1691" s="37">
        <v>4.3999999999999997E-2</v>
      </c>
      <c r="N1691" s="38">
        <v>4.44E-4</v>
      </c>
      <c r="O1691" s="141">
        <v>4601004026629</v>
      </c>
    </row>
    <row r="1692" spans="1:15" s="1" customFormat="1" ht="11.45" customHeight="1" outlineLevel="4" x14ac:dyDescent="0.2">
      <c r="A1692" s="32" t="s">
        <v>17097</v>
      </c>
      <c r="B1692" s="74" t="s">
        <v>17098</v>
      </c>
      <c r="C1692" s="50"/>
      <c r="D1692" s="139">
        <f t="shared" si="26"/>
        <v>0</v>
      </c>
      <c r="E1692" s="140">
        <v>92.96</v>
      </c>
      <c r="F1692" s="140">
        <v>76.2</v>
      </c>
      <c r="G1692" s="34" t="s">
        <v>100</v>
      </c>
      <c r="H1692" s="34" t="s">
        <v>39</v>
      </c>
      <c r="I1692" s="35">
        <v>10</v>
      </c>
      <c r="J1692" s="35">
        <v>10</v>
      </c>
      <c r="K1692" s="35">
        <v>500</v>
      </c>
      <c r="L1692" s="60" t="str">
        <f>HYPERLINK("https://www.sds-group.ru/product/avtozaryadka-v-prikurivatel-usb-azu-5-v-1000-ma-rexant-16-0236/", "Инфо")</f>
        <v>Инфо</v>
      </c>
      <c r="M1692" s="37">
        <v>2.1999999999999999E-2</v>
      </c>
      <c r="N1692" s="38">
        <v>9.1000000000000003E-5</v>
      </c>
      <c r="O1692" s="141">
        <v>4660008015855</v>
      </c>
    </row>
    <row r="1693" spans="1:15" s="1" customFormat="1" ht="11.45" customHeight="1" outlineLevel="4" x14ac:dyDescent="0.2">
      <c r="A1693" s="32" t="s">
        <v>17099</v>
      </c>
      <c r="B1693" s="74" t="s">
        <v>17100</v>
      </c>
      <c r="C1693" s="50"/>
      <c r="D1693" s="139">
        <f t="shared" si="26"/>
        <v>0</v>
      </c>
      <c r="E1693" s="140">
        <v>92.5</v>
      </c>
      <c r="F1693" s="140">
        <v>75.819999999999993</v>
      </c>
      <c r="G1693" s="34" t="s">
        <v>100</v>
      </c>
      <c r="H1693" s="34" t="s">
        <v>39</v>
      </c>
      <c r="I1693" s="35">
        <v>1</v>
      </c>
      <c r="J1693" s="35">
        <v>1</v>
      </c>
      <c r="K1693" s="35">
        <v>25</v>
      </c>
      <c r="L1693" s="60" t="str">
        <f>HYPERLINK("https://www.sds-group.ru/product/avtozaryadka-v-prikurivatel-rexant-azu-2husb-gnezdo-12-24v-5v-1-000ma-16-0299/", "Инфо")</f>
        <v>Инфо</v>
      </c>
      <c r="M1693" s="37">
        <v>7.5999999999999998E-2</v>
      </c>
      <c r="N1693" s="38">
        <v>6.1399999999999996E-4</v>
      </c>
      <c r="O1693" s="141">
        <v>4601004235779</v>
      </c>
    </row>
    <row r="1694" spans="1:15" s="1" customFormat="1" ht="11.45" customHeight="1" outlineLevel="4" x14ac:dyDescent="0.2">
      <c r="A1694" s="32" t="s">
        <v>17103</v>
      </c>
      <c r="B1694" s="74" t="s">
        <v>17104</v>
      </c>
      <c r="C1694" s="50"/>
      <c r="D1694" s="139">
        <f t="shared" si="26"/>
        <v>0</v>
      </c>
      <c r="E1694" s="140">
        <v>186.84</v>
      </c>
      <c r="F1694" s="140">
        <v>153.15</v>
      </c>
      <c r="G1694" s="34" t="s">
        <v>100</v>
      </c>
      <c r="H1694" s="34" t="s">
        <v>39</v>
      </c>
      <c r="I1694" s="35">
        <v>1</v>
      </c>
      <c r="J1694" s="35">
        <v>1</v>
      </c>
      <c r="K1694" s="35">
        <v>30</v>
      </c>
      <c r="L1694" s="60" t="str">
        <f>HYPERLINK("https://www.sds-group.ru/product/avtozaryadka-v-prikurivatel-rexant-azu-usb-a-usb-c-3-1-a-belaya-18-2227/", "Инфо")</f>
        <v>Инфо</v>
      </c>
      <c r="M1694" s="37">
        <v>5.0999999999999997E-2</v>
      </c>
      <c r="N1694" s="38">
        <v>5.4600000000000004E-4</v>
      </c>
      <c r="O1694" s="141">
        <v>4601004235793</v>
      </c>
    </row>
    <row r="1695" spans="1:15" s="1" customFormat="1" ht="11.45" customHeight="1" outlineLevel="4" x14ac:dyDescent="0.2">
      <c r="A1695" s="32" t="s">
        <v>17107</v>
      </c>
      <c r="B1695" s="74" t="s">
        <v>17108</v>
      </c>
      <c r="C1695" s="50"/>
      <c r="D1695" s="139">
        <f t="shared" si="26"/>
        <v>0</v>
      </c>
      <c r="E1695" s="140">
        <v>120.18</v>
      </c>
      <c r="F1695" s="140">
        <v>98.51</v>
      </c>
      <c r="G1695" s="34" t="s">
        <v>100</v>
      </c>
      <c r="H1695" s="34" t="s">
        <v>39</v>
      </c>
      <c r="I1695" s="35">
        <v>10</v>
      </c>
      <c r="J1695" s="35">
        <v>10</v>
      </c>
      <c r="K1695" s="35">
        <v>200</v>
      </c>
      <c r="L1695" s="60" t="str">
        <f>HYPERLINK("https://www.sds-group.ru/product/avtozaryadka-s-indikatorom-razem-1-4h3-4-azu-shnur-spiral-1-5-m-rexant-16-0235/", "Инфо")</f>
        <v>Инфо</v>
      </c>
      <c r="M1695" s="37">
        <v>5.3999999999999999E-2</v>
      </c>
      <c r="N1695" s="38">
        <v>1.6100000000000001E-4</v>
      </c>
      <c r="O1695" s="141">
        <v>4660008015497</v>
      </c>
    </row>
    <row r="1696" spans="1:15" s="1" customFormat="1" ht="11.45" customHeight="1" outlineLevel="4" x14ac:dyDescent="0.2">
      <c r="A1696" s="32" t="s">
        <v>17129</v>
      </c>
      <c r="B1696" s="74" t="s">
        <v>17130</v>
      </c>
      <c r="C1696" s="50"/>
      <c r="D1696" s="139">
        <f t="shared" si="26"/>
        <v>0</v>
      </c>
      <c r="E1696" s="140">
        <v>155.29</v>
      </c>
      <c r="F1696" s="140">
        <v>127.29</v>
      </c>
      <c r="G1696" s="34" t="s">
        <v>100</v>
      </c>
      <c r="H1696" s="34" t="s">
        <v>39</v>
      </c>
      <c r="I1696" s="35">
        <v>1</v>
      </c>
      <c r="J1696" s="35">
        <v>1</v>
      </c>
      <c r="K1696" s="35">
        <v>250</v>
      </c>
      <c r="L1696" s="60" t="str">
        <f>HYPERLINK("https://www.sds-group.ru/product/avtomobilnoe-zaryadnoe-ustroystvo-c-dvumya-portami-usb-a-type-s-12vt-rexant-18-2228/", "Инфо")</f>
        <v>Инфо</v>
      </c>
      <c r="M1696" s="37">
        <v>4.2000000000000003E-2</v>
      </c>
      <c r="N1696" s="38">
        <v>5.4299999999999997E-4</v>
      </c>
      <c r="O1696" s="141">
        <v>4601004235809</v>
      </c>
    </row>
    <row r="1697" spans="1:15" s="1" customFormat="1" ht="11.45" customHeight="1" outlineLevel="4" x14ac:dyDescent="0.2">
      <c r="A1697" s="32" t="s">
        <v>17137</v>
      </c>
      <c r="B1697" s="74" t="s">
        <v>17138</v>
      </c>
      <c r="C1697" s="50"/>
      <c r="D1697" s="139">
        <f t="shared" si="26"/>
        <v>0</v>
      </c>
      <c r="E1697" s="140">
        <v>220.27</v>
      </c>
      <c r="F1697" s="140">
        <v>180.55</v>
      </c>
      <c r="G1697" s="34" t="s">
        <v>100</v>
      </c>
      <c r="H1697" s="34" t="s">
        <v>39</v>
      </c>
      <c r="I1697" s="35">
        <v>1</v>
      </c>
      <c r="J1697" s="35">
        <v>1</v>
      </c>
      <c r="K1697" s="35">
        <v>4</v>
      </c>
      <c r="L1697" s="60" t="str">
        <f>HYPERLINK("https://www.sds-group.ru/product/besprovodnoe-zaryadnoe-ustroystvo-rexant-10w-chernoe-16-0293/", "Инфо")</f>
        <v>Инфо</v>
      </c>
      <c r="M1697" s="37">
        <v>0.39700000000000002</v>
      </c>
      <c r="N1697" s="38">
        <v>3.8649999999999999E-3</v>
      </c>
      <c r="O1697" s="141">
        <v>4601004200357</v>
      </c>
    </row>
    <row r="1698" spans="1:15" s="1" customFormat="1" ht="11.45" customHeight="1" outlineLevel="4" x14ac:dyDescent="0.2">
      <c r="A1698" s="32" t="s">
        <v>17139</v>
      </c>
      <c r="B1698" s="74" t="s">
        <v>17140</v>
      </c>
      <c r="C1698" s="50"/>
      <c r="D1698" s="139">
        <f t="shared" si="26"/>
        <v>0</v>
      </c>
      <c r="E1698" s="140">
        <v>80.849999999999994</v>
      </c>
      <c r="F1698" s="140">
        <v>66.27</v>
      </c>
      <c r="G1698" s="34" t="s">
        <v>100</v>
      </c>
      <c r="H1698" s="34" t="s">
        <v>39</v>
      </c>
      <c r="I1698" s="35">
        <v>1</v>
      </c>
      <c r="J1698" s="35">
        <v>1</v>
      </c>
      <c r="K1698" s="35">
        <v>250</v>
      </c>
      <c r="L1698" s="60" t="str">
        <f>HYPERLINK("https://www.sds-group.ru/product/zaryadnoe-ustroystvo-v-prikurivatel-rexant-3-x-usb-1000ma-chernoe-16-0291/", "Инфо")</f>
        <v>Инфо</v>
      </c>
      <c r="M1698" s="37">
        <v>4.7E-2</v>
      </c>
      <c r="N1698" s="38">
        <v>5.1900000000000004E-4</v>
      </c>
      <c r="O1698" s="141">
        <v>4601004200333</v>
      </c>
    </row>
    <row r="1699" spans="1:15" s="1" customFormat="1" ht="11.45" customHeight="1" outlineLevel="4" x14ac:dyDescent="0.2">
      <c r="A1699" s="32" t="s">
        <v>17141</v>
      </c>
      <c r="B1699" s="74" t="s">
        <v>17142</v>
      </c>
      <c r="C1699" s="50"/>
      <c r="D1699" s="139">
        <f t="shared" si="26"/>
        <v>0</v>
      </c>
      <c r="E1699" s="140">
        <v>115.78</v>
      </c>
      <c r="F1699" s="140">
        <v>94.9</v>
      </c>
      <c r="G1699" s="34" t="s">
        <v>100</v>
      </c>
      <c r="H1699" s="34" t="s">
        <v>39</v>
      </c>
      <c r="I1699" s="35">
        <v>1</v>
      </c>
      <c r="J1699" s="35">
        <v>1</v>
      </c>
      <c r="K1699" s="35">
        <v>500</v>
      </c>
      <c r="L1699" s="60" t="str">
        <f>HYPERLINK("https://www.sds-group.ru/product/zaryadnoe-ustroystvo-v-prikurivatel-rexant-usb-5v-2-4-a-chernoe-16-0282/", "Инфо")</f>
        <v>Инфо</v>
      </c>
      <c r="M1699" s="37">
        <v>2.7E-2</v>
      </c>
      <c r="N1699" s="38">
        <v>3.1999999999999999E-5</v>
      </c>
      <c r="O1699" s="141">
        <v>4601004200463</v>
      </c>
    </row>
    <row r="1700" spans="1:15" ht="11.45" customHeight="1" outlineLevel="2" x14ac:dyDescent="0.2">
      <c r="A1700" s="76" t="s">
        <v>17163</v>
      </c>
      <c r="B1700" s="136"/>
      <c r="C1700" s="77"/>
      <c r="D1700" s="137"/>
      <c r="E1700" s="4"/>
      <c r="F1700" s="4"/>
      <c r="G1700" s="4"/>
      <c r="H1700" s="4"/>
      <c r="I1700" s="4"/>
      <c r="J1700" s="4"/>
      <c r="K1700" s="4"/>
      <c r="L1700" s="138"/>
      <c r="M1700" s="4"/>
      <c r="N1700" s="4"/>
      <c r="O1700" s="4"/>
    </row>
    <row r="1701" spans="1:15" ht="11.45" customHeight="1" outlineLevel="3" x14ac:dyDescent="0.2">
      <c r="A1701" s="76" t="s">
        <v>17164</v>
      </c>
      <c r="B1701" s="136"/>
      <c r="C1701" s="77"/>
      <c r="D1701" s="137"/>
      <c r="E1701" s="4"/>
      <c r="F1701" s="4"/>
      <c r="G1701" s="4"/>
      <c r="H1701" s="4"/>
      <c r="I1701" s="4"/>
      <c r="J1701" s="4"/>
      <c r="K1701" s="4"/>
      <c r="L1701" s="138"/>
      <c r="M1701" s="4"/>
      <c r="N1701" s="4"/>
      <c r="O1701" s="4"/>
    </row>
    <row r="1702" spans="1:15" s="1" customFormat="1" ht="11.45" customHeight="1" outlineLevel="4" x14ac:dyDescent="0.2">
      <c r="A1702" s="32" t="s">
        <v>17167</v>
      </c>
      <c r="B1702" s="74" t="s">
        <v>17168</v>
      </c>
      <c r="C1702" s="50"/>
      <c r="D1702" s="139">
        <f t="shared" si="26"/>
        <v>0</v>
      </c>
      <c r="E1702" s="140">
        <v>123.32</v>
      </c>
      <c r="F1702" s="140">
        <v>101.08</v>
      </c>
      <c r="G1702" s="34" t="s">
        <v>100</v>
      </c>
      <c r="H1702" s="34" t="s">
        <v>39</v>
      </c>
      <c r="I1702" s="35">
        <v>5</v>
      </c>
      <c r="J1702" s="35">
        <v>5</v>
      </c>
      <c r="K1702" s="35">
        <v>200</v>
      </c>
      <c r="L1702" s="60" t="str">
        <f>HYPERLINK("https://www.sds-group.ru/product/ventilyator-rqd-8025ms-dc-12v-rexant-72-5080/", "Инфо")</f>
        <v>Инфо</v>
      </c>
      <c r="M1702" s="37">
        <v>6.4000000000000001E-2</v>
      </c>
      <c r="N1702" s="38">
        <v>1.3799999999999999E-4</v>
      </c>
      <c r="O1702" s="141">
        <v>4601004076211</v>
      </c>
    </row>
    <row r="1703" spans="1:15" s="1" customFormat="1" ht="11.45" customHeight="1" outlineLevel="4" x14ac:dyDescent="0.2">
      <c r="A1703" s="32" t="s">
        <v>17173</v>
      </c>
      <c r="B1703" s="74" t="s">
        <v>17174</v>
      </c>
      <c r="C1703" s="50"/>
      <c r="D1703" s="139">
        <f t="shared" si="26"/>
        <v>0</v>
      </c>
      <c r="E1703" s="140">
        <v>117.16</v>
      </c>
      <c r="F1703" s="140">
        <v>96.03</v>
      </c>
      <c r="G1703" s="34" t="s">
        <v>100</v>
      </c>
      <c r="H1703" s="34" t="s">
        <v>39</v>
      </c>
      <c r="I1703" s="35">
        <v>1</v>
      </c>
      <c r="J1703" s="35">
        <v>1</v>
      </c>
      <c r="K1703" s="35">
        <v>400</v>
      </c>
      <c r="L1703" s="60" t="str">
        <f>HYPERLINK("https://www.sds-group.ru/product/ventilyator-rx-6010ms-dc-12v-rexant-72-5060/", "Инфо")</f>
        <v>Инфо</v>
      </c>
      <c r="M1703" s="37">
        <v>2.9000000000000001E-2</v>
      </c>
      <c r="N1703" s="38">
        <v>7.4999999999999993E-5</v>
      </c>
      <c r="O1703" s="141">
        <v>4601004096868</v>
      </c>
    </row>
    <row r="1704" spans="1:15" s="1" customFormat="1" ht="11.45" customHeight="1" outlineLevel="4" x14ac:dyDescent="0.2">
      <c r="A1704" s="32" t="s">
        <v>17181</v>
      </c>
      <c r="B1704" s="74" t="s">
        <v>17182</v>
      </c>
      <c r="C1704" s="50"/>
      <c r="D1704" s="139">
        <f t="shared" si="26"/>
        <v>0</v>
      </c>
      <c r="E1704" s="140">
        <v>212.69</v>
      </c>
      <c r="F1704" s="140">
        <v>174.34</v>
      </c>
      <c r="G1704" s="34" t="s">
        <v>100</v>
      </c>
      <c r="H1704" s="34" t="s">
        <v>39</v>
      </c>
      <c r="I1704" s="35">
        <v>1</v>
      </c>
      <c r="J1704" s="35">
        <v>1</v>
      </c>
      <c r="K1704" s="35">
        <v>40</v>
      </c>
      <c r="L1704" s="60" t="str">
        <f>HYPERLINK("https://www.sds-group.ru/product/ventilyator-rh-12038ms-dc-12v-rexant-72-5121/", "Инфо")</f>
        <v>Инфо</v>
      </c>
      <c r="M1704" s="37">
        <v>0.23799999999999999</v>
      </c>
      <c r="N1704" s="38">
        <v>8.03E-4</v>
      </c>
      <c r="O1704" s="141">
        <v>4601004136588</v>
      </c>
    </row>
    <row r="1705" spans="1:15" ht="11.45" customHeight="1" outlineLevel="3" x14ac:dyDescent="0.2">
      <c r="A1705" s="76" t="s">
        <v>17207</v>
      </c>
      <c r="B1705" s="136"/>
      <c r="C1705" s="77"/>
      <c r="D1705" s="137"/>
      <c r="E1705" s="4"/>
      <c r="F1705" s="4"/>
      <c r="G1705" s="4"/>
      <c r="H1705" s="4"/>
      <c r="I1705" s="4"/>
      <c r="J1705" s="4"/>
      <c r="K1705" s="4"/>
      <c r="L1705" s="138"/>
      <c r="M1705" s="4"/>
      <c r="N1705" s="4"/>
      <c r="O1705" s="4"/>
    </row>
    <row r="1706" spans="1:15" s="1" customFormat="1" ht="11.45" customHeight="1" outlineLevel="4" x14ac:dyDescent="0.2">
      <c r="A1706" s="32" t="s">
        <v>17210</v>
      </c>
      <c r="B1706" s="74" t="s">
        <v>17211</v>
      </c>
      <c r="C1706" s="50"/>
      <c r="D1706" s="139">
        <f t="shared" si="26"/>
        <v>0</v>
      </c>
      <c r="E1706" s="140">
        <v>26.59</v>
      </c>
      <c r="F1706" s="140">
        <v>21.8</v>
      </c>
      <c r="G1706" s="34" t="s">
        <v>100</v>
      </c>
      <c r="H1706" s="34" t="s">
        <v>39</v>
      </c>
      <c r="I1706" s="35">
        <v>1</v>
      </c>
      <c r="J1706" s="35">
        <v>1</v>
      </c>
      <c r="K1706" s="39">
        <v>1000</v>
      </c>
      <c r="L1706" s="60" t="str">
        <f>HYPERLINK("https://www.sds-group.ru/product/reshetka-dlya-ventilyatora-60mm-rexant-72-7060/", "Инфо")</f>
        <v>Инфо</v>
      </c>
      <c r="M1706" s="37">
        <v>0.01</v>
      </c>
      <c r="N1706" s="38">
        <v>1.5999999999999999E-5</v>
      </c>
      <c r="O1706" s="141">
        <v>4601004076297</v>
      </c>
    </row>
    <row r="1707" spans="1:15" ht="11.45" customHeight="1" outlineLevel="2" x14ac:dyDescent="0.2">
      <c r="A1707" s="76" t="s">
        <v>17212</v>
      </c>
      <c r="B1707" s="136"/>
      <c r="C1707" s="77"/>
      <c r="D1707" s="137"/>
      <c r="E1707" s="4"/>
      <c r="F1707" s="4"/>
      <c r="G1707" s="4"/>
      <c r="H1707" s="4"/>
      <c r="I1707" s="4"/>
      <c r="J1707" s="4"/>
      <c r="K1707" s="4"/>
      <c r="L1707" s="138"/>
      <c r="M1707" s="4"/>
      <c r="N1707" s="4"/>
      <c r="O1707" s="4"/>
    </row>
    <row r="1708" spans="1:15" ht="11.45" customHeight="1" outlineLevel="3" x14ac:dyDescent="0.2">
      <c r="A1708" s="76" t="s">
        <v>17213</v>
      </c>
      <c r="B1708" s="136"/>
      <c r="C1708" s="77"/>
      <c r="D1708" s="137"/>
      <c r="E1708" s="4"/>
      <c r="F1708" s="4"/>
      <c r="G1708" s="4"/>
      <c r="H1708" s="4"/>
      <c r="I1708" s="4"/>
      <c r="J1708" s="4"/>
      <c r="K1708" s="4"/>
      <c r="L1708" s="138"/>
      <c r="M1708" s="4"/>
      <c r="N1708" s="4"/>
      <c r="O1708" s="4"/>
    </row>
    <row r="1709" spans="1:15" s="1" customFormat="1" ht="11.45" customHeight="1" outlineLevel="4" x14ac:dyDescent="0.2">
      <c r="A1709" s="32" t="s">
        <v>17216</v>
      </c>
      <c r="B1709" s="74" t="s">
        <v>17217</v>
      </c>
      <c r="C1709" s="50"/>
      <c r="D1709" s="139">
        <f t="shared" si="26"/>
        <v>0</v>
      </c>
      <c r="E1709" s="140">
        <v>50.95</v>
      </c>
      <c r="F1709" s="140">
        <v>41.76</v>
      </c>
      <c r="G1709" s="34" t="s">
        <v>100</v>
      </c>
      <c r="H1709" s="34" t="s">
        <v>39</v>
      </c>
      <c r="I1709" s="35">
        <v>1</v>
      </c>
      <c r="J1709" s="35">
        <v>1</v>
      </c>
      <c r="K1709" s="35">
        <v>500</v>
      </c>
      <c r="L1709" s="60" t="str">
        <f>HYPERLINK("https://www.sds-group.ru/product/avtomobilnyy-derzhatel-telefona-v-deflektor-d1-razmer-64-86-mm-rexant-40-0609/", "Инфо")</f>
        <v>Инфо</v>
      </c>
      <c r="M1709" s="37">
        <v>3.3000000000000002E-2</v>
      </c>
      <c r="N1709" s="38">
        <v>1.2400000000000001E-4</v>
      </c>
      <c r="O1709" s="141">
        <v>4601004305243</v>
      </c>
    </row>
    <row r="1710" spans="1:15" ht="11.45" customHeight="1" outlineLevel="3" x14ac:dyDescent="0.2">
      <c r="A1710" s="76" t="s">
        <v>17228</v>
      </c>
      <c r="B1710" s="136"/>
      <c r="C1710" s="77"/>
      <c r="D1710" s="137"/>
      <c r="E1710" s="4"/>
      <c r="F1710" s="4"/>
      <c r="G1710" s="4"/>
      <c r="H1710" s="4"/>
      <c r="I1710" s="4"/>
      <c r="J1710" s="4"/>
      <c r="K1710" s="4"/>
      <c r="L1710" s="138"/>
      <c r="M1710" s="4"/>
      <c r="N1710" s="4"/>
      <c r="O1710" s="4"/>
    </row>
    <row r="1711" spans="1:15" s="1" customFormat="1" ht="11.45" customHeight="1" outlineLevel="4" x14ac:dyDescent="0.2">
      <c r="A1711" s="32" t="s">
        <v>17229</v>
      </c>
      <c r="B1711" s="74" t="s">
        <v>17230</v>
      </c>
      <c r="C1711" s="50"/>
      <c r="D1711" s="139">
        <f t="shared" si="26"/>
        <v>0</v>
      </c>
      <c r="E1711" s="140">
        <v>464.54</v>
      </c>
      <c r="F1711" s="140">
        <v>380.77</v>
      </c>
      <c r="G1711" s="34" t="s">
        <v>100</v>
      </c>
      <c r="H1711" s="34" t="s">
        <v>39</v>
      </c>
      <c r="I1711" s="35">
        <v>1</v>
      </c>
      <c r="J1711" s="35">
        <v>1</v>
      </c>
      <c r="K1711" s="35">
        <v>100</v>
      </c>
      <c r="L1711" s="60" t="str">
        <f>HYPERLINK("https://www.sds-group.ru/product/naushniki-besprovodnye-air-r1-rexant-18-2005/", "Инфо")</f>
        <v>Инфо</v>
      </c>
      <c r="M1711" s="37">
        <v>0.13</v>
      </c>
      <c r="N1711" s="38">
        <v>5.6400000000000005E-4</v>
      </c>
      <c r="O1711" s="141">
        <v>4601004301948</v>
      </c>
    </row>
    <row r="1712" spans="1:15" s="1" customFormat="1" ht="11.45" customHeight="1" outlineLevel="4" x14ac:dyDescent="0.2">
      <c r="A1712" s="32" t="s">
        <v>17231</v>
      </c>
      <c r="B1712" s="74" t="s">
        <v>17232</v>
      </c>
      <c r="C1712" s="50"/>
      <c r="D1712" s="139">
        <f t="shared" si="26"/>
        <v>0</v>
      </c>
      <c r="E1712" s="140">
        <v>83.85</v>
      </c>
      <c r="F1712" s="140">
        <v>68.73</v>
      </c>
      <c r="G1712" s="34" t="s">
        <v>100</v>
      </c>
      <c r="H1712" s="34" t="s">
        <v>39</v>
      </c>
      <c r="I1712" s="35">
        <v>10</v>
      </c>
      <c r="J1712" s="35">
        <v>10</v>
      </c>
      <c r="K1712" s="35">
        <v>200</v>
      </c>
      <c r="L1712" s="60" t="str">
        <f>HYPERLINK("https://www.sds-group.ru/product/naushniki-s-mikrofonom-belye-18-0150/", "Инфо")</f>
        <v>Инфо</v>
      </c>
      <c r="M1712" s="37">
        <v>3.6999999999999998E-2</v>
      </c>
      <c r="N1712" s="38">
        <v>3.0299999999999999E-4</v>
      </c>
      <c r="O1712" s="141">
        <v>4601004004962</v>
      </c>
    </row>
    <row r="1713" spans="1:15" ht="11.45" customHeight="1" outlineLevel="1" x14ac:dyDescent="0.2">
      <c r="A1713" s="78" t="s">
        <v>17233</v>
      </c>
      <c r="B1713" s="132"/>
      <c r="C1713" s="79"/>
      <c r="D1713" s="133"/>
      <c r="E1713" s="134"/>
      <c r="F1713" s="134"/>
      <c r="G1713" s="134"/>
      <c r="H1713" s="134"/>
      <c r="I1713" s="134"/>
      <c r="J1713" s="134"/>
      <c r="K1713" s="134"/>
      <c r="L1713" s="135"/>
      <c r="M1713" s="134"/>
      <c r="N1713" s="134"/>
      <c r="O1713" s="134"/>
    </row>
    <row r="1714" spans="1:15" ht="11.45" customHeight="1" outlineLevel="2" x14ac:dyDescent="0.2">
      <c r="A1714" s="76" t="s">
        <v>17234</v>
      </c>
      <c r="B1714" s="136"/>
      <c r="C1714" s="77"/>
      <c r="D1714" s="137"/>
      <c r="E1714" s="4"/>
      <c r="F1714" s="4"/>
      <c r="G1714" s="4"/>
      <c r="H1714" s="4"/>
      <c r="I1714" s="4"/>
      <c r="J1714" s="4"/>
      <c r="K1714" s="4"/>
      <c r="L1714" s="138"/>
      <c r="M1714" s="4"/>
      <c r="N1714" s="4"/>
      <c r="O1714" s="4"/>
    </row>
    <row r="1715" spans="1:15" ht="11.45" customHeight="1" outlineLevel="3" x14ac:dyDescent="0.2">
      <c r="A1715" s="76" t="s">
        <v>17289</v>
      </c>
      <c r="B1715" s="136"/>
      <c r="C1715" s="77"/>
      <c r="D1715" s="137"/>
      <c r="E1715" s="4"/>
      <c r="F1715" s="4"/>
      <c r="G1715" s="4"/>
      <c r="H1715" s="4"/>
      <c r="I1715" s="4"/>
      <c r="J1715" s="4"/>
      <c r="K1715" s="4"/>
      <c r="L1715" s="138"/>
      <c r="M1715" s="4"/>
      <c r="N1715" s="4"/>
      <c r="O1715" s="4"/>
    </row>
    <row r="1716" spans="1:15" s="1" customFormat="1" ht="11.45" customHeight="1" outlineLevel="4" x14ac:dyDescent="0.2">
      <c r="A1716" s="32" t="s">
        <v>17290</v>
      </c>
      <c r="B1716" s="74" t="s">
        <v>17291</v>
      </c>
      <c r="C1716" s="50"/>
      <c r="D1716" s="139">
        <f t="shared" si="26"/>
        <v>0</v>
      </c>
      <c r="E1716" s="140">
        <v>3.15</v>
      </c>
      <c r="F1716" s="140">
        <v>2.58</v>
      </c>
      <c r="G1716" s="34" t="s">
        <v>100</v>
      </c>
      <c r="H1716" s="34" t="s">
        <v>39</v>
      </c>
      <c r="I1716" s="35">
        <v>4</v>
      </c>
      <c r="J1716" s="35">
        <v>4</v>
      </c>
      <c r="K1716" s="35">
        <v>960</v>
      </c>
      <c r="L1716" s="60" t="str">
        <f>HYPERLINK("https://www.sds-group.ru/product/batareyka-solevaya-aa-r6-1-5v-4-sht-proconnect-9320/", "Инфо")</f>
        <v>Инфо</v>
      </c>
      <c r="M1716" s="37">
        <v>1.4E-2</v>
      </c>
      <c r="N1716" s="38">
        <v>1.4E-5</v>
      </c>
      <c r="O1716" s="141">
        <v>4601004031791</v>
      </c>
    </row>
    <row r="1717" spans="1:15" ht="11.45" customHeight="1" outlineLevel="2" x14ac:dyDescent="0.2">
      <c r="A1717" s="76" t="s">
        <v>17292</v>
      </c>
      <c r="B1717" s="136"/>
      <c r="C1717" s="77"/>
      <c r="D1717" s="137"/>
      <c r="E1717" s="4"/>
      <c r="F1717" s="4"/>
      <c r="G1717" s="4"/>
      <c r="H1717" s="4"/>
      <c r="I1717" s="4"/>
      <c r="J1717" s="4"/>
      <c r="K1717" s="4"/>
      <c r="L1717" s="138"/>
      <c r="M1717" s="4"/>
      <c r="N1717" s="4"/>
      <c r="O1717" s="4"/>
    </row>
    <row r="1718" spans="1:15" ht="11.45" customHeight="1" outlineLevel="3" x14ac:dyDescent="0.2">
      <c r="A1718" s="76" t="s">
        <v>17293</v>
      </c>
      <c r="B1718" s="136"/>
      <c r="C1718" s="77"/>
      <c r="D1718" s="137"/>
      <c r="E1718" s="4"/>
      <c r="F1718" s="4"/>
      <c r="G1718" s="4"/>
      <c r="H1718" s="4"/>
      <c r="I1718" s="4"/>
      <c r="J1718" s="4"/>
      <c r="K1718" s="4"/>
      <c r="L1718" s="138"/>
      <c r="M1718" s="4"/>
      <c r="N1718" s="4"/>
      <c r="O1718" s="4"/>
    </row>
    <row r="1719" spans="1:15" s="1" customFormat="1" ht="11.45" customHeight="1" outlineLevel="4" x14ac:dyDescent="0.2">
      <c r="A1719" s="32" t="s">
        <v>17294</v>
      </c>
      <c r="B1719" s="74" t="s">
        <v>17295</v>
      </c>
      <c r="C1719" s="50"/>
      <c r="D1719" s="139">
        <f t="shared" si="26"/>
        <v>0</v>
      </c>
      <c r="E1719" s="140">
        <v>95.56</v>
      </c>
      <c r="F1719" s="140">
        <v>78.33</v>
      </c>
      <c r="G1719" s="34" t="s">
        <v>100</v>
      </c>
      <c r="H1719" s="34" t="s">
        <v>39</v>
      </c>
      <c r="I1719" s="35">
        <v>4</v>
      </c>
      <c r="J1719" s="35">
        <v>4</v>
      </c>
      <c r="K1719" s="35">
        <v>500</v>
      </c>
      <c r="L1719" s="60" t="str">
        <f>HYPERLINK("https://www.sds-group.ru/product/akkumulyator-li-ion-litiy-ion-16340-3-7v-700mach-bez-platy-zaschity-4-sht-plastikovaya-upako-30-2036/", "Инфо")</f>
        <v>Инфо</v>
      </c>
      <c r="M1719" s="37">
        <v>2.1000000000000001E-2</v>
      </c>
      <c r="N1719" s="38">
        <v>3.4999999999999997E-5</v>
      </c>
      <c r="O1719" s="141">
        <v>4601004291058</v>
      </c>
    </row>
    <row r="1720" spans="1:15" s="1" customFormat="1" ht="11.45" customHeight="1" outlineLevel="4" x14ac:dyDescent="0.2">
      <c r="A1720" s="32" t="s">
        <v>17304</v>
      </c>
      <c r="B1720" s="74" t="s">
        <v>17305</v>
      </c>
      <c r="C1720" s="50"/>
      <c r="D1720" s="139">
        <f t="shared" si="26"/>
        <v>0</v>
      </c>
      <c r="E1720" s="140">
        <v>79.010000000000005</v>
      </c>
      <c r="F1720" s="140">
        <v>64.760000000000005</v>
      </c>
      <c r="G1720" s="34" t="s">
        <v>100</v>
      </c>
      <c r="H1720" s="34" t="s">
        <v>39</v>
      </c>
      <c r="I1720" s="35">
        <v>10</v>
      </c>
      <c r="J1720" s="35">
        <v>10</v>
      </c>
      <c r="K1720" s="35">
        <v>200</v>
      </c>
      <c r="L1720" s="60" t="str">
        <f>HYPERLINK("https://www.sds-group.ru/product/akkumulyator-li-ion-16340-3-7v-700mach-bez-platy-zaschity-ploskiy-kontakt-10-sht-korobka-rex-30-2040/", "Инфо")</f>
        <v>Инфо</v>
      </c>
      <c r="M1720" s="37">
        <v>2.1000000000000001E-2</v>
      </c>
      <c r="N1720" s="38">
        <v>5.7000000000000003E-5</v>
      </c>
      <c r="O1720" s="141">
        <v>4601004170650</v>
      </c>
    </row>
    <row r="1721" spans="1:15" ht="11.45" customHeight="1" outlineLevel="3" x14ac:dyDescent="0.2">
      <c r="A1721" s="76" t="s">
        <v>17343</v>
      </c>
      <c r="B1721" s="136"/>
      <c r="C1721" s="77"/>
      <c r="D1721" s="137"/>
      <c r="E1721" s="4"/>
      <c r="F1721" s="4"/>
      <c r="G1721" s="4"/>
      <c r="H1721" s="4"/>
      <c r="I1721" s="4"/>
      <c r="J1721" s="4"/>
      <c r="K1721" s="4"/>
      <c r="L1721" s="138"/>
      <c r="M1721" s="4"/>
      <c r="N1721" s="4"/>
      <c r="O1721" s="4"/>
    </row>
    <row r="1722" spans="1:15" s="1" customFormat="1" ht="11.45" customHeight="1" outlineLevel="4" x14ac:dyDescent="0.2">
      <c r="A1722" s="32" t="s">
        <v>17344</v>
      </c>
      <c r="B1722" s="74" t="s">
        <v>17345</v>
      </c>
      <c r="C1722" s="50"/>
      <c r="D1722" s="139">
        <f t="shared" si="26"/>
        <v>0</v>
      </c>
      <c r="E1722" s="140">
        <v>828.59</v>
      </c>
      <c r="F1722" s="140">
        <v>679.17</v>
      </c>
      <c r="G1722" s="34" t="s">
        <v>100</v>
      </c>
      <c r="H1722" s="34" t="s">
        <v>39</v>
      </c>
      <c r="I1722" s="35">
        <v>1</v>
      </c>
      <c r="J1722" s="35">
        <v>1</v>
      </c>
      <c r="K1722" s="35">
        <v>10</v>
      </c>
      <c r="L1722" s="60" t="str">
        <f>HYPERLINK("https://www.sds-group.ru/product/akkumulyator-svintsovo-kislotnyy-bt-12045-12v-4-5ach-srok-sluzhby-3-goda-30-2045-4/", "Инфо")</f>
        <v>Инфо</v>
      </c>
      <c r="M1722" s="37">
        <v>1.2250000000000001</v>
      </c>
      <c r="N1722" s="38">
        <v>9.9799999999999997E-4</v>
      </c>
      <c r="O1722" s="141">
        <v>4627073801974</v>
      </c>
    </row>
    <row r="1723" spans="1:15" s="1" customFormat="1" ht="11.45" customHeight="1" outlineLevel="4" x14ac:dyDescent="0.2">
      <c r="A1723" s="32" t="s">
        <v>17348</v>
      </c>
      <c r="B1723" s="74" t="s">
        <v>17349</v>
      </c>
      <c r="C1723" s="50"/>
      <c r="D1723" s="139">
        <f t="shared" si="26"/>
        <v>0</v>
      </c>
      <c r="E1723" s="140">
        <v>2210.23</v>
      </c>
      <c r="F1723" s="140">
        <v>1811.66</v>
      </c>
      <c r="G1723" s="34" t="s">
        <v>100</v>
      </c>
      <c r="H1723" s="34" t="s">
        <v>39</v>
      </c>
      <c r="I1723" s="35">
        <v>1</v>
      </c>
      <c r="J1723" s="35">
        <v>1</v>
      </c>
      <c r="K1723" s="35">
        <v>4</v>
      </c>
      <c r="L1723" s="60" t="str">
        <f>HYPERLINK("https://www.sds-group.ru/product/akkumulyator-svintsovo-kislotnyy-bt-1212-12v-12ach-srok-sluzhby-3-goda-30-2120-4/", "Инфо")</f>
        <v>Инфо</v>
      </c>
      <c r="M1723" s="37">
        <v>3.0579999999999998</v>
      </c>
      <c r="N1723" s="38">
        <v>2.395E-3</v>
      </c>
      <c r="O1723" s="141">
        <v>4627073801813</v>
      </c>
    </row>
    <row r="1724" spans="1:15" s="1" customFormat="1" ht="11.45" customHeight="1" outlineLevel="4" x14ac:dyDescent="0.2">
      <c r="A1724" s="32" t="s">
        <v>17350</v>
      </c>
      <c r="B1724" s="74" t="s">
        <v>17351</v>
      </c>
      <c r="C1724" s="50"/>
      <c r="D1724" s="139">
        <f t="shared" si="26"/>
        <v>0</v>
      </c>
      <c r="E1724" s="140">
        <v>2229.87</v>
      </c>
      <c r="F1724" s="140">
        <v>1827.76</v>
      </c>
      <c r="G1724" s="34" t="s">
        <v>100</v>
      </c>
      <c r="H1724" s="34" t="s">
        <v>39</v>
      </c>
      <c r="I1724" s="35">
        <v>1</v>
      </c>
      <c r="J1724" s="35">
        <v>1</v>
      </c>
      <c r="K1724" s="35">
        <v>5</v>
      </c>
      <c r="L1724" s="60" t="str">
        <f>HYPERLINK("https://www.sds-group.ru/product/batareya-akkumulyatornaya-12v-9ach-1-shtuka-30-2090-4/", "Инфо")</f>
        <v>Инфо</v>
      </c>
      <c r="M1724" s="37">
        <v>2.4969999999999999</v>
      </c>
      <c r="N1724" s="38">
        <v>8.6399999999999997E-4</v>
      </c>
      <c r="O1724" s="141">
        <v>4627073801226</v>
      </c>
    </row>
    <row r="1725" spans="1:15" ht="11.45" customHeight="1" outlineLevel="2" x14ac:dyDescent="0.2">
      <c r="A1725" s="76" t="s">
        <v>17352</v>
      </c>
      <c r="B1725" s="136"/>
      <c r="C1725" s="77"/>
      <c r="D1725" s="137"/>
      <c r="E1725" s="4"/>
      <c r="F1725" s="4"/>
      <c r="G1725" s="4"/>
      <c r="H1725" s="4"/>
      <c r="I1725" s="4"/>
      <c r="J1725" s="4"/>
      <c r="K1725" s="4"/>
      <c r="L1725" s="138"/>
      <c r="M1725" s="4"/>
      <c r="N1725" s="4"/>
      <c r="O1725" s="4"/>
    </row>
    <row r="1726" spans="1:15" ht="11.45" customHeight="1" outlineLevel="3" x14ac:dyDescent="0.2">
      <c r="A1726" s="76" t="s">
        <v>17353</v>
      </c>
      <c r="B1726" s="136"/>
      <c r="C1726" s="77"/>
      <c r="D1726" s="137"/>
      <c r="E1726" s="4"/>
      <c r="F1726" s="4"/>
      <c r="G1726" s="4"/>
      <c r="H1726" s="4"/>
      <c r="I1726" s="4"/>
      <c r="J1726" s="4"/>
      <c r="K1726" s="4"/>
      <c r="L1726" s="138"/>
      <c r="M1726" s="4"/>
      <c r="N1726" s="4"/>
      <c r="O1726" s="4"/>
    </row>
    <row r="1727" spans="1:15" s="1" customFormat="1" ht="11.45" customHeight="1" outlineLevel="4" x14ac:dyDescent="0.2">
      <c r="A1727" s="32" t="s">
        <v>17356</v>
      </c>
      <c r="B1727" s="74" t="s">
        <v>17357</v>
      </c>
      <c r="C1727" s="50"/>
      <c r="D1727" s="139">
        <f t="shared" si="26"/>
        <v>0</v>
      </c>
      <c r="E1727" s="140">
        <v>6.36</v>
      </c>
      <c r="F1727" s="140">
        <v>5.21</v>
      </c>
      <c r="G1727" s="34" t="s">
        <v>100</v>
      </c>
      <c r="H1727" s="34" t="s">
        <v>39</v>
      </c>
      <c r="I1727" s="35">
        <v>100</v>
      </c>
      <c r="J1727" s="35">
        <v>100</v>
      </c>
      <c r="K1727" s="39">
        <v>5000</v>
      </c>
      <c r="L1727" s="60" t="str">
        <f>HYPERLINK("https://www.sds-group.ru/product/klemma-na-kronu-fd-2222-9v-uglovaya-rexant-14-0323/", "Инфо")</f>
        <v>Инфо</v>
      </c>
      <c r="M1727" s="37">
        <v>2E-3</v>
      </c>
      <c r="N1727" s="38">
        <v>6.0000000000000002E-6</v>
      </c>
      <c r="O1727" s="141">
        <v>4660008012915</v>
      </c>
    </row>
    <row r="1728" spans="1:15" ht="11.45" customHeight="1" outlineLevel="1" x14ac:dyDescent="0.2">
      <c r="A1728" s="78" t="s">
        <v>17361</v>
      </c>
      <c r="B1728" s="132"/>
      <c r="C1728" s="79"/>
      <c r="D1728" s="133"/>
      <c r="E1728" s="134"/>
      <c r="F1728" s="134"/>
      <c r="G1728" s="134"/>
      <c r="H1728" s="134"/>
      <c r="I1728" s="134"/>
      <c r="J1728" s="134"/>
      <c r="K1728" s="134"/>
      <c r="L1728" s="135"/>
      <c r="M1728" s="134"/>
      <c r="N1728" s="134"/>
      <c r="O1728" s="134"/>
    </row>
    <row r="1729" spans="1:15" ht="11.45" customHeight="1" outlineLevel="2" x14ac:dyDescent="0.2">
      <c r="A1729" s="76" t="s">
        <v>17590</v>
      </c>
      <c r="B1729" s="136"/>
      <c r="C1729" s="77"/>
      <c r="D1729" s="137"/>
      <c r="E1729" s="4"/>
      <c r="F1729" s="4"/>
      <c r="G1729" s="4"/>
      <c r="H1729" s="4"/>
      <c r="I1729" s="4"/>
      <c r="J1729" s="4"/>
      <c r="K1729" s="4"/>
      <c r="L1729" s="138"/>
      <c r="M1729" s="4"/>
      <c r="N1729" s="4"/>
      <c r="O1729" s="4"/>
    </row>
    <row r="1730" spans="1:15" s="1" customFormat="1" ht="11.45" customHeight="1" outlineLevel="3" x14ac:dyDescent="0.2">
      <c r="A1730" s="32" t="s">
        <v>17591</v>
      </c>
      <c r="B1730" s="74" t="s">
        <v>17592</v>
      </c>
      <c r="C1730" s="50"/>
      <c r="D1730" s="139">
        <f t="shared" si="26"/>
        <v>0</v>
      </c>
      <c r="E1730" s="140">
        <v>73.22</v>
      </c>
      <c r="F1730" s="140">
        <v>60.02</v>
      </c>
      <c r="G1730" s="34" t="s">
        <v>100</v>
      </c>
      <c r="H1730" s="34" t="s">
        <v>39</v>
      </c>
      <c r="I1730" s="35">
        <v>1</v>
      </c>
      <c r="J1730" s="35">
        <v>1</v>
      </c>
      <c r="K1730" s="35">
        <v>144</v>
      </c>
      <c r="L1730" s="60" t="str">
        <f>HYPERLINK("https://www.sds-group.ru/product/bytovaya-gazovaya-pezozazhigalka-s-klassicheskim-plamenem-mnogorazovaya-1-sht-zheltaya-sk-30-61-0964/", "Инфо")</f>
        <v>Инфо</v>
      </c>
      <c r="M1730" s="37">
        <v>7.5999999999999998E-2</v>
      </c>
      <c r="N1730" s="38">
        <v>3.4299999999999999E-4</v>
      </c>
      <c r="O1730" s="141">
        <v>4601004143104</v>
      </c>
    </row>
    <row r="1731" spans="1:15" s="1" customFormat="1" ht="11.45" customHeight="1" outlineLevel="3" x14ac:dyDescent="0.2">
      <c r="A1731" s="32" t="s">
        <v>17593</v>
      </c>
      <c r="B1731" s="74" t="s">
        <v>17594</v>
      </c>
      <c r="C1731" s="50"/>
      <c r="D1731" s="139">
        <f t="shared" si="26"/>
        <v>0</v>
      </c>
      <c r="E1731" s="140">
        <v>57.67</v>
      </c>
      <c r="F1731" s="140">
        <v>47.27</v>
      </c>
      <c r="G1731" s="34" t="s">
        <v>100</v>
      </c>
      <c r="H1731" s="34" t="s">
        <v>39</v>
      </c>
      <c r="I1731" s="35">
        <v>1</v>
      </c>
      <c r="J1731" s="35">
        <v>1</v>
      </c>
      <c r="K1731" s="35">
        <v>144</v>
      </c>
      <c r="L1731" s="60" t="str">
        <f>HYPERLINK("https://www.sds-group.ru/product/bytovaya-gazovaya-pezozazhigalka-s-klassicheskim-plamenem-mnogorazovaya-1-sht-zelenaya-sk-30-61-0965/", "Инфо")</f>
        <v>Инфо</v>
      </c>
      <c r="M1731" s="37">
        <v>7.6999999999999999E-2</v>
      </c>
      <c r="N1731" s="38">
        <v>3.4099999999999999E-4</v>
      </c>
      <c r="O1731" s="141">
        <v>4601004143166</v>
      </c>
    </row>
    <row r="1732" spans="1:15" s="1" customFormat="1" ht="11.45" customHeight="1" outlineLevel="3" x14ac:dyDescent="0.2">
      <c r="A1732" s="32" t="s">
        <v>17595</v>
      </c>
      <c r="B1732" s="74" t="s">
        <v>17596</v>
      </c>
      <c r="C1732" s="50"/>
      <c r="D1732" s="139">
        <f t="shared" si="26"/>
        <v>0</v>
      </c>
      <c r="E1732" s="140">
        <v>57.23</v>
      </c>
      <c r="F1732" s="140">
        <v>46.91</v>
      </c>
      <c r="G1732" s="34" t="s">
        <v>100</v>
      </c>
      <c r="H1732" s="34" t="s">
        <v>39</v>
      </c>
      <c r="I1732" s="35">
        <v>1</v>
      </c>
      <c r="J1732" s="35">
        <v>1</v>
      </c>
      <c r="K1732" s="35">
        <v>144</v>
      </c>
      <c r="L1732" s="60" t="str">
        <f>HYPERLINK("https://www.sds-group.ru/product/bytovaya-gazovaya-pezozazhigalka-s-klassicheskim-plamenem-mnogorazovaya-1-sht-oranzhevaya-sk-61-0963/", "Инфо")</f>
        <v>Инфо</v>
      </c>
      <c r="M1732" s="37">
        <v>7.5999999999999998E-2</v>
      </c>
      <c r="N1732" s="38">
        <v>3.3700000000000001E-4</v>
      </c>
      <c r="O1732" s="141">
        <v>4601004143098</v>
      </c>
    </row>
    <row r="1733" spans="1:15" s="1" customFormat="1" ht="11.45" customHeight="1" outlineLevel="3" x14ac:dyDescent="0.2">
      <c r="A1733" s="32" t="s">
        <v>17597</v>
      </c>
      <c r="B1733" s="74" t="s">
        <v>17598</v>
      </c>
      <c r="C1733" s="50"/>
      <c r="D1733" s="139">
        <f t="shared" si="26"/>
        <v>0</v>
      </c>
      <c r="E1733" s="140">
        <v>52.42</v>
      </c>
      <c r="F1733" s="140">
        <v>42.97</v>
      </c>
      <c r="G1733" s="34" t="s">
        <v>100</v>
      </c>
      <c r="H1733" s="34" t="s">
        <v>39</v>
      </c>
      <c r="I1733" s="35">
        <v>1</v>
      </c>
      <c r="J1733" s="35">
        <v>1</v>
      </c>
      <c r="K1733" s="35">
        <v>144</v>
      </c>
      <c r="L1733" s="60" t="str">
        <f>HYPERLINK("https://www.sds-group.ru/product/bytovaya-gazovaya-pezozazhigalka-s-klassicheskim-plamenem-mnogorazovaya-1-sht-sinyaya-sk-302-61-0960/", "Инфо")</f>
        <v>Инфо</v>
      </c>
      <c r="M1733" s="37">
        <v>6.6000000000000003E-2</v>
      </c>
      <c r="N1733" s="38">
        <v>3.3599999999999998E-4</v>
      </c>
      <c r="O1733" s="141">
        <v>4601004138520</v>
      </c>
    </row>
    <row r="1734" spans="1:15" ht="11.45" customHeight="1" outlineLevel="2" x14ac:dyDescent="0.2">
      <c r="A1734" s="76" t="s">
        <v>17602</v>
      </c>
      <c r="B1734" s="136"/>
      <c r="C1734" s="77"/>
      <c r="D1734" s="137"/>
      <c r="E1734" s="4"/>
      <c r="F1734" s="4"/>
      <c r="G1734" s="4"/>
      <c r="H1734" s="4"/>
      <c r="I1734" s="4"/>
      <c r="J1734" s="4"/>
      <c r="K1734" s="4"/>
      <c r="L1734" s="138"/>
      <c r="M1734" s="4"/>
      <c r="N1734" s="4"/>
      <c r="O1734" s="4"/>
    </row>
    <row r="1735" spans="1:15" ht="11.45" customHeight="1" outlineLevel="3" x14ac:dyDescent="0.2">
      <c r="A1735" s="76" t="s">
        <v>17603</v>
      </c>
      <c r="B1735" s="136"/>
      <c r="C1735" s="77"/>
      <c r="D1735" s="137"/>
      <c r="E1735" s="4"/>
      <c r="F1735" s="4"/>
      <c r="G1735" s="4"/>
      <c r="H1735" s="4"/>
      <c r="I1735" s="4"/>
      <c r="J1735" s="4"/>
      <c r="K1735" s="4"/>
      <c r="L1735" s="138"/>
      <c r="M1735" s="4"/>
      <c r="N1735" s="4"/>
      <c r="O1735" s="4"/>
    </row>
    <row r="1736" spans="1:15" s="1" customFormat="1" ht="11.45" customHeight="1" outlineLevel="4" x14ac:dyDescent="0.2">
      <c r="A1736" s="32" t="s">
        <v>17632</v>
      </c>
      <c r="B1736" s="74" t="s">
        <v>17633</v>
      </c>
      <c r="C1736" s="50"/>
      <c r="D1736" s="139">
        <f t="shared" si="26"/>
        <v>0</v>
      </c>
      <c r="E1736" s="140">
        <v>481.74</v>
      </c>
      <c r="F1736" s="140">
        <v>394.87</v>
      </c>
      <c r="G1736" s="34" t="s">
        <v>100</v>
      </c>
      <c r="H1736" s="34" t="s">
        <v>39</v>
      </c>
      <c r="I1736" s="35">
        <v>1</v>
      </c>
      <c r="J1736" s="35">
        <v>1</v>
      </c>
      <c r="K1736" s="35">
        <v>50</v>
      </c>
      <c r="L1736" s="60" t="str">
        <f>HYPERLINK("https://www.sds-group.ru/product/nagrevatelnyy-element-dlya-boylera-ten-rf64-1300-vt-flanets-m4-64-mm-70-0311-1/", "Инфо")</f>
        <v>Инфо</v>
      </c>
      <c r="M1736" s="37">
        <v>0.23699999999999999</v>
      </c>
      <c r="N1736" s="38">
        <v>4.8299999999999998E-4</v>
      </c>
      <c r="O1736" s="141">
        <v>4601004247826</v>
      </c>
    </row>
    <row r="1737" spans="1:15" ht="11.45" customHeight="1" outlineLevel="1" x14ac:dyDescent="0.2">
      <c r="A1737" s="78" t="s">
        <v>17687</v>
      </c>
      <c r="B1737" s="132"/>
      <c r="C1737" s="79"/>
      <c r="D1737" s="133"/>
      <c r="E1737" s="134"/>
      <c r="F1737" s="134"/>
      <c r="G1737" s="134"/>
      <c r="H1737" s="134"/>
      <c r="I1737" s="134"/>
      <c r="J1737" s="134"/>
      <c r="K1737" s="134"/>
      <c r="L1737" s="135"/>
      <c r="M1737" s="134"/>
      <c r="N1737" s="134"/>
      <c r="O1737" s="134"/>
    </row>
    <row r="1738" spans="1:15" ht="11.45" customHeight="1" outlineLevel="2" x14ac:dyDescent="0.2">
      <c r="A1738" s="82" t="s">
        <v>17688</v>
      </c>
      <c r="B1738" s="142"/>
      <c r="C1738" s="83"/>
      <c r="D1738" s="143"/>
      <c r="E1738" s="5"/>
      <c r="F1738" s="5"/>
      <c r="G1738" s="5"/>
      <c r="H1738" s="5"/>
      <c r="I1738" s="5"/>
      <c r="J1738" s="5"/>
      <c r="K1738" s="5"/>
      <c r="L1738" s="144"/>
      <c r="M1738" s="5"/>
      <c r="N1738" s="5"/>
      <c r="O1738" s="5"/>
    </row>
    <row r="1739" spans="1:15" s="1" customFormat="1" ht="11.45" customHeight="1" outlineLevel="3" x14ac:dyDescent="0.2">
      <c r="A1739" s="32" t="s">
        <v>17691</v>
      </c>
      <c r="B1739" s="74" t="s">
        <v>17692</v>
      </c>
      <c r="C1739" s="50"/>
      <c r="D1739" s="139">
        <f t="shared" ref="D1739:D1802" si="27">C1739*E1739</f>
        <v>0</v>
      </c>
      <c r="E1739" s="140">
        <v>289.05</v>
      </c>
      <c r="F1739" s="140">
        <v>236.93</v>
      </c>
      <c r="G1739" s="34" t="s">
        <v>100</v>
      </c>
      <c r="H1739" s="34" t="s">
        <v>39</v>
      </c>
      <c r="I1739" s="35">
        <v>1</v>
      </c>
      <c r="J1739" s="35">
        <v>1</v>
      </c>
      <c r="K1739" s="35">
        <v>50</v>
      </c>
      <c r="L1739" s="60" t="str">
        <f>HYPERLINK("https://www.sds-group.ru/product/meteostantsiya-komnatnaya-rx-108-rexant-70-0520/", "Инфо")</f>
        <v>Инфо</v>
      </c>
      <c r="M1739" s="37">
        <v>9.4E-2</v>
      </c>
      <c r="N1739" s="38">
        <v>4.26E-4</v>
      </c>
      <c r="O1739" s="141">
        <v>4601004037076</v>
      </c>
    </row>
    <row r="1740" spans="1:15" s="1" customFormat="1" ht="11.45" customHeight="1" outlineLevel="3" x14ac:dyDescent="0.2">
      <c r="A1740" s="32" t="s">
        <v>17703</v>
      </c>
      <c r="B1740" s="74" t="s">
        <v>17704</v>
      </c>
      <c r="C1740" s="50"/>
      <c r="D1740" s="139">
        <f t="shared" si="27"/>
        <v>0</v>
      </c>
      <c r="E1740" s="140">
        <v>262.07</v>
      </c>
      <c r="F1740" s="140">
        <v>214.81</v>
      </c>
      <c r="G1740" s="34" t="s">
        <v>100</v>
      </c>
      <c r="H1740" s="34" t="s">
        <v>39</v>
      </c>
      <c r="I1740" s="35">
        <v>1</v>
      </c>
      <c r="J1740" s="35">
        <v>1</v>
      </c>
      <c r="K1740" s="35">
        <v>50</v>
      </c>
      <c r="L1740" s="60" t="str">
        <f>HYPERLINK("https://www.sds-group.ru/product/termogigrometr-komnatnyy-s-chasami-i-funktsiey-budilnika-rexant-70-0511/", "Инфо")</f>
        <v>Инфо</v>
      </c>
      <c r="M1740" s="37">
        <v>7.2999999999999995E-2</v>
      </c>
      <c r="N1740" s="38">
        <v>3.5799999999999997E-4</v>
      </c>
      <c r="O1740" s="141">
        <v>4601004022355</v>
      </c>
    </row>
    <row r="1741" spans="1:15" ht="11.45" customHeight="1" outlineLevel="1" x14ac:dyDescent="0.2">
      <c r="A1741" s="78" t="s">
        <v>17721</v>
      </c>
      <c r="B1741" s="132"/>
      <c r="C1741" s="79"/>
      <c r="D1741" s="133"/>
      <c r="E1741" s="134"/>
      <c r="F1741" s="134"/>
      <c r="G1741" s="134"/>
      <c r="H1741" s="134"/>
      <c r="I1741" s="134"/>
      <c r="J1741" s="134"/>
      <c r="K1741" s="134"/>
      <c r="L1741" s="135"/>
      <c r="M1741" s="134"/>
      <c r="N1741" s="134"/>
      <c r="O1741" s="134"/>
    </row>
    <row r="1742" spans="1:15" ht="11.45" customHeight="1" outlineLevel="2" x14ac:dyDescent="0.2">
      <c r="A1742" s="76" t="s">
        <v>17722</v>
      </c>
      <c r="B1742" s="136"/>
      <c r="C1742" s="77"/>
      <c r="D1742" s="137"/>
      <c r="E1742" s="4"/>
      <c r="F1742" s="4"/>
      <c r="G1742" s="4"/>
      <c r="H1742" s="4"/>
      <c r="I1742" s="4"/>
      <c r="J1742" s="4"/>
      <c r="K1742" s="4"/>
      <c r="L1742" s="138"/>
      <c r="M1742" s="4"/>
      <c r="N1742" s="4"/>
      <c r="O1742" s="4"/>
    </row>
    <row r="1743" spans="1:15" ht="11.45" customHeight="1" outlineLevel="3" x14ac:dyDescent="0.2">
      <c r="A1743" s="76" t="s">
        <v>17723</v>
      </c>
      <c r="B1743" s="136"/>
      <c r="C1743" s="77"/>
      <c r="D1743" s="137"/>
      <c r="E1743" s="4"/>
      <c r="F1743" s="4"/>
      <c r="G1743" s="4"/>
      <c r="H1743" s="4"/>
      <c r="I1743" s="4"/>
      <c r="J1743" s="4"/>
      <c r="K1743" s="4"/>
      <c r="L1743" s="138"/>
      <c r="M1743" s="4"/>
      <c r="N1743" s="4"/>
      <c r="O1743" s="4"/>
    </row>
    <row r="1744" spans="1:15" s="1" customFormat="1" ht="11.45" customHeight="1" outlineLevel="4" x14ac:dyDescent="0.2">
      <c r="A1744" s="32" t="s">
        <v>17744</v>
      </c>
      <c r="B1744" s="74" t="s">
        <v>17745</v>
      </c>
      <c r="C1744" s="50"/>
      <c r="D1744" s="139">
        <f t="shared" si="27"/>
        <v>0</v>
      </c>
      <c r="E1744" s="140">
        <v>231.17</v>
      </c>
      <c r="F1744" s="140">
        <v>189.48</v>
      </c>
      <c r="G1744" s="34" t="s">
        <v>100</v>
      </c>
      <c r="H1744" s="34" t="s">
        <v>39</v>
      </c>
      <c r="I1744" s="35">
        <v>1</v>
      </c>
      <c r="J1744" s="35">
        <v>1</v>
      </c>
      <c r="K1744" s="35">
        <v>100</v>
      </c>
      <c r="L1744" s="60" t="str">
        <f>HYPERLINK("https://www.sds-group.ru/product/brelok-otpugivatel-komarov-ultrazvukovoy-r-3m-rexant-13289/", "Инфо")</f>
        <v>Инфо</v>
      </c>
      <c r="M1744" s="37">
        <v>3.1E-2</v>
      </c>
      <c r="N1744" s="38">
        <v>1.8699999999999999E-4</v>
      </c>
      <c r="O1744" s="141">
        <v>4601004064171</v>
      </c>
    </row>
    <row r="1745" spans="1:15" s="1" customFormat="1" ht="11.45" customHeight="1" outlineLevel="4" x14ac:dyDescent="0.2">
      <c r="A1745" s="32" t="s">
        <v>17754</v>
      </c>
      <c r="B1745" s="74" t="s">
        <v>17755</v>
      </c>
      <c r="C1745" s="50"/>
      <c r="D1745" s="139">
        <f t="shared" si="27"/>
        <v>0</v>
      </c>
      <c r="E1745" s="140">
        <v>208.42</v>
      </c>
      <c r="F1745" s="140">
        <v>170.84</v>
      </c>
      <c r="G1745" s="34" t="s">
        <v>100</v>
      </c>
      <c r="H1745" s="34" t="s">
        <v>39</v>
      </c>
      <c r="I1745" s="35">
        <v>1</v>
      </c>
      <c r="J1745" s="35">
        <v>1</v>
      </c>
      <c r="K1745" s="35">
        <v>60</v>
      </c>
      <c r="L1745" s="60" t="str">
        <f>HYPERLINK("https://www.sds-group.ru/product/dvernaya-antimoskitnaya-setka-210h100sm-s-magnitami-po-vsey-dline-rozovaya-s-tsvetami-rexant-71-0225/", "Инфо")</f>
        <v>Инфо</v>
      </c>
      <c r="M1745" s="37">
        <v>0.22600000000000001</v>
      </c>
      <c r="N1745" s="38">
        <v>1.291E-3</v>
      </c>
      <c r="O1745" s="141">
        <v>4601004247376</v>
      </c>
    </row>
    <row r="1746" spans="1:15" s="1" customFormat="1" ht="11.45" customHeight="1" outlineLevel="4" x14ac:dyDescent="0.2">
      <c r="A1746" s="32" t="s">
        <v>17756</v>
      </c>
      <c r="B1746" s="74" t="s">
        <v>17757</v>
      </c>
      <c r="C1746" s="50"/>
      <c r="D1746" s="139">
        <f t="shared" si="27"/>
        <v>0</v>
      </c>
      <c r="E1746" s="140">
        <v>208.42</v>
      </c>
      <c r="F1746" s="140">
        <v>170.84</v>
      </c>
      <c r="G1746" s="34" t="s">
        <v>100</v>
      </c>
      <c r="H1746" s="34" t="s">
        <v>39</v>
      </c>
      <c r="I1746" s="35">
        <v>1</v>
      </c>
      <c r="J1746" s="35">
        <v>1</v>
      </c>
      <c r="K1746" s="35">
        <v>60</v>
      </c>
      <c r="L1746" s="60" t="str">
        <f>HYPERLINK("https://www.sds-group.ru/product/dvernaya-antimoskitnaya-setka-210h100sm-s-magnitami-po-vsey-dline-s-tsvetami-rexant-71-0224/", "Инфо")</f>
        <v>Инфо</v>
      </c>
      <c r="M1746" s="37">
        <v>0.20899999999999999</v>
      </c>
      <c r="N1746" s="38">
        <v>1.7279999999999999E-3</v>
      </c>
      <c r="O1746" s="141">
        <v>4601004247369</v>
      </c>
    </row>
    <row r="1747" spans="1:15" s="1" customFormat="1" ht="11.45" customHeight="1" outlineLevel="4" x14ac:dyDescent="0.2">
      <c r="A1747" s="32" t="s">
        <v>17792</v>
      </c>
      <c r="B1747" s="74" t="s">
        <v>17793</v>
      </c>
      <c r="C1747" s="50"/>
      <c r="D1747" s="139">
        <f t="shared" si="27"/>
        <v>0</v>
      </c>
      <c r="E1747" s="140">
        <v>726.72</v>
      </c>
      <c r="F1747" s="140">
        <v>595.66999999999996</v>
      </c>
      <c r="G1747" s="34" t="s">
        <v>100</v>
      </c>
      <c r="H1747" s="34" t="s">
        <v>39</v>
      </c>
      <c r="I1747" s="35">
        <v>1</v>
      </c>
      <c r="J1747" s="35">
        <v>1</v>
      </c>
      <c r="K1747" s="35">
        <v>50</v>
      </c>
      <c r="L1747" s="60" t="str">
        <f>HYPERLINK("https://www.sds-group.ru/product/nochnik-fumigator-usb-s-30m-belyy-rexant-71-0044/", "Инфо")</f>
        <v>Инфо</v>
      </c>
      <c r="M1747" s="37">
        <v>0.23100000000000001</v>
      </c>
      <c r="N1747" s="38">
        <v>1.2329999999999999E-3</v>
      </c>
      <c r="O1747" s="141">
        <v>4601004196452</v>
      </c>
    </row>
    <row r="1748" spans="1:15" ht="11.45" customHeight="1" outlineLevel="3" x14ac:dyDescent="0.2">
      <c r="A1748" s="76" t="s">
        <v>17885</v>
      </c>
      <c r="B1748" s="136"/>
      <c r="C1748" s="77"/>
      <c r="D1748" s="137"/>
      <c r="E1748" s="4"/>
      <c r="F1748" s="4"/>
      <c r="G1748" s="4"/>
      <c r="H1748" s="4"/>
      <c r="I1748" s="4"/>
      <c r="J1748" s="4"/>
      <c r="K1748" s="4"/>
      <c r="L1748" s="138"/>
      <c r="M1748" s="4"/>
      <c r="N1748" s="4"/>
      <c r="O1748" s="4"/>
    </row>
    <row r="1749" spans="1:15" s="1" customFormat="1" ht="11.45" customHeight="1" outlineLevel="4" x14ac:dyDescent="0.2">
      <c r="A1749" s="32" t="s">
        <v>17888</v>
      </c>
      <c r="B1749" s="74" t="s">
        <v>17889</v>
      </c>
      <c r="C1749" s="50"/>
      <c r="D1749" s="139">
        <f t="shared" si="27"/>
        <v>0</v>
      </c>
      <c r="E1749" s="140">
        <v>416.59</v>
      </c>
      <c r="F1749" s="140">
        <v>341.47</v>
      </c>
      <c r="G1749" s="34" t="s">
        <v>100</v>
      </c>
      <c r="H1749" s="34" t="s">
        <v>39</v>
      </c>
      <c r="I1749" s="35">
        <v>1</v>
      </c>
      <c r="J1749" s="35">
        <v>1</v>
      </c>
      <c r="K1749" s="35">
        <v>60</v>
      </c>
      <c r="L1749" s="60" t="str">
        <f>HYPERLINK("https://www.sds-group.ru/product/ultrazvukovoy-antilay-dlya-sobak-so-vstroennym-mikrofonom-s-4m-rexant-71-0099/", "Инфо")</f>
        <v>Инфо</v>
      </c>
      <c r="M1749" s="37">
        <v>0.2</v>
      </c>
      <c r="N1749" s="38">
        <v>1.1280000000000001E-3</v>
      </c>
      <c r="O1749" s="141">
        <v>4601004196506</v>
      </c>
    </row>
    <row r="1750" spans="1:15" ht="11.45" customHeight="1" outlineLevel="2" x14ac:dyDescent="0.2">
      <c r="A1750" s="76" t="s">
        <v>17897</v>
      </c>
      <c r="B1750" s="136"/>
      <c r="C1750" s="77"/>
      <c r="D1750" s="137"/>
      <c r="E1750" s="4"/>
      <c r="F1750" s="4"/>
      <c r="G1750" s="4"/>
      <c r="H1750" s="4"/>
      <c r="I1750" s="4"/>
      <c r="J1750" s="4"/>
      <c r="K1750" s="4"/>
      <c r="L1750" s="138"/>
      <c r="M1750" s="4"/>
      <c r="N1750" s="4"/>
      <c r="O1750" s="4"/>
    </row>
    <row r="1751" spans="1:15" ht="11.45" customHeight="1" outlineLevel="3" x14ac:dyDescent="0.2">
      <c r="A1751" s="76" t="s">
        <v>17920</v>
      </c>
      <c r="B1751" s="136"/>
      <c r="C1751" s="77"/>
      <c r="D1751" s="137"/>
      <c r="E1751" s="4"/>
      <c r="F1751" s="4"/>
      <c r="G1751" s="4"/>
      <c r="H1751" s="4"/>
      <c r="I1751" s="4"/>
      <c r="J1751" s="4"/>
      <c r="K1751" s="4"/>
      <c r="L1751" s="138"/>
      <c r="M1751" s="4"/>
      <c r="N1751" s="4"/>
      <c r="O1751" s="4"/>
    </row>
    <row r="1752" spans="1:15" s="1" customFormat="1" ht="11.45" customHeight="1" outlineLevel="4" x14ac:dyDescent="0.2">
      <c r="A1752" s="32" t="s">
        <v>17923</v>
      </c>
      <c r="B1752" s="74" t="s">
        <v>17924</v>
      </c>
      <c r="C1752" s="50"/>
      <c r="D1752" s="139">
        <f t="shared" si="27"/>
        <v>0</v>
      </c>
      <c r="E1752" s="140">
        <v>28.91</v>
      </c>
      <c r="F1752" s="140">
        <v>23.7</v>
      </c>
      <c r="G1752" s="34" t="s">
        <v>100</v>
      </c>
      <c r="H1752" s="34" t="s">
        <v>39</v>
      </c>
      <c r="I1752" s="35">
        <v>1</v>
      </c>
      <c r="J1752" s="35">
        <v>1</v>
      </c>
      <c r="K1752" s="35">
        <v>100</v>
      </c>
      <c r="L1752" s="60" t="str">
        <f>HYPERLINK("https://www.sds-group.ru/product/shampur-uglovoy-450h10mm-tolschina-1mm-sokol-62-0015/", "Инфо")</f>
        <v>Инфо</v>
      </c>
      <c r="M1752" s="37">
        <v>3.9E-2</v>
      </c>
      <c r="N1752" s="38">
        <v>9.3999999999999994E-5</v>
      </c>
      <c r="O1752" s="141">
        <v>4612745750209</v>
      </c>
    </row>
    <row r="1753" spans="1:15" ht="11.45" customHeight="1" outlineLevel="3" x14ac:dyDescent="0.2">
      <c r="A1753" s="76" t="s">
        <v>17925</v>
      </c>
      <c r="B1753" s="136"/>
      <c r="C1753" s="77"/>
      <c r="D1753" s="137"/>
      <c r="E1753" s="4"/>
      <c r="F1753" s="4"/>
      <c r="G1753" s="4"/>
      <c r="H1753" s="4"/>
      <c r="I1753" s="4"/>
      <c r="J1753" s="4"/>
      <c r="K1753" s="4"/>
      <c r="L1753" s="138"/>
      <c r="M1753" s="4"/>
      <c r="N1753" s="4"/>
      <c r="O1753" s="4"/>
    </row>
    <row r="1754" spans="1:15" s="1" customFormat="1" ht="11.45" customHeight="1" outlineLevel="4" x14ac:dyDescent="0.2">
      <c r="A1754" s="32" t="s">
        <v>17926</v>
      </c>
      <c r="B1754" s="74" t="s">
        <v>17927</v>
      </c>
      <c r="C1754" s="50"/>
      <c r="D1754" s="139">
        <f t="shared" si="27"/>
        <v>0</v>
      </c>
      <c r="E1754" s="140">
        <v>260.18</v>
      </c>
      <c r="F1754" s="140">
        <v>213.26</v>
      </c>
      <c r="G1754" s="34" t="s">
        <v>100</v>
      </c>
      <c r="H1754" s="34" t="s">
        <v>39</v>
      </c>
      <c r="I1754" s="35">
        <v>1</v>
      </c>
      <c r="J1754" s="35">
        <v>1</v>
      </c>
      <c r="K1754" s="35">
        <v>12</v>
      </c>
      <c r="L1754" s="60" t="str">
        <f>HYPERLINK("https://www.sds-group.ru/product/derzhatel-dlya-hraneniya-shampurov-i-aksessuarov-dlya-barbekyu-nastennyy-nerzhaveyuschaya-st-62-0076/", "Инфо")</f>
        <v>Инфо</v>
      </c>
      <c r="M1754" s="37">
        <v>0.185</v>
      </c>
      <c r="N1754" s="38">
        <v>1.8259999999999999E-3</v>
      </c>
      <c r="O1754" s="141">
        <v>4601004310667</v>
      </c>
    </row>
    <row r="1755" spans="1:15" s="1" customFormat="1" ht="11.45" customHeight="1" outlineLevel="4" x14ac:dyDescent="0.2">
      <c r="A1755" s="32" t="s">
        <v>17928</v>
      </c>
      <c r="B1755" s="74" t="s">
        <v>17929</v>
      </c>
      <c r="C1755" s="50"/>
      <c r="D1755" s="139">
        <f t="shared" si="27"/>
        <v>0</v>
      </c>
      <c r="E1755" s="140">
        <v>222.23</v>
      </c>
      <c r="F1755" s="140">
        <v>182.16</v>
      </c>
      <c r="G1755" s="34" t="s">
        <v>100</v>
      </c>
      <c r="H1755" s="34" t="s">
        <v>39</v>
      </c>
      <c r="I1755" s="35">
        <v>1</v>
      </c>
      <c r="J1755" s="35">
        <v>1</v>
      </c>
      <c r="K1755" s="35">
        <v>12</v>
      </c>
      <c r="L1755" s="60" t="str">
        <f>HYPERLINK("https://www.sds-group.ru/product/derzhatel-dlya-hraneniya-shampurov-i-aksessuarov-dlya-barbekyu-nastennyy-chernyy-sokol-62-0059/", "Инфо")</f>
        <v>Инфо</v>
      </c>
      <c r="M1755" s="37">
        <v>0.21299999999999999</v>
      </c>
      <c r="N1755" s="38">
        <v>1.8630000000000001E-3</v>
      </c>
      <c r="O1755" s="141">
        <v>4601004310636</v>
      </c>
    </row>
    <row r="1756" spans="1:15" s="1" customFormat="1" ht="11.45" customHeight="1" outlineLevel="4" x14ac:dyDescent="0.2">
      <c r="A1756" s="32" t="s">
        <v>17930</v>
      </c>
      <c r="B1756" s="74" t="s">
        <v>17931</v>
      </c>
      <c r="C1756" s="50"/>
      <c r="D1756" s="139">
        <f t="shared" si="27"/>
        <v>0</v>
      </c>
      <c r="E1756" s="140">
        <v>179.89</v>
      </c>
      <c r="F1756" s="140">
        <v>147.44999999999999</v>
      </c>
      <c r="G1756" s="34" t="s">
        <v>100</v>
      </c>
      <c r="H1756" s="34" t="s">
        <v>39</v>
      </c>
      <c r="I1756" s="35">
        <v>1</v>
      </c>
      <c r="J1756" s="35">
        <v>1</v>
      </c>
      <c r="K1756" s="35">
        <v>10</v>
      </c>
      <c r="L1756" s="60" t="str">
        <f>HYPERLINK("https://www.sds-group.ru/product/derzhatel-dlya-hraneniya-shampurov-nastennyy-nerzhaveyuschaya-stal-sokol-62-0078/", "Инфо")</f>
        <v>Инфо</v>
      </c>
      <c r="M1756" s="37">
        <v>0.115</v>
      </c>
      <c r="N1756" s="38">
        <v>9.6599999999999995E-4</v>
      </c>
      <c r="O1756" s="141">
        <v>4601004310643</v>
      </c>
    </row>
    <row r="1757" spans="1:15" s="1" customFormat="1" ht="11.45" customHeight="1" outlineLevel="4" x14ac:dyDescent="0.2">
      <c r="A1757" s="32" t="s">
        <v>17932</v>
      </c>
      <c r="B1757" s="74" t="s">
        <v>17933</v>
      </c>
      <c r="C1757" s="50"/>
      <c r="D1757" s="139">
        <f t="shared" si="27"/>
        <v>0</v>
      </c>
      <c r="E1757" s="140">
        <v>175.77</v>
      </c>
      <c r="F1757" s="140">
        <v>144.07</v>
      </c>
      <c r="G1757" s="34" t="s">
        <v>100</v>
      </c>
      <c r="H1757" s="34" t="s">
        <v>39</v>
      </c>
      <c r="I1757" s="35">
        <v>1</v>
      </c>
      <c r="J1757" s="35">
        <v>1</v>
      </c>
      <c r="K1757" s="35">
        <v>10</v>
      </c>
      <c r="L1757" s="60" t="str">
        <f>HYPERLINK("https://www.sds-group.ru/product/derzhatel-dlya-hraneniya-shampurov-nastennyy-chernyy-sokol-62-0077/", "Инфо")</f>
        <v>Инфо</v>
      </c>
      <c r="M1757" s="37">
        <v>0.13200000000000001</v>
      </c>
      <c r="N1757" s="38">
        <v>9.7099999999999997E-4</v>
      </c>
      <c r="O1757" s="141">
        <v>4601004310650</v>
      </c>
    </row>
    <row r="1758" spans="1:15" s="1" customFormat="1" ht="11.45" customHeight="1" outlineLevel="4" x14ac:dyDescent="0.2">
      <c r="A1758" s="32" t="s">
        <v>17942</v>
      </c>
      <c r="B1758" s="74" t="s">
        <v>17943</v>
      </c>
      <c r="C1758" s="50"/>
      <c r="D1758" s="139">
        <f t="shared" si="27"/>
        <v>0</v>
      </c>
      <c r="E1758" s="140">
        <v>32.78</v>
      </c>
      <c r="F1758" s="140">
        <v>26.87</v>
      </c>
      <c r="G1758" s="34" t="s">
        <v>100</v>
      </c>
      <c r="H1758" s="34" t="s">
        <v>39</v>
      </c>
      <c r="I1758" s="35">
        <v>1</v>
      </c>
      <c r="J1758" s="35">
        <v>1</v>
      </c>
      <c r="K1758" s="35">
        <v>90</v>
      </c>
      <c r="L1758" s="60" t="str">
        <f>HYPERLINK("https://www.sds-group.ru/product/opahalo-dlya-mangala-32h21sm-sokol-62-0069/", "Инфо")</f>
        <v>Инфо</v>
      </c>
      <c r="M1758" s="37">
        <v>7.0999999999999994E-2</v>
      </c>
      <c r="N1758" s="38">
        <v>1.2210000000000001E-3</v>
      </c>
      <c r="O1758" s="141">
        <v>4601004234369</v>
      </c>
    </row>
    <row r="1759" spans="1:15" ht="11.45" customHeight="1" outlineLevel="2" x14ac:dyDescent="0.2">
      <c r="A1759" s="76" t="s">
        <v>17970</v>
      </c>
      <c r="B1759" s="136"/>
      <c r="C1759" s="77"/>
      <c r="D1759" s="137"/>
      <c r="E1759" s="4"/>
      <c r="F1759" s="4"/>
      <c r="G1759" s="4"/>
      <c r="H1759" s="4"/>
      <c r="I1759" s="4"/>
      <c r="J1759" s="4"/>
      <c r="K1759" s="4"/>
      <c r="L1759" s="138"/>
      <c r="M1759" s="4"/>
      <c r="N1759" s="4"/>
      <c r="O1759" s="4"/>
    </row>
    <row r="1760" spans="1:15" ht="11.45" customHeight="1" outlineLevel="3" x14ac:dyDescent="0.2">
      <c r="A1760" s="76" t="s">
        <v>17971</v>
      </c>
      <c r="B1760" s="136"/>
      <c r="C1760" s="77"/>
      <c r="D1760" s="137"/>
      <c r="E1760" s="4"/>
      <c r="F1760" s="4"/>
      <c r="G1760" s="4"/>
      <c r="H1760" s="4"/>
      <c r="I1760" s="4"/>
      <c r="J1760" s="4"/>
      <c r="K1760" s="4"/>
      <c r="L1760" s="138"/>
      <c r="M1760" s="4"/>
      <c r="N1760" s="4"/>
      <c r="O1760" s="4"/>
    </row>
    <row r="1761" spans="1:15" s="1" customFormat="1" ht="11.45" customHeight="1" outlineLevel="4" x14ac:dyDescent="0.2">
      <c r="A1761" s="32" t="s">
        <v>17974</v>
      </c>
      <c r="B1761" s="74" t="s">
        <v>17975</v>
      </c>
      <c r="C1761" s="50"/>
      <c r="D1761" s="139">
        <f t="shared" si="27"/>
        <v>0</v>
      </c>
      <c r="E1761" s="140">
        <v>168.23</v>
      </c>
      <c r="F1761" s="140">
        <v>137.88999999999999</v>
      </c>
      <c r="G1761" s="34" t="s">
        <v>100</v>
      </c>
      <c r="H1761" s="34" t="s">
        <v>39</v>
      </c>
      <c r="I1761" s="35">
        <v>5</v>
      </c>
      <c r="J1761" s="35">
        <v>5</v>
      </c>
      <c r="K1761" s="35">
        <v>48</v>
      </c>
      <c r="L1761" s="60" t="str">
        <f>HYPERLINK("https://www.sds-group.ru/product/grabelki-sadovye-s-tsvetochnym-risunkom-23h7-3sm-chetyre-sezona-64-0012/", "Инфо")</f>
        <v>Инфо</v>
      </c>
      <c r="M1761" s="37">
        <v>0.19600000000000001</v>
      </c>
      <c r="N1761" s="38">
        <v>7.5900000000000002E-4</v>
      </c>
      <c r="O1761" s="141">
        <v>4601004196353</v>
      </c>
    </row>
    <row r="1762" spans="1:15" s="1" customFormat="1" ht="11.45" customHeight="1" outlineLevel="4" x14ac:dyDescent="0.2">
      <c r="A1762" s="32" t="s">
        <v>17976</v>
      </c>
      <c r="B1762" s="74" t="s">
        <v>17977</v>
      </c>
      <c r="C1762" s="50"/>
      <c r="D1762" s="139">
        <f t="shared" si="27"/>
        <v>0</v>
      </c>
      <c r="E1762" s="140">
        <v>100.48</v>
      </c>
      <c r="F1762" s="140">
        <v>82.36</v>
      </c>
      <c r="G1762" s="34" t="s">
        <v>100</v>
      </c>
      <c r="H1762" s="34" t="s">
        <v>39</v>
      </c>
      <c r="I1762" s="35">
        <v>1</v>
      </c>
      <c r="J1762" s="35">
        <v>1</v>
      </c>
      <c r="K1762" s="35">
        <v>45</v>
      </c>
      <c r="L1762" s="60" t="str">
        <f>HYPERLINK("https://www.sds-group.ru/product/grabli-6-pryamih-zubev-s-metallicheskoy-ruchkoy-chetire-sezona-29303/", "Инфо")</f>
        <v>Инфо</v>
      </c>
      <c r="M1762" s="37">
        <v>0.187</v>
      </c>
      <c r="N1762" s="38">
        <v>2.1459999999999999E-3</v>
      </c>
      <c r="O1762" s="141">
        <v>4601004275171</v>
      </c>
    </row>
    <row r="1763" spans="1:15" s="1" customFormat="1" ht="11.45" customHeight="1" outlineLevel="4" x14ac:dyDescent="0.2">
      <c r="A1763" s="32" t="s">
        <v>17978</v>
      </c>
      <c r="B1763" s="74" t="s">
        <v>17979</v>
      </c>
      <c r="C1763" s="50"/>
      <c r="D1763" s="139">
        <f t="shared" si="27"/>
        <v>0</v>
      </c>
      <c r="E1763" s="140">
        <v>129.18</v>
      </c>
      <c r="F1763" s="140">
        <v>105.89</v>
      </c>
      <c r="G1763" s="34" t="s">
        <v>100</v>
      </c>
      <c r="H1763" s="34" t="s">
        <v>39</v>
      </c>
      <c r="I1763" s="35">
        <v>1</v>
      </c>
      <c r="J1763" s="35">
        <v>1</v>
      </c>
      <c r="K1763" s="35">
        <v>15</v>
      </c>
      <c r="L1763" s="60" t="str">
        <f>HYPERLINK("https://www.sds-group.ru/product/motijka-kombinirovannaya-3-pryamih-zubtsa-s-metallicheskoy-ruchkoy-chetire-sezona-29301/", "Инфо")</f>
        <v>Инфо</v>
      </c>
      <c r="M1763" s="37">
        <v>0.23499999999999999</v>
      </c>
      <c r="N1763" s="38">
        <v>3.2179999999999999E-3</v>
      </c>
      <c r="O1763" s="141">
        <v>4601004275157</v>
      </c>
    </row>
    <row r="1764" spans="1:15" s="1" customFormat="1" ht="11.45" customHeight="1" outlineLevel="4" x14ac:dyDescent="0.2">
      <c r="A1764" s="32" t="s">
        <v>17980</v>
      </c>
      <c r="B1764" s="74" t="s">
        <v>17981</v>
      </c>
      <c r="C1764" s="50"/>
      <c r="D1764" s="139">
        <f t="shared" si="27"/>
        <v>0</v>
      </c>
      <c r="E1764" s="140">
        <v>717.85</v>
      </c>
      <c r="F1764" s="140">
        <v>588.4</v>
      </c>
      <c r="G1764" s="34" t="s">
        <v>100</v>
      </c>
      <c r="H1764" s="34" t="s">
        <v>4698</v>
      </c>
      <c r="I1764" s="35">
        <v>1</v>
      </c>
      <c r="J1764" s="35">
        <v>1</v>
      </c>
      <c r="K1764" s="35">
        <v>10</v>
      </c>
      <c r="L1764" s="60" t="str">
        <f>HYPERLINK("https://www.sds-group.ru/product/nabor-sadovih-instrumentov-s-prorezinennoy-ruchkoy-2-sovka-motijka-grabelki-chetire-sezona-30322/", "Инфо")</f>
        <v>Инфо</v>
      </c>
      <c r="M1764" s="37">
        <v>0.98799999999999999</v>
      </c>
      <c r="N1764" s="38">
        <v>3.3080000000000002E-3</v>
      </c>
      <c r="O1764" s="141">
        <v>4601004292796</v>
      </c>
    </row>
    <row r="1765" spans="1:15" s="1" customFormat="1" ht="11.45" customHeight="1" outlineLevel="4" x14ac:dyDescent="0.2">
      <c r="A1765" s="32" t="s">
        <v>17982</v>
      </c>
      <c r="B1765" s="74" t="s">
        <v>17983</v>
      </c>
      <c r="C1765" s="50"/>
      <c r="D1765" s="139">
        <f t="shared" si="27"/>
        <v>0</v>
      </c>
      <c r="E1765" s="140">
        <v>435.94</v>
      </c>
      <c r="F1765" s="140">
        <v>357.33</v>
      </c>
      <c r="G1765" s="34" t="s">
        <v>100</v>
      </c>
      <c r="H1765" s="34" t="s">
        <v>4698</v>
      </c>
      <c r="I1765" s="35">
        <v>1</v>
      </c>
      <c r="J1765" s="35">
        <v>1</v>
      </c>
      <c r="K1765" s="35">
        <v>30</v>
      </c>
      <c r="L1765" s="60" t="str">
        <f>HYPERLINK("https://www.sds-group.ru/product/nabor-sadovih-instrumentov-s-tsvetochnim-risunkom-sovok-grabelki-chetire-sezona-30323/", "Инфо")</f>
        <v>Инфо</v>
      </c>
      <c r="M1765" s="37">
        <v>0.374</v>
      </c>
      <c r="N1765" s="38">
        <v>7.4399999999999998E-4</v>
      </c>
      <c r="O1765" s="141">
        <v>4601004292802</v>
      </c>
    </row>
    <row r="1766" spans="1:15" s="1" customFormat="1" ht="11.45" customHeight="1" outlineLevel="4" x14ac:dyDescent="0.2">
      <c r="A1766" s="32" t="s">
        <v>17986</v>
      </c>
      <c r="B1766" s="74" t="s">
        <v>17987</v>
      </c>
      <c r="C1766" s="50"/>
      <c r="D1766" s="139">
        <f t="shared" si="27"/>
        <v>0</v>
      </c>
      <c r="E1766" s="140">
        <v>231.64</v>
      </c>
      <c r="F1766" s="140">
        <v>189.87</v>
      </c>
      <c r="G1766" s="34" t="s">
        <v>100</v>
      </c>
      <c r="H1766" s="34" t="s">
        <v>39</v>
      </c>
      <c r="I1766" s="35">
        <v>1</v>
      </c>
      <c r="J1766" s="35">
        <v>1</v>
      </c>
      <c r="K1766" s="35">
        <v>48</v>
      </c>
      <c r="L1766" s="60" t="str">
        <f>HYPERLINK("https://www.sds-group.ru/product/sovok-sadovyy-s-tsvetochnym-risunkom-27h8-5sm-chetyre-sezona-64-0011/", "Инфо")</f>
        <v>Инфо</v>
      </c>
      <c r="M1766" s="37">
        <v>0.16700000000000001</v>
      </c>
      <c r="N1766" s="38">
        <v>3.3E-4</v>
      </c>
      <c r="O1766" s="141">
        <v>4601004196346</v>
      </c>
    </row>
    <row r="1767" spans="1:15" s="1" customFormat="1" ht="11.45" customHeight="1" outlineLevel="4" x14ac:dyDescent="0.2">
      <c r="A1767" s="32" t="s">
        <v>17990</v>
      </c>
      <c r="B1767" s="74" t="s">
        <v>17991</v>
      </c>
      <c r="C1767" s="50"/>
      <c r="D1767" s="139">
        <f t="shared" si="27"/>
        <v>0</v>
      </c>
      <c r="E1767" s="140">
        <v>96.89</v>
      </c>
      <c r="F1767" s="140">
        <v>79.42</v>
      </c>
      <c r="G1767" s="34" t="s">
        <v>100</v>
      </c>
      <c r="H1767" s="34" t="s">
        <v>39</v>
      </c>
      <c r="I1767" s="35">
        <v>1</v>
      </c>
      <c r="J1767" s="35">
        <v>1</v>
      </c>
      <c r="K1767" s="35">
        <v>15</v>
      </c>
      <c r="L1767" s="60" t="str">
        <f>HYPERLINK("https://www.sds-group.ru/product/sovok-sadovyy-shirokiy-s-tselnometallicheskoy-ruchkoy-pokrytoy-plastikom-chetyre-sezona-64-0014/", "Инфо")</f>
        <v>Инфо</v>
      </c>
      <c r="M1767" s="37">
        <v>0.224</v>
      </c>
      <c r="N1767" s="38">
        <v>1.1590000000000001E-3</v>
      </c>
      <c r="O1767" s="141">
        <v>4601004275140</v>
      </c>
    </row>
    <row r="1768" spans="1:15" ht="11.45" customHeight="1" outlineLevel="3" x14ac:dyDescent="0.2">
      <c r="A1768" s="76" t="s">
        <v>17992</v>
      </c>
      <c r="B1768" s="136"/>
      <c r="C1768" s="77"/>
      <c r="D1768" s="137"/>
      <c r="E1768" s="4"/>
      <c r="F1768" s="4"/>
      <c r="G1768" s="4"/>
      <c r="H1768" s="4"/>
      <c r="I1768" s="4"/>
      <c r="J1768" s="4"/>
      <c r="K1768" s="4"/>
      <c r="L1768" s="138"/>
      <c r="M1768" s="4"/>
      <c r="N1768" s="4"/>
      <c r="O1768" s="4"/>
    </row>
    <row r="1769" spans="1:15" s="1" customFormat="1" ht="11.45" customHeight="1" outlineLevel="4" x14ac:dyDescent="0.2">
      <c r="A1769" s="32" t="s">
        <v>17993</v>
      </c>
      <c r="B1769" s="74" t="s">
        <v>17994</v>
      </c>
      <c r="C1769" s="50"/>
      <c r="D1769" s="139">
        <f t="shared" si="27"/>
        <v>0</v>
      </c>
      <c r="E1769" s="140">
        <v>704.89</v>
      </c>
      <c r="F1769" s="140">
        <v>577.78</v>
      </c>
      <c r="G1769" s="34" t="s">
        <v>100</v>
      </c>
      <c r="H1769" s="34" t="s">
        <v>39</v>
      </c>
      <c r="I1769" s="35">
        <v>1</v>
      </c>
      <c r="J1769" s="35">
        <v>1</v>
      </c>
      <c r="K1769" s="35">
        <v>24</v>
      </c>
      <c r="L1769" s="60" t="str">
        <f>HYPERLINK("https://www.sds-group.ru/product/topor-universalnyy-viking-350mm-rexant-12-6902/", "Инфо")</f>
        <v>Инфо</v>
      </c>
      <c r="M1769" s="37">
        <v>0.70399999999999996</v>
      </c>
      <c r="N1769" s="38">
        <v>1.8580000000000001E-3</v>
      </c>
      <c r="O1769" s="141">
        <v>4601004123380</v>
      </c>
    </row>
    <row r="1770" spans="1:15" s="1" customFormat="1" ht="11.45" customHeight="1" outlineLevel="4" x14ac:dyDescent="0.2">
      <c r="A1770" s="32" t="s">
        <v>17995</v>
      </c>
      <c r="B1770" s="74" t="s">
        <v>17996</v>
      </c>
      <c r="C1770" s="50"/>
      <c r="D1770" s="139">
        <f t="shared" si="27"/>
        <v>0</v>
      </c>
      <c r="E1770" s="140">
        <v>926.87</v>
      </c>
      <c r="F1770" s="140">
        <v>759.73</v>
      </c>
      <c r="G1770" s="34" t="s">
        <v>100</v>
      </c>
      <c r="H1770" s="34" t="s">
        <v>39</v>
      </c>
      <c r="I1770" s="35">
        <v>1</v>
      </c>
      <c r="J1770" s="35">
        <v>1</v>
      </c>
      <c r="K1770" s="35">
        <v>12</v>
      </c>
      <c r="L1770" s="60" t="str">
        <f>HYPERLINK("https://www.sds-group.ru/product/topor-universalnyy-viking-440mm-rexant-12-6903/", "Инфо")</f>
        <v>Инфо</v>
      </c>
      <c r="M1770" s="37">
        <v>1.0149999999999999</v>
      </c>
      <c r="N1770" s="38">
        <v>3.2190000000000001E-3</v>
      </c>
      <c r="O1770" s="141">
        <v>4601004123403</v>
      </c>
    </row>
    <row r="1771" spans="1:15" s="1" customFormat="1" ht="11.45" customHeight="1" outlineLevel="4" x14ac:dyDescent="0.2">
      <c r="A1771" s="32" t="s">
        <v>17997</v>
      </c>
      <c r="B1771" s="74" t="s">
        <v>17998</v>
      </c>
      <c r="C1771" s="50"/>
      <c r="D1771" s="139">
        <f t="shared" si="27"/>
        <v>0</v>
      </c>
      <c r="E1771" s="140">
        <v>641.67999999999995</v>
      </c>
      <c r="F1771" s="140">
        <v>525.97</v>
      </c>
      <c r="G1771" s="34" t="s">
        <v>100</v>
      </c>
      <c r="H1771" s="34" t="s">
        <v>39</v>
      </c>
      <c r="I1771" s="35">
        <v>1</v>
      </c>
      <c r="J1771" s="35">
        <v>1</v>
      </c>
      <c r="K1771" s="35">
        <v>24</v>
      </c>
      <c r="L1771" s="60" t="str">
        <f>HYPERLINK("https://www.sds-group.ru/product/topor-universalnyy-malyy-viking-225mm-rexant-12-6901/", "Инфо")</f>
        <v>Инфо</v>
      </c>
      <c r="M1771" s="37">
        <v>0.64800000000000002</v>
      </c>
      <c r="N1771" s="38">
        <v>1.297E-3</v>
      </c>
      <c r="O1771" s="141">
        <v>4601004123397</v>
      </c>
    </row>
    <row r="1772" spans="1:15" ht="11.45" customHeight="1" outlineLevel="3" x14ac:dyDescent="0.2">
      <c r="A1772" s="76" t="s">
        <v>17999</v>
      </c>
      <c r="B1772" s="136"/>
      <c r="C1772" s="77"/>
      <c r="D1772" s="137"/>
      <c r="E1772" s="4"/>
      <c r="F1772" s="4"/>
      <c r="G1772" s="4"/>
      <c r="H1772" s="4"/>
      <c r="I1772" s="4"/>
      <c r="J1772" s="4"/>
      <c r="K1772" s="4"/>
      <c r="L1772" s="138"/>
      <c r="M1772" s="4"/>
      <c r="N1772" s="4"/>
      <c r="O1772" s="4"/>
    </row>
    <row r="1773" spans="1:15" s="1" customFormat="1" ht="11.45" customHeight="1" outlineLevel="4" x14ac:dyDescent="0.2">
      <c r="A1773" s="32" t="s">
        <v>18000</v>
      </c>
      <c r="B1773" s="74" t="s">
        <v>18001</v>
      </c>
      <c r="C1773" s="50"/>
      <c r="D1773" s="139">
        <f t="shared" si="27"/>
        <v>0</v>
      </c>
      <c r="E1773" s="140">
        <v>200.88</v>
      </c>
      <c r="F1773" s="140">
        <v>164.66</v>
      </c>
      <c r="G1773" s="34" t="s">
        <v>100</v>
      </c>
      <c r="H1773" s="34" t="s">
        <v>39</v>
      </c>
      <c r="I1773" s="35">
        <v>5</v>
      </c>
      <c r="J1773" s="35">
        <v>5</v>
      </c>
      <c r="K1773" s="35">
        <v>60</v>
      </c>
      <c r="L1773" s="60" t="str">
        <f>HYPERLINK("https://www.sds-group.ru/product/pila-skladnaya-sadovaya-nerjaveyuschaya-stal-18sm-chetire-sezona-25773/", "Инфо")</f>
        <v>Инфо</v>
      </c>
      <c r="M1773" s="37">
        <v>0.29799999999999999</v>
      </c>
      <c r="N1773" s="38">
        <v>1.1980000000000001E-3</v>
      </c>
      <c r="O1773" s="141">
        <v>4601004196391</v>
      </c>
    </row>
    <row r="1774" spans="1:15" ht="11.45" customHeight="1" outlineLevel="2" x14ac:dyDescent="0.2">
      <c r="A1774" s="76" t="s">
        <v>18002</v>
      </c>
      <c r="B1774" s="136"/>
      <c r="C1774" s="77"/>
      <c r="D1774" s="137"/>
      <c r="E1774" s="4"/>
      <c r="F1774" s="4"/>
      <c r="G1774" s="4"/>
      <c r="H1774" s="4"/>
      <c r="I1774" s="4"/>
      <c r="J1774" s="4"/>
      <c r="K1774" s="4"/>
      <c r="L1774" s="138"/>
      <c r="M1774" s="4"/>
      <c r="N1774" s="4"/>
      <c r="O1774" s="4"/>
    </row>
    <row r="1775" spans="1:15" ht="11.45" customHeight="1" outlineLevel="3" x14ac:dyDescent="0.2">
      <c r="A1775" s="76" t="s">
        <v>18182</v>
      </c>
      <c r="B1775" s="136"/>
      <c r="C1775" s="77"/>
      <c r="D1775" s="137"/>
      <c r="E1775" s="4"/>
      <c r="F1775" s="4"/>
      <c r="G1775" s="4"/>
      <c r="H1775" s="4"/>
      <c r="I1775" s="4"/>
      <c r="J1775" s="4"/>
      <c r="K1775" s="4"/>
      <c r="L1775" s="138"/>
      <c r="M1775" s="4"/>
      <c r="N1775" s="4"/>
      <c r="O1775" s="4"/>
    </row>
    <row r="1776" spans="1:15" s="1" customFormat="1" ht="11.45" customHeight="1" outlineLevel="4" x14ac:dyDescent="0.2">
      <c r="A1776" s="32" t="s">
        <v>18195</v>
      </c>
      <c r="B1776" s="74" t="s">
        <v>18196</v>
      </c>
      <c r="C1776" s="50"/>
      <c r="D1776" s="139">
        <f t="shared" si="27"/>
        <v>0</v>
      </c>
      <c r="E1776" s="140">
        <v>98.53</v>
      </c>
      <c r="F1776" s="140">
        <v>80.760000000000005</v>
      </c>
      <c r="G1776" s="34" t="s">
        <v>100</v>
      </c>
      <c r="H1776" s="34" t="s">
        <v>39</v>
      </c>
      <c r="I1776" s="35">
        <v>5</v>
      </c>
      <c r="J1776" s="35">
        <v>5</v>
      </c>
      <c r="K1776" s="35">
        <v>12</v>
      </c>
      <c r="L1776" s="60" t="str">
        <f>HYPERLINK("https://www.sds-group.ru/product/dozhdevatel-koltsevogo-tipa-plastikovyy-chetyre-sezona-62-0289/", "Инфо")</f>
        <v>Инфо</v>
      </c>
      <c r="M1776" s="37">
        <v>0.20399999999999999</v>
      </c>
      <c r="N1776" s="38">
        <v>2.4810000000000001E-3</v>
      </c>
      <c r="O1776" s="141">
        <v>4601004291546</v>
      </c>
    </row>
    <row r="1777" spans="1:15" ht="11.45" customHeight="1" outlineLevel="2" x14ac:dyDescent="0.2">
      <c r="A1777" s="76" t="s">
        <v>18272</v>
      </c>
      <c r="B1777" s="136"/>
      <c r="C1777" s="77"/>
      <c r="D1777" s="137"/>
      <c r="E1777" s="4"/>
      <c r="F1777" s="4"/>
      <c r="G1777" s="4"/>
      <c r="H1777" s="4"/>
      <c r="I1777" s="4"/>
      <c r="J1777" s="4"/>
      <c r="K1777" s="4"/>
      <c r="L1777" s="138"/>
      <c r="M1777" s="4"/>
      <c r="N1777" s="4"/>
      <c r="O1777" s="4"/>
    </row>
    <row r="1778" spans="1:15" ht="11.45" customHeight="1" outlineLevel="3" x14ac:dyDescent="0.2">
      <c r="A1778" s="76" t="s">
        <v>18273</v>
      </c>
      <c r="B1778" s="136"/>
      <c r="C1778" s="77"/>
      <c r="D1778" s="137"/>
      <c r="E1778" s="4"/>
      <c r="F1778" s="4"/>
      <c r="G1778" s="4"/>
      <c r="H1778" s="4"/>
      <c r="I1778" s="4"/>
      <c r="J1778" s="4"/>
      <c r="K1778" s="4"/>
      <c r="L1778" s="138"/>
      <c r="M1778" s="4"/>
      <c r="N1778" s="4"/>
      <c r="O1778" s="4"/>
    </row>
    <row r="1779" spans="1:15" s="1" customFormat="1" ht="11.45" customHeight="1" outlineLevel="4" x14ac:dyDescent="0.2">
      <c r="A1779" s="32" t="s">
        <v>18274</v>
      </c>
      <c r="B1779" s="74" t="s">
        <v>18275</v>
      </c>
      <c r="C1779" s="50"/>
      <c r="D1779" s="139">
        <f t="shared" si="27"/>
        <v>0</v>
      </c>
      <c r="E1779" s="140">
        <v>184.37</v>
      </c>
      <c r="F1779" s="140">
        <v>151.12</v>
      </c>
      <c r="G1779" s="34" t="s">
        <v>100</v>
      </c>
      <c r="H1779" s="34" t="s">
        <v>39</v>
      </c>
      <c r="I1779" s="35">
        <v>1</v>
      </c>
      <c r="J1779" s="35">
        <v>1</v>
      </c>
      <c r="K1779" s="35">
        <v>14</v>
      </c>
      <c r="L1779" s="60" t="str">
        <f>HYPERLINK("https://www.sds-group.ru/product/sredstvo-dlya-biotualetov-verhniy-bachok-1-litr-chetyre-sezona-63-0007/", "Инфо")</f>
        <v>Инфо</v>
      </c>
      <c r="M1779" s="37">
        <v>1.117</v>
      </c>
      <c r="N1779" s="38">
        <v>1.774E-3</v>
      </c>
      <c r="O1779" s="141">
        <v>4601004064744</v>
      </c>
    </row>
    <row r="1780" spans="1:15" ht="11.45" customHeight="1" outlineLevel="3" x14ac:dyDescent="0.2">
      <c r="A1780" s="76" t="s">
        <v>18277</v>
      </c>
      <c r="B1780" s="136"/>
      <c r="C1780" s="77"/>
      <c r="D1780" s="137"/>
      <c r="E1780" s="4"/>
      <c r="F1780" s="4"/>
      <c r="G1780" s="4"/>
      <c r="H1780" s="4"/>
      <c r="I1780" s="4"/>
      <c r="J1780" s="4"/>
      <c r="K1780" s="4"/>
      <c r="L1780" s="138"/>
      <c r="M1780" s="4"/>
      <c r="N1780" s="4"/>
      <c r="O1780" s="4"/>
    </row>
    <row r="1781" spans="1:15" s="1" customFormat="1" ht="11.45" customHeight="1" outlineLevel="4" x14ac:dyDescent="0.2">
      <c r="A1781" s="32" t="s">
        <v>18278</v>
      </c>
      <c r="B1781" s="74" t="s">
        <v>18279</v>
      </c>
      <c r="C1781" s="50"/>
      <c r="D1781" s="139">
        <f t="shared" si="27"/>
        <v>0</v>
      </c>
      <c r="E1781" s="140">
        <v>204.23</v>
      </c>
      <c r="F1781" s="140">
        <v>167.4</v>
      </c>
      <c r="G1781" s="34" t="s">
        <v>100</v>
      </c>
      <c r="H1781" s="34" t="s">
        <v>39</v>
      </c>
      <c r="I1781" s="35">
        <v>1</v>
      </c>
      <c r="J1781" s="35">
        <v>1</v>
      </c>
      <c r="K1781" s="35">
        <v>14</v>
      </c>
      <c r="L1781" s="60" t="str">
        <f>HYPERLINK("https://www.sds-group.ru/product/sredstvo-dlya-vygrebnyh-yam-i-dachnyh-tualetov-1-litr-chetyre-sezona-63-0001/", "Инфо")</f>
        <v>Инфо</v>
      </c>
      <c r="M1781" s="37">
        <v>1.056</v>
      </c>
      <c r="N1781" s="38">
        <v>1.755E-3</v>
      </c>
      <c r="O1781" s="141">
        <v>4601004064782</v>
      </c>
    </row>
    <row r="1782" spans="1:15" ht="11.45" customHeight="1" outlineLevel="1" x14ac:dyDescent="0.2">
      <c r="A1782" s="78" t="s">
        <v>18280</v>
      </c>
      <c r="B1782" s="132"/>
      <c r="C1782" s="79"/>
      <c r="D1782" s="133"/>
      <c r="E1782" s="134"/>
      <c r="F1782" s="134"/>
      <c r="G1782" s="134"/>
      <c r="H1782" s="134"/>
      <c r="I1782" s="134"/>
      <c r="J1782" s="134"/>
      <c r="K1782" s="134"/>
      <c r="L1782" s="135"/>
      <c r="M1782" s="134"/>
      <c r="N1782" s="134"/>
      <c r="O1782" s="134"/>
    </row>
    <row r="1783" spans="1:15" ht="11.45" customHeight="1" outlineLevel="2" x14ac:dyDescent="0.2">
      <c r="A1783" s="76" t="s">
        <v>18281</v>
      </c>
      <c r="B1783" s="136"/>
      <c r="C1783" s="77"/>
      <c r="D1783" s="137"/>
      <c r="E1783" s="4"/>
      <c r="F1783" s="4"/>
      <c r="G1783" s="4"/>
      <c r="H1783" s="4"/>
      <c r="I1783" s="4"/>
      <c r="J1783" s="4"/>
      <c r="K1783" s="4"/>
      <c r="L1783" s="138"/>
      <c r="M1783" s="4"/>
      <c r="N1783" s="4"/>
      <c r="O1783" s="4"/>
    </row>
    <row r="1784" spans="1:15" ht="11.45" customHeight="1" outlineLevel="3" x14ac:dyDescent="0.2">
      <c r="A1784" s="76" t="s">
        <v>18282</v>
      </c>
      <c r="B1784" s="136"/>
      <c r="C1784" s="77"/>
      <c r="D1784" s="137"/>
      <c r="E1784" s="4"/>
      <c r="F1784" s="4"/>
      <c r="G1784" s="4"/>
      <c r="H1784" s="4"/>
      <c r="I1784" s="4"/>
      <c r="J1784" s="4"/>
      <c r="K1784" s="4"/>
      <c r="L1784" s="138"/>
      <c r="M1784" s="4"/>
      <c r="N1784" s="4"/>
      <c r="O1784" s="4"/>
    </row>
    <row r="1785" spans="1:15" s="1" customFormat="1" ht="11.45" customHeight="1" outlineLevel="4" x14ac:dyDescent="0.2">
      <c r="A1785" s="32" t="s">
        <v>18283</v>
      </c>
      <c r="B1785" s="74" t="s">
        <v>18284</v>
      </c>
      <c r="C1785" s="50"/>
      <c r="D1785" s="139">
        <f t="shared" si="27"/>
        <v>0</v>
      </c>
      <c r="E1785" s="140">
        <v>551.69000000000005</v>
      </c>
      <c r="F1785" s="140">
        <v>452.2</v>
      </c>
      <c r="G1785" s="34" t="s">
        <v>100</v>
      </c>
      <c r="H1785" s="34" t="s">
        <v>39</v>
      </c>
      <c r="I1785" s="35">
        <v>1</v>
      </c>
      <c r="J1785" s="35">
        <v>1</v>
      </c>
      <c r="K1785" s="35">
        <v>5</v>
      </c>
      <c r="L1785" s="60" t="str">
        <f>HYPERLINK("https://www.sds-group.ru/product/umnye-vesy-belye-halsa-HSL-H-221W/", "Инфо")</f>
        <v>Инфо</v>
      </c>
      <c r="M1785" s="37">
        <v>1.6819999999999999</v>
      </c>
      <c r="N1785" s="38">
        <v>4.62E-3</v>
      </c>
      <c r="O1785" s="141">
        <v>4601004193932</v>
      </c>
    </row>
    <row r="1786" spans="1:15" s="1" customFormat="1" ht="11.45" customHeight="1" outlineLevel="4" x14ac:dyDescent="0.2">
      <c r="A1786" s="32" t="s">
        <v>18285</v>
      </c>
      <c r="B1786" s="74" t="s">
        <v>18286</v>
      </c>
      <c r="C1786" s="50"/>
      <c r="D1786" s="139">
        <f t="shared" si="27"/>
        <v>0</v>
      </c>
      <c r="E1786" s="140">
        <v>939.8</v>
      </c>
      <c r="F1786" s="140">
        <v>770.33</v>
      </c>
      <c r="G1786" s="34" t="s">
        <v>100</v>
      </c>
      <c r="H1786" s="34" t="s">
        <v>39</v>
      </c>
      <c r="I1786" s="35">
        <v>1</v>
      </c>
      <c r="J1786" s="35">
        <v>1</v>
      </c>
      <c r="K1786" s="35">
        <v>10</v>
      </c>
      <c r="L1786" s="60" t="str">
        <f>HYPERLINK("https://www.sds-group.ru/product/umnye-vesy-diagnosticheskie-halsa-HSL-H-212W/", "Инфо")</f>
        <v>Инфо</v>
      </c>
      <c r="M1786" s="37">
        <v>1.333</v>
      </c>
      <c r="N1786" s="38">
        <v>3.4659999999999999E-3</v>
      </c>
      <c r="O1786" s="141">
        <v>4601004252820</v>
      </c>
    </row>
    <row r="1787" spans="1:15" ht="11.45" customHeight="1" outlineLevel="3" x14ac:dyDescent="0.2">
      <c r="A1787" s="76" t="s">
        <v>18292</v>
      </c>
      <c r="B1787" s="136"/>
      <c r="C1787" s="77"/>
      <c r="D1787" s="137"/>
      <c r="E1787" s="4"/>
      <c r="F1787" s="4"/>
      <c r="G1787" s="4"/>
      <c r="H1787" s="4"/>
      <c r="I1787" s="4"/>
      <c r="J1787" s="4"/>
      <c r="K1787" s="4"/>
      <c r="L1787" s="138"/>
      <c r="M1787" s="4"/>
      <c r="N1787" s="4"/>
      <c r="O1787" s="4"/>
    </row>
    <row r="1788" spans="1:15" s="1" customFormat="1" ht="11.45" customHeight="1" outlineLevel="4" x14ac:dyDescent="0.2">
      <c r="A1788" s="32" t="s">
        <v>18293</v>
      </c>
      <c r="B1788" s="74" t="s">
        <v>18294</v>
      </c>
      <c r="C1788" s="50"/>
      <c r="D1788" s="139">
        <f t="shared" si="27"/>
        <v>0</v>
      </c>
      <c r="E1788" s="140">
        <v>124.92</v>
      </c>
      <c r="F1788" s="140">
        <v>102.39</v>
      </c>
      <c r="G1788" s="34" t="s">
        <v>100</v>
      </c>
      <c r="H1788" s="34" t="s">
        <v>39</v>
      </c>
      <c r="I1788" s="35">
        <v>1</v>
      </c>
      <c r="J1788" s="35">
        <v>1</v>
      </c>
      <c r="K1788" s="35">
        <v>120</v>
      </c>
      <c r="L1788" s="60" t="str">
        <f>HYPERLINK("https://www.sds-group.ru/product/termometr-vodnyy-oranzhevyy-ptichka-halsa-HLS-T-104/", "Инфо")</f>
        <v>Инфо</v>
      </c>
      <c r="M1788" s="37">
        <v>7.2999999999999995E-2</v>
      </c>
      <c r="N1788" s="38">
        <v>8.4500000000000005E-4</v>
      </c>
      <c r="O1788" s="141">
        <v>4601004279100</v>
      </c>
    </row>
    <row r="1789" spans="1:15" s="1" customFormat="1" ht="11.45" customHeight="1" outlineLevel="4" x14ac:dyDescent="0.2">
      <c r="A1789" s="32" t="s">
        <v>18295</v>
      </c>
      <c r="B1789" s="74" t="s">
        <v>18296</v>
      </c>
      <c r="C1789" s="50"/>
      <c r="D1789" s="139">
        <f t="shared" si="27"/>
        <v>0</v>
      </c>
      <c r="E1789" s="140">
        <v>139.87</v>
      </c>
      <c r="F1789" s="140">
        <v>114.65</v>
      </c>
      <c r="G1789" s="34" t="s">
        <v>100</v>
      </c>
      <c r="H1789" s="34" t="s">
        <v>39</v>
      </c>
      <c r="I1789" s="35">
        <v>1</v>
      </c>
      <c r="J1789" s="35">
        <v>1</v>
      </c>
      <c r="K1789" s="35">
        <v>120</v>
      </c>
      <c r="L1789" s="60" t="str">
        <f>HYPERLINK("https://www.sds-group.ru/product/termometr-vodnyy-rozovyy-halsa-HLS-T-101/", "Инфо")</f>
        <v>Инфо</v>
      </c>
      <c r="M1789" s="37">
        <v>5.1999999999999998E-2</v>
      </c>
      <c r="N1789" s="38">
        <v>4.4900000000000002E-4</v>
      </c>
      <c r="O1789" s="141">
        <v>4601004279070</v>
      </c>
    </row>
    <row r="1790" spans="1:15" ht="11.45" customHeight="1" outlineLevel="2" x14ac:dyDescent="0.2">
      <c r="A1790" s="76" t="s">
        <v>18297</v>
      </c>
      <c r="B1790" s="136"/>
      <c r="C1790" s="77"/>
      <c r="D1790" s="137"/>
      <c r="E1790" s="4"/>
      <c r="F1790" s="4"/>
      <c r="G1790" s="4"/>
      <c r="H1790" s="4"/>
      <c r="I1790" s="4"/>
      <c r="J1790" s="4"/>
      <c r="K1790" s="4"/>
      <c r="L1790" s="138"/>
      <c r="M1790" s="4"/>
      <c r="N1790" s="4"/>
      <c r="O1790" s="4"/>
    </row>
    <row r="1791" spans="1:15" ht="11.45" customHeight="1" outlineLevel="3" x14ac:dyDescent="0.2">
      <c r="A1791" s="76" t="s">
        <v>18298</v>
      </c>
      <c r="B1791" s="136"/>
      <c r="C1791" s="77"/>
      <c r="D1791" s="137"/>
      <c r="E1791" s="4"/>
      <c r="F1791" s="4"/>
      <c r="G1791" s="4"/>
      <c r="H1791" s="4"/>
      <c r="I1791" s="4"/>
      <c r="J1791" s="4"/>
      <c r="K1791" s="4"/>
      <c r="L1791" s="138"/>
      <c r="M1791" s="4"/>
      <c r="N1791" s="4"/>
      <c r="O1791" s="4"/>
    </row>
    <row r="1792" spans="1:15" s="1" customFormat="1" ht="11.45" customHeight="1" outlineLevel="4" x14ac:dyDescent="0.2">
      <c r="A1792" s="32" t="s">
        <v>18299</v>
      </c>
      <c r="B1792" s="74" t="s">
        <v>18300</v>
      </c>
      <c r="C1792" s="50"/>
      <c r="D1792" s="139">
        <f t="shared" si="27"/>
        <v>0</v>
      </c>
      <c r="E1792" s="140">
        <v>1976.7</v>
      </c>
      <c r="F1792" s="140">
        <v>1620.25</v>
      </c>
      <c r="G1792" s="34" t="s">
        <v>100</v>
      </c>
      <c r="H1792" s="34" t="s">
        <v>39</v>
      </c>
      <c r="I1792" s="35">
        <v>1</v>
      </c>
      <c r="J1792" s="35">
        <v>1</v>
      </c>
      <c r="K1792" s="35">
        <v>10</v>
      </c>
      <c r="L1792" s="60" t="str">
        <f>HYPERLINK("https://www.sds-group.ru/product/umnaya-wi-fi-kamera-5v1-s-chasami-termometrom-i-nochnikom-halsa-HSL-S-102W/", "Инфо")</f>
        <v>Инфо</v>
      </c>
      <c r="M1792" s="37">
        <v>0.36299999999999999</v>
      </c>
      <c r="N1792" s="38">
        <v>1.72E-3</v>
      </c>
      <c r="O1792" s="141">
        <v>4601004295506</v>
      </c>
    </row>
    <row r="1793" spans="1:15" s="1" customFormat="1" ht="11.45" customHeight="1" outlineLevel="4" x14ac:dyDescent="0.2">
      <c r="A1793" s="32" t="s">
        <v>18301</v>
      </c>
      <c r="B1793" s="74" t="s">
        <v>18302</v>
      </c>
      <c r="C1793" s="50"/>
      <c r="D1793" s="139">
        <f t="shared" si="27"/>
        <v>0</v>
      </c>
      <c r="E1793" s="140">
        <v>1868.77</v>
      </c>
      <c r="F1793" s="140">
        <v>1531.78</v>
      </c>
      <c r="G1793" s="34" t="s">
        <v>100</v>
      </c>
      <c r="H1793" s="34" t="s">
        <v>39</v>
      </c>
      <c r="I1793" s="35">
        <v>1</v>
      </c>
      <c r="J1793" s="35">
        <v>1</v>
      </c>
      <c r="K1793" s="35">
        <v>10</v>
      </c>
      <c r="L1793" s="60" t="str">
        <f>HYPERLINK("https://www.sds-group.ru/product/umnaya-wi-fi-kamera-medvezhonok-halsa-HLS-S-103W/", "Инфо")</f>
        <v>Инфо</v>
      </c>
      <c r="M1793" s="37">
        <v>0.44</v>
      </c>
      <c r="N1793" s="38">
        <v>1.8760000000000001E-3</v>
      </c>
      <c r="O1793" s="141">
        <v>4601004297401</v>
      </c>
    </row>
    <row r="1794" spans="1:15" ht="11.45" customHeight="1" outlineLevel="3" x14ac:dyDescent="0.2">
      <c r="A1794" s="76" t="s">
        <v>18303</v>
      </c>
      <c r="B1794" s="136"/>
      <c r="C1794" s="77"/>
      <c r="D1794" s="137"/>
      <c r="E1794" s="4"/>
      <c r="F1794" s="4"/>
      <c r="G1794" s="4"/>
      <c r="H1794" s="4"/>
      <c r="I1794" s="4"/>
      <c r="J1794" s="4"/>
      <c r="K1794" s="4"/>
      <c r="L1794" s="138"/>
      <c r="M1794" s="4"/>
      <c r="N1794" s="4"/>
      <c r="O1794" s="4"/>
    </row>
    <row r="1795" spans="1:15" s="1" customFormat="1" ht="11.45" customHeight="1" outlineLevel="4" x14ac:dyDescent="0.2">
      <c r="A1795" s="32" t="s">
        <v>18304</v>
      </c>
      <c r="B1795" s="74" t="s">
        <v>18305</v>
      </c>
      <c r="C1795" s="50"/>
      <c r="D1795" s="139">
        <f t="shared" si="27"/>
        <v>0</v>
      </c>
      <c r="E1795" s="140">
        <v>460.72</v>
      </c>
      <c r="F1795" s="140">
        <v>377.64</v>
      </c>
      <c r="G1795" s="34" t="s">
        <v>100</v>
      </c>
      <c r="H1795" s="34" t="s">
        <v>1001</v>
      </c>
      <c r="I1795" s="35">
        <v>1</v>
      </c>
      <c r="J1795" s="35">
        <v>1</v>
      </c>
      <c r="K1795" s="35">
        <v>50</v>
      </c>
      <c r="L1795" s="60" t="str">
        <f>HYPERLINK("https://www.sds-group.ru/product/kromka-zaschitnaya-prozrachnaya-30h4h2000mm-halsa-HLS-S-111/", "Инфо")</f>
        <v>Инфо</v>
      </c>
      <c r="M1795" s="37">
        <v>0.26</v>
      </c>
      <c r="N1795" s="38">
        <v>8.4000000000000003E-4</v>
      </c>
      <c r="O1795" s="141">
        <v>4601004265684</v>
      </c>
    </row>
    <row r="1796" spans="1:15" s="1" customFormat="1" ht="11.45" customHeight="1" outlineLevel="4" x14ac:dyDescent="0.2">
      <c r="A1796" s="32" t="s">
        <v>18306</v>
      </c>
      <c r="B1796" s="74" t="s">
        <v>18307</v>
      </c>
      <c r="C1796" s="50"/>
      <c r="D1796" s="139">
        <f t="shared" si="27"/>
        <v>0</v>
      </c>
      <c r="E1796" s="140">
        <v>179</v>
      </c>
      <c r="F1796" s="140">
        <v>146.72</v>
      </c>
      <c r="G1796" s="34" t="s">
        <v>100</v>
      </c>
      <c r="H1796" s="34" t="s">
        <v>2709</v>
      </c>
      <c r="I1796" s="35">
        <v>1</v>
      </c>
      <c r="J1796" s="35">
        <v>1</v>
      </c>
      <c r="K1796" s="35">
        <v>100</v>
      </c>
      <c r="L1796" s="60" t="str">
        <f>HYPERLINK("https://www.sds-group.ru/product/nabor-dlya-detskoy-bezopasnosti-myagkaya-universalnaya-lenta-na-ostrye-kraya-4-myagkie-na-HLS-S-110W/", "Инфо")</f>
        <v>Инфо</v>
      </c>
      <c r="M1796" s="37">
        <v>0.13400000000000001</v>
      </c>
      <c r="N1796" s="38">
        <v>1.124E-3</v>
      </c>
      <c r="O1796" s="141">
        <v>4601004179066</v>
      </c>
    </row>
    <row r="1797" spans="1:15" s="1" customFormat="1" ht="11.45" customHeight="1" outlineLevel="4" x14ac:dyDescent="0.2">
      <c r="A1797" s="32" t="s">
        <v>18310</v>
      </c>
      <c r="B1797" s="74" t="s">
        <v>18311</v>
      </c>
      <c r="C1797" s="50"/>
      <c r="D1797" s="139">
        <f t="shared" si="27"/>
        <v>0</v>
      </c>
      <c r="E1797" s="140">
        <v>113.44</v>
      </c>
      <c r="F1797" s="140">
        <v>92.98</v>
      </c>
      <c r="G1797" s="34" t="s">
        <v>100</v>
      </c>
      <c r="H1797" s="34" t="s">
        <v>1001</v>
      </c>
      <c r="I1797" s="35">
        <v>1</v>
      </c>
      <c r="J1797" s="35">
        <v>1</v>
      </c>
      <c r="K1797" s="35">
        <v>200</v>
      </c>
      <c r="L1797" s="60" t="str">
        <f>HYPERLINK("https://www.sds-group.ru/product/nakladki-zaschitnye-na-ugly-4-sht-up-halsa-HLS-S-110/", "Инфо")</f>
        <v>Инфо</v>
      </c>
      <c r="M1797" s="37">
        <v>4.7E-2</v>
      </c>
      <c r="N1797" s="38">
        <v>2.9300000000000002E-4</v>
      </c>
      <c r="O1797" s="141">
        <v>4601004265677</v>
      </c>
    </row>
    <row r="1798" spans="1:15" s="1" customFormat="1" ht="11.45" customHeight="1" outlineLevel="4" x14ac:dyDescent="0.2">
      <c r="A1798" s="32" t="s">
        <v>18314</v>
      </c>
      <c r="B1798" s="74" t="s">
        <v>18315</v>
      </c>
      <c r="C1798" s="50"/>
      <c r="D1798" s="139">
        <f t="shared" si="27"/>
        <v>0</v>
      </c>
      <c r="E1798" s="140">
        <v>74.7</v>
      </c>
      <c r="F1798" s="140">
        <v>61.23</v>
      </c>
      <c r="G1798" s="34" t="s">
        <v>100</v>
      </c>
      <c r="H1798" s="34" t="s">
        <v>2709</v>
      </c>
      <c r="I1798" s="35">
        <v>1</v>
      </c>
      <c r="J1798" s="35">
        <v>1</v>
      </c>
      <c r="K1798" s="35">
        <v>200</v>
      </c>
      <c r="L1798" s="60" t="str">
        <f>HYPERLINK("https://www.sds-group.ru/product/nakladki-protektory-dlya-mebeli-myagkie-23-9h7-5h51-5-mm-4-sht-up-halsa-HLS-S-107W/", "Инфо")</f>
        <v>Инфо</v>
      </c>
      <c r="M1798" s="37">
        <v>3.5999999999999997E-2</v>
      </c>
      <c r="N1798" s="38">
        <v>5.2700000000000002E-4</v>
      </c>
      <c r="O1798" s="141">
        <v>4601004179035</v>
      </c>
    </row>
    <row r="1799" spans="1:15" s="1" customFormat="1" ht="11.45" customHeight="1" outlineLevel="4" x14ac:dyDescent="0.2">
      <c r="A1799" s="32" t="s">
        <v>18318</v>
      </c>
      <c r="B1799" s="74" t="s">
        <v>18319</v>
      </c>
      <c r="C1799" s="50"/>
      <c r="D1799" s="139">
        <f t="shared" si="27"/>
        <v>0</v>
      </c>
      <c r="E1799" s="140">
        <v>87.67</v>
      </c>
      <c r="F1799" s="140">
        <v>71.86</v>
      </c>
      <c r="G1799" s="34" t="s">
        <v>100</v>
      </c>
      <c r="H1799" s="34" t="s">
        <v>2709</v>
      </c>
      <c r="I1799" s="35">
        <v>1</v>
      </c>
      <c r="J1799" s="35">
        <v>1</v>
      </c>
      <c r="K1799" s="35">
        <v>200</v>
      </c>
      <c r="L1799" s="60" t="str">
        <f>HYPERLINK("https://www.sds-group.ru/product/nakladki-protektory-dlya-mebeli-treugolnye-prozrachnye-24x34x19mm-8-sht-up-halsa-HLS-S-103/", "Инфо")</f>
        <v>Инфо</v>
      </c>
      <c r="M1799" s="37">
        <v>7.2999999999999995E-2</v>
      </c>
      <c r="N1799" s="38">
        <v>4.5100000000000001E-4</v>
      </c>
      <c r="O1799" s="141">
        <v>4601004179011</v>
      </c>
    </row>
    <row r="1800" spans="1:15" s="1" customFormat="1" ht="11.45" customHeight="1" outlineLevel="4" x14ac:dyDescent="0.2">
      <c r="A1800" s="32" t="s">
        <v>18322</v>
      </c>
      <c r="B1800" s="74" t="s">
        <v>18323</v>
      </c>
      <c r="C1800" s="50"/>
      <c r="D1800" s="139">
        <f t="shared" si="27"/>
        <v>0</v>
      </c>
      <c r="E1800" s="140">
        <v>221.75</v>
      </c>
      <c r="F1800" s="140">
        <v>181.76</v>
      </c>
      <c r="G1800" s="34" t="s">
        <v>100</v>
      </c>
      <c r="H1800" s="34" t="s">
        <v>2709</v>
      </c>
      <c r="I1800" s="35">
        <v>1</v>
      </c>
      <c r="J1800" s="35">
        <v>1</v>
      </c>
      <c r="K1800" s="35">
        <v>50</v>
      </c>
      <c r="L1800" s="60" t="str">
        <f>HYPERLINK("https://www.sds-group.ru/product/universalnaya-samokleyaschayasya-lenta-na-ostrye-kraya-24h8h2000mm-1-sht-up-halsa-HLS-S-109W/", "Инфо")</f>
        <v>Инфо</v>
      </c>
      <c r="M1800" s="37">
        <v>0.183</v>
      </c>
      <c r="N1800" s="38">
        <v>1.91E-3</v>
      </c>
      <c r="O1800" s="141">
        <v>4601004179059</v>
      </c>
    </row>
    <row r="1801" spans="1:15" ht="11.45" customHeight="1" outlineLevel="3" x14ac:dyDescent="0.2">
      <c r="A1801" s="76" t="s">
        <v>18324</v>
      </c>
      <c r="B1801" s="136"/>
      <c r="C1801" s="77"/>
      <c r="D1801" s="137"/>
      <c r="E1801" s="4"/>
      <c r="F1801" s="4"/>
      <c r="G1801" s="4"/>
      <c r="H1801" s="4"/>
      <c r="I1801" s="4"/>
      <c r="J1801" s="4"/>
      <c r="K1801" s="4"/>
      <c r="L1801" s="138"/>
      <c r="M1801" s="4"/>
      <c r="N1801" s="4"/>
      <c r="O1801" s="4"/>
    </row>
    <row r="1802" spans="1:15" s="1" customFormat="1" ht="11.45" customHeight="1" outlineLevel="4" x14ac:dyDescent="0.2">
      <c r="A1802" s="32" t="s">
        <v>18327</v>
      </c>
      <c r="B1802" s="74" t="s">
        <v>18328</v>
      </c>
      <c r="C1802" s="50"/>
      <c r="D1802" s="139">
        <f t="shared" si="27"/>
        <v>0</v>
      </c>
      <c r="E1802" s="140">
        <v>341.89</v>
      </c>
      <c r="F1802" s="140">
        <v>280.24</v>
      </c>
      <c r="G1802" s="34" t="s">
        <v>100</v>
      </c>
      <c r="H1802" s="34" t="s">
        <v>39</v>
      </c>
      <c r="I1802" s="35">
        <v>1</v>
      </c>
      <c r="J1802" s="35">
        <v>1</v>
      </c>
      <c r="K1802" s="35">
        <v>200</v>
      </c>
      <c r="L1802" s="60" t="str">
        <f>HYPERLINK("https://www.sds-group.ru/product/blokirator-dlya-dvernoy-ruchki-povorotnyy-halsa-HLS-S-403/", "Инфо")</f>
        <v>Инфо</v>
      </c>
      <c r="M1802" s="37">
        <v>7.0999999999999994E-2</v>
      </c>
      <c r="N1802" s="38">
        <v>3.0600000000000001E-4</v>
      </c>
      <c r="O1802" s="141">
        <v>4601004295599</v>
      </c>
    </row>
    <row r="1803" spans="1:15" s="1" customFormat="1" ht="11.45" customHeight="1" outlineLevel="4" x14ac:dyDescent="0.2">
      <c r="A1803" s="32" t="s">
        <v>18331</v>
      </c>
      <c r="B1803" s="74" t="s">
        <v>18332</v>
      </c>
      <c r="C1803" s="50"/>
      <c r="D1803" s="139">
        <f t="shared" ref="D1803:D1866" si="28">C1803*E1803</f>
        <v>0</v>
      </c>
      <c r="E1803" s="140">
        <v>92.74</v>
      </c>
      <c r="F1803" s="140">
        <v>76.02</v>
      </c>
      <c r="G1803" s="34" t="s">
        <v>100</v>
      </c>
      <c r="H1803" s="34" t="s">
        <v>2709</v>
      </c>
      <c r="I1803" s="35">
        <v>1</v>
      </c>
      <c r="J1803" s="35">
        <v>1</v>
      </c>
      <c r="K1803" s="35">
        <v>200</v>
      </c>
      <c r="L1803" s="60" t="str">
        <f>HYPERLINK("https://www.sds-group.ru/product/blokirovka-dlya-mebeli-universalnaya-dlinnaya-2-sht-up-halsa-HLS-S-201/", "Инфо")</f>
        <v>Инфо</v>
      </c>
      <c r="M1803" s="37">
        <v>5.8999999999999997E-2</v>
      </c>
      <c r="N1803" s="38">
        <v>3.9800000000000002E-4</v>
      </c>
      <c r="O1803" s="141">
        <v>4601004179080</v>
      </c>
    </row>
    <row r="1804" spans="1:15" s="1" customFormat="1" ht="11.45" customHeight="1" outlineLevel="4" x14ac:dyDescent="0.2">
      <c r="A1804" s="32" t="s">
        <v>18333</v>
      </c>
      <c r="B1804" s="74" t="s">
        <v>18334</v>
      </c>
      <c r="C1804" s="50"/>
      <c r="D1804" s="139">
        <f t="shared" si="28"/>
        <v>0</v>
      </c>
      <c r="E1804" s="140">
        <v>99.46</v>
      </c>
      <c r="F1804" s="140">
        <v>81.52</v>
      </c>
      <c r="G1804" s="34" t="s">
        <v>100</v>
      </c>
      <c r="H1804" s="34" t="s">
        <v>2709</v>
      </c>
      <c r="I1804" s="35">
        <v>1</v>
      </c>
      <c r="J1804" s="35">
        <v>1</v>
      </c>
      <c r="K1804" s="35">
        <v>200</v>
      </c>
      <c r="L1804" s="60" t="str">
        <f>HYPERLINK("https://www.sds-group.ru/product/blokirovka-dlya-mebeli-universalnaya-korotkaya-2-sht-up-halsa-HLS-S-202/", "Инфо")</f>
        <v>Инфо</v>
      </c>
      <c r="M1804" s="37">
        <v>5.3999999999999999E-2</v>
      </c>
      <c r="N1804" s="38">
        <v>3.2200000000000002E-4</v>
      </c>
      <c r="O1804" s="141">
        <v>4601004179097</v>
      </c>
    </row>
    <row r="1805" spans="1:15" s="1" customFormat="1" ht="11.45" customHeight="1" outlineLevel="4" x14ac:dyDescent="0.2">
      <c r="A1805" s="32" t="s">
        <v>18335</v>
      </c>
      <c r="B1805" s="74" t="s">
        <v>18336</v>
      </c>
      <c r="C1805" s="50"/>
      <c r="D1805" s="139">
        <f t="shared" si="28"/>
        <v>0</v>
      </c>
      <c r="E1805" s="140">
        <v>235.51</v>
      </c>
      <c r="F1805" s="140">
        <v>193.04</v>
      </c>
      <c r="G1805" s="34" t="s">
        <v>100</v>
      </c>
      <c r="H1805" s="34" t="s">
        <v>2709</v>
      </c>
      <c r="I1805" s="35">
        <v>1</v>
      </c>
      <c r="J1805" s="35">
        <v>1</v>
      </c>
      <c r="K1805" s="35">
        <v>200</v>
      </c>
      <c r="L1805" s="60" t="str">
        <f>HYPERLINK("https://www.sds-group.ru/product/vneshniy-zamok-blokirator-dlya-vydvizhnyh-yaschikov-premium-2-sht-up-halsa-HLS-S-211/", "Инфо")</f>
        <v>Инфо</v>
      </c>
      <c r="M1805" s="37">
        <v>0.13300000000000001</v>
      </c>
      <c r="N1805" s="38">
        <v>7.1500000000000003E-4</v>
      </c>
      <c r="O1805" s="141">
        <v>4601004295544</v>
      </c>
    </row>
    <row r="1806" spans="1:15" s="1" customFormat="1" ht="11.45" customHeight="1" outlineLevel="4" x14ac:dyDescent="0.2">
      <c r="A1806" s="32" t="s">
        <v>18345</v>
      </c>
      <c r="B1806" s="74" t="s">
        <v>18346</v>
      </c>
      <c r="C1806" s="50"/>
      <c r="D1806" s="139">
        <f t="shared" si="28"/>
        <v>0</v>
      </c>
      <c r="E1806" s="140">
        <v>111.41</v>
      </c>
      <c r="F1806" s="140">
        <v>91.32</v>
      </c>
      <c r="G1806" s="34" t="s">
        <v>100</v>
      </c>
      <c r="H1806" s="34" t="s">
        <v>2709</v>
      </c>
      <c r="I1806" s="35">
        <v>1</v>
      </c>
      <c r="J1806" s="35">
        <v>1</v>
      </c>
      <c r="K1806" s="35">
        <v>200</v>
      </c>
      <c r="L1806" s="60" t="str">
        <f>HYPERLINK("https://www.sds-group.ru/product/zaglushki-dlya-rozetok-3-7h3-3h0-3sm-abs-6-sht-up-halsa-HLS-S-602/", "Инфо")</f>
        <v>Инфо</v>
      </c>
      <c r="M1806" s="37">
        <v>3.5000000000000003E-2</v>
      </c>
      <c r="N1806" s="38">
        <v>1.8799999999999999E-4</v>
      </c>
      <c r="O1806" s="141">
        <v>4601004178953</v>
      </c>
    </row>
    <row r="1807" spans="1:15" s="1" customFormat="1" ht="11.45" customHeight="1" outlineLevel="4" x14ac:dyDescent="0.2">
      <c r="A1807" s="32" t="s">
        <v>18351</v>
      </c>
      <c r="B1807" s="74" t="s">
        <v>18352</v>
      </c>
      <c r="C1807" s="50"/>
      <c r="D1807" s="139">
        <f t="shared" si="28"/>
        <v>0</v>
      </c>
      <c r="E1807" s="140">
        <v>335.15</v>
      </c>
      <c r="F1807" s="140">
        <v>274.70999999999998</v>
      </c>
      <c r="G1807" s="34" t="s">
        <v>100</v>
      </c>
      <c r="H1807" s="34" t="s">
        <v>1001</v>
      </c>
      <c r="I1807" s="35">
        <v>1</v>
      </c>
      <c r="J1807" s="35">
        <v>1</v>
      </c>
      <c r="K1807" s="35">
        <v>100</v>
      </c>
      <c r="L1807" s="60" t="str">
        <f>HYPERLINK("https://www.sds-group.ru/product/zamok-zaschitnyy-okonnyy-halsa-HLS-S-303/", "Инфо")</f>
        <v>Инфо</v>
      </c>
      <c r="M1807" s="37">
        <v>0.18099999999999999</v>
      </c>
      <c r="N1807" s="38">
        <v>1.2310000000000001E-3</v>
      </c>
      <c r="O1807" s="141">
        <v>4601004265707</v>
      </c>
    </row>
    <row r="1808" spans="1:15" s="1" customFormat="1" ht="11.45" customHeight="1" outlineLevel="4" x14ac:dyDescent="0.2">
      <c r="A1808" s="32" t="s">
        <v>18377</v>
      </c>
      <c r="B1808" s="74" t="s">
        <v>18378</v>
      </c>
      <c r="C1808" s="50"/>
      <c r="D1808" s="139">
        <f t="shared" si="28"/>
        <v>0</v>
      </c>
      <c r="E1808" s="140">
        <v>141.12</v>
      </c>
      <c r="F1808" s="140">
        <v>115.67</v>
      </c>
      <c r="G1808" s="34" t="s">
        <v>100</v>
      </c>
      <c r="H1808" s="34" t="s">
        <v>2709</v>
      </c>
      <c r="I1808" s="35">
        <v>1</v>
      </c>
      <c r="J1808" s="35">
        <v>1</v>
      </c>
      <c r="K1808" s="35">
        <v>100</v>
      </c>
      <c r="L1808" s="60" t="str">
        <f>HYPERLINK("https://www.sds-group.ru/product/ogranichitel-stopper-dlya-dveri-reguliruemiy-2-sht-up-halsa-25700/", "Инфо")</f>
        <v>Инфо</v>
      </c>
      <c r="M1808" s="37">
        <v>0.122</v>
      </c>
      <c r="N1808" s="38">
        <v>6.2799999999999998E-4</v>
      </c>
      <c r="O1808" s="141">
        <v>4601004178939</v>
      </c>
    </row>
    <row r="1809" spans="1:15" ht="11.45" customHeight="1" outlineLevel="2" x14ac:dyDescent="0.2">
      <c r="A1809" s="76" t="s">
        <v>18390</v>
      </c>
      <c r="B1809" s="136"/>
      <c r="C1809" s="77"/>
      <c r="D1809" s="137"/>
      <c r="E1809" s="4"/>
      <c r="F1809" s="4"/>
      <c r="G1809" s="4"/>
      <c r="H1809" s="4"/>
      <c r="I1809" s="4"/>
      <c r="J1809" s="4"/>
      <c r="K1809" s="4"/>
      <c r="L1809" s="138"/>
      <c r="M1809" s="4"/>
      <c r="N1809" s="4"/>
      <c r="O1809" s="4"/>
    </row>
    <row r="1810" spans="1:15" ht="11.45" customHeight="1" outlineLevel="3" x14ac:dyDescent="0.2">
      <c r="A1810" s="76" t="s">
        <v>18391</v>
      </c>
      <c r="B1810" s="136"/>
      <c r="C1810" s="77"/>
      <c r="D1810" s="137"/>
      <c r="E1810" s="4"/>
      <c r="F1810" s="4"/>
      <c r="G1810" s="4"/>
      <c r="H1810" s="4"/>
      <c r="I1810" s="4"/>
      <c r="J1810" s="4"/>
      <c r="K1810" s="4"/>
      <c r="L1810" s="138"/>
      <c r="M1810" s="4"/>
      <c r="N1810" s="4"/>
      <c r="O1810" s="4"/>
    </row>
    <row r="1811" spans="1:15" s="1" customFormat="1" ht="11.45" customHeight="1" outlineLevel="4" x14ac:dyDescent="0.2">
      <c r="A1811" s="32" t="s">
        <v>18392</v>
      </c>
      <c r="B1811" s="74" t="s">
        <v>18393</v>
      </c>
      <c r="C1811" s="50"/>
      <c r="D1811" s="139">
        <f t="shared" si="28"/>
        <v>0</v>
      </c>
      <c r="E1811" s="140">
        <v>1024.76</v>
      </c>
      <c r="F1811" s="140">
        <v>839.97</v>
      </c>
      <c r="G1811" s="34" t="s">
        <v>100</v>
      </c>
      <c r="H1811" s="34" t="s">
        <v>39</v>
      </c>
      <c r="I1811" s="35">
        <v>1</v>
      </c>
      <c r="J1811" s="35">
        <v>1</v>
      </c>
      <c r="K1811" s="35">
        <v>1</v>
      </c>
      <c r="L1811" s="60" t="str">
        <f>HYPERLINK("https://www.sds-group.ru/product/musornoe-vedro-s-datchikom-dvizheniya-krugloe-10l-halsa-HSL-C-102/", "Инфо")</f>
        <v>Инфо</v>
      </c>
      <c r="M1811" s="37">
        <v>1.1739999999999999</v>
      </c>
      <c r="N1811" s="38">
        <v>1.5566E-2</v>
      </c>
      <c r="O1811" s="141">
        <v>4601004181038</v>
      </c>
    </row>
    <row r="1812" spans="1:15" s="1" customFormat="1" ht="11.45" customHeight="1" outlineLevel="4" x14ac:dyDescent="0.2">
      <c r="A1812" s="32" t="s">
        <v>18394</v>
      </c>
      <c r="B1812" s="74" t="s">
        <v>18395</v>
      </c>
      <c r="C1812" s="50"/>
      <c r="D1812" s="139">
        <f t="shared" si="28"/>
        <v>0</v>
      </c>
      <c r="E1812" s="140">
        <v>635.85</v>
      </c>
      <c r="F1812" s="140">
        <v>521.19000000000005</v>
      </c>
      <c r="G1812" s="34" t="s">
        <v>100</v>
      </c>
      <c r="H1812" s="34" t="s">
        <v>39</v>
      </c>
      <c r="I1812" s="35">
        <v>1</v>
      </c>
      <c r="J1812" s="35">
        <v>1</v>
      </c>
      <c r="K1812" s="35">
        <v>12</v>
      </c>
      <c r="L1812" s="60" t="str">
        <f>HYPERLINK("https://www.sds-group.ru/product/musornoe-vedro-s-datchikom-dvizheniya-krugloe-12l-halsa-HSL-C-104/", "Инфо")</f>
        <v>Инфо</v>
      </c>
      <c r="M1812" s="37">
        <v>1.113</v>
      </c>
      <c r="N1812" s="38">
        <v>2.4577999999999999E-2</v>
      </c>
      <c r="O1812" s="141">
        <v>4601004233843</v>
      </c>
    </row>
    <row r="1813" spans="1:15" s="1" customFormat="1" ht="11.45" customHeight="1" outlineLevel="4" x14ac:dyDescent="0.2">
      <c r="A1813" s="32" t="s">
        <v>18396</v>
      </c>
      <c r="B1813" s="74" t="s">
        <v>18397</v>
      </c>
      <c r="C1813" s="50"/>
      <c r="D1813" s="139">
        <f t="shared" si="28"/>
        <v>0</v>
      </c>
      <c r="E1813" s="140">
        <v>883.19</v>
      </c>
      <c r="F1813" s="140">
        <v>723.93</v>
      </c>
      <c r="G1813" s="34" t="s">
        <v>100</v>
      </c>
      <c r="H1813" s="34" t="s">
        <v>39</v>
      </c>
      <c r="I1813" s="35">
        <v>1</v>
      </c>
      <c r="J1813" s="35">
        <v>1</v>
      </c>
      <c r="K1813" s="35">
        <v>1</v>
      </c>
      <c r="L1813" s="60" t="str">
        <f>HYPERLINK("https://www.sds-group.ru/product/musornoe-vedro-s-datchikom-dvizheniya-10l-halsa-HSL-C-101/", "Инфо")</f>
        <v>Инфо</v>
      </c>
      <c r="M1813" s="37">
        <v>2.0310000000000001</v>
      </c>
      <c r="N1813" s="38">
        <v>2.7550999999999999E-2</v>
      </c>
      <c r="O1813" s="141">
        <v>4601004181045</v>
      </c>
    </row>
    <row r="1814" spans="1:15" s="1" customFormat="1" ht="11.45" customHeight="1" outlineLevel="4" x14ac:dyDescent="0.2">
      <c r="A1814" s="32" t="s">
        <v>18398</v>
      </c>
      <c r="B1814" s="74" t="s">
        <v>18399</v>
      </c>
      <c r="C1814" s="50"/>
      <c r="D1814" s="139">
        <f t="shared" si="28"/>
        <v>0</v>
      </c>
      <c r="E1814" s="140">
        <v>924.55</v>
      </c>
      <c r="F1814" s="140">
        <v>757.83</v>
      </c>
      <c r="G1814" s="34" t="s">
        <v>100</v>
      </c>
      <c r="H1814" s="34" t="s">
        <v>39</v>
      </c>
      <c r="I1814" s="35">
        <v>1</v>
      </c>
      <c r="J1814" s="35">
        <v>1</v>
      </c>
      <c r="K1814" s="35">
        <v>12</v>
      </c>
      <c r="L1814" s="60" t="str">
        <f>HYPERLINK("https://www.sds-group.ru/product/musornoe-vedro-s-datchikom-dvizheniya-12l-halsa-HSL-C-107/", "Инфо")</f>
        <v>Инфо</v>
      </c>
      <c r="M1814" s="37">
        <v>1.347</v>
      </c>
      <c r="N1814" s="38">
        <v>2.1260000000000001E-2</v>
      </c>
      <c r="O1814" s="141">
        <v>4601004252653</v>
      </c>
    </row>
    <row r="1815" spans="1:15" s="1" customFormat="1" ht="11.45" customHeight="1" outlineLevel="4" x14ac:dyDescent="0.2">
      <c r="A1815" s="32" t="s">
        <v>18400</v>
      </c>
      <c r="B1815" s="74" t="s">
        <v>18401</v>
      </c>
      <c r="C1815" s="50"/>
      <c r="D1815" s="139">
        <f t="shared" si="28"/>
        <v>0</v>
      </c>
      <c r="E1815" s="140">
        <v>1001.63</v>
      </c>
      <c r="F1815" s="140">
        <v>821.01</v>
      </c>
      <c r="G1815" s="34" t="s">
        <v>100</v>
      </c>
      <c r="H1815" s="34" t="s">
        <v>39</v>
      </c>
      <c r="I1815" s="35">
        <v>1</v>
      </c>
      <c r="J1815" s="35">
        <v>1</v>
      </c>
      <c r="K1815" s="35">
        <v>16</v>
      </c>
      <c r="L1815" s="60" t="str">
        <f>HYPERLINK("https://www.sds-group.ru/product/musornoe-vedro-s-datchikom-dvizheniya-15l-halsa-HSL-C-105/", "Инфо")</f>
        <v>Инфо</v>
      </c>
      <c r="M1815" s="37">
        <v>1.2749999999999999</v>
      </c>
      <c r="N1815" s="38">
        <v>2.0383999999999999E-2</v>
      </c>
      <c r="O1815" s="141">
        <v>4601004233850</v>
      </c>
    </row>
    <row r="1816" spans="1:15" ht="11.45" customHeight="1" outlineLevel="3" x14ac:dyDescent="0.2">
      <c r="A1816" s="76" t="s">
        <v>18402</v>
      </c>
      <c r="B1816" s="136"/>
      <c r="C1816" s="77"/>
      <c r="D1816" s="137"/>
      <c r="E1816" s="4"/>
      <c r="F1816" s="4"/>
      <c r="G1816" s="4"/>
      <c r="H1816" s="4"/>
      <c r="I1816" s="4"/>
      <c r="J1816" s="4"/>
      <c r="K1816" s="4"/>
      <c r="L1816" s="138"/>
      <c r="M1816" s="4"/>
      <c r="N1816" s="4"/>
      <c r="O1816" s="4"/>
    </row>
    <row r="1817" spans="1:15" s="1" customFormat="1" ht="11.45" customHeight="1" outlineLevel="4" x14ac:dyDescent="0.2">
      <c r="A1817" s="32" t="s">
        <v>18403</v>
      </c>
      <c r="B1817" s="74" t="s">
        <v>18404</v>
      </c>
      <c r="C1817" s="50"/>
      <c r="D1817" s="139">
        <f t="shared" si="28"/>
        <v>0</v>
      </c>
      <c r="E1817" s="140">
        <v>221.88</v>
      </c>
      <c r="F1817" s="140">
        <v>181.87</v>
      </c>
      <c r="G1817" s="34" t="s">
        <v>100</v>
      </c>
      <c r="H1817" s="34" t="s">
        <v>39</v>
      </c>
      <c r="I1817" s="35">
        <v>1</v>
      </c>
      <c r="J1817" s="35">
        <v>1</v>
      </c>
      <c r="K1817" s="35">
        <v>24</v>
      </c>
      <c r="L1817" s="60" t="str">
        <f>HYPERLINK("https://www.sds-group.ru/product/veshalka-dlya-polotenets-nastennaya-na-vakuumnoy-prisoske-5-kryuchkov-halsa-HLS-F-105W/", "Инфо")</f>
        <v>Инфо</v>
      </c>
      <c r="M1817" s="37">
        <v>0.34300000000000003</v>
      </c>
      <c r="N1817" s="38">
        <v>1.7750000000000001E-3</v>
      </c>
      <c r="O1817" s="141">
        <v>4601004276949</v>
      </c>
    </row>
    <row r="1818" spans="1:15" s="1" customFormat="1" ht="11.45" customHeight="1" outlineLevel="4" x14ac:dyDescent="0.2">
      <c r="A1818" s="32" t="s">
        <v>18405</v>
      </c>
      <c r="B1818" s="74" t="s">
        <v>18406</v>
      </c>
      <c r="C1818" s="50"/>
      <c r="D1818" s="139">
        <f t="shared" si="28"/>
        <v>0</v>
      </c>
      <c r="E1818" s="140">
        <v>91.57</v>
      </c>
      <c r="F1818" s="140">
        <v>75.06</v>
      </c>
      <c r="G1818" s="34" t="s">
        <v>100</v>
      </c>
      <c r="H1818" s="34" t="s">
        <v>39</v>
      </c>
      <c r="I1818" s="35">
        <v>1</v>
      </c>
      <c r="J1818" s="35">
        <v>1</v>
      </c>
      <c r="K1818" s="35">
        <v>280</v>
      </c>
      <c r="L1818" s="60" t="str">
        <f>HYPERLINK("https://www.sds-group.ru/product/derzhatel-dlya-britvennogo-stanka-na-vakuumnoy-prisoske-halsa-HLS-F-112W/", "Инфо")</f>
        <v>Инфо</v>
      </c>
      <c r="M1818" s="37">
        <v>6.6000000000000003E-2</v>
      </c>
      <c r="N1818" s="38">
        <v>3.19E-4</v>
      </c>
      <c r="O1818" s="141">
        <v>4601004277021</v>
      </c>
    </row>
    <row r="1819" spans="1:15" s="1" customFormat="1" ht="11.45" customHeight="1" outlineLevel="4" x14ac:dyDescent="0.2">
      <c r="A1819" s="32" t="s">
        <v>18407</v>
      </c>
      <c r="B1819" s="74" t="s">
        <v>18408</v>
      </c>
      <c r="C1819" s="50"/>
      <c r="D1819" s="139">
        <f t="shared" si="28"/>
        <v>0</v>
      </c>
      <c r="E1819" s="140">
        <v>179.58</v>
      </c>
      <c r="F1819" s="140">
        <v>147.19999999999999</v>
      </c>
      <c r="G1819" s="34" t="s">
        <v>100</v>
      </c>
      <c r="H1819" s="34" t="s">
        <v>39</v>
      </c>
      <c r="I1819" s="35">
        <v>1</v>
      </c>
      <c r="J1819" s="35">
        <v>1</v>
      </c>
      <c r="K1819" s="35">
        <v>24</v>
      </c>
      <c r="L1819" s="60" t="str">
        <f>HYPERLINK("https://www.sds-group.ru/product/derzhatel-dlya-bumazhnyh-polotenets-nastennyy-na-vakuumnoy-prisoske-halsa-HLS-F-108W/", "Инфо")</f>
        <v>Инфо</v>
      </c>
      <c r="M1819" s="37">
        <v>0.183</v>
      </c>
      <c r="N1819" s="38">
        <v>1.603E-3</v>
      </c>
      <c r="O1819" s="141">
        <v>4601004276970</v>
      </c>
    </row>
    <row r="1820" spans="1:15" s="1" customFormat="1" ht="11.45" customHeight="1" outlineLevel="4" x14ac:dyDescent="0.2">
      <c r="A1820" s="32" t="s">
        <v>18409</v>
      </c>
      <c r="B1820" s="74" t="s">
        <v>18410</v>
      </c>
      <c r="C1820" s="50"/>
      <c r="D1820" s="139">
        <f t="shared" si="28"/>
        <v>0</v>
      </c>
      <c r="E1820" s="140">
        <v>82.49</v>
      </c>
      <c r="F1820" s="140">
        <v>67.61</v>
      </c>
      <c r="G1820" s="34" t="s">
        <v>100</v>
      </c>
      <c r="H1820" s="34" t="s">
        <v>39</v>
      </c>
      <c r="I1820" s="35">
        <v>1</v>
      </c>
      <c r="J1820" s="35">
        <v>1</v>
      </c>
      <c r="K1820" s="35">
        <v>280</v>
      </c>
      <c r="L1820" s="60" t="str">
        <f>HYPERLINK("https://www.sds-group.ru/product/derzhatel-dlya-zubnyh-schetok-na-vakuumnoy-prisoske-halsa-HLS-F-111W/", "Инфо")</f>
        <v>Инфо</v>
      </c>
      <c r="M1820" s="37">
        <v>6.4000000000000001E-2</v>
      </c>
      <c r="N1820" s="38">
        <v>3.2499999999999999E-4</v>
      </c>
      <c r="O1820" s="141">
        <v>4601004276994</v>
      </c>
    </row>
    <row r="1821" spans="1:15" s="1" customFormat="1" ht="11.45" customHeight="1" outlineLevel="4" x14ac:dyDescent="0.2">
      <c r="A1821" s="32" t="s">
        <v>18411</v>
      </c>
      <c r="B1821" s="74" t="s">
        <v>18412</v>
      </c>
      <c r="C1821" s="50"/>
      <c r="D1821" s="139">
        <f t="shared" si="28"/>
        <v>0</v>
      </c>
      <c r="E1821" s="140">
        <v>153.19</v>
      </c>
      <c r="F1821" s="140">
        <v>125.57</v>
      </c>
      <c r="G1821" s="34" t="s">
        <v>100</v>
      </c>
      <c r="H1821" s="34" t="s">
        <v>39</v>
      </c>
      <c r="I1821" s="35">
        <v>1</v>
      </c>
      <c r="J1821" s="35">
        <v>1</v>
      </c>
      <c r="K1821" s="35">
        <v>189</v>
      </c>
      <c r="L1821" s="60" t="str">
        <f>HYPERLINK("https://www.sds-group.ru/product/derzhatel-dlya-tualetnoy-bumagi-nastennyy-na-vakuumnoy-prisoske-halsa-HLS-F-109W/", "Инфо")</f>
        <v>Инфо</v>
      </c>
      <c r="M1821" s="37">
        <v>9.0999999999999998E-2</v>
      </c>
      <c r="N1821" s="38">
        <v>6.8099999999999996E-4</v>
      </c>
      <c r="O1821" s="141">
        <v>4601004276987</v>
      </c>
    </row>
    <row r="1822" spans="1:15" s="1" customFormat="1" ht="11.45" customHeight="1" outlineLevel="4" x14ac:dyDescent="0.2">
      <c r="A1822" s="32" t="s">
        <v>18413</v>
      </c>
      <c r="B1822" s="74" t="s">
        <v>18414</v>
      </c>
      <c r="C1822" s="50"/>
      <c r="D1822" s="139">
        <f t="shared" si="28"/>
        <v>0</v>
      </c>
      <c r="E1822" s="140">
        <v>98.6</v>
      </c>
      <c r="F1822" s="140">
        <v>80.819999999999993</v>
      </c>
      <c r="G1822" s="34" t="s">
        <v>100</v>
      </c>
      <c r="H1822" s="34" t="s">
        <v>39</v>
      </c>
      <c r="I1822" s="35">
        <v>1</v>
      </c>
      <c r="J1822" s="35">
        <v>1</v>
      </c>
      <c r="K1822" s="35">
        <v>90</v>
      </c>
      <c r="L1822" s="60" t="str">
        <f>HYPERLINK("https://www.sds-group.ru/product/stakan-dlya-zubnyh-schetok-dvoynoy-na-vakuumnoy-prisoske-halsa-HLS-F-114W/", "Инфо")</f>
        <v>Инфо</v>
      </c>
      <c r="M1822" s="37">
        <v>0.21</v>
      </c>
      <c r="N1822" s="38">
        <v>1.897E-3</v>
      </c>
      <c r="O1822" s="141">
        <v>4601004277069</v>
      </c>
    </row>
    <row r="1823" spans="1:15" s="1" customFormat="1" ht="11.45" customHeight="1" outlineLevel="4" x14ac:dyDescent="0.2">
      <c r="A1823" s="32" t="s">
        <v>18415</v>
      </c>
      <c r="B1823" s="74" t="s">
        <v>18416</v>
      </c>
      <c r="C1823" s="50"/>
      <c r="D1823" s="139">
        <f t="shared" si="28"/>
        <v>0</v>
      </c>
      <c r="E1823" s="140">
        <v>98.6</v>
      </c>
      <c r="F1823" s="140">
        <v>80.819999999999993</v>
      </c>
      <c r="G1823" s="34" t="s">
        <v>100</v>
      </c>
      <c r="H1823" s="34" t="s">
        <v>39</v>
      </c>
      <c r="I1823" s="35">
        <v>1</v>
      </c>
      <c r="J1823" s="35">
        <v>1</v>
      </c>
      <c r="K1823" s="35">
        <v>96</v>
      </c>
      <c r="L1823" s="60" t="str">
        <f>HYPERLINK("https://www.sds-group.ru/product/stakan-dlya-zubnyh-schetok-i-pasty-na-vakuumnoy-prisoske-halsa-HLS-F-113W/", "Инфо")</f>
        <v>Инфо</v>
      </c>
      <c r="M1823" s="37">
        <v>0.16800000000000001</v>
      </c>
      <c r="N1823" s="38">
        <v>1.5510000000000001E-3</v>
      </c>
      <c r="O1823" s="141">
        <v>4601004277045</v>
      </c>
    </row>
    <row r="1824" spans="1:15" ht="11.45" customHeight="1" outlineLevel="2" x14ac:dyDescent="0.2">
      <c r="A1824" s="76" t="s">
        <v>18417</v>
      </c>
      <c r="B1824" s="136"/>
      <c r="C1824" s="77"/>
      <c r="D1824" s="137"/>
      <c r="E1824" s="4"/>
      <c r="F1824" s="4"/>
      <c r="G1824" s="4"/>
      <c r="H1824" s="4"/>
      <c r="I1824" s="4"/>
      <c r="J1824" s="4"/>
      <c r="K1824" s="4"/>
      <c r="L1824" s="138"/>
      <c r="M1824" s="4"/>
      <c r="N1824" s="4"/>
      <c r="O1824" s="4"/>
    </row>
    <row r="1825" spans="1:15" ht="11.45" customHeight="1" outlineLevel="3" x14ac:dyDescent="0.2">
      <c r="A1825" s="76" t="s">
        <v>18418</v>
      </c>
      <c r="B1825" s="136"/>
      <c r="C1825" s="77"/>
      <c r="D1825" s="137"/>
      <c r="E1825" s="4"/>
      <c r="F1825" s="4"/>
      <c r="G1825" s="4"/>
      <c r="H1825" s="4"/>
      <c r="I1825" s="4"/>
      <c r="J1825" s="4"/>
      <c r="K1825" s="4"/>
      <c r="L1825" s="138"/>
      <c r="M1825" s="4"/>
      <c r="N1825" s="4"/>
      <c r="O1825" s="4"/>
    </row>
    <row r="1826" spans="1:15" s="1" customFormat="1" ht="11.45" customHeight="1" outlineLevel="4" x14ac:dyDescent="0.2">
      <c r="A1826" s="32" t="s">
        <v>18419</v>
      </c>
      <c r="B1826" s="74" t="s">
        <v>18420</v>
      </c>
      <c r="C1826" s="50"/>
      <c r="D1826" s="139">
        <f t="shared" si="28"/>
        <v>0</v>
      </c>
      <c r="E1826" s="140">
        <v>83.45</v>
      </c>
      <c r="F1826" s="140">
        <v>68.400000000000006</v>
      </c>
      <c r="G1826" s="34" t="s">
        <v>100</v>
      </c>
      <c r="H1826" s="34" t="s">
        <v>39</v>
      </c>
      <c r="I1826" s="35">
        <v>1</v>
      </c>
      <c r="J1826" s="35">
        <v>1</v>
      </c>
      <c r="K1826" s="35">
        <v>60</v>
      </c>
      <c r="L1826" s="60" t="str">
        <f>HYPERLINK("https://www.sds-group.ru/product/kozyrek-dlya-kupaniya-detey-goluboy-begemotik-halsa-HLS-HY-101/", "Инфо")</f>
        <v>Инфо</v>
      </c>
      <c r="M1826" s="37">
        <v>0.10199999999999999</v>
      </c>
      <c r="N1826" s="38">
        <v>1.0219999999999999E-3</v>
      </c>
      <c r="O1826" s="141">
        <v>4601004279117</v>
      </c>
    </row>
    <row r="1827" spans="1:15" ht="11.45" customHeight="1" outlineLevel="3" x14ac:dyDescent="0.2">
      <c r="A1827" s="76" t="s">
        <v>18421</v>
      </c>
      <c r="B1827" s="136"/>
      <c r="C1827" s="77"/>
      <c r="D1827" s="137"/>
      <c r="E1827" s="4"/>
      <c r="F1827" s="4"/>
      <c r="G1827" s="4"/>
      <c r="H1827" s="4"/>
      <c r="I1827" s="4"/>
      <c r="J1827" s="4"/>
      <c r="K1827" s="4"/>
      <c r="L1827" s="138"/>
      <c r="M1827" s="4"/>
      <c r="N1827" s="4"/>
      <c r="O1827" s="4"/>
    </row>
    <row r="1828" spans="1:15" s="1" customFormat="1" ht="11.45" customHeight="1" outlineLevel="4" x14ac:dyDescent="0.2">
      <c r="A1828" s="32" t="s">
        <v>18422</v>
      </c>
      <c r="B1828" s="74" t="s">
        <v>18423</v>
      </c>
      <c r="C1828" s="50"/>
      <c r="D1828" s="139">
        <f t="shared" si="28"/>
        <v>0</v>
      </c>
      <c r="E1828" s="140">
        <v>174.32</v>
      </c>
      <c r="F1828" s="140">
        <v>142.88999999999999</v>
      </c>
      <c r="G1828" s="34" t="s">
        <v>100</v>
      </c>
      <c r="H1828" s="34" t="s">
        <v>39</v>
      </c>
      <c r="I1828" s="35">
        <v>1</v>
      </c>
      <c r="J1828" s="35">
        <v>1</v>
      </c>
      <c r="K1828" s="35">
        <v>50</v>
      </c>
      <c r="L1828" s="60" t="str">
        <f>HYPERLINK("https://www.sds-group.ru/product/fartuk-nagrudnyy-dlya-kormleniya-s-zhestkim-karmanom-zelenyy-s-rozovym-halsa-HLS-BI-101/", "Инфо")</f>
        <v>Инфо</v>
      </c>
      <c r="M1828" s="37">
        <v>0.115</v>
      </c>
      <c r="N1828" s="38">
        <v>1.225E-3</v>
      </c>
      <c r="O1828" s="141">
        <v>4601004279049</v>
      </c>
    </row>
    <row r="1829" spans="1:15" ht="11.45" customHeight="1" outlineLevel="1" x14ac:dyDescent="0.2">
      <c r="A1829" s="78" t="s">
        <v>18424</v>
      </c>
      <c r="B1829" s="132"/>
      <c r="C1829" s="79"/>
      <c r="D1829" s="133"/>
      <c r="E1829" s="134"/>
      <c r="F1829" s="134"/>
      <c r="G1829" s="134"/>
      <c r="H1829" s="134"/>
      <c r="I1829" s="134"/>
      <c r="J1829" s="134"/>
      <c r="K1829" s="134"/>
      <c r="L1829" s="135"/>
      <c r="M1829" s="134"/>
      <c r="N1829" s="134"/>
      <c r="O1829" s="134"/>
    </row>
    <row r="1830" spans="1:15" ht="11.45" customHeight="1" outlineLevel="2" x14ac:dyDescent="0.2">
      <c r="A1830" s="76" t="s">
        <v>18425</v>
      </c>
      <c r="B1830" s="136"/>
      <c r="C1830" s="77"/>
      <c r="D1830" s="137"/>
      <c r="E1830" s="4"/>
      <c r="F1830" s="4"/>
      <c r="G1830" s="4"/>
      <c r="H1830" s="4"/>
      <c r="I1830" s="4"/>
      <c r="J1830" s="4"/>
      <c r="K1830" s="4"/>
      <c r="L1830" s="138"/>
      <c r="M1830" s="4"/>
      <c r="N1830" s="4"/>
      <c r="O1830" s="4"/>
    </row>
    <row r="1831" spans="1:15" s="1" customFormat="1" ht="11.45" customHeight="1" outlineLevel="3" x14ac:dyDescent="0.2">
      <c r="A1831" s="32" t="s">
        <v>18426</v>
      </c>
      <c r="B1831" s="74" t="s">
        <v>18427</v>
      </c>
      <c r="C1831" s="50"/>
      <c r="D1831" s="139">
        <f t="shared" si="28"/>
        <v>0</v>
      </c>
      <c r="E1831" s="140">
        <v>133.96</v>
      </c>
      <c r="F1831" s="140">
        <v>109.8</v>
      </c>
      <c r="G1831" s="34" t="s">
        <v>100</v>
      </c>
      <c r="H1831" s="34" t="s">
        <v>39</v>
      </c>
      <c r="I1831" s="35">
        <v>1</v>
      </c>
      <c r="J1831" s="35">
        <v>1</v>
      </c>
      <c r="K1831" s="35">
        <v>24</v>
      </c>
      <c r="L1831" s="60" t="str">
        <f>HYPERLINK("https://www.sds-group.ru/product/derzhatel-dlya-smartfonov-i-planshetov-nastolnyy-chernyy-rexant-38-0717/", "Инфо")</f>
        <v>Инфо</v>
      </c>
      <c r="M1831" s="37">
        <v>0.112</v>
      </c>
      <c r="N1831" s="38">
        <v>9.4499999999999998E-4</v>
      </c>
      <c r="O1831" s="141">
        <v>4601004303348</v>
      </c>
    </row>
    <row r="1832" spans="1:15" s="1" customFormat="1" ht="11.45" customHeight="1" outlineLevel="3" x14ac:dyDescent="0.2">
      <c r="A1832" s="32" t="s">
        <v>18428</v>
      </c>
      <c r="B1832" s="74" t="s">
        <v>18429</v>
      </c>
      <c r="C1832" s="50"/>
      <c r="D1832" s="139">
        <f t="shared" si="28"/>
        <v>0</v>
      </c>
      <c r="E1832" s="140">
        <v>300.31</v>
      </c>
      <c r="F1832" s="140">
        <v>246.16</v>
      </c>
      <c r="G1832" s="34" t="s">
        <v>100</v>
      </c>
      <c r="H1832" s="34" t="s">
        <v>39</v>
      </c>
      <c r="I1832" s="35">
        <v>1</v>
      </c>
      <c r="J1832" s="35">
        <v>1</v>
      </c>
      <c r="K1832" s="35">
        <v>12</v>
      </c>
      <c r="L1832" s="60" t="str">
        <f>HYPERLINK("https://www.sds-group.ru/product/kronshteyn-dlya-playstation5-nastennyy-belyy-rexant-38-0625/", "Инфо")</f>
        <v>Инфо</v>
      </c>
      <c r="M1832" s="37">
        <v>0.38100000000000001</v>
      </c>
      <c r="N1832" s="38">
        <v>4.006E-3</v>
      </c>
      <c r="O1832" s="141">
        <v>4601004280359</v>
      </c>
    </row>
    <row r="1833" spans="1:15" s="1" customFormat="1" ht="11.45" customHeight="1" outlineLevel="3" x14ac:dyDescent="0.2">
      <c r="A1833" s="32" t="s">
        <v>18430</v>
      </c>
      <c r="B1833" s="74" t="s">
        <v>18431</v>
      </c>
      <c r="C1833" s="50"/>
      <c r="D1833" s="139">
        <f t="shared" si="28"/>
        <v>0</v>
      </c>
      <c r="E1833" s="140">
        <v>281.56</v>
      </c>
      <c r="F1833" s="140">
        <v>230.79</v>
      </c>
      <c r="G1833" s="34" t="s">
        <v>100</v>
      </c>
      <c r="H1833" s="34" t="s">
        <v>39</v>
      </c>
      <c r="I1833" s="35">
        <v>1</v>
      </c>
      <c r="J1833" s="35">
        <v>1</v>
      </c>
      <c r="K1833" s="35">
        <v>10</v>
      </c>
      <c r="L1833" s="60" t="str">
        <f>HYPERLINK("https://www.sds-group.ru/product/kronshteyn-dlya-igrovyh-dzhoystikov-universalnyy-nastennyy-belyy-rexant-38-0628/", "Инфо")</f>
        <v>Инфо</v>
      </c>
      <c r="M1833" s="37">
        <v>9.5000000000000001E-2</v>
      </c>
      <c r="N1833" s="38">
        <v>9.8400000000000007E-4</v>
      </c>
      <c r="O1833" s="141">
        <v>4601004280328</v>
      </c>
    </row>
    <row r="1834" spans="1:15" s="1" customFormat="1" ht="11.45" customHeight="1" outlineLevel="3" x14ac:dyDescent="0.2">
      <c r="A1834" s="32" t="s">
        <v>18432</v>
      </c>
      <c r="B1834" s="74" t="s">
        <v>18433</v>
      </c>
      <c r="C1834" s="50"/>
      <c r="D1834" s="139">
        <f t="shared" si="28"/>
        <v>0</v>
      </c>
      <c r="E1834" s="140">
        <v>233.81</v>
      </c>
      <c r="F1834" s="140">
        <v>191.65</v>
      </c>
      <c r="G1834" s="34" t="s">
        <v>100</v>
      </c>
      <c r="H1834" s="34" t="s">
        <v>39</v>
      </c>
      <c r="I1834" s="35">
        <v>1</v>
      </c>
      <c r="J1834" s="35">
        <v>1</v>
      </c>
      <c r="K1834" s="35">
        <v>10</v>
      </c>
      <c r="L1834" s="60" t="str">
        <f>HYPERLINK("https://www.sds-group.ru/product/kronshteyn-dlya-igrovyh-dzhoystikov-universalnyy-nastennyy-chernyy-rexant-38-0627/", "Инфо")</f>
        <v>Инфо</v>
      </c>
      <c r="M1834" s="37">
        <v>9.4E-2</v>
      </c>
      <c r="N1834" s="38">
        <v>1.0059999999999999E-3</v>
      </c>
      <c r="O1834" s="141">
        <v>4601004280281</v>
      </c>
    </row>
    <row r="1835" spans="1:15" s="1" customFormat="1" ht="11.45" customHeight="1" outlineLevel="3" x14ac:dyDescent="0.2">
      <c r="A1835" s="32" t="s">
        <v>18434</v>
      </c>
      <c r="B1835" s="74" t="s">
        <v>18435</v>
      </c>
      <c r="C1835" s="50"/>
      <c r="D1835" s="139">
        <f t="shared" si="28"/>
        <v>0</v>
      </c>
      <c r="E1835" s="140">
        <v>386.53</v>
      </c>
      <c r="F1835" s="140">
        <v>316.83</v>
      </c>
      <c r="G1835" s="34" t="s">
        <v>100</v>
      </c>
      <c r="H1835" s="34" t="s">
        <v>39</v>
      </c>
      <c r="I1835" s="35">
        <v>1</v>
      </c>
      <c r="J1835" s="35">
        <v>1</v>
      </c>
      <c r="K1835" s="35">
        <v>12</v>
      </c>
      <c r="L1835" s="60" t="str">
        <f>HYPERLINK("https://www.sds-group.ru/product/kronshteyn-dlya-kolonok-nastennyy-belyy-rexant-38-0633/", "Инфо")</f>
        <v>Инфо</v>
      </c>
      <c r="M1835" s="37">
        <v>0.314</v>
      </c>
      <c r="N1835" s="38">
        <v>1.1509999999999999E-3</v>
      </c>
      <c r="O1835" s="141">
        <v>4601004280335</v>
      </c>
    </row>
    <row r="1836" spans="1:15" s="1" customFormat="1" ht="11.45" customHeight="1" outlineLevel="3" x14ac:dyDescent="0.2">
      <c r="A1836" s="32" t="s">
        <v>18436</v>
      </c>
      <c r="B1836" s="74" t="s">
        <v>18437</v>
      </c>
      <c r="C1836" s="50"/>
      <c r="D1836" s="139">
        <f t="shared" si="28"/>
        <v>0</v>
      </c>
      <c r="E1836" s="140">
        <v>418.74</v>
      </c>
      <c r="F1836" s="140">
        <v>343.23</v>
      </c>
      <c r="G1836" s="34" t="s">
        <v>100</v>
      </c>
      <c r="H1836" s="34" t="s">
        <v>39</v>
      </c>
      <c r="I1836" s="35">
        <v>1</v>
      </c>
      <c r="J1836" s="35">
        <v>1</v>
      </c>
      <c r="K1836" s="35">
        <v>12</v>
      </c>
      <c r="L1836" s="60" t="str">
        <f>HYPERLINK("https://www.sds-group.ru/product/kronshteyn-dlya-kolonok-nastennyy-chernyy-rexant-38-0632/", "Инфо")</f>
        <v>Инфо</v>
      </c>
      <c r="M1836" s="37">
        <v>0.313</v>
      </c>
      <c r="N1836" s="38">
        <v>1.1529999999999999E-3</v>
      </c>
      <c r="O1836" s="141">
        <v>4601004280366</v>
      </c>
    </row>
    <row r="1837" spans="1:15" s="1" customFormat="1" ht="11.45" customHeight="1" outlineLevel="3" x14ac:dyDescent="0.2">
      <c r="A1837" s="32" t="s">
        <v>18438</v>
      </c>
      <c r="B1837" s="74" t="s">
        <v>18439</v>
      </c>
      <c r="C1837" s="50"/>
      <c r="D1837" s="139">
        <f t="shared" si="28"/>
        <v>0</v>
      </c>
      <c r="E1837" s="140">
        <v>320.75</v>
      </c>
      <c r="F1837" s="140">
        <v>262.91000000000003</v>
      </c>
      <c r="G1837" s="34" t="s">
        <v>100</v>
      </c>
      <c r="H1837" s="34" t="s">
        <v>39</v>
      </c>
      <c r="I1837" s="35">
        <v>1</v>
      </c>
      <c r="J1837" s="35">
        <v>1</v>
      </c>
      <c r="K1837" s="35">
        <v>12</v>
      </c>
      <c r="L1837" s="60" t="str">
        <f>HYPERLINK("https://www.sds-group.ru/product/kronshteyn-dlya-hraneniya-diskov-nastennyy-belyy-rexant-38-0689/", "Инфо")</f>
        <v>Инфо</v>
      </c>
      <c r="M1837" s="37">
        <v>0.30499999999999999</v>
      </c>
      <c r="N1837" s="38">
        <v>4.0359999999999997E-3</v>
      </c>
      <c r="O1837" s="141">
        <v>4601004303072</v>
      </c>
    </row>
    <row r="1838" spans="1:15" s="1" customFormat="1" ht="11.45" customHeight="1" outlineLevel="3" x14ac:dyDescent="0.2">
      <c r="A1838" s="32" t="s">
        <v>18440</v>
      </c>
      <c r="B1838" s="74" t="s">
        <v>18441</v>
      </c>
      <c r="C1838" s="50"/>
      <c r="D1838" s="139">
        <f t="shared" si="28"/>
        <v>0</v>
      </c>
      <c r="E1838" s="140">
        <v>358.18</v>
      </c>
      <c r="F1838" s="140">
        <v>293.58999999999997</v>
      </c>
      <c r="G1838" s="34" t="s">
        <v>100</v>
      </c>
      <c r="H1838" s="34" t="s">
        <v>39</v>
      </c>
      <c r="I1838" s="35">
        <v>1</v>
      </c>
      <c r="J1838" s="35">
        <v>1</v>
      </c>
      <c r="K1838" s="35">
        <v>12</v>
      </c>
      <c r="L1838" s="60" t="str">
        <f>HYPERLINK("https://www.sds-group.ru/product/podstavka-dlya-naushnikov-nastolnaya-chernaya-rexant-38-0631/", "Инфо")</f>
        <v>Инфо</v>
      </c>
      <c r="M1838" s="37">
        <v>0.36899999999999999</v>
      </c>
      <c r="N1838" s="38">
        <v>3.173E-3</v>
      </c>
      <c r="O1838" s="141">
        <v>4601004280311</v>
      </c>
    </row>
    <row r="1839" spans="1:15" ht="11.45" customHeight="1" outlineLevel="2" x14ac:dyDescent="0.2">
      <c r="A1839" s="76" t="s">
        <v>18442</v>
      </c>
      <c r="B1839" s="136"/>
      <c r="C1839" s="77"/>
      <c r="D1839" s="137"/>
      <c r="E1839" s="4"/>
      <c r="F1839" s="4"/>
      <c r="G1839" s="4"/>
      <c r="H1839" s="4"/>
      <c r="I1839" s="4"/>
      <c r="J1839" s="4"/>
      <c r="K1839" s="4"/>
      <c r="L1839" s="138"/>
      <c r="M1839" s="4"/>
      <c r="N1839" s="4"/>
      <c r="O1839" s="4"/>
    </row>
    <row r="1840" spans="1:15" s="1" customFormat="1" ht="11.45" customHeight="1" outlineLevel="3" x14ac:dyDescent="0.2">
      <c r="A1840" s="32" t="s">
        <v>18443</v>
      </c>
      <c r="B1840" s="74" t="s">
        <v>18444</v>
      </c>
      <c r="C1840" s="50"/>
      <c r="D1840" s="139">
        <f t="shared" si="28"/>
        <v>0</v>
      </c>
      <c r="E1840" s="140">
        <v>659.37</v>
      </c>
      <c r="F1840" s="140">
        <v>540.47</v>
      </c>
      <c r="G1840" s="34" t="s">
        <v>100</v>
      </c>
      <c r="H1840" s="34" t="s">
        <v>39</v>
      </c>
      <c r="I1840" s="35">
        <v>1</v>
      </c>
      <c r="J1840" s="35">
        <v>1</v>
      </c>
      <c r="K1840" s="35">
        <v>10</v>
      </c>
      <c r="L1840" s="60" t="str">
        <f>HYPERLINK("https://www.sds-group.ru/product/derzhatel-dlya-shlemov-i-ekipirovki-nastennyy-chernyy-rexant-38-0659/", "Инфо")</f>
        <v>Инфо</v>
      </c>
      <c r="M1840" s="37">
        <v>0.56499999999999995</v>
      </c>
      <c r="N1840" s="38">
        <v>3.8080000000000002E-3</v>
      </c>
      <c r="O1840" s="141">
        <v>4601004280472</v>
      </c>
    </row>
    <row r="1841" spans="1:15" s="1" customFormat="1" ht="11.45" customHeight="1" outlineLevel="3" x14ac:dyDescent="0.2">
      <c r="A1841" s="32" t="s">
        <v>18445</v>
      </c>
      <c r="B1841" s="74" t="s">
        <v>18446</v>
      </c>
      <c r="C1841" s="50"/>
      <c r="D1841" s="139">
        <f t="shared" si="28"/>
        <v>0</v>
      </c>
      <c r="E1841" s="140">
        <v>386.53</v>
      </c>
      <c r="F1841" s="140">
        <v>316.83</v>
      </c>
      <c r="G1841" s="34" t="s">
        <v>100</v>
      </c>
      <c r="H1841" s="34" t="s">
        <v>39</v>
      </c>
      <c r="I1841" s="35">
        <v>1</v>
      </c>
      <c r="J1841" s="35">
        <v>1</v>
      </c>
      <c r="K1841" s="35">
        <v>10</v>
      </c>
      <c r="L1841" s="60" t="str">
        <f>HYPERLINK("https://www.sds-group.ru/product/kronshteyn-dlya-bokserskoy-grushi-gamakov-dlya-yogi-do-200kg-chernyy-rexant-38-0660/", "Инфо")</f>
        <v>Инфо</v>
      </c>
      <c r="M1841" s="37">
        <v>0.39300000000000002</v>
      </c>
      <c r="N1841" s="38">
        <v>9.6299999999999999E-4</v>
      </c>
      <c r="O1841" s="141">
        <v>4601004280496</v>
      </c>
    </row>
    <row r="1842" spans="1:15" s="1" customFormat="1" ht="11.45" customHeight="1" outlineLevel="3" x14ac:dyDescent="0.2">
      <c r="A1842" s="32" t="s">
        <v>18451</v>
      </c>
      <c r="B1842" s="74" t="s">
        <v>18452</v>
      </c>
      <c r="C1842" s="50"/>
      <c r="D1842" s="139">
        <f t="shared" si="28"/>
        <v>0</v>
      </c>
      <c r="E1842" s="140">
        <v>507.79</v>
      </c>
      <c r="F1842" s="140">
        <v>416.22</v>
      </c>
      <c r="G1842" s="34" t="s">
        <v>100</v>
      </c>
      <c r="H1842" s="34" t="s">
        <v>39</v>
      </c>
      <c r="I1842" s="35">
        <v>1</v>
      </c>
      <c r="J1842" s="35">
        <v>1</v>
      </c>
      <c r="K1842" s="35">
        <v>10</v>
      </c>
      <c r="L1842" s="60" t="str">
        <f>HYPERLINK("https://www.sds-group.ru/product/kronshteyn-dlya-velosipeda-nastennyy-v-3-rexant-38-0603/", "Инфо")</f>
        <v>Инфо</v>
      </c>
      <c r="M1842" s="37">
        <v>1.2450000000000001</v>
      </c>
      <c r="N1842" s="38">
        <v>1.4633999999999999E-2</v>
      </c>
      <c r="O1842" s="141">
        <v>4601004271531</v>
      </c>
    </row>
    <row r="1843" spans="1:15" s="1" customFormat="1" ht="11.45" customHeight="1" outlineLevel="3" x14ac:dyDescent="0.2">
      <c r="A1843" s="32" t="s">
        <v>18455</v>
      </c>
      <c r="B1843" s="74" t="s">
        <v>18456</v>
      </c>
      <c r="C1843" s="50"/>
      <c r="D1843" s="139">
        <f t="shared" si="28"/>
        <v>0</v>
      </c>
      <c r="E1843" s="140">
        <v>323.33</v>
      </c>
      <c r="F1843" s="140">
        <v>265.02</v>
      </c>
      <c r="G1843" s="34" t="s">
        <v>100</v>
      </c>
      <c r="H1843" s="34" t="s">
        <v>39</v>
      </c>
      <c r="I1843" s="35">
        <v>1</v>
      </c>
      <c r="J1843" s="35">
        <v>1</v>
      </c>
      <c r="K1843" s="35">
        <v>20</v>
      </c>
      <c r="L1843" s="60" t="str">
        <f>HYPERLINK("https://www.sds-group.ru/product/kronshteyn-dlya-velosipeda-nastennyy-v-5-rexant-38-0605/", "Инфо")</f>
        <v>Инфо</v>
      </c>
      <c r="M1843" s="37">
        <v>1.107</v>
      </c>
      <c r="N1843" s="38">
        <v>1.0319999999999999E-3</v>
      </c>
      <c r="O1843" s="141">
        <v>4601004271562</v>
      </c>
    </row>
    <row r="1844" spans="1:15" s="1" customFormat="1" ht="11.45" customHeight="1" outlineLevel="3" x14ac:dyDescent="0.2">
      <c r="A1844" s="32" t="s">
        <v>18457</v>
      </c>
      <c r="B1844" s="74" t="s">
        <v>18458</v>
      </c>
      <c r="C1844" s="50"/>
      <c r="D1844" s="139">
        <f t="shared" si="28"/>
        <v>0</v>
      </c>
      <c r="E1844" s="140">
        <v>89.81</v>
      </c>
      <c r="F1844" s="140">
        <v>73.61</v>
      </c>
      <c r="G1844" s="34" t="s">
        <v>100</v>
      </c>
      <c r="H1844" s="34" t="s">
        <v>1001</v>
      </c>
      <c r="I1844" s="35">
        <v>1</v>
      </c>
      <c r="J1844" s="35">
        <v>1</v>
      </c>
      <c r="K1844" s="35">
        <v>72</v>
      </c>
      <c r="L1844" s="60" t="str">
        <f>HYPERLINK("https://www.sds-group.ru/product/kronshteyn-dlya-velosipeda-universalnyy-2-sht-rexant-38-0612/", "Инфо")</f>
        <v>Инфо</v>
      </c>
      <c r="M1844" s="37">
        <v>0.14799999999999999</v>
      </c>
      <c r="N1844" s="38">
        <v>3.4499999999999998E-4</v>
      </c>
      <c r="O1844" s="141">
        <v>4601004284111</v>
      </c>
    </row>
    <row r="1845" spans="1:15" s="1" customFormat="1" ht="11.45" customHeight="1" outlineLevel="3" x14ac:dyDescent="0.2">
      <c r="A1845" s="32" t="s">
        <v>18459</v>
      </c>
      <c r="B1845" s="74" t="s">
        <v>18460</v>
      </c>
      <c r="C1845" s="50"/>
      <c r="D1845" s="139">
        <f t="shared" si="28"/>
        <v>0</v>
      </c>
      <c r="E1845" s="140">
        <v>186.78</v>
      </c>
      <c r="F1845" s="140">
        <v>153.1</v>
      </c>
      <c r="G1845" s="34" t="s">
        <v>100</v>
      </c>
      <c r="H1845" s="34" t="s">
        <v>39</v>
      </c>
      <c r="I1845" s="35">
        <v>1</v>
      </c>
      <c r="J1845" s="35">
        <v>1</v>
      </c>
      <c r="K1845" s="35">
        <v>24</v>
      </c>
      <c r="L1845" s="60" t="str">
        <f>HYPERLINK("https://www.sds-group.ru/product/kronshteyn-dlya-nastennogo-hraneniya-s-protektorom-vylet-340mm-rexant-38-0616/", "Инфо")</f>
        <v>Инфо</v>
      </c>
      <c r="M1845" s="37">
        <v>0.42099999999999999</v>
      </c>
      <c r="N1845" s="38">
        <v>1.537E-3</v>
      </c>
      <c r="O1845" s="141">
        <v>4601004284142</v>
      </c>
    </row>
    <row r="1846" spans="1:15" ht="11.45" customHeight="1" outlineLevel="2" x14ac:dyDescent="0.2">
      <c r="A1846" s="76" t="s">
        <v>18461</v>
      </c>
      <c r="B1846" s="136"/>
      <c r="C1846" s="77"/>
      <c r="D1846" s="137"/>
      <c r="E1846" s="4"/>
      <c r="F1846" s="4"/>
      <c r="G1846" s="4"/>
      <c r="H1846" s="4"/>
      <c r="I1846" s="4"/>
      <c r="J1846" s="4"/>
      <c r="K1846" s="4"/>
      <c r="L1846" s="138"/>
      <c r="M1846" s="4"/>
      <c r="N1846" s="4"/>
      <c r="O1846" s="4"/>
    </row>
    <row r="1847" spans="1:15" s="1" customFormat="1" ht="11.45" customHeight="1" outlineLevel="3" x14ac:dyDescent="0.2">
      <c r="A1847" s="32" t="s">
        <v>18462</v>
      </c>
      <c r="B1847" s="74" t="s">
        <v>18463</v>
      </c>
      <c r="C1847" s="50"/>
      <c r="D1847" s="139">
        <f t="shared" si="28"/>
        <v>0</v>
      </c>
      <c r="E1847" s="140">
        <v>239.5</v>
      </c>
      <c r="F1847" s="140">
        <v>196.31</v>
      </c>
      <c r="G1847" s="34" t="s">
        <v>100</v>
      </c>
      <c r="H1847" s="34" t="s">
        <v>39</v>
      </c>
      <c r="I1847" s="35">
        <v>1</v>
      </c>
      <c r="J1847" s="35">
        <v>1</v>
      </c>
      <c r="K1847" s="35">
        <v>12</v>
      </c>
      <c r="L1847" s="60" t="str">
        <f>HYPERLINK("https://www.sds-group.ru/product/derzhatel-dlya-bumazhnyh-polotenets-nastennyy-montazh-bez-sverleniya-chernyy-rexant-38-0637/", "Инфо")</f>
        <v>Инфо</v>
      </c>
      <c r="M1847" s="37">
        <v>0.35899999999999999</v>
      </c>
      <c r="N1847" s="38">
        <v>1.884E-3</v>
      </c>
      <c r="O1847" s="141">
        <v>4601004280434</v>
      </c>
    </row>
    <row r="1848" spans="1:15" s="1" customFormat="1" ht="11.45" customHeight="1" outlineLevel="3" x14ac:dyDescent="0.2">
      <c r="A1848" s="32" t="s">
        <v>18464</v>
      </c>
      <c r="B1848" s="74" t="s">
        <v>18465</v>
      </c>
      <c r="C1848" s="50"/>
      <c r="D1848" s="139">
        <f t="shared" si="28"/>
        <v>0</v>
      </c>
      <c r="E1848" s="140">
        <v>117.64</v>
      </c>
      <c r="F1848" s="140">
        <v>96.43</v>
      </c>
      <c r="G1848" s="34" t="s">
        <v>100</v>
      </c>
      <c r="H1848" s="34" t="s">
        <v>39</v>
      </c>
      <c r="I1848" s="35">
        <v>1</v>
      </c>
      <c r="J1848" s="35">
        <v>1</v>
      </c>
      <c r="K1848" s="35">
        <v>10</v>
      </c>
      <c r="L1848" s="60" t="str">
        <f>HYPERLINK("https://www.sds-group.ru/product/derzhatel-dlya-hraneniya-gubki-i-kuhonnoy-utvari-montazh-bez-sverleniya-belyy-rexant-38-0694/", "Инфо")</f>
        <v>Инфо</v>
      </c>
      <c r="M1848" s="37">
        <v>9.8000000000000004E-2</v>
      </c>
      <c r="N1848" s="38">
        <v>9.41E-4</v>
      </c>
      <c r="O1848" s="141">
        <v>4601004303270</v>
      </c>
    </row>
    <row r="1849" spans="1:15" s="1" customFormat="1" ht="11.45" customHeight="1" outlineLevel="3" x14ac:dyDescent="0.2">
      <c r="A1849" s="32" t="s">
        <v>18466</v>
      </c>
      <c r="B1849" s="74" t="s">
        <v>18467</v>
      </c>
      <c r="C1849" s="50"/>
      <c r="D1849" s="139">
        <f t="shared" si="28"/>
        <v>0</v>
      </c>
      <c r="E1849" s="140">
        <v>180.06</v>
      </c>
      <c r="F1849" s="140">
        <v>147.59</v>
      </c>
      <c r="G1849" s="34" t="s">
        <v>100</v>
      </c>
      <c r="H1849" s="34" t="s">
        <v>39</v>
      </c>
      <c r="I1849" s="35">
        <v>1</v>
      </c>
      <c r="J1849" s="35">
        <v>1</v>
      </c>
      <c r="K1849" s="35">
        <v>10</v>
      </c>
      <c r="L1849" s="60" t="str">
        <f>HYPERLINK("https://www.sds-group.ru/product/derzhatel-dlya-hraneniya-gubki-i-kuhonnoy-utvari-montazh-bez-sverleniya-chernyy-rexant-38-0693/", "Инфо")</f>
        <v>Инфо</v>
      </c>
      <c r="M1849" s="37">
        <v>9.6000000000000002E-2</v>
      </c>
      <c r="N1849" s="38">
        <v>9.7300000000000002E-4</v>
      </c>
      <c r="O1849" s="141">
        <v>4601004303256</v>
      </c>
    </row>
    <row r="1850" spans="1:15" s="1" customFormat="1" ht="11.45" customHeight="1" outlineLevel="3" x14ac:dyDescent="0.2">
      <c r="A1850" s="32" t="s">
        <v>18468</v>
      </c>
      <c r="B1850" s="74" t="s">
        <v>18469</v>
      </c>
      <c r="C1850" s="50"/>
      <c r="D1850" s="139">
        <f t="shared" si="28"/>
        <v>0</v>
      </c>
      <c r="E1850" s="140">
        <v>310.97000000000003</v>
      </c>
      <c r="F1850" s="140">
        <v>254.89</v>
      </c>
      <c r="G1850" s="34" t="s">
        <v>100</v>
      </c>
      <c r="H1850" s="34" t="s">
        <v>39</v>
      </c>
      <c r="I1850" s="35">
        <v>1</v>
      </c>
      <c r="J1850" s="35">
        <v>1</v>
      </c>
      <c r="K1850" s="35">
        <v>10</v>
      </c>
      <c r="L1850" s="60" t="str">
        <f>HYPERLINK("https://www.sds-group.ru/product/derzhatel-dlya-hraneniya-zubnyh-schetok-i-aksessuarov-dlya-vanny-belyy-rexant-38-0704/", "Инфо")</f>
        <v>Инфо</v>
      </c>
      <c r="M1850" s="37">
        <v>0.28599999999999998</v>
      </c>
      <c r="N1850" s="38">
        <v>2.2030000000000001E-3</v>
      </c>
      <c r="O1850" s="141">
        <v>4601004303157</v>
      </c>
    </row>
    <row r="1851" spans="1:15" s="1" customFormat="1" ht="11.45" customHeight="1" outlineLevel="3" x14ac:dyDescent="0.2">
      <c r="A1851" s="32" t="s">
        <v>18470</v>
      </c>
      <c r="B1851" s="74" t="s">
        <v>18471</v>
      </c>
      <c r="C1851" s="50"/>
      <c r="D1851" s="139">
        <f t="shared" si="28"/>
        <v>0</v>
      </c>
      <c r="E1851" s="140">
        <v>125.85</v>
      </c>
      <c r="F1851" s="140">
        <v>103.16</v>
      </c>
      <c r="G1851" s="34" t="s">
        <v>100</v>
      </c>
      <c r="H1851" s="34" t="s">
        <v>39</v>
      </c>
      <c r="I1851" s="35">
        <v>1</v>
      </c>
      <c r="J1851" s="35">
        <v>1</v>
      </c>
      <c r="K1851" s="35">
        <v>20</v>
      </c>
      <c r="L1851" s="60" t="str">
        <f>HYPERLINK("https://www.sds-group.ru/product/derzhatel-dlya-hraneniya-zubnyh-schetok-i-nasadok-montazh-bez-sverleniya-belyy-rexant-38-0696/", "Инфо")</f>
        <v>Инфо</v>
      </c>
      <c r="M1851" s="37">
        <v>3.6999999999999998E-2</v>
      </c>
      <c r="N1851" s="38">
        <v>1.11E-4</v>
      </c>
      <c r="O1851" s="141">
        <v>4601004303201</v>
      </c>
    </row>
    <row r="1852" spans="1:15" s="1" customFormat="1" ht="11.45" customHeight="1" outlineLevel="3" x14ac:dyDescent="0.2">
      <c r="A1852" s="32" t="s">
        <v>18472</v>
      </c>
      <c r="B1852" s="74" t="s">
        <v>18473</v>
      </c>
      <c r="C1852" s="50"/>
      <c r="D1852" s="139">
        <f t="shared" si="28"/>
        <v>0</v>
      </c>
      <c r="E1852" s="140">
        <v>125.85</v>
      </c>
      <c r="F1852" s="140">
        <v>103.16</v>
      </c>
      <c r="G1852" s="34" t="s">
        <v>100</v>
      </c>
      <c r="H1852" s="34" t="s">
        <v>39</v>
      </c>
      <c r="I1852" s="35">
        <v>1</v>
      </c>
      <c r="J1852" s="35">
        <v>1</v>
      </c>
      <c r="K1852" s="35">
        <v>20</v>
      </c>
      <c r="L1852" s="60" t="str">
        <f>HYPERLINK("https://www.sds-group.ru/product/derzhatel-dlya-hraneniya-zubnyh-schetok-i-nasadok-montazh-bez-sverleniya-chernyy-rexant-38-0695/", "Инфо")</f>
        <v>Инфо</v>
      </c>
      <c r="M1852" s="37">
        <v>3.5999999999999997E-2</v>
      </c>
      <c r="N1852" s="38">
        <v>1.1400000000000001E-4</v>
      </c>
      <c r="O1852" s="141">
        <v>4601004303096</v>
      </c>
    </row>
    <row r="1853" spans="1:15" s="1" customFormat="1" ht="11.45" customHeight="1" outlineLevel="3" x14ac:dyDescent="0.2">
      <c r="A1853" s="32" t="s">
        <v>18474</v>
      </c>
      <c r="B1853" s="74" t="s">
        <v>18475</v>
      </c>
      <c r="C1853" s="50"/>
      <c r="D1853" s="139">
        <f t="shared" si="28"/>
        <v>0</v>
      </c>
      <c r="E1853" s="140">
        <v>201.6</v>
      </c>
      <c r="F1853" s="140">
        <v>165.25</v>
      </c>
      <c r="G1853" s="34" t="s">
        <v>100</v>
      </c>
      <c r="H1853" s="34" t="s">
        <v>39</v>
      </c>
      <c r="I1853" s="35">
        <v>1</v>
      </c>
      <c r="J1853" s="35">
        <v>1</v>
      </c>
      <c r="K1853" s="35">
        <v>12</v>
      </c>
      <c r="L1853" s="60" t="str">
        <f>HYPERLINK("https://www.sds-group.ru/product/derzhatel-dlya-hraneniya-fena-s-krepleniem-dlya-setevogo-kabelya-chernyy-rexant-38-0705/", "Инфо")</f>
        <v>Инфо</v>
      </c>
      <c r="M1853" s="37">
        <v>0.16400000000000001</v>
      </c>
      <c r="N1853" s="38">
        <v>1.129E-3</v>
      </c>
      <c r="O1853" s="141">
        <v>4601004303119</v>
      </c>
    </row>
    <row r="1854" spans="1:15" s="1" customFormat="1" ht="11.45" customHeight="1" outlineLevel="3" x14ac:dyDescent="0.2">
      <c r="A1854" s="32" t="s">
        <v>18476</v>
      </c>
      <c r="B1854" s="74" t="s">
        <v>18477</v>
      </c>
      <c r="C1854" s="50"/>
      <c r="D1854" s="139">
        <f t="shared" si="28"/>
        <v>0</v>
      </c>
      <c r="E1854" s="140">
        <v>118.21</v>
      </c>
      <c r="F1854" s="140">
        <v>96.89</v>
      </c>
      <c r="G1854" s="34" t="s">
        <v>100</v>
      </c>
      <c r="H1854" s="34" t="s">
        <v>39</v>
      </c>
      <c r="I1854" s="35">
        <v>1</v>
      </c>
      <c r="J1854" s="35">
        <v>1</v>
      </c>
      <c r="K1854" s="35">
        <v>10</v>
      </c>
      <c r="L1854" s="60" t="str">
        <f>HYPERLINK("https://www.sds-group.ru/product/derzhatel-dlya-hraneniya-elektricheskih-zubnyh-schetok-i-nasadok-montazh-bez-sverleniya-bely-38-0716/", "Инфо")</f>
        <v>Инфо</v>
      </c>
      <c r="M1854" s="37">
        <v>8.3000000000000004E-2</v>
      </c>
      <c r="N1854" s="38">
        <v>9.6400000000000001E-4</v>
      </c>
      <c r="O1854" s="141">
        <v>4601004303171</v>
      </c>
    </row>
    <row r="1855" spans="1:15" s="1" customFormat="1" ht="11.45" customHeight="1" outlineLevel="3" x14ac:dyDescent="0.2">
      <c r="A1855" s="32" t="s">
        <v>18478</v>
      </c>
      <c r="B1855" s="74" t="s">
        <v>18479</v>
      </c>
      <c r="C1855" s="50"/>
      <c r="D1855" s="139">
        <f t="shared" si="28"/>
        <v>0</v>
      </c>
      <c r="E1855" s="140">
        <v>337.76</v>
      </c>
      <c r="F1855" s="140">
        <v>276.85000000000002</v>
      </c>
      <c r="G1855" s="34" t="s">
        <v>100</v>
      </c>
      <c r="H1855" s="34" t="s">
        <v>39</v>
      </c>
      <c r="I1855" s="35">
        <v>1</v>
      </c>
      <c r="J1855" s="35">
        <v>1</v>
      </c>
      <c r="K1855" s="35">
        <v>12</v>
      </c>
      <c r="L1855" s="60" t="str">
        <f>HYPERLINK("https://www.sds-group.ru/product/kuhonnyy-organayzer-nastennyy-montazh-bez-sverleniya-belyy-rexant-38-0642/", "Инфо")</f>
        <v>Инфо</v>
      </c>
      <c r="M1855" s="37">
        <v>0.52700000000000002</v>
      </c>
      <c r="N1855" s="38">
        <v>3.2880000000000001E-3</v>
      </c>
      <c r="O1855" s="141">
        <v>4601004280465</v>
      </c>
    </row>
    <row r="1856" spans="1:15" s="1" customFormat="1" ht="11.45" customHeight="1" outlineLevel="3" x14ac:dyDescent="0.2">
      <c r="A1856" s="32" t="s">
        <v>18482</v>
      </c>
      <c r="B1856" s="74" t="s">
        <v>18483</v>
      </c>
      <c r="C1856" s="50"/>
      <c r="D1856" s="139">
        <f t="shared" si="28"/>
        <v>0</v>
      </c>
      <c r="E1856" s="140">
        <v>1184.22</v>
      </c>
      <c r="F1856" s="140">
        <v>970.67</v>
      </c>
      <c r="G1856" s="34" t="s">
        <v>100</v>
      </c>
      <c r="H1856" s="34" t="s">
        <v>39</v>
      </c>
      <c r="I1856" s="35">
        <v>1</v>
      </c>
      <c r="J1856" s="35">
        <v>1</v>
      </c>
      <c r="K1856" s="35">
        <v>4</v>
      </c>
      <c r="L1856" s="60" t="str">
        <f>HYPERLINK("https://www.sds-group.ru/product/polka-organayzer-dlya-kuhni-dub-votan-chernaya-rexant-38-0679/", "Инфо")</f>
        <v>Инфо</v>
      </c>
      <c r="M1856" s="37">
        <v>1.9750000000000001</v>
      </c>
      <c r="N1856" s="38">
        <v>1.1927E-2</v>
      </c>
      <c r="O1856" s="141">
        <v>4601004296053</v>
      </c>
    </row>
    <row r="1857" spans="1:15" s="1" customFormat="1" ht="11.45" customHeight="1" outlineLevel="3" x14ac:dyDescent="0.2">
      <c r="A1857" s="32" t="s">
        <v>18484</v>
      </c>
      <c r="B1857" s="74" t="s">
        <v>18485</v>
      </c>
      <c r="C1857" s="50"/>
      <c r="D1857" s="139">
        <f t="shared" si="28"/>
        <v>0</v>
      </c>
      <c r="E1857" s="140">
        <v>1370.98</v>
      </c>
      <c r="F1857" s="140">
        <v>1123.75</v>
      </c>
      <c r="G1857" s="34" t="s">
        <v>100</v>
      </c>
      <c r="H1857" s="34" t="s">
        <v>39</v>
      </c>
      <c r="I1857" s="35">
        <v>1</v>
      </c>
      <c r="J1857" s="35">
        <v>1</v>
      </c>
      <c r="K1857" s="35">
        <v>4</v>
      </c>
      <c r="L1857" s="60" t="str">
        <f>HYPERLINK("https://www.sds-group.ru/product/polka-organayzer-dlya-kuhni-dub-harbor-belaya-rexant-38-0678/", "Инфо")</f>
        <v>Инфо</v>
      </c>
      <c r="M1857" s="37">
        <v>1.954</v>
      </c>
      <c r="N1857" s="38">
        <v>1.1783999999999999E-2</v>
      </c>
      <c r="O1857" s="141">
        <v>4601004296039</v>
      </c>
    </row>
    <row r="1858" spans="1:15" ht="11.45" customHeight="1" outlineLevel="2" x14ac:dyDescent="0.2">
      <c r="A1858" s="76" t="s">
        <v>18486</v>
      </c>
      <c r="B1858" s="136"/>
      <c r="C1858" s="77"/>
      <c r="D1858" s="137"/>
      <c r="E1858" s="4"/>
      <c r="F1858" s="4"/>
      <c r="G1858" s="4"/>
      <c r="H1858" s="4"/>
      <c r="I1858" s="4"/>
      <c r="J1858" s="4"/>
      <c r="K1858" s="4"/>
      <c r="L1858" s="138"/>
      <c r="M1858" s="4"/>
      <c r="N1858" s="4"/>
      <c r="O1858" s="4"/>
    </row>
    <row r="1859" spans="1:15" s="1" customFormat="1" ht="11.45" customHeight="1" outlineLevel="3" x14ac:dyDescent="0.2">
      <c r="A1859" s="32" t="s">
        <v>18487</v>
      </c>
      <c r="B1859" s="74" t="s">
        <v>18488</v>
      </c>
      <c r="C1859" s="50"/>
      <c r="D1859" s="139">
        <f t="shared" si="28"/>
        <v>0</v>
      </c>
      <c r="E1859" s="140">
        <v>589.47</v>
      </c>
      <c r="F1859" s="140">
        <v>483.17</v>
      </c>
      <c r="G1859" s="34" t="s">
        <v>100</v>
      </c>
      <c r="H1859" s="34" t="s">
        <v>39</v>
      </c>
      <c r="I1859" s="35">
        <v>1</v>
      </c>
      <c r="J1859" s="35">
        <v>1</v>
      </c>
      <c r="K1859" s="35">
        <v>12</v>
      </c>
      <c r="L1859" s="60" t="str">
        <f>HYPERLINK("https://www.sds-group.ru/product/derzhatel-dlya-uglovyh-shlifmashinok-do-125mm-nastennyy-s-kryuchkami-chernyy-rexant-38-0657/", "Инфо")</f>
        <v>Инфо</v>
      </c>
      <c r="M1859" s="37">
        <v>0.55600000000000005</v>
      </c>
      <c r="N1859" s="38">
        <v>3.9909999999999998E-3</v>
      </c>
      <c r="O1859" s="141">
        <v>4601004280571</v>
      </c>
    </row>
    <row r="1860" spans="1:15" s="1" customFormat="1" ht="11.45" customHeight="1" outlineLevel="3" x14ac:dyDescent="0.2">
      <c r="A1860" s="32" t="s">
        <v>18489</v>
      </c>
      <c r="B1860" s="74" t="s">
        <v>18490</v>
      </c>
      <c r="C1860" s="50"/>
      <c r="D1860" s="139">
        <f t="shared" si="28"/>
        <v>0</v>
      </c>
      <c r="E1860" s="140">
        <v>351.29</v>
      </c>
      <c r="F1860" s="140">
        <v>287.94</v>
      </c>
      <c r="G1860" s="34" t="s">
        <v>100</v>
      </c>
      <c r="H1860" s="34" t="s">
        <v>39</v>
      </c>
      <c r="I1860" s="35">
        <v>1</v>
      </c>
      <c r="J1860" s="35">
        <v>1</v>
      </c>
      <c r="K1860" s="35">
        <v>24</v>
      </c>
      <c r="L1860" s="60" t="str">
        <f>HYPERLINK("https://www.sds-group.ru/product/derzhatel-dlya-uglovyh-shlifmashinok-do-125mm-nastennyy-chernyy-rexant-38-0655/", "Инфо")</f>
        <v>Инфо</v>
      </c>
      <c r="M1860" s="37">
        <v>0.38700000000000001</v>
      </c>
      <c r="N1860" s="38">
        <v>2.0110000000000002E-3</v>
      </c>
      <c r="O1860" s="141">
        <v>4601004280533</v>
      </c>
    </row>
    <row r="1861" spans="1:15" s="1" customFormat="1" ht="11.45" customHeight="1" outlineLevel="3" x14ac:dyDescent="0.2">
      <c r="A1861" s="32" t="s">
        <v>18491</v>
      </c>
      <c r="B1861" s="74" t="s">
        <v>18492</v>
      </c>
      <c r="C1861" s="50"/>
      <c r="D1861" s="139">
        <f t="shared" si="28"/>
        <v>0</v>
      </c>
      <c r="E1861" s="140">
        <v>802.23</v>
      </c>
      <c r="F1861" s="140">
        <v>657.57</v>
      </c>
      <c r="G1861" s="34" t="s">
        <v>100</v>
      </c>
      <c r="H1861" s="34" t="s">
        <v>39</v>
      </c>
      <c r="I1861" s="35">
        <v>1</v>
      </c>
      <c r="J1861" s="35">
        <v>1</v>
      </c>
      <c r="K1861" s="35">
        <v>5</v>
      </c>
      <c r="L1861" s="60" t="str">
        <f>HYPERLINK("https://www.sds-group.ru/product/derzhatel-dlya-uglovyh-shlifmashinok-do-230mm-nastennyy-s-kryuchkami-chernyy-rexant-38-0658/", "Инфо")</f>
        <v>Инфо</v>
      </c>
      <c r="M1861" s="37">
        <v>1.0640000000000001</v>
      </c>
      <c r="N1861" s="38">
        <v>7.5709999999999996E-3</v>
      </c>
      <c r="O1861" s="141">
        <v>4601004280649</v>
      </c>
    </row>
    <row r="1862" spans="1:15" s="1" customFormat="1" ht="11.45" customHeight="1" outlineLevel="3" x14ac:dyDescent="0.2">
      <c r="A1862" s="32" t="s">
        <v>18493</v>
      </c>
      <c r="B1862" s="74" t="s">
        <v>18494</v>
      </c>
      <c r="C1862" s="50"/>
      <c r="D1862" s="139">
        <f t="shared" si="28"/>
        <v>0</v>
      </c>
      <c r="E1862" s="140">
        <v>355.45</v>
      </c>
      <c r="F1862" s="140">
        <v>291.35000000000002</v>
      </c>
      <c r="G1862" s="34" t="s">
        <v>100</v>
      </c>
      <c r="H1862" s="34" t="s">
        <v>39</v>
      </c>
      <c r="I1862" s="35">
        <v>1</v>
      </c>
      <c r="J1862" s="35">
        <v>1</v>
      </c>
      <c r="K1862" s="35">
        <v>18</v>
      </c>
      <c r="L1862" s="60" t="str">
        <f>HYPERLINK("https://www.sds-group.ru/product/derzhatel-dlya-uglovyh-shlifmashinok-do-230mm-nastennyy-chernyy-rexant-38-0656/", "Инфо")</f>
        <v>Инфо</v>
      </c>
      <c r="M1862" s="37">
        <v>0.38700000000000001</v>
      </c>
      <c r="N1862" s="38">
        <v>2.3939999999999999E-3</v>
      </c>
      <c r="O1862" s="141">
        <v>4601004280564</v>
      </c>
    </row>
    <row r="1863" spans="1:15" s="1" customFormat="1" ht="11.45" customHeight="1" outlineLevel="3" x14ac:dyDescent="0.2">
      <c r="A1863" s="32" t="s">
        <v>18495</v>
      </c>
      <c r="B1863" s="74" t="s">
        <v>18496</v>
      </c>
      <c r="C1863" s="50"/>
      <c r="D1863" s="139">
        <f t="shared" si="28"/>
        <v>0</v>
      </c>
      <c r="E1863" s="140">
        <v>269.64</v>
      </c>
      <c r="F1863" s="140">
        <v>221.02</v>
      </c>
      <c r="G1863" s="34" t="s">
        <v>100</v>
      </c>
      <c r="H1863" s="34" t="s">
        <v>39</v>
      </c>
      <c r="I1863" s="35">
        <v>1</v>
      </c>
      <c r="J1863" s="35">
        <v>1</v>
      </c>
      <c r="K1863" s="35">
        <v>12</v>
      </c>
      <c r="L1863" s="60" t="str">
        <f>HYPERLINK("https://www.sds-group.ru/product/derzhatel-dlya-elektrolobzika-nastennyy-chernyy-rexant-38-0669/", "Инфо")</f>
        <v>Инфо</v>
      </c>
      <c r="M1863" s="37">
        <v>0.23799999999999999</v>
      </c>
      <c r="N1863" s="38">
        <v>1.114E-3</v>
      </c>
      <c r="O1863" s="141">
        <v>4601004295971</v>
      </c>
    </row>
    <row r="1864" spans="1:15" s="1" customFormat="1" ht="11.45" customHeight="1" outlineLevel="3" x14ac:dyDescent="0.2">
      <c r="A1864" s="32" t="s">
        <v>18497</v>
      </c>
      <c r="B1864" s="74" t="s">
        <v>18498</v>
      </c>
      <c r="C1864" s="50"/>
      <c r="D1864" s="139">
        <f t="shared" si="28"/>
        <v>0</v>
      </c>
      <c r="E1864" s="140">
        <v>518.12</v>
      </c>
      <c r="F1864" s="140">
        <v>424.69</v>
      </c>
      <c r="G1864" s="34" t="s">
        <v>100</v>
      </c>
      <c r="H1864" s="34" t="s">
        <v>39</v>
      </c>
      <c r="I1864" s="35">
        <v>1</v>
      </c>
      <c r="J1864" s="35">
        <v>1</v>
      </c>
      <c r="K1864" s="35">
        <v>11</v>
      </c>
      <c r="L1864" s="60" t="str">
        <f>HYPERLINK("https://www.sds-group.ru/product/derzhatel-organayzer-dlya-f-obraznyh-strubtsin-nastennyy-chernyy-rexant-38-0683/", "Инфо")</f>
        <v>Инфо</v>
      </c>
      <c r="M1864" s="37">
        <v>0.78</v>
      </c>
      <c r="N1864" s="38">
        <v>2.0140000000000002E-3</v>
      </c>
      <c r="O1864" s="141">
        <v>4601004295964</v>
      </c>
    </row>
    <row r="1865" spans="1:15" s="1" customFormat="1" ht="11.45" customHeight="1" outlineLevel="3" x14ac:dyDescent="0.2">
      <c r="A1865" s="32" t="s">
        <v>18499</v>
      </c>
      <c r="B1865" s="74" t="s">
        <v>18500</v>
      </c>
      <c r="C1865" s="50"/>
      <c r="D1865" s="139">
        <f t="shared" si="28"/>
        <v>0</v>
      </c>
      <c r="E1865" s="140">
        <v>1539.69</v>
      </c>
      <c r="F1865" s="140">
        <v>1262.04</v>
      </c>
      <c r="G1865" s="34" t="s">
        <v>100</v>
      </c>
      <c r="H1865" s="34" t="s">
        <v>39</v>
      </c>
      <c r="I1865" s="35">
        <v>1</v>
      </c>
      <c r="J1865" s="35">
        <v>1</v>
      </c>
      <c r="K1865" s="35">
        <v>2</v>
      </c>
      <c r="L1865" s="60" t="str">
        <f>HYPERLINK("https://www.sds-group.ru/product/derzhatel-organayzer-dlya-pokrasochnyh-rabot-nastennyy-chernyy-rexant-38-0654/", "Инфо")</f>
        <v>Инфо</v>
      </c>
      <c r="M1865" s="37">
        <v>2.032</v>
      </c>
      <c r="N1865" s="38">
        <v>1.8471000000000001E-2</v>
      </c>
      <c r="O1865" s="141">
        <v>4601004280540</v>
      </c>
    </row>
    <row r="1866" spans="1:15" s="1" customFormat="1" ht="11.45" customHeight="1" outlineLevel="3" x14ac:dyDescent="0.2">
      <c r="A1866" s="32" t="s">
        <v>18501</v>
      </c>
      <c r="B1866" s="74" t="s">
        <v>18502</v>
      </c>
      <c r="C1866" s="50"/>
      <c r="D1866" s="139">
        <f t="shared" si="28"/>
        <v>0</v>
      </c>
      <c r="E1866" s="140">
        <v>347.87</v>
      </c>
      <c r="F1866" s="140">
        <v>285.14</v>
      </c>
      <c r="G1866" s="34" t="s">
        <v>100</v>
      </c>
      <c r="H1866" s="34" t="s">
        <v>39</v>
      </c>
      <c r="I1866" s="35">
        <v>1</v>
      </c>
      <c r="J1866" s="35">
        <v>1</v>
      </c>
      <c r="K1866" s="35">
        <v>12</v>
      </c>
      <c r="L1866" s="60" t="str">
        <f>HYPERLINK("https://www.sds-group.ru/product/kronshteyn-dlya-nastennogo-hraneniya-dvoynoy-s-protektorom-vylet-185mm-rexant-38-0617/", "Инфо")</f>
        <v>Инфо</v>
      </c>
      <c r="M1866" s="37">
        <v>0.56799999999999995</v>
      </c>
      <c r="N1866" s="38">
        <v>4.228E-3</v>
      </c>
      <c r="O1866" s="141">
        <v>4601004284128</v>
      </c>
    </row>
    <row r="1867" spans="1:15" s="1" customFormat="1" ht="11.45" customHeight="1" outlineLevel="3" x14ac:dyDescent="0.2">
      <c r="A1867" s="32" t="s">
        <v>18503</v>
      </c>
      <c r="B1867" s="74" t="s">
        <v>18504</v>
      </c>
      <c r="C1867" s="50"/>
      <c r="D1867" s="139">
        <f t="shared" ref="D1867:D1929" si="29">C1867*E1867</f>
        <v>0</v>
      </c>
      <c r="E1867" s="140">
        <v>124.23</v>
      </c>
      <c r="F1867" s="140">
        <v>101.83</v>
      </c>
      <c r="G1867" s="34" t="s">
        <v>100</v>
      </c>
      <c r="H1867" s="34" t="s">
        <v>39</v>
      </c>
      <c r="I1867" s="35">
        <v>1</v>
      </c>
      <c r="J1867" s="35">
        <v>1</v>
      </c>
      <c r="K1867" s="35">
        <v>24</v>
      </c>
      <c r="L1867" s="60" t="str">
        <f>HYPERLINK("https://www.sds-group.ru/product/kronshteyn-dlya-nastennogo-hraneniya-vylet-270mm-rexant-38-0618/", "Инфо")</f>
        <v>Инфо</v>
      </c>
      <c r="M1867" s="37">
        <v>0.36499999999999999</v>
      </c>
      <c r="N1867" s="38">
        <v>1.5380000000000001E-3</v>
      </c>
      <c r="O1867" s="141">
        <v>4601004284166</v>
      </c>
    </row>
    <row r="1868" spans="1:15" s="1" customFormat="1" ht="11.45" customHeight="1" outlineLevel="3" x14ac:dyDescent="0.2">
      <c r="A1868" s="32" t="s">
        <v>18505</v>
      </c>
      <c r="B1868" s="74" t="s">
        <v>18506</v>
      </c>
      <c r="C1868" s="50"/>
      <c r="D1868" s="139">
        <f t="shared" si="29"/>
        <v>0</v>
      </c>
      <c r="E1868" s="140">
        <v>288.52999999999997</v>
      </c>
      <c r="F1868" s="140">
        <v>236.5</v>
      </c>
      <c r="G1868" s="34" t="s">
        <v>100</v>
      </c>
      <c r="H1868" s="34" t="s">
        <v>1001</v>
      </c>
      <c r="I1868" s="35">
        <v>1</v>
      </c>
      <c r="J1868" s="35">
        <v>1</v>
      </c>
      <c r="K1868" s="35">
        <v>24</v>
      </c>
      <c r="L1868" s="60" t="str">
        <f>HYPERLINK("https://www.sds-group.ru/product/nabor-kronshteynov-vkruchivayuschihsya-10-sht-rexant-38-0613/", "Инфо")</f>
        <v>Инфо</v>
      </c>
      <c r="M1868" s="37">
        <v>0.68500000000000005</v>
      </c>
      <c r="N1868" s="38">
        <v>2.1580000000000002E-3</v>
      </c>
      <c r="O1868" s="141">
        <v>4601004284104</v>
      </c>
    </row>
    <row r="1869" spans="1:15" s="1" customFormat="1" ht="11.45" customHeight="1" outlineLevel="3" x14ac:dyDescent="0.2">
      <c r="A1869" s="32" t="s">
        <v>18509</v>
      </c>
      <c r="B1869" s="74" t="s">
        <v>18510</v>
      </c>
      <c r="C1869" s="50"/>
      <c r="D1869" s="139">
        <f t="shared" si="29"/>
        <v>0</v>
      </c>
      <c r="E1869" s="140">
        <v>325.91000000000003</v>
      </c>
      <c r="F1869" s="140">
        <v>267.14</v>
      </c>
      <c r="G1869" s="34" t="s">
        <v>100</v>
      </c>
      <c r="H1869" s="34" t="s">
        <v>39</v>
      </c>
      <c r="I1869" s="35">
        <v>1</v>
      </c>
      <c r="J1869" s="35">
        <v>1</v>
      </c>
      <c r="K1869" s="35">
        <v>12</v>
      </c>
      <c r="L1869" s="60" t="str">
        <f>HYPERLINK("https://www.sds-group.ru/product/polka-dlya-hraneniya-490x70mm-metallicheskaya-nastennaya-chernaya-rexant-38-0674/", "Инфо")</f>
        <v>Инфо</v>
      </c>
      <c r="M1869" s="37">
        <v>0.46</v>
      </c>
      <c r="N1869" s="38">
        <v>2.16E-3</v>
      </c>
      <c r="O1869" s="141">
        <v>4601004296008</v>
      </c>
    </row>
    <row r="1870" spans="1:15" ht="11.45" customHeight="1" outlineLevel="2" x14ac:dyDescent="0.2">
      <c r="A1870" s="76" t="s">
        <v>18511</v>
      </c>
      <c r="B1870" s="136"/>
      <c r="C1870" s="77"/>
      <c r="D1870" s="137"/>
      <c r="E1870" s="4"/>
      <c r="F1870" s="4"/>
      <c r="G1870" s="4"/>
      <c r="H1870" s="4"/>
      <c r="I1870" s="4"/>
      <c r="J1870" s="4"/>
      <c r="K1870" s="4"/>
      <c r="L1870" s="138"/>
      <c r="M1870" s="4"/>
      <c r="N1870" s="4"/>
      <c r="O1870" s="4"/>
    </row>
    <row r="1871" spans="1:15" s="1" customFormat="1" ht="11.45" customHeight="1" outlineLevel="3" x14ac:dyDescent="0.2">
      <c r="A1871" s="32" t="s">
        <v>18512</v>
      </c>
      <c r="B1871" s="74" t="s">
        <v>18513</v>
      </c>
      <c r="C1871" s="50"/>
      <c r="D1871" s="139">
        <f t="shared" si="29"/>
        <v>0</v>
      </c>
      <c r="E1871" s="140">
        <v>187.64</v>
      </c>
      <c r="F1871" s="140">
        <v>153.80000000000001</v>
      </c>
      <c r="G1871" s="34" t="s">
        <v>100</v>
      </c>
      <c r="H1871" s="34" t="s">
        <v>39</v>
      </c>
      <c r="I1871" s="35">
        <v>1</v>
      </c>
      <c r="J1871" s="35">
        <v>1</v>
      </c>
      <c r="K1871" s="35">
        <v>24</v>
      </c>
      <c r="L1871" s="60" t="str">
        <f>HYPERLINK("https://www.sds-group.ru/product/derzhatel-dlya-venka-na-mezhkomnatnuyu-dver-reguliruemyy-chernyy-rexant-38-0720/", "Инфо")</f>
        <v>Инфо</v>
      </c>
      <c r="M1871" s="37">
        <v>0.3</v>
      </c>
      <c r="N1871" s="38">
        <v>1.874E-3</v>
      </c>
      <c r="O1871" s="141">
        <v>4601004311299</v>
      </c>
    </row>
    <row r="1872" spans="1:15" s="1" customFormat="1" ht="11.45" customHeight="1" outlineLevel="3" x14ac:dyDescent="0.2">
      <c r="A1872" s="32" t="s">
        <v>18514</v>
      </c>
      <c r="B1872" s="74" t="s">
        <v>18515</v>
      </c>
      <c r="C1872" s="50"/>
      <c r="D1872" s="139">
        <f t="shared" si="29"/>
        <v>0</v>
      </c>
      <c r="E1872" s="140">
        <v>114.91</v>
      </c>
      <c r="F1872" s="140">
        <v>94.19</v>
      </c>
      <c r="G1872" s="34" t="s">
        <v>100</v>
      </c>
      <c r="H1872" s="34" t="s">
        <v>39</v>
      </c>
      <c r="I1872" s="35">
        <v>1</v>
      </c>
      <c r="J1872" s="35">
        <v>1</v>
      </c>
      <c r="K1872" s="35">
        <v>20</v>
      </c>
      <c r="L1872" s="60" t="str">
        <f>HYPERLINK("https://www.sds-group.ru/product/derzhatel-dlya-obuvnyh-lozhek-i-zontov-nastennyy-belyy-rexant-38-0692/", "Инфо")</f>
        <v>Инфо</v>
      </c>
      <c r="M1872" s="37">
        <v>3.3000000000000002E-2</v>
      </c>
      <c r="N1872" s="38">
        <v>1.11E-4</v>
      </c>
      <c r="O1872" s="141">
        <v>4601004303294</v>
      </c>
    </row>
    <row r="1873" spans="1:15" s="1" customFormat="1" ht="11.45" customHeight="1" outlineLevel="3" x14ac:dyDescent="0.2">
      <c r="A1873" s="32" t="s">
        <v>18516</v>
      </c>
      <c r="B1873" s="74" t="s">
        <v>18517</v>
      </c>
      <c r="C1873" s="50"/>
      <c r="D1873" s="139">
        <f t="shared" si="29"/>
        <v>0</v>
      </c>
      <c r="E1873" s="140">
        <v>121.04</v>
      </c>
      <c r="F1873" s="140">
        <v>99.21</v>
      </c>
      <c r="G1873" s="34" t="s">
        <v>100</v>
      </c>
      <c r="H1873" s="34" t="s">
        <v>39</v>
      </c>
      <c r="I1873" s="35">
        <v>1</v>
      </c>
      <c r="J1873" s="35">
        <v>1</v>
      </c>
      <c r="K1873" s="35">
        <v>20</v>
      </c>
      <c r="L1873" s="60" t="str">
        <f>HYPERLINK("https://www.sds-group.ru/product/derzhatel-dlya-obuvnyh-lozhek-i-zontov-nastennyy-chernyy-rexant-38-0639/", "Инфо")</f>
        <v>Инфо</v>
      </c>
      <c r="M1873" s="37">
        <v>2.5000000000000001E-2</v>
      </c>
      <c r="N1873" s="38">
        <v>2.6499999999999999E-4</v>
      </c>
      <c r="O1873" s="141">
        <v>4601004280526</v>
      </c>
    </row>
    <row r="1874" spans="1:15" s="1" customFormat="1" ht="11.45" customHeight="1" outlineLevel="3" x14ac:dyDescent="0.2">
      <c r="A1874" s="32" t="s">
        <v>18518</v>
      </c>
      <c r="B1874" s="74" t="s">
        <v>18519</v>
      </c>
      <c r="C1874" s="50"/>
      <c r="D1874" s="139">
        <f t="shared" si="29"/>
        <v>0</v>
      </c>
      <c r="E1874" s="140">
        <v>236.55</v>
      </c>
      <c r="F1874" s="140">
        <v>193.89</v>
      </c>
      <c r="G1874" s="34" t="s">
        <v>100</v>
      </c>
      <c r="H1874" s="34" t="s">
        <v>39</v>
      </c>
      <c r="I1874" s="35">
        <v>1</v>
      </c>
      <c r="J1874" s="35">
        <v>1</v>
      </c>
      <c r="K1874" s="35">
        <v>10</v>
      </c>
      <c r="L1874" s="60" t="str">
        <f>HYPERLINK("https://www.sds-group.ru/product/derzhatel-dlya-hraneniya-odezhdy-v-stile-loft-kreplenie-na-dver-3-shtuki-chernyy-rexant-38-0711/", "Инфо")</f>
        <v>Инфо</v>
      </c>
      <c r="M1874" s="37">
        <v>0.18099999999999999</v>
      </c>
      <c r="N1874" s="38">
        <v>9.5200000000000005E-4</v>
      </c>
      <c r="O1874" s="141">
        <v>4601004303300</v>
      </c>
    </row>
    <row r="1875" spans="1:15" s="1" customFormat="1" ht="11.45" customHeight="1" outlineLevel="3" x14ac:dyDescent="0.2">
      <c r="A1875" s="32" t="s">
        <v>18520</v>
      </c>
      <c r="B1875" s="74" t="s">
        <v>18521</v>
      </c>
      <c r="C1875" s="50"/>
      <c r="D1875" s="139">
        <f t="shared" si="29"/>
        <v>0</v>
      </c>
      <c r="E1875" s="140">
        <v>472.17</v>
      </c>
      <c r="F1875" s="140">
        <v>387.02</v>
      </c>
      <c r="G1875" s="34" t="s">
        <v>100</v>
      </c>
      <c r="H1875" s="34" t="s">
        <v>39</v>
      </c>
      <c r="I1875" s="35">
        <v>1</v>
      </c>
      <c r="J1875" s="35">
        <v>1</v>
      </c>
      <c r="K1875" s="35">
        <v>12</v>
      </c>
      <c r="L1875" s="60" t="str">
        <f>HYPERLINK("https://www.sds-group.ru/product/kronshteyn-v-stile-loft-dlya-krepleniya-polok-nastennyy-belyy-rexant-38-0681/", "Инфо")</f>
        <v>Инфо</v>
      </c>
      <c r="M1875" s="37">
        <v>0.308</v>
      </c>
      <c r="N1875" s="38">
        <v>1.83E-3</v>
      </c>
      <c r="O1875" s="141">
        <v>4601004296077</v>
      </c>
    </row>
    <row r="1876" spans="1:15" s="1" customFormat="1" ht="11.45" customHeight="1" outlineLevel="3" x14ac:dyDescent="0.2">
      <c r="A1876" s="32" t="s">
        <v>18522</v>
      </c>
      <c r="B1876" s="74" t="s">
        <v>18523</v>
      </c>
      <c r="C1876" s="50"/>
      <c r="D1876" s="139">
        <f t="shared" si="29"/>
        <v>0</v>
      </c>
      <c r="E1876" s="140">
        <v>507.31</v>
      </c>
      <c r="F1876" s="140">
        <v>415.83</v>
      </c>
      <c r="G1876" s="34" t="s">
        <v>100</v>
      </c>
      <c r="H1876" s="34" t="s">
        <v>39</v>
      </c>
      <c r="I1876" s="35">
        <v>1</v>
      </c>
      <c r="J1876" s="35">
        <v>1</v>
      </c>
      <c r="K1876" s="35">
        <v>12</v>
      </c>
      <c r="L1876" s="60" t="str">
        <f>HYPERLINK("https://www.sds-group.ru/product/kronshteyn-v-stile-loft-dlya-krepleniya-polok-nastennyy-chernyy-rexant-38-0680/", "Инфо")</f>
        <v>Инфо</v>
      </c>
      <c r="M1876" s="37">
        <v>0.309</v>
      </c>
      <c r="N1876" s="38">
        <v>1.8309999999999999E-3</v>
      </c>
      <c r="O1876" s="141">
        <v>4601004296046</v>
      </c>
    </row>
    <row r="1877" spans="1:15" ht="11.45" customHeight="1" x14ac:dyDescent="0.2">
      <c r="A1877" s="80" t="s">
        <v>18524</v>
      </c>
      <c r="B1877" s="128"/>
      <c r="C1877" s="81"/>
      <c r="D1877" s="129"/>
      <c r="E1877" s="130"/>
      <c r="F1877" s="130"/>
      <c r="G1877" s="130"/>
      <c r="H1877" s="130"/>
      <c r="I1877" s="130"/>
      <c r="J1877" s="130"/>
      <c r="K1877" s="130"/>
      <c r="L1877" s="131"/>
      <c r="M1877" s="130"/>
      <c r="N1877" s="130"/>
      <c r="O1877" s="130"/>
    </row>
    <row r="1878" spans="1:15" ht="11.45" customHeight="1" outlineLevel="1" x14ac:dyDescent="0.2">
      <c r="A1878" s="78" t="s">
        <v>18525</v>
      </c>
      <c r="B1878" s="132"/>
      <c r="C1878" s="79"/>
      <c r="D1878" s="133"/>
      <c r="E1878" s="134"/>
      <c r="F1878" s="134"/>
      <c r="G1878" s="134"/>
      <c r="H1878" s="134"/>
      <c r="I1878" s="134"/>
      <c r="J1878" s="134"/>
      <c r="K1878" s="134"/>
      <c r="L1878" s="135"/>
      <c r="M1878" s="134"/>
      <c r="N1878" s="134"/>
      <c r="O1878" s="134"/>
    </row>
    <row r="1879" spans="1:15" ht="11.45" customHeight="1" outlineLevel="2" x14ac:dyDescent="0.2">
      <c r="A1879" s="76" t="s">
        <v>18526</v>
      </c>
      <c r="B1879" s="136"/>
      <c r="C1879" s="77"/>
      <c r="D1879" s="137"/>
      <c r="E1879" s="4"/>
      <c r="F1879" s="4"/>
      <c r="G1879" s="4"/>
      <c r="H1879" s="4"/>
      <c r="I1879" s="4"/>
      <c r="J1879" s="4"/>
      <c r="K1879" s="4"/>
      <c r="L1879" s="138"/>
      <c r="M1879" s="4"/>
      <c r="N1879" s="4"/>
      <c r="O1879" s="4"/>
    </row>
    <row r="1880" spans="1:15" ht="11.45" customHeight="1" outlineLevel="3" x14ac:dyDescent="0.2">
      <c r="A1880" s="76" t="s">
        <v>18566</v>
      </c>
      <c r="B1880" s="136"/>
      <c r="C1880" s="77"/>
      <c r="D1880" s="137"/>
      <c r="E1880" s="4"/>
      <c r="F1880" s="4"/>
      <c r="G1880" s="4"/>
      <c r="H1880" s="4"/>
      <c r="I1880" s="4"/>
      <c r="J1880" s="4"/>
      <c r="K1880" s="4"/>
      <c r="L1880" s="138"/>
      <c r="M1880" s="4"/>
      <c r="N1880" s="4"/>
      <c r="O1880" s="4"/>
    </row>
    <row r="1881" spans="1:15" s="1" customFormat="1" ht="11.45" customHeight="1" outlineLevel="4" x14ac:dyDescent="0.2">
      <c r="A1881" s="32" t="s">
        <v>18593</v>
      </c>
      <c r="B1881" s="74" t="s">
        <v>18594</v>
      </c>
      <c r="C1881" s="50"/>
      <c r="D1881" s="139">
        <f t="shared" si="29"/>
        <v>0</v>
      </c>
      <c r="E1881" s="140">
        <v>8094.6</v>
      </c>
      <c r="F1881" s="140">
        <v>6634.92</v>
      </c>
      <c r="G1881" s="34" t="s">
        <v>100</v>
      </c>
      <c r="H1881" s="34" t="s">
        <v>39</v>
      </c>
      <c r="I1881" s="35">
        <v>1</v>
      </c>
      <c r="J1881" s="35">
        <v>1</v>
      </c>
      <c r="K1881" s="35">
        <v>4</v>
      </c>
      <c r="L1881" s="60" t="str">
        <f>HYPERLINK("https://www.sds-group.ru/product/teplyy-pol-nagrevatelnyy-samokleyaschiysya-mat-extra-9m-0-5h18m-1440vt-dvuhzhilnyy-rexant-51-0519/", "Инфо")</f>
        <v>Инфо</v>
      </c>
      <c r="M1881" s="37">
        <v>4.9409999999999998</v>
      </c>
      <c r="N1881" s="38">
        <v>3.0707000000000002E-2</v>
      </c>
      <c r="O1881" s="141">
        <v>4601004017887</v>
      </c>
    </row>
    <row r="1882" spans="1:15" ht="11.45" customHeight="1" outlineLevel="3" x14ac:dyDescent="0.2">
      <c r="A1882" s="76" t="s">
        <v>18599</v>
      </c>
      <c r="B1882" s="136"/>
      <c r="C1882" s="77"/>
      <c r="D1882" s="137"/>
      <c r="E1882" s="4"/>
      <c r="F1882" s="4"/>
      <c r="G1882" s="4"/>
      <c r="H1882" s="4"/>
      <c r="I1882" s="4"/>
      <c r="J1882" s="4"/>
      <c r="K1882" s="4"/>
      <c r="L1882" s="138"/>
      <c r="M1882" s="4"/>
      <c r="N1882" s="4"/>
      <c r="O1882" s="4"/>
    </row>
    <row r="1883" spans="1:15" s="1" customFormat="1" ht="11.45" customHeight="1" outlineLevel="4" x14ac:dyDescent="0.2">
      <c r="A1883" s="32" t="s">
        <v>18600</v>
      </c>
      <c r="B1883" s="74" t="s">
        <v>18601</v>
      </c>
      <c r="C1883" s="50"/>
      <c r="D1883" s="139">
        <f t="shared" si="29"/>
        <v>0</v>
      </c>
      <c r="E1883" s="140">
        <v>1864.5</v>
      </c>
      <c r="F1883" s="140">
        <v>1528.28</v>
      </c>
      <c r="G1883" s="34" t="s">
        <v>100</v>
      </c>
      <c r="H1883" s="34" t="s">
        <v>39</v>
      </c>
      <c r="I1883" s="35">
        <v>1</v>
      </c>
      <c r="J1883" s="35">
        <v>1</v>
      </c>
      <c r="K1883" s="35">
        <v>16</v>
      </c>
      <c r="L1883" s="60" t="str">
        <f>HYPERLINK("https://www.sds-group.ru/product/teplyy-pol-nagrevatelnyy-mat-pro-rnx-1-220-1m-0-5h2-0m-220vt-dvuhzhilnyy-s-ekranom-rexant-51-0010/", "Инфо")</f>
        <v>Инфо</v>
      </c>
      <c r="M1883" s="37">
        <v>0.72599999999999998</v>
      </c>
      <c r="N1883" s="38">
        <v>7.8530000000000006E-3</v>
      </c>
      <c r="O1883" s="141">
        <v>4601004141247</v>
      </c>
    </row>
    <row r="1884" spans="1:15" s="1" customFormat="1" ht="11.45" customHeight="1" outlineLevel="4" x14ac:dyDescent="0.2">
      <c r="A1884" s="32" t="s">
        <v>18602</v>
      </c>
      <c r="B1884" s="74" t="s">
        <v>18603</v>
      </c>
      <c r="C1884" s="50"/>
      <c r="D1884" s="139">
        <f t="shared" si="29"/>
        <v>0</v>
      </c>
      <c r="E1884" s="140">
        <v>2747.69</v>
      </c>
      <c r="F1884" s="140">
        <v>2252.1999999999998</v>
      </c>
      <c r="G1884" s="34" t="s">
        <v>100</v>
      </c>
      <c r="H1884" s="34" t="s">
        <v>39</v>
      </c>
      <c r="I1884" s="35">
        <v>1</v>
      </c>
      <c r="J1884" s="35">
        <v>1</v>
      </c>
      <c r="K1884" s="35">
        <v>16</v>
      </c>
      <c r="L1884" s="60" t="str">
        <f>HYPERLINK("https://www.sds-group.ru/product/teplyy-pol-nagrevatelnyy-mat-pro-rnx-1-5-330-1-5m-0-5h3m-330vt-dvuhzhilnyy-s-ekranom-rexant-51-0011/", "Инфо")</f>
        <v>Инфо</v>
      </c>
      <c r="M1884" s="37">
        <v>1.042</v>
      </c>
      <c r="N1884" s="38">
        <v>8.8699999999999994E-3</v>
      </c>
      <c r="O1884" s="141">
        <v>4601004141261</v>
      </c>
    </row>
    <row r="1885" spans="1:15" s="1" customFormat="1" ht="11.45" customHeight="1" outlineLevel="4" x14ac:dyDescent="0.2">
      <c r="A1885" s="32" t="s">
        <v>18604</v>
      </c>
      <c r="B1885" s="74" t="s">
        <v>18605</v>
      </c>
      <c r="C1885" s="50"/>
      <c r="D1885" s="139">
        <f t="shared" si="29"/>
        <v>0</v>
      </c>
      <c r="E1885" s="140">
        <v>3238.35</v>
      </c>
      <c r="F1885" s="140">
        <v>2654.39</v>
      </c>
      <c r="G1885" s="34" t="s">
        <v>100</v>
      </c>
      <c r="H1885" s="34" t="s">
        <v>39</v>
      </c>
      <c r="I1885" s="35">
        <v>1</v>
      </c>
      <c r="J1885" s="35">
        <v>1</v>
      </c>
      <c r="K1885" s="35">
        <v>16</v>
      </c>
      <c r="L1885" s="60" t="str">
        <f>HYPERLINK("https://www.sds-group.ru/product/teplyy-pol-nagrevatelnyy-mat-pro-rnx-2-440-2m-0-5h4m-440vt-dvuhzhilnyy-s-ekranom-rexant-51-0012/", "Инфо")</f>
        <v>Инфо</v>
      </c>
      <c r="M1885" s="37">
        <v>1.0840000000000001</v>
      </c>
      <c r="N1885" s="38">
        <v>8.7690000000000008E-3</v>
      </c>
      <c r="O1885" s="141">
        <v>4601004141179</v>
      </c>
    </row>
    <row r="1886" spans="1:15" s="1" customFormat="1" ht="11.45" customHeight="1" outlineLevel="4" x14ac:dyDescent="0.2">
      <c r="A1886" s="32" t="s">
        <v>18606</v>
      </c>
      <c r="B1886" s="74" t="s">
        <v>18607</v>
      </c>
      <c r="C1886" s="50"/>
      <c r="D1886" s="139">
        <f t="shared" si="29"/>
        <v>0</v>
      </c>
      <c r="E1886" s="140">
        <v>3557.27</v>
      </c>
      <c r="F1886" s="140">
        <v>2915.8</v>
      </c>
      <c r="G1886" s="34" t="s">
        <v>100</v>
      </c>
      <c r="H1886" s="34" t="s">
        <v>39</v>
      </c>
      <c r="I1886" s="35">
        <v>1</v>
      </c>
      <c r="J1886" s="35">
        <v>1</v>
      </c>
      <c r="K1886" s="35">
        <v>16</v>
      </c>
      <c r="L1886" s="60" t="str">
        <f>HYPERLINK("https://www.sds-group.ru/product/teplyy-pol-nagrevatelnyy-mat-pro-rnx-2-5-550-2-5-m-0-5h5-m-550-vt-dvuhzhilnyy-s-ekranom-rexa-51-0013/", "Инфо")</f>
        <v>Инфо</v>
      </c>
      <c r="M1886" s="37">
        <v>1.2450000000000001</v>
      </c>
      <c r="N1886" s="38">
        <v>7.5100000000000002E-3</v>
      </c>
      <c r="O1886" s="141">
        <v>4601004141186</v>
      </c>
    </row>
    <row r="1887" spans="1:15" s="1" customFormat="1" ht="11.45" customHeight="1" outlineLevel="4" x14ac:dyDescent="0.2">
      <c r="A1887" s="32" t="s">
        <v>18608</v>
      </c>
      <c r="B1887" s="74" t="s">
        <v>18609</v>
      </c>
      <c r="C1887" s="50"/>
      <c r="D1887" s="139">
        <f t="shared" si="29"/>
        <v>0</v>
      </c>
      <c r="E1887" s="140">
        <v>4563.16</v>
      </c>
      <c r="F1887" s="140">
        <v>3740.3</v>
      </c>
      <c r="G1887" s="34" t="s">
        <v>100</v>
      </c>
      <c r="H1887" s="34" t="s">
        <v>39</v>
      </c>
      <c r="I1887" s="35">
        <v>1</v>
      </c>
      <c r="J1887" s="35">
        <v>1</v>
      </c>
      <c r="K1887" s="35">
        <v>9</v>
      </c>
      <c r="L1887" s="60" t="str">
        <f>HYPERLINK("https://www.sds-group.ru/product/teplyy-pol-nagrevatelnyy-mat-pro-rnx-3-660-3m-0-5h6m-660vt-dvuhzhilnyy-s-ekranom-rexant-51-0014/", "Инфо")</f>
        <v>Инфо</v>
      </c>
      <c r="M1887" s="37">
        <v>1.5009999999999999</v>
      </c>
      <c r="N1887" s="38">
        <v>1.5807000000000002E-2</v>
      </c>
      <c r="O1887" s="141">
        <v>4601004141193</v>
      </c>
    </row>
    <row r="1888" spans="1:15" s="1" customFormat="1" ht="11.45" customHeight="1" outlineLevel="4" x14ac:dyDescent="0.2">
      <c r="A1888" s="32" t="s">
        <v>18610</v>
      </c>
      <c r="B1888" s="74" t="s">
        <v>18611</v>
      </c>
      <c r="C1888" s="50"/>
      <c r="D1888" s="139">
        <f t="shared" si="29"/>
        <v>0</v>
      </c>
      <c r="E1888" s="140">
        <v>5415.78</v>
      </c>
      <c r="F1888" s="140">
        <v>4439.16</v>
      </c>
      <c r="G1888" s="34" t="s">
        <v>100</v>
      </c>
      <c r="H1888" s="34" t="s">
        <v>39</v>
      </c>
      <c r="I1888" s="35">
        <v>1</v>
      </c>
      <c r="J1888" s="35">
        <v>1</v>
      </c>
      <c r="K1888" s="35">
        <v>9</v>
      </c>
      <c r="L1888" s="60" t="str">
        <f>HYPERLINK("https://www.sds-group.ru/product/teplyy-pol-nagrevatelnyy-mat-pro-rnx-4-880-4m-0-5h8m-880vt-dvuhzhilnyy-s-ekranom-rexant-51-0016/", "Инфо")</f>
        <v>Инфо</v>
      </c>
      <c r="M1888" s="37">
        <v>1.867</v>
      </c>
      <c r="N1888" s="38">
        <v>1.4079E-2</v>
      </c>
      <c r="O1888" s="141">
        <v>4601004141209</v>
      </c>
    </row>
    <row r="1889" spans="1:15" s="1" customFormat="1" ht="11.45" customHeight="1" outlineLevel="4" x14ac:dyDescent="0.2">
      <c r="A1889" s="32" t="s">
        <v>18612</v>
      </c>
      <c r="B1889" s="74" t="s">
        <v>18613</v>
      </c>
      <c r="C1889" s="50"/>
      <c r="D1889" s="139">
        <f t="shared" si="29"/>
        <v>0</v>
      </c>
      <c r="E1889" s="140">
        <v>6623.89</v>
      </c>
      <c r="F1889" s="140">
        <v>5429.42</v>
      </c>
      <c r="G1889" s="34" t="s">
        <v>100</v>
      </c>
      <c r="H1889" s="34" t="s">
        <v>39</v>
      </c>
      <c r="I1889" s="35">
        <v>1</v>
      </c>
      <c r="J1889" s="35">
        <v>1</v>
      </c>
      <c r="K1889" s="35">
        <v>9</v>
      </c>
      <c r="L1889" s="60" t="str">
        <f>HYPERLINK("https://www.sds-group.ru/product/teplyy-pol-nagrevatelnyy-mat-pro-rnx-5-1100-5m-0-5h10m-1100vt-dvuhzhilnyy-s-ekranom-rexant-51-0018/", "Инфо")</f>
        <v>Инфо</v>
      </c>
      <c r="M1889" s="37">
        <v>2.044</v>
      </c>
      <c r="N1889" s="38">
        <v>1.3877E-2</v>
      </c>
      <c r="O1889" s="141">
        <v>4601004141216</v>
      </c>
    </row>
    <row r="1890" spans="1:15" ht="11.45" customHeight="1" outlineLevel="2" x14ac:dyDescent="0.2">
      <c r="A1890" s="76" t="s">
        <v>18788</v>
      </c>
      <c r="B1890" s="136"/>
      <c r="C1890" s="77"/>
      <c r="D1890" s="137"/>
      <c r="E1890" s="4"/>
      <c r="F1890" s="4"/>
      <c r="G1890" s="4"/>
      <c r="H1890" s="4"/>
      <c r="I1890" s="4"/>
      <c r="J1890" s="4"/>
      <c r="K1890" s="4"/>
      <c r="L1890" s="138"/>
      <c r="M1890" s="4"/>
      <c r="N1890" s="4"/>
      <c r="O1890" s="4"/>
    </row>
    <row r="1891" spans="1:15" s="1" customFormat="1" ht="11.45" customHeight="1" outlineLevel="3" x14ac:dyDescent="0.2">
      <c r="A1891" s="32" t="s">
        <v>18789</v>
      </c>
      <c r="B1891" s="74" t="s">
        <v>18790</v>
      </c>
      <c r="C1891" s="50"/>
      <c r="D1891" s="139">
        <f t="shared" si="29"/>
        <v>0</v>
      </c>
      <c r="E1891" s="140">
        <v>790.06</v>
      </c>
      <c r="F1891" s="140">
        <v>647.59</v>
      </c>
      <c r="G1891" s="34" t="s">
        <v>100</v>
      </c>
      <c r="H1891" s="34" t="s">
        <v>39</v>
      </c>
      <c r="I1891" s="35">
        <v>1</v>
      </c>
      <c r="J1891" s="35">
        <v>1</v>
      </c>
      <c r="K1891" s="35">
        <v>20</v>
      </c>
      <c r="L1891" s="60" t="str">
        <f>HYPERLINK("https://www.sds-group.ru/product/kovrik-s-podogrevom-500h350mm-rexant-51-0052/", "Инфо")</f>
        <v>Инфо</v>
      </c>
      <c r="M1891" s="37">
        <v>0.40600000000000003</v>
      </c>
      <c r="N1891" s="38">
        <v>5.0239999999999998E-3</v>
      </c>
      <c r="O1891" s="141">
        <v>4601004316591</v>
      </c>
    </row>
    <row r="1892" spans="1:15" s="1" customFormat="1" ht="11.45" customHeight="1" outlineLevel="3" x14ac:dyDescent="0.2">
      <c r="A1892" s="32" t="s">
        <v>18791</v>
      </c>
      <c r="B1892" s="74" t="s">
        <v>18792</v>
      </c>
      <c r="C1892" s="50"/>
      <c r="D1892" s="139">
        <f t="shared" si="29"/>
        <v>0</v>
      </c>
      <c r="E1892" s="140">
        <v>1420.82</v>
      </c>
      <c r="F1892" s="140">
        <v>1164.6099999999999</v>
      </c>
      <c r="G1892" s="34" t="s">
        <v>100</v>
      </c>
      <c r="H1892" s="34" t="s">
        <v>39</v>
      </c>
      <c r="I1892" s="35">
        <v>1</v>
      </c>
      <c r="J1892" s="35">
        <v>1</v>
      </c>
      <c r="K1892" s="35">
        <v>20</v>
      </c>
      <c r="L1892" s="60" t="str">
        <f>HYPERLINK("https://www.sds-group.ru/product/kovrik-s-podogrevom-500h700mm-rexant-51-0053/", "Инфо")</f>
        <v>Инфо</v>
      </c>
      <c r="M1892" s="37">
        <v>0.73</v>
      </c>
      <c r="N1892" s="38">
        <v>6.9300000000000004E-3</v>
      </c>
      <c r="O1892" s="141">
        <v>4601004316607</v>
      </c>
    </row>
    <row r="1893" spans="1:15" ht="11.45" customHeight="1" outlineLevel="1" x14ac:dyDescent="0.2">
      <c r="A1893" s="78" t="s">
        <v>18793</v>
      </c>
      <c r="B1893" s="132"/>
      <c r="C1893" s="79"/>
      <c r="D1893" s="133"/>
      <c r="E1893" s="134"/>
      <c r="F1893" s="134"/>
      <c r="G1893" s="134"/>
      <c r="H1893" s="134"/>
      <c r="I1893" s="134"/>
      <c r="J1893" s="134"/>
      <c r="K1893" s="134"/>
      <c r="L1893" s="135"/>
      <c r="M1893" s="134"/>
      <c r="N1893" s="134"/>
      <c r="O1893" s="134"/>
    </row>
    <row r="1894" spans="1:15" ht="11.45" customHeight="1" outlineLevel="2" x14ac:dyDescent="0.2">
      <c r="A1894" s="76" t="s">
        <v>18794</v>
      </c>
      <c r="B1894" s="136"/>
      <c r="C1894" s="77"/>
      <c r="D1894" s="137"/>
      <c r="E1894" s="4"/>
      <c r="F1894" s="4"/>
      <c r="G1894" s="4"/>
      <c r="H1894" s="4"/>
      <c r="I1894" s="4"/>
      <c r="J1894" s="4"/>
      <c r="K1894" s="4"/>
      <c r="L1894" s="138"/>
      <c r="M1894" s="4"/>
      <c r="N1894" s="4"/>
      <c r="O1894" s="4"/>
    </row>
    <row r="1895" spans="1:15" ht="11.45" customHeight="1" outlineLevel="3" x14ac:dyDescent="0.2">
      <c r="A1895" s="76" t="s">
        <v>18873</v>
      </c>
      <c r="B1895" s="136"/>
      <c r="C1895" s="77"/>
      <c r="D1895" s="137"/>
      <c r="E1895" s="4"/>
      <c r="F1895" s="4"/>
      <c r="G1895" s="4"/>
      <c r="H1895" s="4"/>
      <c r="I1895" s="4"/>
      <c r="J1895" s="4"/>
      <c r="K1895" s="4"/>
      <c r="L1895" s="138"/>
      <c r="M1895" s="4"/>
      <c r="N1895" s="4"/>
      <c r="O1895" s="4"/>
    </row>
    <row r="1896" spans="1:15" s="1" customFormat="1" ht="11.45" customHeight="1" outlineLevel="4" x14ac:dyDescent="0.2">
      <c r="A1896" s="32" t="s">
        <v>18874</v>
      </c>
      <c r="B1896" s="74" t="s">
        <v>18875</v>
      </c>
      <c r="C1896" s="50"/>
      <c r="D1896" s="139">
        <f t="shared" si="29"/>
        <v>0</v>
      </c>
      <c r="E1896" s="140">
        <v>2984.99</v>
      </c>
      <c r="F1896" s="140">
        <v>2446.71</v>
      </c>
      <c r="G1896" s="34" t="s">
        <v>100</v>
      </c>
      <c r="H1896" s="34" t="s">
        <v>974</v>
      </c>
      <c r="I1896" s="35">
        <v>1</v>
      </c>
      <c r="J1896" s="35">
        <v>1</v>
      </c>
      <c r="K1896" s="35">
        <v>16</v>
      </c>
      <c r="L1896" s="60" t="str">
        <f>HYPERLINK("https://www.sds-group.ru/product/kabel-greyuschiy-samoreguliruyuschiysya-model-srl-extra-line-25msr-pb-na-trubu-10m-250vt-rex-51-0645/", "Инфо")</f>
        <v>Инфо</v>
      </c>
      <c r="M1896" s="37">
        <v>1.2170000000000001</v>
      </c>
      <c r="N1896" s="38">
        <v>7.8630000000000002E-3</v>
      </c>
      <c r="O1896" s="141">
        <v>4601004123687</v>
      </c>
    </row>
    <row r="1897" spans="1:15" s="1" customFormat="1" ht="11.45" customHeight="1" outlineLevel="4" x14ac:dyDescent="0.2">
      <c r="A1897" s="32" t="s">
        <v>18876</v>
      </c>
      <c r="B1897" s="74" t="s">
        <v>18877</v>
      </c>
      <c r="C1897" s="50"/>
      <c r="D1897" s="139">
        <f t="shared" si="29"/>
        <v>0</v>
      </c>
      <c r="E1897" s="140">
        <v>3454.51</v>
      </c>
      <c r="F1897" s="140">
        <v>2831.57</v>
      </c>
      <c r="G1897" s="34" t="s">
        <v>100</v>
      </c>
      <c r="H1897" s="34" t="s">
        <v>974</v>
      </c>
      <c r="I1897" s="35">
        <v>1</v>
      </c>
      <c r="J1897" s="35">
        <v>1</v>
      </c>
      <c r="K1897" s="35">
        <v>16</v>
      </c>
      <c r="L1897" s="60" t="str">
        <f>HYPERLINK("https://www.sds-group.ru/product/kabel-greyuschiy-samoreguliruyuschiysya-model-srl-extra-line-25msr-pb-na-trubu-15m-375vt-rex-51-0646/", "Инфо")</f>
        <v>Инфо</v>
      </c>
      <c r="M1897" s="37">
        <v>1.629</v>
      </c>
      <c r="N1897" s="38">
        <v>7.4949999999999999E-3</v>
      </c>
      <c r="O1897" s="141">
        <v>4601004123694</v>
      </c>
    </row>
    <row r="1898" spans="1:15" s="1" customFormat="1" ht="11.45" customHeight="1" outlineLevel="4" x14ac:dyDescent="0.2">
      <c r="A1898" s="32" t="s">
        <v>18878</v>
      </c>
      <c r="B1898" s="74" t="s">
        <v>18879</v>
      </c>
      <c r="C1898" s="50"/>
      <c r="D1898" s="139">
        <f t="shared" si="29"/>
        <v>0</v>
      </c>
      <c r="E1898" s="140">
        <v>3872.91</v>
      </c>
      <c r="F1898" s="140">
        <v>3174.52</v>
      </c>
      <c r="G1898" s="34" t="s">
        <v>100</v>
      </c>
      <c r="H1898" s="34" t="s">
        <v>974</v>
      </c>
      <c r="I1898" s="35">
        <v>1</v>
      </c>
      <c r="J1898" s="35">
        <v>1</v>
      </c>
      <c r="K1898" s="35">
        <v>16</v>
      </c>
      <c r="L1898" s="60" t="str">
        <f>HYPERLINK("https://www.sds-group.ru/product/kabel-greyuschiy-samoreguliruyuschiysya-model-srl-extra-line-25msr-pb-na-trubu-20m-500vt-rex-51-0647/", "Инфо")</f>
        <v>Инфо</v>
      </c>
      <c r="M1898" s="37">
        <v>1.905</v>
      </c>
      <c r="N1898" s="38">
        <v>1.4120000000000001E-3</v>
      </c>
      <c r="O1898" s="141">
        <v>4601004123700</v>
      </c>
    </row>
    <row r="1899" spans="1:15" s="1" customFormat="1" ht="11.45" customHeight="1" outlineLevel="4" x14ac:dyDescent="0.2">
      <c r="A1899" s="32" t="s">
        <v>18880</v>
      </c>
      <c r="B1899" s="74" t="s">
        <v>18881</v>
      </c>
      <c r="C1899" s="50"/>
      <c r="D1899" s="139">
        <f t="shared" si="29"/>
        <v>0</v>
      </c>
      <c r="E1899" s="140">
        <v>4921.8</v>
      </c>
      <c r="F1899" s="140">
        <v>4034.26</v>
      </c>
      <c r="G1899" s="34" t="s">
        <v>100</v>
      </c>
      <c r="H1899" s="34" t="s">
        <v>974</v>
      </c>
      <c r="I1899" s="35">
        <v>1</v>
      </c>
      <c r="J1899" s="35">
        <v>1</v>
      </c>
      <c r="K1899" s="35">
        <v>16</v>
      </c>
      <c r="L1899" s="60" t="str">
        <f>HYPERLINK("https://www.sds-group.ru/product/kabel-greyuschiy-samoreguliruyuschiysya-model-srl-extra-line-25msr-pb-na-trubu-25m-625vt-rex-51-0648/", "Инфо")</f>
        <v>Инфо</v>
      </c>
      <c r="M1899" s="37">
        <v>2.3570000000000002</v>
      </c>
      <c r="N1899" s="38">
        <v>7.4190000000000002E-3</v>
      </c>
      <c r="O1899" s="141">
        <v>4601004123717</v>
      </c>
    </row>
    <row r="1900" spans="1:15" s="1" customFormat="1" ht="11.45" customHeight="1" outlineLevel="4" x14ac:dyDescent="0.2">
      <c r="A1900" s="32" t="s">
        <v>18882</v>
      </c>
      <c r="B1900" s="74" t="s">
        <v>18883</v>
      </c>
      <c r="C1900" s="50"/>
      <c r="D1900" s="139">
        <f t="shared" si="29"/>
        <v>0</v>
      </c>
      <c r="E1900" s="140">
        <v>889.14</v>
      </c>
      <c r="F1900" s="140">
        <v>728.8</v>
      </c>
      <c r="G1900" s="34" t="s">
        <v>100</v>
      </c>
      <c r="H1900" s="34" t="s">
        <v>974</v>
      </c>
      <c r="I1900" s="35">
        <v>1</v>
      </c>
      <c r="J1900" s="35">
        <v>1</v>
      </c>
      <c r="K1900" s="35">
        <v>16</v>
      </c>
      <c r="L1900" s="60" t="str">
        <f>HYPERLINK("https://www.sds-group.ru/product/kabel-greyuschiy-samoreguliruyuschiysya-model-srl-extra-line-25msr-pb-na-trubu-2m-50vt-rexan-51-0637/", "Инфо")</f>
        <v>Инфо</v>
      </c>
      <c r="M1900" s="37">
        <v>0.68600000000000005</v>
      </c>
      <c r="N1900" s="38">
        <v>7.254E-3</v>
      </c>
      <c r="O1900" s="141">
        <v>4601004123724</v>
      </c>
    </row>
    <row r="1901" spans="1:15" s="1" customFormat="1" ht="11.45" customHeight="1" outlineLevel="4" x14ac:dyDescent="0.2">
      <c r="A1901" s="32" t="s">
        <v>18884</v>
      </c>
      <c r="B1901" s="74" t="s">
        <v>18885</v>
      </c>
      <c r="C1901" s="50"/>
      <c r="D1901" s="139">
        <f t="shared" si="29"/>
        <v>0</v>
      </c>
      <c r="E1901" s="140">
        <v>1142.54</v>
      </c>
      <c r="F1901" s="140">
        <v>936.51</v>
      </c>
      <c r="G1901" s="34" t="s">
        <v>100</v>
      </c>
      <c r="H1901" s="34" t="s">
        <v>974</v>
      </c>
      <c r="I1901" s="35">
        <v>1</v>
      </c>
      <c r="J1901" s="35">
        <v>1</v>
      </c>
      <c r="K1901" s="35">
        <v>16</v>
      </c>
      <c r="L1901" s="60" t="str">
        <f>HYPERLINK("https://www.sds-group.ru/product/kabel-greyuschiy-samoreguliruyuschiysya-model-srl-extra-line-25msr-pb-na-trubu-3m-75vt-rexan-51-0638/", "Инфо")</f>
        <v>Инфо</v>
      </c>
      <c r="M1901" s="37">
        <v>0.81899999999999995</v>
      </c>
      <c r="N1901" s="38">
        <v>7.724E-3</v>
      </c>
      <c r="O1901" s="141">
        <v>4601004123618</v>
      </c>
    </row>
    <row r="1902" spans="1:15" s="1" customFormat="1" ht="11.45" customHeight="1" outlineLevel="4" x14ac:dyDescent="0.2">
      <c r="A1902" s="32" t="s">
        <v>18886</v>
      </c>
      <c r="B1902" s="74" t="s">
        <v>18887</v>
      </c>
      <c r="C1902" s="50"/>
      <c r="D1902" s="139">
        <f t="shared" si="29"/>
        <v>0</v>
      </c>
      <c r="E1902" s="140">
        <v>1347.29</v>
      </c>
      <c r="F1902" s="140">
        <v>1104.3399999999999</v>
      </c>
      <c r="G1902" s="34" t="s">
        <v>100</v>
      </c>
      <c r="H1902" s="34" t="s">
        <v>974</v>
      </c>
      <c r="I1902" s="35">
        <v>1</v>
      </c>
      <c r="J1902" s="35">
        <v>1</v>
      </c>
      <c r="K1902" s="35">
        <v>16</v>
      </c>
      <c r="L1902" s="60" t="str">
        <f>HYPERLINK("https://www.sds-group.ru/product/kabel-greyuschiy-samoreguliruyuschiysya-model-srl-extra-line-25msr-pb-na-trubu-4m-100vt-rexa-51-0639/", "Инфо")</f>
        <v>Инфо</v>
      </c>
      <c r="M1902" s="37">
        <v>0.83599999999999997</v>
      </c>
      <c r="N1902" s="38">
        <v>7.7790000000000003E-3</v>
      </c>
      <c r="O1902" s="141">
        <v>4601004123625</v>
      </c>
    </row>
    <row r="1903" spans="1:15" s="1" customFormat="1" ht="11.45" customHeight="1" outlineLevel="4" x14ac:dyDescent="0.2">
      <c r="A1903" s="32" t="s">
        <v>18888</v>
      </c>
      <c r="B1903" s="74" t="s">
        <v>18889</v>
      </c>
      <c r="C1903" s="50"/>
      <c r="D1903" s="139">
        <f t="shared" si="29"/>
        <v>0</v>
      </c>
      <c r="E1903" s="140">
        <v>1332.69</v>
      </c>
      <c r="F1903" s="140">
        <v>1092.3699999999999</v>
      </c>
      <c r="G1903" s="34" t="s">
        <v>100</v>
      </c>
      <c r="H1903" s="34" t="s">
        <v>974</v>
      </c>
      <c r="I1903" s="35">
        <v>1</v>
      </c>
      <c r="J1903" s="35">
        <v>1</v>
      </c>
      <c r="K1903" s="35">
        <v>16</v>
      </c>
      <c r="L1903" s="60" t="str">
        <f>HYPERLINK("https://www.sds-group.ru/product/kabel-greyuschiy-samoreguliruyuschiysya-model-srl-extra-line-25msr-pb-na-trubu-5m-125vt-rexa-51-0640/", "Инфо")</f>
        <v>Инфо</v>
      </c>
      <c r="M1903" s="37">
        <v>0.95399999999999996</v>
      </c>
      <c r="N1903" s="38">
        <v>7.6730000000000001E-3</v>
      </c>
      <c r="O1903" s="141">
        <v>4601004123632</v>
      </c>
    </row>
    <row r="1904" spans="1:15" s="1" customFormat="1" ht="11.45" customHeight="1" outlineLevel="4" x14ac:dyDescent="0.2">
      <c r="A1904" s="32" t="s">
        <v>18890</v>
      </c>
      <c r="B1904" s="74" t="s">
        <v>18891</v>
      </c>
      <c r="C1904" s="50"/>
      <c r="D1904" s="139">
        <f t="shared" si="29"/>
        <v>0</v>
      </c>
      <c r="E1904" s="140">
        <v>2141.44</v>
      </c>
      <c r="F1904" s="140">
        <v>1755.28</v>
      </c>
      <c r="G1904" s="34" t="s">
        <v>100</v>
      </c>
      <c r="H1904" s="34" t="s">
        <v>974</v>
      </c>
      <c r="I1904" s="35">
        <v>1</v>
      </c>
      <c r="J1904" s="35">
        <v>1</v>
      </c>
      <c r="K1904" s="35">
        <v>16</v>
      </c>
      <c r="L1904" s="60" t="str">
        <f>HYPERLINK("https://www.sds-group.ru/product/kabel-greyuschiy-samoreguliruyuschiysya-model-srl-extra-line-25msr-pb-na-trubu-6m-150vt-rexa-51-0641/", "Инфо")</f>
        <v>Инфо</v>
      </c>
      <c r="M1904" s="37">
        <v>0.91600000000000004</v>
      </c>
      <c r="N1904" s="38">
        <v>7.1089999999999999E-3</v>
      </c>
      <c r="O1904" s="141">
        <v>4601004123649</v>
      </c>
    </row>
    <row r="1905" spans="1:15" s="1" customFormat="1" ht="11.45" customHeight="1" outlineLevel="4" x14ac:dyDescent="0.2">
      <c r="A1905" s="32" t="s">
        <v>18892</v>
      </c>
      <c r="B1905" s="74" t="s">
        <v>18893</v>
      </c>
      <c r="C1905" s="50"/>
      <c r="D1905" s="139">
        <f t="shared" si="29"/>
        <v>0</v>
      </c>
      <c r="E1905" s="140">
        <v>1950.46</v>
      </c>
      <c r="F1905" s="140">
        <v>1598.74</v>
      </c>
      <c r="G1905" s="34" t="s">
        <v>100</v>
      </c>
      <c r="H1905" s="34" t="s">
        <v>974</v>
      </c>
      <c r="I1905" s="35">
        <v>1</v>
      </c>
      <c r="J1905" s="35">
        <v>1</v>
      </c>
      <c r="K1905" s="35">
        <v>16</v>
      </c>
      <c r="L1905" s="60" t="str">
        <f>HYPERLINK("https://www.sds-group.ru/product/kabel-greyuschiy-samoreguliruyuschiysya-model-srl-extra-line-25msr-pb-na-trubu-8m-200vt-rexa-51-0643/", "Инфо")</f>
        <v>Инфо</v>
      </c>
      <c r="M1905" s="37">
        <v>1.0369999999999999</v>
      </c>
      <c r="N1905" s="38">
        <v>7.0340000000000003E-3</v>
      </c>
      <c r="O1905" s="141">
        <v>4601004123663</v>
      </c>
    </row>
    <row r="1906" spans="1:15" ht="11.45" customHeight="1" outlineLevel="3" x14ac:dyDescent="0.2">
      <c r="A1906" s="76" t="s">
        <v>18894</v>
      </c>
      <c r="B1906" s="136"/>
      <c r="C1906" s="77"/>
      <c r="D1906" s="137"/>
      <c r="E1906" s="4"/>
      <c r="F1906" s="4"/>
      <c r="G1906" s="4"/>
      <c r="H1906" s="4"/>
      <c r="I1906" s="4"/>
      <c r="J1906" s="4"/>
      <c r="K1906" s="4"/>
      <c r="L1906" s="138"/>
      <c r="M1906" s="4"/>
      <c r="N1906" s="4"/>
      <c r="O1906" s="4"/>
    </row>
    <row r="1907" spans="1:15" s="1" customFormat="1" ht="11.45" customHeight="1" outlineLevel="4" x14ac:dyDescent="0.2">
      <c r="A1907" s="32" t="s">
        <v>18905</v>
      </c>
      <c r="B1907" s="74" t="s">
        <v>18906</v>
      </c>
      <c r="C1907" s="50"/>
      <c r="D1907" s="139">
        <f t="shared" si="29"/>
        <v>0</v>
      </c>
      <c r="E1907" s="140">
        <v>1302.6400000000001</v>
      </c>
      <c r="F1907" s="140">
        <v>1067.74</v>
      </c>
      <c r="G1907" s="34" t="s">
        <v>100</v>
      </c>
      <c r="H1907" s="34" t="s">
        <v>974</v>
      </c>
      <c r="I1907" s="35">
        <v>1</v>
      </c>
      <c r="J1907" s="35">
        <v>1</v>
      </c>
      <c r="K1907" s="35">
        <v>16</v>
      </c>
      <c r="L1907" s="60" t="str">
        <f>HYPERLINK("https://www.sds-group.ru/product/kabel-greyuschiy-samoreguliruyuschiysya-model-srl-power-line-30srl-2cr-3m-90vt-rexant-51-0650/", "Инфо")</f>
        <v>Инфо</v>
      </c>
      <c r="M1907" s="37">
        <v>0.92500000000000004</v>
      </c>
      <c r="N1907" s="38">
        <v>7.7999999999999996E-3</v>
      </c>
      <c r="O1907" s="141">
        <v>4601004124196</v>
      </c>
    </row>
    <row r="1908" spans="1:15" ht="11.45" customHeight="1" outlineLevel="2" x14ac:dyDescent="0.2">
      <c r="A1908" s="76" t="s">
        <v>19067</v>
      </c>
      <c r="B1908" s="136"/>
      <c r="C1908" s="77"/>
      <c r="D1908" s="137"/>
      <c r="E1908" s="4"/>
      <c r="F1908" s="4"/>
      <c r="G1908" s="4"/>
      <c r="H1908" s="4"/>
      <c r="I1908" s="4"/>
      <c r="J1908" s="4"/>
      <c r="K1908" s="4"/>
      <c r="L1908" s="138"/>
      <c r="M1908" s="4"/>
      <c r="N1908" s="4"/>
      <c r="O1908" s="4"/>
    </row>
    <row r="1909" spans="1:15" ht="11.45" customHeight="1" outlineLevel="3" x14ac:dyDescent="0.2">
      <c r="A1909" s="76" t="s">
        <v>19085</v>
      </c>
      <c r="B1909" s="136"/>
      <c r="C1909" s="77"/>
      <c r="D1909" s="137"/>
      <c r="E1909" s="4"/>
      <c r="F1909" s="4"/>
      <c r="G1909" s="4"/>
      <c r="H1909" s="4"/>
      <c r="I1909" s="4"/>
      <c r="J1909" s="4"/>
      <c r="K1909" s="4"/>
      <c r="L1909" s="138"/>
      <c r="M1909" s="4"/>
      <c r="N1909" s="4"/>
      <c r="O1909" s="4"/>
    </row>
    <row r="1910" spans="1:15" s="1" customFormat="1" ht="11.45" customHeight="1" outlineLevel="4" x14ac:dyDescent="0.2">
      <c r="A1910" s="32" t="s">
        <v>19112</v>
      </c>
      <c r="B1910" s="74" t="s">
        <v>19113</v>
      </c>
      <c r="C1910" s="50"/>
      <c r="D1910" s="139">
        <f t="shared" si="29"/>
        <v>0</v>
      </c>
      <c r="E1910" s="140">
        <v>4351.03</v>
      </c>
      <c r="F1910" s="140">
        <v>3566.42</v>
      </c>
      <c r="G1910" s="34" t="s">
        <v>100</v>
      </c>
      <c r="H1910" s="34" t="s">
        <v>39</v>
      </c>
      <c r="I1910" s="35">
        <v>1</v>
      </c>
      <c r="J1910" s="35">
        <v>1</v>
      </c>
      <c r="K1910" s="35">
        <v>1</v>
      </c>
      <c r="L1910" s="60" t="str">
        <f>HYPERLINK("https://www.sds-group.ru/product/kabel-greyuschiy-dlya-obogreva-otkrytyh-ploschadok-20vt-m-175m-rexant-51-0100/", "Инфо")</f>
        <v>Инфо</v>
      </c>
      <c r="M1910" s="37">
        <v>7.5510000000000002</v>
      </c>
      <c r="N1910" s="38">
        <v>1.1520000000000001E-2</v>
      </c>
      <c r="O1910" s="141">
        <v>4601004269903</v>
      </c>
    </row>
    <row r="1911" spans="1:15" ht="11.45" customHeight="1" outlineLevel="1" x14ac:dyDescent="0.2">
      <c r="A1911" s="78" t="s">
        <v>19237</v>
      </c>
      <c r="B1911" s="132"/>
      <c r="C1911" s="79"/>
      <c r="D1911" s="133"/>
      <c r="E1911" s="134"/>
      <c r="F1911" s="134"/>
      <c r="G1911" s="134"/>
      <c r="H1911" s="134"/>
      <c r="I1911" s="134"/>
      <c r="J1911" s="134"/>
      <c r="K1911" s="134"/>
      <c r="L1911" s="135"/>
      <c r="M1911" s="134"/>
      <c r="N1911" s="134"/>
      <c r="O1911" s="134"/>
    </row>
    <row r="1912" spans="1:15" ht="11.45" customHeight="1" outlineLevel="2" x14ac:dyDescent="0.2">
      <c r="A1912" s="76" t="s">
        <v>19238</v>
      </c>
      <c r="B1912" s="136"/>
      <c r="C1912" s="77"/>
      <c r="D1912" s="137"/>
      <c r="E1912" s="4"/>
      <c r="F1912" s="4"/>
      <c r="G1912" s="4"/>
      <c r="H1912" s="4"/>
      <c r="I1912" s="4"/>
      <c r="J1912" s="4"/>
      <c r="K1912" s="4"/>
      <c r="L1912" s="138"/>
      <c r="M1912" s="4"/>
      <c r="N1912" s="4"/>
      <c r="O1912" s="4"/>
    </row>
    <row r="1913" spans="1:15" s="1" customFormat="1" ht="11.45" customHeight="1" outlineLevel="3" x14ac:dyDescent="0.2">
      <c r="A1913" s="32" t="s">
        <v>19239</v>
      </c>
      <c r="B1913" s="74" t="s">
        <v>19240</v>
      </c>
      <c r="C1913" s="50"/>
      <c r="D1913" s="139">
        <f t="shared" si="29"/>
        <v>0</v>
      </c>
      <c r="E1913" s="140">
        <v>1223.6300000000001</v>
      </c>
      <c r="F1913" s="140">
        <v>1002.98</v>
      </c>
      <c r="G1913" s="34" t="s">
        <v>100</v>
      </c>
      <c r="H1913" s="34" t="s">
        <v>39</v>
      </c>
      <c r="I1913" s="35">
        <v>1</v>
      </c>
      <c r="J1913" s="35">
        <v>1</v>
      </c>
      <c r="K1913" s="35">
        <v>3</v>
      </c>
      <c r="L1913" s="60" t="str">
        <f>HYPERLINK("https://www.sds-group.ru/product/ventilyator-napolnyy-dx-40-40vt-dux-60-0218/", "Инфо")</f>
        <v>Инфо</v>
      </c>
      <c r="M1913" s="37">
        <v>3.472</v>
      </c>
      <c r="N1913" s="38">
        <v>3.3045999999999999E-2</v>
      </c>
      <c r="O1913" s="141">
        <v>4601004294738</v>
      </c>
    </row>
    <row r="1914" spans="1:15" s="1" customFormat="1" ht="11.45" customHeight="1" outlineLevel="3" x14ac:dyDescent="0.2">
      <c r="A1914" s="32" t="s">
        <v>19241</v>
      </c>
      <c r="B1914" s="74" t="s">
        <v>19242</v>
      </c>
      <c r="C1914" s="50"/>
      <c r="D1914" s="139">
        <f t="shared" si="29"/>
        <v>0</v>
      </c>
      <c r="E1914" s="140">
        <v>1643.69</v>
      </c>
      <c r="F1914" s="140">
        <v>1347.29</v>
      </c>
      <c r="G1914" s="34" t="s">
        <v>100</v>
      </c>
      <c r="H1914" s="34" t="s">
        <v>39</v>
      </c>
      <c r="I1914" s="35">
        <v>1</v>
      </c>
      <c r="J1914" s="35">
        <v>1</v>
      </c>
      <c r="K1914" s="35">
        <v>4</v>
      </c>
      <c r="L1914" s="60" t="str">
        <f>HYPERLINK("https://www.sds-group.ru/product/ventilyator-napolnyy-14-dx-400-50vt-dux-60-0240/", "Инфо")</f>
        <v>Инфо</v>
      </c>
      <c r="M1914" s="37">
        <v>3.556</v>
      </c>
      <c r="N1914" s="38">
        <v>4.7378999999999998E-2</v>
      </c>
      <c r="O1914" s="141">
        <v>4601004294783</v>
      </c>
    </row>
    <row r="1915" spans="1:15" ht="11.45" customHeight="1" outlineLevel="1" x14ac:dyDescent="0.2">
      <c r="A1915" s="78" t="s">
        <v>19243</v>
      </c>
      <c r="B1915" s="132"/>
      <c r="C1915" s="79"/>
      <c r="D1915" s="133"/>
      <c r="E1915" s="134"/>
      <c r="F1915" s="134"/>
      <c r="G1915" s="134"/>
      <c r="H1915" s="134"/>
      <c r="I1915" s="134"/>
      <c r="J1915" s="134"/>
      <c r="K1915" s="134"/>
      <c r="L1915" s="135"/>
      <c r="M1915" s="134"/>
      <c r="N1915" s="134"/>
      <c r="O1915" s="134"/>
    </row>
    <row r="1916" spans="1:15" ht="11.45" customHeight="1" outlineLevel="2" x14ac:dyDescent="0.2">
      <c r="A1916" s="76" t="s">
        <v>19244</v>
      </c>
      <c r="B1916" s="136"/>
      <c r="C1916" s="77"/>
      <c r="D1916" s="137"/>
      <c r="E1916" s="4"/>
      <c r="F1916" s="4"/>
      <c r="G1916" s="4"/>
      <c r="H1916" s="4"/>
      <c r="I1916" s="4"/>
      <c r="J1916" s="4"/>
      <c r="K1916" s="4"/>
      <c r="L1916" s="138"/>
      <c r="M1916" s="4"/>
      <c r="N1916" s="4"/>
      <c r="O1916" s="4"/>
    </row>
    <row r="1917" spans="1:15" s="1" customFormat="1" ht="11.45" customHeight="1" outlineLevel="3" x14ac:dyDescent="0.2">
      <c r="A1917" s="32" t="s">
        <v>19247</v>
      </c>
      <c r="B1917" s="74" t="s">
        <v>19248</v>
      </c>
      <c r="C1917" s="50"/>
      <c r="D1917" s="139">
        <f t="shared" si="29"/>
        <v>0</v>
      </c>
      <c r="E1917" s="140">
        <v>770.78</v>
      </c>
      <c r="F1917" s="140">
        <v>631.79</v>
      </c>
      <c r="G1917" s="34" t="s">
        <v>100</v>
      </c>
      <c r="H1917" s="34" t="s">
        <v>39</v>
      </c>
      <c r="I1917" s="35">
        <v>1</v>
      </c>
      <c r="J1917" s="35">
        <v>1</v>
      </c>
      <c r="K1917" s="35">
        <v>8</v>
      </c>
      <c r="L1917" s="60" t="str">
        <f>HYPERLINK("https://www.sds-group.ru/product/teploventilyator-elektricheskiy-nastolnyy-2kvt-so-spiralnym-nagrevatelnym-elementom-chernyy--60-0034/", "Инфо")</f>
        <v>Инфо</v>
      </c>
      <c r="M1917" s="37">
        <v>1.0609999999999999</v>
      </c>
      <c r="N1917" s="38">
        <v>7.4289999999999998E-3</v>
      </c>
      <c r="O1917" s="141">
        <v>4601004302174</v>
      </c>
    </row>
    <row r="1918" spans="1:15" ht="11.45" customHeight="1" outlineLevel="2" x14ac:dyDescent="0.2">
      <c r="A1918" s="76" t="s">
        <v>19249</v>
      </c>
      <c r="B1918" s="136"/>
      <c r="C1918" s="77"/>
      <c r="D1918" s="137"/>
      <c r="E1918" s="4"/>
      <c r="F1918" s="4"/>
      <c r="G1918" s="4"/>
      <c r="H1918" s="4"/>
      <c r="I1918" s="4"/>
      <c r="J1918" s="4"/>
      <c r="K1918" s="4"/>
      <c r="L1918" s="138"/>
      <c r="M1918" s="4"/>
      <c r="N1918" s="4"/>
      <c r="O1918" s="4"/>
    </row>
    <row r="1919" spans="1:15" ht="11.45" customHeight="1" outlineLevel="3" x14ac:dyDescent="0.2">
      <c r="A1919" s="76" t="s">
        <v>19250</v>
      </c>
      <c r="B1919" s="136"/>
      <c r="C1919" s="77"/>
      <c r="D1919" s="137"/>
      <c r="E1919" s="4"/>
      <c r="F1919" s="4"/>
      <c r="G1919" s="4"/>
      <c r="H1919" s="4"/>
      <c r="I1919" s="4"/>
      <c r="J1919" s="4"/>
      <c r="K1919" s="4"/>
      <c r="L1919" s="138"/>
      <c r="M1919" s="4"/>
      <c r="N1919" s="4"/>
      <c r="O1919" s="4"/>
    </row>
    <row r="1920" spans="1:15" s="1" customFormat="1" ht="11.45" customHeight="1" outlineLevel="4" x14ac:dyDescent="0.2">
      <c r="A1920" s="32" t="s">
        <v>19265</v>
      </c>
      <c r="B1920" s="74" t="s">
        <v>19266</v>
      </c>
      <c r="C1920" s="50"/>
      <c r="D1920" s="139">
        <f t="shared" si="29"/>
        <v>0</v>
      </c>
      <c r="E1920" s="140">
        <v>1554.67</v>
      </c>
      <c r="F1920" s="140">
        <v>1274.32</v>
      </c>
      <c r="G1920" s="34" t="s">
        <v>100</v>
      </c>
      <c r="H1920" s="34" t="s">
        <v>39</v>
      </c>
      <c r="I1920" s="35">
        <v>1</v>
      </c>
      <c r="J1920" s="35">
        <v>1</v>
      </c>
      <c r="K1920" s="35">
        <v>1</v>
      </c>
      <c r="L1920" s="60" t="str">
        <f>HYPERLINK("https://www.sds-group.ru/product/elektricheskiy-konvektor-s-mehanicheskim-termostatom-1-kvt-stich-rexant-60-0090/", "Инфо")</f>
        <v>Инфо</v>
      </c>
      <c r="M1920" s="37">
        <v>3.0550000000000002</v>
      </c>
      <c r="N1920" s="38">
        <v>2.7910000000000001E-2</v>
      </c>
      <c r="O1920" s="141">
        <v>4601004266612</v>
      </c>
    </row>
    <row r="1921" spans="1:15" ht="11.45" customHeight="1" outlineLevel="3" x14ac:dyDescent="0.2">
      <c r="A1921" s="76" t="s">
        <v>19267</v>
      </c>
      <c r="B1921" s="136"/>
      <c r="C1921" s="77"/>
      <c r="D1921" s="137"/>
      <c r="E1921" s="4"/>
      <c r="F1921" s="4"/>
      <c r="G1921" s="4"/>
      <c r="H1921" s="4"/>
      <c r="I1921" s="4"/>
      <c r="J1921" s="4"/>
      <c r="K1921" s="4"/>
      <c r="L1921" s="138"/>
      <c r="M1921" s="4"/>
      <c r="N1921" s="4"/>
      <c r="O1921" s="4"/>
    </row>
    <row r="1922" spans="1:15" s="1" customFormat="1" ht="11.45" customHeight="1" outlineLevel="4" x14ac:dyDescent="0.2">
      <c r="A1922" s="32" t="s">
        <v>19284</v>
      </c>
      <c r="B1922" s="74" t="s">
        <v>19285</v>
      </c>
      <c r="C1922" s="50"/>
      <c r="D1922" s="139">
        <f t="shared" si="29"/>
        <v>0</v>
      </c>
      <c r="E1922" s="140">
        <v>2370.16</v>
      </c>
      <c r="F1922" s="140">
        <v>1942.75</v>
      </c>
      <c r="G1922" s="34" t="s">
        <v>100</v>
      </c>
      <c r="H1922" s="34" t="s">
        <v>39</v>
      </c>
      <c r="I1922" s="35">
        <v>1</v>
      </c>
      <c r="J1922" s="35">
        <v>1</v>
      </c>
      <c r="K1922" s="35">
        <v>2</v>
      </c>
      <c r="L1922" s="60" t="str">
        <f>HYPERLINK("https://www.sds-group.ru/product/konvektor-elektricheskiy-s-elektronnym-termostatom-1kvt-h-nagrevatelnyy-element-rexant-60-0099/", "Инфо")</f>
        <v>Инфо</v>
      </c>
      <c r="M1922" s="37">
        <v>3.7349999999999999</v>
      </c>
      <c r="N1922" s="38">
        <v>3.1074000000000001E-2</v>
      </c>
      <c r="O1922" s="141">
        <v>4601004302396</v>
      </c>
    </row>
    <row r="1923" spans="1:15" s="1" customFormat="1" ht="11.45" customHeight="1" outlineLevel="4" x14ac:dyDescent="0.2">
      <c r="A1923" s="32" t="s">
        <v>19286</v>
      </c>
      <c r="B1923" s="74" t="s">
        <v>19287</v>
      </c>
      <c r="C1923" s="50"/>
      <c r="D1923" s="139">
        <f t="shared" si="29"/>
        <v>0</v>
      </c>
      <c r="E1923" s="140">
        <v>2108.44</v>
      </c>
      <c r="F1923" s="140">
        <v>1728.23</v>
      </c>
      <c r="G1923" s="34" t="s">
        <v>100</v>
      </c>
      <c r="H1923" s="34" t="s">
        <v>39</v>
      </c>
      <c r="I1923" s="35">
        <v>1</v>
      </c>
      <c r="J1923" s="35">
        <v>1</v>
      </c>
      <c r="K1923" s="35">
        <v>1</v>
      </c>
      <c r="L1923" s="60" t="str">
        <f>HYPERLINK("https://www.sds-group.ru/product/konvektor-elektricheskiy-taksa-s-mehanicheskim-termostatom-1-5kvt-sokol-60-0122/", "Инфо")</f>
        <v>Инфо</v>
      </c>
      <c r="M1923" s="37">
        <v>3.6619999999999999</v>
      </c>
      <c r="N1923" s="38">
        <v>2.1857999999999999E-2</v>
      </c>
      <c r="O1923" s="141">
        <v>4601004310742</v>
      </c>
    </row>
    <row r="1924" spans="1:15" s="1" customFormat="1" ht="11.45" customHeight="1" outlineLevel="4" x14ac:dyDescent="0.2">
      <c r="A1924" s="32" t="s">
        <v>19288</v>
      </c>
      <c r="B1924" s="74" t="s">
        <v>19289</v>
      </c>
      <c r="C1924" s="50"/>
      <c r="D1924" s="139">
        <f t="shared" si="29"/>
        <v>0</v>
      </c>
      <c r="E1924" s="140">
        <v>1777.71</v>
      </c>
      <c r="F1924" s="140">
        <v>1457.14</v>
      </c>
      <c r="G1924" s="34" t="s">
        <v>100</v>
      </c>
      <c r="H1924" s="34" t="s">
        <v>39</v>
      </c>
      <c r="I1924" s="35">
        <v>1</v>
      </c>
      <c r="J1924" s="35">
        <v>1</v>
      </c>
      <c r="K1924" s="35">
        <v>1</v>
      </c>
      <c r="L1924" s="60" t="str">
        <f>HYPERLINK("https://www.sds-group.ru/product/konvektor-elektricheskiy-taksa-s-mehanicheskim-termostatom-1kvt-sokol-60-0121/", "Инфо")</f>
        <v>Инфо</v>
      </c>
      <c r="M1924" s="37">
        <v>2.7709999999999999</v>
      </c>
      <c r="N1924" s="38">
        <v>1.5646E-2</v>
      </c>
      <c r="O1924" s="141">
        <v>4601004310735</v>
      </c>
    </row>
    <row r="1925" spans="1:15" s="1" customFormat="1" ht="11.45" customHeight="1" outlineLevel="4" x14ac:dyDescent="0.2">
      <c r="A1925" s="32" t="s">
        <v>19290</v>
      </c>
      <c r="B1925" s="74" t="s">
        <v>19291</v>
      </c>
      <c r="C1925" s="50"/>
      <c r="D1925" s="139">
        <f t="shared" si="29"/>
        <v>0</v>
      </c>
      <c r="E1925" s="140">
        <v>1777.71</v>
      </c>
      <c r="F1925" s="140">
        <v>1457.14</v>
      </c>
      <c r="G1925" s="34" t="s">
        <v>100</v>
      </c>
      <c r="H1925" s="34" t="s">
        <v>39</v>
      </c>
      <c r="I1925" s="35">
        <v>1</v>
      </c>
      <c r="J1925" s="35">
        <v>1</v>
      </c>
      <c r="K1925" s="35">
        <v>1</v>
      </c>
      <c r="L1925" s="60" t="str">
        <f>HYPERLINK("https://www.sds-group.ru/product/elektricheskiy-konvektor-s-mehanicheskim-termostatom-1-kvt-h-monolit-sokol-60-0086/", "Инфо")</f>
        <v>Инфо</v>
      </c>
      <c r="M1925" s="37">
        <v>3.9580000000000002</v>
      </c>
      <c r="N1925" s="38">
        <v>2.8781000000000001E-2</v>
      </c>
      <c r="O1925" s="141">
        <v>4601004267237</v>
      </c>
    </row>
    <row r="1926" spans="1:15" s="1" customFormat="1" ht="11.45" customHeight="1" outlineLevel="4" x14ac:dyDescent="0.2">
      <c r="A1926" s="32" t="s">
        <v>19292</v>
      </c>
      <c r="B1926" s="74" t="s">
        <v>19293</v>
      </c>
      <c r="C1926" s="50"/>
      <c r="D1926" s="139">
        <f t="shared" si="29"/>
        <v>0</v>
      </c>
      <c r="E1926" s="140">
        <v>2474.3200000000002</v>
      </c>
      <c r="F1926" s="140">
        <v>2028.13</v>
      </c>
      <c r="G1926" s="34" t="s">
        <v>100</v>
      </c>
      <c r="H1926" s="34" t="s">
        <v>39</v>
      </c>
      <c r="I1926" s="35">
        <v>1</v>
      </c>
      <c r="J1926" s="35">
        <v>1</v>
      </c>
      <c r="K1926" s="35">
        <v>1</v>
      </c>
      <c r="L1926" s="60" t="str">
        <f>HYPERLINK("https://www.sds-group.ru/product/elektricheskiy-konvektor-s-elektronnym-termostatom-1-kvt-h-monolit-rexant-60-0080/", "Инфо")</f>
        <v>Инфо</v>
      </c>
      <c r="M1926" s="37">
        <v>3.6850000000000001</v>
      </c>
      <c r="N1926" s="38">
        <v>2.7661000000000002E-2</v>
      </c>
      <c r="O1926" s="141">
        <v>4601004266643</v>
      </c>
    </row>
    <row r="1927" spans="1:15" ht="11.45" customHeight="1" outlineLevel="3" x14ac:dyDescent="0.2">
      <c r="A1927" s="76" t="s">
        <v>19294</v>
      </c>
      <c r="B1927" s="136"/>
      <c r="C1927" s="77"/>
      <c r="D1927" s="137"/>
      <c r="E1927" s="4"/>
      <c r="F1927" s="4"/>
      <c r="G1927" s="4"/>
      <c r="H1927" s="4"/>
      <c r="I1927" s="4"/>
      <c r="J1927" s="4"/>
      <c r="K1927" s="4"/>
      <c r="L1927" s="138"/>
      <c r="M1927" s="4"/>
      <c r="N1927" s="4"/>
      <c r="O1927" s="4"/>
    </row>
    <row r="1928" spans="1:15" s="1" customFormat="1" ht="11.45" customHeight="1" outlineLevel="4" x14ac:dyDescent="0.2">
      <c r="A1928" s="32" t="s">
        <v>19295</v>
      </c>
      <c r="B1928" s="74" t="s">
        <v>19296</v>
      </c>
      <c r="C1928" s="50"/>
      <c r="D1928" s="139">
        <f t="shared" si="29"/>
        <v>0</v>
      </c>
      <c r="E1928" s="140">
        <v>3449.26</v>
      </c>
      <c r="F1928" s="140">
        <v>2827.26</v>
      </c>
      <c r="G1928" s="34" t="s">
        <v>100</v>
      </c>
      <c r="H1928" s="34" t="s">
        <v>39</v>
      </c>
      <c r="I1928" s="35">
        <v>1</v>
      </c>
      <c r="J1928" s="35">
        <v>1</v>
      </c>
      <c r="K1928" s="35">
        <v>1</v>
      </c>
      <c r="L1928" s="60" t="str">
        <f>HYPERLINK("https://www.sds-group.ru/product/konvektor-elektricheskiy-plintusnyy-450vt-sokol-60-0124/", "Инфо")</f>
        <v>Инфо</v>
      </c>
      <c r="M1928" s="37">
        <v>3.9430000000000001</v>
      </c>
      <c r="N1928" s="38">
        <v>2.1690999999999998E-2</v>
      </c>
      <c r="O1928" s="141">
        <v>4601004310766</v>
      </c>
    </row>
    <row r="1929" spans="1:15" s="1" customFormat="1" ht="11.45" customHeight="1" outlineLevel="4" x14ac:dyDescent="0.2">
      <c r="A1929" s="32" t="s">
        <v>19297</v>
      </c>
      <c r="B1929" s="74" t="s">
        <v>19298</v>
      </c>
      <c r="C1929" s="50"/>
      <c r="D1929" s="139">
        <f t="shared" si="29"/>
        <v>0</v>
      </c>
      <c r="E1929" s="140">
        <v>3661.22</v>
      </c>
      <c r="F1929" s="140">
        <v>3001</v>
      </c>
      <c r="G1929" s="34" t="s">
        <v>100</v>
      </c>
      <c r="H1929" s="34" t="s">
        <v>39</v>
      </c>
      <c r="I1929" s="35">
        <v>1</v>
      </c>
      <c r="J1929" s="35">
        <v>1</v>
      </c>
      <c r="K1929" s="35">
        <v>1</v>
      </c>
      <c r="L1929" s="60" t="str">
        <f>HYPERLINK("https://www.sds-group.ru/product/konvektor-elektricheskiy-plintusnyy-600vt-sokol-60-0125/", "Инфо")</f>
        <v>Инфо</v>
      </c>
      <c r="M1929" s="37">
        <v>3.6539999999999999</v>
      </c>
      <c r="N1929" s="38">
        <v>8.0280000000000004E-3</v>
      </c>
      <c r="O1929" s="141">
        <v>4601004310773</v>
      </c>
    </row>
    <row r="1930" spans="1:15" ht="11.45" customHeight="1" outlineLevel="2" x14ac:dyDescent="0.2">
      <c r="A1930" s="76" t="s">
        <v>19299</v>
      </c>
      <c r="B1930" s="136"/>
      <c r="C1930" s="77"/>
      <c r="D1930" s="137"/>
      <c r="E1930" s="4"/>
      <c r="F1930" s="4"/>
      <c r="G1930" s="4"/>
      <c r="H1930" s="4"/>
      <c r="I1930" s="4"/>
      <c r="J1930" s="4"/>
      <c r="K1930" s="4"/>
      <c r="L1930" s="138"/>
      <c r="M1930" s="4"/>
      <c r="N1930" s="4"/>
      <c r="O1930" s="4"/>
    </row>
    <row r="1931" spans="1:15" ht="11.45" customHeight="1" outlineLevel="3" x14ac:dyDescent="0.2">
      <c r="A1931" s="76" t="s">
        <v>19311</v>
      </c>
      <c r="B1931" s="136"/>
      <c r="C1931" s="77"/>
      <c r="D1931" s="137"/>
      <c r="E1931" s="4"/>
      <c r="F1931" s="4"/>
      <c r="G1931" s="4"/>
      <c r="H1931" s="4"/>
      <c r="I1931" s="4"/>
      <c r="J1931" s="4"/>
      <c r="K1931" s="4"/>
      <c r="L1931" s="138"/>
      <c r="M1931" s="4"/>
      <c r="N1931" s="4"/>
      <c r="O1931" s="4"/>
    </row>
    <row r="1932" spans="1:15" s="1" customFormat="1" ht="11.45" customHeight="1" outlineLevel="4" x14ac:dyDescent="0.2">
      <c r="A1932" s="32" t="s">
        <v>19316</v>
      </c>
      <c r="B1932" s="74" t="s">
        <v>19317</v>
      </c>
      <c r="C1932" s="50"/>
      <c r="D1932" s="139">
        <f t="shared" ref="D1932:D1993" si="30">C1932*E1932</f>
        <v>0</v>
      </c>
      <c r="E1932" s="140">
        <v>1194.71</v>
      </c>
      <c r="F1932" s="140">
        <v>979.27</v>
      </c>
      <c r="G1932" s="34" t="s">
        <v>100</v>
      </c>
      <c r="H1932" s="34" t="s">
        <v>39</v>
      </c>
      <c r="I1932" s="35">
        <v>1</v>
      </c>
      <c r="J1932" s="35">
        <v>1</v>
      </c>
      <c r="K1932" s="35">
        <v>6</v>
      </c>
      <c r="L1932" s="60" t="str">
        <f>HYPERLINK("https://www.sds-group.ru/product/obogrevatel-elektricheskiy-infrakrasnyy-panelnyy-1-5kvt-s-kvartsevymi-lampami-v-stalnom-korp-60-0059/", "Инфо")</f>
        <v>Инфо</v>
      </c>
      <c r="M1932" s="37">
        <v>1.5569999999999999</v>
      </c>
      <c r="N1932" s="38">
        <v>1.3731E-2</v>
      </c>
      <c r="O1932" s="141">
        <v>4601004302273</v>
      </c>
    </row>
    <row r="1933" spans="1:15" ht="11.45" customHeight="1" outlineLevel="2" x14ac:dyDescent="0.2">
      <c r="A1933" s="76" t="s">
        <v>19320</v>
      </c>
      <c r="B1933" s="136"/>
      <c r="C1933" s="77"/>
      <c r="D1933" s="137"/>
      <c r="E1933" s="4"/>
      <c r="F1933" s="4"/>
      <c r="G1933" s="4"/>
      <c r="H1933" s="4"/>
      <c r="I1933" s="4"/>
      <c r="J1933" s="4"/>
      <c r="K1933" s="4"/>
      <c r="L1933" s="138"/>
      <c r="M1933" s="4"/>
      <c r="N1933" s="4"/>
      <c r="O1933" s="4"/>
    </row>
    <row r="1934" spans="1:15" ht="11.45" customHeight="1" outlineLevel="3" x14ac:dyDescent="0.2">
      <c r="A1934" s="76" t="s">
        <v>19321</v>
      </c>
      <c r="B1934" s="136"/>
      <c r="C1934" s="77"/>
      <c r="D1934" s="137"/>
      <c r="E1934" s="4"/>
      <c r="F1934" s="4"/>
      <c r="G1934" s="4"/>
      <c r="H1934" s="4"/>
      <c r="I1934" s="4"/>
      <c r="J1934" s="4"/>
      <c r="K1934" s="4"/>
      <c r="L1934" s="138"/>
      <c r="M1934" s="4"/>
      <c r="N1934" s="4"/>
      <c r="O1934" s="4"/>
    </row>
    <row r="1935" spans="1:15" s="1" customFormat="1" ht="11.45" customHeight="1" outlineLevel="4" x14ac:dyDescent="0.2">
      <c r="A1935" s="32" t="s">
        <v>19322</v>
      </c>
      <c r="B1935" s="74" t="s">
        <v>19323</v>
      </c>
      <c r="C1935" s="50"/>
      <c r="D1935" s="139">
        <f t="shared" si="30"/>
        <v>0</v>
      </c>
      <c r="E1935" s="140">
        <v>746.91</v>
      </c>
      <c r="F1935" s="140">
        <v>612.22</v>
      </c>
      <c r="G1935" s="34" t="s">
        <v>100</v>
      </c>
      <c r="H1935" s="34" t="s">
        <v>39</v>
      </c>
      <c r="I1935" s="35">
        <v>1</v>
      </c>
      <c r="J1935" s="35">
        <v>1</v>
      </c>
      <c r="K1935" s="35">
        <v>12</v>
      </c>
      <c r="L1935" s="60" t="str">
        <f>HYPERLINK("https://www.sds-group.ru/product/komplekt-dlya-podklyucheniya-gazovogo-grilya-s-regulyatorom-davleniya-rdsg-1-1-2-pod-shlan-12-0097-8/", "Инфо")</f>
        <v>Инфо</v>
      </c>
      <c r="M1935" s="37">
        <v>0.63800000000000001</v>
      </c>
      <c r="N1935" s="38">
        <v>2.6749999999999999E-3</v>
      </c>
      <c r="O1935" s="141">
        <v>4601004237131</v>
      </c>
    </row>
    <row r="1936" spans="1:15" ht="11.45" customHeight="1" outlineLevel="3" x14ac:dyDescent="0.2">
      <c r="A1936" s="76" t="s">
        <v>19326</v>
      </c>
      <c r="B1936" s="136"/>
      <c r="C1936" s="77"/>
      <c r="D1936" s="137"/>
      <c r="E1936" s="4"/>
      <c r="F1936" s="4"/>
      <c r="G1936" s="4"/>
      <c r="H1936" s="4"/>
      <c r="I1936" s="4"/>
      <c r="J1936" s="4"/>
      <c r="K1936" s="4"/>
      <c r="L1936" s="138"/>
      <c r="M1936" s="4"/>
      <c r="N1936" s="4"/>
      <c r="O1936" s="4"/>
    </row>
    <row r="1937" spans="1:15" s="1" customFormat="1" ht="11.45" customHeight="1" outlineLevel="4" x14ac:dyDescent="0.2">
      <c r="A1937" s="32" t="s">
        <v>19333</v>
      </c>
      <c r="B1937" s="74" t="s">
        <v>19334</v>
      </c>
      <c r="C1937" s="50"/>
      <c r="D1937" s="139">
        <f t="shared" si="30"/>
        <v>0</v>
      </c>
      <c r="E1937" s="140">
        <v>1105.27</v>
      </c>
      <c r="F1937" s="140">
        <v>905.96</v>
      </c>
      <c r="G1937" s="34" t="s">
        <v>100</v>
      </c>
      <c r="H1937" s="34" t="s">
        <v>39</v>
      </c>
      <c r="I1937" s="35">
        <v>1</v>
      </c>
      <c r="J1937" s="35">
        <v>1</v>
      </c>
      <c r="K1937" s="35">
        <v>1</v>
      </c>
      <c r="L1937" s="60" t="str">
        <f>HYPERLINK("https://www.sds-group.ru/product/stolik-dlya-ulichnogo-gazovogo-kamina-gribok-rexant-60-0190/", "Инфо")</f>
        <v>Инфо</v>
      </c>
      <c r="M1937" s="37">
        <v>2.0649999999999999</v>
      </c>
      <c r="N1937" s="38">
        <v>2.0899000000000001E-2</v>
      </c>
      <c r="O1937" s="141">
        <v>4601004303935</v>
      </c>
    </row>
    <row r="1938" spans="1:15" ht="11.45" customHeight="1" outlineLevel="2" x14ac:dyDescent="0.2">
      <c r="A1938" s="76" t="s">
        <v>19335</v>
      </c>
      <c r="B1938" s="136"/>
      <c r="C1938" s="77"/>
      <c r="D1938" s="137"/>
      <c r="E1938" s="4"/>
      <c r="F1938" s="4"/>
      <c r="G1938" s="4"/>
      <c r="H1938" s="4"/>
      <c r="I1938" s="4"/>
      <c r="J1938" s="4"/>
      <c r="K1938" s="4"/>
      <c r="L1938" s="138"/>
      <c r="M1938" s="4"/>
      <c r="N1938" s="4"/>
      <c r="O1938" s="4"/>
    </row>
    <row r="1939" spans="1:15" ht="11.45" customHeight="1" outlineLevel="3" x14ac:dyDescent="0.2">
      <c r="A1939" s="76" t="s">
        <v>19361</v>
      </c>
      <c r="B1939" s="136"/>
      <c r="C1939" s="77"/>
      <c r="D1939" s="137"/>
      <c r="E1939" s="4"/>
      <c r="F1939" s="4"/>
      <c r="G1939" s="4"/>
      <c r="H1939" s="4"/>
      <c r="I1939" s="4"/>
      <c r="J1939" s="4"/>
      <c r="K1939" s="4"/>
      <c r="L1939" s="138"/>
      <c r="M1939" s="4"/>
      <c r="N1939" s="4"/>
      <c r="O1939" s="4"/>
    </row>
    <row r="1940" spans="1:15" s="1" customFormat="1" ht="11.45" customHeight="1" outlineLevel="4" x14ac:dyDescent="0.2">
      <c r="A1940" s="32" t="s">
        <v>19362</v>
      </c>
      <c r="B1940" s="74" t="s">
        <v>19363</v>
      </c>
      <c r="C1940" s="50"/>
      <c r="D1940" s="139">
        <f t="shared" si="30"/>
        <v>0</v>
      </c>
      <c r="E1940" s="140">
        <v>8864.02</v>
      </c>
      <c r="F1940" s="140">
        <v>7265.59</v>
      </c>
      <c r="G1940" s="34" t="s">
        <v>100</v>
      </c>
      <c r="H1940" s="34" t="s">
        <v>39</v>
      </c>
      <c r="I1940" s="35">
        <v>1</v>
      </c>
      <c r="J1940" s="35">
        <v>1</v>
      </c>
      <c r="K1940" s="35">
        <v>1</v>
      </c>
      <c r="L1940" s="60" t="str">
        <f>HYPERLINK("https://www.sds-group.ru/product/pushka-dizelnaya-pryamogo-nagreva-10kvt-500m3-ch-rexant-31017/", "Инфо")</f>
        <v>Инфо</v>
      </c>
      <c r="M1940" s="37">
        <v>11.292</v>
      </c>
      <c r="N1940" s="38">
        <v>8.6513999999999994E-2</v>
      </c>
      <c r="O1940" s="141">
        <v>4601004302495</v>
      </c>
    </row>
    <row r="1941" spans="1:15" ht="11.45" customHeight="1" outlineLevel="1" x14ac:dyDescent="0.2">
      <c r="A1941" s="78" t="s">
        <v>19373</v>
      </c>
      <c r="B1941" s="132"/>
      <c r="C1941" s="79"/>
      <c r="D1941" s="133"/>
      <c r="E1941" s="134"/>
      <c r="F1941" s="134"/>
      <c r="G1941" s="134"/>
      <c r="H1941" s="134"/>
      <c r="I1941" s="134"/>
      <c r="J1941" s="134"/>
      <c r="K1941" s="134"/>
      <c r="L1941" s="135"/>
      <c r="M1941" s="134"/>
      <c r="N1941" s="134"/>
      <c r="O1941" s="134"/>
    </row>
    <row r="1942" spans="1:15" ht="11.45" customHeight="1" outlineLevel="2" x14ac:dyDescent="0.2">
      <c r="A1942" s="76" t="s">
        <v>19374</v>
      </c>
      <c r="B1942" s="136"/>
      <c r="C1942" s="77"/>
      <c r="D1942" s="137"/>
      <c r="E1942" s="4"/>
      <c r="F1942" s="4"/>
      <c r="G1942" s="4"/>
      <c r="H1942" s="4"/>
      <c r="I1942" s="4"/>
      <c r="J1942" s="4"/>
      <c r="K1942" s="4"/>
      <c r="L1942" s="138"/>
      <c r="M1942" s="4"/>
      <c r="N1942" s="4"/>
      <c r="O1942" s="4"/>
    </row>
    <row r="1943" spans="1:15" ht="11.45" customHeight="1" outlineLevel="3" x14ac:dyDescent="0.2">
      <c r="A1943" s="76" t="s">
        <v>19375</v>
      </c>
      <c r="B1943" s="136"/>
      <c r="C1943" s="77"/>
      <c r="D1943" s="137"/>
      <c r="E1943" s="4"/>
      <c r="F1943" s="4"/>
      <c r="G1943" s="4"/>
      <c r="H1943" s="4"/>
      <c r="I1943" s="4"/>
      <c r="J1943" s="4"/>
      <c r="K1943" s="4"/>
      <c r="L1943" s="138"/>
      <c r="M1943" s="4"/>
      <c r="N1943" s="4"/>
      <c r="O1943" s="4"/>
    </row>
    <row r="1944" spans="1:15" s="1" customFormat="1" ht="11.45" customHeight="1" outlineLevel="4" x14ac:dyDescent="0.2">
      <c r="A1944" s="32" t="s">
        <v>19396</v>
      </c>
      <c r="B1944" s="74" t="s">
        <v>19397</v>
      </c>
      <c r="C1944" s="50"/>
      <c r="D1944" s="139">
        <f t="shared" si="30"/>
        <v>0</v>
      </c>
      <c r="E1944" s="140">
        <v>1117.05</v>
      </c>
      <c r="F1944" s="140">
        <v>915.61</v>
      </c>
      <c r="G1944" s="34" t="s">
        <v>100</v>
      </c>
      <c r="H1944" s="34" t="s">
        <v>39</v>
      </c>
      <c r="I1944" s="35">
        <v>1</v>
      </c>
      <c r="J1944" s="35">
        <v>1</v>
      </c>
      <c r="K1944" s="35">
        <v>39</v>
      </c>
      <c r="L1944" s="60" t="str">
        <f>HYPERLINK("https://www.sds-group.ru/product/termoregulyator-mehanicheskiy-rx-308u-sovmestim-s-schneider-serii-unica-belyy-rexant-51-0823/", "Инфо")</f>
        <v>Инфо</v>
      </c>
      <c r="M1944" s="37">
        <v>0.16800000000000001</v>
      </c>
      <c r="N1944" s="38">
        <v>9.0300000000000005E-4</v>
      </c>
      <c r="O1944" s="141">
        <v>4601004265752</v>
      </c>
    </row>
    <row r="1945" spans="1:15" ht="11.45" customHeight="1" outlineLevel="3" x14ac:dyDescent="0.2">
      <c r="A1945" s="76" t="s">
        <v>19398</v>
      </c>
      <c r="B1945" s="136"/>
      <c r="C1945" s="77"/>
      <c r="D1945" s="137"/>
      <c r="E1945" s="4"/>
      <c r="F1945" s="4"/>
      <c r="G1945" s="4"/>
      <c r="H1945" s="4"/>
      <c r="I1945" s="4"/>
      <c r="J1945" s="4"/>
      <c r="K1945" s="4"/>
      <c r="L1945" s="138"/>
      <c r="M1945" s="4"/>
      <c r="N1945" s="4"/>
      <c r="O1945" s="4"/>
    </row>
    <row r="1946" spans="1:15" s="1" customFormat="1" ht="11.45" customHeight="1" outlineLevel="4" x14ac:dyDescent="0.2">
      <c r="A1946" s="32" t="s">
        <v>19399</v>
      </c>
      <c r="B1946" s="74" t="s">
        <v>19400</v>
      </c>
      <c r="C1946" s="50"/>
      <c r="D1946" s="139">
        <f t="shared" si="30"/>
        <v>0</v>
      </c>
      <c r="E1946" s="140">
        <v>2119.66</v>
      </c>
      <c r="F1946" s="140">
        <v>1737.43</v>
      </c>
      <c r="G1946" s="34" t="s">
        <v>100</v>
      </c>
      <c r="H1946" s="34" t="s">
        <v>39</v>
      </c>
      <c r="I1946" s="35">
        <v>1</v>
      </c>
      <c r="J1946" s="35">
        <v>1</v>
      </c>
      <c r="K1946" s="35">
        <v>100</v>
      </c>
      <c r="L1946" s="60" t="str">
        <f>HYPERLINK("https://www.sds-group.ru/product/termoregulyator-tsifrovoy-r100b-sensornyy-programiruemyy-chernyy-rexant-51-0589/", "Инфо")</f>
        <v>Инфо</v>
      </c>
      <c r="M1946" s="37">
        <v>0.66800000000000004</v>
      </c>
      <c r="N1946" s="38">
        <v>2.5079999999999998E-3</v>
      </c>
      <c r="O1946" s="141">
        <v>4601004151550</v>
      </c>
    </row>
    <row r="1947" spans="1:15" s="1" customFormat="1" ht="11.45" customHeight="1" outlineLevel="4" x14ac:dyDescent="0.2">
      <c r="A1947" s="32" t="s">
        <v>19401</v>
      </c>
      <c r="B1947" s="74" t="s">
        <v>19402</v>
      </c>
      <c r="C1947" s="50"/>
      <c r="D1947" s="139">
        <f t="shared" si="30"/>
        <v>0</v>
      </c>
      <c r="E1947" s="140">
        <v>2119.66</v>
      </c>
      <c r="F1947" s="140">
        <v>1737.43</v>
      </c>
      <c r="G1947" s="34" t="s">
        <v>100</v>
      </c>
      <c r="H1947" s="34" t="s">
        <v>39</v>
      </c>
      <c r="I1947" s="35">
        <v>1</v>
      </c>
      <c r="J1947" s="35">
        <v>1</v>
      </c>
      <c r="K1947" s="35">
        <v>100</v>
      </c>
      <c r="L1947" s="60" t="str">
        <f>HYPERLINK("https://www.sds-group.ru/product/termoregulyator-tsifrovoy-r100w-sensornyy-programiruemyy-belyy-rexant-51-0588/", "Инфо")</f>
        <v>Инфо</v>
      </c>
      <c r="M1947" s="37">
        <v>0.34</v>
      </c>
      <c r="N1947" s="38">
        <v>1.1739999999999999E-3</v>
      </c>
      <c r="O1947" s="141">
        <v>4601004151543</v>
      </c>
    </row>
    <row r="1948" spans="1:15" s="1" customFormat="1" ht="11.45" customHeight="1" outlineLevel="4" x14ac:dyDescent="0.2">
      <c r="A1948" s="32" t="s">
        <v>19409</v>
      </c>
      <c r="B1948" s="74" t="s">
        <v>19410</v>
      </c>
      <c r="C1948" s="50"/>
      <c r="D1948" s="139">
        <f t="shared" si="30"/>
        <v>0</v>
      </c>
      <c r="E1948" s="140">
        <v>513.11</v>
      </c>
      <c r="F1948" s="140">
        <v>420.58</v>
      </c>
      <c r="G1948" s="34" t="s">
        <v>100</v>
      </c>
      <c r="H1948" s="34" t="s">
        <v>39</v>
      </c>
      <c r="I1948" s="35">
        <v>1</v>
      </c>
      <c r="J1948" s="35">
        <v>1</v>
      </c>
      <c r="K1948" s="35">
        <v>64</v>
      </c>
      <c r="L1948" s="60" t="str">
        <f>HYPERLINK("https://www.sds-group.ru/product/termoregulyator-tsifrovoy-r31xt-belyy-rexant-51-0595/", "Инфо")</f>
        <v>Инфо</v>
      </c>
      <c r="M1948" s="37">
        <v>0.32300000000000001</v>
      </c>
      <c r="N1948" s="38">
        <v>8.1499999999999997E-4</v>
      </c>
      <c r="O1948" s="141">
        <v>4601004291836</v>
      </c>
    </row>
    <row r="1949" spans="1:15" ht="11.45" customHeight="1" outlineLevel="3" x14ac:dyDescent="0.2">
      <c r="A1949" s="76" t="s">
        <v>19428</v>
      </c>
      <c r="B1949" s="136"/>
      <c r="C1949" s="77"/>
      <c r="D1949" s="137"/>
      <c r="E1949" s="4"/>
      <c r="F1949" s="4"/>
      <c r="G1949" s="4"/>
      <c r="H1949" s="4"/>
      <c r="I1949" s="4"/>
      <c r="J1949" s="4"/>
      <c r="K1949" s="4"/>
      <c r="L1949" s="138"/>
      <c r="M1949" s="4"/>
      <c r="N1949" s="4"/>
      <c r="O1949" s="4"/>
    </row>
    <row r="1950" spans="1:15" s="1" customFormat="1" ht="11.45" customHeight="1" outlineLevel="4" x14ac:dyDescent="0.2">
      <c r="A1950" s="32" t="s">
        <v>19431</v>
      </c>
      <c r="B1950" s="74" t="s">
        <v>19432</v>
      </c>
      <c r="C1950" s="50"/>
      <c r="D1950" s="139">
        <f t="shared" si="30"/>
        <v>0</v>
      </c>
      <c r="E1950" s="140">
        <v>3025.33</v>
      </c>
      <c r="F1950" s="140">
        <v>2479.7800000000002</v>
      </c>
      <c r="G1950" s="34" t="s">
        <v>100</v>
      </c>
      <c r="H1950" s="34" t="s">
        <v>39</v>
      </c>
      <c r="I1950" s="35">
        <v>1</v>
      </c>
      <c r="J1950" s="35">
        <v>1</v>
      </c>
      <c r="K1950" s="35">
        <v>100</v>
      </c>
      <c r="L1950" s="60" t="str">
        <f>HYPERLINK("https://www.sds-group.ru/product/termoregulyator-tsifrovoy-r150-sensornyy-programmiruemyy-s-wi-fi-belyy-rexant-51-0590/", "Инфо")</f>
        <v>Инфо</v>
      </c>
      <c r="M1950" s="37">
        <v>0.35499999999999998</v>
      </c>
      <c r="N1950" s="38">
        <v>1.317E-3</v>
      </c>
      <c r="O1950" s="141">
        <v>4601004164666</v>
      </c>
    </row>
    <row r="1951" spans="1:15" s="1" customFormat="1" ht="11.45" customHeight="1" outlineLevel="4" x14ac:dyDescent="0.2">
      <c r="A1951" s="32" t="s">
        <v>19433</v>
      </c>
      <c r="B1951" s="74" t="s">
        <v>19434</v>
      </c>
      <c r="C1951" s="50"/>
      <c r="D1951" s="139">
        <f t="shared" si="30"/>
        <v>0</v>
      </c>
      <c r="E1951" s="140">
        <v>2745.93</v>
      </c>
      <c r="F1951" s="140">
        <v>2250.7600000000002</v>
      </c>
      <c r="G1951" s="34" t="s">
        <v>100</v>
      </c>
      <c r="H1951" s="34" t="s">
        <v>39</v>
      </c>
      <c r="I1951" s="35">
        <v>1</v>
      </c>
      <c r="J1951" s="35">
        <v>1</v>
      </c>
      <c r="K1951" s="35">
        <v>100</v>
      </c>
      <c r="L1951" s="60" t="str">
        <f>HYPERLINK("https://www.sds-group.ru/product/termoregulyator-tsifrovoy-r150-sensornyy-programmiruemyy-s-wi-fi-chernyy-rexant-51-0591/", "Инфо")</f>
        <v>Инфо</v>
      </c>
      <c r="M1951" s="37">
        <v>0.33400000000000002</v>
      </c>
      <c r="N1951" s="38">
        <v>1.2149999999999999E-3</v>
      </c>
      <c r="O1951" s="141">
        <v>4601004164673</v>
      </c>
    </row>
    <row r="1952" spans="1:15" ht="11.45" customHeight="1" outlineLevel="3" x14ac:dyDescent="0.2">
      <c r="A1952" s="76" t="s">
        <v>19439</v>
      </c>
      <c r="B1952" s="136"/>
      <c r="C1952" s="77"/>
      <c r="D1952" s="137"/>
      <c r="E1952" s="4"/>
      <c r="F1952" s="4"/>
      <c r="G1952" s="4"/>
      <c r="H1952" s="4"/>
      <c r="I1952" s="4"/>
      <c r="J1952" s="4"/>
      <c r="K1952" s="4"/>
      <c r="L1952" s="138"/>
      <c r="M1952" s="4"/>
      <c r="N1952" s="4"/>
      <c r="O1952" s="4"/>
    </row>
    <row r="1953" spans="1:15" s="1" customFormat="1" ht="11.45" customHeight="1" outlineLevel="4" x14ac:dyDescent="0.2">
      <c r="A1953" s="32" t="s">
        <v>19440</v>
      </c>
      <c r="B1953" s="74" t="s">
        <v>19441</v>
      </c>
      <c r="C1953" s="50"/>
      <c r="D1953" s="139">
        <f t="shared" si="30"/>
        <v>0</v>
      </c>
      <c r="E1953" s="140">
        <v>99.98</v>
      </c>
      <c r="F1953" s="140">
        <v>81.95</v>
      </c>
      <c r="G1953" s="34" t="s">
        <v>100</v>
      </c>
      <c r="H1953" s="34" t="s">
        <v>39</v>
      </c>
      <c r="I1953" s="35">
        <v>1</v>
      </c>
      <c r="J1953" s="35">
        <v>1</v>
      </c>
      <c r="K1953" s="35">
        <v>50</v>
      </c>
      <c r="L1953" s="60" t="str">
        <f>HYPERLINK("https://www.sds-group.ru/product/boks-dlya-nakladnogo-montazha-elektroustanovochnyh-izdeliy-bn-01-bezhevyy-rexant-51-0569-2/", "Инфо")</f>
        <v>Инфо</v>
      </c>
      <c r="M1953" s="37">
        <v>4.8000000000000001E-2</v>
      </c>
      <c r="N1953" s="38">
        <v>1.3899999999999999E-4</v>
      </c>
      <c r="O1953" s="141">
        <v>4601004059962</v>
      </c>
    </row>
    <row r="1954" spans="1:15" s="1" customFormat="1" ht="11.45" customHeight="1" outlineLevel="4" x14ac:dyDescent="0.2">
      <c r="A1954" s="32" t="s">
        <v>19442</v>
      </c>
      <c r="B1954" s="74" t="s">
        <v>19443</v>
      </c>
      <c r="C1954" s="50"/>
      <c r="D1954" s="139">
        <f t="shared" si="30"/>
        <v>0</v>
      </c>
      <c r="E1954" s="140">
        <v>105.98</v>
      </c>
      <c r="F1954" s="140">
        <v>86.87</v>
      </c>
      <c r="G1954" s="34" t="s">
        <v>100</v>
      </c>
      <c r="H1954" s="34" t="s">
        <v>39</v>
      </c>
      <c r="I1954" s="35">
        <v>1</v>
      </c>
      <c r="J1954" s="35">
        <v>1</v>
      </c>
      <c r="K1954" s="35">
        <v>50</v>
      </c>
      <c r="L1954" s="60" t="str">
        <f>HYPERLINK("https://www.sds-group.ru/product/boks-dlya-nakladnogo-montazha-elektroustanovochnyh-izdeliy-bn-01-belyy-rexant-51-0569-1/", "Инфо")</f>
        <v>Инфо</v>
      </c>
      <c r="M1954" s="37">
        <v>4.2999999999999997E-2</v>
      </c>
      <c r="N1954" s="38">
        <v>1.12E-4</v>
      </c>
      <c r="O1954" s="141">
        <v>4601004059955</v>
      </c>
    </row>
    <row r="1955" spans="1:15" ht="11.45" customHeight="1" x14ac:dyDescent="0.2">
      <c r="A1955" s="80" t="s">
        <v>19455</v>
      </c>
      <c r="B1955" s="128"/>
      <c r="C1955" s="81"/>
      <c r="D1955" s="129"/>
      <c r="E1955" s="130"/>
      <c r="F1955" s="130"/>
      <c r="G1955" s="130"/>
      <c r="H1955" s="130"/>
      <c r="I1955" s="130"/>
      <c r="J1955" s="130"/>
      <c r="K1955" s="130"/>
      <c r="L1955" s="131"/>
      <c r="M1955" s="130"/>
      <c r="N1955" s="130"/>
      <c r="O1955" s="130"/>
    </row>
    <row r="1956" spans="1:15" ht="11.45" customHeight="1" outlineLevel="1" x14ac:dyDescent="0.2">
      <c r="A1956" s="78" t="s">
        <v>19456</v>
      </c>
      <c r="B1956" s="132"/>
      <c r="C1956" s="79"/>
      <c r="D1956" s="133"/>
      <c r="E1956" s="134"/>
      <c r="F1956" s="134"/>
      <c r="G1956" s="134"/>
      <c r="H1956" s="134"/>
      <c r="I1956" s="134"/>
      <c r="J1956" s="134"/>
      <c r="K1956" s="134"/>
      <c r="L1956" s="135"/>
      <c r="M1956" s="134"/>
      <c r="N1956" s="134"/>
      <c r="O1956" s="134"/>
    </row>
    <row r="1957" spans="1:15" ht="11.45" customHeight="1" outlineLevel="2" x14ac:dyDescent="0.2">
      <c r="A1957" s="76" t="s">
        <v>19457</v>
      </c>
      <c r="B1957" s="136"/>
      <c r="C1957" s="77"/>
      <c r="D1957" s="137"/>
      <c r="E1957" s="4"/>
      <c r="F1957" s="4"/>
      <c r="G1957" s="4"/>
      <c r="H1957" s="4"/>
      <c r="I1957" s="4"/>
      <c r="J1957" s="4"/>
      <c r="K1957" s="4"/>
      <c r="L1957" s="138"/>
      <c r="M1957" s="4"/>
      <c r="N1957" s="4"/>
      <c r="O1957" s="4"/>
    </row>
    <row r="1958" spans="1:15" ht="11.45" customHeight="1" outlineLevel="3" x14ac:dyDescent="0.2">
      <c r="A1958" s="76" t="s">
        <v>19458</v>
      </c>
      <c r="B1958" s="136"/>
      <c r="C1958" s="77"/>
      <c r="D1958" s="137"/>
      <c r="E1958" s="4"/>
      <c r="F1958" s="4"/>
      <c r="G1958" s="4"/>
      <c r="H1958" s="4"/>
      <c r="I1958" s="4"/>
      <c r="J1958" s="4"/>
      <c r="K1958" s="4"/>
      <c r="L1958" s="138"/>
      <c r="M1958" s="4"/>
      <c r="N1958" s="4"/>
      <c r="O1958" s="4"/>
    </row>
    <row r="1959" spans="1:15" s="1" customFormat="1" ht="11.45" customHeight="1" outlineLevel="4" x14ac:dyDescent="0.2">
      <c r="A1959" s="32" t="s">
        <v>19459</v>
      </c>
      <c r="B1959" s="74" t="s">
        <v>19460</v>
      </c>
      <c r="C1959" s="50"/>
      <c r="D1959" s="139">
        <f t="shared" si="30"/>
        <v>0</v>
      </c>
      <c r="E1959" s="140">
        <v>23.43</v>
      </c>
      <c r="F1959" s="140">
        <v>19.2</v>
      </c>
      <c r="G1959" s="34" t="s">
        <v>100</v>
      </c>
      <c r="H1959" s="34" t="s">
        <v>39</v>
      </c>
      <c r="I1959" s="35">
        <v>10</v>
      </c>
      <c r="J1959" s="35">
        <v>10</v>
      </c>
      <c r="K1959" s="35">
        <v>100</v>
      </c>
      <c r="L1959" s="60" t="str">
        <f>HYPERLINK("https://www.sds-group.ru/product/lampa-svetodiodnaya-grusha-a60-11-5vt-e27-1093lm-2700k-teplyy-svet-rexant-604-003/", "Инфо")</f>
        <v>Инфо</v>
      </c>
      <c r="M1959" s="37">
        <v>3.5999999999999997E-2</v>
      </c>
      <c r="N1959" s="38">
        <v>3.6000000000000002E-4</v>
      </c>
      <c r="O1959" s="141">
        <v>4601004167148</v>
      </c>
    </row>
    <row r="1960" spans="1:15" s="1" customFormat="1" ht="11.45" customHeight="1" outlineLevel="4" x14ac:dyDescent="0.2">
      <c r="A1960" s="32" t="s">
        <v>19461</v>
      </c>
      <c r="B1960" s="74" t="s">
        <v>19462</v>
      </c>
      <c r="C1960" s="50"/>
      <c r="D1960" s="139">
        <f t="shared" si="30"/>
        <v>0</v>
      </c>
      <c r="E1960" s="140">
        <v>23.43</v>
      </c>
      <c r="F1960" s="140">
        <v>19.2</v>
      </c>
      <c r="G1960" s="34" t="s">
        <v>100</v>
      </c>
      <c r="H1960" s="34" t="s">
        <v>39</v>
      </c>
      <c r="I1960" s="35">
        <v>10</v>
      </c>
      <c r="J1960" s="35">
        <v>10</v>
      </c>
      <c r="K1960" s="35">
        <v>100</v>
      </c>
      <c r="L1960" s="60" t="str">
        <f>HYPERLINK("https://www.sds-group.ru/product/lampa-svetodiodnaya-grusha-a60-11-5vt-e27-1093lm-4000k-neytralnyy-svet-rexant-604-004/", "Инфо")</f>
        <v>Инфо</v>
      </c>
      <c r="M1960" s="37">
        <v>3.7999999999999999E-2</v>
      </c>
      <c r="N1960" s="38">
        <v>4.9299999999999995E-4</v>
      </c>
      <c r="O1960" s="141">
        <v>4601004167155</v>
      </c>
    </row>
    <row r="1961" spans="1:15" s="1" customFormat="1" ht="11.45" customHeight="1" outlineLevel="4" x14ac:dyDescent="0.2">
      <c r="A1961" s="32" t="s">
        <v>19463</v>
      </c>
      <c r="B1961" s="74" t="s">
        <v>19464</v>
      </c>
      <c r="C1961" s="50"/>
      <c r="D1961" s="139">
        <f t="shared" si="30"/>
        <v>0</v>
      </c>
      <c r="E1961" s="140">
        <v>23.43</v>
      </c>
      <c r="F1961" s="140">
        <v>19.2</v>
      </c>
      <c r="G1961" s="34" t="s">
        <v>100</v>
      </c>
      <c r="H1961" s="34" t="s">
        <v>39</v>
      </c>
      <c r="I1961" s="35">
        <v>10</v>
      </c>
      <c r="J1961" s="35">
        <v>10</v>
      </c>
      <c r="K1961" s="35">
        <v>100</v>
      </c>
      <c r="L1961" s="60" t="str">
        <f>HYPERLINK("https://www.sds-group.ru/product/lampa-svetodiodnaya-grusha-a60-11-5vt-e27-1093lm-6500k-holodnyy-svet-rexant-604-005/", "Инфо")</f>
        <v>Инфо</v>
      </c>
      <c r="M1961" s="37">
        <v>3.6999999999999998E-2</v>
      </c>
      <c r="N1961" s="38">
        <v>5.13E-4</v>
      </c>
      <c r="O1961" s="141">
        <v>4601004167162</v>
      </c>
    </row>
    <row r="1962" spans="1:15" s="1" customFormat="1" ht="11.45" customHeight="1" outlineLevel="4" x14ac:dyDescent="0.2">
      <c r="A1962" s="32" t="s">
        <v>19465</v>
      </c>
      <c r="B1962" s="74" t="s">
        <v>19466</v>
      </c>
      <c r="C1962" s="50"/>
      <c r="D1962" s="139">
        <f t="shared" si="30"/>
        <v>0</v>
      </c>
      <c r="E1962" s="140">
        <v>26.87</v>
      </c>
      <c r="F1962" s="140">
        <v>22.02</v>
      </c>
      <c r="G1962" s="34" t="s">
        <v>100</v>
      </c>
      <c r="H1962" s="34" t="s">
        <v>39</v>
      </c>
      <c r="I1962" s="35">
        <v>10</v>
      </c>
      <c r="J1962" s="35">
        <v>10</v>
      </c>
      <c r="K1962" s="35">
        <v>100</v>
      </c>
      <c r="L1962" s="60" t="str">
        <f>HYPERLINK("https://www.sds-group.ru/product/lampa-svetodiodnaya-grusha-a60-15-5vt-e27-1473lm-6500k-holodnyy-svet-rexant-604-010/", "Инфо")</f>
        <v>Инфо</v>
      </c>
      <c r="M1962" s="37">
        <v>4.8000000000000001E-2</v>
      </c>
      <c r="N1962" s="38">
        <v>5.4900000000000001E-4</v>
      </c>
      <c r="O1962" s="141">
        <v>4601004167193</v>
      </c>
    </row>
    <row r="1963" spans="1:15" ht="11.45" customHeight="1" outlineLevel="3" x14ac:dyDescent="0.2">
      <c r="A1963" s="76" t="s">
        <v>19467</v>
      </c>
      <c r="B1963" s="136"/>
      <c r="C1963" s="77"/>
      <c r="D1963" s="137"/>
      <c r="E1963" s="4"/>
      <c r="F1963" s="4"/>
      <c r="G1963" s="4"/>
      <c r="H1963" s="4"/>
      <c r="I1963" s="4"/>
      <c r="J1963" s="4"/>
      <c r="K1963" s="4"/>
      <c r="L1963" s="138"/>
      <c r="M1963" s="4"/>
      <c r="N1963" s="4"/>
      <c r="O1963" s="4"/>
    </row>
    <row r="1964" spans="1:15" s="1" customFormat="1" ht="11.45" customHeight="1" outlineLevel="4" x14ac:dyDescent="0.2">
      <c r="A1964" s="32" t="s">
        <v>19468</v>
      </c>
      <c r="B1964" s="74" t="s">
        <v>19469</v>
      </c>
      <c r="C1964" s="50"/>
      <c r="D1964" s="139">
        <f t="shared" si="30"/>
        <v>0</v>
      </c>
      <c r="E1964" s="140">
        <v>22.05</v>
      </c>
      <c r="F1964" s="140">
        <v>18.07</v>
      </c>
      <c r="G1964" s="34" t="s">
        <v>100</v>
      </c>
      <c r="H1964" s="34" t="s">
        <v>39</v>
      </c>
      <c r="I1964" s="35">
        <v>10</v>
      </c>
      <c r="J1964" s="35">
        <v>10</v>
      </c>
      <c r="K1964" s="35">
        <v>100</v>
      </c>
      <c r="L1964" s="60" t="str">
        <f>HYPERLINK("https://www.sds-group.ru/product/lampa-svetodiodnaya-svecha-cn-7-5vt-e27-713lm-4000k-neytralnyy-svet-rexant-604-021/", "Инфо")</f>
        <v>Инфо</v>
      </c>
      <c r="M1964" s="37">
        <v>2.8000000000000001E-2</v>
      </c>
      <c r="N1964" s="38">
        <v>1.8799999999999999E-4</v>
      </c>
      <c r="O1964" s="141">
        <v>4601004167285</v>
      </c>
    </row>
    <row r="1965" spans="1:15" ht="11.45" customHeight="1" outlineLevel="3" x14ac:dyDescent="0.2">
      <c r="A1965" s="76" t="s">
        <v>19470</v>
      </c>
      <c r="B1965" s="136"/>
      <c r="C1965" s="77"/>
      <c r="D1965" s="137"/>
      <c r="E1965" s="4"/>
      <c r="F1965" s="4"/>
      <c r="G1965" s="4"/>
      <c r="H1965" s="4"/>
      <c r="I1965" s="4"/>
      <c r="J1965" s="4"/>
      <c r="K1965" s="4"/>
      <c r="L1965" s="138"/>
      <c r="M1965" s="4"/>
      <c r="N1965" s="4"/>
      <c r="O1965" s="4"/>
    </row>
    <row r="1966" spans="1:15" s="1" customFormat="1" ht="11.45" customHeight="1" outlineLevel="4" x14ac:dyDescent="0.2">
      <c r="A1966" s="32" t="s">
        <v>19471</v>
      </c>
      <c r="B1966" s="74" t="s">
        <v>19472</v>
      </c>
      <c r="C1966" s="50"/>
      <c r="D1966" s="139">
        <f t="shared" si="30"/>
        <v>0</v>
      </c>
      <c r="E1966" s="140">
        <v>32.53</v>
      </c>
      <c r="F1966" s="140">
        <v>26.66</v>
      </c>
      <c r="G1966" s="34" t="s">
        <v>100</v>
      </c>
      <c r="H1966" s="34" t="s">
        <v>39</v>
      </c>
      <c r="I1966" s="35">
        <v>10</v>
      </c>
      <c r="J1966" s="35">
        <v>10</v>
      </c>
      <c r="K1966" s="35">
        <v>100</v>
      </c>
      <c r="L1966" s="60" t="str">
        <f>HYPERLINK("https://www.sds-group.ru/product/lampa-svetodiodnaya-sharik-gl-9-5vt-e27-903lm-4000k-neytralniy-svet-rexant-21302/", "Инфо")</f>
        <v>Инфо</v>
      </c>
      <c r="M1966" s="37">
        <v>2.8000000000000001E-2</v>
      </c>
      <c r="N1966" s="38">
        <v>2.13E-4</v>
      </c>
      <c r="O1966" s="141">
        <v>4601004167476</v>
      </c>
    </row>
    <row r="1967" spans="1:15" ht="11.45" customHeight="1" outlineLevel="3" x14ac:dyDescent="0.2">
      <c r="A1967" s="76" t="s">
        <v>19473</v>
      </c>
      <c r="B1967" s="136"/>
      <c r="C1967" s="77"/>
      <c r="D1967" s="137"/>
      <c r="E1967" s="4"/>
      <c r="F1967" s="4"/>
      <c r="G1967" s="4"/>
      <c r="H1967" s="4"/>
      <c r="I1967" s="4"/>
      <c r="J1967" s="4"/>
      <c r="K1967" s="4"/>
      <c r="L1967" s="138"/>
      <c r="M1967" s="4"/>
      <c r="N1967" s="4"/>
      <c r="O1967" s="4"/>
    </row>
    <row r="1968" spans="1:15" s="1" customFormat="1" ht="11.45" customHeight="1" outlineLevel="4" x14ac:dyDescent="0.2">
      <c r="A1968" s="32" t="s">
        <v>19474</v>
      </c>
      <c r="B1968" s="74" t="s">
        <v>19475</v>
      </c>
      <c r="C1968" s="50"/>
      <c r="D1968" s="139">
        <f t="shared" si="30"/>
        <v>0</v>
      </c>
      <c r="E1968" s="140">
        <v>24.12</v>
      </c>
      <c r="F1968" s="140">
        <v>19.77</v>
      </c>
      <c r="G1968" s="34" t="s">
        <v>100</v>
      </c>
      <c r="H1968" s="34" t="s">
        <v>39</v>
      </c>
      <c r="I1968" s="35">
        <v>1</v>
      </c>
      <c r="J1968" s="35">
        <v>1</v>
      </c>
      <c r="K1968" s="35">
        <v>100</v>
      </c>
      <c r="L1968" s="60" t="str">
        <f>HYPERLINK("https://www.sds-group.ru/product/lampa-svetodiodnaya-reflektor-9-5vt-808lm-gu10-2700k-teplyy-svet-rexant-604-4000/", "Инфо")</f>
        <v>Инфо</v>
      </c>
      <c r="M1968" s="37">
        <v>3.3000000000000002E-2</v>
      </c>
      <c r="N1968" s="38">
        <v>2.1000000000000001E-4</v>
      </c>
      <c r="O1968" s="141">
        <v>4601004212213</v>
      </c>
    </row>
    <row r="1969" spans="1:15" s="1" customFormat="1" ht="11.45" customHeight="1" outlineLevel="4" x14ac:dyDescent="0.2">
      <c r="A1969" s="32" t="s">
        <v>19476</v>
      </c>
      <c r="B1969" s="74" t="s">
        <v>19477</v>
      </c>
      <c r="C1969" s="50"/>
      <c r="D1969" s="139">
        <f t="shared" si="30"/>
        <v>0</v>
      </c>
      <c r="E1969" s="140">
        <v>24.12</v>
      </c>
      <c r="F1969" s="140">
        <v>19.77</v>
      </c>
      <c r="G1969" s="34" t="s">
        <v>100</v>
      </c>
      <c r="H1969" s="34" t="s">
        <v>39</v>
      </c>
      <c r="I1969" s="35">
        <v>1</v>
      </c>
      <c r="J1969" s="35">
        <v>1</v>
      </c>
      <c r="K1969" s="35">
        <v>100</v>
      </c>
      <c r="L1969" s="60" t="str">
        <f>HYPERLINK("https://www.sds-group.ru/product/lampa-svetodiodnaya-reflektor-9-5vt-808lm-gu10-6500k-holodnyy-svet-rexant-604-4002/", "Инфо")</f>
        <v>Инфо</v>
      </c>
      <c r="M1969" s="37">
        <v>3.4000000000000002E-2</v>
      </c>
      <c r="N1969" s="38">
        <v>1.8799999999999999E-4</v>
      </c>
      <c r="O1969" s="141">
        <v>4601004209039</v>
      </c>
    </row>
    <row r="1970" spans="1:15" s="1" customFormat="1" ht="11.45" customHeight="1" outlineLevel="4" x14ac:dyDescent="0.2">
      <c r="A1970" s="32" t="s">
        <v>19478</v>
      </c>
      <c r="B1970" s="74" t="s">
        <v>19479</v>
      </c>
      <c r="C1970" s="50"/>
      <c r="D1970" s="139">
        <f t="shared" si="30"/>
        <v>0</v>
      </c>
      <c r="E1970" s="140">
        <v>41.06</v>
      </c>
      <c r="F1970" s="140">
        <v>33.659999999999997</v>
      </c>
      <c r="G1970" s="34" t="s">
        <v>100</v>
      </c>
      <c r="H1970" s="34" t="s">
        <v>39</v>
      </c>
      <c r="I1970" s="35">
        <v>1</v>
      </c>
      <c r="J1970" s="35">
        <v>1</v>
      </c>
      <c r="K1970" s="35">
        <v>100</v>
      </c>
      <c r="L1970" s="60" t="str">
        <f>HYPERLINK("https://www.sds-group.ru/product/lampa-svetodiodnaya-reflektor-r50-9-5vt-808lm-e14-4000k-neytralnyy-svet-rexant-604-4064/", "Инфо")</f>
        <v>Инфо</v>
      </c>
      <c r="M1970" s="37">
        <v>3.9E-2</v>
      </c>
      <c r="N1970" s="38">
        <v>2.6400000000000002E-4</v>
      </c>
      <c r="O1970" s="141">
        <v>4601004210899</v>
      </c>
    </row>
    <row r="1971" spans="1:15" ht="11.45" customHeight="1" outlineLevel="3" x14ac:dyDescent="0.2">
      <c r="A1971" s="76" t="s">
        <v>19480</v>
      </c>
      <c r="B1971" s="136"/>
      <c r="C1971" s="77"/>
      <c r="D1971" s="137"/>
      <c r="E1971" s="4"/>
      <c r="F1971" s="4"/>
      <c r="G1971" s="4"/>
      <c r="H1971" s="4"/>
      <c r="I1971" s="4"/>
      <c r="J1971" s="4"/>
      <c r="K1971" s="4"/>
      <c r="L1971" s="138"/>
      <c r="M1971" s="4"/>
      <c r="N1971" s="4"/>
      <c r="O1971" s="4"/>
    </row>
    <row r="1972" spans="1:15" s="1" customFormat="1" ht="11.45" customHeight="1" outlineLevel="4" x14ac:dyDescent="0.2">
      <c r="A1972" s="32" t="s">
        <v>19481</v>
      </c>
      <c r="B1972" s="74" t="s">
        <v>19482</v>
      </c>
      <c r="C1972" s="50"/>
      <c r="D1972" s="139">
        <f t="shared" si="30"/>
        <v>0</v>
      </c>
      <c r="E1972" s="140">
        <v>26.18</v>
      </c>
      <c r="F1972" s="140">
        <v>21.46</v>
      </c>
      <c r="G1972" s="34" t="s">
        <v>100</v>
      </c>
      <c r="H1972" s="34" t="s">
        <v>39</v>
      </c>
      <c r="I1972" s="35">
        <v>10</v>
      </c>
      <c r="J1972" s="35">
        <v>10</v>
      </c>
      <c r="K1972" s="35">
        <v>100</v>
      </c>
      <c r="L1972" s="60" t="str">
        <f>HYPERLINK("https://www.sds-group.ru/product/lampa-svetodiodnaya-gx53-tabletka-10-5vt-840lm-2700k-teplyy-svet-rexant-604-063/", "Инфо")</f>
        <v>Инфо</v>
      </c>
      <c r="M1972" s="37">
        <v>4.4999999999999998E-2</v>
      </c>
      <c r="N1972" s="38">
        <v>2.1100000000000001E-4</v>
      </c>
      <c r="O1972" s="141">
        <v>4601004167605</v>
      </c>
    </row>
    <row r="1973" spans="1:15" s="1" customFormat="1" ht="11.45" customHeight="1" outlineLevel="4" x14ac:dyDescent="0.2">
      <c r="A1973" s="32" t="s">
        <v>19483</v>
      </c>
      <c r="B1973" s="74" t="s">
        <v>19484</v>
      </c>
      <c r="C1973" s="50"/>
      <c r="D1973" s="139">
        <f t="shared" si="30"/>
        <v>0</v>
      </c>
      <c r="E1973" s="140">
        <v>24.7</v>
      </c>
      <c r="F1973" s="140">
        <v>20.25</v>
      </c>
      <c r="G1973" s="34" t="s">
        <v>100</v>
      </c>
      <c r="H1973" s="34" t="s">
        <v>39</v>
      </c>
      <c r="I1973" s="35">
        <v>10</v>
      </c>
      <c r="J1973" s="35">
        <v>10</v>
      </c>
      <c r="K1973" s="35">
        <v>100</v>
      </c>
      <c r="L1973" s="60" t="str">
        <f>HYPERLINK("https://www.sds-group.ru/product/lampa-svetodiodnaya-gx53-tabletka-15-5vt-1240lm-2700k-teplyy-svet-rexant-604-067/", "Инфо")</f>
        <v>Инфо</v>
      </c>
      <c r="M1973" s="37">
        <v>5.2999999999999999E-2</v>
      </c>
      <c r="N1973" s="38">
        <v>2.13E-4</v>
      </c>
      <c r="O1973" s="141">
        <v>4601004167629</v>
      </c>
    </row>
    <row r="1974" spans="1:15" ht="11.45" customHeight="1" outlineLevel="3" x14ac:dyDescent="0.2">
      <c r="A1974" s="76" t="s">
        <v>19485</v>
      </c>
      <c r="B1974" s="136"/>
      <c r="C1974" s="77"/>
      <c r="D1974" s="137"/>
      <c r="E1974" s="4"/>
      <c r="F1974" s="4"/>
      <c r="G1974" s="4"/>
      <c r="H1974" s="4"/>
      <c r="I1974" s="4"/>
      <c r="J1974" s="4"/>
      <c r="K1974" s="4"/>
      <c r="L1974" s="138"/>
      <c r="M1974" s="4"/>
      <c r="N1974" s="4"/>
      <c r="O1974" s="4"/>
    </row>
    <row r="1975" spans="1:15" s="1" customFormat="1" ht="11.45" customHeight="1" outlineLevel="4" x14ac:dyDescent="0.2">
      <c r="A1975" s="32" t="s">
        <v>19486</v>
      </c>
      <c r="B1975" s="74" t="s">
        <v>19487</v>
      </c>
      <c r="C1975" s="50"/>
      <c r="D1975" s="139">
        <f t="shared" si="30"/>
        <v>0</v>
      </c>
      <c r="E1975" s="140">
        <v>45.5</v>
      </c>
      <c r="F1975" s="140">
        <v>37.299999999999997</v>
      </c>
      <c r="G1975" s="34" t="s">
        <v>100</v>
      </c>
      <c r="H1975" s="34" t="s">
        <v>39</v>
      </c>
      <c r="I1975" s="35">
        <v>1</v>
      </c>
      <c r="J1975" s="35">
        <v>1</v>
      </c>
      <c r="K1975" s="35">
        <v>100</v>
      </c>
      <c r="L1975" s="60" t="str">
        <f>HYPERLINK("https://www.sds-group.ru/product/lampa-svetodiodnaya-matovaya-trubka-t8-25-5vt-2168lm-g13-2700k-1500mm-rexant-604-4057/", "Инфо")</f>
        <v>Инфо</v>
      </c>
      <c r="M1975" s="37">
        <v>0.23200000000000001</v>
      </c>
      <c r="N1975" s="38">
        <v>2.4239999999999999E-3</v>
      </c>
      <c r="O1975" s="141">
        <v>4601004210684</v>
      </c>
    </row>
    <row r="1976" spans="1:15" s="1" customFormat="1" ht="11.45" customHeight="1" outlineLevel="4" x14ac:dyDescent="0.2">
      <c r="A1976" s="32" t="s">
        <v>19488</v>
      </c>
      <c r="B1976" s="74" t="s">
        <v>19489</v>
      </c>
      <c r="C1976" s="50"/>
      <c r="D1976" s="139">
        <f t="shared" si="30"/>
        <v>0</v>
      </c>
      <c r="E1976" s="140">
        <v>48.23</v>
      </c>
      <c r="F1976" s="140">
        <v>39.53</v>
      </c>
      <c r="G1976" s="34" t="s">
        <v>100</v>
      </c>
      <c r="H1976" s="34" t="s">
        <v>39</v>
      </c>
      <c r="I1976" s="35">
        <v>30</v>
      </c>
      <c r="J1976" s="35">
        <v>30</v>
      </c>
      <c r="K1976" s="35">
        <v>30</v>
      </c>
      <c r="L1976" s="60" t="str">
        <f>HYPERLINK("https://www.sds-group.ru/product/lampa-svetodiodnaya-matovaya-trubka-t8-25-5vt-2168lm-g13-1500mm-4000k-neytralnyy-svet-rexan-604-4058/", "Инфо")</f>
        <v>Инфо</v>
      </c>
      <c r="M1976" s="37">
        <v>0.22600000000000001</v>
      </c>
      <c r="N1976" s="38">
        <v>2.3999999999999998E-3</v>
      </c>
      <c r="O1976" s="141">
        <v>4601004210714</v>
      </c>
    </row>
    <row r="1977" spans="1:15" ht="11.45" customHeight="1" outlineLevel="3" x14ac:dyDescent="0.2">
      <c r="A1977" s="76" t="s">
        <v>19490</v>
      </c>
      <c r="B1977" s="136"/>
      <c r="C1977" s="77"/>
      <c r="D1977" s="137"/>
      <c r="E1977" s="4"/>
      <c r="F1977" s="4"/>
      <c r="G1977" s="4"/>
      <c r="H1977" s="4"/>
      <c r="I1977" s="4"/>
      <c r="J1977" s="4"/>
      <c r="K1977" s="4"/>
      <c r="L1977" s="138"/>
      <c r="M1977" s="4"/>
      <c r="N1977" s="4"/>
      <c r="O1977" s="4"/>
    </row>
    <row r="1978" spans="1:15" s="1" customFormat="1" ht="11.45" customHeight="1" outlineLevel="4" x14ac:dyDescent="0.2">
      <c r="A1978" s="32" t="s">
        <v>19491</v>
      </c>
      <c r="B1978" s="74" t="s">
        <v>19492</v>
      </c>
      <c r="C1978" s="50"/>
      <c r="D1978" s="139">
        <f t="shared" si="30"/>
        <v>0</v>
      </c>
      <c r="E1978" s="140">
        <v>20.67</v>
      </c>
      <c r="F1978" s="140">
        <v>16.940000000000001</v>
      </c>
      <c r="G1978" s="34" t="s">
        <v>100</v>
      </c>
      <c r="H1978" s="34" t="s">
        <v>39</v>
      </c>
      <c r="I1978" s="35">
        <v>10</v>
      </c>
      <c r="J1978" s="35">
        <v>10</v>
      </c>
      <c r="K1978" s="35">
        <v>10</v>
      </c>
      <c r="L1978" s="60" t="str">
        <f>HYPERLINK("https://www.sds-group.ru/product/lampa-svetodiodnaya-kapsulnogo-tipa-jc-silicon-g4-12v-2vt-2700k-teplyy-svet-silikon-rexant-604-5006/", "Инфо")</f>
        <v>Инфо</v>
      </c>
      <c r="M1978" s="37">
        <v>6.0000000000000001E-3</v>
      </c>
      <c r="N1978" s="38">
        <v>3.4999999999999997E-5</v>
      </c>
      <c r="O1978" s="141">
        <v>4601004214552</v>
      </c>
    </row>
    <row r="1979" spans="1:15" s="1" customFormat="1" ht="11.45" customHeight="1" outlineLevel="4" x14ac:dyDescent="0.2">
      <c r="A1979" s="32" t="s">
        <v>19493</v>
      </c>
      <c r="B1979" s="74" t="s">
        <v>19494</v>
      </c>
      <c r="C1979" s="50"/>
      <c r="D1979" s="139">
        <f t="shared" si="30"/>
        <v>0</v>
      </c>
      <c r="E1979" s="140">
        <v>19.5</v>
      </c>
      <c r="F1979" s="140">
        <v>15.98</v>
      </c>
      <c r="G1979" s="34" t="s">
        <v>100</v>
      </c>
      <c r="H1979" s="34" t="s">
        <v>39</v>
      </c>
      <c r="I1979" s="35">
        <v>10</v>
      </c>
      <c r="J1979" s="35">
        <v>10</v>
      </c>
      <c r="K1979" s="35">
        <v>10</v>
      </c>
      <c r="L1979" s="60" t="str">
        <f>HYPERLINK("https://www.sds-group.ru/product/lampa-svetodiodnaya-kapsulnogo-tipa-jc-silicon-g4-220v-2vt-2700k-teplyy-svet-silikon-rexant-604-5009/", "Инфо")</f>
        <v>Инфо</v>
      </c>
      <c r="M1979" s="37">
        <v>7.0000000000000001E-3</v>
      </c>
      <c r="N1979" s="38">
        <v>4.6E-5</v>
      </c>
      <c r="O1979" s="141">
        <v>4601004214644</v>
      </c>
    </row>
    <row r="1980" spans="1:15" s="1" customFormat="1" ht="11.45" customHeight="1" outlineLevel="4" x14ac:dyDescent="0.2">
      <c r="A1980" s="32" t="s">
        <v>19495</v>
      </c>
      <c r="B1980" s="74" t="s">
        <v>19496</v>
      </c>
      <c r="C1980" s="50"/>
      <c r="D1980" s="139">
        <f t="shared" si="30"/>
        <v>0</v>
      </c>
      <c r="E1980" s="140">
        <v>25.35</v>
      </c>
      <c r="F1980" s="140">
        <v>20.78</v>
      </c>
      <c r="G1980" s="34" t="s">
        <v>100</v>
      </c>
      <c r="H1980" s="34" t="s">
        <v>39</v>
      </c>
      <c r="I1980" s="35">
        <v>10</v>
      </c>
      <c r="J1980" s="35">
        <v>10</v>
      </c>
      <c r="K1980" s="35">
        <v>10</v>
      </c>
      <c r="L1980" s="60" t="str">
        <f>HYPERLINK("https://www.sds-group.ru/product/lampa-svetodiodnaya-kapsulnogo-tipa-jd-corn-g4-230v-5-5vt-2700k-teplyy-svet-polikarbonat-re-604-5012/", "Инфо")</f>
        <v>Инфо</v>
      </c>
      <c r="M1980" s="37">
        <v>1.4E-2</v>
      </c>
      <c r="N1980" s="38">
        <v>4.5000000000000003E-5</v>
      </c>
      <c r="O1980" s="141">
        <v>4601004214736</v>
      </c>
    </row>
    <row r="1981" spans="1:15" s="1" customFormat="1" ht="11.45" customHeight="1" outlineLevel="4" x14ac:dyDescent="0.2">
      <c r="A1981" s="32" t="s">
        <v>19497</v>
      </c>
      <c r="B1981" s="74" t="s">
        <v>19498</v>
      </c>
      <c r="C1981" s="50"/>
      <c r="D1981" s="139">
        <f t="shared" si="30"/>
        <v>0</v>
      </c>
      <c r="E1981" s="140">
        <v>26.87</v>
      </c>
      <c r="F1981" s="140">
        <v>22.02</v>
      </c>
      <c r="G1981" s="34" t="s">
        <v>100</v>
      </c>
      <c r="H1981" s="34" t="s">
        <v>39</v>
      </c>
      <c r="I1981" s="35">
        <v>10</v>
      </c>
      <c r="J1981" s="35">
        <v>10</v>
      </c>
      <c r="K1981" s="35">
        <v>10</v>
      </c>
      <c r="L1981" s="60" t="str">
        <f>HYPERLINK("https://www.sds-group.ru/product/lampa-svetodiodnaya-kapsulnogo-tipa-jd-corn-g4-230v-5-5vt-4000k-neytralnyy-svet-polikarbona-604-5013/", "Инфо")</f>
        <v>Инфо</v>
      </c>
      <c r="M1981" s="37">
        <v>1.4E-2</v>
      </c>
      <c r="N1981" s="38">
        <v>4.6E-5</v>
      </c>
      <c r="O1981" s="141">
        <v>4601004214767</v>
      </c>
    </row>
    <row r="1982" spans="1:15" s="1" customFormat="1" ht="11.45" customHeight="1" outlineLevel="4" x14ac:dyDescent="0.2">
      <c r="A1982" s="32" t="s">
        <v>19499</v>
      </c>
      <c r="B1982" s="74" t="s">
        <v>19500</v>
      </c>
      <c r="C1982" s="50"/>
      <c r="D1982" s="139">
        <f t="shared" si="30"/>
        <v>0</v>
      </c>
      <c r="E1982" s="140">
        <v>25.35</v>
      </c>
      <c r="F1982" s="140">
        <v>20.78</v>
      </c>
      <c r="G1982" s="34" t="s">
        <v>100</v>
      </c>
      <c r="H1982" s="34" t="s">
        <v>39</v>
      </c>
      <c r="I1982" s="35">
        <v>10</v>
      </c>
      <c r="J1982" s="35">
        <v>10</v>
      </c>
      <c r="K1982" s="35">
        <v>10</v>
      </c>
      <c r="L1982" s="60" t="str">
        <f>HYPERLINK("https://www.sds-group.ru/product/lampa-svetodiodnaya-kapsulnogo-tipa-jd-corn-g9-230v-5vt-2700k-teplyy-svet-polikarbonat-rexa-604-5015/", "Инфо")</f>
        <v>Инфо</v>
      </c>
      <c r="M1982" s="37">
        <v>1.7999999999999999E-2</v>
      </c>
      <c r="N1982" s="38">
        <v>4.6E-5</v>
      </c>
      <c r="O1982" s="141">
        <v>4601004214828</v>
      </c>
    </row>
    <row r="1983" spans="1:15" s="1" customFormat="1" ht="11.45" customHeight="1" outlineLevel="4" x14ac:dyDescent="0.2">
      <c r="A1983" s="32" t="s">
        <v>19501</v>
      </c>
      <c r="B1983" s="74" t="s">
        <v>19502</v>
      </c>
      <c r="C1983" s="50"/>
      <c r="D1983" s="139">
        <f t="shared" si="30"/>
        <v>0</v>
      </c>
      <c r="E1983" s="140">
        <v>31.85</v>
      </c>
      <c r="F1983" s="140">
        <v>26.11</v>
      </c>
      <c r="G1983" s="34" t="s">
        <v>100</v>
      </c>
      <c r="H1983" s="34" t="s">
        <v>39</v>
      </c>
      <c r="I1983" s="35">
        <v>10</v>
      </c>
      <c r="J1983" s="35">
        <v>10</v>
      </c>
      <c r="K1983" s="35">
        <v>500</v>
      </c>
      <c r="L1983" s="60" t="str">
        <f>HYPERLINK("https://www.sds-group.ru/product/lampa-svetodiodnaya-kapsulnogo-tipa-jd-corn-g9-230v-7vt-2700k-teplyy-svet-polikarbonat-rexa-604-5018/", "Инфо")</f>
        <v>Инфо</v>
      </c>
      <c r="M1983" s="37">
        <v>3.1E-2</v>
      </c>
      <c r="N1983" s="38">
        <v>7.6000000000000004E-5</v>
      </c>
      <c r="O1983" s="141">
        <v>4601004214910</v>
      </c>
    </row>
    <row r="1984" spans="1:15" ht="11.45" customHeight="1" outlineLevel="3" x14ac:dyDescent="0.2">
      <c r="A1984" s="76" t="s">
        <v>19503</v>
      </c>
      <c r="B1984" s="136"/>
      <c r="C1984" s="77"/>
      <c r="D1984" s="137"/>
      <c r="E1984" s="4"/>
      <c r="F1984" s="4"/>
      <c r="G1984" s="4"/>
      <c r="H1984" s="4"/>
      <c r="I1984" s="4"/>
      <c r="J1984" s="4"/>
      <c r="K1984" s="4"/>
      <c r="L1984" s="138"/>
      <c r="M1984" s="4"/>
      <c r="N1984" s="4"/>
      <c r="O1984" s="4"/>
    </row>
    <row r="1985" spans="1:15" s="1" customFormat="1" ht="11.45" customHeight="1" outlineLevel="4" x14ac:dyDescent="0.2">
      <c r="A1985" s="32" t="s">
        <v>19504</v>
      </c>
      <c r="B1985" s="74" t="s">
        <v>19505</v>
      </c>
      <c r="C1985" s="50"/>
      <c r="D1985" s="139">
        <f t="shared" si="30"/>
        <v>0</v>
      </c>
      <c r="E1985" s="140">
        <v>64.349999999999994</v>
      </c>
      <c r="F1985" s="140">
        <v>52.75</v>
      </c>
      <c r="G1985" s="34" t="s">
        <v>100</v>
      </c>
      <c r="H1985" s="34" t="s">
        <v>39</v>
      </c>
      <c r="I1985" s="35">
        <v>1</v>
      </c>
      <c r="J1985" s="35">
        <v>1</v>
      </c>
      <c r="K1985" s="35">
        <v>100</v>
      </c>
      <c r="L1985" s="60" t="str">
        <f>HYPERLINK("https://www.sds-group.ru/product/lampa-svetodiodnaya-dlya-rasteniy-grib-reflektor-r90-17-5-vt-27-mkmol-s-e27-rexant-604-156/", "Инфо")</f>
        <v>Инфо</v>
      </c>
      <c r="M1985" s="37">
        <v>0.14599999999999999</v>
      </c>
      <c r="N1985" s="38">
        <v>1.3470000000000001E-3</v>
      </c>
      <c r="O1985" s="141">
        <v>4601004278486</v>
      </c>
    </row>
    <row r="1986" spans="1:15" s="1" customFormat="1" ht="11.45" customHeight="1" outlineLevel="4" x14ac:dyDescent="0.2">
      <c r="A1986" s="32" t="s">
        <v>19506</v>
      </c>
      <c r="B1986" s="74" t="s">
        <v>19507</v>
      </c>
      <c r="C1986" s="50"/>
      <c r="D1986" s="139">
        <f t="shared" si="30"/>
        <v>0</v>
      </c>
      <c r="E1986" s="140">
        <v>94.72</v>
      </c>
      <c r="F1986" s="140">
        <v>77.64</v>
      </c>
      <c r="G1986" s="34" t="s">
        <v>100</v>
      </c>
      <c r="H1986" s="34" t="s">
        <v>39</v>
      </c>
      <c r="I1986" s="35">
        <v>10</v>
      </c>
      <c r="J1986" s="35">
        <v>10</v>
      </c>
      <c r="K1986" s="35">
        <v>100</v>
      </c>
      <c r="L1986" s="60" t="str">
        <f>HYPERLINK("https://www.sds-group.ru/product/lampa-filamentnaya-dlya-rasteniy-grusha-a60-11-5vt-18-mikromol-s-e27-rexant-24998/", "Инфо")</f>
        <v>Инфо</v>
      </c>
      <c r="M1986" s="37">
        <v>5.3999999999999999E-2</v>
      </c>
      <c r="N1986" s="38">
        <v>5.1599999999999997E-4</v>
      </c>
      <c r="O1986" s="141">
        <v>4601004186545</v>
      </c>
    </row>
    <row r="1987" spans="1:15" ht="11.45" customHeight="1" outlineLevel="2" x14ac:dyDescent="0.2">
      <c r="A1987" s="76" t="s">
        <v>19530</v>
      </c>
      <c r="B1987" s="136"/>
      <c r="C1987" s="77"/>
      <c r="D1987" s="137"/>
      <c r="E1987" s="4"/>
      <c r="F1987" s="4"/>
      <c r="G1987" s="4"/>
      <c r="H1987" s="4"/>
      <c r="I1987" s="4"/>
      <c r="J1987" s="4"/>
      <c r="K1987" s="4"/>
      <c r="L1987" s="138"/>
      <c r="M1987" s="4"/>
      <c r="N1987" s="4"/>
      <c r="O1987" s="4"/>
    </row>
    <row r="1988" spans="1:15" ht="11.45" customHeight="1" outlineLevel="3" x14ac:dyDescent="0.2">
      <c r="A1988" s="76" t="s">
        <v>19558</v>
      </c>
      <c r="B1988" s="136"/>
      <c r="C1988" s="77"/>
      <c r="D1988" s="137"/>
      <c r="E1988" s="4"/>
      <c r="F1988" s="4"/>
      <c r="G1988" s="4"/>
      <c r="H1988" s="4"/>
      <c r="I1988" s="4"/>
      <c r="J1988" s="4"/>
      <c r="K1988" s="4"/>
      <c r="L1988" s="138"/>
      <c r="M1988" s="4"/>
      <c r="N1988" s="4"/>
      <c r="O1988" s="4"/>
    </row>
    <row r="1989" spans="1:15" s="1" customFormat="1" ht="11.45" customHeight="1" outlineLevel="4" x14ac:dyDescent="0.2">
      <c r="A1989" s="32" t="s">
        <v>19559</v>
      </c>
      <c r="B1989" s="74" t="s">
        <v>19560</v>
      </c>
      <c r="C1989" s="50"/>
      <c r="D1989" s="139">
        <f t="shared" si="30"/>
        <v>0</v>
      </c>
      <c r="E1989" s="140">
        <v>300.27</v>
      </c>
      <c r="F1989" s="140">
        <v>246.12</v>
      </c>
      <c r="G1989" s="34" t="s">
        <v>100</v>
      </c>
      <c r="H1989" s="34" t="s">
        <v>39</v>
      </c>
      <c r="I1989" s="35">
        <v>1</v>
      </c>
      <c r="J1989" s="35">
        <v>1</v>
      </c>
      <c r="K1989" s="35">
        <v>20</v>
      </c>
      <c r="L1989" s="60" t="str">
        <f>HYPERLINK("https://www.sds-group.ru/product/svetilnik-lineynyy-pylevlagozaschischennyy-ssp-ip65-18vt-185-265v-6500k-holodnyy-svet-0-6m-r-607-019/", "Инфо")</f>
        <v>Инфо</v>
      </c>
      <c r="M1989" s="37">
        <v>0.26700000000000002</v>
      </c>
      <c r="N1989" s="38">
        <v>1.6639999999999999E-3</v>
      </c>
      <c r="O1989" s="141">
        <v>4601004168503</v>
      </c>
    </row>
    <row r="1990" spans="1:15" s="1" customFormat="1" ht="11.45" customHeight="1" outlineLevel="4" x14ac:dyDescent="0.2">
      <c r="A1990" s="32" t="s">
        <v>19561</v>
      </c>
      <c r="B1990" s="74" t="s">
        <v>19562</v>
      </c>
      <c r="C1990" s="50"/>
      <c r="D1990" s="139">
        <f t="shared" si="30"/>
        <v>0</v>
      </c>
      <c r="E1990" s="140">
        <v>304.8</v>
      </c>
      <c r="F1990" s="140">
        <v>249.84</v>
      </c>
      <c r="G1990" s="34" t="s">
        <v>100</v>
      </c>
      <c r="H1990" s="34" t="s">
        <v>39</v>
      </c>
      <c r="I1990" s="35">
        <v>1</v>
      </c>
      <c r="J1990" s="35">
        <v>1</v>
      </c>
      <c r="K1990" s="35">
        <v>20</v>
      </c>
      <c r="L1990" s="60" t="str">
        <f>HYPERLINK("https://www.sds-group.ru/product/svetilnik-lineynyy-pylevlagozaschischennyy-ssp2-ip65-18vt-185-265v-6500k-holodnyy-svet-0-6m--607-009/", "Инфо")</f>
        <v>Инфо</v>
      </c>
      <c r="M1990" s="37">
        <v>0.27900000000000003</v>
      </c>
      <c r="N1990" s="38">
        <v>1.7539999999999999E-3</v>
      </c>
      <c r="O1990" s="141">
        <v>4601004168497</v>
      </c>
    </row>
    <row r="1991" spans="1:15" ht="11.45" customHeight="1" outlineLevel="3" x14ac:dyDescent="0.2">
      <c r="A1991" s="76" t="s">
        <v>19572</v>
      </c>
      <c r="B1991" s="136"/>
      <c r="C1991" s="77"/>
      <c r="D1991" s="137"/>
      <c r="E1991" s="4"/>
      <c r="F1991" s="4"/>
      <c r="G1991" s="4"/>
      <c r="H1991" s="4"/>
      <c r="I1991" s="4"/>
      <c r="J1991" s="4"/>
      <c r="K1991" s="4"/>
      <c r="L1991" s="138"/>
      <c r="M1991" s="4"/>
      <c r="N1991" s="4"/>
      <c r="O1991" s="4"/>
    </row>
    <row r="1992" spans="1:15" s="1" customFormat="1" ht="11.45" customHeight="1" outlineLevel="4" x14ac:dyDescent="0.2">
      <c r="A1992" s="32" t="s">
        <v>19621</v>
      </c>
      <c r="B1992" s="74" t="s">
        <v>19622</v>
      </c>
      <c r="C1992" s="50"/>
      <c r="D1992" s="139">
        <f t="shared" si="30"/>
        <v>0</v>
      </c>
      <c r="E1992" s="140">
        <v>248.29</v>
      </c>
      <c r="F1992" s="140">
        <v>203.52</v>
      </c>
      <c r="G1992" s="34" t="s">
        <v>100</v>
      </c>
      <c r="H1992" s="34" t="s">
        <v>39</v>
      </c>
      <c r="I1992" s="35">
        <v>1</v>
      </c>
      <c r="J1992" s="35">
        <v>1</v>
      </c>
      <c r="K1992" s="35">
        <v>20</v>
      </c>
      <c r="L1992" s="60" t="str">
        <f>HYPERLINK("https://www.sds-group.ru/product/svetilnik-zhkh-03-pod-lampu-krug-190x85mm-ip65-rexant-621-1128/", "Инфо")</f>
        <v>Инфо</v>
      </c>
      <c r="M1992" s="37">
        <v>0.64900000000000002</v>
      </c>
      <c r="N1992" s="38">
        <v>3.0699999999999998E-3</v>
      </c>
      <c r="O1992" s="141">
        <v>4601004277311</v>
      </c>
    </row>
    <row r="1993" spans="1:15" s="1" customFormat="1" ht="11.45" customHeight="1" outlineLevel="4" x14ac:dyDescent="0.2">
      <c r="A1993" s="32" t="s">
        <v>19623</v>
      </c>
      <c r="B1993" s="74" t="s">
        <v>19624</v>
      </c>
      <c r="C1993" s="50"/>
      <c r="D1993" s="139">
        <f t="shared" si="30"/>
        <v>0</v>
      </c>
      <c r="E1993" s="140">
        <v>379.48</v>
      </c>
      <c r="F1993" s="140">
        <v>311.05</v>
      </c>
      <c r="G1993" s="34" t="s">
        <v>100</v>
      </c>
      <c r="H1993" s="34" t="s">
        <v>39</v>
      </c>
      <c r="I1993" s="35">
        <v>1</v>
      </c>
      <c r="J1993" s="35">
        <v>1</v>
      </c>
      <c r="K1993" s="35">
        <v>20</v>
      </c>
      <c r="L1993" s="60" t="str">
        <f>HYPERLINK("https://www.sds-group.ru/product/svetilnik-zhkh-03-pod-lampu-krug-250h105mm-ip65-rexant-621-1129/", "Инфо")</f>
        <v>Инфо</v>
      </c>
      <c r="M1993" s="37">
        <v>1.292</v>
      </c>
      <c r="N1993" s="38">
        <v>6.8659999999999997E-3</v>
      </c>
      <c r="O1993" s="141">
        <v>4601004277328</v>
      </c>
    </row>
    <row r="1994" spans="1:15" ht="11.45" customHeight="1" outlineLevel="3" x14ac:dyDescent="0.2">
      <c r="A1994" s="76" t="s">
        <v>19625</v>
      </c>
      <c r="B1994" s="136"/>
      <c r="C1994" s="77"/>
      <c r="D1994" s="137"/>
      <c r="E1994" s="4"/>
      <c r="F1994" s="4"/>
      <c r="G1994" s="4"/>
      <c r="H1994" s="4"/>
      <c r="I1994" s="4"/>
      <c r="J1994" s="4"/>
      <c r="K1994" s="4"/>
      <c r="L1994" s="138"/>
      <c r="M1994" s="4"/>
      <c r="N1994" s="4"/>
      <c r="O1994" s="4"/>
    </row>
    <row r="1995" spans="1:15" s="1" customFormat="1" ht="11.45" customHeight="1" outlineLevel="4" x14ac:dyDescent="0.2">
      <c r="A1995" s="32" t="s">
        <v>19626</v>
      </c>
      <c r="B1995" s="74" t="s">
        <v>19627</v>
      </c>
      <c r="C1995" s="50"/>
      <c r="D1995" s="139">
        <f t="shared" ref="D1995:D2056" si="31">C1995*E1995</f>
        <v>0</v>
      </c>
      <c r="E1995" s="140">
        <v>137.11000000000001</v>
      </c>
      <c r="F1995" s="140">
        <v>112.39</v>
      </c>
      <c r="G1995" s="34" t="s">
        <v>100</v>
      </c>
      <c r="H1995" s="34" t="s">
        <v>39</v>
      </c>
      <c r="I1995" s="35">
        <v>1</v>
      </c>
      <c r="J1995" s="35">
        <v>1</v>
      </c>
      <c r="K1995" s="35">
        <v>25</v>
      </c>
      <c r="L1995" s="60" t="str">
        <f>HYPERLINK("https://www.sds-group.ru/product/svetilnik-lineynyy-t5-16vt-ip20-4000k-neytralnyy-svet-1179mm-s-vyklyuchatelem-i-soedinitelem-607-217/", "Инфо")</f>
        <v>Инфо</v>
      </c>
      <c r="M1995" s="37">
        <v>0.23400000000000001</v>
      </c>
      <c r="N1995" s="38">
        <v>1.4E-3</v>
      </c>
      <c r="O1995" s="141">
        <v>4601004177697</v>
      </c>
    </row>
    <row r="1996" spans="1:15" s="1" customFormat="1" ht="11.45" customHeight="1" outlineLevel="4" x14ac:dyDescent="0.2">
      <c r="A1996" s="32" t="s">
        <v>19628</v>
      </c>
      <c r="B1996" s="74" t="s">
        <v>19629</v>
      </c>
      <c r="C1996" s="50"/>
      <c r="D1996" s="139">
        <f t="shared" si="31"/>
        <v>0</v>
      </c>
      <c r="E1996" s="140">
        <v>137.11000000000001</v>
      </c>
      <c r="F1996" s="140">
        <v>112.39</v>
      </c>
      <c r="G1996" s="34" t="s">
        <v>100</v>
      </c>
      <c r="H1996" s="34" t="s">
        <v>39</v>
      </c>
      <c r="I1996" s="35">
        <v>1</v>
      </c>
      <c r="J1996" s="35">
        <v>1</v>
      </c>
      <c r="K1996" s="35">
        <v>25</v>
      </c>
      <c r="L1996" s="60" t="str">
        <f>HYPERLINK("https://www.sds-group.ru/product/svetilnik-lineynyy-t5-16vt-ip20-6500k-holodnyy-svet-1179-mm-s-vyklyuchatelem-i-soedinitelem--607-218/", "Инфо")</f>
        <v>Инфо</v>
      </c>
      <c r="M1996" s="37">
        <v>0.23699999999999999</v>
      </c>
      <c r="N1996" s="38">
        <v>1.397E-3</v>
      </c>
      <c r="O1996" s="141">
        <v>4601004177710</v>
      </c>
    </row>
    <row r="1997" spans="1:15" ht="11.45" customHeight="1" outlineLevel="3" x14ac:dyDescent="0.2">
      <c r="A1997" s="76" t="s">
        <v>19630</v>
      </c>
      <c r="B1997" s="136"/>
      <c r="C1997" s="77"/>
      <c r="D1997" s="137"/>
      <c r="E1997" s="4"/>
      <c r="F1997" s="4"/>
      <c r="G1997" s="4"/>
      <c r="H1997" s="4"/>
      <c r="I1997" s="4"/>
      <c r="J1997" s="4"/>
      <c r="K1997" s="4"/>
      <c r="L1997" s="138"/>
      <c r="M1997" s="4"/>
      <c r="N1997" s="4"/>
      <c r="O1997" s="4"/>
    </row>
    <row r="1998" spans="1:15" s="1" customFormat="1" ht="11.45" customHeight="1" outlineLevel="4" x14ac:dyDescent="0.2">
      <c r="A1998" s="32" t="s">
        <v>19631</v>
      </c>
      <c r="B1998" s="74" t="s">
        <v>19632</v>
      </c>
      <c r="C1998" s="50"/>
      <c r="D1998" s="139">
        <f t="shared" si="31"/>
        <v>0</v>
      </c>
      <c r="E1998" s="140">
        <v>274.91000000000003</v>
      </c>
      <c r="F1998" s="140">
        <v>225.34</v>
      </c>
      <c r="G1998" s="34" t="s">
        <v>100</v>
      </c>
      <c r="H1998" s="34" t="s">
        <v>39</v>
      </c>
      <c r="I1998" s="35">
        <v>1</v>
      </c>
      <c r="J1998" s="35">
        <v>1</v>
      </c>
      <c r="K1998" s="35">
        <v>20</v>
      </c>
      <c r="L1998" s="60" t="str">
        <f>HYPERLINK("https://www.sds-group.ru/product/svetilnik-dpo-pod-svetodiodnuyu-lampu-2ht8-1200mm-ip20-bez-pra-rexant-621-1125/", "Инфо")</f>
        <v>Инфо</v>
      </c>
      <c r="M1998" s="37">
        <v>0.67600000000000005</v>
      </c>
      <c r="N1998" s="38">
        <v>8.1600000000000006E-3</v>
      </c>
      <c r="O1998" s="141">
        <v>4601004265981</v>
      </c>
    </row>
    <row r="1999" spans="1:15" s="1" customFormat="1" ht="11.45" customHeight="1" outlineLevel="4" x14ac:dyDescent="0.2">
      <c r="A1999" s="32" t="s">
        <v>19633</v>
      </c>
      <c r="B1999" s="74" t="s">
        <v>19634</v>
      </c>
      <c r="C1999" s="50"/>
      <c r="D1999" s="139">
        <f t="shared" si="31"/>
        <v>0</v>
      </c>
      <c r="E1999" s="140">
        <v>155.35</v>
      </c>
      <c r="F1999" s="140">
        <v>127.34</v>
      </c>
      <c r="G1999" s="34" t="s">
        <v>100</v>
      </c>
      <c r="H1999" s="34" t="s">
        <v>39</v>
      </c>
      <c r="I1999" s="35">
        <v>1</v>
      </c>
      <c r="J1999" s="35">
        <v>1</v>
      </c>
      <c r="K1999" s="35">
        <v>12</v>
      </c>
      <c r="L1999" s="60" t="str">
        <f>HYPERLINK("https://www.sds-group.ru/product/svetilnik-dpo-pod-svetodiodnuyu-lampu-2ht8-600mm-ip20-bez-pra-rexant-621-1124/", "Инфо")</f>
        <v>Инфо</v>
      </c>
      <c r="M1999" s="37">
        <v>0.36599999999999999</v>
      </c>
      <c r="N1999" s="38">
        <v>4.4159999999999998E-3</v>
      </c>
      <c r="O1999" s="141">
        <v>4601004265974</v>
      </c>
    </row>
    <row r="2000" spans="1:15" ht="11.45" customHeight="1" outlineLevel="2" x14ac:dyDescent="0.2">
      <c r="A2000" s="82" t="s">
        <v>19635</v>
      </c>
      <c r="B2000" s="142"/>
      <c r="C2000" s="83"/>
      <c r="D2000" s="143"/>
      <c r="E2000" s="5"/>
      <c r="F2000" s="5"/>
      <c r="G2000" s="5"/>
      <c r="H2000" s="5"/>
      <c r="I2000" s="5"/>
      <c r="J2000" s="5"/>
      <c r="K2000" s="5"/>
      <c r="L2000" s="144"/>
      <c r="M2000" s="5"/>
      <c r="N2000" s="5"/>
      <c r="O2000" s="5"/>
    </row>
    <row r="2001" spans="1:15" s="1" customFormat="1" ht="11.45" customHeight="1" outlineLevel="3" x14ac:dyDescent="0.2">
      <c r="A2001" s="32" t="s">
        <v>19638</v>
      </c>
      <c r="B2001" s="74" t="s">
        <v>19639</v>
      </c>
      <c r="C2001" s="50"/>
      <c r="D2001" s="139">
        <f t="shared" si="31"/>
        <v>0</v>
      </c>
      <c r="E2001" s="140">
        <v>76.959999999999994</v>
      </c>
      <c r="F2001" s="140">
        <v>63.08</v>
      </c>
      <c r="G2001" s="34" t="s">
        <v>100</v>
      </c>
      <c r="H2001" s="34" t="s">
        <v>1001</v>
      </c>
      <c r="I2001" s="35">
        <v>1</v>
      </c>
      <c r="J2001" s="35">
        <v>1</v>
      </c>
      <c r="K2001" s="35">
        <v>30</v>
      </c>
      <c r="L2001" s="60" t="str">
        <f>HYPERLINK("https://www.sds-group.ru/product/komplekt-2sht-up-nochnik-svetodiodnyy-lunnaya-noch-blue-pitanie-ot-seti-ac-230-v-50-gts-75-0311-1/", "Инфо")</f>
        <v>Инфо</v>
      </c>
      <c r="M2001" s="37">
        <v>0.111</v>
      </c>
      <c r="N2001" s="38">
        <v>1.085E-3</v>
      </c>
      <c r="O2001" s="141">
        <v>4601004261150</v>
      </c>
    </row>
    <row r="2002" spans="1:15" s="1" customFormat="1" ht="11.45" customHeight="1" outlineLevel="3" x14ac:dyDescent="0.2">
      <c r="A2002" s="32" t="s">
        <v>19640</v>
      </c>
      <c r="B2002" s="74" t="s">
        <v>19641</v>
      </c>
      <c r="C2002" s="50"/>
      <c r="D2002" s="139">
        <f t="shared" si="31"/>
        <v>0</v>
      </c>
      <c r="E2002" s="140">
        <v>86.35</v>
      </c>
      <c r="F2002" s="140">
        <v>70.78</v>
      </c>
      <c r="G2002" s="34" t="s">
        <v>100</v>
      </c>
      <c r="H2002" s="34" t="s">
        <v>1001</v>
      </c>
      <c r="I2002" s="35">
        <v>1</v>
      </c>
      <c r="J2002" s="35">
        <v>1</v>
      </c>
      <c r="K2002" s="35">
        <v>10</v>
      </c>
      <c r="L2002" s="60" t="str">
        <f>HYPERLINK("https://www.sds-group.ru/product/komplekt-2sht-up-nochnik-svetodiodnyy-mahaon-belyy-pitanie-ot-seti-ac-230-v-50-gts-75-0316-1/", "Инфо")</f>
        <v>Инфо</v>
      </c>
      <c r="M2002" s="37">
        <v>0.14699999999999999</v>
      </c>
      <c r="N2002" s="38">
        <v>2.2590000000000002E-3</v>
      </c>
      <c r="O2002" s="141">
        <v>4601004261167</v>
      </c>
    </row>
    <row r="2003" spans="1:15" s="1" customFormat="1" ht="11.45" customHeight="1" outlineLevel="3" x14ac:dyDescent="0.2">
      <c r="A2003" s="32" t="s">
        <v>19642</v>
      </c>
      <c r="B2003" s="74" t="s">
        <v>19643</v>
      </c>
      <c r="C2003" s="50"/>
      <c r="D2003" s="139">
        <f t="shared" si="31"/>
        <v>0</v>
      </c>
      <c r="E2003" s="140">
        <v>13.78</v>
      </c>
      <c r="F2003" s="140">
        <v>11.3</v>
      </c>
      <c r="G2003" s="34" t="s">
        <v>100</v>
      </c>
      <c r="H2003" s="34" t="s">
        <v>39</v>
      </c>
      <c r="I2003" s="35">
        <v>1</v>
      </c>
      <c r="J2003" s="35">
        <v>1</v>
      </c>
      <c r="K2003" s="35">
        <v>60</v>
      </c>
      <c r="L2003" s="60" t="str">
        <f>HYPERLINK("https://www.sds-group.ru/product/nochnik-svetodiodnyy-lunnaya-noch-beloe-svechenie-230v-rexant-75-0310/", "Инфо")</f>
        <v>Инфо</v>
      </c>
      <c r="M2003" s="37">
        <v>5.2999999999999999E-2</v>
      </c>
      <c r="N2003" s="38">
        <v>6.7299999999999999E-4</v>
      </c>
      <c r="O2003" s="141">
        <v>4601004182301</v>
      </c>
    </row>
    <row r="2004" spans="1:15" s="1" customFormat="1" ht="11.45" customHeight="1" outlineLevel="3" x14ac:dyDescent="0.2">
      <c r="A2004" s="32" t="s">
        <v>19644</v>
      </c>
      <c r="B2004" s="74" t="s">
        <v>19645</v>
      </c>
      <c r="C2004" s="50"/>
      <c r="D2004" s="139">
        <f t="shared" si="31"/>
        <v>0</v>
      </c>
      <c r="E2004" s="140">
        <v>13.78</v>
      </c>
      <c r="F2004" s="140">
        <v>11.3</v>
      </c>
      <c r="G2004" s="34" t="s">
        <v>100</v>
      </c>
      <c r="H2004" s="34" t="s">
        <v>39</v>
      </c>
      <c r="I2004" s="35">
        <v>1</v>
      </c>
      <c r="J2004" s="35">
        <v>1</v>
      </c>
      <c r="K2004" s="35">
        <v>60</v>
      </c>
      <c r="L2004" s="60" t="str">
        <f>HYPERLINK("https://www.sds-group.ru/product/nochnik-svetodiodnyy-parus-odinokiy-beloe-svechenie-230v-rexant-75-0312/", "Инфо")</f>
        <v>Инфо</v>
      </c>
      <c r="M2004" s="37">
        <v>5.7000000000000002E-2</v>
      </c>
      <c r="N2004" s="38">
        <v>6.7000000000000002E-4</v>
      </c>
      <c r="O2004" s="141">
        <v>4601004182226</v>
      </c>
    </row>
    <row r="2005" spans="1:15" s="1" customFormat="1" ht="11.45" customHeight="1" outlineLevel="3" x14ac:dyDescent="0.2">
      <c r="A2005" s="32" t="s">
        <v>19646</v>
      </c>
      <c r="B2005" s="74" t="s">
        <v>19647</v>
      </c>
      <c r="C2005" s="50"/>
      <c r="D2005" s="139">
        <f t="shared" si="31"/>
        <v>0</v>
      </c>
      <c r="E2005" s="140">
        <v>13.78</v>
      </c>
      <c r="F2005" s="140">
        <v>11.3</v>
      </c>
      <c r="G2005" s="34" t="s">
        <v>100</v>
      </c>
      <c r="H2005" s="34" t="s">
        <v>39</v>
      </c>
      <c r="I2005" s="35">
        <v>1</v>
      </c>
      <c r="J2005" s="35">
        <v>1</v>
      </c>
      <c r="K2005" s="35">
        <v>60</v>
      </c>
      <c r="L2005" s="60" t="str">
        <f>HYPERLINK("https://www.sds-group.ru/product/nochnik-svetodiodnyy-parus-odinokiy-goluboe-svechenie-230v-rexant-75-0313/", "Инфо")</f>
        <v>Инфо</v>
      </c>
      <c r="M2005" s="37">
        <v>5.6000000000000001E-2</v>
      </c>
      <c r="N2005" s="38">
        <v>6.4300000000000002E-4</v>
      </c>
      <c r="O2005" s="141">
        <v>4601004182233</v>
      </c>
    </row>
    <row r="2006" spans="1:15" s="1" customFormat="1" ht="11.45" customHeight="1" outlineLevel="3" x14ac:dyDescent="0.2">
      <c r="A2006" s="32" t="s">
        <v>19648</v>
      </c>
      <c r="B2006" s="74" t="s">
        <v>19649</v>
      </c>
      <c r="C2006" s="50"/>
      <c r="D2006" s="139">
        <f t="shared" si="31"/>
        <v>0</v>
      </c>
      <c r="E2006" s="140">
        <v>13.78</v>
      </c>
      <c r="F2006" s="140">
        <v>11.3</v>
      </c>
      <c r="G2006" s="34" t="s">
        <v>100</v>
      </c>
      <c r="H2006" s="34" t="s">
        <v>39</v>
      </c>
      <c r="I2006" s="35">
        <v>1</v>
      </c>
      <c r="J2006" s="35">
        <v>1</v>
      </c>
      <c r="K2006" s="35">
        <v>60</v>
      </c>
      <c r="L2006" s="60" t="str">
        <f>HYPERLINK("https://www.sds-group.ru/product/nochnik-svetodiodnyy-romashka-hameleon-svechenie-multikolor-7-tsvetov-230v-rexant-75-0318/", "Инфо")</f>
        <v>Инфо</v>
      </c>
      <c r="M2006" s="37">
        <v>0.06</v>
      </c>
      <c r="N2006" s="38">
        <v>6.38E-4</v>
      </c>
      <c r="O2006" s="141">
        <v>4601004182288</v>
      </c>
    </row>
    <row r="2007" spans="1:15" s="1" customFormat="1" ht="11.45" customHeight="1" outlineLevel="3" x14ac:dyDescent="0.2">
      <c r="A2007" s="32" t="s">
        <v>19650</v>
      </c>
      <c r="B2007" s="74" t="s">
        <v>19651</v>
      </c>
      <c r="C2007" s="50"/>
      <c r="D2007" s="139">
        <f t="shared" si="31"/>
        <v>0</v>
      </c>
      <c r="E2007" s="140">
        <v>66.33</v>
      </c>
      <c r="F2007" s="140">
        <v>54.37</v>
      </c>
      <c r="G2007" s="34" t="s">
        <v>100</v>
      </c>
      <c r="H2007" s="34" t="s">
        <v>39</v>
      </c>
      <c r="I2007" s="35">
        <v>1</v>
      </c>
      <c r="J2007" s="35">
        <v>1</v>
      </c>
      <c r="K2007" s="35">
        <v>60</v>
      </c>
      <c r="L2007" s="60" t="str">
        <f>HYPERLINK("https://www.sds-group.ru/product/nochnik-svetodiodnyy-snezhinka-hameleon-svechenie-multikolor-7-tsvetov-230v-rexant-75-0317/", "Инфо")</f>
        <v>Инфо</v>
      </c>
      <c r="M2007" s="37">
        <v>6.7000000000000004E-2</v>
      </c>
      <c r="N2007" s="38">
        <v>6.3400000000000001E-4</v>
      </c>
      <c r="O2007" s="141">
        <v>4601004182271</v>
      </c>
    </row>
    <row r="2008" spans="1:15" s="1" customFormat="1" ht="11.45" customHeight="1" outlineLevel="3" x14ac:dyDescent="0.2">
      <c r="A2008" s="32" t="s">
        <v>19652</v>
      </c>
      <c r="B2008" s="74" t="s">
        <v>19653</v>
      </c>
      <c r="C2008" s="50"/>
      <c r="D2008" s="139">
        <f t="shared" si="31"/>
        <v>0</v>
      </c>
      <c r="E2008" s="140">
        <v>530.09</v>
      </c>
      <c r="F2008" s="140">
        <v>434.5</v>
      </c>
      <c r="G2008" s="34" t="s">
        <v>100</v>
      </c>
      <c r="H2008" s="34" t="s">
        <v>39</v>
      </c>
      <c r="I2008" s="35">
        <v>1</v>
      </c>
      <c r="J2008" s="35">
        <v>1</v>
      </c>
      <c r="K2008" s="35">
        <v>12</v>
      </c>
      <c r="L2008" s="60" t="str">
        <f>HYPERLINK("https://www.sds-group.ru/product/nochnik-svetodiodnyy-steklyannyy-medved-rexant-75-0603/", "Инфо")</f>
        <v>Инфо</v>
      </c>
      <c r="M2008" s="37">
        <v>0.28899999999999998</v>
      </c>
      <c r="N2008" s="38">
        <v>3.0309999999999998E-3</v>
      </c>
      <c r="O2008" s="141">
        <v>4601004302600</v>
      </c>
    </row>
    <row r="2009" spans="1:15" s="1" customFormat="1" ht="11.45" customHeight="1" outlineLevel="3" x14ac:dyDescent="0.2">
      <c r="A2009" s="32" t="s">
        <v>19655</v>
      </c>
      <c r="B2009" s="74" t="s">
        <v>19656</v>
      </c>
      <c r="C2009" s="50"/>
      <c r="D2009" s="139">
        <f t="shared" si="31"/>
        <v>0</v>
      </c>
      <c r="E2009" s="140">
        <v>13.78</v>
      </c>
      <c r="F2009" s="140">
        <v>11.3</v>
      </c>
      <c r="G2009" s="34" t="s">
        <v>100</v>
      </c>
      <c r="H2009" s="34" t="s">
        <v>39</v>
      </c>
      <c r="I2009" s="35">
        <v>1</v>
      </c>
      <c r="J2009" s="35">
        <v>1</v>
      </c>
      <c r="K2009" s="35">
        <v>60</v>
      </c>
      <c r="L2009" s="60" t="str">
        <f>HYPERLINK("https://www.sds-group.ru/product/nochnik-svetodiodnyy-fakel-hameleon-svechenie-multikolor-7-tsvetov-230v-rexant-75-0319/", "Инфо")</f>
        <v>Инфо</v>
      </c>
      <c r="M2009" s="37">
        <v>6.6000000000000003E-2</v>
      </c>
      <c r="N2009" s="38">
        <v>6.6799999999999997E-4</v>
      </c>
      <c r="O2009" s="141">
        <v>4601004182295</v>
      </c>
    </row>
    <row r="2010" spans="1:15" s="1" customFormat="1" ht="11.45" customHeight="1" outlineLevel="3" x14ac:dyDescent="0.2">
      <c r="A2010" s="32" t="s">
        <v>19657</v>
      </c>
      <c r="B2010" s="74" t="s">
        <v>19658</v>
      </c>
      <c r="C2010" s="50"/>
      <c r="D2010" s="139">
        <f t="shared" si="31"/>
        <v>0</v>
      </c>
      <c r="E2010" s="140">
        <v>13.78</v>
      </c>
      <c r="F2010" s="140">
        <v>11.3</v>
      </c>
      <c r="G2010" s="34" t="s">
        <v>100</v>
      </c>
      <c r="H2010" s="34" t="s">
        <v>39</v>
      </c>
      <c r="I2010" s="35">
        <v>1</v>
      </c>
      <c r="J2010" s="35">
        <v>1</v>
      </c>
      <c r="K2010" s="35">
        <v>100</v>
      </c>
      <c r="L2010" s="60" t="str">
        <f>HYPERLINK("https://www.sds-group.ru/product/nochnik-svetodiodnyy-hameleon-mini-220v-proconnect-75-0304/", "Инфо")</f>
        <v>Инфо</v>
      </c>
      <c r="M2010" s="37">
        <v>4.1000000000000002E-2</v>
      </c>
      <c r="N2010" s="38">
        <v>4.8099999999999998E-4</v>
      </c>
      <c r="O2010" s="141">
        <v>4601004138018</v>
      </c>
    </row>
    <row r="2011" spans="1:15" ht="11.45" customHeight="1" outlineLevel="2" x14ac:dyDescent="0.2">
      <c r="A2011" s="76" t="s">
        <v>19659</v>
      </c>
      <c r="B2011" s="136"/>
      <c r="C2011" s="77"/>
      <c r="D2011" s="137"/>
      <c r="E2011" s="4"/>
      <c r="F2011" s="4"/>
      <c r="G2011" s="4"/>
      <c r="H2011" s="4"/>
      <c r="I2011" s="4"/>
      <c r="J2011" s="4"/>
      <c r="K2011" s="4"/>
      <c r="L2011" s="138"/>
      <c r="M2011" s="4"/>
      <c r="N2011" s="4"/>
      <c r="O2011" s="4"/>
    </row>
    <row r="2012" spans="1:15" ht="11.45" customHeight="1" outlineLevel="3" x14ac:dyDescent="0.2">
      <c r="A2012" s="76" t="s">
        <v>19660</v>
      </c>
      <c r="B2012" s="136"/>
      <c r="C2012" s="77"/>
      <c r="D2012" s="137"/>
      <c r="E2012" s="4"/>
      <c r="F2012" s="4"/>
      <c r="G2012" s="4"/>
      <c r="H2012" s="4"/>
      <c r="I2012" s="4"/>
      <c r="J2012" s="4"/>
      <c r="K2012" s="4"/>
      <c r="L2012" s="138"/>
      <c r="M2012" s="4"/>
      <c r="N2012" s="4"/>
      <c r="O2012" s="4"/>
    </row>
    <row r="2013" spans="1:15" s="1" customFormat="1" ht="11.45" customHeight="1" outlineLevel="4" x14ac:dyDescent="0.2">
      <c r="A2013" s="32" t="s">
        <v>19661</v>
      </c>
      <c r="B2013" s="74" t="s">
        <v>19662</v>
      </c>
      <c r="C2013" s="50"/>
      <c r="D2013" s="139">
        <f t="shared" si="31"/>
        <v>0</v>
      </c>
      <c r="E2013" s="140">
        <v>26.87</v>
      </c>
      <c r="F2013" s="140">
        <v>22.02</v>
      </c>
      <c r="G2013" s="34" t="s">
        <v>100</v>
      </c>
      <c r="H2013" s="34" t="s">
        <v>39</v>
      </c>
      <c r="I2013" s="35">
        <v>10</v>
      </c>
      <c r="J2013" s="35">
        <v>10</v>
      </c>
      <c r="K2013" s="35">
        <v>100</v>
      </c>
      <c r="L2013" s="60" t="str">
        <f>HYPERLINK("https://www.sds-group.ru/product/lampa-filamentnaya-svecha-cn35-7-5vt-600lm-2700k-e27-prozrachnaya-kolba-rexant-604-085/", "Инфо")</f>
        <v>Инфо</v>
      </c>
      <c r="M2013" s="37">
        <v>0.03</v>
      </c>
      <c r="N2013" s="38">
        <v>1.8200000000000001E-4</v>
      </c>
      <c r="O2013" s="141">
        <v>4601004185937</v>
      </c>
    </row>
    <row r="2014" spans="1:15" s="1" customFormat="1" ht="11.45" customHeight="1" outlineLevel="4" x14ac:dyDescent="0.2">
      <c r="A2014" s="32" t="s">
        <v>19663</v>
      </c>
      <c r="B2014" s="74" t="s">
        <v>19664</v>
      </c>
      <c r="C2014" s="50"/>
      <c r="D2014" s="139">
        <f t="shared" si="31"/>
        <v>0</v>
      </c>
      <c r="E2014" s="140">
        <v>26.87</v>
      </c>
      <c r="F2014" s="140">
        <v>22.02</v>
      </c>
      <c r="G2014" s="34" t="s">
        <v>100</v>
      </c>
      <c r="H2014" s="34" t="s">
        <v>39</v>
      </c>
      <c r="I2014" s="35">
        <v>10</v>
      </c>
      <c r="J2014" s="35">
        <v>10</v>
      </c>
      <c r="K2014" s="35">
        <v>100</v>
      </c>
      <c r="L2014" s="60" t="str">
        <f>HYPERLINK("https://www.sds-group.ru/product/lampa-filamentnaya-svecha-cn35-7-5vt-600lm-4000k-e27-prozrachnaya-kolba-rexant-604-086/", "Инфо")</f>
        <v>Инфо</v>
      </c>
      <c r="M2014" s="37">
        <v>0.03</v>
      </c>
      <c r="N2014" s="38">
        <v>1.9599999999999999E-4</v>
      </c>
      <c r="O2014" s="141">
        <v>4601004185944</v>
      </c>
    </row>
    <row r="2015" spans="1:15" s="1" customFormat="1" ht="11.45" customHeight="1" outlineLevel="4" x14ac:dyDescent="0.2">
      <c r="A2015" s="32" t="s">
        <v>19665</v>
      </c>
      <c r="B2015" s="74" t="s">
        <v>19666</v>
      </c>
      <c r="C2015" s="50"/>
      <c r="D2015" s="139">
        <f t="shared" si="31"/>
        <v>0</v>
      </c>
      <c r="E2015" s="140">
        <v>58.1</v>
      </c>
      <c r="F2015" s="140">
        <v>47.62</v>
      </c>
      <c r="G2015" s="34" t="s">
        <v>100</v>
      </c>
      <c r="H2015" s="34" t="s">
        <v>39</v>
      </c>
      <c r="I2015" s="35">
        <v>10</v>
      </c>
      <c r="J2015" s="35">
        <v>10</v>
      </c>
      <c r="K2015" s="35">
        <v>100</v>
      </c>
      <c r="L2015" s="60" t="str">
        <f>HYPERLINK("https://www.sds-group.ru/product/lampa-filamentnaya-svecha-cn35-9-5vt-915lm-4000k-e27-matovaya-kolba-rexant-604-098/", "Инфо")</f>
        <v>Инфо</v>
      </c>
      <c r="M2015" s="37">
        <v>3.1E-2</v>
      </c>
      <c r="N2015" s="38">
        <v>1.7799999999999999E-4</v>
      </c>
      <c r="O2015" s="141">
        <v>4601004186064</v>
      </c>
    </row>
    <row r="2016" spans="1:15" ht="11.45" customHeight="1" outlineLevel="3" x14ac:dyDescent="0.2">
      <c r="A2016" s="76" t="s">
        <v>19667</v>
      </c>
      <c r="B2016" s="136"/>
      <c r="C2016" s="77"/>
      <c r="D2016" s="137"/>
      <c r="E2016" s="4"/>
      <c r="F2016" s="4"/>
      <c r="G2016" s="4"/>
      <c r="H2016" s="4"/>
      <c r="I2016" s="4"/>
      <c r="J2016" s="4"/>
      <c r="K2016" s="4"/>
      <c r="L2016" s="138"/>
      <c r="M2016" s="4"/>
      <c r="N2016" s="4"/>
      <c r="O2016" s="4"/>
    </row>
    <row r="2017" spans="1:15" s="1" customFormat="1" ht="11.45" customHeight="1" outlineLevel="4" x14ac:dyDescent="0.2">
      <c r="A2017" s="32" t="s">
        <v>19668</v>
      </c>
      <c r="B2017" s="74" t="s">
        <v>19669</v>
      </c>
      <c r="C2017" s="50"/>
      <c r="D2017" s="139">
        <f t="shared" si="31"/>
        <v>0</v>
      </c>
      <c r="E2017" s="140">
        <v>38.200000000000003</v>
      </c>
      <c r="F2017" s="140">
        <v>31.31</v>
      </c>
      <c r="G2017" s="34" t="s">
        <v>100</v>
      </c>
      <c r="H2017" s="34" t="s">
        <v>39</v>
      </c>
      <c r="I2017" s="35">
        <v>10</v>
      </c>
      <c r="J2017" s="35">
        <v>10</v>
      </c>
      <c r="K2017" s="35">
        <v>100</v>
      </c>
      <c r="L2017" s="60" t="str">
        <f>HYPERLINK("https://www.sds-group.ru/product/lampa-filamentnaya-sharik-gl45-7-5vt-600lm-2700k-e14-prozrachnaya-kolba-rexant-604-121/", "Инфо")</f>
        <v>Инфо</v>
      </c>
      <c r="M2017" s="37">
        <v>2.8000000000000001E-2</v>
      </c>
      <c r="N2017" s="38">
        <v>2.42E-4</v>
      </c>
      <c r="O2017" s="141">
        <v>4601004186293</v>
      </c>
    </row>
    <row r="2018" spans="1:15" s="1" customFormat="1" ht="11.45" customHeight="1" outlineLevel="4" x14ac:dyDescent="0.2">
      <c r="A2018" s="32" t="s">
        <v>19670</v>
      </c>
      <c r="B2018" s="74" t="s">
        <v>19671</v>
      </c>
      <c r="C2018" s="50"/>
      <c r="D2018" s="139">
        <f t="shared" si="31"/>
        <v>0</v>
      </c>
      <c r="E2018" s="140">
        <v>38.200000000000003</v>
      </c>
      <c r="F2018" s="140">
        <v>31.31</v>
      </c>
      <c r="G2018" s="34" t="s">
        <v>100</v>
      </c>
      <c r="H2018" s="34" t="s">
        <v>39</v>
      </c>
      <c r="I2018" s="35">
        <v>10</v>
      </c>
      <c r="J2018" s="35">
        <v>10</v>
      </c>
      <c r="K2018" s="35">
        <v>100</v>
      </c>
      <c r="L2018" s="60" t="str">
        <f>HYPERLINK("https://www.sds-group.ru/product/lampa-filamentnaya-sharik-gl45-7-5vt-600lm-2700k-e27-prozrachnaya-kolba-rexant-604-123/", "Инфо")</f>
        <v>Инфо</v>
      </c>
      <c r="M2018" s="37">
        <v>3.1E-2</v>
      </c>
      <c r="N2018" s="38">
        <v>2.4600000000000002E-4</v>
      </c>
      <c r="O2018" s="141">
        <v>4601004186316</v>
      </c>
    </row>
    <row r="2019" spans="1:15" s="1" customFormat="1" ht="11.45" customHeight="1" outlineLevel="4" x14ac:dyDescent="0.2">
      <c r="A2019" s="32" t="s">
        <v>19672</v>
      </c>
      <c r="B2019" s="74" t="s">
        <v>19673</v>
      </c>
      <c r="C2019" s="50"/>
      <c r="D2019" s="139">
        <f t="shared" si="31"/>
        <v>0</v>
      </c>
      <c r="E2019" s="140">
        <v>49.54</v>
      </c>
      <c r="F2019" s="140">
        <v>40.61</v>
      </c>
      <c r="G2019" s="34" t="s">
        <v>100</v>
      </c>
      <c r="H2019" s="34" t="s">
        <v>39</v>
      </c>
      <c r="I2019" s="35">
        <v>10</v>
      </c>
      <c r="J2019" s="35">
        <v>10</v>
      </c>
      <c r="K2019" s="35">
        <v>100</v>
      </c>
      <c r="L2019" s="60" t="str">
        <f>HYPERLINK("https://www.sds-group.ru/product/lampa-filamentnaya-sharik-gl45-7-5vt-600lm-4000k-e27-prozrachnaya-kolba-rexant-604-124/", "Инфо")</f>
        <v>Инфо</v>
      </c>
      <c r="M2019" s="37">
        <v>3.1E-2</v>
      </c>
      <c r="N2019" s="38">
        <v>2.41E-4</v>
      </c>
      <c r="O2019" s="141">
        <v>4601004186323</v>
      </c>
    </row>
    <row r="2020" spans="1:15" s="1" customFormat="1" ht="11.45" customHeight="1" outlineLevel="4" x14ac:dyDescent="0.2">
      <c r="A2020" s="32" t="s">
        <v>19674</v>
      </c>
      <c r="B2020" s="74" t="s">
        <v>19675</v>
      </c>
      <c r="C2020" s="50"/>
      <c r="D2020" s="139">
        <f t="shared" si="31"/>
        <v>0</v>
      </c>
      <c r="E2020" s="140">
        <v>33.76</v>
      </c>
      <c r="F2020" s="140">
        <v>27.67</v>
      </c>
      <c r="G2020" s="34" t="s">
        <v>100</v>
      </c>
      <c r="H2020" s="34" t="s">
        <v>39</v>
      </c>
      <c r="I2020" s="35">
        <v>10</v>
      </c>
      <c r="J2020" s="35">
        <v>10</v>
      </c>
      <c r="K2020" s="35">
        <v>100</v>
      </c>
      <c r="L2020" s="60" t="str">
        <f>HYPERLINK("https://www.sds-group.ru/product/lampa-filamentnaya-sharik-gl45-9-5vt-915lm-2700k-e14-matovaya-kolba-rexant-604-133/", "Инфо")</f>
        <v>Инфо</v>
      </c>
      <c r="M2020" s="37">
        <v>2.9000000000000001E-2</v>
      </c>
      <c r="N2020" s="38">
        <v>2.4600000000000002E-4</v>
      </c>
      <c r="O2020" s="141">
        <v>4601004186415</v>
      </c>
    </row>
    <row r="2021" spans="1:15" s="1" customFormat="1" ht="11.45" customHeight="1" outlineLevel="4" x14ac:dyDescent="0.2">
      <c r="A2021" s="32" t="s">
        <v>19676</v>
      </c>
      <c r="B2021" s="74" t="s">
        <v>19677</v>
      </c>
      <c r="C2021" s="50"/>
      <c r="D2021" s="139">
        <f t="shared" si="31"/>
        <v>0</v>
      </c>
      <c r="E2021" s="140">
        <v>25.35</v>
      </c>
      <c r="F2021" s="140">
        <v>20.78</v>
      </c>
      <c r="G2021" s="34" t="s">
        <v>100</v>
      </c>
      <c r="H2021" s="34" t="s">
        <v>39</v>
      </c>
      <c r="I2021" s="35">
        <v>10</v>
      </c>
      <c r="J2021" s="35">
        <v>10</v>
      </c>
      <c r="K2021" s="35">
        <v>100</v>
      </c>
      <c r="L2021" s="60" t="str">
        <f>HYPERLINK("https://www.sds-group.ru/product/lampa-filamentnaya-sharik-gl45-9-5vt-915lm-2700k-e27-matovaya-kolba-rexant-604-135/", "Инфо")</f>
        <v>Инфо</v>
      </c>
      <c r="M2021" s="37">
        <v>3.2000000000000001E-2</v>
      </c>
      <c r="N2021" s="38">
        <v>2.4800000000000001E-4</v>
      </c>
      <c r="O2021" s="141">
        <v>4601004186439</v>
      </c>
    </row>
    <row r="2022" spans="1:15" s="1" customFormat="1" ht="11.45" customHeight="1" outlineLevel="4" x14ac:dyDescent="0.2">
      <c r="A2022" s="32" t="s">
        <v>19678</v>
      </c>
      <c r="B2022" s="74" t="s">
        <v>19679</v>
      </c>
      <c r="C2022" s="50"/>
      <c r="D2022" s="139">
        <f t="shared" si="31"/>
        <v>0</v>
      </c>
      <c r="E2022" s="140">
        <v>25.35</v>
      </c>
      <c r="F2022" s="140">
        <v>20.78</v>
      </c>
      <c r="G2022" s="34" t="s">
        <v>100</v>
      </c>
      <c r="H2022" s="34" t="s">
        <v>39</v>
      </c>
      <c r="I2022" s="35">
        <v>10</v>
      </c>
      <c r="J2022" s="35">
        <v>10</v>
      </c>
      <c r="K2022" s="35">
        <v>100</v>
      </c>
      <c r="L2022" s="60" t="str">
        <f>HYPERLINK("https://www.sds-group.ru/product/lampa-filamentnaya-sharik-gl45-9-5vt-915lm-4000k-e27-matovaya-kolba-rexant-604-136/", "Инфо")</f>
        <v>Инфо</v>
      </c>
      <c r="M2022" s="37">
        <v>3.2000000000000001E-2</v>
      </c>
      <c r="N2022" s="38">
        <v>2.4899999999999998E-4</v>
      </c>
      <c r="O2022" s="141">
        <v>4601004186446</v>
      </c>
    </row>
    <row r="2023" spans="1:15" s="1" customFormat="1" ht="11.45" customHeight="1" outlineLevel="4" x14ac:dyDescent="0.2">
      <c r="A2023" s="32" t="s">
        <v>19680</v>
      </c>
      <c r="B2023" s="74" t="s">
        <v>19681</v>
      </c>
      <c r="C2023" s="50"/>
      <c r="D2023" s="139">
        <f t="shared" si="31"/>
        <v>0</v>
      </c>
      <c r="E2023" s="140">
        <v>26.87</v>
      </c>
      <c r="F2023" s="140">
        <v>22.02</v>
      </c>
      <c r="G2023" s="34" t="s">
        <v>100</v>
      </c>
      <c r="H2023" s="34" t="s">
        <v>39</v>
      </c>
      <c r="I2023" s="35">
        <v>10</v>
      </c>
      <c r="J2023" s="35">
        <v>10</v>
      </c>
      <c r="K2023" s="35">
        <v>100</v>
      </c>
      <c r="L2023" s="60" t="str">
        <f>HYPERLINK("https://www.sds-group.ru/product/lampa-filamentnaya-sharik-gl45-9-5vt-950lm-4000k-e27-prozrachnaya-kolba-rexant-604-132/", "Инфо")</f>
        <v>Инфо</v>
      </c>
      <c r="M2023" s="37">
        <v>3.2000000000000001E-2</v>
      </c>
      <c r="N2023" s="38">
        <v>2.5000000000000001E-4</v>
      </c>
      <c r="O2023" s="141">
        <v>4601004186408</v>
      </c>
    </row>
    <row r="2024" spans="1:15" ht="11.45" customHeight="1" outlineLevel="2" x14ac:dyDescent="0.2">
      <c r="A2024" s="76" t="s">
        <v>19682</v>
      </c>
      <c r="B2024" s="136"/>
      <c r="C2024" s="77"/>
      <c r="D2024" s="137"/>
      <c r="E2024" s="4"/>
      <c r="F2024" s="4"/>
      <c r="G2024" s="4"/>
      <c r="H2024" s="4"/>
      <c r="I2024" s="4"/>
      <c r="J2024" s="4"/>
      <c r="K2024" s="4"/>
      <c r="L2024" s="138"/>
      <c r="M2024" s="4"/>
      <c r="N2024" s="4"/>
      <c r="O2024" s="4"/>
    </row>
    <row r="2025" spans="1:15" s="1" customFormat="1" ht="11.45" customHeight="1" outlineLevel="3" x14ac:dyDescent="0.2">
      <c r="A2025" s="32" t="s">
        <v>19683</v>
      </c>
      <c r="B2025" s="74" t="s">
        <v>19684</v>
      </c>
      <c r="C2025" s="50"/>
      <c r="D2025" s="139">
        <f t="shared" si="31"/>
        <v>0</v>
      </c>
      <c r="E2025" s="140">
        <v>654.42999999999995</v>
      </c>
      <c r="F2025" s="140">
        <v>536.41999999999996</v>
      </c>
      <c r="G2025" s="34" t="s">
        <v>100</v>
      </c>
      <c r="H2025" s="34" t="s">
        <v>39</v>
      </c>
      <c r="I2025" s="35">
        <v>1</v>
      </c>
      <c r="J2025" s="35">
        <v>1</v>
      </c>
      <c r="K2025" s="35">
        <v>10</v>
      </c>
      <c r="L2025" s="60" t="str">
        <f>HYPERLINK("https://www.sds-group.ru/product/svetilnik-svetodiodnyy-konsolnyy-dku-03-30-5000k-sh-c-ip65-chernyy-rexant-607-306/", "Инфо")</f>
        <v>Инфо</v>
      </c>
      <c r="M2025" s="37">
        <v>0.94399999999999995</v>
      </c>
      <c r="N2025" s="38">
        <v>4.9249999999999997E-3</v>
      </c>
      <c r="O2025" s="141">
        <v>4601004251533</v>
      </c>
    </row>
    <row r="2026" spans="1:15" s="1" customFormat="1" ht="11.45" customHeight="1" outlineLevel="3" x14ac:dyDescent="0.2">
      <c r="A2026" s="32" t="s">
        <v>19685</v>
      </c>
      <c r="B2026" s="74" t="s">
        <v>19686</v>
      </c>
      <c r="C2026" s="50"/>
      <c r="D2026" s="139">
        <f t="shared" si="31"/>
        <v>0</v>
      </c>
      <c r="E2026" s="140">
        <v>861.12</v>
      </c>
      <c r="F2026" s="140">
        <v>705.84</v>
      </c>
      <c r="G2026" s="34" t="s">
        <v>100</v>
      </c>
      <c r="H2026" s="34" t="s">
        <v>39</v>
      </c>
      <c r="I2026" s="35">
        <v>1</v>
      </c>
      <c r="J2026" s="35">
        <v>1</v>
      </c>
      <c r="K2026" s="35">
        <v>10</v>
      </c>
      <c r="L2026" s="60" t="str">
        <f>HYPERLINK("https://www.sds-group.ru/product/svetilnik-svetodiodnyy-konsolnyy-dku-03-50-5000k-sh-c-ip65-chernyy-rexant-607-307/", "Инфо")</f>
        <v>Инфо</v>
      </c>
      <c r="M2026" s="37">
        <v>0.92600000000000005</v>
      </c>
      <c r="N2026" s="38">
        <v>4.8459999999999996E-3</v>
      </c>
      <c r="O2026" s="141">
        <v>4601004251557</v>
      </c>
    </row>
    <row r="2027" spans="1:15" ht="11.45" customHeight="1" outlineLevel="2" x14ac:dyDescent="0.2">
      <c r="A2027" s="82" t="s">
        <v>19696</v>
      </c>
      <c r="B2027" s="142"/>
      <c r="C2027" s="83"/>
      <c r="D2027" s="143"/>
      <c r="E2027" s="5"/>
      <c r="F2027" s="5"/>
      <c r="G2027" s="5"/>
      <c r="H2027" s="5"/>
      <c r="I2027" s="5"/>
      <c r="J2027" s="5"/>
      <c r="K2027" s="5"/>
      <c r="L2027" s="144"/>
      <c r="M2027" s="5"/>
      <c r="N2027" s="5"/>
      <c r="O2027" s="5"/>
    </row>
    <row r="2028" spans="1:15" s="1" customFormat="1" ht="11.45" customHeight="1" outlineLevel="3" x14ac:dyDescent="0.2">
      <c r="A2028" s="32" t="s">
        <v>19697</v>
      </c>
      <c r="B2028" s="74" t="s">
        <v>19698</v>
      </c>
      <c r="C2028" s="50"/>
      <c r="D2028" s="139">
        <f t="shared" si="31"/>
        <v>0</v>
      </c>
      <c r="E2028" s="140">
        <v>1096.76</v>
      </c>
      <c r="F2028" s="140">
        <v>898.98</v>
      </c>
      <c r="G2028" s="34" t="s">
        <v>100</v>
      </c>
      <c r="H2028" s="34" t="s">
        <v>39</v>
      </c>
      <c r="I2028" s="35">
        <v>1</v>
      </c>
      <c r="J2028" s="35">
        <v>1</v>
      </c>
      <c r="K2028" s="35">
        <v>20</v>
      </c>
      <c r="L2028" s="60" t="str">
        <f>HYPERLINK("https://www.sds-group.ru/product/demo-tester-dlya-proverki-lamp-s-tsokolyami-e27-e27-e14-gu5-3-gx53-rexant-604-801/", "Инфо")</f>
        <v>Инфо</v>
      </c>
      <c r="M2028" s="37">
        <v>1.458</v>
      </c>
      <c r="N2028" s="38">
        <v>1.0824E-2</v>
      </c>
      <c r="O2028" s="141">
        <v>4601004188242</v>
      </c>
    </row>
    <row r="2029" spans="1:15" s="1" customFormat="1" ht="11.45" customHeight="1" outlineLevel="3" x14ac:dyDescent="0.2">
      <c r="A2029" s="32" t="s">
        <v>19699</v>
      </c>
      <c r="B2029" s="74" t="s">
        <v>19700</v>
      </c>
      <c r="C2029" s="50"/>
      <c r="D2029" s="139">
        <f t="shared" si="31"/>
        <v>0</v>
      </c>
      <c r="E2029" s="140">
        <v>1357.49</v>
      </c>
      <c r="F2029" s="140">
        <v>1112.7</v>
      </c>
      <c r="G2029" s="34" t="s">
        <v>100</v>
      </c>
      <c r="H2029" s="34" t="s">
        <v>39</v>
      </c>
      <c r="I2029" s="35">
        <v>1</v>
      </c>
      <c r="J2029" s="35">
        <v>1</v>
      </c>
      <c r="K2029" s="35">
        <v>4</v>
      </c>
      <c r="L2029" s="60" t="str">
        <f>HYPERLINK("https://www.sds-group.ru/product/demo-tester-akrilovyy-dlya-filamenta-ac-220v-so-shnurom-pitaniya-1-2m-s-vyklyuchatelem-na-ko-604-802/", "Инфо")</f>
        <v>Инфо</v>
      </c>
      <c r="M2029" s="37">
        <v>2.4550000000000001</v>
      </c>
      <c r="N2029" s="38">
        <v>2.8719999999999999E-2</v>
      </c>
      <c r="O2029" s="141">
        <v>4601004200487</v>
      </c>
    </row>
    <row r="2030" spans="1:15" ht="11.45" customHeight="1" outlineLevel="2" x14ac:dyDescent="0.2">
      <c r="A2030" s="76" t="s">
        <v>19701</v>
      </c>
      <c r="B2030" s="136"/>
      <c r="C2030" s="77"/>
      <c r="D2030" s="137"/>
      <c r="E2030" s="4"/>
      <c r="F2030" s="4"/>
      <c r="G2030" s="4"/>
      <c r="H2030" s="4"/>
      <c r="I2030" s="4"/>
      <c r="J2030" s="4"/>
      <c r="K2030" s="4"/>
      <c r="L2030" s="138"/>
      <c r="M2030" s="4"/>
      <c r="N2030" s="4"/>
      <c r="O2030" s="4"/>
    </row>
    <row r="2031" spans="1:15" s="1" customFormat="1" ht="11.45" customHeight="1" outlineLevel="3" x14ac:dyDescent="0.2">
      <c r="A2031" s="32" t="s">
        <v>19702</v>
      </c>
      <c r="B2031" s="74" t="s">
        <v>19703</v>
      </c>
      <c r="C2031" s="50"/>
      <c r="D2031" s="139">
        <f t="shared" si="31"/>
        <v>0</v>
      </c>
      <c r="E2031" s="140">
        <v>879.63</v>
      </c>
      <c r="F2031" s="140">
        <v>721.01</v>
      </c>
      <c r="G2031" s="34" t="s">
        <v>100</v>
      </c>
      <c r="H2031" s="34" t="s">
        <v>39</v>
      </c>
      <c r="I2031" s="35">
        <v>1</v>
      </c>
      <c r="J2031" s="35">
        <v>1</v>
      </c>
      <c r="K2031" s="35">
        <v>4</v>
      </c>
      <c r="L2031" s="60" t="str">
        <f>HYPERLINK("https://www.sds-group.ru/product/svetilnik-dlya-vysokih-proletov-dsp-01-100-vt-6500-k-ip65-10000-lm-chernyy-rexant-607-299/", "Инфо")</f>
        <v>Инфо</v>
      </c>
      <c r="M2031" s="37">
        <v>2.0369999999999999</v>
      </c>
      <c r="N2031" s="38">
        <v>1.0067E-2</v>
      </c>
      <c r="O2031" s="141">
        <v>4601004249448</v>
      </c>
    </row>
    <row r="2032" spans="1:15" ht="11.45" customHeight="1" outlineLevel="1" x14ac:dyDescent="0.2">
      <c r="A2032" s="78" t="s">
        <v>19704</v>
      </c>
      <c r="B2032" s="132"/>
      <c r="C2032" s="79"/>
      <c r="D2032" s="133"/>
      <c r="E2032" s="134"/>
      <c r="F2032" s="134"/>
      <c r="G2032" s="134"/>
      <c r="H2032" s="134"/>
      <c r="I2032" s="134"/>
      <c r="J2032" s="134"/>
      <c r="K2032" s="134"/>
      <c r="L2032" s="135"/>
      <c r="M2032" s="134"/>
      <c r="N2032" s="134"/>
      <c r="O2032" s="134"/>
    </row>
    <row r="2033" spans="1:15" ht="11.45" customHeight="1" outlineLevel="2" x14ac:dyDescent="0.2">
      <c r="A2033" s="76" t="s">
        <v>19705</v>
      </c>
      <c r="B2033" s="136"/>
      <c r="C2033" s="77"/>
      <c r="D2033" s="137"/>
      <c r="E2033" s="4"/>
      <c r="F2033" s="4"/>
      <c r="G2033" s="4"/>
      <c r="H2033" s="4"/>
      <c r="I2033" s="4"/>
      <c r="J2033" s="4"/>
      <c r="K2033" s="4"/>
      <c r="L2033" s="138"/>
      <c r="M2033" s="4"/>
      <c r="N2033" s="4"/>
      <c r="O2033" s="4"/>
    </row>
    <row r="2034" spans="1:15" ht="11.45" customHeight="1" outlineLevel="3" x14ac:dyDescent="0.2">
      <c r="A2034" s="76" t="s">
        <v>19706</v>
      </c>
      <c r="B2034" s="136"/>
      <c r="C2034" s="77"/>
      <c r="D2034" s="137"/>
      <c r="E2034" s="4"/>
      <c r="F2034" s="4"/>
      <c r="G2034" s="4"/>
      <c r="H2034" s="4"/>
      <c r="I2034" s="4"/>
      <c r="J2034" s="4"/>
      <c r="K2034" s="4"/>
      <c r="L2034" s="138"/>
      <c r="M2034" s="4"/>
      <c r="N2034" s="4"/>
      <c r="O2034" s="4"/>
    </row>
    <row r="2035" spans="1:15" s="1" customFormat="1" ht="11.45" customHeight="1" outlineLevel="4" x14ac:dyDescent="0.2">
      <c r="A2035" s="32" t="s">
        <v>19707</v>
      </c>
      <c r="B2035" s="74" t="s">
        <v>19708</v>
      </c>
      <c r="C2035" s="50"/>
      <c r="D2035" s="139">
        <f t="shared" si="31"/>
        <v>0</v>
      </c>
      <c r="E2035" s="140">
        <v>830.86</v>
      </c>
      <c r="F2035" s="140">
        <v>681.03</v>
      </c>
      <c r="G2035" s="34" t="s">
        <v>100</v>
      </c>
      <c r="H2035" s="34" t="s">
        <v>39</v>
      </c>
      <c r="I2035" s="35">
        <v>1</v>
      </c>
      <c r="J2035" s="35">
        <v>1</v>
      </c>
      <c r="K2035" s="35">
        <v>12</v>
      </c>
      <c r="L2035" s="60" t="str">
        <f>HYPERLINK("https://www.sds-group.ru/product/svetilnik-dekorativnyy-kot-v-ochkah-tsokol-e14-40vt-belyy-rexant-603-1033/", "Инфо")</f>
        <v>Инфо</v>
      </c>
      <c r="M2035" s="37">
        <v>0.8</v>
      </c>
      <c r="N2035" s="38">
        <v>9.2399999999999999E-3</v>
      </c>
      <c r="O2035" s="141">
        <v>4601004295605</v>
      </c>
    </row>
    <row r="2036" spans="1:15" s="1" customFormat="1" ht="11.45" customHeight="1" outlineLevel="4" x14ac:dyDescent="0.2">
      <c r="A2036" s="32" t="s">
        <v>19709</v>
      </c>
      <c r="B2036" s="74" t="s">
        <v>19710</v>
      </c>
      <c r="C2036" s="50"/>
      <c r="D2036" s="139">
        <f t="shared" si="31"/>
        <v>0</v>
      </c>
      <c r="E2036" s="140">
        <v>978.57</v>
      </c>
      <c r="F2036" s="140">
        <v>802.11</v>
      </c>
      <c r="G2036" s="34" t="s">
        <v>100</v>
      </c>
      <c r="H2036" s="34" t="s">
        <v>39</v>
      </c>
      <c r="I2036" s="35">
        <v>1</v>
      </c>
      <c r="J2036" s="35">
        <v>1</v>
      </c>
      <c r="K2036" s="35">
        <v>12</v>
      </c>
      <c r="L2036" s="60" t="str">
        <f>HYPERLINK("https://www.sds-group.ru/product/svetilnik-dekorativnyy-kot-v-ochkah-tsokol-e14-40vt-chernyy-rexant-603-1034/", "Инфо")</f>
        <v>Инфо</v>
      </c>
      <c r="M2036" s="37">
        <v>0.79200000000000004</v>
      </c>
      <c r="N2036" s="38">
        <v>9.2399999999999999E-3</v>
      </c>
      <c r="O2036" s="141">
        <v>4601004295612</v>
      </c>
    </row>
    <row r="2037" spans="1:15" s="1" customFormat="1" ht="11.45" customHeight="1" outlineLevel="4" x14ac:dyDescent="0.2">
      <c r="A2037" s="32" t="s">
        <v>19711</v>
      </c>
      <c r="B2037" s="74" t="s">
        <v>19712</v>
      </c>
      <c r="C2037" s="50"/>
      <c r="D2037" s="139">
        <f t="shared" si="31"/>
        <v>0</v>
      </c>
      <c r="E2037" s="140">
        <v>938.35</v>
      </c>
      <c r="F2037" s="140">
        <v>769.14</v>
      </c>
      <c r="G2037" s="34" t="s">
        <v>100</v>
      </c>
      <c r="H2037" s="34" t="s">
        <v>39</v>
      </c>
      <c r="I2037" s="35">
        <v>1</v>
      </c>
      <c r="J2037" s="35">
        <v>1</v>
      </c>
      <c r="K2037" s="35">
        <v>12</v>
      </c>
      <c r="L2037" s="60" t="str">
        <f>HYPERLINK("https://www.sds-group.ru/product/svetilnik-dekorativnyy-nastolnyy-mobi-buldog-s-tsokolem-e14-40vt-tsvet-belyy-rexant-603-1017/", "Инфо")</f>
        <v>Инфо</v>
      </c>
      <c r="M2037" s="37">
        <v>0.68700000000000006</v>
      </c>
      <c r="N2037" s="38">
        <v>9.2689999999999995E-3</v>
      </c>
      <c r="O2037" s="141">
        <v>4601004273818</v>
      </c>
    </row>
    <row r="2038" spans="1:15" s="1" customFormat="1" ht="11.45" customHeight="1" outlineLevel="4" x14ac:dyDescent="0.2">
      <c r="A2038" s="32" t="s">
        <v>19713</v>
      </c>
      <c r="B2038" s="74" t="s">
        <v>19714</v>
      </c>
      <c r="C2038" s="50"/>
      <c r="D2038" s="139">
        <f t="shared" si="31"/>
        <v>0</v>
      </c>
      <c r="E2038" s="140">
        <v>938.35</v>
      </c>
      <c r="F2038" s="140">
        <v>769.14</v>
      </c>
      <c r="G2038" s="34" t="s">
        <v>100</v>
      </c>
      <c r="H2038" s="34" t="s">
        <v>39</v>
      </c>
      <c r="I2038" s="35">
        <v>1</v>
      </c>
      <c r="J2038" s="35">
        <v>1</v>
      </c>
      <c r="K2038" s="35">
        <v>12</v>
      </c>
      <c r="L2038" s="60" t="str">
        <f>HYPERLINK("https://www.sds-group.ru/product/svetilnik-dekorativnyy-nastolnyy-mobi-buldog-s-tsokolem-e14-40vt-tsvet-chernyy-rexant-603-1016/", "Инфо")</f>
        <v>Инфо</v>
      </c>
      <c r="M2038" s="37">
        <v>0.78900000000000003</v>
      </c>
      <c r="N2038" s="38">
        <v>9.136E-3</v>
      </c>
      <c r="O2038" s="141">
        <v>4601004273870</v>
      </c>
    </row>
    <row r="2039" spans="1:15" s="1" customFormat="1" ht="11.45" customHeight="1" outlineLevel="4" x14ac:dyDescent="0.2">
      <c r="A2039" s="32" t="s">
        <v>19715</v>
      </c>
      <c r="B2039" s="74" t="s">
        <v>19716</v>
      </c>
      <c r="C2039" s="50"/>
      <c r="D2039" s="139">
        <f t="shared" si="31"/>
        <v>0</v>
      </c>
      <c r="E2039" s="140">
        <v>1490.65</v>
      </c>
      <c r="F2039" s="140">
        <v>1221.8399999999999</v>
      </c>
      <c r="G2039" s="34" t="s">
        <v>100</v>
      </c>
      <c r="H2039" s="34" t="s">
        <v>39</v>
      </c>
      <c r="I2039" s="35">
        <v>1</v>
      </c>
      <c r="J2039" s="35">
        <v>1</v>
      </c>
      <c r="K2039" s="35">
        <v>12</v>
      </c>
      <c r="L2039" s="60" t="str">
        <f>HYPERLINK("https://www.sds-group.ru/product/svetilnik-dekorativnyy-nastolnyy-mobi-kot-s-zontom-s-tsokolem-e14-40-vt-tsvet-belyy-rexant-603-1019/", "Инфо")</f>
        <v>Инфо</v>
      </c>
      <c r="M2039" s="37">
        <v>1.1160000000000001</v>
      </c>
      <c r="N2039" s="38">
        <v>1.274E-2</v>
      </c>
      <c r="O2039" s="141">
        <v>4601004273825</v>
      </c>
    </row>
    <row r="2040" spans="1:15" s="1" customFormat="1" ht="11.45" customHeight="1" outlineLevel="4" x14ac:dyDescent="0.2">
      <c r="A2040" s="32" t="s">
        <v>19717</v>
      </c>
      <c r="B2040" s="74" t="s">
        <v>19718</v>
      </c>
      <c r="C2040" s="50"/>
      <c r="D2040" s="139">
        <f t="shared" si="31"/>
        <v>0</v>
      </c>
      <c r="E2040" s="140">
        <v>1490.65</v>
      </c>
      <c r="F2040" s="140">
        <v>1221.8399999999999</v>
      </c>
      <c r="G2040" s="34" t="s">
        <v>100</v>
      </c>
      <c r="H2040" s="34" t="s">
        <v>39</v>
      </c>
      <c r="I2040" s="35">
        <v>1</v>
      </c>
      <c r="J2040" s="35">
        <v>1</v>
      </c>
      <c r="K2040" s="35">
        <v>12</v>
      </c>
      <c r="L2040" s="60" t="str">
        <f>HYPERLINK("https://www.sds-group.ru/product/svetilnik-dekorativnyy-nastolnyy-mobi-kot-s-zontom-s-tsokolem-e14-40-vt-tsvet-chernyy-rexan-603-1018/", "Инфо")</f>
        <v>Инфо</v>
      </c>
      <c r="M2040" s="37">
        <v>1.1279999999999999</v>
      </c>
      <c r="N2040" s="38">
        <v>1.2668E-2</v>
      </c>
      <c r="O2040" s="141">
        <v>4601004273863</v>
      </c>
    </row>
    <row r="2041" spans="1:15" s="1" customFormat="1" ht="11.45" customHeight="1" outlineLevel="4" x14ac:dyDescent="0.2">
      <c r="A2041" s="32" t="s">
        <v>19719</v>
      </c>
      <c r="B2041" s="74" t="s">
        <v>19720</v>
      </c>
      <c r="C2041" s="50"/>
      <c r="D2041" s="139">
        <f t="shared" si="31"/>
        <v>0</v>
      </c>
      <c r="E2041" s="140">
        <v>1543.45</v>
      </c>
      <c r="F2041" s="140">
        <v>1265.1199999999999</v>
      </c>
      <c r="G2041" s="34" t="s">
        <v>100</v>
      </c>
      <c r="H2041" s="34" t="s">
        <v>39</v>
      </c>
      <c r="I2041" s="35">
        <v>1</v>
      </c>
      <c r="J2041" s="35">
        <v>1</v>
      </c>
      <c r="K2041" s="35">
        <v>6</v>
      </c>
      <c r="L2041" s="60" t="str">
        <f>HYPERLINK("https://www.sds-group.ru/product/svetilnik-dekorativnyy-mobi-zayats-zoloto-rexant-603-1029/", "Инфо")</f>
        <v>Инфо</v>
      </c>
      <c r="M2041" s="37">
        <v>0.88600000000000001</v>
      </c>
      <c r="N2041" s="38">
        <v>1.1997000000000001E-2</v>
      </c>
      <c r="O2041" s="141">
        <v>4601004283435</v>
      </c>
    </row>
    <row r="2042" spans="1:15" s="1" customFormat="1" ht="11.45" customHeight="1" outlineLevel="4" x14ac:dyDescent="0.2">
      <c r="A2042" s="32" t="s">
        <v>19721</v>
      </c>
      <c r="B2042" s="74" t="s">
        <v>19722</v>
      </c>
      <c r="C2042" s="50"/>
      <c r="D2042" s="139">
        <f t="shared" si="31"/>
        <v>0</v>
      </c>
      <c r="E2042" s="140">
        <v>1905.49</v>
      </c>
      <c r="F2042" s="140">
        <v>1561.88</v>
      </c>
      <c r="G2042" s="34" t="s">
        <v>100</v>
      </c>
      <c r="H2042" s="34" t="s">
        <v>39</v>
      </c>
      <c r="I2042" s="35">
        <v>1</v>
      </c>
      <c r="J2042" s="35">
        <v>1</v>
      </c>
      <c r="K2042" s="35">
        <v>6</v>
      </c>
      <c r="L2042" s="60" t="str">
        <f>HYPERLINK("https://www.sds-group.ru/product/svetilnik-dekorativnyy-mobi-zayats-hrom-rexant-603-1030/", "Инфо")</f>
        <v>Инфо</v>
      </c>
      <c r="M2042" s="37">
        <v>0.89800000000000002</v>
      </c>
      <c r="N2042" s="38">
        <v>1.2198000000000001E-2</v>
      </c>
      <c r="O2042" s="141">
        <v>4601004283787</v>
      </c>
    </row>
    <row r="2043" spans="1:15" s="1" customFormat="1" ht="11.45" customHeight="1" outlineLevel="4" x14ac:dyDescent="0.2">
      <c r="A2043" s="32" t="s">
        <v>19723</v>
      </c>
      <c r="B2043" s="74" t="s">
        <v>19724</v>
      </c>
      <c r="C2043" s="50"/>
      <c r="D2043" s="139">
        <f t="shared" si="31"/>
        <v>0</v>
      </c>
      <c r="E2043" s="140">
        <v>583.9</v>
      </c>
      <c r="F2043" s="140">
        <v>478.61</v>
      </c>
      <c r="G2043" s="34" t="s">
        <v>100</v>
      </c>
      <c r="H2043" s="34" t="s">
        <v>39</v>
      </c>
      <c r="I2043" s="35">
        <v>1</v>
      </c>
      <c r="J2043" s="35">
        <v>1</v>
      </c>
      <c r="K2043" s="35">
        <v>12</v>
      </c>
      <c r="L2043" s="60" t="str">
        <f>HYPERLINK("https://www.sds-group.ru/product/svetilnik-dekorativnyy-nastolnyy-forte-osnovanie-duga-pod-zolotoy-mramor-bezhevyy-abazhur-t-603-1024/", "Инфо")</f>
        <v>Инфо</v>
      </c>
      <c r="M2043" s="37">
        <v>0.64400000000000002</v>
      </c>
      <c r="N2043" s="38">
        <v>6.1729999999999997E-3</v>
      </c>
      <c r="O2043" s="141">
        <v>4601004283091</v>
      </c>
    </row>
    <row r="2044" spans="1:15" s="1" customFormat="1" ht="11.45" customHeight="1" outlineLevel="4" x14ac:dyDescent="0.2">
      <c r="A2044" s="32" t="s">
        <v>19725</v>
      </c>
      <c r="B2044" s="74" t="s">
        <v>19726</v>
      </c>
      <c r="C2044" s="50"/>
      <c r="D2044" s="139">
        <f t="shared" si="31"/>
        <v>0</v>
      </c>
      <c r="E2044" s="140">
        <v>802.32</v>
      </c>
      <c r="F2044" s="140">
        <v>657.64</v>
      </c>
      <c r="G2044" s="34" t="s">
        <v>100</v>
      </c>
      <c r="H2044" s="34" t="s">
        <v>39</v>
      </c>
      <c r="I2044" s="35">
        <v>1</v>
      </c>
      <c r="J2044" s="35">
        <v>1</v>
      </c>
      <c r="K2044" s="35">
        <v>12</v>
      </c>
      <c r="L2044" s="60" t="str">
        <f>HYPERLINK("https://www.sds-group.ru/product/svetilnik-dekorativnyy-nastolnyy-forte-osnovanie-koltso-pod-chernyy-mramor-belyy-abazhur-ts-603-1027/", "Инфо")</f>
        <v>Инфо</v>
      </c>
      <c r="M2044" s="37">
        <v>0.77800000000000002</v>
      </c>
      <c r="N2044" s="38">
        <v>7.6369999999999997E-3</v>
      </c>
      <c r="O2044" s="141">
        <v>4601004283060</v>
      </c>
    </row>
    <row r="2045" spans="1:15" s="1" customFormat="1" ht="11.45" customHeight="1" outlineLevel="4" x14ac:dyDescent="0.2">
      <c r="A2045" s="32" t="s">
        <v>19727</v>
      </c>
      <c r="B2045" s="74" t="s">
        <v>19728</v>
      </c>
      <c r="C2045" s="50"/>
      <c r="D2045" s="139">
        <f t="shared" si="31"/>
        <v>0</v>
      </c>
      <c r="E2045" s="140">
        <v>1329.6</v>
      </c>
      <c r="F2045" s="140">
        <v>1089.8399999999999</v>
      </c>
      <c r="G2045" s="34" t="s">
        <v>100</v>
      </c>
      <c r="H2045" s="34" t="s">
        <v>39</v>
      </c>
      <c r="I2045" s="35">
        <v>1</v>
      </c>
      <c r="J2045" s="35">
        <v>1</v>
      </c>
      <c r="K2045" s="35">
        <v>12</v>
      </c>
      <c r="L2045" s="60" t="str">
        <f>HYPERLINK("https://www.sds-group.ru/product/svetilnik-dekorativnyy-chelovechek-belyy-s-belym-abazhurom-e27-rexant-603-1037/", "Инфо")</f>
        <v>Инфо</v>
      </c>
      <c r="M2045" s="37">
        <v>0.751</v>
      </c>
      <c r="N2045" s="38">
        <v>6.9439999999999997E-3</v>
      </c>
      <c r="O2045" s="141">
        <v>4601004302846</v>
      </c>
    </row>
    <row r="2046" spans="1:15" s="1" customFormat="1" ht="11.45" customHeight="1" outlineLevel="4" x14ac:dyDescent="0.2">
      <c r="A2046" s="32" t="s">
        <v>19729</v>
      </c>
      <c r="B2046" s="74" t="s">
        <v>19730</v>
      </c>
      <c r="C2046" s="50"/>
      <c r="D2046" s="139">
        <f t="shared" si="31"/>
        <v>0</v>
      </c>
      <c r="E2046" s="140">
        <v>1329.6</v>
      </c>
      <c r="F2046" s="140">
        <v>1089.8399999999999</v>
      </c>
      <c r="G2046" s="34" t="s">
        <v>100</v>
      </c>
      <c r="H2046" s="34" t="s">
        <v>39</v>
      </c>
      <c r="I2046" s="35">
        <v>1</v>
      </c>
      <c r="J2046" s="35">
        <v>1</v>
      </c>
      <c r="K2046" s="35">
        <v>12</v>
      </c>
      <c r="L2046" s="60" t="str">
        <f>HYPERLINK("https://www.sds-group.ru/product/svetilnik-dekorativnyy-chelovechek-zolotoy-s-chernym-abazhurom-e27-rexant-603-1035/", "Инфо")</f>
        <v>Инфо</v>
      </c>
      <c r="M2046" s="37">
        <v>0.76300000000000001</v>
      </c>
      <c r="N2046" s="38">
        <v>6.1399999999999996E-3</v>
      </c>
      <c r="O2046" s="141">
        <v>4601004302853</v>
      </c>
    </row>
    <row r="2047" spans="1:15" s="1" customFormat="1" ht="11.45" customHeight="1" outlineLevel="4" x14ac:dyDescent="0.2">
      <c r="A2047" s="32" t="s">
        <v>19731</v>
      </c>
      <c r="B2047" s="74" t="s">
        <v>19732</v>
      </c>
      <c r="C2047" s="50"/>
      <c r="D2047" s="139">
        <f t="shared" si="31"/>
        <v>0</v>
      </c>
      <c r="E2047" s="140">
        <v>1329.6</v>
      </c>
      <c r="F2047" s="140">
        <v>1089.8399999999999</v>
      </c>
      <c r="G2047" s="34" t="s">
        <v>100</v>
      </c>
      <c r="H2047" s="34" t="s">
        <v>39</v>
      </c>
      <c r="I2047" s="35">
        <v>1</v>
      </c>
      <c r="J2047" s="35">
        <v>1</v>
      </c>
      <c r="K2047" s="35">
        <v>12</v>
      </c>
      <c r="L2047" s="60" t="str">
        <f>HYPERLINK("https://www.sds-group.ru/product/svetilnik-dekorativnyy-chelovechek-serebryanyy-s-pudrovym-abazhurom-e27-rexant-603-1036/", "Инфо")</f>
        <v>Инфо</v>
      </c>
      <c r="M2047" s="37">
        <v>0.66700000000000004</v>
      </c>
      <c r="N2047" s="38">
        <v>5.9259999999999998E-3</v>
      </c>
      <c r="O2047" s="141">
        <v>4601004302860</v>
      </c>
    </row>
    <row r="2048" spans="1:15" s="1" customFormat="1" ht="11.45" customHeight="1" outlineLevel="4" x14ac:dyDescent="0.2">
      <c r="A2048" s="32" t="s">
        <v>19733</v>
      </c>
      <c r="B2048" s="74" t="s">
        <v>19734</v>
      </c>
      <c r="C2048" s="50"/>
      <c r="D2048" s="139">
        <f t="shared" si="31"/>
        <v>0</v>
      </c>
      <c r="E2048" s="140">
        <v>1329.6</v>
      </c>
      <c r="F2048" s="140">
        <v>1089.8399999999999</v>
      </c>
      <c r="G2048" s="34" t="s">
        <v>100</v>
      </c>
      <c r="H2048" s="34" t="s">
        <v>39</v>
      </c>
      <c r="I2048" s="35">
        <v>1</v>
      </c>
      <c r="J2048" s="35">
        <v>1</v>
      </c>
      <c r="K2048" s="35">
        <v>12</v>
      </c>
      <c r="L2048" s="60" t="str">
        <f>HYPERLINK("https://www.sds-group.ru/product/svetilnik-dekorativnyy-chelovechek-chernyy-s-chernym-abazhurom-e27-rexant-603-1038/", "Инфо")</f>
        <v>Инфо</v>
      </c>
      <c r="M2048" s="37">
        <v>0.73099999999999998</v>
      </c>
      <c r="N2048" s="38">
        <v>6.888E-3</v>
      </c>
      <c r="O2048" s="141">
        <v>4601004302877</v>
      </c>
    </row>
    <row r="2049" spans="1:15" s="1" customFormat="1" ht="11.45" customHeight="1" outlineLevel="4" x14ac:dyDescent="0.2">
      <c r="A2049" s="32" t="s">
        <v>19735</v>
      </c>
      <c r="B2049" s="74" t="s">
        <v>19736</v>
      </c>
      <c r="C2049" s="50"/>
      <c r="D2049" s="139">
        <f t="shared" si="31"/>
        <v>0</v>
      </c>
      <c r="E2049" s="140">
        <v>373.35</v>
      </c>
      <c r="F2049" s="140">
        <v>306.02</v>
      </c>
      <c r="G2049" s="34" t="s">
        <v>100</v>
      </c>
      <c r="H2049" s="34" t="s">
        <v>39</v>
      </c>
      <c r="I2049" s="35">
        <v>1</v>
      </c>
      <c r="J2049" s="35">
        <v>1</v>
      </c>
      <c r="K2049" s="35">
        <v>20</v>
      </c>
      <c r="L2049" s="60" t="str">
        <f>HYPERLINK("https://www.sds-group.ru/product/svetilnik-pchelenok-na-osnovanii-s-tsokolem-e27-60-vt-tsvet-podsolnuh-rexant-603-1014/", "Инфо")</f>
        <v>Инфо</v>
      </c>
      <c r="M2049" s="37">
        <v>0.73199999999999998</v>
      </c>
      <c r="N2049" s="38">
        <v>7.2719999999999998E-3</v>
      </c>
      <c r="O2049" s="141">
        <v>4601004199064</v>
      </c>
    </row>
    <row r="2050" spans="1:15" ht="11.45" customHeight="1" outlineLevel="3" x14ac:dyDescent="0.2">
      <c r="A2050" s="76" t="s">
        <v>19737</v>
      </c>
      <c r="B2050" s="136"/>
      <c r="C2050" s="77"/>
      <c r="D2050" s="137"/>
      <c r="E2050" s="4"/>
      <c r="F2050" s="4"/>
      <c r="G2050" s="4"/>
      <c r="H2050" s="4"/>
      <c r="I2050" s="4"/>
      <c r="J2050" s="4"/>
      <c r="K2050" s="4"/>
      <c r="L2050" s="138"/>
      <c r="M2050" s="4"/>
      <c r="N2050" s="4"/>
      <c r="O2050" s="4"/>
    </row>
    <row r="2051" spans="1:15" s="1" customFormat="1" ht="11.45" customHeight="1" outlineLevel="4" x14ac:dyDescent="0.2">
      <c r="A2051" s="32" t="s">
        <v>19738</v>
      </c>
      <c r="B2051" s="74" t="s">
        <v>19739</v>
      </c>
      <c r="C2051" s="50"/>
      <c r="D2051" s="139">
        <f t="shared" si="31"/>
        <v>0</v>
      </c>
      <c r="E2051" s="140">
        <v>530.01</v>
      </c>
      <c r="F2051" s="140">
        <v>434.43</v>
      </c>
      <c r="G2051" s="34" t="s">
        <v>100</v>
      </c>
      <c r="H2051" s="34" t="s">
        <v>39</v>
      </c>
      <c r="I2051" s="35">
        <v>1</v>
      </c>
      <c r="J2051" s="35">
        <v>1</v>
      </c>
      <c r="K2051" s="35">
        <v>9</v>
      </c>
      <c r="L2051" s="60" t="str">
        <f>HYPERLINK("https://www.sds-group.ru/product/svetilnik-dekorativnyy-spiral-uno-led-2vt-3000k-5v-zolotoy-rexant-609-032/", "Инфо")</f>
        <v>Инфо</v>
      </c>
      <c r="M2051" s="37">
        <v>0.61299999999999999</v>
      </c>
      <c r="N2051" s="38">
        <v>1.8048000000000002E-2</v>
      </c>
      <c r="O2051" s="141">
        <v>4601004273191</v>
      </c>
    </row>
    <row r="2052" spans="1:15" s="1" customFormat="1" ht="11.45" customHeight="1" outlineLevel="4" x14ac:dyDescent="0.2">
      <c r="A2052" s="32" t="s">
        <v>19740</v>
      </c>
      <c r="B2052" s="74" t="s">
        <v>19741</v>
      </c>
      <c r="C2052" s="50"/>
      <c r="D2052" s="139">
        <f t="shared" si="31"/>
        <v>0</v>
      </c>
      <c r="E2052" s="140">
        <v>430.12</v>
      </c>
      <c r="F2052" s="140">
        <v>352.56</v>
      </c>
      <c r="G2052" s="34" t="s">
        <v>100</v>
      </c>
      <c r="H2052" s="34" t="s">
        <v>39</v>
      </c>
      <c r="I2052" s="35">
        <v>1</v>
      </c>
      <c r="J2052" s="35">
        <v>1</v>
      </c>
      <c r="K2052" s="35">
        <v>9</v>
      </c>
      <c r="L2052" s="60" t="str">
        <f>HYPERLINK("https://www.sds-group.ru/product/svetilnik-dekorativnyy-spiral-uno-led-2vt-3000k-5v-serebryanyy-rexant-609-031/", "Инфо")</f>
        <v>Инфо</v>
      </c>
      <c r="M2052" s="37">
        <v>0.61099999999999999</v>
      </c>
      <c r="N2052" s="38">
        <v>1.821E-2</v>
      </c>
      <c r="O2052" s="141">
        <v>4601004275188</v>
      </c>
    </row>
    <row r="2053" spans="1:15" s="1" customFormat="1" ht="11.45" customHeight="1" outlineLevel="4" x14ac:dyDescent="0.2">
      <c r="A2053" s="32" t="s">
        <v>19742</v>
      </c>
      <c r="B2053" s="74" t="s">
        <v>19743</v>
      </c>
      <c r="C2053" s="50"/>
      <c r="D2053" s="139">
        <f t="shared" si="31"/>
        <v>0</v>
      </c>
      <c r="E2053" s="140">
        <v>439.32</v>
      </c>
      <c r="F2053" s="140">
        <v>360.1</v>
      </c>
      <c r="G2053" s="34" t="s">
        <v>100</v>
      </c>
      <c r="H2053" s="34" t="s">
        <v>39</v>
      </c>
      <c r="I2053" s="35">
        <v>1</v>
      </c>
      <c r="J2053" s="35">
        <v>1</v>
      </c>
      <c r="K2053" s="35">
        <v>20</v>
      </c>
      <c r="L2053" s="60" t="str">
        <f>HYPERLINK("https://www.sds-group.ru/product/svetilnik-magnitnyy-perenosnoy-s-3-krepleniyami-kolokolchik-belyy-rexant-609-041/", "Инфо")</f>
        <v>Инфо</v>
      </c>
      <c r="M2053" s="37">
        <v>0.67900000000000005</v>
      </c>
      <c r="N2053" s="38">
        <v>1.776E-3</v>
      </c>
      <c r="O2053" s="141">
        <v>4601004296152</v>
      </c>
    </row>
    <row r="2054" spans="1:15" s="1" customFormat="1" ht="11.45" customHeight="1" outlineLevel="4" x14ac:dyDescent="0.2">
      <c r="A2054" s="32" t="s">
        <v>19744</v>
      </c>
      <c r="B2054" s="74" t="s">
        <v>19745</v>
      </c>
      <c r="C2054" s="50"/>
      <c r="D2054" s="139">
        <f t="shared" si="31"/>
        <v>0</v>
      </c>
      <c r="E2054" s="140">
        <v>693.71</v>
      </c>
      <c r="F2054" s="140">
        <v>568.61</v>
      </c>
      <c r="G2054" s="34" t="s">
        <v>100</v>
      </c>
      <c r="H2054" s="34" t="s">
        <v>39</v>
      </c>
      <c r="I2054" s="35">
        <v>1</v>
      </c>
      <c r="J2054" s="35">
        <v>1</v>
      </c>
      <c r="K2054" s="35">
        <v>20</v>
      </c>
      <c r="L2054" s="60" t="str">
        <f>HYPERLINK("https://www.sds-group.ru/product/svetilnik-magnitnyy-perenosnoy-s-3-krepleniyami-kruglyy-chernyy-rexant-609-042/", "Инфо")</f>
        <v>Инфо</v>
      </c>
      <c r="M2054" s="37">
        <v>0.64300000000000002</v>
      </c>
      <c r="N2054" s="38">
        <v>1.2179999999999999E-3</v>
      </c>
      <c r="O2054" s="141">
        <v>4601004296169</v>
      </c>
    </row>
    <row r="2055" spans="1:15" s="1" customFormat="1" ht="11.45" customHeight="1" outlineLevel="4" x14ac:dyDescent="0.2">
      <c r="A2055" s="32" t="s">
        <v>19750</v>
      </c>
      <c r="B2055" s="74" t="s">
        <v>19751</v>
      </c>
      <c r="C2055" s="50"/>
      <c r="D2055" s="139">
        <f t="shared" si="31"/>
        <v>0</v>
      </c>
      <c r="E2055" s="140">
        <v>240.01</v>
      </c>
      <c r="F2055" s="140">
        <v>196.73</v>
      </c>
      <c r="G2055" s="34" t="s">
        <v>100</v>
      </c>
      <c r="H2055" s="34" t="s">
        <v>39</v>
      </c>
      <c r="I2055" s="35">
        <v>1</v>
      </c>
      <c r="J2055" s="35">
        <v>1</v>
      </c>
      <c r="K2055" s="35">
        <v>50</v>
      </c>
      <c r="L2055" s="60" t="str">
        <f>HYPERLINK("https://www.sds-group.ru/product/svetilnik-nastolnyy-crystal-sensornyy-rgb-rexant-609-040/", "Инфо")</f>
        <v>Инфо</v>
      </c>
      <c r="M2055" s="37">
        <v>0.39300000000000002</v>
      </c>
      <c r="N2055" s="38">
        <v>2.7550000000000001E-3</v>
      </c>
      <c r="O2055" s="141">
        <v>4601004288041</v>
      </c>
    </row>
    <row r="2056" spans="1:15" s="1" customFormat="1" ht="11.45" customHeight="1" outlineLevel="4" x14ac:dyDescent="0.2">
      <c r="A2056" s="32" t="s">
        <v>19752</v>
      </c>
      <c r="B2056" s="74" t="s">
        <v>19753</v>
      </c>
      <c r="C2056" s="50"/>
      <c r="D2056" s="139">
        <f t="shared" si="31"/>
        <v>0</v>
      </c>
      <c r="E2056" s="140">
        <v>740.48</v>
      </c>
      <c r="F2056" s="140">
        <v>606.95000000000005</v>
      </c>
      <c r="G2056" s="34" t="s">
        <v>100</v>
      </c>
      <c r="H2056" s="34" t="s">
        <v>39</v>
      </c>
      <c r="I2056" s="35">
        <v>1</v>
      </c>
      <c r="J2056" s="35">
        <v>1</v>
      </c>
      <c r="K2056" s="35">
        <v>30</v>
      </c>
      <c r="L2056" s="60" t="str">
        <f>HYPERLINK("https://www.sds-group.ru/product/svetilnik-nastolnyy-rexant-status-led-usb-zaryadka-ustroystv-2700-6500-k-dimmirovanie-220-v--75-0219/", "Инфо")</f>
        <v>Инфо</v>
      </c>
      <c r="M2056" s="37">
        <v>0.71699999999999997</v>
      </c>
      <c r="N2056" s="38">
        <v>4.0130000000000001E-3</v>
      </c>
      <c r="O2056" s="141">
        <v>4601004201347</v>
      </c>
    </row>
    <row r="2057" spans="1:15" ht="11.45" customHeight="1" outlineLevel="2" x14ac:dyDescent="0.2">
      <c r="A2057" s="76" t="s">
        <v>19760</v>
      </c>
      <c r="B2057" s="136"/>
      <c r="C2057" s="77"/>
      <c r="D2057" s="137"/>
      <c r="E2057" s="4"/>
      <c r="F2057" s="4"/>
      <c r="G2057" s="4"/>
      <c r="H2057" s="4"/>
      <c r="I2057" s="4"/>
      <c r="J2057" s="4"/>
      <c r="K2057" s="4"/>
      <c r="L2057" s="138"/>
      <c r="M2057" s="4"/>
      <c r="N2057" s="4"/>
      <c r="O2057" s="4"/>
    </row>
    <row r="2058" spans="1:15" ht="11.45" customHeight="1" outlineLevel="3" x14ac:dyDescent="0.2">
      <c r="A2058" s="76" t="s">
        <v>19761</v>
      </c>
      <c r="B2058" s="136"/>
      <c r="C2058" s="77"/>
      <c r="D2058" s="137"/>
      <c r="E2058" s="4"/>
      <c r="F2058" s="4"/>
      <c r="G2058" s="4"/>
      <c r="H2058" s="4"/>
      <c r="I2058" s="4"/>
      <c r="J2058" s="4"/>
      <c r="K2058" s="4"/>
      <c r="L2058" s="138"/>
      <c r="M2058" s="4"/>
      <c r="N2058" s="4"/>
      <c r="O2058" s="4"/>
    </row>
    <row r="2059" spans="1:15" s="1" customFormat="1" ht="11.45" customHeight="1" outlineLevel="4" x14ac:dyDescent="0.2">
      <c r="A2059" s="32" t="s">
        <v>19762</v>
      </c>
      <c r="B2059" s="74" t="s">
        <v>19763</v>
      </c>
      <c r="C2059" s="50"/>
      <c r="D2059" s="139">
        <f t="shared" ref="D2059:D2122" si="32">C2059*E2059</f>
        <v>0</v>
      </c>
      <c r="E2059" s="140">
        <v>165.48</v>
      </c>
      <c r="F2059" s="140">
        <v>135.63999999999999</v>
      </c>
      <c r="G2059" s="34" t="s">
        <v>100</v>
      </c>
      <c r="H2059" s="34" t="s">
        <v>39</v>
      </c>
      <c r="I2059" s="35">
        <v>1</v>
      </c>
      <c r="J2059" s="35">
        <v>1</v>
      </c>
      <c r="K2059" s="35">
        <v>50</v>
      </c>
      <c r="L2059" s="60" t="str">
        <f>HYPERLINK("https://www.sds-group.ru/product/modul-svetodiodnyy-s-drayverom-rexant-36-vt-2700-6500-k-led-dimmiruemyy-cherez-vyklyuchatel-615-102/", "Инфо")</f>
        <v>Инфо</v>
      </c>
      <c r="M2059" s="37">
        <v>0.21</v>
      </c>
      <c r="N2059" s="38">
        <v>1.049E-3</v>
      </c>
      <c r="O2059" s="141">
        <v>4601004180451</v>
      </c>
    </row>
    <row r="2060" spans="1:15" s="1" customFormat="1" ht="11.45" customHeight="1" outlineLevel="4" x14ac:dyDescent="0.2">
      <c r="A2060" s="32" t="s">
        <v>19764</v>
      </c>
      <c r="B2060" s="74" t="s">
        <v>19765</v>
      </c>
      <c r="C2060" s="50"/>
      <c r="D2060" s="139">
        <f t="shared" si="32"/>
        <v>0</v>
      </c>
      <c r="E2060" s="140">
        <v>292.06</v>
      </c>
      <c r="F2060" s="140">
        <v>239.39</v>
      </c>
      <c r="G2060" s="34" t="s">
        <v>100</v>
      </c>
      <c r="H2060" s="34" t="s">
        <v>39</v>
      </c>
      <c r="I2060" s="35">
        <v>1</v>
      </c>
      <c r="J2060" s="35">
        <v>1</v>
      </c>
      <c r="K2060" s="35">
        <v>25</v>
      </c>
      <c r="L2060" s="60" t="str">
        <f>HYPERLINK("https://www.sds-group.ru/product/modul-svetodiodnyy-s-drayverom-rexant-48-vt-2700-6500-k-led-dimmiruemyy-s-pultom-distantsion-615-104/", "Инфо")</f>
        <v>Инфо</v>
      </c>
      <c r="M2060" s="37">
        <v>0.308</v>
      </c>
      <c r="N2060" s="38">
        <v>2.2109999999999999E-3</v>
      </c>
      <c r="O2060" s="141">
        <v>4601004180475</v>
      </c>
    </row>
    <row r="2061" spans="1:15" ht="11.45" customHeight="1" outlineLevel="2" x14ac:dyDescent="0.2">
      <c r="A2061" s="76" t="s">
        <v>19766</v>
      </c>
      <c r="B2061" s="136"/>
      <c r="C2061" s="77"/>
      <c r="D2061" s="137"/>
      <c r="E2061" s="4"/>
      <c r="F2061" s="4"/>
      <c r="G2061" s="4"/>
      <c r="H2061" s="4"/>
      <c r="I2061" s="4"/>
      <c r="J2061" s="4"/>
      <c r="K2061" s="4"/>
      <c r="L2061" s="138"/>
      <c r="M2061" s="4"/>
      <c r="N2061" s="4"/>
      <c r="O2061" s="4"/>
    </row>
    <row r="2062" spans="1:15" s="1" customFormat="1" ht="11.45" customHeight="1" outlineLevel="3" x14ac:dyDescent="0.2">
      <c r="A2062" s="32" t="s">
        <v>19767</v>
      </c>
      <c r="B2062" s="74" t="s">
        <v>19768</v>
      </c>
      <c r="C2062" s="50"/>
      <c r="D2062" s="139">
        <f t="shared" si="32"/>
        <v>0</v>
      </c>
      <c r="E2062" s="140">
        <v>18.850000000000001</v>
      </c>
      <c r="F2062" s="140">
        <v>15.45</v>
      </c>
      <c r="G2062" s="34" t="s">
        <v>100</v>
      </c>
      <c r="H2062" s="34" t="s">
        <v>39</v>
      </c>
      <c r="I2062" s="35">
        <v>1</v>
      </c>
      <c r="J2062" s="35">
        <v>1</v>
      </c>
      <c r="K2062" s="35">
        <v>200</v>
      </c>
      <c r="L2062" s="60" t="str">
        <f>HYPERLINK("https://www.sds-group.ru/product/konnektor-dlya-odnofaznogo-shinoprovoda-i-obraznyy-belyy-rexant-612-004/", "Инфо")</f>
        <v>Инфо</v>
      </c>
      <c r="M2062" s="37">
        <v>1.7999999999999999E-2</v>
      </c>
      <c r="N2062" s="38">
        <v>2.2100000000000001E-4</v>
      </c>
      <c r="O2062" s="141">
        <v>4601004173644</v>
      </c>
    </row>
    <row r="2063" spans="1:15" s="1" customFormat="1" ht="11.45" customHeight="1" outlineLevel="3" x14ac:dyDescent="0.2">
      <c r="A2063" s="32" t="s">
        <v>19769</v>
      </c>
      <c r="B2063" s="74" t="s">
        <v>19770</v>
      </c>
      <c r="C2063" s="50"/>
      <c r="D2063" s="139">
        <f t="shared" si="32"/>
        <v>0</v>
      </c>
      <c r="E2063" s="140">
        <v>47.54</v>
      </c>
      <c r="F2063" s="140">
        <v>38.97</v>
      </c>
      <c r="G2063" s="34" t="s">
        <v>100</v>
      </c>
      <c r="H2063" s="34" t="s">
        <v>39</v>
      </c>
      <c r="I2063" s="35">
        <v>1</v>
      </c>
      <c r="J2063" s="35">
        <v>1</v>
      </c>
      <c r="K2063" s="35">
        <v>200</v>
      </c>
      <c r="L2063" s="60" t="str">
        <f>HYPERLINK("https://www.sds-group.ru/product/konnektor-dlya-odnofaznogo-shinoprovoda-t-obraznyy-belyy-rexant-612-006/", "Инфо")</f>
        <v>Инфо</v>
      </c>
      <c r="M2063" s="37">
        <v>2.7E-2</v>
      </c>
      <c r="N2063" s="38">
        <v>2.0900000000000001E-4</v>
      </c>
      <c r="O2063" s="141">
        <v>4601004173668</v>
      </c>
    </row>
    <row r="2064" spans="1:15" s="1" customFormat="1" ht="11.45" customHeight="1" outlineLevel="3" x14ac:dyDescent="0.2">
      <c r="A2064" s="32" t="s">
        <v>19771</v>
      </c>
      <c r="B2064" s="74" t="s">
        <v>19772</v>
      </c>
      <c r="C2064" s="50"/>
      <c r="D2064" s="139">
        <f t="shared" si="32"/>
        <v>0</v>
      </c>
      <c r="E2064" s="140">
        <v>47.54</v>
      </c>
      <c r="F2064" s="140">
        <v>38.97</v>
      </c>
      <c r="G2064" s="34" t="s">
        <v>100</v>
      </c>
      <c r="H2064" s="34" t="s">
        <v>39</v>
      </c>
      <c r="I2064" s="35">
        <v>1</v>
      </c>
      <c r="J2064" s="35">
        <v>1</v>
      </c>
      <c r="K2064" s="35">
        <v>200</v>
      </c>
      <c r="L2064" s="60" t="str">
        <f>HYPERLINK("https://www.sds-group.ru/product/konnektor-dlya-odnofaznogo-shinoprovoda-t-obraznyy-chernyy-rexant-612-012/", "Инфо")</f>
        <v>Инфо</v>
      </c>
      <c r="M2064" s="37">
        <v>2.8000000000000001E-2</v>
      </c>
      <c r="N2064" s="38">
        <v>1.66E-4</v>
      </c>
      <c r="O2064" s="141">
        <v>4601004173729</v>
      </c>
    </row>
    <row r="2065" spans="1:15" s="1" customFormat="1" ht="11.45" customHeight="1" outlineLevel="3" x14ac:dyDescent="0.2">
      <c r="A2065" s="32" t="s">
        <v>19773</v>
      </c>
      <c r="B2065" s="74" t="s">
        <v>19774</v>
      </c>
      <c r="C2065" s="50"/>
      <c r="D2065" s="139">
        <f t="shared" si="32"/>
        <v>0</v>
      </c>
      <c r="E2065" s="140">
        <v>61.32</v>
      </c>
      <c r="F2065" s="140">
        <v>50.26</v>
      </c>
      <c r="G2065" s="34" t="s">
        <v>100</v>
      </c>
      <c r="H2065" s="34" t="s">
        <v>39</v>
      </c>
      <c r="I2065" s="35">
        <v>1</v>
      </c>
      <c r="J2065" s="35">
        <v>1</v>
      </c>
      <c r="K2065" s="35">
        <v>200</v>
      </c>
      <c r="L2065" s="60" t="str">
        <f>HYPERLINK("https://www.sds-group.ru/product/konnektor-dlya-odnofaznogo-shinoprovoda-x-obraznyy-belyy-rexant-612-007/", "Инфо")</f>
        <v>Инфо</v>
      </c>
      <c r="M2065" s="37">
        <v>3.7999999999999999E-2</v>
      </c>
      <c r="N2065" s="38">
        <v>3.7300000000000001E-4</v>
      </c>
      <c r="O2065" s="141">
        <v>4601004173675</v>
      </c>
    </row>
    <row r="2066" spans="1:15" s="1" customFormat="1" ht="11.45" customHeight="1" outlineLevel="3" x14ac:dyDescent="0.2">
      <c r="A2066" s="32" t="s">
        <v>19775</v>
      </c>
      <c r="B2066" s="74" t="s">
        <v>19776</v>
      </c>
      <c r="C2066" s="50"/>
      <c r="D2066" s="139">
        <f t="shared" si="32"/>
        <v>0</v>
      </c>
      <c r="E2066" s="140">
        <v>61.32</v>
      </c>
      <c r="F2066" s="140">
        <v>50.26</v>
      </c>
      <c r="G2066" s="34" t="s">
        <v>100</v>
      </c>
      <c r="H2066" s="34" t="s">
        <v>39</v>
      </c>
      <c r="I2066" s="35">
        <v>1</v>
      </c>
      <c r="J2066" s="35">
        <v>1</v>
      </c>
      <c r="K2066" s="35">
        <v>200</v>
      </c>
      <c r="L2066" s="60" t="str">
        <f>HYPERLINK("https://www.sds-group.ru/product/konnektor-dlya-odnofaznogo-shinoprovoda-x-obraznyy-chernyy-rexant-612-013/", "Инфо")</f>
        <v>Инфо</v>
      </c>
      <c r="M2066" s="37">
        <v>3.5999999999999997E-2</v>
      </c>
      <c r="N2066" s="38">
        <v>2.3000000000000001E-4</v>
      </c>
      <c r="O2066" s="141">
        <v>4601004173736</v>
      </c>
    </row>
    <row r="2067" spans="1:15" s="1" customFormat="1" ht="11.45" customHeight="1" outlineLevel="3" x14ac:dyDescent="0.2">
      <c r="A2067" s="32" t="s">
        <v>19777</v>
      </c>
      <c r="B2067" s="74" t="s">
        <v>19778</v>
      </c>
      <c r="C2067" s="50"/>
      <c r="D2067" s="139">
        <f t="shared" si="32"/>
        <v>0</v>
      </c>
      <c r="E2067" s="140">
        <v>81.99</v>
      </c>
      <c r="F2067" s="140">
        <v>67.2</v>
      </c>
      <c r="G2067" s="34" t="s">
        <v>100</v>
      </c>
      <c r="H2067" s="34" t="s">
        <v>39</v>
      </c>
      <c r="I2067" s="35">
        <v>1</v>
      </c>
      <c r="J2067" s="35">
        <v>1</v>
      </c>
      <c r="K2067" s="35">
        <v>100</v>
      </c>
      <c r="L2067" s="60" t="str">
        <f>HYPERLINK("https://www.sds-group.ru/product/komplekt-trosovyh-podvesov-dlya-shinoprovoda-s-regulirovkoy-vysoty-2m-2-sht-rexant-612-022/", "Инфо")</f>
        <v>Инфо</v>
      </c>
      <c r="M2067" s="37">
        <v>0.106</v>
      </c>
      <c r="N2067" s="38">
        <v>1.9599999999999999E-4</v>
      </c>
      <c r="O2067" s="141">
        <v>4601004173828</v>
      </c>
    </row>
    <row r="2068" spans="1:15" s="1" customFormat="1" ht="11.45" customHeight="1" outlineLevel="3" x14ac:dyDescent="0.2">
      <c r="A2068" s="32" t="s">
        <v>19779</v>
      </c>
      <c r="B2068" s="74" t="s">
        <v>19780</v>
      </c>
      <c r="C2068" s="50"/>
      <c r="D2068" s="139">
        <f t="shared" si="32"/>
        <v>0</v>
      </c>
      <c r="E2068" s="140">
        <v>129.35</v>
      </c>
      <c r="F2068" s="140">
        <v>106.02</v>
      </c>
      <c r="G2068" s="34" t="s">
        <v>100</v>
      </c>
      <c r="H2068" s="34" t="s">
        <v>39</v>
      </c>
      <c r="I2068" s="35">
        <v>1</v>
      </c>
      <c r="J2068" s="35">
        <v>1</v>
      </c>
      <c r="K2068" s="35">
        <v>60</v>
      </c>
      <c r="L2068" s="60" t="str">
        <f>HYPERLINK("https://www.sds-group.ru/product/svetilnik-svetodiodnyy-trekovyy-star-track-12vt-3000k-led-belyy-rexant-611-002/", "Инфо")</f>
        <v>Инфо</v>
      </c>
      <c r="M2068" s="37">
        <v>0.158</v>
      </c>
      <c r="N2068" s="38">
        <v>1.24E-3</v>
      </c>
      <c r="O2068" s="141">
        <v>4601004173538</v>
      </c>
    </row>
    <row r="2069" spans="1:15" s="1" customFormat="1" ht="11.45" customHeight="1" outlineLevel="3" x14ac:dyDescent="0.2">
      <c r="A2069" s="32" t="s">
        <v>19781</v>
      </c>
      <c r="B2069" s="74" t="s">
        <v>19782</v>
      </c>
      <c r="C2069" s="50"/>
      <c r="D2069" s="139">
        <f t="shared" si="32"/>
        <v>0</v>
      </c>
      <c r="E2069" s="140">
        <v>129.35</v>
      </c>
      <c r="F2069" s="140">
        <v>106.02</v>
      </c>
      <c r="G2069" s="34" t="s">
        <v>100</v>
      </c>
      <c r="H2069" s="34" t="s">
        <v>39</v>
      </c>
      <c r="I2069" s="35">
        <v>1</v>
      </c>
      <c r="J2069" s="35">
        <v>1</v>
      </c>
      <c r="K2069" s="35">
        <v>30</v>
      </c>
      <c r="L2069" s="60" t="str">
        <f>HYPERLINK("https://www.sds-group.ru/product/svetilnik-svetodiodnyy-trekovyy-star-track-12vt-4000k-led-belyy-rexant-611-001/", "Инфо")</f>
        <v>Инфо</v>
      </c>
      <c r="M2069" s="37">
        <v>0.158</v>
      </c>
      <c r="N2069" s="38">
        <v>1.3389999999999999E-3</v>
      </c>
      <c r="O2069" s="141">
        <v>4601004174009</v>
      </c>
    </row>
    <row r="2070" spans="1:15" s="1" customFormat="1" ht="11.45" customHeight="1" outlineLevel="3" x14ac:dyDescent="0.2">
      <c r="A2070" s="32" t="s">
        <v>19783</v>
      </c>
      <c r="B2070" s="74" t="s">
        <v>19784</v>
      </c>
      <c r="C2070" s="50"/>
      <c r="D2070" s="139">
        <f t="shared" si="32"/>
        <v>0</v>
      </c>
      <c r="E2070" s="140">
        <v>137.11000000000001</v>
      </c>
      <c r="F2070" s="140">
        <v>112.39</v>
      </c>
      <c r="G2070" s="34" t="s">
        <v>100</v>
      </c>
      <c r="H2070" s="34" t="s">
        <v>39</v>
      </c>
      <c r="I2070" s="35">
        <v>1</v>
      </c>
      <c r="J2070" s="35">
        <v>1</v>
      </c>
      <c r="K2070" s="35">
        <v>60</v>
      </c>
      <c r="L2070" s="60" t="str">
        <f>HYPERLINK("https://www.sds-group.ru/product/svetilnik-svetodiodnyy-trekovyy-star-track-12vt-4000k-led-chernyy-rexant-611-003/", "Инфо")</f>
        <v>Инфо</v>
      </c>
      <c r="M2070" s="37">
        <v>0.158</v>
      </c>
      <c r="N2070" s="38">
        <v>1.3209999999999999E-3</v>
      </c>
      <c r="O2070" s="141">
        <v>4601004173545</v>
      </c>
    </row>
    <row r="2071" spans="1:15" s="1" customFormat="1" ht="11.45" customHeight="1" outlineLevel="3" x14ac:dyDescent="0.2">
      <c r="A2071" s="32" t="s">
        <v>19785</v>
      </c>
      <c r="B2071" s="74" t="s">
        <v>19786</v>
      </c>
      <c r="C2071" s="50"/>
      <c r="D2071" s="139">
        <f t="shared" si="32"/>
        <v>0</v>
      </c>
      <c r="E2071" s="140">
        <v>155.35</v>
      </c>
      <c r="F2071" s="140">
        <v>127.34</v>
      </c>
      <c r="G2071" s="34" t="s">
        <v>100</v>
      </c>
      <c r="H2071" s="34" t="s">
        <v>39</v>
      </c>
      <c r="I2071" s="35">
        <v>1</v>
      </c>
      <c r="J2071" s="35">
        <v>1</v>
      </c>
      <c r="K2071" s="35">
        <v>30</v>
      </c>
      <c r="L2071" s="60" t="str">
        <f>HYPERLINK("https://www.sds-group.ru/product/svetilnik-svetodiodnyy-trekovyy-star-track-20vt-4000k-led-belyy-rexant-611-005/", "Инфо")</f>
        <v>Инфо</v>
      </c>
      <c r="M2071" s="37">
        <v>0.20399999999999999</v>
      </c>
      <c r="N2071" s="38">
        <v>1.604E-3</v>
      </c>
      <c r="O2071" s="141">
        <v>4601004173569</v>
      </c>
    </row>
    <row r="2072" spans="1:15" s="1" customFormat="1" ht="11.45" customHeight="1" outlineLevel="3" x14ac:dyDescent="0.2">
      <c r="A2072" s="32" t="s">
        <v>19787</v>
      </c>
      <c r="B2072" s="74" t="s">
        <v>19788</v>
      </c>
      <c r="C2072" s="50"/>
      <c r="D2072" s="139">
        <f t="shared" si="32"/>
        <v>0</v>
      </c>
      <c r="E2072" s="140">
        <v>103.35</v>
      </c>
      <c r="F2072" s="140">
        <v>84.71</v>
      </c>
      <c r="G2072" s="34" t="s">
        <v>100</v>
      </c>
      <c r="H2072" s="34" t="s">
        <v>39</v>
      </c>
      <c r="I2072" s="35">
        <v>1</v>
      </c>
      <c r="J2072" s="35">
        <v>1</v>
      </c>
      <c r="K2072" s="35">
        <v>40</v>
      </c>
      <c r="L2072" s="60" t="str">
        <f>HYPERLINK("https://www.sds-group.ru/product/shinoprovod-odnofaznyy-s-kabelnym-vvodom-i-zaglushkoy-dlya-trekovyh-svetilnikov-1m-belyy-rex-612-001/", "Инфо")</f>
        <v>Инфо</v>
      </c>
      <c r="M2072" s="37">
        <v>0.17599999999999999</v>
      </c>
      <c r="N2072" s="38">
        <v>4.95E-4</v>
      </c>
      <c r="O2072" s="141">
        <v>4601004173613</v>
      </c>
    </row>
    <row r="2073" spans="1:15" s="1" customFormat="1" ht="11.45" customHeight="1" outlineLevel="3" x14ac:dyDescent="0.2">
      <c r="A2073" s="32" t="s">
        <v>19789</v>
      </c>
      <c r="B2073" s="74" t="s">
        <v>19790</v>
      </c>
      <c r="C2073" s="50"/>
      <c r="D2073" s="139">
        <f t="shared" si="32"/>
        <v>0</v>
      </c>
      <c r="E2073" s="140">
        <v>109.55</v>
      </c>
      <c r="F2073" s="140">
        <v>89.8</v>
      </c>
      <c r="G2073" s="34" t="s">
        <v>100</v>
      </c>
      <c r="H2073" s="34" t="s">
        <v>39</v>
      </c>
      <c r="I2073" s="35">
        <v>1</v>
      </c>
      <c r="J2073" s="35">
        <v>1</v>
      </c>
      <c r="K2073" s="35">
        <v>40</v>
      </c>
      <c r="L2073" s="60" t="str">
        <f>HYPERLINK("https://www.sds-group.ru/product/shinoprovod-odnofaznyy-s-kabelnym-vvodom-i-zaglushkoy-dlya-trekovyh-svetilnikov-1m-chernyy-r-612-002/", "Инфо")</f>
        <v>Инфо</v>
      </c>
      <c r="M2073" s="37">
        <v>0.17699999999999999</v>
      </c>
      <c r="N2073" s="38">
        <v>4.6500000000000003E-4</v>
      </c>
      <c r="O2073" s="141">
        <v>4601004173620</v>
      </c>
    </row>
    <row r="2074" spans="1:15" ht="11.45" customHeight="1" outlineLevel="2" x14ac:dyDescent="0.2">
      <c r="A2074" s="76" t="s">
        <v>19791</v>
      </c>
      <c r="B2074" s="136"/>
      <c r="C2074" s="77"/>
      <c r="D2074" s="137"/>
      <c r="E2074" s="4"/>
      <c r="F2074" s="4"/>
      <c r="G2074" s="4"/>
      <c r="H2074" s="4"/>
      <c r="I2074" s="4"/>
      <c r="J2074" s="4"/>
      <c r="K2074" s="4"/>
      <c r="L2074" s="138"/>
      <c r="M2074" s="4"/>
      <c r="N2074" s="4"/>
      <c r="O2074" s="4"/>
    </row>
    <row r="2075" spans="1:15" ht="11.45" customHeight="1" outlineLevel="3" x14ac:dyDescent="0.2">
      <c r="A2075" s="76" t="s">
        <v>19792</v>
      </c>
      <c r="B2075" s="136"/>
      <c r="C2075" s="77"/>
      <c r="D2075" s="137"/>
      <c r="E2075" s="4"/>
      <c r="F2075" s="4"/>
      <c r="G2075" s="4"/>
      <c r="H2075" s="4"/>
      <c r="I2075" s="4"/>
      <c r="J2075" s="4"/>
      <c r="K2075" s="4"/>
      <c r="L2075" s="138"/>
      <c r="M2075" s="4"/>
      <c r="N2075" s="4"/>
      <c r="O2075" s="4"/>
    </row>
    <row r="2076" spans="1:15" s="1" customFormat="1" ht="11.45" customHeight="1" outlineLevel="4" x14ac:dyDescent="0.2">
      <c r="A2076" s="32" t="s">
        <v>19793</v>
      </c>
      <c r="B2076" s="74" t="s">
        <v>19794</v>
      </c>
      <c r="C2076" s="50"/>
      <c r="D2076" s="139">
        <f t="shared" si="32"/>
        <v>0</v>
      </c>
      <c r="E2076" s="140">
        <v>126.71</v>
      </c>
      <c r="F2076" s="140">
        <v>103.86</v>
      </c>
      <c r="G2076" s="34" t="s">
        <v>100</v>
      </c>
      <c r="H2076" s="34" t="s">
        <v>39</v>
      </c>
      <c r="I2076" s="35">
        <v>1</v>
      </c>
      <c r="J2076" s="35">
        <v>1</v>
      </c>
      <c r="K2076" s="35">
        <v>45</v>
      </c>
      <c r="L2076" s="60" t="str">
        <f>HYPERLINK("https://www.sds-group.ru/product/svetilnik-vstraivaemyy-povorotnyy-rexant-horeca-dark-light-s-antiosleplyayuschim-effektom-1-615-1005/", "Инфо")</f>
        <v>Инфо</v>
      </c>
      <c r="M2076" s="37">
        <v>0.29899999999999999</v>
      </c>
      <c r="N2076" s="38">
        <v>1.2470000000000001E-3</v>
      </c>
      <c r="O2076" s="141">
        <v>4601004173897</v>
      </c>
    </row>
    <row r="2077" spans="1:15" s="1" customFormat="1" ht="11.45" customHeight="1" outlineLevel="4" x14ac:dyDescent="0.2">
      <c r="A2077" s="32" t="s">
        <v>19795</v>
      </c>
      <c r="B2077" s="74" t="s">
        <v>19796</v>
      </c>
      <c r="C2077" s="50"/>
      <c r="D2077" s="139">
        <f t="shared" si="32"/>
        <v>0</v>
      </c>
      <c r="E2077" s="140">
        <v>120.25</v>
      </c>
      <c r="F2077" s="140">
        <v>98.57</v>
      </c>
      <c r="G2077" s="34" t="s">
        <v>100</v>
      </c>
      <c r="H2077" s="34" t="s">
        <v>39</v>
      </c>
      <c r="I2077" s="35">
        <v>1</v>
      </c>
      <c r="J2077" s="35">
        <v>1</v>
      </c>
      <c r="K2077" s="35">
        <v>45</v>
      </c>
      <c r="L2077" s="60" t="str">
        <f>HYPERLINK("https://www.sds-group.ru/product/svetilnik-vstraivaemyy-povorotnyy-rexant-horeca-dark-light-s-antiosleplyayuschim-effektom-1-615-1004/", "Инфо")</f>
        <v>Инфо</v>
      </c>
      <c r="M2077" s="37">
        <v>0.314</v>
      </c>
      <c r="N2077" s="38">
        <v>1.3290000000000001E-3</v>
      </c>
      <c r="O2077" s="141">
        <v>4601004173880</v>
      </c>
    </row>
    <row r="2078" spans="1:15" ht="11.45" customHeight="1" outlineLevel="3" x14ac:dyDescent="0.2">
      <c r="A2078" s="76" t="s">
        <v>19797</v>
      </c>
      <c r="B2078" s="136"/>
      <c r="C2078" s="77"/>
      <c r="D2078" s="137"/>
      <c r="E2078" s="4"/>
      <c r="F2078" s="4"/>
      <c r="G2078" s="4"/>
      <c r="H2078" s="4"/>
      <c r="I2078" s="4"/>
      <c r="J2078" s="4"/>
      <c r="K2078" s="4"/>
      <c r="L2078" s="138"/>
      <c r="M2078" s="4"/>
      <c r="N2078" s="4"/>
      <c r="O2078" s="4"/>
    </row>
    <row r="2079" spans="1:15" s="1" customFormat="1" ht="11.45" customHeight="1" outlineLevel="4" x14ac:dyDescent="0.2">
      <c r="A2079" s="32" t="s">
        <v>19798</v>
      </c>
      <c r="B2079" s="74" t="s">
        <v>19799</v>
      </c>
      <c r="C2079" s="50"/>
      <c r="D2079" s="139">
        <f t="shared" si="32"/>
        <v>0</v>
      </c>
      <c r="E2079" s="140">
        <v>129.35</v>
      </c>
      <c r="F2079" s="140">
        <v>106.02</v>
      </c>
      <c r="G2079" s="34" t="s">
        <v>100</v>
      </c>
      <c r="H2079" s="34" t="s">
        <v>39</v>
      </c>
      <c r="I2079" s="35">
        <v>1</v>
      </c>
      <c r="J2079" s="35">
        <v>1</v>
      </c>
      <c r="K2079" s="35">
        <v>120</v>
      </c>
      <c r="L2079" s="60" t="str">
        <f>HYPERLINK("https://www.sds-group.ru/product/svetilnik-universalnyy-rexant-sirius-15-vt-4000-k-led-belyy-615-001/", "Инфо")</f>
        <v>Инфо</v>
      </c>
      <c r="M2079" s="37">
        <v>0.153</v>
      </c>
      <c r="N2079" s="38">
        <v>3.8400000000000001E-4</v>
      </c>
      <c r="O2079" s="141">
        <v>4601004173910</v>
      </c>
    </row>
    <row r="2080" spans="1:15" s="1" customFormat="1" ht="11.45" customHeight="1" outlineLevel="4" x14ac:dyDescent="0.2">
      <c r="A2080" s="32" t="s">
        <v>19800</v>
      </c>
      <c r="B2080" s="74" t="s">
        <v>19801</v>
      </c>
      <c r="C2080" s="50"/>
      <c r="D2080" s="139">
        <f t="shared" si="32"/>
        <v>0</v>
      </c>
      <c r="E2080" s="140">
        <v>129.35</v>
      </c>
      <c r="F2080" s="140">
        <v>106.02</v>
      </c>
      <c r="G2080" s="34" t="s">
        <v>100</v>
      </c>
      <c r="H2080" s="34" t="s">
        <v>39</v>
      </c>
      <c r="I2080" s="35">
        <v>1</v>
      </c>
      <c r="J2080" s="35">
        <v>1</v>
      </c>
      <c r="K2080" s="35">
        <v>120</v>
      </c>
      <c r="L2080" s="60" t="str">
        <f>HYPERLINK("https://www.sds-group.ru/product/svetilnik-universalnyy-rexant-sirius-15-vt-4000-k-led-chernyy-615-002/", "Инфо")</f>
        <v>Инфо</v>
      </c>
      <c r="M2080" s="37">
        <v>0.14899999999999999</v>
      </c>
      <c r="N2080" s="38">
        <v>4.2099999999999999E-4</v>
      </c>
      <c r="O2080" s="141">
        <v>4601004173927</v>
      </c>
    </row>
    <row r="2081" spans="1:15" ht="11.45" customHeight="1" outlineLevel="3" x14ac:dyDescent="0.2">
      <c r="A2081" s="76" t="s">
        <v>19802</v>
      </c>
      <c r="B2081" s="136"/>
      <c r="C2081" s="77"/>
      <c r="D2081" s="137"/>
      <c r="E2081" s="4"/>
      <c r="F2081" s="4"/>
      <c r="G2081" s="4"/>
      <c r="H2081" s="4"/>
      <c r="I2081" s="4"/>
      <c r="J2081" s="4"/>
      <c r="K2081" s="4"/>
      <c r="L2081" s="138"/>
      <c r="M2081" s="4"/>
      <c r="N2081" s="4"/>
      <c r="O2081" s="4"/>
    </row>
    <row r="2082" spans="1:15" s="1" customFormat="1" ht="11.45" customHeight="1" outlineLevel="4" x14ac:dyDescent="0.2">
      <c r="A2082" s="32" t="s">
        <v>19803</v>
      </c>
      <c r="B2082" s="74" t="s">
        <v>19804</v>
      </c>
      <c r="C2082" s="50"/>
      <c r="D2082" s="139">
        <f t="shared" si="32"/>
        <v>0</v>
      </c>
      <c r="E2082" s="140">
        <v>38.35</v>
      </c>
      <c r="F2082" s="140">
        <v>31.43</v>
      </c>
      <c r="G2082" s="34" t="s">
        <v>100</v>
      </c>
      <c r="H2082" s="34" t="s">
        <v>39</v>
      </c>
      <c r="I2082" s="35">
        <v>1</v>
      </c>
      <c r="J2082" s="35">
        <v>1</v>
      </c>
      <c r="K2082" s="35">
        <v>100</v>
      </c>
      <c r="L2082" s="60" t="str">
        <f>HYPERLINK("https://www.sds-group.ru/product/svetilnik-svetodiodnyy-vstraivaemyy-rexant-aurora-sunset-sparta-s-izmenyaemoy-tsvetovoy-temp-623-001/", "Инфо")</f>
        <v>Инфо</v>
      </c>
      <c r="M2082" s="37">
        <v>0.13</v>
      </c>
      <c r="N2082" s="38">
        <v>7.5500000000000003E-4</v>
      </c>
      <c r="O2082" s="141">
        <v>4601004173354</v>
      </c>
    </row>
    <row r="2083" spans="1:15" s="1" customFormat="1" ht="11.45" customHeight="1" outlineLevel="4" x14ac:dyDescent="0.2">
      <c r="A2083" s="32" t="s">
        <v>19805</v>
      </c>
      <c r="B2083" s="74" t="s">
        <v>19806</v>
      </c>
      <c r="C2083" s="50"/>
      <c r="D2083" s="139">
        <f t="shared" si="32"/>
        <v>0</v>
      </c>
      <c r="E2083" s="140">
        <v>38.35</v>
      </c>
      <c r="F2083" s="140">
        <v>31.43</v>
      </c>
      <c r="G2083" s="34" t="s">
        <v>100</v>
      </c>
      <c r="H2083" s="34" t="s">
        <v>39</v>
      </c>
      <c r="I2083" s="35">
        <v>1</v>
      </c>
      <c r="J2083" s="35">
        <v>1</v>
      </c>
      <c r="K2083" s="35">
        <v>100</v>
      </c>
      <c r="L2083" s="60" t="str">
        <f>HYPERLINK("https://www.sds-group.ru/product/svetilnik-svetodiodnyy-nakladnoy-rexant-aurorasunset-wave-s-izmenyaemoy-tsvetovoy-temperatu-615-1300/", "Инфо")</f>
        <v>Инфо</v>
      </c>
      <c r="M2083" s="37">
        <v>0.13500000000000001</v>
      </c>
      <c r="N2083" s="38">
        <v>5.5699999999999999E-4</v>
      </c>
      <c r="O2083" s="141">
        <v>4601004198128</v>
      </c>
    </row>
    <row r="2084" spans="1:15" ht="11.45" customHeight="1" outlineLevel="2" x14ac:dyDescent="0.2">
      <c r="A2084" s="76" t="s">
        <v>19807</v>
      </c>
      <c r="B2084" s="136"/>
      <c r="C2084" s="77"/>
      <c r="D2084" s="137"/>
      <c r="E2084" s="4"/>
      <c r="F2084" s="4"/>
      <c r="G2084" s="4"/>
      <c r="H2084" s="4"/>
      <c r="I2084" s="4"/>
      <c r="J2084" s="4"/>
      <c r="K2084" s="4"/>
      <c r="L2084" s="138"/>
      <c r="M2084" s="4"/>
      <c r="N2084" s="4"/>
      <c r="O2084" s="4"/>
    </row>
    <row r="2085" spans="1:15" ht="11.45" customHeight="1" outlineLevel="3" x14ac:dyDescent="0.2">
      <c r="A2085" s="76" t="s">
        <v>19808</v>
      </c>
      <c r="B2085" s="136"/>
      <c r="C2085" s="77"/>
      <c r="D2085" s="137"/>
      <c r="E2085" s="4"/>
      <c r="F2085" s="4"/>
      <c r="G2085" s="4"/>
      <c r="H2085" s="4"/>
      <c r="I2085" s="4"/>
      <c r="J2085" s="4"/>
      <c r="K2085" s="4"/>
      <c r="L2085" s="138"/>
      <c r="M2085" s="4"/>
      <c r="N2085" s="4"/>
      <c r="O2085" s="4"/>
    </row>
    <row r="2086" spans="1:15" s="1" customFormat="1" ht="11.45" customHeight="1" outlineLevel="4" x14ac:dyDescent="0.2">
      <c r="A2086" s="32" t="s">
        <v>19809</v>
      </c>
      <c r="B2086" s="74" t="s">
        <v>19810</v>
      </c>
      <c r="C2086" s="50"/>
      <c r="D2086" s="139">
        <f t="shared" si="32"/>
        <v>0</v>
      </c>
      <c r="E2086" s="140">
        <v>137.11000000000001</v>
      </c>
      <c r="F2086" s="140">
        <v>112.39</v>
      </c>
      <c r="G2086" s="34" t="s">
        <v>100</v>
      </c>
      <c r="H2086" s="34" t="s">
        <v>39</v>
      </c>
      <c r="I2086" s="35">
        <v>1</v>
      </c>
      <c r="J2086" s="35">
        <v>1</v>
      </c>
      <c r="K2086" s="35">
        <v>25</v>
      </c>
      <c r="L2086" s="60" t="str">
        <f>HYPERLINK("https://www.sds-group.ru/product/svetilnik-svetodiodnyy-dlya-rasteniy-rexant-green-line-14-vt-led-s-komplektom-krepleniy-616-001/", "Инфо")</f>
        <v>Инфо</v>
      </c>
      <c r="M2086" s="37">
        <v>0.189</v>
      </c>
      <c r="N2086" s="38">
        <v>9.7499999999999996E-4</v>
      </c>
      <c r="O2086" s="141">
        <v>4601004173934</v>
      </c>
    </row>
    <row r="2087" spans="1:15" ht="11.45" customHeight="1" outlineLevel="2" x14ac:dyDescent="0.2">
      <c r="A2087" s="76" t="s">
        <v>19811</v>
      </c>
      <c r="B2087" s="136"/>
      <c r="C2087" s="77"/>
      <c r="D2087" s="137"/>
      <c r="E2087" s="4"/>
      <c r="F2087" s="4"/>
      <c r="G2087" s="4"/>
      <c r="H2087" s="4"/>
      <c r="I2087" s="4"/>
      <c r="J2087" s="4"/>
      <c r="K2087" s="4"/>
      <c r="L2087" s="138"/>
      <c r="M2087" s="4"/>
      <c r="N2087" s="4"/>
      <c r="O2087" s="4"/>
    </row>
    <row r="2088" spans="1:15" s="1" customFormat="1" ht="11.45" customHeight="1" outlineLevel="3" x14ac:dyDescent="0.2">
      <c r="A2088" s="32" t="s">
        <v>19812</v>
      </c>
      <c r="B2088" s="74" t="s">
        <v>19813</v>
      </c>
      <c r="C2088" s="50"/>
      <c r="D2088" s="139">
        <f t="shared" si="32"/>
        <v>0</v>
      </c>
      <c r="E2088" s="140">
        <v>236.2</v>
      </c>
      <c r="F2088" s="140">
        <v>193.61</v>
      </c>
      <c r="G2088" s="34" t="s">
        <v>100</v>
      </c>
      <c r="H2088" s="34" t="s">
        <v>39</v>
      </c>
      <c r="I2088" s="35">
        <v>1</v>
      </c>
      <c r="J2088" s="35">
        <v>1</v>
      </c>
      <c r="K2088" s="35">
        <v>20</v>
      </c>
      <c r="L2088" s="60" t="str">
        <f>HYPERLINK("https://www.sds-group.ru/product/svetilnik-svetodiodnyy-universalnyy-cassiopea-4-vt-h-2-led-belyy-rexant-610-002/", "Инфо")</f>
        <v>Инфо</v>
      </c>
      <c r="M2088" s="37">
        <v>0.54200000000000004</v>
      </c>
      <c r="N2088" s="38">
        <v>1.369E-3</v>
      </c>
      <c r="O2088" s="141">
        <v>4601004170575</v>
      </c>
    </row>
    <row r="2089" spans="1:15" s="1" customFormat="1" ht="11.45" customHeight="1" outlineLevel="3" x14ac:dyDescent="0.2">
      <c r="A2089" s="32" t="s">
        <v>19814</v>
      </c>
      <c r="B2089" s="74" t="s">
        <v>19815</v>
      </c>
      <c r="C2089" s="50"/>
      <c r="D2089" s="139">
        <f t="shared" si="32"/>
        <v>0</v>
      </c>
      <c r="E2089" s="140">
        <v>495.79</v>
      </c>
      <c r="F2089" s="140">
        <v>406.39</v>
      </c>
      <c r="G2089" s="34" t="s">
        <v>100</v>
      </c>
      <c r="H2089" s="34" t="s">
        <v>39</v>
      </c>
      <c r="I2089" s="35">
        <v>1</v>
      </c>
      <c r="J2089" s="35">
        <v>1</v>
      </c>
      <c r="K2089" s="35">
        <v>20</v>
      </c>
      <c r="L2089" s="60" t="str">
        <f>HYPERLINK("https://www.sds-group.ru/product/svetilnik-svetodiodnyy-universalnyy-cassiopea-4-vt-h-2-led-chernyy-rexant-610-001/", "Инфо")</f>
        <v>Инфо</v>
      </c>
      <c r="M2089" s="37">
        <v>0.41699999999999998</v>
      </c>
      <c r="N2089" s="38">
        <v>1.4450000000000001E-3</v>
      </c>
      <c r="O2089" s="141">
        <v>4601004170506</v>
      </c>
    </row>
    <row r="2090" spans="1:15" ht="11.45" customHeight="1" outlineLevel="2" x14ac:dyDescent="0.2">
      <c r="A2090" s="76" t="s">
        <v>19816</v>
      </c>
      <c r="B2090" s="136"/>
      <c r="C2090" s="77"/>
      <c r="D2090" s="137"/>
      <c r="E2090" s="4"/>
      <c r="F2090" s="4"/>
      <c r="G2090" s="4"/>
      <c r="H2090" s="4"/>
      <c r="I2090" s="4"/>
      <c r="J2090" s="4"/>
      <c r="K2090" s="4"/>
      <c r="L2090" s="138"/>
      <c r="M2090" s="4"/>
      <c r="N2090" s="4"/>
      <c r="O2090" s="4"/>
    </row>
    <row r="2091" spans="1:15" ht="11.45" customHeight="1" outlineLevel="3" x14ac:dyDescent="0.2">
      <c r="A2091" s="76" t="s">
        <v>19833</v>
      </c>
      <c r="B2091" s="136"/>
      <c r="C2091" s="77"/>
      <c r="D2091" s="137"/>
      <c r="E2091" s="4"/>
      <c r="F2091" s="4"/>
      <c r="G2091" s="4"/>
      <c r="H2091" s="4"/>
      <c r="I2091" s="4"/>
      <c r="J2091" s="4"/>
      <c r="K2091" s="4"/>
      <c r="L2091" s="138"/>
      <c r="M2091" s="4"/>
      <c r="N2091" s="4"/>
      <c r="O2091" s="4"/>
    </row>
    <row r="2092" spans="1:15" s="1" customFormat="1" ht="11.45" customHeight="1" outlineLevel="4" x14ac:dyDescent="0.2">
      <c r="A2092" s="32" t="s">
        <v>19834</v>
      </c>
      <c r="B2092" s="74" t="s">
        <v>19835</v>
      </c>
      <c r="C2092" s="50"/>
      <c r="D2092" s="139">
        <f t="shared" si="32"/>
        <v>0</v>
      </c>
      <c r="E2092" s="140">
        <v>23.76</v>
      </c>
      <c r="F2092" s="140">
        <v>19.48</v>
      </c>
      <c r="G2092" s="34" t="s">
        <v>100</v>
      </c>
      <c r="H2092" s="34" t="s">
        <v>39</v>
      </c>
      <c r="I2092" s="35">
        <v>5</v>
      </c>
      <c r="J2092" s="35">
        <v>5</v>
      </c>
      <c r="K2092" s="35">
        <v>500</v>
      </c>
      <c r="L2092" s="60" t="str">
        <f>HYPERLINK("https://www.sds-group.ru/product/nakleyka-dlya-avariynogo-svetilnika-napravlenie-k-evakuatsionnomu-vyhodu-nalevo-vverh-rexa-74-0110-1/", "Инфо")</f>
        <v>Инфо</v>
      </c>
      <c r="M2092" s="37">
        <v>8.9999999999999993E-3</v>
      </c>
      <c r="N2092" s="38">
        <v>1.4E-5</v>
      </c>
      <c r="O2092" s="141">
        <v>4601004044968</v>
      </c>
    </row>
    <row r="2093" spans="1:15" ht="11.45" customHeight="1" outlineLevel="1" x14ac:dyDescent="0.2">
      <c r="A2093" s="78" t="s">
        <v>19844</v>
      </c>
      <c r="B2093" s="132"/>
      <c r="C2093" s="79"/>
      <c r="D2093" s="133"/>
      <c r="E2093" s="134"/>
      <c r="F2093" s="134"/>
      <c r="G2093" s="134"/>
      <c r="H2093" s="134"/>
      <c r="I2093" s="134"/>
      <c r="J2093" s="134"/>
      <c r="K2093" s="134"/>
      <c r="L2093" s="135"/>
      <c r="M2093" s="134"/>
      <c r="N2093" s="134"/>
      <c r="O2093" s="134"/>
    </row>
    <row r="2094" spans="1:15" ht="11.45" customHeight="1" outlineLevel="2" x14ac:dyDescent="0.2">
      <c r="A2094" s="76" t="s">
        <v>19845</v>
      </c>
      <c r="B2094" s="136"/>
      <c r="C2094" s="77"/>
      <c r="D2094" s="137"/>
      <c r="E2094" s="4"/>
      <c r="F2094" s="4"/>
      <c r="G2094" s="4"/>
      <c r="H2094" s="4"/>
      <c r="I2094" s="4"/>
      <c r="J2094" s="4"/>
      <c r="K2094" s="4"/>
      <c r="L2094" s="138"/>
      <c r="M2094" s="4"/>
      <c r="N2094" s="4"/>
      <c r="O2094" s="4"/>
    </row>
    <row r="2095" spans="1:15" s="1" customFormat="1" ht="11.45" customHeight="1" outlineLevel="3" x14ac:dyDescent="0.2">
      <c r="A2095" s="32" t="s">
        <v>19852</v>
      </c>
      <c r="B2095" s="74" t="s">
        <v>19853</v>
      </c>
      <c r="C2095" s="50"/>
      <c r="D2095" s="139">
        <f t="shared" si="32"/>
        <v>0</v>
      </c>
      <c r="E2095" s="140">
        <v>177.12</v>
      </c>
      <c r="F2095" s="140">
        <v>145.18</v>
      </c>
      <c r="G2095" s="34" t="s">
        <v>100</v>
      </c>
      <c r="H2095" s="34" t="s">
        <v>39</v>
      </c>
      <c r="I2095" s="35">
        <v>1</v>
      </c>
      <c r="J2095" s="35">
        <v>1</v>
      </c>
      <c r="K2095" s="35">
        <v>100</v>
      </c>
      <c r="L2095" s="60" t="str">
        <f>HYPERLINK("https://www.sds-group.ru/product/fonar-avtomobilnyy-dvuhrezhimnyy-na-podstavke-s-magnitom-kryukom-i-klipsoy-rexant-75-8002/", "Инфо")</f>
        <v>Инфо</v>
      </c>
      <c r="M2095" s="37">
        <v>7.5999999999999998E-2</v>
      </c>
      <c r="N2095" s="38">
        <v>3.2200000000000002E-4</v>
      </c>
      <c r="O2095" s="141">
        <v>4601004287358</v>
      </c>
    </row>
    <row r="2096" spans="1:15" s="1" customFormat="1" ht="11.45" customHeight="1" outlineLevel="3" x14ac:dyDescent="0.2">
      <c r="A2096" s="32" t="s">
        <v>19856</v>
      </c>
      <c r="B2096" s="74" t="s">
        <v>19857</v>
      </c>
      <c r="C2096" s="50"/>
      <c r="D2096" s="139">
        <f t="shared" si="32"/>
        <v>0</v>
      </c>
      <c r="E2096" s="140">
        <v>55.58</v>
      </c>
      <c r="F2096" s="140">
        <v>45.56</v>
      </c>
      <c r="G2096" s="34" t="s">
        <v>100</v>
      </c>
      <c r="H2096" s="34" t="s">
        <v>39</v>
      </c>
      <c r="I2096" s="35">
        <v>1</v>
      </c>
      <c r="J2096" s="35">
        <v>1</v>
      </c>
      <c r="K2096" s="35">
        <v>96</v>
      </c>
      <c r="L2096" s="60" t="str">
        <f>HYPERLINK("https://www.sds-group.ru/product/fonar-avtomobilnyy-trehrezhimnyy-sov-rexant-75-709/", "Инфо")</f>
        <v>Инфо</v>
      </c>
      <c r="M2096" s="37">
        <v>5.8999999999999997E-2</v>
      </c>
      <c r="N2096" s="38">
        <v>2.5300000000000002E-4</v>
      </c>
      <c r="O2096" s="141">
        <v>4601004193819</v>
      </c>
    </row>
    <row r="2097" spans="1:15" ht="11.45" customHeight="1" outlineLevel="2" x14ac:dyDescent="0.2">
      <c r="A2097" s="76" t="s">
        <v>19862</v>
      </c>
      <c r="B2097" s="136"/>
      <c r="C2097" s="77"/>
      <c r="D2097" s="137"/>
      <c r="E2097" s="4"/>
      <c r="F2097" s="4"/>
      <c r="G2097" s="4"/>
      <c r="H2097" s="4"/>
      <c r="I2097" s="4"/>
      <c r="J2097" s="4"/>
      <c r="K2097" s="4"/>
      <c r="L2097" s="138"/>
      <c r="M2097" s="4"/>
      <c r="N2097" s="4"/>
      <c r="O2097" s="4"/>
    </row>
    <row r="2098" spans="1:15" s="1" customFormat="1" ht="11.45" customHeight="1" outlineLevel="3" x14ac:dyDescent="0.2">
      <c r="A2098" s="32" t="s">
        <v>19877</v>
      </c>
      <c r="B2098" s="74" t="s">
        <v>19878</v>
      </c>
      <c r="C2098" s="50"/>
      <c r="D2098" s="139">
        <f t="shared" si="32"/>
        <v>0</v>
      </c>
      <c r="E2098" s="140">
        <v>197.54</v>
      </c>
      <c r="F2098" s="140">
        <v>161.91999999999999</v>
      </c>
      <c r="G2098" s="34" t="s">
        <v>100</v>
      </c>
      <c r="H2098" s="34" t="s">
        <v>39</v>
      </c>
      <c r="I2098" s="35">
        <v>1</v>
      </c>
      <c r="J2098" s="35">
        <v>1</v>
      </c>
      <c r="K2098" s="35">
        <v>150</v>
      </c>
      <c r="L2098" s="60" t="str">
        <f>HYPERLINK("https://www.sds-group.ru/product/fonar-universalnyy-trehrezhimnyy-v-alyuminievom-korpuse-s-naborom-otvertok-rexant-75-715/", "Инфо")</f>
        <v>Инфо</v>
      </c>
      <c r="M2098" s="37">
        <v>6.8000000000000005E-2</v>
      </c>
      <c r="N2098" s="38">
        <v>2.2000000000000001E-4</v>
      </c>
      <c r="O2098" s="141">
        <v>4601004193871</v>
      </c>
    </row>
    <row r="2099" spans="1:15" ht="11.45" customHeight="1" outlineLevel="2" x14ac:dyDescent="0.2">
      <c r="A2099" s="76" t="s">
        <v>19879</v>
      </c>
      <c r="B2099" s="136"/>
      <c r="C2099" s="77"/>
      <c r="D2099" s="137"/>
      <c r="E2099" s="4"/>
      <c r="F2099" s="4"/>
      <c r="G2099" s="4"/>
      <c r="H2099" s="4"/>
      <c r="I2099" s="4"/>
      <c r="J2099" s="4"/>
      <c r="K2099" s="4"/>
      <c r="L2099" s="138"/>
      <c r="M2099" s="4"/>
      <c r="N2099" s="4"/>
      <c r="O2099" s="4"/>
    </row>
    <row r="2100" spans="1:15" s="1" customFormat="1" ht="11.45" customHeight="1" outlineLevel="3" x14ac:dyDescent="0.2">
      <c r="A2100" s="32" t="s">
        <v>19886</v>
      </c>
      <c r="B2100" s="74" t="s">
        <v>19887</v>
      </c>
      <c r="C2100" s="50"/>
      <c r="D2100" s="139">
        <f t="shared" si="32"/>
        <v>0</v>
      </c>
      <c r="E2100" s="140">
        <v>315.35000000000002</v>
      </c>
      <c r="F2100" s="140">
        <v>258.48</v>
      </c>
      <c r="G2100" s="34" t="s">
        <v>100</v>
      </c>
      <c r="H2100" s="34" t="s">
        <v>39</v>
      </c>
      <c r="I2100" s="35">
        <v>1</v>
      </c>
      <c r="J2100" s="35">
        <v>1</v>
      </c>
      <c r="K2100" s="35">
        <v>240</v>
      </c>
      <c r="L2100" s="60" t="str">
        <f>HYPERLINK("https://www.sds-group.ru/product/fonar-nalobnyy-sverhlegkiy-s-prischepkoy-rexant-75-8011/", "Инфо")</f>
        <v>Инфо</v>
      </c>
      <c r="M2100" s="37">
        <v>0.109</v>
      </c>
      <c r="N2100" s="38">
        <v>1.2489999999999999E-3</v>
      </c>
      <c r="O2100" s="141">
        <v>4601004287440</v>
      </c>
    </row>
    <row r="2101" spans="1:15" s="1" customFormat="1" ht="11.45" customHeight="1" outlineLevel="3" x14ac:dyDescent="0.2">
      <c r="A2101" s="32" t="s">
        <v>19900</v>
      </c>
      <c r="B2101" s="74" t="s">
        <v>19901</v>
      </c>
      <c r="C2101" s="50"/>
      <c r="D2101" s="139">
        <f t="shared" si="32"/>
        <v>0</v>
      </c>
      <c r="E2101" s="140">
        <v>488.51</v>
      </c>
      <c r="F2101" s="140">
        <v>400.42</v>
      </c>
      <c r="G2101" s="34" t="s">
        <v>100</v>
      </c>
      <c r="H2101" s="34" t="s">
        <v>39</v>
      </c>
      <c r="I2101" s="35">
        <v>1</v>
      </c>
      <c r="J2101" s="35">
        <v>1</v>
      </c>
      <c r="K2101" s="35">
        <v>100</v>
      </c>
      <c r="L2101" s="60" t="str">
        <f>HYPERLINK("https://www.sds-group.ru/product/fonar-s-klipsoy-i-datchikom-dvizheniya-rexant-75-8004/", "Инфо")</f>
        <v>Инфо</v>
      </c>
      <c r="M2101" s="37">
        <v>8.1000000000000003E-2</v>
      </c>
      <c r="N2101" s="38">
        <v>2.9599999999999998E-4</v>
      </c>
      <c r="O2101" s="141">
        <v>4601004287372</v>
      </c>
    </row>
    <row r="2102" spans="1:15" ht="11.45" customHeight="1" outlineLevel="2" x14ac:dyDescent="0.2">
      <c r="A2102" s="76" t="s">
        <v>19905</v>
      </c>
      <c r="B2102" s="136"/>
      <c r="C2102" s="77"/>
      <c r="D2102" s="137"/>
      <c r="E2102" s="4"/>
      <c r="F2102" s="4"/>
      <c r="G2102" s="4"/>
      <c r="H2102" s="4"/>
      <c r="I2102" s="4"/>
      <c r="J2102" s="4"/>
      <c r="K2102" s="4"/>
      <c r="L2102" s="138"/>
      <c r="M2102" s="4"/>
      <c r="N2102" s="4"/>
      <c r="O2102" s="4"/>
    </row>
    <row r="2103" spans="1:15" s="1" customFormat="1" ht="11.45" customHeight="1" outlineLevel="3" x14ac:dyDescent="0.2">
      <c r="A2103" s="32" t="s">
        <v>19912</v>
      </c>
      <c r="B2103" s="74" t="s">
        <v>19913</v>
      </c>
      <c r="C2103" s="50"/>
      <c r="D2103" s="139">
        <f t="shared" si="32"/>
        <v>0</v>
      </c>
      <c r="E2103" s="140">
        <v>208.92</v>
      </c>
      <c r="F2103" s="140">
        <v>171.25</v>
      </c>
      <c r="G2103" s="34" t="s">
        <v>100</v>
      </c>
      <c r="H2103" s="34" t="s">
        <v>39</v>
      </c>
      <c r="I2103" s="35">
        <v>1</v>
      </c>
      <c r="J2103" s="35">
        <v>1</v>
      </c>
      <c r="K2103" s="35">
        <v>60</v>
      </c>
      <c r="L2103" s="60" t="str">
        <f>HYPERLINK("https://www.sds-group.ru/product/fonar-prozhektornyy-dvuhrezhimnyy-s-naplechnym-remnem-i-vstroennoy-solnechnoy-batareey-rexant-75-706/", "Инфо")</f>
        <v>Инфо</v>
      </c>
      <c r="M2103" s="37">
        <v>0.35899999999999999</v>
      </c>
      <c r="N2103" s="38">
        <v>2.088E-3</v>
      </c>
      <c r="O2103" s="141">
        <v>4601004193789</v>
      </c>
    </row>
    <row r="2104" spans="1:15" s="1" customFormat="1" ht="11.45" customHeight="1" outlineLevel="3" x14ac:dyDescent="0.2">
      <c r="A2104" s="32" t="s">
        <v>19914</v>
      </c>
      <c r="B2104" s="74" t="s">
        <v>19915</v>
      </c>
      <c r="C2104" s="50"/>
      <c r="D2104" s="139">
        <f t="shared" si="32"/>
        <v>0</v>
      </c>
      <c r="E2104" s="140">
        <v>655.16999999999996</v>
      </c>
      <c r="F2104" s="140">
        <v>537.02</v>
      </c>
      <c r="G2104" s="34" t="s">
        <v>100</v>
      </c>
      <c r="H2104" s="34" t="s">
        <v>39</v>
      </c>
      <c r="I2104" s="35">
        <v>1</v>
      </c>
      <c r="J2104" s="35">
        <v>1</v>
      </c>
      <c r="K2104" s="35">
        <v>40</v>
      </c>
      <c r="L2104" s="60" t="str">
        <f>HYPERLINK("https://www.sds-group.ru/product/fonar-prozhektornyy-dvuhrezhimnyy-s-solnechnoy-batareey-indikatorom-zaryadki-i-funktsiey-powe-75-721/", "Инфо")</f>
        <v>Инфо</v>
      </c>
      <c r="M2104" s="37">
        <v>0.56599999999999995</v>
      </c>
      <c r="N2104" s="38">
        <v>4.0499999999999998E-3</v>
      </c>
      <c r="O2104" s="141">
        <v>4601004193697</v>
      </c>
    </row>
    <row r="2105" spans="1:15" ht="11.45" customHeight="1" outlineLevel="2" x14ac:dyDescent="0.2">
      <c r="A2105" s="76" t="s">
        <v>19922</v>
      </c>
      <c r="B2105" s="136"/>
      <c r="C2105" s="77"/>
      <c r="D2105" s="137"/>
      <c r="E2105" s="4"/>
      <c r="F2105" s="4"/>
      <c r="G2105" s="4"/>
      <c r="H2105" s="4"/>
      <c r="I2105" s="4"/>
      <c r="J2105" s="4"/>
      <c r="K2105" s="4"/>
      <c r="L2105" s="138"/>
      <c r="M2105" s="4"/>
      <c r="N2105" s="4"/>
      <c r="O2105" s="4"/>
    </row>
    <row r="2106" spans="1:15" s="1" customFormat="1" ht="11.45" customHeight="1" outlineLevel="3" x14ac:dyDescent="0.2">
      <c r="A2106" s="32" t="s">
        <v>19923</v>
      </c>
      <c r="B2106" s="74" t="s">
        <v>19924</v>
      </c>
      <c r="C2106" s="50"/>
      <c r="D2106" s="139">
        <f t="shared" si="32"/>
        <v>0</v>
      </c>
      <c r="E2106" s="140">
        <v>294.92</v>
      </c>
      <c r="F2106" s="140">
        <v>241.74</v>
      </c>
      <c r="G2106" s="34" t="s">
        <v>100</v>
      </c>
      <c r="H2106" s="34" t="s">
        <v>39</v>
      </c>
      <c r="I2106" s="35">
        <v>1</v>
      </c>
      <c r="J2106" s="35">
        <v>1</v>
      </c>
      <c r="K2106" s="35">
        <v>48</v>
      </c>
      <c r="L2106" s="60" t="str">
        <f>HYPERLINK("https://www.sds-group.ru/product/fonar-kempingovyy-razdvizhnoy-antimoskitnyy-na-podvese-rexant-75-8006/", "Инфо")</f>
        <v>Инфо</v>
      </c>
      <c r="M2106" s="37">
        <v>0.28899999999999998</v>
      </c>
      <c r="N2106" s="38">
        <v>1.3799999999999999E-3</v>
      </c>
      <c r="O2106" s="141">
        <v>4601004287396</v>
      </c>
    </row>
    <row r="2107" spans="1:15" s="1" customFormat="1" ht="11.45" customHeight="1" outlineLevel="3" x14ac:dyDescent="0.2">
      <c r="A2107" s="32" t="s">
        <v>19927</v>
      </c>
      <c r="B2107" s="74" t="s">
        <v>19928</v>
      </c>
      <c r="C2107" s="50"/>
      <c r="D2107" s="139">
        <f t="shared" si="32"/>
        <v>0</v>
      </c>
      <c r="E2107" s="140">
        <v>231.67</v>
      </c>
      <c r="F2107" s="140">
        <v>189.89</v>
      </c>
      <c r="G2107" s="34" t="s">
        <v>100</v>
      </c>
      <c r="H2107" s="34" t="s">
        <v>39</v>
      </c>
      <c r="I2107" s="35">
        <v>1</v>
      </c>
      <c r="J2107" s="35">
        <v>1</v>
      </c>
      <c r="K2107" s="35">
        <v>48</v>
      </c>
      <c r="L2107" s="60" t="str">
        <f>HYPERLINK("https://www.sds-group.ru/product/fonar-kempingovyy-razdvizhnoy-s-ruchkoy-rexant-75-8005/", "Инфо")</f>
        <v>Инфо</v>
      </c>
      <c r="M2107" s="37">
        <v>0.29499999999999998</v>
      </c>
      <c r="N2107" s="38">
        <v>1.464E-3</v>
      </c>
      <c r="O2107" s="141">
        <v>4601004287389</v>
      </c>
    </row>
    <row r="2108" spans="1:15" s="1" customFormat="1" ht="11.45" customHeight="1" outlineLevel="3" x14ac:dyDescent="0.2">
      <c r="A2108" s="32" t="s">
        <v>19933</v>
      </c>
      <c r="B2108" s="74" t="s">
        <v>19934</v>
      </c>
      <c r="C2108" s="50"/>
      <c r="D2108" s="139">
        <f t="shared" si="32"/>
        <v>0</v>
      </c>
      <c r="E2108" s="140">
        <v>106.8</v>
      </c>
      <c r="F2108" s="140">
        <v>87.54</v>
      </c>
      <c r="G2108" s="34" t="s">
        <v>100</v>
      </c>
      <c r="H2108" s="34" t="s">
        <v>39</v>
      </c>
      <c r="I2108" s="35">
        <v>1</v>
      </c>
      <c r="J2108" s="35">
        <v>1</v>
      </c>
      <c r="K2108" s="35">
        <v>80</v>
      </c>
      <c r="L2108" s="60" t="str">
        <f>HYPERLINK("https://www.sds-group.ru/product/fonar-kempingovyy-chetyrehrezhimnyy-s-reguliruemym-fokusom-i-skladnym-podvesom-rexant-75-723/", "Инфо")</f>
        <v>Инфо</v>
      </c>
      <c r="M2108" s="37">
        <v>0.107</v>
      </c>
      <c r="N2108" s="38">
        <v>7.8600000000000002E-4</v>
      </c>
      <c r="O2108" s="141">
        <v>4601004193673</v>
      </c>
    </row>
    <row r="2109" spans="1:15" ht="11.45" customHeight="1" outlineLevel="1" x14ac:dyDescent="0.2">
      <c r="A2109" s="78" t="s">
        <v>19937</v>
      </c>
      <c r="B2109" s="132"/>
      <c r="C2109" s="79"/>
      <c r="D2109" s="133"/>
      <c r="E2109" s="134"/>
      <c r="F2109" s="134"/>
      <c r="G2109" s="134"/>
      <c r="H2109" s="134"/>
      <c r="I2109" s="134"/>
      <c r="J2109" s="134"/>
      <c r="K2109" s="134"/>
      <c r="L2109" s="135"/>
      <c r="M2109" s="134"/>
      <c r="N2109" s="134"/>
      <c r="O2109" s="134"/>
    </row>
    <row r="2110" spans="1:15" ht="11.45" customHeight="1" outlineLevel="2" x14ac:dyDescent="0.2">
      <c r="A2110" s="76" t="s">
        <v>19938</v>
      </c>
      <c r="B2110" s="136"/>
      <c r="C2110" s="77"/>
      <c r="D2110" s="137"/>
      <c r="E2110" s="4"/>
      <c r="F2110" s="4"/>
      <c r="G2110" s="4"/>
      <c r="H2110" s="4"/>
      <c r="I2110" s="4"/>
      <c r="J2110" s="4"/>
      <c r="K2110" s="4"/>
      <c r="L2110" s="138"/>
      <c r="M2110" s="4"/>
      <c r="N2110" s="4"/>
      <c r="O2110" s="4"/>
    </row>
    <row r="2111" spans="1:15" s="1" customFormat="1" ht="11.45" customHeight="1" outlineLevel="3" x14ac:dyDescent="0.2">
      <c r="A2111" s="32" t="s">
        <v>19939</v>
      </c>
      <c r="B2111" s="74" t="s">
        <v>19940</v>
      </c>
      <c r="C2111" s="50"/>
      <c r="D2111" s="139">
        <f t="shared" si="32"/>
        <v>0</v>
      </c>
      <c r="E2111" s="140">
        <v>441.92</v>
      </c>
      <c r="F2111" s="140">
        <v>362.23</v>
      </c>
      <c r="G2111" s="34" t="s">
        <v>100</v>
      </c>
      <c r="H2111" s="34" t="s">
        <v>39</v>
      </c>
      <c r="I2111" s="35">
        <v>1</v>
      </c>
      <c r="J2111" s="35">
        <v>1</v>
      </c>
      <c r="K2111" s="35">
        <v>48</v>
      </c>
      <c r="L2111" s="60" t="str">
        <f>HYPERLINK("https://www.sds-group.ru/product/girlyanda-sadovaya-deng-335sm-3000k-vstroennyy-akkumulyator-solnechnaya-panel-kollektsiya-p-602-2427/", "Инфо")</f>
        <v>Инфо</v>
      </c>
      <c r="M2111" s="37">
        <v>0.215</v>
      </c>
      <c r="N2111" s="38">
        <v>1.503E-3</v>
      </c>
      <c r="O2111" s="141">
        <v>4601004289420</v>
      </c>
    </row>
    <row r="2112" spans="1:15" s="1" customFormat="1" ht="11.45" customHeight="1" outlineLevel="3" x14ac:dyDescent="0.2">
      <c r="A2112" s="32" t="s">
        <v>19941</v>
      </c>
      <c r="B2112" s="74" t="s">
        <v>19942</v>
      </c>
      <c r="C2112" s="50"/>
      <c r="D2112" s="139">
        <f t="shared" si="32"/>
        <v>0</v>
      </c>
      <c r="E2112" s="140">
        <v>933.54</v>
      </c>
      <c r="F2112" s="140">
        <v>765.2</v>
      </c>
      <c r="G2112" s="34" t="s">
        <v>100</v>
      </c>
      <c r="H2112" s="34" t="s">
        <v>39</v>
      </c>
      <c r="I2112" s="35">
        <v>1</v>
      </c>
      <c r="J2112" s="35">
        <v>1</v>
      </c>
      <c r="K2112" s="35">
        <v>24</v>
      </c>
      <c r="L2112" s="60" t="str">
        <f>HYPERLINK("https://www.sds-group.ru/product/girlyanda-sadovaya-deng-635sm-3000k-vstroennyy-akkumulyator-solnechnaya-panel-kollektsiya-p-602-2428/", "Инфо")</f>
        <v>Инфо</v>
      </c>
      <c r="M2112" s="37">
        <v>0.35099999999999998</v>
      </c>
      <c r="N2112" s="38">
        <v>2.8800000000000002E-3</v>
      </c>
      <c r="O2112" s="141">
        <v>4601004289437</v>
      </c>
    </row>
    <row r="2113" spans="1:15" s="1" customFormat="1" ht="11.45" customHeight="1" outlineLevel="3" x14ac:dyDescent="0.2">
      <c r="A2113" s="32" t="s">
        <v>19943</v>
      </c>
      <c r="B2113" s="74" t="s">
        <v>19944</v>
      </c>
      <c r="C2113" s="50"/>
      <c r="D2113" s="139">
        <f t="shared" si="32"/>
        <v>0</v>
      </c>
      <c r="E2113" s="140">
        <v>1721.8</v>
      </c>
      <c r="F2113" s="140">
        <v>1411.31</v>
      </c>
      <c r="G2113" s="34" t="s">
        <v>100</v>
      </c>
      <c r="H2113" s="34" t="s">
        <v>39</v>
      </c>
      <c r="I2113" s="35">
        <v>1</v>
      </c>
      <c r="J2113" s="35">
        <v>1</v>
      </c>
      <c r="K2113" s="35">
        <v>8</v>
      </c>
      <c r="L2113" s="60" t="str">
        <f>HYPERLINK("https://www.sds-group.ru/product/girlyanda-sadovaya-kaneri-10m-3000k-vstroennyy-akkumulyator-solnechnaya-panel-kollektsiya-l-602-2421/", "Инфо")</f>
        <v>Инфо</v>
      </c>
      <c r="M2113" s="37">
        <v>1.349</v>
      </c>
      <c r="N2113" s="38">
        <v>8.2159999999999993E-3</v>
      </c>
      <c r="O2113" s="141">
        <v>4601004289390</v>
      </c>
    </row>
    <row r="2114" spans="1:15" s="1" customFormat="1" ht="11.45" customHeight="1" outlineLevel="3" x14ac:dyDescent="0.2">
      <c r="A2114" s="32" t="s">
        <v>19945</v>
      </c>
      <c r="B2114" s="74" t="s">
        <v>19946</v>
      </c>
      <c r="C2114" s="50"/>
      <c r="D2114" s="139">
        <f t="shared" si="32"/>
        <v>0</v>
      </c>
      <c r="E2114" s="140">
        <v>527.30999999999995</v>
      </c>
      <c r="F2114" s="140">
        <v>432.22</v>
      </c>
      <c r="G2114" s="34" t="s">
        <v>100</v>
      </c>
      <c r="H2114" s="34" t="s">
        <v>39</v>
      </c>
      <c r="I2114" s="35">
        <v>1</v>
      </c>
      <c r="J2114" s="35">
        <v>1</v>
      </c>
      <c r="K2114" s="35">
        <v>24</v>
      </c>
      <c r="L2114" s="60" t="str">
        <f>HYPERLINK("https://www.sds-group.ru/product/girlyanda-sadovaya-sevil-398sm-3000k-vstroennyy-akkumulyator-solnechnaya-panel-kollektsiya--602-2420/", "Инфо")</f>
        <v>Инфо</v>
      </c>
      <c r="M2114" s="37">
        <v>0.34899999999999998</v>
      </c>
      <c r="N2114" s="38">
        <v>3.545E-3</v>
      </c>
      <c r="O2114" s="141">
        <v>4601004289246</v>
      </c>
    </row>
    <row r="2115" spans="1:15" s="1" customFormat="1" ht="11.45" customHeight="1" outlineLevel="3" x14ac:dyDescent="0.2">
      <c r="A2115" s="32" t="s">
        <v>19947</v>
      </c>
      <c r="B2115" s="74" t="s">
        <v>19948</v>
      </c>
      <c r="C2115" s="50"/>
      <c r="D2115" s="139">
        <f t="shared" si="32"/>
        <v>0</v>
      </c>
      <c r="E2115" s="140">
        <v>590.73</v>
      </c>
      <c r="F2115" s="140">
        <v>484.2</v>
      </c>
      <c r="G2115" s="34" t="s">
        <v>100</v>
      </c>
      <c r="H2115" s="34" t="s">
        <v>39</v>
      </c>
      <c r="I2115" s="35">
        <v>1</v>
      </c>
      <c r="J2115" s="35">
        <v>1</v>
      </c>
      <c r="K2115" s="35">
        <v>18</v>
      </c>
      <c r="L2115" s="60" t="str">
        <f>HYPERLINK("https://www.sds-group.ru/product/girlyanda-sadovaya-ebbi-335-sm-3000k-vstroennyy-akkumulyator-solnechnaya-panel-kollektsiya--602-2419/", "Инфо")</f>
        <v>Инфо</v>
      </c>
      <c r="M2115" s="37">
        <v>0.55300000000000005</v>
      </c>
      <c r="N2115" s="38">
        <v>6.3749999999999996E-3</v>
      </c>
      <c r="O2115" s="141">
        <v>4601004289260</v>
      </c>
    </row>
    <row r="2116" spans="1:15" s="1" customFormat="1" ht="11.45" customHeight="1" outlineLevel="3" x14ac:dyDescent="0.2">
      <c r="A2116" s="32" t="s">
        <v>19949</v>
      </c>
      <c r="B2116" s="74" t="s">
        <v>19950</v>
      </c>
      <c r="C2116" s="50"/>
      <c r="D2116" s="139">
        <f t="shared" si="32"/>
        <v>0</v>
      </c>
      <c r="E2116" s="140">
        <v>461.64</v>
      </c>
      <c r="F2116" s="140">
        <v>378.39</v>
      </c>
      <c r="G2116" s="34" t="s">
        <v>100</v>
      </c>
      <c r="H2116" s="34" t="s">
        <v>39</v>
      </c>
      <c r="I2116" s="35">
        <v>1</v>
      </c>
      <c r="J2116" s="35">
        <v>1</v>
      </c>
      <c r="K2116" s="35">
        <v>24</v>
      </c>
      <c r="L2116" s="60" t="str">
        <f>HYPERLINK("https://www.sds-group.ru/product/svetilnik-gruntovyy-verba-3000k-vstroennyy-akkumulyator-solnechnaya-panel-rexant-602-2437/", "Инфо")</f>
        <v>Инфо</v>
      </c>
      <c r="M2116" s="37">
        <v>0.29399999999999998</v>
      </c>
      <c r="N2116" s="38">
        <v>2.9650000000000002E-3</v>
      </c>
      <c r="O2116" s="141">
        <v>4601004289239</v>
      </c>
    </row>
    <row r="2117" spans="1:15" s="1" customFormat="1" ht="11.45" customHeight="1" outlineLevel="3" x14ac:dyDescent="0.2">
      <c r="A2117" s="32" t="s">
        <v>19951</v>
      </c>
      <c r="B2117" s="74" t="s">
        <v>19952</v>
      </c>
      <c r="C2117" s="50"/>
      <c r="D2117" s="139">
        <f t="shared" si="32"/>
        <v>0</v>
      </c>
      <c r="E2117" s="140">
        <v>447.66</v>
      </c>
      <c r="F2117" s="140">
        <v>366.93</v>
      </c>
      <c r="G2117" s="34" t="s">
        <v>100</v>
      </c>
      <c r="H2117" s="34" t="s">
        <v>39</v>
      </c>
      <c r="I2117" s="35">
        <v>1</v>
      </c>
      <c r="J2117" s="35">
        <v>1</v>
      </c>
      <c r="K2117" s="35">
        <v>24</v>
      </c>
      <c r="L2117" s="60" t="str">
        <f>HYPERLINK("https://www.sds-group.ru/product/svetilnik-gruntovyy-vestfild-3000k-vstroennyy-akkumulyator-solnechnaya-panel-kollektsiya-lo-602-2425/", "Инфо")</f>
        <v>Инфо</v>
      </c>
      <c r="M2117" s="37">
        <v>0.307</v>
      </c>
      <c r="N2117" s="38">
        <v>5.3819999999999996E-3</v>
      </c>
      <c r="O2117" s="141">
        <v>4601004289468</v>
      </c>
    </row>
    <row r="2118" spans="1:15" s="1" customFormat="1" ht="11.45" customHeight="1" outlineLevel="3" x14ac:dyDescent="0.2">
      <c r="A2118" s="32" t="s">
        <v>19953</v>
      </c>
      <c r="B2118" s="74" t="s">
        <v>19954</v>
      </c>
      <c r="C2118" s="50"/>
      <c r="D2118" s="139">
        <f t="shared" si="32"/>
        <v>0</v>
      </c>
      <c r="E2118" s="140">
        <v>541.97</v>
      </c>
      <c r="F2118" s="140">
        <v>444.24</v>
      </c>
      <c r="G2118" s="34" t="s">
        <v>100</v>
      </c>
      <c r="H2118" s="34" t="s">
        <v>974</v>
      </c>
      <c r="I2118" s="35">
        <v>1</v>
      </c>
      <c r="J2118" s="35">
        <v>1</v>
      </c>
      <c r="K2118" s="35">
        <v>16</v>
      </c>
      <c r="L2118" s="60" t="str">
        <f>HYPERLINK("https://www.sds-group.ru/product/svetilnik-gruntovyy-dufu-4000k-vstroennyy-akkumulyator-solnechnaya-panel-kollektsiya-pekin--602-2432/", "Инфо")</f>
        <v>Инфо</v>
      </c>
      <c r="M2118" s="37">
        <v>0.61</v>
      </c>
      <c r="N2118" s="38">
        <v>4.3550000000000004E-3</v>
      </c>
      <c r="O2118" s="141">
        <v>4601004289369</v>
      </c>
    </row>
    <row r="2119" spans="1:15" s="1" customFormat="1" ht="11.45" customHeight="1" outlineLevel="3" x14ac:dyDescent="0.2">
      <c r="A2119" s="32" t="s">
        <v>19955</v>
      </c>
      <c r="B2119" s="74" t="s">
        <v>19956</v>
      </c>
      <c r="C2119" s="50"/>
      <c r="D2119" s="139">
        <f t="shared" si="32"/>
        <v>0</v>
      </c>
      <c r="E2119" s="140">
        <v>473.46</v>
      </c>
      <c r="F2119" s="140">
        <v>388.08</v>
      </c>
      <c r="G2119" s="34" t="s">
        <v>100</v>
      </c>
      <c r="H2119" s="34" t="s">
        <v>39</v>
      </c>
      <c r="I2119" s="35">
        <v>1</v>
      </c>
      <c r="J2119" s="35">
        <v>1</v>
      </c>
      <c r="K2119" s="35">
        <v>32</v>
      </c>
      <c r="L2119" s="60" t="str">
        <f>HYPERLINK("https://www.sds-group.ru/product/svetilnik-gruntovyy-laleli-3000k-vstroennyy-akkumulyator-solnechnaya-panel-kollektsiya-stam-602-2401/", "Инфо")</f>
        <v>Инфо</v>
      </c>
      <c r="M2119" s="37">
        <v>0.219</v>
      </c>
      <c r="N2119" s="38">
        <v>2.5270000000000002E-3</v>
      </c>
      <c r="O2119" s="141">
        <v>4601004289185</v>
      </c>
    </row>
    <row r="2120" spans="1:15" s="1" customFormat="1" ht="11.45" customHeight="1" outlineLevel="3" x14ac:dyDescent="0.2">
      <c r="A2120" s="32" t="s">
        <v>19957</v>
      </c>
      <c r="B2120" s="74" t="s">
        <v>19958</v>
      </c>
      <c r="C2120" s="50"/>
      <c r="D2120" s="139">
        <f t="shared" si="32"/>
        <v>0</v>
      </c>
      <c r="E2120" s="140">
        <v>826.68</v>
      </c>
      <c r="F2120" s="140">
        <v>677.61</v>
      </c>
      <c r="G2120" s="34" t="s">
        <v>100</v>
      </c>
      <c r="H2120" s="34" t="s">
        <v>39</v>
      </c>
      <c r="I2120" s="35">
        <v>1</v>
      </c>
      <c r="J2120" s="35">
        <v>1</v>
      </c>
      <c r="K2120" s="35">
        <v>16</v>
      </c>
      <c r="L2120" s="60" t="str">
        <f>HYPERLINK("https://www.sds-group.ru/product/svetilnik-gruntovyy-leyka-3000k-vstroennyy-akkumulyator-solnechnaya-panel-kollektsiya-stamb-602-2405/", "Инфо")</f>
        <v>Инфо</v>
      </c>
      <c r="M2120" s="37">
        <v>0.53800000000000003</v>
      </c>
      <c r="N2120" s="38">
        <v>5.4099999999999999E-3</v>
      </c>
      <c r="O2120" s="141">
        <v>4601004289154</v>
      </c>
    </row>
    <row r="2121" spans="1:15" s="1" customFormat="1" ht="11.45" customHeight="1" outlineLevel="3" x14ac:dyDescent="0.2">
      <c r="A2121" s="32" t="s">
        <v>19959</v>
      </c>
      <c r="B2121" s="74" t="s">
        <v>19960</v>
      </c>
      <c r="C2121" s="50"/>
      <c r="D2121" s="139">
        <f t="shared" si="32"/>
        <v>0</v>
      </c>
      <c r="E2121" s="140">
        <v>662.71</v>
      </c>
      <c r="F2121" s="140">
        <v>543.20000000000005</v>
      </c>
      <c r="G2121" s="34" t="s">
        <v>100</v>
      </c>
      <c r="H2121" s="34" t="s">
        <v>39</v>
      </c>
      <c r="I2121" s="35">
        <v>1</v>
      </c>
      <c r="J2121" s="35">
        <v>1</v>
      </c>
      <c r="K2121" s="35">
        <v>36</v>
      </c>
      <c r="L2121" s="60" t="str">
        <f>HYPERLINK("https://www.sds-group.ru/product/svetilnik-gruntovyy-oduvanchik-rgb-vstroennyy-akkumulyator-solnechnaya-panel-rexant-602-2433/", "Инфо")</f>
        <v>Инфо</v>
      </c>
      <c r="M2121" s="37">
        <v>0.28100000000000003</v>
      </c>
      <c r="N2121" s="38">
        <v>3.9870000000000001E-3</v>
      </c>
      <c r="O2121" s="141">
        <v>4601004289352</v>
      </c>
    </row>
    <row r="2122" spans="1:15" s="1" customFormat="1" ht="11.45" customHeight="1" outlineLevel="3" x14ac:dyDescent="0.2">
      <c r="A2122" s="32" t="s">
        <v>19961</v>
      </c>
      <c r="B2122" s="74" t="s">
        <v>19962</v>
      </c>
      <c r="C2122" s="50"/>
      <c r="D2122" s="139">
        <f t="shared" si="32"/>
        <v>0</v>
      </c>
      <c r="E2122" s="140">
        <v>398.89</v>
      </c>
      <c r="F2122" s="140">
        <v>326.95999999999998</v>
      </c>
      <c r="G2122" s="34" t="s">
        <v>100</v>
      </c>
      <c r="H2122" s="34" t="s">
        <v>39</v>
      </c>
      <c r="I2122" s="35">
        <v>1</v>
      </c>
      <c r="J2122" s="35">
        <v>1</v>
      </c>
      <c r="K2122" s="35">
        <v>32</v>
      </c>
      <c r="L2122" s="60" t="str">
        <f>HYPERLINK("https://www.sds-group.ru/product/svetilnik-gruntovyy-salyut-3000k-vstroennyy-akkumulyator-solnechnaya-panel-rexant-602-2435/", "Инфо")</f>
        <v>Инфо</v>
      </c>
      <c r="M2122" s="37">
        <v>0.19700000000000001</v>
      </c>
      <c r="N2122" s="38">
        <v>2.5959999999999998E-3</v>
      </c>
      <c r="O2122" s="141">
        <v>4601004289321</v>
      </c>
    </row>
    <row r="2123" spans="1:15" s="1" customFormat="1" ht="11.45" customHeight="1" outlineLevel="3" x14ac:dyDescent="0.2">
      <c r="A2123" s="32" t="s">
        <v>19963</v>
      </c>
      <c r="B2123" s="74" t="s">
        <v>19964</v>
      </c>
      <c r="C2123" s="50"/>
      <c r="D2123" s="139">
        <f t="shared" ref="D2123:D2186" si="33">C2123*E2123</f>
        <v>0</v>
      </c>
      <c r="E2123" s="140">
        <v>294.83</v>
      </c>
      <c r="F2123" s="140">
        <v>241.66</v>
      </c>
      <c r="G2123" s="34" t="s">
        <v>100</v>
      </c>
      <c r="H2123" s="34" t="s">
        <v>39</v>
      </c>
      <c r="I2123" s="35">
        <v>1</v>
      </c>
      <c r="J2123" s="35">
        <v>1</v>
      </c>
      <c r="K2123" s="35">
        <v>32</v>
      </c>
      <c r="L2123" s="60" t="str">
        <f>HYPERLINK("https://www.sds-group.ru/product/svetilnik-gruntovyy-tayang-3000k-rgb-vstroennyy-akkumulyator-solnechnaya-panel-kollektsiya--602-2429/", "Инфо")</f>
        <v>Инфо</v>
      </c>
      <c r="M2123" s="37">
        <v>0.245</v>
      </c>
      <c r="N2123" s="38">
        <v>2.4510000000000001E-3</v>
      </c>
      <c r="O2123" s="141">
        <v>4601004289413</v>
      </c>
    </row>
    <row r="2124" spans="1:15" s="1" customFormat="1" ht="11.45" customHeight="1" outlineLevel="3" x14ac:dyDescent="0.2">
      <c r="A2124" s="32" t="s">
        <v>19965</v>
      </c>
      <c r="B2124" s="74" t="s">
        <v>19966</v>
      </c>
      <c r="C2124" s="50"/>
      <c r="D2124" s="139">
        <f t="shared" si="33"/>
        <v>0</v>
      </c>
      <c r="E2124" s="140">
        <v>707.32</v>
      </c>
      <c r="F2124" s="140">
        <v>579.77</v>
      </c>
      <c r="G2124" s="34" t="s">
        <v>100</v>
      </c>
      <c r="H2124" s="34" t="s">
        <v>39</v>
      </c>
      <c r="I2124" s="35">
        <v>1</v>
      </c>
      <c r="J2124" s="35">
        <v>1</v>
      </c>
      <c r="K2124" s="35">
        <v>24</v>
      </c>
      <c r="L2124" s="60" t="str">
        <f>HYPERLINK("https://www.sds-group.ru/product/svetilnik-gruntovyy-fatih-3000k-vstroennyy-akkumulyator-solnechnaya-panel-kollektsiya-stamb-602-2404/", "Инфо")</f>
        <v>Инфо</v>
      </c>
      <c r="M2124" s="37">
        <v>0.36099999999999999</v>
      </c>
      <c r="N2124" s="38">
        <v>4.0639999999999999E-3</v>
      </c>
      <c r="O2124" s="141">
        <v>4601004289178</v>
      </c>
    </row>
    <row r="2125" spans="1:15" s="1" customFormat="1" ht="11.45" customHeight="1" outlineLevel="3" x14ac:dyDescent="0.2">
      <c r="A2125" s="32" t="s">
        <v>19967</v>
      </c>
      <c r="B2125" s="74" t="s">
        <v>19968</v>
      </c>
      <c r="C2125" s="50"/>
      <c r="D2125" s="139">
        <f t="shared" si="33"/>
        <v>0</v>
      </c>
      <c r="E2125" s="140">
        <v>759.9</v>
      </c>
      <c r="F2125" s="140">
        <v>622.87</v>
      </c>
      <c r="G2125" s="34" t="s">
        <v>100</v>
      </c>
      <c r="H2125" s="34" t="s">
        <v>39</v>
      </c>
      <c r="I2125" s="35">
        <v>1</v>
      </c>
      <c r="J2125" s="35">
        <v>1</v>
      </c>
      <c r="K2125" s="35">
        <v>18</v>
      </c>
      <c r="L2125" s="60" t="str">
        <f>HYPERLINK("https://www.sds-group.ru/product/svetilnik-podvesnoy-galata-3000k-vstroennyy-akkumulyator-solnechnaya-panel-kollektsiya-stam-602-2403/", "Инфо")</f>
        <v>Инфо</v>
      </c>
      <c r="M2125" s="37">
        <v>0.42299999999999999</v>
      </c>
      <c r="N2125" s="38">
        <v>5.1070000000000004E-3</v>
      </c>
      <c r="O2125" s="141">
        <v>4601004289161</v>
      </c>
    </row>
    <row r="2126" spans="1:15" s="1" customFormat="1" ht="11.45" customHeight="1" outlineLevel="3" x14ac:dyDescent="0.2">
      <c r="A2126" s="32" t="s">
        <v>19969</v>
      </c>
      <c r="B2126" s="74" t="s">
        <v>19970</v>
      </c>
      <c r="C2126" s="50"/>
      <c r="D2126" s="139">
        <f t="shared" si="33"/>
        <v>0</v>
      </c>
      <c r="E2126" s="140">
        <v>670.81</v>
      </c>
      <c r="F2126" s="140">
        <v>549.84</v>
      </c>
      <c r="G2126" s="34" t="s">
        <v>100</v>
      </c>
      <c r="H2126" s="34" t="s">
        <v>39</v>
      </c>
      <c r="I2126" s="35">
        <v>1</v>
      </c>
      <c r="J2126" s="35">
        <v>1</v>
      </c>
      <c r="K2126" s="35">
        <v>32</v>
      </c>
      <c r="L2126" s="60" t="str">
        <f>HYPERLINK("https://www.sds-group.ru/product/svetilnik-podvesnoy-fatih-3000k-vstroennyy-akkumulyator-solnechnaya-panel-kollektsiya-stamb-602-2402/", "Инфо")</f>
        <v>Инфо</v>
      </c>
      <c r="M2126" s="37">
        <v>0.26800000000000002</v>
      </c>
      <c r="N2126" s="38">
        <v>3.1800000000000001E-3</v>
      </c>
      <c r="O2126" s="141">
        <v>4601004289147</v>
      </c>
    </row>
    <row r="2127" spans="1:15" s="1" customFormat="1" ht="11.45" customHeight="1" outlineLevel="3" x14ac:dyDescent="0.2">
      <c r="A2127" s="32" t="s">
        <v>19971</v>
      </c>
      <c r="B2127" s="74" t="s">
        <v>19972</v>
      </c>
      <c r="C2127" s="50"/>
      <c r="D2127" s="139">
        <f t="shared" si="33"/>
        <v>0</v>
      </c>
      <c r="E2127" s="140">
        <v>656.7</v>
      </c>
      <c r="F2127" s="140">
        <v>538.28</v>
      </c>
      <c r="G2127" s="34" t="s">
        <v>100</v>
      </c>
      <c r="H2127" s="34" t="s">
        <v>39</v>
      </c>
      <c r="I2127" s="35">
        <v>1</v>
      </c>
      <c r="J2127" s="35">
        <v>1</v>
      </c>
      <c r="K2127" s="35">
        <v>24</v>
      </c>
      <c r="L2127" s="60" t="str">
        <f>HYPERLINK("https://www.sds-group.ru/product/svetilnik-prozhektornyy-strend-6500k-vstroennyy-akkumulyator-solnechnaya-panel-kollektsiya--602-2424/", "Инфо")</f>
        <v>Инфо</v>
      </c>
      <c r="M2127" s="37">
        <v>0.47299999999999998</v>
      </c>
      <c r="N2127" s="38">
        <v>2.32E-3</v>
      </c>
      <c r="O2127" s="141">
        <v>4601004289482</v>
      </c>
    </row>
    <row r="2128" spans="1:15" s="1" customFormat="1" ht="11.45" customHeight="1" outlineLevel="3" x14ac:dyDescent="0.2">
      <c r="A2128" s="32" t="s">
        <v>19973</v>
      </c>
      <c r="B2128" s="74" t="s">
        <v>19974</v>
      </c>
      <c r="C2128" s="50"/>
      <c r="D2128" s="139">
        <f t="shared" si="33"/>
        <v>0</v>
      </c>
      <c r="E2128" s="140">
        <v>549.19000000000005</v>
      </c>
      <c r="F2128" s="140">
        <v>450.16</v>
      </c>
      <c r="G2128" s="34" t="s">
        <v>100</v>
      </c>
      <c r="H2128" s="34" t="s">
        <v>39</v>
      </c>
      <c r="I2128" s="35">
        <v>1</v>
      </c>
      <c r="J2128" s="35">
        <v>1</v>
      </c>
      <c r="K2128" s="35">
        <v>18</v>
      </c>
      <c r="L2128" s="60" t="str">
        <f>HYPERLINK("https://www.sds-group.ru/product/svetilnik-sadovyy-bambuk-18sm-3000k-vstroennyy-akkumulyator-solnechnaya-panel-kollektsiya-b-602-2408/", "Инфо")</f>
        <v>Инфо</v>
      </c>
      <c r="M2128" s="37">
        <v>0.41</v>
      </c>
      <c r="N2128" s="38">
        <v>5.8919999999999997E-3</v>
      </c>
      <c r="O2128" s="141">
        <v>4601004289253</v>
      </c>
    </row>
    <row r="2129" spans="1:15" s="1" customFormat="1" ht="11.45" customHeight="1" outlineLevel="3" x14ac:dyDescent="0.2">
      <c r="A2129" s="32" t="s">
        <v>19975</v>
      </c>
      <c r="B2129" s="74" t="s">
        <v>19976</v>
      </c>
      <c r="C2129" s="50"/>
      <c r="D2129" s="139">
        <f t="shared" si="33"/>
        <v>0</v>
      </c>
      <c r="E2129" s="140">
        <v>1464.49</v>
      </c>
      <c r="F2129" s="140">
        <v>1200.4000000000001</v>
      </c>
      <c r="G2129" s="34" t="s">
        <v>100</v>
      </c>
      <c r="H2129" s="34" t="s">
        <v>39</v>
      </c>
      <c r="I2129" s="35">
        <v>1</v>
      </c>
      <c r="J2129" s="35">
        <v>1</v>
      </c>
      <c r="K2129" s="35">
        <v>4</v>
      </c>
      <c r="L2129" s="60" t="str">
        <f>HYPERLINK("https://www.sds-group.ru/product/svetilnik-sadovyy-bambuk-29-5sm-3000k-vstroennyy-akkumulyator-solnechnaya-panel-kollektsiya-602-2411/", "Инфо")</f>
        <v>Инфо</v>
      </c>
      <c r="M2129" s="37">
        <v>1.0529999999999999</v>
      </c>
      <c r="N2129" s="38">
        <v>2.5701000000000002E-2</v>
      </c>
      <c r="O2129" s="141">
        <v>4601004289215</v>
      </c>
    </row>
    <row r="2130" spans="1:15" s="1" customFormat="1" ht="11.45" customHeight="1" outlineLevel="3" x14ac:dyDescent="0.2">
      <c r="A2130" s="32" t="s">
        <v>19977</v>
      </c>
      <c r="B2130" s="74" t="s">
        <v>19978</v>
      </c>
      <c r="C2130" s="50"/>
      <c r="D2130" s="139">
        <f t="shared" si="33"/>
        <v>0</v>
      </c>
      <c r="E2130" s="140">
        <v>554.96</v>
      </c>
      <c r="F2130" s="140">
        <v>454.89</v>
      </c>
      <c r="G2130" s="34" t="s">
        <v>100</v>
      </c>
      <c r="H2130" s="34" t="s">
        <v>39</v>
      </c>
      <c r="I2130" s="35">
        <v>1</v>
      </c>
      <c r="J2130" s="35">
        <v>1</v>
      </c>
      <c r="K2130" s="35">
        <v>48</v>
      </c>
      <c r="L2130" s="60" t="str">
        <f>HYPERLINK("https://www.sds-group.ru/product/svetilnik-sadovyy-karnabi-4000k-vstroennyy-akkumulyator-solnechnaya-panel-kollektsiya-londo-602-2415/", "Инфо")</f>
        <v>Инфо</v>
      </c>
      <c r="M2130" s="37">
        <v>0.253</v>
      </c>
      <c r="N2130" s="38">
        <v>1.2600000000000001E-3</v>
      </c>
      <c r="O2130" s="141">
        <v>4601004289307</v>
      </c>
    </row>
    <row r="2131" spans="1:15" s="1" customFormat="1" ht="11.45" customHeight="1" outlineLevel="3" x14ac:dyDescent="0.2">
      <c r="A2131" s="32" t="s">
        <v>19979</v>
      </c>
      <c r="B2131" s="74" t="s">
        <v>19980</v>
      </c>
      <c r="C2131" s="50"/>
      <c r="D2131" s="139">
        <f t="shared" si="33"/>
        <v>0</v>
      </c>
      <c r="E2131" s="140">
        <v>449.25</v>
      </c>
      <c r="F2131" s="140">
        <v>368.24</v>
      </c>
      <c r="G2131" s="34" t="s">
        <v>100</v>
      </c>
      <c r="H2131" s="34" t="s">
        <v>39</v>
      </c>
      <c r="I2131" s="35">
        <v>1</v>
      </c>
      <c r="J2131" s="35">
        <v>1</v>
      </c>
      <c r="K2131" s="35">
        <v>36</v>
      </c>
      <c r="L2131" s="60" t="str">
        <f>HYPERLINK("https://www.sds-group.ru/product/svetilnik-sadovyy-kings-3000k-vstroennyy-akkumulyator-solnechnaya-panel-kollektsiya-london--602-2418/", "Инфо")</f>
        <v>Инфо</v>
      </c>
      <c r="M2131" s="37">
        <v>0.25700000000000001</v>
      </c>
      <c r="N2131" s="38">
        <v>1.8320000000000001E-3</v>
      </c>
      <c r="O2131" s="141">
        <v>4601004289208</v>
      </c>
    </row>
    <row r="2132" spans="1:15" s="1" customFormat="1" ht="11.45" customHeight="1" outlineLevel="3" x14ac:dyDescent="0.2">
      <c r="A2132" s="32" t="s">
        <v>19981</v>
      </c>
      <c r="B2132" s="74" t="s">
        <v>19982</v>
      </c>
      <c r="C2132" s="50"/>
      <c r="D2132" s="139">
        <f t="shared" si="33"/>
        <v>0</v>
      </c>
      <c r="E2132" s="140">
        <v>795.68</v>
      </c>
      <c r="F2132" s="140">
        <v>652.20000000000005</v>
      </c>
      <c r="G2132" s="34" t="s">
        <v>100</v>
      </c>
      <c r="H2132" s="34" t="s">
        <v>39</v>
      </c>
      <c r="I2132" s="35">
        <v>1</v>
      </c>
      <c r="J2132" s="35">
        <v>1</v>
      </c>
      <c r="K2132" s="35">
        <v>12</v>
      </c>
      <c r="L2132" s="60" t="str">
        <f>HYPERLINK("https://www.sds-group.ru/product/svetilnik-sadovyy-lotos-3000k-15sm-vstroennyy-akkumulyator-solnechnaya-panel-kollektsiya-pe-602-2431/", "Инфо")</f>
        <v>Инфо</v>
      </c>
      <c r="M2132" s="37">
        <v>0.53500000000000003</v>
      </c>
      <c r="N2132" s="38">
        <v>6.4390000000000003E-3</v>
      </c>
      <c r="O2132" s="141">
        <v>4601004289376</v>
      </c>
    </row>
    <row r="2133" spans="1:15" s="1" customFormat="1" ht="11.45" customHeight="1" outlineLevel="3" x14ac:dyDescent="0.2">
      <c r="A2133" s="32" t="s">
        <v>19983</v>
      </c>
      <c r="B2133" s="74" t="s">
        <v>19984</v>
      </c>
      <c r="C2133" s="50"/>
      <c r="D2133" s="139">
        <f t="shared" si="33"/>
        <v>0</v>
      </c>
      <c r="E2133" s="140">
        <v>370.79</v>
      </c>
      <c r="F2133" s="140">
        <v>303.93</v>
      </c>
      <c r="G2133" s="34" t="s">
        <v>100</v>
      </c>
      <c r="H2133" s="34" t="s">
        <v>39</v>
      </c>
      <c r="I2133" s="35">
        <v>1</v>
      </c>
      <c r="J2133" s="35">
        <v>1</v>
      </c>
      <c r="K2133" s="35">
        <v>24</v>
      </c>
      <c r="L2133" s="60" t="str">
        <f>HYPERLINK("https://www.sds-group.ru/product/svetilnik-sadovyy-ridzhent-4000k-vstroennyy-akkumulyator-solnechnaya-panel-kollektsiya-lond-602-2413/", "Инфо")</f>
        <v>Инфо</v>
      </c>
      <c r="M2133" s="37">
        <v>0.32300000000000001</v>
      </c>
      <c r="N2133" s="38">
        <v>2.2499999999999998E-3</v>
      </c>
      <c r="O2133" s="141">
        <v>4601004289345</v>
      </c>
    </row>
    <row r="2134" spans="1:15" s="1" customFormat="1" ht="11.45" customHeight="1" outlineLevel="3" x14ac:dyDescent="0.2">
      <c r="A2134" s="32" t="s">
        <v>19985</v>
      </c>
      <c r="B2134" s="74" t="s">
        <v>19986</v>
      </c>
      <c r="C2134" s="50"/>
      <c r="D2134" s="139">
        <f t="shared" si="33"/>
        <v>0</v>
      </c>
      <c r="E2134" s="140">
        <v>442.98</v>
      </c>
      <c r="F2134" s="140">
        <v>363.1</v>
      </c>
      <c r="G2134" s="34" t="s">
        <v>100</v>
      </c>
      <c r="H2134" s="34" t="s">
        <v>39</v>
      </c>
      <c r="I2134" s="35">
        <v>1</v>
      </c>
      <c r="J2134" s="35">
        <v>1</v>
      </c>
      <c r="K2134" s="35">
        <v>18</v>
      </c>
      <c r="L2134" s="60" t="str">
        <f>HYPERLINK("https://www.sds-group.ru/product/svetilnik-sadovyy-trostnik-22-5sm-3000k-vstroennyy-akkumulyator-solnechnaya-panel-kollektsi-602-2409/", "Инфо")</f>
        <v>Инфо</v>
      </c>
      <c r="M2134" s="37">
        <v>0.435</v>
      </c>
      <c r="N2134" s="38">
        <v>7.2090000000000001E-3</v>
      </c>
      <c r="O2134" s="141">
        <v>4601004289383</v>
      </c>
    </row>
    <row r="2135" spans="1:15" s="1" customFormat="1" ht="11.45" customHeight="1" outlineLevel="3" x14ac:dyDescent="0.2">
      <c r="A2135" s="32" t="s">
        <v>19987</v>
      </c>
      <c r="B2135" s="74" t="s">
        <v>19988</v>
      </c>
      <c r="C2135" s="50"/>
      <c r="D2135" s="139">
        <f t="shared" si="33"/>
        <v>0</v>
      </c>
      <c r="E2135" s="140">
        <v>1464.49</v>
      </c>
      <c r="F2135" s="140">
        <v>1200.4000000000001</v>
      </c>
      <c r="G2135" s="34" t="s">
        <v>100</v>
      </c>
      <c r="H2135" s="34" t="s">
        <v>39</v>
      </c>
      <c r="I2135" s="35">
        <v>1</v>
      </c>
      <c r="J2135" s="35">
        <v>1</v>
      </c>
      <c r="K2135" s="35">
        <v>4</v>
      </c>
      <c r="L2135" s="60" t="str">
        <f>HYPERLINK("https://www.sds-group.ru/product/svetilnik-sadovyy-trostnik-35-5sm-3000k-vstroennyy-akkumulyator-solnechnaya-panel-kollektsi-602-2410/", "Инфо")</f>
        <v>Инфо</v>
      </c>
      <c r="M2135" s="37">
        <v>1.04</v>
      </c>
      <c r="N2135" s="38">
        <v>2.9211000000000001E-2</v>
      </c>
      <c r="O2135" s="141">
        <v>4601004289284</v>
      </c>
    </row>
    <row r="2136" spans="1:15" s="1" customFormat="1" ht="11.45" customHeight="1" outlineLevel="3" x14ac:dyDescent="0.2">
      <c r="A2136" s="32" t="s">
        <v>19989</v>
      </c>
      <c r="B2136" s="74" t="s">
        <v>19990</v>
      </c>
      <c r="C2136" s="50"/>
      <c r="D2136" s="139">
        <f t="shared" si="33"/>
        <v>0</v>
      </c>
      <c r="E2136" s="140">
        <v>978.96</v>
      </c>
      <c r="F2136" s="140">
        <v>802.43</v>
      </c>
      <c r="G2136" s="34" t="s">
        <v>100</v>
      </c>
      <c r="H2136" s="34" t="s">
        <v>39</v>
      </c>
      <c r="I2136" s="35">
        <v>1</v>
      </c>
      <c r="J2136" s="35">
        <v>1</v>
      </c>
      <c r="K2136" s="35">
        <v>12</v>
      </c>
      <c r="L2136" s="60" t="str">
        <f>HYPERLINK("https://www.sds-group.ru/product/svetilnik-sadovyy-shanti-22sm-3000k-vstroennyy-akkumulyator-solnechnaya-panel-kollektsiya-b-602-2412/", "Инфо")</f>
        <v>Инфо</v>
      </c>
      <c r="M2136" s="37">
        <v>0.73499999999999999</v>
      </c>
      <c r="N2136" s="38">
        <v>6.0850000000000001E-3</v>
      </c>
      <c r="O2136" s="141">
        <v>4601004289314</v>
      </c>
    </row>
    <row r="2137" spans="1:15" s="1" customFormat="1" ht="11.45" customHeight="1" outlineLevel="3" x14ac:dyDescent="0.2">
      <c r="A2137" s="32" t="s">
        <v>19991</v>
      </c>
      <c r="B2137" s="74" t="s">
        <v>19992</v>
      </c>
      <c r="C2137" s="50"/>
      <c r="D2137" s="139">
        <f t="shared" si="33"/>
        <v>0</v>
      </c>
      <c r="E2137" s="140">
        <v>563.95000000000005</v>
      </c>
      <c r="F2137" s="140">
        <v>462.25</v>
      </c>
      <c r="G2137" s="34" t="s">
        <v>100</v>
      </c>
      <c r="H2137" s="34" t="s">
        <v>39</v>
      </c>
      <c r="I2137" s="35">
        <v>1</v>
      </c>
      <c r="J2137" s="35">
        <v>1</v>
      </c>
      <c r="K2137" s="35">
        <v>27</v>
      </c>
      <c r="L2137" s="60" t="str">
        <f>HYPERLINK("https://www.sds-group.ru/product/svetilnik-sadovyy-shile-3000k-vstroennyy-akkumulyator-solnechnaya-panel-kollektsiya-stambul-602-2406/", "Инфо")</f>
        <v>Инфо</v>
      </c>
      <c r="M2137" s="37">
        <v>0.34200000000000003</v>
      </c>
      <c r="N2137" s="38">
        <v>1.5640000000000001E-3</v>
      </c>
      <c r="O2137" s="141">
        <v>4601004289222</v>
      </c>
    </row>
    <row r="2138" spans="1:15" ht="11.45" customHeight="1" outlineLevel="1" x14ac:dyDescent="0.2">
      <c r="A2138" s="78" t="s">
        <v>19993</v>
      </c>
      <c r="B2138" s="132"/>
      <c r="C2138" s="79"/>
      <c r="D2138" s="133"/>
      <c r="E2138" s="134"/>
      <c r="F2138" s="134"/>
      <c r="G2138" s="134"/>
      <c r="H2138" s="134"/>
      <c r="I2138" s="134"/>
      <c r="J2138" s="134"/>
      <c r="K2138" s="134"/>
      <c r="L2138" s="135"/>
      <c r="M2138" s="134"/>
      <c r="N2138" s="134"/>
      <c r="O2138" s="134"/>
    </row>
    <row r="2139" spans="1:15" ht="11.45" customHeight="1" outlineLevel="2" x14ac:dyDescent="0.2">
      <c r="A2139" s="76" t="s">
        <v>19994</v>
      </c>
      <c r="B2139" s="136"/>
      <c r="C2139" s="77"/>
      <c r="D2139" s="137"/>
      <c r="E2139" s="4"/>
      <c r="F2139" s="4"/>
      <c r="G2139" s="4"/>
      <c r="H2139" s="4"/>
      <c r="I2139" s="4"/>
      <c r="J2139" s="4"/>
      <c r="K2139" s="4"/>
      <c r="L2139" s="138"/>
      <c r="M2139" s="4"/>
      <c r="N2139" s="4"/>
      <c r="O2139" s="4"/>
    </row>
    <row r="2140" spans="1:15" ht="11.45" customHeight="1" outlineLevel="3" x14ac:dyDescent="0.2">
      <c r="A2140" s="76" t="s">
        <v>19995</v>
      </c>
      <c r="B2140" s="136"/>
      <c r="C2140" s="77"/>
      <c r="D2140" s="137"/>
      <c r="E2140" s="4"/>
      <c r="F2140" s="4"/>
      <c r="G2140" s="4"/>
      <c r="H2140" s="4"/>
      <c r="I2140" s="4"/>
      <c r="J2140" s="4"/>
      <c r="K2140" s="4"/>
      <c r="L2140" s="138"/>
      <c r="M2140" s="4"/>
      <c r="N2140" s="4"/>
      <c r="O2140" s="4"/>
    </row>
    <row r="2141" spans="1:15" s="1" customFormat="1" ht="11.45" customHeight="1" outlineLevel="4" x14ac:dyDescent="0.2">
      <c r="A2141" s="32" t="s">
        <v>19996</v>
      </c>
      <c r="B2141" s="74" t="s">
        <v>19997</v>
      </c>
      <c r="C2141" s="50"/>
      <c r="D2141" s="139">
        <f t="shared" si="33"/>
        <v>0</v>
      </c>
      <c r="E2141" s="140">
        <v>102.66</v>
      </c>
      <c r="F2141" s="140">
        <v>84.15</v>
      </c>
      <c r="G2141" s="34" t="s">
        <v>100</v>
      </c>
      <c r="H2141" s="34" t="s">
        <v>39</v>
      </c>
      <c r="I2141" s="35">
        <v>1</v>
      </c>
      <c r="J2141" s="35">
        <v>1</v>
      </c>
      <c r="K2141" s="35">
        <v>100</v>
      </c>
      <c r="L2141" s="60" t="str">
        <f>HYPERLINK("https://www.sds-group.ru/product/lenta-svetodiodnaya-5v-smd2835-4-8vt-m-60-led-m-2700k-8mm-3m-s-usb-konnektorom-chernaya-ip2-141-2004/", "Инфо")</f>
        <v>Инфо</v>
      </c>
      <c r="M2141" s="37">
        <v>6.2E-2</v>
      </c>
      <c r="N2141" s="38">
        <v>2.8699999999999998E-4</v>
      </c>
      <c r="O2141" s="141">
        <v>4601004268128</v>
      </c>
    </row>
    <row r="2142" spans="1:15" s="1" customFormat="1" ht="11.45" customHeight="1" outlineLevel="4" x14ac:dyDescent="0.2">
      <c r="A2142" s="32" t="s">
        <v>19998</v>
      </c>
      <c r="B2142" s="74" t="s">
        <v>19999</v>
      </c>
      <c r="C2142" s="50"/>
      <c r="D2142" s="139">
        <f t="shared" si="33"/>
        <v>0</v>
      </c>
      <c r="E2142" s="140">
        <v>96.85</v>
      </c>
      <c r="F2142" s="140">
        <v>79.39</v>
      </c>
      <c r="G2142" s="34" t="s">
        <v>100</v>
      </c>
      <c r="H2142" s="34" t="s">
        <v>39</v>
      </c>
      <c r="I2142" s="35">
        <v>1</v>
      </c>
      <c r="J2142" s="35">
        <v>1</v>
      </c>
      <c r="K2142" s="35">
        <v>100</v>
      </c>
      <c r="L2142" s="60" t="str">
        <f>HYPERLINK("https://www.sds-group.ru/product/lenta-svetodiodnaya-5v-smd2835-4-8vt-m-60-led-m-6500k-8mm-3m-s-usb-konnektorom-chernaya-ip2-141-2003/", "Инфо")</f>
        <v>Инфо</v>
      </c>
      <c r="M2142" s="37">
        <v>6.3E-2</v>
      </c>
      <c r="N2142" s="38">
        <v>2.81E-4</v>
      </c>
      <c r="O2142" s="141">
        <v>4601004268111</v>
      </c>
    </row>
    <row r="2143" spans="1:15" s="1" customFormat="1" ht="11.45" customHeight="1" outlineLevel="4" x14ac:dyDescent="0.2">
      <c r="A2143" s="32" t="s">
        <v>20000</v>
      </c>
      <c r="B2143" s="74" t="s">
        <v>20001</v>
      </c>
      <c r="C2143" s="50"/>
      <c r="D2143" s="139">
        <f t="shared" si="33"/>
        <v>0</v>
      </c>
      <c r="E2143" s="140">
        <v>72.709999999999994</v>
      </c>
      <c r="F2143" s="140">
        <v>59.6</v>
      </c>
      <c r="G2143" s="34" t="s">
        <v>100</v>
      </c>
      <c r="H2143" s="34" t="s">
        <v>1767</v>
      </c>
      <c r="I2143" s="35">
        <v>1</v>
      </c>
      <c r="J2143" s="35">
        <v>1</v>
      </c>
      <c r="K2143" s="35">
        <v>300</v>
      </c>
      <c r="L2143" s="60" t="str">
        <f>HYPERLINK("https://www.sds-group.ru/product/lenta-svetodiodnaya-s-usb-konnektorom-5v-smd-2835-4-8vt-m-60-led-m-ip65-zeleniy-8mm-1m-lamper-18476/", "Инфо")</f>
        <v>Инфо</v>
      </c>
      <c r="M2143" s="37">
        <v>5.3999999999999999E-2</v>
      </c>
      <c r="N2143" s="38">
        <v>2.1999999999999999E-5</v>
      </c>
      <c r="O2143" s="141">
        <v>4601004132474</v>
      </c>
    </row>
    <row r="2144" spans="1:15" s="1" customFormat="1" ht="11.45" customHeight="1" outlineLevel="4" x14ac:dyDescent="0.2">
      <c r="A2144" s="32" t="s">
        <v>20002</v>
      </c>
      <c r="B2144" s="74" t="s">
        <v>20003</v>
      </c>
      <c r="C2144" s="50"/>
      <c r="D2144" s="139">
        <f t="shared" si="33"/>
        <v>0</v>
      </c>
      <c r="E2144" s="140">
        <v>109.55</v>
      </c>
      <c r="F2144" s="140">
        <v>89.8</v>
      </c>
      <c r="G2144" s="34" t="s">
        <v>100</v>
      </c>
      <c r="H2144" s="34" t="s">
        <v>1767</v>
      </c>
      <c r="I2144" s="35">
        <v>1</v>
      </c>
      <c r="J2144" s="35">
        <v>1</v>
      </c>
      <c r="K2144" s="35">
        <v>200</v>
      </c>
      <c r="L2144" s="60" t="str">
        <f>HYPERLINK("https://www.sds-group.ru/product/lenta-svetodiodnaya-5v-smd5050-4-8vt-m-60-led-m-rgb-10mm-1m-s-usb-konnektorom-chernaya-ip65--141-387/", "Инфо")</f>
        <v>Инфо</v>
      </c>
      <c r="M2144" s="37">
        <v>7.5999999999999998E-2</v>
      </c>
      <c r="N2144" s="38">
        <v>5.0900000000000001E-4</v>
      </c>
      <c r="O2144" s="141">
        <v>4601004132504</v>
      </c>
    </row>
    <row r="2145" spans="1:15" s="1" customFormat="1" ht="11.45" customHeight="1" outlineLevel="4" x14ac:dyDescent="0.2">
      <c r="A2145" s="32" t="s">
        <v>20004</v>
      </c>
      <c r="B2145" s="74" t="s">
        <v>20005</v>
      </c>
      <c r="C2145" s="50"/>
      <c r="D2145" s="139">
        <f t="shared" si="33"/>
        <v>0</v>
      </c>
      <c r="E2145" s="140">
        <v>194.35</v>
      </c>
      <c r="F2145" s="140">
        <v>159.30000000000001</v>
      </c>
      <c r="G2145" s="34" t="s">
        <v>100</v>
      </c>
      <c r="H2145" s="34" t="s">
        <v>39</v>
      </c>
      <c r="I2145" s="35">
        <v>1</v>
      </c>
      <c r="J2145" s="35">
        <v>1</v>
      </c>
      <c r="K2145" s="35">
        <v>100</v>
      </c>
      <c r="L2145" s="60" t="str">
        <f>HYPERLINK("https://www.sds-group.ru/product/lenta-svetodiodnaya-5v-smd5050-7-2vt-m-30-led-m-rgb-10mm-3m-s-usb-konnektorom-chernaya-ip20-141-2009/", "Инфо")</f>
        <v>Инфо</v>
      </c>
      <c r="M2145" s="37">
        <v>0.09</v>
      </c>
      <c r="N2145" s="38">
        <v>4.08E-4</v>
      </c>
      <c r="O2145" s="141">
        <v>4601004268135</v>
      </c>
    </row>
    <row r="2146" spans="1:15" ht="11.45" customHeight="1" outlineLevel="3" x14ac:dyDescent="0.2">
      <c r="A2146" s="76" t="s">
        <v>20006</v>
      </c>
      <c r="B2146" s="136"/>
      <c r="C2146" s="77"/>
      <c r="D2146" s="137"/>
      <c r="E2146" s="4"/>
      <c r="F2146" s="4"/>
      <c r="G2146" s="4"/>
      <c r="H2146" s="4"/>
      <c r="I2146" s="4"/>
      <c r="J2146" s="4"/>
      <c r="K2146" s="4"/>
      <c r="L2146" s="138"/>
      <c r="M2146" s="4"/>
      <c r="N2146" s="4"/>
      <c r="O2146" s="4"/>
    </row>
    <row r="2147" spans="1:15" s="1" customFormat="1" ht="11.45" customHeight="1" outlineLevel="4" x14ac:dyDescent="0.2">
      <c r="A2147" s="32" t="s">
        <v>20007</v>
      </c>
      <c r="B2147" s="74" t="s">
        <v>20008</v>
      </c>
      <c r="C2147" s="50"/>
      <c r="D2147" s="139">
        <f t="shared" si="33"/>
        <v>0</v>
      </c>
      <c r="E2147" s="140">
        <v>205.73</v>
      </c>
      <c r="F2147" s="140">
        <v>168.63</v>
      </c>
      <c r="G2147" s="34" t="s">
        <v>100</v>
      </c>
      <c r="H2147" s="34" t="s">
        <v>39</v>
      </c>
      <c r="I2147" s="35">
        <v>1</v>
      </c>
      <c r="J2147" s="35">
        <v>1</v>
      </c>
      <c r="K2147" s="35">
        <v>100</v>
      </c>
      <c r="L2147" s="60" t="str">
        <f>HYPERLINK("https://www.sds-group.ru/product/lenta-svetodiodnaya-12v-smd2835-4-8vt-m-60-led-m-2700k-8mm-5m-dlya-bp-s-klemmami-ip65-lampe-141-2016/", "Инфо")</f>
        <v>Инфо</v>
      </c>
      <c r="M2147" s="37">
        <v>0.107</v>
      </c>
      <c r="N2147" s="38">
        <v>3.59E-4</v>
      </c>
      <c r="O2147" s="141">
        <v>4601004268197</v>
      </c>
    </row>
    <row r="2148" spans="1:15" s="1" customFormat="1" ht="11.45" customHeight="1" outlineLevel="4" x14ac:dyDescent="0.2">
      <c r="A2148" s="32" t="s">
        <v>20009</v>
      </c>
      <c r="B2148" s="74" t="s">
        <v>20010</v>
      </c>
      <c r="C2148" s="50"/>
      <c r="D2148" s="139">
        <f t="shared" si="33"/>
        <v>0</v>
      </c>
      <c r="E2148" s="140">
        <v>64.349999999999994</v>
      </c>
      <c r="F2148" s="140">
        <v>52.75</v>
      </c>
      <c r="G2148" s="34" t="s">
        <v>100</v>
      </c>
      <c r="H2148" s="34" t="s">
        <v>39</v>
      </c>
      <c r="I2148" s="35">
        <v>1</v>
      </c>
      <c r="J2148" s="35">
        <v>1</v>
      </c>
      <c r="K2148" s="35">
        <v>50</v>
      </c>
      <c r="L2148" s="60" t="str">
        <f>HYPERLINK("https://www.sds-group.ru/product/lenta-svetodiodnaya-12v-smd2835-4-8vt-m-60-led-m-3000k-8mm-5m-ip20-lamper-141-336/", "Инфо")</f>
        <v>Инфо</v>
      </c>
      <c r="M2148" s="37">
        <v>7.2999999999999995E-2</v>
      </c>
      <c r="N2148" s="38">
        <v>4.2499999999999998E-4</v>
      </c>
      <c r="O2148" s="141">
        <v>4660008010614</v>
      </c>
    </row>
    <row r="2149" spans="1:15" s="1" customFormat="1" ht="11.45" customHeight="1" outlineLevel="4" x14ac:dyDescent="0.2">
      <c r="A2149" s="32" t="s">
        <v>20011</v>
      </c>
      <c r="B2149" s="74" t="s">
        <v>20012</v>
      </c>
      <c r="C2149" s="50"/>
      <c r="D2149" s="139">
        <f t="shared" si="33"/>
        <v>0</v>
      </c>
      <c r="E2149" s="140">
        <v>64.349999999999994</v>
      </c>
      <c r="F2149" s="140">
        <v>52.75</v>
      </c>
      <c r="G2149" s="34" t="s">
        <v>100</v>
      </c>
      <c r="H2149" s="34" t="s">
        <v>39</v>
      </c>
      <c r="I2149" s="35">
        <v>1</v>
      </c>
      <c r="J2149" s="35">
        <v>1</v>
      </c>
      <c r="K2149" s="35">
        <v>100</v>
      </c>
      <c r="L2149" s="60" t="str">
        <f>HYPERLINK("https://www.sds-group.ru/product/lenta-svetodiodnaya-12v-smd2835-4-8vt-m-60-led-m-6500k-8mm-5m-ip20-lamper-141-335/", "Инфо")</f>
        <v>Инфо</v>
      </c>
      <c r="M2149" s="37">
        <v>5.1999999999999998E-2</v>
      </c>
      <c r="N2149" s="38">
        <v>3.2400000000000001E-4</v>
      </c>
      <c r="O2149" s="141">
        <v>4610003606503</v>
      </c>
    </row>
    <row r="2150" spans="1:15" s="1" customFormat="1" ht="11.45" customHeight="1" outlineLevel="4" x14ac:dyDescent="0.2">
      <c r="A2150" s="32" t="s">
        <v>20013</v>
      </c>
      <c r="B2150" s="74" t="s">
        <v>20014</v>
      </c>
      <c r="C2150" s="50"/>
      <c r="D2150" s="139">
        <f t="shared" si="33"/>
        <v>0</v>
      </c>
      <c r="E2150" s="140">
        <v>12.35</v>
      </c>
      <c r="F2150" s="140">
        <v>10.119999999999999</v>
      </c>
      <c r="G2150" s="34" t="s">
        <v>100</v>
      </c>
      <c r="H2150" s="34" t="s">
        <v>1767</v>
      </c>
      <c r="I2150" s="35">
        <v>20</v>
      </c>
      <c r="J2150" s="35">
        <v>20</v>
      </c>
      <c r="K2150" s="39">
        <v>2000</v>
      </c>
      <c r="L2150" s="60" t="str">
        <f>HYPERLINK("https://www.sds-group.ru/product/lenta-svetodiodnaya-12v-smd2835-4-8vt-m-60-led-m-6500k-8mm-20m-dlya-bp-s-klemmami-ip20-lamp-141-2011/", "Инфо")</f>
        <v>Инфо</v>
      </c>
      <c r="M2150" s="37">
        <v>8.9999999999999993E-3</v>
      </c>
      <c r="N2150" s="38">
        <v>2.8E-5</v>
      </c>
      <c r="O2150" s="141">
        <v>4601004268838</v>
      </c>
    </row>
    <row r="2151" spans="1:15" s="1" customFormat="1" ht="11.45" customHeight="1" outlineLevel="4" x14ac:dyDescent="0.2">
      <c r="A2151" s="32" t="s">
        <v>20015</v>
      </c>
      <c r="B2151" s="74" t="s">
        <v>20016</v>
      </c>
      <c r="C2151" s="50"/>
      <c r="D2151" s="139">
        <f t="shared" si="33"/>
        <v>0</v>
      </c>
      <c r="E2151" s="140">
        <v>64.349999999999994</v>
      </c>
      <c r="F2151" s="140">
        <v>52.75</v>
      </c>
      <c r="G2151" s="34" t="s">
        <v>100</v>
      </c>
      <c r="H2151" s="34" t="s">
        <v>39</v>
      </c>
      <c r="I2151" s="35">
        <v>1</v>
      </c>
      <c r="J2151" s="35">
        <v>1</v>
      </c>
      <c r="K2151" s="35">
        <v>100</v>
      </c>
      <c r="L2151" s="60" t="str">
        <f>HYPERLINK("https://www.sds-group.ru/product/lenta-svetodiodnaya-12v-smd2835-4-8vt-m-60-led-m-6500k-8mm-5m-dlya-bp-s-klemmami-ip20-lampe-141-2013/", "Инфо")</f>
        <v>Инфо</v>
      </c>
      <c r="M2151" s="37">
        <v>5.5E-2</v>
      </c>
      <c r="N2151" s="38">
        <v>2.72E-4</v>
      </c>
      <c r="O2151" s="141">
        <v>4601004268166</v>
      </c>
    </row>
    <row r="2152" spans="1:15" s="1" customFormat="1" ht="11.45" customHeight="1" outlineLevel="4" x14ac:dyDescent="0.2">
      <c r="A2152" s="32" t="s">
        <v>20017</v>
      </c>
      <c r="B2152" s="74" t="s">
        <v>20018</v>
      </c>
      <c r="C2152" s="50"/>
      <c r="D2152" s="139">
        <f t="shared" si="33"/>
        <v>0</v>
      </c>
      <c r="E2152" s="140">
        <v>64.349999999999994</v>
      </c>
      <c r="F2152" s="140">
        <v>52.75</v>
      </c>
      <c r="G2152" s="34" t="s">
        <v>100</v>
      </c>
      <c r="H2152" s="34" t="s">
        <v>39</v>
      </c>
      <c r="I2152" s="35">
        <v>1</v>
      </c>
      <c r="J2152" s="35">
        <v>1</v>
      </c>
      <c r="K2152" s="35">
        <v>50</v>
      </c>
      <c r="L2152" s="60" t="str">
        <f>HYPERLINK("https://www.sds-group.ru/product/lenta-svetodiodnaya-12v-smd2835-4-8vt-m-60-led-m-siniy-8mm-5m-ip20-lamper-141-333/", "Инфо")</f>
        <v>Инфо</v>
      </c>
      <c r="M2152" s="37">
        <v>5.6000000000000001E-2</v>
      </c>
      <c r="N2152" s="38">
        <v>4.8799999999999999E-4</v>
      </c>
      <c r="O2152" s="141">
        <v>4610003606497</v>
      </c>
    </row>
    <row r="2153" spans="1:15" s="1" customFormat="1" ht="11.45" customHeight="1" outlineLevel="4" x14ac:dyDescent="0.2">
      <c r="A2153" s="32" t="s">
        <v>20019</v>
      </c>
      <c r="B2153" s="74" t="s">
        <v>20020</v>
      </c>
      <c r="C2153" s="50"/>
      <c r="D2153" s="139">
        <f t="shared" si="33"/>
        <v>0</v>
      </c>
      <c r="E2153" s="140">
        <v>137.11000000000001</v>
      </c>
      <c r="F2153" s="140">
        <v>112.39</v>
      </c>
      <c r="G2153" s="34" t="s">
        <v>100</v>
      </c>
      <c r="H2153" s="34" t="s">
        <v>39</v>
      </c>
      <c r="I2153" s="35">
        <v>1</v>
      </c>
      <c r="J2153" s="35">
        <v>1</v>
      </c>
      <c r="K2153" s="35">
        <v>50</v>
      </c>
      <c r="L2153" s="60" t="str">
        <f>HYPERLINK("https://www.sds-group.ru/product/lenta-svetodiodnaya-12v-smd2835-9-6-vt-m-120-led-m-6500k-8mm-5m-ip65-lamper-141-365/", "Инфо")</f>
        <v>Инфо</v>
      </c>
      <c r="M2153" s="37">
        <v>0.16</v>
      </c>
      <c r="N2153" s="38">
        <v>5.4799999999999998E-4</v>
      </c>
      <c r="O2153" s="141">
        <v>4601004061040</v>
      </c>
    </row>
    <row r="2154" spans="1:15" s="1" customFormat="1" ht="11.45" customHeight="1" outlineLevel="4" x14ac:dyDescent="0.2">
      <c r="A2154" s="32" t="s">
        <v>20021</v>
      </c>
      <c r="B2154" s="74" t="s">
        <v>20022</v>
      </c>
      <c r="C2154" s="50"/>
      <c r="D2154" s="139">
        <f t="shared" si="33"/>
        <v>0</v>
      </c>
      <c r="E2154" s="140">
        <v>81.99</v>
      </c>
      <c r="F2154" s="140">
        <v>67.2</v>
      </c>
      <c r="G2154" s="34" t="s">
        <v>100</v>
      </c>
      <c r="H2154" s="34" t="s">
        <v>39</v>
      </c>
      <c r="I2154" s="35">
        <v>1</v>
      </c>
      <c r="J2154" s="35">
        <v>1</v>
      </c>
      <c r="K2154" s="35">
        <v>50</v>
      </c>
      <c r="L2154" s="60" t="str">
        <f>HYPERLINK("https://www.sds-group.ru/product/lenta-svetodiodnaya-12v-smd2835-9-6vt-m-120-led-m-3000k-8mm-5m-ip20-lamper-141-396/", "Инфо")</f>
        <v>Инфо</v>
      </c>
      <c r="M2154" s="37">
        <v>7.8E-2</v>
      </c>
      <c r="N2154" s="38">
        <v>2.5900000000000001E-4</v>
      </c>
      <c r="O2154" s="141">
        <v>4601004012943</v>
      </c>
    </row>
    <row r="2155" spans="1:15" s="1" customFormat="1" ht="11.45" customHeight="1" outlineLevel="4" x14ac:dyDescent="0.2">
      <c r="A2155" s="32" t="s">
        <v>20023</v>
      </c>
      <c r="B2155" s="74" t="s">
        <v>20024</v>
      </c>
      <c r="C2155" s="50"/>
      <c r="D2155" s="139">
        <f t="shared" si="33"/>
        <v>0</v>
      </c>
      <c r="E2155" s="140">
        <v>96.85</v>
      </c>
      <c r="F2155" s="140">
        <v>79.39</v>
      </c>
      <c r="G2155" s="34" t="s">
        <v>100</v>
      </c>
      <c r="H2155" s="34" t="s">
        <v>39</v>
      </c>
      <c r="I2155" s="35">
        <v>1</v>
      </c>
      <c r="J2155" s="35">
        <v>1</v>
      </c>
      <c r="K2155" s="35">
        <v>100</v>
      </c>
      <c r="L2155" s="60" t="str">
        <f>HYPERLINK("https://www.sds-group.ru/product/lenta-svetodiodnaya-12v-smd3030-10-5vt-m-30-led-m-rgb-10mm-3m-s-razemom-dlya-kontrollera-4p-141-2032/", "Инфо")</f>
        <v>Инфо</v>
      </c>
      <c r="M2155" s="37">
        <v>7.0999999999999994E-2</v>
      </c>
      <c r="N2155" s="38">
        <v>4.26E-4</v>
      </c>
      <c r="O2155" s="141">
        <v>4601004269583</v>
      </c>
    </row>
    <row r="2156" spans="1:15" s="1" customFormat="1" ht="11.45" customHeight="1" outlineLevel="4" x14ac:dyDescent="0.2">
      <c r="A2156" s="32" t="s">
        <v>20025</v>
      </c>
      <c r="B2156" s="74" t="s">
        <v>20026</v>
      </c>
      <c r="C2156" s="50"/>
      <c r="D2156" s="139">
        <f t="shared" si="33"/>
        <v>0</v>
      </c>
      <c r="E2156" s="140">
        <v>88.88</v>
      </c>
      <c r="F2156" s="140">
        <v>72.849999999999994</v>
      </c>
      <c r="G2156" s="34" t="s">
        <v>100</v>
      </c>
      <c r="H2156" s="34" t="s">
        <v>39</v>
      </c>
      <c r="I2156" s="35">
        <v>1</v>
      </c>
      <c r="J2156" s="35">
        <v>1</v>
      </c>
      <c r="K2156" s="35">
        <v>100</v>
      </c>
      <c r="L2156" s="60" t="str">
        <f>HYPERLINK("https://www.sds-group.ru/product/lenta-svetodiodnaya-12v-smd5050-14-4vt-m-60-led-m-2700k-10mm-3m-dlya-bp-s-klemmami-ip20-lam-141-2022/", "Инфо")</f>
        <v>Инфо</v>
      </c>
      <c r="M2156" s="37">
        <v>7.6999999999999999E-2</v>
      </c>
      <c r="N2156" s="38">
        <v>4.0999999999999999E-4</v>
      </c>
      <c r="O2156" s="141">
        <v>4601004268098</v>
      </c>
    </row>
    <row r="2157" spans="1:15" s="1" customFormat="1" ht="11.45" customHeight="1" outlineLevel="4" x14ac:dyDescent="0.2">
      <c r="A2157" s="32" t="s">
        <v>20027</v>
      </c>
      <c r="B2157" s="74" t="s">
        <v>20028</v>
      </c>
      <c r="C2157" s="50"/>
      <c r="D2157" s="139">
        <f t="shared" si="33"/>
        <v>0</v>
      </c>
      <c r="E2157" s="140">
        <v>122.85</v>
      </c>
      <c r="F2157" s="140">
        <v>100.7</v>
      </c>
      <c r="G2157" s="34" t="s">
        <v>100</v>
      </c>
      <c r="H2157" s="34" t="s">
        <v>39</v>
      </c>
      <c r="I2157" s="35">
        <v>1</v>
      </c>
      <c r="J2157" s="35">
        <v>1</v>
      </c>
      <c r="K2157" s="35">
        <v>100</v>
      </c>
      <c r="L2157" s="60" t="str">
        <f>HYPERLINK("https://www.sds-group.ru/product/lenta-svetodiodnaya-12v-smd5050-14-4vt-m-60-led-m-2700k-10mm-3m-dlya-bp-s-klemmami-ip65-lam-141-2030/", "Инфо")</f>
        <v>Инфо</v>
      </c>
      <c r="M2157" s="37">
        <v>0.108</v>
      </c>
      <c r="N2157" s="38">
        <v>4.17E-4</v>
      </c>
      <c r="O2157" s="141">
        <v>4601004268272</v>
      </c>
    </row>
    <row r="2158" spans="1:15" s="1" customFormat="1" ht="11.45" customHeight="1" outlineLevel="4" x14ac:dyDescent="0.2">
      <c r="A2158" s="32" t="s">
        <v>20029</v>
      </c>
      <c r="B2158" s="74" t="s">
        <v>20030</v>
      </c>
      <c r="C2158" s="50"/>
      <c r="D2158" s="139">
        <f t="shared" si="33"/>
        <v>0</v>
      </c>
      <c r="E2158" s="140">
        <v>179.43</v>
      </c>
      <c r="F2158" s="140">
        <v>147.07</v>
      </c>
      <c r="G2158" s="34" t="s">
        <v>100</v>
      </c>
      <c r="H2158" s="34" t="s">
        <v>39</v>
      </c>
      <c r="I2158" s="35">
        <v>1</v>
      </c>
      <c r="J2158" s="35">
        <v>1</v>
      </c>
      <c r="K2158" s="35">
        <v>50</v>
      </c>
      <c r="L2158" s="60" t="str">
        <f>HYPERLINK("https://www.sds-group.ru/product/lenta-svetodiodnaya-12v-smd5050-14-4vt-m-60-led-m-3000k-10mm-5m-ip65-lamper-141-496/", "Инфо")</f>
        <v>Инфо</v>
      </c>
      <c r="M2158" s="37">
        <v>0.17899999999999999</v>
      </c>
      <c r="N2158" s="38">
        <v>3.7199999999999999E-4</v>
      </c>
      <c r="O2158" s="141">
        <v>4601004013049</v>
      </c>
    </row>
    <row r="2159" spans="1:15" s="1" customFormat="1" ht="11.45" customHeight="1" outlineLevel="4" x14ac:dyDescent="0.2">
      <c r="A2159" s="32" t="s">
        <v>20031</v>
      </c>
      <c r="B2159" s="74" t="s">
        <v>20032</v>
      </c>
      <c r="C2159" s="50"/>
      <c r="D2159" s="139">
        <f t="shared" si="33"/>
        <v>0</v>
      </c>
      <c r="E2159" s="140">
        <v>83.85</v>
      </c>
      <c r="F2159" s="140">
        <v>68.73</v>
      </c>
      <c r="G2159" s="34" t="s">
        <v>100</v>
      </c>
      <c r="H2159" s="34" t="s">
        <v>39</v>
      </c>
      <c r="I2159" s="35">
        <v>1</v>
      </c>
      <c r="J2159" s="35">
        <v>1</v>
      </c>
      <c r="K2159" s="35">
        <v>100</v>
      </c>
      <c r="L2159" s="60" t="str">
        <f>HYPERLINK("https://www.sds-group.ru/product/lenta-svetodiodnaya-12v-smd5050-14-4vt-m-60-led-m-4000k-10mm-3m-dlya-bp-s-klemmami-ip20-lam-141-2023/", "Инфо")</f>
        <v>Инфо</v>
      </c>
      <c r="M2159" s="37">
        <v>7.5999999999999998E-2</v>
      </c>
      <c r="N2159" s="38">
        <v>4.0900000000000002E-4</v>
      </c>
      <c r="O2159" s="141">
        <v>4601004268302</v>
      </c>
    </row>
    <row r="2160" spans="1:15" s="1" customFormat="1" ht="11.45" customHeight="1" outlineLevel="4" x14ac:dyDescent="0.2">
      <c r="A2160" s="32" t="s">
        <v>20033</v>
      </c>
      <c r="B2160" s="74" t="s">
        <v>20034</v>
      </c>
      <c r="C2160" s="50"/>
      <c r="D2160" s="139">
        <f t="shared" si="33"/>
        <v>0</v>
      </c>
      <c r="E2160" s="140">
        <v>129.35</v>
      </c>
      <c r="F2160" s="140">
        <v>106.02</v>
      </c>
      <c r="G2160" s="34" t="s">
        <v>100</v>
      </c>
      <c r="H2160" s="34" t="s">
        <v>39</v>
      </c>
      <c r="I2160" s="35">
        <v>1</v>
      </c>
      <c r="J2160" s="35">
        <v>1</v>
      </c>
      <c r="K2160" s="35">
        <v>100</v>
      </c>
      <c r="L2160" s="60" t="str">
        <f>HYPERLINK("https://www.sds-group.ru/product/lenta-svetodiodnaya-12v-smd5050-14-4vt-m-60-led-m-4000k-10mm-5m-dlya-bp-s-klemmami-ip20-lam-141-2026/", "Инфо")</f>
        <v>Инфо</v>
      </c>
      <c r="M2160" s="37">
        <v>0.10199999999999999</v>
      </c>
      <c r="N2160" s="38">
        <v>4.06E-4</v>
      </c>
      <c r="O2160" s="141">
        <v>4601004268234</v>
      </c>
    </row>
    <row r="2161" spans="1:15" s="1" customFormat="1" ht="11.45" customHeight="1" outlineLevel="4" x14ac:dyDescent="0.2">
      <c r="A2161" s="32" t="s">
        <v>20035</v>
      </c>
      <c r="B2161" s="74" t="s">
        <v>20036</v>
      </c>
      <c r="C2161" s="50"/>
      <c r="D2161" s="139">
        <f t="shared" si="33"/>
        <v>0</v>
      </c>
      <c r="E2161" s="140">
        <v>83.85</v>
      </c>
      <c r="F2161" s="140">
        <v>68.73</v>
      </c>
      <c r="G2161" s="34" t="s">
        <v>100</v>
      </c>
      <c r="H2161" s="34" t="s">
        <v>39</v>
      </c>
      <c r="I2161" s="35">
        <v>1</v>
      </c>
      <c r="J2161" s="35">
        <v>1</v>
      </c>
      <c r="K2161" s="35">
        <v>100</v>
      </c>
      <c r="L2161" s="60" t="str">
        <f>HYPERLINK("https://www.sds-group.ru/product/lenta-svetodiodnaya-12v-smd5050-14-4vt-m-60-led-m-6500k-10mm-3m-dlya-bp-s-klemmami-ip20-lam-141-2021/", "Инфо")</f>
        <v>Инфо</v>
      </c>
      <c r="M2161" s="37">
        <v>7.5999999999999998E-2</v>
      </c>
      <c r="N2161" s="38">
        <v>4.0200000000000001E-4</v>
      </c>
      <c r="O2161" s="141">
        <v>4601004268203</v>
      </c>
    </row>
    <row r="2162" spans="1:15" s="1" customFormat="1" ht="11.45" customHeight="1" outlineLevel="4" x14ac:dyDescent="0.2">
      <c r="A2162" s="32" t="s">
        <v>20037</v>
      </c>
      <c r="B2162" s="74" t="s">
        <v>20038</v>
      </c>
      <c r="C2162" s="50"/>
      <c r="D2162" s="139">
        <f t="shared" si="33"/>
        <v>0</v>
      </c>
      <c r="E2162" s="140">
        <v>122.85</v>
      </c>
      <c r="F2162" s="140">
        <v>100.7</v>
      </c>
      <c r="G2162" s="34" t="s">
        <v>100</v>
      </c>
      <c r="H2162" s="34" t="s">
        <v>39</v>
      </c>
      <c r="I2162" s="35">
        <v>1</v>
      </c>
      <c r="J2162" s="35">
        <v>1</v>
      </c>
      <c r="K2162" s="35">
        <v>100</v>
      </c>
      <c r="L2162" s="60" t="str">
        <f>HYPERLINK("https://www.sds-group.ru/product/lenta-svetodiodnaya-12v-smd5050-14-4vt-m-60-led-m-6500k-10mm-3m-dlya-bp-s-klemmami-ip65-lam-141-2029/", "Инфо")</f>
        <v>Инфо</v>
      </c>
      <c r="M2162" s="37">
        <v>0.109</v>
      </c>
      <c r="N2162" s="38">
        <v>4.08E-4</v>
      </c>
      <c r="O2162" s="141">
        <v>4601004268265</v>
      </c>
    </row>
    <row r="2163" spans="1:15" s="1" customFormat="1" ht="11.45" customHeight="1" outlineLevel="4" x14ac:dyDescent="0.2">
      <c r="A2163" s="32" t="s">
        <v>20039</v>
      </c>
      <c r="B2163" s="74" t="s">
        <v>20040</v>
      </c>
      <c r="C2163" s="50"/>
      <c r="D2163" s="139">
        <f t="shared" si="33"/>
        <v>0</v>
      </c>
      <c r="E2163" s="140">
        <v>129.35</v>
      </c>
      <c r="F2163" s="140">
        <v>106.02</v>
      </c>
      <c r="G2163" s="34" t="s">
        <v>100</v>
      </c>
      <c r="H2163" s="34" t="s">
        <v>39</v>
      </c>
      <c r="I2163" s="35">
        <v>1</v>
      </c>
      <c r="J2163" s="35">
        <v>1</v>
      </c>
      <c r="K2163" s="35">
        <v>100</v>
      </c>
      <c r="L2163" s="60" t="str">
        <f>HYPERLINK("https://www.sds-group.ru/product/lenta-svetodiodnaya-12v-smd5050-14-4vt-m-60-led-m-6500k-10mm-5m-dlya-bp-s-klemmami-ip20-lam-141-2024/", "Инфо")</f>
        <v>Инфо</v>
      </c>
      <c r="M2163" s="37">
        <v>0.10100000000000001</v>
      </c>
      <c r="N2163" s="38">
        <v>4.0299999999999998E-4</v>
      </c>
      <c r="O2163" s="141">
        <v>4601004268210</v>
      </c>
    </row>
    <row r="2164" spans="1:15" s="1" customFormat="1" ht="11.45" customHeight="1" outlineLevel="4" x14ac:dyDescent="0.2">
      <c r="A2164" s="32" t="s">
        <v>20041</v>
      </c>
      <c r="B2164" s="74" t="s">
        <v>20042</v>
      </c>
      <c r="C2164" s="50"/>
      <c r="D2164" s="139">
        <f t="shared" si="33"/>
        <v>0</v>
      </c>
      <c r="E2164" s="140">
        <v>206.01</v>
      </c>
      <c r="F2164" s="140">
        <v>168.86</v>
      </c>
      <c r="G2164" s="34" t="s">
        <v>100</v>
      </c>
      <c r="H2164" s="34" t="s">
        <v>39</v>
      </c>
      <c r="I2164" s="35">
        <v>1</v>
      </c>
      <c r="J2164" s="35">
        <v>1</v>
      </c>
      <c r="K2164" s="35">
        <v>50</v>
      </c>
      <c r="L2164" s="60" t="str">
        <f>HYPERLINK("https://www.sds-group.ru/product/lenta-svetodiodnaya-12v-smd5050-14-4vt-m-60-led-m-rgb-10mm-5m-ip65-lamper-141-499/", "Инфо")</f>
        <v>Инфо</v>
      </c>
      <c r="M2164" s="37">
        <v>0.16200000000000001</v>
      </c>
      <c r="N2164" s="38">
        <v>4.08E-4</v>
      </c>
      <c r="O2164" s="141">
        <v>4601004013056</v>
      </c>
    </row>
    <row r="2165" spans="1:15" s="1" customFormat="1" ht="11.45" customHeight="1" outlineLevel="4" x14ac:dyDescent="0.2">
      <c r="A2165" s="32" t="s">
        <v>20043</v>
      </c>
      <c r="B2165" s="74" t="s">
        <v>20044</v>
      </c>
      <c r="C2165" s="50"/>
      <c r="D2165" s="139">
        <f t="shared" si="33"/>
        <v>0</v>
      </c>
      <c r="E2165" s="140">
        <v>185.34</v>
      </c>
      <c r="F2165" s="140">
        <v>151.91999999999999</v>
      </c>
      <c r="G2165" s="34" t="s">
        <v>100</v>
      </c>
      <c r="H2165" s="34" t="s">
        <v>39</v>
      </c>
      <c r="I2165" s="35">
        <v>1</v>
      </c>
      <c r="J2165" s="35">
        <v>1</v>
      </c>
      <c r="K2165" s="35">
        <v>50</v>
      </c>
      <c r="L2165" s="60" t="str">
        <f>HYPERLINK("https://www.sds-group.ru/product/lenta-svetodiodnaya-12v-smd5050-14-4vt-m-60-led-m-zheltyy-10mm-5m-ip65-lamper-141-492/", "Инфо")</f>
        <v>Инфо</v>
      </c>
      <c r="M2165" s="37">
        <v>0.21199999999999999</v>
      </c>
      <c r="N2165" s="38">
        <v>5.4500000000000002E-4</v>
      </c>
      <c r="O2165" s="141">
        <v>4601004013001</v>
      </c>
    </row>
    <row r="2166" spans="1:15" ht="11.45" customHeight="1" outlineLevel="3" x14ac:dyDescent="0.2">
      <c r="A2166" s="76" t="s">
        <v>20045</v>
      </c>
      <c r="B2166" s="136"/>
      <c r="C2166" s="77"/>
      <c r="D2166" s="137"/>
      <c r="E2166" s="4"/>
      <c r="F2166" s="4"/>
      <c r="G2166" s="4"/>
      <c r="H2166" s="4"/>
      <c r="I2166" s="4"/>
      <c r="J2166" s="4"/>
      <c r="K2166" s="4"/>
      <c r="L2166" s="138"/>
      <c r="M2166" s="4"/>
      <c r="N2166" s="4"/>
      <c r="O2166" s="4"/>
    </row>
    <row r="2167" spans="1:15" s="1" customFormat="1" ht="11.45" customHeight="1" outlineLevel="4" x14ac:dyDescent="0.2">
      <c r="A2167" s="32" t="s">
        <v>20046</v>
      </c>
      <c r="B2167" s="74" t="s">
        <v>20047</v>
      </c>
      <c r="C2167" s="50"/>
      <c r="D2167" s="139">
        <f t="shared" si="33"/>
        <v>0</v>
      </c>
      <c r="E2167" s="140">
        <v>129.35</v>
      </c>
      <c r="F2167" s="140">
        <v>106.02</v>
      </c>
      <c r="G2167" s="34" t="s">
        <v>100</v>
      </c>
      <c r="H2167" s="34" t="s">
        <v>39</v>
      </c>
      <c r="I2167" s="35">
        <v>1</v>
      </c>
      <c r="J2167" s="35">
        <v>1</v>
      </c>
      <c r="K2167" s="35">
        <v>100</v>
      </c>
      <c r="L2167" s="60" t="str">
        <f>HYPERLINK("https://www.sds-group.ru/product/lenta-svetodiodnaya-24v-smd5050-14-4vt-m-60-led-m-3000k-10mm-5m-ip20-lamper-141-632/", "Инфо")</f>
        <v>Инфо</v>
      </c>
      <c r="M2167" s="37">
        <v>7.9000000000000001E-2</v>
      </c>
      <c r="N2167" s="38">
        <v>3.2400000000000001E-4</v>
      </c>
      <c r="O2167" s="141">
        <v>4601004132320</v>
      </c>
    </row>
    <row r="2168" spans="1:15" ht="11.45" customHeight="1" outlineLevel="3" x14ac:dyDescent="0.2">
      <c r="A2168" s="76" t="s">
        <v>20048</v>
      </c>
      <c r="B2168" s="136"/>
      <c r="C2168" s="77"/>
      <c r="D2168" s="137"/>
      <c r="E2168" s="4"/>
      <c r="F2168" s="4"/>
      <c r="G2168" s="4"/>
      <c r="H2168" s="4"/>
      <c r="I2168" s="4"/>
      <c r="J2168" s="4"/>
      <c r="K2168" s="4"/>
      <c r="L2168" s="138"/>
      <c r="M2168" s="4"/>
      <c r="N2168" s="4"/>
      <c r="O2168" s="4"/>
    </row>
    <row r="2169" spans="1:15" s="1" customFormat="1" ht="11.45" customHeight="1" outlineLevel="4" x14ac:dyDescent="0.2">
      <c r="A2169" s="32" t="s">
        <v>20049</v>
      </c>
      <c r="B2169" s="74" t="s">
        <v>20050</v>
      </c>
      <c r="C2169" s="50"/>
      <c r="D2169" s="139">
        <f t="shared" si="33"/>
        <v>0</v>
      </c>
      <c r="E2169" s="140">
        <v>608.48</v>
      </c>
      <c r="F2169" s="140">
        <v>498.75</v>
      </c>
      <c r="G2169" s="34" t="s">
        <v>100</v>
      </c>
      <c r="H2169" s="34" t="s">
        <v>39</v>
      </c>
      <c r="I2169" s="35">
        <v>1</v>
      </c>
      <c r="J2169" s="35">
        <v>1</v>
      </c>
      <c r="K2169" s="35">
        <v>100</v>
      </c>
      <c r="L2169" s="60" t="str">
        <f>HYPERLINK("https://www.sds-group.ru/product/led-rgb-kontroller-2-4g-polusensornoe-upravlenie-lamper-143-103-2/", "Инфо")</f>
        <v>Инфо</v>
      </c>
      <c r="M2169" s="37">
        <v>9.6000000000000002E-2</v>
      </c>
      <c r="N2169" s="38">
        <v>6.7699999999999998E-4</v>
      </c>
      <c r="O2169" s="141">
        <v>4601004002746</v>
      </c>
    </row>
    <row r="2170" spans="1:15" s="1" customFormat="1" ht="11.45" customHeight="1" outlineLevel="4" x14ac:dyDescent="0.2">
      <c r="A2170" s="32" t="s">
        <v>20051</v>
      </c>
      <c r="B2170" s="74" t="s">
        <v>20052</v>
      </c>
      <c r="C2170" s="50"/>
      <c r="D2170" s="139">
        <f t="shared" si="33"/>
        <v>0</v>
      </c>
      <c r="E2170" s="140">
        <v>68.37</v>
      </c>
      <c r="F2170" s="140">
        <v>56.04</v>
      </c>
      <c r="G2170" s="34" t="s">
        <v>100</v>
      </c>
      <c r="H2170" s="34" t="s">
        <v>39</v>
      </c>
      <c r="I2170" s="35">
        <v>1</v>
      </c>
      <c r="J2170" s="35">
        <v>1</v>
      </c>
      <c r="K2170" s="35">
        <v>100</v>
      </c>
      <c r="L2170" s="60" t="str">
        <f>HYPERLINK("https://www.sds-group.ru/product/led-rgb-kontroller-infrakrasnyy-ir-12-v-6-a-infrakrasnyy-ir-lamper-143-101-3/", "Инфо")</f>
        <v>Инфо</v>
      </c>
      <c r="M2170" s="37">
        <v>5.2999999999999999E-2</v>
      </c>
      <c r="N2170" s="38">
        <v>4.55E-4</v>
      </c>
      <c r="O2170" s="141">
        <v>4601004021761</v>
      </c>
    </row>
    <row r="2171" spans="1:15" s="1" customFormat="1" ht="11.45" customHeight="1" outlineLevel="4" x14ac:dyDescent="0.2">
      <c r="A2171" s="32" t="s">
        <v>20053</v>
      </c>
      <c r="B2171" s="74" t="s">
        <v>20054</v>
      </c>
      <c r="C2171" s="50"/>
      <c r="D2171" s="139">
        <f t="shared" si="33"/>
        <v>0</v>
      </c>
      <c r="E2171" s="140">
        <v>43.78</v>
      </c>
      <c r="F2171" s="140">
        <v>35.89</v>
      </c>
      <c r="G2171" s="34" t="s">
        <v>100</v>
      </c>
      <c r="H2171" s="34" t="s">
        <v>39</v>
      </c>
      <c r="I2171" s="35">
        <v>1</v>
      </c>
      <c r="J2171" s="35">
        <v>1</v>
      </c>
      <c r="K2171" s="35">
        <v>100</v>
      </c>
      <c r="L2171" s="60" t="str">
        <f>HYPERLINK("https://www.sds-group.ru/product/led-mini-kontroller-s-razemom-5-5h2-1-mm-72-144-w-3-knopki-12-v-24-v-143-106/", "Инфо")</f>
        <v>Инфо</v>
      </c>
      <c r="M2171" s="37">
        <v>8.0000000000000002E-3</v>
      </c>
      <c r="N2171" s="38">
        <v>6.4999999999999994E-5</v>
      </c>
      <c r="O2171" s="141">
        <v>4601004100428</v>
      </c>
    </row>
    <row r="2172" spans="1:15" s="1" customFormat="1" ht="11.45" customHeight="1" outlineLevel="4" x14ac:dyDescent="0.2">
      <c r="A2172" s="32" t="s">
        <v>20055</v>
      </c>
      <c r="B2172" s="74" t="s">
        <v>20056</v>
      </c>
      <c r="C2172" s="50"/>
      <c r="D2172" s="139">
        <f t="shared" si="33"/>
        <v>0</v>
      </c>
      <c r="E2172" s="140">
        <v>46.42</v>
      </c>
      <c r="F2172" s="140">
        <v>38.049999999999997</v>
      </c>
      <c r="G2172" s="34" t="s">
        <v>100</v>
      </c>
      <c r="H2172" s="34" t="s">
        <v>39</v>
      </c>
      <c r="I2172" s="35">
        <v>10</v>
      </c>
      <c r="J2172" s="35">
        <v>10</v>
      </c>
      <c r="K2172" s="35">
        <v>500</v>
      </c>
      <c r="L2172" s="60" t="str">
        <f>HYPERLINK("https://www.sds-group.ru/product/konnektor-soedinitelnyy-dlya-rgb-svetodiodnyh-lent-shirinoy-10-mm-i-kontrollerov-dlina-30-sm-144-113/", "Инфо")</f>
        <v>Инфо</v>
      </c>
      <c r="M2172" s="37">
        <v>0.02</v>
      </c>
      <c r="N2172" s="38">
        <v>4.6999999999999997E-5</v>
      </c>
      <c r="O2172" s="141">
        <v>4601004100244</v>
      </c>
    </row>
    <row r="2173" spans="1:15" s="1" customFormat="1" ht="11.45" customHeight="1" outlineLevel="4" x14ac:dyDescent="0.2">
      <c r="A2173" s="32" t="s">
        <v>20057</v>
      </c>
      <c r="B2173" s="74" t="s">
        <v>20058</v>
      </c>
      <c r="C2173" s="50"/>
      <c r="D2173" s="139">
        <f t="shared" si="33"/>
        <v>0</v>
      </c>
      <c r="E2173" s="140">
        <v>49.7</v>
      </c>
      <c r="F2173" s="140">
        <v>40.74</v>
      </c>
      <c r="G2173" s="34" t="s">
        <v>100</v>
      </c>
      <c r="H2173" s="34" t="s">
        <v>39</v>
      </c>
      <c r="I2173" s="35">
        <v>10</v>
      </c>
      <c r="J2173" s="35">
        <v>10</v>
      </c>
      <c r="K2173" s="39">
        <v>1000</v>
      </c>
      <c r="L2173" s="60" t="str">
        <f>HYPERLINK("https://www.sds-group.ru/product/konnektor-soedinitelnyy-dlya-odnotsvetnyh-svetodiodnyh-lent-s-vlagozaschitoy-shirinoy-10-mm--144-025/", "Инфо")</f>
        <v>Инфо</v>
      </c>
      <c r="M2173" s="37">
        <v>3.0000000000000001E-3</v>
      </c>
      <c r="N2173" s="38">
        <v>1.7E-5</v>
      </c>
      <c r="O2173" s="141">
        <v>4601004100312</v>
      </c>
    </row>
    <row r="2174" spans="1:15" s="1" customFormat="1" ht="11.45" customHeight="1" outlineLevel="4" x14ac:dyDescent="0.2">
      <c r="A2174" s="32" t="s">
        <v>20059</v>
      </c>
      <c r="B2174" s="74" t="s">
        <v>20060</v>
      </c>
      <c r="C2174" s="50"/>
      <c r="D2174" s="139">
        <f t="shared" si="33"/>
        <v>0</v>
      </c>
      <c r="E2174" s="140">
        <v>23.61</v>
      </c>
      <c r="F2174" s="140">
        <v>19.350000000000001</v>
      </c>
      <c r="G2174" s="34" t="s">
        <v>100</v>
      </c>
      <c r="H2174" s="34" t="s">
        <v>39</v>
      </c>
      <c r="I2174" s="35">
        <v>10</v>
      </c>
      <c r="J2174" s="35">
        <v>10</v>
      </c>
      <c r="K2174" s="35">
        <v>700</v>
      </c>
      <c r="L2174" s="60" t="str">
        <f>HYPERLINK("https://www.sds-group.ru/product/konnektor-soedinitelnyy-dlya-odnotsvetnyh-svetodiodnyh-lent-s-vlagozaschitoy-shirinoy-8-mm-d-144-023/", "Инфо")</f>
        <v>Инфо</v>
      </c>
      <c r="M2174" s="37">
        <v>4.0000000000000001E-3</v>
      </c>
      <c r="N2174" s="38">
        <v>7.2000000000000002E-5</v>
      </c>
      <c r="O2174" s="141">
        <v>4601004100305</v>
      </c>
    </row>
    <row r="2175" spans="1:15" s="1" customFormat="1" ht="11.45" customHeight="1" outlineLevel="4" x14ac:dyDescent="0.2">
      <c r="A2175" s="32" t="s">
        <v>20061</v>
      </c>
      <c r="B2175" s="74" t="s">
        <v>20062</v>
      </c>
      <c r="C2175" s="50"/>
      <c r="D2175" s="139">
        <f t="shared" si="33"/>
        <v>0</v>
      </c>
      <c r="E2175" s="140">
        <v>19.78</v>
      </c>
      <c r="F2175" s="140">
        <v>16.21</v>
      </c>
      <c r="G2175" s="34" t="s">
        <v>100</v>
      </c>
      <c r="H2175" s="34" t="s">
        <v>39</v>
      </c>
      <c r="I2175" s="35">
        <v>10</v>
      </c>
      <c r="J2175" s="35">
        <v>10</v>
      </c>
      <c r="K2175" s="39">
        <v>1000</v>
      </c>
      <c r="L2175" s="60" t="str">
        <f>HYPERLINK("https://www.sds-group.ru/product/konnektor-soedinitelnyy-2-razema-dlya-rgb-svetodiodnyh-lent-shirinoy-10-mm-dlina-15-sm-lampe-144-004/", "Инфо")</f>
        <v>Инфо</v>
      </c>
      <c r="M2175" s="37">
        <v>6.0000000000000001E-3</v>
      </c>
      <c r="N2175" s="38">
        <v>2.4000000000000001E-5</v>
      </c>
      <c r="O2175" s="141">
        <v>4601004282278</v>
      </c>
    </row>
    <row r="2176" spans="1:15" s="1" customFormat="1" ht="11.45" customHeight="1" outlineLevel="4" x14ac:dyDescent="0.2">
      <c r="A2176" s="32" t="s">
        <v>20063</v>
      </c>
      <c r="B2176" s="74" t="s">
        <v>20064</v>
      </c>
      <c r="C2176" s="50"/>
      <c r="D2176" s="139">
        <f t="shared" si="33"/>
        <v>0</v>
      </c>
      <c r="E2176" s="140">
        <v>75.92</v>
      </c>
      <c r="F2176" s="140">
        <v>62.23</v>
      </c>
      <c r="G2176" s="34" t="s">
        <v>100</v>
      </c>
      <c r="H2176" s="34" t="s">
        <v>39</v>
      </c>
      <c r="I2176" s="35">
        <v>1</v>
      </c>
      <c r="J2176" s="35">
        <v>1</v>
      </c>
      <c r="K2176" s="35">
        <v>140</v>
      </c>
      <c r="L2176" s="60" t="str">
        <f>HYPERLINK("https://www.sds-group.ru/product/mini-kontroller-svetodiodnyy-rgb-infrakrasnyy-ir-6-knopok-12-24v-6a-lamper-143-106-1/", "Инфо")</f>
        <v>Инфо</v>
      </c>
      <c r="M2176" s="37">
        <v>0.03</v>
      </c>
      <c r="N2176" s="38">
        <v>1.85E-4</v>
      </c>
      <c r="O2176" s="141">
        <v>4601004002821</v>
      </c>
    </row>
    <row r="2177" spans="1:15" s="1" customFormat="1" ht="11.45" customHeight="1" outlineLevel="4" x14ac:dyDescent="0.2">
      <c r="A2177" s="32" t="s">
        <v>20065</v>
      </c>
      <c r="B2177" s="74" t="s">
        <v>20066</v>
      </c>
      <c r="C2177" s="50"/>
      <c r="D2177" s="139">
        <f t="shared" si="33"/>
        <v>0</v>
      </c>
      <c r="E2177" s="140">
        <v>180.28</v>
      </c>
      <c r="F2177" s="140">
        <v>147.77000000000001</v>
      </c>
      <c r="G2177" s="34" t="s">
        <v>100</v>
      </c>
      <c r="H2177" s="34" t="s">
        <v>39</v>
      </c>
      <c r="I2177" s="35">
        <v>1</v>
      </c>
      <c r="J2177" s="35">
        <v>1</v>
      </c>
      <c r="K2177" s="35">
        <v>200</v>
      </c>
      <c r="L2177" s="60" t="str">
        <f>HYPERLINK("https://www.sds-group.ru/product/sensornyy-vyklyuchatel-dlya-svetodiodnoy-lenty-5-5h2-1-mm-12-24-v-36-72-vt-3-a-143-105-3/", "Инфо")</f>
        <v>Инфо</v>
      </c>
      <c r="M2177" s="37">
        <v>3.1E-2</v>
      </c>
      <c r="N2177" s="38">
        <v>2.5700000000000001E-4</v>
      </c>
      <c r="O2177" s="141">
        <v>4601004132641</v>
      </c>
    </row>
    <row r="2178" spans="1:15" s="1" customFormat="1" ht="11.45" customHeight="1" outlineLevel="4" x14ac:dyDescent="0.2">
      <c r="A2178" s="32" t="s">
        <v>20067</v>
      </c>
      <c r="B2178" s="74" t="s">
        <v>20068</v>
      </c>
      <c r="C2178" s="50"/>
      <c r="D2178" s="139">
        <f t="shared" si="33"/>
        <v>0</v>
      </c>
      <c r="E2178" s="140">
        <v>129.16999999999999</v>
      </c>
      <c r="F2178" s="140">
        <v>105.88</v>
      </c>
      <c r="G2178" s="34" t="s">
        <v>100</v>
      </c>
      <c r="H2178" s="34" t="s">
        <v>39</v>
      </c>
      <c r="I2178" s="35">
        <v>1</v>
      </c>
      <c r="J2178" s="35">
        <v>1</v>
      </c>
      <c r="K2178" s="35">
        <v>300</v>
      </c>
      <c r="L2178" s="60" t="str">
        <f>HYPERLINK("https://www.sds-group.ru/product/sensornyy-dimmer-vyklyuchatel-s-konnektorom-5-5h2-1-mm-143-107-1/", "Инфо")</f>
        <v>Инфо</v>
      </c>
      <c r="M2178" s="37">
        <v>3.1E-2</v>
      </c>
      <c r="N2178" s="38">
        <v>2.42E-4</v>
      </c>
      <c r="O2178" s="141">
        <v>4601004113886</v>
      </c>
    </row>
    <row r="2179" spans="1:15" ht="11.45" customHeight="1" outlineLevel="3" x14ac:dyDescent="0.2">
      <c r="A2179" s="76" t="s">
        <v>20069</v>
      </c>
      <c r="B2179" s="136"/>
      <c r="C2179" s="77"/>
      <c r="D2179" s="137"/>
      <c r="E2179" s="4"/>
      <c r="F2179" s="4"/>
      <c r="G2179" s="4"/>
      <c r="H2179" s="4"/>
      <c r="I2179" s="4"/>
      <c r="J2179" s="4"/>
      <c r="K2179" s="4"/>
      <c r="L2179" s="138"/>
      <c r="M2179" s="4"/>
      <c r="N2179" s="4"/>
      <c r="O2179" s="4"/>
    </row>
    <row r="2180" spans="1:15" s="1" customFormat="1" ht="11.45" customHeight="1" outlineLevel="4" x14ac:dyDescent="0.2">
      <c r="A2180" s="32" t="s">
        <v>20070</v>
      </c>
      <c r="B2180" s="74" t="s">
        <v>20071</v>
      </c>
      <c r="C2180" s="50"/>
      <c r="D2180" s="139">
        <f t="shared" si="33"/>
        <v>0</v>
      </c>
      <c r="E2180" s="140">
        <v>109.55</v>
      </c>
      <c r="F2180" s="140">
        <v>89.8</v>
      </c>
      <c r="G2180" s="34" t="s">
        <v>100</v>
      </c>
      <c r="H2180" s="34" t="s">
        <v>39</v>
      </c>
      <c r="I2180" s="35">
        <v>1</v>
      </c>
      <c r="J2180" s="35">
        <v>1</v>
      </c>
      <c r="K2180" s="35">
        <v>100</v>
      </c>
      <c r="L2180" s="60" t="str">
        <f>HYPERLINK("https://www.sds-group.ru/product/komplekt-svetodiodnoy-lenty-5-m-s-blokom-pitaniya-ip65-teploe-beloe-svechenie-3000-k-lamper-142-909/", "Инфо")</f>
        <v>Инфо</v>
      </c>
      <c r="M2180" s="37">
        <v>0.27500000000000002</v>
      </c>
      <c r="N2180" s="38">
        <v>8.2100000000000001E-4</v>
      </c>
      <c r="O2180" s="141">
        <v>4601004184268</v>
      </c>
    </row>
    <row r="2181" spans="1:15" s="1" customFormat="1" ht="11.45" customHeight="1" outlineLevel="4" x14ac:dyDescent="0.2">
      <c r="A2181" s="32" t="s">
        <v>20072</v>
      </c>
      <c r="B2181" s="74" t="s">
        <v>20073</v>
      </c>
      <c r="C2181" s="50"/>
      <c r="D2181" s="139">
        <f t="shared" si="33"/>
        <v>0</v>
      </c>
      <c r="E2181" s="140">
        <v>137.11000000000001</v>
      </c>
      <c r="F2181" s="140">
        <v>112.39</v>
      </c>
      <c r="G2181" s="34" t="s">
        <v>100</v>
      </c>
      <c r="H2181" s="34" t="s">
        <v>39</v>
      </c>
      <c r="I2181" s="35">
        <v>1</v>
      </c>
      <c r="J2181" s="35">
        <v>1</v>
      </c>
      <c r="K2181" s="35">
        <v>40</v>
      </c>
      <c r="L2181" s="60" t="str">
        <f>HYPERLINK("https://www.sds-group.ru/product/komplekt-svetodiodnoy-lenty-5-m-s-blokom-pitaniya-i-rgb-kontrollerom-ip65-svechenie-rgb-lamp-142-402/", "Инфо")</f>
        <v>Инфо</v>
      </c>
      <c r="M2181" s="37">
        <v>0.32600000000000001</v>
      </c>
      <c r="N2181" s="38">
        <v>2.382E-3</v>
      </c>
      <c r="O2181" s="141">
        <v>4601004184282</v>
      </c>
    </row>
    <row r="2182" spans="1:15" ht="11.45" customHeight="1" outlineLevel="2" x14ac:dyDescent="0.2">
      <c r="A2182" s="76" t="s">
        <v>20074</v>
      </c>
      <c r="B2182" s="136"/>
      <c r="C2182" s="77"/>
      <c r="D2182" s="137"/>
      <c r="E2182" s="4"/>
      <c r="F2182" s="4"/>
      <c r="G2182" s="4"/>
      <c r="H2182" s="4"/>
      <c r="I2182" s="4"/>
      <c r="J2182" s="4"/>
      <c r="K2182" s="4"/>
      <c r="L2182" s="138"/>
      <c r="M2182" s="4"/>
      <c r="N2182" s="4"/>
      <c r="O2182" s="4"/>
    </row>
    <row r="2183" spans="1:15" ht="11.45" customHeight="1" outlineLevel="3" x14ac:dyDescent="0.2">
      <c r="A2183" s="76" t="s">
        <v>20075</v>
      </c>
      <c r="B2183" s="136"/>
      <c r="C2183" s="77"/>
      <c r="D2183" s="137"/>
      <c r="E2183" s="4"/>
      <c r="F2183" s="4"/>
      <c r="G2183" s="4"/>
      <c r="H2183" s="4"/>
      <c r="I2183" s="4"/>
      <c r="J2183" s="4"/>
      <c r="K2183" s="4"/>
      <c r="L2183" s="138"/>
      <c r="M2183" s="4"/>
      <c r="N2183" s="4"/>
      <c r="O2183" s="4"/>
    </row>
    <row r="2184" spans="1:15" s="1" customFormat="1" ht="11.45" customHeight="1" outlineLevel="4" x14ac:dyDescent="0.2">
      <c r="A2184" s="32" t="s">
        <v>20076</v>
      </c>
      <c r="B2184" s="74" t="s">
        <v>20077</v>
      </c>
      <c r="C2184" s="50"/>
      <c r="D2184" s="139">
        <f t="shared" si="33"/>
        <v>0</v>
      </c>
      <c r="E2184" s="140">
        <v>4624.63</v>
      </c>
      <c r="F2184" s="140">
        <v>3790.68</v>
      </c>
      <c r="G2184" s="34" t="s">
        <v>100</v>
      </c>
      <c r="H2184" s="34" t="s">
        <v>39</v>
      </c>
      <c r="I2184" s="35">
        <v>1</v>
      </c>
      <c r="J2184" s="35">
        <v>1</v>
      </c>
      <c r="K2184" s="35">
        <v>20</v>
      </c>
      <c r="L2184" s="60" t="str">
        <f>HYPERLINK("https://www.sds-group.ru/product/lenta-svetodiodnaya-12v-smd2835-14-4vt-m-120-led-m-3000k-8mm-50m-ip20-rexant-141-218/", "Инфо")</f>
        <v>Инфо</v>
      </c>
      <c r="M2184" s="37">
        <v>0.73099999999999998</v>
      </c>
      <c r="N2184" s="38">
        <v>1.7340000000000001E-3</v>
      </c>
      <c r="O2184" s="141">
        <v>4601004281097</v>
      </c>
    </row>
    <row r="2185" spans="1:15" s="1" customFormat="1" ht="11.45" customHeight="1" outlineLevel="4" x14ac:dyDescent="0.2">
      <c r="A2185" s="32" t="s">
        <v>20078</v>
      </c>
      <c r="B2185" s="74" t="s">
        <v>20079</v>
      </c>
      <c r="C2185" s="50"/>
      <c r="D2185" s="139">
        <f t="shared" si="33"/>
        <v>0</v>
      </c>
      <c r="E2185" s="140">
        <v>4624.63</v>
      </c>
      <c r="F2185" s="140">
        <v>3790.68</v>
      </c>
      <c r="G2185" s="34" t="s">
        <v>100</v>
      </c>
      <c r="H2185" s="34" t="s">
        <v>39</v>
      </c>
      <c r="I2185" s="35">
        <v>1</v>
      </c>
      <c r="J2185" s="35">
        <v>1</v>
      </c>
      <c r="K2185" s="35">
        <v>20</v>
      </c>
      <c r="L2185" s="60" t="str">
        <f>HYPERLINK("https://www.sds-group.ru/product/lenta-svetodiodnaya-12v-smd2835-14-4vt-m-120-led-m-4000k-8mm-50m-ip20-rexant-141-223/", "Инфо")</f>
        <v>Инфо</v>
      </c>
      <c r="M2185" s="37">
        <v>0.72699999999999998</v>
      </c>
      <c r="N2185" s="38">
        <v>2.5170000000000001E-3</v>
      </c>
      <c r="O2185" s="141">
        <v>4601004281141</v>
      </c>
    </row>
    <row r="2186" spans="1:15" s="1" customFormat="1" ht="11.45" customHeight="1" outlineLevel="4" x14ac:dyDescent="0.2">
      <c r="A2186" s="32" t="s">
        <v>20080</v>
      </c>
      <c r="B2186" s="74" t="s">
        <v>20081</v>
      </c>
      <c r="C2186" s="50"/>
      <c r="D2186" s="139">
        <f t="shared" si="33"/>
        <v>0</v>
      </c>
      <c r="E2186" s="140">
        <v>462.13</v>
      </c>
      <c r="F2186" s="140">
        <v>378.8</v>
      </c>
      <c r="G2186" s="34" t="s">
        <v>100</v>
      </c>
      <c r="H2186" s="34" t="s">
        <v>39</v>
      </c>
      <c r="I2186" s="35">
        <v>1</v>
      </c>
      <c r="J2186" s="35">
        <v>1</v>
      </c>
      <c r="K2186" s="35">
        <v>100</v>
      </c>
      <c r="L2186" s="60" t="str">
        <f>HYPERLINK("https://www.sds-group.ru/product/lenta-svetodiodnaya-12v-smd2835-14-4vt-m-120-led-m-4000k-8mm-5m-ip20-rexant-141-221/", "Инфо")</f>
        <v>Инфо</v>
      </c>
      <c r="M2186" s="37">
        <v>0.08</v>
      </c>
      <c r="N2186" s="38">
        <v>4.2200000000000001E-4</v>
      </c>
      <c r="O2186" s="141">
        <v>4601004281103</v>
      </c>
    </row>
    <row r="2187" spans="1:15" s="1" customFormat="1" ht="11.45" customHeight="1" outlineLevel="4" x14ac:dyDescent="0.2">
      <c r="A2187" s="32" t="s">
        <v>20082</v>
      </c>
      <c r="B2187" s="74" t="s">
        <v>20083</v>
      </c>
      <c r="C2187" s="50"/>
      <c r="D2187" s="139">
        <f t="shared" ref="D2187:D2250" si="34">C2187*E2187</f>
        <v>0</v>
      </c>
      <c r="E2187" s="140">
        <v>462.13</v>
      </c>
      <c r="F2187" s="140">
        <v>378.8</v>
      </c>
      <c r="G2187" s="34" t="s">
        <v>100</v>
      </c>
      <c r="H2187" s="34" t="s">
        <v>39</v>
      </c>
      <c r="I2187" s="35">
        <v>1</v>
      </c>
      <c r="J2187" s="35">
        <v>1</v>
      </c>
      <c r="K2187" s="35">
        <v>100</v>
      </c>
      <c r="L2187" s="60" t="str">
        <f>HYPERLINK("https://www.sds-group.ru/product/lenta-svetodiodnaya-12v-smd2835-14-4vt-m-120-led-m-6500k-8mm-5m-ip20-rexant-141-222/", "Инфо")</f>
        <v>Инфо</v>
      </c>
      <c r="M2187" s="37">
        <v>8.4000000000000005E-2</v>
      </c>
      <c r="N2187" s="38">
        <v>4.2900000000000002E-4</v>
      </c>
      <c r="O2187" s="141">
        <v>4601004281127</v>
      </c>
    </row>
    <row r="2188" spans="1:15" s="1" customFormat="1" ht="11.45" customHeight="1" outlineLevel="4" x14ac:dyDescent="0.2">
      <c r="A2188" s="32" t="s">
        <v>20084</v>
      </c>
      <c r="B2188" s="74" t="s">
        <v>20085</v>
      </c>
      <c r="C2188" s="50"/>
      <c r="D2188" s="139">
        <f t="shared" si="34"/>
        <v>0</v>
      </c>
      <c r="E2188" s="140">
        <v>607</v>
      </c>
      <c r="F2188" s="140">
        <v>497.54</v>
      </c>
      <c r="G2188" s="34" t="s">
        <v>100</v>
      </c>
      <c r="H2188" s="34" t="s">
        <v>39</v>
      </c>
      <c r="I2188" s="35">
        <v>1</v>
      </c>
      <c r="J2188" s="35">
        <v>1</v>
      </c>
      <c r="K2188" s="35">
        <v>100</v>
      </c>
      <c r="L2188" s="60" t="str">
        <f>HYPERLINK("https://www.sds-group.ru/product/lenta-svetodiodnaya-12v-smd2835-19-2vt-m-240-led-m-4000k-10mm-5m-ip20-rexant-141-224/", "Инфо")</f>
        <v>Инфо</v>
      </c>
      <c r="M2188" s="37">
        <v>0.11</v>
      </c>
      <c r="N2188" s="38">
        <v>4.6700000000000002E-4</v>
      </c>
      <c r="O2188" s="141">
        <v>4601004281158</v>
      </c>
    </row>
    <row r="2189" spans="1:15" s="1" customFormat="1" ht="11.45" customHeight="1" outlineLevel="4" x14ac:dyDescent="0.2">
      <c r="A2189" s="32" t="s">
        <v>20086</v>
      </c>
      <c r="B2189" s="74" t="s">
        <v>20087</v>
      </c>
      <c r="C2189" s="50"/>
      <c r="D2189" s="139">
        <f t="shared" si="34"/>
        <v>0</v>
      </c>
      <c r="E2189" s="140">
        <v>282.54000000000002</v>
      </c>
      <c r="F2189" s="140">
        <v>231.59</v>
      </c>
      <c r="G2189" s="34" t="s">
        <v>100</v>
      </c>
      <c r="H2189" s="34" t="s">
        <v>39</v>
      </c>
      <c r="I2189" s="35">
        <v>1</v>
      </c>
      <c r="J2189" s="35">
        <v>1</v>
      </c>
      <c r="K2189" s="35">
        <v>100</v>
      </c>
      <c r="L2189" s="60" t="str">
        <f>HYPERLINK("https://www.sds-group.ru/product/lenta-svetodiodnaya-12v-smd2835-9-6vt-m-60-led-m-3000k-8mm-5m-ip20-rexant-141-213/", "Инфо")</f>
        <v>Инфо</v>
      </c>
      <c r="M2189" s="37">
        <v>7.4999999999999997E-2</v>
      </c>
      <c r="N2189" s="38">
        <v>4.3800000000000002E-4</v>
      </c>
      <c r="O2189" s="141">
        <v>4601004281073</v>
      </c>
    </row>
    <row r="2190" spans="1:15" s="1" customFormat="1" ht="11.45" customHeight="1" outlineLevel="4" x14ac:dyDescent="0.2">
      <c r="A2190" s="32" t="s">
        <v>20088</v>
      </c>
      <c r="B2190" s="74" t="s">
        <v>20089</v>
      </c>
      <c r="C2190" s="50"/>
      <c r="D2190" s="139">
        <f t="shared" si="34"/>
        <v>0</v>
      </c>
      <c r="E2190" s="140">
        <v>282.54000000000002</v>
      </c>
      <c r="F2190" s="140">
        <v>231.59</v>
      </c>
      <c r="G2190" s="34" t="s">
        <v>100</v>
      </c>
      <c r="H2190" s="34" t="s">
        <v>39</v>
      </c>
      <c r="I2190" s="35">
        <v>1</v>
      </c>
      <c r="J2190" s="35">
        <v>1</v>
      </c>
      <c r="K2190" s="35">
        <v>100</v>
      </c>
      <c r="L2190" s="60" t="str">
        <f>HYPERLINK("https://www.sds-group.ru/product/lenta-svetodiodnaya-12v-smd2835-9-6vt-m-60-led-m-6500k-8mm-5m-ip20-rexant-141-217/", "Инфо")</f>
        <v>Инфо</v>
      </c>
      <c r="M2190" s="37">
        <v>7.0999999999999994E-2</v>
      </c>
      <c r="N2190" s="38">
        <v>4.44E-4</v>
      </c>
      <c r="O2190" s="141">
        <v>4601004281080</v>
      </c>
    </row>
    <row r="2191" spans="1:15" ht="11.45" customHeight="1" outlineLevel="3" x14ac:dyDescent="0.2">
      <c r="A2191" s="76" t="s">
        <v>20090</v>
      </c>
      <c r="B2191" s="136"/>
      <c r="C2191" s="77"/>
      <c r="D2191" s="137"/>
      <c r="E2191" s="4"/>
      <c r="F2191" s="4"/>
      <c r="G2191" s="4"/>
      <c r="H2191" s="4"/>
      <c r="I2191" s="4"/>
      <c r="J2191" s="4"/>
      <c r="K2191" s="4"/>
      <c r="L2191" s="138"/>
      <c r="M2191" s="4"/>
      <c r="N2191" s="4"/>
      <c r="O2191" s="4"/>
    </row>
    <row r="2192" spans="1:15" s="1" customFormat="1" ht="11.45" customHeight="1" outlineLevel="4" x14ac:dyDescent="0.2">
      <c r="A2192" s="32" t="s">
        <v>20091</v>
      </c>
      <c r="B2192" s="74" t="s">
        <v>20092</v>
      </c>
      <c r="C2192" s="50"/>
      <c r="D2192" s="139">
        <f t="shared" si="34"/>
        <v>0</v>
      </c>
      <c r="E2192" s="140">
        <v>458.76</v>
      </c>
      <c r="F2192" s="140">
        <v>376.03</v>
      </c>
      <c r="G2192" s="34" t="s">
        <v>100</v>
      </c>
      <c r="H2192" s="34" t="s">
        <v>39</v>
      </c>
      <c r="I2192" s="35">
        <v>1</v>
      </c>
      <c r="J2192" s="35">
        <v>1</v>
      </c>
      <c r="K2192" s="35">
        <v>100</v>
      </c>
      <c r="L2192" s="60" t="str">
        <f>HYPERLINK("https://www.sds-group.ru/product/lenta-svetodiodnaya-24v-smd2835-9-6vt-m-120-led-m-3000k-10mm-5m-ip20-rexant-141-637/", "Инфо")</f>
        <v>Инфо</v>
      </c>
      <c r="M2192" s="37">
        <v>9.8000000000000004E-2</v>
      </c>
      <c r="N2192" s="38">
        <v>4.55E-4</v>
      </c>
      <c r="O2192" s="141">
        <v>4601004281134</v>
      </c>
    </row>
    <row r="2193" spans="1:15" s="1" customFormat="1" ht="11.45" customHeight="1" outlineLevel="4" x14ac:dyDescent="0.2">
      <c r="A2193" s="32" t="s">
        <v>20093</v>
      </c>
      <c r="B2193" s="74" t="s">
        <v>20094</v>
      </c>
      <c r="C2193" s="50"/>
      <c r="D2193" s="139">
        <f t="shared" si="34"/>
        <v>0</v>
      </c>
      <c r="E2193" s="140">
        <v>458.76</v>
      </c>
      <c r="F2193" s="140">
        <v>376.03</v>
      </c>
      <c r="G2193" s="34" t="s">
        <v>100</v>
      </c>
      <c r="H2193" s="34" t="s">
        <v>39</v>
      </c>
      <c r="I2193" s="35">
        <v>1</v>
      </c>
      <c r="J2193" s="35">
        <v>1</v>
      </c>
      <c r="K2193" s="35">
        <v>100</v>
      </c>
      <c r="L2193" s="60" t="str">
        <f>HYPERLINK("https://www.sds-group.ru/product/lenta-svetodiodnaya-24v-smd2835-9-6vt-m-120-led-m-4000k-10mm-5m-ip20-rexant-141-638/", "Инфо")</f>
        <v>Инфо</v>
      </c>
      <c r="M2193" s="37">
        <v>9.8000000000000004E-2</v>
      </c>
      <c r="N2193" s="38">
        <v>4.3199999999999998E-4</v>
      </c>
      <c r="O2193" s="141">
        <v>4601004281165</v>
      </c>
    </row>
    <row r="2194" spans="1:15" s="1" customFormat="1" ht="11.45" customHeight="1" outlineLevel="4" x14ac:dyDescent="0.2">
      <c r="A2194" s="32" t="s">
        <v>20095</v>
      </c>
      <c r="B2194" s="74" t="s">
        <v>20096</v>
      </c>
      <c r="C2194" s="50"/>
      <c r="D2194" s="139">
        <f t="shared" si="34"/>
        <v>0</v>
      </c>
      <c r="E2194" s="140">
        <v>389.52</v>
      </c>
      <c r="F2194" s="140">
        <v>319.27999999999997</v>
      </c>
      <c r="G2194" s="34" t="s">
        <v>100</v>
      </c>
      <c r="H2194" s="34" t="s">
        <v>39</v>
      </c>
      <c r="I2194" s="35">
        <v>1</v>
      </c>
      <c r="J2194" s="35">
        <v>1</v>
      </c>
      <c r="K2194" s="35">
        <v>100</v>
      </c>
      <c r="L2194" s="60" t="str">
        <f>HYPERLINK("https://www.sds-group.ru/product/lenta-svetodiodnaya-24v-smd2835-9-6vt-m-120-led-m-6500k-10mm-5m-ip20-rexant-141-639/", "Инфо")</f>
        <v>Инфо</v>
      </c>
      <c r="M2194" s="37">
        <v>0.1</v>
      </c>
      <c r="N2194" s="38">
        <v>4.0200000000000001E-4</v>
      </c>
      <c r="O2194" s="141">
        <v>4601004281189</v>
      </c>
    </row>
    <row r="2195" spans="1:15" ht="11.45" customHeight="1" outlineLevel="3" x14ac:dyDescent="0.2">
      <c r="A2195" s="76" t="s">
        <v>20129</v>
      </c>
      <c r="B2195" s="136"/>
      <c r="C2195" s="77"/>
      <c r="D2195" s="137"/>
      <c r="E2195" s="4"/>
      <c r="F2195" s="4"/>
      <c r="G2195" s="4"/>
      <c r="H2195" s="4"/>
      <c r="I2195" s="4"/>
      <c r="J2195" s="4"/>
      <c r="K2195" s="4"/>
      <c r="L2195" s="138"/>
      <c r="M2195" s="4"/>
      <c r="N2195" s="4"/>
      <c r="O2195" s="4"/>
    </row>
    <row r="2196" spans="1:15" s="1" customFormat="1" ht="11.45" customHeight="1" outlineLevel="4" x14ac:dyDescent="0.2">
      <c r="A2196" s="32" t="s">
        <v>20130</v>
      </c>
      <c r="B2196" s="74" t="s">
        <v>20131</v>
      </c>
      <c r="C2196" s="50"/>
      <c r="D2196" s="139">
        <f t="shared" si="34"/>
        <v>0</v>
      </c>
      <c r="E2196" s="140">
        <v>31.01</v>
      </c>
      <c r="F2196" s="140">
        <v>25.42</v>
      </c>
      <c r="G2196" s="34" t="s">
        <v>100</v>
      </c>
      <c r="H2196" s="34" t="s">
        <v>39</v>
      </c>
      <c r="I2196" s="35">
        <v>10</v>
      </c>
      <c r="J2196" s="35">
        <v>10</v>
      </c>
      <c r="K2196" s="35">
        <v>10</v>
      </c>
      <c r="L2196" s="60" t="str">
        <f>HYPERLINK("https://www.sds-group.ru/product/konnektor-t-obraznyy-dlya-svetodiodnoy-lenty-smd-8mm-rexant-148-119/", "Инфо")</f>
        <v>Инфо</v>
      </c>
      <c r="M2196" s="37">
        <v>3.0000000000000001E-3</v>
      </c>
      <c r="N2196" s="38">
        <v>1.5E-5</v>
      </c>
      <c r="O2196" s="141">
        <v>4601004292031</v>
      </c>
    </row>
    <row r="2197" spans="1:15" ht="11.45" customHeight="1" outlineLevel="2" x14ac:dyDescent="0.2">
      <c r="A2197" s="76" t="s">
        <v>20135</v>
      </c>
      <c r="B2197" s="136"/>
      <c r="C2197" s="77"/>
      <c r="D2197" s="137"/>
      <c r="E2197" s="4"/>
      <c r="F2197" s="4"/>
      <c r="G2197" s="4"/>
      <c r="H2197" s="4"/>
      <c r="I2197" s="4"/>
      <c r="J2197" s="4"/>
      <c r="K2197" s="4"/>
      <c r="L2197" s="138"/>
      <c r="M2197" s="4"/>
      <c r="N2197" s="4"/>
      <c r="O2197" s="4"/>
    </row>
    <row r="2198" spans="1:15" s="1" customFormat="1" ht="11.45" customHeight="1" outlineLevel="3" x14ac:dyDescent="0.2">
      <c r="A2198" s="32" t="s">
        <v>20136</v>
      </c>
      <c r="B2198" s="74" t="s">
        <v>20137</v>
      </c>
      <c r="C2198" s="50"/>
      <c r="D2198" s="139">
        <f t="shared" si="34"/>
        <v>0</v>
      </c>
      <c r="E2198" s="140">
        <v>39.85</v>
      </c>
      <c r="F2198" s="140">
        <v>32.659999999999997</v>
      </c>
      <c r="G2198" s="34" t="s">
        <v>100</v>
      </c>
      <c r="H2198" s="34" t="s">
        <v>1767</v>
      </c>
      <c r="I2198" s="35">
        <v>100</v>
      </c>
      <c r="J2198" s="35">
        <v>100</v>
      </c>
      <c r="K2198" s="35">
        <v>100</v>
      </c>
      <c r="L2198" s="60" t="str">
        <f>HYPERLINK("https://www.sds-group.ru/product/lenta-svetodiodnaya-220v-smd-2835-4-8vt-m-60-led-m-ip67-siniy-10h7mm-100m-s-kabelem-pitaniya-neon-night-4330/", "Инфо")</f>
        <v>Инфо</v>
      </c>
      <c r="M2198" s="37">
        <v>0.06</v>
      </c>
      <c r="N2198" s="38">
        <v>1.56E-4</v>
      </c>
      <c r="O2198" s="141">
        <v>4601004282711</v>
      </c>
    </row>
    <row r="2199" spans="1:15" s="1" customFormat="1" ht="11.45" customHeight="1" outlineLevel="3" x14ac:dyDescent="0.2">
      <c r="A2199" s="32" t="s">
        <v>20138</v>
      </c>
      <c r="B2199" s="74" t="s">
        <v>20139</v>
      </c>
      <c r="C2199" s="50"/>
      <c r="D2199" s="139">
        <f t="shared" si="34"/>
        <v>0</v>
      </c>
      <c r="E2199" s="140">
        <v>45.31</v>
      </c>
      <c r="F2199" s="140">
        <v>37.14</v>
      </c>
      <c r="G2199" s="34" t="s">
        <v>100</v>
      </c>
      <c r="H2199" s="34" t="s">
        <v>1767</v>
      </c>
      <c r="I2199" s="35">
        <v>100</v>
      </c>
      <c r="J2199" s="35">
        <v>100</v>
      </c>
      <c r="K2199" s="35">
        <v>100</v>
      </c>
      <c r="L2199" s="60" t="str">
        <f>HYPERLINK("https://www.sds-group.ru/product/led-lenta-220-v-13h8-mm-ip67-smd-5050-60-led-m-tsvet-svecheniya-jeltiy-7088/", "Инфо")</f>
        <v>Инфо</v>
      </c>
      <c r="M2199" s="37">
        <v>0.1</v>
      </c>
      <c r="N2199" s="38">
        <v>2.0699999999999999E-4</v>
      </c>
      <c r="O2199" s="141">
        <v>4601004282650</v>
      </c>
    </row>
    <row r="2200" spans="1:15" s="1" customFormat="1" ht="11.45" customHeight="1" outlineLevel="3" x14ac:dyDescent="0.2">
      <c r="A2200" s="32" t="s">
        <v>20140</v>
      </c>
      <c r="B2200" s="74" t="s">
        <v>20141</v>
      </c>
      <c r="C2200" s="50"/>
      <c r="D2200" s="139">
        <f t="shared" si="34"/>
        <v>0</v>
      </c>
      <c r="E2200" s="140">
        <v>31.47</v>
      </c>
      <c r="F2200" s="140">
        <v>25.8</v>
      </c>
      <c r="G2200" s="34" t="s">
        <v>100</v>
      </c>
      <c r="H2200" s="34" t="s">
        <v>1767</v>
      </c>
      <c r="I2200" s="35">
        <v>100</v>
      </c>
      <c r="J2200" s="35">
        <v>100</v>
      </c>
      <c r="K2200" s="35">
        <v>100</v>
      </c>
      <c r="L2200" s="60" t="str">
        <f>HYPERLINK("https://www.sds-group.ru/product/led-lenta-220-v-13h8-mm-ip67-smd-5050-60-led-m-tsvet-svecheniya-zeleniy-7089/", "Инфо")</f>
        <v>Инфо</v>
      </c>
      <c r="M2200" s="37">
        <v>9.6000000000000002E-2</v>
      </c>
      <c r="N2200" s="38">
        <v>2.0799999999999999E-4</v>
      </c>
      <c r="O2200" s="141">
        <v>4601004282636</v>
      </c>
    </row>
    <row r="2201" spans="1:15" ht="11.45" customHeight="1" outlineLevel="3" x14ac:dyDescent="0.2">
      <c r="A2201" s="76" t="s">
        <v>20142</v>
      </c>
      <c r="B2201" s="136"/>
      <c r="C2201" s="77"/>
      <c r="D2201" s="137"/>
      <c r="E2201" s="4"/>
      <c r="F2201" s="4"/>
      <c r="G2201" s="4"/>
      <c r="H2201" s="4"/>
      <c r="I2201" s="4"/>
      <c r="J2201" s="4"/>
      <c r="K2201" s="4"/>
      <c r="L2201" s="138"/>
      <c r="M2201" s="4"/>
      <c r="N2201" s="4"/>
      <c r="O2201" s="4"/>
    </row>
    <row r="2202" spans="1:15" s="1" customFormat="1" ht="11.45" customHeight="1" outlineLevel="4" x14ac:dyDescent="0.2">
      <c r="A2202" s="32" t="s">
        <v>20143</v>
      </c>
      <c r="B2202" s="74" t="s">
        <v>20144</v>
      </c>
      <c r="C2202" s="50"/>
      <c r="D2202" s="139">
        <f t="shared" si="34"/>
        <v>0</v>
      </c>
      <c r="E2202" s="140">
        <v>1.18</v>
      </c>
      <c r="F2202" s="140">
        <v>0.97</v>
      </c>
      <c r="G2202" s="34" t="s">
        <v>100</v>
      </c>
      <c r="H2202" s="34" t="s">
        <v>39</v>
      </c>
      <c r="I2202" s="35">
        <v>100</v>
      </c>
      <c r="J2202" s="35">
        <v>100</v>
      </c>
      <c r="K2202" s="39">
        <v>10000</v>
      </c>
      <c r="L2202" s="60" t="str">
        <f>HYPERLINK("https://www.sds-group.ru/product/montazhnaya-klipsa-dlya-led-lenty-220-v-6x10-6-mm-142-012/", "Инфо")</f>
        <v>Инфо</v>
      </c>
      <c r="M2202" s="37">
        <v>0</v>
      </c>
      <c r="N2202" s="38">
        <v>3.0000000000000001E-6</v>
      </c>
      <c r="O2202" s="141">
        <v>4601004282155</v>
      </c>
    </row>
    <row r="2203" spans="1:15" s="1" customFormat="1" ht="11.45" customHeight="1" outlineLevel="4" x14ac:dyDescent="0.2">
      <c r="A2203" s="32" t="s">
        <v>20145</v>
      </c>
      <c r="B2203" s="74" t="s">
        <v>20146</v>
      </c>
      <c r="C2203" s="50"/>
      <c r="D2203" s="139">
        <f t="shared" si="34"/>
        <v>0</v>
      </c>
      <c r="E2203" s="140">
        <v>28.35</v>
      </c>
      <c r="F2203" s="140">
        <v>23.24</v>
      </c>
      <c r="G2203" s="34" t="s">
        <v>100</v>
      </c>
      <c r="H2203" s="34" t="s">
        <v>39</v>
      </c>
      <c r="I2203" s="35">
        <v>10</v>
      </c>
      <c r="J2203" s="35">
        <v>10</v>
      </c>
      <c r="K2203" s="35">
        <v>750</v>
      </c>
      <c r="L2203" s="60" t="str">
        <f>HYPERLINK("https://www.sds-group.ru/product/mufta-soedinitelnaya-l-dlya-svetodiodnoy-lenty-220-v-14-5h7-5-mm-142-053/", "Инфо")</f>
        <v>Инфо</v>
      </c>
      <c r="M2203" s="37">
        <v>2.1999999999999999E-2</v>
      </c>
      <c r="N2203" s="38">
        <v>6.0999999999999999E-5</v>
      </c>
      <c r="O2203" s="141">
        <v>4601004094703</v>
      </c>
    </row>
    <row r="2204" spans="1:15" s="1" customFormat="1" ht="11.45" customHeight="1" outlineLevel="4" x14ac:dyDescent="0.2">
      <c r="A2204" s="32" t="s">
        <v>20147</v>
      </c>
      <c r="B2204" s="74" t="s">
        <v>20148</v>
      </c>
      <c r="C2204" s="50"/>
      <c r="D2204" s="139">
        <f t="shared" si="34"/>
        <v>0</v>
      </c>
      <c r="E2204" s="140">
        <v>27.98</v>
      </c>
      <c r="F2204" s="140">
        <v>22.93</v>
      </c>
      <c r="G2204" s="34" t="s">
        <v>100</v>
      </c>
      <c r="H2204" s="34" t="s">
        <v>39</v>
      </c>
      <c r="I2204" s="35">
        <v>10</v>
      </c>
      <c r="J2204" s="35">
        <v>10</v>
      </c>
      <c r="K2204" s="35">
        <v>750</v>
      </c>
      <c r="L2204" s="60" t="str">
        <f>HYPERLINK("https://www.sds-group.ru/product/mufta-soedinitelnaya-l-dlya-svetodiodnoy-lenty-220-v-6-5h17-mm-142-056/", "Инфо")</f>
        <v>Инфо</v>
      </c>
      <c r="M2204" s="37">
        <v>0.02</v>
      </c>
      <c r="N2204" s="38">
        <v>8.6000000000000003E-5</v>
      </c>
      <c r="O2204" s="141">
        <v>4601004094734</v>
      </c>
    </row>
    <row r="2205" spans="1:15" s="1" customFormat="1" ht="11.45" customHeight="1" outlineLevel="4" x14ac:dyDescent="0.2">
      <c r="A2205" s="32" t="s">
        <v>20149</v>
      </c>
      <c r="B2205" s="74" t="s">
        <v>20150</v>
      </c>
      <c r="C2205" s="50"/>
      <c r="D2205" s="139">
        <f t="shared" si="34"/>
        <v>0</v>
      </c>
      <c r="E2205" s="140">
        <v>63.72</v>
      </c>
      <c r="F2205" s="140">
        <v>52.23</v>
      </c>
      <c r="G2205" s="34" t="s">
        <v>100</v>
      </c>
      <c r="H2205" s="34" t="s">
        <v>39</v>
      </c>
      <c r="I2205" s="35">
        <v>10</v>
      </c>
      <c r="J2205" s="35">
        <v>10</v>
      </c>
      <c r="K2205" s="35">
        <v>250</v>
      </c>
      <c r="L2205" s="60" t="str">
        <f>HYPERLINK("https://www.sds-group.ru/product/mufta-soedinitelnaya-t-dlya-svetodiodnoy-lenty-220-v-13-5h6-5-mm-142-041/", "Инфо")</f>
        <v>Инфо</v>
      </c>
      <c r="M2205" s="37">
        <v>1.9E-2</v>
      </c>
      <c r="N2205" s="38">
        <v>1.17E-4</v>
      </c>
      <c r="O2205" s="141">
        <v>4601004094758</v>
      </c>
    </row>
    <row r="2206" spans="1:15" s="1" customFormat="1" ht="11.45" customHeight="1" outlineLevel="4" x14ac:dyDescent="0.2">
      <c r="A2206" s="32" t="s">
        <v>20151</v>
      </c>
      <c r="B2206" s="74" t="s">
        <v>20152</v>
      </c>
      <c r="C2206" s="50"/>
      <c r="D2206" s="139">
        <f t="shared" si="34"/>
        <v>0</v>
      </c>
      <c r="E2206" s="140">
        <v>55.74</v>
      </c>
      <c r="F2206" s="140">
        <v>45.69</v>
      </c>
      <c r="G2206" s="34" t="s">
        <v>100</v>
      </c>
      <c r="H2206" s="34" t="s">
        <v>39</v>
      </c>
      <c r="I2206" s="35">
        <v>10</v>
      </c>
      <c r="J2206" s="35">
        <v>10</v>
      </c>
      <c r="K2206" s="35">
        <v>200</v>
      </c>
      <c r="L2206" s="60" t="str">
        <f>HYPERLINK("https://www.sds-group.ru/product/mufta-soedinitelnaya-t-dlya-svetodiodnoy-lenty-220-v-9-5h6-mm-142-042/", "Инфо")</f>
        <v>Инфо</v>
      </c>
      <c r="M2206" s="37">
        <v>1.2999999999999999E-2</v>
      </c>
      <c r="N2206" s="38">
        <v>6.3999999999999997E-5</v>
      </c>
      <c r="O2206" s="141">
        <v>4601004094628</v>
      </c>
    </row>
    <row r="2207" spans="1:15" s="1" customFormat="1" ht="11.45" customHeight="1" outlineLevel="4" x14ac:dyDescent="0.2">
      <c r="A2207" s="32" t="s">
        <v>20153</v>
      </c>
      <c r="B2207" s="74" t="s">
        <v>20154</v>
      </c>
      <c r="C2207" s="50"/>
      <c r="D2207" s="139">
        <f t="shared" si="34"/>
        <v>0</v>
      </c>
      <c r="E2207" s="140">
        <v>44.41</v>
      </c>
      <c r="F2207" s="140">
        <v>36.4</v>
      </c>
      <c r="G2207" s="34" t="s">
        <v>100</v>
      </c>
      <c r="H2207" s="34" t="s">
        <v>39</v>
      </c>
      <c r="I2207" s="35">
        <v>1</v>
      </c>
      <c r="J2207" s="35">
        <v>1</v>
      </c>
      <c r="K2207" s="35">
        <v>100</v>
      </c>
      <c r="L2207" s="60" t="str">
        <f>HYPERLINK("https://www.sds-group.ru/product/ustanovochnyy-komplekt-dlya-svetodiodnoy-lenty-220v-6-5x13mm-do-100m-shnur-pitaniya-8a-zaglu-124-023/", "Инфо")</f>
        <v>Инфо</v>
      </c>
      <c r="M2207" s="37">
        <v>9.0999999999999998E-2</v>
      </c>
      <c r="N2207" s="38">
        <v>2.14E-4</v>
      </c>
      <c r="O2207" s="141">
        <v>4601004086760</v>
      </c>
    </row>
    <row r="2208" spans="1:15" s="1" customFormat="1" ht="11.45" customHeight="1" outlineLevel="4" x14ac:dyDescent="0.2">
      <c r="A2208" s="32" t="s">
        <v>20155</v>
      </c>
      <c r="B2208" s="74" t="s">
        <v>20156</v>
      </c>
      <c r="C2208" s="50"/>
      <c r="D2208" s="139">
        <f t="shared" si="34"/>
        <v>0</v>
      </c>
      <c r="E2208" s="140">
        <v>64.12</v>
      </c>
      <c r="F2208" s="140">
        <v>52.56</v>
      </c>
      <c r="G2208" s="34" t="s">
        <v>100</v>
      </c>
      <c r="H2208" s="34" t="s">
        <v>39</v>
      </c>
      <c r="I2208" s="35">
        <v>1</v>
      </c>
      <c r="J2208" s="35">
        <v>1</v>
      </c>
      <c r="K2208" s="35">
        <v>200</v>
      </c>
      <c r="L2208" s="60" t="str">
        <f>HYPERLINK("https://www.sds-group.ru/product/ustanovochnyy-komplekt-dlya-svetodiodnoy-lenty-220v-6x10-6mm-do-100m-shnur-pitaniya-8a-zaglu-124-022/", "Инфо")</f>
        <v>Инфо</v>
      </c>
      <c r="M2208" s="37">
        <v>8.1000000000000003E-2</v>
      </c>
      <c r="N2208" s="38">
        <v>3.57E-4</v>
      </c>
      <c r="O2208" s="141">
        <v>4601004086814</v>
      </c>
    </row>
    <row r="2209" spans="1:15" s="1" customFormat="1" ht="11.45" customHeight="1" outlineLevel="4" x14ac:dyDescent="0.2">
      <c r="A2209" s="32" t="s">
        <v>20157</v>
      </c>
      <c r="B2209" s="74" t="s">
        <v>20158</v>
      </c>
      <c r="C2209" s="50"/>
      <c r="D2209" s="139">
        <f t="shared" si="34"/>
        <v>0</v>
      </c>
      <c r="E2209" s="140">
        <v>42.07</v>
      </c>
      <c r="F2209" s="140">
        <v>34.479999999999997</v>
      </c>
      <c r="G2209" s="34" t="s">
        <v>100</v>
      </c>
      <c r="H2209" s="34" t="s">
        <v>39</v>
      </c>
      <c r="I2209" s="35">
        <v>1</v>
      </c>
      <c r="J2209" s="35">
        <v>1</v>
      </c>
      <c r="K2209" s="35">
        <v>100</v>
      </c>
      <c r="L2209" s="60" t="str">
        <f>HYPERLINK("https://www.sds-group.ru/product/ustanovochnyy-komplekt-dlya-svetodiodnoy-lenty-220v-7-5x20mm-do-50m-shnur-pitaniya-4a-zaglus-124-026/", "Инфо")</f>
        <v>Инфо</v>
      </c>
      <c r="M2209" s="37">
        <v>8.7999999999999995E-2</v>
      </c>
      <c r="N2209" s="38">
        <v>4.0099999999999999E-4</v>
      </c>
      <c r="O2209" s="141">
        <v>4601004086791</v>
      </c>
    </row>
    <row r="2210" spans="1:15" ht="11.45" customHeight="1" outlineLevel="2" x14ac:dyDescent="0.2">
      <c r="A2210" s="76" t="s">
        <v>20159</v>
      </c>
      <c r="B2210" s="136"/>
      <c r="C2210" s="77"/>
      <c r="D2210" s="137"/>
      <c r="E2210" s="4"/>
      <c r="F2210" s="4"/>
      <c r="G2210" s="4"/>
      <c r="H2210" s="4"/>
      <c r="I2210" s="4"/>
      <c r="J2210" s="4"/>
      <c r="K2210" s="4"/>
      <c r="L2210" s="138"/>
      <c r="M2210" s="4"/>
      <c r="N2210" s="4"/>
      <c r="O2210" s="4"/>
    </row>
    <row r="2211" spans="1:15" ht="11.45" customHeight="1" outlineLevel="3" x14ac:dyDescent="0.2">
      <c r="A2211" s="76" t="s">
        <v>20160</v>
      </c>
      <c r="B2211" s="136"/>
      <c r="C2211" s="77"/>
      <c r="D2211" s="137"/>
      <c r="E2211" s="4"/>
      <c r="F2211" s="4"/>
      <c r="G2211" s="4"/>
      <c r="H2211" s="4"/>
      <c r="I2211" s="4"/>
      <c r="J2211" s="4"/>
      <c r="K2211" s="4"/>
      <c r="L2211" s="138"/>
      <c r="M2211" s="4"/>
      <c r="N2211" s="4"/>
      <c r="O2211" s="4"/>
    </row>
    <row r="2212" spans="1:15" s="1" customFormat="1" ht="11.45" customHeight="1" outlineLevel="4" x14ac:dyDescent="0.2">
      <c r="A2212" s="32" t="s">
        <v>20161</v>
      </c>
      <c r="B2212" s="74" t="s">
        <v>20162</v>
      </c>
      <c r="C2212" s="50"/>
      <c r="D2212" s="139">
        <f t="shared" si="34"/>
        <v>0</v>
      </c>
      <c r="E2212" s="140">
        <v>104.39</v>
      </c>
      <c r="F2212" s="140">
        <v>85.57</v>
      </c>
      <c r="G2212" s="34" t="s">
        <v>100</v>
      </c>
      <c r="H2212" s="34" t="s">
        <v>39</v>
      </c>
      <c r="I2212" s="35">
        <v>1</v>
      </c>
      <c r="J2212" s="35">
        <v>1</v>
      </c>
      <c r="K2212" s="35">
        <v>80</v>
      </c>
      <c r="L2212" s="60" t="str">
        <f>HYPERLINK("https://www.sds-group.ru/product/komplekt-vreznogo-alyuminievogo-profilya-s-rasseivatelem-22h6mm-1m-rexant-146-405-1/", "Инфо")</f>
        <v>Инфо</v>
      </c>
      <c r="M2212" s="37">
        <v>8.3000000000000004E-2</v>
      </c>
      <c r="N2212" s="38">
        <v>1.8799999999999999E-4</v>
      </c>
      <c r="O2212" s="141">
        <v>4601004278356</v>
      </c>
    </row>
    <row r="2213" spans="1:15" s="1" customFormat="1" ht="11.45" customHeight="1" outlineLevel="4" x14ac:dyDescent="0.2">
      <c r="A2213" s="32" t="s">
        <v>20163</v>
      </c>
      <c r="B2213" s="74" t="s">
        <v>20164</v>
      </c>
      <c r="C2213" s="50"/>
      <c r="D2213" s="139">
        <f t="shared" si="34"/>
        <v>0</v>
      </c>
      <c r="E2213" s="140">
        <v>142.30000000000001</v>
      </c>
      <c r="F2213" s="140">
        <v>116.64</v>
      </c>
      <c r="G2213" s="34" t="s">
        <v>100</v>
      </c>
      <c r="H2213" s="34" t="s">
        <v>39</v>
      </c>
      <c r="I2213" s="35">
        <v>1</v>
      </c>
      <c r="J2213" s="35">
        <v>1</v>
      </c>
      <c r="K2213" s="35">
        <v>80</v>
      </c>
      <c r="L2213" s="60" t="str">
        <f>HYPERLINK("https://www.sds-group.ru/product/komplekt-vreznogo-alyuminievogo-profilya-s-rasseivatelem-22h6mm-1m-rozovoe-zoloto-rexant-146-405-3/", "Инфо")</f>
        <v>Инфо</v>
      </c>
      <c r="M2213" s="37">
        <v>8.5999999999999993E-2</v>
      </c>
      <c r="N2213" s="38">
        <v>1.8799999999999999E-4</v>
      </c>
      <c r="O2213" s="141">
        <v>4601004278370</v>
      </c>
    </row>
    <row r="2214" spans="1:15" s="1" customFormat="1" ht="11.45" customHeight="1" outlineLevel="4" x14ac:dyDescent="0.2">
      <c r="A2214" s="32" t="s">
        <v>20165</v>
      </c>
      <c r="B2214" s="74" t="s">
        <v>20166</v>
      </c>
      <c r="C2214" s="50"/>
      <c r="D2214" s="139">
        <f t="shared" si="34"/>
        <v>0</v>
      </c>
      <c r="E2214" s="140">
        <v>136.12</v>
      </c>
      <c r="F2214" s="140">
        <v>111.57</v>
      </c>
      <c r="G2214" s="34" t="s">
        <v>100</v>
      </c>
      <c r="H2214" s="34" t="s">
        <v>39</v>
      </c>
      <c r="I2214" s="35">
        <v>1</v>
      </c>
      <c r="J2214" s="35">
        <v>1</v>
      </c>
      <c r="K2214" s="35">
        <v>80</v>
      </c>
      <c r="L2214" s="60" t="str">
        <f>HYPERLINK("https://www.sds-group.ru/product/komplekt-vreznogo-alyuminievogo-profilya-s-rasseivatelem-22h6mm-1m-chernyy-rexant-146-405-2/", "Инфо")</f>
        <v>Инфо</v>
      </c>
      <c r="M2214" s="37">
        <v>9.1999999999999998E-2</v>
      </c>
      <c r="N2214" s="38">
        <v>1.8799999999999999E-4</v>
      </c>
      <c r="O2214" s="141">
        <v>4601004278363</v>
      </c>
    </row>
    <row r="2215" spans="1:15" s="1" customFormat="1" ht="11.45" customHeight="1" outlineLevel="4" x14ac:dyDescent="0.2">
      <c r="A2215" s="32" t="s">
        <v>20173</v>
      </c>
      <c r="B2215" s="74" t="s">
        <v>20174</v>
      </c>
      <c r="C2215" s="50"/>
      <c r="D2215" s="139">
        <f t="shared" si="34"/>
        <v>0</v>
      </c>
      <c r="E2215" s="140">
        <v>109.84</v>
      </c>
      <c r="F2215" s="140">
        <v>90.03</v>
      </c>
      <c r="G2215" s="34" t="s">
        <v>100</v>
      </c>
      <c r="H2215" s="34" t="s">
        <v>39</v>
      </c>
      <c r="I2215" s="35">
        <v>1</v>
      </c>
      <c r="J2215" s="35">
        <v>1</v>
      </c>
      <c r="K2215" s="35">
        <v>40</v>
      </c>
      <c r="L2215" s="60" t="str">
        <f>HYPERLINK("https://www.sds-group.ru/product/komplekt-nakladnogo-alyuminievogo-profilya-s-rasseivatelem-16h12mm-1m-rexant-146-401-1/", "Инфо")</f>
        <v>Инфо</v>
      </c>
      <c r="M2215" s="37">
        <v>0.11600000000000001</v>
      </c>
      <c r="N2215" s="38">
        <v>3.8000000000000002E-4</v>
      </c>
      <c r="O2215" s="141">
        <v>4601004278417</v>
      </c>
    </row>
    <row r="2216" spans="1:15" s="1" customFormat="1" ht="11.45" customHeight="1" outlineLevel="4" x14ac:dyDescent="0.2">
      <c r="A2216" s="32" t="s">
        <v>20175</v>
      </c>
      <c r="B2216" s="74" t="s">
        <v>20176</v>
      </c>
      <c r="C2216" s="50"/>
      <c r="D2216" s="139">
        <f t="shared" si="34"/>
        <v>0</v>
      </c>
      <c r="E2216" s="140">
        <v>225.22</v>
      </c>
      <c r="F2216" s="140">
        <v>184.61</v>
      </c>
      <c r="G2216" s="34" t="s">
        <v>100</v>
      </c>
      <c r="H2216" s="34" t="s">
        <v>39</v>
      </c>
      <c r="I2216" s="35">
        <v>1</v>
      </c>
      <c r="J2216" s="35">
        <v>1</v>
      </c>
      <c r="K2216" s="35">
        <v>40</v>
      </c>
      <c r="L2216" s="60" t="str">
        <f>HYPERLINK("https://www.sds-group.ru/product/komplekt-nakladnogo-alyuminievogo-profilya-s-rasseivatelem-16h12mm-2m-rexant-146-401/", "Инфо")</f>
        <v>Инфо</v>
      </c>
      <c r="M2216" s="37">
        <v>0.216</v>
      </c>
      <c r="N2216" s="38">
        <v>7.2000000000000015E-4</v>
      </c>
      <c r="O2216" s="141">
        <v>4601004278332</v>
      </c>
    </row>
    <row r="2217" spans="1:15" s="1" customFormat="1" ht="11.45" customHeight="1" outlineLevel="4" x14ac:dyDescent="0.2">
      <c r="A2217" s="32" t="s">
        <v>20177</v>
      </c>
      <c r="B2217" s="74" t="s">
        <v>20178</v>
      </c>
      <c r="C2217" s="50"/>
      <c r="D2217" s="139">
        <f t="shared" si="34"/>
        <v>0</v>
      </c>
      <c r="E2217" s="140">
        <v>113.96</v>
      </c>
      <c r="F2217" s="140">
        <v>93.41</v>
      </c>
      <c r="G2217" s="34" t="s">
        <v>100</v>
      </c>
      <c r="H2217" s="34" t="s">
        <v>39</v>
      </c>
      <c r="I2217" s="35">
        <v>1</v>
      </c>
      <c r="J2217" s="35">
        <v>1</v>
      </c>
      <c r="K2217" s="35">
        <v>50</v>
      </c>
      <c r="L2217" s="60" t="str">
        <f>HYPERLINK("https://www.sds-group.ru/product/komplekt-nakladnoy-alyuminievogo-profilya-s-rasseivatelem-24h6mm-1m-rexant-146-403-1/", "Инфо")</f>
        <v>Инфо</v>
      </c>
      <c r="M2217" s="37">
        <v>0.11600000000000001</v>
      </c>
      <c r="N2217" s="38">
        <v>3.0499999999999999E-4</v>
      </c>
      <c r="O2217" s="141">
        <v>4601004278455</v>
      </c>
    </row>
    <row r="2218" spans="1:15" s="1" customFormat="1" ht="11.45" customHeight="1" outlineLevel="4" x14ac:dyDescent="0.2">
      <c r="A2218" s="32" t="s">
        <v>20181</v>
      </c>
      <c r="B2218" s="74" t="s">
        <v>20182</v>
      </c>
      <c r="C2218" s="50"/>
      <c r="D2218" s="139">
        <f t="shared" si="34"/>
        <v>0</v>
      </c>
      <c r="E2218" s="140">
        <v>119.14</v>
      </c>
      <c r="F2218" s="140">
        <v>97.66</v>
      </c>
      <c r="G2218" s="34" t="s">
        <v>100</v>
      </c>
      <c r="H2218" s="34" t="s">
        <v>39</v>
      </c>
      <c r="I2218" s="35">
        <v>5</v>
      </c>
      <c r="J2218" s="35">
        <v>5</v>
      </c>
      <c r="K2218" s="35">
        <v>60</v>
      </c>
      <c r="L2218" s="60" t="str">
        <f>HYPERLINK("https://www.sds-group.ru/product/komplekt-uglovogo-alyuminievogo-profilya-s-rasseivatelem-16h16mm-1m-rexant-146-402-1/", "Инфо")</f>
        <v>Инфо</v>
      </c>
      <c r="M2218" s="37">
        <v>0.11700000000000001</v>
      </c>
      <c r="N2218" s="38">
        <v>3.6999999999999999E-4</v>
      </c>
      <c r="O2218" s="141">
        <v>4601004278400</v>
      </c>
    </row>
    <row r="2219" spans="1:15" ht="11.45" customHeight="1" outlineLevel="2" x14ac:dyDescent="0.2">
      <c r="A2219" s="76" t="s">
        <v>20185</v>
      </c>
      <c r="B2219" s="136"/>
      <c r="C2219" s="77"/>
      <c r="D2219" s="137"/>
      <c r="E2219" s="4"/>
      <c r="F2219" s="4"/>
      <c r="G2219" s="4"/>
      <c r="H2219" s="4"/>
      <c r="I2219" s="4"/>
      <c r="J2219" s="4"/>
      <c r="K2219" s="4"/>
      <c r="L2219" s="138"/>
      <c r="M2219" s="4"/>
      <c r="N2219" s="4"/>
      <c r="O2219" s="4"/>
    </row>
    <row r="2220" spans="1:15" ht="11.45" customHeight="1" outlineLevel="3" x14ac:dyDescent="0.2">
      <c r="A2220" s="76" t="s">
        <v>20250</v>
      </c>
      <c r="B2220" s="136"/>
      <c r="C2220" s="77"/>
      <c r="D2220" s="137"/>
      <c r="E2220" s="4"/>
      <c r="F2220" s="4"/>
      <c r="G2220" s="4"/>
      <c r="H2220" s="4"/>
      <c r="I2220" s="4"/>
      <c r="J2220" s="4"/>
      <c r="K2220" s="4"/>
      <c r="L2220" s="138"/>
      <c r="M2220" s="4"/>
      <c r="N2220" s="4"/>
      <c r="O2220" s="4"/>
    </row>
    <row r="2221" spans="1:15" s="1" customFormat="1" ht="11.45" customHeight="1" outlineLevel="4" x14ac:dyDescent="0.2">
      <c r="A2221" s="32" t="s">
        <v>20267</v>
      </c>
      <c r="B2221" s="74" t="s">
        <v>20268</v>
      </c>
      <c r="C2221" s="50"/>
      <c r="D2221" s="139">
        <f t="shared" si="34"/>
        <v>0</v>
      </c>
      <c r="E2221" s="140">
        <v>314.22000000000003</v>
      </c>
      <c r="F2221" s="140">
        <v>257.56</v>
      </c>
      <c r="G2221" s="34" t="s">
        <v>100</v>
      </c>
      <c r="H2221" s="34" t="s">
        <v>39</v>
      </c>
      <c r="I2221" s="35">
        <v>1</v>
      </c>
      <c r="J2221" s="35">
        <v>1</v>
      </c>
      <c r="K2221" s="35">
        <v>90</v>
      </c>
      <c r="L2221" s="60" t="str">
        <f>HYPERLINK("https://www.sds-group.ru/product/istochnik-pitaniya-24v-24vt-s-provodami-vlagozaschischennyy-ip67-201-024-2/", "Инфо")</f>
        <v>Инфо</v>
      </c>
      <c r="M2221" s="37">
        <v>0.16900000000000001</v>
      </c>
      <c r="N2221" s="38">
        <v>1.76E-4</v>
      </c>
      <c r="O2221" s="141">
        <v>4601004073692</v>
      </c>
    </row>
    <row r="2222" spans="1:15" ht="11.45" customHeight="1" outlineLevel="1" x14ac:dyDescent="0.2">
      <c r="A2222" s="78" t="s">
        <v>20269</v>
      </c>
      <c r="B2222" s="132"/>
      <c r="C2222" s="79"/>
      <c r="D2222" s="133"/>
      <c r="E2222" s="134"/>
      <c r="F2222" s="134"/>
      <c r="G2222" s="134"/>
      <c r="H2222" s="134"/>
      <c r="I2222" s="134"/>
      <c r="J2222" s="134"/>
      <c r="K2222" s="134"/>
      <c r="L2222" s="135"/>
      <c r="M2222" s="134"/>
      <c r="N2222" s="134"/>
      <c r="O2222" s="134"/>
    </row>
    <row r="2223" spans="1:15" ht="11.45" customHeight="1" outlineLevel="2" x14ac:dyDescent="0.2">
      <c r="A2223" s="76" t="s">
        <v>20270</v>
      </c>
      <c r="B2223" s="136"/>
      <c r="C2223" s="77"/>
      <c r="D2223" s="137"/>
      <c r="E2223" s="4"/>
      <c r="F2223" s="4"/>
      <c r="G2223" s="4"/>
      <c r="H2223" s="4"/>
      <c r="I2223" s="4"/>
      <c r="J2223" s="4"/>
      <c r="K2223" s="4"/>
      <c r="L2223" s="138"/>
      <c r="M2223" s="4"/>
      <c r="N2223" s="4"/>
      <c r="O2223" s="4"/>
    </row>
    <row r="2224" spans="1:15" s="1" customFormat="1" ht="11.45" customHeight="1" outlineLevel="3" x14ac:dyDescent="0.2">
      <c r="A2224" s="32" t="s">
        <v>20283</v>
      </c>
      <c r="B2224" s="74" t="s">
        <v>20284</v>
      </c>
      <c r="C2224" s="50"/>
      <c r="D2224" s="139">
        <f t="shared" si="34"/>
        <v>0</v>
      </c>
      <c r="E2224" s="140">
        <v>399.94</v>
      </c>
      <c r="F2224" s="140">
        <v>327.82</v>
      </c>
      <c r="G2224" s="34" t="s">
        <v>100</v>
      </c>
      <c r="H2224" s="34" t="s">
        <v>39</v>
      </c>
      <c r="I2224" s="35">
        <v>1</v>
      </c>
      <c r="J2224" s="35">
        <v>1</v>
      </c>
      <c r="K2224" s="35">
        <v>50</v>
      </c>
      <c r="L2224" s="60" t="str">
        <f>HYPERLINK("https://www.sds-group.ru/product/datchik-dvizheniya-nastennyy-dds-04-180-1200-vt-3-2000-lk-12-m-10-420-sek-ip44-rexant-11-9212/", "Инфо")</f>
        <v>Инфо</v>
      </c>
      <c r="M2224" s="37">
        <v>0.254</v>
      </c>
      <c r="N2224" s="38">
        <v>7.9600000000000005E-4</v>
      </c>
      <c r="O2224" s="141">
        <v>4601004075962</v>
      </c>
    </row>
    <row r="2225" spans="1:15" ht="11.45" customHeight="1" x14ac:dyDescent="0.2">
      <c r="A2225" s="80" t="s">
        <v>20387</v>
      </c>
      <c r="B2225" s="128"/>
      <c r="C2225" s="81"/>
      <c r="D2225" s="129"/>
      <c r="E2225" s="130"/>
      <c r="F2225" s="130"/>
      <c r="G2225" s="130"/>
      <c r="H2225" s="130"/>
      <c r="I2225" s="130"/>
      <c r="J2225" s="130"/>
      <c r="K2225" s="130"/>
      <c r="L2225" s="131"/>
      <c r="M2225" s="130"/>
      <c r="N2225" s="130"/>
      <c r="O2225" s="130"/>
    </row>
    <row r="2226" spans="1:15" ht="11.45" customHeight="1" outlineLevel="1" x14ac:dyDescent="0.2">
      <c r="A2226" s="78" t="s">
        <v>20388</v>
      </c>
      <c r="B2226" s="132"/>
      <c r="C2226" s="79"/>
      <c r="D2226" s="133"/>
      <c r="E2226" s="134"/>
      <c r="F2226" s="134"/>
      <c r="G2226" s="134"/>
      <c r="H2226" s="134"/>
      <c r="I2226" s="134"/>
      <c r="J2226" s="134"/>
      <c r="K2226" s="134"/>
      <c r="L2226" s="135"/>
      <c r="M2226" s="134"/>
      <c r="N2226" s="134"/>
      <c r="O2226" s="134"/>
    </row>
    <row r="2227" spans="1:15" ht="11.45" customHeight="1" outlineLevel="2" x14ac:dyDescent="0.2">
      <c r="A2227" s="76" t="s">
        <v>20389</v>
      </c>
      <c r="B2227" s="136"/>
      <c r="C2227" s="77"/>
      <c r="D2227" s="137"/>
      <c r="E2227" s="4"/>
      <c r="F2227" s="4"/>
      <c r="G2227" s="4"/>
      <c r="H2227" s="4"/>
      <c r="I2227" s="4"/>
      <c r="J2227" s="4"/>
      <c r="K2227" s="4"/>
      <c r="L2227" s="138"/>
      <c r="M2227" s="4"/>
      <c r="N2227" s="4"/>
      <c r="O2227" s="4"/>
    </row>
    <row r="2228" spans="1:15" ht="11.45" customHeight="1" outlineLevel="3" x14ac:dyDescent="0.2">
      <c r="A2228" s="76" t="s">
        <v>20390</v>
      </c>
      <c r="B2228" s="136"/>
      <c r="C2228" s="77"/>
      <c r="D2228" s="137"/>
      <c r="E2228" s="4"/>
      <c r="F2228" s="4"/>
      <c r="G2228" s="4"/>
      <c r="H2228" s="4"/>
      <c r="I2228" s="4"/>
      <c r="J2228" s="4"/>
      <c r="K2228" s="4"/>
      <c r="L2228" s="138"/>
      <c r="M2228" s="4"/>
      <c r="N2228" s="4"/>
      <c r="O2228" s="4"/>
    </row>
    <row r="2229" spans="1:15" s="1" customFormat="1" ht="11.45" customHeight="1" outlineLevel="4" x14ac:dyDescent="0.2">
      <c r="A2229" s="32" t="s">
        <v>20397</v>
      </c>
      <c r="B2229" s="74" t="s">
        <v>20398</v>
      </c>
      <c r="C2229" s="50"/>
      <c r="D2229" s="139">
        <f t="shared" si="34"/>
        <v>0</v>
      </c>
      <c r="E2229" s="140">
        <v>144.04</v>
      </c>
      <c r="F2229" s="140">
        <v>118.07</v>
      </c>
      <c r="G2229" s="34" t="s">
        <v>100</v>
      </c>
      <c r="H2229" s="34" t="s">
        <v>39</v>
      </c>
      <c r="I2229" s="35">
        <v>1</v>
      </c>
      <c r="J2229" s="35">
        <v>1</v>
      </c>
      <c r="K2229" s="35">
        <v>48</v>
      </c>
      <c r="L2229" s="60" t="str">
        <f>HYPERLINK("https://www.sds-group.ru/product/girlyanda-svetodiodnaya-zvezdochki-20-led-krasnye-2-8-metra-303-034/", "Инфо")</f>
        <v>Инфо</v>
      </c>
      <c r="M2229" s="37">
        <v>0.114</v>
      </c>
      <c r="N2229" s="38">
        <v>7.3200000000000001E-4</v>
      </c>
      <c r="O2229" s="141">
        <v>4601004130432</v>
      </c>
    </row>
    <row r="2230" spans="1:15" s="1" customFormat="1" ht="11.45" customHeight="1" outlineLevel="4" x14ac:dyDescent="0.2">
      <c r="A2230" s="32" t="s">
        <v>20403</v>
      </c>
      <c r="B2230" s="74" t="s">
        <v>20404</v>
      </c>
      <c r="C2230" s="50"/>
      <c r="D2230" s="139">
        <f t="shared" si="34"/>
        <v>0</v>
      </c>
      <c r="E2230" s="140">
        <v>168.13</v>
      </c>
      <c r="F2230" s="140">
        <v>137.81</v>
      </c>
      <c r="G2230" s="34" t="s">
        <v>100</v>
      </c>
      <c r="H2230" s="34" t="s">
        <v>39</v>
      </c>
      <c r="I2230" s="35">
        <v>1</v>
      </c>
      <c r="J2230" s="35">
        <v>1</v>
      </c>
      <c r="K2230" s="35">
        <v>60</v>
      </c>
      <c r="L2230" s="60" t="str">
        <f>HYPERLINK("https://www.sds-group.ru/product/girlyanda-svetodiodnaya-kubiki-20-led-multikolor-2-8-metra-s-kontrollerom-303-061/", "Инфо")</f>
        <v>Инфо</v>
      </c>
      <c r="M2230" s="37">
        <v>0.155</v>
      </c>
      <c r="N2230" s="38">
        <v>7.2999999999999996E-4</v>
      </c>
      <c r="O2230" s="141">
        <v>4601004130586</v>
      </c>
    </row>
    <row r="2231" spans="1:15" ht="11.45" customHeight="1" outlineLevel="3" x14ac:dyDescent="0.2">
      <c r="A2231" s="76" t="s">
        <v>20447</v>
      </c>
      <c r="B2231" s="136"/>
      <c r="C2231" s="77"/>
      <c r="D2231" s="137"/>
      <c r="E2231" s="4"/>
      <c r="F2231" s="4"/>
      <c r="G2231" s="4"/>
      <c r="H2231" s="4"/>
      <c r="I2231" s="4"/>
      <c r="J2231" s="4"/>
      <c r="K2231" s="4"/>
      <c r="L2231" s="138"/>
      <c r="M2231" s="4"/>
      <c r="N2231" s="4"/>
      <c r="O2231" s="4"/>
    </row>
    <row r="2232" spans="1:15" s="1" customFormat="1" ht="11.45" customHeight="1" outlineLevel="4" x14ac:dyDescent="0.2">
      <c r="A2232" s="32" t="s">
        <v>20452</v>
      </c>
      <c r="B2232" s="74" t="s">
        <v>20453</v>
      </c>
      <c r="C2232" s="50"/>
      <c r="D2232" s="139">
        <f t="shared" si="34"/>
        <v>0</v>
      </c>
      <c r="E2232" s="140">
        <v>144.04</v>
      </c>
      <c r="F2232" s="140">
        <v>118.07</v>
      </c>
      <c r="G2232" s="34" t="s">
        <v>100</v>
      </c>
      <c r="H2232" s="34" t="s">
        <v>39</v>
      </c>
      <c r="I2232" s="35">
        <v>1</v>
      </c>
      <c r="J2232" s="35">
        <v>1</v>
      </c>
      <c r="K2232" s="35">
        <v>100</v>
      </c>
      <c r="L2232" s="60" t="str">
        <f>HYPERLINK("https://www.sds-group.ru/product/girlyanda-svetodiodnaya-zhemchuzhinki-1-5-m-10-led-prozrachnyy-pvh-tsvet-svecheniya-teplyy-b-303-097/", "Инфо")</f>
        <v>Инфо</v>
      </c>
      <c r="M2232" s="37">
        <v>5.5E-2</v>
      </c>
      <c r="N2232" s="38">
        <v>4.2400000000000001E-4</v>
      </c>
      <c r="O2232" s="141">
        <v>4601004180116</v>
      </c>
    </row>
    <row r="2233" spans="1:15" s="1" customFormat="1" ht="11.45" customHeight="1" outlineLevel="4" x14ac:dyDescent="0.2">
      <c r="A2233" s="32" t="s">
        <v>20454</v>
      </c>
      <c r="B2233" s="74" t="s">
        <v>20455</v>
      </c>
      <c r="C2233" s="50"/>
      <c r="D2233" s="139">
        <f t="shared" si="34"/>
        <v>0</v>
      </c>
      <c r="E2233" s="140">
        <v>240.39</v>
      </c>
      <c r="F2233" s="140">
        <v>197.04</v>
      </c>
      <c r="G2233" s="34" t="s">
        <v>100</v>
      </c>
      <c r="H2233" s="34" t="s">
        <v>39</v>
      </c>
      <c r="I2233" s="35">
        <v>1</v>
      </c>
      <c r="J2233" s="35">
        <v>1</v>
      </c>
      <c r="K2233" s="35">
        <v>60</v>
      </c>
      <c r="L2233" s="60" t="str">
        <f>HYPERLINK("https://www.sds-group.ru/product/girlyanda-svetodiodnaya-zvezdopad-biryuzovaya-10-led-2-25-m-prozrachnyy-pvh-belyy-tsvet-svec-304-004/", "Инфо")</f>
        <v>Инфо</v>
      </c>
      <c r="M2233" s="37">
        <v>0.34899999999999998</v>
      </c>
      <c r="N2233" s="38">
        <v>1.158E-3</v>
      </c>
      <c r="O2233" s="141">
        <v>4601004181151</v>
      </c>
    </row>
    <row r="2234" spans="1:15" s="1" customFormat="1" ht="11.45" customHeight="1" outlineLevel="4" x14ac:dyDescent="0.2">
      <c r="A2234" s="32" t="s">
        <v>20464</v>
      </c>
      <c r="B2234" s="74" t="s">
        <v>20465</v>
      </c>
      <c r="C2234" s="50"/>
      <c r="D2234" s="139">
        <f t="shared" si="34"/>
        <v>0</v>
      </c>
      <c r="E2234" s="140">
        <v>240.39</v>
      </c>
      <c r="F2234" s="140">
        <v>197.04</v>
      </c>
      <c r="G2234" s="34" t="s">
        <v>100</v>
      </c>
      <c r="H2234" s="34" t="s">
        <v>39</v>
      </c>
      <c r="I2234" s="35">
        <v>1</v>
      </c>
      <c r="J2234" s="35">
        <v>1</v>
      </c>
      <c r="K2234" s="35">
        <v>24</v>
      </c>
      <c r="L2234" s="60" t="str">
        <f>HYPERLINK("https://www.sds-group.ru/product/girlyanda-svetodiodnaya-karamelki-1-5-m-prozrachnyy-pvh-10-led-teplyy-belyy-pitanie-2-h-aa-b-303-082/", "Инфо")</f>
        <v>Инфо</v>
      </c>
      <c r="M2234" s="37">
        <v>0.182</v>
      </c>
      <c r="N2234" s="38">
        <v>2.7759999999999998E-3</v>
      </c>
      <c r="O2234" s="141">
        <v>4601004148321</v>
      </c>
    </row>
    <row r="2235" spans="1:15" s="1" customFormat="1" ht="11.45" customHeight="1" outlineLevel="4" x14ac:dyDescent="0.2">
      <c r="A2235" s="32" t="s">
        <v>20468</v>
      </c>
      <c r="B2235" s="74" t="s">
        <v>20469</v>
      </c>
      <c r="C2235" s="50"/>
      <c r="D2235" s="139">
        <f t="shared" si="34"/>
        <v>0</v>
      </c>
      <c r="E2235" s="140">
        <v>240.39</v>
      </c>
      <c r="F2235" s="140">
        <v>197.04</v>
      </c>
      <c r="G2235" s="34" t="s">
        <v>100</v>
      </c>
      <c r="H2235" s="34" t="s">
        <v>39</v>
      </c>
      <c r="I2235" s="35">
        <v>1</v>
      </c>
      <c r="J2235" s="35">
        <v>1</v>
      </c>
      <c r="K2235" s="35">
        <v>60</v>
      </c>
      <c r="L2235" s="60" t="str">
        <f>HYPERLINK("https://www.sds-group.ru/product/girlyanda-svetodiodnaya-kristally-chernye-10-led-1-5-m-prozrachnyy-pvh-teplyy-belyy-svet-sve-304-017/", "Инфо")</f>
        <v>Инфо</v>
      </c>
      <c r="M2235" s="37">
        <v>0.17100000000000001</v>
      </c>
      <c r="N2235" s="38">
        <v>1.4649999999999999E-3</v>
      </c>
      <c r="O2235" s="141">
        <v>4601004181106</v>
      </c>
    </row>
    <row r="2236" spans="1:15" s="1" customFormat="1" ht="11.45" customHeight="1" outlineLevel="4" x14ac:dyDescent="0.2">
      <c r="A2236" s="32" t="s">
        <v>20472</v>
      </c>
      <c r="B2236" s="74" t="s">
        <v>20473</v>
      </c>
      <c r="C2236" s="50"/>
      <c r="D2236" s="139">
        <f t="shared" si="34"/>
        <v>0</v>
      </c>
      <c r="E2236" s="140">
        <v>95.87</v>
      </c>
      <c r="F2236" s="140">
        <v>78.58</v>
      </c>
      <c r="G2236" s="34" t="s">
        <v>100</v>
      </c>
      <c r="H2236" s="34" t="s">
        <v>39</v>
      </c>
      <c r="I2236" s="35">
        <v>1</v>
      </c>
      <c r="J2236" s="35">
        <v>1</v>
      </c>
      <c r="K2236" s="35">
        <v>24</v>
      </c>
      <c r="L2236" s="60" t="str">
        <f>HYPERLINK("https://www.sds-group.ru/product/girlyanda-svetodiodnaya-mishura-serebryanaya-10-led-1-5-m-prozrachnyy-pvh-belyy-svet-svechen-304-011/", "Инфо")</f>
        <v>Инфо</v>
      </c>
      <c r="M2236" s="37">
        <v>8.8999999999999996E-2</v>
      </c>
      <c r="N2236" s="38">
        <v>1.189E-3</v>
      </c>
      <c r="O2236" s="141">
        <v>4601004181175</v>
      </c>
    </row>
    <row r="2237" spans="1:15" s="1" customFormat="1" ht="11.45" customHeight="1" outlineLevel="4" x14ac:dyDescent="0.2">
      <c r="A2237" s="32" t="s">
        <v>20478</v>
      </c>
      <c r="B2237" s="74" t="s">
        <v>20479</v>
      </c>
      <c r="C2237" s="50"/>
      <c r="D2237" s="139">
        <f t="shared" si="34"/>
        <v>0</v>
      </c>
      <c r="E2237" s="140">
        <v>144.04</v>
      </c>
      <c r="F2237" s="140">
        <v>118.07</v>
      </c>
      <c r="G2237" s="34" t="s">
        <v>100</v>
      </c>
      <c r="H2237" s="34" t="s">
        <v>39</v>
      </c>
      <c r="I2237" s="35">
        <v>1</v>
      </c>
      <c r="J2237" s="35">
        <v>1</v>
      </c>
      <c r="K2237" s="35">
        <v>96</v>
      </c>
      <c r="L2237" s="60" t="str">
        <f>HYPERLINK("https://www.sds-group.ru/product/girlyanda-svetodiodnaya-prischepki-10-led-1-5-m-prozrachnyy-pvh-teplyy-belyy-tsvet-svecheniy-304-005/", "Инфо")</f>
        <v>Инфо</v>
      </c>
      <c r="M2237" s="37">
        <v>0.114</v>
      </c>
      <c r="N2237" s="38">
        <v>7.1500000000000003E-4</v>
      </c>
      <c r="O2237" s="141">
        <v>4601004181069</v>
      </c>
    </row>
    <row r="2238" spans="1:15" s="1" customFormat="1" ht="11.45" customHeight="1" outlineLevel="4" x14ac:dyDescent="0.2">
      <c r="A2238" s="32" t="s">
        <v>20480</v>
      </c>
      <c r="B2238" s="74" t="s">
        <v>20481</v>
      </c>
      <c r="C2238" s="50"/>
      <c r="D2238" s="139">
        <f t="shared" si="34"/>
        <v>0</v>
      </c>
      <c r="E2238" s="140">
        <v>459.76</v>
      </c>
      <c r="F2238" s="140">
        <v>376.85</v>
      </c>
      <c r="G2238" s="34" t="s">
        <v>100</v>
      </c>
      <c r="H2238" s="34" t="s">
        <v>39</v>
      </c>
      <c r="I2238" s="35">
        <v>1</v>
      </c>
      <c r="J2238" s="35">
        <v>1</v>
      </c>
      <c r="K2238" s="35">
        <v>16</v>
      </c>
      <c r="L2238" s="60" t="str">
        <f>HYPERLINK("https://www.sds-group.ru/product/girlyanda-svetodiodnaya-retro-lampy-3-m-beloe-svechenie-batareyki-3haa-neon-night-303-095/", "Инфо")</f>
        <v>Инфо</v>
      </c>
      <c r="M2238" s="37">
        <v>0.29399999999999998</v>
      </c>
      <c r="N2238" s="38">
        <v>1.658E-3</v>
      </c>
      <c r="O2238" s="141">
        <v>4601004180284</v>
      </c>
    </row>
    <row r="2239" spans="1:15" s="1" customFormat="1" ht="11.45" customHeight="1" outlineLevel="4" x14ac:dyDescent="0.2">
      <c r="A2239" s="32" t="s">
        <v>20492</v>
      </c>
      <c r="B2239" s="74" t="s">
        <v>20493</v>
      </c>
      <c r="C2239" s="50"/>
      <c r="D2239" s="139">
        <f t="shared" si="34"/>
        <v>0</v>
      </c>
      <c r="E2239" s="140">
        <v>90.23</v>
      </c>
      <c r="F2239" s="140">
        <v>73.959999999999994</v>
      </c>
      <c r="G2239" s="34" t="s">
        <v>100</v>
      </c>
      <c r="H2239" s="34" t="s">
        <v>39</v>
      </c>
      <c r="I2239" s="35">
        <v>1</v>
      </c>
      <c r="J2239" s="35">
        <v>1</v>
      </c>
      <c r="K2239" s="35">
        <v>100</v>
      </c>
      <c r="L2239" s="60" t="str">
        <f>HYPERLINK("https://www.sds-group.ru/product/girlyanda-svetodiodnaya-shariki-1-5-m-10-led-prozrachnyy-pvh-tsvet-svecheniya-multikolor-2-h-303-092/", "Инфо")</f>
        <v>Инфо</v>
      </c>
      <c r="M2239" s="37">
        <v>3.9E-2</v>
      </c>
      <c r="N2239" s="38">
        <v>2.4800000000000001E-4</v>
      </c>
      <c r="O2239" s="141">
        <v>4601004180000</v>
      </c>
    </row>
    <row r="2240" spans="1:15" s="1" customFormat="1" ht="11.45" customHeight="1" outlineLevel="4" x14ac:dyDescent="0.2">
      <c r="A2240" s="32" t="s">
        <v>20496</v>
      </c>
      <c r="B2240" s="74" t="s">
        <v>20497</v>
      </c>
      <c r="C2240" s="50"/>
      <c r="D2240" s="139">
        <f t="shared" si="34"/>
        <v>0</v>
      </c>
      <c r="E2240" s="140">
        <v>336.74</v>
      </c>
      <c r="F2240" s="140">
        <v>276.02</v>
      </c>
      <c r="G2240" s="34" t="s">
        <v>100</v>
      </c>
      <c r="H2240" s="34" t="s">
        <v>39</v>
      </c>
      <c r="I2240" s="35">
        <v>1</v>
      </c>
      <c r="J2240" s="35">
        <v>1</v>
      </c>
      <c r="K2240" s="35">
        <v>18</v>
      </c>
      <c r="L2240" s="60" t="str">
        <f>HYPERLINK("https://www.sds-group.ru/product/tayskie-fonariki-velvet-3-5-m-20-led-prozrachnyy-pvh-teplyy-belyy-pitanie-usb-neon-night-304-008/", "Инфо")</f>
        <v>Инфо</v>
      </c>
      <c r="M2240" s="37">
        <v>0.316</v>
      </c>
      <c r="N2240" s="38">
        <v>5.7670000000000004E-3</v>
      </c>
      <c r="O2240" s="141">
        <v>4601004283626</v>
      </c>
    </row>
    <row r="2241" spans="1:15" s="1" customFormat="1" ht="11.45" customHeight="1" outlineLevel="4" x14ac:dyDescent="0.2">
      <c r="A2241" s="32" t="s">
        <v>20498</v>
      </c>
      <c r="B2241" s="74" t="s">
        <v>20499</v>
      </c>
      <c r="C2241" s="50"/>
      <c r="D2241" s="139">
        <f t="shared" si="34"/>
        <v>0</v>
      </c>
      <c r="E2241" s="140">
        <v>336.74</v>
      </c>
      <c r="F2241" s="140">
        <v>276.02</v>
      </c>
      <c r="G2241" s="34" t="s">
        <v>100</v>
      </c>
      <c r="H2241" s="34" t="s">
        <v>39</v>
      </c>
      <c r="I2241" s="35">
        <v>1</v>
      </c>
      <c r="J2241" s="35">
        <v>1</v>
      </c>
      <c r="K2241" s="35">
        <v>18</v>
      </c>
      <c r="L2241" s="60" t="str">
        <f>HYPERLINK("https://www.sds-group.ru/product/tayskie-fonariki-velvet-3-5-m-prozrachnyy-pvh-20-led-teplyy-belyy-303-087/", "Инфо")</f>
        <v>Инфо</v>
      </c>
      <c r="M2241" s="37">
        <v>0.313</v>
      </c>
      <c r="N2241" s="38">
        <v>5.4260000000000003E-3</v>
      </c>
      <c r="O2241" s="141">
        <v>4601004148277</v>
      </c>
    </row>
    <row r="2242" spans="1:15" s="1" customFormat="1" ht="11.45" customHeight="1" outlineLevel="4" x14ac:dyDescent="0.2">
      <c r="A2242" s="32" t="s">
        <v>20500</v>
      </c>
      <c r="B2242" s="74" t="s">
        <v>20501</v>
      </c>
      <c r="C2242" s="50"/>
      <c r="D2242" s="139">
        <f t="shared" si="34"/>
        <v>0</v>
      </c>
      <c r="E2242" s="140">
        <v>336.74</v>
      </c>
      <c r="F2242" s="140">
        <v>276.02</v>
      </c>
      <c r="G2242" s="34" t="s">
        <v>100</v>
      </c>
      <c r="H2242" s="34" t="s">
        <v>39</v>
      </c>
      <c r="I2242" s="35">
        <v>1</v>
      </c>
      <c r="J2242" s="35">
        <v>1</v>
      </c>
      <c r="K2242" s="35">
        <v>12</v>
      </c>
      <c r="L2242" s="60" t="str">
        <f>HYPERLINK("https://www.sds-group.ru/product/tayskie-fonariki-magiya-3-5-m-20-led-prozrachnyy-pvh-teplyy-belyy-pitanie-usb-neon-night-304-007/", "Инфо")</f>
        <v>Инфо</v>
      </c>
      <c r="M2242" s="37">
        <v>0.308</v>
      </c>
      <c r="N2242" s="38">
        <v>5.6889999999999996E-3</v>
      </c>
      <c r="O2242" s="141">
        <v>4601004283619</v>
      </c>
    </row>
    <row r="2243" spans="1:15" s="1" customFormat="1" ht="11.45" customHeight="1" outlineLevel="4" x14ac:dyDescent="0.2">
      <c r="A2243" s="32" t="s">
        <v>20506</v>
      </c>
      <c r="B2243" s="74" t="s">
        <v>20507</v>
      </c>
      <c r="C2243" s="50"/>
      <c r="D2243" s="139">
        <f t="shared" si="34"/>
        <v>0</v>
      </c>
      <c r="E2243" s="140">
        <v>438.57</v>
      </c>
      <c r="F2243" s="140">
        <v>359.48</v>
      </c>
      <c r="G2243" s="34" t="s">
        <v>100</v>
      </c>
      <c r="H2243" s="34" t="s">
        <v>39</v>
      </c>
      <c r="I2243" s="35">
        <v>1</v>
      </c>
      <c r="J2243" s="35">
        <v>1</v>
      </c>
      <c r="K2243" s="35">
        <v>12</v>
      </c>
      <c r="L2243" s="60" t="str">
        <f>HYPERLINK("https://www.sds-group.ru/product/tayskie-fonariki-perlamutr-5-m-25-led-prozrachnyy-pvh-tsvet-svecheniya-teplyy-belyy-pitanie--304-010/", "Инфо")</f>
        <v>Инфо</v>
      </c>
      <c r="M2243" s="37">
        <v>0.35699999999999998</v>
      </c>
      <c r="N2243" s="38">
        <v>7.3930000000000003E-3</v>
      </c>
      <c r="O2243" s="141">
        <v>4601004283961</v>
      </c>
    </row>
    <row r="2244" spans="1:15" s="1" customFormat="1" ht="11.45" customHeight="1" outlineLevel="4" x14ac:dyDescent="0.2">
      <c r="A2244" s="32" t="s">
        <v>20516</v>
      </c>
      <c r="B2244" s="74" t="s">
        <v>20517</v>
      </c>
      <c r="C2244" s="50"/>
      <c r="D2244" s="139">
        <f t="shared" si="34"/>
        <v>0</v>
      </c>
      <c r="E2244" s="140">
        <v>438.57</v>
      </c>
      <c r="F2244" s="140">
        <v>359.48</v>
      </c>
      <c r="G2244" s="34" t="s">
        <v>100</v>
      </c>
      <c r="H2244" s="34" t="s">
        <v>39</v>
      </c>
      <c r="I2244" s="35">
        <v>1</v>
      </c>
      <c r="J2244" s="35">
        <v>1</v>
      </c>
      <c r="K2244" s="35">
        <v>12</v>
      </c>
      <c r="L2244" s="60" t="str">
        <f>HYPERLINK("https://www.sds-group.ru/product/tayskie-fonariki-feyerverk-5-m-25-led-prozrachnyy-pvh-teplyy-belyy-pitanie-usb-neon-night-304-009/", "Инфо")</f>
        <v>Инфо</v>
      </c>
      <c r="M2244" s="37">
        <v>0.379</v>
      </c>
      <c r="N2244" s="38">
        <v>7.3920000000000001E-3</v>
      </c>
      <c r="O2244" s="141">
        <v>4601004283602</v>
      </c>
    </row>
    <row r="2245" spans="1:15" ht="11.45" customHeight="1" outlineLevel="3" x14ac:dyDescent="0.2">
      <c r="A2245" s="76" t="s">
        <v>20518</v>
      </c>
      <c r="B2245" s="136"/>
      <c r="C2245" s="77"/>
      <c r="D2245" s="137"/>
      <c r="E2245" s="4"/>
      <c r="F2245" s="4"/>
      <c r="G2245" s="4"/>
      <c r="H2245" s="4"/>
      <c r="I2245" s="4"/>
      <c r="J2245" s="4"/>
      <c r="K2245" s="4"/>
      <c r="L2245" s="138"/>
      <c r="M2245" s="4"/>
      <c r="N2245" s="4"/>
      <c r="O2245" s="4"/>
    </row>
    <row r="2246" spans="1:15" s="1" customFormat="1" ht="11.45" customHeight="1" outlineLevel="4" x14ac:dyDescent="0.2">
      <c r="A2246" s="32" t="s">
        <v>20519</v>
      </c>
      <c r="B2246" s="74" t="s">
        <v>20520</v>
      </c>
      <c r="C2246" s="50"/>
      <c r="D2246" s="139">
        <f t="shared" si="34"/>
        <v>0</v>
      </c>
      <c r="E2246" s="140">
        <v>67.55</v>
      </c>
      <c r="F2246" s="140">
        <v>55.37</v>
      </c>
      <c r="G2246" s="34" t="s">
        <v>100</v>
      </c>
      <c r="H2246" s="34" t="s">
        <v>39</v>
      </c>
      <c r="I2246" s="35">
        <v>1</v>
      </c>
      <c r="J2246" s="35">
        <v>1</v>
      </c>
      <c r="K2246" s="35">
        <v>250</v>
      </c>
      <c r="L2246" s="60" t="str">
        <f>HYPERLINK("https://www.sds-group.ru/product/girlyanda-svetodiodnaya-rosa-2m-20-led-teplyy-belyy-ip20-2hcr2032-v-komplekte-neon-night-303-006/", "Инфо")</f>
        <v>Инфо</v>
      </c>
      <c r="M2246" s="37">
        <v>0.02</v>
      </c>
      <c r="N2246" s="38">
        <v>6.6000000000000005E-5</v>
      </c>
      <c r="O2246" s="141">
        <v>4601004017474</v>
      </c>
    </row>
    <row r="2247" spans="1:15" s="1" customFormat="1" ht="11.45" customHeight="1" outlineLevel="4" x14ac:dyDescent="0.2">
      <c r="A2247" s="32" t="s">
        <v>20521</v>
      </c>
      <c r="B2247" s="74" t="s">
        <v>20522</v>
      </c>
      <c r="C2247" s="50"/>
      <c r="D2247" s="139">
        <f t="shared" si="34"/>
        <v>0</v>
      </c>
      <c r="E2247" s="140">
        <v>112.9</v>
      </c>
      <c r="F2247" s="140">
        <v>92.54</v>
      </c>
      <c r="G2247" s="34" t="s">
        <v>100</v>
      </c>
      <c r="H2247" s="34" t="s">
        <v>39</v>
      </c>
      <c r="I2247" s="35">
        <v>1</v>
      </c>
      <c r="J2247" s="35">
        <v>1</v>
      </c>
      <c r="K2247" s="35">
        <v>250</v>
      </c>
      <c r="L2247" s="60" t="str">
        <f>HYPERLINK("https://www.sds-group.ru/product/girlyanda-svetodiodnaya-rosa-2m-20led-rgb-ip20-2hcr2032-v-komplekte-neon-night-303-009/", "Инфо")</f>
        <v>Инфо</v>
      </c>
      <c r="M2247" s="37">
        <v>0.03</v>
      </c>
      <c r="N2247" s="38">
        <v>1.85E-4</v>
      </c>
      <c r="O2247" s="141">
        <v>4601004014213</v>
      </c>
    </row>
    <row r="2248" spans="1:15" s="1" customFormat="1" ht="11.45" customHeight="1" outlineLevel="4" x14ac:dyDescent="0.2">
      <c r="A2248" s="32" t="s">
        <v>20523</v>
      </c>
      <c r="B2248" s="74" t="s">
        <v>20524</v>
      </c>
      <c r="C2248" s="50"/>
      <c r="D2248" s="139">
        <f t="shared" si="34"/>
        <v>0</v>
      </c>
      <c r="E2248" s="140">
        <v>67.55</v>
      </c>
      <c r="F2248" s="140">
        <v>55.37</v>
      </c>
      <c r="G2248" s="34" t="s">
        <v>100</v>
      </c>
      <c r="H2248" s="34" t="s">
        <v>39</v>
      </c>
      <c r="I2248" s="35">
        <v>1</v>
      </c>
      <c r="J2248" s="35">
        <v>1</v>
      </c>
      <c r="K2248" s="35">
        <v>250</v>
      </c>
      <c r="L2248" s="60" t="str">
        <f>HYPERLINK("https://www.sds-group.ru/product/girlyanda-svetodiodnaya-rosa-2m-20led-belyy-ip20-tonkiy-batareynyy-blok-2hcr2032-v-komplekte-303-005/", "Инфо")</f>
        <v>Инфо</v>
      </c>
      <c r="M2248" s="37">
        <v>1.9E-2</v>
      </c>
      <c r="N2248" s="38">
        <v>1.7100000000000001E-4</v>
      </c>
      <c r="O2248" s="141">
        <v>4601004014183</v>
      </c>
    </row>
    <row r="2249" spans="1:15" s="1" customFormat="1" ht="11.45" customHeight="1" outlineLevel="4" x14ac:dyDescent="0.2">
      <c r="A2249" s="32" t="s">
        <v>20525</v>
      </c>
      <c r="B2249" s="74" t="s">
        <v>20526</v>
      </c>
      <c r="C2249" s="50"/>
      <c r="D2249" s="139">
        <f t="shared" si="34"/>
        <v>0</v>
      </c>
      <c r="E2249" s="140">
        <v>67.55</v>
      </c>
      <c r="F2249" s="140">
        <v>55.37</v>
      </c>
      <c r="G2249" s="34" t="s">
        <v>100</v>
      </c>
      <c r="H2249" s="34" t="s">
        <v>39</v>
      </c>
      <c r="I2249" s="35">
        <v>1</v>
      </c>
      <c r="J2249" s="35">
        <v>1</v>
      </c>
      <c r="K2249" s="35">
        <v>250</v>
      </c>
      <c r="L2249" s="60" t="str">
        <f>HYPERLINK("https://www.sds-group.ru/product/girlyanda-svetodiodnaya-rosa-2m-20led-biryuzovyy-ip20-tonkiy-batareynyy-blok-2hcr2032-v-komp-303-004/", "Инфо")</f>
        <v>Инфо</v>
      </c>
      <c r="M2249" s="37">
        <v>0.02</v>
      </c>
      <c r="N2249" s="38">
        <v>6.4999999999999994E-5</v>
      </c>
      <c r="O2249" s="141">
        <v>4601004014176</v>
      </c>
    </row>
    <row r="2250" spans="1:15" s="1" customFormat="1" ht="11.45" customHeight="1" outlineLevel="4" x14ac:dyDescent="0.2">
      <c r="A2250" s="32" t="s">
        <v>20529</v>
      </c>
      <c r="B2250" s="74" t="s">
        <v>20530</v>
      </c>
      <c r="C2250" s="50"/>
      <c r="D2250" s="139">
        <f t="shared" si="34"/>
        <v>0</v>
      </c>
      <c r="E2250" s="140">
        <v>67.55</v>
      </c>
      <c r="F2250" s="140">
        <v>55.37</v>
      </c>
      <c r="G2250" s="34" t="s">
        <v>100</v>
      </c>
      <c r="H2250" s="34" t="s">
        <v>39</v>
      </c>
      <c r="I2250" s="35">
        <v>1</v>
      </c>
      <c r="J2250" s="35">
        <v>1</v>
      </c>
      <c r="K2250" s="35">
        <v>250</v>
      </c>
      <c r="L2250" s="60" t="str">
        <f>HYPERLINK("https://www.sds-group.ru/product/girlyanda-svetodiodnaya-rosa-2m-20led-zheltyy-ip20-tonkiy-batareynyy-blok-2hcr2032-v-komplek-303-001/", "Инфо")</f>
        <v>Инфо</v>
      </c>
      <c r="M2250" s="37">
        <v>0.02</v>
      </c>
      <c r="N2250" s="38">
        <v>6.4999999999999994E-5</v>
      </c>
      <c r="O2250" s="141">
        <v>4601004017481</v>
      </c>
    </row>
    <row r="2251" spans="1:15" s="1" customFormat="1" ht="11.45" customHeight="1" outlineLevel="4" x14ac:dyDescent="0.2">
      <c r="A2251" s="32" t="s">
        <v>20553</v>
      </c>
      <c r="B2251" s="74" t="s">
        <v>20554</v>
      </c>
      <c r="C2251" s="50"/>
      <c r="D2251" s="139">
        <f t="shared" ref="D2251:D2314" si="35">C2251*E2251</f>
        <v>0</v>
      </c>
      <c r="E2251" s="140">
        <v>90.23</v>
      </c>
      <c r="F2251" s="140">
        <v>73.959999999999994</v>
      </c>
      <c r="G2251" s="34" t="s">
        <v>100</v>
      </c>
      <c r="H2251" s="34" t="s">
        <v>39</v>
      </c>
      <c r="I2251" s="35">
        <v>1</v>
      </c>
      <c r="J2251" s="35">
        <v>1</v>
      </c>
      <c r="K2251" s="35">
        <v>200</v>
      </c>
      <c r="L2251" s="60" t="str">
        <f>HYPERLINK("https://www.sds-group.ru/product/girlyanda-svetodiodnaya-rosa-s-krupnymi-kaplyami-2m-20led-teplyy-belyy-ip20-2hcr2032-v-kompl-302-006/", "Инфо")</f>
        <v>Инфо</v>
      </c>
      <c r="M2251" s="37">
        <v>0.02</v>
      </c>
      <c r="N2251" s="38">
        <v>4.44E-4</v>
      </c>
      <c r="O2251" s="141">
        <v>4601004184084</v>
      </c>
    </row>
    <row r="2252" spans="1:15" s="1" customFormat="1" ht="11.45" customHeight="1" outlineLevel="4" x14ac:dyDescent="0.2">
      <c r="A2252" s="32" t="s">
        <v>20555</v>
      </c>
      <c r="B2252" s="74" t="s">
        <v>20556</v>
      </c>
      <c r="C2252" s="50"/>
      <c r="D2252" s="139">
        <f t="shared" si="35"/>
        <v>0</v>
      </c>
      <c r="E2252" s="140">
        <v>136.84</v>
      </c>
      <c r="F2252" s="140">
        <v>112.16</v>
      </c>
      <c r="G2252" s="34" t="s">
        <v>100</v>
      </c>
      <c r="H2252" s="34" t="s">
        <v>39</v>
      </c>
      <c r="I2252" s="35">
        <v>1</v>
      </c>
      <c r="J2252" s="35">
        <v>1</v>
      </c>
      <c r="K2252" s="35">
        <v>96</v>
      </c>
      <c r="L2252" s="60" t="str">
        <f>HYPERLINK("https://www.sds-group.ru/product/girlyanda-svetodiodnaya-rosa-s-prischepkoy-3m-30led-teplyy-belyy-ip20-2hcr2032-v-komplekte-n-302-016/", "Инфо")</f>
        <v>Инфо</v>
      </c>
      <c r="M2252" s="37">
        <v>3.3000000000000002E-2</v>
      </c>
      <c r="N2252" s="38">
        <v>1.64E-4</v>
      </c>
      <c r="O2252" s="141">
        <v>4601004184022</v>
      </c>
    </row>
    <row r="2253" spans="1:15" s="1" customFormat="1" ht="11.45" customHeight="1" outlineLevel="4" x14ac:dyDescent="0.2">
      <c r="A2253" s="32" t="s">
        <v>20557</v>
      </c>
      <c r="B2253" s="74" t="s">
        <v>20558</v>
      </c>
      <c r="C2253" s="50"/>
      <c r="D2253" s="139">
        <f t="shared" si="35"/>
        <v>0</v>
      </c>
      <c r="E2253" s="140">
        <v>90.23</v>
      </c>
      <c r="F2253" s="140">
        <v>73.959999999999994</v>
      </c>
      <c r="G2253" s="34" t="s">
        <v>100</v>
      </c>
      <c r="H2253" s="34" t="s">
        <v>39</v>
      </c>
      <c r="I2253" s="35">
        <v>1</v>
      </c>
      <c r="J2253" s="35">
        <v>1</v>
      </c>
      <c r="K2253" s="35">
        <v>120</v>
      </c>
      <c r="L2253" s="60" t="str">
        <f>HYPERLINK("https://www.sds-group.ru/product/girlyanda-svetodiodnaya-rosa-s-probkoy-2m-20led-belyy-ip20-3hlr44-v-komplekte-neon-night-302-025/", "Инфо")</f>
        <v>Инфо</v>
      </c>
      <c r="M2253" s="37">
        <v>2.9000000000000001E-2</v>
      </c>
      <c r="N2253" s="38">
        <v>2.7700000000000001E-4</v>
      </c>
      <c r="O2253" s="141">
        <v>4601004184046</v>
      </c>
    </row>
    <row r="2254" spans="1:15" s="1" customFormat="1" ht="11.45" customHeight="1" outlineLevel="4" x14ac:dyDescent="0.2">
      <c r="A2254" s="32" t="s">
        <v>20559</v>
      </c>
      <c r="B2254" s="74" t="s">
        <v>20560</v>
      </c>
      <c r="C2254" s="50"/>
      <c r="D2254" s="139">
        <f t="shared" si="35"/>
        <v>0</v>
      </c>
      <c r="E2254" s="140">
        <v>90.23</v>
      </c>
      <c r="F2254" s="140">
        <v>73.959999999999994</v>
      </c>
      <c r="G2254" s="34" t="s">
        <v>100</v>
      </c>
      <c r="H2254" s="34" t="s">
        <v>39</v>
      </c>
      <c r="I2254" s="35">
        <v>1</v>
      </c>
      <c r="J2254" s="35">
        <v>1</v>
      </c>
      <c r="K2254" s="35">
        <v>120</v>
      </c>
      <c r="L2254" s="60" t="str">
        <f>HYPERLINK("https://www.sds-group.ru/product/girlyanda-svetodiodnaya-rosa-s-probkoy-2m-20led-teplyy-belyy-ip20-3hlr44-v-komplekte-neon-ni-302-026/", "Инфо")</f>
        <v>Инфо</v>
      </c>
      <c r="M2254" s="37">
        <v>3.2000000000000001E-2</v>
      </c>
      <c r="N2254" s="38">
        <v>2.8499999999999999E-4</v>
      </c>
      <c r="O2254" s="141">
        <v>4601004184053</v>
      </c>
    </row>
    <row r="2255" spans="1:15" s="1" customFormat="1" ht="11.45" customHeight="1" outlineLevel="4" x14ac:dyDescent="0.2">
      <c r="A2255" s="32" t="s">
        <v>20561</v>
      </c>
      <c r="B2255" s="74" t="s">
        <v>20562</v>
      </c>
      <c r="C2255" s="50"/>
      <c r="D2255" s="139">
        <f t="shared" si="35"/>
        <v>0</v>
      </c>
      <c r="E2255" s="140">
        <v>90.23</v>
      </c>
      <c r="F2255" s="140">
        <v>73.959999999999994</v>
      </c>
      <c r="G2255" s="34" t="s">
        <v>100</v>
      </c>
      <c r="H2255" s="34" t="s">
        <v>39</v>
      </c>
      <c r="I2255" s="35">
        <v>1</v>
      </c>
      <c r="J2255" s="35">
        <v>1</v>
      </c>
      <c r="K2255" s="35">
        <v>120</v>
      </c>
      <c r="L2255" s="60" t="str">
        <f>HYPERLINK("https://www.sds-group.ru/product/girlyanda-svetodiodnaya-rosa-s-probkoy-2m-20led-multikolor-ip20-3hlr44-v-komplekte-neon-nigh-302-029/", "Инфо")</f>
        <v>Инфо</v>
      </c>
      <c r="M2255" s="37">
        <v>0.03</v>
      </c>
      <c r="N2255" s="38">
        <v>2.8299999999999999E-4</v>
      </c>
      <c r="O2255" s="141">
        <v>4601004184060</v>
      </c>
    </row>
    <row r="2256" spans="1:15" s="1" customFormat="1" ht="11.45" customHeight="1" outlineLevel="4" x14ac:dyDescent="0.2">
      <c r="A2256" s="32" t="s">
        <v>20567</v>
      </c>
      <c r="B2256" s="74" t="s">
        <v>20568</v>
      </c>
      <c r="C2256" s="50"/>
      <c r="D2256" s="139">
        <f t="shared" si="35"/>
        <v>0</v>
      </c>
      <c r="E2256" s="140">
        <v>67.55</v>
      </c>
      <c r="F2256" s="140">
        <v>55.37</v>
      </c>
      <c r="G2256" s="34" t="s">
        <v>100</v>
      </c>
      <c r="H2256" s="34" t="s">
        <v>39</v>
      </c>
      <c r="I2256" s="35">
        <v>1</v>
      </c>
      <c r="J2256" s="35">
        <v>1</v>
      </c>
      <c r="K2256" s="35">
        <v>250</v>
      </c>
      <c r="L2256" s="60" t="str">
        <f>HYPERLINK("https://www.sds-group.ru/product/girlyanda-svetodiodnaya-snezhinki-2m-20led-belyy-ip20-2hcr2032-v-komplekte-neon-night-303-010/", "Инфо")</f>
        <v>Инфо</v>
      </c>
      <c r="M2256" s="37">
        <v>3.7999999999999999E-2</v>
      </c>
      <c r="N2256" s="38">
        <v>2.1499999999999999E-4</v>
      </c>
      <c r="O2256" s="141">
        <v>4601004014220</v>
      </c>
    </row>
    <row r="2257" spans="1:15" ht="11.45" customHeight="1" outlineLevel="3" x14ac:dyDescent="0.2">
      <c r="A2257" s="76" t="s">
        <v>20617</v>
      </c>
      <c r="B2257" s="136"/>
      <c r="C2257" s="77"/>
      <c r="D2257" s="137"/>
      <c r="E2257" s="4"/>
      <c r="F2257" s="4"/>
      <c r="G2257" s="4"/>
      <c r="H2257" s="4"/>
      <c r="I2257" s="4"/>
      <c r="J2257" s="4"/>
      <c r="K2257" s="4"/>
      <c r="L2257" s="138"/>
      <c r="M2257" s="4"/>
      <c r="N2257" s="4"/>
      <c r="O2257" s="4"/>
    </row>
    <row r="2258" spans="1:15" s="1" customFormat="1" ht="11.45" customHeight="1" outlineLevel="4" x14ac:dyDescent="0.2">
      <c r="A2258" s="32" t="s">
        <v>20618</v>
      </c>
      <c r="B2258" s="74" t="s">
        <v>20619</v>
      </c>
      <c r="C2258" s="50"/>
      <c r="D2258" s="139">
        <f t="shared" si="35"/>
        <v>0</v>
      </c>
      <c r="E2258" s="140">
        <v>745.76</v>
      </c>
      <c r="F2258" s="140">
        <v>611.28</v>
      </c>
      <c r="G2258" s="34" t="s">
        <v>100</v>
      </c>
      <c r="H2258" s="34" t="s">
        <v>39</v>
      </c>
      <c r="I2258" s="35">
        <v>1</v>
      </c>
      <c r="J2258" s="35">
        <v>1</v>
      </c>
      <c r="K2258" s="35">
        <v>6</v>
      </c>
      <c r="L2258" s="60" t="str">
        <f>HYPERLINK("https://www.sds-group.ru/product/girlyanda-svetodiodnaya-sosulki-230v-komplekt-8-sht-h-42-sm-36x8-led-ne-soedinyayutsya-256-415/", "Инфо")</f>
        <v>Инфо</v>
      </c>
      <c r="M2258" s="37">
        <v>0.628</v>
      </c>
      <c r="N2258" s="38">
        <v>4.0119999999999999E-3</v>
      </c>
      <c r="O2258" s="141">
        <v>4601004130661</v>
      </c>
    </row>
    <row r="2259" spans="1:15" s="1" customFormat="1" ht="11.45" customHeight="1" outlineLevel="4" x14ac:dyDescent="0.2">
      <c r="A2259" s="32" t="s">
        <v>20620</v>
      </c>
      <c r="B2259" s="74" t="s">
        <v>20621</v>
      </c>
      <c r="C2259" s="50"/>
      <c r="D2259" s="139">
        <f t="shared" si="35"/>
        <v>0</v>
      </c>
      <c r="E2259" s="140">
        <v>438.62</v>
      </c>
      <c r="F2259" s="140">
        <v>359.52</v>
      </c>
      <c r="G2259" s="34" t="s">
        <v>100</v>
      </c>
      <c r="H2259" s="34" t="s">
        <v>39</v>
      </c>
      <c r="I2259" s="35">
        <v>1</v>
      </c>
      <c r="J2259" s="35">
        <v>1</v>
      </c>
      <c r="K2259" s="35">
        <v>20</v>
      </c>
      <c r="L2259" s="60" t="str">
        <f>HYPERLINK("https://www.sds-group.ru/product/girlyanda-tayuschie-sosulki-svetodiodnaya-4sht-h-20sm-shag-50sm-230v-s-transformatorom-bel-256-317-6/", "Инфо")</f>
        <v>Инфо</v>
      </c>
      <c r="M2259" s="37">
        <v>0.128</v>
      </c>
      <c r="N2259" s="38">
        <v>7.0399999999999998E-4</v>
      </c>
      <c r="O2259" s="141">
        <v>4601004008939</v>
      </c>
    </row>
    <row r="2260" spans="1:15" s="1" customFormat="1" ht="11.45" customHeight="1" outlineLevel="4" x14ac:dyDescent="0.2">
      <c r="A2260" s="32" t="s">
        <v>20624</v>
      </c>
      <c r="B2260" s="74" t="s">
        <v>20625</v>
      </c>
      <c r="C2260" s="50"/>
      <c r="D2260" s="139">
        <f t="shared" si="35"/>
        <v>0</v>
      </c>
      <c r="E2260" s="140">
        <v>745.76</v>
      </c>
      <c r="F2260" s="140">
        <v>611.28</v>
      </c>
      <c r="G2260" s="34" t="s">
        <v>100</v>
      </c>
      <c r="H2260" s="34" t="s">
        <v>39</v>
      </c>
      <c r="I2260" s="35">
        <v>1</v>
      </c>
      <c r="J2260" s="35">
        <v>1</v>
      </c>
      <c r="K2260" s="35">
        <v>10</v>
      </c>
      <c r="L2260" s="60" t="str">
        <f>HYPERLINK("https://www.sds-group.ru/product/girlyanda-tayuschie-sosulki-svetodiodnaya-8sht-h-50sm-shag-50sm-230-v-s-transformatorom-be-256-313-6/", "Инфо")</f>
        <v>Инфо</v>
      </c>
      <c r="M2260" s="37">
        <v>0.24</v>
      </c>
      <c r="N2260" s="38">
        <v>1.7570000000000001E-3</v>
      </c>
      <c r="O2260" s="141">
        <v>4601004008946</v>
      </c>
    </row>
    <row r="2261" spans="1:15" s="1" customFormat="1" ht="11.45" customHeight="1" outlineLevel="4" x14ac:dyDescent="0.2">
      <c r="A2261" s="32" t="s">
        <v>20626</v>
      </c>
      <c r="B2261" s="74" t="s">
        <v>20627</v>
      </c>
      <c r="C2261" s="50"/>
      <c r="D2261" s="139">
        <f t="shared" si="35"/>
        <v>0</v>
      </c>
      <c r="E2261" s="140">
        <v>745.76</v>
      </c>
      <c r="F2261" s="140">
        <v>611.28</v>
      </c>
      <c r="G2261" s="34" t="s">
        <v>100</v>
      </c>
      <c r="H2261" s="34" t="s">
        <v>39</v>
      </c>
      <c r="I2261" s="35">
        <v>1</v>
      </c>
      <c r="J2261" s="35">
        <v>1</v>
      </c>
      <c r="K2261" s="35">
        <v>10</v>
      </c>
      <c r="L2261" s="60" t="str">
        <f>HYPERLINK("https://www.sds-group.ru/product/girlyanda-tayuschie-sosulki-svetodiodnaya-8sht-h-50sm-shag-50sm-230-v-s-transformatorom-mu-256-319-6/", "Инфо")</f>
        <v>Инфо</v>
      </c>
      <c r="M2261" s="37">
        <v>0.22500000000000001</v>
      </c>
      <c r="N2261" s="38">
        <v>1.6249999999999999E-3</v>
      </c>
      <c r="O2261" s="141">
        <v>4601004008915</v>
      </c>
    </row>
    <row r="2262" spans="1:15" ht="11.45" customHeight="1" outlineLevel="2" x14ac:dyDescent="0.2">
      <c r="A2262" s="76" t="s">
        <v>20628</v>
      </c>
      <c r="B2262" s="136"/>
      <c r="C2262" s="77"/>
      <c r="D2262" s="137"/>
      <c r="E2262" s="4"/>
      <c r="F2262" s="4"/>
      <c r="G2262" s="4"/>
      <c r="H2262" s="4"/>
      <c r="I2262" s="4"/>
      <c r="J2262" s="4"/>
      <c r="K2262" s="4"/>
      <c r="L2262" s="138"/>
      <c r="M2262" s="4"/>
      <c r="N2262" s="4"/>
      <c r="O2262" s="4"/>
    </row>
    <row r="2263" spans="1:15" ht="11.45" customHeight="1" outlineLevel="3" x14ac:dyDescent="0.2">
      <c r="A2263" s="76" t="s">
        <v>20629</v>
      </c>
      <c r="B2263" s="136"/>
      <c r="C2263" s="77"/>
      <c r="D2263" s="137"/>
      <c r="E2263" s="4"/>
      <c r="F2263" s="4"/>
      <c r="G2263" s="4"/>
      <c r="H2263" s="4"/>
      <c r="I2263" s="4"/>
      <c r="J2263" s="4"/>
      <c r="K2263" s="4"/>
      <c r="L2263" s="138"/>
      <c r="M2263" s="4"/>
      <c r="N2263" s="4"/>
      <c r="O2263" s="4"/>
    </row>
    <row r="2264" spans="1:15" s="1" customFormat="1" ht="11.45" customHeight="1" outlineLevel="4" x14ac:dyDescent="0.2">
      <c r="A2264" s="32" t="s">
        <v>20630</v>
      </c>
      <c r="B2264" s="74" t="s">
        <v>20631</v>
      </c>
      <c r="C2264" s="50"/>
      <c r="D2264" s="139">
        <f t="shared" si="35"/>
        <v>0</v>
      </c>
      <c r="E2264" s="140">
        <v>192.31</v>
      </c>
      <c r="F2264" s="140">
        <v>157.63</v>
      </c>
      <c r="G2264" s="34" t="s">
        <v>100</v>
      </c>
      <c r="H2264" s="34" t="s">
        <v>39</v>
      </c>
      <c r="I2264" s="35">
        <v>1</v>
      </c>
      <c r="J2264" s="35">
        <v>1</v>
      </c>
      <c r="K2264" s="35">
        <v>48</v>
      </c>
      <c r="L2264" s="60" t="str">
        <f>HYPERLINK("https://www.sds-group.ru/product/girlyanda-svetodiodnyy-dozhd-1-5h1m-svechenie-s-dinamikoy-prozrachnyy-provod-230-v-diody-bel-235-025/", "Инфо")</f>
        <v>Инфо</v>
      </c>
      <c r="M2264" s="37">
        <v>0.19700000000000001</v>
      </c>
      <c r="N2264" s="38">
        <v>1.042E-3</v>
      </c>
      <c r="O2264" s="141">
        <v>4601004015432</v>
      </c>
    </row>
    <row r="2265" spans="1:15" s="1" customFormat="1" ht="11.45" customHeight="1" outlineLevel="4" x14ac:dyDescent="0.2">
      <c r="A2265" s="32" t="s">
        <v>20634</v>
      </c>
      <c r="B2265" s="74" t="s">
        <v>20635</v>
      </c>
      <c r="C2265" s="50"/>
      <c r="D2265" s="139">
        <f t="shared" si="35"/>
        <v>0</v>
      </c>
      <c r="E2265" s="140">
        <v>192.31</v>
      </c>
      <c r="F2265" s="140">
        <v>157.63</v>
      </c>
      <c r="G2265" s="34" t="s">
        <v>100</v>
      </c>
      <c r="H2265" s="34" t="s">
        <v>39</v>
      </c>
      <c r="I2265" s="35">
        <v>1</v>
      </c>
      <c r="J2265" s="35">
        <v>1</v>
      </c>
      <c r="K2265" s="35">
        <v>48</v>
      </c>
      <c r="L2265" s="60" t="str">
        <f>HYPERLINK("https://www.sds-group.ru/product/girlyanda-svetodiodnyy-dozhd-1-5h1m-svechenie-s-dinamikoy-prozrachnyy-provod-230-v-diody-sin-235-023/", "Инфо")</f>
        <v>Инфо</v>
      </c>
      <c r="M2265" s="37">
        <v>0.19800000000000001</v>
      </c>
      <c r="N2265" s="38">
        <v>1.008E-3</v>
      </c>
      <c r="O2265" s="141">
        <v>4601004015449</v>
      </c>
    </row>
    <row r="2266" spans="1:15" s="1" customFormat="1" ht="11.45" customHeight="1" outlineLevel="4" x14ac:dyDescent="0.2">
      <c r="A2266" s="32" t="s">
        <v>20636</v>
      </c>
      <c r="B2266" s="74" t="s">
        <v>20637</v>
      </c>
      <c r="C2266" s="50"/>
      <c r="D2266" s="139">
        <f t="shared" si="35"/>
        <v>0</v>
      </c>
      <c r="E2266" s="140">
        <v>192.31</v>
      </c>
      <c r="F2266" s="140">
        <v>157.63</v>
      </c>
      <c r="G2266" s="34" t="s">
        <v>100</v>
      </c>
      <c r="H2266" s="34" t="s">
        <v>39</v>
      </c>
      <c r="I2266" s="35">
        <v>1</v>
      </c>
      <c r="J2266" s="35">
        <v>1</v>
      </c>
      <c r="K2266" s="35">
        <v>48</v>
      </c>
      <c r="L2266" s="60" t="str">
        <f>HYPERLINK("https://www.sds-group.ru/product/girlyanda-svetodiodnyy-dozhd-1-5h1m-svechenie-s-dinamikoy-prozrachnyy-provod-230-v-diody-tep-235-026/", "Инфо")</f>
        <v>Инфо</v>
      </c>
      <c r="M2266" s="37">
        <v>0.19600000000000001</v>
      </c>
      <c r="N2266" s="38">
        <v>1.0330000000000001E-3</v>
      </c>
      <c r="O2266" s="141">
        <v>4601004015456</v>
      </c>
    </row>
    <row r="2267" spans="1:15" ht="11.45" customHeight="1" outlineLevel="3" x14ac:dyDescent="0.2">
      <c r="A2267" s="76" t="s">
        <v>20638</v>
      </c>
      <c r="B2267" s="136"/>
      <c r="C2267" s="77"/>
      <c r="D2267" s="137"/>
      <c r="E2267" s="4"/>
      <c r="F2267" s="4"/>
      <c r="G2267" s="4"/>
      <c r="H2267" s="4"/>
      <c r="I2267" s="4"/>
      <c r="J2267" s="4"/>
      <c r="K2267" s="4"/>
      <c r="L2267" s="138"/>
      <c r="M2267" s="4"/>
      <c r="N2267" s="4"/>
      <c r="O2267" s="4"/>
    </row>
    <row r="2268" spans="1:15" s="1" customFormat="1" ht="11.45" customHeight="1" outlineLevel="4" x14ac:dyDescent="0.2">
      <c r="A2268" s="32" t="s">
        <v>20639</v>
      </c>
      <c r="B2268" s="74" t="s">
        <v>20640</v>
      </c>
      <c r="C2268" s="50"/>
      <c r="D2268" s="139">
        <f t="shared" si="35"/>
        <v>0</v>
      </c>
      <c r="E2268" s="140">
        <v>240.39</v>
      </c>
      <c r="F2268" s="140">
        <v>197.04</v>
      </c>
      <c r="G2268" s="34" t="s">
        <v>100</v>
      </c>
      <c r="H2268" s="34" t="s">
        <v>39</v>
      </c>
      <c r="I2268" s="35">
        <v>1</v>
      </c>
      <c r="J2268" s="35">
        <v>1</v>
      </c>
      <c r="K2268" s="35">
        <v>48</v>
      </c>
      <c r="L2268" s="60" t="str">
        <f>HYPERLINK("https://www.sds-group.ru/product/girlyanda-svetodiodnyy-dozhd-1-5x1-5m-svechenie-s-dinamikoy-prozrachnyy-provod-230-v-diody-m-235-039/", "Инфо")</f>
        <v>Инфо</v>
      </c>
      <c r="M2268" s="37">
        <v>0.25800000000000001</v>
      </c>
      <c r="N2268" s="38">
        <v>1.421E-3</v>
      </c>
      <c r="O2268" s="141">
        <v>4601004015425</v>
      </c>
    </row>
    <row r="2269" spans="1:15" s="1" customFormat="1" ht="11.45" customHeight="1" outlineLevel="4" x14ac:dyDescent="0.2">
      <c r="A2269" s="32" t="s">
        <v>20641</v>
      </c>
      <c r="B2269" s="74" t="s">
        <v>20642</v>
      </c>
      <c r="C2269" s="50"/>
      <c r="D2269" s="139">
        <f t="shared" si="35"/>
        <v>0</v>
      </c>
      <c r="E2269" s="140">
        <v>240.39</v>
      </c>
      <c r="F2269" s="140">
        <v>197.04</v>
      </c>
      <c r="G2269" s="34" t="s">
        <v>100</v>
      </c>
      <c r="H2269" s="34" t="s">
        <v>39</v>
      </c>
      <c r="I2269" s="35">
        <v>1</v>
      </c>
      <c r="J2269" s="35">
        <v>1</v>
      </c>
      <c r="K2269" s="35">
        <v>48</v>
      </c>
      <c r="L2269" s="60" t="str">
        <f>HYPERLINK("https://www.sds-group.ru/product/girlyanda-svetodiodnyy-dozhd-1-5x1-5-m-prozrachnyy-pvh-144-led-s-kontrollerom-teploe-beloe-s-235-036/", "Инфо")</f>
        <v>Инфо</v>
      </c>
      <c r="M2269" s="37">
        <v>0.25700000000000001</v>
      </c>
      <c r="N2269" s="38">
        <v>1.418E-3</v>
      </c>
      <c r="O2269" s="141">
        <v>4601004015418</v>
      </c>
    </row>
    <row r="2270" spans="1:15" s="1" customFormat="1" ht="11.45" customHeight="1" outlineLevel="4" x14ac:dyDescent="0.2">
      <c r="A2270" s="32" t="s">
        <v>20645</v>
      </c>
      <c r="B2270" s="74" t="s">
        <v>20646</v>
      </c>
      <c r="C2270" s="50"/>
      <c r="D2270" s="139">
        <f t="shared" si="35"/>
        <v>0</v>
      </c>
      <c r="E2270" s="140">
        <v>240.39</v>
      </c>
      <c r="F2270" s="140">
        <v>197.04</v>
      </c>
      <c r="G2270" s="34" t="s">
        <v>100</v>
      </c>
      <c r="H2270" s="34" t="s">
        <v>39</v>
      </c>
      <c r="I2270" s="35">
        <v>1</v>
      </c>
      <c r="J2270" s="35">
        <v>1</v>
      </c>
      <c r="K2270" s="35">
        <v>48</v>
      </c>
      <c r="L2270" s="60" t="str">
        <f>HYPERLINK("https://www.sds-group.ru/product/girlyanda-svetodiodnyy-dozhd-1-5h1-5m-svechenie-s-dinamikoy-prozrachnyy-provod-230-v-diody-s-235-033/", "Инфо")</f>
        <v>Инфо</v>
      </c>
      <c r="M2270" s="37">
        <v>0.26900000000000002</v>
      </c>
      <c r="N2270" s="38">
        <v>1.4710000000000001E-3</v>
      </c>
      <c r="O2270" s="141">
        <v>4601004015401</v>
      </c>
    </row>
    <row r="2271" spans="1:15" s="1" customFormat="1" ht="11.45" customHeight="1" outlineLevel="4" x14ac:dyDescent="0.2">
      <c r="A2271" s="32" t="s">
        <v>20647</v>
      </c>
      <c r="B2271" s="74" t="s">
        <v>20648</v>
      </c>
      <c r="C2271" s="50"/>
      <c r="D2271" s="139">
        <f t="shared" si="35"/>
        <v>0</v>
      </c>
      <c r="E2271" s="140">
        <v>240.39</v>
      </c>
      <c r="F2271" s="140">
        <v>197.04</v>
      </c>
      <c r="G2271" s="34" t="s">
        <v>100</v>
      </c>
      <c r="H2271" s="34" t="s">
        <v>39</v>
      </c>
      <c r="I2271" s="35">
        <v>1</v>
      </c>
      <c r="J2271" s="35">
        <v>1</v>
      </c>
      <c r="K2271" s="35">
        <v>48</v>
      </c>
      <c r="L2271" s="60" t="str">
        <f>HYPERLINK("https://www.sds-group.ru/product/girlyanda-svetodiodnyy-dozhd-1-5h1-5-m-svechenie-s-dinamikoy-prozrachnyy-provod-230-v-diody--235-015/", "Инфо")</f>
        <v>Инфо</v>
      </c>
      <c r="M2271" s="37">
        <v>0.254</v>
      </c>
      <c r="N2271" s="38">
        <v>1.4580000000000001E-3</v>
      </c>
      <c r="O2271" s="141">
        <v>4601004227323</v>
      </c>
    </row>
    <row r="2272" spans="1:15" s="1" customFormat="1" ht="11.45" customHeight="1" outlineLevel="4" x14ac:dyDescent="0.2">
      <c r="A2272" s="32" t="s">
        <v>20649</v>
      </c>
      <c r="B2272" s="74" t="s">
        <v>20650</v>
      </c>
      <c r="C2272" s="50"/>
      <c r="D2272" s="139">
        <f t="shared" si="35"/>
        <v>0</v>
      </c>
      <c r="E2272" s="140">
        <v>240.39</v>
      </c>
      <c r="F2272" s="140">
        <v>197.04</v>
      </c>
      <c r="G2272" s="34" t="s">
        <v>100</v>
      </c>
      <c r="H2272" s="34" t="s">
        <v>39</v>
      </c>
      <c r="I2272" s="35">
        <v>1</v>
      </c>
      <c r="J2272" s="35">
        <v>1</v>
      </c>
      <c r="K2272" s="35">
        <v>48</v>
      </c>
      <c r="L2272" s="60" t="str">
        <f>HYPERLINK("https://www.sds-group.ru/product/girlyanda-svetodiodnyy-dozhd-1-5h1-5-m-svechenie-s-dinamikoy-prozrachnyy-provod-230-v-diody--235-019/", "Инфо")</f>
        <v>Инфо</v>
      </c>
      <c r="M2272" s="37">
        <v>0.252</v>
      </c>
      <c r="N2272" s="38">
        <v>1.464E-3</v>
      </c>
      <c r="O2272" s="141">
        <v>4601004227347</v>
      </c>
    </row>
    <row r="2273" spans="1:15" s="1" customFormat="1" ht="11.45" customHeight="1" outlineLevel="4" x14ac:dyDescent="0.2">
      <c r="A2273" s="32" t="s">
        <v>20651</v>
      </c>
      <c r="B2273" s="74" t="s">
        <v>20652</v>
      </c>
      <c r="C2273" s="50"/>
      <c r="D2273" s="139">
        <f t="shared" si="35"/>
        <v>0</v>
      </c>
      <c r="E2273" s="140">
        <v>240.39</v>
      </c>
      <c r="F2273" s="140">
        <v>197.04</v>
      </c>
      <c r="G2273" s="34" t="s">
        <v>100</v>
      </c>
      <c r="H2273" s="34" t="s">
        <v>39</v>
      </c>
      <c r="I2273" s="35">
        <v>1</v>
      </c>
      <c r="J2273" s="35">
        <v>1</v>
      </c>
      <c r="K2273" s="35">
        <v>48</v>
      </c>
      <c r="L2273" s="60" t="str">
        <f>HYPERLINK("https://www.sds-group.ru/product/girlyanda-svetodiodnyy-dozhd-1-5h1-5-m-svechenie-s-dinamikoy-prozrachnyy-provod-230-v-diody--235-016/", "Инфо")</f>
        <v>Инфо</v>
      </c>
      <c r="M2273" s="37">
        <v>0.26100000000000001</v>
      </c>
      <c r="N2273" s="38">
        <v>1.323E-3</v>
      </c>
      <c r="O2273" s="141">
        <v>4601004227330</v>
      </c>
    </row>
    <row r="2274" spans="1:15" s="1" customFormat="1" ht="11.45" customHeight="1" outlineLevel="4" x14ac:dyDescent="0.2">
      <c r="A2274" s="32" t="s">
        <v>20655</v>
      </c>
      <c r="B2274" s="74" t="s">
        <v>20656</v>
      </c>
      <c r="C2274" s="50"/>
      <c r="D2274" s="139">
        <f t="shared" si="35"/>
        <v>0</v>
      </c>
      <c r="E2274" s="140">
        <v>487.35</v>
      </c>
      <c r="F2274" s="140">
        <v>399.47</v>
      </c>
      <c r="G2274" s="34" t="s">
        <v>100</v>
      </c>
      <c r="H2274" s="34" t="s">
        <v>39</v>
      </c>
      <c r="I2274" s="35">
        <v>1</v>
      </c>
      <c r="J2274" s="35">
        <v>1</v>
      </c>
      <c r="K2274" s="35">
        <v>24</v>
      </c>
      <c r="L2274" s="60" t="str">
        <f>HYPERLINK("https://www.sds-group.ru/product/girlyanda-svetodiodnyy-dozhd-1-5h1-5-m-s-nasadkami-shariki-svechenie-s-dinamikoy-prozrachnyy-235-049/", "Инфо")</f>
        <v>Инфо</v>
      </c>
      <c r="M2274" s="37">
        <v>0.68200000000000005</v>
      </c>
      <c r="N2274" s="38">
        <v>2.722E-3</v>
      </c>
      <c r="O2274" s="141">
        <v>4601004131576</v>
      </c>
    </row>
    <row r="2275" spans="1:15" ht="11.45" customHeight="1" outlineLevel="3" x14ac:dyDescent="0.2">
      <c r="A2275" s="76" t="s">
        <v>20663</v>
      </c>
      <c r="B2275" s="136"/>
      <c r="C2275" s="77"/>
      <c r="D2275" s="137"/>
      <c r="E2275" s="4"/>
      <c r="F2275" s="4"/>
      <c r="G2275" s="4"/>
      <c r="H2275" s="4"/>
      <c r="I2275" s="4"/>
      <c r="J2275" s="4"/>
      <c r="K2275" s="4"/>
      <c r="L2275" s="138"/>
      <c r="M2275" s="4"/>
      <c r="N2275" s="4"/>
      <c r="O2275" s="4"/>
    </row>
    <row r="2276" spans="1:15" s="1" customFormat="1" ht="11.45" customHeight="1" outlineLevel="4" x14ac:dyDescent="0.2">
      <c r="A2276" s="32" t="s">
        <v>20664</v>
      </c>
      <c r="B2276" s="74" t="s">
        <v>20665</v>
      </c>
      <c r="C2276" s="50"/>
      <c r="D2276" s="139">
        <f t="shared" si="35"/>
        <v>0</v>
      </c>
      <c r="E2276" s="140">
        <v>487.35</v>
      </c>
      <c r="F2276" s="140">
        <v>399.47</v>
      </c>
      <c r="G2276" s="34" t="s">
        <v>100</v>
      </c>
      <c r="H2276" s="34" t="s">
        <v>39</v>
      </c>
      <c r="I2276" s="35">
        <v>1</v>
      </c>
      <c r="J2276" s="35">
        <v>1</v>
      </c>
      <c r="K2276" s="35">
        <v>24</v>
      </c>
      <c r="L2276" s="60" t="str">
        <f>HYPERLINK("https://www.sds-group.ru/product/girlyanda-svetodiodnyy-dozhd-2-5x2m-svechenie-s-dinamikoy-prozrachnyy-provod-230-v-diody-bel-235-055/", "Инфо")</f>
        <v>Инфо</v>
      </c>
      <c r="M2276" s="37">
        <v>0.41099999999999998</v>
      </c>
      <c r="N2276" s="38">
        <v>1.7390000000000001E-3</v>
      </c>
      <c r="O2276" s="141">
        <v>4601004091849</v>
      </c>
    </row>
    <row r="2277" spans="1:15" s="1" customFormat="1" ht="11.45" customHeight="1" outlineLevel="4" x14ac:dyDescent="0.2">
      <c r="A2277" s="32" t="s">
        <v>20666</v>
      </c>
      <c r="B2277" s="74" t="s">
        <v>20667</v>
      </c>
      <c r="C2277" s="50"/>
      <c r="D2277" s="139">
        <f t="shared" si="35"/>
        <v>0</v>
      </c>
      <c r="E2277" s="140">
        <v>487.35</v>
      </c>
      <c r="F2277" s="140">
        <v>399.47</v>
      </c>
      <c r="G2277" s="34" t="s">
        <v>100</v>
      </c>
      <c r="H2277" s="34" t="s">
        <v>39</v>
      </c>
      <c r="I2277" s="35">
        <v>1</v>
      </c>
      <c r="J2277" s="35">
        <v>1</v>
      </c>
      <c r="K2277" s="35">
        <v>24</v>
      </c>
      <c r="L2277" s="60" t="str">
        <f>HYPERLINK("https://www.sds-group.ru/product/girlyanda-svetodiodnyy-dozhd-2-5x2-m-svechenie-s-dinamikoy-prozrachnyy-provod-230-v-diody-mu-235-059/", "Инфо")</f>
        <v>Инфо</v>
      </c>
      <c r="M2277" s="37">
        <v>0.44400000000000001</v>
      </c>
      <c r="N2277" s="38">
        <v>2.1020000000000001E-3</v>
      </c>
      <c r="O2277" s="141">
        <v>4601004091863</v>
      </c>
    </row>
    <row r="2278" spans="1:15" s="1" customFormat="1" ht="11.45" customHeight="1" outlineLevel="4" x14ac:dyDescent="0.2">
      <c r="A2278" s="32" t="s">
        <v>20670</v>
      </c>
      <c r="B2278" s="74" t="s">
        <v>20671</v>
      </c>
      <c r="C2278" s="50"/>
      <c r="D2278" s="139">
        <f t="shared" si="35"/>
        <v>0</v>
      </c>
      <c r="E2278" s="140">
        <v>487.35</v>
      </c>
      <c r="F2278" s="140">
        <v>399.47</v>
      </c>
      <c r="G2278" s="34" t="s">
        <v>100</v>
      </c>
      <c r="H2278" s="34" t="s">
        <v>39</v>
      </c>
      <c r="I2278" s="35">
        <v>1</v>
      </c>
      <c r="J2278" s="35">
        <v>1</v>
      </c>
      <c r="K2278" s="35">
        <v>24</v>
      </c>
      <c r="L2278" s="60" t="str">
        <f>HYPERLINK("https://www.sds-group.ru/product/girlyanda-svetodiodnyy-dozhd-2-5x2-m-svechenie-s-dinamikoy-prozrachnyy-provod-230-v-diody-te-235-056/", "Инфо")</f>
        <v>Инфо</v>
      </c>
      <c r="M2278" s="37">
        <v>0.45</v>
      </c>
      <c r="N2278" s="38">
        <v>2.1299999999999999E-3</v>
      </c>
      <c r="O2278" s="141">
        <v>4601004091856</v>
      </c>
    </row>
    <row r="2279" spans="1:15" ht="11.45" customHeight="1" outlineLevel="3" x14ac:dyDescent="0.2">
      <c r="A2279" s="76" t="s">
        <v>20679</v>
      </c>
      <c r="B2279" s="136"/>
      <c r="C2279" s="77"/>
      <c r="D2279" s="137"/>
      <c r="E2279" s="4"/>
      <c r="F2279" s="4"/>
      <c r="G2279" s="4"/>
      <c r="H2279" s="4"/>
      <c r="I2279" s="4"/>
      <c r="J2279" s="4"/>
      <c r="K2279" s="4"/>
      <c r="L2279" s="138"/>
      <c r="M2279" s="4"/>
      <c r="N2279" s="4"/>
      <c r="O2279" s="4"/>
    </row>
    <row r="2280" spans="1:15" s="1" customFormat="1" ht="11.45" customHeight="1" outlineLevel="4" x14ac:dyDescent="0.2">
      <c r="A2280" s="32" t="s">
        <v>20680</v>
      </c>
      <c r="B2280" s="74" t="s">
        <v>20681</v>
      </c>
      <c r="C2280" s="50"/>
      <c r="D2280" s="139">
        <f t="shared" si="35"/>
        <v>0</v>
      </c>
      <c r="E2280" s="140">
        <v>750.26</v>
      </c>
      <c r="F2280" s="140">
        <v>614.97</v>
      </c>
      <c r="G2280" s="34" t="s">
        <v>100</v>
      </c>
      <c r="H2280" s="34" t="s">
        <v>39</v>
      </c>
      <c r="I2280" s="35">
        <v>1</v>
      </c>
      <c r="J2280" s="35">
        <v>1</v>
      </c>
      <c r="K2280" s="35">
        <v>48</v>
      </c>
      <c r="L2280" s="60" t="str">
        <f>HYPERLINK("https://www.sds-group.ru/product/girlyanda-svetodiodnyy-dozhd-3h2-m-effekt-vodopada-prozrachnyy-provod-230-v-diody-teplye-bel-235-006/", "Инфо")</f>
        <v>Инфо</v>
      </c>
      <c r="M2280" s="37">
        <v>0.52900000000000003</v>
      </c>
      <c r="N2280" s="38">
        <v>2.6849999999999999E-3</v>
      </c>
      <c r="O2280" s="141">
        <v>4601004254848</v>
      </c>
    </row>
    <row r="2281" spans="1:15" ht="11.45" customHeight="1" outlineLevel="3" x14ac:dyDescent="0.2">
      <c r="A2281" s="76" t="s">
        <v>20688</v>
      </c>
      <c r="B2281" s="136"/>
      <c r="C2281" s="77"/>
      <c r="D2281" s="137"/>
      <c r="E2281" s="4"/>
      <c r="F2281" s="4"/>
      <c r="G2281" s="4"/>
      <c r="H2281" s="4"/>
      <c r="I2281" s="4"/>
      <c r="J2281" s="4"/>
      <c r="K2281" s="4"/>
      <c r="L2281" s="138"/>
      <c r="M2281" s="4"/>
      <c r="N2281" s="4"/>
      <c r="O2281" s="4"/>
    </row>
    <row r="2282" spans="1:15" s="1" customFormat="1" ht="11.45" customHeight="1" outlineLevel="4" x14ac:dyDescent="0.2">
      <c r="A2282" s="32" t="s">
        <v>20713</v>
      </c>
      <c r="B2282" s="74" t="s">
        <v>20714</v>
      </c>
      <c r="C2282" s="50"/>
      <c r="D2282" s="139">
        <f t="shared" si="35"/>
        <v>0</v>
      </c>
      <c r="E2282" s="140">
        <v>584.91999999999996</v>
      </c>
      <c r="F2282" s="140">
        <v>479.44</v>
      </c>
      <c r="G2282" s="34" t="s">
        <v>100</v>
      </c>
      <c r="H2282" s="34" t="s">
        <v>39</v>
      </c>
      <c r="I2282" s="35">
        <v>1</v>
      </c>
      <c r="J2282" s="35">
        <v>1</v>
      </c>
      <c r="K2282" s="35">
        <v>6</v>
      </c>
      <c r="L2282" s="60" t="str">
        <f>HYPERLINK("https://www.sds-group.ru/product/girlyanda-svetodiodnyy-zanaves-iz-rosy-s-figurami-snezhinok-belyy-ip20-usb-pult-upravleniya--315-845/", "Инфо")</f>
        <v>Инфо</v>
      </c>
      <c r="M2282" s="37">
        <v>0.42299999999999999</v>
      </c>
      <c r="N2282" s="38">
        <v>2.294E-3</v>
      </c>
      <c r="O2282" s="141">
        <v>4601004305229</v>
      </c>
    </row>
    <row r="2283" spans="1:15" ht="11.45" customHeight="1" outlineLevel="2" x14ac:dyDescent="0.2">
      <c r="A2283" s="76" t="s">
        <v>20719</v>
      </c>
      <c r="B2283" s="136"/>
      <c r="C2283" s="77"/>
      <c r="D2283" s="137"/>
      <c r="E2283" s="4"/>
      <c r="F2283" s="4"/>
      <c r="G2283" s="4"/>
      <c r="H2283" s="4"/>
      <c r="I2283" s="4"/>
      <c r="J2283" s="4"/>
      <c r="K2283" s="4"/>
      <c r="L2283" s="138"/>
      <c r="M2283" s="4"/>
      <c r="N2283" s="4"/>
      <c r="O2283" s="4"/>
    </row>
    <row r="2284" spans="1:15" s="1" customFormat="1" ht="11.45" customHeight="1" outlineLevel="3" x14ac:dyDescent="0.2">
      <c r="A2284" s="32" t="s">
        <v>20720</v>
      </c>
      <c r="B2284" s="74" t="s">
        <v>20721</v>
      </c>
      <c r="C2284" s="50"/>
      <c r="D2284" s="139">
        <f t="shared" si="35"/>
        <v>0</v>
      </c>
      <c r="E2284" s="140">
        <v>240.39</v>
      </c>
      <c r="F2284" s="140">
        <v>197.04</v>
      </c>
      <c r="G2284" s="34" t="s">
        <v>100</v>
      </c>
      <c r="H2284" s="34" t="s">
        <v>39</v>
      </c>
      <c r="I2284" s="35">
        <v>1</v>
      </c>
      <c r="J2284" s="35">
        <v>1</v>
      </c>
      <c r="K2284" s="35">
        <v>96</v>
      </c>
      <c r="L2284" s="60" t="str">
        <f>HYPERLINK("https://www.sds-group.ru/product/girlyanda-bahroma-aysikl-1-8h0-5m-48-led-rgb-prozrachnyy-pvh-ip20-bystraya-smena-tsveta-230v-255-009/", "Инфо")</f>
        <v>Инфо</v>
      </c>
      <c r="M2284" s="37">
        <v>0.128</v>
      </c>
      <c r="N2284" s="38">
        <v>6.6600000000000003E-4</v>
      </c>
      <c r="O2284" s="141">
        <v>4601004091887</v>
      </c>
    </row>
    <row r="2285" spans="1:15" s="1" customFormat="1" ht="11.45" customHeight="1" outlineLevel="3" x14ac:dyDescent="0.2">
      <c r="A2285" s="32" t="s">
        <v>20728</v>
      </c>
      <c r="B2285" s="74" t="s">
        <v>20729</v>
      </c>
      <c r="C2285" s="50"/>
      <c r="D2285" s="139">
        <f t="shared" si="35"/>
        <v>0</v>
      </c>
      <c r="E2285" s="140">
        <v>192.31</v>
      </c>
      <c r="F2285" s="140">
        <v>157.63</v>
      </c>
      <c r="G2285" s="34" t="s">
        <v>100</v>
      </c>
      <c r="H2285" s="34" t="s">
        <v>39</v>
      </c>
      <c r="I2285" s="35">
        <v>1</v>
      </c>
      <c r="J2285" s="35">
        <v>1</v>
      </c>
      <c r="K2285" s="35">
        <v>96</v>
      </c>
      <c r="L2285" s="60" t="str">
        <f>HYPERLINK("https://www.sds-group.ru/product/girlyanda-bahroma-aysikl-1-8h0-5m-48-led-teplyy-belyy-prozrachnyy-pvh-ip20-svechenie-s-dinam-255-016/", "Инфо")</f>
        <v>Инфо</v>
      </c>
      <c r="M2285" s="37">
        <v>0.121</v>
      </c>
      <c r="N2285" s="38">
        <v>6.7599999999999995E-4</v>
      </c>
      <c r="O2285" s="141">
        <v>4601004008601</v>
      </c>
    </row>
    <row r="2286" spans="1:15" ht="11.45" customHeight="1" outlineLevel="2" x14ac:dyDescent="0.2">
      <c r="A2286" s="76" t="s">
        <v>20734</v>
      </c>
      <c r="B2286" s="136"/>
      <c r="C2286" s="77"/>
      <c r="D2286" s="137"/>
      <c r="E2286" s="4"/>
      <c r="F2286" s="4"/>
      <c r="G2286" s="4"/>
      <c r="H2286" s="4"/>
      <c r="I2286" s="4"/>
      <c r="J2286" s="4"/>
      <c r="K2286" s="4"/>
      <c r="L2286" s="138"/>
      <c r="M2286" s="4"/>
      <c r="N2286" s="4"/>
      <c r="O2286" s="4"/>
    </row>
    <row r="2287" spans="1:15" s="1" customFormat="1" ht="11.45" customHeight="1" outlineLevel="3" x14ac:dyDescent="0.2">
      <c r="A2287" s="32" t="s">
        <v>20735</v>
      </c>
      <c r="B2287" s="74" t="s">
        <v>20736</v>
      </c>
      <c r="C2287" s="50"/>
      <c r="D2287" s="139">
        <f t="shared" si="35"/>
        <v>0</v>
      </c>
      <c r="E2287" s="140">
        <v>438.57</v>
      </c>
      <c r="F2287" s="140">
        <v>359.48</v>
      </c>
      <c r="G2287" s="34" t="s">
        <v>100</v>
      </c>
      <c r="H2287" s="34" t="s">
        <v>39</v>
      </c>
      <c r="I2287" s="35">
        <v>1</v>
      </c>
      <c r="J2287" s="35">
        <v>1</v>
      </c>
      <c r="K2287" s="35">
        <v>48</v>
      </c>
      <c r="L2287" s="60" t="str">
        <f>HYPERLINK("https://www.sds-group.ru/product/girlyanda-set-1-5h1-5m-prozrachnyy-pvh-96-led-multikolor-215-109/", "Инфо")</f>
        <v>Инфо</v>
      </c>
      <c r="M2287" s="37">
        <v>0.23</v>
      </c>
      <c r="N2287" s="38">
        <v>1.106E-3</v>
      </c>
      <c r="O2287" s="141">
        <v>4601004233256</v>
      </c>
    </row>
    <row r="2288" spans="1:15" s="1" customFormat="1" ht="11.45" customHeight="1" outlineLevel="3" x14ac:dyDescent="0.2">
      <c r="A2288" s="32" t="s">
        <v>20737</v>
      </c>
      <c r="B2288" s="74" t="s">
        <v>20738</v>
      </c>
      <c r="C2288" s="50"/>
      <c r="D2288" s="139">
        <f t="shared" si="35"/>
        <v>0</v>
      </c>
      <c r="E2288" s="140">
        <v>438.57</v>
      </c>
      <c r="F2288" s="140">
        <v>359.48</v>
      </c>
      <c r="G2288" s="34" t="s">
        <v>100</v>
      </c>
      <c r="H2288" s="34" t="s">
        <v>39</v>
      </c>
      <c r="I2288" s="35">
        <v>1</v>
      </c>
      <c r="J2288" s="35">
        <v>1</v>
      </c>
      <c r="K2288" s="35">
        <v>48</v>
      </c>
      <c r="L2288" s="60" t="str">
        <f>HYPERLINK("https://www.sds-group.ru/product/girlyanda-set-1-5h1-5m-prozrachnyy-pvh-96-led-teplyy-belyy-215-106/", "Инфо")</f>
        <v>Инфо</v>
      </c>
      <c r="M2288" s="37">
        <v>0.23100000000000001</v>
      </c>
      <c r="N2288" s="38">
        <v>1.0939999999999999E-3</v>
      </c>
      <c r="O2288" s="141">
        <v>4601004233249</v>
      </c>
    </row>
    <row r="2289" spans="1:15" ht="11.45" customHeight="1" outlineLevel="2" x14ac:dyDescent="0.2">
      <c r="A2289" s="76" t="s">
        <v>20757</v>
      </c>
      <c r="B2289" s="136"/>
      <c r="C2289" s="77"/>
      <c r="D2289" s="137"/>
      <c r="E2289" s="4"/>
      <c r="F2289" s="4"/>
      <c r="G2289" s="4"/>
      <c r="H2289" s="4"/>
      <c r="I2289" s="4"/>
      <c r="J2289" s="4"/>
      <c r="K2289" s="4"/>
      <c r="L2289" s="138"/>
      <c r="M2289" s="4"/>
      <c r="N2289" s="4"/>
      <c r="O2289" s="4"/>
    </row>
    <row r="2290" spans="1:15" ht="11.45" customHeight="1" outlineLevel="3" x14ac:dyDescent="0.2">
      <c r="A2290" s="76" t="s">
        <v>20758</v>
      </c>
      <c r="B2290" s="136"/>
      <c r="C2290" s="77"/>
      <c r="D2290" s="137"/>
      <c r="E2290" s="4"/>
      <c r="F2290" s="4"/>
      <c r="G2290" s="4"/>
      <c r="H2290" s="4"/>
      <c r="I2290" s="4"/>
      <c r="J2290" s="4"/>
      <c r="K2290" s="4"/>
      <c r="L2290" s="138"/>
      <c r="M2290" s="4"/>
      <c r="N2290" s="4"/>
      <c r="O2290" s="4"/>
    </row>
    <row r="2291" spans="1:15" s="1" customFormat="1" ht="11.45" customHeight="1" outlineLevel="4" x14ac:dyDescent="0.2">
      <c r="A2291" s="32" t="s">
        <v>20761</v>
      </c>
      <c r="B2291" s="74" t="s">
        <v>20762</v>
      </c>
      <c r="C2291" s="50"/>
      <c r="D2291" s="139">
        <f t="shared" si="35"/>
        <v>0</v>
      </c>
      <c r="E2291" s="140">
        <v>122.4</v>
      </c>
      <c r="F2291" s="140">
        <v>100.33</v>
      </c>
      <c r="G2291" s="34" t="s">
        <v>100</v>
      </c>
      <c r="H2291" s="34" t="s">
        <v>39</v>
      </c>
      <c r="I2291" s="35">
        <v>1</v>
      </c>
      <c r="J2291" s="35">
        <v>1</v>
      </c>
      <c r="K2291" s="35">
        <v>100</v>
      </c>
      <c r="L2291" s="60" t="str">
        <f>HYPERLINK("https://www.sds-group.ru/product/girlyanda-tvinkl-layt-4-m-prozrachnyy-pvh-25-led-tsvet-teplyy-belyy-303-166/", "Инфо")</f>
        <v>Инфо</v>
      </c>
      <c r="M2291" s="37">
        <v>0.11600000000000001</v>
      </c>
      <c r="N2291" s="38">
        <v>6.2500000000000001E-4</v>
      </c>
      <c r="O2291" s="141">
        <v>4601004131583</v>
      </c>
    </row>
    <row r="2292" spans="1:15" ht="11.45" customHeight="1" outlineLevel="3" x14ac:dyDescent="0.2">
      <c r="A2292" s="76" t="s">
        <v>20773</v>
      </c>
      <c r="B2292" s="136"/>
      <c r="C2292" s="77"/>
      <c r="D2292" s="137"/>
      <c r="E2292" s="4"/>
      <c r="F2292" s="4"/>
      <c r="G2292" s="4"/>
      <c r="H2292" s="4"/>
      <c r="I2292" s="4"/>
      <c r="J2292" s="4"/>
      <c r="K2292" s="4"/>
      <c r="L2292" s="138"/>
      <c r="M2292" s="4"/>
      <c r="N2292" s="4"/>
      <c r="O2292" s="4"/>
    </row>
    <row r="2293" spans="1:15" s="1" customFormat="1" ht="11.45" customHeight="1" outlineLevel="4" x14ac:dyDescent="0.2">
      <c r="A2293" s="32" t="s">
        <v>20778</v>
      </c>
      <c r="B2293" s="74" t="s">
        <v>20779</v>
      </c>
      <c r="C2293" s="50"/>
      <c r="D2293" s="139">
        <f t="shared" si="35"/>
        <v>0</v>
      </c>
      <c r="E2293" s="140">
        <v>142.91</v>
      </c>
      <c r="F2293" s="140">
        <v>117.14</v>
      </c>
      <c r="G2293" s="34" t="s">
        <v>100</v>
      </c>
      <c r="H2293" s="34" t="s">
        <v>39</v>
      </c>
      <c r="I2293" s="35">
        <v>1</v>
      </c>
      <c r="J2293" s="35">
        <v>1</v>
      </c>
      <c r="K2293" s="35">
        <v>100</v>
      </c>
      <c r="L2293" s="60" t="str">
        <f>HYPERLINK("https://www.sds-group.ru/product/girlyanda-tvinkl-layt-6-m-prozrachnyy-pvh-40-led-tsvet-teplyy-belyy-303-176/", "Инфо")</f>
        <v>Инфо</v>
      </c>
      <c r="M2293" s="37">
        <v>0.13700000000000001</v>
      </c>
      <c r="N2293" s="38">
        <v>4.8500000000000003E-4</v>
      </c>
      <c r="O2293" s="141">
        <v>4601004131613</v>
      </c>
    </row>
    <row r="2294" spans="1:15" ht="11.45" customHeight="1" outlineLevel="3" x14ac:dyDescent="0.2">
      <c r="A2294" s="76" t="s">
        <v>20788</v>
      </c>
      <c r="B2294" s="136"/>
      <c r="C2294" s="77"/>
      <c r="D2294" s="137"/>
      <c r="E2294" s="4"/>
      <c r="F2294" s="4"/>
      <c r="G2294" s="4"/>
      <c r="H2294" s="4"/>
      <c r="I2294" s="4"/>
      <c r="J2294" s="4"/>
      <c r="K2294" s="4"/>
      <c r="L2294" s="138"/>
      <c r="M2294" s="4"/>
      <c r="N2294" s="4"/>
      <c r="O2294" s="4"/>
    </row>
    <row r="2295" spans="1:15" s="1" customFormat="1" ht="11.45" customHeight="1" outlineLevel="4" x14ac:dyDescent="0.2">
      <c r="A2295" s="32" t="s">
        <v>20789</v>
      </c>
      <c r="B2295" s="74" t="s">
        <v>20790</v>
      </c>
      <c r="C2295" s="50"/>
      <c r="D2295" s="139">
        <f t="shared" si="35"/>
        <v>0</v>
      </c>
      <c r="E2295" s="140">
        <v>240.39</v>
      </c>
      <c r="F2295" s="140">
        <v>197.04</v>
      </c>
      <c r="G2295" s="34" t="s">
        <v>100</v>
      </c>
      <c r="H2295" s="34" t="s">
        <v>39</v>
      </c>
      <c r="I2295" s="35">
        <v>1</v>
      </c>
      <c r="J2295" s="35">
        <v>1</v>
      </c>
      <c r="K2295" s="35">
        <v>60</v>
      </c>
      <c r="L2295" s="60" t="str">
        <f>HYPERLINK("https://www.sds-group.ru/product/girlyanda-svetodiodnaya-universalnaya-100-led-belyy-10-metrov-prozrachnyy-pvh-s-kontrollerom-304-025/", "Инфо")</f>
        <v>Инфо</v>
      </c>
      <c r="M2295" s="37">
        <v>0.14899999999999999</v>
      </c>
      <c r="N2295" s="38">
        <v>7.4799999999999997E-4</v>
      </c>
      <c r="O2295" s="141">
        <v>4601004258082</v>
      </c>
    </row>
    <row r="2296" spans="1:15" s="1" customFormat="1" ht="11.45" customHeight="1" outlineLevel="4" x14ac:dyDescent="0.2">
      <c r="A2296" s="32" t="s">
        <v>20791</v>
      </c>
      <c r="B2296" s="74" t="s">
        <v>20792</v>
      </c>
      <c r="C2296" s="50"/>
      <c r="D2296" s="139">
        <f t="shared" si="35"/>
        <v>0</v>
      </c>
      <c r="E2296" s="140">
        <v>240.39</v>
      </c>
      <c r="F2296" s="140">
        <v>197.04</v>
      </c>
      <c r="G2296" s="34" t="s">
        <v>100</v>
      </c>
      <c r="H2296" s="34" t="s">
        <v>39</v>
      </c>
      <c r="I2296" s="35">
        <v>1</v>
      </c>
      <c r="J2296" s="35">
        <v>1</v>
      </c>
      <c r="K2296" s="35">
        <v>60</v>
      </c>
      <c r="L2296" s="60" t="str">
        <f>HYPERLINK("https://www.sds-group.ru/product/girlyanda-svetodiodnaya-universalnaya-100-led-multikolor-10-metrov-prozrachnyy-pvh-s-kontrol-304-029/", "Инфо")</f>
        <v>Инфо</v>
      </c>
      <c r="M2296" s="37">
        <v>0.15</v>
      </c>
      <c r="N2296" s="38">
        <v>7.36E-4</v>
      </c>
      <c r="O2296" s="141">
        <v>4601004257962</v>
      </c>
    </row>
    <row r="2297" spans="1:15" s="1" customFormat="1" ht="11.45" customHeight="1" outlineLevel="4" x14ac:dyDescent="0.2">
      <c r="A2297" s="32" t="s">
        <v>20799</v>
      </c>
      <c r="B2297" s="74" t="s">
        <v>20800</v>
      </c>
      <c r="C2297" s="50"/>
      <c r="D2297" s="139">
        <f t="shared" si="35"/>
        <v>0</v>
      </c>
      <c r="E2297" s="140">
        <v>204.33</v>
      </c>
      <c r="F2297" s="140">
        <v>167.48</v>
      </c>
      <c r="G2297" s="34" t="s">
        <v>100</v>
      </c>
      <c r="H2297" s="34" t="s">
        <v>39</v>
      </c>
      <c r="I2297" s="35">
        <v>1</v>
      </c>
      <c r="J2297" s="35">
        <v>1</v>
      </c>
      <c r="K2297" s="35">
        <v>60</v>
      </c>
      <c r="L2297" s="60" t="str">
        <f>HYPERLINK("https://www.sds-group.ru/product/girlyanda-tvinkl-layt-10-m-prozrachnyy-pvh-80-led-tsvet-multikolor-303-189/", "Инфо")</f>
        <v>Инфо</v>
      </c>
      <c r="M2297" s="37">
        <v>0.189</v>
      </c>
      <c r="N2297" s="38">
        <v>7.94E-4</v>
      </c>
      <c r="O2297" s="141">
        <v>4601004131644</v>
      </c>
    </row>
    <row r="2298" spans="1:15" s="1" customFormat="1" ht="11.45" customHeight="1" outlineLevel="4" x14ac:dyDescent="0.2">
      <c r="A2298" s="32" t="s">
        <v>20801</v>
      </c>
      <c r="B2298" s="74" t="s">
        <v>20802</v>
      </c>
      <c r="C2298" s="50"/>
      <c r="D2298" s="139">
        <f t="shared" si="35"/>
        <v>0</v>
      </c>
      <c r="E2298" s="140">
        <v>204.33</v>
      </c>
      <c r="F2298" s="140">
        <v>167.48</v>
      </c>
      <c r="G2298" s="34" t="s">
        <v>100</v>
      </c>
      <c r="H2298" s="34" t="s">
        <v>39</v>
      </c>
      <c r="I2298" s="35">
        <v>1</v>
      </c>
      <c r="J2298" s="35">
        <v>1</v>
      </c>
      <c r="K2298" s="35">
        <v>60</v>
      </c>
      <c r="L2298" s="60" t="str">
        <f>HYPERLINK("https://www.sds-group.ru/product/girlyanda-tvinkl-layt-10-m-prozrachnyy-pvh-80-led-tsvet-teplyy-belyy-303-186/", "Инфо")</f>
        <v>Инфо</v>
      </c>
      <c r="M2298" s="37">
        <v>0.187</v>
      </c>
      <c r="N2298" s="38">
        <v>7.9799999999999999E-4</v>
      </c>
      <c r="O2298" s="141">
        <v>4601004131637</v>
      </c>
    </row>
    <row r="2299" spans="1:15" ht="11.45" customHeight="1" outlineLevel="3" x14ac:dyDescent="0.2">
      <c r="A2299" s="76" t="s">
        <v>20811</v>
      </c>
      <c r="B2299" s="136"/>
      <c r="C2299" s="77"/>
      <c r="D2299" s="137"/>
      <c r="E2299" s="4"/>
      <c r="F2299" s="4"/>
      <c r="G2299" s="4"/>
      <c r="H2299" s="4"/>
      <c r="I2299" s="4"/>
      <c r="J2299" s="4"/>
      <c r="K2299" s="4"/>
      <c r="L2299" s="138"/>
      <c r="M2299" s="4"/>
      <c r="N2299" s="4"/>
      <c r="O2299" s="4"/>
    </row>
    <row r="2300" spans="1:15" s="1" customFormat="1" ht="11.45" customHeight="1" outlineLevel="4" x14ac:dyDescent="0.2">
      <c r="A2300" s="32" t="s">
        <v>20812</v>
      </c>
      <c r="B2300" s="74" t="s">
        <v>20813</v>
      </c>
      <c r="C2300" s="50"/>
      <c r="D2300" s="139">
        <f t="shared" si="35"/>
        <v>0</v>
      </c>
      <c r="E2300" s="140">
        <v>487.35</v>
      </c>
      <c r="F2300" s="140">
        <v>399.47</v>
      </c>
      <c r="G2300" s="34" t="s">
        <v>100</v>
      </c>
      <c r="H2300" s="34" t="s">
        <v>39</v>
      </c>
      <c r="I2300" s="35">
        <v>1</v>
      </c>
      <c r="J2300" s="35">
        <v>1</v>
      </c>
      <c r="K2300" s="35">
        <v>24</v>
      </c>
      <c r="L2300" s="60" t="str">
        <f>HYPERLINK("https://www.sds-group.ru/product/girlyanda-svetodiodnaya-universalnaya-300-led-multikolor-15-metrov-s-kontrollerom-303-109/", "Инфо")</f>
        <v>Инфо</v>
      </c>
      <c r="M2300" s="37">
        <v>0.36399999999999999</v>
      </c>
      <c r="N2300" s="38">
        <v>1.477E-3</v>
      </c>
      <c r="O2300" s="141">
        <v>4601004130500</v>
      </c>
    </row>
    <row r="2301" spans="1:15" s="1" customFormat="1" ht="11.45" customHeight="1" outlineLevel="4" x14ac:dyDescent="0.2">
      <c r="A2301" s="32" t="s">
        <v>20822</v>
      </c>
      <c r="B2301" s="74" t="s">
        <v>20823</v>
      </c>
      <c r="C2301" s="50"/>
      <c r="D2301" s="139">
        <f t="shared" si="35"/>
        <v>0</v>
      </c>
      <c r="E2301" s="140">
        <v>252.13</v>
      </c>
      <c r="F2301" s="140">
        <v>206.66</v>
      </c>
      <c r="G2301" s="34" t="s">
        <v>100</v>
      </c>
      <c r="H2301" s="34" t="s">
        <v>39</v>
      </c>
      <c r="I2301" s="35">
        <v>1</v>
      </c>
      <c r="J2301" s="35">
        <v>1</v>
      </c>
      <c r="K2301" s="35">
        <v>60</v>
      </c>
      <c r="L2301" s="60" t="str">
        <f>HYPERLINK("https://www.sds-group.ru/product/girlyanda-tvinkl-layt-15-m-temno-zelenyy-pvh-120-led-tsvet-multikolor-303-059/", "Инфо")</f>
        <v>Инфо</v>
      </c>
      <c r="M2301" s="37">
        <v>0.28899999999999998</v>
      </c>
      <c r="N2301" s="38">
        <v>9.9799999999999997E-4</v>
      </c>
      <c r="O2301" s="141">
        <v>4601004015593</v>
      </c>
    </row>
    <row r="2302" spans="1:15" ht="11.45" customHeight="1" outlineLevel="3" x14ac:dyDescent="0.2">
      <c r="A2302" s="76" t="s">
        <v>20828</v>
      </c>
      <c r="B2302" s="136"/>
      <c r="C2302" s="77"/>
      <c r="D2302" s="137"/>
      <c r="E2302" s="4"/>
      <c r="F2302" s="4"/>
      <c r="G2302" s="4"/>
      <c r="H2302" s="4"/>
      <c r="I2302" s="4"/>
      <c r="J2302" s="4"/>
      <c r="K2302" s="4"/>
      <c r="L2302" s="138"/>
      <c r="M2302" s="4"/>
      <c r="N2302" s="4"/>
      <c r="O2302" s="4"/>
    </row>
    <row r="2303" spans="1:15" s="1" customFormat="1" ht="11.45" customHeight="1" outlineLevel="4" x14ac:dyDescent="0.2">
      <c r="A2303" s="32" t="s">
        <v>20831</v>
      </c>
      <c r="B2303" s="74" t="s">
        <v>20832</v>
      </c>
      <c r="C2303" s="50"/>
      <c r="D2303" s="139">
        <f t="shared" si="35"/>
        <v>0</v>
      </c>
      <c r="E2303" s="140">
        <v>385.01</v>
      </c>
      <c r="F2303" s="140">
        <v>315.58</v>
      </c>
      <c r="G2303" s="34" t="s">
        <v>100</v>
      </c>
      <c r="H2303" s="34" t="s">
        <v>39</v>
      </c>
      <c r="I2303" s="35">
        <v>1</v>
      </c>
      <c r="J2303" s="35">
        <v>1</v>
      </c>
      <c r="K2303" s="35">
        <v>24</v>
      </c>
      <c r="L2303" s="60" t="str">
        <f>HYPERLINK("https://www.sds-group.ru/product/girlyanda-svetodiodnaya-universalnaya-200-led-multikolor-20-metrov-s-kontrollerom-304-119/", "Инфо")</f>
        <v>Инфо</v>
      </c>
      <c r="M2303" s="37">
        <v>0.311</v>
      </c>
      <c r="N2303" s="38">
        <v>1.163E-3</v>
      </c>
      <c r="O2303" s="141">
        <v>4601004258006</v>
      </c>
    </row>
    <row r="2304" spans="1:15" s="1" customFormat="1" ht="11.45" customHeight="1" outlineLevel="4" x14ac:dyDescent="0.2">
      <c r="A2304" s="32" t="s">
        <v>20833</v>
      </c>
      <c r="B2304" s="74" t="s">
        <v>20834</v>
      </c>
      <c r="C2304" s="50"/>
      <c r="D2304" s="139">
        <f t="shared" si="35"/>
        <v>0</v>
      </c>
      <c r="E2304" s="140">
        <v>385.01</v>
      </c>
      <c r="F2304" s="140">
        <v>315.58</v>
      </c>
      <c r="G2304" s="34" t="s">
        <v>100</v>
      </c>
      <c r="H2304" s="34" t="s">
        <v>39</v>
      </c>
      <c r="I2304" s="35">
        <v>1</v>
      </c>
      <c r="J2304" s="35">
        <v>1</v>
      </c>
      <c r="K2304" s="35">
        <v>24</v>
      </c>
      <c r="L2304" s="60" t="str">
        <f>HYPERLINK("https://www.sds-group.ru/product/girlyanda-svetodiodnaya-universalnaya-200-led-teplyy-belyy-20-metrov-s-kontrollerom-304-116/", "Инфо")</f>
        <v>Инфо</v>
      </c>
      <c r="M2304" s="37">
        <v>0.31</v>
      </c>
      <c r="N2304" s="38">
        <v>1.178E-3</v>
      </c>
      <c r="O2304" s="141">
        <v>4601004257986</v>
      </c>
    </row>
    <row r="2305" spans="1:15" s="1" customFormat="1" ht="11.45" customHeight="1" outlineLevel="4" x14ac:dyDescent="0.2">
      <c r="A2305" s="32" t="s">
        <v>20841</v>
      </c>
      <c r="B2305" s="74" t="s">
        <v>20842</v>
      </c>
      <c r="C2305" s="50"/>
      <c r="D2305" s="139">
        <f t="shared" si="35"/>
        <v>0</v>
      </c>
      <c r="E2305" s="140">
        <v>327.25</v>
      </c>
      <c r="F2305" s="140">
        <v>268.24</v>
      </c>
      <c r="G2305" s="34" t="s">
        <v>100</v>
      </c>
      <c r="H2305" s="34" t="s">
        <v>39</v>
      </c>
      <c r="I2305" s="35">
        <v>1</v>
      </c>
      <c r="J2305" s="35">
        <v>1</v>
      </c>
      <c r="K2305" s="35">
        <v>48</v>
      </c>
      <c r="L2305" s="60" t="str">
        <f>HYPERLINK("https://www.sds-group.ru/product/girlyanda-tvinkl-layt-20-m-temno-zelenyy-pvh-160-led-tsvet-belyy-303-115/", "Инфо")</f>
        <v>Инфо</v>
      </c>
      <c r="M2305" s="37">
        <v>0.35899999999999999</v>
      </c>
      <c r="N2305" s="38">
        <v>1.4630000000000001E-3</v>
      </c>
      <c r="O2305" s="141">
        <v>4601004148734</v>
      </c>
    </row>
    <row r="2306" spans="1:15" ht="11.45" customHeight="1" outlineLevel="2" x14ac:dyDescent="0.2">
      <c r="A2306" s="76" t="s">
        <v>20847</v>
      </c>
      <c r="B2306" s="136"/>
      <c r="C2306" s="77"/>
      <c r="D2306" s="137"/>
      <c r="E2306" s="4"/>
      <c r="F2306" s="4"/>
      <c r="G2306" s="4"/>
      <c r="H2306" s="4"/>
      <c r="I2306" s="4"/>
      <c r="J2306" s="4"/>
      <c r="K2306" s="4"/>
      <c r="L2306" s="138"/>
      <c r="M2306" s="4"/>
      <c r="N2306" s="4"/>
      <c r="O2306" s="4"/>
    </row>
    <row r="2307" spans="1:15" s="1" customFormat="1" ht="11.45" customHeight="1" outlineLevel="3" x14ac:dyDescent="0.2">
      <c r="A2307" s="32" t="s">
        <v>20850</v>
      </c>
      <c r="B2307" s="74" t="s">
        <v>20851</v>
      </c>
      <c r="C2307" s="50"/>
      <c r="D2307" s="139">
        <f t="shared" si="35"/>
        <v>0</v>
      </c>
      <c r="E2307" s="140">
        <v>487.35</v>
      </c>
      <c r="F2307" s="140">
        <v>399.47</v>
      </c>
      <c r="G2307" s="34" t="s">
        <v>100</v>
      </c>
      <c r="H2307" s="34" t="s">
        <v>39</v>
      </c>
      <c r="I2307" s="35">
        <v>1</v>
      </c>
      <c r="J2307" s="35">
        <v>1</v>
      </c>
      <c r="K2307" s="35">
        <v>48</v>
      </c>
      <c r="L2307" s="60" t="str">
        <f>HYPERLINK("https://www.sds-group.ru/product/elochnaya-girlyanda-s-koltsom-7-nitey-po-1-5-metra-tsvet-diodov-belyy-ne-soedinyaetsya-235-075/", "Инфо")</f>
        <v>Инфо</v>
      </c>
      <c r="M2307" s="37">
        <v>0.20399999999999999</v>
      </c>
      <c r="N2307" s="38">
        <v>1.1770000000000001E-3</v>
      </c>
      <c r="O2307" s="141">
        <v>4601004148635</v>
      </c>
    </row>
    <row r="2308" spans="1:15" s="1" customFormat="1" ht="11.45" customHeight="1" outlineLevel="3" x14ac:dyDescent="0.2">
      <c r="A2308" s="32" t="s">
        <v>20852</v>
      </c>
      <c r="B2308" s="74" t="s">
        <v>20853</v>
      </c>
      <c r="C2308" s="50"/>
      <c r="D2308" s="139">
        <f t="shared" si="35"/>
        <v>0</v>
      </c>
      <c r="E2308" s="140">
        <v>487.35</v>
      </c>
      <c r="F2308" s="140">
        <v>399.47</v>
      </c>
      <c r="G2308" s="34" t="s">
        <v>100</v>
      </c>
      <c r="H2308" s="34" t="s">
        <v>39</v>
      </c>
      <c r="I2308" s="35">
        <v>1</v>
      </c>
      <c r="J2308" s="35">
        <v>1</v>
      </c>
      <c r="K2308" s="35">
        <v>36</v>
      </c>
      <c r="L2308" s="60" t="str">
        <f>HYPERLINK("https://www.sds-group.ru/product/elochnaya-girlyanda-s-koltsom-7-nitey-po-1-5-metra-tsvet-diodov-multikolor-ne-soedinyaetsya-235-079/", "Инфо")</f>
        <v>Инфо</v>
      </c>
      <c r="M2308" s="37">
        <v>0.20599999999999999</v>
      </c>
      <c r="N2308" s="38">
        <v>1.0349999999999999E-3</v>
      </c>
      <c r="O2308" s="141">
        <v>4601004148659</v>
      </c>
    </row>
    <row r="2309" spans="1:15" s="1" customFormat="1" ht="11.45" customHeight="1" outlineLevel="3" x14ac:dyDescent="0.2">
      <c r="A2309" s="32" t="s">
        <v>20860</v>
      </c>
      <c r="B2309" s="74" t="s">
        <v>20861</v>
      </c>
      <c r="C2309" s="50"/>
      <c r="D2309" s="139">
        <f t="shared" si="35"/>
        <v>0</v>
      </c>
      <c r="E2309" s="140">
        <v>580.53</v>
      </c>
      <c r="F2309" s="140">
        <v>475.84</v>
      </c>
      <c r="G2309" s="34" t="s">
        <v>100</v>
      </c>
      <c r="H2309" s="34" t="s">
        <v>39</v>
      </c>
      <c r="I2309" s="35">
        <v>1</v>
      </c>
      <c r="J2309" s="35">
        <v>1</v>
      </c>
      <c r="K2309" s="35">
        <v>48</v>
      </c>
      <c r="L2309" s="60" t="str">
        <f>HYPERLINK("https://www.sds-group.ru/product/elochnaya-girlyanda-s-koltsom-7-nitey-po-1-8-metra-tsvet-diodov-teplyy-belyy-ne-soedinyaetsy-235-086/", "Инфо")</f>
        <v>Инфо</v>
      </c>
      <c r="M2309" s="37">
        <v>0.29699999999999999</v>
      </c>
      <c r="N2309" s="38">
        <v>1.683E-3</v>
      </c>
      <c r="O2309" s="141">
        <v>4601004148673</v>
      </c>
    </row>
    <row r="2310" spans="1:15" ht="11.45" customHeight="1" outlineLevel="2" x14ac:dyDescent="0.2">
      <c r="A2310" s="76" t="s">
        <v>20862</v>
      </c>
      <c r="B2310" s="136"/>
      <c r="C2310" s="77"/>
      <c r="D2310" s="137"/>
      <c r="E2310" s="4"/>
      <c r="F2310" s="4"/>
      <c r="G2310" s="4"/>
      <c r="H2310" s="4"/>
      <c r="I2310" s="4"/>
      <c r="J2310" s="4"/>
      <c r="K2310" s="4"/>
      <c r="L2310" s="138"/>
      <c r="M2310" s="4"/>
      <c r="N2310" s="4"/>
      <c r="O2310" s="4"/>
    </row>
    <row r="2311" spans="1:15" s="1" customFormat="1" ht="11.45" customHeight="1" outlineLevel="3" x14ac:dyDescent="0.2">
      <c r="A2311" s="32" t="s">
        <v>20863</v>
      </c>
      <c r="B2311" s="74" t="s">
        <v>20864</v>
      </c>
      <c r="C2311" s="50"/>
      <c r="D2311" s="139">
        <f t="shared" si="35"/>
        <v>0</v>
      </c>
      <c r="E2311" s="140">
        <v>745.76</v>
      </c>
      <c r="F2311" s="140">
        <v>611.28</v>
      </c>
      <c r="G2311" s="34" t="s">
        <v>100</v>
      </c>
      <c r="H2311" s="34" t="s">
        <v>39</v>
      </c>
      <c r="I2311" s="35">
        <v>1</v>
      </c>
      <c r="J2311" s="35">
        <v>1</v>
      </c>
      <c r="K2311" s="35">
        <v>24</v>
      </c>
      <c r="L2311" s="60" t="str">
        <f>HYPERLINK("https://www.sds-group.ru/product/girlyanda-mishura-led-3-m-prozrachnyy-pvh-288-diodov-tsvet-belyy-303-605/", "Инфо")</f>
        <v>Инфо</v>
      </c>
      <c r="M2311" s="37">
        <v>0.47499999999999998</v>
      </c>
      <c r="N2311" s="38">
        <v>1.9780000000000002E-3</v>
      </c>
      <c r="O2311" s="141">
        <v>4601004015029</v>
      </c>
    </row>
    <row r="2312" spans="1:15" s="1" customFormat="1" ht="11.45" customHeight="1" outlineLevel="3" x14ac:dyDescent="0.2">
      <c r="A2312" s="32" t="s">
        <v>20865</v>
      </c>
      <c r="B2312" s="74" t="s">
        <v>20866</v>
      </c>
      <c r="C2312" s="50"/>
      <c r="D2312" s="139">
        <f t="shared" si="35"/>
        <v>0</v>
      </c>
      <c r="E2312" s="140">
        <v>675.19</v>
      </c>
      <c r="F2312" s="140">
        <v>553.42999999999995</v>
      </c>
      <c r="G2312" s="34" t="s">
        <v>100</v>
      </c>
      <c r="H2312" s="34" t="s">
        <v>39</v>
      </c>
      <c r="I2312" s="35">
        <v>1</v>
      </c>
      <c r="J2312" s="35">
        <v>1</v>
      </c>
      <c r="K2312" s="35">
        <v>24</v>
      </c>
      <c r="L2312" s="60" t="str">
        <f>HYPERLINK("https://www.sds-group.ru/product/girlyanda-mishura-led-3-m-prozrachnyy-pvh-288-diodov-tsvet-zheltyy-303-601/", "Инфо")</f>
        <v>Инфо</v>
      </c>
      <c r="M2312" s="37">
        <v>0.441</v>
      </c>
      <c r="N2312" s="38">
        <v>1.846E-3</v>
      </c>
      <c r="O2312" s="141">
        <v>4601004015050</v>
      </c>
    </row>
    <row r="2313" spans="1:15" s="1" customFormat="1" ht="11.45" customHeight="1" outlineLevel="3" x14ac:dyDescent="0.2">
      <c r="A2313" s="32" t="s">
        <v>20867</v>
      </c>
      <c r="B2313" s="74" t="s">
        <v>20868</v>
      </c>
      <c r="C2313" s="50"/>
      <c r="D2313" s="139">
        <f t="shared" si="35"/>
        <v>0</v>
      </c>
      <c r="E2313" s="140">
        <v>675.19</v>
      </c>
      <c r="F2313" s="140">
        <v>553.42999999999995</v>
      </c>
      <c r="G2313" s="34" t="s">
        <v>100</v>
      </c>
      <c r="H2313" s="34" t="s">
        <v>39</v>
      </c>
      <c r="I2313" s="35">
        <v>1</v>
      </c>
      <c r="J2313" s="35">
        <v>1</v>
      </c>
      <c r="K2313" s="35">
        <v>10</v>
      </c>
      <c r="L2313" s="60" t="str">
        <f>HYPERLINK("https://www.sds-group.ru/product/girlyanda-mishura-led-3-m-prozrachnyy-pvh-288-diodov-tsvet-zelenyy-303-604/", "Инфо")</f>
        <v>Инфо</v>
      </c>
      <c r="M2313" s="37">
        <v>0.44600000000000001</v>
      </c>
      <c r="N2313" s="38">
        <v>1.859E-3</v>
      </c>
      <c r="O2313" s="141">
        <v>4601004015067</v>
      </c>
    </row>
    <row r="2314" spans="1:15" s="1" customFormat="1" ht="11.45" customHeight="1" outlineLevel="3" x14ac:dyDescent="0.2">
      <c r="A2314" s="32" t="s">
        <v>20869</v>
      </c>
      <c r="B2314" s="74" t="s">
        <v>20870</v>
      </c>
      <c r="C2314" s="50"/>
      <c r="D2314" s="139">
        <f t="shared" si="35"/>
        <v>0</v>
      </c>
      <c r="E2314" s="140">
        <v>578.89</v>
      </c>
      <c r="F2314" s="140">
        <v>474.5</v>
      </c>
      <c r="G2314" s="34" t="s">
        <v>100</v>
      </c>
      <c r="H2314" s="34" t="s">
        <v>39</v>
      </c>
      <c r="I2314" s="35">
        <v>1</v>
      </c>
      <c r="J2314" s="35">
        <v>1</v>
      </c>
      <c r="K2314" s="35">
        <v>10</v>
      </c>
      <c r="L2314" s="60" t="str">
        <f>HYPERLINK("https://www.sds-group.ru/product/girlyanda-mishura-led-3-m-prozrachnyy-pvh-288-diodov-tsvet-krasnyy-303-602/", "Инфо")</f>
        <v>Инфо</v>
      </c>
      <c r="M2314" s="37">
        <v>0.442</v>
      </c>
      <c r="N2314" s="38">
        <v>1.879E-3</v>
      </c>
      <c r="O2314" s="141">
        <v>4601004015043</v>
      </c>
    </row>
    <row r="2315" spans="1:15" s="1" customFormat="1" ht="11.45" customHeight="1" outlineLevel="3" x14ac:dyDescent="0.2">
      <c r="A2315" s="32" t="s">
        <v>20871</v>
      </c>
      <c r="B2315" s="74" t="s">
        <v>20872</v>
      </c>
      <c r="C2315" s="50"/>
      <c r="D2315" s="139">
        <f t="shared" ref="D2315:D2377" si="36">C2315*E2315</f>
        <v>0</v>
      </c>
      <c r="E2315" s="140">
        <v>675.19</v>
      </c>
      <c r="F2315" s="140">
        <v>553.42999999999995</v>
      </c>
      <c r="G2315" s="34" t="s">
        <v>100</v>
      </c>
      <c r="H2315" s="34" t="s">
        <v>39</v>
      </c>
      <c r="I2315" s="35">
        <v>1</v>
      </c>
      <c r="J2315" s="35">
        <v>1</v>
      </c>
      <c r="K2315" s="35">
        <v>24</v>
      </c>
      <c r="L2315" s="60" t="str">
        <f>HYPERLINK("https://www.sds-group.ru/product/girlyanda-mishura-led-3-m-prozrachnyy-pvh-288-diodov-tsvet-rozovyy-303-607/", "Инфо")</f>
        <v>Инфо</v>
      </c>
      <c r="M2315" s="37">
        <v>0.44400000000000001</v>
      </c>
      <c r="N2315" s="38">
        <v>1.9040000000000001E-3</v>
      </c>
      <c r="O2315" s="141">
        <v>4601004015074</v>
      </c>
    </row>
    <row r="2316" spans="1:15" s="1" customFormat="1" ht="11.45" customHeight="1" outlineLevel="3" x14ac:dyDescent="0.2">
      <c r="A2316" s="32" t="s">
        <v>20873</v>
      </c>
      <c r="B2316" s="74" t="s">
        <v>20874</v>
      </c>
      <c r="C2316" s="50"/>
      <c r="D2316" s="139">
        <f t="shared" si="36"/>
        <v>0</v>
      </c>
      <c r="E2316" s="140">
        <v>745.76</v>
      </c>
      <c r="F2316" s="140">
        <v>611.28</v>
      </c>
      <c r="G2316" s="34" t="s">
        <v>100</v>
      </c>
      <c r="H2316" s="34" t="s">
        <v>39</v>
      </c>
      <c r="I2316" s="35">
        <v>1</v>
      </c>
      <c r="J2316" s="35">
        <v>1</v>
      </c>
      <c r="K2316" s="35">
        <v>10</v>
      </c>
      <c r="L2316" s="60" t="str">
        <f>HYPERLINK("https://www.sds-group.ru/product/girlyanda-mishura-led-3-m-prozrachnyy-pvh-288-diodov-tsvet-siniy-303-603/", "Инфо")</f>
        <v>Инфо</v>
      </c>
      <c r="M2316" s="37">
        <v>0.443</v>
      </c>
      <c r="N2316" s="38">
        <v>1.836E-3</v>
      </c>
      <c r="O2316" s="141">
        <v>4601004015036</v>
      </c>
    </row>
    <row r="2317" spans="1:15" s="1" customFormat="1" ht="11.45" customHeight="1" outlineLevel="3" x14ac:dyDescent="0.2">
      <c r="A2317" s="32" t="s">
        <v>20875</v>
      </c>
      <c r="B2317" s="74" t="s">
        <v>20876</v>
      </c>
      <c r="C2317" s="50"/>
      <c r="D2317" s="139">
        <f t="shared" si="36"/>
        <v>0</v>
      </c>
      <c r="E2317" s="140">
        <v>745.76</v>
      </c>
      <c r="F2317" s="140">
        <v>611.28</v>
      </c>
      <c r="G2317" s="34" t="s">
        <v>100</v>
      </c>
      <c r="H2317" s="34" t="s">
        <v>39</v>
      </c>
      <c r="I2317" s="35">
        <v>1</v>
      </c>
      <c r="J2317" s="35">
        <v>1</v>
      </c>
      <c r="K2317" s="35">
        <v>24</v>
      </c>
      <c r="L2317" s="60" t="str">
        <f>HYPERLINK("https://www.sds-group.ru/product/girlyanda-mishura-led-3-m-prozrachnyy-pvh-288-diodov-tsvet-teplyy-belyy-303-606/", "Инфо")</f>
        <v>Инфо</v>
      </c>
      <c r="M2317" s="37">
        <v>0.443</v>
      </c>
      <c r="N2317" s="38">
        <v>1.8309999999999999E-3</v>
      </c>
      <c r="O2317" s="141">
        <v>4601004090583</v>
      </c>
    </row>
    <row r="2318" spans="1:15" s="1" customFormat="1" ht="11.45" customHeight="1" outlineLevel="3" x14ac:dyDescent="0.2">
      <c r="A2318" s="32" t="s">
        <v>20877</v>
      </c>
      <c r="B2318" s="74" t="s">
        <v>20878</v>
      </c>
      <c r="C2318" s="50"/>
      <c r="D2318" s="139">
        <f t="shared" si="36"/>
        <v>0</v>
      </c>
      <c r="E2318" s="140">
        <v>845.86</v>
      </c>
      <c r="F2318" s="140">
        <v>693.33</v>
      </c>
      <c r="G2318" s="34" t="s">
        <v>100</v>
      </c>
      <c r="H2318" s="34" t="s">
        <v>39</v>
      </c>
      <c r="I2318" s="35">
        <v>1</v>
      </c>
      <c r="J2318" s="35">
        <v>1</v>
      </c>
      <c r="K2318" s="35">
        <v>24</v>
      </c>
      <c r="L2318" s="60" t="str">
        <f>HYPERLINK("https://www.sds-group.ru/product/girlyanda-mishura-led-3-m-temno-zelenyy-pvh-288-diodov-tsvet-belyy-teplyy-belyy-303-608/", "Инфо")</f>
        <v>Инфо</v>
      </c>
      <c r="M2318" s="37">
        <v>0.48499999999999999</v>
      </c>
      <c r="N2318" s="38">
        <v>1.854E-3</v>
      </c>
      <c r="O2318" s="141">
        <v>4601004148727</v>
      </c>
    </row>
    <row r="2319" spans="1:15" s="1" customFormat="1" ht="11.45" customHeight="1" outlineLevel="3" x14ac:dyDescent="0.2">
      <c r="A2319" s="32" t="s">
        <v>20879</v>
      </c>
      <c r="B2319" s="74" t="s">
        <v>20880</v>
      </c>
      <c r="C2319" s="50"/>
      <c r="D2319" s="139">
        <f t="shared" si="36"/>
        <v>0</v>
      </c>
      <c r="E2319" s="140">
        <v>1578.53</v>
      </c>
      <c r="F2319" s="140">
        <v>1293.8800000000001</v>
      </c>
      <c r="G2319" s="34" t="s">
        <v>100</v>
      </c>
      <c r="H2319" s="34" t="s">
        <v>39</v>
      </c>
      <c r="I2319" s="35">
        <v>1</v>
      </c>
      <c r="J2319" s="35">
        <v>1</v>
      </c>
      <c r="K2319" s="35">
        <v>12</v>
      </c>
      <c r="L2319" s="60" t="str">
        <f>HYPERLINK("https://www.sds-group.ru/product/girlyanda-mishura-led-6-m-prozrachnyy-pvh-576-diodov-tsvet-belyy-303-615/", "Инфо")</f>
        <v>Инфо</v>
      </c>
      <c r="M2319" s="37">
        <v>0.83199999999999996</v>
      </c>
      <c r="N2319" s="38">
        <v>3.552E-3</v>
      </c>
      <c r="O2319" s="141">
        <v>4601004015081</v>
      </c>
    </row>
    <row r="2320" spans="1:15" s="1" customFormat="1" ht="11.45" customHeight="1" outlineLevel="3" x14ac:dyDescent="0.2">
      <c r="A2320" s="32" t="s">
        <v>20881</v>
      </c>
      <c r="B2320" s="74" t="s">
        <v>20882</v>
      </c>
      <c r="C2320" s="50"/>
      <c r="D2320" s="139">
        <f t="shared" si="36"/>
        <v>0</v>
      </c>
      <c r="E2320" s="140">
        <v>1578.53</v>
      </c>
      <c r="F2320" s="140">
        <v>1293.8800000000001</v>
      </c>
      <c r="G2320" s="34" t="s">
        <v>100</v>
      </c>
      <c r="H2320" s="34" t="s">
        <v>39</v>
      </c>
      <c r="I2320" s="35">
        <v>1</v>
      </c>
      <c r="J2320" s="35">
        <v>1</v>
      </c>
      <c r="K2320" s="35">
        <v>5</v>
      </c>
      <c r="L2320" s="60" t="str">
        <f>HYPERLINK("https://www.sds-group.ru/product/girlyanda-mishura-led-6-m-prozrachnyy-pvh-576-diodov-tsvet-zelenyy-303-614/", "Инфо")</f>
        <v>Инфо</v>
      </c>
      <c r="M2320" s="37">
        <v>1.083</v>
      </c>
      <c r="N2320" s="38">
        <v>3.1029999999999999E-3</v>
      </c>
      <c r="O2320" s="141">
        <v>4601004015128</v>
      </c>
    </row>
    <row r="2321" spans="1:15" s="1" customFormat="1" ht="11.45" customHeight="1" outlineLevel="3" x14ac:dyDescent="0.2">
      <c r="A2321" s="32" t="s">
        <v>20883</v>
      </c>
      <c r="B2321" s="74" t="s">
        <v>20884</v>
      </c>
      <c r="C2321" s="50"/>
      <c r="D2321" s="139">
        <f t="shared" si="36"/>
        <v>0</v>
      </c>
      <c r="E2321" s="140">
        <v>982.49</v>
      </c>
      <c r="F2321" s="140">
        <v>805.32</v>
      </c>
      <c r="G2321" s="34" t="s">
        <v>100</v>
      </c>
      <c r="H2321" s="34" t="s">
        <v>39</v>
      </c>
      <c r="I2321" s="35">
        <v>1</v>
      </c>
      <c r="J2321" s="35">
        <v>1</v>
      </c>
      <c r="K2321" s="35">
        <v>5</v>
      </c>
      <c r="L2321" s="60" t="str">
        <f>HYPERLINK("https://www.sds-group.ru/product/girlyanda-mishura-led-6-m-prozrachnyy-pvh-576-diodov-tsvet-krasnyy-303-612/", "Инфо")</f>
        <v>Инфо</v>
      </c>
      <c r="M2321" s="37">
        <v>0.754</v>
      </c>
      <c r="N2321" s="38">
        <v>2.4420000000000002E-3</v>
      </c>
      <c r="O2321" s="141">
        <v>4601004015104</v>
      </c>
    </row>
    <row r="2322" spans="1:15" s="1" customFormat="1" ht="11.45" customHeight="1" outlineLevel="3" x14ac:dyDescent="0.2">
      <c r="A2322" s="32" t="s">
        <v>20885</v>
      </c>
      <c r="B2322" s="74" t="s">
        <v>20886</v>
      </c>
      <c r="C2322" s="50"/>
      <c r="D2322" s="139">
        <f t="shared" si="36"/>
        <v>0</v>
      </c>
      <c r="E2322" s="140">
        <v>1349.64</v>
      </c>
      <c r="F2322" s="140">
        <v>1106.26</v>
      </c>
      <c r="G2322" s="34" t="s">
        <v>100</v>
      </c>
      <c r="H2322" s="34" t="s">
        <v>39</v>
      </c>
      <c r="I2322" s="35">
        <v>1</v>
      </c>
      <c r="J2322" s="35">
        <v>1</v>
      </c>
      <c r="K2322" s="35">
        <v>5</v>
      </c>
      <c r="L2322" s="60" t="str">
        <f>HYPERLINK("https://www.sds-group.ru/product/girlyanda-mishura-led-6-m-prozrachnyy-pvh-576-diodov-tsvet-rozovyy-303-617/", "Инфо")</f>
        <v>Инфо</v>
      </c>
      <c r="M2322" s="37">
        <v>1.083</v>
      </c>
      <c r="N2322" s="38">
        <v>3.1029999999999999E-3</v>
      </c>
      <c r="O2322" s="141">
        <v>4601004015111</v>
      </c>
    </row>
    <row r="2323" spans="1:15" s="1" customFormat="1" ht="11.45" customHeight="1" outlineLevel="3" x14ac:dyDescent="0.2">
      <c r="A2323" s="32" t="s">
        <v>20887</v>
      </c>
      <c r="B2323" s="74" t="s">
        <v>20888</v>
      </c>
      <c r="C2323" s="50"/>
      <c r="D2323" s="139">
        <f t="shared" si="36"/>
        <v>0</v>
      </c>
      <c r="E2323" s="140">
        <v>1578.53</v>
      </c>
      <c r="F2323" s="140">
        <v>1293.8800000000001</v>
      </c>
      <c r="G2323" s="34" t="s">
        <v>100</v>
      </c>
      <c r="H2323" s="34" t="s">
        <v>39</v>
      </c>
      <c r="I2323" s="35">
        <v>1</v>
      </c>
      <c r="J2323" s="35">
        <v>1</v>
      </c>
      <c r="K2323" s="35">
        <v>5</v>
      </c>
      <c r="L2323" s="60" t="str">
        <f>HYPERLINK("https://www.sds-group.ru/product/girlyanda-mishura-led-6-m-prozrachnyy-pvh-576-diodov-tsvet-siniy-303-613/", "Инфо")</f>
        <v>Инфо</v>
      </c>
      <c r="M2323" s="37">
        <v>0.69599999999999995</v>
      </c>
      <c r="N2323" s="38">
        <v>3.2759999999999998E-3</v>
      </c>
      <c r="O2323" s="141">
        <v>4601004015098</v>
      </c>
    </row>
    <row r="2324" spans="1:15" ht="11.45" customHeight="1" outlineLevel="2" x14ac:dyDescent="0.2">
      <c r="A2324" s="76" t="s">
        <v>20889</v>
      </c>
      <c r="B2324" s="136"/>
      <c r="C2324" s="77"/>
      <c r="D2324" s="137"/>
      <c r="E2324" s="4"/>
      <c r="F2324" s="4"/>
      <c r="G2324" s="4"/>
      <c r="H2324" s="4"/>
      <c r="I2324" s="4"/>
      <c r="J2324" s="4"/>
      <c r="K2324" s="4"/>
      <c r="L2324" s="138"/>
      <c r="M2324" s="4"/>
      <c r="N2324" s="4"/>
      <c r="O2324" s="4"/>
    </row>
    <row r="2325" spans="1:15" s="1" customFormat="1" ht="11.45" customHeight="1" outlineLevel="3" x14ac:dyDescent="0.2">
      <c r="A2325" s="32" t="s">
        <v>20894</v>
      </c>
      <c r="B2325" s="74" t="s">
        <v>20895</v>
      </c>
      <c r="C2325" s="50"/>
      <c r="D2325" s="139">
        <f t="shared" si="36"/>
        <v>0</v>
      </c>
      <c r="E2325" s="140">
        <v>745.76</v>
      </c>
      <c r="F2325" s="140">
        <v>611.28</v>
      </c>
      <c r="G2325" s="34" t="s">
        <v>100</v>
      </c>
      <c r="H2325" s="34" t="s">
        <v>39</v>
      </c>
      <c r="I2325" s="35">
        <v>1</v>
      </c>
      <c r="J2325" s="35">
        <v>1</v>
      </c>
      <c r="K2325" s="35">
        <v>24</v>
      </c>
      <c r="L2325" s="60" t="str">
        <f>HYPERLINK("https://www.sds-group.ru/product/girlyanda-klaster-led-3-m-temno-zelenyy-pvh-ip20-288-diodov-tsvet-multikolor-303-629/", "Инфо")</f>
        <v>Инфо</v>
      </c>
      <c r="M2325" s="37">
        <v>0.36599999999999999</v>
      </c>
      <c r="N2325" s="38">
        <v>1.5139999999999999E-3</v>
      </c>
      <c r="O2325" s="141">
        <v>4601004148710</v>
      </c>
    </row>
    <row r="2326" spans="1:15" ht="11.45" customHeight="1" outlineLevel="2" x14ac:dyDescent="0.2">
      <c r="A2326" s="76" t="s">
        <v>20896</v>
      </c>
      <c r="B2326" s="136"/>
      <c r="C2326" s="77"/>
      <c r="D2326" s="137"/>
      <c r="E2326" s="4"/>
      <c r="F2326" s="4"/>
      <c r="G2326" s="4"/>
      <c r="H2326" s="4"/>
      <c r="I2326" s="4"/>
      <c r="J2326" s="4"/>
      <c r="K2326" s="4"/>
      <c r="L2326" s="138"/>
      <c r="M2326" s="4"/>
      <c r="N2326" s="4"/>
      <c r="O2326" s="4"/>
    </row>
    <row r="2327" spans="1:15" s="1" customFormat="1" ht="11.45" customHeight="1" outlineLevel="3" x14ac:dyDescent="0.2">
      <c r="A2327" s="32" t="s">
        <v>20897</v>
      </c>
      <c r="B2327" s="74" t="s">
        <v>20898</v>
      </c>
      <c r="C2327" s="50"/>
      <c r="D2327" s="139">
        <f t="shared" si="36"/>
        <v>0</v>
      </c>
      <c r="E2327" s="140">
        <v>385.01</v>
      </c>
      <c r="F2327" s="140">
        <v>315.58</v>
      </c>
      <c r="G2327" s="34" t="s">
        <v>100</v>
      </c>
      <c r="H2327" s="34" t="s">
        <v>39</v>
      </c>
      <c r="I2327" s="35">
        <v>1</v>
      </c>
      <c r="J2327" s="35">
        <v>1</v>
      </c>
      <c r="K2327" s="35">
        <v>36</v>
      </c>
      <c r="L2327" s="60" t="str">
        <f>HYPERLINK("https://www.sds-group.ru/product/girlyanda-shariki-15mm-5m-temno-zelenyy-pvh-30-diodov-tsvet-rgb-303-539/", "Инфо")</f>
        <v>Инфо</v>
      </c>
      <c r="M2327" s="37">
        <v>0.217</v>
      </c>
      <c r="N2327" s="38">
        <v>1.132E-3</v>
      </c>
      <c r="O2327" s="141">
        <v>4601004014992</v>
      </c>
    </row>
    <row r="2328" spans="1:15" s="1" customFormat="1" ht="11.45" customHeight="1" outlineLevel="3" x14ac:dyDescent="0.2">
      <c r="A2328" s="32" t="s">
        <v>20901</v>
      </c>
      <c r="B2328" s="74" t="s">
        <v>20902</v>
      </c>
      <c r="C2328" s="50"/>
      <c r="D2328" s="139">
        <f t="shared" si="36"/>
        <v>0</v>
      </c>
      <c r="E2328" s="140">
        <v>385.01</v>
      </c>
      <c r="F2328" s="140">
        <v>315.58</v>
      </c>
      <c r="G2328" s="34" t="s">
        <v>100</v>
      </c>
      <c r="H2328" s="34" t="s">
        <v>39</v>
      </c>
      <c r="I2328" s="35">
        <v>1</v>
      </c>
      <c r="J2328" s="35">
        <v>1</v>
      </c>
      <c r="K2328" s="35">
        <v>24</v>
      </c>
      <c r="L2328" s="60" t="str">
        <f>HYPERLINK("https://www.sds-group.ru/product/girlyanda-shariki-18-mm-5-m-temno-zelenyy-pvh-30-diodov-tsvet-rgb-303-540/", "Инфо")</f>
        <v>Инфо</v>
      </c>
      <c r="M2328" s="37">
        <v>0.39100000000000001</v>
      </c>
      <c r="N2328" s="38">
        <v>1.7849999999999999E-3</v>
      </c>
      <c r="O2328" s="141">
        <v>4601004227361</v>
      </c>
    </row>
    <row r="2329" spans="1:15" s="1" customFormat="1" ht="11.45" customHeight="1" outlineLevel="3" x14ac:dyDescent="0.2">
      <c r="A2329" s="32" t="s">
        <v>20909</v>
      </c>
      <c r="B2329" s="74" t="s">
        <v>20910</v>
      </c>
      <c r="C2329" s="50"/>
      <c r="D2329" s="139">
        <f t="shared" si="36"/>
        <v>0</v>
      </c>
      <c r="E2329" s="140">
        <v>385.01</v>
      </c>
      <c r="F2329" s="140">
        <v>315.58</v>
      </c>
      <c r="G2329" s="34" t="s">
        <v>100</v>
      </c>
      <c r="H2329" s="34" t="s">
        <v>39</v>
      </c>
      <c r="I2329" s="35">
        <v>1</v>
      </c>
      <c r="J2329" s="35">
        <v>1</v>
      </c>
      <c r="K2329" s="35">
        <v>60</v>
      </c>
      <c r="L2329" s="60" t="str">
        <f>HYPERLINK("https://www.sds-group.ru/product/girlyanda-shariki-30mm-5m-temno-zelenyy-pvh-25-diodov-tsvet-rgb-303-569/", "Инфо")</f>
        <v>Инфо</v>
      </c>
      <c r="M2329" s="37">
        <v>0.443</v>
      </c>
      <c r="N2329" s="38">
        <v>1.8090000000000001E-3</v>
      </c>
      <c r="O2329" s="141">
        <v>4601004015609</v>
      </c>
    </row>
    <row r="2330" spans="1:15" ht="11.45" customHeight="1" outlineLevel="2" x14ac:dyDescent="0.2">
      <c r="A2330" s="76" t="s">
        <v>20927</v>
      </c>
      <c r="B2330" s="136"/>
      <c r="C2330" s="77"/>
      <c r="D2330" s="137"/>
      <c r="E2330" s="4"/>
      <c r="F2330" s="4"/>
      <c r="G2330" s="4"/>
      <c r="H2330" s="4"/>
      <c r="I2330" s="4"/>
      <c r="J2330" s="4"/>
      <c r="K2330" s="4"/>
      <c r="L2330" s="138"/>
      <c r="M2330" s="4"/>
      <c r="N2330" s="4"/>
      <c r="O2330" s="4"/>
    </row>
    <row r="2331" spans="1:15" ht="11.45" customHeight="1" outlineLevel="3" x14ac:dyDescent="0.2">
      <c r="A2331" s="76" t="s">
        <v>20928</v>
      </c>
      <c r="B2331" s="136"/>
      <c r="C2331" s="77"/>
      <c r="D2331" s="137"/>
      <c r="E2331" s="4"/>
      <c r="F2331" s="4"/>
      <c r="G2331" s="4"/>
      <c r="H2331" s="4"/>
      <c r="I2331" s="4"/>
      <c r="J2331" s="4"/>
      <c r="K2331" s="4"/>
      <c r="L2331" s="138"/>
      <c r="M2331" s="4"/>
      <c r="N2331" s="4"/>
      <c r="O2331" s="4"/>
    </row>
    <row r="2332" spans="1:15" s="1" customFormat="1" ht="11.45" customHeight="1" outlineLevel="4" x14ac:dyDescent="0.2">
      <c r="A2332" s="32" t="s">
        <v>20931</v>
      </c>
      <c r="B2332" s="74" t="s">
        <v>20932</v>
      </c>
      <c r="C2332" s="50"/>
      <c r="D2332" s="139">
        <f t="shared" si="36"/>
        <v>0</v>
      </c>
      <c r="E2332" s="140">
        <v>845.86</v>
      </c>
      <c r="F2332" s="140">
        <v>693.33</v>
      </c>
      <c r="G2332" s="34" t="s">
        <v>100</v>
      </c>
      <c r="H2332" s="34" t="s">
        <v>39</v>
      </c>
      <c r="I2332" s="35">
        <v>1</v>
      </c>
      <c r="J2332" s="35">
        <v>1</v>
      </c>
      <c r="K2332" s="35">
        <v>6</v>
      </c>
      <c r="L2332" s="60" t="str">
        <f>HYPERLINK("https://www.sds-group.ru/product/dekorativnyy-svetilnik-delfiny-s-konfetti-usb-neon-night-501-173/", "Инфо")</f>
        <v>Инфо</v>
      </c>
      <c r="M2332" s="37">
        <v>1.7390000000000001</v>
      </c>
      <c r="N2332" s="38">
        <v>6.221E-3</v>
      </c>
      <c r="O2332" s="141">
        <v>4601004180673</v>
      </c>
    </row>
    <row r="2333" spans="1:15" s="1" customFormat="1" ht="11.45" customHeight="1" outlineLevel="4" x14ac:dyDescent="0.2">
      <c r="A2333" s="32" t="s">
        <v>20933</v>
      </c>
      <c r="B2333" s="74" t="s">
        <v>20934</v>
      </c>
      <c r="C2333" s="50"/>
      <c r="D2333" s="139">
        <f t="shared" si="36"/>
        <v>0</v>
      </c>
      <c r="E2333" s="140">
        <v>1578.53</v>
      </c>
      <c r="F2333" s="140">
        <v>1293.8800000000001</v>
      </c>
      <c r="G2333" s="34" t="s">
        <v>100</v>
      </c>
      <c r="H2333" s="34" t="s">
        <v>39</v>
      </c>
      <c r="I2333" s="35">
        <v>1</v>
      </c>
      <c r="J2333" s="35">
        <v>1</v>
      </c>
      <c r="K2333" s="35">
        <v>6</v>
      </c>
      <c r="L2333" s="60" t="str">
        <f>HYPERLINK("https://www.sds-group.ru/product/dekorativnyy-svetilnik-edinorog-s-konfetti-i-melodiey-usb-neon-night-501-186/", "Инфо")</f>
        <v>Инфо</v>
      </c>
      <c r="M2333" s="37">
        <v>1.8819999999999999</v>
      </c>
      <c r="N2333" s="38">
        <v>5.4619999999999998E-3</v>
      </c>
      <c r="O2333" s="141">
        <v>4601004184008</v>
      </c>
    </row>
    <row r="2334" spans="1:15" s="1" customFormat="1" ht="11.45" customHeight="1" outlineLevel="4" x14ac:dyDescent="0.2">
      <c r="A2334" s="32" t="s">
        <v>20939</v>
      </c>
      <c r="B2334" s="74" t="s">
        <v>20940</v>
      </c>
      <c r="C2334" s="50"/>
      <c r="D2334" s="139">
        <f t="shared" si="36"/>
        <v>0</v>
      </c>
      <c r="E2334" s="140">
        <v>1022.57</v>
      </c>
      <c r="F2334" s="140">
        <v>838.17</v>
      </c>
      <c r="G2334" s="34" t="s">
        <v>100</v>
      </c>
      <c r="H2334" s="34" t="s">
        <v>39</v>
      </c>
      <c r="I2334" s="35">
        <v>1</v>
      </c>
      <c r="J2334" s="35">
        <v>1</v>
      </c>
      <c r="K2334" s="35">
        <v>8</v>
      </c>
      <c r="L2334" s="60" t="str">
        <f>HYPERLINK("https://www.sds-group.ru/product/dekorativnyy-svetilnik-kolokolchik-s-effektom-snegopada-neon-night-501-068/", "Инфо")</f>
        <v>Инфо</v>
      </c>
      <c r="M2334" s="37">
        <v>1.2130000000000001</v>
      </c>
      <c r="N2334" s="38">
        <v>8.548E-3</v>
      </c>
      <c r="O2334" s="141">
        <v>4601004180703</v>
      </c>
    </row>
    <row r="2335" spans="1:15" s="1" customFormat="1" ht="11.45" customHeight="1" outlineLevel="4" x14ac:dyDescent="0.2">
      <c r="A2335" s="32" t="s">
        <v>20941</v>
      </c>
      <c r="B2335" s="74" t="s">
        <v>20942</v>
      </c>
      <c r="C2335" s="50"/>
      <c r="D2335" s="139">
        <f t="shared" si="36"/>
        <v>0</v>
      </c>
      <c r="E2335" s="140">
        <v>1314.56</v>
      </c>
      <c r="F2335" s="140">
        <v>1077.51</v>
      </c>
      <c r="G2335" s="34" t="s">
        <v>100</v>
      </c>
      <c r="H2335" s="34" t="s">
        <v>39</v>
      </c>
      <c r="I2335" s="35">
        <v>1</v>
      </c>
      <c r="J2335" s="35">
        <v>1</v>
      </c>
      <c r="K2335" s="35">
        <v>6</v>
      </c>
      <c r="L2335" s="60" t="str">
        <f>HYPERLINK("https://www.sds-group.ru/product/dekorativnyy-svetilnik-mayak-siniy-s-konfetti-i-podsvetkoy-usb-neon-night-501-171/", "Инфо")</f>
        <v>Инфо</v>
      </c>
      <c r="M2335" s="37">
        <v>1.516</v>
      </c>
      <c r="N2335" s="38">
        <v>1.1963E-2</v>
      </c>
      <c r="O2335" s="141">
        <v>4601004180628</v>
      </c>
    </row>
    <row r="2336" spans="1:15" s="1" customFormat="1" ht="11.45" customHeight="1" outlineLevel="4" x14ac:dyDescent="0.2">
      <c r="A2336" s="32" t="s">
        <v>20947</v>
      </c>
      <c r="B2336" s="74" t="s">
        <v>20948</v>
      </c>
      <c r="C2336" s="50"/>
      <c r="D2336" s="139">
        <f t="shared" si="36"/>
        <v>0</v>
      </c>
      <c r="E2336" s="140">
        <v>945.96</v>
      </c>
      <c r="F2336" s="140">
        <v>775.38</v>
      </c>
      <c r="G2336" s="34" t="s">
        <v>100</v>
      </c>
      <c r="H2336" s="34" t="s">
        <v>39</v>
      </c>
      <c r="I2336" s="35">
        <v>1</v>
      </c>
      <c r="J2336" s="35">
        <v>1</v>
      </c>
      <c r="K2336" s="35">
        <v>6</v>
      </c>
      <c r="L2336" s="60" t="str">
        <f>HYPERLINK("https://www.sds-group.ru/product/dekorativnyy-svetilnik-siyanie-s-konfetti-usb-neon-night-501-060/", "Инфо")</f>
        <v>Инфо</v>
      </c>
      <c r="M2336" s="37">
        <v>1.468</v>
      </c>
      <c r="N2336" s="38">
        <v>7.5420000000000001E-3</v>
      </c>
      <c r="O2336" s="141">
        <v>4601004180680</v>
      </c>
    </row>
    <row r="2337" spans="1:15" s="1" customFormat="1" ht="11.45" customHeight="1" outlineLevel="4" x14ac:dyDescent="0.2">
      <c r="A2337" s="32" t="s">
        <v>20951</v>
      </c>
      <c r="B2337" s="74" t="s">
        <v>20952</v>
      </c>
      <c r="C2337" s="50"/>
      <c r="D2337" s="139">
        <f t="shared" si="36"/>
        <v>0</v>
      </c>
      <c r="E2337" s="140">
        <v>1578.53</v>
      </c>
      <c r="F2337" s="140">
        <v>1293.8800000000001</v>
      </c>
      <c r="G2337" s="34" t="s">
        <v>100</v>
      </c>
      <c r="H2337" s="34" t="s">
        <v>39</v>
      </c>
      <c r="I2337" s="35">
        <v>1</v>
      </c>
      <c r="J2337" s="35">
        <v>1</v>
      </c>
      <c r="K2337" s="35">
        <v>6</v>
      </c>
      <c r="L2337" s="60" t="str">
        <f>HYPERLINK("https://www.sds-group.ru/product/dekorativnyy-svetilnik-feya-s-konfetti-i-melodiey-usb-neon-night-501-184/", "Инфо")</f>
        <v>Инфо</v>
      </c>
      <c r="M2337" s="37">
        <v>1.891</v>
      </c>
      <c r="N2337" s="38">
        <v>5.718E-3</v>
      </c>
      <c r="O2337" s="141">
        <v>4601004183995</v>
      </c>
    </row>
    <row r="2338" spans="1:15" s="1" customFormat="1" ht="11.45" customHeight="1" outlineLevel="4" x14ac:dyDescent="0.2">
      <c r="A2338" s="32" t="s">
        <v>20955</v>
      </c>
      <c r="B2338" s="74" t="s">
        <v>20956</v>
      </c>
      <c r="C2338" s="50"/>
      <c r="D2338" s="139">
        <f t="shared" si="36"/>
        <v>0</v>
      </c>
      <c r="E2338" s="140">
        <v>1022.57</v>
      </c>
      <c r="F2338" s="140">
        <v>838.17</v>
      </c>
      <c r="G2338" s="34" t="s">
        <v>100</v>
      </c>
      <c r="H2338" s="34" t="s">
        <v>39</v>
      </c>
      <c r="I2338" s="35">
        <v>1</v>
      </c>
      <c r="J2338" s="35">
        <v>1</v>
      </c>
      <c r="K2338" s="35">
        <v>6</v>
      </c>
      <c r="L2338" s="60" t="str">
        <f>HYPERLINK("https://www.sds-group.ru/product/dekorativnyy-fonar-s-effektom-snegopada-i-podsvetkoy-novyy-god-501-161/", "Инфо")</f>
        <v>Инфо</v>
      </c>
      <c r="M2338" s="37">
        <v>1.8819999999999999</v>
      </c>
      <c r="N2338" s="38">
        <v>7.4830000000000001E-3</v>
      </c>
      <c r="O2338" s="141">
        <v>4601004252356</v>
      </c>
    </row>
    <row r="2339" spans="1:15" ht="11.45" customHeight="1" outlineLevel="3" x14ac:dyDescent="0.2">
      <c r="A2339" s="76" t="s">
        <v>20981</v>
      </c>
      <c r="B2339" s="136"/>
      <c r="C2339" s="77"/>
      <c r="D2339" s="137"/>
      <c r="E2339" s="4"/>
      <c r="F2339" s="4"/>
      <c r="G2339" s="4"/>
      <c r="H2339" s="4"/>
      <c r="I2339" s="4"/>
      <c r="J2339" s="4"/>
      <c r="K2339" s="4"/>
      <c r="L2339" s="138"/>
      <c r="M2339" s="4"/>
      <c r="N2339" s="4"/>
      <c r="O2339" s="4"/>
    </row>
    <row r="2340" spans="1:15" s="1" customFormat="1" ht="11.45" customHeight="1" outlineLevel="4" x14ac:dyDescent="0.2">
      <c r="A2340" s="32" t="s">
        <v>20982</v>
      </c>
      <c r="B2340" s="74" t="s">
        <v>20983</v>
      </c>
      <c r="C2340" s="50"/>
      <c r="D2340" s="139">
        <f t="shared" si="36"/>
        <v>0</v>
      </c>
      <c r="E2340" s="140">
        <v>487.35</v>
      </c>
      <c r="F2340" s="140">
        <v>399.47</v>
      </c>
      <c r="G2340" s="34" t="s">
        <v>100</v>
      </c>
      <c r="H2340" s="34" t="s">
        <v>39</v>
      </c>
      <c r="I2340" s="35">
        <v>1</v>
      </c>
      <c r="J2340" s="35">
        <v>1</v>
      </c>
      <c r="K2340" s="35">
        <v>6</v>
      </c>
      <c r="L2340" s="60" t="str">
        <f>HYPERLINK("https://www.sds-group.ru/product/dekorativnyy-fonar-na-podstavke-so-svechkoy-bronzovyy-korpus-razmer-14-5h17h31sm-tsvet-teply-513-058/", "Инфо")</f>
        <v>Инфо</v>
      </c>
      <c r="M2340" s="37">
        <v>0.56899999999999995</v>
      </c>
      <c r="N2340" s="38">
        <v>1.0281999999999999E-2</v>
      </c>
      <c r="O2340" s="141">
        <v>4601004279223</v>
      </c>
    </row>
    <row r="2341" spans="1:15" s="1" customFormat="1" ht="11.45" customHeight="1" outlineLevel="4" x14ac:dyDescent="0.2">
      <c r="A2341" s="32" t="s">
        <v>20996</v>
      </c>
      <c r="B2341" s="74" t="s">
        <v>20997</v>
      </c>
      <c r="C2341" s="50"/>
      <c r="D2341" s="139">
        <f t="shared" si="36"/>
        <v>0</v>
      </c>
      <c r="E2341" s="140">
        <v>336.74</v>
      </c>
      <c r="F2341" s="140">
        <v>276.02</v>
      </c>
      <c r="G2341" s="34" t="s">
        <v>100</v>
      </c>
      <c r="H2341" s="34" t="s">
        <v>39</v>
      </c>
      <c r="I2341" s="35">
        <v>1</v>
      </c>
      <c r="J2341" s="35">
        <v>1</v>
      </c>
      <c r="K2341" s="35">
        <v>12</v>
      </c>
      <c r="L2341" s="60" t="str">
        <f>HYPERLINK("https://www.sds-group.ru/product/dekorativnyy-fonar-s-sharikami-12h12h20-6-sm-belyy-korpus-teplyy-belyy-tsvet-svecheniya-neon-513-062/", "Инфо")</f>
        <v>Инфо</v>
      </c>
      <c r="M2341" s="37">
        <v>0.40799999999999997</v>
      </c>
      <c r="N2341" s="38">
        <v>3.3519999999999999E-3</v>
      </c>
      <c r="O2341" s="141">
        <v>4601004179677</v>
      </c>
    </row>
    <row r="2342" spans="1:15" s="1" customFormat="1" ht="11.45" customHeight="1" outlineLevel="4" x14ac:dyDescent="0.2">
      <c r="A2342" s="32" t="s">
        <v>20998</v>
      </c>
      <c r="B2342" s="74" t="s">
        <v>20999</v>
      </c>
      <c r="C2342" s="50"/>
      <c r="D2342" s="139">
        <f t="shared" si="36"/>
        <v>0</v>
      </c>
      <c r="E2342" s="140">
        <v>336.74</v>
      </c>
      <c r="F2342" s="140">
        <v>276.02</v>
      </c>
      <c r="G2342" s="34" t="s">
        <v>100</v>
      </c>
      <c r="H2342" s="34" t="s">
        <v>39</v>
      </c>
      <c r="I2342" s="35">
        <v>1</v>
      </c>
      <c r="J2342" s="35">
        <v>1</v>
      </c>
      <c r="K2342" s="35">
        <v>12</v>
      </c>
      <c r="L2342" s="60" t="str">
        <f>HYPERLINK("https://www.sds-group.ru/product/dekorativnyy-fonar-s-sharikami-12h12h20-6-sm-chernyy-korpus-teplyy-belyy-tsvet-svecheniya-ne-513-061/", "Инфо")</f>
        <v>Инфо</v>
      </c>
      <c r="M2342" s="37">
        <v>0.38800000000000001</v>
      </c>
      <c r="N2342" s="38">
        <v>3.192E-3</v>
      </c>
      <c r="O2342" s="141">
        <v>4601004179660</v>
      </c>
    </row>
    <row r="2343" spans="1:15" s="1" customFormat="1" ht="11.45" customHeight="1" outlineLevel="4" x14ac:dyDescent="0.2">
      <c r="A2343" s="32" t="s">
        <v>21000</v>
      </c>
      <c r="B2343" s="74" t="s">
        <v>21001</v>
      </c>
      <c r="C2343" s="50"/>
      <c r="D2343" s="139">
        <f t="shared" si="36"/>
        <v>0</v>
      </c>
      <c r="E2343" s="140">
        <v>336.74</v>
      </c>
      <c r="F2343" s="140">
        <v>276.02</v>
      </c>
      <c r="G2343" s="34" t="s">
        <v>100</v>
      </c>
      <c r="H2343" s="34" t="s">
        <v>39</v>
      </c>
      <c r="I2343" s="35">
        <v>1</v>
      </c>
      <c r="J2343" s="35">
        <v>1</v>
      </c>
      <c r="K2343" s="35">
        <v>12</v>
      </c>
      <c r="L2343" s="60" t="str">
        <f>HYPERLINK("https://www.sds-group.ru/product/dekorativnyy-fonar-11h11h22-5-sm-chernyy-korpus-tsvet-svecheniya-rgb-s-effektom-mertsaniya-n-513-064/", "Инфо")</f>
        <v>Инфо</v>
      </c>
      <c r="M2343" s="37">
        <v>0.38900000000000001</v>
      </c>
      <c r="N2343" s="38">
        <v>3.3960000000000001E-3</v>
      </c>
      <c r="O2343" s="141">
        <v>4601004179684</v>
      </c>
    </row>
    <row r="2344" spans="1:15" s="1" customFormat="1" ht="11.45" customHeight="1" outlineLevel="4" x14ac:dyDescent="0.2">
      <c r="A2344" s="32" t="s">
        <v>21002</v>
      </c>
      <c r="B2344" s="74" t="s">
        <v>21003</v>
      </c>
      <c r="C2344" s="50"/>
      <c r="D2344" s="139">
        <f t="shared" si="36"/>
        <v>0</v>
      </c>
      <c r="E2344" s="140">
        <v>336.74</v>
      </c>
      <c r="F2344" s="140">
        <v>276.02</v>
      </c>
      <c r="G2344" s="34" t="s">
        <v>100</v>
      </c>
      <c r="H2344" s="34" t="s">
        <v>39</v>
      </c>
      <c r="I2344" s="35">
        <v>1</v>
      </c>
      <c r="J2344" s="35">
        <v>1</v>
      </c>
      <c r="K2344" s="35">
        <v>12</v>
      </c>
      <c r="L2344" s="60" t="str">
        <f>HYPERLINK("https://www.sds-group.ru/product/dekorativnyy-fonar-11h11h22-5-sm-chernyy-korpus-teplyy-belyy-tsvet-svecheniya-s-effektom-mer-513-065/", "Инфо")</f>
        <v>Инфо</v>
      </c>
      <c r="M2344" s="37">
        <v>0.39200000000000002</v>
      </c>
      <c r="N2344" s="38">
        <v>3.2569999999999999E-3</v>
      </c>
      <c r="O2344" s="141">
        <v>4601004179691</v>
      </c>
    </row>
    <row r="2345" spans="1:15" s="1" customFormat="1" ht="11.45" customHeight="1" outlineLevel="4" x14ac:dyDescent="0.2">
      <c r="A2345" s="32" t="s">
        <v>21004</v>
      </c>
      <c r="B2345" s="74" t="s">
        <v>21005</v>
      </c>
      <c r="C2345" s="50"/>
      <c r="D2345" s="139">
        <f t="shared" si="36"/>
        <v>0</v>
      </c>
      <c r="E2345" s="140">
        <v>385.01</v>
      </c>
      <c r="F2345" s="140">
        <v>315.58</v>
      </c>
      <c r="G2345" s="34" t="s">
        <v>100</v>
      </c>
      <c r="H2345" s="34" t="s">
        <v>39</v>
      </c>
      <c r="I2345" s="35">
        <v>1</v>
      </c>
      <c r="J2345" s="35">
        <v>1</v>
      </c>
      <c r="K2345" s="35">
        <v>12</v>
      </c>
      <c r="L2345" s="60" t="str">
        <f>HYPERLINK("https://www.sds-group.ru/product/dekorativnyy-fonar-12h12h20-6-sm-belyy-korpus-teplyy-belyy-tsvet-svecheniya-s-effektom-plame-513-067/", "Инфо")</f>
        <v>Инфо</v>
      </c>
      <c r="M2345" s="37">
        <v>0.40699999999999997</v>
      </c>
      <c r="N2345" s="38">
        <v>3.3419999999999999E-3</v>
      </c>
      <c r="O2345" s="141">
        <v>4601004179714</v>
      </c>
    </row>
    <row r="2346" spans="1:15" s="1" customFormat="1" ht="11.45" customHeight="1" outlineLevel="4" x14ac:dyDescent="0.2">
      <c r="A2346" s="32" t="s">
        <v>21006</v>
      </c>
      <c r="B2346" s="74" t="s">
        <v>21007</v>
      </c>
      <c r="C2346" s="50"/>
      <c r="D2346" s="139">
        <f t="shared" si="36"/>
        <v>0</v>
      </c>
      <c r="E2346" s="140">
        <v>95.87</v>
      </c>
      <c r="F2346" s="140">
        <v>78.58</v>
      </c>
      <c r="G2346" s="34" t="s">
        <v>100</v>
      </c>
      <c r="H2346" s="34" t="s">
        <v>39</v>
      </c>
      <c r="I2346" s="35">
        <v>12</v>
      </c>
      <c r="J2346" s="35">
        <v>12</v>
      </c>
      <c r="K2346" s="35">
        <v>48</v>
      </c>
      <c r="L2346" s="60" t="str">
        <f>HYPERLINK("https://www.sds-group.ru/product/dekorativnyy-fonar-so-svechkoy-9-5sm-tsvet-korpusa-belyy-chernyy-tsvet-svecheniya-teplyy-bel-513-069/", "Инфо")</f>
        <v>Инфо</v>
      </c>
      <c r="M2346" s="37">
        <v>3.2000000000000001E-2</v>
      </c>
      <c r="N2346" s="38">
        <v>2.7099999999999997E-4</v>
      </c>
      <c r="O2346" s="141">
        <v>4601004308923</v>
      </c>
    </row>
    <row r="2347" spans="1:15" s="1" customFormat="1" ht="11.45" customHeight="1" outlineLevel="4" x14ac:dyDescent="0.2">
      <c r="A2347" s="32" t="s">
        <v>21020</v>
      </c>
      <c r="B2347" s="74" t="s">
        <v>21021</v>
      </c>
      <c r="C2347" s="50"/>
      <c r="D2347" s="139">
        <f t="shared" si="36"/>
        <v>0</v>
      </c>
      <c r="E2347" s="140">
        <v>288.66000000000003</v>
      </c>
      <c r="F2347" s="140">
        <v>236.61</v>
      </c>
      <c r="G2347" s="34" t="s">
        <v>100</v>
      </c>
      <c r="H2347" s="34" t="s">
        <v>39</v>
      </c>
      <c r="I2347" s="35">
        <v>1</v>
      </c>
      <c r="J2347" s="35">
        <v>1</v>
      </c>
      <c r="K2347" s="35">
        <v>12</v>
      </c>
      <c r="L2347" s="60" t="str">
        <f>HYPERLINK("https://www.sds-group.ru/product/dekorativnyy-fonar-so-svechkoy-krasnyy-korpus-razmer-10-5h10-5h24sm-tsvet-teplyy-belyy-513-059/", "Инфо")</f>
        <v>Инфо</v>
      </c>
      <c r="M2347" s="37">
        <v>0.41</v>
      </c>
      <c r="N2347" s="38">
        <v>3.5530000000000002E-3</v>
      </c>
      <c r="O2347" s="141">
        <v>4601004279346</v>
      </c>
    </row>
    <row r="2348" spans="1:15" s="1" customFormat="1" ht="11.45" customHeight="1" outlineLevel="4" x14ac:dyDescent="0.2">
      <c r="A2348" s="32" t="s">
        <v>21030</v>
      </c>
      <c r="B2348" s="74" t="s">
        <v>21031</v>
      </c>
      <c r="C2348" s="50"/>
      <c r="D2348" s="139">
        <f t="shared" si="36"/>
        <v>0</v>
      </c>
      <c r="E2348" s="140">
        <v>438.57</v>
      </c>
      <c r="F2348" s="140">
        <v>359.48</v>
      </c>
      <c r="G2348" s="34" t="s">
        <v>100</v>
      </c>
      <c r="H2348" s="34" t="s">
        <v>39</v>
      </c>
      <c r="I2348" s="35">
        <v>1</v>
      </c>
      <c r="J2348" s="35">
        <v>1</v>
      </c>
      <c r="K2348" s="35">
        <v>6</v>
      </c>
      <c r="L2348" s="60" t="str">
        <f>HYPERLINK("https://www.sds-group.ru/product/dekorativnyy-fonar-so-svechoy-14x14x29-sm-chernyy-korpus-teplyy-belyy-tsvet-svecheniya-neon--513-045/", "Инфо")</f>
        <v>Инфо</v>
      </c>
      <c r="M2348" s="37">
        <v>0.77100000000000002</v>
      </c>
      <c r="N2348" s="38">
        <v>7.6290000000000004E-3</v>
      </c>
      <c r="O2348" s="141">
        <v>4601004180857</v>
      </c>
    </row>
    <row r="2349" spans="1:15" s="1" customFormat="1" ht="11.45" customHeight="1" outlineLevel="4" x14ac:dyDescent="0.2">
      <c r="A2349" s="32" t="s">
        <v>21036</v>
      </c>
      <c r="B2349" s="74" t="s">
        <v>21037</v>
      </c>
      <c r="C2349" s="50"/>
      <c r="D2349" s="139">
        <f t="shared" si="36"/>
        <v>0</v>
      </c>
      <c r="E2349" s="140">
        <v>115.23</v>
      </c>
      <c r="F2349" s="140">
        <v>94.45</v>
      </c>
      <c r="G2349" s="34" t="s">
        <v>100</v>
      </c>
      <c r="H2349" s="34" t="s">
        <v>39</v>
      </c>
      <c r="I2349" s="35">
        <v>12</v>
      </c>
      <c r="J2349" s="35">
        <v>12</v>
      </c>
      <c r="K2349" s="35">
        <v>240</v>
      </c>
      <c r="L2349" s="60" t="str">
        <f>HYPERLINK("https://www.sds-group.ru/product/fonar-dekorativnyy-figura-so-svechkoy-5-5h5-5h12-5sm-tsvet-korpusa-belyy-krasnyy-chernyy-tsv-513-068/", "Инфо")</f>
        <v>Инфо</v>
      </c>
      <c r="M2349" s="37">
        <v>6.5000000000000002E-2</v>
      </c>
      <c r="N2349" s="38">
        <v>4.35E-4</v>
      </c>
      <c r="O2349" s="141">
        <v>4601004311152</v>
      </c>
    </row>
    <row r="2350" spans="1:15" s="1" customFormat="1" ht="11.45" customHeight="1" outlineLevel="4" x14ac:dyDescent="0.2">
      <c r="A2350" s="32" t="s">
        <v>21040</v>
      </c>
      <c r="B2350" s="74" t="s">
        <v>21041</v>
      </c>
      <c r="C2350" s="50"/>
      <c r="D2350" s="139">
        <f t="shared" si="36"/>
        <v>0</v>
      </c>
      <c r="E2350" s="140">
        <v>1314.56</v>
      </c>
      <c r="F2350" s="140">
        <v>1077.51</v>
      </c>
      <c r="G2350" s="34" t="s">
        <v>100</v>
      </c>
      <c r="H2350" s="34" t="s">
        <v>39</v>
      </c>
      <c r="I2350" s="35">
        <v>1</v>
      </c>
      <c r="J2350" s="35">
        <v>1</v>
      </c>
      <c r="K2350" s="35">
        <v>4</v>
      </c>
      <c r="L2350" s="60" t="str">
        <f>HYPERLINK("https://www.sds-group.ru/product/fonar-dekorativnyy-so-svechkoy-korpus-iz-dereva-bezhevyy-15h15h38cm-teplyy-belyy-neon-night-513-073/", "Инфо")</f>
        <v>Инфо</v>
      </c>
      <c r="M2350" s="37">
        <v>1.2709999999999999</v>
      </c>
      <c r="N2350" s="38">
        <v>9.5809999999999992E-3</v>
      </c>
      <c r="O2350" s="141">
        <v>4601004304765</v>
      </c>
    </row>
    <row r="2351" spans="1:15" s="1" customFormat="1" ht="11.45" customHeight="1" outlineLevel="4" x14ac:dyDescent="0.2">
      <c r="A2351" s="32" t="s">
        <v>21042</v>
      </c>
      <c r="B2351" s="74" t="s">
        <v>21043</v>
      </c>
      <c r="C2351" s="50"/>
      <c r="D2351" s="139">
        <f t="shared" si="36"/>
        <v>0</v>
      </c>
      <c r="E2351" s="140">
        <v>1314.56</v>
      </c>
      <c r="F2351" s="140">
        <v>1077.51</v>
      </c>
      <c r="G2351" s="34" t="s">
        <v>100</v>
      </c>
      <c r="H2351" s="34" t="s">
        <v>39</v>
      </c>
      <c r="I2351" s="35">
        <v>1</v>
      </c>
      <c r="J2351" s="35">
        <v>1</v>
      </c>
      <c r="K2351" s="35">
        <v>4</v>
      </c>
      <c r="L2351" s="60" t="str">
        <f>HYPERLINK("https://www.sds-group.ru/product/fonar-dekorativnyy-so-svechkoy-korpus-iz-dereva-korichnevyy-15h15h38cm-teplyy-belyy-neon-nig-513-074/", "Инфо")</f>
        <v>Инфо</v>
      </c>
      <c r="M2351" s="37">
        <v>1.254</v>
      </c>
      <c r="N2351" s="38">
        <v>9.3200000000000002E-3</v>
      </c>
      <c r="O2351" s="141">
        <v>4601004304758</v>
      </c>
    </row>
    <row r="2352" spans="1:15" ht="11.45" customHeight="1" outlineLevel="3" x14ac:dyDescent="0.2">
      <c r="A2352" s="76" t="s">
        <v>21044</v>
      </c>
      <c r="B2352" s="136"/>
      <c r="C2352" s="77"/>
      <c r="D2352" s="137"/>
      <c r="E2352" s="4"/>
      <c r="F2352" s="4"/>
      <c r="G2352" s="4"/>
      <c r="H2352" s="4"/>
      <c r="I2352" s="4"/>
      <c r="J2352" s="4"/>
      <c r="K2352" s="4"/>
      <c r="L2352" s="138"/>
      <c r="M2352" s="4"/>
      <c r="N2352" s="4"/>
      <c r="O2352" s="4"/>
    </row>
    <row r="2353" spans="1:15" s="1" customFormat="1" ht="11.45" customHeight="1" outlineLevel="4" x14ac:dyDescent="0.2">
      <c r="A2353" s="32" t="s">
        <v>21045</v>
      </c>
      <c r="B2353" s="74" t="s">
        <v>21046</v>
      </c>
      <c r="C2353" s="50"/>
      <c r="D2353" s="139">
        <f t="shared" si="36"/>
        <v>0</v>
      </c>
      <c r="E2353" s="140">
        <v>487.35</v>
      </c>
      <c r="F2353" s="140">
        <v>399.47</v>
      </c>
      <c r="G2353" s="34" t="s">
        <v>100</v>
      </c>
      <c r="H2353" s="34" t="s">
        <v>39</v>
      </c>
      <c r="I2353" s="35">
        <v>1</v>
      </c>
      <c r="J2353" s="35">
        <v>1</v>
      </c>
      <c r="K2353" s="35">
        <v>12</v>
      </c>
      <c r="L2353" s="60" t="str">
        <f>HYPERLINK("https://www.sds-group.ru/product/dekorativnyy-svetilnik-lava-10h16-5-sm-batareyki-3haa-ne-v-komplekte-511-036/", "Инфо")</f>
        <v>Инфо</v>
      </c>
      <c r="M2353" s="37">
        <v>0.35199999999999998</v>
      </c>
      <c r="N2353" s="38">
        <v>4.3229999999999996E-3</v>
      </c>
      <c r="O2353" s="141">
        <v>4601004151314</v>
      </c>
    </row>
    <row r="2354" spans="1:15" s="1" customFormat="1" ht="11.45" customHeight="1" outlineLevel="4" x14ac:dyDescent="0.2">
      <c r="A2354" s="32" t="s">
        <v>21047</v>
      </c>
      <c r="B2354" s="74" t="s">
        <v>21048</v>
      </c>
      <c r="C2354" s="50"/>
      <c r="D2354" s="139">
        <f t="shared" si="36"/>
        <v>0</v>
      </c>
      <c r="E2354" s="140">
        <v>745.76</v>
      </c>
      <c r="F2354" s="140">
        <v>611.28</v>
      </c>
      <c r="G2354" s="34" t="s">
        <v>100</v>
      </c>
      <c r="H2354" s="34" t="s">
        <v>39</v>
      </c>
      <c r="I2354" s="35">
        <v>1</v>
      </c>
      <c r="J2354" s="35">
        <v>1</v>
      </c>
      <c r="K2354" s="35">
        <v>4</v>
      </c>
      <c r="L2354" s="60" t="str">
        <f>HYPERLINK("https://www.sds-group.ru/product/dekorativnyy-svetilnik-lava-15h21-sm-batareyki-3haa-ne-v-komplekte-511-037/", "Инфо")</f>
        <v>Инфо</v>
      </c>
      <c r="M2354" s="37">
        <v>0.73799999999999999</v>
      </c>
      <c r="N2354" s="38">
        <v>7.9920000000000008E-3</v>
      </c>
      <c r="O2354" s="141">
        <v>4601004151321</v>
      </c>
    </row>
    <row r="2355" spans="1:15" s="1" customFormat="1" ht="11.45" customHeight="1" outlineLevel="4" x14ac:dyDescent="0.2">
      <c r="A2355" s="32" t="s">
        <v>21049</v>
      </c>
      <c r="B2355" s="74" t="s">
        <v>21050</v>
      </c>
      <c r="C2355" s="50"/>
      <c r="D2355" s="139">
        <f t="shared" si="36"/>
        <v>0</v>
      </c>
      <c r="E2355" s="140">
        <v>326.89</v>
      </c>
      <c r="F2355" s="140">
        <v>267.94</v>
      </c>
      <c r="G2355" s="34" t="s">
        <v>100</v>
      </c>
      <c r="H2355" s="34" t="s">
        <v>39</v>
      </c>
      <c r="I2355" s="35">
        <v>1</v>
      </c>
      <c r="J2355" s="35">
        <v>1</v>
      </c>
      <c r="K2355" s="35">
        <v>24</v>
      </c>
      <c r="L2355" s="60" t="str">
        <f>HYPERLINK("https://www.sds-group.ru/product/dekorativniy-svetilnik-lava-oslash-7-5h11-sm-batareyki-3haa-ne-v-komplekte-20070/", "Инфо")</f>
        <v>Инфо</v>
      </c>
      <c r="M2355" s="37">
        <v>0.188</v>
      </c>
      <c r="N2355" s="38">
        <v>1.8799999999999999E-3</v>
      </c>
      <c r="O2355" s="141">
        <v>4601004151307</v>
      </c>
    </row>
    <row r="2356" spans="1:15" s="1" customFormat="1" ht="11.45" customHeight="1" outlineLevel="4" x14ac:dyDescent="0.2">
      <c r="A2356" s="32" t="s">
        <v>21051</v>
      </c>
      <c r="B2356" s="74" t="s">
        <v>21052</v>
      </c>
      <c r="C2356" s="50"/>
      <c r="D2356" s="139">
        <f t="shared" si="36"/>
        <v>0</v>
      </c>
      <c r="E2356" s="140">
        <v>629.30999999999995</v>
      </c>
      <c r="F2356" s="140">
        <v>515.83000000000004</v>
      </c>
      <c r="G2356" s="34" t="s">
        <v>100</v>
      </c>
      <c r="H2356" s="34" t="s">
        <v>39</v>
      </c>
      <c r="I2356" s="35">
        <v>1</v>
      </c>
      <c r="J2356" s="35">
        <v>1</v>
      </c>
      <c r="K2356" s="35">
        <v>12</v>
      </c>
      <c r="L2356" s="60" t="str">
        <f>HYPERLINK("https://www.sds-group.ru/product/dekorativnyy-svetilnik-kubok-12-5h12-5h33sm-rabotaet-ot-batareek-2haa-v-komplekt-ne-vhodyat--511-029/", "Инфо")</f>
        <v>Инфо</v>
      </c>
      <c r="M2356" s="37">
        <v>0.50900000000000001</v>
      </c>
      <c r="N2356" s="38">
        <v>7.901E-3</v>
      </c>
      <c r="O2356" s="141">
        <v>4601004279391</v>
      </c>
    </row>
    <row r="2357" spans="1:15" ht="11.45" customHeight="1" outlineLevel="3" x14ac:dyDescent="0.2">
      <c r="A2357" s="76" t="s">
        <v>21095</v>
      </c>
      <c r="B2357" s="136"/>
      <c r="C2357" s="77"/>
      <c r="D2357" s="137"/>
      <c r="E2357" s="4"/>
      <c r="F2357" s="4"/>
      <c r="G2357" s="4"/>
      <c r="H2357" s="4"/>
      <c r="I2357" s="4"/>
      <c r="J2357" s="4"/>
      <c r="K2357" s="4"/>
      <c r="L2357" s="138"/>
      <c r="M2357" s="4"/>
      <c r="N2357" s="4"/>
      <c r="O2357" s="4"/>
    </row>
    <row r="2358" spans="1:15" s="1" customFormat="1" ht="11.45" customHeight="1" outlineLevel="4" x14ac:dyDescent="0.2">
      <c r="A2358" s="32" t="s">
        <v>21096</v>
      </c>
      <c r="B2358" s="74" t="s">
        <v>21097</v>
      </c>
      <c r="C2358" s="50"/>
      <c r="D2358" s="139">
        <f t="shared" si="36"/>
        <v>0</v>
      </c>
      <c r="E2358" s="140">
        <v>580.53</v>
      </c>
      <c r="F2358" s="140">
        <v>475.84</v>
      </c>
      <c r="G2358" s="34" t="s">
        <v>100</v>
      </c>
      <c r="H2358" s="34" t="s">
        <v>39</v>
      </c>
      <c r="I2358" s="35">
        <v>1</v>
      </c>
      <c r="J2358" s="35">
        <v>1</v>
      </c>
      <c r="K2358" s="35">
        <v>12</v>
      </c>
      <c r="L2358" s="60" t="str">
        <f>HYPERLINK("https://www.sds-group.ru/product/derevyannaya-figura-s-podsvetkoy-zvezda-dvoynaya-30h4h30-sm-504-027/", "Инфо")</f>
        <v>Инфо</v>
      </c>
      <c r="M2358" s="37">
        <v>0.66600000000000004</v>
      </c>
      <c r="N2358" s="38">
        <v>5.5880000000000001E-3</v>
      </c>
      <c r="O2358" s="141">
        <v>4601004145306</v>
      </c>
    </row>
    <row r="2359" spans="1:15" s="1" customFormat="1" ht="11.45" customHeight="1" outlineLevel="4" x14ac:dyDescent="0.2">
      <c r="A2359" s="32" t="s">
        <v>21100</v>
      </c>
      <c r="B2359" s="74" t="s">
        <v>21101</v>
      </c>
      <c r="C2359" s="50"/>
      <c r="D2359" s="139">
        <f t="shared" si="36"/>
        <v>0</v>
      </c>
      <c r="E2359" s="140">
        <v>192.31</v>
      </c>
      <c r="F2359" s="140">
        <v>157.63</v>
      </c>
      <c r="G2359" s="34" t="s">
        <v>100</v>
      </c>
      <c r="H2359" s="34" t="s">
        <v>39</v>
      </c>
      <c r="I2359" s="35">
        <v>1</v>
      </c>
      <c r="J2359" s="35">
        <v>1</v>
      </c>
      <c r="K2359" s="35">
        <v>48</v>
      </c>
      <c r="L2359" s="60" t="str">
        <f>HYPERLINK("https://www.sds-group.ru/product/derevyannaya-figurka-gnomik-17h4h15-sm-504-004/", "Инфо")</f>
        <v>Инфо</v>
      </c>
      <c r="M2359" s="37">
        <v>0.105</v>
      </c>
      <c r="N2359" s="38">
        <v>1.797E-3</v>
      </c>
      <c r="O2359" s="141">
        <v>4601004145238</v>
      </c>
    </row>
    <row r="2360" spans="1:15" s="1" customFormat="1" ht="11.45" customHeight="1" outlineLevel="4" x14ac:dyDescent="0.2">
      <c r="A2360" s="32" t="s">
        <v>21104</v>
      </c>
      <c r="B2360" s="74" t="s">
        <v>21105</v>
      </c>
      <c r="C2360" s="50"/>
      <c r="D2360" s="139">
        <f t="shared" si="36"/>
        <v>0</v>
      </c>
      <c r="E2360" s="140">
        <v>492.9</v>
      </c>
      <c r="F2360" s="140">
        <v>404.02</v>
      </c>
      <c r="G2360" s="34" t="s">
        <v>100</v>
      </c>
      <c r="H2360" s="34" t="s">
        <v>39</v>
      </c>
      <c r="I2360" s="35">
        <v>1</v>
      </c>
      <c r="J2360" s="35">
        <v>1</v>
      </c>
      <c r="K2360" s="35">
        <v>8</v>
      </c>
      <c r="L2360" s="60" t="str">
        <f>HYPERLINK("https://www.sds-group.ru/product/derevyannaya-figurka-igrushechnyy-poni-belyy-25h5-5h26-5-sm-504-044/", "Инфо")</f>
        <v>Инфо</v>
      </c>
      <c r="M2360" s="37">
        <v>0.29899999999999999</v>
      </c>
      <c r="N2360" s="38">
        <v>5.4590000000000003E-3</v>
      </c>
      <c r="O2360" s="141">
        <v>4601004145283</v>
      </c>
    </row>
    <row r="2361" spans="1:15" s="1" customFormat="1" ht="11.45" customHeight="1" outlineLevel="4" x14ac:dyDescent="0.2">
      <c r="A2361" s="32" t="s">
        <v>21106</v>
      </c>
      <c r="B2361" s="74" t="s">
        <v>21107</v>
      </c>
      <c r="C2361" s="50"/>
      <c r="D2361" s="139">
        <f t="shared" si="36"/>
        <v>0</v>
      </c>
      <c r="E2361" s="140">
        <v>192.31</v>
      </c>
      <c r="F2361" s="140">
        <v>157.63</v>
      </c>
      <c r="G2361" s="34" t="s">
        <v>100</v>
      </c>
      <c r="H2361" s="34" t="s">
        <v>39</v>
      </c>
      <c r="I2361" s="35">
        <v>1</v>
      </c>
      <c r="J2361" s="35">
        <v>1</v>
      </c>
      <c r="K2361" s="35">
        <v>48</v>
      </c>
      <c r="L2361" s="60" t="str">
        <f>HYPERLINK("https://www.sds-group.ru/product/derevyannaya-figurka-rozhdestvenskiy-olen-rozovyy-10-5x4x18-sm-504-006/", "Инфо")</f>
        <v>Инфо</v>
      </c>
      <c r="M2361" s="37">
        <v>7.8E-2</v>
      </c>
      <c r="N2361" s="38">
        <v>1.413E-3</v>
      </c>
      <c r="O2361" s="141">
        <v>4601004145252</v>
      </c>
    </row>
    <row r="2362" spans="1:15" s="1" customFormat="1" ht="11.45" customHeight="1" outlineLevel="4" x14ac:dyDescent="0.2">
      <c r="A2362" s="32" t="s">
        <v>21108</v>
      </c>
      <c r="B2362" s="74" t="s">
        <v>21109</v>
      </c>
      <c r="C2362" s="50"/>
      <c r="D2362" s="139">
        <f t="shared" si="36"/>
        <v>0</v>
      </c>
      <c r="E2362" s="140">
        <v>288.66000000000003</v>
      </c>
      <c r="F2362" s="140">
        <v>236.61</v>
      </c>
      <c r="G2362" s="34" t="s">
        <v>100</v>
      </c>
      <c r="H2362" s="34" t="s">
        <v>39</v>
      </c>
      <c r="I2362" s="35">
        <v>1</v>
      </c>
      <c r="J2362" s="35">
        <v>1</v>
      </c>
      <c r="K2362" s="35">
        <v>36</v>
      </c>
      <c r="L2362" s="60" t="str">
        <f>HYPERLINK("https://www.sds-group.ru/product/derevyannaya-figurka-s-podsvetkoy-volshebnyy-fonarik-13-8x11x11-sm-504-023/", "Инфо")</f>
        <v>Инфо</v>
      </c>
      <c r="M2362" s="37">
        <v>0.14000000000000001</v>
      </c>
      <c r="N2362" s="38">
        <v>2.313E-3</v>
      </c>
      <c r="O2362" s="141">
        <v>4601004129986</v>
      </c>
    </row>
    <row r="2363" spans="1:15" s="1" customFormat="1" ht="11.45" customHeight="1" outlineLevel="4" x14ac:dyDescent="0.2">
      <c r="A2363" s="32" t="s">
        <v>21110</v>
      </c>
      <c r="B2363" s="74" t="s">
        <v>21111</v>
      </c>
      <c r="C2363" s="50"/>
      <c r="D2363" s="139">
        <f t="shared" si="36"/>
        <v>0</v>
      </c>
      <c r="E2363" s="140">
        <v>269.39</v>
      </c>
      <c r="F2363" s="140">
        <v>220.81</v>
      </c>
      <c r="G2363" s="34" t="s">
        <v>100</v>
      </c>
      <c r="H2363" s="34" t="s">
        <v>39</v>
      </c>
      <c r="I2363" s="35">
        <v>1</v>
      </c>
      <c r="J2363" s="35">
        <v>1</v>
      </c>
      <c r="K2363" s="35">
        <v>48</v>
      </c>
      <c r="L2363" s="60" t="str">
        <f>HYPERLINK("https://www.sds-group.ru/product/derevyannaya-figurka-s-podsvetkoy-elochka-11-5x5x19-sm-504-012/", "Инфо")</f>
        <v>Инфо</v>
      </c>
      <c r="M2363" s="37">
        <v>0.14299999999999999</v>
      </c>
      <c r="N2363" s="38">
        <v>1.977E-3</v>
      </c>
      <c r="O2363" s="141">
        <v>4601004129931</v>
      </c>
    </row>
    <row r="2364" spans="1:15" s="1" customFormat="1" ht="11.45" customHeight="1" outlineLevel="4" x14ac:dyDescent="0.2">
      <c r="A2364" s="32" t="s">
        <v>21112</v>
      </c>
      <c r="B2364" s="74" t="s">
        <v>21113</v>
      </c>
      <c r="C2364" s="50"/>
      <c r="D2364" s="139">
        <f t="shared" si="36"/>
        <v>0</v>
      </c>
      <c r="E2364" s="140">
        <v>226.8</v>
      </c>
      <c r="F2364" s="140">
        <v>185.9</v>
      </c>
      <c r="G2364" s="34" t="s">
        <v>100</v>
      </c>
      <c r="H2364" s="34" t="s">
        <v>39</v>
      </c>
      <c r="I2364" s="35">
        <v>1</v>
      </c>
      <c r="J2364" s="35">
        <v>1</v>
      </c>
      <c r="K2364" s="35">
        <v>72</v>
      </c>
      <c r="L2364" s="60" t="str">
        <f>HYPERLINK("https://www.sds-group.ru/product/derevyannaya-figurka-s-podsvetkoy-elochka-9x5x19-sm-504-011/", "Инфо")</f>
        <v>Инфо</v>
      </c>
      <c r="M2364" s="37">
        <v>7.4999999999999997E-2</v>
      </c>
      <c r="N2364" s="38">
        <v>7.9100000000000004E-4</v>
      </c>
      <c r="O2364" s="141">
        <v>4601004129900</v>
      </c>
    </row>
    <row r="2365" spans="1:15" s="1" customFormat="1" ht="11.45" customHeight="1" outlineLevel="4" x14ac:dyDescent="0.2">
      <c r="A2365" s="32" t="s">
        <v>21114</v>
      </c>
      <c r="B2365" s="74" t="s">
        <v>21115</v>
      </c>
      <c r="C2365" s="50"/>
      <c r="D2365" s="139">
        <f t="shared" si="36"/>
        <v>0</v>
      </c>
      <c r="E2365" s="140">
        <v>269.39</v>
      </c>
      <c r="F2365" s="140">
        <v>220.81</v>
      </c>
      <c r="G2365" s="34" t="s">
        <v>100</v>
      </c>
      <c r="H2365" s="34" t="s">
        <v>39</v>
      </c>
      <c r="I2365" s="35">
        <v>1</v>
      </c>
      <c r="J2365" s="35">
        <v>1</v>
      </c>
      <c r="K2365" s="35">
        <v>36</v>
      </c>
      <c r="L2365" s="60" t="str">
        <f>HYPERLINK("https://www.sds-group.ru/product/derevyannaya-figurka-s-podsvetkoy-elochka-s-olenem-12x6x21-5-sm-504-002/", "Инфо")</f>
        <v>Инфо</v>
      </c>
      <c r="M2365" s="37">
        <v>0.185</v>
      </c>
      <c r="N2365" s="38">
        <v>2.7550000000000001E-3</v>
      </c>
      <c r="O2365" s="141">
        <v>4601004129894</v>
      </c>
    </row>
    <row r="2366" spans="1:15" s="1" customFormat="1" ht="11.45" customHeight="1" outlineLevel="4" x14ac:dyDescent="0.2">
      <c r="A2366" s="32" t="s">
        <v>21116</v>
      </c>
      <c r="B2366" s="74" t="s">
        <v>21117</v>
      </c>
      <c r="C2366" s="50"/>
      <c r="D2366" s="139">
        <f t="shared" si="36"/>
        <v>0</v>
      </c>
      <c r="E2366" s="140">
        <v>288.66000000000003</v>
      </c>
      <c r="F2366" s="140">
        <v>236.61</v>
      </c>
      <c r="G2366" s="34" t="s">
        <v>100</v>
      </c>
      <c r="H2366" s="34" t="s">
        <v>39</v>
      </c>
      <c r="I2366" s="35">
        <v>1</v>
      </c>
      <c r="J2366" s="35">
        <v>1</v>
      </c>
      <c r="K2366" s="35">
        <v>128</v>
      </c>
      <c r="L2366" s="60" t="str">
        <f>HYPERLINK("https://www.sds-group.ru/product/derevyannaya-figurka-s-podsvetkoy-zvezdochka-24x13x3-6-sm-504-022/", "Инфо")</f>
        <v>Инфо</v>
      </c>
      <c r="M2366" s="37">
        <v>9.0999999999999998E-2</v>
      </c>
      <c r="N2366" s="38">
        <v>3.0000000000000001E-6</v>
      </c>
      <c r="O2366" s="141">
        <v>4601004129993</v>
      </c>
    </row>
    <row r="2367" spans="1:15" s="1" customFormat="1" ht="11.45" customHeight="1" outlineLevel="4" x14ac:dyDescent="0.2">
      <c r="A2367" s="32" t="s">
        <v>21118</v>
      </c>
      <c r="B2367" s="74" t="s">
        <v>21119</v>
      </c>
      <c r="C2367" s="50"/>
      <c r="D2367" s="139">
        <f t="shared" si="36"/>
        <v>0</v>
      </c>
      <c r="E2367" s="140">
        <v>745.76</v>
      </c>
      <c r="F2367" s="140">
        <v>611.28</v>
      </c>
      <c r="G2367" s="34" t="s">
        <v>100</v>
      </c>
      <c r="H2367" s="34" t="s">
        <v>39</v>
      </c>
      <c r="I2367" s="35">
        <v>1</v>
      </c>
      <c r="J2367" s="35">
        <v>1</v>
      </c>
      <c r="K2367" s="35">
        <v>6</v>
      </c>
      <c r="L2367" s="60" t="str">
        <f>HYPERLINK("https://www.sds-group.ru/product/derevyannaya-figurka-s-podsvetkoy-rozhdestvenskaya-skazka-44-5x6x24-sm-504-021/", "Инфо")</f>
        <v>Инфо</v>
      </c>
      <c r="M2367" s="37">
        <v>0.55000000000000004</v>
      </c>
      <c r="N2367" s="38">
        <v>9.2110000000000004E-3</v>
      </c>
      <c r="O2367" s="141">
        <v>4601004130005</v>
      </c>
    </row>
    <row r="2368" spans="1:15" s="1" customFormat="1" ht="11.45" customHeight="1" outlineLevel="4" x14ac:dyDescent="0.2">
      <c r="A2368" s="32" t="s">
        <v>21120</v>
      </c>
      <c r="B2368" s="74" t="s">
        <v>21121</v>
      </c>
      <c r="C2368" s="50"/>
      <c r="D2368" s="139">
        <f t="shared" si="36"/>
        <v>0</v>
      </c>
      <c r="E2368" s="140">
        <v>487.35</v>
      </c>
      <c r="F2368" s="140">
        <v>399.47</v>
      </c>
      <c r="G2368" s="34" t="s">
        <v>100</v>
      </c>
      <c r="H2368" s="34" t="s">
        <v>39</v>
      </c>
      <c r="I2368" s="35">
        <v>1</v>
      </c>
      <c r="J2368" s="35">
        <v>1</v>
      </c>
      <c r="K2368" s="35">
        <v>24</v>
      </c>
      <c r="L2368" s="60" t="str">
        <f>HYPERLINK("https://www.sds-group.ru/product/derevyannaya-figurka-s-podsvetkoy-rozhdestvenskiy-olen-11h5h47-sm-504-007/", "Инфо")</f>
        <v>Инфо</v>
      </c>
      <c r="M2368" s="37">
        <v>0.27600000000000002</v>
      </c>
      <c r="N2368" s="38">
        <v>3.8400000000000001E-3</v>
      </c>
      <c r="O2368" s="141">
        <v>4601004145269</v>
      </c>
    </row>
    <row r="2369" spans="1:15" s="1" customFormat="1" ht="11.45" customHeight="1" outlineLevel="4" x14ac:dyDescent="0.2">
      <c r="A2369" s="32" t="s">
        <v>21122</v>
      </c>
      <c r="B2369" s="74" t="s">
        <v>21123</v>
      </c>
      <c r="C2369" s="50"/>
      <c r="D2369" s="139">
        <f t="shared" si="36"/>
        <v>0</v>
      </c>
      <c r="E2369" s="140">
        <v>580.53</v>
      </c>
      <c r="F2369" s="140">
        <v>475.84</v>
      </c>
      <c r="G2369" s="34" t="s">
        <v>100</v>
      </c>
      <c r="H2369" s="34" t="s">
        <v>39</v>
      </c>
      <c r="I2369" s="35">
        <v>1</v>
      </c>
      <c r="J2369" s="35">
        <v>1</v>
      </c>
      <c r="K2369" s="35">
        <v>12</v>
      </c>
      <c r="L2369" s="60" t="str">
        <f>HYPERLINK("https://www.sds-group.ru/product/derevyannaya-figurka-s-podsvetkoy-semeystvo-oleney-30h5h15-7-sm-504-026/", "Инфо")</f>
        <v>Инфо</v>
      </c>
      <c r="M2369" s="37">
        <v>0.22700000000000001</v>
      </c>
      <c r="N2369" s="38">
        <v>3.4970000000000001E-3</v>
      </c>
      <c r="O2369" s="141">
        <v>4601004145276</v>
      </c>
    </row>
    <row r="2370" spans="1:15" s="1" customFormat="1" ht="11.45" customHeight="1" outlineLevel="4" x14ac:dyDescent="0.2">
      <c r="A2370" s="32" t="s">
        <v>21126</v>
      </c>
      <c r="B2370" s="74" t="s">
        <v>21127</v>
      </c>
      <c r="C2370" s="50"/>
      <c r="D2370" s="139">
        <f t="shared" si="36"/>
        <v>0</v>
      </c>
      <c r="E2370" s="140">
        <v>67.55</v>
      </c>
      <c r="F2370" s="140">
        <v>55.37</v>
      </c>
      <c r="G2370" s="34" t="s">
        <v>100</v>
      </c>
      <c r="H2370" s="34" t="s">
        <v>39</v>
      </c>
      <c r="I2370" s="35">
        <v>1</v>
      </c>
      <c r="J2370" s="35">
        <v>1</v>
      </c>
      <c r="K2370" s="35">
        <v>300</v>
      </c>
      <c r="L2370" s="60" t="str">
        <f>HYPERLINK("https://www.sds-group.ru/product/derevyannye-prischepki-zvezdochki-16x4-5x1-3-cm-biryuzovye-6-sht-neon-night-504-033/", "Инфо")</f>
        <v>Инфо</v>
      </c>
      <c r="M2370" s="37">
        <v>0.02</v>
      </c>
      <c r="N2370" s="38">
        <v>1.6200000000000001E-4</v>
      </c>
      <c r="O2370" s="141">
        <v>4601004180819</v>
      </c>
    </row>
    <row r="2371" spans="1:15" ht="11.45" customHeight="1" outlineLevel="3" x14ac:dyDescent="0.2">
      <c r="A2371" s="76" t="s">
        <v>21130</v>
      </c>
      <c r="B2371" s="136"/>
      <c r="C2371" s="77"/>
      <c r="D2371" s="137"/>
      <c r="E2371" s="4"/>
      <c r="F2371" s="4"/>
      <c r="G2371" s="4"/>
      <c r="H2371" s="4"/>
      <c r="I2371" s="4"/>
      <c r="J2371" s="4"/>
      <c r="K2371" s="4"/>
      <c r="L2371" s="138"/>
      <c r="M2371" s="4"/>
      <c r="N2371" s="4"/>
      <c r="O2371" s="4"/>
    </row>
    <row r="2372" spans="1:15" s="1" customFormat="1" ht="11.45" customHeight="1" outlineLevel="4" x14ac:dyDescent="0.2">
      <c r="A2372" s="32" t="s">
        <v>21131</v>
      </c>
      <c r="B2372" s="74" t="s">
        <v>21132</v>
      </c>
      <c r="C2372" s="50"/>
      <c r="D2372" s="139">
        <f t="shared" si="36"/>
        <v>0</v>
      </c>
      <c r="E2372" s="140">
        <v>582.71</v>
      </c>
      <c r="F2372" s="140">
        <v>477.63</v>
      </c>
      <c r="G2372" s="34" t="s">
        <v>100</v>
      </c>
      <c r="H2372" s="34" t="s">
        <v>39</v>
      </c>
      <c r="I2372" s="35">
        <v>1</v>
      </c>
      <c r="J2372" s="35">
        <v>1</v>
      </c>
      <c r="K2372" s="35">
        <v>8</v>
      </c>
      <c r="L2372" s="60" t="str">
        <f>HYPERLINK("https://www.sds-group.ru/product/keramicheskaya-figurka-ded-moroz-v-sanyah-30-5h12-2h17-2-sm-505-029/", "Инфо")</f>
        <v>Инфо</v>
      </c>
      <c r="M2372" s="37">
        <v>1.292</v>
      </c>
      <c r="N2372" s="38">
        <v>7.1520000000000004E-3</v>
      </c>
      <c r="O2372" s="141">
        <v>4601004146419</v>
      </c>
    </row>
    <row r="2373" spans="1:15" s="1" customFormat="1" ht="11.45" customHeight="1" outlineLevel="4" x14ac:dyDescent="0.2">
      <c r="A2373" s="32" t="s">
        <v>21133</v>
      </c>
      <c r="B2373" s="74" t="s">
        <v>21134</v>
      </c>
      <c r="C2373" s="50"/>
      <c r="D2373" s="139">
        <f t="shared" si="36"/>
        <v>0</v>
      </c>
      <c r="E2373" s="140">
        <v>1707.82</v>
      </c>
      <c r="F2373" s="140">
        <v>1399.85</v>
      </c>
      <c r="G2373" s="34" t="s">
        <v>100</v>
      </c>
      <c r="H2373" s="34" t="s">
        <v>39</v>
      </c>
      <c r="I2373" s="35">
        <v>2</v>
      </c>
      <c r="J2373" s="35">
        <v>2</v>
      </c>
      <c r="K2373" s="35">
        <v>2</v>
      </c>
      <c r="L2373" s="60" t="str">
        <f>HYPERLINK("https://www.sds-group.ru/product/keramicheskaya-figurka-ded-moroz-na-kone-35h15h39-8-sm-505-012/", "Инфо")</f>
        <v>Инфо</v>
      </c>
      <c r="M2373" s="37">
        <v>3.4980000000000002</v>
      </c>
      <c r="N2373" s="38">
        <v>2.6505999999999998E-2</v>
      </c>
      <c r="O2373" s="141">
        <v>4601004146471</v>
      </c>
    </row>
    <row r="2374" spans="1:15" s="1" customFormat="1" ht="11.45" customHeight="1" outlineLevel="4" x14ac:dyDescent="0.2">
      <c r="A2374" s="32" t="s">
        <v>21135</v>
      </c>
      <c r="B2374" s="74" t="s">
        <v>21136</v>
      </c>
      <c r="C2374" s="50"/>
      <c r="D2374" s="139">
        <f t="shared" si="36"/>
        <v>0</v>
      </c>
      <c r="E2374" s="140">
        <v>144.04</v>
      </c>
      <c r="F2374" s="140">
        <v>118.07</v>
      </c>
      <c r="G2374" s="34" t="s">
        <v>100</v>
      </c>
      <c r="H2374" s="34" t="s">
        <v>39</v>
      </c>
      <c r="I2374" s="35">
        <v>1</v>
      </c>
      <c r="J2374" s="35">
        <v>1</v>
      </c>
      <c r="K2374" s="35">
        <v>72</v>
      </c>
      <c r="L2374" s="60" t="str">
        <f>HYPERLINK("https://www.sds-group.ru/product/keramicheskaya-figurka-domik-8x7x11-sm-505-022/", "Инфо")</f>
        <v>Инфо</v>
      </c>
      <c r="M2374" s="37">
        <v>0.19900000000000001</v>
      </c>
      <c r="N2374" s="38">
        <v>7.54E-4</v>
      </c>
      <c r="O2374" s="141">
        <v>4601004131118</v>
      </c>
    </row>
    <row r="2375" spans="1:15" s="1" customFormat="1" ht="11.45" customHeight="1" outlineLevel="4" x14ac:dyDescent="0.2">
      <c r="A2375" s="32" t="s">
        <v>21137</v>
      </c>
      <c r="B2375" s="74" t="s">
        <v>21138</v>
      </c>
      <c r="C2375" s="50"/>
      <c r="D2375" s="139">
        <f t="shared" si="36"/>
        <v>0</v>
      </c>
      <c r="E2375" s="140">
        <v>566.38</v>
      </c>
      <c r="F2375" s="140">
        <v>464.25</v>
      </c>
      <c r="G2375" s="34" t="s">
        <v>100</v>
      </c>
      <c r="H2375" s="34" t="s">
        <v>39</v>
      </c>
      <c r="I2375" s="35">
        <v>1</v>
      </c>
      <c r="J2375" s="35">
        <v>1</v>
      </c>
      <c r="K2375" s="35">
        <v>10</v>
      </c>
      <c r="L2375" s="60" t="str">
        <f>HYPERLINK("https://www.sds-group.ru/product/keramicheskaya-figurka-domik-so-snegovikom-26-2h9-5h23-3-sm-505-007/", "Инфо")</f>
        <v>Инфо</v>
      </c>
      <c r="M2375" s="37">
        <v>1.196</v>
      </c>
      <c r="N2375" s="38">
        <v>7.7790000000000003E-3</v>
      </c>
      <c r="O2375" s="141">
        <v>4601004146440</v>
      </c>
    </row>
    <row r="2376" spans="1:15" s="1" customFormat="1" ht="11.45" customHeight="1" outlineLevel="4" x14ac:dyDescent="0.2">
      <c r="A2376" s="32" t="s">
        <v>21139</v>
      </c>
      <c r="B2376" s="74" t="s">
        <v>21140</v>
      </c>
      <c r="C2376" s="50"/>
      <c r="D2376" s="139">
        <f t="shared" si="36"/>
        <v>0</v>
      </c>
      <c r="E2376" s="140">
        <v>206.53</v>
      </c>
      <c r="F2376" s="140">
        <v>169.29</v>
      </c>
      <c r="G2376" s="34" t="s">
        <v>100</v>
      </c>
      <c r="H2376" s="34" t="s">
        <v>39</v>
      </c>
      <c r="I2376" s="35">
        <v>1</v>
      </c>
      <c r="J2376" s="35">
        <v>1</v>
      </c>
      <c r="K2376" s="35">
        <v>24</v>
      </c>
      <c r="L2376" s="60" t="str">
        <f>HYPERLINK("https://www.sds-group.ru/product/keramicheskiy-podsvechnik-parovoz-17-1h7-1h14-7-sm-501-070/", "Инфо")</f>
        <v>Инфо</v>
      </c>
      <c r="M2376" s="37">
        <v>0.57499999999999996</v>
      </c>
      <c r="N2376" s="38">
        <v>2.0720000000000001E-3</v>
      </c>
      <c r="O2376" s="141">
        <v>4601004146501</v>
      </c>
    </row>
    <row r="2377" spans="1:15" s="1" customFormat="1" ht="11.45" customHeight="1" outlineLevel="4" x14ac:dyDescent="0.2">
      <c r="A2377" s="32" t="s">
        <v>21141</v>
      </c>
      <c r="B2377" s="74" t="s">
        <v>21142</v>
      </c>
      <c r="C2377" s="50"/>
      <c r="D2377" s="139">
        <f t="shared" si="36"/>
        <v>0</v>
      </c>
      <c r="E2377" s="140">
        <v>167.29</v>
      </c>
      <c r="F2377" s="140">
        <v>137.12</v>
      </c>
      <c r="G2377" s="34" t="s">
        <v>100</v>
      </c>
      <c r="H2377" s="34" t="s">
        <v>39</v>
      </c>
      <c r="I2377" s="35">
        <v>1</v>
      </c>
      <c r="J2377" s="35">
        <v>1</v>
      </c>
      <c r="K2377" s="35">
        <v>24</v>
      </c>
      <c r="L2377" s="60" t="str">
        <f>HYPERLINK("https://www.sds-group.ru/product/keramicheskiy-podsvechnik-svechka-12-5h6h19-3-sm-501-074/", "Инфо")</f>
        <v>Инфо</v>
      </c>
      <c r="M2377" s="37">
        <v>0.55000000000000004</v>
      </c>
      <c r="N2377" s="38">
        <v>1.7589999999999999E-3</v>
      </c>
      <c r="O2377" s="141">
        <v>4601004146549</v>
      </c>
    </row>
    <row r="2378" spans="1:15" ht="11.45" customHeight="1" outlineLevel="3" x14ac:dyDescent="0.2">
      <c r="A2378" s="76" t="s">
        <v>21148</v>
      </c>
      <c r="B2378" s="136"/>
      <c r="C2378" s="77"/>
      <c r="D2378" s="137"/>
      <c r="E2378" s="4"/>
      <c r="F2378" s="4"/>
      <c r="G2378" s="4"/>
      <c r="H2378" s="4"/>
      <c r="I2378" s="4"/>
      <c r="J2378" s="4"/>
      <c r="K2378" s="4"/>
      <c r="L2378" s="138"/>
      <c r="M2378" s="4"/>
      <c r="N2378" s="4"/>
      <c r="O2378" s="4"/>
    </row>
    <row r="2379" spans="1:15" s="1" customFormat="1" ht="11.45" customHeight="1" outlineLevel="4" x14ac:dyDescent="0.2">
      <c r="A2379" s="32" t="s">
        <v>21156</v>
      </c>
      <c r="B2379" s="74" t="s">
        <v>21157</v>
      </c>
      <c r="C2379" s="50"/>
      <c r="D2379" s="139">
        <f t="shared" ref="D2379:D2442" si="37">C2379*E2379</f>
        <v>0</v>
      </c>
      <c r="E2379" s="140">
        <v>288.66000000000003</v>
      </c>
      <c r="F2379" s="140">
        <v>236.61</v>
      </c>
      <c r="G2379" s="34" t="s">
        <v>100</v>
      </c>
      <c r="H2379" s="34" t="s">
        <v>39</v>
      </c>
      <c r="I2379" s="35">
        <v>1</v>
      </c>
      <c r="J2379" s="35">
        <v>1</v>
      </c>
      <c r="K2379" s="35">
        <v>12</v>
      </c>
      <c r="L2379" s="60" t="str">
        <f>HYPERLINK("https://www.sds-group.ru/product/figura-svetodiodnaya-elochka-25-sm-rgb-513-024/", "Инфо")</f>
        <v>Инфо</v>
      </c>
      <c r="M2379" s="37">
        <v>0.20699999999999999</v>
      </c>
      <c r="N2379" s="38">
        <v>2.3879999999999999E-3</v>
      </c>
      <c r="O2379" s="141">
        <v>4601004016569</v>
      </c>
    </row>
    <row r="2380" spans="1:15" s="1" customFormat="1" ht="11.45" customHeight="1" outlineLevel="4" x14ac:dyDescent="0.2">
      <c r="A2380" s="32" t="s">
        <v>21158</v>
      </c>
      <c r="B2380" s="74" t="s">
        <v>21159</v>
      </c>
      <c r="C2380" s="50"/>
      <c r="D2380" s="139">
        <f t="shared" si="37"/>
        <v>0</v>
      </c>
      <c r="E2380" s="140">
        <v>90.82</v>
      </c>
      <c r="F2380" s="140">
        <v>74.44</v>
      </c>
      <c r="G2380" s="34" t="s">
        <v>100</v>
      </c>
      <c r="H2380" s="34" t="s">
        <v>39</v>
      </c>
      <c r="I2380" s="35">
        <v>1</v>
      </c>
      <c r="J2380" s="35">
        <v>1</v>
      </c>
      <c r="K2380" s="35">
        <v>96</v>
      </c>
      <c r="L2380" s="60" t="str">
        <f>HYPERLINK("https://www.sds-group.ru/product/figura-svetodiodnaya-na-podstavke-elochka-kristall-rgb-501-051/", "Инфо")</f>
        <v>Инфо</v>
      </c>
      <c r="M2380" s="37">
        <v>3.3000000000000002E-2</v>
      </c>
      <c r="N2380" s="38">
        <v>2.14E-4</v>
      </c>
      <c r="O2380" s="141">
        <v>4601004089457</v>
      </c>
    </row>
    <row r="2381" spans="1:15" s="1" customFormat="1" ht="11.45" customHeight="1" outlineLevel="4" x14ac:dyDescent="0.2">
      <c r="A2381" s="32" t="s">
        <v>21164</v>
      </c>
      <c r="B2381" s="74" t="s">
        <v>21165</v>
      </c>
      <c r="C2381" s="50"/>
      <c r="D2381" s="139">
        <f t="shared" si="37"/>
        <v>0</v>
      </c>
      <c r="E2381" s="140">
        <v>77.33</v>
      </c>
      <c r="F2381" s="140">
        <v>63.39</v>
      </c>
      <c r="G2381" s="34" t="s">
        <v>100</v>
      </c>
      <c r="H2381" s="34" t="s">
        <v>39</v>
      </c>
      <c r="I2381" s="35">
        <v>1</v>
      </c>
      <c r="J2381" s="35">
        <v>1</v>
      </c>
      <c r="K2381" s="35">
        <v>96</v>
      </c>
      <c r="L2381" s="60" t="str">
        <f>HYPERLINK("https://www.sds-group.ru/product/figura-svetodiodnaya-na-podstavke-mishka-2d-rgb-501-047/", "Инфо")</f>
        <v>Инфо</v>
      </c>
      <c r="M2381" s="37">
        <v>0.04</v>
      </c>
      <c r="N2381" s="38">
        <v>3.2000000000000003E-4</v>
      </c>
      <c r="O2381" s="141">
        <v>4601004034723</v>
      </c>
    </row>
    <row r="2382" spans="1:15" s="1" customFormat="1" ht="11.45" customHeight="1" outlineLevel="4" x14ac:dyDescent="0.2">
      <c r="A2382" s="32" t="s">
        <v>21168</v>
      </c>
      <c r="B2382" s="74" t="s">
        <v>21169</v>
      </c>
      <c r="C2382" s="50"/>
      <c r="D2382" s="139">
        <f t="shared" si="37"/>
        <v>0</v>
      </c>
      <c r="E2382" s="140">
        <v>56.37</v>
      </c>
      <c r="F2382" s="140">
        <v>46.2</v>
      </c>
      <c r="G2382" s="34" t="s">
        <v>100</v>
      </c>
      <c r="H2382" s="34" t="s">
        <v>39</v>
      </c>
      <c r="I2382" s="35">
        <v>1</v>
      </c>
      <c r="J2382" s="35">
        <v>1</v>
      </c>
      <c r="K2382" s="35">
        <v>96</v>
      </c>
      <c r="L2382" s="60" t="str">
        <f>HYPERLINK("https://www.sds-group.ru/product/figura-svetodiodnaya-na-podstavke-pingvin-kristall-rgb-501-052/", "Инфо")</f>
        <v>Инфо</v>
      </c>
      <c r="M2382" s="37">
        <v>4.3999999999999997E-2</v>
      </c>
      <c r="N2382" s="38">
        <v>3.88E-4</v>
      </c>
      <c r="O2382" s="141">
        <v>4601004089402</v>
      </c>
    </row>
    <row r="2383" spans="1:15" s="1" customFormat="1" ht="11.45" customHeight="1" outlineLevel="4" x14ac:dyDescent="0.2">
      <c r="A2383" s="32" t="s">
        <v>21170</v>
      </c>
      <c r="B2383" s="74" t="s">
        <v>21171</v>
      </c>
      <c r="C2383" s="50"/>
      <c r="D2383" s="139">
        <f t="shared" si="37"/>
        <v>0</v>
      </c>
      <c r="E2383" s="140">
        <v>90.26</v>
      </c>
      <c r="F2383" s="140">
        <v>73.98</v>
      </c>
      <c r="G2383" s="34" t="s">
        <v>100</v>
      </c>
      <c r="H2383" s="34" t="s">
        <v>39</v>
      </c>
      <c r="I2383" s="35">
        <v>1</v>
      </c>
      <c r="J2383" s="35">
        <v>1</v>
      </c>
      <c r="K2383" s="35">
        <v>96</v>
      </c>
      <c r="L2383" s="60" t="str">
        <f>HYPERLINK("https://www.sds-group.ru/product/figura-svetodiodnaya-na-podstavke-santa-klaus-rgb-501-040/", "Инфо")</f>
        <v>Инфо</v>
      </c>
      <c r="M2383" s="37">
        <v>6.0999999999999999E-2</v>
      </c>
      <c r="N2383" s="38">
        <v>4.15E-4</v>
      </c>
      <c r="O2383" s="141">
        <v>4601004034655</v>
      </c>
    </row>
    <row r="2384" spans="1:15" s="1" customFormat="1" ht="11.45" customHeight="1" outlineLevel="4" x14ac:dyDescent="0.2">
      <c r="A2384" s="32" t="s">
        <v>21184</v>
      </c>
      <c r="B2384" s="74" t="s">
        <v>21185</v>
      </c>
      <c r="C2384" s="50"/>
      <c r="D2384" s="139">
        <f t="shared" si="37"/>
        <v>0</v>
      </c>
      <c r="E2384" s="140">
        <v>90.82</v>
      </c>
      <c r="F2384" s="140">
        <v>74.44</v>
      </c>
      <c r="G2384" s="34" t="s">
        <v>100</v>
      </c>
      <c r="H2384" s="34" t="s">
        <v>39</v>
      </c>
      <c r="I2384" s="35">
        <v>1</v>
      </c>
      <c r="J2384" s="35">
        <v>1</v>
      </c>
      <c r="K2384" s="35">
        <v>96</v>
      </c>
      <c r="L2384" s="60" t="str">
        <f>HYPERLINK("https://www.sds-group.ru/product/figura-svetodiodnaya-na-podstavke-snezhinka-rgb-501-055/", "Инфо")</f>
        <v>Инфо</v>
      </c>
      <c r="M2384" s="37">
        <v>3.5999999999999997E-2</v>
      </c>
      <c r="N2384" s="38">
        <v>3.3500000000000001E-4</v>
      </c>
      <c r="O2384" s="141">
        <v>4601004089433</v>
      </c>
    </row>
    <row r="2385" spans="1:15" s="1" customFormat="1" ht="11.45" customHeight="1" outlineLevel="4" x14ac:dyDescent="0.2">
      <c r="A2385" s="32" t="s">
        <v>21206</v>
      </c>
      <c r="B2385" s="74" t="s">
        <v>21207</v>
      </c>
      <c r="C2385" s="50"/>
      <c r="D2385" s="139">
        <f t="shared" si="37"/>
        <v>0</v>
      </c>
      <c r="E2385" s="140">
        <v>380.43</v>
      </c>
      <c r="F2385" s="140">
        <v>311.83</v>
      </c>
      <c r="G2385" s="34" t="s">
        <v>100</v>
      </c>
      <c r="H2385" s="34" t="s">
        <v>39</v>
      </c>
      <c r="I2385" s="35">
        <v>1</v>
      </c>
      <c r="J2385" s="35">
        <v>1</v>
      </c>
      <c r="K2385" s="35">
        <v>40</v>
      </c>
      <c r="L2385" s="60" t="str">
        <f>HYPERLINK("https://www.sds-group.ru/product/figura-svetodiodnaya-s-novym-godom-35-led-krasnye-42x19-sm-501-003/", "Инфо")</f>
        <v>Инфо</v>
      </c>
      <c r="M2385" s="37">
        <v>0.27600000000000002</v>
      </c>
      <c r="N2385" s="38">
        <v>2.0709999999999999E-3</v>
      </c>
      <c r="O2385" s="141">
        <v>4601004130685</v>
      </c>
    </row>
    <row r="2386" spans="1:15" s="1" customFormat="1" ht="11.45" customHeight="1" outlineLevel="4" x14ac:dyDescent="0.2">
      <c r="A2386" s="32" t="s">
        <v>21208</v>
      </c>
      <c r="B2386" s="74" t="s">
        <v>21209</v>
      </c>
      <c r="C2386" s="50"/>
      <c r="D2386" s="139">
        <f t="shared" si="37"/>
        <v>0</v>
      </c>
      <c r="E2386" s="140">
        <v>380.43</v>
      </c>
      <c r="F2386" s="140">
        <v>311.83</v>
      </c>
      <c r="G2386" s="34" t="s">
        <v>100</v>
      </c>
      <c r="H2386" s="34" t="s">
        <v>39</v>
      </c>
      <c r="I2386" s="35">
        <v>1</v>
      </c>
      <c r="J2386" s="35">
        <v>1</v>
      </c>
      <c r="K2386" s="35">
        <v>40</v>
      </c>
      <c r="L2386" s="60" t="str">
        <f>HYPERLINK("https://www.sds-group.ru/product/figura-svetodiodnaya-s-novym-godom-35led-tsvet-svecheniya-multikolor-rg-rb-razmer-42x19sm-501-004/", "Инфо")</f>
        <v>Инфо</v>
      </c>
      <c r="M2386" s="37">
        <v>0.23300000000000001</v>
      </c>
      <c r="N2386" s="38">
        <v>2.1719999999999999E-3</v>
      </c>
      <c r="O2386" s="141">
        <v>4601004281332</v>
      </c>
    </row>
    <row r="2387" spans="1:15" s="1" customFormat="1" ht="11.45" customHeight="1" outlineLevel="4" x14ac:dyDescent="0.2">
      <c r="A2387" s="32" t="s">
        <v>21210</v>
      </c>
      <c r="B2387" s="74" t="s">
        <v>21211</v>
      </c>
      <c r="C2387" s="50"/>
      <c r="D2387" s="139">
        <f t="shared" si="37"/>
        <v>0</v>
      </c>
      <c r="E2387" s="140">
        <v>157.49</v>
      </c>
      <c r="F2387" s="140">
        <v>129.09</v>
      </c>
      <c r="G2387" s="34" t="s">
        <v>100</v>
      </c>
      <c r="H2387" s="34" t="s">
        <v>39</v>
      </c>
      <c r="I2387" s="35">
        <v>5</v>
      </c>
      <c r="J2387" s="35">
        <v>5</v>
      </c>
      <c r="K2387" s="35">
        <v>24</v>
      </c>
      <c r="L2387" s="60" t="str">
        <f>HYPERLINK("https://www.sds-group.ru/product/figura-svetodiodnaya-snegovik-17sm-rgb-513-018/", "Инфо")</f>
        <v>Инфо</v>
      </c>
      <c r="M2387" s="37">
        <v>9.1999999999999998E-2</v>
      </c>
      <c r="N2387" s="38">
        <v>9.1E-4</v>
      </c>
      <c r="O2387" s="141">
        <v>4601004091924</v>
      </c>
    </row>
    <row r="2388" spans="1:15" ht="11.45" customHeight="1" outlineLevel="3" x14ac:dyDescent="0.2">
      <c r="A2388" s="76" t="s">
        <v>21238</v>
      </c>
      <c r="B2388" s="136"/>
      <c r="C2388" s="77"/>
      <c r="D2388" s="137"/>
      <c r="E2388" s="4"/>
      <c r="F2388" s="4"/>
      <c r="G2388" s="4"/>
      <c r="H2388" s="4"/>
      <c r="I2388" s="4"/>
      <c r="J2388" s="4"/>
      <c r="K2388" s="4"/>
      <c r="L2388" s="138"/>
      <c r="M2388" s="4"/>
      <c r="N2388" s="4"/>
      <c r="O2388" s="4"/>
    </row>
    <row r="2389" spans="1:15" s="1" customFormat="1" ht="11.45" customHeight="1" outlineLevel="4" x14ac:dyDescent="0.2">
      <c r="A2389" s="32" t="s">
        <v>21239</v>
      </c>
      <c r="B2389" s="74" t="s">
        <v>21240</v>
      </c>
      <c r="C2389" s="50"/>
      <c r="D2389" s="139">
        <f t="shared" si="37"/>
        <v>0</v>
      </c>
      <c r="E2389" s="140">
        <v>959.63</v>
      </c>
      <c r="F2389" s="140">
        <v>786.58</v>
      </c>
      <c r="G2389" s="34" t="s">
        <v>100</v>
      </c>
      <c r="H2389" s="34" t="s">
        <v>39</v>
      </c>
      <c r="I2389" s="35">
        <v>1</v>
      </c>
      <c r="J2389" s="35">
        <v>1</v>
      </c>
      <c r="K2389" s="35">
        <v>16</v>
      </c>
      <c r="L2389" s="60" t="str">
        <f>HYPERLINK("https://www.sds-group.ru/product/led-proektor-zvezdy-220-v-neon-night-601-268/", "Инфо")</f>
        <v>Инфо</v>
      </c>
      <c r="M2389" s="37">
        <v>0.57899999999999996</v>
      </c>
      <c r="N2389" s="38">
        <v>3.627E-3</v>
      </c>
      <c r="O2389" s="141">
        <v>4601004180994</v>
      </c>
    </row>
    <row r="2390" spans="1:15" s="1" customFormat="1" ht="11.45" customHeight="1" outlineLevel="4" x14ac:dyDescent="0.2">
      <c r="A2390" s="32" t="s">
        <v>21243</v>
      </c>
      <c r="B2390" s="74" t="s">
        <v>21244</v>
      </c>
      <c r="C2390" s="50"/>
      <c r="D2390" s="139">
        <f t="shared" si="37"/>
        <v>0</v>
      </c>
      <c r="E2390" s="140">
        <v>844.01</v>
      </c>
      <c r="F2390" s="140">
        <v>691.81</v>
      </c>
      <c r="G2390" s="34" t="s">
        <v>100</v>
      </c>
      <c r="H2390" s="34" t="s">
        <v>39</v>
      </c>
      <c r="I2390" s="35">
        <v>1</v>
      </c>
      <c r="J2390" s="35">
        <v>1</v>
      </c>
      <c r="K2390" s="35">
        <v>12</v>
      </c>
      <c r="L2390" s="60" t="str">
        <f>HYPERLINK("https://www.sds-group.ru/product/led-proektor-belye-snezhinki-230v-601-263/", "Инфо")</f>
        <v>Инфо</v>
      </c>
      <c r="M2390" s="37">
        <v>0.46100000000000002</v>
      </c>
      <c r="N2390" s="38">
        <v>3.042E-3</v>
      </c>
      <c r="O2390" s="141">
        <v>4601004096332</v>
      </c>
    </row>
    <row r="2391" spans="1:15" s="1" customFormat="1" ht="11.45" customHeight="1" outlineLevel="4" x14ac:dyDescent="0.2">
      <c r="A2391" s="32" t="s">
        <v>21249</v>
      </c>
      <c r="B2391" s="74" t="s">
        <v>21250</v>
      </c>
      <c r="C2391" s="50"/>
      <c r="D2391" s="139">
        <f t="shared" si="37"/>
        <v>0</v>
      </c>
      <c r="E2391" s="140">
        <v>1267.94</v>
      </c>
      <c r="F2391" s="140">
        <v>1039.3</v>
      </c>
      <c r="G2391" s="34" t="s">
        <v>100</v>
      </c>
      <c r="H2391" s="34" t="s">
        <v>39</v>
      </c>
      <c r="I2391" s="35">
        <v>1</v>
      </c>
      <c r="J2391" s="35">
        <v>1</v>
      </c>
      <c r="K2391" s="35">
        <v>12</v>
      </c>
      <c r="L2391" s="60" t="str">
        <f>HYPERLINK("https://www.sds-group.ru/product/lazernyy-proektor-s-effektom-severnoe-siyanie-s-pultom-du-220-v-601-264/", "Инфо")</f>
        <v>Инфо</v>
      </c>
      <c r="M2391" s="37">
        <v>0.51200000000000001</v>
      </c>
      <c r="N2391" s="38">
        <v>2.4480000000000001E-3</v>
      </c>
      <c r="O2391" s="141">
        <v>4601004149281</v>
      </c>
    </row>
    <row r="2392" spans="1:15" ht="11.45" customHeight="1" outlineLevel="3" x14ac:dyDescent="0.2">
      <c r="A2392" s="76" t="s">
        <v>21253</v>
      </c>
      <c r="B2392" s="136"/>
      <c r="C2392" s="77"/>
      <c r="D2392" s="137"/>
      <c r="E2392" s="4"/>
      <c r="F2392" s="4"/>
      <c r="G2392" s="4"/>
      <c r="H2392" s="4"/>
      <c r="I2392" s="4"/>
      <c r="J2392" s="4"/>
      <c r="K2392" s="4"/>
      <c r="L2392" s="138"/>
      <c r="M2392" s="4"/>
      <c r="N2392" s="4"/>
      <c r="O2392" s="4"/>
    </row>
    <row r="2393" spans="1:15" s="1" customFormat="1" ht="11.45" customHeight="1" outlineLevel="4" x14ac:dyDescent="0.2">
      <c r="A2393" s="32" t="s">
        <v>21254</v>
      </c>
      <c r="B2393" s="74" t="s">
        <v>21255</v>
      </c>
      <c r="C2393" s="50"/>
      <c r="D2393" s="139">
        <f t="shared" si="37"/>
        <v>0</v>
      </c>
      <c r="E2393" s="140">
        <v>487.35</v>
      </c>
      <c r="F2393" s="140">
        <v>399.47</v>
      </c>
      <c r="G2393" s="34" t="s">
        <v>100</v>
      </c>
      <c r="H2393" s="34" t="s">
        <v>39</v>
      </c>
      <c r="I2393" s="35">
        <v>1</v>
      </c>
      <c r="J2393" s="35">
        <v>1</v>
      </c>
      <c r="K2393" s="35">
        <v>48</v>
      </c>
      <c r="L2393" s="60" t="str">
        <f>HYPERLINK("https://www.sds-group.ru/product/silikonovyy-nochnik-edinorog-usb-s-3-rezhimami-rgb-svechenie-neon-night-503-003/", "Инфо")</f>
        <v>Инфо</v>
      </c>
      <c r="M2393" s="37">
        <v>0.35799999999999998</v>
      </c>
      <c r="N2393" s="38">
        <v>3.4819999999999999E-3</v>
      </c>
      <c r="O2393" s="141">
        <v>4601004148918</v>
      </c>
    </row>
    <row r="2394" spans="1:15" s="1" customFormat="1" ht="11.45" customHeight="1" outlineLevel="4" x14ac:dyDescent="0.2">
      <c r="A2394" s="32" t="s">
        <v>21256</v>
      </c>
      <c r="B2394" s="74" t="s">
        <v>21257</v>
      </c>
      <c r="C2394" s="50"/>
      <c r="D2394" s="139">
        <f t="shared" si="37"/>
        <v>0</v>
      </c>
      <c r="E2394" s="140">
        <v>487.35</v>
      </c>
      <c r="F2394" s="140">
        <v>399.47</v>
      </c>
      <c r="G2394" s="34" t="s">
        <v>100</v>
      </c>
      <c r="H2394" s="34" t="s">
        <v>39</v>
      </c>
      <c r="I2394" s="35">
        <v>1</v>
      </c>
      <c r="J2394" s="35">
        <v>1</v>
      </c>
      <c r="K2394" s="35">
        <v>60</v>
      </c>
      <c r="L2394" s="60" t="str">
        <f>HYPERLINK("https://www.sds-group.ru/product/silikonovyy-nochnik-lebed-neon-night-503-004/", "Инфо")</f>
        <v>Инфо</v>
      </c>
      <c r="M2394" s="37">
        <v>0.33700000000000002</v>
      </c>
      <c r="N2394" s="38">
        <v>3.437E-3</v>
      </c>
      <c r="O2394" s="141">
        <v>4601004173514</v>
      </c>
    </row>
    <row r="2395" spans="1:15" s="1" customFormat="1" ht="11.45" customHeight="1" outlineLevel="4" x14ac:dyDescent="0.2">
      <c r="A2395" s="32" t="s">
        <v>21258</v>
      </c>
      <c r="B2395" s="74" t="s">
        <v>21259</v>
      </c>
      <c r="C2395" s="50"/>
      <c r="D2395" s="139">
        <f t="shared" si="37"/>
        <v>0</v>
      </c>
      <c r="E2395" s="140">
        <v>487.35</v>
      </c>
      <c r="F2395" s="140">
        <v>399.47</v>
      </c>
      <c r="G2395" s="34" t="s">
        <v>100</v>
      </c>
      <c r="H2395" s="34" t="s">
        <v>39</v>
      </c>
      <c r="I2395" s="35">
        <v>1</v>
      </c>
      <c r="J2395" s="35">
        <v>1</v>
      </c>
      <c r="K2395" s="35">
        <v>48</v>
      </c>
      <c r="L2395" s="60" t="str">
        <f>HYPERLINK("https://www.sds-group.ru/product/silikonovyy-nochnik-shark-503-018/", "Инфо")</f>
        <v>Инфо</v>
      </c>
      <c r="M2395" s="37">
        <v>0.29499999999999998</v>
      </c>
      <c r="N2395" s="38">
        <v>3.369E-3</v>
      </c>
      <c r="O2395" s="141">
        <v>4601004224940</v>
      </c>
    </row>
    <row r="2396" spans="1:15" ht="11.45" customHeight="1" outlineLevel="3" x14ac:dyDescent="0.2">
      <c r="A2396" s="76" t="s">
        <v>21267</v>
      </c>
      <c r="B2396" s="136"/>
      <c r="C2396" s="77"/>
      <c r="D2396" s="137"/>
      <c r="E2396" s="4"/>
      <c r="F2396" s="4"/>
      <c r="G2396" s="4"/>
      <c r="H2396" s="4"/>
      <c r="I2396" s="4"/>
      <c r="J2396" s="4"/>
      <c r="K2396" s="4"/>
      <c r="L2396" s="138"/>
      <c r="M2396" s="4"/>
      <c r="N2396" s="4"/>
      <c r="O2396" s="4"/>
    </row>
    <row r="2397" spans="1:15" s="1" customFormat="1" ht="11.45" customHeight="1" outlineLevel="4" x14ac:dyDescent="0.2">
      <c r="A2397" s="32" t="s">
        <v>21268</v>
      </c>
      <c r="B2397" s="74" t="s">
        <v>21269</v>
      </c>
      <c r="C2397" s="50"/>
      <c r="D2397" s="139">
        <f t="shared" si="37"/>
        <v>0</v>
      </c>
      <c r="E2397" s="140">
        <v>566.38</v>
      </c>
      <c r="F2397" s="140">
        <v>464.25</v>
      </c>
      <c r="G2397" s="34" t="s">
        <v>100</v>
      </c>
      <c r="H2397" s="34" t="s">
        <v>39</v>
      </c>
      <c r="I2397" s="35">
        <v>1</v>
      </c>
      <c r="J2397" s="35">
        <v>1</v>
      </c>
      <c r="K2397" s="35">
        <v>8</v>
      </c>
      <c r="L2397" s="60" t="str">
        <f>HYPERLINK("https://www.sds-group.ru/product/akrilovaya-svetodiodnaya-figura-belka-17-5h12h18-sm-4-5-v-3-batareyki-aaa-ne-vhodyat-v-kompl-513-341/", "Инфо")</f>
        <v>Инфо</v>
      </c>
      <c r="M2397" s="37">
        <v>0.33400000000000002</v>
      </c>
      <c r="N2397" s="38">
        <v>3.3709999999999999E-3</v>
      </c>
      <c r="O2397" s="141">
        <v>4601004003477</v>
      </c>
    </row>
    <row r="2398" spans="1:15" s="1" customFormat="1" ht="11.45" customHeight="1" outlineLevel="4" x14ac:dyDescent="0.2">
      <c r="A2398" s="32" t="s">
        <v>21270</v>
      </c>
      <c r="B2398" s="74" t="s">
        <v>21271</v>
      </c>
      <c r="C2398" s="50"/>
      <c r="D2398" s="139">
        <f t="shared" si="37"/>
        <v>0</v>
      </c>
      <c r="E2398" s="140">
        <v>629.30999999999995</v>
      </c>
      <c r="F2398" s="140">
        <v>515.83000000000004</v>
      </c>
      <c r="G2398" s="34" t="s">
        <v>100</v>
      </c>
      <c r="H2398" s="34" t="s">
        <v>39</v>
      </c>
      <c r="I2398" s="35">
        <v>1</v>
      </c>
      <c r="J2398" s="35">
        <v>1</v>
      </c>
      <c r="K2398" s="35">
        <v>8</v>
      </c>
      <c r="L2398" s="60" t="str">
        <f>HYPERLINK("https://www.sds-group.ru/product/akrilovaya-svetodiodnaya-figura-belyy-mishka-20-sm-4-5-v-3-batareyki-aa-ne-vhodyat-v-komplek-513-247/", "Инфо")</f>
        <v>Инфо</v>
      </c>
      <c r="M2398" s="37">
        <v>0.61399999999999999</v>
      </c>
      <c r="N2398" s="38">
        <v>6.28E-3</v>
      </c>
      <c r="O2398" s="141">
        <v>4601004003217</v>
      </c>
    </row>
    <row r="2399" spans="1:15" s="1" customFormat="1" ht="11.45" customHeight="1" outlineLevel="4" x14ac:dyDescent="0.2">
      <c r="A2399" s="32" t="s">
        <v>21272</v>
      </c>
      <c r="B2399" s="74" t="s">
        <v>21273</v>
      </c>
      <c r="C2399" s="50"/>
      <c r="D2399" s="139">
        <f t="shared" si="37"/>
        <v>0</v>
      </c>
      <c r="E2399" s="140">
        <v>996.01</v>
      </c>
      <c r="F2399" s="140">
        <v>816.4</v>
      </c>
      <c r="G2399" s="34" t="s">
        <v>100</v>
      </c>
      <c r="H2399" s="34" t="s">
        <v>39</v>
      </c>
      <c r="I2399" s="35">
        <v>1</v>
      </c>
      <c r="J2399" s="35">
        <v>1</v>
      </c>
      <c r="K2399" s="35">
        <v>12</v>
      </c>
      <c r="L2399" s="60" t="str">
        <f>HYPERLINK("https://www.sds-group.ru/product/akrilovaya-svetodiodnaya-figura-lisenok-28h15h26-sm-batareyki-2haa-ne-vhodyat-v-komplekt-30--513-316/", "Инфо")</f>
        <v>Инфо</v>
      </c>
      <c r="M2399" s="37">
        <v>0.79</v>
      </c>
      <c r="N2399" s="38">
        <v>1.3398E-2</v>
      </c>
      <c r="O2399" s="141">
        <v>4601004180192</v>
      </c>
    </row>
    <row r="2400" spans="1:15" s="1" customFormat="1" ht="11.45" customHeight="1" outlineLevel="4" x14ac:dyDescent="0.2">
      <c r="A2400" s="32" t="s">
        <v>21274</v>
      </c>
      <c r="B2400" s="74" t="s">
        <v>21275</v>
      </c>
      <c r="C2400" s="50"/>
      <c r="D2400" s="139">
        <f t="shared" si="37"/>
        <v>0</v>
      </c>
      <c r="E2400" s="140">
        <v>996.01</v>
      </c>
      <c r="F2400" s="140">
        <v>816.4</v>
      </c>
      <c r="G2400" s="34" t="s">
        <v>100</v>
      </c>
      <c r="H2400" s="34" t="s">
        <v>39</v>
      </c>
      <c r="I2400" s="35">
        <v>1</v>
      </c>
      <c r="J2400" s="35">
        <v>1</v>
      </c>
      <c r="K2400" s="35">
        <v>4</v>
      </c>
      <c r="L2400" s="60" t="str">
        <f>HYPERLINK("https://www.sds-group.ru/product/akrilovaya-svetodiodnaya-figura-medved-34-5h12h17-sm-4-5-v-3-batareyki-aa-ne-vhodyat-v-kompl-513-315/", "Инфо")</f>
        <v>Инфо</v>
      </c>
      <c r="M2400" s="37">
        <v>1.518</v>
      </c>
      <c r="N2400" s="38">
        <v>2.5846000000000001E-2</v>
      </c>
      <c r="O2400" s="141">
        <v>4601004003491</v>
      </c>
    </row>
    <row r="2401" spans="1:15" s="1" customFormat="1" ht="11.45" customHeight="1" outlineLevel="4" x14ac:dyDescent="0.2">
      <c r="A2401" s="32" t="s">
        <v>21278</v>
      </c>
      <c r="B2401" s="74" t="s">
        <v>21279</v>
      </c>
      <c r="C2401" s="50"/>
      <c r="D2401" s="139">
        <f t="shared" si="37"/>
        <v>0</v>
      </c>
      <c r="E2401" s="140">
        <v>629.30999999999995</v>
      </c>
      <c r="F2401" s="140">
        <v>515.83000000000004</v>
      </c>
      <c r="G2401" s="34" t="s">
        <v>100</v>
      </c>
      <c r="H2401" s="34" t="s">
        <v>39</v>
      </c>
      <c r="I2401" s="35">
        <v>1</v>
      </c>
      <c r="J2401" s="35">
        <v>1</v>
      </c>
      <c r="K2401" s="35">
        <v>4</v>
      </c>
      <c r="L2401" s="60" t="str">
        <f>HYPERLINK("https://www.sds-group.ru/product/akrilovaya-svetodiodnaya-figura-medvezhonok-12h22h13-sm-4-5-v-3-batareyki-aa-ne-vhodyat-v-ko-513-311/", "Инфо")</f>
        <v>Инфо</v>
      </c>
      <c r="M2401" s="37">
        <v>0.39900000000000002</v>
      </c>
      <c r="N2401" s="38">
        <v>4.2789999999999998E-3</v>
      </c>
      <c r="O2401" s="141">
        <v>4601004003446</v>
      </c>
    </row>
    <row r="2402" spans="1:15" s="1" customFormat="1" ht="11.45" customHeight="1" outlineLevel="4" x14ac:dyDescent="0.2">
      <c r="A2402" s="32" t="s">
        <v>21280</v>
      </c>
      <c r="B2402" s="74" t="s">
        <v>21281</v>
      </c>
      <c r="C2402" s="50"/>
      <c r="D2402" s="139">
        <f t="shared" si="37"/>
        <v>0</v>
      </c>
      <c r="E2402" s="140">
        <v>763.22</v>
      </c>
      <c r="F2402" s="140">
        <v>625.59</v>
      </c>
      <c r="G2402" s="34" t="s">
        <v>100</v>
      </c>
      <c r="H2402" s="34" t="s">
        <v>39</v>
      </c>
      <c r="I2402" s="35">
        <v>1</v>
      </c>
      <c r="J2402" s="35">
        <v>1</v>
      </c>
      <c r="K2402" s="35">
        <v>1</v>
      </c>
      <c r="L2402" s="60" t="str">
        <f>HYPERLINK("https://www.sds-group.ru/product/akrilovaya-svetodiodnaya-figura-ovtsa-30sm-56-svetodiodov-ip65-24v-neon-night-513-401/", "Инфо")</f>
        <v>Инфо</v>
      </c>
      <c r="M2402" s="37">
        <v>3.0590000000000002</v>
      </c>
      <c r="N2402" s="38">
        <v>5.3096999999999998E-2</v>
      </c>
      <c r="O2402" s="141">
        <v>4601004016989</v>
      </c>
    </row>
    <row r="2403" spans="1:15" s="1" customFormat="1" ht="11.45" customHeight="1" outlineLevel="4" x14ac:dyDescent="0.2">
      <c r="A2403" s="32" t="s">
        <v>21282</v>
      </c>
      <c r="B2403" s="74" t="s">
        <v>21283</v>
      </c>
      <c r="C2403" s="50"/>
      <c r="D2403" s="139">
        <f t="shared" si="37"/>
        <v>0</v>
      </c>
      <c r="E2403" s="140">
        <v>896.41</v>
      </c>
      <c r="F2403" s="140">
        <v>734.76</v>
      </c>
      <c r="G2403" s="34" t="s">
        <v>100</v>
      </c>
      <c r="H2403" s="34" t="s">
        <v>39</v>
      </c>
      <c r="I2403" s="35">
        <v>1</v>
      </c>
      <c r="J2403" s="35">
        <v>1</v>
      </c>
      <c r="K2403" s="35">
        <v>12</v>
      </c>
      <c r="L2403" s="60" t="str">
        <f>HYPERLINK("https://www.sds-group.ru/product/akrilovaya-svetodiodnaya-figura-olenenok-v-sharfe-20h17h30-sm-24-svetodioda-batareyki-2haa-n-513-314/", "Инфо")</f>
        <v>Инфо</v>
      </c>
      <c r="M2403" s="37">
        <v>1.0680000000000001</v>
      </c>
      <c r="N2403" s="38">
        <v>1.7188999999999999E-2</v>
      </c>
      <c r="O2403" s="141">
        <v>4601004180185</v>
      </c>
    </row>
    <row r="2404" spans="1:15" s="1" customFormat="1" ht="11.45" customHeight="1" outlineLevel="4" x14ac:dyDescent="0.2">
      <c r="A2404" s="32" t="s">
        <v>21284</v>
      </c>
      <c r="B2404" s="74" t="s">
        <v>21285</v>
      </c>
      <c r="C2404" s="50"/>
      <c r="D2404" s="139">
        <f t="shared" si="37"/>
        <v>0</v>
      </c>
      <c r="E2404" s="140">
        <v>996.01</v>
      </c>
      <c r="F2404" s="140">
        <v>816.4</v>
      </c>
      <c r="G2404" s="34" t="s">
        <v>100</v>
      </c>
      <c r="H2404" s="34" t="s">
        <v>39</v>
      </c>
      <c r="I2404" s="35">
        <v>1</v>
      </c>
      <c r="J2404" s="35">
        <v>1</v>
      </c>
      <c r="K2404" s="35">
        <v>12</v>
      </c>
      <c r="L2404" s="60" t="str">
        <f>HYPERLINK("https://www.sds-group.ru/product/akrilovaya-svetodiodnaya-figura-pingvinenok-19h14-5h25-sm-20-svetodiodov-batareyki-2haa-ne-v-513-323/", "Инфо")</f>
        <v>Инфо</v>
      </c>
      <c r="M2404" s="37">
        <v>0.71699999999999997</v>
      </c>
      <c r="N2404" s="38">
        <v>1.0156999999999999E-2</v>
      </c>
      <c r="O2404" s="141">
        <v>4601004180154</v>
      </c>
    </row>
    <row r="2405" spans="1:15" s="1" customFormat="1" ht="11.45" customHeight="1" outlineLevel="4" x14ac:dyDescent="0.2">
      <c r="A2405" s="32" t="s">
        <v>21286</v>
      </c>
      <c r="B2405" s="74" t="s">
        <v>21287</v>
      </c>
      <c r="C2405" s="50"/>
      <c r="D2405" s="139">
        <f t="shared" si="37"/>
        <v>0</v>
      </c>
      <c r="E2405" s="140">
        <v>1535.68</v>
      </c>
      <c r="F2405" s="140">
        <v>1258.75</v>
      </c>
      <c r="G2405" s="34" t="s">
        <v>100</v>
      </c>
      <c r="H2405" s="34" t="s">
        <v>39</v>
      </c>
      <c r="I2405" s="35">
        <v>1</v>
      </c>
      <c r="J2405" s="35">
        <v>1</v>
      </c>
      <c r="K2405" s="35">
        <v>6</v>
      </c>
      <c r="L2405" s="60" t="str">
        <f>HYPERLINK("https://www.sds-group.ru/product/akrilovaya-svetodiodnaya-figura-santa-klaus-privetstvuet-30-sm-40-svetodiodov-ip65-ponizhayu-513-273/", "Инфо")</f>
        <v>Инфо</v>
      </c>
      <c r="M2405" s="37">
        <v>1.377</v>
      </c>
      <c r="N2405" s="38">
        <v>1.6948999999999999E-2</v>
      </c>
      <c r="O2405" s="141">
        <v>4601004003347</v>
      </c>
    </row>
    <row r="2406" spans="1:15" s="1" customFormat="1" ht="11.45" customHeight="1" outlineLevel="4" x14ac:dyDescent="0.2">
      <c r="A2406" s="32" t="s">
        <v>21288</v>
      </c>
      <c r="B2406" s="74" t="s">
        <v>21289</v>
      </c>
      <c r="C2406" s="50"/>
      <c r="D2406" s="139">
        <f t="shared" si="37"/>
        <v>0</v>
      </c>
      <c r="E2406" s="140">
        <v>3079.28</v>
      </c>
      <c r="F2406" s="140">
        <v>2524</v>
      </c>
      <c r="G2406" s="34" t="s">
        <v>100</v>
      </c>
      <c r="H2406" s="34" t="s">
        <v>39</v>
      </c>
      <c r="I2406" s="35">
        <v>1</v>
      </c>
      <c r="J2406" s="35">
        <v>1</v>
      </c>
      <c r="K2406" s="35">
        <v>4</v>
      </c>
      <c r="L2406" s="60" t="str">
        <f>HYPERLINK("https://www.sds-group.ru/product/akrilovaya-svetodiodnaya-figura-severnyy-olen-45-sm-100-svetodiodov-ip65-ponizhayuschiy-tran-513-270/", "Инфо")</f>
        <v>Инфо</v>
      </c>
      <c r="M2406" s="37">
        <v>1.7150000000000001</v>
      </c>
      <c r="N2406" s="38">
        <v>4.5430999999999999E-2</v>
      </c>
      <c r="O2406" s="141">
        <v>4601004003323</v>
      </c>
    </row>
    <row r="2407" spans="1:15" ht="11.45" customHeight="1" outlineLevel="2" x14ac:dyDescent="0.2">
      <c r="A2407" s="76" t="s">
        <v>21303</v>
      </c>
      <c r="B2407" s="136"/>
      <c r="C2407" s="77"/>
      <c r="D2407" s="137"/>
      <c r="E2407" s="4"/>
      <c r="F2407" s="4"/>
      <c r="G2407" s="4"/>
      <c r="H2407" s="4"/>
      <c r="I2407" s="4"/>
      <c r="J2407" s="4"/>
      <c r="K2407" s="4"/>
      <c r="L2407" s="138"/>
      <c r="M2407" s="4"/>
      <c r="N2407" s="4"/>
      <c r="O2407" s="4"/>
    </row>
    <row r="2408" spans="1:15" ht="11.45" customHeight="1" outlineLevel="3" x14ac:dyDescent="0.2">
      <c r="A2408" s="76" t="s">
        <v>21304</v>
      </c>
      <c r="B2408" s="136"/>
      <c r="C2408" s="77"/>
      <c r="D2408" s="137"/>
      <c r="E2408" s="4"/>
      <c r="F2408" s="4"/>
      <c r="G2408" s="4"/>
      <c r="H2408" s="4"/>
      <c r="I2408" s="4"/>
      <c r="J2408" s="4"/>
      <c r="K2408" s="4"/>
      <c r="L2408" s="138"/>
      <c r="M2408" s="4"/>
      <c r="N2408" s="4"/>
      <c r="O2408" s="4"/>
    </row>
    <row r="2409" spans="1:15" s="1" customFormat="1" ht="11.45" customHeight="1" outlineLevel="4" x14ac:dyDescent="0.2">
      <c r="A2409" s="32" t="s">
        <v>21307</v>
      </c>
      <c r="B2409" s="74" t="s">
        <v>21308</v>
      </c>
      <c r="C2409" s="50"/>
      <c r="D2409" s="139">
        <f t="shared" si="37"/>
        <v>0</v>
      </c>
      <c r="E2409" s="140">
        <v>1717.56</v>
      </c>
      <c r="F2409" s="140">
        <v>1407.84</v>
      </c>
      <c r="G2409" s="34" t="s">
        <v>100</v>
      </c>
      <c r="H2409" s="34" t="s">
        <v>39</v>
      </c>
      <c r="I2409" s="35">
        <v>1</v>
      </c>
      <c r="J2409" s="35">
        <v>1</v>
      </c>
      <c r="K2409" s="35">
        <v>6</v>
      </c>
      <c r="L2409" s="60" t="str">
        <f>HYPERLINK("https://www.sds-group.ru/product/girlyanda-elovaya-2-7m-diametr-30sm-vetki-litye-neon-night-307-213/", "Инфо")</f>
        <v>Инфо</v>
      </c>
      <c r="M2409" s="37">
        <v>1.367</v>
      </c>
      <c r="N2409" s="38">
        <v>4.3404999999999999E-2</v>
      </c>
      <c r="O2409" s="141">
        <v>4601004132757</v>
      </c>
    </row>
    <row r="2410" spans="1:15" s="1" customFormat="1" ht="11.45" customHeight="1" outlineLevel="4" x14ac:dyDescent="0.2">
      <c r="A2410" s="32" t="s">
        <v>21315</v>
      </c>
      <c r="B2410" s="74" t="s">
        <v>21316</v>
      </c>
      <c r="C2410" s="50"/>
      <c r="D2410" s="139">
        <f t="shared" si="37"/>
        <v>0</v>
      </c>
      <c r="E2410" s="140">
        <v>1011.25</v>
      </c>
      <c r="F2410" s="140">
        <v>828.89</v>
      </c>
      <c r="G2410" s="34" t="s">
        <v>100</v>
      </c>
      <c r="H2410" s="34" t="s">
        <v>39</v>
      </c>
      <c r="I2410" s="35">
        <v>1</v>
      </c>
      <c r="J2410" s="35">
        <v>1</v>
      </c>
      <c r="K2410" s="35">
        <v>6</v>
      </c>
      <c r="L2410" s="60" t="str">
        <f>HYPERLINK("https://www.sds-group.ru/product/girlyanda-elovaya-belosnezhnaya-2-7m-diametr-36sm-neon-night-307-121/", "Инфо")</f>
        <v>Инфо</v>
      </c>
      <c r="M2410" s="37">
        <v>1.1830000000000001</v>
      </c>
      <c r="N2410" s="38">
        <v>1.9063E-2</v>
      </c>
      <c r="O2410" s="141">
        <v>4601004090477</v>
      </c>
    </row>
    <row r="2411" spans="1:15" ht="11.45" customHeight="1" outlineLevel="3" x14ac:dyDescent="0.2">
      <c r="A2411" s="76" t="s">
        <v>21319</v>
      </c>
      <c r="B2411" s="136"/>
      <c r="C2411" s="77"/>
      <c r="D2411" s="137"/>
      <c r="E2411" s="4"/>
      <c r="F2411" s="4"/>
      <c r="G2411" s="4"/>
      <c r="H2411" s="4"/>
      <c r="I2411" s="4"/>
      <c r="J2411" s="4"/>
      <c r="K2411" s="4"/>
      <c r="L2411" s="138"/>
      <c r="M2411" s="4"/>
      <c r="N2411" s="4"/>
      <c r="O2411" s="4"/>
    </row>
    <row r="2412" spans="1:15" s="1" customFormat="1" ht="11.45" customHeight="1" outlineLevel="4" x14ac:dyDescent="0.2">
      <c r="A2412" s="32" t="s">
        <v>21322</v>
      </c>
      <c r="B2412" s="74" t="s">
        <v>21323</v>
      </c>
      <c r="C2412" s="50"/>
      <c r="D2412" s="139">
        <f t="shared" si="37"/>
        <v>0</v>
      </c>
      <c r="E2412" s="140">
        <v>435.4</v>
      </c>
      <c r="F2412" s="140">
        <v>356.89</v>
      </c>
      <c r="G2412" s="34" t="s">
        <v>100</v>
      </c>
      <c r="H2412" s="34" t="s">
        <v>39</v>
      </c>
      <c r="I2412" s="35">
        <v>1</v>
      </c>
      <c r="J2412" s="35">
        <v>1</v>
      </c>
      <c r="K2412" s="35">
        <v>12</v>
      </c>
      <c r="L2412" s="60" t="str">
        <f>HYPERLINK("https://www.sds-group.ru/product/elovyy-venok-neon-night-45sm-pvh-307-142/", "Инфо")</f>
        <v>Инфо</v>
      </c>
      <c r="M2412" s="37">
        <v>0.373</v>
      </c>
      <c r="N2412" s="38">
        <v>1.7375000000000002E-2</v>
      </c>
      <c r="O2412" s="141">
        <v>4601004090408</v>
      </c>
    </row>
    <row r="2413" spans="1:15" s="1" customFormat="1" ht="11.45" customHeight="1" outlineLevel="4" x14ac:dyDescent="0.2">
      <c r="A2413" s="32" t="s">
        <v>21328</v>
      </c>
      <c r="B2413" s="74" t="s">
        <v>21329</v>
      </c>
      <c r="C2413" s="50"/>
      <c r="D2413" s="139">
        <f t="shared" si="37"/>
        <v>0</v>
      </c>
      <c r="E2413" s="140">
        <v>326.41000000000003</v>
      </c>
      <c r="F2413" s="140">
        <v>267.55</v>
      </c>
      <c r="G2413" s="34" t="s">
        <v>100</v>
      </c>
      <c r="H2413" s="34" t="s">
        <v>39</v>
      </c>
      <c r="I2413" s="35">
        <v>1</v>
      </c>
      <c r="J2413" s="35">
        <v>1</v>
      </c>
      <c r="K2413" s="35">
        <v>24</v>
      </c>
      <c r="L2413" s="60" t="str">
        <f>HYPERLINK("https://www.sds-group.ru/product/zasnezhennyy-elovyy-venok-neon-night-30-sm-pvh-307-146/", "Инфо")</f>
        <v>Инфо</v>
      </c>
      <c r="M2413" s="37">
        <v>0.14000000000000001</v>
      </c>
      <c r="N2413" s="38">
        <v>5.5929999999999999E-3</v>
      </c>
      <c r="O2413" s="141">
        <v>4601004180895</v>
      </c>
    </row>
    <row r="2414" spans="1:15" s="1" customFormat="1" ht="11.45" customHeight="1" outlineLevel="4" x14ac:dyDescent="0.2">
      <c r="A2414" s="32" t="s">
        <v>21330</v>
      </c>
      <c r="B2414" s="74" t="s">
        <v>21331</v>
      </c>
      <c r="C2414" s="50"/>
      <c r="D2414" s="139">
        <f t="shared" si="37"/>
        <v>0</v>
      </c>
      <c r="E2414" s="140">
        <v>571.63</v>
      </c>
      <c r="F2414" s="140">
        <v>468.55</v>
      </c>
      <c r="G2414" s="34" t="s">
        <v>100</v>
      </c>
      <c r="H2414" s="34" t="s">
        <v>39</v>
      </c>
      <c r="I2414" s="35">
        <v>1</v>
      </c>
      <c r="J2414" s="35">
        <v>1</v>
      </c>
      <c r="K2414" s="35">
        <v>12</v>
      </c>
      <c r="L2414" s="60" t="str">
        <f>HYPERLINK("https://www.sds-group.ru/product/zasnezhennyy-elovyy-venok-neon-night-45-sm-pvh-307-147/", "Инфо")</f>
        <v>Инфо</v>
      </c>
      <c r="M2414" s="37">
        <v>0.47799999999999998</v>
      </c>
      <c r="N2414" s="38">
        <v>8.1189999999999995E-3</v>
      </c>
      <c r="O2414" s="141">
        <v>4601004180901</v>
      </c>
    </row>
    <row r="2415" spans="1:15" s="1" customFormat="1" ht="11.45" customHeight="1" outlineLevel="4" x14ac:dyDescent="0.2">
      <c r="A2415" s="32" t="s">
        <v>21332</v>
      </c>
      <c r="B2415" s="74" t="s">
        <v>21333</v>
      </c>
      <c r="C2415" s="50"/>
      <c r="D2415" s="139">
        <f t="shared" si="37"/>
        <v>0</v>
      </c>
      <c r="E2415" s="140">
        <v>816.84</v>
      </c>
      <c r="F2415" s="140">
        <v>669.54</v>
      </c>
      <c r="G2415" s="34" t="s">
        <v>100</v>
      </c>
      <c r="H2415" s="34" t="s">
        <v>39</v>
      </c>
      <c r="I2415" s="35">
        <v>1</v>
      </c>
      <c r="J2415" s="35">
        <v>1</v>
      </c>
      <c r="K2415" s="35">
        <v>10</v>
      </c>
      <c r="L2415" s="60" t="str">
        <f>HYPERLINK("https://www.sds-group.ru/product/zasnezhennyy-elovyy-venok-neon-night-60-sm-pvh-307-148/", "Инфо")</f>
        <v>Инфо</v>
      </c>
      <c r="M2415" s="37">
        <v>0.77300000000000002</v>
      </c>
      <c r="N2415" s="38">
        <v>1.6088999999999999E-2</v>
      </c>
      <c r="O2415" s="141">
        <v>4601004180918</v>
      </c>
    </row>
    <row r="2416" spans="1:15" ht="11.45" customHeight="1" outlineLevel="3" x14ac:dyDescent="0.2">
      <c r="A2416" s="76" t="s">
        <v>21334</v>
      </c>
      <c r="B2416" s="136"/>
      <c r="C2416" s="77"/>
      <c r="D2416" s="137"/>
      <c r="E2416" s="4"/>
      <c r="F2416" s="4"/>
      <c r="G2416" s="4"/>
      <c r="H2416" s="4"/>
      <c r="I2416" s="4"/>
      <c r="J2416" s="4"/>
      <c r="K2416" s="4"/>
      <c r="L2416" s="138"/>
      <c r="M2416" s="4"/>
      <c r="N2416" s="4"/>
      <c r="O2416" s="4"/>
    </row>
    <row r="2417" spans="1:15" s="1" customFormat="1" ht="11.45" customHeight="1" outlineLevel="4" x14ac:dyDescent="0.2">
      <c r="A2417" s="32" t="s">
        <v>21335</v>
      </c>
      <c r="B2417" s="74" t="s">
        <v>21336</v>
      </c>
      <c r="C2417" s="50"/>
      <c r="D2417" s="139">
        <f t="shared" si="37"/>
        <v>0</v>
      </c>
      <c r="E2417" s="140">
        <v>244.67</v>
      </c>
      <c r="F2417" s="140">
        <v>200.55</v>
      </c>
      <c r="G2417" s="34" t="s">
        <v>100</v>
      </c>
      <c r="H2417" s="34" t="s">
        <v>39</v>
      </c>
      <c r="I2417" s="35">
        <v>1</v>
      </c>
      <c r="J2417" s="35">
        <v>1</v>
      </c>
      <c r="K2417" s="35">
        <v>36</v>
      </c>
      <c r="L2417" s="60" t="str">
        <f>HYPERLINK("https://www.sds-group.ru/product/elochka-30sm-v-pletenom-meshochke-pvh-533-331/", "Инфо")</f>
        <v>Инфо</v>
      </c>
      <c r="M2417" s="37">
        <v>0.375</v>
      </c>
      <c r="N2417" s="38">
        <v>2.9989999999999999E-3</v>
      </c>
      <c r="O2417" s="141">
        <v>4601004090439</v>
      </c>
    </row>
    <row r="2418" spans="1:15" s="1" customFormat="1" ht="11.45" customHeight="1" outlineLevel="4" x14ac:dyDescent="0.2">
      <c r="A2418" s="32" t="s">
        <v>21337</v>
      </c>
      <c r="B2418" s="74" t="s">
        <v>21338</v>
      </c>
      <c r="C2418" s="50"/>
      <c r="D2418" s="139">
        <f t="shared" si="37"/>
        <v>0</v>
      </c>
      <c r="E2418" s="140">
        <v>871.34</v>
      </c>
      <c r="F2418" s="140">
        <v>714.21</v>
      </c>
      <c r="G2418" s="34" t="s">
        <v>100</v>
      </c>
      <c r="H2418" s="34" t="s">
        <v>39</v>
      </c>
      <c r="I2418" s="35">
        <v>1</v>
      </c>
      <c r="J2418" s="35">
        <v>1</v>
      </c>
      <c r="K2418" s="35">
        <v>24</v>
      </c>
      <c r="L2418" s="60" t="str">
        <f>HYPERLINK("https://www.sds-group.ru/product/elochka-45sm-v-plastikovom-gorshke-litaya-533-334/", "Инфо")</f>
        <v>Инфо</v>
      </c>
      <c r="M2418" s="37">
        <v>0.54700000000000004</v>
      </c>
      <c r="N2418" s="38">
        <v>1.0501E-2</v>
      </c>
      <c r="O2418" s="141">
        <v>4601004090460</v>
      </c>
    </row>
    <row r="2419" spans="1:15" s="1" customFormat="1" ht="11.45" customHeight="1" outlineLevel="4" x14ac:dyDescent="0.2">
      <c r="A2419" s="32" t="s">
        <v>21341</v>
      </c>
      <c r="B2419" s="74" t="s">
        <v>21342</v>
      </c>
      <c r="C2419" s="50"/>
      <c r="D2419" s="139">
        <f t="shared" si="37"/>
        <v>0</v>
      </c>
      <c r="E2419" s="140">
        <v>489.89</v>
      </c>
      <c r="F2419" s="140">
        <v>401.55</v>
      </c>
      <c r="G2419" s="34" t="s">
        <v>100</v>
      </c>
      <c r="H2419" s="34" t="s">
        <v>39</v>
      </c>
      <c r="I2419" s="35">
        <v>1</v>
      </c>
      <c r="J2419" s="35">
        <v>1</v>
      </c>
      <c r="K2419" s="35">
        <v>24</v>
      </c>
      <c r="L2419" s="60" t="str">
        <f>HYPERLINK("https://www.sds-group.ru/product/elochka-60sm-v-pletenom-meshochke-pvh-533-333/", "Инфо")</f>
        <v>Инфо</v>
      </c>
      <c r="M2419" s="37">
        <v>0.80400000000000005</v>
      </c>
      <c r="N2419" s="38">
        <v>4.9800000000000001E-3</v>
      </c>
      <c r="O2419" s="141">
        <v>4601004090453</v>
      </c>
    </row>
    <row r="2420" spans="1:15" ht="11.45" customHeight="1" outlineLevel="2" x14ac:dyDescent="0.2">
      <c r="A2420" s="76" t="s">
        <v>21345</v>
      </c>
      <c r="B2420" s="136"/>
      <c r="C2420" s="77"/>
      <c r="D2420" s="137"/>
      <c r="E2420" s="4"/>
      <c r="F2420" s="4"/>
      <c r="G2420" s="4"/>
      <c r="H2420" s="4"/>
      <c r="I2420" s="4"/>
      <c r="J2420" s="4"/>
      <c r="K2420" s="4"/>
      <c r="L2420" s="138"/>
      <c r="M2420" s="4"/>
      <c r="N2420" s="4"/>
      <c r="O2420" s="4"/>
    </row>
    <row r="2421" spans="1:15" s="1" customFormat="1" ht="11.45" customHeight="1" outlineLevel="3" x14ac:dyDescent="0.2">
      <c r="A2421" s="32" t="s">
        <v>21348</v>
      </c>
      <c r="B2421" s="74" t="s">
        <v>21349</v>
      </c>
      <c r="C2421" s="50"/>
      <c r="D2421" s="139">
        <f t="shared" si="37"/>
        <v>0</v>
      </c>
      <c r="E2421" s="140">
        <v>574.24</v>
      </c>
      <c r="F2421" s="140">
        <v>470.69</v>
      </c>
      <c r="G2421" s="34" t="s">
        <v>100</v>
      </c>
      <c r="H2421" s="34" t="s">
        <v>39</v>
      </c>
      <c r="I2421" s="35">
        <v>1</v>
      </c>
      <c r="J2421" s="35">
        <v>1</v>
      </c>
      <c r="K2421" s="35">
        <v>48</v>
      </c>
      <c r="L2421" s="60" t="str">
        <f>HYPERLINK("https://www.sds-group.ru/product/nabor-dlya-sozdaniya-neonovyh-figur-neon-night-kreativ-180-led-1-5-m-zheltyy-131-021-1/", "Инфо")</f>
        <v>Инфо</v>
      </c>
      <c r="M2421" s="37">
        <v>0.215</v>
      </c>
      <c r="N2421" s="38">
        <v>6.69E-4</v>
      </c>
      <c r="O2421" s="141">
        <v>4601004172975</v>
      </c>
    </row>
    <row r="2422" spans="1:15" ht="11.45" customHeight="1" outlineLevel="1" x14ac:dyDescent="0.2">
      <c r="A2422" s="78" t="s">
        <v>21354</v>
      </c>
      <c r="B2422" s="132"/>
      <c r="C2422" s="79"/>
      <c r="D2422" s="133"/>
      <c r="E2422" s="134"/>
      <c r="F2422" s="134"/>
      <c r="G2422" s="134"/>
      <c r="H2422" s="134"/>
      <c r="I2422" s="134"/>
      <c r="J2422" s="134"/>
      <c r="K2422" s="134"/>
      <c r="L2422" s="135"/>
      <c r="M2422" s="134"/>
      <c r="N2422" s="134"/>
      <c r="O2422" s="134"/>
    </row>
    <row r="2423" spans="1:15" ht="11.45" customHeight="1" outlineLevel="2" x14ac:dyDescent="0.2">
      <c r="A2423" s="76" t="s">
        <v>21396</v>
      </c>
      <c r="B2423" s="136"/>
      <c r="C2423" s="77"/>
      <c r="D2423" s="137"/>
      <c r="E2423" s="4"/>
      <c r="F2423" s="4"/>
      <c r="G2423" s="4"/>
      <c r="H2423" s="4"/>
      <c r="I2423" s="4"/>
      <c r="J2423" s="4"/>
      <c r="K2423" s="4"/>
      <c r="L2423" s="138"/>
      <c r="M2423" s="4"/>
      <c r="N2423" s="4"/>
      <c r="O2423" s="4"/>
    </row>
    <row r="2424" spans="1:15" s="1" customFormat="1" ht="11.45" customHeight="1" outlineLevel="3" x14ac:dyDescent="0.2">
      <c r="A2424" s="32" t="s">
        <v>21397</v>
      </c>
      <c r="B2424" s="74" t="s">
        <v>21398</v>
      </c>
      <c r="C2424" s="50"/>
      <c r="D2424" s="139">
        <f t="shared" si="37"/>
        <v>0</v>
      </c>
      <c r="E2424" s="140">
        <v>745.76</v>
      </c>
      <c r="F2424" s="140">
        <v>611.28</v>
      </c>
      <c r="G2424" s="34" t="s">
        <v>100</v>
      </c>
      <c r="H2424" s="34" t="s">
        <v>39</v>
      </c>
      <c r="I2424" s="35">
        <v>1</v>
      </c>
      <c r="J2424" s="35">
        <v>1</v>
      </c>
      <c r="K2424" s="35">
        <v>100</v>
      </c>
      <c r="L2424" s="60" t="str">
        <f>HYPERLINK("https://www.sds-group.ru/product/girlyanda-rosa-10m-100led-rgb-ip44-na-batareykah-3haa-s-pultom-44-rezhima-neon-night-303-259/", "Инфо")</f>
        <v>Инфо</v>
      </c>
      <c r="M2424" s="37">
        <v>0.14199999999999999</v>
      </c>
      <c r="N2424" s="38">
        <v>6.0999999999999999E-5</v>
      </c>
      <c r="O2424" s="141">
        <v>4601004283947</v>
      </c>
    </row>
    <row r="2425" spans="1:15" s="1" customFormat="1" ht="11.45" customHeight="1" outlineLevel="3" x14ac:dyDescent="0.2">
      <c r="A2425" s="32" t="s">
        <v>21405</v>
      </c>
      <c r="B2425" s="74" t="s">
        <v>21406</v>
      </c>
      <c r="C2425" s="50"/>
      <c r="D2425" s="139">
        <f t="shared" si="37"/>
        <v>0</v>
      </c>
      <c r="E2425" s="140">
        <v>574.24</v>
      </c>
      <c r="F2425" s="140">
        <v>470.69</v>
      </c>
      <c r="G2425" s="34" t="s">
        <v>100</v>
      </c>
      <c r="H2425" s="34" t="s">
        <v>39</v>
      </c>
      <c r="I2425" s="35">
        <v>1</v>
      </c>
      <c r="J2425" s="35">
        <v>1</v>
      </c>
      <c r="K2425" s="35">
        <v>48</v>
      </c>
      <c r="L2425" s="60" t="str">
        <f>HYPERLINK("https://www.sds-group.ru/product/girlyanda-rosa-s-transformatorom-20-m-200-led-tsvet-svecheniya-multikolor-neon-night-303-209/", "Инфо")</f>
        <v>Инфо</v>
      </c>
      <c r="M2425" s="37">
        <v>0.192</v>
      </c>
      <c r="N2425" s="38">
        <v>1.2030000000000001E-3</v>
      </c>
      <c r="O2425" s="141">
        <v>4601004254756</v>
      </c>
    </row>
    <row r="2426" spans="1:15" s="1" customFormat="1" ht="11.45" customHeight="1" outlineLevel="3" x14ac:dyDescent="0.2">
      <c r="A2426" s="32" t="s">
        <v>21407</v>
      </c>
      <c r="B2426" s="74" t="s">
        <v>21408</v>
      </c>
      <c r="C2426" s="50"/>
      <c r="D2426" s="139">
        <f t="shared" si="37"/>
        <v>0</v>
      </c>
      <c r="E2426" s="140">
        <v>689.85</v>
      </c>
      <c r="F2426" s="140">
        <v>565.45000000000005</v>
      </c>
      <c r="G2426" s="34" t="s">
        <v>100</v>
      </c>
      <c r="H2426" s="34" t="s">
        <v>39</v>
      </c>
      <c r="I2426" s="35">
        <v>1</v>
      </c>
      <c r="J2426" s="35">
        <v>1</v>
      </c>
      <c r="K2426" s="35">
        <v>100</v>
      </c>
      <c r="L2426" s="60" t="str">
        <f>HYPERLINK("https://www.sds-group.ru/product/girlyanda-rosa-s-transformatorom-30-m-300-led-beloe-svechenie-neon-night-303-215/", "Инфо")</f>
        <v>Инфо</v>
      </c>
      <c r="M2426" s="37">
        <v>0.19</v>
      </c>
      <c r="N2426" s="38">
        <v>1.315E-3</v>
      </c>
      <c r="O2426" s="141">
        <v>4601004184138</v>
      </c>
    </row>
    <row r="2427" spans="1:15" s="1" customFormat="1" ht="11.45" customHeight="1" outlineLevel="3" x14ac:dyDescent="0.2">
      <c r="A2427" s="32" t="s">
        <v>21411</v>
      </c>
      <c r="B2427" s="74" t="s">
        <v>21412</v>
      </c>
      <c r="C2427" s="50"/>
      <c r="D2427" s="139">
        <f t="shared" si="37"/>
        <v>0</v>
      </c>
      <c r="E2427" s="140">
        <v>574.24</v>
      </c>
      <c r="F2427" s="140">
        <v>470.69</v>
      </c>
      <c r="G2427" s="34" t="s">
        <v>100</v>
      </c>
      <c r="H2427" s="34" t="s">
        <v>39</v>
      </c>
      <c r="I2427" s="35">
        <v>1</v>
      </c>
      <c r="J2427" s="35">
        <v>1</v>
      </c>
      <c r="K2427" s="35">
        <v>48</v>
      </c>
      <c r="L2427" s="60" t="str">
        <f>HYPERLINK("https://www.sds-group.ru/product/girlyanda-rosa-s-transformatorom-20-m-200-led-beloe-svechenie-neon-night-303-205/", "Инфо")</f>
        <v>Инфо</v>
      </c>
      <c r="M2427" s="37">
        <v>0.19400000000000001</v>
      </c>
      <c r="N2427" s="38">
        <v>1.1670000000000001E-3</v>
      </c>
      <c r="O2427" s="141">
        <v>4601004184114</v>
      </c>
    </row>
    <row r="2428" spans="1:15" s="1" customFormat="1" ht="11.45" customHeight="1" outlineLevel="3" x14ac:dyDescent="0.2">
      <c r="A2428" s="32" t="s">
        <v>21413</v>
      </c>
      <c r="B2428" s="74" t="s">
        <v>21414</v>
      </c>
      <c r="C2428" s="50"/>
      <c r="D2428" s="139">
        <f t="shared" si="37"/>
        <v>0</v>
      </c>
      <c r="E2428" s="140">
        <v>1730.79</v>
      </c>
      <c r="F2428" s="140">
        <v>1418.68</v>
      </c>
      <c r="G2428" s="34" t="s">
        <v>100</v>
      </c>
      <c r="H2428" s="34" t="s">
        <v>39</v>
      </c>
      <c r="I2428" s="35">
        <v>1</v>
      </c>
      <c r="J2428" s="35">
        <v>1</v>
      </c>
      <c r="K2428" s="35">
        <v>48</v>
      </c>
      <c r="L2428" s="60" t="str">
        <f>HYPERLINK("https://www.sds-group.ru/product/girlyanda-rosa-feyerverk-s-transformatorom-20-m-1000-led-beloe-svechenie-303-245/", "Инфо")</f>
        <v>Инфо</v>
      </c>
      <c r="M2428" s="37">
        <v>0.39400000000000002</v>
      </c>
      <c r="N2428" s="38">
        <v>1.17E-4</v>
      </c>
      <c r="O2428" s="141">
        <v>4601004254817</v>
      </c>
    </row>
    <row r="2429" spans="1:15" ht="11.45" customHeight="1" outlineLevel="2" x14ac:dyDescent="0.2">
      <c r="A2429" s="76" t="s">
        <v>21429</v>
      </c>
      <c r="B2429" s="136"/>
      <c r="C2429" s="77"/>
      <c r="D2429" s="137"/>
      <c r="E2429" s="4"/>
      <c r="F2429" s="4"/>
      <c r="G2429" s="4"/>
      <c r="H2429" s="4"/>
      <c r="I2429" s="4"/>
      <c r="J2429" s="4"/>
      <c r="K2429" s="4"/>
      <c r="L2429" s="138"/>
      <c r="M2429" s="4"/>
      <c r="N2429" s="4"/>
      <c r="O2429" s="4"/>
    </row>
    <row r="2430" spans="1:15" ht="11.45" customHeight="1" outlineLevel="3" x14ac:dyDescent="0.2">
      <c r="A2430" s="76" t="s">
        <v>21430</v>
      </c>
      <c r="B2430" s="136"/>
      <c r="C2430" s="77"/>
      <c r="D2430" s="137"/>
      <c r="E2430" s="4"/>
      <c r="F2430" s="4"/>
      <c r="G2430" s="4"/>
      <c r="H2430" s="4"/>
      <c r="I2430" s="4"/>
      <c r="J2430" s="4"/>
      <c r="K2430" s="4"/>
      <c r="L2430" s="138"/>
      <c r="M2430" s="4"/>
      <c r="N2430" s="4"/>
      <c r="O2430" s="4"/>
    </row>
    <row r="2431" spans="1:15" s="1" customFormat="1" ht="11.45" customHeight="1" outlineLevel="4" x14ac:dyDescent="0.2">
      <c r="A2431" s="32" t="s">
        <v>21431</v>
      </c>
      <c r="B2431" s="74" t="s">
        <v>21432</v>
      </c>
      <c r="C2431" s="50"/>
      <c r="D2431" s="139">
        <f t="shared" si="37"/>
        <v>0</v>
      </c>
      <c r="E2431" s="140">
        <v>3118.56</v>
      </c>
      <c r="F2431" s="140">
        <v>2556.1999999999998</v>
      </c>
      <c r="G2431" s="34" t="s">
        <v>100</v>
      </c>
      <c r="H2431" s="34" t="s">
        <v>39</v>
      </c>
      <c r="I2431" s="35">
        <v>1</v>
      </c>
      <c r="J2431" s="35">
        <v>1</v>
      </c>
      <c r="K2431" s="35">
        <v>4</v>
      </c>
      <c r="L2431" s="60" t="str">
        <f>HYPERLINK("https://www.sds-group.ru/product/nabor-belt-layt-10-m-belyy-kauchuk-30-lamp-tsvet-belyy-ip65-soedinyaetsya-331-305/", "Инфо")</f>
        <v>Инфо</v>
      </c>
      <c r="M2431" s="37">
        <v>2.722</v>
      </c>
      <c r="N2431" s="38">
        <v>1.8166000000000002E-2</v>
      </c>
      <c r="O2431" s="141">
        <v>4601004032934</v>
      </c>
    </row>
    <row r="2432" spans="1:15" s="1" customFormat="1" ht="11.45" customHeight="1" outlineLevel="4" x14ac:dyDescent="0.2">
      <c r="A2432" s="32" t="s">
        <v>21433</v>
      </c>
      <c r="B2432" s="74" t="s">
        <v>21434</v>
      </c>
      <c r="C2432" s="50"/>
      <c r="D2432" s="139">
        <f t="shared" si="37"/>
        <v>0</v>
      </c>
      <c r="E2432" s="140">
        <v>1737.24</v>
      </c>
      <c r="F2432" s="140">
        <v>1423.97</v>
      </c>
      <c r="G2432" s="34" t="s">
        <v>100</v>
      </c>
      <c r="H2432" s="34" t="s">
        <v>39</v>
      </c>
      <c r="I2432" s="35">
        <v>1</v>
      </c>
      <c r="J2432" s="35">
        <v>1</v>
      </c>
      <c r="K2432" s="35">
        <v>5</v>
      </c>
      <c r="L2432" s="60" t="str">
        <f>HYPERLINK("https://www.sds-group.ru/product/nabor-belt-layt-10-m-belyy-kauchuk-30-lamp-tsvet-krasnyy-ip65-soedinyaetsya-331-302/", "Инфо")</f>
        <v>Инфо</v>
      </c>
      <c r="M2432" s="37">
        <v>1.2</v>
      </c>
      <c r="N2432" s="38">
        <v>8.345E-3</v>
      </c>
      <c r="O2432" s="141">
        <v>4601004032903</v>
      </c>
    </row>
    <row r="2433" spans="1:15" s="1" customFormat="1" ht="11.45" customHeight="1" outlineLevel="4" x14ac:dyDescent="0.2">
      <c r="A2433" s="32" t="s">
        <v>21437</v>
      </c>
      <c r="B2433" s="74" t="s">
        <v>21438</v>
      </c>
      <c r="C2433" s="50"/>
      <c r="D2433" s="139">
        <f t="shared" si="37"/>
        <v>0</v>
      </c>
      <c r="E2433" s="140">
        <v>3850.07</v>
      </c>
      <c r="F2433" s="140">
        <v>3155.8</v>
      </c>
      <c r="G2433" s="34" t="s">
        <v>100</v>
      </c>
      <c r="H2433" s="34" t="s">
        <v>39</v>
      </c>
      <c r="I2433" s="35">
        <v>1</v>
      </c>
      <c r="J2433" s="35">
        <v>1</v>
      </c>
      <c r="K2433" s="35">
        <v>4</v>
      </c>
      <c r="L2433" s="60" t="str">
        <f>HYPERLINK("https://www.sds-group.ru/product/nabor-belt-layt-10-m-chernyy-kauchuk-30-lamp-tsvet-belyy-ip65-soedinyaetsya-331-325/", "Инфо")</f>
        <v>Инфо</v>
      </c>
      <c r="M2433" s="37">
        <v>2.7589999999999999</v>
      </c>
      <c r="N2433" s="38">
        <v>1.7662000000000001E-2</v>
      </c>
      <c r="O2433" s="141">
        <v>4601004014886</v>
      </c>
    </row>
    <row r="2434" spans="1:15" s="1" customFormat="1" ht="11.45" customHeight="1" outlineLevel="4" x14ac:dyDescent="0.2">
      <c r="A2434" s="32" t="s">
        <v>21439</v>
      </c>
      <c r="B2434" s="74" t="s">
        <v>21440</v>
      </c>
      <c r="C2434" s="50"/>
      <c r="D2434" s="139">
        <f t="shared" si="37"/>
        <v>0</v>
      </c>
      <c r="E2434" s="140">
        <v>2806.7</v>
      </c>
      <c r="F2434" s="140">
        <v>2300.5700000000002</v>
      </c>
      <c r="G2434" s="34" t="s">
        <v>100</v>
      </c>
      <c r="H2434" s="34" t="s">
        <v>39</v>
      </c>
      <c r="I2434" s="35">
        <v>1</v>
      </c>
      <c r="J2434" s="35">
        <v>1</v>
      </c>
      <c r="K2434" s="35">
        <v>4</v>
      </c>
      <c r="L2434" s="60" t="str">
        <f>HYPERLINK("https://www.sds-group.ru/product/nabor-belt-layt-10-m-chernyy-kauchuk-30-lamp-tsvet-krasnyy-ip65-soedinyaetsya-331-322/", "Инфо")</f>
        <v>Инфо</v>
      </c>
      <c r="M2434" s="37">
        <v>2.4710000000000001</v>
      </c>
      <c r="N2434" s="38">
        <v>1.6598999999999999E-2</v>
      </c>
      <c r="O2434" s="141">
        <v>4601004014947</v>
      </c>
    </row>
    <row r="2435" spans="1:15" s="1" customFormat="1" ht="11.45" customHeight="1" outlineLevel="4" x14ac:dyDescent="0.2">
      <c r="A2435" s="32" t="s">
        <v>21441</v>
      </c>
      <c r="B2435" s="74" t="s">
        <v>21442</v>
      </c>
      <c r="C2435" s="50"/>
      <c r="D2435" s="139">
        <f t="shared" si="37"/>
        <v>0</v>
      </c>
      <c r="E2435" s="140">
        <v>2144.7399999999998</v>
      </c>
      <c r="F2435" s="140">
        <v>1757.98</v>
      </c>
      <c r="G2435" s="34" t="s">
        <v>100</v>
      </c>
      <c r="H2435" s="34" t="s">
        <v>39</v>
      </c>
      <c r="I2435" s="35">
        <v>1</v>
      </c>
      <c r="J2435" s="35">
        <v>1</v>
      </c>
      <c r="K2435" s="35">
        <v>10</v>
      </c>
      <c r="L2435" s="60" t="str">
        <f>HYPERLINK("https://www.sds-group.ru/product/nabor-belt-layt-10-m-chernyy-kauchuk-30-lamp-tsvet-siniy-ip65-soedinyaetsya-331-323/", "Инфо")</f>
        <v>Инфо</v>
      </c>
      <c r="M2435" s="37">
        <v>2.8210000000000002</v>
      </c>
      <c r="N2435" s="38">
        <v>1.3525000000000001E-2</v>
      </c>
      <c r="O2435" s="141">
        <v>4601004014930</v>
      </c>
    </row>
    <row r="2436" spans="1:15" ht="11.45" customHeight="1" outlineLevel="3" x14ac:dyDescent="0.2">
      <c r="A2436" s="76" t="s">
        <v>21449</v>
      </c>
      <c r="B2436" s="136"/>
      <c r="C2436" s="77"/>
      <c r="D2436" s="137"/>
      <c r="E2436" s="4"/>
      <c r="F2436" s="4"/>
      <c r="G2436" s="4"/>
      <c r="H2436" s="4"/>
      <c r="I2436" s="4"/>
      <c r="J2436" s="4"/>
      <c r="K2436" s="4"/>
      <c r="L2436" s="138"/>
      <c r="M2436" s="4"/>
      <c r="N2436" s="4"/>
      <c r="O2436" s="4"/>
    </row>
    <row r="2437" spans="1:15" s="1" customFormat="1" ht="11.45" customHeight="1" outlineLevel="4" x14ac:dyDescent="0.2">
      <c r="A2437" s="32" t="s">
        <v>21452</v>
      </c>
      <c r="B2437" s="74" t="s">
        <v>21453</v>
      </c>
      <c r="C2437" s="50"/>
      <c r="D2437" s="139">
        <f t="shared" si="37"/>
        <v>0</v>
      </c>
      <c r="E2437" s="140">
        <v>2583.6799999999998</v>
      </c>
      <c r="F2437" s="140">
        <v>2117.77</v>
      </c>
      <c r="G2437" s="34" t="s">
        <v>100</v>
      </c>
      <c r="H2437" s="34" t="s">
        <v>39</v>
      </c>
      <c r="I2437" s="35">
        <v>1</v>
      </c>
      <c r="J2437" s="35">
        <v>1</v>
      </c>
      <c r="K2437" s="35">
        <v>4</v>
      </c>
      <c r="L2437" s="60" t="str">
        <f>HYPERLINK("https://www.sds-group.ru/product/belt-layt-10m-belyy-kauchuk-shag-50sm-20-podvesnyh-patronov-ip44-331-336/", "Инфо")</f>
        <v>Инфо</v>
      </c>
      <c r="M2437" s="37">
        <v>2.419</v>
      </c>
      <c r="N2437" s="38">
        <v>9.1009999999999997E-3</v>
      </c>
      <c r="O2437" s="141">
        <v>4601004226883</v>
      </c>
    </row>
    <row r="2438" spans="1:15" ht="11.45" customHeight="1" outlineLevel="2" x14ac:dyDescent="0.2">
      <c r="A2438" s="76" t="s">
        <v>21460</v>
      </c>
      <c r="B2438" s="136"/>
      <c r="C2438" s="77"/>
      <c r="D2438" s="137"/>
      <c r="E2438" s="4"/>
      <c r="F2438" s="4"/>
      <c r="G2438" s="4"/>
      <c r="H2438" s="4"/>
      <c r="I2438" s="4"/>
      <c r="J2438" s="4"/>
      <c r="K2438" s="4"/>
      <c r="L2438" s="138"/>
      <c r="M2438" s="4"/>
      <c r="N2438" s="4"/>
      <c r="O2438" s="4"/>
    </row>
    <row r="2439" spans="1:15" s="1" customFormat="1" ht="11.45" customHeight="1" outlineLevel="3" x14ac:dyDescent="0.2">
      <c r="A2439" s="32" t="s">
        <v>21463</v>
      </c>
      <c r="B2439" s="74" t="s">
        <v>21464</v>
      </c>
      <c r="C2439" s="50"/>
      <c r="D2439" s="139">
        <f t="shared" si="37"/>
        <v>0</v>
      </c>
      <c r="E2439" s="140">
        <v>2996.55</v>
      </c>
      <c r="F2439" s="140">
        <v>2456.19</v>
      </c>
      <c r="G2439" s="34" t="s">
        <v>100</v>
      </c>
      <c r="H2439" s="34" t="s">
        <v>39</v>
      </c>
      <c r="I2439" s="35">
        <v>1</v>
      </c>
      <c r="J2439" s="35">
        <v>1</v>
      </c>
      <c r="K2439" s="35">
        <v>10</v>
      </c>
      <c r="L2439" s="60" t="str">
        <f>HYPERLINK("https://www.sds-group.ru/product/dyuralayt-led-svechenie-s-dinamikoy-2w-rgb-13mm-36led-m-6m-245-109/", "Инфо")</f>
        <v>Инфо</v>
      </c>
      <c r="M2439" s="37">
        <v>1.0309999999999999</v>
      </c>
      <c r="N2439" s="38">
        <v>3.075E-3</v>
      </c>
      <c r="O2439" s="141">
        <v>4601004090514</v>
      </c>
    </row>
    <row r="2440" spans="1:15" s="1" customFormat="1" ht="11.45" customHeight="1" outlineLevel="3" x14ac:dyDescent="0.2">
      <c r="A2440" s="32" t="s">
        <v>21465</v>
      </c>
      <c r="B2440" s="74" t="s">
        <v>21466</v>
      </c>
      <c r="C2440" s="50"/>
      <c r="D2440" s="139">
        <f t="shared" si="37"/>
        <v>0</v>
      </c>
      <c r="E2440" s="140">
        <v>297.20999999999998</v>
      </c>
      <c r="F2440" s="140">
        <v>243.61</v>
      </c>
      <c r="G2440" s="34" t="s">
        <v>100</v>
      </c>
      <c r="H2440" s="34" t="s">
        <v>39</v>
      </c>
      <c r="I2440" s="35">
        <v>1</v>
      </c>
      <c r="J2440" s="35">
        <v>1</v>
      </c>
      <c r="K2440" s="35">
        <v>12</v>
      </c>
      <c r="L2440" s="60" t="str">
        <f>HYPERLINK("https://www.sds-group.ru/product/kontroller-dlya-naborov-trehzhilnogo-svetodiodnogo-dyuralayta-6m-i-14m-do-30m-123-031/", "Инфо")</f>
        <v>Инфо</v>
      </c>
      <c r="M2440" s="37">
        <v>0.42599999999999999</v>
      </c>
      <c r="N2440" s="38">
        <v>1.459E-3</v>
      </c>
      <c r="O2440" s="141">
        <v>4601004089372</v>
      </c>
    </row>
    <row r="2441" spans="1:15" s="1" customFormat="1" ht="11.45" customHeight="1" outlineLevel="3" x14ac:dyDescent="0.2">
      <c r="A2441" s="32" t="s">
        <v>21469</v>
      </c>
      <c r="B2441" s="74" t="s">
        <v>21470</v>
      </c>
      <c r="C2441" s="50"/>
      <c r="D2441" s="139">
        <f t="shared" si="37"/>
        <v>0</v>
      </c>
      <c r="E2441" s="140">
        <v>2233.65</v>
      </c>
      <c r="F2441" s="140">
        <v>1830.86</v>
      </c>
      <c r="G2441" s="34" t="s">
        <v>100</v>
      </c>
      <c r="H2441" s="34" t="s">
        <v>39</v>
      </c>
      <c r="I2441" s="35">
        <v>1</v>
      </c>
      <c r="J2441" s="35">
        <v>1</v>
      </c>
      <c r="K2441" s="35">
        <v>5</v>
      </c>
      <c r="L2441" s="60" t="str">
        <f>HYPERLINK("https://www.sds-group.ru/product/dyuralayt-led-fiksing-2w-24-led-m-multi-rygb-20-m-121-329-20/", "Инфо")</f>
        <v>Инфо</v>
      </c>
      <c r="M2441" s="37">
        <v>2.476</v>
      </c>
      <c r="N2441" s="38">
        <v>7.2030000000000002E-3</v>
      </c>
      <c r="O2441" s="141">
        <v>4601004234345</v>
      </c>
    </row>
    <row r="2442" spans="1:15" s="1" customFormat="1" ht="11.45" customHeight="1" outlineLevel="3" x14ac:dyDescent="0.2">
      <c r="A2442" s="32" t="s">
        <v>21471</v>
      </c>
      <c r="B2442" s="74" t="s">
        <v>21472</v>
      </c>
      <c r="C2442" s="50"/>
      <c r="D2442" s="139">
        <f t="shared" si="37"/>
        <v>0</v>
      </c>
      <c r="E2442" s="140">
        <v>1269.1300000000001</v>
      </c>
      <c r="F2442" s="140">
        <v>1040.27</v>
      </c>
      <c r="G2442" s="34" t="s">
        <v>100</v>
      </c>
      <c r="H2442" s="34" t="s">
        <v>39</v>
      </c>
      <c r="I2442" s="35">
        <v>1</v>
      </c>
      <c r="J2442" s="35">
        <v>1</v>
      </c>
      <c r="K2442" s="35">
        <v>10</v>
      </c>
      <c r="L2442" s="60" t="str">
        <f>HYPERLINK("https://www.sds-group.ru/product/dyuralayt-led-fiksing-2w-24-led-m-teplyy-belyy-10-m-121-326-10/", "Инфо")</f>
        <v>Инфо</v>
      </c>
      <c r="M2442" s="37">
        <v>1.329</v>
      </c>
      <c r="N2442" s="38">
        <v>3.692E-3</v>
      </c>
      <c r="O2442" s="141">
        <v>4601004234352</v>
      </c>
    </row>
    <row r="2443" spans="1:15" s="1" customFormat="1" ht="11.45" customHeight="1" outlineLevel="3" x14ac:dyDescent="0.2">
      <c r="A2443" s="32" t="s">
        <v>21473</v>
      </c>
      <c r="B2443" s="74" t="s">
        <v>21474</v>
      </c>
      <c r="C2443" s="50"/>
      <c r="D2443" s="139">
        <f t="shared" ref="D2443:D2506" si="38">C2443*E2443</f>
        <v>0</v>
      </c>
      <c r="E2443" s="140">
        <v>2233.65</v>
      </c>
      <c r="F2443" s="140">
        <v>1830.86</v>
      </c>
      <c r="G2443" s="34" t="s">
        <v>100</v>
      </c>
      <c r="H2443" s="34" t="s">
        <v>39</v>
      </c>
      <c r="I2443" s="35">
        <v>1</v>
      </c>
      <c r="J2443" s="35">
        <v>1</v>
      </c>
      <c r="K2443" s="35">
        <v>5</v>
      </c>
      <c r="L2443" s="60" t="str">
        <f>HYPERLINK("https://www.sds-group.ru/product/dyuralayt-led-fiksing-2w-24-led-m-teplyy-belyy-20-m-121-326-20/", "Инфо")</f>
        <v>Инфо</v>
      </c>
      <c r="M2443" s="37">
        <v>2.3559999999999999</v>
      </c>
      <c r="N2443" s="38">
        <v>6.2830000000000004E-3</v>
      </c>
      <c r="O2443" s="141">
        <v>4601004234338</v>
      </c>
    </row>
    <row r="2444" spans="1:15" s="1" customFormat="1" ht="11.45" customHeight="1" outlineLevel="3" x14ac:dyDescent="0.2">
      <c r="A2444" s="32" t="s">
        <v>21481</v>
      </c>
      <c r="B2444" s="74" t="s">
        <v>21482</v>
      </c>
      <c r="C2444" s="50"/>
      <c r="D2444" s="139">
        <f t="shared" si="38"/>
        <v>0</v>
      </c>
      <c r="E2444" s="140">
        <v>761.82</v>
      </c>
      <c r="F2444" s="140">
        <v>624.44000000000005</v>
      </c>
      <c r="G2444" s="34" t="s">
        <v>100</v>
      </c>
      <c r="H2444" s="34" t="s">
        <v>39</v>
      </c>
      <c r="I2444" s="35">
        <v>1</v>
      </c>
      <c r="J2444" s="35">
        <v>1</v>
      </c>
      <c r="K2444" s="35">
        <v>10</v>
      </c>
      <c r="L2444" s="60" t="str">
        <f>HYPERLINK("https://www.sds-group.ru/product/dyuralayt-led-svechenie-s-dinamikoy-3w-24-led-m-teplyy-belyy-6m-121-326-06/", "Инфо")</f>
        <v>Инфо</v>
      </c>
      <c r="M2444" s="37">
        <v>1.089</v>
      </c>
      <c r="N2444" s="38">
        <v>3.669E-3</v>
      </c>
      <c r="O2444" s="141">
        <v>4601004089846</v>
      </c>
    </row>
    <row r="2445" spans="1:15" ht="11.45" customHeight="1" outlineLevel="2" x14ac:dyDescent="0.2">
      <c r="A2445" s="76" t="s">
        <v>21496</v>
      </c>
      <c r="B2445" s="136"/>
      <c r="C2445" s="77"/>
      <c r="D2445" s="137"/>
      <c r="E2445" s="4"/>
      <c r="F2445" s="4"/>
      <c r="G2445" s="4"/>
      <c r="H2445" s="4"/>
      <c r="I2445" s="4"/>
      <c r="J2445" s="4"/>
      <c r="K2445" s="4"/>
      <c r="L2445" s="138"/>
      <c r="M2445" s="4"/>
      <c r="N2445" s="4"/>
      <c r="O2445" s="4"/>
    </row>
    <row r="2446" spans="1:15" s="1" customFormat="1" ht="11.45" customHeight="1" outlineLevel="3" x14ac:dyDescent="0.2">
      <c r="A2446" s="32" t="s">
        <v>21503</v>
      </c>
      <c r="B2446" s="74" t="s">
        <v>21504</v>
      </c>
      <c r="C2446" s="50"/>
      <c r="D2446" s="139">
        <f t="shared" si="38"/>
        <v>0</v>
      </c>
      <c r="E2446" s="140">
        <v>21482.880000000001</v>
      </c>
      <c r="F2446" s="140">
        <v>17608.919999999998</v>
      </c>
      <c r="G2446" s="34" t="s">
        <v>100</v>
      </c>
      <c r="H2446" s="34" t="s">
        <v>39</v>
      </c>
      <c r="I2446" s="35">
        <v>1</v>
      </c>
      <c r="J2446" s="35">
        <v>1</v>
      </c>
      <c r="K2446" s="35">
        <v>1</v>
      </c>
      <c r="L2446" s="60" t="str">
        <f>HYPERLINK("https://www.sds-group.ru/product/svetodiodnoe-derevo-sakura-vysota-1-5m-diametr-krony-1-8m-krasnye-svetodiody-ip-65-ponizhayu-531-102/", "Инфо")</f>
        <v>Инфо</v>
      </c>
      <c r="M2446" s="37">
        <v>18</v>
      </c>
      <c r="N2446" s="38">
        <v>9.8750000000000004E-2</v>
      </c>
      <c r="O2446" s="141">
        <v>4601004001879</v>
      </c>
    </row>
    <row r="2447" spans="1:15" ht="11.45" customHeight="1" outlineLevel="1" x14ac:dyDescent="0.2">
      <c r="A2447" s="78" t="s">
        <v>21566</v>
      </c>
      <c r="B2447" s="132"/>
      <c r="C2447" s="79"/>
      <c r="D2447" s="133"/>
      <c r="E2447" s="134"/>
      <c r="F2447" s="134"/>
      <c r="G2447" s="134"/>
      <c r="H2447" s="134"/>
      <c r="I2447" s="134"/>
      <c r="J2447" s="134"/>
      <c r="K2447" s="134"/>
      <c r="L2447" s="135"/>
      <c r="M2447" s="134"/>
      <c r="N2447" s="134"/>
      <c r="O2447" s="134"/>
    </row>
    <row r="2448" spans="1:15" ht="11.45" customHeight="1" outlineLevel="2" x14ac:dyDescent="0.2">
      <c r="A2448" s="76" t="s">
        <v>21567</v>
      </c>
      <c r="B2448" s="136"/>
      <c r="C2448" s="77"/>
      <c r="D2448" s="137"/>
      <c r="E2448" s="4"/>
      <c r="F2448" s="4"/>
      <c r="G2448" s="4"/>
      <c r="H2448" s="4"/>
      <c r="I2448" s="4"/>
      <c r="J2448" s="4"/>
      <c r="K2448" s="4"/>
      <c r="L2448" s="138"/>
      <c r="M2448" s="4"/>
      <c r="N2448" s="4"/>
      <c r="O2448" s="4"/>
    </row>
    <row r="2449" spans="1:15" ht="11.45" customHeight="1" outlineLevel="3" x14ac:dyDescent="0.2">
      <c r="A2449" s="76" t="s">
        <v>21568</v>
      </c>
      <c r="B2449" s="136"/>
      <c r="C2449" s="77"/>
      <c r="D2449" s="137"/>
      <c r="E2449" s="4"/>
      <c r="F2449" s="4"/>
      <c r="G2449" s="4"/>
      <c r="H2449" s="4"/>
      <c r="I2449" s="4"/>
      <c r="J2449" s="4"/>
      <c r="K2449" s="4"/>
      <c r="L2449" s="138"/>
      <c r="M2449" s="4"/>
      <c r="N2449" s="4"/>
      <c r="O2449" s="4"/>
    </row>
    <row r="2450" spans="1:15" s="1" customFormat="1" ht="11.45" customHeight="1" outlineLevel="4" x14ac:dyDescent="0.2">
      <c r="A2450" s="32" t="s">
        <v>21583</v>
      </c>
      <c r="B2450" s="74" t="s">
        <v>21584</v>
      </c>
      <c r="C2450" s="50"/>
      <c r="D2450" s="139">
        <f t="shared" si="38"/>
        <v>0</v>
      </c>
      <c r="E2450" s="140">
        <v>118.98</v>
      </c>
      <c r="F2450" s="140">
        <v>97.52</v>
      </c>
      <c r="G2450" s="34" t="s">
        <v>100</v>
      </c>
      <c r="H2450" s="34" t="s">
        <v>1767</v>
      </c>
      <c r="I2450" s="35">
        <v>100</v>
      </c>
      <c r="J2450" s="35">
        <v>100</v>
      </c>
      <c r="K2450" s="35">
        <v>100</v>
      </c>
      <c r="L2450" s="60" t="str">
        <f>HYPERLINK("https://www.sds-group.ru/product/dyuralayt-led-dvuhzhilnyy-230v-13mm-30-led-m-krasnyy-postoyannoe-svechenie-modul-1m-buhta--121-122-6/", "Инфо")</f>
        <v>Инфо</v>
      </c>
      <c r="M2450" s="37">
        <v>0.14899999999999999</v>
      </c>
      <c r="N2450" s="38">
        <v>2.81E-4</v>
      </c>
      <c r="O2450" s="141">
        <v>4601004082335</v>
      </c>
    </row>
    <row r="2451" spans="1:15" ht="11.45" customHeight="1" outlineLevel="3" x14ac:dyDescent="0.2">
      <c r="A2451" s="76" t="s">
        <v>21601</v>
      </c>
      <c r="B2451" s="136"/>
      <c r="C2451" s="77"/>
      <c r="D2451" s="137"/>
      <c r="E2451" s="4"/>
      <c r="F2451" s="4"/>
      <c r="G2451" s="4"/>
      <c r="H2451" s="4"/>
      <c r="I2451" s="4"/>
      <c r="J2451" s="4"/>
      <c r="K2451" s="4"/>
      <c r="L2451" s="138"/>
      <c r="M2451" s="4"/>
      <c r="N2451" s="4"/>
      <c r="O2451" s="4"/>
    </row>
    <row r="2452" spans="1:15" s="1" customFormat="1" ht="11.45" customHeight="1" outlineLevel="4" x14ac:dyDescent="0.2">
      <c r="A2452" s="32" t="s">
        <v>21606</v>
      </c>
      <c r="B2452" s="74" t="s">
        <v>21607</v>
      </c>
      <c r="C2452" s="50"/>
      <c r="D2452" s="139">
        <f t="shared" si="38"/>
        <v>0</v>
      </c>
      <c r="E2452" s="140">
        <v>156.62</v>
      </c>
      <c r="F2452" s="140">
        <v>128.38</v>
      </c>
      <c r="G2452" s="34" t="s">
        <v>100</v>
      </c>
      <c r="H2452" s="34" t="s">
        <v>1767</v>
      </c>
      <c r="I2452" s="35">
        <v>100</v>
      </c>
      <c r="J2452" s="35">
        <v>100</v>
      </c>
      <c r="K2452" s="35">
        <v>100</v>
      </c>
      <c r="L2452" s="60" t="str">
        <f>HYPERLINK("https://www.sds-group.ru/product/dyuralayt-led-trehzhilnyy-230v-13mm-24-led-m-siniy-svechenie-s-dinamikoy-modul-4m-buhta-10-121-323-4/", "Инфо")</f>
        <v>Инфо</v>
      </c>
      <c r="M2452" s="37">
        <v>0.13</v>
      </c>
      <c r="N2452" s="38">
        <v>2.7799999999999998E-4</v>
      </c>
      <c r="O2452" s="141">
        <v>4601004083967</v>
      </c>
    </row>
    <row r="2453" spans="1:15" s="1" customFormat="1" ht="11.45" customHeight="1" outlineLevel="4" x14ac:dyDescent="0.2">
      <c r="A2453" s="32" t="s">
        <v>21608</v>
      </c>
      <c r="B2453" s="74" t="s">
        <v>21609</v>
      </c>
      <c r="C2453" s="50"/>
      <c r="D2453" s="139">
        <f t="shared" si="38"/>
        <v>0</v>
      </c>
      <c r="E2453" s="140">
        <v>156.62</v>
      </c>
      <c r="F2453" s="140">
        <v>128.38</v>
      </c>
      <c r="G2453" s="34" t="s">
        <v>100</v>
      </c>
      <c r="H2453" s="34" t="s">
        <v>1767</v>
      </c>
      <c r="I2453" s="35">
        <v>100</v>
      </c>
      <c r="J2453" s="35">
        <v>100</v>
      </c>
      <c r="K2453" s="35">
        <v>100</v>
      </c>
      <c r="L2453" s="60" t="str">
        <f>HYPERLINK("https://www.sds-group.ru/product/dyuralayt-led-trehzhilnyy-230v-13mm-24-led-m-teplyy-belyy-svechenie-s-dinamikoy-modul-4m-b-121-326-4/", "Инфо")</f>
        <v>Инфо</v>
      </c>
      <c r="M2453" s="37">
        <v>0.155</v>
      </c>
      <c r="N2453" s="38">
        <v>2.7999999999999998E-4</v>
      </c>
      <c r="O2453" s="141">
        <v>4601004083998</v>
      </c>
    </row>
    <row r="2454" spans="1:15" ht="11.45" customHeight="1" outlineLevel="3" x14ac:dyDescent="0.2">
      <c r="A2454" s="76" t="s">
        <v>21625</v>
      </c>
      <c r="B2454" s="136"/>
      <c r="C2454" s="77"/>
      <c r="D2454" s="137"/>
      <c r="E2454" s="4"/>
      <c r="F2454" s="4"/>
      <c r="G2454" s="4"/>
      <c r="H2454" s="4"/>
      <c r="I2454" s="4"/>
      <c r="J2454" s="4"/>
      <c r="K2454" s="4"/>
      <c r="L2454" s="138"/>
      <c r="M2454" s="4"/>
      <c r="N2454" s="4"/>
      <c r="O2454" s="4"/>
    </row>
    <row r="2455" spans="1:15" s="1" customFormat="1" ht="11.45" customHeight="1" outlineLevel="4" x14ac:dyDescent="0.2">
      <c r="A2455" s="32" t="s">
        <v>21632</v>
      </c>
      <c r="B2455" s="74" t="s">
        <v>21633</v>
      </c>
      <c r="C2455" s="50"/>
      <c r="D2455" s="139">
        <f t="shared" si="38"/>
        <v>0</v>
      </c>
      <c r="E2455" s="140">
        <v>2.0499999999999998</v>
      </c>
      <c r="F2455" s="140">
        <v>1.68</v>
      </c>
      <c r="G2455" s="34" t="s">
        <v>100</v>
      </c>
      <c r="H2455" s="34" t="s">
        <v>39</v>
      </c>
      <c r="I2455" s="35">
        <v>10</v>
      </c>
      <c r="J2455" s="35">
        <v>10</v>
      </c>
      <c r="K2455" s="39">
        <v>1000</v>
      </c>
      <c r="L2455" s="60" t="str">
        <f>HYPERLINK("https://www.sds-group.ru/product/zaglushka-dlya-dyuralayta-10-mm-tsena-za-1-sht-104-200/", "Инфо")</f>
        <v>Инфо</v>
      </c>
      <c r="M2455" s="37">
        <v>8.9999999999999993E-3</v>
      </c>
      <c r="N2455" s="38">
        <v>6.8999999999999997E-5</v>
      </c>
      <c r="O2455" s="141">
        <v>2000321585505</v>
      </c>
    </row>
    <row r="2456" spans="1:15" s="1" customFormat="1" ht="11.45" customHeight="1" outlineLevel="4" x14ac:dyDescent="0.2">
      <c r="A2456" s="32" t="s">
        <v>21636</v>
      </c>
      <c r="B2456" s="74" t="s">
        <v>21637</v>
      </c>
      <c r="C2456" s="50"/>
      <c r="D2456" s="139">
        <f t="shared" si="38"/>
        <v>0</v>
      </c>
      <c r="E2456" s="140">
        <v>12.01</v>
      </c>
      <c r="F2456" s="140">
        <v>9.84</v>
      </c>
      <c r="G2456" s="34" t="s">
        <v>100</v>
      </c>
      <c r="H2456" s="34" t="s">
        <v>39</v>
      </c>
      <c r="I2456" s="35">
        <v>10</v>
      </c>
      <c r="J2456" s="35">
        <v>10</v>
      </c>
      <c r="K2456" s="35">
        <v>200</v>
      </c>
      <c r="L2456" s="60" t="str">
        <f>HYPERLINK("https://www.sds-group.ru/product/zaglushka-dlya-dyuralayta-diametr-13-mm-gibkogo-neona-12h12mm-tsena-za-1-sht-134-039/", "Инфо")</f>
        <v>Инфо</v>
      </c>
      <c r="M2456" s="37">
        <v>3.0000000000000001E-3</v>
      </c>
      <c r="N2456" s="38">
        <v>2.5000000000000001E-5</v>
      </c>
      <c r="O2456" s="141">
        <v>4601004090316</v>
      </c>
    </row>
    <row r="2457" spans="1:15" s="1" customFormat="1" ht="11.45" customHeight="1" outlineLevel="4" x14ac:dyDescent="0.2">
      <c r="A2457" s="32" t="s">
        <v>21648</v>
      </c>
      <c r="B2457" s="74" t="s">
        <v>21649</v>
      </c>
      <c r="C2457" s="50"/>
      <c r="D2457" s="139">
        <f t="shared" si="38"/>
        <v>0</v>
      </c>
      <c r="E2457" s="140">
        <v>469.86</v>
      </c>
      <c r="F2457" s="140">
        <v>385.13</v>
      </c>
      <c r="G2457" s="34" t="s">
        <v>100</v>
      </c>
      <c r="H2457" s="34" t="s">
        <v>39</v>
      </c>
      <c r="I2457" s="35">
        <v>1</v>
      </c>
      <c r="J2457" s="35">
        <v>1</v>
      </c>
      <c r="K2457" s="35">
        <v>24</v>
      </c>
      <c r="L2457" s="60" t="str">
        <f>HYPERLINK("https://www.sds-group.ru/product/kontroller-dlya-trehzhilnogo-svetodiodnogo-dyuralayta-13-mm-do-50-m-123-032/", "Инфо")</f>
        <v>Инфо</v>
      </c>
      <c r="M2457" s="37">
        <v>0.433</v>
      </c>
      <c r="N2457" s="38">
        <v>1.132E-3</v>
      </c>
      <c r="O2457" s="141">
        <v>4601004120495</v>
      </c>
    </row>
    <row r="2458" spans="1:15" ht="11.45" customHeight="1" outlineLevel="2" x14ac:dyDescent="0.2">
      <c r="A2458" s="76" t="s">
        <v>21658</v>
      </c>
      <c r="B2458" s="136"/>
      <c r="C2458" s="77"/>
      <c r="D2458" s="137"/>
      <c r="E2458" s="4"/>
      <c r="F2458" s="4"/>
      <c r="G2458" s="4"/>
      <c r="H2458" s="4"/>
      <c r="I2458" s="4"/>
      <c r="J2458" s="4"/>
      <c r="K2458" s="4"/>
      <c r="L2458" s="138"/>
      <c r="M2458" s="4"/>
      <c r="N2458" s="4"/>
      <c r="O2458" s="4"/>
    </row>
    <row r="2459" spans="1:15" ht="11.45" customHeight="1" outlineLevel="3" x14ac:dyDescent="0.2">
      <c r="A2459" s="76" t="s">
        <v>21659</v>
      </c>
      <c r="B2459" s="136"/>
      <c r="C2459" s="77"/>
      <c r="D2459" s="137"/>
      <c r="E2459" s="4"/>
      <c r="F2459" s="4"/>
      <c r="G2459" s="4"/>
      <c r="H2459" s="4"/>
      <c r="I2459" s="4"/>
      <c r="J2459" s="4"/>
      <c r="K2459" s="4"/>
      <c r="L2459" s="138"/>
      <c r="M2459" s="4"/>
      <c r="N2459" s="4"/>
      <c r="O2459" s="4"/>
    </row>
    <row r="2460" spans="1:15" s="1" customFormat="1" ht="11.45" customHeight="1" outlineLevel="4" x14ac:dyDescent="0.2">
      <c r="A2460" s="32" t="s">
        <v>21660</v>
      </c>
      <c r="B2460" s="74" t="s">
        <v>21661</v>
      </c>
      <c r="C2460" s="50"/>
      <c r="D2460" s="139">
        <f t="shared" si="38"/>
        <v>0</v>
      </c>
      <c r="E2460" s="140">
        <v>654.5</v>
      </c>
      <c r="F2460" s="140">
        <v>536.48</v>
      </c>
      <c r="G2460" s="34" t="s">
        <v>100</v>
      </c>
      <c r="H2460" s="34" t="s">
        <v>1767</v>
      </c>
      <c r="I2460" s="35">
        <v>50</v>
      </c>
      <c r="J2460" s="35">
        <v>50</v>
      </c>
      <c r="K2460" s="35">
        <v>50</v>
      </c>
      <c r="L2460" s="60" t="str">
        <f>HYPERLINK("https://www.sds-group.ru/product/gibkiy-neon-dip-12x26mm-odnostoronniy-80-led-m-siniy-buhta-50m-5-komplektov-podklyucheniya-n-131-013/", "Инфо")</f>
        <v>Инфо</v>
      </c>
      <c r="M2460" s="37">
        <v>0.438</v>
      </c>
      <c r="N2460" s="38">
        <v>7.7800000000000015E-4</v>
      </c>
      <c r="O2460" s="141">
        <v>2000031062525</v>
      </c>
    </row>
    <row r="2461" spans="1:15" ht="11.45" customHeight="1" outlineLevel="3" x14ac:dyDescent="0.2">
      <c r="A2461" s="76" t="s">
        <v>21712</v>
      </c>
      <c r="B2461" s="136"/>
      <c r="C2461" s="77"/>
      <c r="D2461" s="137"/>
      <c r="E2461" s="4"/>
      <c r="F2461" s="4"/>
      <c r="G2461" s="4"/>
      <c r="H2461" s="4"/>
      <c r="I2461" s="4"/>
      <c r="J2461" s="4"/>
      <c r="K2461" s="4"/>
      <c r="L2461" s="138"/>
      <c r="M2461" s="4"/>
      <c r="N2461" s="4"/>
      <c r="O2461" s="4"/>
    </row>
    <row r="2462" spans="1:15" s="1" customFormat="1" ht="11.45" customHeight="1" outlineLevel="4" x14ac:dyDescent="0.2">
      <c r="A2462" s="32" t="s">
        <v>21713</v>
      </c>
      <c r="B2462" s="74" t="s">
        <v>21714</v>
      </c>
      <c r="C2462" s="50"/>
      <c r="D2462" s="139">
        <f t="shared" si="38"/>
        <v>0</v>
      </c>
      <c r="E2462" s="140">
        <v>571.12</v>
      </c>
      <c r="F2462" s="140">
        <v>468.13</v>
      </c>
      <c r="G2462" s="34" t="s">
        <v>100</v>
      </c>
      <c r="H2462" s="34" t="s">
        <v>1767</v>
      </c>
      <c r="I2462" s="35">
        <v>50</v>
      </c>
      <c r="J2462" s="35">
        <v>50</v>
      </c>
      <c r="K2462" s="35">
        <v>50</v>
      </c>
      <c r="L2462" s="60" t="str">
        <f>HYPERLINK("https://www.sds-group.ru/product/gibkiy-neon-diametr-19mm-kruglyy-96-led-m-rozovyy-230v-buhta-50m-3-komplekta-podklyucheniya--131-037/", "Инфо")</f>
        <v>Инфо</v>
      </c>
      <c r="M2462" s="37">
        <v>0.39600000000000002</v>
      </c>
      <c r="N2462" s="38">
        <v>7.7800000000000015E-4</v>
      </c>
      <c r="O2462" s="141">
        <v>2000031066783</v>
      </c>
    </row>
    <row r="2463" spans="1:15" ht="11.45" customHeight="1" outlineLevel="3" x14ac:dyDescent="0.2">
      <c r="A2463" s="76" t="s">
        <v>21715</v>
      </c>
      <c r="B2463" s="136"/>
      <c r="C2463" s="77"/>
      <c r="D2463" s="137"/>
      <c r="E2463" s="4"/>
      <c r="F2463" s="4"/>
      <c r="G2463" s="4"/>
      <c r="H2463" s="4"/>
      <c r="I2463" s="4"/>
      <c r="J2463" s="4"/>
      <c r="K2463" s="4"/>
      <c r="L2463" s="138"/>
      <c r="M2463" s="4"/>
      <c r="N2463" s="4"/>
      <c r="O2463" s="4"/>
    </row>
    <row r="2464" spans="1:15" s="1" customFormat="1" ht="11.45" customHeight="1" outlineLevel="4" x14ac:dyDescent="0.2">
      <c r="A2464" s="32" t="s">
        <v>21752</v>
      </c>
      <c r="B2464" s="74" t="s">
        <v>21753</v>
      </c>
      <c r="C2464" s="50"/>
      <c r="D2464" s="139">
        <f t="shared" si="38"/>
        <v>0</v>
      </c>
      <c r="E2464" s="140">
        <v>3786.3</v>
      </c>
      <c r="F2464" s="140">
        <v>3103.52</v>
      </c>
      <c r="G2464" s="34" t="s">
        <v>100</v>
      </c>
      <c r="H2464" s="34" t="s">
        <v>39</v>
      </c>
      <c r="I2464" s="35">
        <v>1</v>
      </c>
      <c r="J2464" s="35">
        <v>1</v>
      </c>
      <c r="K2464" s="35">
        <v>3</v>
      </c>
      <c r="L2464" s="60" t="str">
        <f>HYPERLINK("https://www.sds-group.ru/product/kontroller-dlya-gibkogo-neona-4w-4-h-zhilnyy-rgb-133-012/", "Инфо")</f>
        <v>Инфо</v>
      </c>
      <c r="M2464" s="37">
        <v>1.4339999999999999</v>
      </c>
      <c r="N2464" s="38">
        <v>6.5900000000000004E-3</v>
      </c>
      <c r="O2464" s="141">
        <v>4601004014329</v>
      </c>
    </row>
    <row r="2465" spans="1:15" s="1" customFormat="1" ht="11.45" customHeight="1" outlineLevel="4" x14ac:dyDescent="0.2">
      <c r="A2465" s="32" t="s">
        <v>21754</v>
      </c>
      <c r="B2465" s="74" t="s">
        <v>21755</v>
      </c>
      <c r="C2465" s="50"/>
      <c r="D2465" s="139">
        <f t="shared" si="38"/>
        <v>0</v>
      </c>
      <c r="E2465" s="140">
        <v>137.36000000000001</v>
      </c>
      <c r="F2465" s="140">
        <v>112.59</v>
      </c>
      <c r="G2465" s="34" t="s">
        <v>100</v>
      </c>
      <c r="H2465" s="34" t="s">
        <v>39</v>
      </c>
      <c r="I2465" s="35">
        <v>1</v>
      </c>
      <c r="J2465" s="35">
        <v>1</v>
      </c>
      <c r="K2465" s="35">
        <v>100</v>
      </c>
      <c r="L2465" s="60" t="str">
        <f>HYPERLINK("https://www.sds-group.ru/product/profil-alyuminievyy-anodirovannyy-dlya-gibkogo-neona-15h26mm-1m-neon-night-134-045/", "Инфо")</f>
        <v>Инфо</v>
      </c>
      <c r="M2465" s="37">
        <v>9.7000000000000003E-2</v>
      </c>
      <c r="N2465" s="38">
        <v>2.2000000000000001E-4</v>
      </c>
      <c r="O2465" s="141">
        <v>4601004086371</v>
      </c>
    </row>
    <row r="2466" spans="1:15" s="1" customFormat="1" ht="11.45" customHeight="1" outlineLevel="4" x14ac:dyDescent="0.2">
      <c r="A2466" s="32" t="s">
        <v>21766</v>
      </c>
      <c r="B2466" s="74" t="s">
        <v>21767</v>
      </c>
      <c r="C2466" s="50"/>
      <c r="D2466" s="139">
        <f t="shared" si="38"/>
        <v>0</v>
      </c>
      <c r="E2466" s="140">
        <v>37.82</v>
      </c>
      <c r="F2466" s="140">
        <v>31</v>
      </c>
      <c r="G2466" s="34" t="s">
        <v>100</v>
      </c>
      <c r="H2466" s="34" t="s">
        <v>39</v>
      </c>
      <c r="I2466" s="35">
        <v>10</v>
      </c>
      <c r="J2466" s="35">
        <v>10</v>
      </c>
      <c r="K2466" s="35">
        <v>200</v>
      </c>
      <c r="L2466" s="60" t="str">
        <f>HYPERLINK("https://www.sds-group.ru/product/profil-plastikovyy-dlya-kruglogo-gibkogo-neona-16mm-dyuralayta-neona-7h12mm-1m-neon-night-134-047/", "Инфо")</f>
        <v>Инфо</v>
      </c>
      <c r="M2466" s="37">
        <v>3.3000000000000002E-2</v>
      </c>
      <c r="N2466" s="38">
        <v>2.03E-4</v>
      </c>
      <c r="O2466" s="141">
        <v>4601004086302</v>
      </c>
    </row>
    <row r="2467" spans="1:15" ht="11.45" customHeight="1" outlineLevel="2" x14ac:dyDescent="0.2">
      <c r="A2467" s="76" t="s">
        <v>21780</v>
      </c>
      <c r="B2467" s="136"/>
      <c r="C2467" s="77"/>
      <c r="D2467" s="137"/>
      <c r="E2467" s="4"/>
      <c r="F2467" s="4"/>
      <c r="G2467" s="4"/>
      <c r="H2467" s="4"/>
      <c r="I2467" s="4"/>
      <c r="J2467" s="4"/>
      <c r="K2467" s="4"/>
      <c r="L2467" s="138"/>
      <c r="M2467" s="4"/>
      <c r="N2467" s="4"/>
      <c r="O2467" s="4"/>
    </row>
    <row r="2468" spans="1:15" ht="11.45" customHeight="1" outlineLevel="3" x14ac:dyDescent="0.2">
      <c r="A2468" s="76" t="s">
        <v>21781</v>
      </c>
      <c r="B2468" s="136"/>
      <c r="C2468" s="77"/>
      <c r="D2468" s="137"/>
      <c r="E2468" s="4"/>
      <c r="F2468" s="4"/>
      <c r="G2468" s="4"/>
      <c r="H2468" s="4"/>
      <c r="I2468" s="4"/>
      <c r="J2468" s="4"/>
      <c r="K2468" s="4"/>
      <c r="L2468" s="138"/>
      <c r="M2468" s="4"/>
      <c r="N2468" s="4"/>
      <c r="O2468" s="4"/>
    </row>
    <row r="2469" spans="1:15" ht="11.45" customHeight="1" outlineLevel="4" x14ac:dyDescent="0.2">
      <c r="A2469" s="76" t="s">
        <v>21782</v>
      </c>
      <c r="B2469" s="136"/>
      <c r="C2469" s="77"/>
      <c r="D2469" s="137"/>
      <c r="E2469" s="4"/>
      <c r="F2469" s="4"/>
      <c r="G2469" s="4"/>
      <c r="H2469" s="4"/>
      <c r="I2469" s="4"/>
      <c r="J2469" s="4"/>
      <c r="K2469" s="4"/>
      <c r="L2469" s="138"/>
      <c r="M2469" s="4"/>
      <c r="N2469" s="4"/>
      <c r="O2469" s="4"/>
    </row>
    <row r="2470" spans="1:15" s="1" customFormat="1" ht="11.45" customHeight="1" outlineLevel="5" x14ac:dyDescent="0.2">
      <c r="A2470" s="32" t="s">
        <v>21785</v>
      </c>
      <c r="B2470" s="74" t="s">
        <v>21786</v>
      </c>
      <c r="C2470" s="50"/>
      <c r="D2470" s="139">
        <f t="shared" si="38"/>
        <v>0</v>
      </c>
      <c r="E2470" s="140">
        <v>1433.2</v>
      </c>
      <c r="F2470" s="140">
        <v>1174.75</v>
      </c>
      <c r="G2470" s="34" t="s">
        <v>100</v>
      </c>
      <c r="H2470" s="34" t="s">
        <v>39</v>
      </c>
      <c r="I2470" s="35">
        <v>1</v>
      </c>
      <c r="J2470" s="35">
        <v>1</v>
      </c>
      <c r="K2470" s="35">
        <v>20</v>
      </c>
      <c r="L2470" s="60" t="str">
        <f>HYPERLINK("https://www.sds-group.ru/product/girlyanda-svetodiodnaya-zanaves-2x0-8m-160-led-zelenyy-prozrachnyy-pvh-ip65-postoyannoe-svec-235-104/", "Инфо")</f>
        <v>Инфо</v>
      </c>
      <c r="M2470" s="37">
        <v>1</v>
      </c>
      <c r="N2470" s="38">
        <v>5.4130000000000003E-3</v>
      </c>
      <c r="O2470" s="141">
        <v>4601004091955</v>
      </c>
    </row>
    <row r="2471" spans="1:15" s="1" customFormat="1" ht="11.45" customHeight="1" outlineLevel="5" x14ac:dyDescent="0.2">
      <c r="A2471" s="32" t="s">
        <v>21787</v>
      </c>
      <c r="B2471" s="74" t="s">
        <v>21788</v>
      </c>
      <c r="C2471" s="50"/>
      <c r="D2471" s="139">
        <f t="shared" si="38"/>
        <v>0</v>
      </c>
      <c r="E2471" s="140">
        <v>1095.19</v>
      </c>
      <c r="F2471" s="140">
        <v>897.7</v>
      </c>
      <c r="G2471" s="34" t="s">
        <v>100</v>
      </c>
      <c r="H2471" s="34" t="s">
        <v>39</v>
      </c>
      <c r="I2471" s="35">
        <v>1</v>
      </c>
      <c r="J2471" s="35">
        <v>1</v>
      </c>
      <c r="K2471" s="35">
        <v>20</v>
      </c>
      <c r="L2471" s="60" t="str">
        <f>HYPERLINK("https://www.sds-group.ru/product/girlyanda-svetodiodnaya-zanaves-2x0-8m-160-led-krasnyy-prozrachnyy-pvh-ip65-postoyannoe-svec-235-102/", "Инфо")</f>
        <v>Инфо</v>
      </c>
      <c r="M2471" s="37">
        <v>1</v>
      </c>
      <c r="N2471" s="38">
        <v>5.4130000000000003E-3</v>
      </c>
      <c r="O2471" s="141">
        <v>4601004091931</v>
      </c>
    </row>
    <row r="2472" spans="1:15" s="1" customFormat="1" ht="11.45" customHeight="1" outlineLevel="5" x14ac:dyDescent="0.2">
      <c r="A2472" s="32" t="s">
        <v>21789</v>
      </c>
      <c r="B2472" s="74" t="s">
        <v>21790</v>
      </c>
      <c r="C2472" s="50"/>
      <c r="D2472" s="139">
        <f t="shared" si="38"/>
        <v>0</v>
      </c>
      <c r="E2472" s="140">
        <v>1420.43</v>
      </c>
      <c r="F2472" s="140">
        <v>1164.29</v>
      </c>
      <c r="G2472" s="34" t="s">
        <v>100</v>
      </c>
      <c r="H2472" s="34" t="s">
        <v>39</v>
      </c>
      <c r="I2472" s="35">
        <v>1</v>
      </c>
      <c r="J2472" s="35">
        <v>1</v>
      </c>
      <c r="K2472" s="35">
        <v>20</v>
      </c>
      <c r="L2472" s="60" t="str">
        <f>HYPERLINK("https://www.sds-group.ru/product/girlyanda-svetodiodnaya-zanaves-2x0-8m-160-led-siniy-prozrachnyy-pvh-ip65-postoyannoe-sveche-235-103/", "Инфо")</f>
        <v>Инфо</v>
      </c>
      <c r="M2472" s="37">
        <v>0.70699999999999996</v>
      </c>
      <c r="N2472" s="38">
        <v>3.0539999999999999E-3</v>
      </c>
      <c r="O2472" s="141">
        <v>4601004091948</v>
      </c>
    </row>
    <row r="2473" spans="1:15" ht="11.45" customHeight="1" outlineLevel="4" x14ac:dyDescent="0.2">
      <c r="A2473" s="76" t="s">
        <v>21797</v>
      </c>
      <c r="B2473" s="136"/>
      <c r="C2473" s="77"/>
      <c r="D2473" s="137"/>
      <c r="E2473" s="4"/>
      <c r="F2473" s="4"/>
      <c r="G2473" s="4"/>
      <c r="H2473" s="4"/>
      <c r="I2473" s="4"/>
      <c r="J2473" s="4"/>
      <c r="K2473" s="4"/>
      <c r="L2473" s="138"/>
      <c r="M2473" s="4"/>
      <c r="N2473" s="4"/>
      <c r="O2473" s="4"/>
    </row>
    <row r="2474" spans="1:15" s="1" customFormat="1" ht="11.45" customHeight="1" outlineLevel="5" x14ac:dyDescent="0.2">
      <c r="A2474" s="32" t="s">
        <v>21804</v>
      </c>
      <c r="B2474" s="74" t="s">
        <v>21805</v>
      </c>
      <c r="C2474" s="50"/>
      <c r="D2474" s="139">
        <f t="shared" si="38"/>
        <v>0</v>
      </c>
      <c r="E2474" s="140">
        <v>1887.7</v>
      </c>
      <c r="F2474" s="140">
        <v>1547.3</v>
      </c>
      <c r="G2474" s="34" t="s">
        <v>100</v>
      </c>
      <c r="H2474" s="34" t="s">
        <v>39</v>
      </c>
      <c r="I2474" s="35">
        <v>1</v>
      </c>
      <c r="J2474" s="35">
        <v>1</v>
      </c>
      <c r="K2474" s="35">
        <v>5</v>
      </c>
      <c r="L2474" s="60" t="str">
        <f>HYPERLINK("https://www.sds-group.ru/product/girlyanda-svetodiodnaya-zanaves-2h1-5m-192-led-krasnyy-prozrachnyy-pvh-ip65-postoyannoe-sv-235-302-6/", "Инфо")</f>
        <v>Инфо</v>
      </c>
      <c r="M2474" s="37">
        <v>1.9470000000000001</v>
      </c>
      <c r="N2474" s="38">
        <v>8.9759999999999996E-3</v>
      </c>
      <c r="O2474" s="141">
        <v>4601004016422</v>
      </c>
    </row>
    <row r="2475" spans="1:15" s="1" customFormat="1" ht="11.45" customHeight="1" outlineLevel="5" x14ac:dyDescent="0.2">
      <c r="A2475" s="32" t="s">
        <v>21806</v>
      </c>
      <c r="B2475" s="74" t="s">
        <v>21807</v>
      </c>
      <c r="C2475" s="50"/>
      <c r="D2475" s="139">
        <f t="shared" si="38"/>
        <v>0</v>
      </c>
      <c r="E2475" s="140">
        <v>1887.7</v>
      </c>
      <c r="F2475" s="140">
        <v>1547.3</v>
      </c>
      <c r="G2475" s="34" t="s">
        <v>100</v>
      </c>
      <c r="H2475" s="34" t="s">
        <v>39</v>
      </c>
      <c r="I2475" s="35">
        <v>1</v>
      </c>
      <c r="J2475" s="35">
        <v>1</v>
      </c>
      <c r="K2475" s="35">
        <v>5</v>
      </c>
      <c r="L2475" s="60" t="str">
        <f>HYPERLINK("https://www.sds-group.ru/product/girlyanda-svetodiodnaya-zanaves-2h1-5m-192-led-multikolor-prozrachnyy-pvh-ip65-postoyannoe-235-309-6/", "Инфо")</f>
        <v>Инфо</v>
      </c>
      <c r="M2475" s="37">
        <v>1.877</v>
      </c>
      <c r="N2475" s="38">
        <v>1.2186000000000001E-2</v>
      </c>
      <c r="O2475" s="141">
        <v>4601004016453</v>
      </c>
    </row>
    <row r="2476" spans="1:15" s="1" customFormat="1" ht="11.45" customHeight="1" outlineLevel="5" x14ac:dyDescent="0.2">
      <c r="A2476" s="32" t="s">
        <v>21822</v>
      </c>
      <c r="B2476" s="74" t="s">
        <v>21823</v>
      </c>
      <c r="C2476" s="50"/>
      <c r="D2476" s="139">
        <f t="shared" si="38"/>
        <v>0</v>
      </c>
      <c r="E2476" s="140">
        <v>2730.73</v>
      </c>
      <c r="F2476" s="140">
        <v>2238.3000000000002</v>
      </c>
      <c r="G2476" s="34" t="s">
        <v>100</v>
      </c>
      <c r="H2476" s="34" t="s">
        <v>39</v>
      </c>
      <c r="I2476" s="35">
        <v>1</v>
      </c>
      <c r="J2476" s="35">
        <v>1</v>
      </c>
      <c r="K2476" s="35">
        <v>10</v>
      </c>
      <c r="L2476" s="60" t="str">
        <f>HYPERLINK("https://www.sds-group.ru/product/girlyanda-svetodiodnaya-zanaves-2h1-5m-300-led-belyy-chernyy-pvh-ip65-postoyannoe-svechenie--235-125/", "Инфо")</f>
        <v>Инфо</v>
      </c>
      <c r="M2476" s="37">
        <v>1.3819999999999999</v>
      </c>
      <c r="N2476" s="38">
        <v>5.352E-3</v>
      </c>
      <c r="O2476" s="141">
        <v>4610003609610</v>
      </c>
    </row>
    <row r="2477" spans="1:15" s="1" customFormat="1" ht="11.45" customHeight="1" outlineLevel="5" x14ac:dyDescent="0.2">
      <c r="A2477" s="32" t="s">
        <v>21836</v>
      </c>
      <c r="B2477" s="74" t="s">
        <v>21837</v>
      </c>
      <c r="C2477" s="50"/>
      <c r="D2477" s="139">
        <f t="shared" si="38"/>
        <v>0</v>
      </c>
      <c r="E2477" s="140">
        <v>1695.86</v>
      </c>
      <c r="F2477" s="140">
        <v>1390.05</v>
      </c>
      <c r="G2477" s="34" t="s">
        <v>100</v>
      </c>
      <c r="H2477" s="34" t="s">
        <v>39</v>
      </c>
      <c r="I2477" s="35">
        <v>1</v>
      </c>
      <c r="J2477" s="35">
        <v>1</v>
      </c>
      <c r="K2477" s="35">
        <v>5</v>
      </c>
      <c r="L2477" s="60" t="str">
        <f>HYPERLINK("https://www.sds-group.ru/product/girlyanda-svetodiodnaya-zanaves-2h1-5m-360-led-zheltyy-belyy-pvh-ip65-postoyannoe-svechenie--235-111/", "Инфо")</f>
        <v>Инфо</v>
      </c>
      <c r="M2477" s="37">
        <v>2.58</v>
      </c>
      <c r="N2477" s="38">
        <v>1.1616E-2</v>
      </c>
      <c r="O2477" s="141">
        <v>4610003609528</v>
      </c>
    </row>
    <row r="2478" spans="1:15" s="1" customFormat="1" ht="11.45" customHeight="1" outlineLevel="5" x14ac:dyDescent="0.2">
      <c r="A2478" s="32" t="s">
        <v>21838</v>
      </c>
      <c r="B2478" s="74" t="s">
        <v>21839</v>
      </c>
      <c r="C2478" s="50"/>
      <c r="D2478" s="139">
        <f t="shared" si="38"/>
        <v>0</v>
      </c>
      <c r="E2478" s="140">
        <v>2730.73</v>
      </c>
      <c r="F2478" s="140">
        <v>2238.3000000000002</v>
      </c>
      <c r="G2478" s="34" t="s">
        <v>100</v>
      </c>
      <c r="H2478" s="34" t="s">
        <v>39</v>
      </c>
      <c r="I2478" s="35">
        <v>1</v>
      </c>
      <c r="J2478" s="35">
        <v>1</v>
      </c>
      <c r="K2478" s="35">
        <v>3</v>
      </c>
      <c r="L2478" s="60" t="str">
        <f>HYPERLINK("https://www.sds-group.ru/product/girlyanda-svetodiodnaya-zanaves-2h1-5m-360-led-zheltyy-chernyy-pvh-ip65-postoyannoe-svecheni-235-121/", "Инфо")</f>
        <v>Инфо</v>
      </c>
      <c r="M2478" s="37">
        <v>4.5599999999999996</v>
      </c>
      <c r="N2478" s="38">
        <v>1.1616E-2</v>
      </c>
      <c r="O2478" s="141">
        <v>4610003609573</v>
      </c>
    </row>
    <row r="2479" spans="1:15" s="1" customFormat="1" ht="11.45" customHeight="1" outlineLevel="5" x14ac:dyDescent="0.2">
      <c r="A2479" s="32" t="s">
        <v>21840</v>
      </c>
      <c r="B2479" s="74" t="s">
        <v>21841</v>
      </c>
      <c r="C2479" s="50"/>
      <c r="D2479" s="139">
        <f t="shared" si="38"/>
        <v>0</v>
      </c>
      <c r="E2479" s="140">
        <v>2576.16</v>
      </c>
      <c r="F2479" s="140">
        <v>2111.61</v>
      </c>
      <c r="G2479" s="34" t="s">
        <v>100</v>
      </c>
      <c r="H2479" s="34" t="s">
        <v>39</v>
      </c>
      <c r="I2479" s="35">
        <v>1</v>
      </c>
      <c r="J2479" s="35">
        <v>1</v>
      </c>
      <c r="K2479" s="35">
        <v>6</v>
      </c>
      <c r="L2479" s="60" t="str">
        <f>HYPERLINK("https://www.sds-group.ru/product/girlyanda-svetodiodnaya-zanaves-2h1-5m-360-led-zelenyy-belyy-pvh-ip65-postoyannoe-svechenie--235-114/", "Инфо")</f>
        <v>Инфо</v>
      </c>
      <c r="M2479" s="37">
        <v>2.4300000000000002</v>
      </c>
      <c r="N2479" s="38">
        <v>1.0749999999999999E-2</v>
      </c>
      <c r="O2479" s="141">
        <v>4610003609559</v>
      </c>
    </row>
    <row r="2480" spans="1:15" s="1" customFormat="1" ht="11.45" customHeight="1" outlineLevel="5" x14ac:dyDescent="0.2">
      <c r="A2480" s="32" t="s">
        <v>21842</v>
      </c>
      <c r="B2480" s="74" t="s">
        <v>21843</v>
      </c>
      <c r="C2480" s="50"/>
      <c r="D2480" s="139">
        <f t="shared" si="38"/>
        <v>0</v>
      </c>
      <c r="E2480" s="140">
        <v>2576.16</v>
      </c>
      <c r="F2480" s="140">
        <v>2111.61</v>
      </c>
      <c r="G2480" s="34" t="s">
        <v>100</v>
      </c>
      <c r="H2480" s="34" t="s">
        <v>39</v>
      </c>
      <c r="I2480" s="35">
        <v>1</v>
      </c>
      <c r="J2480" s="35">
        <v>1</v>
      </c>
      <c r="K2480" s="35">
        <v>3</v>
      </c>
      <c r="L2480" s="60" t="str">
        <f>HYPERLINK("https://www.sds-group.ru/product/girlyanda-svetodiodnaya-zanaves-2h1-5m-360-led-zelenyy-prozrachnyy-pvh-ip65-postoyannoe-svec-235-304/", "Инфо")</f>
        <v>Инфо</v>
      </c>
      <c r="M2480" s="37">
        <v>2.4180000000000001</v>
      </c>
      <c r="N2480" s="38">
        <v>1.0749999999999999E-2</v>
      </c>
      <c r="O2480" s="141">
        <v>4610003609450</v>
      </c>
    </row>
    <row r="2481" spans="1:15" s="1" customFormat="1" ht="11.45" customHeight="1" outlineLevel="5" x14ac:dyDescent="0.2">
      <c r="A2481" s="32" t="s">
        <v>21844</v>
      </c>
      <c r="B2481" s="74" t="s">
        <v>21845</v>
      </c>
      <c r="C2481" s="50"/>
      <c r="D2481" s="139">
        <f t="shared" si="38"/>
        <v>0</v>
      </c>
      <c r="E2481" s="140">
        <v>2730.73</v>
      </c>
      <c r="F2481" s="140">
        <v>2238.3000000000002</v>
      </c>
      <c r="G2481" s="34" t="s">
        <v>100</v>
      </c>
      <c r="H2481" s="34" t="s">
        <v>39</v>
      </c>
      <c r="I2481" s="35">
        <v>1</v>
      </c>
      <c r="J2481" s="35">
        <v>1</v>
      </c>
      <c r="K2481" s="35">
        <v>3</v>
      </c>
      <c r="L2481" s="60" t="str">
        <f>HYPERLINK("https://www.sds-group.ru/product/girlyanda-svetodiodnaya-zanaves-2h1-5m-360-led-siniy-belyy-pvh-ip65-postoyannoe-svechenie-23-235-113/", "Инфо")</f>
        <v>Инфо</v>
      </c>
      <c r="M2481" s="37">
        <v>1.72</v>
      </c>
      <c r="N2481" s="38">
        <v>6.6E-3</v>
      </c>
      <c r="O2481" s="141">
        <v>4610003609542</v>
      </c>
    </row>
    <row r="2482" spans="1:15" s="1" customFormat="1" ht="11.45" customHeight="1" outlineLevel="5" x14ac:dyDescent="0.2">
      <c r="A2482" s="32" t="s">
        <v>21846</v>
      </c>
      <c r="B2482" s="74" t="s">
        <v>21847</v>
      </c>
      <c r="C2482" s="50"/>
      <c r="D2482" s="139">
        <f t="shared" si="38"/>
        <v>0</v>
      </c>
      <c r="E2482" s="140">
        <v>1506.41</v>
      </c>
      <c r="F2482" s="140">
        <v>1234.76</v>
      </c>
      <c r="G2482" s="34" t="s">
        <v>100</v>
      </c>
      <c r="H2482" s="34" t="s">
        <v>39</v>
      </c>
      <c r="I2482" s="35">
        <v>1</v>
      </c>
      <c r="J2482" s="35">
        <v>1</v>
      </c>
      <c r="K2482" s="35">
        <v>10</v>
      </c>
      <c r="L2482" s="60" t="str">
        <f>HYPERLINK("https://www.sds-group.ru/product/dojd-zanaves-2h1-5m-cherniy-pvh-ip54-360-led-sinie-shnur-pitaniya-v-komplekte-30122/", "Инфо")</f>
        <v>Инфо</v>
      </c>
      <c r="M2482" s="37">
        <v>2.1749999999999998</v>
      </c>
      <c r="N2482" s="38">
        <v>1.2905E-2</v>
      </c>
      <c r="O2482" s="141">
        <v>4601004291126</v>
      </c>
    </row>
    <row r="2483" spans="1:15" s="1" customFormat="1" ht="11.45" customHeight="1" outlineLevel="5" x14ac:dyDescent="0.2">
      <c r="A2483" s="32" t="s">
        <v>21848</v>
      </c>
      <c r="B2483" s="74" t="s">
        <v>21849</v>
      </c>
      <c r="C2483" s="50"/>
      <c r="D2483" s="139">
        <f t="shared" si="38"/>
        <v>0</v>
      </c>
      <c r="E2483" s="140">
        <v>1446.47</v>
      </c>
      <c r="F2483" s="140">
        <v>1185.6300000000001</v>
      </c>
      <c r="G2483" s="34" t="s">
        <v>100</v>
      </c>
      <c r="H2483" s="34" t="s">
        <v>39</v>
      </c>
      <c r="I2483" s="35">
        <v>1</v>
      </c>
      <c r="J2483" s="35">
        <v>1</v>
      </c>
      <c r="K2483" s="35">
        <v>10</v>
      </c>
      <c r="L2483" s="60" t="str">
        <f>HYPERLINK("https://www.sds-group.ru/product/girlyanda-svetodiodnaya-zanaves-2h2m-200-led-rgb-prozrachnyy-pvh-ip65-svechenie-s-dinamikoy--235-349/", "Инфо")</f>
        <v>Инфо</v>
      </c>
      <c r="M2483" s="37">
        <v>0.99</v>
      </c>
      <c r="N2483" s="38">
        <v>4.0540000000000003E-3</v>
      </c>
      <c r="O2483" s="141">
        <v>4601004034136</v>
      </c>
    </row>
    <row r="2484" spans="1:15" ht="11.45" customHeight="1" outlineLevel="4" x14ac:dyDescent="0.2">
      <c r="A2484" s="76" t="s">
        <v>21850</v>
      </c>
      <c r="B2484" s="136"/>
      <c r="C2484" s="77"/>
      <c r="D2484" s="137"/>
      <c r="E2484" s="4"/>
      <c r="F2484" s="4"/>
      <c r="G2484" s="4"/>
      <c r="H2484" s="4"/>
      <c r="I2484" s="4"/>
      <c r="J2484" s="4"/>
      <c r="K2484" s="4"/>
      <c r="L2484" s="138"/>
      <c r="M2484" s="4"/>
      <c r="N2484" s="4"/>
      <c r="O2484" s="4"/>
    </row>
    <row r="2485" spans="1:15" s="1" customFormat="1" ht="11.45" customHeight="1" outlineLevel="5" x14ac:dyDescent="0.2">
      <c r="A2485" s="32" t="s">
        <v>21851</v>
      </c>
      <c r="B2485" s="74" t="s">
        <v>21852</v>
      </c>
      <c r="C2485" s="50"/>
      <c r="D2485" s="139">
        <f t="shared" si="38"/>
        <v>0</v>
      </c>
      <c r="E2485" s="140">
        <v>3279.23</v>
      </c>
      <c r="F2485" s="140">
        <v>2687.89</v>
      </c>
      <c r="G2485" s="34" t="s">
        <v>100</v>
      </c>
      <c r="H2485" s="34" t="s">
        <v>39</v>
      </c>
      <c r="I2485" s="35">
        <v>1</v>
      </c>
      <c r="J2485" s="35">
        <v>1</v>
      </c>
      <c r="K2485" s="35">
        <v>10</v>
      </c>
      <c r="L2485" s="60" t="str">
        <f>HYPERLINK("https://www.sds-group.ru/product/girlyanda-svetodiodniy-dojd-2h3m-postoyannoe-svechenie-prozrachniy-provod-230-v-diodi-krasnie-6585/", "Инфо")</f>
        <v>Инфо</v>
      </c>
      <c r="M2485" s="37">
        <v>2.44</v>
      </c>
      <c r="N2485" s="38">
        <v>1.4801E-2</v>
      </c>
      <c r="O2485" s="141">
        <v>4601004015814</v>
      </c>
    </row>
    <row r="2486" spans="1:15" ht="11.45" customHeight="1" outlineLevel="4" x14ac:dyDescent="0.2">
      <c r="A2486" s="76" t="s">
        <v>21915</v>
      </c>
      <c r="B2486" s="136"/>
      <c r="C2486" s="77"/>
      <c r="D2486" s="137"/>
      <c r="E2486" s="4"/>
      <c r="F2486" s="4"/>
      <c r="G2486" s="4"/>
      <c r="H2486" s="4"/>
      <c r="I2486" s="4"/>
      <c r="J2486" s="4"/>
      <c r="K2486" s="4"/>
      <c r="L2486" s="138"/>
      <c r="M2486" s="4"/>
      <c r="N2486" s="4"/>
      <c r="O2486" s="4"/>
    </row>
    <row r="2487" spans="1:15" s="1" customFormat="1" ht="11.45" customHeight="1" outlineLevel="5" x14ac:dyDescent="0.2">
      <c r="A2487" s="32" t="s">
        <v>21924</v>
      </c>
      <c r="B2487" s="74" t="s">
        <v>21925</v>
      </c>
      <c r="C2487" s="50"/>
      <c r="D2487" s="139">
        <f t="shared" si="38"/>
        <v>0</v>
      </c>
      <c r="E2487" s="140">
        <v>6286.33</v>
      </c>
      <c r="F2487" s="140">
        <v>5152.7299999999996</v>
      </c>
      <c r="G2487" s="34" t="s">
        <v>100</v>
      </c>
      <c r="H2487" s="34" t="s">
        <v>39</v>
      </c>
      <c r="I2487" s="35">
        <v>1</v>
      </c>
      <c r="J2487" s="35">
        <v>1</v>
      </c>
      <c r="K2487" s="35">
        <v>1</v>
      </c>
      <c r="L2487" s="60" t="str">
        <f>HYPERLINK("https://www.sds-group.ru/product/girlyanda-svetodiodnaya-zanaves-2h9m-2200-led-krasnyy-chernyy-pvh-ip44-effekt-mertsaniya-220-235-187/", "Инфо")</f>
        <v>Инфо</v>
      </c>
      <c r="M2487" s="37">
        <v>12</v>
      </c>
      <c r="N2487" s="38">
        <v>2.7E-2</v>
      </c>
      <c r="O2487" s="141">
        <v>2000030961898</v>
      </c>
    </row>
    <row r="2488" spans="1:15" ht="11.45" customHeight="1" outlineLevel="3" x14ac:dyDescent="0.2">
      <c r="A2488" s="76" t="s">
        <v>21926</v>
      </c>
      <c r="B2488" s="136"/>
      <c r="C2488" s="77"/>
      <c r="D2488" s="137"/>
      <c r="E2488" s="4"/>
      <c r="F2488" s="4"/>
      <c r="G2488" s="4"/>
      <c r="H2488" s="4"/>
      <c r="I2488" s="4"/>
      <c r="J2488" s="4"/>
      <c r="K2488" s="4"/>
      <c r="L2488" s="138"/>
      <c r="M2488" s="4"/>
      <c r="N2488" s="4"/>
      <c r="O2488" s="4"/>
    </row>
    <row r="2489" spans="1:15" ht="11.45" customHeight="1" outlineLevel="4" x14ac:dyDescent="0.2">
      <c r="A2489" s="76" t="s">
        <v>21927</v>
      </c>
      <c r="B2489" s="136"/>
      <c r="C2489" s="77"/>
      <c r="D2489" s="137"/>
      <c r="E2489" s="4"/>
      <c r="F2489" s="4"/>
      <c r="G2489" s="4"/>
      <c r="H2489" s="4"/>
      <c r="I2489" s="4"/>
      <c r="J2489" s="4"/>
      <c r="K2489" s="4"/>
      <c r="L2489" s="138"/>
      <c r="M2489" s="4"/>
      <c r="N2489" s="4"/>
      <c r="O2489" s="4"/>
    </row>
    <row r="2490" spans="1:15" s="1" customFormat="1" ht="11.45" customHeight="1" outlineLevel="5" x14ac:dyDescent="0.2">
      <c r="A2490" s="32" t="s">
        <v>21928</v>
      </c>
      <c r="B2490" s="74" t="s">
        <v>21929</v>
      </c>
      <c r="C2490" s="50"/>
      <c r="D2490" s="139">
        <f t="shared" si="38"/>
        <v>0</v>
      </c>
      <c r="E2490" s="140">
        <v>2283.69</v>
      </c>
      <c r="F2490" s="140">
        <v>1871.88</v>
      </c>
      <c r="G2490" s="34" t="s">
        <v>100</v>
      </c>
      <c r="H2490" s="34" t="s">
        <v>39</v>
      </c>
      <c r="I2490" s="35">
        <v>1</v>
      </c>
      <c r="J2490" s="35">
        <v>1</v>
      </c>
      <c r="K2490" s="35">
        <v>3</v>
      </c>
      <c r="L2490" s="60" t="str">
        <f>HYPERLINK("https://www.sds-group.ru/product/girlyanda-svetodiodnaya-zanaves-2h1-5m-360-led-belyy-chernyy-kauchuk-ip67-postoyannoe-sveche-237-125/", "Инфо")</f>
        <v>Инфо</v>
      </c>
      <c r="M2490" s="37">
        <v>3.5329999999999999</v>
      </c>
      <c r="N2490" s="38">
        <v>1.4033E-2</v>
      </c>
      <c r="O2490" s="141">
        <v>4601004087606</v>
      </c>
    </row>
    <row r="2491" spans="1:15" s="1" customFormat="1" ht="11.45" customHeight="1" outlineLevel="5" x14ac:dyDescent="0.2">
      <c r="A2491" s="32" t="s">
        <v>21930</v>
      </c>
      <c r="B2491" s="74" t="s">
        <v>21931</v>
      </c>
      <c r="C2491" s="50"/>
      <c r="D2491" s="139">
        <f t="shared" si="38"/>
        <v>0</v>
      </c>
      <c r="E2491" s="140">
        <v>2283.69</v>
      </c>
      <c r="F2491" s="140">
        <v>1871.88</v>
      </c>
      <c r="G2491" s="34" t="s">
        <v>100</v>
      </c>
      <c r="H2491" s="34" t="s">
        <v>39</v>
      </c>
      <c r="I2491" s="35">
        <v>1</v>
      </c>
      <c r="J2491" s="35">
        <v>1</v>
      </c>
      <c r="K2491" s="35">
        <v>3</v>
      </c>
      <c r="L2491" s="60" t="str">
        <f>HYPERLINK("https://www.sds-group.ru/product/girlyanda-svetodiodnaya-zanaves-2h1-5m-360-led-zelenyy-chernyy-kauchuk-ip67-postoyannoe-svec-237-124/", "Инфо")</f>
        <v>Инфо</v>
      </c>
      <c r="M2491" s="37">
        <v>3.5</v>
      </c>
      <c r="N2491" s="38">
        <v>1.4033E-2</v>
      </c>
      <c r="O2491" s="141">
        <v>4601004087590</v>
      </c>
    </row>
    <row r="2492" spans="1:15" s="1" customFormat="1" ht="11.45" customHeight="1" outlineLevel="5" x14ac:dyDescent="0.2">
      <c r="A2492" s="32" t="s">
        <v>21932</v>
      </c>
      <c r="B2492" s="74" t="s">
        <v>21933</v>
      </c>
      <c r="C2492" s="50"/>
      <c r="D2492" s="139">
        <f t="shared" si="38"/>
        <v>0</v>
      </c>
      <c r="E2492" s="140">
        <v>2283.69</v>
      </c>
      <c r="F2492" s="140">
        <v>1871.88</v>
      </c>
      <c r="G2492" s="34" t="s">
        <v>100</v>
      </c>
      <c r="H2492" s="34" t="s">
        <v>39</v>
      </c>
      <c r="I2492" s="35">
        <v>1</v>
      </c>
      <c r="J2492" s="35">
        <v>1</v>
      </c>
      <c r="K2492" s="35">
        <v>3</v>
      </c>
      <c r="L2492" s="60" t="str">
        <f>HYPERLINK("https://www.sds-group.ru/product/girlyanda-svetodiodnaya-zanaves-2h1-5m-360-led-siniy-belyy-kauchuk-ip67-postoyannoe-svecheni-237-113/", "Инфо")</f>
        <v>Инфо</v>
      </c>
      <c r="M2492" s="37">
        <v>3.5329999999999999</v>
      </c>
      <c r="N2492" s="38">
        <v>1.4033E-2</v>
      </c>
      <c r="O2492" s="141">
        <v>4601004087521</v>
      </c>
    </row>
    <row r="2493" spans="1:15" ht="11.45" customHeight="1" outlineLevel="4" x14ac:dyDescent="0.2">
      <c r="A2493" s="76" t="s">
        <v>21934</v>
      </c>
      <c r="B2493" s="136"/>
      <c r="C2493" s="77"/>
      <c r="D2493" s="137"/>
      <c r="E2493" s="4"/>
      <c r="F2493" s="4"/>
      <c r="G2493" s="4"/>
      <c r="H2493" s="4"/>
      <c r="I2493" s="4"/>
      <c r="J2493" s="4"/>
      <c r="K2493" s="4"/>
      <c r="L2493" s="138"/>
      <c r="M2493" s="4"/>
      <c r="N2493" s="4"/>
      <c r="O2493" s="4"/>
    </row>
    <row r="2494" spans="1:15" s="1" customFormat="1" ht="11.45" customHeight="1" outlineLevel="5" x14ac:dyDescent="0.2">
      <c r="A2494" s="32" t="s">
        <v>21935</v>
      </c>
      <c r="B2494" s="74" t="s">
        <v>21936</v>
      </c>
      <c r="C2494" s="50"/>
      <c r="D2494" s="139">
        <f t="shared" si="38"/>
        <v>0</v>
      </c>
      <c r="E2494" s="140">
        <v>7463.88</v>
      </c>
      <c r="F2494" s="140">
        <v>6117.93</v>
      </c>
      <c r="G2494" s="34" t="s">
        <v>100</v>
      </c>
      <c r="H2494" s="34" t="s">
        <v>39</v>
      </c>
      <c r="I2494" s="35">
        <v>1</v>
      </c>
      <c r="J2494" s="35">
        <v>1</v>
      </c>
      <c r="K2494" s="35">
        <v>3</v>
      </c>
      <c r="L2494" s="60" t="str">
        <f>HYPERLINK("https://www.sds-group.ru/product/girlyanda-svetodiodnaya-zanaves-2h3m-760-led-belyy-chernyy-kauchuk-ip67-postoyannoe-svecheni-237-145/", "Инфо")</f>
        <v>Инфо</v>
      </c>
      <c r="M2494" s="37">
        <v>5.65</v>
      </c>
      <c r="N2494" s="38">
        <v>2.3810000000000001E-2</v>
      </c>
      <c r="O2494" s="141">
        <v>4601004003668</v>
      </c>
    </row>
    <row r="2495" spans="1:15" ht="11.45" customHeight="1" outlineLevel="4" x14ac:dyDescent="0.2">
      <c r="A2495" s="76" t="s">
        <v>21937</v>
      </c>
      <c r="B2495" s="136"/>
      <c r="C2495" s="77"/>
      <c r="D2495" s="137"/>
      <c r="E2495" s="4"/>
      <c r="F2495" s="4"/>
      <c r="G2495" s="4"/>
      <c r="H2495" s="4"/>
      <c r="I2495" s="4"/>
      <c r="J2495" s="4"/>
      <c r="K2495" s="4"/>
      <c r="L2495" s="138"/>
      <c r="M2495" s="4"/>
      <c r="N2495" s="4"/>
      <c r="O2495" s="4"/>
    </row>
    <row r="2496" spans="1:15" s="1" customFormat="1" ht="11.45" customHeight="1" outlineLevel="5" x14ac:dyDescent="0.2">
      <c r="A2496" s="32" t="s">
        <v>21938</v>
      </c>
      <c r="B2496" s="74" t="s">
        <v>21939</v>
      </c>
      <c r="C2496" s="50"/>
      <c r="D2496" s="139">
        <f t="shared" si="38"/>
        <v>0</v>
      </c>
      <c r="E2496" s="140">
        <v>6488.61</v>
      </c>
      <c r="F2496" s="140">
        <v>5318.53</v>
      </c>
      <c r="G2496" s="34" t="s">
        <v>100</v>
      </c>
      <c r="H2496" s="34" t="s">
        <v>39</v>
      </c>
      <c r="I2496" s="35">
        <v>1</v>
      </c>
      <c r="J2496" s="35">
        <v>1</v>
      </c>
      <c r="K2496" s="35">
        <v>1</v>
      </c>
      <c r="L2496" s="60" t="str">
        <f>HYPERLINK("https://www.sds-group.ru/product/girlyanda-svetodiodnyy-dozhd-2h6m-postoyannoe-svechenie-chernyy-provod-kauchuk-230-v-diody-b-237-165/", "Инфо")</f>
        <v>Инфо</v>
      </c>
      <c r="M2496" s="37">
        <v>10.5</v>
      </c>
      <c r="N2496" s="38">
        <v>4.1066999999999999E-2</v>
      </c>
      <c r="O2496" s="141">
        <v>4601004015180</v>
      </c>
    </row>
    <row r="2497" spans="1:15" ht="11.45" customHeight="1" outlineLevel="3" x14ac:dyDescent="0.2">
      <c r="A2497" s="76" t="s">
        <v>21940</v>
      </c>
      <c r="B2497" s="136"/>
      <c r="C2497" s="77"/>
      <c r="D2497" s="137"/>
      <c r="E2497" s="4"/>
      <c r="F2497" s="4"/>
      <c r="G2497" s="4"/>
      <c r="H2497" s="4"/>
      <c r="I2497" s="4"/>
      <c r="J2497" s="4"/>
      <c r="K2497" s="4"/>
      <c r="L2497" s="138"/>
      <c r="M2497" s="4"/>
      <c r="N2497" s="4"/>
      <c r="O2497" s="4"/>
    </row>
    <row r="2498" spans="1:15" s="1" customFormat="1" ht="11.45" customHeight="1" outlineLevel="4" x14ac:dyDescent="0.2">
      <c r="A2498" s="32" t="s">
        <v>21941</v>
      </c>
      <c r="B2498" s="74" t="s">
        <v>21942</v>
      </c>
      <c r="C2498" s="50"/>
      <c r="D2498" s="139">
        <f t="shared" si="38"/>
        <v>0</v>
      </c>
      <c r="E2498" s="140">
        <v>891.64</v>
      </c>
      <c r="F2498" s="140">
        <v>730.85</v>
      </c>
      <c r="G2498" s="34" t="s">
        <v>100</v>
      </c>
      <c r="H2498" s="34" t="s">
        <v>39</v>
      </c>
      <c r="I2498" s="35">
        <v>1</v>
      </c>
      <c r="J2498" s="35">
        <v>1</v>
      </c>
      <c r="K2498" s="35">
        <v>40</v>
      </c>
      <c r="L2498" s="60" t="str">
        <f>HYPERLINK("https://www.sds-group.ru/product/kontroller-24-v-245-901/", "Инфо")</f>
        <v>Инфо</v>
      </c>
      <c r="M2498" s="37">
        <v>0.29399999999999998</v>
      </c>
      <c r="N2498" s="38">
        <v>1.075E-3</v>
      </c>
      <c r="O2498" s="141">
        <v>4601004016644</v>
      </c>
    </row>
    <row r="2499" spans="1:15" s="1" customFormat="1" ht="11.45" customHeight="1" outlineLevel="4" x14ac:dyDescent="0.2">
      <c r="A2499" s="32" t="s">
        <v>21943</v>
      </c>
      <c r="B2499" s="74" t="s">
        <v>21944</v>
      </c>
      <c r="C2499" s="50"/>
      <c r="D2499" s="139">
        <f t="shared" si="38"/>
        <v>0</v>
      </c>
      <c r="E2499" s="140">
        <v>4056.76</v>
      </c>
      <c r="F2499" s="140">
        <v>3325.21</v>
      </c>
      <c r="G2499" s="34" t="s">
        <v>100</v>
      </c>
      <c r="H2499" s="34" t="s">
        <v>39</v>
      </c>
      <c r="I2499" s="35">
        <v>1</v>
      </c>
      <c r="J2499" s="35">
        <v>1</v>
      </c>
      <c r="K2499" s="35">
        <v>8</v>
      </c>
      <c r="L2499" s="60" t="str">
        <f>HYPERLINK("https://www.sds-group.ru/product/transformator-blok-pitaniya-24v-100w-245-911/", "Инфо")</f>
        <v>Инфо</v>
      </c>
      <c r="M2499" s="37">
        <v>1.363</v>
      </c>
      <c r="N2499" s="38">
        <v>3.7320000000000001E-3</v>
      </c>
      <c r="O2499" s="141">
        <v>4601004016699</v>
      </c>
    </row>
    <row r="2500" spans="1:15" s="1" customFormat="1" ht="11.45" customHeight="1" outlineLevel="4" x14ac:dyDescent="0.2">
      <c r="A2500" s="32" t="s">
        <v>21945</v>
      </c>
      <c r="B2500" s="74" t="s">
        <v>21946</v>
      </c>
      <c r="C2500" s="50"/>
      <c r="D2500" s="139">
        <f t="shared" si="38"/>
        <v>0</v>
      </c>
      <c r="E2500" s="140">
        <v>5531.35</v>
      </c>
      <c r="F2500" s="140">
        <v>4533.8900000000003</v>
      </c>
      <c r="G2500" s="34" t="s">
        <v>100</v>
      </c>
      <c r="H2500" s="34" t="s">
        <v>39</v>
      </c>
      <c r="I2500" s="35">
        <v>1</v>
      </c>
      <c r="J2500" s="35">
        <v>1</v>
      </c>
      <c r="K2500" s="35">
        <v>3</v>
      </c>
      <c r="L2500" s="60" t="str">
        <f>HYPERLINK("https://www.sds-group.ru/product/girlyanda-led-umnyy-dozhd-3-sektsii-1x3-m-4x3-nitey-30w-24v-8-kanalov-672-belyh-dioda-ip65-245-335/", "Инфо")</f>
        <v>Инфо</v>
      </c>
      <c r="M2500" s="37">
        <v>4.3540000000000001</v>
      </c>
      <c r="N2500" s="38">
        <v>1.9726E-2</v>
      </c>
      <c r="O2500" s="141">
        <v>2000030966022</v>
      </c>
    </row>
    <row r="2501" spans="1:15" ht="11.45" customHeight="1" outlineLevel="2" x14ac:dyDescent="0.2">
      <c r="A2501" s="76" t="s">
        <v>21947</v>
      </c>
      <c r="B2501" s="136"/>
      <c r="C2501" s="77"/>
      <c r="D2501" s="137"/>
      <c r="E2501" s="4"/>
      <c r="F2501" s="4"/>
      <c r="G2501" s="4"/>
      <c r="H2501" s="4"/>
      <c r="I2501" s="4"/>
      <c r="J2501" s="4"/>
      <c r="K2501" s="4"/>
      <c r="L2501" s="138"/>
      <c r="M2501" s="4"/>
      <c r="N2501" s="4"/>
      <c r="O2501" s="4"/>
    </row>
    <row r="2502" spans="1:15" ht="11.45" customHeight="1" outlineLevel="3" x14ac:dyDescent="0.2">
      <c r="A2502" s="76" t="s">
        <v>21948</v>
      </c>
      <c r="B2502" s="136"/>
      <c r="C2502" s="77"/>
      <c r="D2502" s="137"/>
      <c r="E2502" s="4"/>
      <c r="F2502" s="4"/>
      <c r="G2502" s="4"/>
      <c r="H2502" s="4"/>
      <c r="I2502" s="4"/>
      <c r="J2502" s="4"/>
      <c r="K2502" s="4"/>
      <c r="L2502" s="138"/>
      <c r="M2502" s="4"/>
      <c r="N2502" s="4"/>
      <c r="O2502" s="4"/>
    </row>
    <row r="2503" spans="1:15" ht="11.45" customHeight="1" outlineLevel="4" x14ac:dyDescent="0.2">
      <c r="A2503" s="76" t="s">
        <v>21949</v>
      </c>
      <c r="B2503" s="136"/>
      <c r="C2503" s="77"/>
      <c r="D2503" s="137"/>
      <c r="E2503" s="4"/>
      <c r="F2503" s="4"/>
      <c r="G2503" s="4"/>
      <c r="H2503" s="4"/>
      <c r="I2503" s="4"/>
      <c r="J2503" s="4"/>
      <c r="K2503" s="4"/>
      <c r="L2503" s="138"/>
      <c r="M2503" s="4"/>
      <c r="N2503" s="4"/>
      <c r="O2503" s="4"/>
    </row>
    <row r="2504" spans="1:15" s="1" customFormat="1" ht="11.45" customHeight="1" outlineLevel="5" x14ac:dyDescent="0.2">
      <c r="A2504" s="32" t="s">
        <v>21954</v>
      </c>
      <c r="B2504" s="74" t="s">
        <v>21955</v>
      </c>
      <c r="C2504" s="50"/>
      <c r="D2504" s="139">
        <f t="shared" si="38"/>
        <v>0</v>
      </c>
      <c r="E2504" s="140">
        <v>517.04</v>
      </c>
      <c r="F2504" s="140">
        <v>423.8</v>
      </c>
      <c r="G2504" s="34" t="s">
        <v>100</v>
      </c>
      <c r="H2504" s="34" t="s">
        <v>39</v>
      </c>
      <c r="I2504" s="35">
        <v>1</v>
      </c>
      <c r="J2504" s="35">
        <v>1</v>
      </c>
      <c r="K2504" s="35">
        <v>30</v>
      </c>
      <c r="L2504" s="60" t="str">
        <f>HYPERLINK("https://www.sds-group.ru/product/girlyanda-svetodiodnaya-bahroma-aysikl-1-8h0-5m-48-led-teplyy-belyy-belyy-pvh-ip65-postoyann-255-026/", "Инфо")</f>
        <v>Инфо</v>
      </c>
      <c r="M2504" s="37">
        <v>0.39700000000000002</v>
      </c>
      <c r="N2504" s="38">
        <v>1.178E-3</v>
      </c>
      <c r="O2504" s="141">
        <v>4601004025899</v>
      </c>
    </row>
    <row r="2505" spans="1:15" ht="11.45" customHeight="1" outlineLevel="4" x14ac:dyDescent="0.2">
      <c r="A2505" s="76" t="s">
        <v>21956</v>
      </c>
      <c r="B2505" s="136"/>
      <c r="C2505" s="77"/>
      <c r="D2505" s="137"/>
      <c r="E2505" s="4"/>
      <c r="F2505" s="4"/>
      <c r="G2505" s="4"/>
      <c r="H2505" s="4"/>
      <c r="I2505" s="4"/>
      <c r="J2505" s="4"/>
      <c r="K2505" s="4"/>
      <c r="L2505" s="138"/>
      <c r="M2505" s="4"/>
      <c r="N2505" s="4"/>
      <c r="O2505" s="4"/>
    </row>
    <row r="2506" spans="1:15" s="1" customFormat="1" ht="11.45" customHeight="1" outlineLevel="5" x14ac:dyDescent="0.2">
      <c r="A2506" s="32" t="s">
        <v>21959</v>
      </c>
      <c r="B2506" s="74" t="s">
        <v>21960</v>
      </c>
      <c r="C2506" s="50"/>
      <c r="D2506" s="139">
        <f t="shared" si="38"/>
        <v>0</v>
      </c>
      <c r="E2506" s="140">
        <v>768.86</v>
      </c>
      <c r="F2506" s="140">
        <v>630.21</v>
      </c>
      <c r="G2506" s="34" t="s">
        <v>100</v>
      </c>
      <c r="H2506" s="34" t="s">
        <v>39</v>
      </c>
      <c r="I2506" s="35">
        <v>1</v>
      </c>
      <c r="J2506" s="35">
        <v>1</v>
      </c>
      <c r="K2506" s="35">
        <v>24</v>
      </c>
      <c r="L2506" s="60" t="str">
        <f>HYPERLINK("https://www.sds-group.ru/product/girlyanda-svetodiodnaya-bahroma-aysikl-2-4h0-6m-76-led-siniy-belyy-pvh-ip65-postoyannoe-sv-255-033-6/", "Инфо")</f>
        <v>Инфо</v>
      </c>
      <c r="M2506" s="37">
        <v>0.51900000000000002</v>
      </c>
      <c r="N2506" s="38">
        <v>1.653E-3</v>
      </c>
      <c r="O2506" s="141">
        <v>4601004008885</v>
      </c>
    </row>
    <row r="2507" spans="1:15" s="1" customFormat="1" ht="11.45" customHeight="1" outlineLevel="5" x14ac:dyDescent="0.2">
      <c r="A2507" s="32" t="s">
        <v>21961</v>
      </c>
      <c r="B2507" s="74" t="s">
        <v>21962</v>
      </c>
      <c r="C2507" s="50"/>
      <c r="D2507" s="139">
        <f t="shared" ref="D2507:D2569" si="39">C2507*E2507</f>
        <v>0</v>
      </c>
      <c r="E2507" s="140">
        <v>768.86</v>
      </c>
      <c r="F2507" s="140">
        <v>630.21</v>
      </c>
      <c r="G2507" s="34" t="s">
        <v>100</v>
      </c>
      <c r="H2507" s="34" t="s">
        <v>39</v>
      </c>
      <c r="I2507" s="35">
        <v>1</v>
      </c>
      <c r="J2507" s="35">
        <v>1</v>
      </c>
      <c r="K2507" s="35">
        <v>24</v>
      </c>
      <c r="L2507" s="60" t="str">
        <f>HYPERLINK("https://www.sds-group.ru/product/girlyanda-svetodiodnaya-bahroma-aysikl-2-4h0-6m-76-led-teplyy-belyy-belyy-pvh-ip65-postoya-255-037-6/", "Инфо")</f>
        <v>Инфо</v>
      </c>
      <c r="M2507" s="37">
        <v>0.52500000000000002</v>
      </c>
      <c r="N2507" s="38">
        <v>1.642E-3</v>
      </c>
      <c r="O2507" s="141">
        <v>4601004015937</v>
      </c>
    </row>
    <row r="2508" spans="1:15" s="1" customFormat="1" ht="11.45" customHeight="1" outlineLevel="5" x14ac:dyDescent="0.2">
      <c r="A2508" s="32" t="s">
        <v>21963</v>
      </c>
      <c r="B2508" s="74" t="s">
        <v>21964</v>
      </c>
      <c r="C2508" s="50"/>
      <c r="D2508" s="139">
        <f t="shared" si="39"/>
        <v>0</v>
      </c>
      <c r="E2508" s="140">
        <v>784.56</v>
      </c>
      <c r="F2508" s="140">
        <v>643.08000000000004</v>
      </c>
      <c r="G2508" s="34" t="s">
        <v>100</v>
      </c>
      <c r="H2508" s="34" t="s">
        <v>39</v>
      </c>
      <c r="I2508" s="35">
        <v>1</v>
      </c>
      <c r="J2508" s="35">
        <v>1</v>
      </c>
      <c r="K2508" s="35">
        <v>20</v>
      </c>
      <c r="L2508" s="60" t="str">
        <f>HYPERLINK("https://www.sds-group.ru/product/girlyanda-svetodiodnaya-bahroma-aysikl-2-4h0-6m-88-led-belyy-belyy-pvh-ip65-postoyannoe-svec-255-034/", "Инфо")</f>
        <v>Инфо</v>
      </c>
      <c r="M2508" s="37">
        <v>0.57099999999999995</v>
      </c>
      <c r="N2508" s="38">
        <v>1.756E-3</v>
      </c>
      <c r="O2508" s="141">
        <v>4601004001732</v>
      </c>
    </row>
    <row r="2509" spans="1:15" s="1" customFormat="1" ht="11.45" customHeight="1" outlineLevel="5" x14ac:dyDescent="0.2">
      <c r="A2509" s="32" t="s">
        <v>21967</v>
      </c>
      <c r="B2509" s="74" t="s">
        <v>21968</v>
      </c>
      <c r="C2509" s="50"/>
      <c r="D2509" s="139">
        <f t="shared" si="39"/>
        <v>0</v>
      </c>
      <c r="E2509" s="140">
        <v>784.56</v>
      </c>
      <c r="F2509" s="140">
        <v>643.08000000000004</v>
      </c>
      <c r="G2509" s="34" t="s">
        <v>100</v>
      </c>
      <c r="H2509" s="34" t="s">
        <v>39</v>
      </c>
      <c r="I2509" s="35">
        <v>1</v>
      </c>
      <c r="J2509" s="35">
        <v>1</v>
      </c>
      <c r="K2509" s="35">
        <v>20</v>
      </c>
      <c r="L2509" s="60" t="str">
        <f>HYPERLINK("https://www.sds-group.ru/product/girlyanda-svetodiodnaya-bahroma-aysikl-2-4h0-6m-88-led-belyy-prozrachnyy-pvh-ip65-postoyanno-255-055/", "Инфо")</f>
        <v>Инфо</v>
      </c>
      <c r="M2509" s="37">
        <v>0.55000000000000004</v>
      </c>
      <c r="N2509" s="38">
        <v>1.5759999999999999E-3</v>
      </c>
      <c r="O2509" s="141">
        <v>4601004083639</v>
      </c>
    </row>
    <row r="2510" spans="1:15" s="1" customFormat="1" ht="11.45" customHeight="1" outlineLevel="5" x14ac:dyDescent="0.2">
      <c r="A2510" s="32" t="s">
        <v>21969</v>
      </c>
      <c r="B2510" s="74" t="s">
        <v>21970</v>
      </c>
      <c r="C2510" s="50"/>
      <c r="D2510" s="139">
        <f t="shared" si="39"/>
        <v>0</v>
      </c>
      <c r="E2510" s="140">
        <v>784.56</v>
      </c>
      <c r="F2510" s="140">
        <v>643.08000000000004</v>
      </c>
      <c r="G2510" s="34" t="s">
        <v>100</v>
      </c>
      <c r="H2510" s="34" t="s">
        <v>39</v>
      </c>
      <c r="I2510" s="35">
        <v>1</v>
      </c>
      <c r="J2510" s="35">
        <v>1</v>
      </c>
      <c r="K2510" s="35">
        <v>20</v>
      </c>
      <c r="L2510" s="60" t="str">
        <f>HYPERLINK("https://www.sds-group.ru/product/girlyanda-svetodiodnaya-bahroma-aysikl-2-4h0-6m-88-led-belyy-chernyy-pvh-ip65-postoyannoe-sv-255-032/", "Инфо")</f>
        <v>Инфо</v>
      </c>
      <c r="M2510" s="37">
        <v>0.56999999999999995</v>
      </c>
      <c r="N2510" s="38">
        <v>1.7750000000000001E-3</v>
      </c>
      <c r="O2510" s="141">
        <v>4601004001749</v>
      </c>
    </row>
    <row r="2511" spans="1:15" s="1" customFormat="1" ht="11.45" customHeight="1" outlineLevel="5" x14ac:dyDescent="0.2">
      <c r="A2511" s="32" t="s">
        <v>21971</v>
      </c>
      <c r="B2511" s="74" t="s">
        <v>21972</v>
      </c>
      <c r="C2511" s="50"/>
      <c r="D2511" s="139">
        <f t="shared" si="39"/>
        <v>0</v>
      </c>
      <c r="E2511" s="140">
        <v>740.16</v>
      </c>
      <c r="F2511" s="140">
        <v>606.69000000000005</v>
      </c>
      <c r="G2511" s="34" t="s">
        <v>100</v>
      </c>
      <c r="H2511" s="34" t="s">
        <v>39</v>
      </c>
      <c r="I2511" s="35">
        <v>1</v>
      </c>
      <c r="J2511" s="35">
        <v>1</v>
      </c>
      <c r="K2511" s="35">
        <v>10</v>
      </c>
      <c r="L2511" s="60" t="str">
        <f>HYPERLINK("https://www.sds-group.ru/product/girlyanda-svetodiodnaya-bahroma-aysikl-2-4h0-6m-88-led-zelenyy-prozrachnyy-pvh-ip65-postoyan-255-054/", "Инфо")</f>
        <v>Инфо</v>
      </c>
      <c r="M2511" s="37">
        <v>0.63</v>
      </c>
      <c r="N2511" s="38">
        <v>2.2100000000000002E-3</v>
      </c>
      <c r="O2511" s="141">
        <v>4601004083622</v>
      </c>
    </row>
    <row r="2512" spans="1:15" s="1" customFormat="1" ht="11.45" customHeight="1" outlineLevel="5" x14ac:dyDescent="0.2">
      <c r="A2512" s="32" t="s">
        <v>21973</v>
      </c>
      <c r="B2512" s="74" t="s">
        <v>21974</v>
      </c>
      <c r="C2512" s="50"/>
      <c r="D2512" s="139">
        <f t="shared" si="39"/>
        <v>0</v>
      </c>
      <c r="E2512" s="140">
        <v>833.7</v>
      </c>
      <c r="F2512" s="140">
        <v>683.36</v>
      </c>
      <c r="G2512" s="34" t="s">
        <v>100</v>
      </c>
      <c r="H2512" s="34" t="s">
        <v>39</v>
      </c>
      <c r="I2512" s="35">
        <v>1</v>
      </c>
      <c r="J2512" s="35">
        <v>1</v>
      </c>
      <c r="K2512" s="35">
        <v>24</v>
      </c>
      <c r="L2512" s="60" t="str">
        <f>HYPERLINK("https://www.sds-group.ru/product/girlyanda-svetodiodnaya-bahroma-aysikl-2-4h0-6m-88-led-siniy-belyy-pvh-ip65-effekt-mertsaniy-255-035/", "Инфо")</f>
        <v>Инфо</v>
      </c>
      <c r="M2512" s="37">
        <v>0.57499999999999996</v>
      </c>
      <c r="N2512" s="38">
        <v>1.7910000000000001E-3</v>
      </c>
      <c r="O2512" s="141">
        <v>4601004015913</v>
      </c>
    </row>
    <row r="2513" spans="1:15" s="1" customFormat="1" ht="11.45" customHeight="1" outlineLevel="5" x14ac:dyDescent="0.2">
      <c r="A2513" s="32" t="s">
        <v>21975</v>
      </c>
      <c r="B2513" s="74" t="s">
        <v>21976</v>
      </c>
      <c r="C2513" s="50"/>
      <c r="D2513" s="139">
        <f t="shared" si="39"/>
        <v>0</v>
      </c>
      <c r="E2513" s="140">
        <v>784.56</v>
      </c>
      <c r="F2513" s="140">
        <v>643.08000000000004</v>
      </c>
      <c r="G2513" s="34" t="s">
        <v>100</v>
      </c>
      <c r="H2513" s="34" t="s">
        <v>39</v>
      </c>
      <c r="I2513" s="35">
        <v>1</v>
      </c>
      <c r="J2513" s="35">
        <v>1</v>
      </c>
      <c r="K2513" s="35">
        <v>24</v>
      </c>
      <c r="L2513" s="60" t="str">
        <f>HYPERLINK("https://www.sds-group.ru/product/girlyanda-svetodiodnaya-bahroma-aysikl-2-4h0-6m-88-led-teplyy-belyy-belyy-pvh-ip65-postoyann-255-037/", "Инфо")</f>
        <v>Инфо</v>
      </c>
      <c r="M2513" s="37">
        <v>0.56399999999999995</v>
      </c>
      <c r="N2513" s="38">
        <v>1.7359999999999999E-3</v>
      </c>
      <c r="O2513" s="141">
        <v>4601004015920</v>
      </c>
    </row>
    <row r="2514" spans="1:15" s="1" customFormat="1" ht="11.45" customHeight="1" outlineLevel="5" x14ac:dyDescent="0.2">
      <c r="A2514" s="32" t="s">
        <v>21977</v>
      </c>
      <c r="B2514" s="74" t="s">
        <v>21978</v>
      </c>
      <c r="C2514" s="50"/>
      <c r="D2514" s="139">
        <f t="shared" si="39"/>
        <v>0</v>
      </c>
      <c r="E2514" s="140">
        <v>784.56</v>
      </c>
      <c r="F2514" s="140">
        <v>643.08000000000004</v>
      </c>
      <c r="G2514" s="34" t="s">
        <v>100</v>
      </c>
      <c r="H2514" s="34" t="s">
        <v>39</v>
      </c>
      <c r="I2514" s="35">
        <v>1</v>
      </c>
      <c r="J2514" s="35">
        <v>1</v>
      </c>
      <c r="K2514" s="35">
        <v>20</v>
      </c>
      <c r="L2514" s="60" t="str">
        <f>HYPERLINK("https://www.sds-group.ru/product/girlyanda-svetodiodnaya-bahroma-aysikl-2-4h0-6m-88-led-teplyy-belyy-prozrachnyy-pvh-ip65-pos-255-056/", "Инфо")</f>
        <v>Инфо</v>
      </c>
      <c r="M2514" s="37">
        <v>0.438</v>
      </c>
      <c r="N2514" s="38">
        <v>1.5629999999999999E-3</v>
      </c>
      <c r="O2514" s="141">
        <v>4601004083646</v>
      </c>
    </row>
    <row r="2515" spans="1:15" s="1" customFormat="1" ht="11.45" customHeight="1" outlineLevel="5" x14ac:dyDescent="0.2">
      <c r="A2515" s="32" t="s">
        <v>21979</v>
      </c>
      <c r="B2515" s="74" t="s">
        <v>21980</v>
      </c>
      <c r="C2515" s="50"/>
      <c r="D2515" s="139">
        <f t="shared" si="39"/>
        <v>0</v>
      </c>
      <c r="E2515" s="140">
        <v>784.56</v>
      </c>
      <c r="F2515" s="140">
        <v>643.08000000000004</v>
      </c>
      <c r="G2515" s="34" t="s">
        <v>100</v>
      </c>
      <c r="H2515" s="34" t="s">
        <v>39</v>
      </c>
      <c r="I2515" s="35">
        <v>1</v>
      </c>
      <c r="J2515" s="35">
        <v>1</v>
      </c>
      <c r="K2515" s="35">
        <v>20</v>
      </c>
      <c r="L2515" s="60" t="str">
        <f>HYPERLINK("https://www.sds-group.ru/product/girlyanda-svetodiodnaya-bahroma-aysikl-2-4h0-6m-88-led-teplyy-belyy-chernyy-pvh-ip65-postoya-255-046/", "Инфо")</f>
        <v>Инфо</v>
      </c>
      <c r="M2515" s="37">
        <v>0.46700000000000003</v>
      </c>
      <c r="N2515" s="38">
        <v>1.3849999999999999E-3</v>
      </c>
      <c r="O2515" s="141">
        <v>4601004083585</v>
      </c>
    </row>
    <row r="2516" spans="1:15" ht="11.45" customHeight="1" outlineLevel="4" x14ac:dyDescent="0.2">
      <c r="A2516" s="76" t="s">
        <v>21981</v>
      </c>
      <c r="B2516" s="136"/>
      <c r="C2516" s="77"/>
      <c r="D2516" s="137"/>
      <c r="E2516" s="4"/>
      <c r="F2516" s="4"/>
      <c r="G2516" s="4"/>
      <c r="H2516" s="4"/>
      <c r="I2516" s="4"/>
      <c r="J2516" s="4"/>
      <c r="K2516" s="4"/>
      <c r="L2516" s="138"/>
      <c r="M2516" s="4"/>
      <c r="N2516" s="4"/>
      <c r="O2516" s="4"/>
    </row>
    <row r="2517" spans="1:15" s="1" customFormat="1" ht="11.45" customHeight="1" outlineLevel="5" x14ac:dyDescent="0.2">
      <c r="A2517" s="32" t="s">
        <v>22012</v>
      </c>
      <c r="B2517" s="74" t="s">
        <v>22013</v>
      </c>
      <c r="C2517" s="50"/>
      <c r="D2517" s="139">
        <f t="shared" si="39"/>
        <v>0</v>
      </c>
      <c r="E2517" s="140">
        <v>1480.31</v>
      </c>
      <c r="F2517" s="140">
        <v>1213.3699999999999</v>
      </c>
      <c r="G2517" s="34" t="s">
        <v>100</v>
      </c>
      <c r="H2517" s="34" t="s">
        <v>39</v>
      </c>
      <c r="I2517" s="35">
        <v>1</v>
      </c>
      <c r="J2517" s="35">
        <v>1</v>
      </c>
      <c r="K2517" s="35">
        <v>10</v>
      </c>
      <c r="L2517" s="60" t="str">
        <f>HYPERLINK("https://www.sds-group.ru/product/girlyanda-aysikl-bahroma-svetodiodniy-4-8-h-0-6-m-prozrachniy-provod-230-v-diodi-zelenie-176-led-neon-night-2861/", "Инфо")</f>
        <v>Инфо</v>
      </c>
      <c r="M2517" s="37">
        <v>1.0249999999999999</v>
      </c>
      <c r="N2517" s="38">
        <v>3.8300000000000001E-3</v>
      </c>
      <c r="O2517" s="141">
        <v>4601004016026</v>
      </c>
    </row>
    <row r="2518" spans="1:15" ht="11.45" customHeight="1" outlineLevel="3" x14ac:dyDescent="0.2">
      <c r="A2518" s="76" t="s">
        <v>22036</v>
      </c>
      <c r="B2518" s="136"/>
      <c r="C2518" s="77"/>
      <c r="D2518" s="137"/>
      <c r="E2518" s="4"/>
      <c r="F2518" s="4"/>
      <c r="G2518" s="4"/>
      <c r="H2518" s="4"/>
      <c r="I2518" s="4"/>
      <c r="J2518" s="4"/>
      <c r="K2518" s="4"/>
      <c r="L2518" s="138"/>
      <c r="M2518" s="4"/>
      <c r="N2518" s="4"/>
      <c r="O2518" s="4"/>
    </row>
    <row r="2519" spans="1:15" ht="11.45" customHeight="1" outlineLevel="4" x14ac:dyDescent="0.2">
      <c r="A2519" s="76" t="s">
        <v>22037</v>
      </c>
      <c r="B2519" s="136"/>
      <c r="C2519" s="77"/>
      <c r="D2519" s="137"/>
      <c r="E2519" s="4"/>
      <c r="F2519" s="4"/>
      <c r="G2519" s="4"/>
      <c r="H2519" s="4"/>
      <c r="I2519" s="4"/>
      <c r="J2519" s="4"/>
      <c r="K2519" s="4"/>
      <c r="L2519" s="138"/>
      <c r="M2519" s="4"/>
      <c r="N2519" s="4"/>
      <c r="O2519" s="4"/>
    </row>
    <row r="2520" spans="1:15" s="1" customFormat="1" ht="11.45" customHeight="1" outlineLevel="5" x14ac:dyDescent="0.2">
      <c r="A2520" s="32" t="s">
        <v>22038</v>
      </c>
      <c r="B2520" s="74" t="s">
        <v>22039</v>
      </c>
      <c r="C2520" s="50"/>
      <c r="D2520" s="139">
        <f t="shared" si="39"/>
        <v>0</v>
      </c>
      <c r="E2520" s="140">
        <v>2002.71</v>
      </c>
      <c r="F2520" s="140">
        <v>1641.57</v>
      </c>
      <c r="G2520" s="34" t="s">
        <v>100</v>
      </c>
      <c r="H2520" s="34" t="s">
        <v>39</v>
      </c>
      <c r="I2520" s="35">
        <v>1</v>
      </c>
      <c r="J2520" s="35">
        <v>1</v>
      </c>
      <c r="K2520" s="35">
        <v>10</v>
      </c>
      <c r="L2520" s="60" t="str">
        <f>HYPERLINK("https://www.sds-group.ru/product/girlyanda-svetodiodnaya-bahroma-aysikl-3-2h0-9m-120-led-teplyy-belyy-belyy-kauchuk-3-3mm-ip6-255-466/", "Инфо")</f>
        <v>Инфо</v>
      </c>
      <c r="M2520" s="37">
        <v>0.97</v>
      </c>
      <c r="N2520" s="38">
        <v>4.6389999999999999E-3</v>
      </c>
      <c r="O2520" s="141">
        <v>4601004302662</v>
      </c>
    </row>
    <row r="2521" spans="1:15" s="1" customFormat="1" ht="11.45" customHeight="1" outlineLevel="5" x14ac:dyDescent="0.2">
      <c r="A2521" s="32" t="s">
        <v>22040</v>
      </c>
      <c r="B2521" s="74" t="s">
        <v>22041</v>
      </c>
      <c r="C2521" s="50"/>
      <c r="D2521" s="139">
        <f t="shared" si="39"/>
        <v>0</v>
      </c>
      <c r="E2521" s="140">
        <v>2002.71</v>
      </c>
      <c r="F2521" s="140">
        <v>1641.57</v>
      </c>
      <c r="G2521" s="34" t="s">
        <v>100</v>
      </c>
      <c r="H2521" s="34" t="s">
        <v>39</v>
      </c>
      <c r="I2521" s="35">
        <v>1</v>
      </c>
      <c r="J2521" s="35">
        <v>1</v>
      </c>
      <c r="K2521" s="35">
        <v>15</v>
      </c>
      <c r="L2521" s="60" t="str">
        <f>HYPERLINK("https://www.sds-group.ru/product/girlyanda-svetodiodnaya-bahroma-aysikl-3-2h0-9m-120-led-teplyy-belyy-chernyy-kauchuk-3-3mm-i-255-336/", "Инфо")</f>
        <v>Инфо</v>
      </c>
      <c r="M2521" s="37">
        <v>1.167</v>
      </c>
      <c r="N2521" s="38">
        <v>4.091E-3</v>
      </c>
      <c r="O2521" s="141">
        <v>4601004225084</v>
      </c>
    </row>
    <row r="2522" spans="1:15" ht="11.45" customHeight="1" outlineLevel="4" x14ac:dyDescent="0.2">
      <c r="A2522" s="76" t="s">
        <v>22042</v>
      </c>
      <c r="B2522" s="136"/>
      <c r="C2522" s="77"/>
      <c r="D2522" s="137"/>
      <c r="E2522" s="4"/>
      <c r="F2522" s="4"/>
      <c r="G2522" s="4"/>
      <c r="H2522" s="4"/>
      <c r="I2522" s="4"/>
      <c r="J2522" s="4"/>
      <c r="K2522" s="4"/>
      <c r="L2522" s="138"/>
      <c r="M2522" s="4"/>
      <c r="N2522" s="4"/>
      <c r="O2522" s="4"/>
    </row>
    <row r="2523" spans="1:15" s="1" customFormat="1" ht="11.45" customHeight="1" outlineLevel="5" x14ac:dyDescent="0.2">
      <c r="A2523" s="32" t="s">
        <v>22077</v>
      </c>
      <c r="B2523" s="74" t="s">
        <v>22078</v>
      </c>
      <c r="C2523" s="50"/>
      <c r="D2523" s="139">
        <f t="shared" si="39"/>
        <v>0</v>
      </c>
      <c r="E2523" s="140">
        <v>1686.18</v>
      </c>
      <c r="F2523" s="140">
        <v>1382.11</v>
      </c>
      <c r="G2523" s="34" t="s">
        <v>100</v>
      </c>
      <c r="H2523" s="34" t="s">
        <v>39</v>
      </c>
      <c r="I2523" s="35">
        <v>1</v>
      </c>
      <c r="J2523" s="35">
        <v>1</v>
      </c>
      <c r="K2523" s="35">
        <v>15</v>
      </c>
      <c r="L2523" s="60" t="str">
        <f>HYPERLINK("https://www.sds-group.ru/product/girlyanda-svetodiodnaya-bahroma-aysikl-4-0h0-6m-128-led-teplyy-belyy-chernyy-kauchuk-2-3mm-255-226-6/", "Инфо")</f>
        <v>Инфо</v>
      </c>
      <c r="M2523" s="37">
        <v>0.65600000000000003</v>
      </c>
      <c r="N2523" s="38">
        <v>2.3370000000000001E-3</v>
      </c>
      <c r="O2523" s="141">
        <v>4601004280069</v>
      </c>
    </row>
    <row r="2524" spans="1:15" s="1" customFormat="1" ht="11.45" customHeight="1" outlineLevel="5" x14ac:dyDescent="0.2">
      <c r="A2524" s="32" t="s">
        <v>22079</v>
      </c>
      <c r="B2524" s="74" t="s">
        <v>22080</v>
      </c>
      <c r="C2524" s="50"/>
      <c r="D2524" s="139">
        <f t="shared" si="39"/>
        <v>0</v>
      </c>
      <c r="E2524" s="140">
        <v>1762.05</v>
      </c>
      <c r="F2524" s="140">
        <v>1444.3</v>
      </c>
      <c r="G2524" s="34" t="s">
        <v>100</v>
      </c>
      <c r="H2524" s="34" t="s">
        <v>39</v>
      </c>
      <c r="I2524" s="35">
        <v>1</v>
      </c>
      <c r="J2524" s="35">
        <v>1</v>
      </c>
      <c r="K2524" s="35">
        <v>25</v>
      </c>
      <c r="L2524" s="60" t="str">
        <f>HYPERLINK("https://www.sds-group.ru/product/girlyanda-svetodiodnaya-bahroma-aysikl-4-0h0-6m-128-led-teplyy-belyy-chernyy-kauchuk-2-3mm-255-236-6/", "Инфо")</f>
        <v>Инфо</v>
      </c>
      <c r="M2524" s="37">
        <v>0.65600000000000003</v>
      </c>
      <c r="N2524" s="38">
        <v>2.3180000000000002E-3</v>
      </c>
      <c r="O2524" s="141">
        <v>4601004280076</v>
      </c>
    </row>
    <row r="2525" spans="1:15" ht="11.45" customHeight="1" outlineLevel="2" x14ac:dyDescent="0.2">
      <c r="A2525" s="76" t="s">
        <v>22125</v>
      </c>
      <c r="B2525" s="136"/>
      <c r="C2525" s="77"/>
      <c r="D2525" s="137"/>
      <c r="E2525" s="4"/>
      <c r="F2525" s="4"/>
      <c r="G2525" s="4"/>
      <c r="H2525" s="4"/>
      <c r="I2525" s="4"/>
      <c r="J2525" s="4"/>
      <c r="K2525" s="4"/>
      <c r="L2525" s="138"/>
      <c r="M2525" s="4"/>
      <c r="N2525" s="4"/>
      <c r="O2525" s="4"/>
    </row>
    <row r="2526" spans="1:15" ht="11.45" customHeight="1" outlineLevel="3" x14ac:dyDescent="0.2">
      <c r="A2526" s="76" t="s">
        <v>22126</v>
      </c>
      <c r="B2526" s="136"/>
      <c r="C2526" s="77"/>
      <c r="D2526" s="137"/>
      <c r="E2526" s="4"/>
      <c r="F2526" s="4"/>
      <c r="G2526" s="4"/>
      <c r="H2526" s="4"/>
      <c r="I2526" s="4"/>
      <c r="J2526" s="4"/>
      <c r="K2526" s="4"/>
      <c r="L2526" s="138"/>
      <c r="M2526" s="4"/>
      <c r="N2526" s="4"/>
      <c r="O2526" s="4"/>
    </row>
    <row r="2527" spans="1:15" ht="11.45" customHeight="1" outlineLevel="4" x14ac:dyDescent="0.2">
      <c r="A2527" s="76" t="s">
        <v>22127</v>
      </c>
      <c r="B2527" s="136"/>
      <c r="C2527" s="77"/>
      <c r="D2527" s="137"/>
      <c r="E2527" s="4"/>
      <c r="F2527" s="4"/>
      <c r="G2527" s="4"/>
      <c r="H2527" s="4"/>
      <c r="I2527" s="4"/>
      <c r="J2527" s="4"/>
      <c r="K2527" s="4"/>
      <c r="L2527" s="138"/>
      <c r="M2527" s="4"/>
      <c r="N2527" s="4"/>
      <c r="O2527" s="4"/>
    </row>
    <row r="2528" spans="1:15" s="1" customFormat="1" ht="11.45" customHeight="1" outlineLevel="5" x14ac:dyDescent="0.2">
      <c r="A2528" s="32" t="s">
        <v>22128</v>
      </c>
      <c r="B2528" s="74" t="s">
        <v>22129</v>
      </c>
      <c r="C2528" s="50"/>
      <c r="D2528" s="139">
        <f t="shared" si="39"/>
        <v>0</v>
      </c>
      <c r="E2528" s="140">
        <v>1470.37</v>
      </c>
      <c r="F2528" s="140">
        <v>1205.22</v>
      </c>
      <c r="G2528" s="34" t="s">
        <v>100</v>
      </c>
      <c r="H2528" s="34" t="s">
        <v>39</v>
      </c>
      <c r="I2528" s="35">
        <v>1</v>
      </c>
      <c r="J2528" s="35">
        <v>1</v>
      </c>
      <c r="K2528" s="35">
        <v>10</v>
      </c>
      <c r="L2528" s="60" t="str">
        <f>HYPERLINK("https://www.sds-group.ru/product/girlyanda-svetodiodnaya-set-2h0-7m-176-led-belyy-siniy-chernyy-pvh-ip65-svechenie-s-dinamiko-215-012/", "Инфо")</f>
        <v>Инфо</v>
      </c>
      <c r="M2528" s="37">
        <v>1.4</v>
      </c>
      <c r="N2528" s="38">
        <v>6.2500000000000003E-3</v>
      </c>
      <c r="O2528" s="141">
        <v>4601004013247</v>
      </c>
    </row>
    <row r="2529" spans="1:15" s="1" customFormat="1" ht="11.45" customHeight="1" outlineLevel="5" x14ac:dyDescent="0.2">
      <c r="A2529" s="32" t="s">
        <v>22130</v>
      </c>
      <c r="B2529" s="74" t="s">
        <v>22131</v>
      </c>
      <c r="C2529" s="50"/>
      <c r="D2529" s="139">
        <f t="shared" si="39"/>
        <v>0</v>
      </c>
      <c r="E2529" s="140">
        <v>781.3</v>
      </c>
      <c r="F2529" s="140">
        <v>640.41</v>
      </c>
      <c r="G2529" s="34" t="s">
        <v>100</v>
      </c>
      <c r="H2529" s="34" t="s">
        <v>39</v>
      </c>
      <c r="I2529" s="35">
        <v>1</v>
      </c>
      <c r="J2529" s="35">
        <v>1</v>
      </c>
      <c r="K2529" s="35">
        <v>10</v>
      </c>
      <c r="L2529" s="60" t="str">
        <f>HYPERLINK("https://www.sds-group.ru/product/girlyanda-svetodiodnaya-set-2h0-7m-176-led-krasnyy-siniy-chernyy-pvh-ip65-svechenie-s-dinami-215-013/", "Инфо")</f>
        <v>Инфо</v>
      </c>
      <c r="M2529" s="37">
        <v>1.22</v>
      </c>
      <c r="N2529" s="38">
        <v>4.5999999999999999E-3</v>
      </c>
      <c r="O2529" s="141">
        <v>4601004001565</v>
      </c>
    </row>
    <row r="2530" spans="1:15" ht="11.45" customHeight="1" outlineLevel="4" x14ac:dyDescent="0.2">
      <c r="A2530" s="76" t="s">
        <v>22132</v>
      </c>
      <c r="B2530" s="136"/>
      <c r="C2530" s="77"/>
      <c r="D2530" s="137"/>
      <c r="E2530" s="4"/>
      <c r="F2530" s="4"/>
      <c r="G2530" s="4"/>
      <c r="H2530" s="4"/>
      <c r="I2530" s="4"/>
      <c r="J2530" s="4"/>
      <c r="K2530" s="4"/>
      <c r="L2530" s="138"/>
      <c r="M2530" s="4"/>
      <c r="N2530" s="4"/>
      <c r="O2530" s="4"/>
    </row>
    <row r="2531" spans="1:15" s="1" customFormat="1" ht="11.45" customHeight="1" outlineLevel="5" x14ac:dyDescent="0.2">
      <c r="A2531" s="32" t="s">
        <v>22137</v>
      </c>
      <c r="B2531" s="74" t="s">
        <v>22138</v>
      </c>
      <c r="C2531" s="50"/>
      <c r="D2531" s="139">
        <f t="shared" si="39"/>
        <v>0</v>
      </c>
      <c r="E2531" s="140">
        <v>3417.82</v>
      </c>
      <c r="F2531" s="140">
        <v>2801.49</v>
      </c>
      <c r="G2531" s="34" t="s">
        <v>100</v>
      </c>
      <c r="H2531" s="34" t="s">
        <v>39</v>
      </c>
      <c r="I2531" s="35">
        <v>1</v>
      </c>
      <c r="J2531" s="35">
        <v>1</v>
      </c>
      <c r="K2531" s="35">
        <v>10</v>
      </c>
      <c r="L2531" s="60" t="str">
        <f>HYPERLINK("https://www.sds-group.ru/product/girlyanda-svetodiodnaya-set-2h1-5m-288-led-belyy-siniy-chernyy-pvh-ip65-svechenie-s-dinamiko-215-022/", "Инфо")</f>
        <v>Инфо</v>
      </c>
      <c r="M2531" s="37">
        <v>1.716</v>
      </c>
      <c r="N2531" s="38">
        <v>1.6785999999999999E-2</v>
      </c>
      <c r="O2531" s="141">
        <v>4601004001596</v>
      </c>
    </row>
    <row r="2532" spans="1:15" s="1" customFormat="1" ht="11.45" customHeight="1" outlineLevel="5" x14ac:dyDescent="0.2">
      <c r="A2532" s="32" t="s">
        <v>22139</v>
      </c>
      <c r="B2532" s="74" t="s">
        <v>22140</v>
      </c>
      <c r="C2532" s="50"/>
      <c r="D2532" s="139">
        <f t="shared" si="39"/>
        <v>0</v>
      </c>
      <c r="E2532" s="140">
        <v>1816.37</v>
      </c>
      <c r="F2532" s="140">
        <v>1488.83</v>
      </c>
      <c r="G2532" s="34" t="s">
        <v>100</v>
      </c>
      <c r="H2532" s="34" t="s">
        <v>39</v>
      </c>
      <c r="I2532" s="35">
        <v>1</v>
      </c>
      <c r="J2532" s="35">
        <v>1</v>
      </c>
      <c r="K2532" s="35">
        <v>10</v>
      </c>
      <c r="L2532" s="60" t="str">
        <f>HYPERLINK("https://www.sds-group.ru/product/girlyanda-svetodiodnaya-set-2h1-5m-288-led-krasnyy-siniy-chernyy-pvh-ip65-svechenie-s-dinami-215-023/", "Инфо")</f>
        <v>Инфо</v>
      </c>
      <c r="M2532" s="37">
        <v>1.5860000000000001</v>
      </c>
      <c r="N2532" s="38">
        <v>5.6129999999999999E-3</v>
      </c>
      <c r="O2532" s="141">
        <v>4601004001572</v>
      </c>
    </row>
    <row r="2533" spans="1:15" s="1" customFormat="1" ht="11.45" customHeight="1" outlineLevel="5" x14ac:dyDescent="0.2">
      <c r="A2533" s="32" t="s">
        <v>22141</v>
      </c>
      <c r="B2533" s="74" t="s">
        <v>22142</v>
      </c>
      <c r="C2533" s="50"/>
      <c r="D2533" s="139">
        <f t="shared" si="39"/>
        <v>0</v>
      </c>
      <c r="E2533" s="140">
        <v>3622.89</v>
      </c>
      <c r="F2533" s="140">
        <v>2969.58</v>
      </c>
      <c r="G2533" s="34" t="s">
        <v>100</v>
      </c>
      <c r="H2533" s="34" t="s">
        <v>39</v>
      </c>
      <c r="I2533" s="35">
        <v>1</v>
      </c>
      <c r="J2533" s="35">
        <v>1</v>
      </c>
      <c r="K2533" s="35">
        <v>10</v>
      </c>
      <c r="L2533" s="60" t="str">
        <f>HYPERLINK("https://www.sds-group.ru/product/girlyanda-svetodiodnaya-set-2h1-5m-288-led-multi-chernyy-pvh-ip65-postoyannoe-svechenie-230v-215-029/", "Инфо")</f>
        <v>Инфо</v>
      </c>
      <c r="M2533" s="37">
        <v>1.6120000000000001</v>
      </c>
      <c r="N2533" s="38">
        <v>6.0419999999999996E-3</v>
      </c>
      <c r="O2533" s="141">
        <v>4601004001602</v>
      </c>
    </row>
    <row r="2534" spans="1:15" s="1" customFormat="1" ht="11.45" customHeight="1" outlineLevel="5" x14ac:dyDescent="0.2">
      <c r="A2534" s="32" t="s">
        <v>22143</v>
      </c>
      <c r="B2534" s="74" t="s">
        <v>22144</v>
      </c>
      <c r="C2534" s="50"/>
      <c r="D2534" s="139">
        <f t="shared" si="39"/>
        <v>0</v>
      </c>
      <c r="E2534" s="140">
        <v>3417.82</v>
      </c>
      <c r="F2534" s="140">
        <v>2801.49</v>
      </c>
      <c r="G2534" s="34" t="s">
        <v>100</v>
      </c>
      <c r="H2534" s="34" t="s">
        <v>39</v>
      </c>
      <c r="I2534" s="35">
        <v>1</v>
      </c>
      <c r="J2534" s="35">
        <v>1</v>
      </c>
      <c r="K2534" s="35">
        <v>20</v>
      </c>
      <c r="L2534" s="60" t="str">
        <f>HYPERLINK("https://www.sds-group.ru/product/girlyanda-svetodiodnaya-set-2h1-5m-288-led-siniy-prozrachnyy-pvh-ip65-svechenie-s-dinamikoy--215-043/", "Инфо")</f>
        <v>Инфо</v>
      </c>
      <c r="M2534" s="37">
        <v>1.5269999999999999</v>
      </c>
      <c r="N2534" s="38">
        <v>5.8430000000000001E-3</v>
      </c>
      <c r="O2534" s="141">
        <v>4601004092235</v>
      </c>
    </row>
    <row r="2535" spans="1:15" s="1" customFormat="1" ht="11.45" customHeight="1" outlineLevel="5" x14ac:dyDescent="0.2">
      <c r="A2535" s="32" t="s">
        <v>22149</v>
      </c>
      <c r="B2535" s="74" t="s">
        <v>22150</v>
      </c>
      <c r="C2535" s="50"/>
      <c r="D2535" s="139">
        <f t="shared" si="39"/>
        <v>0</v>
      </c>
      <c r="E2535" s="140">
        <v>1806.59</v>
      </c>
      <c r="F2535" s="140">
        <v>1480.81</v>
      </c>
      <c r="G2535" s="34" t="s">
        <v>100</v>
      </c>
      <c r="H2535" s="34" t="s">
        <v>39</v>
      </c>
      <c r="I2535" s="35">
        <v>1</v>
      </c>
      <c r="J2535" s="35">
        <v>1</v>
      </c>
      <c r="K2535" s="35">
        <v>20</v>
      </c>
      <c r="L2535" s="60" t="str">
        <f>HYPERLINK("https://www.sds-group.ru/product/girlyanda-set-2h1-5m-svechenie-s-dinamikoy-prozrachnyy-pvh-288-led-230-v-tsvet-zheltyy-215-041/", "Инфо")</f>
        <v>Инфо</v>
      </c>
      <c r="M2535" s="37">
        <v>1.0149999999999999</v>
      </c>
      <c r="N2535" s="38">
        <v>6.3610000000000003E-3</v>
      </c>
      <c r="O2535" s="141">
        <v>4601004093133</v>
      </c>
    </row>
    <row r="2536" spans="1:15" ht="11.45" customHeight="1" outlineLevel="4" x14ac:dyDescent="0.2">
      <c r="A2536" s="76" t="s">
        <v>22151</v>
      </c>
      <c r="B2536" s="136"/>
      <c r="C2536" s="77"/>
      <c r="D2536" s="137"/>
      <c r="E2536" s="4"/>
      <c r="F2536" s="4"/>
      <c r="G2536" s="4"/>
      <c r="H2536" s="4"/>
      <c r="I2536" s="4"/>
      <c r="J2536" s="4"/>
      <c r="K2536" s="4"/>
      <c r="L2536" s="138"/>
      <c r="M2536" s="4"/>
      <c r="N2536" s="4"/>
      <c r="O2536" s="4"/>
    </row>
    <row r="2537" spans="1:15" s="1" customFormat="1" ht="11.45" customHeight="1" outlineLevel="5" x14ac:dyDescent="0.2">
      <c r="A2537" s="32" t="s">
        <v>22152</v>
      </c>
      <c r="B2537" s="74" t="s">
        <v>22153</v>
      </c>
      <c r="C2537" s="50"/>
      <c r="D2537" s="139">
        <f t="shared" si="39"/>
        <v>0</v>
      </c>
      <c r="E2537" s="140">
        <v>1835.52</v>
      </c>
      <c r="F2537" s="140">
        <v>1504.52</v>
      </c>
      <c r="G2537" s="34" t="s">
        <v>100</v>
      </c>
      <c r="H2537" s="34" t="s">
        <v>39</v>
      </c>
      <c r="I2537" s="35">
        <v>1</v>
      </c>
      <c r="J2537" s="35">
        <v>1</v>
      </c>
      <c r="K2537" s="35">
        <v>10</v>
      </c>
      <c r="L2537" s="60" t="str">
        <f>HYPERLINK("https://www.sds-group.ru/product/girlyanda-svetodiodnaya-set-1h1-5m-160-led-belyy-chernyy-pvh-ip65-svechenie-s-dinamikoy-230v-215-115/", "Инфо")</f>
        <v>Инфо</v>
      </c>
      <c r="M2537" s="37">
        <v>0.74</v>
      </c>
      <c r="N2537" s="38">
        <v>2.6419999999999998E-3</v>
      </c>
      <c r="O2537" s="141">
        <v>4601004086203</v>
      </c>
    </row>
    <row r="2538" spans="1:15" s="1" customFormat="1" ht="11.45" customHeight="1" outlineLevel="5" x14ac:dyDescent="0.2">
      <c r="A2538" s="32" t="s">
        <v>22156</v>
      </c>
      <c r="B2538" s="74" t="s">
        <v>22157</v>
      </c>
      <c r="C2538" s="50"/>
      <c r="D2538" s="139">
        <f t="shared" si="39"/>
        <v>0</v>
      </c>
      <c r="E2538" s="140">
        <v>1835.52</v>
      </c>
      <c r="F2538" s="140">
        <v>1504.52</v>
      </c>
      <c r="G2538" s="34" t="s">
        <v>100</v>
      </c>
      <c r="H2538" s="34" t="s">
        <v>39</v>
      </c>
      <c r="I2538" s="35">
        <v>1</v>
      </c>
      <c r="J2538" s="35">
        <v>1</v>
      </c>
      <c r="K2538" s="35">
        <v>10</v>
      </c>
      <c r="L2538" s="60" t="str">
        <f>HYPERLINK("https://www.sds-group.ru/product/girlyanda-svetodiodnaya-set-1h1-5m-160-led-teplyy-belyy-chernyy-pvh-ip65-svechenie-s-dinamik-215-116/", "Инфо")</f>
        <v>Инфо</v>
      </c>
      <c r="M2538" s="37">
        <v>1.018</v>
      </c>
      <c r="N2538" s="38">
        <v>3.5980000000000001E-3</v>
      </c>
      <c r="O2538" s="141">
        <v>4601004086210</v>
      </c>
    </row>
    <row r="2539" spans="1:15" ht="11.45" customHeight="1" outlineLevel="4" x14ac:dyDescent="0.2">
      <c r="A2539" s="76" t="s">
        <v>22158</v>
      </c>
      <c r="B2539" s="136"/>
      <c r="C2539" s="77"/>
      <c r="D2539" s="137"/>
      <c r="E2539" s="4"/>
      <c r="F2539" s="4"/>
      <c r="G2539" s="4"/>
      <c r="H2539" s="4"/>
      <c r="I2539" s="4"/>
      <c r="J2539" s="4"/>
      <c r="K2539" s="4"/>
      <c r="L2539" s="138"/>
      <c r="M2539" s="4"/>
      <c r="N2539" s="4"/>
      <c r="O2539" s="4"/>
    </row>
    <row r="2540" spans="1:15" s="1" customFormat="1" ht="11.45" customHeight="1" outlineLevel="5" x14ac:dyDescent="0.2">
      <c r="A2540" s="32" t="s">
        <v>22159</v>
      </c>
      <c r="B2540" s="74" t="s">
        <v>22160</v>
      </c>
      <c r="C2540" s="50"/>
      <c r="D2540" s="139">
        <f t="shared" si="39"/>
        <v>0</v>
      </c>
      <c r="E2540" s="140">
        <v>1690.81</v>
      </c>
      <c r="F2540" s="140">
        <v>1385.91</v>
      </c>
      <c r="G2540" s="34" t="s">
        <v>100</v>
      </c>
      <c r="H2540" s="34" t="s">
        <v>39</v>
      </c>
      <c r="I2540" s="35">
        <v>1</v>
      </c>
      <c r="J2540" s="35">
        <v>1</v>
      </c>
      <c r="K2540" s="35">
        <v>10</v>
      </c>
      <c r="L2540" s="60" t="str">
        <f>HYPERLINK("https://www.sds-group.ru/product/girlyanda-svetodiodnaya-set-treugolnaya-1-5h2h2m-136-led-belyy-prozrachnyy-pvh-ip65-svecheni-215-055/", "Инфо")</f>
        <v>Инфо</v>
      </c>
      <c r="M2540" s="37">
        <v>0.95699999999999996</v>
      </c>
      <c r="N2540" s="38">
        <v>3.4919999999999999E-3</v>
      </c>
      <c r="O2540" s="141">
        <v>4601004257474</v>
      </c>
    </row>
    <row r="2541" spans="1:15" s="1" customFormat="1" ht="11.45" customHeight="1" outlineLevel="5" x14ac:dyDescent="0.2">
      <c r="A2541" s="32" t="s">
        <v>22161</v>
      </c>
      <c r="B2541" s="74" t="s">
        <v>22162</v>
      </c>
      <c r="C2541" s="50"/>
      <c r="D2541" s="139">
        <f t="shared" si="39"/>
        <v>0</v>
      </c>
      <c r="E2541" s="140">
        <v>1983.04</v>
      </c>
      <c r="F2541" s="140">
        <v>1625.44</v>
      </c>
      <c r="G2541" s="34" t="s">
        <v>100</v>
      </c>
      <c r="H2541" s="34" t="s">
        <v>39</v>
      </c>
      <c r="I2541" s="35">
        <v>1</v>
      </c>
      <c r="J2541" s="35">
        <v>1</v>
      </c>
      <c r="K2541" s="35">
        <v>10</v>
      </c>
      <c r="L2541" s="60" t="str">
        <f>HYPERLINK("https://www.sds-group.ru/product/girlyanda-svetodiodnaya-set-treugolnaya-1-5h2h2m-136-led-belyy-chernyy-pvh-ip65-svechenie-s--215-005/", "Инфо")</f>
        <v>Инфо</v>
      </c>
      <c r="M2541" s="37">
        <v>1.0209999999999999</v>
      </c>
      <c r="N2541" s="38">
        <v>3.8530000000000001E-3</v>
      </c>
      <c r="O2541" s="141">
        <v>4601004093089</v>
      </c>
    </row>
    <row r="2542" spans="1:15" s="1" customFormat="1" ht="11.45" customHeight="1" outlineLevel="5" x14ac:dyDescent="0.2">
      <c r="A2542" s="32" t="s">
        <v>22163</v>
      </c>
      <c r="B2542" s="74" t="s">
        <v>22164</v>
      </c>
      <c r="C2542" s="50"/>
      <c r="D2542" s="139">
        <f t="shared" si="39"/>
        <v>0</v>
      </c>
      <c r="E2542" s="140">
        <v>1227.43</v>
      </c>
      <c r="F2542" s="140">
        <v>1006.09</v>
      </c>
      <c r="G2542" s="34" t="s">
        <v>100</v>
      </c>
      <c r="H2542" s="34" t="s">
        <v>39</v>
      </c>
      <c r="I2542" s="35">
        <v>1</v>
      </c>
      <c r="J2542" s="35">
        <v>1</v>
      </c>
      <c r="K2542" s="35">
        <v>10</v>
      </c>
      <c r="L2542" s="60" t="str">
        <f>HYPERLINK("https://www.sds-group.ru/product/girlyanda-svetodiodnaya-set-treugolnaya-1-5h2h2m-136-led-multi-prozrachnyy-pvh-ip65-svecheni-215-059/", "Инфо")</f>
        <v>Инфо</v>
      </c>
      <c r="M2542" s="37">
        <v>0.95299999999999996</v>
      </c>
      <c r="N2542" s="38">
        <v>3.4329999999999999E-3</v>
      </c>
      <c r="O2542" s="141">
        <v>4601004257498</v>
      </c>
    </row>
    <row r="2543" spans="1:15" s="1" customFormat="1" ht="11.45" customHeight="1" outlineLevel="5" x14ac:dyDescent="0.2">
      <c r="A2543" s="32" t="s">
        <v>22165</v>
      </c>
      <c r="B2543" s="74" t="s">
        <v>22166</v>
      </c>
      <c r="C2543" s="50"/>
      <c r="D2543" s="139">
        <f t="shared" si="39"/>
        <v>0</v>
      </c>
      <c r="E2543" s="140">
        <v>1601.81</v>
      </c>
      <c r="F2543" s="140">
        <v>1312.96</v>
      </c>
      <c r="G2543" s="34" t="s">
        <v>100</v>
      </c>
      <c r="H2543" s="34" t="s">
        <v>39</v>
      </c>
      <c r="I2543" s="35">
        <v>1</v>
      </c>
      <c r="J2543" s="35">
        <v>1</v>
      </c>
      <c r="K2543" s="35">
        <v>10</v>
      </c>
      <c r="L2543" s="60" t="str">
        <f>HYPERLINK("https://www.sds-group.ru/product/girlyanda-svetodiodnaya-set-treugolnaya-1-5h2h2m-136-led-multi-chernyy-pvh-ip65-svechenie-s--215-009/", "Инфо")</f>
        <v>Инфо</v>
      </c>
      <c r="M2543" s="37">
        <v>1.016</v>
      </c>
      <c r="N2543" s="38">
        <v>4.3319999999999999E-3</v>
      </c>
      <c r="O2543" s="141">
        <v>4601004093102</v>
      </c>
    </row>
    <row r="2544" spans="1:15" s="1" customFormat="1" ht="11.45" customHeight="1" outlineLevel="5" x14ac:dyDescent="0.2">
      <c r="A2544" s="32" t="s">
        <v>22167</v>
      </c>
      <c r="B2544" s="74" t="s">
        <v>22168</v>
      </c>
      <c r="C2544" s="50"/>
      <c r="D2544" s="139">
        <f t="shared" si="39"/>
        <v>0</v>
      </c>
      <c r="E2544" s="140">
        <v>1301.07</v>
      </c>
      <c r="F2544" s="140">
        <v>1066.45</v>
      </c>
      <c r="G2544" s="34" t="s">
        <v>100</v>
      </c>
      <c r="H2544" s="34" t="s">
        <v>39</v>
      </c>
      <c r="I2544" s="35">
        <v>1</v>
      </c>
      <c r="J2544" s="35">
        <v>1</v>
      </c>
      <c r="K2544" s="35">
        <v>10</v>
      </c>
      <c r="L2544" s="60" t="str">
        <f>HYPERLINK("https://www.sds-group.ru/product/girlyanda-svetodiodnaya-set-treugolnaya-1-5h2h2m-136-led-teplyy-belyy-chernyy-pvh-ip65-svech-215-006/", "Инфо")</f>
        <v>Инфо</v>
      </c>
      <c r="M2544" s="37">
        <v>1.016</v>
      </c>
      <c r="N2544" s="38">
        <v>2.2409999999999999E-3</v>
      </c>
      <c r="O2544" s="141">
        <v>4601004093096</v>
      </c>
    </row>
    <row r="2545" spans="1:15" ht="11.45" customHeight="1" outlineLevel="4" x14ac:dyDescent="0.2">
      <c r="A2545" s="76" t="s">
        <v>22169</v>
      </c>
      <c r="B2545" s="136"/>
      <c r="C2545" s="77"/>
      <c r="D2545" s="137"/>
      <c r="E2545" s="4"/>
      <c r="F2545" s="4"/>
      <c r="G2545" s="4"/>
      <c r="H2545" s="4"/>
      <c r="I2545" s="4"/>
      <c r="J2545" s="4"/>
      <c r="K2545" s="4"/>
      <c r="L2545" s="138"/>
      <c r="M2545" s="4"/>
      <c r="N2545" s="4"/>
      <c r="O2545" s="4"/>
    </row>
    <row r="2546" spans="1:15" s="1" customFormat="1" ht="11.45" customHeight="1" outlineLevel="5" x14ac:dyDescent="0.2">
      <c r="A2546" s="32" t="s">
        <v>22170</v>
      </c>
      <c r="B2546" s="74" t="s">
        <v>22171</v>
      </c>
      <c r="C2546" s="50"/>
      <c r="D2546" s="139">
        <f t="shared" si="39"/>
        <v>0</v>
      </c>
      <c r="E2546" s="140">
        <v>4361.83</v>
      </c>
      <c r="F2546" s="140">
        <v>3575.27</v>
      </c>
      <c r="G2546" s="34" t="s">
        <v>100</v>
      </c>
      <c r="H2546" s="34" t="s">
        <v>39</v>
      </c>
      <c r="I2546" s="35">
        <v>1</v>
      </c>
      <c r="J2546" s="35">
        <v>1</v>
      </c>
      <c r="K2546" s="35">
        <v>5</v>
      </c>
      <c r="L2546" s="60" t="str">
        <f>HYPERLINK("https://www.sds-group.ru/product/girlyanda-svetodiodnaya-set-2-5h2-5m-432-led-belyy-chernyy-pvh-ip65-svechenie-s-dinamikoy-23-215-031/", "Инфо")</f>
        <v>Инфо</v>
      </c>
      <c r="M2546" s="37">
        <v>2.5990000000000002</v>
      </c>
      <c r="N2546" s="38">
        <v>9.1549999999999999E-3</v>
      </c>
      <c r="O2546" s="141">
        <v>4601004013254</v>
      </c>
    </row>
    <row r="2547" spans="1:15" s="1" customFormat="1" ht="11.45" customHeight="1" outlineLevel="5" x14ac:dyDescent="0.2">
      <c r="A2547" s="32" t="s">
        <v>22172</v>
      </c>
      <c r="B2547" s="74" t="s">
        <v>22173</v>
      </c>
      <c r="C2547" s="50"/>
      <c r="D2547" s="139">
        <f t="shared" si="39"/>
        <v>0</v>
      </c>
      <c r="E2547" s="140">
        <v>4584.57</v>
      </c>
      <c r="F2547" s="140">
        <v>3757.84</v>
      </c>
      <c r="G2547" s="34" t="s">
        <v>100</v>
      </c>
      <c r="H2547" s="34" t="s">
        <v>39</v>
      </c>
      <c r="I2547" s="35">
        <v>1</v>
      </c>
      <c r="J2547" s="35">
        <v>1</v>
      </c>
      <c r="K2547" s="35">
        <v>5</v>
      </c>
      <c r="L2547" s="60" t="str">
        <f>HYPERLINK("https://www.sds-group.ru/product/girlyanda-svetodiodnaya-set-2-5h2-5m-432-led-belyy-siniy-chernyy-pvh-ip65-postoyannoe-sveche-215-032/", "Инфо")</f>
        <v>Инфо</v>
      </c>
      <c r="M2547" s="37">
        <v>2.548</v>
      </c>
      <c r="N2547" s="38">
        <v>9.0840000000000001E-3</v>
      </c>
      <c r="O2547" s="141">
        <v>4601004003743</v>
      </c>
    </row>
    <row r="2548" spans="1:15" ht="11.45" customHeight="1" outlineLevel="3" x14ac:dyDescent="0.2">
      <c r="A2548" s="76" t="s">
        <v>22176</v>
      </c>
      <c r="B2548" s="136"/>
      <c r="C2548" s="77"/>
      <c r="D2548" s="137"/>
      <c r="E2548" s="4"/>
      <c r="F2548" s="4"/>
      <c r="G2548" s="4"/>
      <c r="H2548" s="4"/>
      <c r="I2548" s="4"/>
      <c r="J2548" s="4"/>
      <c r="K2548" s="4"/>
      <c r="L2548" s="138"/>
      <c r="M2548" s="4"/>
      <c r="N2548" s="4"/>
      <c r="O2548" s="4"/>
    </row>
    <row r="2549" spans="1:15" ht="11.45" customHeight="1" outlineLevel="4" x14ac:dyDescent="0.2">
      <c r="A2549" s="76" t="s">
        <v>22177</v>
      </c>
      <c r="B2549" s="136"/>
      <c r="C2549" s="77"/>
      <c r="D2549" s="137"/>
      <c r="E2549" s="4"/>
      <c r="F2549" s="4"/>
      <c r="G2549" s="4"/>
      <c r="H2549" s="4"/>
      <c r="I2549" s="4"/>
      <c r="J2549" s="4"/>
      <c r="K2549" s="4"/>
      <c r="L2549" s="138"/>
      <c r="M2549" s="4"/>
      <c r="N2549" s="4"/>
      <c r="O2549" s="4"/>
    </row>
    <row r="2550" spans="1:15" s="1" customFormat="1" ht="11.45" customHeight="1" outlineLevel="5" x14ac:dyDescent="0.2">
      <c r="A2550" s="32" t="s">
        <v>22178</v>
      </c>
      <c r="B2550" s="74" t="s">
        <v>22179</v>
      </c>
      <c r="C2550" s="50"/>
      <c r="D2550" s="139">
        <f t="shared" si="39"/>
        <v>0</v>
      </c>
      <c r="E2550" s="140">
        <v>3796.02</v>
      </c>
      <c r="F2550" s="140">
        <v>3111.49</v>
      </c>
      <c r="G2550" s="34" t="s">
        <v>100</v>
      </c>
      <c r="H2550" s="34" t="s">
        <v>39</v>
      </c>
      <c r="I2550" s="35">
        <v>1</v>
      </c>
      <c r="J2550" s="35">
        <v>1</v>
      </c>
      <c r="K2550" s="35">
        <v>10</v>
      </c>
      <c r="L2550" s="60" t="str">
        <f>HYPERLINK("https://www.sds-group.ru/product/girlyanda-svetodiodnaya-set-2x1-5m-288-led-belyy-chernyy-kauchuk-ip67-postoyannoe-svechenie--217-115/", "Инфо")</f>
        <v>Инфо</v>
      </c>
      <c r="M2550" s="37">
        <v>2.0529999999999999</v>
      </c>
      <c r="N2550" s="38">
        <v>5.2680000000000001E-3</v>
      </c>
      <c r="O2550" s="141">
        <v>4601004012509</v>
      </c>
    </row>
    <row r="2551" spans="1:15" s="1" customFormat="1" ht="11.45" customHeight="1" outlineLevel="5" x14ac:dyDescent="0.2">
      <c r="A2551" s="32" t="s">
        <v>22180</v>
      </c>
      <c r="B2551" s="74" t="s">
        <v>22181</v>
      </c>
      <c r="C2551" s="50"/>
      <c r="D2551" s="139">
        <f t="shared" si="39"/>
        <v>0</v>
      </c>
      <c r="E2551" s="140">
        <v>3416.42</v>
      </c>
      <c r="F2551" s="140">
        <v>2800.34</v>
      </c>
      <c r="G2551" s="34" t="s">
        <v>100</v>
      </c>
      <c r="H2551" s="34" t="s">
        <v>39</v>
      </c>
      <c r="I2551" s="35">
        <v>1</v>
      </c>
      <c r="J2551" s="35">
        <v>1</v>
      </c>
      <c r="K2551" s="35">
        <v>6</v>
      </c>
      <c r="L2551" s="60" t="str">
        <f>HYPERLINK("https://www.sds-group.ru/product/girlyanda-svetodiodnaya-set-2x1-5m-288-led-multi-chernyy-kauchuk-ip67-postoyannoe-svechenie--217-119/", "Инфо")</f>
        <v>Инфо</v>
      </c>
      <c r="M2551" s="37">
        <v>1.8540000000000001</v>
      </c>
      <c r="N2551" s="38">
        <v>6.7879999999999998E-3</v>
      </c>
      <c r="O2551" s="141">
        <v>4601004012516</v>
      </c>
    </row>
    <row r="2552" spans="1:15" ht="11.45" customHeight="1" outlineLevel="4" x14ac:dyDescent="0.2">
      <c r="A2552" s="76" t="s">
        <v>22193</v>
      </c>
      <c r="B2552" s="136"/>
      <c r="C2552" s="77"/>
      <c r="D2552" s="137"/>
      <c r="E2552" s="4"/>
      <c r="F2552" s="4"/>
      <c r="G2552" s="4"/>
      <c r="H2552" s="4"/>
      <c r="I2552" s="4"/>
      <c r="J2552" s="4"/>
      <c r="K2552" s="4"/>
      <c r="L2552" s="138"/>
      <c r="M2552" s="4"/>
      <c r="N2552" s="4"/>
      <c r="O2552" s="4"/>
    </row>
    <row r="2553" spans="1:15" s="1" customFormat="1" ht="11.45" customHeight="1" outlineLevel="5" x14ac:dyDescent="0.2">
      <c r="A2553" s="32" t="s">
        <v>22194</v>
      </c>
      <c r="B2553" s="74" t="s">
        <v>22195</v>
      </c>
      <c r="C2553" s="50"/>
      <c r="D2553" s="139">
        <f t="shared" si="39"/>
        <v>0</v>
      </c>
      <c r="E2553" s="140">
        <v>7344.83</v>
      </c>
      <c r="F2553" s="140">
        <v>6020.35</v>
      </c>
      <c r="G2553" s="34" t="s">
        <v>100</v>
      </c>
      <c r="H2553" s="34" t="s">
        <v>39</v>
      </c>
      <c r="I2553" s="35">
        <v>1</v>
      </c>
      <c r="J2553" s="35">
        <v>1</v>
      </c>
      <c r="K2553" s="35">
        <v>5</v>
      </c>
      <c r="L2553" s="60" t="str">
        <f>HYPERLINK("https://www.sds-group.ru/product/girlyanda-svetodiodnaya-set-2x4m-560-led-belyy-chernyy-kauchuk-ip67-postoyannoe-svechenie-23-217-135/", "Инфо")</f>
        <v>Инфо</v>
      </c>
      <c r="M2553" s="37">
        <v>3.5779999999999998</v>
      </c>
      <c r="N2553" s="38">
        <v>1.0087E-2</v>
      </c>
      <c r="O2553" s="141">
        <v>4601004012578</v>
      </c>
    </row>
    <row r="2554" spans="1:15" ht="11.45" customHeight="1" outlineLevel="2" x14ac:dyDescent="0.2">
      <c r="A2554" s="76" t="s">
        <v>22196</v>
      </c>
      <c r="B2554" s="136"/>
      <c r="C2554" s="77"/>
      <c r="D2554" s="137"/>
      <c r="E2554" s="4"/>
      <c r="F2554" s="4"/>
      <c r="G2554" s="4"/>
      <c r="H2554" s="4"/>
      <c r="I2554" s="4"/>
      <c r="J2554" s="4"/>
      <c r="K2554" s="4"/>
      <c r="L2554" s="138"/>
      <c r="M2554" s="4"/>
      <c r="N2554" s="4"/>
      <c r="O2554" s="4"/>
    </row>
    <row r="2555" spans="1:15" ht="11.45" customHeight="1" outlineLevel="3" x14ac:dyDescent="0.2">
      <c r="A2555" s="76" t="s">
        <v>22197</v>
      </c>
      <c r="B2555" s="136"/>
      <c r="C2555" s="77"/>
      <c r="D2555" s="137"/>
      <c r="E2555" s="4"/>
      <c r="F2555" s="4"/>
      <c r="G2555" s="4"/>
      <c r="H2555" s="4"/>
      <c r="I2555" s="4"/>
      <c r="J2555" s="4"/>
      <c r="K2555" s="4"/>
      <c r="L2555" s="138"/>
      <c r="M2555" s="4"/>
      <c r="N2555" s="4"/>
      <c r="O2555" s="4"/>
    </row>
    <row r="2556" spans="1:15" s="1" customFormat="1" ht="11.45" customHeight="1" outlineLevel="4" x14ac:dyDescent="0.2">
      <c r="A2556" s="32" t="s">
        <v>22224</v>
      </c>
      <c r="B2556" s="74" t="s">
        <v>22225</v>
      </c>
      <c r="C2556" s="50"/>
      <c r="D2556" s="139">
        <f t="shared" si="39"/>
        <v>0</v>
      </c>
      <c r="E2556" s="140">
        <v>1334.96</v>
      </c>
      <c r="F2556" s="140">
        <v>1094.23</v>
      </c>
      <c r="G2556" s="34" t="s">
        <v>100</v>
      </c>
      <c r="H2556" s="34" t="s">
        <v>39</v>
      </c>
      <c r="I2556" s="35">
        <v>1</v>
      </c>
      <c r="J2556" s="35">
        <v>1</v>
      </c>
      <c r="K2556" s="35">
        <v>25</v>
      </c>
      <c r="L2556" s="60" t="str">
        <f>HYPERLINK("https://www.sds-group.ru/product/girlyanda-svetodiodnaya-nit-10m-100-led-belyy-chernyy-pvh-ip65-effekt-mertsaniya-24v-soediny-305-245/", "Инфо")</f>
        <v>Инфо</v>
      </c>
      <c r="M2556" s="37">
        <v>0.51300000000000001</v>
      </c>
      <c r="N2556" s="38">
        <v>4.6010000000000001E-3</v>
      </c>
      <c r="O2556" s="141">
        <v>4601004092808</v>
      </c>
    </row>
    <row r="2557" spans="1:15" s="1" customFormat="1" ht="11.45" customHeight="1" outlineLevel="4" x14ac:dyDescent="0.2">
      <c r="A2557" s="32" t="s">
        <v>22236</v>
      </c>
      <c r="B2557" s="74" t="s">
        <v>22237</v>
      </c>
      <c r="C2557" s="50"/>
      <c r="D2557" s="139">
        <f t="shared" si="39"/>
        <v>0</v>
      </c>
      <c r="E2557" s="140">
        <v>1334.96</v>
      </c>
      <c r="F2557" s="140">
        <v>1094.23</v>
      </c>
      <c r="G2557" s="34" t="s">
        <v>100</v>
      </c>
      <c r="H2557" s="34" t="s">
        <v>39</v>
      </c>
      <c r="I2557" s="35">
        <v>1</v>
      </c>
      <c r="J2557" s="35">
        <v>1</v>
      </c>
      <c r="K2557" s="35">
        <v>20</v>
      </c>
      <c r="L2557" s="60" t="str">
        <f>HYPERLINK("https://www.sds-group.ru/product/girlyanda-svetodiodnaya-nit-10m-100-led-zheltyy-chernyy-pvh-ip65-effekt-mertsaniya-24v-soedi-305-241/", "Инфо")</f>
        <v>Инфо</v>
      </c>
      <c r="M2557" s="37">
        <v>0.48599999999999999</v>
      </c>
      <c r="N2557" s="38">
        <v>1.769E-3</v>
      </c>
      <c r="O2557" s="141">
        <v>4601004092761</v>
      </c>
    </row>
    <row r="2558" spans="1:15" s="1" customFormat="1" ht="11.45" customHeight="1" outlineLevel="4" x14ac:dyDescent="0.2">
      <c r="A2558" s="32" t="s">
        <v>22246</v>
      </c>
      <c r="B2558" s="74" t="s">
        <v>22247</v>
      </c>
      <c r="C2558" s="50"/>
      <c r="D2558" s="139">
        <f t="shared" si="39"/>
        <v>0</v>
      </c>
      <c r="E2558" s="140">
        <v>1151.3499999999999</v>
      </c>
      <c r="F2558" s="140">
        <v>943.73</v>
      </c>
      <c r="G2558" s="34" t="s">
        <v>100</v>
      </c>
      <c r="H2558" s="34" t="s">
        <v>39</v>
      </c>
      <c r="I2558" s="35">
        <v>1</v>
      </c>
      <c r="J2558" s="35">
        <v>1</v>
      </c>
      <c r="K2558" s="35">
        <v>20</v>
      </c>
      <c r="L2558" s="60" t="str">
        <f>HYPERLINK("https://www.sds-group.ru/product/girlyanda-svetodiodnaya-nit-10m-100-led-krasnyy-belyy-pvh-ip65-postoyannoe-svechenie-230v-so-305-162/", "Инфо")</f>
        <v>Инфо</v>
      </c>
      <c r="M2558" s="37">
        <v>0.59299999999999997</v>
      </c>
      <c r="N2558" s="38">
        <v>2.398E-3</v>
      </c>
      <c r="O2558" s="141">
        <v>4601004092501</v>
      </c>
    </row>
    <row r="2559" spans="1:15" ht="11.45" customHeight="1" outlineLevel="3" x14ac:dyDescent="0.2">
      <c r="A2559" s="76" t="s">
        <v>22312</v>
      </c>
      <c r="B2559" s="136"/>
      <c r="C2559" s="77"/>
      <c r="D2559" s="137"/>
      <c r="E2559" s="4"/>
      <c r="F2559" s="4"/>
      <c r="G2559" s="4"/>
      <c r="H2559" s="4"/>
      <c r="I2559" s="4"/>
      <c r="J2559" s="4"/>
      <c r="K2559" s="4"/>
      <c r="L2559" s="138"/>
      <c r="M2559" s="4"/>
      <c r="N2559" s="4"/>
      <c r="O2559" s="4"/>
    </row>
    <row r="2560" spans="1:15" s="1" customFormat="1" ht="11.45" customHeight="1" outlineLevel="4" x14ac:dyDescent="0.2">
      <c r="A2560" s="32" t="s">
        <v>22313</v>
      </c>
      <c r="B2560" s="74" t="s">
        <v>22314</v>
      </c>
      <c r="C2560" s="50"/>
      <c r="D2560" s="139">
        <f t="shared" si="39"/>
        <v>0</v>
      </c>
      <c r="E2560" s="140">
        <v>2333.7800000000002</v>
      </c>
      <c r="F2560" s="140">
        <v>1912.93</v>
      </c>
      <c r="G2560" s="34" t="s">
        <v>100</v>
      </c>
      <c r="H2560" s="34" t="s">
        <v>39</v>
      </c>
      <c r="I2560" s="35">
        <v>1</v>
      </c>
      <c r="J2560" s="35">
        <v>1</v>
      </c>
      <c r="K2560" s="35">
        <v>10</v>
      </c>
      <c r="L2560" s="60" t="str">
        <f>HYPERLINK("https://www.sds-group.ru/product/girlyanda-svetodiodnaya-nit-10m-200-led-belyy-chernyy-kauchuk-ip67-effekt-mertsaniya-230v-so-315-195/", "Инфо")</f>
        <v>Инфо</v>
      </c>
      <c r="M2560" s="37">
        <v>1.278</v>
      </c>
      <c r="N2560" s="38">
        <v>6.0499999999999998E-3</v>
      </c>
      <c r="O2560" s="141">
        <v>4601004179820</v>
      </c>
    </row>
    <row r="2561" spans="1:15" s="1" customFormat="1" ht="11.45" customHeight="1" outlineLevel="4" x14ac:dyDescent="0.2">
      <c r="A2561" s="32" t="s">
        <v>22319</v>
      </c>
      <c r="B2561" s="74" t="s">
        <v>22320</v>
      </c>
      <c r="C2561" s="50"/>
      <c r="D2561" s="139">
        <f t="shared" si="39"/>
        <v>0</v>
      </c>
      <c r="E2561" s="140">
        <v>1522.34</v>
      </c>
      <c r="F2561" s="140">
        <v>1247.82</v>
      </c>
      <c r="G2561" s="34" t="s">
        <v>100</v>
      </c>
      <c r="H2561" s="34" t="s">
        <v>39</v>
      </c>
      <c r="I2561" s="35">
        <v>1</v>
      </c>
      <c r="J2561" s="35">
        <v>1</v>
      </c>
      <c r="K2561" s="35">
        <v>10</v>
      </c>
      <c r="L2561" s="60" t="str">
        <f>HYPERLINK("https://www.sds-group.ru/product/girlyanda-svetodiodnaya-nit-12m-120-led-teplyy-belyy-chernyy-kauchuk-ip67-postoyannoe-sveche-315-136/", "Инфо")</f>
        <v>Инфо</v>
      </c>
      <c r="M2561" s="37">
        <v>1.01</v>
      </c>
      <c r="N2561" s="38">
        <v>4.2509999999999996E-3</v>
      </c>
      <c r="O2561" s="141">
        <v>4601004012592</v>
      </c>
    </row>
    <row r="2562" spans="1:15" ht="11.45" customHeight="1" outlineLevel="3" x14ac:dyDescent="0.2">
      <c r="A2562" s="76" t="s">
        <v>22371</v>
      </c>
      <c r="B2562" s="136"/>
      <c r="C2562" s="77"/>
      <c r="D2562" s="137"/>
      <c r="E2562" s="4"/>
      <c r="F2562" s="4"/>
      <c r="G2562" s="4"/>
      <c r="H2562" s="4"/>
      <c r="I2562" s="4"/>
      <c r="J2562" s="4"/>
      <c r="K2562" s="4"/>
      <c r="L2562" s="138"/>
      <c r="M2562" s="4"/>
      <c r="N2562" s="4"/>
      <c r="O2562" s="4"/>
    </row>
    <row r="2563" spans="1:15" s="1" customFormat="1" ht="11.45" customHeight="1" outlineLevel="4" x14ac:dyDescent="0.2">
      <c r="A2563" s="32" t="s">
        <v>22384</v>
      </c>
      <c r="B2563" s="74" t="s">
        <v>22385</v>
      </c>
      <c r="C2563" s="50"/>
      <c r="D2563" s="139">
        <f t="shared" si="39"/>
        <v>0</v>
      </c>
      <c r="E2563" s="140">
        <v>2641.11</v>
      </c>
      <c r="F2563" s="140">
        <v>2164.84</v>
      </c>
      <c r="G2563" s="34" t="s">
        <v>100</v>
      </c>
      <c r="H2563" s="34" t="s">
        <v>39</v>
      </c>
      <c r="I2563" s="35">
        <v>1</v>
      </c>
      <c r="J2563" s="35">
        <v>1</v>
      </c>
      <c r="K2563" s="35">
        <v>10</v>
      </c>
      <c r="L2563" s="60" t="str">
        <f>HYPERLINK("https://www.sds-group.ru/product/girlyanda-svetodiodnaya-multishariki-17-5mm-20m-200-led-krasnyy-chernyy-pvh-ip65-postoyannoe-303-502/", "Инфо")</f>
        <v>Инфо</v>
      </c>
      <c r="M2563" s="37">
        <v>1.546</v>
      </c>
      <c r="N2563" s="38">
        <v>6.1919999999999996E-3</v>
      </c>
      <c r="O2563" s="141">
        <v>4601004015722</v>
      </c>
    </row>
    <row r="2564" spans="1:15" s="1" customFormat="1" ht="11.45" customHeight="1" outlineLevel="4" x14ac:dyDescent="0.2">
      <c r="A2564" s="32" t="s">
        <v>22390</v>
      </c>
      <c r="B2564" s="74" t="s">
        <v>22391</v>
      </c>
      <c r="C2564" s="50"/>
      <c r="D2564" s="139">
        <f t="shared" si="39"/>
        <v>0</v>
      </c>
      <c r="E2564" s="140">
        <v>2078.3000000000002</v>
      </c>
      <c r="F2564" s="140">
        <v>1703.52</v>
      </c>
      <c r="G2564" s="34" t="s">
        <v>100</v>
      </c>
      <c r="H2564" s="34" t="s">
        <v>39</v>
      </c>
      <c r="I2564" s="35">
        <v>1</v>
      </c>
      <c r="J2564" s="35">
        <v>1</v>
      </c>
      <c r="K2564" s="35">
        <v>20</v>
      </c>
      <c r="L2564" s="60" t="str">
        <f>HYPERLINK("https://www.sds-group.ru/product/girlyanda-svetodiodnaya-multishariki-23mm-10m-80-led-belyy-chernyy-pvh-ip65-postoyannoe-svec-303-515/", "Инфо")</f>
        <v>Инфо</v>
      </c>
      <c r="M2564" s="37">
        <v>1.115</v>
      </c>
      <c r="N2564" s="38">
        <v>4.7029999999999997E-3</v>
      </c>
      <c r="O2564" s="141">
        <v>4601004082861</v>
      </c>
    </row>
    <row r="2565" spans="1:15" ht="11.45" customHeight="1" outlineLevel="3" x14ac:dyDescent="0.2">
      <c r="A2565" s="76" t="s">
        <v>22409</v>
      </c>
      <c r="B2565" s="136"/>
      <c r="C2565" s="77"/>
      <c r="D2565" s="137"/>
      <c r="E2565" s="4"/>
      <c r="F2565" s="4"/>
      <c r="G2565" s="4"/>
      <c r="H2565" s="4"/>
      <c r="I2565" s="4"/>
      <c r="J2565" s="4"/>
      <c r="K2565" s="4"/>
      <c r="L2565" s="138"/>
      <c r="M2565" s="4"/>
      <c r="N2565" s="4"/>
      <c r="O2565" s="4"/>
    </row>
    <row r="2566" spans="1:15" s="1" customFormat="1" ht="11.45" customHeight="1" outlineLevel="4" x14ac:dyDescent="0.2">
      <c r="A2566" s="32" t="s">
        <v>22410</v>
      </c>
      <c r="B2566" s="74" t="s">
        <v>22411</v>
      </c>
      <c r="C2566" s="50"/>
      <c r="D2566" s="139">
        <f t="shared" si="39"/>
        <v>0</v>
      </c>
      <c r="E2566" s="140">
        <v>1039.98</v>
      </c>
      <c r="F2566" s="140">
        <v>852.44</v>
      </c>
      <c r="G2566" s="34" t="s">
        <v>100</v>
      </c>
      <c r="H2566" s="34" t="s">
        <v>39</v>
      </c>
      <c r="I2566" s="35">
        <v>1</v>
      </c>
      <c r="J2566" s="35">
        <v>1</v>
      </c>
      <c r="K2566" s="35">
        <v>10</v>
      </c>
      <c r="L2566" s="60" t="str">
        <f>HYPERLINK("https://www.sds-group.ru/product/girlyanda-nit-upravlyaemaya-10m-100-led-belyy-chernyy-pvh-ip65-svechenie-s-dinamikoy-230v-nu-303-135/", "Инфо")</f>
        <v>Инфо</v>
      </c>
      <c r="M2566" s="37">
        <v>0.73499999999999999</v>
      </c>
      <c r="N2566" s="38">
        <v>3.1480000000000002E-3</v>
      </c>
      <c r="O2566" s="141">
        <v>4610003606954</v>
      </c>
    </row>
    <row r="2567" spans="1:15" s="1" customFormat="1" ht="11.45" customHeight="1" outlineLevel="4" x14ac:dyDescent="0.2">
      <c r="A2567" s="32" t="s">
        <v>22412</v>
      </c>
      <c r="B2567" s="74" t="s">
        <v>22413</v>
      </c>
      <c r="C2567" s="50"/>
      <c r="D2567" s="139">
        <f t="shared" si="39"/>
        <v>0</v>
      </c>
      <c r="E2567" s="140">
        <v>935.99</v>
      </c>
      <c r="F2567" s="140">
        <v>767.2</v>
      </c>
      <c r="G2567" s="34" t="s">
        <v>100</v>
      </c>
      <c r="H2567" s="34" t="s">
        <v>39</v>
      </c>
      <c r="I2567" s="35">
        <v>1</v>
      </c>
      <c r="J2567" s="35">
        <v>1</v>
      </c>
      <c r="K2567" s="35">
        <v>10</v>
      </c>
      <c r="L2567" s="60" t="str">
        <f>HYPERLINK("https://www.sds-group.ru/product/girlyanda-nit-upravlyaemaya-10m-100-led-krasnyy-chernyy-pvh-ip65-svechenie-s-dinamikoy-230v--303-132/", "Инфо")</f>
        <v>Инфо</v>
      </c>
      <c r="M2567" s="37">
        <v>0.749</v>
      </c>
      <c r="N2567" s="38">
        <v>3.2929999999999999E-3</v>
      </c>
      <c r="O2567" s="141">
        <v>4610003606978</v>
      </c>
    </row>
    <row r="2568" spans="1:15" s="1" customFormat="1" ht="11.45" customHeight="1" outlineLevel="4" x14ac:dyDescent="0.2">
      <c r="A2568" s="32" t="s">
        <v>22416</v>
      </c>
      <c r="B2568" s="74" t="s">
        <v>22417</v>
      </c>
      <c r="C2568" s="50"/>
      <c r="D2568" s="139">
        <f t="shared" si="39"/>
        <v>0</v>
      </c>
      <c r="E2568" s="140">
        <v>1039.98</v>
      </c>
      <c r="F2568" s="140">
        <v>852.44</v>
      </c>
      <c r="G2568" s="34" t="s">
        <v>100</v>
      </c>
      <c r="H2568" s="34" t="s">
        <v>39</v>
      </c>
      <c r="I2568" s="35">
        <v>1</v>
      </c>
      <c r="J2568" s="35">
        <v>1</v>
      </c>
      <c r="K2568" s="35">
        <v>10</v>
      </c>
      <c r="L2568" s="60" t="str">
        <f>HYPERLINK("https://www.sds-group.ru/product/girlyanda-nit-upravlyaemaya-10m-100-led-siniy-chernyy-pvh-ip65-svechenie-s-dinamikoy-230v-ko-303-133/", "Инфо")</f>
        <v>Инфо</v>
      </c>
      <c r="M2568" s="37">
        <v>0.748</v>
      </c>
      <c r="N2568" s="38">
        <v>2.3E-5</v>
      </c>
      <c r="O2568" s="141">
        <v>4610003606992</v>
      </c>
    </row>
    <row r="2569" spans="1:15" s="1" customFormat="1" ht="11.45" customHeight="1" outlineLevel="4" x14ac:dyDescent="0.2">
      <c r="A2569" s="32" t="s">
        <v>22418</v>
      </c>
      <c r="B2569" s="74" t="s">
        <v>22419</v>
      </c>
      <c r="C2569" s="50"/>
      <c r="D2569" s="139">
        <f t="shared" si="39"/>
        <v>0</v>
      </c>
      <c r="E2569" s="140">
        <v>1039.98</v>
      </c>
      <c r="F2569" s="140">
        <v>852.44</v>
      </c>
      <c r="G2569" s="34" t="s">
        <v>100</v>
      </c>
      <c r="H2569" s="34" t="s">
        <v>39</v>
      </c>
      <c r="I2569" s="35">
        <v>1</v>
      </c>
      <c r="J2569" s="35">
        <v>1</v>
      </c>
      <c r="K2569" s="35">
        <v>20</v>
      </c>
      <c r="L2569" s="60" t="str">
        <f>HYPERLINK("https://www.sds-group.ru/product/girlyanda-nit-upravlyaemaya-10m-100-led-teplyy-belyy-chernyy-pvh-ip65-svechenie-s-dinamikoy--303-136/", "Инфо")</f>
        <v>Инфо</v>
      </c>
      <c r="M2569" s="37">
        <v>0.747</v>
      </c>
      <c r="N2569" s="38">
        <v>3.444E-3</v>
      </c>
      <c r="O2569" s="141">
        <v>4660008013103</v>
      </c>
    </row>
    <row r="2570" spans="1:15" ht="11.45" customHeight="1" outlineLevel="3" x14ac:dyDescent="0.2">
      <c r="A2570" s="76" t="s">
        <v>22431</v>
      </c>
      <c r="B2570" s="136"/>
      <c r="C2570" s="77"/>
      <c r="D2570" s="137"/>
      <c r="E2570" s="4"/>
      <c r="F2570" s="4"/>
      <c r="G2570" s="4"/>
      <c r="H2570" s="4"/>
      <c r="I2570" s="4"/>
      <c r="J2570" s="4"/>
      <c r="K2570" s="4"/>
      <c r="L2570" s="138"/>
      <c r="M2570" s="4"/>
      <c r="N2570" s="4"/>
      <c r="O2570" s="4"/>
    </row>
    <row r="2571" spans="1:15" s="1" customFormat="1" ht="11.45" customHeight="1" outlineLevel="4" x14ac:dyDescent="0.2">
      <c r="A2571" s="32" t="s">
        <v>22432</v>
      </c>
      <c r="B2571" s="74" t="s">
        <v>22433</v>
      </c>
      <c r="C2571" s="50"/>
      <c r="D2571" s="139">
        <f t="shared" ref="D2571:D2633" si="40">C2571*E2571</f>
        <v>0</v>
      </c>
      <c r="E2571" s="140">
        <v>2308.5</v>
      </c>
      <c r="F2571" s="140">
        <v>1892.21</v>
      </c>
      <c r="G2571" s="34" t="s">
        <v>100</v>
      </c>
      <c r="H2571" s="34" t="s">
        <v>39</v>
      </c>
      <c r="I2571" s="35">
        <v>1</v>
      </c>
      <c r="J2571" s="35">
        <v>1</v>
      </c>
      <c r="K2571" s="35">
        <v>10</v>
      </c>
      <c r="L2571" s="60" t="str">
        <f>HYPERLINK("https://www.sds-group.ru/product/girlyanda-svetodiodnaya-klaster-10m-200-led-belyy-prozrachnyy-pvh-ip65-postoyannoe-svechenie-303-635/", "Инфо")</f>
        <v>Инфо</v>
      </c>
      <c r="M2571" s="37">
        <v>1.0620000000000001</v>
      </c>
      <c r="N2571" s="38">
        <v>4.81E-3</v>
      </c>
      <c r="O2571" s="141">
        <v>4601004154148</v>
      </c>
    </row>
    <row r="2572" spans="1:15" s="1" customFormat="1" ht="11.45" customHeight="1" outlineLevel="4" x14ac:dyDescent="0.2">
      <c r="A2572" s="32" t="s">
        <v>22436</v>
      </c>
      <c r="B2572" s="74" t="s">
        <v>22437</v>
      </c>
      <c r="C2572" s="50"/>
      <c r="D2572" s="139">
        <f t="shared" si="40"/>
        <v>0</v>
      </c>
      <c r="E2572" s="140">
        <v>3204.06</v>
      </c>
      <c r="F2572" s="140">
        <v>2626.28</v>
      </c>
      <c r="G2572" s="34" t="s">
        <v>100</v>
      </c>
      <c r="H2572" s="34" t="s">
        <v>39</v>
      </c>
      <c r="I2572" s="35">
        <v>1</v>
      </c>
      <c r="J2572" s="35">
        <v>1</v>
      </c>
      <c r="K2572" s="35">
        <v>8</v>
      </c>
      <c r="L2572" s="60" t="str">
        <f>HYPERLINK("https://www.sds-group.ru/product/girlyanda-svetodiodnaya-klaster-10m-400-led-belyy-prozrachnyy-pvh-ip65-postoyannoe-svechenie-303-645/", "Инфо")</f>
        <v>Инфо</v>
      </c>
      <c r="M2572" s="37">
        <v>1.359</v>
      </c>
      <c r="N2572" s="38">
        <v>4.6610000000000002E-3</v>
      </c>
      <c r="O2572" s="141">
        <v>4601004180598</v>
      </c>
    </row>
    <row r="2573" spans="1:15" ht="11.45" customHeight="1" outlineLevel="3" x14ac:dyDescent="0.2">
      <c r="A2573" s="76" t="s">
        <v>22438</v>
      </c>
      <c r="B2573" s="136"/>
      <c r="C2573" s="77"/>
      <c r="D2573" s="137"/>
      <c r="E2573" s="4"/>
      <c r="F2573" s="4"/>
      <c r="G2573" s="4"/>
      <c r="H2573" s="4"/>
      <c r="I2573" s="4"/>
      <c r="J2573" s="4"/>
      <c r="K2573" s="4"/>
      <c r="L2573" s="138"/>
      <c r="M2573" s="4"/>
      <c r="N2573" s="4"/>
      <c r="O2573" s="4"/>
    </row>
    <row r="2574" spans="1:15" s="1" customFormat="1" ht="11.45" customHeight="1" outlineLevel="4" x14ac:dyDescent="0.2">
      <c r="A2574" s="32" t="s">
        <v>22439</v>
      </c>
      <c r="B2574" s="74" t="s">
        <v>22440</v>
      </c>
      <c r="C2574" s="50"/>
      <c r="D2574" s="139">
        <f t="shared" si="40"/>
        <v>0</v>
      </c>
      <c r="E2574" s="140">
        <v>2693.89</v>
      </c>
      <c r="F2574" s="140">
        <v>2208.11</v>
      </c>
      <c r="G2574" s="34" t="s">
        <v>100</v>
      </c>
      <c r="H2574" s="34" t="s">
        <v>39</v>
      </c>
      <c r="I2574" s="35">
        <v>1</v>
      </c>
      <c r="J2574" s="35">
        <v>1</v>
      </c>
      <c r="K2574" s="35">
        <v>20</v>
      </c>
      <c r="L2574" s="60" t="str">
        <f>HYPERLINK("https://www.sds-group.ru/product/girlyanda-svetodiodnaya-klaster-10m-200-led-belyy-chernyy-kauchuk-ip67-postoyannoe-svechenie-315-255/", "Инфо")</f>
        <v>Инфо</v>
      </c>
      <c r="M2574" s="37">
        <v>1.401</v>
      </c>
      <c r="N2574" s="38">
        <v>6.1989999999999996E-3</v>
      </c>
      <c r="O2574" s="141">
        <v>4601004179837</v>
      </c>
    </row>
    <row r="2575" spans="1:15" ht="11.45" customHeight="1" outlineLevel="2" x14ac:dyDescent="0.2">
      <c r="A2575" s="76" t="s">
        <v>22443</v>
      </c>
      <c r="B2575" s="136"/>
      <c r="C2575" s="77"/>
      <c r="D2575" s="137"/>
      <c r="E2575" s="4"/>
      <c r="F2575" s="4"/>
      <c r="G2575" s="4"/>
      <c r="H2575" s="4"/>
      <c r="I2575" s="4"/>
      <c r="J2575" s="4"/>
      <c r="K2575" s="4"/>
      <c r="L2575" s="138"/>
      <c r="M2575" s="4"/>
      <c r="N2575" s="4"/>
      <c r="O2575" s="4"/>
    </row>
    <row r="2576" spans="1:15" ht="11.45" customHeight="1" outlineLevel="3" x14ac:dyDescent="0.2">
      <c r="A2576" s="76" t="s">
        <v>22444</v>
      </c>
      <c r="B2576" s="136"/>
      <c r="C2576" s="77"/>
      <c r="D2576" s="137"/>
      <c r="E2576" s="4"/>
      <c r="F2576" s="4"/>
      <c r="G2576" s="4"/>
      <c r="H2576" s="4"/>
      <c r="I2576" s="4"/>
      <c r="J2576" s="4"/>
      <c r="K2576" s="4"/>
      <c r="L2576" s="138"/>
      <c r="M2576" s="4"/>
      <c r="N2576" s="4"/>
      <c r="O2576" s="4"/>
    </row>
    <row r="2577" spans="1:15" ht="11.45" customHeight="1" outlineLevel="4" x14ac:dyDescent="0.2">
      <c r="A2577" s="76" t="s">
        <v>22445</v>
      </c>
      <c r="B2577" s="136"/>
      <c r="C2577" s="77"/>
      <c r="D2577" s="137"/>
      <c r="E2577" s="4"/>
      <c r="F2577" s="4"/>
      <c r="G2577" s="4"/>
      <c r="H2577" s="4"/>
      <c r="I2577" s="4"/>
      <c r="J2577" s="4"/>
      <c r="K2577" s="4"/>
      <c r="L2577" s="138"/>
      <c r="M2577" s="4"/>
      <c r="N2577" s="4"/>
      <c r="O2577" s="4"/>
    </row>
    <row r="2578" spans="1:15" s="1" customFormat="1" ht="11.45" customHeight="1" outlineLevel="5" x14ac:dyDescent="0.2">
      <c r="A2578" s="32" t="s">
        <v>22448</v>
      </c>
      <c r="B2578" s="74" t="s">
        <v>22449</v>
      </c>
      <c r="C2578" s="50"/>
      <c r="D2578" s="139">
        <f t="shared" si="40"/>
        <v>0</v>
      </c>
      <c r="E2578" s="140">
        <v>2409.34</v>
      </c>
      <c r="F2578" s="140">
        <v>1974.87</v>
      </c>
      <c r="G2578" s="34" t="s">
        <v>100</v>
      </c>
      <c r="H2578" s="34" t="s">
        <v>39</v>
      </c>
      <c r="I2578" s="35">
        <v>1</v>
      </c>
      <c r="J2578" s="35">
        <v>1</v>
      </c>
      <c r="K2578" s="35">
        <v>2</v>
      </c>
      <c r="L2578" s="60" t="str">
        <f>HYPERLINK("https://www.sds-group.ru/product/girlyanda-led-cliplight-shariki-24v-3-niti-po-20-m-tsvet-diodov-belyy-323-615/", "Инфо")</f>
        <v>Инфо</v>
      </c>
      <c r="M2578" s="37">
        <v>3.25</v>
      </c>
      <c r="N2578" s="38">
        <v>1.1258000000000001E-2</v>
      </c>
      <c r="O2578" s="141">
        <v>4601004014497</v>
      </c>
    </row>
    <row r="2579" spans="1:15" s="1" customFormat="1" ht="11.45" customHeight="1" outlineLevel="5" x14ac:dyDescent="0.2">
      <c r="A2579" s="32" t="s">
        <v>22452</v>
      </c>
      <c r="B2579" s="74" t="s">
        <v>22453</v>
      </c>
      <c r="C2579" s="50"/>
      <c r="D2579" s="139">
        <f t="shared" si="40"/>
        <v>0</v>
      </c>
      <c r="E2579" s="140">
        <v>4658.97</v>
      </c>
      <c r="F2579" s="140">
        <v>3818.83</v>
      </c>
      <c r="G2579" s="34" t="s">
        <v>100</v>
      </c>
      <c r="H2579" s="34" t="s">
        <v>39</v>
      </c>
      <c r="I2579" s="35">
        <v>1</v>
      </c>
      <c r="J2579" s="35">
        <v>1</v>
      </c>
      <c r="K2579" s="35">
        <v>10</v>
      </c>
      <c r="L2579" s="60" t="str">
        <f>HYPERLINK("https://www.sds-group.ru/product/girlyanda-led-cliplight-24v-3-niti-po-10-metrov-tsvet-diodov-multi-323-319/", "Инфо")</f>
        <v>Инфо</v>
      </c>
      <c r="M2579" s="37">
        <v>2.0099999999999998</v>
      </c>
      <c r="N2579" s="38">
        <v>1.1790999999999999E-2</v>
      </c>
      <c r="O2579" s="141">
        <v>4601004033412</v>
      </c>
    </row>
    <row r="2580" spans="1:15" s="1" customFormat="1" ht="11.45" customHeight="1" outlineLevel="5" x14ac:dyDescent="0.2">
      <c r="A2580" s="32" t="s">
        <v>22458</v>
      </c>
      <c r="B2580" s="74" t="s">
        <v>22459</v>
      </c>
      <c r="C2580" s="50"/>
      <c r="D2580" s="139">
        <f t="shared" si="40"/>
        <v>0</v>
      </c>
      <c r="E2580" s="140">
        <v>7163.67</v>
      </c>
      <c r="F2580" s="140">
        <v>5871.86</v>
      </c>
      <c r="G2580" s="34" t="s">
        <v>100</v>
      </c>
      <c r="H2580" s="34" t="s">
        <v>39</v>
      </c>
      <c r="I2580" s="35">
        <v>1</v>
      </c>
      <c r="J2580" s="35">
        <v>1</v>
      </c>
      <c r="K2580" s="35">
        <v>3</v>
      </c>
      <c r="L2580" s="60" t="str">
        <f>HYPERLINK("https://www.sds-group.ru/product/girlyanda-led-cliplight-24v-3-niti-po-20-m-svechenie-s-dinamikoy-tsvet-diodov-zheltyy-323-301/", "Инфо")</f>
        <v>Инфо</v>
      </c>
      <c r="M2580" s="37">
        <v>4.4889999999999999</v>
      </c>
      <c r="N2580" s="38">
        <v>1.4019999999999999E-2</v>
      </c>
      <c r="O2580" s="141">
        <v>4601004014343</v>
      </c>
    </row>
    <row r="2581" spans="1:15" s="1" customFormat="1" ht="11.45" customHeight="1" outlineLevel="5" x14ac:dyDescent="0.2">
      <c r="A2581" s="32" t="s">
        <v>22460</v>
      </c>
      <c r="B2581" s="74" t="s">
        <v>22461</v>
      </c>
      <c r="C2581" s="50"/>
      <c r="D2581" s="139">
        <f t="shared" si="40"/>
        <v>0</v>
      </c>
      <c r="E2581" s="140">
        <v>5802.57</v>
      </c>
      <c r="F2581" s="140">
        <v>4756.2</v>
      </c>
      <c r="G2581" s="34" t="s">
        <v>100</v>
      </c>
      <c r="H2581" s="34" t="s">
        <v>39</v>
      </c>
      <c r="I2581" s="35">
        <v>1</v>
      </c>
      <c r="J2581" s="35">
        <v>1</v>
      </c>
      <c r="K2581" s="35">
        <v>2</v>
      </c>
      <c r="L2581" s="60" t="str">
        <f>HYPERLINK("https://www.sds-group.ru/product/girlyanda-led-cliplight-24v-3-niti-po-20-m-svechenie-s-dinamikoy-tsvet-diodov-krasnyy-323-302/", "Инфо")</f>
        <v>Инфо</v>
      </c>
      <c r="M2581" s="37">
        <v>4.2720000000000002</v>
      </c>
      <c r="N2581" s="38">
        <v>1.1873E-2</v>
      </c>
      <c r="O2581" s="141">
        <v>4601004014350</v>
      </c>
    </row>
    <row r="2582" spans="1:15" ht="11.45" customHeight="1" outlineLevel="4" x14ac:dyDescent="0.2">
      <c r="A2582" s="76" t="s">
        <v>22466</v>
      </c>
      <c r="B2582" s="136"/>
      <c r="C2582" s="77"/>
      <c r="D2582" s="137"/>
      <c r="E2582" s="4"/>
      <c r="F2582" s="4"/>
      <c r="G2582" s="4"/>
      <c r="H2582" s="4"/>
      <c r="I2582" s="4"/>
      <c r="J2582" s="4"/>
      <c r="K2582" s="4"/>
      <c r="L2582" s="138"/>
      <c r="M2582" s="4"/>
      <c r="N2582" s="4"/>
      <c r="O2582" s="4"/>
    </row>
    <row r="2583" spans="1:15" s="1" customFormat="1" ht="11.45" customHeight="1" outlineLevel="5" x14ac:dyDescent="0.2">
      <c r="A2583" s="32" t="s">
        <v>22479</v>
      </c>
      <c r="B2583" s="74" t="s">
        <v>22480</v>
      </c>
      <c r="C2583" s="50"/>
      <c r="D2583" s="139">
        <f t="shared" si="40"/>
        <v>0</v>
      </c>
      <c r="E2583" s="140">
        <v>8028.66</v>
      </c>
      <c r="F2583" s="140">
        <v>6580.87</v>
      </c>
      <c r="G2583" s="34" t="s">
        <v>100</v>
      </c>
      <c r="H2583" s="34" t="s">
        <v>39</v>
      </c>
      <c r="I2583" s="35">
        <v>1</v>
      </c>
      <c r="J2583" s="35">
        <v>1</v>
      </c>
      <c r="K2583" s="35">
        <v>2</v>
      </c>
      <c r="L2583" s="60" t="str">
        <f>HYPERLINK("https://www.sds-group.ru/product/girlyanda-led-cliplight-24v-5-nitey-po-20-metrov-tsvet-diodov-zheltyy-flashing-belyy-323-601/", "Инфо")</f>
        <v>Инфо</v>
      </c>
      <c r="M2583" s="37">
        <v>5.0620000000000003</v>
      </c>
      <c r="N2583" s="38">
        <v>1.3547999999999999E-2</v>
      </c>
      <c r="O2583" s="141">
        <v>4601004014428</v>
      </c>
    </row>
    <row r="2584" spans="1:15" ht="11.45" customHeight="1" outlineLevel="2" x14ac:dyDescent="0.2">
      <c r="A2584" s="76" t="s">
        <v>22508</v>
      </c>
      <c r="B2584" s="136"/>
      <c r="C2584" s="77"/>
      <c r="D2584" s="137"/>
      <c r="E2584" s="4"/>
      <c r="F2584" s="4"/>
      <c r="G2584" s="4"/>
      <c r="H2584" s="4"/>
      <c r="I2584" s="4"/>
      <c r="J2584" s="4"/>
      <c r="K2584" s="4"/>
      <c r="L2584" s="138"/>
      <c r="M2584" s="4"/>
      <c r="N2584" s="4"/>
      <c r="O2584" s="4"/>
    </row>
    <row r="2585" spans="1:15" s="1" customFormat="1" ht="11.45" customHeight="1" outlineLevel="3" x14ac:dyDescent="0.2">
      <c r="A2585" s="32" t="s">
        <v>22525</v>
      </c>
      <c r="B2585" s="74" t="s">
        <v>22526</v>
      </c>
      <c r="C2585" s="50"/>
      <c r="D2585" s="139">
        <f t="shared" si="40"/>
        <v>0</v>
      </c>
      <c r="E2585" s="140">
        <v>544.92999999999995</v>
      </c>
      <c r="F2585" s="140">
        <v>446.66</v>
      </c>
      <c r="G2585" s="34" t="s">
        <v>100</v>
      </c>
      <c r="H2585" s="34" t="s">
        <v>39</v>
      </c>
      <c r="I2585" s="35">
        <v>1</v>
      </c>
      <c r="J2585" s="35">
        <v>1</v>
      </c>
      <c r="K2585" s="35">
        <v>50</v>
      </c>
      <c r="L2585" s="60" t="str">
        <f>HYPERLINK("https://www.sds-group.ru/product/sosulka-svetodiodnaya-e27-50sm-dvuhstoronnyaya-48x2-led-belyy-ip65-230v-neon-night-256-162/", "Инфо")</f>
        <v>Инфо</v>
      </c>
      <c r="M2585" s="37">
        <v>0.113</v>
      </c>
      <c r="N2585" s="38">
        <v>7.5799999999999999E-4</v>
      </c>
      <c r="O2585" s="141">
        <v>4601004034938</v>
      </c>
    </row>
    <row r="2586" spans="1:15" ht="11.45" customHeight="1" outlineLevel="2" x14ac:dyDescent="0.2">
      <c r="A2586" s="76" t="s">
        <v>22527</v>
      </c>
      <c r="B2586" s="136"/>
      <c r="C2586" s="77"/>
      <c r="D2586" s="137"/>
      <c r="E2586" s="4"/>
      <c r="F2586" s="4"/>
      <c r="G2586" s="4"/>
      <c r="H2586" s="4"/>
      <c r="I2586" s="4"/>
      <c r="J2586" s="4"/>
      <c r="K2586" s="4"/>
      <c r="L2586" s="138"/>
      <c r="M2586" s="4"/>
      <c r="N2586" s="4"/>
      <c r="O2586" s="4"/>
    </row>
    <row r="2587" spans="1:15" ht="11.45" customHeight="1" outlineLevel="3" x14ac:dyDescent="0.2">
      <c r="A2587" s="76" t="s">
        <v>22528</v>
      </c>
      <c r="B2587" s="136"/>
      <c r="C2587" s="77"/>
      <c r="D2587" s="137"/>
      <c r="E2587" s="4"/>
      <c r="F2587" s="4"/>
      <c r="G2587" s="4"/>
      <c r="H2587" s="4"/>
      <c r="I2587" s="4"/>
      <c r="J2587" s="4"/>
      <c r="K2587" s="4"/>
      <c r="L2587" s="138"/>
      <c r="M2587" s="4"/>
      <c r="N2587" s="4"/>
      <c r="O2587" s="4"/>
    </row>
    <row r="2588" spans="1:15" s="1" customFormat="1" ht="11.45" customHeight="1" outlineLevel="4" x14ac:dyDescent="0.2">
      <c r="A2588" s="32" t="s">
        <v>22555</v>
      </c>
      <c r="B2588" s="74" t="s">
        <v>22556</v>
      </c>
      <c r="C2588" s="50"/>
      <c r="D2588" s="139">
        <f t="shared" si="40"/>
        <v>0</v>
      </c>
      <c r="E2588" s="140">
        <v>323.04000000000002</v>
      </c>
      <c r="F2588" s="140">
        <v>264.79000000000002</v>
      </c>
      <c r="G2588" s="34" t="s">
        <v>100</v>
      </c>
      <c r="H2588" s="34" t="s">
        <v>1767</v>
      </c>
      <c r="I2588" s="35">
        <v>100</v>
      </c>
      <c r="J2588" s="35">
        <v>100</v>
      </c>
      <c r="K2588" s="35">
        <v>100</v>
      </c>
      <c r="L2588" s="60" t="str">
        <f>HYPERLINK("https://www.sds-group.ru/product/nabor-evro-belt-layt-2-zhily-100m-shag-40sm-225-led-lamp-belyy-45mm-6-led-ploskiy-provod-kau-331-345/", "Инфо")</f>
        <v>Инфо</v>
      </c>
      <c r="M2588" s="37">
        <v>0.19800000000000001</v>
      </c>
      <c r="N2588" s="38">
        <v>9.2599999999999996E-4</v>
      </c>
      <c r="O2588" s="141">
        <v>4601004061309</v>
      </c>
    </row>
    <row r="2589" spans="1:15" ht="11.45" customHeight="1" outlineLevel="3" x14ac:dyDescent="0.2">
      <c r="A2589" s="76" t="s">
        <v>22560</v>
      </c>
      <c r="B2589" s="136"/>
      <c r="C2589" s="77"/>
      <c r="D2589" s="137"/>
      <c r="E2589" s="4"/>
      <c r="F2589" s="4"/>
      <c r="G2589" s="4"/>
      <c r="H2589" s="4"/>
      <c r="I2589" s="4"/>
      <c r="J2589" s="4"/>
      <c r="K2589" s="4"/>
      <c r="L2589" s="138"/>
      <c r="M2589" s="4"/>
      <c r="N2589" s="4"/>
      <c r="O2589" s="4"/>
    </row>
    <row r="2590" spans="1:15" s="1" customFormat="1" ht="11.45" customHeight="1" outlineLevel="4" x14ac:dyDescent="0.2">
      <c r="A2590" s="32" t="s">
        <v>22563</v>
      </c>
      <c r="B2590" s="74" t="s">
        <v>22564</v>
      </c>
      <c r="C2590" s="50"/>
      <c r="D2590" s="139">
        <f t="shared" si="40"/>
        <v>0</v>
      </c>
      <c r="E2590" s="140">
        <v>41.37</v>
      </c>
      <c r="F2590" s="140">
        <v>33.909999999999997</v>
      </c>
      <c r="G2590" s="34" t="s">
        <v>100</v>
      </c>
      <c r="H2590" s="34" t="s">
        <v>39</v>
      </c>
      <c r="I2590" s="35">
        <v>10</v>
      </c>
      <c r="J2590" s="35">
        <v>10</v>
      </c>
      <c r="K2590" s="39">
        <v>1000</v>
      </c>
      <c r="L2590" s="60" t="str">
        <f>HYPERLINK("https://www.sds-group.ru/product/zaglushka-dlya-dvuhzhilnoy-girlyandy-belt-light-10-sht-up-neon-night-331-008/", "Инфо")</f>
        <v>Инфо</v>
      </c>
      <c r="M2590" s="37">
        <v>1.4E-2</v>
      </c>
      <c r="N2590" s="38">
        <v>6.7000000000000002E-5</v>
      </c>
      <c r="O2590" s="141">
        <v>4601004016101</v>
      </c>
    </row>
    <row r="2591" spans="1:15" s="1" customFormat="1" ht="11.45" customHeight="1" outlineLevel="4" x14ac:dyDescent="0.2">
      <c r="A2591" s="32" t="s">
        <v>22567</v>
      </c>
      <c r="B2591" s="74" t="s">
        <v>22568</v>
      </c>
      <c r="C2591" s="50"/>
      <c r="D2591" s="139">
        <f t="shared" si="40"/>
        <v>0</v>
      </c>
      <c r="E2591" s="140">
        <v>10038.41</v>
      </c>
      <c r="F2591" s="140">
        <v>8228.2000000000007</v>
      </c>
      <c r="G2591" s="34" t="s">
        <v>100</v>
      </c>
      <c r="H2591" s="34" t="s">
        <v>39</v>
      </c>
      <c r="I2591" s="35">
        <v>1</v>
      </c>
      <c r="J2591" s="35">
        <v>1</v>
      </c>
      <c r="K2591" s="35">
        <v>1</v>
      </c>
      <c r="L2591" s="60" t="str">
        <f>HYPERLINK("https://www.sds-group.ru/product/kontroller-imlamp4d-ac-7000-dlya-belt-layta-i-svetodiodnyh-lamp-220v-7000vt-4-kanala-h-8-0a--332-119/", "Инфо")</f>
        <v>Инфо</v>
      </c>
      <c r="M2591" s="37">
        <v>1.696</v>
      </c>
      <c r="N2591" s="38">
        <v>3.8579999999999999E-3</v>
      </c>
      <c r="O2591" s="141">
        <v>4601004125575</v>
      </c>
    </row>
    <row r="2592" spans="1:15" ht="11.45" customHeight="1" outlineLevel="2" x14ac:dyDescent="0.2">
      <c r="A2592" s="76" t="s">
        <v>22571</v>
      </c>
      <c r="B2592" s="136"/>
      <c r="C2592" s="77"/>
      <c r="D2592" s="137"/>
      <c r="E2592" s="4"/>
      <c r="F2592" s="4"/>
      <c r="G2592" s="4"/>
      <c r="H2592" s="4"/>
      <c r="I2592" s="4"/>
      <c r="J2592" s="4"/>
      <c r="K2592" s="4"/>
      <c r="L2592" s="138"/>
      <c r="M2592" s="4"/>
      <c r="N2592" s="4"/>
      <c r="O2592" s="4"/>
    </row>
    <row r="2593" spans="1:15" ht="11.45" customHeight="1" outlineLevel="3" x14ac:dyDescent="0.2">
      <c r="A2593" s="76" t="s">
        <v>22572</v>
      </c>
      <c r="B2593" s="136"/>
      <c r="C2593" s="77"/>
      <c r="D2593" s="137"/>
      <c r="E2593" s="4"/>
      <c r="F2593" s="4"/>
      <c r="G2593" s="4"/>
      <c r="H2593" s="4"/>
      <c r="I2593" s="4"/>
      <c r="J2593" s="4"/>
      <c r="K2593" s="4"/>
      <c r="L2593" s="138"/>
      <c r="M2593" s="4"/>
      <c r="N2593" s="4"/>
      <c r="O2593" s="4"/>
    </row>
    <row r="2594" spans="1:15" s="1" customFormat="1" ht="11.45" customHeight="1" outlineLevel="4" x14ac:dyDescent="0.2">
      <c r="A2594" s="32" t="s">
        <v>22573</v>
      </c>
      <c r="B2594" s="74" t="s">
        <v>22574</v>
      </c>
      <c r="C2594" s="50"/>
      <c r="D2594" s="139">
        <f t="shared" si="40"/>
        <v>0</v>
      </c>
      <c r="E2594" s="140">
        <v>35.17</v>
      </c>
      <c r="F2594" s="140">
        <v>28.83</v>
      </c>
      <c r="G2594" s="34" t="s">
        <v>100</v>
      </c>
      <c r="H2594" s="34" t="s">
        <v>39</v>
      </c>
      <c r="I2594" s="35">
        <v>1</v>
      </c>
      <c r="J2594" s="35">
        <v>1</v>
      </c>
      <c r="K2594" s="35">
        <v>100</v>
      </c>
      <c r="L2594" s="60" t="str">
        <f>HYPERLINK("https://www.sds-group.ru/product/lampa-nakalivaniya-diametr-45mm-e27-10vt-zheltaya-kolba-230v-neon-night-401-111/", "Инфо")</f>
        <v>Инфо</v>
      </c>
      <c r="M2594" s="37">
        <v>2.5999999999999999E-2</v>
      </c>
      <c r="N2594" s="38">
        <v>1.75E-4</v>
      </c>
      <c r="O2594" s="141">
        <v>4610003607395</v>
      </c>
    </row>
    <row r="2595" spans="1:15" ht="11.45" customHeight="1" outlineLevel="3" x14ac:dyDescent="0.2">
      <c r="A2595" s="76" t="s">
        <v>22590</v>
      </c>
      <c r="B2595" s="136"/>
      <c r="C2595" s="77"/>
      <c r="D2595" s="137"/>
      <c r="E2595" s="4"/>
      <c r="F2595" s="4"/>
      <c r="G2595" s="4"/>
      <c r="H2595" s="4"/>
      <c r="I2595" s="4"/>
      <c r="J2595" s="4"/>
      <c r="K2595" s="4"/>
      <c r="L2595" s="138"/>
      <c r="M2595" s="4"/>
      <c r="N2595" s="4"/>
      <c r="O2595" s="4"/>
    </row>
    <row r="2596" spans="1:15" s="1" customFormat="1" ht="11.45" customHeight="1" outlineLevel="4" x14ac:dyDescent="0.2">
      <c r="A2596" s="32" t="s">
        <v>22595</v>
      </c>
      <c r="B2596" s="74" t="s">
        <v>22596</v>
      </c>
      <c r="C2596" s="50"/>
      <c r="D2596" s="139">
        <f t="shared" si="40"/>
        <v>0</v>
      </c>
      <c r="E2596" s="140">
        <v>48.25</v>
      </c>
      <c r="F2596" s="140">
        <v>39.549999999999997</v>
      </c>
      <c r="G2596" s="34" t="s">
        <v>100</v>
      </c>
      <c r="H2596" s="34" t="s">
        <v>39</v>
      </c>
      <c r="I2596" s="35">
        <v>1</v>
      </c>
      <c r="J2596" s="35">
        <v>1</v>
      </c>
      <c r="K2596" s="35">
        <v>100</v>
      </c>
      <c r="L2596" s="60" t="str">
        <f>HYPERLINK("https://www.sds-group.ru/product/retro-lampa-svetodiodnaya-diametr-45mm-e27-6-led-2vt-siniy-prozrachnaya-kolba-230v-neon-nigh-405-123/", "Инфо")</f>
        <v>Инфо</v>
      </c>
      <c r="M2596" s="37">
        <v>2.1999999999999999E-2</v>
      </c>
      <c r="N2596" s="38">
        <v>1.5899999999999999E-4</v>
      </c>
      <c r="O2596" s="141">
        <v>4601004013810</v>
      </c>
    </row>
    <row r="2597" spans="1:15" ht="11.45" customHeight="1" outlineLevel="3" x14ac:dyDescent="0.2">
      <c r="A2597" s="76" t="s">
        <v>22597</v>
      </c>
      <c r="B2597" s="136"/>
      <c r="C2597" s="77"/>
      <c r="D2597" s="137"/>
      <c r="E2597" s="4"/>
      <c r="F2597" s="4"/>
      <c r="G2597" s="4"/>
      <c r="H2597" s="4"/>
      <c r="I2597" s="4"/>
      <c r="J2597" s="4"/>
      <c r="K2597" s="4"/>
      <c r="L2597" s="138"/>
      <c r="M2597" s="4"/>
      <c r="N2597" s="4"/>
      <c r="O2597" s="4"/>
    </row>
    <row r="2598" spans="1:15" s="1" customFormat="1" ht="11.45" customHeight="1" outlineLevel="4" x14ac:dyDescent="0.2">
      <c r="A2598" s="32" t="s">
        <v>22598</v>
      </c>
      <c r="B2598" s="74" t="s">
        <v>22599</v>
      </c>
      <c r="C2598" s="50"/>
      <c r="D2598" s="139">
        <f t="shared" si="40"/>
        <v>0</v>
      </c>
      <c r="E2598" s="140">
        <v>59.77</v>
      </c>
      <c r="F2598" s="140">
        <v>48.99</v>
      </c>
      <c r="G2598" s="34" t="s">
        <v>100</v>
      </c>
      <c r="H2598" s="34" t="s">
        <v>39</v>
      </c>
      <c r="I2598" s="35">
        <v>1</v>
      </c>
      <c r="J2598" s="35">
        <v>1</v>
      </c>
      <c r="K2598" s="35">
        <v>100</v>
      </c>
      <c r="L2598" s="60" t="str">
        <f>HYPERLINK("https://www.sds-group.ru/product/lampa-svetodiodnaya-diametr-50mm-e27-9-led-1vt-belyy-prozrachnaya-kolba-230v-neon-night-405-215/", "Инфо")</f>
        <v>Инфо</v>
      </c>
      <c r="M2598" s="37">
        <v>4.4999999999999998E-2</v>
      </c>
      <c r="N2598" s="38">
        <v>2.5399999999999999E-4</v>
      </c>
      <c r="O2598" s="141">
        <v>4610003607555</v>
      </c>
    </row>
    <row r="2599" spans="1:15" s="1" customFormat="1" ht="11.45" customHeight="1" outlineLevel="4" x14ac:dyDescent="0.2">
      <c r="A2599" s="32" t="s">
        <v>22600</v>
      </c>
      <c r="B2599" s="74" t="s">
        <v>22601</v>
      </c>
      <c r="C2599" s="50"/>
      <c r="D2599" s="139">
        <f t="shared" si="40"/>
        <v>0</v>
      </c>
      <c r="E2599" s="140">
        <v>66.61</v>
      </c>
      <c r="F2599" s="140">
        <v>54.6</v>
      </c>
      <c r="G2599" s="34" t="s">
        <v>100</v>
      </c>
      <c r="H2599" s="34" t="s">
        <v>39</v>
      </c>
      <c r="I2599" s="35">
        <v>1</v>
      </c>
      <c r="J2599" s="35">
        <v>1</v>
      </c>
      <c r="K2599" s="35">
        <v>100</v>
      </c>
      <c r="L2599" s="60" t="str">
        <f>HYPERLINK("https://www.sds-group.ru/product/lampa-svetodiodnaya-diametr-50mm-e27-9-led-1vt-krasnyy-prozrachnaya-kolba-230v-neon-night-405-212/", "Инфо")</f>
        <v>Инфо</v>
      </c>
      <c r="M2599" s="37">
        <v>4.4999999999999998E-2</v>
      </c>
      <c r="N2599" s="38">
        <v>2.6499999999999999E-4</v>
      </c>
      <c r="O2599" s="141">
        <v>4610003607579</v>
      </c>
    </row>
    <row r="2600" spans="1:15" s="1" customFormat="1" ht="11.45" customHeight="1" outlineLevel="4" x14ac:dyDescent="0.2">
      <c r="A2600" s="32" t="s">
        <v>22602</v>
      </c>
      <c r="B2600" s="74" t="s">
        <v>22603</v>
      </c>
      <c r="C2600" s="50"/>
      <c r="D2600" s="139">
        <f t="shared" si="40"/>
        <v>0</v>
      </c>
      <c r="E2600" s="140">
        <v>112.75</v>
      </c>
      <c r="F2600" s="140">
        <v>92.42</v>
      </c>
      <c r="G2600" s="34" t="s">
        <v>100</v>
      </c>
      <c r="H2600" s="34" t="s">
        <v>39</v>
      </c>
      <c r="I2600" s="35">
        <v>1</v>
      </c>
      <c r="J2600" s="35">
        <v>1</v>
      </c>
      <c r="K2600" s="35">
        <v>100</v>
      </c>
      <c r="L2600" s="60" t="str">
        <f>HYPERLINK("https://www.sds-group.ru/product/lampa-svetodiodnaya-diametr-50mm-e27-9-led-1vt-teplyy-belyy-prozrachnaya-kolba-230v-neon-nig-405-216/", "Инфо")</f>
        <v>Инфо</v>
      </c>
      <c r="M2600" s="37">
        <v>4.9000000000000002E-2</v>
      </c>
      <c r="N2600" s="38">
        <v>2.4399999999999999E-4</v>
      </c>
      <c r="O2600" s="141">
        <v>4601004013766</v>
      </c>
    </row>
    <row r="2601" spans="1:15" ht="11.45" customHeight="1" outlineLevel="3" x14ac:dyDescent="0.2">
      <c r="A2601" s="76" t="s">
        <v>22604</v>
      </c>
      <c r="B2601" s="136"/>
      <c r="C2601" s="77"/>
      <c r="D2601" s="137"/>
      <c r="E2601" s="4"/>
      <c r="F2601" s="4"/>
      <c r="G2601" s="4"/>
      <c r="H2601" s="4"/>
      <c r="I2601" s="4"/>
      <c r="J2601" s="4"/>
      <c r="K2601" s="4"/>
      <c r="L2601" s="138"/>
      <c r="M2601" s="4"/>
      <c r="N2601" s="4"/>
      <c r="O2601" s="4"/>
    </row>
    <row r="2602" spans="1:15" s="1" customFormat="1" ht="11.45" customHeight="1" outlineLevel="4" x14ac:dyDescent="0.2">
      <c r="A2602" s="32" t="s">
        <v>22609</v>
      </c>
      <c r="B2602" s="74" t="s">
        <v>22610</v>
      </c>
      <c r="C2602" s="50"/>
      <c r="D2602" s="139">
        <f t="shared" si="40"/>
        <v>0</v>
      </c>
      <c r="E2602" s="140">
        <v>33.03</v>
      </c>
      <c r="F2602" s="140">
        <v>27.07</v>
      </c>
      <c r="G2602" s="34" t="s">
        <v>100</v>
      </c>
      <c r="H2602" s="34" t="s">
        <v>39</v>
      </c>
      <c r="I2602" s="35">
        <v>1</v>
      </c>
      <c r="J2602" s="35">
        <v>1</v>
      </c>
      <c r="K2602" s="35">
        <v>100</v>
      </c>
      <c r="L2602" s="60" t="str">
        <f>HYPERLINK("https://www.sds-group.ru/product/lampa-svetodiodnaya-diametr-50mm-e27-10-led-1vt-zelenyy-prozrachnaya-kolba-24v-postoyannoe-n-405-614/", "Инфо")</f>
        <v>Инфо</v>
      </c>
      <c r="M2602" s="37">
        <v>3.7999999999999999E-2</v>
      </c>
      <c r="N2602" s="38">
        <v>1.65E-4</v>
      </c>
      <c r="O2602" s="141">
        <v>4610003607456</v>
      </c>
    </row>
    <row r="2603" spans="1:15" s="1" customFormat="1" ht="11.45" customHeight="1" outlineLevel="4" x14ac:dyDescent="0.2">
      <c r="A2603" s="32" t="s">
        <v>22611</v>
      </c>
      <c r="B2603" s="74" t="s">
        <v>22612</v>
      </c>
      <c r="C2603" s="50"/>
      <c r="D2603" s="139">
        <f t="shared" si="40"/>
        <v>0</v>
      </c>
      <c r="E2603" s="140">
        <v>63.73</v>
      </c>
      <c r="F2603" s="140">
        <v>52.24</v>
      </c>
      <c r="G2603" s="34" t="s">
        <v>100</v>
      </c>
      <c r="H2603" s="34" t="s">
        <v>39</v>
      </c>
      <c r="I2603" s="35">
        <v>1</v>
      </c>
      <c r="J2603" s="35">
        <v>1</v>
      </c>
      <c r="K2603" s="35">
        <v>100</v>
      </c>
      <c r="L2603" s="60" t="str">
        <f>HYPERLINK("https://www.sds-group.ru/product/lampa-shar-e27-10-led-50mm-krasnaya-24v-postoyannoe-napryazhenie-405-612/", "Инфо")</f>
        <v>Инфо</v>
      </c>
      <c r="M2603" s="37">
        <v>4.1000000000000002E-2</v>
      </c>
      <c r="N2603" s="38">
        <v>1.6200000000000001E-4</v>
      </c>
      <c r="O2603" s="141">
        <v>4610003607463</v>
      </c>
    </row>
    <row r="2604" spans="1:15" ht="11.45" customHeight="1" outlineLevel="3" x14ac:dyDescent="0.2">
      <c r="A2604" s="76" t="s">
        <v>22613</v>
      </c>
      <c r="B2604" s="136"/>
      <c r="C2604" s="77"/>
      <c r="D2604" s="137"/>
      <c r="E2604" s="4"/>
      <c r="F2604" s="4"/>
      <c r="G2604" s="4"/>
      <c r="H2604" s="4"/>
      <c r="I2604" s="4"/>
      <c r="J2604" s="4"/>
      <c r="K2604" s="4"/>
      <c r="L2604" s="138"/>
      <c r="M2604" s="4"/>
      <c r="N2604" s="4"/>
      <c r="O2604" s="4"/>
    </row>
    <row r="2605" spans="1:15" s="1" customFormat="1" ht="11.45" customHeight="1" outlineLevel="4" x14ac:dyDescent="0.2">
      <c r="A2605" s="32" t="s">
        <v>22614</v>
      </c>
      <c r="B2605" s="74" t="s">
        <v>22615</v>
      </c>
      <c r="C2605" s="50"/>
      <c r="D2605" s="139">
        <f t="shared" si="40"/>
        <v>0</v>
      </c>
      <c r="E2605" s="140">
        <v>107.54</v>
      </c>
      <c r="F2605" s="140">
        <v>88.15</v>
      </c>
      <c r="G2605" s="34" t="s">
        <v>100</v>
      </c>
      <c r="H2605" s="34" t="s">
        <v>39</v>
      </c>
      <c r="I2605" s="35">
        <v>1</v>
      </c>
      <c r="J2605" s="35">
        <v>1</v>
      </c>
      <c r="K2605" s="35">
        <v>100</v>
      </c>
      <c r="L2605" s="60" t="str">
        <f>HYPERLINK("https://www.sds-group.ru/product/lampa-shar-svetodiodnaya-diametr-100mm-e27-12-led-2vt-krasnyy-matovaya-kolba-230v-neon-night-405-132/", "Инфо")</f>
        <v>Инфо</v>
      </c>
      <c r="M2605" s="37">
        <v>9.8000000000000004E-2</v>
      </c>
      <c r="N2605" s="38">
        <v>1.4599999999999999E-3</v>
      </c>
      <c r="O2605" s="141">
        <v>4601004034020</v>
      </c>
    </row>
    <row r="2606" spans="1:15" s="1" customFormat="1" ht="11.45" customHeight="1" outlineLevel="4" x14ac:dyDescent="0.2">
      <c r="A2606" s="32" t="s">
        <v>22616</v>
      </c>
      <c r="B2606" s="74" t="s">
        <v>22617</v>
      </c>
      <c r="C2606" s="50"/>
      <c r="D2606" s="139">
        <f t="shared" si="40"/>
        <v>0</v>
      </c>
      <c r="E2606" s="140">
        <v>101.88</v>
      </c>
      <c r="F2606" s="140">
        <v>83.51</v>
      </c>
      <c r="G2606" s="34" t="s">
        <v>100</v>
      </c>
      <c r="H2606" s="34" t="s">
        <v>39</v>
      </c>
      <c r="I2606" s="35">
        <v>1</v>
      </c>
      <c r="J2606" s="35">
        <v>1</v>
      </c>
      <c r="K2606" s="35">
        <v>100</v>
      </c>
      <c r="L2606" s="60" t="str">
        <f>HYPERLINK("https://www.sds-group.ru/product/lampa-shar-svetodiodnaya-diametr-100mm-e27-12-led-2vt-siniy-matovaya-kolba-230v-neon-night-405-133/", "Инфо")</f>
        <v>Инфо</v>
      </c>
      <c r="M2606" s="37">
        <v>0.114</v>
      </c>
      <c r="N2606" s="38">
        <v>1.536E-3</v>
      </c>
      <c r="O2606" s="141">
        <v>4601004034044</v>
      </c>
    </row>
    <row r="2607" spans="1:15" ht="11.45" customHeight="1" outlineLevel="3" x14ac:dyDescent="0.2">
      <c r="A2607" s="76" t="s">
        <v>22618</v>
      </c>
      <c r="B2607" s="136"/>
      <c r="C2607" s="77"/>
      <c r="D2607" s="137"/>
      <c r="E2607" s="4"/>
      <c r="F2607" s="4"/>
      <c r="G2607" s="4"/>
      <c r="H2607" s="4"/>
      <c r="I2607" s="4"/>
      <c r="J2607" s="4"/>
      <c r="K2607" s="4"/>
      <c r="L2607" s="138"/>
      <c r="M2607" s="4"/>
      <c r="N2607" s="4"/>
      <c r="O2607" s="4"/>
    </row>
    <row r="2608" spans="1:15" s="1" customFormat="1" ht="11.45" customHeight="1" outlineLevel="4" x14ac:dyDescent="0.2">
      <c r="A2608" s="32" t="s">
        <v>22619</v>
      </c>
      <c r="B2608" s="74" t="s">
        <v>22620</v>
      </c>
      <c r="C2608" s="50"/>
      <c r="D2608" s="139">
        <f t="shared" si="40"/>
        <v>0</v>
      </c>
      <c r="E2608" s="140">
        <v>121.09</v>
      </c>
      <c r="F2608" s="140">
        <v>99.25</v>
      </c>
      <c r="G2608" s="34" t="s">
        <v>100</v>
      </c>
      <c r="H2608" s="34" t="s">
        <v>39</v>
      </c>
      <c r="I2608" s="35">
        <v>1</v>
      </c>
      <c r="J2608" s="35">
        <v>1</v>
      </c>
      <c r="K2608" s="35">
        <v>100</v>
      </c>
      <c r="L2608" s="60" t="str">
        <f>HYPERLINK("https://www.sds-group.ru/product/led-lampa-strob-vmeste-s-patronom-dlya-belt-layta-50mm-belaya-405-155/", "Инфо")</f>
        <v>Инфо</v>
      </c>
      <c r="M2608" s="37">
        <v>6.0999999999999999E-2</v>
      </c>
      <c r="N2608" s="38">
        <v>2.9E-4</v>
      </c>
      <c r="O2608" s="141">
        <v>4601004061293</v>
      </c>
    </row>
    <row r="2609" spans="1:15" s="1" customFormat="1" ht="11.45" customHeight="1" outlineLevel="4" x14ac:dyDescent="0.2">
      <c r="A2609" s="32" t="s">
        <v>22621</v>
      </c>
      <c r="B2609" s="74" t="s">
        <v>22622</v>
      </c>
      <c r="C2609" s="50"/>
      <c r="D2609" s="139">
        <f t="shared" si="40"/>
        <v>0</v>
      </c>
      <c r="E2609" s="140">
        <v>82.56</v>
      </c>
      <c r="F2609" s="140">
        <v>67.67</v>
      </c>
      <c r="G2609" s="34" t="s">
        <v>100</v>
      </c>
      <c r="H2609" s="34" t="s">
        <v>39</v>
      </c>
      <c r="I2609" s="35">
        <v>1</v>
      </c>
      <c r="J2609" s="35">
        <v>1</v>
      </c>
      <c r="K2609" s="35">
        <v>100</v>
      </c>
      <c r="L2609" s="60" t="str">
        <f>HYPERLINK("https://www.sds-group.ru/product/lampa-shar-svetodiodnaya-s-patronom-dlya-kabelya-belt-layt-diametr-45mm-6-led-1vt-zelenyy-ze-405-144/", "Инфо")</f>
        <v>Инфо</v>
      </c>
      <c r="M2609" s="37">
        <v>3.1E-2</v>
      </c>
      <c r="N2609" s="38">
        <v>1.76E-4</v>
      </c>
      <c r="O2609" s="141">
        <v>4601004090194</v>
      </c>
    </row>
    <row r="2610" spans="1:15" s="1" customFormat="1" ht="11.45" customHeight="1" outlineLevel="4" x14ac:dyDescent="0.2">
      <c r="A2610" s="32" t="s">
        <v>22623</v>
      </c>
      <c r="B2610" s="74" t="s">
        <v>22624</v>
      </c>
      <c r="C2610" s="50"/>
      <c r="D2610" s="139">
        <f t="shared" si="40"/>
        <v>0</v>
      </c>
      <c r="E2610" s="140">
        <v>66.88</v>
      </c>
      <c r="F2610" s="140">
        <v>54.82</v>
      </c>
      <c r="G2610" s="34" t="s">
        <v>100</v>
      </c>
      <c r="H2610" s="34" t="s">
        <v>39</v>
      </c>
      <c r="I2610" s="35">
        <v>1</v>
      </c>
      <c r="J2610" s="35">
        <v>1</v>
      </c>
      <c r="K2610" s="35">
        <v>100</v>
      </c>
      <c r="L2610" s="60" t="str">
        <f>HYPERLINK("https://www.sds-group.ru/product/lampa-shar-svetodiodnaya-s-patronom-dlya-kabelya-belt-layt-diametr-45mm-6-led-1vt-siniy-siny-405-143/", "Инфо")</f>
        <v>Инфо</v>
      </c>
      <c r="M2610" s="37">
        <v>3.1E-2</v>
      </c>
      <c r="N2610" s="38">
        <v>1.85E-4</v>
      </c>
      <c r="O2610" s="141">
        <v>4601004090187</v>
      </c>
    </row>
    <row r="2611" spans="1:15" ht="11.45" customHeight="1" outlineLevel="3" x14ac:dyDescent="0.2">
      <c r="A2611" s="76" t="s">
        <v>22632</v>
      </c>
      <c r="B2611" s="136"/>
      <c r="C2611" s="77"/>
      <c r="D2611" s="137"/>
      <c r="E2611" s="4"/>
      <c r="F2611" s="4"/>
      <c r="G2611" s="4"/>
      <c r="H2611" s="4"/>
      <c r="I2611" s="4"/>
      <c r="J2611" s="4"/>
      <c r="K2611" s="4"/>
      <c r="L2611" s="138"/>
      <c r="M2611" s="4"/>
      <c r="N2611" s="4"/>
      <c r="O2611" s="4"/>
    </row>
    <row r="2612" spans="1:15" s="1" customFormat="1" ht="11.45" customHeight="1" outlineLevel="4" x14ac:dyDescent="0.2">
      <c r="A2612" s="32" t="s">
        <v>22637</v>
      </c>
      <c r="B2612" s="74" t="s">
        <v>22638</v>
      </c>
      <c r="C2612" s="50"/>
      <c r="D2612" s="139">
        <f t="shared" si="40"/>
        <v>0</v>
      </c>
      <c r="E2612" s="140">
        <v>199.47</v>
      </c>
      <c r="F2612" s="140">
        <v>163.5</v>
      </c>
      <c r="G2612" s="34" t="s">
        <v>100</v>
      </c>
      <c r="H2612" s="34" t="s">
        <v>39</v>
      </c>
      <c r="I2612" s="35">
        <v>1</v>
      </c>
      <c r="J2612" s="35">
        <v>1</v>
      </c>
      <c r="K2612" s="35">
        <v>100</v>
      </c>
      <c r="L2612" s="60" t="str">
        <f>HYPERLINK("https://www.sds-group.ru/product/lampa-strob-svetodiodnaya-diametr-50-e27-18-led-2-5vt-siniy-230v-neon-night-411-123/", "Инфо")</f>
        <v>Инфо</v>
      </c>
      <c r="M2612" s="37">
        <v>0.05</v>
      </c>
      <c r="N2612" s="38">
        <v>2.5500000000000002E-4</v>
      </c>
      <c r="O2612" s="141">
        <v>4601004013605</v>
      </c>
    </row>
    <row r="2613" spans="1:15" ht="11.45" customHeight="1" outlineLevel="2" x14ac:dyDescent="0.2">
      <c r="A2613" s="76" t="s">
        <v>22674</v>
      </c>
      <c r="B2613" s="136"/>
      <c r="C2613" s="77"/>
      <c r="D2613" s="137"/>
      <c r="E2613" s="4"/>
      <c r="F2613" s="4"/>
      <c r="G2613" s="4"/>
      <c r="H2613" s="4"/>
      <c r="I2613" s="4"/>
      <c r="J2613" s="4"/>
      <c r="K2613" s="4"/>
      <c r="L2613" s="138"/>
      <c r="M2613" s="4"/>
      <c r="N2613" s="4"/>
      <c r="O2613" s="4"/>
    </row>
    <row r="2614" spans="1:15" ht="11.45" customHeight="1" outlineLevel="3" x14ac:dyDescent="0.2">
      <c r="A2614" s="76" t="s">
        <v>22718</v>
      </c>
      <c r="B2614" s="136"/>
      <c r="C2614" s="77"/>
      <c r="D2614" s="137"/>
      <c r="E2614" s="4"/>
      <c r="F2614" s="4"/>
      <c r="G2614" s="4"/>
      <c r="H2614" s="4"/>
      <c r="I2614" s="4"/>
      <c r="J2614" s="4"/>
      <c r="K2614" s="4"/>
      <c r="L2614" s="138"/>
      <c r="M2614" s="4"/>
      <c r="N2614" s="4"/>
      <c r="O2614" s="4"/>
    </row>
    <row r="2615" spans="1:15" s="1" customFormat="1" ht="11.45" customHeight="1" outlineLevel="4" x14ac:dyDescent="0.2">
      <c r="A2615" s="32" t="s">
        <v>22719</v>
      </c>
      <c r="B2615" s="74" t="s">
        <v>22720</v>
      </c>
      <c r="C2615" s="50"/>
      <c r="D2615" s="139">
        <f t="shared" si="40"/>
        <v>0</v>
      </c>
      <c r="E2615" s="140">
        <v>1446.59</v>
      </c>
      <c r="F2615" s="140">
        <v>1185.73</v>
      </c>
      <c r="G2615" s="34" t="s">
        <v>100</v>
      </c>
      <c r="H2615" s="34" t="s">
        <v>39</v>
      </c>
      <c r="I2615" s="35">
        <v>1</v>
      </c>
      <c r="J2615" s="35">
        <v>1</v>
      </c>
      <c r="K2615" s="35">
        <v>2</v>
      </c>
      <c r="L2615" s="60" t="str">
        <f>HYPERLINK("https://www.sds-group.ru/product/elochnaya-figura-karamelnaya-palochka-121-sm-tsvet-fioletovyy-belyy-502-247/", "Инфо")</f>
        <v>Инфо</v>
      </c>
      <c r="M2615" s="37">
        <v>2.0099999999999998</v>
      </c>
      <c r="N2615" s="38">
        <v>4.9721000000000001E-2</v>
      </c>
      <c r="O2615" s="141">
        <v>4601004018723</v>
      </c>
    </row>
    <row r="2616" spans="1:15" s="1" customFormat="1" ht="11.45" customHeight="1" outlineLevel="4" x14ac:dyDescent="0.2">
      <c r="A2616" s="32" t="s">
        <v>22721</v>
      </c>
      <c r="B2616" s="74" t="s">
        <v>22722</v>
      </c>
      <c r="C2616" s="50"/>
      <c r="D2616" s="139">
        <f t="shared" si="40"/>
        <v>0</v>
      </c>
      <c r="E2616" s="140">
        <v>361.34</v>
      </c>
      <c r="F2616" s="140">
        <v>296.18</v>
      </c>
      <c r="G2616" s="34" t="s">
        <v>100</v>
      </c>
      <c r="H2616" s="34" t="s">
        <v>39</v>
      </c>
      <c r="I2616" s="35">
        <v>1</v>
      </c>
      <c r="J2616" s="35">
        <v>1</v>
      </c>
      <c r="K2616" s="35">
        <v>12</v>
      </c>
      <c r="L2616" s="60" t="str">
        <f>HYPERLINK("https://www.sds-group.ru/product/elochnaya-figura-klubnichka-40-sm-tsvet-bordovyy-502-292/", "Инфо")</f>
        <v>Инфо</v>
      </c>
      <c r="M2616" s="37">
        <v>0.4</v>
      </c>
      <c r="N2616" s="38">
        <v>1.6624E-2</v>
      </c>
      <c r="O2616" s="141">
        <v>4601004018839</v>
      </c>
    </row>
    <row r="2617" spans="1:15" s="1" customFormat="1" ht="11.45" customHeight="1" outlineLevel="4" x14ac:dyDescent="0.2">
      <c r="A2617" s="32" t="s">
        <v>22723</v>
      </c>
      <c r="B2617" s="74" t="s">
        <v>22724</v>
      </c>
      <c r="C2617" s="50"/>
      <c r="D2617" s="139">
        <f t="shared" si="40"/>
        <v>0</v>
      </c>
      <c r="E2617" s="140">
        <v>2236.9</v>
      </c>
      <c r="F2617" s="140">
        <v>1833.52</v>
      </c>
      <c r="G2617" s="34" t="s">
        <v>100</v>
      </c>
      <c r="H2617" s="34" t="s">
        <v>39</v>
      </c>
      <c r="I2617" s="35">
        <v>1</v>
      </c>
      <c r="J2617" s="35">
        <v>1</v>
      </c>
      <c r="K2617" s="35">
        <v>2</v>
      </c>
      <c r="L2617" s="60" t="str">
        <f>HYPERLINK("https://www.sds-group.ru/product/elochnaya-figura-ledenets-102-sm-tsvet-belyy-krasnyy-i-zelenyy-502-242/", "Инфо")</f>
        <v>Инфо</v>
      </c>
      <c r="M2617" s="37">
        <v>5.6</v>
      </c>
      <c r="N2617" s="38">
        <v>0.105755</v>
      </c>
      <c r="O2617" s="141">
        <v>4601004004320</v>
      </c>
    </row>
    <row r="2618" spans="1:15" s="1" customFormat="1" ht="11.45" customHeight="1" outlineLevel="4" x14ac:dyDescent="0.2">
      <c r="A2618" s="32" t="s">
        <v>22725</v>
      </c>
      <c r="B2618" s="74" t="s">
        <v>22726</v>
      </c>
      <c r="C2618" s="50"/>
      <c r="D2618" s="139">
        <f t="shared" si="40"/>
        <v>0</v>
      </c>
      <c r="E2618" s="140">
        <v>621.82000000000005</v>
      </c>
      <c r="F2618" s="140">
        <v>509.69</v>
      </c>
      <c r="G2618" s="34" t="s">
        <v>100</v>
      </c>
      <c r="H2618" s="34" t="s">
        <v>39</v>
      </c>
      <c r="I2618" s="35">
        <v>1</v>
      </c>
      <c r="J2618" s="35">
        <v>1</v>
      </c>
      <c r="K2618" s="35">
        <v>8</v>
      </c>
      <c r="L2618" s="60" t="str">
        <f>HYPERLINK("https://www.sds-group.ru/product/elochnaya-figura-snezhinka-morozko-66-sm-tsvet-belyy-502-370/", "Инфо")</f>
        <v>Инфо</v>
      </c>
      <c r="M2618" s="37">
        <v>1.1839999999999999</v>
      </c>
      <c r="N2618" s="38">
        <v>1.4322E-2</v>
      </c>
      <c r="O2618" s="141">
        <v>4601004018945</v>
      </c>
    </row>
    <row r="2619" spans="1:15" s="1" customFormat="1" ht="11.45" customHeight="1" outlineLevel="4" x14ac:dyDescent="0.2">
      <c r="A2619" s="32" t="s">
        <v>22727</v>
      </c>
      <c r="B2619" s="74" t="s">
        <v>22728</v>
      </c>
      <c r="C2619" s="50"/>
      <c r="D2619" s="139">
        <f t="shared" si="40"/>
        <v>0</v>
      </c>
      <c r="E2619" s="140">
        <v>740.13</v>
      </c>
      <c r="F2619" s="140">
        <v>606.66</v>
      </c>
      <c r="G2619" s="34" t="s">
        <v>100</v>
      </c>
      <c r="H2619" s="34" t="s">
        <v>39</v>
      </c>
      <c r="I2619" s="35">
        <v>1</v>
      </c>
      <c r="J2619" s="35">
        <v>1</v>
      </c>
      <c r="K2619" s="35">
        <v>4</v>
      </c>
      <c r="L2619" s="60" t="str">
        <f>HYPERLINK("https://www.sds-group.ru/product/elochnaya-figura-snezhinka-reznaya-81-sm-tsvet-serebryanyy-502-375/", "Инфо")</f>
        <v>Инфо</v>
      </c>
      <c r="M2619" s="37">
        <v>1.9179999999999999</v>
      </c>
      <c r="N2619" s="38">
        <v>2.1579999999999998E-2</v>
      </c>
      <c r="O2619" s="141">
        <v>4601004004139</v>
      </c>
    </row>
    <row r="2620" spans="1:15" ht="11.45" customHeight="1" outlineLevel="2" x14ac:dyDescent="0.2">
      <c r="A2620" s="76" t="s">
        <v>22729</v>
      </c>
      <c r="B2620" s="136"/>
      <c r="C2620" s="77"/>
      <c r="D2620" s="137"/>
      <c r="E2620" s="4"/>
      <c r="F2620" s="4"/>
      <c r="G2620" s="4"/>
      <c r="H2620" s="4"/>
      <c r="I2620" s="4"/>
      <c r="J2620" s="4"/>
      <c r="K2620" s="4"/>
      <c r="L2620" s="138"/>
      <c r="M2620" s="4"/>
      <c r="N2620" s="4"/>
      <c r="O2620" s="4"/>
    </row>
    <row r="2621" spans="1:15" s="1" customFormat="1" ht="11.45" customHeight="1" outlineLevel="3" x14ac:dyDescent="0.2">
      <c r="A2621" s="32" t="s">
        <v>22730</v>
      </c>
      <c r="B2621" s="74" t="s">
        <v>22731</v>
      </c>
      <c r="C2621" s="50"/>
      <c r="D2621" s="139">
        <f t="shared" si="40"/>
        <v>0</v>
      </c>
      <c r="E2621" s="140">
        <v>13871.96</v>
      </c>
      <c r="F2621" s="140">
        <v>11370.46</v>
      </c>
      <c r="G2621" s="34" t="s">
        <v>100</v>
      </c>
      <c r="H2621" s="34" t="s">
        <v>39</v>
      </c>
      <c r="I2621" s="35">
        <v>1</v>
      </c>
      <c r="J2621" s="35">
        <v>1</v>
      </c>
      <c r="K2621" s="35">
        <v>1</v>
      </c>
      <c r="L2621" s="60" t="str">
        <f>HYPERLINK("https://www.sds-group.ru/product/akrilovaya-svetodiodnaya-figura-buryy-olen-100-sm-380-svetodiodov-ip-65-ponizhayuschiy-trans-513-305/", "Инфо")</f>
        <v>Инфо</v>
      </c>
      <c r="M2621" s="37">
        <v>15.58</v>
      </c>
      <c r="N2621" s="38">
        <v>0.24562200000000001</v>
      </c>
      <c r="O2621" s="141">
        <v>4601004012684</v>
      </c>
    </row>
    <row r="2622" spans="1:15" s="1" customFormat="1" ht="11.45" customHeight="1" outlineLevel="3" x14ac:dyDescent="0.2">
      <c r="A2622" s="32" t="s">
        <v>22732</v>
      </c>
      <c r="B2622" s="74" t="s">
        <v>22733</v>
      </c>
      <c r="C2622" s="50"/>
      <c r="D2622" s="139">
        <f t="shared" si="40"/>
        <v>0</v>
      </c>
      <c r="E2622" s="140">
        <v>16229.54</v>
      </c>
      <c r="F2622" s="140">
        <v>13302.9</v>
      </c>
      <c r="G2622" s="34" t="s">
        <v>100</v>
      </c>
      <c r="H2622" s="34" t="s">
        <v>39</v>
      </c>
      <c r="I2622" s="35">
        <v>1</v>
      </c>
      <c r="J2622" s="35">
        <v>1</v>
      </c>
      <c r="K2622" s="35">
        <v>1</v>
      </c>
      <c r="L2622" s="60" t="str">
        <f>HYPERLINK("https://www.sds-group.ru/product/akrilovaya-svetodiodnaya-figura-privetstvuyuschiy-santa-klaus-76h47h120-sm-ip65-ponizhayusch-513-183/", "Инфо")</f>
        <v>Инфо</v>
      </c>
      <c r="M2622" s="37">
        <v>19.579999999999998</v>
      </c>
      <c r="N2622" s="38">
        <v>0.49461500000000003</v>
      </c>
      <c r="O2622" s="141">
        <v>4601004180222</v>
      </c>
    </row>
    <row r="2623" spans="1:15" s="1" customFormat="1" ht="11.45" customHeight="1" outlineLevel="3" x14ac:dyDescent="0.2">
      <c r="A2623" s="32" t="s">
        <v>22734</v>
      </c>
      <c r="B2623" s="74" t="s">
        <v>22735</v>
      </c>
      <c r="C2623" s="50"/>
      <c r="D2623" s="139">
        <f t="shared" si="40"/>
        <v>0</v>
      </c>
      <c r="E2623" s="140">
        <v>103513.68</v>
      </c>
      <c r="F2623" s="140">
        <v>84847.28</v>
      </c>
      <c r="G2623" s="34" t="s">
        <v>100</v>
      </c>
      <c r="H2623" s="34" t="s">
        <v>39</v>
      </c>
      <c r="I2623" s="35">
        <v>1</v>
      </c>
      <c r="J2623" s="35">
        <v>1</v>
      </c>
      <c r="K2623" s="35">
        <v>1</v>
      </c>
      <c r="L2623" s="60" t="str">
        <f>HYPERLINK("https://www.sds-group.ru/product/akrilovaya-svetodiodnaya-figura-santa-klaus-210h75h60-sm-ip65-ponizhayuschiy-transformator-v-513-182/", "Инфо")</f>
        <v>Инфо</v>
      </c>
      <c r="M2623" s="37">
        <v>45</v>
      </c>
      <c r="N2623" s="38">
        <v>1.22</v>
      </c>
      <c r="O2623" s="141">
        <v>4601004303829</v>
      </c>
    </row>
    <row r="2624" spans="1:15" s="1" customFormat="1" ht="11.45" customHeight="1" outlineLevel="3" x14ac:dyDescent="0.2">
      <c r="A2624" s="32" t="s">
        <v>22738</v>
      </c>
      <c r="B2624" s="74" t="s">
        <v>22739</v>
      </c>
      <c r="C2624" s="50"/>
      <c r="D2624" s="139">
        <f t="shared" si="40"/>
        <v>0</v>
      </c>
      <c r="E2624" s="140">
        <v>17796.78</v>
      </c>
      <c r="F2624" s="140">
        <v>14587.52</v>
      </c>
      <c r="G2624" s="34" t="s">
        <v>100</v>
      </c>
      <c r="H2624" s="34" t="s">
        <v>39</v>
      </c>
      <c r="I2624" s="35">
        <v>1</v>
      </c>
      <c r="J2624" s="35">
        <v>1</v>
      </c>
      <c r="K2624" s="35">
        <v>1</v>
      </c>
      <c r="L2624" s="60" t="str">
        <f>HYPERLINK("https://www.sds-group.ru/product/akrilovaya-svetodiodnaya-figura-snezhnyy-olen-100-sm-380-svetodiodov-ip-65-ponizhayuschiy-tr-513-307/", "Инфо")</f>
        <v>Инфо</v>
      </c>
      <c r="M2624" s="37">
        <v>14.026999999999999</v>
      </c>
      <c r="N2624" s="38">
        <v>0.19606699999999999</v>
      </c>
      <c r="O2624" s="141">
        <v>4601004259478</v>
      </c>
    </row>
    <row r="2625" spans="1:15" ht="11.45" customHeight="1" outlineLevel="2" x14ac:dyDescent="0.2">
      <c r="A2625" s="76" t="s">
        <v>22740</v>
      </c>
      <c r="B2625" s="136"/>
      <c r="C2625" s="77"/>
      <c r="D2625" s="137"/>
      <c r="E2625" s="4"/>
      <c r="F2625" s="4"/>
      <c r="G2625" s="4"/>
      <c r="H2625" s="4"/>
      <c r="I2625" s="4"/>
      <c r="J2625" s="4"/>
      <c r="K2625" s="4"/>
      <c r="L2625" s="138"/>
      <c r="M2625" s="4"/>
      <c r="N2625" s="4"/>
      <c r="O2625" s="4"/>
    </row>
    <row r="2626" spans="1:15" ht="11.45" customHeight="1" outlineLevel="3" x14ac:dyDescent="0.2">
      <c r="A2626" s="76" t="s">
        <v>22741</v>
      </c>
      <c r="B2626" s="136"/>
      <c r="C2626" s="77"/>
      <c r="D2626" s="137"/>
      <c r="E2626" s="4"/>
      <c r="F2626" s="4"/>
      <c r="G2626" s="4"/>
      <c r="H2626" s="4"/>
      <c r="I2626" s="4"/>
      <c r="J2626" s="4"/>
      <c r="K2626" s="4"/>
      <c r="L2626" s="138"/>
      <c r="M2626" s="4"/>
      <c r="N2626" s="4"/>
      <c r="O2626" s="4"/>
    </row>
    <row r="2627" spans="1:15" s="1" customFormat="1" ht="11.45" customHeight="1" outlineLevel="4" x14ac:dyDescent="0.2">
      <c r="A2627" s="32" t="s">
        <v>22756</v>
      </c>
      <c r="B2627" s="74" t="s">
        <v>22757</v>
      </c>
      <c r="C2627" s="50"/>
      <c r="D2627" s="139">
        <f t="shared" si="40"/>
        <v>0</v>
      </c>
      <c r="E2627" s="140">
        <v>4751.62</v>
      </c>
      <c r="F2627" s="140">
        <v>3894.77</v>
      </c>
      <c r="G2627" s="34" t="s">
        <v>100</v>
      </c>
      <c r="H2627" s="34" t="s">
        <v>39</v>
      </c>
      <c r="I2627" s="35">
        <v>1</v>
      </c>
      <c r="J2627" s="35">
        <v>1</v>
      </c>
      <c r="K2627" s="35">
        <v>5</v>
      </c>
      <c r="L2627" s="60" t="str">
        <f>HYPERLINK("https://www.sds-group.ru/product/svetodiodnaya-figura-iz-dyuralayta-bolshaya-snezhinka-95x95sm-teplyy-belyy-neon-night-501-313/", "Инфо")</f>
        <v>Инфо</v>
      </c>
      <c r="M2627" s="37">
        <v>3.8</v>
      </c>
      <c r="N2627" s="38">
        <v>3.3250000000000002E-2</v>
      </c>
      <c r="O2627" s="141">
        <v>4601004013988</v>
      </c>
    </row>
    <row r="2628" spans="1:15" s="1" customFormat="1" ht="11.45" customHeight="1" outlineLevel="4" x14ac:dyDescent="0.2">
      <c r="A2628" s="32" t="s">
        <v>22758</v>
      </c>
      <c r="B2628" s="74" t="s">
        <v>22759</v>
      </c>
      <c r="C2628" s="50"/>
      <c r="D2628" s="139">
        <f t="shared" si="40"/>
        <v>0</v>
      </c>
      <c r="E2628" s="140">
        <v>332.05</v>
      </c>
      <c r="F2628" s="140">
        <v>272.17</v>
      </c>
      <c r="G2628" s="34" t="s">
        <v>100</v>
      </c>
      <c r="H2628" s="34" t="s">
        <v>39</v>
      </c>
      <c r="I2628" s="35">
        <v>1</v>
      </c>
      <c r="J2628" s="35">
        <v>1</v>
      </c>
      <c r="K2628" s="35">
        <v>50</v>
      </c>
      <c r="L2628" s="60" t="str">
        <f>HYPERLINK("https://www.sds-group.ru/product/svetodiodnaya-figura-iz-dyuralayta-zvezdochka-30x28sm-belyy-neon-night-501-211-1/", "Инфо")</f>
        <v>Инфо</v>
      </c>
      <c r="M2628" s="37">
        <v>0.47699999999999998</v>
      </c>
      <c r="N2628" s="38">
        <v>3.039E-3</v>
      </c>
      <c r="O2628" s="141">
        <v>4601004008991</v>
      </c>
    </row>
    <row r="2629" spans="1:15" ht="11.45" customHeight="1" outlineLevel="3" x14ac:dyDescent="0.2">
      <c r="A2629" s="76" t="s">
        <v>22780</v>
      </c>
      <c r="B2629" s="136"/>
      <c r="C2629" s="77"/>
      <c r="D2629" s="137"/>
      <c r="E2629" s="4"/>
      <c r="F2629" s="4"/>
      <c r="G2629" s="4"/>
      <c r="H2629" s="4"/>
      <c r="I2629" s="4"/>
      <c r="J2629" s="4"/>
      <c r="K2629" s="4"/>
      <c r="L2629" s="138"/>
      <c r="M2629" s="4"/>
      <c r="N2629" s="4"/>
      <c r="O2629" s="4"/>
    </row>
    <row r="2630" spans="1:15" s="1" customFormat="1" ht="11.45" customHeight="1" outlineLevel="4" x14ac:dyDescent="0.2">
      <c r="A2630" s="32" t="s">
        <v>22783</v>
      </c>
      <c r="B2630" s="74" t="s">
        <v>22784</v>
      </c>
      <c r="C2630" s="50"/>
      <c r="D2630" s="139">
        <f t="shared" si="40"/>
        <v>0</v>
      </c>
      <c r="E2630" s="140">
        <v>11971.82</v>
      </c>
      <c r="F2630" s="140">
        <v>9812.9699999999993</v>
      </c>
      <c r="G2630" s="34" t="s">
        <v>100</v>
      </c>
      <c r="H2630" s="34" t="s">
        <v>39</v>
      </c>
      <c r="I2630" s="35">
        <v>1</v>
      </c>
      <c r="J2630" s="35">
        <v>1</v>
      </c>
      <c r="K2630" s="35">
        <v>5</v>
      </c>
      <c r="L2630" s="60" t="str">
        <f>HYPERLINK("https://www.sds-group.ru/product/figura-svetovaya-skazochnyy-olen-iz-gibkogo-neona-140h93-sm-1680-led-tsvet-svecheniya-belyy--501-314/", "Инфо")</f>
        <v>Инфо</v>
      </c>
      <c r="M2630" s="37">
        <v>6.0110000000000001</v>
      </c>
      <c r="N2630" s="38">
        <v>5.3999999999999999E-2</v>
      </c>
      <c r="O2630" s="141">
        <v>4601004179929</v>
      </c>
    </row>
    <row r="2631" spans="1:15" s="1" customFormat="1" ht="11.45" customHeight="1" outlineLevel="4" x14ac:dyDescent="0.2">
      <c r="A2631" s="32" t="s">
        <v>22787</v>
      </c>
      <c r="B2631" s="74" t="s">
        <v>22788</v>
      </c>
      <c r="C2631" s="50"/>
      <c r="D2631" s="139">
        <f t="shared" si="40"/>
        <v>0</v>
      </c>
      <c r="E2631" s="140">
        <v>2008.63</v>
      </c>
      <c r="F2631" s="140">
        <v>1646.42</v>
      </c>
      <c r="G2631" s="34" t="s">
        <v>100</v>
      </c>
      <c r="H2631" s="34" t="s">
        <v>39</v>
      </c>
      <c r="I2631" s="35">
        <v>1</v>
      </c>
      <c r="J2631" s="35">
        <v>1</v>
      </c>
      <c r="K2631" s="35">
        <v>10</v>
      </c>
      <c r="L2631" s="60" t="str">
        <f>HYPERLINK("https://www.sds-group.ru/product/figura-svetovaya-sozvezdie-razmer-55x100sm-svechenie-beloe-neon-night-501-355/", "Инфо")</f>
        <v>Инфо</v>
      </c>
      <c r="M2631" s="37">
        <v>2.6</v>
      </c>
      <c r="N2631" s="38">
        <v>2.393E-2</v>
      </c>
      <c r="O2631" s="141">
        <v>4601004017559</v>
      </c>
    </row>
    <row r="2632" spans="1:15" ht="11.45" customHeight="1" outlineLevel="3" x14ac:dyDescent="0.2">
      <c r="A2632" s="76" t="s">
        <v>22794</v>
      </c>
      <c r="B2632" s="136"/>
      <c r="C2632" s="77"/>
      <c r="D2632" s="137"/>
      <c r="E2632" s="4"/>
      <c r="F2632" s="4"/>
      <c r="G2632" s="4"/>
      <c r="H2632" s="4"/>
      <c r="I2632" s="4"/>
      <c r="J2632" s="4"/>
      <c r="K2632" s="4"/>
      <c r="L2632" s="138"/>
      <c r="M2632" s="4"/>
      <c r="N2632" s="4"/>
      <c r="O2632" s="4"/>
    </row>
    <row r="2633" spans="1:15" s="1" customFormat="1" ht="11.45" customHeight="1" outlineLevel="4" x14ac:dyDescent="0.2">
      <c r="A2633" s="32" t="s">
        <v>22801</v>
      </c>
      <c r="B2633" s="74" t="s">
        <v>22802</v>
      </c>
      <c r="C2633" s="50"/>
      <c r="D2633" s="139">
        <f t="shared" si="40"/>
        <v>0</v>
      </c>
      <c r="E2633" s="140">
        <v>10203.99</v>
      </c>
      <c r="F2633" s="140">
        <v>8363.93</v>
      </c>
      <c r="G2633" s="34" t="s">
        <v>100</v>
      </c>
      <c r="H2633" s="34" t="s">
        <v>39</v>
      </c>
      <c r="I2633" s="35">
        <v>1</v>
      </c>
      <c r="J2633" s="35">
        <v>1</v>
      </c>
      <c r="K2633" s="35">
        <v>1</v>
      </c>
      <c r="L2633" s="60" t="str">
        <f>HYPERLINK("https://www.sds-group.ru/product/shar-svetodiodnyy-230v-diametr-90-sm-372-svetodioda-tsvet-belyy-501-624/", "Инфо")</f>
        <v>Инфо</v>
      </c>
      <c r="M2633" s="37">
        <v>9.6</v>
      </c>
      <c r="N2633" s="38">
        <v>0.48699999999999999</v>
      </c>
      <c r="O2633" s="141">
        <v>4601004017597</v>
      </c>
    </row>
  </sheetData>
  <mergeCells count="693">
    <mergeCell ref="A2629:C2629"/>
    <mergeCell ref="A2632:C2632"/>
    <mergeCell ref="A2611:C2611"/>
    <mergeCell ref="A2613:C2613"/>
    <mergeCell ref="A2614:C2614"/>
    <mergeCell ref="A2620:C2620"/>
    <mergeCell ref="A2625:C2625"/>
    <mergeCell ref="A2626:C2626"/>
    <mergeCell ref="A2593:C2593"/>
    <mergeCell ref="A2595:C2595"/>
    <mergeCell ref="A2597:C2597"/>
    <mergeCell ref="A2601:C2601"/>
    <mergeCell ref="A2604:C2604"/>
    <mergeCell ref="A2607:C2607"/>
    <mergeCell ref="A2582:C2582"/>
    <mergeCell ref="A2584:C2584"/>
    <mergeCell ref="A2586:C2586"/>
    <mergeCell ref="A2587:C2587"/>
    <mergeCell ref="A2589:C2589"/>
    <mergeCell ref="A2592:C2592"/>
    <mergeCell ref="A2565:C2565"/>
    <mergeCell ref="A2570:C2570"/>
    <mergeCell ref="A2573:C2573"/>
    <mergeCell ref="A2575:C2575"/>
    <mergeCell ref="A2576:C2576"/>
    <mergeCell ref="A2577:C2577"/>
    <mergeCell ref="A2549:C2549"/>
    <mergeCell ref="A2552:C2552"/>
    <mergeCell ref="A2554:C2554"/>
    <mergeCell ref="A2555:C2555"/>
    <mergeCell ref="A2559:C2559"/>
    <mergeCell ref="A2562:C2562"/>
    <mergeCell ref="A2527:C2527"/>
    <mergeCell ref="A2530:C2530"/>
    <mergeCell ref="A2536:C2536"/>
    <mergeCell ref="A2539:C2539"/>
    <mergeCell ref="A2545:C2545"/>
    <mergeCell ref="A2548:C2548"/>
    <mergeCell ref="A2516:C2516"/>
    <mergeCell ref="A2518:C2518"/>
    <mergeCell ref="A2519:C2519"/>
    <mergeCell ref="A2522:C2522"/>
    <mergeCell ref="A2525:C2525"/>
    <mergeCell ref="A2526:C2526"/>
    <mergeCell ref="A2495:C2495"/>
    <mergeCell ref="A2497:C2497"/>
    <mergeCell ref="A2501:C2501"/>
    <mergeCell ref="A2502:C2502"/>
    <mergeCell ref="A2503:C2503"/>
    <mergeCell ref="A2505:C2505"/>
    <mergeCell ref="A2473:C2473"/>
    <mergeCell ref="A2484:C2484"/>
    <mergeCell ref="A2486:C2486"/>
    <mergeCell ref="A2488:C2488"/>
    <mergeCell ref="A2489:C2489"/>
    <mergeCell ref="A2493:C2493"/>
    <mergeCell ref="A2459:C2459"/>
    <mergeCell ref="A2461:C2461"/>
    <mergeCell ref="A2463:C2463"/>
    <mergeCell ref="A2467:C2467"/>
    <mergeCell ref="A2468:C2468"/>
    <mergeCell ref="A2469:C2469"/>
    <mergeCell ref="A2447:C2447"/>
    <mergeCell ref="A2448:C2448"/>
    <mergeCell ref="A2449:C2449"/>
    <mergeCell ref="A2451:C2451"/>
    <mergeCell ref="A2454:C2454"/>
    <mergeCell ref="A2458:C2458"/>
    <mergeCell ref="A2423:C2423"/>
    <mergeCell ref="A2429:C2429"/>
    <mergeCell ref="A2430:C2430"/>
    <mergeCell ref="A2436:C2436"/>
    <mergeCell ref="A2438:C2438"/>
    <mergeCell ref="A2445:C2445"/>
    <mergeCell ref="A2407:C2407"/>
    <mergeCell ref="A2408:C2408"/>
    <mergeCell ref="A2411:C2411"/>
    <mergeCell ref="A2416:C2416"/>
    <mergeCell ref="A2420:C2420"/>
    <mergeCell ref="A2422:C2422"/>
    <mergeCell ref="A2357:C2357"/>
    <mergeCell ref="A2371:C2371"/>
    <mergeCell ref="A2378:C2378"/>
    <mergeCell ref="A2388:C2388"/>
    <mergeCell ref="A2392:C2392"/>
    <mergeCell ref="A2396:C2396"/>
    <mergeCell ref="A2324:C2324"/>
    <mergeCell ref="A2326:C2326"/>
    <mergeCell ref="A2330:C2330"/>
    <mergeCell ref="A2331:C2331"/>
    <mergeCell ref="A2339:C2339"/>
    <mergeCell ref="A2352:C2352"/>
    <mergeCell ref="A2292:C2292"/>
    <mergeCell ref="A2294:C2294"/>
    <mergeCell ref="A2299:C2299"/>
    <mergeCell ref="A2302:C2302"/>
    <mergeCell ref="A2306:C2306"/>
    <mergeCell ref="A2310:C2310"/>
    <mergeCell ref="A2279:C2279"/>
    <mergeCell ref="A2281:C2281"/>
    <mergeCell ref="A2283:C2283"/>
    <mergeCell ref="A2286:C2286"/>
    <mergeCell ref="A2289:C2289"/>
    <mergeCell ref="A2290:C2290"/>
    <mergeCell ref="A2245:C2245"/>
    <mergeCell ref="A2257:C2257"/>
    <mergeCell ref="A2262:C2262"/>
    <mergeCell ref="A2263:C2263"/>
    <mergeCell ref="A2267:C2267"/>
    <mergeCell ref="A2275:C2275"/>
    <mergeCell ref="A2223:C2223"/>
    <mergeCell ref="A2225:C2225"/>
    <mergeCell ref="A2226:C2226"/>
    <mergeCell ref="A2227:C2227"/>
    <mergeCell ref="A2228:C2228"/>
    <mergeCell ref="A2231:C2231"/>
    <mergeCell ref="A2201:C2201"/>
    <mergeCell ref="A2210:C2210"/>
    <mergeCell ref="A2211:C2211"/>
    <mergeCell ref="A2219:C2219"/>
    <mergeCell ref="A2220:C2220"/>
    <mergeCell ref="A2222:C2222"/>
    <mergeCell ref="A2179:C2179"/>
    <mergeCell ref="A2182:C2182"/>
    <mergeCell ref="A2183:C2183"/>
    <mergeCell ref="A2191:C2191"/>
    <mergeCell ref="A2195:C2195"/>
    <mergeCell ref="A2197:C2197"/>
    <mergeCell ref="A2138:C2138"/>
    <mergeCell ref="A2139:C2139"/>
    <mergeCell ref="A2140:C2140"/>
    <mergeCell ref="A2146:C2146"/>
    <mergeCell ref="A2166:C2166"/>
    <mergeCell ref="A2168:C2168"/>
    <mergeCell ref="A2097:C2097"/>
    <mergeCell ref="A2099:C2099"/>
    <mergeCell ref="A2102:C2102"/>
    <mergeCell ref="A2105:C2105"/>
    <mergeCell ref="A2109:C2109"/>
    <mergeCell ref="A2110:C2110"/>
    <mergeCell ref="A2085:C2085"/>
    <mergeCell ref="A2087:C2087"/>
    <mergeCell ref="A2090:C2090"/>
    <mergeCell ref="A2091:C2091"/>
    <mergeCell ref="A2093:C2093"/>
    <mergeCell ref="A2094:C2094"/>
    <mergeCell ref="A2061:C2061"/>
    <mergeCell ref="A2074:C2074"/>
    <mergeCell ref="A2075:C2075"/>
    <mergeCell ref="A2078:C2078"/>
    <mergeCell ref="A2081:C2081"/>
    <mergeCell ref="A2084:C2084"/>
    <mergeCell ref="A2032:C2032"/>
    <mergeCell ref="A2033:C2033"/>
    <mergeCell ref="A2034:C2034"/>
    <mergeCell ref="A2050:C2050"/>
    <mergeCell ref="A2057:C2057"/>
    <mergeCell ref="A2058:C2058"/>
    <mergeCell ref="A2011:C2011"/>
    <mergeCell ref="A2012:C2012"/>
    <mergeCell ref="A2016:C2016"/>
    <mergeCell ref="A2024:C2024"/>
    <mergeCell ref="A2027:C2027"/>
    <mergeCell ref="A2030:C2030"/>
    <mergeCell ref="A1987:C1987"/>
    <mergeCell ref="A1988:C1988"/>
    <mergeCell ref="A1991:C1991"/>
    <mergeCell ref="A1994:C1994"/>
    <mergeCell ref="A1997:C1997"/>
    <mergeCell ref="A2000:C2000"/>
    <mergeCell ref="A1965:C1965"/>
    <mergeCell ref="A1967:C1967"/>
    <mergeCell ref="A1971:C1971"/>
    <mergeCell ref="A1974:C1974"/>
    <mergeCell ref="A1977:C1977"/>
    <mergeCell ref="A1984:C1984"/>
    <mergeCell ref="A1952:C1952"/>
    <mergeCell ref="A1955:C1955"/>
    <mergeCell ref="A1956:C1956"/>
    <mergeCell ref="A1957:C1957"/>
    <mergeCell ref="A1958:C1958"/>
    <mergeCell ref="A1963:C1963"/>
    <mergeCell ref="A1939:C1939"/>
    <mergeCell ref="A1941:C1941"/>
    <mergeCell ref="A1942:C1942"/>
    <mergeCell ref="A1943:C1943"/>
    <mergeCell ref="A1945:C1945"/>
    <mergeCell ref="A1949:C1949"/>
    <mergeCell ref="A1930:C1930"/>
    <mergeCell ref="A1931:C1931"/>
    <mergeCell ref="A1933:C1933"/>
    <mergeCell ref="A1934:C1934"/>
    <mergeCell ref="A1936:C1936"/>
    <mergeCell ref="A1938:C1938"/>
    <mergeCell ref="A1915:C1915"/>
    <mergeCell ref="A1916:C1916"/>
    <mergeCell ref="A1918:C1918"/>
    <mergeCell ref="A1919:C1919"/>
    <mergeCell ref="A1921:C1921"/>
    <mergeCell ref="A1927:C1927"/>
    <mergeCell ref="A1895:C1895"/>
    <mergeCell ref="A1906:C1906"/>
    <mergeCell ref="A1908:C1908"/>
    <mergeCell ref="A1909:C1909"/>
    <mergeCell ref="A1911:C1911"/>
    <mergeCell ref="A1912:C1912"/>
    <mergeCell ref="A1879:C1879"/>
    <mergeCell ref="A1880:C1880"/>
    <mergeCell ref="A1882:C1882"/>
    <mergeCell ref="A1890:C1890"/>
    <mergeCell ref="A1893:C1893"/>
    <mergeCell ref="A1894:C1894"/>
    <mergeCell ref="A1839:C1839"/>
    <mergeCell ref="A1846:C1846"/>
    <mergeCell ref="A1858:C1858"/>
    <mergeCell ref="A1870:C1870"/>
    <mergeCell ref="A1877:C1877"/>
    <mergeCell ref="A1878:C1878"/>
    <mergeCell ref="A1816:C1816"/>
    <mergeCell ref="A1824:C1824"/>
    <mergeCell ref="A1825:C1825"/>
    <mergeCell ref="A1827:C1827"/>
    <mergeCell ref="A1829:C1829"/>
    <mergeCell ref="A1830:C1830"/>
    <mergeCell ref="A1790:C1790"/>
    <mergeCell ref="A1791:C1791"/>
    <mergeCell ref="A1794:C1794"/>
    <mergeCell ref="A1801:C1801"/>
    <mergeCell ref="A1809:C1809"/>
    <mergeCell ref="A1810:C1810"/>
    <mergeCell ref="A1778:C1778"/>
    <mergeCell ref="A1780:C1780"/>
    <mergeCell ref="A1782:C1782"/>
    <mergeCell ref="A1783:C1783"/>
    <mergeCell ref="A1784:C1784"/>
    <mergeCell ref="A1787:C1787"/>
    <mergeCell ref="A1760:C1760"/>
    <mergeCell ref="A1768:C1768"/>
    <mergeCell ref="A1772:C1772"/>
    <mergeCell ref="A1774:C1774"/>
    <mergeCell ref="A1775:C1775"/>
    <mergeCell ref="A1777:C1777"/>
    <mergeCell ref="A1743:C1743"/>
    <mergeCell ref="A1748:C1748"/>
    <mergeCell ref="A1750:C1750"/>
    <mergeCell ref="A1751:C1751"/>
    <mergeCell ref="A1753:C1753"/>
    <mergeCell ref="A1759:C1759"/>
    <mergeCell ref="A1734:C1734"/>
    <mergeCell ref="A1735:C1735"/>
    <mergeCell ref="A1737:C1737"/>
    <mergeCell ref="A1738:C1738"/>
    <mergeCell ref="A1741:C1741"/>
    <mergeCell ref="A1742:C1742"/>
    <mergeCell ref="A1718:C1718"/>
    <mergeCell ref="A1721:C1721"/>
    <mergeCell ref="A1725:C1725"/>
    <mergeCell ref="A1726:C1726"/>
    <mergeCell ref="A1728:C1728"/>
    <mergeCell ref="A1729:C1729"/>
    <mergeCell ref="A1708:C1708"/>
    <mergeCell ref="A1710:C1710"/>
    <mergeCell ref="A1713:C1713"/>
    <mergeCell ref="A1714:C1714"/>
    <mergeCell ref="A1715:C1715"/>
    <mergeCell ref="A1717:C1717"/>
    <mergeCell ref="A1683:C1683"/>
    <mergeCell ref="A1690:C1690"/>
    <mergeCell ref="A1700:C1700"/>
    <mergeCell ref="A1701:C1701"/>
    <mergeCell ref="A1705:C1705"/>
    <mergeCell ref="A1707:C1707"/>
    <mergeCell ref="A1665:C1665"/>
    <mergeCell ref="A1667:C1667"/>
    <mergeCell ref="A1668:C1668"/>
    <mergeCell ref="A1673:C1673"/>
    <mergeCell ref="A1680:C1680"/>
    <mergeCell ref="A1682:C1682"/>
    <mergeCell ref="A1623:C1623"/>
    <mergeCell ref="A1631:C1631"/>
    <mergeCell ref="A1641:C1641"/>
    <mergeCell ref="A1643:C1643"/>
    <mergeCell ref="A1650:C1650"/>
    <mergeCell ref="A1660:C1660"/>
    <mergeCell ref="A1604:C1604"/>
    <mergeCell ref="A1613:C1613"/>
    <mergeCell ref="A1617:C1617"/>
    <mergeCell ref="A1618:C1618"/>
    <mergeCell ref="A1621:C1621"/>
    <mergeCell ref="A1622:C1622"/>
    <mergeCell ref="A1588:C1588"/>
    <mergeCell ref="A1589:C1589"/>
    <mergeCell ref="A1594:C1594"/>
    <mergeCell ref="A1597:C1597"/>
    <mergeCell ref="A1601:C1601"/>
    <mergeCell ref="A1602:C1602"/>
    <mergeCell ref="A1577:C1577"/>
    <mergeCell ref="A1582:C1582"/>
    <mergeCell ref="A1583:C1583"/>
    <mergeCell ref="A1585:C1585"/>
    <mergeCell ref="A1586:C1586"/>
    <mergeCell ref="A1587:C1587"/>
    <mergeCell ref="A1565:C1565"/>
    <mergeCell ref="A1568:C1568"/>
    <mergeCell ref="A1570:C1570"/>
    <mergeCell ref="A1571:C1571"/>
    <mergeCell ref="A1573:C1573"/>
    <mergeCell ref="A1576:C1576"/>
    <mergeCell ref="A1551:C1551"/>
    <mergeCell ref="A1552:C1552"/>
    <mergeCell ref="A1554:C1554"/>
    <mergeCell ref="A1555:C1555"/>
    <mergeCell ref="A1558:C1558"/>
    <mergeCell ref="A1561:C1561"/>
    <mergeCell ref="A1528:C1528"/>
    <mergeCell ref="A1529:C1529"/>
    <mergeCell ref="A1541:C1541"/>
    <mergeCell ref="A1544:C1544"/>
    <mergeCell ref="A1546:C1546"/>
    <mergeCell ref="A1550:C1550"/>
    <mergeCell ref="A1502:C1502"/>
    <mergeCell ref="A1505:C1505"/>
    <mergeCell ref="A1516:C1516"/>
    <mergeCell ref="A1520:C1520"/>
    <mergeCell ref="A1521:C1521"/>
    <mergeCell ref="A1523:C1523"/>
    <mergeCell ref="A1493:C1493"/>
    <mergeCell ref="A1495:C1495"/>
    <mergeCell ref="A1496:C1496"/>
    <mergeCell ref="A1497:C1497"/>
    <mergeCell ref="A1499:C1499"/>
    <mergeCell ref="A1501:C1501"/>
    <mergeCell ref="A1480:C1480"/>
    <mergeCell ref="A1481:C1481"/>
    <mergeCell ref="A1486:C1486"/>
    <mergeCell ref="A1488:C1488"/>
    <mergeCell ref="A1489:C1489"/>
    <mergeCell ref="A1491:C1491"/>
    <mergeCell ref="A1458:C1458"/>
    <mergeCell ref="A1471:C1471"/>
    <mergeCell ref="A1474:C1474"/>
    <mergeCell ref="A1476:C1476"/>
    <mergeCell ref="A1477:C1477"/>
    <mergeCell ref="A1479:C1479"/>
    <mergeCell ref="A1444:C1444"/>
    <mergeCell ref="A1450:C1450"/>
    <mergeCell ref="A1451:C1451"/>
    <mergeCell ref="A1452:C1452"/>
    <mergeCell ref="A1454:C1454"/>
    <mergeCell ref="A1456:C1456"/>
    <mergeCell ref="A1429:C1429"/>
    <mergeCell ref="A1431:C1431"/>
    <mergeCell ref="A1434:C1434"/>
    <mergeCell ref="A1437:C1437"/>
    <mergeCell ref="A1438:C1438"/>
    <mergeCell ref="A1439:C1439"/>
    <mergeCell ref="A1415:C1415"/>
    <mergeCell ref="A1416:C1416"/>
    <mergeCell ref="A1417:C1417"/>
    <mergeCell ref="A1422:C1422"/>
    <mergeCell ref="A1426:C1426"/>
    <mergeCell ref="A1427:C1427"/>
    <mergeCell ref="A1403:C1403"/>
    <mergeCell ref="A1406:C1406"/>
    <mergeCell ref="A1407:C1407"/>
    <mergeCell ref="A1409:C1409"/>
    <mergeCell ref="A1411:C1411"/>
    <mergeCell ref="A1414:C1414"/>
    <mergeCell ref="A1390:C1390"/>
    <mergeCell ref="A1395:C1395"/>
    <mergeCell ref="A1396:C1396"/>
    <mergeCell ref="A1399:C1399"/>
    <mergeCell ref="A1400:C1400"/>
    <mergeCell ref="A1402:C1402"/>
    <mergeCell ref="A1368:C1368"/>
    <mergeCell ref="A1373:C1373"/>
    <mergeCell ref="A1378:C1378"/>
    <mergeCell ref="A1382:C1382"/>
    <mergeCell ref="A1383:C1383"/>
    <mergeCell ref="A1386:C1386"/>
    <mergeCell ref="A1355:C1355"/>
    <mergeCell ref="A1357:C1357"/>
    <mergeCell ref="A1361:C1361"/>
    <mergeCell ref="A1364:C1364"/>
    <mergeCell ref="A1366:C1366"/>
    <mergeCell ref="A1367:C1367"/>
    <mergeCell ref="A1345:C1345"/>
    <mergeCell ref="A1346:C1346"/>
    <mergeCell ref="A1348:C1348"/>
    <mergeCell ref="A1349:C1349"/>
    <mergeCell ref="A1353:C1353"/>
    <mergeCell ref="A1354:C1354"/>
    <mergeCell ref="A1334:C1334"/>
    <mergeCell ref="A1335:C1335"/>
    <mergeCell ref="A1337:C1337"/>
    <mergeCell ref="A1340:C1340"/>
    <mergeCell ref="A1341:C1341"/>
    <mergeCell ref="A1344:C1344"/>
    <mergeCell ref="A1288:C1288"/>
    <mergeCell ref="A1291:C1291"/>
    <mergeCell ref="A1292:C1292"/>
    <mergeCell ref="A1318:C1318"/>
    <mergeCell ref="A1332:C1332"/>
    <mergeCell ref="A1333:C1333"/>
    <mergeCell ref="A1272:C1272"/>
    <mergeCell ref="A1274:C1274"/>
    <mergeCell ref="A1277:C1277"/>
    <mergeCell ref="A1279:C1279"/>
    <mergeCell ref="A1284:C1284"/>
    <mergeCell ref="A1285:C1285"/>
    <mergeCell ref="A1242:C1242"/>
    <mergeCell ref="A1246:C1246"/>
    <mergeCell ref="A1249:C1249"/>
    <mergeCell ref="A1254:C1254"/>
    <mergeCell ref="A1255:C1255"/>
    <mergeCell ref="A1260:C1260"/>
    <mergeCell ref="A1166:C1166"/>
    <mergeCell ref="A1195:C1195"/>
    <mergeCell ref="A1218:C1218"/>
    <mergeCell ref="A1223:C1223"/>
    <mergeCell ref="A1230:C1230"/>
    <mergeCell ref="A1238:C1238"/>
    <mergeCell ref="A1114:C1114"/>
    <mergeCell ref="A1124:C1124"/>
    <mergeCell ref="A1125:C1125"/>
    <mergeCell ref="A1129:C1129"/>
    <mergeCell ref="A1130:C1130"/>
    <mergeCell ref="A1160:C1160"/>
    <mergeCell ref="A1101:C1101"/>
    <mergeCell ref="A1102:C1102"/>
    <mergeCell ref="A1104:C1104"/>
    <mergeCell ref="A1105:C1105"/>
    <mergeCell ref="A1111:C1111"/>
    <mergeCell ref="A1112:C1112"/>
    <mergeCell ref="A1076:C1076"/>
    <mergeCell ref="A1077:C1077"/>
    <mergeCell ref="A1089:C1089"/>
    <mergeCell ref="A1097:C1097"/>
    <mergeCell ref="A1098:C1098"/>
    <mergeCell ref="A1100:C1100"/>
    <mergeCell ref="A1061:C1061"/>
    <mergeCell ref="A1062:C1062"/>
    <mergeCell ref="A1063:C1063"/>
    <mergeCell ref="A1071:C1071"/>
    <mergeCell ref="A1073:C1073"/>
    <mergeCell ref="A1074:C1074"/>
    <mergeCell ref="A1039:C1039"/>
    <mergeCell ref="A1041:C1041"/>
    <mergeCell ref="A1054:C1054"/>
    <mergeCell ref="A1055:C1055"/>
    <mergeCell ref="A1058:C1058"/>
    <mergeCell ref="A1060:C1060"/>
    <mergeCell ref="A1024:C1024"/>
    <mergeCell ref="A1025:C1025"/>
    <mergeCell ref="A1032:C1032"/>
    <mergeCell ref="A1033:C1033"/>
    <mergeCell ref="A1034:C1034"/>
    <mergeCell ref="A1036:C1036"/>
    <mergeCell ref="A1011:C1011"/>
    <mergeCell ref="A1013:C1013"/>
    <mergeCell ref="A1014:C1014"/>
    <mergeCell ref="A1016:C1016"/>
    <mergeCell ref="A1019:C1019"/>
    <mergeCell ref="A1021:C1021"/>
    <mergeCell ref="A997:C997"/>
    <mergeCell ref="A999:C999"/>
    <mergeCell ref="A1003:C1003"/>
    <mergeCell ref="A1006:C1006"/>
    <mergeCell ref="A1008:C1008"/>
    <mergeCell ref="A1010:C1010"/>
    <mergeCell ref="A983:C983"/>
    <mergeCell ref="A984:C984"/>
    <mergeCell ref="A990:C990"/>
    <mergeCell ref="A991:C991"/>
    <mergeCell ref="A995:C995"/>
    <mergeCell ref="A996:C996"/>
    <mergeCell ref="A971:C971"/>
    <mergeCell ref="A972:C972"/>
    <mergeCell ref="A973:C973"/>
    <mergeCell ref="A974:C974"/>
    <mergeCell ref="A979:C979"/>
    <mergeCell ref="A981:C981"/>
    <mergeCell ref="A948:C948"/>
    <mergeCell ref="A952:C952"/>
    <mergeCell ref="A954:C954"/>
    <mergeCell ref="A955:C955"/>
    <mergeCell ref="A957:C957"/>
    <mergeCell ref="A960:C960"/>
    <mergeCell ref="A934:C934"/>
    <mergeCell ref="A938:C938"/>
    <mergeCell ref="A940:C940"/>
    <mergeCell ref="A942:C942"/>
    <mergeCell ref="A943:C943"/>
    <mergeCell ref="A945:C945"/>
    <mergeCell ref="A904:C904"/>
    <mergeCell ref="A907:C907"/>
    <mergeCell ref="A911:C911"/>
    <mergeCell ref="A924:C924"/>
    <mergeCell ref="A928:C928"/>
    <mergeCell ref="A933:C933"/>
    <mergeCell ref="A869:C869"/>
    <mergeCell ref="A889:C889"/>
    <mergeCell ref="A896:C896"/>
    <mergeCell ref="A900:C900"/>
    <mergeCell ref="A901:C901"/>
    <mergeCell ref="A903:C903"/>
    <mergeCell ref="A860:C860"/>
    <mergeCell ref="A861:C861"/>
    <mergeCell ref="A863:C863"/>
    <mergeCell ref="A865:C865"/>
    <mergeCell ref="A866:C866"/>
    <mergeCell ref="A868:C868"/>
    <mergeCell ref="A841:C841"/>
    <mergeCell ref="A844:C844"/>
    <mergeCell ref="A845:C845"/>
    <mergeCell ref="A847:C847"/>
    <mergeCell ref="A857:C857"/>
    <mergeCell ref="A859:C859"/>
    <mergeCell ref="A802:C802"/>
    <mergeCell ref="A808:C808"/>
    <mergeCell ref="A810:C810"/>
    <mergeCell ref="A815:C815"/>
    <mergeCell ref="A828:C828"/>
    <mergeCell ref="A833:C833"/>
    <mergeCell ref="A667:C667"/>
    <mergeCell ref="A681:C681"/>
    <mergeCell ref="A706:C706"/>
    <mergeCell ref="A735:C735"/>
    <mergeCell ref="A755:C755"/>
    <mergeCell ref="A793:C793"/>
    <mergeCell ref="A641:C641"/>
    <mergeCell ref="A643:C643"/>
    <mergeCell ref="A650:C650"/>
    <mergeCell ref="A652:C652"/>
    <mergeCell ref="A653:C653"/>
    <mergeCell ref="A663:C663"/>
    <mergeCell ref="A609:C609"/>
    <mergeCell ref="A610:C610"/>
    <mergeCell ref="A613:C613"/>
    <mergeCell ref="A617:C617"/>
    <mergeCell ref="A621:C621"/>
    <mergeCell ref="A629:C629"/>
    <mergeCell ref="A595:C595"/>
    <mergeCell ref="A597:C597"/>
    <mergeCell ref="A599:C599"/>
    <mergeCell ref="A601:C601"/>
    <mergeCell ref="A604:C604"/>
    <mergeCell ref="A606:C606"/>
    <mergeCell ref="A585:C585"/>
    <mergeCell ref="A587:C587"/>
    <mergeCell ref="A589:C589"/>
    <mergeCell ref="A591:C591"/>
    <mergeCell ref="A592:C592"/>
    <mergeCell ref="A594:C594"/>
    <mergeCell ref="A567:C567"/>
    <mergeCell ref="A572:C572"/>
    <mergeCell ref="A575:C575"/>
    <mergeCell ref="A577:C577"/>
    <mergeCell ref="A581:C581"/>
    <mergeCell ref="A584:C584"/>
    <mergeCell ref="A551:C551"/>
    <mergeCell ref="A556:C556"/>
    <mergeCell ref="A561:C561"/>
    <mergeCell ref="A562:C562"/>
    <mergeCell ref="A564:C564"/>
    <mergeCell ref="A566:C566"/>
    <mergeCell ref="A536:C536"/>
    <mergeCell ref="A539:C539"/>
    <mergeCell ref="A540:C540"/>
    <mergeCell ref="A541:C541"/>
    <mergeCell ref="A542:C542"/>
    <mergeCell ref="A547:C547"/>
    <mergeCell ref="A516:C516"/>
    <mergeCell ref="A517:C517"/>
    <mergeCell ref="A521:C521"/>
    <mergeCell ref="A525:C525"/>
    <mergeCell ref="A531:C531"/>
    <mergeCell ref="A532:C532"/>
    <mergeCell ref="A498:C498"/>
    <mergeCell ref="A499:C499"/>
    <mergeCell ref="A503:C503"/>
    <mergeCell ref="A504:C504"/>
    <mergeCell ref="A508:C508"/>
    <mergeCell ref="A513:C513"/>
    <mergeCell ref="A478:C478"/>
    <mergeCell ref="A482:C482"/>
    <mergeCell ref="A485:C485"/>
    <mergeCell ref="A490:C490"/>
    <mergeCell ref="A494:C494"/>
    <mergeCell ref="A497:C497"/>
    <mergeCell ref="A460:C460"/>
    <mergeCell ref="A462:C462"/>
    <mergeCell ref="A470:C470"/>
    <mergeCell ref="A473:C473"/>
    <mergeCell ref="A474:C474"/>
    <mergeCell ref="A477:C477"/>
    <mergeCell ref="A430:C430"/>
    <mergeCell ref="A434:C434"/>
    <mergeCell ref="A438:C438"/>
    <mergeCell ref="A439:C439"/>
    <mergeCell ref="A440:C440"/>
    <mergeCell ref="A447:C447"/>
    <mergeCell ref="A342:C342"/>
    <mergeCell ref="A344:C344"/>
    <mergeCell ref="A345:C345"/>
    <mergeCell ref="A346:C346"/>
    <mergeCell ref="A402:C402"/>
    <mergeCell ref="A406:C406"/>
    <mergeCell ref="A327:C327"/>
    <mergeCell ref="A331:C331"/>
    <mergeCell ref="A334:C334"/>
    <mergeCell ref="A337:C337"/>
    <mergeCell ref="A339:C339"/>
    <mergeCell ref="A340:C340"/>
    <mergeCell ref="A292:C292"/>
    <mergeCell ref="A294:C294"/>
    <mergeCell ref="A296:C296"/>
    <mergeCell ref="A297:C297"/>
    <mergeCell ref="A315:C315"/>
    <mergeCell ref="A324:C324"/>
    <mergeCell ref="A268:C268"/>
    <mergeCell ref="A270:C270"/>
    <mergeCell ref="A271:C271"/>
    <mergeCell ref="A276:C276"/>
    <mergeCell ref="A287:C287"/>
    <mergeCell ref="A291:C291"/>
    <mergeCell ref="A249:C249"/>
    <mergeCell ref="A252:C252"/>
    <mergeCell ref="A253:C253"/>
    <mergeCell ref="A254:C254"/>
    <mergeCell ref="A260:C260"/>
    <mergeCell ref="A264:C264"/>
    <mergeCell ref="A230:C230"/>
    <mergeCell ref="A235:C235"/>
    <mergeCell ref="A244:C244"/>
    <mergeCell ref="A245:C245"/>
    <mergeCell ref="A246:C246"/>
    <mergeCell ref="A248:C248"/>
    <mergeCell ref="A210:C210"/>
    <mergeCell ref="A221:C221"/>
    <mergeCell ref="A224:C224"/>
    <mergeCell ref="A225:C225"/>
    <mergeCell ref="A227:C227"/>
    <mergeCell ref="A229:C229"/>
    <mergeCell ref="A200:C200"/>
    <mergeCell ref="A202:C202"/>
    <mergeCell ref="A204:C204"/>
    <mergeCell ref="A205:C205"/>
    <mergeCell ref="A207:C207"/>
    <mergeCell ref="A209:C209"/>
    <mergeCell ref="A174:C174"/>
    <mergeCell ref="A175:C175"/>
    <mergeCell ref="A177:C177"/>
    <mergeCell ref="A180:C180"/>
    <mergeCell ref="A193:C193"/>
    <mergeCell ref="A199:C199"/>
    <mergeCell ref="A146:C146"/>
    <mergeCell ref="A149:C149"/>
    <mergeCell ref="A167:C167"/>
    <mergeCell ref="A168:C168"/>
    <mergeCell ref="A171:C171"/>
    <mergeCell ref="A173:C173"/>
    <mergeCell ref="A133:C133"/>
    <mergeCell ref="A134:C134"/>
    <mergeCell ref="A136:C136"/>
    <mergeCell ref="A138:C138"/>
    <mergeCell ref="A139:C139"/>
    <mergeCell ref="A140:C140"/>
    <mergeCell ref="A112:C112"/>
    <mergeCell ref="A115:C115"/>
    <mergeCell ref="A116:C116"/>
    <mergeCell ref="A118:C118"/>
    <mergeCell ref="A121:C121"/>
    <mergeCell ref="A128:C128"/>
    <mergeCell ref="A97:C97"/>
    <mergeCell ref="A102:C102"/>
    <mergeCell ref="A103:C103"/>
    <mergeCell ref="A104:C104"/>
    <mergeCell ref="A106:C106"/>
    <mergeCell ref="A108:C108"/>
    <mergeCell ref="A11:C11"/>
    <mergeCell ref="A12:C12"/>
    <mergeCell ref="A13:C13"/>
    <mergeCell ref="A14:C14"/>
    <mergeCell ref="A28:C28"/>
    <mergeCell ref="A96:C96"/>
    <mergeCell ref="E1:G1"/>
    <mergeCell ref="B2:C7"/>
    <mergeCell ref="D2:D3"/>
    <mergeCell ref="E2:G3"/>
    <mergeCell ref="E4:G4"/>
    <mergeCell ref="D5:D7"/>
    <mergeCell ref="E5:G7"/>
  </mergeCells>
  <pageMargins left="0.75" right="1" top="0.75" bottom="1" header="0.5" footer="0.5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6B5BBA-8351-4440-973D-A9D6F5389FD9}">
  <sheetPr>
    <outlinePr summaryBelow="0" summaryRight="0"/>
    <pageSetUpPr autoPageBreaks="0"/>
  </sheetPr>
  <dimension ref="A1:Z392"/>
  <sheetViews>
    <sheetView workbookViewId="0">
      <pane ySplit="8" topLeftCell="A9" activePane="bottomLeft" state="frozenSplit"/>
      <selection pane="bottomLeft"/>
    </sheetView>
  </sheetViews>
  <sheetFormatPr defaultColWidth="10.5" defaultRowHeight="11.45" customHeight="1" outlineLevelRow="4" outlineLevelCol="1" x14ac:dyDescent="0.2"/>
  <cols>
    <col min="1" max="1" width="26.6640625" style="1" customWidth="1"/>
    <col min="2" max="2" width="71.1640625" style="70" customWidth="1"/>
    <col min="3" max="3" width="26.1640625" style="1" customWidth="1" outlineLevel="1"/>
    <col min="4" max="4" width="37.83203125" style="1" customWidth="1" outlineLevel="1"/>
    <col min="5" max="7" width="10.5" style="1" customWidth="1" outlineLevel="1"/>
    <col min="8" max="8" width="12.83203125" style="1" customWidth="1" outlineLevel="1"/>
    <col min="9" max="9" width="18.83203125" style="1" customWidth="1" outlineLevel="1"/>
    <col min="10" max="10" width="12.1640625" style="1" customWidth="1" outlineLevel="1"/>
    <col min="11" max="11" width="13.6640625" style="1" customWidth="1" outlineLevel="1"/>
    <col min="12" max="14" width="10.5" style="1" customWidth="1" outlineLevel="1"/>
    <col min="15" max="15" width="11.1640625" style="1" customWidth="1"/>
    <col min="16" max="16" width="11.6640625" style="1" customWidth="1"/>
    <col min="17" max="17" width="11.33203125" style="1" customWidth="1"/>
    <col min="18" max="18" width="11.1640625" style="1" customWidth="1"/>
    <col min="19" max="19" width="11.33203125" style="1" customWidth="1"/>
    <col min="20" max="20" width="11.1640625" style="1" customWidth="1"/>
    <col min="21" max="21" width="32.6640625" style="1" customWidth="1"/>
    <col min="22" max="22" width="17" style="1" customWidth="1"/>
    <col min="23" max="23" width="22" style="1" customWidth="1"/>
    <col min="24" max="24" width="14.1640625" style="1" customWidth="1" outlineLevel="1"/>
    <col min="25" max="25" width="13.5" style="1" customWidth="1" outlineLevel="1"/>
    <col min="26" max="26" width="30.33203125" style="1" customWidth="1" outlineLevel="1"/>
  </cols>
  <sheetData>
    <row r="1" spans="1:26" ht="11.1" customHeight="1" x14ac:dyDescent="0.2"/>
    <row r="2" spans="1:26" ht="12" customHeight="1" x14ac:dyDescent="0.2">
      <c r="B2" s="84" t="s">
        <v>0</v>
      </c>
      <c r="D2" s="2" t="s">
        <v>1</v>
      </c>
      <c r="E2" s="85">
        <f>SUM(D:D)</f>
        <v>0</v>
      </c>
      <c r="F2" s="86"/>
      <c r="G2" s="87" t="s">
        <v>2</v>
      </c>
      <c r="H2" s="87"/>
      <c r="I2" s="88" t="s">
        <v>3</v>
      </c>
      <c r="J2" s="88"/>
      <c r="K2" s="88" t="s">
        <v>4</v>
      </c>
      <c r="L2" s="88"/>
    </row>
    <row r="3" spans="1:26" ht="12" customHeight="1" x14ac:dyDescent="0.2">
      <c r="B3" s="84"/>
      <c r="D3" s="3" t="s">
        <v>5</v>
      </c>
      <c r="E3" s="85">
        <f>E2-(E2/122%*22%)</f>
        <v>0</v>
      </c>
      <c r="F3" s="86"/>
      <c r="G3" s="89">
        <v>0</v>
      </c>
      <c r="H3" s="90"/>
      <c r="I3" s="92">
        <f>SUMPRODUCT($C:$C,X:X)</f>
        <v>0</v>
      </c>
      <c r="J3" s="93"/>
      <c r="K3" s="92">
        <f>SUMPRODUCT($C:$C,Y:Y)</f>
        <v>0</v>
      </c>
      <c r="L3" s="93"/>
    </row>
    <row r="4" spans="1:26" ht="12.95" customHeight="1" x14ac:dyDescent="0.2">
      <c r="B4" s="71" t="s">
        <v>6</v>
      </c>
      <c r="D4" s="4"/>
      <c r="E4" s="4"/>
      <c r="F4" s="4"/>
      <c r="G4" s="91"/>
      <c r="H4" s="91"/>
      <c r="I4" s="93"/>
      <c r="J4" s="93"/>
      <c r="K4" s="93"/>
      <c r="L4" s="93"/>
    </row>
    <row r="5" spans="1:26" ht="12.95" customHeight="1" x14ac:dyDescent="0.2">
      <c r="B5" s="72" t="s">
        <v>7</v>
      </c>
      <c r="G5" s="91"/>
      <c r="H5" s="91"/>
      <c r="I5" s="93"/>
      <c r="J5" s="93"/>
      <c r="K5" s="93"/>
      <c r="L5" s="93"/>
    </row>
    <row r="6" spans="1:26" ht="11.1" customHeight="1" x14ac:dyDescent="0.2">
      <c r="G6" s="91"/>
      <c r="H6" s="91"/>
      <c r="I6" s="93"/>
      <c r="J6" s="93"/>
      <c r="K6" s="93"/>
      <c r="L6" s="93"/>
    </row>
    <row r="7" spans="1:26" ht="11.1" customHeight="1" x14ac:dyDescent="0.2">
      <c r="A7" s="5"/>
      <c r="B7" s="73" t="s">
        <v>8</v>
      </c>
    </row>
    <row r="8" spans="1:26" s="6" customFormat="1" ht="21.95" customHeight="1" x14ac:dyDescent="0.2">
      <c r="A8" s="7" t="s">
        <v>9</v>
      </c>
      <c r="B8" s="7" t="s">
        <v>10</v>
      </c>
      <c r="C8" s="8" t="s">
        <v>11</v>
      </c>
      <c r="D8" s="8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7" t="s">
        <v>22</v>
      </c>
      <c r="O8" s="9" t="s">
        <v>23</v>
      </c>
      <c r="P8" s="9" t="s">
        <v>24</v>
      </c>
      <c r="Q8" s="7" t="s">
        <v>25</v>
      </c>
      <c r="R8" s="7" t="s">
        <v>26</v>
      </c>
      <c r="S8" s="7" t="s">
        <v>27</v>
      </c>
      <c r="T8" s="7" t="s">
        <v>28</v>
      </c>
      <c r="U8" s="7" t="s">
        <v>29</v>
      </c>
      <c r="V8" s="7" t="s">
        <v>30</v>
      </c>
      <c r="W8" s="7" t="s">
        <v>31</v>
      </c>
      <c r="X8" s="10" t="s">
        <v>3</v>
      </c>
      <c r="Y8" s="10" t="s">
        <v>4</v>
      </c>
      <c r="Z8" s="10" t="s">
        <v>32</v>
      </c>
    </row>
    <row r="9" spans="1:26" ht="12.95" customHeight="1" x14ac:dyDescent="0.2">
      <c r="A9" s="80" t="s">
        <v>33</v>
      </c>
      <c r="B9" s="80"/>
      <c r="C9" s="81"/>
      <c r="D9" s="56"/>
      <c r="E9" s="66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.95" customHeight="1" outlineLevel="1" x14ac:dyDescent="0.2">
      <c r="A10" s="78" t="s">
        <v>1762</v>
      </c>
      <c r="B10" s="78"/>
      <c r="C10" s="79"/>
      <c r="D10" s="57"/>
      <c r="E10" s="67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.95" customHeight="1" outlineLevel="2" x14ac:dyDescent="0.2">
      <c r="A11" s="76" t="s">
        <v>2045</v>
      </c>
      <c r="B11" s="76"/>
      <c r="C11" s="77"/>
      <c r="D11" s="58"/>
      <c r="E11" s="68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95" customHeight="1" outlineLevel="3" x14ac:dyDescent="0.2">
      <c r="A12" s="76" t="s">
        <v>2046</v>
      </c>
      <c r="B12" s="76"/>
      <c r="C12" s="77"/>
      <c r="D12" s="58"/>
      <c r="E12" s="68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" customHeight="1" outlineLevel="4" x14ac:dyDescent="0.2">
      <c r="A13" s="14" t="s">
        <v>2047</v>
      </c>
      <c r="B13" s="26" t="s">
        <v>2048</v>
      </c>
      <c r="C13" s="52"/>
      <c r="D13" s="55">
        <f t="shared" ref="D13:D76" si="0">C13*(O13-O13*$G$3)</f>
        <v>0</v>
      </c>
      <c r="E13" s="63" t="str">
        <f>HYPERLINK("https://www.sds-group.ru/product/metallorukav-r3-tsh-8-rexant-28-1008-00/", "Инфо")</f>
        <v>Инфо</v>
      </c>
      <c r="F13" s="16" t="s">
        <v>1767</v>
      </c>
      <c r="G13" s="15"/>
      <c r="H13" s="15"/>
      <c r="I13" s="15" t="s">
        <v>2049</v>
      </c>
      <c r="J13" s="16" t="s">
        <v>100</v>
      </c>
      <c r="K13" s="15"/>
      <c r="L13" s="17">
        <v>100</v>
      </c>
      <c r="M13" s="17">
        <v>100</v>
      </c>
      <c r="N13" s="17">
        <v>100</v>
      </c>
      <c r="O13" s="18">
        <v>75.78</v>
      </c>
      <c r="P13" s="18">
        <v>62.11</v>
      </c>
      <c r="Q13" s="18">
        <v>64.41</v>
      </c>
      <c r="R13" s="18">
        <v>52.8</v>
      </c>
      <c r="S13" s="18">
        <v>51.53</v>
      </c>
      <c r="T13" s="18">
        <v>42.24</v>
      </c>
      <c r="U13" s="16"/>
      <c r="V13" s="16"/>
      <c r="W13" s="16" t="s">
        <v>40</v>
      </c>
      <c r="X13" s="19">
        <v>7.1999999999999995E-2</v>
      </c>
      <c r="Y13" s="20">
        <v>2.2100000000000001E-4</v>
      </c>
      <c r="Z13" s="21">
        <v>4601004178151</v>
      </c>
    </row>
    <row r="14" spans="1:26" ht="12" customHeight="1" outlineLevel="4" x14ac:dyDescent="0.2">
      <c r="A14" s="14" t="s">
        <v>2050</v>
      </c>
      <c r="B14" s="26" t="s">
        <v>2051</v>
      </c>
      <c r="C14" s="52"/>
      <c r="D14" s="55">
        <f t="shared" si="0"/>
        <v>0</v>
      </c>
      <c r="E14" s="63" t="str">
        <f>HYPERLINK("https://www.sds-group.ru/product/metallorukav-r3-tsh-12-rexant-28-1012-50/", "Инфо")</f>
        <v>Инфо</v>
      </c>
      <c r="F14" s="16" t="s">
        <v>1767</v>
      </c>
      <c r="G14" s="15"/>
      <c r="H14" s="15"/>
      <c r="I14" s="15" t="s">
        <v>2052</v>
      </c>
      <c r="J14" s="16" t="s">
        <v>100</v>
      </c>
      <c r="K14" s="15"/>
      <c r="L14" s="17">
        <v>50</v>
      </c>
      <c r="M14" s="17">
        <v>50</v>
      </c>
      <c r="N14" s="17">
        <v>50</v>
      </c>
      <c r="O14" s="18">
        <v>78.87</v>
      </c>
      <c r="P14" s="18">
        <v>64.650000000000006</v>
      </c>
      <c r="Q14" s="18">
        <v>67.040000000000006</v>
      </c>
      <c r="R14" s="18">
        <v>54.95</v>
      </c>
      <c r="S14" s="18">
        <v>53.63</v>
      </c>
      <c r="T14" s="18">
        <v>43.96</v>
      </c>
      <c r="U14" s="16"/>
      <c r="V14" s="16"/>
      <c r="W14" s="16" t="s">
        <v>40</v>
      </c>
      <c r="X14" s="19">
        <v>9.1999999999999998E-2</v>
      </c>
      <c r="Y14" s="20">
        <v>4.4900000000000002E-4</v>
      </c>
      <c r="Z14" s="21">
        <v>4601004178182</v>
      </c>
    </row>
    <row r="15" spans="1:26" ht="12" customHeight="1" outlineLevel="4" x14ac:dyDescent="0.2">
      <c r="A15" s="14" t="s">
        <v>2053</v>
      </c>
      <c r="B15" s="26" t="s">
        <v>2054</v>
      </c>
      <c r="C15" s="52"/>
      <c r="D15" s="55">
        <f t="shared" si="0"/>
        <v>0</v>
      </c>
      <c r="E15" s="63" t="str">
        <f>HYPERLINK("https://www.sds-group.ru/product/metallorukav-r3-tsh-18-rexant-28-1018-50/", "Инфо")</f>
        <v>Инфо</v>
      </c>
      <c r="F15" s="16" t="s">
        <v>1767</v>
      </c>
      <c r="G15" s="15"/>
      <c r="H15" s="15"/>
      <c r="I15" s="15" t="s">
        <v>2052</v>
      </c>
      <c r="J15" s="16" t="s">
        <v>100</v>
      </c>
      <c r="K15" s="15"/>
      <c r="L15" s="17">
        <v>50</v>
      </c>
      <c r="M15" s="17">
        <v>50</v>
      </c>
      <c r="N15" s="17">
        <v>50</v>
      </c>
      <c r="O15" s="18">
        <v>107.79</v>
      </c>
      <c r="P15" s="18">
        <v>88.35</v>
      </c>
      <c r="Q15" s="18">
        <v>91.62</v>
      </c>
      <c r="R15" s="18">
        <v>75.099999999999994</v>
      </c>
      <c r="S15" s="18">
        <v>73.3</v>
      </c>
      <c r="T15" s="18">
        <v>60.08</v>
      </c>
      <c r="U15" s="16"/>
      <c r="V15" s="16"/>
      <c r="W15" s="16" t="s">
        <v>40</v>
      </c>
      <c r="X15" s="19">
        <v>0.13200000000000001</v>
      </c>
      <c r="Y15" s="20">
        <v>7.9500000000000003E-4</v>
      </c>
      <c r="Z15" s="21">
        <v>4601004178229</v>
      </c>
    </row>
    <row r="16" spans="1:26" ht="12" customHeight="1" outlineLevel="4" x14ac:dyDescent="0.2">
      <c r="A16" s="32" t="s">
        <v>2055</v>
      </c>
      <c r="B16" s="74" t="s">
        <v>2056</v>
      </c>
      <c r="C16" s="50"/>
      <c r="D16" s="53">
        <f t="shared" si="0"/>
        <v>0</v>
      </c>
      <c r="E16" s="60" t="str">
        <f>HYPERLINK("https://www.sds-group.ru/product/metallorukav-r3-tsh-32-rexant-28-1032-20/", "Инфо")</f>
        <v>Инфо</v>
      </c>
      <c r="F16" s="34" t="s">
        <v>1767</v>
      </c>
      <c r="G16" s="33"/>
      <c r="H16" s="33" t="s">
        <v>40</v>
      </c>
      <c r="I16" s="33" t="s">
        <v>2057</v>
      </c>
      <c r="J16" s="35">
        <v>20</v>
      </c>
      <c r="K16" s="33"/>
      <c r="L16" s="35">
        <v>20</v>
      </c>
      <c r="M16" s="35">
        <v>20</v>
      </c>
      <c r="N16" s="35">
        <v>20</v>
      </c>
      <c r="O16" s="36">
        <v>269.01</v>
      </c>
      <c r="P16" s="36">
        <v>220.5</v>
      </c>
      <c r="Q16" s="36">
        <v>228.66</v>
      </c>
      <c r="R16" s="36">
        <v>187.43</v>
      </c>
      <c r="S16" s="36">
        <v>182.93</v>
      </c>
      <c r="T16" s="36">
        <v>149.94</v>
      </c>
      <c r="U16" s="34"/>
      <c r="V16" s="34"/>
      <c r="W16" s="34" t="s">
        <v>40</v>
      </c>
      <c r="X16" s="37">
        <v>0.34200000000000003</v>
      </c>
      <c r="Y16" s="38">
        <v>1.768E-3</v>
      </c>
      <c r="Z16" s="21">
        <v>4601004178304</v>
      </c>
    </row>
    <row r="17" spans="1:26" ht="12" customHeight="1" outlineLevel="4" x14ac:dyDescent="0.2">
      <c r="A17" s="14" t="s">
        <v>2058</v>
      </c>
      <c r="B17" s="26" t="s">
        <v>2059</v>
      </c>
      <c r="C17" s="52"/>
      <c r="D17" s="55">
        <f t="shared" si="0"/>
        <v>0</v>
      </c>
      <c r="E17" s="63" t="str">
        <f>HYPERLINK("https://www.sds-group.ru/product/metallorukav-r3-tsh-50-rexant-28-1050-20/", "Инфо")</f>
        <v>Инфо</v>
      </c>
      <c r="F17" s="16" t="s">
        <v>1767</v>
      </c>
      <c r="G17" s="15"/>
      <c r="H17" s="15"/>
      <c r="I17" s="15" t="s">
        <v>2057</v>
      </c>
      <c r="J17" s="17">
        <v>40</v>
      </c>
      <c r="K17" s="15"/>
      <c r="L17" s="17">
        <v>20</v>
      </c>
      <c r="M17" s="17">
        <v>20</v>
      </c>
      <c r="N17" s="17">
        <v>20</v>
      </c>
      <c r="O17" s="18">
        <v>380.76</v>
      </c>
      <c r="P17" s="18">
        <v>312.10000000000002</v>
      </c>
      <c r="Q17" s="18">
        <v>323.64999999999998</v>
      </c>
      <c r="R17" s="18">
        <v>265.29000000000002</v>
      </c>
      <c r="S17" s="18">
        <v>258.92</v>
      </c>
      <c r="T17" s="18">
        <v>212.23</v>
      </c>
      <c r="U17" s="16"/>
      <c r="V17" s="16"/>
      <c r="W17" s="16" t="s">
        <v>40</v>
      </c>
      <c r="X17" s="19">
        <v>0.63</v>
      </c>
      <c r="Y17" s="20">
        <v>4.6039999999999996E-3</v>
      </c>
      <c r="Z17" s="21">
        <v>4601004178328</v>
      </c>
    </row>
    <row r="18" spans="1:26" ht="12.95" customHeight="1" outlineLevel="3" x14ac:dyDescent="0.2">
      <c r="A18" s="76" t="s">
        <v>2060</v>
      </c>
      <c r="B18" s="76"/>
      <c r="C18" s="77"/>
      <c r="D18" s="58"/>
      <c r="E18" s="68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 spans="1:26" ht="12" customHeight="1" outlineLevel="4" x14ac:dyDescent="0.2">
      <c r="A19" s="14" t="s">
        <v>2061</v>
      </c>
      <c r="B19" s="26" t="s">
        <v>2062</v>
      </c>
      <c r="C19" s="52"/>
      <c r="D19" s="55">
        <f t="shared" si="0"/>
        <v>0</v>
      </c>
      <c r="E19" s="63" t="str">
        <f>HYPERLINK("https://www.sds-group.ru/product/metallorukav-v-pvh-izolyatsii-mrping-6-rz-ts-pvhng-chernyy-rexant-28-0006-00/", "Инфо")</f>
        <v>Инфо</v>
      </c>
      <c r="F19" s="16" t="s">
        <v>1767</v>
      </c>
      <c r="G19" s="15"/>
      <c r="H19" s="15"/>
      <c r="I19" s="15" t="s">
        <v>2049</v>
      </c>
      <c r="J19" s="16" t="s">
        <v>100</v>
      </c>
      <c r="K19" s="15"/>
      <c r="L19" s="17">
        <v>100</v>
      </c>
      <c r="M19" s="17">
        <v>100</v>
      </c>
      <c r="N19" s="17">
        <v>100</v>
      </c>
      <c r="O19" s="18">
        <v>58.2</v>
      </c>
      <c r="P19" s="18">
        <v>47.7</v>
      </c>
      <c r="Q19" s="18">
        <v>49.47</v>
      </c>
      <c r="R19" s="18">
        <v>40.549999999999997</v>
      </c>
      <c r="S19" s="18">
        <v>39.58</v>
      </c>
      <c r="T19" s="18">
        <v>32.44</v>
      </c>
      <c r="U19" s="16"/>
      <c r="V19" s="16"/>
      <c r="W19" s="16" t="s">
        <v>40</v>
      </c>
      <c r="X19" s="19">
        <v>7.4999999999999997E-2</v>
      </c>
      <c r="Y19" s="20">
        <v>2.2900000000000001E-4</v>
      </c>
      <c r="Z19" s="21">
        <v>4601004178427</v>
      </c>
    </row>
    <row r="20" spans="1:26" ht="12" customHeight="1" outlineLevel="4" x14ac:dyDescent="0.2">
      <c r="A20" s="14" t="s">
        <v>2063</v>
      </c>
      <c r="B20" s="26" t="s">
        <v>2064</v>
      </c>
      <c r="C20" s="52"/>
      <c r="D20" s="55">
        <f t="shared" si="0"/>
        <v>0</v>
      </c>
      <c r="E20" s="63" t="str">
        <f>HYPERLINK("https://www.sds-group.ru/product/metallorukav-v-pvh-izolyatsii-mrping-8-rz-ts-pvhng-chernyy-rexant-28-0008-00/", "Инфо")</f>
        <v>Инфо</v>
      </c>
      <c r="F20" s="16" t="s">
        <v>1767</v>
      </c>
      <c r="G20" s="15"/>
      <c r="H20" s="15"/>
      <c r="I20" s="15" t="s">
        <v>2049</v>
      </c>
      <c r="J20" s="16" t="s">
        <v>100</v>
      </c>
      <c r="K20" s="15"/>
      <c r="L20" s="17">
        <v>100</v>
      </c>
      <c r="M20" s="17">
        <v>100</v>
      </c>
      <c r="N20" s="17">
        <v>100</v>
      </c>
      <c r="O20" s="18">
        <v>83.96</v>
      </c>
      <c r="P20" s="18">
        <v>68.819999999999993</v>
      </c>
      <c r="Q20" s="18">
        <v>71.37</v>
      </c>
      <c r="R20" s="18">
        <v>58.5</v>
      </c>
      <c r="S20" s="18">
        <v>57.09</v>
      </c>
      <c r="T20" s="18">
        <v>46.8</v>
      </c>
      <c r="U20" s="16"/>
      <c r="V20" s="16"/>
      <c r="W20" s="16" t="s">
        <v>40</v>
      </c>
      <c r="X20" s="19">
        <v>7.5999999999999998E-2</v>
      </c>
      <c r="Y20" s="20">
        <v>3.2400000000000001E-4</v>
      </c>
      <c r="Z20" s="21">
        <v>4601004177970</v>
      </c>
    </row>
    <row r="21" spans="1:26" ht="12" customHeight="1" outlineLevel="4" x14ac:dyDescent="0.2">
      <c r="A21" s="14" t="s">
        <v>2065</v>
      </c>
      <c r="B21" s="26" t="s">
        <v>2066</v>
      </c>
      <c r="C21" s="52"/>
      <c r="D21" s="55">
        <f t="shared" si="0"/>
        <v>0</v>
      </c>
      <c r="E21" s="63" t="str">
        <f>HYPERLINK("https://www.sds-group.ru/product/metallorukav-v-pvh-izolyatsii-mrping-10-rz-ts-pvhng-chernyy-rexant-28-0010-50/", "Инфо")</f>
        <v>Инфо</v>
      </c>
      <c r="F21" s="16" t="s">
        <v>1767</v>
      </c>
      <c r="G21" s="15"/>
      <c r="H21" s="15"/>
      <c r="I21" s="15" t="s">
        <v>2052</v>
      </c>
      <c r="J21" s="16" t="s">
        <v>100</v>
      </c>
      <c r="K21" s="15"/>
      <c r="L21" s="17">
        <v>50</v>
      </c>
      <c r="M21" s="17">
        <v>50</v>
      </c>
      <c r="N21" s="17">
        <v>50</v>
      </c>
      <c r="O21" s="18">
        <v>84.14</v>
      </c>
      <c r="P21" s="18">
        <v>68.97</v>
      </c>
      <c r="Q21" s="18">
        <v>71.52</v>
      </c>
      <c r="R21" s="18">
        <v>58.62</v>
      </c>
      <c r="S21" s="18">
        <v>57.22</v>
      </c>
      <c r="T21" s="18">
        <v>46.9</v>
      </c>
      <c r="U21" s="16"/>
      <c r="V21" s="16"/>
      <c r="W21" s="16" t="s">
        <v>40</v>
      </c>
      <c r="X21" s="19">
        <v>8.4000000000000005E-2</v>
      </c>
      <c r="Y21" s="20">
        <v>6.3000000000000003E-4</v>
      </c>
      <c r="Z21" s="21">
        <v>4601004177987</v>
      </c>
    </row>
    <row r="22" spans="1:26" ht="12" customHeight="1" outlineLevel="4" x14ac:dyDescent="0.2">
      <c r="A22" s="14" t="s">
        <v>2069</v>
      </c>
      <c r="B22" s="26" t="s">
        <v>2070</v>
      </c>
      <c r="C22" s="52"/>
      <c r="D22" s="55">
        <f t="shared" si="0"/>
        <v>0</v>
      </c>
      <c r="E22" s="63" t="str">
        <f>HYPERLINK("https://www.sds-group.ru/product/metallorukav-v-pvh-izolyatsii-mrping-12-rz-ts-pvhng-chernyy-rexant-28-0012-50/", "Инфо")</f>
        <v>Инфо</v>
      </c>
      <c r="F22" s="16" t="s">
        <v>1767</v>
      </c>
      <c r="G22" s="15"/>
      <c r="H22" s="15"/>
      <c r="I22" s="15" t="s">
        <v>2052</v>
      </c>
      <c r="J22" s="16" t="s">
        <v>100</v>
      </c>
      <c r="K22" s="15"/>
      <c r="L22" s="17">
        <v>50</v>
      </c>
      <c r="M22" s="17">
        <v>50</v>
      </c>
      <c r="N22" s="17">
        <v>50</v>
      </c>
      <c r="O22" s="18">
        <v>92.66</v>
      </c>
      <c r="P22" s="18">
        <v>75.95</v>
      </c>
      <c r="Q22" s="18">
        <v>78.760000000000005</v>
      </c>
      <c r="R22" s="18">
        <v>64.56</v>
      </c>
      <c r="S22" s="18">
        <v>63.01</v>
      </c>
      <c r="T22" s="18">
        <v>51.65</v>
      </c>
      <c r="U22" s="16"/>
      <c r="V22" s="16"/>
      <c r="W22" s="16" t="s">
        <v>40</v>
      </c>
      <c r="X22" s="19">
        <v>0.112</v>
      </c>
      <c r="Y22" s="20">
        <v>4.5800000000000002E-4</v>
      </c>
      <c r="Z22" s="21">
        <v>4601004178007</v>
      </c>
    </row>
    <row r="23" spans="1:26" ht="12" customHeight="1" outlineLevel="4" x14ac:dyDescent="0.2">
      <c r="A23" s="14" t="s">
        <v>2075</v>
      </c>
      <c r="B23" s="26" t="s">
        <v>2076</v>
      </c>
      <c r="C23" s="52"/>
      <c r="D23" s="55">
        <f t="shared" si="0"/>
        <v>0</v>
      </c>
      <c r="E23" s="63" t="str">
        <f>HYPERLINK("https://www.sds-group.ru/product/metallorukav-v-pvh-izolyatsii-mrping-18-rz-ts-pvhng-chernyy-rexant-28-0018-50/", "Инфо")</f>
        <v>Инфо</v>
      </c>
      <c r="F23" s="16" t="s">
        <v>1767</v>
      </c>
      <c r="G23" s="15"/>
      <c r="H23" s="15"/>
      <c r="I23" s="15" t="s">
        <v>2052</v>
      </c>
      <c r="J23" s="16" t="s">
        <v>100</v>
      </c>
      <c r="K23" s="15"/>
      <c r="L23" s="17">
        <v>50</v>
      </c>
      <c r="M23" s="17">
        <v>50</v>
      </c>
      <c r="N23" s="17">
        <v>50</v>
      </c>
      <c r="O23" s="18">
        <v>138.86000000000001</v>
      </c>
      <c r="P23" s="18">
        <v>113.82</v>
      </c>
      <c r="Q23" s="18">
        <v>118.03</v>
      </c>
      <c r="R23" s="18">
        <v>96.75</v>
      </c>
      <c r="S23" s="18">
        <v>94.42</v>
      </c>
      <c r="T23" s="18">
        <v>77.39</v>
      </c>
      <c r="U23" s="16"/>
      <c r="V23" s="16"/>
      <c r="W23" s="16" t="s">
        <v>40</v>
      </c>
      <c r="X23" s="19">
        <v>0.15</v>
      </c>
      <c r="Y23" s="20">
        <v>6.7900000000000002E-4</v>
      </c>
      <c r="Z23" s="21">
        <v>4601004178045</v>
      </c>
    </row>
    <row r="24" spans="1:26" ht="12" customHeight="1" outlineLevel="4" x14ac:dyDescent="0.2">
      <c r="A24" s="14" t="s">
        <v>2081</v>
      </c>
      <c r="B24" s="26" t="s">
        <v>2082</v>
      </c>
      <c r="C24" s="52"/>
      <c r="D24" s="55">
        <f t="shared" si="0"/>
        <v>0</v>
      </c>
      <c r="E24" s="63" t="str">
        <f>HYPERLINK("https://www.sds-group.ru/product/metallorukav-v-pvh-izolyatsii-mrping-22-rz-ts-pvhng-s-zondom-chernyy-rexant-28-0122-50/", "Инфо")</f>
        <v>Инфо</v>
      </c>
      <c r="F24" s="16" t="s">
        <v>1767</v>
      </c>
      <c r="G24" s="15"/>
      <c r="H24" s="15"/>
      <c r="I24" s="15" t="s">
        <v>2052</v>
      </c>
      <c r="J24" s="16" t="s">
        <v>100</v>
      </c>
      <c r="K24" s="15" t="s">
        <v>1381</v>
      </c>
      <c r="L24" s="17">
        <v>50</v>
      </c>
      <c r="M24" s="17">
        <v>50</v>
      </c>
      <c r="N24" s="17">
        <v>50</v>
      </c>
      <c r="O24" s="18">
        <v>168.32</v>
      </c>
      <c r="P24" s="18">
        <v>137.97</v>
      </c>
      <c r="Q24" s="18">
        <v>143.07</v>
      </c>
      <c r="R24" s="18">
        <v>117.27</v>
      </c>
      <c r="S24" s="18">
        <v>114.46</v>
      </c>
      <c r="T24" s="18">
        <v>93.82</v>
      </c>
      <c r="U24" s="16"/>
      <c r="V24" s="16"/>
      <c r="W24" s="16" t="s">
        <v>40</v>
      </c>
      <c r="X24" s="19">
        <v>0.17</v>
      </c>
      <c r="Y24" s="20">
        <v>9.2800000000000001E-4</v>
      </c>
      <c r="Z24" s="21">
        <v>4601004178373</v>
      </c>
    </row>
    <row r="25" spans="1:26" ht="12" customHeight="1" outlineLevel="4" x14ac:dyDescent="0.2">
      <c r="A25" s="14" t="s">
        <v>2083</v>
      </c>
      <c r="B25" s="26" t="s">
        <v>2084</v>
      </c>
      <c r="C25" s="52"/>
      <c r="D25" s="55">
        <f t="shared" si="0"/>
        <v>0</v>
      </c>
      <c r="E25" s="63" t="str">
        <f>HYPERLINK("https://www.sds-group.ru/product/metallorukav-v-pvh-izolyatsii-mrping-22-rz-ts-pvhng-chernyy-rexant-28-0022-50/", "Инфо")</f>
        <v>Инфо</v>
      </c>
      <c r="F25" s="16" t="s">
        <v>1767</v>
      </c>
      <c r="G25" s="15"/>
      <c r="H25" s="15"/>
      <c r="I25" s="15" t="s">
        <v>2052</v>
      </c>
      <c r="J25" s="16" t="s">
        <v>100</v>
      </c>
      <c r="K25" s="15"/>
      <c r="L25" s="17">
        <v>50</v>
      </c>
      <c r="M25" s="17">
        <v>50</v>
      </c>
      <c r="N25" s="17">
        <v>50</v>
      </c>
      <c r="O25" s="18">
        <v>158.47999999999999</v>
      </c>
      <c r="P25" s="18">
        <v>129.9</v>
      </c>
      <c r="Q25" s="18">
        <v>134.71</v>
      </c>
      <c r="R25" s="18">
        <v>110.42</v>
      </c>
      <c r="S25" s="18">
        <v>107.77</v>
      </c>
      <c r="T25" s="18">
        <v>88.34</v>
      </c>
      <c r="U25" s="16"/>
      <c r="V25" s="16"/>
      <c r="W25" s="16" t="s">
        <v>40</v>
      </c>
      <c r="X25" s="19">
        <v>0.182</v>
      </c>
      <c r="Y25" s="20">
        <v>8.3600000000000005E-4</v>
      </c>
      <c r="Z25" s="21">
        <v>4601004178083</v>
      </c>
    </row>
    <row r="26" spans="1:26" ht="12.95" customHeight="1" outlineLevel="2" x14ac:dyDescent="0.2">
      <c r="A26" s="76" t="s">
        <v>2099</v>
      </c>
      <c r="B26" s="76"/>
      <c r="C26" s="77"/>
      <c r="D26" s="58"/>
      <c r="E26" s="68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 spans="1:26" ht="12.95" customHeight="1" outlineLevel="3" x14ac:dyDescent="0.2">
      <c r="A27" s="76" t="s">
        <v>2100</v>
      </c>
      <c r="B27" s="76"/>
      <c r="C27" s="77"/>
      <c r="D27" s="58"/>
      <c r="E27" s="68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12" customHeight="1" outlineLevel="4" x14ac:dyDescent="0.2">
      <c r="A28" s="32" t="s">
        <v>2133</v>
      </c>
      <c r="B28" s="74" t="s">
        <v>2134</v>
      </c>
      <c r="C28" s="50"/>
      <c r="D28" s="53">
        <f t="shared" si="0"/>
        <v>0</v>
      </c>
      <c r="E28" s="60" t="str">
        <f>HYPERLINK("https://www.sds-group.ru/product/mufta-soedinitelnaya-dlya-truby-25mm-seraya-ip44-50-sht-up-rexant-28-0318-1/", "Инфо")</f>
        <v>Инфо</v>
      </c>
      <c r="F28" s="34" t="s">
        <v>1001</v>
      </c>
      <c r="G28" s="33"/>
      <c r="H28" s="33" t="s">
        <v>40</v>
      </c>
      <c r="I28" s="33" t="s">
        <v>2135</v>
      </c>
      <c r="J28" s="34" t="s">
        <v>100</v>
      </c>
      <c r="K28" s="33"/>
      <c r="L28" s="35">
        <v>1</v>
      </c>
      <c r="M28" s="35">
        <v>14</v>
      </c>
      <c r="N28" s="35">
        <v>1</v>
      </c>
      <c r="O28" s="36">
        <v>408.93</v>
      </c>
      <c r="P28" s="36">
        <v>335.19</v>
      </c>
      <c r="Q28" s="36">
        <v>286.25</v>
      </c>
      <c r="R28" s="36">
        <v>234.63</v>
      </c>
      <c r="S28" s="36">
        <v>278.07</v>
      </c>
      <c r="T28" s="36">
        <v>227.93</v>
      </c>
      <c r="U28" s="34"/>
      <c r="V28" s="34"/>
      <c r="W28" s="34"/>
      <c r="X28" s="37">
        <v>0.41799999999999998</v>
      </c>
      <c r="Y28" s="38">
        <v>3.2460000000000002E-3</v>
      </c>
      <c r="Z28" s="21">
        <v>4601004154650</v>
      </c>
    </row>
    <row r="29" spans="1:26" ht="12" customHeight="1" outlineLevel="4" x14ac:dyDescent="0.2">
      <c r="A29" s="14" t="s">
        <v>2136</v>
      </c>
      <c r="B29" s="26" t="s">
        <v>2137</v>
      </c>
      <c r="C29" s="52"/>
      <c r="D29" s="55">
        <f t="shared" si="0"/>
        <v>0</v>
      </c>
      <c r="E29" s="63" t="str">
        <f>HYPERLINK("https://www.sds-group.ru/product/mufta-soedinitelnaya-dlya-truby-32mm-seraya-ip44-25-sht-up-rexant-28-0319-1/", "Инфо")</f>
        <v>Инфо</v>
      </c>
      <c r="F29" s="16" t="s">
        <v>1001</v>
      </c>
      <c r="G29" s="15"/>
      <c r="H29" s="15"/>
      <c r="I29" s="24">
        <v>-30</v>
      </c>
      <c r="J29" s="16" t="s">
        <v>100</v>
      </c>
      <c r="K29" s="15"/>
      <c r="L29" s="17">
        <v>1</v>
      </c>
      <c r="M29" s="17">
        <v>16</v>
      </c>
      <c r="N29" s="17">
        <v>1</v>
      </c>
      <c r="O29" s="18">
        <v>323.64999999999998</v>
      </c>
      <c r="P29" s="18">
        <v>265.29000000000002</v>
      </c>
      <c r="Q29" s="18">
        <v>275.10000000000002</v>
      </c>
      <c r="R29" s="18">
        <v>225.49</v>
      </c>
      <c r="S29" s="18">
        <v>220.08</v>
      </c>
      <c r="T29" s="18">
        <v>180.39</v>
      </c>
      <c r="U29" s="16"/>
      <c r="V29" s="16"/>
      <c r="W29" s="16" t="s">
        <v>40</v>
      </c>
      <c r="X29" s="19">
        <v>0.40600000000000003</v>
      </c>
      <c r="Y29" s="20">
        <v>3.7499999999999999E-3</v>
      </c>
      <c r="Z29" s="21">
        <v>4601004154667</v>
      </c>
    </row>
    <row r="30" spans="1:26" ht="12" customHeight="1" outlineLevel="4" x14ac:dyDescent="0.2">
      <c r="A30" s="32" t="s">
        <v>2142</v>
      </c>
      <c r="B30" s="74" t="s">
        <v>2143</v>
      </c>
      <c r="C30" s="50"/>
      <c r="D30" s="53">
        <f t="shared" si="0"/>
        <v>0</v>
      </c>
      <c r="E30" s="60" t="str">
        <f>HYPERLINK("https://www.sds-group.ru/product/ugol-90-soedinitelnyy-dlya-truby-25mm-50-sht-up-rexant-28-0525/", "Инфо")</f>
        <v>Инфо</v>
      </c>
      <c r="F30" s="34" t="s">
        <v>1001</v>
      </c>
      <c r="G30" s="33"/>
      <c r="H30" s="33" t="s">
        <v>40</v>
      </c>
      <c r="I30" s="33" t="s">
        <v>2135</v>
      </c>
      <c r="J30" s="35">
        <v>86</v>
      </c>
      <c r="K30" s="33"/>
      <c r="L30" s="35">
        <v>1</v>
      </c>
      <c r="M30" s="35">
        <v>12</v>
      </c>
      <c r="N30" s="35">
        <v>1</v>
      </c>
      <c r="O30" s="36">
        <v>843.57</v>
      </c>
      <c r="P30" s="36">
        <v>691.45</v>
      </c>
      <c r="Q30" s="36">
        <v>590.5</v>
      </c>
      <c r="R30" s="36">
        <v>484.02</v>
      </c>
      <c r="S30" s="36">
        <v>573.63</v>
      </c>
      <c r="T30" s="36">
        <v>470.19</v>
      </c>
      <c r="U30" s="34"/>
      <c r="V30" s="34"/>
      <c r="W30" s="34"/>
      <c r="X30" s="37">
        <v>0.56599999999999995</v>
      </c>
      <c r="Y30" s="38">
        <v>5.0130000000000001E-3</v>
      </c>
      <c r="Z30" s="21">
        <v>4601004154728</v>
      </c>
    </row>
    <row r="31" spans="1:26" ht="12.95" customHeight="1" outlineLevel="3" x14ac:dyDescent="0.2">
      <c r="A31" s="76" t="s">
        <v>2144</v>
      </c>
      <c r="B31" s="76"/>
      <c r="C31" s="77"/>
      <c r="D31" s="58"/>
      <c r="E31" s="68"/>
      <c r="F31" s="30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 spans="1:26" ht="12" customHeight="1" outlineLevel="4" x14ac:dyDescent="0.2">
      <c r="A32" s="32" t="s">
        <v>2147</v>
      </c>
      <c r="B32" s="74" t="s">
        <v>2148</v>
      </c>
      <c r="C32" s="50"/>
      <c r="D32" s="53">
        <f t="shared" si="0"/>
        <v>0</v>
      </c>
      <c r="E32" s="60" t="str">
        <f>HYPERLINK("https://www.sds-group.ru/product/skoba-smd-60-63-dvuhlapkovaya-dlya-metallorukava-50-mm-50-sht-up-rexant-28-1063-1/", "Инфо")</f>
        <v>Инфо</v>
      </c>
      <c r="F32" s="34" t="s">
        <v>1001</v>
      </c>
      <c r="G32" s="33"/>
      <c r="H32" s="33" t="s">
        <v>40</v>
      </c>
      <c r="I32" s="33" t="s">
        <v>2149</v>
      </c>
      <c r="J32" s="34" t="s">
        <v>100</v>
      </c>
      <c r="K32" s="33"/>
      <c r="L32" s="35">
        <v>1</v>
      </c>
      <c r="M32" s="35">
        <v>2</v>
      </c>
      <c r="N32" s="35">
        <v>1</v>
      </c>
      <c r="O32" s="36">
        <v>1083.8399999999999</v>
      </c>
      <c r="P32" s="36">
        <v>888.39</v>
      </c>
      <c r="Q32" s="36">
        <v>856.23</v>
      </c>
      <c r="R32" s="36">
        <v>701.83</v>
      </c>
      <c r="S32" s="36">
        <v>737.01</v>
      </c>
      <c r="T32" s="36">
        <v>604.11</v>
      </c>
      <c r="U32" s="34"/>
      <c r="V32" s="34"/>
      <c r="W32" s="34" t="s">
        <v>40</v>
      </c>
      <c r="X32" s="37">
        <v>1.5389999999999999</v>
      </c>
      <c r="Y32" s="38">
        <v>4.235E-3</v>
      </c>
      <c r="Z32" s="21">
        <v>4601004149731</v>
      </c>
    </row>
    <row r="33" spans="1:26" ht="12" customHeight="1" outlineLevel="4" x14ac:dyDescent="0.2">
      <c r="A33" s="14" t="s">
        <v>2150</v>
      </c>
      <c r="B33" s="26" t="s">
        <v>2151</v>
      </c>
      <c r="C33" s="52"/>
      <c r="D33" s="55">
        <f t="shared" si="0"/>
        <v>0</v>
      </c>
      <c r="E33" s="63" t="str">
        <f>HYPERLINK("https://www.sds-group.ru/product/skoba-smo-19-20-odnolapkovaya-dlya-metallorukava-15-mm-rexant-28-1016-2/", "Инфо")</f>
        <v>Инфо</v>
      </c>
      <c r="F33" s="16" t="s">
        <v>1001</v>
      </c>
      <c r="G33" s="15"/>
      <c r="H33" s="15"/>
      <c r="I33" s="15" t="s">
        <v>2152</v>
      </c>
      <c r="J33" s="16" t="s">
        <v>100</v>
      </c>
      <c r="K33" s="15"/>
      <c r="L33" s="17">
        <v>10</v>
      </c>
      <c r="M33" s="17">
        <v>100</v>
      </c>
      <c r="N33" s="17">
        <v>10</v>
      </c>
      <c r="O33" s="18">
        <v>90.47</v>
      </c>
      <c r="P33" s="18">
        <v>74.16</v>
      </c>
      <c r="Q33" s="18">
        <v>76.900000000000006</v>
      </c>
      <c r="R33" s="18">
        <v>63.03</v>
      </c>
      <c r="S33" s="18">
        <v>61.52</v>
      </c>
      <c r="T33" s="18">
        <v>50.43</v>
      </c>
      <c r="U33" s="16"/>
      <c r="V33" s="16"/>
      <c r="W33" s="16" t="s">
        <v>40</v>
      </c>
      <c r="X33" s="19">
        <v>3.6999999999999998E-2</v>
      </c>
      <c r="Y33" s="20">
        <v>1E-4</v>
      </c>
      <c r="Z33" s="21">
        <v>4601004182004</v>
      </c>
    </row>
    <row r="34" spans="1:26" ht="12.95" customHeight="1" outlineLevel="1" x14ac:dyDescent="0.2">
      <c r="A34" s="78" t="s">
        <v>2289</v>
      </c>
      <c r="B34" s="78"/>
      <c r="C34" s="79"/>
      <c r="D34" s="57"/>
      <c r="E34" s="67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</row>
    <row r="35" spans="1:26" ht="12.95" customHeight="1" outlineLevel="2" x14ac:dyDescent="0.2">
      <c r="A35" s="76" t="s">
        <v>2290</v>
      </c>
      <c r="B35" s="76"/>
      <c r="C35" s="77"/>
      <c r="D35" s="58"/>
      <c r="E35" s="68"/>
      <c r="F35" s="30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 spans="1:26" ht="12.95" customHeight="1" outlineLevel="3" x14ac:dyDescent="0.2">
      <c r="A36" s="82" t="s">
        <v>2291</v>
      </c>
      <c r="B36" s="82"/>
      <c r="C36" s="83"/>
      <c r="D36" s="59"/>
      <c r="E36" s="69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</row>
    <row r="37" spans="1:26" ht="12" customHeight="1" outlineLevel="4" x14ac:dyDescent="0.2">
      <c r="A37" s="14" t="s">
        <v>2300</v>
      </c>
      <c r="B37" s="26" t="s">
        <v>2301</v>
      </c>
      <c r="C37" s="52"/>
      <c r="D37" s="55">
        <f t="shared" si="0"/>
        <v>0</v>
      </c>
      <c r="E37" s="63" t="str">
        <f>HYPERLINK("https://www.sds-group.ru/product/kabel-silovoy-mednyy-vvg-png-a-ls-2x1-5-mm-100-m-gost-31996-2012-tu-16-k71-310-2001-01-8292/", "Инфо")</f>
        <v>Инфо</v>
      </c>
      <c r="F37" s="16" t="s">
        <v>1767</v>
      </c>
      <c r="G37" s="15"/>
      <c r="H37" s="15"/>
      <c r="I37" s="15" t="s">
        <v>2302</v>
      </c>
      <c r="J37" s="16" t="s">
        <v>100</v>
      </c>
      <c r="K37" s="15"/>
      <c r="L37" s="17">
        <v>100</v>
      </c>
      <c r="M37" s="17">
        <v>100</v>
      </c>
      <c r="N37" s="17">
        <v>100</v>
      </c>
      <c r="O37" s="18">
        <v>115.14</v>
      </c>
      <c r="P37" s="18">
        <v>94.38</v>
      </c>
      <c r="Q37" s="18">
        <v>97.87</v>
      </c>
      <c r="R37" s="18">
        <v>80.22</v>
      </c>
      <c r="S37" s="18">
        <v>78.3</v>
      </c>
      <c r="T37" s="18">
        <v>64.180000000000007</v>
      </c>
      <c r="U37" s="16"/>
      <c r="V37" s="16"/>
      <c r="W37" s="16" t="s">
        <v>40</v>
      </c>
      <c r="X37" s="19">
        <v>8.5000000000000006E-2</v>
      </c>
      <c r="Y37" s="20">
        <v>9.7E-5</v>
      </c>
      <c r="Z37" s="21">
        <v>4631174740063</v>
      </c>
    </row>
    <row r="38" spans="1:26" ht="12.95" customHeight="1" outlineLevel="2" x14ac:dyDescent="0.2">
      <c r="A38" s="76" t="s">
        <v>2346</v>
      </c>
      <c r="B38" s="76"/>
      <c r="C38" s="77"/>
      <c r="D38" s="58"/>
      <c r="E38" s="68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 spans="1:26" ht="12.95" customHeight="1" outlineLevel="3" x14ac:dyDescent="0.2">
      <c r="A39" s="82" t="s">
        <v>2347</v>
      </c>
      <c r="B39" s="82"/>
      <c r="C39" s="83"/>
      <c r="D39" s="59"/>
      <c r="E39" s="69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</row>
    <row r="40" spans="1:26" ht="12" customHeight="1" outlineLevel="4" x14ac:dyDescent="0.2">
      <c r="A40" s="14" t="s">
        <v>2388</v>
      </c>
      <c r="B40" s="26" t="s">
        <v>2389</v>
      </c>
      <c r="C40" s="52"/>
      <c r="D40" s="55">
        <f t="shared" si="0"/>
        <v>0</v>
      </c>
      <c r="E40" s="63" t="str">
        <f>HYPERLINK("https://www.sds-group.ru/product/provod-soedinitelnyy-pvs-5h1-5-mm-100-m-belyy-gost-7399-97-01-8070/", "Инфо")</f>
        <v>Инфо</v>
      </c>
      <c r="F40" s="16" t="s">
        <v>1767</v>
      </c>
      <c r="G40" s="15"/>
      <c r="H40" s="15"/>
      <c r="I40" s="15" t="s">
        <v>2302</v>
      </c>
      <c r="J40" s="16" t="s">
        <v>100</v>
      </c>
      <c r="K40" s="15"/>
      <c r="L40" s="17">
        <v>100</v>
      </c>
      <c r="M40" s="17">
        <v>100</v>
      </c>
      <c r="N40" s="17">
        <v>100</v>
      </c>
      <c r="O40" s="18">
        <v>242.06</v>
      </c>
      <c r="P40" s="18">
        <v>198.41</v>
      </c>
      <c r="Q40" s="18">
        <v>205.75</v>
      </c>
      <c r="R40" s="18">
        <v>168.65</v>
      </c>
      <c r="S40" s="18">
        <v>164.6</v>
      </c>
      <c r="T40" s="18">
        <v>134.91999999999999</v>
      </c>
      <c r="U40" s="16"/>
      <c r="V40" s="16"/>
      <c r="W40" s="16" t="s">
        <v>40</v>
      </c>
      <c r="X40" s="19">
        <v>0.17399999999999999</v>
      </c>
      <c r="Y40" s="20">
        <v>2.04E-4</v>
      </c>
      <c r="Z40" s="21">
        <v>4601004011205</v>
      </c>
    </row>
    <row r="41" spans="1:26" ht="12.95" customHeight="1" outlineLevel="2" x14ac:dyDescent="0.2">
      <c r="A41" s="76" t="s">
        <v>2401</v>
      </c>
      <c r="B41" s="76"/>
      <c r="C41" s="77"/>
      <c r="D41" s="58"/>
      <c r="E41" s="68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 spans="1:26" ht="12.95" customHeight="1" outlineLevel="3" x14ac:dyDescent="0.2">
      <c r="A42" s="82" t="s">
        <v>2409</v>
      </c>
      <c r="B42" s="82"/>
      <c r="C42" s="83"/>
      <c r="D42" s="59"/>
      <c r="E42" s="69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31"/>
      <c r="S42" s="31"/>
      <c r="T42" s="31"/>
      <c r="U42" s="31"/>
      <c r="V42" s="31"/>
      <c r="W42" s="31"/>
      <c r="X42" s="31"/>
      <c r="Y42" s="31"/>
      <c r="Z42" s="31"/>
    </row>
    <row r="43" spans="1:26" ht="12" customHeight="1" outlineLevel="4" x14ac:dyDescent="0.2">
      <c r="A43" s="14" t="s">
        <v>2412</v>
      </c>
      <c r="B43" s="26" t="s">
        <v>2413</v>
      </c>
      <c r="C43" s="52"/>
      <c r="D43" s="55">
        <f t="shared" si="0"/>
        <v>0</v>
      </c>
      <c r="E43" s="63" t="str">
        <f>HYPERLINK("https://www.sds-group.ru/product/provod-pugv-pv-3-0-5-mm-1000-m-zh-z-gost-31947-2012-tu-16-705-501-2010-01-8615-3/", "Инфо")</f>
        <v>Инфо</v>
      </c>
      <c r="F43" s="16" t="s">
        <v>1767</v>
      </c>
      <c r="G43" s="15"/>
      <c r="H43" s="15"/>
      <c r="I43" s="15" t="s">
        <v>2414</v>
      </c>
      <c r="J43" s="16" t="s">
        <v>100</v>
      </c>
      <c r="K43" s="15"/>
      <c r="L43" s="22">
        <v>1000</v>
      </c>
      <c r="M43" s="22">
        <v>1000</v>
      </c>
      <c r="N43" s="22">
        <v>1000</v>
      </c>
      <c r="O43" s="18">
        <v>18.79</v>
      </c>
      <c r="P43" s="18">
        <v>15.4</v>
      </c>
      <c r="Q43" s="18">
        <v>15.97</v>
      </c>
      <c r="R43" s="18">
        <v>13.09</v>
      </c>
      <c r="S43" s="18">
        <v>12.78</v>
      </c>
      <c r="T43" s="18">
        <v>10.48</v>
      </c>
      <c r="U43" s="16"/>
      <c r="V43" s="16"/>
      <c r="W43" s="16" t="s">
        <v>40</v>
      </c>
      <c r="X43" s="19">
        <v>8.9999999999999993E-3</v>
      </c>
      <c r="Y43" s="20">
        <v>7.9999999999999996E-6</v>
      </c>
      <c r="Z43" s="21">
        <v>4631163484534</v>
      </c>
    </row>
    <row r="44" spans="1:26" ht="12" customHeight="1" outlineLevel="4" x14ac:dyDescent="0.2">
      <c r="A44" s="14" t="s">
        <v>2415</v>
      </c>
      <c r="B44" s="26" t="s">
        <v>2416</v>
      </c>
      <c r="C44" s="52"/>
      <c r="D44" s="55">
        <f t="shared" si="0"/>
        <v>0</v>
      </c>
      <c r="E44" s="63" t="str">
        <f>HYPERLINK("https://www.sds-group.ru/product/provod-pugv-pv-3-0-5-mm-1000-m-siniy-gost-31947-2012-tu-16-705-501-2010-01-8615-2/", "Инфо")</f>
        <v>Инфо</v>
      </c>
      <c r="F44" s="16" t="s">
        <v>1767</v>
      </c>
      <c r="G44" s="15"/>
      <c r="H44" s="15"/>
      <c r="I44" s="15" t="s">
        <v>2414</v>
      </c>
      <c r="J44" s="16" t="s">
        <v>100</v>
      </c>
      <c r="K44" s="15"/>
      <c r="L44" s="22">
        <v>1000</v>
      </c>
      <c r="M44" s="22">
        <v>1000</v>
      </c>
      <c r="N44" s="22">
        <v>1000</v>
      </c>
      <c r="O44" s="18">
        <v>15.53</v>
      </c>
      <c r="P44" s="18">
        <v>12.73</v>
      </c>
      <c r="Q44" s="18">
        <v>13.2</v>
      </c>
      <c r="R44" s="18">
        <v>10.82</v>
      </c>
      <c r="S44" s="18">
        <v>10.56</v>
      </c>
      <c r="T44" s="18">
        <v>8.66</v>
      </c>
      <c r="U44" s="16"/>
      <c r="V44" s="16"/>
      <c r="W44" s="16" t="s">
        <v>40</v>
      </c>
      <c r="X44" s="19">
        <v>8.9999999999999993E-3</v>
      </c>
      <c r="Y44" s="20">
        <v>1.1E-5</v>
      </c>
      <c r="Z44" s="21">
        <v>4631163484268</v>
      </c>
    </row>
    <row r="45" spans="1:26" ht="12" customHeight="1" outlineLevel="4" x14ac:dyDescent="0.2">
      <c r="A45" s="14" t="s">
        <v>2417</v>
      </c>
      <c r="B45" s="26" t="s">
        <v>2418</v>
      </c>
      <c r="C45" s="52"/>
      <c r="D45" s="55">
        <f t="shared" si="0"/>
        <v>0</v>
      </c>
      <c r="E45" s="63" t="str">
        <f>HYPERLINK("https://www.sds-group.ru/product/provod-pugv-pv-3-0-75-mm-1000-m-belyy-gost-31947-2012-tu-16-705-501-2010-01-8616-1/", "Инфо")</f>
        <v>Инфо</v>
      </c>
      <c r="F45" s="16" t="s">
        <v>1767</v>
      </c>
      <c r="G45" s="15"/>
      <c r="H45" s="15"/>
      <c r="I45" s="15" t="s">
        <v>2414</v>
      </c>
      <c r="J45" s="16" t="s">
        <v>100</v>
      </c>
      <c r="K45" s="15"/>
      <c r="L45" s="22">
        <v>1000</v>
      </c>
      <c r="M45" s="22">
        <v>1000</v>
      </c>
      <c r="N45" s="22">
        <v>1000</v>
      </c>
      <c r="O45" s="18">
        <v>22.34</v>
      </c>
      <c r="P45" s="18">
        <v>18.309999999999999</v>
      </c>
      <c r="Q45" s="18">
        <v>18.989999999999998</v>
      </c>
      <c r="R45" s="18">
        <v>15.57</v>
      </c>
      <c r="S45" s="18">
        <v>15.19</v>
      </c>
      <c r="T45" s="18">
        <v>12.45</v>
      </c>
      <c r="U45" s="16"/>
      <c r="V45" s="16"/>
      <c r="W45" s="16" t="s">
        <v>40</v>
      </c>
      <c r="X45" s="19">
        <v>1.0999999999999999E-2</v>
      </c>
      <c r="Y45" s="20">
        <v>1.2999999999999999E-5</v>
      </c>
      <c r="Z45" s="21">
        <v>4631163484183</v>
      </c>
    </row>
    <row r="46" spans="1:26" ht="12" customHeight="1" outlineLevel="4" x14ac:dyDescent="0.2">
      <c r="A46" s="14" t="s">
        <v>2419</v>
      </c>
      <c r="B46" s="26" t="s">
        <v>2420</v>
      </c>
      <c r="C46" s="52"/>
      <c r="D46" s="55">
        <f t="shared" si="0"/>
        <v>0</v>
      </c>
      <c r="E46" s="63" t="str">
        <f>HYPERLINK("https://www.sds-group.ru/product/provod-pugv-pv-3-1-5-mm-500-m-belyy-gost-31947-2012-tu-16-705-501-2010-01-8618-1/", "Инфо")</f>
        <v>Инфо</v>
      </c>
      <c r="F46" s="16" t="s">
        <v>1767</v>
      </c>
      <c r="G46" s="15"/>
      <c r="H46" s="15"/>
      <c r="I46" s="15" t="s">
        <v>2421</v>
      </c>
      <c r="J46" s="16" t="s">
        <v>100</v>
      </c>
      <c r="K46" s="15"/>
      <c r="L46" s="17">
        <v>500</v>
      </c>
      <c r="M46" s="17">
        <v>500</v>
      </c>
      <c r="N46" s="17">
        <v>500</v>
      </c>
      <c r="O46" s="18">
        <v>38.22</v>
      </c>
      <c r="P46" s="18">
        <v>31.33</v>
      </c>
      <c r="Q46" s="18">
        <v>28.67</v>
      </c>
      <c r="R46" s="18">
        <v>23.5</v>
      </c>
      <c r="S46" s="18">
        <v>25.99</v>
      </c>
      <c r="T46" s="18">
        <v>21.3</v>
      </c>
      <c r="U46" s="16"/>
      <c r="V46" s="16"/>
      <c r="W46" s="16" t="s">
        <v>40</v>
      </c>
      <c r="X46" s="19">
        <v>2.1000000000000001E-2</v>
      </c>
      <c r="Y46" s="20">
        <v>1.4E-5</v>
      </c>
      <c r="Z46" s="21">
        <v>4631163484206</v>
      </c>
    </row>
    <row r="47" spans="1:26" ht="12" customHeight="1" outlineLevel="4" x14ac:dyDescent="0.2">
      <c r="A47" s="14" t="s">
        <v>2426</v>
      </c>
      <c r="B47" s="26" t="s">
        <v>2427</v>
      </c>
      <c r="C47" s="52"/>
      <c r="D47" s="55">
        <f t="shared" si="0"/>
        <v>0</v>
      </c>
      <c r="E47" s="63" t="str">
        <f>HYPERLINK("https://www.sds-group.ru/product/provod-pugv-pv-3-1-5-mm-500-m-siniy-gost-31947-2012-tu-16-705-501-2010-01-8618-2/", "Инфо")</f>
        <v>Инфо</v>
      </c>
      <c r="F47" s="16" t="s">
        <v>1767</v>
      </c>
      <c r="G47" s="15"/>
      <c r="H47" s="15"/>
      <c r="I47" s="15" t="s">
        <v>2421</v>
      </c>
      <c r="J47" s="17">
        <v>500</v>
      </c>
      <c r="K47" s="15"/>
      <c r="L47" s="17">
        <v>500</v>
      </c>
      <c r="M47" s="17">
        <v>500</v>
      </c>
      <c r="N47" s="17">
        <v>500</v>
      </c>
      <c r="O47" s="18">
        <v>47.27</v>
      </c>
      <c r="P47" s="18">
        <v>38.75</v>
      </c>
      <c r="Q47" s="18">
        <v>40.18</v>
      </c>
      <c r="R47" s="18">
        <v>32.93</v>
      </c>
      <c r="S47" s="18">
        <v>32.14</v>
      </c>
      <c r="T47" s="18">
        <v>26.34</v>
      </c>
      <c r="U47" s="16"/>
      <c r="V47" s="16"/>
      <c r="W47" s="16" t="s">
        <v>40</v>
      </c>
      <c r="X47" s="19">
        <v>2.1000000000000001E-2</v>
      </c>
      <c r="Y47" s="20">
        <v>1.4E-5</v>
      </c>
      <c r="Z47" s="21">
        <v>4631163484299</v>
      </c>
    </row>
    <row r="48" spans="1:26" ht="12" customHeight="1" outlineLevel="4" x14ac:dyDescent="0.2">
      <c r="A48" s="14" t="s">
        <v>2428</v>
      </c>
      <c r="B48" s="26" t="s">
        <v>2429</v>
      </c>
      <c r="C48" s="52"/>
      <c r="D48" s="55">
        <f t="shared" si="0"/>
        <v>0</v>
      </c>
      <c r="E48" s="63" t="str">
        <f>HYPERLINK("https://www.sds-group.ru/product/provod-pugv-pv-3-1-5-mm-500-m-chernyy-gost-31947-2012-tu-16-705-501-2010-01-8618-5/", "Инфо")</f>
        <v>Инфо</v>
      </c>
      <c r="F48" s="16" t="s">
        <v>1767</v>
      </c>
      <c r="G48" s="15"/>
      <c r="H48" s="15"/>
      <c r="I48" s="15" t="s">
        <v>2430</v>
      </c>
      <c r="J48" s="16" t="s">
        <v>100</v>
      </c>
      <c r="K48" s="15"/>
      <c r="L48" s="17">
        <v>500</v>
      </c>
      <c r="M48" s="17">
        <v>500</v>
      </c>
      <c r="N48" s="17">
        <v>500</v>
      </c>
      <c r="O48" s="18">
        <v>40.35</v>
      </c>
      <c r="P48" s="18">
        <v>33.07</v>
      </c>
      <c r="Q48" s="18">
        <v>34.299999999999997</v>
      </c>
      <c r="R48" s="18">
        <v>28.11</v>
      </c>
      <c r="S48" s="18">
        <v>27.44</v>
      </c>
      <c r="T48" s="18">
        <v>22.49</v>
      </c>
      <c r="U48" s="16"/>
      <c r="V48" s="16"/>
      <c r="W48" s="16" t="s">
        <v>40</v>
      </c>
      <c r="X48" s="19">
        <v>2.1000000000000001E-2</v>
      </c>
      <c r="Y48" s="20">
        <v>1.4E-5</v>
      </c>
      <c r="Z48" s="21">
        <v>4631163484381</v>
      </c>
    </row>
    <row r="49" spans="1:26" ht="12" customHeight="1" outlineLevel="4" x14ac:dyDescent="0.2">
      <c r="A49" s="14" t="s">
        <v>2431</v>
      </c>
      <c r="B49" s="26" t="s">
        <v>2432</v>
      </c>
      <c r="C49" s="52"/>
      <c r="D49" s="55">
        <f t="shared" si="0"/>
        <v>0</v>
      </c>
      <c r="E49" s="63" t="str">
        <f>HYPERLINK("https://www.sds-group.ru/product/provod-pugv-pv-3-2-5-mm-500-m-belyy-gost-31947-2012-tu-16-705-501-2010-01-8619-1/", "Инфо")</f>
        <v>Инфо</v>
      </c>
      <c r="F49" s="16" t="s">
        <v>1767</v>
      </c>
      <c r="G49" s="15"/>
      <c r="H49" s="15"/>
      <c r="I49" s="15" t="s">
        <v>2421</v>
      </c>
      <c r="J49" s="16" t="s">
        <v>100</v>
      </c>
      <c r="K49" s="15"/>
      <c r="L49" s="17">
        <v>500</v>
      </c>
      <c r="M49" s="17">
        <v>500</v>
      </c>
      <c r="N49" s="17">
        <v>500</v>
      </c>
      <c r="O49" s="18">
        <v>65.569999999999993</v>
      </c>
      <c r="P49" s="18">
        <v>53.75</v>
      </c>
      <c r="Q49" s="18">
        <v>55.73</v>
      </c>
      <c r="R49" s="18">
        <v>45.68</v>
      </c>
      <c r="S49" s="18">
        <v>44.59</v>
      </c>
      <c r="T49" s="18">
        <v>36.549999999999997</v>
      </c>
      <c r="U49" s="16"/>
      <c r="V49" s="16"/>
      <c r="W49" s="16" t="s">
        <v>40</v>
      </c>
      <c r="X49" s="19">
        <v>3.3000000000000002E-2</v>
      </c>
      <c r="Y49" s="20">
        <v>2.0999999999999999E-5</v>
      </c>
      <c r="Z49" s="21">
        <v>4631163484213</v>
      </c>
    </row>
    <row r="50" spans="1:26" ht="12" customHeight="1" outlineLevel="4" x14ac:dyDescent="0.2">
      <c r="A50" s="14" t="s">
        <v>2433</v>
      </c>
      <c r="B50" s="26" t="s">
        <v>2434</v>
      </c>
      <c r="C50" s="52"/>
      <c r="D50" s="55">
        <f t="shared" si="0"/>
        <v>0</v>
      </c>
      <c r="E50" s="63" t="str">
        <f>HYPERLINK("https://www.sds-group.ru/product/provod-pugv-pv-3-2-5-mm-500-m-zh-z-gost-31947-2012-tu-16-705-501-2010-01-8619-3/", "Инфо")</f>
        <v>Инфо</v>
      </c>
      <c r="F50" s="16" t="s">
        <v>1767</v>
      </c>
      <c r="G50" s="15"/>
      <c r="H50" s="15"/>
      <c r="I50" s="15" t="s">
        <v>2421</v>
      </c>
      <c r="J50" s="16" t="s">
        <v>100</v>
      </c>
      <c r="K50" s="15"/>
      <c r="L50" s="17">
        <v>500</v>
      </c>
      <c r="M50" s="17">
        <v>500</v>
      </c>
      <c r="N50" s="17">
        <v>500</v>
      </c>
      <c r="O50" s="18">
        <v>73.27</v>
      </c>
      <c r="P50" s="18">
        <v>60.06</v>
      </c>
      <c r="Q50" s="18">
        <v>62.28</v>
      </c>
      <c r="R50" s="18">
        <v>51.05</v>
      </c>
      <c r="S50" s="18">
        <v>49.82</v>
      </c>
      <c r="T50" s="18">
        <v>40.840000000000003</v>
      </c>
      <c r="U50" s="16"/>
      <c r="V50" s="16"/>
      <c r="W50" s="16" t="s">
        <v>40</v>
      </c>
      <c r="X50" s="19">
        <v>3.3000000000000002E-2</v>
      </c>
      <c r="Y50" s="20">
        <v>2.0999999999999999E-5</v>
      </c>
      <c r="Z50" s="21">
        <v>4631137044962</v>
      </c>
    </row>
    <row r="51" spans="1:26" ht="12" customHeight="1" outlineLevel="4" x14ac:dyDescent="0.2">
      <c r="A51" s="14" t="s">
        <v>2435</v>
      </c>
      <c r="B51" s="26" t="s">
        <v>2436</v>
      </c>
      <c r="C51" s="52"/>
      <c r="D51" s="55">
        <f t="shared" si="0"/>
        <v>0</v>
      </c>
      <c r="E51" s="63" t="str">
        <f>HYPERLINK("https://www.sds-group.ru/product/provod-pugv-pv-3-2-5-mm-500-m-siniy-gost-31947-2012-tu-16-705-501-2010-01-8619-2/", "Инфо")</f>
        <v>Инфо</v>
      </c>
      <c r="F51" s="16" t="s">
        <v>1767</v>
      </c>
      <c r="G51" s="15"/>
      <c r="H51" s="15"/>
      <c r="I51" s="15" t="s">
        <v>2421</v>
      </c>
      <c r="J51" s="16" t="s">
        <v>100</v>
      </c>
      <c r="K51" s="15"/>
      <c r="L51" s="17">
        <v>500</v>
      </c>
      <c r="M51" s="17">
        <v>500</v>
      </c>
      <c r="N51" s="17">
        <v>500</v>
      </c>
      <c r="O51" s="18">
        <v>76.95</v>
      </c>
      <c r="P51" s="18">
        <v>63.07</v>
      </c>
      <c r="Q51" s="18">
        <v>65.41</v>
      </c>
      <c r="R51" s="18">
        <v>53.61</v>
      </c>
      <c r="S51" s="18">
        <v>52.33</v>
      </c>
      <c r="T51" s="18">
        <v>42.89</v>
      </c>
      <c r="U51" s="16"/>
      <c r="V51" s="16"/>
      <c r="W51" s="16" t="s">
        <v>40</v>
      </c>
      <c r="X51" s="19">
        <v>3.4000000000000002E-2</v>
      </c>
      <c r="Y51" s="20">
        <v>2.5999999999999998E-5</v>
      </c>
      <c r="Z51" s="21">
        <v>4631163484305</v>
      </c>
    </row>
    <row r="52" spans="1:26" ht="12" customHeight="1" outlineLevel="4" x14ac:dyDescent="0.2">
      <c r="A52" s="14" t="s">
        <v>2439</v>
      </c>
      <c r="B52" s="26" t="s">
        <v>2440</v>
      </c>
      <c r="C52" s="52"/>
      <c r="D52" s="55">
        <f t="shared" si="0"/>
        <v>0</v>
      </c>
      <c r="E52" s="63" t="str">
        <f>HYPERLINK("https://www.sds-group.ru/product/provod-pugv-pv-3-6-mm-200-m-belyy-gost-31947-2012-tu-16-705-501-2010-01-8621-1/", "Инфо")</f>
        <v>Инфо</v>
      </c>
      <c r="F52" s="16" t="s">
        <v>1767</v>
      </c>
      <c r="G52" s="15"/>
      <c r="H52" s="15"/>
      <c r="I52" s="15" t="s">
        <v>2441</v>
      </c>
      <c r="J52" s="16" t="s">
        <v>100</v>
      </c>
      <c r="K52" s="15"/>
      <c r="L52" s="17">
        <v>200</v>
      </c>
      <c r="M52" s="17">
        <v>200</v>
      </c>
      <c r="N52" s="17">
        <v>200</v>
      </c>
      <c r="O52" s="18">
        <v>177.92</v>
      </c>
      <c r="P52" s="18">
        <v>145.84</v>
      </c>
      <c r="Q52" s="18">
        <v>151.22999999999999</v>
      </c>
      <c r="R52" s="18">
        <v>123.96</v>
      </c>
      <c r="S52" s="18">
        <v>120.99</v>
      </c>
      <c r="T52" s="18">
        <v>99.17</v>
      </c>
      <c r="U52" s="16"/>
      <c r="V52" s="16"/>
      <c r="W52" s="16" t="s">
        <v>40</v>
      </c>
      <c r="X52" s="19">
        <v>6.8000000000000005E-2</v>
      </c>
      <c r="Y52" s="20">
        <v>4.8000000000000001E-5</v>
      </c>
      <c r="Z52" s="21">
        <v>4631163484237</v>
      </c>
    </row>
    <row r="53" spans="1:26" ht="12" customHeight="1" outlineLevel="4" x14ac:dyDescent="0.2">
      <c r="A53" s="14" t="s">
        <v>2444</v>
      </c>
      <c r="B53" s="26" t="s">
        <v>2445</v>
      </c>
      <c r="C53" s="52"/>
      <c r="D53" s="55">
        <f t="shared" si="0"/>
        <v>0</v>
      </c>
      <c r="E53" s="63" t="str">
        <f>HYPERLINK("https://www.sds-group.ru/product/provod-pugv-pv-3-6-mm-200-m-siniy-gost-31947-2012-tu-16-705-501-2010-01-8621-2/", "Инфо")</f>
        <v>Инфо</v>
      </c>
      <c r="F53" s="16" t="s">
        <v>1767</v>
      </c>
      <c r="G53" s="15"/>
      <c r="H53" s="15"/>
      <c r="I53" s="15" t="s">
        <v>2441</v>
      </c>
      <c r="J53" s="16" t="s">
        <v>100</v>
      </c>
      <c r="K53" s="15"/>
      <c r="L53" s="17">
        <v>200</v>
      </c>
      <c r="M53" s="17">
        <v>200</v>
      </c>
      <c r="N53" s="17">
        <v>200</v>
      </c>
      <c r="O53" s="18">
        <v>177.92</v>
      </c>
      <c r="P53" s="18">
        <v>145.84</v>
      </c>
      <c r="Q53" s="18">
        <v>151.22999999999999</v>
      </c>
      <c r="R53" s="18">
        <v>123.96</v>
      </c>
      <c r="S53" s="18">
        <v>120.99</v>
      </c>
      <c r="T53" s="18">
        <v>99.17</v>
      </c>
      <c r="U53" s="16"/>
      <c r="V53" s="16"/>
      <c r="W53" s="16" t="s">
        <v>40</v>
      </c>
      <c r="X53" s="19">
        <v>7.0000000000000007E-2</v>
      </c>
      <c r="Y53" s="20">
        <v>6.2000000000000003E-5</v>
      </c>
      <c r="Z53" s="21">
        <v>4631163484329</v>
      </c>
    </row>
    <row r="54" spans="1:26" ht="12.95" customHeight="1" outlineLevel="2" x14ac:dyDescent="0.2">
      <c r="A54" s="76" t="s">
        <v>2453</v>
      </c>
      <c r="B54" s="76"/>
      <c r="C54" s="77"/>
      <c r="D54" s="58"/>
      <c r="E54" s="68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 spans="1:26" ht="12.95" customHeight="1" outlineLevel="3" x14ac:dyDescent="0.2">
      <c r="A55" s="82" t="s">
        <v>2630</v>
      </c>
      <c r="B55" s="82"/>
      <c r="C55" s="83"/>
      <c r="D55" s="59"/>
      <c r="E55" s="69"/>
      <c r="F55" s="31"/>
      <c r="G55" s="31"/>
      <c r="H55" s="31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</row>
    <row r="56" spans="1:26" ht="12" customHeight="1" outlineLevel="4" x14ac:dyDescent="0.2">
      <c r="A56" s="32" t="s">
        <v>2647</v>
      </c>
      <c r="B56" s="74" t="s">
        <v>2648</v>
      </c>
      <c r="C56" s="50"/>
      <c r="D56" s="53">
        <f t="shared" si="0"/>
        <v>0</v>
      </c>
      <c r="E56" s="60" t="str">
        <f>HYPERLINK("https://www.sds-group.ru/product/kabel-silovoy-mednyy-num-j-4x2-5-mm-dlina-20-metrov-gost-31996-2012-tu-3520-015-38229892--01-8709-20/", "Инфо")</f>
        <v>Инфо</v>
      </c>
      <c r="F56" s="34" t="s">
        <v>1887</v>
      </c>
      <c r="G56" s="33"/>
      <c r="H56" s="33" t="s">
        <v>40</v>
      </c>
      <c r="I56" s="33" t="s">
        <v>2649</v>
      </c>
      <c r="J56" s="34" t="s">
        <v>100</v>
      </c>
      <c r="K56" s="33"/>
      <c r="L56" s="35">
        <v>1</v>
      </c>
      <c r="M56" s="35">
        <v>1</v>
      </c>
      <c r="N56" s="35">
        <v>1</v>
      </c>
      <c r="O56" s="36">
        <v>1659.14</v>
      </c>
      <c r="P56" s="36">
        <v>1359.95</v>
      </c>
      <c r="Q56" s="36">
        <v>1161.4000000000001</v>
      </c>
      <c r="R56" s="36">
        <v>951.97</v>
      </c>
      <c r="S56" s="36">
        <v>1128.22</v>
      </c>
      <c r="T56" s="36">
        <v>924.77</v>
      </c>
      <c r="U56" s="34"/>
      <c r="V56" s="34"/>
      <c r="W56" s="34"/>
      <c r="X56" s="37">
        <v>6</v>
      </c>
      <c r="Y56" s="38">
        <v>4.0000000000000001E-3</v>
      </c>
      <c r="Z56" s="21">
        <v>4601004134560</v>
      </c>
    </row>
    <row r="57" spans="1:26" ht="12" customHeight="1" outlineLevel="4" x14ac:dyDescent="0.2">
      <c r="A57" s="32" t="s">
        <v>2650</v>
      </c>
      <c r="B57" s="74" t="s">
        <v>2651</v>
      </c>
      <c r="C57" s="50"/>
      <c r="D57" s="53">
        <f t="shared" si="0"/>
        <v>0</v>
      </c>
      <c r="E57" s="60" t="str">
        <f>HYPERLINK("https://www.sds-group.ru/product/kabel-silovoy-mednyy-num-j-4x2-5-mm-dlina-50-metrov-gost-31996-2012-tu-3520-015-38229892--01-8709-50/", "Инфо")</f>
        <v>Инфо</v>
      </c>
      <c r="F57" s="34" t="s">
        <v>1887</v>
      </c>
      <c r="G57" s="33"/>
      <c r="H57" s="33" t="s">
        <v>40</v>
      </c>
      <c r="I57" s="33" t="s">
        <v>2652</v>
      </c>
      <c r="J57" s="34" t="s">
        <v>100</v>
      </c>
      <c r="K57" s="33"/>
      <c r="L57" s="35">
        <v>1</v>
      </c>
      <c r="M57" s="35">
        <v>1</v>
      </c>
      <c r="N57" s="35">
        <v>1</v>
      </c>
      <c r="O57" s="36">
        <v>3802.07</v>
      </c>
      <c r="P57" s="36">
        <v>3116.45</v>
      </c>
      <c r="Q57" s="36">
        <v>2661.45</v>
      </c>
      <c r="R57" s="36">
        <v>2181.52</v>
      </c>
      <c r="S57" s="36">
        <v>2585.41</v>
      </c>
      <c r="T57" s="36">
        <v>2119.19</v>
      </c>
      <c r="U57" s="34"/>
      <c r="V57" s="34"/>
      <c r="W57" s="34"/>
      <c r="X57" s="37">
        <v>15</v>
      </c>
      <c r="Y57" s="38">
        <v>0.01</v>
      </c>
      <c r="Z57" s="21">
        <v>4601004134577</v>
      </c>
    </row>
    <row r="58" spans="1:26" ht="12.95" customHeight="1" outlineLevel="1" x14ac:dyDescent="0.2">
      <c r="A58" s="78" t="s">
        <v>2673</v>
      </c>
      <c r="B58" s="78"/>
      <c r="C58" s="79"/>
      <c r="D58" s="57"/>
      <c r="E58" s="67"/>
      <c r="F58" s="29"/>
      <c r="G58" s="29"/>
      <c r="H58" s="29"/>
      <c r="I58" s="29"/>
      <c r="J58" s="29"/>
      <c r="K58" s="29"/>
      <c r="L58" s="29"/>
      <c r="M58" s="29"/>
      <c r="N58" s="29"/>
      <c r="O58" s="29"/>
      <c r="P58" s="29"/>
      <c r="Q58" s="29"/>
      <c r="R58" s="29"/>
      <c r="S58" s="29"/>
      <c r="T58" s="29"/>
      <c r="U58" s="29"/>
      <c r="V58" s="29"/>
      <c r="W58" s="29"/>
      <c r="X58" s="29"/>
      <c r="Y58" s="29"/>
      <c r="Z58" s="29"/>
    </row>
    <row r="59" spans="1:26" ht="12.95" customHeight="1" outlineLevel="2" x14ac:dyDescent="0.2">
      <c r="A59" s="76" t="s">
        <v>3311</v>
      </c>
      <c r="B59" s="76"/>
      <c r="C59" s="77"/>
      <c r="D59" s="58"/>
      <c r="E59" s="68"/>
      <c r="F59" s="30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 spans="1:26" ht="12.95" customHeight="1" outlineLevel="3" x14ac:dyDescent="0.2">
      <c r="A60" s="76" t="s">
        <v>3312</v>
      </c>
      <c r="B60" s="76"/>
      <c r="C60" s="77"/>
      <c r="D60" s="58"/>
      <c r="E60" s="68"/>
      <c r="F60" s="30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 spans="1:26" ht="12" customHeight="1" outlineLevel="4" x14ac:dyDescent="0.2">
      <c r="A61" s="14" t="s">
        <v>3326</v>
      </c>
      <c r="B61" s="26" t="s">
        <v>3327</v>
      </c>
      <c r="C61" s="52"/>
      <c r="D61" s="55">
        <f t="shared" si="0"/>
        <v>0</v>
      </c>
      <c r="E61" s="63" t="str">
        <f>HYPERLINK("https://www.sds-group.ru/product/nakonechnik-mednyy-luzhenyy-tml-120-12-17-120mm-12mm-gost-7386-80-v-upak-20sht-rexant-07-5331-5/", "Инфо")</f>
        <v>Инфо</v>
      </c>
      <c r="F61" s="16" t="s">
        <v>39</v>
      </c>
      <c r="G61" s="15"/>
      <c r="H61" s="15"/>
      <c r="I61" s="15" t="s">
        <v>3328</v>
      </c>
      <c r="J61" s="17">
        <v>95</v>
      </c>
      <c r="K61" s="15" t="s">
        <v>1408</v>
      </c>
      <c r="L61" s="17">
        <v>20</v>
      </c>
      <c r="M61" s="17">
        <v>120</v>
      </c>
      <c r="N61" s="17">
        <v>20</v>
      </c>
      <c r="O61" s="18">
        <v>584.17999999999995</v>
      </c>
      <c r="P61" s="18">
        <v>478.84</v>
      </c>
      <c r="Q61" s="18">
        <v>496.55</v>
      </c>
      <c r="R61" s="18">
        <v>407.01</v>
      </c>
      <c r="S61" s="18">
        <v>397.24</v>
      </c>
      <c r="T61" s="18">
        <v>325.61</v>
      </c>
      <c r="U61" s="16"/>
      <c r="V61" s="16"/>
      <c r="W61" s="16" t="s">
        <v>40</v>
      </c>
      <c r="X61" s="19">
        <v>0.105</v>
      </c>
      <c r="Y61" s="20">
        <v>2.0000000000000001E-4</v>
      </c>
      <c r="Z61" s="21">
        <v>4601004195608</v>
      </c>
    </row>
    <row r="62" spans="1:26" ht="12" customHeight="1" outlineLevel="4" x14ac:dyDescent="0.2">
      <c r="A62" s="14" t="s">
        <v>3329</v>
      </c>
      <c r="B62" s="26" t="s">
        <v>3330</v>
      </c>
      <c r="C62" s="52"/>
      <c r="D62" s="55">
        <f t="shared" si="0"/>
        <v>0</v>
      </c>
      <c r="E62" s="63" t="str">
        <f>HYPERLINK("https://www.sds-group.ru/product/nakonechnik-mednyy-luzhenyy-tml-120-16-17-120mm-16mm-gost-7386-80-v-upak-25-sht-rexant-07-5332-5/", "Инфо")</f>
        <v>Инфо</v>
      </c>
      <c r="F62" s="16" t="s">
        <v>39</v>
      </c>
      <c r="G62" s="15"/>
      <c r="H62" s="15"/>
      <c r="I62" s="15" t="s">
        <v>3328</v>
      </c>
      <c r="J62" s="17">
        <v>360</v>
      </c>
      <c r="K62" s="15"/>
      <c r="L62" s="17">
        <v>25</v>
      </c>
      <c r="M62" s="17">
        <v>120</v>
      </c>
      <c r="N62" s="17">
        <v>25</v>
      </c>
      <c r="O62" s="18">
        <v>494.8</v>
      </c>
      <c r="P62" s="18">
        <v>405.57</v>
      </c>
      <c r="Q62" s="18">
        <v>346.36</v>
      </c>
      <c r="R62" s="18">
        <v>283.89999999999998</v>
      </c>
      <c r="S62" s="18">
        <v>336.46</v>
      </c>
      <c r="T62" s="18">
        <v>275.79000000000002</v>
      </c>
      <c r="U62" s="16"/>
      <c r="V62" s="16"/>
      <c r="W62" s="16"/>
      <c r="X62" s="19">
        <v>0.105</v>
      </c>
      <c r="Y62" s="20">
        <v>2.0000000000000001E-4</v>
      </c>
      <c r="Z62" s="21">
        <v>4601004195615</v>
      </c>
    </row>
    <row r="63" spans="1:26" ht="12" customHeight="1" outlineLevel="4" x14ac:dyDescent="0.2">
      <c r="A63" s="14" t="s">
        <v>3413</v>
      </c>
      <c r="B63" s="26" t="s">
        <v>3414</v>
      </c>
      <c r="C63" s="52"/>
      <c r="D63" s="55">
        <f t="shared" si="0"/>
        <v>0</v>
      </c>
      <c r="E63" s="63" t="str">
        <f>HYPERLINK("https://www.sds-group.ru/product/nakonechnik-mednyy-luzhenyy-tml-95-10-15-95mm-10mm-gost-7386-80-v-upak-25-sht-rexant-07-5327-5/", "Инфо")</f>
        <v>Инфо</v>
      </c>
      <c r="F63" s="16" t="s">
        <v>39</v>
      </c>
      <c r="G63" s="15"/>
      <c r="H63" s="15"/>
      <c r="I63" s="15" t="s">
        <v>3415</v>
      </c>
      <c r="J63" s="22">
        <v>2350</v>
      </c>
      <c r="K63" s="15"/>
      <c r="L63" s="17">
        <v>25</v>
      </c>
      <c r="M63" s="17">
        <v>200</v>
      </c>
      <c r="N63" s="17">
        <v>25</v>
      </c>
      <c r="O63" s="18">
        <v>386.78</v>
      </c>
      <c r="P63" s="18">
        <v>317.02999999999997</v>
      </c>
      <c r="Q63" s="18">
        <v>328.76</v>
      </c>
      <c r="R63" s="18">
        <v>269.48</v>
      </c>
      <c r="S63" s="18">
        <v>263.01</v>
      </c>
      <c r="T63" s="18">
        <v>215.58</v>
      </c>
      <c r="U63" s="16"/>
      <c r="V63" s="16"/>
      <c r="W63" s="16" t="s">
        <v>40</v>
      </c>
      <c r="X63" s="19">
        <v>0.05</v>
      </c>
      <c r="Y63" s="20">
        <v>3.8000000000000002E-5</v>
      </c>
      <c r="Z63" s="21">
        <v>4601004195585</v>
      </c>
    </row>
    <row r="64" spans="1:26" ht="12" customHeight="1" outlineLevel="4" x14ac:dyDescent="0.2">
      <c r="A64" s="14" t="s">
        <v>3418</v>
      </c>
      <c r="B64" s="26" t="s">
        <v>3419</v>
      </c>
      <c r="C64" s="52"/>
      <c r="D64" s="55">
        <f t="shared" si="0"/>
        <v>0</v>
      </c>
      <c r="E64" s="63" t="str">
        <f>HYPERLINK("https://www.sds-group.ru/product/nakonechnik-mednyy-luzhenyy-tml-95-12-15-95mm-12mm-gost-7386-80-v-upak-25-sht-rexant-07-5328-3/", "Инфо")</f>
        <v>Инфо</v>
      </c>
      <c r="F64" s="16" t="s">
        <v>39</v>
      </c>
      <c r="G64" s="15"/>
      <c r="H64" s="15"/>
      <c r="I64" s="15" t="s">
        <v>3415</v>
      </c>
      <c r="J64" s="17">
        <v>725</v>
      </c>
      <c r="K64" s="15" t="s">
        <v>1408</v>
      </c>
      <c r="L64" s="17">
        <v>25</v>
      </c>
      <c r="M64" s="17">
        <v>200</v>
      </c>
      <c r="N64" s="17">
        <v>25</v>
      </c>
      <c r="O64" s="18">
        <v>386</v>
      </c>
      <c r="P64" s="18">
        <v>316.39</v>
      </c>
      <c r="Q64" s="18">
        <v>328.1</v>
      </c>
      <c r="R64" s="18">
        <v>268.93</v>
      </c>
      <c r="S64" s="18">
        <v>262.48</v>
      </c>
      <c r="T64" s="18">
        <v>215.15</v>
      </c>
      <c r="U64" s="16"/>
      <c r="V64" s="16"/>
      <c r="W64" s="16" t="s">
        <v>40</v>
      </c>
      <c r="X64" s="19">
        <v>4.8000000000000001E-2</v>
      </c>
      <c r="Y64" s="20">
        <v>5.5000000000000002E-5</v>
      </c>
      <c r="Z64" s="21">
        <v>4601004195592</v>
      </c>
    </row>
    <row r="65" spans="1:26" ht="12.95" customHeight="1" outlineLevel="3" x14ac:dyDescent="0.2">
      <c r="A65" s="76" t="s">
        <v>3470</v>
      </c>
      <c r="B65" s="76"/>
      <c r="C65" s="77"/>
      <c r="D65" s="58"/>
      <c r="E65" s="68"/>
      <c r="F65" s="30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 spans="1:26" ht="12" customHeight="1" outlineLevel="4" x14ac:dyDescent="0.2">
      <c r="A66" s="14" t="s">
        <v>3533</v>
      </c>
      <c r="B66" s="26" t="s">
        <v>3534</v>
      </c>
      <c r="C66" s="52"/>
      <c r="D66" s="55">
        <f t="shared" si="0"/>
        <v>0</v>
      </c>
      <c r="E66" s="63" t="str">
        <f>HYPERLINK("https://www.sds-group.ru/product/nakonechnik-mednyy-tm-95-10-15-95mm-10mm-v-upak-25-sht-rexant-07-5327-2/", "Инфо")</f>
        <v>Инфо</v>
      </c>
      <c r="F66" s="16" t="s">
        <v>39</v>
      </c>
      <c r="G66" s="15"/>
      <c r="H66" s="15"/>
      <c r="I66" s="15" t="s">
        <v>3535</v>
      </c>
      <c r="J66" s="22">
        <v>6150</v>
      </c>
      <c r="K66" s="15" t="s">
        <v>1408</v>
      </c>
      <c r="L66" s="17">
        <v>25</v>
      </c>
      <c r="M66" s="17">
        <v>200</v>
      </c>
      <c r="N66" s="17">
        <v>25</v>
      </c>
      <c r="O66" s="18">
        <v>363.56</v>
      </c>
      <c r="P66" s="18">
        <v>298</v>
      </c>
      <c r="Q66" s="18">
        <v>309.02999999999997</v>
      </c>
      <c r="R66" s="18">
        <v>253.3</v>
      </c>
      <c r="S66" s="18">
        <v>247.22</v>
      </c>
      <c r="T66" s="18">
        <v>202.64</v>
      </c>
      <c r="U66" s="16"/>
      <c r="V66" s="16"/>
      <c r="W66" s="16" t="s">
        <v>40</v>
      </c>
      <c r="X66" s="19">
        <v>5.2999999999999999E-2</v>
      </c>
      <c r="Y66" s="20">
        <v>6.9999999999999994E-5</v>
      </c>
      <c r="Z66" s="21">
        <v>4601004192065</v>
      </c>
    </row>
    <row r="67" spans="1:26" ht="12" customHeight="1" outlineLevel="4" x14ac:dyDescent="0.2">
      <c r="A67" s="14" t="s">
        <v>3536</v>
      </c>
      <c r="B67" s="26" t="s">
        <v>3537</v>
      </c>
      <c r="C67" s="52"/>
      <c r="D67" s="55">
        <f t="shared" si="0"/>
        <v>0</v>
      </c>
      <c r="E67" s="63" t="str">
        <f>HYPERLINK("https://www.sds-group.ru/product/nakonechnik-mednyy-tm-120-12-17-120mm-12mm-v-upak-10-sht-rexant-07-5331-2/", "Инфо")</f>
        <v>Инфо</v>
      </c>
      <c r="F67" s="16" t="s">
        <v>39</v>
      </c>
      <c r="G67" s="15"/>
      <c r="H67" s="15"/>
      <c r="I67" s="15" t="s">
        <v>3538</v>
      </c>
      <c r="J67" s="22">
        <v>1080</v>
      </c>
      <c r="K67" s="15"/>
      <c r="L67" s="17">
        <v>10</v>
      </c>
      <c r="M67" s="17">
        <v>120</v>
      </c>
      <c r="N67" s="17">
        <v>10</v>
      </c>
      <c r="O67" s="18">
        <v>519.96</v>
      </c>
      <c r="P67" s="18">
        <v>426.2</v>
      </c>
      <c r="Q67" s="18">
        <v>415.97</v>
      </c>
      <c r="R67" s="18">
        <v>340.96</v>
      </c>
      <c r="S67" s="18">
        <v>353.57</v>
      </c>
      <c r="T67" s="18">
        <v>289.81</v>
      </c>
      <c r="U67" s="16"/>
      <c r="V67" s="16"/>
      <c r="W67" s="16" t="s">
        <v>40</v>
      </c>
      <c r="X67" s="19">
        <v>8.3000000000000004E-2</v>
      </c>
      <c r="Y67" s="20">
        <v>1.18E-4</v>
      </c>
      <c r="Z67" s="21">
        <v>4601004191686</v>
      </c>
    </row>
    <row r="68" spans="1:26" ht="12" customHeight="1" outlineLevel="4" x14ac:dyDescent="0.2">
      <c r="A68" s="14" t="s">
        <v>3539</v>
      </c>
      <c r="B68" s="26" t="s">
        <v>3540</v>
      </c>
      <c r="C68" s="52"/>
      <c r="D68" s="55">
        <f t="shared" si="0"/>
        <v>0</v>
      </c>
      <c r="E68" s="63" t="str">
        <f>HYPERLINK("https://www.sds-group.ru/product/nakonechnik-mednyy-tm-150-16-19-150mm-16mm-v-upak-10-sht-rexant-07-5336-2/", "Инфо")</f>
        <v>Инфо</v>
      </c>
      <c r="F68" s="16" t="s">
        <v>39</v>
      </c>
      <c r="G68" s="15"/>
      <c r="H68" s="15"/>
      <c r="I68" s="15" t="s">
        <v>3538</v>
      </c>
      <c r="J68" s="17">
        <v>300</v>
      </c>
      <c r="K68" s="15" t="s">
        <v>1408</v>
      </c>
      <c r="L68" s="17">
        <v>10</v>
      </c>
      <c r="M68" s="17">
        <v>90</v>
      </c>
      <c r="N68" s="17">
        <v>10</v>
      </c>
      <c r="O68" s="18">
        <v>781.03</v>
      </c>
      <c r="P68" s="18">
        <v>640.19000000000005</v>
      </c>
      <c r="Q68" s="18">
        <v>624.82000000000005</v>
      </c>
      <c r="R68" s="18">
        <v>512.15</v>
      </c>
      <c r="S68" s="18">
        <v>531.1</v>
      </c>
      <c r="T68" s="18">
        <v>435.33</v>
      </c>
      <c r="U68" s="16"/>
      <c r="V68" s="16"/>
      <c r="W68" s="16" t="s">
        <v>40</v>
      </c>
      <c r="X68" s="19">
        <v>0.11600000000000001</v>
      </c>
      <c r="Y68" s="20">
        <v>1.5899999999999999E-4</v>
      </c>
      <c r="Z68" s="21">
        <v>4601004191709</v>
      </c>
    </row>
    <row r="69" spans="1:26" ht="12" customHeight="1" outlineLevel="4" x14ac:dyDescent="0.2">
      <c r="A69" s="14" t="s">
        <v>3541</v>
      </c>
      <c r="B69" s="26" t="s">
        <v>3542</v>
      </c>
      <c r="C69" s="52"/>
      <c r="D69" s="55">
        <f t="shared" si="0"/>
        <v>0</v>
      </c>
      <c r="E69" s="63" t="str">
        <f>HYPERLINK("https://www.sds-group.ru/product/nakonechnik-medniy-tm-185-16-21-185mm-sup2-oslash-16mm-v-upak-10-sht-rexant-pod-zakaz-25250/", "Инфо")</f>
        <v>Инфо</v>
      </c>
      <c r="F69" s="16" t="s">
        <v>39</v>
      </c>
      <c r="G69" s="15"/>
      <c r="H69" s="15"/>
      <c r="I69" s="15" t="s">
        <v>3543</v>
      </c>
      <c r="J69" s="16" t="s">
        <v>100</v>
      </c>
      <c r="K69" s="15"/>
      <c r="L69" s="17">
        <v>10</v>
      </c>
      <c r="M69" s="17">
        <v>10</v>
      </c>
      <c r="N69" s="17">
        <v>10</v>
      </c>
      <c r="O69" s="18">
        <v>876.45</v>
      </c>
      <c r="P69" s="18">
        <v>718.4</v>
      </c>
      <c r="Q69" s="18">
        <v>701.16</v>
      </c>
      <c r="R69" s="18">
        <v>574.72</v>
      </c>
      <c r="S69" s="18">
        <v>595.99</v>
      </c>
      <c r="T69" s="18">
        <v>488.52</v>
      </c>
      <c r="U69" s="16"/>
      <c r="V69" s="16"/>
      <c r="W69" s="16" t="s">
        <v>40</v>
      </c>
      <c r="X69" s="19">
        <v>0.18099999999999999</v>
      </c>
      <c r="Y69" s="20">
        <v>2.0000000000000001E-4</v>
      </c>
      <c r="Z69" s="21">
        <v>4601004191716</v>
      </c>
    </row>
    <row r="70" spans="1:26" ht="12" customHeight="1" outlineLevel="4" x14ac:dyDescent="0.2">
      <c r="A70" s="14" t="s">
        <v>3544</v>
      </c>
      <c r="B70" s="26" t="s">
        <v>3545</v>
      </c>
      <c r="C70" s="52"/>
      <c r="D70" s="55">
        <f t="shared" si="0"/>
        <v>0</v>
      </c>
      <c r="E70" s="63" t="str">
        <f>HYPERLINK("https://www.sds-group.ru/product/nakonechnik-mednyy-tm-240-16-24-240mm-16mm-v-upak-5-sht-rexant-pod-zakaz-07-5343-2/", "Инфо")</f>
        <v>Инфо</v>
      </c>
      <c r="F70" s="16" t="s">
        <v>39</v>
      </c>
      <c r="G70" s="15"/>
      <c r="H70" s="15"/>
      <c r="I70" s="15" t="s">
        <v>3543</v>
      </c>
      <c r="J70" s="17">
        <v>750</v>
      </c>
      <c r="K70" s="15"/>
      <c r="L70" s="17">
        <v>5</v>
      </c>
      <c r="M70" s="17">
        <v>50</v>
      </c>
      <c r="N70" s="17">
        <v>5</v>
      </c>
      <c r="O70" s="18">
        <v>1534.96</v>
      </c>
      <c r="P70" s="18">
        <v>1258.1600000000001</v>
      </c>
      <c r="Q70" s="18">
        <v>1212.6199999999999</v>
      </c>
      <c r="R70" s="18">
        <v>993.95</v>
      </c>
      <c r="S70" s="18">
        <v>1043.77</v>
      </c>
      <c r="T70" s="18">
        <v>855.55</v>
      </c>
      <c r="U70" s="16"/>
      <c r="V70" s="16"/>
      <c r="W70" s="16" t="s">
        <v>40</v>
      </c>
      <c r="X70" s="19">
        <v>0.23599999999999999</v>
      </c>
      <c r="Y70" s="20">
        <v>2.7E-4</v>
      </c>
      <c r="Z70" s="21">
        <v>4601004191358</v>
      </c>
    </row>
    <row r="71" spans="1:26" ht="12.95" customHeight="1" outlineLevel="3" x14ac:dyDescent="0.2">
      <c r="A71" s="76" t="s">
        <v>3546</v>
      </c>
      <c r="B71" s="76"/>
      <c r="C71" s="77"/>
      <c r="D71" s="58"/>
      <c r="E71" s="68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12" customHeight="1" outlineLevel="4" x14ac:dyDescent="0.2">
      <c r="A72" s="14" t="s">
        <v>3547</v>
      </c>
      <c r="B72" s="26" t="s">
        <v>3548</v>
      </c>
      <c r="C72" s="52"/>
      <c r="D72" s="55">
        <f t="shared" si="0"/>
        <v>0</v>
      </c>
      <c r="E72" s="63" t="str">
        <f>HYPERLINK("https://www.sds-group.ru/product/nakonechnik-alyuminieviy-ta-120-12-14-v-upak-25sht-rexant-25351/", "Инфо")</f>
        <v>Инфо</v>
      </c>
      <c r="F72" s="16" t="s">
        <v>39</v>
      </c>
      <c r="G72" s="15"/>
      <c r="H72" s="15"/>
      <c r="I72" s="15" t="s">
        <v>3535</v>
      </c>
      <c r="J72" s="22">
        <v>19200</v>
      </c>
      <c r="K72" s="15"/>
      <c r="L72" s="17">
        <v>25</v>
      </c>
      <c r="M72" s="17">
        <v>200</v>
      </c>
      <c r="N72" s="17">
        <v>25</v>
      </c>
      <c r="O72" s="18">
        <v>127.32</v>
      </c>
      <c r="P72" s="18">
        <v>104.36</v>
      </c>
      <c r="Q72" s="18">
        <v>89.12</v>
      </c>
      <c r="R72" s="18">
        <v>73.05</v>
      </c>
      <c r="S72" s="18">
        <v>86.58</v>
      </c>
      <c r="T72" s="18">
        <v>70.97</v>
      </c>
      <c r="U72" s="16"/>
      <c r="V72" s="16"/>
      <c r="W72" s="16"/>
      <c r="X72" s="19">
        <v>0.06</v>
      </c>
      <c r="Y72" s="20">
        <v>4.0000000000000003E-5</v>
      </c>
      <c r="Z72" s="21">
        <v>4601004191990</v>
      </c>
    </row>
    <row r="73" spans="1:26" ht="12" customHeight="1" outlineLevel="4" x14ac:dyDescent="0.2">
      <c r="A73" s="14" t="s">
        <v>3549</v>
      </c>
      <c r="B73" s="26" t="s">
        <v>3550</v>
      </c>
      <c r="C73" s="52"/>
      <c r="D73" s="55">
        <f t="shared" si="0"/>
        <v>0</v>
      </c>
      <c r="E73" s="63" t="str">
        <f>HYPERLINK("https://www.sds-group.ru/product/nakonechnik-alyuminieviy-ta-150-16-17-v-upak-10-sht-rexant-25271/", "Инфо")</f>
        <v>Инфо</v>
      </c>
      <c r="F73" s="16" t="s">
        <v>39</v>
      </c>
      <c r="G73" s="15"/>
      <c r="H73" s="15"/>
      <c r="I73" s="15" t="s">
        <v>3538</v>
      </c>
      <c r="J73" s="22">
        <v>5050</v>
      </c>
      <c r="K73" s="15" t="s">
        <v>1408</v>
      </c>
      <c r="L73" s="17">
        <v>10</v>
      </c>
      <c r="M73" s="17">
        <v>200</v>
      </c>
      <c r="N73" s="17">
        <v>10</v>
      </c>
      <c r="O73" s="18">
        <v>165.76</v>
      </c>
      <c r="P73" s="18">
        <v>135.87</v>
      </c>
      <c r="Q73" s="18">
        <v>140.9</v>
      </c>
      <c r="R73" s="18">
        <v>115.49</v>
      </c>
      <c r="S73" s="18">
        <v>112.72</v>
      </c>
      <c r="T73" s="18">
        <v>92.39</v>
      </c>
      <c r="U73" s="16"/>
      <c r="V73" s="16"/>
      <c r="W73" s="16" t="s">
        <v>40</v>
      </c>
      <c r="X73" s="19">
        <v>6.0999999999999999E-2</v>
      </c>
      <c r="Y73" s="20">
        <v>1.25E-4</v>
      </c>
      <c r="Z73" s="21">
        <v>4601004191785</v>
      </c>
    </row>
    <row r="74" spans="1:26" ht="12" customHeight="1" outlineLevel="4" x14ac:dyDescent="0.2">
      <c r="A74" s="14" t="s">
        <v>3553</v>
      </c>
      <c r="B74" s="26" t="s">
        <v>3554</v>
      </c>
      <c r="C74" s="52"/>
      <c r="D74" s="55">
        <f t="shared" si="0"/>
        <v>0</v>
      </c>
      <c r="E74" s="63" t="str">
        <f>HYPERLINK("https://www.sds-group.ru/product/nakonechnik-alyuminievyy-ta-185-16-19-v-upak-10-sht-rexant-pod-zakaz-07-4408/", "Инфо")</f>
        <v>Инфо</v>
      </c>
      <c r="F74" s="16" t="s">
        <v>39</v>
      </c>
      <c r="G74" s="15"/>
      <c r="H74" s="15"/>
      <c r="I74" s="15" t="s">
        <v>3555</v>
      </c>
      <c r="J74" s="22">
        <v>8360</v>
      </c>
      <c r="K74" s="15"/>
      <c r="L74" s="17">
        <v>10</v>
      </c>
      <c r="M74" s="17">
        <v>170</v>
      </c>
      <c r="N74" s="17">
        <v>10</v>
      </c>
      <c r="O74" s="18">
        <v>191.73</v>
      </c>
      <c r="P74" s="18">
        <v>157.16</v>
      </c>
      <c r="Q74" s="18">
        <v>162.97</v>
      </c>
      <c r="R74" s="18">
        <v>133.58000000000001</v>
      </c>
      <c r="S74" s="18">
        <v>130.38</v>
      </c>
      <c r="T74" s="18">
        <v>106.87</v>
      </c>
      <c r="U74" s="16"/>
      <c r="V74" s="16"/>
      <c r="W74" s="16" t="s">
        <v>40</v>
      </c>
      <c r="X74" s="19">
        <v>6.8000000000000005E-2</v>
      </c>
      <c r="Y74" s="20">
        <v>1.01E-4</v>
      </c>
      <c r="Z74" s="21">
        <v>4601004191600</v>
      </c>
    </row>
    <row r="75" spans="1:26" ht="12" customHeight="1" outlineLevel="4" x14ac:dyDescent="0.2">
      <c r="A75" s="14" t="s">
        <v>3556</v>
      </c>
      <c r="B75" s="26" t="s">
        <v>3557</v>
      </c>
      <c r="C75" s="52"/>
      <c r="D75" s="55">
        <f t="shared" si="0"/>
        <v>0</v>
      </c>
      <c r="E75" s="63" t="str">
        <f>HYPERLINK("https://www.sds-group.ru/product/nakonechnik-alyuminievyy-ta-240-20-20-v-upak-10-sht-rexant-pod-zakaz-07-4410/", "Инфо")</f>
        <v>Инфо</v>
      </c>
      <c r="F75" s="16" t="s">
        <v>39</v>
      </c>
      <c r="G75" s="15"/>
      <c r="H75" s="15"/>
      <c r="I75" s="15" t="s">
        <v>3555</v>
      </c>
      <c r="J75" s="22">
        <v>9480</v>
      </c>
      <c r="K75" s="15" t="s">
        <v>1408</v>
      </c>
      <c r="L75" s="17">
        <v>10</v>
      </c>
      <c r="M75" s="17">
        <v>110</v>
      </c>
      <c r="N75" s="17">
        <v>10</v>
      </c>
      <c r="O75" s="18">
        <v>234.45</v>
      </c>
      <c r="P75" s="18">
        <v>192.17</v>
      </c>
      <c r="Q75" s="18">
        <v>199.28</v>
      </c>
      <c r="R75" s="18">
        <v>163.34</v>
      </c>
      <c r="S75" s="18">
        <v>159.43</v>
      </c>
      <c r="T75" s="18">
        <v>130.68</v>
      </c>
      <c r="U75" s="16"/>
      <c r="V75" s="16"/>
      <c r="W75" s="16" t="s">
        <v>40</v>
      </c>
      <c r="X75" s="19">
        <v>7.6999999999999999E-2</v>
      </c>
      <c r="Y75" s="20">
        <v>1.6799999999999999E-4</v>
      </c>
      <c r="Z75" s="21">
        <v>4601004191624</v>
      </c>
    </row>
    <row r="76" spans="1:26" ht="12" customHeight="1" outlineLevel="4" x14ac:dyDescent="0.2">
      <c r="A76" s="14" t="s">
        <v>3560</v>
      </c>
      <c r="B76" s="26" t="s">
        <v>3561</v>
      </c>
      <c r="C76" s="52"/>
      <c r="D76" s="55">
        <f t="shared" si="0"/>
        <v>0</v>
      </c>
      <c r="E76" s="63" t="str">
        <f>HYPERLINK("https://www.sds-group.ru/product/nakonechnik-alyuminievyy-ta-35-10-8-v-upak-50-sht-rexant-07-4402/", "Инфо")</f>
        <v>Инфо</v>
      </c>
      <c r="F76" s="16" t="s">
        <v>39</v>
      </c>
      <c r="G76" s="15"/>
      <c r="H76" s="15"/>
      <c r="I76" s="15" t="s">
        <v>3562</v>
      </c>
      <c r="J76" s="22">
        <v>21750</v>
      </c>
      <c r="K76" s="15"/>
      <c r="L76" s="17">
        <v>50</v>
      </c>
      <c r="M76" s="17">
        <v>700</v>
      </c>
      <c r="N76" s="17">
        <v>50</v>
      </c>
      <c r="O76" s="18">
        <v>49.4</v>
      </c>
      <c r="P76" s="18">
        <v>40.49</v>
      </c>
      <c r="Q76" s="18">
        <v>41.99</v>
      </c>
      <c r="R76" s="18">
        <v>34.42</v>
      </c>
      <c r="S76" s="18">
        <v>33.590000000000003</v>
      </c>
      <c r="T76" s="18">
        <v>27.53</v>
      </c>
      <c r="U76" s="16"/>
      <c r="V76" s="16"/>
      <c r="W76" s="16" t="s">
        <v>40</v>
      </c>
      <c r="X76" s="19">
        <v>1.4E-2</v>
      </c>
      <c r="Y76" s="20">
        <v>3.1000000000000001E-5</v>
      </c>
      <c r="Z76" s="21">
        <v>4601004192225</v>
      </c>
    </row>
    <row r="77" spans="1:26" ht="12" customHeight="1" outlineLevel="4" x14ac:dyDescent="0.2">
      <c r="A77" s="14" t="s">
        <v>3565</v>
      </c>
      <c r="B77" s="26" t="s">
        <v>3566</v>
      </c>
      <c r="C77" s="52"/>
      <c r="D77" s="55">
        <f t="shared" ref="D77:D140" si="1">C77*(O77-O77*$G$3)</f>
        <v>0</v>
      </c>
      <c r="E77" s="63" t="str">
        <f>HYPERLINK("https://www.sds-group.ru/product/nakonechnik-alyuminievyy-ta-70-10-12-v-upak-25-sht-rexant-07-4404/", "Инфо")</f>
        <v>Инфо</v>
      </c>
      <c r="F77" s="16" t="s">
        <v>39</v>
      </c>
      <c r="G77" s="15"/>
      <c r="H77" s="15"/>
      <c r="I77" s="15" t="s">
        <v>3567</v>
      </c>
      <c r="J77" s="22">
        <v>27975</v>
      </c>
      <c r="K77" s="15"/>
      <c r="L77" s="17">
        <v>25</v>
      </c>
      <c r="M77" s="17">
        <v>1</v>
      </c>
      <c r="N77" s="17">
        <v>25</v>
      </c>
      <c r="O77" s="18">
        <v>81.819999999999993</v>
      </c>
      <c r="P77" s="18">
        <v>67.069999999999993</v>
      </c>
      <c r="Q77" s="18">
        <v>69.55</v>
      </c>
      <c r="R77" s="18">
        <v>57.01</v>
      </c>
      <c r="S77" s="18">
        <v>55.64</v>
      </c>
      <c r="T77" s="18">
        <v>45.61</v>
      </c>
      <c r="U77" s="16"/>
      <c r="V77" s="16"/>
      <c r="W77" s="16" t="s">
        <v>40</v>
      </c>
      <c r="X77" s="19">
        <v>2.8000000000000001E-2</v>
      </c>
      <c r="Y77" s="20">
        <v>4.8999999999999998E-5</v>
      </c>
      <c r="Z77" s="21">
        <v>4601004191976</v>
      </c>
    </row>
    <row r="78" spans="1:26" ht="12" customHeight="1" outlineLevel="4" x14ac:dyDescent="0.2">
      <c r="A78" s="14" t="s">
        <v>3570</v>
      </c>
      <c r="B78" s="26" t="s">
        <v>3571</v>
      </c>
      <c r="C78" s="52"/>
      <c r="D78" s="55">
        <f t="shared" si="1"/>
        <v>0</v>
      </c>
      <c r="E78" s="63" t="str">
        <f>HYPERLINK("https://www.sds-group.ru/product/nakonechnik-shtiftovoy-alyuminievyy-luzhenyy-nshal-16-14-v-upak-50-sht-rexant-07-4411-1/", "Инфо")</f>
        <v>Инфо</v>
      </c>
      <c r="F78" s="16" t="s">
        <v>39</v>
      </c>
      <c r="G78" s="15"/>
      <c r="H78" s="15"/>
      <c r="I78" s="15" t="s">
        <v>3572</v>
      </c>
      <c r="J78" s="16" t="s">
        <v>100</v>
      </c>
      <c r="K78" s="15" t="s">
        <v>1888</v>
      </c>
      <c r="L78" s="17">
        <v>50</v>
      </c>
      <c r="M78" s="22">
        <v>1000</v>
      </c>
      <c r="N78" s="17">
        <v>50</v>
      </c>
      <c r="O78" s="18">
        <v>47.54</v>
      </c>
      <c r="P78" s="18">
        <v>38.97</v>
      </c>
      <c r="Q78" s="18">
        <v>40.409999999999997</v>
      </c>
      <c r="R78" s="18">
        <v>33.119999999999997</v>
      </c>
      <c r="S78" s="18">
        <v>32.33</v>
      </c>
      <c r="T78" s="18">
        <v>26.5</v>
      </c>
      <c r="U78" s="16"/>
      <c r="V78" s="16"/>
      <c r="W78" s="16" t="s">
        <v>40</v>
      </c>
      <c r="X78" s="19">
        <v>6.0000000000000001E-3</v>
      </c>
      <c r="Y78" s="20">
        <v>1.2999999999999999E-5</v>
      </c>
      <c r="Z78" s="21">
        <v>4601004192263</v>
      </c>
    </row>
    <row r="79" spans="1:26" ht="12.95" customHeight="1" outlineLevel="3" x14ac:dyDescent="0.2">
      <c r="A79" s="76" t="s">
        <v>3601</v>
      </c>
      <c r="B79" s="76"/>
      <c r="C79" s="77"/>
      <c r="D79" s="58"/>
      <c r="E79" s="68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 spans="1:26" ht="12" customHeight="1" outlineLevel="4" x14ac:dyDescent="0.2">
      <c r="A80" s="14" t="s">
        <v>3602</v>
      </c>
      <c r="B80" s="26" t="s">
        <v>3603</v>
      </c>
      <c r="C80" s="52"/>
      <c r="D80" s="55">
        <f t="shared" si="1"/>
        <v>0</v>
      </c>
      <c r="E80" s="63" t="str">
        <f>HYPERLINK("https://www.sds-group.ru/product/gilza-kabelnaya-gml-95-15-95mm-sup2-oslash-15mm-gost-23469-3-79-v-upak-25sht-rexant-25583/", "Инфо")</f>
        <v>Инфо</v>
      </c>
      <c r="F80" s="16" t="s">
        <v>39</v>
      </c>
      <c r="G80" s="15"/>
      <c r="H80" s="15"/>
      <c r="I80" s="15" t="s">
        <v>3535</v>
      </c>
      <c r="J80" s="17">
        <v>100</v>
      </c>
      <c r="K80" s="15"/>
      <c r="L80" s="17">
        <v>25</v>
      </c>
      <c r="M80" s="17">
        <v>200</v>
      </c>
      <c r="N80" s="17">
        <v>25</v>
      </c>
      <c r="O80" s="18">
        <v>377.78</v>
      </c>
      <c r="P80" s="18">
        <v>309.66000000000003</v>
      </c>
      <c r="Q80" s="18">
        <v>321.11</v>
      </c>
      <c r="R80" s="18">
        <v>263.2</v>
      </c>
      <c r="S80" s="18">
        <v>256.89</v>
      </c>
      <c r="T80" s="18">
        <v>210.57</v>
      </c>
      <c r="U80" s="16"/>
      <c r="V80" s="16"/>
      <c r="W80" s="16" t="s">
        <v>40</v>
      </c>
      <c r="X80" s="19">
        <v>6.4000000000000001E-2</v>
      </c>
      <c r="Y80" s="20">
        <v>8.0000000000000007E-5</v>
      </c>
      <c r="Z80" s="21">
        <v>4601004342217</v>
      </c>
    </row>
    <row r="81" spans="1:26" ht="12" customHeight="1" outlineLevel="4" x14ac:dyDescent="0.2">
      <c r="A81" s="14" t="s">
        <v>3612</v>
      </c>
      <c r="B81" s="26" t="s">
        <v>3613</v>
      </c>
      <c r="C81" s="52"/>
      <c r="D81" s="55">
        <f t="shared" si="1"/>
        <v>0</v>
      </c>
      <c r="E81" s="63" t="str">
        <f>HYPERLINK("https://www.sds-group.ru/product/gilza-kabelnaya-mednaya-lujenaya-gml-25-7-25mm-sup2-oslash-7mm-gost-23469-3-79-v-upak-100-sht-rexant-25263/", "Инфо")</f>
        <v>Инфо</v>
      </c>
      <c r="F81" s="16" t="s">
        <v>39</v>
      </c>
      <c r="G81" s="15"/>
      <c r="H81" s="15"/>
      <c r="I81" s="15" t="s">
        <v>3555</v>
      </c>
      <c r="J81" s="22">
        <v>2400</v>
      </c>
      <c r="K81" s="15"/>
      <c r="L81" s="17">
        <v>100</v>
      </c>
      <c r="M81" s="17">
        <v>200</v>
      </c>
      <c r="N81" s="17">
        <v>100</v>
      </c>
      <c r="O81" s="18">
        <v>105.01</v>
      </c>
      <c r="P81" s="18">
        <v>86.07</v>
      </c>
      <c r="Q81" s="18">
        <v>89.26</v>
      </c>
      <c r="R81" s="18">
        <v>73.16</v>
      </c>
      <c r="S81" s="18">
        <v>71.41</v>
      </c>
      <c r="T81" s="18">
        <v>58.53</v>
      </c>
      <c r="U81" s="16"/>
      <c r="V81" s="16"/>
      <c r="W81" s="16" t="s">
        <v>40</v>
      </c>
      <c r="X81" s="19">
        <v>1.6E-2</v>
      </c>
      <c r="Y81" s="20">
        <v>2.0000000000000002E-5</v>
      </c>
      <c r="Z81" s="21">
        <v>4601004190726</v>
      </c>
    </row>
    <row r="82" spans="1:26" ht="12" customHeight="1" outlineLevel="4" x14ac:dyDescent="0.2">
      <c r="A82" s="14" t="s">
        <v>3634</v>
      </c>
      <c r="B82" s="26" t="s">
        <v>3635</v>
      </c>
      <c r="C82" s="52"/>
      <c r="D82" s="55">
        <f t="shared" si="1"/>
        <v>0</v>
      </c>
      <c r="E82" s="63" t="str">
        <f>HYPERLINK("https://www.sds-group.ru/product/gilza-mednaya-lujenaya-gml-70-13-70mm-sup2-oslash-13mm-gost-23469-3-79-v-upak-25sht-rexant-25582/", "Инфо")</f>
        <v>Инфо</v>
      </c>
      <c r="F82" s="16" t="s">
        <v>39</v>
      </c>
      <c r="G82" s="15"/>
      <c r="H82" s="15"/>
      <c r="I82" s="15" t="s">
        <v>3636</v>
      </c>
      <c r="J82" s="22">
        <v>1050</v>
      </c>
      <c r="K82" s="15"/>
      <c r="L82" s="17">
        <v>25</v>
      </c>
      <c r="M82" s="17">
        <v>400</v>
      </c>
      <c r="N82" s="17">
        <v>25</v>
      </c>
      <c r="O82" s="18">
        <v>212.46</v>
      </c>
      <c r="P82" s="18">
        <v>174.15</v>
      </c>
      <c r="Q82" s="18">
        <v>180.59</v>
      </c>
      <c r="R82" s="18">
        <v>148.02000000000001</v>
      </c>
      <c r="S82" s="18">
        <v>144.47</v>
      </c>
      <c r="T82" s="18">
        <v>118.42</v>
      </c>
      <c r="U82" s="16"/>
      <c r="V82" s="16"/>
      <c r="W82" s="16" t="s">
        <v>40</v>
      </c>
      <c r="X82" s="19">
        <v>3.1E-2</v>
      </c>
      <c r="Y82" s="20">
        <v>1.5999999999999999E-5</v>
      </c>
      <c r="Z82" s="21">
        <v>4601004195127</v>
      </c>
    </row>
    <row r="83" spans="1:26" ht="12.95" customHeight="1" outlineLevel="3" x14ac:dyDescent="0.2">
      <c r="A83" s="76" t="s">
        <v>3650</v>
      </c>
      <c r="B83" s="76"/>
      <c r="C83" s="77"/>
      <c r="D83" s="58"/>
      <c r="E83" s="68"/>
      <c r="F83" s="30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 spans="1:26" ht="12" customHeight="1" outlineLevel="4" x14ac:dyDescent="0.2">
      <c r="A84" s="14" t="s">
        <v>3651</v>
      </c>
      <c r="B84" s="26" t="s">
        <v>3652</v>
      </c>
      <c r="C84" s="52"/>
      <c r="D84" s="55">
        <f t="shared" si="1"/>
        <v>0</v>
      </c>
      <c r="E84" s="63" t="str">
        <f>HYPERLINK("https://www.sds-group.ru/product/gilza-kabelnaya-mednaya-gm-120-17-120mm-17mm-v-upak-10-sht-rexant-07-5361-4/", "Инфо")</f>
        <v>Инфо</v>
      </c>
      <c r="F84" s="16" t="s">
        <v>39</v>
      </c>
      <c r="G84" s="15"/>
      <c r="H84" s="15"/>
      <c r="I84" s="15" t="s">
        <v>3538</v>
      </c>
      <c r="J84" s="22">
        <v>1740</v>
      </c>
      <c r="K84" s="15"/>
      <c r="L84" s="17">
        <v>10</v>
      </c>
      <c r="M84" s="17">
        <v>10</v>
      </c>
      <c r="N84" s="17">
        <v>10</v>
      </c>
      <c r="O84" s="18">
        <v>577.80999999999995</v>
      </c>
      <c r="P84" s="18">
        <v>473.61</v>
      </c>
      <c r="Q84" s="18">
        <v>491.14</v>
      </c>
      <c r="R84" s="18">
        <v>402.57</v>
      </c>
      <c r="S84" s="18">
        <v>392.91</v>
      </c>
      <c r="T84" s="18">
        <v>322.06</v>
      </c>
      <c r="U84" s="16"/>
      <c r="V84" s="16"/>
      <c r="W84" s="16" t="s">
        <v>40</v>
      </c>
      <c r="X84" s="19">
        <v>9.0999999999999998E-2</v>
      </c>
      <c r="Y84" s="20">
        <v>2.0000000000000002E-5</v>
      </c>
      <c r="Z84" s="21">
        <v>4601004191532</v>
      </c>
    </row>
    <row r="85" spans="1:26" ht="12" customHeight="1" outlineLevel="4" x14ac:dyDescent="0.2">
      <c r="A85" s="14" t="s">
        <v>3653</v>
      </c>
      <c r="B85" s="26" t="s">
        <v>3654</v>
      </c>
      <c r="C85" s="52"/>
      <c r="D85" s="55">
        <f t="shared" si="1"/>
        <v>0</v>
      </c>
      <c r="E85" s="63" t="str">
        <f>HYPERLINK("https://www.sds-group.ru/product/gilza-kabelnaya-mednaya-gm-150-19-150mm-19mm-v-upak-10-sht-rexant-07-5362-4/", "Инфо")</f>
        <v>Инфо</v>
      </c>
      <c r="F85" s="16" t="s">
        <v>39</v>
      </c>
      <c r="G85" s="15"/>
      <c r="H85" s="15"/>
      <c r="I85" s="15" t="s">
        <v>3538</v>
      </c>
      <c r="J85" s="16" t="s">
        <v>100</v>
      </c>
      <c r="K85" s="15"/>
      <c r="L85" s="17">
        <v>10</v>
      </c>
      <c r="M85" s="17">
        <v>10</v>
      </c>
      <c r="N85" s="17">
        <v>10</v>
      </c>
      <c r="O85" s="18">
        <v>772.85</v>
      </c>
      <c r="P85" s="18">
        <v>633.48</v>
      </c>
      <c r="Q85" s="18">
        <v>656.92</v>
      </c>
      <c r="R85" s="18">
        <v>538.46</v>
      </c>
      <c r="S85" s="18">
        <v>525.54</v>
      </c>
      <c r="T85" s="18">
        <v>430.77</v>
      </c>
      <c r="U85" s="16"/>
      <c r="V85" s="16"/>
      <c r="W85" s="16" t="s">
        <v>40</v>
      </c>
      <c r="X85" s="19">
        <v>9.6000000000000002E-2</v>
      </c>
      <c r="Y85" s="20">
        <v>7.7999999999999999E-5</v>
      </c>
      <c r="Z85" s="21">
        <v>4601004191549</v>
      </c>
    </row>
    <row r="86" spans="1:26" ht="12" customHeight="1" outlineLevel="4" x14ac:dyDescent="0.2">
      <c r="A86" s="14" t="s">
        <v>3655</v>
      </c>
      <c r="B86" s="26" t="s">
        <v>3656</v>
      </c>
      <c r="C86" s="52"/>
      <c r="D86" s="55">
        <f t="shared" si="1"/>
        <v>0</v>
      </c>
      <c r="E86" s="63" t="str">
        <f>HYPERLINK("https://www.sds-group.ru/product/gilza-kabelnaya-mednaya-gm-185-21-185mm-21mm-v-upak-10-sht-rexant-pod-zakaz-07-5363-4/", "Инфо")</f>
        <v>Инфо</v>
      </c>
      <c r="F86" s="16" t="s">
        <v>39</v>
      </c>
      <c r="G86" s="15"/>
      <c r="H86" s="15"/>
      <c r="I86" s="15" t="s">
        <v>3543</v>
      </c>
      <c r="J86" s="16" t="s">
        <v>100</v>
      </c>
      <c r="K86" s="15"/>
      <c r="L86" s="17">
        <v>10</v>
      </c>
      <c r="M86" s="17">
        <v>10</v>
      </c>
      <c r="N86" s="17">
        <v>10</v>
      </c>
      <c r="O86" s="18">
        <v>1005.68</v>
      </c>
      <c r="P86" s="18">
        <v>824.33</v>
      </c>
      <c r="Q86" s="18">
        <v>854.83</v>
      </c>
      <c r="R86" s="18">
        <v>700.68</v>
      </c>
      <c r="S86" s="18">
        <v>683.86</v>
      </c>
      <c r="T86" s="18">
        <v>560.54</v>
      </c>
      <c r="U86" s="16"/>
      <c r="V86" s="16"/>
      <c r="W86" s="16" t="s">
        <v>40</v>
      </c>
      <c r="X86" s="19">
        <v>0.151</v>
      </c>
      <c r="Y86" s="20">
        <v>2.0000000000000002E-5</v>
      </c>
      <c r="Z86" s="21">
        <v>4601004191556</v>
      </c>
    </row>
    <row r="87" spans="1:26" ht="12" customHeight="1" outlineLevel="4" x14ac:dyDescent="0.2">
      <c r="A87" s="14" t="s">
        <v>3657</v>
      </c>
      <c r="B87" s="26" t="s">
        <v>3658</v>
      </c>
      <c r="C87" s="52"/>
      <c r="D87" s="55">
        <f t="shared" si="1"/>
        <v>0</v>
      </c>
      <c r="E87" s="63" t="str">
        <f>HYPERLINK("https://www.sds-group.ru/product/gilza-kabelnaya-mednaya-gm-240-24-240mm-24mm-v-upak-5-sht-rexant-pod-zakaz-07-5367-4/", "Инфо")</f>
        <v>Инфо</v>
      </c>
      <c r="F87" s="16" t="s">
        <v>39</v>
      </c>
      <c r="G87" s="15"/>
      <c r="H87" s="15"/>
      <c r="I87" s="15" t="s">
        <v>3543</v>
      </c>
      <c r="J87" s="16" t="s">
        <v>100</v>
      </c>
      <c r="K87" s="15"/>
      <c r="L87" s="17">
        <v>5</v>
      </c>
      <c r="M87" s="17">
        <v>5</v>
      </c>
      <c r="N87" s="17">
        <v>5</v>
      </c>
      <c r="O87" s="18">
        <v>1664.93</v>
      </c>
      <c r="P87" s="18">
        <v>1364.7</v>
      </c>
      <c r="Q87" s="18">
        <v>1415.19</v>
      </c>
      <c r="R87" s="18">
        <v>1159.99</v>
      </c>
      <c r="S87" s="18">
        <v>1132.1500000000001</v>
      </c>
      <c r="T87" s="18">
        <v>927.99</v>
      </c>
      <c r="U87" s="16"/>
      <c r="V87" s="16"/>
      <c r="W87" s="16" t="s">
        <v>40</v>
      </c>
      <c r="X87" s="19">
        <v>0.23499999999999999</v>
      </c>
      <c r="Y87" s="20">
        <v>4.0000000000000002E-4</v>
      </c>
      <c r="Z87" s="21">
        <v>4601004191204</v>
      </c>
    </row>
    <row r="88" spans="1:26" ht="12" customHeight="1" outlineLevel="4" x14ac:dyDescent="0.2">
      <c r="A88" s="14" t="s">
        <v>3679</v>
      </c>
      <c r="B88" s="26" t="s">
        <v>3680</v>
      </c>
      <c r="C88" s="52"/>
      <c r="D88" s="55">
        <f t="shared" si="1"/>
        <v>0</v>
      </c>
      <c r="E88" s="63" t="str">
        <f>HYPERLINK("https://www.sds-group.ru/product/gilza-mednaya-gm-50-11-50mm-sup2-oslash-11mm-v-upak-50-sht-rexant-25396/", "Инфо")</f>
        <v>Инфо</v>
      </c>
      <c r="F88" s="16" t="s">
        <v>39</v>
      </c>
      <c r="G88" s="15"/>
      <c r="H88" s="15"/>
      <c r="I88" s="15" t="s">
        <v>3681</v>
      </c>
      <c r="J88" s="17">
        <v>550</v>
      </c>
      <c r="K88" s="15" t="s">
        <v>1408</v>
      </c>
      <c r="L88" s="17">
        <v>50</v>
      </c>
      <c r="M88" s="17">
        <v>1</v>
      </c>
      <c r="N88" s="17">
        <v>50</v>
      </c>
      <c r="O88" s="18">
        <v>166.78</v>
      </c>
      <c r="P88" s="18">
        <v>136.69999999999999</v>
      </c>
      <c r="Q88" s="18">
        <v>141.76</v>
      </c>
      <c r="R88" s="18">
        <v>116.2</v>
      </c>
      <c r="S88" s="18">
        <v>113.41</v>
      </c>
      <c r="T88" s="18">
        <v>92.96</v>
      </c>
      <c r="U88" s="16"/>
      <c r="V88" s="16"/>
      <c r="W88" s="16" t="s">
        <v>40</v>
      </c>
      <c r="X88" s="19">
        <v>2.5999999999999999E-2</v>
      </c>
      <c r="Y88" s="20">
        <v>4.0000000000000003E-5</v>
      </c>
      <c r="Z88" s="21">
        <v>4601004192195</v>
      </c>
    </row>
    <row r="89" spans="1:26" ht="12" customHeight="1" outlineLevel="4" x14ac:dyDescent="0.2">
      <c r="A89" s="14" t="s">
        <v>3688</v>
      </c>
      <c r="B89" s="26" t="s">
        <v>3689</v>
      </c>
      <c r="C89" s="52"/>
      <c r="D89" s="55">
        <f t="shared" si="1"/>
        <v>0</v>
      </c>
      <c r="E89" s="63" t="str">
        <f>HYPERLINK("https://www.sds-group.ru/product/gilza-kabelnaya-mednaya-gm-95-15-25mm-sup2-oslash-7mm-v-upak-25-sht-rexant-25398/", "Инфо")</f>
        <v>Инфо</v>
      </c>
      <c r="F89" s="16" t="s">
        <v>39</v>
      </c>
      <c r="G89" s="15"/>
      <c r="H89" s="15"/>
      <c r="I89" s="15" t="s">
        <v>3535</v>
      </c>
      <c r="J89" s="16" t="s">
        <v>100</v>
      </c>
      <c r="K89" s="15" t="s">
        <v>1888</v>
      </c>
      <c r="L89" s="17">
        <v>25</v>
      </c>
      <c r="M89" s="17">
        <v>200</v>
      </c>
      <c r="N89" s="17">
        <v>25</v>
      </c>
      <c r="O89" s="18">
        <v>371.9</v>
      </c>
      <c r="P89" s="18">
        <v>304.83999999999997</v>
      </c>
      <c r="Q89" s="18">
        <v>316.12</v>
      </c>
      <c r="R89" s="18">
        <v>259.11</v>
      </c>
      <c r="S89" s="18">
        <v>252.89</v>
      </c>
      <c r="T89" s="18">
        <v>207.29</v>
      </c>
      <c r="U89" s="16"/>
      <c r="V89" s="16"/>
      <c r="W89" s="16" t="s">
        <v>40</v>
      </c>
      <c r="X89" s="19">
        <v>6.4000000000000001E-2</v>
      </c>
      <c r="Y89" s="20">
        <v>8.0000000000000007E-5</v>
      </c>
      <c r="Z89" s="21">
        <v>4601004191938</v>
      </c>
    </row>
    <row r="90" spans="1:26" ht="12.95" customHeight="1" outlineLevel="3" x14ac:dyDescent="0.2">
      <c r="A90" s="76" t="s">
        <v>3690</v>
      </c>
      <c r="B90" s="76"/>
      <c r="C90" s="77"/>
      <c r="D90" s="58"/>
      <c r="E90" s="68"/>
      <c r="F90" s="30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 spans="1:26" ht="12" customHeight="1" outlineLevel="4" x14ac:dyDescent="0.2">
      <c r="A91" s="14" t="s">
        <v>3693</v>
      </c>
      <c r="B91" s="26" t="s">
        <v>3694</v>
      </c>
      <c r="C91" s="52"/>
      <c r="D91" s="55">
        <f t="shared" si="1"/>
        <v>0</v>
      </c>
      <c r="E91" s="63" t="str">
        <f>HYPERLINK("https://www.sds-group.ru/product/gilza-kabelnaya-alyuminievaya-ga-120-14-120mm-14mm-v-upak-25-sht-rexant-07-5361-7/", "Инфо")</f>
        <v>Инфо</v>
      </c>
      <c r="F91" s="16" t="s">
        <v>39</v>
      </c>
      <c r="G91" s="15"/>
      <c r="H91" s="15"/>
      <c r="I91" s="15" t="s">
        <v>3535</v>
      </c>
      <c r="J91" s="22">
        <v>5125</v>
      </c>
      <c r="K91" s="15"/>
      <c r="L91" s="17">
        <v>25</v>
      </c>
      <c r="M91" s="17">
        <v>25</v>
      </c>
      <c r="N91" s="17">
        <v>25</v>
      </c>
      <c r="O91" s="18">
        <v>159.19999999999999</v>
      </c>
      <c r="P91" s="18">
        <v>130.49</v>
      </c>
      <c r="Q91" s="18">
        <v>135.32</v>
      </c>
      <c r="R91" s="18">
        <v>110.92</v>
      </c>
      <c r="S91" s="18">
        <v>108.26</v>
      </c>
      <c r="T91" s="18">
        <v>88.74</v>
      </c>
      <c r="U91" s="16"/>
      <c r="V91" s="16"/>
      <c r="W91" s="16" t="s">
        <v>40</v>
      </c>
      <c r="X91" s="19">
        <v>5.2999999999999999E-2</v>
      </c>
      <c r="Y91" s="20">
        <v>7.7000000000000001E-5</v>
      </c>
      <c r="Z91" s="21">
        <v>4601004191969</v>
      </c>
    </row>
    <row r="92" spans="1:26" ht="12" customHeight="1" outlineLevel="4" x14ac:dyDescent="0.2">
      <c r="A92" s="14" t="s">
        <v>3695</v>
      </c>
      <c r="B92" s="26" t="s">
        <v>3696</v>
      </c>
      <c r="C92" s="52"/>
      <c r="D92" s="55">
        <f t="shared" si="1"/>
        <v>0</v>
      </c>
      <c r="E92" s="63" t="str">
        <f>HYPERLINK("https://www.sds-group.ru/product/gilza-kabelnaya-alyuminievaya-ga-150-17-150mm-sup2-oslash-17mm-v-upak-10-sht-rexant-25273/", "Инфо")</f>
        <v>Инфо</v>
      </c>
      <c r="F92" s="16" t="s">
        <v>39</v>
      </c>
      <c r="G92" s="15"/>
      <c r="H92" s="15"/>
      <c r="I92" s="15" t="s">
        <v>3538</v>
      </c>
      <c r="J92" s="22">
        <v>3200</v>
      </c>
      <c r="K92" s="15"/>
      <c r="L92" s="17">
        <v>10</v>
      </c>
      <c r="M92" s="17">
        <v>10</v>
      </c>
      <c r="N92" s="17">
        <v>10</v>
      </c>
      <c r="O92" s="18">
        <v>183.92</v>
      </c>
      <c r="P92" s="18">
        <v>150.75</v>
      </c>
      <c r="Q92" s="18">
        <v>156.33000000000001</v>
      </c>
      <c r="R92" s="18">
        <v>128.13999999999999</v>
      </c>
      <c r="S92" s="18">
        <v>125.07</v>
      </c>
      <c r="T92" s="18">
        <v>102.52</v>
      </c>
      <c r="U92" s="16"/>
      <c r="V92" s="16"/>
      <c r="W92" s="16" t="s">
        <v>40</v>
      </c>
      <c r="X92" s="19">
        <v>5.8000000000000003E-2</v>
      </c>
      <c r="Y92" s="20">
        <v>1.25E-4</v>
      </c>
      <c r="Z92" s="21">
        <v>4601004191792</v>
      </c>
    </row>
    <row r="93" spans="1:26" ht="12" customHeight="1" outlineLevel="4" x14ac:dyDescent="0.2">
      <c r="A93" s="14" t="s">
        <v>3697</v>
      </c>
      <c r="B93" s="26" t="s">
        <v>3698</v>
      </c>
      <c r="C93" s="52"/>
      <c r="D93" s="55">
        <f t="shared" si="1"/>
        <v>0</v>
      </c>
      <c r="E93" s="63" t="str">
        <f>HYPERLINK("https://www.sds-group.ru/product/gilza-kabelnaya-alyuminievaya-ga-185-19-185mm-sup2-oslash-19mm-v-upak-10-sht-rexant-pod-zakaz-25342/", "Инфо")</f>
        <v>Инфо</v>
      </c>
      <c r="F93" s="16" t="s">
        <v>39</v>
      </c>
      <c r="G93" s="15"/>
      <c r="H93" s="15"/>
      <c r="I93" s="15" t="s">
        <v>3543</v>
      </c>
      <c r="J93" s="17">
        <v>600</v>
      </c>
      <c r="K93" s="15"/>
      <c r="L93" s="17">
        <v>10</v>
      </c>
      <c r="M93" s="17">
        <v>10</v>
      </c>
      <c r="N93" s="17">
        <v>10</v>
      </c>
      <c r="O93" s="18">
        <v>201.07</v>
      </c>
      <c r="P93" s="18">
        <v>164.81</v>
      </c>
      <c r="Q93" s="18">
        <v>170.91</v>
      </c>
      <c r="R93" s="18">
        <v>140.09</v>
      </c>
      <c r="S93" s="18">
        <v>136.72999999999999</v>
      </c>
      <c r="T93" s="18">
        <v>112.07</v>
      </c>
      <c r="U93" s="16"/>
      <c r="V93" s="16"/>
      <c r="W93" s="16" t="s">
        <v>40</v>
      </c>
      <c r="X93" s="19">
        <v>6.6000000000000003E-2</v>
      </c>
      <c r="Y93" s="20">
        <v>1.25E-4</v>
      </c>
      <c r="Z93" s="21">
        <v>4601004191587</v>
      </c>
    </row>
    <row r="94" spans="1:26" ht="12" customHeight="1" outlineLevel="4" x14ac:dyDescent="0.2">
      <c r="A94" s="14" t="s">
        <v>3699</v>
      </c>
      <c r="B94" s="26" t="s">
        <v>3700</v>
      </c>
      <c r="C94" s="52"/>
      <c r="D94" s="55">
        <f t="shared" si="1"/>
        <v>0</v>
      </c>
      <c r="E94" s="63" t="str">
        <f>HYPERLINK("https://www.sds-group.ru/product/gilza-kabelnaya-alyuminievaya-ga-240-20-240mm-sup2-oslash-20mm-v-upak-10-sht-rexant-pod-zakaz-25344/", "Инфо")</f>
        <v>Инфо</v>
      </c>
      <c r="F94" s="16" t="s">
        <v>39</v>
      </c>
      <c r="G94" s="15"/>
      <c r="H94" s="15"/>
      <c r="I94" s="15" t="s">
        <v>3543</v>
      </c>
      <c r="J94" s="22">
        <v>6050</v>
      </c>
      <c r="K94" s="15"/>
      <c r="L94" s="17">
        <v>10</v>
      </c>
      <c r="M94" s="17">
        <v>130</v>
      </c>
      <c r="N94" s="17">
        <v>10</v>
      </c>
      <c r="O94" s="18">
        <v>244.23</v>
      </c>
      <c r="P94" s="18">
        <v>200.19</v>
      </c>
      <c r="Q94" s="18">
        <v>207.6</v>
      </c>
      <c r="R94" s="18">
        <v>170.16</v>
      </c>
      <c r="S94" s="18">
        <v>166.08</v>
      </c>
      <c r="T94" s="18">
        <v>136.13</v>
      </c>
      <c r="U94" s="16"/>
      <c r="V94" s="16"/>
      <c r="W94" s="16" t="s">
        <v>40</v>
      </c>
      <c r="X94" s="19">
        <v>7.3999999999999996E-2</v>
      </c>
      <c r="Y94" s="20">
        <v>1.6200000000000001E-4</v>
      </c>
      <c r="Z94" s="21">
        <v>4601004191594</v>
      </c>
    </row>
    <row r="95" spans="1:26" ht="12" customHeight="1" outlineLevel="4" x14ac:dyDescent="0.2">
      <c r="A95" s="14" t="s">
        <v>3703</v>
      </c>
      <c r="B95" s="26" t="s">
        <v>3704</v>
      </c>
      <c r="C95" s="52"/>
      <c r="D95" s="55">
        <f t="shared" si="1"/>
        <v>0</v>
      </c>
      <c r="E95" s="63" t="str">
        <f>HYPERLINK("https://www.sds-group.ru/product/gilza-kabelnaya-alyuminievaya-ga-35-8-35mm-8mm-v-upak-50-sht-rexant-07-5357-7/", "Инфо")</f>
        <v>Инфо</v>
      </c>
      <c r="F95" s="16" t="s">
        <v>39</v>
      </c>
      <c r="G95" s="15"/>
      <c r="H95" s="15"/>
      <c r="I95" s="15" t="s">
        <v>3562</v>
      </c>
      <c r="J95" s="22">
        <v>7300</v>
      </c>
      <c r="K95" s="15" t="s">
        <v>1408</v>
      </c>
      <c r="L95" s="17">
        <v>50</v>
      </c>
      <c r="M95" s="17">
        <v>150</v>
      </c>
      <c r="N95" s="17">
        <v>50</v>
      </c>
      <c r="O95" s="18">
        <v>42.87</v>
      </c>
      <c r="P95" s="18">
        <v>35.14</v>
      </c>
      <c r="Q95" s="18">
        <v>30.01</v>
      </c>
      <c r="R95" s="18">
        <v>24.6</v>
      </c>
      <c r="S95" s="18">
        <v>29.15</v>
      </c>
      <c r="T95" s="18">
        <v>23.89</v>
      </c>
      <c r="U95" s="16"/>
      <c r="V95" s="16"/>
      <c r="W95" s="16"/>
      <c r="X95" s="19">
        <v>1.9E-2</v>
      </c>
      <c r="Y95" s="20">
        <v>3.4999999999999997E-5</v>
      </c>
      <c r="Z95" s="21">
        <v>4601004192201</v>
      </c>
    </row>
    <row r="96" spans="1:26" ht="12" customHeight="1" outlineLevel="4" x14ac:dyDescent="0.2">
      <c r="A96" s="14" t="s">
        <v>3709</v>
      </c>
      <c r="B96" s="26" t="s">
        <v>3710</v>
      </c>
      <c r="C96" s="52"/>
      <c r="D96" s="55">
        <f t="shared" si="1"/>
        <v>0</v>
      </c>
      <c r="E96" s="63" t="str">
        <f>HYPERLINK("https://www.sds-group.ru/product/gilza-kabelnaya-alyuminievaya-ga-95-13-95mm-sup2-oslash-13mm-v-upak-25-sht-rexant-25338/", "Инфо")</f>
        <v>Инфо</v>
      </c>
      <c r="F96" s="16" t="s">
        <v>39</v>
      </c>
      <c r="G96" s="15"/>
      <c r="H96" s="15"/>
      <c r="I96" s="15" t="s">
        <v>3535</v>
      </c>
      <c r="J96" s="22">
        <v>2400</v>
      </c>
      <c r="K96" s="15"/>
      <c r="L96" s="17">
        <v>25</v>
      </c>
      <c r="M96" s="17">
        <v>25</v>
      </c>
      <c r="N96" s="17">
        <v>25</v>
      </c>
      <c r="O96" s="18">
        <v>113.13</v>
      </c>
      <c r="P96" s="18">
        <v>92.73</v>
      </c>
      <c r="Q96" s="18">
        <v>96.16</v>
      </c>
      <c r="R96" s="18">
        <v>78.819999999999993</v>
      </c>
      <c r="S96" s="18">
        <v>76.930000000000007</v>
      </c>
      <c r="T96" s="18">
        <v>63.06</v>
      </c>
      <c r="U96" s="16"/>
      <c r="V96" s="16"/>
      <c r="W96" s="16" t="s">
        <v>40</v>
      </c>
      <c r="X96" s="19">
        <v>4.1000000000000002E-2</v>
      </c>
      <c r="Y96" s="20">
        <v>4.0000000000000003E-5</v>
      </c>
      <c r="Z96" s="21">
        <v>4601004191952</v>
      </c>
    </row>
    <row r="97" spans="1:26" ht="12.95" customHeight="1" outlineLevel="1" x14ac:dyDescent="0.2">
      <c r="A97" s="78" t="s">
        <v>5663</v>
      </c>
      <c r="B97" s="78"/>
      <c r="C97" s="79"/>
      <c r="D97" s="57"/>
      <c r="E97" s="67"/>
      <c r="F97" s="29"/>
      <c r="G97" s="29"/>
      <c r="H97" s="29"/>
      <c r="I97" s="29"/>
      <c r="J97" s="29"/>
      <c r="K97" s="29"/>
      <c r="L97" s="29"/>
      <c r="M97" s="29"/>
      <c r="N97" s="29"/>
      <c r="O97" s="29"/>
      <c r="P97" s="29"/>
      <c r="Q97" s="29"/>
      <c r="R97" s="29"/>
      <c r="S97" s="29"/>
      <c r="T97" s="29"/>
      <c r="U97" s="29"/>
      <c r="V97" s="29"/>
      <c r="W97" s="29"/>
      <c r="X97" s="29"/>
      <c r="Y97" s="29"/>
      <c r="Z97" s="29"/>
    </row>
    <row r="98" spans="1:26" ht="12.95" customHeight="1" outlineLevel="2" x14ac:dyDescent="0.2">
      <c r="A98" s="76" t="s">
        <v>5901</v>
      </c>
      <c r="B98" s="76"/>
      <c r="C98" s="77"/>
      <c r="D98" s="58"/>
      <c r="E98" s="68"/>
      <c r="F98" s="30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 spans="1:26" ht="12.95" customHeight="1" outlineLevel="3" x14ac:dyDescent="0.2">
      <c r="A99" s="76" t="s">
        <v>5977</v>
      </c>
      <c r="B99" s="76"/>
      <c r="C99" s="77"/>
      <c r="D99" s="58"/>
      <c r="E99" s="68"/>
      <c r="F99" s="30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 spans="1:26" ht="12" customHeight="1" outlineLevel="4" x14ac:dyDescent="0.2">
      <c r="A100" s="32" t="s">
        <v>5978</v>
      </c>
      <c r="B100" s="74" t="s">
        <v>5979</v>
      </c>
      <c r="C100" s="50"/>
      <c r="D100" s="53">
        <f t="shared" si="1"/>
        <v>0</v>
      </c>
      <c r="E100" s="60" t="str">
        <f>HYPERLINK("https://www.sds-group.ru/product/kabelnyy-vvod-s-rezboy-mg-12-7-6-4-6mm-seryy-up-2-sht-rexant-07-8112-2/", "Инфо")</f>
        <v>Инфо</v>
      </c>
      <c r="F100" s="34" t="s">
        <v>1001</v>
      </c>
      <c r="G100" s="33"/>
      <c r="H100" s="33" t="s">
        <v>40</v>
      </c>
      <c r="I100" s="33" t="s">
        <v>5980</v>
      </c>
      <c r="J100" s="34" t="s">
        <v>100</v>
      </c>
      <c r="K100" s="33"/>
      <c r="L100" s="35">
        <v>1</v>
      </c>
      <c r="M100" s="39">
        <v>2400</v>
      </c>
      <c r="N100" s="35">
        <v>1</v>
      </c>
      <c r="O100" s="36">
        <v>99.29</v>
      </c>
      <c r="P100" s="36">
        <v>81.39</v>
      </c>
      <c r="Q100" s="36">
        <v>69.5</v>
      </c>
      <c r="R100" s="36">
        <v>56.97</v>
      </c>
      <c r="S100" s="36">
        <v>67.52</v>
      </c>
      <c r="T100" s="36">
        <v>55.34</v>
      </c>
      <c r="U100" s="34"/>
      <c r="V100" s="34"/>
      <c r="W100" s="34"/>
      <c r="X100" s="37">
        <v>1.4999999999999999E-2</v>
      </c>
      <c r="Y100" s="38">
        <v>2.6499999999999999E-4</v>
      </c>
      <c r="Z100" s="21">
        <v>4601004128446</v>
      </c>
    </row>
    <row r="101" spans="1:26" ht="12" customHeight="1" outlineLevel="4" x14ac:dyDescent="0.2">
      <c r="A101" s="32" t="s">
        <v>5981</v>
      </c>
      <c r="B101" s="74" t="s">
        <v>5982</v>
      </c>
      <c r="C101" s="50"/>
      <c r="D101" s="53">
        <f t="shared" si="1"/>
        <v>0</v>
      </c>
      <c r="E101" s="60" t="str">
        <f>HYPERLINK("https://www.sds-group.ru/product/kabelnyy-vvod-s-rezboy-mg-16-10-6mm-seryy-up-2-sht-rexant-07-8116-2/", "Инфо")</f>
        <v>Инфо</v>
      </c>
      <c r="F101" s="34" t="s">
        <v>1001</v>
      </c>
      <c r="G101" s="33"/>
      <c r="H101" s="33" t="s">
        <v>40</v>
      </c>
      <c r="I101" s="33" t="s">
        <v>5980</v>
      </c>
      <c r="J101" s="34" t="s">
        <v>100</v>
      </c>
      <c r="K101" s="33"/>
      <c r="L101" s="35">
        <v>1</v>
      </c>
      <c r="M101" s="39">
        <v>1500</v>
      </c>
      <c r="N101" s="35">
        <v>1</v>
      </c>
      <c r="O101" s="36">
        <v>105.01</v>
      </c>
      <c r="P101" s="36">
        <v>86.07</v>
      </c>
      <c r="Q101" s="36">
        <v>73.510000000000005</v>
      </c>
      <c r="R101" s="36">
        <v>60.25</v>
      </c>
      <c r="S101" s="36">
        <v>71.41</v>
      </c>
      <c r="T101" s="36">
        <v>58.53</v>
      </c>
      <c r="U101" s="34"/>
      <c r="V101" s="34"/>
      <c r="W101" s="34"/>
      <c r="X101" s="37">
        <v>1.7000000000000001E-2</v>
      </c>
      <c r="Y101" s="38">
        <v>1.6799999999999999E-4</v>
      </c>
      <c r="Z101" s="21">
        <v>4601004128354</v>
      </c>
    </row>
    <row r="102" spans="1:26" ht="12" customHeight="1" outlineLevel="4" x14ac:dyDescent="0.2">
      <c r="A102" s="14" t="s">
        <v>5983</v>
      </c>
      <c r="B102" s="26" t="s">
        <v>5984</v>
      </c>
      <c r="C102" s="52"/>
      <c r="D102" s="55">
        <f t="shared" si="1"/>
        <v>0</v>
      </c>
      <c r="E102" s="63" t="str">
        <f>HYPERLINK("https://www.sds-group.ru/product/kabelnyy-vvod-s-rezboy-mg-20-14-9mm-seryy-up-2-sht-rexant-07-8120-2/", "Инфо")</f>
        <v>Инфо</v>
      </c>
      <c r="F102" s="16" t="s">
        <v>1001</v>
      </c>
      <c r="G102" s="15"/>
      <c r="H102" s="15"/>
      <c r="I102" s="15" t="s">
        <v>5980</v>
      </c>
      <c r="J102" s="16" t="s">
        <v>100</v>
      </c>
      <c r="K102" s="15"/>
      <c r="L102" s="17">
        <v>10</v>
      </c>
      <c r="M102" s="22">
        <v>1000</v>
      </c>
      <c r="N102" s="17">
        <v>10</v>
      </c>
      <c r="O102" s="18">
        <v>156.88999999999999</v>
      </c>
      <c r="P102" s="18">
        <v>128.6</v>
      </c>
      <c r="Q102" s="18">
        <v>133.36000000000001</v>
      </c>
      <c r="R102" s="18">
        <v>109.31</v>
      </c>
      <c r="S102" s="18">
        <v>106.69</v>
      </c>
      <c r="T102" s="18">
        <v>87.45</v>
      </c>
      <c r="U102" s="16"/>
      <c r="V102" s="16"/>
      <c r="W102" s="16" t="s">
        <v>40</v>
      </c>
      <c r="X102" s="19">
        <v>3.9E-2</v>
      </c>
      <c r="Y102" s="20">
        <v>1.9799999999999999E-4</v>
      </c>
      <c r="Z102" s="21">
        <v>4601004128361</v>
      </c>
    </row>
    <row r="103" spans="1:26" ht="12" customHeight="1" outlineLevel="4" x14ac:dyDescent="0.2">
      <c r="A103" s="14" t="s">
        <v>5985</v>
      </c>
      <c r="B103" s="26" t="s">
        <v>5986</v>
      </c>
      <c r="C103" s="52"/>
      <c r="D103" s="55">
        <f t="shared" si="1"/>
        <v>0</v>
      </c>
      <c r="E103" s="63" t="str">
        <f>HYPERLINK("https://www.sds-group.ru/product/kabelnyy-vvod-s-rezboy-mg-25-18-13mm-seryy-up-2-sht-rexant-07-8125-2/", "Инфо")</f>
        <v>Инфо</v>
      </c>
      <c r="F103" s="16" t="s">
        <v>1001</v>
      </c>
      <c r="G103" s="15"/>
      <c r="H103" s="15"/>
      <c r="I103" s="15" t="s">
        <v>5980</v>
      </c>
      <c r="J103" s="16" t="s">
        <v>100</v>
      </c>
      <c r="K103" s="15"/>
      <c r="L103" s="17">
        <v>10</v>
      </c>
      <c r="M103" s="17">
        <v>576</v>
      </c>
      <c r="N103" s="17">
        <v>10</v>
      </c>
      <c r="O103" s="18">
        <v>195.41</v>
      </c>
      <c r="P103" s="18">
        <v>160.16999999999999</v>
      </c>
      <c r="Q103" s="18">
        <v>166.1</v>
      </c>
      <c r="R103" s="18">
        <v>136.15</v>
      </c>
      <c r="S103" s="18">
        <v>132.88</v>
      </c>
      <c r="T103" s="18">
        <v>108.92</v>
      </c>
      <c r="U103" s="16"/>
      <c r="V103" s="16"/>
      <c r="W103" s="16" t="s">
        <v>40</v>
      </c>
      <c r="X103" s="19">
        <v>6.3E-2</v>
      </c>
      <c r="Y103" s="20">
        <v>5.0299999999999997E-4</v>
      </c>
      <c r="Z103" s="21">
        <v>4601004128378</v>
      </c>
    </row>
    <row r="104" spans="1:26" ht="12" customHeight="1" outlineLevel="4" x14ac:dyDescent="0.2">
      <c r="A104" s="14" t="s">
        <v>5987</v>
      </c>
      <c r="B104" s="26" t="s">
        <v>5988</v>
      </c>
      <c r="C104" s="52"/>
      <c r="D104" s="55">
        <f t="shared" si="1"/>
        <v>0</v>
      </c>
      <c r="E104" s="63" t="str">
        <f>HYPERLINK("https://www.sds-group.ru/product/kabelnyy-vvod-s-rezboy-mg-32-25-18-mm-chernyy-up-2-sht-rexant-07-8132-1-2/", "Инфо")</f>
        <v>Инфо</v>
      </c>
      <c r="F104" s="16" t="s">
        <v>1001</v>
      </c>
      <c r="G104" s="15"/>
      <c r="H104" s="15"/>
      <c r="I104" s="15" t="s">
        <v>5980</v>
      </c>
      <c r="J104" s="16" t="s">
        <v>100</v>
      </c>
      <c r="K104" s="15"/>
      <c r="L104" s="17">
        <v>5</v>
      </c>
      <c r="M104" s="17">
        <v>360</v>
      </c>
      <c r="N104" s="17">
        <v>5</v>
      </c>
      <c r="O104" s="18">
        <v>453.11</v>
      </c>
      <c r="P104" s="18">
        <v>371.4</v>
      </c>
      <c r="Q104" s="18">
        <v>362.49</v>
      </c>
      <c r="R104" s="18">
        <v>297.12</v>
      </c>
      <c r="S104" s="18">
        <v>308.11</v>
      </c>
      <c r="T104" s="18">
        <v>252.55</v>
      </c>
      <c r="U104" s="16"/>
      <c r="V104" s="16"/>
      <c r="W104" s="16" t="s">
        <v>40</v>
      </c>
      <c r="X104" s="19">
        <v>8.8999999999999996E-2</v>
      </c>
      <c r="Y104" s="20">
        <v>4.9600000000000002E-4</v>
      </c>
      <c r="Z104" s="21">
        <v>4601004136526</v>
      </c>
    </row>
    <row r="105" spans="1:26" ht="12.95" customHeight="1" x14ac:dyDescent="0.2">
      <c r="A105" s="80" t="s">
        <v>6166</v>
      </c>
      <c r="B105" s="80"/>
      <c r="C105" s="81"/>
      <c r="D105" s="56"/>
      <c r="E105" s="66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</row>
    <row r="106" spans="1:26" ht="12.95" customHeight="1" outlineLevel="1" x14ac:dyDescent="0.2">
      <c r="A106" s="78" t="s">
        <v>10072</v>
      </c>
      <c r="B106" s="78"/>
      <c r="C106" s="79"/>
      <c r="D106" s="57"/>
      <c r="E106" s="67"/>
      <c r="F106" s="29"/>
      <c r="G106" s="29"/>
      <c r="H106" s="29"/>
      <c r="I106" s="29"/>
      <c r="J106" s="29"/>
      <c r="K106" s="29"/>
      <c r="L106" s="29"/>
      <c r="M106" s="29"/>
      <c r="N106" s="29"/>
      <c r="O106" s="29"/>
      <c r="P106" s="29"/>
      <c r="Q106" s="29"/>
      <c r="R106" s="29"/>
      <c r="S106" s="29"/>
      <c r="T106" s="29"/>
      <c r="U106" s="29"/>
      <c r="V106" s="29"/>
      <c r="W106" s="29"/>
      <c r="X106" s="29"/>
      <c r="Y106" s="29"/>
      <c r="Z106" s="29"/>
    </row>
    <row r="107" spans="1:26" ht="12.95" customHeight="1" outlineLevel="2" x14ac:dyDescent="0.2">
      <c r="A107" s="76" t="s">
        <v>10186</v>
      </c>
      <c r="B107" s="76"/>
      <c r="C107" s="77"/>
      <c r="D107" s="58"/>
      <c r="E107" s="68"/>
      <c r="F107" s="30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 spans="1:26" ht="12" customHeight="1" outlineLevel="3" x14ac:dyDescent="0.2">
      <c r="A108" s="32" t="s">
        <v>10189</v>
      </c>
      <c r="B108" s="74" t="s">
        <v>10190</v>
      </c>
      <c r="C108" s="50"/>
      <c r="D108" s="53">
        <f t="shared" si="1"/>
        <v>0</v>
      </c>
      <c r="E108" s="60" t="str">
        <f>HYPERLINK("https://www.sds-group.ru/product/kompaktnaya-turisticheskaya-gazovaya-plitka-yason-rexant-12-4139/", "Инфо")</f>
        <v>Инфо</v>
      </c>
      <c r="F108" s="34" t="s">
        <v>39</v>
      </c>
      <c r="G108" s="33"/>
      <c r="H108" s="33" t="s">
        <v>40</v>
      </c>
      <c r="I108" s="33" t="s">
        <v>10191</v>
      </c>
      <c r="J108" s="35">
        <v>873</v>
      </c>
      <c r="K108" s="33"/>
      <c r="L108" s="35">
        <v>1</v>
      </c>
      <c r="M108" s="35">
        <v>50</v>
      </c>
      <c r="N108" s="35">
        <v>1</v>
      </c>
      <c r="O108" s="36">
        <v>1401.43</v>
      </c>
      <c r="P108" s="36">
        <v>1148.71</v>
      </c>
      <c r="Q108" s="36">
        <v>981</v>
      </c>
      <c r="R108" s="36">
        <v>804.1</v>
      </c>
      <c r="S108" s="36">
        <v>952.97</v>
      </c>
      <c r="T108" s="36">
        <v>781.12</v>
      </c>
      <c r="U108" s="34"/>
      <c r="V108" s="34"/>
      <c r="W108" s="34"/>
      <c r="X108" s="37">
        <v>0.17699999999999999</v>
      </c>
      <c r="Y108" s="38">
        <v>5.0299999999999997E-4</v>
      </c>
      <c r="Z108" s="21">
        <v>4601004269842</v>
      </c>
    </row>
    <row r="109" spans="1:26" ht="12" customHeight="1" outlineLevel="3" x14ac:dyDescent="0.2">
      <c r="A109" s="32" t="s">
        <v>10192</v>
      </c>
      <c r="B109" s="74" t="s">
        <v>10193</v>
      </c>
      <c r="C109" s="50"/>
      <c r="D109" s="53">
        <f t="shared" si="1"/>
        <v>0</v>
      </c>
      <c r="E109" s="60" t="str">
        <f>HYPERLINK("https://www.sds-group.ru/product/plitka-gazovaya-turisticheskaya-medeya-rexant-12-4148/", "Инфо")</f>
        <v>Инфо</v>
      </c>
      <c r="F109" s="34" t="s">
        <v>39</v>
      </c>
      <c r="G109" s="33"/>
      <c r="H109" s="33" t="s">
        <v>40</v>
      </c>
      <c r="I109" s="33" t="s">
        <v>10194</v>
      </c>
      <c r="J109" s="35">
        <v>543</v>
      </c>
      <c r="K109" s="33"/>
      <c r="L109" s="35">
        <v>1</v>
      </c>
      <c r="M109" s="35">
        <v>40</v>
      </c>
      <c r="N109" s="35">
        <v>1</v>
      </c>
      <c r="O109" s="36">
        <v>2654.37</v>
      </c>
      <c r="P109" s="36">
        <v>2175.71</v>
      </c>
      <c r="Q109" s="36">
        <v>1858.06</v>
      </c>
      <c r="R109" s="36">
        <v>1523</v>
      </c>
      <c r="S109" s="36">
        <v>1804.97</v>
      </c>
      <c r="T109" s="36">
        <v>1479.48</v>
      </c>
      <c r="U109" s="34"/>
      <c r="V109" s="34"/>
      <c r="W109" s="34"/>
      <c r="X109" s="37">
        <v>0.33</v>
      </c>
      <c r="Y109" s="38">
        <v>1.181E-3</v>
      </c>
      <c r="Z109" s="21">
        <v>4601004271494</v>
      </c>
    </row>
    <row r="110" spans="1:26" ht="12.95" customHeight="1" outlineLevel="1" x14ac:dyDescent="0.2">
      <c r="A110" s="78" t="s">
        <v>10200</v>
      </c>
      <c r="B110" s="78"/>
      <c r="C110" s="79"/>
      <c r="D110" s="57"/>
      <c r="E110" s="67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</row>
    <row r="111" spans="1:26" ht="12.95" customHeight="1" outlineLevel="2" x14ac:dyDescent="0.2">
      <c r="A111" s="76" t="s">
        <v>10499</v>
      </c>
      <c r="B111" s="76"/>
      <c r="C111" s="77"/>
      <c r="D111" s="58"/>
      <c r="E111" s="68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 spans="1:26" ht="12.95" customHeight="1" outlineLevel="3" x14ac:dyDescent="0.2">
      <c r="A112" s="76" t="s">
        <v>10559</v>
      </c>
      <c r="B112" s="76"/>
      <c r="C112" s="77"/>
      <c r="D112" s="58"/>
      <c r="E112" s="68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 spans="1:26" ht="12" customHeight="1" outlineLevel="4" x14ac:dyDescent="0.2">
      <c r="A113" s="14" t="s">
        <v>10598</v>
      </c>
      <c r="B113" s="26" t="s">
        <v>10599</v>
      </c>
      <c r="C113" s="52"/>
      <c r="D113" s="55">
        <f t="shared" si="1"/>
        <v>0</v>
      </c>
      <c r="E113" s="63" t="str">
        <f>HYPERLINK("https://www.sds-group.ru/product/pripoy-prutok-pos-90-8mm-dlina-400mm-gost-21931-76-olovo-90-svinets-10-upak-1-sht-rexant-09-3591/", "Инфо")</f>
        <v>Инфо</v>
      </c>
      <c r="F113" s="16" t="s">
        <v>39</v>
      </c>
      <c r="G113" s="15"/>
      <c r="H113" s="15"/>
      <c r="I113" s="15" t="s">
        <v>10600</v>
      </c>
      <c r="J113" s="17">
        <v>105</v>
      </c>
      <c r="K113" s="15"/>
      <c r="L113" s="17">
        <v>1</v>
      </c>
      <c r="M113" s="17">
        <v>125</v>
      </c>
      <c r="N113" s="17">
        <v>1</v>
      </c>
      <c r="O113" s="18">
        <v>3222.08</v>
      </c>
      <c r="P113" s="18">
        <v>2641.05</v>
      </c>
      <c r="Q113" s="18">
        <v>2481</v>
      </c>
      <c r="R113" s="18">
        <v>2033.61</v>
      </c>
      <c r="S113" s="18">
        <v>2191.0100000000002</v>
      </c>
      <c r="T113" s="18">
        <v>1795.91</v>
      </c>
      <c r="U113" s="16"/>
      <c r="V113" s="16"/>
      <c r="W113" s="16" t="s">
        <v>40</v>
      </c>
      <c r="X113" s="19">
        <v>0.157</v>
      </c>
      <c r="Y113" s="20">
        <v>3.1999999999999999E-5</v>
      </c>
      <c r="Z113" s="21">
        <v>4601004083332</v>
      </c>
    </row>
    <row r="114" spans="1:26" ht="12" customHeight="1" outlineLevel="4" x14ac:dyDescent="0.2">
      <c r="A114" s="14" t="s">
        <v>10601</v>
      </c>
      <c r="B114" s="26" t="s">
        <v>10602</v>
      </c>
      <c r="C114" s="52"/>
      <c r="D114" s="55">
        <f t="shared" si="1"/>
        <v>0</v>
      </c>
      <c r="E114" s="63" t="str">
        <f>HYPERLINK("https://www.sds-group.ru/product/pripoy-prutok-pos-90-8mm-dlina-400mm-gost-21931-76-olovo-90-svinets-10-upak-5-kg-rexant-09-3593/", "Инфо")</f>
        <v>Инфо</v>
      </c>
      <c r="F114" s="16" t="s">
        <v>1001</v>
      </c>
      <c r="G114" s="15"/>
      <c r="H114" s="15"/>
      <c r="I114" s="15" t="s">
        <v>10603</v>
      </c>
      <c r="J114" s="16" t="s">
        <v>100</v>
      </c>
      <c r="K114" s="15"/>
      <c r="L114" s="17">
        <v>1</v>
      </c>
      <c r="M114" s="17">
        <v>2</v>
      </c>
      <c r="N114" s="17">
        <v>1</v>
      </c>
      <c r="O114" s="18">
        <v>60908.13</v>
      </c>
      <c r="P114" s="18">
        <v>49924.7</v>
      </c>
      <c r="Q114" s="18">
        <v>44462.93</v>
      </c>
      <c r="R114" s="18">
        <v>36445.019999999997</v>
      </c>
      <c r="S114" s="18">
        <v>41417.53</v>
      </c>
      <c r="T114" s="18">
        <v>33948.800000000003</v>
      </c>
      <c r="U114" s="16"/>
      <c r="V114" s="16"/>
      <c r="W114" s="16" t="s">
        <v>40</v>
      </c>
      <c r="X114" s="19">
        <v>5.101</v>
      </c>
      <c r="Y114" s="20">
        <v>2.8900000000000002E-3</v>
      </c>
      <c r="Z114" s="21">
        <v>4601004277205</v>
      </c>
    </row>
    <row r="115" spans="1:26" ht="12.95" customHeight="1" x14ac:dyDescent="0.2">
      <c r="A115" s="80" t="s">
        <v>11317</v>
      </c>
      <c r="B115" s="80"/>
      <c r="C115" s="81"/>
      <c r="D115" s="56"/>
      <c r="E115" s="66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  <c r="W115" s="28"/>
      <c r="X115" s="28"/>
      <c r="Y115" s="28"/>
      <c r="Z115" s="28"/>
    </row>
    <row r="116" spans="1:26" ht="12.95" customHeight="1" outlineLevel="1" x14ac:dyDescent="0.2">
      <c r="A116" s="78" t="s">
        <v>12635</v>
      </c>
      <c r="B116" s="78"/>
      <c r="C116" s="79"/>
      <c r="D116" s="57"/>
      <c r="E116" s="67"/>
      <c r="F116" s="29"/>
      <c r="G116" s="29"/>
      <c r="H116" s="29"/>
      <c r="I116" s="29"/>
      <c r="J116" s="29"/>
      <c r="K116" s="29"/>
      <c r="L116" s="29"/>
      <c r="M116" s="29"/>
      <c r="N116" s="29"/>
      <c r="O116" s="29"/>
      <c r="P116" s="29"/>
      <c r="Q116" s="29"/>
      <c r="R116" s="29"/>
      <c r="S116" s="29"/>
      <c r="T116" s="29"/>
      <c r="U116" s="29"/>
      <c r="V116" s="29"/>
      <c r="W116" s="29"/>
      <c r="X116" s="29"/>
      <c r="Y116" s="29"/>
      <c r="Z116" s="29"/>
    </row>
    <row r="117" spans="1:26" ht="12.95" customHeight="1" outlineLevel="2" x14ac:dyDescent="0.2">
      <c r="A117" s="76" t="s">
        <v>12636</v>
      </c>
      <c r="B117" s="76"/>
      <c r="C117" s="77"/>
      <c r="D117" s="58"/>
      <c r="E117" s="68"/>
      <c r="F117" s="30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 spans="1:26" ht="12" customHeight="1" outlineLevel="3" x14ac:dyDescent="0.2">
      <c r="A118" s="32" t="s">
        <v>12639</v>
      </c>
      <c r="B118" s="74" t="s">
        <v>12640</v>
      </c>
      <c r="C118" s="50"/>
      <c r="D118" s="53">
        <f t="shared" si="1"/>
        <v>0</v>
      </c>
      <c r="E118" s="60" t="str">
        <f>HYPERLINK("https://www.sds-group.ru/product/samorez-gipsokarton-derevo-3-5h19-mm-upakovka-postavschika-18000-sht-up-kranz-1133-3519-1/", "Инфо")</f>
        <v>Инфо</v>
      </c>
      <c r="F118" s="34" t="s">
        <v>39</v>
      </c>
      <c r="G118" s="33"/>
      <c r="H118" s="33" t="s">
        <v>40</v>
      </c>
      <c r="I118" s="33" t="s">
        <v>12641</v>
      </c>
      <c r="J118" s="34" t="s">
        <v>100</v>
      </c>
      <c r="K118" s="33"/>
      <c r="L118" s="39">
        <v>18000</v>
      </c>
      <c r="M118" s="39">
        <v>18000</v>
      </c>
      <c r="N118" s="39">
        <v>18000</v>
      </c>
      <c r="O118" s="36">
        <v>0.42</v>
      </c>
      <c r="P118" s="36">
        <v>0.34</v>
      </c>
      <c r="Q118" s="36">
        <v>0.28999999999999998</v>
      </c>
      <c r="R118" s="36">
        <v>0.24</v>
      </c>
      <c r="S118" s="36">
        <v>0.28999999999999998</v>
      </c>
      <c r="T118" s="36">
        <v>0.24</v>
      </c>
      <c r="U118" s="34"/>
      <c r="V118" s="34"/>
      <c r="W118" s="34"/>
      <c r="X118" s="37">
        <v>1E-3</v>
      </c>
      <c r="Y118" s="38">
        <v>9.9999999999999995E-7</v>
      </c>
      <c r="Z118" s="21">
        <v>2000604398891</v>
      </c>
    </row>
    <row r="119" spans="1:26" ht="12" customHeight="1" outlineLevel="3" x14ac:dyDescent="0.2">
      <c r="A119" s="32" t="s">
        <v>12684</v>
      </c>
      <c r="B119" s="74" t="s">
        <v>12685</v>
      </c>
      <c r="C119" s="50"/>
      <c r="D119" s="53">
        <f t="shared" si="1"/>
        <v>0</v>
      </c>
      <c r="E119" s="60" t="str">
        <f>HYPERLINK("https://www.sds-group.ru/product/samorez-universalnyy-5h40-mm-zheltyy-tsink-upakovka-postavschika-6000-sht-up-kranz-1111-0540-1/", "Инфо")</f>
        <v>Инфо</v>
      </c>
      <c r="F119" s="34" t="s">
        <v>39</v>
      </c>
      <c r="G119" s="33"/>
      <c r="H119" s="33" t="s">
        <v>40</v>
      </c>
      <c r="I119" s="33" t="s">
        <v>12686</v>
      </c>
      <c r="J119" s="34" t="s">
        <v>100</v>
      </c>
      <c r="K119" s="33"/>
      <c r="L119" s="39">
        <v>6000</v>
      </c>
      <c r="M119" s="39">
        <v>6000</v>
      </c>
      <c r="N119" s="39">
        <v>6000</v>
      </c>
      <c r="O119" s="36">
        <v>1.1100000000000001</v>
      </c>
      <c r="P119" s="36">
        <v>0.91</v>
      </c>
      <c r="Q119" s="36">
        <v>0.78</v>
      </c>
      <c r="R119" s="36">
        <v>0.64</v>
      </c>
      <c r="S119" s="36">
        <v>0.75</v>
      </c>
      <c r="T119" s="36">
        <v>0.61</v>
      </c>
      <c r="U119" s="34"/>
      <c r="V119" s="34"/>
      <c r="W119" s="34"/>
      <c r="X119" s="37">
        <v>3.0000000000000001E-3</v>
      </c>
      <c r="Y119" s="38">
        <v>1.9999999999999999E-6</v>
      </c>
      <c r="Z119" s="21">
        <v>2000604394664</v>
      </c>
    </row>
    <row r="120" spans="1:26" ht="12" customHeight="1" outlineLevel="3" x14ac:dyDescent="0.2">
      <c r="A120" s="32" t="s">
        <v>12687</v>
      </c>
      <c r="B120" s="74" t="s">
        <v>12688</v>
      </c>
      <c r="C120" s="50"/>
      <c r="D120" s="53">
        <f t="shared" si="1"/>
        <v>0</v>
      </c>
      <c r="E120" s="60" t="str">
        <f>HYPERLINK("https://www.sds-group.ru/product/samorez-universalnyy-5h60-mm-zheltyy-tsink-upakovka-postavschika-4800-sht-up-kranz-1111-0560-1/", "Инфо")</f>
        <v>Инфо</v>
      </c>
      <c r="F120" s="34" t="s">
        <v>39</v>
      </c>
      <c r="G120" s="33"/>
      <c r="H120" s="33" t="s">
        <v>40</v>
      </c>
      <c r="I120" s="33" t="s">
        <v>12689</v>
      </c>
      <c r="J120" s="34" t="s">
        <v>100</v>
      </c>
      <c r="K120" s="33"/>
      <c r="L120" s="39">
        <v>4800</v>
      </c>
      <c r="M120" s="39">
        <v>4800</v>
      </c>
      <c r="N120" s="39">
        <v>4800</v>
      </c>
      <c r="O120" s="36">
        <v>0.94</v>
      </c>
      <c r="P120" s="36">
        <v>0.77</v>
      </c>
      <c r="Q120" s="36">
        <v>0.66</v>
      </c>
      <c r="R120" s="36">
        <v>0.54</v>
      </c>
      <c r="S120" s="36">
        <v>0.64</v>
      </c>
      <c r="T120" s="36">
        <v>0.52</v>
      </c>
      <c r="U120" s="34"/>
      <c r="V120" s="34"/>
      <c r="W120" s="34"/>
      <c r="X120" s="37">
        <v>5.0000000000000001E-3</v>
      </c>
      <c r="Y120" s="38">
        <v>3.9999999999999998E-6</v>
      </c>
      <c r="Z120" s="21">
        <v>2000604394688</v>
      </c>
    </row>
    <row r="121" spans="1:26" ht="12.95" customHeight="1" x14ac:dyDescent="0.2">
      <c r="A121" s="80" t="s">
        <v>12717</v>
      </c>
      <c r="B121" s="80"/>
      <c r="C121" s="81"/>
      <c r="D121" s="56"/>
      <c r="E121" s="66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</row>
    <row r="122" spans="1:26" ht="12.95" customHeight="1" outlineLevel="1" x14ac:dyDescent="0.2">
      <c r="A122" s="78" t="s">
        <v>12718</v>
      </c>
      <c r="B122" s="78"/>
      <c r="C122" s="79"/>
      <c r="D122" s="57"/>
      <c r="E122" s="67"/>
      <c r="F122" s="29"/>
      <c r="G122" s="29"/>
      <c r="H122" s="29"/>
      <c r="I122" s="29"/>
      <c r="J122" s="29"/>
      <c r="K122" s="29"/>
      <c r="L122" s="29"/>
      <c r="M122" s="29"/>
      <c r="N122" s="29"/>
      <c r="O122" s="29"/>
      <c r="P122" s="29"/>
      <c r="Q122" s="29"/>
      <c r="R122" s="29"/>
      <c r="S122" s="29"/>
      <c r="T122" s="29"/>
      <c r="U122" s="29"/>
      <c r="V122" s="29"/>
      <c r="W122" s="29"/>
      <c r="X122" s="29"/>
      <c r="Y122" s="29"/>
      <c r="Z122" s="29"/>
    </row>
    <row r="123" spans="1:26" ht="12.95" customHeight="1" outlineLevel="2" x14ac:dyDescent="0.2">
      <c r="A123" s="76" t="s">
        <v>12888</v>
      </c>
      <c r="B123" s="76"/>
      <c r="C123" s="77"/>
      <c r="D123" s="58"/>
      <c r="E123" s="68"/>
      <c r="F123" s="30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 spans="1:26" ht="12.95" customHeight="1" outlineLevel="3" x14ac:dyDescent="0.2">
      <c r="A124" s="76" t="s">
        <v>12904</v>
      </c>
      <c r="B124" s="76"/>
      <c r="C124" s="77"/>
      <c r="D124" s="58"/>
      <c r="E124" s="68"/>
      <c r="F124" s="30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 spans="1:26" ht="12" customHeight="1" outlineLevel="4" x14ac:dyDescent="0.2">
      <c r="A125" s="32" t="s">
        <v>12907</v>
      </c>
      <c r="B125" s="74" t="s">
        <v>12908</v>
      </c>
      <c r="C125" s="50"/>
      <c r="D125" s="53">
        <f t="shared" si="1"/>
        <v>0</v>
      </c>
      <c r="E125" s="60" t="str">
        <f>HYPERLINK("https://www.sds-group.ru/product/kabel-vitaya-para-u-utp-cat-5-pe-10pr-24awg-outdoor-solid-cherniy-305m-rexant-441/", "Инфо")</f>
        <v>Инфо</v>
      </c>
      <c r="F125" s="34" t="s">
        <v>1887</v>
      </c>
      <c r="G125" s="33"/>
      <c r="H125" s="33" t="s">
        <v>40</v>
      </c>
      <c r="I125" s="48">
        <v>-120</v>
      </c>
      <c r="J125" s="35">
        <v>1</v>
      </c>
      <c r="K125" s="33"/>
      <c r="L125" s="35">
        <v>1</v>
      </c>
      <c r="M125" s="35">
        <v>1</v>
      </c>
      <c r="N125" s="35">
        <v>1</v>
      </c>
      <c r="O125" s="36">
        <v>63017.71</v>
      </c>
      <c r="P125" s="36">
        <v>51653.86</v>
      </c>
      <c r="Q125" s="36">
        <v>44112.4</v>
      </c>
      <c r="R125" s="36">
        <v>36157.699999999997</v>
      </c>
      <c r="S125" s="36">
        <v>37810.629999999997</v>
      </c>
      <c r="T125" s="36">
        <v>30992.32</v>
      </c>
      <c r="U125" s="34"/>
      <c r="V125" s="34"/>
      <c r="W125" s="34"/>
      <c r="X125" s="37">
        <v>19.542000000000002</v>
      </c>
      <c r="Y125" s="38">
        <v>4.9674000000000003E-2</v>
      </c>
      <c r="Z125" s="21">
        <v>4601004050464</v>
      </c>
    </row>
    <row r="126" spans="1:26" ht="12.95" customHeight="1" outlineLevel="2" x14ac:dyDescent="0.2">
      <c r="A126" s="76" t="s">
        <v>12915</v>
      </c>
      <c r="B126" s="76"/>
      <c r="C126" s="77"/>
      <c r="D126" s="58"/>
      <c r="E126" s="68"/>
      <c r="F126" s="30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 spans="1:26" ht="12.95" customHeight="1" outlineLevel="3" x14ac:dyDescent="0.2">
      <c r="A127" s="76" t="s">
        <v>12935</v>
      </c>
      <c r="B127" s="76"/>
      <c r="C127" s="77"/>
      <c r="D127" s="58"/>
      <c r="E127" s="68"/>
      <c r="F127" s="30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 spans="1:26" ht="12" customHeight="1" outlineLevel="4" x14ac:dyDescent="0.2">
      <c r="A128" s="14" t="s">
        <v>12941</v>
      </c>
      <c r="B128" s="26" t="s">
        <v>12942</v>
      </c>
      <c r="C128" s="52"/>
      <c r="D128" s="55">
        <f t="shared" si="1"/>
        <v>0</v>
      </c>
      <c r="E128" s="63" t="str">
        <f>HYPERLINK("https://www.sds-group.ru/product/kabel-vitaya-para-f-utp-cat-5e-pvc-ng-a-ls-4h2h0-52mm-24awg-indoor-solid-seryy-305m-rf-rex-01-0141-R/", "Инфо")</f>
        <v>Инфо</v>
      </c>
      <c r="F128" s="16" t="s">
        <v>1887</v>
      </c>
      <c r="G128" s="15"/>
      <c r="H128" s="15"/>
      <c r="I128" s="15" t="s">
        <v>3681</v>
      </c>
      <c r="J128" s="16" t="s">
        <v>100</v>
      </c>
      <c r="K128" s="15"/>
      <c r="L128" s="17">
        <v>1</v>
      </c>
      <c r="M128" s="17">
        <v>1</v>
      </c>
      <c r="N128" s="17">
        <v>1</v>
      </c>
      <c r="O128" s="18">
        <v>30678.31</v>
      </c>
      <c r="P128" s="18">
        <v>25146.16</v>
      </c>
      <c r="Q128" s="18">
        <v>27303.7</v>
      </c>
      <c r="R128" s="18">
        <v>22380.080000000002</v>
      </c>
      <c r="S128" s="18">
        <v>20861.25</v>
      </c>
      <c r="T128" s="18">
        <v>17099.39</v>
      </c>
      <c r="U128" s="16"/>
      <c r="V128" s="16"/>
      <c r="W128" s="16" t="s">
        <v>40</v>
      </c>
      <c r="X128" s="19">
        <v>13.903</v>
      </c>
      <c r="Y128" s="20">
        <v>3.5813999999999999E-2</v>
      </c>
      <c r="Z128" s="21">
        <v>4601004310629</v>
      </c>
    </row>
    <row r="129" spans="1:26" ht="12.95" customHeight="1" outlineLevel="3" x14ac:dyDescent="0.2">
      <c r="A129" s="76" t="s">
        <v>12955</v>
      </c>
      <c r="B129" s="76"/>
      <c r="C129" s="77"/>
      <c r="D129" s="58"/>
      <c r="E129" s="68"/>
      <c r="F129" s="30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 spans="1:26" ht="12" customHeight="1" outlineLevel="4" x14ac:dyDescent="0.2">
      <c r="A130" s="14" t="s">
        <v>12958</v>
      </c>
      <c r="B130" s="26" t="s">
        <v>12957</v>
      </c>
      <c r="C130" s="52"/>
      <c r="D130" s="55">
        <f t="shared" si="1"/>
        <v>0</v>
      </c>
      <c r="E130" s="63" t="str">
        <f>HYPERLINK("https://www.sds-group.ru/product/kabel-vitaya-para-f-utp-cat-5e-pe-4pr-24awg-outdoor-solid-chernyy-305m-seriya-light-rf-rex-01-0154-R/", "Инфо")</f>
        <v>Инфо</v>
      </c>
      <c r="F130" s="16" t="s">
        <v>1887</v>
      </c>
      <c r="G130" s="15"/>
      <c r="H130" s="15"/>
      <c r="I130" s="15" t="s">
        <v>3681</v>
      </c>
      <c r="J130" s="16" t="s">
        <v>100</v>
      </c>
      <c r="K130" s="15"/>
      <c r="L130" s="17">
        <v>1</v>
      </c>
      <c r="M130" s="17">
        <v>1</v>
      </c>
      <c r="N130" s="17">
        <v>1</v>
      </c>
      <c r="O130" s="18">
        <v>25023.87</v>
      </c>
      <c r="P130" s="18">
        <v>20511.37</v>
      </c>
      <c r="Q130" s="18">
        <v>22271.24</v>
      </c>
      <c r="R130" s="18">
        <v>18255.11</v>
      </c>
      <c r="S130" s="18">
        <v>14513.84</v>
      </c>
      <c r="T130" s="18">
        <v>11896.59</v>
      </c>
      <c r="U130" s="16"/>
      <c r="V130" s="16"/>
      <c r="W130" s="16" t="s">
        <v>40</v>
      </c>
      <c r="X130" s="19">
        <v>9.0950000000000006</v>
      </c>
      <c r="Y130" s="20">
        <v>3.6242999999999997E-2</v>
      </c>
      <c r="Z130" s="21">
        <v>4601004285743</v>
      </c>
    </row>
    <row r="131" spans="1:26" ht="12.95" customHeight="1" outlineLevel="1" x14ac:dyDescent="0.2">
      <c r="A131" s="78" t="s">
        <v>13405</v>
      </c>
      <c r="B131" s="78"/>
      <c r="C131" s="79"/>
      <c r="D131" s="57"/>
      <c r="E131" s="67"/>
      <c r="F131" s="29"/>
      <c r="G131" s="29"/>
      <c r="H131" s="29"/>
      <c r="I131" s="29"/>
      <c r="J131" s="29"/>
      <c r="K131" s="29"/>
      <c r="L131" s="29"/>
      <c r="M131" s="29"/>
      <c r="N131" s="29"/>
      <c r="O131" s="29"/>
      <c r="P131" s="29"/>
      <c r="Q131" s="29"/>
      <c r="R131" s="29"/>
      <c r="S131" s="29"/>
      <c r="T131" s="29"/>
      <c r="U131" s="29"/>
      <c r="V131" s="29"/>
      <c r="W131" s="29"/>
      <c r="X131" s="29"/>
      <c r="Y131" s="29"/>
      <c r="Z131" s="29"/>
    </row>
    <row r="132" spans="1:26" ht="12.95" customHeight="1" outlineLevel="2" x14ac:dyDescent="0.2">
      <c r="A132" s="76" t="s">
        <v>13406</v>
      </c>
      <c r="B132" s="76"/>
      <c r="C132" s="77"/>
      <c r="D132" s="58"/>
      <c r="E132" s="68"/>
      <c r="F132" s="30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 spans="1:26" ht="12.95" customHeight="1" outlineLevel="3" x14ac:dyDescent="0.2">
      <c r="A133" s="76" t="s">
        <v>13407</v>
      </c>
      <c r="B133" s="76"/>
      <c r="C133" s="77"/>
      <c r="D133" s="58"/>
      <c r="E133" s="68"/>
      <c r="F133" s="30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 spans="1:26" ht="12" customHeight="1" outlineLevel="4" x14ac:dyDescent="0.2">
      <c r="A134" s="14" t="s">
        <v>13408</v>
      </c>
      <c r="B134" s="26" t="s">
        <v>13409</v>
      </c>
      <c r="C134" s="52"/>
      <c r="D134" s="55">
        <f t="shared" si="1"/>
        <v>0</v>
      </c>
      <c r="E134" s="63" t="str">
        <f>HYPERLINK("https://www.sds-group.ru/product/nastennyy-telekommunikatsionnyy-shkaf-19-6u-600-600-370mm-dver-metall-s-zadney-stenkoy-razbo-04-2230/", "Инфо")</f>
        <v>Инфо</v>
      </c>
      <c r="F134" s="16" t="s">
        <v>39</v>
      </c>
      <c r="G134" s="15"/>
      <c r="H134" s="15"/>
      <c r="I134" s="15" t="s">
        <v>13410</v>
      </c>
      <c r="J134" s="16" t="s">
        <v>100</v>
      </c>
      <c r="K134" s="15"/>
      <c r="L134" s="17">
        <v>5</v>
      </c>
      <c r="M134" s="17">
        <v>5</v>
      </c>
      <c r="N134" s="17">
        <v>5</v>
      </c>
      <c r="O134" s="18">
        <v>23064.14</v>
      </c>
      <c r="P134" s="18">
        <v>18905.03</v>
      </c>
      <c r="Q134" s="18">
        <v>16836.82</v>
      </c>
      <c r="R134" s="18">
        <v>13800.67</v>
      </c>
      <c r="S134" s="18">
        <v>15683.62</v>
      </c>
      <c r="T134" s="18">
        <v>12855.43</v>
      </c>
      <c r="U134" s="16"/>
      <c r="V134" s="16"/>
      <c r="W134" s="16" t="s">
        <v>40</v>
      </c>
      <c r="X134" s="19">
        <v>18.5</v>
      </c>
      <c r="Y134" s="20">
        <v>5.6000000000000001E-2</v>
      </c>
      <c r="Z134" s="21">
        <v>4601004100657</v>
      </c>
    </row>
    <row r="135" spans="1:26" ht="12.95" customHeight="1" outlineLevel="3" x14ac:dyDescent="0.2">
      <c r="A135" s="76" t="s">
        <v>13411</v>
      </c>
      <c r="B135" s="76"/>
      <c r="C135" s="77"/>
      <c r="D135" s="58"/>
      <c r="E135" s="68"/>
      <c r="F135" s="30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 spans="1:26" ht="12" customHeight="1" outlineLevel="4" x14ac:dyDescent="0.2">
      <c r="A136" s="14" t="s">
        <v>13412</v>
      </c>
      <c r="B136" s="26" t="s">
        <v>13413</v>
      </c>
      <c r="C136" s="52"/>
      <c r="D136" s="55">
        <f t="shared" si="1"/>
        <v>0</v>
      </c>
      <c r="E136" s="63" t="str">
        <f>HYPERLINK("https://www.sds-group.ru/product/nastennyy-telekommunikatsionnyy-shkaf-19-6u-600-450-370mm-dver-metall-s-zadney-stenkoy-razbo-04-2210/", "Инфо")</f>
        <v>Инфо</v>
      </c>
      <c r="F136" s="16" t="s">
        <v>39</v>
      </c>
      <c r="G136" s="15"/>
      <c r="H136" s="15"/>
      <c r="I136" s="15" t="s">
        <v>13414</v>
      </c>
      <c r="J136" s="17">
        <v>5</v>
      </c>
      <c r="K136" s="15"/>
      <c r="L136" s="17">
        <v>1</v>
      </c>
      <c r="M136" s="17">
        <v>5</v>
      </c>
      <c r="N136" s="17">
        <v>1</v>
      </c>
      <c r="O136" s="18">
        <v>21013.200000000001</v>
      </c>
      <c r="P136" s="18">
        <v>17223.93</v>
      </c>
      <c r="Q136" s="18">
        <v>15339.64</v>
      </c>
      <c r="R136" s="18">
        <v>12573.48</v>
      </c>
      <c r="S136" s="18">
        <v>14288.98</v>
      </c>
      <c r="T136" s="18">
        <v>11712.28</v>
      </c>
      <c r="U136" s="16"/>
      <c r="V136" s="16"/>
      <c r="W136" s="16" t="s">
        <v>40</v>
      </c>
      <c r="X136" s="19">
        <v>16</v>
      </c>
      <c r="Y136" s="20">
        <v>5.0999999999999997E-2</v>
      </c>
      <c r="Z136" s="21">
        <v>4601004100640</v>
      </c>
    </row>
    <row r="137" spans="1:26" ht="12.95" customHeight="1" outlineLevel="3" x14ac:dyDescent="0.2">
      <c r="A137" s="76" t="s">
        <v>13415</v>
      </c>
      <c r="B137" s="76"/>
      <c r="C137" s="77"/>
      <c r="D137" s="58"/>
      <c r="E137" s="68"/>
      <c r="F137" s="30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 spans="1:26" ht="12" customHeight="1" outlineLevel="4" x14ac:dyDescent="0.2">
      <c r="A138" s="14" t="s">
        <v>13416</v>
      </c>
      <c r="B138" s="26" t="s">
        <v>13417</v>
      </c>
      <c r="C138" s="52"/>
      <c r="D138" s="55">
        <f t="shared" ref="D138:D201" si="2">C138*(O138-O138*$G$3)</f>
        <v>0</v>
      </c>
      <c r="E138" s="63" t="str">
        <f>HYPERLINK("https://www.sds-group.ru/product/nastennyy-telekommunikatsionnyy-shkaf-19-12u-600-450-635mm-dver-metall-s-zadney-stenkoy-razb-04-2212/", "Инфо")</f>
        <v>Инфо</v>
      </c>
      <c r="F138" s="16" t="s">
        <v>39</v>
      </c>
      <c r="G138" s="15"/>
      <c r="H138" s="15"/>
      <c r="I138" s="15" t="s">
        <v>13410</v>
      </c>
      <c r="J138" s="16" t="s">
        <v>100</v>
      </c>
      <c r="K138" s="15"/>
      <c r="L138" s="17">
        <v>5</v>
      </c>
      <c r="M138" s="17">
        <v>5</v>
      </c>
      <c r="N138" s="17">
        <v>5</v>
      </c>
      <c r="O138" s="18">
        <v>30184.67</v>
      </c>
      <c r="P138" s="18">
        <v>24741.53</v>
      </c>
      <c r="Q138" s="18">
        <v>22034.81</v>
      </c>
      <c r="R138" s="18">
        <v>18061.32</v>
      </c>
      <c r="S138" s="18">
        <v>20525.580000000002</v>
      </c>
      <c r="T138" s="18">
        <v>16824.25</v>
      </c>
      <c r="U138" s="16"/>
      <c r="V138" s="16"/>
      <c r="W138" s="16" t="s">
        <v>40</v>
      </c>
      <c r="X138" s="19">
        <v>24</v>
      </c>
      <c r="Y138" s="20">
        <v>7.1999999999999995E-2</v>
      </c>
      <c r="Z138" s="21">
        <v>4601004100558</v>
      </c>
    </row>
    <row r="139" spans="1:26" ht="12" customHeight="1" outlineLevel="4" x14ac:dyDescent="0.2">
      <c r="A139" s="14" t="s">
        <v>13418</v>
      </c>
      <c r="B139" s="26" t="s">
        <v>13419</v>
      </c>
      <c r="C139" s="52"/>
      <c r="D139" s="55">
        <f t="shared" si="2"/>
        <v>0</v>
      </c>
      <c r="E139" s="63" t="str">
        <f>HYPERLINK("https://www.sds-group.ru/product/nastennyy-telekommunikatsionnyy-shkaf-19-12u-600-450-635mm-dver-steklo-s-zadney-stenkoy-razb-04-2202/", "Инфо")</f>
        <v>Инфо</v>
      </c>
      <c r="F139" s="16" t="s">
        <v>39</v>
      </c>
      <c r="G139" s="15"/>
      <c r="H139" s="15"/>
      <c r="I139" s="15" t="s">
        <v>13414</v>
      </c>
      <c r="J139" s="16" t="s">
        <v>100</v>
      </c>
      <c r="K139" s="15"/>
      <c r="L139" s="17">
        <v>5</v>
      </c>
      <c r="M139" s="17">
        <v>5</v>
      </c>
      <c r="N139" s="17">
        <v>5</v>
      </c>
      <c r="O139" s="18">
        <v>31693.79</v>
      </c>
      <c r="P139" s="18">
        <v>25978.52</v>
      </c>
      <c r="Q139" s="18">
        <v>23136.47</v>
      </c>
      <c r="R139" s="18">
        <v>18964.32</v>
      </c>
      <c r="S139" s="18">
        <v>21551.78</v>
      </c>
      <c r="T139" s="18">
        <v>17665.39</v>
      </c>
      <c r="U139" s="16"/>
      <c r="V139" s="16"/>
      <c r="W139" s="16" t="s">
        <v>40</v>
      </c>
      <c r="X139" s="19">
        <v>23.917000000000002</v>
      </c>
      <c r="Y139" s="20">
        <v>8.8279999999999997E-2</v>
      </c>
      <c r="Z139" s="21">
        <v>4601004100572</v>
      </c>
    </row>
    <row r="140" spans="1:26" ht="12.95" customHeight="1" outlineLevel="3" x14ac:dyDescent="0.2">
      <c r="A140" s="76" t="s">
        <v>13420</v>
      </c>
      <c r="B140" s="76"/>
      <c r="C140" s="77"/>
      <c r="D140" s="58"/>
      <c r="E140" s="68"/>
      <c r="F140" s="30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 spans="1:26" ht="12" customHeight="1" outlineLevel="4" x14ac:dyDescent="0.2">
      <c r="A141" s="14" t="s">
        <v>13421</v>
      </c>
      <c r="B141" s="26" t="s">
        <v>13422</v>
      </c>
      <c r="C141" s="52"/>
      <c r="D141" s="55">
        <f t="shared" si="2"/>
        <v>0</v>
      </c>
      <c r="E141" s="63" t="str">
        <f>HYPERLINK("https://www.sds-group.ru/product/nastennyy-telekommunikatsionnyy-shkaf-19-15u-600-600-770mm-dver-metall-s-zadney-stenkoy-razb-04-2233/", "Инфо")</f>
        <v>Инфо</v>
      </c>
      <c r="F141" s="16" t="s">
        <v>39</v>
      </c>
      <c r="G141" s="15"/>
      <c r="H141" s="15"/>
      <c r="I141" s="15" t="s">
        <v>13414</v>
      </c>
      <c r="J141" s="16" t="s">
        <v>100</v>
      </c>
      <c r="K141" s="15"/>
      <c r="L141" s="17">
        <v>5</v>
      </c>
      <c r="M141" s="17">
        <v>5</v>
      </c>
      <c r="N141" s="17">
        <v>5</v>
      </c>
      <c r="O141" s="18">
        <v>33145.96</v>
      </c>
      <c r="P141" s="18">
        <v>27168.82</v>
      </c>
      <c r="Q141" s="18">
        <v>24196.55</v>
      </c>
      <c r="R141" s="18">
        <v>19833.240000000002</v>
      </c>
      <c r="S141" s="18">
        <v>22539.25</v>
      </c>
      <c r="T141" s="18">
        <v>18474.8</v>
      </c>
      <c r="U141" s="16"/>
      <c r="V141" s="16"/>
      <c r="W141" s="16" t="s">
        <v>40</v>
      </c>
      <c r="X141" s="19">
        <v>31</v>
      </c>
      <c r="Y141" s="20">
        <v>8.5999999999999993E-2</v>
      </c>
      <c r="Z141" s="21">
        <v>4601004100596</v>
      </c>
    </row>
    <row r="142" spans="1:26" ht="12" customHeight="1" outlineLevel="4" x14ac:dyDescent="0.2">
      <c r="A142" s="14" t="s">
        <v>13423</v>
      </c>
      <c r="B142" s="26" t="s">
        <v>13424</v>
      </c>
      <c r="C142" s="52"/>
      <c r="D142" s="55">
        <f t="shared" si="2"/>
        <v>0</v>
      </c>
      <c r="E142" s="63" t="str">
        <f>HYPERLINK("https://www.sds-group.ru/product/nastennyy-telekommunikatsionnyy-shkaf-19-15u-600-600-770mm-dver-steklo-s-zadney-stenkoy-razb-04-2223/", "Инфо")</f>
        <v>Инфо</v>
      </c>
      <c r="F142" s="16" t="s">
        <v>39</v>
      </c>
      <c r="G142" s="15"/>
      <c r="H142" s="15"/>
      <c r="I142" s="15" t="s">
        <v>13410</v>
      </c>
      <c r="J142" s="16" t="s">
        <v>100</v>
      </c>
      <c r="K142" s="15"/>
      <c r="L142" s="17">
        <v>1</v>
      </c>
      <c r="M142" s="17">
        <v>5</v>
      </c>
      <c r="N142" s="17">
        <v>1</v>
      </c>
      <c r="O142" s="18">
        <v>34171.199999999997</v>
      </c>
      <c r="P142" s="18">
        <v>28009.18</v>
      </c>
      <c r="Q142" s="18">
        <v>24944.98</v>
      </c>
      <c r="R142" s="18">
        <v>20446.7</v>
      </c>
      <c r="S142" s="18">
        <v>23236.42</v>
      </c>
      <c r="T142" s="18">
        <v>19046.25</v>
      </c>
      <c r="U142" s="16"/>
      <c r="V142" s="16"/>
      <c r="W142" s="16" t="s">
        <v>40</v>
      </c>
      <c r="X142" s="19">
        <v>31</v>
      </c>
      <c r="Y142" s="20">
        <v>8.5999999999999993E-2</v>
      </c>
      <c r="Z142" s="21">
        <v>4601004100626</v>
      </c>
    </row>
    <row r="143" spans="1:26" ht="12.95" customHeight="1" outlineLevel="3" x14ac:dyDescent="0.2">
      <c r="A143" s="76" t="s">
        <v>13425</v>
      </c>
      <c r="B143" s="76"/>
      <c r="C143" s="77"/>
      <c r="D143" s="58"/>
      <c r="E143" s="68"/>
      <c r="F143" s="30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 spans="1:26" ht="12" customHeight="1" outlineLevel="4" x14ac:dyDescent="0.2">
      <c r="A144" s="14" t="s">
        <v>13426</v>
      </c>
      <c r="B144" s="26" t="s">
        <v>13427</v>
      </c>
      <c r="C144" s="52"/>
      <c r="D144" s="55">
        <f t="shared" si="2"/>
        <v>0</v>
      </c>
      <c r="E144" s="63" t="str">
        <f>HYPERLINK("https://www.sds-group.ru/product/nastennyy-telekommunikatsionnyy-shkaf-19-15u-600-450-770mm-dver-metall-s-zadney-stenkoy-razb-04-2213/", "Инфо")</f>
        <v>Инфо</v>
      </c>
      <c r="F144" s="16" t="s">
        <v>39</v>
      </c>
      <c r="G144" s="15"/>
      <c r="H144" s="15"/>
      <c r="I144" s="15" t="s">
        <v>13414</v>
      </c>
      <c r="J144" s="16" t="s">
        <v>100</v>
      </c>
      <c r="K144" s="15"/>
      <c r="L144" s="17">
        <v>5</v>
      </c>
      <c r="M144" s="17">
        <v>5</v>
      </c>
      <c r="N144" s="17">
        <v>5</v>
      </c>
      <c r="O144" s="18">
        <v>29003.31</v>
      </c>
      <c r="P144" s="18">
        <v>23773.200000000001</v>
      </c>
      <c r="Q144" s="18">
        <v>21172.42</v>
      </c>
      <c r="R144" s="18">
        <v>17354.439999999999</v>
      </c>
      <c r="S144" s="18">
        <v>19722.25</v>
      </c>
      <c r="T144" s="18">
        <v>16165.78</v>
      </c>
      <c r="U144" s="16"/>
      <c r="V144" s="16"/>
      <c r="W144" s="16" t="s">
        <v>40</v>
      </c>
      <c r="X144" s="19">
        <v>27</v>
      </c>
      <c r="Y144" s="20">
        <v>8.5999999999999993E-2</v>
      </c>
      <c r="Z144" s="21">
        <v>4601004100619</v>
      </c>
    </row>
    <row r="145" spans="1:26" ht="12" customHeight="1" outlineLevel="4" x14ac:dyDescent="0.2">
      <c r="A145" s="14" t="s">
        <v>13428</v>
      </c>
      <c r="B145" s="26" t="s">
        <v>13429</v>
      </c>
      <c r="C145" s="52"/>
      <c r="D145" s="55">
        <f t="shared" si="2"/>
        <v>0</v>
      </c>
      <c r="E145" s="63" t="str">
        <f>HYPERLINK("https://www.sds-group.ru/product/nastennyy-telekommunikatsionnyy-shkaf-19-15u-600-450-770mm-dver-steklo-s-zadney-stenkoy-razb-04-2203/", "Инфо")</f>
        <v>Инфо</v>
      </c>
      <c r="F145" s="16" t="s">
        <v>39</v>
      </c>
      <c r="G145" s="15"/>
      <c r="H145" s="15"/>
      <c r="I145" s="15" t="s">
        <v>13410</v>
      </c>
      <c r="J145" s="16" t="s">
        <v>100</v>
      </c>
      <c r="K145" s="15"/>
      <c r="L145" s="17">
        <v>5</v>
      </c>
      <c r="M145" s="17">
        <v>5</v>
      </c>
      <c r="N145" s="17">
        <v>5</v>
      </c>
      <c r="O145" s="18">
        <v>29003.31</v>
      </c>
      <c r="P145" s="18">
        <v>23773.200000000001</v>
      </c>
      <c r="Q145" s="18">
        <v>21172.42</v>
      </c>
      <c r="R145" s="18">
        <v>17354.439999999999</v>
      </c>
      <c r="S145" s="18">
        <v>19722.25</v>
      </c>
      <c r="T145" s="18">
        <v>16165.78</v>
      </c>
      <c r="U145" s="16"/>
      <c r="V145" s="16"/>
      <c r="W145" s="16" t="s">
        <v>40</v>
      </c>
      <c r="X145" s="19">
        <v>27</v>
      </c>
      <c r="Y145" s="20">
        <v>8.5999999999999993E-2</v>
      </c>
      <c r="Z145" s="21">
        <v>4601004100602</v>
      </c>
    </row>
    <row r="146" spans="1:26" ht="12.95" customHeight="1" outlineLevel="3" x14ac:dyDescent="0.2">
      <c r="A146" s="76" t="s">
        <v>13430</v>
      </c>
      <c r="B146" s="76"/>
      <c r="C146" s="77"/>
      <c r="D146" s="58"/>
      <c r="E146" s="68"/>
      <c r="F146" s="30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 spans="1:26" ht="12" customHeight="1" outlineLevel="4" x14ac:dyDescent="0.2">
      <c r="A147" s="14" t="s">
        <v>13431</v>
      </c>
      <c r="B147" s="26" t="s">
        <v>13432</v>
      </c>
      <c r="C147" s="52"/>
      <c r="D147" s="55">
        <f t="shared" si="2"/>
        <v>0</v>
      </c>
      <c r="E147" s="63" t="str">
        <f>HYPERLINK("https://www.sds-group.ru/product/nastennyy-telekommunikatsionnyy-shkaf-19-18u-600-450-964mm-dver-metall-s-zadney-stenkoy-razb-04-2214/", "Инфо")</f>
        <v>Инфо</v>
      </c>
      <c r="F147" s="16" t="s">
        <v>39</v>
      </c>
      <c r="G147" s="15"/>
      <c r="H147" s="15"/>
      <c r="I147" s="15" t="s">
        <v>13414</v>
      </c>
      <c r="J147" s="16" t="s">
        <v>100</v>
      </c>
      <c r="K147" s="15"/>
      <c r="L147" s="17">
        <v>5</v>
      </c>
      <c r="M147" s="17">
        <v>5</v>
      </c>
      <c r="N147" s="17">
        <v>5</v>
      </c>
      <c r="O147" s="18">
        <v>35866.639999999999</v>
      </c>
      <c r="P147" s="18">
        <v>29398.89</v>
      </c>
      <c r="Q147" s="18">
        <v>26182.65</v>
      </c>
      <c r="R147" s="18">
        <v>21461.19</v>
      </c>
      <c r="S147" s="18">
        <v>24389.32</v>
      </c>
      <c r="T147" s="18">
        <v>19991.25</v>
      </c>
      <c r="U147" s="16"/>
      <c r="V147" s="16"/>
      <c r="W147" s="16" t="s">
        <v>40</v>
      </c>
      <c r="X147" s="19">
        <v>30</v>
      </c>
      <c r="Y147" s="20">
        <v>0.1</v>
      </c>
      <c r="Z147" s="21">
        <v>4601004100671</v>
      </c>
    </row>
    <row r="148" spans="1:26" ht="12" customHeight="1" outlineLevel="4" x14ac:dyDescent="0.2">
      <c r="A148" s="14" t="s">
        <v>13433</v>
      </c>
      <c r="B148" s="26" t="s">
        <v>13434</v>
      </c>
      <c r="C148" s="52"/>
      <c r="D148" s="55">
        <f t="shared" si="2"/>
        <v>0</v>
      </c>
      <c r="E148" s="63" t="str">
        <f>HYPERLINK("https://www.sds-group.ru/product/nastennyy-telekommunikatsionnyy-shkaf-19-18u-600-450-964mm-dver-steklo-s-zadney-stenkoy-razb-04-2204/", "Инфо")</f>
        <v>Инфо</v>
      </c>
      <c r="F148" s="16" t="s">
        <v>39</v>
      </c>
      <c r="G148" s="15"/>
      <c r="H148" s="15"/>
      <c r="I148" s="15" t="s">
        <v>13410</v>
      </c>
      <c r="J148" s="16" t="s">
        <v>100</v>
      </c>
      <c r="K148" s="15"/>
      <c r="L148" s="17">
        <v>5</v>
      </c>
      <c r="M148" s="17">
        <v>5</v>
      </c>
      <c r="N148" s="17">
        <v>5</v>
      </c>
      <c r="O148" s="18">
        <v>39908</v>
      </c>
      <c r="P148" s="18">
        <v>32711.48</v>
      </c>
      <c r="Q148" s="18">
        <v>29132.84</v>
      </c>
      <c r="R148" s="18">
        <v>23879.38</v>
      </c>
      <c r="S148" s="18">
        <v>27137.439999999999</v>
      </c>
      <c r="T148" s="18">
        <v>22243.8</v>
      </c>
      <c r="U148" s="16"/>
      <c r="V148" s="16"/>
      <c r="W148" s="16" t="s">
        <v>40</v>
      </c>
      <c r="X148" s="19">
        <v>30</v>
      </c>
      <c r="Y148" s="20">
        <v>0.1</v>
      </c>
      <c r="Z148" s="21">
        <v>4601004100688</v>
      </c>
    </row>
    <row r="149" spans="1:26" ht="12" customHeight="1" outlineLevel="4" x14ac:dyDescent="0.2">
      <c r="A149" s="14" t="s">
        <v>13435</v>
      </c>
      <c r="B149" s="26" t="s">
        <v>13436</v>
      </c>
      <c r="C149" s="52"/>
      <c r="D149" s="55">
        <f t="shared" si="2"/>
        <v>0</v>
      </c>
      <c r="E149" s="63" t="str">
        <f>HYPERLINK("https://www.sds-group.ru/product/nastennyy-telekommunikatsionnyy-shkaf-19-18u-600-600-964mm-dver-steklo-s-zadney-stenkoy-razb-04-2224/", "Инфо")</f>
        <v>Инфо</v>
      </c>
      <c r="F149" s="16" t="s">
        <v>39</v>
      </c>
      <c r="G149" s="15"/>
      <c r="H149" s="15"/>
      <c r="I149" s="15" t="s">
        <v>13414</v>
      </c>
      <c r="J149" s="16" t="s">
        <v>100</v>
      </c>
      <c r="K149" s="15"/>
      <c r="L149" s="17">
        <v>1</v>
      </c>
      <c r="M149" s="17">
        <v>5</v>
      </c>
      <c r="N149" s="17">
        <v>1</v>
      </c>
      <c r="O149" s="18">
        <v>42560.12</v>
      </c>
      <c r="P149" s="18">
        <v>34885.339999999997</v>
      </c>
      <c r="Q149" s="18">
        <v>31068.89</v>
      </c>
      <c r="R149" s="18">
        <v>25466.3</v>
      </c>
      <c r="S149" s="18">
        <v>28940.880000000001</v>
      </c>
      <c r="T149" s="18">
        <v>23722.03</v>
      </c>
      <c r="U149" s="16"/>
      <c r="V149" s="16"/>
      <c r="W149" s="16" t="s">
        <v>40</v>
      </c>
      <c r="X149" s="19">
        <v>34</v>
      </c>
      <c r="Y149" s="20">
        <v>0.12</v>
      </c>
      <c r="Z149" s="21">
        <v>4601004100664</v>
      </c>
    </row>
    <row r="150" spans="1:26" ht="12.95" customHeight="1" outlineLevel="2" x14ac:dyDescent="0.2">
      <c r="A150" s="76" t="s">
        <v>13437</v>
      </c>
      <c r="B150" s="76"/>
      <c r="C150" s="77"/>
      <c r="D150" s="58"/>
      <c r="E150" s="68"/>
      <c r="F150" s="30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 spans="1:26" ht="12.95" customHeight="1" outlineLevel="3" x14ac:dyDescent="0.2">
      <c r="A151" s="76" t="s">
        <v>13438</v>
      </c>
      <c r="B151" s="76"/>
      <c r="C151" s="77"/>
      <c r="D151" s="58"/>
      <c r="E151" s="68"/>
      <c r="F151" s="30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 spans="1:26" ht="12" customHeight="1" outlineLevel="4" x14ac:dyDescent="0.2">
      <c r="A152" s="14" t="s">
        <v>13439</v>
      </c>
      <c r="B152" s="26" t="s">
        <v>13440</v>
      </c>
      <c r="C152" s="52"/>
      <c r="D152" s="55">
        <f t="shared" si="2"/>
        <v>0</v>
      </c>
      <c r="E152" s="63" t="str">
        <f>HYPERLINK("https://www.sds-group.ru/product/shkaf-telekommunikatsionnyy-napolnyy-19-22u-600h600mm-perednyaya-i-zadnyaya-dver-perforatsiy-04-2339/", "Инфо")</f>
        <v>Инфо</v>
      </c>
      <c r="F152" s="16" t="s">
        <v>39</v>
      </c>
      <c r="G152" s="15"/>
      <c r="H152" s="15"/>
      <c r="I152" s="15" t="s">
        <v>13441</v>
      </c>
      <c r="J152" s="16" t="s">
        <v>100</v>
      </c>
      <c r="K152" s="15"/>
      <c r="L152" s="17">
        <v>1</v>
      </c>
      <c r="M152" s="17">
        <v>1</v>
      </c>
      <c r="N152" s="17">
        <v>1</v>
      </c>
      <c r="O152" s="18">
        <v>63108.22</v>
      </c>
      <c r="P152" s="18">
        <v>51728.05</v>
      </c>
      <c r="Q152" s="18">
        <v>46069</v>
      </c>
      <c r="R152" s="18">
        <v>37761.480000000003</v>
      </c>
      <c r="S152" s="18">
        <v>42913.59</v>
      </c>
      <c r="T152" s="18">
        <v>35175.07</v>
      </c>
      <c r="U152" s="16"/>
      <c r="V152" s="16"/>
      <c r="W152" s="16" t="s">
        <v>40</v>
      </c>
      <c r="X152" s="19">
        <v>66</v>
      </c>
      <c r="Y152" s="20">
        <v>0.26700000000000002</v>
      </c>
      <c r="Z152" s="21">
        <v>4601004100855</v>
      </c>
    </row>
    <row r="153" spans="1:26" ht="12.95" customHeight="1" outlineLevel="3" x14ac:dyDescent="0.2">
      <c r="A153" s="76" t="s">
        <v>13442</v>
      </c>
      <c r="B153" s="76"/>
      <c r="C153" s="77"/>
      <c r="D153" s="58"/>
      <c r="E153" s="68"/>
      <c r="F153" s="30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 spans="1:26" ht="12" customHeight="1" outlineLevel="4" x14ac:dyDescent="0.2">
      <c r="A154" s="14" t="s">
        <v>13443</v>
      </c>
      <c r="B154" s="26" t="s">
        <v>13444</v>
      </c>
      <c r="C154" s="52"/>
      <c r="D154" s="55">
        <f t="shared" si="2"/>
        <v>0</v>
      </c>
      <c r="E154" s="63" t="str">
        <f>HYPERLINK("https://www.sds-group.ru/product/shkaf-telekommunikatsionnyy-napolnyy-19-22u-600h800mm-dver-steklo-zadnyaya-dver-metall-razbo-04-2314/", "Инфо")</f>
        <v>Инфо</v>
      </c>
      <c r="F154" s="16" t="s">
        <v>39</v>
      </c>
      <c r="G154" s="15"/>
      <c r="H154" s="15"/>
      <c r="I154" s="15" t="s">
        <v>13445</v>
      </c>
      <c r="J154" s="16" t="s">
        <v>100</v>
      </c>
      <c r="K154" s="15"/>
      <c r="L154" s="17">
        <v>1</v>
      </c>
      <c r="M154" s="17">
        <v>1</v>
      </c>
      <c r="N154" s="17">
        <v>1</v>
      </c>
      <c r="O154" s="18">
        <v>76315.58</v>
      </c>
      <c r="P154" s="18">
        <v>62553.75</v>
      </c>
      <c r="Q154" s="18">
        <v>55710.37</v>
      </c>
      <c r="R154" s="18">
        <v>45664.24</v>
      </c>
      <c r="S154" s="18">
        <v>51894.59</v>
      </c>
      <c r="T154" s="18">
        <v>42536.55</v>
      </c>
      <c r="U154" s="16"/>
      <c r="V154" s="16"/>
      <c r="W154" s="16" t="s">
        <v>40</v>
      </c>
      <c r="X154" s="19">
        <v>75</v>
      </c>
      <c r="Y154" s="20">
        <v>0.28199999999999997</v>
      </c>
      <c r="Z154" s="21">
        <v>4601004100831</v>
      </c>
    </row>
    <row r="155" spans="1:26" ht="12" customHeight="1" outlineLevel="4" x14ac:dyDescent="0.2">
      <c r="A155" s="14" t="s">
        <v>13446</v>
      </c>
      <c r="B155" s="26" t="s">
        <v>13447</v>
      </c>
      <c r="C155" s="52"/>
      <c r="D155" s="55">
        <f t="shared" si="2"/>
        <v>0</v>
      </c>
      <c r="E155" s="63" t="str">
        <f>HYPERLINK("https://www.sds-group.ru/product/shkaf-telekommunikatsionnyy-napolnyy-19-22u-600h800mm-perednyaya-i-zadnyaya-dver-perforatsiy-04-2340/", "Инфо")</f>
        <v>Инфо</v>
      </c>
      <c r="F155" s="16" t="s">
        <v>39</v>
      </c>
      <c r="G155" s="15"/>
      <c r="H155" s="15"/>
      <c r="I155" s="15" t="s">
        <v>13441</v>
      </c>
      <c r="J155" s="16" t="s">
        <v>100</v>
      </c>
      <c r="K155" s="15"/>
      <c r="L155" s="17">
        <v>1</v>
      </c>
      <c r="M155" s="17">
        <v>1</v>
      </c>
      <c r="N155" s="17">
        <v>1</v>
      </c>
      <c r="O155" s="18">
        <v>78605.149999999994</v>
      </c>
      <c r="P155" s="18">
        <v>64430.45</v>
      </c>
      <c r="Q155" s="18">
        <v>57381.760000000002</v>
      </c>
      <c r="R155" s="18">
        <v>47034.23</v>
      </c>
      <c r="S155" s="18">
        <v>53451.5</v>
      </c>
      <c r="T155" s="18">
        <v>43812.7</v>
      </c>
      <c r="U155" s="16"/>
      <c r="V155" s="16"/>
      <c r="W155" s="16" t="s">
        <v>40</v>
      </c>
      <c r="X155" s="19">
        <v>75</v>
      </c>
      <c r="Y155" s="20">
        <v>0.28199999999999997</v>
      </c>
      <c r="Z155" s="21">
        <v>4601004100862</v>
      </c>
    </row>
    <row r="156" spans="1:26" ht="12.95" customHeight="1" outlineLevel="3" x14ac:dyDescent="0.2">
      <c r="A156" s="76" t="s">
        <v>13448</v>
      </c>
      <c r="B156" s="76"/>
      <c r="C156" s="77"/>
      <c r="D156" s="58"/>
      <c r="E156" s="68"/>
      <c r="F156" s="30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 spans="1:26" ht="12" customHeight="1" outlineLevel="4" x14ac:dyDescent="0.2">
      <c r="A157" s="14" t="s">
        <v>13449</v>
      </c>
      <c r="B157" s="26" t="s">
        <v>13450</v>
      </c>
      <c r="C157" s="52"/>
      <c r="D157" s="55">
        <f t="shared" si="2"/>
        <v>0</v>
      </c>
      <c r="E157" s="63" t="str">
        <f>HYPERLINK("https://www.sds-group.ru/product/shkaf-telekommunikatsionnyy-napolnyy-19-22u-600h1000mm-dver-steklo-zadnyaya-dver-metall-razb-04-2315/", "Инфо")</f>
        <v>Инфо</v>
      </c>
      <c r="F157" s="16" t="s">
        <v>39</v>
      </c>
      <c r="G157" s="15"/>
      <c r="H157" s="15"/>
      <c r="I157" s="15" t="s">
        <v>13445</v>
      </c>
      <c r="J157" s="17">
        <v>1</v>
      </c>
      <c r="K157" s="15"/>
      <c r="L157" s="17">
        <v>1</v>
      </c>
      <c r="M157" s="17">
        <v>1</v>
      </c>
      <c r="N157" s="17">
        <v>1</v>
      </c>
      <c r="O157" s="18">
        <v>87535.12</v>
      </c>
      <c r="P157" s="18">
        <v>71750.100000000006</v>
      </c>
      <c r="Q157" s="18">
        <v>63900.639999999999</v>
      </c>
      <c r="R157" s="18">
        <v>52377.57</v>
      </c>
      <c r="S157" s="18">
        <v>59523.88</v>
      </c>
      <c r="T157" s="18">
        <v>48790.07</v>
      </c>
      <c r="U157" s="16"/>
      <c r="V157" s="16"/>
      <c r="W157" s="16" t="s">
        <v>40</v>
      </c>
      <c r="X157" s="19">
        <v>84</v>
      </c>
      <c r="Y157" s="20">
        <v>0.34300000000000003</v>
      </c>
      <c r="Z157" s="21">
        <v>4601004100848</v>
      </c>
    </row>
    <row r="158" spans="1:26" ht="12.95" customHeight="1" outlineLevel="3" x14ac:dyDescent="0.2">
      <c r="A158" s="76" t="s">
        <v>13451</v>
      </c>
      <c r="B158" s="76"/>
      <c r="C158" s="77"/>
      <c r="D158" s="58"/>
      <c r="E158" s="68"/>
      <c r="F158" s="30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 spans="1:26" ht="12" customHeight="1" outlineLevel="4" x14ac:dyDescent="0.2">
      <c r="A159" s="32" t="s">
        <v>13452</v>
      </c>
      <c r="B159" s="74" t="s">
        <v>13453</v>
      </c>
      <c r="C159" s="50"/>
      <c r="D159" s="53">
        <f t="shared" si="2"/>
        <v>0</v>
      </c>
      <c r="E159" s="60" t="str">
        <f>HYPERLINK("https://www.sds-group.ru/product/stoyka-otkritaya-19-33u-odnoramnaya-sostoit-iz-2-korobok-rexant-15537/", "Инфо")</f>
        <v>Инфо</v>
      </c>
      <c r="F159" s="34" t="s">
        <v>39</v>
      </c>
      <c r="G159" s="33"/>
      <c r="H159" s="33" t="s">
        <v>40</v>
      </c>
      <c r="I159" s="33" t="s">
        <v>13445</v>
      </c>
      <c r="J159" s="35">
        <v>5</v>
      </c>
      <c r="K159" s="33"/>
      <c r="L159" s="35">
        <v>1</v>
      </c>
      <c r="M159" s="35">
        <v>1</v>
      </c>
      <c r="N159" s="35">
        <v>1</v>
      </c>
      <c r="O159" s="36">
        <v>10068.35</v>
      </c>
      <c r="P159" s="36">
        <v>8252.75</v>
      </c>
      <c r="Q159" s="36">
        <v>7047.85</v>
      </c>
      <c r="R159" s="36">
        <v>5776.93</v>
      </c>
      <c r="S159" s="36">
        <v>6846.48</v>
      </c>
      <c r="T159" s="36">
        <v>5611.87</v>
      </c>
      <c r="U159" s="34"/>
      <c r="V159" s="34"/>
      <c r="W159" s="34"/>
      <c r="X159" s="37">
        <v>12.6</v>
      </c>
      <c r="Y159" s="38">
        <v>0.43640000000000001</v>
      </c>
      <c r="Z159" s="21">
        <v>4601004101036</v>
      </c>
    </row>
    <row r="160" spans="1:26" ht="12.95" customHeight="1" outlineLevel="3" x14ac:dyDescent="0.2">
      <c r="A160" s="76" t="s">
        <v>13454</v>
      </c>
      <c r="B160" s="76"/>
      <c r="C160" s="77"/>
      <c r="D160" s="58"/>
      <c r="E160" s="68"/>
      <c r="F160" s="30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 spans="1:26" ht="12" customHeight="1" outlineLevel="4" x14ac:dyDescent="0.2">
      <c r="A161" s="14" t="s">
        <v>13455</v>
      </c>
      <c r="B161" s="26" t="s">
        <v>13456</v>
      </c>
      <c r="C161" s="52"/>
      <c r="D161" s="55">
        <f t="shared" si="2"/>
        <v>0</v>
      </c>
      <c r="E161" s="63" t="str">
        <f>HYPERLINK("https://www.sds-group.ru/product/shkaf-telekommunikatsionnyy-napolnyy-19-32u-600h800mm-dver-steklo-zadnyaya-dver-metall-razbo-04-2311/", "Инфо")</f>
        <v>Инфо</v>
      </c>
      <c r="F161" s="16" t="s">
        <v>39</v>
      </c>
      <c r="G161" s="15"/>
      <c r="H161" s="15"/>
      <c r="I161" s="15" t="s">
        <v>13445</v>
      </c>
      <c r="J161" s="16" t="s">
        <v>100</v>
      </c>
      <c r="K161" s="15"/>
      <c r="L161" s="17">
        <v>1</v>
      </c>
      <c r="M161" s="17">
        <v>1</v>
      </c>
      <c r="N161" s="17">
        <v>1</v>
      </c>
      <c r="O161" s="18">
        <v>93970.9</v>
      </c>
      <c r="P161" s="18">
        <v>77025.33</v>
      </c>
      <c r="Q161" s="18">
        <v>68598.759999999995</v>
      </c>
      <c r="R161" s="18">
        <v>56228.49</v>
      </c>
      <c r="S161" s="18">
        <v>63900.21</v>
      </c>
      <c r="T161" s="18">
        <v>52377.22</v>
      </c>
      <c r="U161" s="16"/>
      <c r="V161" s="16"/>
      <c r="W161" s="16" t="s">
        <v>40</v>
      </c>
      <c r="X161" s="19">
        <v>87</v>
      </c>
      <c r="Y161" s="20">
        <v>0.37</v>
      </c>
      <c r="Z161" s="21">
        <v>4601004100787</v>
      </c>
    </row>
    <row r="162" spans="1:26" ht="12" customHeight="1" outlineLevel="4" x14ac:dyDescent="0.2">
      <c r="A162" s="14" t="s">
        <v>13457</v>
      </c>
      <c r="B162" s="26" t="s">
        <v>13458</v>
      </c>
      <c r="C162" s="52"/>
      <c r="D162" s="55">
        <f t="shared" si="2"/>
        <v>0</v>
      </c>
      <c r="E162" s="63" t="str">
        <f>HYPERLINK("https://www.sds-group.ru/product/shkaf-telekommunikatsionnyy-napolnyy-19-32u-600h800mm-perednyaya-i-zadnyaya-dver-perforatsiy-04-2338/", "Инфо")</f>
        <v>Инфо</v>
      </c>
      <c r="F162" s="16" t="s">
        <v>39</v>
      </c>
      <c r="G162" s="15"/>
      <c r="H162" s="15"/>
      <c r="I162" s="15" t="s">
        <v>13441</v>
      </c>
      <c r="J162" s="16" t="s">
        <v>100</v>
      </c>
      <c r="K162" s="15"/>
      <c r="L162" s="17">
        <v>1</v>
      </c>
      <c r="M162" s="17">
        <v>1</v>
      </c>
      <c r="N162" s="17">
        <v>1</v>
      </c>
      <c r="O162" s="18">
        <v>96789.92</v>
      </c>
      <c r="P162" s="18">
        <v>79336</v>
      </c>
      <c r="Q162" s="18">
        <v>70656.639999999999</v>
      </c>
      <c r="R162" s="18">
        <v>57915.28</v>
      </c>
      <c r="S162" s="18">
        <v>65817.149999999994</v>
      </c>
      <c r="T162" s="18">
        <v>53948.480000000003</v>
      </c>
      <c r="U162" s="16"/>
      <c r="V162" s="16"/>
      <c r="W162" s="16" t="s">
        <v>40</v>
      </c>
      <c r="X162" s="19">
        <v>87</v>
      </c>
      <c r="Y162" s="20">
        <v>0.37</v>
      </c>
      <c r="Z162" s="21">
        <v>4601004100817</v>
      </c>
    </row>
    <row r="163" spans="1:26" ht="12.95" customHeight="1" outlineLevel="3" x14ac:dyDescent="0.2">
      <c r="A163" s="76" t="s">
        <v>13459</v>
      </c>
      <c r="B163" s="76"/>
      <c r="C163" s="77"/>
      <c r="D163" s="58"/>
      <c r="E163" s="68"/>
      <c r="F163" s="30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 spans="1:26" ht="12" customHeight="1" outlineLevel="4" x14ac:dyDescent="0.2">
      <c r="A164" s="14" t="s">
        <v>13460</v>
      </c>
      <c r="B164" s="26" t="s">
        <v>13461</v>
      </c>
      <c r="C164" s="52"/>
      <c r="D164" s="55">
        <f t="shared" si="2"/>
        <v>0</v>
      </c>
      <c r="E164" s="63" t="str">
        <f>HYPERLINK("https://www.sds-group.ru/product/shkaf-telekommunikatsionnyy-napolnyy-19-32u-600h1000mm-dver-steklo-zadnyaya-dver-metall-razb-04-2312/", "Инфо")</f>
        <v>Инфо</v>
      </c>
      <c r="F164" s="16" t="s">
        <v>39</v>
      </c>
      <c r="G164" s="15"/>
      <c r="H164" s="15"/>
      <c r="I164" s="15" t="s">
        <v>13441</v>
      </c>
      <c r="J164" s="16" t="s">
        <v>100</v>
      </c>
      <c r="K164" s="15"/>
      <c r="L164" s="17">
        <v>1</v>
      </c>
      <c r="M164" s="17">
        <v>1</v>
      </c>
      <c r="N164" s="17">
        <v>1</v>
      </c>
      <c r="O164" s="18">
        <v>102513.60000000001</v>
      </c>
      <c r="P164" s="18">
        <v>84027.54</v>
      </c>
      <c r="Q164" s="18">
        <v>74834.929999999993</v>
      </c>
      <c r="R164" s="18">
        <v>61340.11</v>
      </c>
      <c r="S164" s="18">
        <v>69709.25</v>
      </c>
      <c r="T164" s="18">
        <v>57138.73</v>
      </c>
      <c r="U164" s="16"/>
      <c r="V164" s="16"/>
      <c r="W164" s="16" t="s">
        <v>40</v>
      </c>
      <c r="X164" s="19">
        <v>96</v>
      </c>
      <c r="Y164" s="20">
        <v>0.44900000000000001</v>
      </c>
      <c r="Z164" s="21">
        <v>4601004100794</v>
      </c>
    </row>
    <row r="165" spans="1:26" ht="12.95" customHeight="1" outlineLevel="3" x14ac:dyDescent="0.2">
      <c r="A165" s="76" t="s">
        <v>13462</v>
      </c>
      <c r="B165" s="76"/>
      <c r="C165" s="77"/>
      <c r="D165" s="58"/>
      <c r="E165" s="68"/>
      <c r="F165" s="30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 spans="1:26" ht="12" customHeight="1" outlineLevel="4" x14ac:dyDescent="0.2">
      <c r="A166" s="14" t="s">
        <v>13463</v>
      </c>
      <c r="B166" s="26" t="s">
        <v>13464</v>
      </c>
      <c r="C166" s="52"/>
      <c r="D166" s="55">
        <f t="shared" si="2"/>
        <v>0</v>
      </c>
      <c r="E166" s="63" t="str">
        <f>HYPERLINK("https://www.sds-group.ru/product/shkaf-telekommunikatsionnyy-napolnyy-19-42u-600h600mm-perednyaya-i-zadnyaya-dver-perforatsiy-04-2333/", "Инфо")</f>
        <v>Инфо</v>
      </c>
      <c r="F166" s="16" t="s">
        <v>39</v>
      </c>
      <c r="G166" s="15"/>
      <c r="H166" s="15"/>
      <c r="I166" s="15" t="s">
        <v>13441</v>
      </c>
      <c r="J166" s="16" t="s">
        <v>100</v>
      </c>
      <c r="K166" s="15"/>
      <c r="L166" s="17">
        <v>1</v>
      </c>
      <c r="M166" s="17">
        <v>1</v>
      </c>
      <c r="N166" s="17">
        <v>1</v>
      </c>
      <c r="O166" s="18">
        <v>101189.36</v>
      </c>
      <c r="P166" s="18">
        <v>82942.100000000006</v>
      </c>
      <c r="Q166" s="18">
        <v>73868.23</v>
      </c>
      <c r="R166" s="18">
        <v>60547.73</v>
      </c>
      <c r="S166" s="18">
        <v>68808.759999999995</v>
      </c>
      <c r="T166" s="18">
        <v>56400.62</v>
      </c>
      <c r="U166" s="16"/>
      <c r="V166" s="16"/>
      <c r="W166" s="16" t="s">
        <v>40</v>
      </c>
      <c r="X166" s="19">
        <v>88</v>
      </c>
      <c r="Y166" s="20">
        <v>0.44400000000000001</v>
      </c>
      <c r="Z166" s="21">
        <v>4601004100930</v>
      </c>
    </row>
    <row r="167" spans="1:26" ht="12" customHeight="1" outlineLevel="4" x14ac:dyDescent="0.2">
      <c r="A167" s="14" t="s">
        <v>13465</v>
      </c>
      <c r="B167" s="26" t="s">
        <v>13466</v>
      </c>
      <c r="C167" s="52"/>
      <c r="D167" s="55">
        <f t="shared" si="2"/>
        <v>0</v>
      </c>
      <c r="E167" s="63" t="str">
        <f>HYPERLINK("https://www.sds-group.ru/product/shkaf-telekommunikatsionnyy-napolnyy-19-42u-600h600mm-perednyaya-i-zadnyaya-raspashnye-perfo-04-2360/", "Инфо")</f>
        <v>Инфо</v>
      </c>
      <c r="F167" s="16" t="s">
        <v>39</v>
      </c>
      <c r="G167" s="15"/>
      <c r="H167" s="15"/>
      <c r="I167" s="15" t="s">
        <v>13441</v>
      </c>
      <c r="J167" s="16" t="s">
        <v>100</v>
      </c>
      <c r="K167" s="15"/>
      <c r="L167" s="17">
        <v>1</v>
      </c>
      <c r="M167" s="17">
        <v>1</v>
      </c>
      <c r="N167" s="17">
        <v>1</v>
      </c>
      <c r="O167" s="18">
        <v>112746.65</v>
      </c>
      <c r="P167" s="18">
        <v>92415.29</v>
      </c>
      <c r="Q167" s="18">
        <v>82305.05</v>
      </c>
      <c r="R167" s="18">
        <v>67463.16</v>
      </c>
      <c r="S167" s="18">
        <v>76667.72</v>
      </c>
      <c r="T167" s="18">
        <v>62842.39</v>
      </c>
      <c r="U167" s="16"/>
      <c r="V167" s="16"/>
      <c r="W167" s="16" t="s">
        <v>40</v>
      </c>
      <c r="X167" s="19">
        <v>88</v>
      </c>
      <c r="Y167" s="20">
        <v>0.44400000000000001</v>
      </c>
      <c r="Z167" s="21">
        <v>4601004100978</v>
      </c>
    </row>
    <row r="168" spans="1:26" ht="12.95" customHeight="1" outlineLevel="3" x14ac:dyDescent="0.2">
      <c r="A168" s="76" t="s">
        <v>13467</v>
      </c>
      <c r="B168" s="76"/>
      <c r="C168" s="77"/>
      <c r="D168" s="58"/>
      <c r="E168" s="68"/>
      <c r="F168" s="30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 spans="1:26" ht="12" customHeight="1" outlineLevel="4" x14ac:dyDescent="0.2">
      <c r="A169" s="14" t="s">
        <v>13468</v>
      </c>
      <c r="B169" s="26" t="s">
        <v>13469</v>
      </c>
      <c r="C169" s="52"/>
      <c r="D169" s="55">
        <f t="shared" si="2"/>
        <v>0</v>
      </c>
      <c r="E169" s="63" t="str">
        <f>HYPERLINK("https://www.sds-group.ru/product/shkaf-telekommunikatsionnyy-napolnyy-19-42u-600h800mm-perednyaya-i-zadnyaya-raspashnye-perfo-04-2361/", "Инфо")</f>
        <v>Инфо</v>
      </c>
      <c r="F169" s="16" t="s">
        <v>39</v>
      </c>
      <c r="G169" s="15"/>
      <c r="H169" s="15"/>
      <c r="I169" s="15" t="s">
        <v>13441</v>
      </c>
      <c r="J169" s="16" t="s">
        <v>100</v>
      </c>
      <c r="K169" s="15"/>
      <c r="L169" s="17">
        <v>1</v>
      </c>
      <c r="M169" s="17">
        <v>1</v>
      </c>
      <c r="N169" s="17">
        <v>1</v>
      </c>
      <c r="O169" s="18">
        <v>127780.97</v>
      </c>
      <c r="P169" s="18">
        <v>104738.5</v>
      </c>
      <c r="Q169" s="18">
        <v>93280.11</v>
      </c>
      <c r="R169" s="18">
        <v>76459.11</v>
      </c>
      <c r="S169" s="18">
        <v>86891.06</v>
      </c>
      <c r="T169" s="18">
        <v>71222.179999999993</v>
      </c>
      <c r="U169" s="16"/>
      <c r="V169" s="16"/>
      <c r="W169" s="16" t="s">
        <v>40</v>
      </c>
      <c r="X169" s="19">
        <v>102</v>
      </c>
      <c r="Y169" s="20">
        <v>0.45900000000000002</v>
      </c>
      <c r="Z169" s="21">
        <v>4601004100985</v>
      </c>
    </row>
    <row r="170" spans="1:26" ht="12.95" customHeight="1" outlineLevel="3" x14ac:dyDescent="0.2">
      <c r="A170" s="76" t="s">
        <v>13470</v>
      </c>
      <c r="B170" s="76"/>
      <c r="C170" s="77"/>
      <c r="D170" s="58"/>
      <c r="E170" s="68"/>
      <c r="F170" s="30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 spans="1:26" ht="12" customHeight="1" outlineLevel="4" x14ac:dyDescent="0.2">
      <c r="A171" s="14" t="s">
        <v>13471</v>
      </c>
      <c r="B171" s="26" t="s">
        <v>13472</v>
      </c>
      <c r="C171" s="52"/>
      <c r="D171" s="55">
        <f t="shared" si="2"/>
        <v>0</v>
      </c>
      <c r="E171" s="63" t="str">
        <f>HYPERLINK("https://www.sds-group.ru/product/shkaf-telekommunikatsionnyy-napolnyy-19-42u-600h1000mm-dver-steklo-zadnyaya-dver-metall-razb-04-2307/", "Инфо")</f>
        <v>Инфо</v>
      </c>
      <c r="F171" s="16" t="s">
        <v>39</v>
      </c>
      <c r="G171" s="15"/>
      <c r="H171" s="15"/>
      <c r="I171" s="15" t="s">
        <v>13441</v>
      </c>
      <c r="J171" s="16" t="s">
        <v>100</v>
      </c>
      <c r="K171" s="15"/>
      <c r="L171" s="17">
        <v>1</v>
      </c>
      <c r="M171" s="17">
        <v>1</v>
      </c>
      <c r="N171" s="17">
        <v>1</v>
      </c>
      <c r="O171" s="18">
        <v>120452.46</v>
      </c>
      <c r="P171" s="18">
        <v>98731.520000000004</v>
      </c>
      <c r="Q171" s="18">
        <v>87930.3</v>
      </c>
      <c r="R171" s="18">
        <v>72074.02</v>
      </c>
      <c r="S171" s="18">
        <v>81907.67</v>
      </c>
      <c r="T171" s="18">
        <v>67137.429999999993</v>
      </c>
      <c r="U171" s="16"/>
      <c r="V171" s="16"/>
      <c r="W171" s="16" t="s">
        <v>40</v>
      </c>
      <c r="X171" s="19">
        <v>114</v>
      </c>
      <c r="Y171" s="20">
        <v>0.55800000000000005</v>
      </c>
      <c r="Z171" s="21">
        <v>4601004100893</v>
      </c>
    </row>
    <row r="172" spans="1:26" ht="12" customHeight="1" outlineLevel="4" x14ac:dyDescent="0.2">
      <c r="A172" s="14" t="s">
        <v>13473</v>
      </c>
      <c r="B172" s="26" t="s">
        <v>13474</v>
      </c>
      <c r="C172" s="52"/>
      <c r="D172" s="55">
        <f t="shared" si="2"/>
        <v>0</v>
      </c>
      <c r="E172" s="63" t="str">
        <f>HYPERLINK("https://www.sds-group.ru/product/shkaf-telekommunikatsionnyy-napolnyy-19-42u-600h1000mm-perednyaya-i-zadnyaya-dver-perforatsi-04-2332/", "Инфо")</f>
        <v>Инфо</v>
      </c>
      <c r="F172" s="16" t="s">
        <v>39</v>
      </c>
      <c r="G172" s="15"/>
      <c r="H172" s="15"/>
      <c r="I172" s="15" t="s">
        <v>13445</v>
      </c>
      <c r="J172" s="16" t="s">
        <v>100</v>
      </c>
      <c r="K172" s="15"/>
      <c r="L172" s="17">
        <v>1</v>
      </c>
      <c r="M172" s="17">
        <v>1</v>
      </c>
      <c r="N172" s="17">
        <v>1</v>
      </c>
      <c r="O172" s="18">
        <v>124067.9</v>
      </c>
      <c r="P172" s="18">
        <v>101695</v>
      </c>
      <c r="Q172" s="18">
        <v>90569.57</v>
      </c>
      <c r="R172" s="18">
        <v>74237.350000000006</v>
      </c>
      <c r="S172" s="18">
        <v>84366.17</v>
      </c>
      <c r="T172" s="18">
        <v>69152.600000000006</v>
      </c>
      <c r="U172" s="16"/>
      <c r="V172" s="16"/>
      <c r="W172" s="16" t="s">
        <v>40</v>
      </c>
      <c r="X172" s="19">
        <v>114</v>
      </c>
      <c r="Y172" s="20">
        <v>0.55800000000000005</v>
      </c>
      <c r="Z172" s="21">
        <v>4601004100923</v>
      </c>
    </row>
    <row r="173" spans="1:26" ht="12" customHeight="1" outlineLevel="4" x14ac:dyDescent="0.2">
      <c r="A173" s="14" t="s">
        <v>13475</v>
      </c>
      <c r="B173" s="26" t="s">
        <v>13476</v>
      </c>
      <c r="C173" s="52"/>
      <c r="D173" s="55">
        <f t="shared" si="2"/>
        <v>0</v>
      </c>
      <c r="E173" s="63" t="str">
        <f>HYPERLINK("https://www.sds-group.ru/product/shkaf-telekommunikatsionnyy-napolnyy-19-42u-600h1000mm-perednyaya-i-zadnyaya-raspashnye-perf-04-2362/", "Инфо")</f>
        <v>Инфо</v>
      </c>
      <c r="F173" s="16" t="s">
        <v>39</v>
      </c>
      <c r="G173" s="15"/>
      <c r="H173" s="15"/>
      <c r="I173" s="15" t="s">
        <v>13441</v>
      </c>
      <c r="J173" s="16" t="s">
        <v>100</v>
      </c>
      <c r="K173" s="15"/>
      <c r="L173" s="17">
        <v>1</v>
      </c>
      <c r="M173" s="17">
        <v>1</v>
      </c>
      <c r="N173" s="17">
        <v>1</v>
      </c>
      <c r="O173" s="18">
        <v>154488.4</v>
      </c>
      <c r="P173" s="18">
        <v>126629.84</v>
      </c>
      <c r="Q173" s="18">
        <v>112776.53</v>
      </c>
      <c r="R173" s="18">
        <v>92439.78</v>
      </c>
      <c r="S173" s="18">
        <v>105052.11</v>
      </c>
      <c r="T173" s="18">
        <v>86108.29</v>
      </c>
      <c r="U173" s="16"/>
      <c r="V173" s="16"/>
      <c r="W173" s="16" t="s">
        <v>40</v>
      </c>
      <c r="X173" s="19">
        <v>114</v>
      </c>
      <c r="Y173" s="20">
        <v>0.55800000000000005</v>
      </c>
      <c r="Z173" s="21">
        <v>4601004100992</v>
      </c>
    </row>
    <row r="174" spans="1:26" ht="12.95" customHeight="1" outlineLevel="3" x14ac:dyDescent="0.2">
      <c r="A174" s="76" t="s">
        <v>13477</v>
      </c>
      <c r="B174" s="76"/>
      <c r="C174" s="77"/>
      <c r="D174" s="58"/>
      <c r="E174" s="68"/>
      <c r="F174" s="30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 spans="1:26" ht="12" customHeight="1" outlineLevel="4" x14ac:dyDescent="0.2">
      <c r="A175" s="14" t="s">
        <v>13478</v>
      </c>
      <c r="B175" s="26" t="s">
        <v>13479</v>
      </c>
      <c r="C175" s="52"/>
      <c r="D175" s="55">
        <f t="shared" si="2"/>
        <v>0</v>
      </c>
      <c r="E175" s="63" t="str">
        <f>HYPERLINK("https://www.sds-group.ru/product/shkaf-telekommunikatsionnyy-napolnyy-19-42u-800h1000mm-perednyaya-i-zadnyaya-dver-perforatsi-04-2336/", "Инфо")</f>
        <v>Инфо</v>
      </c>
      <c r="F175" s="16" t="s">
        <v>39</v>
      </c>
      <c r="G175" s="15"/>
      <c r="H175" s="15"/>
      <c r="I175" s="15" t="s">
        <v>13441</v>
      </c>
      <c r="J175" s="16" t="s">
        <v>100</v>
      </c>
      <c r="K175" s="15"/>
      <c r="L175" s="17">
        <v>1</v>
      </c>
      <c r="M175" s="17">
        <v>1</v>
      </c>
      <c r="N175" s="17">
        <v>1</v>
      </c>
      <c r="O175" s="18">
        <v>148562.34</v>
      </c>
      <c r="P175" s="18">
        <v>121772.41</v>
      </c>
      <c r="Q175" s="18">
        <v>108450.51</v>
      </c>
      <c r="R175" s="18">
        <v>88893.86</v>
      </c>
      <c r="S175" s="18">
        <v>101022.39</v>
      </c>
      <c r="T175" s="18">
        <v>82805.240000000005</v>
      </c>
      <c r="U175" s="16"/>
      <c r="V175" s="16"/>
      <c r="W175" s="16" t="s">
        <v>40</v>
      </c>
      <c r="X175" s="19">
        <v>140</v>
      </c>
      <c r="Y175" s="20">
        <v>0.626</v>
      </c>
      <c r="Z175" s="21">
        <v>4601004100961</v>
      </c>
    </row>
    <row r="176" spans="1:26" ht="12" customHeight="1" outlineLevel="4" x14ac:dyDescent="0.2">
      <c r="A176" s="14" t="s">
        <v>13480</v>
      </c>
      <c r="B176" s="26" t="s">
        <v>13481</v>
      </c>
      <c r="C176" s="52"/>
      <c r="D176" s="55">
        <f t="shared" si="2"/>
        <v>0</v>
      </c>
      <c r="E176" s="63" t="str">
        <f>HYPERLINK("https://www.sds-group.ru/product/shkaf-telekommunikatsionnyy-napolnyy-19-42u-800h800mm-perednyaya-i-zadnyaya-dver-perforatsiy-04-2335/", "Инфо")</f>
        <v>Инфо</v>
      </c>
      <c r="F176" s="16" t="s">
        <v>39</v>
      </c>
      <c r="G176" s="15"/>
      <c r="H176" s="15"/>
      <c r="I176" s="15" t="s">
        <v>13441</v>
      </c>
      <c r="J176" s="16" t="s">
        <v>100</v>
      </c>
      <c r="K176" s="15"/>
      <c r="L176" s="17">
        <v>1</v>
      </c>
      <c r="M176" s="17">
        <v>1</v>
      </c>
      <c r="N176" s="17">
        <v>1</v>
      </c>
      <c r="O176" s="18">
        <v>134850.13</v>
      </c>
      <c r="P176" s="18">
        <v>110532.89</v>
      </c>
      <c r="Q176" s="18">
        <v>98440.59</v>
      </c>
      <c r="R176" s="18">
        <v>80689.009999999995</v>
      </c>
      <c r="S176" s="18">
        <v>91698.09</v>
      </c>
      <c r="T176" s="18">
        <v>75162.37</v>
      </c>
      <c r="U176" s="16"/>
      <c r="V176" s="16"/>
      <c r="W176" s="16" t="s">
        <v>40</v>
      </c>
      <c r="X176" s="19">
        <v>127</v>
      </c>
      <c r="Y176" s="20">
        <v>0.60599999999999998</v>
      </c>
      <c r="Z176" s="21">
        <v>4601004100954</v>
      </c>
    </row>
    <row r="177" spans="1:26" ht="12" customHeight="1" outlineLevel="4" x14ac:dyDescent="0.2">
      <c r="A177" s="14" t="s">
        <v>13482</v>
      </c>
      <c r="B177" s="26" t="s">
        <v>13483</v>
      </c>
      <c r="C177" s="52"/>
      <c r="D177" s="55">
        <f t="shared" si="2"/>
        <v>0</v>
      </c>
      <c r="E177" s="63" t="str">
        <f>HYPERLINK("https://www.sds-group.ru/product/shkaf-telekommunikatsionnyy-napolnyy-19-42u-800h800mm-perednyaya-i-zadnyaya-raspashnye-perfo-04-2363/", "Инфо")</f>
        <v>Инфо</v>
      </c>
      <c r="F177" s="16" t="s">
        <v>39</v>
      </c>
      <c r="G177" s="15"/>
      <c r="H177" s="15"/>
      <c r="I177" s="15" t="s">
        <v>13441</v>
      </c>
      <c r="J177" s="16" t="s">
        <v>100</v>
      </c>
      <c r="K177" s="15"/>
      <c r="L177" s="17">
        <v>1</v>
      </c>
      <c r="M177" s="17">
        <v>1</v>
      </c>
      <c r="N177" s="17">
        <v>1</v>
      </c>
      <c r="O177" s="18">
        <v>159343.56</v>
      </c>
      <c r="P177" s="18">
        <v>130609.48</v>
      </c>
      <c r="Q177" s="18">
        <v>116320.8</v>
      </c>
      <c r="R177" s="18">
        <v>95344.92</v>
      </c>
      <c r="S177" s="18">
        <v>108353.62</v>
      </c>
      <c r="T177" s="18">
        <v>88814.44</v>
      </c>
      <c r="U177" s="16"/>
      <c r="V177" s="16"/>
      <c r="W177" s="16" t="s">
        <v>40</v>
      </c>
      <c r="X177" s="19">
        <v>127</v>
      </c>
      <c r="Y177" s="20">
        <v>0.60599999999999998</v>
      </c>
      <c r="Z177" s="21">
        <v>4601004101005</v>
      </c>
    </row>
    <row r="178" spans="1:26" ht="12.95" customHeight="1" outlineLevel="3" x14ac:dyDescent="0.2">
      <c r="A178" s="76" t="s">
        <v>13484</v>
      </c>
      <c r="B178" s="76"/>
      <c r="C178" s="77"/>
      <c r="D178" s="58"/>
      <c r="E178" s="68"/>
      <c r="F178" s="30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 spans="1:26" ht="12" customHeight="1" outlineLevel="4" x14ac:dyDescent="0.2">
      <c r="A179" s="14" t="s">
        <v>13485</v>
      </c>
      <c r="B179" s="26" t="s">
        <v>13486</v>
      </c>
      <c r="C179" s="52"/>
      <c r="D179" s="55">
        <f t="shared" si="2"/>
        <v>0</v>
      </c>
      <c r="E179" s="63" t="str">
        <f>HYPERLINK("https://www.sds-group.ru/product/shkaf-telekommunikatsionnyy-napolnyy-19-42u-800h1000mm-dver-steklo-zadnyaya-dver-metall-razb-04-2309/", "Инфо")</f>
        <v>Инфо</v>
      </c>
      <c r="F179" s="16" t="s">
        <v>39</v>
      </c>
      <c r="G179" s="15"/>
      <c r="H179" s="15"/>
      <c r="I179" s="15" t="s">
        <v>13441</v>
      </c>
      <c r="J179" s="16" t="s">
        <v>100</v>
      </c>
      <c r="K179" s="15"/>
      <c r="L179" s="17">
        <v>1</v>
      </c>
      <c r="M179" s="17">
        <v>1</v>
      </c>
      <c r="N179" s="17">
        <v>1</v>
      </c>
      <c r="O179" s="18">
        <v>148075.20000000001</v>
      </c>
      <c r="P179" s="18">
        <v>121373.11</v>
      </c>
      <c r="Q179" s="18">
        <v>148075.20000000001</v>
      </c>
      <c r="R179" s="18">
        <v>121373.11</v>
      </c>
      <c r="S179" s="18">
        <v>88845.119999999995</v>
      </c>
      <c r="T179" s="18">
        <v>72823.87</v>
      </c>
      <c r="U179" s="16"/>
      <c r="V179" s="16"/>
      <c r="W179" s="16" t="s">
        <v>40</v>
      </c>
      <c r="X179" s="19">
        <v>140</v>
      </c>
      <c r="Y179" s="20">
        <v>0.626</v>
      </c>
      <c r="Z179" s="21">
        <v>4601004100916</v>
      </c>
    </row>
    <row r="180" spans="1:26" ht="12" customHeight="1" outlineLevel="4" x14ac:dyDescent="0.2">
      <c r="A180" s="14" t="s">
        <v>13487</v>
      </c>
      <c r="B180" s="26" t="s">
        <v>13488</v>
      </c>
      <c r="C180" s="52"/>
      <c r="D180" s="55">
        <f t="shared" si="2"/>
        <v>0</v>
      </c>
      <c r="E180" s="63" t="str">
        <f>HYPERLINK("https://www.sds-group.ru/product/shkaf-telekommunikatsionnyy-napolnyy-19-42u-800h1000mm-perednyaya-i-zadnyaya-dver-s-perfor-04-2364-1/", "Инфо")</f>
        <v>Инфо</v>
      </c>
      <c r="F180" s="16" t="s">
        <v>39</v>
      </c>
      <c r="G180" s="15"/>
      <c r="H180" s="15"/>
      <c r="I180" s="15" t="s">
        <v>13489</v>
      </c>
      <c r="J180" s="16" t="s">
        <v>100</v>
      </c>
      <c r="K180" s="15"/>
      <c r="L180" s="17">
        <v>1</v>
      </c>
      <c r="M180" s="16"/>
      <c r="N180" s="17">
        <v>1</v>
      </c>
      <c r="O180" s="18">
        <v>148562.34</v>
      </c>
      <c r="P180" s="18">
        <v>121772.41</v>
      </c>
      <c r="Q180" s="18">
        <v>148562.34</v>
      </c>
      <c r="R180" s="18">
        <v>121772.41</v>
      </c>
      <c r="S180" s="18">
        <v>89137.4</v>
      </c>
      <c r="T180" s="18">
        <v>73063.44</v>
      </c>
      <c r="U180" s="16"/>
      <c r="V180" s="16"/>
      <c r="W180" s="16" t="s">
        <v>40</v>
      </c>
      <c r="X180" s="19">
        <v>140.80000000000001</v>
      </c>
      <c r="Y180" s="20">
        <v>0.61</v>
      </c>
      <c r="Z180" s="21">
        <v>4601004309876</v>
      </c>
    </row>
    <row r="181" spans="1:26" ht="12" customHeight="1" outlineLevel="4" x14ac:dyDescent="0.2">
      <c r="A181" s="14" t="s">
        <v>13490</v>
      </c>
      <c r="B181" s="26" t="s">
        <v>13491</v>
      </c>
      <c r="C181" s="52"/>
      <c r="D181" s="55">
        <f t="shared" si="2"/>
        <v>0</v>
      </c>
      <c r="E181" s="63" t="str">
        <f>HYPERLINK("https://www.sds-group.ru/product/shkaf-telekommunikatsionnyy-napolnyy-19-42u-800h1000mm-perednyaya-i-zadnyaya-raspashnye-perf-04-2364/", "Инфо")</f>
        <v>Инфо</v>
      </c>
      <c r="F181" s="16" t="s">
        <v>39</v>
      </c>
      <c r="G181" s="15"/>
      <c r="H181" s="15"/>
      <c r="I181" s="15" t="s">
        <v>13441</v>
      </c>
      <c r="J181" s="16" t="s">
        <v>100</v>
      </c>
      <c r="K181" s="15"/>
      <c r="L181" s="17">
        <v>1</v>
      </c>
      <c r="M181" s="17">
        <v>1</v>
      </c>
      <c r="N181" s="17">
        <v>1</v>
      </c>
      <c r="O181" s="18">
        <v>171304.5</v>
      </c>
      <c r="P181" s="18">
        <v>140413.51999999999</v>
      </c>
      <c r="Q181" s="18">
        <v>171304.5</v>
      </c>
      <c r="R181" s="18">
        <v>140413.51999999999</v>
      </c>
      <c r="S181" s="18">
        <v>102782.7</v>
      </c>
      <c r="T181" s="18">
        <v>84248.11</v>
      </c>
      <c r="U181" s="16"/>
      <c r="V181" s="16"/>
      <c r="W181" s="16" t="s">
        <v>40</v>
      </c>
      <c r="X181" s="19">
        <v>139</v>
      </c>
      <c r="Y181" s="20">
        <v>0.626</v>
      </c>
      <c r="Z181" s="21">
        <v>4601004101012</v>
      </c>
    </row>
    <row r="182" spans="1:26" ht="12.95" customHeight="1" outlineLevel="3" x14ac:dyDescent="0.2">
      <c r="A182" s="76" t="s">
        <v>13492</v>
      </c>
      <c r="B182" s="76"/>
      <c r="C182" s="77"/>
      <c r="D182" s="58"/>
      <c r="E182" s="68"/>
      <c r="F182" s="30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 spans="1:26" ht="12" customHeight="1" outlineLevel="4" x14ac:dyDescent="0.2">
      <c r="A183" s="14" t="s">
        <v>13493</v>
      </c>
      <c r="B183" s="26" t="s">
        <v>13494</v>
      </c>
      <c r="C183" s="52"/>
      <c r="D183" s="55">
        <f t="shared" si="2"/>
        <v>0</v>
      </c>
      <c r="E183" s="63" t="str">
        <f>HYPERLINK("https://www.sds-group.ru/product/shkaf-telekommunikatsionnyy-napolnyy-19-47u-600h600mm-dver-steklo-zadnyaya-dver-metall-razbo-04-2304/", "Инфо")</f>
        <v>Инфо</v>
      </c>
      <c r="F183" s="16" t="s">
        <v>39</v>
      </c>
      <c r="G183" s="15"/>
      <c r="H183" s="15"/>
      <c r="I183" s="15" t="s">
        <v>13441</v>
      </c>
      <c r="J183" s="16" t="s">
        <v>100</v>
      </c>
      <c r="K183" s="15"/>
      <c r="L183" s="17">
        <v>1</v>
      </c>
      <c r="M183" s="17">
        <v>1</v>
      </c>
      <c r="N183" s="17">
        <v>1</v>
      </c>
      <c r="O183" s="18">
        <v>111682.87</v>
      </c>
      <c r="P183" s="18">
        <v>91543.34</v>
      </c>
      <c r="Q183" s="18">
        <v>111682.87</v>
      </c>
      <c r="R183" s="18">
        <v>91543.34</v>
      </c>
      <c r="S183" s="18">
        <v>67009.72</v>
      </c>
      <c r="T183" s="18">
        <v>54926</v>
      </c>
      <c r="U183" s="16"/>
      <c r="V183" s="16"/>
      <c r="W183" s="16" t="s">
        <v>40</v>
      </c>
      <c r="X183" s="19">
        <v>95</v>
      </c>
      <c r="Y183" s="20">
        <v>0.48899999999999999</v>
      </c>
      <c r="Z183" s="21">
        <v>4601004100749</v>
      </c>
    </row>
    <row r="184" spans="1:26" ht="12.95" customHeight="1" outlineLevel="3" x14ac:dyDescent="0.2">
      <c r="A184" s="76" t="s">
        <v>13495</v>
      </c>
      <c r="B184" s="76"/>
      <c r="C184" s="77"/>
      <c r="D184" s="58"/>
      <c r="E184" s="68"/>
      <c r="F184" s="30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 spans="1:26" ht="12" customHeight="1" outlineLevel="4" x14ac:dyDescent="0.2">
      <c r="A185" s="14" t="s">
        <v>13496</v>
      </c>
      <c r="B185" s="26" t="s">
        <v>13497</v>
      </c>
      <c r="C185" s="52"/>
      <c r="D185" s="55">
        <f t="shared" si="2"/>
        <v>0</v>
      </c>
      <c r="E185" s="63" t="str">
        <f>HYPERLINK("https://www.sds-group.ru/product/shkaf-telekommunikatsionnyy-napolnyy-19-47u-600h800mm-dver-steklo-zadnyaya-dver-metall-razbo-04-2303/", "Инфо")</f>
        <v>Инфо</v>
      </c>
      <c r="F185" s="16" t="s">
        <v>39</v>
      </c>
      <c r="G185" s="15"/>
      <c r="H185" s="15"/>
      <c r="I185" s="15" t="s">
        <v>13441</v>
      </c>
      <c r="J185" s="16" t="s">
        <v>100</v>
      </c>
      <c r="K185" s="15"/>
      <c r="L185" s="17">
        <v>1</v>
      </c>
      <c r="M185" s="17">
        <v>1</v>
      </c>
      <c r="N185" s="17">
        <v>1</v>
      </c>
      <c r="O185" s="18">
        <v>116752.62</v>
      </c>
      <c r="P185" s="18">
        <v>95698.87</v>
      </c>
      <c r="Q185" s="18">
        <v>116752.62</v>
      </c>
      <c r="R185" s="18">
        <v>95698.87</v>
      </c>
      <c r="S185" s="18">
        <v>70051.570000000007</v>
      </c>
      <c r="T185" s="18">
        <v>57419.32</v>
      </c>
      <c r="U185" s="16"/>
      <c r="V185" s="16"/>
      <c r="W185" s="16" t="s">
        <v>40</v>
      </c>
      <c r="X185" s="19">
        <v>105</v>
      </c>
      <c r="Y185" s="20">
        <v>0.504</v>
      </c>
      <c r="Z185" s="21">
        <v>4601004100732</v>
      </c>
    </row>
    <row r="186" spans="1:26" ht="12.95" customHeight="1" outlineLevel="3" x14ac:dyDescent="0.2">
      <c r="A186" s="76" t="s">
        <v>13498</v>
      </c>
      <c r="B186" s="76"/>
      <c r="C186" s="77"/>
      <c r="D186" s="58"/>
      <c r="E186" s="68"/>
      <c r="F186" s="30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 spans="1:26" ht="12" customHeight="1" outlineLevel="4" x14ac:dyDescent="0.2">
      <c r="A187" s="14" t="s">
        <v>13499</v>
      </c>
      <c r="B187" s="26" t="s">
        <v>13500</v>
      </c>
      <c r="C187" s="52"/>
      <c r="D187" s="55">
        <f t="shared" si="2"/>
        <v>0</v>
      </c>
      <c r="E187" s="63" t="str">
        <f>HYPERLINK("https://www.sds-group.ru/product/shkaf-telekommunikatsionnyy-napolnyy-19-47u-600h1000mm-dver-steklo-zadnyaya-dver-metall-razb-04-2300/", "Инфо")</f>
        <v>Инфо</v>
      </c>
      <c r="F187" s="16" t="s">
        <v>39</v>
      </c>
      <c r="G187" s="15"/>
      <c r="H187" s="15"/>
      <c r="I187" s="15" t="s">
        <v>13441</v>
      </c>
      <c r="J187" s="16" t="s">
        <v>100</v>
      </c>
      <c r="K187" s="15"/>
      <c r="L187" s="17">
        <v>1</v>
      </c>
      <c r="M187" s="17">
        <v>1</v>
      </c>
      <c r="N187" s="17">
        <v>1</v>
      </c>
      <c r="O187" s="18">
        <v>121544.72</v>
      </c>
      <c r="P187" s="18">
        <v>99626.82</v>
      </c>
      <c r="Q187" s="18">
        <v>121544.72</v>
      </c>
      <c r="R187" s="18">
        <v>99626.82</v>
      </c>
      <c r="S187" s="18">
        <v>72926.83</v>
      </c>
      <c r="T187" s="18">
        <v>59776.09</v>
      </c>
      <c r="U187" s="16"/>
      <c r="V187" s="16"/>
      <c r="W187" s="16" t="s">
        <v>40</v>
      </c>
      <c r="X187" s="19">
        <v>118.5</v>
      </c>
      <c r="Y187" s="20">
        <v>0.60799999999999998</v>
      </c>
      <c r="Z187" s="21">
        <v>4601004100701</v>
      </c>
    </row>
    <row r="188" spans="1:26" ht="12" customHeight="1" outlineLevel="4" x14ac:dyDescent="0.2">
      <c r="A188" s="14" t="s">
        <v>13501</v>
      </c>
      <c r="B188" s="26" t="s">
        <v>13502</v>
      </c>
      <c r="C188" s="52"/>
      <c r="D188" s="55">
        <f t="shared" si="2"/>
        <v>0</v>
      </c>
      <c r="E188" s="63" t="str">
        <f>HYPERLINK("https://www.sds-group.ru/product/shkaf-telekommunikatsionnyy-napolnyy-19-47u-600h1000mm-perednyaya-i-zadnyaya-dver-perforatsi-04-2330/", "Инфо")</f>
        <v>Инфо</v>
      </c>
      <c r="F188" s="16" t="s">
        <v>39</v>
      </c>
      <c r="G188" s="15"/>
      <c r="H188" s="15"/>
      <c r="I188" s="15" t="s">
        <v>13441</v>
      </c>
      <c r="J188" s="16" t="s">
        <v>100</v>
      </c>
      <c r="K188" s="15"/>
      <c r="L188" s="17">
        <v>1</v>
      </c>
      <c r="M188" s="17">
        <v>1</v>
      </c>
      <c r="N188" s="17">
        <v>1</v>
      </c>
      <c r="O188" s="18">
        <v>126120.2</v>
      </c>
      <c r="P188" s="18">
        <v>103377.21</v>
      </c>
      <c r="Q188" s="18">
        <v>126120.2</v>
      </c>
      <c r="R188" s="18">
        <v>103377.21</v>
      </c>
      <c r="S188" s="18">
        <v>75672.12</v>
      </c>
      <c r="T188" s="18">
        <v>62026.33</v>
      </c>
      <c r="U188" s="16"/>
      <c r="V188" s="16"/>
      <c r="W188" s="16" t="s">
        <v>40</v>
      </c>
      <c r="X188" s="19">
        <v>118.5</v>
      </c>
      <c r="Y188" s="20">
        <v>0.60799999999999998</v>
      </c>
      <c r="Z188" s="21">
        <v>4601004100756</v>
      </c>
    </row>
    <row r="189" spans="1:26" ht="12.95" customHeight="1" outlineLevel="3" x14ac:dyDescent="0.2">
      <c r="A189" s="76" t="s">
        <v>13503</v>
      </c>
      <c r="B189" s="76"/>
      <c r="C189" s="77"/>
      <c r="D189" s="58"/>
      <c r="E189" s="68"/>
      <c r="F189" s="30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 spans="1:26" ht="12" customHeight="1" outlineLevel="4" x14ac:dyDescent="0.2">
      <c r="A190" s="14" t="s">
        <v>13504</v>
      </c>
      <c r="B190" s="26" t="s">
        <v>13505</v>
      </c>
      <c r="C190" s="52"/>
      <c r="D190" s="55">
        <f t="shared" si="2"/>
        <v>0</v>
      </c>
      <c r="E190" s="63" t="str">
        <f>HYPERLINK("https://www.sds-group.ru/product/shkaf-telekommunikatsionnyy-napolnyy-19-47u-800h800mm-dver-steklo-zadnyaya-dver-metall-razbo-04-2302/", "Инфо")</f>
        <v>Инфо</v>
      </c>
      <c r="F190" s="16" t="s">
        <v>39</v>
      </c>
      <c r="G190" s="15"/>
      <c r="H190" s="15"/>
      <c r="I190" s="15" t="s">
        <v>13445</v>
      </c>
      <c r="J190" s="16" t="s">
        <v>100</v>
      </c>
      <c r="K190" s="15"/>
      <c r="L190" s="17">
        <v>1</v>
      </c>
      <c r="M190" s="17">
        <v>1</v>
      </c>
      <c r="N190" s="17">
        <v>1</v>
      </c>
      <c r="O190" s="18">
        <v>146194.76999999999</v>
      </c>
      <c r="P190" s="18">
        <v>119831.78</v>
      </c>
      <c r="Q190" s="18">
        <v>146194.76999999999</v>
      </c>
      <c r="R190" s="18">
        <v>119831.78</v>
      </c>
      <c r="S190" s="18">
        <v>87716.86</v>
      </c>
      <c r="T190" s="18">
        <v>71899.070000000007</v>
      </c>
      <c r="U190" s="16"/>
      <c r="V190" s="16"/>
      <c r="W190" s="16" t="s">
        <v>40</v>
      </c>
      <c r="X190" s="19">
        <v>133</v>
      </c>
      <c r="Y190" s="20">
        <v>0.66500000000000004</v>
      </c>
      <c r="Z190" s="21">
        <v>4601004100725</v>
      </c>
    </row>
    <row r="191" spans="1:26" ht="12.95" customHeight="1" outlineLevel="3" x14ac:dyDescent="0.2">
      <c r="A191" s="76" t="s">
        <v>13506</v>
      </c>
      <c r="B191" s="76"/>
      <c r="C191" s="77"/>
      <c r="D191" s="58"/>
      <c r="E191" s="68"/>
      <c r="F191" s="30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 spans="1:26" ht="12" customHeight="1" outlineLevel="4" x14ac:dyDescent="0.2">
      <c r="A192" s="14" t="s">
        <v>13507</v>
      </c>
      <c r="B192" s="26" t="s">
        <v>13508</v>
      </c>
      <c r="C192" s="52"/>
      <c r="D192" s="55">
        <f t="shared" si="2"/>
        <v>0</v>
      </c>
      <c r="E192" s="63" t="str">
        <f>HYPERLINK("https://www.sds-group.ru/product/shkaf-telekommunikatsionnyy-napolnyy-19-47u-800h1000mm-dver-steklo-zadnyaya-dver-metall-razb-04-2301/", "Инфо")</f>
        <v>Инфо</v>
      </c>
      <c r="F192" s="16" t="s">
        <v>39</v>
      </c>
      <c r="G192" s="15"/>
      <c r="H192" s="15"/>
      <c r="I192" s="15" t="s">
        <v>13441</v>
      </c>
      <c r="J192" s="16" t="s">
        <v>100</v>
      </c>
      <c r="K192" s="15"/>
      <c r="L192" s="17">
        <v>1</v>
      </c>
      <c r="M192" s="17">
        <v>1</v>
      </c>
      <c r="N192" s="17">
        <v>1</v>
      </c>
      <c r="O192" s="18">
        <v>156285.44</v>
      </c>
      <c r="P192" s="18">
        <v>128102.82</v>
      </c>
      <c r="Q192" s="18">
        <v>156285.44</v>
      </c>
      <c r="R192" s="18">
        <v>128102.82</v>
      </c>
      <c r="S192" s="18">
        <v>93771.26</v>
      </c>
      <c r="T192" s="18">
        <v>76861.69</v>
      </c>
      <c r="U192" s="16"/>
      <c r="V192" s="16"/>
      <c r="W192" s="16" t="s">
        <v>40</v>
      </c>
      <c r="X192" s="19">
        <v>145</v>
      </c>
      <c r="Y192" s="20">
        <v>0.68500000000000005</v>
      </c>
      <c r="Z192" s="21">
        <v>4601004100718</v>
      </c>
    </row>
    <row r="193" spans="1:26" ht="12" customHeight="1" outlineLevel="4" x14ac:dyDescent="0.2">
      <c r="A193" s="14" t="s">
        <v>13509</v>
      </c>
      <c r="B193" s="26" t="s">
        <v>13510</v>
      </c>
      <c r="C193" s="52"/>
      <c r="D193" s="55">
        <f t="shared" si="2"/>
        <v>0</v>
      </c>
      <c r="E193" s="63" t="str">
        <f>HYPERLINK("https://www.sds-group.ru/product/shkaf-telekommunikatsionnyy-napolnyy-19-47u-800h1000mm-perednyaya-i-zadnyaya-dver-perforatsi-04-2331/", "Инфо")</f>
        <v>Инфо</v>
      </c>
      <c r="F193" s="16" t="s">
        <v>39</v>
      </c>
      <c r="G193" s="15"/>
      <c r="H193" s="15"/>
      <c r="I193" s="15" t="s">
        <v>13441</v>
      </c>
      <c r="J193" s="16" t="s">
        <v>100</v>
      </c>
      <c r="K193" s="15"/>
      <c r="L193" s="17">
        <v>1</v>
      </c>
      <c r="M193" s="17">
        <v>1</v>
      </c>
      <c r="N193" s="17">
        <v>1</v>
      </c>
      <c r="O193" s="18">
        <v>159411.70000000001</v>
      </c>
      <c r="P193" s="18">
        <v>130665.33</v>
      </c>
      <c r="Q193" s="18">
        <v>159411.70000000001</v>
      </c>
      <c r="R193" s="18">
        <v>130665.33</v>
      </c>
      <c r="S193" s="18">
        <v>95647.02</v>
      </c>
      <c r="T193" s="18">
        <v>78399.199999999997</v>
      </c>
      <c r="U193" s="16"/>
      <c r="V193" s="16"/>
      <c r="W193" s="16" t="s">
        <v>40</v>
      </c>
      <c r="X193" s="19">
        <v>145</v>
      </c>
      <c r="Y193" s="20">
        <v>0.68500000000000005</v>
      </c>
      <c r="Z193" s="21">
        <v>4601004100763</v>
      </c>
    </row>
    <row r="194" spans="1:26" ht="12.95" customHeight="1" outlineLevel="2" x14ac:dyDescent="0.2">
      <c r="A194" s="76" t="s">
        <v>13611</v>
      </c>
      <c r="B194" s="76"/>
      <c r="C194" s="77"/>
      <c r="D194" s="58"/>
      <c r="E194" s="68"/>
      <c r="F194" s="30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 spans="1:26" ht="12" customHeight="1" outlineLevel="3" x14ac:dyDescent="0.2">
      <c r="A195" s="14" t="s">
        <v>13612</v>
      </c>
      <c r="B195" s="26" t="s">
        <v>13613</v>
      </c>
      <c r="C195" s="52"/>
      <c r="D195" s="55">
        <f t="shared" si="2"/>
        <v>0</v>
      </c>
      <c r="E195" s="63" t="str">
        <f>HYPERLINK("https://www.sds-group.ru/product/shkaf-nastennyy-19-antivandalnyy-raspashnoy-10u-600-500-500mm-shxgxv-ral-7035-rexant-04-2253/", "Инфо")</f>
        <v>Инфо</v>
      </c>
      <c r="F195" s="16" t="s">
        <v>39</v>
      </c>
      <c r="G195" s="15"/>
      <c r="H195" s="15"/>
      <c r="I195" s="15" t="s">
        <v>13414</v>
      </c>
      <c r="J195" s="16" t="s">
        <v>100</v>
      </c>
      <c r="K195" s="15" t="s">
        <v>1888</v>
      </c>
      <c r="L195" s="17">
        <v>1</v>
      </c>
      <c r="M195" s="17">
        <v>1</v>
      </c>
      <c r="N195" s="17">
        <v>1</v>
      </c>
      <c r="O195" s="18">
        <v>26409.68</v>
      </c>
      <c r="P195" s="18">
        <v>21647.279999999999</v>
      </c>
      <c r="Q195" s="18">
        <v>26409.68</v>
      </c>
      <c r="R195" s="18">
        <v>21647.279999999999</v>
      </c>
      <c r="S195" s="18">
        <v>15845.81</v>
      </c>
      <c r="T195" s="18">
        <v>12988.37</v>
      </c>
      <c r="U195" s="16"/>
      <c r="V195" s="16"/>
      <c r="W195" s="16" t="s">
        <v>40</v>
      </c>
      <c r="X195" s="19">
        <v>23.276</v>
      </c>
      <c r="Y195" s="20">
        <v>0.15387700000000001</v>
      </c>
      <c r="Z195" s="21">
        <v>4601004101159</v>
      </c>
    </row>
    <row r="196" spans="1:26" ht="12" customHeight="1" outlineLevel="3" x14ac:dyDescent="0.2">
      <c r="A196" s="14" t="s">
        <v>13614</v>
      </c>
      <c r="B196" s="26" t="s">
        <v>13615</v>
      </c>
      <c r="C196" s="52"/>
      <c r="D196" s="55">
        <f t="shared" si="2"/>
        <v>0</v>
      </c>
      <c r="E196" s="63" t="str">
        <f>HYPERLINK("https://www.sds-group.ru/product/shkaf-nastennyy-19-antivandalnyy-raspashnoy-14u-600-500-700mm-shxgxv-ral-7035-rexant-04-2254/", "Инфо")</f>
        <v>Инфо</v>
      </c>
      <c r="F196" s="16" t="s">
        <v>39</v>
      </c>
      <c r="G196" s="15"/>
      <c r="H196" s="15"/>
      <c r="I196" s="15" t="s">
        <v>13414</v>
      </c>
      <c r="J196" s="16" t="s">
        <v>100</v>
      </c>
      <c r="K196" s="15" t="s">
        <v>1888</v>
      </c>
      <c r="L196" s="17">
        <v>1</v>
      </c>
      <c r="M196" s="17">
        <v>1</v>
      </c>
      <c r="N196" s="17">
        <v>1</v>
      </c>
      <c r="O196" s="18">
        <v>31310.57</v>
      </c>
      <c r="P196" s="18">
        <v>25664.400000000001</v>
      </c>
      <c r="Q196" s="18">
        <v>31310.57</v>
      </c>
      <c r="R196" s="18">
        <v>25664.400000000001</v>
      </c>
      <c r="S196" s="18">
        <v>18786.34</v>
      </c>
      <c r="T196" s="18">
        <v>15398.64</v>
      </c>
      <c r="U196" s="16"/>
      <c r="V196" s="16"/>
      <c r="W196" s="16" t="s">
        <v>40</v>
      </c>
      <c r="X196" s="19">
        <v>27.571999999999999</v>
      </c>
      <c r="Y196" s="20">
        <v>0.20821500000000001</v>
      </c>
      <c r="Z196" s="21">
        <v>4601004101166</v>
      </c>
    </row>
    <row r="197" spans="1:26" ht="12" customHeight="1" outlineLevel="3" x14ac:dyDescent="0.2">
      <c r="A197" s="40" t="s">
        <v>13616</v>
      </c>
      <c r="B197" s="75" t="s">
        <v>13617</v>
      </c>
      <c r="C197" s="51"/>
      <c r="D197" s="54">
        <f t="shared" si="2"/>
        <v>0</v>
      </c>
      <c r="E197" s="62"/>
      <c r="F197" s="42" t="s">
        <v>39</v>
      </c>
      <c r="G197" s="41" t="s">
        <v>40</v>
      </c>
      <c r="H197" s="41"/>
      <c r="I197" s="41" t="s">
        <v>2135</v>
      </c>
      <c r="J197" s="42" t="s">
        <v>100</v>
      </c>
      <c r="K197" s="41" t="s">
        <v>1888</v>
      </c>
      <c r="L197" s="43">
        <v>1</v>
      </c>
      <c r="M197" s="43">
        <v>1</v>
      </c>
      <c r="N197" s="43">
        <v>1</v>
      </c>
      <c r="O197" s="44">
        <v>15772.8</v>
      </c>
      <c r="P197" s="44">
        <v>12928.52</v>
      </c>
      <c r="Q197" s="44">
        <v>14037.79</v>
      </c>
      <c r="R197" s="44">
        <v>11506.39</v>
      </c>
      <c r="S197" s="44">
        <v>10725.5</v>
      </c>
      <c r="T197" s="44">
        <v>8791.39</v>
      </c>
      <c r="U197" s="42"/>
      <c r="V197" s="42"/>
      <c r="W197" s="42" t="s">
        <v>40</v>
      </c>
      <c r="X197" s="45">
        <v>9.5</v>
      </c>
      <c r="Y197" s="46">
        <v>6.2E-2</v>
      </c>
      <c r="Z197" s="21">
        <v>4601004358669</v>
      </c>
    </row>
    <row r="198" spans="1:26" ht="12" customHeight="1" outlineLevel="3" x14ac:dyDescent="0.2">
      <c r="A198" s="14" t="s">
        <v>13618</v>
      </c>
      <c r="B198" s="26" t="s">
        <v>13619</v>
      </c>
      <c r="C198" s="52"/>
      <c r="D198" s="55">
        <f t="shared" si="2"/>
        <v>0</v>
      </c>
      <c r="E198" s="63" t="str">
        <f>HYPERLINK("https://www.sds-group.ru/product/shkaf-nastennyy-19-antivandalnyy-raspashnoy-8u-600-400-450mm-shxgxv-ral-7035-rexant-04-2252/", "Инфо")</f>
        <v>Инфо</v>
      </c>
      <c r="F198" s="16" t="s">
        <v>39</v>
      </c>
      <c r="G198" s="15"/>
      <c r="H198" s="15"/>
      <c r="I198" s="15" t="s">
        <v>13414</v>
      </c>
      <c r="J198" s="16" t="s">
        <v>100</v>
      </c>
      <c r="K198" s="15" t="s">
        <v>1888</v>
      </c>
      <c r="L198" s="17">
        <v>1</v>
      </c>
      <c r="M198" s="17">
        <v>1</v>
      </c>
      <c r="N198" s="17">
        <v>1</v>
      </c>
      <c r="O198" s="18">
        <v>19955.13</v>
      </c>
      <c r="P198" s="18">
        <v>16356.66</v>
      </c>
      <c r="Q198" s="18">
        <v>19955.13</v>
      </c>
      <c r="R198" s="18">
        <v>16356.66</v>
      </c>
      <c r="S198" s="18">
        <v>11973.08</v>
      </c>
      <c r="T198" s="18">
        <v>9814</v>
      </c>
      <c r="U198" s="16"/>
      <c r="V198" s="16"/>
      <c r="W198" s="16" t="s">
        <v>40</v>
      </c>
      <c r="X198" s="19">
        <v>18.7</v>
      </c>
      <c r="Y198" s="20">
        <v>0.103729</v>
      </c>
      <c r="Z198" s="21">
        <v>4601004101142</v>
      </c>
    </row>
    <row r="199" spans="1:26" ht="12.95" customHeight="1" outlineLevel="2" x14ac:dyDescent="0.2">
      <c r="A199" s="76" t="s">
        <v>13620</v>
      </c>
      <c r="B199" s="76"/>
      <c r="C199" s="77"/>
      <c r="D199" s="58"/>
      <c r="E199" s="68"/>
      <c r="F199" s="30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 spans="1:26" ht="12" customHeight="1" outlineLevel="3" x14ac:dyDescent="0.2">
      <c r="A200" s="14" t="s">
        <v>13621</v>
      </c>
      <c r="B200" s="26" t="s">
        <v>13622</v>
      </c>
      <c r="C200" s="52"/>
      <c r="D200" s="55">
        <f t="shared" si="2"/>
        <v>0</v>
      </c>
      <c r="E200" s="63" t="str">
        <f>HYPERLINK("https://www.sds-group.ru/product/polka-vydvizhnaya-dlya-klaviatury-19-1u-glubina-450mm-rexant-04-2629/", "Инфо")</f>
        <v>Инфо</v>
      </c>
      <c r="F200" s="16" t="s">
        <v>39</v>
      </c>
      <c r="G200" s="15"/>
      <c r="H200" s="15"/>
      <c r="I200" s="15" t="s">
        <v>13441</v>
      </c>
      <c r="J200" s="16" t="s">
        <v>100</v>
      </c>
      <c r="K200" s="15"/>
      <c r="L200" s="17">
        <v>1</v>
      </c>
      <c r="M200" s="17">
        <v>1</v>
      </c>
      <c r="N200" s="17">
        <v>1</v>
      </c>
      <c r="O200" s="18">
        <v>3632.32</v>
      </c>
      <c r="P200" s="18">
        <v>2977.31</v>
      </c>
      <c r="Q200" s="18">
        <v>3632.32</v>
      </c>
      <c r="R200" s="18">
        <v>2977.31</v>
      </c>
      <c r="S200" s="18">
        <v>2179.39</v>
      </c>
      <c r="T200" s="18">
        <v>1786.39</v>
      </c>
      <c r="U200" s="16"/>
      <c r="V200" s="16"/>
      <c r="W200" s="16" t="s">
        <v>40</v>
      </c>
      <c r="X200" s="19">
        <v>2.88</v>
      </c>
      <c r="Y200" s="20">
        <v>1.0999999999999999E-2</v>
      </c>
      <c r="Z200" s="21">
        <v>4601004102651</v>
      </c>
    </row>
    <row r="201" spans="1:26" ht="12" customHeight="1" outlineLevel="3" x14ac:dyDescent="0.2">
      <c r="A201" s="14" t="s">
        <v>13623</v>
      </c>
      <c r="B201" s="26" t="s">
        <v>13624</v>
      </c>
      <c r="C201" s="52"/>
      <c r="D201" s="55">
        <f t="shared" si="2"/>
        <v>0</v>
      </c>
      <c r="E201" s="63" t="str">
        <f>HYPERLINK("https://www.sds-group.ru/product/polka-perednego-krepleniya-statsionarnaya-19-1u-glubinoy-250mm-rexant-04-2626/", "Инфо")</f>
        <v>Инфо</v>
      </c>
      <c r="F201" s="16" t="s">
        <v>39</v>
      </c>
      <c r="G201" s="15"/>
      <c r="H201" s="15"/>
      <c r="I201" s="15" t="s">
        <v>13441</v>
      </c>
      <c r="J201" s="16" t="s">
        <v>100</v>
      </c>
      <c r="K201" s="15"/>
      <c r="L201" s="17">
        <v>1</v>
      </c>
      <c r="M201" s="17">
        <v>1</v>
      </c>
      <c r="N201" s="17">
        <v>1</v>
      </c>
      <c r="O201" s="18">
        <v>2116.81</v>
      </c>
      <c r="P201" s="18">
        <v>1735.09</v>
      </c>
      <c r="Q201" s="18">
        <v>2116.81</v>
      </c>
      <c r="R201" s="18">
        <v>1735.09</v>
      </c>
      <c r="S201" s="18">
        <v>1270.0899999999999</v>
      </c>
      <c r="T201" s="18">
        <v>1041.06</v>
      </c>
      <c r="U201" s="16"/>
      <c r="V201" s="16"/>
      <c r="W201" s="16" t="s">
        <v>40</v>
      </c>
      <c r="X201" s="19">
        <v>1.4490000000000001</v>
      </c>
      <c r="Y201" s="20">
        <v>5.4000000000000003E-3</v>
      </c>
      <c r="Z201" s="21">
        <v>4601004102620</v>
      </c>
    </row>
    <row r="202" spans="1:26" ht="12" customHeight="1" outlineLevel="3" x14ac:dyDescent="0.2">
      <c r="A202" s="32" t="s">
        <v>13625</v>
      </c>
      <c r="B202" s="74" t="s">
        <v>13626</v>
      </c>
      <c r="C202" s="50"/>
      <c r="D202" s="53">
        <f t="shared" ref="D202:D265" si="3">C202*(O202-O202*$G$3)</f>
        <v>0</v>
      </c>
      <c r="E202" s="60" t="str">
        <f>HYPERLINK("https://www.sds-group.ru/product/polka-perednego-krepleniya-statsionarnaya-19-2u-glubinoy-450mm-rexant-04-2628/", "Инфо")</f>
        <v>Инфо</v>
      </c>
      <c r="F202" s="34" t="s">
        <v>39</v>
      </c>
      <c r="G202" s="33"/>
      <c r="H202" s="33" t="s">
        <v>40</v>
      </c>
      <c r="I202" s="33" t="s">
        <v>13441</v>
      </c>
      <c r="J202" s="34" t="s">
        <v>100</v>
      </c>
      <c r="K202" s="33"/>
      <c r="L202" s="35">
        <v>1</v>
      </c>
      <c r="M202" s="35">
        <v>1</v>
      </c>
      <c r="N202" s="35">
        <v>1</v>
      </c>
      <c r="O202" s="36">
        <v>4011.87</v>
      </c>
      <c r="P202" s="36">
        <v>3288.42</v>
      </c>
      <c r="Q202" s="36">
        <v>4011.87</v>
      </c>
      <c r="R202" s="36">
        <v>3288.42</v>
      </c>
      <c r="S202" s="36">
        <v>2407.12</v>
      </c>
      <c r="T202" s="36">
        <v>1973.05</v>
      </c>
      <c r="U202" s="34"/>
      <c r="V202" s="34"/>
      <c r="W202" s="34" t="s">
        <v>40</v>
      </c>
      <c r="X202" s="37">
        <v>2.2400000000000002</v>
      </c>
      <c r="Y202" s="38">
        <v>2.2499999999999999E-2</v>
      </c>
      <c r="Z202" s="21">
        <v>4601004102644</v>
      </c>
    </row>
    <row r="203" spans="1:26" ht="12" customHeight="1" outlineLevel="3" x14ac:dyDescent="0.2">
      <c r="A203" s="32" t="s">
        <v>13627</v>
      </c>
      <c r="B203" s="74" t="s">
        <v>13628</v>
      </c>
      <c r="C203" s="50"/>
      <c r="D203" s="53">
        <f t="shared" si="3"/>
        <v>0</v>
      </c>
      <c r="E203" s="60" t="str">
        <f>HYPERLINK("https://www.sds-group.ru/product/polka-statsionarnaya-usilennaya-19-1u-poleznaya-glubina-700mm-dlya-shkafov-glubinoy-1000mm-r-04-2625/", "Инфо")</f>
        <v>Инфо</v>
      </c>
      <c r="F203" s="34" t="s">
        <v>39</v>
      </c>
      <c r="G203" s="33"/>
      <c r="H203" s="33" t="s">
        <v>40</v>
      </c>
      <c r="I203" s="33" t="s">
        <v>13441</v>
      </c>
      <c r="J203" s="34" t="s">
        <v>100</v>
      </c>
      <c r="K203" s="33"/>
      <c r="L203" s="35">
        <v>1</v>
      </c>
      <c r="M203" s="35">
        <v>1</v>
      </c>
      <c r="N203" s="35">
        <v>1</v>
      </c>
      <c r="O203" s="36">
        <v>7935.94</v>
      </c>
      <c r="P203" s="36">
        <v>6504.87</v>
      </c>
      <c r="Q203" s="36">
        <v>7935.94</v>
      </c>
      <c r="R203" s="36">
        <v>6504.87</v>
      </c>
      <c r="S203" s="36">
        <v>4761.5600000000004</v>
      </c>
      <c r="T203" s="36">
        <v>3902.92</v>
      </c>
      <c r="U203" s="34"/>
      <c r="V203" s="34"/>
      <c r="W203" s="34" t="s">
        <v>40</v>
      </c>
      <c r="X203" s="37">
        <v>5.52</v>
      </c>
      <c r="Y203" s="38">
        <v>1.255E-2</v>
      </c>
      <c r="Z203" s="21">
        <v>4601004102613</v>
      </c>
    </row>
    <row r="204" spans="1:26" ht="12" customHeight="1" outlineLevel="3" x14ac:dyDescent="0.2">
      <c r="A204" s="32" t="s">
        <v>13629</v>
      </c>
      <c r="B204" s="74" t="s">
        <v>13630</v>
      </c>
      <c r="C204" s="50"/>
      <c r="D204" s="53">
        <f t="shared" si="3"/>
        <v>0</v>
      </c>
      <c r="E204" s="60" t="str">
        <f>HYPERLINK("https://www.sds-group.ru/product/polka-statsionarnaya-19-1u-poleznaya-glubina-350mm-dlya-shkafov-glubinoy-600mm-rexant-04-2620/", "Инфо")</f>
        <v>Инфо</v>
      </c>
      <c r="F204" s="34" t="s">
        <v>39</v>
      </c>
      <c r="G204" s="33"/>
      <c r="H204" s="33" t="s">
        <v>40</v>
      </c>
      <c r="I204" s="33" t="s">
        <v>13441</v>
      </c>
      <c r="J204" s="34" t="s">
        <v>100</v>
      </c>
      <c r="K204" s="33"/>
      <c r="L204" s="35">
        <v>1</v>
      </c>
      <c r="M204" s="35">
        <v>1</v>
      </c>
      <c r="N204" s="35">
        <v>1</v>
      </c>
      <c r="O204" s="36">
        <v>2938.99</v>
      </c>
      <c r="P204" s="36">
        <v>2409.0100000000002</v>
      </c>
      <c r="Q204" s="36">
        <v>2938.99</v>
      </c>
      <c r="R204" s="36">
        <v>2409.0100000000002</v>
      </c>
      <c r="S204" s="36">
        <v>1763.39</v>
      </c>
      <c r="T204" s="36">
        <v>1445.4</v>
      </c>
      <c r="U204" s="34"/>
      <c r="V204" s="34"/>
      <c r="W204" s="34" t="s">
        <v>40</v>
      </c>
      <c r="X204" s="37">
        <v>1.94</v>
      </c>
      <c r="Y204" s="38">
        <v>7.0000000000000001E-3</v>
      </c>
      <c r="Z204" s="21">
        <v>4601004102569</v>
      </c>
    </row>
    <row r="205" spans="1:26" ht="12.95" customHeight="1" outlineLevel="2" x14ac:dyDescent="0.2">
      <c r="A205" s="76" t="s">
        <v>13631</v>
      </c>
      <c r="B205" s="76"/>
      <c r="C205" s="77"/>
      <c r="D205" s="58"/>
      <c r="E205" s="68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 spans="1:26" ht="12" customHeight="1" outlineLevel="3" x14ac:dyDescent="0.2">
      <c r="A206" s="14" t="s">
        <v>13632</v>
      </c>
      <c r="B206" s="26" t="s">
        <v>13633</v>
      </c>
      <c r="C206" s="52"/>
      <c r="D206" s="55">
        <f t="shared" si="3"/>
        <v>0</v>
      </c>
      <c r="E206" s="63" t="str">
        <f>HYPERLINK("https://www.sds-group.ru/product/organayzer-kabelnyy-vertikalnyy-42u-bez-kryshki-shirina-100mm-rexant-04-2641/", "Инфо")</f>
        <v>Инфо</v>
      </c>
      <c r="F206" s="16" t="s">
        <v>39</v>
      </c>
      <c r="G206" s="15"/>
      <c r="H206" s="15"/>
      <c r="I206" s="15" t="s">
        <v>13441</v>
      </c>
      <c r="J206" s="16" t="s">
        <v>100</v>
      </c>
      <c r="K206" s="15"/>
      <c r="L206" s="17">
        <v>1</v>
      </c>
      <c r="M206" s="17">
        <v>1</v>
      </c>
      <c r="N206" s="17">
        <v>1</v>
      </c>
      <c r="O206" s="18">
        <v>4852.91</v>
      </c>
      <c r="P206" s="18">
        <v>3977.8</v>
      </c>
      <c r="Q206" s="18">
        <v>4852.91</v>
      </c>
      <c r="R206" s="18">
        <v>3977.8</v>
      </c>
      <c r="S206" s="18">
        <v>2911.75</v>
      </c>
      <c r="T206" s="18">
        <v>2386.6799999999998</v>
      </c>
      <c r="U206" s="16"/>
      <c r="V206" s="16"/>
      <c r="W206" s="16" t="s">
        <v>40</v>
      </c>
      <c r="X206" s="19">
        <v>3</v>
      </c>
      <c r="Y206" s="20">
        <v>1.35E-2</v>
      </c>
      <c r="Z206" s="21">
        <v>4601004102675</v>
      </c>
    </row>
    <row r="207" spans="1:26" ht="12" customHeight="1" outlineLevel="3" x14ac:dyDescent="0.2">
      <c r="A207" s="14" t="s">
        <v>13634</v>
      </c>
      <c r="B207" s="26" t="s">
        <v>13635</v>
      </c>
      <c r="C207" s="52"/>
      <c r="D207" s="55">
        <f t="shared" si="3"/>
        <v>0</v>
      </c>
      <c r="E207" s="63" t="str">
        <f>HYPERLINK("https://www.sds-group.ru/product/organayzer-kabelnyy-vertikalnyy-42u-s-kryshkoy-shirina-100mm-rexant-04-2640/", "Инфо")</f>
        <v>Инфо</v>
      </c>
      <c r="F207" s="16" t="s">
        <v>39</v>
      </c>
      <c r="G207" s="15"/>
      <c r="H207" s="15"/>
      <c r="I207" s="15" t="s">
        <v>13441</v>
      </c>
      <c r="J207" s="16" t="s">
        <v>100</v>
      </c>
      <c r="K207" s="15" t="s">
        <v>1888</v>
      </c>
      <c r="L207" s="17">
        <v>1</v>
      </c>
      <c r="M207" s="17">
        <v>1</v>
      </c>
      <c r="N207" s="17">
        <v>1</v>
      </c>
      <c r="O207" s="18">
        <v>7205.88</v>
      </c>
      <c r="P207" s="18">
        <v>5906.46</v>
      </c>
      <c r="Q207" s="18">
        <v>7205.88</v>
      </c>
      <c r="R207" s="18">
        <v>5906.46</v>
      </c>
      <c r="S207" s="18">
        <v>4323.53</v>
      </c>
      <c r="T207" s="18">
        <v>3543.88</v>
      </c>
      <c r="U207" s="16"/>
      <c r="V207" s="16"/>
      <c r="W207" s="16" t="s">
        <v>40</v>
      </c>
      <c r="X207" s="19">
        <v>3.42</v>
      </c>
      <c r="Y207" s="20">
        <v>1.35E-2</v>
      </c>
      <c r="Z207" s="21">
        <v>4601004102668</v>
      </c>
    </row>
    <row r="208" spans="1:26" ht="12" customHeight="1" outlineLevel="3" x14ac:dyDescent="0.2">
      <c r="A208" s="14" t="s">
        <v>13636</v>
      </c>
      <c r="B208" s="26" t="s">
        <v>13637</v>
      </c>
      <c r="C208" s="52"/>
      <c r="D208" s="55">
        <f t="shared" si="3"/>
        <v>0</v>
      </c>
      <c r="E208" s="63" t="str">
        <f>HYPERLINK("https://www.sds-group.ru/product/organayzer-kabelnyy-vertikalnyy-47u-bez-kryshki-shirina-100mm-rexant-04-2650/", "Инфо")</f>
        <v>Инфо</v>
      </c>
      <c r="F208" s="16" t="s">
        <v>39</v>
      </c>
      <c r="G208" s="15"/>
      <c r="H208" s="15"/>
      <c r="I208" s="15" t="s">
        <v>13441</v>
      </c>
      <c r="J208" s="16" t="s">
        <v>100</v>
      </c>
      <c r="K208" s="15"/>
      <c r="L208" s="17">
        <v>1</v>
      </c>
      <c r="M208" s="17">
        <v>1</v>
      </c>
      <c r="N208" s="17">
        <v>1</v>
      </c>
      <c r="O208" s="18">
        <v>4672.91</v>
      </c>
      <c r="P208" s="18">
        <v>3830.25</v>
      </c>
      <c r="Q208" s="18">
        <v>4672.91</v>
      </c>
      <c r="R208" s="18">
        <v>3830.25</v>
      </c>
      <c r="S208" s="18">
        <v>2803.75</v>
      </c>
      <c r="T208" s="18">
        <v>2298.16</v>
      </c>
      <c r="U208" s="16"/>
      <c r="V208" s="16"/>
      <c r="W208" s="16" t="s">
        <v>40</v>
      </c>
      <c r="X208" s="19">
        <v>4</v>
      </c>
      <c r="Y208" s="20">
        <v>1.4500000000000001E-2</v>
      </c>
      <c r="Z208" s="21">
        <v>4601004118713</v>
      </c>
    </row>
    <row r="209" spans="1:26" ht="12" customHeight="1" outlineLevel="3" x14ac:dyDescent="0.2">
      <c r="A209" s="14" t="s">
        <v>13638</v>
      </c>
      <c r="B209" s="26" t="s">
        <v>13639</v>
      </c>
      <c r="C209" s="52"/>
      <c r="D209" s="55">
        <f t="shared" si="3"/>
        <v>0</v>
      </c>
      <c r="E209" s="63" t="str">
        <f>HYPERLINK("https://www.sds-group.ru/product/organayzer-kabelnyy-vertikalnyy-47u-s-kryshkoy-shirina-100mm-rexant-04-2651/", "Инфо")</f>
        <v>Инфо</v>
      </c>
      <c r="F209" s="16" t="s">
        <v>39</v>
      </c>
      <c r="G209" s="15"/>
      <c r="H209" s="15"/>
      <c r="I209" s="15" t="s">
        <v>13441</v>
      </c>
      <c r="J209" s="16" t="s">
        <v>100</v>
      </c>
      <c r="K209" s="15"/>
      <c r="L209" s="17">
        <v>1</v>
      </c>
      <c r="M209" s="17">
        <v>1</v>
      </c>
      <c r="N209" s="17">
        <v>1</v>
      </c>
      <c r="O209" s="18">
        <v>6762.56</v>
      </c>
      <c r="P209" s="18">
        <v>5543.08</v>
      </c>
      <c r="Q209" s="18">
        <v>6762.56</v>
      </c>
      <c r="R209" s="18">
        <v>5543.08</v>
      </c>
      <c r="S209" s="18">
        <v>4057.54</v>
      </c>
      <c r="T209" s="18">
        <v>3325.85</v>
      </c>
      <c r="U209" s="16"/>
      <c r="V209" s="16"/>
      <c r="W209" s="16" t="s">
        <v>40</v>
      </c>
      <c r="X209" s="19">
        <v>4.2</v>
      </c>
      <c r="Y209" s="20">
        <v>1.4500000000000001E-2</v>
      </c>
      <c r="Z209" s="21">
        <v>4601004118706</v>
      </c>
    </row>
    <row r="210" spans="1:26" ht="12" customHeight="1" outlineLevel="3" x14ac:dyDescent="0.2">
      <c r="A210" s="14" t="s">
        <v>13640</v>
      </c>
      <c r="B210" s="26" t="s">
        <v>13641</v>
      </c>
      <c r="C210" s="52"/>
      <c r="D210" s="55">
        <f t="shared" si="3"/>
        <v>0</v>
      </c>
      <c r="E210" s="63" t="str">
        <f>HYPERLINK("https://www.sds-group.ru/product/organayzer-kabelnyy-gorizontalnyy-19-1u-5-kolets-glubinoy-45-mm-metall-ral-7035-04-0305/", "Инфо")</f>
        <v>Инфо</v>
      </c>
      <c r="F210" s="16" t="s">
        <v>39</v>
      </c>
      <c r="G210" s="15"/>
      <c r="H210" s="15"/>
      <c r="I210" s="15" t="s">
        <v>13441</v>
      </c>
      <c r="J210" s="16" t="s">
        <v>100</v>
      </c>
      <c r="K210" s="15"/>
      <c r="L210" s="17">
        <v>1</v>
      </c>
      <c r="M210" s="17">
        <v>50</v>
      </c>
      <c r="N210" s="17">
        <v>1</v>
      </c>
      <c r="O210" s="18">
        <v>1661.7</v>
      </c>
      <c r="P210" s="18">
        <v>1362.05</v>
      </c>
      <c r="Q210" s="18">
        <v>1661.7</v>
      </c>
      <c r="R210" s="18">
        <v>1362.05</v>
      </c>
      <c r="S210" s="18">
        <v>997.02</v>
      </c>
      <c r="T210" s="18">
        <v>817.23</v>
      </c>
      <c r="U210" s="16"/>
      <c r="V210" s="16"/>
      <c r="W210" s="16" t="s">
        <v>40</v>
      </c>
      <c r="X210" s="19">
        <v>0.40500000000000003</v>
      </c>
      <c r="Y210" s="20">
        <v>1.1310000000000001E-3</v>
      </c>
      <c r="Z210" s="21">
        <v>2000032787700</v>
      </c>
    </row>
    <row r="211" spans="1:26" ht="12" customHeight="1" outlineLevel="3" x14ac:dyDescent="0.2">
      <c r="A211" s="14" t="s">
        <v>13642</v>
      </c>
      <c r="B211" s="26" t="s">
        <v>13643</v>
      </c>
      <c r="C211" s="52"/>
      <c r="D211" s="55">
        <f t="shared" si="3"/>
        <v>0</v>
      </c>
      <c r="E211" s="63" t="str">
        <f>HYPERLINK("https://www.sds-group.ru/product/panel-zaglushka-19-1u-rexant-04-2660/", "Инфо")</f>
        <v>Инфо</v>
      </c>
      <c r="F211" s="16" t="s">
        <v>39</v>
      </c>
      <c r="G211" s="15"/>
      <c r="H211" s="15"/>
      <c r="I211" s="15" t="s">
        <v>13441</v>
      </c>
      <c r="J211" s="16" t="s">
        <v>100</v>
      </c>
      <c r="K211" s="15"/>
      <c r="L211" s="17">
        <v>1</v>
      </c>
      <c r="M211" s="17">
        <v>1</v>
      </c>
      <c r="N211" s="17">
        <v>1</v>
      </c>
      <c r="O211" s="18">
        <v>572.75</v>
      </c>
      <c r="P211" s="18">
        <v>469.47</v>
      </c>
      <c r="Q211" s="18">
        <v>572.75</v>
      </c>
      <c r="R211" s="18">
        <v>469.47</v>
      </c>
      <c r="S211" s="18">
        <v>343.65</v>
      </c>
      <c r="T211" s="18">
        <v>281.68</v>
      </c>
      <c r="U211" s="16"/>
      <c r="V211" s="16"/>
      <c r="W211" s="16" t="s">
        <v>40</v>
      </c>
      <c r="X211" s="19">
        <v>0.57599999999999996</v>
      </c>
      <c r="Y211" s="20">
        <v>1.9961E-2</v>
      </c>
      <c r="Z211" s="21">
        <v>4601004102736</v>
      </c>
    </row>
    <row r="212" spans="1:26" ht="12" customHeight="1" outlineLevel="3" x14ac:dyDescent="0.2">
      <c r="A212" s="14" t="s">
        <v>13644</v>
      </c>
      <c r="B212" s="26" t="s">
        <v>13645</v>
      </c>
      <c r="C212" s="52"/>
      <c r="D212" s="55">
        <f t="shared" si="3"/>
        <v>0</v>
      </c>
      <c r="E212" s="63" t="str">
        <f>HYPERLINK("https://www.sds-group.ru/product/panel-zaglushka-19-2u-rexant-04-2661/", "Инфо")</f>
        <v>Инфо</v>
      </c>
      <c r="F212" s="16" t="s">
        <v>39</v>
      </c>
      <c r="G212" s="15"/>
      <c r="H212" s="15"/>
      <c r="I212" s="15" t="s">
        <v>13441</v>
      </c>
      <c r="J212" s="16" t="s">
        <v>100</v>
      </c>
      <c r="K212" s="15"/>
      <c r="L212" s="17">
        <v>1</v>
      </c>
      <c r="M212" s="17">
        <v>1</v>
      </c>
      <c r="N212" s="17">
        <v>1</v>
      </c>
      <c r="O212" s="18">
        <v>760.2</v>
      </c>
      <c r="P212" s="18">
        <v>623.11</v>
      </c>
      <c r="Q212" s="18">
        <v>760.2</v>
      </c>
      <c r="R212" s="18">
        <v>623.11</v>
      </c>
      <c r="S212" s="18">
        <v>456.12</v>
      </c>
      <c r="T212" s="18">
        <v>373.87</v>
      </c>
      <c r="U212" s="16"/>
      <c r="V212" s="16"/>
      <c r="W212" s="16" t="s">
        <v>40</v>
      </c>
      <c r="X212" s="19">
        <v>0.52</v>
      </c>
      <c r="Y212" s="20">
        <v>5.0000000000000002E-5</v>
      </c>
      <c r="Z212" s="21">
        <v>4601004102743</v>
      </c>
    </row>
    <row r="213" spans="1:26" ht="12.95" customHeight="1" outlineLevel="2" x14ac:dyDescent="0.2">
      <c r="A213" s="76" t="s">
        <v>13720</v>
      </c>
      <c r="B213" s="76"/>
      <c r="C213" s="77"/>
      <c r="D213" s="58"/>
      <c r="E213" s="68"/>
      <c r="F213" s="30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 spans="1:26" ht="12" customHeight="1" outlineLevel="3" x14ac:dyDescent="0.2">
      <c r="A214" s="14" t="s">
        <v>13721</v>
      </c>
      <c r="B214" s="26" t="s">
        <v>13722</v>
      </c>
      <c r="C214" s="52"/>
      <c r="D214" s="55">
        <f t="shared" si="3"/>
        <v>0</v>
      </c>
      <c r="E214" s="63" t="str">
        <f>HYPERLINK("https://www.sds-group.ru/product/modul-ventilyatornyy-potolochnyy-s-4-ventilyatorami-bez-termostata-dlya-shkafov-s-glubinoy-1-04-2602/", "Инфо")</f>
        <v>Инфо</v>
      </c>
      <c r="F214" s="16" t="s">
        <v>39</v>
      </c>
      <c r="G214" s="15"/>
      <c r="H214" s="15"/>
      <c r="I214" s="15" t="s">
        <v>13441</v>
      </c>
      <c r="J214" s="16" t="s">
        <v>100</v>
      </c>
      <c r="K214" s="15"/>
      <c r="L214" s="17">
        <v>1</v>
      </c>
      <c r="M214" s="17">
        <v>1</v>
      </c>
      <c r="N214" s="17">
        <v>1</v>
      </c>
      <c r="O214" s="18">
        <v>9419.7000000000007</v>
      </c>
      <c r="P214" s="18">
        <v>7721.07</v>
      </c>
      <c r="Q214" s="18">
        <v>9419.7000000000007</v>
      </c>
      <c r="R214" s="18">
        <v>7721.07</v>
      </c>
      <c r="S214" s="18">
        <v>5651.82</v>
      </c>
      <c r="T214" s="18">
        <v>4632.6400000000003</v>
      </c>
      <c r="U214" s="16"/>
      <c r="V214" s="16"/>
      <c r="W214" s="16" t="s">
        <v>40</v>
      </c>
      <c r="X214" s="19">
        <v>5</v>
      </c>
      <c r="Y214" s="20">
        <v>1.7000000000000001E-2</v>
      </c>
      <c r="Z214" s="21">
        <v>4601004103108</v>
      </c>
    </row>
    <row r="215" spans="1:26" ht="12" customHeight="1" outlineLevel="3" x14ac:dyDescent="0.2">
      <c r="A215" s="32" t="s">
        <v>13723</v>
      </c>
      <c r="B215" s="74" t="s">
        <v>13724</v>
      </c>
      <c r="C215" s="50"/>
      <c r="D215" s="53">
        <f t="shared" si="3"/>
        <v>0</v>
      </c>
      <c r="E215" s="60" t="str">
        <f>HYPERLINK("https://www.sds-group.ru/product/modul-ventilyatornyy-potolochnyy-s-4-ventilyatorami-bez-termostata-dlya-shkafov-s-glubinoy-8-04-2601/", "Инфо")</f>
        <v>Инфо</v>
      </c>
      <c r="F215" s="34" t="s">
        <v>39</v>
      </c>
      <c r="G215" s="33"/>
      <c r="H215" s="33" t="s">
        <v>40</v>
      </c>
      <c r="I215" s="33" t="s">
        <v>13441</v>
      </c>
      <c r="J215" s="35">
        <v>4</v>
      </c>
      <c r="K215" s="33"/>
      <c r="L215" s="35">
        <v>1</v>
      </c>
      <c r="M215" s="35">
        <v>1</v>
      </c>
      <c r="N215" s="35">
        <v>1</v>
      </c>
      <c r="O215" s="36">
        <v>11618.03</v>
      </c>
      <c r="P215" s="36">
        <v>9522.98</v>
      </c>
      <c r="Q215" s="36">
        <v>11618.03</v>
      </c>
      <c r="R215" s="36">
        <v>9522.98</v>
      </c>
      <c r="S215" s="36">
        <v>6970.82</v>
      </c>
      <c r="T215" s="36">
        <v>5713.79</v>
      </c>
      <c r="U215" s="34"/>
      <c r="V215" s="34"/>
      <c r="W215" s="34" t="s">
        <v>40</v>
      </c>
      <c r="X215" s="37">
        <v>4.4000000000000004</v>
      </c>
      <c r="Y215" s="38">
        <v>1.6E-2</v>
      </c>
      <c r="Z215" s="21">
        <v>4601004103092</v>
      </c>
    </row>
    <row r="216" spans="1:26" ht="12" customHeight="1" outlineLevel="3" x14ac:dyDescent="0.2">
      <c r="A216" s="32" t="s">
        <v>13725</v>
      </c>
      <c r="B216" s="74" t="s">
        <v>13726</v>
      </c>
      <c r="C216" s="50"/>
      <c r="D216" s="53">
        <f t="shared" si="3"/>
        <v>0</v>
      </c>
      <c r="E216" s="60" t="str">
        <f>HYPERLINK("https://www.sds-group.ru/product/modul-ventilyatornyy-potolochnyy-s-6-ventilyatorami-bez-termostata-dlya-shkafov-s-glubinoy-1-04-2603/", "Инфо")</f>
        <v>Инфо</v>
      </c>
      <c r="F216" s="34" t="s">
        <v>39</v>
      </c>
      <c r="G216" s="33"/>
      <c r="H216" s="33" t="s">
        <v>40</v>
      </c>
      <c r="I216" s="33" t="s">
        <v>13441</v>
      </c>
      <c r="J216" s="34" t="s">
        <v>100</v>
      </c>
      <c r="K216" s="33"/>
      <c r="L216" s="35">
        <v>1</v>
      </c>
      <c r="M216" s="35">
        <v>1</v>
      </c>
      <c r="N216" s="35">
        <v>1</v>
      </c>
      <c r="O216" s="36">
        <v>16227.22</v>
      </c>
      <c r="P216" s="36">
        <v>13301</v>
      </c>
      <c r="Q216" s="36">
        <v>16227.22</v>
      </c>
      <c r="R216" s="36">
        <v>13301</v>
      </c>
      <c r="S216" s="36">
        <v>9736.33</v>
      </c>
      <c r="T216" s="36">
        <v>7980.6</v>
      </c>
      <c r="U216" s="34"/>
      <c r="V216" s="34"/>
      <c r="W216" s="34" t="s">
        <v>40</v>
      </c>
      <c r="X216" s="37">
        <v>5.5</v>
      </c>
      <c r="Y216" s="38">
        <v>1.7000000000000001E-2</v>
      </c>
      <c r="Z216" s="21">
        <v>4601004103115</v>
      </c>
    </row>
    <row r="217" spans="1:26" ht="12.95" customHeight="1" outlineLevel="2" x14ac:dyDescent="0.2">
      <c r="A217" s="76" t="s">
        <v>13727</v>
      </c>
      <c r="B217" s="76"/>
      <c r="C217" s="77"/>
      <c r="D217" s="58"/>
      <c r="E217" s="68"/>
      <c r="F217" s="30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 spans="1:26" ht="12" customHeight="1" outlineLevel="3" x14ac:dyDescent="0.2">
      <c r="A218" s="32" t="s">
        <v>13728</v>
      </c>
      <c r="B218" s="74" t="s">
        <v>13729</v>
      </c>
      <c r="C218" s="50"/>
      <c r="D218" s="53">
        <f t="shared" si="3"/>
        <v>0</v>
      </c>
      <c r="E218" s="60" t="str">
        <f>HYPERLINK("https://www.sds-group.ru/product/zamok-dlya-bokovyh-dverey-napolnyy-nastennyy-rexant-04-2688/", "Инфо")</f>
        <v>Инфо</v>
      </c>
      <c r="F218" s="34" t="s">
        <v>39</v>
      </c>
      <c r="G218" s="33"/>
      <c r="H218" s="33" t="s">
        <v>40</v>
      </c>
      <c r="I218" s="33" t="s">
        <v>13441</v>
      </c>
      <c r="J218" s="35">
        <v>3</v>
      </c>
      <c r="K218" s="33"/>
      <c r="L218" s="35">
        <v>1</v>
      </c>
      <c r="M218" s="35">
        <v>1</v>
      </c>
      <c r="N218" s="35">
        <v>1</v>
      </c>
      <c r="O218" s="36">
        <v>417.94</v>
      </c>
      <c r="P218" s="36">
        <v>342.57</v>
      </c>
      <c r="Q218" s="36">
        <v>417.94</v>
      </c>
      <c r="R218" s="36">
        <v>342.57</v>
      </c>
      <c r="S218" s="36">
        <v>250.76</v>
      </c>
      <c r="T218" s="36">
        <v>205.54</v>
      </c>
      <c r="U218" s="34"/>
      <c r="V218" s="34"/>
      <c r="W218" s="34" t="s">
        <v>40</v>
      </c>
      <c r="X218" s="37">
        <v>0.04</v>
      </c>
      <c r="Y218" s="38">
        <v>8.0000000000000007E-5</v>
      </c>
      <c r="Z218" s="21">
        <v>4601004102804</v>
      </c>
    </row>
    <row r="219" spans="1:26" ht="12" customHeight="1" outlineLevel="3" x14ac:dyDescent="0.2">
      <c r="A219" s="14" t="s">
        <v>13730</v>
      </c>
      <c r="B219" s="26" t="s">
        <v>13731</v>
      </c>
      <c r="C219" s="52"/>
      <c r="D219" s="55">
        <f t="shared" si="3"/>
        <v>0</v>
      </c>
      <c r="E219" s="63" t="str">
        <f>HYPERLINK("https://www.sds-group.ru/product/komplekt-krepezha-vint-shayba-gayka-m6x16-rexant-04-2686/", "Инфо")</f>
        <v>Инфо</v>
      </c>
      <c r="F219" s="16" t="s">
        <v>39</v>
      </c>
      <c r="G219" s="15"/>
      <c r="H219" s="15"/>
      <c r="I219" s="15" t="s">
        <v>13441</v>
      </c>
      <c r="J219" s="22">
        <v>15600</v>
      </c>
      <c r="K219" s="15"/>
      <c r="L219" s="17">
        <v>100</v>
      </c>
      <c r="M219" s="22">
        <v>1000</v>
      </c>
      <c r="N219" s="17">
        <v>100</v>
      </c>
      <c r="O219" s="18">
        <v>31.33</v>
      </c>
      <c r="P219" s="18">
        <v>25.68</v>
      </c>
      <c r="Q219" s="18">
        <v>31.33</v>
      </c>
      <c r="R219" s="18">
        <v>25.68</v>
      </c>
      <c r="S219" s="18">
        <v>18.8</v>
      </c>
      <c r="T219" s="18">
        <v>15.41</v>
      </c>
      <c r="U219" s="16"/>
      <c r="V219" s="16"/>
      <c r="W219" s="16" t="s">
        <v>40</v>
      </c>
      <c r="X219" s="19">
        <v>8.9999999999999993E-3</v>
      </c>
      <c r="Y219" s="20">
        <v>6.0000000000000002E-6</v>
      </c>
      <c r="Z219" s="21">
        <v>4601004102828</v>
      </c>
    </row>
    <row r="220" spans="1:26" ht="12" customHeight="1" outlineLevel="3" x14ac:dyDescent="0.2">
      <c r="A220" s="14" t="s">
        <v>13732</v>
      </c>
      <c r="B220" s="26" t="s">
        <v>13733</v>
      </c>
      <c r="C220" s="52"/>
      <c r="D220" s="55">
        <f t="shared" si="3"/>
        <v>0</v>
      </c>
      <c r="E220" s="63" t="str">
        <f>HYPERLINK("https://www.sds-group.ru/product/nabor-kabeley-zazemleniya-rexant-04-2687/", "Инфо")</f>
        <v>Инфо</v>
      </c>
      <c r="F220" s="16" t="s">
        <v>39</v>
      </c>
      <c r="G220" s="15"/>
      <c r="H220" s="15"/>
      <c r="I220" s="15" t="s">
        <v>13441</v>
      </c>
      <c r="J220" s="16" t="s">
        <v>100</v>
      </c>
      <c r="K220" s="15"/>
      <c r="L220" s="17">
        <v>1</v>
      </c>
      <c r="M220" s="17">
        <v>1</v>
      </c>
      <c r="N220" s="17">
        <v>1</v>
      </c>
      <c r="O220" s="18">
        <v>1388.53</v>
      </c>
      <c r="P220" s="18">
        <v>1138.1400000000001</v>
      </c>
      <c r="Q220" s="18">
        <v>1388.53</v>
      </c>
      <c r="R220" s="18">
        <v>1138.1400000000001</v>
      </c>
      <c r="S220" s="18">
        <v>833.12</v>
      </c>
      <c r="T220" s="18">
        <v>682.89</v>
      </c>
      <c r="U220" s="16"/>
      <c r="V220" s="16"/>
      <c r="W220" s="16" t="s">
        <v>40</v>
      </c>
      <c r="X220" s="19">
        <v>0.11700000000000001</v>
      </c>
      <c r="Y220" s="20">
        <v>2.8800000000000001E-4</v>
      </c>
      <c r="Z220" s="21">
        <v>4601004102835</v>
      </c>
    </row>
    <row r="221" spans="1:26" ht="12" customHeight="1" outlineLevel="3" x14ac:dyDescent="0.2">
      <c r="A221" s="14" t="s">
        <v>13734</v>
      </c>
      <c r="B221" s="26" t="s">
        <v>13735</v>
      </c>
      <c r="C221" s="52"/>
      <c r="D221" s="55">
        <f t="shared" si="3"/>
        <v>0</v>
      </c>
      <c r="E221" s="63" t="str">
        <f>HYPERLINK("https://www.sds-group.ru/product/shina-dlya-zazemleniya-19-rexant-04-2690/", "Инфо")</f>
        <v>Инфо</v>
      </c>
      <c r="F221" s="16" t="s">
        <v>39</v>
      </c>
      <c r="G221" s="15"/>
      <c r="H221" s="15"/>
      <c r="I221" s="15" t="s">
        <v>13441</v>
      </c>
      <c r="J221" s="17">
        <v>3</v>
      </c>
      <c r="K221" s="15"/>
      <c r="L221" s="17">
        <v>1</v>
      </c>
      <c r="M221" s="17">
        <v>1</v>
      </c>
      <c r="N221" s="17">
        <v>1</v>
      </c>
      <c r="O221" s="18">
        <v>3622.15</v>
      </c>
      <c r="P221" s="18">
        <v>2968.98</v>
      </c>
      <c r="Q221" s="18">
        <v>3622.15</v>
      </c>
      <c r="R221" s="18">
        <v>2968.98</v>
      </c>
      <c r="S221" s="18">
        <v>2173.29</v>
      </c>
      <c r="T221" s="18">
        <v>1781.39</v>
      </c>
      <c r="U221" s="16"/>
      <c r="V221" s="16"/>
      <c r="W221" s="16" t="s">
        <v>40</v>
      </c>
      <c r="X221" s="19">
        <v>0.46</v>
      </c>
      <c r="Y221" s="20">
        <v>1.6000000000000001E-4</v>
      </c>
      <c r="Z221" s="21">
        <v>4601004102811</v>
      </c>
    </row>
    <row r="222" spans="1:26" ht="12.95" customHeight="1" outlineLevel="1" x14ac:dyDescent="0.2">
      <c r="A222" s="78" t="s">
        <v>13736</v>
      </c>
      <c r="B222" s="78"/>
      <c r="C222" s="79"/>
      <c r="D222" s="57"/>
      <c r="E222" s="67"/>
      <c r="F222" s="29"/>
      <c r="G222" s="29"/>
      <c r="H222" s="29"/>
      <c r="I222" s="29"/>
      <c r="J222" s="29"/>
      <c r="K222" s="29"/>
      <c r="L222" s="29"/>
      <c r="M222" s="29"/>
      <c r="N222" s="29"/>
      <c r="O222" s="29"/>
      <c r="P222" s="29"/>
      <c r="Q222" s="29"/>
      <c r="R222" s="29"/>
      <c r="S222" s="29"/>
      <c r="T222" s="29"/>
      <c r="U222" s="29"/>
      <c r="V222" s="29"/>
      <c r="W222" s="29"/>
      <c r="X222" s="29"/>
      <c r="Y222" s="29"/>
      <c r="Z222" s="29"/>
    </row>
    <row r="223" spans="1:26" ht="12.95" customHeight="1" outlineLevel="2" x14ac:dyDescent="0.2">
      <c r="A223" s="76" t="s">
        <v>13737</v>
      </c>
      <c r="B223" s="76"/>
      <c r="C223" s="77"/>
      <c r="D223" s="58"/>
      <c r="E223" s="68"/>
      <c r="F223" s="30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 spans="1:26" ht="12.95" customHeight="1" outlineLevel="3" x14ac:dyDescent="0.2">
      <c r="A224" s="76" t="s">
        <v>13738</v>
      </c>
      <c r="B224" s="76"/>
      <c r="C224" s="77"/>
      <c r="D224" s="58"/>
      <c r="E224" s="68"/>
      <c r="F224" s="30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 spans="1:26" ht="12" customHeight="1" outlineLevel="4" x14ac:dyDescent="0.2">
      <c r="A225" s="32" t="s">
        <v>13753</v>
      </c>
      <c r="B225" s="74" t="s">
        <v>13754</v>
      </c>
      <c r="C225" s="50"/>
      <c r="D225" s="53">
        <f t="shared" si="3"/>
        <v>0</v>
      </c>
      <c r="E225" s="60" t="str">
        <f>HYPERLINK("https://www.sds-group.ru/product/patch-kord-opticheskiy-soedinitelnyy-sm-9-125-os2-lc-upc-lc-upc-simplex-lszh-1m-50-2100/", "Инфо")</f>
        <v>Инфо</v>
      </c>
      <c r="F225" s="34" t="s">
        <v>39</v>
      </c>
      <c r="G225" s="33"/>
      <c r="H225" s="33" t="s">
        <v>40</v>
      </c>
      <c r="I225" s="33" t="s">
        <v>13755</v>
      </c>
      <c r="J225" s="34" t="s">
        <v>100</v>
      </c>
      <c r="K225" s="33"/>
      <c r="L225" s="35">
        <v>10</v>
      </c>
      <c r="M225" s="35">
        <v>100</v>
      </c>
      <c r="N225" s="35">
        <v>10</v>
      </c>
      <c r="O225" s="36">
        <v>446.44</v>
      </c>
      <c r="P225" s="36">
        <v>365.93</v>
      </c>
      <c r="Q225" s="36">
        <v>446.44</v>
      </c>
      <c r="R225" s="36">
        <v>365.93</v>
      </c>
      <c r="S225" s="36">
        <v>267.86</v>
      </c>
      <c r="T225" s="36">
        <v>219.56</v>
      </c>
      <c r="U225" s="34"/>
      <c r="V225" s="34"/>
      <c r="W225" s="34" t="s">
        <v>40</v>
      </c>
      <c r="X225" s="37">
        <v>1.0999999999999999E-2</v>
      </c>
      <c r="Y225" s="38">
        <v>1.15E-4</v>
      </c>
      <c r="Z225" s="21">
        <v>4601004107014</v>
      </c>
    </row>
    <row r="226" spans="1:26" ht="12" customHeight="1" outlineLevel="4" x14ac:dyDescent="0.2">
      <c r="A226" s="32" t="s">
        <v>13756</v>
      </c>
      <c r="B226" s="74" t="s">
        <v>13757</v>
      </c>
      <c r="C226" s="50"/>
      <c r="D226" s="53">
        <f t="shared" si="3"/>
        <v>0</v>
      </c>
      <c r="E226" s="60" t="str">
        <f>HYPERLINK("https://www.sds-group.ru/product/patch-kord-opticheskiy-soedinitelnyy-sm-9-125-os2-lc-upc-lc-upc-simplex-lszh-2m-50-2101/", "Инфо")</f>
        <v>Инфо</v>
      </c>
      <c r="F226" s="34" t="s">
        <v>39</v>
      </c>
      <c r="G226" s="33"/>
      <c r="H226" s="33" t="s">
        <v>40</v>
      </c>
      <c r="I226" s="33" t="s">
        <v>13755</v>
      </c>
      <c r="J226" s="34" t="s">
        <v>100</v>
      </c>
      <c r="K226" s="33"/>
      <c r="L226" s="35">
        <v>10</v>
      </c>
      <c r="M226" s="35">
        <v>100</v>
      </c>
      <c r="N226" s="35">
        <v>10</v>
      </c>
      <c r="O226" s="36">
        <v>469.73</v>
      </c>
      <c r="P226" s="36">
        <v>385.02</v>
      </c>
      <c r="Q226" s="36">
        <v>469.73</v>
      </c>
      <c r="R226" s="36">
        <v>385.02</v>
      </c>
      <c r="S226" s="36">
        <v>281.83999999999997</v>
      </c>
      <c r="T226" s="36">
        <v>231.02</v>
      </c>
      <c r="U226" s="34"/>
      <c r="V226" s="34"/>
      <c r="W226" s="34" t="s">
        <v>40</v>
      </c>
      <c r="X226" s="37">
        <v>1.7000000000000001E-2</v>
      </c>
      <c r="Y226" s="38">
        <v>1.1400000000000001E-4</v>
      </c>
      <c r="Z226" s="21">
        <v>4601004107021</v>
      </c>
    </row>
    <row r="227" spans="1:26" ht="12" customHeight="1" outlineLevel="4" x14ac:dyDescent="0.2">
      <c r="A227" s="32" t="s">
        <v>13758</v>
      </c>
      <c r="B227" s="74" t="s">
        <v>13759</v>
      </c>
      <c r="C227" s="50"/>
      <c r="D227" s="53">
        <f t="shared" si="3"/>
        <v>0</v>
      </c>
      <c r="E227" s="60" t="str">
        <f>HYPERLINK("https://www.sds-group.ru/product/patch-kord-opticheskiy-soedinitelnyy-sm-9-125-os2-lc-upc-lc-upc-simplex-lszh-3m-rexant-50-2102/", "Инфо")</f>
        <v>Инфо</v>
      </c>
      <c r="F227" s="34" t="s">
        <v>39</v>
      </c>
      <c r="G227" s="33"/>
      <c r="H227" s="33" t="s">
        <v>40</v>
      </c>
      <c r="I227" s="33" t="s">
        <v>13755</v>
      </c>
      <c r="J227" s="34" t="s">
        <v>100</v>
      </c>
      <c r="K227" s="33"/>
      <c r="L227" s="35">
        <v>10</v>
      </c>
      <c r="M227" s="35">
        <v>100</v>
      </c>
      <c r="N227" s="35">
        <v>10</v>
      </c>
      <c r="O227" s="36">
        <v>475.35</v>
      </c>
      <c r="P227" s="36">
        <v>389.63</v>
      </c>
      <c r="Q227" s="36">
        <v>475.35</v>
      </c>
      <c r="R227" s="36">
        <v>389.63</v>
      </c>
      <c r="S227" s="36">
        <v>285.20999999999998</v>
      </c>
      <c r="T227" s="36">
        <v>233.78</v>
      </c>
      <c r="U227" s="34"/>
      <c r="V227" s="34"/>
      <c r="W227" s="34" t="s">
        <v>40</v>
      </c>
      <c r="X227" s="37">
        <v>2.1000000000000001E-2</v>
      </c>
      <c r="Y227" s="38">
        <v>3.1999999999999999E-5</v>
      </c>
      <c r="Z227" s="21">
        <v>4601004107038</v>
      </c>
    </row>
    <row r="228" spans="1:26" ht="12" customHeight="1" outlineLevel="4" x14ac:dyDescent="0.2">
      <c r="A228" s="32" t="s">
        <v>13760</v>
      </c>
      <c r="B228" s="74" t="s">
        <v>13761</v>
      </c>
      <c r="C228" s="50"/>
      <c r="D228" s="53">
        <f t="shared" si="3"/>
        <v>0</v>
      </c>
      <c r="E228" s="60" t="str">
        <f>HYPERLINK("https://www.sds-group.ru/product/patch-kord-opticheskiy-soedinitelnyy-sm-9-125-os2-lc-upc-lc-upc-simplex-lszh-5m-50-2103/", "Инфо")</f>
        <v>Инфо</v>
      </c>
      <c r="F228" s="34" t="s">
        <v>39</v>
      </c>
      <c r="G228" s="33"/>
      <c r="H228" s="33" t="s">
        <v>40</v>
      </c>
      <c r="I228" s="33" t="s">
        <v>13755</v>
      </c>
      <c r="J228" s="35">
        <v>10</v>
      </c>
      <c r="K228" s="33"/>
      <c r="L228" s="35">
        <v>10</v>
      </c>
      <c r="M228" s="35">
        <v>100</v>
      </c>
      <c r="N228" s="35">
        <v>10</v>
      </c>
      <c r="O228" s="36">
        <v>524.57000000000005</v>
      </c>
      <c r="P228" s="36">
        <v>429.98</v>
      </c>
      <c r="Q228" s="36">
        <v>524.57000000000005</v>
      </c>
      <c r="R228" s="36">
        <v>429.98</v>
      </c>
      <c r="S228" s="36">
        <v>314.74</v>
      </c>
      <c r="T228" s="36">
        <v>257.98</v>
      </c>
      <c r="U228" s="34"/>
      <c r="V228" s="34"/>
      <c r="W228" s="34" t="s">
        <v>40</v>
      </c>
      <c r="X228" s="37">
        <v>3.6999999999999998E-2</v>
      </c>
      <c r="Y228" s="38">
        <v>7.6599999999999997E-4</v>
      </c>
      <c r="Z228" s="21">
        <v>4601004107045</v>
      </c>
    </row>
    <row r="229" spans="1:26" ht="12.95" customHeight="1" outlineLevel="3" x14ac:dyDescent="0.2">
      <c r="A229" s="76" t="s">
        <v>13792</v>
      </c>
      <c r="B229" s="76"/>
      <c r="C229" s="77"/>
      <c r="D229" s="58"/>
      <c r="E229" s="68"/>
      <c r="F229" s="30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 spans="1:26" ht="12" customHeight="1" outlineLevel="4" x14ac:dyDescent="0.2">
      <c r="A230" s="32" t="s">
        <v>13807</v>
      </c>
      <c r="B230" s="74" t="s">
        <v>13808</v>
      </c>
      <c r="C230" s="50"/>
      <c r="D230" s="53">
        <f t="shared" si="3"/>
        <v>0</v>
      </c>
      <c r="E230" s="60" t="str">
        <f>HYPERLINK("https://www.sds-group.ru/product/patch-kord-opticheskiy-soedinitelnyy-sm-9-125-os2-sc-apc-sc-apc-simplex-lszh-10m-rexant-50-2026/", "Инфо")</f>
        <v>Инфо</v>
      </c>
      <c r="F230" s="34" t="s">
        <v>39</v>
      </c>
      <c r="G230" s="33"/>
      <c r="H230" s="33" t="s">
        <v>40</v>
      </c>
      <c r="I230" s="33" t="s">
        <v>13755</v>
      </c>
      <c r="J230" s="34" t="s">
        <v>100</v>
      </c>
      <c r="K230" s="33"/>
      <c r="L230" s="35">
        <v>10</v>
      </c>
      <c r="M230" s="35">
        <v>60</v>
      </c>
      <c r="N230" s="35">
        <v>10</v>
      </c>
      <c r="O230" s="36">
        <v>633.89</v>
      </c>
      <c r="P230" s="36">
        <v>519.58000000000004</v>
      </c>
      <c r="Q230" s="36">
        <v>633.89</v>
      </c>
      <c r="R230" s="36">
        <v>519.58000000000004</v>
      </c>
      <c r="S230" s="36">
        <v>380.33</v>
      </c>
      <c r="T230" s="36">
        <v>311.75</v>
      </c>
      <c r="U230" s="34"/>
      <c r="V230" s="34"/>
      <c r="W230" s="34" t="s">
        <v>40</v>
      </c>
      <c r="X230" s="37">
        <v>7.6999999999999999E-2</v>
      </c>
      <c r="Y230" s="38">
        <v>9.4899999999999997E-4</v>
      </c>
      <c r="Z230" s="21">
        <v>4601004106758</v>
      </c>
    </row>
    <row r="231" spans="1:26" ht="12" customHeight="1" outlineLevel="4" x14ac:dyDescent="0.2">
      <c r="A231" s="32" t="s">
        <v>13809</v>
      </c>
      <c r="B231" s="74" t="s">
        <v>13810</v>
      </c>
      <c r="C231" s="50"/>
      <c r="D231" s="53">
        <f t="shared" si="3"/>
        <v>0</v>
      </c>
      <c r="E231" s="60" t="str">
        <f>HYPERLINK("https://www.sds-group.ru/product/patch-kord-opticheskiy-soedinitelnyy-sm-9-125-os2-sc-apc-sc-apc-simplex-lszh-3m-rexant-50-2024/", "Инфо")</f>
        <v>Инфо</v>
      </c>
      <c r="F231" s="34" t="s">
        <v>39</v>
      </c>
      <c r="G231" s="33"/>
      <c r="H231" s="33" t="s">
        <v>40</v>
      </c>
      <c r="I231" s="33" t="s">
        <v>13755</v>
      </c>
      <c r="J231" s="35">
        <v>230</v>
      </c>
      <c r="K231" s="33"/>
      <c r="L231" s="35">
        <v>10</v>
      </c>
      <c r="M231" s="35">
        <v>100</v>
      </c>
      <c r="N231" s="35">
        <v>10</v>
      </c>
      <c r="O231" s="36">
        <v>491.26</v>
      </c>
      <c r="P231" s="36">
        <v>402.67</v>
      </c>
      <c r="Q231" s="36">
        <v>491.26</v>
      </c>
      <c r="R231" s="36">
        <v>402.67</v>
      </c>
      <c r="S231" s="36">
        <v>294.76</v>
      </c>
      <c r="T231" s="36">
        <v>241.61</v>
      </c>
      <c r="U231" s="34"/>
      <c r="V231" s="34"/>
      <c r="W231" s="34" t="s">
        <v>40</v>
      </c>
      <c r="X231" s="37">
        <v>2.8000000000000001E-2</v>
      </c>
      <c r="Y231" s="38">
        <v>1.189E-3</v>
      </c>
      <c r="Z231" s="21">
        <v>4601004106734</v>
      </c>
    </row>
    <row r="232" spans="1:26" ht="12" customHeight="1" outlineLevel="4" x14ac:dyDescent="0.2">
      <c r="A232" s="32" t="s">
        <v>13811</v>
      </c>
      <c r="B232" s="74" t="s">
        <v>13812</v>
      </c>
      <c r="C232" s="50"/>
      <c r="D232" s="53">
        <f t="shared" si="3"/>
        <v>0</v>
      </c>
      <c r="E232" s="60" t="str">
        <f>HYPERLINK("https://www.sds-group.ru/product/patch-kord-opticheskiy-soedinitelnyy-sm-9-125-os2-sc-apc-sc-apc-simplex-lszh-5m-rexant-50-2025/", "Инфо")</f>
        <v>Инфо</v>
      </c>
      <c r="F232" s="34" t="s">
        <v>39</v>
      </c>
      <c r="G232" s="33"/>
      <c r="H232" s="33" t="s">
        <v>40</v>
      </c>
      <c r="I232" s="33" t="s">
        <v>13755</v>
      </c>
      <c r="J232" s="35">
        <v>100</v>
      </c>
      <c r="K232" s="33"/>
      <c r="L232" s="35">
        <v>10</v>
      </c>
      <c r="M232" s="35">
        <v>100</v>
      </c>
      <c r="N232" s="35">
        <v>10</v>
      </c>
      <c r="O232" s="36">
        <v>532.01</v>
      </c>
      <c r="P232" s="36">
        <v>436.07</v>
      </c>
      <c r="Q232" s="36">
        <v>532.01</v>
      </c>
      <c r="R232" s="36">
        <v>436.07</v>
      </c>
      <c r="S232" s="36">
        <v>319.20999999999998</v>
      </c>
      <c r="T232" s="36">
        <v>261.64999999999998</v>
      </c>
      <c r="U232" s="34"/>
      <c r="V232" s="34"/>
      <c r="W232" s="34" t="s">
        <v>40</v>
      </c>
      <c r="X232" s="37">
        <v>4.2999999999999997E-2</v>
      </c>
      <c r="Y232" s="38">
        <v>8.2700000000000004E-4</v>
      </c>
      <c r="Z232" s="21">
        <v>4601004106741</v>
      </c>
    </row>
    <row r="233" spans="1:26" ht="12" customHeight="1" outlineLevel="4" x14ac:dyDescent="0.2">
      <c r="A233" s="32" t="s">
        <v>13813</v>
      </c>
      <c r="B233" s="74" t="s">
        <v>13814</v>
      </c>
      <c r="C233" s="50"/>
      <c r="D233" s="53">
        <f t="shared" si="3"/>
        <v>0</v>
      </c>
      <c r="E233" s="60" t="str">
        <f>HYPERLINK("https://www.sds-group.ru/product/patch-kord-opticheskiy-soedinitelnyy-sm-9-125-os2-sc-apc-sc-apc-simplex-lszh-7m-rexant-50-2060/", "Инфо")</f>
        <v>Инфо</v>
      </c>
      <c r="F233" s="34" t="s">
        <v>39</v>
      </c>
      <c r="G233" s="33"/>
      <c r="H233" s="33" t="s">
        <v>40</v>
      </c>
      <c r="I233" s="33" t="s">
        <v>13755</v>
      </c>
      <c r="J233" s="34" t="s">
        <v>100</v>
      </c>
      <c r="K233" s="33"/>
      <c r="L233" s="35">
        <v>10</v>
      </c>
      <c r="M233" s="35">
        <v>100</v>
      </c>
      <c r="N233" s="35">
        <v>10</v>
      </c>
      <c r="O233" s="36">
        <v>572.76</v>
      </c>
      <c r="P233" s="36">
        <v>469.48</v>
      </c>
      <c r="Q233" s="36">
        <v>572.76</v>
      </c>
      <c r="R233" s="36">
        <v>469.48</v>
      </c>
      <c r="S233" s="36">
        <v>343.66</v>
      </c>
      <c r="T233" s="36">
        <v>281.69</v>
      </c>
      <c r="U233" s="34"/>
      <c r="V233" s="34"/>
      <c r="W233" s="34" t="s">
        <v>40</v>
      </c>
      <c r="X233" s="37">
        <v>5.1999999999999998E-2</v>
      </c>
      <c r="Y233" s="38">
        <v>1.75E-4</v>
      </c>
      <c r="Z233" s="21">
        <v>4601004103504</v>
      </c>
    </row>
    <row r="234" spans="1:26" ht="12" customHeight="1" outlineLevel="4" x14ac:dyDescent="0.2">
      <c r="A234" s="14" t="s">
        <v>13815</v>
      </c>
      <c r="B234" s="26" t="s">
        <v>13816</v>
      </c>
      <c r="C234" s="52"/>
      <c r="D234" s="55">
        <f t="shared" si="3"/>
        <v>0</v>
      </c>
      <c r="E234" s="63" t="str">
        <f>HYPERLINK("https://www.sds-group.ru/product/patch-kord-opticheskiy-soedinitelnyy-sm-9-125-os2-sc-apc-sc-apc-simplex-lszh-20m-rexant-50-2028/", "Инфо")</f>
        <v>Инфо</v>
      </c>
      <c r="F234" s="16" t="s">
        <v>39</v>
      </c>
      <c r="G234" s="15"/>
      <c r="H234" s="15"/>
      <c r="I234" s="15" t="s">
        <v>13755</v>
      </c>
      <c r="J234" s="16" t="s">
        <v>100</v>
      </c>
      <c r="K234" s="15"/>
      <c r="L234" s="17">
        <v>10</v>
      </c>
      <c r="M234" s="17">
        <v>60</v>
      </c>
      <c r="N234" s="17">
        <v>10</v>
      </c>
      <c r="O234" s="18">
        <v>828.7</v>
      </c>
      <c r="P234" s="18">
        <v>679.26</v>
      </c>
      <c r="Q234" s="18">
        <v>828.7</v>
      </c>
      <c r="R234" s="18">
        <v>679.26</v>
      </c>
      <c r="S234" s="18">
        <v>497.22</v>
      </c>
      <c r="T234" s="18">
        <v>407.56</v>
      </c>
      <c r="U234" s="16"/>
      <c r="V234" s="16"/>
      <c r="W234" s="16" t="s">
        <v>40</v>
      </c>
      <c r="X234" s="19">
        <v>0.11899999999999999</v>
      </c>
      <c r="Y234" s="20">
        <v>1.8979999999999999E-3</v>
      </c>
      <c r="Z234" s="21">
        <v>4601004106772</v>
      </c>
    </row>
    <row r="235" spans="1:26" ht="12.95" customHeight="1" outlineLevel="3" x14ac:dyDescent="0.2">
      <c r="A235" s="76" t="s">
        <v>13817</v>
      </c>
      <c r="B235" s="76"/>
      <c r="C235" s="77"/>
      <c r="D235" s="58"/>
      <c r="E235" s="68"/>
      <c r="F235" s="30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 spans="1:26" ht="12" customHeight="1" outlineLevel="4" x14ac:dyDescent="0.2">
      <c r="A236" s="32" t="s">
        <v>13832</v>
      </c>
      <c r="B236" s="74" t="s">
        <v>13833</v>
      </c>
      <c r="C236" s="50"/>
      <c r="D236" s="53">
        <f t="shared" si="3"/>
        <v>0</v>
      </c>
      <c r="E236" s="60" t="str">
        <f>HYPERLINK("https://www.sds-group.ru/product/patch-kord-opticheskiy-perehodnoy-sm-9-125-os2-sc-apc-sc-upc-simplex-lszh-10m-rexant-50-2062/", "Инфо")</f>
        <v>Инфо</v>
      </c>
      <c r="F236" s="34" t="s">
        <v>39</v>
      </c>
      <c r="G236" s="33"/>
      <c r="H236" s="33" t="s">
        <v>40</v>
      </c>
      <c r="I236" s="33" t="s">
        <v>13755</v>
      </c>
      <c r="J236" s="34" t="s">
        <v>100</v>
      </c>
      <c r="K236" s="33"/>
      <c r="L236" s="35">
        <v>10</v>
      </c>
      <c r="M236" s="35">
        <v>100</v>
      </c>
      <c r="N236" s="35">
        <v>10</v>
      </c>
      <c r="O236" s="36">
        <v>633.89</v>
      </c>
      <c r="P236" s="36">
        <v>519.58000000000004</v>
      </c>
      <c r="Q236" s="36">
        <v>633.89</v>
      </c>
      <c r="R236" s="36">
        <v>519.58000000000004</v>
      </c>
      <c r="S236" s="36">
        <v>380.33</v>
      </c>
      <c r="T236" s="36">
        <v>311.75</v>
      </c>
      <c r="U236" s="34"/>
      <c r="V236" s="34"/>
      <c r="W236" s="34" t="s">
        <v>40</v>
      </c>
      <c r="X236" s="37">
        <v>5.1999999999999998E-2</v>
      </c>
      <c r="Y236" s="38">
        <v>1.2260000000000001E-3</v>
      </c>
      <c r="Z236" s="21">
        <v>4601004113954</v>
      </c>
    </row>
    <row r="237" spans="1:26" ht="12" customHeight="1" outlineLevel="4" x14ac:dyDescent="0.2">
      <c r="A237" s="32" t="s">
        <v>13834</v>
      </c>
      <c r="B237" s="74" t="s">
        <v>13835</v>
      </c>
      <c r="C237" s="50"/>
      <c r="D237" s="53">
        <f t="shared" si="3"/>
        <v>0</v>
      </c>
      <c r="E237" s="60" t="str">
        <f>HYPERLINK("https://www.sds-group.ru/product/patch-kord-opticheskiy-perehodnoy-sm-9-125-os2-sc-apc-sc-upc-simplex-lszh-15m-rexant-50-2063/", "Инфо")</f>
        <v>Инфо</v>
      </c>
      <c r="F237" s="34" t="s">
        <v>39</v>
      </c>
      <c r="G237" s="33"/>
      <c r="H237" s="33" t="s">
        <v>40</v>
      </c>
      <c r="I237" s="33" t="s">
        <v>13755</v>
      </c>
      <c r="J237" s="35">
        <v>140</v>
      </c>
      <c r="K237" s="33"/>
      <c r="L237" s="35">
        <v>10</v>
      </c>
      <c r="M237" s="35">
        <v>5</v>
      </c>
      <c r="N237" s="35">
        <v>10</v>
      </c>
      <c r="O237" s="36">
        <v>727.43</v>
      </c>
      <c r="P237" s="36">
        <v>596.25</v>
      </c>
      <c r="Q237" s="36">
        <v>727.43</v>
      </c>
      <c r="R237" s="36">
        <v>596.25</v>
      </c>
      <c r="S237" s="36">
        <v>436.46</v>
      </c>
      <c r="T237" s="36">
        <v>357.75</v>
      </c>
      <c r="U237" s="34"/>
      <c r="V237" s="34"/>
      <c r="W237" s="34" t="s">
        <v>40</v>
      </c>
      <c r="X237" s="37">
        <v>0.1</v>
      </c>
      <c r="Y237" s="38">
        <v>1.341E-3</v>
      </c>
      <c r="Z237" s="21">
        <v>4601004113930</v>
      </c>
    </row>
    <row r="238" spans="1:26" ht="12" customHeight="1" outlineLevel="4" x14ac:dyDescent="0.2">
      <c r="A238" s="32" t="s">
        <v>13836</v>
      </c>
      <c r="B238" s="74" t="s">
        <v>13837</v>
      </c>
      <c r="C238" s="50"/>
      <c r="D238" s="53">
        <f t="shared" si="3"/>
        <v>0</v>
      </c>
      <c r="E238" s="60" t="str">
        <f>HYPERLINK("https://www.sds-group.ru/product/patch-kord-opticheskiy-perehodnoy-sm-9-125-os2-sc-apc-sc-upc-simplex-lszh-7m-rexant-50-2061/", "Инфо")</f>
        <v>Инфо</v>
      </c>
      <c r="F238" s="34" t="s">
        <v>39</v>
      </c>
      <c r="G238" s="33"/>
      <c r="H238" s="33" t="s">
        <v>40</v>
      </c>
      <c r="I238" s="33" t="s">
        <v>13755</v>
      </c>
      <c r="J238" s="34" t="s">
        <v>100</v>
      </c>
      <c r="K238" s="33"/>
      <c r="L238" s="35">
        <v>10</v>
      </c>
      <c r="M238" s="35">
        <v>100</v>
      </c>
      <c r="N238" s="35">
        <v>10</v>
      </c>
      <c r="O238" s="36">
        <v>572.76</v>
      </c>
      <c r="P238" s="36">
        <v>469.48</v>
      </c>
      <c r="Q238" s="36">
        <v>572.76</v>
      </c>
      <c r="R238" s="36">
        <v>469.48</v>
      </c>
      <c r="S238" s="36">
        <v>343.66</v>
      </c>
      <c r="T238" s="36">
        <v>281.69</v>
      </c>
      <c r="U238" s="34"/>
      <c r="V238" s="34"/>
      <c r="W238" s="34" t="s">
        <v>40</v>
      </c>
      <c r="X238" s="37">
        <v>0.05</v>
      </c>
      <c r="Y238" s="38">
        <v>8.7799999999999998E-4</v>
      </c>
      <c r="Z238" s="21">
        <v>4601004103511</v>
      </c>
    </row>
    <row r="239" spans="1:26" ht="12.95" customHeight="1" outlineLevel="2" x14ac:dyDescent="0.2">
      <c r="A239" s="76" t="s">
        <v>13838</v>
      </c>
      <c r="B239" s="76"/>
      <c r="C239" s="77"/>
      <c r="D239" s="58"/>
      <c r="E239" s="68"/>
      <c r="F239" s="30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 spans="1:26" ht="12.95" customHeight="1" outlineLevel="3" x14ac:dyDescent="0.2">
      <c r="A240" s="76" t="s">
        <v>13839</v>
      </c>
      <c r="B240" s="76"/>
      <c r="C240" s="77"/>
      <c r="D240" s="58"/>
      <c r="E240" s="68"/>
      <c r="F240" s="30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 spans="1:26" ht="12" customHeight="1" outlineLevel="4" x14ac:dyDescent="0.2">
      <c r="A241" s="32" t="s">
        <v>13854</v>
      </c>
      <c r="B241" s="74" t="s">
        <v>13855</v>
      </c>
      <c r="C241" s="50"/>
      <c r="D241" s="53">
        <f t="shared" si="3"/>
        <v>0</v>
      </c>
      <c r="E241" s="60" t="str">
        <f>HYPERLINK("https://www.sds-group.ru/product/patch-kord-opticheskiy-soedinitelnyy-sm-9-125-os2-lc-upc-lc-upc-duplex-lszh-3m-50-2117/", "Инфо")</f>
        <v>Инфо</v>
      </c>
      <c r="F241" s="34" t="s">
        <v>39</v>
      </c>
      <c r="G241" s="33"/>
      <c r="H241" s="33" t="s">
        <v>40</v>
      </c>
      <c r="I241" s="33" t="s">
        <v>13755</v>
      </c>
      <c r="J241" s="34" t="s">
        <v>100</v>
      </c>
      <c r="K241" s="33"/>
      <c r="L241" s="35">
        <v>10</v>
      </c>
      <c r="M241" s="35">
        <v>100</v>
      </c>
      <c r="N241" s="35">
        <v>10</v>
      </c>
      <c r="O241" s="36">
        <v>984.78</v>
      </c>
      <c r="P241" s="36">
        <v>807.2</v>
      </c>
      <c r="Q241" s="36">
        <v>984.78</v>
      </c>
      <c r="R241" s="36">
        <v>807.2</v>
      </c>
      <c r="S241" s="36">
        <v>590.87</v>
      </c>
      <c r="T241" s="36">
        <v>484.32</v>
      </c>
      <c r="U241" s="34"/>
      <c r="V241" s="34"/>
      <c r="W241" s="34" t="s">
        <v>40</v>
      </c>
      <c r="X241" s="37">
        <v>5.5E-2</v>
      </c>
      <c r="Y241" s="38">
        <v>5.0070000000000002E-3</v>
      </c>
      <c r="Z241" s="21">
        <v>4601004107144</v>
      </c>
    </row>
    <row r="242" spans="1:26" ht="12" customHeight="1" outlineLevel="4" x14ac:dyDescent="0.2">
      <c r="A242" s="32" t="s">
        <v>13856</v>
      </c>
      <c r="B242" s="74" t="s">
        <v>13857</v>
      </c>
      <c r="C242" s="50"/>
      <c r="D242" s="53">
        <f t="shared" si="3"/>
        <v>0</v>
      </c>
      <c r="E242" s="60" t="str">
        <f>HYPERLINK("https://www.sds-group.ru/product/patch-kord-opticheskiy-soedinitelnyy-sm-9-125-os2-lc-upc-lc-upc-duplex-lszh-5m-rexant-50-2118/", "Инфо")</f>
        <v>Инфо</v>
      </c>
      <c r="F242" s="34" t="s">
        <v>39</v>
      </c>
      <c r="G242" s="33"/>
      <c r="H242" s="33" t="s">
        <v>40</v>
      </c>
      <c r="I242" s="33" t="s">
        <v>13755</v>
      </c>
      <c r="J242" s="34" t="s">
        <v>100</v>
      </c>
      <c r="K242" s="33"/>
      <c r="L242" s="35">
        <v>10</v>
      </c>
      <c r="M242" s="35">
        <v>100</v>
      </c>
      <c r="N242" s="35">
        <v>10</v>
      </c>
      <c r="O242" s="36">
        <v>1066.26</v>
      </c>
      <c r="P242" s="36">
        <v>873.98</v>
      </c>
      <c r="Q242" s="36">
        <v>1066.26</v>
      </c>
      <c r="R242" s="36">
        <v>873.98</v>
      </c>
      <c r="S242" s="36">
        <v>639.76</v>
      </c>
      <c r="T242" s="36">
        <v>524.39</v>
      </c>
      <c r="U242" s="34"/>
      <c r="V242" s="34"/>
      <c r="W242" s="34" t="s">
        <v>40</v>
      </c>
      <c r="X242" s="37">
        <v>7.6999999999999999E-2</v>
      </c>
      <c r="Y242" s="38">
        <v>3.424E-3</v>
      </c>
      <c r="Z242" s="21">
        <v>4601004107151</v>
      </c>
    </row>
    <row r="243" spans="1:26" ht="12.95" customHeight="1" outlineLevel="3" x14ac:dyDescent="0.2">
      <c r="A243" s="76" t="s">
        <v>13858</v>
      </c>
      <c r="B243" s="76"/>
      <c r="C243" s="77"/>
      <c r="D243" s="58"/>
      <c r="E243" s="68"/>
      <c r="F243" s="30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 spans="1:26" ht="12" customHeight="1" outlineLevel="4" x14ac:dyDescent="0.2">
      <c r="A244" s="32" t="s">
        <v>13873</v>
      </c>
      <c r="B244" s="74" t="s">
        <v>13874</v>
      </c>
      <c r="C244" s="50"/>
      <c r="D244" s="53">
        <f t="shared" si="3"/>
        <v>0</v>
      </c>
      <c r="E244" s="60" t="str">
        <f>HYPERLINK("https://www.sds-group.ru/product/patch-kord-opticheskiy-perehodnoy-sm-9-125-os2-lc-upc-sc-upc-duplex-lszh-1m-rexant-50-2409/", "Инфо")</f>
        <v>Инфо</v>
      </c>
      <c r="F244" s="34" t="s">
        <v>39</v>
      </c>
      <c r="G244" s="33"/>
      <c r="H244" s="33" t="s">
        <v>40</v>
      </c>
      <c r="I244" s="33" t="s">
        <v>13755</v>
      </c>
      <c r="J244" s="34" t="s">
        <v>100</v>
      </c>
      <c r="K244" s="33"/>
      <c r="L244" s="35">
        <v>10</v>
      </c>
      <c r="M244" s="35">
        <v>100</v>
      </c>
      <c r="N244" s="35">
        <v>10</v>
      </c>
      <c r="O244" s="36">
        <v>897.12</v>
      </c>
      <c r="P244" s="36">
        <v>735.34</v>
      </c>
      <c r="Q244" s="36">
        <v>897.12</v>
      </c>
      <c r="R244" s="36">
        <v>735.34</v>
      </c>
      <c r="S244" s="36">
        <v>538.27</v>
      </c>
      <c r="T244" s="36">
        <v>441.2</v>
      </c>
      <c r="U244" s="34"/>
      <c r="V244" s="34"/>
      <c r="W244" s="34" t="s">
        <v>40</v>
      </c>
      <c r="X244" s="37">
        <v>1.6E-2</v>
      </c>
      <c r="Y244" s="38">
        <v>3.5100000000000002E-4</v>
      </c>
      <c r="Z244" s="21">
        <v>4601004108356</v>
      </c>
    </row>
    <row r="245" spans="1:26" ht="12" customHeight="1" outlineLevel="4" x14ac:dyDescent="0.2">
      <c r="A245" s="14" t="s">
        <v>13875</v>
      </c>
      <c r="B245" s="26" t="s">
        <v>13876</v>
      </c>
      <c r="C245" s="52"/>
      <c r="D245" s="55">
        <f t="shared" si="3"/>
        <v>0</v>
      </c>
      <c r="E245" s="63" t="str">
        <f>HYPERLINK("https://www.sds-group.ru/product/patch-kord-opticheskiy-sm-9-125-os2-lc-upc-sc-upc-3mm-duplex-lszh-2m-24141/", "Инфо")</f>
        <v>Инфо</v>
      </c>
      <c r="F245" s="16" t="s">
        <v>39</v>
      </c>
      <c r="G245" s="15"/>
      <c r="H245" s="15"/>
      <c r="I245" s="15" t="s">
        <v>13755</v>
      </c>
      <c r="J245" s="16" t="s">
        <v>100</v>
      </c>
      <c r="K245" s="15"/>
      <c r="L245" s="17">
        <v>1</v>
      </c>
      <c r="M245" s="17">
        <v>100</v>
      </c>
      <c r="N245" s="17">
        <v>1</v>
      </c>
      <c r="O245" s="18">
        <v>1012.15</v>
      </c>
      <c r="P245" s="18">
        <v>829.63</v>
      </c>
      <c r="Q245" s="18">
        <v>1012.15</v>
      </c>
      <c r="R245" s="18">
        <v>829.63</v>
      </c>
      <c r="S245" s="18">
        <v>607.29</v>
      </c>
      <c r="T245" s="18">
        <v>497.78</v>
      </c>
      <c r="U245" s="16"/>
      <c r="V245" s="16"/>
      <c r="W245" s="16" t="s">
        <v>40</v>
      </c>
      <c r="X245" s="19">
        <v>0.03</v>
      </c>
      <c r="Y245" s="20">
        <v>1.02E-4</v>
      </c>
      <c r="Z245" s="21">
        <v>2000321632438</v>
      </c>
    </row>
    <row r="246" spans="1:26" ht="12" customHeight="1" outlineLevel="4" x14ac:dyDescent="0.2">
      <c r="A246" s="32" t="s">
        <v>13877</v>
      </c>
      <c r="B246" s="74" t="s">
        <v>13878</v>
      </c>
      <c r="C246" s="50"/>
      <c r="D246" s="53">
        <f t="shared" si="3"/>
        <v>0</v>
      </c>
      <c r="E246" s="60" t="str">
        <f>HYPERLINK("https://www.sds-group.ru/product/patch-kord-opticheskiy-perehodnoy-sm-9-125-os2-lc-upc-sc-upc-duplex-lszh-2m-rexant-50-2410/", "Инфо")</f>
        <v>Инфо</v>
      </c>
      <c r="F246" s="34" t="s">
        <v>39</v>
      </c>
      <c r="G246" s="33"/>
      <c r="H246" s="33" t="s">
        <v>40</v>
      </c>
      <c r="I246" s="33" t="s">
        <v>13755</v>
      </c>
      <c r="J246" s="34" t="s">
        <v>100</v>
      </c>
      <c r="K246" s="33"/>
      <c r="L246" s="35">
        <v>10</v>
      </c>
      <c r="M246" s="35">
        <v>100</v>
      </c>
      <c r="N246" s="35">
        <v>10</v>
      </c>
      <c r="O246" s="36">
        <v>944.03</v>
      </c>
      <c r="P246" s="36">
        <v>773.8</v>
      </c>
      <c r="Q246" s="36">
        <v>944.03</v>
      </c>
      <c r="R246" s="36">
        <v>773.8</v>
      </c>
      <c r="S246" s="36">
        <v>566.41999999999996</v>
      </c>
      <c r="T246" s="36">
        <v>464.28</v>
      </c>
      <c r="U246" s="34"/>
      <c r="V246" s="34"/>
      <c r="W246" s="34" t="s">
        <v>40</v>
      </c>
      <c r="X246" s="37">
        <v>3.7999999999999999E-2</v>
      </c>
      <c r="Y246" s="38">
        <v>7.7800000000000015E-4</v>
      </c>
      <c r="Z246" s="21">
        <v>4601004108363</v>
      </c>
    </row>
    <row r="247" spans="1:26" ht="12" customHeight="1" outlineLevel="4" x14ac:dyDescent="0.2">
      <c r="A247" s="32" t="s">
        <v>13879</v>
      </c>
      <c r="B247" s="74" t="s">
        <v>13880</v>
      </c>
      <c r="C247" s="50"/>
      <c r="D247" s="53">
        <f t="shared" si="3"/>
        <v>0</v>
      </c>
      <c r="E247" s="60" t="str">
        <f>HYPERLINK("https://www.sds-group.ru/product/patch-kord-opticheskiy-perehodnoy-sm-9-125-os2-lc-upc-sc-upc-duplex-lszh-3m-rexant-50-2411/", "Инфо")</f>
        <v>Инфо</v>
      </c>
      <c r="F247" s="34" t="s">
        <v>39</v>
      </c>
      <c r="G247" s="33"/>
      <c r="H247" s="33" t="s">
        <v>40</v>
      </c>
      <c r="I247" s="33" t="s">
        <v>13755</v>
      </c>
      <c r="J247" s="34" t="s">
        <v>100</v>
      </c>
      <c r="K247" s="33"/>
      <c r="L247" s="35">
        <v>10</v>
      </c>
      <c r="M247" s="35">
        <v>100</v>
      </c>
      <c r="N247" s="35">
        <v>10</v>
      </c>
      <c r="O247" s="36">
        <v>984.78</v>
      </c>
      <c r="P247" s="36">
        <v>807.2</v>
      </c>
      <c r="Q247" s="36">
        <v>984.78</v>
      </c>
      <c r="R247" s="36">
        <v>807.2</v>
      </c>
      <c r="S247" s="36">
        <v>590.87</v>
      </c>
      <c r="T247" s="36">
        <v>484.32</v>
      </c>
      <c r="U247" s="34"/>
      <c r="V247" s="34"/>
      <c r="W247" s="34" t="s">
        <v>40</v>
      </c>
      <c r="X247" s="37">
        <v>0.05</v>
      </c>
      <c r="Y247" s="38">
        <v>7.3899999999999997E-4</v>
      </c>
      <c r="Z247" s="21">
        <v>4601004108370</v>
      </c>
    </row>
    <row r="248" spans="1:26" ht="12.95" customHeight="1" outlineLevel="3" x14ac:dyDescent="0.2">
      <c r="A248" s="76" t="s">
        <v>13881</v>
      </c>
      <c r="B248" s="76"/>
      <c r="C248" s="77"/>
      <c r="D248" s="58"/>
      <c r="E248" s="68"/>
      <c r="F248" s="30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 spans="1:26" ht="12" customHeight="1" outlineLevel="4" x14ac:dyDescent="0.2">
      <c r="A249" s="32" t="s">
        <v>13896</v>
      </c>
      <c r="B249" s="74" t="s">
        <v>13897</v>
      </c>
      <c r="C249" s="50"/>
      <c r="D249" s="53">
        <f t="shared" si="3"/>
        <v>0</v>
      </c>
      <c r="E249" s="60" t="str">
        <f>HYPERLINK("https://www.sds-group.ru/product/patch-kord-opticheskiy-soedinitelnyy-sm-9-125-os2-sc-upc-sc-upc-duplex-lszh-1m-50-2011/", "Инфо")</f>
        <v>Инфо</v>
      </c>
      <c r="F249" s="34" t="s">
        <v>39</v>
      </c>
      <c r="G249" s="33"/>
      <c r="H249" s="33" t="s">
        <v>40</v>
      </c>
      <c r="I249" s="33" t="s">
        <v>13755</v>
      </c>
      <c r="J249" s="34" t="s">
        <v>100</v>
      </c>
      <c r="K249" s="33"/>
      <c r="L249" s="35">
        <v>10</v>
      </c>
      <c r="M249" s="35">
        <v>100</v>
      </c>
      <c r="N249" s="35">
        <v>10</v>
      </c>
      <c r="O249" s="36">
        <v>903.27</v>
      </c>
      <c r="P249" s="36">
        <v>740.39</v>
      </c>
      <c r="Q249" s="36">
        <v>903.27</v>
      </c>
      <c r="R249" s="36">
        <v>740.39</v>
      </c>
      <c r="S249" s="36">
        <v>541.96</v>
      </c>
      <c r="T249" s="36">
        <v>444.23</v>
      </c>
      <c r="U249" s="34"/>
      <c r="V249" s="34"/>
      <c r="W249" s="34" t="s">
        <v>40</v>
      </c>
      <c r="X249" s="37">
        <v>2.5999999999999999E-2</v>
      </c>
      <c r="Y249" s="38">
        <v>8.1099999999999998E-4</v>
      </c>
      <c r="Z249" s="21">
        <v>4601004106604</v>
      </c>
    </row>
    <row r="250" spans="1:26" ht="12" customHeight="1" outlineLevel="4" x14ac:dyDescent="0.2">
      <c r="A250" s="32" t="s">
        <v>13898</v>
      </c>
      <c r="B250" s="74" t="s">
        <v>13899</v>
      </c>
      <c r="C250" s="50"/>
      <c r="D250" s="53">
        <f t="shared" si="3"/>
        <v>0</v>
      </c>
      <c r="E250" s="60" t="str">
        <f>HYPERLINK("https://www.sds-group.ru/product/patch-kord-opticheskiy-soedinitelnyy-sm-9-125-os2-sc-upc-sc-upc-duplex-lszh-2m-rexant-50-2012/", "Инфо")</f>
        <v>Инфо</v>
      </c>
      <c r="F250" s="34" t="s">
        <v>39</v>
      </c>
      <c r="G250" s="33"/>
      <c r="H250" s="33" t="s">
        <v>40</v>
      </c>
      <c r="I250" s="33" t="s">
        <v>13755</v>
      </c>
      <c r="J250" s="34" t="s">
        <v>100</v>
      </c>
      <c r="K250" s="33"/>
      <c r="L250" s="35">
        <v>10</v>
      </c>
      <c r="M250" s="35">
        <v>100</v>
      </c>
      <c r="N250" s="35">
        <v>10</v>
      </c>
      <c r="O250" s="36">
        <v>944.03</v>
      </c>
      <c r="P250" s="36">
        <v>773.8</v>
      </c>
      <c r="Q250" s="36">
        <v>944.03</v>
      </c>
      <c r="R250" s="36">
        <v>773.8</v>
      </c>
      <c r="S250" s="36">
        <v>566.41999999999996</v>
      </c>
      <c r="T250" s="36">
        <v>464.28</v>
      </c>
      <c r="U250" s="34"/>
      <c r="V250" s="34"/>
      <c r="W250" s="34" t="s">
        <v>40</v>
      </c>
      <c r="X250" s="37">
        <v>3.3000000000000002E-2</v>
      </c>
      <c r="Y250" s="38">
        <v>3.4200000000000002E-4</v>
      </c>
      <c r="Z250" s="21">
        <v>4601004106611</v>
      </c>
    </row>
    <row r="251" spans="1:26" ht="12" customHeight="1" outlineLevel="4" x14ac:dyDescent="0.2">
      <c r="A251" s="32" t="s">
        <v>13900</v>
      </c>
      <c r="B251" s="74" t="s">
        <v>13901</v>
      </c>
      <c r="C251" s="50"/>
      <c r="D251" s="53">
        <f t="shared" si="3"/>
        <v>0</v>
      </c>
      <c r="E251" s="60" t="str">
        <f>HYPERLINK("https://www.sds-group.ru/product/patch-kord-opticheskiy-soedinitelnyy-sm-9-125-os2-sc-upc-sc-upc-duplex-lszh-3m-50-2013/", "Инфо")</f>
        <v>Инфо</v>
      </c>
      <c r="F251" s="34" t="s">
        <v>39</v>
      </c>
      <c r="G251" s="33"/>
      <c r="H251" s="33" t="s">
        <v>40</v>
      </c>
      <c r="I251" s="33" t="s">
        <v>13755</v>
      </c>
      <c r="J251" s="34" t="s">
        <v>100</v>
      </c>
      <c r="K251" s="33"/>
      <c r="L251" s="35">
        <v>10</v>
      </c>
      <c r="M251" s="35">
        <v>100</v>
      </c>
      <c r="N251" s="35">
        <v>10</v>
      </c>
      <c r="O251" s="36">
        <v>984.78</v>
      </c>
      <c r="P251" s="36">
        <v>807.2</v>
      </c>
      <c r="Q251" s="36">
        <v>984.78</v>
      </c>
      <c r="R251" s="36">
        <v>807.2</v>
      </c>
      <c r="S251" s="36">
        <v>590.87</v>
      </c>
      <c r="T251" s="36">
        <v>484.32</v>
      </c>
      <c r="U251" s="34"/>
      <c r="V251" s="34"/>
      <c r="W251" s="34" t="s">
        <v>40</v>
      </c>
      <c r="X251" s="37">
        <v>4.4999999999999998E-2</v>
      </c>
      <c r="Y251" s="38">
        <v>4.5600000000000003E-4</v>
      </c>
      <c r="Z251" s="21">
        <v>4601004106628</v>
      </c>
    </row>
    <row r="252" spans="1:26" ht="12" customHeight="1" outlineLevel="4" x14ac:dyDescent="0.2">
      <c r="A252" s="32" t="s">
        <v>13902</v>
      </c>
      <c r="B252" s="74" t="s">
        <v>13903</v>
      </c>
      <c r="C252" s="50"/>
      <c r="D252" s="53">
        <f t="shared" si="3"/>
        <v>0</v>
      </c>
      <c r="E252" s="60" t="str">
        <f>HYPERLINK("https://www.sds-group.ru/product/patch-kord-opticheskiy-soedinitelnyy-sm-9-125-os2-sc-upc-sc-upc-duplex-lszh-5m-rexant-50-2014/", "Инфо")</f>
        <v>Инфо</v>
      </c>
      <c r="F252" s="34" t="s">
        <v>39</v>
      </c>
      <c r="G252" s="33"/>
      <c r="H252" s="33" t="s">
        <v>40</v>
      </c>
      <c r="I252" s="33" t="s">
        <v>13755</v>
      </c>
      <c r="J252" s="34" t="s">
        <v>100</v>
      </c>
      <c r="K252" s="33"/>
      <c r="L252" s="35">
        <v>10</v>
      </c>
      <c r="M252" s="35">
        <v>100</v>
      </c>
      <c r="N252" s="35">
        <v>10</v>
      </c>
      <c r="O252" s="36">
        <v>1066.26</v>
      </c>
      <c r="P252" s="36">
        <v>873.98</v>
      </c>
      <c r="Q252" s="36">
        <v>1066.26</v>
      </c>
      <c r="R252" s="36">
        <v>873.98</v>
      </c>
      <c r="S252" s="36">
        <v>639.76</v>
      </c>
      <c r="T252" s="36">
        <v>524.39</v>
      </c>
      <c r="U252" s="34"/>
      <c r="V252" s="34"/>
      <c r="W252" s="34" t="s">
        <v>40</v>
      </c>
      <c r="X252" s="37">
        <v>8.3000000000000004E-2</v>
      </c>
      <c r="Y252" s="38">
        <v>8.8199999999999997E-4</v>
      </c>
      <c r="Z252" s="21">
        <v>4601004106635</v>
      </c>
    </row>
    <row r="253" spans="1:26" ht="12.95" customHeight="1" outlineLevel="2" x14ac:dyDescent="0.2">
      <c r="A253" s="76" t="s">
        <v>13904</v>
      </c>
      <c r="B253" s="76"/>
      <c r="C253" s="77"/>
      <c r="D253" s="58"/>
      <c r="E253" s="68"/>
      <c r="F253" s="30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 spans="1:26" ht="12.95" customHeight="1" outlineLevel="3" x14ac:dyDescent="0.2">
      <c r="A254" s="76" t="s">
        <v>13905</v>
      </c>
      <c r="B254" s="76"/>
      <c r="C254" s="77"/>
      <c r="D254" s="58"/>
      <c r="E254" s="68"/>
      <c r="F254" s="30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 spans="1:26" ht="12" customHeight="1" outlineLevel="4" x14ac:dyDescent="0.2">
      <c r="A255" s="14" t="s">
        <v>13906</v>
      </c>
      <c r="B255" s="26" t="s">
        <v>13907</v>
      </c>
      <c r="C255" s="52"/>
      <c r="D255" s="55">
        <f t="shared" si="3"/>
        <v>0</v>
      </c>
      <c r="E255" s="63" t="str">
        <f>HYPERLINK("https://www.sds-group.ru/product/patch-kord-opticheskiy-perehodnoy-mm-50-125-om2-lc-upc-fc-upc-duplex-lszh-1m-50-3267/", "Инфо")</f>
        <v>Инфо</v>
      </c>
      <c r="F255" s="16" t="s">
        <v>39</v>
      </c>
      <c r="G255" s="15"/>
      <c r="H255" s="15"/>
      <c r="I255" s="15" t="s">
        <v>13755</v>
      </c>
      <c r="J255" s="17">
        <v>30</v>
      </c>
      <c r="K255" s="15"/>
      <c r="L255" s="17">
        <v>10</v>
      </c>
      <c r="M255" s="17">
        <v>100</v>
      </c>
      <c r="N255" s="17">
        <v>10</v>
      </c>
      <c r="O255" s="18">
        <v>903.27</v>
      </c>
      <c r="P255" s="18">
        <v>740.39</v>
      </c>
      <c r="Q255" s="18">
        <v>903.27</v>
      </c>
      <c r="R255" s="18">
        <v>740.39</v>
      </c>
      <c r="S255" s="18">
        <v>541.96</v>
      </c>
      <c r="T255" s="18">
        <v>444.23</v>
      </c>
      <c r="U255" s="16"/>
      <c r="V255" s="16"/>
      <c r="W255" s="16" t="s">
        <v>40</v>
      </c>
      <c r="X255" s="19">
        <v>3.2000000000000001E-2</v>
      </c>
      <c r="Y255" s="20">
        <v>3.21E-4</v>
      </c>
      <c r="Z255" s="21">
        <v>4601004112346</v>
      </c>
    </row>
    <row r="256" spans="1:26" ht="12.95" customHeight="1" outlineLevel="2" x14ac:dyDescent="0.2">
      <c r="A256" s="76" t="s">
        <v>13958</v>
      </c>
      <c r="B256" s="76"/>
      <c r="C256" s="77"/>
      <c r="D256" s="58"/>
      <c r="E256" s="68"/>
      <c r="F256" s="30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 spans="1:26" ht="12.95" customHeight="1" outlineLevel="3" x14ac:dyDescent="0.2">
      <c r="A257" s="76" t="s">
        <v>13998</v>
      </c>
      <c r="B257" s="76"/>
      <c r="C257" s="77"/>
      <c r="D257" s="58"/>
      <c r="E257" s="68"/>
      <c r="F257" s="30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 spans="1:26" ht="12" customHeight="1" outlineLevel="4" x14ac:dyDescent="0.2">
      <c r="A258" s="32" t="s">
        <v>13999</v>
      </c>
      <c r="B258" s="74" t="s">
        <v>14000</v>
      </c>
      <c r="C258" s="50"/>
      <c r="D258" s="53">
        <f t="shared" si="3"/>
        <v>0</v>
      </c>
      <c r="E258" s="60" t="str">
        <f>HYPERLINK("https://www.sds-group.ru/product/patch-kord-opticheskiy-perehodnoy-sm-9-125-os2-sc-apc-fc-upc-duplex-pvc-5m-rexant-50-2857-1/", "Инфо")</f>
        <v>Инфо</v>
      </c>
      <c r="F258" s="34" t="s">
        <v>39</v>
      </c>
      <c r="G258" s="33"/>
      <c r="H258" s="33" t="s">
        <v>40</v>
      </c>
      <c r="I258" s="33" t="s">
        <v>13755</v>
      </c>
      <c r="J258" s="34" t="s">
        <v>100</v>
      </c>
      <c r="K258" s="33"/>
      <c r="L258" s="35">
        <v>1</v>
      </c>
      <c r="M258" s="35">
        <v>100</v>
      </c>
      <c r="N258" s="35">
        <v>1</v>
      </c>
      <c r="O258" s="36">
        <v>867.83</v>
      </c>
      <c r="P258" s="36">
        <v>711.34</v>
      </c>
      <c r="Q258" s="36">
        <v>867.83</v>
      </c>
      <c r="R258" s="36">
        <v>711.34</v>
      </c>
      <c r="S258" s="36">
        <v>520.70000000000005</v>
      </c>
      <c r="T258" s="36">
        <v>426.8</v>
      </c>
      <c r="U258" s="34"/>
      <c r="V258" s="34"/>
      <c r="W258" s="34" t="s">
        <v>40</v>
      </c>
      <c r="X258" s="37">
        <v>5.1999999999999998E-2</v>
      </c>
      <c r="Y258" s="38">
        <v>6.9300000000000004E-4</v>
      </c>
      <c r="Z258" s="21">
        <v>4601004105171</v>
      </c>
    </row>
    <row r="259" spans="1:26" ht="12" customHeight="1" outlineLevel="4" x14ac:dyDescent="0.2">
      <c r="A259" s="32" t="s">
        <v>14001</v>
      </c>
      <c r="B259" s="74" t="s">
        <v>14002</v>
      </c>
      <c r="C259" s="50"/>
      <c r="D259" s="53">
        <f t="shared" si="3"/>
        <v>0</v>
      </c>
      <c r="E259" s="60" t="str">
        <f>HYPERLINK("https://www.sds-group.ru/product/patch-kord-opticheskiy-sm-9-125-os2-sc-upc-fc-upc-duplex-3mm-lszh-10m-24144/", "Инфо")</f>
        <v>Инфо</v>
      </c>
      <c r="F259" s="34" t="s">
        <v>39</v>
      </c>
      <c r="G259" s="33"/>
      <c r="H259" s="33" t="s">
        <v>40</v>
      </c>
      <c r="I259" s="33" t="s">
        <v>13755</v>
      </c>
      <c r="J259" s="34" t="s">
        <v>100</v>
      </c>
      <c r="K259" s="33"/>
      <c r="L259" s="35">
        <v>10</v>
      </c>
      <c r="M259" s="35">
        <v>30</v>
      </c>
      <c r="N259" s="35">
        <v>10</v>
      </c>
      <c r="O259" s="36">
        <v>1299.5</v>
      </c>
      <c r="P259" s="36">
        <v>1065.1600000000001</v>
      </c>
      <c r="Q259" s="36">
        <v>1299.5</v>
      </c>
      <c r="R259" s="36">
        <v>1065.1600000000001</v>
      </c>
      <c r="S259" s="36">
        <v>779.7</v>
      </c>
      <c r="T259" s="36">
        <v>639.1</v>
      </c>
      <c r="U259" s="34"/>
      <c r="V259" s="34"/>
      <c r="W259" s="34" t="s">
        <v>40</v>
      </c>
      <c r="X259" s="37">
        <v>0.15</v>
      </c>
      <c r="Y259" s="38">
        <v>2.2499999999999999E-4</v>
      </c>
      <c r="Z259" s="21">
        <v>2000321632469</v>
      </c>
    </row>
    <row r="260" spans="1:26" ht="12" customHeight="1" outlineLevel="4" x14ac:dyDescent="0.2">
      <c r="A260" s="14" t="s">
        <v>14003</v>
      </c>
      <c r="B260" s="26" t="s">
        <v>14004</v>
      </c>
      <c r="C260" s="52"/>
      <c r="D260" s="55">
        <f t="shared" si="3"/>
        <v>0</v>
      </c>
      <c r="E260" s="63" t="str">
        <f>HYPERLINK("https://www.sds-group.ru/product/patch-kord-opticheskiy-perehodnoy-sm-9-125-os2-sc-upc-fc-upc-simplex-lszh-3m-rexant-50-2802/", "Инфо")</f>
        <v>Инфо</v>
      </c>
      <c r="F260" s="16" t="s">
        <v>39</v>
      </c>
      <c r="G260" s="15"/>
      <c r="H260" s="15"/>
      <c r="I260" s="15" t="s">
        <v>13755</v>
      </c>
      <c r="J260" s="17">
        <v>105</v>
      </c>
      <c r="K260" s="15"/>
      <c r="L260" s="17">
        <v>5</v>
      </c>
      <c r="M260" s="17">
        <v>84</v>
      </c>
      <c r="N260" s="17">
        <v>5</v>
      </c>
      <c r="O260" s="18">
        <v>491.26</v>
      </c>
      <c r="P260" s="18">
        <v>402.67</v>
      </c>
      <c r="Q260" s="18">
        <v>491.26</v>
      </c>
      <c r="R260" s="18">
        <v>402.67</v>
      </c>
      <c r="S260" s="18">
        <v>294.76</v>
      </c>
      <c r="T260" s="18">
        <v>241.61</v>
      </c>
      <c r="U260" s="16"/>
      <c r="V260" s="16"/>
      <c r="W260" s="16" t="s">
        <v>40</v>
      </c>
      <c r="X260" s="19">
        <v>2.3E-2</v>
      </c>
      <c r="Y260" s="20">
        <v>1.15E-4</v>
      </c>
      <c r="Z260" s="21">
        <v>4601004109674</v>
      </c>
    </row>
    <row r="261" spans="1:26" ht="12" customHeight="1" outlineLevel="4" x14ac:dyDescent="0.2">
      <c r="A261" s="14" t="s">
        <v>14005</v>
      </c>
      <c r="B261" s="26" t="s">
        <v>14006</v>
      </c>
      <c r="C261" s="52"/>
      <c r="D261" s="55">
        <f t="shared" si="3"/>
        <v>0</v>
      </c>
      <c r="E261" s="63" t="str">
        <f>HYPERLINK("https://www.sds-group.ru/product/patch-kord-opticheskiy-perehodnoy-sm-9-125-os2-lc-upc-fc-upc-duplex-lszh-15m-rexant-50-2530/", "Инфо")</f>
        <v>Инфо</v>
      </c>
      <c r="F261" s="16" t="s">
        <v>39</v>
      </c>
      <c r="G261" s="15"/>
      <c r="H261" s="15"/>
      <c r="I261" s="15" t="s">
        <v>13755</v>
      </c>
      <c r="J261" s="16" t="s">
        <v>100</v>
      </c>
      <c r="K261" s="15"/>
      <c r="L261" s="17">
        <v>10</v>
      </c>
      <c r="M261" s="17">
        <v>22</v>
      </c>
      <c r="N261" s="17">
        <v>10</v>
      </c>
      <c r="O261" s="18">
        <v>1479.11</v>
      </c>
      <c r="P261" s="18">
        <v>1212.3900000000001</v>
      </c>
      <c r="Q261" s="18">
        <v>1479.11</v>
      </c>
      <c r="R261" s="18">
        <v>1212.3900000000001</v>
      </c>
      <c r="S261" s="18">
        <v>887.47</v>
      </c>
      <c r="T261" s="18">
        <v>727.43</v>
      </c>
      <c r="U261" s="16"/>
      <c r="V261" s="16"/>
      <c r="W261" s="16" t="s">
        <v>40</v>
      </c>
      <c r="X261" s="19">
        <v>0.125</v>
      </c>
      <c r="Y261" s="20">
        <v>2E-3</v>
      </c>
      <c r="Z261" s="21">
        <v>4601004130197</v>
      </c>
    </row>
    <row r="262" spans="1:26" ht="12.95" customHeight="1" outlineLevel="1" x14ac:dyDescent="0.2">
      <c r="A262" s="78" t="s">
        <v>14188</v>
      </c>
      <c r="B262" s="78"/>
      <c r="C262" s="79"/>
      <c r="D262" s="57"/>
      <c r="E262" s="67"/>
      <c r="F262" s="29"/>
      <c r="G262" s="29"/>
      <c r="H262" s="29"/>
      <c r="I262" s="29"/>
      <c r="J262" s="29"/>
      <c r="K262" s="29"/>
      <c r="L262" s="29"/>
      <c r="M262" s="29"/>
      <c r="N262" s="29"/>
      <c r="O262" s="29"/>
      <c r="P262" s="29"/>
      <c r="Q262" s="29"/>
      <c r="R262" s="29"/>
      <c r="S262" s="29"/>
      <c r="T262" s="29"/>
      <c r="U262" s="29"/>
      <c r="V262" s="29"/>
      <c r="W262" s="29"/>
      <c r="X262" s="29"/>
      <c r="Y262" s="29"/>
      <c r="Z262" s="29"/>
    </row>
    <row r="263" spans="1:26" ht="12.95" customHeight="1" outlineLevel="2" x14ac:dyDescent="0.2">
      <c r="A263" s="76" t="s">
        <v>14189</v>
      </c>
      <c r="B263" s="76"/>
      <c r="C263" s="77"/>
      <c r="D263" s="58"/>
      <c r="E263" s="68"/>
      <c r="F263" s="30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 spans="1:26" ht="12" customHeight="1" outlineLevel="3" x14ac:dyDescent="0.2">
      <c r="A264" s="40" t="s">
        <v>14194</v>
      </c>
      <c r="B264" s="75" t="s">
        <v>14195</v>
      </c>
      <c r="C264" s="51"/>
      <c r="D264" s="54">
        <f t="shared" si="3"/>
        <v>0</v>
      </c>
      <c r="E264" s="61" t="str">
        <f>HYPERLINK("https://www.sds-group.ru/product/kabel-vitaya-para-s-ftp-cat-6a-pvc-ls-ng-a-lsltx-4h2h0-575-mm-23awg-vnutrenniy-odnoprovoloch-02-0326/", "Инфо")</f>
        <v>Инфо</v>
      </c>
      <c r="F264" s="42" t="s">
        <v>1887</v>
      </c>
      <c r="G264" s="41" t="s">
        <v>40</v>
      </c>
      <c r="H264" s="41"/>
      <c r="I264" s="41" t="s">
        <v>14196</v>
      </c>
      <c r="J264" s="42" t="s">
        <v>100</v>
      </c>
      <c r="K264" s="41"/>
      <c r="L264" s="43">
        <v>1</v>
      </c>
      <c r="M264" s="43">
        <v>1</v>
      </c>
      <c r="N264" s="43">
        <v>1</v>
      </c>
      <c r="O264" s="44">
        <v>105767.86</v>
      </c>
      <c r="P264" s="44">
        <v>86694.97</v>
      </c>
      <c r="Q264" s="44">
        <v>105767.86</v>
      </c>
      <c r="R264" s="44">
        <v>86694.97</v>
      </c>
      <c r="S264" s="44">
        <v>105767.86</v>
      </c>
      <c r="T264" s="44">
        <v>86694.97</v>
      </c>
      <c r="U264" s="42"/>
      <c r="V264" s="42"/>
      <c r="W264" s="42" t="s">
        <v>40</v>
      </c>
      <c r="X264" s="45">
        <v>20.9</v>
      </c>
      <c r="Y264" s="46">
        <v>4.3700000000000003E-2</v>
      </c>
      <c r="Z264" s="21">
        <v>4601004331693</v>
      </c>
    </row>
    <row r="265" spans="1:26" ht="12.95" customHeight="1" outlineLevel="2" x14ac:dyDescent="0.2">
      <c r="A265" s="76" t="s">
        <v>14201</v>
      </c>
      <c r="B265" s="76"/>
      <c r="C265" s="77"/>
      <c r="D265" s="58"/>
      <c r="E265" s="68"/>
      <c r="F265" s="30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 spans="1:26" ht="12" customHeight="1" outlineLevel="3" x14ac:dyDescent="0.2">
      <c r="A266" s="14" t="s">
        <v>14202</v>
      </c>
      <c r="B266" s="26" t="s">
        <v>14203</v>
      </c>
      <c r="C266" s="52"/>
      <c r="D266" s="55">
        <f t="shared" ref="D266:D328" si="4">C266*(O266-O266*$G$3)</f>
        <v>0</v>
      </c>
      <c r="E266" s="63" t="str">
        <f>HYPERLINK("https://www.sds-group.ru/product/nastennyy-telekommunikatsionnyy-shkaf-19-9u-600-450-500mm-dver-steklo-s-zadney-stenkoy-razbo-04-2201/", "Инфо")</f>
        <v>Инфо</v>
      </c>
      <c r="F266" s="16" t="s">
        <v>39</v>
      </c>
      <c r="G266" s="15"/>
      <c r="H266" s="15"/>
      <c r="I266" s="15" t="s">
        <v>13414</v>
      </c>
      <c r="J266" s="16" t="s">
        <v>100</v>
      </c>
      <c r="K266" s="15"/>
      <c r="L266" s="17">
        <v>5</v>
      </c>
      <c r="M266" s="17">
        <v>5</v>
      </c>
      <c r="N266" s="17">
        <v>5</v>
      </c>
      <c r="O266" s="18">
        <v>22975.05</v>
      </c>
      <c r="P266" s="18">
        <v>18832.009999999998</v>
      </c>
      <c r="Q266" s="18">
        <v>16771.79</v>
      </c>
      <c r="R266" s="18">
        <v>13747.37</v>
      </c>
      <c r="S266" s="18">
        <v>15623.03</v>
      </c>
      <c r="T266" s="18">
        <v>12805.76</v>
      </c>
      <c r="U266" s="16"/>
      <c r="V266" s="16"/>
      <c r="W266" s="16" t="s">
        <v>40</v>
      </c>
      <c r="X266" s="19">
        <v>20</v>
      </c>
      <c r="Y266" s="20">
        <v>0.13500000000000001</v>
      </c>
      <c r="Z266" s="21">
        <v>4601004100527</v>
      </c>
    </row>
    <row r="267" spans="1:26" ht="12" customHeight="1" outlineLevel="3" x14ac:dyDescent="0.2">
      <c r="A267" s="14" t="s">
        <v>14204</v>
      </c>
      <c r="B267" s="26" t="s">
        <v>14205</v>
      </c>
      <c r="C267" s="52"/>
      <c r="D267" s="55">
        <f t="shared" si="4"/>
        <v>0</v>
      </c>
      <c r="E267" s="63" t="str">
        <f>HYPERLINK("https://www.sds-group.ru/product/nastennyy-telekommunikatsionnyy-shkaf-19-6u-600-450-370mm-dver-steklo-s-zadney-stenkoy-razbo-04-2200/", "Инфо")</f>
        <v>Инфо</v>
      </c>
      <c r="F267" s="16" t="s">
        <v>39</v>
      </c>
      <c r="G267" s="15"/>
      <c r="H267" s="15"/>
      <c r="I267" s="15" t="s">
        <v>13414</v>
      </c>
      <c r="J267" s="16" t="s">
        <v>100</v>
      </c>
      <c r="K267" s="15"/>
      <c r="L267" s="17">
        <v>5</v>
      </c>
      <c r="M267" s="17">
        <v>5</v>
      </c>
      <c r="N267" s="17">
        <v>5</v>
      </c>
      <c r="O267" s="18">
        <v>21013.200000000001</v>
      </c>
      <c r="P267" s="18">
        <v>17223.93</v>
      </c>
      <c r="Q267" s="18">
        <v>15339.64</v>
      </c>
      <c r="R267" s="18">
        <v>12573.48</v>
      </c>
      <c r="S267" s="18">
        <v>14288.98</v>
      </c>
      <c r="T267" s="18">
        <v>11712.28</v>
      </c>
      <c r="U267" s="16"/>
      <c r="V267" s="16"/>
      <c r="W267" s="16" t="s">
        <v>40</v>
      </c>
      <c r="X267" s="19">
        <v>23.984000000000002</v>
      </c>
      <c r="Y267" s="20">
        <v>8.3626000000000006E-2</v>
      </c>
      <c r="Z267" s="21">
        <v>4601004101135</v>
      </c>
    </row>
    <row r="268" spans="1:26" ht="12" customHeight="1" outlineLevel="3" x14ac:dyDescent="0.2">
      <c r="A268" s="14" t="s">
        <v>14206</v>
      </c>
      <c r="B268" s="26" t="s">
        <v>14207</v>
      </c>
      <c r="C268" s="52"/>
      <c r="D268" s="55">
        <f t="shared" si="4"/>
        <v>0</v>
      </c>
      <c r="E268" s="63" t="str">
        <f>HYPERLINK("https://www.sds-group.ru/product/nastennyy-telekommunikatsionnyy-shkaf-19-12u-600-600-635mm-dver-steklo-s-zadney-stenkoy-razb-04-2222/", "Инфо")</f>
        <v>Инфо</v>
      </c>
      <c r="F268" s="16" t="s">
        <v>39</v>
      </c>
      <c r="G268" s="15"/>
      <c r="H268" s="15"/>
      <c r="I268" s="15" t="s">
        <v>13414</v>
      </c>
      <c r="J268" s="16" t="s">
        <v>100</v>
      </c>
      <c r="K268" s="15"/>
      <c r="L268" s="17">
        <v>5</v>
      </c>
      <c r="M268" s="17">
        <v>5</v>
      </c>
      <c r="N268" s="17">
        <v>5</v>
      </c>
      <c r="O268" s="18">
        <v>28383.96</v>
      </c>
      <c r="P268" s="18">
        <v>23265.54</v>
      </c>
      <c r="Q268" s="18">
        <v>20720.29</v>
      </c>
      <c r="R268" s="18">
        <v>16983.84</v>
      </c>
      <c r="S268" s="18">
        <v>19301.09</v>
      </c>
      <c r="T268" s="18">
        <v>15820.57</v>
      </c>
      <c r="U268" s="16"/>
      <c r="V268" s="16"/>
      <c r="W268" s="16" t="s">
        <v>40</v>
      </c>
      <c r="X268" s="19">
        <v>25.35</v>
      </c>
      <c r="Y268" s="20">
        <v>8.5558999999999996E-2</v>
      </c>
      <c r="Z268" s="21">
        <v>4601004100589</v>
      </c>
    </row>
    <row r="269" spans="1:26" ht="12" customHeight="1" outlineLevel="3" x14ac:dyDescent="0.2">
      <c r="A269" s="14" t="s">
        <v>14208</v>
      </c>
      <c r="B269" s="26" t="s">
        <v>14209</v>
      </c>
      <c r="C269" s="52"/>
      <c r="D269" s="55">
        <f t="shared" si="4"/>
        <v>0</v>
      </c>
      <c r="E269" s="63" t="str">
        <f>HYPERLINK("https://www.sds-group.ru/product/nastennyy-telekommunikatsionnyy-shkaf-19-9u-600-600-500mm-dver-steklo-s-zadney-stenkoy-razbo-04-2221/", "Инфо")</f>
        <v>Инфо</v>
      </c>
      <c r="F269" s="16" t="s">
        <v>39</v>
      </c>
      <c r="G269" s="15"/>
      <c r="H269" s="15"/>
      <c r="I269" s="15" t="s">
        <v>13414</v>
      </c>
      <c r="J269" s="16" t="s">
        <v>100</v>
      </c>
      <c r="K269" s="15"/>
      <c r="L269" s="17">
        <v>5</v>
      </c>
      <c r="M269" s="17">
        <v>5</v>
      </c>
      <c r="N269" s="17">
        <v>5</v>
      </c>
      <c r="O269" s="18">
        <v>26894.34</v>
      </c>
      <c r="P269" s="18">
        <v>22044.54</v>
      </c>
      <c r="Q269" s="18">
        <v>19632.87</v>
      </c>
      <c r="R269" s="18">
        <v>16092.52</v>
      </c>
      <c r="S269" s="18">
        <v>18288.150000000001</v>
      </c>
      <c r="T269" s="18">
        <v>14990.29</v>
      </c>
      <c r="U269" s="16"/>
      <c r="V269" s="16"/>
      <c r="W269" s="16" t="s">
        <v>40</v>
      </c>
      <c r="X269" s="19">
        <v>22</v>
      </c>
      <c r="Y269" s="20">
        <v>7.2999999999999995E-2</v>
      </c>
      <c r="Z269" s="21">
        <v>4601004100541</v>
      </c>
    </row>
    <row r="270" spans="1:26" ht="12" customHeight="1" outlineLevel="3" x14ac:dyDescent="0.2">
      <c r="A270" s="14" t="s">
        <v>14210</v>
      </c>
      <c r="B270" s="26" t="s">
        <v>14211</v>
      </c>
      <c r="C270" s="52"/>
      <c r="D270" s="55">
        <f t="shared" si="4"/>
        <v>0</v>
      </c>
      <c r="E270" s="63" t="str">
        <f>HYPERLINK("https://www.sds-group.ru/product/nastennyy-telekommunikatsionnyy-shkaf-19-6u-600-600-370mm-dver-steklo-s-zadney-stenkoy-razbo-04-2220/", "Инфо")</f>
        <v>Инфо</v>
      </c>
      <c r="F270" s="16" t="s">
        <v>39</v>
      </c>
      <c r="G270" s="15"/>
      <c r="H270" s="15"/>
      <c r="I270" s="15" t="s">
        <v>13414</v>
      </c>
      <c r="J270" s="16" t="s">
        <v>100</v>
      </c>
      <c r="K270" s="15"/>
      <c r="L270" s="17">
        <v>5</v>
      </c>
      <c r="M270" s="17">
        <v>5</v>
      </c>
      <c r="N270" s="17">
        <v>5</v>
      </c>
      <c r="O270" s="18">
        <v>25204.21</v>
      </c>
      <c r="P270" s="18">
        <v>20659.189999999999</v>
      </c>
      <c r="Q270" s="18">
        <v>18399.07</v>
      </c>
      <c r="R270" s="18">
        <v>15081.2</v>
      </c>
      <c r="S270" s="18">
        <v>17138.86</v>
      </c>
      <c r="T270" s="18">
        <v>14048.25</v>
      </c>
      <c r="U270" s="16"/>
      <c r="V270" s="16"/>
      <c r="W270" s="16" t="s">
        <v>40</v>
      </c>
      <c r="X270" s="19">
        <v>19.468</v>
      </c>
      <c r="Y270" s="20">
        <v>7.8151999999999999E-2</v>
      </c>
      <c r="Z270" s="21">
        <v>4601004100633</v>
      </c>
    </row>
    <row r="271" spans="1:26" ht="12" customHeight="1" outlineLevel="3" x14ac:dyDescent="0.2">
      <c r="A271" s="14" t="s">
        <v>14212</v>
      </c>
      <c r="B271" s="26" t="s">
        <v>14213</v>
      </c>
      <c r="C271" s="52"/>
      <c r="D271" s="55">
        <f t="shared" si="4"/>
        <v>0</v>
      </c>
      <c r="E271" s="63" t="str">
        <f>HYPERLINK("https://www.sds-group.ru/product/nastennyy-telekommunikatsionnyy-shkaf-19-9u-600-450-500mm-dver-metall-s-zadney-stenkoy-razbo-04-2211/", "Инфо")</f>
        <v>Инфо</v>
      </c>
      <c r="F271" s="16" t="s">
        <v>39</v>
      </c>
      <c r="G271" s="15"/>
      <c r="H271" s="15"/>
      <c r="I271" s="15" t="s">
        <v>13414</v>
      </c>
      <c r="J271" s="16" t="s">
        <v>100</v>
      </c>
      <c r="K271" s="15"/>
      <c r="L271" s="17">
        <v>5</v>
      </c>
      <c r="M271" s="17">
        <v>5</v>
      </c>
      <c r="N271" s="17">
        <v>5</v>
      </c>
      <c r="O271" s="18">
        <v>24449.49</v>
      </c>
      <c r="P271" s="18">
        <v>20040.57</v>
      </c>
      <c r="Q271" s="18">
        <v>17848.13</v>
      </c>
      <c r="R271" s="18">
        <v>14629.61</v>
      </c>
      <c r="S271" s="18">
        <v>16625.650000000001</v>
      </c>
      <c r="T271" s="18">
        <v>13627.58</v>
      </c>
      <c r="U271" s="16"/>
      <c r="V271" s="16"/>
      <c r="W271" s="16" t="s">
        <v>40</v>
      </c>
      <c r="X271" s="19">
        <v>20</v>
      </c>
      <c r="Y271" s="20">
        <v>6.7000000000000004E-2</v>
      </c>
      <c r="Z271" s="21">
        <v>4601004100534</v>
      </c>
    </row>
    <row r="272" spans="1:26" ht="12" customHeight="1" outlineLevel="3" x14ac:dyDescent="0.2">
      <c r="A272" s="14" t="s">
        <v>14214</v>
      </c>
      <c r="B272" s="26" t="s">
        <v>14215</v>
      </c>
      <c r="C272" s="52"/>
      <c r="D272" s="55">
        <f t="shared" si="4"/>
        <v>0</v>
      </c>
      <c r="E272" s="63" t="str">
        <f>HYPERLINK("https://www.sds-group.ru/product/nastennyy-telekommunikatsionnyy-shkaf-19-12u-600-600-635mm-dver-metall-s-zadney-stenkoy-razb-04-2232/", "Инфо")</f>
        <v>Инфо</v>
      </c>
      <c r="F272" s="16" t="s">
        <v>39</v>
      </c>
      <c r="G272" s="15"/>
      <c r="H272" s="15"/>
      <c r="I272" s="15" t="s">
        <v>13414</v>
      </c>
      <c r="J272" s="16" t="s">
        <v>100</v>
      </c>
      <c r="K272" s="15"/>
      <c r="L272" s="17">
        <v>5</v>
      </c>
      <c r="M272" s="17">
        <v>5</v>
      </c>
      <c r="N272" s="17">
        <v>5</v>
      </c>
      <c r="O272" s="18">
        <v>28383.96</v>
      </c>
      <c r="P272" s="18">
        <v>23265.54</v>
      </c>
      <c r="Q272" s="18">
        <v>20720.29</v>
      </c>
      <c r="R272" s="18">
        <v>16983.84</v>
      </c>
      <c r="S272" s="18">
        <v>19301.09</v>
      </c>
      <c r="T272" s="18">
        <v>15820.57</v>
      </c>
      <c r="U272" s="16"/>
      <c r="V272" s="16"/>
      <c r="W272" s="16" t="s">
        <v>40</v>
      </c>
      <c r="X272" s="19">
        <v>26</v>
      </c>
      <c r="Y272" s="20">
        <v>7.1999999999999995E-2</v>
      </c>
      <c r="Z272" s="21">
        <v>4601004100565</v>
      </c>
    </row>
    <row r="273" spans="1:26" ht="12" customHeight="1" outlineLevel="3" x14ac:dyDescent="0.2">
      <c r="A273" s="14" t="s">
        <v>14216</v>
      </c>
      <c r="B273" s="26" t="s">
        <v>14217</v>
      </c>
      <c r="C273" s="52"/>
      <c r="D273" s="55">
        <f t="shared" si="4"/>
        <v>0</v>
      </c>
      <c r="E273" s="63" t="str">
        <f>HYPERLINK("https://www.sds-group.ru/product/nastennyy-telekommunikatsionnyy-shkaf-19-9u-600-600-500mm-dver-metall-s-zadney-stenkoy-razbo-04-2231/", "Инфо")</f>
        <v>Инфо</v>
      </c>
      <c r="F273" s="16" t="s">
        <v>39</v>
      </c>
      <c r="G273" s="15"/>
      <c r="H273" s="15"/>
      <c r="I273" s="15" t="s">
        <v>13414</v>
      </c>
      <c r="J273" s="16" t="s">
        <v>100</v>
      </c>
      <c r="K273" s="15"/>
      <c r="L273" s="17">
        <v>5</v>
      </c>
      <c r="M273" s="17">
        <v>5</v>
      </c>
      <c r="N273" s="17">
        <v>5</v>
      </c>
      <c r="O273" s="18">
        <v>27345.5</v>
      </c>
      <c r="P273" s="18">
        <v>22414.34</v>
      </c>
      <c r="Q273" s="18">
        <v>19962.22</v>
      </c>
      <c r="R273" s="18">
        <v>16362.48</v>
      </c>
      <c r="S273" s="18">
        <v>18594.939999999999</v>
      </c>
      <c r="T273" s="18">
        <v>15241.75</v>
      </c>
      <c r="U273" s="16"/>
      <c r="V273" s="16"/>
      <c r="W273" s="16" t="s">
        <v>40</v>
      </c>
      <c r="X273" s="19">
        <v>22</v>
      </c>
      <c r="Y273" s="20">
        <v>7.2999999999999995E-2</v>
      </c>
      <c r="Z273" s="21">
        <v>4601004100510</v>
      </c>
    </row>
    <row r="274" spans="1:26" ht="12" customHeight="1" outlineLevel="3" x14ac:dyDescent="0.2">
      <c r="A274" s="14" t="s">
        <v>14218</v>
      </c>
      <c r="B274" s="26" t="s">
        <v>14219</v>
      </c>
      <c r="C274" s="52"/>
      <c r="D274" s="55">
        <f t="shared" si="4"/>
        <v>0</v>
      </c>
      <c r="E274" s="63" t="str">
        <f>HYPERLINK("https://www.sds-group.ru/product/nastennyy-telekommunikatsionnyy-shkaf-19-18u-600-600-964mm-dver-metall-s-zadney-stenkoy-razb-04-2234/", "Инфо")</f>
        <v>Инфо</v>
      </c>
      <c r="F274" s="16" t="s">
        <v>39</v>
      </c>
      <c r="G274" s="15"/>
      <c r="H274" s="15"/>
      <c r="I274" s="15" t="s">
        <v>13414</v>
      </c>
      <c r="J274" s="16" t="s">
        <v>100</v>
      </c>
      <c r="K274" s="15"/>
      <c r="L274" s="17">
        <v>5</v>
      </c>
      <c r="M274" s="17">
        <v>5</v>
      </c>
      <c r="N274" s="17">
        <v>5</v>
      </c>
      <c r="O274" s="18">
        <v>38946.629999999997</v>
      </c>
      <c r="P274" s="18">
        <v>31923.47</v>
      </c>
      <c r="Q274" s="18">
        <v>28431.040000000001</v>
      </c>
      <c r="R274" s="18">
        <v>23304.13</v>
      </c>
      <c r="S274" s="18">
        <v>26483.71</v>
      </c>
      <c r="T274" s="18">
        <v>21707.96</v>
      </c>
      <c r="U274" s="16"/>
      <c r="V274" s="16"/>
      <c r="W274" s="16" t="s">
        <v>40</v>
      </c>
      <c r="X274" s="19">
        <v>34</v>
      </c>
      <c r="Y274" s="20">
        <v>0.12</v>
      </c>
      <c r="Z274" s="21">
        <v>4601004100695</v>
      </c>
    </row>
    <row r="275" spans="1:26" ht="12" customHeight="1" outlineLevel="3" x14ac:dyDescent="0.2">
      <c r="A275" s="14" t="s">
        <v>14220</v>
      </c>
      <c r="B275" s="26" t="s">
        <v>14221</v>
      </c>
      <c r="C275" s="52"/>
      <c r="D275" s="55">
        <f t="shared" si="4"/>
        <v>0</v>
      </c>
      <c r="E275" s="63" t="str">
        <f>HYPERLINK("https://www.sds-group.ru/product/shkaf-telekommunikatsionnyy-napolnyy-19-22u-600h600mm-dver-steklo-zadnyaya-dver-metall-razbo-04-2313/", "Инфо")</f>
        <v>Инфо</v>
      </c>
      <c r="F275" s="16" t="s">
        <v>39</v>
      </c>
      <c r="G275" s="15"/>
      <c r="H275" s="15"/>
      <c r="I275" s="15" t="s">
        <v>13441</v>
      </c>
      <c r="J275" s="16" t="s">
        <v>100</v>
      </c>
      <c r="K275" s="15"/>
      <c r="L275" s="17">
        <v>1</v>
      </c>
      <c r="M275" s="17">
        <v>1</v>
      </c>
      <c r="N275" s="17">
        <v>1</v>
      </c>
      <c r="O275" s="18">
        <v>65494.8</v>
      </c>
      <c r="P275" s="18">
        <v>53684.26</v>
      </c>
      <c r="Q275" s="18">
        <v>47811.199999999997</v>
      </c>
      <c r="R275" s="18">
        <v>39189.51</v>
      </c>
      <c r="S275" s="18">
        <v>44536.46</v>
      </c>
      <c r="T275" s="18">
        <v>36505.300000000003</v>
      </c>
      <c r="U275" s="16"/>
      <c r="V275" s="16"/>
      <c r="W275" s="16" t="s">
        <v>40</v>
      </c>
      <c r="X275" s="19">
        <v>66</v>
      </c>
      <c r="Y275" s="20">
        <v>0.26700000000000002</v>
      </c>
      <c r="Z275" s="21">
        <v>4601004100824</v>
      </c>
    </row>
    <row r="276" spans="1:26" ht="12" customHeight="1" outlineLevel="3" x14ac:dyDescent="0.2">
      <c r="A276" s="14" t="s">
        <v>14222</v>
      </c>
      <c r="B276" s="26" t="s">
        <v>14223</v>
      </c>
      <c r="C276" s="52"/>
      <c r="D276" s="55">
        <f t="shared" si="4"/>
        <v>0</v>
      </c>
      <c r="E276" s="63" t="str">
        <f>HYPERLINK("https://www.sds-group.ru/product/shkaf-telekommunikatsionnyy-napolnyy-19-32u-600h600mm-dver-steklo-zadnyaya-dver-metall-razbo-04-2310/", "Инфо")</f>
        <v>Инфо</v>
      </c>
      <c r="F276" s="16" t="s">
        <v>39</v>
      </c>
      <c r="G276" s="15"/>
      <c r="H276" s="15"/>
      <c r="I276" s="15" t="s">
        <v>13441</v>
      </c>
      <c r="J276" s="16" t="s">
        <v>100</v>
      </c>
      <c r="K276" s="15"/>
      <c r="L276" s="17">
        <v>1</v>
      </c>
      <c r="M276" s="17">
        <v>1</v>
      </c>
      <c r="N276" s="17">
        <v>1</v>
      </c>
      <c r="O276" s="18">
        <v>85428</v>
      </c>
      <c r="P276" s="18">
        <v>70022.95</v>
      </c>
      <c r="Q276" s="18">
        <v>62362.44</v>
      </c>
      <c r="R276" s="18">
        <v>51116.75</v>
      </c>
      <c r="S276" s="18">
        <v>58091.040000000001</v>
      </c>
      <c r="T276" s="18">
        <v>47615.61</v>
      </c>
      <c r="U276" s="16"/>
      <c r="V276" s="16"/>
      <c r="W276" s="16" t="s">
        <v>40</v>
      </c>
      <c r="X276" s="19">
        <v>75</v>
      </c>
      <c r="Y276" s="20">
        <v>0.35499999999999998</v>
      </c>
      <c r="Z276" s="21">
        <v>4601004100770</v>
      </c>
    </row>
    <row r="277" spans="1:26" ht="12" customHeight="1" outlineLevel="3" x14ac:dyDescent="0.2">
      <c r="A277" s="14" t="s">
        <v>14224</v>
      </c>
      <c r="B277" s="26" t="s">
        <v>14225</v>
      </c>
      <c r="C277" s="52"/>
      <c r="D277" s="55">
        <f t="shared" si="4"/>
        <v>0</v>
      </c>
      <c r="E277" s="63" t="str">
        <f>HYPERLINK("https://www.sds-group.ru/product/shkaf-telekommunikatsionnyy-napolnyy-19-42u-600h600mm-dver-steklo-zadnyaya-dver-metall-razbo-04-2305/", "Инфо")</f>
        <v>Инфо</v>
      </c>
      <c r="F277" s="16" t="s">
        <v>39</v>
      </c>
      <c r="G277" s="15"/>
      <c r="H277" s="15"/>
      <c r="I277" s="15" t="s">
        <v>13441</v>
      </c>
      <c r="J277" s="16" t="s">
        <v>100</v>
      </c>
      <c r="K277" s="15"/>
      <c r="L277" s="17">
        <v>1</v>
      </c>
      <c r="M277" s="17">
        <v>1</v>
      </c>
      <c r="N277" s="17">
        <v>1</v>
      </c>
      <c r="O277" s="18">
        <v>98242.3</v>
      </c>
      <c r="P277" s="18">
        <v>80526.48</v>
      </c>
      <c r="Q277" s="18">
        <v>71716.88</v>
      </c>
      <c r="R277" s="18">
        <v>58784.33</v>
      </c>
      <c r="S277" s="18">
        <v>66804.759999999995</v>
      </c>
      <c r="T277" s="18">
        <v>54758</v>
      </c>
      <c r="U277" s="16"/>
      <c r="V277" s="16"/>
      <c r="W277" s="16" t="s">
        <v>40</v>
      </c>
      <c r="X277" s="19">
        <v>88</v>
      </c>
      <c r="Y277" s="20">
        <v>0.44400000000000001</v>
      </c>
      <c r="Z277" s="21">
        <v>4601004100879</v>
      </c>
    </row>
    <row r="278" spans="1:26" ht="12" customHeight="1" outlineLevel="3" x14ac:dyDescent="0.2">
      <c r="A278" s="14" t="s">
        <v>14226</v>
      </c>
      <c r="B278" s="26" t="s">
        <v>14227</v>
      </c>
      <c r="C278" s="52"/>
      <c r="D278" s="55">
        <f t="shared" si="4"/>
        <v>0</v>
      </c>
      <c r="E278" s="63" t="str">
        <f>HYPERLINK("https://www.sds-group.ru/product/shkaf-telekommunikatsionnyy-napolnyy-19-42u-600h800mm-dver-steklo-zadnyaya-dver-metall-razbo-04-2306/", "Инфо")</f>
        <v>Инфо</v>
      </c>
      <c r="F278" s="16" t="s">
        <v>39</v>
      </c>
      <c r="G278" s="15"/>
      <c r="H278" s="15"/>
      <c r="I278" s="15" t="s">
        <v>13441</v>
      </c>
      <c r="J278" s="16" t="s">
        <v>100</v>
      </c>
      <c r="K278" s="15"/>
      <c r="L278" s="17">
        <v>1</v>
      </c>
      <c r="M278" s="17">
        <v>1</v>
      </c>
      <c r="N278" s="17">
        <v>1</v>
      </c>
      <c r="O278" s="18">
        <v>116512.4</v>
      </c>
      <c r="P278" s="18">
        <v>95501.97</v>
      </c>
      <c r="Q278" s="18">
        <v>85054.05</v>
      </c>
      <c r="R278" s="18">
        <v>69716.429999999993</v>
      </c>
      <c r="S278" s="18">
        <v>79228.429999999993</v>
      </c>
      <c r="T278" s="18">
        <v>64941.34</v>
      </c>
      <c r="U278" s="16"/>
      <c r="V278" s="16"/>
      <c r="W278" s="16" t="s">
        <v>40</v>
      </c>
      <c r="X278" s="19">
        <v>102</v>
      </c>
      <c r="Y278" s="20">
        <v>0.45900000000000002</v>
      </c>
      <c r="Z278" s="21">
        <v>4601004100886</v>
      </c>
    </row>
    <row r="279" spans="1:26" ht="12" customHeight="1" outlineLevel="3" x14ac:dyDescent="0.2">
      <c r="A279" s="14" t="s">
        <v>14228</v>
      </c>
      <c r="B279" s="26" t="s">
        <v>14229</v>
      </c>
      <c r="C279" s="52"/>
      <c r="D279" s="55">
        <f t="shared" si="4"/>
        <v>0</v>
      </c>
      <c r="E279" s="63" t="str">
        <f>HYPERLINK("https://www.sds-group.ru/product/shkaf-telekommunikatsionnyy-napolnyy-19-42u-600h800mm-perednyaya-i-zadnyaya-dver-perforatsiy-04-2334/", "Инфо")</f>
        <v>Инфо</v>
      </c>
      <c r="F279" s="16" t="s">
        <v>39</v>
      </c>
      <c r="G279" s="15"/>
      <c r="H279" s="15"/>
      <c r="I279" s="15" t="s">
        <v>13441</v>
      </c>
      <c r="J279" s="16" t="s">
        <v>100</v>
      </c>
      <c r="K279" s="15"/>
      <c r="L279" s="17">
        <v>1</v>
      </c>
      <c r="M279" s="17">
        <v>1</v>
      </c>
      <c r="N279" s="17">
        <v>1</v>
      </c>
      <c r="O279" s="18">
        <v>112116.11</v>
      </c>
      <c r="P279" s="18">
        <v>91898.45</v>
      </c>
      <c r="Q279" s="18">
        <v>81844.759999999995</v>
      </c>
      <c r="R279" s="18">
        <v>67085.87</v>
      </c>
      <c r="S279" s="18">
        <v>76238.95</v>
      </c>
      <c r="T279" s="18">
        <v>62490.94</v>
      </c>
      <c r="U279" s="16"/>
      <c r="V279" s="16"/>
      <c r="W279" s="16" t="s">
        <v>40</v>
      </c>
      <c r="X279" s="19">
        <v>102</v>
      </c>
      <c r="Y279" s="20">
        <v>0.45900000000000002</v>
      </c>
      <c r="Z279" s="21">
        <v>4601004100947</v>
      </c>
    </row>
    <row r="280" spans="1:26" ht="12" customHeight="1" outlineLevel="3" x14ac:dyDescent="0.2">
      <c r="A280" s="14" t="s">
        <v>14230</v>
      </c>
      <c r="B280" s="26" t="s">
        <v>14231</v>
      </c>
      <c r="C280" s="52"/>
      <c r="D280" s="55">
        <f t="shared" si="4"/>
        <v>0</v>
      </c>
      <c r="E280" s="63" t="str">
        <f>HYPERLINK("https://www.sds-group.ru/product/shkaf-telekommunikatsionnyy-napolnyy-19-42u-800h800mm-dver-steklo-zadnyaya-dver-metall-razbo-04-2308/", "Инфо")</f>
        <v>Инфо</v>
      </c>
      <c r="F280" s="16" t="s">
        <v>39</v>
      </c>
      <c r="G280" s="15"/>
      <c r="H280" s="15"/>
      <c r="I280" s="15" t="s">
        <v>13441</v>
      </c>
      <c r="J280" s="16" t="s">
        <v>100</v>
      </c>
      <c r="K280" s="15"/>
      <c r="L280" s="17">
        <v>1</v>
      </c>
      <c r="M280" s="17">
        <v>1</v>
      </c>
      <c r="N280" s="17">
        <v>1</v>
      </c>
      <c r="O280" s="18">
        <v>132208.98000000001</v>
      </c>
      <c r="P280" s="18">
        <v>108368.02</v>
      </c>
      <c r="Q280" s="18">
        <v>96512.56</v>
      </c>
      <c r="R280" s="18">
        <v>79108.66</v>
      </c>
      <c r="S280" s="18">
        <v>89902.11</v>
      </c>
      <c r="T280" s="18">
        <v>73690.25</v>
      </c>
      <c r="U280" s="16"/>
      <c r="V280" s="16"/>
      <c r="W280" s="16" t="s">
        <v>40</v>
      </c>
      <c r="X280" s="19">
        <v>127</v>
      </c>
      <c r="Y280" s="20">
        <v>0.60599999999999998</v>
      </c>
      <c r="Z280" s="21">
        <v>4601004100909</v>
      </c>
    </row>
    <row r="281" spans="1:26" ht="12" customHeight="1" outlineLevel="3" x14ac:dyDescent="0.2">
      <c r="A281" s="14" t="s">
        <v>14232</v>
      </c>
      <c r="B281" s="26" t="s">
        <v>14233</v>
      </c>
      <c r="C281" s="52"/>
      <c r="D281" s="55">
        <f t="shared" si="4"/>
        <v>0</v>
      </c>
      <c r="E281" s="63" t="str">
        <f>HYPERLINK("https://www.sds-group.ru/product/shkaf-telekommunikatsionnyy-napolnyy-19-32u-600h600mm-perednyaya-i-zadnyaya-dver-perforatsiy-04-2337/", "Инфо")</f>
        <v>Инфо</v>
      </c>
      <c r="F281" s="16" t="s">
        <v>39</v>
      </c>
      <c r="G281" s="15"/>
      <c r="H281" s="15"/>
      <c r="I281" s="15" t="s">
        <v>13441</v>
      </c>
      <c r="J281" s="16" t="s">
        <v>100</v>
      </c>
      <c r="K281" s="15"/>
      <c r="L281" s="17">
        <v>1</v>
      </c>
      <c r="M281" s="17">
        <v>1</v>
      </c>
      <c r="N281" s="17">
        <v>1</v>
      </c>
      <c r="O281" s="18">
        <v>87990.84</v>
      </c>
      <c r="P281" s="18">
        <v>72123.64</v>
      </c>
      <c r="Q281" s="18">
        <v>64233.31</v>
      </c>
      <c r="R281" s="18">
        <v>52650.25</v>
      </c>
      <c r="S281" s="18">
        <v>59833.77</v>
      </c>
      <c r="T281" s="18">
        <v>49044.07</v>
      </c>
      <c r="U281" s="16"/>
      <c r="V281" s="16"/>
      <c r="W281" s="16" t="s">
        <v>40</v>
      </c>
      <c r="X281" s="19">
        <v>75</v>
      </c>
      <c r="Y281" s="20">
        <v>0.35499999999999998</v>
      </c>
      <c r="Z281" s="21">
        <v>4601004100800</v>
      </c>
    </row>
    <row r="282" spans="1:26" ht="12.95" customHeight="1" x14ac:dyDescent="0.2">
      <c r="A282" s="80" t="s">
        <v>14234</v>
      </c>
      <c r="B282" s="80"/>
      <c r="C282" s="81"/>
      <c r="D282" s="56"/>
      <c r="E282" s="66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  <c r="W282" s="28"/>
      <c r="X282" s="28"/>
      <c r="Y282" s="28"/>
      <c r="Z282" s="28"/>
    </row>
    <row r="283" spans="1:26" ht="12.95" customHeight="1" outlineLevel="1" x14ac:dyDescent="0.2">
      <c r="A283" s="78" t="s">
        <v>14407</v>
      </c>
      <c r="B283" s="78"/>
      <c r="C283" s="79"/>
      <c r="D283" s="57"/>
      <c r="E283" s="67"/>
      <c r="F283" s="29"/>
      <c r="G283" s="29"/>
      <c r="H283" s="29"/>
      <c r="I283" s="29"/>
      <c r="J283" s="29"/>
      <c r="K283" s="29"/>
      <c r="L283" s="29"/>
      <c r="M283" s="29"/>
      <c r="N283" s="29"/>
      <c r="O283" s="29"/>
      <c r="P283" s="29"/>
      <c r="Q283" s="29"/>
      <c r="R283" s="29"/>
      <c r="S283" s="29"/>
      <c r="T283" s="29"/>
      <c r="U283" s="29"/>
      <c r="V283" s="29"/>
      <c r="W283" s="29"/>
      <c r="X283" s="29"/>
      <c r="Y283" s="29"/>
      <c r="Z283" s="29"/>
    </row>
    <row r="284" spans="1:26" ht="12.95" customHeight="1" outlineLevel="2" x14ac:dyDescent="0.2">
      <c r="A284" s="76" t="s">
        <v>14408</v>
      </c>
      <c r="B284" s="76"/>
      <c r="C284" s="77"/>
      <c r="D284" s="58"/>
      <c r="E284" s="68"/>
      <c r="F284" s="30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 spans="1:26" ht="12.95" customHeight="1" outlineLevel="3" x14ac:dyDescent="0.2">
      <c r="A285" s="82" t="s">
        <v>14409</v>
      </c>
      <c r="B285" s="82"/>
      <c r="C285" s="83"/>
      <c r="D285" s="59"/>
      <c r="E285" s="69"/>
      <c r="F285" s="31"/>
      <c r="G285" s="31"/>
      <c r="H285" s="31"/>
      <c r="I285" s="31"/>
      <c r="J285" s="31"/>
      <c r="K285" s="31"/>
      <c r="L285" s="31"/>
      <c r="M285" s="31"/>
      <c r="N285" s="31"/>
      <c r="O285" s="31"/>
      <c r="P285" s="31"/>
      <c r="Q285" s="31"/>
      <c r="R285" s="31"/>
      <c r="S285" s="31"/>
      <c r="T285" s="31"/>
      <c r="U285" s="31"/>
      <c r="V285" s="31"/>
      <c r="W285" s="31"/>
      <c r="X285" s="31"/>
      <c r="Y285" s="31"/>
      <c r="Z285" s="31"/>
    </row>
    <row r="286" spans="1:26" ht="12" customHeight="1" outlineLevel="4" x14ac:dyDescent="0.2">
      <c r="A286" s="14" t="s">
        <v>14418</v>
      </c>
      <c r="B286" s="26" t="s">
        <v>14419</v>
      </c>
      <c r="C286" s="52"/>
      <c r="D286" s="55">
        <f t="shared" si="4"/>
        <v>0</v>
      </c>
      <c r="E286" s="63" t="str">
        <f>HYPERLINK("https://www.sds-group.ru/product/kabel-signalnyy-kspv-14h0-4mm-buhta-200m-rexant-01-4706/", "Инфо")</f>
        <v>Инфо</v>
      </c>
      <c r="F286" s="16" t="s">
        <v>1767</v>
      </c>
      <c r="G286" s="15"/>
      <c r="H286" s="15"/>
      <c r="I286" s="15" t="s">
        <v>14420</v>
      </c>
      <c r="J286" s="16" t="s">
        <v>100</v>
      </c>
      <c r="K286" s="15"/>
      <c r="L286" s="17">
        <v>200</v>
      </c>
      <c r="M286" s="17">
        <v>200</v>
      </c>
      <c r="N286" s="17">
        <v>200</v>
      </c>
      <c r="O286" s="18">
        <v>68.180000000000007</v>
      </c>
      <c r="P286" s="18">
        <v>55.89</v>
      </c>
      <c r="Q286" s="18">
        <v>47.73</v>
      </c>
      <c r="R286" s="18">
        <v>39.119999999999997</v>
      </c>
      <c r="S286" s="18">
        <v>46.36</v>
      </c>
      <c r="T286" s="18">
        <v>38</v>
      </c>
      <c r="U286" s="16"/>
      <c r="V286" s="16"/>
      <c r="W286" s="16"/>
      <c r="X286" s="19">
        <v>2.8000000000000001E-2</v>
      </c>
      <c r="Y286" s="20">
        <v>3.8999999999999999E-5</v>
      </c>
      <c r="Z286" s="21">
        <v>4601004077409</v>
      </c>
    </row>
    <row r="287" spans="1:26" ht="12" customHeight="1" outlineLevel="4" x14ac:dyDescent="0.2">
      <c r="A287" s="32" t="s">
        <v>14441</v>
      </c>
      <c r="B287" s="74" t="s">
        <v>14442</v>
      </c>
      <c r="C287" s="50"/>
      <c r="D287" s="53">
        <f t="shared" si="4"/>
        <v>0</v>
      </c>
      <c r="E287" s="60" t="str">
        <f>HYPERLINK("https://www.sds-group.ru/product/kabel-signalnyy-kspev-2h0-4mm-buhta-200m-rexant-01-4700-1/", "Инфо")</f>
        <v>Инфо</v>
      </c>
      <c r="F287" s="34" t="s">
        <v>1767</v>
      </c>
      <c r="G287" s="33"/>
      <c r="H287" s="33" t="s">
        <v>40</v>
      </c>
      <c r="I287" s="33" t="s">
        <v>14420</v>
      </c>
      <c r="J287" s="34" t="s">
        <v>100</v>
      </c>
      <c r="K287" s="33" t="s">
        <v>1094</v>
      </c>
      <c r="L287" s="35">
        <v>200</v>
      </c>
      <c r="M287" s="35">
        <v>200</v>
      </c>
      <c r="N287" s="35">
        <v>200</v>
      </c>
      <c r="O287" s="36">
        <v>14.97</v>
      </c>
      <c r="P287" s="36">
        <v>12.27</v>
      </c>
      <c r="Q287" s="36">
        <v>10.48</v>
      </c>
      <c r="R287" s="36">
        <v>8.59</v>
      </c>
      <c r="S287" s="36">
        <v>10.18</v>
      </c>
      <c r="T287" s="36">
        <v>8.34</v>
      </c>
      <c r="U287" s="34"/>
      <c r="V287" s="34"/>
      <c r="W287" s="34"/>
      <c r="X287" s="37">
        <v>1.2999999999999999E-2</v>
      </c>
      <c r="Y287" s="38">
        <v>2.9E-5</v>
      </c>
      <c r="Z287" s="21">
        <v>4601004092167</v>
      </c>
    </row>
    <row r="288" spans="1:26" ht="12.95" customHeight="1" outlineLevel="3" x14ac:dyDescent="0.2">
      <c r="A288" s="82" t="s">
        <v>14453</v>
      </c>
      <c r="B288" s="82"/>
      <c r="C288" s="83"/>
      <c r="D288" s="59"/>
      <c r="E288" s="69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</row>
    <row r="289" spans="1:26" ht="12" customHeight="1" outlineLevel="4" x14ac:dyDescent="0.2">
      <c r="A289" s="14" t="s">
        <v>14454</v>
      </c>
      <c r="B289" s="26" t="s">
        <v>14455</v>
      </c>
      <c r="C289" s="52"/>
      <c r="D289" s="55">
        <f t="shared" si="4"/>
        <v>0</v>
      </c>
      <c r="E289" s="63" t="str">
        <f>HYPERLINK("https://www.sds-group.ru/product/kabel-signalnyy-ksvv-10h0-5mm-buhta-200m-rexant-01-4751/", "Инфо")</f>
        <v>Инфо</v>
      </c>
      <c r="F289" s="16" t="s">
        <v>1767</v>
      </c>
      <c r="G289" s="15"/>
      <c r="H289" s="15"/>
      <c r="I289" s="15" t="s">
        <v>14456</v>
      </c>
      <c r="J289" s="16" t="s">
        <v>100</v>
      </c>
      <c r="K289" s="15"/>
      <c r="L289" s="17">
        <v>200</v>
      </c>
      <c r="M289" s="17">
        <v>200</v>
      </c>
      <c r="N289" s="17">
        <v>200</v>
      </c>
      <c r="O289" s="18">
        <v>84.26</v>
      </c>
      <c r="P289" s="18">
        <v>69.069999999999993</v>
      </c>
      <c r="Q289" s="18">
        <v>58.98</v>
      </c>
      <c r="R289" s="18">
        <v>48.34</v>
      </c>
      <c r="S289" s="18">
        <v>57.3</v>
      </c>
      <c r="T289" s="18">
        <v>46.97</v>
      </c>
      <c r="U289" s="16"/>
      <c r="V289" s="16"/>
      <c r="W289" s="16"/>
      <c r="X289" s="19">
        <v>3.4000000000000002E-2</v>
      </c>
      <c r="Y289" s="20">
        <v>3.8999999999999999E-5</v>
      </c>
      <c r="Z289" s="21">
        <v>4601004078109</v>
      </c>
    </row>
    <row r="290" spans="1:26" ht="12.95" customHeight="1" outlineLevel="2" x14ac:dyDescent="0.2">
      <c r="A290" s="76" t="s">
        <v>14490</v>
      </c>
      <c r="B290" s="76"/>
      <c r="C290" s="77"/>
      <c r="D290" s="58"/>
      <c r="E290" s="68"/>
      <c r="F290" s="30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 spans="1:26" ht="12.95" customHeight="1" outlineLevel="3" x14ac:dyDescent="0.2">
      <c r="A291" s="82" t="s">
        <v>14491</v>
      </c>
      <c r="B291" s="82"/>
      <c r="C291" s="83"/>
      <c r="D291" s="59"/>
      <c r="E291" s="69"/>
      <c r="F291" s="31"/>
      <c r="G291" s="31"/>
      <c r="H291" s="31"/>
      <c r="I291" s="31"/>
      <c r="J291" s="31"/>
      <c r="K291" s="31"/>
      <c r="L291" s="31"/>
      <c r="M291" s="31"/>
      <c r="N291" s="31"/>
      <c r="O291" s="31"/>
      <c r="P291" s="31"/>
      <c r="Q291" s="31"/>
      <c r="R291" s="31"/>
      <c r="S291" s="31"/>
      <c r="T291" s="31"/>
      <c r="U291" s="31"/>
      <c r="V291" s="31"/>
      <c r="W291" s="31"/>
      <c r="X291" s="31"/>
      <c r="Y291" s="31"/>
      <c r="Z291" s="31"/>
    </row>
    <row r="292" spans="1:26" ht="12" customHeight="1" outlineLevel="4" x14ac:dyDescent="0.2">
      <c r="A292" s="14" t="s">
        <v>14518</v>
      </c>
      <c r="B292" s="26" t="s">
        <v>14519</v>
      </c>
      <c r="C292" s="52"/>
      <c r="D292" s="55">
        <f t="shared" si="4"/>
        <v>0</v>
      </c>
      <c r="E292" s="63" t="str">
        <f>HYPERLINK("https://www.sds-group.ru/product/kabel-dlya-pozharnoy-signalizatsii-kpsvevng-a-ls-2x2x1-50mm-buhta-200m-rexant-01-4868-1/", "Инфо")</f>
        <v>Инфо</v>
      </c>
      <c r="F292" s="16" t="s">
        <v>1767</v>
      </c>
      <c r="G292" s="15"/>
      <c r="H292" s="15"/>
      <c r="I292" s="15" t="s">
        <v>14420</v>
      </c>
      <c r="J292" s="16" t="s">
        <v>100</v>
      </c>
      <c r="K292" s="15"/>
      <c r="L292" s="17">
        <v>200</v>
      </c>
      <c r="M292" s="17">
        <v>200</v>
      </c>
      <c r="N292" s="17">
        <v>200</v>
      </c>
      <c r="O292" s="18">
        <v>193.46</v>
      </c>
      <c r="P292" s="18">
        <v>158.57</v>
      </c>
      <c r="Q292" s="18">
        <v>135.41999999999999</v>
      </c>
      <c r="R292" s="18">
        <v>111</v>
      </c>
      <c r="S292" s="18">
        <v>131.55000000000001</v>
      </c>
      <c r="T292" s="18">
        <v>107.83</v>
      </c>
      <c r="U292" s="16"/>
      <c r="V292" s="16"/>
      <c r="W292" s="16"/>
      <c r="X292" s="19">
        <v>8.8999999999999996E-2</v>
      </c>
      <c r="Y292" s="20">
        <v>6.7000000000000002E-5</v>
      </c>
      <c r="Z292" s="21">
        <v>4601004081550</v>
      </c>
    </row>
    <row r="293" spans="1:26" ht="12.95" customHeight="1" outlineLevel="3" x14ac:dyDescent="0.2">
      <c r="A293" s="82" t="s">
        <v>14541</v>
      </c>
      <c r="B293" s="82"/>
      <c r="C293" s="83"/>
      <c r="D293" s="59"/>
      <c r="E293" s="69"/>
      <c r="F293" s="31"/>
      <c r="G293" s="31"/>
      <c r="H293" s="31"/>
      <c r="I293" s="31"/>
      <c r="J293" s="31"/>
      <c r="K293" s="31"/>
      <c r="L293" s="31"/>
      <c r="M293" s="31"/>
      <c r="N293" s="31"/>
      <c r="O293" s="31"/>
      <c r="P293" s="31"/>
      <c r="Q293" s="31"/>
      <c r="R293" s="31"/>
      <c r="S293" s="31"/>
      <c r="T293" s="31"/>
      <c r="U293" s="31"/>
      <c r="V293" s="31"/>
      <c r="W293" s="31"/>
      <c r="X293" s="31"/>
      <c r="Y293" s="31"/>
      <c r="Z293" s="31"/>
    </row>
    <row r="294" spans="1:26" ht="12" customHeight="1" outlineLevel="4" x14ac:dyDescent="0.2">
      <c r="A294" s="14" t="s">
        <v>14544</v>
      </c>
      <c r="B294" s="26" t="s">
        <v>14545</v>
      </c>
      <c r="C294" s="52"/>
      <c r="D294" s="55">
        <f t="shared" si="4"/>
        <v>0</v>
      </c>
      <c r="E294" s="63" t="str">
        <f>HYPERLINK("https://www.sds-group.ru/product/kabel-ognestoykiy-kpsng-a-frls-1x2x0-35mm-buhta-200m-rexant-01-4901/", "Инфо")</f>
        <v>Инфо</v>
      </c>
      <c r="F294" s="16" t="s">
        <v>1767</v>
      </c>
      <c r="G294" s="15"/>
      <c r="H294" s="15"/>
      <c r="I294" s="15" t="s">
        <v>14420</v>
      </c>
      <c r="J294" s="17">
        <v>200</v>
      </c>
      <c r="K294" s="15"/>
      <c r="L294" s="17">
        <v>200</v>
      </c>
      <c r="M294" s="17">
        <v>200</v>
      </c>
      <c r="N294" s="17">
        <v>200</v>
      </c>
      <c r="O294" s="18">
        <v>31.96</v>
      </c>
      <c r="P294" s="18">
        <v>26.2</v>
      </c>
      <c r="Q294" s="18">
        <v>22.37</v>
      </c>
      <c r="R294" s="18">
        <v>18.34</v>
      </c>
      <c r="S294" s="18">
        <v>21.73</v>
      </c>
      <c r="T294" s="18">
        <v>17.809999999999999</v>
      </c>
      <c r="U294" s="16"/>
      <c r="V294" s="16"/>
      <c r="W294" s="16"/>
      <c r="X294" s="19">
        <v>2.1999999999999999E-2</v>
      </c>
      <c r="Y294" s="20">
        <v>5.3999999999999998E-5</v>
      </c>
      <c r="Z294" s="21">
        <v>4601004080348</v>
      </c>
    </row>
    <row r="295" spans="1:26" ht="12.95" customHeight="1" outlineLevel="3" x14ac:dyDescent="0.2">
      <c r="A295" s="82" t="s">
        <v>14578</v>
      </c>
      <c r="B295" s="82"/>
      <c r="C295" s="83"/>
      <c r="D295" s="59"/>
      <c r="E295" s="69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</row>
    <row r="296" spans="1:26" ht="12" customHeight="1" outlineLevel="4" x14ac:dyDescent="0.2">
      <c r="A296" s="14" t="s">
        <v>14591</v>
      </c>
      <c r="B296" s="26" t="s">
        <v>14592</v>
      </c>
      <c r="C296" s="52"/>
      <c r="D296" s="55">
        <f t="shared" si="4"/>
        <v>0</v>
      </c>
      <c r="E296" s="63" t="str">
        <f>HYPERLINK("https://www.sds-group.ru/product/kabel-ognestoykiy-kpseng-a-frhf-1x2x0-50mm-buhta-200m-rexant-01-4916-1/", "Инфо")</f>
        <v>Инфо</v>
      </c>
      <c r="F296" s="16" t="s">
        <v>1767</v>
      </c>
      <c r="G296" s="15"/>
      <c r="H296" s="15"/>
      <c r="I296" s="15" t="s">
        <v>14593</v>
      </c>
      <c r="J296" s="16" t="s">
        <v>100</v>
      </c>
      <c r="K296" s="15"/>
      <c r="L296" s="17">
        <v>200</v>
      </c>
      <c r="M296" s="17">
        <v>200</v>
      </c>
      <c r="N296" s="17">
        <v>200</v>
      </c>
      <c r="O296" s="18">
        <v>57.31</v>
      </c>
      <c r="P296" s="18">
        <v>46.98</v>
      </c>
      <c r="Q296" s="18">
        <v>40.119999999999997</v>
      </c>
      <c r="R296" s="18">
        <v>32.89</v>
      </c>
      <c r="S296" s="18">
        <v>38.97</v>
      </c>
      <c r="T296" s="18">
        <v>31.94</v>
      </c>
      <c r="U296" s="16"/>
      <c r="V296" s="16"/>
      <c r="W296" s="16"/>
      <c r="X296" s="19">
        <v>2.5000000000000001E-2</v>
      </c>
      <c r="Y296" s="20">
        <v>6.2000000000000003E-5</v>
      </c>
      <c r="Z296" s="21">
        <v>4601004080775</v>
      </c>
    </row>
    <row r="297" spans="1:26" ht="12.95" customHeight="1" outlineLevel="3" x14ac:dyDescent="0.2">
      <c r="A297" s="82" t="s">
        <v>14604</v>
      </c>
      <c r="B297" s="82"/>
      <c r="C297" s="83"/>
      <c r="D297" s="59"/>
      <c r="E297" s="69"/>
      <c r="F297" s="31"/>
      <c r="G297" s="31"/>
      <c r="H297" s="31"/>
      <c r="I297" s="31"/>
      <c r="J297" s="31"/>
      <c r="K297" s="31"/>
      <c r="L297" s="31"/>
      <c r="M297" s="31"/>
      <c r="N297" s="31"/>
      <c r="O297" s="31"/>
      <c r="P297" s="31"/>
      <c r="Q297" s="31"/>
      <c r="R297" s="31"/>
      <c r="S297" s="31"/>
      <c r="T297" s="31"/>
      <c r="U297" s="31"/>
      <c r="V297" s="31"/>
      <c r="W297" s="31"/>
      <c r="X297" s="31"/>
      <c r="Y297" s="31"/>
      <c r="Z297" s="31"/>
    </row>
    <row r="298" spans="1:26" ht="12" customHeight="1" outlineLevel="4" x14ac:dyDescent="0.2">
      <c r="A298" s="14" t="s">
        <v>14605</v>
      </c>
      <c r="B298" s="26" t="s">
        <v>14606</v>
      </c>
      <c r="C298" s="52"/>
      <c r="D298" s="55">
        <f t="shared" si="4"/>
        <v>0</v>
      </c>
      <c r="E298" s="63" t="str">
        <f>HYPERLINK("https://www.sds-group.ru/product/kabel-ognestoykiy-kpsng-a-frlsltx-1x2x0-50mm-buhta-200m-rexant-01-4930/", "Инфо")</f>
        <v>Инфо</v>
      </c>
      <c r="F298" s="16" t="s">
        <v>1767</v>
      </c>
      <c r="G298" s="15"/>
      <c r="H298" s="15"/>
      <c r="I298" s="15" t="s">
        <v>14593</v>
      </c>
      <c r="J298" s="16" t="s">
        <v>100</v>
      </c>
      <c r="K298" s="15"/>
      <c r="L298" s="17">
        <v>200</v>
      </c>
      <c r="M298" s="17">
        <v>200</v>
      </c>
      <c r="N298" s="17">
        <v>200</v>
      </c>
      <c r="O298" s="18">
        <v>50.85</v>
      </c>
      <c r="P298" s="18">
        <v>41.68</v>
      </c>
      <c r="Q298" s="18">
        <v>35.6</v>
      </c>
      <c r="R298" s="18">
        <v>29.18</v>
      </c>
      <c r="S298" s="18">
        <v>34.58</v>
      </c>
      <c r="T298" s="18">
        <v>28.34</v>
      </c>
      <c r="U298" s="16"/>
      <c r="V298" s="16"/>
      <c r="W298" s="16"/>
      <c r="X298" s="19">
        <v>2.7E-2</v>
      </c>
      <c r="Y298" s="20">
        <v>6.3999999999999997E-5</v>
      </c>
      <c r="Z298" s="21">
        <v>4601004080911</v>
      </c>
    </row>
    <row r="299" spans="1:26" ht="12.95" customHeight="1" x14ac:dyDescent="0.2">
      <c r="A299" s="80" t="s">
        <v>15973</v>
      </c>
      <c r="B299" s="80"/>
      <c r="C299" s="81"/>
      <c r="D299" s="56"/>
      <c r="E299" s="66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  <c r="W299" s="28"/>
      <c r="X299" s="28"/>
      <c r="Y299" s="28"/>
      <c r="Z299" s="28"/>
    </row>
    <row r="300" spans="1:26" ht="12.95" customHeight="1" outlineLevel="1" x14ac:dyDescent="0.2">
      <c r="A300" s="78" t="s">
        <v>17721</v>
      </c>
      <c r="B300" s="78"/>
      <c r="C300" s="79"/>
      <c r="D300" s="57"/>
      <c r="E300" s="67"/>
      <c r="F300" s="29"/>
      <c r="G300" s="29"/>
      <c r="H300" s="29"/>
      <c r="I300" s="29"/>
      <c r="J300" s="29"/>
      <c r="K300" s="29"/>
      <c r="L300" s="29"/>
      <c r="M300" s="29"/>
      <c r="N300" s="29"/>
      <c r="O300" s="29"/>
      <c r="P300" s="29"/>
      <c r="Q300" s="29"/>
      <c r="R300" s="29"/>
      <c r="S300" s="29"/>
      <c r="T300" s="29"/>
      <c r="U300" s="29"/>
      <c r="V300" s="29"/>
      <c r="W300" s="29"/>
      <c r="X300" s="29"/>
      <c r="Y300" s="29"/>
      <c r="Z300" s="29"/>
    </row>
    <row r="301" spans="1:26" ht="12.95" customHeight="1" outlineLevel="2" x14ac:dyDescent="0.2">
      <c r="A301" s="76" t="s">
        <v>18272</v>
      </c>
      <c r="B301" s="76"/>
      <c r="C301" s="77"/>
      <c r="D301" s="58"/>
      <c r="E301" s="68"/>
      <c r="F301" s="30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 spans="1:26" ht="12.95" customHeight="1" outlineLevel="3" x14ac:dyDescent="0.2">
      <c r="A302" s="76" t="s">
        <v>18273</v>
      </c>
      <c r="B302" s="76"/>
      <c r="C302" s="77"/>
      <c r="D302" s="58"/>
      <c r="E302" s="68"/>
      <c r="F302" s="30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 spans="1:26" ht="12" customHeight="1" outlineLevel="4" x14ac:dyDescent="0.2">
      <c r="A303" s="32" t="s">
        <v>18274</v>
      </c>
      <c r="B303" s="74" t="s">
        <v>18275</v>
      </c>
      <c r="C303" s="50"/>
      <c r="D303" s="53">
        <f t="shared" si="4"/>
        <v>0</v>
      </c>
      <c r="E303" s="60" t="str">
        <f>HYPERLINK("https://www.sds-group.ru/product/sredstvo-dlya-biotualetov-verhniy-bachok-1-litr-chetyre-sezona-63-0007/", "Инфо")</f>
        <v>Инфо</v>
      </c>
      <c r="F303" s="34" t="s">
        <v>39</v>
      </c>
      <c r="G303" s="33"/>
      <c r="H303" s="33" t="s">
        <v>40</v>
      </c>
      <c r="I303" s="33" t="s">
        <v>18276</v>
      </c>
      <c r="J303" s="34" t="s">
        <v>100</v>
      </c>
      <c r="K303" s="33"/>
      <c r="L303" s="35">
        <v>1</v>
      </c>
      <c r="M303" s="35">
        <v>14</v>
      </c>
      <c r="N303" s="35">
        <v>1</v>
      </c>
      <c r="O303" s="36">
        <v>515.72</v>
      </c>
      <c r="P303" s="36">
        <v>422.72</v>
      </c>
      <c r="Q303" s="36">
        <v>361</v>
      </c>
      <c r="R303" s="36">
        <v>295.89999999999998</v>
      </c>
      <c r="S303" s="36">
        <v>350.69</v>
      </c>
      <c r="T303" s="36">
        <v>287.45</v>
      </c>
      <c r="U303" s="34"/>
      <c r="V303" s="34"/>
      <c r="W303" s="34"/>
      <c r="X303" s="37">
        <v>1.117</v>
      </c>
      <c r="Y303" s="38">
        <v>1.774E-3</v>
      </c>
      <c r="Z303" s="21">
        <v>4601004064744</v>
      </c>
    </row>
    <row r="304" spans="1:26" ht="12.95" customHeight="1" outlineLevel="3" x14ac:dyDescent="0.2">
      <c r="A304" s="76" t="s">
        <v>18277</v>
      </c>
      <c r="B304" s="76"/>
      <c r="C304" s="77"/>
      <c r="D304" s="58"/>
      <c r="E304" s="68"/>
      <c r="F304" s="30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 spans="1:26" ht="12" customHeight="1" outlineLevel="4" x14ac:dyDescent="0.2">
      <c r="A305" s="32" t="s">
        <v>18278</v>
      </c>
      <c r="B305" s="74" t="s">
        <v>18279</v>
      </c>
      <c r="C305" s="50"/>
      <c r="D305" s="53">
        <f t="shared" si="4"/>
        <v>0</v>
      </c>
      <c r="E305" s="60" t="str">
        <f>HYPERLINK("https://www.sds-group.ru/product/sredstvo-dlya-vygrebnyh-yam-i-dachnyh-tualetov-1-litr-chetyre-sezona-63-0001/", "Инфо")</f>
        <v>Инфо</v>
      </c>
      <c r="F305" s="34" t="s">
        <v>39</v>
      </c>
      <c r="G305" s="33"/>
      <c r="H305" s="33" t="s">
        <v>40</v>
      </c>
      <c r="I305" s="33" t="s">
        <v>18276</v>
      </c>
      <c r="J305" s="34" t="s">
        <v>100</v>
      </c>
      <c r="K305" s="33"/>
      <c r="L305" s="35">
        <v>1</v>
      </c>
      <c r="M305" s="35">
        <v>14</v>
      </c>
      <c r="N305" s="35">
        <v>1</v>
      </c>
      <c r="O305" s="36">
        <v>571.27</v>
      </c>
      <c r="P305" s="36">
        <v>468.25</v>
      </c>
      <c r="Q305" s="36">
        <v>399.89</v>
      </c>
      <c r="R305" s="36">
        <v>327.78</v>
      </c>
      <c r="S305" s="36">
        <v>388.46</v>
      </c>
      <c r="T305" s="36">
        <v>318.41000000000003</v>
      </c>
      <c r="U305" s="34"/>
      <c r="V305" s="34"/>
      <c r="W305" s="34"/>
      <c r="X305" s="37">
        <v>1.056</v>
      </c>
      <c r="Y305" s="38">
        <v>1.755E-3</v>
      </c>
      <c r="Z305" s="21">
        <v>4601004064782</v>
      </c>
    </row>
    <row r="306" spans="1:26" ht="12.95" customHeight="1" x14ac:dyDescent="0.2">
      <c r="A306" s="80" t="s">
        <v>18524</v>
      </c>
      <c r="B306" s="80"/>
      <c r="C306" s="81"/>
      <c r="D306" s="56"/>
      <c r="E306" s="66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  <c r="W306" s="28"/>
      <c r="X306" s="28"/>
      <c r="Y306" s="28"/>
      <c r="Z306" s="28"/>
    </row>
    <row r="307" spans="1:26" ht="12.95" customHeight="1" outlineLevel="1" x14ac:dyDescent="0.2">
      <c r="A307" s="78" t="s">
        <v>18793</v>
      </c>
      <c r="B307" s="78"/>
      <c r="C307" s="79"/>
      <c r="D307" s="57"/>
      <c r="E307" s="67"/>
      <c r="F307" s="29"/>
      <c r="G307" s="29"/>
      <c r="H307" s="29"/>
      <c r="I307" s="29"/>
      <c r="J307" s="29"/>
      <c r="K307" s="29"/>
      <c r="L307" s="29"/>
      <c r="M307" s="29"/>
      <c r="N307" s="29"/>
      <c r="O307" s="29"/>
      <c r="P307" s="29"/>
      <c r="Q307" s="29"/>
      <c r="R307" s="29"/>
      <c r="S307" s="29"/>
      <c r="T307" s="29"/>
      <c r="U307" s="29"/>
      <c r="V307" s="29"/>
      <c r="W307" s="29"/>
      <c r="X307" s="29"/>
      <c r="Y307" s="29"/>
      <c r="Z307" s="29"/>
    </row>
    <row r="308" spans="1:26" ht="12.95" customHeight="1" outlineLevel="2" x14ac:dyDescent="0.2">
      <c r="A308" s="76" t="s">
        <v>18915</v>
      </c>
      <c r="B308" s="76"/>
      <c r="C308" s="77"/>
      <c r="D308" s="58"/>
      <c r="E308" s="68"/>
      <c r="F308" s="30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 spans="1:26" ht="12.95" customHeight="1" outlineLevel="3" x14ac:dyDescent="0.2">
      <c r="A309" s="76" t="s">
        <v>18916</v>
      </c>
      <c r="B309" s="76"/>
      <c r="C309" s="77"/>
      <c r="D309" s="58"/>
      <c r="E309" s="68"/>
      <c r="F309" s="30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 spans="1:26" ht="12" customHeight="1" outlineLevel="4" x14ac:dyDescent="0.2">
      <c r="A310" s="14" t="s">
        <v>18919</v>
      </c>
      <c r="B310" s="26" t="s">
        <v>18920</v>
      </c>
      <c r="C310" s="52"/>
      <c r="D310" s="55">
        <f t="shared" si="4"/>
        <v>0</v>
      </c>
      <c r="E310" s="63" t="str">
        <f>HYPERLINK("https://www.sds-group.ru/product/kabel-greyuschiy-nagrevatelnyy-samoreguliruyuschiysya-rsh-15f-200-240-c-ekranirovannyy-vzryv-51-0330/", "Инфо")</f>
        <v>Инфо</v>
      </c>
      <c r="F310" s="16" t="s">
        <v>1767</v>
      </c>
      <c r="G310" s="15"/>
      <c r="H310" s="15"/>
      <c r="I310" s="24">
        <v>-60</v>
      </c>
      <c r="J310" s="16" t="s">
        <v>100</v>
      </c>
      <c r="K310" s="15"/>
      <c r="L310" s="17">
        <v>250</v>
      </c>
      <c r="M310" s="17">
        <v>250</v>
      </c>
      <c r="N310" s="17">
        <v>250</v>
      </c>
      <c r="O310" s="18">
        <v>4103</v>
      </c>
      <c r="P310" s="18">
        <v>3363.11</v>
      </c>
      <c r="Q310" s="18">
        <v>4103</v>
      </c>
      <c r="R310" s="18">
        <v>3363.11</v>
      </c>
      <c r="S310" s="18">
        <v>2790.04</v>
      </c>
      <c r="T310" s="18">
        <v>2286.92</v>
      </c>
      <c r="U310" s="16"/>
      <c r="V310" s="16"/>
      <c r="W310" s="16" t="s">
        <v>40</v>
      </c>
      <c r="X310" s="25"/>
      <c r="Y310" s="25"/>
      <c r="Z310" s="21">
        <v>4601004340329</v>
      </c>
    </row>
    <row r="311" spans="1:26" ht="12" customHeight="1" outlineLevel="4" x14ac:dyDescent="0.2">
      <c r="A311" s="40" t="s">
        <v>18925</v>
      </c>
      <c r="B311" s="75" t="s">
        <v>18926</v>
      </c>
      <c r="C311" s="51"/>
      <c r="D311" s="54">
        <f t="shared" si="4"/>
        <v>0</v>
      </c>
      <c r="E311" s="61" t="str">
        <f>HYPERLINK("https://www.sds-group.ru/product/kabel-greyuschiy-nagrevatelnyy-samoreguliruyuschiysya-rsh-60f-200-240-c-ekranirovannyy-vzryv-51-0333/", "Инфо")</f>
        <v>Инфо</v>
      </c>
      <c r="F311" s="42" t="s">
        <v>1767</v>
      </c>
      <c r="G311" s="41" t="s">
        <v>40</v>
      </c>
      <c r="H311" s="41"/>
      <c r="I311" s="41" t="s">
        <v>18927</v>
      </c>
      <c r="J311" s="42" t="s">
        <v>100</v>
      </c>
      <c r="K311" s="41"/>
      <c r="L311" s="43">
        <v>250</v>
      </c>
      <c r="M311" s="43">
        <v>250</v>
      </c>
      <c r="N311" s="43">
        <v>250</v>
      </c>
      <c r="O311" s="44">
        <v>4349.18</v>
      </c>
      <c r="P311" s="44">
        <v>3564.9</v>
      </c>
      <c r="Q311" s="44">
        <v>4349.18</v>
      </c>
      <c r="R311" s="44">
        <v>3564.9</v>
      </c>
      <c r="S311" s="44">
        <v>2957.44</v>
      </c>
      <c r="T311" s="44">
        <v>2424.13</v>
      </c>
      <c r="U311" s="42"/>
      <c r="V311" s="42"/>
      <c r="W311" s="42" t="s">
        <v>40</v>
      </c>
      <c r="X311" s="45">
        <v>0.161</v>
      </c>
      <c r="Y311" s="46">
        <v>2.24E-4</v>
      </c>
      <c r="Z311" s="21">
        <v>4601004340350</v>
      </c>
    </row>
    <row r="312" spans="1:26" ht="12" customHeight="1" outlineLevel="4" x14ac:dyDescent="0.2">
      <c r="A312" s="14" t="s">
        <v>18928</v>
      </c>
      <c r="B312" s="26" t="s">
        <v>18929</v>
      </c>
      <c r="C312" s="52"/>
      <c r="D312" s="55">
        <f t="shared" si="4"/>
        <v>0</v>
      </c>
      <c r="E312" s="63" t="str">
        <f>HYPERLINK("https://www.sds-group.ru/product/kabel-greyuschiy-nagrevatelnyy-samoreguliruyuschiysya-rsht-80f-205-250-c-ekranirovannyy-vzry-51-0334/", "Инфо")</f>
        <v>Инфо</v>
      </c>
      <c r="F312" s="16" t="s">
        <v>1767</v>
      </c>
      <c r="G312" s="15"/>
      <c r="H312" s="15"/>
      <c r="I312" s="24">
        <v>-60</v>
      </c>
      <c r="J312" s="16" t="s">
        <v>100</v>
      </c>
      <c r="K312" s="15"/>
      <c r="L312" s="17">
        <v>250</v>
      </c>
      <c r="M312" s="17">
        <v>250</v>
      </c>
      <c r="N312" s="17">
        <v>250</v>
      </c>
      <c r="O312" s="18">
        <v>4750</v>
      </c>
      <c r="P312" s="18">
        <v>3893.44</v>
      </c>
      <c r="Q312" s="18">
        <v>4750</v>
      </c>
      <c r="R312" s="18">
        <v>3893.44</v>
      </c>
      <c r="S312" s="18">
        <v>3230</v>
      </c>
      <c r="T312" s="18">
        <v>2647.54</v>
      </c>
      <c r="U312" s="16"/>
      <c r="V312" s="16"/>
      <c r="W312" s="16" t="s">
        <v>40</v>
      </c>
      <c r="X312" s="25"/>
      <c r="Y312" s="25"/>
      <c r="Z312" s="21">
        <v>4601004340367</v>
      </c>
    </row>
    <row r="313" spans="1:26" ht="12" customHeight="1" outlineLevel="4" x14ac:dyDescent="0.2">
      <c r="A313" s="14" t="s">
        <v>18930</v>
      </c>
      <c r="B313" s="26" t="s">
        <v>18931</v>
      </c>
      <c r="C313" s="52"/>
      <c r="D313" s="55">
        <f t="shared" si="4"/>
        <v>0</v>
      </c>
      <c r="E313" s="63" t="str">
        <f>HYPERLINK("https://www.sds-group.ru/product/kabel-greyuschiy-nagrevatelnyy-samoreguliruyuschiysya-rsht-90f-205-250-c-ekranirovannyy-vzry-51-0335/", "Инфо")</f>
        <v>Инфо</v>
      </c>
      <c r="F313" s="16" t="s">
        <v>1767</v>
      </c>
      <c r="G313" s="15"/>
      <c r="H313" s="15"/>
      <c r="I313" s="24">
        <v>-60</v>
      </c>
      <c r="J313" s="16" t="s">
        <v>100</v>
      </c>
      <c r="K313" s="15"/>
      <c r="L313" s="17">
        <v>250</v>
      </c>
      <c r="M313" s="17">
        <v>250</v>
      </c>
      <c r="N313" s="17">
        <v>250</v>
      </c>
      <c r="O313" s="18">
        <v>4750</v>
      </c>
      <c r="P313" s="18">
        <v>3893.44</v>
      </c>
      <c r="Q313" s="18">
        <v>4750</v>
      </c>
      <c r="R313" s="18">
        <v>3893.44</v>
      </c>
      <c r="S313" s="18">
        <v>3230</v>
      </c>
      <c r="T313" s="18">
        <v>2647.54</v>
      </c>
      <c r="U313" s="16"/>
      <c r="V313" s="16"/>
      <c r="W313" s="16" t="s">
        <v>40</v>
      </c>
      <c r="X313" s="25"/>
      <c r="Y313" s="25"/>
      <c r="Z313" s="21">
        <v>4601004340190</v>
      </c>
    </row>
    <row r="314" spans="1:26" ht="12" customHeight="1" outlineLevel="4" x14ac:dyDescent="0.2">
      <c r="A314" s="40" t="s">
        <v>18932</v>
      </c>
      <c r="B314" s="75" t="s">
        <v>18933</v>
      </c>
      <c r="C314" s="51"/>
      <c r="D314" s="54">
        <f t="shared" si="4"/>
        <v>0</v>
      </c>
      <c r="E314" s="61" t="str">
        <f>HYPERLINK("https://www.sds-group.ru/product/kabel-greyuschiy-nagrevatelnyy-samoreguliruyuschiysya-rsl-16f-65-85-c-ftorpolimer-ekranirova-51-0301/", "Инфо")</f>
        <v>Инфо</v>
      </c>
      <c r="F314" s="42" t="s">
        <v>1767</v>
      </c>
      <c r="G314" s="41" t="s">
        <v>40</v>
      </c>
      <c r="H314" s="41"/>
      <c r="I314" s="41" t="s">
        <v>18927</v>
      </c>
      <c r="J314" s="42" t="s">
        <v>100</v>
      </c>
      <c r="K314" s="41" t="s">
        <v>6837</v>
      </c>
      <c r="L314" s="43">
        <v>200</v>
      </c>
      <c r="M314" s="43">
        <v>200</v>
      </c>
      <c r="N314" s="43">
        <v>200</v>
      </c>
      <c r="O314" s="44">
        <v>815.67</v>
      </c>
      <c r="P314" s="44">
        <v>668.58</v>
      </c>
      <c r="Q314" s="44">
        <v>815.67</v>
      </c>
      <c r="R314" s="44">
        <v>668.58</v>
      </c>
      <c r="S314" s="44">
        <v>554.66</v>
      </c>
      <c r="T314" s="44">
        <v>454.64</v>
      </c>
      <c r="U314" s="42"/>
      <c r="V314" s="42"/>
      <c r="W314" s="42" t="s">
        <v>40</v>
      </c>
      <c r="X314" s="45">
        <v>0.106</v>
      </c>
      <c r="Y314" s="46">
        <v>2.7900000000000001E-4</v>
      </c>
      <c r="Z314" s="21">
        <v>4601004340206</v>
      </c>
    </row>
    <row r="315" spans="1:26" ht="12" customHeight="1" outlineLevel="4" x14ac:dyDescent="0.2">
      <c r="A315" s="40" t="s">
        <v>18934</v>
      </c>
      <c r="B315" s="75" t="s">
        <v>18935</v>
      </c>
      <c r="C315" s="51"/>
      <c r="D315" s="54">
        <f t="shared" si="4"/>
        <v>0</v>
      </c>
      <c r="E315" s="61" t="str">
        <f>HYPERLINK("https://www.sds-group.ru/product/kabel-greyuschiy-nagrevatelnyy-samoreguliruyuschiysya-rsl-24f-65-85-c-ftorpolimer-ekranirova-51-0303/", "Инфо")</f>
        <v>Инфо</v>
      </c>
      <c r="F315" s="42" t="s">
        <v>1767</v>
      </c>
      <c r="G315" s="41" t="s">
        <v>40</v>
      </c>
      <c r="H315" s="41"/>
      <c r="I315" s="41" t="s">
        <v>18927</v>
      </c>
      <c r="J315" s="42" t="s">
        <v>100</v>
      </c>
      <c r="K315" s="41" t="s">
        <v>6837</v>
      </c>
      <c r="L315" s="43">
        <v>200</v>
      </c>
      <c r="M315" s="43">
        <v>200</v>
      </c>
      <c r="N315" s="43">
        <v>200</v>
      </c>
      <c r="O315" s="44">
        <v>825.74</v>
      </c>
      <c r="P315" s="44">
        <v>676.84</v>
      </c>
      <c r="Q315" s="44">
        <v>825.74</v>
      </c>
      <c r="R315" s="44">
        <v>676.84</v>
      </c>
      <c r="S315" s="44">
        <v>561.5</v>
      </c>
      <c r="T315" s="44">
        <v>460.25</v>
      </c>
      <c r="U315" s="42"/>
      <c r="V315" s="42"/>
      <c r="W315" s="42" t="s">
        <v>40</v>
      </c>
      <c r="X315" s="45">
        <v>0.106</v>
      </c>
      <c r="Y315" s="46">
        <v>2.8200000000000002E-4</v>
      </c>
      <c r="Z315" s="21">
        <v>4601004340220</v>
      </c>
    </row>
    <row r="316" spans="1:26" ht="12" customHeight="1" outlineLevel="4" x14ac:dyDescent="0.2">
      <c r="A316" s="40" t="s">
        <v>18946</v>
      </c>
      <c r="B316" s="75" t="s">
        <v>18947</v>
      </c>
      <c r="C316" s="51"/>
      <c r="D316" s="54">
        <f t="shared" si="4"/>
        <v>0</v>
      </c>
      <c r="E316" s="61" t="str">
        <f>HYPERLINK("https://www.sds-group.ru/product/kabel-greyuschiy-nagrevatelnyy-samoreguliruyuschiysya-rsm-15f-120-200-c-ekranirovannyy-vzryv-51-0310/", "Инфо")</f>
        <v>Инфо</v>
      </c>
      <c r="F316" s="42" t="s">
        <v>1767</v>
      </c>
      <c r="G316" s="41" t="s">
        <v>40</v>
      </c>
      <c r="H316" s="41"/>
      <c r="I316" s="41" t="s">
        <v>18927</v>
      </c>
      <c r="J316" s="47">
        <v>3000</v>
      </c>
      <c r="K316" s="41"/>
      <c r="L316" s="43">
        <v>250</v>
      </c>
      <c r="M316" s="43">
        <v>250</v>
      </c>
      <c r="N316" s="43">
        <v>250</v>
      </c>
      <c r="O316" s="44">
        <v>2215.4</v>
      </c>
      <c r="P316" s="44">
        <v>1815.9</v>
      </c>
      <c r="Q316" s="44">
        <v>2215.4</v>
      </c>
      <c r="R316" s="44">
        <v>1815.9</v>
      </c>
      <c r="S316" s="44">
        <v>1506.47</v>
      </c>
      <c r="T316" s="44">
        <v>1234.81</v>
      </c>
      <c r="U316" s="42"/>
      <c r="V316" s="42"/>
      <c r="W316" s="42" t="s">
        <v>40</v>
      </c>
      <c r="X316" s="45">
        <v>0.14799999999999999</v>
      </c>
      <c r="Y316" s="46">
        <v>2.2599999999999999E-4</v>
      </c>
      <c r="Z316" s="21">
        <v>4601004340275</v>
      </c>
    </row>
    <row r="317" spans="1:26" ht="12" customHeight="1" outlineLevel="4" x14ac:dyDescent="0.2">
      <c r="A317" s="40" t="s">
        <v>18952</v>
      </c>
      <c r="B317" s="75" t="s">
        <v>18953</v>
      </c>
      <c r="C317" s="51"/>
      <c r="D317" s="54">
        <f t="shared" si="4"/>
        <v>0</v>
      </c>
      <c r="E317" s="61" t="str">
        <f>HYPERLINK("https://www.sds-group.ru/product/kabel-greyuschiy-nagrevatelnyy-samoreguliruyuschiysya-rsm-60f-120-200-c-ekranirovannyy-vzryv-51-0314/", "Инфо")</f>
        <v>Инфо</v>
      </c>
      <c r="F317" s="42" t="s">
        <v>1767</v>
      </c>
      <c r="G317" s="41" t="s">
        <v>40</v>
      </c>
      <c r="H317" s="41"/>
      <c r="I317" s="41" t="s">
        <v>18927</v>
      </c>
      <c r="J317" s="42" t="s">
        <v>100</v>
      </c>
      <c r="K317" s="41"/>
      <c r="L317" s="43">
        <v>250</v>
      </c>
      <c r="M317" s="43">
        <v>250</v>
      </c>
      <c r="N317" s="43">
        <v>250</v>
      </c>
      <c r="O317" s="44">
        <v>2215.4</v>
      </c>
      <c r="P317" s="44">
        <v>1815.9</v>
      </c>
      <c r="Q317" s="44">
        <v>2215.4</v>
      </c>
      <c r="R317" s="44">
        <v>1815.9</v>
      </c>
      <c r="S317" s="44">
        <v>1506.47</v>
      </c>
      <c r="T317" s="44">
        <v>1234.81</v>
      </c>
      <c r="U317" s="42"/>
      <c r="V317" s="42"/>
      <c r="W317" s="42" t="s">
        <v>40</v>
      </c>
      <c r="X317" s="45">
        <v>0.151</v>
      </c>
      <c r="Y317" s="46">
        <v>2.22E-4</v>
      </c>
      <c r="Z317" s="21">
        <v>4601004340312</v>
      </c>
    </row>
    <row r="318" spans="1:26" ht="12" customHeight="1" outlineLevel="4" x14ac:dyDescent="0.2">
      <c r="A318" s="14" t="s">
        <v>18960</v>
      </c>
      <c r="B318" s="26" t="s">
        <v>18961</v>
      </c>
      <c r="C318" s="52"/>
      <c r="D318" s="55">
        <f t="shared" si="4"/>
        <v>0</v>
      </c>
      <c r="E318" s="63" t="str">
        <f>HYPERLINK("https://www.sds-group.ru/product/kabel-greyuschiy-nagrevatelnyy-samoreguliruyuschiysya-srl16-2cr-ekranirovannyy-16vt-m-0-9mm2-51-0204/", "Инфо")</f>
        <v>Инфо</v>
      </c>
      <c r="F318" s="16" t="s">
        <v>1767</v>
      </c>
      <c r="G318" s="15"/>
      <c r="H318" s="15"/>
      <c r="I318" s="15" t="s">
        <v>18962</v>
      </c>
      <c r="J318" s="17">
        <v>500</v>
      </c>
      <c r="K318" s="15" t="s">
        <v>1035</v>
      </c>
      <c r="L318" s="17">
        <v>100</v>
      </c>
      <c r="M318" s="17">
        <v>100</v>
      </c>
      <c r="N318" s="17">
        <v>100</v>
      </c>
      <c r="O318" s="18">
        <v>296.8</v>
      </c>
      <c r="P318" s="18">
        <v>243.28</v>
      </c>
      <c r="Q318" s="18">
        <v>252.28</v>
      </c>
      <c r="R318" s="18">
        <v>206.79</v>
      </c>
      <c r="S318" s="18">
        <v>201.82</v>
      </c>
      <c r="T318" s="18">
        <v>165.43</v>
      </c>
      <c r="U318" s="16"/>
      <c r="V318" s="16"/>
      <c r="W318" s="16" t="s">
        <v>40</v>
      </c>
      <c r="X318" s="19">
        <v>9.6000000000000002E-2</v>
      </c>
      <c r="Y318" s="20">
        <v>1.47E-4</v>
      </c>
      <c r="Z318" s="21">
        <v>4601004147478</v>
      </c>
    </row>
    <row r="319" spans="1:26" ht="12" customHeight="1" outlineLevel="4" x14ac:dyDescent="0.2">
      <c r="A319" s="14" t="s">
        <v>18965</v>
      </c>
      <c r="B319" s="26" t="s">
        <v>18966</v>
      </c>
      <c r="C319" s="52"/>
      <c r="D319" s="55">
        <f t="shared" si="4"/>
        <v>0</v>
      </c>
      <c r="E319" s="63" t="str">
        <f>HYPERLINK("https://www.sds-group.ru/product/kabel-greyuschiy-nagrevatelnyy-samoreguliruyuschiysya-srl16-2cr-ekranirovannyy-16vt-m-0-9mm2-51-0201/", "Инфо")</f>
        <v>Инфо</v>
      </c>
      <c r="F319" s="16" t="s">
        <v>1767</v>
      </c>
      <c r="G319" s="15"/>
      <c r="H319" s="15"/>
      <c r="I319" s="15" t="s">
        <v>18962</v>
      </c>
      <c r="J319" s="17">
        <v>199</v>
      </c>
      <c r="K319" s="15" t="s">
        <v>1035</v>
      </c>
      <c r="L319" s="17">
        <v>50</v>
      </c>
      <c r="M319" s="17">
        <v>50</v>
      </c>
      <c r="N319" s="17">
        <v>50</v>
      </c>
      <c r="O319" s="18">
        <v>296.8</v>
      </c>
      <c r="P319" s="18">
        <v>243.28</v>
      </c>
      <c r="Q319" s="18">
        <v>252.28</v>
      </c>
      <c r="R319" s="18">
        <v>206.79</v>
      </c>
      <c r="S319" s="18">
        <v>201.82</v>
      </c>
      <c r="T319" s="18">
        <v>165.43</v>
      </c>
      <c r="U319" s="16"/>
      <c r="V319" s="16"/>
      <c r="W319" s="16" t="s">
        <v>40</v>
      </c>
      <c r="X319" s="19">
        <v>9.9000000000000005E-2</v>
      </c>
      <c r="Y319" s="20">
        <v>1.76E-4</v>
      </c>
      <c r="Z319" s="21">
        <v>4601004147447</v>
      </c>
    </row>
    <row r="320" spans="1:26" ht="12" customHeight="1" outlineLevel="4" x14ac:dyDescent="0.2">
      <c r="A320" s="14" t="s">
        <v>18973</v>
      </c>
      <c r="B320" s="26" t="s">
        <v>18974</v>
      </c>
      <c r="C320" s="52"/>
      <c r="D320" s="55">
        <f t="shared" si="4"/>
        <v>0</v>
      </c>
      <c r="E320" s="63" t="str">
        <f>HYPERLINK("https://www.sds-group.ru/product/kabel-greyuschiy-nagrevatelnyy-samoreguliruyuschiysya-srl24-2cr-ekranirovannyy-24vt-m-0-9mm2-51-0205/", "Инфо")</f>
        <v>Инфо</v>
      </c>
      <c r="F320" s="16" t="s">
        <v>1767</v>
      </c>
      <c r="G320" s="15"/>
      <c r="H320" s="15"/>
      <c r="I320" s="15" t="s">
        <v>18962</v>
      </c>
      <c r="J320" s="16" t="s">
        <v>100</v>
      </c>
      <c r="K320" s="15" t="s">
        <v>6837</v>
      </c>
      <c r="L320" s="17">
        <v>100</v>
      </c>
      <c r="M320" s="17">
        <v>100</v>
      </c>
      <c r="N320" s="17">
        <v>100</v>
      </c>
      <c r="O320" s="18">
        <v>303.16000000000003</v>
      </c>
      <c r="P320" s="18">
        <v>248.49</v>
      </c>
      <c r="Q320" s="18">
        <v>257.69</v>
      </c>
      <c r="R320" s="18">
        <v>211.22</v>
      </c>
      <c r="S320" s="18">
        <v>206.15</v>
      </c>
      <c r="T320" s="18">
        <v>168.98</v>
      </c>
      <c r="U320" s="16"/>
      <c r="V320" s="16"/>
      <c r="W320" s="16" t="s">
        <v>40</v>
      </c>
      <c r="X320" s="19">
        <v>9.9000000000000005E-2</v>
      </c>
      <c r="Y320" s="20">
        <v>1.2999999999999999E-4</v>
      </c>
      <c r="Z320" s="21">
        <v>4601004147485</v>
      </c>
    </row>
    <row r="321" spans="1:26" ht="12" customHeight="1" outlineLevel="4" x14ac:dyDescent="0.2">
      <c r="A321" s="14" t="s">
        <v>18977</v>
      </c>
      <c r="B321" s="26" t="s">
        <v>18978</v>
      </c>
      <c r="C321" s="52"/>
      <c r="D321" s="55">
        <f t="shared" si="4"/>
        <v>0</v>
      </c>
      <c r="E321" s="63" t="str">
        <f>HYPERLINK("https://www.sds-group.ru/product/kabel-greyuschiy-nagrevatelnyy-samoreguliruyuschiysya-srl24-2cr-ekranirovannyy-24vt-m-0-9mm2-51-0202/", "Инфо")</f>
        <v>Инфо</v>
      </c>
      <c r="F321" s="16" t="s">
        <v>1767</v>
      </c>
      <c r="G321" s="15"/>
      <c r="H321" s="15"/>
      <c r="I321" s="15" t="s">
        <v>18962</v>
      </c>
      <c r="J321" s="17">
        <v>350</v>
      </c>
      <c r="K321" s="15" t="s">
        <v>6837</v>
      </c>
      <c r="L321" s="17">
        <v>50</v>
      </c>
      <c r="M321" s="17">
        <v>50</v>
      </c>
      <c r="N321" s="17">
        <v>50</v>
      </c>
      <c r="O321" s="18">
        <v>303.16000000000003</v>
      </c>
      <c r="P321" s="18">
        <v>248.49</v>
      </c>
      <c r="Q321" s="18">
        <v>257.69</v>
      </c>
      <c r="R321" s="18">
        <v>211.22</v>
      </c>
      <c r="S321" s="18">
        <v>206.15</v>
      </c>
      <c r="T321" s="18">
        <v>168.98</v>
      </c>
      <c r="U321" s="16"/>
      <c r="V321" s="16"/>
      <c r="W321" s="16" t="s">
        <v>40</v>
      </c>
      <c r="X321" s="19">
        <v>9.7000000000000003E-2</v>
      </c>
      <c r="Y321" s="20">
        <v>1.35E-4</v>
      </c>
      <c r="Z321" s="21">
        <v>4601004147454</v>
      </c>
    </row>
    <row r="322" spans="1:26" ht="12" customHeight="1" outlineLevel="4" x14ac:dyDescent="0.2">
      <c r="A322" s="14" t="s">
        <v>18985</v>
      </c>
      <c r="B322" s="26" t="s">
        <v>18986</v>
      </c>
      <c r="C322" s="52"/>
      <c r="D322" s="55">
        <f t="shared" si="4"/>
        <v>0</v>
      </c>
      <c r="E322" s="63" t="str">
        <f>HYPERLINK("https://www.sds-group.ru/product/kabel-greyuschiy-nagrevatelnyy-samoreguliruyuschiysya-srl30-2cr-ekranirovannyy-30vt-m-0-9mm2-51-0206/", "Инфо")</f>
        <v>Инфо</v>
      </c>
      <c r="F322" s="16" t="s">
        <v>1767</v>
      </c>
      <c r="G322" s="15"/>
      <c r="H322" s="15"/>
      <c r="I322" s="15" t="s">
        <v>18962</v>
      </c>
      <c r="J322" s="16" t="s">
        <v>100</v>
      </c>
      <c r="K322" s="15" t="s">
        <v>6837</v>
      </c>
      <c r="L322" s="17">
        <v>100</v>
      </c>
      <c r="M322" s="17">
        <v>100</v>
      </c>
      <c r="N322" s="17">
        <v>100</v>
      </c>
      <c r="O322" s="18">
        <v>308.45999999999998</v>
      </c>
      <c r="P322" s="18">
        <v>252.84</v>
      </c>
      <c r="Q322" s="18">
        <v>262.19</v>
      </c>
      <c r="R322" s="18">
        <v>214.91</v>
      </c>
      <c r="S322" s="18">
        <v>209.75</v>
      </c>
      <c r="T322" s="18">
        <v>171.93</v>
      </c>
      <c r="U322" s="16"/>
      <c r="V322" s="16"/>
      <c r="W322" s="16" t="s">
        <v>40</v>
      </c>
      <c r="X322" s="19">
        <v>9.8000000000000004E-2</v>
      </c>
      <c r="Y322" s="20">
        <v>1.2799999999999999E-4</v>
      </c>
      <c r="Z322" s="21">
        <v>4601004147492</v>
      </c>
    </row>
    <row r="323" spans="1:26" ht="12" customHeight="1" outlineLevel="4" x14ac:dyDescent="0.2">
      <c r="A323" s="14" t="s">
        <v>18989</v>
      </c>
      <c r="B323" s="26" t="s">
        <v>18990</v>
      </c>
      <c r="C323" s="52"/>
      <c r="D323" s="55">
        <f t="shared" si="4"/>
        <v>0</v>
      </c>
      <c r="E323" s="63" t="str">
        <f>HYPERLINK("https://www.sds-group.ru/product/kabel-greyuschiy-nagrevatelnyy-samoreguliruyuschiysya-srl30-2cr-ekranirovannyy-30vt-m-0-9mm2-51-0203/", "Инфо")</f>
        <v>Инфо</v>
      </c>
      <c r="F323" s="16" t="s">
        <v>1767</v>
      </c>
      <c r="G323" s="15"/>
      <c r="H323" s="15"/>
      <c r="I323" s="15" t="s">
        <v>18962</v>
      </c>
      <c r="J323" s="17">
        <v>500</v>
      </c>
      <c r="K323" s="15" t="s">
        <v>6837</v>
      </c>
      <c r="L323" s="17">
        <v>50</v>
      </c>
      <c r="M323" s="17">
        <v>50</v>
      </c>
      <c r="N323" s="17">
        <v>50</v>
      </c>
      <c r="O323" s="18">
        <v>308.45999999999998</v>
      </c>
      <c r="P323" s="18">
        <v>252.84</v>
      </c>
      <c r="Q323" s="18">
        <v>262.19</v>
      </c>
      <c r="R323" s="18">
        <v>214.91</v>
      </c>
      <c r="S323" s="18">
        <v>209.75</v>
      </c>
      <c r="T323" s="18">
        <v>171.93</v>
      </c>
      <c r="U323" s="16"/>
      <c r="V323" s="16"/>
      <c r="W323" s="16" t="s">
        <v>40</v>
      </c>
      <c r="X323" s="19">
        <v>9.2999999999999999E-2</v>
      </c>
      <c r="Y323" s="20">
        <v>1.74E-4</v>
      </c>
      <c r="Z323" s="21">
        <v>4601004147461</v>
      </c>
    </row>
    <row r="324" spans="1:26" ht="12" customHeight="1" outlineLevel="4" x14ac:dyDescent="0.2">
      <c r="A324" s="14" t="s">
        <v>18997</v>
      </c>
      <c r="B324" s="26" t="s">
        <v>18998</v>
      </c>
      <c r="C324" s="52"/>
      <c r="D324" s="55">
        <f t="shared" si="4"/>
        <v>0</v>
      </c>
      <c r="E324" s="63" t="str">
        <f>HYPERLINK("https://www.sds-group.ru/product/kabel-greyuschiy-nagrevatelnyy-samoreguliruyuschiysya-pischevoy-srp16-2cr-ekranirovannyy-16v-51-0199/", "Инфо")</f>
        <v>Инфо</v>
      </c>
      <c r="F324" s="16" t="s">
        <v>18757</v>
      </c>
      <c r="G324" s="15"/>
      <c r="H324" s="15"/>
      <c r="I324" s="15" t="s">
        <v>18999</v>
      </c>
      <c r="J324" s="17">
        <v>850</v>
      </c>
      <c r="K324" s="15"/>
      <c r="L324" s="17">
        <v>50</v>
      </c>
      <c r="M324" s="17">
        <v>50</v>
      </c>
      <c r="N324" s="17">
        <v>50</v>
      </c>
      <c r="O324" s="18">
        <v>411.28</v>
      </c>
      <c r="P324" s="18">
        <v>337.11</v>
      </c>
      <c r="Q324" s="18">
        <v>349.59</v>
      </c>
      <c r="R324" s="18">
        <v>286.55</v>
      </c>
      <c r="S324" s="18">
        <v>279.67</v>
      </c>
      <c r="T324" s="18">
        <v>229.24</v>
      </c>
      <c r="U324" s="16"/>
      <c r="V324" s="16"/>
      <c r="W324" s="16" t="s">
        <v>40</v>
      </c>
      <c r="X324" s="19">
        <v>5.3999999999999999E-2</v>
      </c>
      <c r="Y324" s="20">
        <v>8.0000000000000007E-5</v>
      </c>
      <c r="Z324" s="21">
        <v>4601004329843</v>
      </c>
    </row>
    <row r="325" spans="1:26" ht="12" customHeight="1" outlineLevel="4" x14ac:dyDescent="0.2">
      <c r="A325" s="14" t="s">
        <v>19004</v>
      </c>
      <c r="B325" s="26" t="s">
        <v>19005</v>
      </c>
      <c r="C325" s="52"/>
      <c r="D325" s="55">
        <f t="shared" si="4"/>
        <v>0</v>
      </c>
      <c r="E325" s="63" t="str">
        <f>HYPERLINK("https://www.sds-group.ru/product/kabel-greyuschiy-nagrevatelnyy-samoreguliruyuschiysya-s-uf-zaschitoy-srl30-2cr-uv-ekranirova-51-0235/", "Инфо")</f>
        <v>Инфо</v>
      </c>
      <c r="F325" s="16" t="s">
        <v>18757</v>
      </c>
      <c r="G325" s="15"/>
      <c r="H325" s="15"/>
      <c r="I325" s="15" t="s">
        <v>19006</v>
      </c>
      <c r="J325" s="17">
        <v>400</v>
      </c>
      <c r="K325" s="15"/>
      <c r="L325" s="17">
        <v>100</v>
      </c>
      <c r="M325" s="17">
        <v>100</v>
      </c>
      <c r="N325" s="17">
        <v>100</v>
      </c>
      <c r="O325" s="18">
        <v>383.72</v>
      </c>
      <c r="P325" s="18">
        <v>314.52</v>
      </c>
      <c r="Q325" s="18">
        <v>345.35</v>
      </c>
      <c r="R325" s="18">
        <v>283.07</v>
      </c>
      <c r="S325" s="18">
        <v>260.93</v>
      </c>
      <c r="T325" s="18">
        <v>213.88</v>
      </c>
      <c r="U325" s="16"/>
      <c r="V325" s="16"/>
      <c r="W325" s="16" t="s">
        <v>40</v>
      </c>
      <c r="X325" s="19">
        <v>0.104</v>
      </c>
      <c r="Y325" s="20">
        <v>1.35E-4</v>
      </c>
      <c r="Z325" s="21">
        <v>4601004329782</v>
      </c>
    </row>
    <row r="326" spans="1:26" ht="12" customHeight="1" outlineLevel="4" x14ac:dyDescent="0.2">
      <c r="A326" s="14" t="s">
        <v>19009</v>
      </c>
      <c r="B326" s="26" t="s">
        <v>19010</v>
      </c>
      <c r="C326" s="52"/>
      <c r="D326" s="55">
        <f t="shared" si="4"/>
        <v>0</v>
      </c>
      <c r="E326" s="63" t="str">
        <f>HYPERLINK("https://www.sds-group.ru/product/kabel-greyuschiy-nagrevatelnyy-samoreguliruyuschiysya-s-uf-zaschitoy-srl30-2cr-uv-ekranirova-51-0234/", "Инфо")</f>
        <v>Инфо</v>
      </c>
      <c r="F326" s="16" t="s">
        <v>18757</v>
      </c>
      <c r="G326" s="15"/>
      <c r="H326" s="15"/>
      <c r="I326" s="15" t="s">
        <v>18999</v>
      </c>
      <c r="J326" s="17">
        <v>50</v>
      </c>
      <c r="K326" s="15" t="s">
        <v>6837</v>
      </c>
      <c r="L326" s="17">
        <v>50</v>
      </c>
      <c r="M326" s="17">
        <v>50</v>
      </c>
      <c r="N326" s="17">
        <v>50</v>
      </c>
      <c r="O326" s="18">
        <v>383.72</v>
      </c>
      <c r="P326" s="18">
        <v>314.52</v>
      </c>
      <c r="Q326" s="18">
        <v>345.35</v>
      </c>
      <c r="R326" s="18">
        <v>283.07</v>
      </c>
      <c r="S326" s="18">
        <v>260.93</v>
      </c>
      <c r="T326" s="18">
        <v>213.88</v>
      </c>
      <c r="U326" s="16"/>
      <c r="V326" s="16"/>
      <c r="W326" s="16" t="s">
        <v>40</v>
      </c>
      <c r="X326" s="19">
        <v>0.104</v>
      </c>
      <c r="Y326" s="20">
        <v>1.3300000000000001E-4</v>
      </c>
      <c r="Z326" s="21">
        <v>4601004328587</v>
      </c>
    </row>
    <row r="327" spans="1:26" ht="12" customHeight="1" outlineLevel="4" x14ac:dyDescent="0.2">
      <c r="A327" s="14" t="s">
        <v>19013</v>
      </c>
      <c r="B327" s="26" t="s">
        <v>19014</v>
      </c>
      <c r="C327" s="52"/>
      <c r="D327" s="55">
        <f t="shared" si="4"/>
        <v>0</v>
      </c>
      <c r="E327" s="63" t="str">
        <f>HYPERLINK("https://www.sds-group.ru/product/kabel-greyuschiy-nagrevatelnyy-samoreguliruyuschiysya-s-uf-zaschitoy-srl40-2cr-uv-ekranirova-51-0237/", "Инфо")</f>
        <v>Инфо</v>
      </c>
      <c r="F327" s="16" t="s">
        <v>18757</v>
      </c>
      <c r="G327" s="15"/>
      <c r="H327" s="15"/>
      <c r="I327" s="15" t="s">
        <v>19006</v>
      </c>
      <c r="J327" s="16" t="s">
        <v>100</v>
      </c>
      <c r="K327" s="15" t="s">
        <v>6837</v>
      </c>
      <c r="L327" s="17">
        <v>100</v>
      </c>
      <c r="M327" s="17">
        <v>100</v>
      </c>
      <c r="N327" s="17">
        <v>100</v>
      </c>
      <c r="O327" s="18">
        <v>396.44</v>
      </c>
      <c r="P327" s="18">
        <v>324.95</v>
      </c>
      <c r="Q327" s="18">
        <v>356.8</v>
      </c>
      <c r="R327" s="18">
        <v>292.45999999999998</v>
      </c>
      <c r="S327" s="18">
        <v>269.58</v>
      </c>
      <c r="T327" s="18">
        <v>220.97</v>
      </c>
      <c r="U327" s="16"/>
      <c r="V327" s="16"/>
      <c r="W327" s="16" t="s">
        <v>40</v>
      </c>
      <c r="X327" s="19">
        <v>0.104</v>
      </c>
      <c r="Y327" s="20">
        <v>1.2899999999999999E-4</v>
      </c>
      <c r="Z327" s="21">
        <v>4601004329768</v>
      </c>
    </row>
    <row r="328" spans="1:26" ht="12" customHeight="1" outlineLevel="4" x14ac:dyDescent="0.2">
      <c r="A328" s="14" t="s">
        <v>19017</v>
      </c>
      <c r="B328" s="26" t="s">
        <v>19018</v>
      </c>
      <c r="C328" s="52"/>
      <c r="D328" s="55">
        <f t="shared" si="4"/>
        <v>0</v>
      </c>
      <c r="E328" s="63" t="str">
        <f>HYPERLINK("https://www.sds-group.ru/product/kabel-greyuschiy-nagrevatelnyy-samoreguliruyuschiysya-s-uf-zaschitoy-srl40-2cr-uv-ekranirova-51-0236/", "Инфо")</f>
        <v>Инфо</v>
      </c>
      <c r="F328" s="16" t="s">
        <v>18757</v>
      </c>
      <c r="G328" s="15"/>
      <c r="H328" s="15"/>
      <c r="I328" s="15" t="s">
        <v>18999</v>
      </c>
      <c r="J328" s="17">
        <v>750</v>
      </c>
      <c r="K328" s="15"/>
      <c r="L328" s="17">
        <v>50</v>
      </c>
      <c r="M328" s="17">
        <v>50</v>
      </c>
      <c r="N328" s="17">
        <v>50</v>
      </c>
      <c r="O328" s="18">
        <v>396.44</v>
      </c>
      <c r="P328" s="18">
        <v>324.95</v>
      </c>
      <c r="Q328" s="18">
        <v>356.8</v>
      </c>
      <c r="R328" s="18">
        <v>292.45999999999998</v>
      </c>
      <c r="S328" s="18">
        <v>269.58</v>
      </c>
      <c r="T328" s="18">
        <v>220.97</v>
      </c>
      <c r="U328" s="16"/>
      <c r="V328" s="16"/>
      <c r="W328" s="16" t="s">
        <v>40</v>
      </c>
      <c r="X328" s="19">
        <v>0.105</v>
      </c>
      <c r="Y328" s="20">
        <v>1.35E-4</v>
      </c>
      <c r="Z328" s="21">
        <v>4601004329713</v>
      </c>
    </row>
    <row r="329" spans="1:26" ht="12.95" customHeight="1" outlineLevel="3" x14ac:dyDescent="0.2">
      <c r="A329" s="76" t="s">
        <v>19021</v>
      </c>
      <c r="B329" s="76"/>
      <c r="C329" s="77"/>
      <c r="D329" s="58"/>
      <c r="E329" s="68"/>
      <c r="F329" s="30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 spans="1:26" ht="12" customHeight="1" outlineLevel="4" x14ac:dyDescent="0.2">
      <c r="A330" s="14" t="s">
        <v>19045</v>
      </c>
      <c r="B330" s="26" t="s">
        <v>19046</v>
      </c>
      <c r="C330" s="52"/>
      <c r="D330" s="55">
        <f t="shared" ref="D330:D392" si="5">C330*(O330-O330*$G$3)</f>
        <v>0</v>
      </c>
      <c r="E330" s="63" t="str">
        <f>HYPERLINK("https://www.sds-group.ru/product/kabel-greyuschiy-nagrevatelnyy-samoreguliruyuschiysya-srl30-2-neekranirovannyy-30vt-m-0-93mm-51-0213/", "Инфо")</f>
        <v>Инфо</v>
      </c>
      <c r="F330" s="16" t="s">
        <v>1767</v>
      </c>
      <c r="G330" s="15"/>
      <c r="H330" s="15"/>
      <c r="I330" s="15" t="s">
        <v>19006</v>
      </c>
      <c r="J330" s="22">
        <v>3100</v>
      </c>
      <c r="K330" s="15" t="s">
        <v>2750</v>
      </c>
      <c r="L330" s="17">
        <v>100</v>
      </c>
      <c r="M330" s="17">
        <v>200</v>
      </c>
      <c r="N330" s="17">
        <v>100</v>
      </c>
      <c r="O330" s="18">
        <v>132.5</v>
      </c>
      <c r="P330" s="18">
        <v>108.61</v>
      </c>
      <c r="Q330" s="18">
        <v>119.25</v>
      </c>
      <c r="R330" s="18">
        <v>97.75</v>
      </c>
      <c r="S330" s="18">
        <v>90.1</v>
      </c>
      <c r="T330" s="18">
        <v>73.849999999999994</v>
      </c>
      <c r="U330" s="16"/>
      <c r="V330" s="16"/>
      <c r="W330" s="16" t="s">
        <v>40</v>
      </c>
      <c r="X330" s="19">
        <v>3.9E-2</v>
      </c>
      <c r="Y330" s="20">
        <v>9.3999999999999994E-5</v>
      </c>
      <c r="Z330" s="21">
        <v>4601004147560</v>
      </c>
    </row>
    <row r="331" spans="1:26" ht="12" customHeight="1" outlineLevel="4" x14ac:dyDescent="0.2">
      <c r="A331" s="14" t="s">
        <v>19049</v>
      </c>
      <c r="B331" s="26" t="s">
        <v>19050</v>
      </c>
      <c r="C331" s="52"/>
      <c r="D331" s="55">
        <f t="shared" si="5"/>
        <v>0</v>
      </c>
      <c r="E331" s="63" t="str">
        <f>HYPERLINK("https://www.sds-group.ru/product/kabel-greyuschiy-nagrevatelnyy-samoreguliruyuschiysya-srl30-2-neekranirovannyy-30vt-m-0-93mm-51-0210/", "Инфо")</f>
        <v>Инфо</v>
      </c>
      <c r="F331" s="16" t="s">
        <v>1767</v>
      </c>
      <c r="G331" s="15"/>
      <c r="H331" s="15"/>
      <c r="I331" s="15" t="s">
        <v>18999</v>
      </c>
      <c r="J331" s="22">
        <v>4450</v>
      </c>
      <c r="K331" s="15" t="s">
        <v>1131</v>
      </c>
      <c r="L331" s="17">
        <v>50</v>
      </c>
      <c r="M331" s="17">
        <v>200</v>
      </c>
      <c r="N331" s="17">
        <v>50</v>
      </c>
      <c r="O331" s="18">
        <v>132.5</v>
      </c>
      <c r="P331" s="18">
        <v>108.61</v>
      </c>
      <c r="Q331" s="18">
        <v>119.25</v>
      </c>
      <c r="R331" s="18">
        <v>97.75</v>
      </c>
      <c r="S331" s="18">
        <v>90.1</v>
      </c>
      <c r="T331" s="18">
        <v>73.849999999999994</v>
      </c>
      <c r="U331" s="16"/>
      <c r="V331" s="16"/>
      <c r="W331" s="16" t="s">
        <v>40</v>
      </c>
      <c r="X331" s="19">
        <v>0.04</v>
      </c>
      <c r="Y331" s="20">
        <v>1.16E-4</v>
      </c>
      <c r="Z331" s="21">
        <v>4601004147539</v>
      </c>
    </row>
    <row r="332" spans="1:26" ht="12" customHeight="1" outlineLevel="4" x14ac:dyDescent="0.2">
      <c r="A332" s="14" t="s">
        <v>19055</v>
      </c>
      <c r="B332" s="26" t="s">
        <v>19056</v>
      </c>
      <c r="C332" s="52"/>
      <c r="D332" s="55">
        <f t="shared" si="5"/>
        <v>0</v>
      </c>
      <c r="E332" s="63" t="str">
        <f>HYPERLINK("https://www.sds-group.ru/product/kabel-greyuschiy-nagrevatelnyy-samoreguliruyuschiysya-s-uf-zaschitoy-srl30-2-uv-neekranirova-51-0231/", "Инфо")</f>
        <v>Инфо</v>
      </c>
      <c r="F332" s="16" t="s">
        <v>18757</v>
      </c>
      <c r="G332" s="15"/>
      <c r="H332" s="15"/>
      <c r="I332" s="15" t="s">
        <v>19006</v>
      </c>
      <c r="J332" s="17">
        <v>400</v>
      </c>
      <c r="K332" s="15"/>
      <c r="L332" s="17">
        <v>100</v>
      </c>
      <c r="M332" s="17">
        <v>100</v>
      </c>
      <c r="N332" s="17">
        <v>100</v>
      </c>
      <c r="O332" s="18">
        <v>279.83999999999997</v>
      </c>
      <c r="P332" s="18">
        <v>229.38</v>
      </c>
      <c r="Q332" s="18">
        <v>237.86</v>
      </c>
      <c r="R332" s="18">
        <v>194.97</v>
      </c>
      <c r="S332" s="18">
        <v>190.29</v>
      </c>
      <c r="T332" s="18">
        <v>155.97999999999999</v>
      </c>
      <c r="U332" s="16"/>
      <c r="V332" s="16"/>
      <c r="W332" s="16" t="s">
        <v>40</v>
      </c>
      <c r="X332" s="19">
        <v>8.1000000000000003E-2</v>
      </c>
      <c r="Y332" s="20">
        <v>1.18E-4</v>
      </c>
      <c r="Z332" s="21">
        <v>4601004329683</v>
      </c>
    </row>
    <row r="333" spans="1:26" ht="12" customHeight="1" outlineLevel="4" x14ac:dyDescent="0.2">
      <c r="A333" s="14" t="s">
        <v>19059</v>
      </c>
      <c r="B333" s="26" t="s">
        <v>19060</v>
      </c>
      <c r="C333" s="52"/>
      <c r="D333" s="55">
        <f t="shared" si="5"/>
        <v>0</v>
      </c>
      <c r="E333" s="63" t="str">
        <f>HYPERLINK("https://www.sds-group.ru/product/kabel-greyuschiy-nagrevatelnyy-samoreguliruyuschiysya-s-uf-zaschitoy-srl30-2-uv-neekranirova-51-0230/", "Инфо")</f>
        <v>Инфо</v>
      </c>
      <c r="F333" s="16" t="s">
        <v>18757</v>
      </c>
      <c r="G333" s="15"/>
      <c r="H333" s="15"/>
      <c r="I333" s="15" t="s">
        <v>18999</v>
      </c>
      <c r="J333" s="17">
        <v>450</v>
      </c>
      <c r="K333" s="15"/>
      <c r="L333" s="17">
        <v>50</v>
      </c>
      <c r="M333" s="17">
        <v>50</v>
      </c>
      <c r="N333" s="17">
        <v>50</v>
      </c>
      <c r="O333" s="18">
        <v>279.83999999999997</v>
      </c>
      <c r="P333" s="18">
        <v>229.38</v>
      </c>
      <c r="Q333" s="18">
        <v>237.86</v>
      </c>
      <c r="R333" s="18">
        <v>194.97</v>
      </c>
      <c r="S333" s="18">
        <v>190.29</v>
      </c>
      <c r="T333" s="18">
        <v>155.97999999999999</v>
      </c>
      <c r="U333" s="16"/>
      <c r="V333" s="16"/>
      <c r="W333" s="16" t="s">
        <v>40</v>
      </c>
      <c r="X333" s="19">
        <v>8.6999999999999994E-2</v>
      </c>
      <c r="Y333" s="20">
        <v>1.25E-4</v>
      </c>
      <c r="Z333" s="21">
        <v>4601004329676</v>
      </c>
    </row>
    <row r="334" spans="1:26" ht="12" customHeight="1" outlineLevel="4" x14ac:dyDescent="0.2">
      <c r="A334" s="14" t="s">
        <v>19061</v>
      </c>
      <c r="B334" s="26" t="s">
        <v>19062</v>
      </c>
      <c r="C334" s="52"/>
      <c r="D334" s="55">
        <f t="shared" si="5"/>
        <v>0</v>
      </c>
      <c r="E334" s="63" t="str">
        <f>HYPERLINK("https://www.sds-group.ru/product/kabel-greyuschiy-nagrevatelnyy-samoreguliruyuschiysya-s-uf-zaschitoy-srl40-2-uv-neekranirova-51-0233/", "Инфо")</f>
        <v>Инфо</v>
      </c>
      <c r="F334" s="16" t="s">
        <v>18757</v>
      </c>
      <c r="G334" s="15"/>
      <c r="H334" s="15"/>
      <c r="I334" s="15" t="s">
        <v>19006</v>
      </c>
      <c r="J334" s="17">
        <v>700</v>
      </c>
      <c r="K334" s="15"/>
      <c r="L334" s="17">
        <v>100</v>
      </c>
      <c r="M334" s="17">
        <v>100</v>
      </c>
      <c r="N334" s="17">
        <v>100</v>
      </c>
      <c r="O334" s="18">
        <v>284.08</v>
      </c>
      <c r="P334" s="18">
        <v>232.85</v>
      </c>
      <c r="Q334" s="18">
        <v>241.47</v>
      </c>
      <c r="R334" s="18">
        <v>197.93</v>
      </c>
      <c r="S334" s="18">
        <v>193.17</v>
      </c>
      <c r="T334" s="18">
        <v>158.34</v>
      </c>
      <c r="U334" s="16"/>
      <c r="V334" s="16"/>
      <c r="W334" s="16" t="s">
        <v>40</v>
      </c>
      <c r="X334" s="19">
        <v>8.1000000000000003E-2</v>
      </c>
      <c r="Y334" s="20">
        <v>1.13E-4</v>
      </c>
      <c r="Z334" s="21">
        <v>4601004329775</v>
      </c>
    </row>
    <row r="335" spans="1:26" ht="12" customHeight="1" outlineLevel="4" x14ac:dyDescent="0.2">
      <c r="A335" s="14" t="s">
        <v>19065</v>
      </c>
      <c r="B335" s="26" t="s">
        <v>19066</v>
      </c>
      <c r="C335" s="52"/>
      <c r="D335" s="55">
        <f t="shared" si="5"/>
        <v>0</v>
      </c>
      <c r="E335" s="63" t="str">
        <f>HYPERLINK("https://www.sds-group.ru/product/kabel-greyuschiy-nagrevatelnyy-samoreguliruyuschiysya-s-uf-zaschitoy-srl40-2-uv-neekranirova-51-0232/", "Инфо")</f>
        <v>Инфо</v>
      </c>
      <c r="F335" s="16" t="s">
        <v>18757</v>
      </c>
      <c r="G335" s="15"/>
      <c r="H335" s="15"/>
      <c r="I335" s="15" t="s">
        <v>18999</v>
      </c>
      <c r="J335" s="16" t="s">
        <v>100</v>
      </c>
      <c r="K335" s="15"/>
      <c r="L335" s="17">
        <v>50</v>
      </c>
      <c r="M335" s="17">
        <v>50</v>
      </c>
      <c r="N335" s="17">
        <v>50</v>
      </c>
      <c r="O335" s="18">
        <v>284.08</v>
      </c>
      <c r="P335" s="18">
        <v>232.85</v>
      </c>
      <c r="Q335" s="18">
        <v>241.47</v>
      </c>
      <c r="R335" s="18">
        <v>197.93</v>
      </c>
      <c r="S335" s="18">
        <v>193.17</v>
      </c>
      <c r="T335" s="18">
        <v>158.34</v>
      </c>
      <c r="U335" s="16"/>
      <c r="V335" s="16"/>
      <c r="W335" s="16" t="s">
        <v>40</v>
      </c>
      <c r="X335" s="19">
        <v>0.09</v>
      </c>
      <c r="Y335" s="20">
        <v>1.25E-4</v>
      </c>
      <c r="Z335" s="21">
        <v>4601004329744</v>
      </c>
    </row>
    <row r="336" spans="1:26" ht="12.95" customHeight="1" outlineLevel="2" x14ac:dyDescent="0.2">
      <c r="A336" s="76" t="s">
        <v>19067</v>
      </c>
      <c r="B336" s="76"/>
      <c r="C336" s="77"/>
      <c r="D336" s="58"/>
      <c r="E336" s="68"/>
      <c r="F336" s="30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 spans="1:26" ht="12.95" customHeight="1" outlineLevel="3" x14ac:dyDescent="0.2">
      <c r="A337" s="76" t="s">
        <v>19068</v>
      </c>
      <c r="B337" s="76"/>
      <c r="C337" s="77"/>
      <c r="D337" s="58"/>
      <c r="E337" s="68"/>
      <c r="F337" s="30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 spans="1:26" ht="12" customHeight="1" outlineLevel="4" x14ac:dyDescent="0.2">
      <c r="A338" s="14" t="s">
        <v>19071</v>
      </c>
      <c r="B338" s="26" t="s">
        <v>19072</v>
      </c>
      <c r="C338" s="52"/>
      <c r="D338" s="55">
        <f t="shared" si="5"/>
        <v>0</v>
      </c>
      <c r="E338" s="63" t="str">
        <f>HYPERLINK("https://www.sds-group.ru/product/kabel-greyuschiy-dlya-progreva-betona-40vt-m-150m-rexant-51-0087/", "Инфо")</f>
        <v>Инфо</v>
      </c>
      <c r="F338" s="16" t="s">
        <v>39</v>
      </c>
      <c r="G338" s="15"/>
      <c r="H338" s="15"/>
      <c r="I338" s="15" t="s">
        <v>13445</v>
      </c>
      <c r="J338" s="17">
        <v>15</v>
      </c>
      <c r="K338" s="15"/>
      <c r="L338" s="17">
        <v>1</v>
      </c>
      <c r="M338" s="17">
        <v>1</v>
      </c>
      <c r="N338" s="17">
        <v>1</v>
      </c>
      <c r="O338" s="18">
        <v>26925.7</v>
      </c>
      <c r="P338" s="18">
        <v>22070.25</v>
      </c>
      <c r="Q338" s="18">
        <v>22886.85</v>
      </c>
      <c r="R338" s="18">
        <v>18759.71</v>
      </c>
      <c r="S338" s="18">
        <v>18309.48</v>
      </c>
      <c r="T338" s="18">
        <v>15007.77</v>
      </c>
      <c r="U338" s="16"/>
      <c r="V338" s="16"/>
      <c r="W338" s="16" t="s">
        <v>40</v>
      </c>
      <c r="X338" s="19">
        <v>7.9550000000000001</v>
      </c>
      <c r="Y338" s="20">
        <v>1.7410999999999999E-2</v>
      </c>
      <c r="Z338" s="21">
        <v>4601004274242</v>
      </c>
    </row>
    <row r="339" spans="1:26" ht="12.95" customHeight="1" outlineLevel="3" x14ac:dyDescent="0.2">
      <c r="A339" s="76" t="s">
        <v>19085</v>
      </c>
      <c r="B339" s="76"/>
      <c r="C339" s="77"/>
      <c r="D339" s="58"/>
      <c r="E339" s="68"/>
      <c r="F339" s="30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 spans="1:26" ht="12" customHeight="1" outlineLevel="4" x14ac:dyDescent="0.2">
      <c r="A340" s="32" t="s">
        <v>19112</v>
      </c>
      <c r="B340" s="74" t="s">
        <v>19113</v>
      </c>
      <c r="C340" s="50"/>
      <c r="D340" s="53">
        <f t="shared" si="5"/>
        <v>0</v>
      </c>
      <c r="E340" s="60" t="str">
        <f>HYPERLINK("https://www.sds-group.ru/product/kabel-greyuschiy-dlya-obogreva-otkrytyh-ploschadok-20vt-m-175m-rexant-51-0100/", "Инфо")</f>
        <v>Инфо</v>
      </c>
      <c r="F340" s="34" t="s">
        <v>39</v>
      </c>
      <c r="G340" s="33"/>
      <c r="H340" s="33" t="s">
        <v>40</v>
      </c>
      <c r="I340" s="33" t="s">
        <v>19114</v>
      </c>
      <c r="J340" s="35">
        <v>1</v>
      </c>
      <c r="K340" s="33"/>
      <c r="L340" s="35">
        <v>1</v>
      </c>
      <c r="M340" s="35">
        <v>1</v>
      </c>
      <c r="N340" s="35">
        <v>1</v>
      </c>
      <c r="O340" s="36">
        <v>12170.7</v>
      </c>
      <c r="P340" s="36">
        <v>9975.98</v>
      </c>
      <c r="Q340" s="36">
        <v>8519.49</v>
      </c>
      <c r="R340" s="36">
        <v>6983.19</v>
      </c>
      <c r="S340" s="36">
        <v>8276.08</v>
      </c>
      <c r="T340" s="36">
        <v>6783.67</v>
      </c>
      <c r="U340" s="34"/>
      <c r="V340" s="34"/>
      <c r="W340" s="34"/>
      <c r="X340" s="37">
        <v>7.5510000000000002</v>
      </c>
      <c r="Y340" s="38">
        <v>1.1520000000000001E-2</v>
      </c>
      <c r="Z340" s="21">
        <v>4601004269903</v>
      </c>
    </row>
    <row r="341" spans="1:26" ht="12.95" customHeight="1" outlineLevel="2" x14ac:dyDescent="0.2">
      <c r="A341" s="76" t="s">
        <v>19115</v>
      </c>
      <c r="B341" s="76"/>
      <c r="C341" s="77"/>
      <c r="D341" s="58"/>
      <c r="E341" s="68"/>
      <c r="F341" s="30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 spans="1:26" ht="12.95" customHeight="1" outlineLevel="3" x14ac:dyDescent="0.2">
      <c r="A342" s="76" t="s">
        <v>19116</v>
      </c>
      <c r="B342" s="76"/>
      <c r="C342" s="77"/>
      <c r="D342" s="58"/>
      <c r="E342" s="68"/>
      <c r="F342" s="30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 spans="1:26" ht="12" customHeight="1" outlineLevel="4" x14ac:dyDescent="0.2">
      <c r="A343" s="14" t="s">
        <v>19119</v>
      </c>
      <c r="B343" s="26" t="s">
        <v>19120</v>
      </c>
      <c r="C343" s="52"/>
      <c r="D343" s="55">
        <f t="shared" si="5"/>
        <v>0</v>
      </c>
      <c r="E343" s="63" t="str">
        <f>HYPERLINK("https://www.sds-group.ru/product/termoregulyator-meteostantsiya-termostat-16a-04-na-din-reyku-rexant-51-0829/", "Инфо")</f>
        <v>Инфо</v>
      </c>
      <c r="F343" s="16" t="s">
        <v>39</v>
      </c>
      <c r="G343" s="15"/>
      <c r="H343" s="15"/>
      <c r="I343" s="15" t="s">
        <v>19121</v>
      </c>
      <c r="J343" s="16" t="s">
        <v>100</v>
      </c>
      <c r="K343" s="15"/>
      <c r="L343" s="17">
        <v>1</v>
      </c>
      <c r="M343" s="17">
        <v>1</v>
      </c>
      <c r="N343" s="17">
        <v>1</v>
      </c>
      <c r="O343" s="18">
        <v>18528.8</v>
      </c>
      <c r="P343" s="18">
        <v>15187.54</v>
      </c>
      <c r="Q343" s="18">
        <v>16675.919999999998</v>
      </c>
      <c r="R343" s="18">
        <v>13668.79</v>
      </c>
      <c r="S343" s="18">
        <v>12599.58</v>
      </c>
      <c r="T343" s="18">
        <v>10327.52</v>
      </c>
      <c r="U343" s="16"/>
      <c r="V343" s="16"/>
      <c r="W343" s="16" t="s">
        <v>40</v>
      </c>
      <c r="X343" s="19">
        <v>0.246</v>
      </c>
      <c r="Y343" s="20">
        <v>7.6800000000000002E-4</v>
      </c>
      <c r="Z343" s="21">
        <v>4601004328228</v>
      </c>
    </row>
    <row r="344" spans="1:26" ht="12" customHeight="1" outlineLevel="4" x14ac:dyDescent="0.2">
      <c r="A344" s="14" t="s">
        <v>19126</v>
      </c>
      <c r="B344" s="26" t="s">
        <v>19127</v>
      </c>
      <c r="C344" s="52"/>
      <c r="D344" s="55">
        <f t="shared" si="5"/>
        <v>0</v>
      </c>
      <c r="E344" s="63" t="str">
        <f>HYPERLINK("https://www.sds-group.ru/product/termoregulyator-termostat-16a-05-na-din-reyku-rexant-51-0830/", "Инфо")</f>
        <v>Инфо</v>
      </c>
      <c r="F344" s="16" t="s">
        <v>39</v>
      </c>
      <c r="G344" s="15"/>
      <c r="H344" s="15"/>
      <c r="I344" s="15" t="s">
        <v>19121</v>
      </c>
      <c r="J344" s="17">
        <v>12</v>
      </c>
      <c r="K344" s="15"/>
      <c r="L344" s="17">
        <v>1</v>
      </c>
      <c r="M344" s="17">
        <v>1</v>
      </c>
      <c r="N344" s="17">
        <v>1</v>
      </c>
      <c r="O344" s="18">
        <v>13205.75</v>
      </c>
      <c r="P344" s="18">
        <v>10824.39</v>
      </c>
      <c r="Q344" s="18">
        <v>10960.77</v>
      </c>
      <c r="R344" s="18">
        <v>8984.24</v>
      </c>
      <c r="S344" s="18">
        <v>8979.91</v>
      </c>
      <c r="T344" s="18">
        <v>7360.58</v>
      </c>
      <c r="U344" s="16"/>
      <c r="V344" s="16"/>
      <c r="W344" s="16" t="s">
        <v>40</v>
      </c>
      <c r="X344" s="19">
        <v>0.20699999999999999</v>
      </c>
      <c r="Y344" s="20">
        <v>1.668E-3</v>
      </c>
      <c r="Z344" s="21">
        <v>4601004328204</v>
      </c>
    </row>
    <row r="345" spans="1:26" ht="12.95" customHeight="1" outlineLevel="3" x14ac:dyDescent="0.2">
      <c r="A345" s="76" t="s">
        <v>19130</v>
      </c>
      <c r="B345" s="76"/>
      <c r="C345" s="77"/>
      <c r="D345" s="58"/>
      <c r="E345" s="68"/>
      <c r="F345" s="30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 spans="1:26" ht="12" customHeight="1" outlineLevel="4" x14ac:dyDescent="0.2">
      <c r="A346" s="14" t="s">
        <v>19133</v>
      </c>
      <c r="B346" s="26" t="s">
        <v>19134</v>
      </c>
      <c r="C346" s="52"/>
      <c r="D346" s="55">
        <f t="shared" si="5"/>
        <v>0</v>
      </c>
      <c r="E346" s="63" t="str">
        <f>HYPERLINK("https://www.sds-group.ru/product/termoregulyator-termostat-road-40a-ip65-rexant-51-0842/", "Инфо")</f>
        <v>Инфо</v>
      </c>
      <c r="F346" s="16" t="s">
        <v>39</v>
      </c>
      <c r="G346" s="15"/>
      <c r="H346" s="15"/>
      <c r="I346" s="15" t="s">
        <v>19135</v>
      </c>
      <c r="J346" s="16" t="s">
        <v>100</v>
      </c>
      <c r="K346" s="15"/>
      <c r="L346" s="17">
        <v>1</v>
      </c>
      <c r="M346" s="17">
        <v>1</v>
      </c>
      <c r="N346" s="17">
        <v>1</v>
      </c>
      <c r="O346" s="18">
        <v>19938.599999999999</v>
      </c>
      <c r="P346" s="18">
        <v>16343.11</v>
      </c>
      <c r="Q346" s="18">
        <v>17944.740000000002</v>
      </c>
      <c r="R346" s="18">
        <v>14708.8</v>
      </c>
      <c r="S346" s="18">
        <v>13558.25</v>
      </c>
      <c r="T346" s="18">
        <v>11113.32</v>
      </c>
      <c r="U346" s="16"/>
      <c r="V346" s="16"/>
      <c r="W346" s="16" t="s">
        <v>40</v>
      </c>
      <c r="X346" s="19">
        <v>0.57599999999999996</v>
      </c>
      <c r="Y346" s="20">
        <v>2.2409999999999999E-3</v>
      </c>
      <c r="Z346" s="21">
        <v>4601004328198</v>
      </c>
    </row>
    <row r="347" spans="1:26" ht="12.95" customHeight="1" outlineLevel="3" x14ac:dyDescent="0.2">
      <c r="A347" s="76" t="s">
        <v>19139</v>
      </c>
      <c r="B347" s="76"/>
      <c r="C347" s="77"/>
      <c r="D347" s="58"/>
      <c r="E347" s="68"/>
      <c r="F347" s="30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 spans="1:26" ht="12" customHeight="1" outlineLevel="4" x14ac:dyDescent="0.2">
      <c r="A348" s="14" t="s">
        <v>19142</v>
      </c>
      <c r="B348" s="26" t="s">
        <v>19143</v>
      </c>
      <c r="C348" s="52"/>
      <c r="D348" s="55">
        <f t="shared" si="5"/>
        <v>0</v>
      </c>
      <c r="E348" s="63" t="str">
        <f>HYPERLINK("https://www.sds-group.ru/product/datchik-osadkov-watsen-sky-s-blokom-pitaniya-rexant-51-1009/", "Инфо")</f>
        <v>Инфо</v>
      </c>
      <c r="F348" s="16" t="s">
        <v>39</v>
      </c>
      <c r="G348" s="15"/>
      <c r="H348" s="15"/>
      <c r="I348" s="15" t="s">
        <v>19121</v>
      </c>
      <c r="J348" s="17">
        <v>1</v>
      </c>
      <c r="K348" s="15" t="s">
        <v>1094</v>
      </c>
      <c r="L348" s="17">
        <v>1</v>
      </c>
      <c r="M348" s="17">
        <v>1</v>
      </c>
      <c r="N348" s="17">
        <v>1</v>
      </c>
      <c r="O348" s="18">
        <v>9667.2000000000007</v>
      </c>
      <c r="P348" s="18">
        <v>7923.93</v>
      </c>
      <c r="Q348" s="18">
        <v>8700.48</v>
      </c>
      <c r="R348" s="18">
        <v>7131.54</v>
      </c>
      <c r="S348" s="18">
        <v>6573.7</v>
      </c>
      <c r="T348" s="18">
        <v>5388.28</v>
      </c>
      <c r="U348" s="16"/>
      <c r="V348" s="16"/>
      <c r="W348" s="16" t="s">
        <v>40</v>
      </c>
      <c r="X348" s="19">
        <v>0.46</v>
      </c>
      <c r="Y348" s="20">
        <v>1.5510000000000001E-3</v>
      </c>
      <c r="Z348" s="21">
        <v>4601004328211</v>
      </c>
    </row>
    <row r="349" spans="1:26" ht="12" customHeight="1" outlineLevel="4" x14ac:dyDescent="0.2">
      <c r="A349" s="14" t="s">
        <v>19144</v>
      </c>
      <c r="B349" s="26" t="s">
        <v>19145</v>
      </c>
      <c r="C349" s="52"/>
      <c r="D349" s="55">
        <f t="shared" si="5"/>
        <v>0</v>
      </c>
      <c r="E349" s="63" t="str">
        <f>HYPERLINK("https://www.sds-group.ru/product/datchik-temperatury-analogovyy-temp-a-7-6-8kom-2m-rexant-51-1006/", "Инфо")</f>
        <v>Инфо</v>
      </c>
      <c r="F349" s="16" t="s">
        <v>39</v>
      </c>
      <c r="G349" s="15"/>
      <c r="H349" s="15"/>
      <c r="I349" s="15" t="s">
        <v>19146</v>
      </c>
      <c r="J349" s="16" t="s">
        <v>100</v>
      </c>
      <c r="K349" s="15"/>
      <c r="L349" s="17">
        <v>1</v>
      </c>
      <c r="M349" s="17">
        <v>1</v>
      </c>
      <c r="N349" s="17">
        <v>1</v>
      </c>
      <c r="O349" s="18">
        <v>1369.09</v>
      </c>
      <c r="P349" s="18">
        <v>1122.2</v>
      </c>
      <c r="Q349" s="18">
        <v>1136.3399999999999</v>
      </c>
      <c r="R349" s="18">
        <v>931.43</v>
      </c>
      <c r="S349" s="18">
        <v>930.98</v>
      </c>
      <c r="T349" s="18">
        <v>763.1</v>
      </c>
      <c r="U349" s="16"/>
      <c r="V349" s="16"/>
      <c r="W349" s="16" t="s">
        <v>40</v>
      </c>
      <c r="X349" s="19">
        <v>4.2999999999999997E-2</v>
      </c>
      <c r="Y349" s="20">
        <v>2.9100000000000003E-4</v>
      </c>
      <c r="Z349" s="21">
        <v>4601004328150</v>
      </c>
    </row>
    <row r="350" spans="1:26" ht="12.95" customHeight="1" outlineLevel="2" x14ac:dyDescent="0.2">
      <c r="A350" s="76" t="s">
        <v>19169</v>
      </c>
      <c r="B350" s="76"/>
      <c r="C350" s="77"/>
      <c r="D350" s="58"/>
      <c r="E350" s="68"/>
      <c r="F350" s="30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 spans="1:26" ht="12" customHeight="1" outlineLevel="3" x14ac:dyDescent="0.2">
      <c r="A351" s="14" t="s">
        <v>19206</v>
      </c>
      <c r="B351" s="26" t="s">
        <v>19207</v>
      </c>
      <c r="C351" s="52"/>
      <c r="D351" s="55">
        <f t="shared" si="5"/>
        <v>0</v>
      </c>
      <c r="E351" s="63" t="str">
        <f>HYPERLINK("https://www.sds-group.ru/product/lenta-elektromontajnaya-perforirovannaya-le-50-50m-rexant-31955/", "Инфо")</f>
        <v>Инфо</v>
      </c>
      <c r="F351" s="16" t="s">
        <v>39</v>
      </c>
      <c r="G351" s="15"/>
      <c r="H351" s="15"/>
      <c r="I351" s="15" t="s">
        <v>13445</v>
      </c>
      <c r="J351" s="17">
        <v>5</v>
      </c>
      <c r="K351" s="15" t="s">
        <v>19024</v>
      </c>
      <c r="L351" s="17">
        <v>1</v>
      </c>
      <c r="M351" s="17">
        <v>1</v>
      </c>
      <c r="N351" s="17">
        <v>1</v>
      </c>
      <c r="O351" s="18">
        <v>14926.26</v>
      </c>
      <c r="P351" s="18">
        <v>12234.64</v>
      </c>
      <c r="Q351" s="18">
        <v>13433.63</v>
      </c>
      <c r="R351" s="18">
        <v>11011.17</v>
      </c>
      <c r="S351" s="18">
        <v>10149.86</v>
      </c>
      <c r="T351" s="18">
        <v>8319.56</v>
      </c>
      <c r="U351" s="16"/>
      <c r="V351" s="16"/>
      <c r="W351" s="16" t="s">
        <v>40</v>
      </c>
      <c r="X351" s="19">
        <v>6.9720000000000004</v>
      </c>
      <c r="Y351" s="20">
        <v>8.7309999999999992E-3</v>
      </c>
      <c r="Z351" s="21">
        <v>4601004332034</v>
      </c>
    </row>
    <row r="352" spans="1:26" ht="12.95" customHeight="1" x14ac:dyDescent="0.2">
      <c r="A352" s="80" t="s">
        <v>19455</v>
      </c>
      <c r="B352" s="80"/>
      <c r="C352" s="81"/>
      <c r="D352" s="56"/>
      <c r="E352" s="66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  <c r="W352" s="28"/>
      <c r="X352" s="28"/>
      <c r="Y352" s="28"/>
      <c r="Z352" s="28"/>
    </row>
    <row r="353" spans="1:26" ht="12.95" customHeight="1" outlineLevel="1" x14ac:dyDescent="0.2">
      <c r="A353" s="78" t="s">
        <v>19456</v>
      </c>
      <c r="B353" s="78"/>
      <c r="C353" s="79"/>
      <c r="D353" s="57"/>
      <c r="E353" s="67"/>
      <c r="F353" s="29"/>
      <c r="G353" s="29"/>
      <c r="H353" s="29"/>
      <c r="I353" s="29"/>
      <c r="J353" s="29"/>
      <c r="K353" s="29"/>
      <c r="L353" s="29"/>
      <c r="M353" s="29"/>
      <c r="N353" s="29"/>
      <c r="O353" s="29"/>
      <c r="P353" s="29"/>
      <c r="Q353" s="29"/>
      <c r="R353" s="29"/>
      <c r="S353" s="29"/>
      <c r="T353" s="29"/>
      <c r="U353" s="29"/>
      <c r="V353" s="29"/>
      <c r="W353" s="29"/>
      <c r="X353" s="29"/>
      <c r="Y353" s="29"/>
      <c r="Z353" s="29"/>
    </row>
    <row r="354" spans="1:26" ht="12.95" customHeight="1" outlineLevel="2" x14ac:dyDescent="0.2">
      <c r="A354" s="82" t="s">
        <v>19635</v>
      </c>
      <c r="B354" s="82"/>
      <c r="C354" s="83"/>
      <c r="D354" s="59"/>
      <c r="E354" s="69"/>
      <c r="F354" s="31"/>
      <c r="G354" s="31"/>
      <c r="H354" s="31"/>
      <c r="I354" s="31"/>
      <c r="J354" s="31"/>
      <c r="K354" s="31"/>
      <c r="L354" s="31"/>
      <c r="M354" s="31"/>
      <c r="N354" s="31"/>
      <c r="O354" s="31"/>
      <c r="P354" s="31"/>
      <c r="Q354" s="31"/>
      <c r="R354" s="31"/>
      <c r="S354" s="31"/>
      <c r="T354" s="31"/>
      <c r="U354" s="31"/>
      <c r="V354" s="31"/>
      <c r="W354" s="31"/>
      <c r="X354" s="31"/>
      <c r="Y354" s="31"/>
      <c r="Z354" s="31"/>
    </row>
    <row r="355" spans="1:26" ht="12" customHeight="1" outlineLevel="3" x14ac:dyDescent="0.2">
      <c r="A355" s="32" t="s">
        <v>19652</v>
      </c>
      <c r="B355" s="74" t="s">
        <v>19653</v>
      </c>
      <c r="C355" s="50"/>
      <c r="D355" s="53">
        <f t="shared" si="5"/>
        <v>0</v>
      </c>
      <c r="E355" s="60" t="str">
        <f>HYPERLINK("https://www.sds-group.ru/product/nochnik-svetodiodnyy-steklyannyy-medved-rexant-75-0603/", "Инфо")</f>
        <v>Инфо</v>
      </c>
      <c r="F355" s="34" t="s">
        <v>39</v>
      </c>
      <c r="G355" s="33"/>
      <c r="H355" s="33" t="s">
        <v>40</v>
      </c>
      <c r="I355" s="33" t="s">
        <v>19654</v>
      </c>
      <c r="J355" s="35">
        <v>4</v>
      </c>
      <c r="K355" s="33"/>
      <c r="L355" s="35">
        <v>1</v>
      </c>
      <c r="M355" s="35">
        <v>12</v>
      </c>
      <c r="N355" s="35">
        <v>1</v>
      </c>
      <c r="O355" s="36">
        <v>1482.79</v>
      </c>
      <c r="P355" s="36">
        <v>1215.4000000000001</v>
      </c>
      <c r="Q355" s="36">
        <v>1037.95</v>
      </c>
      <c r="R355" s="36">
        <v>850.78</v>
      </c>
      <c r="S355" s="36">
        <v>1008.3</v>
      </c>
      <c r="T355" s="36">
        <v>826.48</v>
      </c>
      <c r="U355" s="34"/>
      <c r="V355" s="34"/>
      <c r="W355" s="34"/>
      <c r="X355" s="37">
        <v>0.28899999999999998</v>
      </c>
      <c r="Y355" s="38">
        <v>3.0309999999999998E-3</v>
      </c>
      <c r="Z355" s="21">
        <v>4601004302600</v>
      </c>
    </row>
    <row r="356" spans="1:26" ht="12.95" customHeight="1" x14ac:dyDescent="0.2">
      <c r="A356" s="80" t="s">
        <v>20387</v>
      </c>
      <c r="B356" s="80"/>
      <c r="C356" s="81"/>
      <c r="D356" s="56"/>
      <c r="E356" s="66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  <c r="W356" s="28"/>
      <c r="X356" s="28"/>
      <c r="Y356" s="28"/>
      <c r="Z356" s="28"/>
    </row>
    <row r="357" spans="1:26" ht="12.95" customHeight="1" outlineLevel="1" x14ac:dyDescent="0.2">
      <c r="A357" s="78" t="s">
        <v>21354</v>
      </c>
      <c r="B357" s="78"/>
      <c r="C357" s="79"/>
      <c r="D357" s="57"/>
      <c r="E357" s="67"/>
      <c r="F357" s="29"/>
      <c r="G357" s="29"/>
      <c r="H357" s="29"/>
      <c r="I357" s="29"/>
      <c r="J357" s="29"/>
      <c r="K357" s="29"/>
      <c r="L357" s="29"/>
      <c r="M357" s="29"/>
      <c r="N357" s="29"/>
      <c r="O357" s="29"/>
      <c r="P357" s="29"/>
      <c r="Q357" s="29"/>
      <c r="R357" s="29"/>
      <c r="S357" s="29"/>
      <c r="T357" s="29"/>
      <c r="U357" s="29"/>
      <c r="V357" s="29"/>
      <c r="W357" s="29"/>
      <c r="X357" s="29"/>
      <c r="Y357" s="29"/>
      <c r="Z357" s="29"/>
    </row>
    <row r="358" spans="1:26" ht="12.95" customHeight="1" outlineLevel="2" x14ac:dyDescent="0.2">
      <c r="A358" s="76" t="s">
        <v>21496</v>
      </c>
      <c r="B358" s="76"/>
      <c r="C358" s="77"/>
      <c r="D358" s="58"/>
      <c r="E358" s="68"/>
      <c r="F358" s="30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 spans="1:26" ht="12" customHeight="1" outlineLevel="3" x14ac:dyDescent="0.2">
      <c r="A359" s="14" t="s">
        <v>21497</v>
      </c>
      <c r="B359" s="26" t="s">
        <v>21498</v>
      </c>
      <c r="C359" s="52"/>
      <c r="D359" s="55">
        <f t="shared" si="5"/>
        <v>0</v>
      </c>
      <c r="E359" s="63" t="str">
        <f>HYPERLINK("https://www.sds-group.ru/product/svetodiodnoe-derevo-sakura-vysota-1-5-m-diametr-krony-1-4m-rgb-svetodiody-kontroller-ip65-po-531-109/", "Инфо")</f>
        <v>Инфо</v>
      </c>
      <c r="F359" s="16" t="s">
        <v>39</v>
      </c>
      <c r="G359" s="15"/>
      <c r="H359" s="15"/>
      <c r="I359" s="24">
        <v>-150</v>
      </c>
      <c r="J359" s="16" t="s">
        <v>100</v>
      </c>
      <c r="K359" s="15"/>
      <c r="L359" s="17">
        <v>1</v>
      </c>
      <c r="M359" s="17">
        <v>1</v>
      </c>
      <c r="N359" s="17">
        <v>1</v>
      </c>
      <c r="O359" s="18">
        <v>123812.63</v>
      </c>
      <c r="P359" s="18">
        <v>101485.75999999999</v>
      </c>
      <c r="Q359" s="18">
        <v>90383.22</v>
      </c>
      <c r="R359" s="18">
        <v>74084.61</v>
      </c>
      <c r="S359" s="18">
        <v>76763.83</v>
      </c>
      <c r="T359" s="18">
        <v>62921.17</v>
      </c>
      <c r="U359" s="16"/>
      <c r="V359" s="16"/>
      <c r="W359" s="16" t="s">
        <v>40</v>
      </c>
      <c r="X359" s="19">
        <v>22</v>
      </c>
      <c r="Y359" s="20">
        <v>0.193333</v>
      </c>
      <c r="Z359" s="21">
        <v>2000032768204</v>
      </c>
    </row>
    <row r="360" spans="1:26" ht="12" customHeight="1" outlineLevel="3" x14ac:dyDescent="0.2">
      <c r="A360" s="14" t="s">
        <v>21511</v>
      </c>
      <c r="B360" s="26" t="s">
        <v>21512</v>
      </c>
      <c r="C360" s="52"/>
      <c r="D360" s="55">
        <f t="shared" si="5"/>
        <v>0</v>
      </c>
      <c r="E360" s="63" t="str">
        <f>HYPERLINK("https://www.sds-group.ru/product/svetodiodnoe-derevo-sakura-vysota-2-4-m-diametr-krony-1-7-m-zelenye-diody-ip65-ponizhayuschi-531-324/", "Инфо")</f>
        <v>Инфо</v>
      </c>
      <c r="F360" s="16" t="s">
        <v>39</v>
      </c>
      <c r="G360" s="15"/>
      <c r="H360" s="15"/>
      <c r="I360" s="24">
        <v>-150</v>
      </c>
      <c r="J360" s="16" t="s">
        <v>100</v>
      </c>
      <c r="K360" s="15"/>
      <c r="L360" s="17">
        <v>1</v>
      </c>
      <c r="M360" s="17">
        <v>1</v>
      </c>
      <c r="N360" s="17">
        <v>1</v>
      </c>
      <c r="O360" s="18">
        <v>48073.59</v>
      </c>
      <c r="P360" s="18">
        <v>39404.58</v>
      </c>
      <c r="Q360" s="18">
        <v>35093.72</v>
      </c>
      <c r="R360" s="18">
        <v>28765.34</v>
      </c>
      <c r="S360" s="18">
        <v>29805.63</v>
      </c>
      <c r="T360" s="18">
        <v>24430.84</v>
      </c>
      <c r="U360" s="16"/>
      <c r="V360" s="16"/>
      <c r="W360" s="16" t="s">
        <v>40</v>
      </c>
      <c r="X360" s="19">
        <v>14.8</v>
      </c>
      <c r="Y360" s="20">
        <v>9.425E-2</v>
      </c>
      <c r="Z360" s="21">
        <v>2000031017075</v>
      </c>
    </row>
    <row r="361" spans="1:26" ht="12" customHeight="1" outlineLevel="3" x14ac:dyDescent="0.2">
      <c r="A361" s="14" t="s">
        <v>21513</v>
      </c>
      <c r="B361" s="26" t="s">
        <v>21514</v>
      </c>
      <c r="C361" s="52"/>
      <c r="D361" s="55">
        <f t="shared" si="5"/>
        <v>0</v>
      </c>
      <c r="E361" s="63" t="str">
        <f>HYPERLINK("https://www.sds-group.ru/product/svetodiodnoe-derevo-sakura-vysota-2-4-m-diametr-krony-1-7m-krasnye-diody-ip65-ponizhayuschiy-531-322/", "Инфо")</f>
        <v>Инфо</v>
      </c>
      <c r="F361" s="16" t="s">
        <v>39</v>
      </c>
      <c r="G361" s="15"/>
      <c r="H361" s="15"/>
      <c r="I361" s="15" t="s">
        <v>21515</v>
      </c>
      <c r="J361" s="16" t="s">
        <v>100</v>
      </c>
      <c r="K361" s="15"/>
      <c r="L361" s="17">
        <v>1</v>
      </c>
      <c r="M361" s="17">
        <v>1</v>
      </c>
      <c r="N361" s="17">
        <v>1</v>
      </c>
      <c r="O361" s="18">
        <v>48073.59</v>
      </c>
      <c r="P361" s="18">
        <v>39404.58</v>
      </c>
      <c r="Q361" s="18">
        <v>35093.72</v>
      </c>
      <c r="R361" s="18">
        <v>28765.34</v>
      </c>
      <c r="S361" s="18">
        <v>29805.63</v>
      </c>
      <c r="T361" s="18">
        <v>24430.84</v>
      </c>
      <c r="U361" s="16"/>
      <c r="V361" s="16"/>
      <c r="W361" s="16" t="s">
        <v>40</v>
      </c>
      <c r="X361" s="19">
        <v>18</v>
      </c>
      <c r="Y361" s="20">
        <v>0.3</v>
      </c>
      <c r="Z361" s="21">
        <v>2000031017051</v>
      </c>
    </row>
    <row r="362" spans="1:26" ht="12" customHeight="1" outlineLevel="3" x14ac:dyDescent="0.2">
      <c r="A362" s="14" t="s">
        <v>21518</v>
      </c>
      <c r="B362" s="26" t="s">
        <v>21519</v>
      </c>
      <c r="C362" s="52"/>
      <c r="D362" s="55">
        <f t="shared" si="5"/>
        <v>0</v>
      </c>
      <c r="E362" s="63" t="str">
        <f>HYPERLINK("https://www.sds-group.ru/product/svetodiodnoe-derevo-sakura-vysota-2-4m-diametr-krony-2-0m-zheltye-svetodiody-ip65-ponizhayus-531-121/", "Инфо")</f>
        <v>Инфо</v>
      </c>
      <c r="F362" s="16" t="s">
        <v>39</v>
      </c>
      <c r="G362" s="15"/>
      <c r="H362" s="15"/>
      <c r="I362" s="15" t="s">
        <v>21515</v>
      </c>
      <c r="J362" s="16" t="s">
        <v>100</v>
      </c>
      <c r="K362" s="15"/>
      <c r="L362" s="17">
        <v>1</v>
      </c>
      <c r="M362" s="17">
        <v>1</v>
      </c>
      <c r="N362" s="17">
        <v>1</v>
      </c>
      <c r="O362" s="18">
        <v>113494.15</v>
      </c>
      <c r="P362" s="18">
        <v>93027.99</v>
      </c>
      <c r="Q362" s="18">
        <v>82850.73</v>
      </c>
      <c r="R362" s="18">
        <v>67910.429999999993</v>
      </c>
      <c r="S362" s="18">
        <v>70366.37</v>
      </c>
      <c r="T362" s="18">
        <v>57677.35</v>
      </c>
      <c r="U362" s="16"/>
      <c r="V362" s="16"/>
      <c r="W362" s="16" t="s">
        <v>40</v>
      </c>
      <c r="X362" s="19">
        <v>35.1</v>
      </c>
      <c r="Y362" s="20">
        <v>0.30049999999999999</v>
      </c>
      <c r="Z362" s="21">
        <v>4601004298071</v>
      </c>
    </row>
    <row r="363" spans="1:26" ht="12" customHeight="1" outlineLevel="3" x14ac:dyDescent="0.2">
      <c r="A363" s="14" t="s">
        <v>21520</v>
      </c>
      <c r="B363" s="26" t="s">
        <v>21521</v>
      </c>
      <c r="C363" s="52"/>
      <c r="D363" s="55">
        <f t="shared" si="5"/>
        <v>0</v>
      </c>
      <c r="E363" s="63" t="str">
        <f>HYPERLINK("https://www.sds-group.ru/product/svetodiodnoe-derevo-sakura-vysota-2-4m-diametr-krony-2-0m-zelenye-svetodiody-ip65-ponizhayus-531-124/", "Инфо")</f>
        <v>Инфо</v>
      </c>
      <c r="F363" s="16" t="s">
        <v>39</v>
      </c>
      <c r="G363" s="15"/>
      <c r="H363" s="15"/>
      <c r="I363" s="15" t="s">
        <v>21515</v>
      </c>
      <c r="J363" s="16" t="s">
        <v>100</v>
      </c>
      <c r="K363" s="15"/>
      <c r="L363" s="17">
        <v>1</v>
      </c>
      <c r="M363" s="17">
        <v>1</v>
      </c>
      <c r="N363" s="17">
        <v>1</v>
      </c>
      <c r="O363" s="18">
        <v>113494.15</v>
      </c>
      <c r="P363" s="18">
        <v>93027.99</v>
      </c>
      <c r="Q363" s="18">
        <v>82850.73</v>
      </c>
      <c r="R363" s="18">
        <v>67910.429999999993</v>
      </c>
      <c r="S363" s="18">
        <v>70366.37</v>
      </c>
      <c r="T363" s="18">
        <v>57677.35</v>
      </c>
      <c r="U363" s="16"/>
      <c r="V363" s="16"/>
      <c r="W363" s="16" t="s">
        <v>40</v>
      </c>
      <c r="X363" s="19">
        <v>39.299999999999997</v>
      </c>
      <c r="Y363" s="20">
        <v>0.33</v>
      </c>
      <c r="Z363" s="21">
        <v>4601004283770</v>
      </c>
    </row>
    <row r="364" spans="1:26" ht="12" customHeight="1" outlineLevel="3" x14ac:dyDescent="0.2">
      <c r="A364" s="14" t="s">
        <v>21522</v>
      </c>
      <c r="B364" s="26" t="s">
        <v>21523</v>
      </c>
      <c r="C364" s="52"/>
      <c r="D364" s="55">
        <f t="shared" si="5"/>
        <v>0</v>
      </c>
      <c r="E364" s="63" t="str">
        <f>HYPERLINK("https://www.sds-group.ru/product/svetodiodnoe-derevo-sakura-vysota-2-4m-diametr-krony-2-0-krasnye-svetodiody-ip-65-ponizhayus-531-122/", "Инфо")</f>
        <v>Инфо</v>
      </c>
      <c r="F364" s="16" t="s">
        <v>39</v>
      </c>
      <c r="G364" s="15"/>
      <c r="H364" s="15"/>
      <c r="I364" s="15" t="s">
        <v>21515</v>
      </c>
      <c r="J364" s="16" t="s">
        <v>100</v>
      </c>
      <c r="K364" s="15"/>
      <c r="L364" s="17">
        <v>1</v>
      </c>
      <c r="M364" s="17">
        <v>1</v>
      </c>
      <c r="N364" s="17">
        <v>1</v>
      </c>
      <c r="O364" s="18">
        <v>113494.15</v>
      </c>
      <c r="P364" s="18">
        <v>93027.99</v>
      </c>
      <c r="Q364" s="18">
        <v>82850.73</v>
      </c>
      <c r="R364" s="18">
        <v>67910.429999999993</v>
      </c>
      <c r="S364" s="18">
        <v>70366.37</v>
      </c>
      <c r="T364" s="18">
        <v>57677.35</v>
      </c>
      <c r="U364" s="16"/>
      <c r="V364" s="16"/>
      <c r="W364" s="16" t="s">
        <v>40</v>
      </c>
      <c r="X364" s="19">
        <v>32.299999999999997</v>
      </c>
      <c r="Y364" s="20">
        <v>0.32135999999999998</v>
      </c>
      <c r="Z364" s="21">
        <v>2000031060255</v>
      </c>
    </row>
    <row r="365" spans="1:26" ht="12" customHeight="1" outlineLevel="3" x14ac:dyDescent="0.2">
      <c r="A365" s="14" t="s">
        <v>21528</v>
      </c>
      <c r="B365" s="26" t="s">
        <v>21529</v>
      </c>
      <c r="C365" s="52"/>
      <c r="D365" s="55">
        <f t="shared" si="5"/>
        <v>0</v>
      </c>
      <c r="E365" s="63" t="str">
        <f>HYPERLINK("https://www.sds-group.ru/product/svetodiodnoe-derevo-sakura-vysota-2-4m-diametr-krony-2-0m-rgb-svetodiody-kontroller-ip65-pon-531-129/", "Инфо")</f>
        <v>Инфо</v>
      </c>
      <c r="F365" s="16" t="s">
        <v>39</v>
      </c>
      <c r="G365" s="15"/>
      <c r="H365" s="15"/>
      <c r="I365" s="15" t="s">
        <v>21515</v>
      </c>
      <c r="J365" s="16" t="s">
        <v>100</v>
      </c>
      <c r="K365" s="15"/>
      <c r="L365" s="17">
        <v>1</v>
      </c>
      <c r="M365" s="17">
        <v>1</v>
      </c>
      <c r="N365" s="17">
        <v>1</v>
      </c>
      <c r="O365" s="18">
        <v>208086.34</v>
      </c>
      <c r="P365" s="18">
        <v>170562.57</v>
      </c>
      <c r="Q365" s="18">
        <v>151903.03</v>
      </c>
      <c r="R365" s="18">
        <v>124510.68</v>
      </c>
      <c r="S365" s="18">
        <v>129013.53</v>
      </c>
      <c r="T365" s="18">
        <v>105748.8</v>
      </c>
      <c r="U365" s="16"/>
      <c r="V365" s="16"/>
      <c r="W365" s="16" t="s">
        <v>40</v>
      </c>
      <c r="X365" s="19">
        <v>45</v>
      </c>
      <c r="Y365" s="20">
        <v>0.40200000000000002</v>
      </c>
      <c r="Z365" s="21">
        <v>2000032768198</v>
      </c>
    </row>
    <row r="366" spans="1:26" ht="12" customHeight="1" outlineLevel="3" x14ac:dyDescent="0.2">
      <c r="A366" s="14" t="s">
        <v>21530</v>
      </c>
      <c r="B366" s="26" t="s">
        <v>21531</v>
      </c>
      <c r="C366" s="52"/>
      <c r="D366" s="55">
        <f t="shared" si="5"/>
        <v>0</v>
      </c>
      <c r="E366" s="63" t="str">
        <f>HYPERLINK("https://www.sds-group.ru/product/svetodiodnoe-derevo-sakura-1728led-vysota-3-6m-diametr-krony-3-0m-belye-svetodiody-ip-65-pon-531-215/", "Инфо")</f>
        <v>Инфо</v>
      </c>
      <c r="F366" s="16" t="s">
        <v>39</v>
      </c>
      <c r="G366" s="15"/>
      <c r="H366" s="15"/>
      <c r="I366" s="15" t="s">
        <v>21515</v>
      </c>
      <c r="J366" s="16" t="s">
        <v>100</v>
      </c>
      <c r="K366" s="15"/>
      <c r="L366" s="17">
        <v>1</v>
      </c>
      <c r="M366" s="17">
        <v>1</v>
      </c>
      <c r="N366" s="17">
        <v>1</v>
      </c>
      <c r="O366" s="18">
        <v>113494.15</v>
      </c>
      <c r="P366" s="18">
        <v>93027.99</v>
      </c>
      <c r="Q366" s="18">
        <v>82850.73</v>
      </c>
      <c r="R366" s="18">
        <v>67910.429999999993</v>
      </c>
      <c r="S366" s="18">
        <v>70366.37</v>
      </c>
      <c r="T366" s="18">
        <v>57677.35</v>
      </c>
      <c r="U366" s="16"/>
      <c r="V366" s="16"/>
      <c r="W366" s="16" t="s">
        <v>40</v>
      </c>
      <c r="X366" s="19">
        <v>39</v>
      </c>
      <c r="Y366" s="20">
        <v>0.40600000000000003</v>
      </c>
      <c r="Z366" s="21">
        <v>2000031060620</v>
      </c>
    </row>
    <row r="367" spans="1:26" ht="12" customHeight="1" outlineLevel="3" x14ac:dyDescent="0.2">
      <c r="A367" s="14" t="s">
        <v>21532</v>
      </c>
      <c r="B367" s="26" t="s">
        <v>21533</v>
      </c>
      <c r="C367" s="52"/>
      <c r="D367" s="55">
        <f t="shared" si="5"/>
        <v>0</v>
      </c>
      <c r="E367" s="63" t="str">
        <f>HYPERLINK("https://www.sds-group.ru/product/svetodiodnoe-derevo-sakura-vysota-3-6m-diametr-krony-3-0-sinie-svetodiody-ip-65-ponizhayusch-531-213/", "Инфо")</f>
        <v>Инфо</v>
      </c>
      <c r="F367" s="16" t="s">
        <v>39</v>
      </c>
      <c r="G367" s="15"/>
      <c r="H367" s="15"/>
      <c r="I367" s="15" t="s">
        <v>21515</v>
      </c>
      <c r="J367" s="16" t="s">
        <v>100</v>
      </c>
      <c r="K367" s="15"/>
      <c r="L367" s="17">
        <v>1</v>
      </c>
      <c r="M367" s="17">
        <v>1</v>
      </c>
      <c r="N367" s="17">
        <v>1</v>
      </c>
      <c r="O367" s="18">
        <v>104381.83</v>
      </c>
      <c r="P367" s="18">
        <v>85558.88</v>
      </c>
      <c r="Q367" s="18">
        <v>76198.740000000005</v>
      </c>
      <c r="R367" s="18">
        <v>62457.98</v>
      </c>
      <c r="S367" s="18">
        <v>64716.73</v>
      </c>
      <c r="T367" s="18">
        <v>53046.5</v>
      </c>
      <c r="U367" s="16"/>
      <c r="V367" s="16"/>
      <c r="W367" s="16" t="s">
        <v>40</v>
      </c>
      <c r="X367" s="19">
        <v>33.479999999999997</v>
      </c>
      <c r="Y367" s="20">
        <v>0.36720000000000003</v>
      </c>
      <c r="Z367" s="21">
        <v>2000031060613</v>
      </c>
    </row>
    <row r="368" spans="1:26" ht="12" customHeight="1" outlineLevel="3" x14ac:dyDescent="0.2">
      <c r="A368" s="14" t="s">
        <v>21534</v>
      </c>
      <c r="B368" s="26" t="s">
        <v>21535</v>
      </c>
      <c r="C368" s="52"/>
      <c r="D368" s="55">
        <f t="shared" si="5"/>
        <v>0</v>
      </c>
      <c r="E368" s="63" t="str">
        <f>HYPERLINK("https://www.sds-group.ru/product/svetodiodnoe-derevo-sakura-1728led-vysota-3-6m-diametr-krony-3-0m-fioletovye-svetodiody-ip-6-531-216/", "Инфо")</f>
        <v>Инфо</v>
      </c>
      <c r="F368" s="16" t="s">
        <v>39</v>
      </c>
      <c r="G368" s="15"/>
      <c r="H368" s="15"/>
      <c r="I368" s="15" t="s">
        <v>21515</v>
      </c>
      <c r="J368" s="16" t="s">
        <v>100</v>
      </c>
      <c r="K368" s="15"/>
      <c r="L368" s="17">
        <v>1</v>
      </c>
      <c r="M368" s="17">
        <v>1</v>
      </c>
      <c r="N368" s="17">
        <v>1</v>
      </c>
      <c r="O368" s="18">
        <v>113494.15</v>
      </c>
      <c r="P368" s="18">
        <v>93027.99</v>
      </c>
      <c r="Q368" s="18">
        <v>82850.73</v>
      </c>
      <c r="R368" s="18">
        <v>67910.429999999993</v>
      </c>
      <c r="S368" s="18">
        <v>70366.37</v>
      </c>
      <c r="T368" s="18">
        <v>57677.35</v>
      </c>
      <c r="U368" s="16"/>
      <c r="V368" s="16"/>
      <c r="W368" s="16" t="s">
        <v>40</v>
      </c>
      <c r="X368" s="19">
        <v>32.299999999999997</v>
      </c>
      <c r="Y368" s="20">
        <v>0.274057</v>
      </c>
      <c r="Z368" s="21">
        <v>2000031060637</v>
      </c>
    </row>
    <row r="369" spans="1:26" ht="12" customHeight="1" outlineLevel="3" x14ac:dyDescent="0.2">
      <c r="A369" s="14" t="s">
        <v>21536</v>
      </c>
      <c r="B369" s="26" t="s">
        <v>21537</v>
      </c>
      <c r="C369" s="52"/>
      <c r="D369" s="55">
        <f t="shared" si="5"/>
        <v>0</v>
      </c>
      <c r="E369" s="63" t="str">
        <f>HYPERLINK("https://www.sds-group.ru/product/svetodiodnoe-derevo-sakura-6921led-vysota-3-6m-diametr-krony-3-0m-belye-svetodiody-ip-65-pon-531-235/", "Инфо")</f>
        <v>Инфо</v>
      </c>
      <c r="F369" s="16" t="s">
        <v>39</v>
      </c>
      <c r="G369" s="15"/>
      <c r="H369" s="15"/>
      <c r="I369" s="15" t="s">
        <v>21515</v>
      </c>
      <c r="J369" s="16" t="s">
        <v>100</v>
      </c>
      <c r="K369" s="15"/>
      <c r="L369" s="17">
        <v>1</v>
      </c>
      <c r="M369" s="17">
        <v>1</v>
      </c>
      <c r="N369" s="17">
        <v>1</v>
      </c>
      <c r="O369" s="18">
        <v>357714.5</v>
      </c>
      <c r="P369" s="18">
        <v>293208.61</v>
      </c>
      <c r="Q369" s="18">
        <v>261131.59</v>
      </c>
      <c r="R369" s="18">
        <v>214042.29</v>
      </c>
      <c r="S369" s="18">
        <v>221782.99</v>
      </c>
      <c r="T369" s="18">
        <v>181789.34</v>
      </c>
      <c r="U369" s="16"/>
      <c r="V369" s="16"/>
      <c r="W369" s="16" t="s">
        <v>40</v>
      </c>
      <c r="X369" s="19">
        <v>36.5</v>
      </c>
      <c r="Y369" s="20">
        <v>0.51666699999999999</v>
      </c>
      <c r="Z369" s="21">
        <v>4601004278998</v>
      </c>
    </row>
    <row r="370" spans="1:26" ht="12" customHeight="1" outlineLevel="3" x14ac:dyDescent="0.2">
      <c r="A370" s="14" t="s">
        <v>21538</v>
      </c>
      <c r="B370" s="26" t="s">
        <v>21539</v>
      </c>
      <c r="C370" s="52"/>
      <c r="D370" s="55">
        <f t="shared" si="5"/>
        <v>0</v>
      </c>
      <c r="E370" s="63" t="str">
        <f>HYPERLINK("https://www.sds-group.ru/product/svetodiodnoe-derevo-sakura-vysota-3-6m-diametr-krony3-0m-krasnye-svetodiody-ip65-ponizhayusc-531-232/", "Инфо")</f>
        <v>Инфо</v>
      </c>
      <c r="F370" s="16" t="s">
        <v>39</v>
      </c>
      <c r="G370" s="15"/>
      <c r="H370" s="15"/>
      <c r="I370" s="15" t="s">
        <v>21515</v>
      </c>
      <c r="J370" s="16" t="s">
        <v>100</v>
      </c>
      <c r="K370" s="15"/>
      <c r="L370" s="17">
        <v>1</v>
      </c>
      <c r="M370" s="17">
        <v>1</v>
      </c>
      <c r="N370" s="17">
        <v>1</v>
      </c>
      <c r="O370" s="18">
        <v>317031.67</v>
      </c>
      <c r="P370" s="18">
        <v>259862.02</v>
      </c>
      <c r="Q370" s="18">
        <v>231433.12</v>
      </c>
      <c r="R370" s="18">
        <v>189699.28</v>
      </c>
      <c r="S370" s="18">
        <v>196559.64</v>
      </c>
      <c r="T370" s="18">
        <v>161114.46</v>
      </c>
      <c r="U370" s="16"/>
      <c r="V370" s="16"/>
      <c r="W370" s="16" t="s">
        <v>40</v>
      </c>
      <c r="X370" s="19">
        <v>93.9</v>
      </c>
      <c r="Y370" s="20">
        <v>0.64</v>
      </c>
      <c r="Z370" s="21">
        <v>4601004297449</v>
      </c>
    </row>
    <row r="371" spans="1:26" ht="12" customHeight="1" outlineLevel="3" x14ac:dyDescent="0.2">
      <c r="A371" s="14" t="s">
        <v>21540</v>
      </c>
      <c r="B371" s="26" t="s">
        <v>21541</v>
      </c>
      <c r="C371" s="52"/>
      <c r="D371" s="55">
        <f t="shared" si="5"/>
        <v>0</v>
      </c>
      <c r="E371" s="63" t="str">
        <f>HYPERLINK("https://www.sds-group.ru/product/svetodiodnoe-derevo-sakura-vysota-3-6m-diametr-krony-3-0m-sinie-svetodiody-ip65-ponizhayusch-531-233/", "Инфо")</f>
        <v>Инфо</v>
      </c>
      <c r="F371" s="16" t="s">
        <v>39</v>
      </c>
      <c r="G371" s="15"/>
      <c r="H371" s="15"/>
      <c r="I371" s="24">
        <v>-150</v>
      </c>
      <c r="J371" s="16" t="s">
        <v>100</v>
      </c>
      <c r="K371" s="15"/>
      <c r="L371" s="17">
        <v>1</v>
      </c>
      <c r="M371" s="17">
        <v>1</v>
      </c>
      <c r="N371" s="17">
        <v>1</v>
      </c>
      <c r="O371" s="18">
        <v>299086.48</v>
      </c>
      <c r="P371" s="18">
        <v>245152.85</v>
      </c>
      <c r="Q371" s="18">
        <v>218333.13</v>
      </c>
      <c r="R371" s="18">
        <v>178961.58</v>
      </c>
      <c r="S371" s="18">
        <v>185433.62</v>
      </c>
      <c r="T371" s="18">
        <v>151994.76999999999</v>
      </c>
      <c r="U371" s="16"/>
      <c r="V371" s="16"/>
      <c r="W371" s="16" t="s">
        <v>40</v>
      </c>
      <c r="X371" s="19">
        <v>150</v>
      </c>
      <c r="Y371" s="20">
        <v>0.82499999999999996</v>
      </c>
      <c r="Z371" s="21">
        <v>4601004298057</v>
      </c>
    </row>
    <row r="372" spans="1:26" ht="12" customHeight="1" outlineLevel="3" x14ac:dyDescent="0.2">
      <c r="A372" s="14" t="s">
        <v>21542</v>
      </c>
      <c r="B372" s="26" t="s">
        <v>21543</v>
      </c>
      <c r="C372" s="52"/>
      <c r="D372" s="55">
        <f t="shared" si="5"/>
        <v>0</v>
      </c>
      <c r="E372" s="63" t="str">
        <f>HYPERLINK("https://www.sds-group.ru/product/svetodiodnoe-derevo-sakura-6921led-vysota-3-6m-diametr-krony-3-0m-fioletovye-svetodiody-ip-6-531-236/", "Инфо")</f>
        <v>Инфо</v>
      </c>
      <c r="F372" s="16" t="s">
        <v>39</v>
      </c>
      <c r="G372" s="15"/>
      <c r="H372" s="15"/>
      <c r="I372" s="24">
        <v>-150</v>
      </c>
      <c r="J372" s="16" t="s">
        <v>100</v>
      </c>
      <c r="K372" s="15"/>
      <c r="L372" s="17">
        <v>1</v>
      </c>
      <c r="M372" s="17">
        <v>1</v>
      </c>
      <c r="N372" s="17">
        <v>1</v>
      </c>
      <c r="O372" s="18">
        <v>357714.5</v>
      </c>
      <c r="P372" s="18">
        <v>293208.61</v>
      </c>
      <c r="Q372" s="18">
        <v>261131.59</v>
      </c>
      <c r="R372" s="18">
        <v>214042.29</v>
      </c>
      <c r="S372" s="18">
        <v>221782.99</v>
      </c>
      <c r="T372" s="18">
        <v>181789.34</v>
      </c>
      <c r="U372" s="16"/>
      <c r="V372" s="16"/>
      <c r="W372" s="16" t="s">
        <v>40</v>
      </c>
      <c r="X372" s="19">
        <v>140</v>
      </c>
      <c r="Y372" s="20">
        <v>0.64200000000000002</v>
      </c>
      <c r="Z372" s="21">
        <v>2000031060354</v>
      </c>
    </row>
    <row r="373" spans="1:26" ht="12" customHeight="1" outlineLevel="3" x14ac:dyDescent="0.2">
      <c r="A373" s="14" t="s">
        <v>21544</v>
      </c>
      <c r="B373" s="26" t="s">
        <v>21545</v>
      </c>
      <c r="C373" s="52"/>
      <c r="D373" s="55">
        <f t="shared" si="5"/>
        <v>0</v>
      </c>
      <c r="E373" s="63" t="str">
        <f>HYPERLINK("https://www.sds-group.ru/product/svetodiodnoe-derevo-sakura-vysota-3-6m-diametr-krony-3-0m-zelenye-svetodiody-ip-65-ponizhayu-531-234/", "Инфо")</f>
        <v>Инфо</v>
      </c>
      <c r="F373" s="16" t="s">
        <v>39</v>
      </c>
      <c r="G373" s="15"/>
      <c r="H373" s="15"/>
      <c r="I373" s="24">
        <v>-150</v>
      </c>
      <c r="J373" s="16" t="s">
        <v>100</v>
      </c>
      <c r="K373" s="15"/>
      <c r="L373" s="17">
        <v>1</v>
      </c>
      <c r="M373" s="17">
        <v>1</v>
      </c>
      <c r="N373" s="17">
        <v>1</v>
      </c>
      <c r="O373" s="18">
        <v>357714.5</v>
      </c>
      <c r="P373" s="18">
        <v>293208.61</v>
      </c>
      <c r="Q373" s="18">
        <v>261131.59</v>
      </c>
      <c r="R373" s="18">
        <v>214042.29</v>
      </c>
      <c r="S373" s="18">
        <v>221782.99</v>
      </c>
      <c r="T373" s="18">
        <v>181789.34</v>
      </c>
      <c r="U373" s="16"/>
      <c r="V373" s="16"/>
      <c r="W373" s="16" t="s">
        <v>40</v>
      </c>
      <c r="X373" s="19">
        <v>150</v>
      </c>
      <c r="Y373" s="20">
        <v>0.82499999999999996</v>
      </c>
      <c r="Z373" s="21">
        <v>4601004298064</v>
      </c>
    </row>
    <row r="374" spans="1:26" ht="12.95" customHeight="1" outlineLevel="1" x14ac:dyDescent="0.2">
      <c r="A374" s="78" t="s">
        <v>21566</v>
      </c>
      <c r="B374" s="78"/>
      <c r="C374" s="79"/>
      <c r="D374" s="57"/>
      <c r="E374" s="67"/>
      <c r="F374" s="29"/>
      <c r="G374" s="29"/>
      <c r="H374" s="29"/>
      <c r="I374" s="29"/>
      <c r="J374" s="29"/>
      <c r="K374" s="29"/>
      <c r="L374" s="29"/>
      <c r="M374" s="29"/>
      <c r="N374" s="29"/>
      <c r="O374" s="29"/>
      <c r="P374" s="29"/>
      <c r="Q374" s="29"/>
      <c r="R374" s="29"/>
      <c r="S374" s="29"/>
      <c r="T374" s="29"/>
      <c r="U374" s="29"/>
      <c r="V374" s="29"/>
      <c r="W374" s="29"/>
      <c r="X374" s="29"/>
      <c r="Y374" s="29"/>
      <c r="Z374" s="29"/>
    </row>
    <row r="375" spans="1:26" ht="12.95" customHeight="1" outlineLevel="2" x14ac:dyDescent="0.2">
      <c r="A375" s="76" t="s">
        <v>22639</v>
      </c>
      <c r="B375" s="76"/>
      <c r="C375" s="77"/>
      <c r="D375" s="58"/>
      <c r="E375" s="68"/>
      <c r="F375" s="30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 spans="1:26" ht="12.95" customHeight="1" outlineLevel="3" x14ac:dyDescent="0.2">
      <c r="A376" s="76" t="s">
        <v>22640</v>
      </c>
      <c r="B376" s="76"/>
      <c r="C376" s="77"/>
      <c r="D376" s="58"/>
      <c r="E376" s="68"/>
      <c r="F376" s="30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 spans="1:26" ht="24" customHeight="1" outlineLevel="4" x14ac:dyDescent="0.2">
      <c r="A377" s="14" t="s">
        <v>22641</v>
      </c>
      <c r="B377" s="26" t="s">
        <v>22642</v>
      </c>
      <c r="C377" s="52"/>
      <c r="D377" s="55">
        <f t="shared" si="5"/>
        <v>0</v>
      </c>
      <c r="E377" s="63" t="str">
        <f>HYPERLINK("https://www.sds-group.ru/product/el-evro-2-karkasnaya-16m-hvoya-plenka-533-318/", "Инфо")</f>
        <v>Инфо</v>
      </c>
      <c r="F377" s="16" t="s">
        <v>39</v>
      </c>
      <c r="G377" s="15"/>
      <c r="H377" s="15"/>
      <c r="I377" s="15" t="s">
        <v>22643</v>
      </c>
      <c r="J377" s="16" t="s">
        <v>100</v>
      </c>
      <c r="K377" s="15"/>
      <c r="L377" s="17">
        <v>1</v>
      </c>
      <c r="M377" s="17">
        <v>1</v>
      </c>
      <c r="N377" s="17">
        <v>1</v>
      </c>
      <c r="O377" s="18">
        <v>2376652.73</v>
      </c>
      <c r="P377" s="18">
        <v>1948076.01</v>
      </c>
      <c r="Q377" s="18">
        <v>2376652.73</v>
      </c>
      <c r="R377" s="18">
        <v>1948076.01</v>
      </c>
      <c r="S377" s="18">
        <v>1616123.86</v>
      </c>
      <c r="T377" s="18">
        <v>1324691.69</v>
      </c>
      <c r="U377" s="16"/>
      <c r="V377" s="16"/>
      <c r="W377" s="16" t="s">
        <v>40</v>
      </c>
      <c r="X377" s="27">
        <v>1485</v>
      </c>
      <c r="Y377" s="20">
        <v>6.1</v>
      </c>
      <c r="Z377" s="25"/>
    </row>
    <row r="378" spans="1:26" ht="12" customHeight="1" outlineLevel="4" x14ac:dyDescent="0.2">
      <c r="A378" s="14" t="s">
        <v>22644</v>
      </c>
      <c r="B378" s="26" t="s">
        <v>22645</v>
      </c>
      <c r="C378" s="52"/>
      <c r="D378" s="55">
        <f t="shared" si="5"/>
        <v>0</v>
      </c>
      <c r="E378" s="63" t="str">
        <f>HYPERLINK("https://www.sds-group.ru/product/el-evro-2-karkasnaya-10m-hvoya-plenka-533-307/", "Инфо")</f>
        <v>Инфо</v>
      </c>
      <c r="F378" s="16" t="s">
        <v>39</v>
      </c>
      <c r="G378" s="15"/>
      <c r="H378" s="15"/>
      <c r="I378" s="15" t="s">
        <v>22643</v>
      </c>
      <c r="J378" s="16" t="s">
        <v>100</v>
      </c>
      <c r="K378" s="15"/>
      <c r="L378" s="17">
        <v>1</v>
      </c>
      <c r="M378" s="17">
        <v>1</v>
      </c>
      <c r="N378" s="17">
        <v>1</v>
      </c>
      <c r="O378" s="18">
        <v>991575</v>
      </c>
      <c r="P378" s="18">
        <v>812766.39</v>
      </c>
      <c r="Q378" s="18">
        <v>991575</v>
      </c>
      <c r="R378" s="18">
        <v>812766.39</v>
      </c>
      <c r="S378" s="18">
        <v>674271</v>
      </c>
      <c r="T378" s="18">
        <v>552681.15</v>
      </c>
      <c r="U378" s="16"/>
      <c r="V378" s="16"/>
      <c r="W378" s="16" t="s">
        <v>40</v>
      </c>
      <c r="X378" s="19">
        <v>570</v>
      </c>
      <c r="Y378" s="20">
        <v>2.9</v>
      </c>
      <c r="Z378" s="21">
        <v>2000030959314</v>
      </c>
    </row>
    <row r="379" spans="1:26" ht="24" customHeight="1" outlineLevel="4" x14ac:dyDescent="0.2">
      <c r="A379" s="14" t="s">
        <v>22646</v>
      </c>
      <c r="B379" s="26" t="s">
        <v>22647</v>
      </c>
      <c r="C379" s="52"/>
      <c r="D379" s="55">
        <f t="shared" si="5"/>
        <v>0</v>
      </c>
      <c r="E379" s="63" t="str">
        <f>HYPERLINK("https://www.sds-group.ru/product/el-evro-2-karkasnaya-12m-hvoya-plenka-533-308/", "Инфо")</f>
        <v>Инфо</v>
      </c>
      <c r="F379" s="16" t="s">
        <v>39</v>
      </c>
      <c r="G379" s="15"/>
      <c r="H379" s="15"/>
      <c r="I379" s="15" t="s">
        <v>22643</v>
      </c>
      <c r="J379" s="16" t="s">
        <v>100</v>
      </c>
      <c r="K379" s="15"/>
      <c r="L379" s="17">
        <v>1</v>
      </c>
      <c r="M379" s="17">
        <v>1</v>
      </c>
      <c r="N379" s="17">
        <v>1</v>
      </c>
      <c r="O379" s="18">
        <v>1432953</v>
      </c>
      <c r="P379" s="18">
        <v>1174551.6399999999</v>
      </c>
      <c r="Q379" s="18">
        <v>1432953</v>
      </c>
      <c r="R379" s="18">
        <v>1174551.6399999999</v>
      </c>
      <c r="S379" s="18">
        <v>974408.04</v>
      </c>
      <c r="T379" s="18">
        <v>798695.11</v>
      </c>
      <c r="U379" s="16"/>
      <c r="V379" s="16"/>
      <c r="W379" s="16" t="s">
        <v>40</v>
      </c>
      <c r="X379" s="19">
        <v>850</v>
      </c>
      <c r="Y379" s="20">
        <v>4</v>
      </c>
      <c r="Z379" s="21">
        <v>2000030959321</v>
      </c>
    </row>
    <row r="380" spans="1:26" ht="24" customHeight="1" outlineLevel="4" x14ac:dyDescent="0.2">
      <c r="A380" s="14" t="s">
        <v>22648</v>
      </c>
      <c r="B380" s="26" t="s">
        <v>22649</v>
      </c>
      <c r="C380" s="52"/>
      <c r="D380" s="55">
        <f t="shared" si="5"/>
        <v>0</v>
      </c>
      <c r="E380" s="63" t="str">
        <f>HYPERLINK("https://www.sds-group.ru/product/el-evro-2-karkasnaya-15m-hvoya-plenka-533-311/", "Инфо")</f>
        <v>Инфо</v>
      </c>
      <c r="F380" s="16" t="s">
        <v>39</v>
      </c>
      <c r="G380" s="15"/>
      <c r="H380" s="15"/>
      <c r="I380" s="15" t="s">
        <v>22643</v>
      </c>
      <c r="J380" s="16" t="s">
        <v>100</v>
      </c>
      <c r="K380" s="15"/>
      <c r="L380" s="17">
        <v>1</v>
      </c>
      <c r="M380" s="17">
        <v>1</v>
      </c>
      <c r="N380" s="17">
        <v>1</v>
      </c>
      <c r="O380" s="18">
        <v>2287233</v>
      </c>
      <c r="P380" s="18">
        <v>1874781.15</v>
      </c>
      <c r="Q380" s="18">
        <v>2287233</v>
      </c>
      <c r="R380" s="18">
        <v>1874781.15</v>
      </c>
      <c r="S380" s="18">
        <v>1555318.44</v>
      </c>
      <c r="T380" s="18">
        <v>1274851.18</v>
      </c>
      <c r="U380" s="16"/>
      <c r="V380" s="16"/>
      <c r="W380" s="16" t="s">
        <v>40</v>
      </c>
      <c r="X380" s="27">
        <v>1300</v>
      </c>
      <c r="Y380" s="20">
        <v>5.5</v>
      </c>
      <c r="Z380" s="25"/>
    </row>
    <row r="381" spans="1:26" ht="12" customHeight="1" outlineLevel="4" x14ac:dyDescent="0.2">
      <c r="A381" s="14" t="s">
        <v>22650</v>
      </c>
      <c r="B381" s="26" t="s">
        <v>22651</v>
      </c>
      <c r="C381" s="52"/>
      <c r="D381" s="55">
        <f t="shared" si="5"/>
        <v>0</v>
      </c>
      <c r="E381" s="63" t="str">
        <f>HYPERLINK("https://www.sds-group.ru/product/el-evro-2-karkasnaya-4m-hvoya-plenka-533-309/", "Инфо")</f>
        <v>Инфо</v>
      </c>
      <c r="F381" s="16" t="s">
        <v>39</v>
      </c>
      <c r="G381" s="15"/>
      <c r="H381" s="15"/>
      <c r="I381" s="15" t="s">
        <v>22643</v>
      </c>
      <c r="J381" s="16" t="s">
        <v>100</v>
      </c>
      <c r="K381" s="15"/>
      <c r="L381" s="17">
        <v>1</v>
      </c>
      <c r="M381" s="17">
        <v>1</v>
      </c>
      <c r="N381" s="17">
        <v>1</v>
      </c>
      <c r="O381" s="18">
        <v>197298</v>
      </c>
      <c r="P381" s="18">
        <v>161719.67000000001</v>
      </c>
      <c r="Q381" s="18">
        <v>197298</v>
      </c>
      <c r="R381" s="18">
        <v>161719.67000000001</v>
      </c>
      <c r="S381" s="18">
        <v>134162.64000000001</v>
      </c>
      <c r="T381" s="18">
        <v>109969.38</v>
      </c>
      <c r="U381" s="16"/>
      <c r="V381" s="16"/>
      <c r="W381" s="16" t="s">
        <v>40</v>
      </c>
      <c r="X381" s="19">
        <v>87</v>
      </c>
      <c r="Y381" s="20">
        <v>0.75</v>
      </c>
      <c r="Z381" s="21">
        <v>2000030965698</v>
      </c>
    </row>
    <row r="382" spans="1:26" ht="12" customHeight="1" outlineLevel="4" x14ac:dyDescent="0.2">
      <c r="A382" s="14" t="s">
        <v>22652</v>
      </c>
      <c r="B382" s="26" t="s">
        <v>22653</v>
      </c>
      <c r="C382" s="52"/>
      <c r="D382" s="55">
        <f t="shared" si="5"/>
        <v>0</v>
      </c>
      <c r="E382" s="63" t="str">
        <f>HYPERLINK("https://www.sds-group.ru/product/el-evro-2-karkasnaya-8m-hvoya-plenka-533-306/", "Инфо")</f>
        <v>Инфо</v>
      </c>
      <c r="F382" s="16" t="s">
        <v>39</v>
      </c>
      <c r="G382" s="15"/>
      <c r="H382" s="15"/>
      <c r="I382" s="15" t="s">
        <v>22643</v>
      </c>
      <c r="J382" s="16" t="s">
        <v>100</v>
      </c>
      <c r="K382" s="15"/>
      <c r="L382" s="17">
        <v>1</v>
      </c>
      <c r="M382" s="17">
        <v>1</v>
      </c>
      <c r="N382" s="17">
        <v>1</v>
      </c>
      <c r="O382" s="18">
        <v>603894.6</v>
      </c>
      <c r="P382" s="18">
        <v>494995.57</v>
      </c>
      <c r="Q382" s="18">
        <v>603894.6</v>
      </c>
      <c r="R382" s="18">
        <v>494995.57</v>
      </c>
      <c r="S382" s="18">
        <v>410648.33</v>
      </c>
      <c r="T382" s="18">
        <v>336596.99</v>
      </c>
      <c r="U382" s="16"/>
      <c r="V382" s="16"/>
      <c r="W382" s="16" t="s">
        <v>40</v>
      </c>
      <c r="X382" s="19">
        <v>345</v>
      </c>
      <c r="Y382" s="20">
        <v>1.7</v>
      </c>
      <c r="Z382" s="21">
        <v>2000030959307</v>
      </c>
    </row>
    <row r="383" spans="1:26" ht="24" customHeight="1" outlineLevel="4" x14ac:dyDescent="0.2">
      <c r="A383" s="14" t="s">
        <v>22654</v>
      </c>
      <c r="B383" s="26" t="s">
        <v>22655</v>
      </c>
      <c r="C383" s="52"/>
      <c r="D383" s="55">
        <f t="shared" si="5"/>
        <v>0</v>
      </c>
      <c r="E383" s="63" t="str">
        <f>HYPERLINK("https://www.sds-group.ru/product/el-karkasnaya-uralskaya-10m-hvoya-plenka-533-300/", "Инфо")</f>
        <v>Инфо</v>
      </c>
      <c r="F383" s="16" t="s">
        <v>39</v>
      </c>
      <c r="G383" s="15"/>
      <c r="H383" s="15"/>
      <c r="I383" s="15" t="s">
        <v>22643</v>
      </c>
      <c r="J383" s="16" t="s">
        <v>100</v>
      </c>
      <c r="K383" s="15"/>
      <c r="L383" s="17">
        <v>1</v>
      </c>
      <c r="M383" s="17">
        <v>1</v>
      </c>
      <c r="N383" s="17">
        <v>1</v>
      </c>
      <c r="O383" s="18">
        <v>1143357.17</v>
      </c>
      <c r="P383" s="18">
        <v>937178.01</v>
      </c>
      <c r="Q383" s="18">
        <v>1143357.17</v>
      </c>
      <c r="R383" s="18">
        <v>937178.01</v>
      </c>
      <c r="S383" s="18">
        <v>777482.88</v>
      </c>
      <c r="T383" s="18">
        <v>637281.05000000005</v>
      </c>
      <c r="U383" s="16"/>
      <c r="V383" s="16"/>
      <c r="W383" s="16" t="s">
        <v>40</v>
      </c>
      <c r="X383" s="19">
        <v>712.64</v>
      </c>
      <c r="Y383" s="20">
        <v>7.2864000000000004</v>
      </c>
      <c r="Z383" s="25"/>
    </row>
    <row r="384" spans="1:26" ht="24" customHeight="1" outlineLevel="4" x14ac:dyDescent="0.2">
      <c r="A384" s="14" t="s">
        <v>22656</v>
      </c>
      <c r="B384" s="26" t="s">
        <v>22657</v>
      </c>
      <c r="C384" s="52"/>
      <c r="D384" s="55">
        <f t="shared" si="5"/>
        <v>0</v>
      </c>
      <c r="E384" s="63" t="str">
        <f>HYPERLINK("https://www.sds-group.ru/product/el-karkasnaya-uralskaya-12m-hvoya-plenka-533-316/", "Инфо")</f>
        <v>Инфо</v>
      </c>
      <c r="F384" s="16" t="s">
        <v>39</v>
      </c>
      <c r="G384" s="15"/>
      <c r="H384" s="15"/>
      <c r="I384" s="15" t="s">
        <v>22643</v>
      </c>
      <c r="J384" s="16" t="s">
        <v>100</v>
      </c>
      <c r="K384" s="15"/>
      <c r="L384" s="17">
        <v>1</v>
      </c>
      <c r="M384" s="17">
        <v>1</v>
      </c>
      <c r="N384" s="17">
        <v>1</v>
      </c>
      <c r="O384" s="18">
        <v>1661116.95</v>
      </c>
      <c r="P384" s="18">
        <v>1361571.27</v>
      </c>
      <c r="Q384" s="18">
        <v>1661116.95</v>
      </c>
      <c r="R384" s="18">
        <v>1361571.27</v>
      </c>
      <c r="S384" s="18">
        <v>1129559.53</v>
      </c>
      <c r="T384" s="18">
        <v>925868.47</v>
      </c>
      <c r="U384" s="16"/>
      <c r="V384" s="16"/>
      <c r="W384" s="16" t="s">
        <v>40</v>
      </c>
      <c r="X384" s="19">
        <v>935.78</v>
      </c>
      <c r="Y384" s="20">
        <v>4.79</v>
      </c>
      <c r="Z384" s="25"/>
    </row>
    <row r="385" spans="1:26" ht="12" customHeight="1" outlineLevel="4" x14ac:dyDescent="0.2">
      <c r="A385" s="14" t="s">
        <v>22658</v>
      </c>
      <c r="B385" s="26" t="s">
        <v>22659</v>
      </c>
      <c r="C385" s="52"/>
      <c r="D385" s="55">
        <f t="shared" si="5"/>
        <v>0</v>
      </c>
      <c r="E385" s="63" t="str">
        <f>HYPERLINK("https://www.sds-group.ru/product/el-karkasnaya-uralskaya-6m-hvoya-plenka-533-320/", "Инфо")</f>
        <v>Инфо</v>
      </c>
      <c r="F385" s="16" t="s">
        <v>39</v>
      </c>
      <c r="G385" s="15"/>
      <c r="H385" s="15"/>
      <c r="I385" s="15" t="s">
        <v>22643</v>
      </c>
      <c r="J385" s="16" t="s">
        <v>100</v>
      </c>
      <c r="K385" s="15"/>
      <c r="L385" s="17">
        <v>1</v>
      </c>
      <c r="M385" s="17">
        <v>1</v>
      </c>
      <c r="N385" s="17">
        <v>1</v>
      </c>
      <c r="O385" s="18">
        <v>356661.9</v>
      </c>
      <c r="P385" s="18">
        <v>292345.82</v>
      </c>
      <c r="Q385" s="18">
        <v>356661.9</v>
      </c>
      <c r="R385" s="18">
        <v>292345.82</v>
      </c>
      <c r="S385" s="18">
        <v>242530.09</v>
      </c>
      <c r="T385" s="18">
        <v>198795.16</v>
      </c>
      <c r="U385" s="16"/>
      <c r="V385" s="16"/>
      <c r="W385" s="16" t="s">
        <v>40</v>
      </c>
      <c r="X385" s="19">
        <v>163.5</v>
      </c>
      <c r="Y385" s="20">
        <v>1.2090000000000001</v>
      </c>
      <c r="Z385" s="21">
        <v>2000321607900</v>
      </c>
    </row>
    <row r="386" spans="1:26" ht="12" customHeight="1" outlineLevel="4" x14ac:dyDescent="0.2">
      <c r="A386" s="14" t="s">
        <v>22660</v>
      </c>
      <c r="B386" s="26" t="s">
        <v>22661</v>
      </c>
      <c r="C386" s="52"/>
      <c r="D386" s="55">
        <f t="shared" si="5"/>
        <v>0</v>
      </c>
      <c r="E386" s="63" t="str">
        <f>HYPERLINK("https://www.sds-group.ru/product/sosna-evro-2-karkasnaya-6m-hvoya-leska-533-315/", "Инфо")</f>
        <v>Инфо</v>
      </c>
      <c r="F386" s="16" t="s">
        <v>39</v>
      </c>
      <c r="G386" s="15"/>
      <c r="H386" s="15"/>
      <c r="I386" s="15" t="s">
        <v>22643</v>
      </c>
      <c r="J386" s="16" t="s">
        <v>100</v>
      </c>
      <c r="K386" s="15"/>
      <c r="L386" s="17">
        <v>1</v>
      </c>
      <c r="M386" s="17">
        <v>1</v>
      </c>
      <c r="N386" s="17">
        <v>1</v>
      </c>
      <c r="O386" s="18">
        <v>401715</v>
      </c>
      <c r="P386" s="18">
        <v>329274.59000000003</v>
      </c>
      <c r="Q386" s="18">
        <v>401715</v>
      </c>
      <c r="R386" s="18">
        <v>329274.59000000003</v>
      </c>
      <c r="S386" s="18">
        <v>273166.2</v>
      </c>
      <c r="T386" s="18">
        <v>223906.72</v>
      </c>
      <c r="U386" s="16"/>
      <c r="V386" s="16"/>
      <c r="W386" s="16" t="s">
        <v>40</v>
      </c>
      <c r="X386" s="19">
        <v>172.44</v>
      </c>
      <c r="Y386" s="20">
        <v>2.35</v>
      </c>
      <c r="Z386" s="25"/>
    </row>
    <row r="387" spans="1:26" ht="12.95" customHeight="1" outlineLevel="3" x14ac:dyDescent="0.2">
      <c r="A387" s="76" t="s">
        <v>22662</v>
      </c>
      <c r="B387" s="76"/>
      <c r="C387" s="77"/>
      <c r="D387" s="58"/>
      <c r="E387" s="68"/>
      <c r="F387" s="30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 spans="1:26" ht="12" customHeight="1" outlineLevel="4" x14ac:dyDescent="0.2">
      <c r="A388" s="14" t="s">
        <v>22663</v>
      </c>
      <c r="B388" s="26" t="s">
        <v>22664</v>
      </c>
      <c r="C388" s="52"/>
      <c r="D388" s="55">
        <f t="shared" si="5"/>
        <v>0</v>
      </c>
      <c r="E388" s="63" t="str">
        <f>HYPERLINK("https://www.sds-group.ru/product/el-alpiyskaya-stvolovaya-3-m-hvoya-plenka-533-329/", "Инфо")</f>
        <v>Инфо</v>
      </c>
      <c r="F388" s="16" t="s">
        <v>39</v>
      </c>
      <c r="G388" s="15"/>
      <c r="H388" s="15"/>
      <c r="I388" s="15" t="s">
        <v>22665</v>
      </c>
      <c r="J388" s="16" t="s">
        <v>100</v>
      </c>
      <c r="K388" s="15"/>
      <c r="L388" s="17">
        <v>1</v>
      </c>
      <c r="M388" s="17">
        <v>1</v>
      </c>
      <c r="N388" s="17">
        <v>1</v>
      </c>
      <c r="O388" s="18">
        <v>81512.55</v>
      </c>
      <c r="P388" s="18">
        <v>66813.570000000007</v>
      </c>
      <c r="Q388" s="18">
        <v>81512.55</v>
      </c>
      <c r="R388" s="18">
        <v>66813.570000000007</v>
      </c>
      <c r="S388" s="18">
        <v>55428.53</v>
      </c>
      <c r="T388" s="18">
        <v>45433.22</v>
      </c>
      <c r="U388" s="16"/>
      <c r="V388" s="16"/>
      <c r="W388" s="16" t="s">
        <v>40</v>
      </c>
      <c r="X388" s="19">
        <v>27.28</v>
      </c>
      <c r="Y388" s="20">
        <v>0.47</v>
      </c>
      <c r="Z388" s="21">
        <v>2000321645513</v>
      </c>
    </row>
    <row r="389" spans="1:26" ht="12" customHeight="1" outlineLevel="4" x14ac:dyDescent="0.2">
      <c r="A389" s="14" t="s">
        <v>22666</v>
      </c>
      <c r="B389" s="26" t="s">
        <v>22667</v>
      </c>
      <c r="C389" s="52"/>
      <c r="D389" s="55">
        <f t="shared" si="5"/>
        <v>0</v>
      </c>
      <c r="E389" s="63" t="str">
        <f>HYPERLINK("https://www.sds-group.ru/product/el-alpiyskaya-stvolovaya-5m-hvoya-plenka-neon-night-533-304/", "Инфо")</f>
        <v>Инфо</v>
      </c>
      <c r="F389" s="16" t="s">
        <v>39</v>
      </c>
      <c r="G389" s="15"/>
      <c r="H389" s="15"/>
      <c r="I389" s="15" t="s">
        <v>22643</v>
      </c>
      <c r="J389" s="16" t="s">
        <v>100</v>
      </c>
      <c r="K389" s="15"/>
      <c r="L389" s="17">
        <v>1</v>
      </c>
      <c r="M389" s="17">
        <v>1</v>
      </c>
      <c r="N389" s="17">
        <v>1</v>
      </c>
      <c r="O389" s="18">
        <v>165567.6</v>
      </c>
      <c r="P389" s="18">
        <v>135711.15</v>
      </c>
      <c r="Q389" s="18">
        <v>165567.6</v>
      </c>
      <c r="R389" s="18">
        <v>135711.15</v>
      </c>
      <c r="S389" s="18">
        <v>112585.97</v>
      </c>
      <c r="T389" s="18">
        <v>92283.58</v>
      </c>
      <c r="U389" s="16"/>
      <c r="V389" s="16"/>
      <c r="W389" s="16" t="s">
        <v>40</v>
      </c>
      <c r="X389" s="19">
        <v>75</v>
      </c>
      <c r="Y389" s="20">
        <v>0.45</v>
      </c>
      <c r="Z389" s="21">
        <v>4660015301767</v>
      </c>
    </row>
    <row r="390" spans="1:26" ht="12" customHeight="1" outlineLevel="4" x14ac:dyDescent="0.2">
      <c r="A390" s="14" t="s">
        <v>22668</v>
      </c>
      <c r="B390" s="26" t="s">
        <v>22669</v>
      </c>
      <c r="C390" s="52"/>
      <c r="D390" s="55">
        <f t="shared" si="5"/>
        <v>0</v>
      </c>
      <c r="E390" s="63" t="str">
        <f>HYPERLINK("https://www.sds-group.ru/product/el-alpiyskaya-stvolovaya-6m-hvoya-plenka-533-305/", "Инфо")</f>
        <v>Инфо</v>
      </c>
      <c r="F390" s="16" t="s">
        <v>39</v>
      </c>
      <c r="G390" s="15"/>
      <c r="H390" s="15"/>
      <c r="I390" s="15" t="s">
        <v>22643</v>
      </c>
      <c r="J390" s="16" t="s">
        <v>100</v>
      </c>
      <c r="K390" s="15"/>
      <c r="L390" s="17">
        <v>1</v>
      </c>
      <c r="M390" s="17">
        <v>1</v>
      </c>
      <c r="N390" s="17">
        <v>1</v>
      </c>
      <c r="O390" s="18">
        <v>227096.1</v>
      </c>
      <c r="P390" s="18">
        <v>186144.34</v>
      </c>
      <c r="Q390" s="18">
        <v>227096.1</v>
      </c>
      <c r="R390" s="18">
        <v>186144.34</v>
      </c>
      <c r="S390" s="18">
        <v>154425.35</v>
      </c>
      <c r="T390" s="18">
        <v>126578.16</v>
      </c>
      <c r="U390" s="16"/>
      <c r="V390" s="16"/>
      <c r="W390" s="16" t="s">
        <v>40</v>
      </c>
      <c r="X390" s="19">
        <v>17</v>
      </c>
      <c r="Y390" s="20">
        <v>0.53</v>
      </c>
      <c r="Z390" s="21">
        <v>2000030966732</v>
      </c>
    </row>
    <row r="391" spans="1:26" ht="12" customHeight="1" outlineLevel="4" x14ac:dyDescent="0.2">
      <c r="A391" s="14" t="s">
        <v>22670</v>
      </c>
      <c r="B391" s="26" t="s">
        <v>22671</v>
      </c>
      <c r="C391" s="52"/>
      <c r="D391" s="55">
        <f t="shared" si="5"/>
        <v>0</v>
      </c>
      <c r="E391" s="63" t="str">
        <f>HYPERLINK("https://www.sds-group.ru/product/el-alpiyskaya-stvolovaya-8m-hvoya-plenka-533-328/", "Инфо")</f>
        <v>Инфо</v>
      </c>
      <c r="F391" s="16" t="s">
        <v>39</v>
      </c>
      <c r="G391" s="15"/>
      <c r="H391" s="15"/>
      <c r="I391" s="15" t="s">
        <v>22643</v>
      </c>
      <c r="J391" s="16" t="s">
        <v>100</v>
      </c>
      <c r="K391" s="15"/>
      <c r="L391" s="17">
        <v>1</v>
      </c>
      <c r="M391" s="17">
        <v>1</v>
      </c>
      <c r="N391" s="17">
        <v>1</v>
      </c>
      <c r="O391" s="18">
        <v>581825.69999999995</v>
      </c>
      <c r="P391" s="18">
        <v>476906.31</v>
      </c>
      <c r="Q391" s="18">
        <v>581825.69999999995</v>
      </c>
      <c r="R391" s="18">
        <v>476906.31</v>
      </c>
      <c r="S391" s="18">
        <v>395641.48</v>
      </c>
      <c r="T391" s="18">
        <v>324296.3</v>
      </c>
      <c r="U391" s="16"/>
      <c r="V391" s="16"/>
      <c r="W391" s="16" t="s">
        <v>40</v>
      </c>
      <c r="X391" s="19">
        <v>418.6</v>
      </c>
      <c r="Y391" s="20">
        <v>2.3199999999999998</v>
      </c>
      <c r="Z391" s="21">
        <v>4601004138339</v>
      </c>
    </row>
    <row r="392" spans="1:26" ht="12" customHeight="1" outlineLevel="4" x14ac:dyDescent="0.2">
      <c r="A392" s="14" t="s">
        <v>22672</v>
      </c>
      <c r="B392" s="26" t="s">
        <v>22673</v>
      </c>
      <c r="C392" s="52"/>
      <c r="D392" s="55">
        <f t="shared" si="5"/>
        <v>0</v>
      </c>
      <c r="E392" s="63" t="str">
        <f>HYPERLINK("https://www.sds-group.ru/product/komplekt-ograzhdeniy-dlya-elok-6-m-1-05h1-m-v-komplekte-7-schitov-533-330/", "Инфо")</f>
        <v>Инфо</v>
      </c>
      <c r="F392" s="16" t="s">
        <v>39</v>
      </c>
      <c r="G392" s="15"/>
      <c r="H392" s="15"/>
      <c r="I392" s="15" t="s">
        <v>22665</v>
      </c>
      <c r="J392" s="16" t="s">
        <v>100</v>
      </c>
      <c r="K392" s="15"/>
      <c r="L392" s="17">
        <v>1</v>
      </c>
      <c r="M392" s="17">
        <v>7</v>
      </c>
      <c r="N392" s="17">
        <v>1</v>
      </c>
      <c r="O392" s="18">
        <v>155709.82</v>
      </c>
      <c r="P392" s="18">
        <v>127631</v>
      </c>
      <c r="Q392" s="18">
        <v>155709.82</v>
      </c>
      <c r="R392" s="18">
        <v>127631</v>
      </c>
      <c r="S392" s="18">
        <v>96540.09</v>
      </c>
      <c r="T392" s="18">
        <v>79131.22</v>
      </c>
      <c r="U392" s="16"/>
      <c r="V392" s="16"/>
      <c r="W392" s="16" t="s">
        <v>40</v>
      </c>
      <c r="X392" s="19">
        <v>14</v>
      </c>
      <c r="Y392" s="20">
        <v>0.35</v>
      </c>
      <c r="Z392" s="21">
        <v>4601004162068</v>
      </c>
    </row>
  </sheetData>
  <mergeCells count="137">
    <mergeCell ref="A376:C376"/>
    <mergeCell ref="A387:C387"/>
    <mergeCell ref="A354:C354"/>
    <mergeCell ref="A356:C356"/>
    <mergeCell ref="A357:C357"/>
    <mergeCell ref="A358:C358"/>
    <mergeCell ref="A374:C374"/>
    <mergeCell ref="A375:C375"/>
    <mergeCell ref="A342:C342"/>
    <mergeCell ref="A345:C345"/>
    <mergeCell ref="A347:C347"/>
    <mergeCell ref="A350:C350"/>
    <mergeCell ref="A352:C352"/>
    <mergeCell ref="A353:C353"/>
    <mergeCell ref="A309:C309"/>
    <mergeCell ref="A329:C329"/>
    <mergeCell ref="A336:C336"/>
    <mergeCell ref="A337:C337"/>
    <mergeCell ref="A339:C339"/>
    <mergeCell ref="A341:C341"/>
    <mergeCell ref="A301:C301"/>
    <mergeCell ref="A302:C302"/>
    <mergeCell ref="A304:C304"/>
    <mergeCell ref="A306:C306"/>
    <mergeCell ref="A307:C307"/>
    <mergeCell ref="A308:C308"/>
    <mergeCell ref="A291:C291"/>
    <mergeCell ref="A293:C293"/>
    <mergeCell ref="A295:C295"/>
    <mergeCell ref="A297:C297"/>
    <mergeCell ref="A299:C299"/>
    <mergeCell ref="A300:C300"/>
    <mergeCell ref="A282:C282"/>
    <mergeCell ref="A283:C283"/>
    <mergeCell ref="A284:C284"/>
    <mergeCell ref="A285:C285"/>
    <mergeCell ref="A288:C288"/>
    <mergeCell ref="A290:C290"/>
    <mergeCell ref="A254:C254"/>
    <mergeCell ref="A256:C256"/>
    <mergeCell ref="A257:C257"/>
    <mergeCell ref="A262:C262"/>
    <mergeCell ref="A263:C263"/>
    <mergeCell ref="A265:C265"/>
    <mergeCell ref="A235:C235"/>
    <mergeCell ref="A239:C239"/>
    <mergeCell ref="A240:C240"/>
    <mergeCell ref="A243:C243"/>
    <mergeCell ref="A248:C248"/>
    <mergeCell ref="A253:C253"/>
    <mergeCell ref="A213:C213"/>
    <mergeCell ref="A217:C217"/>
    <mergeCell ref="A222:C222"/>
    <mergeCell ref="A223:C223"/>
    <mergeCell ref="A224:C224"/>
    <mergeCell ref="A229:C229"/>
    <mergeCell ref="A186:C186"/>
    <mergeCell ref="A189:C189"/>
    <mergeCell ref="A191:C191"/>
    <mergeCell ref="A194:C194"/>
    <mergeCell ref="A199:C199"/>
    <mergeCell ref="A205:C205"/>
    <mergeCell ref="A168:C168"/>
    <mergeCell ref="A170:C170"/>
    <mergeCell ref="A174:C174"/>
    <mergeCell ref="A178:C178"/>
    <mergeCell ref="A182:C182"/>
    <mergeCell ref="A184:C184"/>
    <mergeCell ref="A153:C153"/>
    <mergeCell ref="A156:C156"/>
    <mergeCell ref="A158:C158"/>
    <mergeCell ref="A160:C160"/>
    <mergeCell ref="A163:C163"/>
    <mergeCell ref="A165:C165"/>
    <mergeCell ref="A137:C137"/>
    <mergeCell ref="A140:C140"/>
    <mergeCell ref="A143:C143"/>
    <mergeCell ref="A146:C146"/>
    <mergeCell ref="A150:C150"/>
    <mergeCell ref="A151:C151"/>
    <mergeCell ref="A127:C127"/>
    <mergeCell ref="A129:C129"/>
    <mergeCell ref="A131:C131"/>
    <mergeCell ref="A132:C132"/>
    <mergeCell ref="A133:C133"/>
    <mergeCell ref="A135:C135"/>
    <mergeCell ref="A117:C117"/>
    <mergeCell ref="A121:C121"/>
    <mergeCell ref="A122:C122"/>
    <mergeCell ref="A123:C123"/>
    <mergeCell ref="A124:C124"/>
    <mergeCell ref="A126:C126"/>
    <mergeCell ref="A107:C107"/>
    <mergeCell ref="A110:C110"/>
    <mergeCell ref="A111:C111"/>
    <mergeCell ref="A112:C112"/>
    <mergeCell ref="A115:C115"/>
    <mergeCell ref="A116:C116"/>
    <mergeCell ref="A90:C90"/>
    <mergeCell ref="A97:C97"/>
    <mergeCell ref="A98:C98"/>
    <mergeCell ref="A99:C99"/>
    <mergeCell ref="A105:C105"/>
    <mergeCell ref="A106:C106"/>
    <mergeCell ref="A59:C59"/>
    <mergeCell ref="A60:C60"/>
    <mergeCell ref="A65:C65"/>
    <mergeCell ref="A71:C71"/>
    <mergeCell ref="A79:C79"/>
    <mergeCell ref="A83:C83"/>
    <mergeCell ref="A39:C39"/>
    <mergeCell ref="A41:C41"/>
    <mergeCell ref="A42:C42"/>
    <mergeCell ref="A54:C54"/>
    <mergeCell ref="A55:C55"/>
    <mergeCell ref="A58:C58"/>
    <mergeCell ref="A27:C27"/>
    <mergeCell ref="A31:C31"/>
    <mergeCell ref="A34:C34"/>
    <mergeCell ref="A35:C35"/>
    <mergeCell ref="A36:C36"/>
    <mergeCell ref="A38:C38"/>
    <mergeCell ref="A9:C9"/>
    <mergeCell ref="A10:C10"/>
    <mergeCell ref="A11:C11"/>
    <mergeCell ref="A12:C12"/>
    <mergeCell ref="A18:C18"/>
    <mergeCell ref="A26:C26"/>
    <mergeCell ref="B2:B3"/>
    <mergeCell ref="E2:F2"/>
    <mergeCell ref="G2:H2"/>
    <mergeCell ref="I2:J2"/>
    <mergeCell ref="K2:L2"/>
    <mergeCell ref="E3:F3"/>
    <mergeCell ref="G3:H6"/>
    <mergeCell ref="I3:J6"/>
    <mergeCell ref="K3:L6"/>
  </mergeCells>
  <pageMargins left="0.75" right="1" top="0.75" bottom="1" header="0.5" footer="0.5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E7B8-A8F1-4A63-8C6A-ECED21D92164}">
  <sheetPr>
    <outlinePr summaryBelow="0" summaryRight="0"/>
    <pageSetUpPr autoPageBreaks="0"/>
  </sheetPr>
  <dimension ref="A1:Z80"/>
  <sheetViews>
    <sheetView workbookViewId="0">
      <pane ySplit="8" topLeftCell="A9" activePane="bottomLeft" state="frozenSplit"/>
      <selection pane="bottomLeft"/>
    </sheetView>
  </sheetViews>
  <sheetFormatPr defaultColWidth="10.5" defaultRowHeight="11.45" customHeight="1" outlineLevelRow="4" outlineLevelCol="1" x14ac:dyDescent="0.2"/>
  <cols>
    <col min="1" max="1" width="26.6640625" style="1" customWidth="1"/>
    <col min="2" max="2" width="71.1640625" style="70" customWidth="1"/>
    <col min="3" max="3" width="26.1640625" style="1" customWidth="1" outlineLevel="1"/>
    <col min="4" max="4" width="37.83203125" style="1" customWidth="1" outlineLevel="1"/>
    <col min="5" max="7" width="10.5" style="1" customWidth="1" outlineLevel="1"/>
    <col min="8" max="8" width="12.83203125" style="1" customWidth="1" outlineLevel="1"/>
    <col min="9" max="9" width="18.83203125" style="1" customWidth="1" outlineLevel="1"/>
    <col min="10" max="10" width="12.1640625" style="1" customWidth="1" outlineLevel="1"/>
    <col min="11" max="11" width="13.6640625" style="1" customWidth="1" outlineLevel="1"/>
    <col min="12" max="14" width="10.5" style="1" customWidth="1" outlineLevel="1"/>
    <col min="15" max="15" width="11.1640625" style="1" customWidth="1"/>
    <col min="16" max="16" width="11.6640625" style="1" customWidth="1"/>
    <col min="17" max="17" width="11.33203125" style="1" customWidth="1"/>
    <col min="18" max="18" width="11.1640625" style="1" customWidth="1"/>
    <col min="19" max="19" width="11.33203125" style="1" customWidth="1"/>
    <col min="20" max="20" width="11.1640625" style="1" customWidth="1"/>
    <col min="21" max="21" width="32.6640625" style="1" customWidth="1"/>
    <col min="22" max="22" width="17" style="1" customWidth="1"/>
    <col min="23" max="23" width="22" style="1" customWidth="1"/>
    <col min="24" max="24" width="14.1640625" style="1" customWidth="1" outlineLevel="1"/>
    <col min="25" max="25" width="13.5" style="1" customWidth="1" outlineLevel="1"/>
    <col min="26" max="26" width="30.33203125" style="1" customWidth="1" outlineLevel="1"/>
  </cols>
  <sheetData>
    <row r="1" spans="1:26" ht="11.1" customHeight="1" x14ac:dyDescent="0.2"/>
    <row r="2" spans="1:26" ht="12" customHeight="1" x14ac:dyDescent="0.2">
      <c r="B2" s="84" t="s">
        <v>0</v>
      </c>
      <c r="D2" s="2" t="s">
        <v>1</v>
      </c>
      <c r="E2" s="85">
        <f>SUM(D:D)</f>
        <v>0</v>
      </c>
      <c r="F2" s="86"/>
      <c r="G2" s="87" t="s">
        <v>2</v>
      </c>
      <c r="H2" s="87"/>
      <c r="I2" s="88" t="s">
        <v>3</v>
      </c>
      <c r="J2" s="88"/>
      <c r="K2" s="88" t="s">
        <v>4</v>
      </c>
      <c r="L2" s="88"/>
    </row>
    <row r="3" spans="1:26" ht="12" customHeight="1" x14ac:dyDescent="0.2">
      <c r="B3" s="84"/>
      <c r="D3" s="3" t="s">
        <v>5</v>
      </c>
      <c r="E3" s="85">
        <f>E2-(E2/122%*22%)</f>
        <v>0</v>
      </c>
      <c r="F3" s="86"/>
      <c r="G3" s="89">
        <v>0</v>
      </c>
      <c r="H3" s="90"/>
      <c r="I3" s="92">
        <f>SUMPRODUCT($C:$C,X:X)</f>
        <v>0</v>
      </c>
      <c r="J3" s="93"/>
      <c r="K3" s="92">
        <f>SUMPRODUCT($C:$C,Y:Y)</f>
        <v>0</v>
      </c>
      <c r="L3" s="93"/>
    </row>
    <row r="4" spans="1:26" ht="12.95" customHeight="1" x14ac:dyDescent="0.2">
      <c r="B4" s="71" t="s">
        <v>6</v>
      </c>
      <c r="D4" s="4"/>
      <c r="E4" s="4"/>
      <c r="F4" s="4"/>
      <c r="G4" s="91"/>
      <c r="H4" s="91"/>
      <c r="I4" s="93"/>
      <c r="J4" s="93"/>
      <c r="K4" s="93"/>
      <c r="L4" s="93"/>
    </row>
    <row r="5" spans="1:26" ht="12.95" customHeight="1" x14ac:dyDescent="0.2">
      <c r="B5" s="72" t="s">
        <v>7</v>
      </c>
      <c r="G5" s="91"/>
      <c r="H5" s="91"/>
      <c r="I5" s="93"/>
      <c r="J5" s="93"/>
      <c r="K5" s="93"/>
      <c r="L5" s="93"/>
    </row>
    <row r="6" spans="1:26" ht="11.1" customHeight="1" x14ac:dyDescent="0.2">
      <c r="G6" s="91"/>
      <c r="H6" s="91"/>
      <c r="I6" s="93"/>
      <c r="J6" s="93"/>
      <c r="K6" s="93"/>
      <c r="L6" s="93"/>
    </row>
    <row r="7" spans="1:26" ht="11.1" customHeight="1" x14ac:dyDescent="0.2">
      <c r="A7" s="5"/>
      <c r="B7" s="73" t="s">
        <v>8</v>
      </c>
    </row>
    <row r="8" spans="1:26" s="6" customFormat="1" ht="21.95" customHeight="1" x14ac:dyDescent="0.2">
      <c r="A8" s="7" t="s">
        <v>9</v>
      </c>
      <c r="B8" s="7" t="s">
        <v>10</v>
      </c>
      <c r="C8" s="8" t="s">
        <v>11</v>
      </c>
      <c r="D8" s="8" t="s">
        <v>12</v>
      </c>
      <c r="E8" s="7" t="s">
        <v>13</v>
      </c>
      <c r="F8" s="7" t="s">
        <v>14</v>
      </c>
      <c r="G8" s="7" t="s">
        <v>15</v>
      </c>
      <c r="H8" s="7" t="s">
        <v>16</v>
      </c>
      <c r="I8" s="7" t="s">
        <v>17</v>
      </c>
      <c r="J8" s="7" t="s">
        <v>18</v>
      </c>
      <c r="K8" s="7" t="s">
        <v>19</v>
      </c>
      <c r="L8" s="7" t="s">
        <v>20</v>
      </c>
      <c r="M8" s="7" t="s">
        <v>21</v>
      </c>
      <c r="N8" s="7" t="s">
        <v>22</v>
      </c>
      <c r="O8" s="9" t="s">
        <v>23</v>
      </c>
      <c r="P8" s="9" t="s">
        <v>24</v>
      </c>
      <c r="Q8" s="7" t="s">
        <v>25</v>
      </c>
      <c r="R8" s="7" t="s">
        <v>26</v>
      </c>
      <c r="S8" s="7" t="s">
        <v>27</v>
      </c>
      <c r="T8" s="7" t="s">
        <v>28</v>
      </c>
      <c r="U8" s="7" t="s">
        <v>29</v>
      </c>
      <c r="V8" s="7" t="s">
        <v>30</v>
      </c>
      <c r="W8" s="7" t="s">
        <v>31</v>
      </c>
      <c r="X8" s="10" t="s">
        <v>3</v>
      </c>
      <c r="Y8" s="10" t="s">
        <v>4</v>
      </c>
      <c r="Z8" s="10" t="s">
        <v>32</v>
      </c>
    </row>
    <row r="9" spans="1:26" ht="12.95" customHeight="1" x14ac:dyDescent="0.2">
      <c r="A9" s="80" t="s">
        <v>33</v>
      </c>
      <c r="B9" s="80"/>
      <c r="C9" s="81"/>
      <c r="D9" s="56"/>
      <c r="E9" s="66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</row>
    <row r="10" spans="1:26" ht="12.95" customHeight="1" outlineLevel="1" x14ac:dyDescent="0.2">
      <c r="A10" s="78" t="s">
        <v>5543</v>
      </c>
      <c r="B10" s="78"/>
      <c r="C10" s="79"/>
      <c r="D10" s="57"/>
      <c r="E10" s="67"/>
      <c r="F10" s="29"/>
      <c r="G10" s="29"/>
      <c r="H10" s="29"/>
      <c r="I10" s="29"/>
      <c r="J10" s="29"/>
      <c r="K10" s="29"/>
      <c r="L10" s="29"/>
      <c r="M10" s="29"/>
      <c r="N10" s="29"/>
      <c r="O10" s="29"/>
      <c r="P10" s="29"/>
      <c r="Q10" s="29"/>
      <c r="R10" s="29"/>
      <c r="S10" s="29"/>
      <c r="T10" s="29"/>
      <c r="U10" s="29"/>
      <c r="V10" s="29"/>
      <c r="W10" s="29"/>
      <c r="X10" s="29"/>
      <c r="Y10" s="29"/>
      <c r="Z10" s="29"/>
    </row>
    <row r="11" spans="1:26" ht="12.95" customHeight="1" outlineLevel="2" x14ac:dyDescent="0.2">
      <c r="A11" s="76" t="s">
        <v>5544</v>
      </c>
      <c r="B11" s="76"/>
      <c r="C11" s="77"/>
      <c r="D11" s="58"/>
      <c r="E11" s="68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 spans="1:26" ht="12.95" customHeight="1" outlineLevel="3" x14ac:dyDescent="0.2">
      <c r="A12" s="76" t="s">
        <v>5586</v>
      </c>
      <c r="B12" s="76"/>
      <c r="C12" s="77"/>
      <c r="D12" s="58"/>
      <c r="E12" s="68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 spans="1:26" ht="12" customHeight="1" outlineLevel="4" x14ac:dyDescent="0.2">
      <c r="A13" s="14" t="s">
        <v>5587</v>
      </c>
      <c r="B13" s="26" t="s">
        <v>5588</v>
      </c>
      <c r="C13" s="52"/>
      <c r="D13" s="55">
        <f t="shared" ref="D13:D72" si="0">C13*(O13-O13*$G$3)</f>
        <v>0</v>
      </c>
      <c r="E13" s="63" t="str">
        <f>HYPERLINK("https://www.sds-group.ru/product/boks-plastikovyy-kmpn-1-2-ip20-belyy-s-ind-upak-rexant-11-0112/", "Инфо")</f>
        <v>Инфо</v>
      </c>
      <c r="F13" s="16" t="s">
        <v>39</v>
      </c>
      <c r="G13" s="15"/>
      <c r="H13" s="15"/>
      <c r="I13" s="15"/>
      <c r="J13" s="22">
        <v>1304</v>
      </c>
      <c r="K13" s="15"/>
      <c r="L13" s="17">
        <v>10</v>
      </c>
      <c r="M13" s="17">
        <v>45</v>
      </c>
      <c r="N13" s="17">
        <v>10</v>
      </c>
      <c r="O13" s="18">
        <v>75.36</v>
      </c>
      <c r="P13" s="18">
        <v>61.77</v>
      </c>
      <c r="Q13" s="18">
        <v>64.06</v>
      </c>
      <c r="R13" s="18">
        <v>52.51</v>
      </c>
      <c r="S13" s="18">
        <v>51.24</v>
      </c>
      <c r="T13" s="18">
        <v>42</v>
      </c>
      <c r="U13" s="16" t="s">
        <v>5589</v>
      </c>
      <c r="V13" s="16" t="s">
        <v>5590</v>
      </c>
      <c r="W13" s="16" t="s">
        <v>40</v>
      </c>
      <c r="X13" s="19">
        <v>4.9000000000000002E-2</v>
      </c>
      <c r="Y13" s="20">
        <v>4.7899999999999999E-4</v>
      </c>
      <c r="Z13" s="21">
        <v>4601004240759</v>
      </c>
    </row>
    <row r="14" spans="1:26" ht="12" customHeight="1" outlineLevel="4" x14ac:dyDescent="0.2">
      <c r="A14" s="14" t="s">
        <v>5591</v>
      </c>
      <c r="B14" s="26" t="s">
        <v>5592</v>
      </c>
      <c r="C14" s="52"/>
      <c r="D14" s="55">
        <f t="shared" si="0"/>
        <v>0</v>
      </c>
      <c r="E14" s="63" t="str">
        <f>HYPERLINK("https://www.sds-group.ru/product/boks-plastikovyy-kmpn-1-4-ip20-belyy-s-ind-upak-rexant-11-0114/", "Инфо")</f>
        <v>Инфо</v>
      </c>
      <c r="F14" s="16" t="s">
        <v>39</v>
      </c>
      <c r="G14" s="15"/>
      <c r="H14" s="15"/>
      <c r="I14" s="15"/>
      <c r="J14" s="17">
        <v>635</v>
      </c>
      <c r="K14" s="15"/>
      <c r="L14" s="17">
        <v>10</v>
      </c>
      <c r="M14" s="17">
        <v>84</v>
      </c>
      <c r="N14" s="17">
        <v>10</v>
      </c>
      <c r="O14" s="18">
        <v>104.89</v>
      </c>
      <c r="P14" s="18">
        <v>85.98</v>
      </c>
      <c r="Q14" s="18">
        <v>89.16</v>
      </c>
      <c r="R14" s="18">
        <v>73.08</v>
      </c>
      <c r="S14" s="18">
        <v>71.33</v>
      </c>
      <c r="T14" s="18">
        <v>58.47</v>
      </c>
      <c r="U14" s="16" t="s">
        <v>5589</v>
      </c>
      <c r="V14" s="16" t="s">
        <v>5590</v>
      </c>
      <c r="W14" s="16" t="s">
        <v>40</v>
      </c>
      <c r="X14" s="19">
        <v>7.2999999999999995E-2</v>
      </c>
      <c r="Y14" s="20">
        <v>6.4800000000000003E-4</v>
      </c>
      <c r="Z14" s="21">
        <v>4601004240780</v>
      </c>
    </row>
    <row r="15" spans="1:26" ht="12" customHeight="1" outlineLevel="4" x14ac:dyDescent="0.2">
      <c r="A15" s="40" t="s">
        <v>5593</v>
      </c>
      <c r="B15" s="75" t="s">
        <v>5594</v>
      </c>
      <c r="C15" s="51"/>
      <c r="D15" s="54">
        <f t="shared" si="0"/>
        <v>0</v>
      </c>
      <c r="E15" s="61" t="str">
        <f>HYPERLINK("https://www.sds-group.ru/product/korpus-plastikovyy-kmpn-12-ip65-rexant-11-0512/", "Инфо")</f>
        <v>Инфо</v>
      </c>
      <c r="F15" s="42" t="s">
        <v>39</v>
      </c>
      <c r="G15" s="41" t="s">
        <v>40</v>
      </c>
      <c r="H15" s="41"/>
      <c r="I15" s="41"/>
      <c r="J15" s="43">
        <v>772</v>
      </c>
      <c r="K15" s="41"/>
      <c r="L15" s="43">
        <v>1</v>
      </c>
      <c r="M15" s="43">
        <v>20</v>
      </c>
      <c r="N15" s="43">
        <v>1</v>
      </c>
      <c r="O15" s="44">
        <v>2263.73</v>
      </c>
      <c r="P15" s="44">
        <v>1855.52</v>
      </c>
      <c r="Q15" s="44">
        <v>1743.07</v>
      </c>
      <c r="R15" s="44">
        <v>1428.75</v>
      </c>
      <c r="S15" s="44">
        <v>1539.34</v>
      </c>
      <c r="T15" s="44">
        <v>1261.75</v>
      </c>
      <c r="U15" s="42" t="s">
        <v>5589</v>
      </c>
      <c r="V15" s="42" t="s">
        <v>5590</v>
      </c>
      <c r="W15" s="42" t="s">
        <v>40</v>
      </c>
      <c r="X15" s="45">
        <v>1.075</v>
      </c>
      <c r="Y15" s="46">
        <v>5.5599999999999998E-3</v>
      </c>
      <c r="Z15" s="21">
        <v>4601004342019</v>
      </c>
    </row>
    <row r="16" spans="1:26" ht="12" customHeight="1" outlineLevel="4" x14ac:dyDescent="0.2">
      <c r="A16" s="40" t="s">
        <v>5597</v>
      </c>
      <c r="B16" s="75" t="s">
        <v>5598</v>
      </c>
      <c r="C16" s="51"/>
      <c r="D16" s="54">
        <f t="shared" si="0"/>
        <v>0</v>
      </c>
      <c r="E16" s="61" t="str">
        <f>HYPERLINK("https://www.sds-group.ru/product/korpus-plastikovyy-kmpn-8-ip65-rexant-11-0508/", "Инфо")</f>
        <v>Инфо</v>
      </c>
      <c r="F16" s="42" t="s">
        <v>39</v>
      </c>
      <c r="G16" s="41" t="s">
        <v>40</v>
      </c>
      <c r="H16" s="41"/>
      <c r="I16" s="41"/>
      <c r="J16" s="43">
        <v>810</v>
      </c>
      <c r="K16" s="41"/>
      <c r="L16" s="43">
        <v>1</v>
      </c>
      <c r="M16" s="43">
        <v>30</v>
      </c>
      <c r="N16" s="43">
        <v>1</v>
      </c>
      <c r="O16" s="44">
        <v>1420</v>
      </c>
      <c r="P16" s="44">
        <v>1163.93</v>
      </c>
      <c r="Q16" s="44">
        <v>1121.8</v>
      </c>
      <c r="R16" s="44">
        <v>919.51</v>
      </c>
      <c r="S16" s="44">
        <v>965.6</v>
      </c>
      <c r="T16" s="44">
        <v>791.48</v>
      </c>
      <c r="U16" s="42" t="s">
        <v>5589</v>
      </c>
      <c r="V16" s="42" t="s">
        <v>5590</v>
      </c>
      <c r="W16" s="42" t="s">
        <v>40</v>
      </c>
      <c r="X16" s="45">
        <v>0.66</v>
      </c>
      <c r="Y16" s="46">
        <v>3.3040000000000001E-3</v>
      </c>
      <c r="Z16" s="21">
        <v>4601004342002</v>
      </c>
    </row>
    <row r="17" spans="1:26" ht="12" customHeight="1" outlineLevel="4" x14ac:dyDescent="0.2">
      <c r="A17" s="40" t="s">
        <v>5599</v>
      </c>
      <c r="B17" s="75" t="s">
        <v>5600</v>
      </c>
      <c r="C17" s="51"/>
      <c r="D17" s="54">
        <f t="shared" si="0"/>
        <v>0</v>
      </c>
      <c r="E17" s="61" t="str">
        <f>HYPERLINK("https://www.sds-group.ru/product/korpus-plastikovyy-s-kryshkoy-kmpn-2-2-ip30-na-1-2-modulya-belyy-rexant-11-0122/", "Инфо")</f>
        <v>Инфо</v>
      </c>
      <c r="F17" s="42" t="s">
        <v>39</v>
      </c>
      <c r="G17" s="41" t="s">
        <v>40</v>
      </c>
      <c r="H17" s="41"/>
      <c r="I17" s="41"/>
      <c r="J17" s="47">
        <v>5426</v>
      </c>
      <c r="K17" s="41"/>
      <c r="L17" s="43">
        <v>5</v>
      </c>
      <c r="M17" s="43">
        <v>80</v>
      </c>
      <c r="N17" s="43">
        <v>5</v>
      </c>
      <c r="O17" s="44">
        <v>223.96</v>
      </c>
      <c r="P17" s="44">
        <v>183.57</v>
      </c>
      <c r="Q17" s="44">
        <v>190.37</v>
      </c>
      <c r="R17" s="44">
        <v>156.04</v>
      </c>
      <c r="S17" s="44">
        <v>152.29</v>
      </c>
      <c r="T17" s="44">
        <v>124.83</v>
      </c>
      <c r="U17" s="42" t="s">
        <v>5589</v>
      </c>
      <c r="V17" s="42" t="s">
        <v>5590</v>
      </c>
      <c r="W17" s="42" t="s">
        <v>40</v>
      </c>
      <c r="X17" s="45">
        <v>9.2999999999999999E-2</v>
      </c>
      <c r="Y17" s="46">
        <v>6.6399999999999999E-4</v>
      </c>
      <c r="Z17" s="21">
        <v>4601004341968</v>
      </c>
    </row>
    <row r="18" spans="1:26" ht="12" customHeight="1" outlineLevel="4" x14ac:dyDescent="0.2">
      <c r="A18" s="40" t="s">
        <v>5601</v>
      </c>
      <c r="B18" s="75" t="s">
        <v>5602</v>
      </c>
      <c r="C18" s="51"/>
      <c r="D18" s="54">
        <f t="shared" si="0"/>
        <v>0</v>
      </c>
      <c r="E18" s="61" t="str">
        <f>HYPERLINK("https://www.sds-group.ru/product/korpus-plastikovyy-s-kryshkoy-kmpn-2-4-ip30-na-2-4-modulya-belyy-rexant-11-0124/", "Инфо")</f>
        <v>Инфо</v>
      </c>
      <c r="F18" s="42" t="s">
        <v>39</v>
      </c>
      <c r="G18" s="41" t="s">
        <v>40</v>
      </c>
      <c r="H18" s="41"/>
      <c r="I18" s="41"/>
      <c r="J18" s="47">
        <v>4756</v>
      </c>
      <c r="K18" s="41"/>
      <c r="L18" s="43">
        <v>5</v>
      </c>
      <c r="M18" s="43">
        <v>40</v>
      </c>
      <c r="N18" s="43">
        <v>5</v>
      </c>
      <c r="O18" s="44">
        <v>254.87</v>
      </c>
      <c r="P18" s="44">
        <v>208.91</v>
      </c>
      <c r="Q18" s="44">
        <v>216.64</v>
      </c>
      <c r="R18" s="44">
        <v>177.57</v>
      </c>
      <c r="S18" s="44">
        <v>173.31</v>
      </c>
      <c r="T18" s="44">
        <v>142.06</v>
      </c>
      <c r="U18" s="42" t="s">
        <v>5589</v>
      </c>
      <c r="V18" s="42" t="s">
        <v>5590</v>
      </c>
      <c r="W18" s="42" t="s">
        <v>40</v>
      </c>
      <c r="X18" s="45">
        <v>0.13500000000000001</v>
      </c>
      <c r="Y18" s="46">
        <v>1.317E-3</v>
      </c>
      <c r="Z18" s="21">
        <v>4601004341975</v>
      </c>
    </row>
    <row r="19" spans="1:26" ht="12" customHeight="1" outlineLevel="4" x14ac:dyDescent="0.2">
      <c r="A19" s="40" t="s">
        <v>5603</v>
      </c>
      <c r="B19" s="75" t="s">
        <v>5604</v>
      </c>
      <c r="C19" s="51"/>
      <c r="D19" s="54">
        <f t="shared" si="0"/>
        <v>0</v>
      </c>
      <c r="E19" s="61" t="str">
        <f>HYPERLINK("https://www.sds-group.ru/product/korpus-plastikovyy-s-kryshkoy-kmpn-2-6-8-ip30-na-6-8-moduley-belyy-rexant-11-0128/", "Инфо")</f>
        <v>Инфо</v>
      </c>
      <c r="F19" s="42" t="s">
        <v>39</v>
      </c>
      <c r="G19" s="41" t="s">
        <v>40</v>
      </c>
      <c r="H19" s="41"/>
      <c r="I19" s="41"/>
      <c r="J19" s="47">
        <v>1624</v>
      </c>
      <c r="K19" s="41"/>
      <c r="L19" s="43">
        <v>1</v>
      </c>
      <c r="M19" s="43">
        <v>24</v>
      </c>
      <c r="N19" s="43">
        <v>1</v>
      </c>
      <c r="O19" s="44">
        <v>392.2</v>
      </c>
      <c r="P19" s="44">
        <v>321.48</v>
      </c>
      <c r="Q19" s="44">
        <v>333.37</v>
      </c>
      <c r="R19" s="44">
        <v>273.25</v>
      </c>
      <c r="S19" s="44">
        <v>266.7</v>
      </c>
      <c r="T19" s="44">
        <v>218.61</v>
      </c>
      <c r="U19" s="42" t="s">
        <v>5589</v>
      </c>
      <c r="V19" s="42" t="s">
        <v>5590</v>
      </c>
      <c r="W19" s="42" t="s">
        <v>40</v>
      </c>
      <c r="X19" s="45">
        <v>0.22500000000000001</v>
      </c>
      <c r="Y19" s="46">
        <v>2.1879999999999998E-3</v>
      </c>
      <c r="Z19" s="21">
        <v>4601004341982</v>
      </c>
    </row>
    <row r="20" spans="1:26" ht="12.95" customHeight="1" x14ac:dyDescent="0.2">
      <c r="A20" s="80" t="s">
        <v>6166</v>
      </c>
      <c r="B20" s="80"/>
      <c r="C20" s="81"/>
      <c r="D20" s="56"/>
      <c r="E20" s="66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</row>
    <row r="21" spans="1:26" ht="12.95" customHeight="1" outlineLevel="1" x14ac:dyDescent="0.2">
      <c r="A21" s="78" t="s">
        <v>7330</v>
      </c>
      <c r="B21" s="78"/>
      <c r="C21" s="79"/>
      <c r="D21" s="57"/>
      <c r="E21" s="67"/>
      <c r="F21" s="29"/>
      <c r="G21" s="29"/>
      <c r="H21" s="29"/>
      <c r="I21" s="29"/>
      <c r="J21" s="29"/>
      <c r="K21" s="29"/>
      <c r="L21" s="29"/>
      <c r="M21" s="29"/>
      <c r="N21" s="29"/>
      <c r="O21" s="29"/>
      <c r="P21" s="29"/>
      <c r="Q21" s="29"/>
      <c r="R21" s="29"/>
      <c r="S21" s="29"/>
      <c r="T21" s="29"/>
      <c r="U21" s="29"/>
      <c r="V21" s="29"/>
      <c r="W21" s="29"/>
      <c r="X21" s="29"/>
      <c r="Y21" s="29"/>
      <c r="Z21" s="29"/>
    </row>
    <row r="22" spans="1:26" ht="12.95" customHeight="1" outlineLevel="2" x14ac:dyDescent="0.2">
      <c r="A22" s="76" t="s">
        <v>7331</v>
      </c>
      <c r="B22" s="76"/>
      <c r="C22" s="77"/>
      <c r="D22" s="58"/>
      <c r="E22" s="68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 spans="1:26" ht="24" customHeight="1" outlineLevel="3" x14ac:dyDescent="0.2">
      <c r="A23" s="32" t="s">
        <v>7339</v>
      </c>
      <c r="B23" s="74" t="s">
        <v>7340</v>
      </c>
      <c r="C23" s="50"/>
      <c r="D23" s="53">
        <f t="shared" si="0"/>
        <v>0</v>
      </c>
      <c r="E23" s="60" t="str">
        <f>HYPERLINK("https://www.sds-group.ru/product/tester-kabelya-mnogofunktsionalnyy-rj-45-828-rexant-12-1009/", "Инфо")</f>
        <v>Инфо</v>
      </c>
      <c r="F23" s="34" t="s">
        <v>39</v>
      </c>
      <c r="G23" s="33"/>
      <c r="H23" s="33" t="s">
        <v>40</v>
      </c>
      <c r="I23" s="33"/>
      <c r="J23" s="35">
        <v>96</v>
      </c>
      <c r="K23" s="33"/>
      <c r="L23" s="35">
        <v>1</v>
      </c>
      <c r="M23" s="35">
        <v>20</v>
      </c>
      <c r="N23" s="35">
        <v>1</v>
      </c>
      <c r="O23" s="36">
        <v>14896.94</v>
      </c>
      <c r="P23" s="36">
        <v>12210.61</v>
      </c>
      <c r="Q23" s="36">
        <v>10427.86</v>
      </c>
      <c r="R23" s="36">
        <v>8547.43</v>
      </c>
      <c r="S23" s="36">
        <v>10129.92</v>
      </c>
      <c r="T23" s="36">
        <v>8303.2099999999991</v>
      </c>
      <c r="U23" s="34" t="s">
        <v>7341</v>
      </c>
      <c r="V23" s="34" t="s">
        <v>7342</v>
      </c>
      <c r="W23" s="34"/>
      <c r="X23" s="37">
        <v>0.77400000000000002</v>
      </c>
      <c r="Y23" s="38">
        <v>4.8219999999999999E-3</v>
      </c>
      <c r="Z23" s="21">
        <v>4660008014957</v>
      </c>
    </row>
    <row r="24" spans="1:26" ht="24" customHeight="1" outlineLevel="3" x14ac:dyDescent="0.2">
      <c r="A24" s="32" t="s">
        <v>7351</v>
      </c>
      <c r="B24" s="74" t="s">
        <v>7352</v>
      </c>
      <c r="C24" s="50"/>
      <c r="D24" s="53">
        <f t="shared" si="0"/>
        <v>0</v>
      </c>
      <c r="E24" s="60" t="str">
        <f>HYPERLINK("https://www.sds-group.ru/product/tester-s-generatorom-signala-ms6810-mastech-13-1222/", "Инфо")</f>
        <v>Инфо</v>
      </c>
      <c r="F24" s="34" t="s">
        <v>39</v>
      </c>
      <c r="G24" s="33"/>
      <c r="H24" s="33" t="s">
        <v>40</v>
      </c>
      <c r="I24" s="33"/>
      <c r="J24" s="35">
        <v>151</v>
      </c>
      <c r="K24" s="33"/>
      <c r="L24" s="35">
        <v>1</v>
      </c>
      <c r="M24" s="35">
        <v>60</v>
      </c>
      <c r="N24" s="35">
        <v>1</v>
      </c>
      <c r="O24" s="36">
        <v>2587.25</v>
      </c>
      <c r="P24" s="36">
        <v>2120.6999999999998</v>
      </c>
      <c r="Q24" s="36">
        <v>1811.08</v>
      </c>
      <c r="R24" s="36">
        <v>1484.49</v>
      </c>
      <c r="S24" s="36">
        <v>1759.33</v>
      </c>
      <c r="T24" s="36">
        <v>1442.07</v>
      </c>
      <c r="U24" s="34" t="s">
        <v>7341</v>
      </c>
      <c r="V24" s="34" t="s">
        <v>7342</v>
      </c>
      <c r="W24" s="34"/>
      <c r="X24" s="37">
        <v>0.23200000000000001</v>
      </c>
      <c r="Y24" s="38">
        <v>7.7499999999999997E-4</v>
      </c>
      <c r="Z24" s="21">
        <v>4601004052208</v>
      </c>
    </row>
    <row r="25" spans="1:26" ht="24" customHeight="1" outlineLevel="3" x14ac:dyDescent="0.2">
      <c r="A25" s="32" t="s">
        <v>7357</v>
      </c>
      <c r="B25" s="74" t="s">
        <v>7358</v>
      </c>
      <c r="C25" s="50"/>
      <c r="D25" s="53">
        <f t="shared" si="0"/>
        <v>0</v>
      </c>
      <c r="E25" s="60" t="str">
        <f>HYPERLINK("https://www.sds-group.ru/product/tester-trassoiskatel-s-generatorom-signala-uni-t-ut682-13-1091/", "Инфо")</f>
        <v>Инфо</v>
      </c>
      <c r="F25" s="34" t="s">
        <v>39</v>
      </c>
      <c r="G25" s="33"/>
      <c r="H25" s="33" t="s">
        <v>40</v>
      </c>
      <c r="I25" s="33"/>
      <c r="J25" s="35">
        <v>65</v>
      </c>
      <c r="K25" s="33"/>
      <c r="L25" s="35">
        <v>1</v>
      </c>
      <c r="M25" s="35">
        <v>20</v>
      </c>
      <c r="N25" s="35">
        <v>1</v>
      </c>
      <c r="O25" s="36">
        <v>6640.6</v>
      </c>
      <c r="P25" s="36">
        <v>5443.11</v>
      </c>
      <c r="Q25" s="36">
        <v>4648.42</v>
      </c>
      <c r="R25" s="36">
        <v>3810.18</v>
      </c>
      <c r="S25" s="36">
        <v>4515.6099999999997</v>
      </c>
      <c r="T25" s="36">
        <v>3701.32</v>
      </c>
      <c r="U25" s="34" t="s">
        <v>7341</v>
      </c>
      <c r="V25" s="34" t="s">
        <v>7342</v>
      </c>
      <c r="W25" s="34"/>
      <c r="X25" s="37">
        <v>0.44900000000000001</v>
      </c>
      <c r="Y25" s="38">
        <v>1.8929999999999999E-3</v>
      </c>
      <c r="Z25" s="21">
        <v>4601004290358</v>
      </c>
    </row>
    <row r="26" spans="1:26" ht="24" customHeight="1" outlineLevel="3" x14ac:dyDescent="0.2">
      <c r="A26" s="32" t="s">
        <v>7361</v>
      </c>
      <c r="B26" s="74" t="s">
        <v>7362</v>
      </c>
      <c r="C26" s="50"/>
      <c r="D26" s="53">
        <f t="shared" si="0"/>
        <v>0</v>
      </c>
      <c r="E26" s="60" t="str">
        <f>HYPERLINK("https://www.sds-group.ru/product/tester-trassoiskatel-s-generatorom-signala-uni-t-ut683kit-13-1092/", "Инфо")</f>
        <v>Инфо</v>
      </c>
      <c r="F26" s="34" t="s">
        <v>39</v>
      </c>
      <c r="G26" s="33"/>
      <c r="H26" s="33" t="s">
        <v>40</v>
      </c>
      <c r="I26" s="33"/>
      <c r="J26" s="35">
        <v>222</v>
      </c>
      <c r="K26" s="33"/>
      <c r="L26" s="35">
        <v>1</v>
      </c>
      <c r="M26" s="35">
        <v>1</v>
      </c>
      <c r="N26" s="35">
        <v>1</v>
      </c>
      <c r="O26" s="36">
        <v>12127.73</v>
      </c>
      <c r="P26" s="36">
        <v>9940.76</v>
      </c>
      <c r="Q26" s="36">
        <v>8489.41</v>
      </c>
      <c r="R26" s="36">
        <v>6958.53</v>
      </c>
      <c r="S26" s="36">
        <v>8246.86</v>
      </c>
      <c r="T26" s="36">
        <v>6759.72</v>
      </c>
      <c r="U26" s="34" t="s">
        <v>7341</v>
      </c>
      <c r="V26" s="34" t="s">
        <v>7342</v>
      </c>
      <c r="W26" s="34"/>
      <c r="X26" s="37">
        <v>0.51100000000000001</v>
      </c>
      <c r="Y26" s="38">
        <v>3.0270000000000002E-3</v>
      </c>
      <c r="Z26" s="21">
        <v>4601004290334</v>
      </c>
    </row>
    <row r="27" spans="1:26" ht="12.95" customHeight="1" outlineLevel="2" x14ac:dyDescent="0.2">
      <c r="A27" s="76" t="s">
        <v>7382</v>
      </c>
      <c r="B27" s="76"/>
      <c r="C27" s="77"/>
      <c r="D27" s="58"/>
      <c r="E27" s="68"/>
      <c r="F27" s="30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 spans="1:26" ht="24" customHeight="1" outlineLevel="3" x14ac:dyDescent="0.2">
      <c r="A28" s="32" t="s">
        <v>7397</v>
      </c>
      <c r="B28" s="74" t="s">
        <v>7398</v>
      </c>
      <c r="C28" s="50"/>
      <c r="D28" s="53">
        <f t="shared" si="0"/>
        <v>0</v>
      </c>
      <c r="E28" s="60" t="str">
        <f>HYPERLINK("https://www.sds-group.ru/product/tester-rozetok-ms6860d-mastech-13-1260/", "Инфо")</f>
        <v>Инфо</v>
      </c>
      <c r="F28" s="34" t="s">
        <v>39</v>
      </c>
      <c r="G28" s="33"/>
      <c r="H28" s="33" t="s">
        <v>40</v>
      </c>
      <c r="I28" s="33"/>
      <c r="J28" s="35">
        <v>175</v>
      </c>
      <c r="K28" s="33"/>
      <c r="L28" s="35">
        <v>1</v>
      </c>
      <c r="M28" s="35">
        <v>40</v>
      </c>
      <c r="N28" s="35">
        <v>1</v>
      </c>
      <c r="O28" s="36">
        <v>1724.83</v>
      </c>
      <c r="P28" s="36">
        <v>1413.8</v>
      </c>
      <c r="Q28" s="36">
        <v>1207.3800000000001</v>
      </c>
      <c r="R28" s="36">
        <v>989.66</v>
      </c>
      <c r="S28" s="36">
        <v>1172.8800000000001</v>
      </c>
      <c r="T28" s="36">
        <v>961.38</v>
      </c>
      <c r="U28" s="34" t="s">
        <v>7341</v>
      </c>
      <c r="V28" s="34" t="s">
        <v>7342</v>
      </c>
      <c r="W28" s="34"/>
      <c r="X28" s="37">
        <v>0.11</v>
      </c>
      <c r="Y28" s="38">
        <v>7.7700000000000002E-4</v>
      </c>
      <c r="Z28" s="21">
        <v>4601004075412</v>
      </c>
    </row>
    <row r="29" spans="1:26" ht="24" customHeight="1" outlineLevel="3" x14ac:dyDescent="0.2">
      <c r="A29" s="32" t="s">
        <v>7405</v>
      </c>
      <c r="B29" s="74" t="s">
        <v>7406</v>
      </c>
      <c r="C29" s="50"/>
      <c r="D29" s="53">
        <f t="shared" si="0"/>
        <v>0</v>
      </c>
      <c r="E29" s="60" t="str">
        <f>HYPERLINK("https://www.sds-group.ru/product/tester-probnik-ms8902a-mastech-13-1202/", "Инфо")</f>
        <v>Инфо</v>
      </c>
      <c r="F29" s="34" t="s">
        <v>39</v>
      </c>
      <c r="G29" s="33"/>
      <c r="H29" s="33" t="s">
        <v>40</v>
      </c>
      <c r="I29" s="33"/>
      <c r="J29" s="35">
        <v>299</v>
      </c>
      <c r="K29" s="33"/>
      <c r="L29" s="35">
        <v>1</v>
      </c>
      <c r="M29" s="35">
        <v>40</v>
      </c>
      <c r="N29" s="35">
        <v>1</v>
      </c>
      <c r="O29" s="36">
        <v>2371.64</v>
      </c>
      <c r="P29" s="36">
        <v>1943.97</v>
      </c>
      <c r="Q29" s="36">
        <v>1660.15</v>
      </c>
      <c r="R29" s="36">
        <v>1360.78</v>
      </c>
      <c r="S29" s="36">
        <v>1612.72</v>
      </c>
      <c r="T29" s="36">
        <v>1321.9</v>
      </c>
      <c r="U29" s="34" t="s">
        <v>7341</v>
      </c>
      <c r="V29" s="34" t="s">
        <v>7342</v>
      </c>
      <c r="W29" s="34"/>
      <c r="X29" s="37">
        <v>9.7000000000000003E-2</v>
      </c>
      <c r="Y29" s="38">
        <v>7.8799999999999996E-4</v>
      </c>
      <c r="Z29" s="21">
        <v>4601004195684</v>
      </c>
    </row>
    <row r="30" spans="1:26" ht="12.95" customHeight="1" outlineLevel="2" x14ac:dyDescent="0.2">
      <c r="A30" s="76" t="s">
        <v>7429</v>
      </c>
      <c r="B30" s="76"/>
      <c r="C30" s="77"/>
      <c r="D30" s="58"/>
      <c r="E30" s="68"/>
      <c r="F30" s="30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 spans="1:26" ht="24" customHeight="1" outlineLevel="3" x14ac:dyDescent="0.2">
      <c r="A31" s="32" t="s">
        <v>7444</v>
      </c>
      <c r="B31" s="74" t="s">
        <v>7445</v>
      </c>
      <c r="C31" s="50"/>
      <c r="D31" s="53">
        <f t="shared" si="0"/>
        <v>0</v>
      </c>
      <c r="E31" s="60" t="str">
        <f>HYPERLINK("https://www.sds-group.ru/product/multimetr-portativnyy-smart-uni-t-ut118b-13-0083/", "Инфо")</f>
        <v>Инфо</v>
      </c>
      <c r="F31" s="34" t="s">
        <v>39</v>
      </c>
      <c r="G31" s="33"/>
      <c r="H31" s="33" t="s">
        <v>40</v>
      </c>
      <c r="I31" s="33"/>
      <c r="J31" s="35">
        <v>192</v>
      </c>
      <c r="K31" s="33"/>
      <c r="L31" s="35">
        <v>1</v>
      </c>
      <c r="M31" s="35">
        <v>40</v>
      </c>
      <c r="N31" s="35">
        <v>1</v>
      </c>
      <c r="O31" s="36">
        <v>3537.11</v>
      </c>
      <c r="P31" s="36">
        <v>2899.27</v>
      </c>
      <c r="Q31" s="36">
        <v>2475.98</v>
      </c>
      <c r="R31" s="36">
        <v>2029.49</v>
      </c>
      <c r="S31" s="36">
        <v>2405.23</v>
      </c>
      <c r="T31" s="36">
        <v>1971.5</v>
      </c>
      <c r="U31" s="34" t="s">
        <v>7341</v>
      </c>
      <c r="V31" s="34" t="s">
        <v>7342</v>
      </c>
      <c r="W31" s="34"/>
      <c r="X31" s="37">
        <v>0.16700000000000001</v>
      </c>
      <c r="Y31" s="38">
        <v>9.4499999999999998E-4</v>
      </c>
      <c r="Z31" s="21">
        <v>4601004289581</v>
      </c>
    </row>
    <row r="32" spans="1:26" ht="24" customHeight="1" outlineLevel="3" x14ac:dyDescent="0.2">
      <c r="A32" s="32" t="s">
        <v>7454</v>
      </c>
      <c r="B32" s="74" t="s">
        <v>7455</v>
      </c>
      <c r="C32" s="50"/>
      <c r="D32" s="53">
        <f t="shared" si="0"/>
        <v>0</v>
      </c>
      <c r="E32" s="60" t="str">
        <f>HYPERLINK("https://www.sds-group.ru/product/portativnyy-multimetr-m300-mastech-13-2006/", "Инфо")</f>
        <v>Инфо</v>
      </c>
      <c r="F32" s="34" t="s">
        <v>39</v>
      </c>
      <c r="G32" s="33"/>
      <c r="H32" s="33" t="s">
        <v>40</v>
      </c>
      <c r="I32" s="33"/>
      <c r="J32" s="35">
        <v>197</v>
      </c>
      <c r="K32" s="33"/>
      <c r="L32" s="35">
        <v>1</v>
      </c>
      <c r="M32" s="35">
        <v>40</v>
      </c>
      <c r="N32" s="35">
        <v>1</v>
      </c>
      <c r="O32" s="36">
        <v>1951.22</v>
      </c>
      <c r="P32" s="36">
        <v>1599.36</v>
      </c>
      <c r="Q32" s="36">
        <v>1365.85</v>
      </c>
      <c r="R32" s="36">
        <v>1119.55</v>
      </c>
      <c r="S32" s="36">
        <v>1326.83</v>
      </c>
      <c r="T32" s="36">
        <v>1087.57</v>
      </c>
      <c r="U32" s="34" t="s">
        <v>7341</v>
      </c>
      <c r="V32" s="34" t="s">
        <v>7342</v>
      </c>
      <c r="W32" s="34"/>
      <c r="X32" s="37">
        <v>0.16500000000000001</v>
      </c>
      <c r="Y32" s="38">
        <v>6.8099999999999996E-4</v>
      </c>
      <c r="Z32" s="21">
        <v>4601004008441</v>
      </c>
    </row>
    <row r="33" spans="1:26" ht="24" customHeight="1" outlineLevel="3" x14ac:dyDescent="0.2">
      <c r="A33" s="32" t="s">
        <v>7460</v>
      </c>
      <c r="B33" s="74" t="s">
        <v>7461</v>
      </c>
      <c r="C33" s="50"/>
      <c r="D33" s="53">
        <f t="shared" si="0"/>
        <v>0</v>
      </c>
      <c r="E33" s="60" t="str">
        <f>HYPERLINK("https://www.sds-group.ru/product/portativnyy-multimetr-m830b-mastech-13-2001/", "Инфо")</f>
        <v>Инфо</v>
      </c>
      <c r="F33" s="34" t="s">
        <v>39</v>
      </c>
      <c r="G33" s="33"/>
      <c r="H33" s="33" t="s">
        <v>40</v>
      </c>
      <c r="I33" s="33"/>
      <c r="J33" s="39">
        <v>1058</v>
      </c>
      <c r="K33" s="33"/>
      <c r="L33" s="35">
        <v>1</v>
      </c>
      <c r="M33" s="35">
        <v>20</v>
      </c>
      <c r="N33" s="35">
        <v>1</v>
      </c>
      <c r="O33" s="36">
        <v>1693.31</v>
      </c>
      <c r="P33" s="36">
        <v>1387.96</v>
      </c>
      <c r="Q33" s="36">
        <v>1185.32</v>
      </c>
      <c r="R33" s="36">
        <v>971.57</v>
      </c>
      <c r="S33" s="36">
        <v>1151.45</v>
      </c>
      <c r="T33" s="36">
        <v>943.81</v>
      </c>
      <c r="U33" s="34" t="s">
        <v>7341</v>
      </c>
      <c r="V33" s="34" t="s">
        <v>7342</v>
      </c>
      <c r="W33" s="34"/>
      <c r="X33" s="37">
        <v>0.28599999999999998</v>
      </c>
      <c r="Y33" s="38">
        <v>2.0140000000000002E-3</v>
      </c>
      <c r="Z33" s="21">
        <v>4601004008410</v>
      </c>
    </row>
    <row r="34" spans="1:26" ht="24" customHeight="1" outlineLevel="3" x14ac:dyDescent="0.2">
      <c r="A34" s="32" t="s">
        <v>7462</v>
      </c>
      <c r="B34" s="74" t="s">
        <v>7463</v>
      </c>
      <c r="C34" s="50"/>
      <c r="D34" s="53">
        <f t="shared" si="0"/>
        <v>0</v>
      </c>
      <c r="E34" s="60" t="str">
        <f>HYPERLINK("https://www.sds-group.ru/product/portativnyy-multimetr-m830bz-mastech-13-2002/", "Инфо")</f>
        <v>Инфо</v>
      </c>
      <c r="F34" s="34" t="s">
        <v>39</v>
      </c>
      <c r="G34" s="33"/>
      <c r="H34" s="33" t="s">
        <v>40</v>
      </c>
      <c r="I34" s="33"/>
      <c r="J34" s="35">
        <v>646</v>
      </c>
      <c r="K34" s="33"/>
      <c r="L34" s="35">
        <v>1</v>
      </c>
      <c r="M34" s="35">
        <v>20</v>
      </c>
      <c r="N34" s="35">
        <v>1</v>
      </c>
      <c r="O34" s="36">
        <v>1983.15</v>
      </c>
      <c r="P34" s="36">
        <v>1625.53</v>
      </c>
      <c r="Q34" s="36">
        <v>1388.21</v>
      </c>
      <c r="R34" s="36">
        <v>1137.8800000000001</v>
      </c>
      <c r="S34" s="36">
        <v>1348.54</v>
      </c>
      <c r="T34" s="36">
        <v>1105.3599999999999</v>
      </c>
      <c r="U34" s="34" t="s">
        <v>7341</v>
      </c>
      <c r="V34" s="34" t="s">
        <v>7342</v>
      </c>
      <c r="W34" s="34"/>
      <c r="X34" s="37">
        <v>0.28899999999999998</v>
      </c>
      <c r="Y34" s="38">
        <v>2.055E-3</v>
      </c>
      <c r="Z34" s="21">
        <v>4601004008366</v>
      </c>
    </row>
    <row r="35" spans="1:26" ht="24" customHeight="1" outlineLevel="3" x14ac:dyDescent="0.2">
      <c r="A35" s="32" t="s">
        <v>7466</v>
      </c>
      <c r="B35" s="74" t="s">
        <v>7467</v>
      </c>
      <c r="C35" s="50"/>
      <c r="D35" s="53">
        <f t="shared" si="0"/>
        <v>0</v>
      </c>
      <c r="E35" s="60" t="str">
        <f>HYPERLINK("https://www.sds-group.ru/product/portativnyy-multimetr-m832-mastech-13-2003/", "Инфо")</f>
        <v>Инфо</v>
      </c>
      <c r="F35" s="34" t="s">
        <v>39</v>
      </c>
      <c r="G35" s="33"/>
      <c r="H35" s="33" t="s">
        <v>40</v>
      </c>
      <c r="I35" s="33"/>
      <c r="J35" s="35">
        <v>211</v>
      </c>
      <c r="K35" s="33"/>
      <c r="L35" s="35">
        <v>1</v>
      </c>
      <c r="M35" s="35">
        <v>20</v>
      </c>
      <c r="N35" s="35">
        <v>1</v>
      </c>
      <c r="O35" s="36">
        <v>2231.5</v>
      </c>
      <c r="P35" s="36">
        <v>1829.1</v>
      </c>
      <c r="Q35" s="36">
        <v>1562.05</v>
      </c>
      <c r="R35" s="36">
        <v>1280.3699999999999</v>
      </c>
      <c r="S35" s="36">
        <v>1517.42</v>
      </c>
      <c r="T35" s="36">
        <v>1243.79</v>
      </c>
      <c r="U35" s="34" t="s">
        <v>7341</v>
      </c>
      <c r="V35" s="34" t="s">
        <v>7342</v>
      </c>
      <c r="W35" s="34"/>
      <c r="X35" s="37">
        <v>0.28999999999999998</v>
      </c>
      <c r="Y35" s="38">
        <v>2.0209999999999998E-3</v>
      </c>
      <c r="Z35" s="21">
        <v>4601004008427</v>
      </c>
    </row>
    <row r="36" spans="1:26" ht="12.95" customHeight="1" outlineLevel="2" x14ac:dyDescent="0.2">
      <c r="A36" s="76" t="s">
        <v>7504</v>
      </c>
      <c r="B36" s="76"/>
      <c r="C36" s="77"/>
      <c r="D36" s="58"/>
      <c r="E36" s="68"/>
      <c r="F36" s="30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 spans="1:26" ht="24" customHeight="1" outlineLevel="3" x14ac:dyDescent="0.2">
      <c r="A37" s="32" t="s">
        <v>7515</v>
      </c>
      <c r="B37" s="74" t="s">
        <v>7516</v>
      </c>
      <c r="C37" s="50"/>
      <c r="D37" s="53">
        <f t="shared" si="0"/>
        <v>0</v>
      </c>
      <c r="E37" s="60" t="str">
        <f>HYPERLINK("https://www.sds-group.ru/product/multimetr-universalnyy-uni-t-ut39e-13-0068/", "Инфо")</f>
        <v>Инфо</v>
      </c>
      <c r="F37" s="34" t="s">
        <v>39</v>
      </c>
      <c r="G37" s="33"/>
      <c r="H37" s="33" t="s">
        <v>40</v>
      </c>
      <c r="I37" s="33"/>
      <c r="J37" s="35">
        <v>72</v>
      </c>
      <c r="K37" s="33"/>
      <c r="L37" s="35">
        <v>1</v>
      </c>
      <c r="M37" s="35">
        <v>1</v>
      </c>
      <c r="N37" s="35">
        <v>1</v>
      </c>
      <c r="O37" s="36">
        <v>6899.33</v>
      </c>
      <c r="P37" s="36">
        <v>5655.19</v>
      </c>
      <c r="Q37" s="36">
        <v>4829.53</v>
      </c>
      <c r="R37" s="36">
        <v>3958.63</v>
      </c>
      <c r="S37" s="36">
        <v>4691.54</v>
      </c>
      <c r="T37" s="36">
        <v>3845.52</v>
      </c>
      <c r="U37" s="34" t="s">
        <v>7341</v>
      </c>
      <c r="V37" s="34" t="s">
        <v>7342</v>
      </c>
      <c r="W37" s="34"/>
      <c r="X37" s="37">
        <v>0.50900000000000001</v>
      </c>
      <c r="Y37" s="38">
        <v>1.668E-3</v>
      </c>
      <c r="Z37" s="21">
        <v>4601004289802</v>
      </c>
    </row>
    <row r="38" spans="1:26" ht="24" customHeight="1" outlineLevel="3" x14ac:dyDescent="0.2">
      <c r="A38" s="32" t="s">
        <v>7517</v>
      </c>
      <c r="B38" s="74" t="s">
        <v>7518</v>
      </c>
      <c r="C38" s="50"/>
      <c r="D38" s="53">
        <f t="shared" si="0"/>
        <v>0</v>
      </c>
      <c r="E38" s="60" t="str">
        <f>HYPERLINK("https://www.sds-group.ru/product/multimetr-universalnyy-uni-t-ut39s-13-0067/", "Инфо")</f>
        <v>Инфо</v>
      </c>
      <c r="F38" s="34" t="s">
        <v>39</v>
      </c>
      <c r="G38" s="33"/>
      <c r="H38" s="33" t="s">
        <v>40</v>
      </c>
      <c r="I38" s="33"/>
      <c r="J38" s="34" t="s">
        <v>100</v>
      </c>
      <c r="K38" s="33"/>
      <c r="L38" s="35">
        <v>1</v>
      </c>
      <c r="M38" s="35">
        <v>30</v>
      </c>
      <c r="N38" s="35">
        <v>1</v>
      </c>
      <c r="O38" s="36">
        <v>3665.27</v>
      </c>
      <c r="P38" s="36">
        <v>3004.32</v>
      </c>
      <c r="Q38" s="36">
        <v>2565.69</v>
      </c>
      <c r="R38" s="36">
        <v>2103.02</v>
      </c>
      <c r="S38" s="36">
        <v>2492.38</v>
      </c>
      <c r="T38" s="36">
        <v>2042.93</v>
      </c>
      <c r="U38" s="34" t="s">
        <v>7341</v>
      </c>
      <c r="V38" s="34" t="s">
        <v>7342</v>
      </c>
      <c r="W38" s="34"/>
      <c r="X38" s="37">
        <v>0.47499999999999998</v>
      </c>
      <c r="Y38" s="38">
        <v>1.5640000000000001E-3</v>
      </c>
      <c r="Z38" s="21">
        <v>4601004289772</v>
      </c>
    </row>
    <row r="39" spans="1:26" ht="24" customHeight="1" outlineLevel="3" x14ac:dyDescent="0.2">
      <c r="A39" s="32" t="s">
        <v>7533</v>
      </c>
      <c r="B39" s="74" t="s">
        <v>7534</v>
      </c>
      <c r="C39" s="50"/>
      <c r="D39" s="53">
        <f t="shared" si="0"/>
        <v>0</v>
      </c>
      <c r="E39" s="60" t="str">
        <f>HYPERLINK("https://www.sds-group.ru/product/universalnyy-multimetr-ms8233b-mastech-13-2016/", "Инфо")</f>
        <v>Инфо</v>
      </c>
      <c r="F39" s="34" t="s">
        <v>39</v>
      </c>
      <c r="G39" s="33"/>
      <c r="H39" s="33" t="s">
        <v>40</v>
      </c>
      <c r="I39" s="33"/>
      <c r="J39" s="35">
        <v>591</v>
      </c>
      <c r="K39" s="33"/>
      <c r="L39" s="35">
        <v>1</v>
      </c>
      <c r="M39" s="35">
        <v>20</v>
      </c>
      <c r="N39" s="35">
        <v>1</v>
      </c>
      <c r="O39" s="36">
        <v>3449.66</v>
      </c>
      <c r="P39" s="36">
        <v>2827.59</v>
      </c>
      <c r="Q39" s="36">
        <v>2414.7600000000002</v>
      </c>
      <c r="R39" s="36">
        <v>1979.31</v>
      </c>
      <c r="S39" s="36">
        <v>2345.77</v>
      </c>
      <c r="T39" s="36">
        <v>1922.76</v>
      </c>
      <c r="U39" s="34" t="s">
        <v>7341</v>
      </c>
      <c r="V39" s="34" t="s">
        <v>7342</v>
      </c>
      <c r="W39" s="34"/>
      <c r="X39" s="37">
        <v>0.35799999999999998</v>
      </c>
      <c r="Y39" s="38">
        <v>1.624E-3</v>
      </c>
      <c r="Z39" s="21">
        <v>4601004008328</v>
      </c>
    </row>
    <row r="40" spans="1:26" ht="24" customHeight="1" outlineLevel="3" x14ac:dyDescent="0.2">
      <c r="A40" s="32" t="s">
        <v>7535</v>
      </c>
      <c r="B40" s="74" t="s">
        <v>7536</v>
      </c>
      <c r="C40" s="50"/>
      <c r="D40" s="53">
        <f t="shared" si="0"/>
        <v>0</v>
      </c>
      <c r="E40" s="60" t="str">
        <f>HYPERLINK("https://www.sds-group.ru/product/universalnyy-multimetr-ms8233c-mastech-13-2015/", "Инфо")</f>
        <v>Инфо</v>
      </c>
      <c r="F40" s="34" t="s">
        <v>39</v>
      </c>
      <c r="G40" s="33"/>
      <c r="H40" s="33" t="s">
        <v>40</v>
      </c>
      <c r="I40" s="33"/>
      <c r="J40" s="35">
        <v>199</v>
      </c>
      <c r="K40" s="33"/>
      <c r="L40" s="35">
        <v>1</v>
      </c>
      <c r="M40" s="35">
        <v>20</v>
      </c>
      <c r="N40" s="35">
        <v>1</v>
      </c>
      <c r="O40" s="36">
        <v>3783.24</v>
      </c>
      <c r="P40" s="36">
        <v>3101.02</v>
      </c>
      <c r="Q40" s="36">
        <v>2648.27</v>
      </c>
      <c r="R40" s="36">
        <v>2170.71</v>
      </c>
      <c r="S40" s="36">
        <v>2572.6</v>
      </c>
      <c r="T40" s="36">
        <v>2108.69</v>
      </c>
      <c r="U40" s="34" t="s">
        <v>7341</v>
      </c>
      <c r="V40" s="34" t="s">
        <v>7342</v>
      </c>
      <c r="W40" s="34"/>
      <c r="X40" s="37">
        <v>0.4</v>
      </c>
      <c r="Y40" s="38">
        <v>2.042E-3</v>
      </c>
      <c r="Z40" s="21">
        <v>4601004008267</v>
      </c>
    </row>
    <row r="41" spans="1:26" ht="24" customHeight="1" outlineLevel="3" x14ac:dyDescent="0.2">
      <c r="A41" s="32" t="s">
        <v>7543</v>
      </c>
      <c r="B41" s="74" t="s">
        <v>7544</v>
      </c>
      <c r="C41" s="50"/>
      <c r="D41" s="53">
        <f t="shared" si="0"/>
        <v>0</v>
      </c>
      <c r="E41" s="60" t="str">
        <f>HYPERLINK("https://www.sds-group.ru/product/universalnyy-multimetr-my62n-mastech-13-2019/", "Инфо")</f>
        <v>Инфо</v>
      </c>
      <c r="F41" s="34" t="s">
        <v>39</v>
      </c>
      <c r="G41" s="33"/>
      <c r="H41" s="33" t="s">
        <v>40</v>
      </c>
      <c r="I41" s="33"/>
      <c r="J41" s="35">
        <v>679</v>
      </c>
      <c r="K41" s="33"/>
      <c r="L41" s="35">
        <v>1</v>
      </c>
      <c r="M41" s="35">
        <v>20</v>
      </c>
      <c r="N41" s="35">
        <v>1</v>
      </c>
      <c r="O41" s="36">
        <v>5174.5</v>
      </c>
      <c r="P41" s="36">
        <v>4241.3900000000003</v>
      </c>
      <c r="Q41" s="36">
        <v>3622.15</v>
      </c>
      <c r="R41" s="36">
        <v>2968.98</v>
      </c>
      <c r="S41" s="36">
        <v>3518.66</v>
      </c>
      <c r="T41" s="36">
        <v>2884.15</v>
      </c>
      <c r="U41" s="34" t="s">
        <v>7341</v>
      </c>
      <c r="V41" s="34" t="s">
        <v>7342</v>
      </c>
      <c r="W41" s="34"/>
      <c r="X41" s="37">
        <v>0.65900000000000003</v>
      </c>
      <c r="Y41" s="38">
        <v>3.2130000000000001E-3</v>
      </c>
      <c r="Z41" s="21">
        <v>4601004008335</v>
      </c>
    </row>
    <row r="42" spans="1:26" ht="24" customHeight="1" outlineLevel="3" x14ac:dyDescent="0.2">
      <c r="A42" s="32" t="s">
        <v>7545</v>
      </c>
      <c r="B42" s="74" t="s">
        <v>7546</v>
      </c>
      <c r="C42" s="50"/>
      <c r="D42" s="53">
        <f t="shared" si="0"/>
        <v>0</v>
      </c>
      <c r="E42" s="60" t="str">
        <f>HYPERLINK("https://www.sds-group.ru/product/universalnyy-multimetr-my63n-mastech-13-2051/", "Инфо")</f>
        <v>Инфо</v>
      </c>
      <c r="F42" s="34" t="s">
        <v>39</v>
      </c>
      <c r="G42" s="33"/>
      <c r="H42" s="33" t="s">
        <v>40</v>
      </c>
      <c r="I42" s="33"/>
      <c r="J42" s="35">
        <v>304</v>
      </c>
      <c r="K42" s="33"/>
      <c r="L42" s="35">
        <v>1</v>
      </c>
      <c r="M42" s="35">
        <v>20</v>
      </c>
      <c r="N42" s="35">
        <v>1</v>
      </c>
      <c r="O42" s="36">
        <v>6166.36</v>
      </c>
      <c r="P42" s="36">
        <v>5054.3900000000003</v>
      </c>
      <c r="Q42" s="36">
        <v>4316.45</v>
      </c>
      <c r="R42" s="36">
        <v>3538.07</v>
      </c>
      <c r="S42" s="36">
        <v>4193.12</v>
      </c>
      <c r="T42" s="36">
        <v>3436.98</v>
      </c>
      <c r="U42" s="34" t="s">
        <v>7341</v>
      </c>
      <c r="V42" s="34" t="s">
        <v>7342</v>
      </c>
      <c r="W42" s="34"/>
      <c r="X42" s="37">
        <v>0.61199999999999999</v>
      </c>
      <c r="Y42" s="38">
        <v>2.591E-3</v>
      </c>
      <c r="Z42" s="21">
        <v>4601004052055</v>
      </c>
    </row>
    <row r="43" spans="1:26" ht="24" customHeight="1" outlineLevel="3" x14ac:dyDescent="0.2">
      <c r="A43" s="32" t="s">
        <v>7549</v>
      </c>
      <c r="B43" s="74" t="s">
        <v>7550</v>
      </c>
      <c r="C43" s="50"/>
      <c r="D43" s="53">
        <f t="shared" si="0"/>
        <v>0</v>
      </c>
      <c r="E43" s="60" t="str">
        <f>HYPERLINK("https://www.sds-group.ru/product/universalnyy-multimetr-my65n-mastech-13-2052/", "Инфо")</f>
        <v>Инфо</v>
      </c>
      <c r="F43" s="34" t="s">
        <v>39</v>
      </c>
      <c r="G43" s="33"/>
      <c r="H43" s="33" t="s">
        <v>40</v>
      </c>
      <c r="I43" s="33"/>
      <c r="J43" s="35">
        <v>329</v>
      </c>
      <c r="K43" s="33"/>
      <c r="L43" s="35">
        <v>1</v>
      </c>
      <c r="M43" s="35">
        <v>20</v>
      </c>
      <c r="N43" s="35">
        <v>1</v>
      </c>
      <c r="O43" s="36">
        <v>9484.57</v>
      </c>
      <c r="P43" s="36">
        <v>7774.24</v>
      </c>
      <c r="Q43" s="36">
        <v>6639.2</v>
      </c>
      <c r="R43" s="36">
        <v>5441.97</v>
      </c>
      <c r="S43" s="36">
        <v>6449.51</v>
      </c>
      <c r="T43" s="36">
        <v>5286.48</v>
      </c>
      <c r="U43" s="34" t="s">
        <v>7341</v>
      </c>
      <c r="V43" s="34" t="s">
        <v>7342</v>
      </c>
      <c r="W43" s="34"/>
      <c r="X43" s="37">
        <v>0.626</v>
      </c>
      <c r="Y43" s="38">
        <v>2.6310000000000001E-3</v>
      </c>
      <c r="Z43" s="21">
        <v>4601004052048</v>
      </c>
    </row>
    <row r="44" spans="1:26" ht="24" customHeight="1" outlineLevel="3" x14ac:dyDescent="0.2">
      <c r="A44" s="32" t="s">
        <v>7557</v>
      </c>
      <c r="B44" s="74" t="s">
        <v>7558</v>
      </c>
      <c r="C44" s="50"/>
      <c r="D44" s="53">
        <f t="shared" si="0"/>
        <v>0</v>
      </c>
      <c r="E44" s="60" t="str">
        <f>HYPERLINK("https://www.sds-group.ru/product/universalnyy-multimetr-uni-t-ut-58a-13-1020/", "Инфо")</f>
        <v>Инфо</v>
      </c>
      <c r="F44" s="34" t="s">
        <v>39</v>
      </c>
      <c r="G44" s="33"/>
      <c r="H44" s="33" t="s">
        <v>40</v>
      </c>
      <c r="I44" s="33"/>
      <c r="J44" s="35">
        <v>158</v>
      </c>
      <c r="K44" s="33"/>
      <c r="L44" s="35">
        <v>1</v>
      </c>
      <c r="M44" s="35">
        <v>40</v>
      </c>
      <c r="N44" s="35">
        <v>1</v>
      </c>
      <c r="O44" s="36">
        <v>7114.93</v>
      </c>
      <c r="P44" s="36">
        <v>5831.91</v>
      </c>
      <c r="Q44" s="36">
        <v>4980.45</v>
      </c>
      <c r="R44" s="36">
        <v>4082.34</v>
      </c>
      <c r="S44" s="36">
        <v>4838.1499999999996</v>
      </c>
      <c r="T44" s="36">
        <v>3965.7</v>
      </c>
      <c r="U44" s="34" t="s">
        <v>7341</v>
      </c>
      <c r="V44" s="34" t="s">
        <v>7342</v>
      </c>
      <c r="W44" s="34"/>
      <c r="X44" s="37">
        <v>0.55900000000000005</v>
      </c>
      <c r="Y44" s="38">
        <v>2.3679999999999999E-3</v>
      </c>
      <c r="Z44" s="21">
        <v>4601004059344</v>
      </c>
    </row>
    <row r="45" spans="1:26" ht="24" customHeight="1" outlineLevel="3" x14ac:dyDescent="0.2">
      <c r="A45" s="32" t="s">
        <v>7559</v>
      </c>
      <c r="B45" s="74" t="s">
        <v>7560</v>
      </c>
      <c r="C45" s="50"/>
      <c r="D45" s="53">
        <f t="shared" si="0"/>
        <v>0</v>
      </c>
      <c r="E45" s="60" t="str">
        <f>HYPERLINK("https://www.sds-group.ru/product/universalnyy-multimetr-uni-t-ut-58b-13-1022/", "Инфо")</f>
        <v>Инфо</v>
      </c>
      <c r="F45" s="34" t="s">
        <v>39</v>
      </c>
      <c r="G45" s="33"/>
      <c r="H45" s="33" t="s">
        <v>40</v>
      </c>
      <c r="I45" s="33"/>
      <c r="J45" s="35">
        <v>236</v>
      </c>
      <c r="K45" s="33"/>
      <c r="L45" s="35">
        <v>1</v>
      </c>
      <c r="M45" s="35">
        <v>20</v>
      </c>
      <c r="N45" s="35">
        <v>1</v>
      </c>
      <c r="O45" s="36">
        <v>7438.34</v>
      </c>
      <c r="P45" s="36">
        <v>6097</v>
      </c>
      <c r="Q45" s="36">
        <v>5206.84</v>
      </c>
      <c r="R45" s="36">
        <v>4267.8999999999996</v>
      </c>
      <c r="S45" s="36">
        <v>5058.07</v>
      </c>
      <c r="T45" s="36">
        <v>4145.96</v>
      </c>
      <c r="U45" s="34" t="s">
        <v>7341</v>
      </c>
      <c r="V45" s="34" t="s">
        <v>7342</v>
      </c>
      <c r="W45" s="34"/>
      <c r="X45" s="37">
        <v>0.57599999999999996</v>
      </c>
      <c r="Y45" s="38">
        <v>2.382E-3</v>
      </c>
      <c r="Z45" s="21">
        <v>4601004059290</v>
      </c>
    </row>
    <row r="46" spans="1:26" ht="24" customHeight="1" outlineLevel="3" x14ac:dyDescent="0.2">
      <c r="A46" s="32" t="s">
        <v>7561</v>
      </c>
      <c r="B46" s="74" t="s">
        <v>7562</v>
      </c>
      <c r="C46" s="50"/>
      <c r="D46" s="53">
        <f t="shared" si="0"/>
        <v>0</v>
      </c>
      <c r="E46" s="60" t="str">
        <f>HYPERLINK("https://www.sds-group.ru/product/universalnyy-multimetr-uni-t-ut-58c-13-1023/", "Инфо")</f>
        <v>Инфо</v>
      </c>
      <c r="F46" s="34" t="s">
        <v>39</v>
      </c>
      <c r="G46" s="33"/>
      <c r="H46" s="33" t="s">
        <v>40</v>
      </c>
      <c r="I46" s="33"/>
      <c r="J46" s="35">
        <v>175</v>
      </c>
      <c r="K46" s="33"/>
      <c r="L46" s="35">
        <v>1</v>
      </c>
      <c r="M46" s="35">
        <v>20</v>
      </c>
      <c r="N46" s="35">
        <v>1</v>
      </c>
      <c r="O46" s="36">
        <v>7093.37</v>
      </c>
      <c r="P46" s="36">
        <v>5814.24</v>
      </c>
      <c r="Q46" s="36">
        <v>4965.3599999999997</v>
      </c>
      <c r="R46" s="36">
        <v>4069.97</v>
      </c>
      <c r="S46" s="36">
        <v>4823.49</v>
      </c>
      <c r="T46" s="36">
        <v>3953.68</v>
      </c>
      <c r="U46" s="34" t="s">
        <v>7341</v>
      </c>
      <c r="V46" s="34" t="s">
        <v>7342</v>
      </c>
      <c r="W46" s="34"/>
      <c r="X46" s="37">
        <v>0.57899999999999996</v>
      </c>
      <c r="Y46" s="38">
        <v>2.395E-3</v>
      </c>
      <c r="Z46" s="21">
        <v>4601004059306</v>
      </c>
    </row>
    <row r="47" spans="1:26" ht="12.95" customHeight="1" outlineLevel="2" x14ac:dyDescent="0.2">
      <c r="A47" s="76" t="s">
        <v>7567</v>
      </c>
      <c r="B47" s="76"/>
      <c r="C47" s="77"/>
      <c r="D47" s="58"/>
      <c r="E47" s="68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 spans="1:26" ht="24" customHeight="1" outlineLevel="3" x14ac:dyDescent="0.2">
      <c r="A48" s="32" t="s">
        <v>7572</v>
      </c>
      <c r="B48" s="74" t="s">
        <v>7573</v>
      </c>
      <c r="C48" s="50"/>
      <c r="D48" s="53">
        <f t="shared" si="0"/>
        <v>0</v>
      </c>
      <c r="E48" s="60" t="str">
        <f>HYPERLINK("https://www.sds-group.ru/product/professionalnyy-multimetr-5-v-1-ms8229-mastech-13-2029/", "Инфо")</f>
        <v>Инфо</v>
      </c>
      <c r="F48" s="34" t="s">
        <v>39</v>
      </c>
      <c r="G48" s="33"/>
      <c r="H48" s="33" t="s">
        <v>40</v>
      </c>
      <c r="I48" s="33"/>
      <c r="J48" s="35">
        <v>185</v>
      </c>
      <c r="K48" s="33"/>
      <c r="L48" s="35">
        <v>1</v>
      </c>
      <c r="M48" s="35">
        <v>20</v>
      </c>
      <c r="N48" s="35">
        <v>1</v>
      </c>
      <c r="O48" s="36">
        <v>11211.41</v>
      </c>
      <c r="P48" s="36">
        <v>9189.68</v>
      </c>
      <c r="Q48" s="36">
        <v>7847.99</v>
      </c>
      <c r="R48" s="36">
        <v>6432.78</v>
      </c>
      <c r="S48" s="36">
        <v>7623.76</v>
      </c>
      <c r="T48" s="36">
        <v>6248.98</v>
      </c>
      <c r="U48" s="34" t="s">
        <v>7341</v>
      </c>
      <c r="V48" s="34" t="s">
        <v>7342</v>
      </c>
      <c r="W48" s="34"/>
      <c r="X48" s="37">
        <v>0.68799999999999994</v>
      </c>
      <c r="Y48" s="38">
        <v>3.3300000000000001E-3</v>
      </c>
      <c r="Z48" s="21">
        <v>4601004052178</v>
      </c>
    </row>
    <row r="49" spans="1:26" ht="24" customHeight="1" outlineLevel="3" x14ac:dyDescent="0.2">
      <c r="A49" s="32" t="s">
        <v>7576</v>
      </c>
      <c r="B49" s="74" t="s">
        <v>7577</v>
      </c>
      <c r="C49" s="50"/>
      <c r="D49" s="53">
        <f t="shared" si="0"/>
        <v>0</v>
      </c>
      <c r="E49" s="60" t="str">
        <f>HYPERLINK("https://www.sds-group.ru/product/professionalnyy-multimetr-ms8217-mastech-13-2021/", "Инфо")</f>
        <v>Инфо</v>
      </c>
      <c r="F49" s="34" t="s">
        <v>39</v>
      </c>
      <c r="G49" s="33"/>
      <c r="H49" s="33" t="s">
        <v>40</v>
      </c>
      <c r="I49" s="33"/>
      <c r="J49" s="35">
        <v>161</v>
      </c>
      <c r="K49" s="33"/>
      <c r="L49" s="35">
        <v>1</v>
      </c>
      <c r="M49" s="35">
        <v>20</v>
      </c>
      <c r="N49" s="35">
        <v>1</v>
      </c>
      <c r="O49" s="36">
        <v>5077.47</v>
      </c>
      <c r="P49" s="36">
        <v>4161.8599999999997</v>
      </c>
      <c r="Q49" s="36">
        <v>3554.23</v>
      </c>
      <c r="R49" s="36">
        <v>2913.3</v>
      </c>
      <c r="S49" s="36">
        <v>3452.68</v>
      </c>
      <c r="T49" s="36">
        <v>2830.07</v>
      </c>
      <c r="U49" s="34" t="s">
        <v>7341</v>
      </c>
      <c r="V49" s="34" t="s">
        <v>7342</v>
      </c>
      <c r="W49" s="34"/>
      <c r="X49" s="37">
        <v>0.63300000000000001</v>
      </c>
      <c r="Y49" s="38">
        <v>3.202E-3</v>
      </c>
      <c r="Z49" s="21">
        <v>4601004008243</v>
      </c>
    </row>
    <row r="50" spans="1:26" ht="24" customHeight="1" outlineLevel="3" x14ac:dyDescent="0.2">
      <c r="A50" s="32" t="s">
        <v>7578</v>
      </c>
      <c r="B50" s="74" t="s">
        <v>7579</v>
      </c>
      <c r="C50" s="50"/>
      <c r="D50" s="53">
        <f t="shared" si="0"/>
        <v>0</v>
      </c>
      <c r="E50" s="60" t="str">
        <f>HYPERLINK("https://www.sds-group.ru/product/professionalnyy-multimetr-ms8239c-mastech-13-2020/", "Инфо")</f>
        <v>Инфо</v>
      </c>
      <c r="F50" s="34" t="s">
        <v>39</v>
      </c>
      <c r="G50" s="33"/>
      <c r="H50" s="33" t="s">
        <v>40</v>
      </c>
      <c r="I50" s="33"/>
      <c r="J50" s="39">
        <v>1744</v>
      </c>
      <c r="K50" s="33"/>
      <c r="L50" s="35">
        <v>1</v>
      </c>
      <c r="M50" s="35">
        <v>20</v>
      </c>
      <c r="N50" s="35">
        <v>1</v>
      </c>
      <c r="O50" s="36">
        <v>4150.38</v>
      </c>
      <c r="P50" s="36">
        <v>3401.95</v>
      </c>
      <c r="Q50" s="36">
        <v>2905.27</v>
      </c>
      <c r="R50" s="36">
        <v>2381.37</v>
      </c>
      <c r="S50" s="36">
        <v>2822.26</v>
      </c>
      <c r="T50" s="36">
        <v>2313.33</v>
      </c>
      <c r="U50" s="34" t="s">
        <v>7341</v>
      </c>
      <c r="V50" s="34" t="s">
        <v>7342</v>
      </c>
      <c r="W50" s="34"/>
      <c r="X50" s="37">
        <v>0.38</v>
      </c>
      <c r="Y50" s="38">
        <v>2.0569999999999998E-3</v>
      </c>
      <c r="Z50" s="21">
        <v>4601004008397</v>
      </c>
    </row>
    <row r="51" spans="1:26" ht="24" customHeight="1" outlineLevel="3" x14ac:dyDescent="0.2">
      <c r="A51" s="32" t="s">
        <v>7582</v>
      </c>
      <c r="B51" s="74" t="s">
        <v>7583</v>
      </c>
      <c r="C51" s="50"/>
      <c r="D51" s="53">
        <f t="shared" si="0"/>
        <v>0</v>
      </c>
      <c r="E51" s="60" t="str">
        <f>HYPERLINK("https://www.sds-group.ru/product/professionalnyy-multimetr-ms8251b-mastech-13-2102/", "Инфо")</f>
        <v>Инфо</v>
      </c>
      <c r="F51" s="34" t="s">
        <v>39</v>
      </c>
      <c r="G51" s="33"/>
      <c r="H51" s="33" t="s">
        <v>40</v>
      </c>
      <c r="I51" s="33"/>
      <c r="J51" s="35">
        <v>175</v>
      </c>
      <c r="K51" s="33"/>
      <c r="L51" s="35">
        <v>1</v>
      </c>
      <c r="M51" s="35">
        <v>20</v>
      </c>
      <c r="N51" s="35">
        <v>1</v>
      </c>
      <c r="O51" s="36">
        <v>9153</v>
      </c>
      <c r="P51" s="36">
        <v>7502.46</v>
      </c>
      <c r="Q51" s="36">
        <v>6407.1</v>
      </c>
      <c r="R51" s="36">
        <v>5251.72</v>
      </c>
      <c r="S51" s="36">
        <v>6224.04</v>
      </c>
      <c r="T51" s="36">
        <v>5101.67</v>
      </c>
      <c r="U51" s="34" t="s">
        <v>7341</v>
      </c>
      <c r="V51" s="34" t="s">
        <v>7342</v>
      </c>
      <c r="W51" s="34"/>
      <c r="X51" s="37">
        <v>0.71899999999999997</v>
      </c>
      <c r="Y51" s="38">
        <v>2.6380000000000002E-3</v>
      </c>
      <c r="Z51" s="21">
        <v>4601004195806</v>
      </c>
    </row>
    <row r="52" spans="1:26" ht="24" customHeight="1" outlineLevel="3" x14ac:dyDescent="0.2">
      <c r="A52" s="32" t="s">
        <v>7584</v>
      </c>
      <c r="B52" s="74" t="s">
        <v>7585</v>
      </c>
      <c r="C52" s="50"/>
      <c r="D52" s="53">
        <f t="shared" si="0"/>
        <v>0</v>
      </c>
      <c r="E52" s="60" t="str">
        <f>HYPERLINK("https://www.sds-group.ru/product/professionalnyy-multimetr-ms8265-mastech-13-2060/", "Инфо")</f>
        <v>Инфо</v>
      </c>
      <c r="F52" s="34" t="s">
        <v>39</v>
      </c>
      <c r="G52" s="33"/>
      <c r="H52" s="33" t="s">
        <v>40</v>
      </c>
      <c r="I52" s="33"/>
      <c r="J52" s="35">
        <v>336</v>
      </c>
      <c r="K52" s="33"/>
      <c r="L52" s="35">
        <v>1</v>
      </c>
      <c r="M52" s="35">
        <v>20</v>
      </c>
      <c r="N52" s="35">
        <v>1</v>
      </c>
      <c r="O52" s="36">
        <v>9594.3799999999992</v>
      </c>
      <c r="P52" s="36">
        <v>7864.25</v>
      </c>
      <c r="Q52" s="36">
        <v>6716.07</v>
      </c>
      <c r="R52" s="36">
        <v>5504.98</v>
      </c>
      <c r="S52" s="36">
        <v>6524.18</v>
      </c>
      <c r="T52" s="36">
        <v>5347.69</v>
      </c>
      <c r="U52" s="34" t="s">
        <v>7341</v>
      </c>
      <c r="V52" s="34" t="s">
        <v>7342</v>
      </c>
      <c r="W52" s="34"/>
      <c r="X52" s="37">
        <v>0.67200000000000004</v>
      </c>
      <c r="Y52" s="38">
        <v>3.2910000000000001E-3</v>
      </c>
      <c r="Z52" s="21">
        <v>4601004093331</v>
      </c>
    </row>
    <row r="53" spans="1:26" ht="24" customHeight="1" outlineLevel="3" x14ac:dyDescent="0.2">
      <c r="A53" s="32" t="s">
        <v>7586</v>
      </c>
      <c r="B53" s="74" t="s">
        <v>7587</v>
      </c>
      <c r="C53" s="50"/>
      <c r="D53" s="53">
        <f t="shared" si="0"/>
        <v>0</v>
      </c>
      <c r="E53" s="60" t="str">
        <f>HYPERLINK("https://www.sds-group.ru/product/professionalnyy-multimetr-ms8268-mastech-13-2068/", "Инфо")</f>
        <v>Инфо</v>
      </c>
      <c r="F53" s="34" t="s">
        <v>39</v>
      </c>
      <c r="G53" s="33"/>
      <c r="H53" s="33" t="s">
        <v>40</v>
      </c>
      <c r="I53" s="33"/>
      <c r="J53" s="35">
        <v>353</v>
      </c>
      <c r="K53" s="33"/>
      <c r="L53" s="35">
        <v>1</v>
      </c>
      <c r="M53" s="35">
        <v>20</v>
      </c>
      <c r="N53" s="35">
        <v>1</v>
      </c>
      <c r="O53" s="36">
        <v>6447.78</v>
      </c>
      <c r="P53" s="36">
        <v>5285.07</v>
      </c>
      <c r="Q53" s="36">
        <v>4513.45</v>
      </c>
      <c r="R53" s="36">
        <v>3699.55</v>
      </c>
      <c r="S53" s="36">
        <v>4384.49</v>
      </c>
      <c r="T53" s="36">
        <v>3593.84</v>
      </c>
      <c r="U53" s="34" t="s">
        <v>7341</v>
      </c>
      <c r="V53" s="34" t="s">
        <v>7342</v>
      </c>
      <c r="W53" s="34"/>
      <c r="X53" s="37">
        <v>0.60299999999999998</v>
      </c>
      <c r="Y53" s="38">
        <v>2.5920000000000001E-3</v>
      </c>
      <c r="Z53" s="21">
        <v>4601004195783</v>
      </c>
    </row>
    <row r="54" spans="1:26" ht="24" customHeight="1" outlineLevel="3" x14ac:dyDescent="0.2">
      <c r="A54" s="32" t="s">
        <v>7590</v>
      </c>
      <c r="B54" s="74" t="s">
        <v>7591</v>
      </c>
      <c r="C54" s="50"/>
      <c r="D54" s="53">
        <f t="shared" si="0"/>
        <v>0</v>
      </c>
      <c r="E54" s="60" t="str">
        <f>HYPERLINK("https://www.sds-group.ru/product/professionalnyy-multimetr-ms8360c-mastech-13-2027/", "Инфо")</f>
        <v>Инфо</v>
      </c>
      <c r="F54" s="34" t="s">
        <v>39</v>
      </c>
      <c r="G54" s="33"/>
      <c r="H54" s="33" t="s">
        <v>40</v>
      </c>
      <c r="I54" s="33"/>
      <c r="J54" s="35">
        <v>116</v>
      </c>
      <c r="K54" s="33"/>
      <c r="L54" s="35">
        <v>1</v>
      </c>
      <c r="M54" s="35">
        <v>20</v>
      </c>
      <c r="N54" s="35">
        <v>1</v>
      </c>
      <c r="O54" s="36">
        <v>6683.72</v>
      </c>
      <c r="P54" s="36">
        <v>5478.46</v>
      </c>
      <c r="Q54" s="36">
        <v>4678.6000000000004</v>
      </c>
      <c r="R54" s="36">
        <v>3834.92</v>
      </c>
      <c r="S54" s="36">
        <v>4544.93</v>
      </c>
      <c r="T54" s="36">
        <v>3725.35</v>
      </c>
      <c r="U54" s="34" t="s">
        <v>7341</v>
      </c>
      <c r="V54" s="34" t="s">
        <v>7342</v>
      </c>
      <c r="W54" s="34"/>
      <c r="X54" s="37">
        <v>0.68400000000000005</v>
      </c>
      <c r="Y54" s="38">
        <v>3.2399999999999998E-3</v>
      </c>
      <c r="Z54" s="21">
        <v>4601004018167</v>
      </c>
    </row>
    <row r="55" spans="1:26" ht="12.95" customHeight="1" outlineLevel="2" x14ac:dyDescent="0.2">
      <c r="A55" s="76" t="s">
        <v>7606</v>
      </c>
      <c r="B55" s="76"/>
      <c r="C55" s="77"/>
      <c r="D55" s="58"/>
      <c r="E55" s="68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 spans="1:26" ht="24" customHeight="1" outlineLevel="3" x14ac:dyDescent="0.2">
      <c r="A56" s="32" t="s">
        <v>7607</v>
      </c>
      <c r="B56" s="74" t="s">
        <v>7608</v>
      </c>
      <c r="C56" s="50"/>
      <c r="D56" s="53">
        <f t="shared" si="0"/>
        <v>0</v>
      </c>
      <c r="E56" s="60" t="str">
        <f>HYPERLINK("https://www.sds-group.ru/product/pristavka-dlya-tokovyh-kleschey-ms922d-mastech-13-1340/", "Инфо")</f>
        <v>Инфо</v>
      </c>
      <c r="F56" s="34" t="s">
        <v>39</v>
      </c>
      <c r="G56" s="33"/>
      <c r="H56" s="33" t="s">
        <v>40</v>
      </c>
      <c r="I56" s="33"/>
      <c r="J56" s="35">
        <v>202</v>
      </c>
      <c r="K56" s="33"/>
      <c r="L56" s="35">
        <v>1</v>
      </c>
      <c r="M56" s="35">
        <v>40</v>
      </c>
      <c r="N56" s="35">
        <v>1</v>
      </c>
      <c r="O56" s="36">
        <v>2371.64</v>
      </c>
      <c r="P56" s="36">
        <v>1943.97</v>
      </c>
      <c r="Q56" s="36">
        <v>1660.15</v>
      </c>
      <c r="R56" s="36">
        <v>1360.78</v>
      </c>
      <c r="S56" s="36">
        <v>1612.72</v>
      </c>
      <c r="T56" s="36">
        <v>1321.9</v>
      </c>
      <c r="U56" s="34" t="s">
        <v>7341</v>
      </c>
      <c r="V56" s="34" t="s">
        <v>7342</v>
      </c>
      <c r="W56" s="34"/>
      <c r="X56" s="37">
        <v>0.221</v>
      </c>
      <c r="Y56" s="38">
        <v>1.5590000000000001E-3</v>
      </c>
      <c r="Z56" s="21">
        <v>4601004195899</v>
      </c>
    </row>
    <row r="57" spans="1:26" ht="24" customHeight="1" outlineLevel="3" x14ac:dyDescent="0.2">
      <c r="A57" s="32" t="s">
        <v>7619</v>
      </c>
      <c r="B57" s="74" t="s">
        <v>7620</v>
      </c>
      <c r="C57" s="50"/>
      <c r="D57" s="53">
        <f t="shared" si="0"/>
        <v>0</v>
      </c>
      <c r="E57" s="60" t="str">
        <f>HYPERLINK("https://www.sds-group.ru/product/tokovye-kleschi-ms2001c-mastech-13-1310/", "Инфо")</f>
        <v>Инфо</v>
      </c>
      <c r="F57" s="34" t="s">
        <v>39</v>
      </c>
      <c r="G57" s="33"/>
      <c r="H57" s="33" t="s">
        <v>40</v>
      </c>
      <c r="I57" s="33"/>
      <c r="J57" s="35">
        <v>218</v>
      </c>
      <c r="K57" s="33"/>
      <c r="L57" s="35">
        <v>1</v>
      </c>
      <c r="M57" s="35">
        <v>10</v>
      </c>
      <c r="N57" s="35">
        <v>1</v>
      </c>
      <c r="O57" s="36">
        <v>5255.86</v>
      </c>
      <c r="P57" s="36">
        <v>4308.08</v>
      </c>
      <c r="Q57" s="36">
        <v>3679.1</v>
      </c>
      <c r="R57" s="36">
        <v>3015.66</v>
      </c>
      <c r="S57" s="36">
        <v>3573.98</v>
      </c>
      <c r="T57" s="36">
        <v>2929.49</v>
      </c>
      <c r="U57" s="34" t="s">
        <v>7341</v>
      </c>
      <c r="V57" s="34" t="s">
        <v>7342</v>
      </c>
      <c r="W57" s="34"/>
      <c r="X57" s="37">
        <v>0.71299999999999997</v>
      </c>
      <c r="Y57" s="38">
        <v>2.379E-3</v>
      </c>
      <c r="Z57" s="21">
        <v>4601004056503</v>
      </c>
    </row>
    <row r="58" spans="1:26" ht="24" customHeight="1" outlineLevel="3" x14ac:dyDescent="0.2">
      <c r="A58" s="32" t="s">
        <v>7625</v>
      </c>
      <c r="B58" s="74" t="s">
        <v>7626</v>
      </c>
      <c r="C58" s="50"/>
      <c r="D58" s="53">
        <f t="shared" si="0"/>
        <v>0</v>
      </c>
      <c r="E58" s="60" t="str">
        <f>HYPERLINK("https://www.sds-group.ru/product/tokovye-kleschi-ms2028a-mastech-13-1316/", "Инфо")</f>
        <v>Инфо</v>
      </c>
      <c r="F58" s="34" t="s">
        <v>39</v>
      </c>
      <c r="G58" s="33"/>
      <c r="H58" s="33" t="s">
        <v>40</v>
      </c>
      <c r="I58" s="33"/>
      <c r="J58" s="35">
        <v>134</v>
      </c>
      <c r="K58" s="33"/>
      <c r="L58" s="35">
        <v>1</v>
      </c>
      <c r="M58" s="35">
        <v>20</v>
      </c>
      <c r="N58" s="35">
        <v>1</v>
      </c>
      <c r="O58" s="36">
        <v>4958.8900000000003</v>
      </c>
      <c r="P58" s="36">
        <v>4064.66</v>
      </c>
      <c r="Q58" s="36">
        <v>3471.22</v>
      </c>
      <c r="R58" s="36">
        <v>2845.26</v>
      </c>
      <c r="S58" s="36">
        <v>3372.05</v>
      </c>
      <c r="T58" s="36">
        <v>2763.98</v>
      </c>
      <c r="U58" s="34" t="s">
        <v>7341</v>
      </c>
      <c r="V58" s="34" t="s">
        <v>7342</v>
      </c>
      <c r="W58" s="34"/>
      <c r="X58" s="37">
        <v>0.47699999999999998</v>
      </c>
      <c r="Y58" s="38">
        <v>1.4059999999999999E-3</v>
      </c>
      <c r="Z58" s="21">
        <v>4601004195844</v>
      </c>
    </row>
    <row r="59" spans="1:26" ht="24" customHeight="1" outlineLevel="3" x14ac:dyDescent="0.2">
      <c r="A59" s="32" t="s">
        <v>7627</v>
      </c>
      <c r="B59" s="74" t="s">
        <v>7628</v>
      </c>
      <c r="C59" s="50"/>
      <c r="D59" s="53">
        <f t="shared" si="0"/>
        <v>0</v>
      </c>
      <c r="E59" s="60" t="str">
        <f>HYPERLINK("https://www.sds-group.ru/product/tokovye-kleschi-ms2030-mastech-13-1305/", "Инфо")</f>
        <v>Инфо</v>
      </c>
      <c r="F59" s="34" t="s">
        <v>39</v>
      </c>
      <c r="G59" s="33"/>
      <c r="H59" s="33" t="s">
        <v>40</v>
      </c>
      <c r="I59" s="33"/>
      <c r="J59" s="35">
        <v>126</v>
      </c>
      <c r="K59" s="33"/>
      <c r="L59" s="35">
        <v>1</v>
      </c>
      <c r="M59" s="35">
        <v>20</v>
      </c>
      <c r="N59" s="35">
        <v>1</v>
      </c>
      <c r="O59" s="36">
        <v>4107.26</v>
      </c>
      <c r="P59" s="36">
        <v>3366.61</v>
      </c>
      <c r="Q59" s="36">
        <v>2875.08</v>
      </c>
      <c r="R59" s="36">
        <v>2356.62</v>
      </c>
      <c r="S59" s="36">
        <v>2792.94</v>
      </c>
      <c r="T59" s="36">
        <v>2289.3000000000002</v>
      </c>
      <c r="U59" s="34" t="s">
        <v>7341</v>
      </c>
      <c r="V59" s="34" t="s">
        <v>7342</v>
      </c>
      <c r="W59" s="34"/>
      <c r="X59" s="37">
        <v>0.42599999999999999</v>
      </c>
      <c r="Y59" s="38">
        <v>1.833E-3</v>
      </c>
      <c r="Z59" s="21">
        <v>4601004018211</v>
      </c>
    </row>
    <row r="60" spans="1:26" ht="24" customHeight="1" outlineLevel="3" x14ac:dyDescent="0.2">
      <c r="A60" s="32" t="s">
        <v>7629</v>
      </c>
      <c r="B60" s="74" t="s">
        <v>7630</v>
      </c>
      <c r="C60" s="50"/>
      <c r="D60" s="53">
        <f t="shared" si="0"/>
        <v>0</v>
      </c>
      <c r="E60" s="60" t="str">
        <f>HYPERLINK("https://www.sds-group.ru/product/tokovye-kleschi-ms2033a-smart-mastech-13-1320/", "Инфо")</f>
        <v>Инфо</v>
      </c>
      <c r="F60" s="34" t="s">
        <v>39</v>
      </c>
      <c r="G60" s="33"/>
      <c r="H60" s="33" t="s">
        <v>40</v>
      </c>
      <c r="I60" s="33"/>
      <c r="J60" s="35">
        <v>51</v>
      </c>
      <c r="K60" s="33"/>
      <c r="L60" s="35">
        <v>1</v>
      </c>
      <c r="M60" s="35">
        <v>20</v>
      </c>
      <c r="N60" s="35">
        <v>1</v>
      </c>
      <c r="O60" s="36">
        <v>8624.16</v>
      </c>
      <c r="P60" s="36">
        <v>7068.98</v>
      </c>
      <c r="Q60" s="36">
        <v>6036.91</v>
      </c>
      <c r="R60" s="36">
        <v>4948.29</v>
      </c>
      <c r="S60" s="36">
        <v>5864.43</v>
      </c>
      <c r="T60" s="36">
        <v>4806.91</v>
      </c>
      <c r="U60" s="34" t="s">
        <v>7341</v>
      </c>
      <c r="V60" s="34" t="s">
        <v>7342</v>
      </c>
      <c r="W60" s="34"/>
      <c r="X60" s="37">
        <v>0.438</v>
      </c>
      <c r="Y60" s="38">
        <v>1.3619999999999999E-3</v>
      </c>
      <c r="Z60" s="21">
        <v>4601004195868</v>
      </c>
    </row>
    <row r="61" spans="1:26" ht="24" customHeight="1" outlineLevel="3" x14ac:dyDescent="0.2">
      <c r="A61" s="32" t="s">
        <v>7631</v>
      </c>
      <c r="B61" s="74" t="s">
        <v>7632</v>
      </c>
      <c r="C61" s="50"/>
      <c r="D61" s="53">
        <f t="shared" si="0"/>
        <v>0</v>
      </c>
      <c r="E61" s="60" t="str">
        <f>HYPERLINK("https://www.sds-group.ru/product/tokovye-kleschi-ms2101-mastech-13-1308/", "Инфо")</f>
        <v>Инфо</v>
      </c>
      <c r="F61" s="34" t="s">
        <v>39</v>
      </c>
      <c r="G61" s="33"/>
      <c r="H61" s="33" t="s">
        <v>40</v>
      </c>
      <c r="I61" s="33"/>
      <c r="J61" s="35">
        <v>194</v>
      </c>
      <c r="K61" s="33"/>
      <c r="L61" s="35">
        <v>1</v>
      </c>
      <c r="M61" s="35">
        <v>10</v>
      </c>
      <c r="N61" s="35">
        <v>1</v>
      </c>
      <c r="O61" s="36">
        <v>9427.59</v>
      </c>
      <c r="P61" s="36">
        <v>7727.53</v>
      </c>
      <c r="Q61" s="36">
        <v>6599.31</v>
      </c>
      <c r="R61" s="36">
        <v>5409.27</v>
      </c>
      <c r="S61" s="36">
        <v>6410.76</v>
      </c>
      <c r="T61" s="36">
        <v>5254.72</v>
      </c>
      <c r="U61" s="34" t="s">
        <v>7341</v>
      </c>
      <c r="V61" s="34" t="s">
        <v>7342</v>
      </c>
      <c r="W61" s="34"/>
      <c r="X61" s="37">
        <v>0.78100000000000003</v>
      </c>
      <c r="Y61" s="38">
        <v>3.5339999999999998E-3</v>
      </c>
      <c r="Z61" s="21">
        <v>4601004052123</v>
      </c>
    </row>
    <row r="62" spans="1:26" ht="24" customHeight="1" outlineLevel="3" x14ac:dyDescent="0.2">
      <c r="A62" s="32" t="s">
        <v>7661</v>
      </c>
      <c r="B62" s="74" t="s">
        <v>7662</v>
      </c>
      <c r="C62" s="50"/>
      <c r="D62" s="53">
        <f t="shared" si="0"/>
        <v>0</v>
      </c>
      <c r="E62" s="60" t="str">
        <f>HYPERLINK("https://www.sds-group.ru/product/tokovye-kleschi-uni-t-ut202-13-1061/", "Инфо")</f>
        <v>Инфо</v>
      </c>
      <c r="F62" s="34" t="s">
        <v>39</v>
      </c>
      <c r="G62" s="33"/>
      <c r="H62" s="33" t="s">
        <v>40</v>
      </c>
      <c r="I62" s="33"/>
      <c r="J62" s="35">
        <v>132</v>
      </c>
      <c r="K62" s="33"/>
      <c r="L62" s="35">
        <v>1</v>
      </c>
      <c r="M62" s="35">
        <v>40</v>
      </c>
      <c r="N62" s="35">
        <v>1</v>
      </c>
      <c r="O62" s="36">
        <v>4851.09</v>
      </c>
      <c r="P62" s="36">
        <v>3976.3</v>
      </c>
      <c r="Q62" s="36">
        <v>3395.76</v>
      </c>
      <c r="R62" s="36">
        <v>2783.41</v>
      </c>
      <c r="S62" s="36">
        <v>3298.74</v>
      </c>
      <c r="T62" s="36">
        <v>2703.89</v>
      </c>
      <c r="U62" s="34" t="s">
        <v>7341</v>
      </c>
      <c r="V62" s="34" t="s">
        <v>7342</v>
      </c>
      <c r="W62" s="34"/>
      <c r="X62" s="37">
        <v>0.42799999999999999</v>
      </c>
      <c r="Y62" s="38">
        <v>1.588E-3</v>
      </c>
      <c r="Z62" s="21">
        <v>4601004268432</v>
      </c>
    </row>
    <row r="63" spans="1:26" ht="24" customHeight="1" outlineLevel="3" x14ac:dyDescent="0.2">
      <c r="A63" s="32" t="s">
        <v>7665</v>
      </c>
      <c r="B63" s="74" t="s">
        <v>7666</v>
      </c>
      <c r="C63" s="50"/>
      <c r="D63" s="53">
        <f t="shared" si="0"/>
        <v>0</v>
      </c>
      <c r="E63" s="60" t="str">
        <f>HYPERLINK("https://www.sds-group.ru/product/tokovye-kleschi-uni-t-ut202t-13-1084/", "Инфо")</f>
        <v>Инфо</v>
      </c>
      <c r="F63" s="34" t="s">
        <v>39</v>
      </c>
      <c r="G63" s="33"/>
      <c r="H63" s="33" t="s">
        <v>40</v>
      </c>
      <c r="I63" s="33"/>
      <c r="J63" s="35">
        <v>52</v>
      </c>
      <c r="K63" s="33"/>
      <c r="L63" s="35">
        <v>1</v>
      </c>
      <c r="M63" s="35">
        <v>40</v>
      </c>
      <c r="N63" s="35">
        <v>1</v>
      </c>
      <c r="O63" s="36">
        <v>6209.4</v>
      </c>
      <c r="P63" s="36">
        <v>5089.67</v>
      </c>
      <c r="Q63" s="36">
        <v>4346.58</v>
      </c>
      <c r="R63" s="36">
        <v>3562.77</v>
      </c>
      <c r="S63" s="36">
        <v>4222.3900000000003</v>
      </c>
      <c r="T63" s="36">
        <v>3460.98</v>
      </c>
      <c r="U63" s="34" t="s">
        <v>7341</v>
      </c>
      <c r="V63" s="34" t="s">
        <v>7342</v>
      </c>
      <c r="W63" s="34"/>
      <c r="X63" s="37">
        <v>0.42799999999999999</v>
      </c>
      <c r="Y63" s="38">
        <v>1.438E-3</v>
      </c>
      <c r="Z63" s="21">
        <v>4601004290082</v>
      </c>
    </row>
    <row r="64" spans="1:26" ht="24" customHeight="1" outlineLevel="3" x14ac:dyDescent="0.2">
      <c r="A64" s="32" t="s">
        <v>7681</v>
      </c>
      <c r="B64" s="74" t="s">
        <v>7682</v>
      </c>
      <c r="C64" s="50"/>
      <c r="D64" s="53">
        <f t="shared" si="0"/>
        <v>0</v>
      </c>
      <c r="E64" s="60" t="str">
        <f>HYPERLINK("https://www.sds-group.ru/product/tokovye-kleschi-uni-t-ut210b-s-funktsiey-izmereniya-srednekvadratichnogo-znacheniya-13-0007/", "Инфо")</f>
        <v>Инфо</v>
      </c>
      <c r="F64" s="34" t="s">
        <v>39</v>
      </c>
      <c r="G64" s="33"/>
      <c r="H64" s="33" t="s">
        <v>40</v>
      </c>
      <c r="I64" s="33"/>
      <c r="J64" s="35">
        <v>283</v>
      </c>
      <c r="K64" s="33"/>
      <c r="L64" s="35">
        <v>1</v>
      </c>
      <c r="M64" s="35">
        <v>40</v>
      </c>
      <c r="N64" s="35">
        <v>1</v>
      </c>
      <c r="O64" s="36">
        <v>4743.29</v>
      </c>
      <c r="P64" s="36">
        <v>3887.94</v>
      </c>
      <c r="Q64" s="36">
        <v>3320.3</v>
      </c>
      <c r="R64" s="36">
        <v>2721.56</v>
      </c>
      <c r="S64" s="36">
        <v>3225.44</v>
      </c>
      <c r="T64" s="36">
        <v>2643.8</v>
      </c>
      <c r="U64" s="34" t="s">
        <v>7341</v>
      </c>
      <c r="V64" s="34" t="s">
        <v>7342</v>
      </c>
      <c r="W64" s="34"/>
      <c r="X64" s="37">
        <v>0.19600000000000001</v>
      </c>
      <c r="Y64" s="38">
        <v>5.6300000000000002E-4</v>
      </c>
      <c r="Z64" s="21">
        <v>4601004164659</v>
      </c>
    </row>
    <row r="65" spans="1:26" ht="24" customHeight="1" outlineLevel="3" x14ac:dyDescent="0.2">
      <c r="A65" s="32" t="s">
        <v>7683</v>
      </c>
      <c r="B65" s="74" t="s">
        <v>7684</v>
      </c>
      <c r="C65" s="50"/>
      <c r="D65" s="53">
        <f t="shared" si="0"/>
        <v>0</v>
      </c>
      <c r="E65" s="60" t="str">
        <f>HYPERLINK("https://www.sds-group.ru/product/tokovye-kleschi-uni-t-ut210c-13-0006/", "Инфо")</f>
        <v>Инфо</v>
      </c>
      <c r="F65" s="34" t="s">
        <v>39</v>
      </c>
      <c r="G65" s="33"/>
      <c r="H65" s="33" t="s">
        <v>40</v>
      </c>
      <c r="I65" s="33"/>
      <c r="J65" s="35">
        <v>124</v>
      </c>
      <c r="K65" s="33"/>
      <c r="L65" s="35">
        <v>1</v>
      </c>
      <c r="M65" s="35">
        <v>1</v>
      </c>
      <c r="N65" s="35">
        <v>1</v>
      </c>
      <c r="O65" s="36">
        <v>8085.15</v>
      </c>
      <c r="P65" s="36">
        <v>6627.17</v>
      </c>
      <c r="Q65" s="36">
        <v>5659.61</v>
      </c>
      <c r="R65" s="36">
        <v>4639.0200000000004</v>
      </c>
      <c r="S65" s="36">
        <v>5497.9</v>
      </c>
      <c r="T65" s="36">
        <v>4506.4799999999996</v>
      </c>
      <c r="U65" s="34" t="s">
        <v>7341</v>
      </c>
      <c r="V65" s="34" t="s">
        <v>7342</v>
      </c>
      <c r="W65" s="34"/>
      <c r="X65" s="37">
        <v>0.34899999999999998</v>
      </c>
      <c r="Y65" s="38">
        <v>1.003E-3</v>
      </c>
      <c r="Z65" s="21">
        <v>4601004290068</v>
      </c>
    </row>
    <row r="66" spans="1:26" ht="12.95" customHeight="1" outlineLevel="2" x14ac:dyDescent="0.2">
      <c r="A66" s="76" t="s">
        <v>7695</v>
      </c>
      <c r="B66" s="76"/>
      <c r="C66" s="77"/>
      <c r="D66" s="58"/>
      <c r="E66" s="68"/>
      <c r="F66" s="30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 spans="1:26" ht="24" customHeight="1" outlineLevel="3" x14ac:dyDescent="0.2">
      <c r="A67" s="32" t="s">
        <v>7704</v>
      </c>
      <c r="B67" s="74" t="s">
        <v>7705</v>
      </c>
      <c r="C67" s="50"/>
      <c r="D67" s="53">
        <f t="shared" si="0"/>
        <v>0</v>
      </c>
      <c r="E67" s="60" t="str">
        <f>HYPERLINK("https://www.sds-group.ru/product/pirometr-uni-t-ut300a-13-0030/", "Инфо")</f>
        <v>Инфо</v>
      </c>
      <c r="F67" s="34" t="s">
        <v>39</v>
      </c>
      <c r="G67" s="33"/>
      <c r="H67" s="33" t="s">
        <v>40</v>
      </c>
      <c r="I67" s="33"/>
      <c r="J67" s="35">
        <v>357</v>
      </c>
      <c r="K67" s="33"/>
      <c r="L67" s="35">
        <v>1</v>
      </c>
      <c r="M67" s="35">
        <v>1</v>
      </c>
      <c r="N67" s="35">
        <v>1</v>
      </c>
      <c r="O67" s="36">
        <v>2288.25</v>
      </c>
      <c r="P67" s="36">
        <v>1875.61</v>
      </c>
      <c r="Q67" s="36">
        <v>1601.78</v>
      </c>
      <c r="R67" s="36">
        <v>1312.93</v>
      </c>
      <c r="S67" s="36">
        <v>1556.01</v>
      </c>
      <c r="T67" s="36">
        <v>1275.42</v>
      </c>
      <c r="U67" s="34" t="s">
        <v>7341</v>
      </c>
      <c r="V67" s="34" t="s">
        <v>7342</v>
      </c>
      <c r="W67" s="34"/>
      <c r="X67" s="37">
        <v>0.20100000000000001</v>
      </c>
      <c r="Y67" s="38">
        <v>9.5E-4</v>
      </c>
      <c r="Z67" s="21">
        <v>4601004290143</v>
      </c>
    </row>
    <row r="68" spans="1:26" ht="24" customHeight="1" outlineLevel="3" x14ac:dyDescent="0.2">
      <c r="A68" s="32" t="s">
        <v>7706</v>
      </c>
      <c r="B68" s="74" t="s">
        <v>7707</v>
      </c>
      <c r="C68" s="50"/>
      <c r="D68" s="53">
        <f t="shared" si="0"/>
        <v>0</v>
      </c>
      <c r="E68" s="60" t="str">
        <f>HYPERLINK("https://www.sds-group.ru/product/pirometr-uni-t-ut300s-13-0025/", "Инфо")</f>
        <v>Инфо</v>
      </c>
      <c r="F68" s="34" t="s">
        <v>39</v>
      </c>
      <c r="G68" s="33"/>
      <c r="H68" s="33" t="s">
        <v>40</v>
      </c>
      <c r="I68" s="33"/>
      <c r="J68" s="35">
        <v>275</v>
      </c>
      <c r="K68" s="33"/>
      <c r="L68" s="35">
        <v>1</v>
      </c>
      <c r="M68" s="35">
        <v>48</v>
      </c>
      <c r="N68" s="35">
        <v>1</v>
      </c>
      <c r="O68" s="36">
        <v>2910.65</v>
      </c>
      <c r="P68" s="36">
        <v>2385.7800000000002</v>
      </c>
      <c r="Q68" s="36">
        <v>2037.46</v>
      </c>
      <c r="R68" s="36">
        <v>1670.05</v>
      </c>
      <c r="S68" s="36">
        <v>1979.24</v>
      </c>
      <c r="T68" s="36">
        <v>1622.33</v>
      </c>
      <c r="U68" s="34" t="s">
        <v>7341</v>
      </c>
      <c r="V68" s="34" t="s">
        <v>7342</v>
      </c>
      <c r="W68" s="34"/>
      <c r="X68" s="37">
        <v>0.27</v>
      </c>
      <c r="Y68" s="38">
        <v>1.9550000000000001E-3</v>
      </c>
      <c r="Z68" s="21">
        <v>4601004059320</v>
      </c>
    </row>
    <row r="69" spans="1:26" ht="24" customHeight="1" outlineLevel="3" x14ac:dyDescent="0.2">
      <c r="A69" s="32" t="s">
        <v>7710</v>
      </c>
      <c r="B69" s="74" t="s">
        <v>7711</v>
      </c>
      <c r="C69" s="50"/>
      <c r="D69" s="53">
        <f t="shared" si="0"/>
        <v>0</v>
      </c>
      <c r="E69" s="60" t="str">
        <f>HYPERLINK("https://www.sds-group.ru/product/pirometr-uni-t-ut301c-13-0029/", "Инфо")</f>
        <v>Инфо</v>
      </c>
      <c r="F69" s="34" t="s">
        <v>39</v>
      </c>
      <c r="G69" s="33"/>
      <c r="H69" s="33" t="s">
        <v>40</v>
      </c>
      <c r="I69" s="33"/>
      <c r="J69" s="35">
        <v>157</v>
      </c>
      <c r="K69" s="33"/>
      <c r="L69" s="35">
        <v>1</v>
      </c>
      <c r="M69" s="35">
        <v>20</v>
      </c>
      <c r="N69" s="35">
        <v>1</v>
      </c>
      <c r="O69" s="36">
        <v>8237.7000000000007</v>
      </c>
      <c r="P69" s="36">
        <v>6752.21</v>
      </c>
      <c r="Q69" s="36">
        <v>5766.39</v>
      </c>
      <c r="R69" s="36">
        <v>4726.55</v>
      </c>
      <c r="S69" s="36">
        <v>5601.64</v>
      </c>
      <c r="T69" s="36">
        <v>4591.51</v>
      </c>
      <c r="U69" s="34" t="s">
        <v>7341</v>
      </c>
      <c r="V69" s="34" t="s">
        <v>7342</v>
      </c>
      <c r="W69" s="34"/>
      <c r="X69" s="37">
        <v>0.35699999999999998</v>
      </c>
      <c r="Y69" s="38">
        <v>2.1979999999999999E-3</v>
      </c>
      <c r="Z69" s="21">
        <v>4601004268487</v>
      </c>
    </row>
    <row r="70" spans="1:26" ht="24" customHeight="1" outlineLevel="3" x14ac:dyDescent="0.2">
      <c r="A70" s="32" t="s">
        <v>7712</v>
      </c>
      <c r="B70" s="74" t="s">
        <v>7713</v>
      </c>
      <c r="C70" s="50"/>
      <c r="D70" s="53">
        <f t="shared" si="0"/>
        <v>0</v>
      </c>
      <c r="E70" s="60" t="str">
        <f>HYPERLINK("https://www.sds-group.ru/product/pirometr-karmannyy-uni-t-ut306a-13-0026/", "Инфо")</f>
        <v>Инфо</v>
      </c>
      <c r="F70" s="34" t="s">
        <v>39</v>
      </c>
      <c r="G70" s="33"/>
      <c r="H70" s="33" t="s">
        <v>40</v>
      </c>
      <c r="I70" s="33"/>
      <c r="J70" s="35">
        <v>203</v>
      </c>
      <c r="K70" s="33"/>
      <c r="L70" s="35">
        <v>1</v>
      </c>
      <c r="M70" s="35">
        <v>20</v>
      </c>
      <c r="N70" s="35">
        <v>1</v>
      </c>
      <c r="O70" s="36">
        <v>4031.79</v>
      </c>
      <c r="P70" s="36">
        <v>3304.75</v>
      </c>
      <c r="Q70" s="36">
        <v>2822.25</v>
      </c>
      <c r="R70" s="36">
        <v>2313.3200000000002</v>
      </c>
      <c r="S70" s="36">
        <v>2741.62</v>
      </c>
      <c r="T70" s="36">
        <v>2247.23</v>
      </c>
      <c r="U70" s="34" t="s">
        <v>7341</v>
      </c>
      <c r="V70" s="34" t="s">
        <v>7342</v>
      </c>
      <c r="W70" s="34"/>
      <c r="X70" s="37">
        <v>0.161</v>
      </c>
      <c r="Y70" s="38">
        <v>5.7200000000000003E-4</v>
      </c>
      <c r="Z70" s="21">
        <v>4601004164642</v>
      </c>
    </row>
    <row r="71" spans="1:26" ht="12.95" customHeight="1" outlineLevel="2" x14ac:dyDescent="0.2">
      <c r="A71" s="76" t="s">
        <v>7714</v>
      </c>
      <c r="B71" s="76"/>
      <c r="C71" s="77"/>
      <c r="D71" s="58"/>
      <c r="E71" s="68"/>
      <c r="F71" s="30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 spans="1:26" ht="24" customHeight="1" outlineLevel="3" x14ac:dyDescent="0.2">
      <c r="A72" s="32" t="s">
        <v>7721</v>
      </c>
      <c r="B72" s="74" t="s">
        <v>7722</v>
      </c>
      <c r="C72" s="50"/>
      <c r="D72" s="53">
        <f t="shared" si="0"/>
        <v>0</v>
      </c>
      <c r="E72" s="60" t="str">
        <f>HYPERLINK("https://www.sds-group.ru/product/izmeritel-soprotivleniya-izolyatsii-uni-t-ut502a-13-0044/", "Инфо")</f>
        <v>Инфо</v>
      </c>
      <c r="F72" s="34" t="s">
        <v>39</v>
      </c>
      <c r="G72" s="33"/>
      <c r="H72" s="33" t="s">
        <v>40</v>
      </c>
      <c r="I72" s="33"/>
      <c r="J72" s="35">
        <v>171</v>
      </c>
      <c r="K72" s="33"/>
      <c r="L72" s="35">
        <v>1</v>
      </c>
      <c r="M72" s="35">
        <v>20</v>
      </c>
      <c r="N72" s="35">
        <v>1</v>
      </c>
      <c r="O72" s="36">
        <v>17032.72</v>
      </c>
      <c r="P72" s="36">
        <v>13961.25</v>
      </c>
      <c r="Q72" s="36">
        <v>11922.9</v>
      </c>
      <c r="R72" s="36">
        <v>9772.8700000000008</v>
      </c>
      <c r="S72" s="36">
        <v>11582.25</v>
      </c>
      <c r="T72" s="36">
        <v>9493.65</v>
      </c>
      <c r="U72" s="34" t="s">
        <v>7341</v>
      </c>
      <c r="V72" s="34" t="s">
        <v>7342</v>
      </c>
      <c r="W72" s="34"/>
      <c r="X72" s="37">
        <v>0.94799999999999995</v>
      </c>
      <c r="Y72" s="38">
        <v>3.0899999999999999E-3</v>
      </c>
      <c r="Z72" s="21">
        <v>4601004060203</v>
      </c>
    </row>
    <row r="73" spans="1:26" ht="12.95" customHeight="1" outlineLevel="2" x14ac:dyDescent="0.2">
      <c r="A73" s="76" t="s">
        <v>7725</v>
      </c>
      <c r="B73" s="76"/>
      <c r="C73" s="77"/>
      <c r="D73" s="58"/>
      <c r="E73" s="68"/>
      <c r="F73" s="30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 spans="1:26" ht="24" customHeight="1" outlineLevel="3" x14ac:dyDescent="0.2">
      <c r="A74" s="32" t="s">
        <v>7726</v>
      </c>
      <c r="B74" s="74" t="s">
        <v>7727</v>
      </c>
      <c r="C74" s="50"/>
      <c r="D74" s="53">
        <f t="shared" ref="D74:D80" si="1">C74*(O74-O74*$G$3)</f>
        <v>0</v>
      </c>
      <c r="E74" s="60" t="str">
        <f>HYPERLINK("https://www.sds-group.ru/product/detektor-metalla-ms6906-mastech-13-1210/", "Инфо")</f>
        <v>Инфо</v>
      </c>
      <c r="F74" s="34" t="s">
        <v>39</v>
      </c>
      <c r="G74" s="33"/>
      <c r="H74" s="33" t="s">
        <v>40</v>
      </c>
      <c r="I74" s="33"/>
      <c r="J74" s="35">
        <v>695</v>
      </c>
      <c r="K74" s="33"/>
      <c r="L74" s="35">
        <v>1</v>
      </c>
      <c r="M74" s="35">
        <v>20</v>
      </c>
      <c r="N74" s="35">
        <v>1</v>
      </c>
      <c r="O74" s="36">
        <v>5390.1</v>
      </c>
      <c r="P74" s="36">
        <v>4418.1099999999997</v>
      </c>
      <c r="Q74" s="36">
        <v>3773.07</v>
      </c>
      <c r="R74" s="36">
        <v>3092.68</v>
      </c>
      <c r="S74" s="36">
        <v>3665.27</v>
      </c>
      <c r="T74" s="36">
        <v>3004.32</v>
      </c>
      <c r="U74" s="34" t="s">
        <v>7341</v>
      </c>
      <c r="V74" s="34" t="s">
        <v>7342</v>
      </c>
      <c r="W74" s="34"/>
      <c r="X74" s="37">
        <v>0.314</v>
      </c>
      <c r="Y74" s="38">
        <v>2.1150000000000001E-3</v>
      </c>
      <c r="Z74" s="21">
        <v>4601004018235</v>
      </c>
    </row>
    <row r="75" spans="1:26" ht="12.95" customHeight="1" outlineLevel="2" x14ac:dyDescent="0.2">
      <c r="A75" s="76" t="s">
        <v>7737</v>
      </c>
      <c r="B75" s="76"/>
      <c r="C75" s="77"/>
      <c r="D75" s="58"/>
      <c r="E75" s="68"/>
      <c r="F75" s="30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 spans="1:26" ht="24" customHeight="1" outlineLevel="3" x14ac:dyDescent="0.2">
      <c r="A76" s="32" t="s">
        <v>7740</v>
      </c>
      <c r="B76" s="74" t="s">
        <v>7741</v>
      </c>
      <c r="C76" s="50"/>
      <c r="D76" s="53">
        <f t="shared" si="1"/>
        <v>0</v>
      </c>
      <c r="E76" s="60" t="str">
        <f>HYPERLINK("https://www.sds-group.ru/product/izmeritel-vlazhnosti-materialov-tsifrovoy-uni-t-ut377a-13-1147/", "Инфо")</f>
        <v>Инфо</v>
      </c>
      <c r="F76" s="34" t="s">
        <v>39</v>
      </c>
      <c r="G76" s="33"/>
      <c r="H76" s="33" t="s">
        <v>40</v>
      </c>
      <c r="I76" s="33"/>
      <c r="J76" s="35">
        <v>22</v>
      </c>
      <c r="K76" s="33"/>
      <c r="L76" s="35">
        <v>1</v>
      </c>
      <c r="M76" s="35">
        <v>20</v>
      </c>
      <c r="N76" s="35">
        <v>1</v>
      </c>
      <c r="O76" s="36">
        <v>3891.65</v>
      </c>
      <c r="P76" s="36">
        <v>3189.88</v>
      </c>
      <c r="Q76" s="36">
        <v>2724.16</v>
      </c>
      <c r="R76" s="36">
        <v>2232.92</v>
      </c>
      <c r="S76" s="36">
        <v>2646.32</v>
      </c>
      <c r="T76" s="36">
        <v>2169.11</v>
      </c>
      <c r="U76" s="34" t="s">
        <v>7341</v>
      </c>
      <c r="V76" s="34" t="s">
        <v>7342</v>
      </c>
      <c r="W76" s="34"/>
      <c r="X76" s="37">
        <v>0.16400000000000001</v>
      </c>
      <c r="Y76" s="38">
        <v>7.0299999999999996E-4</v>
      </c>
      <c r="Z76" s="21">
        <v>4601004290167</v>
      </c>
    </row>
    <row r="77" spans="1:26" ht="24" customHeight="1" outlineLevel="3" x14ac:dyDescent="0.2">
      <c r="A77" s="32" t="s">
        <v>7758</v>
      </c>
      <c r="B77" s="74" t="s">
        <v>7759</v>
      </c>
      <c r="C77" s="50"/>
      <c r="D77" s="53">
        <f t="shared" si="1"/>
        <v>0</v>
      </c>
      <c r="E77" s="60" t="str">
        <f>HYPERLINK("https://www.sds-group.ru/product/tsifrovoy-izmeritel-urovnya-shuma-ms6701-mastech-13-1252/", "Инфо")</f>
        <v>Инфо</v>
      </c>
      <c r="F77" s="34" t="s">
        <v>39</v>
      </c>
      <c r="G77" s="33"/>
      <c r="H77" s="33" t="s">
        <v>40</v>
      </c>
      <c r="I77" s="33"/>
      <c r="J77" s="35">
        <v>17</v>
      </c>
      <c r="K77" s="33"/>
      <c r="L77" s="35">
        <v>1</v>
      </c>
      <c r="M77" s="35">
        <v>10</v>
      </c>
      <c r="N77" s="35">
        <v>1</v>
      </c>
      <c r="O77" s="36">
        <v>19619.96</v>
      </c>
      <c r="P77" s="36">
        <v>16081.93</v>
      </c>
      <c r="Q77" s="36">
        <v>13733.97</v>
      </c>
      <c r="R77" s="36">
        <v>11257.35</v>
      </c>
      <c r="S77" s="36">
        <v>13341.57</v>
      </c>
      <c r="T77" s="36">
        <v>10935.71</v>
      </c>
      <c r="U77" s="34" t="s">
        <v>7341</v>
      </c>
      <c r="V77" s="34" t="s">
        <v>7342</v>
      </c>
      <c r="W77" s="34"/>
      <c r="X77" s="37">
        <v>0.92400000000000004</v>
      </c>
      <c r="Y77" s="38">
        <v>4.6620000000000003E-3</v>
      </c>
      <c r="Z77" s="21">
        <v>4601004195998</v>
      </c>
    </row>
    <row r="78" spans="1:26" ht="12.95" customHeight="1" outlineLevel="2" x14ac:dyDescent="0.2">
      <c r="A78" s="76" t="s">
        <v>7787</v>
      </c>
      <c r="B78" s="76"/>
      <c r="C78" s="77"/>
      <c r="D78" s="58"/>
      <c r="E78" s="68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 spans="1:26" ht="24" customHeight="1" outlineLevel="3" x14ac:dyDescent="0.2">
      <c r="A79" s="32" t="s">
        <v>7790</v>
      </c>
      <c r="B79" s="74" t="s">
        <v>7791</v>
      </c>
      <c r="C79" s="50"/>
      <c r="D79" s="53">
        <f t="shared" si="1"/>
        <v>0</v>
      </c>
      <c r="E79" s="60" t="str">
        <f>HYPERLINK("https://www.sds-group.ru/product/izmeritel-emkosti-i-induktivnosti-rlc-metr-ms8360e-mastech-13-2028/", "Инфо")</f>
        <v>Инфо</v>
      </c>
      <c r="F79" s="34" t="s">
        <v>39</v>
      </c>
      <c r="G79" s="33"/>
      <c r="H79" s="33" t="s">
        <v>40</v>
      </c>
      <c r="I79" s="33"/>
      <c r="J79" s="35">
        <v>238</v>
      </c>
      <c r="K79" s="33"/>
      <c r="L79" s="35">
        <v>1</v>
      </c>
      <c r="M79" s="35">
        <v>20</v>
      </c>
      <c r="N79" s="35">
        <v>1</v>
      </c>
      <c r="O79" s="36">
        <v>6040.98</v>
      </c>
      <c r="P79" s="36">
        <v>4951.62</v>
      </c>
      <c r="Q79" s="36">
        <v>4228.6899999999996</v>
      </c>
      <c r="R79" s="36">
        <v>3466.14</v>
      </c>
      <c r="S79" s="36">
        <v>4107.87</v>
      </c>
      <c r="T79" s="36">
        <v>3367.11</v>
      </c>
      <c r="U79" s="34" t="s">
        <v>7341</v>
      </c>
      <c r="V79" s="34" t="s">
        <v>7342</v>
      </c>
      <c r="W79" s="34"/>
      <c r="X79" s="37">
        <v>0.68</v>
      </c>
      <c r="Y79" s="38">
        <v>3.3279999999999998E-3</v>
      </c>
      <c r="Z79" s="21">
        <v>4601004018174</v>
      </c>
    </row>
    <row r="80" spans="1:26" ht="24" customHeight="1" outlineLevel="3" x14ac:dyDescent="0.2">
      <c r="A80" s="32" t="s">
        <v>7792</v>
      </c>
      <c r="B80" s="74" t="s">
        <v>7793</v>
      </c>
      <c r="C80" s="50"/>
      <c r="D80" s="53">
        <f t="shared" si="1"/>
        <v>0</v>
      </c>
      <c r="E80" s="60" t="str">
        <f>HYPERLINK("https://www.sds-group.ru/product/izmeritel-emkosti-kondensatorov-c-metr-ms6013-mastech-13-2079/", "Инфо")</f>
        <v>Инфо</v>
      </c>
      <c r="F80" s="34" t="s">
        <v>39</v>
      </c>
      <c r="G80" s="33"/>
      <c r="H80" s="33" t="s">
        <v>40</v>
      </c>
      <c r="I80" s="33"/>
      <c r="J80" s="35">
        <v>99</v>
      </c>
      <c r="K80" s="33"/>
      <c r="L80" s="35">
        <v>1</v>
      </c>
      <c r="M80" s="35">
        <v>20</v>
      </c>
      <c r="N80" s="35">
        <v>1</v>
      </c>
      <c r="O80" s="36">
        <v>6306.42</v>
      </c>
      <c r="P80" s="36">
        <v>5169.2</v>
      </c>
      <c r="Q80" s="36">
        <v>4414.49</v>
      </c>
      <c r="R80" s="36">
        <v>3618.43</v>
      </c>
      <c r="S80" s="36">
        <v>4288.37</v>
      </c>
      <c r="T80" s="36">
        <v>3515.06</v>
      </c>
      <c r="U80" s="34" t="s">
        <v>7341</v>
      </c>
      <c r="V80" s="34" t="s">
        <v>7342</v>
      </c>
      <c r="W80" s="34"/>
      <c r="X80" s="37">
        <v>0.59299999999999997</v>
      </c>
      <c r="Y80" s="38">
        <v>2.5769999999999999E-3</v>
      </c>
      <c r="Z80" s="21">
        <v>4601004196025</v>
      </c>
    </row>
  </sheetData>
  <mergeCells count="26">
    <mergeCell ref="A66:C66"/>
    <mergeCell ref="A71:C71"/>
    <mergeCell ref="A73:C73"/>
    <mergeCell ref="A75:C75"/>
    <mergeCell ref="A78:C78"/>
    <mergeCell ref="A22:C22"/>
    <mergeCell ref="A27:C27"/>
    <mergeCell ref="A30:C30"/>
    <mergeCell ref="A36:C36"/>
    <mergeCell ref="A47:C47"/>
    <mergeCell ref="A55:C55"/>
    <mergeCell ref="A9:C9"/>
    <mergeCell ref="A10:C10"/>
    <mergeCell ref="A11:C11"/>
    <mergeCell ref="A12:C12"/>
    <mergeCell ref="A20:C20"/>
    <mergeCell ref="A21:C21"/>
    <mergeCell ref="B2:B3"/>
    <mergeCell ref="E2:F2"/>
    <mergeCell ref="G2:H2"/>
    <mergeCell ref="I2:J2"/>
    <mergeCell ref="K2:L2"/>
    <mergeCell ref="E3:F3"/>
    <mergeCell ref="G3:H6"/>
    <mergeCell ref="I3:J6"/>
    <mergeCell ref="K3:L6"/>
  </mergeCells>
  <pageMargins left="0.75" right="1" top="0.75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Прайс лист</vt:lpstr>
      <vt:lpstr>Новинки</vt:lpstr>
      <vt:lpstr>Каталог уценённых товаров</vt:lpstr>
      <vt:lpstr>Заказные</vt:lpstr>
      <vt:lpstr>Акция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1c_s</cp:lastModifiedBy>
  <dcterms:created xsi:type="dcterms:W3CDTF">2026-09-11T03:02:38Z</dcterms:created>
  <dcterms:modified xsi:type="dcterms:W3CDTF">2026-09-11T03:02:38Z</dcterms:modified>
</cp:coreProperties>
</file>